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utteremporium-my.sharepoint.com/personal/gil_butteremporium_onmicrosoft_com/Documents/BUTTER EMPORIUM/Sales Department/Brokers/B &amp; A Sales/"/>
    </mc:Choice>
  </mc:AlternateContent>
  <xr:revisionPtr revIDLastSave="6" documentId="8_{D00C2EBF-0743-4333-8DD9-E81454FA2553}" xr6:coauthVersionLast="47" xr6:coauthVersionMax="47" xr10:uidLastSave="{C3CE71BB-C8BD-49A4-987C-EF3E63F971A7}"/>
  <bookViews>
    <workbookView xWindow="-120" yWindow="-120" windowWidth="29040" windowHeight="15840" xr2:uid="{00000000-000D-0000-FFFF-FFFF00000000}"/>
  </bookViews>
  <sheets>
    <sheet name="Customers" sheetId="1" r:id="rId1"/>
  </sheets>
  <definedNames>
    <definedName name="_xlnm._FilterDatabase" localSheetId="0" hidden="1">Customers!$A$1:$AB$23046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2" i="1" l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18693" i="1"/>
  <c r="C28" i="1"/>
  <c r="C29" i="1"/>
  <c r="C30" i="1"/>
  <c r="C31" i="1"/>
  <c r="C17204" i="1"/>
  <c r="C33" i="1"/>
  <c r="C34" i="1"/>
  <c r="C35" i="1"/>
  <c r="C36" i="1"/>
  <c r="C37" i="1"/>
  <c r="C27" i="1"/>
  <c r="C18696" i="1"/>
  <c r="C32" i="1"/>
  <c r="C41" i="1"/>
  <c r="C42" i="1"/>
  <c r="C38" i="1"/>
  <c r="C44" i="1"/>
  <c r="C45" i="1"/>
  <c r="C46" i="1"/>
  <c r="C47" i="1"/>
  <c r="C48" i="1"/>
  <c r="C49" i="1"/>
  <c r="C18697" i="1"/>
  <c r="C18698" i="1"/>
  <c r="C52" i="1"/>
  <c r="C53" i="1"/>
  <c r="C54" i="1"/>
  <c r="C55" i="1"/>
  <c r="C56" i="1"/>
  <c r="C57" i="1"/>
  <c r="C58" i="1"/>
  <c r="C59" i="1"/>
  <c r="C60" i="1"/>
  <c r="C18699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8700" i="1"/>
  <c r="C149" i="1"/>
  <c r="C150" i="1"/>
  <c r="C151" i="1"/>
  <c r="C18298" i="1"/>
  <c r="C153" i="1"/>
  <c r="C154" i="1"/>
  <c r="C155" i="1"/>
  <c r="C156" i="1"/>
  <c r="C157" i="1"/>
  <c r="C158" i="1"/>
  <c r="C159" i="1"/>
  <c r="C160" i="1"/>
  <c r="C161" i="1"/>
  <c r="C162" i="1"/>
  <c r="C163" i="1"/>
  <c r="C39" i="1"/>
  <c r="C18704" i="1"/>
  <c r="C18705" i="1"/>
  <c r="C40" i="1"/>
  <c r="C168" i="1"/>
  <c r="C169" i="1"/>
  <c r="C170" i="1"/>
  <c r="C171" i="1"/>
  <c r="C172" i="1"/>
  <c r="C173" i="1"/>
  <c r="C18709" i="1"/>
  <c r="C18711" i="1"/>
  <c r="C176" i="1"/>
  <c r="C177" i="1"/>
  <c r="C43" i="1"/>
  <c r="C179" i="1"/>
  <c r="C180" i="1"/>
  <c r="C181" i="1"/>
  <c r="C182" i="1"/>
  <c r="C50" i="1"/>
  <c r="C51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18712" i="1"/>
  <c r="C61" i="1"/>
  <c r="C17448" i="1"/>
  <c r="C217" i="1"/>
  <c r="C218" i="1"/>
  <c r="C219" i="1"/>
  <c r="C220" i="1"/>
  <c r="C18713" i="1"/>
  <c r="C18715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148" i="1"/>
  <c r="C239" i="1"/>
  <c r="C240" i="1"/>
  <c r="C152" i="1"/>
  <c r="C18268" i="1"/>
  <c r="C243" i="1"/>
  <c r="C17707" i="1"/>
  <c r="C18717" i="1"/>
  <c r="C246" i="1"/>
  <c r="C247" i="1"/>
  <c r="C248" i="1"/>
  <c r="C18718" i="1"/>
  <c r="C18721" i="1"/>
  <c r="C18725" i="1"/>
  <c r="C252" i="1"/>
  <c r="C253" i="1"/>
  <c r="C254" i="1"/>
  <c r="C255" i="1"/>
  <c r="C256" i="1"/>
  <c r="C257" i="1"/>
  <c r="C18726" i="1"/>
  <c r="C164" i="1"/>
  <c r="C260" i="1"/>
  <c r="C261" i="1"/>
  <c r="C262" i="1"/>
  <c r="C165" i="1"/>
  <c r="C264" i="1"/>
  <c r="C265" i="1"/>
  <c r="C266" i="1"/>
  <c r="C267" i="1"/>
  <c r="C166" i="1"/>
  <c r="C18727" i="1"/>
  <c r="C18728" i="1"/>
  <c r="C271" i="1"/>
  <c r="C272" i="1"/>
  <c r="C273" i="1"/>
  <c r="C274" i="1"/>
  <c r="C275" i="1"/>
  <c r="C276" i="1"/>
  <c r="C277" i="1"/>
  <c r="C278" i="1"/>
  <c r="C279" i="1"/>
  <c r="C280" i="1"/>
  <c r="C281" i="1"/>
  <c r="C167" i="1"/>
  <c r="C18729" i="1"/>
  <c r="C284" i="1"/>
  <c r="C285" i="1"/>
  <c r="C18730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18731" i="1"/>
  <c r="C312" i="1"/>
  <c r="C313" i="1"/>
  <c r="C314" i="1"/>
  <c r="C315" i="1"/>
  <c r="C316" i="1"/>
  <c r="C174" i="1"/>
  <c r="C318" i="1"/>
  <c r="C175" i="1"/>
  <c r="C18732" i="1"/>
  <c r="C18733" i="1"/>
  <c r="C322" i="1"/>
  <c r="C178" i="1"/>
  <c r="C18734" i="1"/>
  <c r="C18735" i="1"/>
  <c r="C326" i="1"/>
  <c r="C327" i="1"/>
  <c r="C328" i="1"/>
  <c r="C329" i="1"/>
  <c r="C330" i="1"/>
  <c r="C183" i="1"/>
  <c r="C332" i="1"/>
  <c r="C333" i="1"/>
  <c r="C18736" i="1"/>
  <c r="C335" i="1"/>
  <c r="C18737" i="1"/>
  <c r="C184" i="1"/>
  <c r="C338" i="1"/>
  <c r="C339" i="1"/>
  <c r="C340" i="1"/>
  <c r="C214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18738" i="1"/>
  <c r="C389" i="1"/>
  <c r="C215" i="1"/>
  <c r="C18739" i="1"/>
  <c r="C392" i="1"/>
  <c r="C18740" i="1"/>
  <c r="C394" i="1"/>
  <c r="C395" i="1"/>
  <c r="C216" i="1"/>
  <c r="C397" i="1"/>
  <c r="C18741" i="1"/>
  <c r="C221" i="1"/>
  <c r="C400" i="1"/>
  <c r="C401" i="1"/>
  <c r="C18742" i="1"/>
  <c r="C403" i="1"/>
  <c r="C222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18743" i="1"/>
  <c r="C238" i="1"/>
  <c r="C18299" i="1"/>
  <c r="C18744" i="1"/>
  <c r="C435" i="1"/>
  <c r="C436" i="1"/>
  <c r="C437" i="1"/>
  <c r="C438" i="1"/>
  <c r="C18745" i="1"/>
  <c r="C18746" i="1"/>
  <c r="C241" i="1"/>
  <c r="C442" i="1"/>
  <c r="C443" i="1"/>
  <c r="C18747" i="1"/>
  <c r="C18748" i="1"/>
  <c r="C18749" i="1"/>
  <c r="C18750" i="1"/>
  <c r="C18751" i="1"/>
  <c r="C18752" i="1"/>
  <c r="C18753" i="1"/>
  <c r="C451" i="1"/>
  <c r="C18754" i="1"/>
  <c r="C18755" i="1"/>
  <c r="C18756" i="1"/>
  <c r="C18757" i="1"/>
  <c r="C18758" i="1"/>
  <c r="C18759" i="1"/>
  <c r="C242" i="1"/>
  <c r="C18760" i="1"/>
  <c r="C244" i="1"/>
  <c r="C461" i="1"/>
  <c r="C18761" i="1"/>
  <c r="C463" i="1"/>
  <c r="C464" i="1"/>
  <c r="C465" i="1"/>
  <c r="C466" i="1"/>
  <c r="C18762" i="1"/>
  <c r="C245" i="1"/>
  <c r="C469" i="1"/>
  <c r="C470" i="1"/>
  <c r="C471" i="1"/>
  <c r="C472" i="1"/>
  <c r="C473" i="1"/>
  <c r="C474" i="1"/>
  <c r="C249" i="1"/>
  <c r="C476" i="1"/>
  <c r="C17205" i="1"/>
  <c r="C18763" i="1"/>
  <c r="C18764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250" i="1"/>
  <c r="C503" i="1"/>
  <c r="C504" i="1"/>
  <c r="C251" i="1"/>
  <c r="C258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17449" i="1"/>
  <c r="C259" i="1"/>
  <c r="C18765" i="1"/>
  <c r="C531" i="1"/>
  <c r="C532" i="1"/>
  <c r="C533" i="1"/>
  <c r="C534" i="1"/>
  <c r="C535" i="1"/>
  <c r="C536" i="1"/>
  <c r="C18300" i="1"/>
  <c r="C538" i="1"/>
  <c r="C263" i="1"/>
  <c r="C268" i="1"/>
  <c r="C541" i="1"/>
  <c r="C542" i="1"/>
  <c r="C543" i="1"/>
  <c r="C544" i="1"/>
  <c r="C545" i="1"/>
  <c r="C18767" i="1"/>
  <c r="C18768" i="1"/>
  <c r="C548" i="1"/>
  <c r="C549" i="1"/>
  <c r="C550" i="1"/>
  <c r="C18769" i="1"/>
  <c r="C552" i="1"/>
  <c r="C18770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269" i="1"/>
  <c r="C601" i="1"/>
  <c r="C270" i="1"/>
  <c r="C603" i="1"/>
  <c r="C282" i="1"/>
  <c r="C605" i="1"/>
  <c r="C18771" i="1"/>
  <c r="C18772" i="1"/>
  <c r="C608" i="1"/>
  <c r="C609" i="1"/>
  <c r="C18773" i="1"/>
  <c r="C611" i="1"/>
  <c r="C612" i="1"/>
  <c r="C18774" i="1"/>
  <c r="C614" i="1"/>
  <c r="C615" i="1"/>
  <c r="C616" i="1"/>
  <c r="C617" i="1"/>
  <c r="C18775" i="1"/>
  <c r="C619" i="1"/>
  <c r="C620" i="1"/>
  <c r="C621" i="1"/>
  <c r="C18196" i="1"/>
  <c r="C18776" i="1"/>
  <c r="C18777" i="1"/>
  <c r="C18778" i="1"/>
  <c r="C283" i="1"/>
  <c r="C18779" i="1"/>
  <c r="C628" i="1"/>
  <c r="C629" i="1"/>
  <c r="C630" i="1"/>
  <c r="C18780" i="1"/>
  <c r="C286" i="1"/>
  <c r="C18301" i="1"/>
  <c r="C311" i="1"/>
  <c r="C18781" i="1"/>
  <c r="C18782" i="1"/>
  <c r="C637" i="1"/>
  <c r="C638" i="1"/>
  <c r="C639" i="1"/>
  <c r="C640" i="1"/>
  <c r="C641" i="1"/>
  <c r="C642" i="1"/>
  <c r="C643" i="1"/>
  <c r="C644" i="1"/>
  <c r="C645" i="1"/>
  <c r="C317" i="1"/>
  <c r="C647" i="1"/>
  <c r="C648" i="1"/>
  <c r="C649" i="1"/>
  <c r="C650" i="1"/>
  <c r="C18783" i="1"/>
  <c r="C652" i="1"/>
  <c r="C18784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18785" i="1"/>
  <c r="C672" i="1"/>
  <c r="C673" i="1"/>
  <c r="C674" i="1"/>
  <c r="C18786" i="1"/>
  <c r="C676" i="1"/>
  <c r="C677" i="1"/>
  <c r="C17680" i="1"/>
  <c r="C679" i="1"/>
  <c r="C680" i="1"/>
  <c r="C681" i="1"/>
  <c r="C682" i="1"/>
  <c r="C683" i="1"/>
  <c r="C684" i="1"/>
  <c r="C685" i="1"/>
  <c r="C686" i="1"/>
  <c r="C687" i="1"/>
  <c r="C688" i="1"/>
  <c r="C689" i="1"/>
  <c r="C319" i="1"/>
  <c r="C18787" i="1"/>
  <c r="C692" i="1"/>
  <c r="C693" i="1"/>
  <c r="C18788" i="1"/>
  <c r="C695" i="1"/>
  <c r="C696" i="1"/>
  <c r="C697" i="1"/>
  <c r="C18789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320" i="1"/>
  <c r="C720" i="1"/>
  <c r="C721" i="1"/>
  <c r="C722" i="1"/>
  <c r="C321" i="1"/>
  <c r="C18790" i="1"/>
  <c r="C18791" i="1"/>
  <c r="C726" i="1"/>
  <c r="C727" i="1"/>
  <c r="C728" i="1"/>
  <c r="C18792" i="1"/>
  <c r="C18793" i="1"/>
  <c r="C731" i="1"/>
  <c r="C323" i="1"/>
  <c r="C733" i="1"/>
  <c r="C734" i="1"/>
  <c r="C735" i="1"/>
  <c r="C736" i="1"/>
  <c r="C737" i="1"/>
  <c r="C738" i="1"/>
  <c r="C17206" i="1"/>
  <c r="C17207" i="1"/>
  <c r="C17208" i="1"/>
  <c r="C742" i="1"/>
  <c r="C743" i="1"/>
  <c r="C324" i="1"/>
  <c r="C745" i="1"/>
  <c r="C18794" i="1"/>
  <c r="C325" i="1"/>
  <c r="C748" i="1"/>
  <c r="C749" i="1"/>
  <c r="C750" i="1"/>
  <c r="C751" i="1"/>
  <c r="C752" i="1"/>
  <c r="C331" i="1"/>
  <c r="C754" i="1"/>
  <c r="C334" i="1"/>
  <c r="C18795" i="1"/>
  <c r="C757" i="1"/>
  <c r="C758" i="1"/>
  <c r="C759" i="1"/>
  <c r="C760" i="1"/>
  <c r="C18796" i="1"/>
  <c r="C762" i="1"/>
  <c r="C763" i="1"/>
  <c r="C18797" i="1"/>
  <c r="C765" i="1"/>
  <c r="C18798" i="1"/>
  <c r="C18799" i="1"/>
  <c r="C768" i="1"/>
  <c r="C18800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18801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336" i="1"/>
  <c r="C337" i="1"/>
  <c r="C341" i="1"/>
  <c r="C388" i="1"/>
  <c r="C390" i="1"/>
  <c r="C846" i="1"/>
  <c r="C18802" i="1"/>
  <c r="C18803" i="1"/>
  <c r="C391" i="1"/>
  <c r="C850" i="1"/>
  <c r="C17708" i="1"/>
  <c r="C852" i="1"/>
  <c r="C18804" i="1"/>
  <c r="C854" i="1"/>
  <c r="C855" i="1"/>
  <c r="C856" i="1"/>
  <c r="C857" i="1"/>
  <c r="C858" i="1"/>
  <c r="C859" i="1"/>
  <c r="C393" i="1"/>
  <c r="C396" i="1"/>
  <c r="C17450" i="1"/>
  <c r="C863" i="1"/>
  <c r="C864" i="1"/>
  <c r="C865" i="1"/>
  <c r="C18805" i="1"/>
  <c r="C867" i="1"/>
  <c r="C398" i="1"/>
  <c r="C399" i="1"/>
  <c r="C870" i="1"/>
  <c r="C1745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18806" i="1"/>
  <c r="C912" i="1"/>
  <c r="C913" i="1"/>
  <c r="C402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404" i="1"/>
  <c r="C431" i="1"/>
  <c r="C18807" i="1"/>
  <c r="C18808" i="1"/>
  <c r="C18809" i="1"/>
  <c r="C18810" i="1"/>
  <c r="C974" i="1"/>
  <c r="C18812" i="1"/>
  <c r="C976" i="1"/>
  <c r="C18813" i="1"/>
  <c r="C18814" i="1"/>
  <c r="C18815" i="1"/>
  <c r="C432" i="1"/>
  <c r="C433" i="1"/>
  <c r="C434" i="1"/>
  <c r="C439" i="1"/>
  <c r="C984" i="1"/>
  <c r="C985" i="1"/>
  <c r="C986" i="1"/>
  <c r="C18816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8817" i="1"/>
  <c r="C18819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440" i="1"/>
  <c r="C1072" i="1"/>
  <c r="C1073" i="1"/>
  <c r="C1074" i="1"/>
  <c r="C1075" i="1"/>
  <c r="C1076" i="1"/>
  <c r="C1077" i="1"/>
  <c r="C18820" i="1"/>
  <c r="C1079" i="1"/>
  <c r="C1080" i="1"/>
  <c r="C1081" i="1"/>
  <c r="C1082" i="1"/>
  <c r="C1083" i="1"/>
  <c r="C1084" i="1"/>
  <c r="C1085" i="1"/>
  <c r="C1086" i="1"/>
  <c r="C1087" i="1"/>
  <c r="C1088" i="1"/>
  <c r="C18821" i="1"/>
  <c r="C18822" i="1"/>
  <c r="C1091" i="1"/>
  <c r="C1092" i="1"/>
  <c r="C1093" i="1"/>
  <c r="C1094" i="1"/>
  <c r="C18823" i="1"/>
  <c r="C1096" i="1"/>
  <c r="C18824" i="1"/>
  <c r="C18825" i="1"/>
  <c r="C1099" i="1"/>
  <c r="C1100" i="1"/>
  <c r="C1101" i="1"/>
  <c r="C1102" i="1"/>
  <c r="C1103" i="1"/>
  <c r="C18826" i="1"/>
  <c r="C1105" i="1"/>
  <c r="C1106" i="1"/>
  <c r="C1107" i="1"/>
  <c r="C18827" i="1"/>
  <c r="C441" i="1"/>
  <c r="C1110" i="1"/>
  <c r="C1111" i="1"/>
  <c r="C1112" i="1"/>
  <c r="C1113" i="1"/>
  <c r="C1114" i="1"/>
  <c r="C1115" i="1"/>
  <c r="C18828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444" i="1"/>
  <c r="C1135" i="1"/>
  <c r="C1136" i="1"/>
  <c r="C1137" i="1"/>
  <c r="C445" i="1"/>
  <c r="C1139" i="1"/>
  <c r="C446" i="1"/>
  <c r="C1141" i="1"/>
  <c r="C1142" i="1"/>
  <c r="C447" i="1"/>
  <c r="C17209" i="1"/>
  <c r="C1145" i="1"/>
  <c r="C448" i="1"/>
  <c r="C1147" i="1"/>
  <c r="C449" i="1"/>
  <c r="C1149" i="1"/>
  <c r="C1150" i="1"/>
  <c r="C1151" i="1"/>
  <c r="C450" i="1"/>
  <c r="C452" i="1"/>
  <c r="C18829" i="1"/>
  <c r="C18830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7557" i="1"/>
  <c r="C453" i="1"/>
  <c r="C1201" i="1"/>
  <c r="C18831" i="1"/>
  <c r="C454" i="1"/>
  <c r="C455" i="1"/>
  <c r="C1205" i="1"/>
  <c r="C17210" i="1"/>
  <c r="C1207" i="1"/>
  <c r="C17211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456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8833" i="1"/>
  <c r="C18834" i="1"/>
  <c r="C457" i="1"/>
  <c r="C1249" i="1"/>
  <c r="C1250" i="1"/>
  <c r="C18835" i="1"/>
  <c r="C1252" i="1"/>
  <c r="C1253" i="1"/>
  <c r="C17452" i="1"/>
  <c r="C18836" i="1"/>
  <c r="C1256" i="1"/>
  <c r="C18837" i="1"/>
  <c r="C18838" i="1"/>
  <c r="C18839" i="1"/>
  <c r="C1260" i="1"/>
  <c r="C1261" i="1"/>
  <c r="C458" i="1"/>
  <c r="C1263" i="1"/>
  <c r="C1264" i="1"/>
  <c r="C18840" i="1"/>
  <c r="C459" i="1"/>
  <c r="C1267" i="1"/>
  <c r="C1268" i="1"/>
  <c r="C1269" i="1"/>
  <c r="C17212" i="1"/>
  <c r="C17709" i="1"/>
  <c r="C1272" i="1"/>
  <c r="C1273" i="1"/>
  <c r="C1274" i="1"/>
  <c r="C1275" i="1"/>
  <c r="C1276" i="1"/>
  <c r="C1277" i="1"/>
  <c r="C1278" i="1"/>
  <c r="C1279" i="1"/>
  <c r="C1280" i="1"/>
  <c r="C1281" i="1"/>
  <c r="C460" i="1"/>
  <c r="C17188" i="1"/>
  <c r="C462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467" i="1"/>
  <c r="C1317" i="1"/>
  <c r="C18841" i="1"/>
  <c r="C1319" i="1"/>
  <c r="C1320" i="1"/>
  <c r="C468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475" i="1"/>
  <c r="C477" i="1"/>
  <c r="C18842" i="1"/>
  <c r="C18843" i="1"/>
  <c r="C1349" i="1"/>
  <c r="C1350" i="1"/>
  <c r="C478" i="1"/>
  <c r="C1352" i="1"/>
  <c r="C1353" i="1"/>
  <c r="C1354" i="1"/>
  <c r="C18295" i="1"/>
  <c r="C18296" i="1"/>
  <c r="C18844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479" i="1"/>
  <c r="C18845" i="1"/>
  <c r="C18846" i="1"/>
  <c r="C1453" i="1"/>
  <c r="C1454" i="1"/>
  <c r="C502" i="1"/>
  <c r="C1456" i="1"/>
  <c r="C1457" i="1"/>
  <c r="C1458" i="1"/>
  <c r="C505" i="1"/>
  <c r="C1460" i="1"/>
  <c r="C18847" i="1"/>
  <c r="C1462" i="1"/>
  <c r="C1463" i="1"/>
  <c r="C506" i="1"/>
  <c r="C18848" i="1"/>
  <c r="C18849" i="1"/>
  <c r="C1467" i="1"/>
  <c r="C528" i="1"/>
  <c r="C1469" i="1"/>
  <c r="C529" i="1"/>
  <c r="C18850" i="1"/>
  <c r="C1472" i="1"/>
  <c r="C18851" i="1"/>
  <c r="C1474" i="1"/>
  <c r="C1475" i="1"/>
  <c r="C1476" i="1"/>
  <c r="C18852" i="1"/>
  <c r="C1478" i="1"/>
  <c r="C17710" i="1"/>
  <c r="C530" i="1"/>
  <c r="C537" i="1"/>
  <c r="C1482" i="1"/>
  <c r="C539" i="1"/>
  <c r="C1484" i="1"/>
  <c r="C1485" i="1"/>
  <c r="C1486" i="1"/>
  <c r="C1487" i="1"/>
  <c r="C540" i="1"/>
  <c r="C546" i="1"/>
  <c r="C1490" i="1"/>
  <c r="C1491" i="1"/>
  <c r="C1492" i="1"/>
  <c r="C1493" i="1"/>
  <c r="C1494" i="1"/>
  <c r="C1495" i="1"/>
  <c r="C1496" i="1"/>
  <c r="C1497" i="1"/>
  <c r="C1498" i="1"/>
  <c r="C1499" i="1"/>
  <c r="C1500" i="1"/>
  <c r="C547" i="1"/>
  <c r="C18853" i="1"/>
  <c r="C1503" i="1"/>
  <c r="C18854" i="1"/>
  <c r="C1505" i="1"/>
  <c r="C1506" i="1"/>
  <c r="C1507" i="1"/>
  <c r="C1508" i="1"/>
  <c r="C551" i="1"/>
  <c r="C1510" i="1"/>
  <c r="C553" i="1"/>
  <c r="C600" i="1"/>
  <c r="C17711" i="1"/>
  <c r="C1514" i="1"/>
  <c r="C1515" i="1"/>
  <c r="C602" i="1"/>
  <c r="C1517" i="1"/>
  <c r="C1518" i="1"/>
  <c r="C604" i="1"/>
  <c r="C606" i="1"/>
  <c r="C1521" i="1"/>
  <c r="C1522" i="1"/>
  <c r="C1523" i="1"/>
  <c r="C1524" i="1"/>
  <c r="C1525" i="1"/>
  <c r="C1526" i="1"/>
  <c r="C1527" i="1"/>
  <c r="C1528" i="1"/>
  <c r="C1529" i="1"/>
  <c r="C1767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607" i="1"/>
  <c r="C610" i="1"/>
  <c r="C1558" i="1"/>
  <c r="C1559" i="1"/>
  <c r="C1560" i="1"/>
  <c r="C1561" i="1"/>
  <c r="C18855" i="1"/>
  <c r="C18856" i="1"/>
  <c r="C18857" i="1"/>
  <c r="C1565" i="1"/>
  <c r="C18858" i="1"/>
  <c r="C1567" i="1"/>
  <c r="C18859" i="1"/>
  <c r="C156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581" i="1"/>
  <c r="C18871" i="1"/>
  <c r="C18872" i="1"/>
  <c r="C18873" i="1"/>
  <c r="C18874" i="1"/>
  <c r="C613" i="1"/>
  <c r="C1587" i="1"/>
  <c r="C1588" i="1"/>
  <c r="C1589" i="1"/>
  <c r="C1590" i="1"/>
  <c r="C1591" i="1"/>
  <c r="C18875" i="1"/>
  <c r="C1593" i="1"/>
  <c r="C1594" i="1"/>
  <c r="C1595" i="1"/>
  <c r="C1596" i="1"/>
  <c r="C1597" i="1"/>
  <c r="C1598" i="1"/>
  <c r="C18876" i="1"/>
  <c r="C618" i="1"/>
  <c r="C17213" i="1"/>
  <c r="C17214" i="1"/>
  <c r="C1603" i="1"/>
  <c r="C17215" i="1"/>
  <c r="C17216" i="1"/>
  <c r="C622" i="1"/>
  <c r="C1607" i="1"/>
  <c r="C1608" i="1"/>
  <c r="C1609" i="1"/>
  <c r="C18197" i="1"/>
  <c r="C623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624" i="1"/>
  <c r="C625" i="1"/>
  <c r="C18877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8198" i="1"/>
  <c r="C1657" i="1"/>
  <c r="C18878" i="1"/>
  <c r="C1659" i="1"/>
  <c r="C1660" i="1"/>
  <c r="C1661" i="1"/>
  <c r="C1662" i="1"/>
  <c r="C18269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626" i="1"/>
  <c r="C18879" i="1"/>
  <c r="C1686" i="1"/>
  <c r="C1687" i="1"/>
  <c r="C1688" i="1"/>
  <c r="C1689" i="1"/>
  <c r="C1690" i="1"/>
  <c r="C1691" i="1"/>
  <c r="C1692" i="1"/>
  <c r="C18880" i="1"/>
  <c r="C1694" i="1"/>
  <c r="C1695" i="1"/>
  <c r="C18882" i="1"/>
  <c r="C18883" i="1"/>
  <c r="C1698" i="1"/>
  <c r="C1699" i="1"/>
  <c r="C18884" i="1"/>
  <c r="C18885" i="1"/>
  <c r="C627" i="1"/>
  <c r="C631" i="1"/>
  <c r="C18886" i="1"/>
  <c r="C18887" i="1"/>
  <c r="C1706" i="1"/>
  <c r="C1707" i="1"/>
  <c r="C1708" i="1"/>
  <c r="C18253" i="1"/>
  <c r="C1710" i="1"/>
  <c r="C632" i="1"/>
  <c r="C1712" i="1"/>
  <c r="C1713" i="1"/>
  <c r="C18888" i="1"/>
  <c r="C18889" i="1"/>
  <c r="C18890" i="1"/>
  <c r="C18891" i="1"/>
  <c r="C17403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633" i="1"/>
  <c r="C18892" i="1"/>
  <c r="C634" i="1"/>
  <c r="C1737" i="1"/>
  <c r="C635" i="1"/>
  <c r="C1739" i="1"/>
  <c r="C1740" i="1"/>
  <c r="C1741" i="1"/>
  <c r="C636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8893" i="1"/>
  <c r="C1756" i="1"/>
  <c r="C1757" i="1"/>
  <c r="C1758" i="1"/>
  <c r="C646" i="1"/>
  <c r="C18239" i="1"/>
  <c r="C1761" i="1"/>
  <c r="C651" i="1"/>
  <c r="C1763" i="1"/>
  <c r="C1764" i="1"/>
  <c r="C18894" i="1"/>
  <c r="C1766" i="1"/>
  <c r="C18895" i="1"/>
  <c r="C1768" i="1"/>
  <c r="C1769" i="1"/>
  <c r="C18896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897" i="1"/>
  <c r="C653" i="1"/>
  <c r="C1812" i="1"/>
  <c r="C18898" i="1"/>
  <c r="C671" i="1"/>
  <c r="C1815" i="1"/>
  <c r="C1816" i="1"/>
  <c r="C18899" i="1"/>
  <c r="C1818" i="1"/>
  <c r="C1819" i="1"/>
  <c r="C1820" i="1"/>
  <c r="C1821" i="1"/>
  <c r="C1822" i="1"/>
  <c r="C18900" i="1"/>
  <c r="C1824" i="1"/>
  <c r="C18901" i="1"/>
  <c r="C1826" i="1"/>
  <c r="C18902" i="1"/>
  <c r="C1828" i="1"/>
  <c r="C17752" i="1"/>
  <c r="C18903" i="1"/>
  <c r="C17453" i="1"/>
  <c r="C17454" i="1"/>
  <c r="C17217" i="1"/>
  <c r="C17455" i="1"/>
  <c r="C17218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675" i="1"/>
  <c r="C18904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05" i="1"/>
  <c r="C18906" i="1"/>
  <c r="C18907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8908" i="1"/>
  <c r="C1919" i="1"/>
  <c r="C1920" i="1"/>
  <c r="C678" i="1"/>
  <c r="C690" i="1"/>
  <c r="C691" i="1"/>
  <c r="C18909" i="1"/>
  <c r="C1925" i="1"/>
  <c r="C694" i="1"/>
  <c r="C18302" i="1"/>
  <c r="C1928" i="1"/>
  <c r="C1929" i="1"/>
  <c r="C1930" i="1"/>
  <c r="C1931" i="1"/>
  <c r="C1932" i="1"/>
  <c r="C1933" i="1"/>
  <c r="C1934" i="1"/>
  <c r="C1935" i="1"/>
  <c r="C1936" i="1"/>
  <c r="C1937" i="1"/>
  <c r="C18910" i="1"/>
  <c r="C1939" i="1"/>
  <c r="C1940" i="1"/>
  <c r="C18911" i="1"/>
  <c r="C1891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698" i="1"/>
  <c r="C1960" i="1"/>
  <c r="C1961" i="1"/>
  <c r="C1962" i="1"/>
  <c r="C1963" i="1"/>
  <c r="C1964" i="1"/>
  <c r="C719" i="1"/>
  <c r="C1966" i="1"/>
  <c r="C18913" i="1"/>
  <c r="C18914" i="1"/>
  <c r="C1969" i="1"/>
  <c r="C1970" i="1"/>
  <c r="C1971" i="1"/>
  <c r="C1972" i="1"/>
  <c r="C18915" i="1"/>
  <c r="C1974" i="1"/>
  <c r="C1975" i="1"/>
  <c r="C1976" i="1"/>
  <c r="C1977" i="1"/>
  <c r="C18916" i="1"/>
  <c r="C18917" i="1"/>
  <c r="C1980" i="1"/>
  <c r="C723" i="1"/>
  <c r="C1982" i="1"/>
  <c r="C1983" i="1"/>
  <c r="C72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17456" i="1"/>
  <c r="C17457" i="1"/>
  <c r="C725" i="1"/>
  <c r="C18918" i="1"/>
  <c r="C18924" i="1"/>
  <c r="C18925" i="1"/>
  <c r="C2040" i="1"/>
  <c r="C729" i="1"/>
  <c r="C18926" i="1"/>
  <c r="C2043" i="1"/>
  <c r="C2044" i="1"/>
  <c r="C2045" i="1"/>
  <c r="C730" i="1"/>
  <c r="C2047" i="1"/>
  <c r="C17671" i="1"/>
  <c r="C2049" i="1"/>
  <c r="C732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17219" i="1"/>
  <c r="C2090" i="1"/>
  <c r="C2091" i="1"/>
  <c r="C18927" i="1"/>
  <c r="C739" i="1"/>
  <c r="C740" i="1"/>
  <c r="C741" i="1"/>
  <c r="C2096" i="1"/>
  <c r="C2097" i="1"/>
  <c r="C2098" i="1"/>
  <c r="C17458" i="1"/>
  <c r="C17685" i="1"/>
  <c r="C744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18928" i="1"/>
  <c r="C2158" i="1"/>
  <c r="C2159" i="1"/>
  <c r="C2160" i="1"/>
  <c r="C2161" i="1"/>
  <c r="C746" i="1"/>
  <c r="C2163" i="1"/>
  <c r="C2164" i="1"/>
  <c r="C2165" i="1"/>
  <c r="C747" i="1"/>
  <c r="C2167" i="1"/>
  <c r="C2168" i="1"/>
  <c r="C2169" i="1"/>
  <c r="C2170" i="1"/>
  <c r="C2171" i="1"/>
  <c r="C2172" i="1"/>
  <c r="C2173" i="1"/>
  <c r="C18929" i="1"/>
  <c r="C753" i="1"/>
  <c r="C2176" i="1"/>
  <c r="C2177" i="1"/>
  <c r="C18930" i="1"/>
  <c r="C2179" i="1"/>
  <c r="C2180" i="1"/>
  <c r="C755" i="1"/>
  <c r="C2182" i="1"/>
  <c r="C2183" i="1"/>
  <c r="C2184" i="1"/>
  <c r="C18303" i="1"/>
  <c r="C756" i="1"/>
  <c r="C761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18931" i="1"/>
  <c r="C18932" i="1"/>
  <c r="C2206" i="1"/>
  <c r="C18933" i="1"/>
  <c r="C18934" i="1"/>
  <c r="C18935" i="1"/>
  <c r="C2210" i="1"/>
  <c r="C764" i="1"/>
  <c r="C2212" i="1"/>
  <c r="C766" i="1"/>
  <c r="C2214" i="1"/>
  <c r="C2215" i="1"/>
  <c r="C2216" i="1"/>
  <c r="C2217" i="1"/>
  <c r="C2218" i="1"/>
  <c r="C2219" i="1"/>
  <c r="C18936" i="1"/>
  <c r="C2221" i="1"/>
  <c r="C2222" i="1"/>
  <c r="C2223" i="1"/>
  <c r="C2224" i="1"/>
  <c r="C2225" i="1"/>
  <c r="C18937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767" i="1"/>
  <c r="C769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18938" i="1"/>
  <c r="C2294" i="1"/>
  <c r="C785" i="1"/>
  <c r="C841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17712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842" i="1"/>
  <c r="C2328" i="1"/>
  <c r="C2329" i="1"/>
  <c r="C2330" i="1"/>
  <c r="C2331" i="1"/>
  <c r="C2332" i="1"/>
  <c r="C17459" i="1"/>
  <c r="C2334" i="1"/>
  <c r="C2335" i="1"/>
  <c r="C2336" i="1"/>
  <c r="C2337" i="1"/>
  <c r="C843" i="1"/>
  <c r="C844" i="1"/>
  <c r="C845" i="1"/>
  <c r="C847" i="1"/>
  <c r="C2342" i="1"/>
  <c r="C2343" i="1"/>
  <c r="C2344" i="1"/>
  <c r="C2345" i="1"/>
  <c r="C2346" i="1"/>
  <c r="C18939" i="1"/>
  <c r="C2348" i="1"/>
  <c r="C2349" i="1"/>
  <c r="C2350" i="1"/>
  <c r="C2351" i="1"/>
  <c r="C2352" i="1"/>
  <c r="C2353" i="1"/>
  <c r="C2354" i="1"/>
  <c r="C2355" i="1"/>
  <c r="C2356" i="1"/>
  <c r="C18940" i="1"/>
  <c r="C2358" i="1"/>
  <c r="C848" i="1"/>
  <c r="C2360" i="1"/>
  <c r="C2361" i="1"/>
  <c r="C17220" i="1"/>
  <c r="C849" i="1"/>
  <c r="C851" i="1"/>
  <c r="C2365" i="1"/>
  <c r="C853" i="1"/>
  <c r="C860" i="1"/>
  <c r="C861" i="1"/>
  <c r="C862" i="1"/>
  <c r="C866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868" i="1"/>
  <c r="C2419" i="1"/>
  <c r="C2420" i="1"/>
  <c r="C2421" i="1"/>
  <c r="C17460" i="1"/>
  <c r="C2423" i="1"/>
  <c r="C2424" i="1"/>
  <c r="C2425" i="1"/>
  <c r="C2426" i="1"/>
  <c r="C2427" i="1"/>
  <c r="C2428" i="1"/>
  <c r="C2429" i="1"/>
  <c r="C2430" i="1"/>
  <c r="C869" i="1"/>
  <c r="C871" i="1"/>
  <c r="C911" i="1"/>
  <c r="C914" i="1"/>
  <c r="C2435" i="1"/>
  <c r="C18942" i="1"/>
  <c r="C968" i="1"/>
  <c r="C2438" i="1"/>
  <c r="C18943" i="1"/>
  <c r="C2440" i="1"/>
  <c r="C2441" i="1"/>
  <c r="C2442" i="1"/>
  <c r="C18944" i="1"/>
  <c r="C2444" i="1"/>
  <c r="C2445" i="1"/>
  <c r="C2446" i="1"/>
  <c r="C18945" i="1"/>
  <c r="C2448" i="1"/>
  <c r="C18946" i="1"/>
  <c r="C18947" i="1"/>
  <c r="T18947" i="1"/>
  <c r="C18948" i="1"/>
  <c r="C18949" i="1"/>
  <c r="C18950" i="1"/>
  <c r="C18951" i="1"/>
  <c r="C18952" i="1"/>
  <c r="C969" i="1"/>
  <c r="C970" i="1"/>
  <c r="C971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972" i="1"/>
  <c r="C973" i="1"/>
  <c r="C2506" i="1"/>
  <c r="C975" i="1"/>
  <c r="C977" i="1"/>
  <c r="C978" i="1"/>
  <c r="C979" i="1"/>
  <c r="C2511" i="1"/>
  <c r="C2512" i="1"/>
  <c r="C18953" i="1"/>
  <c r="C18954" i="1"/>
  <c r="C2515" i="1"/>
  <c r="C980" i="1"/>
  <c r="C18955" i="1"/>
  <c r="C2518" i="1"/>
  <c r="C18956" i="1"/>
  <c r="C981" i="1"/>
  <c r="C982" i="1"/>
  <c r="C983" i="1"/>
  <c r="C987" i="1"/>
  <c r="C1000" i="1"/>
  <c r="C2525" i="1"/>
  <c r="C2526" i="1"/>
  <c r="C1001" i="1"/>
  <c r="C18957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1071" i="1"/>
  <c r="C1078" i="1"/>
  <c r="C2581" i="1"/>
  <c r="C2582" i="1"/>
  <c r="C2583" i="1"/>
  <c r="C2584" i="1"/>
  <c r="C2585" i="1"/>
  <c r="C2586" i="1"/>
  <c r="C1089" i="1"/>
  <c r="C2588" i="1"/>
  <c r="C2589" i="1"/>
  <c r="C2590" i="1"/>
  <c r="C1090" i="1"/>
  <c r="C18958" i="1"/>
  <c r="C1095" i="1"/>
  <c r="C2594" i="1"/>
  <c r="C2595" i="1"/>
  <c r="C18959" i="1"/>
  <c r="C18960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1097" i="1"/>
  <c r="C2614" i="1"/>
  <c r="C2615" i="1"/>
  <c r="C2616" i="1"/>
  <c r="C2617" i="1"/>
  <c r="C2618" i="1"/>
  <c r="C18961" i="1"/>
  <c r="C18962" i="1"/>
  <c r="C2621" i="1"/>
  <c r="C2622" i="1"/>
  <c r="C18963" i="1"/>
  <c r="C1098" i="1"/>
  <c r="C2625" i="1"/>
  <c r="C17221" i="1"/>
  <c r="C2627" i="1"/>
  <c r="C1104" i="1"/>
  <c r="C2629" i="1"/>
  <c r="C2630" i="1"/>
  <c r="C2631" i="1"/>
  <c r="C2632" i="1"/>
  <c r="C18964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1108" i="1"/>
  <c r="C18965" i="1"/>
  <c r="C1109" i="1"/>
  <c r="C2671" i="1"/>
  <c r="C1116" i="1"/>
  <c r="C1134" i="1"/>
  <c r="C2674" i="1"/>
  <c r="C1138" i="1"/>
  <c r="C18966" i="1"/>
  <c r="C1140" i="1"/>
  <c r="C2678" i="1"/>
  <c r="C2679" i="1"/>
  <c r="C18967" i="1"/>
  <c r="C18968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1143" i="1"/>
  <c r="C2716" i="1"/>
  <c r="C2717" i="1"/>
  <c r="C1144" i="1"/>
  <c r="C1146" i="1"/>
  <c r="C2720" i="1"/>
  <c r="C2721" i="1"/>
  <c r="C2722" i="1"/>
  <c r="C2723" i="1"/>
  <c r="C1148" i="1"/>
  <c r="C18969" i="1"/>
  <c r="C1152" i="1"/>
  <c r="C1153" i="1"/>
  <c r="C1154" i="1"/>
  <c r="C1155" i="1"/>
  <c r="C1199" i="1"/>
  <c r="C1200" i="1"/>
  <c r="C1202" i="1"/>
  <c r="C1203" i="1"/>
  <c r="C1204" i="1"/>
  <c r="C1206" i="1"/>
  <c r="C1208" i="1"/>
  <c r="C1224" i="1"/>
  <c r="C1246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1247" i="1"/>
  <c r="C17222" i="1"/>
  <c r="C1248" i="1"/>
  <c r="C18970" i="1"/>
  <c r="C2756" i="1"/>
  <c r="C18971" i="1"/>
  <c r="C2758" i="1"/>
  <c r="C2759" i="1"/>
  <c r="C2760" i="1"/>
  <c r="C2761" i="1"/>
  <c r="C18972" i="1"/>
  <c r="C2763" i="1"/>
  <c r="C2764" i="1"/>
  <c r="C2765" i="1"/>
  <c r="C2766" i="1"/>
  <c r="C2767" i="1"/>
  <c r="C18973" i="1"/>
  <c r="C18974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1251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1254" i="1"/>
  <c r="C18975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18976" i="1"/>
  <c r="C18977" i="1"/>
  <c r="C2924" i="1"/>
  <c r="C2925" i="1"/>
  <c r="C2926" i="1"/>
  <c r="C2927" i="1"/>
  <c r="C2928" i="1"/>
  <c r="C2929" i="1"/>
  <c r="C18978" i="1"/>
  <c r="C1255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1257" i="1"/>
  <c r="C2998" i="1"/>
  <c r="C2999" i="1"/>
  <c r="C3000" i="1"/>
  <c r="C3001" i="1"/>
  <c r="C3002" i="1"/>
  <c r="C3003" i="1"/>
  <c r="C18980" i="1"/>
  <c r="C3005" i="1"/>
  <c r="C18981" i="1"/>
  <c r="C3007" i="1"/>
  <c r="C1258" i="1"/>
  <c r="C3009" i="1"/>
  <c r="C18982" i="1"/>
  <c r="C18983" i="1"/>
  <c r="C3012" i="1"/>
  <c r="C18985" i="1"/>
  <c r="C3014" i="1"/>
  <c r="C3015" i="1"/>
  <c r="C3016" i="1"/>
  <c r="C3017" i="1"/>
  <c r="C1259" i="1"/>
  <c r="C1262" i="1"/>
  <c r="C18986" i="1"/>
  <c r="C18988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18199" i="1"/>
  <c r="C1265" i="1"/>
  <c r="C3050" i="1"/>
  <c r="C3051" i="1"/>
  <c r="C3052" i="1"/>
  <c r="C3053" i="1"/>
  <c r="C3054" i="1"/>
  <c r="C3055" i="1"/>
  <c r="C3056" i="1"/>
  <c r="C1266" i="1"/>
  <c r="C3058" i="1"/>
  <c r="C3059" i="1"/>
  <c r="C3060" i="1"/>
  <c r="C3061" i="1"/>
  <c r="C3062" i="1"/>
  <c r="C17518" i="1"/>
  <c r="C3064" i="1"/>
  <c r="C3065" i="1"/>
  <c r="C3066" i="1"/>
  <c r="C1270" i="1"/>
  <c r="C3068" i="1"/>
  <c r="C18989" i="1"/>
  <c r="C3070" i="1"/>
  <c r="C18990" i="1"/>
  <c r="C1271" i="1"/>
  <c r="C18991" i="1"/>
  <c r="C18992" i="1"/>
  <c r="C3075" i="1"/>
  <c r="C3076" i="1"/>
  <c r="C3077" i="1"/>
  <c r="C18993" i="1"/>
  <c r="C1282" i="1"/>
  <c r="C3080" i="1"/>
  <c r="C18994" i="1"/>
  <c r="C3082" i="1"/>
  <c r="C3083" i="1"/>
  <c r="C3084" i="1"/>
  <c r="C18995" i="1"/>
  <c r="C1283" i="1"/>
  <c r="C1284" i="1"/>
  <c r="C1316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17404" i="1"/>
  <c r="C18304" i="1"/>
  <c r="C1318" i="1"/>
  <c r="C3115" i="1"/>
  <c r="C3116" i="1"/>
  <c r="C3117" i="1"/>
  <c r="C3118" i="1"/>
  <c r="C1321" i="1"/>
  <c r="C1345" i="1"/>
  <c r="C18996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18997" i="1"/>
  <c r="C3146" i="1"/>
  <c r="C3147" i="1"/>
  <c r="C3148" i="1"/>
  <c r="C18998" i="1"/>
  <c r="C3150" i="1"/>
  <c r="C3151" i="1"/>
  <c r="C18999" i="1"/>
  <c r="C3153" i="1"/>
  <c r="C18200" i="1"/>
  <c r="C1346" i="1"/>
  <c r="C3156" i="1"/>
  <c r="C134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18201" i="1"/>
  <c r="C3173" i="1"/>
  <c r="C19000" i="1"/>
  <c r="C19001" i="1"/>
  <c r="C17681" i="1"/>
  <c r="C3177" i="1"/>
  <c r="C3178" i="1"/>
  <c r="C17461" i="1"/>
  <c r="C19002" i="1"/>
  <c r="C19003" i="1"/>
  <c r="C19004" i="1"/>
  <c r="C3183" i="1"/>
  <c r="C17639" i="1"/>
  <c r="C1348" i="1"/>
  <c r="C3186" i="1"/>
  <c r="C19005" i="1"/>
  <c r="C3188" i="1"/>
  <c r="C19006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19007" i="1"/>
  <c r="C3211" i="1"/>
  <c r="C3212" i="1"/>
  <c r="C3213" i="1"/>
  <c r="C3214" i="1"/>
  <c r="C3215" i="1"/>
  <c r="C3216" i="1"/>
  <c r="C3217" i="1"/>
  <c r="C1351" i="1"/>
  <c r="C3219" i="1"/>
  <c r="C3220" i="1"/>
  <c r="C3221" i="1"/>
  <c r="C3222" i="1"/>
  <c r="C3223" i="1"/>
  <c r="C3224" i="1"/>
  <c r="C1355" i="1"/>
  <c r="C3226" i="1"/>
  <c r="C3227" i="1"/>
  <c r="C19008" i="1"/>
  <c r="C17223" i="1"/>
  <c r="C17224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1356" i="1"/>
  <c r="C3252" i="1"/>
  <c r="C3253" i="1"/>
  <c r="C3254" i="1"/>
  <c r="C3255" i="1"/>
  <c r="C3256" i="1"/>
  <c r="C3257" i="1"/>
  <c r="C19009" i="1"/>
  <c r="C3259" i="1"/>
  <c r="C18132" i="1"/>
  <c r="C1357" i="1"/>
  <c r="C3262" i="1"/>
  <c r="C3263" i="1"/>
  <c r="C3264" i="1"/>
  <c r="C1450" i="1"/>
  <c r="C1451" i="1"/>
  <c r="C1452" i="1"/>
  <c r="C3268" i="1"/>
  <c r="C3269" i="1"/>
  <c r="C3270" i="1"/>
  <c r="C1455" i="1"/>
  <c r="C19010" i="1"/>
  <c r="C1459" i="1"/>
  <c r="C3274" i="1"/>
  <c r="C3275" i="1"/>
  <c r="C1461" i="1"/>
  <c r="C19012" i="1"/>
  <c r="C3278" i="1"/>
  <c r="C1464" i="1"/>
  <c r="C17462" i="1"/>
  <c r="C18267" i="1"/>
  <c r="C17463" i="1"/>
  <c r="C1465" i="1"/>
  <c r="C19217" i="1"/>
  <c r="C3285" i="1"/>
  <c r="C3286" i="1"/>
  <c r="C17225" i="1"/>
  <c r="C1466" i="1"/>
  <c r="C3289" i="1"/>
  <c r="C19218" i="1"/>
  <c r="C3291" i="1"/>
  <c r="C3292" i="1"/>
  <c r="C3293" i="1"/>
  <c r="C3294" i="1"/>
  <c r="C19219" i="1"/>
  <c r="C19220" i="1"/>
  <c r="C19221" i="1"/>
  <c r="C19222" i="1"/>
  <c r="C3299" i="1"/>
  <c r="C3300" i="1"/>
  <c r="C3301" i="1"/>
  <c r="C3302" i="1"/>
  <c r="C17226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19223" i="1"/>
  <c r="C19224" i="1"/>
  <c r="C3403" i="1"/>
  <c r="C3404" i="1"/>
  <c r="C3405" i="1"/>
  <c r="C3406" i="1"/>
  <c r="C3407" i="1"/>
  <c r="C19225" i="1"/>
  <c r="C19226" i="1"/>
  <c r="C3410" i="1"/>
  <c r="C3411" i="1"/>
  <c r="C3412" i="1"/>
  <c r="C19227" i="1"/>
  <c r="C19228" i="1"/>
  <c r="C19230" i="1"/>
  <c r="C19231" i="1"/>
  <c r="C19232" i="1"/>
  <c r="C19233" i="1"/>
  <c r="C3419" i="1"/>
  <c r="C17672" i="1"/>
  <c r="C19235" i="1"/>
  <c r="T19235" i="1"/>
  <c r="C3422" i="1"/>
  <c r="C3423" i="1"/>
  <c r="C19236" i="1"/>
  <c r="C19238" i="1"/>
  <c r="C3426" i="1"/>
  <c r="C3427" i="1"/>
  <c r="C19239" i="1"/>
  <c r="C1468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1470" i="1"/>
  <c r="C3460" i="1"/>
  <c r="C1471" i="1"/>
  <c r="C19240" i="1"/>
  <c r="C3463" i="1"/>
  <c r="C19241" i="1"/>
  <c r="C19242" i="1"/>
  <c r="C19243" i="1"/>
  <c r="C19244" i="1"/>
  <c r="C19245" i="1"/>
  <c r="C19247" i="1"/>
  <c r="C19248" i="1"/>
  <c r="C19249" i="1"/>
  <c r="C19250" i="1"/>
  <c r="C19251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6" i="1"/>
  <c r="C19267" i="1"/>
  <c r="C19268" i="1"/>
  <c r="C19269" i="1"/>
  <c r="C19271" i="1"/>
  <c r="C19272" i="1"/>
  <c r="C19273" i="1"/>
  <c r="C19274" i="1"/>
  <c r="C19275" i="1"/>
  <c r="C19276" i="1"/>
  <c r="C19364" i="1"/>
  <c r="C19365" i="1"/>
  <c r="C3497" i="1"/>
  <c r="C19366" i="1"/>
  <c r="C19367" i="1"/>
  <c r="C3500" i="1"/>
  <c r="C3501" i="1"/>
  <c r="C3502" i="1"/>
  <c r="C19368" i="1"/>
  <c r="C19369" i="1"/>
  <c r="C19370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19371" i="1"/>
  <c r="C3588" i="1"/>
  <c r="C1473" i="1"/>
  <c r="C3590" i="1"/>
  <c r="C3591" i="1"/>
  <c r="C3592" i="1"/>
  <c r="C1477" i="1"/>
  <c r="C3594" i="1"/>
  <c r="C19372" i="1"/>
  <c r="C19373" i="1"/>
  <c r="C3597" i="1"/>
  <c r="C1479" i="1"/>
  <c r="C3599" i="1"/>
  <c r="C3600" i="1"/>
  <c r="C3601" i="1"/>
  <c r="C19374" i="1"/>
  <c r="C19375" i="1"/>
  <c r="C19376" i="1"/>
  <c r="C3605" i="1"/>
  <c r="C19377" i="1"/>
  <c r="C19378" i="1"/>
  <c r="C19379" i="1"/>
  <c r="C19380" i="1"/>
  <c r="C19382" i="1"/>
  <c r="C1480" i="1"/>
  <c r="C3612" i="1"/>
  <c r="C3613" i="1"/>
  <c r="C3614" i="1"/>
  <c r="C3615" i="1"/>
  <c r="C3616" i="1"/>
  <c r="C19383" i="1"/>
  <c r="C3618" i="1"/>
  <c r="C17227" i="1"/>
  <c r="C3620" i="1"/>
  <c r="C3621" i="1"/>
  <c r="C3622" i="1"/>
  <c r="C3623" i="1"/>
  <c r="C3624" i="1"/>
  <c r="C3625" i="1"/>
  <c r="C3626" i="1"/>
  <c r="C3627" i="1"/>
  <c r="C1481" i="1"/>
  <c r="C1483" i="1"/>
  <c r="C17534" i="1"/>
  <c r="C1488" i="1"/>
  <c r="C19384" i="1"/>
  <c r="C3633" i="1"/>
  <c r="C19385" i="1"/>
  <c r="C1489" i="1"/>
  <c r="C17464" i="1"/>
  <c r="C1501" i="1"/>
  <c r="C18290" i="1"/>
  <c r="C19386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18203" i="1"/>
  <c r="C3658" i="1"/>
  <c r="C1502" i="1"/>
  <c r="C3660" i="1"/>
  <c r="C1504" i="1"/>
  <c r="C3662" i="1"/>
  <c r="C3663" i="1"/>
  <c r="C1509" i="1"/>
  <c r="C3665" i="1"/>
  <c r="C3666" i="1"/>
  <c r="C3667" i="1"/>
  <c r="C3668" i="1"/>
  <c r="C1511" i="1"/>
  <c r="C3670" i="1"/>
  <c r="C3671" i="1"/>
  <c r="C19389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19390" i="1"/>
  <c r="C1512" i="1"/>
  <c r="C3698" i="1"/>
  <c r="C3699" i="1"/>
  <c r="C3700" i="1"/>
  <c r="C17713" i="1"/>
  <c r="C19391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1513" i="1"/>
  <c r="C1516" i="1"/>
  <c r="C3805" i="1"/>
  <c r="C1519" i="1"/>
  <c r="C3807" i="1"/>
  <c r="C3808" i="1"/>
  <c r="C3809" i="1"/>
  <c r="C17228" i="1"/>
  <c r="C19392" i="1"/>
  <c r="C3812" i="1"/>
  <c r="C3813" i="1"/>
  <c r="C3814" i="1"/>
  <c r="C3815" i="1"/>
  <c r="C19393" i="1"/>
  <c r="C3817" i="1"/>
  <c r="C3818" i="1"/>
  <c r="C3819" i="1"/>
  <c r="C19394" i="1"/>
  <c r="C1520" i="1"/>
  <c r="C1530" i="1"/>
  <c r="C1556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19395" i="1"/>
  <c r="C19396" i="1"/>
  <c r="C1557" i="1"/>
  <c r="C1562" i="1"/>
  <c r="C1563" i="1"/>
  <c r="C1564" i="1"/>
  <c r="C3843" i="1"/>
  <c r="C3844" i="1"/>
  <c r="C19397" i="1"/>
  <c r="C3846" i="1"/>
  <c r="C3847" i="1"/>
  <c r="C3848" i="1"/>
  <c r="C3849" i="1"/>
  <c r="C3850" i="1"/>
  <c r="C3851" i="1"/>
  <c r="C3852" i="1"/>
  <c r="C3853" i="1"/>
  <c r="C3854" i="1"/>
  <c r="C3855" i="1"/>
  <c r="C3856" i="1"/>
  <c r="C19398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19399" i="1"/>
  <c r="C3917" i="1"/>
  <c r="C19401" i="1"/>
  <c r="C1566" i="1"/>
  <c r="C19402" i="1"/>
  <c r="C1568" i="1"/>
  <c r="C3922" i="1"/>
  <c r="C19404" i="1"/>
  <c r="C1570" i="1"/>
  <c r="C1571" i="1"/>
  <c r="C3926" i="1"/>
  <c r="C1572" i="1"/>
  <c r="C3928" i="1"/>
  <c r="C3929" i="1"/>
  <c r="C1573" i="1"/>
  <c r="C3931" i="1"/>
  <c r="C3932" i="1"/>
  <c r="C3933" i="1"/>
  <c r="C3934" i="1"/>
  <c r="C3935" i="1"/>
  <c r="C18254" i="1"/>
  <c r="C1574" i="1"/>
  <c r="C3938" i="1"/>
  <c r="C19405" i="1"/>
  <c r="C19406" i="1"/>
  <c r="C1575" i="1"/>
  <c r="C19408" i="1"/>
  <c r="C1576" i="1"/>
  <c r="C3944" i="1"/>
  <c r="C3945" i="1"/>
  <c r="C19409" i="1"/>
  <c r="C3947" i="1"/>
  <c r="C1577" i="1"/>
  <c r="C3949" i="1"/>
  <c r="C3950" i="1"/>
  <c r="C19410" i="1"/>
  <c r="C19411" i="1"/>
  <c r="C1578" i="1"/>
  <c r="C3954" i="1"/>
  <c r="C3955" i="1"/>
  <c r="C1579" i="1"/>
  <c r="C1580" i="1"/>
  <c r="C1582" i="1"/>
  <c r="C19412" i="1"/>
  <c r="C3960" i="1"/>
  <c r="C3961" i="1"/>
  <c r="C19413" i="1"/>
  <c r="C158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19414" i="1"/>
  <c r="C17640" i="1"/>
  <c r="C19415" i="1"/>
  <c r="C19417" i="1"/>
  <c r="C19418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1584" i="1"/>
  <c r="C4014" i="1"/>
  <c r="C4015" i="1"/>
  <c r="C19419" i="1"/>
  <c r="C19420" i="1"/>
  <c r="C19421" i="1"/>
  <c r="C18280" i="1"/>
  <c r="C1585" i="1"/>
  <c r="C4021" i="1"/>
  <c r="C4022" i="1"/>
  <c r="C1586" i="1"/>
  <c r="C17229" i="1"/>
  <c r="C4025" i="1"/>
  <c r="C4026" i="1"/>
  <c r="C4027" i="1"/>
  <c r="C4028" i="1"/>
  <c r="C4029" i="1"/>
  <c r="C4030" i="1"/>
  <c r="C4031" i="1"/>
  <c r="C1592" i="1"/>
  <c r="C4033" i="1"/>
  <c r="C4034" i="1"/>
  <c r="C4035" i="1"/>
  <c r="C4036" i="1"/>
  <c r="C4037" i="1"/>
  <c r="C4038" i="1"/>
  <c r="C4039" i="1"/>
  <c r="C4040" i="1"/>
  <c r="C19422" i="1"/>
  <c r="C4042" i="1"/>
  <c r="C4043" i="1"/>
  <c r="C1599" i="1"/>
  <c r="C4045" i="1"/>
  <c r="C17558" i="1"/>
  <c r="C18182" i="1"/>
  <c r="C18204" i="1"/>
  <c r="C4049" i="1"/>
  <c r="C4050" i="1"/>
  <c r="C1600" i="1"/>
  <c r="C4052" i="1"/>
  <c r="C18297" i="1"/>
  <c r="C1601" i="1"/>
  <c r="C18185" i="1"/>
  <c r="C4056" i="1"/>
  <c r="C4057" i="1"/>
  <c r="C1602" i="1"/>
  <c r="C4059" i="1"/>
  <c r="C4060" i="1"/>
  <c r="C19423" i="1"/>
  <c r="C1604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17714" i="1"/>
  <c r="C8704" i="1"/>
  <c r="C8705" i="1"/>
  <c r="C8706" i="1"/>
  <c r="C8707" i="1"/>
  <c r="C19424" i="1"/>
  <c r="C8709" i="1"/>
  <c r="C8710" i="1"/>
  <c r="C8711" i="1"/>
  <c r="C8712" i="1"/>
  <c r="C8713" i="1"/>
  <c r="C8714" i="1"/>
  <c r="C8715" i="1"/>
  <c r="C8716" i="1"/>
  <c r="C8717" i="1"/>
  <c r="C8718" i="1"/>
  <c r="C19425" i="1"/>
  <c r="C8720" i="1"/>
  <c r="C8721" i="1"/>
  <c r="C8722" i="1"/>
  <c r="C8723" i="1"/>
  <c r="C19426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19427" i="1"/>
  <c r="C1942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19429" i="1"/>
  <c r="C1605" i="1"/>
  <c r="C8755" i="1"/>
  <c r="C8756" i="1"/>
  <c r="C8757" i="1"/>
  <c r="C8758" i="1"/>
  <c r="C8759" i="1"/>
  <c r="C8760" i="1"/>
  <c r="C19430" i="1"/>
  <c r="C19431" i="1"/>
  <c r="C19432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1606" i="1"/>
  <c r="C8782" i="1"/>
  <c r="C8783" i="1"/>
  <c r="C8784" i="1"/>
  <c r="C8785" i="1"/>
  <c r="C8786" i="1"/>
  <c r="C8787" i="1"/>
  <c r="C8788" i="1"/>
  <c r="C8789" i="1"/>
  <c r="C8790" i="1"/>
  <c r="C8791" i="1"/>
  <c r="C19433" i="1"/>
  <c r="C8793" i="1"/>
  <c r="C8794" i="1"/>
  <c r="C8795" i="1"/>
  <c r="C8796" i="1"/>
  <c r="C19434" i="1"/>
  <c r="C19435" i="1"/>
  <c r="C17637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19436" i="1"/>
  <c r="C19437" i="1"/>
  <c r="C8822" i="1"/>
  <c r="C8823" i="1"/>
  <c r="C8824" i="1"/>
  <c r="C8825" i="1"/>
  <c r="C19438" i="1"/>
  <c r="C19439" i="1"/>
  <c r="C19440" i="1"/>
  <c r="C8829" i="1"/>
  <c r="C1610" i="1"/>
  <c r="C8831" i="1"/>
  <c r="C8832" i="1"/>
  <c r="C8833" i="1"/>
  <c r="C19441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19442" i="1"/>
  <c r="C8868" i="1"/>
  <c r="C19443" i="1"/>
  <c r="C19444" i="1"/>
  <c r="C8871" i="1"/>
  <c r="C18307" i="1"/>
  <c r="C1611" i="1"/>
  <c r="C8874" i="1"/>
  <c r="C17519" i="1"/>
  <c r="C8876" i="1"/>
  <c r="C8877" i="1"/>
  <c r="C8878" i="1"/>
  <c r="C1637" i="1"/>
  <c r="C1638" i="1"/>
  <c r="C8881" i="1"/>
  <c r="C1639" i="1"/>
  <c r="C1656" i="1"/>
  <c r="C1658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1663" i="1"/>
  <c r="C8934" i="1"/>
  <c r="C8935" i="1"/>
  <c r="C8936" i="1"/>
  <c r="C1684" i="1"/>
  <c r="C8938" i="1"/>
  <c r="C1685" i="1"/>
  <c r="C8940" i="1"/>
  <c r="C8941" i="1"/>
  <c r="C8942" i="1"/>
  <c r="C8943" i="1"/>
  <c r="C8944" i="1"/>
  <c r="C8945" i="1"/>
  <c r="C8946" i="1"/>
  <c r="C1693" i="1"/>
  <c r="C8948" i="1"/>
  <c r="C8949" i="1"/>
  <c r="C8950" i="1"/>
  <c r="C19445" i="1"/>
  <c r="C19446" i="1"/>
  <c r="C8953" i="1"/>
  <c r="C8954" i="1"/>
  <c r="C1696" i="1"/>
  <c r="C8956" i="1"/>
  <c r="C19447" i="1"/>
  <c r="C1697" i="1"/>
  <c r="C1700" i="1"/>
  <c r="C1701" i="1"/>
  <c r="C1702" i="1"/>
  <c r="C8962" i="1"/>
  <c r="C1703" i="1"/>
  <c r="C17230" i="1"/>
  <c r="C19448" i="1"/>
  <c r="C19449" i="1"/>
  <c r="C8967" i="1"/>
  <c r="C8968" i="1"/>
  <c r="C19450" i="1"/>
  <c r="C19451" i="1"/>
  <c r="C8971" i="1"/>
  <c r="C19452" i="1"/>
  <c r="C19454" i="1"/>
  <c r="C19455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1704" i="1"/>
  <c r="C8994" i="1"/>
  <c r="C8995" i="1"/>
  <c r="C8996" i="1"/>
  <c r="C17231" i="1"/>
  <c r="C8998" i="1"/>
  <c r="C8999" i="1"/>
  <c r="C19456" i="1"/>
  <c r="C9001" i="1"/>
  <c r="C18205" i="1"/>
  <c r="C9003" i="1"/>
  <c r="C9004" i="1"/>
  <c r="C19457" i="1"/>
  <c r="C9006" i="1"/>
  <c r="C1705" i="1"/>
  <c r="C9008" i="1"/>
  <c r="C17641" i="1"/>
  <c r="C9010" i="1"/>
  <c r="C9011" i="1"/>
  <c r="C17465" i="1"/>
  <c r="C19458" i="1"/>
  <c r="C1709" i="1"/>
  <c r="C9015" i="1"/>
  <c r="C1711" i="1"/>
  <c r="C1714" i="1"/>
  <c r="C9018" i="1"/>
  <c r="C9019" i="1"/>
  <c r="C9020" i="1"/>
  <c r="C9021" i="1"/>
  <c r="C9022" i="1"/>
  <c r="C9023" i="1"/>
  <c r="C9024" i="1"/>
  <c r="C9025" i="1"/>
  <c r="C1715" i="1"/>
  <c r="C9027" i="1"/>
  <c r="C19460" i="1"/>
  <c r="C19461" i="1"/>
  <c r="C9030" i="1"/>
  <c r="C19462" i="1"/>
  <c r="C9032" i="1"/>
  <c r="C9033" i="1"/>
  <c r="C19463" i="1"/>
  <c r="C9035" i="1"/>
  <c r="C19464" i="1"/>
  <c r="C9037" i="1"/>
  <c r="C9038" i="1"/>
  <c r="C9039" i="1"/>
  <c r="C19465" i="1"/>
  <c r="C9041" i="1"/>
  <c r="C9042" i="1"/>
  <c r="C9043" i="1"/>
  <c r="C19466" i="1"/>
  <c r="C1716" i="1"/>
  <c r="C9046" i="1"/>
  <c r="C1717" i="1"/>
  <c r="C17466" i="1"/>
  <c r="C1718" i="1"/>
  <c r="C9050" i="1"/>
  <c r="C1734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17232" i="1"/>
  <c r="C9078" i="1"/>
  <c r="C9079" i="1"/>
  <c r="C9080" i="1"/>
  <c r="C19467" i="1"/>
  <c r="C17560" i="1"/>
  <c r="C1735" i="1"/>
  <c r="C1736" i="1"/>
  <c r="C9085" i="1"/>
  <c r="C19468" i="1"/>
  <c r="C9087" i="1"/>
  <c r="C9088" i="1"/>
  <c r="C19469" i="1"/>
  <c r="C9090" i="1"/>
  <c r="C9091" i="1"/>
  <c r="C9092" i="1"/>
  <c r="C17715" i="1"/>
  <c r="C9094" i="1"/>
  <c r="C176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1738" i="1"/>
  <c r="C19470" i="1"/>
  <c r="C1742" i="1"/>
  <c r="C9142" i="1"/>
  <c r="C9143" i="1"/>
  <c r="C9144" i="1"/>
  <c r="C9145" i="1"/>
  <c r="C9146" i="1"/>
  <c r="C9147" i="1"/>
  <c r="C9148" i="1"/>
  <c r="C9149" i="1"/>
  <c r="C19471" i="1"/>
  <c r="C9151" i="1"/>
  <c r="C19472" i="1"/>
  <c r="C1755" i="1"/>
  <c r="C9154" i="1"/>
  <c r="C17467" i="1"/>
  <c r="C9156" i="1"/>
  <c r="C1759" i="1"/>
  <c r="C1760" i="1"/>
  <c r="C9159" i="1"/>
  <c r="C9160" i="1"/>
  <c r="C1762" i="1"/>
  <c r="C1765" i="1"/>
  <c r="C19473" i="1"/>
  <c r="C19474" i="1"/>
  <c r="C17233" i="1"/>
  <c r="C19475" i="1"/>
  <c r="C19476" i="1"/>
  <c r="C19477" i="1"/>
  <c r="C9169" i="1"/>
  <c r="C9170" i="1"/>
  <c r="C9171" i="1"/>
  <c r="C19478" i="1"/>
  <c r="C9173" i="1"/>
  <c r="C19479" i="1"/>
  <c r="C19481" i="1"/>
  <c r="C17687" i="1"/>
  <c r="C19482" i="1"/>
  <c r="C9178" i="1"/>
  <c r="C9179" i="1"/>
  <c r="C9180" i="1"/>
  <c r="C9181" i="1"/>
  <c r="C19483" i="1"/>
  <c r="C19484" i="1"/>
  <c r="C9184" i="1"/>
  <c r="C19485" i="1"/>
  <c r="C9186" i="1"/>
  <c r="C19486" i="1"/>
  <c r="C19487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1767" i="1"/>
  <c r="C19488" i="1"/>
  <c r="C19489" i="1"/>
  <c r="C9209" i="1"/>
  <c r="C9210" i="1"/>
  <c r="C9211" i="1"/>
  <c r="C9212" i="1"/>
  <c r="C9213" i="1"/>
  <c r="C9214" i="1"/>
  <c r="C9215" i="1"/>
  <c r="C1770" i="1"/>
  <c r="C9217" i="1"/>
  <c r="C19490" i="1"/>
  <c r="C19491" i="1"/>
  <c r="C19492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19493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1810" i="1"/>
  <c r="C1811" i="1"/>
  <c r="C1813" i="1"/>
  <c r="C9301" i="1"/>
  <c r="C1814" i="1"/>
  <c r="C1817" i="1"/>
  <c r="C9304" i="1"/>
  <c r="C1823" i="1"/>
  <c r="C1825" i="1"/>
  <c r="C1827" i="1"/>
  <c r="C1829" i="1"/>
  <c r="C1830" i="1"/>
  <c r="C1831" i="1"/>
  <c r="C1832" i="1"/>
  <c r="C1833" i="1"/>
  <c r="C1834" i="1"/>
  <c r="C1835" i="1"/>
  <c r="C1885" i="1"/>
  <c r="C1886" i="1"/>
  <c r="C1899" i="1"/>
  <c r="C1900" i="1"/>
  <c r="C9319" i="1"/>
  <c r="C9320" i="1"/>
  <c r="C9321" i="1"/>
  <c r="C9322" i="1"/>
  <c r="C9323" i="1"/>
  <c r="C9324" i="1"/>
  <c r="C9325" i="1"/>
  <c r="C9326" i="1"/>
  <c r="C17741" i="1"/>
  <c r="C19494" i="1"/>
  <c r="C18207" i="1"/>
  <c r="C18311" i="1"/>
  <c r="C1901" i="1"/>
  <c r="C19495" i="1"/>
  <c r="C19496" i="1"/>
  <c r="C9334" i="1"/>
  <c r="C19497" i="1"/>
  <c r="C17642" i="1"/>
  <c r="C9337" i="1"/>
  <c r="C18312" i="1"/>
  <c r="C9339" i="1"/>
  <c r="C9340" i="1"/>
  <c r="C9341" i="1"/>
  <c r="C9342" i="1"/>
  <c r="C9343" i="1"/>
  <c r="C1918" i="1"/>
  <c r="C9345" i="1"/>
  <c r="C19498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1921" i="1"/>
  <c r="C9363" i="1"/>
  <c r="C19499" i="1"/>
  <c r="C19500" i="1"/>
  <c r="C9366" i="1"/>
  <c r="C1922" i="1"/>
  <c r="C19501" i="1"/>
  <c r="C9369" i="1"/>
  <c r="C1923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19502" i="1"/>
  <c r="C1924" i="1"/>
  <c r="C9458" i="1"/>
  <c r="C9459" i="1"/>
  <c r="C18313" i="1"/>
  <c r="C9461" i="1"/>
  <c r="C9462" i="1"/>
  <c r="C9463" i="1"/>
  <c r="C19503" i="1"/>
  <c r="C9465" i="1"/>
  <c r="C9466" i="1"/>
  <c r="C9467" i="1"/>
  <c r="C19506" i="1"/>
  <c r="C9469" i="1"/>
  <c r="C1926" i="1"/>
  <c r="C1927" i="1"/>
  <c r="C9472" i="1"/>
  <c r="C9473" i="1"/>
  <c r="C1938" i="1"/>
  <c r="C19507" i="1"/>
  <c r="C17189" i="1"/>
  <c r="C9477" i="1"/>
  <c r="C9478" i="1"/>
  <c r="C9479" i="1"/>
  <c r="C1941" i="1"/>
  <c r="C19508" i="1"/>
  <c r="C9482" i="1"/>
  <c r="C19509" i="1"/>
  <c r="C9484" i="1"/>
  <c r="C1942" i="1"/>
  <c r="C9486" i="1"/>
  <c r="C19510" i="1"/>
  <c r="C9488" i="1"/>
  <c r="C9489" i="1"/>
  <c r="C9490" i="1"/>
  <c r="C1959" i="1"/>
  <c r="C1965" i="1"/>
  <c r="C9493" i="1"/>
  <c r="C19511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19512" i="1"/>
  <c r="C19513" i="1"/>
  <c r="C19514" i="1"/>
  <c r="C1951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967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968" i="1"/>
  <c r="C15408" i="1"/>
  <c r="C1973" i="1"/>
  <c r="C15410" i="1"/>
  <c r="C1978" i="1"/>
  <c r="C19516" i="1"/>
  <c r="C19519" i="1"/>
  <c r="C15414" i="1"/>
  <c r="C15415" i="1"/>
  <c r="C15416" i="1"/>
  <c r="C15417" i="1"/>
  <c r="C18209" i="1"/>
  <c r="C15419" i="1"/>
  <c r="C15420" i="1"/>
  <c r="C19520" i="1"/>
  <c r="C15422" i="1"/>
  <c r="C1979" i="1"/>
  <c r="C15424" i="1"/>
  <c r="C15425" i="1"/>
  <c r="C1981" i="1"/>
  <c r="C1984" i="1"/>
  <c r="C17234" i="1"/>
  <c r="C15429" i="1"/>
  <c r="C15430" i="1"/>
  <c r="C15431" i="1"/>
  <c r="C15432" i="1"/>
  <c r="C15433" i="1"/>
  <c r="C19523" i="1"/>
  <c r="C19524" i="1"/>
  <c r="C15436" i="1"/>
  <c r="C15437" i="1"/>
  <c r="C19525" i="1"/>
  <c r="C15439" i="1"/>
  <c r="C15440" i="1"/>
  <c r="C15441" i="1"/>
  <c r="C19526" i="1"/>
  <c r="C19527" i="1"/>
  <c r="C19528" i="1"/>
  <c r="C15445" i="1"/>
  <c r="C15446" i="1"/>
  <c r="C19530" i="1"/>
  <c r="C19532" i="1"/>
  <c r="C15449" i="1"/>
  <c r="C15450" i="1"/>
  <c r="C15451" i="1"/>
  <c r="C15452" i="1"/>
  <c r="C19533" i="1"/>
  <c r="C15454" i="1"/>
  <c r="C15455" i="1"/>
  <c r="C15456" i="1"/>
  <c r="C15457" i="1"/>
  <c r="C19534" i="1"/>
  <c r="C15459" i="1"/>
  <c r="C2034" i="1"/>
  <c r="C17468" i="1"/>
  <c r="C15462" i="1"/>
  <c r="C15463" i="1"/>
  <c r="C15464" i="1"/>
  <c r="C15465" i="1"/>
  <c r="C19535" i="1"/>
  <c r="C2035" i="1"/>
  <c r="C19536" i="1"/>
  <c r="C15469" i="1"/>
  <c r="C15470" i="1"/>
  <c r="C15471" i="1"/>
  <c r="C15472" i="1"/>
  <c r="C15473" i="1"/>
  <c r="C15474" i="1"/>
  <c r="C15475" i="1"/>
  <c r="C15476" i="1"/>
  <c r="C17643" i="1"/>
  <c r="C17673" i="1"/>
  <c r="C2036" i="1"/>
  <c r="C15480" i="1"/>
  <c r="C15481" i="1"/>
  <c r="C19538" i="1"/>
  <c r="C15483" i="1"/>
  <c r="C15484" i="1"/>
  <c r="C19539" i="1"/>
  <c r="C15486" i="1"/>
  <c r="C15487" i="1"/>
  <c r="C19540" i="1"/>
  <c r="C19541" i="1"/>
  <c r="C15490" i="1"/>
  <c r="C15491" i="1"/>
  <c r="C15492" i="1"/>
  <c r="C19542" i="1"/>
  <c r="C15494" i="1"/>
  <c r="C2037" i="1"/>
  <c r="C15496" i="1"/>
  <c r="C15497" i="1"/>
  <c r="C19545" i="1"/>
  <c r="C15499" i="1"/>
  <c r="C19546" i="1"/>
  <c r="C19547" i="1"/>
  <c r="C15502" i="1"/>
  <c r="C19548" i="1"/>
  <c r="C19551" i="1"/>
  <c r="C19552" i="1"/>
  <c r="C19553" i="1"/>
  <c r="C19554" i="1"/>
  <c r="C15508" i="1"/>
  <c r="C19557" i="1"/>
  <c r="C19558" i="1"/>
  <c r="C19560" i="1"/>
  <c r="C19561" i="1"/>
  <c r="C19562" i="1"/>
  <c r="C19563" i="1"/>
  <c r="C15515" i="1"/>
  <c r="C19564" i="1"/>
  <c r="C15517" i="1"/>
  <c r="C15518" i="1"/>
  <c r="C15519" i="1"/>
  <c r="C19565" i="1"/>
  <c r="C15521" i="1"/>
  <c r="C18314" i="1"/>
  <c r="C2038" i="1"/>
  <c r="C19566" i="1"/>
  <c r="C19567" i="1"/>
  <c r="C19568" i="1"/>
  <c r="C15527" i="1"/>
  <c r="C2039" i="1"/>
  <c r="C19569" i="1"/>
  <c r="C19570" i="1"/>
  <c r="C15531" i="1"/>
  <c r="C15532" i="1"/>
  <c r="C15533" i="1"/>
  <c r="C15534" i="1"/>
  <c r="C15535" i="1"/>
  <c r="C15536" i="1"/>
  <c r="C15537" i="1"/>
  <c r="C15538" i="1"/>
  <c r="C2041" i="1"/>
  <c r="C15540" i="1"/>
  <c r="C2042" i="1"/>
  <c r="C19571" i="1"/>
  <c r="C15543" i="1"/>
  <c r="C15544" i="1"/>
  <c r="C19572" i="1"/>
  <c r="C19573" i="1"/>
  <c r="C15547" i="1"/>
  <c r="C17535" i="1"/>
  <c r="C19574" i="1"/>
  <c r="C19575" i="1"/>
  <c r="C19576" i="1"/>
  <c r="C19577" i="1"/>
  <c r="C2046" i="1"/>
  <c r="C15554" i="1"/>
  <c r="C19578" i="1"/>
  <c r="C15556" i="1"/>
  <c r="C15557" i="1"/>
  <c r="C19579" i="1"/>
  <c r="C15559" i="1"/>
  <c r="C19580" i="1"/>
  <c r="C15561" i="1"/>
  <c r="C15562" i="1"/>
  <c r="C19581" i="1"/>
  <c r="C15564" i="1"/>
  <c r="C15565" i="1"/>
  <c r="C2048" i="1"/>
  <c r="C15567" i="1"/>
  <c r="C15568" i="1"/>
  <c r="C15569" i="1"/>
  <c r="C15570" i="1"/>
  <c r="C15571" i="1"/>
  <c r="C15572" i="1"/>
  <c r="C15573" i="1"/>
  <c r="C15574" i="1"/>
  <c r="C15575" i="1"/>
  <c r="C2050" i="1"/>
  <c r="C17235" i="1"/>
  <c r="C17469" i="1"/>
  <c r="C2089" i="1"/>
  <c r="C15580" i="1"/>
  <c r="C15581" i="1"/>
  <c r="C15582" i="1"/>
  <c r="C19582" i="1"/>
  <c r="C19583" i="1"/>
  <c r="C15585" i="1"/>
  <c r="C19584" i="1"/>
  <c r="C2092" i="1"/>
  <c r="C19585" i="1"/>
  <c r="C19586" i="1"/>
  <c r="C15590" i="1"/>
  <c r="C2093" i="1"/>
  <c r="C15592" i="1"/>
  <c r="C15593" i="1"/>
  <c r="C15594" i="1"/>
  <c r="C15595" i="1"/>
  <c r="C17470" i="1"/>
  <c r="C15597" i="1"/>
  <c r="T15597" i="1"/>
  <c r="C2094" i="1"/>
  <c r="C2095" i="1"/>
  <c r="C17236" i="1"/>
  <c r="C15601" i="1"/>
  <c r="C17237" i="1"/>
  <c r="C15603" i="1"/>
  <c r="C17238" i="1"/>
  <c r="C19587" i="1"/>
  <c r="C2099" i="1"/>
  <c r="C15607" i="1"/>
  <c r="C15608" i="1"/>
  <c r="C19588" i="1"/>
  <c r="C15610" i="1"/>
  <c r="C15611" i="1"/>
  <c r="C15612" i="1"/>
  <c r="C19590" i="1"/>
  <c r="C19591" i="1"/>
  <c r="C15615" i="1"/>
  <c r="C15616" i="1"/>
  <c r="C15617" i="1"/>
  <c r="C15618" i="1"/>
  <c r="C15619" i="1"/>
  <c r="C15620" i="1"/>
  <c r="C15621" i="1"/>
  <c r="C15622" i="1"/>
  <c r="C15623" i="1"/>
  <c r="C15624" i="1"/>
  <c r="C19592" i="1"/>
  <c r="C15626" i="1"/>
  <c r="C19593" i="1"/>
  <c r="C15628" i="1"/>
  <c r="C15629" i="1"/>
  <c r="C15630" i="1"/>
  <c r="C19594" i="1"/>
  <c r="C15632" i="1"/>
  <c r="C19595" i="1"/>
  <c r="C2100" i="1"/>
  <c r="C19596" i="1"/>
  <c r="C19597" i="1"/>
  <c r="C17705" i="1"/>
  <c r="C15638" i="1"/>
  <c r="C15639" i="1"/>
  <c r="C15640" i="1"/>
  <c r="C15641" i="1"/>
  <c r="C2101" i="1"/>
  <c r="C2157" i="1"/>
  <c r="C2162" i="1"/>
  <c r="C15645" i="1"/>
  <c r="C15646" i="1"/>
  <c r="C15647" i="1"/>
  <c r="C15648" i="1"/>
  <c r="C19599" i="1"/>
  <c r="C15650" i="1"/>
  <c r="C15651" i="1"/>
  <c r="C15652" i="1"/>
  <c r="C19600" i="1"/>
  <c r="C19602" i="1"/>
  <c r="C19603" i="1"/>
  <c r="C19604" i="1"/>
  <c r="C19607" i="1"/>
  <c r="C17239" i="1"/>
  <c r="C15659" i="1"/>
  <c r="C15660" i="1"/>
  <c r="C15661" i="1"/>
  <c r="C15662" i="1"/>
  <c r="C19608" i="1"/>
  <c r="C15664" i="1"/>
  <c r="C15665" i="1"/>
  <c r="C15666" i="1"/>
  <c r="C15667" i="1"/>
  <c r="C15668" i="1"/>
  <c r="C15669" i="1"/>
  <c r="C15670" i="1"/>
  <c r="C19609" i="1"/>
  <c r="C15672" i="1"/>
  <c r="C15673" i="1"/>
  <c r="C15674" i="1"/>
  <c r="C15675" i="1"/>
  <c r="C15676" i="1"/>
  <c r="C15677" i="1"/>
  <c r="C2166" i="1"/>
  <c r="C15679" i="1"/>
  <c r="C19610" i="1"/>
  <c r="C19611" i="1"/>
  <c r="C2174" i="1"/>
  <c r="C19612" i="1"/>
  <c r="C15684" i="1"/>
  <c r="C15685" i="1"/>
  <c r="C17190" i="1"/>
  <c r="C15687" i="1"/>
  <c r="C15688" i="1"/>
  <c r="C15689" i="1"/>
  <c r="C15690" i="1"/>
  <c r="C15691" i="1"/>
  <c r="C15692" i="1"/>
  <c r="C2175" i="1"/>
  <c r="C2178" i="1"/>
  <c r="C15695" i="1"/>
  <c r="C15696" i="1"/>
  <c r="C19613" i="1"/>
  <c r="C15698" i="1"/>
  <c r="C2181" i="1"/>
  <c r="C15700" i="1"/>
  <c r="C19615" i="1"/>
  <c r="C19616" i="1"/>
  <c r="C15703" i="1"/>
  <c r="C2185" i="1"/>
  <c r="C15705" i="1"/>
  <c r="C15706" i="1"/>
  <c r="C15707" i="1"/>
  <c r="C15708" i="1"/>
  <c r="C19617" i="1"/>
  <c r="C15710" i="1"/>
  <c r="C15711" i="1"/>
  <c r="C19618" i="1"/>
  <c r="C15713" i="1"/>
  <c r="C15714" i="1"/>
  <c r="C15715" i="1"/>
  <c r="C15716" i="1"/>
  <c r="C19619" i="1"/>
  <c r="C19620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2186" i="1"/>
  <c r="C19622" i="1"/>
  <c r="C19623" i="1"/>
  <c r="C2187" i="1"/>
  <c r="C2204" i="1"/>
  <c r="C2205" i="1"/>
  <c r="C2207" i="1"/>
  <c r="C15739" i="1"/>
  <c r="C2208" i="1"/>
  <c r="C2209" i="1"/>
  <c r="C15742" i="1"/>
  <c r="C2211" i="1"/>
  <c r="C15744" i="1"/>
  <c r="C15745" i="1"/>
  <c r="C18291" i="1"/>
  <c r="C19624" i="1"/>
  <c r="C2213" i="1"/>
  <c r="C2220" i="1"/>
  <c r="C15750" i="1"/>
  <c r="C15751" i="1"/>
  <c r="C15752" i="1"/>
  <c r="C15753" i="1"/>
  <c r="C2226" i="1"/>
  <c r="C19625" i="1"/>
  <c r="C19626" i="1"/>
  <c r="C15757" i="1"/>
  <c r="C17561" i="1"/>
  <c r="C19627" i="1"/>
  <c r="C19628" i="1"/>
  <c r="C2273" i="1"/>
  <c r="C15762" i="1"/>
  <c r="C15763" i="1"/>
  <c r="C15764" i="1"/>
  <c r="C19632" i="1"/>
  <c r="C15766" i="1"/>
  <c r="C15767" i="1"/>
  <c r="C15768" i="1"/>
  <c r="C19633" i="1"/>
  <c r="C19634" i="1"/>
  <c r="C15771" i="1"/>
  <c r="C19635" i="1"/>
  <c r="C2274" i="1"/>
  <c r="C2293" i="1"/>
  <c r="C15775" i="1"/>
  <c r="C19636" i="1"/>
  <c r="C19638" i="1"/>
  <c r="C15778" i="1"/>
  <c r="C15779" i="1"/>
  <c r="C2295" i="1"/>
  <c r="C19642" i="1"/>
  <c r="C19643" i="1"/>
  <c r="C15783" i="1"/>
  <c r="C2296" i="1"/>
  <c r="C15785" i="1"/>
  <c r="C15786" i="1"/>
  <c r="C2310" i="1"/>
  <c r="C2327" i="1"/>
  <c r="C2333" i="1"/>
  <c r="C15790" i="1"/>
  <c r="C17194" i="1"/>
  <c r="C19646" i="1"/>
  <c r="C2338" i="1"/>
  <c r="C15794" i="1"/>
  <c r="C2339" i="1"/>
  <c r="C18186" i="1"/>
  <c r="C15797" i="1"/>
  <c r="C19647" i="1"/>
  <c r="C19648" i="1"/>
  <c r="C2340" i="1"/>
  <c r="C19649" i="1"/>
  <c r="C2341" i="1"/>
  <c r="C15803" i="1"/>
  <c r="C15804" i="1"/>
  <c r="C2347" i="1"/>
  <c r="C2357" i="1"/>
  <c r="C2359" i="1"/>
  <c r="C2362" i="1"/>
  <c r="C15809" i="1"/>
  <c r="C2363" i="1"/>
  <c r="C2364" i="1"/>
  <c r="C2366" i="1"/>
  <c r="C2367" i="1"/>
  <c r="C2368" i="1"/>
  <c r="C2369" i="1"/>
  <c r="C19650" i="1"/>
  <c r="C2370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9651" i="1"/>
  <c r="C19652" i="1"/>
  <c r="C17240" i="1"/>
  <c r="C2418" i="1"/>
  <c r="C19653" i="1"/>
  <c r="C2422" i="1"/>
  <c r="C15835" i="1"/>
  <c r="C19654" i="1"/>
  <c r="C17241" i="1"/>
  <c r="C19655" i="1"/>
  <c r="C19656" i="1"/>
  <c r="C15840" i="1"/>
  <c r="C19657" i="1"/>
  <c r="C15842" i="1"/>
  <c r="C2431" i="1"/>
  <c r="C2432" i="1"/>
  <c r="C19658" i="1"/>
  <c r="C15846" i="1"/>
  <c r="C2433" i="1"/>
  <c r="C2434" i="1"/>
  <c r="C2436" i="1"/>
  <c r="C2437" i="1"/>
  <c r="C15851" i="1"/>
  <c r="C17242" i="1"/>
  <c r="C15853" i="1"/>
  <c r="C15854" i="1"/>
  <c r="C15855" i="1"/>
  <c r="C2439" i="1"/>
  <c r="C2443" i="1"/>
  <c r="C2447" i="1"/>
  <c r="C2449" i="1"/>
  <c r="C2450" i="1"/>
  <c r="C2451" i="1"/>
  <c r="C2452" i="1"/>
  <c r="C2453" i="1"/>
  <c r="C2454" i="1"/>
  <c r="C2455" i="1"/>
  <c r="C15866" i="1"/>
  <c r="C15867" i="1"/>
  <c r="C15868" i="1"/>
  <c r="C15869" i="1"/>
  <c r="C15870" i="1"/>
  <c r="C19660" i="1"/>
  <c r="C19662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5886" i="1"/>
  <c r="C19678" i="1"/>
  <c r="C19679" i="1"/>
  <c r="C15889" i="1"/>
  <c r="C19680" i="1"/>
  <c r="C19681" i="1"/>
  <c r="C19682" i="1"/>
  <c r="C19683" i="1"/>
  <c r="C19684" i="1"/>
  <c r="C19685" i="1"/>
  <c r="C19686" i="1"/>
  <c r="C19687" i="1"/>
  <c r="C19688" i="1"/>
  <c r="C15899" i="1"/>
  <c r="C19689" i="1"/>
  <c r="C19690" i="1"/>
  <c r="C19691" i="1"/>
  <c r="C19692" i="1"/>
  <c r="C19693" i="1"/>
  <c r="C19694" i="1"/>
  <c r="C15906" i="1"/>
  <c r="C19695" i="1"/>
  <c r="C15908" i="1"/>
  <c r="C19696" i="1"/>
  <c r="C19697" i="1"/>
  <c r="C19698" i="1"/>
  <c r="C15912" i="1"/>
  <c r="C19699" i="1"/>
  <c r="C19700" i="1"/>
  <c r="C19701" i="1"/>
  <c r="C15916" i="1"/>
  <c r="C19702" i="1"/>
  <c r="C19703" i="1"/>
  <c r="C2456" i="1"/>
  <c r="C15920" i="1"/>
  <c r="C15921" i="1"/>
  <c r="C17195" i="1"/>
  <c r="C15923" i="1"/>
  <c r="C15924" i="1"/>
  <c r="C15925" i="1"/>
  <c r="C15926" i="1"/>
  <c r="C18255" i="1"/>
  <c r="C15928" i="1"/>
  <c r="C15929" i="1"/>
  <c r="C15930" i="1"/>
  <c r="C2457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2458" i="1"/>
  <c r="C2504" i="1"/>
  <c r="C15981" i="1"/>
  <c r="C17682" i="1"/>
  <c r="C17746" i="1"/>
  <c r="C17749" i="1"/>
  <c r="C17636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7674" i="1"/>
  <c r="C2505" i="1"/>
  <c r="C16000" i="1"/>
  <c r="C2507" i="1"/>
  <c r="C2508" i="1"/>
  <c r="C16003" i="1"/>
  <c r="C2509" i="1"/>
  <c r="C16005" i="1"/>
  <c r="C16006" i="1"/>
  <c r="C2510" i="1"/>
  <c r="C2513" i="1"/>
  <c r="C2514" i="1"/>
  <c r="C2516" i="1"/>
  <c r="C19704" i="1"/>
  <c r="C17683" i="1"/>
  <c r="C17666" i="1"/>
  <c r="C16014" i="1"/>
  <c r="C16015" i="1"/>
  <c r="C2517" i="1"/>
  <c r="C16017" i="1"/>
  <c r="C16018" i="1"/>
  <c r="C16019" i="1"/>
  <c r="C16020" i="1"/>
  <c r="C2519" i="1"/>
  <c r="C19705" i="1"/>
  <c r="C2520" i="1"/>
  <c r="C19707" i="1"/>
  <c r="C2521" i="1"/>
  <c r="C19710" i="1"/>
  <c r="C19712" i="1"/>
  <c r="C16028" i="1"/>
  <c r="C16029" i="1"/>
  <c r="C2522" i="1"/>
  <c r="C19713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8213" i="1"/>
  <c r="C2523" i="1"/>
  <c r="C16045" i="1"/>
  <c r="C16046" i="1"/>
  <c r="C16047" i="1"/>
  <c r="C16048" i="1"/>
  <c r="C2524" i="1"/>
  <c r="C16050" i="1"/>
  <c r="C2527" i="1"/>
  <c r="C16052" i="1"/>
  <c r="C2528" i="1"/>
  <c r="C2579" i="1"/>
  <c r="C2580" i="1"/>
  <c r="C2587" i="1"/>
  <c r="C2591" i="1"/>
  <c r="C2592" i="1"/>
  <c r="C2593" i="1"/>
  <c r="C2596" i="1"/>
  <c r="C16061" i="1"/>
  <c r="C16062" i="1"/>
  <c r="C18315" i="1"/>
  <c r="C17243" i="1"/>
  <c r="C16065" i="1"/>
  <c r="C2597" i="1"/>
  <c r="C2613" i="1"/>
  <c r="C2619" i="1"/>
  <c r="C2620" i="1"/>
  <c r="C16070" i="1"/>
  <c r="C16071" i="1"/>
  <c r="C16072" i="1"/>
  <c r="C16073" i="1"/>
  <c r="C19714" i="1"/>
  <c r="C17244" i="1"/>
  <c r="C16076" i="1"/>
  <c r="C16077" i="1"/>
  <c r="C2623" i="1"/>
  <c r="C2624" i="1"/>
  <c r="C16080" i="1"/>
  <c r="C17471" i="1"/>
  <c r="C16082" i="1"/>
  <c r="C17245" i="1"/>
  <c r="C16084" i="1"/>
  <c r="C2626" i="1"/>
  <c r="C16086" i="1"/>
  <c r="C16087" i="1"/>
  <c r="C17246" i="1"/>
  <c r="C16089" i="1"/>
  <c r="C16090" i="1"/>
  <c r="C16091" i="1"/>
  <c r="C2628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2633" i="1"/>
  <c r="C2668" i="1"/>
  <c r="C2669" i="1"/>
  <c r="C19715" i="1"/>
  <c r="C16116" i="1"/>
  <c r="C16117" i="1"/>
  <c r="C19716" i="1"/>
  <c r="C16119" i="1"/>
  <c r="C16120" i="1"/>
  <c r="C16121" i="1"/>
  <c r="C16122" i="1"/>
  <c r="C2670" i="1"/>
  <c r="C16124" i="1"/>
  <c r="C16125" i="1"/>
  <c r="C18173" i="1"/>
  <c r="C17247" i="1"/>
  <c r="C16128" i="1"/>
  <c r="C16129" i="1"/>
  <c r="C16130" i="1"/>
  <c r="C16131" i="1"/>
  <c r="C16132" i="1"/>
  <c r="C16133" i="1"/>
  <c r="C16134" i="1"/>
  <c r="C17250" i="1"/>
  <c r="C16136" i="1"/>
  <c r="C16137" i="1"/>
  <c r="C19717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9" i="1"/>
  <c r="C19741" i="1"/>
  <c r="C19742" i="1"/>
  <c r="C19743" i="1"/>
  <c r="C19744" i="1"/>
  <c r="C16163" i="1"/>
  <c r="C19745" i="1"/>
  <c r="C19746" i="1"/>
  <c r="C19747" i="1"/>
  <c r="C19748" i="1"/>
  <c r="C19749" i="1"/>
  <c r="C19750" i="1"/>
  <c r="C19752" i="1"/>
  <c r="C19753" i="1"/>
  <c r="C19754" i="1"/>
  <c r="C16173" i="1"/>
  <c r="C19755" i="1"/>
  <c r="C19756" i="1"/>
  <c r="C19757" i="1"/>
  <c r="C19758" i="1"/>
  <c r="C19759" i="1"/>
  <c r="C19760" i="1"/>
  <c r="C16180" i="1"/>
  <c r="C19761" i="1"/>
  <c r="C19762" i="1"/>
  <c r="C19763" i="1"/>
  <c r="C16184" i="1"/>
  <c r="C16185" i="1"/>
  <c r="C16186" i="1"/>
  <c r="C19764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9765" i="1"/>
  <c r="C16202" i="1"/>
  <c r="C16203" i="1"/>
  <c r="C16204" i="1"/>
  <c r="C16205" i="1"/>
  <c r="C16206" i="1"/>
  <c r="C16207" i="1"/>
  <c r="C16208" i="1"/>
  <c r="C16209" i="1"/>
  <c r="C16210" i="1"/>
  <c r="C16211" i="1"/>
  <c r="C19766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9767" i="1"/>
  <c r="C19768" i="1"/>
  <c r="C19769" i="1"/>
  <c r="C19770" i="1"/>
  <c r="C19772" i="1"/>
  <c r="C19773" i="1"/>
  <c r="C19774" i="1"/>
  <c r="C19775" i="1"/>
  <c r="C19776" i="1"/>
  <c r="C19777" i="1"/>
  <c r="C16234" i="1"/>
  <c r="C19778" i="1"/>
  <c r="C19779" i="1"/>
  <c r="C19780" i="1"/>
  <c r="C16238" i="1"/>
  <c r="C2672" i="1"/>
  <c r="C2673" i="1"/>
  <c r="C16241" i="1"/>
  <c r="C19781" i="1"/>
  <c r="C2675" i="1"/>
  <c r="C16244" i="1"/>
  <c r="C16245" i="1"/>
  <c r="C19782" i="1"/>
  <c r="C2676" i="1"/>
  <c r="C16248" i="1"/>
  <c r="C16249" i="1"/>
  <c r="C16250" i="1"/>
  <c r="C16251" i="1"/>
  <c r="C16252" i="1"/>
  <c r="C16253" i="1"/>
  <c r="C2677" i="1"/>
  <c r="C16255" i="1"/>
  <c r="C16256" i="1"/>
  <c r="C2680" i="1"/>
  <c r="C2681" i="1"/>
  <c r="C16259" i="1"/>
  <c r="C16260" i="1"/>
  <c r="C16261" i="1"/>
  <c r="C16262" i="1"/>
  <c r="C17652" i="1"/>
  <c r="C2715" i="1"/>
  <c r="C16265" i="1"/>
  <c r="C16266" i="1"/>
  <c r="C16267" i="1"/>
  <c r="C2718" i="1"/>
  <c r="C16269" i="1"/>
  <c r="C16270" i="1"/>
  <c r="C2719" i="1"/>
  <c r="C16272" i="1"/>
  <c r="C16273" i="1"/>
  <c r="C16274" i="1"/>
  <c r="C16275" i="1"/>
  <c r="C16276" i="1"/>
  <c r="C16277" i="1"/>
  <c r="C16278" i="1"/>
  <c r="C2724" i="1"/>
  <c r="C16280" i="1"/>
  <c r="C16281" i="1"/>
  <c r="C16282" i="1"/>
  <c r="C2725" i="1"/>
  <c r="C16284" i="1"/>
  <c r="C16285" i="1"/>
  <c r="C16286" i="1"/>
  <c r="C2726" i="1"/>
  <c r="C16288" i="1"/>
  <c r="C16289" i="1"/>
  <c r="C16290" i="1"/>
  <c r="C2727" i="1"/>
  <c r="C16292" i="1"/>
  <c r="C16293" i="1"/>
  <c r="C16294" i="1"/>
  <c r="C2728" i="1"/>
  <c r="C16296" i="1"/>
  <c r="C16297" i="1"/>
  <c r="C17472" i="1"/>
  <c r="C16299" i="1"/>
  <c r="C16300" i="1"/>
  <c r="C19783" i="1"/>
  <c r="C19784" i="1"/>
  <c r="C19785" i="1"/>
  <c r="C19786" i="1"/>
  <c r="C19787" i="1"/>
  <c r="C19788" i="1"/>
  <c r="C19789" i="1"/>
  <c r="C16308" i="1"/>
  <c r="C16309" i="1"/>
  <c r="C16310" i="1"/>
  <c r="C2729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2730" i="1"/>
  <c r="C2731" i="1"/>
  <c r="C2732" i="1"/>
  <c r="C2733" i="1"/>
  <c r="C2734" i="1"/>
  <c r="C2735" i="1"/>
  <c r="C16348" i="1"/>
  <c r="C16349" i="1"/>
  <c r="C16350" i="1"/>
  <c r="C17653" i="1"/>
  <c r="C17196" i="1"/>
  <c r="C16353" i="1"/>
  <c r="C16354" i="1"/>
  <c r="C2736" i="1"/>
  <c r="C16356" i="1"/>
  <c r="C16357" i="1"/>
  <c r="C16358" i="1"/>
  <c r="C16359" i="1"/>
  <c r="C2737" i="1"/>
  <c r="C2738" i="1"/>
  <c r="C2752" i="1"/>
  <c r="C16363" i="1"/>
  <c r="C2753" i="1"/>
  <c r="C16365" i="1"/>
  <c r="C19790" i="1"/>
  <c r="C2754" i="1"/>
  <c r="C16368" i="1"/>
  <c r="C16369" i="1"/>
  <c r="C16370" i="1"/>
  <c r="C16371" i="1"/>
  <c r="C16372" i="1"/>
  <c r="C16373" i="1"/>
  <c r="C16374" i="1"/>
  <c r="C2755" i="1"/>
  <c r="C2757" i="1"/>
  <c r="C2762" i="1"/>
  <c r="C16378" i="1"/>
  <c r="C16379" i="1"/>
  <c r="C16380" i="1"/>
  <c r="C16381" i="1"/>
  <c r="C2768" i="1"/>
  <c r="C16383" i="1"/>
  <c r="C2769" i="1"/>
  <c r="C2874" i="1"/>
  <c r="C16386" i="1"/>
  <c r="C16387" i="1"/>
  <c r="C16388" i="1"/>
  <c r="C17251" i="1"/>
  <c r="C17252" i="1"/>
  <c r="C2890" i="1"/>
  <c r="C16392" i="1"/>
  <c r="C16393" i="1"/>
  <c r="C16394" i="1"/>
  <c r="C16395" i="1"/>
  <c r="C16396" i="1"/>
  <c r="C19792" i="1"/>
  <c r="C2891" i="1"/>
  <c r="C2922" i="1"/>
  <c r="C16400" i="1"/>
  <c r="C2923" i="1"/>
  <c r="C2930" i="1"/>
  <c r="C16403" i="1"/>
  <c r="C2931" i="1"/>
  <c r="C19794" i="1"/>
  <c r="C16406" i="1"/>
  <c r="C16407" i="1"/>
  <c r="C16408" i="1"/>
  <c r="C16409" i="1"/>
  <c r="C16410" i="1"/>
  <c r="C17563" i="1"/>
  <c r="C2997" i="1"/>
  <c r="C3004" i="1"/>
  <c r="C16414" i="1"/>
  <c r="C3006" i="1"/>
  <c r="C3008" i="1"/>
  <c r="C3010" i="1"/>
  <c r="C16418" i="1"/>
  <c r="C16419" i="1"/>
  <c r="C16420" i="1"/>
  <c r="C16421" i="1"/>
  <c r="C16422" i="1"/>
  <c r="C16423" i="1"/>
  <c r="C16424" i="1"/>
  <c r="C19795" i="1"/>
  <c r="C16426" i="1"/>
  <c r="C17253" i="1"/>
  <c r="C3011" i="1"/>
  <c r="C3013" i="1"/>
  <c r="C3018" i="1"/>
  <c r="C16431" i="1"/>
  <c r="C3019" i="1"/>
  <c r="C3020" i="1"/>
  <c r="C3021" i="1"/>
  <c r="C19796" i="1"/>
  <c r="C16436" i="1"/>
  <c r="C3048" i="1"/>
  <c r="C3049" i="1"/>
  <c r="C3057" i="1"/>
  <c r="C17668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3063" i="1"/>
  <c r="C16508" i="1"/>
  <c r="C16509" i="1"/>
  <c r="C3067" i="1"/>
  <c r="C16511" i="1"/>
  <c r="C19797" i="1"/>
  <c r="C16513" i="1"/>
  <c r="C3069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3071" i="1"/>
  <c r="C16657" i="1"/>
  <c r="C16658" i="1"/>
  <c r="C3072" i="1"/>
  <c r="C16660" i="1"/>
  <c r="C16661" i="1"/>
  <c r="C19798" i="1"/>
  <c r="C19799" i="1"/>
  <c r="C3073" i="1"/>
  <c r="C16665" i="1"/>
  <c r="C16666" i="1"/>
  <c r="C16667" i="1"/>
  <c r="C3074" i="1"/>
  <c r="C16669" i="1"/>
  <c r="C16670" i="1"/>
  <c r="C16671" i="1"/>
  <c r="C16672" i="1"/>
  <c r="C16673" i="1"/>
  <c r="C19800" i="1"/>
  <c r="C19801" i="1"/>
  <c r="C19802" i="1"/>
  <c r="C19803" i="1"/>
  <c r="C19804" i="1"/>
  <c r="C19805" i="1"/>
  <c r="C16680" i="1"/>
  <c r="C16681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1" i="1"/>
  <c r="C16695" i="1"/>
  <c r="C16696" i="1"/>
  <c r="C19822" i="1"/>
  <c r="C16698" i="1"/>
  <c r="C19823" i="1"/>
  <c r="C19824" i="1"/>
  <c r="C19825" i="1"/>
  <c r="C16702" i="1"/>
  <c r="C19826" i="1"/>
  <c r="C19827" i="1"/>
  <c r="C19828" i="1"/>
  <c r="C16706" i="1"/>
  <c r="C19829" i="1"/>
  <c r="C19830" i="1"/>
  <c r="C19831" i="1"/>
  <c r="C19833" i="1"/>
  <c r="C19836" i="1"/>
  <c r="C19837" i="1"/>
  <c r="C19838" i="1"/>
  <c r="C19839" i="1"/>
  <c r="C19840" i="1"/>
  <c r="C19841" i="1"/>
  <c r="C19842" i="1"/>
  <c r="C19843" i="1"/>
  <c r="C19844" i="1"/>
  <c r="C19846" i="1"/>
  <c r="C19847" i="1"/>
  <c r="C19848" i="1"/>
  <c r="C19849" i="1"/>
  <c r="C16724" i="1"/>
  <c r="C19850" i="1"/>
  <c r="C19851" i="1"/>
  <c r="C19852" i="1"/>
  <c r="C19855" i="1"/>
  <c r="C19856" i="1"/>
  <c r="C19857" i="1"/>
  <c r="C19858" i="1"/>
  <c r="C19859" i="1"/>
  <c r="C19860" i="1"/>
  <c r="C19861" i="1"/>
  <c r="C19862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6759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2" i="1"/>
  <c r="C19903" i="1"/>
  <c r="C16775" i="1"/>
  <c r="C19904" i="1"/>
  <c r="C19905" i="1"/>
  <c r="C19906" i="1"/>
  <c r="C19907" i="1"/>
  <c r="C19908" i="1"/>
  <c r="C19909" i="1"/>
  <c r="C19910" i="1"/>
  <c r="C16783" i="1"/>
  <c r="C19911" i="1"/>
  <c r="C19912" i="1"/>
  <c r="C19913" i="1"/>
  <c r="C19914" i="1"/>
  <c r="C19915" i="1"/>
  <c r="C19916" i="1"/>
  <c r="C19917" i="1"/>
  <c r="C19918" i="1"/>
  <c r="C16792" i="1"/>
  <c r="C3078" i="1"/>
  <c r="C19919" i="1"/>
  <c r="C19920" i="1"/>
  <c r="C16796" i="1"/>
  <c r="C16797" i="1"/>
  <c r="C19921" i="1"/>
  <c r="C16799" i="1"/>
  <c r="C16800" i="1"/>
  <c r="C19922" i="1"/>
  <c r="C19923" i="1"/>
  <c r="C19924" i="1"/>
  <c r="C19925" i="1"/>
  <c r="C19926" i="1"/>
  <c r="C19927" i="1"/>
  <c r="C19928" i="1"/>
  <c r="C19929" i="1"/>
  <c r="C19932" i="1"/>
  <c r="C19933" i="1"/>
  <c r="C19935" i="1"/>
  <c r="C19937" i="1"/>
  <c r="C19938" i="1"/>
  <c r="C19939" i="1"/>
  <c r="C19940" i="1"/>
  <c r="C19943" i="1"/>
  <c r="C19944" i="1"/>
  <c r="C19965" i="1"/>
  <c r="C19970" i="1"/>
  <c r="C19972" i="1"/>
  <c r="C19974" i="1"/>
  <c r="C19975" i="1"/>
  <c r="C19976" i="1"/>
  <c r="C19977" i="1"/>
  <c r="C19978" i="1"/>
  <c r="C19979" i="1"/>
  <c r="C19980" i="1"/>
  <c r="C19981" i="1"/>
  <c r="C19982" i="1"/>
  <c r="C19984" i="1"/>
  <c r="C19986" i="1"/>
  <c r="C19989" i="1"/>
  <c r="C19990" i="1"/>
  <c r="C19991" i="1"/>
  <c r="C19993" i="1"/>
  <c r="C19994" i="1"/>
  <c r="C19995" i="1"/>
  <c r="C19997" i="1"/>
  <c r="C19999" i="1"/>
  <c r="C20000" i="1"/>
  <c r="C20001" i="1"/>
  <c r="C20004" i="1"/>
  <c r="C20006" i="1"/>
  <c r="C20007" i="1"/>
  <c r="C20008" i="1"/>
  <c r="C20009" i="1"/>
  <c r="C20011" i="1"/>
  <c r="C20012" i="1"/>
  <c r="C20013" i="1"/>
  <c r="C20014" i="1"/>
  <c r="C20015" i="1"/>
  <c r="C20017" i="1"/>
  <c r="C20018" i="1"/>
  <c r="C20019" i="1"/>
  <c r="C20020" i="1"/>
  <c r="C20023" i="1"/>
  <c r="C20024" i="1"/>
  <c r="C20026" i="1"/>
  <c r="C20027" i="1"/>
  <c r="C20028" i="1"/>
  <c r="C20030" i="1"/>
  <c r="C20032" i="1"/>
  <c r="C20036" i="1"/>
  <c r="C20037" i="1"/>
  <c r="C20038" i="1"/>
  <c r="C20039" i="1"/>
  <c r="C20040" i="1"/>
  <c r="C20041" i="1"/>
  <c r="C20044" i="1"/>
  <c r="C20049" i="1"/>
  <c r="C20058" i="1"/>
  <c r="C20060" i="1"/>
  <c r="C20061" i="1"/>
  <c r="C20063" i="1"/>
  <c r="C20065" i="1"/>
  <c r="C20067" i="1"/>
  <c r="C20100" i="1"/>
  <c r="C20102" i="1"/>
  <c r="C20103" i="1"/>
  <c r="C20109" i="1"/>
  <c r="C20111" i="1"/>
  <c r="C20132" i="1"/>
  <c r="C20140" i="1"/>
  <c r="C20141" i="1"/>
  <c r="C20142" i="1"/>
  <c r="C20143" i="1"/>
  <c r="C20144" i="1"/>
  <c r="C20145" i="1"/>
  <c r="C20146" i="1"/>
  <c r="C20147" i="1"/>
  <c r="C20148" i="1"/>
  <c r="C20150" i="1"/>
  <c r="C20151" i="1"/>
  <c r="C20152" i="1"/>
  <c r="C20154" i="1"/>
  <c r="C20156" i="1"/>
  <c r="C20160" i="1"/>
  <c r="C20162" i="1"/>
  <c r="C20165" i="1"/>
  <c r="C20166" i="1"/>
  <c r="C20168" i="1"/>
  <c r="C20169" i="1"/>
  <c r="C20170" i="1"/>
  <c r="C20171" i="1"/>
  <c r="C20172" i="1"/>
  <c r="C20173" i="1"/>
  <c r="C20175" i="1"/>
  <c r="C20176" i="1"/>
  <c r="C20178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9" i="1"/>
  <c r="C20207" i="1"/>
  <c r="C20208" i="1"/>
  <c r="C20211" i="1"/>
  <c r="C20212" i="1"/>
  <c r="C20215" i="1"/>
  <c r="C20218" i="1"/>
  <c r="C20219" i="1"/>
  <c r="C20220" i="1"/>
  <c r="C20221" i="1"/>
  <c r="C20222" i="1"/>
  <c r="C20223" i="1"/>
  <c r="C20224" i="1"/>
  <c r="C20232" i="1"/>
  <c r="C20234" i="1"/>
  <c r="C16943" i="1"/>
  <c r="C20235" i="1"/>
  <c r="C20236" i="1"/>
  <c r="C20237" i="1"/>
  <c r="C20238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60" i="1"/>
  <c r="C20261" i="1"/>
  <c r="C20262" i="1"/>
  <c r="C16967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5" i="1"/>
  <c r="C20276" i="1"/>
  <c r="C20277" i="1"/>
  <c r="C20278" i="1"/>
  <c r="C20279" i="1"/>
  <c r="C16984" i="1"/>
  <c r="C20280" i="1"/>
  <c r="C20282" i="1"/>
  <c r="C3079" i="1"/>
  <c r="C20284" i="1"/>
  <c r="C20285" i="1"/>
  <c r="C20286" i="1"/>
  <c r="C20287" i="1"/>
  <c r="C20288" i="1"/>
  <c r="C20290" i="1"/>
  <c r="C20291" i="1"/>
  <c r="C20292" i="1"/>
  <c r="C20294" i="1"/>
  <c r="C20295" i="1"/>
  <c r="C20296" i="1"/>
  <c r="C16999" i="1"/>
  <c r="T16999" i="1"/>
  <c r="C20297" i="1"/>
  <c r="C20298" i="1"/>
  <c r="C20299" i="1"/>
  <c r="C20300" i="1"/>
  <c r="C20301" i="1"/>
  <c r="C20302" i="1"/>
  <c r="C17006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17027" i="1"/>
  <c r="C20323" i="1"/>
  <c r="C20324" i="1"/>
  <c r="C20325" i="1"/>
  <c r="C20326" i="1"/>
  <c r="C20327" i="1"/>
  <c r="C20328" i="1"/>
  <c r="C20329" i="1"/>
  <c r="C20331" i="1"/>
  <c r="C20333" i="1"/>
  <c r="C20334" i="1"/>
  <c r="C20335" i="1"/>
  <c r="C20336" i="1"/>
  <c r="C17040" i="1"/>
  <c r="C17041" i="1"/>
  <c r="C17042" i="1"/>
  <c r="C20337" i="1"/>
  <c r="C20338" i="1"/>
  <c r="C20339" i="1"/>
  <c r="C20340" i="1"/>
  <c r="C20341" i="1"/>
  <c r="C20342" i="1"/>
  <c r="C20343" i="1"/>
  <c r="C20344" i="1"/>
  <c r="C20345" i="1"/>
  <c r="C20346" i="1"/>
  <c r="C20348" i="1"/>
  <c r="C20349" i="1"/>
  <c r="C20351" i="1"/>
  <c r="C20352" i="1"/>
  <c r="C20353" i="1"/>
  <c r="C17058" i="1"/>
  <c r="C17059" i="1"/>
  <c r="C20354" i="1"/>
  <c r="C20356" i="1"/>
  <c r="C20357" i="1"/>
  <c r="C20358" i="1"/>
  <c r="C20359" i="1"/>
  <c r="C20360" i="1"/>
  <c r="C20366" i="1"/>
  <c r="C20367" i="1"/>
  <c r="C20368" i="1"/>
  <c r="C20370" i="1"/>
  <c r="C20382" i="1"/>
  <c r="C20383" i="1"/>
  <c r="C20384" i="1"/>
  <c r="C20385" i="1"/>
  <c r="C20391" i="1"/>
  <c r="C20395" i="1"/>
  <c r="C20396" i="1"/>
  <c r="C20398" i="1"/>
  <c r="C20401" i="1"/>
  <c r="C20407" i="1"/>
  <c r="C20408" i="1"/>
  <c r="C20418" i="1"/>
  <c r="C20423" i="1"/>
  <c r="C20425" i="1"/>
  <c r="C20426" i="1"/>
  <c r="C20427" i="1"/>
  <c r="C20428" i="1"/>
  <c r="C20429" i="1"/>
  <c r="C20432" i="1"/>
  <c r="C20433" i="1"/>
  <c r="C20439" i="1"/>
  <c r="C20440" i="1"/>
  <c r="C20442" i="1"/>
  <c r="C20444" i="1"/>
  <c r="C20445" i="1"/>
  <c r="C20449" i="1"/>
  <c r="C20452" i="1"/>
  <c r="C20453" i="1"/>
  <c r="C20463" i="1"/>
  <c r="C20470" i="1"/>
  <c r="C20471" i="1"/>
  <c r="C20472" i="1"/>
  <c r="C20473" i="1"/>
  <c r="C20474" i="1"/>
  <c r="C20475" i="1"/>
  <c r="C20476" i="1"/>
  <c r="C20477" i="1"/>
  <c r="C17107" i="1"/>
  <c r="C20478" i="1"/>
  <c r="C20479" i="1"/>
  <c r="C20480" i="1"/>
  <c r="C20481" i="1"/>
  <c r="C20482" i="1"/>
  <c r="C20485" i="1"/>
  <c r="C20497" i="1"/>
  <c r="C20499" i="1"/>
  <c r="C20500" i="1"/>
  <c r="C20501" i="1"/>
  <c r="C20502" i="1"/>
  <c r="C20504" i="1"/>
  <c r="C20509" i="1"/>
  <c r="C20513" i="1"/>
  <c r="C20514" i="1"/>
  <c r="C20515" i="1"/>
  <c r="C20516" i="1"/>
  <c r="C20518" i="1"/>
  <c r="C20519" i="1"/>
  <c r="C20522" i="1"/>
  <c r="C20523" i="1"/>
  <c r="C20524" i="1"/>
  <c r="C20526" i="1"/>
  <c r="C20528" i="1"/>
  <c r="C20529" i="1"/>
  <c r="C3081" i="1"/>
  <c r="C20530" i="1"/>
  <c r="C20531" i="1"/>
  <c r="C20533" i="1"/>
  <c r="C20534" i="1"/>
  <c r="C20535" i="1"/>
  <c r="C17139" i="1"/>
  <c r="C20538" i="1"/>
  <c r="C17141" i="1"/>
  <c r="C20542" i="1"/>
  <c r="C20547" i="1"/>
  <c r="C20548" i="1"/>
  <c r="C20549" i="1"/>
  <c r="C20556" i="1"/>
  <c r="C20559" i="1"/>
  <c r="C20560" i="1"/>
  <c r="C20563" i="1"/>
  <c r="C20564" i="1"/>
  <c r="C20565" i="1"/>
  <c r="C20570" i="1"/>
  <c r="C20575" i="1"/>
  <c r="C20576" i="1"/>
  <c r="C20578" i="1"/>
  <c r="C20581" i="1"/>
  <c r="C20582" i="1"/>
  <c r="C20583" i="1"/>
  <c r="C20584" i="1"/>
  <c r="C20585" i="1"/>
  <c r="C20586" i="1"/>
  <c r="C20593" i="1"/>
  <c r="C20596" i="1"/>
  <c r="C20597" i="1"/>
  <c r="C20598" i="1"/>
  <c r="C20601" i="1"/>
  <c r="C20604" i="1"/>
  <c r="C20605" i="1"/>
  <c r="C20606" i="1"/>
  <c r="C20607" i="1"/>
  <c r="C20611" i="1"/>
  <c r="C20613" i="1"/>
  <c r="C20614" i="1"/>
  <c r="C20615" i="1"/>
  <c r="C20616" i="1"/>
  <c r="C20617" i="1"/>
  <c r="C20618" i="1"/>
  <c r="C20621" i="1"/>
  <c r="C20622" i="1"/>
  <c r="C20627" i="1"/>
  <c r="C20628" i="1"/>
  <c r="C20632" i="1"/>
  <c r="C20636" i="1"/>
  <c r="C17184" i="1"/>
  <c r="C17185" i="1"/>
  <c r="C20637" i="1"/>
  <c r="C20638" i="1"/>
  <c r="C20639" i="1"/>
  <c r="C20640" i="1"/>
  <c r="C20641" i="1"/>
  <c r="C20642" i="1"/>
  <c r="C20643" i="1"/>
  <c r="C20645" i="1"/>
  <c r="C20647" i="1"/>
  <c r="C20648" i="1"/>
  <c r="C20651" i="1"/>
  <c r="C20655" i="1"/>
  <c r="C20656" i="1"/>
  <c r="C20657" i="1"/>
  <c r="C20660" i="1"/>
  <c r="C20663" i="1"/>
  <c r="C20666" i="1"/>
  <c r="C20668" i="1"/>
  <c r="C20670" i="1"/>
  <c r="C20671" i="1"/>
  <c r="C20672" i="1"/>
  <c r="C20683" i="1"/>
  <c r="C20684" i="1"/>
  <c r="C20689" i="1"/>
  <c r="C20690" i="1"/>
  <c r="C20691" i="1"/>
  <c r="C20692" i="1"/>
  <c r="C20693" i="1"/>
  <c r="C20699" i="1"/>
  <c r="C20701" i="1"/>
  <c r="C20703" i="1"/>
  <c r="C20706" i="1"/>
  <c r="C20707" i="1"/>
  <c r="C20717" i="1"/>
  <c r="C20737" i="1"/>
  <c r="C20739" i="1"/>
  <c r="C20741" i="1"/>
  <c r="C20744" i="1"/>
  <c r="C20746" i="1"/>
  <c r="C20748" i="1"/>
  <c r="C20749" i="1"/>
  <c r="C20750" i="1"/>
  <c r="C20753" i="1"/>
  <c r="C20761" i="1"/>
  <c r="C20762" i="1"/>
  <c r="C20763" i="1"/>
  <c r="C20764" i="1"/>
  <c r="C20766" i="1"/>
  <c r="C20767" i="1"/>
  <c r="C20768" i="1"/>
  <c r="C20769" i="1"/>
  <c r="C20770" i="1"/>
  <c r="C20774" i="1"/>
  <c r="C20775" i="1"/>
  <c r="C20777" i="1"/>
  <c r="C20778" i="1"/>
  <c r="C20781" i="1"/>
  <c r="C20784" i="1"/>
  <c r="C20785" i="1"/>
  <c r="C20805" i="1"/>
  <c r="C20807" i="1"/>
  <c r="C20808" i="1"/>
  <c r="C17248" i="1"/>
  <c r="C17249" i="1"/>
  <c r="C20809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17262" i="1"/>
  <c r="C20823" i="1"/>
  <c r="C20824" i="1"/>
  <c r="C20825" i="1"/>
  <c r="C20826" i="1"/>
  <c r="C20827" i="1"/>
  <c r="C20829" i="1"/>
  <c r="C20830" i="1"/>
  <c r="C20831" i="1"/>
  <c r="C20832" i="1"/>
  <c r="C20833" i="1"/>
  <c r="C20834" i="1"/>
  <c r="C20835" i="1"/>
  <c r="C20836" i="1"/>
  <c r="C20837" i="1"/>
  <c r="C20838" i="1"/>
  <c r="C20840" i="1"/>
  <c r="C17279" i="1"/>
  <c r="C17280" i="1"/>
  <c r="C17281" i="1"/>
  <c r="C17282" i="1"/>
  <c r="C17283" i="1"/>
  <c r="C17284" i="1"/>
  <c r="C18214" i="1"/>
  <c r="C17286" i="1"/>
  <c r="C17287" i="1"/>
  <c r="C3085" i="1"/>
  <c r="C17289" i="1"/>
  <c r="C17290" i="1"/>
  <c r="C3086" i="1"/>
  <c r="C3087" i="1"/>
  <c r="C3088" i="1"/>
  <c r="C3112" i="1"/>
  <c r="C3113" i="1"/>
  <c r="C3114" i="1"/>
  <c r="C3119" i="1"/>
  <c r="C3120" i="1"/>
  <c r="C3121" i="1"/>
  <c r="C3145" i="1"/>
  <c r="C3149" i="1"/>
  <c r="C3152" i="1"/>
  <c r="C3154" i="1"/>
  <c r="C3155" i="1"/>
  <c r="C3157" i="1"/>
  <c r="C3172" i="1"/>
  <c r="C3174" i="1"/>
  <c r="C3175" i="1"/>
  <c r="C3176" i="1"/>
  <c r="C17310" i="1"/>
  <c r="C17311" i="1"/>
  <c r="C17312" i="1"/>
  <c r="C3179" i="1"/>
  <c r="C17314" i="1"/>
  <c r="C17315" i="1"/>
  <c r="C17316" i="1"/>
  <c r="C3180" i="1"/>
  <c r="C3181" i="1"/>
  <c r="C17319" i="1"/>
  <c r="C17320" i="1"/>
  <c r="C17321" i="1"/>
  <c r="C17322" i="1"/>
  <c r="C17323" i="1"/>
  <c r="C17324" i="1"/>
  <c r="C3182" i="1"/>
  <c r="C3184" i="1"/>
  <c r="C3185" i="1"/>
  <c r="C3187" i="1"/>
  <c r="C318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3210" i="1"/>
  <c r="C20841" i="1"/>
  <c r="C17369" i="1"/>
  <c r="C17370" i="1"/>
  <c r="C3218" i="1"/>
  <c r="C17372" i="1"/>
  <c r="C17373" i="1"/>
  <c r="C17374" i="1"/>
  <c r="C17375" i="1"/>
  <c r="C17376" i="1"/>
  <c r="C17377" i="1"/>
  <c r="C3225" i="1"/>
  <c r="C17379" i="1"/>
  <c r="C17380" i="1"/>
  <c r="C17381" i="1"/>
  <c r="C17382" i="1"/>
  <c r="C17383" i="1"/>
  <c r="C17384" i="1"/>
  <c r="C17385" i="1"/>
  <c r="C17386" i="1"/>
  <c r="C3228" i="1"/>
  <c r="C17388" i="1"/>
  <c r="C3229" i="1"/>
  <c r="C3230" i="1"/>
  <c r="C3251" i="1"/>
  <c r="C3258" i="1"/>
  <c r="C3260" i="1"/>
  <c r="C3261" i="1"/>
  <c r="C3265" i="1"/>
  <c r="C3266" i="1"/>
  <c r="C3267" i="1"/>
  <c r="C3271" i="1"/>
  <c r="C3272" i="1"/>
  <c r="C3273" i="1"/>
  <c r="C17401" i="1"/>
  <c r="C17402" i="1"/>
  <c r="C3276" i="1"/>
  <c r="C3277" i="1"/>
  <c r="C17405" i="1"/>
  <c r="C3279" i="1"/>
  <c r="C17407" i="1"/>
  <c r="C17408" i="1"/>
  <c r="C17409" i="1"/>
  <c r="C3280" i="1"/>
  <c r="C17411" i="1"/>
  <c r="C17412" i="1"/>
  <c r="C17413" i="1"/>
  <c r="C17414" i="1"/>
  <c r="C3281" i="1"/>
  <c r="C17416" i="1"/>
  <c r="C17417" i="1"/>
  <c r="C17418" i="1"/>
  <c r="C17419" i="1"/>
  <c r="C17420" i="1"/>
  <c r="C17421" i="1"/>
  <c r="C17422" i="1"/>
  <c r="C17423" i="1"/>
  <c r="C3282" i="1"/>
  <c r="C17425" i="1"/>
  <c r="C17426" i="1"/>
  <c r="C17427" i="1"/>
  <c r="C17428" i="1"/>
  <c r="C3283" i="1"/>
  <c r="C20842" i="1"/>
  <c r="C17431" i="1"/>
  <c r="C3284" i="1"/>
  <c r="C17433" i="1"/>
  <c r="C18316" i="1"/>
  <c r="C3287" i="1"/>
  <c r="C3288" i="1"/>
  <c r="C17437" i="1"/>
  <c r="C3290" i="1"/>
  <c r="C17439" i="1"/>
  <c r="C3295" i="1"/>
  <c r="C17441" i="1"/>
  <c r="C17442" i="1"/>
  <c r="C17443" i="1"/>
  <c r="C3296" i="1"/>
  <c r="C17445" i="1"/>
  <c r="C17446" i="1"/>
  <c r="C3297" i="1"/>
  <c r="C3298" i="1"/>
  <c r="C3303" i="1"/>
  <c r="C3401" i="1"/>
  <c r="C3402" i="1"/>
  <c r="C3408" i="1"/>
  <c r="C3409" i="1"/>
  <c r="C3413" i="1"/>
  <c r="C3414" i="1"/>
  <c r="C3415" i="1"/>
  <c r="C3416" i="1"/>
  <c r="C3417" i="1"/>
  <c r="C3418" i="1"/>
  <c r="C3420" i="1"/>
  <c r="C3421" i="1"/>
  <c r="C3424" i="1"/>
  <c r="C3425" i="1"/>
  <c r="C3428" i="1"/>
  <c r="C3429" i="1"/>
  <c r="C3459" i="1"/>
  <c r="C3461" i="1"/>
  <c r="C3462" i="1"/>
  <c r="C3464" i="1"/>
  <c r="C3465" i="1"/>
  <c r="C3466" i="1"/>
  <c r="C3467" i="1"/>
  <c r="C3468" i="1"/>
  <c r="C3469" i="1"/>
  <c r="C3470" i="1"/>
  <c r="C3471" i="1"/>
  <c r="C3472" i="1"/>
  <c r="C17478" i="1"/>
  <c r="C3473" i="1"/>
  <c r="C3474" i="1"/>
  <c r="C17481" i="1"/>
  <c r="C3475" i="1"/>
  <c r="C3476" i="1"/>
  <c r="C3477" i="1"/>
  <c r="C3478" i="1"/>
  <c r="C3479" i="1"/>
  <c r="C17487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8" i="1"/>
  <c r="C3499" i="1"/>
  <c r="C3503" i="1"/>
  <c r="C17508" i="1"/>
  <c r="C3504" i="1"/>
  <c r="C3505" i="1"/>
  <c r="C3587" i="1"/>
  <c r="C3589" i="1"/>
  <c r="C3593" i="1"/>
  <c r="C3595" i="1"/>
  <c r="C3596" i="1"/>
  <c r="C3598" i="1"/>
  <c r="C3602" i="1"/>
  <c r="C3603" i="1"/>
  <c r="C3604" i="1"/>
  <c r="C3606" i="1"/>
  <c r="C3607" i="1"/>
  <c r="C3608" i="1"/>
  <c r="C17523" i="1"/>
  <c r="C3609" i="1"/>
  <c r="C3610" i="1"/>
  <c r="C3611" i="1"/>
  <c r="C3617" i="1"/>
  <c r="C3619" i="1"/>
  <c r="C3628" i="1"/>
  <c r="C3629" i="1"/>
  <c r="C3630" i="1"/>
  <c r="C3631" i="1"/>
  <c r="C3632" i="1"/>
  <c r="C3634" i="1"/>
  <c r="C3635" i="1"/>
  <c r="C3636" i="1"/>
  <c r="C3637" i="1"/>
  <c r="C3638" i="1"/>
  <c r="C3639" i="1"/>
  <c r="C3657" i="1"/>
  <c r="C3659" i="1"/>
  <c r="C3661" i="1"/>
  <c r="C3664" i="1"/>
  <c r="C3669" i="1"/>
  <c r="C3672" i="1"/>
  <c r="C3696" i="1"/>
  <c r="C17547" i="1"/>
  <c r="C3697" i="1"/>
  <c r="C3701" i="1"/>
  <c r="C3702" i="1"/>
  <c r="C3803" i="1"/>
  <c r="C3804" i="1"/>
  <c r="C17553" i="1"/>
  <c r="C17554" i="1"/>
  <c r="C3806" i="1"/>
  <c r="C17556" i="1"/>
  <c r="C18187" i="1"/>
  <c r="C3810" i="1"/>
  <c r="C17559" i="1"/>
  <c r="C3811" i="1"/>
  <c r="C3816" i="1"/>
  <c r="C17562" i="1"/>
  <c r="C3820" i="1"/>
  <c r="C17564" i="1"/>
  <c r="C17565" i="1"/>
  <c r="C17566" i="1"/>
  <c r="C17567" i="1"/>
  <c r="C17568" i="1"/>
  <c r="C17569" i="1"/>
  <c r="C3821" i="1"/>
  <c r="C3822" i="1"/>
  <c r="C17572" i="1"/>
  <c r="C17573" i="1"/>
  <c r="C17574" i="1"/>
  <c r="C17575" i="1"/>
  <c r="C17576" i="1"/>
  <c r="C17577" i="1"/>
  <c r="C17578" i="1"/>
  <c r="C17579" i="1"/>
  <c r="C17580" i="1"/>
  <c r="C17581" i="1"/>
  <c r="C3823" i="1"/>
  <c r="C17583" i="1"/>
  <c r="C20843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191" i="1"/>
  <c r="C3837" i="1"/>
  <c r="C3838" i="1"/>
  <c r="C3839" i="1"/>
  <c r="C17624" i="1"/>
  <c r="C3840" i="1"/>
  <c r="C3841" i="1"/>
  <c r="C3842" i="1"/>
  <c r="C3845" i="1"/>
  <c r="C3857" i="1"/>
  <c r="C3916" i="1"/>
  <c r="C3918" i="1"/>
  <c r="C3919" i="1"/>
  <c r="C3920" i="1"/>
  <c r="C3921" i="1"/>
  <c r="C3923" i="1"/>
  <c r="C3924" i="1"/>
  <c r="C3925" i="1"/>
  <c r="C3927" i="1"/>
  <c r="C3930" i="1"/>
  <c r="C3936" i="1"/>
  <c r="C3937" i="1"/>
  <c r="C3939" i="1"/>
  <c r="C3940" i="1"/>
  <c r="C17644" i="1"/>
  <c r="C3941" i="1"/>
  <c r="C3942" i="1"/>
  <c r="C3943" i="1"/>
  <c r="C17648" i="1"/>
  <c r="C3946" i="1"/>
  <c r="C3948" i="1"/>
  <c r="C3951" i="1"/>
  <c r="C3952" i="1"/>
  <c r="C3953" i="1"/>
  <c r="C3956" i="1"/>
  <c r="C3957" i="1"/>
  <c r="C3958" i="1"/>
  <c r="C3959" i="1"/>
  <c r="C3962" i="1"/>
  <c r="C3963" i="1"/>
  <c r="C3985" i="1"/>
  <c r="C3986" i="1"/>
  <c r="C3987" i="1"/>
  <c r="C3988" i="1"/>
  <c r="C3989" i="1"/>
  <c r="C4013" i="1"/>
  <c r="C4016" i="1"/>
  <c r="C4017" i="1"/>
  <c r="C4018" i="1"/>
  <c r="C4019" i="1"/>
  <c r="C4020" i="1"/>
  <c r="C4023" i="1"/>
  <c r="C4024" i="1"/>
  <c r="C4032" i="1"/>
  <c r="C4041" i="1"/>
  <c r="C4044" i="1"/>
  <c r="C4046" i="1"/>
  <c r="C4047" i="1"/>
  <c r="C4048" i="1"/>
  <c r="C4051" i="1"/>
  <c r="C4053" i="1"/>
  <c r="C4054" i="1"/>
  <c r="C4055" i="1"/>
  <c r="C4058" i="1"/>
  <c r="C4061" i="1"/>
  <c r="C4062" i="1"/>
  <c r="C8703" i="1"/>
  <c r="C8708" i="1"/>
  <c r="C8719" i="1"/>
  <c r="C8724" i="1"/>
  <c r="C8737" i="1"/>
  <c r="C8738" i="1"/>
  <c r="C8753" i="1"/>
  <c r="C8754" i="1"/>
  <c r="C8761" i="1"/>
  <c r="C8762" i="1"/>
  <c r="C8763" i="1"/>
  <c r="C8781" i="1"/>
  <c r="C8792" i="1"/>
  <c r="C8797" i="1"/>
  <c r="C8798" i="1"/>
  <c r="C8799" i="1"/>
  <c r="C8820" i="1"/>
  <c r="C8821" i="1"/>
  <c r="C8826" i="1"/>
  <c r="C8827" i="1"/>
  <c r="C8828" i="1"/>
  <c r="C8830" i="1"/>
  <c r="C8834" i="1"/>
  <c r="C8867" i="1"/>
  <c r="C8869" i="1"/>
  <c r="C8870" i="1"/>
  <c r="C8872" i="1"/>
  <c r="C8873" i="1"/>
  <c r="C8875" i="1"/>
  <c r="C8879" i="1"/>
  <c r="C8880" i="1"/>
  <c r="C8882" i="1"/>
  <c r="C8883" i="1"/>
  <c r="C8884" i="1"/>
  <c r="C8933" i="1"/>
  <c r="C8937" i="1"/>
  <c r="C8939" i="1"/>
  <c r="C8947" i="1"/>
  <c r="C8951" i="1"/>
  <c r="C8952" i="1"/>
  <c r="C8955" i="1"/>
  <c r="C8957" i="1"/>
  <c r="C8958" i="1"/>
  <c r="C8959" i="1"/>
  <c r="C8960" i="1"/>
  <c r="C8961" i="1"/>
  <c r="C8963" i="1"/>
  <c r="C8964" i="1"/>
  <c r="C8965" i="1"/>
  <c r="C8966" i="1"/>
  <c r="C17677" i="1"/>
  <c r="C8969" i="1"/>
  <c r="C17738" i="1"/>
  <c r="C17739" i="1"/>
  <c r="C17740" i="1"/>
  <c r="C17698" i="1"/>
  <c r="C17742" i="1"/>
  <c r="C17743" i="1"/>
  <c r="C17744" i="1"/>
  <c r="C17745" i="1"/>
  <c r="C17254" i="1"/>
  <c r="C17747" i="1"/>
  <c r="C17748" i="1"/>
  <c r="C20844" i="1"/>
  <c r="C17750" i="1"/>
  <c r="C17751" i="1"/>
  <c r="C8970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T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8972" i="1"/>
  <c r="C18215" i="1"/>
  <c r="C17255" i="1"/>
  <c r="C18127" i="1"/>
  <c r="C17256" i="1"/>
  <c r="C18129" i="1"/>
  <c r="C18130" i="1"/>
  <c r="C18131" i="1"/>
  <c r="C17257" i="1"/>
  <c r="C18133" i="1"/>
  <c r="C18134" i="1"/>
  <c r="C18135" i="1"/>
  <c r="C18136" i="1"/>
  <c r="C18137" i="1"/>
  <c r="C18138" i="1"/>
  <c r="C18139" i="1"/>
  <c r="C18140" i="1"/>
  <c r="C18141" i="1"/>
  <c r="C17406" i="1"/>
  <c r="C18143" i="1"/>
  <c r="C18144" i="1"/>
  <c r="C17258" i="1"/>
  <c r="C18146" i="1"/>
  <c r="C8973" i="1"/>
  <c r="C18148" i="1"/>
  <c r="C18149" i="1"/>
  <c r="C18150" i="1"/>
  <c r="C18151" i="1"/>
  <c r="C18152" i="1"/>
  <c r="C18153" i="1"/>
  <c r="C18154" i="1"/>
  <c r="C18155" i="1"/>
  <c r="C18156" i="1"/>
  <c r="C8974" i="1"/>
  <c r="C18158" i="1"/>
  <c r="C18159" i="1"/>
  <c r="C18160" i="1"/>
  <c r="C18161" i="1"/>
  <c r="C18162" i="1"/>
  <c r="C8993" i="1"/>
  <c r="C18164" i="1"/>
  <c r="C18165" i="1"/>
  <c r="C18166" i="1"/>
  <c r="C18167" i="1"/>
  <c r="C18168" i="1"/>
  <c r="C18169" i="1"/>
  <c r="C20845" i="1"/>
  <c r="C20846" i="1"/>
  <c r="C20847" i="1"/>
  <c r="C20848" i="1"/>
  <c r="C20849" i="1"/>
  <c r="C18175" i="1"/>
  <c r="C20850" i="1"/>
  <c r="C20851" i="1"/>
  <c r="C18178" i="1"/>
  <c r="C18179" i="1"/>
  <c r="C18180" i="1"/>
  <c r="C20852" i="1"/>
  <c r="C20853" i="1"/>
  <c r="C18183" i="1"/>
  <c r="C18184" i="1"/>
  <c r="C20854" i="1"/>
  <c r="C20855" i="1"/>
  <c r="C20857" i="1"/>
  <c r="C20858" i="1"/>
  <c r="C18189" i="1"/>
  <c r="C20859" i="1"/>
  <c r="C20860" i="1"/>
  <c r="C20861" i="1"/>
  <c r="C20862" i="1"/>
  <c r="C18194" i="1"/>
  <c r="C20863" i="1"/>
  <c r="C20864" i="1"/>
  <c r="C20865" i="1"/>
  <c r="C20866" i="1"/>
  <c r="C20867" i="1"/>
  <c r="C20868" i="1"/>
  <c r="C20869" i="1"/>
  <c r="C18202" i="1"/>
  <c r="C20871" i="1"/>
  <c r="C20872" i="1"/>
  <c r="C20873" i="1"/>
  <c r="C18206" i="1"/>
  <c r="C20874" i="1"/>
  <c r="C18208" i="1"/>
  <c r="C20875" i="1"/>
  <c r="C18210" i="1"/>
  <c r="C18211" i="1"/>
  <c r="C18212" i="1"/>
  <c r="C20876" i="1"/>
  <c r="C20877" i="1"/>
  <c r="C20878" i="1"/>
  <c r="C18216" i="1"/>
  <c r="C20879" i="1"/>
  <c r="C20880" i="1"/>
  <c r="C20881" i="1"/>
  <c r="C20882" i="1"/>
  <c r="C20883" i="1"/>
  <c r="C20884" i="1"/>
  <c r="C20885" i="1"/>
  <c r="C20886" i="1"/>
  <c r="C20887" i="1"/>
  <c r="C18226" i="1"/>
  <c r="C17259" i="1"/>
  <c r="C18217" i="1"/>
  <c r="C18229" i="1"/>
  <c r="C18230" i="1"/>
  <c r="C17688" i="1"/>
  <c r="C8997" i="1"/>
  <c r="C18233" i="1"/>
  <c r="C20888" i="1"/>
  <c r="C18235" i="1"/>
  <c r="C9000" i="1"/>
  <c r="C9002" i="1"/>
  <c r="C9005" i="1"/>
  <c r="C20889" i="1"/>
  <c r="C20890" i="1"/>
  <c r="C9007" i="1"/>
  <c r="C18242" i="1"/>
  <c r="C18243" i="1"/>
  <c r="C18244" i="1"/>
  <c r="C18245" i="1"/>
  <c r="C18246" i="1"/>
  <c r="C18247" i="1"/>
  <c r="C9009" i="1"/>
  <c r="C9012" i="1"/>
  <c r="C18250" i="1"/>
  <c r="C18251" i="1"/>
  <c r="C9013" i="1"/>
  <c r="C9014" i="1"/>
  <c r="C9016" i="1"/>
  <c r="C9017" i="1"/>
  <c r="C9026" i="1"/>
  <c r="C18257" i="1"/>
  <c r="C9028" i="1"/>
  <c r="C18259" i="1"/>
  <c r="C18260" i="1"/>
  <c r="C20891" i="1"/>
  <c r="C18262" i="1"/>
  <c r="C9029" i="1"/>
  <c r="C9031" i="1"/>
  <c r="C9034" i="1"/>
  <c r="C18266" i="1"/>
  <c r="C20892" i="1"/>
  <c r="C20893" i="1"/>
  <c r="C9036" i="1"/>
  <c r="C18270" i="1"/>
  <c r="C18271" i="1"/>
  <c r="C18272" i="1"/>
  <c r="C18273" i="1"/>
  <c r="C18274" i="1"/>
  <c r="C18275" i="1"/>
  <c r="C18276" i="1"/>
  <c r="C18277" i="1"/>
  <c r="C18278" i="1"/>
  <c r="C18279" i="1"/>
  <c r="C9040" i="1"/>
  <c r="C9044" i="1"/>
  <c r="C9045" i="1"/>
  <c r="C9047" i="1"/>
  <c r="C9048" i="1"/>
  <c r="C9049" i="1"/>
  <c r="C9051" i="1"/>
  <c r="C9077" i="1"/>
  <c r="C9081" i="1"/>
  <c r="C9082" i="1"/>
  <c r="C9083" i="1"/>
  <c r="C9084" i="1"/>
  <c r="C9086" i="1"/>
  <c r="C9089" i="1"/>
  <c r="C9093" i="1"/>
  <c r="C9095" i="1"/>
  <c r="C9139" i="1"/>
  <c r="C9140" i="1"/>
  <c r="C9141" i="1"/>
  <c r="C9150" i="1"/>
  <c r="C9152" i="1"/>
  <c r="C9153" i="1"/>
  <c r="C9155" i="1"/>
  <c r="C9157" i="1"/>
  <c r="C17260" i="1"/>
  <c r="C18305" i="1"/>
  <c r="C18306" i="1"/>
  <c r="C9158" i="1"/>
  <c r="C18308" i="1"/>
  <c r="C18309" i="1"/>
  <c r="C18310" i="1"/>
  <c r="C9161" i="1"/>
  <c r="C9162" i="1"/>
  <c r="C9163" i="1"/>
  <c r="C9164" i="1"/>
  <c r="C9165" i="1"/>
  <c r="C9166" i="1"/>
  <c r="C18317" i="1"/>
  <c r="C9167" i="1"/>
  <c r="C9168" i="1"/>
  <c r="C9172" i="1"/>
  <c r="C9174" i="1"/>
  <c r="C9175" i="1"/>
  <c r="C9176" i="1"/>
  <c r="C18324" i="1"/>
  <c r="C18325" i="1"/>
  <c r="C18326" i="1"/>
  <c r="C18327" i="1"/>
  <c r="C18328" i="1"/>
  <c r="C18329" i="1"/>
  <c r="C17689" i="1"/>
  <c r="C18331" i="1"/>
  <c r="C18332" i="1"/>
  <c r="C18333" i="1"/>
  <c r="C18334" i="1"/>
  <c r="C18335" i="1"/>
  <c r="C9177" i="1"/>
  <c r="C18337" i="1"/>
  <c r="C18338" i="1"/>
  <c r="C18339" i="1"/>
  <c r="C9182" i="1"/>
  <c r="C17716" i="1"/>
  <c r="C9183" i="1"/>
  <c r="C18343" i="1"/>
  <c r="C18344" i="1"/>
  <c r="C18345" i="1"/>
  <c r="C18346" i="1"/>
  <c r="C18347" i="1"/>
  <c r="C9185" i="1"/>
  <c r="C17536" i="1"/>
  <c r="C17537" i="1"/>
  <c r="C18351" i="1"/>
  <c r="C18352" i="1"/>
  <c r="C9187" i="1"/>
  <c r="C9188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9206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9207" i="1"/>
  <c r="C18684" i="1"/>
  <c r="C18685" i="1"/>
  <c r="C18686" i="1"/>
  <c r="C18687" i="1"/>
  <c r="C20894" i="1"/>
  <c r="C18689" i="1"/>
  <c r="C9208" i="1"/>
  <c r="C9216" i="1"/>
  <c r="C18692" i="1"/>
  <c r="C9218" i="1"/>
  <c r="C18694" i="1"/>
  <c r="C18695" i="1"/>
  <c r="C20895" i="1"/>
  <c r="C20896" i="1"/>
  <c r="C20897" i="1"/>
  <c r="C20898" i="1"/>
  <c r="C20899" i="1"/>
  <c r="C18701" i="1"/>
  <c r="C18702" i="1"/>
  <c r="C18703" i="1"/>
  <c r="C9219" i="1"/>
  <c r="C9220" i="1"/>
  <c r="C18706" i="1"/>
  <c r="C18707" i="1"/>
  <c r="C18708" i="1"/>
  <c r="C20900" i="1"/>
  <c r="C18710" i="1"/>
  <c r="C9261" i="1"/>
  <c r="C9298" i="1"/>
  <c r="C9299" i="1"/>
  <c r="C18714" i="1"/>
  <c r="C17645" i="1"/>
  <c r="C18716" i="1"/>
  <c r="C9300" i="1"/>
  <c r="C18218" i="1"/>
  <c r="C18719" i="1"/>
  <c r="C18720" i="1"/>
  <c r="C9302" i="1"/>
  <c r="C18722" i="1"/>
  <c r="C18723" i="1"/>
  <c r="C18724" i="1"/>
  <c r="C9303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27" i="1"/>
  <c r="C9328" i="1"/>
  <c r="C9329" i="1"/>
  <c r="C20901" i="1"/>
  <c r="C9330" i="1"/>
  <c r="C20902" i="1"/>
  <c r="C20903" i="1"/>
  <c r="C20904" i="1"/>
  <c r="C20905" i="1"/>
  <c r="C20906" i="1"/>
  <c r="C20907" i="1"/>
  <c r="C20908" i="1"/>
  <c r="C20909" i="1"/>
  <c r="C9331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18766" i="1"/>
  <c r="C20922" i="1"/>
  <c r="C20923" i="1"/>
  <c r="C20924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18811" i="1"/>
  <c r="C20967" i="1"/>
  <c r="C20968" i="1"/>
  <c r="C20969" i="1"/>
  <c r="C20970" i="1"/>
  <c r="C20971" i="1"/>
  <c r="C20972" i="1"/>
  <c r="C18818" i="1"/>
  <c r="C20973" i="1"/>
  <c r="C20974" i="1"/>
  <c r="C9332" i="1"/>
  <c r="C20975" i="1"/>
  <c r="C20976" i="1"/>
  <c r="C20977" i="1"/>
  <c r="C20978" i="1"/>
  <c r="C20979" i="1"/>
  <c r="C20980" i="1"/>
  <c r="C20981" i="1"/>
  <c r="C20982" i="1"/>
  <c r="C20983" i="1"/>
  <c r="C20984" i="1"/>
  <c r="C18832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8" i="1"/>
  <c r="C21029" i="1"/>
  <c r="C21030" i="1"/>
  <c r="C21031" i="1"/>
  <c r="C21032" i="1"/>
  <c r="C21033" i="1"/>
  <c r="C18881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18919" i="1"/>
  <c r="C18920" i="1"/>
  <c r="C18921" i="1"/>
  <c r="C18922" i="1"/>
  <c r="C18923" i="1"/>
  <c r="C21071" i="1"/>
  <c r="C21072" i="1"/>
  <c r="C21073" i="1"/>
  <c r="C21074" i="1"/>
  <c r="C21075" i="1"/>
  <c r="C21076" i="1"/>
  <c r="C21077" i="1"/>
  <c r="C21078" i="1"/>
  <c r="C21079" i="1"/>
  <c r="C21081" i="1"/>
  <c r="C21082" i="1"/>
  <c r="C21083" i="1"/>
  <c r="C21084" i="1"/>
  <c r="C21085" i="1"/>
  <c r="C21086" i="1"/>
  <c r="C9333" i="1"/>
  <c r="C9335" i="1"/>
  <c r="C18941" i="1"/>
  <c r="C9336" i="1"/>
  <c r="C9338" i="1"/>
  <c r="C9344" i="1"/>
  <c r="C9346" i="1"/>
  <c r="C9362" i="1"/>
  <c r="C9364" i="1"/>
  <c r="C9365" i="1"/>
  <c r="C9367" i="1"/>
  <c r="C9368" i="1"/>
  <c r="C9370" i="1"/>
  <c r="C9456" i="1"/>
  <c r="C9457" i="1"/>
  <c r="C9460" i="1"/>
  <c r="C9464" i="1"/>
  <c r="C9468" i="1"/>
  <c r="C9470" i="1"/>
  <c r="C9471" i="1"/>
  <c r="C9474" i="1"/>
  <c r="C9475" i="1"/>
  <c r="C9476" i="1"/>
  <c r="C9480" i="1"/>
  <c r="C9481" i="1"/>
  <c r="C9483" i="1"/>
  <c r="C9485" i="1"/>
  <c r="C9487" i="1"/>
  <c r="C9491" i="1"/>
  <c r="C9492" i="1"/>
  <c r="C9494" i="1"/>
  <c r="C9532" i="1"/>
  <c r="C9533" i="1"/>
  <c r="C9534" i="1"/>
  <c r="C9535" i="1"/>
  <c r="C10864" i="1"/>
  <c r="C15407" i="1"/>
  <c r="C15409" i="1"/>
  <c r="C15411" i="1"/>
  <c r="C15412" i="1"/>
  <c r="C18979" i="1"/>
  <c r="C15413" i="1"/>
  <c r="C15418" i="1"/>
  <c r="C15421" i="1"/>
  <c r="C15423" i="1"/>
  <c r="C18984" i="1"/>
  <c r="C15426" i="1"/>
  <c r="C15427" i="1"/>
  <c r="C18987" i="1"/>
  <c r="C15428" i="1"/>
  <c r="C15434" i="1"/>
  <c r="C15435" i="1"/>
  <c r="C15438" i="1"/>
  <c r="C15442" i="1"/>
  <c r="C15443" i="1"/>
  <c r="C15444" i="1"/>
  <c r="C15447" i="1"/>
  <c r="C15448" i="1"/>
  <c r="C15453" i="1"/>
  <c r="C15458" i="1"/>
  <c r="C15460" i="1"/>
  <c r="C15461" i="1"/>
  <c r="C15466" i="1"/>
  <c r="C15467" i="1"/>
  <c r="C15468" i="1"/>
  <c r="C15477" i="1"/>
  <c r="C15478" i="1"/>
  <c r="C15479" i="1"/>
  <c r="C15482" i="1"/>
  <c r="C15485" i="1"/>
  <c r="C15488" i="1"/>
  <c r="C15489" i="1"/>
  <c r="C19011" i="1"/>
  <c r="C21087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5493" i="1"/>
  <c r="C15495" i="1"/>
  <c r="C15498" i="1"/>
  <c r="C15500" i="1"/>
  <c r="C15501" i="1"/>
  <c r="C15503" i="1"/>
  <c r="C15504" i="1"/>
  <c r="C15505" i="1"/>
  <c r="C15506" i="1"/>
  <c r="C15507" i="1"/>
  <c r="C15509" i="1"/>
  <c r="C15510" i="1"/>
  <c r="C19229" i="1"/>
  <c r="C15511" i="1"/>
  <c r="C15512" i="1"/>
  <c r="C15513" i="1"/>
  <c r="C15514" i="1"/>
  <c r="C19234" i="1"/>
  <c r="C15516" i="1"/>
  <c r="C15520" i="1"/>
  <c r="C19237" i="1"/>
  <c r="C15522" i="1"/>
  <c r="C15523" i="1"/>
  <c r="C15524" i="1"/>
  <c r="C15525" i="1"/>
  <c r="C15526" i="1"/>
  <c r="C15528" i="1"/>
  <c r="C15529" i="1"/>
  <c r="C15530" i="1"/>
  <c r="C19246" i="1"/>
  <c r="C15539" i="1"/>
  <c r="C15541" i="1"/>
  <c r="C15542" i="1"/>
  <c r="C15545" i="1"/>
  <c r="C15546" i="1"/>
  <c r="C19252" i="1"/>
  <c r="C19253" i="1"/>
  <c r="C15548" i="1"/>
  <c r="C15549" i="1"/>
  <c r="C15550" i="1"/>
  <c r="C15551" i="1"/>
  <c r="C15552" i="1"/>
  <c r="C15553" i="1"/>
  <c r="C15555" i="1"/>
  <c r="C15558" i="1"/>
  <c r="C15560" i="1"/>
  <c r="C15563" i="1"/>
  <c r="C15566" i="1"/>
  <c r="C19265" i="1"/>
  <c r="C15576" i="1"/>
  <c r="C15577" i="1"/>
  <c r="C15578" i="1"/>
  <c r="C15579" i="1"/>
  <c r="C19270" i="1"/>
  <c r="C15583" i="1"/>
  <c r="C15584" i="1"/>
  <c r="C15586" i="1"/>
  <c r="C15587" i="1"/>
  <c r="C15588" i="1"/>
  <c r="C18188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19381" i="1"/>
  <c r="C21105" i="1"/>
  <c r="C21106" i="1"/>
  <c r="C21107" i="1"/>
  <c r="C21108" i="1"/>
  <c r="C21109" i="1"/>
  <c r="C19387" i="1"/>
  <c r="C19388" i="1"/>
  <c r="C21110" i="1"/>
  <c r="C21111" i="1"/>
  <c r="C21112" i="1"/>
  <c r="C21113" i="1"/>
  <c r="C21114" i="1"/>
  <c r="C21115" i="1"/>
  <c r="C21116" i="1"/>
  <c r="C21117" i="1"/>
  <c r="C21118" i="1"/>
  <c r="C21121" i="1"/>
  <c r="C21122" i="1"/>
  <c r="C19400" i="1"/>
  <c r="C21124" i="1"/>
  <c r="C21125" i="1"/>
  <c r="C19403" i="1"/>
  <c r="C21126" i="1"/>
  <c r="C21127" i="1"/>
  <c r="C21128" i="1"/>
  <c r="C19407" i="1"/>
  <c r="C21129" i="1"/>
  <c r="C21130" i="1"/>
  <c r="C21131" i="1"/>
  <c r="C21132" i="1"/>
  <c r="C21133" i="1"/>
  <c r="C21134" i="1"/>
  <c r="C21135" i="1"/>
  <c r="C21136" i="1"/>
  <c r="C1941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19453" i="1"/>
  <c r="C21174" i="1"/>
  <c r="C21175" i="1"/>
  <c r="C21176" i="1"/>
  <c r="C21177" i="1"/>
  <c r="C21178" i="1"/>
  <c r="C19459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5" i="1"/>
  <c r="C21196" i="1"/>
  <c r="C21197" i="1"/>
  <c r="C21198" i="1"/>
  <c r="C21199" i="1"/>
  <c r="C19480" i="1"/>
  <c r="C21200" i="1"/>
  <c r="C21201" i="1"/>
  <c r="C21202" i="1"/>
  <c r="C21203" i="1"/>
  <c r="C21204" i="1"/>
  <c r="C21205" i="1"/>
  <c r="C21206" i="1"/>
  <c r="C21207" i="1"/>
  <c r="C21208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19504" i="1"/>
  <c r="C19505" i="1"/>
  <c r="C21224" i="1"/>
  <c r="C21225" i="1"/>
  <c r="C21226" i="1"/>
  <c r="C21227" i="1"/>
  <c r="C21228" i="1"/>
  <c r="C21229" i="1"/>
  <c r="C21230" i="1"/>
  <c r="C21231" i="1"/>
  <c r="C21232" i="1"/>
  <c r="C15589" i="1"/>
  <c r="C21233" i="1"/>
  <c r="C19517" i="1"/>
  <c r="C19518" i="1"/>
  <c r="C15591" i="1"/>
  <c r="C15596" i="1"/>
  <c r="C19521" i="1"/>
  <c r="C19522" i="1"/>
  <c r="C15598" i="1"/>
  <c r="C21234" i="1"/>
  <c r="C21235" i="1"/>
  <c r="C15599" i="1"/>
  <c r="C21236" i="1"/>
  <c r="C21237" i="1"/>
  <c r="C19529" i="1"/>
  <c r="C15600" i="1"/>
  <c r="C19531" i="1"/>
  <c r="C15602" i="1"/>
  <c r="C21238" i="1"/>
  <c r="C17634" i="1"/>
  <c r="C15604" i="1"/>
  <c r="C17570" i="1"/>
  <c r="C19537" i="1"/>
  <c r="C21239" i="1"/>
  <c r="C17654" i="1"/>
  <c r="C15605" i="1"/>
  <c r="C15606" i="1"/>
  <c r="C15609" i="1"/>
  <c r="C19543" i="1"/>
  <c r="C19544" i="1"/>
  <c r="C17638" i="1"/>
  <c r="C15613" i="1"/>
  <c r="C21240" i="1"/>
  <c r="C17473" i="1"/>
  <c r="C19549" i="1"/>
  <c r="C19550" i="1"/>
  <c r="C15614" i="1"/>
  <c r="C15625" i="1"/>
  <c r="C17555" i="1"/>
  <c r="C15627" i="1"/>
  <c r="C19555" i="1"/>
  <c r="C19556" i="1"/>
  <c r="C15631" i="1"/>
  <c r="C15633" i="1"/>
  <c r="C19559" i="1"/>
  <c r="C18219" i="1"/>
  <c r="C15634" i="1"/>
  <c r="C15635" i="1"/>
  <c r="C15636" i="1"/>
  <c r="C15637" i="1"/>
  <c r="C15642" i="1"/>
  <c r="C15643" i="1"/>
  <c r="C15644" i="1"/>
  <c r="C15649" i="1"/>
  <c r="C15653" i="1"/>
  <c r="C15654" i="1"/>
  <c r="C15655" i="1"/>
  <c r="C15656" i="1"/>
  <c r="C15657" i="1"/>
  <c r="C15658" i="1"/>
  <c r="C15663" i="1"/>
  <c r="C15671" i="1"/>
  <c r="C15678" i="1"/>
  <c r="C15680" i="1"/>
  <c r="C15681" i="1"/>
  <c r="C15682" i="1"/>
  <c r="C17678" i="1"/>
  <c r="C15683" i="1"/>
  <c r="C17571" i="1"/>
  <c r="C15686" i="1"/>
  <c r="C15693" i="1"/>
  <c r="C21241" i="1"/>
  <c r="C15694" i="1"/>
  <c r="C17734" i="1"/>
  <c r="C19589" i="1"/>
  <c r="C21242" i="1"/>
  <c r="C17367" i="1"/>
  <c r="C15697" i="1"/>
  <c r="C21243" i="1"/>
  <c r="C15699" i="1"/>
  <c r="C17520" i="1"/>
  <c r="C21244" i="1"/>
  <c r="C21245" i="1"/>
  <c r="C19598" i="1"/>
  <c r="C18292" i="1"/>
  <c r="C18220" i="1"/>
  <c r="C19601" i="1"/>
  <c r="C17261" i="1"/>
  <c r="C18221" i="1"/>
  <c r="C15701" i="1"/>
  <c r="C19605" i="1"/>
  <c r="C19606" i="1"/>
  <c r="C17263" i="1"/>
  <c r="C15702" i="1"/>
  <c r="C15704" i="1"/>
  <c r="C15709" i="1"/>
  <c r="C17264" i="1"/>
  <c r="C21246" i="1"/>
  <c r="C17521" i="1"/>
  <c r="C19614" i="1"/>
  <c r="C15712" i="1"/>
  <c r="C18222" i="1"/>
  <c r="C15717" i="1"/>
  <c r="C15718" i="1"/>
  <c r="C15732" i="1"/>
  <c r="C15733" i="1"/>
  <c r="C19621" i="1"/>
  <c r="C17265" i="1"/>
  <c r="C17582" i="1"/>
  <c r="C15734" i="1"/>
  <c r="C15735" i="1"/>
  <c r="C15736" i="1"/>
  <c r="C15737" i="1"/>
  <c r="C15738" i="1"/>
  <c r="C19629" i="1"/>
  <c r="C19630" i="1"/>
  <c r="C19631" i="1"/>
  <c r="C15740" i="1"/>
  <c r="C15741" i="1"/>
  <c r="C15743" i="1"/>
  <c r="C15746" i="1"/>
  <c r="C15747" i="1"/>
  <c r="C19637" i="1"/>
  <c r="C15748" i="1"/>
  <c r="C19639" i="1"/>
  <c r="C19640" i="1"/>
  <c r="C19641" i="1"/>
  <c r="C15749" i="1"/>
  <c r="C15754" i="1"/>
  <c r="C19644" i="1"/>
  <c r="C19645" i="1"/>
  <c r="C15755" i="1"/>
  <c r="C15756" i="1"/>
  <c r="C15758" i="1"/>
  <c r="C15759" i="1"/>
  <c r="C15760" i="1"/>
  <c r="C15761" i="1"/>
  <c r="C15765" i="1"/>
  <c r="C15769" i="1"/>
  <c r="C15770" i="1"/>
  <c r="C15772" i="1"/>
  <c r="C15773" i="1"/>
  <c r="C15774" i="1"/>
  <c r="C15776" i="1"/>
  <c r="C19659" i="1"/>
  <c r="C15777" i="1"/>
  <c r="C19661" i="1"/>
  <c r="C15780" i="1"/>
  <c r="C19663" i="1"/>
  <c r="C19664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8" i="1"/>
  <c r="C21269" i="1"/>
  <c r="C21270" i="1"/>
  <c r="C21271" i="1"/>
  <c r="C21272" i="1"/>
  <c r="C21273" i="1"/>
  <c r="C21274" i="1"/>
  <c r="C21275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19706" i="1"/>
  <c r="C15781" i="1"/>
  <c r="C19708" i="1"/>
  <c r="C19709" i="1"/>
  <c r="C15782" i="1"/>
  <c r="C19711" i="1"/>
  <c r="C21291" i="1"/>
  <c r="C21292" i="1"/>
  <c r="C21294" i="1"/>
  <c r="C21295" i="1"/>
  <c r="C21298" i="1"/>
  <c r="C21299" i="1"/>
  <c r="C19718" i="1"/>
  <c r="C21311" i="1"/>
  <c r="C21312" i="1"/>
  <c r="C21313" i="1"/>
  <c r="C21314" i="1"/>
  <c r="C21330" i="1"/>
  <c r="C21332" i="1"/>
  <c r="C21335" i="1"/>
  <c r="C21339" i="1"/>
  <c r="C21340" i="1"/>
  <c r="C21341" i="1"/>
  <c r="C21342" i="1"/>
  <c r="C21343" i="1"/>
  <c r="C21344" i="1"/>
  <c r="C21345" i="1"/>
  <c r="C21348" i="1"/>
  <c r="C21353" i="1"/>
  <c r="C21354" i="1"/>
  <c r="C21355" i="1"/>
  <c r="C21356" i="1"/>
  <c r="C19738" i="1"/>
  <c r="C21357" i="1"/>
  <c r="C19740" i="1"/>
  <c r="C21360" i="1"/>
  <c r="C21361" i="1"/>
  <c r="C21363" i="1"/>
  <c r="C21364" i="1"/>
  <c r="C21368" i="1"/>
  <c r="C21369" i="1"/>
  <c r="C21370" i="1"/>
  <c r="C21371" i="1"/>
  <c r="C21375" i="1"/>
  <c r="C21377" i="1"/>
  <c r="C19751" i="1"/>
  <c r="C21378" i="1"/>
  <c r="C21379" i="1"/>
  <c r="C21382" i="1"/>
  <c r="C21384" i="1"/>
  <c r="C21385" i="1"/>
  <c r="C21386" i="1"/>
  <c r="C21390" i="1"/>
  <c r="C21401" i="1"/>
  <c r="C21402" i="1"/>
  <c r="C21404" i="1"/>
  <c r="C21410" i="1"/>
  <c r="C21417" i="1"/>
  <c r="C21418" i="1"/>
  <c r="C21419" i="1"/>
  <c r="C21420" i="1"/>
  <c r="C21421" i="1"/>
  <c r="C21422" i="1"/>
  <c r="C21423" i="1"/>
  <c r="C21424" i="1"/>
  <c r="C19771" i="1"/>
  <c r="C21425" i="1"/>
  <c r="C21427" i="1"/>
  <c r="C21429" i="1"/>
  <c r="C21432" i="1"/>
  <c r="C21433" i="1"/>
  <c r="C21435" i="1"/>
  <c r="C21436" i="1"/>
  <c r="C21437" i="1"/>
  <c r="C21438" i="1"/>
  <c r="C21439" i="1"/>
  <c r="C21441" i="1"/>
  <c r="C21442" i="1"/>
  <c r="C21443" i="1"/>
  <c r="C21444" i="1"/>
  <c r="C21446" i="1"/>
  <c r="C21447" i="1"/>
  <c r="C21448" i="1"/>
  <c r="C21449" i="1"/>
  <c r="C21450" i="1"/>
  <c r="C19791" i="1"/>
  <c r="C21452" i="1"/>
  <c r="C19793" i="1"/>
  <c r="C21453" i="1"/>
  <c r="C21454" i="1"/>
  <c r="C21456" i="1"/>
  <c r="C21457" i="1"/>
  <c r="C21458" i="1"/>
  <c r="C21459" i="1"/>
  <c r="C21460" i="1"/>
  <c r="C21461" i="1"/>
  <c r="C21462" i="1"/>
  <c r="C21463" i="1"/>
  <c r="C21464" i="1"/>
  <c r="C21466" i="1"/>
  <c r="C19806" i="1"/>
  <c r="C19807" i="1"/>
  <c r="C21467" i="1"/>
  <c r="C21468" i="1"/>
  <c r="C21469" i="1"/>
  <c r="C21471" i="1"/>
  <c r="C21472" i="1"/>
  <c r="C21473" i="1"/>
  <c r="C21474" i="1"/>
  <c r="C21475" i="1"/>
  <c r="C21476" i="1"/>
  <c r="C21478" i="1"/>
  <c r="C21479" i="1"/>
  <c r="C21480" i="1"/>
  <c r="C19820" i="1"/>
  <c r="C21482" i="1"/>
  <c r="C21483" i="1"/>
  <c r="C21485" i="1"/>
  <c r="C21486" i="1"/>
  <c r="C21487" i="1"/>
  <c r="C21489" i="1"/>
  <c r="C21491" i="1"/>
  <c r="C21492" i="1"/>
  <c r="C21493" i="1"/>
  <c r="C21494" i="1"/>
  <c r="C21495" i="1"/>
  <c r="C19832" i="1"/>
  <c r="C21496" i="1"/>
  <c r="C19834" i="1"/>
  <c r="C19835" i="1"/>
  <c r="C21497" i="1"/>
  <c r="C21498" i="1"/>
  <c r="C21499" i="1"/>
  <c r="C21501" i="1"/>
  <c r="C21502" i="1"/>
  <c r="C21503" i="1"/>
  <c r="C21504" i="1"/>
  <c r="C21505" i="1"/>
  <c r="C21506" i="1"/>
  <c r="C19845" i="1"/>
  <c r="C21507" i="1"/>
  <c r="C21508" i="1"/>
  <c r="C21509" i="1"/>
  <c r="C21510" i="1"/>
  <c r="C21511" i="1"/>
  <c r="C21512" i="1"/>
  <c r="C21515" i="1"/>
  <c r="C19853" i="1"/>
  <c r="C19854" i="1"/>
  <c r="C15784" i="1"/>
  <c r="C15787" i="1"/>
  <c r="C15788" i="1"/>
  <c r="C15789" i="1"/>
  <c r="C15791" i="1"/>
  <c r="C15792" i="1"/>
  <c r="C15793" i="1"/>
  <c r="C15795" i="1"/>
  <c r="C19863" i="1"/>
  <c r="C15796" i="1"/>
  <c r="C15798" i="1"/>
  <c r="C15799" i="1"/>
  <c r="C15800" i="1"/>
  <c r="C15801" i="1"/>
  <c r="C15802" i="1"/>
  <c r="C15805" i="1"/>
  <c r="C15806" i="1"/>
  <c r="C15807" i="1"/>
  <c r="C15808" i="1"/>
  <c r="C15810" i="1"/>
  <c r="C15811" i="1"/>
  <c r="C15812" i="1"/>
  <c r="C15813" i="1"/>
  <c r="C15814" i="1"/>
  <c r="C15815" i="1"/>
  <c r="C15816" i="1"/>
  <c r="C15817" i="1"/>
  <c r="C15829" i="1"/>
  <c r="C15830" i="1"/>
  <c r="C15831" i="1"/>
  <c r="C15832" i="1"/>
  <c r="C15833" i="1"/>
  <c r="C15834" i="1"/>
  <c r="C15836" i="1"/>
  <c r="C15837" i="1"/>
  <c r="C15838" i="1"/>
  <c r="C15839" i="1"/>
  <c r="C15841" i="1"/>
  <c r="C15843" i="1"/>
  <c r="C15844" i="1"/>
  <c r="C15845" i="1"/>
  <c r="C15847" i="1"/>
  <c r="C15848" i="1"/>
  <c r="C15849" i="1"/>
  <c r="C15850" i="1"/>
  <c r="C19900" i="1"/>
  <c r="C19901" i="1"/>
  <c r="C15852" i="1"/>
  <c r="C15856" i="1"/>
  <c r="C15857" i="1"/>
  <c r="C15858" i="1"/>
  <c r="C15859" i="1"/>
  <c r="C15860" i="1"/>
  <c r="C15861" i="1"/>
  <c r="C15862" i="1"/>
  <c r="C15863" i="1"/>
  <c r="C15864" i="1"/>
  <c r="C15865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7" i="1"/>
  <c r="C15888" i="1"/>
  <c r="C19930" i="1"/>
  <c r="C19931" i="1"/>
  <c r="C15890" i="1"/>
  <c r="C15891" i="1"/>
  <c r="C19934" i="1"/>
  <c r="C15892" i="1"/>
  <c r="C19936" i="1"/>
  <c r="C15893" i="1"/>
  <c r="C15894" i="1"/>
  <c r="C15895" i="1"/>
  <c r="C15896" i="1"/>
  <c r="C19941" i="1"/>
  <c r="C19942" i="1"/>
  <c r="C15897" i="1"/>
  <c r="C15898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21516" i="1"/>
  <c r="C19966" i="1"/>
  <c r="C19967" i="1"/>
  <c r="C19968" i="1"/>
  <c r="C19969" i="1"/>
  <c r="C18174" i="1"/>
  <c r="C19971" i="1"/>
  <c r="C17717" i="1"/>
  <c r="C19973" i="1"/>
  <c r="C15900" i="1"/>
  <c r="C21517" i="1"/>
  <c r="C15901" i="1"/>
  <c r="C15902" i="1"/>
  <c r="C21521" i="1"/>
  <c r="C17266" i="1"/>
  <c r="C15903" i="1"/>
  <c r="C21524" i="1"/>
  <c r="C15904" i="1"/>
  <c r="C19983" i="1"/>
  <c r="C15905" i="1"/>
  <c r="C19985" i="1"/>
  <c r="C17646" i="1"/>
  <c r="C19987" i="1"/>
  <c r="C19988" i="1"/>
  <c r="C15907" i="1"/>
  <c r="C15909" i="1"/>
  <c r="C21528" i="1"/>
  <c r="C19992" i="1"/>
  <c r="C21531" i="1"/>
  <c r="C21532" i="1"/>
  <c r="C21536" i="1"/>
  <c r="C19996" i="1"/>
  <c r="C15910" i="1"/>
  <c r="C19998" i="1"/>
  <c r="C15911" i="1"/>
  <c r="C15913" i="1"/>
  <c r="C15914" i="1"/>
  <c r="C20002" i="1"/>
  <c r="C20003" i="1"/>
  <c r="C15915" i="1"/>
  <c r="C20005" i="1"/>
  <c r="C15917" i="1"/>
  <c r="C15918" i="1"/>
  <c r="C15919" i="1"/>
  <c r="C15922" i="1"/>
  <c r="C20010" i="1"/>
  <c r="C17675" i="1"/>
  <c r="C15927" i="1"/>
  <c r="C15931" i="1"/>
  <c r="C15979" i="1"/>
  <c r="C15980" i="1"/>
  <c r="C20016" i="1"/>
  <c r="C15982" i="1"/>
  <c r="C15983" i="1"/>
  <c r="C15984" i="1"/>
  <c r="C15985" i="1"/>
  <c r="C20021" i="1"/>
  <c r="C20022" i="1"/>
  <c r="C15998" i="1"/>
  <c r="C15999" i="1"/>
  <c r="C20025" i="1"/>
  <c r="C16001" i="1"/>
  <c r="C16002" i="1"/>
  <c r="C16004" i="1"/>
  <c r="C20029" i="1"/>
  <c r="C18318" i="1"/>
  <c r="C20031" i="1"/>
  <c r="C16007" i="1"/>
  <c r="C20033" i="1"/>
  <c r="C20034" i="1"/>
  <c r="C20035" i="1"/>
  <c r="C21554" i="1"/>
  <c r="C17410" i="1"/>
  <c r="C17522" i="1"/>
  <c r="C17696" i="1"/>
  <c r="C17690" i="1"/>
  <c r="C17655" i="1"/>
  <c r="C20042" i="1"/>
  <c r="C20043" i="1"/>
  <c r="C17584" i="1"/>
  <c r="C20045" i="1"/>
  <c r="C20046" i="1"/>
  <c r="C20047" i="1"/>
  <c r="C20048" i="1"/>
  <c r="C21557" i="1"/>
  <c r="C20050" i="1"/>
  <c r="C20051" i="1"/>
  <c r="C20052" i="1"/>
  <c r="C20053" i="1"/>
  <c r="C20054" i="1"/>
  <c r="C20055" i="1"/>
  <c r="C20056" i="1"/>
  <c r="C20057" i="1"/>
  <c r="C17538" i="1"/>
  <c r="C20059" i="1"/>
  <c r="C17539" i="1"/>
  <c r="C16008" i="1"/>
  <c r="C20062" i="1"/>
  <c r="C16009" i="1"/>
  <c r="C20064" i="1"/>
  <c r="C16010" i="1"/>
  <c r="C20066" i="1"/>
  <c r="C17703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17267" i="1"/>
  <c r="C20101" i="1"/>
  <c r="C16011" i="1"/>
  <c r="C18319" i="1"/>
  <c r="C20104" i="1"/>
  <c r="C20105" i="1"/>
  <c r="C20106" i="1"/>
  <c r="C20107" i="1"/>
  <c r="C20108" i="1"/>
  <c r="C16012" i="1"/>
  <c r="C20110" i="1"/>
  <c r="C16013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16016" i="1"/>
  <c r="C20133" i="1"/>
  <c r="C20134" i="1"/>
  <c r="C20135" i="1"/>
  <c r="C20136" i="1"/>
  <c r="C20137" i="1"/>
  <c r="C20138" i="1"/>
  <c r="C20139" i="1"/>
  <c r="C16021" i="1"/>
  <c r="C16022" i="1"/>
  <c r="C16023" i="1"/>
  <c r="C16024" i="1"/>
  <c r="C16025" i="1"/>
  <c r="C16026" i="1"/>
  <c r="C16027" i="1"/>
  <c r="C16030" i="1"/>
  <c r="C16031" i="1"/>
  <c r="C20149" i="1"/>
  <c r="C16043" i="1"/>
  <c r="C16044" i="1"/>
  <c r="C16049" i="1"/>
  <c r="C20153" i="1"/>
  <c r="C16051" i="1"/>
  <c r="C20155" i="1"/>
  <c r="C21558" i="1"/>
  <c r="C20157" i="1"/>
  <c r="C20158" i="1"/>
  <c r="C20159" i="1"/>
  <c r="C16053" i="1"/>
  <c r="C20161" i="1"/>
  <c r="C17268" i="1"/>
  <c r="C20163" i="1"/>
  <c r="C20164" i="1"/>
  <c r="C17368" i="1"/>
  <c r="C17371" i="1"/>
  <c r="C20167" i="1"/>
  <c r="C16054" i="1"/>
  <c r="C16055" i="1"/>
  <c r="C16056" i="1"/>
  <c r="C18240" i="1"/>
  <c r="C16057" i="1"/>
  <c r="C17378" i="1"/>
  <c r="C20174" i="1"/>
  <c r="C16058" i="1"/>
  <c r="C16059" i="1"/>
  <c r="C20177" i="1"/>
  <c r="C16060" i="1"/>
  <c r="C20179" i="1"/>
  <c r="C16063" i="1"/>
  <c r="C16064" i="1"/>
  <c r="C16066" i="1"/>
  <c r="C16067" i="1"/>
  <c r="C16068" i="1"/>
  <c r="C16069" i="1"/>
  <c r="C16074" i="1"/>
  <c r="C16075" i="1"/>
  <c r="C16078" i="1"/>
  <c r="C16079" i="1"/>
  <c r="C16081" i="1"/>
  <c r="C16083" i="1"/>
  <c r="C16085" i="1"/>
  <c r="C16088" i="1"/>
  <c r="C16092" i="1"/>
  <c r="C16112" i="1"/>
  <c r="C16113" i="1"/>
  <c r="C17620" i="1"/>
  <c r="C20198" i="1"/>
  <c r="C16114" i="1"/>
  <c r="C20200" i="1"/>
  <c r="C20201" i="1"/>
  <c r="C20202" i="1"/>
  <c r="C20203" i="1"/>
  <c r="C20204" i="1"/>
  <c r="C20205" i="1"/>
  <c r="C20206" i="1"/>
  <c r="C16115" i="1"/>
  <c r="C16118" i="1"/>
  <c r="C20209" i="1"/>
  <c r="C20210" i="1"/>
  <c r="C16123" i="1"/>
  <c r="C16126" i="1"/>
  <c r="C20213" i="1"/>
  <c r="C20214" i="1"/>
  <c r="C16127" i="1"/>
  <c r="C20216" i="1"/>
  <c r="C20217" i="1"/>
  <c r="C17540" i="1"/>
  <c r="C16135" i="1"/>
  <c r="C16138" i="1"/>
  <c r="C17656" i="1"/>
  <c r="C17474" i="1"/>
  <c r="C17718" i="1"/>
  <c r="C17415" i="1"/>
  <c r="C20225" i="1"/>
  <c r="C20226" i="1"/>
  <c r="C20227" i="1"/>
  <c r="C20228" i="1"/>
  <c r="C20229" i="1"/>
  <c r="C20230" i="1"/>
  <c r="C20231" i="1"/>
  <c r="C17269" i="1"/>
  <c r="C20233" i="1"/>
  <c r="C16139" i="1"/>
  <c r="C16140" i="1"/>
  <c r="C16141" i="1"/>
  <c r="C17270" i="1"/>
  <c r="C16142" i="1"/>
  <c r="C20239" i="1"/>
  <c r="C20240" i="1"/>
  <c r="C16143" i="1"/>
  <c r="C21559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20257" i="1"/>
  <c r="C20258" i="1"/>
  <c r="C20259" i="1"/>
  <c r="C16158" i="1"/>
  <c r="C16159" i="1"/>
  <c r="C16160" i="1"/>
  <c r="C16161" i="1"/>
  <c r="C16162" i="1"/>
  <c r="C21560" i="1"/>
  <c r="C16164" i="1"/>
  <c r="C16165" i="1"/>
  <c r="C16166" i="1"/>
  <c r="C16167" i="1"/>
  <c r="C16168" i="1"/>
  <c r="C16169" i="1"/>
  <c r="C16170" i="1"/>
  <c r="C16171" i="1"/>
  <c r="C20274" i="1"/>
  <c r="C16172" i="1"/>
  <c r="C16174" i="1"/>
  <c r="C16175" i="1"/>
  <c r="C16176" i="1"/>
  <c r="C16177" i="1"/>
  <c r="C16178" i="1"/>
  <c r="C20281" i="1"/>
  <c r="C16179" i="1"/>
  <c r="C20283" i="1"/>
  <c r="C16181" i="1"/>
  <c r="C16182" i="1"/>
  <c r="C16183" i="1"/>
  <c r="C16187" i="1"/>
  <c r="C16201" i="1"/>
  <c r="C20289" i="1"/>
  <c r="C16212" i="1"/>
  <c r="C16224" i="1"/>
  <c r="C16225" i="1"/>
  <c r="C20293" i="1"/>
  <c r="C16226" i="1"/>
  <c r="C16227" i="1"/>
  <c r="C16228" i="1"/>
  <c r="C16229" i="1"/>
  <c r="C16230" i="1"/>
  <c r="C16231" i="1"/>
  <c r="C16232" i="1"/>
  <c r="C16233" i="1"/>
  <c r="C16235" i="1"/>
  <c r="C16236" i="1"/>
  <c r="C16237" i="1"/>
  <c r="C16239" i="1"/>
  <c r="C16240" i="1"/>
  <c r="C16242" i="1"/>
  <c r="C16243" i="1"/>
  <c r="C16246" i="1"/>
  <c r="C16247" i="1"/>
  <c r="C16254" i="1"/>
  <c r="C16257" i="1"/>
  <c r="C16258" i="1"/>
  <c r="C16263" i="1"/>
  <c r="C16264" i="1"/>
  <c r="C16268" i="1"/>
  <c r="C16271" i="1"/>
  <c r="C16279" i="1"/>
  <c r="C16283" i="1"/>
  <c r="C16287" i="1"/>
  <c r="C16291" i="1"/>
  <c r="C16295" i="1"/>
  <c r="C16298" i="1"/>
  <c r="C16301" i="1"/>
  <c r="C16302" i="1"/>
  <c r="C16303" i="1"/>
  <c r="C16304" i="1"/>
  <c r="C16305" i="1"/>
  <c r="C16306" i="1"/>
  <c r="C20330" i="1"/>
  <c r="C16307" i="1"/>
  <c r="C20332" i="1"/>
  <c r="C16311" i="1"/>
  <c r="C16342" i="1"/>
  <c r="C16343" i="1"/>
  <c r="C16344" i="1"/>
  <c r="C16345" i="1"/>
  <c r="C16346" i="1"/>
  <c r="C16347" i="1"/>
  <c r="C16351" i="1"/>
  <c r="C16352" i="1"/>
  <c r="C16355" i="1"/>
  <c r="C16360" i="1"/>
  <c r="C16361" i="1"/>
  <c r="C16362" i="1"/>
  <c r="C16364" i="1"/>
  <c r="C20347" i="1"/>
  <c r="C16366" i="1"/>
  <c r="C16367" i="1"/>
  <c r="C20350" i="1"/>
  <c r="C16375" i="1"/>
  <c r="C16376" i="1"/>
  <c r="C16377" i="1"/>
  <c r="C16382" i="1"/>
  <c r="C20355" i="1"/>
  <c r="C16384" i="1"/>
  <c r="C16385" i="1"/>
  <c r="C16389" i="1"/>
  <c r="C16390" i="1"/>
  <c r="C16391" i="1"/>
  <c r="C20361" i="1"/>
  <c r="C20362" i="1"/>
  <c r="C20363" i="1"/>
  <c r="C20364" i="1"/>
  <c r="C20365" i="1"/>
  <c r="C16397" i="1"/>
  <c r="C16398" i="1"/>
  <c r="C16399" i="1"/>
  <c r="C20369" i="1"/>
  <c r="C16401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17541" i="1"/>
  <c r="C17542" i="1"/>
  <c r="C17475" i="1"/>
  <c r="C17400" i="1"/>
  <c r="C20386" i="1"/>
  <c r="C20387" i="1"/>
  <c r="C20388" i="1"/>
  <c r="C20389" i="1"/>
  <c r="C20390" i="1"/>
  <c r="C16402" i="1"/>
  <c r="C20392" i="1"/>
  <c r="C20393" i="1"/>
  <c r="C20394" i="1"/>
  <c r="C16404" i="1"/>
  <c r="C18190" i="1"/>
  <c r="C20397" i="1"/>
  <c r="C16405" i="1"/>
  <c r="C20399" i="1"/>
  <c r="C20400" i="1"/>
  <c r="C16411" i="1"/>
  <c r="C20402" i="1"/>
  <c r="C20403" i="1"/>
  <c r="C20404" i="1"/>
  <c r="C20405" i="1"/>
  <c r="C20406" i="1"/>
  <c r="C16412" i="1"/>
  <c r="C16413" i="1"/>
  <c r="C20409" i="1"/>
  <c r="C20410" i="1"/>
  <c r="C20411" i="1"/>
  <c r="C20412" i="1"/>
  <c r="C20413" i="1"/>
  <c r="C20414" i="1"/>
  <c r="C20415" i="1"/>
  <c r="C20416" i="1"/>
  <c r="C20417" i="1"/>
  <c r="C16415" i="1"/>
  <c r="C20419" i="1"/>
  <c r="C20420" i="1"/>
  <c r="C20421" i="1"/>
  <c r="C20422" i="1"/>
  <c r="C16416" i="1"/>
  <c r="C20424" i="1"/>
  <c r="C16417" i="1"/>
  <c r="C16425" i="1"/>
  <c r="C17197" i="1"/>
  <c r="C18223" i="1"/>
  <c r="C17657" i="1"/>
  <c r="C20430" i="1"/>
  <c r="C20431" i="1"/>
  <c r="C16427" i="1"/>
  <c r="C16428" i="1"/>
  <c r="C20434" i="1"/>
  <c r="C20435" i="1"/>
  <c r="C20436" i="1"/>
  <c r="C20437" i="1"/>
  <c r="C20438" i="1"/>
  <c r="C18241" i="1"/>
  <c r="C17543" i="1"/>
  <c r="C20441" i="1"/>
  <c r="C18176" i="1"/>
  <c r="C20443" i="1"/>
  <c r="C16429" i="1"/>
  <c r="C16430" i="1"/>
  <c r="C20446" i="1"/>
  <c r="C20447" i="1"/>
  <c r="C20448" i="1"/>
  <c r="C16432" i="1"/>
  <c r="C20450" i="1"/>
  <c r="C20451" i="1"/>
  <c r="C16433" i="1"/>
  <c r="C18256" i="1"/>
  <c r="C20454" i="1"/>
  <c r="C20455" i="1"/>
  <c r="C20456" i="1"/>
  <c r="C20457" i="1"/>
  <c r="C20458" i="1"/>
  <c r="C20459" i="1"/>
  <c r="C20460" i="1"/>
  <c r="C20461" i="1"/>
  <c r="C20462" i="1"/>
  <c r="C18281" i="1"/>
  <c r="C20464" i="1"/>
  <c r="C20465" i="1"/>
  <c r="C20466" i="1"/>
  <c r="C20467" i="1"/>
  <c r="C20468" i="1"/>
  <c r="C20469" i="1"/>
  <c r="C21561" i="1"/>
  <c r="C21564" i="1"/>
  <c r="C21565" i="1"/>
  <c r="C21566" i="1"/>
  <c r="C21567" i="1"/>
  <c r="C21569" i="1"/>
  <c r="C21571" i="1"/>
  <c r="C21572" i="1"/>
  <c r="C21573" i="1"/>
  <c r="C21648" i="1"/>
  <c r="C17271" i="1"/>
  <c r="C17476" i="1"/>
  <c r="C17719" i="1"/>
  <c r="C20483" i="1"/>
  <c r="C20484" i="1"/>
  <c r="C16434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16435" i="1"/>
  <c r="C20498" i="1"/>
  <c r="C16437" i="1"/>
  <c r="C16438" i="1"/>
  <c r="C21649" i="1"/>
  <c r="C16439" i="1"/>
  <c r="C20503" i="1"/>
  <c r="C16440" i="1"/>
  <c r="C20505" i="1"/>
  <c r="C20506" i="1"/>
  <c r="C20507" i="1"/>
  <c r="C20508" i="1"/>
  <c r="C16507" i="1"/>
  <c r="C20510" i="1"/>
  <c r="C20511" i="1"/>
  <c r="C20512" i="1"/>
  <c r="C16510" i="1"/>
  <c r="C16512" i="1"/>
  <c r="C16514" i="1"/>
  <c r="C16656" i="1"/>
  <c r="C20517" i="1"/>
  <c r="C16659" i="1"/>
  <c r="C16662" i="1"/>
  <c r="C20520" i="1"/>
  <c r="C20521" i="1"/>
  <c r="C16663" i="1"/>
  <c r="C16664" i="1"/>
  <c r="C16668" i="1"/>
  <c r="C20525" i="1"/>
  <c r="C21650" i="1"/>
  <c r="C20527" i="1"/>
  <c r="C18320" i="1"/>
  <c r="C18321" i="1"/>
  <c r="C18191" i="1"/>
  <c r="C17647" i="1"/>
  <c r="C20532" i="1"/>
  <c r="C16674" i="1"/>
  <c r="C16675" i="1"/>
  <c r="C16676" i="1"/>
  <c r="C20536" i="1"/>
  <c r="C20537" i="1"/>
  <c r="C21651" i="1"/>
  <c r="C20539" i="1"/>
  <c r="C20540" i="1"/>
  <c r="C20541" i="1"/>
  <c r="C16677" i="1"/>
  <c r="C20543" i="1"/>
  <c r="C20544" i="1"/>
  <c r="C20545" i="1"/>
  <c r="C20546" i="1"/>
  <c r="C16678" i="1"/>
  <c r="C16679" i="1"/>
  <c r="C16682" i="1"/>
  <c r="C20550" i="1"/>
  <c r="C20551" i="1"/>
  <c r="C20552" i="1"/>
  <c r="C20553" i="1"/>
  <c r="C20554" i="1"/>
  <c r="C20555" i="1"/>
  <c r="C16683" i="1"/>
  <c r="C20557" i="1"/>
  <c r="C20558" i="1"/>
  <c r="C16684" i="1"/>
  <c r="C16685" i="1"/>
  <c r="C20561" i="1"/>
  <c r="C20562" i="1"/>
  <c r="C17477" i="1"/>
  <c r="C16686" i="1"/>
  <c r="C17699" i="1"/>
  <c r="C20566" i="1"/>
  <c r="C20567" i="1"/>
  <c r="C20568" i="1"/>
  <c r="C20569" i="1"/>
  <c r="C16687" i="1"/>
  <c r="C20571" i="1"/>
  <c r="C20572" i="1"/>
  <c r="C20573" i="1"/>
  <c r="C20574" i="1"/>
  <c r="C16688" i="1"/>
  <c r="C16689" i="1"/>
  <c r="C20577" i="1"/>
  <c r="C17479" i="1"/>
  <c r="C20579" i="1"/>
  <c r="C20580" i="1"/>
  <c r="C21715" i="1"/>
  <c r="C21720" i="1"/>
  <c r="T21720" i="1"/>
  <c r="C16690" i="1"/>
  <c r="C16691" i="1"/>
  <c r="C16692" i="1"/>
  <c r="C16693" i="1"/>
  <c r="C20587" i="1"/>
  <c r="C20588" i="1"/>
  <c r="C20589" i="1"/>
  <c r="C20590" i="1"/>
  <c r="C20591" i="1"/>
  <c r="C20592" i="1"/>
  <c r="C16694" i="1"/>
  <c r="C20594" i="1"/>
  <c r="C20595" i="1"/>
  <c r="C17480" i="1"/>
  <c r="C16697" i="1"/>
  <c r="C16699" i="1"/>
  <c r="C20599" i="1"/>
  <c r="C20600" i="1"/>
  <c r="C17272" i="1"/>
  <c r="C20602" i="1"/>
  <c r="C20603" i="1"/>
  <c r="C17273" i="1"/>
  <c r="C16700" i="1"/>
  <c r="C16701" i="1"/>
  <c r="C16703" i="1"/>
  <c r="C20608" i="1"/>
  <c r="C20609" i="1"/>
  <c r="C20610" i="1"/>
  <c r="C18282" i="1"/>
  <c r="C20612" i="1"/>
  <c r="C16704" i="1"/>
  <c r="C16705" i="1"/>
  <c r="C17274" i="1"/>
  <c r="C17387" i="1"/>
  <c r="C17621" i="1"/>
  <c r="C17720" i="1"/>
  <c r="C20619" i="1"/>
  <c r="C20620" i="1"/>
  <c r="C17424" i="1"/>
  <c r="C16707" i="1"/>
  <c r="C20623" i="1"/>
  <c r="C20624" i="1"/>
  <c r="C20625" i="1"/>
  <c r="C20626" i="1"/>
  <c r="C16708" i="1"/>
  <c r="C16709" i="1"/>
  <c r="C20629" i="1"/>
  <c r="C20630" i="1"/>
  <c r="C20631" i="1"/>
  <c r="C17275" i="1"/>
  <c r="C20633" i="1"/>
  <c r="C20634" i="1"/>
  <c r="C20635" i="1"/>
  <c r="C17622" i="1"/>
  <c r="C17700" i="1"/>
  <c r="C17276" i="1"/>
  <c r="C17277" i="1"/>
  <c r="C17623" i="1"/>
  <c r="C17721" i="1"/>
  <c r="C16710" i="1"/>
  <c r="C17697" i="1"/>
  <c r="C20644" i="1"/>
  <c r="C16711" i="1"/>
  <c r="C20646" i="1"/>
  <c r="C16712" i="1"/>
  <c r="C16713" i="1"/>
  <c r="C20649" i="1"/>
  <c r="C20650" i="1"/>
  <c r="C17429" i="1"/>
  <c r="C20652" i="1"/>
  <c r="C20653" i="1"/>
  <c r="C20654" i="1"/>
  <c r="C16714" i="1"/>
  <c r="C16715" i="1"/>
  <c r="C16716" i="1"/>
  <c r="C20658" i="1"/>
  <c r="C20659" i="1"/>
  <c r="C16717" i="1"/>
  <c r="C20661" i="1"/>
  <c r="C20662" i="1"/>
  <c r="C16718" i="1"/>
  <c r="C20664" i="1"/>
  <c r="C20665" i="1"/>
  <c r="C17482" i="1"/>
  <c r="C20667" i="1"/>
  <c r="C16719" i="1"/>
  <c r="C20669" i="1"/>
  <c r="C16720" i="1"/>
  <c r="C16721" i="1"/>
  <c r="C16722" i="1"/>
  <c r="C20673" i="1"/>
  <c r="C20674" i="1"/>
  <c r="C20675" i="1"/>
  <c r="C20676" i="1"/>
  <c r="C20677" i="1"/>
  <c r="C20678" i="1"/>
  <c r="C20679" i="1"/>
  <c r="C20680" i="1"/>
  <c r="C20681" i="1"/>
  <c r="C20682" i="1"/>
  <c r="C16723" i="1"/>
  <c r="C16725" i="1"/>
  <c r="C20685" i="1"/>
  <c r="C20686" i="1"/>
  <c r="C20687" i="1"/>
  <c r="C20688" i="1"/>
  <c r="C16726" i="1"/>
  <c r="C17544" i="1"/>
  <c r="C18124" i="1"/>
  <c r="C16727" i="1"/>
  <c r="C16728" i="1"/>
  <c r="C20694" i="1"/>
  <c r="C20695" i="1"/>
  <c r="C20696" i="1"/>
  <c r="C20697" i="1"/>
  <c r="C20698" i="1"/>
  <c r="C17649" i="1"/>
  <c r="C20700" i="1"/>
  <c r="C17278" i="1"/>
  <c r="C20702" i="1"/>
  <c r="C21721" i="1"/>
  <c r="C20704" i="1"/>
  <c r="C20705" i="1"/>
  <c r="C21723" i="1"/>
  <c r="C21726" i="1"/>
  <c r="C20708" i="1"/>
  <c r="C20709" i="1"/>
  <c r="C20710" i="1"/>
  <c r="C20711" i="1"/>
  <c r="C20712" i="1"/>
  <c r="C20713" i="1"/>
  <c r="C20714" i="1"/>
  <c r="C20715" i="1"/>
  <c r="C20716" i="1"/>
  <c r="C2172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1728" i="1"/>
  <c r="C20738" i="1"/>
  <c r="C21730" i="1"/>
  <c r="C20740" i="1"/>
  <c r="C21731" i="1"/>
  <c r="C20742" i="1"/>
  <c r="C20743" i="1"/>
  <c r="C21733" i="1"/>
  <c r="C20745" i="1"/>
  <c r="C21736" i="1"/>
  <c r="C20747" i="1"/>
  <c r="C21773" i="1"/>
  <c r="C21957" i="1"/>
  <c r="C21959" i="1"/>
  <c r="C20751" i="1"/>
  <c r="C20752" i="1"/>
  <c r="C21962" i="1"/>
  <c r="C20754" i="1"/>
  <c r="C20755" i="1"/>
  <c r="C20756" i="1"/>
  <c r="C20757" i="1"/>
  <c r="C20758" i="1"/>
  <c r="C20759" i="1"/>
  <c r="C20760" i="1"/>
  <c r="C16729" i="1"/>
  <c r="C16730" i="1"/>
  <c r="C16731" i="1"/>
  <c r="C16732" i="1"/>
  <c r="C20765" i="1"/>
  <c r="C16733" i="1"/>
  <c r="C16734" i="1"/>
  <c r="C16735" i="1"/>
  <c r="C16736" i="1"/>
  <c r="C16737" i="1"/>
  <c r="C20771" i="1"/>
  <c r="C20772" i="1"/>
  <c r="C20773" i="1"/>
  <c r="C21964" i="1"/>
  <c r="C21965" i="1"/>
  <c r="C20776" i="1"/>
  <c r="C16738" i="1"/>
  <c r="C21966" i="1"/>
  <c r="C20779" i="1"/>
  <c r="C20780" i="1"/>
  <c r="C17285" i="1"/>
  <c r="C20782" i="1"/>
  <c r="C20783" i="1"/>
  <c r="C21967" i="1"/>
  <c r="C21968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1969" i="1"/>
  <c r="C20806" i="1"/>
  <c r="C17722" i="1"/>
  <c r="C16739" i="1"/>
  <c r="C16740" i="1"/>
  <c r="C2081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20822" i="1"/>
  <c r="C16752" i="1"/>
  <c r="C16753" i="1"/>
  <c r="C16754" i="1"/>
  <c r="C16755" i="1"/>
  <c r="C16756" i="1"/>
  <c r="C20828" i="1"/>
  <c r="C16757" i="1"/>
  <c r="C16758" i="1"/>
  <c r="C16760" i="1"/>
  <c r="C16761" i="1"/>
  <c r="C16762" i="1"/>
  <c r="C16763" i="1"/>
  <c r="C16764" i="1"/>
  <c r="C16765" i="1"/>
  <c r="C16766" i="1"/>
  <c r="C16767" i="1"/>
  <c r="C20839" i="1"/>
  <c r="C16768" i="1"/>
  <c r="C16769" i="1"/>
  <c r="C16770" i="1"/>
  <c r="C16771" i="1"/>
  <c r="C16772" i="1"/>
  <c r="C16773" i="1"/>
  <c r="C16774" i="1"/>
  <c r="C16776" i="1"/>
  <c r="C16777" i="1"/>
  <c r="C16778" i="1"/>
  <c r="C16779" i="1"/>
  <c r="C16780" i="1"/>
  <c r="C16781" i="1"/>
  <c r="C16782" i="1"/>
  <c r="C16784" i="1"/>
  <c r="C16785" i="1"/>
  <c r="C20856" i="1"/>
  <c r="C16786" i="1"/>
  <c r="C16787" i="1"/>
  <c r="C16788" i="1"/>
  <c r="C16789" i="1"/>
  <c r="C16790" i="1"/>
  <c r="C16791" i="1"/>
  <c r="C16793" i="1"/>
  <c r="C16794" i="1"/>
  <c r="C16795" i="1"/>
  <c r="C21970" i="1"/>
  <c r="C21971" i="1"/>
  <c r="C21972" i="1"/>
  <c r="C21973" i="1"/>
  <c r="C20870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8" i="1"/>
  <c r="C22010" i="1"/>
  <c r="C22011" i="1"/>
  <c r="C22012" i="1"/>
  <c r="C22022" i="1"/>
  <c r="C22027" i="1"/>
  <c r="C22029" i="1"/>
  <c r="C22030" i="1"/>
  <c r="C22032" i="1"/>
  <c r="C22033" i="1"/>
  <c r="C22076" i="1"/>
  <c r="C22077" i="1"/>
  <c r="C22085" i="1"/>
  <c r="C22088" i="1"/>
  <c r="C22091" i="1"/>
  <c r="C22093" i="1"/>
  <c r="C22097" i="1"/>
  <c r="C22098" i="1"/>
  <c r="C22102" i="1"/>
  <c r="C22103" i="1"/>
  <c r="C22104" i="1"/>
  <c r="C20925" i="1"/>
  <c r="T20925" i="1"/>
  <c r="C22105" i="1"/>
  <c r="C22106" i="1"/>
  <c r="C22107" i="1"/>
  <c r="C22110" i="1"/>
  <c r="C22112" i="1"/>
  <c r="C22113" i="1"/>
  <c r="C22114" i="1"/>
  <c r="C22116" i="1"/>
  <c r="C22117" i="1"/>
  <c r="C22119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5" i="1"/>
  <c r="C22136" i="1"/>
  <c r="C22137" i="1"/>
  <c r="C22139" i="1"/>
  <c r="C22140" i="1"/>
  <c r="C22141" i="1"/>
  <c r="C22144" i="1"/>
  <c r="C22146" i="1"/>
  <c r="C22147" i="1"/>
  <c r="C22150" i="1"/>
  <c r="C22151" i="1"/>
  <c r="C22152" i="1"/>
  <c r="C22153" i="1"/>
  <c r="C22154" i="1"/>
  <c r="C22155" i="1"/>
  <c r="C22156" i="1"/>
  <c r="C22157" i="1"/>
  <c r="C22158" i="1"/>
  <c r="C22159" i="1"/>
  <c r="C22161" i="1"/>
  <c r="C22162" i="1"/>
  <c r="C22163" i="1"/>
  <c r="C22172" i="1"/>
  <c r="C22174" i="1"/>
  <c r="C22175" i="1"/>
  <c r="C22176" i="1"/>
  <c r="C22178" i="1"/>
  <c r="C22180" i="1"/>
  <c r="C22181" i="1"/>
  <c r="C22182" i="1"/>
  <c r="C22183" i="1"/>
  <c r="C22184" i="1"/>
  <c r="C22185" i="1"/>
  <c r="C22186" i="1"/>
  <c r="C22188" i="1"/>
  <c r="C22190" i="1"/>
  <c r="C22191" i="1"/>
  <c r="C22192" i="1"/>
  <c r="C22193" i="1"/>
  <c r="C22195" i="1"/>
  <c r="C22197" i="1"/>
  <c r="C22199" i="1"/>
  <c r="C22200" i="1"/>
  <c r="C22201" i="1"/>
  <c r="C22205" i="1"/>
  <c r="C22206" i="1"/>
  <c r="C22211" i="1"/>
  <c r="C22214" i="1"/>
  <c r="C22215" i="1"/>
  <c r="C22216" i="1"/>
  <c r="C22220" i="1"/>
  <c r="C22226" i="1"/>
  <c r="C22227" i="1"/>
  <c r="T22227" i="1"/>
  <c r="C22229" i="1"/>
  <c r="C22230" i="1"/>
  <c r="C22233" i="1"/>
  <c r="C22234" i="1"/>
  <c r="C22235" i="1"/>
  <c r="C22240" i="1"/>
  <c r="C22241" i="1"/>
  <c r="C22242" i="1"/>
  <c r="C22243" i="1"/>
  <c r="C22244" i="1"/>
  <c r="C22245" i="1"/>
  <c r="C22246" i="1"/>
  <c r="C22247" i="1"/>
  <c r="C22248" i="1"/>
  <c r="C22250" i="1"/>
  <c r="C22251" i="1"/>
  <c r="C22252" i="1"/>
  <c r="C22253" i="1"/>
  <c r="C22254" i="1"/>
  <c r="C22255" i="1"/>
  <c r="C22256" i="1"/>
  <c r="C22257" i="1"/>
  <c r="C22259" i="1"/>
  <c r="C22261" i="1"/>
  <c r="C22262" i="1"/>
  <c r="C22263" i="1"/>
  <c r="C21027" i="1"/>
  <c r="C22264" i="1"/>
  <c r="C22265" i="1"/>
  <c r="C22266" i="1"/>
  <c r="C22269" i="1"/>
  <c r="C22270" i="1"/>
  <c r="C22271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6" i="1"/>
  <c r="C22287" i="1"/>
  <c r="C22288" i="1"/>
  <c r="C22290" i="1"/>
  <c r="C22291" i="1"/>
  <c r="C22292" i="1"/>
  <c r="C22293" i="1"/>
  <c r="C22294" i="1"/>
  <c r="C22295" i="1"/>
  <c r="C22297" i="1"/>
  <c r="C22298" i="1"/>
  <c r="C22299" i="1"/>
  <c r="C22300" i="1"/>
  <c r="C22302" i="1"/>
  <c r="C22304" i="1"/>
  <c r="C22305" i="1"/>
  <c r="C22306" i="1"/>
  <c r="C22307" i="1"/>
  <c r="C22308" i="1"/>
  <c r="C22309" i="1"/>
  <c r="C22310" i="1"/>
  <c r="C22311" i="1"/>
  <c r="C22313" i="1"/>
  <c r="C22314" i="1"/>
  <c r="C22315" i="1"/>
  <c r="C22317" i="1"/>
  <c r="C22318" i="1"/>
  <c r="C22319" i="1"/>
  <c r="C22320" i="1"/>
  <c r="C22321" i="1"/>
  <c r="C22322" i="1"/>
  <c r="C22326" i="1"/>
  <c r="C22327" i="1"/>
  <c r="C22328" i="1"/>
  <c r="C21080" i="1"/>
  <c r="C22330" i="1"/>
  <c r="C22332" i="1"/>
  <c r="C22333" i="1"/>
  <c r="C22334" i="1"/>
  <c r="C22335" i="1"/>
  <c r="C22336" i="1"/>
  <c r="C22337" i="1"/>
  <c r="C22339" i="1"/>
  <c r="C22340" i="1"/>
  <c r="C22341" i="1"/>
  <c r="C22343" i="1"/>
  <c r="C22348" i="1"/>
  <c r="C22349" i="1"/>
  <c r="C22350" i="1"/>
  <c r="C22351" i="1"/>
  <c r="C22352" i="1"/>
  <c r="C22353" i="1"/>
  <c r="C22354" i="1"/>
  <c r="C22355" i="1"/>
  <c r="C22356" i="1"/>
  <c r="C22357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1119" i="1"/>
  <c r="C21120" i="1"/>
  <c r="C22379" i="1"/>
  <c r="C22380" i="1"/>
  <c r="C21123" i="1"/>
  <c r="C22382" i="1"/>
  <c r="C22383" i="1"/>
  <c r="C22384" i="1"/>
  <c r="C22385" i="1"/>
  <c r="C22386" i="1"/>
  <c r="C22387" i="1"/>
  <c r="C22389" i="1"/>
  <c r="C22391" i="1"/>
  <c r="C22392" i="1"/>
  <c r="C22393" i="1"/>
  <c r="C22394" i="1"/>
  <c r="C22395" i="1"/>
  <c r="C22396" i="1"/>
  <c r="C22397" i="1"/>
  <c r="C22398" i="1"/>
  <c r="C22399" i="1"/>
  <c r="C22400" i="1"/>
  <c r="C22402" i="1"/>
  <c r="C22403" i="1"/>
  <c r="C22404" i="1"/>
  <c r="C22407" i="1"/>
  <c r="C22409" i="1"/>
  <c r="C22410" i="1"/>
  <c r="C22411" i="1"/>
  <c r="C22412" i="1"/>
  <c r="C22413" i="1"/>
  <c r="C22414" i="1"/>
  <c r="C22417" i="1"/>
  <c r="C22418" i="1"/>
  <c r="C22419" i="1"/>
  <c r="C22420" i="1"/>
  <c r="C21155" i="1"/>
  <c r="C22422" i="1"/>
  <c r="C22423" i="1"/>
  <c r="C22426" i="1"/>
  <c r="C22427" i="1"/>
  <c r="C22429" i="1"/>
  <c r="C22430" i="1"/>
  <c r="C22432" i="1"/>
  <c r="C22434" i="1"/>
  <c r="C22435" i="1"/>
  <c r="C22437" i="1"/>
  <c r="C22438" i="1"/>
  <c r="C22439" i="1"/>
  <c r="C22441" i="1"/>
  <c r="C22443" i="1"/>
  <c r="C22445" i="1"/>
  <c r="C22446" i="1"/>
  <c r="C22447" i="1"/>
  <c r="C22449" i="1"/>
  <c r="C22450" i="1"/>
  <c r="C22451" i="1"/>
  <c r="C22452" i="1"/>
  <c r="C22453" i="1"/>
  <c r="C22458" i="1"/>
  <c r="C22460" i="1"/>
  <c r="C22464" i="1"/>
  <c r="C22465" i="1"/>
  <c r="C22466" i="1"/>
  <c r="C22467" i="1"/>
  <c r="C22468" i="1"/>
  <c r="C22470" i="1"/>
  <c r="C22471" i="1"/>
  <c r="C22472" i="1"/>
  <c r="C22473" i="1"/>
  <c r="C22476" i="1"/>
  <c r="C22477" i="1"/>
  <c r="C22478" i="1"/>
  <c r="C22479" i="1"/>
  <c r="C22480" i="1"/>
  <c r="C21194" i="1"/>
  <c r="C22481" i="1"/>
  <c r="C22482" i="1"/>
  <c r="C22483" i="1"/>
  <c r="C22484" i="1"/>
  <c r="C22485" i="1"/>
  <c r="C22486" i="1"/>
  <c r="C22487" i="1"/>
  <c r="C22488" i="1"/>
  <c r="C22489" i="1"/>
  <c r="C22491" i="1"/>
  <c r="C22492" i="1"/>
  <c r="C22493" i="1"/>
  <c r="C22495" i="1"/>
  <c r="C22497" i="1"/>
  <c r="C21209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2" i="1"/>
  <c r="C22513" i="1"/>
  <c r="C22514" i="1"/>
  <c r="C22515" i="1"/>
  <c r="C22517" i="1"/>
  <c r="C22518" i="1"/>
  <c r="C22519" i="1"/>
  <c r="C22521" i="1"/>
  <c r="C22527" i="1"/>
  <c r="C22528" i="1"/>
  <c r="C22529" i="1"/>
  <c r="C22530" i="1"/>
  <c r="C22531" i="1"/>
  <c r="C22532" i="1"/>
  <c r="C22533" i="1"/>
  <c r="C22535" i="1"/>
  <c r="C22536" i="1"/>
  <c r="C22537" i="1"/>
  <c r="C22538" i="1"/>
  <c r="C22539" i="1"/>
  <c r="C22540" i="1"/>
  <c r="C22541" i="1"/>
  <c r="C22543" i="1"/>
  <c r="C22546" i="1"/>
  <c r="C22547" i="1"/>
  <c r="C22548" i="1"/>
  <c r="C22549" i="1"/>
  <c r="C22551" i="1"/>
  <c r="C22556" i="1"/>
  <c r="C22558" i="1"/>
  <c r="C22560" i="1"/>
  <c r="C22562" i="1"/>
  <c r="C22563" i="1"/>
  <c r="C22564" i="1"/>
  <c r="C22763" i="1"/>
  <c r="C22781" i="1"/>
  <c r="C22801" i="1"/>
  <c r="C22802" i="1"/>
  <c r="C22803" i="1"/>
  <c r="C22804" i="1"/>
  <c r="C22805" i="1"/>
  <c r="C22817" i="1"/>
  <c r="C22820" i="1"/>
  <c r="C21266" i="1"/>
  <c r="C21267" i="1"/>
  <c r="C22821" i="1"/>
  <c r="C22833" i="1"/>
  <c r="C22835" i="1"/>
  <c r="C22836" i="1"/>
  <c r="C22837" i="1"/>
  <c r="C22841" i="1"/>
  <c r="C22844" i="1"/>
  <c r="C22848" i="1"/>
  <c r="C21276" i="1"/>
  <c r="C22850" i="1"/>
  <c r="C22854" i="1"/>
  <c r="C22857" i="1"/>
  <c r="C22858" i="1"/>
  <c r="C22860" i="1"/>
  <c r="C22863" i="1"/>
  <c r="C22864" i="1"/>
  <c r="C22869" i="1"/>
  <c r="C22870" i="1"/>
  <c r="C22871" i="1"/>
  <c r="C22874" i="1"/>
  <c r="C22875" i="1"/>
  <c r="C22876" i="1"/>
  <c r="C22877" i="1"/>
  <c r="C22878" i="1"/>
  <c r="C22879" i="1"/>
  <c r="C21293" i="1"/>
  <c r="C18322" i="1"/>
  <c r="C16798" i="1"/>
  <c r="C21296" i="1"/>
  <c r="C21297" i="1"/>
  <c r="C17658" i="1"/>
  <c r="C16801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2880" i="1"/>
  <c r="C22881" i="1"/>
  <c r="C16802" i="1"/>
  <c r="C16803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17704" i="1"/>
  <c r="C21331" i="1"/>
  <c r="C18224" i="1"/>
  <c r="C21333" i="1"/>
  <c r="C21334" i="1"/>
  <c r="C17430" i="1"/>
  <c r="C21336" i="1"/>
  <c r="C21337" i="1"/>
  <c r="C21338" i="1"/>
  <c r="C17198" i="1"/>
  <c r="C16804" i="1"/>
  <c r="C16805" i="1"/>
  <c r="C16806" i="1"/>
  <c r="C16807" i="1"/>
  <c r="C16808" i="1"/>
  <c r="C16809" i="1"/>
  <c r="C21346" i="1"/>
  <c r="C21347" i="1"/>
  <c r="C17483" i="1"/>
  <c r="C21349" i="1"/>
  <c r="C21350" i="1"/>
  <c r="C21351" i="1"/>
  <c r="C21352" i="1"/>
  <c r="C16810" i="1"/>
  <c r="C18293" i="1"/>
  <c r="C16811" i="1"/>
  <c r="C16812" i="1"/>
  <c r="C16813" i="1"/>
  <c r="C21358" i="1"/>
  <c r="C21359" i="1"/>
  <c r="C16814" i="1"/>
  <c r="C16815" i="1"/>
  <c r="C21362" i="1"/>
  <c r="C16816" i="1"/>
  <c r="C16817" i="1"/>
  <c r="C21365" i="1"/>
  <c r="C21366" i="1"/>
  <c r="C21367" i="1"/>
  <c r="C16818" i="1"/>
  <c r="C16819" i="1"/>
  <c r="C16820" i="1"/>
  <c r="C16821" i="1"/>
  <c r="C21372" i="1"/>
  <c r="C21373" i="1"/>
  <c r="C21374" i="1"/>
  <c r="C16822" i="1"/>
  <c r="C21376" i="1"/>
  <c r="C16823" i="1"/>
  <c r="C16824" i="1"/>
  <c r="C16825" i="1"/>
  <c r="C21380" i="1"/>
  <c r="C21381" i="1"/>
  <c r="C16826" i="1"/>
  <c r="C21383" i="1"/>
  <c r="C17659" i="1"/>
  <c r="C16827" i="1"/>
  <c r="C16828" i="1"/>
  <c r="C21387" i="1"/>
  <c r="C21388" i="1"/>
  <c r="C21389" i="1"/>
  <c r="C16829" i="1"/>
  <c r="C21391" i="1"/>
  <c r="C21392" i="1"/>
  <c r="C21393" i="1"/>
  <c r="C21394" i="1"/>
  <c r="C21395" i="1"/>
  <c r="C21396" i="1"/>
  <c r="C21397" i="1"/>
  <c r="C21398" i="1"/>
  <c r="C21399" i="1"/>
  <c r="C21400" i="1"/>
  <c r="C16830" i="1"/>
  <c r="C22882" i="1"/>
  <c r="C21403" i="1"/>
  <c r="C16831" i="1"/>
  <c r="C21405" i="1"/>
  <c r="C21406" i="1"/>
  <c r="C21407" i="1"/>
  <c r="C21408" i="1"/>
  <c r="C21409" i="1"/>
  <c r="C16832" i="1"/>
  <c r="C21411" i="1"/>
  <c r="C21412" i="1"/>
  <c r="C21413" i="1"/>
  <c r="C21414" i="1"/>
  <c r="C21415" i="1"/>
  <c r="C21416" i="1"/>
  <c r="C16833" i="1"/>
  <c r="C16834" i="1"/>
  <c r="C16835" i="1"/>
  <c r="C16836" i="1"/>
  <c r="C16837" i="1"/>
  <c r="C16838" i="1"/>
  <c r="C16839" i="1"/>
  <c r="C16840" i="1"/>
  <c r="C16841" i="1"/>
  <c r="C21426" i="1"/>
  <c r="C16842" i="1"/>
  <c r="C21428" i="1"/>
  <c r="C16843" i="1"/>
  <c r="C21430" i="1"/>
  <c r="C21431" i="1"/>
  <c r="C16844" i="1"/>
  <c r="C16845" i="1"/>
  <c r="C21434" i="1"/>
  <c r="C16846" i="1"/>
  <c r="C16847" i="1"/>
  <c r="C16848" i="1"/>
  <c r="C16849" i="1"/>
  <c r="C16850" i="1"/>
  <c r="C21440" i="1"/>
  <c r="C16851" i="1"/>
  <c r="C16852" i="1"/>
  <c r="C16853" i="1"/>
  <c r="C16854" i="1"/>
  <c r="C21445" i="1"/>
  <c r="C16855" i="1"/>
  <c r="C16856" i="1"/>
  <c r="C16857" i="1"/>
  <c r="C16858" i="1"/>
  <c r="C16859" i="1"/>
  <c r="C21451" i="1"/>
  <c r="C16860" i="1"/>
  <c r="C16861" i="1"/>
  <c r="C16862" i="1"/>
  <c r="C21455" i="1"/>
  <c r="C16863" i="1"/>
  <c r="C16864" i="1"/>
  <c r="C16865" i="1"/>
  <c r="C16866" i="1"/>
  <c r="C16867" i="1"/>
  <c r="C16868" i="1"/>
  <c r="C16869" i="1"/>
  <c r="C16870" i="1"/>
  <c r="C16871" i="1"/>
  <c r="C21465" i="1"/>
  <c r="C16872" i="1"/>
  <c r="C16873" i="1"/>
  <c r="C16874" i="1"/>
  <c r="C16875" i="1"/>
  <c r="C21470" i="1"/>
  <c r="C16876" i="1"/>
  <c r="C16877" i="1"/>
  <c r="C16878" i="1"/>
  <c r="C16879" i="1"/>
  <c r="C16880" i="1"/>
  <c r="C16881" i="1"/>
  <c r="C21477" i="1"/>
  <c r="C16882" i="1"/>
  <c r="C16883" i="1"/>
  <c r="C16884" i="1"/>
  <c r="C21481" i="1"/>
  <c r="C16885" i="1"/>
  <c r="C16886" i="1"/>
  <c r="C21484" i="1"/>
  <c r="C16887" i="1"/>
  <c r="C16888" i="1"/>
  <c r="C16889" i="1"/>
  <c r="C21488" i="1"/>
  <c r="C16890" i="1"/>
  <c r="C21490" i="1"/>
  <c r="C16891" i="1"/>
  <c r="C17484" i="1"/>
  <c r="C16892" i="1"/>
  <c r="C16893" i="1"/>
  <c r="C16894" i="1"/>
  <c r="C16895" i="1"/>
  <c r="C16896" i="1"/>
  <c r="C16897" i="1"/>
  <c r="C16898" i="1"/>
  <c r="C21500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21513" i="1"/>
  <c r="C21514" i="1"/>
  <c r="C16911" i="1"/>
  <c r="C16912" i="1"/>
  <c r="C22883" i="1"/>
  <c r="C21518" i="1"/>
  <c r="C21519" i="1"/>
  <c r="C21520" i="1"/>
  <c r="C16913" i="1"/>
  <c r="C21522" i="1"/>
  <c r="C21523" i="1"/>
  <c r="C22884" i="1"/>
  <c r="C21525" i="1"/>
  <c r="C21526" i="1"/>
  <c r="C21527" i="1"/>
  <c r="C16914" i="1"/>
  <c r="C21529" i="1"/>
  <c r="C21530" i="1"/>
  <c r="C17485" i="1"/>
  <c r="C16915" i="1"/>
  <c r="C21533" i="1"/>
  <c r="C21534" i="1"/>
  <c r="C21535" i="1"/>
  <c r="C18142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17288" i="1"/>
  <c r="C21555" i="1"/>
  <c r="C21556" i="1"/>
  <c r="C16916" i="1"/>
  <c r="C16917" i="1"/>
  <c r="C16918" i="1"/>
  <c r="C16919" i="1"/>
  <c r="C16920" i="1"/>
  <c r="C21562" i="1"/>
  <c r="C21563" i="1"/>
  <c r="C16921" i="1"/>
  <c r="C16922" i="1"/>
  <c r="C16923" i="1"/>
  <c r="C17291" i="1"/>
  <c r="C21568" i="1"/>
  <c r="C16924" i="1"/>
  <c r="C21570" i="1"/>
  <c r="C22885" i="1"/>
  <c r="C22887" i="1"/>
  <c r="C16925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2888" i="1"/>
  <c r="C22890" i="1"/>
  <c r="C16926" i="1"/>
  <c r="C2289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2892" i="1"/>
  <c r="C21716" i="1"/>
  <c r="C21717" i="1"/>
  <c r="C21718" i="1"/>
  <c r="C21719" i="1"/>
  <c r="C16927" i="1"/>
  <c r="C18248" i="1"/>
  <c r="C21722" i="1"/>
  <c r="C16928" i="1"/>
  <c r="C21724" i="1"/>
  <c r="C21725" i="1"/>
  <c r="C16929" i="1"/>
  <c r="C16930" i="1"/>
  <c r="C16931" i="1"/>
  <c r="C21729" i="1"/>
  <c r="C22894" i="1"/>
  <c r="C17686" i="1"/>
  <c r="C21732" i="1"/>
  <c r="C16932" i="1"/>
  <c r="C21734" i="1"/>
  <c r="C21735" i="1"/>
  <c r="C16933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2896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16934" i="1"/>
  <c r="C21958" i="1"/>
  <c r="C16935" i="1"/>
  <c r="C21960" i="1"/>
  <c r="C21961" i="1"/>
  <c r="C22897" i="1"/>
  <c r="C21963" i="1"/>
  <c r="C22898" i="1"/>
  <c r="C22899" i="1"/>
  <c r="C22902" i="1"/>
  <c r="C22903" i="1"/>
  <c r="C22905" i="1"/>
  <c r="C22909" i="1"/>
  <c r="C22910" i="1"/>
  <c r="C22912" i="1"/>
  <c r="C22914" i="1"/>
  <c r="C22915" i="1"/>
  <c r="C22917" i="1"/>
  <c r="C22918" i="1"/>
  <c r="C22919" i="1"/>
  <c r="C22920" i="1"/>
  <c r="C22921" i="1"/>
  <c r="C22922" i="1"/>
  <c r="C22923" i="1"/>
  <c r="C22924" i="1"/>
  <c r="C22926" i="1"/>
  <c r="C22927" i="1"/>
  <c r="C22932" i="1"/>
  <c r="C22936" i="1"/>
  <c r="C22937" i="1"/>
  <c r="C22939" i="1"/>
  <c r="C22940" i="1"/>
  <c r="C22941" i="1"/>
  <c r="C22942" i="1"/>
  <c r="C22943" i="1"/>
  <c r="C22944" i="1"/>
  <c r="C22945" i="1"/>
  <c r="C22947" i="1"/>
  <c r="C22949" i="1"/>
  <c r="C22950" i="1"/>
  <c r="C22951" i="1"/>
  <c r="C22953" i="1"/>
  <c r="C22956" i="1"/>
  <c r="C22957" i="1"/>
  <c r="C22959" i="1"/>
  <c r="C22960" i="1"/>
  <c r="C22961" i="1"/>
  <c r="C22963" i="1"/>
  <c r="C22964" i="1"/>
  <c r="C22966" i="1"/>
  <c r="C22007" i="1"/>
  <c r="C22968" i="1"/>
  <c r="C22009" i="1"/>
  <c r="C22969" i="1"/>
  <c r="C22970" i="1"/>
  <c r="C16936" i="1"/>
  <c r="C22013" i="1"/>
  <c r="C22014" i="1"/>
  <c r="C22015" i="1"/>
  <c r="C22016" i="1"/>
  <c r="C22017" i="1"/>
  <c r="C22018" i="1"/>
  <c r="C22019" i="1"/>
  <c r="C22020" i="1"/>
  <c r="C22021" i="1"/>
  <c r="C16937" i="1"/>
  <c r="C22023" i="1"/>
  <c r="C22024" i="1"/>
  <c r="C22025" i="1"/>
  <c r="C22026" i="1"/>
  <c r="C22971" i="1"/>
  <c r="C22028" i="1"/>
  <c r="C16938" i="1"/>
  <c r="C16939" i="1"/>
  <c r="C22031" i="1"/>
  <c r="C16940" i="1"/>
  <c r="C17292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974" i="1"/>
  <c r="C22976" i="1"/>
  <c r="C22078" i="1"/>
  <c r="C22079" i="1"/>
  <c r="C22080" i="1"/>
  <c r="C22081" i="1"/>
  <c r="C22082" i="1"/>
  <c r="C22083" i="1"/>
  <c r="C22084" i="1"/>
  <c r="C17625" i="1"/>
  <c r="C22086" i="1"/>
  <c r="C22087" i="1"/>
  <c r="C16941" i="1"/>
  <c r="C22089" i="1"/>
  <c r="C22090" i="1"/>
  <c r="C16942" i="1"/>
  <c r="C22092" i="1"/>
  <c r="C16944" i="1"/>
  <c r="C22094" i="1"/>
  <c r="C22095" i="1"/>
  <c r="C22096" i="1"/>
  <c r="C16945" i="1"/>
  <c r="C16946" i="1"/>
  <c r="C22099" i="1"/>
  <c r="C22100" i="1"/>
  <c r="C22101" i="1"/>
  <c r="C22984" i="1"/>
  <c r="C16947" i="1"/>
  <c r="C17192" i="1"/>
  <c r="C18225" i="1"/>
  <c r="C18258" i="1"/>
  <c r="C17524" i="1"/>
  <c r="C22108" i="1"/>
  <c r="C22109" i="1"/>
  <c r="C16948" i="1"/>
  <c r="C22111" i="1"/>
  <c r="C17389" i="1"/>
  <c r="C18323" i="1"/>
  <c r="C17486" i="1"/>
  <c r="C22115" i="1"/>
  <c r="C17293" i="1"/>
  <c r="C18227" i="1"/>
  <c r="C22118" i="1"/>
  <c r="C16949" i="1"/>
  <c r="C22120" i="1"/>
  <c r="C16950" i="1"/>
  <c r="C16951" i="1"/>
  <c r="C16952" i="1"/>
  <c r="C18145" i="1"/>
  <c r="C18261" i="1"/>
  <c r="C16953" i="1"/>
  <c r="C16954" i="1"/>
  <c r="C16955" i="1"/>
  <c r="C17626" i="1"/>
  <c r="C17488" i="1"/>
  <c r="C22987" i="1"/>
  <c r="C16956" i="1"/>
  <c r="C22133" i="1"/>
  <c r="C22134" i="1"/>
  <c r="C16957" i="1"/>
  <c r="C16958" i="1"/>
  <c r="C16959" i="1"/>
  <c r="C22138" i="1"/>
  <c r="C16960" i="1"/>
  <c r="C17390" i="1"/>
  <c r="C16961" i="1"/>
  <c r="C22142" i="1"/>
  <c r="C22143" i="1"/>
  <c r="C17199" i="1"/>
  <c r="C22145" i="1"/>
  <c r="C17723" i="1"/>
  <c r="C16962" i="1"/>
  <c r="C22148" i="1"/>
  <c r="C22149" i="1"/>
  <c r="C16963" i="1"/>
  <c r="C17489" i="1"/>
  <c r="C16964" i="1"/>
  <c r="C16965" i="1"/>
  <c r="C16966" i="1"/>
  <c r="C16968" i="1"/>
  <c r="C16969" i="1"/>
  <c r="C17294" i="1"/>
  <c r="C17295" i="1"/>
  <c r="C16970" i="1"/>
  <c r="C22160" i="1"/>
  <c r="C16971" i="1"/>
  <c r="C16972" i="1"/>
  <c r="C17724" i="1"/>
  <c r="C22164" i="1"/>
  <c r="C22165" i="1"/>
  <c r="C22166" i="1"/>
  <c r="C22167" i="1"/>
  <c r="C22168" i="1"/>
  <c r="C22169" i="1"/>
  <c r="C22170" i="1"/>
  <c r="C22171" i="1"/>
  <c r="C22998" i="1"/>
  <c r="C22173" i="1"/>
  <c r="C18228" i="1"/>
  <c r="C17490" i="1"/>
  <c r="C16973" i="1"/>
  <c r="C22177" i="1"/>
  <c r="C16974" i="1"/>
  <c r="C22179" i="1"/>
  <c r="C17491" i="1"/>
  <c r="C16975" i="1"/>
  <c r="C18283" i="1"/>
  <c r="C18284" i="1"/>
  <c r="C17492" i="1"/>
  <c r="C16976" i="1"/>
  <c r="C16977" i="1"/>
  <c r="C22187" i="1"/>
  <c r="C16978" i="1"/>
  <c r="C22189" i="1"/>
  <c r="C18263" i="1"/>
  <c r="C17627" i="1"/>
  <c r="C18231" i="1"/>
  <c r="C16979" i="1"/>
  <c r="C22194" i="1"/>
  <c r="C18192" i="1"/>
  <c r="C22196" i="1"/>
  <c r="C17391" i="1"/>
  <c r="C22198" i="1"/>
  <c r="C16980" i="1"/>
  <c r="C16981" i="1"/>
  <c r="C17660" i="1"/>
  <c r="C22202" i="1"/>
  <c r="C22203" i="1"/>
  <c r="C22204" i="1"/>
  <c r="C17661" i="1"/>
  <c r="C18232" i="1"/>
  <c r="C22207" i="1"/>
  <c r="C22208" i="1"/>
  <c r="C22209" i="1"/>
  <c r="C22210" i="1"/>
  <c r="C17545" i="1"/>
  <c r="C22212" i="1"/>
  <c r="C22213" i="1"/>
  <c r="C17296" i="1"/>
  <c r="C18285" i="1"/>
  <c r="C17546" i="1"/>
  <c r="C22217" i="1"/>
  <c r="C22218" i="1"/>
  <c r="C22219" i="1"/>
  <c r="C17297" i="1"/>
  <c r="C22221" i="1"/>
  <c r="C22222" i="1"/>
  <c r="C22223" i="1"/>
  <c r="C22224" i="1"/>
  <c r="C22225" i="1"/>
  <c r="C16982" i="1"/>
  <c r="C16983" i="1"/>
  <c r="C22228" i="1"/>
  <c r="C16985" i="1"/>
  <c r="C16986" i="1"/>
  <c r="C22231" i="1"/>
  <c r="C22232" i="1"/>
  <c r="C16987" i="1"/>
  <c r="C16988" i="1"/>
  <c r="C16989" i="1"/>
  <c r="C22236" i="1"/>
  <c r="C22237" i="1"/>
  <c r="C22238" i="1"/>
  <c r="C22239" i="1"/>
  <c r="C18249" i="1"/>
  <c r="C17193" i="1"/>
  <c r="C16990" i="1"/>
  <c r="C16991" i="1"/>
  <c r="C17298" i="1"/>
  <c r="C16992" i="1"/>
  <c r="C18193" i="1"/>
  <c r="C17548" i="1"/>
  <c r="C17676" i="1"/>
  <c r="C22249" i="1"/>
  <c r="C18125" i="1"/>
  <c r="C18286" i="1"/>
  <c r="C16993" i="1"/>
  <c r="C16994" i="1"/>
  <c r="C17525" i="1"/>
  <c r="C16995" i="1"/>
  <c r="C18287" i="1"/>
  <c r="C17299" i="1"/>
  <c r="C22258" i="1"/>
  <c r="C18126" i="1"/>
  <c r="C22260" i="1"/>
  <c r="C16996" i="1"/>
  <c r="C18147" i="1"/>
  <c r="C16997" i="1"/>
  <c r="C16998" i="1"/>
  <c r="C17000" i="1"/>
  <c r="C17300" i="1"/>
  <c r="C22267" i="1"/>
  <c r="C22268" i="1"/>
  <c r="C17392" i="1"/>
  <c r="C17432" i="1"/>
  <c r="C18195" i="1"/>
  <c r="C22272" i="1"/>
  <c r="C17549" i="1"/>
  <c r="C23011" i="1"/>
  <c r="C17001" i="1"/>
  <c r="C17725" i="1"/>
  <c r="C17002" i="1"/>
  <c r="C17003" i="1"/>
  <c r="C17301" i="1"/>
  <c r="C17726" i="1"/>
  <c r="C17004" i="1"/>
  <c r="C17628" i="1"/>
  <c r="C17005" i="1"/>
  <c r="C17550" i="1"/>
  <c r="C22285" i="1"/>
  <c r="C17662" i="1"/>
  <c r="C17007" i="1"/>
  <c r="C17008" i="1"/>
  <c r="C22289" i="1"/>
  <c r="C23012" i="1"/>
  <c r="C17009" i="1"/>
  <c r="C17010" i="1"/>
  <c r="C17011" i="1"/>
  <c r="C18330" i="1"/>
  <c r="C18157" i="1"/>
  <c r="C22296" i="1"/>
  <c r="C17012" i="1"/>
  <c r="C17735" i="1"/>
  <c r="C17013" i="1"/>
  <c r="C23013" i="1"/>
  <c r="C22301" i="1"/>
  <c r="C17302" i="1"/>
  <c r="C22303" i="1"/>
  <c r="C17014" i="1"/>
  <c r="C17434" i="1"/>
  <c r="C17701" i="1"/>
  <c r="C17015" i="1"/>
  <c r="C17303" i="1"/>
  <c r="C17016" i="1"/>
  <c r="C17736" i="1"/>
  <c r="C17493" i="1"/>
  <c r="C22312" i="1"/>
  <c r="C23022" i="1"/>
  <c r="C17017" i="1"/>
  <c r="C17494" i="1"/>
  <c r="C22316" i="1"/>
  <c r="C17018" i="1"/>
  <c r="C17019" i="1"/>
  <c r="C17020" i="1"/>
  <c r="C18128" i="1"/>
  <c r="C17021" i="1"/>
  <c r="C18163" i="1"/>
  <c r="C22323" i="1"/>
  <c r="C22324" i="1"/>
  <c r="C22325" i="1"/>
  <c r="C23026" i="1"/>
  <c r="C17727" i="1"/>
  <c r="C17022" i="1"/>
  <c r="C22329" i="1"/>
  <c r="C17393" i="1"/>
  <c r="C22331" i="1"/>
  <c r="C17023" i="1"/>
  <c r="C17304" i="1"/>
  <c r="C17526" i="1"/>
  <c r="C18294" i="1"/>
  <c r="C23027" i="1"/>
  <c r="C17200" i="1"/>
  <c r="C22338" i="1"/>
  <c r="C17024" i="1"/>
  <c r="C17025" i="1"/>
  <c r="C17728" i="1"/>
  <c r="C22342" i="1"/>
  <c r="C17026" i="1"/>
  <c r="C22344" i="1"/>
  <c r="C22345" i="1"/>
  <c r="C22346" i="1"/>
  <c r="C22347" i="1"/>
  <c r="C18336" i="1"/>
  <c r="C18340" i="1"/>
  <c r="C18341" i="1"/>
  <c r="C18342" i="1"/>
  <c r="C17305" i="1"/>
  <c r="C18177" i="1"/>
  <c r="C17028" i="1"/>
  <c r="C17029" i="1"/>
  <c r="C17495" i="1"/>
  <c r="C18348" i="1"/>
  <c r="C22358" i="1"/>
  <c r="C22359" i="1"/>
  <c r="C22360" i="1"/>
  <c r="C22361" i="1"/>
  <c r="C17394" i="1"/>
  <c r="C17435" i="1"/>
  <c r="C17496" i="1"/>
  <c r="C17497" i="1"/>
  <c r="C18264" i="1"/>
  <c r="C18349" i="1"/>
  <c r="C18350" i="1"/>
  <c r="C18353" i="1"/>
  <c r="C18354" i="1"/>
  <c r="C18453" i="1"/>
  <c r="C18683" i="1"/>
  <c r="C18688" i="1"/>
  <c r="C17527" i="1"/>
  <c r="C18265" i="1"/>
  <c r="C17436" i="1"/>
  <c r="C17498" i="1"/>
  <c r="C17528" i="1"/>
  <c r="C17395" i="1"/>
  <c r="C17663" i="1"/>
  <c r="C22381" i="1"/>
  <c r="C17691" i="1"/>
  <c r="C17629" i="1"/>
  <c r="C17737" i="1"/>
  <c r="C17499" i="1"/>
  <c r="C18234" i="1"/>
  <c r="C17201" i="1"/>
  <c r="C22388" i="1"/>
  <c r="C17500" i="1"/>
  <c r="C22390" i="1"/>
  <c r="C17551" i="1"/>
  <c r="C17501" i="1"/>
  <c r="C17030" i="1"/>
  <c r="C18690" i="1"/>
  <c r="C17306" i="1"/>
  <c r="C17502" i="1"/>
  <c r="C17650" i="1"/>
  <c r="C18170" i="1"/>
  <c r="C17307" i="1"/>
  <c r="C17308" i="1"/>
  <c r="C22401" i="1"/>
  <c r="C17503" i="1"/>
  <c r="C17504" i="1"/>
  <c r="C17684" i="1"/>
  <c r="C22405" i="1"/>
  <c r="C22406" i="1"/>
  <c r="C17031" i="1"/>
  <c r="C22408" i="1"/>
  <c r="C17032" i="1"/>
  <c r="C17033" i="1"/>
  <c r="C17664" i="1"/>
  <c r="C17552" i="1"/>
  <c r="C17505" i="1"/>
  <c r="C23028" i="1"/>
  <c r="C22415" i="1"/>
  <c r="C22416" i="1"/>
  <c r="C17667" i="1"/>
  <c r="C17034" i="1"/>
  <c r="C17035" i="1"/>
  <c r="C17036" i="1"/>
  <c r="C22421" i="1"/>
  <c r="C17506" i="1"/>
  <c r="C23029" i="1"/>
  <c r="C22424" i="1"/>
  <c r="C22425" i="1"/>
  <c r="C17037" i="1"/>
  <c r="C17692" i="1"/>
  <c r="C22428" i="1"/>
  <c r="C17038" i="1"/>
  <c r="C17039" i="1"/>
  <c r="C22431" i="1"/>
  <c r="C18181" i="1"/>
  <c r="C22433" i="1"/>
  <c r="C17396" i="1"/>
  <c r="C17529" i="1"/>
  <c r="C22436" i="1"/>
  <c r="C17507" i="1"/>
  <c r="C18252" i="1"/>
  <c r="C18236" i="1"/>
  <c r="C22440" i="1"/>
  <c r="C17729" i="1"/>
  <c r="C22442" i="1"/>
  <c r="C17309" i="1"/>
  <c r="C22444" i="1"/>
  <c r="C17438" i="1"/>
  <c r="C17043" i="1"/>
  <c r="C17693" i="1"/>
  <c r="C22448" i="1"/>
  <c r="C17044" i="1"/>
  <c r="C17730" i="1"/>
  <c r="C18691" i="1"/>
  <c r="C17045" i="1"/>
  <c r="C17694" i="1"/>
  <c r="C22454" i="1"/>
  <c r="C22455" i="1"/>
  <c r="C22456" i="1"/>
  <c r="C22457" i="1"/>
  <c r="C17313" i="1"/>
  <c r="C22459" i="1"/>
  <c r="C17046" i="1"/>
  <c r="C22461" i="1"/>
  <c r="C22462" i="1"/>
  <c r="C22463" i="1"/>
  <c r="C17731" i="1"/>
  <c r="C17440" i="1"/>
  <c r="C17047" i="1"/>
  <c r="C17048" i="1"/>
  <c r="C17049" i="1"/>
  <c r="C22469" i="1"/>
  <c r="C17050" i="1"/>
  <c r="C17051" i="1"/>
  <c r="C17052" i="1"/>
  <c r="C17053" i="1"/>
  <c r="C22474" i="1"/>
  <c r="C22475" i="1"/>
  <c r="C17054" i="1"/>
  <c r="C17055" i="1"/>
  <c r="C17056" i="1"/>
  <c r="C17057" i="1"/>
  <c r="C17060" i="1"/>
  <c r="C17061" i="1"/>
  <c r="C17062" i="1"/>
  <c r="C17063" i="1"/>
  <c r="C17064" i="1"/>
  <c r="C17065" i="1"/>
  <c r="C17066" i="1"/>
  <c r="C17067" i="1"/>
  <c r="C17068" i="1"/>
  <c r="C17069" i="1"/>
  <c r="C22490" i="1"/>
  <c r="C17070" i="1"/>
  <c r="C17071" i="1"/>
  <c r="C17072" i="1"/>
  <c r="C22494" i="1"/>
  <c r="C17073" i="1"/>
  <c r="C22496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22511" i="1"/>
  <c r="C17088" i="1"/>
  <c r="C17089" i="1"/>
  <c r="C17090" i="1"/>
  <c r="C17091" i="1"/>
  <c r="C22516" i="1"/>
  <c r="C17092" i="1"/>
  <c r="C17093" i="1"/>
  <c r="C17094" i="1"/>
  <c r="C22520" i="1"/>
  <c r="C17095" i="1"/>
  <c r="C22522" i="1"/>
  <c r="C22523" i="1"/>
  <c r="C22524" i="1"/>
  <c r="C22525" i="1"/>
  <c r="C22526" i="1"/>
  <c r="C17096" i="1"/>
  <c r="C17097" i="1"/>
  <c r="C17098" i="1"/>
  <c r="C17099" i="1"/>
  <c r="C17100" i="1"/>
  <c r="C17101" i="1"/>
  <c r="C17102" i="1"/>
  <c r="C22534" i="1"/>
  <c r="C17103" i="1"/>
  <c r="C17104" i="1"/>
  <c r="C17509" i="1"/>
  <c r="C17105" i="1"/>
  <c r="C17530" i="1"/>
  <c r="C23030" i="1"/>
  <c r="C17202" i="1"/>
  <c r="C22542" i="1"/>
  <c r="C17510" i="1"/>
  <c r="C22544" i="1"/>
  <c r="C22545" i="1"/>
  <c r="C17106" i="1"/>
  <c r="C17108" i="1"/>
  <c r="C17109" i="1"/>
  <c r="C17110" i="1"/>
  <c r="C22550" i="1"/>
  <c r="C17111" i="1"/>
  <c r="C22552" i="1"/>
  <c r="C22553" i="1"/>
  <c r="C22554" i="1"/>
  <c r="C22555" i="1"/>
  <c r="C23031" i="1"/>
  <c r="C22557" i="1"/>
  <c r="C17112" i="1"/>
  <c r="C22559" i="1"/>
  <c r="C17113" i="1"/>
  <c r="C22561" i="1"/>
  <c r="C17114" i="1"/>
  <c r="C23032" i="1"/>
  <c r="C17115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17511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17317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17630" i="1"/>
  <c r="C17706" i="1"/>
  <c r="C17116" i="1"/>
  <c r="C17444" i="1"/>
  <c r="C17512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17117" i="1"/>
  <c r="C22818" i="1"/>
  <c r="C22819" i="1"/>
  <c r="C17531" i="1"/>
  <c r="C17532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17635" i="1"/>
  <c r="C22834" i="1"/>
  <c r="C17118" i="1"/>
  <c r="C17119" i="1"/>
  <c r="C17120" i="1"/>
  <c r="C22838" i="1"/>
  <c r="C22839" i="1"/>
  <c r="C22840" i="1"/>
  <c r="C23033" i="1"/>
  <c r="C22842" i="1"/>
  <c r="C22843" i="1"/>
  <c r="C17121" i="1"/>
  <c r="C22845" i="1"/>
  <c r="C22846" i="1"/>
  <c r="C22847" i="1"/>
  <c r="C18172" i="1"/>
  <c r="C22849" i="1"/>
  <c r="C17318" i="1"/>
  <c r="C22851" i="1"/>
  <c r="C22852" i="1"/>
  <c r="C22853" i="1"/>
  <c r="C17631" i="1"/>
  <c r="C22855" i="1"/>
  <c r="C22856" i="1"/>
  <c r="C17325" i="1"/>
  <c r="C17397" i="1"/>
  <c r="C22859" i="1"/>
  <c r="C17447" i="1"/>
  <c r="C22861" i="1"/>
  <c r="C22862" i="1"/>
  <c r="C17398" i="1"/>
  <c r="C17122" i="1"/>
  <c r="C22865" i="1"/>
  <c r="C22866" i="1"/>
  <c r="C22867" i="1"/>
  <c r="C22868" i="1"/>
  <c r="C17123" i="1"/>
  <c r="C17124" i="1"/>
  <c r="C17125" i="1"/>
  <c r="C22872" i="1"/>
  <c r="C22873" i="1"/>
  <c r="C17126" i="1"/>
  <c r="C17399" i="1"/>
  <c r="C17533" i="1"/>
  <c r="C18237" i="1"/>
  <c r="C18288" i="1"/>
  <c r="C17665" i="1"/>
  <c r="C17632" i="1"/>
  <c r="C17633" i="1"/>
  <c r="C18238" i="1"/>
  <c r="C17513" i="1"/>
  <c r="C17702" i="1"/>
  <c r="C17326" i="1"/>
  <c r="C22886" i="1"/>
  <c r="C17514" i="1"/>
  <c r="C17679" i="1"/>
  <c r="C22889" i="1"/>
  <c r="C17651" i="1"/>
  <c r="C17732" i="1"/>
  <c r="C17733" i="1"/>
  <c r="C22893" i="1"/>
  <c r="C18171" i="1"/>
  <c r="C22895" i="1"/>
  <c r="C17327" i="1"/>
  <c r="C17203" i="1"/>
  <c r="C18289" i="1"/>
  <c r="C17515" i="1"/>
  <c r="C22900" i="1"/>
  <c r="C22901" i="1"/>
  <c r="C17127" i="1"/>
  <c r="C17128" i="1"/>
  <c r="C22904" i="1"/>
  <c r="C17129" i="1"/>
  <c r="C22906" i="1"/>
  <c r="C22907" i="1"/>
  <c r="C22908" i="1"/>
  <c r="C17130" i="1"/>
  <c r="C23034" i="1"/>
  <c r="C22911" i="1"/>
  <c r="C17131" i="1"/>
  <c r="C22913" i="1"/>
  <c r="C17516" i="1"/>
  <c r="C17517" i="1"/>
  <c r="C22916" i="1"/>
  <c r="C17132" i="1"/>
  <c r="C17133" i="1"/>
  <c r="C17134" i="1"/>
  <c r="C17135" i="1"/>
  <c r="C17136" i="1"/>
  <c r="C17137" i="1"/>
  <c r="C17138" i="1"/>
  <c r="C17140" i="1"/>
  <c r="C22925" i="1"/>
  <c r="C17142" i="1"/>
  <c r="C17143" i="1"/>
  <c r="C22928" i="1"/>
  <c r="C22929" i="1"/>
  <c r="C22930" i="1"/>
  <c r="C22931" i="1"/>
  <c r="C17328" i="1"/>
  <c r="C22933" i="1"/>
  <c r="C22934" i="1"/>
  <c r="C22935" i="1"/>
  <c r="C17144" i="1"/>
  <c r="C17329" i="1"/>
  <c r="C22938" i="1"/>
  <c r="C17145" i="1"/>
  <c r="C17146" i="1"/>
  <c r="C17147" i="1"/>
  <c r="C17148" i="1"/>
  <c r="C17149" i="1"/>
  <c r="C17150" i="1"/>
  <c r="C17151" i="1"/>
  <c r="C22946" i="1"/>
  <c r="C17152" i="1"/>
  <c r="C22948" i="1"/>
  <c r="C17153" i="1"/>
  <c r="C17154" i="1"/>
  <c r="C17155" i="1"/>
  <c r="C22952" i="1"/>
  <c r="C17156" i="1"/>
  <c r="C22954" i="1"/>
  <c r="C22955" i="1"/>
  <c r="C17157" i="1"/>
  <c r="C17158" i="1"/>
  <c r="C22958" i="1"/>
  <c r="C17159" i="1"/>
  <c r="C17160" i="1"/>
  <c r="C17161" i="1"/>
  <c r="C22962" i="1"/>
  <c r="C17162" i="1"/>
  <c r="C17163" i="1"/>
  <c r="C22965" i="1"/>
  <c r="C17164" i="1"/>
  <c r="C22967" i="1"/>
  <c r="C17165" i="1"/>
  <c r="C17166" i="1"/>
  <c r="C17167" i="1"/>
  <c r="C17168" i="1"/>
  <c r="C22972" i="1"/>
  <c r="C22973" i="1"/>
  <c r="C17169" i="1"/>
  <c r="C22975" i="1"/>
  <c r="C17669" i="1"/>
  <c r="C22977" i="1"/>
  <c r="C22978" i="1"/>
  <c r="C22979" i="1"/>
  <c r="C22980" i="1"/>
  <c r="C22981" i="1"/>
  <c r="C22982" i="1"/>
  <c r="C22983" i="1"/>
  <c r="C17170" i="1"/>
  <c r="C22985" i="1"/>
  <c r="C22986" i="1"/>
  <c r="C17171" i="1"/>
  <c r="C22988" i="1"/>
  <c r="C22989" i="1"/>
  <c r="C22990" i="1"/>
  <c r="C22991" i="1"/>
  <c r="C22992" i="1"/>
  <c r="C22993" i="1"/>
  <c r="C22994" i="1"/>
  <c r="C22995" i="1"/>
  <c r="C22996" i="1"/>
  <c r="C22997" i="1"/>
  <c r="C23035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17172" i="1"/>
  <c r="C17173" i="1"/>
  <c r="C23036" i="1"/>
  <c r="C23014" i="1"/>
  <c r="C23015" i="1"/>
  <c r="C23016" i="1"/>
  <c r="C23017" i="1"/>
  <c r="C23018" i="1"/>
  <c r="C23019" i="1"/>
  <c r="C23020" i="1"/>
  <c r="C23021" i="1"/>
  <c r="C23037" i="1"/>
  <c r="C23023" i="1"/>
  <c r="C23024" i="1"/>
  <c r="C23025" i="1"/>
  <c r="C17174" i="1"/>
  <c r="C17175" i="1"/>
  <c r="C17176" i="1"/>
  <c r="C23041" i="1"/>
  <c r="C23044" i="1"/>
  <c r="C23045" i="1"/>
  <c r="C17177" i="1"/>
  <c r="C17178" i="1"/>
  <c r="C17179" i="1"/>
  <c r="C17180" i="1"/>
  <c r="C17181" i="1"/>
  <c r="C17182" i="1"/>
  <c r="C23038" i="1"/>
  <c r="C23039" i="1"/>
  <c r="C23040" i="1"/>
  <c r="C17183" i="1"/>
  <c r="C23042" i="1"/>
  <c r="C23043" i="1"/>
  <c r="C23046" i="1"/>
  <c r="C17186" i="1"/>
  <c r="C17187" i="1"/>
</calcChain>
</file>

<file path=xl/sharedStrings.xml><?xml version="1.0" encoding="utf-8"?>
<sst xmlns="http://schemas.openxmlformats.org/spreadsheetml/2006/main" count="246951" uniqueCount="87900">
  <si>
    <t>Avendra Group Entity</t>
  </si>
  <si>
    <t>Client</t>
  </si>
  <si>
    <t>Customer ID</t>
  </si>
  <si>
    <t>Customer Name</t>
  </si>
  <si>
    <t>Street</t>
  </si>
  <si>
    <t>City</t>
  </si>
  <si>
    <t>State</t>
  </si>
  <si>
    <t>Zip</t>
  </si>
  <si>
    <t>Country</t>
  </si>
  <si>
    <t>Market Segment</t>
  </si>
  <si>
    <t>Brand</t>
  </si>
  <si>
    <t>Account Address</t>
  </si>
  <si>
    <t>Account Name</t>
  </si>
  <si>
    <t>Contact Name 1</t>
  </si>
  <si>
    <t>Contact Name 2</t>
  </si>
  <si>
    <t>Golf Course Type</t>
  </si>
  <si>
    <t>No. of Courses</t>
  </si>
  <si>
    <t>Rooms</t>
  </si>
  <si>
    <t># of Licensed Beds</t>
  </si>
  <si>
    <t>Phone</t>
  </si>
  <si>
    <t>Account Address 1</t>
  </si>
  <si>
    <t>Account Address 2</t>
  </si>
  <si>
    <t>Account Setup Date</t>
  </si>
  <si>
    <t>Account Punchout User Name</t>
  </si>
  <si>
    <t>Avendra</t>
  </si>
  <si>
    <t>Loudoun Hospitality Group LLC</t>
  </si>
  <si>
    <t>Fairfield Inn &amp; Suites Chantilly</t>
  </si>
  <si>
    <t xml:space="preserve">3960 Corsair Court </t>
  </si>
  <si>
    <t>Chantilly</t>
  </si>
  <si>
    <t>VA</t>
  </si>
  <si>
    <t>USA</t>
  </si>
  <si>
    <t>LODGING:Select Service</t>
  </si>
  <si>
    <t>Fairfield Inn</t>
  </si>
  <si>
    <t>Asma Qureshi</t>
  </si>
  <si>
    <t>+ (703) 435-1111</t>
  </si>
  <si>
    <t>HPSI</t>
  </si>
  <si>
    <t>TRINITY MINISTRIES INC.</t>
  </si>
  <si>
    <t>SKY RANCH AT CAVE SPRINGS</t>
  </si>
  <si>
    <t xml:space="preserve">7750 SOUTH 655 ROAD </t>
  </si>
  <si>
    <t>QUAPAW</t>
  </si>
  <si>
    <t>OK</t>
  </si>
  <si>
    <t>HPSI:Healthcare</t>
  </si>
  <si>
    <t>HPSI:CAMPS CHURCHES CONF CTR</t>
  </si>
  <si>
    <t>918-542-1547</t>
  </si>
  <si>
    <t>STONE AGE CONCRETE GAMES INC</t>
  </si>
  <si>
    <t xml:space="preserve">298 QUARRY ROAD </t>
  </si>
  <si>
    <t>ROSEBURG</t>
  </si>
  <si>
    <t>OR</t>
  </si>
  <si>
    <t>541-643-5005</t>
  </si>
  <si>
    <t>CENTRAL BAPTIST CHURCH</t>
  </si>
  <si>
    <t xml:space="preserve">210 WEST X STREET </t>
  </si>
  <si>
    <t>DEER PARK</t>
  </si>
  <si>
    <t>TX</t>
  </si>
  <si>
    <t>281-479-2662</t>
  </si>
  <si>
    <t>POLLAK INNOVATIVE MANAGEMENT PARTNERS</t>
  </si>
  <si>
    <t>PEPPER MILL REHAB AND NURSING CENTER LLC</t>
  </si>
  <si>
    <t xml:space="preserve">3525 AUGUSTUS ROAD </t>
  </si>
  <si>
    <t>AIKEN</t>
  </si>
  <si>
    <t>SC</t>
  </si>
  <si>
    <t>HPSI:SENIOR LIVING</t>
  </si>
  <si>
    <t>803-642-8376</t>
  </si>
  <si>
    <t>HPSI Healthcare</t>
  </si>
  <si>
    <t>HITTLE HOUSE</t>
  </si>
  <si>
    <t xml:space="preserve">774 INTERNET DRIVE </t>
  </si>
  <si>
    <t>COLUMBUS</t>
  </si>
  <si>
    <t>OH</t>
  </si>
  <si>
    <t>HPSI:CHILDREN'S HOME</t>
  </si>
  <si>
    <t>614-443-5454</t>
  </si>
  <si>
    <t>EVERGREEN APARTMENTS</t>
  </si>
  <si>
    <t xml:space="preserve">304 8TH AVENUE EAST </t>
  </si>
  <si>
    <t>OSCEOLA</t>
  </si>
  <si>
    <t>WI</t>
  </si>
  <si>
    <t>000-000-0000</t>
  </si>
  <si>
    <t>ROCKWOOD LANE RETIREMENT</t>
  </si>
  <si>
    <t xml:space="preserve">12 EAST 5TH AVENUE </t>
  </si>
  <si>
    <t>SPOKANE</t>
  </si>
  <si>
    <t>WA</t>
  </si>
  <si>
    <t>509-838-3200</t>
  </si>
  <si>
    <t>BLOUNTSTOWN HEALTH AND REHAB CENTER</t>
  </si>
  <si>
    <t xml:space="preserve">16690 SW CHIPOLA ROAD </t>
  </si>
  <si>
    <t>BLOUNTSTOWN</t>
  </si>
  <si>
    <t>FL</t>
  </si>
  <si>
    <t>MT CARMEL COMMUNITY AT THE VILLAGE</t>
  </si>
  <si>
    <t xml:space="preserve">540 PONCE DE LEON VILLAGE </t>
  </si>
  <si>
    <t>HOT SPRINGS VILLAGE</t>
  </si>
  <si>
    <t>AR</t>
  </si>
  <si>
    <t>501-922-0166</t>
  </si>
  <si>
    <t>SUNNY VIEW NURSING HOME</t>
  </si>
  <si>
    <t xml:space="preserve">83 CORONA STREET </t>
  </si>
  <si>
    <t>WARWICK</t>
  </si>
  <si>
    <t>RI</t>
  </si>
  <si>
    <t>CORTLAND PLACE</t>
  </si>
  <si>
    <t xml:space="preserve">20 AUSTIN AVENUE </t>
  </si>
  <si>
    <t>GREENVILLE</t>
  </si>
  <si>
    <t>BRENTWOOD NURSING HOME</t>
  </si>
  <si>
    <t xml:space="preserve">4000 POST ROAD </t>
  </si>
  <si>
    <t>MASSENA REHAB AND NURSING HOME</t>
  </si>
  <si>
    <t xml:space="preserve">89 GROVE STREET </t>
  </si>
  <si>
    <t>MASSENA</t>
  </si>
  <si>
    <t>NY</t>
  </si>
  <si>
    <t>FAMILY HOUSE</t>
  </si>
  <si>
    <t xml:space="preserve">5308 LIBERTY </t>
  </si>
  <si>
    <t>PITTSBURGH</t>
  </si>
  <si>
    <t>PA</t>
  </si>
  <si>
    <t>HPSI:HUMAN SERVICE ORGAN.</t>
  </si>
  <si>
    <t>412-647-5811</t>
  </si>
  <si>
    <t>HPSI EDUCATION</t>
  </si>
  <si>
    <t>SOUTHWESTERN COMMUNITY COLLEGE</t>
  </si>
  <si>
    <t xml:space="preserve">900 OTAY LAKES ROAD </t>
  </si>
  <si>
    <t>CHULA VISTA</t>
  </si>
  <si>
    <t>CA</t>
  </si>
  <si>
    <t>HPSI:Education</t>
  </si>
  <si>
    <t>HPSI:EDUCATIONAL FACILITY</t>
  </si>
  <si>
    <t>619-482-6359</t>
  </si>
  <si>
    <t>EASTERN MICHIGAN ATHLETICS</t>
  </si>
  <si>
    <t xml:space="preserve">799 NORTH HEWITT </t>
  </si>
  <si>
    <t>YPSILANTI</t>
  </si>
  <si>
    <t>MI</t>
  </si>
  <si>
    <t>715-441-5343</t>
  </si>
  <si>
    <t>HARMONY SENIOR SERVICES</t>
  </si>
  <si>
    <t>HARMONY AT WALDORF-FOOD</t>
  </si>
  <si>
    <t xml:space="preserve">11239 BERRY ROAD </t>
  </si>
  <si>
    <t>WALDORF</t>
  </si>
  <si>
    <t>MD</t>
  </si>
  <si>
    <t>814-822-0734</t>
  </si>
  <si>
    <t>HARMONY AT WALDORF</t>
  </si>
  <si>
    <t>804-822-0734</t>
  </si>
  <si>
    <t>BILLINGS FAIRCHILD CENTER</t>
  </si>
  <si>
    <t>OKLAHOMA HOMES</t>
  </si>
  <si>
    <t xml:space="preserve">4621 SPRING RIDGE ROAD </t>
  </si>
  <si>
    <t>ENID</t>
  </si>
  <si>
    <t>HPSI:DEVELOPMENTALLY DISABLED</t>
  </si>
  <si>
    <t>580-725-3533</t>
  </si>
  <si>
    <t>BAPTIST HOMES OF INDEPENDENCE</t>
  </si>
  <si>
    <t>CRYSTAL MANOR</t>
  </si>
  <si>
    <t xml:space="preserve">409 WEST 1ST STREET </t>
  </si>
  <si>
    <t>ADRIAN</t>
  </si>
  <si>
    <t>MO</t>
  </si>
  <si>
    <t>ADRIAN MANOR HEALTH AND REHAB</t>
  </si>
  <si>
    <t xml:space="preserve">412 WEST 1ST STREET </t>
  </si>
  <si>
    <t>Aimbridge Hospitality LP - Corp</t>
  </si>
  <si>
    <t>Extended Stay America Minot</t>
  </si>
  <si>
    <t xml:space="preserve">1009 20th Avenue SE </t>
  </si>
  <si>
    <t>Minot</t>
  </si>
  <si>
    <t>ND</t>
  </si>
  <si>
    <t>LODGING:Economy</t>
  </si>
  <si>
    <t>Extended Stay America</t>
  </si>
  <si>
    <t>Haseena Shaikh</t>
  </si>
  <si>
    <t>+1 (701) 837-1500</t>
  </si>
  <si>
    <t>Sightline Hospitality LLC</t>
  </si>
  <si>
    <t>Motel 6 Moab</t>
  </si>
  <si>
    <t xml:space="preserve">1089 N Main St </t>
  </si>
  <si>
    <t>Moab</t>
  </si>
  <si>
    <t>UT</t>
  </si>
  <si>
    <t>Motel 6</t>
  </si>
  <si>
    <t>Rafael Reyes</t>
  </si>
  <si>
    <t>+(435)259-6686</t>
  </si>
  <si>
    <t>Cote Family Companies Inc.</t>
  </si>
  <si>
    <t>Grand View Lodge Spa &amp; Golf Resort</t>
  </si>
  <si>
    <t xml:space="preserve">23521 Nokomis Avenue </t>
  </si>
  <si>
    <t>NISSWA</t>
  </si>
  <si>
    <t>MN</t>
  </si>
  <si>
    <t>LODGING:Full Service</t>
  </si>
  <si>
    <t>Independent</t>
  </si>
  <si>
    <t>Don Lenahan</t>
  </si>
  <si>
    <t>Jackie Olson</t>
  </si>
  <si>
    <t>+1 (808) 720-0051</t>
  </si>
  <si>
    <t>Core Pismo LLC - SeaCrest</t>
  </si>
  <si>
    <t>The Tides Oceanview Inn &amp; Cottages</t>
  </si>
  <si>
    <t xml:space="preserve">2121 Price Street </t>
  </si>
  <si>
    <t>Pismo Beach</t>
  </si>
  <si>
    <t>LODGING:Select Upscale</t>
  </si>
  <si>
    <t>Jedidiah Bickel</t>
  </si>
  <si>
    <t>+1 (805) 773-2493</t>
  </si>
  <si>
    <t>HGC Holdings LLC</t>
  </si>
  <si>
    <t>Pelican Preserve Golf Club</t>
  </si>
  <si>
    <t xml:space="preserve">9802 Pelican Preserve Blvd </t>
  </si>
  <si>
    <t>Fort Myers</t>
  </si>
  <si>
    <t>GOLF: Private CC</t>
  </si>
  <si>
    <t>Golf</t>
  </si>
  <si>
    <t>Ian Coleman</t>
  </si>
  <si>
    <t>+1 (239) 985-1707</t>
  </si>
  <si>
    <t>Venetian Golf &amp; River Club</t>
  </si>
  <si>
    <t xml:space="preserve">105 Pesaro Drive </t>
  </si>
  <si>
    <t>North Venice</t>
  </si>
  <si>
    <t>+1 (941) 483-4811</t>
  </si>
  <si>
    <t>Aspen Skiing Company LLC</t>
  </si>
  <si>
    <t>Aspen Skiing Company LLC - Aspen</t>
  </si>
  <si>
    <t xml:space="preserve">117 Aspen Airport Business Center </t>
  </si>
  <si>
    <t>Aspen</t>
  </si>
  <si>
    <t>CO</t>
  </si>
  <si>
    <t>Administrative</t>
  </si>
  <si>
    <t>+()tbd</t>
  </si>
  <si>
    <t>Unknown Parent</t>
  </si>
  <si>
    <t>Hampton Inn Phoenix Airport North</t>
  </si>
  <si>
    <t xml:space="preserve">601 North 44th Street </t>
  </si>
  <si>
    <t>Phoenix</t>
  </si>
  <si>
    <t>AZ</t>
  </si>
  <si>
    <t>Hampton Inn</t>
  </si>
  <si>
    <t>Robert Wade</t>
  </si>
  <si>
    <t>Michael Martinez</t>
  </si>
  <si>
    <t>+1 (602) 267-0606</t>
  </si>
  <si>
    <t>L'Ermitage Beverly Hills</t>
  </si>
  <si>
    <t xml:space="preserve">9291 Burton Way </t>
  </si>
  <si>
    <t>Beverly Hills</t>
  </si>
  <si>
    <t>90210-3709</t>
  </si>
  <si>
    <t>LODGING:Luxury</t>
  </si>
  <si>
    <t>Frederic Zemmour</t>
  </si>
  <si>
    <t>Scott Berger</t>
  </si>
  <si>
    <t>+1 (310) 278-3344</t>
  </si>
  <si>
    <t>Seva Management LLC</t>
  </si>
  <si>
    <t>The 37</t>
  </si>
  <si>
    <t>37 Church Street Suite 2001</t>
  </si>
  <si>
    <t>Waynesville</t>
  </si>
  <si>
    <t>NC</t>
  </si>
  <si>
    <t>MFH: Office Building (Grade A)</t>
  </si>
  <si>
    <t>+1 (828) 454-9667</t>
  </si>
  <si>
    <t>Unicorn Hospitality Group</t>
  </si>
  <si>
    <t>Towneplace Suites Las Vegas North I-15</t>
  </si>
  <si>
    <t xml:space="preserve">4360 Nexus Drive </t>
  </si>
  <si>
    <t>Las Vegas</t>
  </si>
  <si>
    <t>NV</t>
  </si>
  <si>
    <t>TownePlace Suites</t>
  </si>
  <si>
    <t>Farrah Thompson</t>
  </si>
  <si>
    <t>+1 (725) 288-0900</t>
  </si>
  <si>
    <t>ASTERISK</t>
  </si>
  <si>
    <t>ROLLING HILL HEALTHCARE AND REHAB CENTER</t>
  </si>
  <si>
    <t xml:space="preserve">17350 OLD TURNPIKE RD </t>
  </si>
  <si>
    <t>MILLMONT</t>
  </si>
  <si>
    <t>HPSI:SKILLED NURSING</t>
  </si>
  <si>
    <t>570-922-3351</t>
  </si>
  <si>
    <t>SUN MERIDIAN MANAGEMENT SERVICES LLC</t>
  </si>
  <si>
    <t>ALMOND VIEW CARE CENTER</t>
  </si>
  <si>
    <t xml:space="preserve">1224 E ST </t>
  </si>
  <si>
    <t>WILLIAMS</t>
  </si>
  <si>
    <t>530-473-5321</t>
  </si>
  <si>
    <t>MILFORD HEALTHCARE AND REHAB CENTER</t>
  </si>
  <si>
    <t xml:space="preserve">264 ROUTE 6 &amp; 209 </t>
  </si>
  <si>
    <t>MILFORD</t>
  </si>
  <si>
    <t>570-491-4121</t>
  </si>
  <si>
    <t>Clarion Hotel Charlotte Airport</t>
  </si>
  <si>
    <t xml:space="preserve">212 W. Woodlawn Road #B </t>
  </si>
  <si>
    <t>Charlotte</t>
  </si>
  <si>
    <t>Clarion</t>
  </si>
  <si>
    <t>Vickie Hunt</t>
  </si>
  <si>
    <t>+1 (704) 907-7349</t>
  </si>
  <si>
    <t>Ramada Plaza Charlotte Airport</t>
  </si>
  <si>
    <t xml:space="preserve">212 W. Woodlawn Road </t>
  </si>
  <si>
    <t>Ramada</t>
  </si>
  <si>
    <t>+(704)907-7349</t>
  </si>
  <si>
    <t>Radisson Hotel Charlotte Airport</t>
  </si>
  <si>
    <t>Radisson</t>
  </si>
  <si>
    <t>Shreeji Hotel Group LLC</t>
  </si>
  <si>
    <t>Springhill Suites Charlotte Airport</t>
  </si>
  <si>
    <t xml:space="preserve">2223 Cascade Pointe Blvd. </t>
  </si>
  <si>
    <t>SpringHill Suites</t>
  </si>
  <si>
    <t>Andrew Mills</t>
  </si>
  <si>
    <t>Peachtree Hospitality Management LLC</t>
  </si>
  <si>
    <t>Home2 Eugene Downtown University Area</t>
  </si>
  <si>
    <t xml:space="preserve">102 West 11th Avenue </t>
  </si>
  <si>
    <t>Eugene</t>
  </si>
  <si>
    <t>Home2 Suites</t>
  </si>
  <si>
    <t>+1 (541) 342-3000</t>
  </si>
  <si>
    <t>Embassy Suites Valley Forge</t>
  </si>
  <si>
    <t xml:space="preserve">888 Chesterbrook Boulevard </t>
  </si>
  <si>
    <t>WAYNE</t>
  </si>
  <si>
    <t>Embassy Suites</t>
  </si>
  <si>
    <t xml:space="preserve">Joshua Davalos </t>
  </si>
  <si>
    <t>+1 (610) 647-6700</t>
  </si>
  <si>
    <t xml:space="preserve">Home2 Suites by Hilton Pittsburgh-McCandless PA </t>
  </si>
  <si>
    <t xml:space="preserve">8630 Duncan Avenue </t>
  </si>
  <si>
    <t>Pittsburgh</t>
  </si>
  <si>
    <t>Dan Puglisi</t>
  </si>
  <si>
    <t>+1 (412) 630-8400</t>
  </si>
  <si>
    <t>Aloft Hillsboro-Beaverton</t>
  </si>
  <si>
    <t xml:space="preserve">1705 Northwest Amberglen Court </t>
  </si>
  <si>
    <t>Hillsboro</t>
  </si>
  <si>
    <t>Aloft</t>
  </si>
  <si>
    <t>+1 (503) 277-1900</t>
  </si>
  <si>
    <t>Holiday Inn Express Hotel &amp; Suites Annapolis</t>
  </si>
  <si>
    <t>2451 Riva Road Hwy. Exit 22</t>
  </si>
  <si>
    <t>Annapolis</t>
  </si>
  <si>
    <t>Holiday Inn Express</t>
  </si>
  <si>
    <t>Lizzet Bonilla</t>
  </si>
  <si>
    <t>+1 (410) 224-4317</t>
  </si>
  <si>
    <t>VI LIVING*</t>
  </si>
  <si>
    <t>VI LIVING</t>
  </si>
  <si>
    <t xml:space="preserve">71 SOUTH WACKER DRIVE STE 900 </t>
  </si>
  <si>
    <t>CHICAGO</t>
  </si>
  <si>
    <t>IL</t>
  </si>
  <si>
    <t>HPSI:CORPORATE OFFICE</t>
  </si>
  <si>
    <t>313-803-8800</t>
  </si>
  <si>
    <t>Naranda Hotels LLC</t>
  </si>
  <si>
    <t>Comfort Suites West Warwick Providence</t>
  </si>
  <si>
    <t xml:space="preserve">10 Keyes Way </t>
  </si>
  <si>
    <t>West Warwick</t>
  </si>
  <si>
    <t>Comfort Inn &amp; Suites</t>
  </si>
  <si>
    <t>Niki Patel</t>
  </si>
  <si>
    <t>+1 (304) 200-3368</t>
  </si>
  <si>
    <t>Sleep Inn &amp; Suites Downtown Inner Harbor</t>
  </si>
  <si>
    <t xml:space="preserve">301 Fallsway </t>
  </si>
  <si>
    <t>East Case</t>
  </si>
  <si>
    <t>Sleep Inn</t>
  </si>
  <si>
    <t>Neel Patel</t>
  </si>
  <si>
    <t>+1 (682) 559-3681</t>
  </si>
  <si>
    <t xml:space="preserve">Country Inn &amp; Suites by Radisson Washington D.C. East - Capitol Heights </t>
  </si>
  <si>
    <t xml:space="preserve">8850 Hampton Mall Drive North </t>
  </si>
  <si>
    <t>Capitol Heights</t>
  </si>
  <si>
    <t>Country Inn &amp; Suites</t>
  </si>
  <si>
    <t>Maulik Patel</t>
  </si>
  <si>
    <t>+1 (240) 751-3396</t>
  </si>
  <si>
    <t>Quality Inn &amp; Suites New York Avenue</t>
  </si>
  <si>
    <t xml:space="preserve">1600 New York Avenue Northeast </t>
  </si>
  <si>
    <t>Washington</t>
  </si>
  <si>
    <t>DC</t>
  </si>
  <si>
    <t>Quality Inn &amp; Suites</t>
  </si>
  <si>
    <t>Samira Early</t>
  </si>
  <si>
    <t>+1 (240) 461-1734</t>
  </si>
  <si>
    <t>La Quinta Inn &amp; Suites by Wyndham Columbia / Fort Meade</t>
  </si>
  <si>
    <t xml:space="preserve">7300 Crestmount Road </t>
  </si>
  <si>
    <t>Jessup</t>
  </si>
  <si>
    <t>La Quinta</t>
  </si>
  <si>
    <t>Bridgette Sloan</t>
  </si>
  <si>
    <t>+1 (443) 469-6807</t>
  </si>
  <si>
    <t>Comfort Inn College Park North</t>
  </si>
  <si>
    <t xml:space="preserve">4050 Powder Mill Road </t>
  </si>
  <si>
    <t>Beltsville</t>
  </si>
  <si>
    <t>Khushi Patel</t>
  </si>
  <si>
    <t>+1 (301) 572-7100</t>
  </si>
  <si>
    <t>Comfort Inn at Joint Base Andrews</t>
  </si>
  <si>
    <t xml:space="preserve">7979 Malcolm Road </t>
  </si>
  <si>
    <t xml:space="preserve">Clinton </t>
  </si>
  <si>
    <t>Binoy Patel</t>
  </si>
  <si>
    <t>+1 (215) 888-3160</t>
  </si>
  <si>
    <t>W A Golf Company LLC</t>
  </si>
  <si>
    <t>Liberty National Golf Club</t>
  </si>
  <si>
    <t xml:space="preserve">100 Caven Point Rd </t>
  </si>
  <si>
    <t>Jersey City</t>
  </si>
  <si>
    <t>NJ</t>
  </si>
  <si>
    <t>Lee Smith</t>
  </si>
  <si>
    <t>Shaun Lewis</t>
  </si>
  <si>
    <t>+ (201) 333-4105</t>
  </si>
  <si>
    <t>McKibbon Hospitality</t>
  </si>
  <si>
    <t>Home2 Suites by Hilton Wildwood/The Villages</t>
  </si>
  <si>
    <t xml:space="preserve">7555 Penrose Place </t>
  </si>
  <si>
    <t>Wildwood</t>
  </si>
  <si>
    <t>James House</t>
  </si>
  <si>
    <t>+1 (352) 913-2100</t>
  </si>
  <si>
    <t>Mpire Management LLC</t>
  </si>
  <si>
    <t>Plantation Suites</t>
  </si>
  <si>
    <t xml:space="preserve">1909 State Hwy 361 </t>
  </si>
  <si>
    <t>Port Aransas</t>
  </si>
  <si>
    <t>Vick Patel</t>
  </si>
  <si>
    <t>+1 (361) 749-3866</t>
  </si>
  <si>
    <t>Motel 6 South San Antonio</t>
  </si>
  <si>
    <t xml:space="preserve">7950 S Panam Expwy </t>
  </si>
  <si>
    <t>San Antonio</t>
  </si>
  <si>
    <t>+()210-928-2866</t>
  </si>
  <si>
    <t>Motel 6 Cedar Park</t>
  </si>
  <si>
    <t xml:space="preserve">800 Arrow Point Dr </t>
  </si>
  <si>
    <t>Leander</t>
  </si>
  <si>
    <t>+()512-260-3233</t>
  </si>
  <si>
    <t>Motel 6 Marble Falls</t>
  </si>
  <si>
    <t xml:space="preserve">1400 Ollie Ln. </t>
  </si>
  <si>
    <t>Cottonwood Shores</t>
  </si>
  <si>
    <t>+()830-265-6565</t>
  </si>
  <si>
    <t>Quality Inn Kenedy</t>
  </si>
  <si>
    <t xml:space="preserve">415 N Sunset Strip St </t>
  </si>
  <si>
    <t>Kenedy</t>
  </si>
  <si>
    <t>+1 (830) 583-3535</t>
  </si>
  <si>
    <t>Comfort Suites NW Austin Lakeline</t>
  </si>
  <si>
    <t xml:space="preserve">13681 N US Hwy 183 </t>
  </si>
  <si>
    <t>Austin</t>
  </si>
  <si>
    <t>+()512-219-1800</t>
  </si>
  <si>
    <t>SpringHill Suites San Antonio NW Loop</t>
  </si>
  <si>
    <t xml:space="preserve">3636 NW Loop 410 </t>
  </si>
  <si>
    <t>Ray Turpin</t>
  </si>
  <si>
    <t>+1 (210) 737-6170</t>
  </si>
  <si>
    <t>LB INTEGRITY PROVERBS 20:7</t>
  </si>
  <si>
    <t xml:space="preserve">1496 AMOS ROAD </t>
  </si>
  <si>
    <t>SHELBYVILLE</t>
  </si>
  <si>
    <t>IN</t>
  </si>
  <si>
    <t>570-939-9100</t>
  </si>
  <si>
    <t>TROUT LAKE CAMPS</t>
  </si>
  <si>
    <t xml:space="preserve">10173 TROUT LAKE DRIVE </t>
  </si>
  <si>
    <t>PINE RIVER</t>
  </si>
  <si>
    <t>218-543-4565</t>
  </si>
  <si>
    <t>SAN YSIDRO HEALTH</t>
  </si>
  <si>
    <t>EL CAJON PACE</t>
  </si>
  <si>
    <t xml:space="preserve">875 EL CAJON BLVD </t>
  </si>
  <si>
    <t>EL CAJON</t>
  </si>
  <si>
    <t>HPSI:DAYCARE CENTER</t>
  </si>
  <si>
    <t>619-662-4100</t>
  </si>
  <si>
    <t>VISTA PACE</t>
  </si>
  <si>
    <t xml:space="preserve">1840 WEST DRIVE </t>
  </si>
  <si>
    <t>VISTA</t>
  </si>
  <si>
    <t>ROCKY MOUNTAIN HEALTH CARE CORP</t>
  </si>
  <si>
    <t>ROCKY MOUNTAIN CARE-RIVER POINT</t>
  </si>
  <si>
    <t xml:space="preserve">462 SOUTH 900 E </t>
  </si>
  <si>
    <t>PROVO</t>
  </si>
  <si>
    <t>801-375-2218</t>
  </si>
  <si>
    <t>PREMIER EARLY CHILDHOOD EDUCATION PARTNERS</t>
  </si>
  <si>
    <t>PREMIER OH STRONGSVILLE KF LLC</t>
  </si>
  <si>
    <t xml:space="preserve">15163 HOWE ROAD </t>
  </si>
  <si>
    <t>STRONGVILLE</t>
  </si>
  <si>
    <t>440-580-4927</t>
  </si>
  <si>
    <t>PREMIER OH PARMA HEIGHTS LLC</t>
  </si>
  <si>
    <t xml:space="preserve">7025 WEST 130TH STREET </t>
  </si>
  <si>
    <t>PARMA HEIGHTS</t>
  </si>
  <si>
    <t>440-499-6883</t>
  </si>
  <si>
    <t>PREMIER OH OLMSTED FALLS LLC</t>
  </si>
  <si>
    <t xml:space="preserve">26184 BAGLEY ROAD </t>
  </si>
  <si>
    <t>OLMSTED FALLS</t>
  </si>
  <si>
    <t>440-373-7292</t>
  </si>
  <si>
    <t>NORTHPOINT RECOVERY HOLDING LLC</t>
  </si>
  <si>
    <t>IMAGINE FORT COLLINS</t>
  </si>
  <si>
    <t xml:space="preserve">3800 AUTOMATION WAY #102 </t>
  </si>
  <si>
    <t>FORT COLLINS</t>
  </si>
  <si>
    <t>HPSI:REHABILITATION CENTER</t>
  </si>
  <si>
    <t>NORTHPOINT LOVELAND</t>
  </si>
  <si>
    <t xml:space="preserve">4565 KENDALL PARKWAY </t>
  </si>
  <si>
    <t>LOVELAND</t>
  </si>
  <si>
    <t>NORTHPOINT COLORADO</t>
  </si>
  <si>
    <t xml:space="preserve">4656 KENDALL PARKWAY </t>
  </si>
  <si>
    <t>NORTHPOINT OMAHA</t>
  </si>
  <si>
    <t xml:space="preserve">8710 FREDERICK STREET #101 </t>
  </si>
  <si>
    <t>OMAHA</t>
  </si>
  <si>
    <t>NE</t>
  </si>
  <si>
    <t>NORTHPOINT NEBRASKA</t>
  </si>
  <si>
    <t xml:space="preserve">7215 ONTARIO STREET </t>
  </si>
  <si>
    <t>IMAGINE EMERALD</t>
  </si>
  <si>
    <t xml:space="preserve">6600 EMERALD STREET </t>
  </si>
  <si>
    <t xml:space="preserve">BOISE </t>
  </si>
  <si>
    <t>ID</t>
  </si>
  <si>
    <t>IMAGINE BOISE</t>
  </si>
  <si>
    <t xml:space="preserve">9292 BARNES DRIVE </t>
  </si>
  <si>
    <t>BOISE</t>
  </si>
  <si>
    <t>HPSI Hospitality</t>
  </si>
  <si>
    <t>LORETTAS SNAK SHAK</t>
  </si>
  <si>
    <t xml:space="preserve">125 EVERETT STREET </t>
  </si>
  <si>
    <t>BRYSON CITY</t>
  </si>
  <si>
    <t>HPSI:Hospitality</t>
  </si>
  <si>
    <t>HPSI:RESTAURANTS</t>
  </si>
  <si>
    <t>800-924-6090</t>
  </si>
  <si>
    <t>FREDERICK T SUTTER LLC</t>
  </si>
  <si>
    <t xml:space="preserve">171 DEFENSE HIGHWAY </t>
  </si>
  <si>
    <t>ANNAPOLIS</t>
  </si>
  <si>
    <t>HPSI:PHYSICIAN OFFICE</t>
  </si>
  <si>
    <t>410-224-4446</t>
  </si>
  <si>
    <t>JEWISH FAMILY SERVICES OF WASHTENAW COUNTY</t>
  </si>
  <si>
    <t xml:space="preserve">2245 SOUTH STATE STREET </t>
  </si>
  <si>
    <t>ANN ARBOR</t>
  </si>
  <si>
    <t>734-769-0209</t>
  </si>
  <si>
    <t>BLUEBIRD HEALTH</t>
  </si>
  <si>
    <t xml:space="preserve">3080 GENTRY WAY SUITE 203 </t>
  </si>
  <si>
    <t>MERIDIAN</t>
  </si>
  <si>
    <t>HPSI:HOSPICE</t>
  </si>
  <si>
    <t>208-336-9898</t>
  </si>
  <si>
    <t>SAFE HARBOR RECOVERY</t>
  </si>
  <si>
    <t xml:space="preserve">1212 TOD PLACE </t>
  </si>
  <si>
    <t>WARREN</t>
  </si>
  <si>
    <t>HPSI:DRUG REHAB</t>
  </si>
  <si>
    <t>330-469-6822</t>
  </si>
  <si>
    <t>THE GODDARD SCHOOL-FAIRFAX</t>
  </si>
  <si>
    <t xml:space="preserve">11150 FAIRFAX BLVD STE 100 </t>
  </si>
  <si>
    <t>FAIRFAX</t>
  </si>
  <si>
    <t>202-997-2429</t>
  </si>
  <si>
    <t>CAMP KRESGE OF THE GREATER WYOMING VALLEY AREA YMCA</t>
  </si>
  <si>
    <t xml:space="preserve">382 CAMP KRESGE LANE </t>
  </si>
  <si>
    <t>WHITE HAVEN</t>
  </si>
  <si>
    <t>THE CAMBRIDAGE AT BRIER CREEK</t>
  </si>
  <si>
    <t xml:space="preserve">7901 TW ALEXANDER DRIVE </t>
  </si>
  <si>
    <t>RALEIGH</t>
  </si>
  <si>
    <t>HARMONY AT ELKHART</t>
  </si>
  <si>
    <t xml:space="preserve">1129 PARKWAY AVENUE </t>
  </si>
  <si>
    <t>ELKHART</t>
  </si>
  <si>
    <t>HARMONY AT ELKHART-FOOD</t>
  </si>
  <si>
    <t>574-966-5891</t>
  </si>
  <si>
    <t>COMPLETE CARE MANAGEMENT LLC</t>
  </si>
  <si>
    <t>COMPLETE CARE AT VICTORIA COMMONS LLC-AL</t>
  </si>
  <si>
    <t xml:space="preserve">610 TOWN BANK ROAD </t>
  </si>
  <si>
    <t>NORTH CAPE MAY</t>
  </si>
  <si>
    <t>HPSI:ASSISTED LIVING</t>
  </si>
  <si>
    <t>COMPLEE CARE AT THE HAVEN-AL</t>
  </si>
  <si>
    <t xml:space="preserve">1700 NJ-37 </t>
  </si>
  <si>
    <t>TOMS RIVER</t>
  </si>
  <si>
    <t>COMPLETE CARE AT BERKSHIRE LLC</t>
  </si>
  <si>
    <t xml:space="preserve">5501 PERKIOMEN AVENUE </t>
  </si>
  <si>
    <t>READING</t>
  </si>
  <si>
    <t>COMPLETE CARE AT HARSTON HALL LLC</t>
  </si>
  <si>
    <t xml:space="preserve">350 HAWS LANE </t>
  </si>
  <si>
    <t>FLOURTOWN</t>
  </si>
  <si>
    <t>MAYFIELD CARE AND REHAB CENTER</t>
  </si>
  <si>
    <t xml:space="preserve">5905 WEST WASHINGTON BLVD </t>
  </si>
  <si>
    <t>UPTOWN CARE AND REHAB CENTER</t>
  </si>
  <si>
    <t xml:space="preserve">4920 NORTH KENMORE AVENUE </t>
  </si>
  <si>
    <t>VILLA PINES CENTER</t>
  </si>
  <si>
    <t xml:space="preserve">201 SOUTH PARK AVENUE </t>
  </si>
  <si>
    <t>FRIENDSHIP</t>
  </si>
  <si>
    <t>GLENDALE CARE AND REHAB LLC</t>
  </si>
  <si>
    <t xml:space="preserve">6263 NORTH GREEN BAY AVENUE </t>
  </si>
  <si>
    <t>GLENDALE</t>
  </si>
  <si>
    <t>KENSINGTON CARE CENTER</t>
  </si>
  <si>
    <t xml:space="preserve">810 KENSINGTON DRIVE </t>
  </si>
  <si>
    <t>WAUKESHA</t>
  </si>
  <si>
    <t xml:space="preserve">1 DIANE DRIVE </t>
  </si>
  <si>
    <t>FORT ASHBY</t>
  </si>
  <si>
    <t>WV</t>
  </si>
  <si>
    <t>COMPLETE CARE AT OAK RIDGE LLC</t>
  </si>
  <si>
    <t xml:space="preserve">1000 ASSOCIATION DRIVE </t>
  </si>
  <si>
    <t>CHARLESTON</t>
  </si>
  <si>
    <t>COMPLETE CARE AT CORSICA HILLS LLC</t>
  </si>
  <si>
    <t xml:space="preserve">205 ARMSTRONG STREET </t>
  </si>
  <si>
    <t>CENTREVILLE</t>
  </si>
  <si>
    <t>COMPLETE CARE AT HERITAGE LLC</t>
  </si>
  <si>
    <t xml:space="preserve">7232 GERMAN HILL ROAD </t>
  </si>
  <si>
    <t xml:space="preserve">BALTIMORE </t>
  </si>
  <si>
    <t>COMPLETE CARE AT MULTI MEDICAL CENTER LLC</t>
  </si>
  <si>
    <t xml:space="preserve">7700 YORK ROAD </t>
  </si>
  <si>
    <t>TOWSON</t>
  </si>
  <si>
    <t>COMPLETE CARE AT SEVERNA PARK LLC</t>
  </si>
  <si>
    <t xml:space="preserve">310 GENESIS WAY </t>
  </si>
  <si>
    <t>SEVERNA PARK</t>
  </si>
  <si>
    <t>COMPLETE CARE AT LA PLATA LLC</t>
  </si>
  <si>
    <t xml:space="preserve">1 MAGNOLIA DRIVE </t>
  </si>
  <si>
    <t>LA PLATA</t>
  </si>
  <si>
    <t>COMPLETE CARE AT MILFORD</t>
  </si>
  <si>
    <t xml:space="preserve">103 CAUSEY AVENUE </t>
  </si>
  <si>
    <t>DE</t>
  </si>
  <si>
    <t>COMPLETE CARE AT SILVER LAKE LLC</t>
  </si>
  <si>
    <t xml:space="preserve">1080 SILVER LAKE BLVD </t>
  </si>
  <si>
    <t>DOVER</t>
  </si>
  <si>
    <t>COMPLETE CARE AT HILLSIDE LLC</t>
  </si>
  <si>
    <t xml:space="preserve">810 SOUTH BROOM STREET </t>
  </si>
  <si>
    <t>WILIMINGTON</t>
  </si>
  <si>
    <t>COMPLETE CARE AT BRACKENVILLE LLC</t>
  </si>
  <si>
    <t xml:space="preserve">100 ST CLAIRE DRIVE </t>
  </si>
  <si>
    <t>HOCKESSIN</t>
  </si>
  <si>
    <t>COMPLETE CARE AT RIVERVIEW RIDGE</t>
  </si>
  <si>
    <t xml:space="preserve">300 COURTRIGHT AVENUE </t>
  </si>
  <si>
    <t>WILKES-BARRE</t>
  </si>
  <si>
    <t>COMPLETE CARE AT LEHIGH LLC</t>
  </si>
  <si>
    <t xml:space="preserve">1718 SPRING CREEK ROAD </t>
  </si>
  <si>
    <t>MACUNGIE</t>
  </si>
  <si>
    <t>COMPLETE CARE AT WILLOW CREEK</t>
  </si>
  <si>
    <t xml:space="preserve">165 EASTON AVENUE </t>
  </si>
  <si>
    <t>SOMERSET</t>
  </si>
  <si>
    <t>COMPLETE CARE AT PHILLIPSBURG LLC</t>
  </si>
  <si>
    <t xml:space="preserve">843 WILBUR AVENUE </t>
  </si>
  <si>
    <t>PHILLIPSBURG</t>
  </si>
  <si>
    <t>COMPLETE CARE AT BRAKELEY PARK LLC</t>
  </si>
  <si>
    <t xml:space="preserve">290 RED SCHOOL LANE </t>
  </si>
  <si>
    <t>ROOSEVELT CARE CENTERS OLD BRIDGE</t>
  </si>
  <si>
    <t xml:space="preserve">1133 MARLBORO ROAD </t>
  </si>
  <si>
    <t>OLD BRIDGE</t>
  </si>
  <si>
    <t>COMPLETE CARE AT PARK PLACE LLC</t>
  </si>
  <si>
    <t xml:space="preserve">2 DEERPARK DRIVE </t>
  </si>
  <si>
    <t>MONMOUTH JUNCTION</t>
  </si>
  <si>
    <t>ROOSEVELT CARE CENTERS EDISON</t>
  </si>
  <si>
    <t xml:space="preserve">118 PARSONAGE ROAD </t>
  </si>
  <si>
    <t>EDISON</t>
  </si>
  <si>
    <t>COMPLETE CARE AT GREEN KNOLL</t>
  </si>
  <si>
    <t xml:space="preserve">875 US-206 </t>
  </si>
  <si>
    <t>BRIDGWATER TOWNSHIP</t>
  </si>
  <si>
    <t>COMPLETE CARE AT WHITING</t>
  </si>
  <si>
    <t xml:space="preserve">3000 HILLTOP ROAD </t>
  </si>
  <si>
    <t>WHITING</t>
  </si>
  <si>
    <t>COMPLETE CARE AT HOLIDAY CITY</t>
  </si>
  <si>
    <t xml:space="preserve">4 PLAZA DRIVE </t>
  </si>
  <si>
    <t>COMPLETE CARE AT ARBORS</t>
  </si>
  <si>
    <t xml:space="preserve">1750 NJ-37 </t>
  </si>
  <si>
    <t>COMPLETE CARE AT GREEN ACRES</t>
  </si>
  <si>
    <t xml:space="preserve">1931 US 9 </t>
  </si>
  <si>
    <t>COMPLETE CARE AT BEY LEA</t>
  </si>
  <si>
    <t xml:space="preserve">1351 OLD FREEHOLD ROAD </t>
  </si>
  <si>
    <t>COMPLETE CARE AT LAURELTON</t>
  </si>
  <si>
    <t xml:space="preserve">475 JACK MARTIN BLVD </t>
  </si>
  <si>
    <t>BRICK TOWNSHIP</t>
  </si>
  <si>
    <t>COMPLETE CARE AT SHORROCK</t>
  </si>
  <si>
    <t xml:space="preserve">75 OLD TOMS RIVER ROAD </t>
  </si>
  <si>
    <t>BRICKTOWNSHIP</t>
  </si>
  <si>
    <t>COMPLETE CARE AT MERCEVILLE LLC</t>
  </si>
  <si>
    <t xml:space="preserve">2240 WHITEHORSE MERCEVILLE ROAD </t>
  </si>
  <si>
    <t>MERCEVILLE</t>
  </si>
  <si>
    <t>COMPLETE CARE AT LINWOOD</t>
  </si>
  <si>
    <t xml:space="preserve">201 NEW ROAD </t>
  </si>
  <si>
    <t>LINWOOD</t>
  </si>
  <si>
    <t>COMPLETE CARE AT COURT HOUSE LLC</t>
  </si>
  <si>
    <t xml:space="preserve">144 MAGNOLIA DRIVE </t>
  </si>
  <si>
    <t>CAPE MAY COURT HOUSE</t>
  </si>
  <si>
    <t>COMPLETE CARE AT FAIR LAWN EDGE</t>
  </si>
  <si>
    <t xml:space="preserve">77 EAST 43RD STREET </t>
  </si>
  <si>
    <t>PATERSON</t>
  </si>
  <si>
    <t>COMPLETE CARE AT WESTFIELD LLC</t>
  </si>
  <si>
    <t xml:space="preserve">1515 LAMBERTS MILL ROAD </t>
  </si>
  <si>
    <t>WESTFIELD</t>
  </si>
  <si>
    <t>COMPLETE CARE AT WOODLANDS</t>
  </si>
  <si>
    <t xml:space="preserve">1400 WOODLAND AVENUE </t>
  </si>
  <si>
    <t>PLAINFIELD</t>
  </si>
  <si>
    <t>CHESTNUT HILL RESIDENCES BY COMPLETE CARE</t>
  </si>
  <si>
    <t xml:space="preserve">338 CHESTNUT STREET #1 </t>
  </si>
  <si>
    <t>PASSAIC</t>
  </si>
  <si>
    <t>COMPLETE CARE AT CHESTNUT HILL LLC</t>
  </si>
  <si>
    <t xml:space="preserve">360 CHESTNUT STREET #1 </t>
  </si>
  <si>
    <t>COMPLETE CARE AT HAMILTON PLAZA</t>
  </si>
  <si>
    <t xml:space="preserve">56 HAMILTON AVENUE </t>
  </si>
  <si>
    <t>COMPLETE CARE AT ORANGE PARK</t>
  </si>
  <si>
    <t xml:space="preserve">140 PARK AVENUE </t>
  </si>
  <si>
    <t>EAST ORANGE</t>
  </si>
  <si>
    <t>COMPLETE CARE AT AT CEDAR GROVE LLC</t>
  </si>
  <si>
    <t xml:space="preserve">536 RIDGE ROAD </t>
  </si>
  <si>
    <t>CEDAR GROVE</t>
  </si>
  <si>
    <t>COMPLETE CARE AT GLENDALE LLC</t>
  </si>
  <si>
    <t xml:space="preserve">4 HAZEL AVENUE </t>
  </si>
  <si>
    <t>NAUGATUCK</t>
  </si>
  <si>
    <t>CT</t>
  </si>
  <si>
    <t>COMPLETE CARE AT MERIDEN LLC</t>
  </si>
  <si>
    <t xml:space="preserve">845 PADDOCK AVENUE MERIDEN </t>
  </si>
  <si>
    <t>MERIDEN</t>
  </si>
  <si>
    <t>COMPLETE CARE AT HARRINGTON COURT LLC</t>
  </si>
  <si>
    <t xml:space="preserve">59 HARRINGTON COURT </t>
  </si>
  <si>
    <t>COLCHESTER</t>
  </si>
  <si>
    <t>COMPLETE CARE AT GROTON REGENCY LLC</t>
  </si>
  <si>
    <t xml:space="preserve">1145 POQUONNOCK ROAD </t>
  </si>
  <si>
    <t>GROTON</t>
  </si>
  <si>
    <t>COMPLETE CARE AT VORHEES LLC</t>
  </si>
  <si>
    <t xml:space="preserve">3001 EAST EVESHAM ROAD </t>
  </si>
  <si>
    <t>VOORHEES TOWNSHIP</t>
  </si>
  <si>
    <t>COMPLETE CARE AT KRESSON VIEW LLC</t>
  </si>
  <si>
    <t xml:space="preserve">2601 EAST EVESHAM ROAD </t>
  </si>
  <si>
    <t>COMPLETE CARE AT MARCELLA LLC</t>
  </si>
  <si>
    <t xml:space="preserve">2305 RANCOCAS ROAD </t>
  </si>
  <si>
    <t>BURLINGTON TOWNSHIP</t>
  </si>
  <si>
    <t>COMPLETE CARE AT BURLINGTON WOODS LLC</t>
  </si>
  <si>
    <t xml:space="preserve">115 SUNSET ROAD </t>
  </si>
  <si>
    <t>BURLINGTON</t>
  </si>
  <si>
    <t>COMPLETE CARE AT BARN HILL LLC</t>
  </si>
  <si>
    <t xml:space="preserve">249 HIGH STREET </t>
  </si>
  <si>
    <t>NEWTON</t>
  </si>
  <si>
    <t>COMPLETE CARE AT MADISON LLC</t>
  </si>
  <si>
    <t xml:space="preserve">625 NJ-34 </t>
  </si>
  <si>
    <t>MATAWAN</t>
  </si>
  <si>
    <t>RIDGEWOOD CARE CENTER</t>
  </si>
  <si>
    <t xml:space="preserve">90 WEST RIDGEWOOD AVENUE </t>
  </si>
  <si>
    <t>PARAMUS</t>
  </si>
  <si>
    <t>COMPLETE CARE AT INGLEMOOR LLC</t>
  </si>
  <si>
    <t xml:space="preserve">333 GRAND AVENUE </t>
  </si>
  <si>
    <t>ENGLEWOOD</t>
  </si>
  <si>
    <t>HPSI:SHELTERS</t>
  </si>
  <si>
    <t>Hotel Equities Inc.</t>
  </si>
  <si>
    <t>Four Points Bakersfield</t>
  </si>
  <si>
    <t xml:space="preserve">5101 California Avenue </t>
  </si>
  <si>
    <t>Bakersfield</t>
  </si>
  <si>
    <t>Four Points</t>
  </si>
  <si>
    <t>Andrea Moore</t>
  </si>
  <si>
    <t>+1 (661) 325-9700</t>
  </si>
  <si>
    <t>Rise8 Management LLC</t>
  </si>
  <si>
    <t>Stayable Select Gainesville</t>
  </si>
  <si>
    <t xml:space="preserve">2900 SOUTHWEST 13TH STREET </t>
  </si>
  <si>
    <t>Gainesville</t>
  </si>
  <si>
    <t>Patrick Gettino</t>
  </si>
  <si>
    <t>Cyle Van Auken</t>
  </si>
  <si>
    <t>+1 (352) 377-4000</t>
  </si>
  <si>
    <t>Comfort Inn Piqua</t>
  </si>
  <si>
    <t xml:space="preserve">987 East Ash Street </t>
  </si>
  <si>
    <t>Piqua</t>
  </si>
  <si>
    <t>Scott Sharits</t>
  </si>
  <si>
    <t>+1 (937) 778-8100</t>
  </si>
  <si>
    <t>IHM Properties - Innovative Hospitality Management</t>
  </si>
  <si>
    <t>Minnewaska Lodge</t>
  </si>
  <si>
    <t xml:space="preserve">3116 Route 44/55 </t>
  </si>
  <si>
    <t>Gardiner</t>
  </si>
  <si>
    <t>Robert Marcus</t>
  </si>
  <si>
    <t>Paul Curran</t>
  </si>
  <si>
    <t>+1 (845) 255-1110</t>
  </si>
  <si>
    <t>Marriott International Incorporated</t>
  </si>
  <si>
    <t>The Ritz-Carlton Residences Chevy Chase</t>
  </si>
  <si>
    <t xml:space="preserve">8551 Connecticut Ave </t>
  </si>
  <si>
    <t>Chevy Chase</t>
  </si>
  <si>
    <t>LODGING:Residences</t>
  </si>
  <si>
    <t>Ritz-Carlton</t>
  </si>
  <si>
    <t>Peter Frascarelli</t>
  </si>
  <si>
    <t>+1 (917) 655-7194</t>
  </si>
  <si>
    <t>Tokyo Wako Long Beach Inc.</t>
  </si>
  <si>
    <t>Tokyo Wako Ontario</t>
  </si>
  <si>
    <t xml:space="preserve">4472 East Ontario Mills Parkway </t>
  </si>
  <si>
    <t>Ontario</t>
  </si>
  <si>
    <t>Restaurant</t>
  </si>
  <si>
    <t>Armando Prieto</t>
  </si>
  <si>
    <t>Anando Djulio</t>
  </si>
  <si>
    <t>+1 (626) 747-6171</t>
  </si>
  <si>
    <t>Tokyo Wako Long Beach</t>
  </si>
  <si>
    <t xml:space="preserve">210 South Pine Avenue </t>
  </si>
  <si>
    <t>Long Beach</t>
  </si>
  <si>
    <t>Brian Khing</t>
  </si>
  <si>
    <t>+1 (626) 315-7171</t>
  </si>
  <si>
    <t>Tokyo Wako Arcadia</t>
  </si>
  <si>
    <t xml:space="preserve">401 East Huntington Drive </t>
  </si>
  <si>
    <t>Arcadia</t>
  </si>
  <si>
    <t>Shugo Kanai</t>
  </si>
  <si>
    <t>+1 (818) 515-5879</t>
  </si>
  <si>
    <t>Tokyo Wako Pasadena</t>
  </si>
  <si>
    <t>300 East Colorado Boulevard Suite 261</t>
  </si>
  <si>
    <t>Pasadena</t>
  </si>
  <si>
    <t>Annie Pan</t>
  </si>
  <si>
    <t>+1 (626) 345-4843</t>
  </si>
  <si>
    <t>HDG / Hotel Development &amp; Management Group</t>
  </si>
  <si>
    <t>Baymont Inn Sarasota</t>
  </si>
  <si>
    <t xml:space="preserve">1425 South Tamiami Trail </t>
  </si>
  <si>
    <t>Sarasota</t>
  </si>
  <si>
    <t>Baymont Inns &amp; Suites</t>
  </si>
  <si>
    <t>Donna Arthur</t>
  </si>
  <si>
    <t>+ (941) 955-9841</t>
  </si>
  <si>
    <t>Spearhead Hospitality LLC</t>
  </si>
  <si>
    <t>Getaway Hostel</t>
  </si>
  <si>
    <t xml:space="preserve">616 West Arlington Place </t>
  </si>
  <si>
    <t>Chicago</t>
  </si>
  <si>
    <t>Vincent Sassana</t>
  </si>
  <si>
    <t>+1 (773) 929-5380</t>
  </si>
  <si>
    <t>Canal Street Market and After Bar</t>
  </si>
  <si>
    <t xml:space="preserve">320 South Canal Street </t>
  </si>
  <si>
    <t>Laine Peterson</t>
  </si>
  <si>
    <t>+1 (312) 374-1620</t>
  </si>
  <si>
    <t>Chikatana Restaurant</t>
  </si>
  <si>
    <t xml:space="preserve">850 West Fulton Market </t>
  </si>
  <si>
    <t>David Tapia</t>
  </si>
  <si>
    <t>Harborside Inns of Santa Barbara Inc.</t>
  </si>
  <si>
    <t>Lavender Inn by the Sea</t>
  </si>
  <si>
    <t xml:space="preserve">206 Castillo St </t>
  </si>
  <si>
    <t>Santa Barbara</t>
  </si>
  <si>
    <t>Gregory Broussard</t>
  </si>
  <si>
    <t>+1 (805) 966-2219</t>
  </si>
  <si>
    <t>Inn by the Harbor</t>
  </si>
  <si>
    <t xml:space="preserve">433 W Montecito St </t>
  </si>
  <si>
    <t>Kalthia Group Hotels</t>
  </si>
  <si>
    <t>Holiday Inn Express &amp; Suites Mesquite</t>
  </si>
  <si>
    <t xml:space="preserve">1030 W Pioneer Blvd </t>
  </si>
  <si>
    <t>Mesquite</t>
  </si>
  <si>
    <t>Juana Robles</t>
  </si>
  <si>
    <t>+1 (619) 298-1291</t>
  </si>
  <si>
    <t>Seedling and Sage Catering LLC</t>
  </si>
  <si>
    <t>Seedling and Sage</t>
  </si>
  <si>
    <t xml:space="preserve">102 N. Tyson Ave </t>
  </si>
  <si>
    <t>Ardsley</t>
  </si>
  <si>
    <t>+()215-885-2037</t>
  </si>
  <si>
    <t>PLANTATION ASSOCIATES L.P.</t>
  </si>
  <si>
    <t>Hotel Del Sol</t>
  </si>
  <si>
    <t xml:space="preserve">3100 Webster Street </t>
  </si>
  <si>
    <t>San Francisco</t>
  </si>
  <si>
    <t>Angelo Reyes</t>
  </si>
  <si>
    <t>+1 (415) 921-5520</t>
  </si>
  <si>
    <t>Ramada Windsor Locks</t>
  </si>
  <si>
    <t xml:space="preserve">383 South Center Street </t>
  </si>
  <si>
    <t>Windsor Locks</t>
  </si>
  <si>
    <t>Maura Guerrero</t>
  </si>
  <si>
    <t>+1 (860) 254-4311</t>
  </si>
  <si>
    <t>DoubleTree Hotel Monroeville Convention Center</t>
  </si>
  <si>
    <t xml:space="preserve">101 Mall Boulevard </t>
  </si>
  <si>
    <t>Monroeville</t>
  </si>
  <si>
    <t>Doubletree Hotels</t>
  </si>
  <si>
    <t>Jeff Fouste</t>
  </si>
  <si>
    <t>+1 (412) 373-7300</t>
  </si>
  <si>
    <t>Prism Hotels</t>
  </si>
  <si>
    <t>Econo Lodge</t>
  </si>
  <si>
    <t xml:space="preserve">213 35th ST W </t>
  </si>
  <si>
    <t>Williston</t>
  </si>
  <si>
    <t>Iris Reynoza</t>
  </si>
  <si>
    <t>Sarah Vazquez</t>
  </si>
  <si>
    <t>+ (701) 572-4242</t>
  </si>
  <si>
    <t>Prospect Hotel Management LLC</t>
  </si>
  <si>
    <t>AutoCamp Catskills</t>
  </si>
  <si>
    <t xml:space="preserve">882 NY-212 </t>
  </si>
  <si>
    <t>Saugerties</t>
  </si>
  <si>
    <t>Alexandria Wood</t>
  </si>
  <si>
    <t>+1 (323) 571-7537</t>
  </si>
  <si>
    <t>Montecito Country Club LLC</t>
  </si>
  <si>
    <t>Montecito Club</t>
  </si>
  <si>
    <t xml:space="preserve">920 Summit Rd. </t>
  </si>
  <si>
    <t>Montecito</t>
  </si>
  <si>
    <t>Mike Orosco</t>
  </si>
  <si>
    <t>+ (805) 969-0800</t>
  </si>
  <si>
    <t>Greenwood Hills Country Club Inc.</t>
  </si>
  <si>
    <t>Greenwood Hills Country Club</t>
  </si>
  <si>
    <t xml:space="preserve">2002 Poplar LN </t>
  </si>
  <si>
    <t>Wausau</t>
  </si>
  <si>
    <t>Cheri Johnson</t>
  </si>
  <si>
    <t>Danielle Bridenhagen</t>
  </si>
  <si>
    <t>+ (715) 849-1772</t>
  </si>
  <si>
    <t>Pramukhraj Group LLC</t>
  </si>
  <si>
    <t>Holiday Inn Express &amp; Suites North Waco Area - West</t>
  </si>
  <si>
    <t xml:space="preserve">114 Melodie Drive </t>
  </si>
  <si>
    <t>West</t>
  </si>
  <si>
    <t>Stacey Brumfield</t>
  </si>
  <si>
    <t>+1 (254) 826-0900</t>
  </si>
  <si>
    <t>Hampton Inn &amp; Suites Tucson East / Williams Center</t>
  </si>
  <si>
    <t xml:space="preserve">251 South Wilmot Road </t>
  </si>
  <si>
    <t>Tucson</t>
  </si>
  <si>
    <t>Marco Lopez</t>
  </si>
  <si>
    <t>+1 (520) 514-0500</t>
  </si>
  <si>
    <t>Charlestowne Hotels Inc.</t>
  </si>
  <si>
    <t>La Banque Hotel</t>
  </si>
  <si>
    <t xml:space="preserve">2034 Ridge Road </t>
  </si>
  <si>
    <t>Homewood</t>
  </si>
  <si>
    <t>Meg Sakka</t>
  </si>
  <si>
    <t>+1 (708) 798-6000</t>
  </si>
  <si>
    <t>Sonesta International Hotels Corporation</t>
  </si>
  <si>
    <t>Sonesta Irvine Orange County Airport</t>
  </si>
  <si>
    <t xml:space="preserve">17941 Von Karman Ave </t>
  </si>
  <si>
    <t>Irvine</t>
  </si>
  <si>
    <t>Sonesta Hotels</t>
  </si>
  <si>
    <t>Diane Blake</t>
  </si>
  <si>
    <t>+1 (949) 863-1999</t>
  </si>
  <si>
    <t>La Voute Bistro</t>
  </si>
  <si>
    <t>Robert Burt</t>
  </si>
  <si>
    <t>Davidson Hospitality Group</t>
  </si>
  <si>
    <t>Aloft San Francisco Airport</t>
  </si>
  <si>
    <t xml:space="preserve">401 East Millbrae Avenue </t>
  </si>
  <si>
    <t>Millbrae</t>
  </si>
  <si>
    <t>Rahmi Kaya</t>
  </si>
  <si>
    <t>+1 (650) 443-5500</t>
  </si>
  <si>
    <t>Westin San Francisco Airport</t>
  </si>
  <si>
    <t xml:space="preserve">1 Old Bayshore Highway </t>
  </si>
  <si>
    <t>Westin</t>
  </si>
  <si>
    <t>+1 (650) 692-3500</t>
  </si>
  <si>
    <t>Basking Ridge Country Club</t>
  </si>
  <si>
    <t xml:space="preserve">185 Madisonville Road </t>
  </si>
  <si>
    <t>Basking Ridge</t>
  </si>
  <si>
    <t>Jen Kornberger</t>
  </si>
  <si>
    <t>+ (908) 766-8200</t>
  </si>
  <si>
    <t>MILLBRAE ASSISTED LIVING CENTER</t>
  </si>
  <si>
    <t xml:space="preserve">1001 HEMLOCK AVENUE </t>
  </si>
  <si>
    <t>MILLBRAE</t>
  </si>
  <si>
    <t>650-588-1000</t>
  </si>
  <si>
    <t>SHORELINE PLACE</t>
  </si>
  <si>
    <t xml:space="preserve">324 LINDEN AVE </t>
  </si>
  <si>
    <t>WILMETTE</t>
  </si>
  <si>
    <t>(847) 251-6212</t>
  </si>
  <si>
    <t>CHRISTIAN CARE COMMUNITIES</t>
  </si>
  <si>
    <t xml:space="preserve">12710 TOWNEPARK WAY STE 1000 </t>
  </si>
  <si>
    <t>LOUISVILLE</t>
  </si>
  <si>
    <t>KY</t>
  </si>
  <si>
    <t>40243-2535</t>
  </si>
  <si>
    <t>(502) 254-4200</t>
  </si>
  <si>
    <t>Le Méridien Atlanta Perimeter</t>
  </si>
  <si>
    <t xml:space="preserve">111 Perimeter Center West </t>
  </si>
  <si>
    <t>Atlanta</t>
  </si>
  <si>
    <t>GA</t>
  </si>
  <si>
    <t>Le Meridien</t>
  </si>
  <si>
    <t>Wendell Bush</t>
  </si>
  <si>
    <t>+1 (770) 396-6800</t>
  </si>
  <si>
    <t>Valor Hospitality Partners LLC</t>
  </si>
  <si>
    <t>Holiday Inn Fort Worth South</t>
  </si>
  <si>
    <t xml:space="preserve">100 Altamesa Blvd E </t>
  </si>
  <si>
    <t>FORT WORTH</t>
  </si>
  <si>
    <t>Holiday Inn</t>
  </si>
  <si>
    <t>Rick Harrison</t>
  </si>
  <si>
    <t>Mark Cakmak</t>
  </si>
  <si>
    <t>+ (817) 293-3088</t>
  </si>
  <si>
    <t>Winghaven Country Club</t>
  </si>
  <si>
    <t xml:space="preserve">7777 Winghaven Blvd </t>
  </si>
  <si>
    <t>O Fallon</t>
  </si>
  <si>
    <t>63368-3788</t>
  </si>
  <si>
    <t>Nathan Charnes</t>
  </si>
  <si>
    <t>(636) 561-9464</t>
  </si>
  <si>
    <t>Quality Inn OKC Airport</t>
  </si>
  <si>
    <t xml:space="preserve">6300 Terminal Drive </t>
  </si>
  <si>
    <t>Oklahoma City</t>
  </si>
  <si>
    <t>Lalit Himanshu</t>
  </si>
  <si>
    <t>+1 (405) 681-3500</t>
  </si>
  <si>
    <t>Quality Inn El Centro</t>
  </si>
  <si>
    <t xml:space="preserve">1455 Octillo Drive </t>
  </si>
  <si>
    <t>El Centro</t>
  </si>
  <si>
    <t>+1 (760) 352-5152</t>
  </si>
  <si>
    <t>ANNUNCIATION HEIGHTS</t>
  </si>
  <si>
    <t xml:space="preserve">7400 HIGHWAY 7 </t>
  </si>
  <si>
    <t>ESTES PARK</t>
  </si>
  <si>
    <t>970-586-5689</t>
  </si>
  <si>
    <t>EAST WALLAND MISSIONARY BAPTIST CHURCH</t>
  </si>
  <si>
    <t xml:space="preserve">942 EAST MILLERS COVE ROAD </t>
  </si>
  <si>
    <t>MARYVILLE</t>
  </si>
  <si>
    <t>TN</t>
  </si>
  <si>
    <t>865-983-4230</t>
  </si>
  <si>
    <t>PREMIER CO CASTLE PINES LLC</t>
  </si>
  <si>
    <t xml:space="preserve">81 MAX DRIVE </t>
  </si>
  <si>
    <t>312-481-6928</t>
  </si>
  <si>
    <t>PREMIER CO SADDLE ROCK LLC</t>
  </si>
  <si>
    <t xml:space="preserve">7326 S GARTRELL ROAD </t>
  </si>
  <si>
    <t>LUTHERAN LIFE COMMUNITIES</t>
  </si>
  <si>
    <t>WITTENBERG HEALTHCARE CENTER</t>
  </si>
  <si>
    <t xml:space="preserve">1150 EAST LUTHER DRIVE </t>
  </si>
  <si>
    <t>CROWN POINT</t>
  </si>
  <si>
    <t>LOCKWOOD COMPANIES</t>
  </si>
  <si>
    <t>LOCKWOOD CONSTRUCTION COMPANY</t>
  </si>
  <si>
    <t xml:space="preserve">32685 BRIARCREST KNOLL </t>
  </si>
  <si>
    <t>FARMINGTON HILLS</t>
  </si>
  <si>
    <t>348-258-5223</t>
  </si>
  <si>
    <t>REGALCARE AT WORCESTER</t>
  </si>
  <si>
    <t xml:space="preserve">25 ORIOL DRIVE </t>
  </si>
  <si>
    <t>WORCESTER</t>
  </si>
  <si>
    <t>MA</t>
  </si>
  <si>
    <t>SANDSTONE SPRING VALLEY LLC</t>
  </si>
  <si>
    <t xml:space="preserve">5650 SOUTH RAINBOW BLVD </t>
  </si>
  <si>
    <t>LAS VEGAS</t>
  </si>
  <si>
    <t>702-470-1102</t>
  </si>
  <si>
    <t>ALPINE SKILLED NURSING AND REHAB</t>
  </si>
  <si>
    <t xml:space="preserve">3101 PLUMAS STREET </t>
  </si>
  <si>
    <t>RENO</t>
  </si>
  <si>
    <t>WINGFIELD SKILLED NURSING AND REHAB</t>
  </si>
  <si>
    <t xml:space="preserve">2350 WINGFIELD HILLS ROAD </t>
  </si>
  <si>
    <t>SPARKS</t>
  </si>
  <si>
    <t>NORTH SHORE HOLIDAY HOUSE</t>
  </si>
  <si>
    <t xml:space="preserve">74 HUNTINGTON ROAD </t>
  </si>
  <si>
    <t>HUNTINGTON</t>
  </si>
  <si>
    <t>631-427-7630</t>
  </si>
  <si>
    <t>IVY HOUSE RESIDENTIAL CARE</t>
  </si>
  <si>
    <t xml:space="preserve">308 SOUTH STATE STREET </t>
  </si>
  <si>
    <t>PAINESVILLE</t>
  </si>
  <si>
    <t>440-354-2131</t>
  </si>
  <si>
    <t>CORNERSTONE MANAGEMENT SERVICES</t>
  </si>
  <si>
    <t>ARBOR GARDEN PLACE</t>
  </si>
  <si>
    <t xml:space="preserve">535 CANYON DRIVE NW </t>
  </si>
  <si>
    <t>EYOTA</t>
  </si>
  <si>
    <t>GARDEN VIEW PLACE</t>
  </si>
  <si>
    <t xml:space="preserve">800 DARBY DRIVE </t>
  </si>
  <si>
    <t>MONONA</t>
  </si>
  <si>
    <t>KS</t>
  </si>
  <si>
    <t>WHISPERING OAK PLACE</t>
  </si>
  <si>
    <t xml:space="preserve">903 CALVERLY COURT </t>
  </si>
  <si>
    <t>ELLENDALE</t>
  </si>
  <si>
    <t>APPLE CREEK PLACE</t>
  </si>
  <si>
    <t xml:space="preserve">5117 N CHERRYVALE AVENUE </t>
  </si>
  <si>
    <t>APPLETON</t>
  </si>
  <si>
    <t>HARMONY PLACE</t>
  </si>
  <si>
    <t xml:space="preserve">455 MAIN AVENUE N </t>
  </si>
  <si>
    <t>HARMONY</t>
  </si>
  <si>
    <t>CASCADIA HEALTHCARE</t>
  </si>
  <si>
    <t>COLFAX OF CASCADIA LLC</t>
  </si>
  <si>
    <t xml:space="preserve">1150 WEST FAIRVIEW STREET </t>
  </si>
  <si>
    <t>COLFAX</t>
  </si>
  <si>
    <t>509-397-4603</t>
  </si>
  <si>
    <t>SNOHOMISH OF CASCADIA LLC</t>
  </si>
  <si>
    <t xml:space="preserve">800 10TH STREET </t>
  </si>
  <si>
    <t>SNOHOMISH</t>
  </si>
  <si>
    <t>360-568-3161</t>
  </si>
  <si>
    <t>LEWISTON CENTER OF CASCADIA LLC</t>
  </si>
  <si>
    <t xml:space="preserve">2870 JUNIPER DRIVE </t>
  </si>
  <si>
    <t>LEWISTON</t>
  </si>
  <si>
    <t>208-746-2800</t>
  </si>
  <si>
    <t>BELLINGHAM SOUTH OF CASCADIA LLC</t>
  </si>
  <si>
    <t xml:space="preserve">2400 SAMISH WAY </t>
  </si>
  <si>
    <t>BELLINGHAM</t>
  </si>
  <si>
    <t>360-734-4800</t>
  </si>
  <si>
    <t>BELLINGHAM NORTH OF CASCADIA LLC</t>
  </si>
  <si>
    <t xml:space="preserve">2727 ALDERWOOD AVENUE </t>
  </si>
  <si>
    <t>BELLLINGHAM</t>
  </si>
  <si>
    <t>360-733-2322</t>
  </si>
  <si>
    <t>LEWISTON OF OLYMPUS LLC</t>
  </si>
  <si>
    <t>BAPTIST HOME OZARK</t>
  </si>
  <si>
    <t xml:space="preserve">1625 WEST GARTON ROAD </t>
  </si>
  <si>
    <t>OZARK</t>
  </si>
  <si>
    <t>417-581-2101</t>
  </si>
  <si>
    <t>THE BAPTIST HOME IN CHILICOTHE</t>
  </si>
  <si>
    <t xml:space="preserve">500 BAPTIST HOME LANE </t>
  </si>
  <si>
    <t>CHILLICOTHE</t>
  </si>
  <si>
    <t>660-646-6219</t>
  </si>
  <si>
    <t>BAPTIST HOME OF ASHLAND</t>
  </si>
  <si>
    <t xml:space="preserve">5751 BAPTIST HOME AVENUE </t>
  </si>
  <si>
    <t>ASHLAND</t>
  </si>
  <si>
    <t>573-657-0506</t>
  </si>
  <si>
    <t>Lotus Hotels LLC</t>
  </si>
  <si>
    <t>Courtyard by Marriott Denver Stadium</t>
  </si>
  <si>
    <t xml:space="preserve">1800 Federal Blvd </t>
  </si>
  <si>
    <t>Denver</t>
  </si>
  <si>
    <t>Courtyard</t>
  </si>
  <si>
    <t>Danielle Zayatz</t>
  </si>
  <si>
    <t>+()303-506-6969</t>
  </si>
  <si>
    <t>Spire Hospitality</t>
  </si>
  <si>
    <t>The Leta Hotel</t>
  </si>
  <si>
    <t xml:space="preserve">5650 Calle Real </t>
  </si>
  <si>
    <t>Goleta</t>
  </si>
  <si>
    <t>Barry Dorsey</t>
  </si>
  <si>
    <t>+ (805) 964-6241</t>
  </si>
  <si>
    <t>LWP Cypress PM LLC</t>
  </si>
  <si>
    <t>Evermore Orlando Resort</t>
  </si>
  <si>
    <t xml:space="preserve">One North Jacaranda </t>
  </si>
  <si>
    <t>Orlando</t>
  </si>
  <si>
    <t>Bobby Eonta</t>
  </si>
  <si>
    <t>+1 (407) 239-1985</t>
  </si>
  <si>
    <t>Claremont Country Club</t>
  </si>
  <si>
    <t xml:space="preserve">5295 Broadway Terrace </t>
  </si>
  <si>
    <t>Oakland</t>
  </si>
  <si>
    <t>Steven Shaw</t>
  </si>
  <si>
    <t>Golf Course Private</t>
  </si>
  <si>
    <t>+ (510) 653-6789</t>
  </si>
  <si>
    <t>LDV Hospitality Management LLC</t>
  </si>
  <si>
    <t>American Cut - Tribeca</t>
  </si>
  <si>
    <t xml:space="preserve">363 Greenwich St </t>
  </si>
  <si>
    <t>New York</t>
  </si>
  <si>
    <t>Aki Suzuki</t>
  </si>
  <si>
    <t>Drew Carballo</t>
  </si>
  <si>
    <t>+1 (212 )388-5277</t>
  </si>
  <si>
    <t xml:space="preserve">Dolce - The Gale </t>
  </si>
  <si>
    <t xml:space="preserve">1690 Collins Ave </t>
  </si>
  <si>
    <t>Miami Beach</t>
  </si>
  <si>
    <t>RESTAURANT: Hospitality</t>
  </si>
  <si>
    <t>Marco Chapnick</t>
  </si>
  <si>
    <t>Andrea Rainis</t>
  </si>
  <si>
    <t>+1 (855) 252-1936</t>
  </si>
  <si>
    <t>Growth Properties Hospitality Management</t>
  </si>
  <si>
    <t>Fairfield Inn &amp; Suites Atlantic City Absecon</t>
  </si>
  <si>
    <t xml:space="preserve">240 East White Horse Pike </t>
  </si>
  <si>
    <t>Galloway</t>
  </si>
  <si>
    <t>Ryan Schrade</t>
  </si>
  <si>
    <t>+()609-551-0000</t>
  </si>
  <si>
    <t>South D Enterprise LLC</t>
  </si>
  <si>
    <t>Country Inn &amp; Suites Pensacola West</t>
  </si>
  <si>
    <t xml:space="preserve">2607 Wilde Lake Blvd </t>
  </si>
  <si>
    <t>Pensacola</t>
  </si>
  <si>
    <t>Mihir Talsania</t>
  </si>
  <si>
    <t>+1 (516) 503-3775</t>
  </si>
  <si>
    <t>Hersha Hospitality Management LP</t>
  </si>
  <si>
    <t>Homewood Suites by Hilton Long Beach Airport</t>
  </si>
  <si>
    <t xml:space="preserve">3771 North Lakewood Blvd </t>
  </si>
  <si>
    <t>Homewood Suites</t>
  </si>
  <si>
    <t>Andrea Sheldon</t>
  </si>
  <si>
    <t>+(562)425-0010</t>
  </si>
  <si>
    <t>Hampton Inn Long Beach Airport</t>
  </si>
  <si>
    <t>+(562)425-0012</t>
  </si>
  <si>
    <t>SENIOR SERVICES OF AMERICA</t>
  </si>
  <si>
    <t>MIRROR LAKE VILLAGE SENIOR LIVING</t>
  </si>
  <si>
    <t xml:space="preserve">31000 9TH PLACE SW </t>
  </si>
  <si>
    <t>FEDERAL WAY</t>
  </si>
  <si>
    <t>HPSI:ALZHEIMER CARE</t>
  </si>
  <si>
    <t>253-245-3630</t>
  </si>
  <si>
    <t>ROSE POINT ASSISTED LIVING</t>
  </si>
  <si>
    <t xml:space="preserve">13013 E MISSION STEET </t>
  </si>
  <si>
    <t>509-926-6483</t>
  </si>
  <si>
    <t>GENERATIONS ASSISTED LIVING</t>
  </si>
  <si>
    <t xml:space="preserve">13400 N MEYER ROAD </t>
  </si>
  <si>
    <t>TACOMA</t>
  </si>
  <si>
    <t>208-687-0495</t>
  </si>
  <si>
    <t>MEMORY HAVEN SUMNER</t>
  </si>
  <si>
    <t xml:space="preserve">5107 PARKER RD </t>
  </si>
  <si>
    <t>SUMNER</t>
  </si>
  <si>
    <t>253-200-0887</t>
  </si>
  <si>
    <t>MUKILTEO MEMORY CARE</t>
  </si>
  <si>
    <t xml:space="preserve">4686 POINTES DRIVE </t>
  </si>
  <si>
    <t>MUKILTEO</t>
  </si>
  <si>
    <t>425-267-0808</t>
  </si>
  <si>
    <t>KINGS MANOR ASSISTED LIVING</t>
  </si>
  <si>
    <t xml:space="preserve">8609 PORTLAND AVE E </t>
  </si>
  <si>
    <t>253-538-7222</t>
  </si>
  <si>
    <t>COOKS HILL MANOR</t>
  </si>
  <si>
    <t xml:space="preserve">2010 COOKS HILL ROAD </t>
  </si>
  <si>
    <t>CENTRALIA</t>
  </si>
  <si>
    <t>360-330-2010</t>
  </si>
  <si>
    <t>THE SEQUOIA</t>
  </si>
  <si>
    <t xml:space="preserve">825 LILLY ROAD </t>
  </si>
  <si>
    <t>OLYMPIA</t>
  </si>
  <si>
    <t>360-491-0491</t>
  </si>
  <si>
    <t>BIRCHVIEW MEMORY CARE</t>
  </si>
  <si>
    <t xml:space="preserve">925 DUNLOP AVENUE </t>
  </si>
  <si>
    <t>SEDRO WOOLEY</t>
  </si>
  <si>
    <t>360-856-1911</t>
  </si>
  <si>
    <t xml:space="preserve">1201 PACIFIC AVE STE 450 </t>
  </si>
  <si>
    <t>253-474-0425</t>
  </si>
  <si>
    <t>DISCOVERY MEMORY CARE</t>
  </si>
  <si>
    <t xml:space="preserve">408 W WASHINGTON STREET </t>
  </si>
  <si>
    <t>SEQUIM</t>
  </si>
  <si>
    <t>360-683-7047</t>
  </si>
  <si>
    <t>MOUNTAIN MEADOWS ASSISTED LIVING</t>
  </si>
  <si>
    <t xml:space="preserve">320 PARK AVENUE </t>
  </si>
  <si>
    <t>LEAVENWORTH</t>
  </si>
  <si>
    <t>509-548-4076</t>
  </si>
  <si>
    <t>THE VILLAGE RETIREMENT COMMUNITY</t>
  </si>
  <si>
    <t xml:space="preserve">4707 S ORCHARD ST </t>
  </si>
  <si>
    <t>253-475-4707</t>
  </si>
  <si>
    <t>THE LODGE AT MALLARD'S LANDING</t>
  </si>
  <si>
    <t xml:space="preserve">7083 WAGNER WAY NW </t>
  </si>
  <si>
    <t>GIG HARBOR</t>
  </si>
  <si>
    <t>253-858-4990</t>
  </si>
  <si>
    <t>Longstock II LLC</t>
  </si>
  <si>
    <t>The Perry Hotel Key West</t>
  </si>
  <si>
    <t xml:space="preserve">7001 Shrimp Island </t>
  </si>
  <si>
    <t>Key West</t>
  </si>
  <si>
    <t>Troy Talpas</t>
  </si>
  <si>
    <t>+(305)296-1717</t>
  </si>
  <si>
    <t>Estes Village Inn</t>
  </si>
  <si>
    <t xml:space="preserve">1040 Big Thompson Avenue </t>
  </si>
  <si>
    <t>Estes Park</t>
  </si>
  <si>
    <t>Joseph Milburn</t>
  </si>
  <si>
    <t>+1 (970)586-5338</t>
  </si>
  <si>
    <t>Essex Hotel Management LLC</t>
  </si>
  <si>
    <t>Hampton Inn &amp; Suites Plattsburgh</t>
  </si>
  <si>
    <t xml:space="preserve">586 State Route 3 </t>
  </si>
  <si>
    <t>Plattsburgh</t>
  </si>
  <si>
    <t>Casey Degon</t>
  </si>
  <si>
    <t>+1 (518) 324-1100</t>
  </si>
  <si>
    <t>Shaner Hotels -- Corporate</t>
  </si>
  <si>
    <t>Faro Blanco Resort</t>
  </si>
  <si>
    <t xml:space="preserve">1996 Overseas Highway </t>
  </si>
  <si>
    <t>Marathon</t>
  </si>
  <si>
    <t>Ian Legros</t>
  </si>
  <si>
    <t>Viktor Nebesnyuk</t>
  </si>
  <si>
    <t>+1(305)743-1234</t>
  </si>
  <si>
    <t>Lotte Hotel Holdings USA Co. Ltd.</t>
  </si>
  <si>
    <t>Lotte Hotel Seattle</t>
  </si>
  <si>
    <t xml:space="preserve">809 5th Ave </t>
  </si>
  <si>
    <t>International</t>
  </si>
  <si>
    <t>Victor Caguindagan</t>
  </si>
  <si>
    <t>+(206)800-8110</t>
  </si>
  <si>
    <t>Stonewood Hotels LLC</t>
  </si>
  <si>
    <t>Home2 Suites by Hilton Fairview/Allen</t>
  </si>
  <si>
    <t xml:space="preserve">290 Murray Farm Road </t>
  </si>
  <si>
    <t>Fairview</t>
  </si>
  <si>
    <t>Nick Desai</t>
  </si>
  <si>
    <t>Peter Desai</t>
  </si>
  <si>
    <t>+1 (214) 677-1270</t>
  </si>
  <si>
    <t>Lotte New York Palace</t>
  </si>
  <si>
    <t xml:space="preserve">455 Madison Avenue </t>
  </si>
  <si>
    <t>Becky Hubbard</t>
  </si>
  <si>
    <t>Martin Mariano</t>
  </si>
  <si>
    <t>+(212) 888-7000</t>
  </si>
  <si>
    <t>Singh 2300 Inc.</t>
  </si>
  <si>
    <t>Quality Inn &amp; Suites Portage</t>
  </si>
  <si>
    <t xml:space="preserve">2300 Willow Creek Road </t>
  </si>
  <si>
    <t>Portage</t>
  </si>
  <si>
    <t>Jitendra Chauhan</t>
  </si>
  <si>
    <t>+(219)763-7177</t>
  </si>
  <si>
    <t>Aloft Dallas Arlington</t>
  </si>
  <si>
    <t xml:space="preserve">4432 South Collins Street </t>
  </si>
  <si>
    <t>Arlington</t>
  </si>
  <si>
    <t>Tracy Nguyen</t>
  </si>
  <si>
    <t>+1 (214) 986-5174</t>
  </si>
  <si>
    <t>MOLDAW RESIDENCES</t>
  </si>
  <si>
    <t xml:space="preserve">899 E CHARLESTON RD </t>
  </si>
  <si>
    <t>PALO ALTO</t>
  </si>
  <si>
    <t>650 321318</t>
  </si>
  <si>
    <t>Tharaldson Hospitality Management LLC</t>
  </si>
  <si>
    <t>Holiday Inn Express Las Vegas</t>
  </si>
  <si>
    <t xml:space="preserve">175 East Tropicana Avenue </t>
  </si>
  <si>
    <t>Lorraine Montes</t>
  </si>
  <si>
    <t>Brock Winkler</t>
  </si>
  <si>
    <t>+1 (702) 471-1120</t>
  </si>
  <si>
    <t>Coeur d'Alene Staybridge Suites</t>
  </si>
  <si>
    <t xml:space="preserve">1347 West Riverstone Drive </t>
  </si>
  <si>
    <t>Coeur D alene</t>
  </si>
  <si>
    <t>Staybridge Suites</t>
  </si>
  <si>
    <t>Jennifer Peat</t>
  </si>
  <si>
    <t>Shelby Thompson</t>
  </si>
  <si>
    <t>+1 (208) 676-0222</t>
  </si>
  <si>
    <t>Staybridge Suites Newark CA</t>
  </si>
  <si>
    <t xml:space="preserve">6000 Newpark Mall Road </t>
  </si>
  <si>
    <t>Newark</t>
  </si>
  <si>
    <t>Jario Covarrubias</t>
  </si>
  <si>
    <t>+(510) 791-6000</t>
  </si>
  <si>
    <t>Brittain Resorts &amp; Hotels LLC</t>
  </si>
  <si>
    <t>Courtyard &amp; SpringHill Suites Myrtle Beach Oceanfront</t>
  </si>
  <si>
    <t xml:space="preserve">2006 N. Ocean Blvd </t>
  </si>
  <si>
    <t>Myrtle Beach</t>
  </si>
  <si>
    <t>Matthew Young</t>
  </si>
  <si>
    <t>+1 (724) 679-7282</t>
  </si>
  <si>
    <t>EVERGREEN HEIGHTS</t>
  </si>
  <si>
    <t>VICTORIAN PINES</t>
  </si>
  <si>
    <t xml:space="preserve">800 EAST GRANT </t>
  </si>
  <si>
    <t>IRON MOUNTAIN</t>
  </si>
  <si>
    <t>906-774-5158</t>
  </si>
  <si>
    <t>CYPRESS AT LAKE PROVIDENCE</t>
  </si>
  <si>
    <t xml:space="preserve">5976 HIGHWAY 65 NORTH </t>
  </si>
  <si>
    <t>LAKE PROVIDENCE</t>
  </si>
  <si>
    <t>LA</t>
  </si>
  <si>
    <t>318-559-2248</t>
  </si>
  <si>
    <t>Grupo Punta Cana S.a.</t>
  </si>
  <si>
    <t>The Westin Puntacana Resort &amp; Club</t>
  </si>
  <si>
    <t>Punta Cana Resort &amp; Club Punta Cana La Altagracia</t>
  </si>
  <si>
    <t>Higuey</t>
  </si>
  <si>
    <t>DOM</t>
  </si>
  <si>
    <t>Dominican Republic</t>
  </si>
  <si>
    <t>Angelle Estevez</t>
  </si>
  <si>
    <t>Ingrid Herrera</t>
  </si>
  <si>
    <t>+1 (809 )959-2222</t>
  </si>
  <si>
    <t>Days Inn Helena</t>
  </si>
  <si>
    <t xml:space="preserve">2001 Prospect Avenue </t>
  </si>
  <si>
    <t>Helena</t>
  </si>
  <si>
    <t>MT</t>
  </si>
  <si>
    <t>Days Inn</t>
  </si>
  <si>
    <t>Bert Goodman</t>
  </si>
  <si>
    <t>+1 (406) 442-3280</t>
  </si>
  <si>
    <t>Comfort Inn &amp; Suites Near Lake Lewisville</t>
  </si>
  <si>
    <t xml:space="preserve">8111 South I-35 East </t>
  </si>
  <si>
    <t>Corinth</t>
  </si>
  <si>
    <t>+1 (940) 497-6300</t>
  </si>
  <si>
    <t>Onix Group LLC</t>
  </si>
  <si>
    <t>Tru by Hilton Georgetown</t>
  </si>
  <si>
    <t xml:space="preserve">301 College Park Dr </t>
  </si>
  <si>
    <t>Georgetown</t>
  </si>
  <si>
    <t>Tru by Hilton</t>
  </si>
  <si>
    <t>Lisa Mannon</t>
  </si>
  <si>
    <t>+1 (302) 515-2100</t>
  </si>
  <si>
    <t>Hyatt Place Wilmington Riverfront</t>
  </si>
  <si>
    <t xml:space="preserve">760 South Justison Street </t>
  </si>
  <si>
    <t>Wilmington</t>
  </si>
  <si>
    <t>Hyatt Place</t>
  </si>
  <si>
    <t>Justin Hall</t>
  </si>
  <si>
    <t>+1 (302) 803-5888</t>
  </si>
  <si>
    <t>Olshan Properties</t>
  </si>
  <si>
    <t>Canopy Boston Downtown</t>
  </si>
  <si>
    <t xml:space="preserve">99 Blackstone Street </t>
  </si>
  <si>
    <t>Boston</t>
  </si>
  <si>
    <t>Canopy by Hilton</t>
  </si>
  <si>
    <t>Rob Rosenblatt</t>
  </si>
  <si>
    <t>+1 (857) 758-4410</t>
  </si>
  <si>
    <t>HKB Hotel Group LLC</t>
  </si>
  <si>
    <t>Motel 6 Marietta GA - Atlanta Northwest</t>
  </si>
  <si>
    <t xml:space="preserve">2360 Delk Road </t>
  </si>
  <si>
    <t>Marietta</t>
  </si>
  <si>
    <t>Ari Martinez</t>
  </si>
  <si>
    <t>+1 (770) 952-8161</t>
  </si>
  <si>
    <t>Studio 6 Marietta GA - Atlanta</t>
  </si>
  <si>
    <t>Studio 6</t>
  </si>
  <si>
    <t>+1 (770) 952-2395</t>
  </si>
  <si>
    <t>Horizon Inn &amp; Suites Norcross</t>
  </si>
  <si>
    <t xml:space="preserve">6187 Dawson Boulevard </t>
  </si>
  <si>
    <t>Norcross</t>
  </si>
  <si>
    <t>Anallia Jacobs</t>
  </si>
  <si>
    <t>+1 (770) 448-8686</t>
  </si>
  <si>
    <t>Radisson Hotel Louisville North</t>
  </si>
  <si>
    <t xml:space="preserve">505 Marriott Drive </t>
  </si>
  <si>
    <t>Clarksville</t>
  </si>
  <si>
    <t>Daniel Osborne</t>
  </si>
  <si>
    <t>+1 (812) 283-4411</t>
  </si>
  <si>
    <t xml:space="preserve">Red Roof Plus Atlanta – Cumberland/Vinings </t>
  </si>
  <si>
    <t xml:space="preserve">1200 Winchester Parkway Southeast </t>
  </si>
  <si>
    <t>Smyrna</t>
  </si>
  <si>
    <t>Red Roof Inn</t>
  </si>
  <si>
    <t>Vim Patel</t>
  </si>
  <si>
    <t>+1 (678) 293-6980</t>
  </si>
  <si>
    <t>Comfort Inn Sandy Springs - Perimeter</t>
  </si>
  <si>
    <t xml:space="preserve">5793 Roswell Road Northeast </t>
  </si>
  <si>
    <t>Ronak Unknown</t>
  </si>
  <si>
    <t>+1 (470) 437-4351</t>
  </si>
  <si>
    <t>Wingate by Wyndham Atlanta Galleria/Ballpark</t>
  </si>
  <si>
    <t xml:space="preserve">2762 Cobb Parkway Southeast </t>
  </si>
  <si>
    <t>Wingate Inn</t>
  </si>
  <si>
    <t>Nancy Duque</t>
  </si>
  <si>
    <t>+1 (678) 214-6000</t>
  </si>
  <si>
    <t>Holiday Inn Express Atlanta - Kennesaw</t>
  </si>
  <si>
    <t xml:space="preserve">2485 George Busbee Parkway </t>
  </si>
  <si>
    <t>Kennesaw</t>
  </si>
  <si>
    <t>Stephanie Unknown</t>
  </si>
  <si>
    <t>+1 (770) 427-5210</t>
  </si>
  <si>
    <t>Holiday Inn Miami West - Airport Area</t>
  </si>
  <si>
    <t xml:space="preserve">7707 North West 103rd Street </t>
  </si>
  <si>
    <t>Hialeah Gardens</t>
  </si>
  <si>
    <t>Mariela Portugal</t>
  </si>
  <si>
    <t>+1 (305) 825-1000</t>
  </si>
  <si>
    <t>Best Western Aku Tiki Inn</t>
  </si>
  <si>
    <t xml:space="preserve">2225 South Atlantic Avenue </t>
  </si>
  <si>
    <t>Daytona Beach</t>
  </si>
  <si>
    <t>Best Western</t>
  </si>
  <si>
    <t>Shamila Mohomed</t>
  </si>
  <si>
    <t>+1 (386) 252-9631</t>
  </si>
  <si>
    <t>Courtyard Atlanta Northlake</t>
  </si>
  <si>
    <t xml:space="preserve">4083 Lavista Road </t>
  </si>
  <si>
    <t>Tucker</t>
  </si>
  <si>
    <t>Francene Wright</t>
  </si>
  <si>
    <t>Marvin Thompson Jr</t>
  </si>
  <si>
    <t>+1 (770) 938-1200</t>
  </si>
  <si>
    <t>Griffin Hotel Management</t>
  </si>
  <si>
    <t>SpringHill Suites San Angelo</t>
  </si>
  <si>
    <t xml:space="preserve">2544 Southwest Blvd. </t>
  </si>
  <si>
    <t>San Angelo</t>
  </si>
  <si>
    <t>Brandon Hall</t>
  </si>
  <si>
    <t>+1 (325) 949-6900</t>
  </si>
  <si>
    <t>ENSIGN GROUP</t>
  </si>
  <si>
    <t>ARROWHEAD SPRINGS HEALTHCARE</t>
  </si>
  <si>
    <t xml:space="preserve">1335 N WATERMAN AVE </t>
  </si>
  <si>
    <t>SAN BERNARDINO</t>
  </si>
  <si>
    <t>909-885-0268</t>
  </si>
  <si>
    <t>DESERT MOUNTAIN HEALTHCARE</t>
  </si>
  <si>
    <t xml:space="preserve">47763 MONROE STREET </t>
  </si>
  <si>
    <t>INDIO</t>
  </si>
  <si>
    <t>760-347-0750</t>
  </si>
  <si>
    <t>Yolo Fliers Club Inc.</t>
  </si>
  <si>
    <t>Yolo Fliers Club</t>
  </si>
  <si>
    <t xml:space="preserve">17980 County Road 94b </t>
  </si>
  <si>
    <t>Woodland</t>
  </si>
  <si>
    <t>+ (530) 662-8050</t>
  </si>
  <si>
    <t>GF Hotels and Resorts</t>
  </si>
  <si>
    <t>Fairfield Inn &amp; Suites (REY)</t>
  </si>
  <si>
    <t xml:space="preserve">2826 Taylor Road SW </t>
  </si>
  <si>
    <t>Reynoldsburg</t>
  </si>
  <si>
    <t>Dan Norzinskay</t>
  </si>
  <si>
    <t>Marta Pietrzykowski</t>
  </si>
  <si>
    <t>+1 (614) 864-4555</t>
  </si>
  <si>
    <t>PANACEA HEALTH CORP</t>
  </si>
  <si>
    <t>SUSQUEHANNA HEALTH AND WELLNESS CENTER</t>
  </si>
  <si>
    <t xml:space="preserve">745 CHIQUES HILL ROAD </t>
  </si>
  <si>
    <t>COLUMBIA</t>
  </si>
  <si>
    <t>717-684-7555</t>
  </si>
  <si>
    <t>LAUREL LAKES REHAB AND WELLNESS CENTER</t>
  </si>
  <si>
    <t xml:space="preserve">201 FRANKLIN FARM LANE </t>
  </si>
  <si>
    <t>CHAMBERSBURG</t>
  </si>
  <si>
    <t>717-264-2715</t>
  </si>
  <si>
    <t xml:space="preserve">HESCOV INVESTMENT LTD </t>
  </si>
  <si>
    <t>Royal Decameron Cornwall Beach</t>
  </si>
  <si>
    <t xml:space="preserve">2 Gloucester Avenue </t>
  </si>
  <si>
    <t>Montego Bay</t>
  </si>
  <si>
    <t>Jamaica</t>
  </si>
  <si>
    <t>Ome Mccalla</t>
  </si>
  <si>
    <t>+1 (876) 289-1252</t>
  </si>
  <si>
    <t>Royal Decameron Club Caribbean</t>
  </si>
  <si>
    <t xml:space="preserve">Main Road Runaway Bay </t>
  </si>
  <si>
    <t>Saint Ann</t>
  </si>
  <si>
    <t>Ome McCalla</t>
  </si>
  <si>
    <t>Royal Decameron Montego Beach</t>
  </si>
  <si>
    <t>+1 (876) 952 4340</t>
  </si>
  <si>
    <t>InterMountain Management LLC</t>
  </si>
  <si>
    <t>Fairfield Inn &amp; Suites Lancaster</t>
  </si>
  <si>
    <t xml:space="preserve">43919 20th Street West </t>
  </si>
  <si>
    <t>Lancaster</t>
  </si>
  <si>
    <t>Michelle Manning</t>
  </si>
  <si>
    <t>+1 (tbd)</t>
  </si>
  <si>
    <t>Larry Blumberg &amp; Associates Inc.</t>
  </si>
  <si>
    <t>Holiday Inn &amp; Suites - Ocala Conference Center</t>
  </si>
  <si>
    <t xml:space="preserve">3600 SW 38th Avenue </t>
  </si>
  <si>
    <t>Ocala</t>
  </si>
  <si>
    <t>Paresh Chhotu</t>
  </si>
  <si>
    <t>+1 (352) 629-9500</t>
  </si>
  <si>
    <t>Hilton Garden Inn Ocala Downtown</t>
  </si>
  <si>
    <t xml:space="preserve">120 E Silver Springs Blvd </t>
  </si>
  <si>
    <t>Hilton Garden Inn</t>
  </si>
  <si>
    <t>tbd tbd</t>
  </si>
  <si>
    <t>+1 (352) 581-6060</t>
  </si>
  <si>
    <t>Holiday Inn Express &amp; Suites Ocala</t>
  </si>
  <si>
    <t xml:space="preserve">3580 SW 38th Avenue </t>
  </si>
  <si>
    <t>Manish Chaudhari</t>
  </si>
  <si>
    <t>+1 (352) 390-6999</t>
  </si>
  <si>
    <t>LD Hospitality LP</t>
  </si>
  <si>
    <t>Fairfield Inn &amp; Suites Corpus Christi Aransas Pass</t>
  </si>
  <si>
    <t xml:space="preserve">2679 W Wheeler Ave </t>
  </si>
  <si>
    <t>Aransas Pass</t>
  </si>
  <si>
    <t>Tychinna Bazemore</t>
  </si>
  <si>
    <t>+1 (361) 226-3939</t>
  </si>
  <si>
    <t xml:space="preserve">Staybridge Suites Chattanooga </t>
  </si>
  <si>
    <t xml:space="preserve">1300 Carter Street </t>
  </si>
  <si>
    <t>Chattanooga</t>
  </si>
  <si>
    <t>Molly Morgan</t>
  </si>
  <si>
    <t>+1 (423) 267-0900</t>
  </si>
  <si>
    <t>Kraj LLC</t>
  </si>
  <si>
    <t>Super 8 by Wyndham Hudson</t>
  </si>
  <si>
    <t xml:space="preserve">808 Dominion Road </t>
  </si>
  <si>
    <t>Hudson</t>
  </si>
  <si>
    <t>Super 8</t>
  </si>
  <si>
    <t>Sanjay Bhakta</t>
  </si>
  <si>
    <t>+1 (715) 386-8800</t>
  </si>
  <si>
    <t>CAMP CONNECTION</t>
  </si>
  <si>
    <t xml:space="preserve">150 RIDGE STREET </t>
  </si>
  <si>
    <t>ISLAMORADA</t>
  </si>
  <si>
    <t>708-925-6240</t>
  </si>
  <si>
    <t>NATURES CLASSROOM</t>
  </si>
  <si>
    <t xml:space="preserve">9 CODY ROAD </t>
  </si>
  <si>
    <t>FREEDON</t>
  </si>
  <si>
    <t>NH</t>
  </si>
  <si>
    <t>603-539-8053</t>
  </si>
  <si>
    <t>TREND CONSULTANTS LLC</t>
  </si>
  <si>
    <t>TREND HEALTH AND REHAB OF BROOKHAVEN</t>
  </si>
  <si>
    <t xml:space="preserve">525 BROOKMAN DRIVE </t>
  </si>
  <si>
    <t>BROOKHAVEN</t>
  </si>
  <si>
    <t>MS</t>
  </si>
  <si>
    <t>601-833-3220</t>
  </si>
  <si>
    <t>THE MADISON HEALTH AND REHAB</t>
  </si>
  <si>
    <t xml:space="preserve">111 KELLY BLVD </t>
  </si>
  <si>
    <t>MADISON</t>
  </si>
  <si>
    <t>601-898-6080</t>
  </si>
  <si>
    <t>TELACU RESIDENTIAL MGT OFFICE</t>
  </si>
  <si>
    <t>PARK GRAND APARTMENTS</t>
  </si>
  <si>
    <t xml:space="preserve">858 E GRAND AVENUE #7 </t>
  </si>
  <si>
    <t>POMONA</t>
  </si>
  <si>
    <t>909-397-7771</t>
  </si>
  <si>
    <t>PREMIER VA NEWPORT NEWS</t>
  </si>
  <si>
    <t xml:space="preserve">1403 KILN CREEK PARKWAY </t>
  </si>
  <si>
    <t>NEWPORT NEWS</t>
  </si>
  <si>
    <t>312-481-6914</t>
  </si>
  <si>
    <t>PREMIER MO LEES SUMMIT S LLC</t>
  </si>
  <si>
    <t xml:space="preserve">1251 SE CENTURY DRIVE </t>
  </si>
  <si>
    <t>LEES SUMMIT</t>
  </si>
  <si>
    <t>PREMIER MO LEES SUMMIT N LLC</t>
  </si>
  <si>
    <t xml:space="preserve">1200 NE WINDSOR DRIVE </t>
  </si>
  <si>
    <t>PREMIER GA KENNESAW</t>
  </si>
  <si>
    <t xml:space="preserve">3030 COBB PKWY NW </t>
  </si>
  <si>
    <t>KENNESAW</t>
  </si>
  <si>
    <t>PREMIER MN BROOKLYN PARK LLC</t>
  </si>
  <si>
    <t xml:space="preserve">1010 DALE STRET N </t>
  </si>
  <si>
    <t>ST PAUL</t>
  </si>
  <si>
    <t>PREMIER GA SUGAR HILL</t>
  </si>
  <si>
    <t xml:space="preserve">6007 SUWANNE DAM ROAD </t>
  </si>
  <si>
    <t>SUGAR HILL</t>
  </si>
  <si>
    <t>PREMIER NC WAKE FOREST LLC</t>
  </si>
  <si>
    <t xml:space="preserve">3425 RODGERS ROAD </t>
  </si>
  <si>
    <t>WAKE FOREST</t>
  </si>
  <si>
    <t>PREMIER IN AVON LLC</t>
  </si>
  <si>
    <t xml:space="preserve">7651 BEECHWOOD CENTRE </t>
  </si>
  <si>
    <t>AVON</t>
  </si>
  <si>
    <t>317-272-4941</t>
  </si>
  <si>
    <t>PREMIER B.H. INC</t>
  </si>
  <si>
    <t>PREMIER VA PURCELLVILLE LLC</t>
  </si>
  <si>
    <t xml:space="preserve">120 KEN CULBERT LANE </t>
  </si>
  <si>
    <t>PURCELLVILLE</t>
  </si>
  <si>
    <t>MID OHIO FOODBANK</t>
  </si>
  <si>
    <t>MID-OHIO MARKET</t>
  </si>
  <si>
    <t xml:space="preserve">620 NORTON ROAD </t>
  </si>
  <si>
    <t>HPSI:FOOD SERVICE CATERERS</t>
  </si>
  <si>
    <t>614-277-3663</t>
  </si>
  <si>
    <t>MFI RECOVERY CENTER</t>
  </si>
  <si>
    <t>MFI RECOVERY</t>
  </si>
  <si>
    <t xml:space="preserve">24885 WHITEWOOD ROAD </t>
  </si>
  <si>
    <t>MURRIETA</t>
  </si>
  <si>
    <t>OPAL AT MUSIC CITY</t>
  </si>
  <si>
    <t xml:space="preserve">3733 MCCAMPBELL AVENUE </t>
  </si>
  <si>
    <t>NASHVILLE</t>
  </si>
  <si>
    <t>HARRISON HOUSE GEORGETOWN</t>
  </si>
  <si>
    <t xml:space="preserve">110 WEST NORTH STREET </t>
  </si>
  <si>
    <t>GEORGETOWN</t>
  </si>
  <si>
    <t>302-853-8679</t>
  </si>
  <si>
    <t>NEBRASKA EVANGELICAL LUTHERAN HIGH SCHOOL</t>
  </si>
  <si>
    <t xml:space="preserve">203 KENDALL STREET </t>
  </si>
  <si>
    <t>WACO</t>
  </si>
  <si>
    <t>402-728-5236</t>
  </si>
  <si>
    <t>FRONTIER MANAGEMENT LLC</t>
  </si>
  <si>
    <t xml:space="preserve">7420 BRIDGEPORT ROAD #105 </t>
  </si>
  <si>
    <t>PORTLAND</t>
  </si>
  <si>
    <t>COVENANT LIVING COMMUNITIES &amp; SERVICES</t>
  </si>
  <si>
    <t>COVENANT LIVING OF KEENE</t>
  </si>
  <si>
    <t xml:space="preserve">95 WYMAN ROAD </t>
  </si>
  <si>
    <t>KEENE</t>
  </si>
  <si>
    <t>AMERICARE HEALTH &amp; RETIREMENT INC</t>
  </si>
  <si>
    <t>SILVERGATE RANCHO BERNARDO</t>
  </si>
  <si>
    <t xml:space="preserve">16061 AVENIDA VENUSTO </t>
  </si>
  <si>
    <t>SAN DIEGO</t>
  </si>
  <si>
    <t>HPSI:CONTINUUM CARE RETIREMENT</t>
  </si>
  <si>
    <t>AEGIS LIVING</t>
  </si>
  <si>
    <t>AEGIS AT LAKE UNION</t>
  </si>
  <si>
    <t xml:space="preserve">1936 EASTLAKE AVENUE E </t>
  </si>
  <si>
    <t>SEATTLE</t>
  </si>
  <si>
    <t>206-202-9670</t>
  </si>
  <si>
    <t>One by NP LLC</t>
  </si>
  <si>
    <t>Residence Inn Jonesboro</t>
  </si>
  <si>
    <t xml:space="preserve">2611 Sumo Loop </t>
  </si>
  <si>
    <t>Jonesboro</t>
  </si>
  <si>
    <t>Residence Inn</t>
  </si>
  <si>
    <t>Bessy Lopez</t>
  </si>
  <si>
    <t>+1 (662) 812-8125</t>
  </si>
  <si>
    <t>Pomeroy Inn &amp; Suites Inc.</t>
  </si>
  <si>
    <t>Grimshaw Pomeroy Inn &amp; Suites</t>
  </si>
  <si>
    <t xml:space="preserve">4311 - 51st Street </t>
  </si>
  <si>
    <t>Dixonville</t>
  </si>
  <si>
    <t>AB</t>
  </si>
  <si>
    <t>T0H 1E0</t>
  </si>
  <si>
    <t>Canada</t>
  </si>
  <si>
    <t>Amanda Gibson</t>
  </si>
  <si>
    <t>+1 (780) 332-2000</t>
  </si>
  <si>
    <t>Liberty Sierra Vista LLC</t>
  </si>
  <si>
    <t>Tapestry Hotel Minot</t>
  </si>
  <si>
    <t xml:space="preserve">1510 26th Avenue Southwest </t>
  </si>
  <si>
    <t>Raj Kanani</t>
  </si>
  <si>
    <t>+1 (407) 520-4649</t>
  </si>
  <si>
    <t>Jamsan Hotel Management Inc.</t>
  </si>
  <si>
    <t>Aloft Framingham</t>
  </si>
  <si>
    <t xml:space="preserve">130 Worcester Road </t>
  </si>
  <si>
    <t>Framingham</t>
  </si>
  <si>
    <t>Vin Vin</t>
  </si>
  <si>
    <t>+(508)309-4183</t>
  </si>
  <si>
    <t>Image Hotel Management Inc.</t>
  </si>
  <si>
    <t>Holiday Inn Express Rochester Greece</t>
  </si>
  <si>
    <t xml:space="preserve">1635 West Ridge Road </t>
  </si>
  <si>
    <t>Rochester</t>
  </si>
  <si>
    <t>Maria Syouthoum</t>
  </si>
  <si>
    <t>Brian Ugorek</t>
  </si>
  <si>
    <t>+ (585) 663-8400</t>
  </si>
  <si>
    <t>The Berkshire Country Club Inc.</t>
  </si>
  <si>
    <t>Berkshire Country Club</t>
  </si>
  <si>
    <t xml:space="preserve">1637 Bernville Rd </t>
  </si>
  <si>
    <t>Reading</t>
  </si>
  <si>
    <t>Anita Nalepa</t>
  </si>
  <si>
    <t>Paul Bovenzi</t>
  </si>
  <si>
    <t>+ (610) 376-2536</t>
  </si>
  <si>
    <t>White Lodging Services Corporation</t>
  </si>
  <si>
    <t>Austin Marriott Downtown</t>
  </si>
  <si>
    <t xml:space="preserve">304 East Cesar Chavez Street </t>
  </si>
  <si>
    <t>Marriott Hotels &amp; Resorts</t>
  </si>
  <si>
    <t>David Meisner</t>
  </si>
  <si>
    <t>Kevin Higgins</t>
  </si>
  <si>
    <t>+1 (512) 457-1111</t>
  </si>
  <si>
    <t>STERN THERAPY CONSULTANTS</t>
  </si>
  <si>
    <t>ROBINSON REHAB AND NURSING</t>
  </si>
  <si>
    <t xml:space="preserve">600 ROBINWOOD DRIVE </t>
  </si>
  <si>
    <t>ROBINSON</t>
  </si>
  <si>
    <t>618-544-3192</t>
  </si>
  <si>
    <t>Sheraton Memphis Downtown Hotel</t>
  </si>
  <si>
    <t xml:space="preserve">250 North Main Street </t>
  </si>
  <si>
    <t>MEMPHIS</t>
  </si>
  <si>
    <t>Sheraton</t>
  </si>
  <si>
    <t xml:space="preserve">George Opal </t>
  </si>
  <si>
    <t>(901) 527-7300</t>
  </si>
  <si>
    <t>Hilton Garden Inn Casper</t>
  </si>
  <si>
    <t xml:space="preserve">1150 N Poplar St </t>
  </si>
  <si>
    <t>Casper</t>
  </si>
  <si>
    <t>WY</t>
  </si>
  <si>
    <t>Arlin Bird</t>
  </si>
  <si>
    <t>+1 (307) 266-1300</t>
  </si>
  <si>
    <t>Hyatt Place Flagstaff</t>
  </si>
  <si>
    <t xml:space="preserve">397 S Malpais Lane </t>
  </si>
  <si>
    <t>Flagstaff</t>
  </si>
  <si>
    <t>Sheri Willer</t>
  </si>
  <si>
    <t>+1 (623) 523-1065</t>
  </si>
  <si>
    <t>5170 West Adams LA LLC DBA Alsace Hotel</t>
  </si>
  <si>
    <t>Alsace Hotel</t>
  </si>
  <si>
    <t xml:space="preserve">5170 W. Adams Boulevard </t>
  </si>
  <si>
    <t>Los Angeles</t>
  </si>
  <si>
    <t>Cristina Cervantes</t>
  </si>
  <si>
    <t>Doreen Haneke</t>
  </si>
  <si>
    <t>+1 (323) 860-4819</t>
  </si>
  <si>
    <t>DoubleTree Suites by Hilton Hotel Columbus Downtown</t>
  </si>
  <si>
    <t xml:space="preserve">50 South Front Street </t>
  </si>
  <si>
    <t>Columbus</t>
  </si>
  <si>
    <t>Gary Fisher</t>
  </si>
  <si>
    <t>+1 (614) 228-4600</t>
  </si>
  <si>
    <t>Columbia Hospitality Inc.</t>
  </si>
  <si>
    <t>Hotel Leo</t>
  </si>
  <si>
    <t xml:space="preserve">1224 Cornwall Avenue </t>
  </si>
  <si>
    <t>Bellingham</t>
  </si>
  <si>
    <t>Brandon Lehmeye</t>
  </si>
  <si>
    <t>+1 (360) 739-0250</t>
  </si>
  <si>
    <t>Heliotrope Hotel</t>
  </si>
  <si>
    <t xml:space="preserve">2419 Elm Street </t>
  </si>
  <si>
    <t>Chuckanut</t>
  </si>
  <si>
    <t>Brandon Lehmeyer</t>
  </si>
  <si>
    <t>+1 (360) 201-2914</t>
  </si>
  <si>
    <t>Hampton Inn Omaha West Dodge Road</t>
  </si>
  <si>
    <t xml:space="preserve">11201 Davenport Street </t>
  </si>
  <si>
    <t>Omaha</t>
  </si>
  <si>
    <t>+1 (402) 334-4938</t>
  </si>
  <si>
    <t>Capital One Hotel Group</t>
  </si>
  <si>
    <t>SpringHill Suites Houston Katy Mills</t>
  </si>
  <si>
    <t xml:space="preserve">2501 Texmati Drive </t>
  </si>
  <si>
    <t>Katy</t>
  </si>
  <si>
    <t>+ () 281/644-4455</t>
  </si>
  <si>
    <t>Crescent Hotels &amp; Resorts LLC</t>
  </si>
  <si>
    <t>Fairfield Inn &amp; Suites Chicago O'Hare</t>
  </si>
  <si>
    <t xml:space="preserve">2350 Mannheim Road </t>
  </si>
  <si>
    <t>Des Plaines</t>
  </si>
  <si>
    <t>JoAnne Reifel</t>
  </si>
  <si>
    <t>Jacki Gvozdich</t>
  </si>
  <si>
    <t>+()224-257-3220</t>
  </si>
  <si>
    <t>Kingsport Hospitality Inc.</t>
  </si>
  <si>
    <t>Fairfield Inn &amp; Suites Kingsport</t>
  </si>
  <si>
    <t xml:space="preserve">2485 South Wilcox Drive </t>
  </si>
  <si>
    <t>Kingsport</t>
  </si>
  <si>
    <t>Sandip Patel</t>
  </si>
  <si>
    <t>+1 (865) 406-5847</t>
  </si>
  <si>
    <t>MCR Investors LLC</t>
  </si>
  <si>
    <t>Aloft Houston Downtown</t>
  </si>
  <si>
    <t xml:space="preserve">820 Fannin Street </t>
  </si>
  <si>
    <t>Houston</t>
  </si>
  <si>
    <t>Jennifer Neal</t>
  </si>
  <si>
    <t>+1 (713) 225-0200</t>
  </si>
  <si>
    <t>Greenwood Hospitality Management LLC</t>
  </si>
  <si>
    <t>TRYP Maritime Fort Lauderdale</t>
  </si>
  <si>
    <t xml:space="preserve">2161 Marina Mile Blvd </t>
  </si>
  <si>
    <t>Fort Lauderdale</t>
  </si>
  <si>
    <t>Tryp by Wyndham</t>
  </si>
  <si>
    <t>Charles Reece</t>
  </si>
  <si>
    <t>+1 (954) 533-7846</t>
  </si>
  <si>
    <t>TREND HEALTH AND REHAB OF MERIDIAN</t>
  </si>
  <si>
    <t xml:space="preserve">517 33RD STREET </t>
  </si>
  <si>
    <t>601-483-3916</t>
  </si>
  <si>
    <t>A&amp;R Hospitality Management LLC</t>
  </si>
  <si>
    <t>Hampton Inn Metairie</t>
  </si>
  <si>
    <t xml:space="preserve">2730 N Causeway Blvd. </t>
  </si>
  <si>
    <t>Metairie</t>
  </si>
  <si>
    <t>Rose Hernandez</t>
  </si>
  <si>
    <t>+1 (504) 831-7676</t>
  </si>
  <si>
    <t>MVW Services Corporation</t>
  </si>
  <si>
    <t>El Corazon de Santa Fe</t>
  </si>
  <si>
    <t xml:space="preserve">103 Catron Street </t>
  </si>
  <si>
    <t>Santa Fe</t>
  </si>
  <si>
    <t>NM</t>
  </si>
  <si>
    <t>Paul Gilmore</t>
  </si>
  <si>
    <t>+1 (800) 932 9355</t>
  </si>
  <si>
    <t>Home2 Suites by Hilton Tempe University Research Park</t>
  </si>
  <si>
    <t xml:space="preserve">7200 S. Price Road </t>
  </si>
  <si>
    <t>Tempe</t>
  </si>
  <si>
    <t>Johnny Case</t>
  </si>
  <si>
    <t>+1 (480) 897-5200</t>
  </si>
  <si>
    <t>Hilton Garden Inn Tempe University Research Park</t>
  </si>
  <si>
    <t xml:space="preserve">7290 S. Price Road </t>
  </si>
  <si>
    <t>+1 (480) 897-5100</t>
  </si>
  <si>
    <t>New Castle Hotels LLC</t>
  </si>
  <si>
    <t>Holiday Inn Resort Jekyll Island</t>
  </si>
  <si>
    <t xml:space="preserve">701 N. Beachview Dr. </t>
  </si>
  <si>
    <t>Jekyll Island</t>
  </si>
  <si>
    <t>Kevin Tuohy</t>
  </si>
  <si>
    <t>+1 (912) 635-2211</t>
  </si>
  <si>
    <t>ARCADIA CARE</t>
  </si>
  <si>
    <t>ARCADIA CARE OF MORRIS</t>
  </si>
  <si>
    <t xml:space="preserve">1095 TWILIGHT DRIVE </t>
  </si>
  <si>
    <t>MORRIS</t>
  </si>
  <si>
    <t>815-942-5108</t>
  </si>
  <si>
    <t>InnVentures IVI LP</t>
  </si>
  <si>
    <t>Fairfield Inn &amp; Suites Denver Airport Gateway</t>
  </si>
  <si>
    <t xml:space="preserve">16191 East 40th Avenue </t>
  </si>
  <si>
    <t>Brandon Andrews</t>
  </si>
  <si>
    <t>Alex Shrestha</t>
  </si>
  <si>
    <t>+()303-214-7888</t>
  </si>
  <si>
    <t>TWENTY 20 MGMT-ENGLISH MEADOWS</t>
  </si>
  <si>
    <t>ENGLISH MEADOWS SENIOR LIVING AT STEPHEN CITY</t>
  </si>
  <si>
    <t xml:space="preserve">110 SPANISH OAK ROAD </t>
  </si>
  <si>
    <t>STEPHEN CITY</t>
  </si>
  <si>
    <t>540-931-5316</t>
  </si>
  <si>
    <t>Lorien Hotel &amp; Spa</t>
  </si>
  <si>
    <t xml:space="preserve">1600 King Street </t>
  </si>
  <si>
    <t>Alexandria</t>
  </si>
  <si>
    <t>Adam Ritchey</t>
  </si>
  <si>
    <t>+1 (703) 894-3434</t>
  </si>
  <si>
    <t>ENGLISH MEADOWS AT FRONT ROYAL</t>
  </si>
  <si>
    <t xml:space="preserve">106 WESTMINISTER DRIVE </t>
  </si>
  <si>
    <t>FRONT ROYAL</t>
  </si>
  <si>
    <t>ENGLISH MEADOWS PRINCE WILLIAMS CAMPUS</t>
  </si>
  <si>
    <t xml:space="preserve">10140 HASTINGS DRIVE </t>
  </si>
  <si>
    <t>MANASSAS</t>
  </si>
  <si>
    <t>540-931-5616</t>
  </si>
  <si>
    <t>ENGLISH MEADOWS AT ORANGE</t>
  </si>
  <si>
    <t xml:space="preserve">680 UNIVERSITY LANE </t>
  </si>
  <si>
    <t>ORANGE</t>
  </si>
  <si>
    <t>GREENVILLE ACRES ADULT FOSTER</t>
  </si>
  <si>
    <t xml:space="preserve">4691 W COUNTY FARM ROAD </t>
  </si>
  <si>
    <t>616-754-5673</t>
  </si>
  <si>
    <t>MISSION POINT MANAGEMENT</t>
  </si>
  <si>
    <t>BROOKCREST</t>
  </si>
  <si>
    <t xml:space="preserve">3400 WILSON AVENUE </t>
  </si>
  <si>
    <t>GRANDVILLE</t>
  </si>
  <si>
    <t>616-534-5487</t>
  </si>
  <si>
    <t>OGEECHEE RIVER BAPTIST ASSOCIATION</t>
  </si>
  <si>
    <t xml:space="preserve">2171 PRATHER ROAD </t>
  </si>
  <si>
    <t>STATESBORO</t>
  </si>
  <si>
    <t>912-489-4566</t>
  </si>
  <si>
    <t>SUNSET ASSOCIATION</t>
  </si>
  <si>
    <t>CHRISTIAN HAVEN HOME</t>
  </si>
  <si>
    <t xml:space="preserve">714 PENNOYER AVENUE </t>
  </si>
  <si>
    <t>GRAND HAVEN</t>
  </si>
  <si>
    <t>616-842-0170</t>
  </si>
  <si>
    <t>ST ANDERWS MANAGEMENT COMPANY</t>
  </si>
  <si>
    <t>ST ANDREWS SENIOR SOLUTION</t>
  </si>
  <si>
    <t xml:space="preserve">1001 CRAIG ROAD SUITE 162 </t>
  </si>
  <si>
    <t>ST LOUIS</t>
  </si>
  <si>
    <t>314-726-5766</t>
  </si>
  <si>
    <t>ALMIRA MANOR</t>
  </si>
  <si>
    <t xml:space="preserve">220 CEDAR STREET </t>
  </si>
  <si>
    <t>618-664-1322</t>
  </si>
  <si>
    <t>RUSH SENIOR GARDENS</t>
  </si>
  <si>
    <t xml:space="preserve">1530 BOND AVENUE </t>
  </si>
  <si>
    <t>EAST ST LOUIS</t>
  </si>
  <si>
    <t>618-875-9747</t>
  </si>
  <si>
    <t>FRIENDLY VILLAGE</t>
  </si>
  <si>
    <t xml:space="preserve">5545 WELLS AVENUE </t>
  </si>
  <si>
    <t>314-367-9201</t>
  </si>
  <si>
    <t>SUMMERVILLE AT ST ANDREWS</t>
  </si>
  <si>
    <t xml:space="preserve">450 SUMMERVILLE BLVD </t>
  </si>
  <si>
    <t>EUREKA</t>
  </si>
  <si>
    <t>314-238-8417</t>
  </si>
  <si>
    <t>ST ANDREWS APARTMENTS AT KIRKSVILLE</t>
  </si>
  <si>
    <t xml:space="preserve">500 OSTEOPATHY </t>
  </si>
  <si>
    <t>KIRKSVILLE</t>
  </si>
  <si>
    <t>660-627-5400</t>
  </si>
  <si>
    <t>THE WILLOWS AT BROOKINGS PARK</t>
  </si>
  <si>
    <t xml:space="preserve">211 SOUTH WOODS MILL ROAD </t>
  </si>
  <si>
    <t>CHESTERFIELD</t>
  </si>
  <si>
    <t>314-576-0800</t>
  </si>
  <si>
    <t>PHOENIX SENIOR LIVING</t>
  </si>
  <si>
    <t>THE NEIGHBORHOOD AT SOMERSET</t>
  </si>
  <si>
    <t xml:space="preserve">100 NEIGHBORLY DRIVE </t>
  </si>
  <si>
    <t>606-677-0166</t>
  </si>
  <si>
    <t>THE NEIGHBORHOOD AT PADUCAH</t>
  </si>
  <si>
    <t xml:space="preserve">1700 ELMDALE ROAD </t>
  </si>
  <si>
    <t>PADUCAH</t>
  </si>
  <si>
    <t>270-534-9173</t>
  </si>
  <si>
    <t>LEXINGTON COUNTRY PLACE</t>
  </si>
  <si>
    <t xml:space="preserve">700 MASON HEADLEY ROAD </t>
  </si>
  <si>
    <t>LEXINGTON</t>
  </si>
  <si>
    <t>859-259-3486</t>
  </si>
  <si>
    <t>SUMMIT PLACE OF MOORESVILLE</t>
  </si>
  <si>
    <t xml:space="preserve">128 BRAWLEY SCHOOL ROAD </t>
  </si>
  <si>
    <t>MOORESVILLE</t>
  </si>
  <si>
    <t>704-799-2712</t>
  </si>
  <si>
    <t>SUMMIT PLACE OF KINGS MOUNTAIN</t>
  </si>
  <si>
    <t xml:space="preserve">1001 PHIFER ROAD </t>
  </si>
  <si>
    <t>KINGS MOUNTAIN</t>
  </si>
  <si>
    <t>704-739-6772</t>
  </si>
  <si>
    <t>MYRTLE BEACH MANOR</t>
  </si>
  <si>
    <t xml:space="preserve">9547 HWY 17 NORTH </t>
  </si>
  <si>
    <t>MYRTLE BEACH</t>
  </si>
  <si>
    <t>843-449-5283</t>
  </si>
  <si>
    <t>LAKEVIEW ESTATES</t>
  </si>
  <si>
    <t xml:space="preserve">2634 VALLEYDALE ROAD </t>
  </si>
  <si>
    <t>BIRMINGHAM</t>
  </si>
  <si>
    <t>AL</t>
  </si>
  <si>
    <t>205-981-0001</t>
  </si>
  <si>
    <t>THE NEIGHBORHOOD AT SHEFFIELD</t>
  </si>
  <si>
    <t xml:space="preserve">413 COX ROAD </t>
  </si>
  <si>
    <t>SHEFFIELD</t>
  </si>
  <si>
    <t>256-381-1058</t>
  </si>
  <si>
    <t>THE BUNGALOWS AT RIVERCHASE</t>
  </si>
  <si>
    <t xml:space="preserve">2184 PARKWAY LAKE DRIVE </t>
  </si>
  <si>
    <t>HOOVER</t>
  </si>
  <si>
    <t>205-403-7400</t>
  </si>
  <si>
    <t>THE NEIGHBORHOOD AT MADISON</t>
  </si>
  <si>
    <t xml:space="preserve">49 HUGHES ROAD </t>
  </si>
  <si>
    <t>256-737-1088</t>
  </si>
  <si>
    <t>THE NEIGHBORHOOD AT CULLMAN</t>
  </si>
  <si>
    <t xml:space="preserve">2021 DAHLKE DRIVE NE </t>
  </si>
  <si>
    <t>CULLMAN</t>
  </si>
  <si>
    <t>AUTUMN COVE ASSISTED LIVING</t>
  </si>
  <si>
    <t xml:space="preserve">4425 GREENBRIER DEAR ROAD </t>
  </si>
  <si>
    <t>ANNISTON</t>
  </si>
  <si>
    <t>256-831-7474</t>
  </si>
  <si>
    <t>THE LAFAYETTE</t>
  </si>
  <si>
    <t xml:space="preserve">690 MASON HEADLEY ROAD </t>
  </si>
  <si>
    <t>859-278-9080</t>
  </si>
  <si>
    <t>THE PHOENIX AT DALLAS</t>
  </si>
  <si>
    <t xml:space="preserve">103 ALDEAN COURT </t>
  </si>
  <si>
    <t>DALLAS</t>
  </si>
  <si>
    <t>404-713-1936</t>
  </si>
  <si>
    <t>THE PHOENIX AT HARRISONBURG</t>
  </si>
  <si>
    <t xml:space="preserve">3607 STONE SPRING ROAD </t>
  </si>
  <si>
    <t>HARRISONBURG</t>
  </si>
  <si>
    <t>540-689-0013</t>
  </si>
  <si>
    <t>THE BUNGALOWS AT SPRINGDALE</t>
  </si>
  <si>
    <t xml:space="preserve">672 JONES ROAD </t>
  </si>
  <si>
    <t>SPRINGDALE</t>
  </si>
  <si>
    <t>479-306-4191</t>
  </si>
  <si>
    <t>THE BUNGALOWS AT JONESBORO</t>
  </si>
  <si>
    <t xml:space="preserve">4210 SOUTH CARAWAY ROAD </t>
  </si>
  <si>
    <t>JONESBORO</t>
  </si>
  <si>
    <t>870-974-9700</t>
  </si>
  <si>
    <t>THE BUNGALOWS AT FAYETTEVILLE</t>
  </si>
  <si>
    <t xml:space="preserve">4461 NORTH CROSSOVER ROAD </t>
  </si>
  <si>
    <t>FAYETTEVILLE</t>
  </si>
  <si>
    <t>479-443-1908</t>
  </si>
  <si>
    <t>THE BUNGALOWS AT NEVADA</t>
  </si>
  <si>
    <t xml:space="preserve">640 EASET HIGHLAND AVENUE </t>
  </si>
  <si>
    <t>NEVADA</t>
  </si>
  <si>
    <t>417-667-3883</t>
  </si>
  <si>
    <t>THE BUNGALOWS AT SPRINGFIELD EAST</t>
  </si>
  <si>
    <t xml:space="preserve">3540 EAST CHEROKEE STREET </t>
  </si>
  <si>
    <t>SPRINGFIELD</t>
  </si>
  <si>
    <t>417-889-2222</t>
  </si>
  <si>
    <t>THE BUNGALOWS AT CHESTERFIELD VILAGE</t>
  </si>
  <si>
    <t xml:space="preserve">2410 WEST CHESTERFIELD BLVD </t>
  </si>
  <si>
    <t>417-886-4000</t>
  </si>
  <si>
    <t>BUNGALOWS AT MAYFIELD</t>
  </si>
  <si>
    <t xml:space="preserve">1517 WEST BROADWAY </t>
  </si>
  <si>
    <t>MAYFIELD</t>
  </si>
  <si>
    <t>270-251-0233</t>
  </si>
  <si>
    <t>THE NEIGHBORHOOD AT HOPKINSVILLE</t>
  </si>
  <si>
    <t xml:space="preserve">4190 LAFAYETTE ROAD </t>
  </si>
  <si>
    <t>HOPKINSVILLE</t>
  </si>
  <si>
    <t>270-885-0220</t>
  </si>
  <si>
    <t>THE BUNGALOWS AT BOWLING GREEN</t>
  </si>
  <si>
    <t xml:space="preserve">981 CAMPBELL LANE </t>
  </si>
  <si>
    <t>BOWLING GREEN</t>
  </si>
  <si>
    <t>270-746-9600</t>
  </si>
  <si>
    <t>ML HEALTHCARE</t>
  </si>
  <si>
    <t>THE LODGE OF SAGINAW HEALTH WELLNESS</t>
  </si>
  <si>
    <t xml:space="preserve">848 WEST MCLEROY </t>
  </si>
  <si>
    <t>SAGINAW</t>
  </si>
  <si>
    <t>210-951-1900</t>
  </si>
  <si>
    <t>LIBERTY HEALTHCARE MANAGEMENT - LTCMS</t>
  </si>
  <si>
    <t>INSPIRE AT SANDHILL</t>
  </si>
  <si>
    <t xml:space="preserve">440 TOWN CENTER PLACE </t>
  </si>
  <si>
    <t>203-908-2921</t>
  </si>
  <si>
    <t>CENTER FOR ADDICTION RECOVERY</t>
  </si>
  <si>
    <t xml:space="preserve">56 NORTH MCKINLEY </t>
  </si>
  <si>
    <t>HENDERSON</t>
  </si>
  <si>
    <t>270-826-0036</t>
  </si>
  <si>
    <t>MENS ADDICTION RECOVERY</t>
  </si>
  <si>
    <t xml:space="preserve">1791 RIVER STREET </t>
  </si>
  <si>
    <t>270-715-0810</t>
  </si>
  <si>
    <t>BURBANK RETIREMENT VILLA WEST</t>
  </si>
  <si>
    <t xml:space="preserve">1911 GRISMER AVENUE </t>
  </si>
  <si>
    <t>BURBANK</t>
  </si>
  <si>
    <t>BURBANK RETIREMENT VILLA EAST</t>
  </si>
  <si>
    <t xml:space="preserve">1900 GRISMER AVENUE </t>
  </si>
  <si>
    <t>PS-BLUE RIDGE SENIOR LIVING</t>
  </si>
  <si>
    <t xml:space="preserve">12411 GAYTON ROAD </t>
  </si>
  <si>
    <t>RICHMOND</t>
  </si>
  <si>
    <t>814-741-9494</t>
  </si>
  <si>
    <t>BUILD SENIOR LIVING</t>
  </si>
  <si>
    <t>HAMPTON MANOR OF MADISON</t>
  </si>
  <si>
    <t xml:space="preserve">1491 US 223 </t>
  </si>
  <si>
    <t>866-896-1347</t>
  </si>
  <si>
    <t>Alloggio Management LP</t>
  </si>
  <si>
    <t>Best Western Wapakoneta Inn</t>
  </si>
  <si>
    <t xml:space="preserve">1008 Lunar Drive </t>
  </si>
  <si>
    <t>Wapak</t>
  </si>
  <si>
    <t>Lori Lambert</t>
  </si>
  <si>
    <t>+()419-738-2050</t>
  </si>
  <si>
    <t>Comfort Inn - Bluffton</t>
  </si>
  <si>
    <t xml:space="preserve">117 Commerce lane </t>
  </si>
  <si>
    <t>Bluffton</t>
  </si>
  <si>
    <t>Toni Salgado</t>
  </si>
  <si>
    <t>Glenda Boomershine</t>
  </si>
  <si>
    <t>+()419-358-6000</t>
  </si>
  <si>
    <t>Sheraton Columbus Hotel at Capital Square</t>
  </si>
  <si>
    <t xml:space="preserve">75 East State Street </t>
  </si>
  <si>
    <t>Todd Martidale</t>
  </si>
  <si>
    <t>+ (614) 365-4500</t>
  </si>
  <si>
    <t>Best Western Celina</t>
  </si>
  <si>
    <t xml:space="preserve">2020 Hliday Drive </t>
  </si>
  <si>
    <t>Celina</t>
  </si>
  <si>
    <t>Shelly Hemlegarn</t>
  </si>
  <si>
    <t>+()419-586-4919</t>
  </si>
  <si>
    <t>Comfort Inn &amp; Suites West Chester- North Cincinnati</t>
  </si>
  <si>
    <t xml:space="preserve">5944 West Chester Road </t>
  </si>
  <si>
    <t>West Chester</t>
  </si>
  <si>
    <t>Ali Khokhar</t>
  </si>
  <si>
    <t>+1 (513) 645-1700</t>
  </si>
  <si>
    <t xml:space="preserve">Hyatt Place Columbus/Worthington </t>
  </si>
  <si>
    <t xml:space="preserve">7490 Vantage Drive </t>
  </si>
  <si>
    <t>Blake Savage</t>
  </si>
  <si>
    <t>+1 (614) 846-4355</t>
  </si>
  <si>
    <t>Fairfield Inn &amp; Suites Louisville New Albany IN</t>
  </si>
  <si>
    <t xml:space="preserve">108 Daisy Summit </t>
  </si>
  <si>
    <t>New Albany</t>
  </si>
  <si>
    <t>Stefan Corbin</t>
  </si>
  <si>
    <t>+1(912)920-3220</t>
  </si>
  <si>
    <t>Icon Lodging LLC</t>
  </si>
  <si>
    <t>La Quinta Inn &amp; Suites Hobbs</t>
  </si>
  <si>
    <t xml:space="preserve">3312 N Lovington Hwy </t>
  </si>
  <si>
    <t>Hobbs</t>
  </si>
  <si>
    <t>Nick Lopez</t>
  </si>
  <si>
    <t>+1 (575) 397-8777</t>
  </si>
  <si>
    <t>Blue Sky Hospitality Solutions</t>
  </si>
  <si>
    <t>Hyatt Centric Wall Street</t>
  </si>
  <si>
    <t xml:space="preserve">75 Wall Street </t>
  </si>
  <si>
    <t>Hyatt Centric</t>
  </si>
  <si>
    <t>Ben Curtis</t>
  </si>
  <si>
    <t>Jorge Tito</t>
  </si>
  <si>
    <t>+1 (212) 590 1234</t>
  </si>
  <si>
    <t>Pyramid Hotel Group</t>
  </si>
  <si>
    <t>Fairfield Inn &amp; Suites Detroit Rochester</t>
  </si>
  <si>
    <t xml:space="preserve">3900 South Rochester Drive </t>
  </si>
  <si>
    <t>Rochester Hills</t>
  </si>
  <si>
    <t>Rebecca Stephens</t>
  </si>
  <si>
    <t>+1 (734) 245-4700</t>
  </si>
  <si>
    <t>RHW Companies Inc.</t>
  </si>
  <si>
    <t>Courtyard Colorado Springs North</t>
  </si>
  <si>
    <t xml:space="preserve">1130 InterQuest Parkway </t>
  </si>
  <si>
    <t>Colorado Springs</t>
  </si>
  <si>
    <t>Patrick Hale</t>
  </si>
  <si>
    <t>Ryan Cipolla</t>
  </si>
  <si>
    <t>+1 (913) 451-1222</t>
  </si>
  <si>
    <t>Viceroy Hotel Management LLC</t>
  </si>
  <si>
    <t>Le Meridien Delfina Santa Monica</t>
  </si>
  <si>
    <t xml:space="preserve">530 Pico Boulevard </t>
  </si>
  <si>
    <t>Santa Monica</t>
  </si>
  <si>
    <t>Deepak Mehra</t>
  </si>
  <si>
    <t>David Reyes</t>
  </si>
  <si>
    <t>+1 (310) 399-9344</t>
  </si>
  <si>
    <t>Hampton Inn &amp; Suites Wichita Airport</t>
  </si>
  <si>
    <t xml:space="preserve">7230 W. Harry St. </t>
  </si>
  <si>
    <t>Wichita</t>
  </si>
  <si>
    <t>Jay Haratsis</t>
  </si>
  <si>
    <t>+1 (316) 942-2000</t>
  </si>
  <si>
    <t>Raincox Management LLC</t>
  </si>
  <si>
    <t>Fairfield Inn &amp; Suites Tyler South</t>
  </si>
  <si>
    <t xml:space="preserve">309 West Heritage Drive </t>
  </si>
  <si>
    <t>Tyler</t>
  </si>
  <si>
    <t>Denise Rousseau</t>
  </si>
  <si>
    <t xml:space="preserve"> Joel Nolen</t>
  </si>
  <si>
    <t>+()1 903-561-3300</t>
  </si>
  <si>
    <t>Courtyard Atlanta Alpharetta/Avalon Area</t>
  </si>
  <si>
    <t xml:space="preserve">11700 Amber Park Drive </t>
  </si>
  <si>
    <t>Alpharetta</t>
  </si>
  <si>
    <t>Nichole Brinker</t>
  </si>
  <si>
    <t>+1 (770) 475-9955</t>
  </si>
  <si>
    <t xml:space="preserve">Palm Holdings </t>
  </si>
  <si>
    <t>Element Miami International Airport</t>
  </si>
  <si>
    <t xml:space="preserve">3525 NW 25th St. </t>
  </si>
  <si>
    <t>Miami</t>
  </si>
  <si>
    <t>Element</t>
  </si>
  <si>
    <t>Crystal Winter</t>
  </si>
  <si>
    <t>Jelani Gordon</t>
  </si>
  <si>
    <t>+1 (305) 636-1600</t>
  </si>
  <si>
    <t>Dayal Management Corp</t>
  </si>
  <si>
    <t>Holiday Inn Ames Conference Center At Isu</t>
  </si>
  <si>
    <t xml:space="preserve">2609 University Boulevard </t>
  </si>
  <si>
    <t>Ames</t>
  </si>
  <si>
    <t>IA</t>
  </si>
  <si>
    <t>Jeremy Devore</t>
  </si>
  <si>
    <t>+1 (515) 268-8808</t>
  </si>
  <si>
    <t>PREMA FINANCIAL SOLUTIONS</t>
  </si>
  <si>
    <t>FOCUS HEALTH OF CHATTANOOGA LLC</t>
  </si>
  <si>
    <t xml:space="preserve">7429 SHALLOWFORD ROAD </t>
  </si>
  <si>
    <t>CHATTANOOGA</t>
  </si>
  <si>
    <t>PIONEER HEALTH CARE MANAGEMENT</t>
  </si>
  <si>
    <t>NORTHVILLE MANOR</t>
  </si>
  <si>
    <t xml:space="preserve">520 WEST MAIN STREET </t>
  </si>
  <si>
    <t>NORTHVILLE</t>
  </si>
  <si>
    <t>248-349-4290</t>
  </si>
  <si>
    <t>PS-RURAL RETREAT CARE CENTER</t>
  </si>
  <si>
    <t xml:space="preserve">514 NORTH MAIN STREET </t>
  </si>
  <si>
    <t>RURAL RETREAT</t>
  </si>
  <si>
    <t>276-613-4700</t>
  </si>
  <si>
    <t>ROGER WILLIAMS UNIVERSITY</t>
  </si>
  <si>
    <t xml:space="preserve">ONE OLD FERRY ROAD </t>
  </si>
  <si>
    <t>BRISTOL</t>
  </si>
  <si>
    <t>401-254-3531</t>
  </si>
  <si>
    <t>HOSPITALITY HOSO</t>
  </si>
  <si>
    <t>HITCH BURGER GRILL-UPLAND</t>
  </si>
  <si>
    <t xml:space="preserve">2420 WEST ARROW ROUTE </t>
  </si>
  <si>
    <t>UPLDAND</t>
  </si>
  <si>
    <t>909-215-9787</t>
  </si>
  <si>
    <t>GARDANT MANAGEMENT SOLUTIONS</t>
  </si>
  <si>
    <t>SWEET GALILEE AT THE WIGWAM</t>
  </si>
  <si>
    <t xml:space="preserve">1315 JOHN STREET </t>
  </si>
  <si>
    <t>CHARLOTTE</t>
  </si>
  <si>
    <t>765-442-3752</t>
  </si>
  <si>
    <t>EXCEL CARE HEALTH MANAGEMENT</t>
  </si>
  <si>
    <t>EXCEL CARE AT EGG HARBOR</t>
  </si>
  <si>
    <t xml:space="preserve">6818 DELIAH ROAD </t>
  </si>
  <si>
    <t>EGG HARBOR</t>
  </si>
  <si>
    <t>609-453-3200</t>
  </si>
  <si>
    <t>EXCEL CARE AT THE PINES</t>
  </si>
  <si>
    <t xml:space="preserve">29 NORTH VERMONT AVENUE </t>
  </si>
  <si>
    <t>ATLANTIC CITY</t>
  </si>
  <si>
    <t>609-344-8900</t>
  </si>
  <si>
    <t>EXCEL CARE AT MANALAPAN</t>
  </si>
  <si>
    <t xml:space="preserve">104 PENSION ROAD </t>
  </si>
  <si>
    <t>ENGLISHTOWN</t>
  </si>
  <si>
    <t>732-446-3600</t>
  </si>
  <si>
    <t>EXCEL CARE AT DOVER</t>
  </si>
  <si>
    <t xml:space="preserve">65 NORTH SUSSEX STREET </t>
  </si>
  <si>
    <t>973-361-5200</t>
  </si>
  <si>
    <t>EXCEL CARE AT WAYNE</t>
  </si>
  <si>
    <t xml:space="preserve">296 HAMBURG TURNPIKE </t>
  </si>
  <si>
    <t>973-790-5800</t>
  </si>
  <si>
    <t xml:space="preserve">1382 LANES MILL ROAD SUITE 104 </t>
  </si>
  <si>
    <t>LAKEWOOD</t>
  </si>
  <si>
    <t>732-963-8400</t>
  </si>
  <si>
    <t>CHILDSERVE INC</t>
  </si>
  <si>
    <t>CHILDSERVE</t>
  </si>
  <si>
    <t xml:space="preserve">5406 MERLE HAY ROAD </t>
  </si>
  <si>
    <t>JOHNSTON</t>
  </si>
  <si>
    <t>515-270-2205</t>
  </si>
  <si>
    <t xml:space="preserve">6125 MERLE HAY ROAD </t>
  </si>
  <si>
    <t>ANTHEM MEMORY CARE</t>
  </si>
  <si>
    <t>GREENFIELD ESTATES ASCC</t>
  </si>
  <si>
    <t xml:space="preserve">3522 COMMERCIAL DRIVE </t>
  </si>
  <si>
    <t>AKRON</t>
  </si>
  <si>
    <t>330-664-1650</t>
  </si>
  <si>
    <t>RIVER OAKS ASCC</t>
  </si>
  <si>
    <t xml:space="preserve">2961 WEST SPRING VALLEY PIKE </t>
  </si>
  <si>
    <t>MIAMISBURG</t>
  </si>
  <si>
    <t>937-291-1100</t>
  </si>
  <si>
    <t>PRESERVE AT BEAVERCREEK ASCC</t>
  </si>
  <si>
    <t xml:space="preserve">2580 HIBISCUS WAY </t>
  </si>
  <si>
    <t>GLENWOOD ASCC</t>
  </si>
  <si>
    <t xml:space="preserve">EMERALD PARKWAY </t>
  </si>
  <si>
    <t>DUBLIN</t>
  </si>
  <si>
    <t>614-761-9200</t>
  </si>
  <si>
    <t>EDGEMONT PLACE ASCC</t>
  </si>
  <si>
    <t xml:space="preserve">11748 ULYSSES LANE NE </t>
  </si>
  <si>
    <t>BLAINE</t>
  </si>
  <si>
    <t>763-862-7000</t>
  </si>
  <si>
    <t>ELK RIDGE ASCC</t>
  </si>
  <si>
    <t xml:space="preserve">1700 BEAM AVENUE </t>
  </si>
  <si>
    <t>MAPLEWOOD</t>
  </si>
  <si>
    <t>651-779-0500</t>
  </si>
  <si>
    <t>ROBINWOOD LANDING ASCC</t>
  </si>
  <si>
    <t xml:space="preserve">1634 LAKE LANSING ROAD </t>
  </si>
  <si>
    <t>LANSING</t>
  </si>
  <si>
    <t>517-203-3044</t>
  </si>
  <si>
    <t>THE HAMPTON ASCC</t>
  </si>
  <si>
    <t xml:space="preserve">1400 TROSPER ROAD SW </t>
  </si>
  <si>
    <t>TURNWATER</t>
  </si>
  <si>
    <t>360-786-6062</t>
  </si>
  <si>
    <t>PHEASANT RUN ASCC</t>
  </si>
  <si>
    <t xml:space="preserve">2664 WEST 11400 S </t>
  </si>
  <si>
    <t>SOUTH JORDAN</t>
  </si>
  <si>
    <t>801-260-0007</t>
  </si>
  <si>
    <t>Dover Hospitality Group LLC</t>
  </si>
  <si>
    <t>Fairfield Inn &amp; Suites Dover</t>
  </si>
  <si>
    <t xml:space="preserve">655 North DuPont Highway </t>
  </si>
  <si>
    <t>Dover</t>
  </si>
  <si>
    <t>Anita Ferandes</t>
  </si>
  <si>
    <t>+ (302) 677-0900</t>
  </si>
  <si>
    <t>CHRIST HAVEN LODGE</t>
  </si>
  <si>
    <t xml:space="preserve">178 PALMER DRIVE </t>
  </si>
  <si>
    <t>FLORISSANT</t>
  </si>
  <si>
    <t>719-687-3425</t>
  </si>
  <si>
    <t>CAMP ORO QUAY SINGING HILLS</t>
  </si>
  <si>
    <t xml:space="preserve">1441 HIGHWAY 344 </t>
  </si>
  <si>
    <t>SANDIA PARK</t>
  </si>
  <si>
    <t>505-281-5474</t>
  </si>
  <si>
    <t>Gibson Hotel Management Inc.</t>
  </si>
  <si>
    <t>Residence Inn Pigeon Forge</t>
  </si>
  <si>
    <t xml:space="preserve">2959 Teaster Lane </t>
  </si>
  <si>
    <t>Pigeon Forge</t>
  </si>
  <si>
    <t>Brandon Shackleford</t>
  </si>
  <si>
    <t>+()865-242-2696</t>
  </si>
  <si>
    <t>Hyatt Hotels Corporation</t>
  </si>
  <si>
    <t>Scottsdale Resort</t>
  </si>
  <si>
    <t xml:space="preserve">7700 East McCormick Parkway </t>
  </si>
  <si>
    <t>Scottsdale</t>
  </si>
  <si>
    <t>Destination</t>
  </si>
  <si>
    <t>Ken McKenzie</t>
  </si>
  <si>
    <t>Gerardo Solano</t>
  </si>
  <si>
    <t>+1 (480) 991-9000</t>
  </si>
  <si>
    <t>One Village Place Private Residence</t>
  </si>
  <si>
    <t xml:space="preserve">9001 Northstar </t>
  </si>
  <si>
    <t>Glenshire</t>
  </si>
  <si>
    <t>Michelle Morikawa</t>
  </si>
  <si>
    <t>+1 (800) 932-9355</t>
  </si>
  <si>
    <t>Hilton Garden Inn College Station</t>
  </si>
  <si>
    <t xml:space="preserve">3081 University Drive East </t>
  </si>
  <si>
    <t>Bryan</t>
  </si>
  <si>
    <t>David Maya</t>
  </si>
  <si>
    <t>Violet Bounthai</t>
  </si>
  <si>
    <t>+()Unknown</t>
  </si>
  <si>
    <t>YM Hospitality</t>
  </si>
  <si>
    <t>Holiday Inn Express &amp; Suites Canton</t>
  </si>
  <si>
    <t xml:space="preserve">145 Park Center Drive </t>
  </si>
  <si>
    <t>Canton</t>
  </si>
  <si>
    <t>Lenore Broadley</t>
  </si>
  <si>
    <t>+1 (770) 213-6680</t>
  </si>
  <si>
    <t>Ocean Echo Inn LLC Corp</t>
  </si>
  <si>
    <t>Ocean Echo Inn &amp; Beach Cottages</t>
  </si>
  <si>
    <t xml:space="preserve">401 Johans Beach Drive </t>
  </si>
  <si>
    <t>Santa Cruz</t>
  </si>
  <si>
    <t>Bhavana Patel</t>
  </si>
  <si>
    <t>+1 (831) 462-4192</t>
  </si>
  <si>
    <t>Element Colorado Springs Downtown</t>
  </si>
  <si>
    <t xml:space="preserve">55 E Costilla St </t>
  </si>
  <si>
    <t>Gus Krimm</t>
  </si>
  <si>
    <t>Robin Pile</t>
  </si>
  <si>
    <t>+1 (719) 900-1803</t>
  </si>
  <si>
    <t>SpringHill Suites Colorado Springs Downtown</t>
  </si>
  <si>
    <t>JPK TR Duluth LLC</t>
  </si>
  <si>
    <t>Residence Inn Duluth</t>
  </si>
  <si>
    <t xml:space="preserve">517 West Central Entrance </t>
  </si>
  <si>
    <t>Duluth</t>
  </si>
  <si>
    <t>Larry Vogel</t>
  </si>
  <si>
    <t>Sara Polensky</t>
  </si>
  <si>
    <t>+1 (218) 279-2885</t>
  </si>
  <si>
    <t>Homewood Suites Midland</t>
  </si>
  <si>
    <t xml:space="preserve">1401 Tradewinds Boulevard </t>
  </si>
  <si>
    <t>Midland</t>
  </si>
  <si>
    <t>Anthony Lara</t>
  </si>
  <si>
    <t>Yolanda Petereit-Golec</t>
  </si>
  <si>
    <t>+(432) 695-6905</t>
  </si>
  <si>
    <t>Embassy Suites Amarillo</t>
  </si>
  <si>
    <t xml:space="preserve">550 Buchanan Street </t>
  </si>
  <si>
    <t>Amarillo</t>
  </si>
  <si>
    <t>Maria Garcia</t>
  </si>
  <si>
    <t>Monica Pitt</t>
  </si>
  <si>
    <t>+(806) 419-1470</t>
  </si>
  <si>
    <t>TownePlace Suites New Orleans Downtown Canal Street</t>
  </si>
  <si>
    <t xml:space="preserve">1600 Canal Street </t>
  </si>
  <si>
    <t>New Orleans</t>
  </si>
  <si>
    <t>Everett St. Andre</t>
  </si>
  <si>
    <t>Rodney Davis</t>
  </si>
  <si>
    <t>+1 (504) 702-6800</t>
  </si>
  <si>
    <t>Springhill Suites New Orleans Downtown Canal Street</t>
  </si>
  <si>
    <t>Jason Roussett</t>
  </si>
  <si>
    <t>AC Hotel Houston Downtown</t>
  </si>
  <si>
    <t xml:space="preserve">723 Main Street </t>
  </si>
  <si>
    <t>AC Hotels</t>
  </si>
  <si>
    <t>Patrick Shields</t>
  </si>
  <si>
    <t>Renardo Tucker</t>
  </si>
  <si>
    <t>+1 (832) 516-6635</t>
  </si>
  <si>
    <t>AC Hotel Dallas Frisco</t>
  </si>
  <si>
    <t xml:space="preserve">4343 Frisco Green Avenue </t>
  </si>
  <si>
    <t>Frisco</t>
  </si>
  <si>
    <t>Dylan Franco</t>
  </si>
  <si>
    <t>Jheannine Golden-Washington</t>
  </si>
  <si>
    <t>+1 (972) 987-0822</t>
  </si>
  <si>
    <t>AC Hotel Bricktown</t>
  </si>
  <si>
    <t xml:space="preserve">411 East Sheridan Avenue </t>
  </si>
  <si>
    <t>Jennifer Tucker</t>
  </si>
  <si>
    <t>Jovan Poindexter</t>
  </si>
  <si>
    <t>+1 (405) 605-1555</t>
  </si>
  <si>
    <t>AC Hotel Dallas Downtown</t>
  </si>
  <si>
    <t xml:space="preserve">1712 Commerce Street </t>
  </si>
  <si>
    <t>Dallas</t>
  </si>
  <si>
    <t>Jolisha Brown</t>
  </si>
  <si>
    <t>Marcus Reed</t>
  </si>
  <si>
    <t>+1(214)290-0111</t>
  </si>
  <si>
    <t>Residence Inn Frisco</t>
  </si>
  <si>
    <t>+1 (972) 987-0815</t>
  </si>
  <si>
    <t>Residence Inn Dallas Downtown</t>
  </si>
  <si>
    <t>Lucy Hernandez</t>
  </si>
  <si>
    <t>+1(214)290-0122</t>
  </si>
  <si>
    <t>Residence Inn Tyler</t>
  </si>
  <si>
    <t xml:space="preserve">350 Heritage Drive </t>
  </si>
  <si>
    <t>Crystal Beard</t>
  </si>
  <si>
    <t>Nicole Rodriguez</t>
  </si>
  <si>
    <t>+1 (903) 787-5899</t>
  </si>
  <si>
    <t>TownePlace Suites Grapevine</t>
  </si>
  <si>
    <t xml:space="preserve">2200 Bass Pro Court </t>
  </si>
  <si>
    <t>Grapevine</t>
  </si>
  <si>
    <t>Mallory Wall</t>
  </si>
  <si>
    <t>+(817) 421-6121</t>
  </si>
  <si>
    <t>Hyatt Place Bricktown</t>
  </si>
  <si>
    <t xml:space="preserve">20 Russell M. Perry Avenue </t>
  </si>
  <si>
    <t>Juan Carrillo</t>
  </si>
  <si>
    <t>Kristopher Kight</t>
  </si>
  <si>
    <t>+1 (405) 702-4028</t>
  </si>
  <si>
    <t>Hyatt Place Lubbock</t>
  </si>
  <si>
    <t xml:space="preserve">2309 Mac Davis Lane </t>
  </si>
  <si>
    <t>Lubbock</t>
  </si>
  <si>
    <t>Mandy Whitlock</t>
  </si>
  <si>
    <t>+(806)741-0200</t>
  </si>
  <si>
    <t>Courtyard Grapevine</t>
  </si>
  <si>
    <t>Michelle Strong</t>
  </si>
  <si>
    <t>+1 (817) 251-9095</t>
  </si>
  <si>
    <t>Hyatt Place Dallas/Plano</t>
  </si>
  <si>
    <t xml:space="preserve">3100 Dallas Parkway </t>
  </si>
  <si>
    <t>Plano</t>
  </si>
  <si>
    <t>Wilbur Bodden</t>
  </si>
  <si>
    <t>Ben Thomas</t>
  </si>
  <si>
    <t>+ (972) 378-3997</t>
  </si>
  <si>
    <t>Hyatt Place Grapevine</t>
  </si>
  <si>
    <t xml:space="preserve">2220 West Grapevine Mills Circle </t>
  </si>
  <si>
    <t>Jeremy Brunson</t>
  </si>
  <si>
    <t>+1 (972) 691-1199</t>
  </si>
  <si>
    <t>Courtyard Amarillo Downtown</t>
  </si>
  <si>
    <t xml:space="preserve">724 South Polk Street </t>
  </si>
  <si>
    <t>Jane Kellison</t>
  </si>
  <si>
    <t>+1 (806) 553-4500</t>
  </si>
  <si>
    <t>Canopy New Orleans</t>
  </si>
  <si>
    <t xml:space="preserve">1100 Tulane Avenue </t>
  </si>
  <si>
    <t>Kendal Toles</t>
  </si>
  <si>
    <t>+1 (504) 354-2850</t>
  </si>
  <si>
    <t>Hilton Garden Inn Grapevine</t>
  </si>
  <si>
    <t xml:space="preserve">2240 Bass Pro Court </t>
  </si>
  <si>
    <t>Michael Mestas</t>
  </si>
  <si>
    <t>+(817) 601-8280</t>
  </si>
  <si>
    <t>Canopy Frisco</t>
  </si>
  <si>
    <t xml:space="preserve">4455 Frisco Green Avenue </t>
  </si>
  <si>
    <t>Ivy Nieto</t>
  </si>
  <si>
    <t>Holly Murany</t>
  </si>
  <si>
    <t>+1 (512) 809-1395</t>
  </si>
  <si>
    <t>Hampton Inn &amp; Suites Dallas</t>
  </si>
  <si>
    <t xml:space="preserve">1700 Commerce Street </t>
  </si>
  <si>
    <t>Daniel Ovichegan</t>
  </si>
  <si>
    <t>+(214) 290-9090</t>
  </si>
  <si>
    <t>Hilton Garden Inn Longview</t>
  </si>
  <si>
    <t xml:space="preserve">905 East Hawkings Parkway </t>
  </si>
  <si>
    <t>Longview</t>
  </si>
  <si>
    <t>Bobby Dyer</t>
  </si>
  <si>
    <t>John Hines</t>
  </si>
  <si>
    <t>+1 (903) 212-3000</t>
  </si>
  <si>
    <t>Holiday Inn Express Bricktown</t>
  </si>
  <si>
    <t xml:space="preserve">101 East Main Street </t>
  </si>
  <si>
    <t>Laura Barnett</t>
  </si>
  <si>
    <t>+(405) 778-8100</t>
  </si>
  <si>
    <t>Holiday Inn Express Grapevine</t>
  </si>
  <si>
    <t xml:space="preserve">309 State Highway 114 West </t>
  </si>
  <si>
    <t>+ (817) 442-5919</t>
  </si>
  <si>
    <t>SpringHill Suites Dallas Downtown-West End</t>
  </si>
  <si>
    <t xml:space="preserve">1907 North Lamar Street </t>
  </si>
  <si>
    <t>Karissa Arrocha</t>
  </si>
  <si>
    <t>Janet Ferrer</t>
  </si>
  <si>
    <t>+1 (214) 999-0500</t>
  </si>
  <si>
    <t>Griffin Stafford LLC</t>
  </si>
  <si>
    <t>Home2 Suites by Hilton Cumming Atlanta</t>
  </si>
  <si>
    <t xml:space="preserve">3160 Ronald Reagan Blvd </t>
  </si>
  <si>
    <t>Cumming</t>
  </si>
  <si>
    <t>+(678) 845-0800</t>
  </si>
  <si>
    <t>A.B.R.M.P. Management LLC dba Fusion Hospitality</t>
  </si>
  <si>
    <t>Hilton Garden Inn Meridian</t>
  </si>
  <si>
    <t xml:space="preserve">109 Highway 11 and 80 </t>
  </si>
  <si>
    <t>Meridian</t>
  </si>
  <si>
    <t>John Henderson</t>
  </si>
  <si>
    <t>Michael Walker</t>
  </si>
  <si>
    <t>+1 (601) 485-3506</t>
  </si>
  <si>
    <t>Holiday Inn Meridian</t>
  </si>
  <si>
    <t xml:space="preserve">100 N Frontage Rd </t>
  </si>
  <si>
    <t>Mamie Walker</t>
  </si>
  <si>
    <t>+1 (601) 693-0160</t>
  </si>
  <si>
    <t>Hampton Inn Meridian</t>
  </si>
  <si>
    <t xml:space="preserve">103 Highway 11 and 80 </t>
  </si>
  <si>
    <t>Teri Wells</t>
  </si>
  <si>
    <t>Parker B Camp</t>
  </si>
  <si>
    <t>+1 (601) 483-3000</t>
  </si>
  <si>
    <t>Hampton Inn Paris</t>
  </si>
  <si>
    <t xml:space="preserve">1540 Mineral Wells Avenue </t>
  </si>
  <si>
    <t>Paris</t>
  </si>
  <si>
    <t>Anita Lane</t>
  </si>
  <si>
    <t>Jerry Boyd</t>
  </si>
  <si>
    <t>+1 (865) 924-1287</t>
  </si>
  <si>
    <t xml:space="preserve">InnVest Hotels LP </t>
  </si>
  <si>
    <t>Comfort Inn - Waterloo</t>
  </si>
  <si>
    <t xml:space="preserve">190 Weber Street North </t>
  </si>
  <si>
    <t>Waterloo</t>
  </si>
  <si>
    <t>ON</t>
  </si>
  <si>
    <t>N2J 3H4</t>
  </si>
  <si>
    <t>Amir Khan</t>
  </si>
  <si>
    <t>+1 (519) 747-9400</t>
  </si>
  <si>
    <t>Ya Davi LLC</t>
  </si>
  <si>
    <t>Econo Lodge Bradford</t>
  </si>
  <si>
    <t xml:space="preserve">515 South Ave </t>
  </si>
  <si>
    <t>Bradford</t>
  </si>
  <si>
    <t>Peter Patel</t>
  </si>
  <si>
    <t>+(814) 362-4511</t>
  </si>
  <si>
    <t>PEARL HEALTHCARE</t>
  </si>
  <si>
    <t>PEARL AT CRYSTAL LAKE</t>
  </si>
  <si>
    <t xml:space="preserve">1000 E BRIGHTON </t>
  </si>
  <si>
    <t>CRYSTAL LAKE</t>
  </si>
  <si>
    <t>815-477-6400</t>
  </si>
  <si>
    <t>Remington Lodging &amp; Hospitality LLC.</t>
  </si>
  <si>
    <t>SpringHill Suites Austin West - Lakeway</t>
  </si>
  <si>
    <t xml:space="preserve">322 Medical Parkway </t>
  </si>
  <si>
    <t>Lakeway</t>
  </si>
  <si>
    <t>Art Rodriguez</t>
  </si>
  <si>
    <t>Rick Flores</t>
  </si>
  <si>
    <t>+()5125594434</t>
  </si>
  <si>
    <t>Holiday Inn Tampa North</t>
  </si>
  <si>
    <t xml:space="preserve">3751 East Fowler Avenue </t>
  </si>
  <si>
    <t>Forest Hills</t>
  </si>
  <si>
    <t>Ron Moran</t>
  </si>
  <si>
    <t>+1 (813) 402-2982</t>
  </si>
  <si>
    <t>Ocean 7 Hotel</t>
  </si>
  <si>
    <t xml:space="preserve">870 East 7th St </t>
  </si>
  <si>
    <t>Ocean City</t>
  </si>
  <si>
    <t>Deanne Jones</t>
  </si>
  <si>
    <t>+()6093982200</t>
  </si>
  <si>
    <t>Noble House Hotels &amp; Resorts</t>
  </si>
  <si>
    <t>River Terrace Inn</t>
  </si>
  <si>
    <t xml:space="preserve">1600 Soscol Avenue </t>
  </si>
  <si>
    <t>Napa</t>
  </si>
  <si>
    <t>Jenny Toomer</t>
  </si>
  <si>
    <t>Steven Lampkin</t>
  </si>
  <si>
    <t>+1 (707) 320-9000</t>
  </si>
  <si>
    <t>Sonesta Suites Dallas Park Central</t>
  </si>
  <si>
    <t xml:space="preserve">7800 Alpha Road </t>
  </si>
  <si>
    <t>+1 (972) 391-0000</t>
  </si>
  <si>
    <t>Ensemble Hotel Partners LLC</t>
  </si>
  <si>
    <t>Hyatt Place Pasadena</t>
  </si>
  <si>
    <t xml:space="preserve">399 East Green Street </t>
  </si>
  <si>
    <t>Joseph Co</t>
  </si>
  <si>
    <t>Jose Monreal</t>
  </si>
  <si>
    <t>+1 (626) 788-9108</t>
  </si>
  <si>
    <t>DESARROLLOS HOTELEROS DE NICARAGUA S.A.</t>
  </si>
  <si>
    <t>Hyatt Place Managua</t>
  </si>
  <si>
    <t xml:space="preserve">Carretera Masaya Km. 8.2 </t>
  </si>
  <si>
    <t>Managua</t>
  </si>
  <si>
    <t>Nicaragua</t>
  </si>
  <si>
    <t xml:space="preserve">Maria Jesus Rivera Toruño </t>
  </si>
  <si>
    <t>+()840-841-845</t>
  </si>
  <si>
    <t>Element West Des Moines</t>
  </si>
  <si>
    <t xml:space="preserve">575 South Prairie View Drive </t>
  </si>
  <si>
    <t>West Des Moines</t>
  </si>
  <si>
    <t>Amanda Sampino</t>
  </si>
  <si>
    <t>+1 (515) 309-7355</t>
  </si>
  <si>
    <t>Onni Property Management Services LTD</t>
  </si>
  <si>
    <t>Level Howe</t>
  </si>
  <si>
    <t xml:space="preserve">1333 Howe St </t>
  </si>
  <si>
    <t>Vancouver</t>
  </si>
  <si>
    <t>BC</t>
  </si>
  <si>
    <t>V6Z 1R7</t>
  </si>
  <si>
    <t>MFH: Apartment Standard</t>
  </si>
  <si>
    <t>Janice Flack</t>
  </si>
  <si>
    <t>+1 (604) 979-6201</t>
  </si>
  <si>
    <t>CAMP FOR ALL</t>
  </si>
  <si>
    <t xml:space="preserve">6301 REHBURG ROAD </t>
  </si>
  <si>
    <t>BURTON</t>
  </si>
  <si>
    <t>798-033-3409</t>
  </si>
  <si>
    <t>CAMP LONGHORN LTD</t>
  </si>
  <si>
    <t xml:space="preserve">108 ATTAWAY LANE </t>
  </si>
  <si>
    <t>BURNET</t>
  </si>
  <si>
    <t>512-793-2490</t>
  </si>
  <si>
    <t>LIFECARE HOLDINGS LLC</t>
  </si>
  <si>
    <t>THE PINES SENIOR LIVING</t>
  </si>
  <si>
    <t xml:space="preserve">1300 MORGAN HIGHWAY </t>
  </si>
  <si>
    <t>CLARKS SUMMIT</t>
  </si>
  <si>
    <t>570-587-7709</t>
  </si>
  <si>
    <t>THE CARLA ROSE FOUNDATION INC</t>
  </si>
  <si>
    <t xml:space="preserve">304 WINSTON LANE </t>
  </si>
  <si>
    <t>ROEBUCK</t>
  </si>
  <si>
    <t>864-504-4323</t>
  </si>
  <si>
    <t>PARADISE VALLEY ESTATES</t>
  </si>
  <si>
    <t xml:space="preserve">2350 ESTATES DRIVE </t>
  </si>
  <si>
    <t>FAIRFIELD</t>
  </si>
  <si>
    <t>707-432-1100</t>
  </si>
  <si>
    <t>CERTUS HEALTHCARE</t>
  </si>
  <si>
    <t>NEW LEXINGTON HEALTHCARE AND REHAB</t>
  </si>
  <si>
    <t xml:space="preserve">920 SOUTH MAIN STREET </t>
  </si>
  <si>
    <t>NEW LEXINGTON</t>
  </si>
  <si>
    <t>740-342-5161</t>
  </si>
  <si>
    <t>FOREST HILL INDEPENDENT LIVING FACILITY</t>
  </si>
  <si>
    <t xml:space="preserve">100 RESERVOIR ROAD-OFFICE 2 </t>
  </si>
  <si>
    <t>ST CLAIRSVILLE</t>
  </si>
  <si>
    <t>740-653-3281</t>
  </si>
  <si>
    <t>SUBURBAN HEALTHCARE AND REHAB</t>
  </si>
  <si>
    <t xml:space="preserve">20265 EMERY ROAD </t>
  </si>
  <si>
    <t>CLEVELAND</t>
  </si>
  <si>
    <t>216-475-8880</t>
  </si>
  <si>
    <t>HERITAGE VILLAGE OF CLYDE</t>
  </si>
  <si>
    <t xml:space="preserve">700 HELEN STREET </t>
  </si>
  <si>
    <t>CLYDE</t>
  </si>
  <si>
    <t>419-547-9595</t>
  </si>
  <si>
    <t>HERITAGE VILLAGE OF WATERVILLE</t>
  </si>
  <si>
    <t xml:space="preserve">555 ANTHONY WAYNE TRAIL </t>
  </si>
  <si>
    <t>WATERVILLE</t>
  </si>
  <si>
    <t>419-878-3901</t>
  </si>
  <si>
    <t>CITYVIEW NURSING AND REHAB</t>
  </si>
  <si>
    <t xml:space="preserve">6606 CARNEGIE AVENUE </t>
  </si>
  <si>
    <t>216-361-1414</t>
  </si>
  <si>
    <t>CANDLEWOOD HEALTHCARE AND REHAB</t>
  </si>
  <si>
    <t xml:space="preserve">1835 BELMORE ROAD </t>
  </si>
  <si>
    <t>216-268-3600</t>
  </si>
  <si>
    <t>ARISTOCRAT BEREA HEALTHCARE AND REHAB</t>
  </si>
  <si>
    <t xml:space="preserve">55 FRONT STREET </t>
  </si>
  <si>
    <t>BEREA</t>
  </si>
  <si>
    <t>440-243-4000</t>
  </si>
  <si>
    <t>428 HEALTHCARE</t>
  </si>
  <si>
    <t>SEASIDE MANOR OF ORMOND BEACH</t>
  </si>
  <si>
    <t xml:space="preserve">1050 OCEAN SHORE BLVD </t>
  </si>
  <si>
    <t>ORMOND BEACH</t>
  </si>
  <si>
    <t>386-441-1771</t>
  </si>
  <si>
    <t>THE HARMONY HOUSE AT OCALA</t>
  </si>
  <si>
    <t xml:space="preserve">5762 SW 60TH AVE </t>
  </si>
  <si>
    <t>OCALA</t>
  </si>
  <si>
    <t>352-237-4544</t>
  </si>
  <si>
    <t>LANGDON HALL OF BRADENTON</t>
  </si>
  <si>
    <t xml:space="preserve">1120 33RD AVENUE WEST </t>
  </si>
  <si>
    <t xml:space="preserve">BRADENTON </t>
  </si>
  <si>
    <t>941-744-1923</t>
  </si>
  <si>
    <t>Baywood Hotels Inc</t>
  </si>
  <si>
    <t>Red Carpet Inn Lancaster</t>
  </si>
  <si>
    <t xml:space="preserve">2101 Columbia Avenue </t>
  </si>
  <si>
    <t>MG Patel</t>
  </si>
  <si>
    <t>+1 (717) 397-4201</t>
  </si>
  <si>
    <t>ADDIT LLC_COMPASS POINTE</t>
  </si>
  <si>
    <t>BLUE RIDGE SENIOR LIVING OF RICHMOND</t>
  </si>
  <si>
    <t xml:space="preserve">12411 GAYTON RD </t>
  </si>
  <si>
    <t>804-741-9494</t>
  </si>
  <si>
    <t>Keystone Hotel Group</t>
  </si>
  <si>
    <t>TownePlace Suites Cincinnati Florence</t>
  </si>
  <si>
    <t xml:space="preserve">7484 Turfway Road </t>
  </si>
  <si>
    <t>Florence</t>
  </si>
  <si>
    <t>Holly House</t>
  </si>
  <si>
    <t>+1 (513) 461-3625</t>
  </si>
  <si>
    <t>Outlook Inn</t>
  </si>
  <si>
    <t xml:space="preserve">171 Main Street </t>
  </si>
  <si>
    <t>EASTSOUND</t>
  </si>
  <si>
    <t>Michael Felso</t>
  </si>
  <si>
    <t>+1 (360) 376-2200</t>
  </si>
  <si>
    <t>ClubCorp USA Inc.</t>
  </si>
  <si>
    <t>Dellwood Country Club</t>
  </si>
  <si>
    <t xml:space="preserve">29 Highway 96 East </t>
  </si>
  <si>
    <t>Dellwood</t>
  </si>
  <si>
    <t>ClubCorp ClubLife</t>
  </si>
  <si>
    <t xml:space="preserve">Pete LaCoursiere </t>
  </si>
  <si>
    <t>Jim Kyndberg</t>
  </si>
  <si>
    <t>+ (651) 426-4733</t>
  </si>
  <si>
    <t>HHG Companies Inc.</t>
  </si>
  <si>
    <t>Element Irvine</t>
  </si>
  <si>
    <t xml:space="preserve">17662 Armstrong Avenue </t>
  </si>
  <si>
    <t>Dean Birtles</t>
  </si>
  <si>
    <t>+1 (949) 749-8377</t>
  </si>
  <si>
    <t>HEI Hotels &amp; Resorts</t>
  </si>
  <si>
    <t>Monterey Tides</t>
  </si>
  <si>
    <t xml:space="preserve">2600 Sand Dunes Drive </t>
  </si>
  <si>
    <t>Monterey</t>
  </si>
  <si>
    <t>Elias Van Niekerk</t>
  </si>
  <si>
    <t>Maureen Doran</t>
  </si>
  <si>
    <t>+1 (831) 394-3321</t>
  </si>
  <si>
    <t>FelCor TRS Holdings LLC.</t>
  </si>
  <si>
    <t>Embassy Suites Secaucus Meadowlands</t>
  </si>
  <si>
    <t xml:space="preserve">455 Plaza Drive </t>
  </si>
  <si>
    <t>Secaucus</t>
  </si>
  <si>
    <t>Rebecca Kirisits</t>
  </si>
  <si>
    <t>Gia Tapia</t>
  </si>
  <si>
    <t>+1 (201) 864-7300</t>
  </si>
  <si>
    <t>Colwen Management Inc.</t>
  </si>
  <si>
    <t>La Quinta Inn &amp; Suites South Burlington</t>
  </si>
  <si>
    <t xml:space="preserve">1285 Williston Road </t>
  </si>
  <si>
    <t>Burlington</t>
  </si>
  <si>
    <t>VT</t>
  </si>
  <si>
    <t>Debra Grzywna</t>
  </si>
  <si>
    <t>+1 (802) 865-3400</t>
  </si>
  <si>
    <t>La Quinta Inn &amp; Suites St. Albans</t>
  </si>
  <si>
    <t xml:space="preserve">813 Fairfax Road </t>
  </si>
  <si>
    <t>Saint Albans</t>
  </si>
  <si>
    <t>Shawna Stetson</t>
  </si>
  <si>
    <t>+1 (802) 524-3300</t>
  </si>
  <si>
    <t>Motel 6 Gaithersburg DC - Washington</t>
  </si>
  <si>
    <t xml:space="preserve">497 Quince Orchard Road </t>
  </si>
  <si>
    <t>Gaithersburg</t>
  </si>
  <si>
    <t>Sarah Huweart</t>
  </si>
  <si>
    <t>+1 (301) 977-3311</t>
  </si>
  <si>
    <t>Welk Resorts - Sirena Del Mar Cabo San Lucas</t>
  </si>
  <si>
    <t xml:space="preserve">KM 4.5 Corredor Turistico Cabo San Lucas BCS </t>
  </si>
  <si>
    <t>Cabo San Lucas</t>
  </si>
  <si>
    <t>BCS</t>
  </si>
  <si>
    <t>Mexico</t>
  </si>
  <si>
    <t>Alejandro Neri</t>
  </si>
  <si>
    <t>+()52-624-163-4600</t>
  </si>
  <si>
    <t>AV Club Unknown</t>
  </si>
  <si>
    <t>Westfields Golf Club</t>
  </si>
  <si>
    <t xml:space="preserve">13940 Balmoral Greens Ave </t>
  </si>
  <si>
    <t>Clifton</t>
  </si>
  <si>
    <t>GOLF: Daily Fee</t>
  </si>
  <si>
    <t>Jason Paul</t>
  </si>
  <si>
    <t>+ (703) 631-3300</t>
  </si>
  <si>
    <t>Hampton Inn Kent</t>
  </si>
  <si>
    <t xml:space="preserve">4406 State Route 43 </t>
  </si>
  <si>
    <t>Kent</t>
  </si>
  <si>
    <t>Joe Collingsworth</t>
  </si>
  <si>
    <t>+1 (330) 673-8555</t>
  </si>
  <si>
    <t>HAIRSTON HOME FOR ADULTS</t>
  </si>
  <si>
    <t xml:space="preserve">601 ARMSTEAD AVENUE </t>
  </si>
  <si>
    <t>MARTINSVILLE</t>
  </si>
  <si>
    <t>276-638-5121</t>
  </si>
  <si>
    <t>ROSE GARDEN ESTATES</t>
  </si>
  <si>
    <t xml:space="preserve">406 W CASCADE </t>
  </si>
  <si>
    <t>RITZVILLE</t>
  </si>
  <si>
    <t>509-659-4716</t>
  </si>
  <si>
    <t>BLUE HILLS REST HOME</t>
  </si>
  <si>
    <t xml:space="preserve">2207 N BLUE MILLS ROAD </t>
  </si>
  <si>
    <t>INDEPENDENCE</t>
  </si>
  <si>
    <t>816-796-3376</t>
  </si>
  <si>
    <t>Bernstein Management Associates Inc.</t>
  </si>
  <si>
    <t>Beach House Dewey</t>
  </si>
  <si>
    <t xml:space="preserve">1710 Coastal Highway </t>
  </si>
  <si>
    <t>Dewey Beach</t>
  </si>
  <si>
    <t>Mike Fitzmaurice</t>
  </si>
  <si>
    <t>+(302) 227-4000</t>
  </si>
  <si>
    <t>Aloft Jacksonville Airport</t>
  </si>
  <si>
    <t xml:space="preserve">751 Skymarks Drive </t>
  </si>
  <si>
    <t>Jacksonville</t>
  </si>
  <si>
    <t>Adam Winning</t>
  </si>
  <si>
    <t>Luke Hippe</t>
  </si>
  <si>
    <t>+1 (904) 714-3800</t>
  </si>
  <si>
    <t>CAMP WALDEN INC</t>
  </si>
  <si>
    <t xml:space="preserve">93 WALDEN DRIVE </t>
  </si>
  <si>
    <t>DENMARK</t>
  </si>
  <si>
    <t>ME</t>
  </si>
  <si>
    <t>207-452-2901</t>
  </si>
  <si>
    <t>THE MENTOR NETWORK</t>
  </si>
  <si>
    <t>REM RAMSEY LAURIE</t>
  </si>
  <si>
    <t xml:space="preserve">347 LAURIE ROAD E </t>
  </si>
  <si>
    <t>THE OLD MILL PLAYHOUSE</t>
  </si>
  <si>
    <t xml:space="preserve">1000 OLD MILL RUN </t>
  </si>
  <si>
    <t>THE VILLAGES</t>
  </si>
  <si>
    <t>HPSI:HOTEL/RESTAURANT</t>
  </si>
  <si>
    <t>407-456-4156</t>
  </si>
  <si>
    <t>HONEST HANDS HOME CARE</t>
  </si>
  <si>
    <t xml:space="preserve">417 NORTH SPRINGFIELD ROAD </t>
  </si>
  <si>
    <t>CLIFTON HEIGHTS</t>
  </si>
  <si>
    <t>HPSI:HOME HEALTH AGENCY</t>
  </si>
  <si>
    <t>484-466-3242</t>
  </si>
  <si>
    <t>LEVI HOSPITAL</t>
  </si>
  <si>
    <t xml:space="preserve">300 PROSPECT AVENUE </t>
  </si>
  <si>
    <t>HOT SPRINGS</t>
  </si>
  <si>
    <t>HPSI:PSYCHIATRIC HOSPITAL</t>
  </si>
  <si>
    <t>501-624-1281</t>
  </si>
  <si>
    <t>ESTRELLA HEALTH AND REHAB-MENU ONLY</t>
  </si>
  <si>
    <t xml:space="preserve">350 EAST LA CANADA BLVD </t>
  </si>
  <si>
    <t>AVONDALE</t>
  </si>
  <si>
    <t>623-932-2282</t>
  </si>
  <si>
    <t>HERITAGE BLUFF APARTMENTS</t>
  </si>
  <si>
    <t xml:space="preserve">200 HERITAGE PLACE-OFC </t>
  </si>
  <si>
    <t>FAIRBAULT</t>
  </si>
  <si>
    <t>HPSI:HOUSING</t>
  </si>
  <si>
    <t>FAIRBAULT APARTMENTS</t>
  </si>
  <si>
    <t xml:space="preserve">429 CENTRAL AVENUE N OFC </t>
  </si>
  <si>
    <t>FAIRBBAULT</t>
  </si>
  <si>
    <t>IDAHO FALLS OF CASCADIA LLC</t>
  </si>
  <si>
    <t xml:space="preserve">3111 CHANNING WAY </t>
  </si>
  <si>
    <t>IDAHO FALLS</t>
  </si>
  <si>
    <t>208-529-0067</t>
  </si>
  <si>
    <t>Lotus Management Inc.</t>
  </si>
  <si>
    <t>Holiday Inn Express Hollister</t>
  </si>
  <si>
    <t xml:space="preserve">391 Gateway Drive </t>
  </si>
  <si>
    <t>Hollister</t>
  </si>
  <si>
    <t>+()408-912-5118</t>
  </si>
  <si>
    <t>Pullman Miami Airport</t>
  </si>
  <si>
    <t xml:space="preserve">5800 Blue Lagoon Dr. </t>
  </si>
  <si>
    <t>Pullman</t>
  </si>
  <si>
    <t>Dan McDermott</t>
  </si>
  <si>
    <t>+1 (305) 264-4888</t>
  </si>
  <si>
    <t>Fort Lauderdale Marriott North</t>
  </si>
  <si>
    <t xml:space="preserve">6650 N Andrews Ave. </t>
  </si>
  <si>
    <t>Morty Valldejuli</t>
  </si>
  <si>
    <t>+1 (954) 771-0440</t>
  </si>
  <si>
    <t>Courtyard North Brunswick</t>
  </si>
  <si>
    <t xml:space="preserve">231 Main Street </t>
  </si>
  <si>
    <t>North Brunswick</t>
  </si>
  <si>
    <t>Summer Mancini</t>
  </si>
  <si>
    <t>+1 (732) 801-2500</t>
  </si>
  <si>
    <t>Fairfield Inn &amp; Suites Parsippany</t>
  </si>
  <si>
    <t xml:space="preserve">3535 US Highway 46 </t>
  </si>
  <si>
    <t>Parsippany</t>
  </si>
  <si>
    <t>Dalay Hernandez</t>
  </si>
  <si>
    <t>+1 (973) 263-0095</t>
  </si>
  <si>
    <t>SpringHill Suites Woodbridge</t>
  </si>
  <si>
    <t xml:space="preserve">1010 US 9 North </t>
  </si>
  <si>
    <t>Woodbridge</t>
  </si>
  <si>
    <t>Navarra Barlatier</t>
  </si>
  <si>
    <t>+1 (848) 999-5910</t>
  </si>
  <si>
    <t>Americas Best Value Inn &amp; Suites Foley Gulf Shores</t>
  </si>
  <si>
    <t xml:space="preserve">1517 S. McKenzie Street </t>
  </si>
  <si>
    <t>Foley</t>
  </si>
  <si>
    <t>America's Best Value Inn</t>
  </si>
  <si>
    <t>Rupesh Desai</t>
  </si>
  <si>
    <t>+1 (251) 943-3297</t>
  </si>
  <si>
    <t>Kamla Hotels</t>
  </si>
  <si>
    <t>Best Western Plus Meridian Inn &amp; Suites Anaheim-Orange</t>
  </si>
  <si>
    <t xml:space="preserve">720 The City DR S </t>
  </si>
  <si>
    <t>Orange</t>
  </si>
  <si>
    <t>Best Western Plus</t>
  </si>
  <si>
    <t>Rosie Mohr</t>
  </si>
  <si>
    <t>Thom Lomboy</t>
  </si>
  <si>
    <t>+1 (714) 740-2700</t>
  </si>
  <si>
    <t>Island Hospitality Inc.</t>
  </si>
  <si>
    <t>Aloft BWI Baltimore</t>
  </si>
  <si>
    <t xml:space="preserve">1741 West Nursery Road </t>
  </si>
  <si>
    <t>Linthicum</t>
  </si>
  <si>
    <t>+(410)691-6469</t>
  </si>
  <si>
    <t>DEL OBISPO TERRACE</t>
  </si>
  <si>
    <t xml:space="preserve">32200 DEL OBISPO STREET </t>
  </si>
  <si>
    <t>SAN JUAN CAPISTRANO</t>
  </si>
  <si>
    <t>949-485-2174</t>
  </si>
  <si>
    <t>The Eagle Point Condominium Association</t>
  </si>
  <si>
    <t xml:space="preserve">1500 Matterhorn Circle Vail </t>
  </si>
  <si>
    <t>West Vail</t>
  </si>
  <si>
    <t>Matthew Whittington</t>
  </si>
  <si>
    <t>Breckenridge Vacation Club</t>
  </si>
  <si>
    <t xml:space="preserve">557 Stan Miller Drive </t>
  </si>
  <si>
    <t>Breckenridge</t>
  </si>
  <si>
    <t>LODGING:Vacation Club</t>
  </si>
  <si>
    <t>Dan Dohner</t>
  </si>
  <si>
    <t>+1 (800) 932) 9355</t>
  </si>
  <si>
    <t>Welk Resorts - Desert Oasis Palm Springs</t>
  </si>
  <si>
    <t xml:space="preserve">34567 Cathedral Canyon Drive </t>
  </si>
  <si>
    <t>Cathedral City</t>
  </si>
  <si>
    <t>Jim Hill</t>
  </si>
  <si>
    <t>Katelyn O'Donnell</t>
  </si>
  <si>
    <t>San Antonio Plaza</t>
  </si>
  <si>
    <t xml:space="preserve">555 South Alamo St </t>
  </si>
  <si>
    <t>+ (210) 229-1000</t>
  </si>
  <si>
    <t>Center Club Costa Mesa</t>
  </si>
  <si>
    <t>650 Town Center Dr 650 Town Center Dr</t>
  </si>
  <si>
    <t>Costa Mesa</t>
  </si>
  <si>
    <t>CLUB: City</t>
  </si>
  <si>
    <t>Craig Bennett</t>
  </si>
  <si>
    <t>Hrach Toros</t>
  </si>
  <si>
    <t>+ (714) 662-3414</t>
  </si>
  <si>
    <t>University Center Club</t>
  </si>
  <si>
    <t>FSU Doak Campbell Stadium University Center Building B</t>
  </si>
  <si>
    <t>Tallahassee</t>
  </si>
  <si>
    <t>CLUB: Stadium</t>
  </si>
  <si>
    <t>ClubCorp Stadium</t>
  </si>
  <si>
    <t>Tracy Marple</t>
  </si>
  <si>
    <t>David Colucci</t>
  </si>
  <si>
    <t>+ (850) 644-8528</t>
  </si>
  <si>
    <t>SMOKY RIDGE HEALTH AND REHAB</t>
  </si>
  <si>
    <t xml:space="preserve">310 PENSACOLA ROAD </t>
  </si>
  <si>
    <t>BURNSVILLE</t>
  </si>
  <si>
    <t>828-682-9759</t>
  </si>
  <si>
    <t>Comfort Inn &amp; Suites Mt. Laurel-Philadelphia</t>
  </si>
  <si>
    <t xml:space="preserve">350 Century Parkway </t>
  </si>
  <si>
    <t>Mt. Laurel</t>
  </si>
  <si>
    <t>Terrel Kelly</t>
  </si>
  <si>
    <t>+ (856) 642-0600</t>
  </si>
  <si>
    <t>DEER PARK HEALTH AND REHAB</t>
  </si>
  <si>
    <t xml:space="preserve">306 DEER PARK ROAD </t>
  </si>
  <si>
    <t>NEBO</t>
  </si>
  <si>
    <t>828-652-3032</t>
  </si>
  <si>
    <t>First Hospitality Group Inc.</t>
  </si>
  <si>
    <t>Homewood Suites Toledo Downtown (Dual Property)</t>
  </si>
  <si>
    <t xml:space="preserve">101 North Summit Street </t>
  </si>
  <si>
    <t>Toledo</t>
  </si>
  <si>
    <t>Sheena Kieffer</t>
  </si>
  <si>
    <t>Hilton Garden Inn Toledo Downtown (Dual Property)</t>
  </si>
  <si>
    <t xml:space="preserve">Home2 Suites by Hilton Stillwater </t>
  </si>
  <si>
    <t xml:space="preserve">306 E Hall of Fame Avenue </t>
  </si>
  <si>
    <t>Stillwater</t>
  </si>
  <si>
    <t>Auston Eleftherakis</t>
  </si>
  <si>
    <t>Nicole Celso</t>
  </si>
  <si>
    <t>+1 (405) 372.2550</t>
  </si>
  <si>
    <t>Har Gange LLC</t>
  </si>
  <si>
    <t>Red Carpet Inn Niagara Falls</t>
  </si>
  <si>
    <t xml:space="preserve">6625 Niagara Falls Blvd </t>
  </si>
  <si>
    <t>Niagara Falls</t>
  </si>
  <si>
    <t>Chris Patel</t>
  </si>
  <si>
    <t>+1 (518) 209-9955</t>
  </si>
  <si>
    <t>PM Hotel Group</t>
  </si>
  <si>
    <t>SpringHill Suites Des Moines West</t>
  </si>
  <si>
    <t xml:space="preserve">1236 Jordan Creek Parkway </t>
  </si>
  <si>
    <t>Steve Phillips</t>
  </si>
  <si>
    <t>+1 (515) 223-9005</t>
  </si>
  <si>
    <t>Residence Inn Princeton at Carnegie Center</t>
  </si>
  <si>
    <t xml:space="preserve">3563 US Route 1 </t>
  </si>
  <si>
    <t>West Windsor</t>
  </si>
  <si>
    <t>Denise Bonder</t>
  </si>
  <si>
    <t>lindsey carlucci</t>
  </si>
  <si>
    <t>+1 (609) 799-0550</t>
  </si>
  <si>
    <t>Fairfield Inn &amp; Suites Des Moines West</t>
  </si>
  <si>
    <t xml:space="preserve">7225 Vista Drive </t>
  </si>
  <si>
    <t>Linda Whittington</t>
  </si>
  <si>
    <t>+1 (515) 225-6100</t>
  </si>
  <si>
    <t>Courtyard Cleveland Willoughby</t>
  </si>
  <si>
    <t xml:space="preserve">35103 Maplegrove Road </t>
  </si>
  <si>
    <t>Willoughby</t>
  </si>
  <si>
    <t>Matt Martin</t>
  </si>
  <si>
    <t>+ 1 (440) 530-1100</t>
  </si>
  <si>
    <t>STAR HOME HEALTH SERVICES</t>
  </si>
  <si>
    <t xml:space="preserve">1451 GAMBIER ROAD </t>
  </si>
  <si>
    <t>MOUNT VERNON</t>
  </si>
  <si>
    <t>740-397-7509</t>
  </si>
  <si>
    <t>MANOR HOUSE ASSISTED LIVING</t>
  </si>
  <si>
    <t xml:space="preserve">204 ARCHER DR </t>
  </si>
  <si>
    <t>ANTWERP</t>
  </si>
  <si>
    <t>419-258-1312</t>
  </si>
  <si>
    <t>AZRIA HEALTH</t>
  </si>
  <si>
    <t>AZRIA HEALTH WOODHAVEN</t>
  </si>
  <si>
    <t xml:space="preserve">510 WEST 7TH STREET </t>
  </si>
  <si>
    <t>ELLINWOOD</t>
  </si>
  <si>
    <t>620-564-2337</t>
  </si>
  <si>
    <t>GOLDEN AGE NURSING HOME LUBBOCK</t>
  </si>
  <si>
    <t xml:space="preserve">2613 34TH STREET </t>
  </si>
  <si>
    <t>LUBBOCK</t>
  </si>
  <si>
    <t>806-792-2196</t>
  </si>
  <si>
    <t>BELLE MANOR NURSING HOME</t>
  </si>
  <si>
    <t xml:space="preserve">107 N PIKE STREET </t>
  </si>
  <si>
    <t>NEW CARLISLE</t>
  </si>
  <si>
    <t>513-845-8583</t>
  </si>
  <si>
    <t>FIRST CHOICE HOME HEALTH CARE</t>
  </si>
  <si>
    <t xml:space="preserve">46TH 7TH STREET </t>
  </si>
  <si>
    <t>NORTON</t>
  </si>
  <si>
    <t>276-679-7404</t>
  </si>
  <si>
    <t>YAD HEALTH</t>
  </si>
  <si>
    <t xml:space="preserve">311 BLVD OF THE AMERICAS STE 504 </t>
  </si>
  <si>
    <t>VERITAS INCARE LLC</t>
  </si>
  <si>
    <t>CEDAR CREEK</t>
  </si>
  <si>
    <t xml:space="preserve">4279 JUDITH AVENUE </t>
  </si>
  <si>
    <t>MERRITT ISLAND</t>
  </si>
  <si>
    <t>ST GABRIEL OF ATHENS</t>
  </si>
  <si>
    <t xml:space="preserve">2040 RESURGENCE DRIVE </t>
  </si>
  <si>
    <t>WATKINSVILLE</t>
  </si>
  <si>
    <t>ST GABRIEL OF MURRELLS INLET</t>
  </si>
  <si>
    <t xml:space="preserve">699 PRINCE CAREEK PKWY </t>
  </si>
  <si>
    <t>MURRELLS INLET</t>
  </si>
  <si>
    <t>ROSEWOOD MANOR</t>
  </si>
  <si>
    <t xml:space="preserve">1513 COUNTY PARK ROAD </t>
  </si>
  <si>
    <t>SCOTTSBORO</t>
  </si>
  <si>
    <t>REGENCY HOUSE AL</t>
  </si>
  <si>
    <t xml:space="preserve">2062 HAMILL ROAD </t>
  </si>
  <si>
    <t>HIXSON</t>
  </si>
  <si>
    <t>AVONLEA AL</t>
  </si>
  <si>
    <t xml:space="preserve">2429 LAWNDALE DRIVE </t>
  </si>
  <si>
    <t>TUPELO</t>
  </si>
  <si>
    <t>VENZA CARE</t>
  </si>
  <si>
    <t>HOLSTON MANOR</t>
  </si>
  <si>
    <t xml:space="preserve">3641 MEMORIAL BLVD </t>
  </si>
  <si>
    <t>KINGSPORT</t>
  </si>
  <si>
    <t>VANCREST HEALTH CARE CENTERS</t>
  </si>
  <si>
    <t>VANCREST OF URBANA</t>
  </si>
  <si>
    <t xml:space="preserve">2380 US HIGHWAY 68 SOUTH </t>
  </si>
  <si>
    <t>URBANA</t>
  </si>
  <si>
    <t>937-653-5291</t>
  </si>
  <si>
    <t>VANCREST OF EATON</t>
  </si>
  <si>
    <t xml:space="preserve">1600 PARK AVENUE </t>
  </si>
  <si>
    <t>EATON</t>
  </si>
  <si>
    <t>937-456-3010</t>
  </si>
  <si>
    <t>REST HAVEN NURSING HOME</t>
  </si>
  <si>
    <t xml:space="preserve">1096 NORTH OHIO STREET </t>
  </si>
  <si>
    <t>937-548-1138</t>
  </si>
  <si>
    <t>VANCREST-VAN WERT</t>
  </si>
  <si>
    <t xml:space="preserve">10357 VAN WERT DECATUR ROAD </t>
  </si>
  <si>
    <t>VAN WERT</t>
  </si>
  <si>
    <t>419-238-4646</t>
  </si>
  <si>
    <t>VANCREST OF ST MARYS</t>
  </si>
  <si>
    <t xml:space="preserve">1035 HAGER STREET </t>
  </si>
  <si>
    <t>ST MARYS</t>
  </si>
  <si>
    <t>419-394-3308</t>
  </si>
  <si>
    <t>VANCREST OF PAYNE</t>
  </si>
  <si>
    <t xml:space="preserve">650 NORTH MAIN STREET </t>
  </si>
  <si>
    <t>PAYNE</t>
  </si>
  <si>
    <t>419-263-0191</t>
  </si>
  <si>
    <t>VANCRESTOF HOLGATE</t>
  </si>
  <si>
    <t xml:space="preserve">600 JOE EAST BROWN AVENUE </t>
  </si>
  <si>
    <t>HOLGATE</t>
  </si>
  <si>
    <t>VANCREST OF DELPHOS</t>
  </si>
  <si>
    <t xml:space="preserve">1425 EAST FIFTH STREET </t>
  </si>
  <si>
    <t>DELPHOS</t>
  </si>
  <si>
    <t>419-695-2871</t>
  </si>
  <si>
    <t>VANCREST OF ADA</t>
  </si>
  <si>
    <t xml:space="preserve">600 WEST NORTH AVENUE </t>
  </si>
  <si>
    <t>ADA</t>
  </si>
  <si>
    <t>419-558-1379</t>
  </si>
  <si>
    <t>PS-VANCREST OF NEW CARLISLE</t>
  </si>
  <si>
    <t xml:space="preserve">1885 N DAYTON LAKEVIEW ROAD </t>
  </si>
  <si>
    <t>937-845-8219</t>
  </si>
  <si>
    <t xml:space="preserve">120 EST MAIN STREET SUITE 200 </t>
  </si>
  <si>
    <t>419-733-9150</t>
  </si>
  <si>
    <t>TRULIEVE</t>
  </si>
  <si>
    <t>TRULIEVE-DC TAMPA</t>
  </si>
  <si>
    <t xml:space="preserve">2614 EAST HENRY AVENUE </t>
  </si>
  <si>
    <t>TAMPA</t>
  </si>
  <si>
    <t>HPSI:CLOSED DOOR PHARMACY</t>
  </si>
  <si>
    <t>POMEROY LIVING</t>
  </si>
  <si>
    <t>ROSEMARK AT MAYFAIR PARK</t>
  </si>
  <si>
    <t xml:space="preserve">833 JERSEY STREET </t>
  </si>
  <si>
    <t>DENVER</t>
  </si>
  <si>
    <t>303-770-7673</t>
  </si>
  <si>
    <t>NAVION SENIOR SOLUTIONS</t>
  </si>
  <si>
    <t>THE LEGACY OF ORANGEBURG</t>
  </si>
  <si>
    <t xml:space="preserve">2306 RIVERBANK ROAD </t>
  </si>
  <si>
    <t>ORANGEBURG</t>
  </si>
  <si>
    <t>803-539-2911</t>
  </si>
  <si>
    <t>THE LEGACY OF NORTH MYRTLE BEACH</t>
  </si>
  <si>
    <t xml:space="preserve">491 HIGHWAY 17 </t>
  </si>
  <si>
    <t>NORTH MYRTLE BEACH</t>
  </si>
  <si>
    <t>843-399-5662</t>
  </si>
  <si>
    <t>MCARTHUR MANOR ASSISTED LIVING</t>
  </si>
  <si>
    <t xml:space="preserve">119 BRYAN AVENUE </t>
  </si>
  <si>
    <t>MANCHESTER</t>
  </si>
  <si>
    <t>931-954-0250</t>
  </si>
  <si>
    <t>THE LEGACY OF LEXINGTON</t>
  </si>
  <si>
    <t xml:space="preserve">218 OLD CHAPIN ROAD </t>
  </si>
  <si>
    <t>803-957-3600</t>
  </si>
  <si>
    <t>THE LEGACY OF HARTSVILLE</t>
  </si>
  <si>
    <t xml:space="preserve">1901 WEST CAROLINA AVENUE </t>
  </si>
  <si>
    <t>HARTSVILLE</t>
  </si>
  <si>
    <t>843-857-0159</t>
  </si>
  <si>
    <t>THE LEAGACY OF CAMDEN</t>
  </si>
  <si>
    <t xml:space="preserve">719 KERSHAW HIGHWAY </t>
  </si>
  <si>
    <t>CAMDEN</t>
  </si>
  <si>
    <t>803-713-8668</t>
  </si>
  <si>
    <t>MIDWEST RECOVERY AND DETOX CENTER LLC</t>
  </si>
  <si>
    <t>OHIO TREATMENT CENTER-CENTAL AVE</t>
  </si>
  <si>
    <t xml:space="preserve">6629 CENTRAL AVENUE </t>
  </si>
  <si>
    <t>TOLEDO</t>
  </si>
  <si>
    <t>833-654-1029</t>
  </si>
  <si>
    <t>LEGACIES NURSING AND REHAB</t>
  </si>
  <si>
    <t xml:space="preserve">355 FM 83W </t>
  </si>
  <si>
    <t>HEMPHILL</t>
  </si>
  <si>
    <t>409-787-5300</t>
  </si>
  <si>
    <t>AUTHENTIC HEALTH LLCI</t>
  </si>
  <si>
    <t xml:space="preserve">173-2A KEITH STREET </t>
  </si>
  <si>
    <t>WARRENTON</t>
  </si>
  <si>
    <t>540-270-9824</t>
  </si>
  <si>
    <t>YPSILANTI MEALS ON WHEELS</t>
  </si>
  <si>
    <t xml:space="preserve">1110 WEST CROSS STREET </t>
  </si>
  <si>
    <t>HPSI:DELIVERED MEAL SERVICES</t>
  </si>
  <si>
    <t>734-487-9669</t>
  </si>
  <si>
    <t>OUR SAVIOR LUTHERAN CHURCH</t>
  </si>
  <si>
    <t xml:space="preserve">6194 DUNFRIES ROAD </t>
  </si>
  <si>
    <t>HORIZONS AT CANADAIGUA</t>
  </si>
  <si>
    <t xml:space="preserve">3132 STATE ROUTE 21 </t>
  </si>
  <si>
    <t>CANANDAIGUA</t>
  </si>
  <si>
    <t>EMPIRE CARE CENTER</t>
  </si>
  <si>
    <t>CANTON CENTER FOR NURSING AND HEALING</t>
  </si>
  <si>
    <t xml:space="preserve">321 HOSPITAL ROAD </t>
  </si>
  <si>
    <t>CANTON</t>
  </si>
  <si>
    <t>ELEVATE CARE</t>
  </si>
  <si>
    <t>HIALEAH NURSING AND REHAB CENTER</t>
  </si>
  <si>
    <t xml:space="preserve">190 WEST 28TH STREET </t>
  </si>
  <si>
    <t>HIALEAH</t>
  </si>
  <si>
    <t>LAKE VIEW CARE CENTER</t>
  </si>
  <si>
    <t xml:space="preserve">5430 LINTON BLVD </t>
  </si>
  <si>
    <t>DELRAY BEACH</t>
  </si>
  <si>
    <t>DGA RESIDENTIAL LLC</t>
  </si>
  <si>
    <t>CROSLAND APARTMENTS</t>
  </si>
  <si>
    <t xml:space="preserve">630 ALDRICH STREET NE </t>
  </si>
  <si>
    <t>803-648-9939</t>
  </si>
  <si>
    <t>AZRIA HEALTH WICHITA</t>
  </si>
  <si>
    <t xml:space="preserve">7057 WEST VILLAGE CIRCLE </t>
  </si>
  <si>
    <t>WICHITA</t>
  </si>
  <si>
    <t>316-977-7015</t>
  </si>
  <si>
    <t>ACTS RETIREMENT COMMUNITIES</t>
  </si>
  <si>
    <t>BAYLEIGH CHASE</t>
  </si>
  <si>
    <t xml:space="preserve">501 DUTCHMANS LANE </t>
  </si>
  <si>
    <t>EASTON</t>
  </si>
  <si>
    <t>410-657-4900</t>
  </si>
  <si>
    <t>Red Roof Inn Plus Long Island</t>
  </si>
  <si>
    <t xml:space="preserve">699 Dibblee Drive </t>
  </si>
  <si>
    <t>Westbury</t>
  </si>
  <si>
    <t>Jason Spiegel</t>
  </si>
  <si>
    <t>+1 (516) 794-2555</t>
  </si>
  <si>
    <t>Radisson Hotel at the University of Toledo</t>
  </si>
  <si>
    <t xml:space="preserve">3100 Glendale Avenue </t>
  </si>
  <si>
    <t>Scott Schmelzer</t>
  </si>
  <si>
    <t>Cammy Pawlicki</t>
  </si>
  <si>
    <t>+1 (419) 381-6800</t>
  </si>
  <si>
    <t>Hampton Inn Kennebunk</t>
  </si>
  <si>
    <t xml:space="preserve">6 Independence Drive </t>
  </si>
  <si>
    <t>Kennebunk</t>
  </si>
  <si>
    <t>Debbie Mireault</t>
  </si>
  <si>
    <t>+1 (207) 985-9200</t>
  </si>
  <si>
    <t>Doubletree Fairfield Hotel &amp; Suites</t>
  </si>
  <si>
    <t xml:space="preserve">690 Route 46 East </t>
  </si>
  <si>
    <t>Fairfield</t>
  </si>
  <si>
    <t>edward reagoso</t>
  </si>
  <si>
    <t>Pete Valenzuela</t>
  </si>
  <si>
    <t>+1 (973) 227-9200</t>
  </si>
  <si>
    <t>Hospitality Ventures Management LLC (HVMG)</t>
  </si>
  <si>
    <t>Fairfield Inn &amp; Suites Orlando International Drive - Convention Center</t>
  </si>
  <si>
    <t xml:space="preserve">8214 Universal Blvd </t>
  </si>
  <si>
    <t>Jenna Nichols</t>
  </si>
  <si>
    <t>+ (407) 581-9001</t>
  </si>
  <si>
    <t>Hotel Indigo Sarasota</t>
  </si>
  <si>
    <t xml:space="preserve">1223 Boulevard Of The Arts </t>
  </si>
  <si>
    <t>Hotel Indigo</t>
  </si>
  <si>
    <t>Shannon May</t>
  </si>
  <si>
    <t>Angela Bolt</t>
  </si>
  <si>
    <t>+1 (941) 487-3800</t>
  </si>
  <si>
    <t>Woodbridge Hospitality LLC</t>
  </si>
  <si>
    <t>TownePlace Suites Potomac Mills Woodbridge</t>
  </si>
  <si>
    <t xml:space="preserve">14090 Shoppers Best Way </t>
  </si>
  <si>
    <t>Navnit Patel</t>
  </si>
  <si>
    <t>+1 (540) 836-3393</t>
  </si>
  <si>
    <t>Homewood Suites Atlanta Midtown</t>
  </si>
  <si>
    <t xml:space="preserve">97 10th Street NW </t>
  </si>
  <si>
    <t>Tawana Boyd-Hood</t>
  </si>
  <si>
    <t>Amber Davis</t>
  </si>
  <si>
    <t>+1(404)565-1303</t>
  </si>
  <si>
    <t>Hilton Garden Inn Atlanta Midtown</t>
  </si>
  <si>
    <t xml:space="preserve">Amber Davis </t>
  </si>
  <si>
    <t>+1 (404) 524-4006</t>
  </si>
  <si>
    <t>Noble Investment Group LLC</t>
  </si>
  <si>
    <t>Holiday Inn Express Savannah-Historic District</t>
  </si>
  <si>
    <t xml:space="preserve">199 East Bay Street </t>
  </si>
  <si>
    <t>Savannah</t>
  </si>
  <si>
    <t>Wendy McBride</t>
  </si>
  <si>
    <t>+1 (912) 231-9000</t>
  </si>
  <si>
    <t>Hampton Inn and Suites Reagan National Airport</t>
  </si>
  <si>
    <t xml:space="preserve">2000 Richmond Hwy </t>
  </si>
  <si>
    <t>Stacy Smith</t>
  </si>
  <si>
    <t>+1 (703) 418-8181</t>
  </si>
  <si>
    <t>Hilton Garden Inn Reagan National Airport</t>
  </si>
  <si>
    <t xml:space="preserve">2020 Richmond Hwy </t>
  </si>
  <si>
    <t>+1 (703) 892-1050</t>
  </si>
  <si>
    <t>TownePlace Suites Austin Parmer-Tech Ridge</t>
  </si>
  <si>
    <t xml:space="preserve">12427 Tech Ridge Boulevard </t>
  </si>
  <si>
    <t>Oscar Soriano</t>
  </si>
  <si>
    <t>Shawn Hill</t>
  </si>
  <si>
    <t>+1 (512) 339-4200</t>
  </si>
  <si>
    <t>Fairfield Inn &amp; Suites El Paso Airport</t>
  </si>
  <si>
    <t xml:space="preserve">6611 Edgemere Boulevard </t>
  </si>
  <si>
    <t>El Paso</t>
  </si>
  <si>
    <t>Kelsey Swanson</t>
  </si>
  <si>
    <t>Mike Buta</t>
  </si>
  <si>
    <t>+1 (915) 772-2202</t>
  </si>
  <si>
    <t>Courtyard Flagler Center</t>
  </si>
  <si>
    <t xml:space="preserve">14402 Old Saint Augustine Road </t>
  </si>
  <si>
    <t>Ann Butler</t>
  </si>
  <si>
    <t>Gary Sabbagh</t>
  </si>
  <si>
    <t>+1 (904) 260-2027</t>
  </si>
  <si>
    <t>Aloft Leawood-Overland Park</t>
  </si>
  <si>
    <t xml:space="preserve">11620 Ash Street </t>
  </si>
  <si>
    <t>Leawood</t>
  </si>
  <si>
    <t>Morvin Kamran</t>
  </si>
  <si>
    <t>Michael Rosen</t>
  </si>
  <si>
    <t>+()913-345-9430</t>
  </si>
  <si>
    <t>Aloft Atlanta Downtown</t>
  </si>
  <si>
    <t xml:space="preserve">300 Ted Turner Drive NW </t>
  </si>
  <si>
    <t>Phil Elton</t>
  </si>
  <si>
    <t>Matt Kinley</t>
  </si>
  <si>
    <t>+1 (678) 515-0300</t>
  </si>
  <si>
    <t>Opal Hospitality Inc</t>
  </si>
  <si>
    <t>Bloom Mississauga</t>
  </si>
  <si>
    <t xml:space="preserve">6950 Kennedy Road </t>
  </si>
  <si>
    <t>Mississauga</t>
  </si>
  <si>
    <t>L5T 2P3</t>
  </si>
  <si>
    <t>Tapestry Collection by Hilton</t>
  </si>
  <si>
    <t>Tom Linton</t>
  </si>
  <si>
    <t>+1 (905) 670-5555</t>
  </si>
  <si>
    <t>SpringHill Suites San Antonio Downtown - Riverwalk Area</t>
  </si>
  <si>
    <t xml:space="preserve">524 South St. Marys Street </t>
  </si>
  <si>
    <t>Enrique Hernandez</t>
  </si>
  <si>
    <t>Mike Rosen</t>
  </si>
  <si>
    <t>+ (210) 354-1333</t>
  </si>
  <si>
    <t>Residence Inn Austin</t>
  </si>
  <si>
    <t xml:space="preserve">3201 Caseybridge Court </t>
  </si>
  <si>
    <t>Kyle Clingingsmith</t>
  </si>
  <si>
    <t>Omar Alaryan</t>
  </si>
  <si>
    <t>+1 (512) 326-1100</t>
  </si>
  <si>
    <t>Hampton Inn Savannah-Historic District</t>
  </si>
  <si>
    <t xml:space="preserve">201 E Bay Street </t>
  </si>
  <si>
    <t>Inan Isik</t>
  </si>
  <si>
    <t>+1 (912) 231-9700</t>
  </si>
  <si>
    <t xml:space="preserve">Gridiron Condominium Association </t>
  </si>
  <si>
    <t xml:space="preserve">590 1st Avenue S </t>
  </si>
  <si>
    <t>Seattle</t>
  </si>
  <si>
    <t>Erin McKiernan</t>
  </si>
  <si>
    <t>+1 (206) 258-8315</t>
  </si>
  <si>
    <t>Nexus Condominium Association</t>
  </si>
  <si>
    <t xml:space="preserve">1808 Minor Avenue </t>
  </si>
  <si>
    <t>Bobby Sandhu</t>
  </si>
  <si>
    <t xml:space="preserve">The Joule </t>
  </si>
  <si>
    <t xml:space="preserve">1530 Main Street </t>
  </si>
  <si>
    <t>David Ryan</t>
  </si>
  <si>
    <t>+1 (214) 748-1300</t>
  </si>
  <si>
    <t>Chesapeake Hospitality</t>
  </si>
  <si>
    <t>Hilton Garden Inn Blue Ash</t>
  </si>
  <si>
    <t xml:space="preserve">5300 Cornell Road </t>
  </si>
  <si>
    <t>Hazelwood</t>
  </si>
  <si>
    <t>Vernon Burchett</t>
  </si>
  <si>
    <t>Melissa Golub</t>
  </si>
  <si>
    <t>+1 (513) 469-6900</t>
  </si>
  <si>
    <t>Encore Hospitality LLC</t>
  </si>
  <si>
    <t>Four Points by Sheraton Dallas Fort Worth Airport North</t>
  </si>
  <si>
    <t xml:space="preserve">1580 Point West Boulevard </t>
  </si>
  <si>
    <t>Coppell</t>
  </si>
  <si>
    <t>John Emmett</t>
  </si>
  <si>
    <t>+1 (469) 702-6311</t>
  </si>
  <si>
    <t>Moxy Washington DC Northwest</t>
  </si>
  <si>
    <t xml:space="preserve">1011 K Street NW </t>
  </si>
  <si>
    <t>Moxy Hotels</t>
  </si>
  <si>
    <t>Shaune Johnson</t>
  </si>
  <si>
    <t>+1(202)922-7400</t>
  </si>
  <si>
    <t>Stoweflake Mountain Resort &amp; Spa</t>
  </si>
  <si>
    <t xml:space="preserve">1746 Mountain Road </t>
  </si>
  <si>
    <t>Stowe</t>
  </si>
  <si>
    <t>Sheri Smith</t>
  </si>
  <si>
    <t>+1 (802) 253-7355</t>
  </si>
  <si>
    <t>Courtyard Washington DC Dupont Circle</t>
  </si>
  <si>
    <t xml:space="preserve">1733 N St NW </t>
  </si>
  <si>
    <t>+1 (202) 968-7300</t>
  </si>
  <si>
    <t>R3 Real Estate Developers LLC</t>
  </si>
  <si>
    <t>Bronco Motor Inn</t>
  </si>
  <si>
    <t xml:space="preserve">1011 S Atlantic Dr </t>
  </si>
  <si>
    <t>Compton</t>
  </si>
  <si>
    <t>Suyapa Ramirez</t>
  </si>
  <si>
    <t>+1 (310) 631-2348</t>
  </si>
  <si>
    <t>Lark Motel Compton</t>
  </si>
  <si>
    <t xml:space="preserve">1013 S Atlantic Dr </t>
  </si>
  <si>
    <t>Elias Aguilar</t>
  </si>
  <si>
    <t>+1 (310) 632-2221</t>
  </si>
  <si>
    <t>La Quinta Inn &amp; Suites Fort Lauderdale Cypress Creek</t>
  </si>
  <si>
    <t xml:space="preserve">999 W Cypress Creek </t>
  </si>
  <si>
    <t>Nicholas Martinez</t>
  </si>
  <si>
    <t>+1 (954) 491-7666</t>
  </si>
  <si>
    <t>Quality Inn Encinitas</t>
  </si>
  <si>
    <t xml:space="preserve">607 Leucadia Boulevard </t>
  </si>
  <si>
    <t>Encinitas</t>
  </si>
  <si>
    <t>Steven Wright</t>
  </si>
  <si>
    <t>+1 (760) 452-8867</t>
  </si>
  <si>
    <t>Crestline Hotels and Resorts LLC</t>
  </si>
  <si>
    <t>Inn at Virginia Tech</t>
  </si>
  <si>
    <t xml:space="preserve">901 Prices Fork Road </t>
  </si>
  <si>
    <t>Blacksburg</t>
  </si>
  <si>
    <t>Carol Simon</t>
  </si>
  <si>
    <t>+1 (540) 231-8000</t>
  </si>
  <si>
    <t>The Residences at The Ritz-Carlton Georgetown</t>
  </si>
  <si>
    <t xml:space="preserve">3150 South Street NW </t>
  </si>
  <si>
    <t>Tim McCarty</t>
  </si>
  <si>
    <t>+ () 2029124147</t>
  </si>
  <si>
    <t>Embassy Suites Tucson</t>
  </si>
  <si>
    <t xml:space="preserve">3110 East Skyline </t>
  </si>
  <si>
    <t>+1(520)352-4000</t>
  </si>
  <si>
    <t>OTO Development LLC</t>
  </si>
  <si>
    <t>Hyatt House Nashville at Vanderbilt</t>
  </si>
  <si>
    <t xml:space="preserve">2100 Hayes Street </t>
  </si>
  <si>
    <t>Nashville</t>
  </si>
  <si>
    <t>Hyatt house</t>
  </si>
  <si>
    <t>Brian Kent</t>
  </si>
  <si>
    <t>+1 (501) 944-2353</t>
  </si>
  <si>
    <t>Win Time @ First LLC</t>
  </si>
  <si>
    <t>Courtyard San Diego Miramar</t>
  </si>
  <si>
    <t xml:space="preserve">9335 Kearny Mesa Road </t>
  </si>
  <si>
    <t>San Diego</t>
  </si>
  <si>
    <t>Marijo Fabian</t>
  </si>
  <si>
    <t>+ (619) 695-2300</t>
  </si>
  <si>
    <t xml:space="preserve">Hampton Inn &amp; Suites Lake Mary at Colonial Townpark </t>
  </si>
  <si>
    <t xml:space="preserve">850 Village Oak Lane </t>
  </si>
  <si>
    <t>Lake Mary</t>
  </si>
  <si>
    <t>Mark Plebanski</t>
  </si>
  <si>
    <t>Robert Knauff</t>
  </si>
  <si>
    <t>+1 (407)995-9000</t>
  </si>
  <si>
    <t>THE HORST GROUP</t>
  </si>
  <si>
    <t>COLUMBIA COTTAGE LINGLESTOWN</t>
  </si>
  <si>
    <t xml:space="preserve">1000 ALEXANDRA LANE </t>
  </si>
  <si>
    <t>HARRISBURG</t>
  </si>
  <si>
    <t>717-547-9781</t>
  </si>
  <si>
    <t>COLUMBIA COTTAGE WYOMISSING</t>
  </si>
  <si>
    <t xml:space="preserve">3121 STATE HILL ROAD </t>
  </si>
  <si>
    <t>WYOMISSING</t>
  </si>
  <si>
    <t>610-927-0310</t>
  </si>
  <si>
    <t>COLUMBIA COTTAGE COLLEGEVILLE</t>
  </si>
  <si>
    <t xml:space="preserve">901 EAST MAIN STREET </t>
  </si>
  <si>
    <t>COLLEGEVILLE</t>
  </si>
  <si>
    <t>610-409-8910</t>
  </si>
  <si>
    <t>COLUMBIA COTTAGE HANOVER</t>
  </si>
  <si>
    <t xml:space="preserve">2288 GRANDVIEW ROAD </t>
  </si>
  <si>
    <t>HANOVER</t>
  </si>
  <si>
    <t>717-630-9178</t>
  </si>
  <si>
    <t>COLUMBIA COTTAGE HERSHEY</t>
  </si>
  <si>
    <t xml:space="preserve">103 NORTH LARKSPUR DRIVE </t>
  </si>
  <si>
    <t>HERSHEY</t>
  </si>
  <si>
    <t>717-832-2900</t>
  </si>
  <si>
    <t xml:space="preserve">320 GRANITE RUN DRIVE </t>
  </si>
  <si>
    <t>LANCASTER</t>
  </si>
  <si>
    <t>717-581-9800</t>
  </si>
  <si>
    <t>CUSA LLC</t>
  </si>
  <si>
    <t>SpringHill Suites Newnan</t>
  </si>
  <si>
    <t xml:space="preserve">1119 Bullsboro Drive </t>
  </si>
  <si>
    <t>Newnan</t>
  </si>
  <si>
    <t>Jennifer Searels</t>
  </si>
  <si>
    <t>+ (770) 254-8900</t>
  </si>
  <si>
    <t>Home2 Suites Tallahassee State Capitol</t>
  </si>
  <si>
    <t xml:space="preserve">210 South Magnolia </t>
  </si>
  <si>
    <t>Tony McClure</t>
  </si>
  <si>
    <t>Lawanda Manning</t>
  </si>
  <si>
    <t>+()850-402-8900</t>
  </si>
  <si>
    <t>Hotel Indigo Atlanta Airport College Park</t>
  </si>
  <si>
    <t xml:space="preserve">1776 Harvard Avenue </t>
  </si>
  <si>
    <t>College Park</t>
  </si>
  <si>
    <t>Chaz Payton</t>
  </si>
  <si>
    <t>+1 (404) 767-8881</t>
  </si>
  <si>
    <t>Home2 Suites Summerville</t>
  </si>
  <si>
    <t xml:space="preserve">221 Holiday Drive </t>
  </si>
  <si>
    <t>Summerville</t>
  </si>
  <si>
    <t>Robert Lee</t>
  </si>
  <si>
    <t>Trevor Walden</t>
  </si>
  <si>
    <t>+1 (843) 970-7182</t>
  </si>
  <si>
    <t>Home2 Suites Memphis Southhaven</t>
  </si>
  <si>
    <t xml:space="preserve">6750 Southcrest Parkway </t>
  </si>
  <si>
    <t>Southaven</t>
  </si>
  <si>
    <t>Denae Strong</t>
  </si>
  <si>
    <t>Eric Regits</t>
  </si>
  <si>
    <t>+1(662)349-8804</t>
  </si>
  <si>
    <t>Home2 Suites Lexington University Medical Center</t>
  </si>
  <si>
    <t xml:space="preserve">126 East Lowry Lane </t>
  </si>
  <si>
    <t>Lexington</t>
  </si>
  <si>
    <t>Ben Spurlock</t>
  </si>
  <si>
    <t>George Spilich</t>
  </si>
  <si>
    <t>+()859-313-5200</t>
  </si>
  <si>
    <t>JL Hospitality Management LLC</t>
  </si>
  <si>
    <t>Aloft Anchorage</t>
  </si>
  <si>
    <t xml:space="preserve">310 West 36th Avenue </t>
  </si>
  <si>
    <t>Anchorage</t>
  </si>
  <si>
    <t>AK</t>
  </si>
  <si>
    <t>Carissa Giliam</t>
  </si>
  <si>
    <t>+1 (907) 382-8124</t>
  </si>
  <si>
    <t>Spades Hotel Management LLC</t>
  </si>
  <si>
    <t>Staybridge Suites Austin Lake Travis</t>
  </si>
  <si>
    <t>7710 North FM 620 Building 14</t>
  </si>
  <si>
    <t>Andreea Rodman</t>
  </si>
  <si>
    <t>+1 (512) 550-4686</t>
  </si>
  <si>
    <t>Home2 Suites Round Rock</t>
  </si>
  <si>
    <t xml:space="preserve">1000 West Louis Henna Boulevard </t>
  </si>
  <si>
    <t>Round Rock</t>
  </si>
  <si>
    <t>MaryJane Limpin</t>
  </si>
  <si>
    <t>+()615-429-1772</t>
  </si>
  <si>
    <t>Hilton Garden Inn Solomons</t>
  </si>
  <si>
    <t xml:space="preserve">13100 Dowell Road </t>
  </si>
  <si>
    <t>Dowell</t>
  </si>
  <si>
    <t>Stephen Kelly</t>
  </si>
  <si>
    <t>Nick Katsikis</t>
  </si>
  <si>
    <t>+1 (410) 326-0303</t>
  </si>
  <si>
    <t>Courtyard Mexicali</t>
  </si>
  <si>
    <t xml:space="preserve">Calzada Cetys 2600 Rivera 21254 Mexicali B.C. Mexico </t>
  </si>
  <si>
    <t>Mexicali</t>
  </si>
  <si>
    <t>BCA</t>
  </si>
  <si>
    <t>Adolfo Carit</t>
  </si>
  <si>
    <t>+1()tbd</t>
  </si>
  <si>
    <t>PRIORITY MANAGEMENT</t>
  </si>
  <si>
    <t>CAMELOT OF BROUSSARD</t>
  </si>
  <si>
    <t xml:space="preserve">418 ALBERTSON PARKWAY </t>
  </si>
  <si>
    <t>BROUSSARD</t>
  </si>
  <si>
    <t>337-839-9005</t>
  </si>
  <si>
    <t>PARKWOOD IN THE PINES</t>
  </si>
  <si>
    <t xml:space="preserve">902 HILL STREET </t>
  </si>
  <si>
    <t>LUFKIN</t>
  </si>
  <si>
    <t>936-637-7215</t>
  </si>
  <si>
    <t>CAMELOT REHAB AT MAGONLIA PARK</t>
  </si>
  <si>
    <t xml:space="preserve">1511 DULLES DRIVE </t>
  </si>
  <si>
    <t>LAFAYETE</t>
  </si>
  <si>
    <t>337-216-0950</t>
  </si>
  <si>
    <t>IMPERIAL HEALTHCARE GROUP</t>
  </si>
  <si>
    <t>PS-EL JEN HEALTHCARE AND REHAB</t>
  </si>
  <si>
    <t xml:space="preserve">5538 W DUNCAN DRIVE </t>
  </si>
  <si>
    <t>702-645-2606</t>
  </si>
  <si>
    <t>GREENPOINT A6 HOLDINGS</t>
  </si>
  <si>
    <t xml:space="preserve">209 LOVERS LANE </t>
  </si>
  <si>
    <t>WAYNESBORO</t>
  </si>
  <si>
    <t>POLARIS REHAB AND CARE CENTER</t>
  </si>
  <si>
    <t xml:space="preserve">2700 E 12TH STREET </t>
  </si>
  <si>
    <t>CHEYENNE</t>
  </si>
  <si>
    <t>307-634-7986</t>
  </si>
  <si>
    <t>CASPER MOUNTAIN REHAB AND CARE CENTER</t>
  </si>
  <si>
    <t xml:space="preserve">4305 S POPLAR STREET </t>
  </si>
  <si>
    <t>CASPER</t>
  </si>
  <si>
    <t>307-237-2561</t>
  </si>
  <si>
    <t>BIG HORN REHAB AND CARE CENTER</t>
  </si>
  <si>
    <t xml:space="preserve">1851 BIG HORN AVENUE </t>
  </si>
  <si>
    <t>SHERIDAN</t>
  </si>
  <si>
    <t>307-674-4416</t>
  </si>
  <si>
    <t>SQUIRREL HILL WELLNESS AND REHAB CENTER</t>
  </si>
  <si>
    <t xml:space="preserve">2025 WIGHTMAN STREET </t>
  </si>
  <si>
    <t>PITTSBURG</t>
  </si>
  <si>
    <t>412-421-8443</t>
  </si>
  <si>
    <t>SPRING HILL REHAB AND NURSING CENTER</t>
  </si>
  <si>
    <t xml:space="preserve">2170 RHINE STREET </t>
  </si>
  <si>
    <t>412-323-0420</t>
  </si>
  <si>
    <t>OCEANSIDE REHAB AND NURSING CENTER</t>
  </si>
  <si>
    <t xml:space="preserve">44 SOUTH STREET </t>
  </si>
  <si>
    <t>ROCKPORT</t>
  </si>
  <si>
    <t>978-546-6311</t>
  </si>
  <si>
    <t>CHAMPION REHAB AND NURSING CENTER</t>
  </si>
  <si>
    <t xml:space="preserve">2 BAUMONT AVENUE </t>
  </si>
  <si>
    <t>BROCKTON</t>
  </si>
  <si>
    <t>508-588-8550</t>
  </si>
  <si>
    <t>CAMELOT BROOKSIDE</t>
  </si>
  <si>
    <t xml:space="preserve">3330 NORTH FRONTAGE ROAD </t>
  </si>
  <si>
    <t>JENNINGS</t>
  </si>
  <si>
    <t>337-824-2466</t>
  </si>
  <si>
    <t>PRIORITY HEALTH CARE GROUP</t>
  </si>
  <si>
    <t xml:space="preserve">99 WEST HAWTHORNE AVENUE </t>
  </si>
  <si>
    <t>VALLEY STREAM</t>
  </si>
  <si>
    <t>Presidian Destinations LTD.</t>
  </si>
  <si>
    <t>TownePlace Suites San Antonio Universal City - Live Oak</t>
  </si>
  <si>
    <t xml:space="preserve">15510 North I-35 </t>
  </si>
  <si>
    <t>Selma</t>
  </si>
  <si>
    <t>Sandra Gonzales</t>
  </si>
  <si>
    <t>+1 (210) 237-2556</t>
  </si>
  <si>
    <t>GREEN COURTE PARTNERS LLC</t>
  </si>
  <si>
    <t>THE PHOENIX AT DELRAY</t>
  </si>
  <si>
    <t xml:space="preserve">5624 LINTON BLVD </t>
  </si>
  <si>
    <t>561-630-1620</t>
  </si>
  <si>
    <t>Hyatt Place Houston North</t>
  </si>
  <si>
    <t xml:space="preserve">300 Ronan Park Place </t>
  </si>
  <si>
    <t>Graciela Gonzalez</t>
  </si>
  <si>
    <t>+1 (281) 820-6060</t>
  </si>
  <si>
    <t>INVERSIONES CASALDEPORTO S.A</t>
  </si>
  <si>
    <t>Tryp by Wyndham Panama Centro</t>
  </si>
  <si>
    <t xml:space="preserve">El Cangrejo Bellavi Via Veneto </t>
  </si>
  <si>
    <t>Panama City</t>
  </si>
  <si>
    <t>0834-01294</t>
  </si>
  <si>
    <t>Panama</t>
  </si>
  <si>
    <t>Jose Calvo</t>
  </si>
  <si>
    <t>Jonathan Quiros</t>
  </si>
  <si>
    <t>+()507 265-0505</t>
  </si>
  <si>
    <t>GAP Management LLC</t>
  </si>
  <si>
    <t>Candlewood Suites Lafayette</t>
  </si>
  <si>
    <t xml:space="preserve">2105 Kaliste Saloom Rd </t>
  </si>
  <si>
    <t>Lafayette</t>
  </si>
  <si>
    <t>Candlewood Suites</t>
  </si>
  <si>
    <t>Brandon Tilley</t>
  </si>
  <si>
    <t>Henil Patel</t>
  </si>
  <si>
    <t>+1 (918) 497-8978</t>
  </si>
  <si>
    <t>Newport Hospitality Group Inc.</t>
  </si>
  <si>
    <t>SpringHill Suites Beaufort</t>
  </si>
  <si>
    <t xml:space="preserve">2227 Boundary St </t>
  </si>
  <si>
    <t>Beaufort</t>
  </si>
  <si>
    <t>Peter Fowler</t>
  </si>
  <si>
    <t>+1 (843) 379-1124</t>
  </si>
  <si>
    <t>Hilton Garden Inn Pittsburgh Cranberry</t>
  </si>
  <si>
    <t xml:space="preserve">2000 Garden View Ln </t>
  </si>
  <si>
    <t>Cranberry Township</t>
  </si>
  <si>
    <t>Bill Landefeld</t>
  </si>
  <si>
    <t>Carl Jones</t>
  </si>
  <si>
    <t>+(724)779-9999</t>
  </si>
  <si>
    <t>Regents of the University of California (UCLA)</t>
  </si>
  <si>
    <t>UCLA Basketball</t>
  </si>
  <si>
    <t xml:space="preserve">440 Charles Young Dr West </t>
  </si>
  <si>
    <t>Village</t>
  </si>
  <si>
    <t>Education</t>
  </si>
  <si>
    <t>Daniela Hurtado</t>
  </si>
  <si>
    <t>+1 (310) 218-2202</t>
  </si>
  <si>
    <t>COALYARD CHARLIES</t>
  </si>
  <si>
    <t xml:space="preserve">100 DEPEYSTER STREET </t>
  </si>
  <si>
    <t>ROME</t>
  </si>
  <si>
    <t>315-336-9940</t>
  </si>
  <si>
    <t>Branson Villas Vacation</t>
  </si>
  <si>
    <t xml:space="preserve">1984 State Highway 165 </t>
  </si>
  <si>
    <t>Branson</t>
  </si>
  <si>
    <t>Susan Smith</t>
  </si>
  <si>
    <t>CR SENIOR LIVING MANAGEMENT LLC</t>
  </si>
  <si>
    <t>WOODLAND PLACE</t>
  </si>
  <si>
    <t xml:space="preserve">8550 JOHN B WHITE BLVD </t>
  </si>
  <si>
    <t>SPARTANBURG</t>
  </si>
  <si>
    <t>864-901-3731</t>
  </si>
  <si>
    <t>WOODBRIDGE CLINTON</t>
  </si>
  <si>
    <t xml:space="preserve">300 JACOBS HWY </t>
  </si>
  <si>
    <t>CLINTON</t>
  </si>
  <si>
    <t>864-833-3425</t>
  </si>
  <si>
    <t>THE RENAISSANCE</t>
  </si>
  <si>
    <t xml:space="preserve">5 FRANK PRESSLY DRIVE </t>
  </si>
  <si>
    <t>DUE WEST</t>
  </si>
  <si>
    <t>864-379-5651</t>
  </si>
  <si>
    <t>BERMUDA VILLAGE ROAD</t>
  </si>
  <si>
    <t xml:space="preserve">142 BERMUDA VILLAGE ROAD </t>
  </si>
  <si>
    <t>BERMUDA RUN</t>
  </si>
  <si>
    <t>336-879-1000</t>
  </si>
  <si>
    <t>GREENVILLE GLEN</t>
  </si>
  <si>
    <t xml:space="preserve">1101 GARLINGTON RD </t>
  </si>
  <si>
    <t>WOODBRIDGE SENIOR LIVING</t>
  </si>
  <si>
    <t xml:space="preserve">2902 E MAIN STREET </t>
  </si>
  <si>
    <t>864-579-0086</t>
  </si>
  <si>
    <t>RIVER PARK SENIOR LIVING</t>
  </si>
  <si>
    <t xml:space="preserve">190 RIVER PARK DRIVE </t>
  </si>
  <si>
    <t>LITTLE RIVER</t>
  </si>
  <si>
    <t>843-512-0699</t>
  </si>
  <si>
    <t>THE TERRACES AT LAKEWOOD</t>
  </si>
  <si>
    <t xml:space="preserve">3711 CLARK ROAD </t>
  </si>
  <si>
    <t>BOILING SPRINGS</t>
  </si>
  <si>
    <t>864-585-3080</t>
  </si>
  <si>
    <t>LAKEWOOD SENIOR LIVING</t>
  </si>
  <si>
    <t xml:space="preserve">3701 CLARK ROAD </t>
  </si>
  <si>
    <t>LAKESIDE SENIOR LIVING</t>
  </si>
  <si>
    <t xml:space="preserve">487 HWY 378 </t>
  </si>
  <si>
    <t>864-588-7777</t>
  </si>
  <si>
    <t>Linchris Hotel Corporation</t>
  </si>
  <si>
    <t>Anchor Inn</t>
  </si>
  <si>
    <t xml:space="preserve">1 South Street </t>
  </si>
  <si>
    <t>Hyannis</t>
  </si>
  <si>
    <t>Eva Beshay</t>
  </si>
  <si>
    <t>Nick Pancoast</t>
  </si>
  <si>
    <t>+1 (508) 775-0357</t>
  </si>
  <si>
    <t>Embassy Suites Atlanta-Kennesaw Town Center</t>
  </si>
  <si>
    <t xml:space="preserve">620 Chastain Road </t>
  </si>
  <si>
    <t>Beth Lanser</t>
  </si>
  <si>
    <t>Bobby Clark</t>
  </si>
  <si>
    <t>+ (770) 420-2505</t>
  </si>
  <si>
    <t>Quality Inn Pierre-Fort Pierre</t>
  </si>
  <si>
    <t xml:space="preserve">410 West Sioux Avenue </t>
  </si>
  <si>
    <t>Pierre</t>
  </si>
  <si>
    <t>SD</t>
  </si>
  <si>
    <t>Carol Ames</t>
  </si>
  <si>
    <t>+1 (605) 224-0377</t>
  </si>
  <si>
    <t>Holiday Inn Express Palestine</t>
  </si>
  <si>
    <t xml:space="preserve">1030 East Palestine Avenue </t>
  </si>
  <si>
    <t>Palestine</t>
  </si>
  <si>
    <t>Joni Mitchell</t>
  </si>
  <si>
    <t>+1 (903) 723-4884</t>
  </si>
  <si>
    <t>Crossroads Hotel Huron Event Center</t>
  </si>
  <si>
    <t xml:space="preserve">100 4th Street Southwest </t>
  </si>
  <si>
    <t>Huron</t>
  </si>
  <si>
    <t>Maria Gonzalez</t>
  </si>
  <si>
    <t>+1 (605) 352-3204</t>
  </si>
  <si>
    <t>Country Inn &amp; Suites by Radisson Pierre SD</t>
  </si>
  <si>
    <t xml:space="preserve">110 East Sioux Avenue </t>
  </si>
  <si>
    <t>Americinn by Wyndham Pampa Event Center</t>
  </si>
  <si>
    <t xml:space="preserve">1101 North Hobart Street </t>
  </si>
  <si>
    <t>Pampa</t>
  </si>
  <si>
    <t>AmericInn</t>
  </si>
  <si>
    <t>Girish Patel</t>
  </si>
  <si>
    <t>+1 (806) 665-4404</t>
  </si>
  <si>
    <t>Polise Golf Corp</t>
  </si>
  <si>
    <t>Paupack Hills Golf &amp; Country Club</t>
  </si>
  <si>
    <t xml:space="preserve">125 Country Club Rd </t>
  </si>
  <si>
    <t>Greentown</t>
  </si>
  <si>
    <t>Nicole Haliscak</t>
  </si>
  <si>
    <t>Vinny Polise</t>
  </si>
  <si>
    <t>+ (570) 857-0251</t>
  </si>
  <si>
    <t>Tru Euless DFW West (Dual Property)</t>
  </si>
  <si>
    <t xml:space="preserve">2570 State Highway 121 </t>
  </si>
  <si>
    <t>Euless</t>
  </si>
  <si>
    <t>Rafael Luque</t>
  </si>
  <si>
    <t>+1 (817) 684-8200</t>
  </si>
  <si>
    <t>Midwest Lodging Group</t>
  </si>
  <si>
    <t>Courtyard Cleveland Airport South</t>
  </si>
  <si>
    <t xml:space="preserve">7345 Engle Road </t>
  </si>
  <si>
    <t>Middleburg Heights</t>
  </si>
  <si>
    <t>Cathy Piechowski</t>
  </si>
  <si>
    <t>Stefanie Baumler</t>
  </si>
  <si>
    <t>(440) 243-8785</t>
  </si>
  <si>
    <t>Home2 Suites Euless DFW West (Dual Property)</t>
  </si>
  <si>
    <t>VOLANTE SENIOR LIVING</t>
  </si>
  <si>
    <t>THE GARDENS AT ARLINGTON HEIGHTS</t>
  </si>
  <si>
    <t xml:space="preserve">1625 SOUTH ARLINGTON HEIGHTS RD </t>
  </si>
  <si>
    <t>ARLINGTON HEIGHTS</t>
  </si>
  <si>
    <t>847-725-6700</t>
  </si>
  <si>
    <t xml:space="preserve">6 GRANT AVENUE </t>
  </si>
  <si>
    <t>IROQUOIS SPRINGS</t>
  </si>
  <si>
    <t xml:space="preserve">PO BOX 487 </t>
  </si>
  <si>
    <t>ROCK HILL</t>
  </si>
  <si>
    <t>845-434-6500</t>
  </si>
  <si>
    <t>EXPEDITIONS UNLIMITED</t>
  </si>
  <si>
    <t xml:space="preserve">E11844 COUNTY ROAD DL </t>
  </si>
  <si>
    <t>BARABOO</t>
  </si>
  <si>
    <t>608-356-4004</t>
  </si>
  <si>
    <t>ANDERSON INTERFAITH MINISTRIES</t>
  </si>
  <si>
    <t xml:space="preserve">1206 SOUTH MURRAY AVENUE </t>
  </si>
  <si>
    <t>ANDERSON</t>
  </si>
  <si>
    <t>864-226-2273</t>
  </si>
  <si>
    <t>SCHUYLKILL CENTER</t>
  </si>
  <si>
    <t xml:space="preserve">1000 SCHUYLKILL MANOR ROAD </t>
  </si>
  <si>
    <t>POTTSVILLE</t>
  </si>
  <si>
    <t>570-622-9666</t>
  </si>
  <si>
    <t>RIVERSTREET MANOR</t>
  </si>
  <si>
    <t xml:space="preserve">440 NORTH RIVER STREET </t>
  </si>
  <si>
    <t>WILKES BARRE</t>
  </si>
  <si>
    <t>570-825-5611</t>
  </si>
  <si>
    <t>HAMILTON ARMS CENTER</t>
  </si>
  <si>
    <t xml:space="preserve">336 SOUTH WEST END AVENUE </t>
  </si>
  <si>
    <t>717-393-0419</t>
  </si>
  <si>
    <t>ABINGTON MANOR</t>
  </si>
  <si>
    <t xml:space="preserve">100 EDELLA ROAD </t>
  </si>
  <si>
    <t>SOUTH ABINGTON TWP</t>
  </si>
  <si>
    <t>570-586-1002</t>
  </si>
  <si>
    <t>BRIAR CHREEK HEALTH CENTER</t>
  </si>
  <si>
    <t xml:space="preserve">6041 PIEDMONT ROAD DRIVE S </t>
  </si>
  <si>
    <t>980-443-6760</t>
  </si>
  <si>
    <t>SWIFT CREEK HEALTH CENTER</t>
  </si>
  <si>
    <t xml:space="preserve">215 BRIGHTMORE DRIVE </t>
  </si>
  <si>
    <t>CARY</t>
  </si>
  <si>
    <t>910-332-1795</t>
  </si>
  <si>
    <t>SHEM CREEK HEALTH CENTER</t>
  </si>
  <si>
    <t xml:space="preserve">1400 LIBERTY MIDTOWN DRIVE </t>
  </si>
  <si>
    <t>MOUNT PLEASANT</t>
  </si>
  <si>
    <t>843-936-2801</t>
  </si>
  <si>
    <t>INSPIRE ROYAL PARK</t>
  </si>
  <si>
    <t xml:space="preserve">2700 ROYAL COMMONS LANE </t>
  </si>
  <si>
    <t>MATTHEWS</t>
  </si>
  <si>
    <t>980-766-1590</t>
  </si>
  <si>
    <t>COMMONS AT BRIGHTMORE</t>
  </si>
  <si>
    <t xml:space="preserve">2320 S 41ST STREET </t>
  </si>
  <si>
    <t>WILMINGTON</t>
  </si>
  <si>
    <t>910-392-6899</t>
  </si>
  <si>
    <t>ST MARGARET SCHOOL</t>
  </si>
  <si>
    <t xml:space="preserve">205 NORTH HICKORY AVENUE </t>
  </si>
  <si>
    <t>BEL AIR</t>
  </si>
  <si>
    <t>410-879-1113</t>
  </si>
  <si>
    <t xml:space="preserve">2410 DUNAVANT STREET </t>
  </si>
  <si>
    <t>GREENFIELD REHAB AND HEALTHCARE</t>
  </si>
  <si>
    <t xml:space="preserve">359 HIGH STREET </t>
  </si>
  <si>
    <t>GREENFIELD</t>
  </si>
  <si>
    <t>WATERTOWN REHAB AND HEALTHCARE</t>
  </si>
  <si>
    <t xml:space="preserve">59 COOLIDGE PLACE </t>
  </si>
  <si>
    <t>WATERTOWN</t>
  </si>
  <si>
    <t>AEGIS AT GREENWOOD</t>
  </si>
  <si>
    <t xml:space="preserve">10022 HOLMAN ROAD </t>
  </si>
  <si>
    <t>425-861-9993</t>
  </si>
  <si>
    <t>National Hospitality Services LLC</t>
  </si>
  <si>
    <t>Sheraton Chicago Northbrook Hotel</t>
  </si>
  <si>
    <t xml:space="preserve">1110 Willow Road </t>
  </si>
  <si>
    <t>Northbrook</t>
  </si>
  <si>
    <t>Ousman Conteh</t>
  </si>
  <si>
    <t>Rigoberto Quintana</t>
  </si>
  <si>
    <t>+1(847) 480-1900</t>
  </si>
  <si>
    <t>Anthem Country Club Inc.</t>
  </si>
  <si>
    <t>Anthem Country Club</t>
  </si>
  <si>
    <t xml:space="preserve">1 Club Side Drive </t>
  </si>
  <si>
    <t>Henderson</t>
  </si>
  <si>
    <t>Shelley Caiazzo</t>
  </si>
  <si>
    <t>+ (702) 914-7888</t>
  </si>
  <si>
    <t>Athens University Housing</t>
  </si>
  <si>
    <t xml:space="preserve">166 North Finley Street </t>
  </si>
  <si>
    <t>Athens</t>
  </si>
  <si>
    <t>MFH: Student Housing</t>
  </si>
  <si>
    <t>Melinda Whittington</t>
  </si>
  <si>
    <t>+ (706) 369-7000</t>
  </si>
  <si>
    <t>Hampton Inn Livingston</t>
  </si>
  <si>
    <t xml:space="preserve">1510 US 59 </t>
  </si>
  <si>
    <t>Livingston</t>
  </si>
  <si>
    <t>Gerald Morris</t>
  </si>
  <si>
    <t>+1 (717) 329-4018</t>
  </si>
  <si>
    <t>Marcus Hotels Inc.</t>
  </si>
  <si>
    <t>Hotel Monaco</t>
  </si>
  <si>
    <t xml:space="preserve">620 William Penn Place </t>
  </si>
  <si>
    <t>Rob Mallinger</t>
  </si>
  <si>
    <t>+()412-471-1170</t>
  </si>
  <si>
    <t>Hilton Garden Inn Victoria</t>
  </si>
  <si>
    <t xml:space="preserve">123 Huvar Street </t>
  </si>
  <si>
    <t>Da Costa</t>
  </si>
  <si>
    <t>Veronica Luna</t>
  </si>
  <si>
    <t>+1 (361) 573-0303</t>
  </si>
  <si>
    <t>Hilton Garden Inn Lafayette</t>
  </si>
  <si>
    <t xml:space="preserve">2350 West Congress St. </t>
  </si>
  <si>
    <t>Blair Stancliff</t>
  </si>
  <si>
    <t>+1(337)291-1977</t>
  </si>
  <si>
    <t>PREMIER HEALTHCARE MANAGEMENT-NJ</t>
  </si>
  <si>
    <t>ROLLING MEADOWS NURSING AND REHAB</t>
  </si>
  <si>
    <t xml:space="preserve">107 CURRY ROAD </t>
  </si>
  <si>
    <t>WAYNESBURG</t>
  </si>
  <si>
    <t>724-627-3153</t>
  </si>
  <si>
    <t>BISHOPVILLE MANOR</t>
  </si>
  <si>
    <t xml:space="preserve">2779 HIGHWAY 15 NORTH </t>
  </si>
  <si>
    <t>BISHOPVILLE</t>
  </si>
  <si>
    <t>803-428-2222</t>
  </si>
  <si>
    <t>New Age Properties Group LLC</t>
  </si>
  <si>
    <t>Fairfield Inn &amp; Suites Washington</t>
  </si>
  <si>
    <t xml:space="preserve">2090 West 15th Street </t>
  </si>
  <si>
    <t>Stephanie Alligood</t>
  </si>
  <si>
    <t>+1 (252) 943-1749</t>
  </si>
  <si>
    <t>Hyatt House Tallahassee Capitol - University</t>
  </si>
  <si>
    <t xml:space="preserve">1100 Railroad Ave </t>
  </si>
  <si>
    <t>Carolanne Savage</t>
  </si>
  <si>
    <t>+1 (850) 222-0039</t>
  </si>
  <si>
    <t>Residence Inn Charlottesville Downtown</t>
  </si>
  <si>
    <t xml:space="preserve">315 West Main Street </t>
  </si>
  <si>
    <t>Charlottesville</t>
  </si>
  <si>
    <t>Regina Dodd</t>
  </si>
  <si>
    <t>Deborah Maros</t>
  </si>
  <si>
    <t>+1 (434)220-0075</t>
  </si>
  <si>
    <t>Hampton Inn &amp; Suites Tallahassee</t>
  </si>
  <si>
    <t xml:space="preserve">824 Railroad Ave </t>
  </si>
  <si>
    <t>Michael Davis</t>
  </si>
  <si>
    <t>+1 (850) 692-7150</t>
  </si>
  <si>
    <t>Branson Hot</t>
  </si>
  <si>
    <t>1984 State Hwy 165 Suite A</t>
  </si>
  <si>
    <t>Doug Phillips</t>
  </si>
  <si>
    <t>Northstar Lodge-Hyatt Residence Club</t>
  </si>
  <si>
    <t xml:space="preserve">970 Northstar Drive </t>
  </si>
  <si>
    <t>Truckee</t>
  </si>
  <si>
    <t>Hyatt Residence Club</t>
  </si>
  <si>
    <t>SKAALEN NURSING &amp; REHABILITATION CENTER INC</t>
  </si>
  <si>
    <t xml:space="preserve">400 N MORRIS ST </t>
  </si>
  <si>
    <t>STOUGHTON</t>
  </si>
  <si>
    <t>53589-1857</t>
  </si>
  <si>
    <t>(608) 873-5651</t>
  </si>
  <si>
    <t>VENNEVOL SKAALENDAL</t>
  </si>
  <si>
    <t>SKAALEN VILLAGE</t>
  </si>
  <si>
    <t>HERITAGE CENTER</t>
  </si>
  <si>
    <t>WASATCH SENIOR LIVING</t>
  </si>
  <si>
    <t>ELK MEADOWS</t>
  </si>
  <si>
    <t xml:space="preserve">4200 N 400 W </t>
  </si>
  <si>
    <t>OAKLEY</t>
  </si>
  <si>
    <t>435-783-5575</t>
  </si>
  <si>
    <t>Welk Resorts Mountain Villas Vacation</t>
  </si>
  <si>
    <t xml:space="preserve">8862 Lawrence Welk Drive </t>
  </si>
  <si>
    <t>Escondido</t>
  </si>
  <si>
    <t>Sean Coogan</t>
  </si>
  <si>
    <t>The Villas at the Welk Resort Vacation</t>
  </si>
  <si>
    <t xml:space="preserve">8861 Lawrence Welk Drive </t>
  </si>
  <si>
    <t xml:space="preserve">Lawrence Welk Resort Villas Vacation </t>
  </si>
  <si>
    <t xml:space="preserve">8860 Lawrence Welk Drive </t>
  </si>
  <si>
    <t>Inn at the Ground</t>
  </si>
  <si>
    <t xml:space="preserve">15990 NW Red Shot Lane </t>
  </si>
  <si>
    <t>Carlton</t>
  </si>
  <si>
    <t>Jessica Caviness</t>
  </si>
  <si>
    <t>+1 (818) 401-3755</t>
  </si>
  <si>
    <t>Humble Spirit</t>
  </si>
  <si>
    <t xml:space="preserve">411 3rd Street </t>
  </si>
  <si>
    <t>Mcminnville</t>
  </si>
  <si>
    <t>The English Hotel a Tribute Portfolio Hotel</t>
  </si>
  <si>
    <t xml:space="preserve">921 South Main Street </t>
  </si>
  <si>
    <t>Tribute Portfolio</t>
  </si>
  <si>
    <t>Steve Dennis</t>
  </si>
  <si>
    <t>SAVANNAH GRAND OF MINDEN-SEE #434136</t>
  </si>
  <si>
    <t xml:space="preserve">619 GERMANTOWN RD. </t>
  </si>
  <si>
    <t>MINDEN</t>
  </si>
  <si>
    <t>318-382-0402</t>
  </si>
  <si>
    <t>Cambria Suites Bloomington</t>
  </si>
  <si>
    <t xml:space="preserve">8001 28th Avenue South </t>
  </si>
  <si>
    <t>Bloomington</t>
  </si>
  <si>
    <t>Cambria Suites</t>
  </si>
  <si>
    <t>Marjorie Smith</t>
  </si>
  <si>
    <t>+1 (925) 867-9200</t>
  </si>
  <si>
    <t>Makeready LLC</t>
  </si>
  <si>
    <t>Hotel San Carlos</t>
  </si>
  <si>
    <t xml:space="preserve">202 North Central Avenue </t>
  </si>
  <si>
    <t>Angela Hentz</t>
  </si>
  <si>
    <t>+1 (602) 253-4121</t>
  </si>
  <si>
    <t>Holiday Inn Express Louisville</t>
  </si>
  <si>
    <t xml:space="preserve">3711 Chamberlain Lane </t>
  </si>
  <si>
    <t>Louisville</t>
  </si>
  <si>
    <t>Andrew Hill</t>
  </si>
  <si>
    <t>+1 (502) 814-0004</t>
  </si>
  <si>
    <t>Tully Hotels</t>
  </si>
  <si>
    <t>Fairfield Inn &amp; Suites San Bernardino</t>
  </si>
  <si>
    <t xml:space="preserve">1041 E. Harriman Place </t>
  </si>
  <si>
    <t>San Bernardino</t>
  </si>
  <si>
    <t>Swami Andrews</t>
  </si>
  <si>
    <t>Anthony Hinojosa</t>
  </si>
  <si>
    <t>+1 (909) 382-4560</t>
  </si>
  <si>
    <t>AVENTURA AT CARRIAGE INN</t>
  </si>
  <si>
    <t xml:space="preserve">5040 PHILADELPHIA DRIVE </t>
  </si>
  <si>
    <t>DAYTON</t>
  </si>
  <si>
    <t>937-278-0404</t>
  </si>
  <si>
    <t>AVENTURA AT SHILO SPRINGS</t>
  </si>
  <si>
    <t xml:space="preserve">3500 SHILOH SPRINGS ROAD </t>
  </si>
  <si>
    <t>TROTWOOD</t>
  </si>
  <si>
    <t>937-854-1180</t>
  </si>
  <si>
    <t>Hampton Inn &amp; Inn Suites Myrtle Beach Oceanfront</t>
  </si>
  <si>
    <t xml:space="preserve">1801 S. Ocean Blvd. </t>
  </si>
  <si>
    <t>General Manager</t>
  </si>
  <si>
    <t>+1 (843) 946-6400</t>
  </si>
  <si>
    <t>DoubleTree by Hilton Boston North Shore</t>
  </si>
  <si>
    <t xml:space="preserve">50 Ferncroft Road </t>
  </si>
  <si>
    <t>Danvers</t>
  </si>
  <si>
    <t>Stephanie Fischer</t>
  </si>
  <si>
    <t>+1 (978) 777-2500</t>
  </si>
  <si>
    <t>51 on Madison</t>
  </si>
  <si>
    <t xml:space="preserve">619 South Woodward Avenue </t>
  </si>
  <si>
    <t>+1 (850) 241-7153</t>
  </si>
  <si>
    <t>El Rancho Hotel</t>
  </si>
  <si>
    <t xml:space="preserve">1623 2nd Avenue West </t>
  </si>
  <si>
    <t>Bonetraill</t>
  </si>
  <si>
    <t>Amber Melland</t>
  </si>
  <si>
    <t>Scott West</t>
  </si>
  <si>
    <t>+1 (701) 572-6321</t>
  </si>
  <si>
    <t>Magnolia Hospitality Group LLC</t>
  </si>
  <si>
    <t>Quality Inn &amp; Suites Fort Worth Downtown Entertainment District</t>
  </si>
  <si>
    <t xml:space="preserve">2000 Beach Street </t>
  </si>
  <si>
    <t>Fort Worth</t>
  </si>
  <si>
    <t>Riad Alyatim</t>
  </si>
  <si>
    <t>Cheryl Cobb</t>
  </si>
  <si>
    <t>+1 (817) 531-1100</t>
  </si>
  <si>
    <t>The Inn at Hunters Run</t>
  </si>
  <si>
    <t xml:space="preserve">3617 6th Avenue NE </t>
  </si>
  <si>
    <t>Watford Cy</t>
  </si>
  <si>
    <t>Cristian Bermudes</t>
  </si>
  <si>
    <t>+1 (956) 363-1354</t>
  </si>
  <si>
    <t>Twins Hospitality Inc.</t>
  </si>
  <si>
    <t>Holiday Inn Express &amp; Suites Sacramento NE Cal Expo</t>
  </si>
  <si>
    <t xml:space="preserve">2224 Auburn Boulevard </t>
  </si>
  <si>
    <t>Sacramento</t>
  </si>
  <si>
    <t>Swas Chand</t>
  </si>
  <si>
    <t>+1 (916) 923-1100</t>
  </si>
  <si>
    <t>Hampton Inn &amp; Suites Sacramento – Cal Expo</t>
  </si>
  <si>
    <t xml:space="preserve">2230 Auburn Boulevard </t>
  </si>
  <si>
    <t>Reyna Velasco</t>
  </si>
  <si>
    <t>+1 (916) 927-2222</t>
  </si>
  <si>
    <t>SpringHill Suites Sacramento-West Sacramento</t>
  </si>
  <si>
    <t xml:space="preserve">3455 Reed Avenue </t>
  </si>
  <si>
    <t>West Sacramento</t>
  </si>
  <si>
    <t>Marilou Will</t>
  </si>
  <si>
    <t>+1(916) 873-8222</t>
  </si>
  <si>
    <t>Homewood Suites Cape Canaveral</t>
  </si>
  <si>
    <t xml:space="preserve">9000 Astronaut Blvd. </t>
  </si>
  <si>
    <t>Cape Canaveral</t>
  </si>
  <si>
    <t>Peaches Crawford</t>
  </si>
  <si>
    <t>+1(321)868-1841</t>
  </si>
  <si>
    <t>Home2 Suites Jacksonville</t>
  </si>
  <si>
    <t xml:space="preserve">139 Circuit Lane </t>
  </si>
  <si>
    <t>Tina Wilson</t>
  </si>
  <si>
    <t>+1(910)355-3500</t>
  </si>
  <si>
    <t>Home2 Suites Fayetteville</t>
  </si>
  <si>
    <t xml:space="preserve">4035 Sycamore Dairy Rd. </t>
  </si>
  <si>
    <t>Fayetteville</t>
  </si>
  <si>
    <t>Rachel Hart</t>
  </si>
  <si>
    <t>+1(910)223-1170</t>
  </si>
  <si>
    <t>Homewood Suites Huntsville</t>
  </si>
  <si>
    <t xml:space="preserve">15 Town Center Dr. </t>
  </si>
  <si>
    <t>Huntsville</t>
  </si>
  <si>
    <t>Tricia Gonterman</t>
  </si>
  <si>
    <t>+1 (256) 895-9511</t>
  </si>
  <si>
    <t>Home2 Suites North Charleston</t>
  </si>
  <si>
    <t xml:space="preserve">3401 West Montague Ave. </t>
  </si>
  <si>
    <t>N Charleston</t>
  </si>
  <si>
    <t>Linda Dawalt</t>
  </si>
  <si>
    <t>+1(843)744-4202</t>
  </si>
  <si>
    <t>Hilton Garden Inn Tallahassee Central</t>
  </si>
  <si>
    <t xml:space="preserve">1330 Blairstone Rd </t>
  </si>
  <si>
    <t>TALLAHASSEE</t>
  </si>
  <si>
    <t>Charles Monfee</t>
  </si>
  <si>
    <t>+1(850)893-8300</t>
  </si>
  <si>
    <t>Hilton Garden Inn Macon</t>
  </si>
  <si>
    <t xml:space="preserve">1220 Stadium Dr. </t>
  </si>
  <si>
    <t>Macon</t>
  </si>
  <si>
    <t>Jonathan Andre</t>
  </si>
  <si>
    <t>+1 (478) 741-5527</t>
  </si>
  <si>
    <t>Hampton Inn New Smyrna Beach</t>
  </si>
  <si>
    <t xml:space="preserve">214 Flagler Ave. </t>
  </si>
  <si>
    <t>New Smyrna beach</t>
  </si>
  <si>
    <t>+1(386)898-9444</t>
  </si>
  <si>
    <t>Hilton Garden Inn Dothan</t>
  </si>
  <si>
    <t xml:space="preserve">171 Hospitality Lane </t>
  </si>
  <si>
    <t>Kinsey</t>
  </si>
  <si>
    <t>Nathan Beattie</t>
  </si>
  <si>
    <t>+1(334)671-7676</t>
  </si>
  <si>
    <t>Hampton Inn &amp; Suites Gainesville Downtown</t>
  </si>
  <si>
    <t xml:space="preserve">101 Southeast 1st Avenue </t>
  </si>
  <si>
    <t>Brad McCreedy</t>
  </si>
  <si>
    <t>+1(352) 240-9300</t>
  </si>
  <si>
    <t>Hampton Inn &amp; Suites Panama City</t>
  </si>
  <si>
    <t xml:space="preserve">13505 Panama City Beach Pkwy </t>
  </si>
  <si>
    <t>Carrie White</t>
  </si>
  <si>
    <t>+(850) 230-9080</t>
  </si>
  <si>
    <t>Hampton Inn &amp; Suites Ft. Worth-Burleson</t>
  </si>
  <si>
    <t xml:space="preserve">13251 Jake Court </t>
  </si>
  <si>
    <t>Burleson</t>
  </si>
  <si>
    <t>Jana Ladd</t>
  </si>
  <si>
    <t>+1(817)295-2727</t>
  </si>
  <si>
    <t>Hampton Inn &amp; Suites Dunwoody</t>
  </si>
  <si>
    <t xml:space="preserve">4565 Dunwoody Road </t>
  </si>
  <si>
    <t>Atl</t>
  </si>
  <si>
    <t>Godfrey Karuri</t>
  </si>
  <si>
    <t>La Vonia Wynn</t>
  </si>
  <si>
    <t>+1(770)350-9995</t>
  </si>
  <si>
    <t>Hampton Inn &amp; Suites Dothan</t>
  </si>
  <si>
    <t xml:space="preserve">4684 Montgomery Highway </t>
  </si>
  <si>
    <t>Dothan</t>
  </si>
  <si>
    <t>Brad Kendrick</t>
  </si>
  <si>
    <t>+1 (334) 671-7672</t>
  </si>
  <si>
    <t>Home2 Suites Orlando Airport</t>
  </si>
  <si>
    <t xml:space="preserve">5445 Hazeltine National Drive </t>
  </si>
  <si>
    <t>Denise Bushover</t>
  </si>
  <si>
    <t>+1 (497) 852-0844</t>
  </si>
  <si>
    <t>Home2 Suites Houston Katy</t>
  </si>
  <si>
    <t xml:space="preserve">20985 Katy Freeway </t>
  </si>
  <si>
    <t>Matthew Ewing</t>
  </si>
  <si>
    <t>+1 (281) 398-3500</t>
  </si>
  <si>
    <t>Home2 Suites Fort Worth Cultural District</t>
  </si>
  <si>
    <t xml:space="preserve">1145 University Drive </t>
  </si>
  <si>
    <t>Matt Stanford</t>
  </si>
  <si>
    <t>+1 (682) 707-9475</t>
  </si>
  <si>
    <t xml:space="preserve">13475 Ranch Road </t>
  </si>
  <si>
    <t>Alyshia Graziano</t>
  </si>
  <si>
    <t>+1 (904) 518-5899</t>
  </si>
  <si>
    <t>Hampton Inn &amp; Suites Carolina Beach Oceanfront</t>
  </si>
  <si>
    <t xml:space="preserve">1 Harper Avenue </t>
  </si>
  <si>
    <t>Carolina Beach</t>
  </si>
  <si>
    <t>Melanie Rico</t>
  </si>
  <si>
    <t>+1 (910) 707-1770</t>
  </si>
  <si>
    <t>Hampton Inn &amp; Suites Saraland Mobile</t>
  </si>
  <si>
    <t xml:space="preserve">80 Shell Street </t>
  </si>
  <si>
    <t>Saraland</t>
  </si>
  <si>
    <t>Brandi Smith</t>
  </si>
  <si>
    <t>+1 (251) 266-7755</t>
  </si>
  <si>
    <t>Home2 Suites Huntsville</t>
  </si>
  <si>
    <t xml:space="preserve">7010 Cabela Dr. </t>
  </si>
  <si>
    <t>Neal Obert</t>
  </si>
  <si>
    <t>+1(256)971-1667</t>
  </si>
  <si>
    <t>Hampton Inn &amp; Suites Hunstville</t>
  </si>
  <si>
    <t xml:space="preserve">7010 Cabela Drive </t>
  </si>
  <si>
    <t>+1(256)971-1850</t>
  </si>
  <si>
    <t>Highgate Hotels</t>
  </si>
  <si>
    <t>Home2 Suites Longmont</t>
  </si>
  <si>
    <t xml:space="preserve">710 South Sherman Street </t>
  </si>
  <si>
    <t>Longmont</t>
  </si>
  <si>
    <t>Jeff Bollerman</t>
  </si>
  <si>
    <t>+(303)485-1030</t>
  </si>
  <si>
    <t>Aloft Miami Aventura</t>
  </si>
  <si>
    <t xml:space="preserve">2910 Northeast 207th Street </t>
  </si>
  <si>
    <t>Aventura</t>
  </si>
  <si>
    <t>Tracy Regis</t>
  </si>
  <si>
    <t xml:space="preserve">Margaux Bouquet </t>
  </si>
  <si>
    <t>+1 (786) 590-5150</t>
  </si>
  <si>
    <t>AC Hotel Miami Aventura</t>
  </si>
  <si>
    <t xml:space="preserve">20805 Biscayne Boulevard </t>
  </si>
  <si>
    <t>Margaux Bouquet</t>
  </si>
  <si>
    <t>+()786-590-5100</t>
  </si>
  <si>
    <t xml:space="preserve">7047 EAST GREENWAY PKWY STE 300 </t>
  </si>
  <si>
    <t>SCOTTSDALE</t>
  </si>
  <si>
    <t>ONE VISION</t>
  </si>
  <si>
    <t>GLEN OAKS COMMUNITY-TIMBERCREST APTS</t>
  </si>
  <si>
    <t xml:space="preserve">200 GLEN OAKS DRIVE </t>
  </si>
  <si>
    <t>CLEAR LAKE</t>
  </si>
  <si>
    <t>641-355-1203</t>
  </si>
  <si>
    <t>AVENTURA BAY PLACE LLC</t>
  </si>
  <si>
    <t xml:space="preserve">10401 ROOSEVELT BLVD N </t>
  </si>
  <si>
    <t>ST PETERSBURG</t>
  </si>
  <si>
    <t>727-563-9733</t>
  </si>
  <si>
    <t>KNOX AREA RESCUE RESCUE MINISTRIES</t>
  </si>
  <si>
    <t xml:space="preserve">418 NORTH BROADWAY </t>
  </si>
  <si>
    <t>KNOXVILLE</t>
  </si>
  <si>
    <t>865-673-6540</t>
  </si>
  <si>
    <t>AVENTURA AT WEST PARK LLC</t>
  </si>
  <si>
    <t xml:space="preserve">2950 WEST PARK DRIVE </t>
  </si>
  <si>
    <t>CINCINNATI</t>
  </si>
  <si>
    <t>513-451-8900</t>
  </si>
  <si>
    <t>AVENTURA NURSING AND REHAB CENTER LLC</t>
  </si>
  <si>
    <t xml:space="preserve">906 SCIOTO STREET </t>
  </si>
  <si>
    <t>937-653-5432</t>
  </si>
  <si>
    <t>AVENTURA AT THE HEIGHTS LLC</t>
  </si>
  <si>
    <t xml:space="preserve">7218 PARK AVENUE </t>
  </si>
  <si>
    <t>PIKESVILLE</t>
  </si>
  <si>
    <t>THE OPAL AT NORTH NAPLES</t>
  </si>
  <si>
    <t xml:space="preserve">1155 ENCORE WAY </t>
  </si>
  <si>
    <t>NAPLES</t>
  </si>
  <si>
    <t>FELICIAN SISTERS OF NORTH AMERICA</t>
  </si>
  <si>
    <t xml:space="preserve">36800 SCHOOLCRAFT ROAD </t>
  </si>
  <si>
    <t>LIVONIA</t>
  </si>
  <si>
    <t>734-591-1730</t>
  </si>
  <si>
    <t>SCHOOL OF HOSPITALITY AT METROPOLITAN STATE UNIV OF DENVER</t>
  </si>
  <si>
    <t xml:space="preserve">1190 AURARIA PARKWAY STE B </t>
  </si>
  <si>
    <t>303-605-5922</t>
  </si>
  <si>
    <t>LEAN FEAST-GLENDORA</t>
  </si>
  <si>
    <t xml:space="preserve">1331 SOUTH LONE HILL AVENUE </t>
  </si>
  <si>
    <t>GLENDORA</t>
  </si>
  <si>
    <t>909-224-2188</t>
  </si>
  <si>
    <t>HARMONY OF GREENSBORO</t>
  </si>
  <si>
    <t xml:space="preserve">3420 WHITEHORSE ROAD </t>
  </si>
  <si>
    <t>GREENSBORO</t>
  </si>
  <si>
    <t>336-355-3307</t>
  </si>
  <si>
    <t>HARMONY OF GREENSBORO-FOOD</t>
  </si>
  <si>
    <t>ESSENTIAL HEALTHCARE</t>
  </si>
  <si>
    <t>SOUTHPORT CENTER FOR NURSING AND REHAB</t>
  </si>
  <si>
    <t xml:space="preserve">930 MILL HILL TERRACE </t>
  </si>
  <si>
    <t>SOUTHPORT</t>
  </si>
  <si>
    <t>203-259-7894</t>
  </si>
  <si>
    <t>WEST HAVEN CENTER FOR NURSING AND REHAB</t>
  </si>
  <si>
    <t xml:space="preserve">310 TERRACE AVENUE </t>
  </si>
  <si>
    <t>WEST HAVEN</t>
  </si>
  <si>
    <t>201-654-2100</t>
  </si>
  <si>
    <t>WATERBURY CENTER FOR NURSING AND REHAB</t>
  </si>
  <si>
    <t xml:space="preserve">177 WHITEWOOD ROAD </t>
  </si>
  <si>
    <t>WATERBURY</t>
  </si>
  <si>
    <t>201-707-5800</t>
  </si>
  <si>
    <t>TORRINGTON CENTER FOR NURSING AND REHAB</t>
  </si>
  <si>
    <t xml:space="preserve">80 FERN DRIVE </t>
  </si>
  <si>
    <t>TORRINGTON</t>
  </si>
  <si>
    <t>860-294-7300</t>
  </si>
  <si>
    <t>NEW HAVEN CENTER FOR NURSING AND REHAB</t>
  </si>
  <si>
    <t xml:space="preserve">181 CLIFTON STREET </t>
  </si>
  <si>
    <t>NEW HAVEN</t>
  </si>
  <si>
    <t>201-907-3550</t>
  </si>
  <si>
    <t xml:space="preserve">169 DAVENPORT AVENUE </t>
  </si>
  <si>
    <t>COVENANT HEALTHCARE</t>
  </si>
  <si>
    <t>COVENANT MICHIGAN</t>
  </si>
  <si>
    <t xml:space="preserve">515 NORTH MICHIGAN AVENUE </t>
  </si>
  <si>
    <t>HPSI:ACUTE HOSPITAL</t>
  </si>
  <si>
    <t>989-583-7000</t>
  </si>
  <si>
    <t>COVENANT MARY FREE BED</t>
  </si>
  <si>
    <t xml:space="preserve">1100 COOPER AVENUE </t>
  </si>
  <si>
    <t>COVENANT COOPER</t>
  </si>
  <si>
    <t xml:space="preserve">700 COOPER AVENUE </t>
  </si>
  <si>
    <t>989-583-0000</t>
  </si>
  <si>
    <t>CORNERSTONE OF STRATFORD</t>
  </si>
  <si>
    <t xml:space="preserve">213721 LEGION STREET </t>
  </si>
  <si>
    <t>STRATFORD</t>
  </si>
  <si>
    <t>715-687-4786</t>
  </si>
  <si>
    <t>CORNERSTONE OF SPOONER</t>
  </si>
  <si>
    <t xml:space="preserve">W7184 GREEN VALLEY ROAD </t>
  </si>
  <si>
    <t>SPOONER</t>
  </si>
  <si>
    <t>715-635-9211</t>
  </si>
  <si>
    <t>CORNERSTONE OF SPOONER #2</t>
  </si>
  <si>
    <t xml:space="preserve">N4810 HILL DRIVE </t>
  </si>
  <si>
    <t>715-635-3908</t>
  </si>
  <si>
    <t>CORNERSTONE OF RICE LAKE</t>
  </si>
  <si>
    <t xml:space="preserve">1639 KERN AVENUE </t>
  </si>
  <si>
    <t>RICE LAKE</t>
  </si>
  <si>
    <t>715-719-0415</t>
  </si>
  <si>
    <t>CORNERSTONE OF RICE LAKE #2</t>
  </si>
  <si>
    <t xml:space="preserve">1631 KERN AVENUE </t>
  </si>
  <si>
    <t>715-234-2012</t>
  </si>
  <si>
    <t>CORNERSTONE OF MENOMONIE</t>
  </si>
  <si>
    <t xml:space="preserve">1902 TALEN STREET </t>
  </si>
  <si>
    <t>MENOMONIE</t>
  </si>
  <si>
    <t>715-235-6333</t>
  </si>
  <si>
    <t>CORNERSTONE OF MEDFORD</t>
  </si>
  <si>
    <t xml:space="preserve">955 EAST ALLMAN STREET </t>
  </si>
  <si>
    <t>MEDFORD</t>
  </si>
  <si>
    <t>715-748-2114</t>
  </si>
  <si>
    <t>CORNERSTONE OF LADYSMITH</t>
  </si>
  <si>
    <t xml:space="preserve">1105 BAKER AVENUE </t>
  </si>
  <si>
    <t>LADYSMITH</t>
  </si>
  <si>
    <t>715-532-0818</t>
  </si>
  <si>
    <t>CORNERSTONE OF LADYSMITH #2</t>
  </si>
  <si>
    <t xml:space="preserve">910 SHADY LANE </t>
  </si>
  <si>
    <t>715-532-6993</t>
  </si>
  <si>
    <t>CORNERSTONE OF HAYWARD</t>
  </si>
  <si>
    <t xml:space="preserve">15497 PINEWOOD DRIVE </t>
  </si>
  <si>
    <t>HAYWARD</t>
  </si>
  <si>
    <t>715-634-5767</t>
  </si>
  <si>
    <t>CORNESTONE OF HAYWARD #2</t>
  </si>
  <si>
    <t xml:space="preserve">10260 WHITE BIRCH LANE </t>
  </si>
  <si>
    <t>715-634-1447</t>
  </si>
  <si>
    <t>CORNERSTONE OF BLOOMER</t>
  </si>
  <si>
    <t xml:space="preserve">406 PRIDDY STREET </t>
  </si>
  <si>
    <t>BLOOMER</t>
  </si>
  <si>
    <t>715-568-4009</t>
  </si>
  <si>
    <t>CORNERSTONE OF BLOOMER #2</t>
  </si>
  <si>
    <t xml:space="preserve">406 B PRIDDY STREET </t>
  </si>
  <si>
    <t>CORNERSTONE OF ABBOTSFORD</t>
  </si>
  <si>
    <t xml:space="preserve">100 SOUTH 4TH AVENUE </t>
  </si>
  <si>
    <t>ABBOTSFORD</t>
  </si>
  <si>
    <t>715-223-2182</t>
  </si>
  <si>
    <t>CORNERSTONE OF MENOMONIE #2</t>
  </si>
  <si>
    <t xml:space="preserve">1916 TALEN STREET </t>
  </si>
  <si>
    <t>715-235-5112</t>
  </si>
  <si>
    <t>TOLEDO HEALTHCARE AND REHAB</t>
  </si>
  <si>
    <t xml:space="preserve">6101 NORTH SUMMIT STREET </t>
  </si>
  <si>
    <t>419-727-7870</t>
  </si>
  <si>
    <t>PERRYSBURG HEALTHCARE AND REHAB CENTER</t>
  </si>
  <si>
    <t xml:space="preserve">28546 STARBRIGHT BLVD </t>
  </si>
  <si>
    <t>PERRYSBURG</t>
  </si>
  <si>
    <t>419-666-0935</t>
  </si>
  <si>
    <t>DEFIANCE HEALTHCARE AND REHAB CENTER</t>
  </si>
  <si>
    <t xml:space="preserve">395 HARDING STREET </t>
  </si>
  <si>
    <t>DEFIANCE</t>
  </si>
  <si>
    <t>419-784-7450</t>
  </si>
  <si>
    <t>BRYAN HEALTHCARE AND REHAB CENTER</t>
  </si>
  <si>
    <t xml:space="preserve">1104 WESLEY AVENUE </t>
  </si>
  <si>
    <t>BRYAN</t>
  </si>
  <si>
    <t>419-636-5071</t>
  </si>
  <si>
    <t>330-223-8200</t>
  </si>
  <si>
    <t>The Oldham Goodwin Group LLC</t>
  </si>
  <si>
    <t>SpringHill Suites Lindale</t>
  </si>
  <si>
    <t xml:space="preserve">505 North Main Street </t>
  </si>
  <si>
    <t>Lindale</t>
  </si>
  <si>
    <t>Ryan Felber</t>
  </si>
  <si>
    <t>+1 (817) 688-5897</t>
  </si>
  <si>
    <t>Home2 Suites Cape Canaveral Cruise Port</t>
  </si>
  <si>
    <t xml:space="preserve">9004 Astronaut Boulevard </t>
  </si>
  <si>
    <t>Toni Stagni</t>
  </si>
  <si>
    <t>+1 (321) 784-0025</t>
  </si>
  <si>
    <t>Escape Lodging Company</t>
  </si>
  <si>
    <t>TownePlace Suites Portland Beaverton</t>
  </si>
  <si>
    <t xml:space="preserve">3900 SW 114th Street </t>
  </si>
  <si>
    <t>Beaverton</t>
  </si>
  <si>
    <t>Kariss Olague</t>
  </si>
  <si>
    <t>+1(503)605-9368</t>
  </si>
  <si>
    <t>Fairfield Inn &amp; Suites The Dalles</t>
  </si>
  <si>
    <t xml:space="preserve">2014 W. 7TH STREET </t>
  </si>
  <si>
    <t>The Dalles</t>
  </si>
  <si>
    <t>Sara Heam</t>
  </si>
  <si>
    <t>+1 (541) 769-0753</t>
  </si>
  <si>
    <t>EMA Hospitality LLC</t>
  </si>
  <si>
    <t>Comfort Inn Festus St. Louis South</t>
  </si>
  <si>
    <t xml:space="preserve">1303 Veterans Blvd </t>
  </si>
  <si>
    <t>Festus</t>
  </si>
  <si>
    <t>Rushi Patel</t>
  </si>
  <si>
    <t>+1 (636) 937-2888</t>
  </si>
  <si>
    <t>Red Roof Inn Chicago O'Hare Airport/Arlington Heights</t>
  </si>
  <si>
    <t xml:space="preserve">22 W Algonquin Rd </t>
  </si>
  <si>
    <t>Arlington Heights</t>
  </si>
  <si>
    <t>Karina Gomez</t>
  </si>
  <si>
    <t>+1 (847) 296-9500</t>
  </si>
  <si>
    <t>Red Roof Inn PLUS Chicago - Willowbook</t>
  </si>
  <si>
    <t xml:space="preserve">7535 Kingery Highway </t>
  </si>
  <si>
    <t>Willowbrook</t>
  </si>
  <si>
    <t>Chrystal Gutrick</t>
  </si>
  <si>
    <t>+1 (630) 323-8811</t>
  </si>
  <si>
    <t>La Quinta Milwaukee Airport / Oak Creek</t>
  </si>
  <si>
    <t xml:space="preserve">7141 S 13th St </t>
  </si>
  <si>
    <t>Oak Creek</t>
  </si>
  <si>
    <t>Alicia Branaman</t>
  </si>
  <si>
    <t>+1 (414) 762-2266</t>
  </si>
  <si>
    <t>La Quinta Willowbrook</t>
  </si>
  <si>
    <t xml:space="preserve">855 79th Street </t>
  </si>
  <si>
    <t>Tasha Clark</t>
  </si>
  <si>
    <t>+1 (630) 654-0077</t>
  </si>
  <si>
    <t>Baymont by Wyndham Springfield</t>
  </si>
  <si>
    <t xml:space="preserve">5871 S 6th St Frontage Rd E </t>
  </si>
  <si>
    <t>Springfield</t>
  </si>
  <si>
    <t>Indya Thornton</t>
  </si>
  <si>
    <t>+1 (217) 529-6655</t>
  </si>
  <si>
    <t>UBQTY S.A. de C.V</t>
  </si>
  <si>
    <t>Cheesee Burgers</t>
  </si>
  <si>
    <t xml:space="preserve">Av. Universidad 570-B Col.Del Valle </t>
  </si>
  <si>
    <t>DF</t>
  </si>
  <si>
    <t>Hilel Bistre Shrem</t>
  </si>
  <si>
    <t>+52 (55) 21551987</t>
  </si>
  <si>
    <t>Hampton Inn &amp; Suites Cape Canaveral Cruise Port</t>
  </si>
  <si>
    <t>+1 (321) 784-0021</t>
  </si>
  <si>
    <t>Hampton Inn &amp; Suites Atlanta Airport West</t>
  </si>
  <si>
    <t xml:space="preserve">3450 Creek Pointe Way </t>
  </si>
  <si>
    <t>Gabrilla Jones</t>
  </si>
  <si>
    <t>+1 (404) 344-4474</t>
  </si>
  <si>
    <t>CoralTree Hospitality</t>
  </si>
  <si>
    <t>Magnolia Hotel Omaha</t>
  </si>
  <si>
    <t xml:space="preserve">1615 Howard Street </t>
  </si>
  <si>
    <t>Magnolia Hotels</t>
  </si>
  <si>
    <t>Tim Darby</t>
  </si>
  <si>
    <t>+1 (303) 607-0127</t>
  </si>
  <si>
    <t>Magnolia Hotel St. Louis A Tribute Portfolio Hotel</t>
  </si>
  <si>
    <t xml:space="preserve">421 North 8th Street </t>
  </si>
  <si>
    <t>Saint Louis</t>
  </si>
  <si>
    <t xml:space="preserve">Matt Korsos </t>
  </si>
  <si>
    <t>Paige Kuyendall</t>
  </si>
  <si>
    <t>+1 (314) 436-9000</t>
  </si>
  <si>
    <t>Magnolia Hotel Houston A Tribute Portfolio Hotel</t>
  </si>
  <si>
    <t xml:space="preserve">1100 Texas Avenue </t>
  </si>
  <si>
    <t>Edward Timmons</t>
  </si>
  <si>
    <t>Justin Sides</t>
  </si>
  <si>
    <t>Magnolia Hotel Denver A Tribute Portfolio Hotel</t>
  </si>
  <si>
    <t xml:space="preserve">818 17th Street </t>
  </si>
  <si>
    <t>Jason Horonzy</t>
  </si>
  <si>
    <t>Ashley McElvenny</t>
  </si>
  <si>
    <t>+1 (303) 607-9000</t>
  </si>
  <si>
    <t>Doubletree Atlanta Alpharetta</t>
  </si>
  <si>
    <t xml:space="preserve">2925 Jordan Court </t>
  </si>
  <si>
    <t>Carlton Hollis</t>
  </si>
  <si>
    <t>+1 (678) 347-0022</t>
  </si>
  <si>
    <t>Savory Deli LLC</t>
  </si>
  <si>
    <t>Savory</t>
  </si>
  <si>
    <t xml:space="preserve">15 West 39th Street </t>
  </si>
  <si>
    <t>Manhattan</t>
  </si>
  <si>
    <t>Contract Services - Business &amp; Industry</t>
  </si>
  <si>
    <t>Robert Dubilier</t>
  </si>
  <si>
    <t>Stephen Cardello</t>
  </si>
  <si>
    <t>+()212 757 6100</t>
  </si>
  <si>
    <t>Residence Inn Cleveland-Beachwood</t>
  </si>
  <si>
    <t xml:space="preserve">3628 Park East Drive </t>
  </si>
  <si>
    <t>Beachwood</t>
  </si>
  <si>
    <t>+ (216) 831-3030</t>
  </si>
  <si>
    <t>Hyatt Place Boulder Pearl Street</t>
  </si>
  <si>
    <t xml:space="preserve">2280 Junction Place </t>
  </si>
  <si>
    <t>Boulder</t>
  </si>
  <si>
    <t>Amy Hampton</t>
  </si>
  <si>
    <t>+1 (303) 442 0160</t>
  </si>
  <si>
    <t>Kingslane Group LLC</t>
  </si>
  <si>
    <t>Holiday Inn Boone - University Area</t>
  </si>
  <si>
    <t xml:space="preserve">1075 Hwy 105 </t>
  </si>
  <si>
    <t>Boone</t>
  </si>
  <si>
    <t>Ben Mckethan</t>
  </si>
  <si>
    <t>+1 (828) 264-0077</t>
  </si>
  <si>
    <t>La Quinta Inn &amp; Suites by Wyndham Miami Cutler Bay</t>
  </si>
  <si>
    <t xml:space="preserve">10821 Caribbean Boulevard </t>
  </si>
  <si>
    <t>Malini Desai</t>
  </si>
  <si>
    <t>Uresh Desai</t>
  </si>
  <si>
    <t>+1 (305) 278-0001</t>
  </si>
  <si>
    <t>The Ritz-Carlton New York NoMad</t>
  </si>
  <si>
    <t xml:space="preserve">1185 Broadway </t>
  </si>
  <si>
    <t>Bastian Germer</t>
  </si>
  <si>
    <t>Cassandra Martin</t>
  </si>
  <si>
    <t>+1 (646) 423-5443</t>
  </si>
  <si>
    <t>Comfort Suites Plano</t>
  </si>
  <si>
    <t xml:space="preserve">2301 East President George Bush Highway </t>
  </si>
  <si>
    <t>Sanket Talsania</t>
  </si>
  <si>
    <t>+1 (469)429-0700</t>
  </si>
  <si>
    <t>Residence Inn San Diego- Rancho Bernardo/Scripps Poway</t>
  </si>
  <si>
    <t xml:space="preserve">12011 Scripps Highland Drive </t>
  </si>
  <si>
    <t>Denise Robinson</t>
  </si>
  <si>
    <t>Kelsey Nannenga</t>
  </si>
  <si>
    <t>+1 (858) 635-5724</t>
  </si>
  <si>
    <t>SpringHill Suites San Diego-Rancho Bernardo/Scripps Poway</t>
  </si>
  <si>
    <t xml:space="preserve">12032 Scripps Highland Dr </t>
  </si>
  <si>
    <t>+1 (858) 635-5723</t>
  </si>
  <si>
    <t>FOREST RIDGE YOUTH SERVICES</t>
  </si>
  <si>
    <t>FOREST RIDGE YOUTH SERVICES-ESTHERVILLE</t>
  </si>
  <si>
    <t xml:space="preserve">2047 395TH STREET </t>
  </si>
  <si>
    <t>ESTHERVILLE</t>
  </si>
  <si>
    <t>712-362-5231</t>
  </si>
  <si>
    <t xml:space="preserve">200 6TH ST </t>
  </si>
  <si>
    <t>712-362-7026</t>
  </si>
  <si>
    <t>The University Club of Grand Rapids LLC</t>
  </si>
  <si>
    <t>The University Club of Grand Rapids</t>
  </si>
  <si>
    <t>111 Lyon Street NW Suite 1025</t>
  </si>
  <si>
    <t>Grand Rapids</t>
  </si>
  <si>
    <t>Mark Canak</t>
  </si>
  <si>
    <t>+(616) 456-8623</t>
  </si>
  <si>
    <t>Optima Hospitality Group LLC</t>
  </si>
  <si>
    <t>Fairfield Inn Russellville</t>
  </si>
  <si>
    <t xml:space="preserve">120 East Harrell Drive </t>
  </si>
  <si>
    <t>Russellville</t>
  </si>
  <si>
    <t>Nimesh Gokal</t>
  </si>
  <si>
    <t>+1 (479) 967-9030</t>
  </si>
  <si>
    <t>RIVERSIDE HEALTH SYSTEMS INC.</t>
  </si>
  <si>
    <t>WILLIAMSBURG LANDING</t>
  </si>
  <si>
    <t xml:space="preserve">5700 WILLIAMSBURG LANDING DR </t>
  </si>
  <si>
    <t>757-534-6500</t>
  </si>
  <si>
    <t>Origin Hotel Austin</t>
  </si>
  <si>
    <t xml:space="preserve">1825 McBee Street </t>
  </si>
  <si>
    <t>Chris Kosor</t>
  </si>
  <si>
    <t>Payal Gupta</t>
  </si>
  <si>
    <t>+()9549935115</t>
  </si>
  <si>
    <t>Embassy Suites Nashville Downtown</t>
  </si>
  <si>
    <t xml:space="preserve">708 Demonbreun Street </t>
  </si>
  <si>
    <t>+1 (615) 736-7100</t>
  </si>
  <si>
    <t>EDITION Tampa Downtown</t>
  </si>
  <si>
    <t xml:space="preserve">500 Channelside Drive </t>
  </si>
  <si>
    <t>Tampa</t>
  </si>
  <si>
    <t>EDITION</t>
  </si>
  <si>
    <t>Chris Sothwick</t>
  </si>
  <si>
    <t>Americal Inc.</t>
  </si>
  <si>
    <t>Fairfield Inn Spearfish</t>
  </si>
  <si>
    <t xml:space="preserve">2720 1st Avenue East </t>
  </si>
  <si>
    <t>Spearfish</t>
  </si>
  <si>
    <t>Kirsten Potter</t>
  </si>
  <si>
    <t>Joan Gerkin</t>
  </si>
  <si>
    <t>+ (605) 642-3500</t>
  </si>
  <si>
    <t>TownePlace Suites Aberdeen</t>
  </si>
  <si>
    <t xml:space="preserve">402 S. Norwood Street </t>
  </si>
  <si>
    <t>Aberdeen</t>
  </si>
  <si>
    <t>Bryana Darling Rombs</t>
  </si>
  <si>
    <t>+1 (605) 725-3500</t>
  </si>
  <si>
    <t>Ava Hotels LLC</t>
  </si>
  <si>
    <t>Holiday Inn Express Mt. Pleasant</t>
  </si>
  <si>
    <t xml:space="preserve">2306 Greenhill Road </t>
  </si>
  <si>
    <t>Mt. Pleasant</t>
  </si>
  <si>
    <t>Monique Amador</t>
  </si>
  <si>
    <t>Jack Patel</t>
  </si>
  <si>
    <t>+1 (903) 577-3800</t>
  </si>
  <si>
    <t>Dolphin Hotel Management LLC</t>
  </si>
  <si>
    <t>Courtyard San Diego Old Town</t>
  </si>
  <si>
    <t xml:space="preserve">2435 Jefferson Street </t>
  </si>
  <si>
    <t>Katee Maola</t>
  </si>
  <si>
    <t>Daniel W</t>
  </si>
  <si>
    <t>+1 (619) 260-8500</t>
  </si>
  <si>
    <t>Fairfield Inn &amp; Suites San Diego Old Town</t>
  </si>
  <si>
    <t xml:space="preserve">3900 Old Town Avenue </t>
  </si>
  <si>
    <t>David Vecchione</t>
  </si>
  <si>
    <t>+1 (619) 299-7400</t>
  </si>
  <si>
    <t>Bilmar Beach Resort</t>
  </si>
  <si>
    <t xml:space="preserve">10650 Gulf Boulevard </t>
  </si>
  <si>
    <t>Treasure Island</t>
  </si>
  <si>
    <t>Clyde Smith</t>
  </si>
  <si>
    <t>Julie Sylvester</t>
  </si>
  <si>
    <t>+1 (727) 360-5531</t>
  </si>
  <si>
    <t>The Westin Mission Hills Golf Resort &amp; Spa</t>
  </si>
  <si>
    <t xml:space="preserve">71333 Dinah Shore Dr </t>
  </si>
  <si>
    <t>Rancho Mirage</t>
  </si>
  <si>
    <t>Tom Scaramellino</t>
  </si>
  <si>
    <t>Jason Brock</t>
  </si>
  <si>
    <t>Golf Course Resort</t>
  </si>
  <si>
    <t>+ (760) 328-3198</t>
  </si>
  <si>
    <t>Trivedi Hospitality LLC</t>
  </si>
  <si>
    <t>Fairfield Inn Schaumburg</t>
  </si>
  <si>
    <t xml:space="preserve">700 National Parkway </t>
  </si>
  <si>
    <t>Schaumburg</t>
  </si>
  <si>
    <t>Charul Dalal</t>
  </si>
  <si>
    <t>Nick Trivedi</t>
  </si>
  <si>
    <t>+1 (847) 541-8771</t>
  </si>
  <si>
    <t>Sole Miami</t>
  </si>
  <si>
    <t xml:space="preserve">17315 Collins Avenue </t>
  </si>
  <si>
    <t>Sunny Isles Beach</t>
  </si>
  <si>
    <t>John Allan</t>
  </si>
  <si>
    <t>Americo Nocete</t>
  </si>
  <si>
    <t>+1 (786) 923-9300</t>
  </si>
  <si>
    <t>TRULIEVE- BARTOW</t>
  </si>
  <si>
    <t xml:space="preserve">1030 N BROADWAY AVE #1D </t>
  </si>
  <si>
    <t>BARTOW</t>
  </si>
  <si>
    <t>863-208-6344</t>
  </si>
  <si>
    <t>PA MENTOR</t>
  </si>
  <si>
    <t xml:space="preserve">862 BETHLEHEM ROAD </t>
  </si>
  <si>
    <t>CATASAUQUA</t>
  </si>
  <si>
    <t>HPSI:CLINIC</t>
  </si>
  <si>
    <t>NEURORESTORATIVE WOODURY</t>
  </si>
  <si>
    <t xml:space="preserve">35 WEST BARBER AVENUE </t>
  </si>
  <si>
    <t>WOODBURY</t>
  </si>
  <si>
    <t>SONATA SENIOR LIVING</t>
  </si>
  <si>
    <t>SONATA EAST AT VIERA</t>
  </si>
  <si>
    <t xml:space="preserve">4206 BRESLAY DRIVE </t>
  </si>
  <si>
    <t>VIERA</t>
  </si>
  <si>
    <t>321-503-3663</t>
  </si>
  <si>
    <t>PARSONS GROUP INC</t>
  </si>
  <si>
    <t>GARDENS ON HOPE</t>
  </si>
  <si>
    <t xml:space="preserve">251 SOUTH HOPE AVENUE </t>
  </si>
  <si>
    <t>SANTA BARBARA</t>
  </si>
  <si>
    <t>805-618-0390</t>
  </si>
  <si>
    <t>OLD SPAGHETTI FACTORY</t>
  </si>
  <si>
    <t>OLD SPAGHETTI FACTORY-OKLAHOMA CITY</t>
  </si>
  <si>
    <t xml:space="preserve">1 S MICKEY MANTLE DRIVE </t>
  </si>
  <si>
    <t>OKLAHOMA CITY</t>
  </si>
  <si>
    <t>405-669-4400</t>
  </si>
  <si>
    <t>NEW HOPE VALLEY</t>
  </si>
  <si>
    <t xml:space="preserve">3785 NORTH CENTER ROAD </t>
  </si>
  <si>
    <t>989-498-4000</t>
  </si>
  <si>
    <t>JOURNEYPURE INC</t>
  </si>
  <si>
    <t>JOURNEY PURE KNOXVILLE OUTPATIENT</t>
  </si>
  <si>
    <t xml:space="preserve">7417 KINGSTON PIKE </t>
  </si>
  <si>
    <t>JOURNEY PURE PADUCAH OUTPATIENT</t>
  </si>
  <si>
    <t xml:space="preserve">2500 HOLT ROAD </t>
  </si>
  <si>
    <t>JOURNEY PURE NORRIS RESIDENTIAL FACILITY</t>
  </si>
  <si>
    <t xml:space="preserve">17 RIDGEWAY ROAD </t>
  </si>
  <si>
    <t>NORRIS</t>
  </si>
  <si>
    <t>JOURNEY PURE NASHVILLE OUTPATIENT</t>
  </si>
  <si>
    <t xml:space="preserve">2424 21ST AVENUE SOUTH SE 200 </t>
  </si>
  <si>
    <t>JOURNEY PURE MURFREESBORO OUTPATIENT</t>
  </si>
  <si>
    <t xml:space="preserve">1139 NORTHWEST BROAD STREET STE 102 </t>
  </si>
  <si>
    <t>MURFREESBORO</t>
  </si>
  <si>
    <t>JOURNEY PURE MELBOURNE OUTPATIENT</t>
  </si>
  <si>
    <t xml:space="preserve">100 SOUTH HARBOR CITY BOULEVARD </t>
  </si>
  <si>
    <t>MELBOURNE</t>
  </si>
  <si>
    <t>JOURNEY PURE LOUISVILLE OUTPATIENT</t>
  </si>
  <si>
    <t xml:space="preserve">3430 NEWBURG ROAD SUITES 158 &amp; 160 </t>
  </si>
  <si>
    <t>JOURNEY PURE LEXINGTON OUTPATIENT</t>
  </si>
  <si>
    <t xml:space="preserve">1401 NICHOLASVILLE ROAD </t>
  </si>
  <si>
    <t>JOURNEY PURE WOMENS CENTER RESIDENTIAL FACILITY</t>
  </si>
  <si>
    <t xml:space="preserve">2626 MARYVILLE PIKE </t>
  </si>
  <si>
    <t>JOURNEY PURE FORT WALTON BEACH OUTPATIENT</t>
  </si>
  <si>
    <t xml:space="preserve">MIRACLE STRIP PARKWAY STE 34 &amp; 35 </t>
  </si>
  <si>
    <t>FORT WALTON BEACH</t>
  </si>
  <si>
    <t>JOURNEY PURE ELIZABETHTOWN OUTPATIENT</t>
  </si>
  <si>
    <t xml:space="preserve">400 RING ROAD SUITE 155 </t>
  </si>
  <si>
    <t>ELIZABETHTOWN</t>
  </si>
  <si>
    <t>JOURNEY PURE BOWLING GREEN INPATIENT</t>
  </si>
  <si>
    <t xml:space="preserve">2349 RUSSELVILLE ROAD </t>
  </si>
  <si>
    <t>JOURNEY PURE BOWLING GREEN OUTPATIENT</t>
  </si>
  <si>
    <t xml:space="preserve">1901 SCOTSVILLE ROAD </t>
  </si>
  <si>
    <t xml:space="preserve">105 WEST PARK DRIVE SUITE 450 </t>
  </si>
  <si>
    <t>BRENTWOOD</t>
  </si>
  <si>
    <t>THE VILLAGE OF MARYMOUNT</t>
  </si>
  <si>
    <t xml:space="preserve">5200 MARYMOUNT VILLAGE DRIVE </t>
  </si>
  <si>
    <t>GARFIELD HEIGHTS</t>
  </si>
  <si>
    <t>216-332-1100</t>
  </si>
  <si>
    <t>GILMAN SCHOOL</t>
  </si>
  <si>
    <t xml:space="preserve">5407 ROLAND AVENUE </t>
  </si>
  <si>
    <t>BALTIMORE</t>
  </si>
  <si>
    <t>410-323-3800</t>
  </si>
  <si>
    <t>GRACE COVENANT CHURCH</t>
  </si>
  <si>
    <t xml:space="preserve">4600 BROOKFIELD CORP DRIVE </t>
  </si>
  <si>
    <t>CHANTILLY</t>
  </si>
  <si>
    <t>703-318-7073</t>
  </si>
  <si>
    <t>COPPER ISLAND ACADEMY</t>
  </si>
  <si>
    <t xml:space="preserve">52125 INDUSTRIAL DRIVE </t>
  </si>
  <si>
    <t>CALUMET</t>
  </si>
  <si>
    <t>907-370-1190</t>
  </si>
  <si>
    <t>BLUEBIRD BEGINNINGS LEARNING CENTER</t>
  </si>
  <si>
    <t xml:space="preserve">1208 W MILAM STREET </t>
  </si>
  <si>
    <t>FREDERICKSBURG</t>
  </si>
  <si>
    <t>830-733-7000</t>
  </si>
  <si>
    <t>MASSANUTTEN MILITARY ACADEMY-FOOD</t>
  </si>
  <si>
    <t xml:space="preserve">614 SOUTH MAIN STREET </t>
  </si>
  <si>
    <t>WOODSTOCK</t>
  </si>
  <si>
    <t>540-459-2617</t>
  </si>
  <si>
    <t>HARMONY AT SOUTHRIDGE-FOOD</t>
  </si>
  <si>
    <t xml:space="preserve">801 PAYTON WAY </t>
  </si>
  <si>
    <t>HARMONY AT HARTS RUN-FOOD</t>
  </si>
  <si>
    <t xml:space="preserve">3450 HARTS RUN ROAD </t>
  </si>
  <si>
    <t>GLENSHAW</t>
  </si>
  <si>
    <t>412-756-3102</t>
  </si>
  <si>
    <t>SOLUTION 65-FOOD</t>
  </si>
  <si>
    <t xml:space="preserve">4423 PHEASANT RIDGE ROAD STE 201 </t>
  </si>
  <si>
    <t>ROANOKE</t>
  </si>
  <si>
    <t>DISCOVERY BEHAVIORAL HEALTH</t>
  </si>
  <si>
    <t>CENTER FOR DISCOVERY</t>
  </si>
  <si>
    <t xml:space="preserve">312 E WISCONSIN AVE FLOOR 4 </t>
  </si>
  <si>
    <t>MILWAUKEE</t>
  </si>
  <si>
    <t>DISCOVERY MOOD AND ANXIETY PROGRAM</t>
  </si>
  <si>
    <t>DMA STAMFORD</t>
  </si>
  <si>
    <t xml:space="preserve">929 NEWFIELD AVENUE </t>
  </si>
  <si>
    <t>STAMFORD</t>
  </si>
  <si>
    <t>DMA DRIPPING SPRINGS</t>
  </si>
  <si>
    <t xml:space="preserve">11205 BONHAM RANCH ROAD </t>
  </si>
  <si>
    <t>DRIPPING SPRINGS</t>
  </si>
  <si>
    <t>AMERICAN HOUSE RETIREMENT RES</t>
  </si>
  <si>
    <t>AMERICAN HOUSE LUTZ</t>
  </si>
  <si>
    <t xml:space="preserve">414 CHAPMAN ROAD EAST </t>
  </si>
  <si>
    <t>LUTZ</t>
  </si>
  <si>
    <t>813-909-9679</t>
  </si>
  <si>
    <t>Beechwood Hospitality LLC</t>
  </si>
  <si>
    <t>Fairfield Inn &amp; Suites Arkadelphia</t>
  </si>
  <si>
    <t xml:space="preserve">258 Red Hill Road </t>
  </si>
  <si>
    <t>Arkadelphia</t>
  </si>
  <si>
    <t>Joe Poye</t>
  </si>
  <si>
    <t>+(870) 245-0003</t>
  </si>
  <si>
    <t>CHILDREN'S CENTER OF AUSTIN-STEINER RANCH SCHOOL</t>
  </si>
  <si>
    <t xml:space="preserve">4308 N QUINLAN PARK RD </t>
  </si>
  <si>
    <t>AUSTIN</t>
  </si>
  <si>
    <t>512-226-6130</t>
  </si>
  <si>
    <t>HAVEN HEALTH MANAGEMENT</t>
  </si>
  <si>
    <t>HAVEN OF SANDPOINT</t>
  </si>
  <si>
    <t xml:space="preserve">2222 SOUTH AVENUE A </t>
  </si>
  <si>
    <t>YUMA</t>
  </si>
  <si>
    <t>928-783-8831</t>
  </si>
  <si>
    <t>Wischermann Partners Inc.</t>
  </si>
  <si>
    <t>Aurora Anguilla Resort &amp; Golf Club</t>
  </si>
  <si>
    <t xml:space="preserve">Rendezvous Bay </t>
  </si>
  <si>
    <t xml:space="preserve">Anguilla </t>
  </si>
  <si>
    <t>British Virgin Islands</t>
  </si>
  <si>
    <t>Alex Adams</t>
  </si>
  <si>
    <t>+1 (264) 498-2000</t>
  </si>
  <si>
    <t>Homewood Suites Destin</t>
  </si>
  <si>
    <t xml:space="preserve">14051 Emerald Coast Parkway </t>
  </si>
  <si>
    <t>Destin</t>
  </si>
  <si>
    <t>Joseph Kneeland</t>
  </si>
  <si>
    <t>+1 (404) 479-5680</t>
  </si>
  <si>
    <t>Red Roof Inn Clifton Park</t>
  </si>
  <si>
    <t xml:space="preserve">41 Old Route 146 </t>
  </si>
  <si>
    <t>Clifton Park</t>
  </si>
  <si>
    <t>Elaine Swain</t>
  </si>
  <si>
    <t>+1 (518) 373-0222</t>
  </si>
  <si>
    <t xml:space="preserve">Woolly Bugger </t>
  </si>
  <si>
    <t xml:space="preserve">1583 Spring Bay Road </t>
  </si>
  <si>
    <t>East Peoria</t>
  </si>
  <si>
    <t>Shawn Dixon</t>
  </si>
  <si>
    <t>Laura Anderson</t>
  </si>
  <si>
    <t>+1 (309) 570-1211</t>
  </si>
  <si>
    <t>Sankoty Lakes Resort</t>
  </si>
  <si>
    <t>Cheryl Scharp</t>
  </si>
  <si>
    <t>+1 (309) 648-5889</t>
  </si>
  <si>
    <t>LOGE Westport</t>
  </si>
  <si>
    <t xml:space="preserve">1416 Montesano Street </t>
  </si>
  <si>
    <t>Westport</t>
  </si>
  <si>
    <t>Liz Vessey</t>
  </si>
  <si>
    <t>+1 (360) 980-8088</t>
  </si>
  <si>
    <t>LOGE Leavenworth Downtown</t>
  </si>
  <si>
    <t xml:space="preserve">321 9th Street </t>
  </si>
  <si>
    <t>Leavenworth</t>
  </si>
  <si>
    <t>David Joseph</t>
  </si>
  <si>
    <t>+1 (509) 209-8959</t>
  </si>
  <si>
    <t>LOGE Mt Shasta</t>
  </si>
  <si>
    <t xml:space="preserve">1612 S Mt Shasta Boulevard </t>
  </si>
  <si>
    <t>Mount Shasta</t>
  </si>
  <si>
    <t>Lucas Hillman</t>
  </si>
  <si>
    <t>+1 (530) 248-6757</t>
  </si>
  <si>
    <t>LOGE Leavenworth Riverside</t>
  </si>
  <si>
    <t xml:space="preserve">11798 US Highway 2 </t>
  </si>
  <si>
    <t>+1 (509) 209-8958</t>
  </si>
  <si>
    <t>DESERT SAGE</t>
  </si>
  <si>
    <t xml:space="preserve">82485 MILES AVE </t>
  </si>
  <si>
    <t>760-347-4347</t>
  </si>
  <si>
    <t>LOGE Bend</t>
  </si>
  <si>
    <t xml:space="preserve">19221 SW Century Drive </t>
  </si>
  <si>
    <t>Bend</t>
  </si>
  <si>
    <t>Jesse Henninger</t>
  </si>
  <si>
    <t>+1 (541) 306-3111</t>
  </si>
  <si>
    <t>LOGE Breckenridge</t>
  </si>
  <si>
    <t xml:space="preserve">165 Tiger Road </t>
  </si>
  <si>
    <t>Edward Solar</t>
  </si>
  <si>
    <t>+1 (970) 551-2115</t>
  </si>
  <si>
    <t>MainStay Cleveland Airport</t>
  </si>
  <si>
    <t xml:space="preserve">7325 Engle Road </t>
  </si>
  <si>
    <t>MainStay Suites</t>
  </si>
  <si>
    <t>+(440)816-9300</t>
  </si>
  <si>
    <t>THE W GROUP</t>
  </si>
  <si>
    <t>NEW BROADVIEW MANOR</t>
  </si>
  <si>
    <t xml:space="preserve">70 FATHER CAPODANNO BLVD </t>
  </si>
  <si>
    <t>STATEN ISLAND</t>
  </si>
  <si>
    <t>718-273-8900</t>
  </si>
  <si>
    <t>SCOTIA MANSION HFA</t>
  </si>
  <si>
    <t xml:space="preserve">39 WALLACE STREET </t>
  </si>
  <si>
    <t>SCOTIA</t>
  </si>
  <si>
    <t>518-346-7458</t>
  </si>
  <si>
    <t>MONTCALM MANOR HFA</t>
  </si>
  <si>
    <t xml:space="preserve">45 MONTCALM STREET </t>
  </si>
  <si>
    <t>TICONDEROGA</t>
  </si>
  <si>
    <t>518-585-6230</t>
  </si>
  <si>
    <t>FORDHAM ARMS HOME FOR ADULTS</t>
  </si>
  <si>
    <t xml:space="preserve">2915 WILLIAMSBRIDGE ROAD </t>
  </si>
  <si>
    <t>THE BRONX</t>
  </si>
  <si>
    <t>718-655-3433</t>
  </si>
  <si>
    <t>THE W ASSISTED LIVING AT RIVERDALE</t>
  </si>
  <si>
    <t xml:space="preserve">6355 BROADWAY </t>
  </si>
  <si>
    <t>BRONX</t>
  </si>
  <si>
    <t>718-549-3300</t>
  </si>
  <si>
    <t>BAYVIEW REST HOME</t>
  </si>
  <si>
    <t xml:space="preserve">143 EAST MAIN STREET </t>
  </si>
  <si>
    <t>BABYLON</t>
  </si>
  <si>
    <t>631-526-9706</t>
  </si>
  <si>
    <t>HOME SWEET HOME AT ATHENS</t>
  </si>
  <si>
    <t xml:space="preserve">71 SECOND STREET </t>
  </si>
  <si>
    <t>ATHENS</t>
  </si>
  <si>
    <t>518-945-1673</t>
  </si>
  <si>
    <t>JEFF SENIOR LIVING</t>
  </si>
  <si>
    <t xml:space="preserve">4806 NEW YORK 52 </t>
  </si>
  <si>
    <t>JEFFERSONVILLE</t>
  </si>
  <si>
    <t>845-482-4375</t>
  </si>
  <si>
    <t>JEFFERSONVILLE SENIOR LIVING</t>
  </si>
  <si>
    <t xml:space="preserve">4806 NY 52 </t>
  </si>
  <si>
    <t>SANFORD HOME FOR ADULTS</t>
  </si>
  <si>
    <t xml:space="preserve">140-40 SANFORD AVENUE </t>
  </si>
  <si>
    <t>FLUSHING</t>
  </si>
  <si>
    <t>718-353-1400</t>
  </si>
  <si>
    <t>NEW HAVEN MANOR HOME FOR ADULTS</t>
  </si>
  <si>
    <t xml:space="preserve">1526 NEW HAVEN AVENUE </t>
  </si>
  <si>
    <t>FAR ROCKAWAY</t>
  </si>
  <si>
    <t>718-471-7200</t>
  </si>
  <si>
    <t>HOME SWEET HOME ON THE HUDSON</t>
  </si>
  <si>
    <t xml:space="preserve">38 PROSPECT AVENUE </t>
  </si>
  <si>
    <t>CATSKILL</t>
  </si>
  <si>
    <t>518-943-5701</t>
  </si>
  <si>
    <t>VALHAVEN HFA-CAMDEN</t>
  </si>
  <si>
    <t xml:space="preserve">128 MAIN STREET </t>
  </si>
  <si>
    <t>315-245-1520</t>
  </si>
  <si>
    <t>HARBOR HOUSE ASSISTED LIVING</t>
  </si>
  <si>
    <t xml:space="preserve">150 SOUTH STREET </t>
  </si>
  <si>
    <t>OYSTER BAY</t>
  </si>
  <si>
    <t>516-624-8400</t>
  </si>
  <si>
    <t>OYSTER BAY MANOR ASSISTED LIVING</t>
  </si>
  <si>
    <t xml:space="preserve">150 SOUTH STREET #2244 </t>
  </si>
  <si>
    <t>516-624-0600</t>
  </si>
  <si>
    <t>WILLOW PARK ALF</t>
  </si>
  <si>
    <t xml:space="preserve">1550 HERKIMER ROAD </t>
  </si>
  <si>
    <t>UTICA</t>
  </si>
  <si>
    <t>315-732-2257</t>
  </si>
  <si>
    <t>W GROUP BRONXWOOD OPCO</t>
  </si>
  <si>
    <t xml:space="preserve">799 EAST GUN HILL ROAD </t>
  </si>
  <si>
    <t>718-881-9100</t>
  </si>
  <si>
    <t>PARK INN HOME FOR ADULTS</t>
  </si>
  <si>
    <t xml:space="preserve">115-02 OCEAN PROMENADE </t>
  </si>
  <si>
    <t>ROCKAWAY PARK</t>
  </si>
  <si>
    <t>718-831-2000</t>
  </si>
  <si>
    <t xml:space="preserve">2357 60TH STREET </t>
  </si>
  <si>
    <t>BROOKLYN</t>
  </si>
  <si>
    <t>THE NEW SOUTH SHORE MANOR</t>
  </si>
  <si>
    <t xml:space="preserve">1041 EAST 83RD STREET </t>
  </si>
  <si>
    <t>HPSI:INDEPENDENT CARE FACILITY</t>
  </si>
  <si>
    <t>718-241-7035</t>
  </si>
  <si>
    <t>ADIRONDACK MANOR HFA</t>
  </si>
  <si>
    <t xml:space="preserve">653 BAY ROAD </t>
  </si>
  <si>
    <t>QUEENSBURY</t>
  </si>
  <si>
    <t>518-761-0176</t>
  </si>
  <si>
    <t>WOODHAVEN HFA</t>
  </si>
  <si>
    <t xml:space="preserve">1350 ROUTE 112 </t>
  </si>
  <si>
    <t>PORT JEFFERSON STATION</t>
  </si>
  <si>
    <t>631-473-7100</t>
  </si>
  <si>
    <t>VALAVEN HFA-PERU</t>
  </si>
  <si>
    <t xml:space="preserve">2989 NORTH MAIN STREET </t>
  </si>
  <si>
    <t>PERU</t>
  </si>
  <si>
    <t>518-643-2740</t>
  </si>
  <si>
    <t>MTR</t>
  </si>
  <si>
    <t xml:space="preserve">4440 UNIVERSITY STREET </t>
  </si>
  <si>
    <t>RIVERSIDE</t>
  </si>
  <si>
    <t>LA VISTA</t>
  </si>
  <si>
    <t xml:space="preserve">2220 GIRARD STREET </t>
  </si>
  <si>
    <t>SAN JACINTO</t>
  </si>
  <si>
    <t>MFI RECOVERY WOODCREST</t>
  </si>
  <si>
    <t xml:space="preserve">17270 ROOSEVLET </t>
  </si>
  <si>
    <t>AWP</t>
  </si>
  <si>
    <t xml:space="preserve">4295 BROCKTON AVENUE </t>
  </si>
  <si>
    <t>THE ARC</t>
  </si>
  <si>
    <t xml:space="preserve">10001 COUNTY FARM ROAD </t>
  </si>
  <si>
    <t>MFI RECOVERY-ROYS</t>
  </si>
  <si>
    <t xml:space="preserve">19531 MCLANE STREET SUITE C </t>
  </si>
  <si>
    <t>PALM SPRINGS</t>
  </si>
  <si>
    <t>THE PATH</t>
  </si>
  <si>
    <t xml:space="preserve">9531 MCLANE STREET SUITE A </t>
  </si>
  <si>
    <t xml:space="preserve">5870 ARLINGTON AVENUE </t>
  </si>
  <si>
    <t>MARQUIS COMPANIES</t>
  </si>
  <si>
    <t>MARQUIS EUGNE ASSISTED LIVING AND MEMORY CARE-MENU ONLY</t>
  </si>
  <si>
    <t xml:space="preserve">555 EUGENE COUNTRY CLUB ROAD </t>
  </si>
  <si>
    <t>503-612-2541</t>
  </si>
  <si>
    <t>NEW LIFE CHRISTIAN CHURCH</t>
  </si>
  <si>
    <t xml:space="preserve">2930 MIDDLE ROAD </t>
  </si>
  <si>
    <t>WINCHESTER</t>
  </si>
  <si>
    <t>540-723-0030</t>
  </si>
  <si>
    <t xml:space="preserve">1447 NORTH HARRISON STREET </t>
  </si>
  <si>
    <t>989-293-6458</t>
  </si>
  <si>
    <t>HOUGHTON CO SHERIFF</t>
  </si>
  <si>
    <t xml:space="preserve">403 EAST HOUGHTON AVENUE </t>
  </si>
  <si>
    <t>HOUGHTON</t>
  </si>
  <si>
    <t>HPSI:GOVERNMENT AGENCY</t>
  </si>
  <si>
    <t>906-482-0055</t>
  </si>
  <si>
    <t>ATHENS NURSING AND REHAB CENTER</t>
  </si>
  <si>
    <t xml:space="preserve">200 SOUTH MAIN STREET </t>
  </si>
  <si>
    <t>570-731-6919</t>
  </si>
  <si>
    <t>ASPIRE INDIANA INC</t>
  </si>
  <si>
    <t>ASPIRE INDIANA PROGRESS HOUSE</t>
  </si>
  <si>
    <t xml:space="preserve">9615 EAST 148TH STREET </t>
  </si>
  <si>
    <t>NOBLESVILLE</t>
  </si>
  <si>
    <t>317-637-9816</t>
  </si>
  <si>
    <t>SpringHill Suites Miami Airport South</t>
  </si>
  <si>
    <t xml:space="preserve">6700 NW 7th Street </t>
  </si>
  <si>
    <t>Danilo Sagredo</t>
  </si>
  <si>
    <t>Luis Castillo</t>
  </si>
  <si>
    <t>+ (305) 265-0144</t>
  </si>
  <si>
    <t>Hampton Inn &amp; Suites Little Rock-Downtown</t>
  </si>
  <si>
    <t xml:space="preserve">320 River Market Avenue </t>
  </si>
  <si>
    <t>Little Rock</t>
  </si>
  <si>
    <t>Tamekia Allen</t>
  </si>
  <si>
    <t>+1 (501) 244-0600</t>
  </si>
  <si>
    <t>Holiday Inn Express Brandon</t>
  </si>
  <si>
    <t xml:space="preserve">510 Grand Regency Blvd </t>
  </si>
  <si>
    <t>Brandon</t>
  </si>
  <si>
    <t>+ (813) 643-3800</t>
  </si>
  <si>
    <t>American Hospitality Management Inc.</t>
  </si>
  <si>
    <t>Fairfield Inn and Suites Alexandria (MN)</t>
  </si>
  <si>
    <t xml:space="preserve">4929 Sanibel Drive </t>
  </si>
  <si>
    <t>VicKI Nelson</t>
  </si>
  <si>
    <t>+1(320)763-0133</t>
  </si>
  <si>
    <t>Fairfield Inn &amp; Suites McDonough</t>
  </si>
  <si>
    <t xml:space="preserve">30 Mill Road </t>
  </si>
  <si>
    <t>McDonough</t>
  </si>
  <si>
    <t>Julie Maldonado</t>
  </si>
  <si>
    <t>Algernon Smith</t>
  </si>
  <si>
    <t>+1(770)305-0180</t>
  </si>
  <si>
    <t>ABINGTON CREST HEALTHCARE AND REHABILITATION CENTER</t>
  </si>
  <si>
    <t xml:space="preserve">1267 SOUTH HILL ROAD </t>
  </si>
  <si>
    <t>ERIE</t>
  </si>
  <si>
    <t>814-265-1796</t>
  </si>
  <si>
    <t>LIGHTHOUSE GRILL-ASTRO</t>
  </si>
  <si>
    <t xml:space="preserve">1575 SR 40 W </t>
  </si>
  <si>
    <t xml:space="preserve">ASTOR </t>
  </si>
  <si>
    <t>386-868-6673</t>
  </si>
  <si>
    <t>River Run Country Club</t>
  </si>
  <si>
    <t xml:space="preserve">19125 River Falls Drive </t>
  </si>
  <si>
    <t>Davidson</t>
  </si>
  <si>
    <t>Mary Painter</t>
  </si>
  <si>
    <t>tom white</t>
  </si>
  <si>
    <t>+1 (704) 892-4633</t>
  </si>
  <si>
    <t>Deployed Resources LLC</t>
  </si>
  <si>
    <t>Deployed Resources - Fort Pickett</t>
  </si>
  <si>
    <t>874 Dearing Avenue Zach Lorditch/774-200-7996</t>
  </si>
  <si>
    <t>Blackstone</t>
  </si>
  <si>
    <t>+()208-776-0815</t>
  </si>
  <si>
    <t>Amerilodge Group LLC</t>
  </si>
  <si>
    <t>Holiday Inn Big Rapids</t>
  </si>
  <si>
    <t xml:space="preserve">1005 Perry Street </t>
  </si>
  <si>
    <t>Big Rapids</t>
  </si>
  <si>
    <t>Joellen Vert</t>
  </si>
  <si>
    <t>+1 (231) 796-4400</t>
  </si>
  <si>
    <t>Residence Inn Cleveland Mentor</t>
  </si>
  <si>
    <t xml:space="preserve">5660 Emerald Court </t>
  </si>
  <si>
    <t>Mentor</t>
  </si>
  <si>
    <t>Lauri Sinclair</t>
  </si>
  <si>
    <t>Melissa Winland</t>
  </si>
  <si>
    <t>+ (440) 392-0800</t>
  </si>
  <si>
    <t>EVEN Hotel Brooklyn</t>
  </si>
  <si>
    <t xml:space="preserve">46 Nevins Street </t>
  </si>
  <si>
    <t>Brooklyn</t>
  </si>
  <si>
    <t>Even by IHG</t>
  </si>
  <si>
    <t>Christopher Thompson</t>
  </si>
  <si>
    <t>+1 (718) 552-3800</t>
  </si>
  <si>
    <t>EVEN Hotel Norwalk</t>
  </si>
  <si>
    <t xml:space="preserve">426 Main Avenue Route 7 </t>
  </si>
  <si>
    <t>Norwalk</t>
  </si>
  <si>
    <t>Trisha Chirico</t>
  </si>
  <si>
    <t>Jim Sorrell</t>
  </si>
  <si>
    <t>+ (203) 849-9355</t>
  </si>
  <si>
    <t>EVEN Hotels - Rockville</t>
  </si>
  <si>
    <t xml:space="preserve">1775 Rockville Pike </t>
  </si>
  <si>
    <t>Rockville</t>
  </si>
  <si>
    <t>Tamara Mason-Brown</t>
  </si>
  <si>
    <t>+ (301) 881-2300</t>
  </si>
  <si>
    <t>Schulte Hospitality Group Inc.</t>
  </si>
  <si>
    <t>Home2 Suites Perrysburg - Toldeo</t>
  </si>
  <si>
    <t xml:space="preserve">5995 Levis Commons Boulevard </t>
  </si>
  <si>
    <t>Perrysburg</t>
  </si>
  <si>
    <t>Angela Zimmerman</t>
  </si>
  <si>
    <t>+1 (419) 931-8900</t>
  </si>
  <si>
    <t>Hilton Garden Inn Toledo - Perrysburg</t>
  </si>
  <si>
    <t xml:space="preserve">6165 Levis Commons Boulevard </t>
  </si>
  <si>
    <t>Izzet Sozeri</t>
  </si>
  <si>
    <t>+1 (419) 873-0700</t>
  </si>
  <si>
    <t>Five Senses Hospitality Management LLC</t>
  </si>
  <si>
    <t>Aloft Wichita Northeast</t>
  </si>
  <si>
    <t xml:space="preserve">3642 North Oliver Road </t>
  </si>
  <si>
    <t>Kirstin Blosser</t>
  </si>
  <si>
    <t>+1(316)744-1100</t>
  </si>
  <si>
    <t>Residence Inn Cleveland - Independence</t>
  </si>
  <si>
    <t xml:space="preserve">5101 West Creek Road </t>
  </si>
  <si>
    <t>Independence</t>
  </si>
  <si>
    <t>Katrina Kelly</t>
  </si>
  <si>
    <t>+1 (216) 520-1450</t>
  </si>
  <si>
    <t>Moxy New Orleans Downtown/French Quarter Area</t>
  </si>
  <si>
    <t xml:space="preserve">210 O'Keefe Avenue </t>
  </si>
  <si>
    <t>Scott Campbell</t>
  </si>
  <si>
    <t>+1 (504) 525-6800</t>
  </si>
  <si>
    <t>Staybridge Suites Louisville</t>
  </si>
  <si>
    <t xml:space="preserve">11711 Gateworth Way </t>
  </si>
  <si>
    <t>David Sturgeon</t>
  </si>
  <si>
    <t>Rahmatt Tripplett</t>
  </si>
  <si>
    <t>+ (502) 244-9511</t>
  </si>
  <si>
    <t>Hotel Indigo Savannah Historic District</t>
  </si>
  <si>
    <t xml:space="preserve">201 West Bay Street </t>
  </si>
  <si>
    <t>Dino Dimattia</t>
  </si>
  <si>
    <t>Jessica Stone</t>
  </si>
  <si>
    <t>+1 (912) 236-4440</t>
  </si>
  <si>
    <t>Embassy Suites Dallas Market Center</t>
  </si>
  <si>
    <t xml:space="preserve">2727 North Stemmons Freeway </t>
  </si>
  <si>
    <t>Bob Grossman</t>
  </si>
  <si>
    <t>Jason Simson</t>
  </si>
  <si>
    <t>+1 (972) 630-5332</t>
  </si>
  <si>
    <t>Rebound Hospitality Services LLC</t>
  </si>
  <si>
    <t>Crowne Plaza Houston River Oaks</t>
  </si>
  <si>
    <t xml:space="preserve">2712 Southwest Freeway </t>
  </si>
  <si>
    <t>Crowne Plaza</t>
  </si>
  <si>
    <t>Jay Primavera</t>
  </si>
  <si>
    <t>Tom Pemberton</t>
  </si>
  <si>
    <t>+ (713) 523-8448</t>
  </si>
  <si>
    <t>Embassy Suites Cleveland Beachwood</t>
  </si>
  <si>
    <t xml:space="preserve">3775 Park East Boulevard </t>
  </si>
  <si>
    <t>Mike Hyde</t>
  </si>
  <si>
    <t>Rhonda Nabozny</t>
  </si>
  <si>
    <t>+1 (216) 765-8066</t>
  </si>
  <si>
    <t>Springs Airport Suites</t>
  </si>
  <si>
    <t xml:space="preserve">2875 Zeppelin </t>
  </si>
  <si>
    <t>Sharon Creighton</t>
  </si>
  <si>
    <t>Cris Rodas</t>
  </si>
  <si>
    <t>Holiday Inn Express - Colorado Springs Airport</t>
  </si>
  <si>
    <t xml:space="preserve">1815 Aeroplaza Drive </t>
  </si>
  <si>
    <t>COLORADO SPGS</t>
  </si>
  <si>
    <t>+1 (719) 591-6000</t>
  </si>
  <si>
    <t>JHS Associates LLC</t>
  </si>
  <si>
    <t>My Place Hotel Boise Meridian</t>
  </si>
  <si>
    <t xml:space="preserve">3050 East Jewel Street </t>
  </si>
  <si>
    <t>My Place</t>
  </si>
  <si>
    <t>Rich Rosa</t>
  </si>
  <si>
    <t>+1 (208) 898-0009</t>
  </si>
  <si>
    <t>Staybridge Suites in Peoria</t>
  </si>
  <si>
    <t xml:space="preserve">300 West Romeo B Garrett Avenue </t>
  </si>
  <si>
    <t>Peoria</t>
  </si>
  <si>
    <t>Wendy Socias</t>
  </si>
  <si>
    <t>+1 (309) 673-7829</t>
  </si>
  <si>
    <t>WYOMISSING NURSING &amp; REHAB CENTER</t>
  </si>
  <si>
    <t xml:space="preserve">1000 E WYOMISSING BLVD </t>
  </si>
  <si>
    <t>610-376-3991</t>
  </si>
  <si>
    <t>ROSE WOOD NURSING AND REHAB</t>
  </si>
  <si>
    <t xml:space="preserve">401 UNIVERSITY DRIVE </t>
  </si>
  <si>
    <t>SCHUYLKILL HAVEN</t>
  </si>
  <si>
    <t>570-385-0331</t>
  </si>
  <si>
    <t>Grupo Alzen Division Hotelera</t>
  </si>
  <si>
    <t>Ramada Encore by Wyndham Guadalajara Aeropuerto</t>
  </si>
  <si>
    <t>Av. Solidaridad Iberoamericana No. 6500 Colonia Baja California</t>
  </si>
  <si>
    <t>Pintitas</t>
  </si>
  <si>
    <t>JAL</t>
  </si>
  <si>
    <t>Christian Daniel Nuno Contreras</t>
  </si>
  <si>
    <t>Fernanda Calderon</t>
  </si>
  <si>
    <t>Ramada Encore by Wyndham San Luis Potosi</t>
  </si>
  <si>
    <t xml:space="preserve">Av. Benito Juarez 3963 Las Mercedes </t>
  </si>
  <si>
    <t>San Luis Potosi</t>
  </si>
  <si>
    <t>SLP</t>
  </si>
  <si>
    <t>Martha Marquez</t>
  </si>
  <si>
    <t>+()444-211-4400</t>
  </si>
  <si>
    <t>Ramada Encore by Wyndham Queretaro</t>
  </si>
  <si>
    <t xml:space="preserve">San Luis Potosi Santiago de Queretaro 11515 </t>
  </si>
  <si>
    <t>Santiago de Queretaro</t>
  </si>
  <si>
    <t>QRO</t>
  </si>
  <si>
    <t>Blanca Arreola</t>
  </si>
  <si>
    <t>+()442-690-9400</t>
  </si>
  <si>
    <t>Ramada Encore by Wyndham Puebla</t>
  </si>
  <si>
    <t xml:space="preserve">Lateral del Anillo Perif Ecologico 1230 </t>
  </si>
  <si>
    <t>Ocotlan</t>
  </si>
  <si>
    <t>PUE</t>
  </si>
  <si>
    <t>Esther Flores</t>
  </si>
  <si>
    <t>+()222 514-3500</t>
  </si>
  <si>
    <t>Ramada Encore by Wyndham Monterrey Apodaca Zona Aeropuerto</t>
  </si>
  <si>
    <t xml:space="preserve">Blvd Carlos Salinas de Gortari 302 </t>
  </si>
  <si>
    <t>Apodaca</t>
  </si>
  <si>
    <t>NLM</t>
  </si>
  <si>
    <t>+()81-9690-9680</t>
  </si>
  <si>
    <t xml:space="preserve">Ramada Encore by Wyndham Guadalajara </t>
  </si>
  <si>
    <t xml:space="preserve">Lopez Mateos Sur 1710 Col. Santa Isabel </t>
  </si>
  <si>
    <t>Tlajomulco De ZuÑiga</t>
  </si>
  <si>
    <t>Lucia Trejo</t>
  </si>
  <si>
    <t>+()33 3898 6000</t>
  </si>
  <si>
    <t>Ramada Encore by Wyndham Aguascalientes</t>
  </si>
  <si>
    <t>Blvd Jose Maria Chaivez 1925 San Padro</t>
  </si>
  <si>
    <t>Aguascalientes</t>
  </si>
  <si>
    <t>AGS</t>
  </si>
  <si>
    <t>Blanca Yberri</t>
  </si>
  <si>
    <t>+()449-473-0740</t>
  </si>
  <si>
    <t>Microtel Inn &amp; Suites by Wyndham Guadalajara</t>
  </si>
  <si>
    <t>Lopez Mateos Sur 1710 Int E-2 Col Santa Isabel</t>
  </si>
  <si>
    <t>Microtel Inn &amp; Suites</t>
  </si>
  <si>
    <t>+()TBD</t>
  </si>
  <si>
    <t>Microtel Inn &amp; Suites by Wyndham San Luis Potosi</t>
  </si>
  <si>
    <t xml:space="preserve">Av. Benito Juarez 3963 C </t>
  </si>
  <si>
    <t>+()444-211-4444</t>
  </si>
  <si>
    <t>Microtel Inn &amp; Suites by Wyndham Irapuato</t>
  </si>
  <si>
    <t>Blvr. Paseo de la Solidaridad 16098 Campestre De Las Flores</t>
  </si>
  <si>
    <t>Irapuato</t>
  </si>
  <si>
    <t>GTO</t>
  </si>
  <si>
    <t>+()462-122-8280</t>
  </si>
  <si>
    <t>Crowne Pointe Hotel &amp; Spa</t>
  </si>
  <si>
    <t xml:space="preserve">82 Bradford Street </t>
  </si>
  <si>
    <t>Provincetown</t>
  </si>
  <si>
    <t>Daniel Wisselman</t>
  </si>
  <si>
    <t>+1 (508) 487-6767</t>
  </si>
  <si>
    <t>Brass Key Guest House</t>
  </si>
  <si>
    <t xml:space="preserve">67 Bradford Street </t>
  </si>
  <si>
    <t>Tyler Smittle</t>
  </si>
  <si>
    <t>+1 (508) 487-9005</t>
  </si>
  <si>
    <t>Homewood Suites Salt Lake City</t>
  </si>
  <si>
    <t xml:space="preserve">423 West 300 South </t>
  </si>
  <si>
    <t>Salt Lake City</t>
  </si>
  <si>
    <t>Michael Fenton</t>
  </si>
  <si>
    <t>+1 (801) 363-6700</t>
  </si>
  <si>
    <t>Shiva Hotels Inc.</t>
  </si>
  <si>
    <t>Hampton Inn &amp; Suites Denver Aurora South</t>
  </si>
  <si>
    <t xml:space="preserve">2525 S Anaheim St </t>
  </si>
  <si>
    <t>Chirag Patel</t>
  </si>
  <si>
    <t>+1 (720) 500-0010</t>
  </si>
  <si>
    <t>SpringHill Suites Kenosha</t>
  </si>
  <si>
    <t xml:space="preserve">7653 125th Ave </t>
  </si>
  <si>
    <t>Kenosha</t>
  </si>
  <si>
    <t>Ketan Patel</t>
  </si>
  <si>
    <t>+1 (262) 930-9778</t>
  </si>
  <si>
    <t>Comfort Inn &amp; Suites Newark</t>
  </si>
  <si>
    <t xml:space="preserve">5977 Mowry AVE </t>
  </si>
  <si>
    <t>Brian Suarez</t>
  </si>
  <si>
    <t>+ (510) 795-7995</t>
  </si>
  <si>
    <t>Hampton Inn Hutchinson</t>
  </si>
  <si>
    <t xml:space="preserve">1401 1/2 E 11th Ave. </t>
  </si>
  <si>
    <t>Hutchinson</t>
  </si>
  <si>
    <t>Tina Hazmat</t>
  </si>
  <si>
    <t>+1 (620) 665-9800</t>
  </si>
  <si>
    <t>Hampton Inn Hays</t>
  </si>
  <si>
    <t xml:space="preserve">4002 General Hays Rd </t>
  </si>
  <si>
    <t>Dillons</t>
  </si>
  <si>
    <t>Angelica Southard</t>
  </si>
  <si>
    <t>+(785)621-4444</t>
  </si>
  <si>
    <t>Hampton Inn Garden City</t>
  </si>
  <si>
    <t xml:space="preserve">2505 Crest Way Drive </t>
  </si>
  <si>
    <t>Garden City</t>
  </si>
  <si>
    <t>Maria Rojas</t>
  </si>
  <si>
    <t>Comfort Inn &amp; Suites Hutchinson</t>
  </si>
  <si>
    <t xml:space="preserve">1601 Super Plaza Ave </t>
  </si>
  <si>
    <t>Rayne Templeton</t>
  </si>
  <si>
    <t>+ (620) 669-5200</t>
  </si>
  <si>
    <t xml:space="preserve">CONSORCIO HOTELERO SA DE CV </t>
  </si>
  <si>
    <t>Wyndham Merida</t>
  </si>
  <si>
    <t>Avenida Colon Esquina con la Calle 6 Garcia Gineres</t>
  </si>
  <si>
    <t>Merida</t>
  </si>
  <si>
    <t>YUC</t>
  </si>
  <si>
    <t>Wyndham Hotels</t>
  </si>
  <si>
    <t>Michel Farah</t>
  </si>
  <si>
    <t>+()52 999 942 6900</t>
  </si>
  <si>
    <t>THE LODGE AT RIVERTON</t>
  </si>
  <si>
    <t xml:space="preserve">12416 S 3600 W </t>
  </si>
  <si>
    <t>RIVERTON</t>
  </si>
  <si>
    <t>801-432-2900</t>
  </si>
  <si>
    <t>THE VILLAGE NETWORK</t>
  </si>
  <si>
    <t>THE VILLAGE NETWORK-MARION</t>
  </si>
  <si>
    <t xml:space="preserve">196 SOUTH MAIN STREET SUITE 203 </t>
  </si>
  <si>
    <t>MARION</t>
  </si>
  <si>
    <t>740-375-9091</t>
  </si>
  <si>
    <t>THE VILLAGE NETWORK-COLUMBUS</t>
  </si>
  <si>
    <t xml:space="preserve">1751 EAST LONG STREET </t>
  </si>
  <si>
    <t>614-253-8050</t>
  </si>
  <si>
    <t>RANDALL RESIDENCE</t>
  </si>
  <si>
    <t>RANDALL RESIDENCE OF FREMONT</t>
  </si>
  <si>
    <t xml:space="preserve">805 SOUTH BUCHANAN STREET </t>
  </si>
  <si>
    <t>FREMONT</t>
  </si>
  <si>
    <t>567-855-1162</t>
  </si>
  <si>
    <t>RANDALL RESIDENCE OF WHEELERSBURG</t>
  </si>
  <si>
    <t xml:space="preserve">900 PIRATE DRIVE </t>
  </si>
  <si>
    <t>WHEELERSBURG</t>
  </si>
  <si>
    <t>740-370-1922</t>
  </si>
  <si>
    <t>RANDALL RESIDENCE OF WEST MILTON</t>
  </si>
  <si>
    <t xml:space="preserve">217 DORIS DRIVE </t>
  </si>
  <si>
    <t>WEST MILTON</t>
  </si>
  <si>
    <t>567-414-2437</t>
  </si>
  <si>
    <t>RANDALL RESIDENCE OF TROY</t>
  </si>
  <si>
    <t xml:space="preserve">2900 CORPORATE DRIVE </t>
  </si>
  <si>
    <t>TROOY</t>
  </si>
  <si>
    <t>937-552-3489</t>
  </si>
  <si>
    <t>RANDALL ESIDENCE OF NEWARK</t>
  </si>
  <si>
    <t xml:space="preserve">1065 JOHNSON AVENUE </t>
  </si>
  <si>
    <t>NEWARK</t>
  </si>
  <si>
    <t>740-618-2067</t>
  </si>
  <si>
    <t>RANDALL RESIDENCE OF ENCORE VILLAGE</t>
  </si>
  <si>
    <t xml:space="preserve">10801 EAST GRAND RIVER AVENUE </t>
  </si>
  <si>
    <t>BRIGHTON</t>
  </si>
  <si>
    <t>FRANKLIN SKILLED NURSING</t>
  </si>
  <si>
    <t xml:space="preserve">130 CHESTNUT STREET </t>
  </si>
  <si>
    <t>FRANKLIN</t>
  </si>
  <si>
    <t>540-489-3467</t>
  </si>
  <si>
    <t>GREENE MEADOWS NURSING</t>
  </si>
  <si>
    <t xml:space="preserve">161 JEFFERSON HEIGHTS </t>
  </si>
  <si>
    <t>518-943-9380</t>
  </si>
  <si>
    <t>MEADOWVIEW NURSING AND REHAB</t>
  </si>
  <si>
    <t xml:space="preserve">9209 RIDGE PIKE </t>
  </si>
  <si>
    <t>PHILADELPHIA</t>
  </si>
  <si>
    <t>610-825-6560</t>
  </si>
  <si>
    <t>KIMWELL NURSING AND REHAB</t>
  </si>
  <si>
    <t xml:space="preserve">495 NEW BOSTON ROAD </t>
  </si>
  <si>
    <t>FALL RIVER</t>
  </si>
  <si>
    <t>508-679-0106</t>
  </si>
  <si>
    <t>KATHLEEN DANIEL NURSING</t>
  </si>
  <si>
    <t xml:space="preserve">485 FRANKLIN STREET </t>
  </si>
  <si>
    <t>FARMINGHAM</t>
  </si>
  <si>
    <t>508-872-8801</t>
  </si>
  <si>
    <t>PAGE REHAB AND NURSING</t>
  </si>
  <si>
    <t xml:space="preserve">2310 N AIRPORT ROAD </t>
  </si>
  <si>
    <t>FORT MEYERS</t>
  </si>
  <si>
    <t>239-936-0203</t>
  </si>
  <si>
    <t>THE FOUNTAINS AT MILL COVE</t>
  </si>
  <si>
    <t xml:space="preserve">9960 ATRIUM WAY </t>
  </si>
  <si>
    <t>JACKSONVILLE</t>
  </si>
  <si>
    <t>904-724-4001</t>
  </si>
  <si>
    <t>WILLOW TERRACE</t>
  </si>
  <si>
    <t xml:space="preserve">1 PENN BOULEVARD </t>
  </si>
  <si>
    <t>215-951-8500</t>
  </si>
  <si>
    <t>WESTCHESTER CENTER FOR REHAB AND NURSING</t>
  </si>
  <si>
    <t xml:space="preserve">10 CLAREMONT AVENUE </t>
  </si>
  <si>
    <t>914-699-1600</t>
  </si>
  <si>
    <t>CHARLWELL HOUSE</t>
  </si>
  <si>
    <t xml:space="preserve">305 WALPOLE STREET </t>
  </si>
  <si>
    <t>NORWOOD</t>
  </si>
  <si>
    <t>781-762-7700</t>
  </si>
  <si>
    <t>CRAWFORD SKILLED NURSING</t>
  </si>
  <si>
    <t xml:space="preserve">273 OAK GROVE AVENUE </t>
  </si>
  <si>
    <t>508-679-4866</t>
  </si>
  <si>
    <t>COUNTRY GARDENS SKILLED NURSING</t>
  </si>
  <si>
    <t xml:space="preserve">2045 GRAND ARMY HIGHWAY </t>
  </si>
  <si>
    <t>SWANSEA</t>
  </si>
  <si>
    <t>508-379-9700</t>
  </si>
  <si>
    <t>LEROY VILLAGE GREEN</t>
  </si>
  <si>
    <t xml:space="preserve">10 MUNSON STREET </t>
  </si>
  <si>
    <t>LEROY</t>
  </si>
  <si>
    <t>585-768-2651</t>
  </si>
  <si>
    <t>CHESTNUT HILL LODGE</t>
  </si>
  <si>
    <t xml:space="preserve">8833 STENTON AVENUE </t>
  </si>
  <si>
    <t>WYNDMOOR</t>
  </si>
  <si>
    <t>215-836-2100</t>
  </si>
  <si>
    <t>PREMIER WASHINGTON NURSING AND REHAB</t>
  </si>
  <si>
    <t xml:space="preserve">36 PLD HICKORY RIDGE ROAD </t>
  </si>
  <si>
    <t>WASHINGTON</t>
  </si>
  <si>
    <t>724-228-5010</t>
  </si>
  <si>
    <t>BROCKTON HEALTH CENTER</t>
  </si>
  <si>
    <t xml:space="preserve">2 BEAUMONT AVENUE </t>
  </si>
  <si>
    <t>508-852-8550</t>
  </si>
  <si>
    <t>BRIGHAM MANOR NURISNG AND CARE</t>
  </si>
  <si>
    <t xml:space="preserve">77 HIGH STREET </t>
  </si>
  <si>
    <t>NEWBURYPORT</t>
  </si>
  <si>
    <t>978-462-4221</t>
  </si>
  <si>
    <t>PINE HAVEN NURSING HOME</t>
  </si>
  <si>
    <t xml:space="preserve">201 MAIN STREET </t>
  </si>
  <si>
    <t>PHILMONT</t>
  </si>
  <si>
    <t>518-672-4021</t>
  </si>
  <si>
    <t>BLUE HILLS ALZHEIMERS CARE</t>
  </si>
  <si>
    <t xml:space="preserve">1044 PARK STREET </t>
  </si>
  <si>
    <t>MOUGHTON</t>
  </si>
  <si>
    <t>781-311-7300</t>
  </si>
  <si>
    <t>SUNNYVIEW NURSING AND REHAB</t>
  </si>
  <si>
    <t xml:space="preserve">107 SUNNYVIEW CIRCLE </t>
  </si>
  <si>
    <t>BUTLER</t>
  </si>
  <si>
    <t>724-282-1800</t>
  </si>
  <si>
    <t>HANOVER TERRACE HEALTHCARE</t>
  </si>
  <si>
    <t xml:space="preserve">49 LYME ROAD </t>
  </si>
  <si>
    <t>603-643-2854</t>
  </si>
  <si>
    <t>HIGHFIELD GARDENS CARE CENTER</t>
  </si>
  <si>
    <t xml:space="preserve">199 COMMUNITY DRIVE </t>
  </si>
  <si>
    <t>GREAT NECK</t>
  </si>
  <si>
    <t>516-303-0100</t>
  </si>
  <si>
    <t>GENESEE NURSING AND REHAB</t>
  </si>
  <si>
    <t xml:space="preserve">278 BANK STREET </t>
  </si>
  <si>
    <t>BATAVIA</t>
  </si>
  <si>
    <t>585-344-8555</t>
  </si>
  <si>
    <t>PREMIER HEALTHCARE MANAGEMENT</t>
  </si>
  <si>
    <t xml:space="preserve">475 OBERLIN AVENUE S </t>
  </si>
  <si>
    <t>HEARTLOVE PLACE</t>
  </si>
  <si>
    <t xml:space="preserve">1915 N DR MARTIN LUTHER KING J DRIVE </t>
  </si>
  <si>
    <t>414-372-1550</t>
  </si>
  <si>
    <t>FIRST BAPTIST OF ST CHARLES</t>
  </si>
  <si>
    <t xml:space="preserve">136 STODDERT AVENUE </t>
  </si>
  <si>
    <t>301-638-0589</t>
  </si>
  <si>
    <t>COURAGE COTTAGE</t>
  </si>
  <si>
    <t xml:space="preserve">409 EAST 1ST STREET </t>
  </si>
  <si>
    <t>320-585-5971</t>
  </si>
  <si>
    <t>HEBER VALLEY ASSISTED LIVING</t>
  </si>
  <si>
    <t xml:space="preserve">905 SOUTH FIELD ROAD </t>
  </si>
  <si>
    <t>HEBER CITY</t>
  </si>
  <si>
    <t>435-657-2536</t>
  </si>
  <si>
    <t>MIDWEST CATERING LLC</t>
  </si>
  <si>
    <t xml:space="preserve">2423 KENMOORE ROAD </t>
  </si>
  <si>
    <t>MAUMEE</t>
  </si>
  <si>
    <t>866-203-0308</t>
  </si>
  <si>
    <t>Embassy Healthcare</t>
  </si>
  <si>
    <t>EMBASSY OF WOODVIEW</t>
  </si>
  <si>
    <t xml:space="preserve">2770 CLIME ROAD </t>
  </si>
  <si>
    <t>614-276-8222</t>
  </si>
  <si>
    <t>EMBASSY OF WINCHESTER</t>
  </si>
  <si>
    <t xml:space="preserve">36 LEHAMAN DRIVE </t>
  </si>
  <si>
    <t>CANAL WINCHESTER</t>
  </si>
  <si>
    <t>614-834-2273</t>
  </si>
  <si>
    <t>EMBASSY OF PICKERINGTON</t>
  </si>
  <si>
    <t xml:space="preserve">1300 HILL ROAD NORTH </t>
  </si>
  <si>
    <t>PICKERINGTON</t>
  </si>
  <si>
    <t>614-863-1858</t>
  </si>
  <si>
    <t>EMBASSY OF NEWARK</t>
  </si>
  <si>
    <t xml:space="preserve">75 MCMILLEN DRVE </t>
  </si>
  <si>
    <t>740-344-0357</t>
  </si>
  <si>
    <t>EMBASSY OF LOGAN</t>
  </si>
  <si>
    <t xml:space="preserve">300 ARLINGTON AVENUE </t>
  </si>
  <si>
    <t>LOGAN</t>
  </si>
  <si>
    <t>740-385-2155</t>
  </si>
  <si>
    <t>EMBASSY OF LEBANON</t>
  </si>
  <si>
    <t xml:space="preserve">700 MONROE ROAD </t>
  </si>
  <si>
    <t>LEBANON</t>
  </si>
  <si>
    <t>513-932-0105</t>
  </si>
  <si>
    <t>EMBASSY OF MARION</t>
  </si>
  <si>
    <t xml:space="preserve">175 COMMUNITY DRVE </t>
  </si>
  <si>
    <t>740-387-7537</t>
  </si>
  <si>
    <t>EMBASSY OF EUCLID</t>
  </si>
  <si>
    <t xml:space="preserve">3 GATEWAY </t>
  </si>
  <si>
    <t>EUCLID</t>
  </si>
  <si>
    <t>216-452-2140</t>
  </si>
  <si>
    <t>ROCKPORT RETIREMENT COMMUNITY-AN EMBASSY HC COMMUNITY</t>
  </si>
  <si>
    <t xml:space="preserve">20375 CENTER RIDGE ROAD </t>
  </si>
  <si>
    <t>ROCKY RIVER</t>
  </si>
  <si>
    <t>440-356-5444</t>
  </si>
  <si>
    <t>REGENT OF STOW-AN EMBASSY HC COMMUNITY</t>
  </si>
  <si>
    <t xml:space="preserve">3855 FISHCREEK ROAD </t>
  </si>
  <si>
    <t>STOW</t>
  </si>
  <si>
    <t>330-557-8009</t>
  </si>
  <si>
    <t>EMBASSY OF LYNDHURST</t>
  </si>
  <si>
    <t xml:space="preserve">1575 BRAINARD ROAD </t>
  </si>
  <si>
    <t>LYNDHURST</t>
  </si>
  <si>
    <t>440-460-1000</t>
  </si>
  <si>
    <t>CARETECH SUPPLIES LLC</t>
  </si>
  <si>
    <t>THE ELIOT AT TROY</t>
  </si>
  <si>
    <t xml:space="preserve">2902 TIBBITS AVENUE </t>
  </si>
  <si>
    <t>TROY</t>
  </si>
  <si>
    <t>BRISTOL HOSPICE LLC</t>
  </si>
  <si>
    <t>BRISTOL HOSPICE-709 SPRING</t>
  </si>
  <si>
    <t xml:space="preserve">2002 TIMBER LOCK PL #150 </t>
  </si>
  <si>
    <t>SPRING</t>
  </si>
  <si>
    <t>BRISTOL HOSPICE-BAKERSFIELD</t>
  </si>
  <si>
    <t xml:space="preserve">11323 MONTAGE AVENUE </t>
  </si>
  <si>
    <t>BAKERSFIELD</t>
  </si>
  <si>
    <t>BRISTOL HOSPICE LAKE ISABELLA</t>
  </si>
  <si>
    <t xml:space="preserve">2700 STEENSEN STREET </t>
  </si>
  <si>
    <t>LAKE ISABELLA</t>
  </si>
  <si>
    <t>BRISTOL HOSPICE-GOLDEN</t>
  </si>
  <si>
    <t xml:space="preserve">762 CHIMNEY CREEK DRIVE </t>
  </si>
  <si>
    <t>GOLDEN</t>
  </si>
  <si>
    <t>BRISTOL HOPSICE-HUTCHINSON</t>
  </si>
  <si>
    <t xml:space="preserve">3403 LAKEVIEW ROAD </t>
  </si>
  <si>
    <t>HUTCHINGSON</t>
  </si>
  <si>
    <t>BRISTOL HOSPICE-BONNE TERRE</t>
  </si>
  <si>
    <t xml:space="preserve">1857 SHAYNE DRIVE </t>
  </si>
  <si>
    <t>BONNE TERRE</t>
  </si>
  <si>
    <t>BRISTOL HOSPICE-NORTH CHESTERFIELD</t>
  </si>
  <si>
    <t xml:space="preserve">3901 WALWORTH DRIVE </t>
  </si>
  <si>
    <t>NORTH CHESTERFIELD</t>
  </si>
  <si>
    <t>BRISTOL HOSPICE WATKINSVILLE</t>
  </si>
  <si>
    <t xml:space="preserve">1252 VIRGIL LANGFORD ROAD </t>
  </si>
  <si>
    <t>FOREST HILLS CARE CENTER</t>
  </si>
  <si>
    <t xml:space="preserve">71-44 YELLOWSTONE BLVD </t>
  </si>
  <si>
    <t>FOREST HILLS</t>
  </si>
  <si>
    <t>718-544-4300</t>
  </si>
  <si>
    <t>Decameron S.A. De C.V.</t>
  </si>
  <si>
    <t>Aloft San Jose Hotel Costa Rica</t>
  </si>
  <si>
    <t xml:space="preserve">Forum 2 Business Park Radial Belén Santa Ana </t>
  </si>
  <si>
    <t>San Jose</t>
  </si>
  <si>
    <t>Costa Rica</t>
  </si>
  <si>
    <t>Noelia Pasapera</t>
  </si>
  <si>
    <t>Geovanny Umana</t>
  </si>
  <si>
    <t>+1 (506) 2205 3535</t>
  </si>
  <si>
    <t>Conrad Miami</t>
  </si>
  <si>
    <t xml:space="preserve">1395 Brickell Avenue </t>
  </si>
  <si>
    <t>Hilton Hotels</t>
  </si>
  <si>
    <t>Sean Flanigan</t>
  </si>
  <si>
    <t>+1 (305) 503-6500</t>
  </si>
  <si>
    <t>CAMP PUPUKEA-BSA ALOHA COUNCIL</t>
  </si>
  <si>
    <t xml:space="preserve">59-780 PUPUKEA RD </t>
  </si>
  <si>
    <t>HONOLULU</t>
  </si>
  <si>
    <t>HI</t>
  </si>
  <si>
    <t>808-638-8373</t>
  </si>
  <si>
    <t>TANABELL HEALTH SERVICES</t>
  </si>
  <si>
    <t>QUINN MEADOWS REHAB &amp; CARE</t>
  </si>
  <si>
    <t xml:space="preserve">1033 W QUINN RD </t>
  </si>
  <si>
    <t>POCATELLO</t>
  </si>
  <si>
    <t>208-637-8888</t>
  </si>
  <si>
    <t>THE PARKS MANAGEMENT</t>
  </si>
  <si>
    <t>KEWALO APARTMENTS</t>
  </si>
  <si>
    <t xml:space="preserve">1407 KEWALO STREET </t>
  </si>
  <si>
    <t>808-531-3233</t>
  </si>
  <si>
    <t>Deva Corporation</t>
  </si>
  <si>
    <t>Days Inn by Wyndham Dallas Irving</t>
  </si>
  <si>
    <t xml:space="preserve">2200 East Airport Freeway </t>
  </si>
  <si>
    <t>Irving</t>
  </si>
  <si>
    <t>Mark Patel</t>
  </si>
  <si>
    <t>+1 (972) 438-6666</t>
  </si>
  <si>
    <t>HALAWA VIEW APARTMENTS</t>
  </si>
  <si>
    <t xml:space="preserve">99-099 KALALOA STREET </t>
  </si>
  <si>
    <t>AIEA</t>
  </si>
  <si>
    <t>808-488-3613</t>
  </si>
  <si>
    <t>Decameron Panama</t>
  </si>
  <si>
    <t xml:space="preserve">Avenida Principal Farallón. Kilómetro 115 Carretera Interamericana – Penonomé </t>
  </si>
  <si>
    <t>Rio Hato</t>
  </si>
  <si>
    <t>Decameron</t>
  </si>
  <si>
    <t>Dionisio Gonzalez</t>
  </si>
  <si>
    <t>Cesar Jaramillo</t>
  </si>
  <si>
    <t>+1 (507) 993-2255</t>
  </si>
  <si>
    <t>Captain Whidbey Inn</t>
  </si>
  <si>
    <t xml:space="preserve">2072 W Captain Whidbey Inn Road </t>
  </si>
  <si>
    <t>Coupeville</t>
  </si>
  <si>
    <t>Doug Mills</t>
  </si>
  <si>
    <t>+1 (360) 678-4097</t>
  </si>
  <si>
    <t>2356449 Ontario Inc. dba NOA Hospitality Group</t>
  </si>
  <si>
    <t>Clarion Hotel Sudbury</t>
  </si>
  <si>
    <t xml:space="preserve">117 Elm Street </t>
  </si>
  <si>
    <t>Sudbury</t>
  </si>
  <si>
    <t>p3c 1t3</t>
  </si>
  <si>
    <t>Derek Weiseinberg</t>
  </si>
  <si>
    <t>+1 (705) 674-7517</t>
  </si>
  <si>
    <t>Hostmark Hospitality Group</t>
  </si>
  <si>
    <t>Comfort Inn &amp; Suites Saratoga Springs</t>
  </si>
  <si>
    <t xml:space="preserve">17 Old Gick Road </t>
  </si>
  <si>
    <t>Saratoga Springs</t>
  </si>
  <si>
    <t>Christopher Flores</t>
  </si>
  <si>
    <t>+1 (518) 587-6844</t>
  </si>
  <si>
    <t>KOFFEE KOVE</t>
  </si>
  <si>
    <t xml:space="preserve">220 JAMES STREET </t>
  </si>
  <si>
    <t>CLAYTON</t>
  </si>
  <si>
    <t>315-686-2472</t>
  </si>
  <si>
    <t>Promotora Solmar S.A. de C.V</t>
  </si>
  <si>
    <t>Quinta del Sol</t>
  </si>
  <si>
    <t>Boulevard Larazo Cardenas S/N El Medano Ejidal</t>
  </si>
  <si>
    <t>Juan Jose Castro</t>
  </si>
  <si>
    <t>+()52 624 163 7500</t>
  </si>
  <si>
    <t>Solmar Resort</t>
  </si>
  <si>
    <t xml:space="preserve">Av. Solmar #1 Centro </t>
  </si>
  <si>
    <t>+()52 624 146 7700</t>
  </si>
  <si>
    <t>Playa Grande Resort &amp; Grand Spa</t>
  </si>
  <si>
    <t xml:space="preserve">Av. Playa Grande 1 Centro </t>
  </si>
  <si>
    <t>+()52 624 145 7500</t>
  </si>
  <si>
    <t>The Ridge at Playa Grande</t>
  </si>
  <si>
    <t>+52 (624) 145-7575</t>
  </si>
  <si>
    <t>Grand Solmar The Residences at Rancho San Lucas</t>
  </si>
  <si>
    <t xml:space="preserve">Carretera Todos Santos KM 120 #1-A </t>
  </si>
  <si>
    <t>+()52 800 509-5991</t>
  </si>
  <si>
    <t>Grand Solmar at Rancho San Lucas Resort Golf &amp; Spa</t>
  </si>
  <si>
    <t xml:space="preserve">Carretera Todos Santos Km 120 #1 </t>
  </si>
  <si>
    <t>+()52 624-143-0900</t>
  </si>
  <si>
    <t>Grand Solmar Land's End Resort &amp; Spa</t>
  </si>
  <si>
    <t xml:space="preserve">Av Solmar #1A Centro </t>
  </si>
  <si>
    <t>+52 (800) 509-5991</t>
  </si>
  <si>
    <t>Residence Inn Charlotte Northlake</t>
  </si>
  <si>
    <t xml:space="preserve">9110 Harris Corners Parkway </t>
  </si>
  <si>
    <t>Donnie Jenkins</t>
  </si>
  <si>
    <t>+1(704)719-9444</t>
  </si>
  <si>
    <t>Courtyard Charlotte Northlake</t>
  </si>
  <si>
    <t>Home2 Suites Tupelo</t>
  </si>
  <si>
    <t xml:space="preserve">1005 Landmark Boulevard </t>
  </si>
  <si>
    <t>Tupelo</t>
  </si>
  <si>
    <t>Todd Lemen</t>
  </si>
  <si>
    <t>+1 (662) 350-6256</t>
  </si>
  <si>
    <t>Quality Inn &amp; Suites Keokuk North</t>
  </si>
  <si>
    <t xml:space="preserve">3404 Main Street </t>
  </si>
  <si>
    <t>Keokuk</t>
  </si>
  <si>
    <t>Kat Blakely</t>
  </si>
  <si>
    <t>+1 (319) 524-9000</t>
  </si>
  <si>
    <t>Holiday Inn Express Lathrop</t>
  </si>
  <si>
    <t xml:space="preserve">15688 S Harlan Rd. </t>
  </si>
  <si>
    <t>Lathrop</t>
  </si>
  <si>
    <t>Pao Vang</t>
  </si>
  <si>
    <t>+1 (209) 373-2700</t>
  </si>
  <si>
    <t>Fairfield Inn &amp; Suites Columbia (MO)</t>
  </si>
  <si>
    <t xml:space="preserve">1115 Woodland Spring Court </t>
  </si>
  <si>
    <t>Columbia</t>
  </si>
  <si>
    <t>Jeff Schneider</t>
  </si>
  <si>
    <t>+1 (573) 886-8888</t>
  </si>
  <si>
    <t>Stealth Management Group</t>
  </si>
  <si>
    <t>Quality Inn &amp; Suites Lehigh Acres Fort Myers</t>
  </si>
  <si>
    <t xml:space="preserve">1320 Business Way </t>
  </si>
  <si>
    <t>Lehigh</t>
  </si>
  <si>
    <t>+1 (772) 342-6095</t>
  </si>
  <si>
    <t>Holiday Inn Express &amp; Suites Chico</t>
  </si>
  <si>
    <t xml:space="preserve">2074 East 20th Street </t>
  </si>
  <si>
    <t>Chico</t>
  </si>
  <si>
    <t>Calder Barnard</t>
  </si>
  <si>
    <t>+1 (530) 534-5566</t>
  </si>
  <si>
    <t>Quality Inn Silicon Valley</t>
  </si>
  <si>
    <t xml:space="preserve">2390 Harris Way </t>
  </si>
  <si>
    <t>Celestina Munoz</t>
  </si>
  <si>
    <t>+1 (408) 434-9330</t>
  </si>
  <si>
    <t>Four Points by Sheraton Santa Cruz Scotts Valley</t>
  </si>
  <si>
    <t xml:space="preserve">5030 Scotts Valley Drive </t>
  </si>
  <si>
    <t>Scotts Valley</t>
  </si>
  <si>
    <t>Sarah Clark</t>
  </si>
  <si>
    <t>+1 (831) 438-1500</t>
  </si>
  <si>
    <t>Holiday Inn Express and Suites Watsonville</t>
  </si>
  <si>
    <t xml:space="preserve">1855 Main ST </t>
  </si>
  <si>
    <t>Watsonville</t>
  </si>
  <si>
    <t>Mario Arroyo</t>
  </si>
  <si>
    <t>+ (831) 728-3200</t>
  </si>
  <si>
    <t>Holiday Inn Express and Suites Oroville</t>
  </si>
  <si>
    <t xml:space="preserve">550 Oro Dam Blvd E </t>
  </si>
  <si>
    <t>Oroville</t>
  </si>
  <si>
    <t>Bruce Spangler</t>
  </si>
  <si>
    <t>+1 (530)534-5566</t>
  </si>
  <si>
    <t>Fairfield Inn &amp; Suites Hollister</t>
  </si>
  <si>
    <t xml:space="preserve">390 Gateway Drive </t>
  </si>
  <si>
    <t>Imraan Abhadhan</t>
  </si>
  <si>
    <t>+1(831)634-1101</t>
  </si>
  <si>
    <t>Fairfield Inn &amp; Suites Santa Cruz</t>
  </si>
  <si>
    <t xml:space="preserve">2956 Mission Street </t>
  </si>
  <si>
    <t>Jordan Belton</t>
  </si>
  <si>
    <t>Joy Clark</t>
  </si>
  <si>
    <t>+1 (831) 420-0777</t>
  </si>
  <si>
    <t>Fairfield Inn Santa Maria</t>
  </si>
  <si>
    <t xml:space="preserve">2061 North Roemer Court </t>
  </si>
  <si>
    <t>Garey</t>
  </si>
  <si>
    <t>Ricardo Herrera</t>
  </si>
  <si>
    <t>+ () 408/453-6464</t>
  </si>
  <si>
    <t>Courtyard Santa Cruz</t>
  </si>
  <si>
    <t xml:space="preserve">321 Riverside Avenue </t>
  </si>
  <si>
    <t>Mikael Labuguen</t>
  </si>
  <si>
    <t>Holiday Inn Express Klamath Falls Central</t>
  </si>
  <si>
    <t xml:space="preserve">2430 South Sixth Street </t>
  </si>
  <si>
    <t>Klamath Falls</t>
  </si>
  <si>
    <t>Denise Woodland</t>
  </si>
  <si>
    <t>+1(541)884-9999</t>
  </si>
  <si>
    <t>TownePlace Suites Vernal</t>
  </si>
  <si>
    <t xml:space="preserve">1219 West Highway 40 </t>
  </si>
  <si>
    <t>Vernal</t>
  </si>
  <si>
    <t>April Perry</t>
  </si>
  <si>
    <t>+ (435) 789-8050</t>
  </si>
  <si>
    <t>Fairfield Inn Memphis Germantown</t>
  </si>
  <si>
    <t xml:space="preserve">9320 Poplar Pike </t>
  </si>
  <si>
    <t>Germantown</t>
  </si>
  <si>
    <t>Katie Page</t>
  </si>
  <si>
    <t>+ (901) 757-9100</t>
  </si>
  <si>
    <t>Homewood Suites Germantown</t>
  </si>
  <si>
    <t xml:space="preserve">7855 Wolf River Blvd </t>
  </si>
  <si>
    <t>Krystal Thompson</t>
  </si>
  <si>
    <t>+ (901) 751-2500</t>
  </si>
  <si>
    <t>Clarion Inn &amp; Suites Orlando</t>
  </si>
  <si>
    <t xml:space="preserve">5829 Grand National Dr </t>
  </si>
  <si>
    <t>James Chakir</t>
  </si>
  <si>
    <t>+1 (407) 351-3800</t>
  </si>
  <si>
    <t>Hampton Inn &amp; Suites Paso Robles</t>
  </si>
  <si>
    <t xml:space="preserve">212 Alexa Court </t>
  </si>
  <si>
    <t>Paso Robles</t>
  </si>
  <si>
    <t>Mark Samsow</t>
  </si>
  <si>
    <t>+1 (805) 226-9988</t>
  </si>
  <si>
    <t>evo Hotel</t>
  </si>
  <si>
    <t xml:space="preserve">660 South 400 West </t>
  </si>
  <si>
    <t>Garrett Clements</t>
  </si>
  <si>
    <t>Rick Patten</t>
  </si>
  <si>
    <t>Hawkeye Hospitality Management Inc.</t>
  </si>
  <si>
    <t>Meadowlands River Inn</t>
  </si>
  <si>
    <t xml:space="preserve">250 Harmon Meadow Boulevard </t>
  </si>
  <si>
    <t>Haresh Rajakaruna</t>
  </si>
  <si>
    <t>Ryan White</t>
  </si>
  <si>
    <t>+1 (201) 867-4400</t>
  </si>
  <si>
    <t>TownePlace Suites Tehachapi</t>
  </si>
  <si>
    <t xml:space="preserve">1052 Magellan Drive </t>
  </si>
  <si>
    <t>Tehachapi</t>
  </si>
  <si>
    <t>Teresa Carlson</t>
  </si>
  <si>
    <t>+1 (661) 338-5000</t>
  </si>
  <si>
    <t>University of Louisville University Club - Company</t>
  </si>
  <si>
    <t xml:space="preserve">University Club of Louisville </t>
  </si>
  <si>
    <t xml:space="preserve">2001 Brook Street </t>
  </si>
  <si>
    <t>Bill Rothballer</t>
  </si>
  <si>
    <t>+1 (502) 852-6996</t>
  </si>
  <si>
    <t>Dine HFDM LLC</t>
  </si>
  <si>
    <t xml:space="preserve">1000 Walnut Street </t>
  </si>
  <si>
    <t>Des Moines</t>
  </si>
  <si>
    <t>Phil Davidson</t>
  </si>
  <si>
    <t>Aim Hotels LLC</t>
  </si>
  <si>
    <t>Homewood Suites by Hilton - York</t>
  </si>
  <si>
    <t xml:space="preserve">200 Masonic Avenue </t>
  </si>
  <si>
    <t>York</t>
  </si>
  <si>
    <t>Vicky Lauer</t>
  </si>
  <si>
    <t>+1 (717) 434-1800</t>
  </si>
  <si>
    <t>THE GLENMARY AT EVERGREEN AND GLENMARY</t>
  </si>
  <si>
    <t xml:space="preserve">1550 NORTH PARKWAY </t>
  </si>
  <si>
    <t>901-726-4881</t>
  </si>
  <si>
    <t>CAMP SYCAMORE HILLS</t>
  </si>
  <si>
    <t xml:space="preserve">2020 GIRL SCOUT ROAD </t>
  </si>
  <si>
    <t>615-460-0212</t>
  </si>
  <si>
    <t>CAMP HOLLOWAY</t>
  </si>
  <si>
    <t xml:space="preserve">7551 HOLLOWAY ROAD </t>
  </si>
  <si>
    <t>LIFEPLATE</t>
  </si>
  <si>
    <t xml:space="preserve">9125 DICEMAN DRIVE </t>
  </si>
  <si>
    <t>773-850-7191</t>
  </si>
  <si>
    <t>ADULT &amp; TEEN CHALLENGE TX-EAST TX MENS REHAB</t>
  </si>
  <si>
    <t xml:space="preserve">126 STATE HIGHWAY 271 </t>
  </si>
  <si>
    <t>DEPORT</t>
  </si>
  <si>
    <t>817-406-4441</t>
  </si>
  <si>
    <t>REM NEW JERSEY</t>
  </si>
  <si>
    <t xml:space="preserve">53 NORTH DRIVE </t>
  </si>
  <si>
    <t>TABERNACLE</t>
  </si>
  <si>
    <t>NEW JERSEY MENTOR</t>
  </si>
  <si>
    <t xml:space="preserve">2000 CRAWFORD PL SUITE 700 </t>
  </si>
  <si>
    <t>MOUNT LAUREL</t>
  </si>
  <si>
    <t>PRESBYTERIAN HOMES OF GEORGIA</t>
  </si>
  <si>
    <t>PRESBYTERIAN VILLAGE ATHENS</t>
  </si>
  <si>
    <t xml:space="preserve">1400 LIVE OAK LANE </t>
  </si>
  <si>
    <t>706-395-5525</t>
  </si>
  <si>
    <t>MSHN ENTERPRISES</t>
  </si>
  <si>
    <t>MSHN-MCKENZIE</t>
  </si>
  <si>
    <t xml:space="preserve">360 OLD MCKENZIE ROAD </t>
  </si>
  <si>
    <t>MCKENZIE</t>
  </si>
  <si>
    <t>901-628-7999</t>
  </si>
  <si>
    <t>BRIGHTSIDE ACADEMY</t>
  </si>
  <si>
    <t xml:space="preserve">14001 KINGSMAN AVENUE </t>
  </si>
  <si>
    <t>ELIM PREFERRED SERVICES INC</t>
  </si>
  <si>
    <t xml:space="preserve">3500 HOLLY LAND STE 30 </t>
  </si>
  <si>
    <t>PLYMOUTH</t>
  </si>
  <si>
    <t>HPSI:NURSING HOME PROVIDER</t>
  </si>
  <si>
    <t>763-350-9486</t>
  </si>
  <si>
    <t>FELLOWSHIP HOME AT COTTON HILL</t>
  </si>
  <si>
    <t xml:space="preserve">6330 HWY 82 WEST </t>
  </si>
  <si>
    <t>CUTHBERT</t>
  </si>
  <si>
    <t>229-732-2188</t>
  </si>
  <si>
    <t>INSPIRED SENIOR LIVING OF HANOVER</t>
  </si>
  <si>
    <t xml:space="preserve">10875 SETTLER LANE </t>
  </si>
  <si>
    <t>STONECREST ASSISTED LIVING</t>
  </si>
  <si>
    <t xml:space="preserve">2861 HIGHWAY 52 E </t>
  </si>
  <si>
    <t>LAFAYETTE</t>
  </si>
  <si>
    <t>615-666-6400</t>
  </si>
  <si>
    <t>MID COAST CENTRAL MEDICAL CENTER</t>
  </si>
  <si>
    <t xml:space="preserve">200 WEST OLLIE STREET </t>
  </si>
  <si>
    <t>LLANO</t>
  </si>
  <si>
    <t>325-216-9199</t>
  </si>
  <si>
    <t>HOSPITAL AUTHORITY OF COLUMBUS GEORGIA</t>
  </si>
  <si>
    <t>MUSCOGEE HOME HEALTH</t>
  </si>
  <si>
    <t xml:space="preserve">1725 WILLIAMS ROAD </t>
  </si>
  <si>
    <t>706-561-3218</t>
  </si>
  <si>
    <t>REM ARROWHEAD</t>
  </si>
  <si>
    <t xml:space="preserve">5111 TUKANEN DRIVE </t>
  </si>
  <si>
    <t>Radisson Lansing</t>
  </si>
  <si>
    <t xml:space="preserve">111 North Grand Avenue </t>
  </si>
  <si>
    <t>Lansing</t>
  </si>
  <si>
    <t>Kenric Hall</t>
  </si>
  <si>
    <t>Richard Ragainis</t>
  </si>
  <si>
    <t>+1 (517) 482-0188</t>
  </si>
  <si>
    <t>Del Monte Hotel Management LLC</t>
  </si>
  <si>
    <t>Hampton Inn &amp; Suites Saratoga Springs Downtown</t>
  </si>
  <si>
    <t xml:space="preserve">25 Lake Avenue </t>
  </si>
  <si>
    <t>Kyle Kammerer</t>
  </si>
  <si>
    <t>+1 (518) 584-2100</t>
  </si>
  <si>
    <t>Carlyle Inn</t>
  </si>
  <si>
    <t xml:space="preserve">1119 South Robertson Boulevard </t>
  </si>
  <si>
    <t>West Los Angeles</t>
  </si>
  <si>
    <t>Jarett Jackson</t>
  </si>
  <si>
    <t>+1 (310) 275-4445</t>
  </si>
  <si>
    <t>MELODY LIVING LAKE IN THE HILLS</t>
  </si>
  <si>
    <t xml:space="preserve">525 HARVEST GATE ROAD </t>
  </si>
  <si>
    <t>LAKE IN THE HILLS</t>
  </si>
  <si>
    <t>847-957-3832</t>
  </si>
  <si>
    <t>Holiday Inn Mount Prospect - Chicago</t>
  </si>
  <si>
    <t xml:space="preserve">200 East Rand Road </t>
  </si>
  <si>
    <t>Mount Prospect</t>
  </si>
  <si>
    <t>Maria Guadalupe Morales</t>
  </si>
  <si>
    <t>Dan Goel</t>
  </si>
  <si>
    <t>+1 (847) 392-0123</t>
  </si>
  <si>
    <t>La Quinta Inn &amp; Suites Grand Prairie South</t>
  </si>
  <si>
    <t xml:space="preserve">2131 West Interstate 20 </t>
  </si>
  <si>
    <t>Grand Prairie</t>
  </si>
  <si>
    <t>Jackie McDonald</t>
  </si>
  <si>
    <t>+1 (214) 412-3220</t>
  </si>
  <si>
    <t>Magna Hospitality Group LC</t>
  </si>
  <si>
    <t>Sheraton Suites Kansas City</t>
  </si>
  <si>
    <t xml:space="preserve">770 West 47th Street </t>
  </si>
  <si>
    <t>Kansas City</t>
  </si>
  <si>
    <t>Taylor Dennard</t>
  </si>
  <si>
    <t>+ (816) 931-4400</t>
  </si>
  <si>
    <t>Oasis Marinas Management Services</t>
  </si>
  <si>
    <t>Grand Dunes Anchor Café</t>
  </si>
  <si>
    <t xml:space="preserve">8205 Marina Parkway </t>
  </si>
  <si>
    <t>Cory Emmerling</t>
  </si>
  <si>
    <t>+1 (843) 325-6800</t>
  </si>
  <si>
    <t>YONA SOLUTIONS</t>
  </si>
  <si>
    <t>YONA AT WELLSTONE REDFORD</t>
  </si>
  <si>
    <t xml:space="preserve">25330 SIX MILE ROAD </t>
  </si>
  <si>
    <t>REDFORD</t>
  </si>
  <si>
    <t>313-531-6874</t>
  </si>
  <si>
    <t>Paradigm Hotels Group LLC</t>
  </si>
  <si>
    <t>Hyatt Centric Silicon Valley</t>
  </si>
  <si>
    <t xml:space="preserve">3100 Lakeside Drive </t>
  </si>
  <si>
    <t>Santa Clara</t>
  </si>
  <si>
    <t>Brent Larkin</t>
  </si>
  <si>
    <t>+1 (408) 748-9800</t>
  </si>
  <si>
    <t>Hotel M</t>
  </si>
  <si>
    <t xml:space="preserve">250 4th Street </t>
  </si>
  <si>
    <t>Jerold Prasad</t>
  </si>
  <si>
    <t>+()877.782.9873</t>
  </si>
  <si>
    <t>FOURSQUARE HEALTHCARE LTD</t>
  </si>
  <si>
    <t>MIDLAND MEDICAL LODGE</t>
  </si>
  <si>
    <t xml:space="preserve">3000 MOCKINGBIRD LANE </t>
  </si>
  <si>
    <t>MIDLAND</t>
  </si>
  <si>
    <t>210-564-0100</t>
  </si>
  <si>
    <t>Kansas City Marriott Downtown</t>
  </si>
  <si>
    <t xml:space="preserve">200 West 12th Street </t>
  </si>
  <si>
    <t>Brent Simpson</t>
  </si>
  <si>
    <t>Rusty Macy</t>
  </si>
  <si>
    <t>+ (816) 421-6800</t>
  </si>
  <si>
    <t>Meliá Nassau Beach</t>
  </si>
  <si>
    <t xml:space="preserve">4914 West Bay Street </t>
  </si>
  <si>
    <t>Nassau</t>
  </si>
  <si>
    <t>BHS</t>
  </si>
  <si>
    <t>CB10977</t>
  </si>
  <si>
    <t>Bahamas</t>
  </si>
  <si>
    <t>Meliã Hotels &amp; Resorts</t>
  </si>
  <si>
    <t>Pablo Cogolludo</t>
  </si>
  <si>
    <t>+1 (242 )677-9063</t>
  </si>
  <si>
    <t>Anderson Hospitality Group LLC</t>
  </si>
  <si>
    <t>Embassy Suites Bowling Green</t>
  </si>
  <si>
    <t xml:space="preserve">556 Hub Blvd </t>
  </si>
  <si>
    <t>Bowling Green</t>
  </si>
  <si>
    <t>Jeff Anderson</t>
  </si>
  <si>
    <t>+()678-794-0438</t>
  </si>
  <si>
    <t>Holiday Inn Express Sacramento</t>
  </si>
  <si>
    <t xml:space="preserve">728 16th St </t>
  </si>
  <si>
    <t>+1 (916) 444-4436</t>
  </si>
  <si>
    <t>Seminole Legacy Golf Club</t>
  </si>
  <si>
    <t xml:space="preserve">2550 Pottsdamer Street </t>
  </si>
  <si>
    <t>Jaxon Hardy</t>
  </si>
  <si>
    <t>Elizabeth Muccino</t>
  </si>
  <si>
    <t>+1 (850) 644-2582</t>
  </si>
  <si>
    <t xml:space="preserve">ACCEL AT GOLDEN RIDGE </t>
  </si>
  <si>
    <t xml:space="preserve">600 GOLDEN RIDGE ROAD </t>
  </si>
  <si>
    <t>303-317-5002</t>
  </si>
  <si>
    <t>Sage Hospitality Resources LLC</t>
  </si>
  <si>
    <t>Westin Washington D.C. City Center</t>
  </si>
  <si>
    <t xml:space="preserve">1400 M Street NW </t>
  </si>
  <si>
    <t>Michael Berry</t>
  </si>
  <si>
    <t>+1 (202) 429-1700</t>
  </si>
  <si>
    <t>Holiday Inn Chattanooga Hamilton Place</t>
  </si>
  <si>
    <t xml:space="preserve">2232 Center Street </t>
  </si>
  <si>
    <t>Laura Reed</t>
  </si>
  <si>
    <t>+1 (423) 485-1185</t>
  </si>
  <si>
    <t>Hilton Garden Inn Houston Galleria</t>
  </si>
  <si>
    <t xml:space="preserve">3201 Sage Road </t>
  </si>
  <si>
    <t>Jay Gregg</t>
  </si>
  <si>
    <t>Luis Figueroa</t>
  </si>
  <si>
    <t>+1 (281) 531-0220</t>
  </si>
  <si>
    <t>Hilton Garden Inn Houston Energy Corridor</t>
  </si>
  <si>
    <t xml:space="preserve">12245 Katy Freeway Houston </t>
  </si>
  <si>
    <t>Mike Seigneur</t>
  </si>
  <si>
    <t xml:space="preserve">1541 SOUTH WAUKEGAN ROAD </t>
  </si>
  <si>
    <t>WAUKEGAN</t>
  </si>
  <si>
    <t>VOLUNTEERS OF AMERICA OHIO AND INDIANA</t>
  </si>
  <si>
    <t>VOA-MANSFIELD RRP</t>
  </si>
  <si>
    <t xml:space="preserve">921 NORTH MAIN STREET </t>
  </si>
  <si>
    <t>MANSFIELD</t>
  </si>
  <si>
    <t>419-524-5013</t>
  </si>
  <si>
    <t>TRULIEVE-CUTLER BAY</t>
  </si>
  <si>
    <t xml:space="preserve">19300 SOUTH DIXIE HIGHWAY </t>
  </si>
  <si>
    <t>CUTLER BAY</t>
  </si>
  <si>
    <t>786-977-8684</t>
  </si>
  <si>
    <t>PATHWAYS TO ACHIEVEMENT</t>
  </si>
  <si>
    <t xml:space="preserve">114 S 20TH AVENUE WEST STE A </t>
  </si>
  <si>
    <t>DULUTH</t>
  </si>
  <si>
    <t>THE MENTOR NETWORK CANTON</t>
  </si>
  <si>
    <t xml:space="preserve">905 TURNPIKE STREET STE E1 </t>
  </si>
  <si>
    <t>SMS CLEANING AND HOUSEKEEPING AT BLOSSOM HOMES</t>
  </si>
  <si>
    <t xml:space="preserve">4547 US 9 </t>
  </si>
  <si>
    <t>HOWELL TOWNSHIP</t>
  </si>
  <si>
    <t>RANDALL RESIDENCE OF TIFFIN</t>
  </si>
  <si>
    <t xml:space="preserve">781 GREENFIELD STREET </t>
  </si>
  <si>
    <t>TIFFIN</t>
  </si>
  <si>
    <t>567-237-1584</t>
  </si>
  <si>
    <t xml:space="preserve">3032 NOSTRAND AVENUE </t>
  </si>
  <si>
    <t xml:space="preserve">3091 ENTERPRISE DRIVE </t>
  </si>
  <si>
    <t>STATE COLLEGE</t>
  </si>
  <si>
    <t>O'NEILL MANAGEMENT INC.</t>
  </si>
  <si>
    <t>O'NEIL HEALTHCARE-MIDDLEBURG HEIGHTS</t>
  </si>
  <si>
    <t xml:space="preserve">7250 OLD OAKE BLVD </t>
  </si>
  <si>
    <t>MIDDLEBURG HEIGHTS</t>
  </si>
  <si>
    <t>440-885-5000</t>
  </si>
  <si>
    <t>NEURO RESTORATIVE</t>
  </si>
  <si>
    <t>NEURORESTORATIVE TYLER</t>
  </si>
  <si>
    <t xml:space="preserve">6589 OAK HILL BLVD </t>
  </si>
  <si>
    <t>TYLER</t>
  </si>
  <si>
    <t>903-201-4852</t>
  </si>
  <si>
    <t>MISSION POINT MADISON HEIGHTS</t>
  </si>
  <si>
    <t xml:space="preserve">3155 DEQIOMDRE </t>
  </si>
  <si>
    <t>MADISON HEIGHTS</t>
  </si>
  <si>
    <t>248-585-7010</t>
  </si>
  <si>
    <t>MISSION POINT SUPERIOR WOOD</t>
  </si>
  <si>
    <t xml:space="preserve">8380 GEDDENS ROAD </t>
  </si>
  <si>
    <t>SUPERIOR TOWNSHIP</t>
  </si>
  <si>
    <t>734-547-7600</t>
  </si>
  <si>
    <t>MISSION POINT OF BEVERLY HILLS</t>
  </si>
  <si>
    <t xml:space="preserve">78200 WEST13 MILE ROAD </t>
  </si>
  <si>
    <t>BEVERLY HILLS</t>
  </si>
  <si>
    <t>248-435-5200</t>
  </si>
  <si>
    <t>JUNIPER COMMUNITIES</t>
  </si>
  <si>
    <t>JUNIPER VILLAGE PRESTON HOLLOW</t>
  </si>
  <si>
    <t xml:space="preserve">12400 PRESTON ROAD </t>
  </si>
  <si>
    <t>972-661-3111</t>
  </si>
  <si>
    <t>JUNIPER VILLAGE SPICEWOOD SUMMIT</t>
  </si>
  <si>
    <t xml:space="preserve">4401 SPICEWOOD SPRINGS ROAD </t>
  </si>
  <si>
    <t>512-418-8822</t>
  </si>
  <si>
    <t>JUNIPER VILLAGE-LINCOLN HEIGHTS</t>
  </si>
  <si>
    <t xml:space="preserve">855 EAST BASSE ROAD </t>
  </si>
  <si>
    <t>SAN ANTONIO</t>
  </si>
  <si>
    <t>210-930-1040</t>
  </si>
  <si>
    <t>JUNIPER VILLAGE AT GUADALUPE RIVERFRONT</t>
  </si>
  <si>
    <t xml:space="preserve">135 PLAZA DRIVE </t>
  </si>
  <si>
    <t>KELLVILLE</t>
  </si>
  <si>
    <t>830-895-2626</t>
  </si>
  <si>
    <t>INSPIRIT SENIOR LIVING</t>
  </si>
  <si>
    <t>THE RESERVE AT CITRUS</t>
  </si>
  <si>
    <t xml:space="preserve">2341 WEST NORVELL BRYANT HIGHWAY </t>
  </si>
  <si>
    <t>LECANTO</t>
  </si>
  <si>
    <t>352-746-2273</t>
  </si>
  <si>
    <t>TAVERNA TONY</t>
  </si>
  <si>
    <t xml:space="preserve">23410 CIVIC CENTER WAY </t>
  </si>
  <si>
    <t>MALIBU</t>
  </si>
  <si>
    <t>310-317-9667</t>
  </si>
  <si>
    <t>LBJ HOSPITAL HARRIS COUNTY</t>
  </si>
  <si>
    <t xml:space="preserve">5656 KELLY STREET </t>
  </si>
  <si>
    <t>HOUSTON</t>
  </si>
  <si>
    <t>713-566-5100</t>
  </si>
  <si>
    <t>HARRIS COUNTY HEALTH</t>
  </si>
  <si>
    <t xml:space="preserve">4800 FOULANCE PLACE </t>
  </si>
  <si>
    <t>BELLAIRE</t>
  </si>
  <si>
    <t>713-566-6409</t>
  </si>
  <si>
    <t>BEN TARB HARRIS COUNTY HOSPITAL</t>
  </si>
  <si>
    <t xml:space="preserve">1504 TAUB LOOP </t>
  </si>
  <si>
    <t>713-873-2000</t>
  </si>
  <si>
    <t>EL CAMPO MEMORIAL HOSPITAL</t>
  </si>
  <si>
    <t xml:space="preserve">303 SANDY CORNER ROAD </t>
  </si>
  <si>
    <t>EL CAMPO</t>
  </si>
  <si>
    <t>979-543-6251</t>
  </si>
  <si>
    <t>WESTMONT MANOR HEALTH AND REHAB</t>
  </si>
  <si>
    <t xml:space="preserve">512 EAST OGDEN AVENUE </t>
  </si>
  <si>
    <t>WESTMONT</t>
  </si>
  <si>
    <t>ORTHOPEDIC NEUROLOGICAL REHAB</t>
  </si>
  <si>
    <t xml:space="preserve">8500 BLUFFSTONE COVE </t>
  </si>
  <si>
    <t>512-275-9427</t>
  </si>
  <si>
    <t>MT SAN JACINTO COLLEGE-SJC</t>
  </si>
  <si>
    <t xml:space="preserve">1499 NORTH STATE STREET </t>
  </si>
  <si>
    <t>951-522-2368</t>
  </si>
  <si>
    <t>MT SAN JACINTO COLLEGE-MVC</t>
  </si>
  <si>
    <t xml:space="preserve">28237 LA PIEDRA ROAD </t>
  </si>
  <si>
    <t>MENIFEE</t>
  </si>
  <si>
    <t>951-522-2386</t>
  </si>
  <si>
    <t>MSJC-TVC AND MSJC CULINARY PROGRAM</t>
  </si>
  <si>
    <t>TEMECULA</t>
  </si>
  <si>
    <t>GAUDENZIA</t>
  </si>
  <si>
    <t>GUADENZIA-SHARON OUTPATIENT</t>
  </si>
  <si>
    <t xml:space="preserve">912 EAST STATE STREET </t>
  </si>
  <si>
    <t>SHARON</t>
  </si>
  <si>
    <t>EMERALD HEALTHCARE</t>
  </si>
  <si>
    <t>EMERALD NURSING AND REHAB LEGACY POINTE</t>
  </si>
  <si>
    <t xml:space="preserve">4735 SOUTH 54TH STREET </t>
  </si>
  <si>
    <t>LINCOLN</t>
  </si>
  <si>
    <t>EMERALD NURSING AND REHAB BROOKSIDE LLC</t>
  </si>
  <si>
    <t xml:space="preserve">3110 SCOTT CIRCLE </t>
  </si>
  <si>
    <t>EMERALD NURSING AND REHAB LANCASTER LLC</t>
  </si>
  <si>
    <t xml:space="preserve">1001 SOUTH STREET </t>
  </si>
  <si>
    <t>EMBASSY AT PARK AVENUE</t>
  </si>
  <si>
    <t xml:space="preserve">14714 PARK AVENUE EXT </t>
  </si>
  <si>
    <t>MEADVILLE</t>
  </si>
  <si>
    <t>EMBASSY AT IVY HILL</t>
  </si>
  <si>
    <t xml:space="preserve">1401 IVY HILL ROAD </t>
  </si>
  <si>
    <t>CENTRE FOR NEURO SKILLS</t>
  </si>
  <si>
    <t xml:space="preserve">4851 REGENT BLVD SUITE 200 </t>
  </si>
  <si>
    <t>IRVING</t>
  </si>
  <si>
    <t>972-580-8500</t>
  </si>
  <si>
    <t>CADENCE EDUCATION</t>
  </si>
  <si>
    <t>RAINBOW ACADEMY</t>
  </si>
  <si>
    <t xml:space="preserve">1280 KUHN ROAD </t>
  </si>
  <si>
    <t>CAROL STREAM</t>
  </si>
  <si>
    <t>630-668-8280</t>
  </si>
  <si>
    <t>ASSISTED LIVING BY HILLCREST</t>
  </si>
  <si>
    <t>AL BY HILLCREST-OFFICE</t>
  </si>
  <si>
    <t xml:space="preserve">1889 COMMERCE DRIVE </t>
  </si>
  <si>
    <t>DE PERE</t>
  </si>
  <si>
    <t>ARCADIA CARE AUBURN</t>
  </si>
  <si>
    <t xml:space="preserve">304 MAPLE STREET </t>
  </si>
  <si>
    <t>AUBURN</t>
  </si>
  <si>
    <t>217-438-6125</t>
  </si>
  <si>
    <t>ACCURA HEALTHCARE</t>
  </si>
  <si>
    <t>RIDGEVIEW PLACE SENIOR LIVING</t>
  </si>
  <si>
    <t xml:space="preserve">1009 10TH AVENUE NE </t>
  </si>
  <si>
    <t>SAUK RAPIDS</t>
  </si>
  <si>
    <t>PRAIRIE VIEW SENIOR LIVING</t>
  </si>
  <si>
    <t xml:space="preserve">250 EAST 5TH STREET </t>
  </si>
  <si>
    <t>TRACY</t>
  </si>
  <si>
    <t>GREEN LEA SENIOR LIVING</t>
  </si>
  <si>
    <t xml:space="preserve">115 NORTH LYNDALE STREET </t>
  </si>
  <si>
    <t>MABEL</t>
  </si>
  <si>
    <t>AMResorts</t>
  </si>
  <si>
    <t>Casa del Mar Beach Golf and Spa Resort</t>
  </si>
  <si>
    <t>Carretera Transpeninsular Km 19.5 Cabo Real</t>
  </si>
  <si>
    <t>San Jose Del Cabo</t>
  </si>
  <si>
    <t>Sam Kirby</t>
  </si>
  <si>
    <t>Galexcio Loya</t>
  </si>
  <si>
    <t>+52 (624) 145-7700</t>
  </si>
  <si>
    <t>The St. Regis Chicago</t>
  </si>
  <si>
    <t xml:space="preserve">363 East Wacker Drive </t>
  </si>
  <si>
    <t>St. Regis</t>
  </si>
  <si>
    <t>Oliver Gibbons</t>
  </si>
  <si>
    <t>Yago Delrincon</t>
  </si>
  <si>
    <t>Innisfree Hotels Inc</t>
  </si>
  <si>
    <t>Holiday Inn Oceanfront Surfside Beach</t>
  </si>
  <si>
    <t xml:space="preserve">1601 North Ocean Boulevard </t>
  </si>
  <si>
    <t>SURFSIDE BEACH</t>
  </si>
  <si>
    <t>kali Karellas</t>
  </si>
  <si>
    <t>+ () 843-238-5601</t>
  </si>
  <si>
    <t>Hampton Inn Lake Buena Vista</t>
  </si>
  <si>
    <t xml:space="preserve">8150 Palm Parkway </t>
  </si>
  <si>
    <t>Robin Joseph</t>
  </si>
  <si>
    <t>+1 (407) 465-8150</t>
  </si>
  <si>
    <t>1754 DT Tampa Hotel Manager LLC</t>
  </si>
  <si>
    <t>Floridan Palace Hotel</t>
  </si>
  <si>
    <t xml:space="preserve">905 North Florida Avenue </t>
  </si>
  <si>
    <t>Best Western Premier</t>
  </si>
  <si>
    <t>Crystal Rivera</t>
  </si>
  <si>
    <t>+1 (813) 951-6004</t>
  </si>
  <si>
    <t>The Victus Group Inc.</t>
  </si>
  <si>
    <t xml:space="preserve">Holiday Inn Marshfield Convention Center </t>
  </si>
  <si>
    <t xml:space="preserve">750 South Central Ave </t>
  </si>
  <si>
    <t>Marshfield</t>
  </si>
  <si>
    <t>Mickey Vierra</t>
  </si>
  <si>
    <t>+1 (715) 486-1500</t>
  </si>
  <si>
    <t>Hyatt Centric Atlanta Buckhead</t>
  </si>
  <si>
    <t xml:space="preserve">3301 Lenox Square Pkwy NE </t>
  </si>
  <si>
    <t>Kristi Cotten-Morris</t>
  </si>
  <si>
    <t>Skyscape Hospitality LLC</t>
  </si>
  <si>
    <t xml:space="preserve">Sleep Inn North Charleston </t>
  </si>
  <si>
    <t xml:space="preserve">7435 Northside Drive </t>
  </si>
  <si>
    <t>Charleston</t>
  </si>
  <si>
    <t>Raven-Simone Tillman</t>
  </si>
  <si>
    <t>+1 (843) 572-8400</t>
  </si>
  <si>
    <t>el Prado</t>
  </si>
  <si>
    <t xml:space="preserve">520 Cowper Street </t>
  </si>
  <si>
    <t>Palo Alto</t>
  </si>
  <si>
    <t>Shareef Fahmy</t>
  </si>
  <si>
    <t>Brayton Gosling</t>
  </si>
  <si>
    <t>+1 (650) 322-9000</t>
  </si>
  <si>
    <t>Hampton Inn Frisco</t>
  </si>
  <si>
    <t xml:space="preserve">3199 Parkwood Boulevard </t>
  </si>
  <si>
    <t>FRISCO</t>
  </si>
  <si>
    <t>Janiaca Wheeler</t>
  </si>
  <si>
    <t>Jeremy Tucker</t>
  </si>
  <si>
    <t>+1 (972) 712-8400</t>
  </si>
  <si>
    <t>Auberge Resorts</t>
  </si>
  <si>
    <t>Stanly Ranch</t>
  </si>
  <si>
    <t xml:space="preserve">200 Stanly Cross Road </t>
  </si>
  <si>
    <t>Ed Gannon</t>
  </si>
  <si>
    <t>Gail Parkerson</t>
  </si>
  <si>
    <t>+1 (707) 699-6200</t>
  </si>
  <si>
    <t>Un Lugar de la Mancha Prado Norte</t>
  </si>
  <si>
    <t xml:space="preserve">Prado Norte 205 Lomas de Chapultepec Miguel Hidalgo </t>
  </si>
  <si>
    <t>Un Lugar de la Mancha Parques Polanco</t>
  </si>
  <si>
    <t xml:space="preserve">Lago Alberto 320 Centro Comercial Parques Polanco </t>
  </si>
  <si>
    <t>Granada</t>
  </si>
  <si>
    <t>Un Lugar de la Mancha Masarik</t>
  </si>
  <si>
    <t xml:space="preserve">Esopo 11 Polanco Miguel Hidalgo </t>
  </si>
  <si>
    <t>+()52 55 21551987</t>
  </si>
  <si>
    <t>Pasillo de Humo</t>
  </si>
  <si>
    <t xml:space="preserve">Nuevo Leon 107 Hipodromo Cuahutemoc </t>
  </si>
  <si>
    <t>+()52 55 89688487</t>
  </si>
  <si>
    <t>Loreta Chic Bistrot</t>
  </si>
  <si>
    <t xml:space="preserve">Av Revolucion 1521 Alvaro Obregon </t>
  </si>
  <si>
    <t>+ 52 (55) 22194586</t>
  </si>
  <si>
    <t>Helado Bonito</t>
  </si>
  <si>
    <t xml:space="preserve">Tonala 191 local 101 Roma Norte Cuahutemoc </t>
  </si>
  <si>
    <t>+()52 55 45442899</t>
  </si>
  <si>
    <t>Fonda Fina</t>
  </si>
  <si>
    <t xml:space="preserve">Medellin 79 roma norte cuahutemoc </t>
  </si>
  <si>
    <t>+ 52 (55) 89688487</t>
  </si>
  <si>
    <t>EM Restaurante</t>
  </si>
  <si>
    <t xml:space="preserve">Tonala 133 Roma norte cuahutemoc </t>
  </si>
  <si>
    <t>+ 52 (55) 19559503</t>
  </si>
  <si>
    <t>Eloise Chic Cuisine</t>
  </si>
  <si>
    <t>+ 52 (55) 30847185</t>
  </si>
  <si>
    <t>El Bonito</t>
  </si>
  <si>
    <t xml:space="preserve">Durango 359 Roma Norte </t>
  </si>
  <si>
    <t>+()52 5589688487</t>
  </si>
  <si>
    <t>Barra Nipona</t>
  </si>
  <si>
    <t xml:space="preserve">Durango 359 Roma norte </t>
  </si>
  <si>
    <t>+1 52 (55) 89688487</t>
  </si>
  <si>
    <t>El Deli Cancun</t>
  </si>
  <si>
    <t xml:space="preserve">Av. Huayacan SM 311 MZ 33 LT 1-02 Local 115 y 116 </t>
  </si>
  <si>
    <t>Cancun</t>
  </si>
  <si>
    <t>QROO</t>
  </si>
  <si>
    <t>+1 52 (55) 52484073</t>
  </si>
  <si>
    <t>NYC EARLY LEARNING COMPANY INC</t>
  </si>
  <si>
    <t>BEANSTALK ACADEMY-BELMONT</t>
  </si>
  <si>
    <t xml:space="preserve">59 BELMONT AVENUE </t>
  </si>
  <si>
    <t>Scenic PG LLC dba Scenic Hospitality</t>
  </si>
  <si>
    <t>Holiday Inn Express &amp; Suites San Antonio Medical-Six Flags</t>
  </si>
  <si>
    <t xml:space="preserve">11010 Interstate Highway 10 West </t>
  </si>
  <si>
    <t>Vince Taijeron</t>
  </si>
  <si>
    <t>Andrew Dudley</t>
  </si>
  <si>
    <t>+1 (210) 561-9058</t>
  </si>
  <si>
    <t>Urgo Hotels Inc</t>
  </si>
  <si>
    <t>Hampton - Homewood Suites Montreal Centre-ville</t>
  </si>
  <si>
    <t xml:space="preserve">985 Blvd St-Laurent </t>
  </si>
  <si>
    <t>Montreal</t>
  </si>
  <si>
    <t>QC</t>
  </si>
  <si>
    <t>h2z 1j4</t>
  </si>
  <si>
    <t>Ian Marceau</t>
  </si>
  <si>
    <t>Catherine Germain</t>
  </si>
  <si>
    <t>+1 (514) 370-7777</t>
  </si>
  <si>
    <t>Classen Curve Hotel LLC</t>
  </si>
  <si>
    <t>Ellison Hotel</t>
  </si>
  <si>
    <t xml:space="preserve">6201 N Western Ave </t>
  </si>
  <si>
    <t>Jennifer Ledesma</t>
  </si>
  <si>
    <t>Matt Cowden</t>
  </si>
  <si>
    <t>+1 (405) 935-9111</t>
  </si>
  <si>
    <t>TRULIEVE-WESTON</t>
  </si>
  <si>
    <t xml:space="preserve">137 STAUNTON DRIVE </t>
  </si>
  <si>
    <t>WESTON</t>
  </si>
  <si>
    <t>TRULIEVE-MA WORCESTER</t>
  </si>
  <si>
    <t xml:space="preserve">142 SOUTH BRIDGE STREET </t>
  </si>
  <si>
    <t>774-220-8981</t>
  </si>
  <si>
    <t>TELECARE CORP</t>
  </si>
  <si>
    <t>YOLO INSPIRE FSP 394</t>
  </si>
  <si>
    <t xml:space="preserve">500-B JEFFERSON </t>
  </si>
  <si>
    <t>WEST SACRAMENTO</t>
  </si>
  <si>
    <t>530-782-1009</t>
  </si>
  <si>
    <t>SUTTER YUBA FSP SHINE 392</t>
  </si>
  <si>
    <t xml:space="preserve">201 D STREET SUITE S </t>
  </si>
  <si>
    <t>MARYSVILLE</t>
  </si>
  <si>
    <t>530-312-5163</t>
  </si>
  <si>
    <t>NEW HAVEN SUPPORTIVE SERVICES 391</t>
  </si>
  <si>
    <t xml:space="preserve">448 GARDEN HIGHWAY </t>
  </si>
  <si>
    <t>YUBA CITY</t>
  </si>
  <si>
    <t>510-337-7950</t>
  </si>
  <si>
    <t>Sagora Senior Living</t>
  </si>
  <si>
    <t>ELISON ASSISTED LIVING AND MEMORY CARE OF GRAHAM</t>
  </si>
  <si>
    <t xml:space="preserve">1015 CLIFF DRIVE </t>
  </si>
  <si>
    <t>GRAHAM</t>
  </si>
  <si>
    <t>940-412-7822</t>
  </si>
  <si>
    <t>ELISON ASSISTED LIVING OF LAKE WELLINGTON</t>
  </si>
  <si>
    <t xml:space="preserve">5100 KELL BLVD </t>
  </si>
  <si>
    <t>WICHITA FALLS</t>
  </si>
  <si>
    <t>940-412-7859</t>
  </si>
  <si>
    <t>ELISON ASSISTED LIVING OF MINOT</t>
  </si>
  <si>
    <t xml:space="preserve">3515 10TH STREET SW </t>
  </si>
  <si>
    <t>MINOT</t>
  </si>
  <si>
    <t>701-380-1219</t>
  </si>
  <si>
    <t>ELISON INDEPENDENT LIVING OF ORCHARD GLEN</t>
  </si>
  <si>
    <t xml:space="preserve">6055 ARMOR DUELLA ROAD </t>
  </si>
  <si>
    <t>ORCHAARD PARK</t>
  </si>
  <si>
    <t>716-309-4223</t>
  </si>
  <si>
    <t>ELISON ASSISTED LIVING OF BELLA VITA</t>
  </si>
  <si>
    <t xml:space="preserve">1420 EAST VENICE AVENUE </t>
  </si>
  <si>
    <t>VENICE</t>
  </si>
  <si>
    <t>ELISON INDEPENDENT AND ASSISTED LIVING OF MAPLEWOOD</t>
  </si>
  <si>
    <t xml:space="preserve">1000 MAPLEWOOD DRIVE </t>
  </si>
  <si>
    <t>BRIDGEPORT</t>
  </si>
  <si>
    <t>304-407-7948</t>
  </si>
  <si>
    <t>ELISON INDEPENDENT LIVING OF STATESMAN CLUB</t>
  </si>
  <si>
    <t xml:space="preserve">10401 VINEYARD BLVD </t>
  </si>
  <si>
    <t>405-928-0863</t>
  </si>
  <si>
    <t>ELISON INDEPENDENT LIVING OF LAKE WORTH</t>
  </si>
  <si>
    <t xml:space="preserve">3927 HADJES DRIVE </t>
  </si>
  <si>
    <t>LAKE WORTH</t>
  </si>
  <si>
    <t>561-867-2247</t>
  </si>
  <si>
    <t>ELISON SENIOR LIVING COMMUNITY OF PINECREST</t>
  </si>
  <si>
    <t xml:space="preserve">1150 8TH AVENUE SW </t>
  </si>
  <si>
    <t>LARGO</t>
  </si>
  <si>
    <t>727-999-9911</t>
  </si>
  <si>
    <t>ELISON INDEPENDENT LIVING OF NILES</t>
  </si>
  <si>
    <t xml:space="preserve">8975 WEST GOLD ROAD </t>
  </si>
  <si>
    <t>NILES</t>
  </si>
  <si>
    <t>847-447-0619</t>
  </si>
  <si>
    <t>R AND M GUESTHOUSE</t>
  </si>
  <si>
    <t xml:space="preserve">632 EDWARDS AVENUE </t>
  </si>
  <si>
    <t>WATERFORD WORKS</t>
  </si>
  <si>
    <t>CASCADES HEALTHCARE</t>
  </si>
  <si>
    <t>SUNNY RIDGE</t>
  </si>
  <si>
    <t xml:space="preserve">2609 SUNNYBROOK DRIVE </t>
  </si>
  <si>
    <t>NAMPA</t>
  </si>
  <si>
    <t>208-467-7298</t>
  </si>
  <si>
    <t>Holiday Inn Express &amp; Suites Glendale Downtown CA</t>
  </si>
  <si>
    <t xml:space="preserve">1001 E. Colorado St </t>
  </si>
  <si>
    <t>Glendale</t>
  </si>
  <si>
    <t>Mauricio Flores</t>
  </si>
  <si>
    <t>Cozumel Country Club</t>
  </si>
  <si>
    <t>Carretera Costera Norte Km 6.5 Interior Casa Club</t>
  </si>
  <si>
    <t>cozumel</t>
  </si>
  <si>
    <t>Benny Campos</t>
  </si>
  <si>
    <t>+011 (52) 987-87-2-95-70</t>
  </si>
  <si>
    <t>Hampton Inn and Suites Suisun City Waterfront</t>
  </si>
  <si>
    <t xml:space="preserve">2 Harbor Center </t>
  </si>
  <si>
    <t>Suisun City</t>
  </si>
  <si>
    <t>CC Wadhwa</t>
  </si>
  <si>
    <t>+1 (707) 429-0900</t>
  </si>
  <si>
    <t>Motmanco Inc</t>
  </si>
  <si>
    <t>Fairfield Inn &amp; Suites Tifton</t>
  </si>
  <si>
    <t xml:space="preserve">806 West 7th Street </t>
  </si>
  <si>
    <t>Tifton</t>
  </si>
  <si>
    <t>Lisa Heath</t>
  </si>
  <si>
    <t>Teresa Buhler</t>
  </si>
  <si>
    <t>+1 (229) 387-8288</t>
  </si>
  <si>
    <t>AAM 15 Management LLC</t>
  </si>
  <si>
    <t>Hilton Garden Inn Freeport</t>
  </si>
  <si>
    <t xml:space="preserve">5 Park Street </t>
  </si>
  <si>
    <t>Freeport</t>
  </si>
  <si>
    <t>Adrienne Patenaude</t>
  </si>
  <si>
    <t>Peter Garcia</t>
  </si>
  <si>
    <t>+1 (207) 865-1433</t>
  </si>
  <si>
    <t>Courtyard Austin Downtown Convention Ctr</t>
  </si>
  <si>
    <t xml:space="preserve">300 East 4th Street </t>
  </si>
  <si>
    <t>Andrew Zinni</t>
  </si>
  <si>
    <t>+1 (512) 236-8008</t>
  </si>
  <si>
    <t>Resort at Indian Springs LLC</t>
  </si>
  <si>
    <t>Indian Springs Resort</t>
  </si>
  <si>
    <t xml:space="preserve">1712 Lincoln Avenue </t>
  </si>
  <si>
    <t>Calistoga</t>
  </si>
  <si>
    <t>Chris Costas</t>
  </si>
  <si>
    <t>+1 (707) 942-4913</t>
  </si>
  <si>
    <t>GRAYBRIER</t>
  </si>
  <si>
    <t xml:space="preserve">116 TRINITY LANE </t>
  </si>
  <si>
    <t>TRINITY</t>
  </si>
  <si>
    <t>336-431-8888</t>
  </si>
  <si>
    <t>Sunridge Properties Inc.</t>
  </si>
  <si>
    <t>SpringHill Suites Cottonwood</t>
  </si>
  <si>
    <t xml:space="preserve">565 S 6th St </t>
  </si>
  <si>
    <t>Cottonwood</t>
  </si>
  <si>
    <t>D.K. Green</t>
  </si>
  <si>
    <t>+1 (480) 854-1414</t>
  </si>
  <si>
    <t>Peachstate Hospitality LLC</t>
  </si>
  <si>
    <t>Residence Inn Atlanta Decatur</t>
  </si>
  <si>
    <t xml:space="preserve">2754 North Decatur Road </t>
  </si>
  <si>
    <t>Decatur</t>
  </si>
  <si>
    <t>Crystal Smith</t>
  </si>
  <si>
    <t>+(404) 299-9701</t>
  </si>
  <si>
    <t>EconoLodge 58 Rooms</t>
  </si>
  <si>
    <t xml:space="preserve">3520 Milton Avenue </t>
  </si>
  <si>
    <t>Janesville</t>
  </si>
  <si>
    <t>Bob Patel</t>
  </si>
  <si>
    <t>+ (608) 754-0251</t>
  </si>
  <si>
    <t>Days Inn Charleston Historic District</t>
  </si>
  <si>
    <t xml:space="preserve">155 Meeting Street </t>
  </si>
  <si>
    <t>Brandi Carr</t>
  </si>
  <si>
    <t>+1 (843) 722-8411</t>
  </si>
  <si>
    <t>COMO Traymore LLC</t>
  </si>
  <si>
    <t>Metropolitan by Como - Miami Beach</t>
  </si>
  <si>
    <t xml:space="preserve">2445 Collins Avenue </t>
  </si>
  <si>
    <t>Pietro Addis</t>
  </si>
  <si>
    <t>+1 (305) 534-7111</t>
  </si>
  <si>
    <t>Vista LIC Hotel Premier Collection by Best Western</t>
  </si>
  <si>
    <t xml:space="preserve">27-05 39th Avenue </t>
  </si>
  <si>
    <t>Long Island City</t>
  </si>
  <si>
    <t>Patrick Assalone</t>
  </si>
  <si>
    <t>+1 (718) 786-8500</t>
  </si>
  <si>
    <t>Pennbridge Lodging Corp.</t>
  </si>
  <si>
    <t>Element SkySong</t>
  </si>
  <si>
    <t xml:space="preserve">1345 North Scottsdale Road </t>
  </si>
  <si>
    <t>Wade Hughes</t>
  </si>
  <si>
    <t>Mark Hayes</t>
  </si>
  <si>
    <t>+1 (480) 361-0000</t>
  </si>
  <si>
    <t xml:space="preserve">Homewood Suites Broomfield </t>
  </si>
  <si>
    <t xml:space="preserve">570 Flatiron Blvd </t>
  </si>
  <si>
    <t>Broomfield</t>
  </si>
  <si>
    <t>Justin Nicholls</t>
  </si>
  <si>
    <t>Maggie Adams</t>
  </si>
  <si>
    <t>+()303 466 9722</t>
  </si>
  <si>
    <t xml:space="preserve">Hilton Garden Inn Broomfield </t>
  </si>
  <si>
    <t>Brenna Rea</t>
  </si>
  <si>
    <t>+()303 466 9102</t>
  </si>
  <si>
    <t>Hilton Garden Inn Lansing West</t>
  </si>
  <si>
    <t xml:space="preserve">633 North Canal Road </t>
  </si>
  <si>
    <t>Heather Koeske</t>
  </si>
  <si>
    <t>+1 (517) 999-9930</t>
  </si>
  <si>
    <t>Hampton Inn Monroe</t>
  </si>
  <si>
    <t xml:space="preserve">1565 North Dixie Highway </t>
  </si>
  <si>
    <t>Monroe</t>
  </si>
  <si>
    <t>Stephanie Knauf</t>
  </si>
  <si>
    <t>+1 (616) 862-4346</t>
  </si>
  <si>
    <t>La Quinta Inn &amp; Suites Detroit Metro Airport</t>
  </si>
  <si>
    <t xml:space="preserve">30847 Flynn Drive </t>
  </si>
  <si>
    <t>Romulus</t>
  </si>
  <si>
    <t>Michelle Armatis</t>
  </si>
  <si>
    <t>+1 (734) 721-1100</t>
  </si>
  <si>
    <t>Hilton Richmond Hotel &amp; Spa Short Pump</t>
  </si>
  <si>
    <t xml:space="preserve">12042 W Broad Street </t>
  </si>
  <si>
    <t>Richmond</t>
  </si>
  <si>
    <t>Steve Kendall</t>
  </si>
  <si>
    <t>+1 (804) 364-3600</t>
  </si>
  <si>
    <t>NEFFSVILLE NURSING AND REHAB</t>
  </si>
  <si>
    <t xml:space="preserve">2829 LITITZ PIKE </t>
  </si>
  <si>
    <t>717-569-3211</t>
  </si>
  <si>
    <t>HANOVER HALL FOR NURSING AND REHAB</t>
  </si>
  <si>
    <t xml:space="preserve">267 FREDERICK STREET </t>
  </si>
  <si>
    <t>717-637-8937</t>
  </si>
  <si>
    <t>Gulph Creek Hotels Corp</t>
  </si>
  <si>
    <t>Four Points Sheraton Atlanta Airport West</t>
  </si>
  <si>
    <t xml:space="preserve">3520 Desert Drive </t>
  </si>
  <si>
    <t>Willie Chandler</t>
  </si>
  <si>
    <t>+1(404) 768-3100</t>
  </si>
  <si>
    <t>The Island House Hotel</t>
  </si>
  <si>
    <t xml:space="preserve">26650 Perdido Beach Boulevard </t>
  </si>
  <si>
    <t>Orange Beach</t>
  </si>
  <si>
    <t>+1 (251) 981-6100</t>
  </si>
  <si>
    <t>ALAVITA HEALTH CENTER</t>
  </si>
  <si>
    <t xml:space="preserve">17050 ARNOLD DRIVE </t>
  </si>
  <si>
    <t>INNOVATIVE HEALTHCARE</t>
  </si>
  <si>
    <t>MEDICAL FACILITIES OF AMERICA INC/INNOVATIVE HEALTHCARE</t>
  </si>
  <si>
    <t xml:space="preserve">2917 PENN FOREST BLVD </t>
  </si>
  <si>
    <t>540-989-3618</t>
  </si>
  <si>
    <t>ST DOMINIC VILLA</t>
  </si>
  <si>
    <t xml:space="preserve">2375 SINSINAWA ROAD </t>
  </si>
  <si>
    <t>HAZEL GREEN</t>
  </si>
  <si>
    <t>608-748-9814</t>
  </si>
  <si>
    <t>Wincome Management &amp; Development Inc.</t>
  </si>
  <si>
    <t>Blossom Cafe and Market</t>
  </si>
  <si>
    <t xml:space="preserve">1020 West Katella Avenue </t>
  </si>
  <si>
    <t>Anaheim</t>
  </si>
  <si>
    <t>Lindsay King</t>
  </si>
  <si>
    <t>Ying Liu</t>
  </si>
  <si>
    <t>+1 (657) 373-3684</t>
  </si>
  <si>
    <t>Rebel Hospitality LLC</t>
  </si>
  <si>
    <t>The Washington</t>
  </si>
  <si>
    <t xml:space="preserve">8 Albany Street </t>
  </si>
  <si>
    <t>Brian Fahey</t>
  </si>
  <si>
    <t>Angela Roma</t>
  </si>
  <si>
    <t>+1(646)826-8600</t>
  </si>
  <si>
    <t>Home2 Suites by Hilton Baytown</t>
  </si>
  <si>
    <t xml:space="preserve">7512 Garth Road </t>
  </si>
  <si>
    <t>Baytown</t>
  </si>
  <si>
    <t>Fabiola Perales</t>
  </si>
  <si>
    <t>+1 (832) 926-7350</t>
  </si>
  <si>
    <t>ALLEGRIA SENIOR VILLAGE</t>
  </si>
  <si>
    <t>ALLEGRIA VILLAGE RENAISSANCE</t>
  </si>
  <si>
    <t xml:space="preserve">15101 FORD ROAD </t>
  </si>
  <si>
    <t>DEARBORN</t>
  </si>
  <si>
    <t>313-584-1000</t>
  </si>
  <si>
    <t>ALLEGRIA VILLAGE ST CLAIR</t>
  </si>
  <si>
    <t>EASTBROOK HEALTHCARE CENTER</t>
  </si>
  <si>
    <t xml:space="preserve">17322 EUCLID AVENUE </t>
  </si>
  <si>
    <t>216-292-5706</t>
  </si>
  <si>
    <t>ALLEGRIA VILLAGE GREAT LAKES</t>
  </si>
  <si>
    <t>APERION CARE</t>
  </si>
  <si>
    <t>APERION CAE DEKALB</t>
  </si>
  <si>
    <t xml:space="preserve">1212 SOUTH 2ND STREET </t>
  </si>
  <si>
    <t>DEKALB</t>
  </si>
  <si>
    <t>815-758-8151</t>
  </si>
  <si>
    <t>NORTHSTAR SENIOR LIVING</t>
  </si>
  <si>
    <t>CRESCENDO SENIOR LIVING</t>
  </si>
  <si>
    <t xml:space="preserve">351 E PALM DRIVE </t>
  </si>
  <si>
    <t>PLACENTIA</t>
  </si>
  <si>
    <t>714-528-4990</t>
  </si>
  <si>
    <t>ELISON INDEPENDENT LIVING AND MEMORY CARE OF MARIETTA</t>
  </si>
  <si>
    <t xml:space="preserve">150 BROWNS ROAD </t>
  </si>
  <si>
    <t>MARIETTA</t>
  </si>
  <si>
    <t>740-373-9600</t>
  </si>
  <si>
    <t>BEDROCK HEALTHCARE</t>
  </si>
  <si>
    <t>BEDROCK HEALTHCARE AT DAYTONA FL</t>
  </si>
  <si>
    <t xml:space="preserve">595 NORTH WILLIAMSON BLVD </t>
  </si>
  <si>
    <t>DAYTONA BEACH</t>
  </si>
  <si>
    <t>386-257-4400</t>
  </si>
  <si>
    <t>PRESTIGE HEALTHCARE</t>
  </si>
  <si>
    <t>RIPLEY HEALTHCARE AND REHABILITATION CENTER</t>
  </si>
  <si>
    <t xml:space="preserve">118 HALLIBURTON DRIVE </t>
  </si>
  <si>
    <t>RIPLEY</t>
  </si>
  <si>
    <t>731-635-5180</t>
  </si>
  <si>
    <t>St James Hotel Selma Tapestry Collection by Hilton</t>
  </si>
  <si>
    <t xml:space="preserve">1200 Water Ave </t>
  </si>
  <si>
    <t>Jennifer Cassebaum</t>
  </si>
  <si>
    <t>+()334-553-6700</t>
  </si>
  <si>
    <t>Redmont Hotel Birmingham Curio Collection by Hilton</t>
  </si>
  <si>
    <t xml:space="preserve">2101 Fifth Ave North </t>
  </si>
  <si>
    <t>Birmingham</t>
  </si>
  <si>
    <t>Curio</t>
  </si>
  <si>
    <t>William Mendenhall</t>
  </si>
  <si>
    <t>Samantha Orum</t>
  </si>
  <si>
    <t>+()205-957-6828</t>
  </si>
  <si>
    <t>Kelly Hotel Tapestry Collection by Hilton</t>
  </si>
  <si>
    <t xml:space="preserve">2027 First Ave North </t>
  </si>
  <si>
    <t>+()917-669-0565</t>
  </si>
  <si>
    <t>MJM PERSONAL CARE INC</t>
  </si>
  <si>
    <t>MJM PERSONAL CARE AT XAVIER</t>
  </si>
  <si>
    <t xml:space="preserve">3 ST JOHN STREET </t>
  </si>
  <si>
    <t>MCKEES ROCKS</t>
  </si>
  <si>
    <t>MJM PERSONAL CARE AT MAPLEWOOD</t>
  </si>
  <si>
    <t xml:space="preserve">461 MAPLEWOOD AVENUE </t>
  </si>
  <si>
    <t>AMBRIDGE</t>
  </si>
  <si>
    <t>724-266-4485</t>
  </si>
  <si>
    <t xml:space="preserve">57 GRANT DRIVE </t>
  </si>
  <si>
    <t>HOLLAND</t>
  </si>
  <si>
    <t>MISSION POINT OF FLINT</t>
  </si>
  <si>
    <t xml:space="preserve">3201 BEECHER ROAD </t>
  </si>
  <si>
    <t>FLINT</t>
  </si>
  <si>
    <t>810-732-9200</t>
  </si>
  <si>
    <t>MISSION POINT OF CLARKSTON</t>
  </si>
  <si>
    <t xml:space="preserve">48 CLINTONVILLE ROAD </t>
  </si>
  <si>
    <t>CLARKSTON</t>
  </si>
  <si>
    <t>248-674-0903</t>
  </si>
  <si>
    <t>BARTLETT NURSING AND ASSISTED LIVING</t>
  </si>
  <si>
    <t xml:space="preserve">221 BARTLETT DRIVE </t>
  </si>
  <si>
    <t>EL PASO</t>
  </si>
  <si>
    <t>915-584-8438</t>
  </si>
  <si>
    <t>COLONIAL SENIOR LIVING</t>
  </si>
  <si>
    <t xml:space="preserve">6575 ADAMS LANE </t>
  </si>
  <si>
    <t>270-826-2493</t>
  </si>
  <si>
    <t>MRC STEVENSON OAKS</t>
  </si>
  <si>
    <t xml:space="preserve">6251 STEVENSON OAKS DRIVE </t>
  </si>
  <si>
    <t xml:space="preserve">1601 RESPONSE ROAD #385 </t>
  </si>
  <si>
    <t>SACRAMENTO</t>
  </si>
  <si>
    <t xml:space="preserve">615 MINEHILL ROAD </t>
  </si>
  <si>
    <t xml:space="preserve">40903 236TH AVENUE SE </t>
  </si>
  <si>
    <t>ENUMCLAW</t>
  </si>
  <si>
    <t xml:space="preserve">2009 ST STEPHENS WOODS DRIVE </t>
  </si>
  <si>
    <t>CROWNSVILLE</t>
  </si>
  <si>
    <t xml:space="preserve">2015 MARTINS GRANT COURT </t>
  </si>
  <si>
    <t xml:space="preserve">10480 LITTLE PATUXENT PKWY STE #210 &amp; #220 </t>
  </si>
  <si>
    <t>ASSOCIATED BEHAVIORAL HEALTHCARE</t>
  </si>
  <si>
    <t xml:space="preserve">1800 112TH AVENUE NE </t>
  </si>
  <si>
    <t>BELLEVUE</t>
  </si>
  <si>
    <t xml:space="preserve">19824 S BUTTE ROAD </t>
  </si>
  <si>
    <t>BEAVERCREEK</t>
  </si>
  <si>
    <t>SUNSHINE GARDENS WEST</t>
  </si>
  <si>
    <t xml:space="preserve">25 SUNSHINE COURT </t>
  </si>
  <si>
    <t>DURANGO</t>
  </si>
  <si>
    <t>TRADITIONS OF PRESTON</t>
  </si>
  <si>
    <t xml:space="preserve">515 WASHINGTON STREET NW </t>
  </si>
  <si>
    <t>PRESTON</t>
  </si>
  <si>
    <t>TRADITIONS OF LACRESCENT</t>
  </si>
  <si>
    <t xml:space="preserve">333 2ND STREET SOUTH </t>
  </si>
  <si>
    <t>LA CRESCENT</t>
  </si>
  <si>
    <t>THE RIVERS-PORTAGE AL</t>
  </si>
  <si>
    <t xml:space="preserve">611 EAST ALBERT STREET </t>
  </si>
  <si>
    <t>PORTAGE</t>
  </si>
  <si>
    <t>THE RIVERS-PORTAGE MC</t>
  </si>
  <si>
    <t xml:space="preserve">621 LATTON LANE </t>
  </si>
  <si>
    <t>WILDWOOD ASSISTED LIVING</t>
  </si>
  <si>
    <t xml:space="preserve">1420 2ND STREET NORTH </t>
  </si>
  <si>
    <t xml:space="preserve">206 SOUTH BROADWAY SUITE 460 </t>
  </si>
  <si>
    <t>ROCHESTER</t>
  </si>
  <si>
    <t>BRISTOL HOSPICE EVERETT</t>
  </si>
  <si>
    <t xml:space="preserve">12625 4TH AVENUE WEST #203 </t>
  </si>
  <si>
    <t>EVERETT</t>
  </si>
  <si>
    <t>BRIDGEMARK LLC</t>
  </si>
  <si>
    <t xml:space="preserve">1010 LAKE STREET SUITE 428 </t>
  </si>
  <si>
    <t>OAK PARK</t>
  </si>
  <si>
    <t>YORKVIEW NURSING AND REHAB</t>
  </si>
  <si>
    <t xml:space="preserve">970 COLONIAL AVENUE </t>
  </si>
  <si>
    <t>YORK</t>
  </si>
  <si>
    <t>717-845-2661</t>
  </si>
  <si>
    <t>ADVANCED HOME HEALTH CARE</t>
  </si>
  <si>
    <t>ADVANCE HOME HEALTH CARE-KEOKUK</t>
  </si>
  <si>
    <t xml:space="preserve">1603 MORGAN STREET STE 8 </t>
  </si>
  <si>
    <t>KEOKUK</t>
  </si>
  <si>
    <t>319-244-2144</t>
  </si>
  <si>
    <t>Lake Erie Hospitality LLC</t>
  </si>
  <si>
    <t>Days Inn Fremont</t>
  </si>
  <si>
    <t xml:space="preserve">3701 OH-53 </t>
  </si>
  <si>
    <t>Fremont</t>
  </si>
  <si>
    <t>Brandon Kelsey</t>
  </si>
  <si>
    <t>+1 (419) 334-9551</t>
  </si>
  <si>
    <t>Red Roof Inn Sandusky - Milan</t>
  </si>
  <si>
    <t xml:space="preserve">11303 Milan Rd </t>
  </si>
  <si>
    <t>Milan</t>
  </si>
  <si>
    <t>+1 (419) 499-4347</t>
  </si>
  <si>
    <t>Holiday Inn Express &amp; Suites Milan</t>
  </si>
  <si>
    <t xml:space="preserve">11313 Milan Rd. </t>
  </si>
  <si>
    <t>+1 (567) 401-3501</t>
  </si>
  <si>
    <t>The Puyallup Gaming Enterprises Inc. dba Emerald Queen Hotel &amp; Casinos</t>
  </si>
  <si>
    <t>Emerald Queen Hotel &amp; Casino Tacoma</t>
  </si>
  <si>
    <t xml:space="preserve">2920 East R Street </t>
  </si>
  <si>
    <t>Tacoma</t>
  </si>
  <si>
    <t>CASINO: Moderate</t>
  </si>
  <si>
    <t>Ryan Inouye</t>
  </si>
  <si>
    <t>William Clifton</t>
  </si>
  <si>
    <t>+1 (253) 594-7777</t>
  </si>
  <si>
    <t>Emerald Queen Hotel &amp; Casino in Fife</t>
  </si>
  <si>
    <t xml:space="preserve">5700 Pacific Highway East </t>
  </si>
  <si>
    <t>Fife</t>
  </si>
  <si>
    <t>Red Roof Inn Clyde</t>
  </si>
  <si>
    <t xml:space="preserve">1363 W McPherson HWY </t>
  </si>
  <si>
    <t>Clyde</t>
  </si>
  <si>
    <t>+1 (419) 547-6660</t>
  </si>
  <si>
    <t>Best Western Port Clinton</t>
  </si>
  <si>
    <t xml:space="preserve">1734 E Perry St </t>
  </si>
  <si>
    <t>Port Clinton</t>
  </si>
  <si>
    <t>+1 (419) 734-2274</t>
  </si>
  <si>
    <t>Holiday Inn &amp; Suites Charlottesville - Ruckersville</t>
  </si>
  <si>
    <t xml:space="preserve">5920 Seminole Trail </t>
  </si>
  <si>
    <t>Ruckersville</t>
  </si>
  <si>
    <t>Raj Dhekar</t>
  </si>
  <si>
    <t>+1(434)985-1855</t>
  </si>
  <si>
    <t>Scarpetta - The James Hotel</t>
  </si>
  <si>
    <t xml:space="preserve">88 Madison Ave </t>
  </si>
  <si>
    <t>James Ragonese</t>
  </si>
  <si>
    <t>Carlos Montavlvo</t>
  </si>
  <si>
    <t>+1 (212)691-0555</t>
  </si>
  <si>
    <t>Motel Planning Concepts Inc. (Meyer Jabara)</t>
  </si>
  <si>
    <t>The Wentworth Inn</t>
  </si>
  <si>
    <t xml:space="preserve">1 Carter Notch Road </t>
  </si>
  <si>
    <t>Jackson</t>
  </si>
  <si>
    <t>Todd Lincoln</t>
  </si>
  <si>
    <t>+1 (603) 383-9700</t>
  </si>
  <si>
    <t>Tritrisqueles SC</t>
  </si>
  <si>
    <t>Ramada Plaza by Wyndham Veracruz Boca del Rio</t>
  </si>
  <si>
    <t xml:space="preserve">Av. Las Américas #241 De Las Americas Heriberto Kehoe Vicent 94299 </t>
  </si>
  <si>
    <t>Boca Del Rio</t>
  </si>
  <si>
    <t>VER</t>
  </si>
  <si>
    <t>ANGEL ADRIAN PARDAVILA SOUTO</t>
  </si>
  <si>
    <t>+()52 229 923 0570</t>
  </si>
  <si>
    <t>Pacifica Host Inc.</t>
  </si>
  <si>
    <t>Rainbow Bend Resort</t>
  </si>
  <si>
    <t xml:space="preserve">57784 Overseas Highway </t>
  </si>
  <si>
    <t>Laura Galvan</t>
  </si>
  <si>
    <t>+1 (305) 289-1505</t>
  </si>
  <si>
    <t>Waterside Suites and Marina</t>
  </si>
  <si>
    <t xml:space="preserve">201 Ocean Drive </t>
  </si>
  <si>
    <t>Cross Key</t>
  </si>
  <si>
    <t>Janice Fuller</t>
  </si>
  <si>
    <t>+1 (305) 451-5081</t>
  </si>
  <si>
    <t>Chesapeake Beach Resort</t>
  </si>
  <si>
    <t xml:space="preserve">83409 Overseas Highway </t>
  </si>
  <si>
    <t>Islamorada</t>
  </si>
  <si>
    <t>Samantha Lowe</t>
  </si>
  <si>
    <t>+1 (305) 664-4662</t>
  </si>
  <si>
    <t>Operadora Hotel Esperanza S. DE R.L. DE C.V.</t>
  </si>
  <si>
    <t xml:space="preserve">Susurros del Corazón </t>
  </si>
  <si>
    <t xml:space="preserve">Desarrollo El Banco Carretera a La Cruz de Huanacaxtle km14 </t>
  </si>
  <si>
    <t>Punta de Mita</t>
  </si>
  <si>
    <t>NAY</t>
  </si>
  <si>
    <t>Antonio Vazquez</t>
  </si>
  <si>
    <t>+1 (310) 437 4636</t>
  </si>
  <si>
    <t>Diamond Hospitality Services LLC</t>
  </si>
  <si>
    <t>Cobblestone Inn &amp; Suites St. Marys</t>
  </si>
  <si>
    <t xml:space="preserve">328 Depot St </t>
  </si>
  <si>
    <t>St Marys</t>
  </si>
  <si>
    <t>Cobblestone Inn &amp; Suites</t>
  </si>
  <si>
    <t>Dean Hanes</t>
  </si>
  <si>
    <t>+1 (814) 245-2020</t>
  </si>
  <si>
    <t>The Ritz-Carlton Mexico City</t>
  </si>
  <si>
    <t xml:space="preserve">Avenida Reforma 509 </t>
  </si>
  <si>
    <t>Mexico City</t>
  </si>
  <si>
    <t>Luis Lopez</t>
  </si>
  <si>
    <t>Luis Corona</t>
  </si>
  <si>
    <t>Cobblestone Inn &amp; Suites - Brookville</t>
  </si>
  <si>
    <t xml:space="preserve">9135 US 101 </t>
  </si>
  <si>
    <t>Brookville</t>
  </si>
  <si>
    <t>Pamela Butler</t>
  </si>
  <si>
    <t>+1 (765) 647-4434</t>
  </si>
  <si>
    <t>Cobblestone Hotels &amp; Suites Urbana</t>
  </si>
  <si>
    <t xml:space="preserve">170 State Route 55 </t>
  </si>
  <si>
    <t>Urbana</t>
  </si>
  <si>
    <t>Cobblestone Hotel &amp; Suites</t>
  </si>
  <si>
    <t>Amanda Trainer</t>
  </si>
  <si>
    <t>+1 (937) 652-7828</t>
  </si>
  <si>
    <t>Cobblestone Inn &amp; Suites - Vinton (LA)</t>
  </si>
  <si>
    <t xml:space="preserve">2002 Corporate Drive </t>
  </si>
  <si>
    <t>Vinton</t>
  </si>
  <si>
    <t>Tammy Berry</t>
  </si>
  <si>
    <t>+1 (337) 223-1657</t>
  </si>
  <si>
    <t>Cobblestone Hotel &amp; Suites Paxton</t>
  </si>
  <si>
    <t xml:space="preserve">1280 West Ottawa Street </t>
  </si>
  <si>
    <t>Paxton</t>
  </si>
  <si>
    <t>Natalie LaRoe</t>
  </si>
  <si>
    <t>+1 (217) 379-5300</t>
  </si>
  <si>
    <t>Cobblestone Inn &amp; Suites - Orrville</t>
  </si>
  <si>
    <t xml:space="preserve">1720 North Main Street </t>
  </si>
  <si>
    <t>Orrville</t>
  </si>
  <si>
    <t>Elizabeth Birchfield</t>
  </si>
  <si>
    <t>+1 (888) 693-8262</t>
  </si>
  <si>
    <t>Cobblestone Hotel &amp; Suites - Greenville</t>
  </si>
  <si>
    <t xml:space="preserve">81 Hadley Road </t>
  </si>
  <si>
    <t>Greenville</t>
  </si>
  <si>
    <t>Keith Fagley</t>
  </si>
  <si>
    <t>+1 (724)588-4200</t>
  </si>
  <si>
    <t>Cobblestone Hotel &amp; Suites Harborcreek</t>
  </si>
  <si>
    <t xml:space="preserve">4995 Station Road </t>
  </si>
  <si>
    <t>Harborcreek</t>
  </si>
  <si>
    <t>Justin Mecklin</t>
  </si>
  <si>
    <t>+1 (814) 899-9099</t>
  </si>
  <si>
    <t>Cobblestone Hotel &amp; Suites - Erie</t>
  </si>
  <si>
    <t xml:space="preserve">701 W Bayfront Parkway </t>
  </si>
  <si>
    <t>Erie</t>
  </si>
  <si>
    <t>Jenny Hogue</t>
  </si>
  <si>
    <t>+1 (814) 455-1010</t>
  </si>
  <si>
    <t>Cobblestone Hotel &amp; Suites - Waynesboro</t>
  </si>
  <si>
    <t xml:space="preserve">12695 Washington Township Boulevard </t>
  </si>
  <si>
    <t>Waynesboro</t>
  </si>
  <si>
    <t>Janet Sweeny</t>
  </si>
  <si>
    <t>+1 (717) 765-0034</t>
  </si>
  <si>
    <t>Cobblestone Inn &amp; Suites - Corry</t>
  </si>
  <si>
    <t xml:space="preserve">864 East Columbus Avenue </t>
  </si>
  <si>
    <t>Corry</t>
  </si>
  <si>
    <t>Samantha Burger</t>
  </si>
  <si>
    <t>+1 (814) 663-0001</t>
  </si>
  <si>
    <t>Cobblestone Hotel &amp; Suites - Charlestown</t>
  </si>
  <si>
    <t xml:space="preserve">2201 Grace Avenue </t>
  </si>
  <si>
    <t>Charlestown</t>
  </si>
  <si>
    <t>Jill Compton</t>
  </si>
  <si>
    <t>+1(812) 256-5400</t>
  </si>
  <si>
    <t>Cobblestone Hotel &amp; Suites - Salem</t>
  </si>
  <si>
    <t xml:space="preserve">1015 East Hackberry Street </t>
  </si>
  <si>
    <t>Salem</t>
  </si>
  <si>
    <t>Eleshia Lykins</t>
  </si>
  <si>
    <t>+1(812) 883-4224</t>
  </si>
  <si>
    <t>Ariel on Broadway</t>
  </si>
  <si>
    <t xml:space="preserve">301 Broadway Ave </t>
  </si>
  <si>
    <t>Lorain</t>
  </si>
  <si>
    <t>Radhika Reddy</t>
  </si>
  <si>
    <t>+(440)246-6669</t>
  </si>
  <si>
    <t>Vivo Apartments Torrance LLC</t>
  </si>
  <si>
    <t>Torrance Inn &amp; Suites</t>
  </si>
  <si>
    <t xml:space="preserve">4111 CA-1 </t>
  </si>
  <si>
    <t>Torrance</t>
  </si>
  <si>
    <t>Chad Klung</t>
  </si>
  <si>
    <t>Shahi Chowdhury</t>
  </si>
  <si>
    <t>+1 (310) 378-8511</t>
  </si>
  <si>
    <t>Element Denver International Airport</t>
  </si>
  <si>
    <t xml:space="preserve">6672 Tower Road </t>
  </si>
  <si>
    <t>Anna Steelfox</t>
  </si>
  <si>
    <t>+1 (303) 506-6969</t>
  </si>
  <si>
    <t>Element Denver Downtown East</t>
  </si>
  <si>
    <t xml:space="preserve">1350 Elati Street </t>
  </si>
  <si>
    <t>+1(720)614-5555</t>
  </si>
  <si>
    <t>Radisson Hotel Oklahoma City Airport</t>
  </si>
  <si>
    <t xml:space="preserve">4716 West I40 Service Road </t>
  </si>
  <si>
    <t>Darlynn Lanoue</t>
  </si>
  <si>
    <t>+1 (405) 605-0511</t>
  </si>
  <si>
    <t>Holiday Inn Sioux City</t>
  </si>
  <si>
    <t xml:space="preserve">701 Gordon Drive </t>
  </si>
  <si>
    <t>Sioux City</t>
  </si>
  <si>
    <t>Michael Cliffe</t>
  </si>
  <si>
    <t>Paul Lovermi</t>
  </si>
  <si>
    <t>+1 (712) 277-9400</t>
  </si>
  <si>
    <t>GCG Hotels</t>
  </si>
  <si>
    <t>Four Points by Sheraton Oklahoma City Airport</t>
  </si>
  <si>
    <t xml:space="preserve">4708 West I 40 Service Road </t>
  </si>
  <si>
    <t xml:space="preserve">Darlynn Lanoue </t>
  </si>
  <si>
    <t>Four Points by Sheraton International Drive</t>
  </si>
  <si>
    <t xml:space="preserve">5905 International Drive </t>
  </si>
  <si>
    <t>Brenda Nila</t>
  </si>
  <si>
    <t>Happy Nook</t>
  </si>
  <si>
    <t>+1 (407) 351-2100</t>
  </si>
  <si>
    <t>Grupo Bel Air</t>
  </si>
  <si>
    <t>Hotel De Mexico Bel Air Collection</t>
  </si>
  <si>
    <t xml:space="preserve">Dakota No. 95 Col. Nápoles </t>
  </si>
  <si>
    <t>Trademark Collection (TM) by Wyndham</t>
  </si>
  <si>
    <t>Luis Ramos</t>
  </si>
  <si>
    <t>Eduardo Hernandez</t>
  </si>
  <si>
    <t>+1 (55) 1164-1164</t>
  </si>
  <si>
    <t>BelAir Business CDMX WTC</t>
  </si>
  <si>
    <t>+1 (55) 1164-1160</t>
  </si>
  <si>
    <t>Le Meridien Tampa</t>
  </si>
  <si>
    <t xml:space="preserve">601 North Florida Avenue </t>
  </si>
  <si>
    <t>Brian Klein</t>
  </si>
  <si>
    <t>Crystal Falanga</t>
  </si>
  <si>
    <t>+1 (813) 999-8201</t>
  </si>
  <si>
    <t>THE LEGACY ASSISTED LIVING AT LAFAYETTE</t>
  </si>
  <si>
    <t xml:space="preserve">225 WANEKA PARKWAY </t>
  </si>
  <si>
    <t>303-666-0691</t>
  </si>
  <si>
    <t>SpringHill Suites Detroit Metro Airport Romulus</t>
  </si>
  <si>
    <t xml:space="preserve">8280 Merriman Road </t>
  </si>
  <si>
    <t>Markkell Spencer</t>
  </si>
  <si>
    <t>+ () 734/326-7500</t>
  </si>
  <si>
    <t>Holiday Inn Express Milwaukee</t>
  </si>
  <si>
    <t xml:space="preserve">10831 West Park Place </t>
  </si>
  <si>
    <t>Milwaukee</t>
  </si>
  <si>
    <t>Derek Harper</t>
  </si>
  <si>
    <t>+1 (414) 979-0250</t>
  </si>
  <si>
    <t>Teton Mountain Lodge &amp; Spa</t>
  </si>
  <si>
    <t>3385 Cody Lane P.O. Box 564</t>
  </si>
  <si>
    <t>Teton Village</t>
  </si>
  <si>
    <t>Marco Morales</t>
  </si>
  <si>
    <t>Tyler Barker</t>
  </si>
  <si>
    <t>+1 (307) 734-7111</t>
  </si>
  <si>
    <t>Hotel Terra Jackson Hole</t>
  </si>
  <si>
    <t xml:space="preserve">3335 West Village Drive </t>
  </si>
  <si>
    <t>Brett Upchurch</t>
  </si>
  <si>
    <t>+1 (307) 734-8750</t>
  </si>
  <si>
    <t>Residence Inn Detroit Farmington Hills</t>
  </si>
  <si>
    <t xml:space="preserve">33163 Hamilton Court </t>
  </si>
  <si>
    <t>Farmington</t>
  </si>
  <si>
    <t>Scott Tubbs</t>
  </si>
  <si>
    <t>+1(248) 516-1201</t>
  </si>
  <si>
    <t>TRULIEVE-MA SOUTH HADLEY</t>
  </si>
  <si>
    <t xml:space="preserve">21 INDUSTRIAL DRIVE </t>
  </si>
  <si>
    <t>SOUTH HADLEY</t>
  </si>
  <si>
    <t>TRULIEVE-MA HOLYOKE</t>
  </si>
  <si>
    <t xml:space="preserve">7 NORTH BRIDGE </t>
  </si>
  <si>
    <t>HOLYOKE</t>
  </si>
  <si>
    <t>PARTNERSHIP HOUSING INC</t>
  </si>
  <si>
    <t xml:space="preserve">66 OLD HWY 11 </t>
  </si>
  <si>
    <t>BOONEVILLE</t>
  </si>
  <si>
    <t>HPSI:CASINO'S RACE TRACKS</t>
  </si>
  <si>
    <t>606-401-5093</t>
  </si>
  <si>
    <t>PRESBYTERIAN MO-RANCH ASSEMBLY</t>
  </si>
  <si>
    <t xml:space="preserve">2229 FM 1340 </t>
  </si>
  <si>
    <t>HUNT</t>
  </si>
  <si>
    <t>830-238-4455</t>
  </si>
  <si>
    <t>CANAS ADULT DAY SERVICES</t>
  </si>
  <si>
    <t xml:space="preserve">99 GUION STREET </t>
  </si>
  <si>
    <t>413-746-0777</t>
  </si>
  <si>
    <t>THE GATE HOUSE</t>
  </si>
  <si>
    <t>THE GATE HOUSE FOR WOMEN</t>
  </si>
  <si>
    <t xml:space="preserve">4940 MARIETTA AVENUE </t>
  </si>
  <si>
    <t>717-285-2300</t>
  </si>
  <si>
    <t>RESIDENTIAL ONE</t>
  </si>
  <si>
    <t>WORTHINGTON WOODS</t>
  </si>
  <si>
    <t xml:space="preserve">4419 3RD STREET E-OFC </t>
  </si>
  <si>
    <t>202-563-0400</t>
  </si>
  <si>
    <t>MAPLE TOWERS</t>
  </si>
  <si>
    <t xml:space="preserve">7610 MAPLE AVENUE-OFC </t>
  </si>
  <si>
    <t>TAKOMA PARK</t>
  </si>
  <si>
    <t>301-270-1212</t>
  </si>
  <si>
    <t>WOODLAWN PARK 439</t>
  </si>
  <si>
    <t xml:space="preserve">425 NORTH FREDERICK AVENUE-OFC </t>
  </si>
  <si>
    <t>GAITHERSBURG</t>
  </si>
  <si>
    <t>240-224-7367</t>
  </si>
  <si>
    <t>PARKVIEW MANOR APTS</t>
  </si>
  <si>
    <t xml:space="preserve">5040 38TH AVENUE-OFC </t>
  </si>
  <si>
    <t>HYATTSVILLE</t>
  </si>
  <si>
    <t>301-209-0018</t>
  </si>
  <si>
    <t>BROWING TERRACE</t>
  </si>
  <si>
    <t xml:space="preserve">906 BROWNING AVENUE-OFC </t>
  </si>
  <si>
    <t>301-495-4803</t>
  </si>
  <si>
    <t>WYMAN COURT</t>
  </si>
  <si>
    <t xml:space="preserve">3522 BEECH AVENUE </t>
  </si>
  <si>
    <t>410-929-7536</t>
  </si>
  <si>
    <t>PRATT STREET</t>
  </si>
  <si>
    <t xml:space="preserve">1701 WEST PRATT STREET-OFC </t>
  </si>
  <si>
    <t>410-362-5657</t>
  </si>
  <si>
    <t>PACA HOUSE</t>
  </si>
  <si>
    <t xml:space="preserve">116 NORTH PACA STREET-OFC </t>
  </si>
  <si>
    <t>410-837-7222</t>
  </si>
  <si>
    <t>IRVINGTON WOODS</t>
  </si>
  <si>
    <t xml:space="preserve">4106 POTTER STREET-OFC </t>
  </si>
  <si>
    <t>410-644-7023</t>
  </si>
  <si>
    <t>3 TREE FLATS</t>
  </si>
  <si>
    <t xml:space="preserve">3910 GEORGIA AVENUE NW-OFC </t>
  </si>
  <si>
    <t>202-829-1133</t>
  </si>
  <si>
    <t>FORT WASHINGTON MANOR</t>
  </si>
  <si>
    <t xml:space="preserve">10800 INDIAN HEAD HWY-OFC </t>
  </si>
  <si>
    <t>FORT WASHINGTON</t>
  </si>
  <si>
    <t>301-203-7004</t>
  </si>
  <si>
    <t>MONTPELIER APTS</t>
  </si>
  <si>
    <t xml:space="preserve">925 NORTH BROADWAY-OFC </t>
  </si>
  <si>
    <t>410-522-5053</t>
  </si>
  <si>
    <t>FRANKLIN CENTER APTS</t>
  </si>
  <si>
    <t xml:space="preserve">410 WEST FRANKLIN STREET-OFC </t>
  </si>
  <si>
    <t>410-383-9600</t>
  </si>
  <si>
    <t>WINDSOR GARDENS APTS</t>
  </si>
  <si>
    <t xml:space="preserve">31 WEST PATRICK STREET-OFC </t>
  </si>
  <si>
    <t>FREDERICK</t>
  </si>
  <si>
    <t>301-694-0467</t>
  </si>
  <si>
    <t>WINDHAM CREEK APARTMENTS</t>
  </si>
  <si>
    <t xml:space="preserve">5123 SUITLAND ROAD-OFC </t>
  </si>
  <si>
    <t>SUITLAND</t>
  </si>
  <si>
    <t>301-568-6400</t>
  </si>
  <si>
    <t>SAVANNAH HEIGHTS APTS</t>
  </si>
  <si>
    <t xml:space="preserve">251 SAVANNAH STREET SE-OFC </t>
  </si>
  <si>
    <t>202-373-5030</t>
  </si>
  <si>
    <t>ROYAL COURT APTS</t>
  </si>
  <si>
    <t xml:space="preserve">3719 4TH STREET SE-OFC </t>
  </si>
  <si>
    <t>202-561-1788</t>
  </si>
  <si>
    <t>QUEENS MANOR APTS</t>
  </si>
  <si>
    <t xml:space="preserve">4704 27TH STREET-OFC </t>
  </si>
  <si>
    <t>MOUNT RAINIER</t>
  </si>
  <si>
    <t>301-864-4228</t>
  </si>
  <si>
    <t>QUEBEC ARMS APTS</t>
  </si>
  <si>
    <t xml:space="preserve">1400 MERRIMAC DRIVE #101 </t>
  </si>
  <si>
    <t>301-423-7799</t>
  </si>
  <si>
    <t>PARKWAY APTS</t>
  </si>
  <si>
    <t xml:space="preserve">4403 23RD PARKWAY-OFC </t>
  </si>
  <si>
    <t>TEMPLE HILLS</t>
  </si>
  <si>
    <t>MOSBY HEIGHTS APTS</t>
  </si>
  <si>
    <t xml:space="preserve">2510 MOSBY COURT-OFC </t>
  </si>
  <si>
    <t>540-434-5490</t>
  </si>
  <si>
    <t>MILL PARK TERRACE SENIOR APTS</t>
  </si>
  <si>
    <t xml:space="preserve">2216 CAROLINE STREET-OFC </t>
  </si>
  <si>
    <t>540-371-4430</t>
  </si>
  <si>
    <t>MADISON HOUSE SENIOR APTS</t>
  </si>
  <si>
    <t xml:space="preserve">25 MONROE STREET SE-OFC </t>
  </si>
  <si>
    <t>LEESBURG</t>
  </si>
  <si>
    <t>713-777-5510</t>
  </si>
  <si>
    <t>LAUREL LAKES SENIOR APTS</t>
  </si>
  <si>
    <t xml:space="preserve">7901 LAUREL LAKES COURT-OFC </t>
  </si>
  <si>
    <t>LAUREL</t>
  </si>
  <si>
    <t>301-317-0500</t>
  </si>
  <si>
    <t>LANVALE/RUTHLAND CENTER</t>
  </si>
  <si>
    <t xml:space="preserve">1600 RUTLAND AVENUE-OFC </t>
  </si>
  <si>
    <t>410-233-1491</t>
  </si>
  <si>
    <t>GREAT HOPE HOMES</t>
  </si>
  <si>
    <t xml:space="preserve">1081 GOOD HOPE DRIVE-OFC </t>
  </si>
  <si>
    <t>SILVER SRING</t>
  </si>
  <si>
    <t>301-384-5481</t>
  </si>
  <si>
    <t>GREENWOOD TERRACE</t>
  </si>
  <si>
    <t xml:space="preserve">8502 GREENWOOD AVENE-OFC </t>
  </si>
  <si>
    <t>FRANCIS SCOTT KEY</t>
  </si>
  <si>
    <t>301-694-3700</t>
  </si>
  <si>
    <t>EDINBURGH HOUSE APTS</t>
  </si>
  <si>
    <t xml:space="preserve">7513 MAPLE AVENUE-OFC </t>
  </si>
  <si>
    <t>301-270-5530</t>
  </si>
  <si>
    <t>DRINGS REACH APTS</t>
  </si>
  <si>
    <t xml:space="preserve">3407 ROBEY TER #102 </t>
  </si>
  <si>
    <t>SILVER SPRING</t>
  </si>
  <si>
    <t>301-890-4777</t>
  </si>
  <si>
    <t>CONGRESS APTS</t>
  </si>
  <si>
    <t xml:space="preserve">306 WEST FRANKLIN STREET-OFC </t>
  </si>
  <si>
    <t>410-837-3501</t>
  </si>
  <si>
    <t>CLINTON MANOR APTS</t>
  </si>
  <si>
    <t xml:space="preserve">8500 MIKE SHAPIRO DRIVE-OFC </t>
  </si>
  <si>
    <t>301-877-0444</t>
  </si>
  <si>
    <t>CARROLL APTS</t>
  </si>
  <si>
    <t xml:space="preserve">1002 QUEBEC TER #102 </t>
  </si>
  <si>
    <t>301-431-4860</t>
  </si>
  <si>
    <t>BLAIR PARK APTS</t>
  </si>
  <si>
    <t xml:space="preserve">7721 EASTERN AVENUE-OFC </t>
  </si>
  <si>
    <t>BEALLS GRANT APTS</t>
  </si>
  <si>
    <t xml:space="preserve">254 NORTH WASHINGTON STREET-OFC </t>
  </si>
  <si>
    <t>ROCKVILLE</t>
  </si>
  <si>
    <t>301-762-5455</t>
  </si>
  <si>
    <t>AUBURN MANOR APTS</t>
  </si>
  <si>
    <t xml:space="preserve">6821 RIVERDALE ROAD </t>
  </si>
  <si>
    <t>RIVERDALE</t>
  </si>
  <si>
    <t>301-577-7733</t>
  </si>
  <si>
    <t>AMHERST-PEMBRIDGE SQUARE</t>
  </si>
  <si>
    <t xml:space="preserve">2315 BLUERIDGE AVENUE-OFC </t>
  </si>
  <si>
    <t>WHEATON</t>
  </si>
  <si>
    <t>301-942-6001</t>
  </si>
  <si>
    <t>AMBASSADOR APTS</t>
  </si>
  <si>
    <t xml:space="preserve">2715 UNIVERSITY BLVD WEST-OFC </t>
  </si>
  <si>
    <t>BARCLAY APTS</t>
  </si>
  <si>
    <t xml:space="preserve">4716 BRADLEY BLVD-OFC </t>
  </si>
  <si>
    <t>CHEVY CHASE</t>
  </si>
  <si>
    <t>301-656-3737</t>
  </si>
  <si>
    <t>TCB PEDESTAL GARDEN APTS</t>
  </si>
  <si>
    <t xml:space="preserve">325 MCMECHEN STREET -OFC </t>
  </si>
  <si>
    <t>410-523-2341</t>
  </si>
  <si>
    <t>ALLEN HOUSE</t>
  </si>
  <si>
    <t xml:space="preserve">3760 MINNESOTA AVENUE NE-OFC </t>
  </si>
  <si>
    <t>202-397-1862</t>
  </si>
  <si>
    <t>MONUMENT EAST</t>
  </si>
  <si>
    <t xml:space="preserve">633 AISQUITH STREET-OFC </t>
  </si>
  <si>
    <t>410-801-8345</t>
  </si>
  <si>
    <t>MCCULLOH HOMES HIGH RISE</t>
  </si>
  <si>
    <t xml:space="preserve">501 DOLPHIN STREET-OFC </t>
  </si>
  <si>
    <t>443-984-1608</t>
  </si>
  <si>
    <t>LESTER MORTON COURT APTS</t>
  </si>
  <si>
    <t xml:space="preserve">1533 LESTER MORTON COURT-OFC </t>
  </si>
  <si>
    <t>410-342-8710</t>
  </si>
  <si>
    <t>BERNARD E/BHA MASON</t>
  </si>
  <si>
    <t xml:space="preserve">2121 WINDSOR GARDEN LANE-OFC </t>
  </si>
  <si>
    <t>GWYNN OAK</t>
  </si>
  <si>
    <t>410-396-1704</t>
  </si>
  <si>
    <t>LANGLEY GARDENS APTS</t>
  </si>
  <si>
    <t xml:space="preserve">1100 LEBANON STREET-OFC </t>
  </si>
  <si>
    <t>301-431-1901</t>
  </si>
  <si>
    <t>DOUGNAL KNOLL</t>
  </si>
  <si>
    <t xml:space="preserve">3331 22ND STREET SE-OFC </t>
  </si>
  <si>
    <t>202-889-2500</t>
  </si>
  <si>
    <t>MAPLES</t>
  </si>
  <si>
    <t xml:space="preserve">101 WESLEY DRIVE-OFC </t>
  </si>
  <si>
    <t>301-934-4121</t>
  </si>
  <si>
    <t>GATEWAY VILLAGE APTS</t>
  </si>
  <si>
    <t xml:space="preserve">9978 GUILFORD ROAD #102 </t>
  </si>
  <si>
    <t>JESSUP</t>
  </si>
  <si>
    <t>410-880-4700</t>
  </si>
  <si>
    <t>PARKVIEW TOWERS</t>
  </si>
  <si>
    <t xml:space="preserve">7667 MAPLE AVENUE-OFC </t>
  </si>
  <si>
    <t>DIAMOND SQUARE APTS</t>
  </si>
  <si>
    <t xml:space="preserve">80 BUREAU DRIVE B </t>
  </si>
  <si>
    <t>301-590-0068</t>
  </si>
  <si>
    <t>CHESTNUT APTS</t>
  </si>
  <si>
    <t xml:space="preserve">10401 4TH AVENE-OFC </t>
  </si>
  <si>
    <t>BELTSVILLE</t>
  </si>
  <si>
    <t>301-880-9240</t>
  </si>
  <si>
    <t>GOVANS MANOR-BHA</t>
  </si>
  <si>
    <t xml:space="preserve">5220 YORK ROAD-OFC </t>
  </si>
  <si>
    <t>410-396-4029</t>
  </si>
  <si>
    <t>UNIVERSITY MANOR APTS</t>
  </si>
  <si>
    <t xml:space="preserve">820 UNIVERSITY BLVD EAST-OFC </t>
  </si>
  <si>
    <t>301-439-1771</t>
  </si>
  <si>
    <t>RESIDENTIAL ONE LLC</t>
  </si>
  <si>
    <t xml:space="preserve">8975 GUILFORD ROAD #100 </t>
  </si>
  <si>
    <t>301-953-2366</t>
  </si>
  <si>
    <t>HILLCREST CARE AND REHAB</t>
  </si>
  <si>
    <t xml:space="preserve">1421 WEST SECOND STREET NORTH </t>
  </si>
  <si>
    <t>PRESCOTT</t>
  </si>
  <si>
    <t>870-887-3811</t>
  </si>
  <si>
    <t>THE LEGEND GARDENS PALM DESERT</t>
  </si>
  <si>
    <t xml:space="preserve">73685 CATALINA WAY </t>
  </si>
  <si>
    <t>PALM DESERT</t>
  </si>
  <si>
    <t>LAUREL HEALTH CARE COMPANY</t>
  </si>
  <si>
    <t>THE LAURELS OF GOSHEN</t>
  </si>
  <si>
    <t xml:space="preserve">1640 AUTUMN BLAZE LANE </t>
  </si>
  <si>
    <t>GOSHEN</t>
  </si>
  <si>
    <t>317-653-5767</t>
  </si>
  <si>
    <t>JUNIPER VILLAGE MONROEVILLE</t>
  </si>
  <si>
    <t xml:space="preserve">2589 MOSSIDE BLVD </t>
  </si>
  <si>
    <t>MONROEVILLE</t>
  </si>
  <si>
    <t>412-380-2589</t>
  </si>
  <si>
    <t>BRIGHTLY SENIOR LIVING OF GLEN CARBON</t>
  </si>
  <si>
    <t xml:space="preserve">200 BRIGHTLY WAY </t>
  </si>
  <si>
    <t>GLEN CARBON</t>
  </si>
  <si>
    <t>618-566-0566</t>
  </si>
  <si>
    <t>BRIGHTSTAR SENIOR LIVING</t>
  </si>
  <si>
    <t xml:space="preserve">11430 COLDWATER ROAD </t>
  </si>
  <si>
    <t>FORT WAYNE</t>
  </si>
  <si>
    <t>260-234-2929</t>
  </si>
  <si>
    <t>THE VINEYARDS MEMORY CARE-CA HOME FOR THE AGED</t>
  </si>
  <si>
    <t xml:space="preserve">6694 EAST KINGS CANYON </t>
  </si>
  <si>
    <t>FRESNO</t>
  </si>
  <si>
    <t>559-835-0814</t>
  </si>
  <si>
    <t xml:space="preserve">1218 CITY PARK </t>
  </si>
  <si>
    <t xml:space="preserve">1100 SOUTH ARLINGTON STREET </t>
  </si>
  <si>
    <t xml:space="preserve">1585 FREDERICK BLVD </t>
  </si>
  <si>
    <t xml:space="preserve">660 HARRISBURG PIKE </t>
  </si>
  <si>
    <t xml:space="preserve">1977 CLEVELAND AVENUE </t>
  </si>
  <si>
    <t xml:space="preserve">10548 ST CLAIR AVENUE </t>
  </si>
  <si>
    <t>THE VINEYARDS ASSISTED LIVING-CA HOME FOR THE AGED</t>
  </si>
  <si>
    <t>ST JOHN EVANGELICAL CATHOLIC SCHOOL</t>
  </si>
  <si>
    <t xml:space="preserve">111 JOHN E MANN STREET </t>
  </si>
  <si>
    <t>540-347-2458</t>
  </si>
  <si>
    <t>AVENTURA AT THE PARK</t>
  </si>
  <si>
    <t xml:space="preserve">5833 PARK HEIGHTS AVENUE </t>
  </si>
  <si>
    <t>AVENTURA AT TERRACE VIEW</t>
  </si>
  <si>
    <t xml:space="preserve">260 TERRACE DRIVE </t>
  </si>
  <si>
    <t>PECKVILLE</t>
  </si>
  <si>
    <t>570-489-8611</t>
  </si>
  <si>
    <t>CROWLEY COUNTY NURSING CENER</t>
  </si>
  <si>
    <t xml:space="preserve">401 IDAHO AVENUE </t>
  </si>
  <si>
    <t>ORDWAY</t>
  </si>
  <si>
    <t>719-267-3561</t>
  </si>
  <si>
    <t xml:space="preserve">550 SOUTH ROOSEVELT AVENUE </t>
  </si>
  <si>
    <t>319-753-6270</t>
  </si>
  <si>
    <t>EVERGREEN ACADEMY</t>
  </si>
  <si>
    <t xml:space="preserve">3351 CHICORY ROAD </t>
  </si>
  <si>
    <t>RACINE</t>
  </si>
  <si>
    <t>262-889-1380</t>
  </si>
  <si>
    <t>GENERATIONS HEALTHCARE</t>
  </si>
  <si>
    <t>TEMECULA MEMORY CARE</t>
  </si>
  <si>
    <t xml:space="preserve">44320 CAMPANULA WAY </t>
  </si>
  <si>
    <t>951-428-4990</t>
  </si>
  <si>
    <t>EMBASSY AT HUNTINGDON PARK</t>
  </si>
  <si>
    <t xml:space="preserve">1229 WARM SPRING AVENUE </t>
  </si>
  <si>
    <t>HUNTINGDON</t>
  </si>
  <si>
    <t>814-643-4210</t>
  </si>
  <si>
    <t>EMBASSY AT HEARTHSIDE</t>
  </si>
  <si>
    <t xml:space="preserve">450 WAUPELANI DRIVE </t>
  </si>
  <si>
    <t>814-237-0630</t>
  </si>
  <si>
    <t>EMBASSY AT HILLSIDE PARK</t>
  </si>
  <si>
    <t xml:space="preserve">383 MOUNTAIN VIEW DRIVE </t>
  </si>
  <si>
    <t>HILLSDALE</t>
  </si>
  <si>
    <t>814-743-6613</t>
  </si>
  <si>
    <t>CLEAR CHOICE HEALTHCARE LLC</t>
  </si>
  <si>
    <t>MAGNOLIA RIDGE REHABILITATION CENTER</t>
  </si>
  <si>
    <t xml:space="preserve">6517 NW 39TH AVENUE </t>
  </si>
  <si>
    <t>GAINESVILLE</t>
  </si>
  <si>
    <t>352-677-3422</t>
  </si>
  <si>
    <t>ALLIANCE HEALTH AND REHABILITATION CENTER</t>
  </si>
  <si>
    <t xml:space="preserve">130 WEST ARMSTRONG AVENUE </t>
  </si>
  <si>
    <t>DELAND</t>
  </si>
  <si>
    <t>386-734-6401</t>
  </si>
  <si>
    <t>CHARLEVOIX COMMISSION ON AGING</t>
  </si>
  <si>
    <t>CHARLEVOIX SENIOR CENTER-DIVISION</t>
  </si>
  <si>
    <t xml:space="preserve">13513 DIVISION STREET </t>
  </si>
  <si>
    <t>CHARLEVOIX</t>
  </si>
  <si>
    <t>HPSI:CONGREGATE DINING</t>
  </si>
  <si>
    <t>231-231-6543</t>
  </si>
  <si>
    <t>CENTER MANAGEMENT GROUP</t>
  </si>
  <si>
    <t>THE VILLA AT JDT</t>
  </si>
  <si>
    <t xml:space="preserve">499 PINE BROOK ROAD </t>
  </si>
  <si>
    <t>LINCOLN PARK</t>
  </si>
  <si>
    <t>JDT MEDICAL REHAB</t>
  </si>
  <si>
    <t>CCH HEALTHCARE</t>
  </si>
  <si>
    <t>PAWTUCKET FALLS HEALTHCARE CENTER</t>
  </si>
  <si>
    <t xml:space="preserve">70 GILL AVENUE </t>
  </si>
  <si>
    <t>PAWTUCKET</t>
  </si>
  <si>
    <t>401-722-7900</t>
  </si>
  <si>
    <t>Home2 Suites by Hilton Troy</t>
  </si>
  <si>
    <t xml:space="preserve">1035 Wilshire Drive </t>
  </si>
  <si>
    <t>Troy</t>
  </si>
  <si>
    <t>Jessica Jeffers</t>
  </si>
  <si>
    <t>+1 (248) 633-2118</t>
  </si>
  <si>
    <t>Holiday Inn Farmington Hills - Detroit NW</t>
  </si>
  <si>
    <t xml:space="preserve">33103 Hamilton Court </t>
  </si>
  <si>
    <t>Billy Gantt</t>
  </si>
  <si>
    <t>Joanna Schofield</t>
  </si>
  <si>
    <t>+()248 516 1280</t>
  </si>
  <si>
    <t>Four Points Detroit Metro Airport</t>
  </si>
  <si>
    <t xml:space="preserve">8800 Wickham Road </t>
  </si>
  <si>
    <t>Christopher Edwards</t>
  </si>
  <si>
    <t>+1 (734) 729-9000</t>
  </si>
  <si>
    <t>Courtyard Detroit Farmington Hills</t>
  </si>
  <si>
    <t xml:space="preserve">33043 Hamilton Court </t>
  </si>
  <si>
    <t>Farmingtron Hills</t>
  </si>
  <si>
    <t>Chelsea Alm</t>
  </si>
  <si>
    <t>Genetia Sheilds</t>
  </si>
  <si>
    <t>+1(248)516-1400</t>
  </si>
  <si>
    <t>Fairfield Inn Detroit Airport Romulus</t>
  </si>
  <si>
    <t xml:space="preserve">7800 Merriman Road </t>
  </si>
  <si>
    <t>Heather Hightower</t>
  </si>
  <si>
    <t>+(734)467-7601</t>
  </si>
  <si>
    <t>Holiday Inn Express Romulus Detroit Airport</t>
  </si>
  <si>
    <t xml:space="preserve">7680 Merriman Road </t>
  </si>
  <si>
    <t>Perry Sudol</t>
  </si>
  <si>
    <t>Sam Sarwar</t>
  </si>
  <si>
    <t>+()734 729 8400</t>
  </si>
  <si>
    <t>Holiday Inn Detroit Metro Airport</t>
  </si>
  <si>
    <t xml:space="preserve">8400 Merriman Road </t>
  </si>
  <si>
    <t>Jin Wei</t>
  </si>
  <si>
    <t>John Gleason</t>
  </si>
  <si>
    <t>+()8662384218</t>
  </si>
  <si>
    <t>Hampton Inn Livonia Detroit</t>
  </si>
  <si>
    <t xml:space="preserve">28151 Schoolcraft Road </t>
  </si>
  <si>
    <t>Livonia</t>
  </si>
  <si>
    <t>Jermaine Hall</t>
  </si>
  <si>
    <t>Thomas Keller</t>
  </si>
  <si>
    <t>+1 (734) 237-4480</t>
  </si>
  <si>
    <t>Emprendimientos Hoteleros Tamarindo</t>
  </si>
  <si>
    <t>Wyndham Tamarindo</t>
  </si>
  <si>
    <t xml:space="preserve">200 m al Este y 800 m al Norte del Banco Nacional de Tamarindo </t>
  </si>
  <si>
    <t>Tamarindo</t>
  </si>
  <si>
    <t>CR</t>
  </si>
  <si>
    <t>Daniel Navas</t>
  </si>
  <si>
    <t>+()506 4700 4747</t>
  </si>
  <si>
    <t>Fairfield Inn &amp; Suites Toledo North</t>
  </si>
  <si>
    <t xml:space="preserve">5685 Benore Road </t>
  </si>
  <si>
    <t>Kimmie Townsend</t>
  </si>
  <si>
    <t>+1(419)725-0050</t>
  </si>
  <si>
    <t>Chartwell Hospitality LLC</t>
  </si>
  <si>
    <t>Conrad Nashville</t>
  </si>
  <si>
    <t xml:space="preserve">1620 West End Avenue </t>
  </si>
  <si>
    <t>Conrad Hotels</t>
  </si>
  <si>
    <t>Martin Wormull</t>
  </si>
  <si>
    <t>Tru by Hilton Detroit</t>
  </si>
  <si>
    <t xml:space="preserve">1575 E. Maple Road </t>
  </si>
  <si>
    <t>Brian Hart</t>
  </si>
  <si>
    <t>+1 (248) 855-2100</t>
  </si>
  <si>
    <t>Hilton Garden Inn Troy</t>
  </si>
  <si>
    <t xml:space="preserve">200 Wilshire Drive </t>
  </si>
  <si>
    <t>Jason Wade</t>
  </si>
  <si>
    <t>+1 (248) 247-7280</t>
  </si>
  <si>
    <t>Hampton Inn &amp; Suites Detroit Troy</t>
  </si>
  <si>
    <t xml:space="preserve">100 Wilshire Drive </t>
  </si>
  <si>
    <t>Denise Michie</t>
  </si>
  <si>
    <t>+1 (248) 247-3200</t>
  </si>
  <si>
    <t xml:space="preserve">Baymont Inn Detroit Airport Romulus </t>
  </si>
  <si>
    <t xml:space="preserve">9000 Wickham Road </t>
  </si>
  <si>
    <t>Sarah Barnhart</t>
  </si>
  <si>
    <t>+ (734) 722-6000</t>
  </si>
  <si>
    <t>Holiday Inn Detroit Northwest - Livonia</t>
  </si>
  <si>
    <t xml:space="preserve">17123 N Laurel Park Drive </t>
  </si>
  <si>
    <t>James Cureton</t>
  </si>
  <si>
    <t>Daydream Corporation</t>
  </si>
  <si>
    <t>Country Inn &amp; Suites Harrisonburg</t>
  </si>
  <si>
    <t xml:space="preserve">27 Covenant Dr. </t>
  </si>
  <si>
    <t>Harrisonburg</t>
  </si>
  <si>
    <t>Greg Miller</t>
  </si>
  <si>
    <t>+1 (540) 433-2400</t>
  </si>
  <si>
    <t>Hyatt Place Austin - Round Rock</t>
  </si>
  <si>
    <t xml:space="preserve">420 Sundance Parkway </t>
  </si>
  <si>
    <t>Jeremy Sherman</t>
  </si>
  <si>
    <t>Sal Rajan</t>
  </si>
  <si>
    <t>+1 (512) 244-4300</t>
  </si>
  <si>
    <t>Best Western Plus Harrisonburg</t>
  </si>
  <si>
    <t xml:space="preserve">3325 S MAIN ST </t>
  </si>
  <si>
    <t>Beth Shaver</t>
  </si>
  <si>
    <t>+ (540) 433-9999</t>
  </si>
  <si>
    <t>Royal Sonesta Minneapolis</t>
  </si>
  <si>
    <t xml:space="preserve">35 South 7th Street </t>
  </si>
  <si>
    <t>Minneapolis</t>
  </si>
  <si>
    <t xml:space="preserve">Royal Sonesta </t>
  </si>
  <si>
    <t>+1 (612) 339-4900</t>
  </si>
  <si>
    <t>CAREFIELD CASTRO VALLEY</t>
  </si>
  <si>
    <t xml:space="preserve">19960 SANTA MARIA AVE </t>
  </si>
  <si>
    <t>CASTRO VALLEY</t>
  </si>
  <si>
    <t>510-582-2765</t>
  </si>
  <si>
    <t>Wardman Park</t>
  </si>
  <si>
    <t xml:space="preserve">2660 Woodley Road NW </t>
  </si>
  <si>
    <t xml:space="preserve">Alice </t>
  </si>
  <si>
    <t>Dan McKeon</t>
  </si>
  <si>
    <t>(202) 328-2000</t>
  </si>
  <si>
    <t>Courtyard Lubbock Downtown</t>
  </si>
  <si>
    <t xml:space="preserve">308 Avenue V </t>
  </si>
  <si>
    <t>Dustin McConnell</t>
  </si>
  <si>
    <t xml:space="preserve">Dylan - Assistant G Harkleroad </t>
  </si>
  <si>
    <t>+1 (806) 368-8403</t>
  </si>
  <si>
    <t>Bunkers at Brown Deer LLC</t>
  </si>
  <si>
    <t>Brown Deer Golf Club</t>
  </si>
  <si>
    <t xml:space="preserve">1900 Country Club Drive </t>
  </si>
  <si>
    <t>Coralvile</t>
  </si>
  <si>
    <t xml:space="preserve">Craig Sundell </t>
  </si>
  <si>
    <t>Golf Course Public</t>
  </si>
  <si>
    <t>+ (319) 248-9300</t>
  </si>
  <si>
    <t>Residence Inn Waco South</t>
  </si>
  <si>
    <t xml:space="preserve">2424 Marketplace Drive </t>
  </si>
  <si>
    <t>Waco</t>
  </si>
  <si>
    <t>Misty Lack</t>
  </si>
  <si>
    <t>+1 (254) 294-4586</t>
  </si>
  <si>
    <t>ALLIGENT HEALTHCARE OF MESA</t>
  </si>
  <si>
    <t xml:space="preserve">3120 E BROADWAY ROAD </t>
  </si>
  <si>
    <t>MESA</t>
  </si>
  <si>
    <t>480-924-7777</t>
  </si>
  <si>
    <t>Best Western Plus Lamplighter Inn &amp; Conference Centre</t>
  </si>
  <si>
    <t xml:space="preserve">591 Wellington Street </t>
  </si>
  <si>
    <t>London</t>
  </si>
  <si>
    <t>n6c 4r3</t>
  </si>
  <si>
    <t>Dalbeer Pawar</t>
  </si>
  <si>
    <t>+1 (519) 681-7151</t>
  </si>
  <si>
    <t>Home2 Suites Sarasota Bradenton Airport</t>
  </si>
  <si>
    <t xml:space="preserve">8260 North Tamiami Trail </t>
  </si>
  <si>
    <t>Catlin Naser</t>
  </si>
  <si>
    <t>Trey Bailey</t>
  </si>
  <si>
    <t>+1 (941) 500-11899</t>
  </si>
  <si>
    <t>Hilton Garden Inn Sarasota Bradenton Airport</t>
  </si>
  <si>
    <t xml:space="preserve">8270 North Tamiami Trail </t>
  </si>
  <si>
    <t>+1 (941) 552-1100</t>
  </si>
  <si>
    <t>Hampton Inn Sarasota I-75 Bee Ridge</t>
  </si>
  <si>
    <t xml:space="preserve">5995 Cattleridge Boulevard </t>
  </si>
  <si>
    <t>Denzil Kentebe</t>
  </si>
  <si>
    <t>Krystal Bostick</t>
  </si>
  <si>
    <t>+1 (941) 371-1900</t>
  </si>
  <si>
    <t>The Algonquin Hotel Autograph Collection</t>
  </si>
  <si>
    <t xml:space="preserve">59 West 44th Street </t>
  </si>
  <si>
    <t>New York City</t>
  </si>
  <si>
    <t>Autograph Collection</t>
  </si>
  <si>
    <t>Alice De Almedia</t>
  </si>
  <si>
    <t>Gabriela Jimenez</t>
  </si>
  <si>
    <t>+1 (212) 840-6800</t>
  </si>
  <si>
    <t>M&amp;R Hotel Management</t>
  </si>
  <si>
    <t>Hyatt Centric 39th and 5th New York</t>
  </si>
  <si>
    <t xml:space="preserve">16 East 39th Street </t>
  </si>
  <si>
    <t>Anthony Damiano</t>
  </si>
  <si>
    <t>Julia Ayres</t>
  </si>
  <si>
    <t>+1 (212) 726-9700</t>
  </si>
  <si>
    <t>Doubletree Greentree</t>
  </si>
  <si>
    <t xml:space="preserve">500 Mansfield Avenue </t>
  </si>
  <si>
    <t>Crafton</t>
  </si>
  <si>
    <t>John Koss</t>
  </si>
  <si>
    <t>+1 (412) 922-8400</t>
  </si>
  <si>
    <t>Quality Inn &amp; Suites Seattle Center</t>
  </si>
  <si>
    <t xml:space="preserve">618 John Street </t>
  </si>
  <si>
    <t>Kala Nabors</t>
  </si>
  <si>
    <t>Braxton Myers</t>
  </si>
  <si>
    <t>+1 (206)728-7666</t>
  </si>
  <si>
    <t>Crowne Plaza Pittsburgh South</t>
  </si>
  <si>
    <t xml:space="preserve">164 Fort Couch Road </t>
  </si>
  <si>
    <t>Scott Parsons</t>
  </si>
  <si>
    <t>+ (412) 833-5300</t>
  </si>
  <si>
    <t>E-Z 8 Motel San Jose</t>
  </si>
  <si>
    <t xml:space="preserve">2050 N 1st Street </t>
  </si>
  <si>
    <t>E-Z 8</t>
  </si>
  <si>
    <t>+()408-295-9341</t>
  </si>
  <si>
    <t>Super 8 San Diego</t>
  </si>
  <si>
    <t xml:space="preserve">445 Hotel Cir S </t>
  </si>
  <si>
    <t>Mike Patel</t>
  </si>
  <si>
    <t>+()619-692-1288</t>
  </si>
  <si>
    <t>Candlewood Suites San Diego</t>
  </si>
  <si>
    <t xml:space="preserve">1335 Hotel Cir South </t>
  </si>
  <si>
    <t>Joelene Mistral</t>
  </si>
  <si>
    <t>+ (619) 299-3501</t>
  </si>
  <si>
    <t>Days Inn San Diego Mission Valley</t>
  </si>
  <si>
    <t xml:space="preserve">5343 Adobe Falls Road </t>
  </si>
  <si>
    <t>+()619-436-4637</t>
  </si>
  <si>
    <t>Wyndham Santa Monica @ The Pier</t>
  </si>
  <si>
    <t xml:space="preserve">120 Colorado Ave </t>
  </si>
  <si>
    <t>Dora McCarty</t>
  </si>
  <si>
    <t>Lisa Frey</t>
  </si>
  <si>
    <t>+ (310) 451-0676</t>
  </si>
  <si>
    <t>The Marquette Hotel</t>
  </si>
  <si>
    <t xml:space="preserve">710 Marquette Avenue </t>
  </si>
  <si>
    <t>Julie Kretsch</t>
  </si>
  <si>
    <t>James Garlinghouse</t>
  </si>
  <si>
    <t>+1 (612) 333-4545</t>
  </si>
  <si>
    <t>The Josie Hotel</t>
  </si>
  <si>
    <t xml:space="preserve">4306 Red Mountain Road </t>
  </si>
  <si>
    <t>Rossland</t>
  </si>
  <si>
    <t>V0G 1Y0</t>
  </si>
  <si>
    <t>David Curell</t>
  </si>
  <si>
    <t>Coleen Asanin</t>
  </si>
  <si>
    <t>+1 (250) 362-5155</t>
  </si>
  <si>
    <t>HJ &amp; VJ LLC / JHG Hotel Management</t>
  </si>
  <si>
    <t>Tru by Hilton Lancaster East</t>
  </si>
  <si>
    <t xml:space="preserve">2320 Lincoln Highway East </t>
  </si>
  <si>
    <t>Jen Jameson</t>
  </si>
  <si>
    <t>+()717-399-3100</t>
  </si>
  <si>
    <t>YOUNG LIFE WILD RIDGE</t>
  </si>
  <si>
    <t xml:space="preserve">162 OLD VINTON FARM ROAD </t>
  </si>
  <si>
    <t>MOUNT NEBO</t>
  </si>
  <si>
    <t>304-404-2005</t>
  </si>
  <si>
    <t>THE KINGS ACADEMY</t>
  </si>
  <si>
    <t xml:space="preserve">1819 MARTIN LUTHER KING JR BLVD </t>
  </si>
  <si>
    <t xml:space="preserve">PLANO </t>
  </si>
  <si>
    <t>972-930-4001</t>
  </si>
  <si>
    <t>EASTMONT BAPTIST CHURCH</t>
  </si>
  <si>
    <t xml:space="preserve">400 SOUTH KENTUCKY AVENUE </t>
  </si>
  <si>
    <t>EAST WENATCHEE</t>
  </si>
  <si>
    <t>509-884-6813</t>
  </si>
  <si>
    <t>VINELAND POST ACUTE</t>
  </si>
  <si>
    <t xml:space="preserve">10830 OXNARD STREET </t>
  </si>
  <si>
    <t>NORTH HOLLYWOOD</t>
  </si>
  <si>
    <t>818-763-8247</t>
  </si>
  <si>
    <t>OAK FOREST HEALTH AND REHAB CENTER</t>
  </si>
  <si>
    <t xml:space="preserve">5680 WINDY HILL DRIVE </t>
  </si>
  <si>
    <t>WINSTON-SALEM</t>
  </si>
  <si>
    <t>336-776-5000</t>
  </si>
  <si>
    <t>THE OPAL AT CAPE CORAL</t>
  </si>
  <si>
    <t xml:space="preserve">4920 VICEROY COURT </t>
  </si>
  <si>
    <t>CAPE CORAL</t>
  </si>
  <si>
    <t>WALLER HIGH SCHOOL CTE DEPARTMENT</t>
  </si>
  <si>
    <t xml:space="preserve">20950 FIELD STORE ROAD </t>
  </si>
  <si>
    <t xml:space="preserve">WALLER </t>
  </si>
  <si>
    <t>936-931-0369</t>
  </si>
  <si>
    <t>GLEN PARK HEALTHY LIVING</t>
  </si>
  <si>
    <t>GLEN PARK AT OJAI</t>
  </si>
  <si>
    <t xml:space="preserve">225 NORTH LOMITA AVENUE </t>
  </si>
  <si>
    <t>OJAI</t>
  </si>
  <si>
    <t>805-646-2402</t>
  </si>
  <si>
    <t>PICKENS GARDENS</t>
  </si>
  <si>
    <t xml:space="preserve">102 GARDEN DRIVE </t>
  </si>
  <si>
    <t>PICKENS</t>
  </si>
  <si>
    <t>864-878-2344</t>
  </si>
  <si>
    <t>Hotel Marcel</t>
  </si>
  <si>
    <t xml:space="preserve">500 Sargent Drive </t>
  </si>
  <si>
    <t>New Haven</t>
  </si>
  <si>
    <t>Michael Scandariato</t>
  </si>
  <si>
    <t>+(914)512-0760</t>
  </si>
  <si>
    <t>Hilton Garden Inn New York Times Square North</t>
  </si>
  <si>
    <t xml:space="preserve">30 West 46th Street </t>
  </si>
  <si>
    <t>Daniel Feurtado</t>
  </si>
  <si>
    <t>+(646)569-6740</t>
  </si>
  <si>
    <t>Headliners Club Inc.</t>
  </si>
  <si>
    <t>Headliners Club</t>
  </si>
  <si>
    <t>221 West 6th St. Suite 2100</t>
  </si>
  <si>
    <t>Kevin Newbolt</t>
  </si>
  <si>
    <t>+()512 479 8080</t>
  </si>
  <si>
    <t>Kinseth Hospitality Companies LLC</t>
  </si>
  <si>
    <t>Hyatt Place Verona</t>
  </si>
  <si>
    <t xml:space="preserve">846 Liberty Drive </t>
  </si>
  <si>
    <t>Verona</t>
  </si>
  <si>
    <t>+()608-497-3223</t>
  </si>
  <si>
    <t>SpringHill Suites Little Rock West</t>
  </si>
  <si>
    <t xml:space="preserve">306 Markham Center Drive </t>
  </si>
  <si>
    <t>Alexandria Williams</t>
  </si>
  <si>
    <t xml:space="preserve">Bobby Sharolia </t>
  </si>
  <si>
    <t>+ (501) 978-6000</t>
  </si>
  <si>
    <t>Desert Horizons Owners Association Inc.</t>
  </si>
  <si>
    <t>Desert Horizons Country Club</t>
  </si>
  <si>
    <t xml:space="preserve">44900 Desert Horizons Dr </t>
  </si>
  <si>
    <t>Indian Wells</t>
  </si>
  <si>
    <t>Al Castro</t>
  </si>
  <si>
    <t>+ (760) 340-4646</t>
  </si>
  <si>
    <t>Holiday Inn Burlington Hotel &amp; Conference Centre</t>
  </si>
  <si>
    <t xml:space="preserve">3063 South Service Road </t>
  </si>
  <si>
    <t>L7N 3E9</t>
  </si>
  <si>
    <t>Jason Stoner</t>
  </si>
  <si>
    <t>+1 (905) 639-4443</t>
  </si>
  <si>
    <t>Aloft Portland Airport at Cascade Station</t>
  </si>
  <si>
    <t xml:space="preserve">9920 Northeast Cascade Parkway </t>
  </si>
  <si>
    <t>Portland</t>
  </si>
  <si>
    <t>Michelle Wallace</t>
  </si>
  <si>
    <t>Shellie Enquist</t>
  </si>
  <si>
    <t>+1 (503) 200-5678</t>
  </si>
  <si>
    <t>Sheraton Portland Airport Hotel</t>
  </si>
  <si>
    <t xml:space="preserve">8235 Northeast Airport Way </t>
  </si>
  <si>
    <t>Gus Castaneda</t>
  </si>
  <si>
    <t>Mike Daley</t>
  </si>
  <si>
    <t>+1 (503) 281-2500</t>
  </si>
  <si>
    <t>Hampton Inn &amp; Suites Gwinnett</t>
  </si>
  <si>
    <t xml:space="preserve">1725 Pineland Road </t>
  </si>
  <si>
    <t>Marvin Thompson</t>
  </si>
  <si>
    <t>Starr Stovall</t>
  </si>
  <si>
    <t>+1 (770)931-9800</t>
  </si>
  <si>
    <t>Marriott Bethesda Downtown at Marriott HQ</t>
  </si>
  <si>
    <t xml:space="preserve">7707 Woodmont Avenue </t>
  </si>
  <si>
    <t>Bethesda</t>
  </si>
  <si>
    <t>Kat Burns</t>
  </si>
  <si>
    <t>SH Group U.S. Equity Holdings L.L.C.</t>
  </si>
  <si>
    <t>1 Hotel Nashville</t>
  </si>
  <si>
    <t xml:space="preserve">710 Demonbreun Street </t>
  </si>
  <si>
    <t>Nicholas Farina</t>
  </si>
  <si>
    <t>+1 (213) 880-9956</t>
  </si>
  <si>
    <t>The Ritz-Carlton New York Central Park</t>
  </si>
  <si>
    <t xml:space="preserve">50 Central Park South </t>
  </si>
  <si>
    <t>Douglas Housley</t>
  </si>
  <si>
    <t>Vince Loic</t>
  </si>
  <si>
    <t>+1 (212) 308-9100</t>
  </si>
  <si>
    <t>The National Golf Club of Kansas City</t>
  </si>
  <si>
    <t xml:space="preserve">6700 North National Drive </t>
  </si>
  <si>
    <t>Jack Meyers</t>
  </si>
  <si>
    <t>+ (816) 746-0200</t>
  </si>
  <si>
    <t>The Deuce at The National Golf Club</t>
  </si>
  <si>
    <t xml:space="preserve">6415 North National Drive </t>
  </si>
  <si>
    <t>+(816) 505-0650</t>
  </si>
  <si>
    <t>Crystal Springs Resort Development LLC</t>
  </si>
  <si>
    <t>Crystal Springs Resort</t>
  </si>
  <si>
    <t xml:space="preserve">1 Wild Turkey Way </t>
  </si>
  <si>
    <t>Hamburg</t>
  </si>
  <si>
    <t>Bill Polchinski</t>
  </si>
  <si>
    <t>Craig Worts</t>
  </si>
  <si>
    <t>+1 (973) 864-8170</t>
  </si>
  <si>
    <t>Rosewood Hotels and Resorts LLC</t>
  </si>
  <si>
    <t>Rosewood Le Guanahani St. Barth</t>
  </si>
  <si>
    <t xml:space="preserve">Grand Cul Sac </t>
  </si>
  <si>
    <t>St. Barthelemy</t>
  </si>
  <si>
    <t>BLM</t>
  </si>
  <si>
    <t>Saint Barthelemy</t>
  </si>
  <si>
    <t>Rosewood</t>
  </si>
  <si>
    <t>+()590 590 529 006</t>
  </si>
  <si>
    <t>WINDSOR CARE AND REHAB LLC</t>
  </si>
  <si>
    <t xml:space="preserve">501 SOUTH PALM AVE </t>
  </si>
  <si>
    <t>PALATKA</t>
  </si>
  <si>
    <t>386-328-1472</t>
  </si>
  <si>
    <t>Loews Hotels Holding Corporation</t>
  </si>
  <si>
    <t>Loews Coral Gables Hotel</t>
  </si>
  <si>
    <t xml:space="preserve">2950 Coconut Grove Drive </t>
  </si>
  <si>
    <t>Coral Gables</t>
  </si>
  <si>
    <t>Loews</t>
  </si>
  <si>
    <t>Debbie Young</t>
  </si>
  <si>
    <t>Margarethe Javellana</t>
  </si>
  <si>
    <t>+()615-340-5900</t>
  </si>
  <si>
    <t>Independent Chicago Downtown</t>
  </si>
  <si>
    <t xml:space="preserve">20 East Delaware Place </t>
  </si>
  <si>
    <t>MI Independent</t>
  </si>
  <si>
    <t>Ed Manning</t>
  </si>
  <si>
    <t>+1 (312) 944-4970</t>
  </si>
  <si>
    <t>Soul Community Planet Inc.</t>
  </si>
  <si>
    <t>SCP Laguna</t>
  </si>
  <si>
    <t xml:space="preserve">825 South Coast Hwy </t>
  </si>
  <si>
    <t>Laguna Beach</t>
  </si>
  <si>
    <t>Jhon Lazaro</t>
  </si>
  <si>
    <t>Matthew Weeks</t>
  </si>
  <si>
    <t>+()949-494-1146</t>
  </si>
  <si>
    <t>Arcis Golf</t>
  </si>
  <si>
    <t>Gentle Creek Golf Club</t>
  </si>
  <si>
    <t xml:space="preserve">3131 Prosper Trail </t>
  </si>
  <si>
    <t>Prosper</t>
  </si>
  <si>
    <t>Mike Junio</t>
  </si>
  <si>
    <t>(972) 346-2550</t>
  </si>
  <si>
    <t>Foothills Hotels Inc.</t>
  </si>
  <si>
    <t>Fairfield Inn &amp; Suites Atlanta Airport North</t>
  </si>
  <si>
    <t xml:space="preserve">1255 Walker Avenue </t>
  </si>
  <si>
    <t>Martha Gary</t>
  </si>
  <si>
    <t>+1 (404) 767-5374</t>
  </si>
  <si>
    <t>Comfort Inn &amp; Suites Greer-Greenville</t>
  </si>
  <si>
    <t xml:space="preserve">1315 West Wade Hampton Boulevard </t>
  </si>
  <si>
    <t>Greer</t>
  </si>
  <si>
    <t>Sierra Jones</t>
  </si>
  <si>
    <t>+1 (864) 202-5682</t>
  </si>
  <si>
    <t xml:space="preserve">Paso Hospitality LLC </t>
  </si>
  <si>
    <t>Avenue Inn Downtown San Luis Obispo</t>
  </si>
  <si>
    <t xml:space="preserve">345 March St </t>
  </si>
  <si>
    <t>San Luis obispo</t>
  </si>
  <si>
    <t>Sol Tailor</t>
  </si>
  <si>
    <t>Pradeep Patel</t>
  </si>
  <si>
    <t>+1 (805) 543-6443</t>
  </si>
  <si>
    <t>Azsa Hospitality LLC</t>
  </si>
  <si>
    <t>Hotel Siri Downtown - Paso Robles</t>
  </si>
  <si>
    <t xml:space="preserve">715 24th St </t>
  </si>
  <si>
    <t>Jalpa Patel</t>
  </si>
  <si>
    <t>+1 (805) 748-2962</t>
  </si>
  <si>
    <t>Marquis Ventures</t>
  </si>
  <si>
    <t>Fairfield Inn &amp; Suites Chicago Lombard</t>
  </si>
  <si>
    <t xml:space="preserve">645 West North Avenue </t>
  </si>
  <si>
    <t>Lombard</t>
  </si>
  <si>
    <t>Robert Stewart</t>
  </si>
  <si>
    <t>Tamara Rodgers</t>
  </si>
  <si>
    <t>+1 (630) 629-1500</t>
  </si>
  <si>
    <t>MANILLA MANOR</t>
  </si>
  <si>
    <t xml:space="preserve">146 NORTH 5TH STREET </t>
  </si>
  <si>
    <t>MANILLA</t>
  </si>
  <si>
    <t>712-654-6812</t>
  </si>
  <si>
    <t>The Harborfront Inn</t>
  </si>
  <si>
    <t xml:space="preserve">209 Front St </t>
  </si>
  <si>
    <t>Greenport</t>
  </si>
  <si>
    <t>Scott Sumner</t>
  </si>
  <si>
    <t>+()631-477-0707</t>
  </si>
  <si>
    <t>JR Investors LLC d/b/a Royal Park Hotel</t>
  </si>
  <si>
    <t>Royal Park Hotel</t>
  </si>
  <si>
    <t xml:space="preserve">600 E University Drive </t>
  </si>
  <si>
    <t>Susan Keels</t>
  </si>
  <si>
    <t>+1 (248) 652-2600</t>
  </si>
  <si>
    <t>WALLICK PROPERTIES MIDWEST LLC</t>
  </si>
  <si>
    <t>THE CRESCENT OF OAKLEAF VILLAGE</t>
  </si>
  <si>
    <t xml:space="preserve">4230 N HOLLAND SYLVANIA ROAD </t>
  </si>
  <si>
    <t>SYLVANIA</t>
  </si>
  <si>
    <t>419-314-4256</t>
  </si>
  <si>
    <t>TRULIEVE-MKLOTZ-JOHNNY DIXON</t>
  </si>
  <si>
    <t xml:space="preserve">6749 BEN BOSTIC ROAD </t>
  </si>
  <si>
    <t>QUINCY</t>
  </si>
  <si>
    <t>TRULIEVE-DAVENPORT</t>
  </si>
  <si>
    <t xml:space="preserve">2500 DEER CREEK COMMERCE </t>
  </si>
  <si>
    <t>DAVENPORT</t>
  </si>
  <si>
    <t>TRULIEVE-MONTICELLO</t>
  </si>
  <si>
    <t xml:space="preserve">1948 WEST CAPS HIGHWAY </t>
  </si>
  <si>
    <t>MONTICELLO</t>
  </si>
  <si>
    <t>TRULIEVE-SUMMERFIELD</t>
  </si>
  <si>
    <t xml:space="preserve">17950 S US HIGHWAY 441 </t>
  </si>
  <si>
    <t>SUMMERFIELD</t>
  </si>
  <si>
    <t>TRULIEVE-PORT ORANGE</t>
  </si>
  <si>
    <t xml:space="preserve">1090 DUNLAWTON AVENUE </t>
  </si>
  <si>
    <t>PORT ORANGE</t>
  </si>
  <si>
    <t>TRULIEVE-CRYSTAL RIVER</t>
  </si>
  <si>
    <t xml:space="preserve">275 NE US HIGHWAY 19 </t>
  </si>
  <si>
    <t>CRYSTAL RIVER</t>
  </si>
  <si>
    <t>TRULIEVE-LEESBURG</t>
  </si>
  <si>
    <t xml:space="preserve">106 WEST NORTH BLVD </t>
  </si>
  <si>
    <t>TRULIEVE-LESAGE</t>
  </si>
  <si>
    <t xml:space="preserve">8102 FRAZIERS LANE </t>
  </si>
  <si>
    <t>LESAGE</t>
  </si>
  <si>
    <t>TRULIEVE-LEE</t>
  </si>
  <si>
    <t xml:space="preserve">5743 NE STATE ROAD 6 </t>
  </si>
  <si>
    <t>LEE</t>
  </si>
  <si>
    <t>THE PORTOPICCOLO GROUP</t>
  </si>
  <si>
    <t>ST ANDREWS BAY HEALTH AND REHAB CENTER</t>
  </si>
  <si>
    <t xml:space="preserve">2100 JENKS AVENUE </t>
  </si>
  <si>
    <t>PANAMA CITY</t>
  </si>
  <si>
    <t>850-763-0446</t>
  </si>
  <si>
    <t>NEXT LEVEL</t>
  </si>
  <si>
    <t xml:space="preserve">100 CHALLENGER ROAD STE 105 </t>
  </si>
  <si>
    <t>RIDGEFIELD PARK</t>
  </si>
  <si>
    <t>SILVERCARE SENIOR LIVING COMMUNITIES</t>
  </si>
  <si>
    <t>THE VILLAGES OF IMPERIAL POINTE</t>
  </si>
  <si>
    <t xml:space="preserve">1747 IMPERIAL BLD </t>
  </si>
  <si>
    <t>LAKE CHARLES</t>
  </si>
  <si>
    <t>337-731-7242</t>
  </si>
  <si>
    <t xml:space="preserve">3710 RAWLINS STREET #1325 </t>
  </si>
  <si>
    <t>972-473-7302</t>
  </si>
  <si>
    <t>FORT MYERS REHAB AND NURSING CENTER</t>
  </si>
  <si>
    <t xml:space="preserve">7173 CYPRESS DRIVE SW </t>
  </si>
  <si>
    <t>FORT MYERS</t>
  </si>
  <si>
    <t>LIFESPIRE OF VIRGINIA</t>
  </si>
  <si>
    <t>THE SUMMIT</t>
  </si>
  <si>
    <t xml:space="preserve">1400 ENTERPRISE DRIVE </t>
  </si>
  <si>
    <t>LYNCHBURG</t>
  </si>
  <si>
    <t>434-582-1500</t>
  </si>
  <si>
    <t>COMMUNITY CENTER OF HOPE</t>
  </si>
  <si>
    <t xml:space="preserve">543 WASHINGTON STREET </t>
  </si>
  <si>
    <t>HOPE</t>
  </si>
  <si>
    <t>812-546-4499</t>
  </si>
  <si>
    <t>MELLEN MANOR</t>
  </si>
  <si>
    <t xml:space="preserve">450 LAKE DRIVE </t>
  </si>
  <si>
    <t>320-828-7310</t>
  </si>
  <si>
    <t>SHELL LAKE HEALTH CARE CENTER</t>
  </si>
  <si>
    <t xml:space="preserve">802 COUNTY HWY B </t>
  </si>
  <si>
    <t>ANGELS 211 LLC</t>
  </si>
  <si>
    <t xml:space="preserve">211 GARNIER STREET </t>
  </si>
  <si>
    <t>PITTBURGH</t>
  </si>
  <si>
    <t>412-784-8344</t>
  </si>
  <si>
    <t>SPRINGPOINT AT MANALAPAN</t>
  </si>
  <si>
    <t xml:space="preserve">199 WOODWARD ROAD </t>
  </si>
  <si>
    <t>MANALAPAN</t>
  </si>
  <si>
    <t>GREATER CLEVELAND FOODBANK</t>
  </si>
  <si>
    <t xml:space="preserve">15500 SOUTH WATERLOO ROAD </t>
  </si>
  <si>
    <t>216-738-2265</t>
  </si>
  <si>
    <t>VACATION VILLAGES OF PARKWAY</t>
  </si>
  <si>
    <t xml:space="preserve">2975 ARABIAN BLVD </t>
  </si>
  <si>
    <t>KISSIMMEE</t>
  </si>
  <si>
    <t>407-479-3030</t>
  </si>
  <si>
    <t>BRIGHTON HOSPICE MASSACHUSETTS</t>
  </si>
  <si>
    <t xml:space="preserve">1234 CHESTNUT STREET STE 101 </t>
  </si>
  <si>
    <t>BEECAN HEALTH</t>
  </si>
  <si>
    <t xml:space="preserve">700 NORTH BAND BLVD STE 1400 </t>
  </si>
  <si>
    <t>818-309-2454</t>
  </si>
  <si>
    <t>Grande Denali Lodge</t>
  </si>
  <si>
    <t xml:space="preserve">233 George Parks Highway </t>
  </si>
  <si>
    <t>Denali National Park</t>
  </si>
  <si>
    <t>Tennelle Wise</t>
  </si>
  <si>
    <t>+()907-683-8102</t>
  </si>
  <si>
    <t>Denali Bluffs Hotel</t>
  </si>
  <si>
    <t xml:space="preserve">238 George Parks Highway </t>
  </si>
  <si>
    <t>Creekside Hospitality LLC</t>
  </si>
  <si>
    <t>Creekside Inn Downtown - Cambria</t>
  </si>
  <si>
    <t xml:space="preserve">2618 Main St </t>
  </si>
  <si>
    <t>Cambria</t>
  </si>
  <si>
    <t>Other</t>
  </si>
  <si>
    <t>+1 (805) 748-3687</t>
  </si>
  <si>
    <t>Shivam Property Management LLC</t>
  </si>
  <si>
    <t>Holiday Inn Express Jacksonville Beach</t>
  </si>
  <si>
    <t xml:space="preserve">1101 Beach Boulevard </t>
  </si>
  <si>
    <t>Bobby Bhikha</t>
  </si>
  <si>
    <t>+1 (903) 435-3000</t>
  </si>
  <si>
    <t>Superior Hotels Limited LLC</t>
  </si>
  <si>
    <t>The Brix Autograph Collection</t>
  </si>
  <si>
    <t xml:space="preserve">2-4 Coblentz Avenue </t>
  </si>
  <si>
    <t>Port of Spain</t>
  </si>
  <si>
    <t>TTO</t>
  </si>
  <si>
    <t>Trinidad and Tobago</t>
  </si>
  <si>
    <t>Niels Stuedemann</t>
  </si>
  <si>
    <t>Natasha Azia</t>
  </si>
  <si>
    <t>WEDGEWOOD GARDENS-DUPLICATE.SEE # 910266</t>
  </si>
  <si>
    <t xml:space="preserve">17996 STATE HIGHWAY 13 </t>
  </si>
  <si>
    <t>BRANSON WEST</t>
  </si>
  <si>
    <t>417-272-6666</t>
  </si>
  <si>
    <t>Courtyard Roanoke Airport</t>
  </si>
  <si>
    <t xml:space="preserve">3301 Ordway Drive </t>
  </si>
  <si>
    <t>Roanoke</t>
  </si>
  <si>
    <t>Adam Michael</t>
  </si>
  <si>
    <t>+1 (540) 563-5002</t>
  </si>
  <si>
    <t>Courtyard Pittsburgh West Homestead</t>
  </si>
  <si>
    <t xml:space="preserve">401 West Waterfront Drive </t>
  </si>
  <si>
    <t>West Homestead</t>
  </si>
  <si>
    <t>Cherita Boston</t>
  </si>
  <si>
    <t>+1 (412) 462-7301</t>
  </si>
  <si>
    <t>Courtyard Ann Arbor</t>
  </si>
  <si>
    <t xml:space="preserve">3205 Boardwalk </t>
  </si>
  <si>
    <t>Ann Arbor</t>
  </si>
  <si>
    <t>Matthew Bennett</t>
  </si>
  <si>
    <t>+1 (734) 995-5900</t>
  </si>
  <si>
    <t>Aloft Chapel Hill</t>
  </si>
  <si>
    <t xml:space="preserve">1001 South Hamilton Road </t>
  </si>
  <si>
    <t>Chapel Hill</t>
  </si>
  <si>
    <t>J Morales</t>
  </si>
  <si>
    <t>+1 (919) 932-7772</t>
  </si>
  <si>
    <t>Courtyard Wilmington</t>
  </si>
  <si>
    <t xml:space="preserve">151 Van Campen Blvd </t>
  </si>
  <si>
    <t>Chris Turner</t>
  </si>
  <si>
    <t>+ (910) 395-8224</t>
  </si>
  <si>
    <t>Aloft Birmingham-Homewood</t>
  </si>
  <si>
    <t xml:space="preserve">1903 29th Avenue South </t>
  </si>
  <si>
    <t>Nicole Schrader</t>
  </si>
  <si>
    <t>Ryan Morton</t>
  </si>
  <si>
    <t>+1 (205) 874-8055</t>
  </si>
  <si>
    <t>Courtyard West Palm Beach-Airport</t>
  </si>
  <si>
    <t xml:space="preserve">1800 Centrepark Drive East </t>
  </si>
  <si>
    <t>West Palm Beach</t>
  </si>
  <si>
    <t>Rebecca Gabriel</t>
  </si>
  <si>
    <t>+1 (561) 207-1800</t>
  </si>
  <si>
    <t>Cipriani USA Inc.</t>
  </si>
  <si>
    <t>Bellini</t>
  </si>
  <si>
    <t xml:space="preserve">90 Westminster St </t>
  </si>
  <si>
    <t>Providence</t>
  </si>
  <si>
    <t>Rosalia Grippi</t>
  </si>
  <si>
    <t>+1 (929) 263.0515</t>
  </si>
  <si>
    <t>Residence Inn Roanoke Airport</t>
  </si>
  <si>
    <t xml:space="preserve">3305 Ordway Drive </t>
  </si>
  <si>
    <t>+1 (540) 265-1119</t>
  </si>
  <si>
    <t>Hyatt Place Boston Medford</t>
  </si>
  <si>
    <t xml:space="preserve">116 Riverside Avenue </t>
  </si>
  <si>
    <t>Medford</t>
  </si>
  <si>
    <t>Tony Vorres</t>
  </si>
  <si>
    <t>+1 (781) 395-8500</t>
  </si>
  <si>
    <t>Homewood Suites Colorado Springs North</t>
  </si>
  <si>
    <t xml:space="preserve">9130 Explorer Drive </t>
  </si>
  <si>
    <t xml:space="preserve">Colorado Springs </t>
  </si>
  <si>
    <t>Myra Moreno</t>
  </si>
  <si>
    <t>+1 (719)265-6600</t>
  </si>
  <si>
    <t>Homewood Suites Cleveland Solon</t>
  </si>
  <si>
    <t xml:space="preserve">6085 Enterprise Parkway </t>
  </si>
  <si>
    <t>Cleveland</t>
  </si>
  <si>
    <t>Rich Somsak</t>
  </si>
  <si>
    <t>+1 (440) 519-9500</t>
  </si>
  <si>
    <t>Homewood Suites Princeton</t>
  </si>
  <si>
    <t xml:space="preserve">3819 US 1 South </t>
  </si>
  <si>
    <t>Princeton</t>
  </si>
  <si>
    <t>Frederick Hansley</t>
  </si>
  <si>
    <t>+1 (609) 720-0550</t>
  </si>
  <si>
    <t>Hilton Garden Inn Westbury</t>
  </si>
  <si>
    <t xml:space="preserve">1575 Privado Road </t>
  </si>
  <si>
    <t>Joe Rosanio</t>
  </si>
  <si>
    <t>+1 (516) 683-8200</t>
  </si>
  <si>
    <t>Hilton Garden Inn Albany Airport</t>
  </si>
  <si>
    <t xml:space="preserve">800 Albany Shaker Road </t>
  </si>
  <si>
    <t>Albany</t>
  </si>
  <si>
    <t>Paul Lawrence</t>
  </si>
  <si>
    <t>+1 (518) 464-6666</t>
  </si>
  <si>
    <t>Hilton Garden Inn Windsor</t>
  </si>
  <si>
    <t xml:space="preserve">555 Corporate Drive </t>
  </si>
  <si>
    <t>Windsor</t>
  </si>
  <si>
    <t>Scott Tompkins</t>
  </si>
  <si>
    <t>+1 (860) 688-6400</t>
  </si>
  <si>
    <t>Hilton Garden Inn Colorado Springs</t>
  </si>
  <si>
    <t xml:space="preserve">1810 Briargate Parkway </t>
  </si>
  <si>
    <t>Janette Green</t>
  </si>
  <si>
    <t>+1 (719) 598-6866</t>
  </si>
  <si>
    <t>Courtyard Richmond Airport Sandston</t>
  </si>
  <si>
    <t xml:space="preserve">5400 Williamsburg Road </t>
  </si>
  <si>
    <t>Sandston</t>
  </si>
  <si>
    <t>Charmelle Washington</t>
  </si>
  <si>
    <t>Winston Watson</t>
  </si>
  <si>
    <t>+1 (804) 652-0500</t>
  </si>
  <si>
    <t>Lexington Management Corporation</t>
  </si>
  <si>
    <t>Homewood Suites Lexington Fayette Mall</t>
  </si>
  <si>
    <t xml:space="preserve">249 Ruccio Way </t>
  </si>
  <si>
    <t>Mary Cole</t>
  </si>
  <si>
    <t>+1 (859)223-0880</t>
  </si>
  <si>
    <t>Hampton Inn White Plains Tarrytown</t>
  </si>
  <si>
    <t xml:space="preserve">200 West Main Street </t>
  </si>
  <si>
    <t>Elmsford</t>
  </si>
  <si>
    <t>Terrone Jones</t>
  </si>
  <si>
    <t>+1 (914) 592-5680</t>
  </si>
  <si>
    <t>Homewood Suites Raleigh Cary</t>
  </si>
  <si>
    <t xml:space="preserve">100 MacAlyson Court </t>
  </si>
  <si>
    <t>Cary</t>
  </si>
  <si>
    <t>Benji Hemilright</t>
  </si>
  <si>
    <t>+1 (919) 467-4444</t>
  </si>
  <si>
    <t>Hilton Garden Inn Wilmington Mayfaire Town Center</t>
  </si>
  <si>
    <t xml:space="preserve">6745 Rock Spring Road </t>
  </si>
  <si>
    <t>Nicole Jones</t>
  </si>
  <si>
    <t>Lauren Smith</t>
  </si>
  <si>
    <t>+1 (910) 509-4046</t>
  </si>
  <si>
    <t>Hilton Garden Inn Tampa Ybor Historic District</t>
  </si>
  <si>
    <t xml:space="preserve">1700 East 9th Avenue </t>
  </si>
  <si>
    <t>Sandos Innocent</t>
  </si>
  <si>
    <t>+1 (813) 769-9267</t>
  </si>
  <si>
    <t>Hilton Garden Inn Raleigh-Durham AP Morrisville</t>
  </si>
  <si>
    <t xml:space="preserve">1500 RDU Center Drive </t>
  </si>
  <si>
    <t>Morrisville</t>
  </si>
  <si>
    <t>Bake Baker</t>
  </si>
  <si>
    <t>Cory Jackson</t>
  </si>
  <si>
    <t>+1 (919) 840-8088</t>
  </si>
  <si>
    <t>Deployed Resources - 2679 Laredo</t>
  </si>
  <si>
    <t xml:space="preserve">7210 US HWY 83 </t>
  </si>
  <si>
    <t>Laredo</t>
  </si>
  <si>
    <t>+(208) 776-0815</t>
  </si>
  <si>
    <t>Concord Hospitality Enterprises Company</t>
  </si>
  <si>
    <t>Fairfield Inn &amp; Suites New York Lower Manhattan Rector Street</t>
  </si>
  <si>
    <t xml:space="preserve">100 Greenwich Street </t>
  </si>
  <si>
    <t>Greg Riley</t>
  </si>
  <si>
    <t>Bryan Ball</t>
  </si>
  <si>
    <t>+1 (917) 409-0800</t>
  </si>
  <si>
    <t>Integra - M.B. LLC</t>
  </si>
  <si>
    <t>Bay View Inn</t>
  </si>
  <si>
    <t xml:space="preserve">225 Harbor St </t>
  </si>
  <si>
    <t>Morro Bay</t>
  </si>
  <si>
    <t>P.S.I. Hospitality LLC</t>
  </si>
  <si>
    <t>Pacific Shores Inn</t>
  </si>
  <si>
    <t xml:space="preserve">890 Morro Ave </t>
  </si>
  <si>
    <t>Hemant Patel</t>
  </si>
  <si>
    <t>+1 (805) 772-4435</t>
  </si>
  <si>
    <t>The Rim Golf Club</t>
  </si>
  <si>
    <t xml:space="preserve">300 South Clubhouse Road </t>
  </si>
  <si>
    <t>Payson</t>
  </si>
  <si>
    <t>Sarah Johnson</t>
  </si>
  <si>
    <t>Ron Wojcicki</t>
  </si>
  <si>
    <t>+()928-472-1480</t>
  </si>
  <si>
    <t>Boca Pointe Country Club</t>
  </si>
  <si>
    <t xml:space="preserve">7144 Boca Pointe DR </t>
  </si>
  <si>
    <t>Boca Raton</t>
  </si>
  <si>
    <t>Desi Howe</t>
  </si>
  <si>
    <t>Terry Daniels</t>
  </si>
  <si>
    <t>+ (561) 391-7005</t>
  </si>
  <si>
    <t>Hamister Group LLC</t>
  </si>
  <si>
    <t>Staybridge Suites Rochester University</t>
  </si>
  <si>
    <t xml:space="preserve">1000 Genesee Street </t>
  </si>
  <si>
    <t>Joanne Giuseppetti</t>
  </si>
  <si>
    <t>Anthony McDaniel</t>
  </si>
  <si>
    <t>+(585)527-9110</t>
  </si>
  <si>
    <t>VISTA COVE AT CORONA AL</t>
  </si>
  <si>
    <t xml:space="preserve">2600 SOUTH MAIN STREET </t>
  </si>
  <si>
    <t>CORONA</t>
  </si>
  <si>
    <t>951-736-4700</t>
  </si>
  <si>
    <t>VISTA COVE AT ARCADIA</t>
  </si>
  <si>
    <t xml:space="preserve">601 SUNSET BLVD </t>
  </si>
  <si>
    <t>ARCADIA</t>
  </si>
  <si>
    <t>626-447-0106</t>
  </si>
  <si>
    <t>VISTA COVE SENIOR LIVING_ LABRADOR CAPITAL</t>
  </si>
  <si>
    <t xml:space="preserve">4340 VON KARMAN AVE SUITE 390 </t>
  </si>
  <si>
    <t>NEWPORT BEACH</t>
  </si>
  <si>
    <t>949-205-4052</t>
  </si>
  <si>
    <t>ROYAL VISTA CARE CENTER</t>
  </si>
  <si>
    <t xml:space="preserve">909 W SANTA ANITA STREET </t>
  </si>
  <si>
    <t>SAN GABRIEL</t>
  </si>
  <si>
    <t>626-289-5365</t>
  </si>
  <si>
    <t>VISTA COVE AT RANCHO MIRAGE</t>
  </si>
  <si>
    <t xml:space="preserve">70201 MIRAGE COVE DRIVE </t>
  </si>
  <si>
    <t>RANCHO MIRAGE</t>
  </si>
  <si>
    <t>760-324-4604</t>
  </si>
  <si>
    <t>ROYAL VISTA SAN GABRIEL</t>
  </si>
  <si>
    <t xml:space="preserve">901 W SANTA ANITA STREET </t>
  </si>
  <si>
    <t>626-289-8889</t>
  </si>
  <si>
    <t>Hotel Retlaw Trademark Collection by Wyndham</t>
  </si>
  <si>
    <t xml:space="preserve">One N Main Street </t>
  </si>
  <si>
    <t>Fond Du Lac</t>
  </si>
  <si>
    <t>Michelle Angell</t>
  </si>
  <si>
    <t>+(920)204-0400</t>
  </si>
  <si>
    <t>Thompson Buckhead</t>
  </si>
  <si>
    <t xml:space="preserve">415 East Paces Ferry Rd NE </t>
  </si>
  <si>
    <t>Thompson Hotels</t>
  </si>
  <si>
    <t>Izmena Ceprati</t>
  </si>
  <si>
    <t>Proper Hospitality</t>
  </si>
  <si>
    <t>San Francisco Proper Hotel</t>
  </si>
  <si>
    <t xml:space="preserve">45 McAllister St </t>
  </si>
  <si>
    <t>Design Hotels</t>
  </si>
  <si>
    <t>Mario Bevilacqua Von Gunderrode</t>
  </si>
  <si>
    <t>+1 (239) 319-9234</t>
  </si>
  <si>
    <t>Downtown L.A Proper</t>
  </si>
  <si>
    <t xml:space="preserve">1100 South Broadway </t>
  </si>
  <si>
    <t>Angel Yac</t>
  </si>
  <si>
    <t>+1 (213) 806-1010</t>
  </si>
  <si>
    <t>Fairhaven Village Inn</t>
  </si>
  <si>
    <t xml:space="preserve">1200 10th Street </t>
  </si>
  <si>
    <t>Morgan Potter</t>
  </si>
  <si>
    <t>+()360-733-1311</t>
  </si>
  <si>
    <t>Santa Monica Proper Hotel</t>
  </si>
  <si>
    <t xml:space="preserve">700 Wilshire Blvd </t>
  </si>
  <si>
    <t>Cara Stoffel</t>
  </si>
  <si>
    <t>+(310)620-9990</t>
  </si>
  <si>
    <t>The Hotel June</t>
  </si>
  <si>
    <t xml:space="preserve">8639 Lincoln Boulevard </t>
  </si>
  <si>
    <t>Ingrid Braun</t>
  </si>
  <si>
    <t>+1 (310) 645.0400</t>
  </si>
  <si>
    <t>Avalon Beverly Hills</t>
  </si>
  <si>
    <t xml:space="preserve">9400 West Olympic Boulevard </t>
  </si>
  <si>
    <t>Martin Weiss</t>
  </si>
  <si>
    <t>+1 (310) 277-5221</t>
  </si>
  <si>
    <t>Titan Hotel Group</t>
  </si>
  <si>
    <t>SpringHill Suites West Warwick</t>
  </si>
  <si>
    <t xml:space="preserve">14 James P Murphy Industrial Highway </t>
  </si>
  <si>
    <t>Christina Sharpe</t>
  </si>
  <si>
    <t>Hector Cardona</t>
  </si>
  <si>
    <t>+()251-223-3709</t>
  </si>
  <si>
    <t>Aloft Hotels Oklahoma City Quail Springs</t>
  </si>
  <si>
    <t xml:space="preserve">13111 Highland Park Boulevard </t>
  </si>
  <si>
    <t>Bryan Fulton</t>
  </si>
  <si>
    <t>lorna Hughes</t>
  </si>
  <si>
    <t>+()405-605-2100</t>
  </si>
  <si>
    <t>Beacon IMG Inc.</t>
  </si>
  <si>
    <t>The Claremont Miami South Beach Hotel</t>
  </si>
  <si>
    <t xml:space="preserve">1700 Collins Avenue </t>
  </si>
  <si>
    <t>Mitch Bermudez</t>
  </si>
  <si>
    <t>Palak Patel</t>
  </si>
  <si>
    <t>+1 (786) 620-2900</t>
  </si>
  <si>
    <t>Austin Proper Hotel</t>
  </si>
  <si>
    <t xml:space="preserve">600 W 2nd Street </t>
  </si>
  <si>
    <t>Karla Aabo</t>
  </si>
  <si>
    <t>+1 (512) 628-1402</t>
  </si>
  <si>
    <t>Avalon Hotel &amp; Bungalows Palm Springs</t>
  </si>
  <si>
    <t xml:space="preserve">415 South Belardo Road </t>
  </si>
  <si>
    <t>Palm Springs</t>
  </si>
  <si>
    <t>Matt Shough</t>
  </si>
  <si>
    <t>+1 (760) 320 4117</t>
  </si>
  <si>
    <t>PRESBYTERIAN RETIREMENT COMMUNITIES NW</t>
  </si>
  <si>
    <t>SKYLINE-OLYMPIC TOWER</t>
  </si>
  <si>
    <t xml:space="preserve">715 8TH AVENUE </t>
  </si>
  <si>
    <t>206-407-1700</t>
  </si>
  <si>
    <t xml:space="preserve">120 S LASALLE STREET SUITE 1200 </t>
  </si>
  <si>
    <t>NEURO RESTORATIVE-TIMBER RIDGE</t>
  </si>
  <si>
    <t xml:space="preserve">1500 HIGHWAY 298 </t>
  </si>
  <si>
    <t>BENTON</t>
  </si>
  <si>
    <t>501-594-5211</t>
  </si>
  <si>
    <t>WELLINGTON BAY</t>
  </si>
  <si>
    <t xml:space="preserve">10465 STABLE LANE </t>
  </si>
  <si>
    <t xml:space="preserve">WELLINGTON </t>
  </si>
  <si>
    <t>561-335-5405</t>
  </si>
  <si>
    <t>BRIGHTMORE OF KIRBY GATES</t>
  </si>
  <si>
    <t xml:space="preserve">6416 QUINCE ROAD </t>
  </si>
  <si>
    <t>THE BARCLAY AT SOUTHPARK</t>
  </si>
  <si>
    <t xml:space="preserve">4801 BARCLAY DOWNS DRIVE </t>
  </si>
  <si>
    <t>908-224-8540</t>
  </si>
  <si>
    <t>QUAIL HAVEN VILLAGE</t>
  </si>
  <si>
    <t xml:space="preserve">155 BLAKE BLVD </t>
  </si>
  <si>
    <t>PINEHURST</t>
  </si>
  <si>
    <t>910-295-2294</t>
  </si>
  <si>
    <t>KEMPTON OF CHARLESTON</t>
  </si>
  <si>
    <t xml:space="preserve">190 SPRING STREET </t>
  </si>
  <si>
    <t>HAYES BARTON PLACE</t>
  </si>
  <si>
    <t xml:space="preserve">2010 FAIRVIEW ROAD </t>
  </si>
  <si>
    <t>919-803-6734</t>
  </si>
  <si>
    <t>CARROLTON COURTHOUSE</t>
  </si>
  <si>
    <t xml:space="preserve">701 SOUTH CARROLLTON AVENUE </t>
  </si>
  <si>
    <t>NEW ORLEANS</t>
  </si>
  <si>
    <t>INSPIRE COASTAL GRAND</t>
  </si>
  <si>
    <t xml:space="preserve">1749 SEA PINES BLVD </t>
  </si>
  <si>
    <t>843-839-2050</t>
  </si>
  <si>
    <t>BRADLEY CREEK HEALTH CENTER</t>
  </si>
  <si>
    <t xml:space="preserve">740 DIAMOND SHOALS ROAD </t>
  </si>
  <si>
    <t>910-769-7550</t>
  </si>
  <si>
    <t>REAL SERVICES INC</t>
  </si>
  <si>
    <t xml:space="preserve">121 WEST GARST STREET </t>
  </si>
  <si>
    <t>SOUTH BEND</t>
  </si>
  <si>
    <t>574-256-1649</t>
  </si>
  <si>
    <t>PINEVIEW ASSISTED LIVING</t>
  </si>
  <si>
    <t xml:space="preserve">2547 NORTH VALLEY JUNCTION DRIVE </t>
  </si>
  <si>
    <t>EDEN</t>
  </si>
  <si>
    <t>801-745-6667</t>
  </si>
  <si>
    <t>HARVARD UNIVERSITY DINING</t>
  </si>
  <si>
    <t xml:space="preserve">65 WINTHROP STREET #67 </t>
  </si>
  <si>
    <t>CAMBRIDGE</t>
  </si>
  <si>
    <t>617-495-5556</t>
  </si>
  <si>
    <t>HARVARD SCIENCE AND ENGINEERING</t>
  </si>
  <si>
    <t xml:space="preserve">150 WESTERN AVENUE </t>
  </si>
  <si>
    <t>ALLSTON</t>
  </si>
  <si>
    <t>617-496-6725</t>
  </si>
  <si>
    <t>HARVARD LAW SCHOOL</t>
  </si>
  <si>
    <t xml:space="preserve">10 EVERETT STREET </t>
  </si>
  <si>
    <t>HARVARD DIVINITY SCHOOL CAFE</t>
  </si>
  <si>
    <t xml:space="preserve">45 FRANCIS STREET </t>
  </si>
  <si>
    <t>HARMONY AT ANDERSON</t>
  </si>
  <si>
    <t xml:space="preserve">6201 CLOUGH PIKE </t>
  </si>
  <si>
    <t>SERENTO CASA SENIOR LIVING</t>
  </si>
  <si>
    <t xml:space="preserve">1740 SOUTH SAN DIMAS AVENUE </t>
  </si>
  <si>
    <t>SAN DIMAS</t>
  </si>
  <si>
    <t>909-394-0304</t>
  </si>
  <si>
    <t>HICKORY HEIGHTS</t>
  </si>
  <si>
    <t xml:space="preserve">1108 CAMBRIDGE STREET </t>
  </si>
  <si>
    <t>ABBEVILLE</t>
  </si>
  <si>
    <t>NORTH AUGUSTA GARDENS</t>
  </si>
  <si>
    <t xml:space="preserve">210 WEST HUGH STRET </t>
  </si>
  <si>
    <t>NORTH AUGUSTA</t>
  </si>
  <si>
    <t>803-279-9782</t>
  </si>
  <si>
    <t>Hampton Inn &amp; Suites Elliston Place</t>
  </si>
  <si>
    <t xml:space="preserve">2330 Elliston Place </t>
  </si>
  <si>
    <t>bob Northup</t>
  </si>
  <si>
    <t>Jamie Walicki</t>
  </si>
  <si>
    <t>+1 (703) x</t>
  </si>
  <si>
    <t>Hampton Inn West End</t>
  </si>
  <si>
    <t xml:space="preserve">1919 West End Ave. </t>
  </si>
  <si>
    <t>Rod Lindsey</t>
  </si>
  <si>
    <t>James Ellison</t>
  </si>
  <si>
    <t>+ (615) 329-1144</t>
  </si>
  <si>
    <t xml:space="preserve">DPNY Hospitality </t>
  </si>
  <si>
    <t>Hampton Inn Junction City</t>
  </si>
  <si>
    <t xml:space="preserve">1039 South Washington Street </t>
  </si>
  <si>
    <t>Junction City</t>
  </si>
  <si>
    <t>Wendy Jensen</t>
  </si>
  <si>
    <t>+1 (785) 579-6950</t>
  </si>
  <si>
    <t>DoubleTree by Hilton Hotel Detroit - Dearborn</t>
  </si>
  <si>
    <t xml:space="preserve">5801 Southfield Expressway </t>
  </si>
  <si>
    <t>Detroit</t>
  </si>
  <si>
    <t>DoubleTree Suites</t>
  </si>
  <si>
    <t>Jassi Alhuwalia</t>
  </si>
  <si>
    <t>Andre Washington</t>
  </si>
  <si>
    <t>+1 (313) 336-3340</t>
  </si>
  <si>
    <t>Sheraton Suites Elk Grove Village</t>
  </si>
  <si>
    <t xml:space="preserve">121 Northwest Point Boulevard </t>
  </si>
  <si>
    <t>Elk Grove Village</t>
  </si>
  <si>
    <t>Bryan Marinucci</t>
  </si>
  <si>
    <t>Dilip Hari</t>
  </si>
  <si>
    <t>+1 (847) 290-1600</t>
  </si>
  <si>
    <t>Best Western Green Valley Inn</t>
  </si>
  <si>
    <t xml:space="preserve">111 South La Canada Drive </t>
  </si>
  <si>
    <t>Green Valley</t>
  </si>
  <si>
    <t>Norah Abril</t>
  </si>
  <si>
    <t>Rafael Manzo</t>
  </si>
  <si>
    <t>+1 (520) 625-2250</t>
  </si>
  <si>
    <t>Onni Properties LLC</t>
  </si>
  <si>
    <t>Onni South Lake Union</t>
  </si>
  <si>
    <t xml:space="preserve">1120 Denny Way </t>
  </si>
  <si>
    <t>Adam Smith</t>
  </si>
  <si>
    <t>+1 (602) 595-4801</t>
  </si>
  <si>
    <t>Onni Hope + Flower</t>
  </si>
  <si>
    <t xml:space="preserve">1201 S Hope St </t>
  </si>
  <si>
    <t>+1 (213) 340-0126</t>
  </si>
  <si>
    <t>Onni 825 S Hill</t>
  </si>
  <si>
    <t xml:space="preserve">825 S Hill St </t>
  </si>
  <si>
    <t>+1 (213) 632-5841</t>
  </si>
  <si>
    <t>Onni Old Town Park III</t>
  </si>
  <si>
    <t xml:space="preserve">228 W Hill St </t>
  </si>
  <si>
    <t>+1 (312) 858-9877</t>
  </si>
  <si>
    <t>Onni Old Town Park II</t>
  </si>
  <si>
    <t xml:space="preserve">202 W Hill St </t>
  </si>
  <si>
    <t>Onni Old Town Park I</t>
  </si>
  <si>
    <t xml:space="preserve">1140 North Wells St </t>
  </si>
  <si>
    <t>Onni The Hudson</t>
  </si>
  <si>
    <t xml:space="preserve">750 N Hudson </t>
  </si>
  <si>
    <t>+1 (312) 741-9153</t>
  </si>
  <si>
    <t>Onni Atrium Village</t>
  </si>
  <si>
    <t xml:space="preserve">303 W Division St </t>
  </si>
  <si>
    <t>+1 (844) 760-4175</t>
  </si>
  <si>
    <t>Onni Studio House</t>
  </si>
  <si>
    <t xml:space="preserve">830 S Olive St </t>
  </si>
  <si>
    <t>+1 (213) 348-7416</t>
  </si>
  <si>
    <t>Onni Union Lofts</t>
  </si>
  <si>
    <t xml:space="preserve">325 W 8th St </t>
  </si>
  <si>
    <t>+1 (213) 214-2898</t>
  </si>
  <si>
    <t>Onni 369 W Grand</t>
  </si>
  <si>
    <t xml:space="preserve">369 W Grand </t>
  </si>
  <si>
    <t>+1 (312) 386-5291</t>
  </si>
  <si>
    <t>Onni 888 Olive</t>
  </si>
  <si>
    <t xml:space="preserve">888 South Olive Street </t>
  </si>
  <si>
    <t>90014-3006</t>
  </si>
  <si>
    <t>+1 (213) 873-8400</t>
  </si>
  <si>
    <t>Level Richards</t>
  </si>
  <si>
    <t xml:space="preserve">1388 Richards Street </t>
  </si>
  <si>
    <t>V6B 3G6</t>
  </si>
  <si>
    <t>Opus Vancouver</t>
  </si>
  <si>
    <t xml:space="preserve">322 Davie Street </t>
  </si>
  <si>
    <t>V6B 5Z6</t>
  </si>
  <si>
    <t>Sarah Vallely</t>
  </si>
  <si>
    <t>+1 (604)694-2106</t>
  </si>
  <si>
    <t>Level Seymour</t>
  </si>
  <si>
    <t xml:space="preserve">1022 Seymour </t>
  </si>
  <si>
    <t>V6B 0G1</t>
  </si>
  <si>
    <t>Sara Steer</t>
  </si>
  <si>
    <t>+1 (778) 330-7152</t>
  </si>
  <si>
    <t>WHG Companies LLC</t>
  </si>
  <si>
    <t>Cobblestone Hotel &amp; Suites Superior</t>
  </si>
  <si>
    <t xml:space="preserve">1102 Tower Drive </t>
  </si>
  <si>
    <t>Superior</t>
  </si>
  <si>
    <t>Amanda Engstrom</t>
  </si>
  <si>
    <t>+()715-319-3050</t>
  </si>
  <si>
    <t>The Laura Hotel an Autograph Collection</t>
  </si>
  <si>
    <t xml:space="preserve">1070 Dallas Street </t>
  </si>
  <si>
    <t>Charley Morales</t>
  </si>
  <si>
    <t>+()713-242-8555</t>
  </si>
  <si>
    <t>Hilton Hotels Corporation</t>
  </si>
  <si>
    <t>Botanika Resort</t>
  </si>
  <si>
    <t>Puntarenas Golfito Puerto Jimenez Frente Aeropuerto Puerto Jimenez Golfito Puntarenas</t>
  </si>
  <si>
    <t>Osa Penninsula</t>
  </si>
  <si>
    <t>+1(954)357-3672</t>
  </si>
  <si>
    <t>El Colibri Hotel &amp; Spa</t>
  </si>
  <si>
    <t xml:space="preserve">5620 Moonstone Beach Drive </t>
  </si>
  <si>
    <t>Karie Wilson</t>
  </si>
  <si>
    <t>+1 (805) 924-3003</t>
  </si>
  <si>
    <t>Geis Hospitality Group</t>
  </si>
  <si>
    <t>Wild Eagle Streetsboro</t>
  </si>
  <si>
    <t xml:space="preserve">9470 State Route 14 </t>
  </si>
  <si>
    <t>Streetsboro</t>
  </si>
  <si>
    <t>Russ Mengle</t>
  </si>
  <si>
    <t>+()330-968-3453</t>
  </si>
  <si>
    <t>EDEN SENIOR CARE</t>
  </si>
  <si>
    <t>WOODSIDE VILLAGE CARE CENTER</t>
  </si>
  <si>
    <t xml:space="preserve">841 WEST MARION ROAD </t>
  </si>
  <si>
    <t>MT GILEAD</t>
  </si>
  <si>
    <t>419-947-2015</t>
  </si>
  <si>
    <t>IVY HEALTHCARE GROUP</t>
  </si>
  <si>
    <t>SILVER OAK</t>
  </si>
  <si>
    <t xml:space="preserve">455 31ST STREET </t>
  </si>
  <si>
    <t xml:space="preserve">MARION </t>
  </si>
  <si>
    <t>319-377-7363</t>
  </si>
  <si>
    <t>ENGLISH MEADOWS WILLIAMSBURG CAMPUS</t>
  </si>
  <si>
    <t xml:space="preserve">1807 JAMESTOWN RD </t>
  </si>
  <si>
    <t>WILLIAMSBURG</t>
  </si>
  <si>
    <t>757-941-5099</t>
  </si>
  <si>
    <t>The Edgewater Hotel</t>
  </si>
  <si>
    <t xml:space="preserve">Pier 67 2411 Alaskan Way </t>
  </si>
  <si>
    <t xml:space="preserve">Ian Mcclendon </t>
  </si>
  <si>
    <t>Enrique Fuster</t>
  </si>
  <si>
    <t>+1 (206) 728-7000</t>
  </si>
  <si>
    <t xml:space="preserve">COTTONWOOD HEALTHCARE </t>
  </si>
  <si>
    <t>MAPLE RIDGE REHAB AND NURSING</t>
  </si>
  <si>
    <t xml:space="preserve">455 SOUTH 900 EAST </t>
  </si>
  <si>
    <t>SALT LAKE CITY</t>
  </si>
  <si>
    <t>801-355-6891</t>
  </si>
  <si>
    <t>MATBEA SERVICES</t>
  </si>
  <si>
    <t>CALIBER POST ACUTE LLC</t>
  </si>
  <si>
    <t xml:space="preserve">2029 SAGECREST AVENUE </t>
  </si>
  <si>
    <t>LAS CRUCES</t>
  </si>
  <si>
    <t>575-522-7000</t>
  </si>
  <si>
    <t>ARTESIA HEALTHCARE AND REHABILITATION</t>
  </si>
  <si>
    <t xml:space="preserve">1402 W GILCHRIST AVE </t>
  </si>
  <si>
    <t>ARTESIA</t>
  </si>
  <si>
    <t>575-746-6006</t>
  </si>
  <si>
    <t>THE GRAND</t>
  </si>
  <si>
    <t xml:space="preserve">5941 HOLLADAY BLVD </t>
  </si>
  <si>
    <t>801-676-9688</t>
  </si>
  <si>
    <t xml:space="preserve">70 SOUTH 1000 EAST </t>
  </si>
  <si>
    <t>SPRINGVILLE</t>
  </si>
  <si>
    <t>EXODUS RETREAT</t>
  </si>
  <si>
    <t xml:space="preserve">2901 STADIUM DRIVEBOX 294950 </t>
  </si>
  <si>
    <t>254-931-8222</t>
  </si>
  <si>
    <t>THE PEARL OF ROLLING MEADOWS</t>
  </si>
  <si>
    <t xml:space="preserve">4225 KIRCHOFF ROAD </t>
  </si>
  <si>
    <t>ROLLING MEADOWS</t>
  </si>
  <si>
    <t>847-387-3400</t>
  </si>
  <si>
    <t>THE PEARL OF NAPERVILLE</t>
  </si>
  <si>
    <t xml:space="preserve">200 MARTIN AVENUE </t>
  </si>
  <si>
    <t>NAPERVILLE</t>
  </si>
  <si>
    <t>630-355-4111</t>
  </si>
  <si>
    <t>PEARL OF HILLSIDE</t>
  </si>
  <si>
    <t xml:space="preserve">4600 NORTH FRONTAGE ROAD </t>
  </si>
  <si>
    <t>HILLSIDE</t>
  </si>
  <si>
    <t>708-544-9933</t>
  </si>
  <si>
    <t xml:space="preserve">7373 LINCOLN AVENUE </t>
  </si>
  <si>
    <t>LINCOLNWOOD</t>
  </si>
  <si>
    <t>847-397-2400</t>
  </si>
  <si>
    <t>MIDWEST CENTER</t>
  </si>
  <si>
    <t xml:space="preserve">45 NORTH CANFIELD NILES ROAD </t>
  </si>
  <si>
    <t>AUSTINTOWN</t>
  </si>
  <si>
    <t>GRANT PARK CHRISTIAN ACADEMY</t>
  </si>
  <si>
    <t xml:space="preserve">5107 EAST 32ND AVENUE </t>
  </si>
  <si>
    <t>813-699-9068</t>
  </si>
  <si>
    <t>SENIOR SERVICES OF BELMONT COUNTY</t>
  </si>
  <si>
    <t xml:space="preserve">67650 OAKVIEW DRIVE </t>
  </si>
  <si>
    <t>740-695-4142</t>
  </si>
  <si>
    <t>TORAH NURSERY</t>
  </si>
  <si>
    <t xml:space="preserve">1980 SOUTH GREEN ROAD </t>
  </si>
  <si>
    <t>SOUTH EUCLID</t>
  </si>
  <si>
    <t>216-381-3900</t>
  </si>
  <si>
    <t>EVERY STEP CARE AND SUPPORT SERVICES</t>
  </si>
  <si>
    <t>VISITING NURSING SERVICES OF IOWA</t>
  </si>
  <si>
    <t xml:space="preserve">3000 EASTON BLVD </t>
  </si>
  <si>
    <t>DES MOINES</t>
  </si>
  <si>
    <t>515-271-1503</t>
  </si>
  <si>
    <t>COPPERLEAF MANAGEMENT GROUP INC</t>
  </si>
  <si>
    <t>ROSEMORE VILLAGE</t>
  </si>
  <si>
    <t xml:space="preserve">830 HIGH STREET </t>
  </si>
  <si>
    <t>WILD ROSE</t>
  </si>
  <si>
    <t>920-622-4141</t>
  </si>
  <si>
    <t>BRISTOL HOSPICE MID MICHIGAN</t>
  </si>
  <si>
    <t xml:space="preserve">1040 SOUTH STATE ROAD </t>
  </si>
  <si>
    <t>DAVISON</t>
  </si>
  <si>
    <t>BRIGHTON GB HOLDINGS</t>
  </si>
  <si>
    <t xml:space="preserve">9800 SOUTH MONROE STREET #808 </t>
  </si>
  <si>
    <t>SANDY</t>
  </si>
  <si>
    <t>BRIGHTSTAR SENIOR LIVING FRANCHISING LLC</t>
  </si>
  <si>
    <t>BRIGHTSTAR SENIOR LIVING OF MASON</t>
  </si>
  <si>
    <t xml:space="preserve">6491 READING ROAD </t>
  </si>
  <si>
    <t>MASON</t>
  </si>
  <si>
    <t>513-770-9448</t>
  </si>
  <si>
    <t>ASHLEY MANOR LLC</t>
  </si>
  <si>
    <t>AUBURN CREST-BONNERS FERRY II</t>
  </si>
  <si>
    <t xml:space="preserve">6541 MAIN STREET </t>
  </si>
  <si>
    <t>208-267-0579</t>
  </si>
  <si>
    <t>The Bricton Group Inc.</t>
  </si>
  <si>
    <t>Marriott San Antonio Airport</t>
  </si>
  <si>
    <t xml:space="preserve">77 NE Interstate 410 Loop </t>
  </si>
  <si>
    <t>Mark Vilagi</t>
  </si>
  <si>
    <t>+ (210) 349-9900</t>
  </si>
  <si>
    <t>University Village Colorado Springs</t>
  </si>
  <si>
    <t xml:space="preserve">5805 Delmonico Drive </t>
  </si>
  <si>
    <t>Chad Adcox</t>
  </si>
  <si>
    <t>+1 (719) 268-9990</t>
  </si>
  <si>
    <t>The Prime Group Inc.</t>
  </si>
  <si>
    <t>Grill on 21</t>
  </si>
  <si>
    <t>208 S. LaSalle Loading Dock</t>
  </si>
  <si>
    <t>Brad Alaoui</t>
  </si>
  <si>
    <t>+()773-936-7199</t>
  </si>
  <si>
    <t>Stone Canyon Club</t>
  </si>
  <si>
    <t xml:space="preserve">14320 North Hohokam Village Place </t>
  </si>
  <si>
    <t>Oro Valley</t>
  </si>
  <si>
    <t>Mike Russell</t>
  </si>
  <si>
    <t>Ashley Davidson</t>
  </si>
  <si>
    <t>+ (520) 631-6884</t>
  </si>
  <si>
    <t>OAKMONT SENIOR LIVING</t>
  </si>
  <si>
    <t>IVY PARK AT CULVER CITY</t>
  </si>
  <si>
    <t xml:space="preserve">4061 GRANDVIEW BLVD </t>
  </si>
  <si>
    <t>LOS ANGELES</t>
  </si>
  <si>
    <t>310-390-0565</t>
  </si>
  <si>
    <t>McDowell Mountain Golf Club</t>
  </si>
  <si>
    <t xml:space="preserve">10690 East Sheena Drive </t>
  </si>
  <si>
    <t>Jim Hamilton</t>
  </si>
  <si>
    <t>Carolyn Cooke</t>
  </si>
  <si>
    <t>+1 (480) 502-8200</t>
  </si>
  <si>
    <t>Chaparral Pines Golf Club</t>
  </si>
  <si>
    <t xml:space="preserve">504 North Club Drive </t>
  </si>
  <si>
    <t>Ben Stanger</t>
  </si>
  <si>
    <t>+ (928) 472-1430</t>
  </si>
  <si>
    <t>DePalma Hotel Corporation</t>
  </si>
  <si>
    <t>La Quinta Mansfield</t>
  </si>
  <si>
    <t xml:space="preserve"> 1503 Breckenridge Road </t>
  </si>
  <si>
    <t>Mansfield</t>
  </si>
  <si>
    <t>Ferdy Okonkwo</t>
  </si>
  <si>
    <t>+(469)585-6551</t>
  </si>
  <si>
    <t>Aloft Miami Dadeland</t>
  </si>
  <si>
    <t xml:space="preserve">7600 North Kendall Drive </t>
  </si>
  <si>
    <t>Danny Santiago</t>
  </si>
  <si>
    <t>+ (305) 595-6000</t>
  </si>
  <si>
    <t>Red Lion Inn &amp; Suites Fayetteville Cross Creek Mall</t>
  </si>
  <si>
    <t xml:space="preserve">562 Cross Creek Mall </t>
  </si>
  <si>
    <t>Red Lion Inn &amp; Suites</t>
  </si>
  <si>
    <t>+ (910) 487-1400</t>
  </si>
  <si>
    <t>Gamble Hospitality LLC</t>
  </si>
  <si>
    <t>Best Western Plus Seville Plaza</t>
  </si>
  <si>
    <t xml:space="preserve">4309 Main Street </t>
  </si>
  <si>
    <t>Amy Gamble</t>
  </si>
  <si>
    <t>Doug Gamble</t>
  </si>
  <si>
    <t>+1 (816) 561-9600</t>
  </si>
  <si>
    <t>THE CULPEPER</t>
  </si>
  <si>
    <t xml:space="preserve">12425 VILLAGE LOOP </t>
  </si>
  <si>
    <t>CULPEPER</t>
  </si>
  <si>
    <t>540-825-2411</t>
  </si>
  <si>
    <t>Homewood Suites Portland Airport</t>
  </si>
  <si>
    <t xml:space="preserve">11936 Northeast Glenn Widing Drive </t>
  </si>
  <si>
    <t>Grace Lial</t>
  </si>
  <si>
    <t>+1 (503) 262-8888</t>
  </si>
  <si>
    <t>Homewood Suites Vancouver - Portland</t>
  </si>
  <si>
    <t xml:space="preserve">701 SE Columbia Shores Boulevard </t>
  </si>
  <si>
    <t>Nicole Dady</t>
  </si>
  <si>
    <t>+1 (360) 750-1100</t>
  </si>
  <si>
    <t>Lixi Hospitality Holding Group Inc.</t>
  </si>
  <si>
    <t>SpringHill Suites Boston Revere</t>
  </si>
  <si>
    <t xml:space="preserve">400 Ocean Avenue </t>
  </si>
  <si>
    <t>Revere</t>
  </si>
  <si>
    <t>Mike Glennon</t>
  </si>
  <si>
    <t>+()845-623-0900</t>
  </si>
  <si>
    <t>Tennessee Grasslands LLC</t>
  </si>
  <si>
    <t>Tennessee Grasslands Golf &amp; Country Club</t>
  </si>
  <si>
    <t xml:space="preserve">981 Plantation Boulevard </t>
  </si>
  <si>
    <t>Gallatin</t>
  </si>
  <si>
    <t>Mark Cote</t>
  </si>
  <si>
    <t>Jereme Pozin</t>
  </si>
  <si>
    <t>+(1)615-575-4300</t>
  </si>
  <si>
    <t>Staybridge Suites Lafayette</t>
  </si>
  <si>
    <t xml:space="preserve">129 East Kaliste Saloom Road </t>
  </si>
  <si>
    <t>+1 (337) 269-0222</t>
  </si>
  <si>
    <t>New Vision Hotel Management LLC</t>
  </si>
  <si>
    <t>Residence Inn Jackson Airport - Pearl</t>
  </si>
  <si>
    <t xml:space="preserve">108 Riverwind Drive </t>
  </si>
  <si>
    <t>Pearl</t>
  </si>
  <si>
    <t>Kimberly Jones</t>
  </si>
  <si>
    <t>+()601-316-4300</t>
  </si>
  <si>
    <t>Avatar Hotel Group LLC</t>
  </si>
  <si>
    <t>Holiday Inn El Paso Airport</t>
  </si>
  <si>
    <t xml:space="preserve">6351 Gateway West </t>
  </si>
  <si>
    <t>Frank Tenadu</t>
  </si>
  <si>
    <t>Nellie Cano</t>
  </si>
  <si>
    <t>+1 (915) 772-4088</t>
  </si>
  <si>
    <t>Embassy Suites Atlanta Midtown</t>
  </si>
  <si>
    <t xml:space="preserve">290 17th Street NW </t>
  </si>
  <si>
    <t>Kathryn Johnson</t>
  </si>
  <si>
    <t>+(404)844-4555</t>
  </si>
  <si>
    <t>Hilton Garden Inn El Paso University</t>
  </si>
  <si>
    <t xml:space="preserve">111 West University Ave. </t>
  </si>
  <si>
    <t>Lorenzo Flores</t>
  </si>
  <si>
    <t>+()915-351-2121</t>
  </si>
  <si>
    <t>Residence Inn Greenbelt</t>
  </si>
  <si>
    <t xml:space="preserve">6320 Golden Triangle Drive </t>
  </si>
  <si>
    <t>Greenbelt</t>
  </si>
  <si>
    <t>Wendy Wilson</t>
  </si>
  <si>
    <t>Martha Velasco</t>
  </si>
  <si>
    <t>+1 (301) 982-1600</t>
  </si>
  <si>
    <t>Cobblestone Inn &amp; Suites Yuma (CO)</t>
  </si>
  <si>
    <t xml:space="preserve">1101 West 8th Avenue </t>
  </si>
  <si>
    <t>Yuma</t>
  </si>
  <si>
    <t>Becky Nolin</t>
  </si>
  <si>
    <t>+()970-360-0131</t>
  </si>
  <si>
    <t>Baltimore Hotel North LLC</t>
  </si>
  <si>
    <t>Country Inn and Suites Baltimore North</t>
  </si>
  <si>
    <t xml:space="preserve">8825 Yellow Brick Road </t>
  </si>
  <si>
    <t>Baltimore</t>
  </si>
  <si>
    <t>Deepak Patel</t>
  </si>
  <si>
    <t>+(443) 772-5000</t>
  </si>
  <si>
    <t>Home2 Suites by Hilton North Conway</t>
  </si>
  <si>
    <t xml:space="preserve">1439 White Mountain Hwy </t>
  </si>
  <si>
    <t>North Conway</t>
  </si>
  <si>
    <t>Lori Deiter</t>
  </si>
  <si>
    <t>+(603)417-4445</t>
  </si>
  <si>
    <t>Primland Resort Auberge Resorts Collection</t>
  </si>
  <si>
    <t xml:space="preserve">2000 Busted Rock Rd </t>
  </si>
  <si>
    <t>Meadows Of Dan</t>
  </si>
  <si>
    <t>Stefan Carstens</t>
  </si>
  <si>
    <t>+(276)633-4413</t>
  </si>
  <si>
    <t>Jai Santoshi LLC</t>
  </si>
  <si>
    <t>Super 8 by Wyndham Daytona Beach</t>
  </si>
  <si>
    <t xml:space="preserve">1242 South Ridgewood Avenue </t>
  </si>
  <si>
    <t>Sunny Pankajkumar</t>
  </si>
  <si>
    <t>+1 (239) 691-7308</t>
  </si>
  <si>
    <t>Hotel Indigo Detroit Downtown</t>
  </si>
  <si>
    <t xml:space="preserve">1020 Washington Boulevard </t>
  </si>
  <si>
    <t>James Gilmore</t>
  </si>
  <si>
    <t>+1 (313) 887-7000</t>
  </si>
  <si>
    <t>Napa Valley Wine Train</t>
  </si>
  <si>
    <t xml:space="preserve">1275 Mckinstry Street </t>
  </si>
  <si>
    <t>Entertainment Venue</t>
  </si>
  <si>
    <t>Nathan Davis</t>
  </si>
  <si>
    <t>+1 (707) 253-2111</t>
  </si>
  <si>
    <t>Comfort Inn Largo</t>
  </si>
  <si>
    <t xml:space="preserve">9421 Largo Drive West </t>
  </si>
  <si>
    <t>Landover</t>
  </si>
  <si>
    <t>Ponceda Johnson</t>
  </si>
  <si>
    <t>Jeff Griffin</t>
  </si>
  <si>
    <t>+1 (301) 499-4600</t>
  </si>
  <si>
    <t>Hyatt House Scottsdale-Old Town</t>
  </si>
  <si>
    <t xml:space="preserve">4245 North Drinkwater Blvd. </t>
  </si>
  <si>
    <t>Dave Murray</t>
  </si>
  <si>
    <t>Aaron Bambling</t>
  </si>
  <si>
    <t>+1 (480) 946-7700</t>
  </si>
  <si>
    <t>Hyatt House Pleasanton</t>
  </si>
  <si>
    <t xml:space="preserve">4545 Chabot Drive </t>
  </si>
  <si>
    <t>Pleasanton</t>
  </si>
  <si>
    <t>Kendra Gaffey</t>
  </si>
  <si>
    <t>Melissa Simpson</t>
  </si>
  <si>
    <t>+ (925) 730-0070</t>
  </si>
  <si>
    <t>Hyatt House Pleasant Hill</t>
  </si>
  <si>
    <t xml:space="preserve">2611 Contra Costa Blvd. </t>
  </si>
  <si>
    <t>PLEASANT HILL</t>
  </si>
  <si>
    <t>Eric LaPlante</t>
  </si>
  <si>
    <t>+1 (925) 934-3343</t>
  </si>
  <si>
    <t>Courtyard Alexandria Pentagon South</t>
  </si>
  <si>
    <t xml:space="preserve">4641 Kenmore AVE </t>
  </si>
  <si>
    <t>Brian Walsh</t>
  </si>
  <si>
    <t>+ (703) 751-4510</t>
  </si>
  <si>
    <t>The Fairfax Hotel @ Embassy Row</t>
  </si>
  <si>
    <t xml:space="preserve">2100 Massachusetts Ave. N.W. </t>
  </si>
  <si>
    <t>+1 (202) 293-2100</t>
  </si>
  <si>
    <t>Amazon HQ Arlington - Pentagon City</t>
  </si>
  <si>
    <t xml:space="preserve">550 Army Navy Drive </t>
  </si>
  <si>
    <t>Edwin Peters</t>
  </si>
  <si>
    <t>Vernon Ramey</t>
  </si>
  <si>
    <t>(703) 413-6630</t>
  </si>
  <si>
    <t>TRULIEVE WINTER HAVEN</t>
  </si>
  <si>
    <t xml:space="preserve">727 3RD SW </t>
  </si>
  <si>
    <t>WINTER HAVEN</t>
  </si>
  <si>
    <t>SAN DIEGO MCRT 396</t>
  </si>
  <si>
    <t xml:space="preserve">3132 JEFFERSON STREET </t>
  </si>
  <si>
    <t>OAKMONT OF SAN RAFAEL</t>
  </si>
  <si>
    <t xml:space="preserve">3773 REDWOOD HWY </t>
  </si>
  <si>
    <t>SAN RAFAEL</t>
  </si>
  <si>
    <t>628-336-1400</t>
  </si>
  <si>
    <t>OAKMONT OF MOORPARK</t>
  </si>
  <si>
    <t xml:space="preserve">13960 PEACH HILL ROAD </t>
  </si>
  <si>
    <t>MOORPARK</t>
  </si>
  <si>
    <t>805-262-8331</t>
  </si>
  <si>
    <t>OAKMONT OF COVINA</t>
  </si>
  <si>
    <t xml:space="preserve">1054 PARK VIEW DRIVE </t>
  </si>
  <si>
    <t>COVINA</t>
  </si>
  <si>
    <t>OAKMONT OF CARLSBAD</t>
  </si>
  <si>
    <t xml:space="preserve">2580 FARADAY AVENUE </t>
  </si>
  <si>
    <t>CARLSBAD</t>
  </si>
  <si>
    <t>818-522-4166</t>
  </si>
  <si>
    <t>HOPE HEALTH CENTRAL COAST INC</t>
  </si>
  <si>
    <t xml:space="preserve">14900 EL CAMINO REAL </t>
  </si>
  <si>
    <t>ATASCADERO</t>
  </si>
  <si>
    <t>559-313-7176</t>
  </si>
  <si>
    <t>NEW VISTA NURSING AND REHAB CENTER</t>
  </si>
  <si>
    <t xml:space="preserve">300 BROADWAY </t>
  </si>
  <si>
    <t>HERITAGE CHRISTIAN SCHOOLS</t>
  </si>
  <si>
    <t xml:space="preserve">3500 SOUTH GLEN PARK ROAD </t>
  </si>
  <si>
    <t>NEW BERLIN</t>
  </si>
  <si>
    <t>262-432-0333</t>
  </si>
  <si>
    <t>LEXINGTON PREMIER NURSING &amp; REHAB LLC</t>
  </si>
  <si>
    <t xml:space="preserve">2770 PALUMBO DRIVE </t>
  </si>
  <si>
    <t xml:space="preserve">8170 MCCORMICK BLVD SUITE 112 </t>
  </si>
  <si>
    <t>SKOKIE</t>
  </si>
  <si>
    <t>BRP HEALTH</t>
  </si>
  <si>
    <t xml:space="preserve">275 SOUTH 5TH AVENUE </t>
  </si>
  <si>
    <t>THE RETREAT AT EASLEY</t>
  </si>
  <si>
    <t xml:space="preserve">123 COUCH LANE </t>
  </si>
  <si>
    <t>EASLEY</t>
  </si>
  <si>
    <t>864-859-3303</t>
  </si>
  <si>
    <t>The Mills House Wyndham Grand Hotel</t>
  </si>
  <si>
    <t xml:space="preserve">115 Meeting ST </t>
  </si>
  <si>
    <t>Michael Linder</t>
  </si>
  <si>
    <t>+ (843) 577-2400</t>
  </si>
  <si>
    <t>Courtyard Greenville Downtown</t>
  </si>
  <si>
    <t xml:space="preserve">50 West Broad Street </t>
  </si>
  <si>
    <t>Hilda Arambula</t>
  </si>
  <si>
    <t>Elisa Romano</t>
  </si>
  <si>
    <t>+()864-451-5700</t>
  </si>
  <si>
    <t>MacArthur Place</t>
  </si>
  <si>
    <t xml:space="preserve">29 E MacArthur St </t>
  </si>
  <si>
    <t>Sonoma</t>
  </si>
  <si>
    <t>Kevin Virgo</t>
  </si>
  <si>
    <t>Milan Drager</t>
  </si>
  <si>
    <t>+(707)938-2929</t>
  </si>
  <si>
    <t xml:space="preserve">DeBary Country Club </t>
  </si>
  <si>
    <t xml:space="preserve">300 Plantation Club DR </t>
  </si>
  <si>
    <t>Debary</t>
  </si>
  <si>
    <t>shawn Mcguigan</t>
  </si>
  <si>
    <t>Darlene Galligan</t>
  </si>
  <si>
    <t>+ (386) 668-1709</t>
  </si>
  <si>
    <t>Doubletree by Hilton Hotel Tulsa-Warren Place</t>
  </si>
  <si>
    <t xml:space="preserve">6110 South Yale Avenue </t>
  </si>
  <si>
    <t>Tulsa</t>
  </si>
  <si>
    <t>Scott Meyer</t>
  </si>
  <si>
    <t>Katie Bleeker</t>
  </si>
  <si>
    <t>+1 (918) 495-1000</t>
  </si>
  <si>
    <t>TM Hospitality Inc.</t>
  </si>
  <si>
    <t>Regency Miami Airport</t>
  </si>
  <si>
    <t xml:space="preserve">1000 Northwest 42nd Avenue </t>
  </si>
  <si>
    <t>Dionilda Batista</t>
  </si>
  <si>
    <t>+1 (305) 441-1600</t>
  </si>
  <si>
    <t>Element Miami Doral</t>
  </si>
  <si>
    <t xml:space="preserve">3285 NW 107th Avenue </t>
  </si>
  <si>
    <t>Ryan Hendricks</t>
  </si>
  <si>
    <t>Maria Curtis</t>
  </si>
  <si>
    <t>+(786)272-7250</t>
  </si>
  <si>
    <t>Aloft Miami Doral</t>
  </si>
  <si>
    <t xml:space="preserve">3265 NW 107th Ave </t>
  </si>
  <si>
    <t>+(786)272-7200</t>
  </si>
  <si>
    <t>Hyatt Regency San Francisco</t>
  </si>
  <si>
    <t xml:space="preserve">5 Embarcadero Ctr </t>
  </si>
  <si>
    <t xml:space="preserve">Hyatt Regency </t>
  </si>
  <si>
    <t>Matthew Humphreys</t>
  </si>
  <si>
    <t>Ken Cook</t>
  </si>
  <si>
    <t>+ (415) 788-1234</t>
  </si>
  <si>
    <t>HMC - Hospitality Management Corporation</t>
  </si>
  <si>
    <t>Comfort Inn Omaha Zoo</t>
  </si>
  <si>
    <t xml:space="preserve">2920 South 13th Court </t>
  </si>
  <si>
    <t>Paul Hyde</t>
  </si>
  <si>
    <t>+()531-213-4086</t>
  </si>
  <si>
    <t>Tru Lehi</t>
  </si>
  <si>
    <t xml:space="preserve">1776 Ashton Boulevard </t>
  </si>
  <si>
    <t>Lehi</t>
  </si>
  <si>
    <t>Peter White</t>
  </si>
  <si>
    <t>+1 (801) 768-3700</t>
  </si>
  <si>
    <t>Tru by Hilton St. George</t>
  </si>
  <si>
    <t xml:space="preserve">1251 South Sunland </t>
  </si>
  <si>
    <t>Saint George</t>
  </si>
  <si>
    <t>Cole Christensen</t>
  </si>
  <si>
    <t>+()435-634-7768</t>
  </si>
  <si>
    <t>LAKE TERRACE APARTMENTS</t>
  </si>
  <si>
    <t xml:space="preserve">1305 W WISCONSIN AVE </t>
  </si>
  <si>
    <t>OCONOMOWOC</t>
  </si>
  <si>
    <t>53066-2646</t>
  </si>
  <si>
    <t xml:space="preserve">SHOREHAVENS LAKE TERRACE APARTMENTS-VF DUPLICATE.MERGE WITH </t>
  </si>
  <si>
    <t xml:space="preserve">1380 W WISCONSIN AVE </t>
  </si>
  <si>
    <t>262 567834</t>
  </si>
  <si>
    <t>CARADAY HEALTHCARE</t>
  </si>
  <si>
    <t>CARADAY LAMPASAS LLC</t>
  </si>
  <si>
    <t xml:space="preserve">1000 AVENUE J </t>
  </si>
  <si>
    <t>LAMPASAS</t>
  </si>
  <si>
    <t>512-556-6267</t>
  </si>
  <si>
    <t>CARADAY MINEOLA LLC</t>
  </si>
  <si>
    <t xml:space="preserve">716 MIMOSA STREET </t>
  </si>
  <si>
    <t>MINEOLA</t>
  </si>
  <si>
    <t>903-569-5366</t>
  </si>
  <si>
    <t>CARADAY OF FORT WORTH</t>
  </si>
  <si>
    <t xml:space="preserve">8001 WESTERN HILLS BLVD </t>
  </si>
  <si>
    <t>817-246-4593</t>
  </si>
  <si>
    <t>CARADAY OF MESQUITE</t>
  </si>
  <si>
    <t xml:space="preserve">825 W KEARNEY STREET </t>
  </si>
  <si>
    <t>MESQUITE</t>
  </si>
  <si>
    <t>972-288-7668</t>
  </si>
  <si>
    <t>CARADAY OF HOUSTON</t>
  </si>
  <si>
    <t xml:space="preserve">6534 STUEBNER AIRLINE ROAD </t>
  </si>
  <si>
    <t>713-692-5137</t>
  </si>
  <si>
    <t>CARADAY OF QUITMAN</t>
  </si>
  <si>
    <t xml:space="preserve">1026 E GOODE STREET </t>
  </si>
  <si>
    <t>QUITMAN</t>
  </si>
  <si>
    <t>903-763-2284</t>
  </si>
  <si>
    <t>CARADAY MOUNT VERNON LLC</t>
  </si>
  <si>
    <t xml:space="preserve">501 YATES STREET </t>
  </si>
  <si>
    <t>MT VERNON</t>
  </si>
  <si>
    <t>903-537-4424</t>
  </si>
  <si>
    <t>Hotel Tupelo</t>
  </si>
  <si>
    <t xml:space="preserve">314 E Main Street </t>
  </si>
  <si>
    <t>Danielle Delgrande</t>
  </si>
  <si>
    <t>+()662-574-8513</t>
  </si>
  <si>
    <t>Deployed - Disaster Relief with Gordon Food Service - Houston</t>
  </si>
  <si>
    <t xml:space="preserve">11202 Antoine Drive </t>
  </si>
  <si>
    <t>Conference Center</t>
  </si>
  <si>
    <t>+(208)776-0815</t>
  </si>
  <si>
    <t>TONY'S PIZZA-WESTMORELAND</t>
  </si>
  <si>
    <t xml:space="preserve">7295 W MAIN STREET </t>
  </si>
  <si>
    <t>WESTMORELAND</t>
  </si>
  <si>
    <t>315-723-5572</t>
  </si>
  <si>
    <t>American Cut - Buckhead</t>
  </si>
  <si>
    <t xml:space="preserve">3035 Peachtree Road NE </t>
  </si>
  <si>
    <t>Wayne Blum</t>
  </si>
  <si>
    <t>+(770)415-9766</t>
  </si>
  <si>
    <t>Avalon Hospitality Group</t>
  </si>
  <si>
    <t>Hilton New York JFK Airport Hotel</t>
  </si>
  <si>
    <t xml:space="preserve">144-2 135th Avenue </t>
  </si>
  <si>
    <t>JAMAICA</t>
  </si>
  <si>
    <t>Wanda Brady</t>
  </si>
  <si>
    <t>Armando Markland</t>
  </si>
  <si>
    <t>+ (718) 659-0200</t>
  </si>
  <si>
    <t>Montage International</t>
  </si>
  <si>
    <t>Pendry Park City</t>
  </si>
  <si>
    <t xml:space="preserve">2417 High Mountain Road </t>
  </si>
  <si>
    <t>Park City</t>
  </si>
  <si>
    <t>Pendry</t>
  </si>
  <si>
    <t>David Silva</t>
  </si>
  <si>
    <t>Richard Wales</t>
  </si>
  <si>
    <t>+1 (949) 715-5000</t>
  </si>
  <si>
    <t>Diamante Country Club LLC</t>
  </si>
  <si>
    <t>Diamante Country Club</t>
  </si>
  <si>
    <t xml:space="preserve">2000 Country Club DR </t>
  </si>
  <si>
    <t>Hot Springs Village</t>
  </si>
  <si>
    <t>Shane Newton</t>
  </si>
  <si>
    <t>+ (501) 922-1114</t>
  </si>
  <si>
    <t>DoubleTree by Hilton Atlanta Roswell</t>
  </si>
  <si>
    <t xml:space="preserve">1075 Holcomb Bridge RD </t>
  </si>
  <si>
    <t>Roswell</t>
  </si>
  <si>
    <t>Oz Cagdas</t>
  </si>
  <si>
    <t>+ (770) 992-9600</t>
  </si>
  <si>
    <t>Home2 Suites by Hilton Richmond</t>
  </si>
  <si>
    <t xml:space="preserve">5950 National Rd E </t>
  </si>
  <si>
    <t>Joy Cowan</t>
  </si>
  <si>
    <t>+()765-227-2750</t>
  </si>
  <si>
    <t>La Quinta Inn &amp; Suites by Wyndham St. Pete-Clearwater Airpt</t>
  </si>
  <si>
    <t xml:space="preserve">3301 Ulmerton Road </t>
  </si>
  <si>
    <t>Clearwater</t>
  </si>
  <si>
    <t>Larry Dove</t>
  </si>
  <si>
    <t>+ (727) 572-7222</t>
  </si>
  <si>
    <t>DayStar Hotels</t>
  </si>
  <si>
    <t>Sierra Sky Ranch</t>
  </si>
  <si>
    <t xml:space="preserve">50552 Road 632 </t>
  </si>
  <si>
    <t>Oakhurst</t>
  </si>
  <si>
    <t>Karen Edwards</t>
  </si>
  <si>
    <t>+1 (559 )683-8040</t>
  </si>
  <si>
    <t>Springhill Suites Colorado Springs North - Air Force Academy</t>
  </si>
  <si>
    <t xml:space="preserve">1320 Republic Drive </t>
  </si>
  <si>
    <t>MaTia Baize</t>
  </si>
  <si>
    <t>+1 (719) 896-2320</t>
  </si>
  <si>
    <t>Courtyard Phoenix Mesa Gateway Airport</t>
  </si>
  <si>
    <t xml:space="preserve">6907 East Ray Road </t>
  </si>
  <si>
    <t>Mesa</t>
  </si>
  <si>
    <t>Frederick Thomas</t>
  </si>
  <si>
    <t>Lashan Pope</t>
  </si>
  <si>
    <t>+1 (480) 351-7088</t>
  </si>
  <si>
    <t>Fairfield Inn &amp; Suites Roswell</t>
  </si>
  <si>
    <t xml:space="preserve">1201 North Main Street </t>
  </si>
  <si>
    <t>Justin Hovious</t>
  </si>
  <si>
    <t>+1 (505) 624-1300</t>
  </si>
  <si>
    <t>TownePlace Suites Roswell</t>
  </si>
  <si>
    <t xml:space="preserve">180 East 19th Street </t>
  </si>
  <si>
    <t>Aimee Mendoza</t>
  </si>
  <si>
    <t>Lisa Ortiz</t>
  </si>
  <si>
    <t>+1 (575) 622-5460</t>
  </si>
  <si>
    <t>Arbor Lodging Partners</t>
  </si>
  <si>
    <t>AC Hotel Phoenix Downtown</t>
  </si>
  <si>
    <t xml:space="preserve">414 North 5th Street </t>
  </si>
  <si>
    <t>Brian Robinson</t>
  </si>
  <si>
    <t>+1 (602) 258-1771</t>
  </si>
  <si>
    <t>SANDSTONE OF TUCSON REHAB CENTRE</t>
  </si>
  <si>
    <t xml:space="preserve">2900 EAST MILBER STREET </t>
  </si>
  <si>
    <t>TUCSON</t>
  </si>
  <si>
    <t>520-294-0005</t>
  </si>
  <si>
    <t>The BeachView Hotel</t>
  </si>
  <si>
    <t xml:space="preserve">325 S Gulfview Blvd. </t>
  </si>
  <si>
    <t>Clearwater Beach</t>
  </si>
  <si>
    <t>Thomas Agar</t>
  </si>
  <si>
    <t>Vilma Otero</t>
  </si>
  <si>
    <t>+()727-461-7695</t>
  </si>
  <si>
    <t>RSD Hospitality LLC</t>
  </si>
  <si>
    <t>Fairfield Inn Hays</t>
  </si>
  <si>
    <t xml:space="preserve">377 Mopar Drive </t>
  </si>
  <si>
    <t>Hays</t>
  </si>
  <si>
    <t>Emmy Vanderwedge</t>
  </si>
  <si>
    <t>+ (785) 625-3344</t>
  </si>
  <si>
    <t>Fairfield Inn &amp; Suites Hutchinson</t>
  </si>
  <si>
    <t xml:space="preserve">1111 North Lorraine Street </t>
  </si>
  <si>
    <t>Dhaivant Patel</t>
  </si>
  <si>
    <t>+1 (620) 259-8787</t>
  </si>
  <si>
    <t>YUKIO OKUTSU STATE VETERANS HOME</t>
  </si>
  <si>
    <t xml:space="preserve">1180 WAIANUENUE AVENUE </t>
  </si>
  <si>
    <t>HILO</t>
  </si>
  <si>
    <t>801-596-8844</t>
  </si>
  <si>
    <t>AVALON SENIOR LIVING-CLEARLAKE</t>
  </si>
  <si>
    <t xml:space="preserve">14789 BURNS VALLEY ROAD </t>
  </si>
  <si>
    <t>CLEARLAKE</t>
  </si>
  <si>
    <t>767-995-1900</t>
  </si>
  <si>
    <t>KALAKAUA GARDENS</t>
  </si>
  <si>
    <t xml:space="preserve">1723 KALAKAUA AVENUE </t>
  </si>
  <si>
    <t>808-518-2273</t>
  </si>
  <si>
    <t>AVALON SENIOR LIVING FORTUNA</t>
  </si>
  <si>
    <t xml:space="preserve">2401 REDWOOD WAY </t>
  </si>
  <si>
    <t>FORTUNA</t>
  </si>
  <si>
    <t>707-726-0111</t>
  </si>
  <si>
    <t>AVALON SENIOR LIVING YREKA</t>
  </si>
  <si>
    <t xml:space="preserve">351 BRUCE STREET </t>
  </si>
  <si>
    <t>YREKA</t>
  </si>
  <si>
    <t>530-842-4300</t>
  </si>
  <si>
    <t>Deployed - Disaster Relief with Reinhart - Lousiana</t>
  </si>
  <si>
    <t xml:space="preserve">918 Edwards Avenue </t>
  </si>
  <si>
    <t>Harahan</t>
  </si>
  <si>
    <t>INNS MANAGEMENT</t>
  </si>
  <si>
    <t>THE INN AT LIBRARY WAY</t>
  </si>
  <si>
    <t xml:space="preserve">4615 LIBRARY WAY </t>
  </si>
  <si>
    <t>HILLARD</t>
  </si>
  <si>
    <t>614-363-1072</t>
  </si>
  <si>
    <t>GRACE RECOVERY AND WELLNESS</t>
  </si>
  <si>
    <t xml:space="preserve">1400 BROADWAY STREET </t>
  </si>
  <si>
    <t>765-298-8597</t>
  </si>
  <si>
    <t>CHAMPAIGN URBANA PUBLIC HEALTH DISTRICT</t>
  </si>
  <si>
    <t xml:space="preserve">201 WEST KENYON ROAD </t>
  </si>
  <si>
    <t>CHAMPAIGN</t>
  </si>
  <si>
    <t>217-352-7961</t>
  </si>
  <si>
    <t>ROSE DESERT CONGREGATE CARE INC</t>
  </si>
  <si>
    <t xml:space="preserve">3032 MILLING STREET </t>
  </si>
  <si>
    <t>661-206-8211</t>
  </si>
  <si>
    <t>MAGNIFIQUE CONGREGATE LIVING INC</t>
  </si>
  <si>
    <t xml:space="preserve">1827 WEST AVENUE K12 </t>
  </si>
  <si>
    <t>661-418-0084</t>
  </si>
  <si>
    <t>CASA VALLE</t>
  </si>
  <si>
    <t xml:space="preserve">11321 STAGG STREET </t>
  </si>
  <si>
    <t>SUN VALLEY</t>
  </si>
  <si>
    <t>818-765-2273</t>
  </si>
  <si>
    <t>OAK HAMMOCK AT THE UNIVERSITY OF FLORIDA</t>
  </si>
  <si>
    <t xml:space="preserve">5100 SW 25TH BLVD </t>
  </si>
  <si>
    <t>252-548-1015</t>
  </si>
  <si>
    <t>HARMONY AT SAVANNAH-FOOD</t>
  </si>
  <si>
    <t xml:space="preserve">9136 OLD MONTGOMERY ROAD </t>
  </si>
  <si>
    <t>SAVANNAH</t>
  </si>
  <si>
    <t>HARMONY AT BRIDGEPORT-FOOD</t>
  </si>
  <si>
    <t xml:space="preserve">2025 WHITE OAKS BLVD </t>
  </si>
  <si>
    <t>CASA CONSULTING LLC</t>
  </si>
  <si>
    <t xml:space="preserve">7358 NORTH LINCOLN AVENUE STE 130 </t>
  </si>
  <si>
    <t>NEWTON CARE CENTER</t>
  </si>
  <si>
    <t xml:space="preserve">300 EAST SCOTT AVENUE </t>
  </si>
  <si>
    <t>INCARNATION CATHOLIC SCHOOL</t>
  </si>
  <si>
    <t xml:space="preserve">5111 WEBB ROAD </t>
  </si>
  <si>
    <t>813-362-9685</t>
  </si>
  <si>
    <t>ASPIRE INDIANA MOCKING BIRD HILL RECOVERY CENTER</t>
  </si>
  <si>
    <t xml:space="preserve">4038 RIDGEVIEW DRIVE </t>
  </si>
  <si>
    <t>317-587-0500</t>
  </si>
  <si>
    <t xml:space="preserve">9615 EAST 148 STREET </t>
  </si>
  <si>
    <t>LAKE ANDES SENIOR LIVING</t>
  </si>
  <si>
    <t xml:space="preserve">740 EAST LAKE </t>
  </si>
  <si>
    <t>LAKE ANDES</t>
  </si>
  <si>
    <t>605-487-7674</t>
  </si>
  <si>
    <t>FAULKTON SENIOR LIVING</t>
  </si>
  <si>
    <t xml:space="preserve">1401 PEARL STREET </t>
  </si>
  <si>
    <t>FAULKON</t>
  </si>
  <si>
    <t>605-598-6214</t>
  </si>
  <si>
    <t>ABERDEEN HEALTH AND REHAB</t>
  </si>
  <si>
    <t xml:space="preserve">1700 US-281 </t>
  </si>
  <si>
    <t>ABERDEEN</t>
  </si>
  <si>
    <t>605-225-7315</t>
  </si>
  <si>
    <t xml:space="preserve">115 NORTH LYNDALE </t>
  </si>
  <si>
    <t>507-493-5436</t>
  </si>
  <si>
    <t>ACCURA HEALTHCARE OF SHENANDOAH</t>
  </si>
  <si>
    <t xml:space="preserve">1203 SOUTH ELM STREET </t>
  </si>
  <si>
    <t>SHENANDOAH</t>
  </si>
  <si>
    <t>712-246-4627</t>
  </si>
  <si>
    <t>SHELL ROCK SENIOR LIVING</t>
  </si>
  <si>
    <t xml:space="preserve">920 NORTH CHERRY STREET </t>
  </si>
  <si>
    <t>SHELL ROCK</t>
  </si>
  <si>
    <t>198-854-4341</t>
  </si>
  <si>
    <t>WOODLYN HEIGHTS SENIOR LIVING</t>
  </si>
  <si>
    <t xml:space="preserve">2060 UPPER 55TH STREET </t>
  </si>
  <si>
    <t>INNER GROVE HEIGHTS</t>
  </si>
  <si>
    <t>651-451-1881</t>
  </si>
  <si>
    <t>STERLING PARK SENIOR LIVING</t>
  </si>
  <si>
    <t xml:space="preserve">142 1ST STREET </t>
  </si>
  <si>
    <t>WAITE PARK</t>
  </si>
  <si>
    <t>320-252-9595</t>
  </si>
  <si>
    <t>SAUL RAPIDS</t>
  </si>
  <si>
    <t>320-251-5228</t>
  </si>
  <si>
    <t xml:space="preserve">250 5TH STREET </t>
  </si>
  <si>
    <t>507-629-3331</t>
  </si>
  <si>
    <t>PARK GARDEN SENIOR LIVING</t>
  </si>
  <si>
    <t xml:space="preserve">114 NORTH 1ST STREET </t>
  </si>
  <si>
    <t>320-529-9595</t>
  </si>
  <si>
    <t>KARLSTAD SENIOR LIVING</t>
  </si>
  <si>
    <t xml:space="preserve">304 WASHINGTON AVENUE </t>
  </si>
  <si>
    <t>KARLSTAD</t>
  </si>
  <si>
    <t>218-436-2161</t>
  </si>
  <si>
    <t>GRAND MEADOW SENIOR LIVING</t>
  </si>
  <si>
    <t xml:space="preserve">210 EAST GRAND AVENUE </t>
  </si>
  <si>
    <t>GRAND MEADOW</t>
  </si>
  <si>
    <t>507-754-5212</t>
  </si>
  <si>
    <t>BUTTE SENIOR LIVING</t>
  </si>
  <si>
    <t xml:space="preserve">210 BROADWAY </t>
  </si>
  <si>
    <t>BUTTE</t>
  </si>
  <si>
    <t>402-775-2355</t>
  </si>
  <si>
    <t>ACC SENIOR SERVICES</t>
  </si>
  <si>
    <t>SORRENTO IN THE DESERT</t>
  </si>
  <si>
    <t xml:space="preserve">3833 EAST AVENUE R 12 </t>
  </si>
  <si>
    <t>PALMDALE</t>
  </si>
  <si>
    <t>661-441-2366</t>
  </si>
  <si>
    <t>Hyatt Place Santa Barbara</t>
  </si>
  <si>
    <t xml:space="preserve">4111 State Street </t>
  </si>
  <si>
    <t>Thomas Springer</t>
  </si>
  <si>
    <t>+1 (805) 689-3035</t>
  </si>
  <si>
    <t>Hotel Indigo Napa Valley</t>
  </si>
  <si>
    <t xml:space="preserve">4195 Solano Ave </t>
  </si>
  <si>
    <t>Jessica Carey</t>
  </si>
  <si>
    <t>+1 (707) 287-2166</t>
  </si>
  <si>
    <t>Hampton Inn San Francisco Downtown</t>
  </si>
  <si>
    <t xml:space="preserve">942 Mission St </t>
  </si>
  <si>
    <t>Erick Binauhan</t>
  </si>
  <si>
    <t>+1 (415) 802-4133</t>
  </si>
  <si>
    <t>Homewood Suites Pleasant Hill Concord</t>
  </si>
  <si>
    <t xml:space="preserve">650 Ellinwood Way </t>
  </si>
  <si>
    <t>Pleasant Hill</t>
  </si>
  <si>
    <t>Paul Gaines</t>
  </si>
  <si>
    <t>Insiya Nakara</t>
  </si>
  <si>
    <t>+1 (925) 348-6773</t>
  </si>
  <si>
    <t>DoubleTree by Hilton San Francisco South Airport Blvd</t>
  </si>
  <si>
    <t xml:space="preserve">275 S Airport Blvd </t>
  </si>
  <si>
    <t>Mariana Landeros</t>
  </si>
  <si>
    <t>+1 (650) 457-3321</t>
  </si>
  <si>
    <t>Pelican Golf LLC</t>
  </si>
  <si>
    <t>Pelican Golf Club</t>
  </si>
  <si>
    <t xml:space="preserve">1501 Indian Rocks Road </t>
  </si>
  <si>
    <t>Belleair</t>
  </si>
  <si>
    <t>Lee Mackay</t>
  </si>
  <si>
    <t>Adam Rudisill</t>
  </si>
  <si>
    <t>+1 (727) 285-9702</t>
  </si>
  <si>
    <t>Cobblestone Inn &amp; Suites - Oberlin</t>
  </si>
  <si>
    <t xml:space="preserve">507 West Elm Street </t>
  </si>
  <si>
    <t>Oberlin</t>
  </si>
  <si>
    <t>Lisa Votapka</t>
  </si>
  <si>
    <t>+1(785) 475-1100</t>
  </si>
  <si>
    <t>Courtyard San Antonio Sea World/Lackland</t>
  </si>
  <si>
    <t xml:space="preserve">6738 NW Loop 410 </t>
  </si>
  <si>
    <t>Destiny Young</t>
  </si>
  <si>
    <t>+1 (210) 647-4100</t>
  </si>
  <si>
    <t>Fairfield Inn &amp; Suites Pleasanton</t>
  </si>
  <si>
    <t xml:space="preserve">200 Cowboy Lane </t>
  </si>
  <si>
    <t>Ty Bazemore</t>
  </si>
  <si>
    <t>+1 (830) 569-8656</t>
  </si>
  <si>
    <t>Fairfield Inn &amp; Suites Cuero</t>
  </si>
  <si>
    <t xml:space="preserve">2121 North Esplanade Street </t>
  </si>
  <si>
    <t>Cuero</t>
  </si>
  <si>
    <t>+1(361)275-5200</t>
  </si>
  <si>
    <t>Sleep Inn Main Stay Dallas</t>
  </si>
  <si>
    <t xml:space="preserve">2208 Royal Lane </t>
  </si>
  <si>
    <t>Ray Alyatim</t>
  </si>
  <si>
    <t>+(972)247-1300</t>
  </si>
  <si>
    <t>Fairfield Inn &amp; Suites Franklin Cool Springs</t>
  </si>
  <si>
    <t xml:space="preserve">7086 Bakers Bridge Road </t>
  </si>
  <si>
    <t>Franklin</t>
  </si>
  <si>
    <t>Kevin Hailey</t>
  </si>
  <si>
    <t>+(615)771-4142</t>
  </si>
  <si>
    <t xml:space="preserve">Comfort Suites Dallas </t>
  </si>
  <si>
    <t xml:space="preserve">2287 W Northwest Hwy </t>
  </si>
  <si>
    <t>Travis Fletcher</t>
  </si>
  <si>
    <t>+1 (214) 350-4011</t>
  </si>
  <si>
    <t>KPG Hotel Management LLC</t>
  </si>
  <si>
    <t>41 Lakefront Hotel Trademark Collection by Wyndham</t>
  </si>
  <si>
    <t xml:space="preserve">41 Lakefront Dr </t>
  </si>
  <si>
    <t>Geneva</t>
  </si>
  <si>
    <t>Ankit Patel</t>
  </si>
  <si>
    <t>+()315-789-0400</t>
  </si>
  <si>
    <t>MERIDIAN SENIOR LIVING</t>
  </si>
  <si>
    <t>OAK PINE OF WARRENTON</t>
  </si>
  <si>
    <t xml:space="preserve">700 FOREST AVE </t>
  </si>
  <si>
    <t>636-235-0658</t>
  </si>
  <si>
    <t>Country Inn &amp; Suites by Radisson College Station TX</t>
  </si>
  <si>
    <t xml:space="preserve">1010 Southwest Pkwy E </t>
  </si>
  <si>
    <t>College Station</t>
  </si>
  <si>
    <t>Shalonda Hackney</t>
  </si>
  <si>
    <t>+()9796937777</t>
  </si>
  <si>
    <t>SOLVERE LIVING</t>
  </si>
  <si>
    <t>TUDOR HEIGHTS ASSISTED LIVING</t>
  </si>
  <si>
    <t xml:space="preserve">7218 PARK HEIGHTS AVENUE </t>
  </si>
  <si>
    <t>410-318-8000</t>
  </si>
  <si>
    <t>Moxy NYC Downtown</t>
  </si>
  <si>
    <t xml:space="preserve">26 Ann Street </t>
  </si>
  <si>
    <t>Demetrius Hodge</t>
  </si>
  <si>
    <t>+1(212)257-8886</t>
  </si>
  <si>
    <t>TUDOR HEIGHTS SENIOR LIVING</t>
  </si>
  <si>
    <t xml:space="preserve">7218 PARK HEIGHTS AVE </t>
  </si>
  <si>
    <t>Oxford Hotels &amp; Resorts</t>
  </si>
  <si>
    <t>The Porter Hotel Portland</t>
  </si>
  <si>
    <t xml:space="preserve">1355 SW 2nd Ave </t>
  </si>
  <si>
    <t>Keith Cestare</t>
  </si>
  <si>
    <t>+()503-306-4800</t>
  </si>
  <si>
    <t>RAR Hospitality LLC</t>
  </si>
  <si>
    <t>Country Inn &amp; Suites by Radisson Port Clinton OH</t>
  </si>
  <si>
    <t xml:space="preserve">3760 East State Road </t>
  </si>
  <si>
    <t>Kelsey Morgan-Wright</t>
  </si>
  <si>
    <t>Shawna Cowger</t>
  </si>
  <si>
    <t>+1 (419) 732-2434</t>
  </si>
  <si>
    <t>Pelican Grand Beach Resort</t>
  </si>
  <si>
    <t xml:space="preserve">2000 North Ocean Boulevard </t>
  </si>
  <si>
    <t>TJ Pierri</t>
  </si>
  <si>
    <t>Johanna Nieto</t>
  </si>
  <si>
    <t>+1 (954) 568-9431</t>
  </si>
  <si>
    <t>Little Palm Island Resort &amp; Spa</t>
  </si>
  <si>
    <t xml:space="preserve">28500 Overseas Highway </t>
  </si>
  <si>
    <t>Little Torch Key</t>
  </si>
  <si>
    <t>Kevin Geanides</t>
  </si>
  <si>
    <t>Annette Corey</t>
  </si>
  <si>
    <t>+1 (305) 872-2524</t>
  </si>
  <si>
    <t>The Portofino Hotel &amp; Marina</t>
  </si>
  <si>
    <t xml:space="preserve">260 Portofino Way </t>
  </si>
  <si>
    <t>Redondo Beach</t>
  </si>
  <si>
    <t>Marco Perry</t>
  </si>
  <si>
    <t>Mary Dino</t>
  </si>
  <si>
    <t>+1 (310) 379-8481</t>
  </si>
  <si>
    <t>Ocean Key Resort</t>
  </si>
  <si>
    <t xml:space="preserve">Zero Duval Street </t>
  </si>
  <si>
    <t>Johan Amneus</t>
  </si>
  <si>
    <t>+1 (800) 328-9815</t>
  </si>
  <si>
    <t>Kona Kai Resort &amp; Spa</t>
  </si>
  <si>
    <t xml:space="preserve">1551 Shelter Island Drive </t>
  </si>
  <si>
    <t>Scott Ostrander</t>
  </si>
  <si>
    <t>+1 (619 )819-8121</t>
  </si>
  <si>
    <t>AZRIA HEALTH ROSE VISTA</t>
  </si>
  <si>
    <t xml:space="preserve">1109 NORMAL STREET </t>
  </si>
  <si>
    <t>WOODBINE</t>
  </si>
  <si>
    <t>712-647-2010</t>
  </si>
  <si>
    <t>AZRIA HEALTH LONGVIEW</t>
  </si>
  <si>
    <t xml:space="preserve">1010 LONGVIEW RD. </t>
  </si>
  <si>
    <t>MISSOURI VALLEY</t>
  </si>
  <si>
    <t>712-642-2264</t>
  </si>
  <si>
    <t>Home2 Suites Woodland Hills</t>
  </si>
  <si>
    <t xml:space="preserve">21110 West Oxnard Street </t>
  </si>
  <si>
    <t>Woodland Hills</t>
  </si>
  <si>
    <t>Anthony Brunelle</t>
  </si>
  <si>
    <t>THE KENDAL CORPORATION</t>
  </si>
  <si>
    <t>CHANDLER HALL</t>
  </si>
  <si>
    <t xml:space="preserve">99 BARCLAY ST </t>
  </si>
  <si>
    <t>NEWTOWN</t>
  </si>
  <si>
    <t>215-860-4000</t>
  </si>
  <si>
    <t>KENDAL ON HUDSON</t>
  </si>
  <si>
    <t xml:space="preserve">1010 KENDAL WAY </t>
  </si>
  <si>
    <t>SLEEPY HOLLOW</t>
  </si>
  <si>
    <t>914-922-1094</t>
  </si>
  <si>
    <t>Canyon Crest Country Club</t>
  </si>
  <si>
    <t xml:space="preserve">975 Country Club Dr </t>
  </si>
  <si>
    <t>Riverside</t>
  </si>
  <si>
    <t>ClubCorp Classic</t>
  </si>
  <si>
    <t>Brett Kimura</t>
  </si>
  <si>
    <t>Rafael Garcia</t>
  </si>
  <si>
    <t>+ (951) 274-7900</t>
  </si>
  <si>
    <t>HOLI SENIOR LIVING</t>
  </si>
  <si>
    <t xml:space="preserve">188 NEW 77TH AVENUE </t>
  </si>
  <si>
    <t>HILLSBORO</t>
  </si>
  <si>
    <t>503-743-7210</t>
  </si>
  <si>
    <t>SAL MANAGEMENT GROUP</t>
  </si>
  <si>
    <t>SAL MANAGEMENT</t>
  </si>
  <si>
    <t xml:space="preserve">233 NORTH MAIN STREET </t>
  </si>
  <si>
    <t>PROVIDENCE</t>
  </si>
  <si>
    <t>435-753-7297</t>
  </si>
  <si>
    <t>SUMMERFIELD MEMORY CARE ENCINITAS</t>
  </si>
  <si>
    <t xml:space="preserve">1350 S EL CAMINO REAL </t>
  </si>
  <si>
    <t>ENCINITAS</t>
  </si>
  <si>
    <t>760-479-1818</t>
  </si>
  <si>
    <t>SUMMERFIELD MEMORY CARE REDLANDS</t>
  </si>
  <si>
    <t xml:space="preserve">1319 BROOKSIDE AVENUE </t>
  </si>
  <si>
    <t>REDLANDS</t>
  </si>
  <si>
    <t>909-793-9500</t>
  </si>
  <si>
    <t>SUMMERFIELD MEMORY CARE FRESNO</t>
  </si>
  <si>
    <t xml:space="preserve">6075 N MARKS AVENUE </t>
  </si>
  <si>
    <t>559-449-7350</t>
  </si>
  <si>
    <t>SUMMERFIELD MEMORY CARE ROSEVILLE</t>
  </si>
  <si>
    <t xml:space="preserve">110 STERLING COURT </t>
  </si>
  <si>
    <t>ROSEVILLE</t>
  </si>
  <si>
    <t>916-772-6500</t>
  </si>
  <si>
    <t>SUMMERFIELD MEMORY CARE STOCKTON</t>
  </si>
  <si>
    <t xml:space="preserve">3530 DEER PARK DRIVE </t>
  </si>
  <si>
    <t>STOCKTON</t>
  </si>
  <si>
    <t>209-951-6500</t>
  </si>
  <si>
    <t>TIFFANY COURT OF WALNUT CREEK</t>
  </si>
  <si>
    <t xml:space="preserve">1866 SAN MIGUEL DRIVE </t>
  </si>
  <si>
    <t>WALNUT CREEK</t>
  </si>
  <si>
    <t>925-933-5555</t>
  </si>
  <si>
    <t>THE GARDENS OF SUN CITY</t>
  </si>
  <si>
    <t xml:space="preserve">17225 NORTH BOSWELL BLVD </t>
  </si>
  <si>
    <t>SUN CITY</t>
  </si>
  <si>
    <t>623-933-2222</t>
  </si>
  <si>
    <t>ELEVATE CARE COUNTRY CLUB</t>
  </si>
  <si>
    <t xml:space="preserve">18200 SOUTH CICERO AVENUE </t>
  </si>
  <si>
    <t>COUNTRY CLUB HILLS</t>
  </si>
  <si>
    <t>708-798-2271</t>
  </si>
  <si>
    <t>INNOVATIVE MANAGEMENT ASSOCIATES</t>
  </si>
  <si>
    <t xml:space="preserve">8149 RIVER DRIVE </t>
  </si>
  <si>
    <t>MORTON GROVE</t>
  </si>
  <si>
    <t>WOOSTER COMMUNITY HOSPITAL CAFE</t>
  </si>
  <si>
    <t xml:space="preserve">1761 BEALL AVENUE </t>
  </si>
  <si>
    <t>WOOSTER</t>
  </si>
  <si>
    <t>330-263-8100</t>
  </si>
  <si>
    <t>UNITED STATES COAST GUARD STATION MARBLEHEAD</t>
  </si>
  <si>
    <t xml:space="preserve">606 PRAIRIE STREET </t>
  </si>
  <si>
    <t>MARBLEHEAD</t>
  </si>
  <si>
    <t>419-798-4445</t>
  </si>
  <si>
    <t>DELHI REHAB AND NURSING CENTER</t>
  </si>
  <si>
    <t xml:space="preserve">41861 STATE HIGHWAY 10 </t>
  </si>
  <si>
    <t>DELHI</t>
  </si>
  <si>
    <t>607-464-4444</t>
  </si>
  <si>
    <t>AVENIR MEMORY CARE WESTSIDE-MENU ONLY</t>
  </si>
  <si>
    <t xml:space="preserve">7501 OSAGE AVENUE </t>
  </si>
  <si>
    <t>424-800-3883</t>
  </si>
  <si>
    <t>CLARKSTON OF CASCADIA LLC</t>
  </si>
  <si>
    <t xml:space="preserve">1242 11TH STREET </t>
  </si>
  <si>
    <t>509-758-2523</t>
  </si>
  <si>
    <t>CASCADE HEALTH SERVICES</t>
  </si>
  <si>
    <t>QUI QUANHONG-COMPASSIONATE COMMUNITY CARE</t>
  </si>
  <si>
    <t xml:space="preserve">2690 19TH AVENUE </t>
  </si>
  <si>
    <t>SAN FRANCISCO</t>
  </si>
  <si>
    <t>415-681-9884</t>
  </si>
  <si>
    <t>AZRIA HEALTH WAVERLY</t>
  </si>
  <si>
    <t xml:space="preserve">11041 NORTH 137 STREET </t>
  </si>
  <si>
    <t>WAVERLY</t>
  </si>
  <si>
    <t>402-786-2626</t>
  </si>
  <si>
    <t>AZRIA HEALTH SUTHERLAND</t>
  </si>
  <si>
    <t xml:space="preserve">333 MAPLE STREET </t>
  </si>
  <si>
    <t>SUTHERLAND</t>
  </si>
  <si>
    <t>309-386-4393</t>
  </si>
  <si>
    <t>AZRIA HEALTH REGENCY SQUARE</t>
  </si>
  <si>
    <t xml:space="preserve">3501 DAKOTA AVENUE </t>
  </si>
  <si>
    <t>SOUTH SIOUX CITY</t>
  </si>
  <si>
    <t>402-494-4273</t>
  </si>
  <si>
    <t>AZRIA HEALTH MONTCLAIR</t>
  </si>
  <si>
    <t xml:space="preserve">2525 SOUTH 135 AVENUE </t>
  </si>
  <si>
    <t>402-333-2304</t>
  </si>
  <si>
    <t xml:space="preserve">AZRIA HEALTH MIDTOWN </t>
  </si>
  <si>
    <t xml:space="preserve">910 SOUTH 40TH STREET </t>
  </si>
  <si>
    <t>402-342-2015</t>
  </si>
  <si>
    <t>AZRIA HEALTH GRETNA</t>
  </si>
  <si>
    <t xml:space="preserve">700 SOUTH HIGHWAY 6 </t>
  </si>
  <si>
    <t>GRETNA</t>
  </si>
  <si>
    <t>412-332-3466</t>
  </si>
  <si>
    <t>AZRIA HEALTH CENTRAL CITY</t>
  </si>
  <si>
    <t xml:space="preserve">2720 SOUTH 17TH AVENUE </t>
  </si>
  <si>
    <t>CENTRAL CITY</t>
  </si>
  <si>
    <t>308-946-3088</t>
  </si>
  <si>
    <t>AZRIA HEALTH CENTENNIAL PARK</t>
  </si>
  <si>
    <t xml:space="preserve">510 CENTENNIAL CIRCLE </t>
  </si>
  <si>
    <t>NORTH PLATTE</t>
  </si>
  <si>
    <t>308-534-7000</t>
  </si>
  <si>
    <t>AZRIA HEALTH BROADWELL</t>
  </si>
  <si>
    <t xml:space="preserve">800 STOEGAR DRIVE </t>
  </si>
  <si>
    <t>GRAND ISLAND</t>
  </si>
  <si>
    <t>308-382-5440</t>
  </si>
  <si>
    <t>AZRIA HEALTH BLUE HILL</t>
  </si>
  <si>
    <t xml:space="preserve">414 NORTH WILSON STREET </t>
  </si>
  <si>
    <t>BLUE HILL</t>
  </si>
  <si>
    <t>402-756-2080</t>
  </si>
  <si>
    <t>AZRIA HEALTH ASHLAND</t>
  </si>
  <si>
    <t xml:space="preserve">1700 FURNAS STREET </t>
  </si>
  <si>
    <t>402-944-7031</t>
  </si>
  <si>
    <t>AZRIA HEALTH OLATHE</t>
  </si>
  <si>
    <t xml:space="preserve">201 EAST FLAMING ROAD </t>
  </si>
  <si>
    <t>OLATHE</t>
  </si>
  <si>
    <t>919-829-2273</t>
  </si>
  <si>
    <t>AZRIA HEALTH GREAT BEND</t>
  </si>
  <si>
    <t xml:space="preserve">1560 KS-96 HIGHWAY </t>
  </si>
  <si>
    <t>GREAT BEND</t>
  </si>
  <si>
    <t>620-792-2448</t>
  </si>
  <si>
    <t>AZRIA HEALTH WINTERSET</t>
  </si>
  <si>
    <t xml:space="preserve">1015 WEST SUMMIT STREET </t>
  </si>
  <si>
    <t>WINTERSET</t>
  </si>
  <si>
    <t>515-462-1711</t>
  </si>
  <si>
    <t>AZRIA HEALTH PRARIE RIDGE</t>
  </si>
  <si>
    <t xml:space="preserve">608 PRARIE STREET </t>
  </si>
  <si>
    <t>MEDIAPOLIS</t>
  </si>
  <si>
    <t>319-394-3991</t>
  </si>
  <si>
    <t>AZRIA HEALTH PARK PLACE</t>
  </si>
  <si>
    <t xml:space="preserve">2401 EAST 8TH STREET </t>
  </si>
  <si>
    <t>515-262-9303</t>
  </si>
  <si>
    <t>AZRIA HEALTH CLARINDA</t>
  </si>
  <si>
    <t xml:space="preserve">600 MANOR DRIVE </t>
  </si>
  <si>
    <t>CLARINDA</t>
  </si>
  <si>
    <t>712-542-5161</t>
  </si>
  <si>
    <t xml:space="preserve">1776 AVENUE OF THE STATES </t>
  </si>
  <si>
    <t>908-202-5776</t>
  </si>
  <si>
    <t>PALLADIAN-TAYLORVILLE ESTATES</t>
  </si>
  <si>
    <t xml:space="preserve">705 SOUTH HOUSTON STREET </t>
  </si>
  <si>
    <t>TAYLORVILLE</t>
  </si>
  <si>
    <t>217-824-2222</t>
  </si>
  <si>
    <t>PALLADIAN-TAYLORVILLE CARE CENTER</t>
  </si>
  <si>
    <t xml:space="preserve">600 SOUTH HOUSTON </t>
  </si>
  <si>
    <t>217-824-9636</t>
  </si>
  <si>
    <t>PALLADIAN-RESIDENTIAL LIVING CTR MT VERNON</t>
  </si>
  <si>
    <t xml:space="preserve">608 NEW FAIRFIELD ROAD </t>
  </si>
  <si>
    <t>618-244-9318</t>
  </si>
  <si>
    <t>PALLADIAN-MT VERNON COUNTRYSIDE MANOR</t>
  </si>
  <si>
    <t xml:space="preserve">606 NEW FAIRFIELD ROAD </t>
  </si>
  <si>
    <t>618-242-1800</t>
  </si>
  <si>
    <t>PALLADIAN-AVISTON COUNTRYSIDE MANOR</t>
  </si>
  <si>
    <t xml:space="preserve">450 W FIRST STREET </t>
  </si>
  <si>
    <t>AVISTON</t>
  </si>
  <si>
    <t>618-228-7615</t>
  </si>
  <si>
    <t>Sharon Heights Golf &amp; Country Club Inc</t>
  </si>
  <si>
    <t>Sharon Heights Golf &amp; Country Club</t>
  </si>
  <si>
    <t xml:space="preserve">2900 Sand Hill Road </t>
  </si>
  <si>
    <t>Menlo Park</t>
  </si>
  <si>
    <t>Thorsten Loth</t>
  </si>
  <si>
    <t>+ (866) 854-6422</t>
  </si>
  <si>
    <t>Fairfield Inn &amp; Suites Stony Creek</t>
  </si>
  <si>
    <t xml:space="preserve">10462 Blue Star Highway </t>
  </si>
  <si>
    <t>Stony Creek</t>
  </si>
  <si>
    <t>Joseph Dobbs</t>
  </si>
  <si>
    <t>+()434-246-5500</t>
  </si>
  <si>
    <t>Yacht Club of Stone Harbor</t>
  </si>
  <si>
    <t xml:space="preserve">9001 Sunset Drive </t>
  </si>
  <si>
    <t>Stone Harbor</t>
  </si>
  <si>
    <t>Dwight Jensen</t>
  </si>
  <si>
    <t>+1 (609) 368-1202</t>
  </si>
  <si>
    <t>The Chateau Hotel &amp; Conference Center</t>
  </si>
  <si>
    <t xml:space="preserve">1621 Jumer Drive </t>
  </si>
  <si>
    <t>Jeremy Cruthis</t>
  </si>
  <si>
    <t>+1 (309) 662-2020</t>
  </si>
  <si>
    <t>Homewood Suites Lansdale</t>
  </si>
  <si>
    <t xml:space="preserve">1200 Pennbrook Parkway </t>
  </si>
  <si>
    <t>Lansdale</t>
  </si>
  <si>
    <t>+1 (215) 362-6400</t>
  </si>
  <si>
    <t xml:space="preserve">1107 E BALTIMORE PIKE </t>
  </si>
  <si>
    <t>KENNETT SQUARE</t>
  </si>
  <si>
    <t>610-338-1263</t>
  </si>
  <si>
    <t>LUTHERAN HOME</t>
  </si>
  <si>
    <t xml:space="preserve">800 WEST OAKTON STREET </t>
  </si>
  <si>
    <t>847-368-7400</t>
  </si>
  <si>
    <t>CAROLINA PINES AT ASHEVILLE</t>
  </si>
  <si>
    <t xml:space="preserve">91 VICTORIA ROAD </t>
  </si>
  <si>
    <t>ASHEVILLE</t>
  </si>
  <si>
    <t>828-255-0076</t>
  </si>
  <si>
    <t>Deployed - Disaster Relief with US Foods Atlanta</t>
  </si>
  <si>
    <t xml:space="preserve">7950 Spence Road </t>
  </si>
  <si>
    <t>Fairburn</t>
  </si>
  <si>
    <t>Deployed - Disaster Relief with US Foods Tampa</t>
  </si>
  <si>
    <t xml:space="preserve">7004 East Hanna Avenue </t>
  </si>
  <si>
    <t>Deployed - Disaster Relief with US Foods South Florida</t>
  </si>
  <si>
    <t xml:space="preserve">7598 NW 6th Avenue </t>
  </si>
  <si>
    <t>Deployed - Disaster Relief with US Foods Roanoke</t>
  </si>
  <si>
    <t xml:space="preserve">40 Fort Lewis Boulevard </t>
  </si>
  <si>
    <t>Deployed - Disaster Relief with US Foods Raleigh</t>
  </si>
  <si>
    <t xml:space="preserve">1500 NC Highway 39 </t>
  </si>
  <si>
    <t>Zebulon</t>
  </si>
  <si>
    <t>Deployed - Disaster Relief with US Foods Port Orange</t>
  </si>
  <si>
    <t xml:space="preserve">5425 S. Williamson Boulevard </t>
  </si>
  <si>
    <t>Port Orange</t>
  </si>
  <si>
    <t>Deployed - Disaster Relief with US Foods Manassas</t>
  </si>
  <si>
    <t xml:space="preserve">11994 Livingston Road </t>
  </si>
  <si>
    <t>Manassas</t>
  </si>
  <si>
    <t>Deployed - Disaster Relief with US Foods Fort Mill</t>
  </si>
  <si>
    <t xml:space="preserve">800 Foodservice Drive </t>
  </si>
  <si>
    <t>Ft. Mill</t>
  </si>
  <si>
    <t>Deployed - Disaster Relief with US Foods Columbia</t>
  </si>
  <si>
    <t xml:space="preserve">120 Longs Pond Road </t>
  </si>
  <si>
    <t>Staybridge Suites Columbus-Dublin</t>
  </si>
  <si>
    <t xml:space="preserve">6095 Emerald Parkway </t>
  </si>
  <si>
    <t>Dublin</t>
  </si>
  <si>
    <t>Jody Mayer</t>
  </si>
  <si>
    <t>+1 (614) 734-9882</t>
  </si>
  <si>
    <t>Homewood Dayton South</t>
  </si>
  <si>
    <t xml:space="preserve">3100 Contemporary Lane </t>
  </si>
  <si>
    <t>Miamisburg</t>
  </si>
  <si>
    <t>Patrick Maciak</t>
  </si>
  <si>
    <t>+1 (937) 432-0000</t>
  </si>
  <si>
    <t>Homewood Suites Columbia</t>
  </si>
  <si>
    <t xml:space="preserve">230 Greystone Boulevard </t>
  </si>
  <si>
    <t>Kareem Miller</t>
  </si>
  <si>
    <t>Sam Hoyt</t>
  </si>
  <si>
    <t>+1 (803) 239-4663</t>
  </si>
  <si>
    <t>Home2 Suites Charlotte I-77 South</t>
  </si>
  <si>
    <t xml:space="preserve">6025 Tyvola Glen Circle </t>
  </si>
  <si>
    <t>Stephen Moore</t>
  </si>
  <si>
    <t>+1 (704) 405-4000</t>
  </si>
  <si>
    <t>Vennebu Hill Event Center</t>
  </si>
  <si>
    <t xml:space="preserve">360 Country Road A S </t>
  </si>
  <si>
    <t>Baraboo</t>
  </si>
  <si>
    <t>Mark Hansen</t>
  </si>
  <si>
    <t>+()414 405 9545</t>
  </si>
  <si>
    <t>GALLATIN SENIOR HOUSING</t>
  </si>
  <si>
    <t xml:space="preserve">138 E FRANKLIN ST </t>
  </si>
  <si>
    <t>GALLATIN</t>
  </si>
  <si>
    <t>37066-2800</t>
  </si>
  <si>
    <t>(615) 452-9363</t>
  </si>
  <si>
    <t>CHRISTIAN TOWERS OF GALLATIN INC</t>
  </si>
  <si>
    <t>Encina Investments</t>
  </si>
  <si>
    <t>Best Western Plus Santa Barbara</t>
  </si>
  <si>
    <t xml:space="preserve">2220 Bath Street </t>
  </si>
  <si>
    <t>David Romero</t>
  </si>
  <si>
    <t>+1 (805) 682-7277</t>
  </si>
  <si>
    <t>BROADVIEW A.L. TALLAHASSEE</t>
  </si>
  <si>
    <t xml:space="preserve">2110 FLEISCHMANN ROAD </t>
  </si>
  <si>
    <t>850-386-4300</t>
  </si>
  <si>
    <t>TALLAHASSEE MEMORY CARE</t>
  </si>
  <si>
    <t xml:space="preserve">2767 RAYMOND DIEHL ROAD </t>
  </si>
  <si>
    <t>850-668-2884</t>
  </si>
  <si>
    <t>BROADMORE A.L. MURFREESBORO</t>
  </si>
  <si>
    <t xml:space="preserve">3211 MEMORIAL BLVD </t>
  </si>
  <si>
    <t>615-867-9777</t>
  </si>
  <si>
    <t>BROADMORE A.L. TEAYS VALLEY</t>
  </si>
  <si>
    <t xml:space="preserve">4000 OUTLOOK DRIVE </t>
  </si>
  <si>
    <t>HURRICANE</t>
  </si>
  <si>
    <t>304-757-4778</t>
  </si>
  <si>
    <t>BROADMORE A.L. YORK</t>
  </si>
  <si>
    <t xml:space="preserve">2405 KNOBHILL ROAD </t>
  </si>
  <si>
    <t>717-812-9777</t>
  </si>
  <si>
    <t>BROADVIEW A.L. PENSACOLA</t>
  </si>
  <si>
    <t xml:space="preserve">2310 ABBIE LANE </t>
  </si>
  <si>
    <t>PENSACOLA</t>
  </si>
  <si>
    <t>850-505-0111</t>
  </si>
  <si>
    <t>BROADMORE A.L. LAKEMONT FARMS</t>
  </si>
  <si>
    <t xml:space="preserve">3275 WASHINGTON PIKE </t>
  </si>
  <si>
    <t>BRIDGEVILLE</t>
  </si>
  <si>
    <t>412-221-0202</t>
  </si>
  <si>
    <t>BROADMORE A.L. JOHNSON CITY</t>
  </si>
  <si>
    <t xml:space="preserve">406 E MOUNTAIN VIEW ROAD </t>
  </si>
  <si>
    <t>JOHNSON CITY</t>
  </si>
  <si>
    <t>423-282-0300</t>
  </si>
  <si>
    <t>BROADMORE A.L. HAGERSTOWN</t>
  </si>
  <si>
    <t xml:space="preserve">1175 PROFESSIONAL COURT </t>
  </si>
  <si>
    <t>HAGERSTOWN</t>
  </si>
  <si>
    <t>301-766-0066</t>
  </si>
  <si>
    <t>BROADMORE A.L. BRISTOL</t>
  </si>
  <si>
    <t xml:space="preserve">826 MEADOWVIEW ROAD </t>
  </si>
  <si>
    <t>423-764-4622</t>
  </si>
  <si>
    <t>Springhill Suites Baltimore Downtown Convention Center</t>
  </si>
  <si>
    <t xml:space="preserve">400 West Fayette Street </t>
  </si>
  <si>
    <t>Jason Davis</t>
  </si>
  <si>
    <t>Kam Sang Company</t>
  </si>
  <si>
    <t>Residence Inn La Mirada Buena Park</t>
  </si>
  <si>
    <t xml:space="preserve">14419 Firestone Boulevard </t>
  </si>
  <si>
    <t>La Mirada</t>
  </si>
  <si>
    <t>Kris Denina</t>
  </si>
  <si>
    <t>+ (714) 523-2800</t>
  </si>
  <si>
    <t>Holiday Inn Guelph Hotel &amp; Conference Ctr</t>
  </si>
  <si>
    <t xml:space="preserve">601 Scottsdale Road </t>
  </si>
  <si>
    <t>Guelph</t>
  </si>
  <si>
    <t>N1G 3E7</t>
  </si>
  <si>
    <t>+1 (519) 836-0231</t>
  </si>
  <si>
    <t>Brisas del Mar Inn at the Beach</t>
  </si>
  <si>
    <t xml:space="preserve">223 Castillo St </t>
  </si>
  <si>
    <t>Hilton Lake Las Vegas Resort and Spa</t>
  </si>
  <si>
    <t xml:space="preserve">1610 Lake Las Vegas Pkwy </t>
  </si>
  <si>
    <t>Bob Jensch</t>
  </si>
  <si>
    <t>+1 (702) 567-4700</t>
  </si>
  <si>
    <t>Embassy Suites by Hilton Los Angeles Glendale</t>
  </si>
  <si>
    <t xml:space="preserve">800 North Central Ave </t>
  </si>
  <si>
    <t>Jesse Hizon</t>
  </si>
  <si>
    <t>+1 (818) 550-0828</t>
  </si>
  <si>
    <t>Sheraton Garden Grove-Anaheim South Hotel</t>
  </si>
  <si>
    <t xml:space="preserve">12221 Harbor Boulevard </t>
  </si>
  <si>
    <t>Garden Grove</t>
  </si>
  <si>
    <t>Ryan Murray</t>
  </si>
  <si>
    <t>+1 (714) 703-8400</t>
  </si>
  <si>
    <t>Courtyard Los Angeles Baldwin Park</t>
  </si>
  <si>
    <t xml:space="preserve">14635 Baldwin Park Towne Center </t>
  </si>
  <si>
    <t>Baldwin Park</t>
  </si>
  <si>
    <t>Eustorgio Xique</t>
  </si>
  <si>
    <t>Henry Zamora</t>
  </si>
  <si>
    <t>+1 (626) 962-6000</t>
  </si>
  <si>
    <t>Mid-Continent Hospitality</t>
  </si>
  <si>
    <t>TownePlace Suites Houston Southeast</t>
  </si>
  <si>
    <t xml:space="preserve">9101 Gulf Freeway </t>
  </si>
  <si>
    <t>+1(713)947-0155</t>
  </si>
  <si>
    <t>Renaissance New York Flushing Hotel at Tangram</t>
  </si>
  <si>
    <t xml:space="preserve">133-42 37th Avenue </t>
  </si>
  <si>
    <t>Flushing</t>
  </si>
  <si>
    <t>Renaissance</t>
  </si>
  <si>
    <t>Courtney Boyle</t>
  </si>
  <si>
    <t>Fabio Pari D-Monriva</t>
  </si>
  <si>
    <t>Newpark Resort</t>
  </si>
  <si>
    <t xml:space="preserve">1456 Newpark Boulevard </t>
  </si>
  <si>
    <t>Chris Eggleton</t>
  </si>
  <si>
    <t>+1 (435) 200-1931</t>
  </si>
  <si>
    <t>SELECTIS/GLOBAL HEALTHCARE REIT</t>
  </si>
  <si>
    <t>GLEN EAGLE HEALTHCARE &amp; REHAB</t>
  </si>
  <si>
    <t xml:space="preserve">206 MAIN STREET EAST </t>
  </si>
  <si>
    <t>423-877-2024</t>
  </si>
  <si>
    <t>SOUTHERN HILLS REHAB CENTER</t>
  </si>
  <si>
    <t xml:space="preserve">5170 SOUTH VANDALIA </t>
  </si>
  <si>
    <t>TULSA</t>
  </si>
  <si>
    <t>918-496-3963</t>
  </si>
  <si>
    <t>EASTMAN HEALTHCARE &amp; REHAB</t>
  </si>
  <si>
    <t xml:space="preserve">556 CHESTER HWY </t>
  </si>
  <si>
    <t>EASTMAN</t>
  </si>
  <si>
    <t>478-374-4733</t>
  </si>
  <si>
    <t>Claridge LLC</t>
  </si>
  <si>
    <t>Hotel Andra</t>
  </si>
  <si>
    <t xml:space="preserve">2000 4th Avenue </t>
  </si>
  <si>
    <t>Brian Cunningham</t>
  </si>
  <si>
    <t>Lars Pedersen</t>
  </si>
  <si>
    <t>+1 (206) 448-8600</t>
  </si>
  <si>
    <t>Hampton Inn-Shawnee</t>
  </si>
  <si>
    <t xml:space="preserve">16555 Midland DR </t>
  </si>
  <si>
    <t>Shawnee</t>
  </si>
  <si>
    <t xml:space="preserve">Brett Anderson </t>
  </si>
  <si>
    <t>Stan Beers</t>
  </si>
  <si>
    <t>+ (913) 248-1900</t>
  </si>
  <si>
    <t>Jiten Hotel Management Inc.</t>
  </si>
  <si>
    <t>Fairfield Inn &amp; Suites Dallas Love Field</t>
  </si>
  <si>
    <t xml:space="preserve">10175 Technology Blvd E. </t>
  </si>
  <si>
    <t>Gaurav Patel</t>
  </si>
  <si>
    <t>+1 (972) 525-5700</t>
  </si>
  <si>
    <t>COMPASSIONATE COMMUNITY CARE HOME HEALTH</t>
  </si>
  <si>
    <t xml:space="preserve">1426 FILLMORE STREET </t>
  </si>
  <si>
    <t>415-750-4180</t>
  </si>
  <si>
    <t>VALLEY VIEW HEALTH AND REHABILITATION</t>
  </si>
  <si>
    <t xml:space="preserve">1600 EAST ROLLINS STREET </t>
  </si>
  <si>
    <t xml:space="preserve">MOBERLY </t>
  </si>
  <si>
    <t>660-263-6887</t>
  </si>
  <si>
    <t>AMERICANA SENIORS LLC</t>
  </si>
  <si>
    <t>AMERICANA SENIORS OF CLARE</t>
  </si>
  <si>
    <t xml:space="preserve">684 ANN ARBOR TRAIL </t>
  </si>
  <si>
    <t>CLARE</t>
  </si>
  <si>
    <t>989-386-7524</t>
  </si>
  <si>
    <t>Big Shots Golf - Bryan</t>
  </si>
  <si>
    <t xml:space="preserve">400 West Villa Maria </t>
  </si>
  <si>
    <t>ClubCorp BigShots</t>
  </si>
  <si>
    <t>Brian Campbell</t>
  </si>
  <si>
    <t>+1 (972) 888-6201</t>
  </si>
  <si>
    <t>Best Western Southside Hotel &amp; Suites</t>
  </si>
  <si>
    <t xml:space="preserve">4580 Collins Road </t>
  </si>
  <si>
    <t>Bobby Shook</t>
  </si>
  <si>
    <t>+()352-867-1347 x 614</t>
  </si>
  <si>
    <t>Hampton Inn &amp; Suites Wilmington Christiana</t>
  </si>
  <si>
    <t xml:space="preserve">1008 Old Churchmans Road </t>
  </si>
  <si>
    <t>David Bradley</t>
  </si>
  <si>
    <t>Robert Fisher</t>
  </si>
  <si>
    <t>+()302-654-2900</t>
  </si>
  <si>
    <t>2445291 Ontario Inc.</t>
  </si>
  <si>
    <t>Comfort Inn and Suites Shawinigan</t>
  </si>
  <si>
    <t xml:space="preserve">705 Avenue du Capitaine-Veille </t>
  </si>
  <si>
    <t>Shawinigan</t>
  </si>
  <si>
    <t>G9P 5J6</t>
  </si>
  <si>
    <t>Sagal Ubhi</t>
  </si>
  <si>
    <t>Vaneet Talwar</t>
  </si>
  <si>
    <t>(819) 536-2000</t>
  </si>
  <si>
    <t>JSK Development Inc.</t>
  </si>
  <si>
    <t>Residence Inn Hammond</t>
  </si>
  <si>
    <t xml:space="preserve">7740 Corinne Drive </t>
  </si>
  <si>
    <t>Hammond</t>
  </si>
  <si>
    <t>Brittany Stubbs</t>
  </si>
  <si>
    <t>+ (219) 844-8440</t>
  </si>
  <si>
    <t>Courtyard Chicago SE Hammond</t>
  </si>
  <si>
    <t>7730 Corinne Drive I-94 &amp; Kennedy Avenue</t>
  </si>
  <si>
    <t>Julie Crafton</t>
  </si>
  <si>
    <t>+ (219) 845-6350</t>
  </si>
  <si>
    <t>PROVIDENCE OF SPARTA HEALTH AND REHABILITATION</t>
  </si>
  <si>
    <t xml:space="preserve">60 PROVIDENCE STREET </t>
  </si>
  <si>
    <t>SPARTA</t>
  </si>
  <si>
    <t>706-444-5166</t>
  </si>
  <si>
    <t>WARRENTON HEALTH &amp; REHAB CENTER</t>
  </si>
  <si>
    <t xml:space="preserve">813 ATLANTA HIGHWAY </t>
  </si>
  <si>
    <t>706-465-3328</t>
  </si>
  <si>
    <t>ONEIDA NURSING &amp; REHAB CENTER</t>
  </si>
  <si>
    <t xml:space="preserve">18805 ALBERTA STREET </t>
  </si>
  <si>
    <t>ONEIDA</t>
  </si>
  <si>
    <t>423-569-8382</t>
  </si>
  <si>
    <t>OREGON HEALTHCARE AND REHAB CENTER</t>
  </si>
  <si>
    <t xml:space="preserve">354 NORTH MAIN STREET </t>
  </si>
  <si>
    <t>OREGON</t>
  </si>
  <si>
    <t>PREMA FINANCIAL SERVICES</t>
  </si>
  <si>
    <t xml:space="preserve">456 SOUTH CREST ROAD </t>
  </si>
  <si>
    <t xml:space="preserve">37445 CLINTON AVENUE </t>
  </si>
  <si>
    <t>DADE CITY</t>
  </si>
  <si>
    <t>HARBOR COURT</t>
  </si>
  <si>
    <t xml:space="preserve">9115 FORTUNA DRIVE </t>
  </si>
  <si>
    <t>MERCER ISLAND</t>
  </si>
  <si>
    <t>COVENANT SHORES HEALTH CENTER</t>
  </si>
  <si>
    <t xml:space="preserve">9107 FORTUNA DRIVE </t>
  </si>
  <si>
    <t>AXELSON MANOR</t>
  </si>
  <si>
    <t xml:space="preserve">2195 FOXGLOVE DRIVE </t>
  </si>
  <si>
    <t>NORTHBROOK</t>
  </si>
  <si>
    <t>BRANDEL CARE CENTER</t>
  </si>
  <si>
    <t xml:space="preserve">21255 PFINGSTEN ROAD </t>
  </si>
  <si>
    <t>TORREY JOHNSON HEALTH CARE CENTER SNF</t>
  </si>
  <si>
    <t xml:space="preserve">110 WINDSOR PARK DRIVE </t>
  </si>
  <si>
    <t>PALM VILLA</t>
  </si>
  <si>
    <t xml:space="preserve">9211 WEST BROWARD BLVD </t>
  </si>
  <si>
    <t>PLANTATION</t>
  </si>
  <si>
    <t>PINEVIEW</t>
  </si>
  <si>
    <t xml:space="preserve">53 MISSIONARY ROAD </t>
  </si>
  <si>
    <t>CROMWELL</t>
  </si>
  <si>
    <t>VILLAGE CARE AND REHABILITATION CENTER</t>
  </si>
  <si>
    <t xml:space="preserve">9221 WADSWORTH PARKWAY </t>
  </si>
  <si>
    <t>WESTMINISTER</t>
  </si>
  <si>
    <t>Holiday Inn Calgary-Macleod Trail South</t>
  </si>
  <si>
    <t xml:space="preserve">4206 Macleod Trail South </t>
  </si>
  <si>
    <t>Calgary</t>
  </si>
  <si>
    <t>T2G 2R7</t>
  </si>
  <si>
    <t>Rick Dickison</t>
  </si>
  <si>
    <t>+1 (403) 287-2700</t>
  </si>
  <si>
    <t>My Place Hotel Cheyenne</t>
  </si>
  <si>
    <t xml:space="preserve">1920 W Lincolnway </t>
  </si>
  <si>
    <t>Cheyenne</t>
  </si>
  <si>
    <t>Kim Mills</t>
  </si>
  <si>
    <t>Tasha Kozeal</t>
  </si>
  <si>
    <t>+1 (307) 634-1400</t>
  </si>
  <si>
    <t>Opal Hotels Group II LLC</t>
  </si>
  <si>
    <t>Holiday Inn Santee</t>
  </si>
  <si>
    <t xml:space="preserve">139 Bradford Boulevard </t>
  </si>
  <si>
    <t>Santee</t>
  </si>
  <si>
    <t>Robin VanSickle</t>
  </si>
  <si>
    <t>Kendal Furlong</t>
  </si>
  <si>
    <t>+1 (803) 854-9800</t>
  </si>
  <si>
    <t>My Place Hotel Missoula</t>
  </si>
  <si>
    <t xml:space="preserve">2951 Expo Pkwy </t>
  </si>
  <si>
    <t>Missoula</t>
  </si>
  <si>
    <t>Ana May</t>
  </si>
  <si>
    <t>+1 (406) 926-1001</t>
  </si>
  <si>
    <t>My Place Hotel Carson City</t>
  </si>
  <si>
    <t xml:space="preserve">17 Hospitality Way </t>
  </si>
  <si>
    <t>Carson City</t>
  </si>
  <si>
    <t>Diana Khalil</t>
  </si>
  <si>
    <t>+1 (775) 885-2900</t>
  </si>
  <si>
    <t>Hampton Inn &amp; Suites Parker</t>
  </si>
  <si>
    <t xml:space="preserve">19010 East Cottonwood Drive </t>
  </si>
  <si>
    <t>Parker</t>
  </si>
  <si>
    <t>Ryan Foltz</t>
  </si>
  <si>
    <t xml:space="preserve">Kylie Minish </t>
  </si>
  <si>
    <t>+1 (303) 841-2977</t>
  </si>
  <si>
    <t>Irish Cottage Inn &amp; Suites</t>
  </si>
  <si>
    <t xml:space="preserve">9853 US Hwy 20 </t>
  </si>
  <si>
    <t>Galena</t>
  </si>
  <si>
    <t>Krystle Hewitt</t>
  </si>
  <si>
    <t>+1 (815) 7760-0707</t>
  </si>
  <si>
    <t>Holiday Inn Express Los Alamos Entrada Park</t>
  </si>
  <si>
    <t xml:space="preserve">60 Entrada Drive </t>
  </si>
  <si>
    <t>Los Alamos</t>
  </si>
  <si>
    <t>Manny Martinez</t>
  </si>
  <si>
    <t>+ 1 (505) 661-2646</t>
  </si>
  <si>
    <t>Holiday Inn Boca Raton</t>
  </si>
  <si>
    <t xml:space="preserve">701 NW 53rd Street </t>
  </si>
  <si>
    <t>Jessica Kelley</t>
  </si>
  <si>
    <t>+1 (561) 997-9500</t>
  </si>
  <si>
    <t>Hampton Inn Princeton Inn</t>
  </si>
  <si>
    <t xml:space="preserve">107 S RICHLAND CREEK DR </t>
  </si>
  <si>
    <t>Kate Goedde</t>
  </si>
  <si>
    <t xml:space="preserve">Teresa Renault </t>
  </si>
  <si>
    <t>+ (812) 385-2400</t>
  </si>
  <si>
    <t>Courtyard Rock Hill</t>
  </si>
  <si>
    <t xml:space="preserve">1300 River Run Court </t>
  </si>
  <si>
    <t>Rock Hill</t>
  </si>
  <si>
    <t>Tammy Roof</t>
  </si>
  <si>
    <t>Dominique Jeter</t>
  </si>
  <si>
    <t>+ (803) 324-1400</t>
  </si>
  <si>
    <t>Courtyard Edina Bloomington</t>
  </si>
  <si>
    <t xml:space="preserve">4460 West 78th Street Circle </t>
  </si>
  <si>
    <t>Brad Carroll</t>
  </si>
  <si>
    <t>+1 (952) 222-1550</t>
  </si>
  <si>
    <t>Alta Crystal Resort</t>
  </si>
  <si>
    <t xml:space="preserve">68317 SR 410 East </t>
  </si>
  <si>
    <t>Enumclaw</t>
  </si>
  <si>
    <t>Darren Holden</t>
  </si>
  <si>
    <t>+()646-372-3536</t>
  </si>
  <si>
    <t>NewcrestImage Management LLC</t>
  </si>
  <si>
    <t>American Bank of Dallas</t>
  </si>
  <si>
    <t xml:space="preserve">2707 W Northwest Hwy </t>
  </si>
  <si>
    <t>Janna Aquirre</t>
  </si>
  <si>
    <t>+()214-358-3111</t>
  </si>
  <si>
    <t>Carteret Dining LLC</t>
  </si>
  <si>
    <t>Julians Restaurant</t>
  </si>
  <si>
    <t xml:space="preserve">1000 Roosevelt Avenue </t>
  </si>
  <si>
    <t>Carteret</t>
  </si>
  <si>
    <t>John Markowitz</t>
  </si>
  <si>
    <t>+1(732)541-9500</t>
  </si>
  <si>
    <t>LaQuinta Inn &amp; Suites Bardstown</t>
  </si>
  <si>
    <t xml:space="preserve">3305 East John Rowan Blvd. </t>
  </si>
  <si>
    <t>Bardstown</t>
  </si>
  <si>
    <t xml:space="preserve">Alan Martin </t>
  </si>
  <si>
    <t>Eugene Singleton</t>
  </si>
  <si>
    <t>+()865-539-0588</t>
  </si>
  <si>
    <t>EVEN Hotel Manchester</t>
  </si>
  <si>
    <t xml:space="preserve">55 John E Devine Drive </t>
  </si>
  <si>
    <t>Manchester</t>
  </si>
  <si>
    <t>Krishna Pathak</t>
  </si>
  <si>
    <t>+()585-451-5941</t>
  </si>
  <si>
    <t>Summit Country Club LLC</t>
  </si>
  <si>
    <t>The Summit Club at Armonk</t>
  </si>
  <si>
    <t xml:space="preserve">568 Bedford Road </t>
  </si>
  <si>
    <t>Armonk</t>
  </si>
  <si>
    <t>Rakesh Sarkar</t>
  </si>
  <si>
    <t>Lemia Marinelli</t>
  </si>
  <si>
    <t>+ (914) 273-9300</t>
  </si>
  <si>
    <t>Wingate By Wyndham Charlotte Airport I-85/I-485</t>
  </si>
  <si>
    <t xml:space="preserve">4238 Business Center Drive </t>
  </si>
  <si>
    <t>Phillip Koshak</t>
  </si>
  <si>
    <t>+1 (704) 395-3600</t>
  </si>
  <si>
    <t>Holiday Inn Express Burlington</t>
  </si>
  <si>
    <t xml:space="preserve">2701 Longpine Road </t>
  </si>
  <si>
    <t>Timothy Horne</t>
  </si>
  <si>
    <t>+1 (336) 584-4447</t>
  </si>
  <si>
    <t>Fairfield Inn &amp; Suites Montgomery- EastChase Parkway</t>
  </si>
  <si>
    <t xml:space="preserve">8970 Eastchase Parkway </t>
  </si>
  <si>
    <t>Montgomery</t>
  </si>
  <si>
    <t>Braylon Hyde</t>
  </si>
  <si>
    <t xml:space="preserve">+ (334) 260-8650 </t>
  </si>
  <si>
    <t>Courtyard Rockaway - Mt. Arlington</t>
  </si>
  <si>
    <t xml:space="preserve">15 Howard Boulevard </t>
  </si>
  <si>
    <t>Mount Arlington</t>
  </si>
  <si>
    <t>Joshua Levin</t>
  </si>
  <si>
    <t>+1 (973) 770-2000</t>
  </si>
  <si>
    <t>Country Inn &amp; Suites by Radisson Raleigh-Durham Airport NC</t>
  </si>
  <si>
    <t xml:space="preserve">201 Airgate Drive </t>
  </si>
  <si>
    <t>Adonis Gray</t>
  </si>
  <si>
    <t>+1 (919) 544-1010</t>
  </si>
  <si>
    <t>Riverton Pointe Golf &amp; Country Club</t>
  </si>
  <si>
    <t xml:space="preserve">68 Hampton Pointe Blvd </t>
  </si>
  <si>
    <t>Hardeeville</t>
  </si>
  <si>
    <t>Gary Otto</t>
  </si>
  <si>
    <t>+()843-645-5556</t>
  </si>
  <si>
    <t>Stonebridge Companies LLC</t>
  </si>
  <si>
    <t>The Slate Hotel by Hilton Denver</t>
  </si>
  <si>
    <t xml:space="preserve">1250 Welton Street </t>
  </si>
  <si>
    <t>Kirby Kliner</t>
  </si>
  <si>
    <t>Hannah Miles</t>
  </si>
  <si>
    <t>+()303-785-3100</t>
  </si>
  <si>
    <t>Fairfield Inn &amp; Suites Rome</t>
  </si>
  <si>
    <t xml:space="preserve">90 Matchpoint Way NE </t>
  </si>
  <si>
    <t>Rome</t>
  </si>
  <si>
    <t>Chris McGee</t>
  </si>
  <si>
    <t>+()706-766-6268</t>
  </si>
  <si>
    <t>Fairfield Inn &amp; Suites Cincinnati North-West Chester</t>
  </si>
  <si>
    <t xml:space="preserve">9241 Floer Drive </t>
  </si>
  <si>
    <t>East West Resorts LLC dba East West Hospitality</t>
  </si>
  <si>
    <t>The Charter</t>
  </si>
  <si>
    <t xml:space="preserve">120 Offerson Rd </t>
  </si>
  <si>
    <t>Beaver Creek</t>
  </si>
  <si>
    <t>Ryan MacLachlan</t>
  </si>
  <si>
    <t>Kat Paula</t>
  </si>
  <si>
    <t>+1 (970) 949-6660</t>
  </si>
  <si>
    <t>PINE CREEK RETREAT CENTER</t>
  </si>
  <si>
    <t xml:space="preserve">1794 BACK CREEK ROAD </t>
  </si>
  <si>
    <t>GORE</t>
  </si>
  <si>
    <t>540-858-2842</t>
  </si>
  <si>
    <t>HABITAT FOR HUMANITY FOR GEORGETOWN COUNTY SC</t>
  </si>
  <si>
    <t xml:space="preserve">1907 HAMPTON COURT </t>
  </si>
  <si>
    <t>843-546-5685</t>
  </si>
  <si>
    <t>HERITAGE HEIGHTS</t>
  </si>
  <si>
    <t xml:space="preserve">505 EAST HIGHLAND AVENUE </t>
  </si>
  <si>
    <t>CHELAN</t>
  </si>
  <si>
    <t>509-682-1998</t>
  </si>
  <si>
    <t>ELLISON INDEPENDENT LIVING AT WILLOWBROOK</t>
  </si>
  <si>
    <t xml:space="preserve">7575 WILLOW CHASE BLVD </t>
  </si>
  <si>
    <t>281-588-0800</t>
  </si>
  <si>
    <t>ENVIVE HEALTHCARE OF ANDERSON</t>
  </si>
  <si>
    <t xml:space="preserve">1821 LINDBERG ROAD </t>
  </si>
  <si>
    <t>765-649-2532</t>
  </si>
  <si>
    <t>ENVIVE HEALTHCARE OF BERNE</t>
  </si>
  <si>
    <t xml:space="preserve">1065 PARKWAY STREET </t>
  </si>
  <si>
    <t>BERNE</t>
  </si>
  <si>
    <t>260-589-2127</t>
  </si>
  <si>
    <t>ENVIVE HEALTHCARE OF INDIANAPOLIS</t>
  </si>
  <si>
    <t xml:space="preserve">45 BEACHWAY DRIVE </t>
  </si>
  <si>
    <t>INDIANAPOLIS</t>
  </si>
  <si>
    <t>317-243-3721</t>
  </si>
  <si>
    <t>ENVIVE HEALTHCARE OF HUNTINGTON</t>
  </si>
  <si>
    <t xml:space="preserve">850 ASH STREET </t>
  </si>
  <si>
    <t>260-358-0047</t>
  </si>
  <si>
    <t>ENVIVE HEALTHCARE OF LAWRENCEBURG</t>
  </si>
  <si>
    <t xml:space="preserve">403 BIELBY ROAD </t>
  </si>
  <si>
    <t>LAWERENCEBURG</t>
  </si>
  <si>
    <t>812-537-1132</t>
  </si>
  <si>
    <t>COEUR D ALENE HOMES</t>
  </si>
  <si>
    <t>PALM BAY MEMORY CARE</t>
  </si>
  <si>
    <t xml:space="preserve">350 MALABAR ROAD SW </t>
  </si>
  <si>
    <t>PALM BAY</t>
  </si>
  <si>
    <t>321-574-6290</t>
  </si>
  <si>
    <t>DUNDEE SENIOR CITIZEN CENTER</t>
  </si>
  <si>
    <t xml:space="preserve">284 WEST MONROE STREET </t>
  </si>
  <si>
    <t>DUNDEEE</t>
  </si>
  <si>
    <t>734-529-2401</t>
  </si>
  <si>
    <t>LAWRENCE COUNTY JAIL</t>
  </si>
  <si>
    <t xml:space="preserve">1420 I STREET </t>
  </si>
  <si>
    <t>BEDFORD</t>
  </si>
  <si>
    <t>HPSI:INCARCERATION FACILITY</t>
  </si>
  <si>
    <t>812-275-3316</t>
  </si>
  <si>
    <t>WASHINGTON COUNTY JAIL</t>
  </si>
  <si>
    <t xml:space="preserve">801 SOUTH JACKSON STREET </t>
  </si>
  <si>
    <t>SALEM</t>
  </si>
  <si>
    <t>812-883-5999</t>
  </si>
  <si>
    <t>RUSH COUNTY JAIL</t>
  </si>
  <si>
    <t xml:space="preserve">131 EAST FIRST STREET </t>
  </si>
  <si>
    <t>RUSHVILLE</t>
  </si>
  <si>
    <t>765-932-2931</t>
  </si>
  <si>
    <t>HARRISON COUNTY JAIL</t>
  </si>
  <si>
    <t xml:space="preserve">1445 GARDENER LANE NW </t>
  </si>
  <si>
    <t>CORYDON</t>
  </si>
  <si>
    <t>812-738-2195</t>
  </si>
  <si>
    <t>JOHNSON COUNTY JUVENILE DETENTION CENTER</t>
  </si>
  <si>
    <t xml:space="preserve">1121 HOSPITAL ROAD </t>
  </si>
  <si>
    <t>317-346-4772</t>
  </si>
  <si>
    <t>JOHNSON COUNTY JAIL</t>
  </si>
  <si>
    <t xml:space="preserve">1091 HOSPITAL ROAD </t>
  </si>
  <si>
    <t>317-736-9155</t>
  </si>
  <si>
    <t>FOSTER SENIOR LIVING</t>
  </si>
  <si>
    <t>WINDSOR MANOR</t>
  </si>
  <si>
    <t xml:space="preserve">608 SOUTH 15TH STREET </t>
  </si>
  <si>
    <t>INDIANOLA</t>
  </si>
  <si>
    <t>515-961-8900</t>
  </si>
  <si>
    <t xml:space="preserve">1401 WALL STREET </t>
  </si>
  <si>
    <t>WEBSTER CITY</t>
  </si>
  <si>
    <t>515-832-1188</t>
  </si>
  <si>
    <t xml:space="preserve">601 HARRISON </t>
  </si>
  <si>
    <t>712-246-2194</t>
  </si>
  <si>
    <t xml:space="preserve">1807 WEST 5TH STREET </t>
  </si>
  <si>
    <t>VINTON</t>
  </si>
  <si>
    <t>319-472-2060</t>
  </si>
  <si>
    <t xml:space="preserve">403 SCENIC STREET </t>
  </si>
  <si>
    <t>MORRISON</t>
  </si>
  <si>
    <t>815-772-4301</t>
  </si>
  <si>
    <t xml:space="preserve">229 PEARL STREET </t>
  </si>
  <si>
    <t>GRINELL</t>
  </si>
  <si>
    <t>641-236-8700</t>
  </si>
  <si>
    <t xml:space="preserve">1642 G AVENUE </t>
  </si>
  <si>
    <t>515-382-2980</t>
  </si>
  <si>
    <t xml:space="preserve">512 FINN DRIVE </t>
  </si>
  <si>
    <t>ALGONA</t>
  </si>
  <si>
    <t>515-395-1512</t>
  </si>
  <si>
    <t xml:space="preserve">2015 3RD AVENUE NORTH </t>
  </si>
  <si>
    <t>712-362-0171</t>
  </si>
  <si>
    <t>KINSHIP POINTE</t>
  </si>
  <si>
    <t xml:space="preserve">1500 VINTAGE HILL DRIVE </t>
  </si>
  <si>
    <t>402-375-1500</t>
  </si>
  <si>
    <t xml:space="preserve">500 HEARTLAND PARK DRIVE </t>
  </si>
  <si>
    <t>SEWARD</t>
  </si>
  <si>
    <t>402-643-6500</t>
  </si>
  <si>
    <t xml:space="preserve">1500 EAST 11TH STREET </t>
  </si>
  <si>
    <t>MCCOK</t>
  </si>
  <si>
    <t>308-345-2100</t>
  </si>
  <si>
    <t xml:space="preserve">5410 17TH AVENUE </t>
  </si>
  <si>
    <t>KEARNEY</t>
  </si>
  <si>
    <t>308-698-5410</t>
  </si>
  <si>
    <t>THE PIPER</t>
  </si>
  <si>
    <t xml:space="preserve">2300 NORTH 113TH TERRACE </t>
  </si>
  <si>
    <t>KANSAS CITY</t>
  </si>
  <si>
    <t>913-400-7006</t>
  </si>
  <si>
    <t>HEARTHSIDE SENIOR LIVING</t>
  </si>
  <si>
    <t xml:space="preserve">7480 US HWY 70 </t>
  </si>
  <si>
    <t>BARTLET</t>
  </si>
  <si>
    <t>901-459-3853</t>
  </si>
  <si>
    <t xml:space="preserve">601 WOLF RIVER BLVD </t>
  </si>
  <si>
    <t>COLLIERVILLE</t>
  </si>
  <si>
    <t>901-854-6590</t>
  </si>
  <si>
    <t>SPRINGHOUSE VILLAGE</t>
  </si>
  <si>
    <t xml:space="preserve">3863 EAST FARM ROAD 132 </t>
  </si>
  <si>
    <t>417-708-3403</t>
  </si>
  <si>
    <t>THE BEACH HOUSE</t>
  </si>
  <si>
    <t xml:space="preserve">1315 2ND AVENUE NORTH </t>
  </si>
  <si>
    <t>904-829-6479</t>
  </si>
  <si>
    <t>THE GABLES ON PELHAM</t>
  </si>
  <si>
    <t xml:space="preserve">1306 PELHAM ROAD </t>
  </si>
  <si>
    <t>864-286-6600</t>
  </si>
  <si>
    <t xml:space="preserve">1240 EAST INDEPENDENCE #200 </t>
  </si>
  <si>
    <t>417-877-1717</t>
  </si>
  <si>
    <t>DISCOVERY BEHAVIORAL HEALTH-210-CM HARVESTER</t>
  </si>
  <si>
    <t xml:space="preserve">29528 HARVESTER ROAD </t>
  </si>
  <si>
    <t>CENTER FOR DISCOVERY-MESA</t>
  </si>
  <si>
    <t xml:space="preserve">1132 SOUTH OAKLAND </t>
  </si>
  <si>
    <t>CONNECTED PATHWAYS</t>
  </si>
  <si>
    <t>CONNECTED PATHWAYS EASTON</t>
  </si>
  <si>
    <t xml:space="preserve">4242 STELZER ROAD </t>
  </si>
  <si>
    <t>614-414-7988</t>
  </si>
  <si>
    <t>CAIN-CHURCHES ACTIVE IN NORTHSIDE</t>
  </si>
  <si>
    <t xml:space="preserve">4230 HAMILTON AVENUE </t>
  </si>
  <si>
    <t>513-591-2246</t>
  </si>
  <si>
    <t>HERON HOUSE OF LARGO</t>
  </si>
  <si>
    <t xml:space="preserve">2050 EAST BAY DRIVE </t>
  </si>
  <si>
    <t>New River Hotels Inc.</t>
  </si>
  <si>
    <t>Fairfield Inn Jacksonville</t>
  </si>
  <si>
    <t xml:space="preserve">121 Circuit Lane </t>
  </si>
  <si>
    <t>Jackie Pichirilo</t>
  </si>
  <si>
    <t>Shelley Plaster</t>
  </si>
  <si>
    <t>+ (910) 938-4499</t>
  </si>
  <si>
    <t>Ascent Hospitality LLC</t>
  </si>
  <si>
    <t>Fairfield Inn &amp; Suites Dalton</t>
  </si>
  <si>
    <t xml:space="preserve">786 College Drive </t>
  </si>
  <si>
    <t>Dalton</t>
  </si>
  <si>
    <t>Mitchell Jenkins</t>
  </si>
  <si>
    <t>+(706)529-4634</t>
  </si>
  <si>
    <t>Imagine Hospitality Management Inc.</t>
  </si>
  <si>
    <t>Fairfield Inn &amp; Suites Knoxville Clinton</t>
  </si>
  <si>
    <t xml:space="preserve">2317 North Charles G Seviers Boulevard </t>
  </si>
  <si>
    <t>Clinton</t>
  </si>
  <si>
    <t>Alan Martin</t>
  </si>
  <si>
    <t>Andy Hime</t>
  </si>
  <si>
    <t>+1 (865) 539-0588</t>
  </si>
  <si>
    <t>PLAZA AT HALLANDALE BEACH</t>
  </si>
  <si>
    <t xml:space="preserve">3553 SW 52ND AVE </t>
  </si>
  <si>
    <t>PEMBROKE PARK</t>
  </si>
  <si>
    <t>954-964-2871</t>
  </si>
  <si>
    <t>EMERALD PARK RETIREMENT CENTER</t>
  </si>
  <si>
    <t xml:space="preserve">5770 STIRLING ROAD </t>
  </si>
  <si>
    <t>HOLLYWOOD</t>
  </si>
  <si>
    <t>954-987-3528</t>
  </si>
  <si>
    <t>Baywood Conference &amp; Lodging Center</t>
  </si>
  <si>
    <t xml:space="preserve">1442 Coraopolis Heights Road </t>
  </si>
  <si>
    <t>Moon Township</t>
  </si>
  <si>
    <t>+(219)405-1423</t>
  </si>
  <si>
    <t>Holiday Inn Express &amp; Suites West Chester</t>
  </si>
  <si>
    <t xml:space="preserve">1310 Wilmington Pike </t>
  </si>
  <si>
    <t>Elizabeth Besso</t>
  </si>
  <si>
    <t>+()610-399-4600</t>
  </si>
  <si>
    <t>Accor</t>
  </si>
  <si>
    <t>Hyde Hotel Midtown</t>
  </si>
  <si>
    <t xml:space="preserve">101 NE 34th Street </t>
  </si>
  <si>
    <t>Hyde</t>
  </si>
  <si>
    <t>Pierre-Alex Maillard</t>
  </si>
  <si>
    <t>+1 (786) 899-5300</t>
  </si>
  <si>
    <t>SLS Brickell</t>
  </si>
  <si>
    <t xml:space="preserve">1300 South Miami Avenue </t>
  </si>
  <si>
    <t>SLS</t>
  </si>
  <si>
    <t>Said Haykal</t>
  </si>
  <si>
    <t>+1 (305) 239-1300</t>
  </si>
  <si>
    <t>Hilton Garden Inn Missoula</t>
  </si>
  <si>
    <t xml:space="preserve">3720 North Reserve Street </t>
  </si>
  <si>
    <t>Todd Liphardt</t>
  </si>
  <si>
    <t>Tanya Vincent</t>
  </si>
  <si>
    <t>+1 (406) 532-5300</t>
  </si>
  <si>
    <t>Intercoastal Hotels LLC dba Lexima</t>
  </si>
  <si>
    <t>Hyatt Place Atlanta Duluth - John's Creek</t>
  </si>
  <si>
    <t xml:space="preserve">11505 Medlock Bridge RD </t>
  </si>
  <si>
    <t>Bobbie Manns</t>
  </si>
  <si>
    <t>Tarold Slaughter</t>
  </si>
  <si>
    <t>+ (770) 622-5858</t>
  </si>
  <si>
    <t>Hyatt Place Rogers Bentonville</t>
  </si>
  <si>
    <t xml:space="preserve">4610 West Walnut Street </t>
  </si>
  <si>
    <t>Rogers</t>
  </si>
  <si>
    <t>Molly Kross-Vinson</t>
  </si>
  <si>
    <t>Derek Sumpter</t>
  </si>
  <si>
    <t>+1 (479) 633-8555</t>
  </si>
  <si>
    <t>Hyatt Place Fort Lauderdale Plantation</t>
  </si>
  <si>
    <t xml:space="preserve">8530 West Broward Boulevard </t>
  </si>
  <si>
    <t>Plantation</t>
  </si>
  <si>
    <t>Raymond Seah</t>
  </si>
  <si>
    <t>Noelle Peterkin</t>
  </si>
  <si>
    <t>+ (954) 370-2220</t>
  </si>
  <si>
    <t>Truss Hospitality Development and Management</t>
  </si>
  <si>
    <t>Holiday Inn Express &amp; Suites Ann Arbor</t>
  </si>
  <si>
    <t xml:space="preserve">323 North Zeeb Road </t>
  </si>
  <si>
    <t>Tausha Vargas</t>
  </si>
  <si>
    <t>+(1) 586-484-4700</t>
  </si>
  <si>
    <t>Piaule Catskill</t>
  </si>
  <si>
    <t xml:space="preserve">333 Mossy Hill Road </t>
  </si>
  <si>
    <t>Catskill</t>
  </si>
  <si>
    <t>Vincent Walton</t>
  </si>
  <si>
    <t>+1 (303) 886-6719</t>
  </si>
  <si>
    <t xml:space="preserve">Driftwood Hospitality Management </t>
  </si>
  <si>
    <t>Courtyard Orlando Lake Mary North</t>
  </si>
  <si>
    <t xml:space="preserve">135 International Parkway </t>
  </si>
  <si>
    <t>Adriana Londono</t>
  </si>
  <si>
    <t>+1 (407) 444.1000</t>
  </si>
  <si>
    <t>SpringHill Suites Orlando- Sanford</t>
  </si>
  <si>
    <t xml:space="preserve">201 North Towne Road </t>
  </si>
  <si>
    <t>Sanford</t>
  </si>
  <si>
    <t>Kristen Oswald</t>
  </si>
  <si>
    <t>+ (407) 995-1000</t>
  </si>
  <si>
    <t>CLINTON PLACE</t>
  </si>
  <si>
    <t xml:space="preserve">106 PADGETT DRIVE </t>
  </si>
  <si>
    <t>270-653-5558</t>
  </si>
  <si>
    <t>Comfort Inn and Suites Tallahassee</t>
  </si>
  <si>
    <t xml:space="preserve">1978 Village Green Way </t>
  </si>
  <si>
    <t>King Veira</t>
  </si>
  <si>
    <t>+1 (850) 671-2020</t>
  </si>
  <si>
    <t>Delta Hotels Chicago Northbrook</t>
  </si>
  <si>
    <t xml:space="preserve">2875 North Milwaukee Avenue </t>
  </si>
  <si>
    <t>Delta Hotels &amp; Resorts</t>
  </si>
  <si>
    <t>Jason Hager</t>
  </si>
  <si>
    <t>Jim Anderson</t>
  </si>
  <si>
    <t>+1 (847) 298-2525</t>
  </si>
  <si>
    <t>Hampton Inn Seneca Falls</t>
  </si>
  <si>
    <t xml:space="preserve">1950 Balsley Road Seneca Falls </t>
  </si>
  <si>
    <t>Seneca Falls</t>
  </si>
  <si>
    <t>Roseann Kuti</t>
  </si>
  <si>
    <t>+1 (315) 539-3939</t>
  </si>
  <si>
    <t>AHC Hospitality</t>
  </si>
  <si>
    <t>Hotel St. Regis Detroit</t>
  </si>
  <si>
    <t xml:space="preserve">3071 West Grand Boulevard </t>
  </si>
  <si>
    <t>DETROIT</t>
  </si>
  <si>
    <t>Oz Sheikh</t>
  </si>
  <si>
    <t>Lilly Zdyber</t>
  </si>
  <si>
    <t>+1 (313) 873-3000</t>
  </si>
  <si>
    <t xml:space="preserve">Forbes Hamilton Management </t>
  </si>
  <si>
    <t>Days Inn by Wyndham Hays</t>
  </si>
  <si>
    <t xml:space="preserve">3205 Vine Street </t>
  </si>
  <si>
    <t>Elinda Mages</t>
  </si>
  <si>
    <t>+()7856288261</t>
  </si>
  <si>
    <t>Suncadia Resort</t>
  </si>
  <si>
    <t xml:space="preserve">3600 Suncadia Trail </t>
  </si>
  <si>
    <t>Cle Elum</t>
  </si>
  <si>
    <t>Noni Hughes</t>
  </si>
  <si>
    <t>Shannon Anderson</t>
  </si>
  <si>
    <t>+1 (509) 649-6400</t>
  </si>
  <si>
    <t>Sofitel Legend Hotel Casco Viejo Panamá</t>
  </si>
  <si>
    <t xml:space="preserve">Calle Primera Oeste Edificio Antiguo Club Unión </t>
  </si>
  <si>
    <t>San Felipe Casco Viejo</t>
  </si>
  <si>
    <t>PN</t>
  </si>
  <si>
    <t>Sofitel Legend</t>
  </si>
  <si>
    <t>David Kianni</t>
  </si>
  <si>
    <t>+()0000000000</t>
  </si>
  <si>
    <t>Horizon Hospitality Management Inc</t>
  </si>
  <si>
    <t>SpringHill Suites Atlanta Alpharetta Roswell</t>
  </si>
  <si>
    <t xml:space="preserve">1360 Old Roswell Road </t>
  </si>
  <si>
    <t>Doreen Diaz</t>
  </si>
  <si>
    <t>Jennifer Lineberry</t>
  </si>
  <si>
    <t>+1(678)325-7931</t>
  </si>
  <si>
    <t>Gurkirpa Investment LLC</t>
  </si>
  <si>
    <t>Best Western Plus Arrowhead Hotel</t>
  </si>
  <si>
    <t xml:space="preserve">250 North 9th Street </t>
  </si>
  <si>
    <t>Colton</t>
  </si>
  <si>
    <t>Barry Singh</t>
  </si>
  <si>
    <t>+1 (909) 370-2424</t>
  </si>
  <si>
    <t>Wing Basket - Harrisburg</t>
  </si>
  <si>
    <t xml:space="preserve">3911 Union Deposit </t>
  </si>
  <si>
    <t>Harrisburg</t>
  </si>
  <si>
    <t>Jeff Dessler</t>
  </si>
  <si>
    <t>+()717-561-9464</t>
  </si>
  <si>
    <t>INMAR LLC D/B/A MARIN CONVALESCENT</t>
  </si>
  <si>
    <t xml:space="preserve">30 HACIENDA DR </t>
  </si>
  <si>
    <t>BELVEDERE TIBURON</t>
  </si>
  <si>
    <t>415 435445</t>
  </si>
  <si>
    <t>MARIN CONVALESCENT REHAB HOSPITAL</t>
  </si>
  <si>
    <t xml:space="preserve">30 HACIENDA DRIVE </t>
  </si>
  <si>
    <t>TIBURON</t>
  </si>
  <si>
    <t>415-435-4554</t>
  </si>
  <si>
    <t>Century Golf Partners Management</t>
  </si>
  <si>
    <t>Mountain Dunes &amp; La Quinta Resort</t>
  </si>
  <si>
    <t xml:space="preserve">50200 Avenida Vista Bonita </t>
  </si>
  <si>
    <t>Donald Zauner</t>
  </si>
  <si>
    <t>+1 (760) 777-4949</t>
  </si>
  <si>
    <t>Norman Course at PGA West</t>
  </si>
  <si>
    <t xml:space="preserve">81405 Kingston Heath </t>
  </si>
  <si>
    <t>Brian Hughes</t>
  </si>
  <si>
    <t>+1 (760) 564-3976</t>
  </si>
  <si>
    <t>PGA West Tournament</t>
  </si>
  <si>
    <t xml:space="preserve">56150 PGA Boulevard </t>
  </si>
  <si>
    <t>Flavio Ramirez</t>
  </si>
  <si>
    <t>+1 (760) 564-7101</t>
  </si>
  <si>
    <t>The Citrus Club</t>
  </si>
  <si>
    <t xml:space="preserve">50-503 Mandarina </t>
  </si>
  <si>
    <t>Eric Jacobsen</t>
  </si>
  <si>
    <t>PGA West Private</t>
  </si>
  <si>
    <t xml:space="preserve">55955 Pga Blvd </t>
  </si>
  <si>
    <t>92253-5677</t>
  </si>
  <si>
    <t>Ben Dobbs</t>
  </si>
  <si>
    <t>+1 (760) 654-3963</t>
  </si>
  <si>
    <t>The Preserve Golf Club</t>
  </si>
  <si>
    <t xml:space="preserve">840 The Preserve Trail </t>
  </si>
  <si>
    <t>Gene Fones</t>
  </si>
  <si>
    <t>+1 (919) 542-5501</t>
  </si>
  <si>
    <t>The Heritage Club (NC)</t>
  </si>
  <si>
    <t xml:space="preserve">1250 Heritage Club Avenue </t>
  </si>
  <si>
    <t>Wake Forest</t>
  </si>
  <si>
    <t>Jeff Antes</t>
  </si>
  <si>
    <t>David Sykes</t>
  </si>
  <si>
    <t>+1 (919) 453-2020</t>
  </si>
  <si>
    <t>Chapel Ridge Golf Club</t>
  </si>
  <si>
    <t xml:space="preserve">1010 Chapel Ridge Drive </t>
  </si>
  <si>
    <t>Pittsboro</t>
  </si>
  <si>
    <t>+1 (919) 545-2242</t>
  </si>
  <si>
    <t>Carolina National Golf Club</t>
  </si>
  <si>
    <t xml:space="preserve">1643 Goley Hewette Road SE </t>
  </si>
  <si>
    <t>Bolivia</t>
  </si>
  <si>
    <t>Steve Beecroft</t>
  </si>
  <si>
    <t>+1 (910) 755-5200</t>
  </si>
  <si>
    <t xml:space="preserve">Falls Village Golf Course </t>
  </si>
  <si>
    <t xml:space="preserve">115 Falls Village Drive </t>
  </si>
  <si>
    <t>Durham</t>
  </si>
  <si>
    <t>John Montgomery</t>
  </si>
  <si>
    <t>+1 (919) 569-4653</t>
  </si>
  <si>
    <t>Verrado Golf Club</t>
  </si>
  <si>
    <t xml:space="preserve">4242 North Golf Drive </t>
  </si>
  <si>
    <t>Buckeye</t>
  </si>
  <si>
    <t>Jay Critcher</t>
  </si>
  <si>
    <t>Lee Harding</t>
  </si>
  <si>
    <t>+1 (623) 388-3000</t>
  </si>
  <si>
    <t>On the Green Grille</t>
  </si>
  <si>
    <t xml:space="preserve">1946 Magnolia Palm Drive </t>
  </si>
  <si>
    <t>Lake Buena vista</t>
  </si>
  <si>
    <t>Bruce Gerlander</t>
  </si>
  <si>
    <t>+1 (407) 454-5086</t>
  </si>
  <si>
    <t>Gillette Ridge Golf Club</t>
  </si>
  <si>
    <t xml:space="preserve">1360 Hall Boulevard </t>
  </si>
  <si>
    <t>Bloomfield</t>
  </si>
  <si>
    <t>Lucas Hitchcock</t>
  </si>
  <si>
    <t>+1 (860) 726-1430</t>
  </si>
  <si>
    <t>Palm Magnolia Oak Trail</t>
  </si>
  <si>
    <t xml:space="preserve">1950 West Magnolia Palm Drive </t>
  </si>
  <si>
    <t>Lake Buena Vista</t>
  </si>
  <si>
    <t>Wanda Diaz</t>
  </si>
  <si>
    <t>+1 (407) 454-5084</t>
  </si>
  <si>
    <t>Lake Buena Vista Golf Course</t>
  </si>
  <si>
    <t xml:space="preserve">2200 Club Lake Drive </t>
  </si>
  <si>
    <t>Jamie Miller</t>
  </si>
  <si>
    <t>+1 (407) 938-4653</t>
  </si>
  <si>
    <t>Skyline Country Club</t>
  </si>
  <si>
    <t xml:space="preserve">5200 East Saint Andrews Drive </t>
  </si>
  <si>
    <t>Sergio Salazar</t>
  </si>
  <si>
    <t>Brian Steiner</t>
  </si>
  <si>
    <t>+1 (520) 299-1111</t>
  </si>
  <si>
    <t>The Club at Pointe West</t>
  </si>
  <si>
    <t xml:space="preserve">7500 14th Lane </t>
  </si>
  <si>
    <t>Vero Beach</t>
  </si>
  <si>
    <t>Dave Salerno</t>
  </si>
  <si>
    <t>William Grondzik</t>
  </si>
  <si>
    <t>+1 (772) 770-3401</t>
  </si>
  <si>
    <t>Rhodes Ranch Golf Club</t>
  </si>
  <si>
    <t xml:space="preserve">20 Rhodes Ranch Parkway </t>
  </si>
  <si>
    <t>Ashley Keller</t>
  </si>
  <si>
    <t>+ (702) 740-4114</t>
  </si>
  <si>
    <t>The Medallion Club</t>
  </si>
  <si>
    <t xml:space="preserve">5000 Club Drive </t>
  </si>
  <si>
    <t>Westerville</t>
  </si>
  <si>
    <t>Michael Heston</t>
  </si>
  <si>
    <t>+ (614) 794-6999</t>
  </si>
  <si>
    <t>Prescott Lakes Athletic Club</t>
  </si>
  <si>
    <t xml:space="preserve">311 East Smoke Tree Lane </t>
  </si>
  <si>
    <t>Prescott</t>
  </si>
  <si>
    <t>Greg Paydock</t>
  </si>
  <si>
    <t>Kelli Welch</t>
  </si>
  <si>
    <t>+1 (928) 443-3500</t>
  </si>
  <si>
    <t>Oyster Bay Golf Club</t>
  </si>
  <si>
    <t xml:space="preserve">614 Lake Shore Drive </t>
  </si>
  <si>
    <t>Sunset Beach</t>
  </si>
  <si>
    <t>Larry Woodberry</t>
  </si>
  <si>
    <t>+1 (800) 552-2660</t>
  </si>
  <si>
    <t>The Heritage Club (SC)</t>
  </si>
  <si>
    <t xml:space="preserve">478 Heritage Drive </t>
  </si>
  <si>
    <t>Pawleys Is</t>
  </si>
  <si>
    <t>Harbor Links Golf Course</t>
  </si>
  <si>
    <t xml:space="preserve">One Fairway Drive </t>
  </si>
  <si>
    <t>PORT WASHINGTON</t>
  </si>
  <si>
    <t>James Viras</t>
  </si>
  <si>
    <t>Diego Arias</t>
  </si>
  <si>
    <t>+ () 516-767-4816</t>
  </si>
  <si>
    <t>Talking Stick Golf Club</t>
  </si>
  <si>
    <t xml:space="preserve">9998 East Indian Bend </t>
  </si>
  <si>
    <t>85256-1201</t>
  </si>
  <si>
    <t>Steve Leonard</t>
  </si>
  <si>
    <t>Brian Kolehma</t>
  </si>
  <si>
    <t>+1 (480) 860-2221</t>
  </si>
  <si>
    <t>Sylvania Country Club</t>
  </si>
  <si>
    <t xml:space="preserve">5201 Corey Rd </t>
  </si>
  <si>
    <t>Sylvania</t>
  </si>
  <si>
    <t>Roger Parker</t>
  </si>
  <si>
    <t>+ (419) 882-3197</t>
  </si>
  <si>
    <t>Balcones Country Club</t>
  </si>
  <si>
    <t xml:space="preserve">8600 Balcones Club DR </t>
  </si>
  <si>
    <t>Donny Darville</t>
  </si>
  <si>
    <t>Patrick McGraw</t>
  </si>
  <si>
    <t>+()512-258-1621</t>
  </si>
  <si>
    <t>Tahquitz Creek Golf Resort</t>
  </si>
  <si>
    <t xml:space="preserve">1885 Golf Club Dr </t>
  </si>
  <si>
    <t>Brandon Alexander</t>
  </si>
  <si>
    <t>Jose Zarazua</t>
  </si>
  <si>
    <t>+ (760) 328-2375</t>
  </si>
  <si>
    <t>San Gabriel Country Club</t>
  </si>
  <si>
    <t xml:space="preserve">350 East Hermosa Drive </t>
  </si>
  <si>
    <t>San Gabriel</t>
  </si>
  <si>
    <t>Craig Wong</t>
  </si>
  <si>
    <t>+ (626) 287-9671</t>
  </si>
  <si>
    <t>The Club at Wynstone</t>
  </si>
  <si>
    <t xml:space="preserve">1 South Wynstone Drive </t>
  </si>
  <si>
    <t>North Barrington</t>
  </si>
  <si>
    <t>Jason Waters</t>
  </si>
  <si>
    <t>+1 (847) 304-2800</t>
  </si>
  <si>
    <t>Legends Golf Resort</t>
  </si>
  <si>
    <t xml:space="preserve">1500 Legends Road </t>
  </si>
  <si>
    <t>Charlene Scott</t>
  </si>
  <si>
    <t>Chenal Country Club</t>
  </si>
  <si>
    <t xml:space="preserve">10 Chenal Club Blvd </t>
  </si>
  <si>
    <t>Augie Barrios</t>
  </si>
  <si>
    <t>+ (501) 821-7565</t>
  </si>
  <si>
    <t>Ballantyne Country Club</t>
  </si>
  <si>
    <t xml:space="preserve">11120 Ballantyne Crossing Avenue </t>
  </si>
  <si>
    <t>David Lee</t>
  </si>
  <si>
    <t>Jon Grooms</t>
  </si>
  <si>
    <t>+1(704)544-1404</t>
  </si>
  <si>
    <t>Hotel Adagio - Autograph Collection</t>
  </si>
  <si>
    <t xml:space="preserve">550 Geary Street </t>
  </si>
  <si>
    <t>EJ Varela</t>
  </si>
  <si>
    <t>Stephanie Mullen</t>
  </si>
  <si>
    <t>+1 (415) 775-5000</t>
  </si>
  <si>
    <t>CAMP MOKULEIA</t>
  </si>
  <si>
    <t xml:space="preserve">68-729 FARRINGTON HWY </t>
  </si>
  <si>
    <t>WAIALUA</t>
  </si>
  <si>
    <t>808-637-6241</t>
  </si>
  <si>
    <t>BBL Hospitality</t>
  </si>
  <si>
    <t>Tru Middletown</t>
  </si>
  <si>
    <t xml:space="preserve">41 Dunning Road </t>
  </si>
  <si>
    <t>Middletown</t>
  </si>
  <si>
    <t>Michael Martini</t>
  </si>
  <si>
    <t>+1 (845) 343-4100</t>
  </si>
  <si>
    <t>Residence Inn Wilmington Downtown</t>
  </si>
  <si>
    <t xml:space="preserve">1300 North Market Street </t>
  </si>
  <si>
    <t>Jeffrey Barnes</t>
  </si>
  <si>
    <t>+(302)777-7373</t>
  </si>
  <si>
    <t>Vinayaka Hospitality LLC</t>
  </si>
  <si>
    <t>Marriott Chicago Suites O'Hare</t>
  </si>
  <si>
    <t xml:space="preserve">6155 North River Road </t>
  </si>
  <si>
    <t>Rosemont</t>
  </si>
  <si>
    <t>+1 (847) 696-4400</t>
  </si>
  <si>
    <t>DoubleTree Chicago-Oak Brook</t>
  </si>
  <si>
    <t xml:space="preserve">1909 Spring Road </t>
  </si>
  <si>
    <t>Oak Brook</t>
  </si>
  <si>
    <t>Brian Gilmore</t>
  </si>
  <si>
    <t>+1 (630) 472-6088</t>
  </si>
  <si>
    <t>Chicago Marriott Oak Brook</t>
  </si>
  <si>
    <t xml:space="preserve">1401 West 22nd Street </t>
  </si>
  <si>
    <t>+1 (630) 368-0564</t>
  </si>
  <si>
    <t>Candlewood Suites - Pasadena</t>
  </si>
  <si>
    <t xml:space="preserve">3450 E. Sam Houston Pkwy SO </t>
  </si>
  <si>
    <t>Chad Cossich</t>
  </si>
  <si>
    <t>+()713-920-9927</t>
  </si>
  <si>
    <t>Candlewood Suites Fayetteville Fort Bragg</t>
  </si>
  <si>
    <t xml:space="preserve">4108 Legend Avenue </t>
  </si>
  <si>
    <t>Paula Schronce</t>
  </si>
  <si>
    <t>+1 (910) 868-0873</t>
  </si>
  <si>
    <t>Candlewood Suites - Harrisonburg</t>
  </si>
  <si>
    <t xml:space="preserve">1560 Country Club Road </t>
  </si>
  <si>
    <t>Samantha Foster</t>
  </si>
  <si>
    <t>+ () 540-437-1400</t>
  </si>
  <si>
    <t>MAX Daytona</t>
  </si>
  <si>
    <t xml:space="preserve">1901 South Atlantic Avenue </t>
  </si>
  <si>
    <t>John Ott</t>
  </si>
  <si>
    <t>Libby Gallant</t>
  </si>
  <si>
    <t>+1 (647) 970-7518</t>
  </si>
  <si>
    <t>Montage Big Sky</t>
  </si>
  <si>
    <t xml:space="preserve">995 Settlement Trail </t>
  </si>
  <si>
    <t>Big Sky</t>
  </si>
  <si>
    <t>Montage</t>
  </si>
  <si>
    <t>Rick Riess</t>
  </si>
  <si>
    <t>Rachel Wiener</t>
  </si>
  <si>
    <t>+(406) 993-8140</t>
  </si>
  <si>
    <t>The Curator Hotel</t>
  </si>
  <si>
    <t xml:space="preserve">585 Parkway Drive </t>
  </si>
  <si>
    <t>+1 (229) 420-0701</t>
  </si>
  <si>
    <t>Stonebridge Hotel Grand Prairie</t>
  </si>
  <si>
    <t xml:space="preserve">12102 - 100th Street </t>
  </si>
  <si>
    <t>Grande Prairie</t>
  </si>
  <si>
    <t>T8V 5P1</t>
  </si>
  <si>
    <t>Darcy Chamberlist</t>
  </si>
  <si>
    <t>Veronica Cuthill</t>
  </si>
  <si>
    <t>+1 (780) 539-5561</t>
  </si>
  <si>
    <t>SUNTERRA SPRINGS</t>
  </si>
  <si>
    <t>DARDENNE PRAIRIE</t>
  </si>
  <si>
    <t xml:space="preserve">7275 STATE HIGHWAY NORTH </t>
  </si>
  <si>
    <t>636-865-0200</t>
  </si>
  <si>
    <t>SUNTERRA SPRINGS INDEPENDENCE</t>
  </si>
  <si>
    <t xml:space="preserve">19200 EAST 37TH TERRACE SOUTH </t>
  </si>
  <si>
    <t>816-335-3007</t>
  </si>
  <si>
    <t xml:space="preserve">2194 SANKE RIVER PARKWAY SUITE 202 </t>
  </si>
  <si>
    <t>IDAGO FALLS</t>
  </si>
  <si>
    <t>866-294-6493</t>
  </si>
  <si>
    <t>MISSION CARMICHAEL HEALTH CARE CENTER</t>
  </si>
  <si>
    <t xml:space="preserve">3630 MISSOIN AVENUE </t>
  </si>
  <si>
    <t>CARMICHAEL</t>
  </si>
  <si>
    <t>916-488-1580</t>
  </si>
  <si>
    <t>EXCELL HEALTH CARE CENTER</t>
  </si>
  <si>
    <t xml:space="preserve">3025 HIGH STREET </t>
  </si>
  <si>
    <t>OAKLAND</t>
  </si>
  <si>
    <t>510-261-5200</t>
  </si>
  <si>
    <t>DIAMOND RIDGE HEALTHCARE CENTER</t>
  </si>
  <si>
    <t xml:space="preserve">2351 LOVERIDGE ROAD </t>
  </si>
  <si>
    <t>925-427-4444</t>
  </si>
  <si>
    <t>COURTYARD CARE CENTER</t>
  </si>
  <si>
    <t xml:space="preserve">340 NORTHLAKE DRIVE </t>
  </si>
  <si>
    <t>SAN JOSE</t>
  </si>
  <si>
    <t>408-249-0344</t>
  </si>
  <si>
    <t>RELIANT MANAGEMENT GROUP</t>
  </si>
  <si>
    <t>EAGLE CREST</t>
  </si>
  <si>
    <t xml:space="preserve">8366 FAIR OAKS BLVD </t>
  </si>
  <si>
    <t>209-648-3272</t>
  </si>
  <si>
    <t>DUBOIS COUNTY JAIL</t>
  </si>
  <si>
    <t xml:space="preserve">255 BRUCKE STRASSE </t>
  </si>
  <si>
    <t>JASPER</t>
  </si>
  <si>
    <t>812-482-3522</t>
  </si>
  <si>
    <t>DECATUR COUNTY SHERIFF</t>
  </si>
  <si>
    <t xml:space="preserve">601 SOUTH IRELAND STREET </t>
  </si>
  <si>
    <t>GREENSBURG</t>
  </si>
  <si>
    <t>812-663-8125</t>
  </si>
  <si>
    <t>GREENE COUNTY JAIL</t>
  </si>
  <si>
    <t xml:space="preserve">204 COUNTY ROAD 70 E </t>
  </si>
  <si>
    <t>BLOOMFIELD</t>
  </si>
  <si>
    <t>812-384-4411</t>
  </si>
  <si>
    <t>FAYETTE COUNTY JAIL</t>
  </si>
  <si>
    <t xml:space="preserve">123 WEST 4TH STREET </t>
  </si>
  <si>
    <t>CONNERSVILLE</t>
  </si>
  <si>
    <t>765-825-1110</t>
  </si>
  <si>
    <t>BARTHOLOMEW COUNTY JAIL</t>
  </si>
  <si>
    <t xml:space="preserve">543 SECOND STREET </t>
  </si>
  <si>
    <t>812-379-1740</t>
  </si>
  <si>
    <t>BARTHOLOMEW COUNTY YOUTH SERVICES CENTER</t>
  </si>
  <si>
    <t xml:space="preserve">2350 ILLINOIS STREET </t>
  </si>
  <si>
    <t>812-379-1690</t>
  </si>
  <si>
    <t>JENNINGS COUNTY JAIL</t>
  </si>
  <si>
    <t xml:space="preserve">PO BOX 367 </t>
  </si>
  <si>
    <t>VERNON</t>
  </si>
  <si>
    <t>812-346-8642</t>
  </si>
  <si>
    <t>RIPLEY COUNTY JAIL</t>
  </si>
  <si>
    <t xml:space="preserve">210 NORTH MONROE STREET </t>
  </si>
  <si>
    <t>VERSAILLES</t>
  </si>
  <si>
    <t>812-689-5558</t>
  </si>
  <si>
    <t>SWITZERLAND COUNTY JAIL</t>
  </si>
  <si>
    <t xml:space="preserve">405 LIBERTY STREET </t>
  </si>
  <si>
    <t>VEVAY</t>
  </si>
  <si>
    <t>812-427-3636</t>
  </si>
  <si>
    <t>SHELBY COUNTY JAIL</t>
  </si>
  <si>
    <t xml:space="preserve">107 WEST TAYLOR STREET </t>
  </si>
  <si>
    <t>317-392-6345</t>
  </si>
  <si>
    <t>DESTINATION HOPE</t>
  </si>
  <si>
    <t xml:space="preserve">6460 NORTHWEST 5TH WAY </t>
  </si>
  <si>
    <t>FORT LAUDERDALE</t>
  </si>
  <si>
    <t>866-756-4678</t>
  </si>
  <si>
    <t>ADVANCE CARE LLC</t>
  </si>
  <si>
    <t xml:space="preserve">585 SOUTHLAKE BLVD </t>
  </si>
  <si>
    <t>804-569-8149</t>
  </si>
  <si>
    <t>AVALON MEMORY CARE</t>
  </si>
  <si>
    <t xml:space="preserve">910 HORN DRIVE </t>
  </si>
  <si>
    <t>MINNETONKA</t>
  </si>
  <si>
    <t>952-800-9909</t>
  </si>
  <si>
    <t>AUTHENTIC EXPERIENCES CHILDCARE #2</t>
  </si>
  <si>
    <t xml:space="preserve">17170 BROADWAY AVENUE </t>
  </si>
  <si>
    <t>MAPLE HEIGHTS</t>
  </si>
  <si>
    <t>216-438-7080</t>
  </si>
  <si>
    <t>HARMONY AT AVON</t>
  </si>
  <si>
    <t xml:space="preserve">2141 N DAN JONES ROAD </t>
  </si>
  <si>
    <t>PEVENTION AND RECOVERY CENTER</t>
  </si>
  <si>
    <t xml:space="preserve">3043 GESSNER ROAD </t>
  </si>
  <si>
    <t>713-939-7272</t>
  </si>
  <si>
    <t>BAYSHIRE SENIOR COMMUNITIES</t>
  </si>
  <si>
    <t>CALDERA CARE-BUSINESS OFFICE</t>
  </si>
  <si>
    <t xml:space="preserve">7250 BEVERLY BLVD SUITE 102 </t>
  </si>
  <si>
    <t>253-251-9083</t>
  </si>
  <si>
    <t>AMERICANA SENIORS OF DAVISON</t>
  </si>
  <si>
    <t xml:space="preserve">432 EAST CLARK STREET </t>
  </si>
  <si>
    <t xml:space="preserve">4386 14 MILE ROAD NE </t>
  </si>
  <si>
    <t>ROCKFORD</t>
  </si>
  <si>
    <t>AMATUS HEALTH LLC</t>
  </si>
  <si>
    <t>BLUEPRINT HIGH ST HOUSING</t>
  </si>
  <si>
    <t xml:space="preserve">51 HIGH STREET </t>
  </si>
  <si>
    <t>NH DETOX</t>
  </si>
  <si>
    <t xml:space="preserve">2957 MAIN STREET </t>
  </si>
  <si>
    <t>BETHLEHEM</t>
  </si>
  <si>
    <t>IEP CORPORATION</t>
  </si>
  <si>
    <t>WEST GARDENA CARE CENTER</t>
  </si>
  <si>
    <t xml:space="preserve">16530 S BROADWAY STREET </t>
  </si>
  <si>
    <t>GARDENA</t>
  </si>
  <si>
    <t>310-329-9929</t>
  </si>
  <si>
    <t>ARCADIA HEALTH CARE CENTER</t>
  </si>
  <si>
    <t xml:space="preserve">1601 S BALDWIN AVENUE </t>
  </si>
  <si>
    <t>626-445-2170</t>
  </si>
  <si>
    <t>HIGHPOINT AT CAPE CORAL</t>
  </si>
  <si>
    <t xml:space="preserve">1701 FOUR MILE COVE PKWY </t>
  </si>
  <si>
    <t>239-677-3969</t>
  </si>
  <si>
    <t>SOUTH PLACE REHAB &amp; SKILLED NURSING</t>
  </si>
  <si>
    <t xml:space="preserve">150 GIBSON ROAD </t>
  </si>
  <si>
    <t>903-677-5864</t>
  </si>
  <si>
    <t>TESSERA OF BRANDON</t>
  </si>
  <si>
    <t xml:space="preserve">1320 OAKFIELD DRIVE </t>
  </si>
  <si>
    <t>BRANDON</t>
  </si>
  <si>
    <t>813-296-5340</t>
  </si>
  <si>
    <t>TESSERA OF WESTCHASE</t>
  </si>
  <si>
    <t xml:space="preserve">11330 COUNTRYWAY BLVD </t>
  </si>
  <si>
    <t>813-670-3272</t>
  </si>
  <si>
    <t>THE PHOENIX AT ESTERO</t>
  </si>
  <si>
    <t xml:space="preserve">10251 ARCOS AVENUE </t>
  </si>
  <si>
    <t>ESTERO</t>
  </si>
  <si>
    <t>239-201-3790</t>
  </si>
  <si>
    <t>AMERICAN HOUSE WILDWOOD</t>
  </si>
  <si>
    <t xml:space="preserve">7676 RIO GRANDE BLVD </t>
  </si>
  <si>
    <t>WILDWOOD</t>
  </si>
  <si>
    <t>352-330-6631</t>
  </si>
  <si>
    <t>Shadow Glen Golf Club Corp</t>
  </si>
  <si>
    <t>Shadow Glen Golf Club</t>
  </si>
  <si>
    <t xml:space="preserve">26000 Shadow Glen Drive </t>
  </si>
  <si>
    <t>Olathe</t>
  </si>
  <si>
    <t>Dave Resch</t>
  </si>
  <si>
    <t>+1 (913) 764-2299</t>
  </si>
  <si>
    <t>Tru by Hilton Atlanta Galleria Ballpark</t>
  </si>
  <si>
    <t xml:space="preserve">4511 Circle 75 Parkway </t>
  </si>
  <si>
    <t xml:space="preserve">Linda Chesser </t>
  </si>
  <si>
    <t>Robert Kisker</t>
  </si>
  <si>
    <t>+1 (678) 540-9950</t>
  </si>
  <si>
    <t>A STEP FORWARD</t>
  </si>
  <si>
    <t>TURNER DRIVE</t>
  </si>
  <si>
    <t xml:space="preserve">4128 TURNER DRIVE </t>
  </si>
  <si>
    <t>DECATUR</t>
  </si>
  <si>
    <t>217-330-6807</t>
  </si>
  <si>
    <t>SUMMIT AVENUE</t>
  </si>
  <si>
    <t xml:space="preserve">1310 NORTH SUMMIT </t>
  </si>
  <si>
    <t>WAGONER DRIVE</t>
  </si>
  <si>
    <t xml:space="preserve">510 WAGONER DRIVE </t>
  </si>
  <si>
    <t>MT ZION</t>
  </si>
  <si>
    <t>217-571-0122</t>
  </si>
  <si>
    <t>MICHAEL DRIVE</t>
  </si>
  <si>
    <t>217-542-5971</t>
  </si>
  <si>
    <t>FAIRVIEW AVENUE</t>
  </si>
  <si>
    <t xml:space="preserve">1840 SOUTH FAIRVIEW </t>
  </si>
  <si>
    <t>217-791-6713</t>
  </si>
  <si>
    <t>BURGENER DRIVE</t>
  </si>
  <si>
    <t xml:space="preserve">2674 BURGENER DRIVE </t>
  </si>
  <si>
    <t>217-330-9224</t>
  </si>
  <si>
    <t>CARECORE HEALTH</t>
  </si>
  <si>
    <t>CARECORE AT LIMA</t>
  </si>
  <si>
    <t xml:space="preserve">599 S SHAWNEE STREET </t>
  </si>
  <si>
    <t>LIMA</t>
  </si>
  <si>
    <t>419-227-2154</t>
  </si>
  <si>
    <t>CARECORE AT MARY SCOTT</t>
  </si>
  <si>
    <t xml:space="preserve">3109 CAMPUS DRIVE </t>
  </si>
  <si>
    <t>419-833-7000</t>
  </si>
  <si>
    <t>THE BLOSSOMS AT WHITE HALL REHAB AND NURSING CENTER</t>
  </si>
  <si>
    <t xml:space="preserve">9209 DOLLARWAY ROAD </t>
  </si>
  <si>
    <t>WHITE HALL</t>
  </si>
  <si>
    <t>870-247-0800</t>
  </si>
  <si>
    <t>THE BLOSSOMS AT NORTH LITTLE ROCK REHAB AND NURSING CENTER</t>
  </si>
  <si>
    <t xml:space="preserve">2501 JOHN ASHLEY DRIVE </t>
  </si>
  <si>
    <t>NORTH LITTLE ROCK</t>
  </si>
  <si>
    <t>501-758-3800</t>
  </si>
  <si>
    <t>THE BLOSSOMS AT HOT SPRINGS REHAB &amp; NURSING CENTER</t>
  </si>
  <si>
    <t xml:space="preserve">552 GOLF LINKS ROAD </t>
  </si>
  <si>
    <t>501-624-7149</t>
  </si>
  <si>
    <t>RICO RESIDENTIAL FACILITY LLC</t>
  </si>
  <si>
    <t xml:space="preserve">829 S COTTAGE STREET </t>
  </si>
  <si>
    <t>PORTERVILLE</t>
  </si>
  <si>
    <t>559-310-0334</t>
  </si>
  <si>
    <t>OAK MANOR SENIOR LIVING COMMUNITY</t>
  </si>
  <si>
    <t xml:space="preserve">3600 OAK MANOR LANE </t>
  </si>
  <si>
    <t>727-581-9427</t>
  </si>
  <si>
    <t>WhyHotel</t>
  </si>
  <si>
    <t>Avenue Suites Georgetown</t>
  </si>
  <si>
    <t xml:space="preserve">2500 Pennsylvania Avenue NW </t>
  </si>
  <si>
    <t>+1 (202) 333-8060</t>
  </si>
  <si>
    <t>Hilton Garden Inn St. Charles</t>
  </si>
  <si>
    <t xml:space="preserve">4070 East Main Street </t>
  </si>
  <si>
    <t>Saint Charles</t>
  </si>
  <si>
    <t>Terri DeLee</t>
  </si>
  <si>
    <t>+1 (630) 584-0700</t>
  </si>
  <si>
    <t>THE IVY AT DEER LODGE</t>
  </si>
  <si>
    <t xml:space="preserve">1100 TEXAS AVENUE </t>
  </si>
  <si>
    <t>DEER LODGE</t>
  </si>
  <si>
    <t>406-846-1655</t>
  </si>
  <si>
    <t>THE BRIDGE CARE SUITES NURSING</t>
  </si>
  <si>
    <t xml:space="preserve">3089 OLD JACKSONVILLE ROAD </t>
  </si>
  <si>
    <t>217-787-0000</t>
  </si>
  <si>
    <t>Holiday Inn Express Limon</t>
  </si>
  <si>
    <t xml:space="preserve">803 Hwy 24 </t>
  </si>
  <si>
    <t>Limon</t>
  </si>
  <si>
    <t>Ron Miskell</t>
  </si>
  <si>
    <t>+()719-775-9033</t>
  </si>
  <si>
    <t>Holiday Inn Express &amp; Suites Fraser</t>
  </si>
  <si>
    <t xml:space="preserve">108 Zerex St </t>
  </si>
  <si>
    <t>Fraser</t>
  </si>
  <si>
    <t>Renee Cook</t>
  </si>
  <si>
    <t>+()970-722-7631</t>
  </si>
  <si>
    <t>Holiday Inn Casper East - Medical Center</t>
  </si>
  <si>
    <t xml:space="preserve">721 Granite Peak Drive </t>
  </si>
  <si>
    <t>Missy Arnett</t>
  </si>
  <si>
    <t>+()307-577-5000</t>
  </si>
  <si>
    <t>Candlewood Suites Parachute</t>
  </si>
  <si>
    <t xml:space="preserve">233 Grand Valley Way </t>
  </si>
  <si>
    <t>Parachute</t>
  </si>
  <si>
    <t>Kaylee Nash</t>
  </si>
  <si>
    <t>+()970-285-9880</t>
  </si>
  <si>
    <t>Candlewood Suites Craig-Northwest</t>
  </si>
  <si>
    <t xml:space="preserve">92 Commerce Street </t>
  </si>
  <si>
    <t>Craig</t>
  </si>
  <si>
    <t>Mona Gilman</t>
  </si>
  <si>
    <t>+(970)824-8400</t>
  </si>
  <si>
    <t>M5 Hotels LLC</t>
  </si>
  <si>
    <t>Fairfield Inn &amp; Suites Scranton Montage Mountain</t>
  </si>
  <si>
    <t xml:space="preserve">16 Radcliffe Drive </t>
  </si>
  <si>
    <t>Moosic</t>
  </si>
  <si>
    <t>Keyle Roman</t>
  </si>
  <si>
    <t>DJ Meagher</t>
  </si>
  <si>
    <t>+1 (570) 341-1960</t>
  </si>
  <si>
    <t>Holiday Inn &amp; Suites Grand Junction</t>
  </si>
  <si>
    <t xml:space="preserve">2751 Crossroads Blvd </t>
  </si>
  <si>
    <t>Grand Junction</t>
  </si>
  <si>
    <t>Heather Bishop</t>
  </si>
  <si>
    <t>+()970-628-4346</t>
  </si>
  <si>
    <t>TRULIEVE FL-LARGO</t>
  </si>
  <si>
    <t xml:space="preserve">2076 SEMINOLE BLVD STE B &amp; C </t>
  </si>
  <si>
    <t>727-278-2506</t>
  </si>
  <si>
    <t xml:space="preserve">WORTH CTR 1107 E BALTIMORE PIKE </t>
  </si>
  <si>
    <t>(610) 335-1200</t>
  </si>
  <si>
    <t>MARQUART VILLAGE HOSPICE</t>
  </si>
  <si>
    <t xml:space="preserve">1020 HILL ST </t>
  </si>
  <si>
    <t>53098-3016</t>
  </si>
  <si>
    <t>ST. ANNE PLACE</t>
  </si>
  <si>
    <t xml:space="preserve">4444 BRENDENWOOD RD </t>
  </si>
  <si>
    <t>61107-2264</t>
  </si>
  <si>
    <t>(815) 399-6167</t>
  </si>
  <si>
    <t xml:space="preserve">800 W OAKTON ST </t>
  </si>
  <si>
    <t>847 253371</t>
  </si>
  <si>
    <t>HERITAGE GREEN</t>
  </si>
  <si>
    <t xml:space="preserve">7080 BROOKS FARM ROAD </t>
  </si>
  <si>
    <t>MECHANICSVILLE</t>
  </si>
  <si>
    <t>804-746-7370</t>
  </si>
  <si>
    <t>Holiday Inn Express - Blacksburg</t>
  </si>
  <si>
    <t xml:space="preserve">1020 Plantation Rd </t>
  </si>
  <si>
    <t>John Rigsby</t>
  </si>
  <si>
    <t>+()540-552-0900</t>
  </si>
  <si>
    <t>The Inn at Wise</t>
  </si>
  <si>
    <t xml:space="preserve">110 E Main St </t>
  </si>
  <si>
    <t>Wise</t>
  </si>
  <si>
    <t>Amy Phillips</t>
  </si>
  <si>
    <t>+()276-321-7600</t>
  </si>
  <si>
    <t>Deployed Resources - Jackson Warehouse</t>
  </si>
  <si>
    <t xml:space="preserve">325 Industrial Drive </t>
  </si>
  <si>
    <t>+1 (208) 776-0815</t>
  </si>
  <si>
    <t>SCOTTISH HOME (THE)</t>
  </si>
  <si>
    <t xml:space="preserve">2800 DESPLAINES AVE </t>
  </si>
  <si>
    <t>60546-1851</t>
  </si>
  <si>
    <t>(708) 447-5092</t>
  </si>
  <si>
    <t>WESTMINISTER VILLAGE SPANISH FORT</t>
  </si>
  <si>
    <t xml:space="preserve">500 SPANISH FORT BLVD </t>
  </si>
  <si>
    <t>SPANISH FORT</t>
  </si>
  <si>
    <t>251 626700</t>
  </si>
  <si>
    <t xml:space="preserve">Staybridge Suites Cathedral City - Palm Springs </t>
  </si>
  <si>
    <t xml:space="preserve">67711 30th Avenue </t>
  </si>
  <si>
    <t>Greg Schmidt</t>
  </si>
  <si>
    <t>+1 (760) 980-7070</t>
  </si>
  <si>
    <t>Humanist Hospitality LLC</t>
  </si>
  <si>
    <t>Hampton Inn Huntsville</t>
  </si>
  <si>
    <t xml:space="preserve">313 Clinton Avenue </t>
  </si>
  <si>
    <t>Beth Mikolay</t>
  </si>
  <si>
    <t>Michelle Lopez</t>
  </si>
  <si>
    <t>NANCY HART NURSING CENTER FOR NUSING AND HEALING LLC</t>
  </si>
  <si>
    <t xml:space="preserve">2117 DOCTOR WARD ROAD </t>
  </si>
  <si>
    <t>ELBERTON</t>
  </si>
  <si>
    <t>706-283-3335</t>
  </si>
  <si>
    <t>Alterra Mountain Company</t>
  </si>
  <si>
    <t>The Westin Monache Resort Mammoth</t>
  </si>
  <si>
    <t xml:space="preserve">50 Hillside Drive </t>
  </si>
  <si>
    <t>Mammoth Lakes</t>
  </si>
  <si>
    <t>Leisha Baldwin</t>
  </si>
  <si>
    <t>+1 (760) 934-0400</t>
  </si>
  <si>
    <t>KEYSTONE PLACE AT NAPLES PRESERVE</t>
  </si>
  <si>
    <t xml:space="preserve">3490 THRIVE DRIVE </t>
  </si>
  <si>
    <t>239-294-1101</t>
  </si>
  <si>
    <t>Roanoke Restaurant</t>
  </si>
  <si>
    <t xml:space="preserve">135 West Madison Street </t>
  </si>
  <si>
    <t>+1 (312) 361-3800</t>
  </si>
  <si>
    <t>ROI Hospitality Inc.</t>
  </si>
  <si>
    <t>La Quinta Appleton College Avenue</t>
  </si>
  <si>
    <t xml:space="preserve">3800 W College Ave </t>
  </si>
  <si>
    <t>Appleton</t>
  </si>
  <si>
    <t>Joy Crowe</t>
  </si>
  <si>
    <t>+(920) 734-7777</t>
  </si>
  <si>
    <t>Key Bridge</t>
  </si>
  <si>
    <t xml:space="preserve">1401 Lee Highway </t>
  </si>
  <si>
    <t>Sara Moore</t>
  </si>
  <si>
    <t>Arbia Abassi</t>
  </si>
  <si>
    <t>(703) 524-6400</t>
  </si>
  <si>
    <t>Infinity Hospitality LLC</t>
  </si>
  <si>
    <t>Esmé Miami Beach</t>
  </si>
  <si>
    <t xml:space="preserve">1438 Washington Ave </t>
  </si>
  <si>
    <t>Jessica LaRosa</t>
  </si>
  <si>
    <t>Ivan Gomez</t>
  </si>
  <si>
    <t>+1 (732) 423-4417</t>
  </si>
  <si>
    <t>The Alexander A Dolce Hotel</t>
  </si>
  <si>
    <t xml:space="preserve">333 South Delaware Street </t>
  </si>
  <si>
    <t>Indianapolis</t>
  </si>
  <si>
    <t>Dolce Hotels &amp; Resorts</t>
  </si>
  <si>
    <t>Barry Cockrum</t>
  </si>
  <si>
    <t>+ (317) 624-8200</t>
  </si>
  <si>
    <t>PILLSBURY COLLEGE PREP</t>
  </si>
  <si>
    <t xml:space="preserve">315 SOUTH GROVE AVENUE </t>
  </si>
  <si>
    <t>OWATONNA</t>
  </si>
  <si>
    <t>507-214-2200</t>
  </si>
  <si>
    <t>OUR HOUSE OF CEDAR CITY</t>
  </si>
  <si>
    <t xml:space="preserve">995 REGENCY ROAD </t>
  </si>
  <si>
    <t>CEDAR CITY</t>
  </si>
  <si>
    <t>435-867-0055</t>
  </si>
  <si>
    <t>THE IVY AT DAVENPORT</t>
  </si>
  <si>
    <t xml:space="preserve">800 EAST RUSHOLME STREET </t>
  </si>
  <si>
    <t>563-322-1668</t>
  </si>
  <si>
    <t xml:space="preserve">9429 HARDING AVENUE SUITE 141 </t>
  </si>
  <si>
    <t>SURFSIDE</t>
  </si>
  <si>
    <t>THE IVY AT GREAT FALLS</t>
  </si>
  <si>
    <t xml:space="preserve">1130 17TH AVENUE SOUTH </t>
  </si>
  <si>
    <t>GREAT FALLS</t>
  </si>
  <si>
    <t>406-771-4500</t>
  </si>
  <si>
    <t>ROLLING HILLS REHABILITATION CENTER</t>
  </si>
  <si>
    <t xml:space="preserve">14345 COUNTY HWY B </t>
  </si>
  <si>
    <t>608-269-8800</t>
  </si>
  <si>
    <t>BROWN COUNTY JAIL</t>
  </si>
  <si>
    <t xml:space="preserve">55 STATE ROAD 46 EAST </t>
  </si>
  <si>
    <t>812-988-6655</t>
  </si>
  <si>
    <t>YWCA NORTHEAST INDIANA</t>
  </si>
  <si>
    <t xml:space="preserve">5920 DECATUR ROAD </t>
  </si>
  <si>
    <t>260-424-4908</t>
  </si>
  <si>
    <t>ADAMS COUNTY JAIL</t>
  </si>
  <si>
    <t xml:space="preserve">911 PEACEKEEPERS WAY </t>
  </si>
  <si>
    <t>HPSI:CORRECTIONAL FACILITY</t>
  </si>
  <si>
    <t>260-724-5345</t>
  </si>
  <si>
    <t>VICTORY LIFE ACADEMY</t>
  </si>
  <si>
    <t xml:space="preserve">3412 WEST UNIVERSITY </t>
  </si>
  <si>
    <t>DURANT</t>
  </si>
  <si>
    <t>580-920-0850</t>
  </si>
  <si>
    <t>ORANGE PARK CENTER FOR NURSING AND HEALING</t>
  </si>
  <si>
    <t xml:space="preserve">570 WELLS ROAD </t>
  </si>
  <si>
    <t>ORANGE PARK</t>
  </si>
  <si>
    <t>904-783-3749</t>
  </si>
  <si>
    <t>NORMANDY CENTER FOR NURSING AND HEALING</t>
  </si>
  <si>
    <t xml:space="preserve">8495 NORMANDY BLVD </t>
  </si>
  <si>
    <t>UNIVERSITY CENTER FOR NURSING AND HEALING</t>
  </si>
  <si>
    <t xml:space="preserve">3648 UIVERSITY BLVD SOUTH </t>
  </si>
  <si>
    <t>904-733-7440</t>
  </si>
  <si>
    <t>TWIN OAKS</t>
  </si>
  <si>
    <t xml:space="preserve">200 HOLMAN STREET </t>
  </si>
  <si>
    <t>GREENWOOD</t>
  </si>
  <si>
    <t>864-223-1854</t>
  </si>
  <si>
    <t>POPLAR SQUARE</t>
  </si>
  <si>
    <t xml:space="preserve">925 MILLER ROAD </t>
  </si>
  <si>
    <t>SUMTER</t>
  </si>
  <si>
    <t>803-773-5642</t>
  </si>
  <si>
    <t>ABBOTT ARMS</t>
  </si>
  <si>
    <t xml:space="preserve">2011 WILKINSON STREET </t>
  </si>
  <si>
    <t>CAYCE</t>
  </si>
  <si>
    <t>803-793-3456</t>
  </si>
  <si>
    <t>Global Management Inc</t>
  </si>
  <si>
    <t>Quality Inn Calvert City</t>
  </si>
  <si>
    <t xml:space="preserve">86 Campbell Dr. </t>
  </si>
  <si>
    <t>Calvert City</t>
  </si>
  <si>
    <t>Tabitha Thomas</t>
  </si>
  <si>
    <t>+1 (270) 395-5566</t>
  </si>
  <si>
    <t>Clarion Pointe Greensboro</t>
  </si>
  <si>
    <t xml:space="preserve">2003 Athena Court </t>
  </si>
  <si>
    <t>Greensboro</t>
  </si>
  <si>
    <t>Clarion Pointe</t>
  </si>
  <si>
    <t>Priti Patel</t>
  </si>
  <si>
    <t>Jennifer Wesley</t>
  </si>
  <si>
    <t>+1 (336) 294-9922</t>
  </si>
  <si>
    <t>Motel 6 Studio Minot</t>
  </si>
  <si>
    <t xml:space="preserve">1515 22nd Ave SW </t>
  </si>
  <si>
    <t>JoAnn Voeller</t>
  </si>
  <si>
    <t>+1 (701) 852-2201</t>
  </si>
  <si>
    <t>Best Western Plus Diamond Valley Inn</t>
  </si>
  <si>
    <t xml:space="preserve">3510 W Florida Ave </t>
  </si>
  <si>
    <t>Hemet</t>
  </si>
  <si>
    <t>Vicki Heavin</t>
  </si>
  <si>
    <t>Kim Acosta</t>
  </si>
  <si>
    <t>+1 ( 951) 658-2281</t>
  </si>
  <si>
    <t>Clarion Pointe El Cajon San Diego East</t>
  </si>
  <si>
    <t xml:space="preserve">855 Sandalwood Dr </t>
  </si>
  <si>
    <t>El Cajon</t>
  </si>
  <si>
    <t>Crystal Reyes</t>
  </si>
  <si>
    <t>+1 (619) 442-0601</t>
  </si>
  <si>
    <t>Quality Inn &amp; Suites El Cajon</t>
  </si>
  <si>
    <t xml:space="preserve">650 N Mollison Ave Building A </t>
  </si>
  <si>
    <t>+(619)444-4000</t>
  </si>
  <si>
    <t>VI AT LA JOLLA VILLAGE</t>
  </si>
  <si>
    <t xml:space="preserve">8515 COASTA VERDE BLVD </t>
  </si>
  <si>
    <t>888-839-3094</t>
  </si>
  <si>
    <t>KSL Capital Partners LLC</t>
  </si>
  <si>
    <t>Blue Mountain Resort</t>
  </si>
  <si>
    <t xml:space="preserve">1660 Blue Mountain Drive </t>
  </si>
  <si>
    <t>Palmerton</t>
  </si>
  <si>
    <t>Jim Dailey</t>
  </si>
  <si>
    <t>+(610)826-7700</t>
  </si>
  <si>
    <t>UIP Property Management</t>
  </si>
  <si>
    <t>Grand Historic Venue</t>
  </si>
  <si>
    <t xml:space="preserve">225 N. Charles Street </t>
  </si>
  <si>
    <t>+1(443)573-8444</t>
  </si>
  <si>
    <t>Embassy Suites Baltimore - Inner Harbor</t>
  </si>
  <si>
    <t xml:space="preserve">222 Saint Paul Place </t>
  </si>
  <si>
    <t>Paul Addalia</t>
  </si>
  <si>
    <t>+1 (410) 727-2222</t>
  </si>
  <si>
    <t>Avalon Yacht Club</t>
  </si>
  <si>
    <t>7th Street &amp; The Bay PO Box 189</t>
  </si>
  <si>
    <t>Avalon</t>
  </si>
  <si>
    <t>Brian Juliano</t>
  </si>
  <si>
    <t>+1 (609) 967-4444</t>
  </si>
  <si>
    <t>Apartments Suites Santa Fe</t>
  </si>
  <si>
    <t xml:space="preserve">Camarena 1210 Zedec St #200 </t>
  </si>
  <si>
    <t>MFH: Apartment Luxury</t>
  </si>
  <si>
    <t>Francisco Castrejon</t>
  </si>
  <si>
    <t>Camilo Patino</t>
  </si>
  <si>
    <t>+()52 55 5258 8500</t>
  </si>
  <si>
    <t xml:space="preserve">Brandt Holdings Company </t>
  </si>
  <si>
    <t>Fairfield Inn &amp; Suites Charlotte Northeast</t>
  </si>
  <si>
    <t xml:space="preserve">535 Collins-Aikman Drive </t>
  </si>
  <si>
    <t>Darin Navy</t>
  </si>
  <si>
    <t>+1 (980) 483-1200</t>
  </si>
  <si>
    <t>SpringHill Suites Greensboro Airport</t>
  </si>
  <si>
    <t xml:space="preserve">505 Hickory Branch Road </t>
  </si>
  <si>
    <t>Matt Holm</t>
  </si>
  <si>
    <t>+1 (336) 884-4900</t>
  </si>
  <si>
    <t>Maverick Hotels and Restaurants</t>
  </si>
  <si>
    <t>Falmouth Tides</t>
  </si>
  <si>
    <t xml:space="preserve">267 Clinton Avenue </t>
  </si>
  <si>
    <t>Falmouth</t>
  </si>
  <si>
    <t>Seth Thomas</t>
  </si>
  <si>
    <t>+1 (508) 548-3126</t>
  </si>
  <si>
    <t>SpringHill Suites - Andover</t>
  </si>
  <si>
    <t xml:space="preserve">550 Minuteman Road </t>
  </si>
  <si>
    <t>Andover</t>
  </si>
  <si>
    <t>Cheryl Burbank</t>
  </si>
  <si>
    <t>(978) 688-8200</t>
  </si>
  <si>
    <t>Hilton Garden Inn Schaumburg</t>
  </si>
  <si>
    <t xml:space="preserve">1191 Woodfield Road </t>
  </si>
  <si>
    <t>Adriana Cano</t>
  </si>
  <si>
    <t>Michael Grimes</t>
  </si>
  <si>
    <t>+ (847) 524-0455</t>
  </si>
  <si>
    <t>Converge Hospitality LLC</t>
  </si>
  <si>
    <t>Fairfield Inn Aurora</t>
  </si>
  <si>
    <t xml:space="preserve">13851 East Harvard Avenue </t>
  </si>
  <si>
    <t>Kimberly McGehee</t>
  </si>
  <si>
    <t>+ (303) 745-6700</t>
  </si>
  <si>
    <t>Hampton Inn Snyder</t>
  </si>
  <si>
    <t xml:space="preserve">1801 East Roby Highway </t>
  </si>
  <si>
    <t>Snyder</t>
  </si>
  <si>
    <t>+1 (325) 515) 7555</t>
  </si>
  <si>
    <t>Days Inn Six Flags</t>
  </si>
  <si>
    <t xml:space="preserve">910 North Collins Street </t>
  </si>
  <si>
    <t>Teai Tubbs</t>
  </si>
  <si>
    <t>+1 (817) 261-8444</t>
  </si>
  <si>
    <t>Thirty-Nine 23 Management LLC</t>
  </si>
  <si>
    <t>Tru by Hilton Amarillo West</t>
  </si>
  <si>
    <t xml:space="preserve">2202 South Soncy Road </t>
  </si>
  <si>
    <t>Danielle Yarber</t>
  </si>
  <si>
    <t>Drew Kennedy</t>
  </si>
  <si>
    <t>+1 (806) 803-7202</t>
  </si>
  <si>
    <t>Legacy Restaurant and Regners Tudor Lounge</t>
  </si>
  <si>
    <t xml:space="preserve">283 Christina Street North </t>
  </si>
  <si>
    <t>Sarnia</t>
  </si>
  <si>
    <t>N7T 5V4</t>
  </si>
  <si>
    <t>+1 (519) 337-7571</t>
  </si>
  <si>
    <t>JLL Americas Inc</t>
  </si>
  <si>
    <t>World Trade Center</t>
  </si>
  <si>
    <t xml:space="preserve">133 Greenwich Street </t>
  </si>
  <si>
    <t>Suk Hyun (Paul) Lee</t>
  </si>
  <si>
    <t>Anca Marginean</t>
  </si>
  <si>
    <t>+1(212)346-0088</t>
  </si>
  <si>
    <t>UNITED METHODIST RETIREMENT COMMUNITIES</t>
  </si>
  <si>
    <t>TANDEM 365</t>
  </si>
  <si>
    <t xml:space="preserve">1279 CEDAR STREET NE </t>
  </si>
  <si>
    <t>GRAND RAPIDS</t>
  </si>
  <si>
    <t>616-588-5290</t>
  </si>
  <si>
    <t>SENIOR COMMUNITY CARE OF MI PACE</t>
  </si>
  <si>
    <t xml:space="preserve">1921 EAST MILLER ROAD </t>
  </si>
  <si>
    <t>517-519-0700</t>
  </si>
  <si>
    <t>LIFE CIRCLES PACE II</t>
  </si>
  <si>
    <t xml:space="preserve">12330 JAMES STREET </t>
  </si>
  <si>
    <t>616-582-3100</t>
  </si>
  <si>
    <t>LIFE CIRCLES PACE</t>
  </si>
  <si>
    <t xml:space="preserve">560 SEMINOLE ROAD </t>
  </si>
  <si>
    <t>MUSKEGON</t>
  </si>
  <si>
    <t>231-733-8686</t>
  </si>
  <si>
    <t>KRESGE HEALTHCARE REHAB</t>
  </si>
  <si>
    <t xml:space="preserve">805 WEST MIDDLE STREET </t>
  </si>
  <si>
    <t>CHELSEA</t>
  </si>
  <si>
    <t>734-475-8633</t>
  </si>
  <si>
    <t>EMMANUEL HOSPICE</t>
  </si>
  <si>
    <t xml:space="preserve">401 HALL STREET SW </t>
  </si>
  <si>
    <t>616-719-0919</t>
  </si>
  <si>
    <t>ST DAVIDS BY HE SEA EPISCOPAL CHURCH</t>
  </si>
  <si>
    <t xml:space="preserve">600 SOUTH FOURTH STREET </t>
  </si>
  <si>
    <t>COCOA BEACH</t>
  </si>
  <si>
    <t>321-783-2554</t>
  </si>
  <si>
    <t>BUILDERS OF HOPE</t>
  </si>
  <si>
    <t xml:space="preserve">3720 OAK RIDGE DRIVE </t>
  </si>
  <si>
    <t>574-596-1541</t>
  </si>
  <si>
    <t>SUNSHINE HEALTH FACILITIES</t>
  </si>
  <si>
    <t>SUNSHINE MEMORY CARE</t>
  </si>
  <si>
    <t xml:space="preserve">1102 SOUTH RAYMOND ROAD </t>
  </si>
  <si>
    <t>SPOKANE VALLEY</t>
  </si>
  <si>
    <t>509-892-4342</t>
  </si>
  <si>
    <t>SUNSHINE HOME HEALTH</t>
  </si>
  <si>
    <t xml:space="preserve">10410 EAST 9TH AVENUE BLDG B </t>
  </si>
  <si>
    <t>509-321-9050</t>
  </si>
  <si>
    <t>SUNSHINE ADULT FAMILY HOMES</t>
  </si>
  <si>
    <t xml:space="preserve">919 SOUTH RAYMOND ROAD </t>
  </si>
  <si>
    <t>509-340-9298</t>
  </si>
  <si>
    <t>RENNES GROUP INC</t>
  </si>
  <si>
    <t xml:space="preserve">261 FRENCH STREET </t>
  </si>
  <si>
    <t>PESHTIGO</t>
  </si>
  <si>
    <t>715-923-8457</t>
  </si>
  <si>
    <t>PRESTIGE HEALTHCARE GROUP</t>
  </si>
  <si>
    <t>LEGENDS RECOVERY CENTER</t>
  </si>
  <si>
    <t xml:space="preserve">430 NORTH BROADWAY STREET SUITE B </t>
  </si>
  <si>
    <t>GREEN SPRINGS</t>
  </si>
  <si>
    <t>IVY PARK AT BRADFORD</t>
  </si>
  <si>
    <t xml:space="preserve">1180 BRADFORD AVENUE </t>
  </si>
  <si>
    <t>714-996-9292</t>
  </si>
  <si>
    <t>IVY PARK AT SAN JOSE</t>
  </si>
  <si>
    <t xml:space="preserve">4855 SAN FELIPE ROAD </t>
  </si>
  <si>
    <t>408-223-1312</t>
  </si>
  <si>
    <t>IVY PARK AT SAN RAMON</t>
  </si>
  <si>
    <t xml:space="preserve">9199 FIRCREST LANE </t>
  </si>
  <si>
    <t>SAN RAMON</t>
  </si>
  <si>
    <t>925-803-9100</t>
  </si>
  <si>
    <t>IVY PARK AT SALINAS</t>
  </si>
  <si>
    <t xml:space="preserve">1320 PADRE DRIVE </t>
  </si>
  <si>
    <t>SALINAS</t>
  </si>
  <si>
    <t>831-754-5532</t>
  </si>
  <si>
    <t>IVY PARK AT SANTA ROSA</t>
  </si>
  <si>
    <t xml:space="preserve">4225 WAYVEM DRIVE </t>
  </si>
  <si>
    <t>SANTA ROSA</t>
  </si>
  <si>
    <t>707-538-2590</t>
  </si>
  <si>
    <t>NOBLE SENIOR LIVING</t>
  </si>
  <si>
    <t>NOBLE SENIOR LIVING AT NEW BERLIN LLC</t>
  </si>
  <si>
    <t xml:space="preserve">2900 SOUTH MOORLAND ROAD </t>
  </si>
  <si>
    <t>WESTMONT AT SHORT PUMP</t>
  </si>
  <si>
    <t xml:space="preserve">14399 NORTH GAYTON ROAD </t>
  </si>
  <si>
    <t>GLEN ALLEN</t>
  </si>
  <si>
    <t>804-495-8880</t>
  </si>
  <si>
    <t>THE COLONNADE SENIOR LIVING</t>
  </si>
  <si>
    <t xml:space="preserve">700 WEBER DRIVE </t>
  </si>
  <si>
    <t>O'FALLON</t>
  </si>
  <si>
    <t>618-624-6229</t>
  </si>
  <si>
    <t>NEW STANDARD SENIOR LIVING AT EGG HARBOR TOWNSHIP</t>
  </si>
  <si>
    <t xml:space="preserve">6817 EAST BLACKHORSE PIKE </t>
  </si>
  <si>
    <t>EGG HARBOR TOWNSHIP</t>
  </si>
  <si>
    <t>ADAR HEALTHCARE</t>
  </si>
  <si>
    <t xml:space="preserve">600 BACON STREET </t>
  </si>
  <si>
    <t>MADISONVILLE</t>
  </si>
  <si>
    <t>936-345-9097</t>
  </si>
  <si>
    <t>PRIMROSE SCHOOL OF WEST CHESTER</t>
  </si>
  <si>
    <t xml:space="preserve">8378 PRINCETON GLENDALE ROAD </t>
  </si>
  <si>
    <t>WEST CHESTER</t>
  </si>
  <si>
    <t>513-870-0630</t>
  </si>
  <si>
    <t>JAY COUNTY SHERIFF DEPARTMENT</t>
  </si>
  <si>
    <t xml:space="preserve">224 WEST WATER STREET </t>
  </si>
  <si>
    <t>260-726-8188</t>
  </si>
  <si>
    <t>GRANT COUNTY JAIL</t>
  </si>
  <si>
    <t xml:space="preserve">401 SOUTH ADAMS STREET </t>
  </si>
  <si>
    <t>SPRING MILL HEALTH CAMPUS</t>
  </si>
  <si>
    <t xml:space="preserve">101 WEST 87TH AVENUE </t>
  </si>
  <si>
    <t>MERRILVILLE</t>
  </si>
  <si>
    <t>219-756-0744</t>
  </si>
  <si>
    <t>SYCAMORE SPRINGS SENIOR LIVING</t>
  </si>
  <si>
    <t xml:space="preserve">165 JERRY BAKER LANE </t>
  </si>
  <si>
    <t>MOUNTAIN HOME</t>
  </si>
  <si>
    <t>870-232-0541</t>
  </si>
  <si>
    <t>GOWER CONVALESCENT CENTER</t>
  </si>
  <si>
    <t xml:space="preserve">323 US-169 </t>
  </si>
  <si>
    <t>GOWER</t>
  </si>
  <si>
    <t>881-424-6483</t>
  </si>
  <si>
    <t>FREEMAN ACADEMY</t>
  </si>
  <si>
    <t xml:space="preserve">748 SOUTH MAIN STREET </t>
  </si>
  <si>
    <t>FREEMAN</t>
  </si>
  <si>
    <t>605-925-4237</t>
  </si>
  <si>
    <t>LEAN FEAST-ROCKLIN</t>
  </si>
  <si>
    <t xml:space="preserve">5130 COMMONS DRIVE </t>
  </si>
  <si>
    <t>ROCKLIN</t>
  </si>
  <si>
    <t>707-474-5069</t>
  </si>
  <si>
    <t>MCGRADYS IRISH PUB</t>
  </si>
  <si>
    <t xml:space="preserve">810 MARILEE PLACE </t>
  </si>
  <si>
    <t>HPSI:BARS LOUNGES BREWERIES</t>
  </si>
  <si>
    <t xml:space="preserve">3834 SUTHERLAND AVENUE </t>
  </si>
  <si>
    <t>COMMUNITY HEALTH SERVICES CORP</t>
  </si>
  <si>
    <t>LA BATISSE ON DOUSMAN</t>
  </si>
  <si>
    <t xml:space="preserve">700 SOUTH DOUSMAN STREET </t>
  </si>
  <si>
    <t>PRIAIRIE DU CHIEN</t>
  </si>
  <si>
    <t>608-326-8472</t>
  </si>
  <si>
    <t>BLUFF HAVEN ASSISTED LIVING</t>
  </si>
  <si>
    <t xml:space="preserve">720 SOUTH FREMONT STREET </t>
  </si>
  <si>
    <t>PRAIRIE DU CHIEN</t>
  </si>
  <si>
    <t>HUDSON BAY HEALTH AND REHAB</t>
  </si>
  <si>
    <t xml:space="preserve">8507 NE 8TH WAY </t>
  </si>
  <si>
    <t>VANCOUVER</t>
  </si>
  <si>
    <t>360-256-2980</t>
  </si>
  <si>
    <t>BRISTOL HOSPICE-GREENBAY</t>
  </si>
  <si>
    <t xml:space="preserve">2450 VELP AVENUE #101 </t>
  </si>
  <si>
    <t>GREENBAY</t>
  </si>
  <si>
    <t>BRISTOL FRESNO HOSPICE HOUSE</t>
  </si>
  <si>
    <t xml:space="preserve">494 WEST TWAIN AVENUE </t>
  </si>
  <si>
    <t>BRISTOL HOSPICE FEDERAL WAY</t>
  </si>
  <si>
    <t xml:space="preserve">135 SOUTH 336 STREET </t>
  </si>
  <si>
    <t>APOSTOLATE FOR FAMILY CONSECRATION</t>
  </si>
  <si>
    <t>HOLY FAMILY PARK</t>
  </si>
  <si>
    <t xml:space="preserve">4490 COUNTY ROAD 36 </t>
  </si>
  <si>
    <t>BLOOMINGDALE</t>
  </si>
  <si>
    <t>740-567-7700</t>
  </si>
  <si>
    <t>The Insignia Hotel</t>
  </si>
  <si>
    <t>Sabarina Bhinder</t>
  </si>
  <si>
    <t>+ (519) 337-7571</t>
  </si>
  <si>
    <t>Taqueria Los Parados</t>
  </si>
  <si>
    <t xml:space="preserve">Av. Universidad 540 Col. Letran del Valle Del. Benito Juarez </t>
  </si>
  <si>
    <t>+52 (55) 41441002</t>
  </si>
  <si>
    <t>Mañana World Deli</t>
  </si>
  <si>
    <t xml:space="preserve">Tonala 131 int 3 Col. Roma norte Del Cuahutemoc </t>
  </si>
  <si>
    <t>+52 (55) 5989 3262</t>
  </si>
  <si>
    <t>Virko Restaurantes Virreyes</t>
  </si>
  <si>
    <t xml:space="preserve">Pedregal 80 Lomas - Virreyes Molino del Rey 11000 Miguel Hidalgo </t>
  </si>
  <si>
    <t>Virko Restaurantes Del Valle</t>
  </si>
  <si>
    <t xml:space="preserve">Amores # 320 Col del Valle Nte Benito Juárez </t>
  </si>
  <si>
    <t>Delta Hotels Riviera Nayarit An All-Inclusive Resort</t>
  </si>
  <si>
    <t xml:space="preserve">Carr. La Cruz a Punta de Mita km 02 </t>
  </si>
  <si>
    <t>Cruz De Juanacaxtle</t>
  </si>
  <si>
    <t xml:space="preserve">Maria de los Angeles Aguirre Osorio </t>
  </si>
  <si>
    <t>+()52-322-115-7700</t>
  </si>
  <si>
    <t>Doubletree Tallahassee</t>
  </si>
  <si>
    <t xml:space="preserve">101 South Adams Street </t>
  </si>
  <si>
    <t>Pat Shimon</t>
  </si>
  <si>
    <t>Ray Balkey</t>
  </si>
  <si>
    <t>+1 (850) 224-5000</t>
  </si>
  <si>
    <t>Holiday Inn &amp; Suites Alexandria- Old Town</t>
  </si>
  <si>
    <t xml:space="preserve">625 First Street </t>
  </si>
  <si>
    <t>Leo Cappelli</t>
  </si>
  <si>
    <t>+ (703) 548-6300</t>
  </si>
  <si>
    <t>OAKLEAF PERSONAL CARE HOME</t>
  </si>
  <si>
    <t xml:space="preserve">3800 OAKLEAF ROAD </t>
  </si>
  <si>
    <t>412-881-8194</t>
  </si>
  <si>
    <t>AVALON HEALTH CARE</t>
  </si>
  <si>
    <t>UMPQUA VALLEY NURSING</t>
  </si>
  <si>
    <t xml:space="preserve">525 W UMPQUA STREET </t>
  </si>
  <si>
    <t>541-464-7100</t>
  </si>
  <si>
    <t>ROSE HAVEN NURSING CENTER</t>
  </si>
  <si>
    <t xml:space="preserve">740 NW HILL PLACE </t>
  </si>
  <si>
    <t>541-672-1631</t>
  </si>
  <si>
    <t>HEARTHSTONE NURSING &amp; REHAB</t>
  </si>
  <si>
    <t xml:space="preserve">2901 E BARNETT ROAD </t>
  </si>
  <si>
    <t>541-779-4221</t>
  </si>
  <si>
    <t>ROYALE GARDENS HEALTH &amp; REHAB</t>
  </si>
  <si>
    <t xml:space="preserve">2075 NW HIGHLAND AVENUE </t>
  </si>
  <si>
    <t>GRANTS PASS</t>
  </si>
  <si>
    <t>541-476-8891</t>
  </si>
  <si>
    <t>SOUTH HILLS REHABILITATION</t>
  </si>
  <si>
    <t xml:space="preserve">1166 E 28TH AVENUE </t>
  </si>
  <si>
    <t>EUGENE</t>
  </si>
  <si>
    <t>541-345-0534</t>
  </si>
  <si>
    <t>HIGHLAND HOUSE NURSING &amp; REHAB</t>
  </si>
  <si>
    <t xml:space="preserve">2201 NW HIGHLAND AVENUE </t>
  </si>
  <si>
    <t>541-474-1901</t>
  </si>
  <si>
    <t>HILLSIDE HEIGHTS REHAB</t>
  </si>
  <si>
    <t xml:space="preserve">1201 MCLEAN BLVD </t>
  </si>
  <si>
    <t>541-683-2155</t>
  </si>
  <si>
    <t>FRENCH PRAIRIE NURSING &amp; REHAB</t>
  </si>
  <si>
    <t xml:space="preserve">601 EVERGREEN ROAD </t>
  </si>
  <si>
    <t>WOODBURN</t>
  </si>
  <si>
    <t>503-982-0111</t>
  </si>
  <si>
    <t>GREEN VALLEY REHAB</t>
  </si>
  <si>
    <t xml:space="preserve">1735 ADKINS STREET </t>
  </si>
  <si>
    <t>541-683-5032</t>
  </si>
  <si>
    <t>CORVALIS NURSING &amp; REHAB</t>
  </si>
  <si>
    <t xml:space="preserve">160 NE CONIFER BLVD </t>
  </si>
  <si>
    <t>CORVALLIS</t>
  </si>
  <si>
    <t>541-757-1651</t>
  </si>
  <si>
    <t>Dolce - W Philadelphia</t>
  </si>
  <si>
    <t xml:space="preserve">1441 Chestnut Street </t>
  </si>
  <si>
    <t>Philadelphia</t>
  </si>
  <si>
    <t>Lynn Rinaldi</t>
  </si>
  <si>
    <t>+1 (516) 551-7087</t>
  </si>
  <si>
    <t>Home 2 Tru Blue Lagoon</t>
  </si>
  <si>
    <t xml:space="preserve">5560 Blue Lagoon Drive </t>
  </si>
  <si>
    <t>Andre Clarke</t>
  </si>
  <si>
    <t>Natalia Fernandez</t>
  </si>
  <si>
    <t>+1 (305) 567-2599</t>
  </si>
  <si>
    <t>Sleep Inn Carowinds</t>
  </si>
  <si>
    <t xml:space="preserve">3540 Lakemont BLVD </t>
  </si>
  <si>
    <t>Fort Mill</t>
  </si>
  <si>
    <t>Kanu Patel</t>
  </si>
  <si>
    <t>+ (803) 547-2300</t>
  </si>
  <si>
    <t>Microtel Inn &amp; Suites by Wyndham Charlotte University Place</t>
  </si>
  <si>
    <t xml:space="preserve">132 E. Mccullough Dr. </t>
  </si>
  <si>
    <t>Julia Wise</t>
  </si>
  <si>
    <t>+1 (704) 549-9900</t>
  </si>
  <si>
    <t>Candlewood Suites Huntersville</t>
  </si>
  <si>
    <t xml:space="preserve">16530 NORTHCROSS DR. </t>
  </si>
  <si>
    <t>Huntersville</t>
  </si>
  <si>
    <t>Helen Sammet</t>
  </si>
  <si>
    <t>+1 (704) 895-3434</t>
  </si>
  <si>
    <t>GREEN STREET RESTAURANT</t>
  </si>
  <si>
    <t xml:space="preserve">146 S SHOPPERS LANE </t>
  </si>
  <si>
    <t>PASADENA</t>
  </si>
  <si>
    <t>626-577-7170</t>
  </si>
  <si>
    <t>SLS Baha Mar</t>
  </si>
  <si>
    <t xml:space="preserve">One Baha Mar Boulevard </t>
  </si>
  <si>
    <t>Axel Gassel</t>
  </si>
  <si>
    <t>Xavier Moulin</t>
  </si>
  <si>
    <t>+(242)677-9000</t>
  </si>
  <si>
    <t>Yedla Management Company Inc.</t>
  </si>
  <si>
    <t>AC Hotel Nashville Brentwood</t>
  </si>
  <si>
    <t xml:space="preserve">5007 Maryland Way </t>
  </si>
  <si>
    <t>Brentwood</t>
  </si>
  <si>
    <t>Dennis Higgins</t>
  </si>
  <si>
    <t>+1 (615) 370-9865</t>
  </si>
  <si>
    <t>La Quinta Inn &amp; Suites Jacksonville</t>
  </si>
  <si>
    <t xml:space="preserve">1902 South Jackson Street </t>
  </si>
  <si>
    <t>+1 (903) 586-6504</t>
  </si>
  <si>
    <t>Sheraton Augusta Hotel</t>
  </si>
  <si>
    <t xml:space="preserve">1069 Stevens Creek Road </t>
  </si>
  <si>
    <t>Augusta</t>
  </si>
  <si>
    <t>Brad Wymer</t>
  </si>
  <si>
    <t>+1 (706) 396-1000</t>
  </si>
  <si>
    <t>Crowne Plaza Houston Galleria</t>
  </si>
  <si>
    <t xml:space="preserve">7611 Katy Freeway </t>
  </si>
  <si>
    <t>Lisa Nehal</t>
  </si>
  <si>
    <t>+1 (713) 680-2222</t>
  </si>
  <si>
    <t>Comfort Inn &amp; Suites Orlando North</t>
  </si>
  <si>
    <t xml:space="preserve">590 Ava Court </t>
  </si>
  <si>
    <t>Joe Puhl</t>
  </si>
  <si>
    <t>+1 (407) 585-1580</t>
  </si>
  <si>
    <t>COVENANT HOUSE FLORIDA-FT LAUDERDALE</t>
  </si>
  <si>
    <t xml:space="preserve">733 BREAKERS AVENUE </t>
  </si>
  <si>
    <t>954-568-7949</t>
  </si>
  <si>
    <t>COUNTRYSIDE CARE CENTER LLC</t>
  </si>
  <si>
    <t xml:space="preserve">925 N CORNELIA </t>
  </si>
  <si>
    <t>559-275-4785</t>
  </si>
  <si>
    <t>GATEWAY CARE CENTER LLC</t>
  </si>
  <si>
    <t xml:space="preserve">111 BARSTOW AVENUE </t>
  </si>
  <si>
    <t>CLOVIS</t>
  </si>
  <si>
    <t>559-299-2591</t>
  </si>
  <si>
    <t>FOWLER POST ACUTE LLC</t>
  </si>
  <si>
    <t xml:space="preserve">1306 E SUMMER </t>
  </si>
  <si>
    <t>FOWLER</t>
  </si>
  <si>
    <t>559-834-2542</t>
  </si>
  <si>
    <t>REEDLEY CARE CENTER LLC</t>
  </si>
  <si>
    <t xml:space="preserve">1090 EAST DINUBA </t>
  </si>
  <si>
    <t>REEDLEY</t>
  </si>
  <si>
    <t>559-368-3577</t>
  </si>
  <si>
    <t>PROMENADE CARE CENTER LLC</t>
  </si>
  <si>
    <t xml:space="preserve">2715 FRESNO STREET </t>
  </si>
  <si>
    <t>559-486-4433</t>
  </si>
  <si>
    <t>CENTERPOINTE CARE CENTER LLC</t>
  </si>
  <si>
    <t xml:space="preserve">3408 E SHIELDS AVENUE </t>
  </si>
  <si>
    <t>559-227-4063</t>
  </si>
  <si>
    <t>PRAIRIEVIEW LUTHERAN HOME</t>
  </si>
  <si>
    <t xml:space="preserve">403 N 4TH ST P O BOX 4 </t>
  </si>
  <si>
    <t>DANFORTH</t>
  </si>
  <si>
    <t>60930-0004</t>
  </si>
  <si>
    <t>(815) 269-2970</t>
  </si>
  <si>
    <t>SAN JOSE BEHAVIORAL HEALTH CENTER LLC</t>
  </si>
  <si>
    <t xml:space="preserve">401 RIDGE VISTA AVENUE </t>
  </si>
  <si>
    <t>408-923-7232</t>
  </si>
  <si>
    <t>El Global Investment Corp</t>
  </si>
  <si>
    <t>Tryp by Wyndham Mayaguez</t>
  </si>
  <si>
    <t xml:space="preserve">11 Este Santiago R. Palmer </t>
  </si>
  <si>
    <t>Mayaguez</t>
  </si>
  <si>
    <t>PR</t>
  </si>
  <si>
    <t>Puerto Rico</t>
  </si>
  <si>
    <t>Jeanetter Ruperto</t>
  </si>
  <si>
    <t>+1 (787) 505-2660</t>
  </si>
  <si>
    <t>SENIOR CARE AT HOME</t>
  </si>
  <si>
    <t xml:space="preserve">1417 E I-30 SUITE 1 </t>
  </si>
  <si>
    <t>GARLAND</t>
  </si>
  <si>
    <t>972-303-7569</t>
  </si>
  <si>
    <t>Club Specialists Bentwater LLC</t>
  </si>
  <si>
    <t xml:space="preserve">Bentwater Golf Club </t>
  </si>
  <si>
    <t xml:space="preserve">100 Golf Links Drive </t>
  </si>
  <si>
    <t>Acworth</t>
  </si>
  <si>
    <t>Chris Connolly</t>
  </si>
  <si>
    <t>+1 (770) 529-9554</t>
  </si>
  <si>
    <t>The Lexington New York City Autograph Collection</t>
  </si>
  <si>
    <t xml:space="preserve">511 Lexington Avenue at 48th Street </t>
  </si>
  <si>
    <t>Alex Crossman</t>
  </si>
  <si>
    <t>Hilda Garvey</t>
  </si>
  <si>
    <t>+1 (212) 755-4400</t>
  </si>
  <si>
    <t>WRC SENIOR SERVICES</t>
  </si>
  <si>
    <t>HIGHLAND OAKS</t>
  </si>
  <si>
    <t xml:space="preserve">2750 W HIGHLAND AVE </t>
  </si>
  <si>
    <t>ELGIN</t>
  </si>
  <si>
    <t>60124-4202</t>
  </si>
  <si>
    <t>(847) 741-4543</t>
  </si>
  <si>
    <t>KENDAL CORPORATION (THE)</t>
  </si>
  <si>
    <t>19348-2366</t>
  </si>
  <si>
    <t>KENDAL CROSSLANDS</t>
  </si>
  <si>
    <t xml:space="preserve">1660 E ST RD </t>
  </si>
  <si>
    <t>19348-2300</t>
  </si>
  <si>
    <t>(610) 388-1441</t>
  </si>
  <si>
    <t>CROSSLANDS WELLNESS CENTER</t>
  </si>
  <si>
    <t xml:space="preserve">1109 E BALTIMORE PIKE BLDG A </t>
  </si>
  <si>
    <t>KENDAL AT LONGWOOD</t>
  </si>
  <si>
    <t xml:space="preserve">1109 E BALTIMORE PIKE </t>
  </si>
  <si>
    <t>(610) 388-7001</t>
  </si>
  <si>
    <t>GOOD SAMARITAN - PONTIAC</t>
  </si>
  <si>
    <t xml:space="preserve">14335 OLD ROUTE 66 </t>
  </si>
  <si>
    <t>PONTIAC</t>
  </si>
  <si>
    <t>61764-2994</t>
  </si>
  <si>
    <t>(815) 844-5121</t>
  </si>
  <si>
    <t>FAIRHAVEN CHRISTIAN RETIREMENT CENTER</t>
  </si>
  <si>
    <t xml:space="preserve">3470 N ALPINE RD </t>
  </si>
  <si>
    <t>61114-4802</t>
  </si>
  <si>
    <t>(815) 877-1441</t>
  </si>
  <si>
    <t>CARTMEL</t>
  </si>
  <si>
    <t xml:space="preserve">1109 E.BALTIMORE PIKE BLDG B </t>
  </si>
  <si>
    <t>CONISTON</t>
  </si>
  <si>
    <t>ADMIRAL AT THE LAKE</t>
  </si>
  <si>
    <t xml:space="preserve">292 W FOSTER AVE </t>
  </si>
  <si>
    <t>60640-2201</t>
  </si>
  <si>
    <t>(773) 433-1800</t>
  </si>
  <si>
    <t>BARCLAY FRIENDS</t>
  </si>
  <si>
    <t xml:space="preserve">700 N FRANKLIN ST </t>
  </si>
  <si>
    <t>19380-2334</t>
  </si>
  <si>
    <t>HPSI:NURSING HOME</t>
  </si>
  <si>
    <t>(610) 696-5211</t>
  </si>
  <si>
    <t>UNITED METHODIST VLG LAWRENCEVL*</t>
  </si>
  <si>
    <t xml:space="preserve">2101 JAMES STREET </t>
  </si>
  <si>
    <t>LAWRENCEVILLE</t>
  </si>
  <si>
    <t>618-943-3347</t>
  </si>
  <si>
    <t>LAMPLIGHT OF MAPLE HEIGHTS*</t>
  </si>
  <si>
    <t xml:space="preserve">5500 NORTHFIELD ROAD </t>
  </si>
  <si>
    <t>216-510-4336</t>
  </si>
  <si>
    <t>QUALITY HEALTH CARE (SEE # 930520)*</t>
  </si>
  <si>
    <t xml:space="preserve">3536 Washington Ave. </t>
  </si>
  <si>
    <t>513-751-4900</t>
  </si>
  <si>
    <t>BLUE RIDGE REHABILITATION CENTER (SEE # 010176)*</t>
  </si>
  <si>
    <t xml:space="preserve">P.O. BOX 4904 </t>
  </si>
  <si>
    <t>276-638-8701</t>
  </si>
  <si>
    <t>SANGER CARE CENTER LLC</t>
  </si>
  <si>
    <t xml:space="preserve">2550 9TH STREET </t>
  </si>
  <si>
    <t>SANGER</t>
  </si>
  <si>
    <t>559-875-6501</t>
  </si>
  <si>
    <t>Coury Hospitality LLC</t>
  </si>
  <si>
    <t>Hotel Indy</t>
  </si>
  <si>
    <t xml:space="preserve">141 East Washington Street </t>
  </si>
  <si>
    <t>Jocelyn Kraus</t>
  </si>
  <si>
    <t>Hotel Reflec Krystal Grand Los Cabos</t>
  </si>
  <si>
    <t>Carr. Transpeninsular Km. 29 La Jolla</t>
  </si>
  <si>
    <t>Cuauhtemoc Barrera</t>
  </si>
  <si>
    <t>+1 (322) 226-1060</t>
  </si>
  <si>
    <t>Hotel Reflec Krystal Grand Puerto Vallarta</t>
  </si>
  <si>
    <t xml:space="preserve">Blvd. Costero #800 Flamingos Sur </t>
  </si>
  <si>
    <t>Riviera Nayarit</t>
  </si>
  <si>
    <t>Cuahutemoc Barrera</t>
  </si>
  <si>
    <t>Hotel Hard Rock Guadalajara</t>
  </si>
  <si>
    <t xml:space="preserve">Av. Vallarta No. 5145 Col Camino </t>
  </si>
  <si>
    <t>Zapopan</t>
  </si>
  <si>
    <t>Constanza Hernandez</t>
  </si>
  <si>
    <t>+33 (3000) 2100</t>
  </si>
  <si>
    <t>Hotel Bel Air Cancún</t>
  </si>
  <si>
    <t>Blvd. Kukulcán Km. 20.5 Lt. 65-a C.P. 77500 Zona Hotelera</t>
  </si>
  <si>
    <t>Miguel Rico</t>
  </si>
  <si>
    <t>+1 (998) 193-1770</t>
  </si>
  <si>
    <t>THE COVENTRY ASSISTED LIVING (MERGE WITH # 020441)*</t>
  </si>
  <si>
    <t xml:space="preserve">6895 S WHITMORE WAY </t>
  </si>
  <si>
    <t>801-943-3909</t>
  </si>
  <si>
    <t>SLS Hotel South Beach</t>
  </si>
  <si>
    <t xml:space="preserve">1701 Collins Avenue </t>
  </si>
  <si>
    <t>Simon Sorpresi</t>
  </si>
  <si>
    <t>+1 (305) 534-3500</t>
  </si>
  <si>
    <t>THE BLUFFS SENIOR COMMUNITY*</t>
  </si>
  <si>
    <t xml:space="preserve">1000 BLUFF VIEW </t>
  </si>
  <si>
    <t>906-483-4400</t>
  </si>
  <si>
    <t>BELLHAVEN NURSING CENTER (SEE #465833/MERGED)*</t>
  </si>
  <si>
    <t xml:space="preserve">110 BEAVER DAM ROAD </t>
  </si>
  <si>
    <t>631-286-8100</t>
  </si>
  <si>
    <t>MURRAY STATE UNIVERSITY*</t>
  </si>
  <si>
    <t xml:space="preserve">100 WINSLOW DINING HALL </t>
  </si>
  <si>
    <t>MURAY</t>
  </si>
  <si>
    <t>HPSI:UNIVERSITIES COLLEGES</t>
  </si>
  <si>
    <t>270-807-6990</t>
  </si>
  <si>
    <t>MU-STARBUCKS*</t>
  </si>
  <si>
    <t xml:space="preserve">43450 5518 HITT STREET </t>
  </si>
  <si>
    <t>573-882-9197</t>
  </si>
  <si>
    <t>Postcard Inn</t>
  </si>
  <si>
    <t xml:space="preserve">84001 Overseas Highway </t>
  </si>
  <si>
    <t>Rob Bulkiewicz</t>
  </si>
  <si>
    <t>+1 (305) 664-2321</t>
  </si>
  <si>
    <t>Amara Cay</t>
  </si>
  <si>
    <t xml:space="preserve">80001 Overseas Highway </t>
  </si>
  <si>
    <t>Upper Matecumbe key</t>
  </si>
  <si>
    <t>Lauren Clevenger</t>
  </si>
  <si>
    <t>Tiffiany Holmes</t>
  </si>
  <si>
    <t>+1 (615) 243-9897</t>
  </si>
  <si>
    <t>Pelican Cove Resort</t>
  </si>
  <si>
    <t xml:space="preserve">84457 Overseas Highway </t>
  </si>
  <si>
    <t>+1 (305) 395-9795</t>
  </si>
  <si>
    <t>La Siesta</t>
  </si>
  <si>
    <t xml:space="preserve">80241 Overseas Highway </t>
  </si>
  <si>
    <t>Andrea Robinson</t>
  </si>
  <si>
    <t>+1 (305) 664-2132</t>
  </si>
  <si>
    <t>Riu Jamaicotel Ltd</t>
  </si>
  <si>
    <t>Hotel Riu Negril</t>
  </si>
  <si>
    <t xml:space="preserve">Norman Manley Boulevard Bloody Bay </t>
  </si>
  <si>
    <t>Negril</t>
  </si>
  <si>
    <t>JA</t>
  </si>
  <si>
    <t>Jose Gabriel Sanchez</t>
  </si>
  <si>
    <t>+1 (876) 433-8335</t>
  </si>
  <si>
    <t>Hotel Riu Montego Bay</t>
  </si>
  <si>
    <t xml:space="preserve">Mahoe Bay. Rose Hall Ironshore P.O </t>
  </si>
  <si>
    <t>Jose Gabirel Sanchez</t>
  </si>
  <si>
    <t>Hotel Riu Palace Jamaica</t>
  </si>
  <si>
    <t xml:space="preserve">Mahoe Bay Rose Hall - Ironshore P.O </t>
  </si>
  <si>
    <t>+1 (876) 433-8355</t>
  </si>
  <si>
    <t>Hotel Riu Reggae</t>
  </si>
  <si>
    <t xml:space="preserve">Rose Hall Mahoe Bay </t>
  </si>
  <si>
    <t>Windsor Inn Petoskey</t>
  </si>
  <si>
    <t xml:space="preserve">1859 US 131 </t>
  </si>
  <si>
    <t>Petoskey</t>
  </si>
  <si>
    <t>Becky Hosler</t>
  </si>
  <si>
    <t>+1 (231) 348-3324</t>
  </si>
  <si>
    <t>Donohoe Hospitality Services LLC</t>
  </si>
  <si>
    <t>Cambria Portland Old Port</t>
  </si>
  <si>
    <t xml:space="preserve">25 Hancock Street </t>
  </si>
  <si>
    <t>Tanja Grindl</t>
  </si>
  <si>
    <t>+1 (207) 216-5050</t>
  </si>
  <si>
    <t xml:space="preserve">BH RIU HOTELS LIMITED </t>
  </si>
  <si>
    <t>Hotel Riu Palace Paradise Island</t>
  </si>
  <si>
    <t xml:space="preserve">6307 Casino Drive </t>
  </si>
  <si>
    <t>Jose Sanchez</t>
  </si>
  <si>
    <t>Port Marly Ltd.</t>
  </si>
  <si>
    <t>Hotel Riu Ocho Rios</t>
  </si>
  <si>
    <t>Mammee Bay Ocho Rios Mammee Bay Road</t>
  </si>
  <si>
    <t>Ocho Rios</t>
  </si>
  <si>
    <t>Hotel Riu Palace Tropical Bay</t>
  </si>
  <si>
    <t xml:space="preserve">Norman Manley Blvd </t>
  </si>
  <si>
    <t>BUFFALO CROSSINGS HEALTHCARE AND REHAB CENTER</t>
  </si>
  <si>
    <t xml:space="preserve">3875 WEDGEWOOD LN </t>
  </si>
  <si>
    <t>352-674-4800</t>
  </si>
  <si>
    <t>ARLINGTON OF NAPLES (THE)</t>
  </si>
  <si>
    <t xml:space="preserve">8060 LELY CULTURAL PKWY </t>
  </si>
  <si>
    <t>239 307300</t>
  </si>
  <si>
    <t>SPRING CREEK TERRACE</t>
  </si>
  <si>
    <t xml:space="preserve">3155 E MOUND RD </t>
  </si>
  <si>
    <t>217-422-6361</t>
  </si>
  <si>
    <t>Aloft Providence</t>
  </si>
  <si>
    <t xml:space="preserve">191 Dorrance Street </t>
  </si>
  <si>
    <t>Michael Canini</t>
  </si>
  <si>
    <t>+(401)252-0710</t>
  </si>
  <si>
    <t>Home2 Suites Hayward</t>
  </si>
  <si>
    <t xml:space="preserve">22101 Skywest Drive </t>
  </si>
  <si>
    <t>Hayward</t>
  </si>
  <si>
    <t>Kristi Melendez</t>
  </si>
  <si>
    <t>+1 (707) 386-6358</t>
  </si>
  <si>
    <t>Mandarin Oriental Hotel Group</t>
  </si>
  <si>
    <t>Mandarin Oriental Canouan</t>
  </si>
  <si>
    <t xml:space="preserve">Grand Bay Street </t>
  </si>
  <si>
    <t>Canouan Island</t>
  </si>
  <si>
    <t>VCT</t>
  </si>
  <si>
    <t>Saint Vincent and the Grenadines</t>
  </si>
  <si>
    <t>Mandarin Oriental</t>
  </si>
  <si>
    <t>Durate Correia</t>
  </si>
  <si>
    <t>John Kitchens</t>
  </si>
  <si>
    <t>+1 (784) 431-4500</t>
  </si>
  <si>
    <t>Summit Hospitality Group Ltd.</t>
  </si>
  <si>
    <t>AC Hotel Raleigh Downtown</t>
  </si>
  <si>
    <t xml:space="preserve">9 Glenwood Ave </t>
  </si>
  <si>
    <t>Raleigh</t>
  </si>
  <si>
    <t>Pete Byers</t>
  </si>
  <si>
    <t>+(919)803-5100</t>
  </si>
  <si>
    <t>Aloft Nashville Cool Springs</t>
  </si>
  <si>
    <t xml:space="preserve">7109 South Springs Drive </t>
  </si>
  <si>
    <t>Justin Aldrich</t>
  </si>
  <si>
    <t>Nick Boulas</t>
  </si>
  <si>
    <t>+1 (615) 435-8700</t>
  </si>
  <si>
    <t>Deployed Resources - Fort Hood</t>
  </si>
  <si>
    <t>West Fort Hood Clark Road Suite 91071</t>
  </si>
  <si>
    <t>Fort Hood</t>
  </si>
  <si>
    <t>Deployed Resources - Fort McCoy</t>
  </si>
  <si>
    <t xml:space="preserve">1538 S J Street </t>
  </si>
  <si>
    <t>Fort Mccoy</t>
  </si>
  <si>
    <t>COORDINATED SERVICES MANAGEMENT</t>
  </si>
  <si>
    <t xml:space="preserve">MARYWOOD </t>
  </si>
  <si>
    <t xml:space="preserve">1261 MARYWOOD LANE </t>
  </si>
  <si>
    <t>804-740-5567</t>
  </si>
  <si>
    <t>Colony Palms LLC</t>
  </si>
  <si>
    <t>The Colony Palms Hotel &amp; Bungalows</t>
  </si>
  <si>
    <t xml:space="preserve">572 N INDIAN CANYON DR </t>
  </si>
  <si>
    <t>Peter Lenton</t>
  </si>
  <si>
    <t>Andrea Loyola</t>
  </si>
  <si>
    <t>+ (760) 325-1111</t>
  </si>
  <si>
    <t>Hotel Vetro Iowa City Tapestry Collection by Hilton</t>
  </si>
  <si>
    <t xml:space="preserve">201 South Linn Street </t>
  </si>
  <si>
    <t>Iowa City</t>
  </si>
  <si>
    <t>Abigail Heald</t>
  </si>
  <si>
    <t>+1 (319) 337-4961</t>
  </si>
  <si>
    <t>Posh Hospitality Group</t>
  </si>
  <si>
    <t>Clarion Hotel Joliet Banquet &amp; Conference Center</t>
  </si>
  <si>
    <t xml:space="preserve">411 South Larkin Street </t>
  </si>
  <si>
    <t>Joilet</t>
  </si>
  <si>
    <t>Debra Fruend</t>
  </si>
  <si>
    <t>+ (815) 729-2000</t>
  </si>
  <si>
    <t>Hilton Garden Inn Edison</t>
  </si>
  <si>
    <t xml:space="preserve">50 Raritan Center Parkway </t>
  </si>
  <si>
    <t>Edison</t>
  </si>
  <si>
    <t>08837-3605</t>
  </si>
  <si>
    <t>Sean Meuerle</t>
  </si>
  <si>
    <t>Louie Tolentino</t>
  </si>
  <si>
    <t>+1 (732) 225-0900</t>
  </si>
  <si>
    <t>The Westin Sacramento</t>
  </si>
  <si>
    <t xml:space="preserve">4800 Riverside Boulevard </t>
  </si>
  <si>
    <t>Ryan Opatz</t>
  </si>
  <si>
    <t>+1 (916) 443-8400</t>
  </si>
  <si>
    <t>Sheraton Pasadena Hotel</t>
  </si>
  <si>
    <t xml:space="preserve">303 Cordova Street </t>
  </si>
  <si>
    <t>Carlos Mendoza</t>
  </si>
  <si>
    <t>+ (626) 449-4000</t>
  </si>
  <si>
    <t>Embassy Suites Palm Desert</t>
  </si>
  <si>
    <t xml:space="preserve">74-700 Highway 111 </t>
  </si>
  <si>
    <t>Palm Desert</t>
  </si>
  <si>
    <t>Malia Mailangi</t>
  </si>
  <si>
    <t>+1 (760) 340-6600</t>
  </si>
  <si>
    <t>Holiday Inn Hotel &amp; Suites San Mateo</t>
  </si>
  <si>
    <t xml:space="preserve">330 North Bayshore Boulevard </t>
  </si>
  <si>
    <t>San Mateo</t>
  </si>
  <si>
    <t>Gustavo Valencia Rios</t>
  </si>
  <si>
    <t>Luis Leon</t>
  </si>
  <si>
    <t>+1 (650) 344-3219</t>
  </si>
  <si>
    <t>Holiday Inn Hotel &amp; Suites Anaheim</t>
  </si>
  <si>
    <t xml:space="preserve">1240 South Walnut Street </t>
  </si>
  <si>
    <t>Tae Chung</t>
  </si>
  <si>
    <t>+1 (714) 535-0300</t>
  </si>
  <si>
    <t>METRO LUTHERAN MINISTRY</t>
  </si>
  <si>
    <t xml:space="preserve">2031 HOLMES STREET </t>
  </si>
  <si>
    <t>816-285-3117</t>
  </si>
  <si>
    <t>MISSION AT THE EASTWARD</t>
  </si>
  <si>
    <t xml:space="preserve">587 FAIRBANKS ROAD </t>
  </si>
  <si>
    <t>FARMINGTON</t>
  </si>
  <si>
    <t>207-778-4705</t>
  </si>
  <si>
    <t>ALLAY HEALTH AND REHAB</t>
  </si>
  <si>
    <t xml:space="preserve">3115 BOWMAN ROAD </t>
  </si>
  <si>
    <t>LITTLE ROCK</t>
  </si>
  <si>
    <t>501-228-4848</t>
  </si>
  <si>
    <t>BARROW CREEK HEALTH AND REHAB</t>
  </si>
  <si>
    <t xml:space="preserve">2600 BARROW ROAD </t>
  </si>
  <si>
    <t>501-224-4173</t>
  </si>
  <si>
    <t>LUTHERAN CARE CENTER</t>
  </si>
  <si>
    <t>LUTHERAN CHILDCARE CENTER</t>
  </si>
  <si>
    <t xml:space="preserve">702 WEST CUMBERLAND </t>
  </si>
  <si>
    <t>ALTAMONT</t>
  </si>
  <si>
    <t>618-483-6136</t>
  </si>
  <si>
    <t>INTEGRO HEALTHCARE SERVICES</t>
  </si>
  <si>
    <t>91ST AVENUE OPERATION</t>
  </si>
  <si>
    <t xml:space="preserve">3000 91ST AVENUE </t>
  </si>
  <si>
    <t>PHOENIX</t>
  </si>
  <si>
    <t>ROYALWOOD CARE CENTER</t>
  </si>
  <si>
    <t xml:space="preserve">22520 MAPLE AVENUE </t>
  </si>
  <si>
    <t>TORRANCE</t>
  </si>
  <si>
    <t>GLENDORA CANYON TRANSITIONAL CARE UNIT</t>
  </si>
  <si>
    <t xml:space="preserve">401 WEST ADA AVENUE </t>
  </si>
  <si>
    <t xml:space="preserve">6422 COLDWATER CANYON AVENUE #100 </t>
  </si>
  <si>
    <t>BALDWN GARDENS NURSING CENTER</t>
  </si>
  <si>
    <t xml:space="preserve">10786 LIVE OAK AVENUE </t>
  </si>
  <si>
    <t>TEMPLE CITY</t>
  </si>
  <si>
    <t>ELEVATE HEALTHCARE</t>
  </si>
  <si>
    <t xml:space="preserve">7475 NORTH PALM AVENUE </t>
  </si>
  <si>
    <t>RENNES HEALTH AND REHAB CENTER-WESTON</t>
  </si>
  <si>
    <t xml:space="preserve">4810 BARBICAN AVENUE </t>
  </si>
  <si>
    <t>SESTON</t>
  </si>
  <si>
    <t>715-393-0400</t>
  </si>
  <si>
    <t>DEERFIELD RETIREMENT COMMUNITY</t>
  </si>
  <si>
    <t xml:space="preserve">13731 HICKMAN ROAD </t>
  </si>
  <si>
    <t>URBANDALE</t>
  </si>
  <si>
    <t>RENAISSANCE DEPERE</t>
  </si>
  <si>
    <t xml:space="preserve">250 SOUTH 9TH STREET </t>
  </si>
  <si>
    <t>DEPERE</t>
  </si>
  <si>
    <t>920-983-5100</t>
  </si>
  <si>
    <t>RENAISSANCE APPLETON</t>
  </si>
  <si>
    <t xml:space="preserve">301 EAST FLORIDA AVENUE </t>
  </si>
  <si>
    <t>920-380-1100</t>
  </si>
  <si>
    <t>BOYS AND GIRLS CLUB OF FORT WAYNE</t>
  </si>
  <si>
    <t xml:space="preserve">2609 FAIRFIELD AVENUE </t>
  </si>
  <si>
    <t>270-577-0534</t>
  </si>
  <si>
    <t>UNITED MINIMALLY INVASIVE SURGERY CENTER LLC</t>
  </si>
  <si>
    <t xml:space="preserve">2116 BABCOCK ROAD </t>
  </si>
  <si>
    <t>HPSI:SURGERY CENTER</t>
  </si>
  <si>
    <t>210-686-3187</t>
  </si>
  <si>
    <t>HOMEPLACE OF HENDERSON</t>
  </si>
  <si>
    <t xml:space="preserve">3104 GREENRIVER ROAD </t>
  </si>
  <si>
    <t>GRAND LODGE</t>
  </si>
  <si>
    <t xml:space="preserve">4400 SOUTH 80TH STREET </t>
  </si>
  <si>
    <t>BENTON CIVIC CENTER</t>
  </si>
  <si>
    <t xml:space="preserve">414 WEST HUDELSON STREET </t>
  </si>
  <si>
    <t>618-435-5700</t>
  </si>
  <si>
    <t>RENNES HEALTH AND REHAB CENTER-EAST</t>
  </si>
  <si>
    <t xml:space="preserve">701 WILLOW STREET </t>
  </si>
  <si>
    <t>715-582-3962</t>
  </si>
  <si>
    <t>RENNES HEALTH AND REHAB CENTER-DEPERE</t>
  </si>
  <si>
    <t xml:space="preserve">200 SOUTH 9TH STREET </t>
  </si>
  <si>
    <t>920-336-5680</t>
  </si>
  <si>
    <t>BARIZAN</t>
  </si>
  <si>
    <t xml:space="preserve">4035 WHITTALL WAY </t>
  </si>
  <si>
    <t>804-360-7475</t>
  </si>
  <si>
    <t>RENNES HEALTH AND REHAB CENTER-WEST</t>
  </si>
  <si>
    <t xml:space="preserve">501 NORTH LAKE STREET </t>
  </si>
  <si>
    <t>715-582-3906</t>
  </si>
  <si>
    <t>RENNES HEALTH AND REHAB CENTER-RHINELANDER</t>
  </si>
  <si>
    <t xml:space="preserve">1790 NAVAJO STREET </t>
  </si>
  <si>
    <t>RHINELANDER</t>
  </si>
  <si>
    <t>715-420-0728</t>
  </si>
  <si>
    <t>RENAISSANCE WISCONSIN RAPIDS</t>
  </si>
  <si>
    <t xml:space="preserve">1500 PEPPER AVENUE </t>
  </si>
  <si>
    <t>WISCONSIN RAPIDS</t>
  </si>
  <si>
    <t>715-424-6500</t>
  </si>
  <si>
    <t>OUTREACH AND CRISIS COUNSELING SERVICES</t>
  </si>
  <si>
    <t xml:space="preserve">1547 WEST BROAD STREET </t>
  </si>
  <si>
    <t>614-352-2620</t>
  </si>
  <si>
    <t>SPARTAN PARK AND SPORTS</t>
  </si>
  <si>
    <t xml:space="preserve">7250 IRON BRIDGE ROAD </t>
  </si>
  <si>
    <t>CHATHAM</t>
  </si>
  <si>
    <t>217-725-1881</t>
  </si>
  <si>
    <t>RESIDENCE DEPERE</t>
  </si>
  <si>
    <t xml:space="preserve">1150 LOIS STREET </t>
  </si>
  <si>
    <t>920-983-5200</t>
  </si>
  <si>
    <t>RENAISSANCE WESTON</t>
  </si>
  <si>
    <t xml:space="preserve">4602 BARBICAN AVENUE </t>
  </si>
  <si>
    <t>715-355-5858</t>
  </si>
  <si>
    <t>RENAISSANCE MARINETTE</t>
  </si>
  <si>
    <t xml:space="preserve">2909 SHORE DRIVE </t>
  </si>
  <si>
    <t>MARINETTE</t>
  </si>
  <si>
    <t>715-735-2100</t>
  </si>
  <si>
    <t>RENEES HEALTH AND REHAB CENTER-APPLETON</t>
  </si>
  <si>
    <t xml:space="preserve">325 EAST FLORIDA AVENUE </t>
  </si>
  <si>
    <t>920-731-7310</t>
  </si>
  <si>
    <t>CHEYENNE MEDICAL LODGE</t>
  </si>
  <si>
    <t xml:space="preserve">750 SOUTH HIGHWAY 352 </t>
  </si>
  <si>
    <t>972-788-8900</t>
  </si>
  <si>
    <t>PRINCETON MEDICAL LODGE</t>
  </si>
  <si>
    <t xml:space="preserve">1401 WEST PRINCETON </t>
  </si>
  <si>
    <t>PRINCETON</t>
  </si>
  <si>
    <t>972-734-2100</t>
  </si>
  <si>
    <t>FULTON CENTER FOR REHAB LLC</t>
  </si>
  <si>
    <t xml:space="preserve">2850 SPRINGDALE ROAD SW </t>
  </si>
  <si>
    <t>ATLANTA</t>
  </si>
  <si>
    <t>404-762-8672</t>
  </si>
  <si>
    <t>RIVERDALE CENTER FOR NURSING AND HEALING</t>
  </si>
  <si>
    <t xml:space="preserve">315 UPPER RIVERDALE ROAD </t>
  </si>
  <si>
    <t>770-991-1050</t>
  </si>
  <si>
    <t xml:space="preserve">CARTERSVILLE NURSING FOR NURSING AND HEALING </t>
  </si>
  <si>
    <t xml:space="preserve">78 OPAL STREET </t>
  </si>
  <si>
    <t>CARTERSVILLE</t>
  </si>
  <si>
    <t>770-382-6120</t>
  </si>
  <si>
    <t>OCOEE HEALTH CARE CENTER</t>
  </si>
  <si>
    <t xml:space="preserve">1556 MAGUIRE ROAD </t>
  </si>
  <si>
    <t>OCOEE</t>
  </si>
  <si>
    <t>407-877-2272</t>
  </si>
  <si>
    <t>RENAISSANCE HEALTHCARE LLC</t>
  </si>
  <si>
    <t xml:space="preserve">415 AIRPORT ROAD </t>
  </si>
  <si>
    <t>GRIFFIN</t>
  </si>
  <si>
    <t>770-227-8636</t>
  </si>
  <si>
    <t>AMBEST</t>
  </si>
  <si>
    <t>INDIAN KITCHEN</t>
  </si>
  <si>
    <t xml:space="preserve">74901 CA HIGHWAY 111 SOUTH </t>
  </si>
  <si>
    <t>INDIAN WELLS</t>
  </si>
  <si>
    <t>310-971-3891</t>
  </si>
  <si>
    <t>MERRIMENT ASSISTED LIVING</t>
  </si>
  <si>
    <t xml:space="preserve">1835 WILSON STREET </t>
  </si>
  <si>
    <t>MIDTOWN MANOR-HOLLYWOOD</t>
  </si>
  <si>
    <t xml:space="preserve">2001 POLK STREET </t>
  </si>
  <si>
    <t>AZALEA GARDENS</t>
  </si>
  <si>
    <t xml:space="preserve">1701 MAYO STREET </t>
  </si>
  <si>
    <t>THE RESIDENCE AT DANIA BEACH</t>
  </si>
  <si>
    <t xml:space="preserve">150 STERLING ROAD </t>
  </si>
  <si>
    <t>DANIA BEACH</t>
  </si>
  <si>
    <t>Comfort Inn DFW North</t>
  </si>
  <si>
    <t xml:space="preserve">5000 West John Carpenter Fwy </t>
  </si>
  <si>
    <t>Bhavik Gordhandas</t>
  </si>
  <si>
    <t>+1 (972) 929-5757</t>
  </si>
  <si>
    <t xml:space="preserve">Etéreo Auberge Resorts Collection </t>
  </si>
  <si>
    <t xml:space="preserve">Lote 13 Manzana 002 Predio Kanai Riviera Maya </t>
  </si>
  <si>
    <t>Playa del Carmen</t>
  </si>
  <si>
    <t>David Arraya</t>
  </si>
  <si>
    <t>+1 (855) 725-5333</t>
  </si>
  <si>
    <t>Thompson Denver</t>
  </si>
  <si>
    <t xml:space="preserve">1616 Market Street </t>
  </si>
  <si>
    <t>Amanda Parsons</t>
  </si>
  <si>
    <t>Chase Wilbanks</t>
  </si>
  <si>
    <t>+()3036034105</t>
  </si>
  <si>
    <t>Vegreville Pomeroy Inn &amp; Suites</t>
  </si>
  <si>
    <t xml:space="preserve">6539 Highway 16A West </t>
  </si>
  <si>
    <t>Vegreville</t>
  </si>
  <si>
    <t>T9C 0A3</t>
  </si>
  <si>
    <t>Mikhail General Manager</t>
  </si>
  <si>
    <t>+1 (780) 632-2094</t>
  </si>
  <si>
    <t>AutoCamp Joshua Tree</t>
  </si>
  <si>
    <t xml:space="preserve">62209 Verbena Road </t>
  </si>
  <si>
    <t>Joshua Tree</t>
  </si>
  <si>
    <t>Adam Evans</t>
  </si>
  <si>
    <t>Chris Rodriguez</t>
  </si>
  <si>
    <t>+()9492461754</t>
  </si>
  <si>
    <t>Downtown Duluth Inn</t>
  </si>
  <si>
    <t xml:space="preserve">131 West 2nd Street </t>
  </si>
  <si>
    <t>Christina Lindgren</t>
  </si>
  <si>
    <t>+1 (218) 727-6851</t>
  </si>
  <si>
    <t>SLS Lux Hotel</t>
  </si>
  <si>
    <t xml:space="preserve">805 South Miami Avenue </t>
  </si>
  <si>
    <t>Mark Napoli</t>
  </si>
  <si>
    <t>+1 (305) 859-0202</t>
  </si>
  <si>
    <t>STONE CREEK VILLAGE</t>
  </si>
  <si>
    <t xml:space="preserve">13420 N 21ST PL </t>
  </si>
  <si>
    <t>602 788099</t>
  </si>
  <si>
    <t>VERDE VIEW</t>
  </si>
  <si>
    <t xml:space="preserve">377 W HWY 260 </t>
  </si>
  <si>
    <t>CAMP VERDE</t>
  </si>
  <si>
    <t>928 567937</t>
  </si>
  <si>
    <t>ESKATON</t>
  </si>
  <si>
    <t>ESKATON WILSON MANOR</t>
  </si>
  <si>
    <t xml:space="preserve">2140 EVERGREEN AVE </t>
  </si>
  <si>
    <t>916-371-2060</t>
  </si>
  <si>
    <t>ESKATON ADULT DAY HEALTH CENTER CARMICHAE</t>
  </si>
  <si>
    <t xml:space="preserve">5105 MANZANITA AVE </t>
  </si>
  <si>
    <t>916-334-0296</t>
  </si>
  <si>
    <t>ESKATON HAYFORK MANOR</t>
  </si>
  <si>
    <t xml:space="preserve">183 HYAMPOM RD </t>
  </si>
  <si>
    <t>HAYFORK</t>
  </si>
  <si>
    <t>ESKATON NATOMAS MANOR</t>
  </si>
  <si>
    <t xml:space="preserve">2400 NORTHVIEW DR </t>
  </si>
  <si>
    <t>916-920-3282</t>
  </si>
  <si>
    <t>ARBOR COURT</t>
  </si>
  <si>
    <t xml:space="preserve">701 MAPLELEAF DRIVE </t>
  </si>
  <si>
    <t>MT PLEASANT</t>
  </si>
  <si>
    <t>319-385-1400</t>
  </si>
  <si>
    <t>Corral de Tierra Country Club Corp.</t>
  </si>
  <si>
    <t>Corral De Tierra Country Club</t>
  </si>
  <si>
    <t xml:space="preserve">81 Corral de Tierra Rd </t>
  </si>
  <si>
    <t>Salinas</t>
  </si>
  <si>
    <t>Scott Ferreira</t>
  </si>
  <si>
    <t>+ (831) 484-1112</t>
  </si>
  <si>
    <t>Holiday Inn Champaign</t>
  </si>
  <si>
    <t xml:space="preserve">101 Trade Centre Drive </t>
  </si>
  <si>
    <t>Champaign</t>
  </si>
  <si>
    <t>Vicki Dunn</t>
  </si>
  <si>
    <t>+1 (217) 398-3400</t>
  </si>
  <si>
    <t>Cambridge Hotel &amp; Conference Centre Ltd.</t>
  </si>
  <si>
    <t>Bayfront Inn 5th Ave</t>
  </si>
  <si>
    <t xml:space="preserve">1221 5th Avenue </t>
  </si>
  <si>
    <t>Naples</t>
  </si>
  <si>
    <t>Billie-Anne Arthur</t>
  </si>
  <si>
    <t>Matt Anzivino</t>
  </si>
  <si>
    <t>+1 (239) 649-5800</t>
  </si>
  <si>
    <t xml:space="preserve">O'Reilly Hospitality Management </t>
  </si>
  <si>
    <t>Marriott Championship Circle</t>
  </si>
  <si>
    <t xml:space="preserve">3300 Championship Parkway </t>
  </si>
  <si>
    <t>Dave Haning</t>
  </si>
  <si>
    <t>+1 (817) 961-0800</t>
  </si>
  <si>
    <t>Sheraton Denver Tech Center</t>
  </si>
  <si>
    <t xml:space="preserve">7007 South Clinton Street </t>
  </si>
  <si>
    <t>Greenwood Village</t>
  </si>
  <si>
    <t>Erik Pedersen</t>
  </si>
  <si>
    <t>Brisia Carmona</t>
  </si>
  <si>
    <t>+1 (303) 799-6200</t>
  </si>
  <si>
    <t>TownePlace Suites Springfield (MO)</t>
  </si>
  <si>
    <t xml:space="preserve">2009 South National Avenue </t>
  </si>
  <si>
    <t>Chris Baldwin</t>
  </si>
  <si>
    <t>+(417) 881-8118</t>
  </si>
  <si>
    <t>Azul Hospitality Group</t>
  </si>
  <si>
    <t>AC Hotel Beverly Hills</t>
  </si>
  <si>
    <t xml:space="preserve">6399 Wilshire Boulevard </t>
  </si>
  <si>
    <t>West Hollywood</t>
  </si>
  <si>
    <t>John Huang</t>
  </si>
  <si>
    <t>+()1 323-852-7000</t>
  </si>
  <si>
    <t>Embassy Suites LAX North</t>
  </si>
  <si>
    <t xml:space="preserve">9801 Airport Boulevard </t>
  </si>
  <si>
    <t>Rachel Hernandez</t>
  </si>
  <si>
    <t>Alejandra Mendoza</t>
  </si>
  <si>
    <t>+1 (310) 215-1000</t>
  </si>
  <si>
    <t>Element Atlanta Downtown Midtown</t>
  </si>
  <si>
    <t xml:space="preserve">640 Peachtree St. NE </t>
  </si>
  <si>
    <t>Tim Dahlen</t>
  </si>
  <si>
    <t>Michael Humienny</t>
  </si>
  <si>
    <t>Courtyard Atlanta Downtown Midtown</t>
  </si>
  <si>
    <t>PLUM HEALTHCARE</t>
  </si>
  <si>
    <t>WOLF CREEK CARE CENTER</t>
  </si>
  <si>
    <t xml:space="preserve">107 CATHERINE LANE </t>
  </si>
  <si>
    <t>GRASS VALLEY</t>
  </si>
  <si>
    <t>530-273-4447</t>
  </si>
  <si>
    <t>Hampton Inn Port Arthur</t>
  </si>
  <si>
    <t xml:space="preserve">7660 Memorial Boulevard </t>
  </si>
  <si>
    <t>Port Arthur</t>
  </si>
  <si>
    <t>Veronica Garcia</t>
  </si>
  <si>
    <t>+1 (409) 722-6999</t>
  </si>
  <si>
    <t>TARPON POINT</t>
  </si>
  <si>
    <t xml:space="preserve">5157 PARK CLUB DRIVE </t>
  </si>
  <si>
    <t>SARASOTA</t>
  </si>
  <si>
    <t>941-377-0022</t>
  </si>
  <si>
    <t>AC Hotel Jackson Ridgeland</t>
  </si>
  <si>
    <t xml:space="preserve">221 Township Avenue </t>
  </si>
  <si>
    <t>Ridgeland</t>
  </si>
  <si>
    <t>Shane Aldridge</t>
  </si>
  <si>
    <t>+1 (601) 605-1101</t>
  </si>
  <si>
    <t>Fairfield Inn &amp; Suites Columbus Canal Winchester</t>
  </si>
  <si>
    <t xml:space="preserve">6349 Winchester Boulevard </t>
  </si>
  <si>
    <t>Canal Winchester</t>
  </si>
  <si>
    <t>Chris Hutchinson</t>
  </si>
  <si>
    <t>+()6148349421</t>
  </si>
  <si>
    <t>Holiday Inn Express West Road</t>
  </si>
  <si>
    <t xml:space="preserve">9120 West Road </t>
  </si>
  <si>
    <t>Laura Corona</t>
  </si>
  <si>
    <t>+1 (713) 896-4444</t>
  </si>
  <si>
    <t>Best Western Plus Cimarron Hotel &amp; Suites</t>
  </si>
  <si>
    <t xml:space="preserve">315 North Husband Street </t>
  </si>
  <si>
    <t>+1 (405) 372-2878</t>
  </si>
  <si>
    <t xml:space="preserve">Hyatt Place Dallas Allen </t>
  </si>
  <si>
    <t xml:space="preserve">333 Central Expy North </t>
  </si>
  <si>
    <t>Allen</t>
  </si>
  <si>
    <t>Patti Hansen</t>
  </si>
  <si>
    <t>+1(972) 747-5151</t>
  </si>
  <si>
    <t>Fairfield Inn &amp; Suites Houston Hobby Airport</t>
  </si>
  <si>
    <t xml:space="preserve">8730 Gulf Freeway </t>
  </si>
  <si>
    <t>David Cisneros</t>
  </si>
  <si>
    <t>+1 (713) 941-6000</t>
  </si>
  <si>
    <t>Duane Street Hotel</t>
  </si>
  <si>
    <t xml:space="preserve">130 Duane Street </t>
  </si>
  <si>
    <t>Gary DeSoiza</t>
  </si>
  <si>
    <t>joseph mojica</t>
  </si>
  <si>
    <t>+ (212) 964-4600</t>
  </si>
  <si>
    <t>Hotel Trio Healdsburg</t>
  </si>
  <si>
    <t xml:space="preserve">110 Dry Creek Road </t>
  </si>
  <si>
    <t>Healdsburg</t>
  </si>
  <si>
    <t>Lisa Sibrian</t>
  </si>
  <si>
    <t>H Hotel Curio Collection by Hilton Los Angeles &amp; Homewood Suites LAX Airport</t>
  </si>
  <si>
    <t xml:space="preserve">6151 West Century Boulevard </t>
  </si>
  <si>
    <t>Laura Guaman</t>
  </si>
  <si>
    <t>+1 (310) 215-3000</t>
  </si>
  <si>
    <t>Residence Inn Los Angeles LAX - Century Boulevard</t>
  </si>
  <si>
    <t xml:space="preserve">5933 West Century Boulevard </t>
  </si>
  <si>
    <t>Katie Green</t>
  </si>
  <si>
    <t>+1 (310) 568-7700</t>
  </si>
  <si>
    <t>Residence Inn Beverly Hills</t>
  </si>
  <si>
    <t xml:space="preserve">1177 South Beverly Drive </t>
  </si>
  <si>
    <t>Stephanie Douville</t>
  </si>
  <si>
    <t>+1 (310) 228-4100</t>
  </si>
  <si>
    <t>Courtyard Los Angeles LAX Century Boulevard</t>
  </si>
  <si>
    <t xml:space="preserve">6161 West Century Boulevard </t>
  </si>
  <si>
    <t>Annie Saville</t>
  </si>
  <si>
    <t>+ (310) 649-1400</t>
  </si>
  <si>
    <t>Quality Inn Foley</t>
  </si>
  <si>
    <t xml:space="preserve">2441 South McKenzie Street </t>
  </si>
  <si>
    <t>Hemal Patel</t>
  </si>
  <si>
    <t>+1 (241) 943-6100</t>
  </si>
  <si>
    <t>Hotel Vance Portland a Tribute Portfolio Hotel</t>
  </si>
  <si>
    <t xml:space="preserve">1455 South Broadway Street </t>
  </si>
  <si>
    <t>Jacob Wright</t>
  </si>
  <si>
    <t>+1 (503) 334-2167</t>
  </si>
  <si>
    <t>Atira Hospitality</t>
  </si>
  <si>
    <t>DoubleTree Lisle</t>
  </si>
  <si>
    <t xml:space="preserve">3003 Corporate Drive West </t>
  </si>
  <si>
    <t>Lisle</t>
  </si>
  <si>
    <t>Michael Szudarski</t>
  </si>
  <si>
    <t>+1 (630) 245-7601</t>
  </si>
  <si>
    <t>Bucks T-4 Lodging and Restaurant</t>
  </si>
  <si>
    <t xml:space="preserve">46625 Gallatin Road </t>
  </si>
  <si>
    <t>Mandy Hotovy</t>
  </si>
  <si>
    <t>John Bowersox</t>
  </si>
  <si>
    <t>+1 (406) 995-4111</t>
  </si>
  <si>
    <t>Walker Arts Center</t>
  </si>
  <si>
    <t xml:space="preserve">1750 Hennepin Avenue </t>
  </si>
  <si>
    <t>Nadya Maravigle</t>
  </si>
  <si>
    <t>+1 (612) 375-7600</t>
  </si>
  <si>
    <t>Cadence Living</t>
  </si>
  <si>
    <t>Studio Royale</t>
  </si>
  <si>
    <t xml:space="preserve">3975 Overland Avenue </t>
  </si>
  <si>
    <t>Culver City</t>
  </si>
  <si>
    <t>Terri Weitzman</t>
  </si>
  <si>
    <t>Michael Yu</t>
  </si>
  <si>
    <t>+1 (310) 836-5854</t>
  </si>
  <si>
    <t>Palm Court</t>
  </si>
  <si>
    <t xml:space="preserve">3995 Overland Avenue </t>
  </si>
  <si>
    <t>Kirsten Berquist</t>
  </si>
  <si>
    <t>Bensford Evans</t>
  </si>
  <si>
    <t>+1 (310) 559-4999</t>
  </si>
  <si>
    <t>YMCA OF SOUTHERN ARIZONA</t>
  </si>
  <si>
    <t xml:space="preserve">60 WEST ALAMEDA STREET </t>
  </si>
  <si>
    <t>520-623-5200</t>
  </si>
  <si>
    <t>BUCKEYE RIDGE HABITAT FOR HUMANITY INC</t>
  </si>
  <si>
    <t xml:space="preserve">1713 MARION- MOUNT GILEAD RD #217 </t>
  </si>
  <si>
    <t>740-383-2007</t>
  </si>
  <si>
    <t>SOLARIS HEALTHCARE</t>
  </si>
  <si>
    <t>SOLARIS SENIOR LIVING OF STUART</t>
  </si>
  <si>
    <t xml:space="preserve">860 SE CENTRAL PARKWAY </t>
  </si>
  <si>
    <t>STUART</t>
  </si>
  <si>
    <t>772-287-9909</t>
  </si>
  <si>
    <t>SOLARIS HEALTHCARE PENSACOLA</t>
  </si>
  <si>
    <t xml:space="preserve">8475 UNIVERSITY PARKWAY </t>
  </si>
  <si>
    <t>850-474-1252</t>
  </si>
  <si>
    <t>SOLARIS HEALTHCARE WINDERMERE</t>
  </si>
  <si>
    <t xml:space="preserve">4875 CASON COVE DRIVE </t>
  </si>
  <si>
    <t>ORLANDO</t>
  </si>
  <si>
    <t>407-420-2090</t>
  </si>
  <si>
    <t>SOLARIS HEALTHCARE OSCEOLA</t>
  </si>
  <si>
    <t xml:space="preserve">4021 WEST NEW NOLTE ROAD </t>
  </si>
  <si>
    <t>ST CLOUD</t>
  </si>
  <si>
    <t>407-957-3341</t>
  </si>
  <si>
    <t>SOLARIS HEALTHCARE LAKE CITY</t>
  </si>
  <si>
    <t xml:space="preserve">560 SW MCFARLANE AVENUE </t>
  </si>
  <si>
    <t>LAKE CITY</t>
  </si>
  <si>
    <t>386-758-4777</t>
  </si>
  <si>
    <t>SOLARIS HEALTHCARE PLANT CITY</t>
  </si>
  <si>
    <t xml:space="preserve">701 NORTH WILDER ROAD </t>
  </si>
  <si>
    <t>PLANT CITY</t>
  </si>
  <si>
    <t>813-752-3611</t>
  </si>
  <si>
    <t>SOLARIS HEALTHCARE PARKWAY</t>
  </si>
  <si>
    <t xml:space="preserve">800 SE CENTRAL PARKWAY </t>
  </si>
  <si>
    <t>772-287-9912</t>
  </si>
  <si>
    <t>SOLARIS HEALTHCARE NORTH NAPLES</t>
  </si>
  <si>
    <t xml:space="preserve">10949 PARNU STREET </t>
  </si>
  <si>
    <t>230-592-5501</t>
  </si>
  <si>
    <t>SOLARIS HEALTHCARE OF DAYTONA</t>
  </si>
  <si>
    <t xml:space="preserve">550 NATIONAL HEALTHCARE </t>
  </si>
  <si>
    <t>386-257-6362</t>
  </si>
  <si>
    <t>INFINITE CARE</t>
  </si>
  <si>
    <t>PALATKA CENTER OF REHAB AND HEALING</t>
  </si>
  <si>
    <t xml:space="preserve">110 KAY LARKIN DRIVE </t>
  </si>
  <si>
    <t>386-325-0173</t>
  </si>
  <si>
    <t>SOLARIS SENIOR LIVING OF MERRITT ISLAND</t>
  </si>
  <si>
    <t xml:space="preserve">535 CROCKETT BLVD </t>
  </si>
  <si>
    <t>321-454-2363</t>
  </si>
  <si>
    <t xml:space="preserve">9520 BEACH ROAD SE </t>
  </si>
  <si>
    <t>BONITA SPRINGS</t>
  </si>
  <si>
    <t>SOLARIS SENIOR LIVING OF VERO</t>
  </si>
  <si>
    <t xml:space="preserve">3855 INDIAN RIVER BLVD </t>
  </si>
  <si>
    <t>VERO BEACH</t>
  </si>
  <si>
    <t>772-770-3796</t>
  </si>
  <si>
    <t>SOLARIS HEALTHCARE MERRITT ISLAND</t>
  </si>
  <si>
    <t xml:space="preserve">500 CROCKETT BLVD </t>
  </si>
  <si>
    <t>SOLARIS HEALTHCARE OF COCONUT CREEK</t>
  </si>
  <si>
    <t xml:space="preserve">4125 WEST SAMPLE ROAD </t>
  </si>
  <si>
    <t>COCONUT CREEK</t>
  </si>
  <si>
    <t>954-968-8333</t>
  </si>
  <si>
    <t>SOLARIS HEALTHCARE OF IMPERIAL</t>
  </si>
  <si>
    <t xml:space="preserve">900 IMPERIAL GOLF COURSE BLVD </t>
  </si>
  <si>
    <t>239-591-4800</t>
  </si>
  <si>
    <t>SOLARIS HEALTHCARE OF BAYONET POINT</t>
  </si>
  <si>
    <t xml:space="preserve">7210 BEACON WOODS DRIVE </t>
  </si>
  <si>
    <t>HUDSON</t>
  </si>
  <si>
    <t>727-863-1521</t>
  </si>
  <si>
    <t>SOLARIS HEALTHCARE OF CHARLOTTE HARBOR</t>
  </si>
  <si>
    <t xml:space="preserve">4000 KINGS HIGHWAY </t>
  </si>
  <si>
    <t>PORT CHARLOTTE</t>
  </si>
  <si>
    <t>941-255-5855</t>
  </si>
  <si>
    <t>MYGOLD CHOICE COMMUNITIES</t>
  </si>
  <si>
    <t>GOLD CHOICE PALM COAST</t>
  </si>
  <si>
    <t xml:space="preserve">3830 OLD KINGS ROAD </t>
  </si>
  <si>
    <t>PALM COAST</t>
  </si>
  <si>
    <t>386-307-5445</t>
  </si>
  <si>
    <t>GOLD CHOICE DELTONA</t>
  </si>
  <si>
    <t xml:space="preserve">2310 NORTH NORMAND BLVD </t>
  </si>
  <si>
    <t>DELTONA</t>
  </si>
  <si>
    <t>386-236-3860</t>
  </si>
  <si>
    <t>GOLD CHOICE ORMAND BEACH</t>
  </si>
  <si>
    <t xml:space="preserve">1410 HAND AVENUE </t>
  </si>
  <si>
    <t>ORMAND BEACH</t>
  </si>
  <si>
    <t>386-236-1829</t>
  </si>
  <si>
    <t>HAWTHORNE INN OF LAKELAND</t>
  </si>
  <si>
    <t xml:space="preserve">6150 LAKELAND HIGHLANDS ROAD </t>
  </si>
  <si>
    <t>LAKELAND</t>
  </si>
  <si>
    <t xml:space="preserve">267 BROADWAY </t>
  </si>
  <si>
    <t>HAWTHORNE VILLAGE OF BRANDON</t>
  </si>
  <si>
    <t xml:space="preserve">851 WEST LUMSDEN ROAD </t>
  </si>
  <si>
    <t>HAWTHORNE VILLAGE HEALTHCARE &amp; REHAB SARASOTA</t>
  </si>
  <si>
    <t xml:space="preserve">5381 DESOTO ROAD </t>
  </si>
  <si>
    <t>JJ'S QUICKSHOP</t>
  </si>
  <si>
    <t xml:space="preserve">614 NORTH CENTRAL </t>
  </si>
  <si>
    <t>GARBER</t>
  </si>
  <si>
    <t>HPSI:DELI'SMARKETSBAKERIES</t>
  </si>
  <si>
    <t>580-725-5002</t>
  </si>
  <si>
    <t>YOUNG MINDS DEVELOPMENTAL CENTER INC</t>
  </si>
  <si>
    <t xml:space="preserve">1026 DODGE AVENUE </t>
  </si>
  <si>
    <t>MISHAWAKA</t>
  </si>
  <si>
    <t>574-703-3506</t>
  </si>
  <si>
    <t>TIDAL HEALTH NANTICOKE</t>
  </si>
  <si>
    <t xml:space="preserve">801 MIDDLEFORD ROAD </t>
  </si>
  <si>
    <t>SEAFORD</t>
  </si>
  <si>
    <t>302-629-6611</t>
  </si>
  <si>
    <t>THE CHILTON HOUSE REST HOME INC</t>
  </si>
  <si>
    <t xml:space="preserve">3 CHILTON STREET </t>
  </si>
  <si>
    <t>781-831-0572</t>
  </si>
  <si>
    <t>WOODLAKE AT TOLLAND</t>
  </si>
  <si>
    <t xml:space="preserve">26 SHENIPSIT LAKE ROAD </t>
  </si>
  <si>
    <t>TOLLAND</t>
  </si>
  <si>
    <t>HOUSEHOLD OF ANGELS ASSISTED LIVING CROFTEN</t>
  </si>
  <si>
    <t xml:space="preserve">2163 DAVIDSONVILLE ROAD </t>
  </si>
  <si>
    <t>CROFTEN</t>
  </si>
  <si>
    <t>410-721-4190</t>
  </si>
  <si>
    <t>HOUSEHOLD OF ANGELS ASSISTED LIVING SEVERNA PARK</t>
  </si>
  <si>
    <t xml:space="preserve">118 ARUNDEL BEACH ROAD </t>
  </si>
  <si>
    <t>SERVENA PARK</t>
  </si>
  <si>
    <t>410-384-9540</t>
  </si>
  <si>
    <t>TWENTY 20 MGMT-CAROLINA GARDENS OF LEXINGTON</t>
  </si>
  <si>
    <t xml:space="preserve">5422 AUGUSTA HIGHWAY </t>
  </si>
  <si>
    <t>803-520-5850</t>
  </si>
  <si>
    <t>TWENTY 20 MGMT-CAROLINA GARDENS OF KATHWOOD</t>
  </si>
  <si>
    <t xml:space="preserve">4520 TRENHOLM ROAD </t>
  </si>
  <si>
    <t>803-787-1234</t>
  </si>
  <si>
    <t>TWENTY 20 MGMT-CAROLINA GARDENS OF YORK</t>
  </si>
  <si>
    <t xml:space="preserve">1020 NORTH CONGRESS STREET </t>
  </si>
  <si>
    <t>TWENTY 20 MGMT-CAROLINA GARDENS OF CONWAY</t>
  </si>
  <si>
    <t xml:space="preserve">2310 US 378 </t>
  </si>
  <si>
    <t>CONWAY</t>
  </si>
  <si>
    <t>843-397-1010</t>
  </si>
  <si>
    <t>TWENTY 20 MGMT-CAROLINA GARDENS OF LAURENS</t>
  </si>
  <si>
    <t xml:space="preserve">420 WEST FARELY AVENUE </t>
  </si>
  <si>
    <t>LAURENS</t>
  </si>
  <si>
    <t>864-987-9844</t>
  </si>
  <si>
    <t>CONCIERGE SENIOR LIVING</t>
  </si>
  <si>
    <t>THE PINEAPPLE HOUSE</t>
  </si>
  <si>
    <t xml:space="preserve">7901 RADIO ROAD </t>
  </si>
  <si>
    <t>239-259-0700</t>
  </si>
  <si>
    <t>COLUMBUS EARLY LEARNING CENTERS</t>
  </si>
  <si>
    <t>COLUMBUS EARLY LEARNING CENTERS-LEONARD AVE</t>
  </si>
  <si>
    <t xml:space="preserve">1611 OLD LEONARD AVENUE </t>
  </si>
  <si>
    <t>614-253-5525</t>
  </si>
  <si>
    <t xml:space="preserve">240 NORTH CHAMPION AVENUE </t>
  </si>
  <si>
    <t>Doubletree Anaheim Orange</t>
  </si>
  <si>
    <t xml:space="preserve">100 The City Drive </t>
  </si>
  <si>
    <t>Denise Pflum</t>
  </si>
  <si>
    <t>Luella Bartell</t>
  </si>
  <si>
    <t>+1 (714) 634-4500</t>
  </si>
  <si>
    <t>The Statler Hotel</t>
  </si>
  <si>
    <t>130 Statler Drive Cornell University</t>
  </si>
  <si>
    <t>Ithaca</t>
  </si>
  <si>
    <t>Jordan Mercado</t>
  </si>
  <si>
    <t>Thomas Gisler</t>
  </si>
  <si>
    <t>+1 (607) 257-2500</t>
  </si>
  <si>
    <t>Comfort Suites Kings Island-Mason</t>
  </si>
  <si>
    <t xml:space="preserve">5457 Kings Center Drive </t>
  </si>
  <si>
    <t>Mason</t>
  </si>
  <si>
    <t>Dan Watson</t>
  </si>
  <si>
    <t>+1 (513) 336-9000</t>
  </si>
  <si>
    <t>Eisenberg Partners LLC</t>
  </si>
  <si>
    <t>White Swan Inn</t>
  </si>
  <si>
    <t xml:space="preserve">845 Bush Street </t>
  </si>
  <si>
    <t>Louis Kimball</t>
  </si>
  <si>
    <t>+1 (415) 775.1755</t>
  </si>
  <si>
    <t>Petite Auberge</t>
  </si>
  <si>
    <t xml:space="preserve">863 Bush Street 3312 </t>
  </si>
  <si>
    <t>+1 (415) 928.6000</t>
  </si>
  <si>
    <t>Holiday Inn Resort Orlando</t>
  </si>
  <si>
    <t xml:space="preserve">14500 Continental Gateway Drive </t>
  </si>
  <si>
    <t>Keith Hess</t>
  </si>
  <si>
    <t>Ray Olmo</t>
  </si>
  <si>
    <t>+1 (407) 387-5437</t>
  </si>
  <si>
    <t>Renaissance Denver</t>
  </si>
  <si>
    <t xml:space="preserve">3801 Quebec Street </t>
  </si>
  <si>
    <t>Soham Bhattacharyya</t>
  </si>
  <si>
    <t>Christian Damesworth</t>
  </si>
  <si>
    <t>+1 (303) 399-7500</t>
  </si>
  <si>
    <t>Parks Hospitality Inc.</t>
  </si>
  <si>
    <t>TRU Columbia Greystone</t>
  </si>
  <si>
    <t xml:space="preserve">183 Stoneridge </t>
  </si>
  <si>
    <t>Sonia Vieira</t>
  </si>
  <si>
    <t>+1 (803) 756-4140</t>
  </si>
  <si>
    <t>TRU Burlington</t>
  </si>
  <si>
    <t xml:space="preserve">982 Kirkpatrick Road </t>
  </si>
  <si>
    <t>Katie Setliff</t>
  </si>
  <si>
    <t>+1 (336) 560-9898</t>
  </si>
  <si>
    <t>Homewood Suites Greenville Downtown</t>
  </si>
  <si>
    <t xml:space="preserve">950 South Street </t>
  </si>
  <si>
    <t>Monica Mataloni</t>
  </si>
  <si>
    <t>Rachel Wiles</t>
  </si>
  <si>
    <t>+1 (864) 900-2380</t>
  </si>
  <si>
    <t>Homewood Suites Raleigh Cary I-40</t>
  </si>
  <si>
    <t xml:space="preserve">555 Crossroads Boulevard </t>
  </si>
  <si>
    <t>Nicole Ebersole</t>
  </si>
  <si>
    <t>Kevin Thomas</t>
  </si>
  <si>
    <t>+1 (919) 745-8589</t>
  </si>
  <si>
    <t>TRU Raleigh Durham Airport</t>
  </si>
  <si>
    <t xml:space="preserve">350 Airgate Drive </t>
  </si>
  <si>
    <t>Jeremy DeVault</t>
  </si>
  <si>
    <t>Candace Cross</t>
  </si>
  <si>
    <t>+()1-919-813-7129</t>
  </si>
  <si>
    <t>DoubleTree Raleigh-Cary</t>
  </si>
  <si>
    <t xml:space="preserve">500 Caitboo Avenue </t>
  </si>
  <si>
    <t>Christina Dombek</t>
  </si>
  <si>
    <t>TK Franklin</t>
  </si>
  <si>
    <t>+1 (919) 239-4777</t>
  </si>
  <si>
    <t>Hilton Garden Inn Raleigh-Cary</t>
  </si>
  <si>
    <t xml:space="preserve">131 Columbus Avenue </t>
  </si>
  <si>
    <t>Ann Nelson</t>
  </si>
  <si>
    <t>Kyle Smith</t>
  </si>
  <si>
    <t>+1 (919) 377-0440</t>
  </si>
  <si>
    <t>Hampton Inn &amp; Suites Burlington</t>
  </si>
  <si>
    <t xml:space="preserve">2935 Saconn Drive </t>
  </si>
  <si>
    <t>Chaquana Witlock</t>
  </si>
  <si>
    <t>+1 (336) 584-8585</t>
  </si>
  <si>
    <t>Hyatt Place Downtown Asheville</t>
  </si>
  <si>
    <t xml:space="preserve">199 Haywood Street </t>
  </si>
  <si>
    <t>Asheville</t>
  </si>
  <si>
    <t>Ann Sutton</t>
  </si>
  <si>
    <t>Nathan Shaw</t>
  </si>
  <si>
    <t>+1 (828) 505-8500</t>
  </si>
  <si>
    <t>Pebblebrook Hotel Lessee Inc.</t>
  </si>
  <si>
    <t>The Roger New York</t>
  </si>
  <si>
    <t xml:space="preserve">131 Madison Avenue </t>
  </si>
  <si>
    <t>Jeff Hentze</t>
  </si>
  <si>
    <t>Antonio Farinha</t>
  </si>
  <si>
    <t>+ (212) 448-7000</t>
  </si>
  <si>
    <t>Genting New York LLC</t>
  </si>
  <si>
    <t>Hyatt Regency JFK at Resorts World Casino New York City</t>
  </si>
  <si>
    <t xml:space="preserve">110-00 Rockaway Boulevard </t>
  </si>
  <si>
    <t>Brian Twomey</t>
  </si>
  <si>
    <t>Marcio Azevedo</t>
  </si>
  <si>
    <t>+1 (718) 215-2923</t>
  </si>
  <si>
    <t>Holiday Inn Denver East</t>
  </si>
  <si>
    <t xml:space="preserve">3333 Quebec Street </t>
  </si>
  <si>
    <t xml:space="preserve">Denver </t>
  </si>
  <si>
    <t>Heath Dobyns</t>
  </si>
  <si>
    <t>Tom Novak</t>
  </si>
  <si>
    <t>+1 (303) 321-3500</t>
  </si>
  <si>
    <t>DoubleTree Hotel Dublin</t>
  </si>
  <si>
    <t xml:space="preserve">600 Metro Place North </t>
  </si>
  <si>
    <t>Nicole Word</t>
  </si>
  <si>
    <t>+1 (614) 602-7945</t>
  </si>
  <si>
    <t>Sheraton Nashville Downtown</t>
  </si>
  <si>
    <t xml:space="preserve">623 Union Street </t>
  </si>
  <si>
    <t>Jan McCormick</t>
  </si>
  <si>
    <t>Kim Colvard</t>
  </si>
  <si>
    <t>+ (615) 259-2000</t>
  </si>
  <si>
    <t>The Westin Trillium House Blue Mountain</t>
  </si>
  <si>
    <t xml:space="preserve">220 Gord Canning Drive </t>
  </si>
  <si>
    <t>Blue Mountains</t>
  </si>
  <si>
    <t>L9Y 0V9</t>
  </si>
  <si>
    <t>+1 (705) 443-8080</t>
  </si>
  <si>
    <t xml:space="preserve">Inmobiliaria 2242 SA de CV </t>
  </si>
  <si>
    <t>JW Marriott Hotel Guadalajara</t>
  </si>
  <si>
    <t xml:space="preserve">Mar Báltico 2242 Country Club </t>
  </si>
  <si>
    <t>Guadalajara</t>
  </si>
  <si>
    <t>JW Marriott</t>
  </si>
  <si>
    <t>Herman Reeling</t>
  </si>
  <si>
    <t>+(33)1598-7100</t>
  </si>
  <si>
    <t>Embassy Suites Anaheim North</t>
  </si>
  <si>
    <t xml:space="preserve">3100 East Frontera Street </t>
  </si>
  <si>
    <t>Maurice Casaus</t>
  </si>
  <si>
    <t>+1 (714) 632-1221</t>
  </si>
  <si>
    <t>Hilton Garden Inn Dallas Richardson</t>
  </si>
  <si>
    <t xml:space="preserve">1001 President George Bush Turnpike </t>
  </si>
  <si>
    <t>Richardson</t>
  </si>
  <si>
    <t>Desiree Law</t>
  </si>
  <si>
    <t>+1 (972) 792-9393</t>
  </si>
  <si>
    <t>REELFOOT RURAL MINISTRIES</t>
  </si>
  <si>
    <t xml:space="preserve">6923 MINNICK ELBRIDGE ROAD </t>
  </si>
  <si>
    <t>OBION</t>
  </si>
  <si>
    <t>731-538-9970</t>
  </si>
  <si>
    <t>ST VINCENT MISSION INC</t>
  </si>
  <si>
    <t xml:space="preserve">6369 KY STATE ROUTE 404 </t>
  </si>
  <si>
    <t>DAVID</t>
  </si>
  <si>
    <t>606-886-2513</t>
  </si>
  <si>
    <t>THE RESTORATION TEAM</t>
  </si>
  <si>
    <t xml:space="preserve">3911 CAMPBELL ROAD </t>
  </si>
  <si>
    <t>817-637-0749</t>
  </si>
  <si>
    <t xml:space="preserve">400 COLUMBIA STREET </t>
  </si>
  <si>
    <t>208-252-0343</t>
  </si>
  <si>
    <t>MONASTRY HEIGHTS</t>
  </si>
  <si>
    <t xml:space="preserve">110 MONASTERY AVENUE </t>
  </si>
  <si>
    <t>WEST SPRINGFIELD</t>
  </si>
  <si>
    <t>413-217-1893</t>
  </si>
  <si>
    <t>PROSPER LIFE CARE</t>
  </si>
  <si>
    <t xml:space="preserve">822 ASHLAND AVENUE </t>
  </si>
  <si>
    <t>BUFFALO</t>
  </si>
  <si>
    <t>PALM VISTA SENIOR LIVING</t>
  </si>
  <si>
    <t xml:space="preserve">3850 WEST RANCHO VISTA </t>
  </si>
  <si>
    <t>661-916-3699</t>
  </si>
  <si>
    <t>NOBLE SENIOR LIVING AT BRIDGETON LLC</t>
  </si>
  <si>
    <t xml:space="preserve">18 REEVES ROAD </t>
  </si>
  <si>
    <t>BRIDGETON</t>
  </si>
  <si>
    <t>NOBLE SENIOR LIVING AT RIO GRANDE LLC</t>
  </si>
  <si>
    <t xml:space="preserve">1042 NJ-47 </t>
  </si>
  <si>
    <t>RIO GRANDE</t>
  </si>
  <si>
    <t>NOBLE SENIOR LIVING AT BROOKFIELD LLC</t>
  </si>
  <si>
    <t xml:space="preserve">2800 NORTH CALHOUN ROAD </t>
  </si>
  <si>
    <t>BROOKFIELD</t>
  </si>
  <si>
    <t>NEW BERLING</t>
  </si>
  <si>
    <t>CHRISTUS OUR DAILY BREAD</t>
  </si>
  <si>
    <t xml:space="preserve">2420 WIMIE STREET </t>
  </si>
  <si>
    <t>GALVESTON</t>
  </si>
  <si>
    <t>409-765-6971</t>
  </si>
  <si>
    <t>PACE OF SOUTHWEST MICHIGAN</t>
  </si>
  <si>
    <t xml:space="preserve">2990 LAKEVIEW AVENUE </t>
  </si>
  <si>
    <t>ST JOSEPH</t>
  </si>
  <si>
    <t>269-408-4322</t>
  </si>
  <si>
    <t>AUTUMN PARK ASSISTED LIVING</t>
  </si>
  <si>
    <t xml:space="preserve">548 NORTH 1100 EAST </t>
  </si>
  <si>
    <t>435-275-4458</t>
  </si>
  <si>
    <t>USA CAMP GROUP</t>
  </si>
  <si>
    <t xml:space="preserve">14253 EAST EPWORTH SPRINGS ROAD </t>
  </si>
  <si>
    <t>LEWISTOWN</t>
  </si>
  <si>
    <t>312-217-1258</t>
  </si>
  <si>
    <t>EDGEWATER HAVEN NURSING HOME</t>
  </si>
  <si>
    <t xml:space="preserve">1351 WISCONSIN RIVER DRIVE </t>
  </si>
  <si>
    <t>PORT EDWARDS</t>
  </si>
  <si>
    <t>715-885-8319</t>
  </si>
  <si>
    <t>YMCA EARLY LEARNING CENTER AT GRACE</t>
  </si>
  <si>
    <t xml:space="preserve">1001 HARVARD BLVD </t>
  </si>
  <si>
    <t>937-278-4636</t>
  </si>
  <si>
    <t>HOMEMD HOUSECALL SERVICES-TRANSITIONAL CARE SERVICES LLC</t>
  </si>
  <si>
    <t xml:space="preserve">5758 COOLEY LAKE ROAD </t>
  </si>
  <si>
    <t>WATERFORD TOWNSHIP</t>
  </si>
  <si>
    <t>855-466-3631</t>
  </si>
  <si>
    <t>RIVERTOWN RIDGE COMMUNITY</t>
  </si>
  <si>
    <t xml:space="preserve">3555 COPPER RIVER AVENUE SW </t>
  </si>
  <si>
    <t>WYOMING</t>
  </si>
  <si>
    <t>616-258-2727</t>
  </si>
  <si>
    <t>MARLEY OAKS ASSISTED LIVING</t>
  </si>
  <si>
    <t xml:space="preserve">12631 WEST 187TH STREET </t>
  </si>
  <si>
    <t>MOKENA</t>
  </si>
  <si>
    <t>815-485-5860</t>
  </si>
  <si>
    <t>HILLTOP CHRISTIAN CAMP</t>
  </si>
  <si>
    <t xml:space="preserve">6014 HAMILTON CREEK ROAD </t>
  </si>
  <si>
    <t>812-988-4991</t>
  </si>
  <si>
    <t>EPIONE PAVILLION</t>
  </si>
  <si>
    <t xml:space="preserve">808 SOUTH WASHINGTON STREET </t>
  </si>
  <si>
    <t>CUBA CITY</t>
  </si>
  <si>
    <t>AL DEL MONTE INC</t>
  </si>
  <si>
    <t xml:space="preserve">517 EAST FULTON INC </t>
  </si>
  <si>
    <t>209-466-2116</t>
  </si>
  <si>
    <t>LOGAN RIVER ACADEMY</t>
  </si>
  <si>
    <t xml:space="preserve">1683 SOUTH HWY 89/91 </t>
  </si>
  <si>
    <t>435-713-7750</t>
  </si>
  <si>
    <t>CHRISTIAN HOME AND BIBLE SCHOOL</t>
  </si>
  <si>
    <t xml:space="preserve">301 WEST 13TH AVENUE </t>
  </si>
  <si>
    <t>MOUNT DORA</t>
  </si>
  <si>
    <t>352-383-2155</t>
  </si>
  <si>
    <t>LEAN FEAST-MODESTO</t>
  </si>
  <si>
    <t xml:space="preserve">1801 H STREET </t>
  </si>
  <si>
    <t>MODESTO</t>
  </si>
  <si>
    <t>209-614-7455</t>
  </si>
  <si>
    <t xml:space="preserve">6230 SHIRLEY STREET SUITE 202 </t>
  </si>
  <si>
    <t>239-296-5000</t>
  </si>
  <si>
    <t>COMPASS HEALTHCARE SOLUTIONS</t>
  </si>
  <si>
    <t xml:space="preserve">124 PETERS COURT </t>
  </si>
  <si>
    <t>FREEPORT</t>
  </si>
  <si>
    <t>850-830-6355</t>
  </si>
  <si>
    <t>COMMUNITY HEALTH AND REHAB CENTER</t>
  </si>
  <si>
    <t xml:space="preserve">3611 TRANSMITTER ROAD </t>
  </si>
  <si>
    <t>850-588-4643</t>
  </si>
  <si>
    <t>AISIN MANUFACTURING</t>
  </si>
  <si>
    <t xml:space="preserve">110000 REDCO DRIVE </t>
  </si>
  <si>
    <t>HPSI:MAINTENANCE</t>
  </si>
  <si>
    <t>618-499-8923</t>
  </si>
  <si>
    <t>BREMERTON HEALTH AND REHAB CENTER</t>
  </si>
  <si>
    <t xml:space="preserve">2701 CLARE AVENUE </t>
  </si>
  <si>
    <t>BREMERTON</t>
  </si>
  <si>
    <t>RIVERSIDE NURSING AND REHAB CENTER</t>
  </si>
  <si>
    <t xml:space="preserve">1305 ALEXANDER </t>
  </si>
  <si>
    <t>FIR LANE HEALTH AND REHAB CENTER</t>
  </si>
  <si>
    <t xml:space="preserve">2430 NORTH 13TH STREET </t>
  </si>
  <si>
    <t>SHELTON</t>
  </si>
  <si>
    <t>SEQUIM HEALTH AND REHAB</t>
  </si>
  <si>
    <t xml:space="preserve">650 WEST HEMLOCK </t>
  </si>
  <si>
    <t>MEADOW PARK</t>
  </si>
  <si>
    <t xml:space="preserve">75 SHORE DRIVE </t>
  </si>
  <si>
    <t>ST HELENS</t>
  </si>
  <si>
    <t>IVY COURT</t>
  </si>
  <si>
    <t xml:space="preserve">2200 IRONWOOD PLACE </t>
  </si>
  <si>
    <t>COEUR D ALENE</t>
  </si>
  <si>
    <t>CHERRYWOOD</t>
  </si>
  <si>
    <t xml:space="preserve">100 EAST DALKE </t>
  </si>
  <si>
    <t>ALDERCREST HEALTH AND REHAB CENTER</t>
  </si>
  <si>
    <t xml:space="preserve">21400 72ND AVENUE WEST </t>
  </si>
  <si>
    <t>EDMONDS</t>
  </si>
  <si>
    <t>PUGET SOUND HEALTHCARE CENTER</t>
  </si>
  <si>
    <t xml:space="preserve">4001 CAPITOL MALL DRIVE SW </t>
  </si>
  <si>
    <t>FRANKLIN HILLS HEALTH AND REHAB CENTER</t>
  </si>
  <si>
    <t xml:space="preserve">6021 NORTH LIGENWOOD </t>
  </si>
  <si>
    <t>LACROSSE HEALTH AND REHAB CENTER</t>
  </si>
  <si>
    <t xml:space="preserve">210 WEST LACROSSE AVENUE </t>
  </si>
  <si>
    <t>FOREST RIDGE HEALTH AND REHAB CENTER</t>
  </si>
  <si>
    <t xml:space="preserve">140 SOUTH MARION AVENUE </t>
  </si>
  <si>
    <t>NORTH AUBURN REHAB AND HEALTH CENTER</t>
  </si>
  <si>
    <t xml:space="preserve">28301 I STREET NE </t>
  </si>
  <si>
    <t>CALDERA CARE</t>
  </si>
  <si>
    <t xml:space="preserve">3220 ROSEDALE STREET NW </t>
  </si>
  <si>
    <t>THE GARDENS ON UNIVERSITY</t>
  </si>
  <si>
    <t xml:space="preserve">414 SOUTH UNIVERSITY ROAD </t>
  </si>
  <si>
    <t>CRESTWOOD CONVALESCENT CENTER</t>
  </si>
  <si>
    <t xml:space="preserve">1116 EAST LAURIDSEN BLVD </t>
  </si>
  <si>
    <t>PORT ANGELES</t>
  </si>
  <si>
    <t>APERION CARE LAKESHORE</t>
  </si>
  <si>
    <t xml:space="preserve">7200 NORTH SHERIDAN ROAD </t>
  </si>
  <si>
    <t>PAN AND CAKE CATERING</t>
  </si>
  <si>
    <t xml:space="preserve">2303 REBECCA DRIVE </t>
  </si>
  <si>
    <t>801-360-3704</t>
  </si>
  <si>
    <t>BRAVEHEART MANOR ADULT CARE FACILITIES LLC</t>
  </si>
  <si>
    <t xml:space="preserve">3727 EDGEHILL DRIVE </t>
  </si>
  <si>
    <t>216-288-3687</t>
  </si>
  <si>
    <t>8432 Sunset Food and Beverage LLC - Pendry West Hollywood F&amp;B</t>
  </si>
  <si>
    <t xml:space="preserve">8430 Sunset Boulevard </t>
  </si>
  <si>
    <t>David Hoffman</t>
  </si>
  <si>
    <t>Magnolia Hotel New Orleans</t>
  </si>
  <si>
    <t xml:space="preserve">535 Gravier Street </t>
  </si>
  <si>
    <t>David Mock</t>
  </si>
  <si>
    <t>Peter Adamik</t>
  </si>
  <si>
    <t>+1 (504) 527-0006</t>
  </si>
  <si>
    <t>Harrell Hospitality Group LLC</t>
  </si>
  <si>
    <t>The Westin Dallas Southlake</t>
  </si>
  <si>
    <t xml:space="preserve">1200 East State Highway 114 </t>
  </si>
  <si>
    <t>Southlake</t>
  </si>
  <si>
    <t>Brett Orlando</t>
  </si>
  <si>
    <t>+1 (817) 873-1900</t>
  </si>
  <si>
    <t>PHI Hotel Group</t>
  </si>
  <si>
    <t>Best Western Premier Vernon</t>
  </si>
  <si>
    <t xml:space="preserve">5350 Anderson Way </t>
  </si>
  <si>
    <t>Vernon</t>
  </si>
  <si>
    <t>V1T 9V2</t>
  </si>
  <si>
    <t>Charan Rai</t>
  </si>
  <si>
    <t>Gagan Sidhu</t>
  </si>
  <si>
    <t>+1 (250) 558-8000</t>
  </si>
  <si>
    <t>Best Western Plus Hinton Inn &amp; Suites</t>
  </si>
  <si>
    <t xml:space="preserve">340 Smith Street </t>
  </si>
  <si>
    <t>Hinton</t>
  </si>
  <si>
    <t>T7V 2A1</t>
  </si>
  <si>
    <t>Derek Mann</t>
  </si>
  <si>
    <t>+1(780) 817-7000</t>
  </si>
  <si>
    <t>Holiday Inn Express Vernon</t>
  </si>
  <si>
    <t xml:space="preserve">4716 34th Street </t>
  </si>
  <si>
    <t>V1T 5Y9</t>
  </si>
  <si>
    <t>Irving Lee 2</t>
  </si>
  <si>
    <t>+1 (604) 518-0650</t>
  </si>
  <si>
    <t>Fairfield Inn &amp; Suites Kamloops</t>
  </si>
  <si>
    <t xml:space="preserve">1475 Hugh Allan Drive </t>
  </si>
  <si>
    <t>Kamloops</t>
  </si>
  <si>
    <t>V1S 1L8</t>
  </si>
  <si>
    <t>Maxim Borodin</t>
  </si>
  <si>
    <t>+1 (778) 471-0902</t>
  </si>
  <si>
    <t>Hampton Inn by Hilton Kamloops</t>
  </si>
  <si>
    <t xml:space="preserve">1245 Rogers Way </t>
  </si>
  <si>
    <t>V1S 1R9</t>
  </si>
  <si>
    <t>Lucky Gill</t>
  </si>
  <si>
    <t>+1 (250) 571-7897</t>
  </si>
  <si>
    <t xml:space="preserve">SpringHill Suites Navarre Beach </t>
  </si>
  <si>
    <t xml:space="preserve">8375 Gulf Boulevard </t>
  </si>
  <si>
    <t>Navarre Beach</t>
  </si>
  <si>
    <t>Scott Mauer</t>
  </si>
  <si>
    <t>+1(850) 939-0010</t>
  </si>
  <si>
    <t>Deployed Resources - Fort Chaffee</t>
  </si>
  <si>
    <t xml:space="preserve">13115 Tuscany Street </t>
  </si>
  <si>
    <t>Barling</t>
  </si>
  <si>
    <t>Holiday Inn Express Crestwood</t>
  </si>
  <si>
    <t xml:space="preserve">13330 South Cicero Ave. </t>
  </si>
  <si>
    <t>Crestwood</t>
  </si>
  <si>
    <t>Damaris Lopez</t>
  </si>
  <si>
    <t>Dolly Patel</t>
  </si>
  <si>
    <t>+1 (708) 597-3330</t>
  </si>
  <si>
    <t>Lodging Dynamics Hospitality Group LLC</t>
  </si>
  <si>
    <t>Element Anaheim</t>
  </si>
  <si>
    <t xml:space="preserve">1600 South Clementine Street </t>
  </si>
  <si>
    <t>Chris Dougherty</t>
  </si>
  <si>
    <t>+1 (714) 326-7800</t>
  </si>
  <si>
    <t>Hampton Inn &amp; Suites Hurst</t>
  </si>
  <si>
    <t xml:space="preserve">1600 Hurst Town Center Drive </t>
  </si>
  <si>
    <t>Hurst</t>
  </si>
  <si>
    <t>TJ Patel</t>
  </si>
  <si>
    <t>+1 (817) 503-7777</t>
  </si>
  <si>
    <t>Sheraton Lincoln Harbor Hotel</t>
  </si>
  <si>
    <t xml:space="preserve">500 Harbor Boulevard </t>
  </si>
  <si>
    <t>Weehawken</t>
  </si>
  <si>
    <t>Lori Crowley</t>
  </si>
  <si>
    <t>+1 (201) 553-5000</t>
  </si>
  <si>
    <t>Staybridge Suites Carlsbad - San Diego</t>
  </si>
  <si>
    <t xml:space="preserve">2735 Palomar Airport Road </t>
  </si>
  <si>
    <t>Carlsbad</t>
  </si>
  <si>
    <t>Bob Moore</t>
  </si>
  <si>
    <t>Daniel Miranda</t>
  </si>
  <si>
    <t>+1 (760) 438-2735</t>
  </si>
  <si>
    <t>Holiday Inn Carlsbad - San Diego</t>
  </si>
  <si>
    <t xml:space="preserve">2725 Palomar Airport Road </t>
  </si>
  <si>
    <t>+1 (760) 4382725</t>
  </si>
  <si>
    <t>Selina Operations US Corp</t>
  </si>
  <si>
    <t>Selina Guadalajara</t>
  </si>
  <si>
    <t xml:space="preserve">Av. Chapultepec Nte. 20A Ladrón de Guevara Americana </t>
  </si>
  <si>
    <t>Selina</t>
  </si>
  <si>
    <t>Jorge Octavio Garza Ornelas</t>
  </si>
  <si>
    <t>+()1 3319 41 0030</t>
  </si>
  <si>
    <t>TRU Dallas</t>
  </si>
  <si>
    <t xml:space="preserve">1949 North Stemmons </t>
  </si>
  <si>
    <t>Four Points San Jose Airport</t>
  </si>
  <si>
    <t xml:space="preserve">1471 North 4th Street </t>
  </si>
  <si>
    <t>+1 (408) 452-0200</t>
  </si>
  <si>
    <t>MBBK LLC</t>
  </si>
  <si>
    <t>Courtyard Houston Kemah</t>
  </si>
  <si>
    <t xml:space="preserve">805 Harris Avenue </t>
  </si>
  <si>
    <t>Kemah</t>
  </si>
  <si>
    <t>Donna Fuller</t>
  </si>
  <si>
    <t>+()2813340003</t>
  </si>
  <si>
    <t>BPR Management Inc.</t>
  </si>
  <si>
    <t>Holiday Inn Express Salisbury</t>
  </si>
  <si>
    <t xml:space="preserve">125 Marriott Circle </t>
  </si>
  <si>
    <t>Correll Park</t>
  </si>
  <si>
    <t>April Saylor</t>
  </si>
  <si>
    <t>+(336) 466-3479</t>
  </si>
  <si>
    <t>TARFA TERRACE</t>
  </si>
  <si>
    <t xml:space="preserve">244 N MACY ST </t>
  </si>
  <si>
    <t>FOND DU LAC</t>
  </si>
  <si>
    <t>54935-3362</t>
  </si>
  <si>
    <t>(920) 921-9520</t>
  </si>
  <si>
    <t>ZINZENDORFF HALL</t>
  </si>
  <si>
    <t xml:space="preserve">1148 BAYBERRY DR </t>
  </si>
  <si>
    <t>53098-3219</t>
  </si>
  <si>
    <t>+()555-555-5555</t>
  </si>
  <si>
    <t>MARQUART VILLAGE SENIOR CENTER</t>
  </si>
  <si>
    <t>(920) 261-0400</t>
  </si>
  <si>
    <t>MARQUART VILLAGE LIFE ENRICHMENT</t>
  </si>
  <si>
    <t>MORAVIAN HOMES DUPLEXES</t>
  </si>
  <si>
    <t>MARQUART VILLAGE HOME HEALTH</t>
  </si>
  <si>
    <t>MILDRED SHOR INN</t>
  </si>
  <si>
    <t xml:space="preserve">1425 HORSHAM RD # A3 </t>
  </si>
  <si>
    <t>NORTH WALES</t>
  </si>
  <si>
    <t>19454-1320</t>
  </si>
  <si>
    <t>(215) 371-3000</t>
  </si>
  <si>
    <t>FOND DU LAC LUTHERAN HOME</t>
  </si>
  <si>
    <t>920-921-9520</t>
  </si>
  <si>
    <t>FOND DU LAC LUTHERAN HOME CBRF</t>
  </si>
  <si>
    <t>CERBAT LANES</t>
  </si>
  <si>
    <t xml:space="preserve">3631 STOCKTON ROAD </t>
  </si>
  <si>
    <t>KINGMAN</t>
  </si>
  <si>
    <t>928-692-1818</t>
  </si>
  <si>
    <t>ARTHUR'S COFFEE SHOP ORANGE</t>
  </si>
  <si>
    <t xml:space="preserve">240 N. TUSTIN AVENUE </t>
  </si>
  <si>
    <t>714-997-1850</t>
  </si>
  <si>
    <t>FAITH COUNTRYSIDE HOMES</t>
  </si>
  <si>
    <t xml:space="preserve">100 FAITH DRIVE </t>
  </si>
  <si>
    <t>HIGHLAND</t>
  </si>
  <si>
    <t>618-654-2393</t>
  </si>
  <si>
    <t>THE PALMERTON</t>
  </si>
  <si>
    <t xml:space="preserve">71 PRINCETON AVE </t>
  </si>
  <si>
    <t>PALMERTON</t>
  </si>
  <si>
    <t>610-824-7406</t>
  </si>
  <si>
    <t>La Quinta Inn &amp; Suites New Haven</t>
  </si>
  <si>
    <t xml:space="preserve">400 Sargent Drive </t>
  </si>
  <si>
    <t>Tonisha Parker</t>
  </si>
  <si>
    <t>Bhavesh Patel</t>
  </si>
  <si>
    <t>+1 (203) 562-1111</t>
  </si>
  <si>
    <t>Hilton Nashville Airport Hotel</t>
  </si>
  <si>
    <t xml:space="preserve">2200 Elm Hill Pike </t>
  </si>
  <si>
    <t>Leesa LeClaire</t>
  </si>
  <si>
    <t>+ (615) 883-9770</t>
  </si>
  <si>
    <t>Hampton Inn Manhattan</t>
  </si>
  <si>
    <t xml:space="preserve">501 East Poyntz Avenue </t>
  </si>
  <si>
    <t>Kim Burnett</t>
  </si>
  <si>
    <t>+ (785) 539-5000</t>
  </si>
  <si>
    <t>Park Design Group LLC</t>
  </si>
  <si>
    <t>300 Connell Drive 4th floor</t>
  </si>
  <si>
    <t>Berkeley Heights</t>
  </si>
  <si>
    <t>Larry Johnston</t>
  </si>
  <si>
    <t>Mike Turley</t>
  </si>
  <si>
    <t>+1 (908) 673-3700</t>
  </si>
  <si>
    <t>The Wren</t>
  </si>
  <si>
    <t xml:space="preserve">201 East Main Street </t>
  </si>
  <si>
    <t>Ryan Gray</t>
  </si>
  <si>
    <t>+1 (505) 670-4719</t>
  </si>
  <si>
    <t>Scarlett Hotel Group</t>
  </si>
  <si>
    <t>Fairfield Inn Kansas City North-Gladstone</t>
  </si>
  <si>
    <t xml:space="preserve">6901 North Oak Trafficway </t>
  </si>
  <si>
    <t>Gladstone</t>
  </si>
  <si>
    <t>Travis Maschino</t>
  </si>
  <si>
    <t>+1 (816) 886-9693</t>
  </si>
  <si>
    <t>Diversified Funding</t>
  </si>
  <si>
    <t>Quality Inn Marlborough</t>
  </si>
  <si>
    <t xml:space="preserve">880 Donald J. Lynch Blvd. </t>
  </si>
  <si>
    <t>Marlborough</t>
  </si>
  <si>
    <t>Sonny Patel</t>
  </si>
  <si>
    <t>+1 (508) 460-1000</t>
  </si>
  <si>
    <t>Hilton Garden Inn Downtown San Diego-Bayside (Dual Property)</t>
  </si>
  <si>
    <t xml:space="preserve">2137 Pacific Highway </t>
  </si>
  <si>
    <t>Gaevin Duffy</t>
  </si>
  <si>
    <t>+1 (619) 696-6300</t>
  </si>
  <si>
    <t>Homewood Suites Downtown San Diego-Bayside (Dual Property)</t>
  </si>
  <si>
    <t>+1 (619) 696-7000</t>
  </si>
  <si>
    <t>MILLBRAE SKILLED CARE</t>
  </si>
  <si>
    <t xml:space="preserve">33 MATEO AVENUE </t>
  </si>
  <si>
    <t>650-583-8937</t>
  </si>
  <si>
    <t>12793202 Canada Inc.</t>
  </si>
  <si>
    <t>Wabush Hotel</t>
  </si>
  <si>
    <t>9 Grenfell Street P.O. Box 700</t>
  </si>
  <si>
    <t>Wabush</t>
  </si>
  <si>
    <t>NL</t>
  </si>
  <si>
    <t>A0R 1B0</t>
  </si>
  <si>
    <t>Rodney Kendall</t>
  </si>
  <si>
    <t>+1 (709) 282-3221</t>
  </si>
  <si>
    <t>PMZ Balch Springs Lodging LLC</t>
  </si>
  <si>
    <t>Best Western Executive Inn</t>
  </si>
  <si>
    <t xml:space="preserve">1910 US-175 </t>
  </si>
  <si>
    <t>Seagoville</t>
  </si>
  <si>
    <t>Patrick Patel</t>
  </si>
  <si>
    <t>+1 (972) 287-9100</t>
  </si>
  <si>
    <t>The Kartrite Resort and Indoor Waterpark</t>
  </si>
  <si>
    <t xml:space="preserve">555 Resorts World Drive </t>
  </si>
  <si>
    <t>Monticello</t>
  </si>
  <si>
    <t>Kim Uczkowski</t>
  </si>
  <si>
    <t>Mark Shuda</t>
  </si>
  <si>
    <t>+1 (845) 397-2500</t>
  </si>
  <si>
    <t>Comfort Inn &amp; Suites Balch Springs</t>
  </si>
  <si>
    <t xml:space="preserve">4019 S. BELTLINE RD </t>
  </si>
  <si>
    <t>Balch Springs</t>
  </si>
  <si>
    <t>+1 (469) 627-8000</t>
  </si>
  <si>
    <t>Vespera ON OCEAN Autograph Collection</t>
  </si>
  <si>
    <t xml:space="preserve">147 Stimson Avenue </t>
  </si>
  <si>
    <t>Ian Pullan</t>
  </si>
  <si>
    <t>David Morneau</t>
  </si>
  <si>
    <t>+1(805) 773-1011</t>
  </si>
  <si>
    <t>Summit Suites Frisco</t>
  </si>
  <si>
    <t xml:space="preserve">1202 Summit Boulevard </t>
  </si>
  <si>
    <t>Deneb McNicholas</t>
  </si>
  <si>
    <t>+1 (817) 718-4948</t>
  </si>
  <si>
    <t>Hilton Atlanta Northeast</t>
  </si>
  <si>
    <t xml:space="preserve">5993 Peachtree Industrial Boulevard </t>
  </si>
  <si>
    <t>Peachtree Corner</t>
  </si>
  <si>
    <t>Dwayne Dean</t>
  </si>
  <si>
    <t>+1 (770) 447-4747</t>
  </si>
  <si>
    <t>TownePlace Suites Denver Airport at Gateway Park</t>
  </si>
  <si>
    <t xml:space="preserve">4100 N Kittredge Street </t>
  </si>
  <si>
    <t>Emma Carrillo</t>
  </si>
  <si>
    <t>Abigail Navarro</t>
  </si>
  <si>
    <t>+1 (303) 373-4243</t>
  </si>
  <si>
    <t>CYPRESS COURT</t>
  </si>
  <si>
    <t xml:space="preserve">1255 NORTH BROADWAY </t>
  </si>
  <si>
    <t>ESCONDIDO</t>
  </si>
  <si>
    <t>Donna Daniel Herr</t>
  </si>
  <si>
    <t>760-300-3230</t>
  </si>
  <si>
    <t>Comfort Suites East - Columbus</t>
  </si>
  <si>
    <t xml:space="preserve">5944 Scarborough Boulevard </t>
  </si>
  <si>
    <t>+1 (614) 552-2525</t>
  </si>
  <si>
    <t>Hampton Inn &amp; Suites Miami Wynwood Design District</t>
  </si>
  <si>
    <t xml:space="preserve">3450 Biscayne Boulevard </t>
  </si>
  <si>
    <t>Luis Malespin</t>
  </si>
  <si>
    <t>Melissa Reiner</t>
  </si>
  <si>
    <t>+1 (786) 581-0600</t>
  </si>
  <si>
    <t xml:space="preserve">Pacific Hospitality Group Ventures Inc. </t>
  </si>
  <si>
    <t>Hyatt Place Phoenix Downtown</t>
  </si>
  <si>
    <t xml:space="preserve">150 West Adams Street </t>
  </si>
  <si>
    <t>Mike Shippy</t>
  </si>
  <si>
    <t>David Belk</t>
  </si>
  <si>
    <t>+1 (602) 388-4888</t>
  </si>
  <si>
    <t>PARKER AT MCCARRICK CARE CENTER</t>
  </si>
  <si>
    <t xml:space="preserve">15 DELLWOOD LN </t>
  </si>
  <si>
    <t>08873-1551</t>
  </si>
  <si>
    <t>(732) 545-4200</t>
  </si>
  <si>
    <t>SACRED HEART CONVENT</t>
  </si>
  <si>
    <t xml:space="preserve">1237 W MONROE ST </t>
  </si>
  <si>
    <t>217-787-0481</t>
  </si>
  <si>
    <t>ASBURY COMMUNITIES</t>
  </si>
  <si>
    <t xml:space="preserve">ASBURY SOLOMONS </t>
  </si>
  <si>
    <t xml:space="preserve">11100 ASBURY CIRCLE </t>
  </si>
  <si>
    <t>SOLOMONS</t>
  </si>
  <si>
    <t>410-394-3000</t>
  </si>
  <si>
    <t>Defoor Hospitality Group LLC</t>
  </si>
  <si>
    <t>Days Inn Rivergate</t>
  </si>
  <si>
    <t xml:space="preserve">901 Carter Street </t>
  </si>
  <si>
    <t>Victoria Smith</t>
  </si>
  <si>
    <t>+1 (423) 266-7331</t>
  </si>
  <si>
    <t>Bawa Group Inc.</t>
  </si>
  <si>
    <t>Comfort Inn Port Hope</t>
  </si>
  <si>
    <t>Route 2211 Northumberland County Rd 28</t>
  </si>
  <si>
    <t>Port Hope</t>
  </si>
  <si>
    <t>L1A 3V6</t>
  </si>
  <si>
    <t>Lindsay Carmichael</t>
  </si>
  <si>
    <t>+1 (905) 885-7000</t>
  </si>
  <si>
    <t>Hampton Inn Brantford</t>
  </si>
  <si>
    <t xml:space="preserve">20 Fen Ridge Court </t>
  </si>
  <si>
    <t>Brantford</t>
  </si>
  <si>
    <t>N3V 1G2</t>
  </si>
  <si>
    <t>Jennifer McMullen</t>
  </si>
  <si>
    <t>Fawad Khan</t>
  </si>
  <si>
    <t>+1(855)605-0317</t>
  </si>
  <si>
    <t>TownePlace Suites Brantford and Conference Centre</t>
  </si>
  <si>
    <t xml:space="preserve">30 Fen Ridge Court </t>
  </si>
  <si>
    <t>N2V 1G2</t>
  </si>
  <si>
    <t>+1(519)720-2777</t>
  </si>
  <si>
    <t>Parrilla Patagonia Condesa</t>
  </si>
  <si>
    <t xml:space="preserve">Campeche 345 Colonia Condesa Cuauhtémoc </t>
  </si>
  <si>
    <t>+52 (55) 5211-8032</t>
  </si>
  <si>
    <t>Pizza Feliz Roma</t>
  </si>
  <si>
    <t xml:space="preserve">Alvaro Obregon 64 </t>
  </si>
  <si>
    <t>+52 (55) 5160 1791</t>
  </si>
  <si>
    <t>Maikai Poke Lerma</t>
  </si>
  <si>
    <t xml:space="preserve">Calle Río Lerma 213 Cuauhtémoc </t>
  </si>
  <si>
    <t>+52 (55) 1231-5250</t>
  </si>
  <si>
    <t>Maikai Poke Condesa</t>
  </si>
  <si>
    <t xml:space="preserve">Avenida Mazatlan 30 Colonia Condesa Cuauhtémoc </t>
  </si>
  <si>
    <t>+52 (55) 5925-4280</t>
  </si>
  <si>
    <t>Koku Condesa/NAM</t>
  </si>
  <si>
    <t xml:space="preserve"> Iztaccihuatl 54 Colonia Condesa Cuauhtémoc </t>
  </si>
  <si>
    <t>+52 (55) 2121-0925</t>
  </si>
  <si>
    <t>Koku Lerma</t>
  </si>
  <si>
    <t xml:space="preserve">Calle Río Lerma 94B Cuauhtémoc </t>
  </si>
  <si>
    <t>+52 (55) 5207 3344</t>
  </si>
  <si>
    <t>Taquería Gabriel Rio Lerma</t>
  </si>
  <si>
    <t xml:space="preserve">Calle Río Sena 87 Cuauhtémoc </t>
  </si>
  <si>
    <t>+52 (55) 5207 6276</t>
  </si>
  <si>
    <t>Mr. Blancos Rio Lerma</t>
  </si>
  <si>
    <t xml:space="preserve">Río Tigris 148 Cuauhtémoc Ciudad de México </t>
  </si>
  <si>
    <t>+52 (55) 132152</t>
  </si>
  <si>
    <t>Salon Rios Rio Lerma</t>
  </si>
  <si>
    <t xml:space="preserve">Río Nilo 220 Cuauhtémoc Hervidero y Plancha </t>
  </si>
  <si>
    <t>+52 (55) 2077-9170</t>
  </si>
  <si>
    <t>SCP Depoe Bay</t>
  </si>
  <si>
    <t xml:space="preserve">235 Southeast Bayview Avenue </t>
  </si>
  <si>
    <t>Depoe Bay</t>
  </si>
  <si>
    <t>Matthew Grigg</t>
  </si>
  <si>
    <t>+1 (541) 765-2350</t>
  </si>
  <si>
    <t>Dark Kitchen de Koku Makai Balboa</t>
  </si>
  <si>
    <t xml:space="preserve">RIO SAN JOAQUIN ESQUINA CON MOLIERE LOCAL 16 </t>
  </si>
  <si>
    <t>+52 (55) 1321-5250</t>
  </si>
  <si>
    <t>Belmondo Roma</t>
  </si>
  <si>
    <t xml:space="preserve">Tabasco 109 Roma Nte. Cuauhtémoc </t>
  </si>
  <si>
    <t>+52 (55) 6273-2079</t>
  </si>
  <si>
    <t>Balboa Lerma</t>
  </si>
  <si>
    <t xml:space="preserve">Calle Río Lerma 94 Cuauhtémoc </t>
  </si>
  <si>
    <t>+52 (55) 5207 3476</t>
  </si>
  <si>
    <t>Balboa Condesa</t>
  </si>
  <si>
    <t xml:space="preserve">Calle Mexicali 4 Hipódromo Cuauhtémoc </t>
  </si>
  <si>
    <t>+52 (55) 2155-6320</t>
  </si>
  <si>
    <t>Holiday Inn Express Williamsburg</t>
  </si>
  <si>
    <t xml:space="preserve">720 Lighfoot Road </t>
  </si>
  <si>
    <t>Williamsburg</t>
  </si>
  <si>
    <t xml:space="preserve"> Christopher Gatti</t>
  </si>
  <si>
    <t>+1 (757) 220-0062</t>
  </si>
  <si>
    <t>Dhulo Hospitality Group Inc.</t>
  </si>
  <si>
    <t>Fairfield Inn &amp; Suites Cleveland Tiedeman Road</t>
  </si>
  <si>
    <t xml:space="preserve">5110 Tiedeman Road </t>
  </si>
  <si>
    <t>Cindy Eckrich</t>
  </si>
  <si>
    <t>+(216)259-7650</t>
  </si>
  <si>
    <t>Holiday Inn Express &amp; Suites Painesville - Concord</t>
  </si>
  <si>
    <t xml:space="preserve">11200 Gold Court </t>
  </si>
  <si>
    <t>Painesville</t>
  </si>
  <si>
    <t>Devan Preston</t>
  </si>
  <si>
    <t>+1 (440) 898-0900</t>
  </si>
  <si>
    <t>Hampton Inn Meadville</t>
  </si>
  <si>
    <t xml:space="preserve">11446 N Dawn Drive </t>
  </si>
  <si>
    <t>Meadville</t>
  </si>
  <si>
    <t>Michelle Irwin</t>
  </si>
  <si>
    <t>+1 (814) 807-1446</t>
  </si>
  <si>
    <t>Holiday Inn Express &amp; Suites Clearfield</t>
  </si>
  <si>
    <t xml:space="preserve">1625 Industrial Park Road </t>
  </si>
  <si>
    <t>Clearfield</t>
  </si>
  <si>
    <t>Shayna Buck</t>
  </si>
  <si>
    <t>+1 (814) 768-7500</t>
  </si>
  <si>
    <t>Candlewood Suites Pittsburgh Cranberry</t>
  </si>
  <si>
    <t xml:space="preserve">20036 19 Oak Tree Place </t>
  </si>
  <si>
    <t>Joe Janczewski</t>
  </si>
  <si>
    <t>+1 (724) 591-8666</t>
  </si>
  <si>
    <t>Home2 Suites by Hilton-Savannah Airport</t>
  </si>
  <si>
    <t xml:space="preserve">860 Towne Center Boulevard </t>
  </si>
  <si>
    <t>Pooler</t>
  </si>
  <si>
    <t>Carianne Prouty</t>
  </si>
  <si>
    <t>+1 (912) 450-6101</t>
  </si>
  <si>
    <t>Country Inn &amp; Suites Vero Beach</t>
  </si>
  <si>
    <t xml:space="preserve">9330 19th Lane </t>
  </si>
  <si>
    <t>Lisa Browning</t>
  </si>
  <si>
    <t>+ (772) 257-0252</t>
  </si>
  <si>
    <t>Fairfield Inn San Angelo</t>
  </si>
  <si>
    <t xml:space="preserve">1459 Knickerbocker Road </t>
  </si>
  <si>
    <t>Andy Rodriguez</t>
  </si>
  <si>
    <t>Jennifer Reagan</t>
  </si>
  <si>
    <t>+1 (325) 482-8400</t>
  </si>
  <si>
    <t>Alko Hotels LLC</t>
  </si>
  <si>
    <t>Comfort Suites Eugene East-Springfield</t>
  </si>
  <si>
    <t xml:space="preserve">3060 East 25th Avenue </t>
  </si>
  <si>
    <t>Dylan Beaumont</t>
  </si>
  <si>
    <t>Tina Patel</t>
  </si>
  <si>
    <t>+1 (541) 743-8990</t>
  </si>
  <si>
    <t>FCL Management LLC</t>
  </si>
  <si>
    <t>Days Inn Palm Springs</t>
  </si>
  <si>
    <t xml:space="preserve">1983 North Palm Springs </t>
  </si>
  <si>
    <t>Erin Sammons</t>
  </si>
  <si>
    <t>+1 (760) 459-2402</t>
  </si>
  <si>
    <t>BLUE CENTRAL GROUP</t>
  </si>
  <si>
    <t>WOODS EDGE POINTE</t>
  </si>
  <si>
    <t xml:space="preserve">1171 TOWNE STREET </t>
  </si>
  <si>
    <t>513-242-1360</t>
  </si>
  <si>
    <t>HARMONY COURT REHAB AND NURSING</t>
  </si>
  <si>
    <t xml:space="preserve">6969 GLEN MEADOWS LANE </t>
  </si>
  <si>
    <t>513-351-7007</t>
  </si>
  <si>
    <t>Capitol Plaza Hotel &amp; Convention Center - Topeka</t>
  </si>
  <si>
    <t xml:space="preserve">1717 Southwest Topeka Boulevard </t>
  </si>
  <si>
    <t>Topeka</t>
  </si>
  <si>
    <t>Brian Allen</t>
  </si>
  <si>
    <t xml:space="preserve">Dan Clarizio </t>
  </si>
  <si>
    <t>+1 (785) 431-7200</t>
  </si>
  <si>
    <t>Hilton Garden Inn Independence</t>
  </si>
  <si>
    <t xml:space="preserve">19677 East Jackson Drive </t>
  </si>
  <si>
    <t>Patrice Chisom</t>
  </si>
  <si>
    <t>+1 (816) 350-3000</t>
  </si>
  <si>
    <t>Hotel 1000</t>
  </si>
  <si>
    <t xml:space="preserve">1000 First Avenue </t>
  </si>
  <si>
    <t xml:space="preserve">Jacques Lapierre </t>
  </si>
  <si>
    <t>+1 (206) 957-1000</t>
  </si>
  <si>
    <t>The St. Clair Hotel – Magnificent Mile</t>
  </si>
  <si>
    <t xml:space="preserve">162 East Ontario Street </t>
  </si>
  <si>
    <t>Bryan Lucas</t>
  </si>
  <si>
    <t>+1 (312) 787-3580</t>
  </si>
  <si>
    <t>Calistoga Motor Inn &amp; Spa</t>
  </si>
  <si>
    <t xml:space="preserve">1880 Lincoln Avenue </t>
  </si>
  <si>
    <t>James Wardell</t>
  </si>
  <si>
    <t>+1 (707) 942-0991</t>
  </si>
  <si>
    <t>Lumeria Maui</t>
  </si>
  <si>
    <t xml:space="preserve">1813 Baldwin Avenue </t>
  </si>
  <si>
    <t>Makawao</t>
  </si>
  <si>
    <t>Norm Santos</t>
  </si>
  <si>
    <t>Candice Parcher</t>
  </si>
  <si>
    <t>+1 (808) 579-8877</t>
  </si>
  <si>
    <t>Holiday Inn Express Poughkeepsie</t>
  </si>
  <si>
    <t xml:space="preserve">2750 South Road </t>
  </si>
  <si>
    <t>Poughkeepsie</t>
  </si>
  <si>
    <t>Rachel Kuhn</t>
  </si>
  <si>
    <t>+ (845) 473-1151</t>
  </si>
  <si>
    <t>Doubletree New York Downtown</t>
  </si>
  <si>
    <t xml:space="preserve">8 Stone Street </t>
  </si>
  <si>
    <t>Karl Baugher</t>
  </si>
  <si>
    <t>Kenny Myers</t>
  </si>
  <si>
    <t>+1 (212) 480-9100</t>
  </si>
  <si>
    <t>Quality Inn and Suites El Paso Airport</t>
  </si>
  <si>
    <t xml:space="preserve">6099 Montana Avenue </t>
  </si>
  <si>
    <t>John York</t>
  </si>
  <si>
    <t>+1 (915) 772-3300</t>
  </si>
  <si>
    <t>Hotel Emblem</t>
  </si>
  <si>
    <t xml:space="preserve">562 Sutter Street </t>
  </si>
  <si>
    <t>Brad Busby</t>
  </si>
  <si>
    <t>+1 (415) 433-4434</t>
  </si>
  <si>
    <t>Surrey Centre Hotel Limited Partnership</t>
  </si>
  <si>
    <t>Civic Hotel Autograph Collection</t>
  </si>
  <si>
    <t xml:space="preserve">13475 Central Avenue </t>
  </si>
  <si>
    <t>Surrey</t>
  </si>
  <si>
    <t>V3T 0L8</t>
  </si>
  <si>
    <t>+1 (604) 416-0550</t>
  </si>
  <si>
    <t>Equis Hospitality Management LLC</t>
  </si>
  <si>
    <t>TownePlace Suites Brentwood</t>
  </si>
  <si>
    <t xml:space="preserve">1695 South Hanley Road </t>
  </si>
  <si>
    <t>John Glascock</t>
  </si>
  <si>
    <t>+1 (314) 753-8868</t>
  </si>
  <si>
    <t>Cambria Minneapolis</t>
  </si>
  <si>
    <t xml:space="preserve">31 North 10th Street </t>
  </si>
  <si>
    <t>Hyatt House Portland Beaverton</t>
  </si>
  <si>
    <t xml:space="preserve">12820 SW Crescent Street </t>
  </si>
  <si>
    <t>Monica Cheeks</t>
  </si>
  <si>
    <t>Exceptional Hospitality Inc.</t>
  </si>
  <si>
    <t>Fairfield Inn &amp; Suites Stone Mountain</t>
  </si>
  <si>
    <t xml:space="preserve">1990 West Park Place Boulevard </t>
  </si>
  <si>
    <t>Stone Mountain</t>
  </si>
  <si>
    <t>Vipul Patel</t>
  </si>
  <si>
    <t>+1 (TBD)</t>
  </si>
  <si>
    <t>Fairfield Inn &amp; Suites Minneapolis Edina</t>
  </si>
  <si>
    <t xml:space="preserve">41 North 10th Street </t>
  </si>
  <si>
    <t>TRINITY HEALTH CENTERS</t>
  </si>
  <si>
    <t>BRIDGEPOINTE GARDENS</t>
  </si>
  <si>
    <t xml:space="preserve">2100 UTICA-SELLERSBURG ROAD </t>
  </si>
  <si>
    <t>812-920-4760</t>
  </si>
  <si>
    <t>STERLING GROUP FOODS</t>
  </si>
  <si>
    <t xml:space="preserve">5850 SOUTH PINE ROAD </t>
  </si>
  <si>
    <t>DAVIE</t>
  </si>
  <si>
    <t>954-680-4787</t>
  </si>
  <si>
    <t>CAMP HARLAM-STERLING</t>
  </si>
  <si>
    <t xml:space="preserve">575 SMITH ROAD </t>
  </si>
  <si>
    <t>KUNKLETOWN</t>
  </si>
  <si>
    <t>570-629-1390</t>
  </si>
  <si>
    <t>BAPTIST GENERAL ASSOCIATION OF VIRGINIA</t>
  </si>
  <si>
    <t xml:space="preserve">2828 EMERYWOOD PARKWAY </t>
  </si>
  <si>
    <t>HENRICO</t>
  </si>
  <si>
    <t>804-915-5000</t>
  </si>
  <si>
    <t>REBUILDING TOGETHER CENTRAL ALABAMA</t>
  </si>
  <si>
    <t xml:space="preserve">2214 ALLENDALE ROAD </t>
  </si>
  <si>
    <t>MONTGOMERY</t>
  </si>
  <si>
    <t>334-625-9062</t>
  </si>
  <si>
    <t>BETHLEHEM FARM</t>
  </si>
  <si>
    <t xml:space="preserve">572 BETHLEHEM FARM LANE </t>
  </si>
  <si>
    <t>TALCOTT</t>
  </si>
  <si>
    <t>304-445-7143</t>
  </si>
  <si>
    <t>THE HANDY GROUP</t>
  </si>
  <si>
    <t>LITTLE PLAYMATES-MOUNTAIN VIEW</t>
  </si>
  <si>
    <t xml:space="preserve">4190 CAMINO COYOTE LANE </t>
  </si>
  <si>
    <t>575-522-2282</t>
  </si>
  <si>
    <t>LITTLE PLAYMATES</t>
  </si>
  <si>
    <t xml:space="preserve">2989 CLAUDE DOVE DRIVE </t>
  </si>
  <si>
    <t>575-522-7107</t>
  </si>
  <si>
    <t xml:space="preserve">800 NORTH TELSHORE BLVD </t>
  </si>
  <si>
    <t>575-521-1366</t>
  </si>
  <si>
    <t>LAKESIDE MILAM RECOVERY CENTER</t>
  </si>
  <si>
    <t xml:space="preserve">10322 NE 132ND STREET SE </t>
  </si>
  <si>
    <t>KIRKLAND</t>
  </si>
  <si>
    <t>866-418-9132</t>
  </si>
  <si>
    <t>INDEPENDENT ADULT DAY CARE CENTERS</t>
  </si>
  <si>
    <t>INDEPENDENT ADULT DAY CENTER-NORTHWEST INDIANAPOLIS</t>
  </si>
  <si>
    <t xml:space="preserve">8755 GUION ROAD SUITE A </t>
  </si>
  <si>
    <t>317-296-8810</t>
  </si>
  <si>
    <t>INDEPENDENT ADULT DAY CENTER-SOUTH INDIANAPOLIS</t>
  </si>
  <si>
    <t xml:space="preserve">2225 SHELBY STREET </t>
  </si>
  <si>
    <t>317-296-8811</t>
  </si>
  <si>
    <t>INDEPENDENT ADULT DAY CENTER-NE INDIANAPOLIS</t>
  </si>
  <si>
    <t xml:space="preserve">7318 CROSSING PLACE </t>
  </si>
  <si>
    <t>FISHERS</t>
  </si>
  <si>
    <t>317-296-8812</t>
  </si>
  <si>
    <t>SILVER PALMS ASSISTED LIVING</t>
  </si>
  <si>
    <t xml:space="preserve">126 WEST STONEBROOK DRIVE </t>
  </si>
  <si>
    <t>319-385-9144</t>
  </si>
  <si>
    <t>PS-CASPER MOUNTAIN REHABILITATION AND CARE CENTER</t>
  </si>
  <si>
    <t xml:space="preserve">4305 SOUTH POPLAR </t>
  </si>
  <si>
    <t>CLINTONVILLE WOMANS CLUB</t>
  </si>
  <si>
    <t xml:space="preserve">3951 NORTH HIGH STREET </t>
  </si>
  <si>
    <t>614-268-5525</t>
  </si>
  <si>
    <t>ST GREGORY RECOVERY CENTER</t>
  </si>
  <si>
    <t xml:space="preserve">601 2ND STREET </t>
  </si>
  <si>
    <t>BAYARD</t>
  </si>
  <si>
    <t>888-778-5833</t>
  </si>
  <si>
    <t>HARVARD PARK SURGERY CENTER</t>
  </si>
  <si>
    <t xml:space="preserve">1000 EAST HARVARD AVENUE </t>
  </si>
  <si>
    <t>303-778-5773</t>
  </si>
  <si>
    <t>SOUTHERN PLAINS MEDICAL CENTER OF GAVIN COUNTY</t>
  </si>
  <si>
    <t xml:space="preserve">100 VALLEY DRIVE </t>
  </si>
  <si>
    <t>PAULS VALLEY</t>
  </si>
  <si>
    <t>405-331-5128</t>
  </si>
  <si>
    <t>LUTHER MANOR</t>
  </si>
  <si>
    <t xml:space="preserve">4545 NORTH 92ND STREET </t>
  </si>
  <si>
    <t>WAUWATOSA</t>
  </si>
  <si>
    <t>414-464-3880</t>
  </si>
  <si>
    <t>WISCONSIN LUTHERAN SEMINARY</t>
  </si>
  <si>
    <t xml:space="preserve">11831 NORTH SEMINARY DRIVE </t>
  </si>
  <si>
    <t>MEQUON</t>
  </si>
  <si>
    <t>414-255-5203</t>
  </si>
  <si>
    <t>PEAKS HEALTHCARE MANAGEMENT</t>
  </si>
  <si>
    <t xml:space="preserve">925 S NIAGARA STREET #360 </t>
  </si>
  <si>
    <t>DEEP CREEK YOUTH ACADEMY-YOUTH OPPORTUNITY</t>
  </si>
  <si>
    <t xml:space="preserve">765 EAST SAINT JOHNS AVENUE </t>
  </si>
  <si>
    <t>HASTING</t>
  </si>
  <si>
    <t>SHERATON VISTANA VILLAGES</t>
  </si>
  <si>
    <t xml:space="preserve">12401 INTERNATIONAL DRIVE </t>
  </si>
  <si>
    <t>954-608-8060</t>
  </si>
  <si>
    <t>SHERATON ORLANDO LAKE BUENA VISTA</t>
  </si>
  <si>
    <t xml:space="preserve">1220 S APOPKA VINELAND ROAD </t>
  </si>
  <si>
    <t>TAKI TIKI BAR AND GRILL</t>
  </si>
  <si>
    <t xml:space="preserve">8800 VISTANA CENTRE DRIVE </t>
  </si>
  <si>
    <t>VISTANA KIDS POOL</t>
  </si>
  <si>
    <t>BLUE STREAM REHAB</t>
  </si>
  <si>
    <t xml:space="preserve">4360 BRECKSVILLE ROAD </t>
  </si>
  <si>
    <t>RICHFIELD</t>
  </si>
  <si>
    <t>330-659-6166</t>
  </si>
  <si>
    <t xml:space="preserve">5308 13TH AVENUE </t>
  </si>
  <si>
    <t xml:space="preserve">ATRIUM CENTERS LLC </t>
  </si>
  <si>
    <t>MULDER HEALTH CARE</t>
  </si>
  <si>
    <t xml:space="preserve">713 NORTH LEONARD STREET </t>
  </si>
  <si>
    <t>WEST SALEM</t>
  </si>
  <si>
    <t>608-786-1600</t>
  </si>
  <si>
    <t>HRI Lodging LLC (Hospitality)</t>
  </si>
  <si>
    <t>Aloft Santa Clara</t>
  </si>
  <si>
    <t xml:space="preserve">510 America Center Court </t>
  </si>
  <si>
    <t>Tyler John</t>
  </si>
  <si>
    <t>Abel Veloz</t>
  </si>
  <si>
    <t>+1(408)263-3900</t>
  </si>
  <si>
    <t>South Bay Inn &amp; Suites</t>
  </si>
  <si>
    <t xml:space="preserve">520 North Ocean Boulevard </t>
  </si>
  <si>
    <t>Kevin Mann</t>
  </si>
  <si>
    <t>+1 (843) 213-5211</t>
  </si>
  <si>
    <t>PIZZA BOYS</t>
  </si>
  <si>
    <t xml:space="preserve">90 CLINTON STREET </t>
  </si>
  <si>
    <t>NEW YORK MILLS</t>
  </si>
  <si>
    <t>315-520-7111</t>
  </si>
  <si>
    <t>JKR LLC</t>
  </si>
  <si>
    <t>Wingate by Wyndham Great Falls</t>
  </si>
  <si>
    <t xml:space="preserve">1000 9th Avenue South </t>
  </si>
  <si>
    <t>Great Falls</t>
  </si>
  <si>
    <t>Nina Singh</t>
  </si>
  <si>
    <t>+1 (406) 205-0327</t>
  </si>
  <si>
    <t>Threefoot Hotel a Tribute Portfolio</t>
  </si>
  <si>
    <t xml:space="preserve">601 22nd Avenue </t>
  </si>
  <si>
    <t>Commonwealth Hotels Inc.</t>
  </si>
  <si>
    <t>Crowne Plaza Reading</t>
  </si>
  <si>
    <t xml:space="preserve">1741 Papermill Road </t>
  </si>
  <si>
    <t>Mark DiPiazza</t>
  </si>
  <si>
    <t>+1 (610) 376-3811</t>
  </si>
  <si>
    <t>PARAMOUNT COMMUNITY LIVING AND REHAB</t>
  </si>
  <si>
    <t xml:space="preserve">200 SW 14TH STREET </t>
  </si>
  <si>
    <t>316-283-4770</t>
  </si>
  <si>
    <t>STILL HOPES</t>
  </si>
  <si>
    <t xml:space="preserve">1 STILL HOPES DRIVE </t>
  </si>
  <si>
    <t>WEST COLUMBIA</t>
  </si>
  <si>
    <t>803-796-6470</t>
  </si>
  <si>
    <t>MARSH'S EDGE</t>
  </si>
  <si>
    <t xml:space="preserve">136 MARSH'S EDGE LANE </t>
  </si>
  <si>
    <t>ST. SIMON ISLAND</t>
  </si>
  <si>
    <t>HPSI:RETIREMENT HOME</t>
  </si>
  <si>
    <t>912-291-2000</t>
  </si>
  <si>
    <t>Rohm Hotel Group</t>
  </si>
  <si>
    <t>Hampton Inn Alpharetta Roswell</t>
  </si>
  <si>
    <t xml:space="preserve">10740 Westside Way </t>
  </si>
  <si>
    <t>Jamiko Strickland</t>
  </si>
  <si>
    <t>+1 (770) 640-5511</t>
  </si>
  <si>
    <t>Madison Hotel LLC</t>
  </si>
  <si>
    <t>Renaissance Seattle Hotel</t>
  </si>
  <si>
    <t xml:space="preserve">515 Madison Street </t>
  </si>
  <si>
    <t>Juergen Oswald</t>
  </si>
  <si>
    <t>+ (206) 583-0300</t>
  </si>
  <si>
    <t>Hawk Hospitality Inc.</t>
  </si>
  <si>
    <t>Courtyard Iowa City</t>
  </si>
  <si>
    <t xml:space="preserve">901 Melrose Avenue </t>
  </si>
  <si>
    <t>University Heights</t>
  </si>
  <si>
    <t>Michelle Curtis</t>
  </si>
  <si>
    <t>+1 (319) 569-6777</t>
  </si>
  <si>
    <t>VOYAGE SENIOR LIVING</t>
  </si>
  <si>
    <t>Hotel Deco XV</t>
  </si>
  <si>
    <t xml:space="preserve">1504 Harney Street </t>
  </si>
  <si>
    <t>+1 (402) 991-4981</t>
  </si>
  <si>
    <t>Deployed Resources - Warehouse 2606</t>
  </si>
  <si>
    <t xml:space="preserve">1100 East Military Highway </t>
  </si>
  <si>
    <t>Pharr</t>
  </si>
  <si>
    <t>Deployed Resources - Brownsville</t>
  </si>
  <si>
    <t xml:space="preserve">1500 University Boulevard </t>
  </si>
  <si>
    <t>Brownsville</t>
  </si>
  <si>
    <t>Deployed Resources - McAllen</t>
  </si>
  <si>
    <t xml:space="preserve">1209 East Jasmine Avenue </t>
  </si>
  <si>
    <t>McAllen</t>
  </si>
  <si>
    <t>Deployed Resources - Laredo</t>
  </si>
  <si>
    <t xml:space="preserve">900 Waters Street </t>
  </si>
  <si>
    <t>Deployed Resources - Eagle Pass CBP SSF</t>
  </si>
  <si>
    <t xml:space="preserve">4156 El Indio Highway </t>
  </si>
  <si>
    <t>Eagle Pass</t>
  </si>
  <si>
    <t>Edward Shawn Corrales</t>
  </si>
  <si>
    <t>Deployed Resources - Donna ORR Emerc Influx 2606</t>
  </si>
  <si>
    <t xml:space="preserve">1401 S. Salinas Blvd. </t>
  </si>
  <si>
    <t>Donna</t>
  </si>
  <si>
    <t>Deployed Resources - Carrizo Springs Dimmit</t>
  </si>
  <si>
    <t xml:space="preserve">434 Urenda Loop </t>
  </si>
  <si>
    <t>Carrizo Springs</t>
  </si>
  <si>
    <t>+1 (208) 427-4172</t>
  </si>
  <si>
    <t>Deployed Resources - Donna CBP SSF 2572</t>
  </si>
  <si>
    <t xml:space="preserve">1401 S. Salinas Blvd </t>
  </si>
  <si>
    <t>Totem Square Hotel &amp; Marina</t>
  </si>
  <si>
    <t xml:space="preserve">201 Katlian Street </t>
  </si>
  <si>
    <t>Sitka</t>
  </si>
  <si>
    <t>Ellen Littlefield</t>
  </si>
  <si>
    <t>+1 (907) 747-3693</t>
  </si>
  <si>
    <t>Deployed Resources - Fort Hunter Liggett Headquarters</t>
  </si>
  <si>
    <t xml:space="preserve">Building 238 California Avenue </t>
  </si>
  <si>
    <t>Jolon</t>
  </si>
  <si>
    <t>Deployed Resources - Tucson CBP SSF</t>
  </si>
  <si>
    <t xml:space="preserve">4550 E. Los Reales Road </t>
  </si>
  <si>
    <t>Deployed Resources - Yuma CBP SSF</t>
  </si>
  <si>
    <t xml:space="preserve">4035 S. Avenue A </t>
  </si>
  <si>
    <t>KOBERNICK INDEPENDENT LIVING</t>
  </si>
  <si>
    <t xml:space="preserve">1951 N HONORE AVE </t>
  </si>
  <si>
    <t>34235-9117</t>
  </si>
  <si>
    <t>(941) 377-0781</t>
  </si>
  <si>
    <t>THE VILLAS AT SARATOGA</t>
  </si>
  <si>
    <t xml:space="preserve">20400 SARATOGA-LOS GATOS ROAD </t>
  </si>
  <si>
    <t>SARATOGA</t>
  </si>
  <si>
    <t>408-741-2955</t>
  </si>
  <si>
    <t>Raines Hospitality Inc.</t>
  </si>
  <si>
    <t>Waynesville Inn and Golf Club</t>
  </si>
  <si>
    <t xml:space="preserve">176 Country Club Drive </t>
  </si>
  <si>
    <t>Chris Corbin</t>
  </si>
  <si>
    <t>+1 (828) 456-3351</t>
  </si>
  <si>
    <t>SARASOTA - MANATEE JEWISH HOUSING COMPANY</t>
  </si>
  <si>
    <t>RICHMOND TERRACE RETIREMENT CTR</t>
  </si>
  <si>
    <t xml:space="preserve">1633 LACLEDE STATION ROAD </t>
  </si>
  <si>
    <t>RICHMOND HEIGHTS</t>
  </si>
  <si>
    <t>314-646-8000</t>
  </si>
  <si>
    <t>GREEN HOUSE RESIDENCE CARE AND REHAB</t>
  </si>
  <si>
    <t xml:space="preserve">1010 E 33RD STREET </t>
  </si>
  <si>
    <t>410-554-9890</t>
  </si>
  <si>
    <t>BETHANY ST. JOSEPH CORPORATION</t>
  </si>
  <si>
    <t xml:space="preserve">2501 SHELBY RD </t>
  </si>
  <si>
    <t>LA CROSSE</t>
  </si>
  <si>
    <t>608 788570</t>
  </si>
  <si>
    <t>BETHANY ST. JOSEPH CORPORATION - REHABILITATI</t>
  </si>
  <si>
    <t>54601-8037</t>
  </si>
  <si>
    <t>(608) 788-5700</t>
  </si>
  <si>
    <t>CAROLINA VILLAGE</t>
  </si>
  <si>
    <t xml:space="preserve">600 CAROLINA VILLAGE ROAD </t>
  </si>
  <si>
    <t>HENDERSONVILLE</t>
  </si>
  <si>
    <t>828-692-6275</t>
  </si>
  <si>
    <t>CEDAR COURT ASSISTED LIVING</t>
  </si>
  <si>
    <t xml:space="preserve">20420 MARINE DRIVE </t>
  </si>
  <si>
    <t>STANWOOD</t>
  </si>
  <si>
    <t>360-652-7585</t>
  </si>
  <si>
    <t>AGING SERVICES OF CALIFORNIA</t>
  </si>
  <si>
    <t xml:space="preserve">1315 I STREET </t>
  </si>
  <si>
    <t>916-932-1271</t>
  </si>
  <si>
    <t>ABINGTON MANOR AT MORGAN HILL</t>
  </si>
  <si>
    <t>ABINGTON MANOR AT MORGAN HILL-MEMORY CARE VILLAGE</t>
  </si>
  <si>
    <t xml:space="preserve">5 CEDAR PARK BLVD </t>
  </si>
  <si>
    <t>610-829-0100</t>
  </si>
  <si>
    <t xml:space="preserve">ABINGTON MANOR AT MORGAN HILL </t>
  </si>
  <si>
    <t xml:space="preserve">215 CEDAR PARK BLVD </t>
  </si>
  <si>
    <t>Holiday Inn Wilmington</t>
  </si>
  <si>
    <t xml:space="preserve">5032 Market Street </t>
  </si>
  <si>
    <t>Robert Tann</t>
  </si>
  <si>
    <t>+1 (910) 392-1101</t>
  </si>
  <si>
    <t>Storey Hotel Management Group LLC</t>
  </si>
  <si>
    <t>The Ameswell Hotel</t>
  </si>
  <si>
    <t xml:space="preserve">800 Moffett Blvd </t>
  </si>
  <si>
    <t>Mountain View</t>
  </si>
  <si>
    <t>Michael Casey</t>
  </si>
  <si>
    <t>Christian McCollion</t>
  </si>
  <si>
    <t>+(650)880-1000</t>
  </si>
  <si>
    <t>Hyatt Centric Alexandria</t>
  </si>
  <si>
    <t xml:space="preserve">1611-1617 King Street </t>
  </si>
  <si>
    <t>Steve Wissing</t>
  </si>
  <si>
    <t>Sam Selvi</t>
  </si>
  <si>
    <t>+(703)548-1050</t>
  </si>
  <si>
    <t>Hyatt Place Columbus Polaris</t>
  </si>
  <si>
    <t xml:space="preserve">2006 Polaris Parkway </t>
  </si>
  <si>
    <t>Sachin Patel</t>
  </si>
  <si>
    <t>Patrick Quinn</t>
  </si>
  <si>
    <t>+1 (614) 964-1877</t>
  </si>
  <si>
    <t>Home2 Suites Decatur Ingalls Harbor</t>
  </si>
  <si>
    <t xml:space="preserve">807 Island Way </t>
  </si>
  <si>
    <t>Evelyn Barnes</t>
  </si>
  <si>
    <t>+1 (256) 822-1030</t>
  </si>
  <si>
    <t>Hilton Garden Inn Madison Huntsville Airport</t>
  </si>
  <si>
    <t xml:space="preserve">145 Graphics Drive </t>
  </si>
  <si>
    <t>Triana</t>
  </si>
  <si>
    <t>Andrew McGee</t>
  </si>
  <si>
    <t>+1 (256) 325-1130</t>
  </si>
  <si>
    <t>Home2 Suites Opelika Auburn</t>
  </si>
  <si>
    <t xml:space="preserve">3150 Capps Way </t>
  </si>
  <si>
    <t>Opelika</t>
  </si>
  <si>
    <t>Laine Oliver</t>
  </si>
  <si>
    <t>+1 (334) 737-5155</t>
  </si>
  <si>
    <t>Cobblestone Inn &amp; Suites Denison</t>
  </si>
  <si>
    <t xml:space="preserve">161 Oak Ridge Drive </t>
  </si>
  <si>
    <t>Denison</t>
  </si>
  <si>
    <t>Sherri DeMay</t>
  </si>
  <si>
    <t>+1 (712) 263-2833</t>
  </si>
  <si>
    <t>Streamline Hotel</t>
  </si>
  <si>
    <t xml:space="preserve">140 South Atlantic Avenue </t>
  </si>
  <si>
    <t>Neal Cavanaugh</t>
  </si>
  <si>
    <t>+1 (386) 947-7470</t>
  </si>
  <si>
    <t>COMMUNICARE</t>
  </si>
  <si>
    <t>SUNRISE HEALTH AND WELLNESS</t>
  </si>
  <si>
    <t xml:space="preserve">1223 MARKET AVENUE N </t>
  </si>
  <si>
    <t>330-454-2152</t>
  </si>
  <si>
    <t>Hilton Garden Inn Mall of St. Matthews</t>
  </si>
  <si>
    <t xml:space="preserve">400 Sherburn Lane </t>
  </si>
  <si>
    <t>Saint Matthews</t>
  </si>
  <si>
    <t>Russell Toebbe</t>
  </si>
  <si>
    <t>+1 (502) 690-3325</t>
  </si>
  <si>
    <t>Punta Mita TRS S. DE R.L. DE C.V.</t>
  </si>
  <si>
    <t>Four Seasons Resort Punta Mita</t>
  </si>
  <si>
    <t xml:space="preserve">Corral del Risco </t>
  </si>
  <si>
    <t>Four Seasons</t>
  </si>
  <si>
    <t>Jorge Verjan</t>
  </si>
  <si>
    <t>Esteban Orosco</t>
  </si>
  <si>
    <t>+52 (329) 291-6000</t>
  </si>
  <si>
    <t>SUNNYSIDE PRESBY HOME</t>
  </si>
  <si>
    <t xml:space="preserve">3935 SUNNYSIDE DR STE A </t>
  </si>
  <si>
    <t>ROCKINGHAM</t>
  </si>
  <si>
    <t>(540) 568-8505</t>
  </si>
  <si>
    <t>VIRGINIA LUTHERAN HOMES INC</t>
  </si>
  <si>
    <t>VIRGINIA LUTHERAN HOMES INC.-VF DUPLICATE.SEE #394655</t>
  </si>
  <si>
    <t xml:space="preserve">3807 BRANDON AVE SW STE 2440 </t>
  </si>
  <si>
    <t>540 562544</t>
  </si>
  <si>
    <t>HERITAGE COMMUNITY OF KALAMAZOO</t>
  </si>
  <si>
    <t>AMBER PLACE</t>
  </si>
  <si>
    <t xml:space="preserve">600 GOLDEN DR </t>
  </si>
  <si>
    <t>KALAMAZOO</t>
  </si>
  <si>
    <t>DIRECTORS HALL</t>
  </si>
  <si>
    <t>Onyx Hospitality LLC</t>
  </si>
  <si>
    <t>Courtyard Memphis East Galleria</t>
  </si>
  <si>
    <t xml:space="preserve">2785 New Brunswick Road </t>
  </si>
  <si>
    <t>Memphis</t>
  </si>
  <si>
    <t>Clarissa Ford</t>
  </si>
  <si>
    <t>+1 (901) 450-6320</t>
  </si>
  <si>
    <t>Providence Hospitality Partners</t>
  </si>
  <si>
    <t>Courtyard Atlanta Airport West</t>
  </si>
  <si>
    <t xml:space="preserve">3400 Creek Pointe Drive </t>
  </si>
  <si>
    <t>East Point</t>
  </si>
  <si>
    <t>Starlet Wheatley</t>
  </si>
  <si>
    <t>+1 (404) 344-4414</t>
  </si>
  <si>
    <t>THE TOWERS AT CROOKED CREEK</t>
  </si>
  <si>
    <t xml:space="preserve">7988 MICHIGAN RD </t>
  </si>
  <si>
    <t>46268-1997</t>
  </si>
  <si>
    <t>(317) 875-0618</t>
  </si>
  <si>
    <t>HILL VIEW RETIREMENT COMMUNITY</t>
  </si>
  <si>
    <t xml:space="preserve">1610 28TH ST </t>
  </si>
  <si>
    <t>PORTSMOUTH</t>
  </si>
  <si>
    <t>740-354-3135</t>
  </si>
  <si>
    <t>PRESBYTERIAN SENIOR LIVING</t>
  </si>
  <si>
    <t>WESTMINSTER WOODS AT HUNTINGDON</t>
  </si>
  <si>
    <t xml:space="preserve">360 WESTMINSTER DR </t>
  </si>
  <si>
    <t>814-643-3160</t>
  </si>
  <si>
    <t>VINTAGE RETIREMENT COMMUNITY (THE) AND</t>
  </si>
  <si>
    <t xml:space="preserve">205 N BONNIE BRAE ST </t>
  </si>
  <si>
    <t>DENTON</t>
  </si>
  <si>
    <t>76201-3766</t>
  </si>
  <si>
    <t>940-384-1500</t>
  </si>
  <si>
    <t>WESTMINSTER VILLAGE ALLENTOWN</t>
  </si>
  <si>
    <t xml:space="preserve">803 N WAHNETA ST </t>
  </si>
  <si>
    <t>ALLENTOWN</t>
  </si>
  <si>
    <t>610-434-6245</t>
  </si>
  <si>
    <t>THE GUARDIAN</t>
  </si>
  <si>
    <t xml:space="preserve">1401 COUNTRY CLUB RD </t>
  </si>
  <si>
    <t>70605-5321</t>
  </si>
  <si>
    <t>SUMNER ON RIDGEWOOD INC</t>
  </si>
  <si>
    <t xml:space="preserve">970 SUMNER PKWY </t>
  </si>
  <si>
    <t>COPLEY</t>
  </si>
  <si>
    <t>44321-1693</t>
  </si>
  <si>
    <t>(330) 664-1000</t>
  </si>
  <si>
    <t>WESTOVER MANOR</t>
  </si>
  <si>
    <t xml:space="preserve">205 40TH ST DR SE </t>
  </si>
  <si>
    <t>CEDAR RAPIDS</t>
  </si>
  <si>
    <t>52403-1011</t>
  </si>
  <si>
    <t>(319) 363-3086</t>
  </si>
  <si>
    <t>ST. PETER VILLA NURSING HOME</t>
  </si>
  <si>
    <t xml:space="preserve">141 N MCLEAN BLVD </t>
  </si>
  <si>
    <t>38104-2693</t>
  </si>
  <si>
    <t>(901) 276-2021</t>
  </si>
  <si>
    <t>ST LUKES - PORTAGE LAKES</t>
  </si>
  <si>
    <t xml:space="preserve">615 LATHAM LN </t>
  </si>
  <si>
    <t>NEW FRANKLIN</t>
  </si>
  <si>
    <t>44319-4338</t>
  </si>
  <si>
    <t>(330) 644-3914</t>
  </si>
  <si>
    <t>VILLA AT SACRED HEART</t>
  </si>
  <si>
    <t xml:space="preserve">1501 S MERIDIAN ST </t>
  </si>
  <si>
    <t>46225-1500</t>
  </si>
  <si>
    <t>(317) 632-8944</t>
  </si>
  <si>
    <t>WITTENBERG VILLAGE</t>
  </si>
  <si>
    <t xml:space="preserve">1200 LUTHER DR </t>
  </si>
  <si>
    <t>219 663386</t>
  </si>
  <si>
    <t>STONEBRIDGE SCC</t>
  </si>
  <si>
    <t xml:space="preserve">11127 CIRCLE DR </t>
  </si>
  <si>
    <t>(512) 288-8844</t>
  </si>
  <si>
    <t>SAVANNAH HEIGHTS</t>
  </si>
  <si>
    <t xml:space="preserve">601 S PRAIRIE ST </t>
  </si>
  <si>
    <t>52641-1510</t>
  </si>
  <si>
    <t>SENIOR CARE AT LAKE POINTE</t>
  </si>
  <si>
    <t xml:space="preserve">6700 HERITAGE PKWY </t>
  </si>
  <si>
    <t>ROCKWALL</t>
  </si>
  <si>
    <t>75087-8748</t>
  </si>
  <si>
    <t>972-412-4000</t>
  </si>
  <si>
    <t>ST PAUL HOME</t>
  </si>
  <si>
    <t xml:space="preserve">316 E 14TH ST </t>
  </si>
  <si>
    <t>KAUKAUNA</t>
  </si>
  <si>
    <t>54130-3304</t>
  </si>
  <si>
    <t>(920) 766-6020</t>
  </si>
  <si>
    <t>YELLOWWOOD TERRACE</t>
  </si>
  <si>
    <t xml:space="preserve">2100 GREENTREE N </t>
  </si>
  <si>
    <t>CLARKSVILLE</t>
  </si>
  <si>
    <t>47129-8963</t>
  </si>
  <si>
    <t>(812) 282-7761</t>
  </si>
  <si>
    <t>MARYMOUNT MANOR</t>
  </si>
  <si>
    <t xml:space="preserve">317 152ND ST E </t>
  </si>
  <si>
    <t>98445-1298</t>
  </si>
  <si>
    <t>(253) 537-8910</t>
  </si>
  <si>
    <t>NORSE HOME</t>
  </si>
  <si>
    <t xml:space="preserve">5311 PHINNEY AVE N </t>
  </si>
  <si>
    <t>98103-6099</t>
  </si>
  <si>
    <t>(206) 781-7400</t>
  </si>
  <si>
    <t>US MEMORY CARE OF COLLEYVILLE - TX</t>
  </si>
  <si>
    <t xml:space="preserve">8100 PRECINCT LINE RD </t>
  </si>
  <si>
    <t>COLLEYVILLE</t>
  </si>
  <si>
    <t>76034-7674</t>
  </si>
  <si>
    <t>ST PAUL ELDER SERVICES</t>
  </si>
  <si>
    <t>VALLEY VIEW APARTMENTS</t>
  </si>
  <si>
    <t xml:space="preserve">1485 N 7TH ST </t>
  </si>
  <si>
    <t>MANITOWOC</t>
  </si>
  <si>
    <t>54220-2054</t>
  </si>
  <si>
    <t>(920) 684-4554</t>
  </si>
  <si>
    <t>REGENCY VILLAGE-VALUE FIRST DUPLICATE</t>
  </si>
  <si>
    <t xml:space="preserve">409 GREENE ST </t>
  </si>
  <si>
    <t>WEBSTER</t>
  </si>
  <si>
    <t>281 332473</t>
  </si>
  <si>
    <t>ROWLETT HEALTH &amp; REHABILITATION CENTER</t>
  </si>
  <si>
    <t xml:space="preserve">9300 LAKEVIEW PKWY </t>
  </si>
  <si>
    <t>ROWLETT</t>
  </si>
  <si>
    <t>75088-4476</t>
  </si>
  <si>
    <t>972-475-4700</t>
  </si>
  <si>
    <t>WHITESBORO HEALTH &amp; REHABILITATION CENTER</t>
  </si>
  <si>
    <t xml:space="preserve">1204 SHERMAN 'PO BOX 250 </t>
  </si>
  <si>
    <t>WHITESBORO</t>
  </si>
  <si>
    <t>903-564-7900</t>
  </si>
  <si>
    <t>TWELVE OAKS LODGE</t>
  </si>
  <si>
    <t xml:space="preserve">2587 E WASHINGTON BLVD APT 222 </t>
  </si>
  <si>
    <t>91107-6208</t>
  </si>
  <si>
    <t>(818) 249-3361</t>
  </si>
  <si>
    <t>MADRID HOME FOR THE AGING</t>
  </si>
  <si>
    <t xml:space="preserve">613 W NORTH ST </t>
  </si>
  <si>
    <t>MADRID</t>
  </si>
  <si>
    <t>50156-1023</t>
  </si>
  <si>
    <t>(515) 795-3007</t>
  </si>
  <si>
    <t>VIRGINIA PARK</t>
  </si>
  <si>
    <t xml:space="preserve">2111 E VIRGINIA AVE </t>
  </si>
  <si>
    <t>50320-2723</t>
  </si>
  <si>
    <t>(515) 288-5616</t>
  </si>
  <si>
    <t>RICHARDSON MANOR</t>
  </si>
  <si>
    <t xml:space="preserve">1919 N 11TH ST </t>
  </si>
  <si>
    <t>53205-1750</t>
  </si>
  <si>
    <t>414/264-9711</t>
  </si>
  <si>
    <t>PIONEERCARE</t>
  </si>
  <si>
    <t>PIONEER CARE</t>
  </si>
  <si>
    <t xml:space="preserve">1006 S SHERIDAN ST </t>
  </si>
  <si>
    <t>FERGUS FALLS</t>
  </si>
  <si>
    <t>56537-3598</t>
  </si>
  <si>
    <t>(218) 739-7700</t>
  </si>
  <si>
    <t>LONGFELLOW PLAZA</t>
  </si>
  <si>
    <t xml:space="preserve">319 E 12TH ST </t>
  </si>
  <si>
    <t>46016-1756</t>
  </si>
  <si>
    <t>(765) 642-9888</t>
  </si>
  <si>
    <t>UPJOHN CARE AND REHABILITATION CENTER</t>
  </si>
  <si>
    <t xml:space="preserve">2400 PORTAGE ST </t>
  </si>
  <si>
    <t>RIVERWOOD RETIREMENT MANAGEMENT INC</t>
  </si>
  <si>
    <t xml:space="preserve">101 NORTHLAKE DR </t>
  </si>
  <si>
    <t>ORANGE CITY</t>
  </si>
  <si>
    <t>32763-6167</t>
  </si>
  <si>
    <t>(386) 774-8878</t>
  </si>
  <si>
    <t>THE BOVE HEALTH CENTER AT JEFFERSON'S FERRY</t>
  </si>
  <si>
    <t xml:space="preserve">1 JEFFERSON FERRY DR STE A </t>
  </si>
  <si>
    <t>SOUTH SETAUKET</t>
  </si>
  <si>
    <t>11720-4708</t>
  </si>
  <si>
    <t>THE PARKE</t>
  </si>
  <si>
    <t xml:space="preserve">151 E DALLAS RD </t>
  </si>
  <si>
    <t>STANLEY</t>
  </si>
  <si>
    <t>28164-2010</t>
  </si>
  <si>
    <t>(704) 263-1986</t>
  </si>
  <si>
    <t>MADISON AVENUE</t>
  </si>
  <si>
    <t xml:space="preserve">1292 E 6TH ST </t>
  </si>
  <si>
    <t>80537-5871</t>
  </si>
  <si>
    <t>+()tb</t>
  </si>
  <si>
    <t>PROVIDENCE PLACE</t>
  </si>
  <si>
    <t xml:space="preserve">100 FAITH DR </t>
  </si>
  <si>
    <t>62249-2638</t>
  </si>
  <si>
    <t>503-363-9640</t>
  </si>
  <si>
    <t>MALONE MANOR</t>
  </si>
  <si>
    <t xml:space="preserve">737 N 22ND ST </t>
  </si>
  <si>
    <t>68503-2929</t>
  </si>
  <si>
    <t>(402) 476-8895</t>
  </si>
  <si>
    <t>LUTHERAN SERVICES FOR THE AGING INC</t>
  </si>
  <si>
    <t xml:space="preserve">1416 S MARTIN LUTHER KING JR AVE </t>
  </si>
  <si>
    <t>SALISBURY</t>
  </si>
  <si>
    <t>28144-5592</t>
  </si>
  <si>
    <t>(704) 637-2870</t>
  </si>
  <si>
    <t>NATIONAL CHURCH RESIDENCES</t>
  </si>
  <si>
    <t>WESTMINSTER TOWER II</t>
  </si>
  <si>
    <t xml:space="preserve">2301 IDAHO AVE </t>
  </si>
  <si>
    <t>KENNER</t>
  </si>
  <si>
    <t>70062-5770</t>
  </si>
  <si>
    <t>(504) 469-4056</t>
  </si>
  <si>
    <t>LIVEWELL</t>
  </si>
  <si>
    <t xml:space="preserve">1261 S MAIN ST </t>
  </si>
  <si>
    <t>PLANTSVILLE</t>
  </si>
  <si>
    <t>06479-1750</t>
  </si>
  <si>
    <t>(860) 628-9000</t>
  </si>
  <si>
    <t>EVERGREEN GARDEN PLACE</t>
  </si>
  <si>
    <t xml:space="preserve">1130 N WESTFIELD ST </t>
  </si>
  <si>
    <t>OSHKOSH</t>
  </si>
  <si>
    <t>54903-1720</t>
  </si>
  <si>
    <t>(920) 233-2340</t>
  </si>
  <si>
    <t>Pyramid Hotel Group Scottsdale Office HQ</t>
  </si>
  <si>
    <t>6720 North Scottsdale Road #380</t>
  </si>
  <si>
    <t>Management Company</t>
  </si>
  <si>
    <t>Irene Myers-Stevenson</t>
  </si>
  <si>
    <t>+(480)658-1651</t>
  </si>
  <si>
    <t>PRESBYTERIAN VILLAGES OF MICHIGAN</t>
  </si>
  <si>
    <t>LAKESHORE SENIOR LIVING</t>
  </si>
  <si>
    <t xml:space="preserve">28801 JEFFERSON AVE </t>
  </si>
  <si>
    <t>SAINT CLAIR SHORES</t>
  </si>
  <si>
    <t>48081-1381</t>
  </si>
  <si>
    <t>(586) 218-6228</t>
  </si>
  <si>
    <t>JEWISH SENIOR LIFE</t>
  </si>
  <si>
    <t>JEWISH APARTMENTS AND SERVICES</t>
  </si>
  <si>
    <t xml:space="preserve">15000 W 10 MILE RD </t>
  </si>
  <si>
    <t>248-592-1106</t>
  </si>
  <si>
    <t>ROLAND PARK PLACE</t>
  </si>
  <si>
    <t xml:space="preserve">830 W 40TH ST </t>
  </si>
  <si>
    <t>21211-2116</t>
  </si>
  <si>
    <t>(410) 243-5800</t>
  </si>
  <si>
    <t>JUDSON MANOR</t>
  </si>
  <si>
    <t xml:space="preserve">1890 E 107TH ST </t>
  </si>
  <si>
    <t>44106-2235</t>
  </si>
  <si>
    <t>(216) 791-2555</t>
  </si>
  <si>
    <t>QUINCY RETIREMENT COMMUNITY</t>
  </si>
  <si>
    <t xml:space="preserve">6596 ORPHANAGE RD </t>
  </si>
  <si>
    <t>717-749-2310</t>
  </si>
  <si>
    <t>ROUND HOUSE MANOR INC</t>
  </si>
  <si>
    <t xml:space="preserve">300 BICENTENNIAL CT </t>
  </si>
  <si>
    <t>54130-2400</t>
  </si>
  <si>
    <t>(920) 766-2233</t>
  </si>
  <si>
    <t>WARE PRESBYTERIAN VILLAGE - PA</t>
  </si>
  <si>
    <t xml:space="preserve">7 E LOCUST ST </t>
  </si>
  <si>
    <t>OXFORD</t>
  </si>
  <si>
    <t>610-998-2400</t>
  </si>
  <si>
    <t>HOLY FAMILY MANOR</t>
  </si>
  <si>
    <t xml:space="preserve">1200 SPRING ST </t>
  </si>
  <si>
    <t>18018-4940</t>
  </si>
  <si>
    <t>610-865-5595</t>
  </si>
  <si>
    <t>GREAT PLAINS HOUSING</t>
  </si>
  <si>
    <t xml:space="preserve">930 S TAFT AVE </t>
  </si>
  <si>
    <t>69101-7644</t>
  </si>
  <si>
    <t>(308) 534-6705</t>
  </si>
  <si>
    <t>PRENTIS II JEWISH APARTMENTS</t>
  </si>
  <si>
    <t xml:space="preserve">15100 W TEN MILE RD </t>
  </si>
  <si>
    <t>HEARTWAY CORPORATION</t>
  </si>
  <si>
    <t xml:space="preserve">1305 SE ADAMS ST </t>
  </si>
  <si>
    <t>IDABEL</t>
  </si>
  <si>
    <t>74745-5240</t>
  </si>
  <si>
    <t>580-286-3366</t>
  </si>
  <si>
    <t>ESPERANZA APARTMENTS</t>
  </si>
  <si>
    <t xml:space="preserve">6940 37TH AVE S </t>
  </si>
  <si>
    <t>98118-6417</t>
  </si>
  <si>
    <t>(206) 760-0202</t>
  </si>
  <si>
    <t>MISLER ADULT DAY CENTER</t>
  </si>
  <si>
    <t xml:space="preserve">1801 E JEFFERSON ST </t>
  </si>
  <si>
    <t>20852-4045</t>
  </si>
  <si>
    <t>(301) 468-1740</t>
  </si>
  <si>
    <t>GREEN HILLS RETIREMENT COMMUNITY</t>
  </si>
  <si>
    <t xml:space="preserve">6557 US HIGHWAY 68 S </t>
  </si>
  <si>
    <t>WEST LIBERTY</t>
  </si>
  <si>
    <t>937-465-5065</t>
  </si>
  <si>
    <t>GUADALUPE SENIOR APARTMENTS</t>
  </si>
  <si>
    <t xml:space="preserve">1799 W 32ND AVE </t>
  </si>
  <si>
    <t>80211-3500</t>
  </si>
  <si>
    <t>(303) 455-8255</t>
  </si>
  <si>
    <t>NORTH CAPITOL AT PLYMOUTH</t>
  </si>
  <si>
    <t xml:space="preserve">5233 N CAPITOL ST NE </t>
  </si>
  <si>
    <t>20011-6756</t>
  </si>
  <si>
    <t>202-541-1222</t>
  </si>
  <si>
    <t>LUTHERAN RETIREMENT HOME</t>
  </si>
  <si>
    <t xml:space="preserve">400 N 4TH AVE E </t>
  </si>
  <si>
    <t>TRUMAN</t>
  </si>
  <si>
    <t>56088-1108</t>
  </si>
  <si>
    <t>641-324-1712</t>
  </si>
  <si>
    <t>GALLATIN HEALTH CARE</t>
  </si>
  <si>
    <t xml:space="preserve">499 CENTER AVE </t>
  </si>
  <si>
    <t>WARSAW</t>
  </si>
  <si>
    <t>41095-9754</t>
  </si>
  <si>
    <t>FSC OF LAKE ST LOUIS</t>
  </si>
  <si>
    <t xml:space="preserve">3904 S OLD HIGHWAY 94 STE 400 </t>
  </si>
  <si>
    <t>SAINT CHARLES</t>
  </si>
  <si>
    <t>63304-2850</t>
  </si>
  <si>
    <t>(314) 259-1044</t>
  </si>
  <si>
    <t>MOUNT HOPE NAZARENE RETIREMENT COMM</t>
  </si>
  <si>
    <t xml:space="preserve">3026 MOUNT HOPE HOME RD </t>
  </si>
  <si>
    <t>MANHEIM</t>
  </si>
  <si>
    <t>17545-9529</t>
  </si>
  <si>
    <t>(717) 665-6365</t>
  </si>
  <si>
    <t>THE PINES HEALTHCARE AND REHABILITATION CENTER-OLEAN CAMPUS</t>
  </si>
  <si>
    <t xml:space="preserve">2245 W STATE ST </t>
  </si>
  <si>
    <t>OLEAN</t>
  </si>
  <si>
    <t>716 373191</t>
  </si>
  <si>
    <t>PIONEER SENIOR COTTAGES - HEARTLAND</t>
  </si>
  <si>
    <t xml:space="preserve">1317 S MABELLE AVE </t>
  </si>
  <si>
    <t>56537-3758</t>
  </si>
  <si>
    <t>(218) 998-9974</t>
  </si>
  <si>
    <t>AVIA Lofts at Maple Road</t>
  </si>
  <si>
    <t xml:space="preserve">100 Maple Road </t>
  </si>
  <si>
    <t>Williamsville</t>
  </si>
  <si>
    <t>Scott Piper</t>
  </si>
  <si>
    <t>James Robinson Jr.</t>
  </si>
  <si>
    <t>+ (716) 632-6622</t>
  </si>
  <si>
    <t>Home2 Suites Madison Huntsville Airport</t>
  </si>
  <si>
    <t xml:space="preserve">135 Graphics Drive </t>
  </si>
  <si>
    <t>Madison</t>
  </si>
  <si>
    <t>Marion Saint</t>
  </si>
  <si>
    <t>+1 (256) 325-1948</t>
  </si>
  <si>
    <t>THE MANSION ON MAIN</t>
  </si>
  <si>
    <t xml:space="preserve">1420 EAST MAIN STREET </t>
  </si>
  <si>
    <t>NEW ALBANY</t>
  </si>
  <si>
    <t>DAKOTA CHRISTIAN SCHOOL</t>
  </si>
  <si>
    <t xml:space="preserve">37614 SD HWY 44 </t>
  </si>
  <si>
    <t>CORSICA</t>
  </si>
  <si>
    <t>605-243-2211</t>
  </si>
  <si>
    <t>BLOUNT COUNTY HABITAT FOR HUMANITY</t>
  </si>
  <si>
    <t xml:space="preserve">1017 HAMPSHIRE DRIVE </t>
  </si>
  <si>
    <t>865-233-9103</t>
  </si>
  <si>
    <t>UNITY MISSIONARY BAPTIST CHURCH</t>
  </si>
  <si>
    <t xml:space="preserve">5152 STREET RT 384 </t>
  </si>
  <si>
    <t>270-623-8890</t>
  </si>
  <si>
    <t>COMMUNITY UMC FRUITLAND PARK</t>
  </si>
  <si>
    <t xml:space="preserve">309 COLLEGE AVENUE </t>
  </si>
  <si>
    <t>FRUITLAND PARK</t>
  </si>
  <si>
    <t>352-787-1829</t>
  </si>
  <si>
    <t>ARIZONA SERVICE PROJECT</t>
  </si>
  <si>
    <t xml:space="preserve">PO BOX 6565 </t>
  </si>
  <si>
    <t>GOODYEAR</t>
  </si>
  <si>
    <t>623-252-5505</t>
  </si>
  <si>
    <t>NORTH FLORIDA CHRISTIAN CAMP</t>
  </si>
  <si>
    <t xml:space="preserve">6779 CAMP ROAD </t>
  </si>
  <si>
    <t xml:space="preserve">KEYSTONE HEIGHTS </t>
  </si>
  <si>
    <t>352-473-3281</t>
  </si>
  <si>
    <t>TASTEBUDS FOOD SERVICE</t>
  </si>
  <si>
    <t>TASTEBUDS FOOD SERVICE-CAMP RAMAH NORCAL</t>
  </si>
  <si>
    <t xml:space="preserve">783 SAN ANDREAS ROAD </t>
  </si>
  <si>
    <t>833-385-3003</t>
  </si>
  <si>
    <t>RICHFIELD LIVING</t>
  </si>
  <si>
    <t>THE VILLAS</t>
  </si>
  <si>
    <t xml:space="preserve">3725 RICHFIELD LANE </t>
  </si>
  <si>
    <t>540-380-1575</t>
  </si>
  <si>
    <t>MAINTENANCE</t>
  </si>
  <si>
    <t xml:space="preserve">3736 KNOLLRIDGE ROAD </t>
  </si>
  <si>
    <t>RIDGECREST APARTMENTS</t>
  </si>
  <si>
    <t xml:space="preserve">3720 KNOLLRIDGE ROAD </t>
  </si>
  <si>
    <t>LAKE RETREATS</t>
  </si>
  <si>
    <t xml:space="preserve">3730 RICHFIELD LANE </t>
  </si>
  <si>
    <t>RICHFIELD HEALTH CENTER-SALEM</t>
  </si>
  <si>
    <t xml:space="preserve">3719 KNOLLRIDGE ROAD </t>
  </si>
  <si>
    <t>RECOVERY AND CARE CENTER</t>
  </si>
  <si>
    <t xml:space="preserve">3615 WEST MAIN STREET </t>
  </si>
  <si>
    <t>RICHFIELD HEALTH CENTER-ROANOKE</t>
  </si>
  <si>
    <t xml:space="preserve">1047 MECCA STREET </t>
  </si>
  <si>
    <t>JOSEPH C THOMAS CENTER</t>
  </si>
  <si>
    <t xml:space="preserve">3939 DAUGHERTY ROAD </t>
  </si>
  <si>
    <t>THE REHAB CENTER</t>
  </si>
  <si>
    <t>KNOLLWOOD APARTMENTS</t>
  </si>
  <si>
    <t xml:space="preserve">3730 KNOLLRIDGE ROAD </t>
  </si>
  <si>
    <t>THE OAKS</t>
  </si>
  <si>
    <t xml:space="preserve">3706 KNOLLRIDGE ROAD </t>
  </si>
  <si>
    <t>PS-BIG HORN REHAB</t>
  </si>
  <si>
    <t>PS-POLARIS REHAB</t>
  </si>
  <si>
    <t xml:space="preserve">2700 EAST 12TH STREET </t>
  </si>
  <si>
    <t>IMAGINE THE POSSIBILITIES INC</t>
  </si>
  <si>
    <t>IMAGINE THE POSSIBILITIES-OSKALOOSA</t>
  </si>
  <si>
    <t xml:space="preserve">1208 SOUTH 11TH STREET </t>
  </si>
  <si>
    <t>OSKALOOSA</t>
  </si>
  <si>
    <t>563-652-5252</t>
  </si>
  <si>
    <t>THE ARBORETUM</t>
  </si>
  <si>
    <t xml:space="preserve">8141 FARNAM DRIVE </t>
  </si>
  <si>
    <t>JUBILEE HOUSE ON WARFIELD</t>
  </si>
  <si>
    <t xml:space="preserve">475 BELLAMY LANE </t>
  </si>
  <si>
    <t>931-217-3161</t>
  </si>
  <si>
    <t>TRINITY COURTYARD</t>
  </si>
  <si>
    <t xml:space="preserve">620 WEST LINCOLN STREET </t>
  </si>
  <si>
    <t>PAPILLION</t>
  </si>
  <si>
    <t>GRACEVIEW COURTYARD</t>
  </si>
  <si>
    <t xml:space="preserve">1681 COLLEGE ROAD </t>
  </si>
  <si>
    <t>COUNCIL BLUFFS</t>
  </si>
  <si>
    <t>IMMANUEL PATHWAYS</t>
  </si>
  <si>
    <t xml:space="preserve">5755 SORENSEN PARKWAY </t>
  </si>
  <si>
    <t>YANKEE HILL VILLAGE</t>
  </si>
  <si>
    <t xml:space="preserve">8401 SOUTH 33RD STREET </t>
  </si>
  <si>
    <t>MELROSE ASSISTED LIVING</t>
  </si>
  <si>
    <t xml:space="preserve">7101 HIGHWAY 41 NORTH </t>
  </si>
  <si>
    <t>EVANSVILLE</t>
  </si>
  <si>
    <t>812-556-4440</t>
  </si>
  <si>
    <t xml:space="preserve">7700 HICKMAN ROAD </t>
  </si>
  <si>
    <t>WINDSOR HEIGHTS</t>
  </si>
  <si>
    <t>THE LIGHTHOUSE AT LAKESIDE VILLAGE</t>
  </si>
  <si>
    <t xml:space="preserve">17600 ARBOR STREET </t>
  </si>
  <si>
    <t>VINTAGE ON THE POND</t>
  </si>
  <si>
    <t xml:space="preserve">N4901 DAM ROAD </t>
  </si>
  <si>
    <t>DELAVAN</t>
  </si>
  <si>
    <t>262-728-2171</t>
  </si>
  <si>
    <t>IMMANUEL FONTENELLE</t>
  </si>
  <si>
    <t xml:space="preserve">6809 NORTH 68TH PLAZA </t>
  </si>
  <si>
    <t>AMAZING GRACE SENIOR LIVING</t>
  </si>
  <si>
    <t xml:space="preserve">7432 WEST TALCOTT </t>
  </si>
  <si>
    <t>773-250-7000</t>
  </si>
  <si>
    <t>WINDSOR REHAB AND HEALTHCARE</t>
  </si>
  <si>
    <t xml:space="preserve">250 WEAR BRITISH FLYING SCHOOL ROAD </t>
  </si>
  <si>
    <t>TERELL</t>
  </si>
  <si>
    <t>JACINTO NURSING AND REHAB</t>
  </si>
  <si>
    <t xml:space="preserve">1405 HOLLAND AVENUE </t>
  </si>
  <si>
    <t>713-455-1744</t>
  </si>
  <si>
    <t>JUBILEE HILLS</t>
  </si>
  <si>
    <t xml:space="preserve">322 NORTHCREEK BLVD </t>
  </si>
  <si>
    <t>GOODLETTSVILLE</t>
  </si>
  <si>
    <t>615-718-1180</t>
  </si>
  <si>
    <t>Hutchinson Island Marriott Beach Resort &amp; Marina</t>
  </si>
  <si>
    <t xml:space="preserve">555 Northeast Ocean Boulevard </t>
  </si>
  <si>
    <t>Stuart</t>
  </si>
  <si>
    <t xml:space="preserve">Dawn Southworth </t>
  </si>
  <si>
    <t>+ (561) 225-3700</t>
  </si>
  <si>
    <t>FREE STATE CRESTWOOD</t>
  </si>
  <si>
    <t xml:space="preserve">1448 HOUSTON ST </t>
  </si>
  <si>
    <t>WILLS POINT</t>
  </si>
  <si>
    <t>75169-3120</t>
  </si>
  <si>
    <t>903-873-5400</t>
  </si>
  <si>
    <t>MOHUN HEALTH CARE CENTER</t>
  </si>
  <si>
    <t xml:space="preserve">2340 AIRPORT DR </t>
  </si>
  <si>
    <t>614 416613</t>
  </si>
  <si>
    <t>THE TOWERS AT SOUTHDALE</t>
  </si>
  <si>
    <t xml:space="preserve">524 W 53RD ST </t>
  </si>
  <si>
    <t>46013-1566</t>
  </si>
  <si>
    <t>(765) 642-4917</t>
  </si>
  <si>
    <t>LIVING CARE RETIREMENT COMMUNITY</t>
  </si>
  <si>
    <t xml:space="preserve">3801 SUMMITVIEW AVE </t>
  </si>
  <si>
    <t>YAKIMA</t>
  </si>
  <si>
    <t>98902-2794</t>
  </si>
  <si>
    <t>(509) 966-6240</t>
  </si>
  <si>
    <t>WINDY HILL VILLAGE OF THE PRESBYTERIAN HOMES</t>
  </si>
  <si>
    <t xml:space="preserve">100 DOGWOOD DR </t>
  </si>
  <si>
    <t>PHILIPSBURG</t>
  </si>
  <si>
    <t>814-342-6090</t>
  </si>
  <si>
    <t>HOLY FAMILY HOME</t>
  </si>
  <si>
    <t xml:space="preserve">1740 84TH ST </t>
  </si>
  <si>
    <t>11214-2825</t>
  </si>
  <si>
    <t>(718) 232-3666</t>
  </si>
  <si>
    <t>FRIENDS HOMES INC</t>
  </si>
  <si>
    <t>FRIENDS HOMES WEST</t>
  </si>
  <si>
    <t xml:space="preserve">6100 W FRIENDLY AVE </t>
  </si>
  <si>
    <t>27410-4160</t>
  </si>
  <si>
    <t>(336) 292-9952</t>
  </si>
  <si>
    <t>FRIENDSHIP HAVEN INC</t>
  </si>
  <si>
    <t xml:space="preserve">420 KENYON RD </t>
  </si>
  <si>
    <t>FORT DODGE</t>
  </si>
  <si>
    <t>50501-5749</t>
  </si>
  <si>
    <t>(515) 573-6899</t>
  </si>
  <si>
    <t>LAKEVIEW MANOR</t>
  </si>
  <si>
    <t xml:space="preserve">904 E MILWAUKEE AVE </t>
  </si>
  <si>
    <t>STORM LAKE</t>
  </si>
  <si>
    <t>50588-3507</t>
  </si>
  <si>
    <t>(712) 732-1126</t>
  </si>
  <si>
    <t>FLEISCHMAN RESIDENCE</t>
  </si>
  <si>
    <t xml:space="preserve">6710 W MAPLE RD </t>
  </si>
  <si>
    <t>WEST BLOOMFIELD</t>
  </si>
  <si>
    <t>248-661-2999</t>
  </si>
  <si>
    <t>MEDILODGE GROUP INC.</t>
  </si>
  <si>
    <t>EVANGELICAL HOMES-STERLING HEIGHTS</t>
  </si>
  <si>
    <t xml:space="preserve">14900 SHORELINE DR </t>
  </si>
  <si>
    <t>STERLING HEIGHTS</t>
  </si>
  <si>
    <t>48313-2251</t>
  </si>
  <si>
    <t>(586) 247-4700</t>
  </si>
  <si>
    <t>CZECH CATHOLIC HOME FOR THE AGED</t>
  </si>
  <si>
    <t xml:space="preserve">248 WESTERIA LN </t>
  </si>
  <si>
    <t>77437-9601</t>
  </si>
  <si>
    <t>(979) 648-2628</t>
  </si>
  <si>
    <t>GOLDEN AGE PROPERTIES LLC DBA GOLDEN AGE CARE</t>
  </si>
  <si>
    <t xml:space="preserve">1915 S 18TH ST </t>
  </si>
  <si>
    <t>CENTERVILLE</t>
  </si>
  <si>
    <t>52544-3102</t>
  </si>
  <si>
    <t>(641) 856-2757</t>
  </si>
  <si>
    <t>New Horizon Associates Inc.</t>
  </si>
  <si>
    <t>Harbor House Inn</t>
  </si>
  <si>
    <t xml:space="preserve">1095 Main St </t>
  </si>
  <si>
    <t>Vina Patel</t>
  </si>
  <si>
    <t>+1 (805) 772-2711</t>
  </si>
  <si>
    <t>SLO Hospitality Inc</t>
  </si>
  <si>
    <t>Vagabond Inn San Luis Obispo</t>
  </si>
  <si>
    <t xml:space="preserve">210 Madonna Rd </t>
  </si>
  <si>
    <t>Prashant Patel</t>
  </si>
  <si>
    <t>+1 (805) 544-4710</t>
  </si>
  <si>
    <t>Marriott Saddle Brook</t>
  </si>
  <si>
    <t xml:space="preserve">138 New Pehle Ave </t>
  </si>
  <si>
    <t>Saddle Brook</t>
  </si>
  <si>
    <t>Luis Fornis</t>
  </si>
  <si>
    <t xml:space="preserve">Bilal Basturk </t>
  </si>
  <si>
    <t>+ (201) 843-9500</t>
  </si>
  <si>
    <t>Hotel RL Washington DC</t>
  </si>
  <si>
    <t xml:space="preserve">1823 L Street NW </t>
  </si>
  <si>
    <t>Michael Yacoub</t>
  </si>
  <si>
    <t>Viridiana Jackson</t>
  </si>
  <si>
    <t>+1 (202) 223-4320</t>
  </si>
  <si>
    <t>Cobblestone Inn &amp; Suites - Eaton</t>
  </si>
  <si>
    <t xml:space="preserve">485 South Elm Road </t>
  </si>
  <si>
    <t>Eaton</t>
  </si>
  <si>
    <t>Secorra Lemire</t>
  </si>
  <si>
    <t>Walker Hood</t>
  </si>
  <si>
    <t>+1 (970) 454-2077</t>
  </si>
  <si>
    <t>Aloft Portland</t>
  </si>
  <si>
    <t xml:space="preserve">379 Commercial Street </t>
  </si>
  <si>
    <t>Chris Tanzer</t>
  </si>
  <si>
    <t>Lindsay Kane</t>
  </si>
  <si>
    <t>+1 (207) 761-6000</t>
  </si>
  <si>
    <t>CATHOLIC HOUSING MANAGEMENT</t>
  </si>
  <si>
    <t xml:space="preserve">11410 N KENDALL DR STE 306 </t>
  </si>
  <si>
    <t>MIAMI</t>
  </si>
  <si>
    <t>33176-1031</t>
  </si>
  <si>
    <t>(305) 757-2824</t>
  </si>
  <si>
    <t>BAYVIEW RETIREMENT COMMUNITY</t>
  </si>
  <si>
    <t xml:space="preserve">11 W ALOHA ST </t>
  </si>
  <si>
    <t>98119-3743</t>
  </si>
  <si>
    <t>(206) 284-7330</t>
  </si>
  <si>
    <t>HUMANGOOD-PA</t>
  </si>
  <si>
    <t>CASA CARMEN APONTE-VALUE FIRST DUPLICATE</t>
  </si>
  <si>
    <t xml:space="preserve">2121 N HOWARD ST </t>
  </si>
  <si>
    <t>CCRC OF GRIMES LLC DBA KENNYBROOK VILLAGE</t>
  </si>
  <si>
    <t xml:space="preserve">200 SW BROOKSIDE DR </t>
  </si>
  <si>
    <t>GRIMES</t>
  </si>
  <si>
    <t>CONGREGATIONAL HOMES</t>
  </si>
  <si>
    <t xml:space="preserve">900 E HARRISON AVE </t>
  </si>
  <si>
    <t>91767-2075</t>
  </si>
  <si>
    <t>CCRC OF AMES LLC DBA NORTHRIDGE VILLAGE</t>
  </si>
  <si>
    <t xml:space="preserve">3300 GEORGE W CARVER AVE </t>
  </si>
  <si>
    <t>AMES</t>
  </si>
  <si>
    <t>50010-9515</t>
  </si>
  <si>
    <t>CCRC OF ALTOONA LLC DBA PRAIRIE VISTA VILLAGE</t>
  </si>
  <si>
    <t xml:space="preserve">2785 1ST AVE S </t>
  </si>
  <si>
    <t>ALTOONA</t>
  </si>
  <si>
    <t>50009-8823</t>
  </si>
  <si>
    <t>CRISTA ASSISTED LIVING</t>
  </si>
  <si>
    <t xml:space="preserve">19303 FREMONT AVE N </t>
  </si>
  <si>
    <t>SHORELINE</t>
  </si>
  <si>
    <t>98133-3800</t>
  </si>
  <si>
    <t>CAROLINE KLINE GALLAND HOME</t>
  </si>
  <si>
    <t xml:space="preserve">7500 SEWARD PARK AVE S </t>
  </si>
  <si>
    <t>98118-4247</t>
  </si>
  <si>
    <t>(206) 805-1930</t>
  </si>
  <si>
    <t>COON MEMORIAL HOME</t>
  </si>
  <si>
    <t xml:space="preserve">210 E TEXAS BLVD </t>
  </si>
  <si>
    <t>DALHART</t>
  </si>
  <si>
    <t>79022-4322</t>
  </si>
  <si>
    <t>(806) 244-8555</t>
  </si>
  <si>
    <t>CANTATA ADULT LIFE SERVICES</t>
  </si>
  <si>
    <t xml:space="preserve">8700 31ST ST </t>
  </si>
  <si>
    <t>60513-1000</t>
  </si>
  <si>
    <t>(708) 485-1155</t>
  </si>
  <si>
    <t xml:space="preserve">7900 ARLINGTON CIR </t>
  </si>
  <si>
    <t>BETHEL BIRCHWOOD</t>
  </si>
  <si>
    <t xml:space="preserve">614 S ROCK AVE </t>
  </si>
  <si>
    <t>VIROQUA</t>
  </si>
  <si>
    <t>54665-1936</t>
  </si>
  <si>
    <t>(608) 637-2171</t>
  </si>
  <si>
    <t>CONGREGATIONAL HOME - MEALS/NUTRITION</t>
  </si>
  <si>
    <t xml:space="preserve">13900 W BURLEIGH RD </t>
  </si>
  <si>
    <t>53005-3019</t>
  </si>
  <si>
    <t>CLARKFIELD HOME CARE</t>
  </si>
  <si>
    <t xml:space="preserve">805 5TH ST </t>
  </si>
  <si>
    <t>CLARKFIELD</t>
  </si>
  <si>
    <t>(320) 669-7561</t>
  </si>
  <si>
    <t>CADBURY AT LEWES INC</t>
  </si>
  <si>
    <t xml:space="preserve">17028 CADBURY CIR </t>
  </si>
  <si>
    <t>LEWES</t>
  </si>
  <si>
    <t>19958-7022</t>
  </si>
  <si>
    <t>(302) 644-6371</t>
  </si>
  <si>
    <t>CENTENNIAL MANOR</t>
  </si>
  <si>
    <t xml:space="preserve">661 S CURTIS RD </t>
  </si>
  <si>
    <t>83705-1070</t>
  </si>
  <si>
    <t>(208) 344-2164</t>
  </si>
  <si>
    <t>CYPRESS HEALTHCARE</t>
  </si>
  <si>
    <t>CYPRESS COVE AT HEALTHPARK FL</t>
  </si>
  <si>
    <t xml:space="preserve">10200 CYPRESS COVE DR </t>
  </si>
  <si>
    <t>33908-6690</t>
  </si>
  <si>
    <t>(239) 349-3289</t>
  </si>
  <si>
    <t>CAMBRIDGE PLACE</t>
  </si>
  <si>
    <t xml:space="preserve">2020 CAMBRIDGE DR </t>
  </si>
  <si>
    <t>40504-1912</t>
  </si>
  <si>
    <t>(859) 252-6747</t>
  </si>
  <si>
    <t>AVE MARIA HOME ASSISTED LIVING</t>
  </si>
  <si>
    <t xml:space="preserve">2805 CHARLES BRYAN RD </t>
  </si>
  <si>
    <t>BARTLETT</t>
  </si>
  <si>
    <t>38134-4756</t>
  </si>
  <si>
    <t>901-386-3211</t>
  </si>
  <si>
    <t>JEWISH HOME LIFE COMMUNITIES</t>
  </si>
  <si>
    <t>COHEN HOME (THE)</t>
  </si>
  <si>
    <t xml:space="preserve">10485 JONES BRIDGE RD </t>
  </si>
  <si>
    <t>ALPHARETTA</t>
  </si>
  <si>
    <t>770 475878</t>
  </si>
  <si>
    <t>ASIAN COMMUNITY NURSING HOME</t>
  </si>
  <si>
    <t xml:space="preserve">7801 RUSH RIVER DR </t>
  </si>
  <si>
    <t>916-393-9020</t>
  </si>
  <si>
    <t>ANCIANO TOWER</t>
  </si>
  <si>
    <t xml:space="preserve">227 N UTE AVE </t>
  </si>
  <si>
    <t>MONTROSE</t>
  </si>
  <si>
    <t>81401-3471</t>
  </si>
  <si>
    <t>(970) 249-8844</t>
  </si>
  <si>
    <t>ADAM &amp; BRUCE APARTMENTS</t>
  </si>
  <si>
    <t xml:space="preserve">5910 HESSEN CASSEL RD </t>
  </si>
  <si>
    <t>46816-4706</t>
  </si>
  <si>
    <t>(260) 447-3496</t>
  </si>
  <si>
    <t>ABBEY APARTMENTS</t>
  </si>
  <si>
    <t xml:space="preserve">4012 MANN RD </t>
  </si>
  <si>
    <t>46221-2588</t>
  </si>
  <si>
    <t>(317) 821-1903</t>
  </si>
  <si>
    <t>ST PAUL HOSPICE</t>
  </si>
  <si>
    <t>ALTAVITA VILLAGE</t>
  </si>
  <si>
    <t xml:space="preserve">17050 ARNOLD DR </t>
  </si>
  <si>
    <t>92518-2806</t>
  </si>
  <si>
    <t>(951) 697-2100</t>
  </si>
  <si>
    <t>300 MAIN</t>
  </si>
  <si>
    <t xml:space="preserve">300 SE MAIN ST </t>
  </si>
  <si>
    <t>ESTACADA</t>
  </si>
  <si>
    <t>97023-9000</t>
  </si>
  <si>
    <t>(503) 630-2357</t>
  </si>
  <si>
    <t>Best Western O'Hare North - Elk Grove</t>
  </si>
  <si>
    <t xml:space="preserve">100 Busse Road </t>
  </si>
  <si>
    <t>Elk Grove</t>
  </si>
  <si>
    <t>Michelle Barnia</t>
  </si>
  <si>
    <t>+1(847)593-8600</t>
  </si>
  <si>
    <t>AC Hotel Atlanta Perimeter</t>
  </si>
  <si>
    <t xml:space="preserve">40 Perimeter Center Place </t>
  </si>
  <si>
    <t>Adam Hill</t>
  </si>
  <si>
    <t>Travis Church</t>
  </si>
  <si>
    <t>+1 (404) 267-5190</t>
  </si>
  <si>
    <t>Days Inn Vineland</t>
  </si>
  <si>
    <t xml:space="preserve">1001 West Landis Avenue </t>
  </si>
  <si>
    <t>Vineland</t>
  </si>
  <si>
    <t>Ashish Surti</t>
  </si>
  <si>
    <t>+1 (443) 939-7102</t>
  </si>
  <si>
    <t>Holiday Inn Express Cantonsville</t>
  </si>
  <si>
    <t xml:space="preserve">5701 Baltimore National Pike </t>
  </si>
  <si>
    <t>Cantonsville</t>
  </si>
  <si>
    <t>Yeswant Patel</t>
  </si>
  <si>
    <t>+1 (443) 251-2000</t>
  </si>
  <si>
    <t>Yuvraj Management LLC</t>
  </si>
  <si>
    <t>Fairfield Inn &amp; Suites Dallas East</t>
  </si>
  <si>
    <t xml:space="preserve">8690 East RL Thornton Freeway </t>
  </si>
  <si>
    <t>Sunny Patel</t>
  </si>
  <si>
    <t>+1 (214) 783-2637</t>
  </si>
  <si>
    <t>Shield Hotel Management</t>
  </si>
  <si>
    <t>Springhill Suites by Marriott Albany/Colonie</t>
  </si>
  <si>
    <t xml:space="preserve">8 California Avenue </t>
  </si>
  <si>
    <t>COLONIE</t>
  </si>
  <si>
    <t>Carrie Kerr</t>
  </si>
  <si>
    <t>Maya Soler</t>
  </si>
  <si>
    <t>+ (518) 724-7999</t>
  </si>
  <si>
    <t>Pacific Coast Hospitality Inc.</t>
  </si>
  <si>
    <t>Ocean Palms Motel</t>
  </si>
  <si>
    <t xml:space="preserve">390 Ocean View Ave </t>
  </si>
  <si>
    <t>Amit Patel</t>
  </si>
  <si>
    <t>+1 (805) 773-4669</t>
  </si>
  <si>
    <t>TownePlace Suites Dallas Rockwall</t>
  </si>
  <si>
    <t xml:space="preserve">908 East Interstate 30 </t>
  </si>
  <si>
    <t>Rockwall</t>
  </si>
  <si>
    <t>Karen Coughlin</t>
  </si>
  <si>
    <t>Don Sigler</t>
  </si>
  <si>
    <t>+1 (972) 961-5102</t>
  </si>
  <si>
    <t>Kana Hotel Group Inc.</t>
  </si>
  <si>
    <t>Hilton Garden Inn Knoxville</t>
  </si>
  <si>
    <t xml:space="preserve">216 Peregrine Way </t>
  </si>
  <si>
    <t>Knoxville</t>
  </si>
  <si>
    <t>John Schoenhals</t>
  </si>
  <si>
    <t>Amy Herrin</t>
  </si>
  <si>
    <t>+1 (865) 690-6511</t>
  </si>
  <si>
    <t xml:space="preserve">Doubletree Hotel Mount Laurel </t>
  </si>
  <si>
    <t xml:space="preserve">515 Fellowship Road </t>
  </si>
  <si>
    <t>Leandra Lafond</t>
  </si>
  <si>
    <t>+1(856) 778-8999</t>
  </si>
  <si>
    <t>Genuine Hospitality LLC</t>
  </si>
  <si>
    <t>Springhill Suites Chicago Bolingbrook</t>
  </si>
  <si>
    <t xml:space="preserve">125 Remington Boulevard </t>
  </si>
  <si>
    <t>Bolingbrook</t>
  </si>
  <si>
    <t>Felecia Collier</t>
  </si>
  <si>
    <t>+1 (630) 759-0529</t>
  </si>
  <si>
    <t>SpringHill Suites Phoenix Glendale</t>
  </si>
  <si>
    <t xml:space="preserve">7370 N. Zanjero Blvd. </t>
  </si>
  <si>
    <t>Delia DeFreitas</t>
  </si>
  <si>
    <t>+1 (623) 772-9200</t>
  </si>
  <si>
    <t>JPR Fox Valley Development LLC</t>
  </si>
  <si>
    <t>Fox Valley Club</t>
  </si>
  <si>
    <t xml:space="preserve">6161 Genesee St </t>
  </si>
  <si>
    <t>John Daddario</t>
  </si>
  <si>
    <t>Leslie Kucher</t>
  </si>
  <si>
    <t>+ (716) 683-6241</t>
  </si>
  <si>
    <t>WARM HEARTH VILLAGE</t>
  </si>
  <si>
    <t>SOUTH TROLINGER</t>
  </si>
  <si>
    <t xml:space="preserve">2601 WARM HEARTH DRIVE </t>
  </si>
  <si>
    <t>BLACKSBURG</t>
  </si>
  <si>
    <t>NORTH TROLINGER</t>
  </si>
  <si>
    <t xml:space="preserve">2605 WARM HEARTH DRIVE </t>
  </si>
  <si>
    <t>A TO Z GUEST RANCH LLC</t>
  </si>
  <si>
    <t xml:space="preserve">64599 ASHBURY ROAD </t>
  </si>
  <si>
    <t>SMITHVILLE</t>
  </si>
  <si>
    <t>580-244-3729</t>
  </si>
  <si>
    <t>TARRYALL RIVER RANCH</t>
  </si>
  <si>
    <t xml:space="preserve">27001 SOUTH CTY ROAD 77 </t>
  </si>
  <si>
    <t>COLORADO SPRINGS</t>
  </si>
  <si>
    <t>719-243-3561</t>
  </si>
  <si>
    <t>CAMP WILDWOOD</t>
  </si>
  <si>
    <t xml:space="preserve">318 WILDWOOD ROAD </t>
  </si>
  <si>
    <t>BRIDGTON</t>
  </si>
  <si>
    <t>207-647-8864</t>
  </si>
  <si>
    <t>SPECIALTY FOOD SERVICES</t>
  </si>
  <si>
    <t xml:space="preserve">227 EAST EDGEWOOD </t>
  </si>
  <si>
    <t>FRIENDSWOOD</t>
  </si>
  <si>
    <t>THE CITADEL NASSAWADOX</t>
  </si>
  <si>
    <t xml:space="preserve">9468 HOSPITAL ROAD NW </t>
  </si>
  <si>
    <t>NASSAWADOX</t>
  </si>
  <si>
    <t xml:space="preserve">WELLS HEALTH SERVICES </t>
  </si>
  <si>
    <t>PARS PICKAWAY MENS RESIDENTIAL</t>
  </si>
  <si>
    <t xml:space="preserve">327 EAST MILL STREET </t>
  </si>
  <si>
    <t>CIRCLEVILLE</t>
  </si>
  <si>
    <t>740-477-1745</t>
  </si>
  <si>
    <t>PARS FAYETTE WOMENS RESIDENTIAL</t>
  </si>
  <si>
    <t xml:space="preserve">780 GREGG STREET </t>
  </si>
  <si>
    <t>WASHINGTON COURT HOUSE</t>
  </si>
  <si>
    <t>740-335-8228</t>
  </si>
  <si>
    <t>PARS LANCASTER RECOVERY SERVICES</t>
  </si>
  <si>
    <t xml:space="preserve">121 WEST MULBERRY STREET </t>
  </si>
  <si>
    <t>740-277-7512</t>
  </si>
  <si>
    <t>PARS-PICKAWAY AREA RECOVERY SERVICES</t>
  </si>
  <si>
    <t xml:space="preserve">110 HIGHLAND AVENUE </t>
  </si>
  <si>
    <t>PARS MUSKINGUM MENS RESIDENTIAL</t>
  </si>
  <si>
    <t xml:space="preserve">2811 MAYSVILLE PIKE </t>
  </si>
  <si>
    <t>ZANESVILLE</t>
  </si>
  <si>
    <t>740-868-8331</t>
  </si>
  <si>
    <t>PARS FAYETTE RECOVERY HOUSING</t>
  </si>
  <si>
    <t xml:space="preserve">324 EAST COURT STREET </t>
  </si>
  <si>
    <t>PARS ADMINISTRATION OFFICE</t>
  </si>
  <si>
    <t xml:space="preserve">430 NORTH COURT STREET </t>
  </si>
  <si>
    <t>PARS VISITATION CENTER</t>
  </si>
  <si>
    <t xml:space="preserve">114 WEST FRANKLIN STREET </t>
  </si>
  <si>
    <t>PARS PREVENTION</t>
  </si>
  <si>
    <t xml:space="preserve">101 1/2 /WEST MAIN STREET </t>
  </si>
  <si>
    <t>PARS FAYETTE RECOVERY CENTER</t>
  </si>
  <si>
    <t xml:space="preserve">5 FAYETTE CENTER </t>
  </si>
  <si>
    <t>BEANSTALK ACADEMY-SAINT ANNS</t>
  </si>
  <si>
    <t xml:space="preserve">770 SAINT ANNS AVENUE </t>
  </si>
  <si>
    <t>BEANSTALK ACADEMY-BROADWAY</t>
  </si>
  <si>
    <t xml:space="preserve">1491 BROADWAY </t>
  </si>
  <si>
    <t>BEANSTALK ACADEMY-DEKALB</t>
  </si>
  <si>
    <t xml:space="preserve">844 DEKALB AVENUE </t>
  </si>
  <si>
    <t>BEANSTALK ACADEMY-1093 SOUTHERN BLVD</t>
  </si>
  <si>
    <t xml:space="preserve">1093 SOUTHERN BOULEVARD </t>
  </si>
  <si>
    <t>BEANSTALK ACADEMY-VICTORY BLVD</t>
  </si>
  <si>
    <t xml:space="preserve">2734 VICTORY BOULEVARD </t>
  </si>
  <si>
    <t>STANEN ISLAND</t>
  </si>
  <si>
    <t>BEANSTALK ACADEMY-1778 SOUTHERN BLVD</t>
  </si>
  <si>
    <t xml:space="preserve">1778 SOUTHERN BOULEVARD </t>
  </si>
  <si>
    <t>BEANSTALK ACADEMY-LOUIS NINE</t>
  </si>
  <si>
    <t xml:space="preserve">1336 LOUIS NINE BOULEVARD </t>
  </si>
  <si>
    <t>BEANSTALK ACADEMY-ELLIOT</t>
  </si>
  <si>
    <t xml:space="preserve">2 ELLIOT PLACE </t>
  </si>
  <si>
    <t>BEANSTALK ACADEMY-EAST 150TH</t>
  </si>
  <si>
    <t xml:space="preserve">331 EAST 10TH STREET </t>
  </si>
  <si>
    <t xml:space="preserve">440 AVENUE P </t>
  </si>
  <si>
    <t>BEANSTALK ACADEMY-INTERVALE</t>
  </si>
  <si>
    <t xml:space="preserve">960 INTERVALE AVENUE </t>
  </si>
  <si>
    <t>BEANSTALK ACADEMY-2901 WHITE PLAINS</t>
  </si>
  <si>
    <t xml:space="preserve">2901 WHITE PLAINS ROAD </t>
  </si>
  <si>
    <t>BEANSTALK ACADEMY WEBSTER</t>
  </si>
  <si>
    <t xml:space="preserve">1465 WEBSTER AVENUE </t>
  </si>
  <si>
    <t>BEANSTALK ACADEMY-BARBEY</t>
  </si>
  <si>
    <t xml:space="preserve">683 BARBEY STREET </t>
  </si>
  <si>
    <t>BEANSTALK ACADEMY-3942 WHITE PLAINS</t>
  </si>
  <si>
    <t xml:space="preserve">3942 WIHITE PLAINS ROAD </t>
  </si>
  <si>
    <t>OCEAN HILLS INDEPENDENT LIVING</t>
  </si>
  <si>
    <t xml:space="preserve">4500 MYSTRA DRIVE </t>
  </si>
  <si>
    <t>OCEANSIDE</t>
  </si>
  <si>
    <t>760-295-8515</t>
  </si>
  <si>
    <t>ANGELAS ASSISTED LIVING AND MEMORY CARE</t>
  </si>
  <si>
    <t xml:space="preserve">1839 SOUTH ALMONT AVENUE </t>
  </si>
  <si>
    <t>IMLAY CITY</t>
  </si>
  <si>
    <t>810-705-2779</t>
  </si>
  <si>
    <t>HARMONY AT HARTS RUN</t>
  </si>
  <si>
    <t xml:space="preserve">3611 14TH AVENUE SUITE 203A </t>
  </si>
  <si>
    <t>BRISTOL HOSPICE INLAND EMPIRE</t>
  </si>
  <si>
    <t xml:space="preserve">6296 RIVER CREST DRIVE STE L </t>
  </si>
  <si>
    <t>717 FRESNO HOSPICE PHD</t>
  </si>
  <si>
    <t xml:space="preserve">2787 W BULLARD AVENUE STE 101 </t>
  </si>
  <si>
    <t>PRINTCRAFT</t>
  </si>
  <si>
    <t xml:space="preserve">670 SOUTH COLORADO AVENUE </t>
  </si>
  <si>
    <t>BRISTOL HOSPICE MADISON</t>
  </si>
  <si>
    <t xml:space="preserve">206 EAST OLIN AVENUE STE 101 </t>
  </si>
  <si>
    <t>BRISTOL HOSPICE BEND</t>
  </si>
  <si>
    <t xml:space="preserve">563 SW 13TH STREET </t>
  </si>
  <si>
    <t>BEND</t>
  </si>
  <si>
    <t>BRISTOL HOSPICE SAN JOSE</t>
  </si>
  <si>
    <t xml:space="preserve">1879 LUNDY AVENUE STE 123 </t>
  </si>
  <si>
    <t>COMFORT HOSPICE</t>
  </si>
  <si>
    <t xml:space="preserve">6400 SE LAKE ROAD SUITE 400 </t>
  </si>
  <si>
    <t>FRONT RANGE HOSPICE</t>
  </si>
  <si>
    <t xml:space="preserve">3770 PURITAN WAY UNIT E </t>
  </si>
  <si>
    <t>TRUNK CAROL BARTON</t>
  </si>
  <si>
    <t xml:space="preserve">3367 ROYAL AVENUE </t>
  </si>
  <si>
    <t>BRISTOL HOSPICE COACHELLA VALLEY</t>
  </si>
  <si>
    <t xml:space="preserve">35400 BOB HOPE DRIVE STE 213 </t>
  </si>
  <si>
    <t>BRIGHTON HOSPICE</t>
  </si>
  <si>
    <t xml:space="preserve">5200 S HIGHLAND DRIVESUITE 200 </t>
  </si>
  <si>
    <t>BRISTOL HOSPICE REDDING</t>
  </si>
  <si>
    <t xml:space="preserve">2150 CHURN CREEK ROAD STE 150 </t>
  </si>
  <si>
    <t>REDDING</t>
  </si>
  <si>
    <t>THE VILLAS AT ROCHESTER</t>
  </si>
  <si>
    <t xml:space="preserve">174 VIRGINIA AVENUE </t>
  </si>
  <si>
    <t>724-775-6401</t>
  </si>
  <si>
    <t>ROCHESTER RESIDENCE AND CARE CENTER</t>
  </si>
  <si>
    <t>724-775-6400</t>
  </si>
  <si>
    <t>TENDER HEARTS BY HILLCREST</t>
  </si>
  <si>
    <t xml:space="preserve">300 CARDINAL LANE </t>
  </si>
  <si>
    <t>GREEN BAY</t>
  </si>
  <si>
    <t>920-850-5235</t>
  </si>
  <si>
    <t xml:space="preserve">1901 LIBAL STREET </t>
  </si>
  <si>
    <t>CARATON COMMONS DE PERE #3</t>
  </si>
  <si>
    <t xml:space="preserve">1550 ARCADIAN LANE </t>
  </si>
  <si>
    <t>CARATON COMMONS GREEN BAY #2</t>
  </si>
  <si>
    <t xml:space="preserve">655 WOODSIDE ROAD </t>
  </si>
  <si>
    <t>ALLOUEZ PARSIDE VILLAGE #1</t>
  </si>
  <si>
    <t>CARATON COMMONS GREEN BAY #1</t>
  </si>
  <si>
    <t xml:space="preserve">653 WOODSIDE ROAD </t>
  </si>
  <si>
    <t>BRILLION WEST HAVEN</t>
  </si>
  <si>
    <t xml:space="preserve">220 ACHIEVEMENT DRIVE </t>
  </si>
  <si>
    <t>BRILLION</t>
  </si>
  <si>
    <t>ALLOUEZ PARKSIDE VILLAGE #2</t>
  </si>
  <si>
    <t>TENDER HEARTS BY HILLCREST #2</t>
  </si>
  <si>
    <t>GEEN BAY</t>
  </si>
  <si>
    <t>LAKEWOOD ASSISTED LIVING</t>
  </si>
  <si>
    <t xml:space="preserve">17185 FLYNN LANE </t>
  </si>
  <si>
    <t>CARATON COMMONS DE PERE #2</t>
  </si>
  <si>
    <t xml:space="preserve">1525 ARCADIAN LANE </t>
  </si>
  <si>
    <t>CARATON COMMONS DE PERE #1</t>
  </si>
  <si>
    <t xml:space="preserve">1500 ARCADIAN LANE </t>
  </si>
  <si>
    <t>Park James Hotel</t>
  </si>
  <si>
    <t xml:space="preserve">1400 El Comino Real </t>
  </si>
  <si>
    <t>+1 (650) 304-3880</t>
  </si>
  <si>
    <t>WESTBURY CENTER OF MCDONOUGH FOR NURSING AND HEALING</t>
  </si>
  <si>
    <t xml:space="preserve">198 HAMPTON STREET </t>
  </si>
  <si>
    <t>MCDONOUGH</t>
  </si>
  <si>
    <t>770-957-9081</t>
  </si>
  <si>
    <t>WESTBURY CENTER OF CONYERS FOR NURSING AND HEALING</t>
  </si>
  <si>
    <t xml:space="preserve">1420 MILSTEAD ROAD </t>
  </si>
  <si>
    <t>CONYERS</t>
  </si>
  <si>
    <t>770-483-3902</t>
  </si>
  <si>
    <t>WESTBURY CENTER OF JACKSON FOR NURSING AND HEALING</t>
  </si>
  <si>
    <t xml:space="preserve">922 MCDONOUGH ROAD </t>
  </si>
  <si>
    <t>JACKSON</t>
  </si>
  <si>
    <t>770-775-7832</t>
  </si>
  <si>
    <t>MAGNOLIA MANOR GROUP</t>
  </si>
  <si>
    <t>MAGNOLIA MANOR OF MIDWAY</t>
  </si>
  <si>
    <t xml:space="preserve">652 NORTH COASTAL HWY 17 </t>
  </si>
  <si>
    <t>MIDWAY</t>
  </si>
  <si>
    <t>731-696-4670</t>
  </si>
  <si>
    <t>Ken Garff Scholarship Club</t>
  </si>
  <si>
    <t xml:space="preserve">451 South 1400 East </t>
  </si>
  <si>
    <t>+1 (801) 587-8558</t>
  </si>
  <si>
    <t>William Hirsch and Deborah Hirsch General Partners</t>
  </si>
  <si>
    <t>7 Seas Inn</t>
  </si>
  <si>
    <t xml:space="preserve">4145 Manzanita Avenue </t>
  </si>
  <si>
    <t>South Lake tahoe</t>
  </si>
  <si>
    <t>Deborah &amp; William Hirsch</t>
  </si>
  <si>
    <t>Bill Hirsch</t>
  </si>
  <si>
    <t>+1 (530) 544-7031</t>
  </si>
  <si>
    <t>Best Western Galleria</t>
  </si>
  <si>
    <t xml:space="preserve">6229 Richmond Avenue </t>
  </si>
  <si>
    <t>Nicole Lusk</t>
  </si>
  <si>
    <t>+1 (713) 783-8388</t>
  </si>
  <si>
    <t>Fairfield Inn &amp; Suites Milwaukee</t>
  </si>
  <si>
    <t xml:space="preserve">710 North Old World 3rd Street </t>
  </si>
  <si>
    <t>David Accola</t>
  </si>
  <si>
    <t>Bryant Banda</t>
  </si>
  <si>
    <t>+1 (414) 626-7100</t>
  </si>
  <si>
    <t>Courtyard Los Angeles Woodland Hills</t>
  </si>
  <si>
    <t xml:space="preserve">21101 Ventura Blvd </t>
  </si>
  <si>
    <t>Jon Rushing</t>
  </si>
  <si>
    <t>Edward Torices</t>
  </si>
  <si>
    <t>+ (818) 883-6110</t>
  </si>
  <si>
    <t>TownePlace Suites Colorado Springs South</t>
  </si>
  <si>
    <t xml:space="preserve">1530 North Newport Road </t>
  </si>
  <si>
    <t>Gabby Macaluso</t>
  </si>
  <si>
    <t>+1 (719) 638-0800</t>
  </si>
  <si>
    <t>Tarrytown House Estate &amp; Conference Center</t>
  </si>
  <si>
    <t xml:space="preserve">49 East Sunnyside Lane </t>
  </si>
  <si>
    <t>Tarrytown</t>
  </si>
  <si>
    <t>Chris Costabile</t>
  </si>
  <si>
    <t>Gene Castellani</t>
  </si>
  <si>
    <t>+1 (914) 591-8200</t>
  </si>
  <si>
    <t>SpringHill Suites Colorado Springs South</t>
  </si>
  <si>
    <t xml:space="preserve">1570 North Newport Road </t>
  </si>
  <si>
    <t>Charlie Jezek</t>
  </si>
  <si>
    <t>Tianna Whalen</t>
  </si>
  <si>
    <t>+1 (719) 637-0800</t>
  </si>
  <si>
    <t>Residence Inn Colorado Springs North</t>
  </si>
  <si>
    <t xml:space="preserve">9805 Federal Dr </t>
  </si>
  <si>
    <t>Chris Latta</t>
  </si>
  <si>
    <t>+1 (719) 388-9300</t>
  </si>
  <si>
    <t>Residence Inn Colorado Springs - South</t>
  </si>
  <si>
    <t xml:space="preserve">2765 Geyser Drive </t>
  </si>
  <si>
    <t>Lorna Spangler</t>
  </si>
  <si>
    <t>+ (719) 576-0101</t>
  </si>
  <si>
    <t>Fairfield Inn CO Springs South</t>
  </si>
  <si>
    <t xml:space="preserve">2725 Geyser Drive </t>
  </si>
  <si>
    <t>+ (719) 576-1717</t>
  </si>
  <si>
    <t>Courtyard Colorado Springs South</t>
  </si>
  <si>
    <t xml:space="preserve">2570 Tenderfoot Hill Street </t>
  </si>
  <si>
    <t>Matt Warus</t>
  </si>
  <si>
    <t>+1 (719) 226-5006</t>
  </si>
  <si>
    <t>SureStay Hotel By Best Western Beverly Hills</t>
  </si>
  <si>
    <t xml:space="preserve">7721 Beverly Blvd </t>
  </si>
  <si>
    <t>SureStay Collection</t>
  </si>
  <si>
    <t>Joanna Gomez</t>
  </si>
  <si>
    <t>+1 (323) 692-1777</t>
  </si>
  <si>
    <t>Comfort Inn North Hollywood</t>
  </si>
  <si>
    <t xml:space="preserve">6147 Lankershim Blvd </t>
  </si>
  <si>
    <t>North Hollywood</t>
  </si>
  <si>
    <t>Tammy Miranda</t>
  </si>
  <si>
    <t>+1 (818) 726-2088</t>
  </si>
  <si>
    <t>Sunset West Hotel SureStay Collection by Best Western</t>
  </si>
  <si>
    <t xml:space="preserve">7212 Sunset Blvd </t>
  </si>
  <si>
    <t>Anthony Miranda</t>
  </si>
  <si>
    <t>+1 (323) 874-6700</t>
  </si>
  <si>
    <t>Asbury Lanes &amp; The Diner</t>
  </si>
  <si>
    <t xml:space="preserve">209 4th Avenue </t>
  </si>
  <si>
    <t>Asbury Park</t>
  </si>
  <si>
    <t>+1 (732) 774-7100</t>
  </si>
  <si>
    <t>Asbury Ocean Club Hotel</t>
  </si>
  <si>
    <t xml:space="preserve">1101 Ocean Avenue </t>
  </si>
  <si>
    <t>Jenna Falco</t>
  </si>
  <si>
    <t>+1 (732) 825-6000</t>
  </si>
  <si>
    <t>The Asbury Hotel</t>
  </si>
  <si>
    <t xml:space="preserve">210 5th Avenue </t>
  </si>
  <si>
    <t>The Golden Hotel Ascend Hotel Collection</t>
  </si>
  <si>
    <t xml:space="preserve">800 11th Street </t>
  </si>
  <si>
    <t>Golden</t>
  </si>
  <si>
    <t>Ascend Hotel Collection</t>
  </si>
  <si>
    <t>Karla Karstensen</t>
  </si>
  <si>
    <t>+1 (303) 279-0100</t>
  </si>
  <si>
    <t>818 Hotel + Pool Ascend Hotel Collection</t>
  </si>
  <si>
    <t xml:space="preserve">20157 Ventura Blvd </t>
  </si>
  <si>
    <t>Martha Gavarette</t>
  </si>
  <si>
    <t>+1 (626) 758-7983</t>
  </si>
  <si>
    <t>SEARS METHODIST CENTER</t>
  </si>
  <si>
    <t xml:space="preserve">3202 S WILLIS ST </t>
  </si>
  <si>
    <t>ABILENE</t>
  </si>
  <si>
    <t>79605-6650</t>
  </si>
  <si>
    <t>(325) 692-6145</t>
  </si>
  <si>
    <t>VILLA ST FRANCIS</t>
  </si>
  <si>
    <t xml:space="preserve">16600 WEST 126TH STREET </t>
  </si>
  <si>
    <t>913-829-5201</t>
  </si>
  <si>
    <t>MARGARET E MOUL HOME</t>
  </si>
  <si>
    <t xml:space="preserve">2050 BARLEY ROAD </t>
  </si>
  <si>
    <t>717-767-6463</t>
  </si>
  <si>
    <t>Poteat Hospitality Associates LLC</t>
  </si>
  <si>
    <t>Aloft Wilmington at Coastline Center</t>
  </si>
  <si>
    <t xml:space="preserve">501 Nutt Street </t>
  </si>
  <si>
    <t>Kenneth Lile</t>
  </si>
  <si>
    <t>amy rivera</t>
  </si>
  <si>
    <t>+1(910) 377-7600</t>
  </si>
  <si>
    <t>PHILIPS TOWER</t>
  </si>
  <si>
    <t xml:space="preserve">218 E TRINITY PL </t>
  </si>
  <si>
    <t>30030-3409</t>
  </si>
  <si>
    <t>(404) 373-4361</t>
  </si>
  <si>
    <t>HENDRICK HEALTHCARE CENTER</t>
  </si>
  <si>
    <t xml:space="preserve">7171 BUFFALO GAP RD </t>
  </si>
  <si>
    <t>(325) 690-1400</t>
  </si>
  <si>
    <t>HOSPICE</t>
  </si>
  <si>
    <t xml:space="preserve">6345 BALBOA BLVD STE 315 </t>
  </si>
  <si>
    <t>ENCINO</t>
  </si>
  <si>
    <t>91316-1500</t>
  </si>
  <si>
    <t>(818) 655-0411</t>
  </si>
  <si>
    <t>COVIA</t>
  </si>
  <si>
    <t>LYTTON GARDENS CARE CENTER</t>
  </si>
  <si>
    <t xml:space="preserve">437 WEBSTER STREET </t>
  </si>
  <si>
    <t>650-328-3300</t>
  </si>
  <si>
    <t>HUMANGOOD-CA</t>
  </si>
  <si>
    <t>HARBOR VIEW MANOR</t>
  </si>
  <si>
    <t xml:space="preserve">919 S FAWCETT AVENUE </t>
  </si>
  <si>
    <t>253-272-5552</t>
  </si>
  <si>
    <t>GRACE PRESBYTERIAN VILLAGE</t>
  </si>
  <si>
    <t xml:space="preserve">550 E ANN ARBOR AVE </t>
  </si>
  <si>
    <t>75216-6718</t>
  </si>
  <si>
    <t>(214) 376-1701</t>
  </si>
  <si>
    <t>HARVESTER RESIDENTIAL CARE</t>
  </si>
  <si>
    <t xml:space="preserve">35 LILLIAN DR </t>
  </si>
  <si>
    <t>63304-7032</t>
  </si>
  <si>
    <t>(636) 477-8586</t>
  </si>
  <si>
    <t>PENINSULA UNITED METHODIST HOMES INC</t>
  </si>
  <si>
    <t xml:space="preserve">726 LOVEVILLE RD STE 3000 </t>
  </si>
  <si>
    <t>19707-1536</t>
  </si>
  <si>
    <t>(302) 235-6800</t>
  </si>
  <si>
    <t>PRESBYTERIAN HOME QUITMAN</t>
  </si>
  <si>
    <t xml:space="preserve">1901 W SCREVEN ST </t>
  </si>
  <si>
    <t>31643-3913</t>
  </si>
  <si>
    <t>AUGSBURG LUTHERAN HOME &amp; VILLAGE</t>
  </si>
  <si>
    <t xml:space="preserve">6811 CAMPFIELD ROAD </t>
  </si>
  <si>
    <t>410-486-4573</t>
  </si>
  <si>
    <t>ARTESIA CHRISTIAN HOME</t>
  </si>
  <si>
    <t xml:space="preserve">11614 E 183RD STREET </t>
  </si>
  <si>
    <t>562-865-5218</t>
  </si>
  <si>
    <t>AGAPE REHABILITATION OF ROCK HILL</t>
  </si>
  <si>
    <t xml:space="preserve">159 SEDGEWOOD DR </t>
  </si>
  <si>
    <t>29732-2315</t>
  </si>
  <si>
    <t>803-329-6565</t>
  </si>
  <si>
    <t>LaCentre Conference Center and Banquet Facility</t>
  </si>
  <si>
    <t xml:space="preserve">25777 Detroit Road </t>
  </si>
  <si>
    <t>Westlake</t>
  </si>
  <si>
    <t>Michael Levick</t>
  </si>
  <si>
    <t>+1 (440) 250-2000</t>
  </si>
  <si>
    <t>Portland Harbor Hotel</t>
  </si>
  <si>
    <t xml:space="preserve">468 Fore Street </t>
  </si>
  <si>
    <t>Michael Strejcek</t>
  </si>
  <si>
    <t>+1 (207) 775-9090</t>
  </si>
  <si>
    <t>CASCADIA OF BOISE</t>
  </si>
  <si>
    <t xml:space="preserve">6000 W DENTON STREET </t>
  </si>
  <si>
    <t>TownePlace Suites Manchester - Boston Regional Airport</t>
  </si>
  <si>
    <t xml:space="preserve">686 Huse Road </t>
  </si>
  <si>
    <t>Jane Leblanc</t>
  </si>
  <si>
    <t>+1 (603) 641-2288</t>
  </si>
  <si>
    <t>Hampton Inn &amp; Suites Lancaster</t>
  </si>
  <si>
    <t xml:space="preserve">2300 Double Play Way </t>
  </si>
  <si>
    <t>Andrea Morris</t>
  </si>
  <si>
    <t>+1 (661) 940-9194</t>
  </si>
  <si>
    <t xml:space="preserve">Hampton Inn &amp; Suites Denton </t>
  </si>
  <si>
    <t xml:space="preserve">1513 Centre Place </t>
  </si>
  <si>
    <t xml:space="preserve">Denton </t>
  </si>
  <si>
    <t>Beth Pacheco</t>
  </si>
  <si>
    <t>+1 (940) 891-4900</t>
  </si>
  <si>
    <t xml:space="preserve">THE PAVILION AT JACKSONVILLE </t>
  </si>
  <si>
    <t xml:space="preserve">1771 EDGEWOOD AVE WEST </t>
  </si>
  <si>
    <t>904-766-7436</t>
  </si>
  <si>
    <t>THE PAVILION AT CRESCENT LAKE</t>
  </si>
  <si>
    <t xml:space="preserve">100 NORTH LAKE ST </t>
  </si>
  <si>
    <t>CRESCENT CITY</t>
  </si>
  <si>
    <t>386-698-2222</t>
  </si>
  <si>
    <t>FOUNDATION RESOURCE CENTER</t>
  </si>
  <si>
    <t>NORTH BEND POST ACUTE</t>
  </si>
  <si>
    <t xml:space="preserve">219 CEDAR AVENUE S </t>
  </si>
  <si>
    <t>NORTH BEND</t>
  </si>
  <si>
    <t>425-888-2129</t>
  </si>
  <si>
    <t>TWINBROOK HEALTHCARE AND REHABILITAION CENTER</t>
  </si>
  <si>
    <t xml:space="preserve">3805 FIELD STREET </t>
  </si>
  <si>
    <t>814-898-5600</t>
  </si>
  <si>
    <t>C. Baldwin a Curio Collection by Hilton</t>
  </si>
  <si>
    <t xml:space="preserve">400 Dallas Street </t>
  </si>
  <si>
    <t>77002-4777</t>
  </si>
  <si>
    <t>+1 (713) 759-0202</t>
  </si>
  <si>
    <t>SG Silicon Valley LLC</t>
  </si>
  <si>
    <t>Hotel AND</t>
  </si>
  <si>
    <t xml:space="preserve">1625 North Shoreline Boulevard </t>
  </si>
  <si>
    <t>Vimal Sebastian</t>
  </si>
  <si>
    <t>+(650)420-2600</t>
  </si>
  <si>
    <t>ARMSTRONG REHABILITATION AND NURSING CENTER</t>
  </si>
  <si>
    <t xml:space="preserve">265 SOUTH MCKEAN STREET </t>
  </si>
  <si>
    <t>KITTANNING</t>
  </si>
  <si>
    <t>724-548-2222</t>
  </si>
  <si>
    <t>Southwestern Rogers LLC</t>
  </si>
  <si>
    <t>Cloverbank Country Club</t>
  </si>
  <si>
    <t xml:space="preserve">5324 Rogers Rd </t>
  </si>
  <si>
    <t>Spencer Murray</t>
  </si>
  <si>
    <t>+1 (716) 648-2700</t>
  </si>
  <si>
    <t>CAMP BENTLEY</t>
  </si>
  <si>
    <t xml:space="preserve">698 HWY 52 EAST </t>
  </si>
  <si>
    <t>DRAKE</t>
  </si>
  <si>
    <t>701-240-1491</t>
  </si>
  <si>
    <t>MOUNDS PARK ACADEMY</t>
  </si>
  <si>
    <t xml:space="preserve">2051 LARPENTEUR AVENUE EAST </t>
  </si>
  <si>
    <t>651-748-5505</t>
  </si>
  <si>
    <t>VNA HEALTH</t>
  </si>
  <si>
    <t xml:space="preserve">509 EAST MONCEITO STREET #200 </t>
  </si>
  <si>
    <t>805-965-5555</t>
  </si>
  <si>
    <t>COMMERCIAL JANITORIAL SERVICES LLC</t>
  </si>
  <si>
    <t xml:space="preserve">1300 EAST DEYOUNG STREET </t>
  </si>
  <si>
    <t>618-997-4044</t>
  </si>
  <si>
    <t>CASCADIA OF LAS CRUCES</t>
  </si>
  <si>
    <t xml:space="preserve">175 NORTH ROADRUNNER PARKWAY </t>
  </si>
  <si>
    <t>575-386-5800</t>
  </si>
  <si>
    <t>The Elwood</t>
  </si>
  <si>
    <t xml:space="preserve">444 Parkway </t>
  </si>
  <si>
    <t>Stephanie Toy</t>
  </si>
  <si>
    <t>+1 (859) 312-8513</t>
  </si>
  <si>
    <t>The Loutrel Hotel</t>
  </si>
  <si>
    <t xml:space="preserve">61 State Street </t>
  </si>
  <si>
    <t>Greg Hilker</t>
  </si>
  <si>
    <t>+1 (843) 872-9600</t>
  </si>
  <si>
    <t>Fairfield Inn &amp; Suites Denver Southwest-Littleton</t>
  </si>
  <si>
    <t xml:space="preserve">5679 Alkire Street </t>
  </si>
  <si>
    <t>Littleton</t>
  </si>
  <si>
    <t>Claire Theroux</t>
  </si>
  <si>
    <t>+1 (303) 972-6544</t>
  </si>
  <si>
    <t>Holiday Inn Express Dinuba West</t>
  </si>
  <si>
    <t xml:space="preserve">375 South Alta Avenue </t>
  </si>
  <si>
    <t>Dinuba</t>
  </si>
  <si>
    <t>Nadia Alcala</t>
  </si>
  <si>
    <t>Jessica Vargas</t>
  </si>
  <si>
    <t>+1 (559) 595-1500</t>
  </si>
  <si>
    <t>TownePlace Suites Monroe</t>
  </si>
  <si>
    <t xml:space="preserve">1440 North Dixie Highway </t>
  </si>
  <si>
    <t>The Ritz-Carlton Turks &amp; Caicos</t>
  </si>
  <si>
    <t xml:space="preserve">334 Grace Bay Road </t>
  </si>
  <si>
    <t>Providenciales</t>
  </si>
  <si>
    <t>TCA</t>
  </si>
  <si>
    <t>TKCA 1ZZ</t>
  </si>
  <si>
    <t>Turks and Caicos</t>
  </si>
  <si>
    <t>+()16499464167</t>
  </si>
  <si>
    <t>The Hamilton Alpharetta Curio Hotel</t>
  </si>
  <si>
    <t xml:space="preserve">35 Milton Avenue </t>
  </si>
  <si>
    <t>Kenneth Washington</t>
  </si>
  <si>
    <t>+1 (404) 441-6585</t>
  </si>
  <si>
    <t>Motto Chelsea</t>
  </si>
  <si>
    <t xml:space="preserve">113 West 24th Street </t>
  </si>
  <si>
    <t>Motto by Hilton</t>
  </si>
  <si>
    <t>Bassim Ouachani</t>
  </si>
  <si>
    <t>Samuel Martinez</t>
  </si>
  <si>
    <t>+1 (212) 668-8624</t>
  </si>
  <si>
    <t xml:space="preserve">Home2 Suites Baltimore </t>
  </si>
  <si>
    <t xml:space="preserve">8 East Pleasant St. </t>
  </si>
  <si>
    <t>Alicia Owens</t>
  </si>
  <si>
    <t>+1 (410) 576-1200</t>
  </si>
  <si>
    <t>Best Western Plus Nashville</t>
  </si>
  <si>
    <t xml:space="preserve">823 / 825 Murfreesboro Pike </t>
  </si>
  <si>
    <t>Murfreesboro</t>
  </si>
  <si>
    <t>Michael Cline</t>
  </si>
  <si>
    <t>+1 (931) 528-0008</t>
  </si>
  <si>
    <t>Hilton Hotels Fair Lakes</t>
  </si>
  <si>
    <t xml:space="preserve">12777 Fair Lakes Circle </t>
  </si>
  <si>
    <t>Fairfax</t>
  </si>
  <si>
    <t>Spencer Beauford</t>
  </si>
  <si>
    <t>+1 (703) 818-1234</t>
  </si>
  <si>
    <t>MONTARE BEHAVIORAL HEALTH</t>
  </si>
  <si>
    <t>SOLTERRA LA CHOLLA</t>
  </si>
  <si>
    <t xml:space="preserve">6505 N LA CHOLLA BLVD </t>
  </si>
  <si>
    <t>520-742-3553</t>
  </si>
  <si>
    <t>Hilton Garden Inn Austin University Capitol District</t>
  </si>
  <si>
    <t xml:space="preserve">301 West 17th Street </t>
  </si>
  <si>
    <t>Andrew Dryden</t>
  </si>
  <si>
    <t>Grant Worrell</t>
  </si>
  <si>
    <t>SCP Redmond</t>
  </si>
  <si>
    <t xml:space="preserve">521 Southwest 6th Street </t>
  </si>
  <si>
    <t>Redmond</t>
  </si>
  <si>
    <t>Tobias Colvin</t>
  </si>
  <si>
    <t>+1 (541) 508-7600</t>
  </si>
  <si>
    <t>Residence Inn Riverside Redlands</t>
  </si>
  <si>
    <t xml:space="preserve">27351 San Bernardino Avenue </t>
  </si>
  <si>
    <t>Redlands</t>
  </si>
  <si>
    <t>Elma Peterson</t>
  </si>
  <si>
    <t>+(909)335-1500</t>
  </si>
  <si>
    <t>Sheraton North Houston at George Bush Intercontinental Airport</t>
  </si>
  <si>
    <t xml:space="preserve">15700 John F. Kennedy Boulevard </t>
  </si>
  <si>
    <t>+1 (281) 442-5100</t>
  </si>
  <si>
    <t>The Menhaden Hotel</t>
  </si>
  <si>
    <t xml:space="preserve">207 Front Street </t>
  </si>
  <si>
    <t>+1 (631) 333-2777</t>
  </si>
  <si>
    <t>Hyatt House Columbus OSU-Short North</t>
  </si>
  <si>
    <t xml:space="preserve">633 West 5th Avenue </t>
  </si>
  <si>
    <t>Victor Patterson</t>
  </si>
  <si>
    <t>+(614)298-1299</t>
  </si>
  <si>
    <t>SCP Hilo Hotel</t>
  </si>
  <si>
    <t xml:space="preserve">126 Banyan Way </t>
  </si>
  <si>
    <t>Hilo</t>
  </si>
  <si>
    <t>Breeani Sumera-Lee</t>
  </si>
  <si>
    <t>+1 (808) 935-0821</t>
  </si>
  <si>
    <t>PIONEER MEMORIAL HOME</t>
  </si>
  <si>
    <t xml:space="preserve">118 FLORIDA AVE NW </t>
  </si>
  <si>
    <t>712-737-2214</t>
  </si>
  <si>
    <t>HITZ MEMORIAL HOME</t>
  </si>
  <si>
    <t xml:space="preserve">201 BELL ST </t>
  </si>
  <si>
    <t>ALHAMBRA</t>
  </si>
  <si>
    <t>62001-3005</t>
  </si>
  <si>
    <t>(618) 488-2355</t>
  </si>
  <si>
    <t>Hilton Garden Inn Tampa Riverview Brandon</t>
  </si>
  <si>
    <t xml:space="preserve">4328 Garden Vista Drive </t>
  </si>
  <si>
    <t>Riverview</t>
  </si>
  <si>
    <t>Chris Bryant</t>
  </si>
  <si>
    <t>Leilani Martinez</t>
  </si>
  <si>
    <t>+ (813) 626-6610</t>
  </si>
  <si>
    <t>Crowne Plaza Hotel Orlando Universal</t>
  </si>
  <si>
    <t xml:space="preserve">7800 Universal Boulevard </t>
  </si>
  <si>
    <t>Anthony Lazzara</t>
  </si>
  <si>
    <t>+1 (407) 355-0550</t>
  </si>
  <si>
    <t>Club LeConte</t>
  </si>
  <si>
    <t xml:space="preserve">2700 Plaza Tower </t>
  </si>
  <si>
    <t>Steve Laney</t>
  </si>
  <si>
    <t>+ (865) 523-0405</t>
  </si>
  <si>
    <t>Courtyard Columbus West</t>
  </si>
  <si>
    <t xml:space="preserve">2350 Westbelt Drive </t>
  </si>
  <si>
    <t>Matt Shaner</t>
  </si>
  <si>
    <t>+1 (614) 771-8999</t>
  </si>
  <si>
    <t>Cantina Falls (restaurant located in Hyatt Place Niagara Falls)</t>
  </si>
  <si>
    <t xml:space="preserve">310 Rainbow Boulevard </t>
  </si>
  <si>
    <t>+1 (716) 299-1000</t>
  </si>
  <si>
    <t>White Deer Run Golf Club</t>
  </si>
  <si>
    <t xml:space="preserve">250 West Greggs Parkway </t>
  </si>
  <si>
    <t xml:space="preserve">Vernon Hills </t>
  </si>
  <si>
    <t>John Robinson</t>
  </si>
  <si>
    <t>+1 (847) 680-6100</t>
  </si>
  <si>
    <t>1757 Golf Club</t>
  </si>
  <si>
    <t xml:space="preserve">45120 Waxpool Road </t>
  </si>
  <si>
    <t>Dulles</t>
  </si>
  <si>
    <t>Aaron Czajka</t>
  </si>
  <si>
    <t>+1 (703) 444-0901</t>
  </si>
  <si>
    <t>Homewood Suites Dulles North Loudoun</t>
  </si>
  <si>
    <t xml:space="preserve">44620 Waxpool Road </t>
  </si>
  <si>
    <t>Ashburn</t>
  </si>
  <si>
    <t>Kevin Varr</t>
  </si>
  <si>
    <t>+1(703) 723-7500</t>
  </si>
  <si>
    <t>Embassy Suites Dulles North Loudoun</t>
  </si>
  <si>
    <t xml:space="preserve">44610 Waxpool Road </t>
  </si>
  <si>
    <t>+1 (703) 723-5300</t>
  </si>
  <si>
    <t>KBR Manager LLC</t>
  </si>
  <si>
    <t>Kauai Beach Resort</t>
  </si>
  <si>
    <t xml:space="preserve">4331 Kauai Beach Drive </t>
  </si>
  <si>
    <t>Lihue</t>
  </si>
  <si>
    <t>Julie Monroe</t>
  </si>
  <si>
    <t>Robert Minicola</t>
  </si>
  <si>
    <t>+1 (808) 245-1955</t>
  </si>
  <si>
    <t>Chandni LLC</t>
  </si>
  <si>
    <t>Clarion Hotel Conference Center North</t>
  </si>
  <si>
    <t xml:space="preserve">1950 Newtown Pike </t>
  </si>
  <si>
    <t>Worthie McGuire</t>
  </si>
  <si>
    <t>Savanah Miller</t>
  </si>
  <si>
    <t>+1 (859) 233-0512</t>
  </si>
  <si>
    <t>MOUNTAIN BERRY CULINARY</t>
  </si>
  <si>
    <t xml:space="preserve">7797 WEST PEAKVIEW DRIVE </t>
  </si>
  <si>
    <t>LITTLETON</t>
  </si>
  <si>
    <t>720-515-6622</t>
  </si>
  <si>
    <t>CAMP HORIZON</t>
  </si>
  <si>
    <t xml:space="preserve">30811 HORIZON DRIVE </t>
  </si>
  <si>
    <t>ARKANSAS CITY</t>
  </si>
  <si>
    <t>620-442-5533</t>
  </si>
  <si>
    <t>WESTERN KENTUCKY YOUTH CAMP</t>
  </si>
  <si>
    <t xml:space="preserve">301 YOUTH CAMP ROAD </t>
  </si>
  <si>
    <t>270-965-5126</t>
  </si>
  <si>
    <t>TOWER LIFE CENTER</t>
  </si>
  <si>
    <t xml:space="preserve">11811 NORTH WAYNE STREET </t>
  </si>
  <si>
    <t>260-638-4108</t>
  </si>
  <si>
    <t>TEALRIDGE RETIREMENT COMMUNITY</t>
  </si>
  <si>
    <t xml:space="preserve">2100 NE 140TH STREET STE A </t>
  </si>
  <si>
    <t>EDMOND</t>
  </si>
  <si>
    <t>405-608-8020</t>
  </si>
  <si>
    <t>TASTEBUDS FOOD SERVICE-CAMP MANITO WISH</t>
  </si>
  <si>
    <t xml:space="preserve">5650 CAMP MANITOWISH LANE </t>
  </si>
  <si>
    <t>715-385-2312</t>
  </si>
  <si>
    <t>SENIOR PHILANTHROPY OF NEWINGTON LLC</t>
  </si>
  <si>
    <t>SENIOR PHILANTHROPY OF NEWINGTON LLC-FL</t>
  </si>
  <si>
    <t xml:space="preserve">2433 GULF TO BAY BLVD SUITE C </t>
  </si>
  <si>
    <t>CLEARWATER</t>
  </si>
  <si>
    <t>LAKE MONROE JELLYSTONE PARK</t>
  </si>
  <si>
    <t xml:space="preserve">9396 SOUTH STRAIN RIDGE ROAD </t>
  </si>
  <si>
    <t>BLOOMINGTON</t>
  </si>
  <si>
    <t>812-824-3322</t>
  </si>
  <si>
    <t>BLUE FIRE WILDERNESS THERAPY</t>
  </si>
  <si>
    <t xml:space="preserve">1832 EAST 1750S </t>
  </si>
  <si>
    <t>GOODING</t>
  </si>
  <si>
    <t>208-934-4444</t>
  </si>
  <si>
    <t>CITY BISTRO</t>
  </si>
  <si>
    <t xml:space="preserve">1248 EAST MAIN STREET </t>
  </si>
  <si>
    <t>619-442-4444</t>
  </si>
  <si>
    <t>PROMENADE REHAB AND HEALTHCARE CENTER</t>
  </si>
  <si>
    <t xml:space="preserve">140 BEACH 114TH STREET </t>
  </si>
  <si>
    <t>SERENITY HOUSE DETOX-WEST PALM BEACH</t>
  </si>
  <si>
    <t xml:space="preserve">7357 WILSON ROAD </t>
  </si>
  <si>
    <t>WEST PALM BEACH</t>
  </si>
  <si>
    <t>561-867-2852</t>
  </si>
  <si>
    <t>Selina Puerto Viejo</t>
  </si>
  <si>
    <t>256 street 800 mts south of Puerto Viejo on the way to Playa Limón Puerto Viejo de Talamanca</t>
  </si>
  <si>
    <t>Puerto Viejo</t>
  </si>
  <si>
    <t>Marilyn Selva Navarro</t>
  </si>
  <si>
    <t>+()1 506-8872-7230</t>
  </si>
  <si>
    <t>Selina La Fortuna</t>
  </si>
  <si>
    <t>Avenida 325 75 meters east of the bus terminal La Fortuna Provincia de Alajuela CR 21007</t>
  </si>
  <si>
    <t>La Fortuna</t>
  </si>
  <si>
    <t>Allan Bado Jimenez</t>
  </si>
  <si>
    <t>+()1 506 2479 7259</t>
  </si>
  <si>
    <t>Selina Santa Teresa North</t>
  </si>
  <si>
    <t>Santa Teresa Soccer Field 200 mts north from Provincia de Puntarenas de Cobano</t>
  </si>
  <si>
    <t>Santa Teresa</t>
  </si>
  <si>
    <t>Daniela Franceschi Chinchilla</t>
  </si>
  <si>
    <t>+()1 506 4052 5146</t>
  </si>
  <si>
    <t>Selina Santa Teresa South</t>
  </si>
  <si>
    <t>20 meters north and 50m east from ""Ronnys #1"" Super Market Formerly known as Tranquilo Backpackers Provincia de Puntarenas Cobano</t>
  </si>
  <si>
    <t>+()1 506 2101 3302</t>
  </si>
  <si>
    <t>Selina Tamarindo</t>
  </si>
  <si>
    <t>Calle Langosta Tamarindo Behind Pacific Park building Santa Cruz Provincia de Guanacaste</t>
  </si>
  <si>
    <t>Oscar Hernandez</t>
  </si>
  <si>
    <t>+()1 506 4020 5512</t>
  </si>
  <si>
    <t>Selina Manuel Antonio</t>
  </si>
  <si>
    <t>National Road Manuel Antonio km 5 In front of Restaurant ""El Avion Provincia de Puntarenas</t>
  </si>
  <si>
    <t>Quepos</t>
  </si>
  <si>
    <t>Manuel Cordero Carvajal</t>
  </si>
  <si>
    <t>+()1 506 2101 8823</t>
  </si>
  <si>
    <t>Selina Nosara</t>
  </si>
  <si>
    <t xml:space="preserve">1km al norte de café París Nosara Guanacaste </t>
  </si>
  <si>
    <t>Nosara</t>
  </si>
  <si>
    <t>Martina Sacchi</t>
  </si>
  <si>
    <t>+()1 506 8919 4914</t>
  </si>
  <si>
    <t>Selina Monteverde</t>
  </si>
  <si>
    <t xml:space="preserve">Carretera a Reserva de Monteverde Provincia de Puntarenas </t>
  </si>
  <si>
    <t>Monteverde</t>
  </si>
  <si>
    <t>Juan Estrada</t>
  </si>
  <si>
    <t>+()1 506 7146 7986</t>
  </si>
  <si>
    <t>Selina Jaco</t>
  </si>
  <si>
    <t xml:space="preserve">Calle Alice Provincia de Puntarenas Jacó </t>
  </si>
  <si>
    <t>Jaco</t>
  </si>
  <si>
    <t>Gabriela Rojas</t>
  </si>
  <si>
    <t>+1 (506) 2643-0333</t>
  </si>
  <si>
    <t>High Desert Hotels LLC</t>
  </si>
  <si>
    <t>Fairfield Inn &amp; Suites Medford (OR)</t>
  </si>
  <si>
    <t xml:space="preserve">1503 Center Drive </t>
  </si>
  <si>
    <t>Lisa Melvin</t>
  </si>
  <si>
    <t>+1 (541) 930-3002</t>
  </si>
  <si>
    <t>Sleep Inn &amp; Suites - Wisconsin Rapids</t>
  </si>
  <si>
    <t xml:space="preserve">4221 8th Street South </t>
  </si>
  <si>
    <t>Wisconsin Rapids</t>
  </si>
  <si>
    <t>Heather Wirtz</t>
  </si>
  <si>
    <t>+1 (715) 424-6800</t>
  </si>
  <si>
    <t>Doyle Dupont LLC</t>
  </si>
  <si>
    <t>The Dupont Circle Hotel</t>
  </si>
  <si>
    <t xml:space="preserve">1500 New Hampshire AVE NW </t>
  </si>
  <si>
    <t>Fintan Kenny</t>
  </si>
  <si>
    <t>Heidi Pierce</t>
  </si>
  <si>
    <t>+1 (202) 745-3455</t>
  </si>
  <si>
    <t>The St. Regis Residences Rye</t>
  </si>
  <si>
    <t xml:space="preserve">120 Old Post Road </t>
  </si>
  <si>
    <t>Rye</t>
  </si>
  <si>
    <t>St. Regis (LMS)</t>
  </si>
  <si>
    <t>Julie Oliff</t>
  </si>
  <si>
    <t>Kelley Costa</t>
  </si>
  <si>
    <t>+(914) 305-1882</t>
  </si>
  <si>
    <t>Everwood Hospitality Partners</t>
  </si>
  <si>
    <t>Holiday Inn Orlando-International Airport</t>
  </si>
  <si>
    <t xml:space="preserve">5750 T G Lee Boulevard </t>
  </si>
  <si>
    <t>Bob McCoy</t>
  </si>
  <si>
    <t>+ (407) 851-6400</t>
  </si>
  <si>
    <t>Hampton Inn Eau Claire</t>
  </si>
  <si>
    <t xml:space="preserve">2622 Craig Road </t>
  </si>
  <si>
    <t>Eau Claire</t>
  </si>
  <si>
    <t>Lisa Waak</t>
  </si>
  <si>
    <t>+1 (715) 833-0003</t>
  </si>
  <si>
    <t>Hampton Inn Waynesville</t>
  </si>
  <si>
    <t xml:space="preserve">131 Shiloh Trail </t>
  </si>
  <si>
    <t>Pratik Shah</t>
  </si>
  <si>
    <t>+1 (828) 456-4402</t>
  </si>
  <si>
    <t>Renewal RC LLC</t>
  </si>
  <si>
    <t>Renewal Restaurant</t>
  </si>
  <si>
    <t xml:space="preserve">1106 West Main Street </t>
  </si>
  <si>
    <t>Aaron Clifton</t>
  </si>
  <si>
    <t>Kirk Smith</t>
  </si>
  <si>
    <t>+1 (803) 206-2012</t>
  </si>
  <si>
    <t>Home2 Suites Avondale</t>
  </si>
  <si>
    <t xml:space="preserve">10275 West McDowell Road </t>
  </si>
  <si>
    <t>Avondale</t>
  </si>
  <si>
    <t>Matthew Hallinan</t>
  </si>
  <si>
    <t>+1 (480) 676-4944</t>
  </si>
  <si>
    <t>NA Glendale LLC</t>
  </si>
  <si>
    <t>Hilton Los Angeles North Glendale</t>
  </si>
  <si>
    <t xml:space="preserve">100 West Glenoaks Boulevard </t>
  </si>
  <si>
    <t>Rob Weitz</t>
  </si>
  <si>
    <t>Carl Sprayberry</t>
  </si>
  <si>
    <t>+1 (818) 956-5466</t>
  </si>
  <si>
    <t>Green Tea LLC</t>
  </si>
  <si>
    <t>Eaglewood Resort &amp; Spa</t>
  </si>
  <si>
    <t xml:space="preserve">1401 Nordic Road </t>
  </si>
  <si>
    <t>Itasca</t>
  </si>
  <si>
    <t>Adam Klos</t>
  </si>
  <si>
    <t>Brenda Garza</t>
  </si>
  <si>
    <t>+1 (630) 773-1400</t>
  </si>
  <si>
    <t>Four Points Los Angeles International Airport</t>
  </si>
  <si>
    <t xml:space="preserve">9750 Airport Boulevard </t>
  </si>
  <si>
    <t>Kym T. Myers</t>
  </si>
  <si>
    <t>+1 (310) 645-4600</t>
  </si>
  <si>
    <t>VIRGINIA HEALTH SERVICES INC</t>
  </si>
  <si>
    <t>THE HAMILTON AT YORK</t>
  </si>
  <si>
    <t xml:space="preserve">113 BATTLE ROAD </t>
  </si>
  <si>
    <t>YORKTOWN</t>
  </si>
  <si>
    <t>757-243-8559</t>
  </si>
  <si>
    <t>THE HUNTINGTON AT THE NEWPORT</t>
  </si>
  <si>
    <t xml:space="preserve">11143 WARWICK BOULEVARD </t>
  </si>
  <si>
    <t>757-223-0888</t>
  </si>
  <si>
    <t>CAMP RAYBIRD</t>
  </si>
  <si>
    <t xml:space="preserve">25765 EDISON ROAD </t>
  </si>
  <si>
    <t>574-232-8523</t>
  </si>
  <si>
    <t xml:space="preserve">95 MAIN STREET SUITE 121 </t>
  </si>
  <si>
    <t>CLIFTON</t>
  </si>
  <si>
    <t>845-723-3662</t>
  </si>
  <si>
    <t>SUNNY RIDGE REHABILITATION CENTER LLC</t>
  </si>
  <si>
    <t xml:space="preserve">3014 ERIE AVENUE </t>
  </si>
  <si>
    <t>SHEBOYGAN</t>
  </si>
  <si>
    <t>920-459-3028</t>
  </si>
  <si>
    <t>FIRST HEALTH HOSPICE INC</t>
  </si>
  <si>
    <t xml:space="preserve">717 SOUTH ETON STREET </t>
  </si>
  <si>
    <t>248-423-3096</t>
  </si>
  <si>
    <t>COMCOR</t>
  </si>
  <si>
    <t xml:space="preserve">3615 ROBERTS ROAD </t>
  </si>
  <si>
    <t>719-444-0910</t>
  </si>
  <si>
    <t>BAGEL KING-LAKE MARY</t>
  </si>
  <si>
    <t xml:space="preserve">3005 WEST LAKE MARY BLVD STE 112 </t>
  </si>
  <si>
    <t>LAKE MARY</t>
  </si>
  <si>
    <t>GRAYSTONE MANOR</t>
  </si>
  <si>
    <t>GRAYSTONE MANOR HUNTINGDON</t>
  </si>
  <si>
    <t xml:space="preserve">6641 TOWNE CENTER BLVD </t>
  </si>
  <si>
    <t>814-644-6699</t>
  </si>
  <si>
    <t>BRISTOL PALLIATIVE-EAST BAY PLEASANTON</t>
  </si>
  <si>
    <t xml:space="preserve">5820 STONERIDGE MALL ROAD STE 209 </t>
  </si>
  <si>
    <t>PLEASANTON</t>
  </si>
  <si>
    <t>HARVESTER PLACE</t>
  </si>
  <si>
    <t xml:space="preserve">150 SOUTH FRONTAGE ROAD </t>
  </si>
  <si>
    <t>BURR RIDGE</t>
  </si>
  <si>
    <t>224-236-0148</t>
  </si>
  <si>
    <t>CASCADE CREEK MEMORY CARE</t>
  </si>
  <si>
    <t xml:space="preserve">3530 FAIRWAY RIDGE LANE SW </t>
  </si>
  <si>
    <t>HIGHLINE PLACE</t>
  </si>
  <si>
    <t xml:space="preserve">6767 SOUTH BROADWAY </t>
  </si>
  <si>
    <t>720-770-1426</t>
  </si>
  <si>
    <t>EMERALD PLACE</t>
  </si>
  <si>
    <t xml:space="preserve">1879 CHESTNUT AVENUE </t>
  </si>
  <si>
    <t>GLENVIEW</t>
  </si>
  <si>
    <t>224-206-3413</t>
  </si>
  <si>
    <t>PORTER PLACE</t>
  </si>
  <si>
    <t xml:space="preserve">17833 SOUTH HARLEM AVENUE </t>
  </si>
  <si>
    <t>TINLEY PARK</t>
  </si>
  <si>
    <t>798-928-5597</t>
  </si>
  <si>
    <t>VINEYARD PLACE</t>
  </si>
  <si>
    <t xml:space="preserve">24325 WASHINGTON AVENUE </t>
  </si>
  <si>
    <t>MURIETTA</t>
  </si>
  <si>
    <t>951-387-5310</t>
  </si>
  <si>
    <t>CHELSEA PLACE</t>
  </si>
  <si>
    <t xml:space="preserve">14055 EAST QUINCY AVENUE </t>
  </si>
  <si>
    <t>AURORA</t>
  </si>
  <si>
    <t>720-358-0456</t>
  </si>
  <si>
    <t>GREENRIDGE PLACE</t>
  </si>
  <si>
    <t xml:space="preserve">7700 WEST 101ST AVENUE </t>
  </si>
  <si>
    <t>720-644-6731</t>
  </si>
  <si>
    <t>GRACE POINT PLACE</t>
  </si>
  <si>
    <t xml:space="preserve">5701 WEST 101ST STREET </t>
  </si>
  <si>
    <t>OAK LAWN</t>
  </si>
  <si>
    <t>798-986-0788</t>
  </si>
  <si>
    <t xml:space="preserve">5335 MEADOWS ROAD STE 140 </t>
  </si>
  <si>
    <t>LAKE OSWEGO</t>
  </si>
  <si>
    <t>977-238-7540</t>
  </si>
  <si>
    <t>MORNINGSIDE PLACE</t>
  </si>
  <si>
    <t xml:space="preserve">6921 WEST 81ST STREET </t>
  </si>
  <si>
    <t>OVERLAND PARK</t>
  </si>
  <si>
    <t>913-871-0770</t>
  </si>
  <si>
    <t>WILLOWBROOK PLACE</t>
  </si>
  <si>
    <t xml:space="preserve">5275 SOUTH KIPLING PARKWAY </t>
  </si>
  <si>
    <t>720-583-3518</t>
  </si>
  <si>
    <t>CHISHOLM PLACE</t>
  </si>
  <si>
    <t xml:space="preserve">1859 N WEBB ROAD </t>
  </si>
  <si>
    <t>316-854-2498</t>
  </si>
  <si>
    <t>TKO Hospitality LLC</t>
  </si>
  <si>
    <t>Hyatt Place - Hyatt House Allentown West</t>
  </si>
  <si>
    <t xml:space="preserve">621 Grange Road </t>
  </si>
  <si>
    <t>Allentown</t>
  </si>
  <si>
    <t>Lynn Fehn</t>
  </si>
  <si>
    <t>Scott Craver</t>
  </si>
  <si>
    <t>SPRING CREEK NURSING AND REHABILITATION CENTER-SNF</t>
  </si>
  <si>
    <t xml:space="preserve">401 NORTH BROADWAY STREET </t>
  </si>
  <si>
    <t>419-639-2626</t>
  </si>
  <si>
    <t>SPRING CREEK NURSING AND REHABILITATION CENTER-ALF</t>
  </si>
  <si>
    <t xml:space="preserve">430 NORTH BROADWAY STREET </t>
  </si>
  <si>
    <t>419-639-2581</t>
  </si>
  <si>
    <t>PENNWOOD NURSING AND REHAB CENTER</t>
  </si>
  <si>
    <t xml:space="preserve">909 WEST STREET </t>
  </si>
  <si>
    <t>412-723-3662</t>
  </si>
  <si>
    <t>Arya Hospitality LLC</t>
  </si>
  <si>
    <t>Country Inn &amp; Suites by Radisson Michigan City IN</t>
  </si>
  <si>
    <t xml:space="preserve">3805 North Frontage Road </t>
  </si>
  <si>
    <t>Michigan City</t>
  </si>
  <si>
    <t>Roger Sharma</t>
  </si>
  <si>
    <t>+1 (219) 879-3600</t>
  </si>
  <si>
    <t>Candlewood Suites Savannah Airport</t>
  </si>
  <si>
    <t xml:space="preserve">50 Steven South Green Drive </t>
  </si>
  <si>
    <t>Neil Sharma</t>
  </si>
  <si>
    <t>+1 (912) 483-1600</t>
  </si>
  <si>
    <t>Harvest Hall</t>
  </si>
  <si>
    <t xml:space="preserve">255 East Dallas Road </t>
  </si>
  <si>
    <t>Mitch Johnson</t>
  </si>
  <si>
    <t>+1 (817) 251-3060</t>
  </si>
  <si>
    <t>Lala Investment Group LLC</t>
  </si>
  <si>
    <t>Quality Inn &amp; Suites Near Robins Air Force Base</t>
  </si>
  <si>
    <t xml:space="preserve">215 Margie Drive </t>
  </si>
  <si>
    <t>Warner Robins</t>
  </si>
  <si>
    <t>Bobby Patel</t>
  </si>
  <si>
    <t>+1 (478) 953-6866</t>
  </si>
  <si>
    <t>A&amp;M Hotel Management Inc</t>
  </si>
  <si>
    <t>Delta Grande Prairie Airport</t>
  </si>
  <si>
    <t xml:space="preserve">11700 99 Avenue </t>
  </si>
  <si>
    <t>T8W 0C7</t>
  </si>
  <si>
    <t>Rizwan Ahmed</t>
  </si>
  <si>
    <t>+(1) 780-710-0742</t>
  </si>
  <si>
    <t>The Kimpton Harper Hotel</t>
  </si>
  <si>
    <t xml:space="preserve">714 Main Street </t>
  </si>
  <si>
    <t>Kimpton Hotels</t>
  </si>
  <si>
    <t>Mark Michalski</t>
  </si>
  <si>
    <t>+1 (817) 332-7200</t>
  </si>
  <si>
    <t>Hyatt Centric Downtown Nashville</t>
  </si>
  <si>
    <t xml:space="preserve">210 Malloy Street </t>
  </si>
  <si>
    <t>Roberto Intriago</t>
  </si>
  <si>
    <t>+()615-687-9995</t>
  </si>
  <si>
    <t>University Club of Virginia Tech</t>
  </si>
  <si>
    <t xml:space="preserve">185 Beamer Way </t>
  </si>
  <si>
    <t>Ali Halatayi</t>
  </si>
  <si>
    <t>+1 (757) 773-8717</t>
  </si>
  <si>
    <t>Clarion Hotel &amp; Suites - Convention Center Fredericksburg</t>
  </si>
  <si>
    <t xml:space="preserve">2801 Plank Road </t>
  </si>
  <si>
    <t>Bonnie Martin</t>
  </si>
  <si>
    <t>James Ohlsson</t>
  </si>
  <si>
    <t>+1 (540) 786-8321</t>
  </si>
  <si>
    <t>Silver Hotel Management Inc fka Northampton Group Inc</t>
  </si>
  <si>
    <t>The PomAnar Grill &amp; Juicery at Bond Place Hotel</t>
  </si>
  <si>
    <t xml:space="preserve">65 Dundas Street East </t>
  </si>
  <si>
    <t>Toronto</t>
  </si>
  <si>
    <t>M5B 2G8</t>
  </si>
  <si>
    <t>Shane Khanjani</t>
  </si>
  <si>
    <t>+1(416) 362-9200</t>
  </si>
  <si>
    <t>Hotel Victoria</t>
  </si>
  <si>
    <t xml:space="preserve">56 Yonge Street </t>
  </si>
  <si>
    <t>M5E 1G5</t>
  </si>
  <si>
    <t>Gregory Hives</t>
  </si>
  <si>
    <t>+1 (416) 363-1666</t>
  </si>
  <si>
    <t>Bond Place Hotel</t>
  </si>
  <si>
    <t>Marcos Yu</t>
  </si>
  <si>
    <t>Ashok Narula</t>
  </si>
  <si>
    <t>+1 (416) 362-6061</t>
  </si>
  <si>
    <t>Holiday Inn Express Whitby</t>
  </si>
  <si>
    <t xml:space="preserve">180 Consumers Drive </t>
  </si>
  <si>
    <t>Whitby</t>
  </si>
  <si>
    <t>L1N 9S3</t>
  </si>
  <si>
    <t>Sandy Sousa</t>
  </si>
  <si>
    <t>+1 (905) 665-8400</t>
  </si>
  <si>
    <t>Radisson Admiral Hotel -Toronto</t>
  </si>
  <si>
    <t xml:space="preserve">249 Queen's Quay West </t>
  </si>
  <si>
    <t>M5J 2N5</t>
  </si>
  <si>
    <t>Nathalie Lalonde</t>
  </si>
  <si>
    <t>+1 (416) 203-3333</t>
  </si>
  <si>
    <t>The Strathcona Hotel</t>
  </si>
  <si>
    <t xml:space="preserve">60 York Street </t>
  </si>
  <si>
    <t>M5J 1S8</t>
  </si>
  <si>
    <t>+1 (416) 363-3321</t>
  </si>
  <si>
    <t>Pantages Hotel Toronto</t>
  </si>
  <si>
    <t xml:space="preserve">200 Victoria Street </t>
  </si>
  <si>
    <t>TORONTO</t>
  </si>
  <si>
    <t>M5B 1V8</t>
  </si>
  <si>
    <t>Kevin Slean</t>
  </si>
  <si>
    <t>+1 (416) 362-1777</t>
  </si>
  <si>
    <t>TownePlace Ottawa Kanata</t>
  </si>
  <si>
    <t xml:space="preserve">1251 Maritime Way </t>
  </si>
  <si>
    <t>Kanata</t>
  </si>
  <si>
    <t>K2K 0J6</t>
  </si>
  <si>
    <t xml:space="preserve">Dave Fowler </t>
  </si>
  <si>
    <t>+1 (613) 599-7200</t>
  </si>
  <si>
    <t>TownePlace Suites Mississauga Airport Corporate Centre</t>
  </si>
  <si>
    <t xml:space="preserve">5050 Orbitor Drive </t>
  </si>
  <si>
    <t>L4W 4X2</t>
  </si>
  <si>
    <t>Tanya Kooger</t>
  </si>
  <si>
    <t>Leslie Melendrez</t>
  </si>
  <si>
    <t>+ (905) 238-9600</t>
  </si>
  <si>
    <t xml:space="preserve">The Anndore House a JDV by Hyatt </t>
  </si>
  <si>
    <t xml:space="preserve">15 Charles Street East </t>
  </si>
  <si>
    <t>M4Y 1S1</t>
  </si>
  <si>
    <t>Joie de Vivre</t>
  </si>
  <si>
    <t>George Sovatzis</t>
  </si>
  <si>
    <t>+1 (416) 924-1222</t>
  </si>
  <si>
    <t>Fairfield Inn &amp; Suites Ottawa Kanata</t>
  </si>
  <si>
    <t xml:space="preserve">578 Terry Fox Drive </t>
  </si>
  <si>
    <t>K2V 1A1</t>
  </si>
  <si>
    <t>Dave Fowler</t>
  </si>
  <si>
    <t>+1 (613) 599-7767</t>
  </si>
  <si>
    <t>Novotel Toronto Centre</t>
  </si>
  <si>
    <t xml:space="preserve">45 The Esplanade </t>
  </si>
  <si>
    <t>M5E 1W2</t>
  </si>
  <si>
    <t>Novotel</t>
  </si>
  <si>
    <t>Frank Campo</t>
  </si>
  <si>
    <t>+1 (416) 367-8900</t>
  </si>
  <si>
    <t>Aloft Vaughan Mills</t>
  </si>
  <si>
    <t xml:space="preserve">151 Bass Pro Mills Drive </t>
  </si>
  <si>
    <t>Vaughan</t>
  </si>
  <si>
    <t>L4K 0E6</t>
  </si>
  <si>
    <t>Carman Ip</t>
  </si>
  <si>
    <t>Matthew Rattray</t>
  </si>
  <si>
    <t>+ (905) 695-0500</t>
  </si>
  <si>
    <t>Advance Management &amp; Investment LLC</t>
  </si>
  <si>
    <t>Fairfield Inn &amp; Suites Temecula</t>
  </si>
  <si>
    <t xml:space="preserve">27416 Jefferson Avenue </t>
  </si>
  <si>
    <t>Temecula</t>
  </si>
  <si>
    <t>Sadie Kuveke</t>
  </si>
  <si>
    <t>Maria Duran</t>
  </si>
  <si>
    <t>+1 (951) 587-9800</t>
  </si>
  <si>
    <t>Hideout Texas Land LLC</t>
  </si>
  <si>
    <t>Hideout Texas</t>
  </si>
  <si>
    <t xml:space="preserve">185 Hideout Lane </t>
  </si>
  <si>
    <t>Brownwood</t>
  </si>
  <si>
    <t>Stephen Bello</t>
  </si>
  <si>
    <t>David Wohrle</t>
  </si>
  <si>
    <t>+1 (972) 971-1683</t>
  </si>
  <si>
    <t>Aloft Montreal Airport</t>
  </si>
  <si>
    <t xml:space="preserve">500 McMillan Blvd. </t>
  </si>
  <si>
    <t>H9P 0A2</t>
  </si>
  <si>
    <t>Benoit Chaumont</t>
  </si>
  <si>
    <t>+1 (514) 633-0900</t>
  </si>
  <si>
    <t>Hyatt House Chicago-Naperville-Warrenville</t>
  </si>
  <si>
    <t xml:space="preserve">27554 Maecliff Drive </t>
  </si>
  <si>
    <t>Warrenville</t>
  </si>
  <si>
    <t>Emmet Downes</t>
  </si>
  <si>
    <t>+1 (630) 836-2960</t>
  </si>
  <si>
    <t>Hyatt Place Warrenville</t>
  </si>
  <si>
    <t xml:space="preserve">27576 Maecliff Drive </t>
  </si>
  <si>
    <t>Sharon Espino</t>
  </si>
  <si>
    <t>+1 (630) 836-9800</t>
  </si>
  <si>
    <t>The Last Hotel St. Louis</t>
  </si>
  <si>
    <t xml:space="preserve">1501 Washington Avenue </t>
  </si>
  <si>
    <t>The Unbound Collection</t>
  </si>
  <si>
    <t>+1 (314) 390-2500</t>
  </si>
  <si>
    <t>Auro Hotels Management LLC</t>
  </si>
  <si>
    <t>Hampton Inn Miami Beach - Mid Beach</t>
  </si>
  <si>
    <t xml:space="preserve">4000 Collins Avenue </t>
  </si>
  <si>
    <t>Robert Perez</t>
  </si>
  <si>
    <t>+1 (305) 532-4999</t>
  </si>
  <si>
    <t>Fairmont Hotels &amp; Resorts- U.S.</t>
  </si>
  <si>
    <t>West of Collins</t>
  </si>
  <si>
    <t xml:space="preserve">3201 Collins Avenue </t>
  </si>
  <si>
    <t>Scott Geraghty</t>
  </si>
  <si>
    <t>+1 (305) 270-8436</t>
  </si>
  <si>
    <t>Casa Faena</t>
  </si>
  <si>
    <t xml:space="preserve">3500 Collins Avenue </t>
  </si>
  <si>
    <t>Residence Inn Phoenix Glendale</t>
  </si>
  <si>
    <t xml:space="preserve">7350 N. Zanjero Blvd. </t>
  </si>
  <si>
    <t>+1 (623) 772-8900</t>
  </si>
  <si>
    <t>Residence Inn Scottsdale North</t>
  </si>
  <si>
    <t xml:space="preserve">17011 North Scottsdale Road </t>
  </si>
  <si>
    <t>Terry Mayberry</t>
  </si>
  <si>
    <t>+1 (480) 563-4120</t>
  </si>
  <si>
    <t>Homewood Suites Memphis - Poplar</t>
  </si>
  <si>
    <t xml:space="preserve">5811 Poplar Avenue </t>
  </si>
  <si>
    <t>Jamar Franklin</t>
  </si>
  <si>
    <t>+1 (901) 763-0500</t>
  </si>
  <si>
    <t>Selina San Jose</t>
  </si>
  <si>
    <t xml:space="preserve">Av 9 15 Otoya </t>
  </si>
  <si>
    <t>Christian Soto</t>
  </si>
  <si>
    <t>+()506 4020-5510</t>
  </si>
  <si>
    <t>The Saint Hotel</t>
  </si>
  <si>
    <t xml:space="preserve">931 Canal Street </t>
  </si>
  <si>
    <t>+ (504) 522-5400</t>
  </si>
  <si>
    <t>Plaza Resort &amp; Spa</t>
  </si>
  <si>
    <t xml:space="preserve">600 North Atlantic Avenue </t>
  </si>
  <si>
    <t>Duane Winjum</t>
  </si>
  <si>
    <t xml:space="preserve">Chris Rachid </t>
  </si>
  <si>
    <t>+1 (386) 255-4471</t>
  </si>
  <si>
    <t>ADVANTAGE LIVING CENTER-BATTLE CREEK</t>
  </si>
  <si>
    <t xml:space="preserve">675 WAGNER DRIVE </t>
  </si>
  <si>
    <t>BATTLE CREEK</t>
  </si>
  <si>
    <t>269-969-6244</t>
  </si>
  <si>
    <t>Four Points by Sheraton Cleveland Airport</t>
  </si>
  <si>
    <t xml:space="preserve">4181 West 150th Street </t>
  </si>
  <si>
    <t>+1 (216) 252-7700</t>
  </si>
  <si>
    <t>Club de Golf Chapultepec SA de CV</t>
  </si>
  <si>
    <t>Club de Golf Chapultepec</t>
  </si>
  <si>
    <t xml:space="preserve">Av. Conscripto #425 Col. Lomas Hipodromo </t>
  </si>
  <si>
    <t>Naucalpan De Juarez</t>
  </si>
  <si>
    <t>MEX</t>
  </si>
  <si>
    <t>+52 (55) 5589 1200</t>
  </si>
  <si>
    <t>Elite Hospitality Inc.</t>
  </si>
  <si>
    <t>Quality Inn &amp; Suites Santa Cruz Mountains</t>
  </si>
  <si>
    <t xml:space="preserve">9733 Highway 9 </t>
  </si>
  <si>
    <t>Ben Lomond</t>
  </si>
  <si>
    <t>Ashish Vaishnav</t>
  </si>
  <si>
    <t>+(831)709-4025</t>
  </si>
  <si>
    <t>Laguna Hills Inn</t>
  </si>
  <si>
    <t xml:space="preserve">23061 Avenida de la Carlota </t>
  </si>
  <si>
    <t>LAGUNA HILLS</t>
  </si>
  <si>
    <t>Kevin Akash</t>
  </si>
  <si>
    <t>Sarah Hastings</t>
  </si>
  <si>
    <t>+1 (949) 510-3998</t>
  </si>
  <si>
    <t>TownePlace Suites Whitefish Kalispell</t>
  </si>
  <si>
    <t xml:space="preserve">300 Akers Lane </t>
  </si>
  <si>
    <t>Whitefish</t>
  </si>
  <si>
    <t>Lisa Brown</t>
  </si>
  <si>
    <t>+1(406)890-2053</t>
  </si>
  <si>
    <t>JAY MODI FACILITIES</t>
  </si>
  <si>
    <t>VISTA VERANDA ASSISTED LIVING</t>
  </si>
  <si>
    <t xml:space="preserve">3540 MARTIN LUTHER KING JR BLVD </t>
  </si>
  <si>
    <t>LYNWOOD</t>
  </si>
  <si>
    <t>319-638-4413</t>
  </si>
  <si>
    <t>ST CLAIR HOSPITAL</t>
  </si>
  <si>
    <t xml:space="preserve">1000 BOWER HILL ROAD </t>
  </si>
  <si>
    <t>412-942-4000</t>
  </si>
  <si>
    <t>JEFFERSON COUNTY BOARD OF DEVELOPMENTAL DISABILITES</t>
  </si>
  <si>
    <t xml:space="preserve">256 JOHN SCOT HIGHWAY </t>
  </si>
  <si>
    <t>STEUBENVILLE</t>
  </si>
  <si>
    <t>740-264-7176</t>
  </si>
  <si>
    <t>OURHOUSE-CC-PSI CHAPTER OF ALPHA PHI CORPORATION</t>
  </si>
  <si>
    <t xml:space="preserve">707 EAST CEDAR STREET </t>
  </si>
  <si>
    <t>VERMILLION</t>
  </si>
  <si>
    <t>605-351-6822</t>
  </si>
  <si>
    <t>SHRIMP FACTORY-FOOTHILL</t>
  </si>
  <si>
    <t xml:space="preserve">10720 FOOTHILL BLVD #100 </t>
  </si>
  <si>
    <t>RANCHO CUCAMONGA</t>
  </si>
  <si>
    <t>909-466-4437</t>
  </si>
  <si>
    <t>ELMBROOK MGT COMPANY</t>
  </si>
  <si>
    <t>THE SUITES AT ELMBROOK</t>
  </si>
  <si>
    <t xml:space="preserve">1711 9TH AVENUE NW </t>
  </si>
  <si>
    <t>ARDMORE</t>
  </si>
  <si>
    <t>580-223-3100</t>
  </si>
  <si>
    <t>APOLLO HEALTHCARE CONSULTING AND MANAGEMENT</t>
  </si>
  <si>
    <t xml:space="preserve">7834 CANDLE LANE </t>
  </si>
  <si>
    <t>THE OASIS AT GULFCREST</t>
  </si>
  <si>
    <t xml:space="preserve">6150 SOUTH LOOP EAST </t>
  </si>
  <si>
    <t>THE OASIS AT BEAUMONT</t>
  </si>
  <si>
    <t xml:space="preserve">2660 BRICKYARD ROAD </t>
  </si>
  <si>
    <t>BEAUMONT</t>
  </si>
  <si>
    <t>FOUNDATIONS RECOVERY CENTER</t>
  </si>
  <si>
    <t xml:space="preserve">2424 WEST ROGERS AVENUE </t>
  </si>
  <si>
    <t>AWAKENINGS RECOVERY CENTER</t>
  </si>
  <si>
    <t xml:space="preserve">111 SOUTH POTOMAC STREET </t>
  </si>
  <si>
    <t>BLUEPRINT RECOVERY WOMENS HOUSING</t>
  </si>
  <si>
    <t xml:space="preserve">162 REED STREET </t>
  </si>
  <si>
    <t>BONFIRE THE CENTER</t>
  </si>
  <si>
    <t xml:space="preserve">35 EAST INDUSTRIAL SUITE 11 </t>
  </si>
  <si>
    <t>SERENITY HOUSE</t>
  </si>
  <si>
    <t xml:space="preserve">9714 SOUTH GESSNER ROAD </t>
  </si>
  <si>
    <t>BLUEPRINT RECOVERY MENS HOUSING</t>
  </si>
  <si>
    <t xml:space="preserve">1966 MAPLE STREET </t>
  </si>
  <si>
    <t>HOPKINTON</t>
  </si>
  <si>
    <t>ATLANTA DETOX</t>
  </si>
  <si>
    <t xml:space="preserve">277 MEDICAL WAY </t>
  </si>
  <si>
    <t>Park-RN Overland Park LLC</t>
  </si>
  <si>
    <t>Holiday Inn Express Overland Park</t>
  </si>
  <si>
    <t xml:space="preserve">7580 West 135th Street </t>
  </si>
  <si>
    <t>Overland Park</t>
  </si>
  <si>
    <t>Jaanki Patel</t>
  </si>
  <si>
    <t>+1 (913) 681-8400</t>
  </si>
  <si>
    <t>Rochester Hospitality Partners LLC</t>
  </si>
  <si>
    <t>TownePlace Suites Rochester</t>
  </si>
  <si>
    <t xml:space="preserve">2829 43rd ST NW </t>
  </si>
  <si>
    <t>Ryan Lanoux</t>
  </si>
  <si>
    <t>+ (507) 281-1200</t>
  </si>
  <si>
    <t>Marathon Management Solutions LLC</t>
  </si>
  <si>
    <t>Quality Inn Spearfish</t>
  </si>
  <si>
    <t xml:space="preserve">2725 1st Avenue </t>
  </si>
  <si>
    <t>Angela Thomas</t>
  </si>
  <si>
    <t>+1 (605) 642-2337</t>
  </si>
  <si>
    <t>Home2 Suites Daphne Spanish Fort</t>
  </si>
  <si>
    <t xml:space="preserve">8943 Sawwood Street </t>
  </si>
  <si>
    <t>Daphne</t>
  </si>
  <si>
    <t>Teresa Floyd</t>
  </si>
  <si>
    <t>+1 (251) 607-1234</t>
  </si>
  <si>
    <t>Comfort Inn &amp; Suites Kannapolis</t>
  </si>
  <si>
    <t xml:space="preserve">3033 Cloverleaf Parkway </t>
  </si>
  <si>
    <t>Kannapolis</t>
  </si>
  <si>
    <t>Rajni Patel</t>
  </si>
  <si>
    <t>+1 (704) 795-4888</t>
  </si>
  <si>
    <t>BROOKSIDE HEALTHCARE &amp; REHAB</t>
  </si>
  <si>
    <t xml:space="preserve">800 BROOKSIDE DRIVE </t>
  </si>
  <si>
    <t>501-224-3940</t>
  </si>
  <si>
    <t>CHENAL HEIGHTS HEALTHCARE &amp; REHAB</t>
  </si>
  <si>
    <t xml:space="preserve">3 CHENAL HEIGHTS DRIVE </t>
  </si>
  <si>
    <t>501-830-2273</t>
  </si>
  <si>
    <t>LONOKE HEALTHCARE &amp; REHAB</t>
  </si>
  <si>
    <t xml:space="preserve">1010 BARNES STREET </t>
  </si>
  <si>
    <t>LONOKE</t>
  </si>
  <si>
    <t>501-676-3103</t>
  </si>
  <si>
    <t>Marriott Vacations Worldwide Corporate HQ</t>
  </si>
  <si>
    <t xml:space="preserve">9002 San Marco Court </t>
  </si>
  <si>
    <t>David Bushee</t>
  </si>
  <si>
    <t>Bill Whelihan</t>
  </si>
  <si>
    <t>+1(407)206-6000</t>
  </si>
  <si>
    <t>STONEYBROOK HEALTHCARE &amp; REHAB</t>
  </si>
  <si>
    <t xml:space="preserve">3000 MILITARY ROAD </t>
  </si>
  <si>
    <t>501-778-8282</t>
  </si>
  <si>
    <t>Westin Tempe</t>
  </si>
  <si>
    <t xml:space="preserve">11 East Seventh Street </t>
  </si>
  <si>
    <t>Patti Hunt</t>
  </si>
  <si>
    <t>+1 (702) 853-7902</t>
  </si>
  <si>
    <t>Atrea Inn</t>
  </si>
  <si>
    <t xml:space="preserve">2035 Paramount Boulevard </t>
  </si>
  <si>
    <t>Urval Patel</t>
  </si>
  <si>
    <t>+(806)803-2590</t>
  </si>
  <si>
    <t>The Alexandria District for Science and Technology San Carlos</t>
  </si>
  <si>
    <t xml:space="preserve">835 Industrial Road </t>
  </si>
  <si>
    <t>San Carlos</t>
  </si>
  <si>
    <t>+1 (415) 597-6668</t>
  </si>
  <si>
    <t>CANTERBURY WOODS</t>
  </si>
  <si>
    <t xml:space="preserve">651 SINEX AVENUE </t>
  </si>
  <si>
    <t>PACIFIC GROVE</t>
  </si>
  <si>
    <t>831-373-3111</t>
  </si>
  <si>
    <t>Hampton Inn Lincoln South - Heritage Park</t>
  </si>
  <si>
    <t xml:space="preserve">5922 Vandevoort Drive </t>
  </si>
  <si>
    <t>Lincoln</t>
  </si>
  <si>
    <t>Donna Baker</t>
  </si>
  <si>
    <t>Dawn Daniels</t>
  </si>
  <si>
    <t>+1 (402) 420-7800</t>
  </si>
  <si>
    <t>LOTUS VILLA AND MEMORY CARE</t>
  </si>
  <si>
    <t xml:space="preserve">9448 CITRUS AVE </t>
  </si>
  <si>
    <t>FONTANA</t>
  </si>
  <si>
    <t>909-823-0631</t>
  </si>
  <si>
    <t>OAK CENTER TOWERS</t>
  </si>
  <si>
    <t xml:space="preserve">1515 MARKET STREET </t>
  </si>
  <si>
    <t>510-464-1166</t>
  </si>
  <si>
    <t>Sheraton Hartford South Hotel</t>
  </si>
  <si>
    <t xml:space="preserve">100 Capital Boulevard </t>
  </si>
  <si>
    <t>Rocky Hill</t>
  </si>
  <si>
    <t>Mark Henshaw</t>
  </si>
  <si>
    <t>+1 (860) 257-6067</t>
  </si>
  <si>
    <t>Gibson Island Club Inc.</t>
  </si>
  <si>
    <t>Gibson Island Club</t>
  </si>
  <si>
    <t xml:space="preserve">534 Broadwater Way </t>
  </si>
  <si>
    <t>Gibson Island</t>
  </si>
  <si>
    <t>John Berish</t>
  </si>
  <si>
    <t>Thomas Campbell</t>
  </si>
  <si>
    <t>+ (410) 255-1040</t>
  </si>
  <si>
    <t>BNG Hospitality LLC</t>
  </si>
  <si>
    <t>Commerce Club Greenville</t>
  </si>
  <si>
    <t xml:space="preserve">55 Beattie Place Suite 1700 </t>
  </si>
  <si>
    <t>Robin Rawl</t>
  </si>
  <si>
    <t>+1 (864) 232-5600</t>
  </si>
  <si>
    <t>Wyndham Garden Lafayette</t>
  </si>
  <si>
    <t xml:space="preserve">1801 West Pinhook Road </t>
  </si>
  <si>
    <t>Wyndham Garden Inn</t>
  </si>
  <si>
    <t>Marshall Tullos</t>
  </si>
  <si>
    <t>+1 (337) 233-8120</t>
  </si>
  <si>
    <t>CordeValle L.P.</t>
  </si>
  <si>
    <t>CordeValle</t>
  </si>
  <si>
    <t xml:space="preserve">One CordeValle Club Drive </t>
  </si>
  <si>
    <t>San Martin</t>
  </si>
  <si>
    <t>Luca Rutigliano</t>
  </si>
  <si>
    <t>Scott Amarante</t>
  </si>
  <si>
    <t>+1 (408) 695-4500</t>
  </si>
  <si>
    <t>NVHG Management LLC</t>
  </si>
  <si>
    <t>Sir Francis Drake</t>
  </si>
  <si>
    <t xml:space="preserve">450 Powell Street </t>
  </si>
  <si>
    <t>David Zeuske Jr.</t>
  </si>
  <si>
    <t>Sebastien Pfeiffer</t>
  </si>
  <si>
    <t>+1 (800) 795-7129</t>
  </si>
  <si>
    <t>SWAN LAKE CHRISTIAN CAMP</t>
  </si>
  <si>
    <t xml:space="preserve">45474 288TH STREET </t>
  </si>
  <si>
    <t>VIBORG</t>
  </si>
  <si>
    <t>605-326-5690</t>
  </si>
  <si>
    <t>LAKE NIXON OUTDOOR CENTER</t>
  </si>
  <si>
    <t xml:space="preserve">18500 COOPER ORBIT ROAD </t>
  </si>
  <si>
    <t>501-744-8878</t>
  </si>
  <si>
    <t>SUNSCAPE DAYTONA BEACH</t>
  </si>
  <si>
    <t xml:space="preserve">551 NORTH WILLIAMSON BLVD </t>
  </si>
  <si>
    <t>386-777-4140</t>
  </si>
  <si>
    <t>OAKMONT OF IVY PARK AT OTAY RANCH</t>
  </si>
  <si>
    <t xml:space="preserve">1290 SANTA ROSA DRIVE </t>
  </si>
  <si>
    <t>619-737-2538</t>
  </si>
  <si>
    <t>NOBLE SENIOR LIVING AT PENSACOLA</t>
  </si>
  <si>
    <t xml:space="preserve">4916 MOBILE HIGHWAY </t>
  </si>
  <si>
    <t>PENASCOLA</t>
  </si>
  <si>
    <t>850-495-3920</t>
  </si>
  <si>
    <t>NOBLE SENIOR LIVING AT BROOKSVILLE</t>
  </si>
  <si>
    <t xml:space="preserve">307 HOWELL AVENUE </t>
  </si>
  <si>
    <t>BROOKSVILLE</t>
  </si>
  <si>
    <t>352-796-3276</t>
  </si>
  <si>
    <t>OAKVIEW TERRACE ASSISTED LIVING AND MEMORY CARE</t>
  </si>
  <si>
    <t xml:space="preserve">7220 BAILLIE DRIVE </t>
  </si>
  <si>
    <t>NEW PORT RICHEY</t>
  </si>
  <si>
    <t>727-842-9899</t>
  </si>
  <si>
    <t>MJ SENIOR HOUSING LLC</t>
  </si>
  <si>
    <t>ECHO HILLS ASSISTED LIVING AND MEMORY CARE</t>
  </si>
  <si>
    <t xml:space="preserve">527 NORTH BROADWAY </t>
  </si>
  <si>
    <t>WAHOO</t>
  </si>
  <si>
    <t>531-721-2500</t>
  </si>
  <si>
    <t>REGALCARE AT HARWICH</t>
  </si>
  <si>
    <t xml:space="preserve">11 HEADWATERS DRIVE </t>
  </si>
  <si>
    <t>HARWICH</t>
  </si>
  <si>
    <t>508-430-1717</t>
  </si>
  <si>
    <t>DHH MED SPA/DESERT HOLISTIC HEALTH</t>
  </si>
  <si>
    <t xml:space="preserve">9188 EAST SAN SALVADOR DRIVE </t>
  </si>
  <si>
    <t>SCOTSDALE</t>
  </si>
  <si>
    <t>480-336-4195</t>
  </si>
  <si>
    <t>CONNECTED PATHWAYS AT NORTHLAND</t>
  </si>
  <si>
    <t xml:space="preserve">2753 NORTHLAND PLAZA DRIVE </t>
  </si>
  <si>
    <t>614-714-0310</t>
  </si>
  <si>
    <t>CARRIAGE HILL BETHESEDA</t>
  </si>
  <si>
    <t xml:space="preserve">5215 WEST CEDAR LANE </t>
  </si>
  <si>
    <t>BETHESDA</t>
  </si>
  <si>
    <t>301-987-5500</t>
  </si>
  <si>
    <t>LEAN FEAST-WILLOW GLEN</t>
  </si>
  <si>
    <t xml:space="preserve">1597 MERIDIAN AVENUE </t>
  </si>
  <si>
    <t>408-960-8717</t>
  </si>
  <si>
    <t>GENTLEBROOK</t>
  </si>
  <si>
    <t>GENTLEBROOK HARTVILLE CHURCH OF THE BRETHREN GENTLEWORKS</t>
  </si>
  <si>
    <t xml:space="preserve">353 CRESTMONT AVENUE SW </t>
  </si>
  <si>
    <t>HARTVILLE</t>
  </si>
  <si>
    <t>330-877-9480</t>
  </si>
  <si>
    <t xml:space="preserve">CARESPRING </t>
  </si>
  <si>
    <t>BOONESPRING OF BOONE COUNTY</t>
  </si>
  <si>
    <t xml:space="preserve">10250 US HIGHWAY 42 </t>
  </si>
  <si>
    <t>UNION</t>
  </si>
  <si>
    <t>859-384-1200</t>
  </si>
  <si>
    <t>SYCAMORE SPRING OF MIAMISBURG</t>
  </si>
  <si>
    <t xml:space="preserve">2164 EAST CENTRAL AVENUE </t>
  </si>
  <si>
    <t>513-943-4000</t>
  </si>
  <si>
    <t>BIRCHAVEN</t>
  </si>
  <si>
    <t>BLANCHARD VALLEY REGIONAL HEALTH CENTER</t>
  </si>
  <si>
    <t xml:space="preserve">1709 MEDICAL BLVD </t>
  </si>
  <si>
    <t>FINDLAY</t>
  </si>
  <si>
    <t>419-429-0409</t>
  </si>
  <si>
    <t xml:space="preserve">1776 EAST BROAD STREET </t>
  </si>
  <si>
    <t>440-717-1500</t>
  </si>
  <si>
    <t>Holiday Inn Express Carmel</t>
  </si>
  <si>
    <t xml:space="preserve">15131 Thatcher Lane </t>
  </si>
  <si>
    <t>Carmel</t>
  </si>
  <si>
    <t>Hamid Saidat</t>
  </si>
  <si>
    <t>+ (317) 575-0000</t>
  </si>
  <si>
    <t>Amba Investments LLC</t>
  </si>
  <si>
    <t>Home2 Suites Liberty</t>
  </si>
  <si>
    <t xml:space="preserve">401 North State Route 291 </t>
  </si>
  <si>
    <t>Liberty</t>
  </si>
  <si>
    <t>Jay Patel</t>
  </si>
  <si>
    <t>Ray Patel</t>
  </si>
  <si>
    <t>+1 (816) 429-8646</t>
  </si>
  <si>
    <t>The Fifth Avenue Hotel</t>
  </si>
  <si>
    <t xml:space="preserve">250 Fifth Avenue </t>
  </si>
  <si>
    <t>Tracy Kass</t>
  </si>
  <si>
    <t>Star Lodging LLC</t>
  </si>
  <si>
    <t>Sleep Inn &amp; Suites Yukon</t>
  </si>
  <si>
    <t xml:space="preserve">12520 NW 10 th St </t>
  </si>
  <si>
    <t>SakinA Uddin</t>
  </si>
  <si>
    <t>+()1 405 265-4945</t>
  </si>
  <si>
    <t>Sky Hospitality Inc.</t>
  </si>
  <si>
    <t>Fairfield Inn &amp; Suites Oklahoma City El Reno</t>
  </si>
  <si>
    <t xml:space="preserve">1501 Domino Drive </t>
  </si>
  <si>
    <t>El Reno</t>
  </si>
  <si>
    <t>April Prather</t>
  </si>
  <si>
    <t>+1 (405)295-1811</t>
  </si>
  <si>
    <t>PLYMOUTH PLACE</t>
  </si>
  <si>
    <t xml:space="preserve">315 N LAGRANGE ROAD </t>
  </si>
  <si>
    <t>LA GRANGE PARK</t>
  </si>
  <si>
    <t>708-354-0340</t>
  </si>
  <si>
    <t>ANG Monahans Hospitality LLC</t>
  </si>
  <si>
    <t>Fairfield Inn &amp; Suites Monahans</t>
  </si>
  <si>
    <t xml:space="preserve">1517 South Stuart Street </t>
  </si>
  <si>
    <t>Monahans</t>
  </si>
  <si>
    <t>Danny Gandhi</t>
  </si>
  <si>
    <t>+()1 432-251-0097</t>
  </si>
  <si>
    <t>HACO-HIGHLAND MEADOWS HEALTH AND REHAB</t>
  </si>
  <si>
    <t xml:space="preserve">1870 S JOHN KING BLVD </t>
  </si>
  <si>
    <t>972-722-7408</t>
  </si>
  <si>
    <t>Mountain Standard Group LLC</t>
  </si>
  <si>
    <t>Jackson Hole Lodge</t>
  </si>
  <si>
    <t xml:space="preserve">420 West Broadway </t>
  </si>
  <si>
    <t>Londe Gagnon</t>
  </si>
  <si>
    <t>+ (307) 733-2992</t>
  </si>
  <si>
    <t>Vesta Hospitality LLC</t>
  </si>
  <si>
    <t>Hyatt Place Denver Westminster</t>
  </si>
  <si>
    <t xml:space="preserve">6865 West 103rd Ave </t>
  </si>
  <si>
    <t>Westminster</t>
  </si>
  <si>
    <t>James Ancona</t>
  </si>
  <si>
    <t>+(303)464-1997</t>
  </si>
  <si>
    <t>AASHA LLC</t>
  </si>
  <si>
    <t>Red Roof Inn Binghamton North</t>
  </si>
  <si>
    <t xml:space="preserve">650 Old Front Street </t>
  </si>
  <si>
    <t>Binghamton</t>
  </si>
  <si>
    <t>+1 (607) 773-8111</t>
  </si>
  <si>
    <t>Distrikt Hotel Pittsburgh</t>
  </si>
  <si>
    <t xml:space="preserve">453 Boulevard of the Allies </t>
  </si>
  <si>
    <t>Chris Ducay</t>
  </si>
  <si>
    <t>Donato Coluccio</t>
  </si>
  <si>
    <t>+1 (412) 339-1870</t>
  </si>
  <si>
    <t>Holiday Inn San Jose - Silicon Valley</t>
  </si>
  <si>
    <t xml:space="preserve">1350 North First Street </t>
  </si>
  <si>
    <t>Tanya Fleming</t>
  </si>
  <si>
    <t>+1 (408) 453-6200</t>
  </si>
  <si>
    <t>APERION CARE CAPITOL</t>
  </si>
  <si>
    <t xml:space="preserve">555 WEST CARPENTER STREET </t>
  </si>
  <si>
    <t>217-525-1880</t>
  </si>
  <si>
    <t>Mayacama Golf Club LLC</t>
  </si>
  <si>
    <t>Mayacama Golf Club</t>
  </si>
  <si>
    <t xml:space="preserve">1240 Mayacama Club Drive </t>
  </si>
  <si>
    <t>Santa Rosa</t>
  </si>
  <si>
    <t>Geoff Gomes</t>
  </si>
  <si>
    <t>+1 (707) 569-2900</t>
  </si>
  <si>
    <t>AMBROSIO GULLEN TEXAS STATE VA HOME</t>
  </si>
  <si>
    <t xml:space="preserve">9650 KENWORTH STREET </t>
  </si>
  <si>
    <t>915-751-0967</t>
  </si>
  <si>
    <t>Holiday Inn Cookeville</t>
  </si>
  <si>
    <t xml:space="preserve">1091 South Willow Avenue </t>
  </si>
  <si>
    <t>Cookeville</t>
  </si>
  <si>
    <t>Krystle Williams</t>
  </si>
  <si>
    <t>Alexis Sullivan</t>
  </si>
  <si>
    <t>+1 (931) 559-4539</t>
  </si>
  <si>
    <t>tommie Austin - 5th and Brazos</t>
  </si>
  <si>
    <t xml:space="preserve">506 Jacinto Boulevard </t>
  </si>
  <si>
    <t>Tommie</t>
  </si>
  <si>
    <t>Thompson Austin</t>
  </si>
  <si>
    <t>Eugene Mardell</t>
  </si>
  <si>
    <t>+(737) 787-1234</t>
  </si>
  <si>
    <t>SpringHill Suites Los Angeles Downey</t>
  </si>
  <si>
    <t xml:space="preserve">9066 Firestone Boulevard </t>
  </si>
  <si>
    <t>Downey</t>
  </si>
  <si>
    <t>Yuni Hunter</t>
  </si>
  <si>
    <t>Dimension Development Two LLC.</t>
  </si>
  <si>
    <t>Springhill Suites Atlanta Northwest</t>
  </si>
  <si>
    <t xml:space="preserve">230 Interstate North Parkway </t>
  </si>
  <si>
    <t>Daniel Heagney</t>
  </si>
  <si>
    <t>+1 (770) 989-6888</t>
  </si>
  <si>
    <t>Benchmark Global Hospitality</t>
  </si>
  <si>
    <t>ETC Venues NYC 601 Lexington Ave</t>
  </si>
  <si>
    <t xml:space="preserve">601 Lexington Avenue </t>
  </si>
  <si>
    <t>Dominic James</t>
  </si>
  <si>
    <t>Trevor Barnard</t>
  </si>
  <si>
    <t>Margaritaville Lake Conroe</t>
  </si>
  <si>
    <t xml:space="preserve">600 La Torretta Boulevard </t>
  </si>
  <si>
    <t>Lisa Fasbender</t>
  </si>
  <si>
    <t>Mike Driskill</t>
  </si>
  <si>
    <t>+(936)448-4400</t>
  </si>
  <si>
    <t>The Forest Suites Resort</t>
  </si>
  <si>
    <t xml:space="preserve">One Lake Parkway </t>
  </si>
  <si>
    <t>SOUTH LAKE TAHOE</t>
  </si>
  <si>
    <t>EXTERNAL</t>
  </si>
  <si>
    <t>Jerry Bindel</t>
  </si>
  <si>
    <t>Alesha Newman</t>
  </si>
  <si>
    <t>+1 (530) 541-6655</t>
  </si>
  <si>
    <t>Verizon Basking Ridge</t>
  </si>
  <si>
    <t xml:space="preserve">300 North Maple Ave </t>
  </si>
  <si>
    <t>Michael Taylor</t>
  </si>
  <si>
    <t>Barbara Minch</t>
  </si>
  <si>
    <t>+1 (908) 953-3000</t>
  </si>
  <si>
    <t>ETC Venues NYC 360 Madison</t>
  </si>
  <si>
    <t xml:space="preserve">360 Madison Avenue </t>
  </si>
  <si>
    <t>Garrett Ronan</t>
  </si>
  <si>
    <t>ROCKPORT HEALTHCARE SERVICES</t>
  </si>
  <si>
    <t>TULARE NURSING AND REHAB CENTER</t>
  </si>
  <si>
    <t xml:space="preserve">680 E MERRITT AVE </t>
  </si>
  <si>
    <t>TULARE</t>
  </si>
  <si>
    <t>559-686-8581</t>
  </si>
  <si>
    <t>Hilton Cincinnati Netherland Plaza</t>
  </si>
  <si>
    <t xml:space="preserve">35 W 5TH ST </t>
  </si>
  <si>
    <t>Cincinnati</t>
  </si>
  <si>
    <t>Matt Lunkenheimer</t>
  </si>
  <si>
    <t>Jeff Ferreira</t>
  </si>
  <si>
    <t>+ (513) 421-9100</t>
  </si>
  <si>
    <t>OMS Rea Farms LLC</t>
  </si>
  <si>
    <t>Hyatt House Charlotte - Rea Farms</t>
  </si>
  <si>
    <t xml:space="preserve">9930 Sandy Rock Place </t>
  </si>
  <si>
    <t>Ankush Anandani</t>
  </si>
  <si>
    <t>Chris Kontos</t>
  </si>
  <si>
    <t>+(980)339-4900</t>
  </si>
  <si>
    <t>APERION CARE ST ELMO</t>
  </si>
  <si>
    <t xml:space="preserve">221 EAST CUMBERLAND ROAD </t>
  </si>
  <si>
    <t>ST ELMO</t>
  </si>
  <si>
    <t>618-829-5551</t>
  </si>
  <si>
    <t>Westmont Hospitality Group Inc.</t>
  </si>
  <si>
    <t>Hyatt Regency Denver Tech Center</t>
  </si>
  <si>
    <t xml:space="preserve">7800 East Tufts Ave </t>
  </si>
  <si>
    <t>Matt Anderson</t>
  </si>
  <si>
    <t>Atakan Yagci</t>
  </si>
  <si>
    <t>+1 (303) 779-1234</t>
  </si>
  <si>
    <t>Hawks Cay Resort</t>
  </si>
  <si>
    <t xml:space="preserve">61 Hawks Cay Boulevard </t>
  </si>
  <si>
    <t>Duck Key</t>
  </si>
  <si>
    <t>Sheldon Suga</t>
  </si>
  <si>
    <t>+1 (305) 743-7000</t>
  </si>
  <si>
    <t>The Equinox Resort &amp; Spa</t>
  </si>
  <si>
    <t>3567 Main Street P.O. Box 46</t>
  </si>
  <si>
    <t>Manchester Village</t>
  </si>
  <si>
    <t>Jay Sheldon</t>
  </si>
  <si>
    <t>Jen Young</t>
  </si>
  <si>
    <t>+1 (802) 362-4700</t>
  </si>
  <si>
    <t>Villas of Grand Cypress</t>
  </si>
  <si>
    <t xml:space="preserve">1 North Jacaranda Street </t>
  </si>
  <si>
    <t>Mark Cox</t>
  </si>
  <si>
    <t>+1 (407) 239-4700</t>
  </si>
  <si>
    <t>Garden of The Gods Club &amp; Resort</t>
  </si>
  <si>
    <t xml:space="preserve">3320 Mesa Road </t>
  </si>
  <si>
    <t>Judy Mackey</t>
  </si>
  <si>
    <t>Nick Lachman</t>
  </si>
  <si>
    <t>+1 (719) 632-5541</t>
  </si>
  <si>
    <t>Hotel Felix</t>
  </si>
  <si>
    <t xml:space="preserve">111 West Huron Street </t>
  </si>
  <si>
    <t>George Jordan</t>
  </si>
  <si>
    <t>Todd Van Winkle</t>
  </si>
  <si>
    <t>+1 (312) 447-3440</t>
  </si>
  <si>
    <t>Hotel Cass - Holiday Inn Express Magnificent Mile</t>
  </si>
  <si>
    <t xml:space="preserve">640 North Wabash </t>
  </si>
  <si>
    <t>Jackie Wilson</t>
  </si>
  <si>
    <t>+1 (312) 787-4030</t>
  </si>
  <si>
    <t>Holiday Inn Express Honolulu Waikiki</t>
  </si>
  <si>
    <t xml:space="preserve">2058 Kuhio Avenue </t>
  </si>
  <si>
    <t>Honolulu</t>
  </si>
  <si>
    <t>Jernell Mendonca</t>
  </si>
  <si>
    <t>John Quijano</t>
  </si>
  <si>
    <t>+1 (808) 947-2828</t>
  </si>
  <si>
    <t>Piazza Hotel Management LLC</t>
  </si>
  <si>
    <t>Hotel San Luis Obispo</t>
  </si>
  <si>
    <t xml:space="preserve">877 Palm Street </t>
  </si>
  <si>
    <t>David Smith</t>
  </si>
  <si>
    <t>+()805 235 0700</t>
  </si>
  <si>
    <t>Omaha Hotel</t>
  </si>
  <si>
    <t xml:space="preserve">655 North 108th Avenue </t>
  </si>
  <si>
    <t>+1 (402) 496-0850</t>
  </si>
  <si>
    <t>Clover Hotel Group LLC</t>
  </si>
  <si>
    <t>Fairfield Inn &amp; Suites Savannah Southwest Richmond Hill</t>
  </si>
  <si>
    <t xml:space="preserve">4634 Highway 17 </t>
  </si>
  <si>
    <t>Richmond Hill</t>
  </si>
  <si>
    <t>Sean Harris</t>
  </si>
  <si>
    <t>+1 (678) 593-0143</t>
  </si>
  <si>
    <t>Vision Hotel Group Corp.</t>
  </si>
  <si>
    <t>Quality Inn Bedford</t>
  </si>
  <si>
    <t xml:space="preserve">911 Constitution Ave </t>
  </si>
  <si>
    <t>Bedford</t>
  </si>
  <si>
    <t>+(812) 279-8111</t>
  </si>
  <si>
    <t>The Virginian Suites</t>
  </si>
  <si>
    <t xml:space="preserve">1500 Arlington Boulevard </t>
  </si>
  <si>
    <t>ARLINGTON</t>
  </si>
  <si>
    <t>Kamal Ahmed</t>
  </si>
  <si>
    <t>Accounts Payable</t>
  </si>
  <si>
    <t>+1 (703) 522-9600</t>
  </si>
  <si>
    <t>Baymont by Wyndham Macon I-75</t>
  </si>
  <si>
    <t xml:space="preserve">104 North Holiday Drive </t>
  </si>
  <si>
    <t>Amar Patel</t>
  </si>
  <si>
    <t>+1 (478) 474-4989</t>
  </si>
  <si>
    <t>Days Inn by Wyndham Macon I-75 North</t>
  </si>
  <si>
    <t xml:space="preserve">3950 River Place Drive </t>
  </si>
  <si>
    <t>Alberigo Hotel Management</t>
  </si>
  <si>
    <t>Springhill Suites Houston Westchase</t>
  </si>
  <si>
    <t xml:space="preserve">5851 Rogerdale Road </t>
  </si>
  <si>
    <t>Chung Hung</t>
  </si>
  <si>
    <t>+1 (832) 300 - 0200</t>
  </si>
  <si>
    <t>McNeill Investment Company</t>
  </si>
  <si>
    <t>Courtyard Manhattan</t>
  </si>
  <si>
    <t xml:space="preserve">715 North 12th Street </t>
  </si>
  <si>
    <t xml:space="preserve">Tyler Stevens </t>
  </si>
  <si>
    <t>+1 (785) 587-1972</t>
  </si>
  <si>
    <t>Residence Inn Jacksonville Downtown</t>
  </si>
  <si>
    <t xml:space="preserve">357 Oak Street </t>
  </si>
  <si>
    <t>Susan Hagen</t>
  </si>
  <si>
    <t>+(904)580-5455</t>
  </si>
  <si>
    <t>Hilton Garden Inn Jacksonville Ponte Vedra</t>
  </si>
  <si>
    <t xml:space="preserve">45 TPC Boulevard </t>
  </si>
  <si>
    <t>Ponte Vedra beach</t>
  </si>
  <si>
    <t>Wayne Cannon</t>
  </si>
  <si>
    <t>+1 (904) 280-1661</t>
  </si>
  <si>
    <t>Walker Reynolds LLC</t>
  </si>
  <si>
    <t>Residence Inn Charleston North - Ashley Phosphate</t>
  </si>
  <si>
    <t xml:space="preserve">7457 Northside Drive </t>
  </si>
  <si>
    <t>North Charleston</t>
  </si>
  <si>
    <t>Carla Reynolds</t>
  </si>
  <si>
    <t>+1(843) 300-3636</t>
  </si>
  <si>
    <t>Home2 Suites Evansville</t>
  </si>
  <si>
    <t xml:space="preserve">7901 East Walnut Street </t>
  </si>
  <si>
    <t>Evansville</t>
  </si>
  <si>
    <t>Noah Racshe</t>
  </si>
  <si>
    <t>+1 (812) 303-1200</t>
  </si>
  <si>
    <t>Carmel Hotel Enterprises Inc</t>
  </si>
  <si>
    <t>Carmel Hotel</t>
  </si>
  <si>
    <t xml:space="preserve">201 Broadway Street </t>
  </si>
  <si>
    <t>Erik Burkhart</t>
  </si>
  <si>
    <t>+(310)451-2469</t>
  </si>
  <si>
    <t>PARK PLACE HEALTHCARE AND REHAB</t>
  </si>
  <si>
    <t xml:space="preserve">1530 NE GRAND BLVD </t>
  </si>
  <si>
    <t>405-768-1155</t>
  </si>
  <si>
    <t>ALLURE HEALTHCARE SERVICES</t>
  </si>
  <si>
    <t>SERENITY OF LAKE STOREY</t>
  </si>
  <si>
    <t xml:space="preserve">1250 WEST CARL SANDBURG DR </t>
  </si>
  <si>
    <t>GALESBURG</t>
  </si>
  <si>
    <t>309-344-5400</t>
  </si>
  <si>
    <t>Calistoga Ranch</t>
  </si>
  <si>
    <t xml:space="preserve">580 Lommel Road </t>
  </si>
  <si>
    <t>Avi Haksar</t>
  </si>
  <si>
    <t>+1 (707) 254-2800</t>
  </si>
  <si>
    <t>Stanton Ridge Golf &amp; Country Club</t>
  </si>
  <si>
    <t xml:space="preserve">25 Club House Drive </t>
  </si>
  <si>
    <t>Whitehouse Station</t>
  </si>
  <si>
    <t>Chris Carpenter</t>
  </si>
  <si>
    <t>+1 (908) 534-1234</t>
  </si>
  <si>
    <t>Hampton Inn Steele Creek</t>
  </si>
  <si>
    <t xml:space="preserve">6220 Caden Road </t>
  </si>
  <si>
    <t>Gary Colbert</t>
  </si>
  <si>
    <t>+1 (704) 919-1800</t>
  </si>
  <si>
    <t>Tru Garland Richardson</t>
  </si>
  <si>
    <t xml:space="preserve">5055 North President George Bush Highway </t>
  </si>
  <si>
    <t>Crystal Jaramillo</t>
  </si>
  <si>
    <t>+1 (972) 272-0745</t>
  </si>
  <si>
    <t>WIND RIVER RANCH</t>
  </si>
  <si>
    <t xml:space="preserve">5770 HIGHWAY 7 </t>
  </si>
  <si>
    <t>970-586-4212</t>
  </si>
  <si>
    <t>MAGNOLIA CREEK NURSING AND REHAB</t>
  </si>
  <si>
    <t xml:space="preserve">1992 HIGHWAY 51 SOUTH </t>
  </si>
  <si>
    <t>COVINGTON</t>
  </si>
  <si>
    <t>901-476-1820</t>
  </si>
  <si>
    <t>ORCHID COVE AT GULFSIDE</t>
  </si>
  <si>
    <t xml:space="preserve">1100 PINE STREET </t>
  </si>
  <si>
    <t>727-442-7106</t>
  </si>
  <si>
    <t>ORCHID COVE AT DADE CITY</t>
  </si>
  <si>
    <t xml:space="preserve">37135 COLEMAN AVENUE </t>
  </si>
  <si>
    <t>352-567-8615</t>
  </si>
  <si>
    <t>ORCHID COVE AT CLEARWATER</t>
  </si>
  <si>
    <t xml:space="preserve">1980 SUNSET POINT ROAD </t>
  </si>
  <si>
    <t>727-443-1588</t>
  </si>
  <si>
    <t>COUNTRYSIDE CENTER FOR REHAB AND NURSING</t>
  </si>
  <si>
    <t xml:space="preserve">47 MARGO AVENUE </t>
  </si>
  <si>
    <t>BARDWELL</t>
  </si>
  <si>
    <t>270-638-5424</t>
  </si>
  <si>
    <t>ORCHID COVE AT LONGWOOD</t>
  </si>
  <si>
    <t xml:space="preserve">1520 SOUTH GRANT STREET </t>
  </si>
  <si>
    <t>LONGWOOD</t>
  </si>
  <si>
    <t>407-339-9200</t>
  </si>
  <si>
    <t>ORCHID COVE AT SARASOTA</t>
  </si>
  <si>
    <t xml:space="preserve">4602 NORTHGATE COURT </t>
  </si>
  <si>
    <t>941-355-2913</t>
  </si>
  <si>
    <t>ORCHID COVE AT ROCKLEDGE</t>
  </si>
  <si>
    <t xml:space="preserve">1775 HUNTINGTON LANE </t>
  </si>
  <si>
    <t>ROCKLEDGE</t>
  </si>
  <si>
    <t>321-632-7341</t>
  </si>
  <si>
    <t>ROYAL PALM BEACH HEALTH AND REHAB</t>
  </si>
  <si>
    <t xml:space="preserve">600 BUSINESS PARKWAY </t>
  </si>
  <si>
    <t>ROYAL PALM BEACH</t>
  </si>
  <si>
    <t>561-478-9900</t>
  </si>
  <si>
    <t>ORCHID COVE AT PALM HARBOR</t>
  </si>
  <si>
    <t xml:space="preserve">2600 HIGHLANDS BLVD NORTH </t>
  </si>
  <si>
    <t>PALM HARBOR</t>
  </si>
  <si>
    <t>727-785-5671</t>
  </si>
  <si>
    <t>COASTAL HEALTH AND REHAB CENTER</t>
  </si>
  <si>
    <t xml:space="preserve">820 NORTH CLLYDE MORRIS BLVD </t>
  </si>
  <si>
    <t>386-274-4575</t>
  </si>
  <si>
    <t>BALANCED HEALTHCARE</t>
  </si>
  <si>
    <t xml:space="preserve">4250 66TH STREET NORTH </t>
  </si>
  <si>
    <t>727-546-2405</t>
  </si>
  <si>
    <t>BRYNWOOD HEALTH AND REHAB CENTER</t>
  </si>
  <si>
    <t xml:space="preserve">1656 SOUTH JEFFERSON STREET </t>
  </si>
  <si>
    <t>850-875-3711</t>
  </si>
  <si>
    <t>BOYNTON BEACH HEALTH CARE CENTER</t>
  </si>
  <si>
    <t xml:space="preserve">2815 SOUTH SEACREST BLVD </t>
  </si>
  <si>
    <t>BOYNTON BEACH</t>
  </si>
  <si>
    <t>561-737-7733</t>
  </si>
  <si>
    <t>GREEN ACRES HEALTHCARE</t>
  </si>
  <si>
    <t xml:space="preserve">402 W FARTHING STREET </t>
  </si>
  <si>
    <t>270-247-6477</t>
  </si>
  <si>
    <t>ORCHID COVE AT OLDSMAR</t>
  </si>
  <si>
    <t xml:space="preserve">3865 TAMPA ROAD </t>
  </si>
  <si>
    <t>OLDSMAR</t>
  </si>
  <si>
    <t>813-855-4661</t>
  </si>
  <si>
    <t>GAINSVILLE HEALTH AND REHAB CENTER</t>
  </si>
  <si>
    <t xml:space="preserve">4000 SW 20TH AVENUE </t>
  </si>
  <si>
    <t>GAINSVILLE</t>
  </si>
  <si>
    <t>352-377-1981</t>
  </si>
  <si>
    <t>SEASIDE HEALTH AND REHAB CENTER</t>
  </si>
  <si>
    <t xml:space="preserve">324 WILDER BLVD </t>
  </si>
  <si>
    <t>386-252-2600</t>
  </si>
  <si>
    <t>PARKSIDE HEALTH AND REHAB CENTER</t>
  </si>
  <si>
    <t xml:space="preserve">451 SOUTH AMELIA AVENUE </t>
  </si>
  <si>
    <t>386-734-8614</t>
  </si>
  <si>
    <t>EDGEWOOD HEALTH AND REHAB</t>
  </si>
  <si>
    <t xml:space="preserve">55378 WILBUR ROAD </t>
  </si>
  <si>
    <t>THREE RIVERS</t>
  </si>
  <si>
    <t>269-279-7441</t>
  </si>
  <si>
    <t>MADISONVILLE HEALTH AND REHAB</t>
  </si>
  <si>
    <t xml:space="preserve">419 NORTH SEMINARY STREET </t>
  </si>
  <si>
    <t>270-821-5564</t>
  </si>
  <si>
    <t>WINTER PARK CARE AND REHAB CENTER</t>
  </si>
  <si>
    <t xml:space="preserve">2970 SCARLET ROAD </t>
  </si>
  <si>
    <t>WINTER PARK</t>
  </si>
  <si>
    <t>407-671-8030</t>
  </si>
  <si>
    <t>ANCHOR CARE AND REHAB CENTER</t>
  </si>
  <si>
    <t xml:space="preserve">1515 PORT MALABAR BLVD NE </t>
  </si>
  <si>
    <t>321-723-1235</t>
  </si>
  <si>
    <t>KINNIC HEALTH AND REHAB</t>
  </si>
  <si>
    <t xml:space="preserve">1663 EAST DIVISION STREET </t>
  </si>
  <si>
    <t>RIVER FALLS</t>
  </si>
  <si>
    <t>715-426-6000</t>
  </si>
  <si>
    <t>FAIRPARK HEALTH AND REHAB</t>
  </si>
  <si>
    <t xml:space="preserve">307 NORTH FIFTH STREET </t>
  </si>
  <si>
    <t>865-983-0261</t>
  </si>
  <si>
    <t>MILLS NURSING AND REHAB</t>
  </si>
  <si>
    <t xml:space="preserve">500 BECK LANE </t>
  </si>
  <si>
    <t>270-247-0200</t>
  </si>
  <si>
    <t>FAIR OAKS HEALTH AND REHAB</t>
  </si>
  <si>
    <t xml:space="preserve">1 SPARKS AVENUE </t>
  </si>
  <si>
    <t>JAMESTOWN</t>
  </si>
  <si>
    <t>270-343-2101</t>
  </si>
  <si>
    <t>BRADFORD HEIGHTS NURSING AND REHAB</t>
  </si>
  <si>
    <t xml:space="preserve">950 HIGHPOINT DRIVE </t>
  </si>
  <si>
    <t>270-885-1151</t>
  </si>
  <si>
    <t>RIVERIDGE REHAB AND HEALTHCARE CENTER</t>
  </si>
  <si>
    <t xml:space="preserve">1333 WELLS STREET </t>
  </si>
  <si>
    <t>269-684-1111</t>
  </si>
  <si>
    <t>FLAGLER HEALTH AND REHAB CENTER</t>
  </si>
  <si>
    <t xml:space="preserve">300 DRIVE CARTER BLVD </t>
  </si>
  <si>
    <t>BUNNELL</t>
  </si>
  <si>
    <t>386-437-4168</t>
  </si>
  <si>
    <t>ORCHID COVE AT VENICE</t>
  </si>
  <si>
    <t xml:space="preserve">1240 PINEBROOK ROAD </t>
  </si>
  <si>
    <t>941-488-6733</t>
  </si>
  <si>
    <t>ORCHID COVE AT NAPLES</t>
  </si>
  <si>
    <t xml:space="preserve">2900 12TH STREET NORTH </t>
  </si>
  <si>
    <t>239-261-2554</t>
  </si>
  <si>
    <t>ARBOR SPRINGS HEALTH AND REHAB CENTER</t>
  </si>
  <si>
    <t xml:space="preserve">1501 SE 24TH ROAD </t>
  </si>
  <si>
    <t>334-749-1471</t>
  </si>
  <si>
    <t>MAPLE HEALTH AND REHAB</t>
  </si>
  <si>
    <t xml:space="preserve">515 GREEN DRIVE </t>
  </si>
  <si>
    <t>270-338-5400</t>
  </si>
  <si>
    <t xml:space="preserve">7900 VENTURE CENTER WAY </t>
  </si>
  <si>
    <t>561-736-6000</t>
  </si>
  <si>
    <t>BEDFORD SPRINGS HEALTH AND REHAB</t>
  </si>
  <si>
    <t xml:space="preserve">50 SHEPHERD LANE </t>
  </si>
  <si>
    <t>502-255-3244</t>
  </si>
  <si>
    <t>THE PALACE HEALTHCARE AND REHAB CENTER</t>
  </si>
  <si>
    <t xml:space="preserve">309 MAIN STREET </t>
  </si>
  <si>
    <t>RED BOILING SPRINGS</t>
  </si>
  <si>
    <t>615-699-2238</t>
  </si>
  <si>
    <t>PRINCETON NURSING AND REHAB</t>
  </si>
  <si>
    <t xml:space="preserve">1333 WEST MAIN STREET </t>
  </si>
  <si>
    <t>270-365-3541</t>
  </si>
  <si>
    <t>ORCHID COVE AT STUART</t>
  </si>
  <si>
    <t xml:space="preserve">4801 SE COVE ROAD </t>
  </si>
  <si>
    <t>FM</t>
  </si>
  <si>
    <t>772-286-9440</t>
  </si>
  <si>
    <t>ORCHID COVE AT LABELLE</t>
  </si>
  <si>
    <t xml:space="preserve">250 BROWARD AVENUE </t>
  </si>
  <si>
    <t>LABELLE</t>
  </si>
  <si>
    <t>863-675-1440</t>
  </si>
  <si>
    <t>RIVERCHASE HEALTH AND REHAB CENTER</t>
  </si>
  <si>
    <t xml:space="preserve">1017 STRONG ROAD </t>
  </si>
  <si>
    <t>CREEKVIEW HEALTH AND REHAB</t>
  </si>
  <si>
    <t xml:space="preserve">3300 NORTH BROADWAY </t>
  </si>
  <si>
    <t>865-689-2052</t>
  </si>
  <si>
    <t>SPRING VIEW NURSING AND REHAB</t>
  </si>
  <si>
    <t xml:space="preserve">718 GOODWIN ROAD </t>
  </si>
  <si>
    <t>LEITCHFIELD</t>
  </si>
  <si>
    <t>270-259-4036</t>
  </si>
  <si>
    <t>SODDY DAISY HEALTH CARE CENTER</t>
  </si>
  <si>
    <t xml:space="preserve">701 SEQUOYAH ROAD </t>
  </si>
  <si>
    <t>SODDY DAISY</t>
  </si>
  <si>
    <t>423-332-0060</t>
  </si>
  <si>
    <t>MAYFIELD HEALTH AND REHAB</t>
  </si>
  <si>
    <t xml:space="preserve">401 INDIANA AVENUE </t>
  </si>
  <si>
    <t>RIVER GROVE HEALTH AND REHAB</t>
  </si>
  <si>
    <t xml:space="preserve">1520 GROVE STREET </t>
  </si>
  <si>
    <t>LOUDON</t>
  </si>
  <si>
    <t>865-458-5436</t>
  </si>
  <si>
    <t>COLLIERVILLE NURSING AND REHAB</t>
  </si>
  <si>
    <t xml:space="preserve">490 WEST POPLAR AVENUE </t>
  </si>
  <si>
    <t>COLLERVILLE</t>
  </si>
  <si>
    <t>901-854-8506</t>
  </si>
  <si>
    <t>SMITH COUNTY HEALTH AND REHAB</t>
  </si>
  <si>
    <t xml:space="preserve">112 HEALTHCARE DRIVE </t>
  </si>
  <si>
    <t>CARTHAGE</t>
  </si>
  <si>
    <t>615-735-0569</t>
  </si>
  <si>
    <t>FOOTHILLS TRANSITIONAL CARE AND REHAB</t>
  </si>
  <si>
    <t xml:space="preserve">1012 JAMESTOWN WAY </t>
  </si>
  <si>
    <t>865-984-7400</t>
  </si>
  <si>
    <t>ORCHID COVE AT NEW PORT RICHEY</t>
  </si>
  <si>
    <t xml:space="preserve">4927 VOORHEES ROAD </t>
  </si>
  <si>
    <t>727-848-3578</t>
  </si>
  <si>
    <t>WILLOW BRANCH HEALTH AND REHAB CENTER</t>
  </si>
  <si>
    <t xml:space="preserve">415 PACE STREET </t>
  </si>
  <si>
    <t>MCMINNVILLE</t>
  </si>
  <si>
    <t>931-668-2011</t>
  </si>
  <si>
    <t>DOUGLAS COVE HEALTH AND REHAB</t>
  </si>
  <si>
    <t xml:space="preserve">243 WILEY ROAD </t>
  </si>
  <si>
    <t>DOUGLAS</t>
  </si>
  <si>
    <t>269-857-2141</t>
  </si>
  <si>
    <t>CREEKWOOD PLACE NURSING AND REHAB</t>
  </si>
  <si>
    <t xml:space="preserve">107 BOYLES DRIVE </t>
  </si>
  <si>
    <t>RUSSELLVILLE</t>
  </si>
  <si>
    <t>270-726-9049</t>
  </si>
  <si>
    <t>ORCHID COVE AT KISSIMMEE</t>
  </si>
  <si>
    <t xml:space="preserve">320 NORTH MITCHELL STREET </t>
  </si>
  <si>
    <t>407-847-7200</t>
  </si>
  <si>
    <t>DEBARY HEALTH AND REHAB CENTER</t>
  </si>
  <si>
    <t xml:space="preserve">60 NORTH HIGHWAY 17-92 </t>
  </si>
  <si>
    <t>DEBARY</t>
  </si>
  <si>
    <t>386-668-4426</t>
  </si>
  <si>
    <t>ORCHID COVE AT LAKE PLACID</t>
  </si>
  <si>
    <t xml:space="preserve">125 TOMOKA BLVD </t>
  </si>
  <si>
    <t>LAKE PLACID</t>
  </si>
  <si>
    <t>863-465-7200</t>
  </si>
  <si>
    <t>ORCHID COVE AT GAINESVILLE</t>
  </si>
  <si>
    <t>WINDSOR HEALTH AND REHAB CENTER</t>
  </si>
  <si>
    <t xml:space="preserve">602 EAST LAURA STREET </t>
  </si>
  <si>
    <t>STARKE</t>
  </si>
  <si>
    <t>904-964-3383</t>
  </si>
  <si>
    <t>THE BLOSSOMS AT STAMPS REHAB &amp; NURSING CENTER</t>
  </si>
  <si>
    <t xml:space="preserve">826 NORTH STREET </t>
  </si>
  <si>
    <t>STAMPS</t>
  </si>
  <si>
    <t>870-533-4444</t>
  </si>
  <si>
    <t xml:space="preserve">THE BLOSSOMS AT MOUNTAIN VIEW ASSISED LIVING </t>
  </si>
  <si>
    <t xml:space="preserve">414 MASSEY AVENUE </t>
  </si>
  <si>
    <t>MOUNTAIN VIEW</t>
  </si>
  <si>
    <t>870-269-6303</t>
  </si>
  <si>
    <t>THE BLOSSOMS AT ROGERS REHAB AND NURSING CENTER</t>
  </si>
  <si>
    <t xml:space="preserve">1513 SOUTH DIXELAND ROAD </t>
  </si>
  <si>
    <t>ROGERS</t>
  </si>
  <si>
    <t>479-636-5841</t>
  </si>
  <si>
    <t>THE BLOSSOMS AT WEST DIXON ASSISTED LIVING</t>
  </si>
  <si>
    <t xml:space="preserve">2821 WEST DIXON ROAD </t>
  </si>
  <si>
    <t>501-888-4080</t>
  </si>
  <si>
    <t>THE WATERS OF WOODLAND HILLS LLC</t>
  </si>
  <si>
    <t xml:space="preserve">8701 RILEY DRIVE </t>
  </si>
  <si>
    <t>501-224-2700</t>
  </si>
  <si>
    <t>THE BLOSSOMS AT MIDTOWN REHAB AND NURSING CENTER</t>
  </si>
  <si>
    <t xml:space="preserve">5720 WEST MARKHAM STREET </t>
  </si>
  <si>
    <t>501-664-6200</t>
  </si>
  <si>
    <t>THE BLOSSOMS AT WEST DIXON REHAB AND NURSING CENTER</t>
  </si>
  <si>
    <t>501-888-4200</t>
  </si>
  <si>
    <t>THE BLOSSOMS AT CUMBERLAND REHAB &amp; NURING CENTER</t>
  </si>
  <si>
    <t xml:space="preserve">1516 CUMBERLAND STREET </t>
  </si>
  <si>
    <t>501-374-7565</t>
  </si>
  <si>
    <t>THE BLOSSOMS AT MOUNTAIN VIEW REHAB AND NURSING CENTER</t>
  </si>
  <si>
    <t xml:space="preserve">706 OAK GROVE STREET </t>
  </si>
  <si>
    <t>870-269-5835</t>
  </si>
  <si>
    <t>THE BLOSSOMS AT FORT SMITH REHAB &amp; NURSINGCENTER</t>
  </si>
  <si>
    <t xml:space="preserve">5301 WHEELER AVENUE </t>
  </si>
  <si>
    <t>FORT SMITH</t>
  </si>
  <si>
    <t>479-646-3454</t>
  </si>
  <si>
    <t>THE BLOSSOMS AT NEWPORT REHAB AND NURSING CENTER</t>
  </si>
  <si>
    <t xml:space="preserve">326 LINDLEY LANE </t>
  </si>
  <si>
    <t>NEWPORT</t>
  </si>
  <si>
    <t>870-523-6539</t>
  </si>
  <si>
    <t>LPM HOME HEALTH</t>
  </si>
  <si>
    <t xml:space="preserve">992 NORTH 5TH STREET STE 5 </t>
  </si>
  <si>
    <t>LUCUS</t>
  </si>
  <si>
    <t>785-420-0095</t>
  </si>
  <si>
    <t>ORCHARD MANOR REHAB AND NURSING CENTER</t>
  </si>
  <si>
    <t xml:space="preserve">600 BATES ROAD </t>
  </si>
  <si>
    <t>MEDINA</t>
  </si>
  <si>
    <t>585-798-4100</t>
  </si>
  <si>
    <t>NEW STANDARD SENIOR LIVING AT MILVILLE</t>
  </si>
  <si>
    <t xml:space="preserve">1125 VILLAGE DRIVE </t>
  </si>
  <si>
    <t>MILVILLE</t>
  </si>
  <si>
    <t>732-403-3151</t>
  </si>
  <si>
    <t>HOUGHTON REHAB AND NURSING CENTER</t>
  </si>
  <si>
    <t xml:space="preserve">9876 LUCKEY DRIVE </t>
  </si>
  <si>
    <t>585-267-2207</t>
  </si>
  <si>
    <t>SODUS NURSING HOME</t>
  </si>
  <si>
    <t xml:space="preserve">6884 MAPLE AVENUE </t>
  </si>
  <si>
    <t>SODUS</t>
  </si>
  <si>
    <t>315-483-9118</t>
  </si>
  <si>
    <t>AUBURN NURSING HOME</t>
  </si>
  <si>
    <t xml:space="preserve">85 THORNTON AVENUE </t>
  </si>
  <si>
    <t>IMMANUEL LUTHERAN</t>
  </si>
  <si>
    <t xml:space="preserve">902 CLEVELAND AVENUE </t>
  </si>
  <si>
    <t>217-345-3042</t>
  </si>
  <si>
    <t>EDEN REHAB AND NURSING CENTER</t>
  </si>
  <si>
    <t xml:space="preserve">2806 GEORGE STREET </t>
  </si>
  <si>
    <t>GOWANDA REHAB AND NURSING CENTER</t>
  </si>
  <si>
    <t xml:space="preserve">100 MILLER STREET </t>
  </si>
  <si>
    <t>GOWANDA</t>
  </si>
  <si>
    <t>716-532-5700</t>
  </si>
  <si>
    <t>LINCOLN PARK MANOR</t>
  </si>
  <si>
    <t xml:space="preserve">922 NORTH 5TH STREET </t>
  </si>
  <si>
    <t>785-524-8954</t>
  </si>
  <si>
    <t>SALAMANCE REHAB AND NURSING CENTER</t>
  </si>
  <si>
    <t xml:space="preserve">451 BROAD STREET </t>
  </si>
  <si>
    <t>SALAMANCA</t>
  </si>
  <si>
    <t>716-945-1801</t>
  </si>
  <si>
    <t>SPEARVILLE SENIOR LIVING</t>
  </si>
  <si>
    <t xml:space="preserve">202 PARK STREET </t>
  </si>
  <si>
    <t>SPEARVILLE</t>
  </si>
  <si>
    <t>620-385-2632</t>
  </si>
  <si>
    <t>ALAMO EYE INSTITUTE</t>
  </si>
  <si>
    <t xml:space="preserve">18720 STONE OAK PARKWAY STE 119 </t>
  </si>
  <si>
    <t>210-697-3821</t>
  </si>
  <si>
    <t>FRANKFURT COMMUNITY CARE HOME</t>
  </si>
  <si>
    <t xml:space="preserve">510 WALNUT STREET </t>
  </si>
  <si>
    <t>FRANKFURT</t>
  </si>
  <si>
    <t>FOXDALE</t>
  </si>
  <si>
    <t xml:space="preserve">500 22ND AVENUE NE </t>
  </si>
  <si>
    <t>WASECA</t>
  </si>
  <si>
    <t>DUNKIRK REHAB AND NURSING CENTER</t>
  </si>
  <si>
    <t xml:space="preserve">447 LAKE SHORE DRIVE WEST </t>
  </si>
  <si>
    <t>DUNKIRK</t>
  </si>
  <si>
    <t>DAILY SPORTS GRILL SAN CLEMENTE</t>
  </si>
  <si>
    <t xml:space="preserve">204 SOUTH EL CAMINO REAL </t>
  </si>
  <si>
    <t>SAN CLEMENTE</t>
  </si>
  <si>
    <t>949-522-9010</t>
  </si>
  <si>
    <t>COVINGTON SENIOR LIVING</t>
  </si>
  <si>
    <t>COVINGTON SENIOR LIVING OF FARMINGTON</t>
  </si>
  <si>
    <t xml:space="preserve">400 SOUTH 200 WEST </t>
  </si>
  <si>
    <t>801-592-6193</t>
  </si>
  <si>
    <t>APERION CARE WESTCHESTER</t>
  </si>
  <si>
    <t xml:space="preserve">2901 WOLF ROAD </t>
  </si>
  <si>
    <t>WESTCHESTER</t>
  </si>
  <si>
    <t>847-262-3800</t>
  </si>
  <si>
    <t>Trump Organization</t>
  </si>
  <si>
    <t>Trump International Hotel &amp; Tower Vancouver</t>
  </si>
  <si>
    <t xml:space="preserve">1161 West Georgia Street </t>
  </si>
  <si>
    <t>V6E 3G4</t>
  </si>
  <si>
    <t>Amy Chan</t>
  </si>
  <si>
    <t>+1 (604) 979-8888</t>
  </si>
  <si>
    <t>Grand Hotels Tulum PC S de RL de CV</t>
  </si>
  <si>
    <t>Aloft Tulum</t>
  </si>
  <si>
    <t xml:space="preserve">Av. Coba Mza 05 Lote 01 </t>
  </si>
  <si>
    <t>Chan Chen</t>
  </si>
  <si>
    <t>Sergio Parra</t>
  </si>
  <si>
    <t>Carlos Placido</t>
  </si>
  <si>
    <t>+()52 984 689 0431</t>
  </si>
  <si>
    <t>Servicios Integrales Parimba SA de CV</t>
  </si>
  <si>
    <t>Hyatt Place Aguascalientes - Bonaterra</t>
  </si>
  <si>
    <t xml:space="preserve">José Maria Escrivá de Balaguer 1073 Col. Villas Bonaterra </t>
  </si>
  <si>
    <t>Guadalupe Ibarra</t>
  </si>
  <si>
    <t>Brandon Rodriguez</t>
  </si>
  <si>
    <t>+011(52)449 800 1234</t>
  </si>
  <si>
    <t>The St. Regis Bermuda Resort</t>
  </si>
  <si>
    <t xml:space="preserve">34 Coot Pond Road </t>
  </si>
  <si>
    <t>St George</t>
  </si>
  <si>
    <t>BM</t>
  </si>
  <si>
    <t>Bermuda</t>
  </si>
  <si>
    <t>Pedro Alonso</t>
  </si>
  <si>
    <t>+()1 441-599-5628</t>
  </si>
  <si>
    <t>MT PLEASANT HEALTH AND REHAB</t>
  </si>
  <si>
    <t xml:space="preserve">904 HIDDEN ACRES AVE </t>
  </si>
  <si>
    <t>931-379-5502</t>
  </si>
  <si>
    <t>SpringHill Suites El Paso</t>
  </si>
  <si>
    <t xml:space="preserve">7518 Remcon Circle </t>
  </si>
  <si>
    <t>Damaris Renteria</t>
  </si>
  <si>
    <t>+1 (915) 845-7400</t>
  </si>
  <si>
    <t>Status Hospitality Management</t>
  </si>
  <si>
    <t>SpringHill Suites Ardmore</t>
  </si>
  <si>
    <t xml:space="preserve">2501 Centennial Drive North </t>
  </si>
  <si>
    <t>Richard Logan</t>
  </si>
  <si>
    <t>+1 (580) 226-7100</t>
  </si>
  <si>
    <t>Fairfield Inn &amp; Suites Twentynine Palms-Joshua Tree National Park</t>
  </si>
  <si>
    <t xml:space="preserve">6333 Encelia Avenue </t>
  </si>
  <si>
    <t>Twentynine Palms</t>
  </si>
  <si>
    <t>Leo Graskowiak</t>
  </si>
  <si>
    <t>+1 (760) 361-5000</t>
  </si>
  <si>
    <t>Fairfield Inn &amp; Suites San Antonio Sea World - Westover Hills</t>
  </si>
  <si>
    <t xml:space="preserve">4026 Wiseman Boulevard </t>
  </si>
  <si>
    <t>Crystal Baker</t>
  </si>
  <si>
    <t>+1 (210) 682-6800</t>
  </si>
  <si>
    <t xml:space="preserve">Fairfield Inn &amp; Suites Lafayette South </t>
  </si>
  <si>
    <t xml:space="preserve">1606 West Pinhook Road </t>
  </si>
  <si>
    <t>Carla Savage</t>
  </si>
  <si>
    <t>+1 (337) 233-5558</t>
  </si>
  <si>
    <t>Fairfield Inn &amp; Suites El Paso</t>
  </si>
  <si>
    <t xml:space="preserve">7514 Remcon Circle </t>
  </si>
  <si>
    <t>+1 (915) 845-3100</t>
  </si>
  <si>
    <t xml:space="preserve">Fairfield Inn &amp; Suites Dallas Mansfield </t>
  </si>
  <si>
    <t xml:space="preserve">1480 U.S. Highway 287 North </t>
  </si>
  <si>
    <t>Stasi Whorton</t>
  </si>
  <si>
    <t>+1 (817) 473-2700</t>
  </si>
  <si>
    <t>Courtyard San Antonio Sea World - Westover Hills</t>
  </si>
  <si>
    <t xml:space="preserve">11605 State Highway 151 </t>
  </si>
  <si>
    <t>Chaitan Mugili</t>
  </si>
  <si>
    <t>+1 (210) 509-3700</t>
  </si>
  <si>
    <t>Courtyard Houma</t>
  </si>
  <si>
    <t xml:space="preserve">142 Library Drive </t>
  </si>
  <si>
    <t>Houma</t>
  </si>
  <si>
    <t>Kevin LeBoeuf</t>
  </si>
  <si>
    <t>+1 (985) 223-8996</t>
  </si>
  <si>
    <t>Holiday Inn Express Cotulla</t>
  </si>
  <si>
    <t xml:space="preserve">624 Las Palmas Boulevard </t>
  </si>
  <si>
    <t>Cotulla</t>
  </si>
  <si>
    <t>Kimberly Davis</t>
  </si>
  <si>
    <t>+1 (830) 879-2000</t>
  </si>
  <si>
    <t xml:space="preserve">Hampton Inn &amp; Suites Mansfield </t>
  </si>
  <si>
    <t xml:space="preserve">1640 U.S. Highway 287 North </t>
  </si>
  <si>
    <t xml:space="preserve">Mansfield </t>
  </si>
  <si>
    <t>Heather Delacruz</t>
  </si>
  <si>
    <t>+1 (817) 539-0060</t>
  </si>
  <si>
    <t>Hampton Inn &amp; Suites Palmdale</t>
  </si>
  <si>
    <t xml:space="preserve">39428 Trade Center Drive </t>
  </si>
  <si>
    <t>Palmdale</t>
  </si>
  <si>
    <t>Michelle Marquez</t>
  </si>
  <si>
    <t>+1 (661) 265-7400</t>
  </si>
  <si>
    <t>Hilton Garden Inn Pismo Beach</t>
  </si>
  <si>
    <t xml:space="preserve">601 James Way </t>
  </si>
  <si>
    <t>Gordon Jackson</t>
  </si>
  <si>
    <t>Mark Roemer</t>
  </si>
  <si>
    <t>+1 (805) 773-6020</t>
  </si>
  <si>
    <t>Homewood Suites Lancaster</t>
  </si>
  <si>
    <t xml:space="preserve">2320 Double Play Way </t>
  </si>
  <si>
    <t>+1 (661) 723-8040</t>
  </si>
  <si>
    <t xml:space="preserve">Staybridge Suites Laredo </t>
  </si>
  <si>
    <t xml:space="preserve">7010 Bob Bullock Loop </t>
  </si>
  <si>
    <t>LAREDO</t>
  </si>
  <si>
    <t>Joe Barber</t>
  </si>
  <si>
    <t>+1 (956) 722-0444</t>
  </si>
  <si>
    <t>Staybridge Suites Lubbock</t>
  </si>
  <si>
    <t xml:space="preserve">2515 19th Street </t>
  </si>
  <si>
    <t>Leonard Pena</t>
  </si>
  <si>
    <t>+1 (806) 765-8900</t>
  </si>
  <si>
    <t>Staybridge Suites San Angelo</t>
  </si>
  <si>
    <t xml:space="preserve">1355 Knickerbocker Road </t>
  </si>
  <si>
    <t>Derek Rodriguez</t>
  </si>
  <si>
    <t>+1 (325) 653-1500</t>
  </si>
  <si>
    <t>Southern Tier Hotel LLC</t>
  </si>
  <si>
    <t>Quality Inn &amp; Suites Owego</t>
  </si>
  <si>
    <t xml:space="preserve">1100 NY-17C </t>
  </si>
  <si>
    <t>Owego</t>
  </si>
  <si>
    <t>+(607) 687-4500</t>
  </si>
  <si>
    <t>Holiday Inn Express Owego</t>
  </si>
  <si>
    <t xml:space="preserve">20 Hickories Park Rd </t>
  </si>
  <si>
    <t>+(607)687-9000</t>
  </si>
  <si>
    <t>THC Investors Limited Partnership</t>
  </si>
  <si>
    <t>The Townsend Hotel</t>
  </si>
  <si>
    <t xml:space="preserve">100 Townsend Street </t>
  </si>
  <si>
    <t>Steven Kalczynski</t>
  </si>
  <si>
    <t>Steve Roth</t>
  </si>
  <si>
    <t>+1 (248) 642-7900</t>
  </si>
  <si>
    <t>SCP Hotel Colorado Springs</t>
  </si>
  <si>
    <t xml:space="preserve">2850 South Circle Drive </t>
  </si>
  <si>
    <t>Tioga Hotel LLC</t>
  </si>
  <si>
    <t>Hampton Inn Owego</t>
  </si>
  <si>
    <t xml:space="preserve">1030 NY-17C </t>
  </si>
  <si>
    <t>Nikki Arroyo</t>
  </si>
  <si>
    <t>+1 (607) 689-0329</t>
  </si>
  <si>
    <t>ORCHARD COVE AT DAYTONA</t>
  </si>
  <si>
    <t xml:space="preserve">1001 SOUTH BEACH ST </t>
  </si>
  <si>
    <t>386-258-3334</t>
  </si>
  <si>
    <t>Nexgen Management LLC</t>
  </si>
  <si>
    <t>Residence Inn Laredo Del Mar</t>
  </si>
  <si>
    <t xml:space="preserve">310 Lost Oaks Blvd </t>
  </si>
  <si>
    <t>Sheri Ramos</t>
  </si>
  <si>
    <t>+1 (956) 753-9700</t>
  </si>
  <si>
    <t>Homewood Suites by Hilton Brownsville</t>
  </si>
  <si>
    <t xml:space="preserve">3759 North Expressway </t>
  </si>
  <si>
    <t>Alex Betancourt</t>
  </si>
  <si>
    <t>+1 (956) 574-6900</t>
  </si>
  <si>
    <t>IHP Hospitality Inc.</t>
  </si>
  <si>
    <t>Howard Johnson by Wyndham San Juan Centro Cardiovascular</t>
  </si>
  <si>
    <t xml:space="preserve">Americo Miranda </t>
  </si>
  <si>
    <t>San Juan</t>
  </si>
  <si>
    <t>Howard Johnson</t>
  </si>
  <si>
    <t>Yaitza Marrero</t>
  </si>
  <si>
    <t>+1 (787) 751-5302</t>
  </si>
  <si>
    <t>Budd Lake Hospitality LLC</t>
  </si>
  <si>
    <t>Super 8 Budd Lake</t>
  </si>
  <si>
    <t xml:space="preserve">102 US-46 </t>
  </si>
  <si>
    <t>Budd Lake</t>
  </si>
  <si>
    <t>Andy Patel</t>
  </si>
  <si>
    <t>+(973)448-7500</t>
  </si>
  <si>
    <t xml:space="preserve">RANG KRUPA LLC </t>
  </si>
  <si>
    <t>Quality Inn Fort Payne</t>
  </si>
  <si>
    <t xml:space="preserve">102 Drinkard Dr </t>
  </si>
  <si>
    <t>Fort Payne</t>
  </si>
  <si>
    <t>Sam Patel</t>
  </si>
  <si>
    <t>+(256) 845-2950</t>
  </si>
  <si>
    <t>Dayton House Resort</t>
  </si>
  <si>
    <t xml:space="preserve">2400 North Ocean Boulevard </t>
  </si>
  <si>
    <t>Cathy Bursick</t>
  </si>
  <si>
    <t>Daniel Locklear</t>
  </si>
  <si>
    <t>+1(843)448-2441</t>
  </si>
  <si>
    <t>Fairfield Inn Houston I-10 West</t>
  </si>
  <si>
    <t xml:space="preserve">15111 Katy Freeway </t>
  </si>
  <si>
    <t>Travis Severson</t>
  </si>
  <si>
    <t>+ (281) 646-0056</t>
  </si>
  <si>
    <t>The Union League of Philadelphia Inc.</t>
  </si>
  <si>
    <t>Union League at Liberty Hill</t>
  </si>
  <si>
    <t xml:space="preserve">1751 800 Ridge Pike </t>
  </si>
  <si>
    <t>Lafayette Hill</t>
  </si>
  <si>
    <t>Sean Palmer</t>
  </si>
  <si>
    <t>+ (610) 825-8000</t>
  </si>
  <si>
    <t>Hampton Inn - Islandia</t>
  </si>
  <si>
    <t xml:space="preserve">1600 Veterans Memorial Hwy </t>
  </si>
  <si>
    <t>Islandia</t>
  </si>
  <si>
    <t>Dee Earle</t>
  </si>
  <si>
    <t>+ (631) 234-0400</t>
  </si>
  <si>
    <t>WEXFORD PLACE INC</t>
  </si>
  <si>
    <t xml:space="preserve">3875 EAST GALBRAITH ROAD </t>
  </si>
  <si>
    <t>513-793-5222</t>
  </si>
  <si>
    <t>OASIS HEALTHCARE</t>
  </si>
  <si>
    <t>ARBORLAKE NURSING AND REHAB</t>
  </si>
  <si>
    <t xml:space="preserve">901 PENNSYLVANIA AVENUE </t>
  </si>
  <si>
    <t>817-335-3030</t>
  </si>
  <si>
    <t>JOHN KNOX VILLAGE</t>
  </si>
  <si>
    <t xml:space="preserve">400 NW MURRAY ROAD </t>
  </si>
  <si>
    <t>816-347-2129</t>
  </si>
  <si>
    <t>HALCYON SENIOR LIVING</t>
  </si>
  <si>
    <t>HALCYON WEST BAY</t>
  </si>
  <si>
    <t xml:space="preserve">2783 WEST SHORE ROAD </t>
  </si>
  <si>
    <t>DIGNITY HOSPICE OF WV</t>
  </si>
  <si>
    <t xml:space="preserve">93 MAIN STREET </t>
  </si>
  <si>
    <t>CHAPMANVILLE</t>
  </si>
  <si>
    <t>304-855-4764</t>
  </si>
  <si>
    <t>DIGNITY HOSPICE OF SOUTHERN WV</t>
  </si>
  <si>
    <t xml:space="preserve">557 MAIN STREET </t>
  </si>
  <si>
    <t>SCHUYLKILL HOME CARE</t>
  </si>
  <si>
    <t xml:space="preserve">12 SAINT JOHN STREET </t>
  </si>
  <si>
    <t>570-385-2818</t>
  </si>
  <si>
    <t>GOOD SAMARITIAN HOME HEALTH CARE INC</t>
  </si>
  <si>
    <t xml:space="preserve">3403 EAST PLAZA BLVD UNIT K </t>
  </si>
  <si>
    <t>NATIONAL CITY</t>
  </si>
  <si>
    <t>619-773-6357</t>
  </si>
  <si>
    <t>GODDARD SCHOOL</t>
  </si>
  <si>
    <t xml:space="preserve">55 EAST SPRING MILL POINTE DRIVE </t>
  </si>
  <si>
    <t>317-804-4500</t>
  </si>
  <si>
    <t>PRIMROSE SCHOOL AT P&amp;G GO CHILD DEVELOPMENT CENTER</t>
  </si>
  <si>
    <t xml:space="preserve">400 NEW STREET </t>
  </si>
  <si>
    <t>513-421-9300</t>
  </si>
  <si>
    <t>NORTHERN PINES CAMP AND RETREAT CENTER</t>
  </si>
  <si>
    <t xml:space="preserve">20033 COUNTY 1 </t>
  </si>
  <si>
    <t>PARK RAPIDS</t>
  </si>
  <si>
    <t>218-732-4713</t>
  </si>
  <si>
    <t>THE ROCK OF ROSEVILLE-FOOD PANTRY</t>
  </si>
  <si>
    <t xml:space="preserve">202 BONITA STREET </t>
  </si>
  <si>
    <t>ROESVILLE</t>
  </si>
  <si>
    <t>916-789-7625</t>
  </si>
  <si>
    <t>GRAND COURT ASSISTED LIVING</t>
  </si>
  <si>
    <t xml:space="preserve">295 SOUTHWEST 4TH AVENUE </t>
  </si>
  <si>
    <t>POMPANO</t>
  </si>
  <si>
    <t>954-942-6000</t>
  </si>
  <si>
    <t>AVENIR MEMORY CARE OF CHANDLER-MENU ONLY</t>
  </si>
  <si>
    <t xml:space="preserve">850 SOUTH PENNINGTON DRIVE </t>
  </si>
  <si>
    <t>CHANDLER</t>
  </si>
  <si>
    <t>480-718-4055</t>
  </si>
  <si>
    <t>AVENIR MEMORY CARE OF LITTLE ROCK-MENU ONLY</t>
  </si>
  <si>
    <t xml:space="preserve">8401 RANCH BLVD </t>
  </si>
  <si>
    <t>501-868-6270</t>
  </si>
  <si>
    <t>AVENIR MEMORY CARE OF NANAIMO-MENU ONLY</t>
  </si>
  <si>
    <t xml:space="preserve">4989 WILLS ROAD </t>
  </si>
  <si>
    <t>NANAIMO</t>
  </si>
  <si>
    <t>V9T 2</t>
  </si>
  <si>
    <t>CANADA</t>
  </si>
  <si>
    <t>250-585-3788</t>
  </si>
  <si>
    <t>AVENIR MEMORY CARE OF LEXINGTON-MENU ONLY</t>
  </si>
  <si>
    <t xml:space="preserve">886 PARK ROAD </t>
  </si>
  <si>
    <t>803-356-7507</t>
  </si>
  <si>
    <t>AVENIR MEMORY CARE AT LAS VEGAS-MENU ONLY</t>
  </si>
  <si>
    <t xml:space="preserve">7395 SMOKE RANCH ROAD </t>
  </si>
  <si>
    <t>702-749-9090</t>
  </si>
  <si>
    <t>AVENIR MEMORY CARE OF SCOTTSDALE-MENU ONLY</t>
  </si>
  <si>
    <t xml:space="preserve">9450 EAST MOUNTAIN VIEW ROAD </t>
  </si>
  <si>
    <t>480-656-4084</t>
  </si>
  <si>
    <t>AVENIR MEMORY CARE OF KNOXVILLE-MENU ONLY</t>
  </si>
  <si>
    <t xml:space="preserve">901 CONCORD ROAD </t>
  </si>
  <si>
    <t>865-777-1500</t>
  </si>
  <si>
    <t>AVENIR MEMORY CARE OF FAYETEVILLE-MENU ONLY</t>
  </si>
  <si>
    <t xml:space="preserve">1967 WEST TRUCKERS DRIVE </t>
  </si>
  <si>
    <t>FAYETEVILLE</t>
  </si>
  <si>
    <t>479-439-5547</t>
  </si>
  <si>
    <t>AVENIR MEMORY CARE OF SURPRISE-MENU ONLY</t>
  </si>
  <si>
    <t xml:space="preserve">16465 NORTH PARKVIEW PLACE </t>
  </si>
  <si>
    <t>SURPRISE</t>
  </si>
  <si>
    <t>623-266-4999</t>
  </si>
  <si>
    <t>AVENIR WESTMINISTER MEMORY CARE OF AKIEN-MENU ONLY</t>
  </si>
  <si>
    <t xml:space="preserve">2288 SOUTH CENTENNIAL AVENUE </t>
  </si>
  <si>
    <t>903-502-5500</t>
  </si>
  <si>
    <t>The Amian Residence</t>
  </si>
  <si>
    <t xml:space="preserve">15155 Katy Freeway </t>
  </si>
  <si>
    <t>Teresa Thomas</t>
  </si>
  <si>
    <t>+ (281) 646-0058</t>
  </si>
  <si>
    <t>Divam LLC</t>
  </si>
  <si>
    <t>Rodeway Inn Syracuse</t>
  </si>
  <si>
    <t xml:space="preserve">6578 Thompson Road </t>
  </si>
  <si>
    <t>Syracuse</t>
  </si>
  <si>
    <t>+(315)463-8555</t>
  </si>
  <si>
    <t>Coconut Grove Apartments</t>
  </si>
  <si>
    <t xml:space="preserve">2835 Tigertail Avenue </t>
  </si>
  <si>
    <t>Coconut Grove</t>
  </si>
  <si>
    <t xml:space="preserve">Daniel Rutan </t>
  </si>
  <si>
    <t>John Perez</t>
  </si>
  <si>
    <t>+ (305) 285-9303</t>
  </si>
  <si>
    <t>Westin Governor Morris Morristown</t>
  </si>
  <si>
    <t xml:space="preserve">2 Whippany RD </t>
  </si>
  <si>
    <t>Morristown</t>
  </si>
  <si>
    <t>Lee Trilling</t>
  </si>
  <si>
    <t>Damian Marek</t>
  </si>
  <si>
    <t>+ (973) 539-7300</t>
  </si>
  <si>
    <t>TownePlace Suites Horsham</t>
  </si>
  <si>
    <t xml:space="preserve">198 Precision Drive </t>
  </si>
  <si>
    <t>Horsham</t>
  </si>
  <si>
    <t>Mollie Fisher</t>
  </si>
  <si>
    <t>+ (215) 323-9900</t>
  </si>
  <si>
    <t>Sheraton Rockville</t>
  </si>
  <si>
    <t xml:space="preserve">920 King Farm Blvd. </t>
  </si>
  <si>
    <t>Isaac Mantey</t>
  </si>
  <si>
    <t>+1 (240) 912-8200</t>
  </si>
  <si>
    <t>Four Points by Sheraton Destin-Fort Walton Beach</t>
  </si>
  <si>
    <t xml:space="preserve">1325 Miracle Strip Parkway </t>
  </si>
  <si>
    <t>Fort Walton Beach</t>
  </si>
  <si>
    <t>Taylor Hall</t>
  </si>
  <si>
    <t>+1 (850) 243-8116</t>
  </si>
  <si>
    <t>Boulder Ridge Country Club</t>
  </si>
  <si>
    <t xml:space="preserve">350 Boulder Drive </t>
  </si>
  <si>
    <t>Lake In The Hills</t>
  </si>
  <si>
    <t>James Dziekan</t>
  </si>
  <si>
    <t>Mary Halley</t>
  </si>
  <si>
    <t>+ (847) 854-3030</t>
  </si>
  <si>
    <t>Residence Inn Windsor/Hartford</t>
  </si>
  <si>
    <t>100 Dunfey Avenue I-91 at Bloomfield Ave</t>
  </si>
  <si>
    <t>Cesar Gonzalez</t>
  </si>
  <si>
    <t>Eve Findley</t>
  </si>
  <si>
    <t>+ (860) 688-7474</t>
  </si>
  <si>
    <t>Residence Inn Gaithersburg</t>
  </si>
  <si>
    <t xml:space="preserve">9721 Washingtonian Boulevard </t>
  </si>
  <si>
    <t>Freddie Fouladi</t>
  </si>
  <si>
    <t>Le’Chelle Moso</t>
  </si>
  <si>
    <t>+ (301) 590-3003</t>
  </si>
  <si>
    <t>Residence Inn Troy - Southeast</t>
  </si>
  <si>
    <t xml:space="preserve">32650 Stephenson Highway </t>
  </si>
  <si>
    <t>Madison Heights</t>
  </si>
  <si>
    <t>Kristen Kohler</t>
  </si>
  <si>
    <t>Natasha Moreno</t>
  </si>
  <si>
    <t>+ (248) 583-4322</t>
  </si>
  <si>
    <t>Residence Inn Shelton</t>
  </si>
  <si>
    <t xml:space="preserve">1001 Bridgeport Avenue </t>
  </si>
  <si>
    <t>Shelton</t>
  </si>
  <si>
    <t>Lauren Moore</t>
  </si>
  <si>
    <t>+ (203) 926-9000</t>
  </si>
  <si>
    <t>Residence Inn Tukwila</t>
  </si>
  <si>
    <t xml:space="preserve">16201 West Vallyey Highway </t>
  </si>
  <si>
    <t>Nicole Candland</t>
  </si>
  <si>
    <t>+ (425) 226-5500</t>
  </si>
  <si>
    <t>Residence Inn Lynnwood</t>
  </si>
  <si>
    <t xml:space="preserve">18200 Alderwood Mall Parkway </t>
  </si>
  <si>
    <t>Lynnwood</t>
  </si>
  <si>
    <t>Georgia Borg-Leon</t>
  </si>
  <si>
    <t>+ (425) 771-1100</t>
  </si>
  <si>
    <t>Residence Inn Seattle Northeast-Bothell</t>
  </si>
  <si>
    <t xml:space="preserve">11920 NE 195th Street </t>
  </si>
  <si>
    <t>Bothell</t>
  </si>
  <si>
    <t>Joellen Kurtz</t>
  </si>
  <si>
    <t>+ (425) 485-3030</t>
  </si>
  <si>
    <t>Residence Inn Seattle East Bellevue</t>
  </si>
  <si>
    <t xml:space="preserve">14455 NE 29th Place </t>
  </si>
  <si>
    <t>Bellevue</t>
  </si>
  <si>
    <t>Angie Cover</t>
  </si>
  <si>
    <t>+ (425) 882-1222</t>
  </si>
  <si>
    <t>Residence Inn San Jose South</t>
  </si>
  <si>
    <t xml:space="preserve">6111 San Ignacio Avenue </t>
  </si>
  <si>
    <t>Francisco Cruz</t>
  </si>
  <si>
    <t>+1 (408) 226-7676</t>
  </si>
  <si>
    <t xml:space="preserve">Residence Inn San Jose </t>
  </si>
  <si>
    <t xml:space="preserve">2761 South Bascom Avenue </t>
  </si>
  <si>
    <t>Campbell</t>
  </si>
  <si>
    <t>Megan Loutsis</t>
  </si>
  <si>
    <t>+ (408) 559-1551</t>
  </si>
  <si>
    <t>Residence Inn Saddle River</t>
  </si>
  <si>
    <t xml:space="preserve">7 Boroline Road </t>
  </si>
  <si>
    <t>Saddle River</t>
  </si>
  <si>
    <t>Carrie Carpenter</t>
  </si>
  <si>
    <t>+1 (201) 934-4144</t>
  </si>
  <si>
    <t>Residence Inn Richmond</t>
  </si>
  <si>
    <t xml:space="preserve">2121 Dickens Road </t>
  </si>
  <si>
    <t>Tishana Shelton</t>
  </si>
  <si>
    <t>Jessi Lenox</t>
  </si>
  <si>
    <t>+ (804) 285-8200</t>
  </si>
  <si>
    <t>Residence Inn Richmond Northwest</t>
  </si>
  <si>
    <t xml:space="preserve">3940 Westerre Parkway </t>
  </si>
  <si>
    <t>Tishana Davis</t>
  </si>
  <si>
    <t>+ (804) 762-9852</t>
  </si>
  <si>
    <t>Residence Inn Portland</t>
  </si>
  <si>
    <t xml:space="preserve">800 Roundwood Drive </t>
  </si>
  <si>
    <t>Scarborough</t>
  </si>
  <si>
    <t>Jeremy Obptande</t>
  </si>
  <si>
    <t>+1 (207) 883-0400</t>
  </si>
  <si>
    <t>Residence Inn Altamonte</t>
  </si>
  <si>
    <t xml:space="preserve">270 Douglas Avenue </t>
  </si>
  <si>
    <t>Altamonte Springs</t>
  </si>
  <si>
    <t>+ (407) 788-7991</t>
  </si>
  <si>
    <t>Residence Inn Ontario</t>
  </si>
  <si>
    <t xml:space="preserve">2025 Convention Center Way </t>
  </si>
  <si>
    <t>Julio Flores</t>
  </si>
  <si>
    <t>+ (909) 937-6788</t>
  </si>
  <si>
    <t>Residence Inn Louisville</t>
  </si>
  <si>
    <t xml:space="preserve">120 North Hurstbourne Parkway </t>
  </si>
  <si>
    <t>Christopher Scott</t>
  </si>
  <si>
    <t>+ (502) 425-1821</t>
  </si>
  <si>
    <t xml:space="preserve">Residence Inn Lexington </t>
  </si>
  <si>
    <t xml:space="preserve">1080 Newtown Pike </t>
  </si>
  <si>
    <t>Jessica Chamberlain</t>
  </si>
  <si>
    <t>Shelley Taylor</t>
  </si>
  <si>
    <t>+ (859) 231-6191</t>
  </si>
  <si>
    <t>Residence Inn Harrisburg</t>
  </si>
  <si>
    <t xml:space="preserve">4480 Lewis Road </t>
  </si>
  <si>
    <t>Christine Septa</t>
  </si>
  <si>
    <t>+ (717) 561-1900</t>
  </si>
  <si>
    <t>Residence Inn Fremont</t>
  </si>
  <si>
    <t xml:space="preserve">5400 Farwell Place </t>
  </si>
  <si>
    <t>Galen Morrison</t>
  </si>
  <si>
    <t>Charmie Ruffy</t>
  </si>
  <si>
    <t>+ (510) 794-5900</t>
  </si>
  <si>
    <t>Residence Inn Detroit Livonia</t>
  </si>
  <si>
    <t xml:space="preserve">17250 Fox Drive </t>
  </si>
  <si>
    <t>Lisa Reed</t>
  </si>
  <si>
    <t>+1 (734) 462-4201</t>
  </si>
  <si>
    <t>Residence Inn Denver - South</t>
  </si>
  <si>
    <t xml:space="preserve">6565 South Yosemite </t>
  </si>
  <si>
    <t>Englewood</t>
  </si>
  <si>
    <t>Hope Hayford</t>
  </si>
  <si>
    <t>Laura Alfano</t>
  </si>
  <si>
    <t>+ (303) 740-7177</t>
  </si>
  <si>
    <t>Residence Inn Denver - Downtown</t>
  </si>
  <si>
    <t xml:space="preserve">2777 Zuni Street </t>
  </si>
  <si>
    <t>Kate Bleakley</t>
  </si>
  <si>
    <t>+1 (303) 458-5318</t>
  </si>
  <si>
    <t>Residence Inn Dallas - Addison</t>
  </si>
  <si>
    <t xml:space="preserve">14975 Quorum Drive </t>
  </si>
  <si>
    <t>Jessika Medina</t>
  </si>
  <si>
    <t>+1 (972) 866-9933</t>
  </si>
  <si>
    <t>Residence Inn Chicago Airport Rosemont</t>
  </si>
  <si>
    <t xml:space="preserve">7101 Chestnut Street </t>
  </si>
  <si>
    <t>Jane Wilke</t>
  </si>
  <si>
    <t>+1 (847) 375-9000</t>
  </si>
  <si>
    <t>Residence Inn Cherry Hill - Philadelphia</t>
  </si>
  <si>
    <t xml:space="preserve">1821 Old Cuthbert Road </t>
  </si>
  <si>
    <t>Cherry Hill</t>
  </si>
  <si>
    <t>Lisa Young</t>
  </si>
  <si>
    <t>+ (856) 429-6111</t>
  </si>
  <si>
    <t>Residence Inn Binghamton Vestal</t>
  </si>
  <si>
    <t xml:space="preserve">4610 Vestal Parkway East </t>
  </si>
  <si>
    <t>Vestal</t>
  </si>
  <si>
    <t>Dennis Brown</t>
  </si>
  <si>
    <t>+1 (607) 770-8500</t>
  </si>
  <si>
    <t>Residence Inn Atlanta Downtown</t>
  </si>
  <si>
    <t xml:space="preserve">134 Peachtree Street NW </t>
  </si>
  <si>
    <t>Devin Houston</t>
  </si>
  <si>
    <t>+ (404) 522-0950</t>
  </si>
  <si>
    <t xml:space="preserve">Residence Inn Peachtree </t>
  </si>
  <si>
    <t xml:space="preserve">5500 Triangle Drive </t>
  </si>
  <si>
    <t>+ (770) 447-1714</t>
  </si>
  <si>
    <t>Residence Inn Arlington - DFW South</t>
  </si>
  <si>
    <t xml:space="preserve">1050 Brookhollow Plaza Drive </t>
  </si>
  <si>
    <t xml:space="preserve">Amara Alim </t>
  </si>
  <si>
    <t>Jason Needham</t>
  </si>
  <si>
    <t>+ (817) 649-7300</t>
  </si>
  <si>
    <t>Hyatt House Mt. Laurel</t>
  </si>
  <si>
    <t xml:space="preserve">3000 Crawford Place </t>
  </si>
  <si>
    <t>Mount Laurel</t>
  </si>
  <si>
    <t>Devon Reed</t>
  </si>
  <si>
    <t>+ (856) 222-1313</t>
  </si>
  <si>
    <t>Hyatt House Las Colinas</t>
  </si>
  <si>
    <t xml:space="preserve">5901 North MacArthur Boulevard </t>
  </si>
  <si>
    <t>Leo Chavez</t>
  </si>
  <si>
    <t>+ (972) 831-0909</t>
  </si>
  <si>
    <t>Hyatt House El Segundo</t>
  </si>
  <si>
    <t xml:space="preserve">810 South Douglas Street </t>
  </si>
  <si>
    <t>El Segundo</t>
  </si>
  <si>
    <t>Cindy Ybarra</t>
  </si>
  <si>
    <t>+ (310) 725-0100</t>
  </si>
  <si>
    <t>Best Western Plus Village Inn</t>
  </si>
  <si>
    <t xml:space="preserve">3110 North Blackstone Avenue </t>
  </si>
  <si>
    <t>Fresno</t>
  </si>
  <si>
    <t>Randy Diaz</t>
  </si>
  <si>
    <t>+1 (559) 226-2110</t>
  </si>
  <si>
    <t>Hyatt House Addison</t>
  </si>
  <si>
    <t xml:space="preserve">4900 Edwin Lewis Drive </t>
  </si>
  <si>
    <t>Addison</t>
  </si>
  <si>
    <t>+ (972) 661-3113</t>
  </si>
  <si>
    <t>Hyatt House Belmont</t>
  </si>
  <si>
    <t xml:space="preserve">400 Concourse Drive </t>
  </si>
  <si>
    <t>Belmont</t>
  </si>
  <si>
    <t>Hazem Shunnaq</t>
  </si>
  <si>
    <t>+ (650) 591-8600</t>
  </si>
  <si>
    <t>Hampton Inn - Naples</t>
  </si>
  <si>
    <t xml:space="preserve">3210 Tamiami Trail N </t>
  </si>
  <si>
    <t>Randy Geren</t>
  </si>
  <si>
    <t>+ (239) 261-8000</t>
  </si>
  <si>
    <t>Hampton Inn Downtown Louisville</t>
  </si>
  <si>
    <t xml:space="preserve">101 E Jefferson St </t>
  </si>
  <si>
    <t>Mindy Wilson</t>
  </si>
  <si>
    <t>+1 (502) 566-0203</t>
  </si>
  <si>
    <t>Hampton Inn Columbia (MD)</t>
  </si>
  <si>
    <t xml:space="preserve">8880 Columbia 100 Parkway </t>
  </si>
  <si>
    <t>Chelsee Marshall</t>
  </si>
  <si>
    <t>+1 (410) 997-8555</t>
  </si>
  <si>
    <t>Courtyard Montvale</t>
  </si>
  <si>
    <t xml:space="preserve">100 Chestnut Ridge RD </t>
  </si>
  <si>
    <t>MONTVALE</t>
  </si>
  <si>
    <t>+ (201) 391-7700</t>
  </si>
  <si>
    <t>Courtyard Fort Lauderdale</t>
  </si>
  <si>
    <t xml:space="preserve">2440 West Cypress Creek Rd </t>
  </si>
  <si>
    <t>Claudia Polidori</t>
  </si>
  <si>
    <t>+ (954) 772-7770</t>
  </si>
  <si>
    <t>Courtyard Atlantic City</t>
  </si>
  <si>
    <t xml:space="preserve">1212 Pacific Ave. </t>
  </si>
  <si>
    <t>Laurel DeViney</t>
  </si>
  <si>
    <t>+1 (609) 345-7070</t>
  </si>
  <si>
    <t>Hampton Inn NY-JFK</t>
  </si>
  <si>
    <t xml:space="preserve">144-10 135th Avenue </t>
  </si>
  <si>
    <t>Queens</t>
  </si>
  <si>
    <t>Karolina Trimboli</t>
  </si>
  <si>
    <t>+1(718) 322-7500</t>
  </si>
  <si>
    <t>VILLAGE HEIGHTS</t>
  </si>
  <si>
    <t xml:space="preserve">212 WEST 12TH STREET </t>
  </si>
  <si>
    <t>LONDON</t>
  </si>
  <si>
    <t>LAUREL VILLAGE</t>
  </si>
  <si>
    <t xml:space="preserve">815 NORTH MILL STREET </t>
  </si>
  <si>
    <t>WRIGHTS HEALTHCARE</t>
  </si>
  <si>
    <t xml:space="preserve">1100 110TH AVENUE NORTH </t>
  </si>
  <si>
    <t>SEMINOLE</t>
  </si>
  <si>
    <t>727-391-9986</t>
  </si>
  <si>
    <t>OAK MANOR SNF</t>
  </si>
  <si>
    <t>CHATHAM GLEN HEALTHCARE AND REHAB CENTER</t>
  </si>
  <si>
    <t xml:space="preserve">16605 SE 74TH SOULLIERE AVENUE </t>
  </si>
  <si>
    <t>352-492-4929</t>
  </si>
  <si>
    <t>ADDINGTON PLACE AT WELLINGTON GREEN SNF</t>
  </si>
  <si>
    <t xml:space="preserve">10330 NUVISTA AVENUE </t>
  </si>
  <si>
    <t>WELLINGTON</t>
  </si>
  <si>
    <t>561-795-3360</t>
  </si>
  <si>
    <t>BUFFALO ALF</t>
  </si>
  <si>
    <t xml:space="preserve">3890 WOODRIDGE DRIVE </t>
  </si>
  <si>
    <t>352-674-4700</t>
  </si>
  <si>
    <t>OAKMONT OF WESTPARK-ROSEVILLE 2</t>
  </si>
  <si>
    <t xml:space="preserve">2400 PLEASANT GROVE BLVD </t>
  </si>
  <si>
    <t>916-545-8904</t>
  </si>
  <si>
    <t>OAKMONT OF LODI</t>
  </si>
  <si>
    <t xml:space="preserve">2905 REYNOLDS RANCH PARKWAY </t>
  </si>
  <si>
    <t>LODI</t>
  </si>
  <si>
    <t>OAKMONT OF SILVER CREEK</t>
  </si>
  <si>
    <t xml:space="preserve">3544 SAN FELIPE ROAD </t>
  </si>
  <si>
    <t>669-201-9924</t>
  </si>
  <si>
    <t>OAKMONT OF AGOURA HILLS</t>
  </si>
  <si>
    <t xml:space="preserve">29353 CANWOOD STREET </t>
  </si>
  <si>
    <t>AGOURA HILLS</t>
  </si>
  <si>
    <t>OAKMONT OF SIMI VALLEY</t>
  </si>
  <si>
    <t xml:space="preserve">3110 ROYAL AVENUE </t>
  </si>
  <si>
    <t>SIMI VALLEY</t>
  </si>
  <si>
    <t>805-590-2442</t>
  </si>
  <si>
    <t>OAKMONT OF FULLERTON</t>
  </si>
  <si>
    <t xml:space="preserve">433 WEST BASTANCHURY ROAD </t>
  </si>
  <si>
    <t>FULLERTON</t>
  </si>
  <si>
    <t>714-361-0110</t>
  </si>
  <si>
    <t>OAKMONT OF WHITTIER</t>
  </si>
  <si>
    <t xml:space="preserve">13617 WHITTIER BLVD </t>
  </si>
  <si>
    <t>WHITTIER</t>
  </si>
  <si>
    <t>562-219-3932</t>
  </si>
  <si>
    <t>OAKMONT OF TORRANCE</t>
  </si>
  <si>
    <t xml:space="preserve">3620 LOMITA BLVD </t>
  </si>
  <si>
    <t>424-376-3300</t>
  </si>
  <si>
    <t>OAKMONT OF SAN ANTONIO HEIGHTS</t>
  </si>
  <si>
    <t xml:space="preserve">2419 NORTH EUDLID AVENUE </t>
  </si>
  <si>
    <t>UPLAND</t>
  </si>
  <si>
    <t>909-614-4135</t>
  </si>
  <si>
    <t>OAKMONT OF PACIFIC BEACH</t>
  </si>
  <si>
    <t xml:space="preserve">955 GRAND AVENUE </t>
  </si>
  <si>
    <t>408-915-3272</t>
  </si>
  <si>
    <t>OAKMONT OF ORANGE</t>
  </si>
  <si>
    <t xml:space="preserve">630 THE CITY DRIVE SOUTH </t>
  </si>
  <si>
    <t>714-912-8980</t>
  </si>
  <si>
    <t>OAKMONT OF HUNTINGTON BEACH</t>
  </si>
  <si>
    <t xml:space="preserve">18922 DELAWARE STREET </t>
  </si>
  <si>
    <t>HUNTINGTON BEACH</t>
  </si>
  <si>
    <t>657-204-4600</t>
  </si>
  <si>
    <t>OAKMONT OF CAPRIANA AND VILLAGIO</t>
  </si>
  <si>
    <t xml:space="preserve">454 SOUTH LA FLORESTA DRIVE </t>
  </si>
  <si>
    <t>BREA</t>
  </si>
  <si>
    <t>714-996-1239</t>
  </si>
  <si>
    <t>OAKMONT OF WEST LAS VEGAS</t>
  </si>
  <si>
    <t xml:space="preserve">3250 FORT APACHE ROAD </t>
  </si>
  <si>
    <t>702-830-7768</t>
  </si>
  <si>
    <t>OAKMONT OF VALENCIA</t>
  </si>
  <si>
    <t xml:space="preserve">24070 COPPER HILL DRIVE </t>
  </si>
  <si>
    <t>VALENCIA</t>
  </si>
  <si>
    <t>661-568-6080</t>
  </si>
  <si>
    <t>OAKMONT OF VEGAS FLAMINGO</t>
  </si>
  <si>
    <t xml:space="preserve">3185 EAST FLAMINGO ROAD </t>
  </si>
  <si>
    <t>702-358-0408</t>
  </si>
  <si>
    <t>OAKMONT OF SANTA CLARITA</t>
  </si>
  <si>
    <t xml:space="preserve">28650 NEWHALL RANCH ROAD </t>
  </si>
  <si>
    <t>SANTA CLARITA</t>
  </si>
  <si>
    <t>661-347-0051</t>
  </si>
  <si>
    <t>OAKMONT OF SAN JOSE</t>
  </si>
  <si>
    <t xml:space="preserve">917 THORNTON WAY </t>
  </si>
  <si>
    <t>OAKMONT OF RIVERPARK-OXNARD</t>
  </si>
  <si>
    <t xml:space="preserve">901 TOWN CENTER DRIVE </t>
  </si>
  <si>
    <t>OXNARD</t>
  </si>
  <si>
    <t>805-940-0390</t>
  </si>
  <si>
    <t>OAKMONT OF FRESNO</t>
  </si>
  <si>
    <t xml:space="preserve">5605 NORTH GATES AVENUE </t>
  </si>
  <si>
    <t>559-477-4466</t>
  </si>
  <si>
    <t>OAKMONT OF CONCORD</t>
  </si>
  <si>
    <t xml:space="preserve">1401 CIVIC COURT </t>
  </si>
  <si>
    <t>CONCORD</t>
  </si>
  <si>
    <t>925-261-1033</t>
  </si>
  <si>
    <t>OAKMONT OF CAMARILLO</t>
  </si>
  <si>
    <t xml:space="preserve">305 DAVENPORT STREET </t>
  </si>
  <si>
    <t>CAMARILLO</t>
  </si>
  <si>
    <t>805-738-3600</t>
  </si>
  <si>
    <t>OAKMONT OF VARENNA</t>
  </si>
  <si>
    <t xml:space="preserve">1401 FOUNTAINGROVE PARKWAY </t>
  </si>
  <si>
    <t>707-526-1226</t>
  </si>
  <si>
    <t>OAKMONT OF VILLA CAPRI</t>
  </si>
  <si>
    <t xml:space="preserve">1397 FOUNTAINGROVE PARKWAY </t>
  </si>
  <si>
    <t>707-526-9090</t>
  </si>
  <si>
    <t>OAKMONT OF STOCKTON</t>
  </si>
  <si>
    <t xml:space="preserve">3318 BROOKSIDE AVENUE </t>
  </si>
  <si>
    <t>209-395-1136</t>
  </si>
  <si>
    <t>OAKMONT OF REDDING</t>
  </si>
  <si>
    <t xml:space="preserve">2150 BECHELLI LANE </t>
  </si>
  <si>
    <t>530-396-1136</t>
  </si>
  <si>
    <t>OAKMONT OF ROSEVILLE</t>
  </si>
  <si>
    <t xml:space="preserve">1101 SECRET RAVINE PARKWAY </t>
  </si>
  <si>
    <t>916-771-6700</t>
  </si>
  <si>
    <t>OAKMONT OF NOVATO</t>
  </si>
  <si>
    <t xml:space="preserve">1465 SOUTH NOVATO BLVD </t>
  </si>
  <si>
    <t>NOVATO</t>
  </si>
  <si>
    <t>628-215-1200</t>
  </si>
  <si>
    <t>FOUNTAINGROVE LODGE AND TERRACES</t>
  </si>
  <si>
    <t xml:space="preserve">4210 THOMAS LAKE HARRIS DRIVE </t>
  </si>
  <si>
    <t>707-584-6595</t>
  </si>
  <si>
    <t>OAKMONT OF FOLSOM</t>
  </si>
  <si>
    <t xml:space="preserve">1574 CREEKSIDE DRIVE </t>
  </si>
  <si>
    <t>FOLSOM</t>
  </si>
  <si>
    <t>916-379-7289</t>
  </si>
  <si>
    <t>OAKMONT OF FAIR OAKS</t>
  </si>
  <si>
    <t xml:space="preserve">8484 MADISON AVENUE </t>
  </si>
  <si>
    <t>FAIR OAKS</t>
  </si>
  <si>
    <t>916-633-1001</t>
  </si>
  <si>
    <t>OAKMONT OF EL DORADO HILLS</t>
  </si>
  <si>
    <t xml:space="preserve">2020 TOWN CENTER WEST WAY </t>
  </si>
  <si>
    <t>EL DORADO HILLS</t>
  </si>
  <si>
    <t>916-975-9866</t>
  </si>
  <si>
    <t>OAKMONT OF EAST SACRAMENTO</t>
  </si>
  <si>
    <t xml:space="preserve">5301 F STREET </t>
  </si>
  <si>
    <t>916-905-2400</t>
  </si>
  <si>
    <t>OAKMONT OF CARMICHAEL</t>
  </si>
  <si>
    <t xml:space="preserve">4717 ENGLE ROAD </t>
  </si>
  <si>
    <t>916-919-8966</t>
  </si>
  <si>
    <t>BAYOU MANOR</t>
  </si>
  <si>
    <t xml:space="preserve">4141 SOUTH BRAESWOOD </t>
  </si>
  <si>
    <t>713-666-2651</t>
  </si>
  <si>
    <t>APERION CARE OLNEY</t>
  </si>
  <si>
    <t xml:space="preserve">900 EAST SCOTT STREET </t>
  </si>
  <si>
    <t>OLNEY</t>
  </si>
  <si>
    <t>618-395-1000</t>
  </si>
  <si>
    <t>MCGREGOR PACE</t>
  </si>
  <si>
    <t xml:space="preserve">14900 PRIVATE DRIVE </t>
  </si>
  <si>
    <t>EAST CLEVELAND</t>
  </si>
  <si>
    <t>HALLMARK LIVING HOLLAND</t>
  </si>
  <si>
    <t xml:space="preserve">493 WEST 32ND STREET </t>
  </si>
  <si>
    <t>THE POINTE AT OCEAN BOULEVARD</t>
  </si>
  <si>
    <t xml:space="preserve">2750 SE OCEAN BOULEVARD </t>
  </si>
  <si>
    <t>772-286-9384</t>
  </si>
  <si>
    <t>ADDINGTON PLACE AT EAST LAKE</t>
  </si>
  <si>
    <t xml:space="preserve">1755 EAST LAKE ROAD </t>
  </si>
  <si>
    <t>TARPOON SPRINGS</t>
  </si>
  <si>
    <t>727-943-8878</t>
  </si>
  <si>
    <t>HAMPTON MANOR OF WOODHAVEN</t>
  </si>
  <si>
    <t xml:space="preserve">22125 VAN HORN ROAD </t>
  </si>
  <si>
    <t>WOODHAVEN</t>
  </si>
  <si>
    <t>586-785-0005</t>
  </si>
  <si>
    <t>MASONIC VILLAGE AT BURLINGTON</t>
  </si>
  <si>
    <t xml:space="preserve">902 JACKSONVILLE ROAD </t>
  </si>
  <si>
    <t>609-239-3900</t>
  </si>
  <si>
    <t>PENNSYLVANIA MASONIC YOUTH FOUNDATION</t>
  </si>
  <si>
    <t xml:space="preserve">1244 BAINBRIDGE ROAD </t>
  </si>
  <si>
    <t>717-367-1121</t>
  </si>
  <si>
    <t>VERENA AT LEANDER</t>
  </si>
  <si>
    <t xml:space="preserve">11350 HERO WAY WEST </t>
  </si>
  <si>
    <t>LEANDER</t>
  </si>
  <si>
    <t>855-512-7593</t>
  </si>
  <si>
    <t>MASONIC HOME PHARMACY</t>
  </si>
  <si>
    <t xml:space="preserve">99 MASONIC DRIVE SUITE 103 </t>
  </si>
  <si>
    <t>ASHLAR CREATIVE SOLUTIONS</t>
  </si>
  <si>
    <t xml:space="preserve">ONE MASONIC DRIVE </t>
  </si>
  <si>
    <t>MASONIC VILLAGE HOME HEALTH AND HOSPICE LLC</t>
  </si>
  <si>
    <t xml:space="preserve">93 MASONIC DRIVE SUITE 101 </t>
  </si>
  <si>
    <t>VILLA PALAZZO 1262</t>
  </si>
  <si>
    <t xml:space="preserve">1262 HIGHTOWER TRAIL </t>
  </si>
  <si>
    <t>770-650-8800</t>
  </si>
  <si>
    <t>VILLA PALAZZO 1260</t>
  </si>
  <si>
    <t xml:space="preserve">1260 HIGHTOWER TRAIL </t>
  </si>
  <si>
    <t>770-650-8200</t>
  </si>
  <si>
    <t>OAKMONT OF ESCONDIDO HILLS</t>
  </si>
  <si>
    <t xml:space="preserve">3012 BEAR VALLEY PKWY SOUTH </t>
  </si>
  <si>
    <t>760-735-8084</t>
  </si>
  <si>
    <t>OAKMONT OF MONTECITO OAKMONT</t>
  </si>
  <si>
    <t xml:space="preserve">4756 CLAYTON RD </t>
  </si>
  <si>
    <t>925-692-5838</t>
  </si>
  <si>
    <t>ACQUA RECOVERY</t>
  </si>
  <si>
    <t xml:space="preserve">100 NORTH JOHNSON MILL ROAD </t>
  </si>
  <si>
    <t>PARK CITY</t>
  </si>
  <si>
    <t>435-671-2336</t>
  </si>
  <si>
    <t>VANTAGE AGING-MEALS ON WHEELS OF NORTHEAST OHIO</t>
  </si>
  <si>
    <t xml:space="preserve">2279 ROMIG ROAD </t>
  </si>
  <si>
    <t>330-515-5605</t>
  </si>
  <si>
    <t>BRIGHTSPACE SENIOR LIVING</t>
  </si>
  <si>
    <t xml:space="preserve">70472 LEE HIGHWAY STE 100 </t>
  </si>
  <si>
    <t>423-702-7234</t>
  </si>
  <si>
    <t>KR MANAGEMENT</t>
  </si>
  <si>
    <t xml:space="preserve">200 CLEARWATER LARGO ROAD SOUTH </t>
  </si>
  <si>
    <t>OAKMONT MANAGEMENT GROUP</t>
  </si>
  <si>
    <t xml:space="preserve">3 PARK PLAZA SUITE 1920 </t>
  </si>
  <si>
    <t>IRVINE</t>
  </si>
  <si>
    <t>LARMAX HOMES</t>
  </si>
  <si>
    <t xml:space="preserve">9741 THE CORAL DRIVE </t>
  </si>
  <si>
    <t>POTOMAC</t>
  </si>
  <si>
    <t>FLORIDA ASSISTED LIVING ASSOCIATION</t>
  </si>
  <si>
    <t xml:space="preserve">1618 MAHAN CENTER BLVD STE 103 </t>
  </si>
  <si>
    <t>850-383-1159</t>
  </si>
  <si>
    <t xml:space="preserve">3375 COUNTY ROAD 36 </t>
  </si>
  <si>
    <t>CAMP AKIVA</t>
  </si>
  <si>
    <t xml:space="preserve">1446 RAINS COUNTY ROAD 1490 </t>
  </si>
  <si>
    <t>POINT</t>
  </si>
  <si>
    <t>903-598-2497</t>
  </si>
  <si>
    <t>DESOTO PALMS ALF</t>
  </si>
  <si>
    <t xml:space="preserve">5601 NORTH HONORE AVENUE </t>
  </si>
  <si>
    <t>SARASOATA</t>
  </si>
  <si>
    <t>941-355-0303</t>
  </si>
  <si>
    <t>ADDINGTON PLACE AT WELLINGTON GREEN ALF</t>
  </si>
  <si>
    <t xml:space="preserve">10335 NUVISTA AVENUE </t>
  </si>
  <si>
    <t>LARMAX BELLS MILL</t>
  </si>
  <si>
    <t xml:space="preserve">7102 BELLS MILL ROAD </t>
  </si>
  <si>
    <t>240-599-5053</t>
  </si>
  <si>
    <t>LARMAX 8337</t>
  </si>
  <si>
    <t xml:space="preserve">8337 LEWINSVILLE ROAD </t>
  </si>
  <si>
    <t>MCLEAN</t>
  </si>
  <si>
    <t>LARMAX 8333</t>
  </si>
  <si>
    <t xml:space="preserve">8333 LEWINSVILLE ROAD </t>
  </si>
  <si>
    <t>LARMAX GREYSWOOD</t>
  </si>
  <si>
    <t xml:space="preserve">6602 GREYSWOOD ROAD </t>
  </si>
  <si>
    <t>LARMAX SEVEN LOCKS</t>
  </si>
  <si>
    <t xml:space="preserve">9480 SEVEN LOCKS ROAD </t>
  </si>
  <si>
    <t>LARMAX BRADLEY</t>
  </si>
  <si>
    <t xml:space="preserve">7733 BRADLEY BLVD </t>
  </si>
  <si>
    <t>LARMAX 8341</t>
  </si>
  <si>
    <t xml:space="preserve">8341 LEWINSVILLE ROAD </t>
  </si>
  <si>
    <t>LARMAX STONEHAM</t>
  </si>
  <si>
    <t xml:space="preserve">6505 STONEHAM ROAD </t>
  </si>
  <si>
    <t>LARMAX ISPSWICH</t>
  </si>
  <si>
    <t xml:space="preserve">5807 IPSWICH ROAD </t>
  </si>
  <si>
    <t>HIGHGATE SENIOR LIVING</t>
  </si>
  <si>
    <t>HIGHGATE AT FLAGSTAFF LLC</t>
  </si>
  <si>
    <t xml:space="preserve">1831 NORTH JASPER DRIVE </t>
  </si>
  <si>
    <t>FLAGSTAFF</t>
  </si>
  <si>
    <t>928-774-5570</t>
  </si>
  <si>
    <t>Riva Hospitality LLC</t>
  </si>
  <si>
    <t>Riva</t>
  </si>
  <si>
    <t xml:space="preserve">6063 Av. Isla Verde </t>
  </si>
  <si>
    <t>Carolina</t>
  </si>
  <si>
    <t>Joe Stevens</t>
  </si>
  <si>
    <t>+1 (787) 710-7006</t>
  </si>
  <si>
    <t>Four Points by Sheraton Charlotte - Pineville</t>
  </si>
  <si>
    <t xml:space="preserve">9705 Leitner Drive </t>
  </si>
  <si>
    <t>Pineville</t>
  </si>
  <si>
    <t>Teresa Sloan</t>
  </si>
  <si>
    <t>+1 (704) 540-8500</t>
  </si>
  <si>
    <t>Persimmons Bar and Grill</t>
  </si>
  <si>
    <t xml:space="preserve">3800 Fairway Drive </t>
  </si>
  <si>
    <t>Michael Scheel</t>
  </si>
  <si>
    <t>+1 (636) 485-2493</t>
  </si>
  <si>
    <t>Doubletree Bloomfield Hills Detroit</t>
  </si>
  <si>
    <t xml:space="preserve">39475 Woodward Avenue </t>
  </si>
  <si>
    <t>Bloomfield Hills</t>
  </si>
  <si>
    <t>Tom Lamb</t>
  </si>
  <si>
    <t>+1 (248) 644-1400</t>
  </si>
  <si>
    <t>Hershey Entertainment &amp; Resorts</t>
  </si>
  <si>
    <t>Hershey Park</t>
  </si>
  <si>
    <t xml:space="preserve">100 West Hersheypark Drive </t>
  </si>
  <si>
    <t>Hershey</t>
  </si>
  <si>
    <t>Rebecca Greenblatt</t>
  </si>
  <si>
    <t>Charlie Gipe</t>
  </si>
  <si>
    <t>+1 (717) 534-3310</t>
  </si>
  <si>
    <t>The Ephant Group</t>
  </si>
  <si>
    <t>Fairfield Inn &amp; Suites Morristown</t>
  </si>
  <si>
    <t xml:space="preserve">2961 Millers Point Drive </t>
  </si>
  <si>
    <t>Gill Harper</t>
  </si>
  <si>
    <t>+1(865)539-0588</t>
  </si>
  <si>
    <t>TownePlace Suites - Springhill Suites New York Manhattan Chelsea</t>
  </si>
  <si>
    <t xml:space="preserve">140 West 28th Street </t>
  </si>
  <si>
    <t>Rhadames Lassis</t>
  </si>
  <si>
    <t>Steven Lamour</t>
  </si>
  <si>
    <t>+1 (646) 439-2420</t>
  </si>
  <si>
    <t>The Bellyard Atlanta a Tribute Portfolio Hotel</t>
  </si>
  <si>
    <t xml:space="preserve">1 Interlock Avenue Northwest </t>
  </si>
  <si>
    <t>Brendan Abraham</t>
  </si>
  <si>
    <t>+1 (404) 806-8333</t>
  </si>
  <si>
    <t>Sleep Inn Suites Longview</t>
  </si>
  <si>
    <t xml:space="preserve">615 City Center Way </t>
  </si>
  <si>
    <t>+1 (903) 212-6520</t>
  </si>
  <si>
    <t>Tivoli Lodge</t>
  </si>
  <si>
    <t xml:space="preserve">386 Hanson Road </t>
  </si>
  <si>
    <t>Jarred Bryant</t>
  </si>
  <si>
    <t>Juan Carlos</t>
  </si>
  <si>
    <t>+1 (970) 476-5615</t>
  </si>
  <si>
    <t>LADS Management LLC</t>
  </si>
  <si>
    <t>Residence Inn Billings</t>
  </si>
  <si>
    <t xml:space="preserve">956 South 25th Street West </t>
  </si>
  <si>
    <t>Billings</t>
  </si>
  <si>
    <t>Amy Barnhart</t>
  </si>
  <si>
    <t>+1 (406) 656-3900</t>
  </si>
  <si>
    <t>The Johnson Foundation at Wingspread</t>
  </si>
  <si>
    <t xml:space="preserve">33 East Four Mile Road </t>
  </si>
  <si>
    <t>Racine</t>
  </si>
  <si>
    <t>CONFERENCE CENTERS</t>
  </si>
  <si>
    <t>Chris Steffich</t>
  </si>
  <si>
    <t>Eric Bates</t>
  </si>
  <si>
    <t>+1 (262) 833-1400</t>
  </si>
  <si>
    <t>Delta Hotels Helena Colonial</t>
  </si>
  <si>
    <t xml:space="preserve">2301 Colonial Drive </t>
  </si>
  <si>
    <t>Adrian Ambro</t>
  </si>
  <si>
    <t>Justin Blimling</t>
  </si>
  <si>
    <t>+1 (406) 443-2100</t>
  </si>
  <si>
    <t>Fairfield Inn &amp; Suites - TownePlace Suites Boston Medford</t>
  </si>
  <si>
    <t xml:space="preserve">85 Station Landing </t>
  </si>
  <si>
    <t>David Ptak</t>
  </si>
  <si>
    <t>Julia Yanakopulos</t>
  </si>
  <si>
    <t>+1 (339) 707-0203</t>
  </si>
  <si>
    <t>Aloft Detroit at the David Whitney</t>
  </si>
  <si>
    <t xml:space="preserve">One Park Avenue </t>
  </si>
  <si>
    <t>Jon Coutts</t>
  </si>
  <si>
    <t>+1 (313) 237-1700</t>
  </si>
  <si>
    <t>APERION CARE CAIRO</t>
  </si>
  <si>
    <t xml:space="preserve">2001 CEDAR STREET </t>
  </si>
  <si>
    <t>CAIRO</t>
  </si>
  <si>
    <t>618-734-1700</t>
  </si>
  <si>
    <t>Ironwave Hospitality LLC</t>
  </si>
  <si>
    <t>The Setting Inn Willamette Valley</t>
  </si>
  <si>
    <t xml:space="preserve">20300 Northeast Highway 240 </t>
  </si>
  <si>
    <t>Newberg</t>
  </si>
  <si>
    <t>Yndira Marrero</t>
  </si>
  <si>
    <t>Jason Reiplinger</t>
  </si>
  <si>
    <t>+(503)554-9528</t>
  </si>
  <si>
    <t>Residence Inn Worcester</t>
  </si>
  <si>
    <t xml:space="preserve">503 Plantation Street </t>
  </si>
  <si>
    <t>Worcester</t>
  </si>
  <si>
    <t>Elzeli (Zeli) Kalil</t>
  </si>
  <si>
    <t>Quincy Washington</t>
  </si>
  <si>
    <t>+1 (508) 753-6300</t>
  </si>
  <si>
    <t>Homewood Suites Portsmouth</t>
  </si>
  <si>
    <t xml:space="preserve">100 Portsmouth Boulevard </t>
  </si>
  <si>
    <t>Portsmouth</t>
  </si>
  <si>
    <t>Paul Wilkins</t>
  </si>
  <si>
    <t>+1 (603) 427-5400</t>
  </si>
  <si>
    <t>SpringHill Suites Manchester - Boston Regional Airport</t>
  </si>
  <si>
    <t xml:space="preserve">975 North Perimeter Road </t>
  </si>
  <si>
    <t>Jane LeBlanc</t>
  </si>
  <si>
    <t>+1 (603) 668-9400</t>
  </si>
  <si>
    <t>Homewood Suites Manchester Airport</t>
  </si>
  <si>
    <t xml:space="preserve">1000 Perimeter Road </t>
  </si>
  <si>
    <t>James Prentiss</t>
  </si>
  <si>
    <t>Zachary Germana</t>
  </si>
  <si>
    <t>+1 (603) 668-2200</t>
  </si>
  <si>
    <t>Courtyard Manchester - Boston Regional Airport</t>
  </si>
  <si>
    <t xml:space="preserve">700 Huse Road </t>
  </si>
  <si>
    <t>Breanna Cone</t>
  </si>
  <si>
    <t>+1 (603) 641-4900</t>
  </si>
  <si>
    <t>Courtyard Keene Downtown</t>
  </si>
  <si>
    <t xml:space="preserve">75 Railroad Street </t>
  </si>
  <si>
    <t>Keene</t>
  </si>
  <si>
    <t>Heidi Hale</t>
  </si>
  <si>
    <t>Mike Blanchette</t>
  </si>
  <si>
    <t>+1 (603) 354-7900</t>
  </si>
  <si>
    <t>Residence Inn Boston Franklin</t>
  </si>
  <si>
    <t xml:space="preserve">4 Forge Parkway </t>
  </si>
  <si>
    <t>Susan Perrothers</t>
  </si>
  <si>
    <t>+1 (508) 541-8188</t>
  </si>
  <si>
    <t>Residence Inn Boston Foxborough</t>
  </si>
  <si>
    <t xml:space="preserve">250 Foxborough Boulevard </t>
  </si>
  <si>
    <t>Foxborough</t>
  </si>
  <si>
    <t>Jesse Weatherford</t>
  </si>
  <si>
    <t>Marie Genitti</t>
  </si>
  <si>
    <t>+1 (508) 698-2800</t>
  </si>
  <si>
    <t>Waves Resort Corpus Christi</t>
  </si>
  <si>
    <t xml:space="preserve">14353 Commodores Drive </t>
  </si>
  <si>
    <t>Corpus Christi</t>
  </si>
  <si>
    <t>Stephanie Pickett</t>
  </si>
  <si>
    <t>Shari Mulaney</t>
  </si>
  <si>
    <t>+1 (361) 589-4220</t>
  </si>
  <si>
    <t>Pendleton Creek LLC</t>
  </si>
  <si>
    <t>Pendleton Creek Golf Club</t>
  </si>
  <si>
    <t xml:space="preserve">4391 Tonawanda Creek Road </t>
  </si>
  <si>
    <t>North Tonawanda</t>
  </si>
  <si>
    <t>Don Schneider</t>
  </si>
  <si>
    <t>Ann Lund</t>
  </si>
  <si>
    <t>+ (716) 694-0366</t>
  </si>
  <si>
    <t>CountryWide Hospitality LLC</t>
  </si>
  <si>
    <t>Hampton Inn &amp; Suites Dallas-Cockrell Hill I-30</t>
  </si>
  <si>
    <t xml:space="preserve">1718 North Cockrell Hill Road </t>
  </si>
  <si>
    <t>Shannon Murray</t>
  </si>
  <si>
    <t>+1 (214) 634-1800</t>
  </si>
  <si>
    <t>Redwood Shores Affordable Housing</t>
  </si>
  <si>
    <t xml:space="preserve">1000 Twin Dolphin Drive </t>
  </si>
  <si>
    <t>Redwood City</t>
  </si>
  <si>
    <t>MFH: Affordable</t>
  </si>
  <si>
    <t>Bridgette Burns</t>
  </si>
  <si>
    <t>+1 (650) 593-4100</t>
  </si>
  <si>
    <t>THE CROSSINGS AT RIVERVIEW</t>
  </si>
  <si>
    <t xml:space="preserve">8451 US HIGHWAY 301 SOUTH </t>
  </si>
  <si>
    <t>RIVERVIEW</t>
  </si>
  <si>
    <t>813-320-0006</t>
  </si>
  <si>
    <t>Days Inn &amp; Suites Scottsdale</t>
  </si>
  <si>
    <t xml:space="preserve">7330 North Pima Road </t>
  </si>
  <si>
    <t xml:space="preserve">Adam Hoaglund </t>
  </si>
  <si>
    <t>+1 (480) 948-3800</t>
  </si>
  <si>
    <t>Courtyard Rochester Downtown</t>
  </si>
  <si>
    <t xml:space="preserve">390 East Avenue </t>
  </si>
  <si>
    <t>Josh Srolis</t>
  </si>
  <si>
    <t>Aloft Oklahoma City Downtown-Bricktown</t>
  </si>
  <si>
    <t xml:space="preserve">209 North Walnut Avenue </t>
  </si>
  <si>
    <t>Christine McGraw</t>
  </si>
  <si>
    <t>Vianey Kattan</t>
  </si>
  <si>
    <t>+1(405)605-2100</t>
  </si>
  <si>
    <t>San Jose Hotel</t>
  </si>
  <si>
    <t xml:space="preserve">170 S. Market Street </t>
  </si>
  <si>
    <t>Brett Connor</t>
  </si>
  <si>
    <t>Mario Chang Kin Kee</t>
  </si>
  <si>
    <t>+ (408) 998-1900</t>
  </si>
  <si>
    <t>KENSINGTON SENIOR LIVING</t>
  </si>
  <si>
    <t>THE KENSINGTON RESTON</t>
  </si>
  <si>
    <t xml:space="preserve">11501 SUNRISE VALLEY DRIVE </t>
  </si>
  <si>
    <t>RESTON</t>
  </si>
  <si>
    <t>703-437-9342</t>
  </si>
  <si>
    <t>Operadora Hotelera I421 SA de CV de Mexico</t>
  </si>
  <si>
    <t>Esplendor by Wyndham La Condesa</t>
  </si>
  <si>
    <t>153 Aguascalientes Hipódromo Cuauhtémoc C.P.</t>
  </si>
  <si>
    <t>Wyndham Grand</t>
  </si>
  <si>
    <t>Antonio Alvarez</t>
  </si>
  <si>
    <t>Daniel Millan</t>
  </si>
  <si>
    <t>+()52 984 151 8670</t>
  </si>
  <si>
    <t>Wyndham Grand Mexico City</t>
  </si>
  <si>
    <t>153 Aguascalientes Hipódromo Condesa Cuauhtémoc C.P.</t>
  </si>
  <si>
    <t>+52 (984) 151 8670</t>
  </si>
  <si>
    <t>RIVERSIDE VILLAGE HEALTHCARE CENTER</t>
  </si>
  <si>
    <t>951-567-5719</t>
  </si>
  <si>
    <t>PROVEER SENIOR LIVING LLS</t>
  </si>
  <si>
    <t xml:space="preserve">PATHWAYS MEMORY CARE </t>
  </si>
  <si>
    <t xml:space="preserve">2930 CYPRESS GROVE MEADOWS DRIVE </t>
  </si>
  <si>
    <t>281-315-1450</t>
  </si>
  <si>
    <t>LEGACY LIVING OF ARLINGTON</t>
  </si>
  <si>
    <t xml:space="preserve">1501 NORTHEAST GREEN OAKS BLVD </t>
  </si>
  <si>
    <t>817-795-1700</t>
  </si>
  <si>
    <t xml:space="preserve">1393 DON TYSON ROAD </t>
  </si>
  <si>
    <t>479-751-2390</t>
  </si>
  <si>
    <t>VALLEY RANCH NURSING AND REHAB</t>
  </si>
  <si>
    <t xml:space="preserve">6411 VALLEY RANCH DRIVE </t>
  </si>
  <si>
    <t>501-868-8857</t>
  </si>
  <si>
    <t>The Beachcomber Beach Resort Hotel</t>
  </si>
  <si>
    <t xml:space="preserve">6200 Gulf Boulevard </t>
  </si>
  <si>
    <t>St. Pete Beach</t>
  </si>
  <si>
    <t>+1 (727) 367-1902</t>
  </si>
  <si>
    <t>Spruce Point Inn</t>
  </si>
  <si>
    <t xml:space="preserve">88 Grandview Avenue </t>
  </si>
  <si>
    <t>Boothbay Harbor</t>
  </si>
  <si>
    <t>Gil Hartman</t>
  </si>
  <si>
    <t>+1 (207) 633-4152</t>
  </si>
  <si>
    <t>Turtle Bay Cottages &amp; Resorts</t>
  </si>
  <si>
    <t xml:space="preserve">57-091 Kamehameha Highway </t>
  </si>
  <si>
    <t>Kahuka</t>
  </si>
  <si>
    <t>Brian Hunnings</t>
  </si>
  <si>
    <t>Jerry Gibson</t>
  </si>
  <si>
    <t>+1 (808) 293.6000</t>
  </si>
  <si>
    <t>Bellwether Beach Resort</t>
  </si>
  <si>
    <t xml:space="preserve">5250 Gulf Boulevard </t>
  </si>
  <si>
    <t>Jay Rocha</t>
  </si>
  <si>
    <t>Bruno Miura</t>
  </si>
  <si>
    <t>+1 (727) 360-1811</t>
  </si>
  <si>
    <t>World of Whirlpool</t>
  </si>
  <si>
    <t xml:space="preserve">325 North LaSalle Suite 725 </t>
  </si>
  <si>
    <t>Kerin Robinson</t>
  </si>
  <si>
    <t>+1 (312) 840-8030</t>
  </si>
  <si>
    <t>Edith Macy Conference Center</t>
  </si>
  <si>
    <t xml:space="preserve">550 Chappaqua Road </t>
  </si>
  <si>
    <t>BRIARCLIFF MANOR</t>
  </si>
  <si>
    <t>Dave Vogt</t>
  </si>
  <si>
    <t>Jeff Kotzur</t>
  </si>
  <si>
    <t>+1 (914) 945-8098</t>
  </si>
  <si>
    <t>Gilchrist Club</t>
  </si>
  <si>
    <t xml:space="preserve">3270 Southeast 4th Way </t>
  </si>
  <si>
    <t>Trenton</t>
  </si>
  <si>
    <t>Bob Edwards</t>
  </si>
  <si>
    <t>+1 (352) 463-7070</t>
  </si>
  <si>
    <t>Snow King Resort</t>
  </si>
  <si>
    <t>400 East Snow King Avenue P.O. Box 3520</t>
  </si>
  <si>
    <t>Jackson Hole</t>
  </si>
  <si>
    <t>Gregg Fracassa</t>
  </si>
  <si>
    <t>+1 (307) 733-5200</t>
  </si>
  <si>
    <t>Costa d'Este Beach Resort</t>
  </si>
  <si>
    <t xml:space="preserve">3244 Ocean Drive </t>
  </si>
  <si>
    <t>Chad Olson</t>
  </si>
  <si>
    <t>Shaun Griffin</t>
  </si>
  <si>
    <t>+1 (772) 562-9919</t>
  </si>
  <si>
    <t>The Heldrich</t>
  </si>
  <si>
    <t xml:space="preserve">10 Livingston Avenue </t>
  </si>
  <si>
    <t>New Brunswick</t>
  </si>
  <si>
    <t>Stacy Martin</t>
  </si>
  <si>
    <t>Bryan Lowe</t>
  </si>
  <si>
    <t>+1 (732) 729-4670</t>
  </si>
  <si>
    <t>Abbey Resort</t>
  </si>
  <si>
    <t xml:space="preserve">269 Fontana Blvd. </t>
  </si>
  <si>
    <t>Fontana</t>
  </si>
  <si>
    <t>Michael Lucero</t>
  </si>
  <si>
    <t>Lisa McLernon</t>
  </si>
  <si>
    <t>+1 (262) 275-9000</t>
  </si>
  <si>
    <t>Hyatt Place New York Chelsea</t>
  </si>
  <si>
    <t xml:space="preserve">140 West 24th Street </t>
  </si>
  <si>
    <t>Natalie Serse</t>
  </si>
  <si>
    <t>Gary Maida</t>
  </si>
  <si>
    <t>+1 (929) 430-2400</t>
  </si>
  <si>
    <t>AVANTE GROUP INC.</t>
  </si>
  <si>
    <t>AVANTE MIAMI CARE CENTER</t>
  </si>
  <si>
    <t xml:space="preserve">5959 NORTHWEST 7TH STREET </t>
  </si>
  <si>
    <t>MAJESTIC MEMORY CARE</t>
  </si>
  <si>
    <t xml:space="preserve">1200 ARTHUR STREET </t>
  </si>
  <si>
    <t>954-526-9781</t>
  </si>
  <si>
    <t>LENOX ON THE LAKE</t>
  </si>
  <si>
    <t xml:space="preserve">6700 WEST COMMERCIAL BLVD </t>
  </si>
  <si>
    <t>TAMARAC</t>
  </si>
  <si>
    <t>954-741-6700</t>
  </si>
  <si>
    <t>RANDOLPH NURSING HOME</t>
  </si>
  <si>
    <t xml:space="preserve">701 S OAK ST </t>
  </si>
  <si>
    <t>859-317-4008</t>
  </si>
  <si>
    <t>COMPASSION HEALTH SERVICES</t>
  </si>
  <si>
    <t>GOLDEN RIDGE RETIREMENT COMMUNITY</t>
  </si>
  <si>
    <t xml:space="preserve">200 MONTANA AVENUE </t>
  </si>
  <si>
    <t>RAPID CITY</t>
  </si>
  <si>
    <t>605-722-6380</t>
  </si>
  <si>
    <t>THE VICTORIAN SENIOR LIVING</t>
  </si>
  <si>
    <t xml:space="preserve">1321 COLUMBUS STREET </t>
  </si>
  <si>
    <t>605-342-1913</t>
  </si>
  <si>
    <t>THE GUEST HOUSE SKILLED NURSING AND REHAB</t>
  </si>
  <si>
    <t xml:space="preserve">9225 NORMANDIE DRIVE </t>
  </si>
  <si>
    <t>SHREVEPORT</t>
  </si>
  <si>
    <t>318-868-0515</t>
  </si>
  <si>
    <t>THE BRADFORD SKILLED NURSING AND REHAB</t>
  </si>
  <si>
    <t xml:space="preserve">3050 BAIRD ROAD </t>
  </si>
  <si>
    <t>318-688-1010</t>
  </si>
  <si>
    <t>SPRING LAKE SKILLED NURSING AND REHAB</t>
  </si>
  <si>
    <t xml:space="preserve">8622 LINE AVENUE </t>
  </si>
  <si>
    <t>318-868-4126</t>
  </si>
  <si>
    <t>SHREVEPORT MANOR SKILLED NURSING AND REHAB</t>
  </si>
  <si>
    <t xml:space="preserve">3302 MANSFIELD ROAD </t>
  </si>
  <si>
    <t>318-222-9482</t>
  </si>
  <si>
    <t>ROYSE CITY MEDICAL LODGE</t>
  </si>
  <si>
    <t xml:space="preserve">901 WEST INTERSTATE 30 </t>
  </si>
  <si>
    <t>ROYSE CITY</t>
  </si>
  <si>
    <t>972-636-9100</t>
  </si>
  <si>
    <t>PILGRIM MANOR SKILLED NURSING AND REHAB</t>
  </si>
  <si>
    <t xml:space="preserve">1524 DOCTORS DRIVE </t>
  </si>
  <si>
    <t>BOSSIER CITY</t>
  </si>
  <si>
    <t>318-742-1623</t>
  </si>
  <si>
    <t>DECATUR MEDICAL LODGE</t>
  </si>
  <si>
    <t xml:space="preserve">701 W BENNETT RD </t>
  </si>
  <si>
    <t>940-626-2800</t>
  </si>
  <si>
    <t>COLONIAL OAKS SKILLED NURSING AND REHAB</t>
  </si>
  <si>
    <t xml:space="preserve">4921 MEDICAL DRIVE </t>
  </si>
  <si>
    <t>318-742-5430</t>
  </si>
  <si>
    <t>BROADMOOR MEDICAL LODGE</t>
  </si>
  <si>
    <t xml:space="preserve">5242 MEDICAL DR </t>
  </si>
  <si>
    <t>972-772-8700</t>
  </si>
  <si>
    <t>BRIDGEPORT MEDICAL LODGE</t>
  </si>
  <si>
    <t xml:space="preserve">2108 15TH STREET </t>
  </si>
  <si>
    <t>940-683-5023</t>
  </si>
  <si>
    <t xml:space="preserve">2401 N SERVICE ROAD E </t>
  </si>
  <si>
    <t>RUSTON</t>
  </si>
  <si>
    <t>318-255-6492</t>
  </si>
  <si>
    <t xml:space="preserve">Blossom Hotel Management Inc. dba Blossom Hotel Houston Medical Center </t>
  </si>
  <si>
    <t>Blossom Hotel Houston Medical Center</t>
  </si>
  <si>
    <t xml:space="preserve">7118 Bertner Ave </t>
  </si>
  <si>
    <t>+1 (832) 734-8888</t>
  </si>
  <si>
    <t>TownePlace Suites Austin Northwest - Domain Area</t>
  </si>
  <si>
    <t xml:space="preserve">2237 West Braker Lane </t>
  </si>
  <si>
    <t>Laura Dickey</t>
  </si>
  <si>
    <t>Robert McGuire</t>
  </si>
  <si>
    <t>+(512)835-6000</t>
  </si>
  <si>
    <t>Kanuga Resort &amp; Conference Center</t>
  </si>
  <si>
    <t xml:space="preserve">471 Kanuga Chapel Drive </t>
  </si>
  <si>
    <t>Hendersonville</t>
  </si>
  <si>
    <t>Stephanie Watts</t>
  </si>
  <si>
    <t>+1 (828) 233-2830</t>
  </si>
  <si>
    <t>Hampton Inn &amp; Suites Jackson (TN)</t>
  </si>
  <si>
    <t xml:space="preserve">150 Campbell Oaks Boulevard </t>
  </si>
  <si>
    <t>Tiffany Thomas</t>
  </si>
  <si>
    <t>+1(731)427-6100</t>
  </si>
  <si>
    <t>Sheraton Denver West</t>
  </si>
  <si>
    <t xml:space="preserve">360 Union Boulevard </t>
  </si>
  <si>
    <t>Lakewood</t>
  </si>
  <si>
    <t>Paul Lee</t>
  </si>
  <si>
    <t>Sara Cavinder</t>
  </si>
  <si>
    <t>+ (303) 987-2000</t>
  </si>
  <si>
    <t>Blue Hills Company</t>
  </si>
  <si>
    <t xml:space="preserve">4243 Hunt Road </t>
  </si>
  <si>
    <t>+1 (513) 891-1066</t>
  </si>
  <si>
    <t>NAM Hospitality LLC</t>
  </si>
  <si>
    <t>Holiday Inn Express Ukiah</t>
  </si>
  <si>
    <t xml:space="preserve">1270 Airport Park Blvd </t>
  </si>
  <si>
    <t>Ukiah</t>
  </si>
  <si>
    <t>Alpesh Jivan</t>
  </si>
  <si>
    <t>+(707) 462-1514</t>
  </si>
  <si>
    <t>Emerald Queen Hotel Tacoma</t>
  </si>
  <si>
    <t xml:space="preserve">1820 East 29th Street </t>
  </si>
  <si>
    <t>BaKIT Inc.</t>
  </si>
  <si>
    <t>BaKIT Inc (located in The Hatchery Chicago)</t>
  </si>
  <si>
    <t xml:space="preserve">135 N Kedzie Ave. </t>
  </si>
  <si>
    <t>Shelley Gupta</t>
  </si>
  <si>
    <t>+(1) 312 860-3113</t>
  </si>
  <si>
    <t>The Little Sparo</t>
  </si>
  <si>
    <t xml:space="preserve">2 Hill O'Chips </t>
  </si>
  <si>
    <t>St. John's</t>
  </si>
  <si>
    <t>A1C 6B1</t>
  </si>
  <si>
    <t>+(1) 709-764-1785</t>
  </si>
  <si>
    <t>DoubleTree Harbourview</t>
  </si>
  <si>
    <t>Jane Kingston</t>
  </si>
  <si>
    <t>+1 (709)-383-1475</t>
  </si>
  <si>
    <t>Canvas Moncton</t>
  </si>
  <si>
    <t xml:space="preserve">55 Queen Street </t>
  </si>
  <si>
    <t>Moncton</t>
  </si>
  <si>
    <t>NB</t>
  </si>
  <si>
    <t>E1C 1K2</t>
  </si>
  <si>
    <t>Michelle Boudreau</t>
  </si>
  <si>
    <t>+1 (506)-800-8118</t>
  </si>
  <si>
    <t>Thompson Savannah</t>
  </si>
  <si>
    <t xml:space="preserve">201 Port Street </t>
  </si>
  <si>
    <t>matt graham</t>
  </si>
  <si>
    <t>+(912) 790-1234</t>
  </si>
  <si>
    <t>Hampton Inn Clewiston</t>
  </si>
  <si>
    <t xml:space="preserve">305 West Sugarland Highway </t>
  </si>
  <si>
    <t>Clewiston</t>
  </si>
  <si>
    <t>+1 (239) 595-4761</t>
  </si>
  <si>
    <t>Hampton Inn &amp; Suites Dallas Plano</t>
  </si>
  <si>
    <t xml:space="preserve">3316 Central Expressway </t>
  </si>
  <si>
    <t>Brandon Edwards</t>
  </si>
  <si>
    <t>+1 (972) 905-5786</t>
  </si>
  <si>
    <t>Hawthorn Suites Philadelphia Airport</t>
  </si>
  <si>
    <t xml:space="preserve">4630 Island Avenue </t>
  </si>
  <si>
    <t>Hawthorn Inn &amp; Suites</t>
  </si>
  <si>
    <t>Michele Yost</t>
  </si>
  <si>
    <t>(215) 492-1611</t>
  </si>
  <si>
    <t>Imbue Investments LLC</t>
  </si>
  <si>
    <t>Fairfield Inn &amp; Suites Houston Missouri City</t>
  </si>
  <si>
    <t xml:space="preserve">3533 FM 1092 </t>
  </si>
  <si>
    <t>Missouri City</t>
  </si>
  <si>
    <t>Jeff Hoover</t>
  </si>
  <si>
    <t>+1(832)899-8181</t>
  </si>
  <si>
    <t>BOULDER OPERATIONS HOLDINGS</t>
  </si>
  <si>
    <t>ROSEMOUNT PAVILION</t>
  </si>
  <si>
    <t xml:space="preserve">20 EASTER DRIVE </t>
  </si>
  <si>
    <t>740-354-4505</t>
  </si>
  <si>
    <t>PIQUA HEALTH AND REHAB CENTER</t>
  </si>
  <si>
    <t xml:space="preserve">275 KIENLE DRIVE </t>
  </si>
  <si>
    <t>PIQUA</t>
  </si>
  <si>
    <t>937-773-9346</t>
  </si>
  <si>
    <t>UPTOWN WESTERVILLE HEALTHCARE CENTER</t>
  </si>
  <si>
    <t xml:space="preserve">140 OLD COUNTY LINE ROAD </t>
  </si>
  <si>
    <t>WESTERVILLE</t>
  </si>
  <si>
    <t>614-882-1511</t>
  </si>
  <si>
    <t>OREGON HEALTHCARE</t>
  </si>
  <si>
    <t xml:space="preserve">3953 NAVARRE AVENUE </t>
  </si>
  <si>
    <t>440-779-6900</t>
  </si>
  <si>
    <t>MADIERA VILLAGE NURSING AND REHAB</t>
  </si>
  <si>
    <t xml:space="preserve">5970 KENWOOD ROAD </t>
  </si>
  <si>
    <t>MADEIRA</t>
  </si>
  <si>
    <t>516-561-4111</t>
  </si>
  <si>
    <t>WOODRIDGE HEALTHCARE</t>
  </si>
  <si>
    <t xml:space="preserve">3801 WOODRIDGE BLVD </t>
  </si>
  <si>
    <t>513-874-9933</t>
  </si>
  <si>
    <t>WATERVILLE HEALTHCARE</t>
  </si>
  <si>
    <t xml:space="preserve">8885 BROWNING DRIVE </t>
  </si>
  <si>
    <t>419-878-8523</t>
  </si>
  <si>
    <t>MAYFIELD HEIGHTS HEALTHCARE</t>
  </si>
  <si>
    <t xml:space="preserve">6757 MAYFIELD ROAD </t>
  </si>
  <si>
    <t>MAYFIELD HEIGHTS</t>
  </si>
  <si>
    <t>440-473-0090</t>
  </si>
  <si>
    <t>LENNOX RIDGE NURSING AND REHAB</t>
  </si>
  <si>
    <t xml:space="preserve">23225 LORAIN ROAD </t>
  </si>
  <si>
    <t>NORTH OLMSTED</t>
  </si>
  <si>
    <t>440-449-6900</t>
  </si>
  <si>
    <t>INDIAN MEADOWS</t>
  </si>
  <si>
    <t xml:space="preserve">303 W LEGGETT STREET </t>
  </si>
  <si>
    <t>WAUSEON</t>
  </si>
  <si>
    <t>HIGHLAND SQUARE NURSING AND REHAB</t>
  </si>
  <si>
    <t xml:space="preserve">1211 WEST MARKET STREET </t>
  </si>
  <si>
    <t>330-867-8530</t>
  </si>
  <si>
    <t>GLASS CITY HEALTH AND REHAB</t>
  </si>
  <si>
    <t xml:space="preserve">4293 MONROE STREET </t>
  </si>
  <si>
    <t>419-474-6021</t>
  </si>
  <si>
    <t>GREENVILLE HEALT AND REHAB CENTER</t>
  </si>
  <si>
    <t xml:space="preserve">243 MARION DRIVE </t>
  </si>
  <si>
    <t>937-548-3141</t>
  </si>
  <si>
    <t>EUCLID BEACH HEALTHCARE</t>
  </si>
  <si>
    <t xml:space="preserve">16101 EUCLID BEACH BLVD </t>
  </si>
  <si>
    <t>216-486-2300</t>
  </si>
  <si>
    <t>BELDEN VILLAGE HEALTHCARE</t>
  </si>
  <si>
    <t xml:space="preserve">5005 HIGBEE AVENUE NORTHWEST </t>
  </si>
  <si>
    <t>PARKVIEW HEALTHCARE</t>
  </si>
  <si>
    <t xml:space="preserve">128 NORTH HARDESTY AVENUE </t>
  </si>
  <si>
    <t>816-241-2020</t>
  </si>
  <si>
    <t>LEGEND HEALTHCARE</t>
  </si>
  <si>
    <t xml:space="preserve">1010 EAST STREET </t>
  </si>
  <si>
    <t>TONGANOXIE</t>
  </si>
  <si>
    <t>913-369-8705</t>
  </si>
  <si>
    <t>UNIVERSAL HEALTHCARE MANAGEMENT</t>
  </si>
  <si>
    <t>ASTORA PLACE AT SILVERTON</t>
  </si>
  <si>
    <t xml:space="preserve">6922 OHIO AVE </t>
  </si>
  <si>
    <t>513-863-3100</t>
  </si>
  <si>
    <t>HALLMARK LIVING-BENTON HARBOR</t>
  </si>
  <si>
    <t xml:space="preserve">1385 EMPIRE AVENUE </t>
  </si>
  <si>
    <t>BENTON HARBOR</t>
  </si>
  <si>
    <t>269-925-0033</t>
  </si>
  <si>
    <t>ASTORIA PLACE OF CINCINNATI</t>
  </si>
  <si>
    <t xml:space="preserve">3627 HARVEY AVENUE </t>
  </si>
  <si>
    <t xml:space="preserve">CINCINNATI </t>
  </si>
  <si>
    <t>513-961-8881</t>
  </si>
  <si>
    <t>APERION CARE MASCOUTAH</t>
  </si>
  <si>
    <t xml:space="preserve">901 NORTH 10TH STREET </t>
  </si>
  <si>
    <t>MASCOUTAH</t>
  </si>
  <si>
    <t>618-566-2183</t>
  </si>
  <si>
    <t>APERION CARE FAIRFIELD</t>
  </si>
  <si>
    <t xml:space="preserve">305 NORTHWEST 11TH STRET </t>
  </si>
  <si>
    <t>618-842-3036</t>
  </si>
  <si>
    <t>Hyatt Place Princeton</t>
  </si>
  <si>
    <t xml:space="preserve">3565 US Route 1 </t>
  </si>
  <si>
    <t>+ (609) 720-0200</t>
  </si>
  <si>
    <t>Hotel Valley Ho</t>
  </si>
  <si>
    <t xml:space="preserve">6850 East Main Street </t>
  </si>
  <si>
    <t>Christy Hubbs</t>
  </si>
  <si>
    <t>Ronen Aviram</t>
  </si>
  <si>
    <t>+1 (480) 248-2011</t>
  </si>
  <si>
    <t>Tru Eugene</t>
  </si>
  <si>
    <t xml:space="preserve">3111 Franklin Boulevard </t>
  </si>
  <si>
    <t>Pranav Patel</t>
  </si>
  <si>
    <t>+1 (541) 343-7000</t>
  </si>
  <si>
    <t>University Inn &amp; Suites</t>
  </si>
  <si>
    <t xml:space="preserve">1857 Franklin Boulevard </t>
  </si>
  <si>
    <t>Cheryl Swann</t>
  </si>
  <si>
    <t>+1 (541) 342-4804</t>
  </si>
  <si>
    <t>Candlewood Suites Eugene Springfield</t>
  </si>
  <si>
    <t xml:space="preserve">3005 Franklin Boulevard </t>
  </si>
  <si>
    <t>Lesley Branan</t>
  </si>
  <si>
    <t>+1 (541) 683-8000</t>
  </si>
  <si>
    <t>Pendry Manhattan West</t>
  </si>
  <si>
    <t xml:space="preserve">440 West 33rd Street </t>
  </si>
  <si>
    <t>Ami Alexander</t>
  </si>
  <si>
    <t>Andrew McCarthy</t>
  </si>
  <si>
    <t>+1 (949) 333-8920</t>
  </si>
  <si>
    <t>AC Hotel Fort Lauderdale Beach</t>
  </si>
  <si>
    <t xml:space="preserve">3029 Alhambra Street </t>
  </si>
  <si>
    <t>Candice Cancino</t>
  </si>
  <si>
    <t>+(954)356-7900</t>
  </si>
  <si>
    <t>FAYETTEVILLE CENTER FOR NURSING AND HEALING LLC</t>
  </si>
  <si>
    <t xml:space="preserve">110 BRANDYWINE </t>
  </si>
  <si>
    <t>770-461-2928</t>
  </si>
  <si>
    <t>ALLEGIANT HEALTHCARE OF PHOENIX</t>
  </si>
  <si>
    <t xml:space="preserve">1880 EAST VAN BUREN STREET </t>
  </si>
  <si>
    <t>ACCORDIUS HEALTH AT NANS POINTE</t>
  </si>
  <si>
    <t xml:space="preserve">200 WEST CONSTANCE ROAD </t>
  </si>
  <si>
    <t>SUFFOLK</t>
  </si>
  <si>
    <t>757-539-8744</t>
  </si>
  <si>
    <t>APERION CARE BURBANK</t>
  </si>
  <si>
    <t xml:space="preserve">5701 WEST 79TH STREET </t>
  </si>
  <si>
    <t>708-499-5400</t>
  </si>
  <si>
    <t>ELEVATE CARE NILES</t>
  </si>
  <si>
    <t xml:space="preserve">8333 WEST GOLF ROAD </t>
  </si>
  <si>
    <t>ELEVATE CARE NORTHBROOK</t>
  </si>
  <si>
    <t xml:space="preserve">270 SKOKIE BLVD </t>
  </si>
  <si>
    <t>APERION CARE MARION</t>
  </si>
  <si>
    <t xml:space="preserve">614 WEST 14TH STREET </t>
  </si>
  <si>
    <t>765-662-3701</t>
  </si>
  <si>
    <t>APERION CARE HIGHWOOD</t>
  </si>
  <si>
    <t xml:space="preserve">50 PLEASANT AVENUE </t>
  </si>
  <si>
    <t>HIGHWOOD</t>
  </si>
  <si>
    <t>847-432-9142</t>
  </si>
  <si>
    <t>APERION CARE BRADLEY</t>
  </si>
  <si>
    <t xml:space="preserve">650 NORTH KINZIE AVENUE </t>
  </si>
  <si>
    <t>BRADLEY</t>
  </si>
  <si>
    <t>815-933-1666</t>
  </si>
  <si>
    <t>ARCADIA CARE OF DANVILLE</t>
  </si>
  <si>
    <t xml:space="preserve">1701 NORTH BOWMAN AVENUE </t>
  </si>
  <si>
    <t>DANVILLE</t>
  </si>
  <si>
    <t>CREST HEALTHCARE</t>
  </si>
  <si>
    <t>PARIS HEALTHCARE AND REHAB</t>
  </si>
  <si>
    <t xml:space="preserve">1011 NORTH MAIN STREET </t>
  </si>
  <si>
    <t>PARIS</t>
  </si>
  <si>
    <t>CRESTVIEW NURSING AND REHAB</t>
  </si>
  <si>
    <t xml:space="preserve">2401 SOUTH DES MOINES STREET </t>
  </si>
  <si>
    <t>APERION CARE TOLLESTON PARK</t>
  </si>
  <si>
    <t xml:space="preserve">2350 TAFT STREET </t>
  </si>
  <si>
    <t>GARY</t>
  </si>
  <si>
    <t>219-944-2677</t>
  </si>
  <si>
    <t>APERION CARE FOREST PARK</t>
  </si>
  <si>
    <t xml:space="preserve">8200 WEST ROOSEVELT ROAD </t>
  </si>
  <si>
    <t>FOREST PARK</t>
  </si>
  <si>
    <t>708-349-9850</t>
  </si>
  <si>
    <t>APERION CARE CHICAGO HEIGHTS</t>
  </si>
  <si>
    <t xml:space="preserve">490 WEST 16TH PLACE </t>
  </si>
  <si>
    <t>CHICAGO HEIGHTS</t>
  </si>
  <si>
    <t>798-481-4444</t>
  </si>
  <si>
    <t>ELEVATE CARE CHICAGO NORTH</t>
  </si>
  <si>
    <t xml:space="preserve">2451 WEST TOUHY </t>
  </si>
  <si>
    <t>APERION ESTATES PERU</t>
  </si>
  <si>
    <t xml:space="preserve">1200 WEST KITTYHAWK AVENUE </t>
  </si>
  <si>
    <t>765-689-7333</t>
  </si>
  <si>
    <t>LAKE COUNTY NURSING AND REHAB CENTER</t>
  </si>
  <si>
    <t xml:space="preserve">5025 MCCOOK AVENUE </t>
  </si>
  <si>
    <t>EAST CHICAGO</t>
  </si>
  <si>
    <t>ELEVATE CARE NORTH BRANCH</t>
  </si>
  <si>
    <t xml:space="preserve">6840 WEST TOUHY AVENUE </t>
  </si>
  <si>
    <t>ELEVATE CARE IRVING PARK</t>
  </si>
  <si>
    <t xml:space="preserve">4340 NORTH KEYSTONE </t>
  </si>
  <si>
    <t>APERION CARE PERU</t>
  </si>
  <si>
    <t xml:space="preserve">1850 WEST MATADOR STREET </t>
  </si>
  <si>
    <t>765-689-5000</t>
  </si>
  <si>
    <t>WASHINGTON CARE CENTER</t>
  </si>
  <si>
    <t xml:space="preserve">2821 SOUTH WALDEN STREET </t>
  </si>
  <si>
    <t>206-577-6200</t>
  </si>
  <si>
    <t>SERENITY OF GALESBURG</t>
  </si>
  <si>
    <t xml:space="preserve">1145 FRANK STREET </t>
  </si>
  <si>
    <t>ARCADIA CARE CLIFTON</t>
  </si>
  <si>
    <t xml:space="preserve">1190 EAST 2900 NORTH ROAD </t>
  </si>
  <si>
    <t>WAVERLY PLACE OF STOCKTON</t>
  </si>
  <si>
    <t xml:space="preserve">501 EAST FRONT AVENUE </t>
  </si>
  <si>
    <t>APERION CARE WEST RIDGE</t>
  </si>
  <si>
    <t xml:space="preserve">6450 NORTH RIDGE BLVD </t>
  </si>
  <si>
    <t>773-743-8700</t>
  </si>
  <si>
    <t>SEBOS NURSING AND REHAB CENTER</t>
  </si>
  <si>
    <t xml:space="preserve">4410 WEST 49TH AVENUE </t>
  </si>
  <si>
    <t>HOBART</t>
  </si>
  <si>
    <t>APERION CARE DEMOTTE</t>
  </si>
  <si>
    <t xml:space="preserve">10352 NORTH 600 EAST </t>
  </si>
  <si>
    <t>DEMOTTE</t>
  </si>
  <si>
    <t>219-345-4949</t>
  </si>
  <si>
    <t>APERION CARE INTERNATIONAL</t>
  </si>
  <si>
    <t xml:space="preserve">4815 SOUTH WESTERN BLVD </t>
  </si>
  <si>
    <t>773-927-4200</t>
  </si>
  <si>
    <t>HEARTWOOD EXTENDED HEALTHCARE</t>
  </si>
  <si>
    <t xml:space="preserve">1649 72ND STREET </t>
  </si>
  <si>
    <t>EAST TACOMA</t>
  </si>
  <si>
    <t>253-472-9027</t>
  </si>
  <si>
    <t>APERION CARE OAK LAWN</t>
  </si>
  <si>
    <t xml:space="preserve">9401 SOUTH RIDGELAND AVENUE </t>
  </si>
  <si>
    <t>798-599-6700</t>
  </si>
  <si>
    <t>APERION CARE MIDLOTHIAN</t>
  </si>
  <si>
    <t xml:space="preserve">3249 WEST 147TH STREET </t>
  </si>
  <si>
    <t>MIDLOTHIAN</t>
  </si>
  <si>
    <t>708-396-1626</t>
  </si>
  <si>
    <t>APERION CARE GLENWOOD</t>
  </si>
  <si>
    <t xml:space="preserve">19330 SOUTH COTTAGE AVENUE </t>
  </si>
  <si>
    <t>GLENWOOD</t>
  </si>
  <si>
    <t>708-758-6200</t>
  </si>
  <si>
    <t>APERION CARE ARBORS</t>
  </si>
  <si>
    <t xml:space="preserve">1101 EAST COOLSPRING AVENUE </t>
  </si>
  <si>
    <t>MICHIGAN CITY</t>
  </si>
  <si>
    <t>219-874-5311</t>
  </si>
  <si>
    <t>BELLE SPRINGS NURSING AND REHAB</t>
  </si>
  <si>
    <t xml:space="preserve">221 NORTH SCHOOL STREET </t>
  </si>
  <si>
    <t>BELLEFONTAINE</t>
  </si>
  <si>
    <t>ELEVATE CARE WAUKEGAN</t>
  </si>
  <si>
    <t xml:space="preserve">2222 14TH STREET </t>
  </si>
  <si>
    <t>SERENITY OF MOLINE</t>
  </si>
  <si>
    <t xml:space="preserve">430 30TH AVENUE </t>
  </si>
  <si>
    <t>EAST MOINE</t>
  </si>
  <si>
    <t>APERION CARE SPRING VALLEY</t>
  </si>
  <si>
    <t xml:space="preserve">1300 NORTH GREENWOOD STREET </t>
  </si>
  <si>
    <t>SPRING VALLEY</t>
  </si>
  <si>
    <t>815-644-4708</t>
  </si>
  <si>
    <t>APERION CARE KOKOMO</t>
  </si>
  <si>
    <t xml:space="preserve">3518 SOUTH LAFOUNTAIN STREEET </t>
  </si>
  <si>
    <t>KOKOMO</t>
  </si>
  <si>
    <t>765-453-4666</t>
  </si>
  <si>
    <t>THE CITADEL AT MOORESVILLE</t>
  </si>
  <si>
    <t xml:space="preserve">550 GLENWOOD DRIVE </t>
  </si>
  <si>
    <t>704-664-7494</t>
  </si>
  <si>
    <t>APERION CARE DOLTON</t>
  </si>
  <si>
    <t xml:space="preserve">14325 BLACKSTONE AVENUE </t>
  </si>
  <si>
    <t>DOLTON</t>
  </si>
  <si>
    <t>708-488-9850</t>
  </si>
  <si>
    <t>ACCORDIUS HEALTH AT ROSE MANOR</t>
  </si>
  <si>
    <t xml:space="preserve">4230 NORTH ROXBORO STREET </t>
  </si>
  <si>
    <t>DURHAM</t>
  </si>
  <si>
    <t>919-477-9805</t>
  </si>
  <si>
    <t>ALLEGIANT HEALTHCARE OF MESA</t>
  </si>
  <si>
    <t xml:space="preserve">3130 E BROADWAY ROAD </t>
  </si>
  <si>
    <t>216-279-0350</t>
  </si>
  <si>
    <t>BELLWOOD DEVELOPMENT CENTER</t>
  </si>
  <si>
    <t xml:space="preserve">105 EASTERN AVENUE </t>
  </si>
  <si>
    <t>BELLWOOD</t>
  </si>
  <si>
    <t>APERION CARE TOLUCA</t>
  </si>
  <si>
    <t xml:space="preserve">101 EAST VIA GHIGLIERI </t>
  </si>
  <si>
    <t>TOLUCA</t>
  </si>
  <si>
    <t>815-452-2367</t>
  </si>
  <si>
    <t>APERION CARE PLUM GROVE</t>
  </si>
  <si>
    <t xml:space="preserve">24 SOUTH PLUM GROVE DRIVE </t>
  </si>
  <si>
    <t>PALATINE</t>
  </si>
  <si>
    <t>847-358-8875</t>
  </si>
  <si>
    <t>APERION CARE WILMINGTON</t>
  </si>
  <si>
    <t xml:space="preserve">555 WEST KAHLER ROAD </t>
  </si>
  <si>
    <t>815-476-2200</t>
  </si>
  <si>
    <t>AVENUES AT LITCHFIELD</t>
  </si>
  <si>
    <t xml:space="preserve">1024 EAST TYLER AVENUE </t>
  </si>
  <si>
    <t>LITCHFIELD</t>
  </si>
  <si>
    <t>217-324-3842</t>
  </si>
  <si>
    <t>APERION CARE EVANSTON</t>
  </si>
  <si>
    <t xml:space="preserve">1300 OAK AVENUE </t>
  </si>
  <si>
    <t>EVANSTON</t>
  </si>
  <si>
    <t>847-869-1300</t>
  </si>
  <si>
    <t>ALLEGIANT HEALTHCARE OF SPRINGDALE VILLAGE</t>
  </si>
  <si>
    <t xml:space="preserve">7255 EAST BROADWAY ROAD </t>
  </si>
  <si>
    <t>CONDOR HEALTH</t>
  </si>
  <si>
    <t xml:space="preserve">611 EAST HAMPTON STREET </t>
  </si>
  <si>
    <t>864-226-5054</t>
  </si>
  <si>
    <t>THE CITADEL AT SALISBURY</t>
  </si>
  <si>
    <t xml:space="preserve">10 JULIAN ROAD </t>
  </si>
  <si>
    <t>704-636-5812</t>
  </si>
  <si>
    <t>AVENUES AT SPRINGFIELD</t>
  </si>
  <si>
    <t xml:space="preserve">525 S MARTIN LUTHER KING BLVD </t>
  </si>
  <si>
    <t>217-789-1680</t>
  </si>
  <si>
    <t>ARCADIA CARE OF JACKSONVILLE</t>
  </si>
  <si>
    <t xml:space="preserve">1021 N CHURCH STREET </t>
  </si>
  <si>
    <t>217-525-7762</t>
  </si>
  <si>
    <t>APERION CARE BRIDGEPORT</t>
  </si>
  <si>
    <t xml:space="preserve">900 EAST CORPORATION LINE STREET </t>
  </si>
  <si>
    <t>618-945-2091</t>
  </si>
  <si>
    <t>ELEVATE CARE RIVERWOODS</t>
  </si>
  <si>
    <t xml:space="preserve">3705 DEERFIELD ROAD </t>
  </si>
  <si>
    <t>RIVERWOODS</t>
  </si>
  <si>
    <t>847-459-1200</t>
  </si>
  <si>
    <t>ARCADIA CARE BLOOMINGTON</t>
  </si>
  <si>
    <t xml:space="preserve">1509 N CALHOUN STREET </t>
  </si>
  <si>
    <t>309-827-6046</t>
  </si>
  <si>
    <t>APERION CARE ELGIN</t>
  </si>
  <si>
    <t xml:space="preserve">134 NORTH MCLEAN BLVD </t>
  </si>
  <si>
    <t>847-742-8822</t>
  </si>
  <si>
    <t>SUNRISE SKILLED NURSING AND REHAB CENTER</t>
  </si>
  <si>
    <t xml:space="preserve">333 S WRIGHTSMAN </t>
  </si>
  <si>
    <t>VIRDEN</t>
  </si>
  <si>
    <t>217-965-4715</t>
  </si>
  <si>
    <t>TAYLORVILLE SKILLED NURSING AND REHAB CENTER</t>
  </si>
  <si>
    <t xml:space="preserve">800 MCADAM DRIVE </t>
  </si>
  <si>
    <t>217-824-2277</t>
  </si>
  <si>
    <t>JACKSONVILLE SKILLED NURSING &amp; REHAB CENTER</t>
  </si>
  <si>
    <t xml:space="preserve">1517 W WALNUT </t>
  </si>
  <si>
    <t>217-243-6451</t>
  </si>
  <si>
    <t>HILLTOP SKILLED NURSING &amp; REHAB CENTER</t>
  </si>
  <si>
    <t xml:space="preserve">910 WEST POLK </t>
  </si>
  <si>
    <t>217-345-7066</t>
  </si>
  <si>
    <t>CASTLE HEALTHCARE</t>
  </si>
  <si>
    <t>APERION CARE SPENCER</t>
  </si>
  <si>
    <t xml:space="preserve">210 STATE HIGHWAY #43 </t>
  </si>
  <si>
    <t>SPENCER</t>
  </si>
  <si>
    <t>812-829-3444</t>
  </si>
  <si>
    <t>APERION CARE FRANKFORT</t>
  </si>
  <si>
    <t xml:space="preserve">809 W FREEMAN </t>
  </si>
  <si>
    <t>FRANKFORT</t>
  </si>
  <si>
    <t>765-654-8783</t>
  </si>
  <si>
    <t>CEDAR RIDGE HEALTH AND REHAB CENTER</t>
  </si>
  <si>
    <t xml:space="preserve">ONE PERRYMAN STREET </t>
  </si>
  <si>
    <t>618-537-6165</t>
  </si>
  <si>
    <t>HIGHLAND HEALTH CARE CENTER</t>
  </si>
  <si>
    <t xml:space="preserve">1450 26TH STREET </t>
  </si>
  <si>
    <t>618-654-2368</t>
  </si>
  <si>
    <t>APERION CARE UNIVERSITY PARK</t>
  </si>
  <si>
    <t xml:space="preserve">1400 MEDICAL PARK DRIVE </t>
  </si>
  <si>
    <t>260-484-1558</t>
  </si>
  <si>
    <t>APERION CARE ANGOLA</t>
  </si>
  <si>
    <t xml:space="preserve">500 WILLIAMS STREET </t>
  </si>
  <si>
    <t>ANGOLA</t>
  </si>
  <si>
    <t>260-665-2161</t>
  </si>
  <si>
    <t>PELICAN HEALTH NORFOLK</t>
  </si>
  <si>
    <t xml:space="preserve">827 NORVIEW AVENUE </t>
  </si>
  <si>
    <t>NORFOLK</t>
  </si>
  <si>
    <t>804-853-6281</t>
  </si>
  <si>
    <t>BALDWIN HOUSE</t>
  </si>
  <si>
    <t xml:space="preserve">10170 PAPA GEORGE STREET </t>
  </si>
  <si>
    <t>DAPHINE</t>
  </si>
  <si>
    <t>425-322-6201</t>
  </si>
  <si>
    <t>THE ABBINGTON AT MURRAY</t>
  </si>
  <si>
    <t xml:space="preserve">5377 SOUTH STATE STREET </t>
  </si>
  <si>
    <t>MURRAY</t>
  </si>
  <si>
    <t>385-289-3700</t>
  </si>
  <si>
    <t>ACCORDIUS HEALTH AT NANS COMMONS</t>
  </si>
  <si>
    <t>704-800-0570</t>
  </si>
  <si>
    <t>HAMPTON MANOR OF CLINTON TOWNSHIP</t>
  </si>
  <si>
    <t xml:space="preserve">18401 15 MILE ROAD </t>
  </si>
  <si>
    <t>CLINTON TOWNSHIP</t>
  </si>
  <si>
    <t>HALLMARK HEALTHCARE OF CARLINVILLE</t>
  </si>
  <si>
    <t xml:space="preserve">826 N HIGH STREET </t>
  </si>
  <si>
    <t>CARLINVILLE</t>
  </si>
  <si>
    <t>217-854-9606</t>
  </si>
  <si>
    <t>PAT A CAKE LEARNING ACADEMY</t>
  </si>
  <si>
    <t xml:space="preserve">1412 WASHINGTON ROAD </t>
  </si>
  <si>
    <t>309-444-2420</t>
  </si>
  <si>
    <t xml:space="preserve">2711 WEST HOWARD STREET </t>
  </si>
  <si>
    <t xml:space="preserve">5454 FARGO AVENUE </t>
  </si>
  <si>
    <t>NORTH OLMSTEAD</t>
  </si>
  <si>
    <t xml:space="preserve">4655 WEST CHASE AVENUE </t>
  </si>
  <si>
    <t xml:space="preserve">911 EAST COUNTY LINE ROAD STE 203 </t>
  </si>
  <si>
    <t>ONTRAY</t>
  </si>
  <si>
    <t>WALNUT MEMORIAL BAPTIST CHURCH</t>
  </si>
  <si>
    <t xml:space="preserve">519 WEST BYERS AVENUE </t>
  </si>
  <si>
    <t>OWENSBORO</t>
  </si>
  <si>
    <t>270-684-7234</t>
  </si>
  <si>
    <t>HORIZONS EDGE SPORTS CAMPUS</t>
  </si>
  <si>
    <t xml:space="preserve">314 CORNERSTONE LANE </t>
  </si>
  <si>
    <t>540-896-8811</t>
  </si>
  <si>
    <t>HEART AND HAND HOUSE INC</t>
  </si>
  <si>
    <t xml:space="preserve">45 MASON ST </t>
  </si>
  <si>
    <t>PHILIPPI</t>
  </si>
  <si>
    <t>304-457-1295</t>
  </si>
  <si>
    <t>THE IVY AT CLEMMONS</t>
  </si>
  <si>
    <t xml:space="preserve">6010 MEADOWBROOK MALL COURT </t>
  </si>
  <si>
    <t>CLEMMONS</t>
  </si>
  <si>
    <t>336-766-8050</t>
  </si>
  <si>
    <t>ENRICHED SENIOR LIVING/NEW HAVEN</t>
  </si>
  <si>
    <t>NEW HAVEN KERNVILLE</t>
  </si>
  <si>
    <t xml:space="preserve">747 ALPINE DRIVE </t>
  </si>
  <si>
    <t>KERNVILLE</t>
  </si>
  <si>
    <t>830-217-6569</t>
  </si>
  <si>
    <t>ACCORDIUS HEALTH AT WILKESBORO</t>
  </si>
  <si>
    <t xml:space="preserve">1000 COLLEGE STREET </t>
  </si>
  <si>
    <t>WILKESBORO</t>
  </si>
  <si>
    <t>954-987-7180</t>
  </si>
  <si>
    <t>THE IVY AT GASTONIA</t>
  </si>
  <si>
    <t xml:space="preserve">4414 WILKINSON BLVD </t>
  </si>
  <si>
    <t>GASTONIA</t>
  </si>
  <si>
    <t>704-824-5550</t>
  </si>
  <si>
    <t>PELICAN HEALTH THOMASVILLE</t>
  </si>
  <si>
    <t xml:space="preserve">1028 BLAIR ST </t>
  </si>
  <si>
    <t>THOMASVILLE</t>
  </si>
  <si>
    <t>336-472-7771</t>
  </si>
  <si>
    <t>THE CITADEL AT WINSTON SALEM</t>
  </si>
  <si>
    <t xml:space="preserve">1900 WEST FIRST STREET </t>
  </si>
  <si>
    <t>WINSTON SALEM</t>
  </si>
  <si>
    <t>336-724-2821</t>
  </si>
  <si>
    <t>PELICAN HEALTH RANDOLPH</t>
  </si>
  <si>
    <t xml:space="preserve">4801 RANDOLPH ROAD </t>
  </si>
  <si>
    <t>PELICAN HEALTH REIDSVILLE</t>
  </si>
  <si>
    <t xml:space="preserve">543 MAPLE AVENUE </t>
  </si>
  <si>
    <t>REIDSVILLE</t>
  </si>
  <si>
    <t>ACCORDIUS HEALTH AT WILSON</t>
  </si>
  <si>
    <t xml:space="preserve">1804 FOREST HILLS RAOD </t>
  </si>
  <si>
    <t>WILSON</t>
  </si>
  <si>
    <t>ACCORDIUS HEALTH AT RUTHERFORD</t>
  </si>
  <si>
    <t xml:space="preserve">188 OSCAR JUSTICE ROAD </t>
  </si>
  <si>
    <t>RUTHERFORDTON</t>
  </si>
  <si>
    <t>828-286-9001</t>
  </si>
  <si>
    <t>ACCORDIUS HEALTH AT CONCORD</t>
  </si>
  <si>
    <t xml:space="preserve">515 LAKE CONCORD ROAD </t>
  </si>
  <si>
    <t>ACCORDIUS HEALTH AT ABERDEEN</t>
  </si>
  <si>
    <t xml:space="preserve">915 PEE DEE RD </t>
  </si>
  <si>
    <t>910-944-8999</t>
  </si>
  <si>
    <t>Fairfield Inn &amp; Suites Cartersville</t>
  </si>
  <si>
    <t xml:space="preserve">20 Canyon Parkway </t>
  </si>
  <si>
    <t>+ () 770/387-0400</t>
  </si>
  <si>
    <t>Hyatt Regency Houston West</t>
  </si>
  <si>
    <t xml:space="preserve">13210 Katy Freeway </t>
  </si>
  <si>
    <t>Tom Jamison</t>
  </si>
  <si>
    <t>+1 (281) 558-8338</t>
  </si>
  <si>
    <t>Renaissance Dallas North Hotel</t>
  </si>
  <si>
    <t xml:space="preserve">1590 Lyndon B Johnson Freeway </t>
  </si>
  <si>
    <t>Cory Randolph</t>
  </si>
  <si>
    <t>+1 (972) 869-3295</t>
  </si>
  <si>
    <t xml:space="preserve">Comfort Inn Newark </t>
  </si>
  <si>
    <t xml:space="preserve">98 Frelinghuysen Avenue </t>
  </si>
  <si>
    <t>+1 (973) 877-1874</t>
  </si>
  <si>
    <t>Hilton Woodcliff Lake</t>
  </si>
  <si>
    <t xml:space="preserve">200 Tice Boulevard </t>
  </si>
  <si>
    <t>Woodcliff Lake</t>
  </si>
  <si>
    <t>David Hendrix</t>
  </si>
  <si>
    <t>Clifton Pressley</t>
  </si>
  <si>
    <t>+1 (201) 391-3600</t>
  </si>
  <si>
    <t>Indian Lakes Hotel</t>
  </si>
  <si>
    <t xml:space="preserve">250 West Schick Road </t>
  </si>
  <si>
    <t>Bloomingdale</t>
  </si>
  <si>
    <t>Paul Bach</t>
  </si>
  <si>
    <t>TJ Tate</t>
  </si>
  <si>
    <t>+ (630) 529-0200</t>
  </si>
  <si>
    <t>Hampton Inn &amp; Suites Lebanon</t>
  </si>
  <si>
    <t xml:space="preserve">401 North Mt. Zion Road </t>
  </si>
  <si>
    <t>Lebanon</t>
  </si>
  <si>
    <t>+1 (765) 481-2920</t>
  </si>
  <si>
    <t>Dirty Habit</t>
  </si>
  <si>
    <t xml:space="preserve">700 F Street NW </t>
  </si>
  <si>
    <t>Andrew Gordineer</t>
  </si>
  <si>
    <t>Stephanie Carre</t>
  </si>
  <si>
    <t>+1 (202) 628-7177</t>
  </si>
  <si>
    <t>Alila Napa Valley</t>
  </si>
  <si>
    <t xml:space="preserve">1915 Main Street </t>
  </si>
  <si>
    <t>Saint Helena</t>
  </si>
  <si>
    <t>Alila</t>
  </si>
  <si>
    <t>Ty Accornero</t>
  </si>
  <si>
    <t>+1(707)963-7000</t>
  </si>
  <si>
    <t>New Realty Investments</t>
  </si>
  <si>
    <t>Residence Inn Ft Lauderdale/Weston</t>
  </si>
  <si>
    <t xml:space="preserve">2605 Weston Road. </t>
  </si>
  <si>
    <t>Weston</t>
  </si>
  <si>
    <t>Suria Plante</t>
  </si>
  <si>
    <t>+ (954) 659-8585</t>
  </si>
  <si>
    <t>Vegreville Hotello</t>
  </si>
  <si>
    <t xml:space="preserve">6529 Highway 16A West </t>
  </si>
  <si>
    <t>Vivian McGuire</t>
  </si>
  <si>
    <t>+1 (780) 632-2878</t>
  </si>
  <si>
    <t>Integrity Lodging</t>
  </si>
  <si>
    <t>Hampton Inn Houma</t>
  </si>
  <si>
    <t xml:space="preserve">1728 Martin Luther King Boulevard </t>
  </si>
  <si>
    <t>Ana Acosta</t>
  </si>
  <si>
    <t>+1 (985) 873-3140</t>
  </si>
  <si>
    <t>Charlotte -North/Univ Research Park Apartment</t>
  </si>
  <si>
    <t xml:space="preserve">8340 North Tryon St. </t>
  </si>
  <si>
    <t>Jane Blackwell</t>
  </si>
  <si>
    <t>Alyssa Cassese</t>
  </si>
  <si>
    <t>+1 (704) 549-8800</t>
  </si>
  <si>
    <t>Fairfield Inn and Suites Lebanon</t>
  </si>
  <si>
    <t xml:space="preserve">100 Springwood Drive </t>
  </si>
  <si>
    <t>Colebrook</t>
  </si>
  <si>
    <t>Joseph Blessing</t>
  </si>
  <si>
    <t>+1 (717) 273-3969</t>
  </si>
  <si>
    <t>CY Hospitality LLC</t>
  </si>
  <si>
    <t>Courtyard Memphis East - Bill Morris Parkway</t>
  </si>
  <si>
    <t xml:space="preserve">3076 Kirby Parkway </t>
  </si>
  <si>
    <t>Janine Stroempl</t>
  </si>
  <si>
    <t>Maria Cook</t>
  </si>
  <si>
    <t>+1 (901) 365-6400</t>
  </si>
  <si>
    <t>Synergy Hotel Group LLC</t>
  </si>
  <si>
    <t>Fairfield Inn &amp; Suites Mission Bay San Diego</t>
  </si>
  <si>
    <t xml:space="preserve">4345 Mission Bay Dr. </t>
  </si>
  <si>
    <t>Nilesh Patel</t>
  </si>
  <si>
    <t>Sasha Salas</t>
  </si>
  <si>
    <t>+1 (858) 490-8000</t>
  </si>
  <si>
    <t>Sun &amp; Fun Resort LLC</t>
  </si>
  <si>
    <t>Sleep Inn Clearwater - St Petersburg</t>
  </si>
  <si>
    <t xml:space="preserve">3939 Ulmerton Road </t>
  </si>
  <si>
    <t xml:space="preserve"> Shastine Pavao</t>
  </si>
  <si>
    <t>Shastine Marie</t>
  </si>
  <si>
    <t>+1 (727) 573-5049</t>
  </si>
  <si>
    <t>Fairfield Inn &amp; Suites Lewisburg (PA)</t>
  </si>
  <si>
    <t xml:space="preserve">70 Hardwood Drive </t>
  </si>
  <si>
    <t>Lewisburg</t>
  </si>
  <si>
    <t>Rene McKibben</t>
  </si>
  <si>
    <t>Jodi Thomas</t>
  </si>
  <si>
    <t>+1 (570) 523-0095</t>
  </si>
  <si>
    <t>Courtyard-Residence Inn Jekyll Island</t>
  </si>
  <si>
    <t xml:space="preserve">178 South Beachview Drive </t>
  </si>
  <si>
    <t>Rick Norman</t>
  </si>
  <si>
    <t>+()912-635-2416</t>
  </si>
  <si>
    <t>Marriott Jacksonville Downtown</t>
  </si>
  <si>
    <t xml:space="preserve">245 Water Street </t>
  </si>
  <si>
    <t>+1 (904) 355-6664</t>
  </si>
  <si>
    <t>Westin San Antonio North</t>
  </si>
  <si>
    <t xml:space="preserve">9821 Colonnade Boulevard </t>
  </si>
  <si>
    <t>Riann Nel</t>
  </si>
  <si>
    <t>+1 (210) 691-8888</t>
  </si>
  <si>
    <t>Austin Southpark Hotel</t>
  </si>
  <si>
    <t xml:space="preserve">4140 Governors Row </t>
  </si>
  <si>
    <t>Hank Reilly</t>
  </si>
  <si>
    <t>+1 (512) 448-2222</t>
  </si>
  <si>
    <t>Icebox Cafe L.C.</t>
  </si>
  <si>
    <t xml:space="preserve">Fig &amp; Fennel at Mia LLC. </t>
  </si>
  <si>
    <t xml:space="preserve">913 Southwest 8th Avenue </t>
  </si>
  <si>
    <t>Hallandale</t>
  </si>
  <si>
    <t>+1(786) 332-4241</t>
  </si>
  <si>
    <t>Icebox Cafe at Doral</t>
  </si>
  <si>
    <t xml:space="preserve">3450 NW 83 Avenue Suite 137 </t>
  </si>
  <si>
    <t>Doral Branch</t>
  </si>
  <si>
    <t>+()unknown</t>
  </si>
  <si>
    <t>Icebox Cafe at MIA LLC</t>
  </si>
  <si>
    <t>+1 (305) 538-8448</t>
  </si>
  <si>
    <t>Icebox Cafe at DFW II LLC</t>
  </si>
  <si>
    <t>2040 North International Parkway Gate B-5</t>
  </si>
  <si>
    <t>DFW Airport</t>
  </si>
  <si>
    <t>+1(817)692-8998</t>
  </si>
  <si>
    <t>Icebox Cafe LC</t>
  </si>
  <si>
    <t xml:space="preserve">1855 Purdy Ave </t>
  </si>
  <si>
    <t>+1(305) 896-5009</t>
  </si>
  <si>
    <t>DERMOTT CITY NURSING HOME</t>
  </si>
  <si>
    <t xml:space="preserve">702 WEST GAINES STREET </t>
  </si>
  <si>
    <t>DERMOTT</t>
  </si>
  <si>
    <t>870-538-3241</t>
  </si>
  <si>
    <t>ASCENSION HEALTH AND REHABILITATION</t>
  </si>
  <si>
    <t xml:space="preserve">2475 WINNE AVENUE </t>
  </si>
  <si>
    <t>HELENA</t>
  </si>
  <si>
    <t>406-442-1350</t>
  </si>
  <si>
    <t>BARROWS-HARMONY</t>
  </si>
  <si>
    <t xml:space="preserve">1302 ROCKLAND AVENUE </t>
  </si>
  <si>
    <t>JUSTUS TRUST PROPERTIES</t>
  </si>
  <si>
    <t>COPPER RIDGE APARTMENTS</t>
  </si>
  <si>
    <t xml:space="preserve">341 NORTH FOREST AVENUE </t>
  </si>
  <si>
    <t>LIBERTY</t>
  </si>
  <si>
    <t xml:space="preserve">1776 AVENUE OF STATES STE 302 </t>
  </si>
  <si>
    <t>REGION VII AAA</t>
  </si>
  <si>
    <t>SUNRISE PACE</t>
  </si>
  <si>
    <t xml:space="preserve">5229 LAKESHORE ROAD </t>
  </si>
  <si>
    <t>FORT GRATIOT</t>
  </si>
  <si>
    <t>989-439-7512</t>
  </si>
  <si>
    <t xml:space="preserve">THE ESQUILINE </t>
  </si>
  <si>
    <t xml:space="preserve">726 COMMUNITY DRIVE </t>
  </si>
  <si>
    <t>BELLEVILLE</t>
  </si>
  <si>
    <t>618-394-6400</t>
  </si>
  <si>
    <t>Fairfield Inn &amp; Suites Willow Grove</t>
  </si>
  <si>
    <t xml:space="preserve">2440 Maryland Road </t>
  </si>
  <si>
    <t>Willow Grove</t>
  </si>
  <si>
    <t>Michelle Pressley</t>
  </si>
  <si>
    <t>+1 (215) 885-1130</t>
  </si>
  <si>
    <t>Sigma Management Group LLC</t>
  </si>
  <si>
    <t>Hilton Garden Inn - Tru Mt. Juliet</t>
  </si>
  <si>
    <t xml:space="preserve">1975 Providence Parkway </t>
  </si>
  <si>
    <t>Mount Juliet</t>
  </si>
  <si>
    <t>Jeff Johnston</t>
  </si>
  <si>
    <t>+1 (615) 637-0400</t>
  </si>
  <si>
    <t>Four Points by Sheraton Fairview Heights</t>
  </si>
  <si>
    <t xml:space="preserve">319 Fountains Parkway </t>
  </si>
  <si>
    <t>Fairview Heights</t>
  </si>
  <si>
    <t>Larrel Royal</t>
  </si>
  <si>
    <t>Rick Patel</t>
  </si>
  <si>
    <t>+1 (618) 622-9500</t>
  </si>
  <si>
    <t>Texas A&amp;M Hotel &amp; Conference Center</t>
  </si>
  <si>
    <t xml:space="preserve">177 Joe Routt Boulevard </t>
  </si>
  <si>
    <t>Greg Stafford</t>
  </si>
  <si>
    <t>+1 (888) 654-4436</t>
  </si>
  <si>
    <t>The Sanderling Inn Resort &amp; Spa</t>
  </si>
  <si>
    <t xml:space="preserve">1461 Duck Road </t>
  </si>
  <si>
    <t>Duck</t>
  </si>
  <si>
    <t>Geoff Young</t>
  </si>
  <si>
    <t>+1 (252) 261-4111</t>
  </si>
  <si>
    <t>Stonewall Resort</t>
  </si>
  <si>
    <t xml:space="preserve">940 Resort Drive </t>
  </si>
  <si>
    <t>Andre D'amour</t>
  </si>
  <si>
    <t>Lisa Hughes</t>
  </si>
  <si>
    <t>+1 (304) 269-7400</t>
  </si>
  <si>
    <t>Hilton University of Florida Conference Center Gainesville</t>
  </si>
  <si>
    <t xml:space="preserve">1714 SW 34th Street </t>
  </si>
  <si>
    <t>Bill Lee</t>
  </si>
  <si>
    <t>+1 (352) 371-3600</t>
  </si>
  <si>
    <t>INNOVAGE</t>
  </si>
  <si>
    <t>INNOVAGE-PACE OF ROANOKE</t>
  </si>
  <si>
    <t xml:space="preserve">5251 CONCOURSE DR </t>
  </si>
  <si>
    <t>540-904-2817</t>
  </si>
  <si>
    <t>INNOVAGE RICHMOND CENTER</t>
  </si>
  <si>
    <t xml:space="preserve">1300 MACTAVISH AVENUE </t>
  </si>
  <si>
    <t>804-549-5500</t>
  </si>
  <si>
    <t>Residence Inn Reading</t>
  </si>
  <si>
    <t xml:space="preserve">45 Berkshire Court </t>
  </si>
  <si>
    <t>Wyomissing</t>
  </si>
  <si>
    <t>Jennifer Lynch</t>
  </si>
  <si>
    <t>+(610)376-6111</t>
  </si>
  <si>
    <t>RICE UNIVERSITY - WEST SERVERY</t>
  </si>
  <si>
    <t xml:space="preserve">6100 MAIN MS 750 </t>
  </si>
  <si>
    <t>713-348-8048</t>
  </si>
  <si>
    <t>RICE UNIVERSITY - VENDING BAKER</t>
  </si>
  <si>
    <t xml:space="preserve">6100 MAIN MS750 </t>
  </si>
  <si>
    <t>RICE UNIVERSITY - SOUTH SERVERY</t>
  </si>
  <si>
    <t>713-348-6295</t>
  </si>
  <si>
    <t>RICE UNIVERSITY - EAST SEVERY*</t>
  </si>
  <si>
    <t>713-348-5289</t>
  </si>
  <si>
    <t>RICE UNIVERSITY - SID RICHARDSON</t>
  </si>
  <si>
    <t>RICE UNIVERSITY - SAMMY'S</t>
  </si>
  <si>
    <t xml:space="preserve">6100 MAIN MS 528 </t>
  </si>
  <si>
    <t>710-348-8048</t>
  </si>
  <si>
    <t>RICE UNIVERSITY - NORTH SERVERY</t>
  </si>
  <si>
    <t>RICE UNIVERSITY - DIRK'S COFFEE</t>
  </si>
  <si>
    <t xml:space="preserve">6100 MAIN STREET - MS 530 </t>
  </si>
  <si>
    <t>RICE UNIVERSITY - WILLY'S PUB</t>
  </si>
  <si>
    <t xml:space="preserve">6100 MAIN MS 530 </t>
  </si>
  <si>
    <t>RICE UNIVERSITY - COHEN HOUSE</t>
  </si>
  <si>
    <t>Venerts Investments Inc.</t>
  </si>
  <si>
    <t>My Place Hotel - Medford</t>
  </si>
  <si>
    <t xml:space="preserve">580 Airport Road </t>
  </si>
  <si>
    <t>Cheryl Swan</t>
  </si>
  <si>
    <t>+(458)226-2561</t>
  </si>
  <si>
    <t>Hilton Garden Inn - Home2 Suites Orlando Downtown</t>
  </si>
  <si>
    <t xml:space="preserve">409 Magnolia Avenue </t>
  </si>
  <si>
    <t>Crystal Bonaparte</t>
  </si>
  <si>
    <t>Jerri Gonzalez</t>
  </si>
  <si>
    <t>+1 (336) 549-6940</t>
  </si>
  <si>
    <t>RICHLAND BEAN BLOSSOM-EXCEPTIONAL LIV CTR</t>
  </si>
  <si>
    <t xml:space="preserve">5911 W STATE RD 46 </t>
  </si>
  <si>
    <t>ELLETTSVILLE</t>
  </si>
  <si>
    <t>VERNON MANOR</t>
  </si>
  <si>
    <t xml:space="preserve">1955 VERNON ST </t>
  </si>
  <si>
    <t>WABASH</t>
  </si>
  <si>
    <t>THE HOME PLACE</t>
  </si>
  <si>
    <t xml:space="preserve">6734 MILLSIDE DR </t>
  </si>
  <si>
    <t>EXCEPTIONAL LIVING-BRAZIL CENTER</t>
  </si>
  <si>
    <t xml:space="preserve">501 S MURPHY AVE </t>
  </si>
  <si>
    <t>BRAZIL</t>
  </si>
  <si>
    <t>CHENAL HEIGHTS RETIREMENT LLC</t>
  </si>
  <si>
    <t xml:space="preserve">ONE CHENAL HEIGHTS DRIVE </t>
  </si>
  <si>
    <t>479-471-9797</t>
  </si>
  <si>
    <t>PEACHTREE VILLAGE AT FARMINGTON</t>
  </si>
  <si>
    <t xml:space="preserve">55 W RAINSONG ST </t>
  </si>
  <si>
    <t>479-267-3335</t>
  </si>
  <si>
    <t>PEACHTREE VILLAGE AT HOLIDAY ISLAND</t>
  </si>
  <si>
    <t xml:space="preserve">5 PARK DR </t>
  </si>
  <si>
    <t>HOLIDAY ISLAND</t>
  </si>
  <si>
    <t>479-253-9933</t>
  </si>
  <si>
    <t>PEACHTREE VILLAGE AT FT SMITH</t>
  </si>
  <si>
    <t xml:space="preserve">1500 FRESNO ST </t>
  </si>
  <si>
    <t>FT SMITH</t>
  </si>
  <si>
    <t>479-785-5544</t>
  </si>
  <si>
    <t>Hampton Inn Blue Ridge</t>
  </si>
  <si>
    <t xml:space="preserve">50 West Main Street </t>
  </si>
  <si>
    <t>Blue Ridge</t>
  </si>
  <si>
    <t>George Harper</t>
  </si>
  <si>
    <t>+1 (706) 642-9001</t>
  </si>
  <si>
    <t>THE CLEARSPRING</t>
  </si>
  <si>
    <t xml:space="preserve">101 2ND STREET </t>
  </si>
  <si>
    <t>501-623-6308</t>
  </si>
  <si>
    <t>KINGS NURSING AND REHAB CENTER</t>
  </si>
  <si>
    <t xml:space="preserve">851 LESLIE LANE </t>
  </si>
  <si>
    <t>HANFORD</t>
  </si>
  <si>
    <t>559-582-4414</t>
  </si>
  <si>
    <t>DELTA NURSING AND REHAB CENTER</t>
  </si>
  <si>
    <t xml:space="preserve">514 N BRIDGE ST </t>
  </si>
  <si>
    <t>VISALIA</t>
  </si>
  <si>
    <t>559-732-8614</t>
  </si>
  <si>
    <t>COMFORCARE AT YOUR SIDE</t>
  </si>
  <si>
    <t>COMFORCARE NAPERVILLE</t>
  </si>
  <si>
    <t xml:space="preserve">1240 IROQUOIS AVENUE STE 404 </t>
  </si>
  <si>
    <t>815-474-8792</t>
  </si>
  <si>
    <t>COMFORCARE SOUTH RICHMOND</t>
  </si>
  <si>
    <t xml:space="preserve">2306 BOULEVARD STE B </t>
  </si>
  <si>
    <t>COLONIAL HEIGHTS</t>
  </si>
  <si>
    <t>804-454-0137</t>
  </si>
  <si>
    <t>COMFORCARE SACRAMENTO METRO EAST</t>
  </si>
  <si>
    <t xml:space="preserve">4201 SUNRISE BLVD UNIT A </t>
  </si>
  <si>
    <t>916-536-6565</t>
  </si>
  <si>
    <t>COMFORCARE NW PITTSBURG</t>
  </si>
  <si>
    <t xml:space="preserve">10521 PERRY HIGHWAY STE 115 </t>
  </si>
  <si>
    <t>WEXFORD</t>
  </si>
  <si>
    <t>724-759-7674</t>
  </si>
  <si>
    <t>COMFORCARE TECUMSEH</t>
  </si>
  <si>
    <t xml:space="preserve">120 SOUTH BROADWAY </t>
  </si>
  <si>
    <t>TECUMSEH</t>
  </si>
  <si>
    <t>405-438-0078</t>
  </si>
  <si>
    <t>COMFORCARE PASSAIC-BERGEN</t>
  </si>
  <si>
    <t xml:space="preserve">40 GALESI DRIVE STE 5 </t>
  </si>
  <si>
    <t>973-316-1400</t>
  </si>
  <si>
    <t>COMFORCARE WASHTENAW-DOWNRIVER-SWEET ROSIE GIRL</t>
  </si>
  <si>
    <t xml:space="preserve">124 PEARL STREET STE 203 </t>
  </si>
  <si>
    <t>734-739-2273</t>
  </si>
  <si>
    <t>COMFORCARE GRAND RAPIDS</t>
  </si>
  <si>
    <t xml:space="preserve">3737 LAKE EASTBROOK BLVD SE STE 216 </t>
  </si>
  <si>
    <t>616-217-9043</t>
  </si>
  <si>
    <t>COMFORCARE OWNINGS</t>
  </si>
  <si>
    <t xml:space="preserve">19 E CHESAPEAKE BEACH ROAD </t>
  </si>
  <si>
    <t>OWNINGS</t>
  </si>
  <si>
    <t>443-906-6283</t>
  </si>
  <si>
    <t>COMFORCARE KANSAS CITY</t>
  </si>
  <si>
    <t xml:space="preserve">13608 WEST 95TH STREET STE 215 </t>
  </si>
  <si>
    <t>LENEXA</t>
  </si>
  <si>
    <t>913-906-9880</t>
  </si>
  <si>
    <t>COMFORCARE SOUTHEAST ATLANTA</t>
  </si>
  <si>
    <t xml:space="preserve">4151 MEMORIAL DRIVE SUITE 208A </t>
  </si>
  <si>
    <t>678-855-0606</t>
  </si>
  <si>
    <t>COMFORCARE BOULDER</t>
  </si>
  <si>
    <t xml:space="preserve">1021 E SOUTH BOULDER ROAD </t>
  </si>
  <si>
    <t>720-738-0044</t>
  </si>
  <si>
    <t>Knollwood Country Club</t>
  </si>
  <si>
    <t xml:space="preserve">200 Knollwood Road Ext </t>
  </si>
  <si>
    <t>John Cavaliere</t>
  </si>
  <si>
    <t>Eri Gjocaj</t>
  </si>
  <si>
    <t>+ (914) 592-6182</t>
  </si>
  <si>
    <t>DESERT SPRINGS HEALTHCARE LLC</t>
  </si>
  <si>
    <t xml:space="preserve">1701 N TURNER </t>
  </si>
  <si>
    <t>HOBBS</t>
  </si>
  <si>
    <t>575-393-3156</t>
  </si>
  <si>
    <t>AZTEC HEALTHCARE LLC</t>
  </si>
  <si>
    <t xml:space="preserve">500 CARE LANE </t>
  </si>
  <si>
    <t>AZTEC</t>
  </si>
  <si>
    <t>559-668-0141</t>
  </si>
  <si>
    <t>LOVINGTON HEALTHCARE LLC</t>
  </si>
  <si>
    <t xml:space="preserve">1600 WEST AVENUE I </t>
  </si>
  <si>
    <t>LOVINGTON</t>
  </si>
  <si>
    <t>WHITE SANDS HEALTHCARE LLC</t>
  </si>
  <si>
    <t xml:space="preserve">5715 N LOVINGTON HWY </t>
  </si>
  <si>
    <t>575-392-5845</t>
  </si>
  <si>
    <t>MARSHFIELD CLINIC COMFORT AND RECOVERY SUITES</t>
  </si>
  <si>
    <t xml:space="preserve">2727 PLAZA DRIVE </t>
  </si>
  <si>
    <t>WAUSAU</t>
  </si>
  <si>
    <t>715-847-1800</t>
  </si>
  <si>
    <t xml:space="preserve">2116 CRAIG ROAD </t>
  </si>
  <si>
    <t>EAU CLAIRE</t>
  </si>
  <si>
    <t>715-836-1200</t>
  </si>
  <si>
    <t>VOYAGE LONG TERM CARE</t>
  </si>
  <si>
    <t>EDMOND HEALTHCARE</t>
  </si>
  <si>
    <t xml:space="preserve">39 EAST 33RD STREET </t>
  </si>
  <si>
    <t>405-341-7715</t>
  </si>
  <si>
    <t>CLARKSON HEALTH CARE</t>
  </si>
  <si>
    <t xml:space="preserve">1015 MOUNTAIN VIEW ROAD </t>
  </si>
  <si>
    <t>605-342-0255</t>
  </si>
  <si>
    <t>THE COURTYARD</t>
  </si>
  <si>
    <t xml:space="preserve">133 TEXAS STREET </t>
  </si>
  <si>
    <t xml:space="preserve">1000 NORTH OAK AVENUE </t>
  </si>
  <si>
    <t>MARSHFIELD</t>
  </si>
  <si>
    <t>715-221-5000</t>
  </si>
  <si>
    <t>HARMONY AT KENT-FOOD</t>
  </si>
  <si>
    <t xml:space="preserve">1435 EAST LEBANON ROAD </t>
  </si>
  <si>
    <t>VERANDA SENIOR LIVING</t>
  </si>
  <si>
    <t>BVBC CADENCE VILLAGE LLC</t>
  </si>
  <si>
    <t xml:space="preserve">2233 NORTH RECORDS WAY </t>
  </si>
  <si>
    <t>208-636-0009</t>
  </si>
  <si>
    <t>HARRISON COUNTY HOME</t>
  </si>
  <si>
    <t xml:space="preserve">41500 CADIZ DENNISON ROAD </t>
  </si>
  <si>
    <t>CADIZ</t>
  </si>
  <si>
    <t>740-942-3573</t>
  </si>
  <si>
    <t>HARMONY AT KENT</t>
  </si>
  <si>
    <t>PETITE MADELINE BAKERY</t>
  </si>
  <si>
    <t xml:space="preserve">223 NORTH COAST HIGHWAY </t>
  </si>
  <si>
    <t>THE GODDARD SCHOOL-KENOSHA</t>
  </si>
  <si>
    <t xml:space="preserve">7420 91ST AVENUE </t>
  </si>
  <si>
    <t>KENOSHA</t>
  </si>
  <si>
    <t>262-694-0816</t>
  </si>
  <si>
    <t>SAI LOGISTICS</t>
  </si>
  <si>
    <t xml:space="preserve">9635 HEINRICH HERTZ DR STE 9 </t>
  </si>
  <si>
    <t>SAN MARCOS</t>
  </si>
  <si>
    <t>PIVOTAL HEALTHCARE</t>
  </si>
  <si>
    <t>PIVOTAL HEALTH CARE LLCA</t>
  </si>
  <si>
    <t xml:space="preserve">6731 WEST 121ST STREET STE 100 </t>
  </si>
  <si>
    <t>OVERLAND</t>
  </si>
  <si>
    <t>913-890-4780</t>
  </si>
  <si>
    <t xml:space="preserve">1817 AVENIDA DEL DIABLO </t>
  </si>
  <si>
    <t>MAGGIES PLACE AT COLONIAL MANOR BLDG 3</t>
  </si>
  <si>
    <t xml:space="preserve">12640 WEST 137TH STREET </t>
  </si>
  <si>
    <t>MAGGIES PLACE AT COLONIAL MANOR</t>
  </si>
  <si>
    <t xml:space="preserve">12610 WEST 137TH STREET </t>
  </si>
  <si>
    <t>CEDAR RIDGE VILLAGE</t>
  </si>
  <si>
    <t xml:space="preserve">8950 COACHLIGHT DRIVE </t>
  </si>
  <si>
    <t>WEST DES MOINES</t>
  </si>
  <si>
    <t>515-369-2100</t>
  </si>
  <si>
    <t>MAGGIES PLACE AT COLONIAL MANOR BLDG 2</t>
  </si>
  <si>
    <t xml:space="preserve">12650 WEST 137TH STREET </t>
  </si>
  <si>
    <t>MAGGIES PLACE AT COLONIAL MANOR BLDG 1</t>
  </si>
  <si>
    <t xml:space="preserve">12620 WEST 137TH STREET </t>
  </si>
  <si>
    <t>MAGGIES PLACE AT COLONIAL MANOR BLDG 5</t>
  </si>
  <si>
    <t xml:space="preserve">12600 WEST 137TH STREET </t>
  </si>
  <si>
    <t>MAGGIES PLACE AT COLONIAL MANOR BLDG 4</t>
  </si>
  <si>
    <t xml:space="preserve">12630 WEST 137TH STREET </t>
  </si>
  <si>
    <t>CENTRE FOR NEURO SKILLS AUSTIN</t>
  </si>
  <si>
    <t xml:space="preserve">14425 FALCONHEAD BLDG STE 200 </t>
  </si>
  <si>
    <t>800-922-4994</t>
  </si>
  <si>
    <t xml:space="preserve">1615 EUCLID AVENUE </t>
  </si>
  <si>
    <t>BAY CITY</t>
  </si>
  <si>
    <t>CAMP PARADISE VALLEY</t>
  </si>
  <si>
    <t xml:space="preserve">1881 SALVATION ARMY ROAD </t>
  </si>
  <si>
    <t>BURKESVILLE</t>
  </si>
  <si>
    <t>270-748-6353</t>
  </si>
  <si>
    <t>APPLEGATE CHRISTIAN FELLOWSHIP</t>
  </si>
  <si>
    <t xml:space="preserve">7590 HIGHWAY 238 </t>
  </si>
  <si>
    <t>541-899-8732</t>
  </si>
  <si>
    <t>OAK HILL ASSISTED LIVING</t>
  </si>
  <si>
    <t xml:space="preserve">1971 NE 1ST AVENUE </t>
  </si>
  <si>
    <t>218-999-9057</t>
  </si>
  <si>
    <t>Comfort Inn Memphis</t>
  </si>
  <si>
    <t xml:space="preserve">3005 Millbranch Road </t>
  </si>
  <si>
    <t>Bessie Lopez</t>
  </si>
  <si>
    <t>John Compton</t>
  </si>
  <si>
    <t>+1 (901) 396-5411</t>
  </si>
  <si>
    <t>Venteux</t>
  </si>
  <si>
    <t xml:space="preserve">230 North Michigan Avenue </t>
  </si>
  <si>
    <t>Danielle Nolan</t>
  </si>
  <si>
    <t>+()312-345-1000</t>
  </si>
  <si>
    <t>Courtyard Houston Northeast</t>
  </si>
  <si>
    <t xml:space="preserve">120 North Redemption Square Rd. </t>
  </si>
  <si>
    <t>Joddy Cormier</t>
  </si>
  <si>
    <t>Anthony Gribble</t>
  </si>
  <si>
    <t>+()2814583882</t>
  </si>
  <si>
    <t>The Constitution Inn</t>
  </si>
  <si>
    <t xml:space="preserve">150 3rd Avenue </t>
  </si>
  <si>
    <t>Ryan Hanratty</t>
  </si>
  <si>
    <t>+1 (617) 241-8400</t>
  </si>
  <si>
    <t>Residence Inn Berkeley</t>
  </si>
  <si>
    <t xml:space="preserve">2121 Center Street </t>
  </si>
  <si>
    <t>Berkeley</t>
  </si>
  <si>
    <t>Bruce Carlton</t>
  </si>
  <si>
    <t>Gerald Scheible</t>
  </si>
  <si>
    <t>+()510 982-2100</t>
  </si>
  <si>
    <t>The Estes Park Resort</t>
  </si>
  <si>
    <t xml:space="preserve">1700 Big Thompson Avenue </t>
  </si>
  <si>
    <t>Karen Morris</t>
  </si>
  <si>
    <t>+1 (970) 577-6400</t>
  </si>
  <si>
    <t>Lexington by RL Miami Beach</t>
  </si>
  <si>
    <t xml:space="preserve">4299 Collins Avenue </t>
  </si>
  <si>
    <t>Luis Arellano</t>
  </si>
  <si>
    <t>+1 (305) 673-1513</t>
  </si>
  <si>
    <t>Vista Host Inc.</t>
  </si>
  <si>
    <t>Compass Hotel</t>
  </si>
  <si>
    <t xml:space="preserve">12324 Manatee Avenue West </t>
  </si>
  <si>
    <t>Bradenton</t>
  </si>
  <si>
    <t>France Langan</t>
  </si>
  <si>
    <t>+1 (941) 741-9700</t>
  </si>
  <si>
    <t>Frenchman’s Reef Marriott Resort St. Thomas</t>
  </si>
  <si>
    <t xml:space="preserve">5 Estate Bakkeroe </t>
  </si>
  <si>
    <t>St. Thomas</t>
  </si>
  <si>
    <t>VI</t>
  </si>
  <si>
    <t>US Virgin Islands</t>
  </si>
  <si>
    <t>Chris Donohue</t>
  </si>
  <si>
    <t>+1 (340) 776-8500</t>
  </si>
  <si>
    <t>Hyatt House Lewes Rehoboth Beach</t>
  </si>
  <si>
    <t xml:space="preserve">17254 Five Points Square </t>
  </si>
  <si>
    <t>Lewes Beach</t>
  </si>
  <si>
    <t>Alli Kennedy Hutchinson</t>
  </si>
  <si>
    <t>Corinne Harrington</t>
  </si>
  <si>
    <t>+1 (302) 783-1000</t>
  </si>
  <si>
    <t>Marshall Hotels &amp; Resorts Inc.</t>
  </si>
  <si>
    <t>Holiday Inn Fort Worth Alliance</t>
  </si>
  <si>
    <t xml:space="preserve">11120 Moriah Drive </t>
  </si>
  <si>
    <t>Max Parcells</t>
  </si>
  <si>
    <t>+1 (682) 593-7505</t>
  </si>
  <si>
    <t>Francis Scott Key Family Resort</t>
  </si>
  <si>
    <t xml:space="preserve">12806 Ocean Gateway </t>
  </si>
  <si>
    <t>Heather Brunning</t>
  </si>
  <si>
    <t>Glen Roussey</t>
  </si>
  <si>
    <t>+1 (410) 213-0088</t>
  </si>
  <si>
    <t>Tidelands Caribbean Suites Hotel</t>
  </si>
  <si>
    <t xml:space="preserve">409 Atlantic Avenue </t>
  </si>
  <si>
    <t>Marke Johnston</t>
  </si>
  <si>
    <t>+1 (410) 289-9455</t>
  </si>
  <si>
    <t>Americus Hotel</t>
  </si>
  <si>
    <t xml:space="preserve">541 West Hamilton Street </t>
  </si>
  <si>
    <t>Ryan Abdouche</t>
  </si>
  <si>
    <t>Paul Sharp</t>
  </si>
  <si>
    <t>+1 (484) 560-0603</t>
  </si>
  <si>
    <t>Grand Eastonian Suites Hotel</t>
  </si>
  <si>
    <t xml:space="preserve">140 North Hampton Street </t>
  </si>
  <si>
    <t>Easton</t>
  </si>
  <si>
    <t xml:space="preserve"> Russell Ackerman</t>
  </si>
  <si>
    <t>Natalie Venezia</t>
  </si>
  <si>
    <t>+1 (610) 258-6350</t>
  </si>
  <si>
    <t>SpringHill Suites Winchester</t>
  </si>
  <si>
    <t xml:space="preserve">280 Market Street </t>
  </si>
  <si>
    <t>Winchester</t>
  </si>
  <si>
    <t>Bill North</t>
  </si>
  <si>
    <t>Matt Lewis</t>
  </si>
  <si>
    <t>+1(540) 431-3330</t>
  </si>
  <si>
    <t>Holiday Inn NW Houston Beltway 8</t>
  </si>
  <si>
    <t xml:space="preserve">3539 North Sam Houston Parkway West </t>
  </si>
  <si>
    <t>Bobby Bryant</t>
  </si>
  <si>
    <t>+1 (281) 684-4331</t>
  </si>
  <si>
    <t>Wingate West 37th Street</t>
  </si>
  <si>
    <t xml:space="preserve">11 West 37th Street </t>
  </si>
  <si>
    <t>Selina Galan</t>
  </si>
  <si>
    <t>+()917-409-1983</t>
  </si>
  <si>
    <t>La Quinta Inn &amp; Suites Times Square</t>
  </si>
  <si>
    <t xml:space="preserve">333 West 38th Street </t>
  </si>
  <si>
    <t>Steve Vargas</t>
  </si>
  <si>
    <t>+1 (925) 818-4179</t>
  </si>
  <si>
    <t>Wingate Long Island City</t>
  </si>
  <si>
    <t xml:space="preserve">38-70 12th Street </t>
  </si>
  <si>
    <t>George Buchelli</t>
  </si>
  <si>
    <t>+1 (718) 606-2388</t>
  </si>
  <si>
    <t>Microtel Inn &amp; Suites Long Island City</t>
  </si>
  <si>
    <t xml:space="preserve">29-12 40th Avenue </t>
  </si>
  <si>
    <t>Bryan Alvarez</t>
  </si>
  <si>
    <t>+1 (718) 606-6850</t>
  </si>
  <si>
    <t>Holiday Inn Express &amp; Suites Farmville</t>
  </si>
  <si>
    <t xml:space="preserve">404 Sunchase Boulevard </t>
  </si>
  <si>
    <t>Farmville</t>
  </si>
  <si>
    <t>Abby Rinaca</t>
  </si>
  <si>
    <t>+1 (434) 392-4040</t>
  </si>
  <si>
    <t>The Virginian Lynchburg Curio Collection</t>
  </si>
  <si>
    <t xml:space="preserve">712 Church Street </t>
  </si>
  <si>
    <t>Lynchburg</t>
  </si>
  <si>
    <t>John D. Marcinik</t>
  </si>
  <si>
    <t>+1 (434) 329-3200</t>
  </si>
  <si>
    <t>Holiday Inn Lancaster</t>
  </si>
  <si>
    <t xml:space="preserve">26 East Chestnut Street </t>
  </si>
  <si>
    <t>Willow View heights</t>
  </si>
  <si>
    <t>Kevin Bergman</t>
  </si>
  <si>
    <t>Sam Wilsker</t>
  </si>
  <si>
    <t>+1 (717) 394-0900</t>
  </si>
  <si>
    <t>La Quinta Inn Daytona Beach International Speedway</t>
  </si>
  <si>
    <t xml:space="preserve">2725 West International Speedway Boulevard </t>
  </si>
  <si>
    <t>Zachery Peck</t>
  </si>
  <si>
    <t>Ashley Roeper</t>
  </si>
  <si>
    <t>+1 (386) 255-7412</t>
  </si>
  <si>
    <t>Insignia An Ascend Hotel Collection Member</t>
  </si>
  <si>
    <t xml:space="preserve">741 61st Street </t>
  </si>
  <si>
    <t>Naji Kotob</t>
  </si>
  <si>
    <t>+(718) 567-5858</t>
  </si>
  <si>
    <t>Residence Inn Long Island East End Riverhead</t>
  </si>
  <si>
    <t xml:space="preserve">2012 Old Country Road </t>
  </si>
  <si>
    <t>Riverhead</t>
  </si>
  <si>
    <t>David Simmons</t>
  </si>
  <si>
    <t>+1(631)905-5811</t>
  </si>
  <si>
    <t>The Heritage Hotel and Conference Center</t>
  </si>
  <si>
    <t xml:space="preserve">522 Heritage Road </t>
  </si>
  <si>
    <t>Southbury</t>
  </si>
  <si>
    <t>David Rijos</t>
  </si>
  <si>
    <t>+1 (203) 264-8200</t>
  </si>
  <si>
    <t>Wyndham Garden LaGuardia South</t>
  </si>
  <si>
    <t xml:space="preserve">61-18 93rd Street </t>
  </si>
  <si>
    <t>Rego Park</t>
  </si>
  <si>
    <t>Andrew Parra</t>
  </si>
  <si>
    <t>+1 (718) 261-9400</t>
  </si>
  <si>
    <t xml:space="preserve">DoubleTree by Hilton Hotel Binghamton </t>
  </si>
  <si>
    <t xml:space="preserve">225 Water Street </t>
  </si>
  <si>
    <t>Mike Pemberton</t>
  </si>
  <si>
    <t>Bill Wilkinson</t>
  </si>
  <si>
    <t>+1 (607) 722-7575</t>
  </si>
  <si>
    <t>Appomattox Inn &amp; Suites</t>
  </si>
  <si>
    <t xml:space="preserve">447 Old Courthouse Road </t>
  </si>
  <si>
    <t>Appomattox</t>
  </si>
  <si>
    <t>Dana Mayberry</t>
  </si>
  <si>
    <t>+1 (434) 664-2018</t>
  </si>
  <si>
    <t>Holiday Inn Express &amp; Suites West Ocean City</t>
  </si>
  <si>
    <t xml:space="preserve">12552 Ocean Gateway </t>
  </si>
  <si>
    <t>Brandon Morris</t>
  </si>
  <si>
    <t>+1 (410) 213-7900</t>
  </si>
  <si>
    <t>Staybridge Suites Philadelphia Valley Forge 422</t>
  </si>
  <si>
    <t xml:space="preserve">88 Anchor Parkway </t>
  </si>
  <si>
    <t>Royersford</t>
  </si>
  <si>
    <t>Chris Porrazzo</t>
  </si>
  <si>
    <t>+1 (610) 792-9300</t>
  </si>
  <si>
    <t>19 Atlantic Hotel</t>
  </si>
  <si>
    <t xml:space="preserve">203 19th Street </t>
  </si>
  <si>
    <t>Virginia Beach</t>
  </si>
  <si>
    <t>Santiago Monzon</t>
  </si>
  <si>
    <t>Tracy Howland</t>
  </si>
  <si>
    <t>+1 (757) 428-4440</t>
  </si>
  <si>
    <t>The George Washington A Wyndham Grand Hotel</t>
  </si>
  <si>
    <t xml:space="preserve">103 East Picadilly Street </t>
  </si>
  <si>
    <t>Suzi Smith</t>
  </si>
  <si>
    <t>+1 (540) 678-4700</t>
  </si>
  <si>
    <t>Microtel Inn &amp; Suites Winston Salem</t>
  </si>
  <si>
    <t xml:space="preserve">100 Capital Lodging Court </t>
  </si>
  <si>
    <t>Winston Salem</t>
  </si>
  <si>
    <t>Kajal Patel</t>
  </si>
  <si>
    <t>+1 (336) 659-1994</t>
  </si>
  <si>
    <t>Springhill Suites Ashburn Dulles North</t>
  </si>
  <si>
    <t xml:space="preserve">20065 Lakeview Center Plaza </t>
  </si>
  <si>
    <t>Jacob Alibrandi</t>
  </si>
  <si>
    <t>+1 (703)723-9300</t>
  </si>
  <si>
    <t>Hyatt Place Chesapeake</t>
  </si>
  <si>
    <t xml:space="preserve">709 Eden Way North </t>
  </si>
  <si>
    <t>Chesapeake</t>
  </si>
  <si>
    <t>Moeen Khan</t>
  </si>
  <si>
    <t>+1 (757) 312-0020</t>
  </si>
  <si>
    <t>Hilton Garden Inn Riverhead</t>
  </si>
  <si>
    <t xml:space="preserve">2038 Old Country Road </t>
  </si>
  <si>
    <t>Natassia Solis</t>
  </si>
  <si>
    <t>+1 (631) 727-2733</t>
  </si>
  <si>
    <t>Hilton East Brunswick Hotel &amp; Executive Meeting Center</t>
  </si>
  <si>
    <t xml:space="preserve">3 Tower Center Boulevard </t>
  </si>
  <si>
    <t>East Brunswick</t>
  </si>
  <si>
    <t>Andy Caldlwell</t>
  </si>
  <si>
    <t>Gary Tucker</t>
  </si>
  <si>
    <t>+1 (732) 828-2000</t>
  </si>
  <si>
    <t>Best Western Plus University Inn and Conference Center</t>
  </si>
  <si>
    <t xml:space="preserve">1310 Tiger Boulevard </t>
  </si>
  <si>
    <t>Clemson</t>
  </si>
  <si>
    <t>Kathryn Campbell</t>
  </si>
  <si>
    <t>+1 (864) 986-6200</t>
  </si>
  <si>
    <t>TownePlace Suites Philadelphia - Mt Laurel</t>
  </si>
  <si>
    <t xml:space="preserve">450 Century Parkway </t>
  </si>
  <si>
    <t>Christine Nieves</t>
  </si>
  <si>
    <t>+1 (856) 778-8221</t>
  </si>
  <si>
    <t>Doubletree Washington DC North Gaithersburg</t>
  </si>
  <si>
    <t xml:space="preserve">620 Perry Parkway </t>
  </si>
  <si>
    <t>Peter Donnelly</t>
  </si>
  <si>
    <t>+1 (301) 977-8900</t>
  </si>
  <si>
    <t>Doubletree by Hilton Somerset Hotel and Conference Center</t>
  </si>
  <si>
    <t xml:space="preserve">200 Atrium Drive </t>
  </si>
  <si>
    <t>Somerset</t>
  </si>
  <si>
    <t>John Schumann</t>
  </si>
  <si>
    <t>Gail Soroka</t>
  </si>
  <si>
    <t>+1 (732) 469-2600</t>
  </si>
  <si>
    <t>Radisson Hotel Detroit - Farmington Hills</t>
  </si>
  <si>
    <t xml:space="preserve">31525 West Twelve Mile Road </t>
  </si>
  <si>
    <t>Farmington Hills</t>
  </si>
  <si>
    <t>Chris Tanner</t>
  </si>
  <si>
    <t>+1 (248) 553-0000</t>
  </si>
  <si>
    <t xml:space="preserve">Hyatt Place Baltimore BWI Airport </t>
  </si>
  <si>
    <t xml:space="preserve">940 International Drive </t>
  </si>
  <si>
    <t>Linthicum Heights</t>
  </si>
  <si>
    <t>Carmisha Williams</t>
  </si>
  <si>
    <t>+1 (410) 859-3366</t>
  </si>
  <si>
    <t>Baymont Inn &amp; Suites Braselton</t>
  </si>
  <si>
    <t xml:space="preserve">2069 Highway 211 Northwest </t>
  </si>
  <si>
    <t>Braselton</t>
  </si>
  <si>
    <t>Kim Stratman</t>
  </si>
  <si>
    <t>+1 (770) 867-8100</t>
  </si>
  <si>
    <t>Hampton Inn Adel</t>
  </si>
  <si>
    <t xml:space="preserve">1500 W 4th Street </t>
  </si>
  <si>
    <t>Adel</t>
  </si>
  <si>
    <t>Charity Terry</t>
  </si>
  <si>
    <t>+1 (229) 896-3099</t>
  </si>
  <si>
    <t>Wyndham Garden Marietta Atlanta North</t>
  </si>
  <si>
    <t xml:space="preserve">455 Franklin Gateway SE </t>
  </si>
  <si>
    <t>Bob Johnson</t>
  </si>
  <si>
    <t>kbtester Avendra</t>
  </si>
  <si>
    <t>+1 (770) 425-9977</t>
  </si>
  <si>
    <t>Sheraton Grand Rapids Airport Hotel</t>
  </si>
  <si>
    <t xml:space="preserve">5700 28th Street Southeast </t>
  </si>
  <si>
    <t>Vicki Kloska</t>
  </si>
  <si>
    <t>+1 (616) 957-1770</t>
  </si>
  <si>
    <t>J3G Partners LLC</t>
  </si>
  <si>
    <t>The Federal Club</t>
  </si>
  <si>
    <t xml:space="preserve">13450 Palmers Way </t>
  </si>
  <si>
    <t>Glen Allen</t>
  </si>
  <si>
    <t>23059-1578</t>
  </si>
  <si>
    <t>Carl Filipowicz PGA</t>
  </si>
  <si>
    <t>Grady Wilder</t>
  </si>
  <si>
    <t>(804) 798-4996</t>
  </si>
  <si>
    <t>CHD Property Management LLC</t>
  </si>
  <si>
    <t>Wingate by Wyndham State Arena Raleigh - Cary</t>
  </si>
  <si>
    <t xml:space="preserve">6115 Corporate Ridge Road </t>
  </si>
  <si>
    <t>Cassandra Bolden</t>
  </si>
  <si>
    <t>Bryan Holloman</t>
  </si>
  <si>
    <t>+1 (919) 847-7383</t>
  </si>
  <si>
    <t>NORTH PARK HEALTH AND REHABILITATION</t>
  </si>
  <si>
    <t xml:space="preserve">2020 N 95TH AVENUE </t>
  </si>
  <si>
    <t>602-313-6000</t>
  </si>
  <si>
    <t>WILLOW RIVER SENIOR LIVING LLC</t>
  </si>
  <si>
    <t>VILLA AT RIVERSTONE</t>
  </si>
  <si>
    <t xml:space="preserve">20313 S UNIVERSITY BLVD </t>
  </si>
  <si>
    <t>MISSOURI CITY</t>
  </si>
  <si>
    <t>281-778-2881</t>
  </si>
  <si>
    <t>PEACHTREE VILLA AT SUWANEE</t>
  </si>
  <si>
    <t xml:space="preserve">1475 SATELLITE BLVD NW </t>
  </si>
  <si>
    <t>SUWANEE</t>
  </si>
  <si>
    <t>678-990-4580</t>
  </si>
  <si>
    <t>THE CROSSINGS AT WINDWARD</t>
  </si>
  <si>
    <t xml:space="preserve">3300 WEBB BRIDGE ROAD </t>
  </si>
  <si>
    <t>770-291-6263</t>
  </si>
  <si>
    <t>CEDAR RANCH AT WESTOVER HILLS</t>
  </si>
  <si>
    <t xml:space="preserve">10107 MILITARY DRIVE WEST </t>
  </si>
  <si>
    <t>210-267-8311</t>
  </si>
  <si>
    <t>MONARCH VILLA AT STOCKBRIDGE</t>
  </si>
  <si>
    <t xml:space="preserve">100 MONARCH VILLAGE WAY </t>
  </si>
  <si>
    <t>STOCKBRIDGE</t>
  </si>
  <si>
    <t>770-376-6753</t>
  </si>
  <si>
    <t>GULL POINT AT ESTERO</t>
  </si>
  <si>
    <t xml:space="preserve">22900 LYNDEN DRIVE </t>
  </si>
  <si>
    <t>239-221-6120</t>
  </si>
  <si>
    <t>HERITAGE SENIOR LIVING</t>
  </si>
  <si>
    <t>TRADITIONS OF LANSDALE</t>
  </si>
  <si>
    <t xml:space="preserve">1800 WALNUT STREET </t>
  </si>
  <si>
    <t>LANSDALE</t>
  </si>
  <si>
    <t>267-427-2668</t>
  </si>
  <si>
    <t>TRADITIONS OF CROSS KEYS</t>
  </si>
  <si>
    <t xml:space="preserve">3152 GLASSBORO CROSS KEYS ROAD </t>
  </si>
  <si>
    <t>GLASSBORO</t>
  </si>
  <si>
    <t>856-244-7831</t>
  </si>
  <si>
    <t>SENIOR COMMONS AT POWDER MILL</t>
  </si>
  <si>
    <t xml:space="preserve">1775 POWDER MILL ROAD </t>
  </si>
  <si>
    <t>717-801-1498</t>
  </si>
  <si>
    <t>KEYSTONE VILLA AT DOUGLASSVILLE</t>
  </si>
  <si>
    <t xml:space="preserve">1152 BEN FRANKLIN HIGHWAY EAST </t>
  </si>
  <si>
    <t>DOUGLASSVILLE</t>
  </si>
  <si>
    <t>484-925-1884</t>
  </si>
  <si>
    <t>HERITAGE HILL SENIOR COMMUNITY</t>
  </si>
  <si>
    <t xml:space="preserve">800 SIXTH STREET </t>
  </si>
  <si>
    <t>WEATHERLY</t>
  </si>
  <si>
    <t>570-249-2016</t>
  </si>
  <si>
    <t>TEXAS INSTITUTE FOR CLINICALLY COMPLEX CARE</t>
  </si>
  <si>
    <t xml:space="preserve">10851 CRESCENT MOON DRIVE </t>
  </si>
  <si>
    <t>281-955-4100</t>
  </si>
  <si>
    <t xml:space="preserve">CARDINAL VILLAGE </t>
  </si>
  <si>
    <t xml:space="preserve">455 HURFFVILLE-CROSSKEYS ROAD </t>
  </si>
  <si>
    <t>SEWELL</t>
  </si>
  <si>
    <t>856-556-6743</t>
  </si>
  <si>
    <t xml:space="preserve">BELLE REVE </t>
  </si>
  <si>
    <t xml:space="preserve">404 EAST HARFORD STREET </t>
  </si>
  <si>
    <t>570-409-9191</t>
  </si>
  <si>
    <t>GLEN OAKS HEALTH AND REHABILITATION</t>
  </si>
  <si>
    <t xml:space="preserve">1101 GLEN OAKS ROAD </t>
  </si>
  <si>
    <t>931-684-8340</t>
  </si>
  <si>
    <t>BOULEVARD TERRACE REHAB AND NURSING HOME</t>
  </si>
  <si>
    <t xml:space="preserve">1530 MIDDLE TENNESSEE BLVD </t>
  </si>
  <si>
    <t>615-896-4505</t>
  </si>
  <si>
    <t>LIFE HME</t>
  </si>
  <si>
    <t>LIFE HME-UPSTATE</t>
  </si>
  <si>
    <t xml:space="preserve">27 BOLAND COURT </t>
  </si>
  <si>
    <t>864-297-8163</t>
  </si>
  <si>
    <t>LIFE HME-MIDLANDS-CORPORATE</t>
  </si>
  <si>
    <t xml:space="preserve">454 BERRYHILL ROAD SUITE A </t>
  </si>
  <si>
    <t>803-254-8775</t>
  </si>
  <si>
    <t>Hilton Garden Inn - Home2 Suites Brunswick</t>
  </si>
  <si>
    <t xml:space="preserve">475 Millenium Boulevard </t>
  </si>
  <si>
    <t>Brunswick</t>
  </si>
  <si>
    <t>James Westenskow</t>
  </si>
  <si>
    <t>+1 (912) 267-1111</t>
  </si>
  <si>
    <t>Virgin Hotels Central Services LLC</t>
  </si>
  <si>
    <t>Virgin Hotels New Orleans</t>
  </si>
  <si>
    <t xml:space="preserve">550 Baronne Street </t>
  </si>
  <si>
    <t>David Moth</t>
  </si>
  <si>
    <t>Cody Bertone</t>
  </si>
  <si>
    <t>+1 (617) 908-9404</t>
  </si>
  <si>
    <t>Courtyard Atlanta Duluth Downtown</t>
  </si>
  <si>
    <t xml:space="preserve">3141 Hill Street Northwest </t>
  </si>
  <si>
    <t>Donna McHugh</t>
  </si>
  <si>
    <t>+(470) 740-1040</t>
  </si>
  <si>
    <t>Residence Inn Brunswick</t>
  </si>
  <si>
    <t xml:space="preserve">116 Gateway Boulevard </t>
  </si>
  <si>
    <t>Craig Barnett</t>
  </si>
  <si>
    <t>+1 (912) 617-8580</t>
  </si>
  <si>
    <t>Naman Hotels LLC</t>
  </si>
  <si>
    <t>Hilton Garden Inn Columbia Airport</t>
  </si>
  <si>
    <t xml:space="preserve">110 McSwain Drive </t>
  </si>
  <si>
    <t>West Columbia</t>
  </si>
  <si>
    <t>Pollianna Beerman</t>
  </si>
  <si>
    <t>+1 (803) 391-4020</t>
  </si>
  <si>
    <t>SENIOR SOLUTIONS</t>
  </si>
  <si>
    <t xml:space="preserve">3420 CLEMSON BLVD </t>
  </si>
  <si>
    <t>864-210-8953</t>
  </si>
  <si>
    <t>BAYSHIRE RANCHO MIRAGE</t>
  </si>
  <si>
    <t xml:space="preserve">72201 COUNTRY CLUB DRIVE </t>
  </si>
  <si>
    <t>760-340-5999</t>
  </si>
  <si>
    <t>BAYSHIRE CARLSBAD-SKILLED CAMINO LLC</t>
  </si>
  <si>
    <t xml:space="preserve">3140 EL CAMINO REAL </t>
  </si>
  <si>
    <t>760-720-9898</t>
  </si>
  <si>
    <t>BIRCHWOOD TERRACE REHAB AND HEALTHCARE</t>
  </si>
  <si>
    <t xml:space="preserve">43 STARR FARM ROAD </t>
  </si>
  <si>
    <t>802-863-6384</t>
  </si>
  <si>
    <t>VI AT THE GLEN</t>
  </si>
  <si>
    <t xml:space="preserve">2500 INDIGO LANE </t>
  </si>
  <si>
    <t>888-617-5376</t>
  </si>
  <si>
    <t>TIDEPOINTE</t>
  </si>
  <si>
    <t xml:space="preserve">700 TIDEPOINTE WAY </t>
  </si>
  <si>
    <t>HILTON HEAD ISLAND</t>
  </si>
  <si>
    <t>888-979-1604</t>
  </si>
  <si>
    <t>VI AT LAKESIDE VILLAGE</t>
  </si>
  <si>
    <t xml:space="preserve">2792 DONNELLY DRIVE </t>
  </si>
  <si>
    <t>LANTANA</t>
  </si>
  <si>
    <t>888-961-4144</t>
  </si>
  <si>
    <t>THE WILLOWS AT WILDWOOD</t>
  </si>
  <si>
    <t xml:space="preserve">4725 BELLWETHER LANE </t>
  </si>
  <si>
    <t>352-430-0076</t>
  </si>
  <si>
    <t>VI AT HIGHLANDS RANCH</t>
  </si>
  <si>
    <t xml:space="preserve">2850 CLASSIC DRIVE </t>
  </si>
  <si>
    <t>HIGHLANDS RANCH</t>
  </si>
  <si>
    <t>888-848-4270</t>
  </si>
  <si>
    <t>VI AT BENTLEY VILLAGE</t>
  </si>
  <si>
    <t xml:space="preserve">850 RETREAT DRIVE </t>
  </si>
  <si>
    <t>888-726-3312</t>
  </si>
  <si>
    <t>VI AT AVENTURA</t>
  </si>
  <si>
    <t xml:space="preserve">19333 WEST COUNTRY CLUB DRIVE </t>
  </si>
  <si>
    <t>AVENTURA</t>
  </si>
  <si>
    <t>888-820-2148</t>
  </si>
  <si>
    <t>VI AT GRAYHAWK</t>
  </si>
  <si>
    <t xml:space="preserve">7501 E THOMPSON PEAK PARKWAY </t>
  </si>
  <si>
    <t>888-720-4820</t>
  </si>
  <si>
    <t>MINISTRY CENTER-LUTHERAN LIFE ORGANIZATION</t>
  </si>
  <si>
    <t xml:space="preserve">3150 SALT CREEK LANE </t>
  </si>
  <si>
    <t>ARLINIGTON HEIGHTS</t>
  </si>
  <si>
    <t>847-368-7301</t>
  </si>
  <si>
    <t>VI AT SILVERSTONE</t>
  </si>
  <si>
    <t xml:space="preserve">23005 NORTH 74TH STREET </t>
  </si>
  <si>
    <t>888-980-3029</t>
  </si>
  <si>
    <t>KRASINSKI AFC INC LLC</t>
  </si>
  <si>
    <t>KRASINSKI MENTAL HEALTH CARE</t>
  </si>
  <si>
    <t xml:space="preserve">1002 COURT STREET </t>
  </si>
  <si>
    <t>KRASINSKI MAIN OFFICE</t>
  </si>
  <si>
    <t xml:space="preserve">920 COURT STREET STE 2 </t>
  </si>
  <si>
    <t>YMCA CAMP CARSON</t>
  </si>
  <si>
    <t xml:space="preserve">2034 OUTER LAKE ROAD </t>
  </si>
  <si>
    <t>812-385-3597</t>
  </si>
  <si>
    <t>GOSPEL MISSION CAMP JABEZ</t>
  </si>
  <si>
    <t xml:space="preserve">64 BURNS AVENUE </t>
  </si>
  <si>
    <t>932-223-4513</t>
  </si>
  <si>
    <t>CONDUIT CHURCH</t>
  </si>
  <si>
    <t xml:space="preserve">1642 EWISBURG PIKE </t>
  </si>
  <si>
    <t>615-656-8977</t>
  </si>
  <si>
    <t>LA MOINE CHRISTIAN SERVICE CAMP</t>
  </si>
  <si>
    <t xml:space="preserve">2760 EAST COUNTY ROAD 1600 </t>
  </si>
  <si>
    <t>TENNESSEE</t>
  </si>
  <si>
    <t>217-654-2238</t>
  </si>
  <si>
    <t>PROCTOR RECREATION CENTER</t>
  </si>
  <si>
    <t xml:space="preserve">1125 WEST LAKE </t>
  </si>
  <si>
    <t>PEORIA</t>
  </si>
  <si>
    <t>309-673-9183</t>
  </si>
  <si>
    <t>CENTRAL KS DREAM CENTER</t>
  </si>
  <si>
    <t xml:space="preserve">2100 BROADWAY AVENUE </t>
  </si>
  <si>
    <t>620-282-4104</t>
  </si>
  <si>
    <t>NEXT SIZE UP LLC</t>
  </si>
  <si>
    <t xml:space="preserve">68 JEFFERSON ROAD </t>
  </si>
  <si>
    <t>508-553-0664</t>
  </si>
  <si>
    <t>Edison Hotel Operations LLC</t>
  </si>
  <si>
    <t>Sheraton Edison</t>
  </si>
  <si>
    <t xml:space="preserve">125 Raritan Center Parkway </t>
  </si>
  <si>
    <t>Bhavnish (BP) Purohit</t>
  </si>
  <si>
    <t>+1 (732) 798-0993</t>
  </si>
  <si>
    <t>Tavistock Management Services LLC</t>
  </si>
  <si>
    <t>SpringHill Suites Orlando Lake Nona</t>
  </si>
  <si>
    <t xml:space="preserve">13700 Boggy Creek Road </t>
  </si>
  <si>
    <t>Gregg Joyal</t>
  </si>
  <si>
    <t>John Luciew</t>
  </si>
  <si>
    <t>+1 (512) 466-6651</t>
  </si>
  <si>
    <t>Lok Group of Companies</t>
  </si>
  <si>
    <t>Fairfield Inn &amp; Suites Santa Rosa Sebastopol</t>
  </si>
  <si>
    <t xml:space="preserve">1101 Gravenstein Highway South </t>
  </si>
  <si>
    <t>Sebastopol</t>
  </si>
  <si>
    <t>Karim Sebastopol</t>
  </si>
  <si>
    <t>+1 (707) 829-6677</t>
  </si>
  <si>
    <t>Quality Inn Petaluma</t>
  </si>
  <si>
    <t xml:space="preserve">5100 Montero Way </t>
  </si>
  <si>
    <t>Petaluma</t>
  </si>
  <si>
    <t>+1 (707) 664-1155</t>
  </si>
  <si>
    <t>Quality Hotel Americana Nogales</t>
  </si>
  <si>
    <t xml:space="preserve">639 N Grand Ave </t>
  </si>
  <si>
    <t>Nogales</t>
  </si>
  <si>
    <t>Marcelo Dominguez</t>
  </si>
  <si>
    <t>+1 (520) 287-7211</t>
  </si>
  <si>
    <t>Courtyard Chevy Chase</t>
  </si>
  <si>
    <t xml:space="preserve">5520 Wisconsin Avenue </t>
  </si>
  <si>
    <t>Jim Pinchock</t>
  </si>
  <si>
    <t>+ (301) 656-1500</t>
  </si>
  <si>
    <t>Willows Lodge</t>
  </si>
  <si>
    <t xml:space="preserve">14580 Northeast 145th Street </t>
  </si>
  <si>
    <t>Woodinville</t>
  </si>
  <si>
    <t>Denny Fitzpatrick</t>
  </si>
  <si>
    <t>Anthony Berkau</t>
  </si>
  <si>
    <t>+1 (425) 424-3900</t>
  </si>
  <si>
    <t>Mountain Shadows Resort</t>
  </si>
  <si>
    <t xml:space="preserve">5445 East Lincoln Drive </t>
  </si>
  <si>
    <t>Andrew Chippindall</t>
  </si>
  <si>
    <t>+ (480) 948-7111</t>
  </si>
  <si>
    <t>Yotel Pad Park City</t>
  </si>
  <si>
    <t xml:space="preserve">2670 Canyons Resort Drive </t>
  </si>
  <si>
    <t>Brandon Tyler</t>
  </si>
  <si>
    <t>+(435)731-5090</t>
  </si>
  <si>
    <t>The Rubenstein Forum</t>
  </si>
  <si>
    <t>1201 East 60 Street University of Chicago</t>
  </si>
  <si>
    <t>+1 (773) 702-6714</t>
  </si>
  <si>
    <t>The Nautical Beachfront Resort Lake Havasu</t>
  </si>
  <si>
    <t xml:space="preserve">1000 McCulloch Boulevard </t>
  </si>
  <si>
    <t>Lake Havasu City</t>
  </si>
  <si>
    <t>Alfredo Anguiano</t>
  </si>
  <si>
    <t>Bethany Hopp</t>
  </si>
  <si>
    <t>+(928) 855-2141</t>
  </si>
  <si>
    <t>Lake Arrowhead Resort and Spa</t>
  </si>
  <si>
    <t>27984 Highway 189 P.O. Box 1699</t>
  </si>
  <si>
    <t>Lake Arrowhead</t>
  </si>
  <si>
    <t>Christian Jacobs</t>
  </si>
  <si>
    <t>+1 (909) 336-1511</t>
  </si>
  <si>
    <t>Springhill Suites Chicago Chinatown</t>
  </si>
  <si>
    <t xml:space="preserve">2357 South Wentworth Avenue </t>
  </si>
  <si>
    <t>+1(312) 766-9668</t>
  </si>
  <si>
    <t>VALLEY VIEW NURSING AND REHAB</t>
  </si>
  <si>
    <t xml:space="preserve">1140 NORTH ALLUMBAUGH STREET </t>
  </si>
  <si>
    <t>208-854-8500</t>
  </si>
  <si>
    <t>PARK PLACE RETIREMENT CENTER</t>
  </si>
  <si>
    <t xml:space="preserve">31 EXECUTIVE PARK DRIVE </t>
  </si>
  <si>
    <t>615-822-6002</t>
  </si>
  <si>
    <t>COVENANT WOODS RETIREMENT CENTER</t>
  </si>
  <si>
    <t xml:space="preserve">5424 WOODRUFF FARM ROAD </t>
  </si>
  <si>
    <t>706-561-1401</t>
  </si>
  <si>
    <t>COLLEGE WALK RETIREMENT CENTER</t>
  </si>
  <si>
    <t xml:space="preserve">100 N COLLEGE ROAD </t>
  </si>
  <si>
    <t>BREVARD</t>
  </si>
  <si>
    <t>828-884-5840</t>
  </si>
  <si>
    <t>GARDEN PLAZA OF VALLEY VIEW</t>
  </si>
  <si>
    <t xml:space="preserve">1130 NORTH ALLUMBAUGH </t>
  </si>
  <si>
    <t>208-322-0311</t>
  </si>
  <si>
    <t>HICKORY VALLEY RETIREMENT CENTER</t>
  </si>
  <si>
    <t xml:space="preserve">6705 BALLARD DRIVE </t>
  </si>
  <si>
    <t>423-855-0508</t>
  </si>
  <si>
    <t>Sheraton Lake Buena Vista Resort</t>
  </si>
  <si>
    <t xml:space="preserve">12205 South Apopka Vineland Road </t>
  </si>
  <si>
    <t>Shane Allor</t>
  </si>
  <si>
    <t>Robert Loewen</t>
  </si>
  <si>
    <t>+1 (407)239-0444</t>
  </si>
  <si>
    <t>Bernard's</t>
  </si>
  <si>
    <t xml:space="preserve">1019 Pine Street </t>
  </si>
  <si>
    <t>Nick Wymore</t>
  </si>
  <si>
    <t>Marquee Pizzeria</t>
  </si>
  <si>
    <t>920 East 2nd Avenue Suite 123</t>
  </si>
  <si>
    <t>Coralville</t>
  </si>
  <si>
    <t>+()319-333-1018</t>
  </si>
  <si>
    <t>ROCKY BAY HEALTH CARE FACILITY</t>
  </si>
  <si>
    <t xml:space="preserve">17526 STATE RT 302 </t>
  </si>
  <si>
    <t>253-884-2277</t>
  </si>
  <si>
    <t>MEZCAL LLC</t>
  </si>
  <si>
    <t xml:space="preserve">25 W SAN FERNANDO STREET </t>
  </si>
  <si>
    <t>408-283-9595</t>
  </si>
  <si>
    <t>Hampton Inn &amp; Suites Bloomfield Hills</t>
  </si>
  <si>
    <t xml:space="preserve">1951 South Telegraph Road </t>
  </si>
  <si>
    <t>Hussein Soubra</t>
  </si>
  <si>
    <t>Jasreen Hundal</t>
  </si>
  <si>
    <t>+1 (248) 454-5150</t>
  </si>
  <si>
    <t>The Kitchen Lot 42</t>
  </si>
  <si>
    <t xml:space="preserve">41 Ardelt Place </t>
  </si>
  <si>
    <t>Kitchener</t>
  </si>
  <si>
    <t>N2C 2C8</t>
  </si>
  <si>
    <t>+1 (519) 624-7749</t>
  </si>
  <si>
    <t>Isla Cabañas SA de CV</t>
  </si>
  <si>
    <t>The Westin Cozumel</t>
  </si>
  <si>
    <t xml:space="preserve">Carretera Costera Norte Km 4.8 </t>
  </si>
  <si>
    <t>Cozumel</t>
  </si>
  <si>
    <t>Alejandro Ruiz</t>
  </si>
  <si>
    <t>+1 52 (987) 872-9200</t>
  </si>
  <si>
    <t xml:space="preserve">Maravilla Beach Club S. de R.L. de C.V. </t>
  </si>
  <si>
    <t>Twin Dolphin Los Cabos</t>
  </si>
  <si>
    <t xml:space="preserve">Carretera Transpeninsular KM 12.5 Int. Bahia Santa Maria </t>
  </si>
  <si>
    <t>Hugo Tapia</t>
  </si>
  <si>
    <t>+1 (624) 163-6916</t>
  </si>
  <si>
    <t>Iridescent Hotels</t>
  </si>
  <si>
    <t>Hyatt Place San Antonio Northwest Medical Center</t>
  </si>
  <si>
    <t xml:space="preserve">4303 Hyatt Place Drive </t>
  </si>
  <si>
    <t>Javier Segura</t>
  </si>
  <si>
    <t>Maricela Almendarez</t>
  </si>
  <si>
    <t>+ (210) 561-0099</t>
  </si>
  <si>
    <t>BelleVista Place</t>
  </si>
  <si>
    <t xml:space="preserve">100 112th Avenue Northeast </t>
  </si>
  <si>
    <t>Kathy Anderson</t>
  </si>
  <si>
    <t>+1 (425) 455-3330</t>
  </si>
  <si>
    <t>In-Group Hospitality Inc.</t>
  </si>
  <si>
    <t>Hampton Inn Draper</t>
  </si>
  <si>
    <t xml:space="preserve">13711 South 200 West </t>
  </si>
  <si>
    <t>Draper</t>
  </si>
  <si>
    <t>Becky Plaizier</t>
  </si>
  <si>
    <t>+1 (801) 5713700</t>
  </si>
  <si>
    <t>Delta Hotels Racine</t>
  </si>
  <si>
    <t xml:space="preserve">7111 Washington Avenue </t>
  </si>
  <si>
    <t>Jassi Ahluwalia</t>
  </si>
  <si>
    <t>+1 (262) 886-6100</t>
  </si>
  <si>
    <t>Fairfield Inn Lumberton</t>
  </si>
  <si>
    <t xml:space="preserve">3361 Lackey Street </t>
  </si>
  <si>
    <t>Lumberton</t>
  </si>
  <si>
    <t>Andrea Gutierrez</t>
  </si>
  <si>
    <t>Tammy Bateman</t>
  </si>
  <si>
    <t>+ (910) 739-8444</t>
  </si>
  <si>
    <t>Virgin Hotels Chicago</t>
  </si>
  <si>
    <t xml:space="preserve">203 North Wabash Avenue </t>
  </si>
  <si>
    <t>Ginny Minnich</t>
  </si>
  <si>
    <t>Tim Foley</t>
  </si>
  <si>
    <t>+1 (312) 940-4701</t>
  </si>
  <si>
    <t>Virgin Hotels Nashville</t>
  </si>
  <si>
    <t xml:space="preserve">1 Music Square W </t>
  </si>
  <si>
    <t>Derek McCann</t>
  </si>
  <si>
    <t>Danica Alexander</t>
  </si>
  <si>
    <t>+1 (615) 416-6537</t>
  </si>
  <si>
    <t>Virgin Hotels Dallas</t>
  </si>
  <si>
    <t xml:space="preserve">1445 Turtle Creek Blvd </t>
  </si>
  <si>
    <t>Bob Sassani</t>
  </si>
  <si>
    <t>Pedro Pantoja</t>
  </si>
  <si>
    <t>+1 (469) 359-7700</t>
  </si>
  <si>
    <t>Holiday Inn Express &amp; Suites San Jose Airport</t>
  </si>
  <si>
    <t xml:space="preserve">2080 North 1st Street </t>
  </si>
  <si>
    <t>Jeng Candari</t>
  </si>
  <si>
    <t>+1 (408) 392-0111</t>
  </si>
  <si>
    <t>TownePlace Suites Nashville West End</t>
  </si>
  <si>
    <t xml:space="preserve">1500 Charlotte Avenue </t>
  </si>
  <si>
    <t>AJ Ward</t>
  </si>
  <si>
    <t>+1 (615) 800-3610</t>
  </si>
  <si>
    <t>Delta Hotel Philadelphia Airport</t>
  </si>
  <si>
    <t xml:space="preserve">500 Stevens Drive </t>
  </si>
  <si>
    <t>Carl Brown</t>
  </si>
  <si>
    <t>+1 (610) 521-5900</t>
  </si>
  <si>
    <t>RevPAR Companies</t>
  </si>
  <si>
    <t>Holiday Inn Express Harrisonburg</t>
  </si>
  <si>
    <t xml:space="preserve">196 Burgess Road </t>
  </si>
  <si>
    <t>Michael Sandercock</t>
  </si>
  <si>
    <t>+1 (540) 750-4441</t>
  </si>
  <si>
    <t>The Cloudveil an Autograph Collection</t>
  </si>
  <si>
    <t xml:space="preserve">112 Center Street </t>
  </si>
  <si>
    <t>Bruce Grosbety</t>
  </si>
  <si>
    <t>Jeff Everson</t>
  </si>
  <si>
    <t>+() tbd</t>
  </si>
  <si>
    <t>New York JFK Airport Marriott</t>
  </si>
  <si>
    <t xml:space="preserve">135-25 142nd Street </t>
  </si>
  <si>
    <t>Mark Irgang</t>
  </si>
  <si>
    <t>+1 (718) 848-2552</t>
  </si>
  <si>
    <t>W Nashville</t>
  </si>
  <si>
    <t xml:space="preserve">300 12th Avenue South </t>
  </si>
  <si>
    <t>W Hotel</t>
  </si>
  <si>
    <t>David Cronin</t>
  </si>
  <si>
    <t>Vicky Morales</t>
  </si>
  <si>
    <t>+1 (615) 379-9000</t>
  </si>
  <si>
    <t>BRIGHTLY SENIOR LIVING</t>
  </si>
  <si>
    <t xml:space="preserve">649 LEGACY PLACE </t>
  </si>
  <si>
    <t>Citadines Connect Fifth Ave.</t>
  </si>
  <si>
    <t xml:space="preserve">15 W 45TH ST </t>
  </si>
  <si>
    <t>+1 (212) 302-9088</t>
  </si>
  <si>
    <t>The Tremont House</t>
  </si>
  <si>
    <t xml:space="preserve">2300 Ship's Mechanic Row </t>
  </si>
  <si>
    <t>Galveston</t>
  </si>
  <si>
    <t>+1 (409) 763-0300</t>
  </si>
  <si>
    <t>Home2 Suites Tampa</t>
  </si>
  <si>
    <t xml:space="preserve">5222 West Laurel Street </t>
  </si>
  <si>
    <t>Julia York</t>
  </si>
  <si>
    <t>+(813) 284-0568</t>
  </si>
  <si>
    <t>Home2 Fort Myers</t>
  </si>
  <si>
    <t xml:space="preserve">10400 Airkraft Court </t>
  </si>
  <si>
    <t>Ft. Myers</t>
  </si>
  <si>
    <t>Tanya Aldana</t>
  </si>
  <si>
    <t>Philip Alfonso</t>
  </si>
  <si>
    <t>+1 (239) 208-5454</t>
  </si>
  <si>
    <t>Residence Inn Miami Northwest</t>
  </si>
  <si>
    <t xml:space="preserve">10234 Northwest 19th Street </t>
  </si>
  <si>
    <t>Doral</t>
  </si>
  <si>
    <t>+1 (305) 499-3300</t>
  </si>
  <si>
    <t>Holiday Inn Erie</t>
  </si>
  <si>
    <t xml:space="preserve">2260 Downs Drive </t>
  </si>
  <si>
    <t>Alyssa Scheppner</t>
  </si>
  <si>
    <t>Shawn Gollinger</t>
  </si>
  <si>
    <t>+1 (814) 205-0271</t>
  </si>
  <si>
    <t>SpareMe Bowl</t>
  </si>
  <si>
    <t xml:space="preserve">404 East College Street #101 </t>
  </si>
  <si>
    <t>SILOAM SPRINGS NURSING AND REHAB</t>
  </si>
  <si>
    <t xml:space="preserve">811 EAST ELGIN STREET </t>
  </si>
  <si>
    <t>SILOAM SPRINGS</t>
  </si>
  <si>
    <t>479-524-3128</t>
  </si>
  <si>
    <t>ALLIANCE HEALTHCARE</t>
  </si>
  <si>
    <t>ANDOVER SUBACUTE I</t>
  </si>
  <si>
    <t xml:space="preserve">1 O'BRIEN LANE </t>
  </si>
  <si>
    <t>973-363-9100</t>
  </si>
  <si>
    <t>OPTIMUM HEALTHCARE MANAGEMENT</t>
  </si>
  <si>
    <t>SPRINGTOWN PARK REHAB AND CARE CENTER</t>
  </si>
  <si>
    <t xml:space="preserve">201 WILLIAMS WARD ROAD </t>
  </si>
  <si>
    <t>SPRINGTOWN</t>
  </si>
  <si>
    <t>MARQUIS CARE PIEDMONT-PAR-MENU ONLY</t>
  </si>
  <si>
    <t xml:space="preserve">319 NE RUSSETT </t>
  </si>
  <si>
    <t>971-205-5200</t>
  </si>
  <si>
    <t>ALTAMONTE CARE OF TEXAS LLC</t>
  </si>
  <si>
    <t>ARDEN PLACE OF BEEVILLE</t>
  </si>
  <si>
    <t xml:space="preserve">600 SOUTH HILLSIDE DRIVE </t>
  </si>
  <si>
    <t>BEEVILLE</t>
  </si>
  <si>
    <t>361-358-8880</t>
  </si>
  <si>
    <t>ARDEN WOOD</t>
  </si>
  <si>
    <t xml:space="preserve">8810 LONG POINT ROAD </t>
  </si>
  <si>
    <t>713-468-7833</t>
  </si>
  <si>
    <t>BLOOMSBURG CARE AND REHAB CENTER</t>
  </si>
  <si>
    <t xml:space="preserve">211 EAST FIRST STREET </t>
  </si>
  <si>
    <t>BLOOMSBURG</t>
  </si>
  <si>
    <t>570-784-5930</t>
  </si>
  <si>
    <t>WYNWOOD REHAB AND HEALTHCARE CENTER</t>
  </si>
  <si>
    <t xml:space="preserve">1700 WYNWOOD DRIVE </t>
  </si>
  <si>
    <t>CINAMINSON</t>
  </si>
  <si>
    <t>856-829-9000</t>
  </si>
  <si>
    <t>ARDEN PLACE OF GRAPEVINE</t>
  </si>
  <si>
    <t xml:space="preserve">1500 AUTUMN DRIVE </t>
  </si>
  <si>
    <t>GRAPEVINE</t>
  </si>
  <si>
    <t>817-488-8585</t>
  </si>
  <si>
    <t>ARDEN PLACE</t>
  </si>
  <si>
    <t xml:space="preserve">7633 BELLFORT STREET </t>
  </si>
  <si>
    <t>713-644-2102</t>
  </si>
  <si>
    <t>ARDEN PLACE OF RICHLAND HILLS</t>
  </si>
  <si>
    <t xml:space="preserve">7146 BAKER BLVD </t>
  </si>
  <si>
    <t>RICHLAND HILLS</t>
  </si>
  <si>
    <t>817-589-1734</t>
  </si>
  <si>
    <t>ARDEN PLACE OF BEAUMONT</t>
  </si>
  <si>
    <t xml:space="preserve">4195 MILAM STRET </t>
  </si>
  <si>
    <t>409-842-4550</t>
  </si>
  <si>
    <t>RIVERFRONT REHAB AND HEALTHCARE CENTER</t>
  </si>
  <si>
    <t xml:space="preserve">5101 NORTH PARK DRIVE </t>
  </si>
  <si>
    <t>PENNSAUKEN</t>
  </si>
  <si>
    <t>856-665-8844</t>
  </si>
  <si>
    <t>ANDOVER SUBACUTE II</t>
  </si>
  <si>
    <t xml:space="preserve">99 MULFORD ROAD </t>
  </si>
  <si>
    <t>ANDOVER</t>
  </si>
  <si>
    <t>973-363-9200</t>
  </si>
  <si>
    <t>NORTH PARK POST ACUTE</t>
  </si>
  <si>
    <t xml:space="preserve">2586 BUTHMANN AVENUE </t>
  </si>
  <si>
    <t>209-832-2273</t>
  </si>
  <si>
    <t>ATLAS REHAB AND HEALTHCARE AT MAYWOOD</t>
  </si>
  <si>
    <t xml:space="preserve">100 WEST MAGNOLIA AVENUE </t>
  </si>
  <si>
    <t>MAYWOOD</t>
  </si>
  <si>
    <t>201-843-8411</t>
  </si>
  <si>
    <t>MOUNTAINVIEW CARE AND REHAB CENTER</t>
  </si>
  <si>
    <t xml:space="preserve">2309 STAFFORD AVENUE </t>
  </si>
  <si>
    <t>SCRANTON</t>
  </si>
  <si>
    <t>570-341-0050</t>
  </si>
  <si>
    <t>CEDAR GROVE RESPIRATORY AND NURSING</t>
  </si>
  <si>
    <t xml:space="preserve">1420 SOUTH BLACK HORSE PIKE </t>
  </si>
  <si>
    <t>WILLIALMSTOWN</t>
  </si>
  <si>
    <t>856-875-0100</t>
  </si>
  <si>
    <t>MILNER COMMUNITY HEALTH CARE</t>
  </si>
  <si>
    <t xml:space="preserve">370 E MAIN ST </t>
  </si>
  <si>
    <t>ROSSVILLE</t>
  </si>
  <si>
    <t>46065-9461</t>
  </si>
  <si>
    <t>(765) 379-2112</t>
  </si>
  <si>
    <t>MUNRO HOUSE</t>
  </si>
  <si>
    <t xml:space="preserve">3034 RIGGS AVE </t>
  </si>
  <si>
    <t>ERLANGER</t>
  </si>
  <si>
    <t>859-817-3290</t>
  </si>
  <si>
    <t>UNITED FAITH HOUSING CORPORATION</t>
  </si>
  <si>
    <t xml:space="preserve">600 MAIN ST </t>
  </si>
  <si>
    <t>46016-1543</t>
  </si>
  <si>
    <t>(765) 642-7600</t>
  </si>
  <si>
    <t>HARTSFIELD VILLAGE</t>
  </si>
  <si>
    <t xml:space="preserve">10000 COLUMBIA AVE </t>
  </si>
  <si>
    <t>MUNSTER</t>
  </si>
  <si>
    <t>46321-4041</t>
  </si>
  <si>
    <t>(219) 934-0750</t>
  </si>
  <si>
    <t>MAPLE LEAF COMMONS</t>
  </si>
  <si>
    <t xml:space="preserve">2926 ELKHART RD </t>
  </si>
  <si>
    <t>46526-1019</t>
  </si>
  <si>
    <t>(574) 534-6827</t>
  </si>
  <si>
    <t>GASLIGHT APARTMENTS</t>
  </si>
  <si>
    <t xml:space="preserve">111 S THIRD ST </t>
  </si>
  <si>
    <t>CONVERSE</t>
  </si>
  <si>
    <t>46919-9398</t>
  </si>
  <si>
    <t>(765) 395-3331</t>
  </si>
  <si>
    <t>ED ROMARO TERRACE</t>
  </si>
  <si>
    <t xml:space="preserve">8100 CENTRAL AVE SE </t>
  </si>
  <si>
    <t>ALBUQUERQUE</t>
  </si>
  <si>
    <t>505 232888</t>
  </si>
  <si>
    <t>LAKEVIEW PLACE</t>
  </si>
  <si>
    <t xml:space="preserve">1570 E MAIN </t>
  </si>
  <si>
    <t>46122-1963</t>
  </si>
  <si>
    <t>(773) 471-4160</t>
  </si>
  <si>
    <t>VILLAGE AT WHITE RIVER</t>
  </si>
  <si>
    <t xml:space="preserve">1212 PEARL ST </t>
  </si>
  <si>
    <t>46016-2785</t>
  </si>
  <si>
    <t>(765) 622-7703</t>
  </si>
  <si>
    <t>ROSEWOOD TERRACE</t>
  </si>
  <si>
    <t xml:space="preserve">4100 S A ST </t>
  </si>
  <si>
    <t>47374-6057</t>
  </si>
  <si>
    <t>(765) 965-4840</t>
  </si>
  <si>
    <t>CASTLE ROCK HOSPITAL DISTRICT</t>
  </si>
  <si>
    <t xml:space="preserve">1400 UINTA DR </t>
  </si>
  <si>
    <t>GREEN RIVER</t>
  </si>
  <si>
    <t>BAPTIST LIFE COMMUNITIES - CORPORATE OFFICE</t>
  </si>
  <si>
    <t xml:space="preserve">1452 DONALDSON HWY </t>
  </si>
  <si>
    <t>41018-3305</t>
  </si>
  <si>
    <t>FRANCISCAN HOMES &amp; COMMUNITY SERVICES</t>
  </si>
  <si>
    <t xml:space="preserve">203 FRANCISCAN DR </t>
  </si>
  <si>
    <t>LEADINGAGE INDIANA</t>
  </si>
  <si>
    <t xml:space="preserve">5460 BEARBERRY LN </t>
  </si>
  <si>
    <t>46268-3933</t>
  </si>
  <si>
    <t>CEDAR LAKE INC.</t>
  </si>
  <si>
    <t>CEDAR LAKE - PICK UP SERVICE</t>
  </si>
  <si>
    <t xml:space="preserve">11600 ELECTRON DR </t>
  </si>
  <si>
    <t>40299-3860</t>
  </si>
  <si>
    <t>(502)-425-5323</t>
  </si>
  <si>
    <t>BRECKINRIDGE SERVICES INC DBA BRECKINRIDGE PL</t>
  </si>
  <si>
    <t xml:space="preserve">170 SYKES BLVD </t>
  </si>
  <si>
    <t>MORGANFIELD</t>
  </si>
  <si>
    <t>42437-6685</t>
  </si>
  <si>
    <t>(270) 389-1133</t>
  </si>
  <si>
    <t>LIFETIME HOUSING GROUP</t>
  </si>
  <si>
    <t xml:space="preserve">13091 BENEDICT DR </t>
  </si>
  <si>
    <t>DILLSBORO</t>
  </si>
  <si>
    <t>47018-8480</t>
  </si>
  <si>
    <t>(812) 432-6282</t>
  </si>
  <si>
    <t>CEDAR LAKE SYCAMORE - RUN 2</t>
  </si>
  <si>
    <t xml:space="preserve">4806 SYCAMORE RIDGE LN </t>
  </si>
  <si>
    <t>LAGRANGE</t>
  </si>
  <si>
    <t>(502) 222-7157</t>
  </si>
  <si>
    <t>CEDAR LAKE RESIDENCES</t>
  </si>
  <si>
    <t xml:space="preserve">9505 WILLIAMSBURG PLZ STE 203 </t>
  </si>
  <si>
    <t>40222-5082</t>
  </si>
  <si>
    <t>(502) 425-5323</t>
  </si>
  <si>
    <t>ST PAUL HERMITAGE</t>
  </si>
  <si>
    <t xml:space="preserve">501 N 17TH AVE </t>
  </si>
  <si>
    <t>BEECH GROVE</t>
  </si>
  <si>
    <t>(317) 786-2261</t>
  </si>
  <si>
    <t>FLINN PLACE INC - IN</t>
  </si>
  <si>
    <t xml:space="preserve">612 W 12TH ST </t>
  </si>
  <si>
    <t>46953-2168</t>
  </si>
  <si>
    <t>765-668-8115</t>
  </si>
  <si>
    <t>LA FONTAINE CENTER</t>
  </si>
  <si>
    <t xml:space="preserve">208 W STATE ST </t>
  </si>
  <si>
    <t>46750-2664</t>
  </si>
  <si>
    <t>(260) 356-9099</t>
  </si>
  <si>
    <t>CRAWFORD MANOR</t>
  </si>
  <si>
    <t xml:space="preserve">9940 HOOSIER VILLAGE DR </t>
  </si>
  <si>
    <t>46268-3945</t>
  </si>
  <si>
    <t>(317) 873-6510</t>
  </si>
  <si>
    <t>BARRINGTON</t>
  </si>
  <si>
    <t xml:space="preserve">1335 S GUILFORD RD </t>
  </si>
  <si>
    <t>CARMEL</t>
  </si>
  <si>
    <t>46032-2999</t>
  </si>
  <si>
    <t>(317) 706-6760</t>
  </si>
  <si>
    <t>PROVIDENCE HEALTH CARE INC</t>
  </si>
  <si>
    <t xml:space="preserve">1 SISTERS OF PROVIDENCE </t>
  </si>
  <si>
    <t>ST MARY OF WD</t>
  </si>
  <si>
    <t>47876-1007</t>
  </si>
  <si>
    <t>(812) 535-1050</t>
  </si>
  <si>
    <t>MADISON HERITAGE APARTMENTS</t>
  </si>
  <si>
    <t xml:space="preserve">101 W 2ND ST </t>
  </si>
  <si>
    <t>47250-3798</t>
  </si>
  <si>
    <t>(812) 265-2525</t>
  </si>
  <si>
    <t>PROVIDENCE LIFE SERVICES</t>
  </si>
  <si>
    <t>PARK PLACE OF ST JOHN</t>
  </si>
  <si>
    <t xml:space="preserve">10700 PARK PL </t>
  </si>
  <si>
    <t>SAINT JOHN</t>
  </si>
  <si>
    <t>219 525465</t>
  </si>
  <si>
    <t>THE PARKS AT ARMOUR OAKS</t>
  </si>
  <si>
    <t xml:space="preserve">441 W 81ST ST </t>
  </si>
  <si>
    <t>CEDAR LAKE ENRICHMENT CENTER</t>
  </si>
  <si>
    <t xml:space="preserve">2111 SPENCER CT </t>
  </si>
  <si>
    <t>LA GRANGE</t>
  </si>
  <si>
    <t>40031-6742</t>
  </si>
  <si>
    <t>HOLY CROSS HOUSE</t>
  </si>
  <si>
    <t xml:space="preserve">1048 DOUGLAS RD </t>
  </si>
  <si>
    <t>NOTRE DAME</t>
  </si>
  <si>
    <t>46556-1048</t>
  </si>
  <si>
    <t>(574) 631-9057</t>
  </si>
  <si>
    <t>GEORGE DAVIS MANOR</t>
  </si>
  <si>
    <t xml:space="preserve">1051 CUMBERLAND AVE </t>
  </si>
  <si>
    <t>WEST LAFAYETTE</t>
  </si>
  <si>
    <t>47906-1496</t>
  </si>
  <si>
    <t>(765) 463-2571</t>
  </si>
  <si>
    <t>GEORGE ADE MEMORIAL HEALTH CARE</t>
  </si>
  <si>
    <t xml:space="preserve">3623 E STATE ROAD 16 </t>
  </si>
  <si>
    <t>BROOK</t>
  </si>
  <si>
    <t>47922-8800</t>
  </si>
  <si>
    <t>(219) 275-2531</t>
  </si>
  <si>
    <t>FRIENDSHIP HAVEN RETIREMENT COMMUNITY</t>
  </si>
  <si>
    <t xml:space="preserve">2600 W JEFFERSON ST </t>
  </si>
  <si>
    <t>46901-1750</t>
  </si>
  <si>
    <t>(765) 459-9343</t>
  </si>
  <si>
    <t>WESTMINSTER HEALTHCARE CTR</t>
  </si>
  <si>
    <t xml:space="preserve">2210 GREENTREE N </t>
  </si>
  <si>
    <t>47129-8958</t>
  </si>
  <si>
    <t>(812) 282-9691</t>
  </si>
  <si>
    <t>TRILOGY HEALTH SERVICES LLC</t>
  </si>
  <si>
    <t>ST ELIZABETH HEALTHCARE CENTER</t>
  </si>
  <si>
    <t xml:space="preserve">701 ARMORY RD </t>
  </si>
  <si>
    <t>DELPHI</t>
  </si>
  <si>
    <t>46923-1915</t>
  </si>
  <si>
    <t>(765) 564-6380</t>
  </si>
  <si>
    <t>CHARLES MAJOR MANOR</t>
  </si>
  <si>
    <t xml:space="preserve">102 E FRANKLIN ST </t>
  </si>
  <si>
    <t>46176-1474</t>
  </si>
  <si>
    <t>(317) 398-3316</t>
  </si>
  <si>
    <t>WESTMINISTER VILLAGE TERRE HAUTE</t>
  </si>
  <si>
    <t xml:space="preserve">1120 E DAVIS DR </t>
  </si>
  <si>
    <t>TERRE HAUTE</t>
  </si>
  <si>
    <t>47802-4057</t>
  </si>
  <si>
    <t>(812) 232-7533</t>
  </si>
  <si>
    <t>MARQUETTE MANOR</t>
  </si>
  <si>
    <t xml:space="preserve">8140 TOWNSHIP LINE RD </t>
  </si>
  <si>
    <t>46260-5824</t>
  </si>
  <si>
    <t>(317) 875-9700</t>
  </si>
  <si>
    <t>MASONIC HOME OF MISSOURI</t>
  </si>
  <si>
    <t xml:space="preserve">12101 E BANNISTER RD </t>
  </si>
  <si>
    <t>64138-4913</t>
  </si>
  <si>
    <t>(816) 763-6667</t>
  </si>
  <si>
    <t>LUTHERAN HOME - MO</t>
  </si>
  <si>
    <t xml:space="preserve">2825 BLOOMFIELD RD </t>
  </si>
  <si>
    <t>CAPE GIRARDEAU</t>
  </si>
  <si>
    <t>63703-6335</t>
  </si>
  <si>
    <t>(573) 335-0158</t>
  </si>
  <si>
    <t>GEORGETOWN STATION</t>
  </si>
  <si>
    <t xml:space="preserve">6702 GEORGETOWN RD </t>
  </si>
  <si>
    <t>46268-4409</t>
  </si>
  <si>
    <t>(317) 329-4072</t>
  </si>
  <si>
    <t>AMIE HOLT CARE CENTER</t>
  </si>
  <si>
    <t xml:space="preserve">497 W LOTT ST </t>
  </si>
  <si>
    <t>307 684552</t>
  </si>
  <si>
    <t>KINGSWOOD SENIOR LIVING</t>
  </si>
  <si>
    <t xml:space="preserve">10000 WORNALL RD </t>
  </si>
  <si>
    <t>64114-4359</t>
  </si>
  <si>
    <t>VILLAGE NORTH</t>
  </si>
  <si>
    <t xml:space="preserve">11160 VILLAGE NORTH D </t>
  </si>
  <si>
    <t>SAINT LOUIS</t>
  </si>
  <si>
    <t>(314) 355-8010</t>
  </si>
  <si>
    <t>ST ANDREWS HOME HEALTH</t>
  </si>
  <si>
    <t xml:space="preserve">1630 DES PERES RD STE 290 </t>
  </si>
  <si>
    <t>63131-1800</t>
  </si>
  <si>
    <t>BAPTIST LIFE COMMUNITIES</t>
  </si>
  <si>
    <t xml:space="preserve">800 HIGHLAND AVE </t>
  </si>
  <si>
    <t>FT WRIGHT</t>
  </si>
  <si>
    <t>41011-4012</t>
  </si>
  <si>
    <t>(859) 491-3800</t>
  </si>
  <si>
    <t>LAKEVIEW VILLAGE</t>
  </si>
  <si>
    <t xml:space="preserve">1130 N NORFOLK ST </t>
  </si>
  <si>
    <t>46224-6891</t>
  </si>
  <si>
    <t>(317) 244-5223</t>
  </si>
  <si>
    <t>JACKSON PEOPLES SENIOR LIVING CTR</t>
  </si>
  <si>
    <t xml:space="preserve">3901 LESLEY AVE STE 126 </t>
  </si>
  <si>
    <t>317-549-1520</t>
  </si>
  <si>
    <t>HICKORY GROVE</t>
  </si>
  <si>
    <t xml:space="preserve">9750 E 25TH ST </t>
  </si>
  <si>
    <t>46229-1294</t>
  </si>
  <si>
    <t>(317) 895-1690</t>
  </si>
  <si>
    <t>BISHOP T. GARROTT BENJAMIN JR.</t>
  </si>
  <si>
    <t xml:space="preserve">4720 MICHIGAN RD </t>
  </si>
  <si>
    <t>46228-2308</t>
  </si>
  <si>
    <t>(217) 257-1000</t>
  </si>
  <si>
    <t>LANDSUN HOMES INC</t>
  </si>
  <si>
    <t xml:space="preserve">2002 WESTRIDGE RD </t>
  </si>
  <si>
    <t>505 887289</t>
  </si>
  <si>
    <t>ST CHARLES SENIOR COMMUNITY LLC</t>
  </si>
  <si>
    <t xml:space="preserve">3448 HARRY S TRUMAN BLVD </t>
  </si>
  <si>
    <t>63301-4046</t>
  </si>
  <si>
    <t>THE SARAH COMMUNITY</t>
  </si>
  <si>
    <t xml:space="preserve">3393 MCKELVEY ROAD </t>
  </si>
  <si>
    <t>JEANNE JUGAN CENTER</t>
  </si>
  <si>
    <t xml:space="preserve">8745 JAMES A REED RD </t>
  </si>
  <si>
    <t>RAYTOWN</t>
  </si>
  <si>
    <t>64138-4414</t>
  </si>
  <si>
    <t>(816) 761-4744</t>
  </si>
  <si>
    <t>SUMMIT TERRACE APARTMENTS</t>
  </si>
  <si>
    <t xml:space="preserve">817 SUMMITT TER </t>
  </si>
  <si>
    <t>DONIPHAN</t>
  </si>
  <si>
    <t>63935-1215</t>
  </si>
  <si>
    <t>(573) 996-4994</t>
  </si>
  <si>
    <t>ALEXIAN COURT</t>
  </si>
  <si>
    <t xml:space="preserve">2636 CHIPPEWA ST STOP 1 </t>
  </si>
  <si>
    <t>63118-3912</t>
  </si>
  <si>
    <t>(314) 771-5604</t>
  </si>
  <si>
    <t>LSS AT DUNN ROAD MANOR</t>
  </si>
  <si>
    <t xml:space="preserve">3399 DUNN RD </t>
  </si>
  <si>
    <t>63033-6771</t>
  </si>
  <si>
    <t>(314) 830-2774</t>
  </si>
  <si>
    <t>LUTHERAN SENIOR SERVICES - MAIN OFC</t>
  </si>
  <si>
    <t xml:space="preserve">1150 HANLEY INDUSTRIAL CT </t>
  </si>
  <si>
    <t>63144-1910</t>
  </si>
  <si>
    <t>(314) 968-9313</t>
  </si>
  <si>
    <t>CHARLESS HOME</t>
  </si>
  <si>
    <t xml:space="preserve">4431 S BROADWAY </t>
  </si>
  <si>
    <t>63111-1258</t>
  </si>
  <si>
    <t>(314) 481-4840</t>
  </si>
  <si>
    <t>VIA CHRISTI VILLAGE</t>
  </si>
  <si>
    <t xml:space="preserve">1601 ACADEMY RD </t>
  </si>
  <si>
    <t>PONCA CITY</t>
  </si>
  <si>
    <t>74604-4447</t>
  </si>
  <si>
    <t>(580) 762-0927</t>
  </si>
  <si>
    <t>VARIETY CARE SENIOR HEALTH PACE PROGRAM</t>
  </si>
  <si>
    <t xml:space="preserve">5415 S SHARTEL AVE STE 100 </t>
  </si>
  <si>
    <t>73109-4844</t>
  </si>
  <si>
    <t>MISSOURI ALLIANCE FOR HOME CARE</t>
  </si>
  <si>
    <t xml:space="preserve">2420 HYDE PARK RD STE A </t>
  </si>
  <si>
    <t>JEFFERSON CITY</t>
  </si>
  <si>
    <t>65109-4782</t>
  </si>
  <si>
    <t>(573) 634-7772</t>
  </si>
  <si>
    <t>GAMBRILL GARDENS</t>
  </si>
  <si>
    <t xml:space="preserve">1 STRECKER RD </t>
  </si>
  <si>
    <t>ELLISVILLE</t>
  </si>
  <si>
    <t>63011-1998</t>
  </si>
  <si>
    <t>(636) 394-2992</t>
  </si>
  <si>
    <t>ARMOUR OAKS SENIOR LIVING COMMUNITY</t>
  </si>
  <si>
    <t xml:space="preserve">8100 WORNALL RD </t>
  </si>
  <si>
    <t>816-363-5141</t>
  </si>
  <si>
    <t>ST ANDREW'S RESOURCES FOR SENIORS SYSTEMS</t>
  </si>
  <si>
    <t xml:space="preserve">1001 CRAIG ROAD SUITE 200 </t>
  </si>
  <si>
    <t>314-726-0111</t>
  </si>
  <si>
    <t>LUTHERAN COMMUNITY HOME INC</t>
  </si>
  <si>
    <t xml:space="preserve">111 CHURCH AVE </t>
  </si>
  <si>
    <t>SEYMOUR</t>
  </si>
  <si>
    <t>47274-3621</t>
  </si>
  <si>
    <t>(812) 522-5927</t>
  </si>
  <si>
    <t>HOLY CROSS CARE AND REHAB CTR</t>
  </si>
  <si>
    <t xml:space="preserve">17475 DUGDALE DR </t>
  </si>
  <si>
    <t>574-247-7520</t>
  </si>
  <si>
    <t>ASHGROVE CROSSING</t>
  </si>
  <si>
    <t xml:space="preserve">4110 N WALNUT ST </t>
  </si>
  <si>
    <t>MUNCIE</t>
  </si>
  <si>
    <t>(765) 287-9424</t>
  </si>
  <si>
    <t>UNIVERSITY PLACE</t>
  </si>
  <si>
    <t xml:space="preserve">1700 LINDBERG RD </t>
  </si>
  <si>
    <t>47906-7317</t>
  </si>
  <si>
    <t>(765) 464-5600</t>
  </si>
  <si>
    <t>LINCOLN COMMUNITY NURSING HOME</t>
  </si>
  <si>
    <t xml:space="preserve">205 TIMBERLINE DR </t>
  </si>
  <si>
    <t>65338-2007</t>
  </si>
  <si>
    <t>ARROW SENIOR LIVING</t>
  </si>
  <si>
    <t xml:space="preserve">3333 RUE ROYALE STE 9 </t>
  </si>
  <si>
    <t>63301-8237</t>
  </si>
  <si>
    <t>JAYCEE TERRACE</t>
  </si>
  <si>
    <t xml:space="preserve">111 BOONSLICK RD </t>
  </si>
  <si>
    <t>(636) 949-8878</t>
  </si>
  <si>
    <t>FRIENDSHIP MANOR</t>
  </si>
  <si>
    <t xml:space="preserve">917 NW SUMMIT ST </t>
  </si>
  <si>
    <t>BLUE SPRINGS</t>
  </si>
  <si>
    <t>64015-3783</t>
  </si>
  <si>
    <t>(816) 228-5400</t>
  </si>
  <si>
    <t>CATHERINE KASPER LIFE CENTER</t>
  </si>
  <si>
    <t xml:space="preserve">9601 UNION RD </t>
  </si>
  <si>
    <t>46563-9475</t>
  </si>
  <si>
    <t>(574) 935-1742</t>
  </si>
  <si>
    <t>VILLAS OF GUERIN WOODS HEALTHCARE</t>
  </si>
  <si>
    <t xml:space="preserve">1002 SISTER BARBARA WAY </t>
  </si>
  <si>
    <t>812 951187</t>
  </si>
  <si>
    <t>GREEN PARK TERRACE</t>
  </si>
  <si>
    <t xml:space="preserve">110 E MERIDIAN SCHOOL RD </t>
  </si>
  <si>
    <t>46227-2593</t>
  </si>
  <si>
    <t>(317) 859-8333</t>
  </si>
  <si>
    <t>DOGWOOD TERRACE</t>
  </si>
  <si>
    <t xml:space="preserve">101 CEDAR CLIFF RD </t>
  </si>
  <si>
    <t>47374-7832</t>
  </si>
  <si>
    <t>ZION CORNER-SAMMIE E JONES RESIDENCE</t>
  </si>
  <si>
    <t xml:space="preserve">3300 PARK AVENUE </t>
  </si>
  <si>
    <t>314 771610</t>
  </si>
  <si>
    <t>ST ANDREWS AT NEW FLORENCE</t>
  </si>
  <si>
    <t xml:space="preserve">515 PICNIC STREET </t>
  </si>
  <si>
    <t>NEW FLORENCE</t>
  </si>
  <si>
    <t>573 415933</t>
  </si>
  <si>
    <t>LUTHERAN SENIOR SERVICES HOME HEALTH</t>
  </si>
  <si>
    <t xml:space="preserve">723 S LACIEDE STATION RD </t>
  </si>
  <si>
    <t>(314) 963-3430</t>
  </si>
  <si>
    <t>LEADINGAGE MISSOURI</t>
  </si>
  <si>
    <t xml:space="preserve">3412 KNIPP DR STE 102 </t>
  </si>
  <si>
    <t>65109-5859</t>
  </si>
  <si>
    <t>(573) 635-6244</t>
  </si>
  <si>
    <t>GOOD SHEPHERD CARE CENTER</t>
  </si>
  <si>
    <t xml:space="preserve">1101 W CLAY RD </t>
  </si>
  <si>
    <t>65084-1177</t>
  </si>
  <si>
    <t>(573) 378-5411</t>
  </si>
  <si>
    <t>CROWN CENTER FOR SENIOR LIVING</t>
  </si>
  <si>
    <t xml:space="preserve">8350 DELCREST DR </t>
  </si>
  <si>
    <t>63124-2166</t>
  </si>
  <si>
    <t>(314) 991-2055</t>
  </si>
  <si>
    <t>MOUNT CARMEL HEALTH MINISTRIES</t>
  </si>
  <si>
    <t>MOUNT CARMEL COMMUNITIES LLC</t>
  </si>
  <si>
    <t xml:space="preserve">723 1ST CAPITOL DR </t>
  </si>
  <si>
    <t>63301-2729</t>
  </si>
  <si>
    <t>(636) 946-4140</t>
  </si>
  <si>
    <t>HYLTON POINT II</t>
  </si>
  <si>
    <t xml:space="preserve">933 BELT AVE </t>
  </si>
  <si>
    <t>LSS MERAMEC BLUFFS SENIOR LIVING COMM</t>
  </si>
  <si>
    <t xml:space="preserve">1 MERAMEC BLUFFS DR </t>
  </si>
  <si>
    <t>BALLWIN</t>
  </si>
  <si>
    <t>63021-3309</t>
  </si>
  <si>
    <t>(636) 861-0600</t>
  </si>
  <si>
    <t>DISTRICT III AAA THE CARE CONNECTION DBA</t>
  </si>
  <si>
    <t xml:space="preserve">445 E GAY ST </t>
  </si>
  <si>
    <t>WARRENSBURG</t>
  </si>
  <si>
    <t>64093-1934</t>
  </si>
  <si>
    <t>ASHFIELD ACTIVE LIVING AND WELLNESS COMMUNITI</t>
  </si>
  <si>
    <t xml:space="preserve">575 COUCH AVE </t>
  </si>
  <si>
    <t>KIRKWOOD</t>
  </si>
  <si>
    <t>63122-5536</t>
  </si>
  <si>
    <t>VILLA THERESA</t>
  </si>
  <si>
    <t xml:space="preserve">206 N MAIN ST </t>
  </si>
  <si>
    <t>O FALLON</t>
  </si>
  <si>
    <t>63366-2276</t>
  </si>
  <si>
    <t>636-240-5754</t>
  </si>
  <si>
    <t>LSS HALLS FERRY MANOR</t>
  </si>
  <si>
    <t xml:space="preserve">8725 HALLS FERRY RD </t>
  </si>
  <si>
    <t>63147-1949</t>
  </si>
  <si>
    <t>(314) 388-1944</t>
  </si>
  <si>
    <t>WOODS CHAPEL LODGE</t>
  </si>
  <si>
    <t xml:space="preserve">1000 NW ARLINGTON PL </t>
  </si>
  <si>
    <t>64015-2686</t>
  </si>
  <si>
    <t>(816) 229-7525</t>
  </si>
  <si>
    <t>GRACE GARDENS</t>
  </si>
  <si>
    <t xml:space="preserve">116 W PITMAN ST </t>
  </si>
  <si>
    <t>63366-2865</t>
  </si>
  <si>
    <t>(636) 281-2201</t>
  </si>
  <si>
    <t>LSS IN-HOME SERVICES AND HOSPICE</t>
  </si>
  <si>
    <t xml:space="preserve">1150 HANLEY INDUSTRIAL CRT </t>
  </si>
  <si>
    <t>FRIENDSHIP VILLAGE CHESTERFIELD</t>
  </si>
  <si>
    <t xml:space="preserve">15201 OLIVE BLVD </t>
  </si>
  <si>
    <t>636 532151</t>
  </si>
  <si>
    <t>BETHESDA HEALTH GROUP - RENOVATIONS</t>
  </si>
  <si>
    <t xml:space="preserve">8175 BIG BEND STE 120 </t>
  </si>
  <si>
    <t>WEBSTER GROVES</t>
  </si>
  <si>
    <t>(314) 800-1900</t>
  </si>
  <si>
    <t>BETHESDA GARDENS</t>
  </si>
  <si>
    <t xml:space="preserve">420 S KIRKWOOD RD </t>
  </si>
  <si>
    <t>63122-6160</t>
  </si>
  <si>
    <t>(314) 965-8100</t>
  </si>
  <si>
    <t>ROSCOE DUNJEE SENIOR LIVING CENTER</t>
  </si>
  <si>
    <t xml:space="preserve">3711 ELPIZO CIR STE A </t>
  </si>
  <si>
    <t>73084-2117</t>
  </si>
  <si>
    <t>(405) 771-8800</t>
  </si>
  <si>
    <t>GOOD SAMARITAN CARE CENTER</t>
  </si>
  <si>
    <t xml:space="preserve">403 W MAIN ST </t>
  </si>
  <si>
    <t>COLE CAMP</t>
  </si>
  <si>
    <t>65325-1144</t>
  </si>
  <si>
    <t>(660) 668-4515</t>
  </si>
  <si>
    <t>ELDON ASSISTED LIVING LLC</t>
  </si>
  <si>
    <t xml:space="preserve">619 E 8TH ST </t>
  </si>
  <si>
    <t>ELDON</t>
  </si>
  <si>
    <t>BEAUTIFUL SAVIOR HOME</t>
  </si>
  <si>
    <t xml:space="preserve">1003 S CEDAR ST </t>
  </si>
  <si>
    <t>BELTON</t>
  </si>
  <si>
    <t>(816) 331-0781</t>
  </si>
  <si>
    <t>ST ANDREWS OF JENNINGS</t>
  </si>
  <si>
    <t xml:space="preserve">9600 HALLS FERRY ROAD </t>
  </si>
  <si>
    <t>314-867-8993</t>
  </si>
  <si>
    <t>BETHESDA SENIOR SUPPORT SOLUTIONS</t>
  </si>
  <si>
    <t>DES PERES</t>
  </si>
  <si>
    <t>(314) 800-1911</t>
  </si>
  <si>
    <t>BETHESDA ORCHARD</t>
  </si>
  <si>
    <t xml:space="preserve">21 N OLD ORCHARD AVE </t>
  </si>
  <si>
    <t>63119-2699</t>
  </si>
  <si>
    <t>(314) 963-2100</t>
  </si>
  <si>
    <t>LIFE ADULT DAYCARE CENTER</t>
  </si>
  <si>
    <t xml:space="preserve">411 W MATTHEWS AVE </t>
  </si>
  <si>
    <t>STILLWATER</t>
  </si>
  <si>
    <t>74075-7517</t>
  </si>
  <si>
    <t>(405) 377-0978</t>
  </si>
  <si>
    <t>FOUNTAIN BROOK</t>
  </si>
  <si>
    <t xml:space="preserve">11510 SE 15TH ST </t>
  </si>
  <si>
    <t>MIDWEST CITY</t>
  </si>
  <si>
    <t>COMANCHE COUNTY MEMORIAL HOSPITAL</t>
  </si>
  <si>
    <t xml:space="preserve">3401 W GORE BLVD </t>
  </si>
  <si>
    <t>LAWTON</t>
  </si>
  <si>
    <t>73505-6332</t>
  </si>
  <si>
    <t>(580) 250-5385</t>
  </si>
  <si>
    <t>AUTUMN HOUSE I</t>
  </si>
  <si>
    <t xml:space="preserve">500 ADAIR BLVD </t>
  </si>
  <si>
    <t>73110-2916</t>
  </si>
  <si>
    <t>(405) 732-0644</t>
  </si>
  <si>
    <t>LIFE CARE SERVICES</t>
  </si>
  <si>
    <t>HENRY FORD VILLAGE</t>
  </si>
  <si>
    <t xml:space="preserve">15101 FORD RD </t>
  </si>
  <si>
    <t>48126-4611</t>
  </si>
  <si>
    <t>(313) 584-1000</t>
  </si>
  <si>
    <t>CHRISTIAN REST HOME ASSOCIATION</t>
  </si>
  <si>
    <t xml:space="preserve">1000 EDISON AVE NW </t>
  </si>
  <si>
    <t>49504-3999</t>
  </si>
  <si>
    <t>(616) 453-2475</t>
  </si>
  <si>
    <t>SOUTHWOODS APARTMENTS</t>
  </si>
  <si>
    <t xml:space="preserve">3308 SW 44TH ST </t>
  </si>
  <si>
    <t>73119-4347</t>
  </si>
  <si>
    <t>(405) 681-7423</t>
  </si>
  <si>
    <t>COLONIAL MANOR I</t>
  </si>
  <si>
    <t xml:space="preserve">400 E SYCAMORE ST </t>
  </si>
  <si>
    <t>HOLLIS</t>
  </si>
  <si>
    <t>73550-1436</t>
  </si>
  <si>
    <t>(580) 688-9114</t>
  </si>
  <si>
    <t>ZARROW POINTE</t>
  </si>
  <si>
    <t xml:space="preserve">2025 E 71ST ST </t>
  </si>
  <si>
    <t>74136-5407</t>
  </si>
  <si>
    <t>(918) 496-8333</t>
  </si>
  <si>
    <t>FULL CIRCLE ADULT DAY CENTER INC</t>
  </si>
  <si>
    <t xml:space="preserve">1304 LINDSEY PLAZA DR </t>
  </si>
  <si>
    <t>NORMAN</t>
  </si>
  <si>
    <t>73071-1908</t>
  </si>
  <si>
    <t>AUTUMN HOUSE II</t>
  </si>
  <si>
    <t>SHARTEL TOWERS SENIOR CENTER</t>
  </si>
  <si>
    <t xml:space="preserve">5415 S SHARTEL AVE </t>
  </si>
  <si>
    <t>(405) 631-3353</t>
  </si>
  <si>
    <t>INNOVAGE NEW MEXICO</t>
  </si>
  <si>
    <t xml:space="preserve">904 LAS LOMAS RD NE </t>
  </si>
  <si>
    <t>505-924-2650</t>
  </si>
  <si>
    <t>PINE VIEW MANOR</t>
  </si>
  <si>
    <t xml:space="preserve">307 N PINEVIEW ST </t>
  </si>
  <si>
    <t>STANBERRY</t>
  </si>
  <si>
    <t>64489-1509</t>
  </si>
  <si>
    <t>(660) 783-2118</t>
  </si>
  <si>
    <t>JOHN KNOX VILLAGE EAST - MEYER CARE CENTER</t>
  </si>
  <si>
    <t xml:space="preserve">1201 W 19TH ST HWY 13 AND MO FF </t>
  </si>
  <si>
    <t>HIGGINSVILLE</t>
  </si>
  <si>
    <t>(660) 584-4224</t>
  </si>
  <si>
    <t>HYLTON POINT I</t>
  </si>
  <si>
    <t xml:space="preserve">5500 MAPLE AVE </t>
  </si>
  <si>
    <t>SUPERBIA - FOUNDATION FOR SENIOR CITIZENS INC</t>
  </si>
  <si>
    <t xml:space="preserve">9720 STACY CT </t>
  </si>
  <si>
    <t>73162-5562</t>
  </si>
  <si>
    <t>(405) 721-5656</t>
  </si>
  <si>
    <t>VETERANS HOME OF WYOMING</t>
  </si>
  <si>
    <t xml:space="preserve">700 VETERANS LN </t>
  </si>
  <si>
    <t>307 684551</t>
  </si>
  <si>
    <t>NIXA SENIOR COMMUNITY LLC</t>
  </si>
  <si>
    <t xml:space="preserve">1538 N OLD CASTLE RD </t>
  </si>
  <si>
    <t>NIXA</t>
  </si>
  <si>
    <t>65714-8507</t>
  </si>
  <si>
    <t>CHURCH STREET VILLAGE</t>
  </si>
  <si>
    <t xml:space="preserve">615 S CHURCH ST </t>
  </si>
  <si>
    <t>SAINT PETERS</t>
  </si>
  <si>
    <t>63376-2095</t>
  </si>
  <si>
    <t>(636) 279-7118</t>
  </si>
  <si>
    <t>CHOUTEAU VILLAGE</t>
  </si>
  <si>
    <t xml:space="preserve">3711 N JACKSON AVE </t>
  </si>
  <si>
    <t>64117-2645</t>
  </si>
  <si>
    <t>(816) 452-0885</t>
  </si>
  <si>
    <t>GILLESPIE VILLAGE</t>
  </si>
  <si>
    <t xml:space="preserve">4682 LABADIE AVE </t>
  </si>
  <si>
    <t>314-389-9977</t>
  </si>
  <si>
    <t>JAYCEE FAIRGROUNDS VILLAGE</t>
  </si>
  <si>
    <t xml:space="preserve">1355 FAIRGROUNDS RD STE 235 </t>
  </si>
  <si>
    <t>63301-2389</t>
  </si>
  <si>
    <t>(636) 947-1324</t>
  </si>
  <si>
    <t>LSS ROSE HILL HOUSE</t>
  </si>
  <si>
    <t xml:space="preserve">225 W ROSE HILL AVE </t>
  </si>
  <si>
    <t>63122-5977</t>
  </si>
  <si>
    <t>(314) 966-0747</t>
  </si>
  <si>
    <t>CENTENNIAL PLAZA</t>
  </si>
  <si>
    <t xml:space="preserve">4115 MCPHERSON AVE </t>
  </si>
  <si>
    <t>BETHESDA BARCLAY HOUSE</t>
  </si>
  <si>
    <t xml:space="preserve">230 S BRENTWOOD BLVD </t>
  </si>
  <si>
    <t>63105-1602</t>
  </si>
  <si>
    <t>(314) 725-1000</t>
  </si>
  <si>
    <t>THE OZARKS METHODIST MANOR</t>
  </si>
  <si>
    <t xml:space="preserve">205 S COLLEGE AVE </t>
  </si>
  <si>
    <t>MARIONVILLE</t>
  </si>
  <si>
    <t>65705-9340</t>
  </si>
  <si>
    <t>(417) 258-2573</t>
  </si>
  <si>
    <t>RIVERVIEW-AT-THE-PARK CARE &amp; REHAB CENTER</t>
  </si>
  <si>
    <t xml:space="preserve">21997 WHITE SANDS RD </t>
  </si>
  <si>
    <t>SAINTE GENEVIEVE</t>
  </si>
  <si>
    <t>OUR LADY OF MERCY COUNTRY HOME</t>
  </si>
  <si>
    <t xml:space="preserve">2115 MATURANA DR </t>
  </si>
  <si>
    <t>64068-7949</t>
  </si>
  <si>
    <t>(816) 781-5711</t>
  </si>
  <si>
    <t>GOOD SHEPHERD NURSING HOME DISTRICT</t>
  </si>
  <si>
    <t>(573) 378-5441</t>
  </si>
  <si>
    <t>ST ANDREWS &amp; BETHESDA HOME</t>
  </si>
  <si>
    <t xml:space="preserve">8175 BIG BEND BLVD STE 101 </t>
  </si>
  <si>
    <t>63119-3245</t>
  </si>
  <si>
    <t>(314) 218-2600</t>
  </si>
  <si>
    <t>BETHESDA HEALTH GROUP - ANNEX STOCK ROOM</t>
  </si>
  <si>
    <t>SOUTHWEST ADULT DAY CARE</t>
  </si>
  <si>
    <t xml:space="preserve">2208 ENTERPRISE DR </t>
  </si>
  <si>
    <t>ALTUS</t>
  </si>
  <si>
    <t>73521-5843</t>
  </si>
  <si>
    <t>580-477-0701</t>
  </si>
  <si>
    <t>ROGERS COUNTY ADULT DAY SERVICES</t>
  </si>
  <si>
    <t xml:space="preserve">2680 N HIGHWAY 88 </t>
  </si>
  <si>
    <t>CLAREMORE</t>
  </si>
  <si>
    <t>74017-0409</t>
  </si>
  <si>
    <t>(918) 341-7588</t>
  </si>
  <si>
    <t>BETHESDA TERRACE</t>
  </si>
  <si>
    <t xml:space="preserve">2535 OAKMONT TERRACE DR </t>
  </si>
  <si>
    <t>314 846640</t>
  </si>
  <si>
    <t>BETHEDSA HOSPICE</t>
  </si>
  <si>
    <t xml:space="preserve">8175 BIG BEND BLVD STE 200 </t>
  </si>
  <si>
    <t>314-446-0623</t>
  </si>
  <si>
    <t>CROSSROADS COURT</t>
  </si>
  <si>
    <t xml:space="preserve">1309 W BUSINESS US HIGHWAY 60 </t>
  </si>
  <si>
    <t>DEXTER</t>
  </si>
  <si>
    <t>63841-2750</t>
  </si>
  <si>
    <t>(573) 624-4444</t>
  </si>
  <si>
    <t>LSS BREEZE PARK SENIOR LIVING COMMUNITY</t>
  </si>
  <si>
    <t xml:space="preserve">600 BREEZE PARK DR </t>
  </si>
  <si>
    <t>WELDON SPRING</t>
  </si>
  <si>
    <t>63304-9139</t>
  </si>
  <si>
    <t>(636) 939-5223</t>
  </si>
  <si>
    <t>NINA WILLINGHAM SENIOR HOUSING</t>
  </si>
  <si>
    <t xml:space="preserve">900 E VANDAMENT AVE </t>
  </si>
  <si>
    <t>YUKON</t>
  </si>
  <si>
    <t>73099-4915</t>
  </si>
  <si>
    <t>(405) 350-6462</t>
  </si>
  <si>
    <t>GATESWAY FOUNDATION INC</t>
  </si>
  <si>
    <t xml:space="preserve">1217 E COLLEGE ST </t>
  </si>
  <si>
    <t>BROKEN ARROW</t>
  </si>
  <si>
    <t>74012-4204</t>
  </si>
  <si>
    <t>(918) 258-3900</t>
  </si>
  <si>
    <t>FRANCES STREITEL VILLA</t>
  </si>
  <si>
    <t xml:space="preserve">2300 W BRDWAY </t>
  </si>
  <si>
    <t>COLLINSVILLE</t>
  </si>
  <si>
    <t>(918) 371-2545</t>
  </si>
  <si>
    <t>VILLAGE OF OAKLAND WOODS</t>
  </si>
  <si>
    <t xml:space="preserve">420 S OPDYKE RD </t>
  </si>
  <si>
    <t>48341-3145</t>
  </si>
  <si>
    <t>(248) 334-4379</t>
  </si>
  <si>
    <t>HILLSIDE APARTMENTS PHASE II</t>
  </si>
  <si>
    <t xml:space="preserve">311 W MAIN ST </t>
  </si>
  <si>
    <t>HARBOR SPRINGS</t>
  </si>
  <si>
    <t>49740-1444</t>
  </si>
  <si>
    <t>(231) 526-7108</t>
  </si>
  <si>
    <t>SAINT ANN RETIREMENT CENTER</t>
  </si>
  <si>
    <t xml:space="preserve">7501 W BRITTON RD </t>
  </si>
  <si>
    <t>73132-1602</t>
  </si>
  <si>
    <t>(405) 721-0747</t>
  </si>
  <si>
    <t>PYTHIAN MANOR WEST</t>
  </si>
  <si>
    <t xml:space="preserve">1700 RIVERSIDE DR </t>
  </si>
  <si>
    <t>74119-4667</t>
  </si>
  <si>
    <t>(918) 583-4401</t>
  </si>
  <si>
    <t>LEADINGAGE OKLAHOMA</t>
  </si>
  <si>
    <t xml:space="preserve">804 ASHLAND DR </t>
  </si>
  <si>
    <t>EL RENO</t>
  </si>
  <si>
    <t>73036-5699</t>
  </si>
  <si>
    <t>(405) 640-8040</t>
  </si>
  <si>
    <t>GREEN COUNTRY VILLAGE - OK</t>
  </si>
  <si>
    <t xml:space="preserve">1025 SWAN DR </t>
  </si>
  <si>
    <t>BARTLESVILLE</t>
  </si>
  <si>
    <t>74006-5039</t>
  </si>
  <si>
    <t>(918) 335-2086</t>
  </si>
  <si>
    <t>MOUNT BEULAH TERRACE</t>
  </si>
  <si>
    <t xml:space="preserve">7550 PAGE AVE </t>
  </si>
  <si>
    <t>63133-1016</t>
  </si>
  <si>
    <t>314/726-6000</t>
  </si>
  <si>
    <t>LUTHERAN SENIOR SERVICES</t>
  </si>
  <si>
    <t xml:space="preserve">703 S LACLEDE STATION RD </t>
  </si>
  <si>
    <t>63119-4911</t>
  </si>
  <si>
    <t>ST JOSEPH HOME FOR THE AGED</t>
  </si>
  <si>
    <t xml:space="preserve">1306 W MAIN ST </t>
  </si>
  <si>
    <t>65109-1356</t>
  </si>
  <si>
    <t>(573) 636-6288</t>
  </si>
  <si>
    <t>LUTHERAN SENIOR SERVICES LENOIR WOODS</t>
  </si>
  <si>
    <t xml:space="preserve">3710 LENOIR ST </t>
  </si>
  <si>
    <t>65201-5463</t>
  </si>
  <si>
    <t>(573) 876-5800</t>
  </si>
  <si>
    <t>WHITE WOODS RETIREMENT CAMPUS INC DBA THE RANCH</t>
  </si>
  <si>
    <t xml:space="preserve">14901 N PENNSYLVANIA AVE </t>
  </si>
  <si>
    <t>73134-6069</t>
  </si>
  <si>
    <t>METROPOLITAN BETTER LIVING CENTER</t>
  </si>
  <si>
    <t xml:space="preserve">702 NE 37TH ST </t>
  </si>
  <si>
    <t>73105-7210</t>
  </si>
  <si>
    <t>(405)525-3024</t>
  </si>
  <si>
    <t>OKLAHOMA CITY HOUSING AUTHORITY</t>
  </si>
  <si>
    <t xml:space="preserve">1700 NE 4TH ST </t>
  </si>
  <si>
    <t>73117-3803</t>
  </si>
  <si>
    <t>(405) 605-3275</t>
  </si>
  <si>
    <t>LOUIS F DANFORTH SENIOR CENTER</t>
  </si>
  <si>
    <t xml:space="preserve">5301 N MERIDIAN AVE </t>
  </si>
  <si>
    <t>73112-2191</t>
  </si>
  <si>
    <t>(405) 789-3021</t>
  </si>
  <si>
    <t>ENTRUSTED HEARTS BY BAPTIST VILLAGE - OWASSO</t>
  </si>
  <si>
    <t xml:space="preserve">7410 N 127TH EAST AVE </t>
  </si>
  <si>
    <t>OWASSO</t>
  </si>
  <si>
    <t>74055-4010</t>
  </si>
  <si>
    <t>(918) 272-2281</t>
  </si>
  <si>
    <t>ENTRUSTED HEARTS BY BAPTIST VILLAGE - OKLAHOM</t>
  </si>
  <si>
    <t xml:space="preserve">9700 MASHBURN BLVD </t>
  </si>
  <si>
    <t>(405) 721-2466</t>
  </si>
  <si>
    <t>VILLAGE OF MILL CREEK</t>
  </si>
  <si>
    <t xml:space="preserve">300 CARL AVE </t>
  </si>
  <si>
    <t>(269) 962-0605</t>
  </si>
  <si>
    <t>THE VILLAGE OF ST MARTHA'S</t>
  </si>
  <si>
    <t xml:space="preserve">15875 JOY RD </t>
  </si>
  <si>
    <t>48228-2100</t>
  </si>
  <si>
    <t>(313) 273-8080</t>
  </si>
  <si>
    <t>OAKWOOD HEALTH PROMOTION INC</t>
  </si>
  <si>
    <t xml:space="preserve">16351 ROTUNDA DR </t>
  </si>
  <si>
    <t>48120-1170</t>
  </si>
  <si>
    <t>(313) 253-9667</t>
  </si>
  <si>
    <t>CLARK EAST TOWER</t>
  </si>
  <si>
    <t xml:space="preserve">1550 E CLARK RD </t>
  </si>
  <si>
    <t>48198-3185</t>
  </si>
  <si>
    <t>248-353-1575</t>
  </si>
  <si>
    <t>LSS HIDDEN LAKE SENIOR LIVING COMMUNITY</t>
  </si>
  <si>
    <t xml:space="preserve">11728 HIDDEN LAKE DR </t>
  </si>
  <si>
    <t>63138-1757</t>
  </si>
  <si>
    <t>(314) 355-8833</t>
  </si>
  <si>
    <t>BETH HAVEN NURSING HOME</t>
  </si>
  <si>
    <t xml:space="preserve">2500 PLEASANT ST </t>
  </si>
  <si>
    <t>HANNIBAL</t>
  </si>
  <si>
    <t>63401-2600</t>
  </si>
  <si>
    <t>(573) 221-6000</t>
  </si>
  <si>
    <t>MERCY SEAT APARTMENTS</t>
  </si>
  <si>
    <t xml:space="preserve">4452 WASHINGTON BLVD </t>
  </si>
  <si>
    <t>63108-1800</t>
  </si>
  <si>
    <t>(314) 652-6555</t>
  </si>
  <si>
    <t>STERLING PLAZA</t>
  </si>
  <si>
    <t xml:space="preserve">2855 S HARVARD AVE </t>
  </si>
  <si>
    <t>64052-2789</t>
  </si>
  <si>
    <t>LSS AT HILLTOP MANOR</t>
  </si>
  <si>
    <t xml:space="preserve">11 HILLTOP VILLAGE CENTER DR </t>
  </si>
  <si>
    <t>63025-3901</t>
  </si>
  <si>
    <t>(636) 938-3387</t>
  </si>
  <si>
    <t>LSS LACLEDE OAKS MANOR</t>
  </si>
  <si>
    <t>(314) 446-2367</t>
  </si>
  <si>
    <t>THE HOMESTEAD</t>
  </si>
  <si>
    <t xml:space="preserve">901 HOMESTEAD DR </t>
  </si>
  <si>
    <t>ALVA</t>
  </si>
  <si>
    <t>73717-3600</t>
  </si>
  <si>
    <t>(580) 327-4080</t>
  </si>
  <si>
    <t>COMMONS (THE)</t>
  </si>
  <si>
    <t xml:space="preserve">301 S OAKWOOD RD </t>
  </si>
  <si>
    <t>73703-4918</t>
  </si>
  <si>
    <t>(580) 237-6164</t>
  </si>
  <si>
    <t>ARDMORE VILLAGE OF OMNIA</t>
  </si>
  <si>
    <t xml:space="preserve">1550 KNOX RD </t>
  </si>
  <si>
    <t>73401-1084</t>
  </si>
  <si>
    <t>(580) 223-4174</t>
  </si>
  <si>
    <t>ARC DAY CENTER</t>
  </si>
  <si>
    <t xml:space="preserve">616 E 4TH ST </t>
  </si>
  <si>
    <t>74003-3907</t>
  </si>
  <si>
    <t xml:space="preserve">(918) 336-5928 </t>
  </si>
  <si>
    <t>LIFE SENIOR SERVICES ADULT DAY CENTER - NORTH</t>
  </si>
  <si>
    <t xml:space="preserve">902 E PINE ST </t>
  </si>
  <si>
    <t>74106-5928</t>
  </si>
  <si>
    <t>918-664-9000</t>
  </si>
  <si>
    <t>MT SI SENIOR CENTER</t>
  </si>
  <si>
    <t xml:space="preserve">411 MAIN AVE S </t>
  </si>
  <si>
    <t>425 888343</t>
  </si>
  <si>
    <t>FRIENDSHIP VILLAGE SUNSET HILLS</t>
  </si>
  <si>
    <t xml:space="preserve">12503 VILLAGE CR DR </t>
  </si>
  <si>
    <t>SUNNET HILLS</t>
  </si>
  <si>
    <t>(314) 270-7811</t>
  </si>
  <si>
    <t>COVENANT HOUSE - CHAI APARTMENTS</t>
  </si>
  <si>
    <t xml:space="preserve">8 MILLSTONE CAMPUS DR STE 2000 </t>
  </si>
  <si>
    <t>63146-5766</t>
  </si>
  <si>
    <t>(314) 432-1610</t>
  </si>
  <si>
    <t>CARDINAL RITTER SENIOR SERVICES - MAIN</t>
  </si>
  <si>
    <t xml:space="preserve">7601 WATSON RD </t>
  </si>
  <si>
    <t xml:space="preserve">(314) 961-8000 </t>
  </si>
  <si>
    <t>CARDINAL RITTER SENIOR SERVICE DBA</t>
  </si>
  <si>
    <t xml:space="preserve">10441 INTERNATIONAL PLZ </t>
  </si>
  <si>
    <t>SAINT ANN</t>
  </si>
  <si>
    <t>LSS LACLEDE COMMONS</t>
  </si>
  <si>
    <t xml:space="preserve">727 S LACLEDE STATION RD </t>
  </si>
  <si>
    <t>LSS AT LACLEDE GROVES</t>
  </si>
  <si>
    <t xml:space="preserve">723 S LACLEDE STATION RD </t>
  </si>
  <si>
    <t>OUR LADY OF LIFE APARTMENTS</t>
  </si>
  <si>
    <t xml:space="preserve">7655 WATSON RD </t>
  </si>
  <si>
    <t>(314) 968-9447</t>
  </si>
  <si>
    <t>THE OAKS AT BETHESDA</t>
  </si>
  <si>
    <t xml:space="preserve">9645 BIG BEND BLVD </t>
  </si>
  <si>
    <t>63122-6521</t>
  </si>
  <si>
    <t>BETHESDA SOUTHGATE</t>
  </si>
  <si>
    <t xml:space="preserve">5943 TELEGRAPH RD </t>
  </si>
  <si>
    <t>OAKVILLE</t>
  </si>
  <si>
    <t>63129-4715</t>
  </si>
  <si>
    <t>(314) 846-2000</t>
  </si>
  <si>
    <t>BETHESDA HEALTH GROUP - CORPORATE</t>
  </si>
  <si>
    <t>ELDER CARE - OK</t>
  </si>
  <si>
    <t xml:space="preserve">123 SWANN </t>
  </si>
  <si>
    <t>(918) 336-8500</t>
  </si>
  <si>
    <t>DAILY LIVING CENTERS</t>
  </si>
  <si>
    <t xml:space="preserve">3000 N ROCKWELL AVE </t>
  </si>
  <si>
    <t>BETHANY</t>
  </si>
  <si>
    <t>73008-4649</t>
  </si>
  <si>
    <t>(405) 792-2401</t>
  </si>
  <si>
    <t>VILLAGE OF PEACE MANOR</t>
  </si>
  <si>
    <t xml:space="preserve">17275 15 MILE RD </t>
  </si>
  <si>
    <t>48035-6208</t>
  </si>
  <si>
    <t>(586) 790-4500</t>
  </si>
  <si>
    <t xml:space="preserve">26200 LAHSER RD STE 300 </t>
  </si>
  <si>
    <t>SOUTHFIELD</t>
  </si>
  <si>
    <t>48033-7157</t>
  </si>
  <si>
    <t>(248) 281-2021</t>
  </si>
  <si>
    <t>BETHESDA HEALTH GROUP - HOSPICE</t>
  </si>
  <si>
    <t>BETHESDA HEALTH GROUP - HOME HEALTH</t>
  </si>
  <si>
    <t xml:space="preserve">1200 W CANADIAN AVE </t>
  </si>
  <si>
    <t>VINITA</t>
  </si>
  <si>
    <t>74301-2702</t>
  </si>
  <si>
    <t>(918) 256-8768</t>
  </si>
  <si>
    <t>ADULT DAY SERVICES OF SOUTHERN OK</t>
  </si>
  <si>
    <t xml:space="preserve">1902 SHENANDOAH DR </t>
  </si>
  <si>
    <t>73401-1217</t>
  </si>
  <si>
    <t>(580) 223-6226</t>
  </si>
  <si>
    <t>ADA SENIOR CARE CENTER</t>
  </si>
  <si>
    <t xml:space="preserve">301 E KINGS RD </t>
  </si>
  <si>
    <t>74820-8369</t>
  </si>
  <si>
    <t>(580) 332-2855</t>
  </si>
  <si>
    <t>MEADOW CLIFF VILLAGE I &amp; II</t>
  </si>
  <si>
    <t xml:space="preserve">7507 S ROSS AVE </t>
  </si>
  <si>
    <t>73159-4660</t>
  </si>
  <si>
    <t>(405) 685-5660</t>
  </si>
  <si>
    <t>BENT OAK VILLAGE</t>
  </si>
  <si>
    <t xml:space="preserve">2900 N CHOCTAW RD </t>
  </si>
  <si>
    <t>CHOCTAW</t>
  </si>
  <si>
    <t>73020-8574</t>
  </si>
  <si>
    <t>(405) 390-8080</t>
  </si>
  <si>
    <t>SOLBERG TOWER</t>
  </si>
  <si>
    <t xml:space="preserve">27783 DEQUINDRE RD </t>
  </si>
  <si>
    <t>48071-3422</t>
  </si>
  <si>
    <t>(248) 353-1575</t>
  </si>
  <si>
    <t>DEACONESS TOWER</t>
  </si>
  <si>
    <t xml:space="preserve">16400 DIX TOLEDO RD </t>
  </si>
  <si>
    <t>SOUTHGATE</t>
  </si>
  <si>
    <t>48195-2986</t>
  </si>
  <si>
    <t>LIFE SENIOR SERVICES</t>
  </si>
  <si>
    <t xml:space="preserve">5950 E 31ST ST </t>
  </si>
  <si>
    <t>74135-5114</t>
  </si>
  <si>
    <t>DYNASTY CARE SERVICES</t>
  </si>
  <si>
    <t xml:space="preserve">4337 SE 15TH ST </t>
  </si>
  <si>
    <t>DEL CITY</t>
  </si>
  <si>
    <t>73115-3001</t>
  </si>
  <si>
    <t>BURROUGHS MANOR</t>
  </si>
  <si>
    <t xml:space="preserve">111 S THOMPSON ST </t>
  </si>
  <si>
    <t>74301-3646</t>
  </si>
  <si>
    <t>(918) 256-8601</t>
  </si>
  <si>
    <t>BAPTIST VILLAGE OF ADA - PROVERBS PARK ASSIST</t>
  </si>
  <si>
    <t xml:space="preserve">3601 OAKRIDGE DR </t>
  </si>
  <si>
    <t>74820-9700</t>
  </si>
  <si>
    <t>MLC CONSULTING LC</t>
  </si>
  <si>
    <t xml:space="preserve">3720 E 2ND ST </t>
  </si>
  <si>
    <t>73034-7303</t>
  </si>
  <si>
    <t>LEADINGAGE OREGON</t>
  </si>
  <si>
    <t xml:space="preserve">7340 SW HUNZIKER ST STE 104 </t>
  </si>
  <si>
    <t>503 684378</t>
  </si>
  <si>
    <t>YA PO AH TERRACE</t>
  </si>
  <si>
    <t xml:space="preserve">350 PEARL ST </t>
  </si>
  <si>
    <t>541 342532</t>
  </si>
  <si>
    <t>VILLAGE OF BETHANY MANOR</t>
  </si>
  <si>
    <t xml:space="preserve">8737 14TH ST </t>
  </si>
  <si>
    <t>48206-2248</t>
  </si>
  <si>
    <t>(313) 894-0430</t>
  </si>
  <si>
    <t>MADISON TOWER</t>
  </si>
  <si>
    <t xml:space="preserve">27777 DEQUINDRE RD. </t>
  </si>
  <si>
    <t>(248) 544-3800</t>
  </si>
  <si>
    <t>COLUMBIA COURT</t>
  </si>
  <si>
    <t xml:space="preserve">275 W COLUMBIA AVE </t>
  </si>
  <si>
    <t>48111-2702</t>
  </si>
  <si>
    <t>(734) 697-8200</t>
  </si>
  <si>
    <t>THE CREST AT BAPTIST MEMORIAL</t>
  </si>
  <si>
    <t xml:space="preserve">430 E 8TH ST </t>
  </si>
  <si>
    <t>SAN ANGELO</t>
  </si>
  <si>
    <t>325 655739</t>
  </si>
  <si>
    <t>CHEROKEE NATION HOME HEALTH SERVICES</t>
  </si>
  <si>
    <t xml:space="preserve">1630 N CEDAR AVE </t>
  </si>
  <si>
    <t>TAHLEQUAH</t>
  </si>
  <si>
    <t>74464-6755</t>
  </si>
  <si>
    <t xml:space="preserve">(918) 456-5051 </t>
  </si>
  <si>
    <t>AUTUMN TRACE</t>
  </si>
  <si>
    <t xml:space="preserve">2305 S MITCHELL DR </t>
  </si>
  <si>
    <t>KINGFISHER</t>
  </si>
  <si>
    <t>73750-4815</t>
  </si>
  <si>
    <t>(405) 375-6020</t>
  </si>
  <si>
    <t>GRANDWOOD ASSISTED LIVING</t>
  </si>
  <si>
    <t xml:space="preserve">2001 SUNRISE BLVD </t>
  </si>
  <si>
    <t>GROVE</t>
  </si>
  <si>
    <t>74344-3617</t>
  </si>
  <si>
    <t>ENTRUSTED HEARTS BY BAPTIST VILLAGE - LAWTON</t>
  </si>
  <si>
    <t xml:space="preserve">60 NW SHERIDAN RD STE 6 </t>
  </si>
  <si>
    <t>73505-6338</t>
  </si>
  <si>
    <t>SAVANNA HOUSE I LLC</t>
  </si>
  <si>
    <t xml:space="preserve">1415 N SAN BENITO DR </t>
  </si>
  <si>
    <t>GILBERT</t>
  </si>
  <si>
    <t>LIFE SENIOR SERVICES ADULT DAY CENTER - BROKE</t>
  </si>
  <si>
    <t xml:space="preserve">3106 S JUNIPER AVE </t>
  </si>
  <si>
    <t>74012-7712</t>
  </si>
  <si>
    <t>DAILY LIVING CENTERS - SOUTH</t>
  </si>
  <si>
    <t xml:space="preserve">1681 SW 86TH ST </t>
  </si>
  <si>
    <t>73159-6262</t>
  </si>
  <si>
    <t>(405) 688-5388</t>
  </si>
  <si>
    <t>BAPTIST VILLAGE OF OWASSO - MIMOSA ASISTANCE</t>
  </si>
  <si>
    <t xml:space="preserve">7310 N 127TH E AVE </t>
  </si>
  <si>
    <t>BAPTIST VILLAGE OF OKMULGEE</t>
  </si>
  <si>
    <t xml:space="preserve">1500 W 6TH </t>
  </si>
  <si>
    <t>OKMULGEE</t>
  </si>
  <si>
    <t>74447-4259</t>
  </si>
  <si>
    <t>(918) 756-5377</t>
  </si>
  <si>
    <t>VILLAGE OF PERRY FARM</t>
  </si>
  <si>
    <t xml:space="preserve">4241 VILLAGE CIR </t>
  </si>
  <si>
    <t>49740-9040</t>
  </si>
  <si>
    <t>(231) 526-1500</t>
  </si>
  <si>
    <t>THE THOME RIVERTOWN NEIGHBORHOOD</t>
  </si>
  <si>
    <t xml:space="preserve">250 MCDOUGALL ST </t>
  </si>
  <si>
    <t>313 259900</t>
  </si>
  <si>
    <t>SPRING VALLEY CROSSING</t>
  </si>
  <si>
    <t xml:space="preserve">2535 MOUNT OLIVET RD </t>
  </si>
  <si>
    <t>49004-1693</t>
  </si>
  <si>
    <t>(269) 344-4355</t>
  </si>
  <si>
    <t>CANTON PLACE</t>
  </si>
  <si>
    <t xml:space="preserve">44505 FORD RD </t>
  </si>
  <si>
    <t>48187-5070</t>
  </si>
  <si>
    <t>(734) 981-6420</t>
  </si>
  <si>
    <t>CONCORDIA LIFE CARE COMMUNITY</t>
  </si>
  <si>
    <t xml:space="preserve">7707 W BRITTON RD </t>
  </si>
  <si>
    <t>73132-1512</t>
  </si>
  <si>
    <t>(405) 720-7200</t>
  </si>
  <si>
    <t>CAREGIVER SOLUTIONS ADULT DAY CARE CTR</t>
  </si>
  <si>
    <t xml:space="preserve">10021 S PENNSYLVANIA AVE </t>
  </si>
  <si>
    <t>73159-6905</t>
  </si>
  <si>
    <t>(405) 691-9955</t>
  </si>
  <si>
    <t>VOLUNTEERS OF AMERICA - OK</t>
  </si>
  <si>
    <t xml:space="preserve">9605 E 61ST ST </t>
  </si>
  <si>
    <t>74133-6308</t>
  </si>
  <si>
    <t>(918) 307-3030</t>
  </si>
  <si>
    <t>VILLAGE OF HARMONY MANOR</t>
  </si>
  <si>
    <t xml:space="preserve">15050 BIRWOOD ST </t>
  </si>
  <si>
    <t>48238-2880</t>
  </si>
  <si>
    <t>(313) 934-4000</t>
  </si>
  <si>
    <t>ROMULUS TOWER</t>
  </si>
  <si>
    <t xml:space="preserve">36500 BIBBINS ST </t>
  </si>
  <si>
    <t>ROMULUS</t>
  </si>
  <si>
    <t>48174-1200</t>
  </si>
  <si>
    <t>(734) 942-9960</t>
  </si>
  <si>
    <t>EDEN MANOR</t>
  </si>
  <si>
    <t xml:space="preserve">18040 COYLE ST </t>
  </si>
  <si>
    <t>48235-2894</t>
  </si>
  <si>
    <t>(313) 653-0536</t>
  </si>
  <si>
    <t>CRISTA KING'S APARTMENTS</t>
  </si>
  <si>
    <t>CRISTA MINISTRIES</t>
  </si>
  <si>
    <t>CRISTWOOD RETIREMENT COMMUNITY</t>
  </si>
  <si>
    <t xml:space="preserve">350 N 190TH ST </t>
  </si>
  <si>
    <t>206 546756</t>
  </si>
  <si>
    <t>OASIS ADULT DAY SERVICES</t>
  </si>
  <si>
    <t xml:space="preserve">3817 S LEWIS AVE </t>
  </si>
  <si>
    <t>74105-8219</t>
  </si>
  <si>
    <t>(918) 749-6969</t>
  </si>
  <si>
    <t>GO YE VILLAGE</t>
  </si>
  <si>
    <t xml:space="preserve">1201 W 4TH ST </t>
  </si>
  <si>
    <t>74464-5091</t>
  </si>
  <si>
    <t>(918) 456-4542</t>
  </si>
  <si>
    <t>EOC TECHNOLOGY CENTER</t>
  </si>
  <si>
    <t xml:space="preserve">4601 N CHOCTAW RD </t>
  </si>
  <si>
    <t>73020-9017</t>
  </si>
  <si>
    <t>(405) 390-4400</t>
  </si>
  <si>
    <t>EASTER SEALS OKLAHOMA</t>
  </si>
  <si>
    <t xml:space="preserve">701 NE 13TH ST </t>
  </si>
  <si>
    <t>73104-5003</t>
  </si>
  <si>
    <t>(405) 239-2525</t>
  </si>
  <si>
    <t>CHEROKEE ELDER CARE</t>
  </si>
  <si>
    <t xml:space="preserve">1387 W 4TH ST </t>
  </si>
  <si>
    <t>(918) 453-5554</t>
  </si>
  <si>
    <t>BAPTIST VILLAGE OF ADA - PSALMS PLACE ASSISTA</t>
  </si>
  <si>
    <t xml:space="preserve">3505 OAKRIDGE DR </t>
  </si>
  <si>
    <t>74820-9756</t>
  </si>
  <si>
    <t>VILLAGE OF BRUSH PARK MANOR PARADISE VALLEY</t>
  </si>
  <si>
    <t xml:space="preserve">2900 BRUSH ST </t>
  </si>
  <si>
    <t>48201-3156</t>
  </si>
  <si>
    <t>(313) 832-9922</t>
  </si>
  <si>
    <t>HOLLAND HOMES - RAYBROOK CAMPUS</t>
  </si>
  <si>
    <t xml:space="preserve">2121 RAYBROOK ST SE </t>
  </si>
  <si>
    <t>49546-5795</t>
  </si>
  <si>
    <t>(616) 235-5002</t>
  </si>
  <si>
    <t>FAITH HOSPICE</t>
  </si>
  <si>
    <t xml:space="preserve">2100 RAYBROOK ST SE STE 300 </t>
  </si>
  <si>
    <t>49546-5783</t>
  </si>
  <si>
    <t>(616) 235-5000</t>
  </si>
  <si>
    <t>ATRIO HOME CARE - GREAT LAKES</t>
  </si>
  <si>
    <t xml:space="preserve">2100 RAYBROOK ST SE STE 303 </t>
  </si>
  <si>
    <t>BELFAIR OF MCALESTER</t>
  </si>
  <si>
    <t xml:space="preserve">101 S WEST ST </t>
  </si>
  <si>
    <t>MCALESTER</t>
  </si>
  <si>
    <t>(918) 423-7020</t>
  </si>
  <si>
    <t>REDING SENIOR CENTER</t>
  </si>
  <si>
    <t xml:space="preserve">1000 SW 38TH ST </t>
  </si>
  <si>
    <t>73109-3206</t>
  </si>
  <si>
    <t>(405) 631-0573</t>
  </si>
  <si>
    <t>VILLAGE OF OAKMAN MANOR</t>
  </si>
  <si>
    <t xml:space="preserve">14000 WOODROW WILSON ST </t>
  </si>
  <si>
    <t>48238-2282</t>
  </si>
  <si>
    <t>(313) 831-8103</t>
  </si>
  <si>
    <t>UNIVERSITY VILLAGE INC</t>
  </si>
  <si>
    <t xml:space="preserve">8555 S LEWIS AVE </t>
  </si>
  <si>
    <t>74137-1218</t>
  </si>
  <si>
    <t>(918) 299-2661</t>
  </si>
  <si>
    <t>OKLAHOM CITY HOUSING AUTHORITY</t>
  </si>
  <si>
    <t xml:space="preserve">1225 N KATE AVE </t>
  </si>
  <si>
    <t>73117-2068</t>
  </si>
  <si>
    <t>(405) 424-3379</t>
  </si>
  <si>
    <t>DAILY LIVING CENTER - EDMOND</t>
  </si>
  <si>
    <t xml:space="preserve">3413 WYNN DR </t>
  </si>
  <si>
    <t>73013-4607</t>
  </si>
  <si>
    <t>(405) 471-6867</t>
  </si>
  <si>
    <t>CHRISTIAN CARE COMMNUITIES</t>
  </si>
  <si>
    <t>CHRISTIAN CARE MANOR III</t>
  </si>
  <si>
    <t xml:space="preserve">1944 W SUNNYSIDE DR </t>
  </si>
  <si>
    <t>602 443543</t>
  </si>
  <si>
    <t>ST. ANTHONY VILLAGE</t>
  </si>
  <si>
    <t xml:space="preserve">3560 SE 79TH AVE </t>
  </si>
  <si>
    <t>503 775441</t>
  </si>
  <si>
    <t>VILLAGE OF HOLLY WOODLANDS</t>
  </si>
  <si>
    <t xml:space="preserve">3325 GRANGE HALL RD </t>
  </si>
  <si>
    <t>HOLLY</t>
  </si>
  <si>
    <t>48442-2015</t>
  </si>
  <si>
    <t>(248) 634-0592</t>
  </si>
  <si>
    <t>PRESBYTERIAN VILLAGE NORTH</t>
  </si>
  <si>
    <t>PARK PLACE OF HARPER WOODS</t>
  </si>
  <si>
    <t xml:space="preserve">19460 PARK DR STE 112 </t>
  </si>
  <si>
    <t>HARPER WOODS</t>
  </si>
  <si>
    <t>48225-2375</t>
  </si>
  <si>
    <t>(313) 884-2122</t>
  </si>
  <si>
    <t>LAKESIDE VILLA</t>
  </si>
  <si>
    <t xml:space="preserve">15150 SHORELINE DR </t>
  </si>
  <si>
    <t>48313-2285</t>
  </si>
  <si>
    <t>586-247-3151</t>
  </si>
  <si>
    <t>THE PARK DANFORTH</t>
  </si>
  <si>
    <t xml:space="preserve">777 STEVENS AVE </t>
  </si>
  <si>
    <t>(207) 797-7710</t>
  </si>
  <si>
    <t>BIRCH BAY VILLAGE</t>
  </si>
  <si>
    <t xml:space="preserve">25 VILLAGE INN RD </t>
  </si>
  <si>
    <t>BAR HARBOR</t>
  </si>
  <si>
    <t>04609-7451</t>
  </si>
  <si>
    <t>(207) 288-8014</t>
  </si>
  <si>
    <t>ALLIANCE PURCHASING</t>
  </si>
  <si>
    <t>WARM BEACH SENIOR COMMUNITY</t>
  </si>
  <si>
    <t xml:space="preserve">20420 MARINE DR </t>
  </si>
  <si>
    <t>360 652264</t>
  </si>
  <si>
    <t>FOSS HOME AND VILLAGE</t>
  </si>
  <si>
    <t xml:space="preserve">13023 GREENWOOD AVE N </t>
  </si>
  <si>
    <t>206 364130</t>
  </si>
  <si>
    <t>GRAYBIRCH AT MAINE GENERAL</t>
  </si>
  <si>
    <t xml:space="preserve">37 GRAY BIRCH DR </t>
  </si>
  <si>
    <t>AUGUSTA</t>
  </si>
  <si>
    <t>04330-6105</t>
  </si>
  <si>
    <t>(207) 622-6226</t>
  </si>
  <si>
    <t>ASBURY INC</t>
  </si>
  <si>
    <t xml:space="preserve">5285 WESTVIEW DR STE 200 </t>
  </si>
  <si>
    <t>865 982610</t>
  </si>
  <si>
    <t>ST JOACHIM HOUSE</t>
  </si>
  <si>
    <t xml:space="preserve">3310 BENSON AVE </t>
  </si>
  <si>
    <t>21227-1075</t>
  </si>
  <si>
    <t>(410) 644-8269</t>
  </si>
  <si>
    <t>VILLA MARIA OF WASHINGTON COUNTY</t>
  </si>
  <si>
    <t xml:space="preserve">229 N POTOMAC ST </t>
  </si>
  <si>
    <t>(301) 733-5858</t>
  </si>
  <si>
    <t>WESLEY COURT METHODIST RETIREMENT COMMUNITY</t>
  </si>
  <si>
    <t xml:space="preserve">2617 ANTILLEY RD </t>
  </si>
  <si>
    <t>79606-5109</t>
  </si>
  <si>
    <t>(325) 437-1184</t>
  </si>
  <si>
    <t>HALLMARK (THE)</t>
  </si>
  <si>
    <t xml:space="preserve">4718 HALLMARK DR </t>
  </si>
  <si>
    <t>77056-3909</t>
  </si>
  <si>
    <t>(713) 622-6633</t>
  </si>
  <si>
    <t>THE VILLAGE AT GERMANTOWN</t>
  </si>
  <si>
    <t xml:space="preserve">7820 WALKING HORSE CIR </t>
  </si>
  <si>
    <t>GERMANTOWN</t>
  </si>
  <si>
    <t>38138-2143</t>
  </si>
  <si>
    <t>(901) 251-9238</t>
  </si>
  <si>
    <t>CARPENTER BUS SALES LLC</t>
  </si>
  <si>
    <t xml:space="preserve">132 ROYAL OAKS BLVD </t>
  </si>
  <si>
    <t>37067-3031</t>
  </si>
  <si>
    <t>(800) 370-6180</t>
  </si>
  <si>
    <t>ASHTON PLACE REHAB AND CARE CENTER</t>
  </si>
  <si>
    <t xml:space="preserve">3030 WALNUT GROVE RD </t>
  </si>
  <si>
    <t>38111-3508</t>
  </si>
  <si>
    <t>ABES GARDEN-PARK MANOR</t>
  </si>
  <si>
    <t xml:space="preserve">115 WOODMONT BLVD </t>
  </si>
  <si>
    <t>615-383-7303</t>
  </si>
  <si>
    <t>PECAN GROVE</t>
  </si>
  <si>
    <t xml:space="preserve">520 PECAN DR APT 600 </t>
  </si>
  <si>
    <t>BOLIVAR</t>
  </si>
  <si>
    <t>38008-1639</t>
  </si>
  <si>
    <t>(731) 658-3140</t>
  </si>
  <si>
    <t>KIWANIS TOWERS</t>
  </si>
  <si>
    <t xml:space="preserve">2701 E CENTER ST </t>
  </si>
  <si>
    <t>37664-2770</t>
  </si>
  <si>
    <t>(423) 246-4302</t>
  </si>
  <si>
    <t>DUE WEST RETIREMENT CENTER</t>
  </si>
  <si>
    <t xml:space="preserve">18 FRANK PRESSLY DR </t>
  </si>
  <si>
    <t>(864) 379-2570</t>
  </si>
  <si>
    <t>TRINITY ON LAURENS</t>
  </si>
  <si>
    <t xml:space="preserve">213 LAURENS ST NW </t>
  </si>
  <si>
    <t>29801-3911</t>
  </si>
  <si>
    <t>(803) 643-4200</t>
  </si>
  <si>
    <t>LUTHERAN HOMES OF SOUTH CAROLINA INC</t>
  </si>
  <si>
    <t xml:space="preserve">300 MINISTRY DR </t>
  </si>
  <si>
    <t>IRMO</t>
  </si>
  <si>
    <t>29063-2366</t>
  </si>
  <si>
    <t>(803) 749-5110</t>
  </si>
  <si>
    <t>VILLA PROVIDENCIA</t>
  </si>
  <si>
    <t xml:space="preserve">350 CARR 837 </t>
  </si>
  <si>
    <t>GUAYNABO</t>
  </si>
  <si>
    <t>00969-6238</t>
  </si>
  <si>
    <t>(787) 731-1040</t>
  </si>
  <si>
    <t>WILLOW VALLEY LAKES MANOR</t>
  </si>
  <si>
    <t xml:space="preserve">300 WILLOW VALLEY LAKES DR </t>
  </si>
  <si>
    <t>WILLOW STREET</t>
  </si>
  <si>
    <t>17584-9442</t>
  </si>
  <si>
    <t>(717) 464-0800</t>
  </si>
  <si>
    <t>WILLISTON WOODS</t>
  </si>
  <si>
    <t xml:space="preserve">126 WILLISTON WOODS RD </t>
  </si>
  <si>
    <t>WILLISTON</t>
  </si>
  <si>
    <t>05495-9588</t>
  </si>
  <si>
    <t>(802) 879-1740</t>
  </si>
  <si>
    <t>CATHEDRAL SQUARE CORPORATION - VT</t>
  </si>
  <si>
    <t xml:space="preserve">412 FARRELL ST STE 100 </t>
  </si>
  <si>
    <t>SOUTH BURLINGTON</t>
  </si>
  <si>
    <t>05403-4466</t>
  </si>
  <si>
    <t>RUSSELL HOUSE (THE)</t>
  </si>
  <si>
    <t xml:space="preserve">900 FIRST COLONIAL RD </t>
  </si>
  <si>
    <t>VIRGINIA BEACH</t>
  </si>
  <si>
    <t>757 481077</t>
  </si>
  <si>
    <t>PARK PLACE (VMRC)</t>
  </si>
  <si>
    <t xml:space="preserve">1285 SHANK DR </t>
  </si>
  <si>
    <t>540 564360</t>
  </si>
  <si>
    <t>NORTHLAND LUTHERAN RETIREMENT COMMUNITY</t>
  </si>
  <si>
    <t xml:space="preserve">1520 46TH AVE </t>
  </si>
  <si>
    <t>MENOMINEE</t>
  </si>
  <si>
    <t>49858-1052</t>
  </si>
  <si>
    <t>WAYNE TOWER</t>
  </si>
  <si>
    <t xml:space="preserve">35200 SIMS ST </t>
  </si>
  <si>
    <t>48184-1247</t>
  </si>
  <si>
    <t>(734) 721-0660</t>
  </si>
  <si>
    <t>SAINT SIMEONS EPISCOPAL HOME</t>
  </si>
  <si>
    <t xml:space="preserve">3701 N MARTIN LUTHER KING JR BLVD </t>
  </si>
  <si>
    <t>74106-6450</t>
  </si>
  <si>
    <t>(918) 425-3583</t>
  </si>
  <si>
    <t>HILLCREST SENIOR CENTER</t>
  </si>
  <si>
    <t xml:space="preserve">2325 SW 59TH ST </t>
  </si>
  <si>
    <t>73119-6802</t>
  </si>
  <si>
    <t>(405) 682-4618</t>
  </si>
  <si>
    <t>OKLAHOMA CHRISTIAN APARTMENTS</t>
  </si>
  <si>
    <t xml:space="preserve">325 ENZ DR </t>
  </si>
  <si>
    <t>73034-4476</t>
  </si>
  <si>
    <t>(405) 340-0311</t>
  </si>
  <si>
    <t>INVERNESS VILLAGE INC</t>
  </si>
  <si>
    <t xml:space="preserve">3800 W 71ST ST </t>
  </si>
  <si>
    <t>918-481-9988</t>
  </si>
  <si>
    <t>ENTRUSTED HEARTS BY BAPTIST VILLAGE - CASE MA</t>
  </si>
  <si>
    <t xml:space="preserve">3800 N MAY AVE </t>
  </si>
  <si>
    <t>73112-6639</t>
  </si>
  <si>
    <t>(405) 516-4888</t>
  </si>
  <si>
    <t>BAPTIST VILLAGE OF BROKEN ARROW</t>
  </si>
  <si>
    <t xml:space="preserve">2801 N BIRCH AVE </t>
  </si>
  <si>
    <t>(918) 355-0099</t>
  </si>
  <si>
    <t>JULIETTE FOWLER HOMES INC</t>
  </si>
  <si>
    <t xml:space="preserve">1234 ABRAMS RD </t>
  </si>
  <si>
    <t>75214-4850</t>
  </si>
  <si>
    <t>(214) 827-0813</t>
  </si>
  <si>
    <t>EVANGELICAL MANOR</t>
  </si>
  <si>
    <t xml:space="preserve">6720 W OUTER DR </t>
  </si>
  <si>
    <t>48235-2779</t>
  </si>
  <si>
    <t>(313) 837-0450</t>
  </si>
  <si>
    <t>HOLLAND HOME FULTON MANOR</t>
  </si>
  <si>
    <t xml:space="preserve">1450 FULTON ST E </t>
  </si>
  <si>
    <t>49503-3854</t>
  </si>
  <si>
    <t>(616) 643-2600</t>
  </si>
  <si>
    <t>HOLLAND HOME BRETON MANOR</t>
  </si>
  <si>
    <t xml:space="preserve">2589 44TH ST SE </t>
  </si>
  <si>
    <t>49512-3877</t>
  </si>
  <si>
    <t>(616) 643-2501</t>
  </si>
  <si>
    <t>THE CEDARS</t>
  </si>
  <si>
    <t xml:space="preserve">630 OCEAN AVE </t>
  </si>
  <si>
    <t>207 221710</t>
  </si>
  <si>
    <t>MIRABELLA - SEATTLE</t>
  </si>
  <si>
    <t xml:space="preserve">116 FAIRVIEW AVE N </t>
  </si>
  <si>
    <t>206-254-1400</t>
  </si>
  <si>
    <t>BAPTIST VILLAGE OF ADA - ADMINISTRATIVE OFFIC</t>
  </si>
  <si>
    <t xml:space="preserve">3501 OAKRIDGE </t>
  </si>
  <si>
    <t>74820-9701</t>
  </si>
  <si>
    <t>(580) 332-6004</t>
  </si>
  <si>
    <t>BAPTIST VILLAGE COMMUNITIES</t>
  </si>
  <si>
    <t>(405) 942-3000</t>
  </si>
  <si>
    <t>BAPTIST RETIREMENT COMMUNITY</t>
  </si>
  <si>
    <t xml:space="preserve">208 E 5TH AVE STE H </t>
  </si>
  <si>
    <t>74055-3453</t>
  </si>
  <si>
    <t>325-655-7391</t>
  </si>
  <si>
    <t>BARNER BOSWELL SKILLED NURSING REHAB CENTER</t>
  </si>
  <si>
    <t xml:space="preserve">10601 W SANTA FE DR </t>
  </si>
  <si>
    <t>623 471955</t>
  </si>
  <si>
    <t>CHRISTIAN CARE MANORS I</t>
  </si>
  <si>
    <t xml:space="preserve">11830 N 19TH AVE </t>
  </si>
  <si>
    <t>602 861397</t>
  </si>
  <si>
    <t>EDEN HEIGHTS</t>
  </si>
  <si>
    <t xml:space="preserve">627 LAKEVIEW BLVD </t>
  </si>
  <si>
    <t>NEW BRAUNFELS</t>
  </si>
  <si>
    <t>78130-4029</t>
  </si>
  <si>
    <t>(830) 625-6969</t>
  </si>
  <si>
    <t>EC HAMILTON PLACE OPERATIONS LLC DBA ELMCROFT</t>
  </si>
  <si>
    <t xml:space="preserve">1502 GUNBARREL RD </t>
  </si>
  <si>
    <t>37421-3123</t>
  </si>
  <si>
    <t>ALEXIAN VILLAGE OF TENNESSEE</t>
  </si>
  <si>
    <t xml:space="preserve">100 JAMES BLVD </t>
  </si>
  <si>
    <t>SIGNAL MOUNTAIN</t>
  </si>
  <si>
    <t>37377-1860</t>
  </si>
  <si>
    <t>(423) 886-0100</t>
  </si>
  <si>
    <t>BETHANY LIFE COMMUNITIES</t>
  </si>
  <si>
    <t xml:space="preserve">212 LAFAYETTE AVE </t>
  </si>
  <si>
    <t>STORY CITY</t>
  </si>
  <si>
    <t>50248-1454</t>
  </si>
  <si>
    <t>(515) 733-4325</t>
  </si>
  <si>
    <t>THE HACIENDA</t>
  </si>
  <si>
    <t xml:space="preserve">225 S WAYMAN ST </t>
  </si>
  <si>
    <t>32750-5345</t>
  </si>
  <si>
    <t>VILLAS BY MARY T - CASA GRANDE</t>
  </si>
  <si>
    <t xml:space="preserve">1576 E COTTONWOOD LN </t>
  </si>
  <si>
    <t>CASA GRANDE</t>
  </si>
  <si>
    <t>ENTRUSTED HEARTS BY BAPTIST VILLAGE - MEDICAL</t>
  </si>
  <si>
    <t>(918) 274-4310</t>
  </si>
  <si>
    <t>BAPTIST VILLAGE OF MIAMI</t>
  </si>
  <si>
    <t xml:space="preserve">2525 N. ELM ST </t>
  </si>
  <si>
    <t>74354-1484</t>
  </si>
  <si>
    <t>SUPERIOR ARBORETUM</t>
  </si>
  <si>
    <t xml:space="preserve">199 W GRAY DR </t>
  </si>
  <si>
    <t>SUPERIOR</t>
  </si>
  <si>
    <t>520 689211</t>
  </si>
  <si>
    <t>UNION LABOR RETIREMENT ASSOCIATION</t>
  </si>
  <si>
    <t xml:space="preserve">1625 SE LAFAYETTE ST </t>
  </si>
  <si>
    <t>503 231492</t>
  </si>
  <si>
    <t>SIERRA WINDS</t>
  </si>
  <si>
    <t xml:space="preserve">17300 N 88TH AVE </t>
  </si>
  <si>
    <t>623 972021</t>
  </si>
  <si>
    <t>WALLOWA VALLEY CARE CENTER</t>
  </si>
  <si>
    <t xml:space="preserve">207 E PARK ST </t>
  </si>
  <si>
    <t>ENTERPRISE</t>
  </si>
  <si>
    <t>541 426191</t>
  </si>
  <si>
    <t>WILLSON HOUSE</t>
  </si>
  <si>
    <t xml:space="preserve">1625 CENTER ST NE </t>
  </si>
  <si>
    <t>503 585651</t>
  </si>
  <si>
    <t>JASON LEE MANOR</t>
  </si>
  <si>
    <t xml:space="preserve">1551 CENTER ST NE </t>
  </si>
  <si>
    <t>WOODLAND HEIGHTS RETIREMENT COMMUNITY</t>
  </si>
  <si>
    <t xml:space="preserve">11625 SE BOISE ST </t>
  </si>
  <si>
    <t>503 761550</t>
  </si>
  <si>
    <t>PANORAMA</t>
  </si>
  <si>
    <t xml:space="preserve">1704 SLEATER FANCY RD SE </t>
  </si>
  <si>
    <t>OLYMPUS</t>
  </si>
  <si>
    <t>360 456011</t>
  </si>
  <si>
    <t>COVENANT LIVING OF BIXBY</t>
  </si>
  <si>
    <t xml:space="preserve">8116 EAST 126TH S SOUTH </t>
  </si>
  <si>
    <t>BIXBY</t>
  </si>
  <si>
    <t>918-970-4433</t>
  </si>
  <si>
    <t>BAPTIST VILLAGE OF OKLAHOMA CITY</t>
  </si>
  <si>
    <t>73162-5509</t>
  </si>
  <si>
    <t>BAPTIST VILLAGE OF LAKE TEXOMA</t>
  </si>
  <si>
    <t xml:space="preserve">10777 VILLAGE DR </t>
  </si>
  <si>
    <t>MADILL</t>
  </si>
  <si>
    <t>(580) 564-3776</t>
  </si>
  <si>
    <t>SACRED HEART HOME INC.</t>
  </si>
  <si>
    <t xml:space="preserve">5805 QUEENS CHAPEL RD </t>
  </si>
  <si>
    <t>20782-3867</t>
  </si>
  <si>
    <t>(301) 277-6500</t>
  </si>
  <si>
    <t>LIFESPAN NETWORK</t>
  </si>
  <si>
    <t xml:space="preserve">10280 OLD COLUMBIA RD </t>
  </si>
  <si>
    <t>21046-1796</t>
  </si>
  <si>
    <t>(410) 381-2401</t>
  </si>
  <si>
    <t>TUZIGOOT VILLAGE</t>
  </si>
  <si>
    <t xml:space="preserve">1600 E SKYLINE DR </t>
  </si>
  <si>
    <t>COTTONWOOD</t>
  </si>
  <si>
    <t>928 634366</t>
  </si>
  <si>
    <t>VILLAGE RETIREMENT CENTER (THE)</t>
  </si>
  <si>
    <t xml:space="preserve">4501 W POWELL BLVD </t>
  </si>
  <si>
    <t>GRESHAM</t>
  </si>
  <si>
    <t>503 665313</t>
  </si>
  <si>
    <t>LIBERTY HOUSE</t>
  </si>
  <si>
    <t xml:space="preserve">5200 JOHN D RYAN BLVD </t>
  </si>
  <si>
    <t>78245-3514</t>
  </si>
  <si>
    <t>(210) 568-3204</t>
  </si>
  <si>
    <t>DAILY LIVING CENTERS JELTZ</t>
  </si>
  <si>
    <t>405-702-8640</t>
  </si>
  <si>
    <t>BAPTIST VILLAGE OF OWASSO - REDBUD ACTIVITY C</t>
  </si>
  <si>
    <t xml:space="preserve">7410 N 127TH E AVE </t>
  </si>
  <si>
    <t>BAPTIST VILLAGE OF OWASSO - EVERGREEN HEALTH</t>
  </si>
  <si>
    <t xml:space="preserve">12600 E 73RD ST N </t>
  </si>
  <si>
    <t>74055-4017</t>
  </si>
  <si>
    <t>(918) 272.8007</t>
  </si>
  <si>
    <t>BAPTIST VILLAGE OF HONEY CREEK</t>
  </si>
  <si>
    <t xml:space="preserve">2620 W. 13TH ST. </t>
  </si>
  <si>
    <t>74344-2621</t>
  </si>
  <si>
    <t>SUPERIOR RESIDENCE</t>
  </si>
  <si>
    <t xml:space="preserve">13630 LINDEN DR </t>
  </si>
  <si>
    <t>SPRING HILL</t>
  </si>
  <si>
    <t>34609-4161</t>
  </si>
  <si>
    <t>PALMVIEW AT GULF COAST VILLAGE</t>
  </si>
  <si>
    <t xml:space="preserve">1433 SANTA BARBARA BLVD </t>
  </si>
  <si>
    <t>33991-2803</t>
  </si>
  <si>
    <t>PARKVIEW ASSISTED LIVING</t>
  </si>
  <si>
    <t xml:space="preserve">10801 NE WEIDLER ST </t>
  </si>
  <si>
    <t>GINGER COVE</t>
  </si>
  <si>
    <t xml:space="preserve">4000 RIVER CRESCENT DR </t>
  </si>
  <si>
    <t>21401-7721</t>
  </si>
  <si>
    <t>(410) 266-7300</t>
  </si>
  <si>
    <t>WESTMINSTER INGLESIDE FOUNDATION</t>
  </si>
  <si>
    <t xml:space="preserve">2275 RESEARCH BLVD SUITE 450 </t>
  </si>
  <si>
    <t>INGLESIDE INC.</t>
  </si>
  <si>
    <t>HOMEWOOD RETIREMENT CENTERS INC</t>
  </si>
  <si>
    <t>HOMEWOOD RETIREMENT CENTER - HOMES AT WP</t>
  </si>
  <si>
    <t xml:space="preserve">2501 ANGELL AVE </t>
  </si>
  <si>
    <t>301-644-5600</t>
  </si>
  <si>
    <t>TRINITY HOUSE</t>
  </si>
  <si>
    <t xml:space="preserve">409 VIRGINIA AVE APT 100 </t>
  </si>
  <si>
    <t>21286-5372</t>
  </si>
  <si>
    <t>(667) 600-3733</t>
  </si>
  <si>
    <t>STARNER HILL APARTMENTS</t>
  </si>
  <si>
    <t xml:space="preserve">25 N PENNSYLVANIA AVE </t>
  </si>
  <si>
    <t>GRANTSVILLE</t>
  </si>
  <si>
    <t>21536-0489</t>
  </si>
  <si>
    <t>(301) 895-5842</t>
  </si>
  <si>
    <t>WESTMINSTER COMMUNITIES OF FLORIDA</t>
  </si>
  <si>
    <t xml:space="preserve">80 W LUCERNE CIR </t>
  </si>
  <si>
    <t>32801-3779</t>
  </si>
  <si>
    <t>(407) 839-5050</t>
  </si>
  <si>
    <t>TAMPA NAPFE TOWERS</t>
  </si>
  <si>
    <t xml:space="preserve">11113 N NEBRASKA AVE </t>
  </si>
  <si>
    <t>33612-5746</t>
  </si>
  <si>
    <t>(813) 977-1663</t>
  </si>
  <si>
    <t>SAINT JOHNS TERRACE HOME</t>
  </si>
  <si>
    <t xml:space="preserve">2751 SAINT JOHNS AVE </t>
  </si>
  <si>
    <t>32205-8212</t>
  </si>
  <si>
    <t>FOWLER CHRISTIAN APARTMENTS INC</t>
  </si>
  <si>
    <t xml:space="preserve">105 JULIETTE FOWLER ST </t>
  </si>
  <si>
    <t>75214-4876</t>
  </si>
  <si>
    <t>(214) 821-4061</t>
  </si>
  <si>
    <t>MEADOW CREEK VILLAGE</t>
  </si>
  <si>
    <t xml:space="preserve">2185 SOUTH BLVD </t>
  </si>
  <si>
    <t>AUBURN HILLS</t>
  </si>
  <si>
    <t>48326-3470</t>
  </si>
  <si>
    <t>(248) 253-8640</t>
  </si>
  <si>
    <t>TEITEL JEWISH APARTMENTS</t>
  </si>
  <si>
    <t xml:space="preserve">15106 W 10 MILE RD </t>
  </si>
  <si>
    <t>248-967-2224</t>
  </si>
  <si>
    <t>HOLLAND HOME</t>
  </si>
  <si>
    <t xml:space="preserve">2100 RAYBROOK ST SE </t>
  </si>
  <si>
    <t>49546-7759</t>
  </si>
  <si>
    <t>ADRIAN DOMINICAN SISTERS DOMINICAN LIFE CNTR</t>
  </si>
  <si>
    <t xml:space="preserve">1277 E SIENA HEIGHTS DR </t>
  </si>
  <si>
    <t>49221-1755</t>
  </si>
  <si>
    <t>(517) 266-3600</t>
  </si>
  <si>
    <t>PHILLIPS-STRICKLAND HOUSE (THE)</t>
  </si>
  <si>
    <t xml:space="preserve">21 BOYD ST </t>
  </si>
  <si>
    <t>BANGOR</t>
  </si>
  <si>
    <t>04401-6560</t>
  </si>
  <si>
    <t>(207) 941-2820</t>
  </si>
  <si>
    <t>BAY SQUARE AT YARMOUTH</t>
  </si>
  <si>
    <t xml:space="preserve">27 FOREST FALLS DR </t>
  </si>
  <si>
    <t>YARMOUTH</t>
  </si>
  <si>
    <t>04096-6972</t>
  </si>
  <si>
    <t>(207) 846-0044</t>
  </si>
  <si>
    <t>PRESBYTERIAN COMMUNITIES OF SC/FOOTHILLS</t>
  </si>
  <si>
    <t xml:space="preserve">205 BUD NALLEY DR </t>
  </si>
  <si>
    <t>(864) 859-3367</t>
  </si>
  <si>
    <t>BUCHANAN PLACE-ELDER HEALTH NORTHWEST</t>
  </si>
  <si>
    <t xml:space="preserve">4732 35TH AVE S </t>
  </si>
  <si>
    <t>206 838742</t>
  </si>
  <si>
    <t>HAMILTON PARK</t>
  </si>
  <si>
    <t xml:space="preserve">30 PORTAGE DR </t>
  </si>
  <si>
    <t>NORTH BONNEVILLE</t>
  </si>
  <si>
    <t>509 427001</t>
  </si>
  <si>
    <t>WHITCOMB WOODS</t>
  </si>
  <si>
    <t xml:space="preserve">128 WEST ST </t>
  </si>
  <si>
    <t>ESSEX JUNCTION</t>
  </si>
  <si>
    <t>05452-4651</t>
  </si>
  <si>
    <t>(802) 859-8861</t>
  </si>
  <si>
    <t>WHITCOMB TERRACE</t>
  </si>
  <si>
    <t xml:space="preserve">136 WEST ST </t>
  </si>
  <si>
    <t>05452-4652</t>
  </si>
  <si>
    <t>(802) 879-9224</t>
  </si>
  <si>
    <t>HOUSING INITIATIVES OF NEW ENGLAND</t>
  </si>
  <si>
    <t xml:space="preserve">36 UNION WHARF STE 4 </t>
  </si>
  <si>
    <t>04101-4682</t>
  </si>
  <si>
    <t>(207) 774-8812</t>
  </si>
  <si>
    <t>LA MAISON ACADIENNE</t>
  </si>
  <si>
    <t xml:space="preserve">339 FRENCH ST STE 223 </t>
  </si>
  <si>
    <t>MADAWASKA</t>
  </si>
  <si>
    <t>04756-1169</t>
  </si>
  <si>
    <t>(207) 728-3301</t>
  </si>
  <si>
    <t>INGLESIDE AT HOME</t>
  </si>
  <si>
    <t>FRIENDS HOUSE RETIREMENT COMM - MAIN</t>
  </si>
  <si>
    <t xml:space="preserve">17340 QUAKER LN </t>
  </si>
  <si>
    <t>SANDY SPRING</t>
  </si>
  <si>
    <t>20860-1247</t>
  </si>
  <si>
    <t>(301) 924-5100</t>
  </si>
  <si>
    <t>SPECTRUM HEALTH COMPANIES</t>
  </si>
  <si>
    <t>HORIZON HOUSE</t>
  </si>
  <si>
    <t xml:space="preserve">900 UNIVERSITY ST </t>
  </si>
  <si>
    <t>206 624370</t>
  </si>
  <si>
    <t>ASBURY INVERNESS VILLAGE</t>
  </si>
  <si>
    <t>HOMEWOODS ON THE WILLAMETTE</t>
  </si>
  <si>
    <t xml:space="preserve">17971 SE RIVER RD </t>
  </si>
  <si>
    <t>MILWAUKIE</t>
  </si>
  <si>
    <t>503 659360</t>
  </si>
  <si>
    <t>ROSS KNOTTS RETIREMENT CENTER</t>
  </si>
  <si>
    <t xml:space="preserve">2874 CREEKSIDE CIR </t>
  </si>
  <si>
    <t>541 857760</t>
  </si>
  <si>
    <t>MCAULEY SQUARE</t>
  </si>
  <si>
    <t xml:space="preserve">130 MANSFIELD AVE </t>
  </si>
  <si>
    <t>05401-3394</t>
  </si>
  <si>
    <t>(802) 863-3335</t>
  </si>
  <si>
    <t>JERI-HILL</t>
  </si>
  <si>
    <t xml:space="preserve">JERI-HILL LN </t>
  </si>
  <si>
    <t>JERICHO</t>
  </si>
  <si>
    <t>802-858-9171</t>
  </si>
  <si>
    <t>BCARS</t>
  </si>
  <si>
    <t xml:space="preserve">1118 LIGHT ST </t>
  </si>
  <si>
    <t>21230-4135</t>
  </si>
  <si>
    <t>(410) 727-7800</t>
  </si>
  <si>
    <t>PROVENA ST JOSEPH CENTER</t>
  </si>
  <si>
    <t xml:space="preserve">659 E JEFFERSON ST </t>
  </si>
  <si>
    <t>61032-6027</t>
  </si>
  <si>
    <t>(815) 232-6181</t>
  </si>
  <si>
    <t>LEADINGAGE ILLINOIS</t>
  </si>
  <si>
    <t xml:space="preserve">1001 WARRENVILLE RD STE 150 </t>
  </si>
  <si>
    <t>LISLE</t>
  </si>
  <si>
    <t>60532-1345</t>
  </si>
  <si>
    <t xml:space="preserve">508 PARK AVE E </t>
  </si>
  <si>
    <t>61356-2538</t>
  </si>
  <si>
    <t>(815) 872-2261</t>
  </si>
  <si>
    <t>MIDSOUTH HEALTH AND REHAB CENTER</t>
  </si>
  <si>
    <t xml:space="preserve">2380 JAMES RD </t>
  </si>
  <si>
    <t>MEMPHIS JEWISH HOUSING DEV. CORP.-PLOUGH TOWE</t>
  </si>
  <si>
    <t xml:space="preserve">6580 POPLAR AVE </t>
  </si>
  <si>
    <t>38138-3614</t>
  </si>
  <si>
    <t>(901) 767-1910</t>
  </si>
  <si>
    <t>THE MAYFLOWER</t>
  </si>
  <si>
    <t xml:space="preserve">1620 MAYFLOWER CT </t>
  </si>
  <si>
    <t>32792-2500</t>
  </si>
  <si>
    <t>(407) 672-1620</t>
  </si>
  <si>
    <t>HC NCR WTRSEDGE/LAKE WALES-NAC</t>
  </si>
  <si>
    <t xml:space="preserve">10 W GROVE AVE </t>
  </si>
  <si>
    <t>LAKE WALES</t>
  </si>
  <si>
    <t>33853-4516</t>
  </si>
  <si>
    <t xml:space="preserve">17006 SE WAX RD </t>
  </si>
  <si>
    <t>503 754016</t>
  </si>
  <si>
    <t>DEER PARK CROSSING</t>
  </si>
  <si>
    <t xml:space="preserve">1605 E D ST </t>
  </si>
  <si>
    <t>509 922969</t>
  </si>
  <si>
    <t>KIRKLAND UNION PLAZA</t>
  </si>
  <si>
    <t xml:space="preserve">1414 KAUFFMAN AVE </t>
  </si>
  <si>
    <t>CIRCLE CENTER ADULT DAY SERVICES</t>
  </si>
  <si>
    <t xml:space="preserve">4900 W MARSHALL ST </t>
  </si>
  <si>
    <t>804 355571</t>
  </si>
  <si>
    <t>LEADINGAGE MARYLAND</t>
  </si>
  <si>
    <t xml:space="preserve">6811 CAMPFIELD RD </t>
  </si>
  <si>
    <t>21207-4657</t>
  </si>
  <si>
    <t>OWINGS MILLS</t>
  </si>
  <si>
    <t xml:space="preserve">9773 GROFFS MILL DR </t>
  </si>
  <si>
    <t>410-902-8222</t>
  </si>
  <si>
    <t>WESLEY WILLOWS</t>
  </si>
  <si>
    <t xml:space="preserve">4141 N ROCKTON AVE </t>
  </si>
  <si>
    <t>61103-1524</t>
  </si>
  <si>
    <t>(815)316-1500</t>
  </si>
  <si>
    <t>PARKS METHODIST RETIREMENT VILLAGE</t>
  </si>
  <si>
    <t xml:space="preserve">111 PARKS VILLAGE DR </t>
  </si>
  <si>
    <t>ODESSA</t>
  </si>
  <si>
    <t>79765-8911</t>
  </si>
  <si>
    <t>(432) 563-5707</t>
  </si>
  <si>
    <t>VENTANA BY BUCKNER</t>
  </si>
  <si>
    <t xml:space="preserve">8301 N CENTRAL EXPY </t>
  </si>
  <si>
    <t>214 953758</t>
  </si>
  <si>
    <t>METHODIST CONFERENCE HOME INC</t>
  </si>
  <si>
    <t xml:space="preserve">46 SUMMER ST </t>
  </si>
  <si>
    <t>ROCKLAND</t>
  </si>
  <si>
    <t>04841-2920</t>
  </si>
  <si>
    <t>(207) 596-6477</t>
  </si>
  <si>
    <t>MAINE GENERAL REHABILITATION - MAIN OFC</t>
  </si>
  <si>
    <t xml:space="preserve">40 GLENRIDGE DR </t>
  </si>
  <si>
    <t>04330-6606</t>
  </si>
  <si>
    <t>(207) 626-2600</t>
  </si>
  <si>
    <t>HEALTHCARE FOR THE HOMELESS</t>
  </si>
  <si>
    <t xml:space="preserve">9150 FRANKLIN SQUARE DR FL 2 </t>
  </si>
  <si>
    <t>21237-3903</t>
  </si>
  <si>
    <t>BROOKE GROVE REHABILITATION &amp; NURSING CENTER</t>
  </si>
  <si>
    <t xml:space="preserve">18100 SLADE SCHOOL RD </t>
  </si>
  <si>
    <t>20860-1313</t>
  </si>
  <si>
    <t>BETHANY HOUSE</t>
  </si>
  <si>
    <t xml:space="preserve">199 ROLLINS AVE </t>
  </si>
  <si>
    <t>20852-4037</t>
  </si>
  <si>
    <t>(301) 881-0700</t>
  </si>
  <si>
    <t>CHRISTIAN CARE COTTONWOOD INC</t>
  </si>
  <si>
    <t xml:space="preserve">859 S 12TH ST </t>
  </si>
  <si>
    <t>928 634757</t>
  </si>
  <si>
    <t>WILLAMETTE LUTHERAN HOMES</t>
  </si>
  <si>
    <t xml:space="preserve">7693 WHEATLAND RD N </t>
  </si>
  <si>
    <t>KEIZER</t>
  </si>
  <si>
    <t>503 393149</t>
  </si>
  <si>
    <t>ROSE VILLA SENIOR LIVING COMMUNITY</t>
  </si>
  <si>
    <t xml:space="preserve">13505 SE RIVER RD </t>
  </si>
  <si>
    <t>503 654317</t>
  </si>
  <si>
    <t>GLENRIDGE TERRACE APARTMENTS</t>
  </si>
  <si>
    <t xml:space="preserve">690 BLACK OAK DR </t>
  </si>
  <si>
    <t>TERRACE AT WILLAMETTE VIEW (THE)</t>
  </si>
  <si>
    <t xml:space="preserve">13169 SE RIVER RD </t>
  </si>
  <si>
    <t>503 652679</t>
  </si>
  <si>
    <t>SUMMER RUN APARTMENTS</t>
  </si>
  <si>
    <t xml:space="preserve">7810 SE FOSTER RD </t>
  </si>
  <si>
    <t>503 774888</t>
  </si>
  <si>
    <t>LOCKEHAVEN ADULT FAMILY HOME</t>
  </si>
  <si>
    <t xml:space="preserve">13001 NE 3RD AVE </t>
  </si>
  <si>
    <t>360 907294</t>
  </si>
  <si>
    <t>SPRAGUE CROSSING</t>
  </si>
  <si>
    <t xml:space="preserve">14303 E SPRAGUE AVE </t>
  </si>
  <si>
    <t>SUN TOWER</t>
  </si>
  <si>
    <t xml:space="preserve">6 N 6TH ST </t>
  </si>
  <si>
    <t>509-248-3191</t>
  </si>
  <si>
    <t>BUCKNER HOSPICE HOUSTON</t>
  </si>
  <si>
    <t xml:space="preserve">11111 KATY FWY STE 620 </t>
  </si>
  <si>
    <t>77079-2116</t>
  </si>
  <si>
    <t>(281) 493-6800</t>
  </si>
  <si>
    <t>INNOVAGE - ROANOKE CENTER</t>
  </si>
  <si>
    <t xml:space="preserve">1606 LYNCHBURG TPKE </t>
  </si>
  <si>
    <t>PAUL HAZELTON HOUSE</t>
  </si>
  <si>
    <t xml:space="preserve">7 SMITH LN </t>
  </si>
  <si>
    <t>SACO</t>
  </si>
  <si>
    <t>04072-1518</t>
  </si>
  <si>
    <t>(207) 284-5653</t>
  </si>
  <si>
    <t>BANGOR NURSING AND REHAB CTR</t>
  </si>
  <si>
    <t xml:space="preserve">103 TEXAS AVE </t>
  </si>
  <si>
    <t>04401-4324</t>
  </si>
  <si>
    <t>(207) 947-4557</t>
  </si>
  <si>
    <t>KESWICK MULTI-CARE CENTER</t>
  </si>
  <si>
    <t xml:space="preserve">700 W 40TH ST </t>
  </si>
  <si>
    <t>21211-2140</t>
  </si>
  <si>
    <t>MARY T - CENTRAL OFFICE</t>
  </si>
  <si>
    <t xml:space="preserve">820 RITCHIE HWY STE 100 </t>
  </si>
  <si>
    <t>CARROLL LUTHERAN VILLAGE</t>
  </si>
  <si>
    <t xml:space="preserve">300 SAINT LUKE CIR </t>
  </si>
  <si>
    <t>WESTMINSTER</t>
  </si>
  <si>
    <t>21158-4174</t>
  </si>
  <si>
    <t>(410) 848-0090</t>
  </si>
  <si>
    <t>TSCHIRLEY CROSSING</t>
  </si>
  <si>
    <t xml:space="preserve">111 S TSCHIRLEY RD </t>
  </si>
  <si>
    <t>BETHANY OF THE NORTHWEST INC</t>
  </si>
  <si>
    <t xml:space="preserve">916 PACIFIC AVE </t>
  </si>
  <si>
    <t>425 259550</t>
  </si>
  <si>
    <t>HOLY CROSS</t>
  </si>
  <si>
    <t xml:space="preserve">468 CHURCH RD </t>
  </si>
  <si>
    <t>05446-2413</t>
  </si>
  <si>
    <t>(802) 859-8855</t>
  </si>
  <si>
    <t>PENINSULA CENTER</t>
  </si>
  <si>
    <t xml:space="preserve">439 ORIANA RD STE C </t>
  </si>
  <si>
    <t>HOMEWOOD RETIREMENT CENTER - WILLOW PONDS</t>
  </si>
  <si>
    <t xml:space="preserve">500 PEARSON CIR </t>
  </si>
  <si>
    <t>THE SISTERS OF ST JOSEPH OF NAZARETH</t>
  </si>
  <si>
    <t xml:space="preserve">2929 NAZARETH RD </t>
  </si>
  <si>
    <t>INGLESIDE AT KING FARM</t>
  </si>
  <si>
    <t xml:space="preserve">701 KING FARM BLVD </t>
  </si>
  <si>
    <t>20850-6165</t>
  </si>
  <si>
    <t>(240) 205-7085</t>
  </si>
  <si>
    <t>JOHN C. PROCTOR ENDOWMENT HOME DBA PROCTOR PLACE</t>
  </si>
  <si>
    <t xml:space="preserve">2724 W RESERVOIR BLVD </t>
  </si>
  <si>
    <t>61615-4137</t>
  </si>
  <si>
    <t>(309) 685-6580</t>
  </si>
  <si>
    <t>CJE - ROBINEAU RESIDENCE</t>
  </si>
  <si>
    <t xml:space="preserve">7550 KOSTNER AVE </t>
  </si>
  <si>
    <t>60076-3877</t>
  </si>
  <si>
    <t>(847) 675-8580</t>
  </si>
  <si>
    <t xml:space="preserve">18601 N CREEK DR </t>
  </si>
  <si>
    <t>708 342810</t>
  </si>
  <si>
    <t>ASSOCIATED CATHOLIC CHARITIES INC - CATHOLIC</t>
  </si>
  <si>
    <t xml:space="preserve">1966 GREENSPRING DR STE 200 </t>
  </si>
  <si>
    <t>TIMONIUM</t>
  </si>
  <si>
    <t>21093-4164</t>
  </si>
  <si>
    <t>(410) 547-5333</t>
  </si>
  <si>
    <t>HASSAYAMPA VILLAGE</t>
  </si>
  <si>
    <t xml:space="preserve">545 PENN LN </t>
  </si>
  <si>
    <t>WICKENBURG</t>
  </si>
  <si>
    <t>928 684373</t>
  </si>
  <si>
    <t>EAGLE TAIL VILLAGE</t>
  </si>
  <si>
    <t xml:space="preserve">306 S 7TH ST </t>
  </si>
  <si>
    <t>BUCKEYE</t>
  </si>
  <si>
    <t>623 386662</t>
  </si>
  <si>
    <t>PARKVIEW CHRISTIAN RETIREMENT COMMUNITY</t>
  </si>
  <si>
    <t xml:space="preserve">1825 NE 108TH AVE </t>
  </si>
  <si>
    <t>503 255716</t>
  </si>
  <si>
    <t>RETIREMENT COMMUNITY AT EASTON INC DBA</t>
  </si>
  <si>
    <t xml:space="preserve">700 PORT ST STE 148 </t>
  </si>
  <si>
    <t>21601-8145</t>
  </si>
  <si>
    <t>(410) 820-8732</t>
  </si>
  <si>
    <t>ARUNDEL WOODS</t>
  </si>
  <si>
    <t xml:space="preserve">403 W- ORDNANCE RD </t>
  </si>
  <si>
    <t>GLEN BURNIE</t>
  </si>
  <si>
    <t>410-424-3535</t>
  </si>
  <si>
    <t>CATHOLIC CENTER (CAN USE AOB CREDENTIALS)</t>
  </si>
  <si>
    <t xml:space="preserve">320 CATHEDRAL ST </t>
  </si>
  <si>
    <t>21201-4421</t>
  </si>
  <si>
    <t>(410) 625-8489</t>
  </si>
  <si>
    <t>MERIDIAN VILLAGE</t>
  </si>
  <si>
    <t xml:space="preserve">101 EVERGREEN LN </t>
  </si>
  <si>
    <t>62034-1729</t>
  </si>
  <si>
    <t>MAPLE LAWN HOMES</t>
  </si>
  <si>
    <t xml:space="preserve">700 N MAIN ST </t>
  </si>
  <si>
    <t>61530-1085</t>
  </si>
  <si>
    <t>(309) 467-9071</t>
  </si>
  <si>
    <t>CONCEPTS IN COMMUNITY LIVING</t>
  </si>
  <si>
    <t xml:space="preserve">15900 SE 82ND DR </t>
  </si>
  <si>
    <t>CLACKAMAS</t>
  </si>
  <si>
    <t>503 255464</t>
  </si>
  <si>
    <t xml:space="preserve">147 N RIVER CT </t>
  </si>
  <si>
    <t>MOUNT CLEMENS</t>
  </si>
  <si>
    <t>48043-1946</t>
  </si>
  <si>
    <t>THE PINES</t>
  </si>
  <si>
    <t xml:space="preserve">325 WILKINSON ST </t>
  </si>
  <si>
    <t>734-433-9130</t>
  </si>
  <si>
    <t>CHATEAU CUSHNOC</t>
  </si>
  <si>
    <t xml:space="preserve">36 TOWNSEND ST </t>
  </si>
  <si>
    <t>04330-3990</t>
  </si>
  <si>
    <t>(207) 623-1112</t>
  </si>
  <si>
    <t>PIPER SHORES</t>
  </si>
  <si>
    <t xml:space="preserve">15 PIPER RD </t>
  </si>
  <si>
    <t>SCARBOROUGH</t>
  </si>
  <si>
    <t>04074-9473</t>
  </si>
  <si>
    <t>(207) 883-8700</t>
  </si>
  <si>
    <t>ALZHEIMER CARE CENTER</t>
  </si>
  <si>
    <t xml:space="preserve">150 DRESDEN AVE </t>
  </si>
  <si>
    <t>GARDINER</t>
  </si>
  <si>
    <t>(207) 626-1770</t>
  </si>
  <si>
    <t>MARYLAND MASONIC HOME</t>
  </si>
  <si>
    <t xml:space="preserve">300 INTERNATIONAL CIR </t>
  </si>
  <si>
    <t>COCKEYSVILLE</t>
  </si>
  <si>
    <t>21030-1300</t>
  </si>
  <si>
    <t>(410) 527-1111</t>
  </si>
  <si>
    <t>GALLAGHER SERVICES</t>
  </si>
  <si>
    <t xml:space="preserve">2520 POT SPRING RD </t>
  </si>
  <si>
    <t>21093-2730</t>
  </si>
  <si>
    <t>SPRING ROCK PARK</t>
  </si>
  <si>
    <t xml:space="preserve">802 CHURCH HILL RD APT 21 </t>
  </si>
  <si>
    <t>LEEDS</t>
  </si>
  <si>
    <t>04263-3451</t>
  </si>
  <si>
    <t>(207) 946-7123</t>
  </si>
  <si>
    <t>ST. JOHN'S TOWERS INC</t>
  </si>
  <si>
    <t xml:space="preserve">505 CONGRESS AVE </t>
  </si>
  <si>
    <t>HAVRE DE GRACE</t>
  </si>
  <si>
    <t>21078-3044</t>
  </si>
  <si>
    <t>(410) 939-5040</t>
  </si>
  <si>
    <t>NEW TOWNE VILLAGE</t>
  </si>
  <si>
    <t xml:space="preserve">22810 DORSEY ST </t>
  </si>
  <si>
    <t>LEONARDTOWN</t>
  </si>
  <si>
    <t>20650-3831</t>
  </si>
  <si>
    <t>(301) 475-3161</t>
  </si>
  <si>
    <t>DEPAUL HOUSE</t>
  </si>
  <si>
    <t xml:space="preserve">3300 BENSON AVE </t>
  </si>
  <si>
    <t>21227-1030</t>
  </si>
  <si>
    <t>(410) 525-1741</t>
  </si>
  <si>
    <t>VILLAGE MANOR ASSISTED LIVING</t>
  </si>
  <si>
    <t xml:space="preserve">101 TIGER BLVD </t>
  </si>
  <si>
    <t>LEWISBURG</t>
  </si>
  <si>
    <t>37091-5008</t>
  </si>
  <si>
    <t>(931) 270-0273</t>
  </si>
  <si>
    <t>HILLCREST HEALTHCARE</t>
  </si>
  <si>
    <t xml:space="preserve">5325 BEVERLY PARK CIR </t>
  </si>
  <si>
    <t>37918-9253</t>
  </si>
  <si>
    <t>(865) 246-4018</t>
  </si>
  <si>
    <t>FIRST BAPTIST CHURCH OF FAYETTEVILLE</t>
  </si>
  <si>
    <t xml:space="preserve">210 ELK AVE N </t>
  </si>
  <si>
    <t>37334-3029</t>
  </si>
  <si>
    <t>FOREST RIDGE MANOR</t>
  </si>
  <si>
    <t xml:space="preserve">1252 BLOOMINGDALE PIKE </t>
  </si>
  <si>
    <t>37660-2778</t>
  </si>
  <si>
    <t>COURSEY STATION</t>
  </si>
  <si>
    <t xml:space="preserve">200 1ST AVE APT. 101 </t>
  </si>
  <si>
    <t>LANSDOWNE</t>
  </si>
  <si>
    <t>21227-3031</t>
  </si>
  <si>
    <t>(410) 242-6167</t>
  </si>
  <si>
    <t>THE GLENVIEW AT PELICAN BAY</t>
  </si>
  <si>
    <t xml:space="preserve">100 GLENVIEW PL </t>
  </si>
  <si>
    <t>34108-3137</t>
  </si>
  <si>
    <t>(239) 591-0011</t>
  </si>
  <si>
    <t>BAPTIST VILLAGE OF CORDELL</t>
  </si>
  <si>
    <t xml:space="preserve">701 E 12TH ST </t>
  </si>
  <si>
    <t>CORDELL</t>
  </si>
  <si>
    <t>73632-2208</t>
  </si>
  <si>
    <t>(580) 832-5831</t>
  </si>
  <si>
    <t>BAPTIST VILLAGE OF CLEVELAND</t>
  </si>
  <si>
    <t xml:space="preserve">1001 BAPTIST VILLAGE DR </t>
  </si>
  <si>
    <t>74020-9682</t>
  </si>
  <si>
    <t>(918) 358-2575</t>
  </si>
  <si>
    <t>MEMORIAL TOWERS</t>
  </si>
  <si>
    <t xml:space="preserve">1405 S 7TH AVE </t>
  </si>
  <si>
    <t>602 253036</t>
  </si>
  <si>
    <t>HOLGATE CENTER- KENILWORTH PARK PLAZA</t>
  </si>
  <si>
    <t xml:space="preserve">3214 SE HOLGATE BLVD </t>
  </si>
  <si>
    <t>503 234901</t>
  </si>
  <si>
    <t>GOOD SAMARITAN-FLANAGAN</t>
  </si>
  <si>
    <t xml:space="preserve">205 N ADAMS ST </t>
  </si>
  <si>
    <t>FLANAGAN</t>
  </si>
  <si>
    <t>61740-9036</t>
  </si>
  <si>
    <t>(815) 792-0053</t>
  </si>
  <si>
    <t>DU PAGE CONVALESCENT CENTER</t>
  </si>
  <si>
    <t xml:space="preserve">400 N COUNTY FARM RD </t>
  </si>
  <si>
    <t>60187-3908</t>
  </si>
  <si>
    <t>(630) 665-6400</t>
  </si>
  <si>
    <t>WESLEY VILLAGE RETIREMENT COMMUNITY</t>
  </si>
  <si>
    <t xml:space="preserve">2800 LOY LAKE RD </t>
  </si>
  <si>
    <t>DENISON</t>
  </si>
  <si>
    <t>75020-5648</t>
  </si>
  <si>
    <t>(903) 465-6463</t>
  </si>
  <si>
    <t>VOLUNTEERS OF AMERICA TEXAS</t>
  </si>
  <si>
    <t xml:space="preserve">800 WINTERGREEN RD </t>
  </si>
  <si>
    <t>HUTCHING</t>
  </si>
  <si>
    <t>THE CRAIG METHODIST RETIREMENT COMMUNITY</t>
  </si>
  <si>
    <t xml:space="preserve">5500 SW 9TH AVE </t>
  </si>
  <si>
    <t>AMARILLO</t>
  </si>
  <si>
    <t>79106-4100</t>
  </si>
  <si>
    <t>(806) 352-7244</t>
  </si>
  <si>
    <t>KPP BUILDING</t>
  </si>
  <si>
    <t xml:space="preserve">3320 SE HOLGATE BLVD </t>
  </si>
  <si>
    <t>503 231141</t>
  </si>
  <si>
    <t>CAPITAL MANOR INC.</t>
  </si>
  <si>
    <t xml:space="preserve">1955 SALEM DALLAS HWY NW STE 1200 </t>
  </si>
  <si>
    <t>503 362410</t>
  </si>
  <si>
    <t>WILLOW PLACE</t>
  </si>
  <si>
    <t xml:space="preserve">1307 N COLLEGE ST </t>
  </si>
  <si>
    <t>NEWBERG</t>
  </si>
  <si>
    <t>ARBORS - PILLARS</t>
  </si>
  <si>
    <t xml:space="preserve">687 HARBOR RD </t>
  </si>
  <si>
    <t>SHELBURNE</t>
  </si>
  <si>
    <t>(802) 985-8600</t>
  </si>
  <si>
    <t>COUNCIL HOUSE</t>
  </si>
  <si>
    <t xml:space="preserve">3940 BEXLEY PL </t>
  </si>
  <si>
    <t>20746-2965</t>
  </si>
  <si>
    <t>(206) 323-0344</t>
  </si>
  <si>
    <t>UNIVERSITY GARDENS</t>
  </si>
  <si>
    <t xml:space="preserve">440 UNIVERSITY BLVD E </t>
  </si>
  <si>
    <t>20901-3665</t>
  </si>
  <si>
    <t>(202) 387-4367</t>
  </si>
  <si>
    <t>GATEWAY VILLAGE</t>
  </si>
  <si>
    <t xml:space="preserve">505 SUFFOLK AVE </t>
  </si>
  <si>
    <t>CAPITOL HEIGHTS</t>
  </si>
  <si>
    <t>20743-3000</t>
  </si>
  <si>
    <t>(301) 336-0141</t>
  </si>
  <si>
    <t>HOMEWOOD RETIREMENT CENTERS OF THE UNITED CHU</t>
  </si>
  <si>
    <t xml:space="preserve">16107 ELLIOTT PKWY </t>
  </si>
  <si>
    <t>WILLIAMSPORT</t>
  </si>
  <si>
    <t>301-582-1750</t>
  </si>
  <si>
    <t>ST LUKES PLACE</t>
  </si>
  <si>
    <t xml:space="preserve">2825 LODGE FARM RD </t>
  </si>
  <si>
    <t>SPARROWS POINT</t>
  </si>
  <si>
    <t>21219-1347</t>
  </si>
  <si>
    <t>(410) 477-3661</t>
  </si>
  <si>
    <t xml:space="preserve">901 BARNETT LN </t>
  </si>
  <si>
    <t>(410) 273-0435</t>
  </si>
  <si>
    <t>FRIENDS NURSING HOME</t>
  </si>
  <si>
    <t>(301) 924-4900</t>
  </si>
  <si>
    <t>MAIN STREET CAFE</t>
  </si>
  <si>
    <t xml:space="preserve">903 N MAIN ST </t>
  </si>
  <si>
    <t>WESTMINSTER GATEWAY TERRACE</t>
  </si>
  <si>
    <t xml:space="preserve">1943 NE 6TH CT OFC 106 </t>
  </si>
  <si>
    <t>33304-3855</t>
  </si>
  <si>
    <t>(954) 463-6721</t>
  </si>
  <si>
    <t>VILLAGE ON THE ISLE</t>
  </si>
  <si>
    <t xml:space="preserve">920 TAMIAMI TRL S </t>
  </si>
  <si>
    <t>34285-3652</t>
  </si>
  <si>
    <t>(941) 484-9753</t>
  </si>
  <si>
    <t>COLUMBIA LUTHERAN HOME</t>
  </si>
  <si>
    <t xml:space="preserve">4700 PHINNEY AVE N </t>
  </si>
  <si>
    <t>206 632740</t>
  </si>
  <si>
    <t>JUDSON PARK</t>
  </si>
  <si>
    <t xml:space="preserve">23600 MARINE VIEW DR S </t>
  </si>
  <si>
    <t>206-824-4000</t>
  </si>
  <si>
    <t>ROYAL OAKS RETIREMENT COMMUNITY</t>
  </si>
  <si>
    <t xml:space="preserve">10015 W ROYAL OAK RD </t>
  </si>
  <si>
    <t>623 815411</t>
  </si>
  <si>
    <t>MEADOW CREEK RETIREMENT COMMUNITY</t>
  </si>
  <si>
    <t xml:space="preserve">2551 NW EDENBOWER BLVD </t>
  </si>
  <si>
    <t>541 464840</t>
  </si>
  <si>
    <t>CENTRAL POINT RETIREMENT COMMUNITY</t>
  </si>
  <si>
    <t xml:space="preserve">410 RICHARDSON DR </t>
  </si>
  <si>
    <t>CENTRAL POINT</t>
  </si>
  <si>
    <t>541 664034</t>
  </si>
  <si>
    <t>PARK VILLAGE RETIREMENT HOUSING VMRC-</t>
  </si>
  <si>
    <t>ST ANN'S NURSING HOME</t>
  </si>
  <si>
    <t xml:space="preserve">125 SAINT ANNS DR </t>
  </si>
  <si>
    <t>PANHANDLE</t>
  </si>
  <si>
    <t>79068-1179</t>
  </si>
  <si>
    <t>(806) 537-3194</t>
  </si>
  <si>
    <t>JACKSON LIVING CENTER OF JULIETTE FOWLER</t>
  </si>
  <si>
    <t xml:space="preserve">1240 ABRAMS RD </t>
  </si>
  <si>
    <t>PARKWAY PLACE</t>
  </si>
  <si>
    <t xml:space="preserve">1321 PARK BAYOU DR </t>
  </si>
  <si>
    <t>281 556528</t>
  </si>
  <si>
    <t>HOLGATE CENTER</t>
  </si>
  <si>
    <t>LYONS GARDENS</t>
  </si>
  <si>
    <t xml:space="preserve">2720 LYONS RD </t>
  </si>
  <si>
    <t>78702-3660</t>
  </si>
  <si>
    <t>(512) 236-1781</t>
  </si>
  <si>
    <t>MEADOW LAKE SENIOR LIVING COMMUNITY</t>
  </si>
  <si>
    <t xml:space="preserve">16044 COUNTRY RD 165 </t>
  </si>
  <si>
    <t>(903) 526-5599</t>
  </si>
  <si>
    <t>CALDER WOODS</t>
  </si>
  <si>
    <t xml:space="preserve">7080 CALDER AVE </t>
  </si>
  <si>
    <t>77706-6052</t>
  </si>
  <si>
    <t>(409) 861-1123</t>
  </si>
  <si>
    <t>BUCKNER RETIREMENT SERVICES INC</t>
  </si>
  <si>
    <t xml:space="preserve">700 N PEARL ST STE 1200 </t>
  </si>
  <si>
    <t>214 758803</t>
  </si>
  <si>
    <t>CEDAR PLACE</t>
  </si>
  <si>
    <t xml:space="preserve">812 CEDAR ST </t>
  </si>
  <si>
    <t>50248-1472</t>
  </si>
  <si>
    <t>(515) 733-2904</t>
  </si>
  <si>
    <t>FAMILY ELDERCARE</t>
  </si>
  <si>
    <t xml:space="preserve">1700 RUTHERFORD LN </t>
  </si>
  <si>
    <t>78754-5104</t>
  </si>
  <si>
    <t>(512) 628-0421</t>
  </si>
  <si>
    <t>EDEN HOME INC</t>
  </si>
  <si>
    <t xml:space="preserve">631 LAKEVIEW BLVD </t>
  </si>
  <si>
    <t>78130-4017</t>
  </si>
  <si>
    <t>BST SENIOR LIVING WEST INC.</t>
  </si>
  <si>
    <t xml:space="preserve">5100 JOHN D RYAN BLVD </t>
  </si>
  <si>
    <t>78245-3527</t>
  </si>
  <si>
    <t>(210) 677-8666</t>
  </si>
  <si>
    <t>ASBURY PLACE AT KINGSPORT - BAYSMONT</t>
  </si>
  <si>
    <t xml:space="preserve">100 NETHERLAND LN </t>
  </si>
  <si>
    <t>423 245036</t>
  </si>
  <si>
    <t>ROCKWOOD RETIREMENT COMMUNITIES</t>
  </si>
  <si>
    <t xml:space="preserve">2903 E 25TH AVE STE OFC </t>
  </si>
  <si>
    <t>509 536665</t>
  </si>
  <si>
    <t>MAPLE VILLAGE</t>
  </si>
  <si>
    <t xml:space="preserve">72 PINE ST </t>
  </si>
  <si>
    <t>RUTLAND</t>
  </si>
  <si>
    <t>05701-2868</t>
  </si>
  <si>
    <t>(802) 775-1265</t>
  </si>
  <si>
    <t>TIMBERLAND VILLAGE</t>
  </si>
  <si>
    <t xml:space="preserve">725 TIMBERLAND DR </t>
  </si>
  <si>
    <t>50248-8772</t>
  </si>
  <si>
    <t>(515) 733-6500</t>
  </si>
  <si>
    <t>SENIORS CENTER OF HENDERSONVILLE</t>
  </si>
  <si>
    <t xml:space="preserve">223 CAMPUS DR </t>
  </si>
  <si>
    <t>37075-4636</t>
  </si>
  <si>
    <t>(615) 822-8758</t>
  </si>
  <si>
    <t>CUMBERLAND VIEW TOWERS INC.</t>
  </si>
  <si>
    <t xml:space="preserve">1201 CHEYENNE BLVD </t>
  </si>
  <si>
    <t>37115-5592</t>
  </si>
  <si>
    <t>(615) 868-8653</t>
  </si>
  <si>
    <t>MCKENDREE OAKS AT SAVANNAH</t>
  </si>
  <si>
    <t xml:space="preserve">1700 FLORENCE RD </t>
  </si>
  <si>
    <t>38372-7822</t>
  </si>
  <si>
    <t>(731) 925-8951</t>
  </si>
  <si>
    <t>BISHOP GADSDEN</t>
  </si>
  <si>
    <t xml:space="preserve">1 BISHOP GADSDEN WAY </t>
  </si>
  <si>
    <t>29412-3506</t>
  </si>
  <si>
    <t>(843) 762-3300</t>
  </si>
  <si>
    <t>WHITNEY HILL HOMESTEAD</t>
  </si>
  <si>
    <t xml:space="preserve">100 WHITNEY HILL HOMESTEAD </t>
  </si>
  <si>
    <t>05495-2008</t>
  </si>
  <si>
    <t>(802) 859-8870</t>
  </si>
  <si>
    <t>STILL HOPES EPISCOPAL RETIREMENT COMMUNITY</t>
  </si>
  <si>
    <t xml:space="preserve">1 STILL HOPES DR </t>
  </si>
  <si>
    <t>803-739-5040</t>
  </si>
  <si>
    <t>MARCHBANKS ASSISTED LIVING</t>
  </si>
  <si>
    <t xml:space="preserve">2203 MARCHBANKS AVE </t>
  </si>
  <si>
    <t>29621-2247</t>
  </si>
  <si>
    <t>ROLLING GREEN VILLAGE</t>
  </si>
  <si>
    <t xml:space="preserve">1 HOKE SMITH BLVD </t>
  </si>
  <si>
    <t>29615-5308</t>
  </si>
  <si>
    <t>(864) 987-9800</t>
  </si>
  <si>
    <t>ESSEX VILLAGE</t>
  </si>
  <si>
    <t xml:space="preserve">12 FISCHER DR </t>
  </si>
  <si>
    <t>N KINGSTOWN</t>
  </si>
  <si>
    <t>02852-2800</t>
  </si>
  <si>
    <t>WINSLOW GARDENS</t>
  </si>
  <si>
    <t xml:space="preserve">40 IRVING AVE </t>
  </si>
  <si>
    <t>EAST PROVIDENCE</t>
  </si>
  <si>
    <t>02914-2301</t>
  </si>
  <si>
    <t>(401) 438-4456</t>
  </si>
  <si>
    <t>JOHN L- GLEN RESIDENTIAL CENTER</t>
  </si>
  <si>
    <t xml:space="preserve">2016 28TH AVE N </t>
  </si>
  <si>
    <t>37208-1250</t>
  </si>
  <si>
    <t>(615) 259-4048</t>
  </si>
  <si>
    <t>MANOR MANAGEMENT</t>
  </si>
  <si>
    <t xml:space="preserve">100 TRIDENT PL </t>
  </si>
  <si>
    <t>37075-3489</t>
  </si>
  <si>
    <t>(503) 231-4922</t>
  </si>
  <si>
    <t>BASILICA PLACE</t>
  </si>
  <si>
    <t xml:space="preserve">124 W FRANKLIN ST OFC </t>
  </si>
  <si>
    <t>21201-6214</t>
  </si>
  <si>
    <t>(667) 600-3300</t>
  </si>
  <si>
    <t>OAK CREST RESIDENCE ASSOCIATION</t>
  </si>
  <si>
    <t xml:space="preserve">204 S STATE ST </t>
  </si>
  <si>
    <t>60123-6431</t>
  </si>
  <si>
    <t>(847) 742-2255</t>
  </si>
  <si>
    <t>MOUNTAIN TRACE TERRACE</t>
  </si>
  <si>
    <t xml:space="preserve">4654 S 16TH AVE </t>
  </si>
  <si>
    <t>520-882-2882</t>
  </si>
  <si>
    <t>KACHINA PLACE</t>
  </si>
  <si>
    <t xml:space="preserve">6238 N 63RD AVE </t>
  </si>
  <si>
    <t>623 842915</t>
  </si>
  <si>
    <t>DALLAS RETIREMENT VILLAGE</t>
  </si>
  <si>
    <t xml:space="preserve">377 NW JASPER </t>
  </si>
  <si>
    <t>503 623558</t>
  </si>
  <si>
    <t>KIRKLAND UNION MANOR III</t>
  </si>
  <si>
    <t xml:space="preserve">3530 SE 84TH AVE </t>
  </si>
  <si>
    <t>503.777.81</t>
  </si>
  <si>
    <t>TLC CLINIC</t>
  </si>
  <si>
    <t xml:space="preserve">15604 SW ROCK OF AGES RD </t>
  </si>
  <si>
    <t>503 472621</t>
  </si>
  <si>
    <t>MENARD MANOR</t>
  </si>
  <si>
    <t xml:space="preserve">100 GAY PO BOX 608 </t>
  </si>
  <si>
    <t>MENARD</t>
  </si>
  <si>
    <t>76859-0608</t>
  </si>
  <si>
    <t>(325) 396-4515</t>
  </si>
  <si>
    <t>INCARNATE WORD CONVENT</t>
  </si>
  <si>
    <t xml:space="preserve">1101 NE WATER ST </t>
  </si>
  <si>
    <t>VICTORIA</t>
  </si>
  <si>
    <t>77901-9233</t>
  </si>
  <si>
    <t>(210) 829-7561</t>
  </si>
  <si>
    <t>ST JOSEPH'S RESIDENCE INC</t>
  </si>
  <si>
    <t xml:space="preserve">330 W PEMBROKE AVE </t>
  </si>
  <si>
    <t>75208-6532</t>
  </si>
  <si>
    <t>(214) 948-3597</t>
  </si>
  <si>
    <t>FAIROAKS RETIREMENT APARTMENTS</t>
  </si>
  <si>
    <t xml:space="preserve">1950 LATTIMORE ST </t>
  </si>
  <si>
    <t>76209-4708</t>
  </si>
  <si>
    <t>(940) 891-1719</t>
  </si>
  <si>
    <t>PRESBYTERIAN COMMUNITIES OF SOUTH CAROLINA/MS</t>
  </si>
  <si>
    <t xml:space="preserve">2817 ASHLAND RD </t>
  </si>
  <si>
    <t>(803) 772-5885</t>
  </si>
  <si>
    <t>CJE HOWARD</t>
  </si>
  <si>
    <t xml:space="preserve">1015 HOWARD ST </t>
  </si>
  <si>
    <t>60202-3823</t>
  </si>
  <si>
    <t>(847) 492-1400</t>
  </si>
  <si>
    <t>RIVERSIDE SENIOR LIFE AT KANKAKEE</t>
  </si>
  <si>
    <t xml:space="preserve">100 WESTWOOD OAKS CT </t>
  </si>
  <si>
    <t>KANKAKEE</t>
  </si>
  <si>
    <t>60901-2957</t>
  </si>
  <si>
    <t>(815) 935-3273</t>
  </si>
  <si>
    <t>VILLAGE MANOR</t>
  </si>
  <si>
    <t xml:space="preserve">758 ARCH ST </t>
  </si>
  <si>
    <t>PITTSFORD</t>
  </si>
  <si>
    <t>05763-9803</t>
  </si>
  <si>
    <t>(802) 483-9312</t>
  </si>
  <si>
    <t>HEINEBERG SENIOR HOUSING</t>
  </si>
  <si>
    <t xml:space="preserve">72 HEINEBERG RD </t>
  </si>
  <si>
    <t>05408-2555</t>
  </si>
  <si>
    <t>(802) 658-6091</t>
  </si>
  <si>
    <t>MASONIC RETIREMENT CENTER</t>
  </si>
  <si>
    <t xml:space="preserve">23660 MARINE VIEW DR S </t>
  </si>
  <si>
    <t>ROCKWOOD AT HAWTHORNE</t>
  </si>
  <si>
    <t xml:space="preserve">101 E HAWTHORNE RD </t>
  </si>
  <si>
    <t>509 466041</t>
  </si>
  <si>
    <t>EAST VALLEY CROSSING</t>
  </si>
  <si>
    <t xml:space="preserve">16010 E VALLEYWAY AVE </t>
  </si>
  <si>
    <t>509 893221</t>
  </si>
  <si>
    <t>TERWILLIGER PLAZA INC</t>
  </si>
  <si>
    <t xml:space="preserve">2545 SW TERWILLIGER BLVD </t>
  </si>
  <si>
    <t>503 299491</t>
  </si>
  <si>
    <t>ODESSA MEMORIAL HEALTHCARE CENTER</t>
  </si>
  <si>
    <t xml:space="preserve">502 E AMENDE DR </t>
  </si>
  <si>
    <t>509 982261</t>
  </si>
  <si>
    <t>TSCHIRLEY II SENIOR HOUSING</t>
  </si>
  <si>
    <t xml:space="preserve">107 S TSCHIRLEY RD </t>
  </si>
  <si>
    <t>RIVERWEST</t>
  </si>
  <si>
    <t xml:space="preserve">900 N WESTERN AVE </t>
  </si>
  <si>
    <t>WENATCHEE</t>
  </si>
  <si>
    <t>509 662279</t>
  </si>
  <si>
    <t>WILLOW VALLEY MANOR NORTH</t>
  </si>
  <si>
    <t xml:space="preserve">600 WILLOW VALLEY SQ </t>
  </si>
  <si>
    <t>17602-4866</t>
  </si>
  <si>
    <t>(717) 464-6000</t>
  </si>
  <si>
    <t xml:space="preserve">100 WILLOW VALLEY LAKES DR </t>
  </si>
  <si>
    <t>WILLOW VALLEY MANOR</t>
  </si>
  <si>
    <t xml:space="preserve">211 WILLOW VALLEY SQ </t>
  </si>
  <si>
    <t>(717) 464-5478</t>
  </si>
  <si>
    <t>ST BARTS CENTER</t>
  </si>
  <si>
    <t xml:space="preserve">5364 JACKSON ST </t>
  </si>
  <si>
    <t>19124-1565</t>
  </si>
  <si>
    <t>ST ANNE'S RETIREMENT COMMUNITY - PA</t>
  </si>
  <si>
    <t xml:space="preserve">3952 COLUMBIA AVE </t>
  </si>
  <si>
    <t>17512-9702</t>
  </si>
  <si>
    <t>(717) 285-5443</t>
  </si>
  <si>
    <t>WESTMINSTER WOODS ON JULINGTON CREEK</t>
  </si>
  <si>
    <t xml:space="preserve">25 STATE ROAD 13 STE 13 </t>
  </si>
  <si>
    <t>SAINT JOHNS</t>
  </si>
  <si>
    <t>32259-2842</t>
  </si>
  <si>
    <t>(904) 287-7300</t>
  </si>
  <si>
    <t xml:space="preserve">902 N MAIN ST </t>
  </si>
  <si>
    <t>BLUE SKIES OF TEXAS</t>
  </si>
  <si>
    <t>78245-3502</t>
  </si>
  <si>
    <t>LIVITUP INC</t>
  </si>
  <si>
    <t xml:space="preserve">4189 LEROY AVE </t>
  </si>
  <si>
    <t>38108-3604</t>
  </si>
  <si>
    <t>HICKORY HOLLOW SENIOR APARTMENTS</t>
  </si>
  <si>
    <t xml:space="preserve">3930 ALLENBROOKE CV </t>
  </si>
  <si>
    <t>38118-1878</t>
  </si>
  <si>
    <t>ASBURY METHODIST VILLAGE</t>
  </si>
  <si>
    <t xml:space="preserve">201 RUSSELL AVE </t>
  </si>
  <si>
    <t>20877-2800</t>
  </si>
  <si>
    <t>(301) 216-4001</t>
  </si>
  <si>
    <t>PARKVIEW HOME</t>
  </si>
  <si>
    <t xml:space="preserve">1234 S PARK BLVD </t>
  </si>
  <si>
    <t>61032-4602</t>
  </si>
  <si>
    <t>(815) 232-8612</t>
  </si>
  <si>
    <t>INTERCOMMUNITY RETIREMENT NETWORK-FOR RELIGIO</t>
  </si>
  <si>
    <t xml:space="preserve">1515 W OGDEN AVE </t>
  </si>
  <si>
    <t>60526-1721</t>
  </si>
  <si>
    <t>(708) 579-2658</t>
  </si>
  <si>
    <t>PROVIDENCE AT HOME</t>
  </si>
  <si>
    <t>708 331040</t>
  </si>
  <si>
    <t>COMMUNITY SERVICE</t>
  </si>
  <si>
    <t xml:space="preserve">228 W LEXINGTON ST </t>
  </si>
  <si>
    <t>SENIOR HOUSING</t>
  </si>
  <si>
    <t>(443) 798-3418</t>
  </si>
  <si>
    <t>ST PAULS HOUSE</t>
  </si>
  <si>
    <t xml:space="preserve">3800 N CALIFORNIA AVE </t>
  </si>
  <si>
    <t>60618-3606</t>
  </si>
  <si>
    <t>(773) 478-4222</t>
  </si>
  <si>
    <t>PORTAGE CRAGIN COUNSELING CENTER</t>
  </si>
  <si>
    <t xml:space="preserve">4840 W BYRON ST </t>
  </si>
  <si>
    <t>BUCKNER VILLAS</t>
  </si>
  <si>
    <t xml:space="preserve">11110 TOM ADAMS DR </t>
  </si>
  <si>
    <t>512 836151</t>
  </si>
  <si>
    <t>PRESBYTERIAN COMMUNITIES OF SC/SUMMERVILLE</t>
  </si>
  <si>
    <t xml:space="preserve">201 W 9TH NORTH ST CMR BOX 140 </t>
  </si>
  <si>
    <t>SUMMERVILLE</t>
  </si>
  <si>
    <t>29483-6721</t>
  </si>
  <si>
    <t>(843) 873-2550</t>
  </si>
  <si>
    <t>TOCKWOTTON HOME</t>
  </si>
  <si>
    <t xml:space="preserve">75 EAST ST </t>
  </si>
  <si>
    <t>02903-4472</t>
  </si>
  <si>
    <t>(401) 272-5280</t>
  </si>
  <si>
    <t>SAINT ELIZABETH PLACE</t>
  </si>
  <si>
    <t xml:space="preserve">700 WESTMINSTER ST </t>
  </si>
  <si>
    <t>02903-4066</t>
  </si>
  <si>
    <t>(401) 273-1090</t>
  </si>
  <si>
    <t>WESLEY HILLS</t>
  </si>
  <si>
    <t xml:space="preserve">700 BOWER HILL RD </t>
  </si>
  <si>
    <t>15243-2040</t>
  </si>
  <si>
    <t>WESLEY ENHANCED LIVING</t>
  </si>
  <si>
    <t xml:space="preserve">101 E COUNTY LINE RD STE 200 </t>
  </si>
  <si>
    <t>HATBORO</t>
  </si>
  <si>
    <t>18901-5219</t>
  </si>
  <si>
    <t>(267) 895-1100</t>
  </si>
  <si>
    <t>UNITARIAN UNIVERSALIST HOUSE</t>
  </si>
  <si>
    <t xml:space="preserve">224 W TULPEHOCKEN ST </t>
  </si>
  <si>
    <t>19144-3210</t>
  </si>
  <si>
    <t xml:space="preserve">919 FAWCETT AVE </t>
  </si>
  <si>
    <t>ROCKCOVE</t>
  </si>
  <si>
    <t xml:space="preserve">986 NW ROCK CREEK DR </t>
  </si>
  <si>
    <t>STEVENSON</t>
  </si>
  <si>
    <t>509 427727</t>
  </si>
  <si>
    <t>RUGGLES HOUSE</t>
  </si>
  <si>
    <t xml:space="preserve">262 S PROSPECT ST </t>
  </si>
  <si>
    <t>05401-3563</t>
  </si>
  <si>
    <t>(802) 859-8862</t>
  </si>
  <si>
    <t>VIRGINIA ASSOCIATION FOR NON PROFIT HOMES FOR</t>
  </si>
  <si>
    <t xml:space="preserve">4201 DOMINIAN BLVD STE 100 </t>
  </si>
  <si>
    <t>804 965550</t>
  </si>
  <si>
    <t>COUNTY OF FREDERICK</t>
  </si>
  <si>
    <t xml:space="preserve">12 E CHURCH ST </t>
  </si>
  <si>
    <t>21701-5402</t>
  </si>
  <si>
    <t>ABINGDON</t>
  </si>
  <si>
    <t xml:space="preserve">3001 ST CLAIR DR </t>
  </si>
  <si>
    <t>21009-3225</t>
  </si>
  <si>
    <t>410-273-0915</t>
  </si>
  <si>
    <t>WILLAMETTE VIEW</t>
  </si>
  <si>
    <t xml:space="preserve">13021 SE RIVER RD STE 1000 </t>
  </si>
  <si>
    <t>503 652623</t>
  </si>
  <si>
    <t>ROCK OF AGES MENNONITE HOME</t>
  </si>
  <si>
    <t xml:space="preserve">15600 SW ROCK OF AGES RD </t>
  </si>
  <si>
    <t>PACIFIC RETIREMENT SERVICES</t>
  </si>
  <si>
    <t xml:space="preserve">1 W MAIN ST STE 303 </t>
  </si>
  <si>
    <t>541 857765</t>
  </si>
  <si>
    <t>OAK GROVE RETIREMENT CENTER</t>
  </si>
  <si>
    <t xml:space="preserve">2403 NW EDENBOWER BLVD </t>
  </si>
  <si>
    <t>541 673383</t>
  </si>
  <si>
    <t>ELM CREST SENIOR LIVING COMMUNITY</t>
  </si>
  <si>
    <t xml:space="preserve">2104 12TH ST </t>
  </si>
  <si>
    <t>HARLAN</t>
  </si>
  <si>
    <t>(712) 755-5174</t>
  </si>
  <si>
    <t>FOUR WINDS - ST ALBANS</t>
  </si>
  <si>
    <t xml:space="preserve">412 FARRELL ST </t>
  </si>
  <si>
    <t>05403-4463</t>
  </si>
  <si>
    <t>(802) 863-2224</t>
  </si>
  <si>
    <t>FARRELL STREET SENIOR HOUSING</t>
  </si>
  <si>
    <t xml:space="preserve">412 FARRELL ST STE 101 </t>
  </si>
  <si>
    <t xml:space="preserve">2710 AVENUE J </t>
  </si>
  <si>
    <t>76105-3041</t>
  </si>
  <si>
    <t>KINGSTON NURSING CENTER</t>
  </si>
  <si>
    <t xml:space="preserve">2379 CYPRESS CIR </t>
  </si>
  <si>
    <t>29526-8921</t>
  </si>
  <si>
    <t>(843) 347-8179</t>
  </si>
  <si>
    <t>PRESBYTERIAN COMMUNITIES OF SC/COLUMBIA</t>
  </si>
  <si>
    <t xml:space="preserve">700 DAVEGA DR </t>
  </si>
  <si>
    <t>29073-9698</t>
  </si>
  <si>
    <t>(803) 796-8700</t>
  </si>
  <si>
    <t>PRESBYTERIAN COMMUNITIES OF SC/CLINTON</t>
  </si>
  <si>
    <t xml:space="preserve">801 MUSGROVE ST </t>
  </si>
  <si>
    <t>29325-1752</t>
  </si>
  <si>
    <t>(864) 833-5190</t>
  </si>
  <si>
    <t>BUCKNER RETIREMENT VILLAGE</t>
  </si>
  <si>
    <t xml:space="preserve">4800 SAMUEL BLVD </t>
  </si>
  <si>
    <t>75228-6875</t>
  </si>
  <si>
    <t>(214) 381-2171</t>
  </si>
  <si>
    <t>PENDLETON MANOR</t>
  </si>
  <si>
    <t xml:space="preserve">414 SUMMIT DR </t>
  </si>
  <si>
    <t>29609-4821</t>
  </si>
  <si>
    <t>SHALOM APARTMENTS 1</t>
  </si>
  <si>
    <t xml:space="preserve">1 SHALOM DR </t>
  </si>
  <si>
    <t>02886-1642</t>
  </si>
  <si>
    <t>(401) 738-4414</t>
  </si>
  <si>
    <t>VILLA ESPERANZA</t>
  </si>
  <si>
    <t xml:space="preserve">ADMINISTRATION BOX 111 ST- 35 BLOQ </t>
  </si>
  <si>
    <t>CAROLINA</t>
  </si>
  <si>
    <t>00983-2993</t>
  </si>
  <si>
    <t>(787) 768-3015</t>
  </si>
  <si>
    <t>SANTIAGO FAJARDO VILLAGE</t>
  </si>
  <si>
    <t xml:space="preserve">1 CALLE 5-1 </t>
  </si>
  <si>
    <t>FAJARDO</t>
  </si>
  <si>
    <t>00738-3050</t>
  </si>
  <si>
    <t>(787) 863-0640</t>
  </si>
  <si>
    <t>VALUE FIRST - OSCEOLA COUNCIL ON AGING</t>
  </si>
  <si>
    <t xml:space="preserve">700 GENERATION POINT </t>
  </si>
  <si>
    <t>407-846-8532</t>
  </si>
  <si>
    <t>WESTMINSTER INGLESIDE GROUP</t>
  </si>
  <si>
    <t>ST CHARLES HOUSE</t>
  </si>
  <si>
    <t xml:space="preserve">11 CHURCH LN </t>
  </si>
  <si>
    <t>21208-6607</t>
  </si>
  <si>
    <t>(410) 484-6125</t>
  </si>
  <si>
    <t>ST JOHNS HOME &amp; COMMUNITY CARE</t>
  </si>
  <si>
    <t xml:space="preserve">222 GOETHE AVE </t>
  </si>
  <si>
    <t>62234-3306</t>
  </si>
  <si>
    <t>(618) 344-5008</t>
  </si>
  <si>
    <t>PETER BECKER COMMUNITY</t>
  </si>
  <si>
    <t xml:space="preserve">800 MAPLE AVE </t>
  </si>
  <si>
    <t>HARLEYSVILLE</t>
  </si>
  <si>
    <t>19438-1032</t>
  </si>
  <si>
    <t>(215) 256-9501</t>
  </si>
  <si>
    <t>PAULS RUN RETIREMENT COMMUNITY</t>
  </si>
  <si>
    <t xml:space="preserve">9896 BUSTLETON AVE </t>
  </si>
  <si>
    <t>19115-5202</t>
  </si>
  <si>
    <t>(215) 934-3000</t>
  </si>
  <si>
    <t>LEADINGAGE PA</t>
  </si>
  <si>
    <t xml:space="preserve">1100 BENT CREEK BLVD </t>
  </si>
  <si>
    <t>MECHANICSBURG</t>
  </si>
  <si>
    <t>17050-1872</t>
  </si>
  <si>
    <t>(717) 763-5724</t>
  </si>
  <si>
    <t>ETNA COMMONS</t>
  </si>
  <si>
    <t xml:space="preserve">21 HICKORY ST </t>
  </si>
  <si>
    <t>CALVARY FELLOWSHIP HOMES RETIREMENT COMMUNITY</t>
  </si>
  <si>
    <t xml:space="preserve">502 ELIZABETH DR </t>
  </si>
  <si>
    <t>17601-4406</t>
  </si>
  <si>
    <t>(717) 393-0711</t>
  </si>
  <si>
    <t>ADULT CARE OF CHESTER COUNTY INC</t>
  </si>
  <si>
    <t xml:space="preserve">201 SHARP LN </t>
  </si>
  <si>
    <t>EXTON</t>
  </si>
  <si>
    <t>19341-1402</t>
  </si>
  <si>
    <t>(610) 363-8044</t>
  </si>
  <si>
    <t>STAPELEY IN GERMANTOWN</t>
  </si>
  <si>
    <t xml:space="preserve">6300 GREENE ST </t>
  </si>
  <si>
    <t>19144-2510</t>
  </si>
  <si>
    <t>(215) 844-0700</t>
  </si>
  <si>
    <t>SAINT JOHN XXIII HOME</t>
  </si>
  <si>
    <t xml:space="preserve">2250 SHENANGO FREEWAY </t>
  </si>
  <si>
    <t>HERMITAGE</t>
  </si>
  <si>
    <t>(724) 981-3200</t>
  </si>
  <si>
    <t>ROOSEVELT PACE</t>
  </si>
  <si>
    <t xml:space="preserve">6595 ROOSEVELT BLVD </t>
  </si>
  <si>
    <t>19149-2918</t>
  </si>
  <si>
    <t>QUARRYVILLE PRESBYTERIAN RETIREMENT COMMUNITY</t>
  </si>
  <si>
    <t xml:space="preserve">625 ROBERT FULTON HWY </t>
  </si>
  <si>
    <t>QUARRYVILLE</t>
  </si>
  <si>
    <t>17566-1400</t>
  </si>
  <si>
    <t>(717) 786-7321</t>
  </si>
  <si>
    <t>ORCHARD MANOR - GROVE CITY - PA</t>
  </si>
  <si>
    <t xml:space="preserve">20 ORCHARD DR </t>
  </si>
  <si>
    <t>GROVE CITY</t>
  </si>
  <si>
    <t>16127-6328</t>
  </si>
  <si>
    <t>(724) 458-7760</t>
  </si>
  <si>
    <t>LAUREL CREST RETIREMENT COMMUNITY</t>
  </si>
  <si>
    <t xml:space="preserve">100 JOSEPH WALKER DR </t>
  </si>
  <si>
    <t>29169-6939</t>
  </si>
  <si>
    <t>(803) 796-0370</t>
  </si>
  <si>
    <t>ROSECREST</t>
  </si>
  <si>
    <t xml:space="preserve">200 FORTRESS DR </t>
  </si>
  <si>
    <t>INMAN</t>
  </si>
  <si>
    <t>29349-9160</t>
  </si>
  <si>
    <t>(864) 583-2112</t>
  </si>
  <si>
    <t>LOWMAN HOME (THE)</t>
  </si>
  <si>
    <t xml:space="preserve">201 FORTRESS DR </t>
  </si>
  <si>
    <t>WHITE ROCK</t>
  </si>
  <si>
    <t>29177-0444</t>
  </si>
  <si>
    <t>(803) 732-3000</t>
  </si>
  <si>
    <t>FRANKE @ SEASIDE</t>
  </si>
  <si>
    <t xml:space="preserve">1885 RIFLE RANGE RD </t>
  </si>
  <si>
    <t>29464-9440</t>
  </si>
  <si>
    <t>(843) 856-4700</t>
  </si>
  <si>
    <t>VILLAGE (THE)</t>
  </si>
  <si>
    <t xml:space="preserve">985 RTE 28 </t>
  </si>
  <si>
    <t>BROOKVILLE</t>
  </si>
  <si>
    <t>VALLEY NURSING &amp; REHAB CTR DBA MOSSER NURSING HOME</t>
  </si>
  <si>
    <t xml:space="preserve">1175 MOSSER RD </t>
  </si>
  <si>
    <t>TREXLERTOWN</t>
  </si>
  <si>
    <t>18087-9650</t>
  </si>
  <si>
    <t>PARK GABLES</t>
  </si>
  <si>
    <t xml:space="preserve">1491 VIRGINIA AVE- </t>
  </si>
  <si>
    <t>540 564340</t>
  </si>
  <si>
    <t>LAKE PRINCE CENTER</t>
  </si>
  <si>
    <t xml:space="preserve">100 ANNA GOODE WAY </t>
  </si>
  <si>
    <t>757 923550</t>
  </si>
  <si>
    <t>WESBURY UNITED METHODIST COMMUNITY</t>
  </si>
  <si>
    <t xml:space="preserve">31 PARK AVE </t>
  </si>
  <si>
    <t>16335-9440</t>
  </si>
  <si>
    <t>(814) 332-9000</t>
  </si>
  <si>
    <t>UNITED METHODIST SERVICES FOR THE AGING</t>
  </si>
  <si>
    <t>TEL HAI RETIREMENT COMMUNITY</t>
  </si>
  <si>
    <t xml:space="preserve">BEAVER DAM RD </t>
  </si>
  <si>
    <t>HONEY BROOK</t>
  </si>
  <si>
    <t>(610) 273-9333</t>
  </si>
  <si>
    <t>HORIZON HEALTH AND REHAB</t>
  </si>
  <si>
    <t xml:space="preserve">811 KEYLON ST </t>
  </si>
  <si>
    <t>37355-2413</t>
  </si>
  <si>
    <t>WESTMINSTER TOWERS</t>
  </si>
  <si>
    <t xml:space="preserve">1330 INDIA HOOK RD </t>
  </si>
  <si>
    <t>29732-2412</t>
  </si>
  <si>
    <t>(803) 328-5000</t>
  </si>
  <si>
    <t>SAINT ELIZABETH COMMUNITY</t>
  </si>
  <si>
    <t xml:space="preserve">1 SAINT ELIZABETHS WAY </t>
  </si>
  <si>
    <t>EAST GREENWICH</t>
  </si>
  <si>
    <t>02818-2163</t>
  </si>
  <si>
    <t>(401) 773-7400</t>
  </si>
  <si>
    <t>UPPER PERKIOMEN MANOR</t>
  </si>
  <si>
    <t xml:space="preserve">107 E 5TH ST </t>
  </si>
  <si>
    <t>RED HILL</t>
  </si>
  <si>
    <t>18076-1233</t>
  </si>
  <si>
    <t>(215) 679-7408</t>
  </si>
  <si>
    <t>THE GLEN AT WILLOW VALLEY</t>
  </si>
  <si>
    <t xml:space="preserve">675 WILLOW VALLEY SQ </t>
  </si>
  <si>
    <t>(717) 464-6135</t>
  </si>
  <si>
    <t>SPRING RUN AT WILLOW VALLEY</t>
  </si>
  <si>
    <t xml:space="preserve">950 WILLOW VALLEY LAKES DR </t>
  </si>
  <si>
    <t>(717) 464-2741</t>
  </si>
  <si>
    <t>ST ANDREW LIFE CENTER</t>
  </si>
  <si>
    <t xml:space="preserve">7000 N NEWARK AVE </t>
  </si>
  <si>
    <t>60714-4577</t>
  </si>
  <si>
    <t>(847) 647-8332</t>
  </si>
  <si>
    <t>BST SENIOR LIVING EAST INC.</t>
  </si>
  <si>
    <t>(210) 673-2761</t>
  </si>
  <si>
    <t>VILLA MARIA MANOR</t>
  </si>
  <si>
    <t xml:space="preserve">32 WHITE BRIDGE RD </t>
  </si>
  <si>
    <t>37205-1442</t>
  </si>
  <si>
    <t>(615) 352-3084</t>
  </si>
  <si>
    <t>LEADING AGE TENNESSEE</t>
  </si>
  <si>
    <t xml:space="preserve">525 N WOODDALE RD </t>
  </si>
  <si>
    <t>37924-2916</t>
  </si>
  <si>
    <t>(615) 970-7269</t>
  </si>
  <si>
    <t>BRISTOL NURSING HOME</t>
  </si>
  <si>
    <t xml:space="preserve">2020 NORTHPARK DR STE 2D </t>
  </si>
  <si>
    <t>35244-2365</t>
  </si>
  <si>
    <t>CONVALESCE CARE CTR</t>
  </si>
  <si>
    <t xml:space="preserve">620 FALLSWAY FL 3 </t>
  </si>
  <si>
    <t>21202-4117</t>
  </si>
  <si>
    <t>(443) 986-9000</t>
  </si>
  <si>
    <t>CJE - SWARTZBERG HOUSE</t>
  </si>
  <si>
    <t xml:space="preserve">3101 W TOUHY AVE </t>
  </si>
  <si>
    <t>60645-2801</t>
  </si>
  <si>
    <t>(773) 262-3113</t>
  </si>
  <si>
    <t>APOSTOLIC CHRISTIAN HOME - ROANOKE</t>
  </si>
  <si>
    <t xml:space="preserve">1102 W RANDOLPH ST </t>
  </si>
  <si>
    <t>61561-7528</t>
  </si>
  <si>
    <t>BUCKNER WESTMINSTER PLACE</t>
  </si>
  <si>
    <t xml:space="preserve">2201 HORSESHOE LN </t>
  </si>
  <si>
    <t>LONGVIEW</t>
  </si>
  <si>
    <t>903 234000</t>
  </si>
  <si>
    <t>BST HEALTH SERVICES CORP</t>
  </si>
  <si>
    <t xml:space="preserve">4949 RAVENSWOOD DR </t>
  </si>
  <si>
    <t>78227-4320</t>
  </si>
  <si>
    <t>(210) 673-0325</t>
  </si>
  <si>
    <t>TOWN MEADOWS - ESSEX</t>
  </si>
  <si>
    <t>SUMMER HILL AT STONY POINT</t>
  </si>
  <si>
    <t xml:space="preserve">9250 FOREST HILL AVENUE </t>
  </si>
  <si>
    <t>804 320831</t>
  </si>
  <si>
    <t xml:space="preserve">4700 S RIVERSIDE DR </t>
  </si>
  <si>
    <t>76119-5523</t>
  </si>
  <si>
    <t>TRANS-CENTURY RESOURCES</t>
  </si>
  <si>
    <t xml:space="preserve">12345 N LAMAR BLVD STE 125 </t>
  </si>
  <si>
    <t>78753-1305</t>
  </si>
  <si>
    <t>(512) 345-0280</t>
  </si>
  <si>
    <t>THE MANOR HEALTHCARE</t>
  </si>
  <si>
    <t xml:space="preserve">2201 ST. CLOUD ST </t>
  </si>
  <si>
    <t>ASBURY PLACE AT KINGSPORT-STEADMAN HILL-</t>
  </si>
  <si>
    <t xml:space="preserve">1300 BLOOMINGDALE PIKE </t>
  </si>
  <si>
    <t>(423) 245-0360</t>
  </si>
  <si>
    <t>ASBURY PLACE AT JOHNSON CITY</t>
  </si>
  <si>
    <t xml:space="preserve">505 N ROAN ST </t>
  </si>
  <si>
    <t>37601-4740</t>
  </si>
  <si>
    <t>(423) 975-2000</t>
  </si>
  <si>
    <t>RICHMOND TERRACE</t>
  </si>
  <si>
    <t xml:space="preserve">220 THOMPSON RD </t>
  </si>
  <si>
    <t>05477-9487</t>
  </si>
  <si>
    <t>(802) 434-6030</t>
  </si>
  <si>
    <t>WOODLAND HOME FOR ADULTS</t>
  </si>
  <si>
    <t xml:space="preserve">1301 VIRGINIA AVE </t>
  </si>
  <si>
    <t>INNOVAGE - NEWPORT NEWS CENTER</t>
  </si>
  <si>
    <t xml:space="preserve">435 ORIANA RD </t>
  </si>
  <si>
    <t>TREZEVANT EPISCOPAL HOME/ALLEN MORGAN HEALTH CENTER</t>
  </si>
  <si>
    <t xml:space="preserve">177 N HIGHLAND ST </t>
  </si>
  <si>
    <t>38111-4747</t>
  </si>
  <si>
    <t>(901) 325-4000</t>
  </si>
  <si>
    <t>PARKVIEW INDEPENDENT LIVING LLC</t>
  </si>
  <si>
    <t xml:space="preserve">1413 W BROADWAY AVE </t>
  </si>
  <si>
    <t>37801-3137</t>
  </si>
  <si>
    <t>HERITAGE OF IRENE WOODS</t>
  </si>
  <si>
    <t xml:space="preserve">4580 FOREST HILL IRENE RD </t>
  </si>
  <si>
    <t>38125-3799</t>
  </si>
  <si>
    <t>DOMINION SENIOR LIVING</t>
  </si>
  <si>
    <t xml:space="preserve">2250 SUTHERLAND AVE </t>
  </si>
  <si>
    <t>37919-2332</t>
  </si>
  <si>
    <t>(865) 310-1916</t>
  </si>
  <si>
    <t>SEABROOK OF HILTON HEAD INC</t>
  </si>
  <si>
    <t xml:space="preserve">300 WOODHAVEN DR </t>
  </si>
  <si>
    <t>29928-7511</t>
  </si>
  <si>
    <t>(843) 842-3747</t>
  </si>
  <si>
    <t>MAGNOLIAS OF SUMMERVILLE</t>
  </si>
  <si>
    <t xml:space="preserve">335 MIDLAND PKWY </t>
  </si>
  <si>
    <t>29485-8138</t>
  </si>
  <si>
    <t>US MEMORY CARE LLC</t>
  </si>
  <si>
    <t xml:space="preserve">14881 QUORUM DR STE 250 </t>
  </si>
  <si>
    <t>75254-6902</t>
  </si>
  <si>
    <t>TALLEY HOUSE</t>
  </si>
  <si>
    <t xml:space="preserve">440 HOUSTON HARTE </t>
  </si>
  <si>
    <t>MCKENDREE ARBORS AT SPRINGFIELD</t>
  </si>
  <si>
    <t xml:space="preserve">1103 5TH AVE W </t>
  </si>
  <si>
    <t>37172-3405</t>
  </si>
  <si>
    <t>(615) 212-0700</t>
  </si>
  <si>
    <t>WOODLANDS AT FURMAN (THE)</t>
  </si>
  <si>
    <t xml:space="preserve">1500 TRAILHEAD CT </t>
  </si>
  <si>
    <t>29617-6226</t>
  </si>
  <si>
    <t>(864) 371-3100</t>
  </si>
  <si>
    <t>RICE ESTATE</t>
  </si>
  <si>
    <t xml:space="preserve">100 FINLEY RD </t>
  </si>
  <si>
    <t>29203-9264</t>
  </si>
  <si>
    <t>THE CAROLINIAN</t>
  </si>
  <si>
    <t xml:space="preserve">718 S DARGAN ST </t>
  </si>
  <si>
    <t>FLORENCE</t>
  </si>
  <si>
    <t>29506-2561</t>
  </si>
  <si>
    <t>(843) 665-9314</t>
  </si>
  <si>
    <t>PSL NAPLES BH OPERATIONS LLC</t>
  </si>
  <si>
    <t xml:space="preserve">8214 WESTCHESTER DR STE 600 </t>
  </si>
  <si>
    <t>75225-6112</t>
  </si>
  <si>
    <t>NEW LIFE RTC</t>
  </si>
  <si>
    <t xml:space="preserve">650 SCARBOUROUGH </t>
  </si>
  <si>
    <t>CANYON LAKE</t>
  </si>
  <si>
    <t>78133-4529</t>
  </si>
  <si>
    <t>BLENHEIM - NEWPORT</t>
  </si>
  <si>
    <t xml:space="preserve">303 VALLEY RD </t>
  </si>
  <si>
    <t>MIDDLETOWN</t>
  </si>
  <si>
    <t>(401) 849-0031</t>
  </si>
  <si>
    <t>BETHANY HOME FOUNDATION INC THE--MEDWAY PLACE</t>
  </si>
  <si>
    <t xml:space="preserve">229 MEDWAY ST </t>
  </si>
  <si>
    <t>02906-5300</t>
  </si>
  <si>
    <t>(401) 751-3582</t>
  </si>
  <si>
    <t>WESLEY ENHANCED LIVING PENNYPACK PARK</t>
  </si>
  <si>
    <t xml:space="preserve">8401 ROOSEVELT BLVD </t>
  </si>
  <si>
    <t>(215) 624-5800</t>
  </si>
  <si>
    <t>ST. JOSEPH VILLA</t>
  </si>
  <si>
    <t xml:space="preserve">110 W WISSAHICKON AVE </t>
  </si>
  <si>
    <t>19031-1802</t>
  </si>
  <si>
    <t>(215) 836-4179</t>
  </si>
  <si>
    <t>SHELBOURNE HEALTHCARE DEVELOPMENT</t>
  </si>
  <si>
    <t xml:space="preserve">595 E LANCASTER AVE STE 300 </t>
  </si>
  <si>
    <t>RADNOR</t>
  </si>
  <si>
    <t>19087-5146</t>
  </si>
  <si>
    <t>SAINT JOSEPH APARTMENTS HANDS</t>
  </si>
  <si>
    <t xml:space="preserve">502 E 12TH ST </t>
  </si>
  <si>
    <t>16503-1342</t>
  </si>
  <si>
    <t>(814) 459-1047</t>
  </si>
  <si>
    <t>REDEEMER VILLAGE II</t>
  </si>
  <si>
    <t xml:space="preserve">521 MOREDON RD </t>
  </si>
  <si>
    <t>HUNTINGDON VALLEY</t>
  </si>
  <si>
    <t>19006-7705</t>
  </si>
  <si>
    <t>NEUMANN</t>
  </si>
  <si>
    <t xml:space="preserve">1601 PALMER ST </t>
  </si>
  <si>
    <t>LUTHERAN HOME AT KANE</t>
  </si>
  <si>
    <t xml:space="preserve">100 HIGH POINT DR </t>
  </si>
  <si>
    <t>KANE</t>
  </si>
  <si>
    <t>16735-9704</t>
  </si>
  <si>
    <t>(814) 837-6706</t>
  </si>
  <si>
    <t>WHITE HORSE VILLAGE</t>
  </si>
  <si>
    <t xml:space="preserve">535 GRADYVILLE RD </t>
  </si>
  <si>
    <t>NEWTOWN SQUARE</t>
  </si>
  <si>
    <t>19073-2815</t>
  </si>
  <si>
    <t>(610) 558-5000</t>
  </si>
  <si>
    <t>THREE CATHEDRAL SQUARE</t>
  </si>
  <si>
    <t>MONROE PLACE</t>
  </si>
  <si>
    <t xml:space="preserve">29 N CHAMPLAIN ST </t>
  </si>
  <si>
    <t>05401-7308</t>
  </si>
  <si>
    <t>802-865-4158</t>
  </si>
  <si>
    <t>WESLEYAN RETIREMENT HOME - ESTRELLA INDEPENTA</t>
  </si>
  <si>
    <t xml:space="preserve">139 ESTRELLA XING </t>
  </si>
  <si>
    <t>78628-7055</t>
  </si>
  <si>
    <t>(512) 863-2528</t>
  </si>
  <si>
    <t>COVENANT TOWERS</t>
  </si>
  <si>
    <t xml:space="preserve">5001 LITTLE RIVER RD </t>
  </si>
  <si>
    <t>29577-2478</t>
  </si>
  <si>
    <t>(843) 449-2484</t>
  </si>
  <si>
    <t>PRESBYTERIAN COMMUNITIES OF SC/FLORENCE</t>
  </si>
  <si>
    <t xml:space="preserve">2350 W LUCAS ST </t>
  </si>
  <si>
    <t>29501-1208</t>
  </si>
  <si>
    <t>(843) 665-2222</t>
  </si>
  <si>
    <t>COVENANT PLACE</t>
  </si>
  <si>
    <t xml:space="preserve">2825 CARTER RD </t>
  </si>
  <si>
    <t>29150-1712</t>
  </si>
  <si>
    <t>(803) 469-7007</t>
  </si>
  <si>
    <t>FINLAY HOUSE</t>
  </si>
  <si>
    <t xml:space="preserve">2100 BLOSSOM ST </t>
  </si>
  <si>
    <t>29205-2248</t>
  </si>
  <si>
    <t>(803) 799-6524</t>
  </si>
  <si>
    <t>PICKERING MANOR HOME</t>
  </si>
  <si>
    <t xml:space="preserve">226 N LINCOLN AVE </t>
  </si>
  <si>
    <t>18940-2216</t>
  </si>
  <si>
    <t>(215) 968-3878</t>
  </si>
  <si>
    <t>BRADFORD ECUMENICAL HOME</t>
  </si>
  <si>
    <t xml:space="preserve">100 SAINT FRANCIS DR </t>
  </si>
  <si>
    <t>BRADFORD</t>
  </si>
  <si>
    <t>16701-1868</t>
  </si>
  <si>
    <t>(814) 368-5648</t>
  </si>
  <si>
    <t>BENCHMARK THERAPIES</t>
  </si>
  <si>
    <t xml:space="preserve">403 6TH ST </t>
  </si>
  <si>
    <t>16652-1518</t>
  </si>
  <si>
    <t>ARBUTUS PARK RETIREMENT COMMUNITY</t>
  </si>
  <si>
    <t xml:space="preserve">207 OTTAWA ST </t>
  </si>
  <si>
    <t>JOHNSTOWN</t>
  </si>
  <si>
    <t>15904-2337</t>
  </si>
  <si>
    <t>(814) 266-8621</t>
  </si>
  <si>
    <t>ARBOR VIEW AT WILLOW VALLEY</t>
  </si>
  <si>
    <t xml:space="preserve">71 LOCUST LANE DOCK A </t>
  </si>
  <si>
    <t>UNITED METHODIST ELDER CARE</t>
  </si>
  <si>
    <t>WILLOW VALLEY RETIREMENT COMMUNITIES</t>
  </si>
  <si>
    <t>WESLEY ENHANCED LIVING DOYLESTOWN</t>
  </si>
  <si>
    <t xml:space="preserve">200 VETERANS LN </t>
  </si>
  <si>
    <t>DOYLESTOWN</t>
  </si>
  <si>
    <t>18901-6716</t>
  </si>
  <si>
    <t>(215) 345-4300</t>
  </si>
  <si>
    <t>VOLUNTEERS OF AMERICA OK</t>
  </si>
  <si>
    <t xml:space="preserve">1660 DUKE ST </t>
  </si>
  <si>
    <t>ALEXANDRIA</t>
  </si>
  <si>
    <t>703 341500</t>
  </si>
  <si>
    <t>TEJAS MINISTRIES</t>
  </si>
  <si>
    <t xml:space="preserve">1038 PRIVATE ROAD 2191 </t>
  </si>
  <si>
    <t>GIDDINGS</t>
  </si>
  <si>
    <t>78942-5911</t>
  </si>
  <si>
    <t>SAGECREST ALZHEIMER'S CARE CENTER AND THE GRE</t>
  </si>
  <si>
    <t xml:space="preserve">438 HOUSTON - HARTE </t>
  </si>
  <si>
    <t>325 486370</t>
  </si>
  <si>
    <t>KINGS MANOR METHODIST HOME INC</t>
  </si>
  <si>
    <t xml:space="preserve">400 RANGER ST </t>
  </si>
  <si>
    <t>HEREFORD</t>
  </si>
  <si>
    <t>79045-2812</t>
  </si>
  <si>
    <t>(806) 364-0661</t>
  </si>
  <si>
    <t>VILLA ROSE SENIOR LIVING COMMUNITY</t>
  </si>
  <si>
    <t xml:space="preserve">401 S MORELAND RD </t>
  </si>
  <si>
    <t>BETHALTO</t>
  </si>
  <si>
    <t>62010-2118</t>
  </si>
  <si>
    <t>(618) 377-3239</t>
  </si>
  <si>
    <t>MENDOTA LUTHERAN HOME INC</t>
  </si>
  <si>
    <t xml:space="preserve">500 6TH ST </t>
  </si>
  <si>
    <t>MENDOTA</t>
  </si>
  <si>
    <t>(815) 539-7439</t>
  </si>
  <si>
    <t>FRIENDSHIP MANOR - IL</t>
  </si>
  <si>
    <t xml:space="preserve">1209 21ST AVE </t>
  </si>
  <si>
    <t>ROCK ISLAND</t>
  </si>
  <si>
    <t>61201-7900</t>
  </si>
  <si>
    <t>(309) 786-9667</t>
  </si>
  <si>
    <t>EVERLY HOUSE</t>
  </si>
  <si>
    <t xml:space="preserve">811 S LAFAYETTE ST </t>
  </si>
  <si>
    <t>MACOMB</t>
  </si>
  <si>
    <t>61455-2955</t>
  </si>
  <si>
    <t>(309) 833-2704</t>
  </si>
  <si>
    <t>MCKENDREE LAMBUTH AT GALLATIN</t>
  </si>
  <si>
    <t xml:space="preserve">1054 HARTSVILLE PIKE STE 53 </t>
  </si>
  <si>
    <t>37066-2567</t>
  </si>
  <si>
    <t>(615) 230-2267</t>
  </si>
  <si>
    <t>CHRISTIAN CARE CENTERS INC</t>
  </si>
  <si>
    <t xml:space="preserve">900 WIGGINS PKWY </t>
  </si>
  <si>
    <t>972 686240</t>
  </si>
  <si>
    <t>WESLEY ENHANCED LIVING BURHOLME</t>
  </si>
  <si>
    <t xml:space="preserve">7023 RISING SUN AVE </t>
  </si>
  <si>
    <t>19111-3900</t>
  </si>
  <si>
    <t>(215) 745-3517</t>
  </si>
  <si>
    <t>SWEETBRIAR PLACE</t>
  </si>
  <si>
    <t xml:space="preserve">211 SWEETBRIAR ST </t>
  </si>
  <si>
    <t>15211-1100</t>
  </si>
  <si>
    <t>(412) 431-0211</t>
  </si>
  <si>
    <t>REDEEMER VILLAGE I</t>
  </si>
  <si>
    <t xml:space="preserve">1551 HUNTINGDON PIKE </t>
  </si>
  <si>
    <t>19006-7715</t>
  </si>
  <si>
    <t>(215) 947-8168</t>
  </si>
  <si>
    <t>THE MIDDLETOWN HOME</t>
  </si>
  <si>
    <t xml:space="preserve">999 W HARRISBURG PIKE </t>
  </si>
  <si>
    <t>(717) 944-3351</t>
  </si>
  <si>
    <t>THE CLUBHOUSE &amp; LOCAL TABLE</t>
  </si>
  <si>
    <t xml:space="preserve">10 PROVIDENCE PARK DR </t>
  </si>
  <si>
    <t>MORAVIAN HOUSE II</t>
  </si>
  <si>
    <t xml:space="preserve">1021 CENTER ST </t>
  </si>
  <si>
    <t>18018-2838</t>
  </si>
  <si>
    <t>(610) 866-1841</t>
  </si>
  <si>
    <t>KINGSTON II</t>
  </si>
  <si>
    <t xml:space="preserve">702 3RD AVE </t>
  </si>
  <si>
    <t>18704-5845</t>
  </si>
  <si>
    <t>(570) 283-5848</t>
  </si>
  <si>
    <t>CHATEAU MAURICE</t>
  </si>
  <si>
    <t xml:space="preserve">1101 VOLUNTEER DR APT 400 </t>
  </si>
  <si>
    <t>38242-5432</t>
  </si>
  <si>
    <t>(731) 642-7551</t>
  </si>
  <si>
    <t>LEADING AGE SOUTH CAROLINA</t>
  </si>
  <si>
    <t xml:space="preserve">2711 MIDDLEBURG DR STE 309A </t>
  </si>
  <si>
    <t>29204-2475</t>
  </si>
  <si>
    <t>(803) 988-0005</t>
  </si>
  <si>
    <t>KINGS GRANT</t>
  </si>
  <si>
    <t>540-568-8600</t>
  </si>
  <si>
    <t>WVRC PROPERTY MANAGEMENT</t>
  </si>
  <si>
    <t xml:space="preserve">425 WILLOW VALLEY LAKES DR </t>
  </si>
  <si>
    <t>17584-9662</t>
  </si>
  <si>
    <t>BUCKNER HOSPICE AUSTIN</t>
  </si>
  <si>
    <t xml:space="preserve">1005 E BRAKER LN </t>
  </si>
  <si>
    <t>(512) 873-8145</t>
  </si>
  <si>
    <t>WOOD PRESBYTERIAN HOME INC</t>
  </si>
  <si>
    <t xml:space="preserve">520 OLD HIGHWAY 68 </t>
  </si>
  <si>
    <t>SWEETWATER</t>
  </si>
  <si>
    <t>37874-6258</t>
  </si>
  <si>
    <t>(423) 351-1050</t>
  </si>
  <si>
    <t>HIGHLAND RIM TERRACE</t>
  </si>
  <si>
    <t xml:space="preserve">100 WOODLAND DR </t>
  </si>
  <si>
    <t>37148-1663</t>
  </si>
  <si>
    <t>(615) 325-3245</t>
  </si>
  <si>
    <t>HEALTH SERVICES MANAGEMENT GROUP INC.</t>
  </si>
  <si>
    <t xml:space="preserve">485 CENTRAL AVE </t>
  </si>
  <si>
    <t>(423) 284-5313</t>
  </si>
  <si>
    <t>CHRISTIAN TOWERS OF GALLATIN - MAIN OFC</t>
  </si>
  <si>
    <t>AUTUMN CARE LLC</t>
  </si>
  <si>
    <t xml:space="preserve">3222 BYINGTON BEAVER RIDGE RD </t>
  </si>
  <si>
    <t>37931-3317</t>
  </si>
  <si>
    <t>LIFESPAN DAY CARE - QTOWN SITE</t>
  </si>
  <si>
    <t xml:space="preserve">2460 JOHN FRIES HWY </t>
  </si>
  <si>
    <t>QUAKERTOWN</t>
  </si>
  <si>
    <t>18951-2259</t>
  </si>
  <si>
    <t>HEALTH CARE CENTER</t>
  </si>
  <si>
    <t xml:space="preserve">600 FREEMASON DR </t>
  </si>
  <si>
    <t>17022-3200</t>
  </si>
  <si>
    <t>ST. JOHN SPECIALTY CARE CENTER</t>
  </si>
  <si>
    <t xml:space="preserve">500 WITTENBERG WAY </t>
  </si>
  <si>
    <t>MARS</t>
  </si>
  <si>
    <t>16046-0928</t>
  </si>
  <si>
    <t>(724) 625-1571</t>
  </si>
  <si>
    <t>PASSAVANT RETIREMENT COMMUNITY</t>
  </si>
  <si>
    <t xml:space="preserve">105 BURGESS DR </t>
  </si>
  <si>
    <t>ZELIENOPLE</t>
  </si>
  <si>
    <t>16063-2525</t>
  </si>
  <si>
    <t>(724) 452-5400</t>
  </si>
  <si>
    <t>WRC SENIOR SERVICES (MGMT CO)</t>
  </si>
  <si>
    <t xml:space="preserve">R.R. 5 BOX 47C </t>
  </si>
  <si>
    <t>15825-9773</t>
  </si>
  <si>
    <t>VINCENTIAN REGENCY</t>
  </si>
  <si>
    <t xml:space="preserve">9399 BABCOCK BLVD </t>
  </si>
  <si>
    <t>ALLISON PARK</t>
  </si>
  <si>
    <t>15101-2008</t>
  </si>
  <si>
    <t>(412) 366-8540</t>
  </si>
  <si>
    <t>FORWARD-SHADY APARTMENTS</t>
  </si>
  <si>
    <t xml:space="preserve">5841 FORWARD AVE </t>
  </si>
  <si>
    <t>LITTLE SISTERS OF THE POOR DBA-HOLY FAMILY RE</t>
  </si>
  <si>
    <t xml:space="preserve">2500 ADAMS AVE </t>
  </si>
  <si>
    <t>18509-1515</t>
  </si>
  <si>
    <t>(570) 343-4065</t>
  </si>
  <si>
    <t>LUTHERCARE</t>
  </si>
  <si>
    <t xml:space="preserve">600 E MAIN ST </t>
  </si>
  <si>
    <t>LITITZ</t>
  </si>
  <si>
    <t>17543-2224</t>
  </si>
  <si>
    <t>(717) 626-1171</t>
  </si>
  <si>
    <t>ACACIA SERVICE LLC DBA IREM CLUBHOUSE</t>
  </si>
  <si>
    <t xml:space="preserve">64 RIDGWAY DR </t>
  </si>
  <si>
    <t>18612-9263</t>
  </si>
  <si>
    <t>DOCK WOODS COMMUNITY</t>
  </si>
  <si>
    <t xml:space="preserve">275 DOCK DR </t>
  </si>
  <si>
    <t>19446-6232</t>
  </si>
  <si>
    <t>(215) 368-4438</t>
  </si>
  <si>
    <t>ANDERSON PERSONAL CARE</t>
  </si>
  <si>
    <t xml:space="preserve">215 ROBERTS RD </t>
  </si>
  <si>
    <t>PITTSTON</t>
  </si>
  <si>
    <t>18640-3111</t>
  </si>
  <si>
    <t>(570)655-2891</t>
  </si>
  <si>
    <t>TODD HOME &amp; REHAB CENTER</t>
  </si>
  <si>
    <t xml:space="preserve">1000 W SOUTH ST </t>
  </si>
  <si>
    <t>CARLISLE</t>
  </si>
  <si>
    <t>17013-2722</t>
  </si>
  <si>
    <t>HEALTH CENTER</t>
  </si>
  <si>
    <t xml:space="preserve">1110 E BALTIMORE PIKE BLDG C </t>
  </si>
  <si>
    <t>MARTINS RUN LIFE CARE</t>
  </si>
  <si>
    <t xml:space="preserve">11 MARTINS RUN </t>
  </si>
  <si>
    <t>MEDIA</t>
  </si>
  <si>
    <t>19063-1057</t>
  </si>
  <si>
    <t>(610) 353-7660</t>
  </si>
  <si>
    <t>GOOD SAMARITAN HOSPICE</t>
  </si>
  <si>
    <t xml:space="preserve">116 BROWNS HILL RD </t>
  </si>
  <si>
    <t>16059-3144</t>
  </si>
  <si>
    <t>ELM TERRACE GARDENS - PA</t>
  </si>
  <si>
    <t xml:space="preserve">660 N BROAD ST </t>
  </si>
  <si>
    <t>(215) 361-5600</t>
  </si>
  <si>
    <t>CHAPEL POINTE AT CARLISLE</t>
  </si>
  <si>
    <t xml:space="preserve">770 S HANOVER ST </t>
  </si>
  <si>
    <t>17013-4105</t>
  </si>
  <si>
    <t>(717) 249-1363</t>
  </si>
  <si>
    <t>LIFESPAN DAY CARE - CEDAR POINTE SITE</t>
  </si>
  <si>
    <t xml:space="preserve">1651 N CEDAR CREST BLVD </t>
  </si>
  <si>
    <t>18104-2371</t>
  </si>
  <si>
    <t>DEER MEADOWS RETIREMENT COMMUNITY</t>
  </si>
  <si>
    <t xml:space="preserve">8301 ROOSEVELT BLVD </t>
  </si>
  <si>
    <t>215 624757</t>
  </si>
  <si>
    <t>MASONIC VILLAGE AT ELIZABETHTOWN</t>
  </si>
  <si>
    <t>(717) 367-1121</t>
  </si>
  <si>
    <t>CROSS KEYS VILLAGE - THE BRETHREN HOME COMMUN</t>
  </si>
  <si>
    <t xml:space="preserve">2990 CARLISLE PIKE </t>
  </si>
  <si>
    <t>NEW OXFORD</t>
  </si>
  <si>
    <t>(717) 624-2161</t>
  </si>
  <si>
    <t>ASBURY VILLAS</t>
  </si>
  <si>
    <t xml:space="preserve">730 BOWER HILL RD </t>
  </si>
  <si>
    <t>15243-2002</t>
  </si>
  <si>
    <t>412-341-1030</t>
  </si>
  <si>
    <t>WILLOWBROOK CROSSING</t>
  </si>
  <si>
    <t xml:space="preserve">1170 CARDINAL POINT DR </t>
  </si>
  <si>
    <t>29732-7550</t>
  </si>
  <si>
    <t>803-980-4545</t>
  </si>
  <si>
    <t>WAVERLY HEIGHTS LTD.</t>
  </si>
  <si>
    <t xml:space="preserve">1400 WAVERLY RD </t>
  </si>
  <si>
    <t>GLADWYNE</t>
  </si>
  <si>
    <t>(610) 645-8600</t>
  </si>
  <si>
    <t>FREDERICK MENNONITE COMMUNITY</t>
  </si>
  <si>
    <t xml:space="preserve">2489 BIG RD </t>
  </si>
  <si>
    <t>19435-0498</t>
  </si>
  <si>
    <t>(610)754-7878</t>
  </si>
  <si>
    <t>DUNWOODY VILLAGE</t>
  </si>
  <si>
    <t xml:space="preserve">3500 W CHESTER PIKE </t>
  </si>
  <si>
    <t>19073-4101</t>
  </si>
  <si>
    <t>(610) 359-4400</t>
  </si>
  <si>
    <t>THE OAKS OF ORANGEBURG</t>
  </si>
  <si>
    <t xml:space="preserve">1000 METHODIST OAKS DR </t>
  </si>
  <si>
    <t>803 534121</t>
  </si>
  <si>
    <t>SCANDINAVIAN HOME NURSING FACILITY</t>
  </si>
  <si>
    <t xml:space="preserve">1811 BROAD ST </t>
  </si>
  <si>
    <t>CRANSTON</t>
  </si>
  <si>
    <t>02905-3533</t>
  </si>
  <si>
    <t>(401) 461-1433</t>
  </si>
  <si>
    <t>ST THERESE PLAZA</t>
  </si>
  <si>
    <t xml:space="preserve">4 ST THERESE CT </t>
  </si>
  <si>
    <t>MUNHALL</t>
  </si>
  <si>
    <t>OUTLOOK POINTE AT MID VALLEY</t>
  </si>
  <si>
    <t xml:space="preserve">89 STURGES RD </t>
  </si>
  <si>
    <t>18452-1302</t>
  </si>
  <si>
    <t>570-383-9855</t>
  </si>
  <si>
    <t>WVRC CULTURAL CENTER</t>
  </si>
  <si>
    <t xml:space="preserve">900 WILLOW VALLEY LAKES DR </t>
  </si>
  <si>
    <t>17584-9663</t>
  </si>
  <si>
    <t>UNITED ZION RETIREMENT COMMUNITY</t>
  </si>
  <si>
    <t xml:space="preserve">722 FURNACE HILLS PIKE </t>
  </si>
  <si>
    <t>17543-7954</t>
  </si>
  <si>
    <t>(717) 626-2071</t>
  </si>
  <si>
    <t>ST JUSTIN PLAZA</t>
  </si>
  <si>
    <t xml:space="preserve">120 BOGGS AVE </t>
  </si>
  <si>
    <t>15211-2059</t>
  </si>
  <si>
    <t>REFORMED PRESBYTERIAN HOME</t>
  </si>
  <si>
    <t xml:space="preserve">2344 PERRYSVILLE AVE </t>
  </si>
  <si>
    <t>15214-3560</t>
  </si>
  <si>
    <t>(412) 321-4139</t>
  </si>
  <si>
    <t>MORAVIAN MANOR</t>
  </si>
  <si>
    <t xml:space="preserve">300 W LEMON ST </t>
  </si>
  <si>
    <t>(717) 626-0214</t>
  </si>
  <si>
    <t>PAVILION AT BRMC (THE)</t>
  </si>
  <si>
    <t xml:space="preserve">200 PLEASANT ST </t>
  </si>
  <si>
    <t>16701-1065</t>
  </si>
  <si>
    <t>(814) 362-8293</t>
  </si>
  <si>
    <t>MANOR GLEN</t>
  </si>
  <si>
    <t xml:space="preserve">8403 ROOSEVELT BLVD </t>
  </si>
  <si>
    <t>19152-2000</t>
  </si>
  <si>
    <t>(215) 543-0442</t>
  </si>
  <si>
    <t>LTC @ HOLY REDEEMER</t>
  </si>
  <si>
    <t>LIBERTY LUTHERAN SERVICES</t>
  </si>
  <si>
    <t xml:space="preserve">7002 W BUTLER PIKE </t>
  </si>
  <si>
    <t>AMBLER</t>
  </si>
  <si>
    <t>19002-5107</t>
  </si>
  <si>
    <t>(215) 643-6204</t>
  </si>
  <si>
    <t>COUNTRYSIDE CHRISTIAN COMMUNITY</t>
  </si>
  <si>
    <t xml:space="preserve">200 BELLANN CT </t>
  </si>
  <si>
    <t>ANNVILLE</t>
  </si>
  <si>
    <t>17003-9012</t>
  </si>
  <si>
    <t>(717) 867-4636</t>
  </si>
  <si>
    <t>BETHLEN HOME HUNGARIAN REF. FED.</t>
  </si>
  <si>
    <t xml:space="preserve">66 CAREY SCHOOL RD </t>
  </si>
  <si>
    <t>LIGONIER</t>
  </si>
  <si>
    <t>15658-8758</t>
  </si>
  <si>
    <t>(724) 238-6711</t>
  </si>
  <si>
    <t>FRIENDSHIP VILLAGE SOUTH HILLS</t>
  </si>
  <si>
    <t xml:space="preserve">1290 BOYCE RD </t>
  </si>
  <si>
    <t>15241-3921</t>
  </si>
  <si>
    <t>(724) 941-3100</t>
  </si>
  <si>
    <t>INNOVAGE - ROOSEVELT CENTER</t>
  </si>
  <si>
    <t xml:space="preserve">6970 GERMANTOWN AVE </t>
  </si>
  <si>
    <t>PRESBY'S INSPIRED LIFE</t>
  </si>
  <si>
    <t xml:space="preserve">2000 JOSHUA RD </t>
  </si>
  <si>
    <t>LAFAYETTE HILL</t>
  </si>
  <si>
    <t>610-834-1001</t>
  </si>
  <si>
    <t>PASCHALL SENIOR HOUSING</t>
  </si>
  <si>
    <t xml:space="preserve">2125 S 70TH ST </t>
  </si>
  <si>
    <t>19142-1153</t>
  </si>
  <si>
    <t>(215) 220-2080</t>
  </si>
  <si>
    <t>MEADOW RIDGE AT WILLOW VALLEY</t>
  </si>
  <si>
    <t xml:space="preserve">925 WILLOW VALLEY LAKES DR </t>
  </si>
  <si>
    <t>17584-9049</t>
  </si>
  <si>
    <t>MEADOW HOUSE</t>
  </si>
  <si>
    <t xml:space="preserve">4649 PAUL ST </t>
  </si>
  <si>
    <t>19124-3352</t>
  </si>
  <si>
    <t>(215) 535-3010</t>
  </si>
  <si>
    <t>LITTLE SISTERS OF THE POOR PITTSBURGH</t>
  </si>
  <si>
    <t xml:space="preserve">1028 BENTON AVE </t>
  </si>
  <si>
    <t>(412) 761-5373</t>
  </si>
  <si>
    <t>LIFESPAN DAYCARE - EG SITE</t>
  </si>
  <si>
    <t xml:space="preserve">399 WASHINGTON ST </t>
  </si>
  <si>
    <t>E GREENVILLE</t>
  </si>
  <si>
    <t>EMBASSY OF ASBURY HEIGHTS (THE)</t>
  </si>
  <si>
    <t xml:space="preserve">230 BEVERLY RD </t>
  </si>
  <si>
    <t>15216-1438</t>
  </si>
  <si>
    <t>BEAVER MEADOWS</t>
  </si>
  <si>
    <t xml:space="preserve">5130 TUSCARAWAS RD </t>
  </si>
  <si>
    <t>BEAVER</t>
  </si>
  <si>
    <t>15009-9507</t>
  </si>
  <si>
    <t>(724) 495-1600</t>
  </si>
  <si>
    <t>OUTLOOK POINTE AT KINGSTON</t>
  </si>
  <si>
    <t xml:space="preserve">700 3RD AVE </t>
  </si>
  <si>
    <t>570-283-3660</t>
  </si>
  <si>
    <t>LUTHERAN MANOR APARTMENTS</t>
  </si>
  <si>
    <t xml:space="preserve">2085 WESTGATE DR </t>
  </si>
  <si>
    <t>18017-7412</t>
  </si>
  <si>
    <t>(610) 866-6010</t>
  </si>
  <si>
    <t>JEWISH HOME OF GREATER HARRISBURG</t>
  </si>
  <si>
    <t xml:space="preserve">4000 LINGLESTOWN RD </t>
  </si>
  <si>
    <t>17112-1017</t>
  </si>
  <si>
    <t>(717) 657-0700</t>
  </si>
  <si>
    <t>CHURCH OF GOD HOME</t>
  </si>
  <si>
    <t xml:space="preserve">801 N HANOVER ST </t>
  </si>
  <si>
    <t>(717) 249-5322</t>
  </si>
  <si>
    <t>BEESON COURT</t>
  </si>
  <si>
    <t xml:space="preserve">125 E MAIN ST </t>
  </si>
  <si>
    <t>UNIONTOWN</t>
  </si>
  <si>
    <t>INNOVAGE - ALLEGHENY CENTER</t>
  </si>
  <si>
    <t xml:space="preserve">1940 W ALLEGHENY AVE </t>
  </si>
  <si>
    <t>THE CARRIAGE HOMES OF ASBURY RIDGE</t>
  </si>
  <si>
    <t xml:space="preserve">4855 W RIDGE RD </t>
  </si>
  <si>
    <t>16506-1213</t>
  </si>
  <si>
    <t>(814) 836-5300</t>
  </si>
  <si>
    <t>ARTMAN ASSISTED LIVING COMMUNITY</t>
  </si>
  <si>
    <t xml:space="preserve">250 N BETHLEHEM PIKE </t>
  </si>
  <si>
    <t>19002-3524</t>
  </si>
  <si>
    <t>(215) 643-6333</t>
  </si>
  <si>
    <t>SENIOR NET CONGREGATE</t>
  </si>
  <si>
    <t xml:space="preserve">1701 OCEAN AVE </t>
  </si>
  <si>
    <t>ASBURY PARK</t>
  </si>
  <si>
    <t>CROSSROADS AT HOWELL</t>
  </si>
  <si>
    <t xml:space="preserve">720 RT 9 S </t>
  </si>
  <si>
    <t>FREEHOLD</t>
  </si>
  <si>
    <t>(732) 683-1244</t>
  </si>
  <si>
    <t>WOODLAND VALLEY</t>
  </si>
  <si>
    <t xml:space="preserve">115 WOODLAND AVE </t>
  </si>
  <si>
    <t>WEST ORANGE</t>
  </si>
  <si>
    <t>07052-2977</t>
  </si>
  <si>
    <t>(973) 736-6802</t>
  </si>
  <si>
    <t>PRESBYTERIAN HOME OF GREATER JOHNSTOWN</t>
  </si>
  <si>
    <t xml:space="preserve">787 GOUCHER ST </t>
  </si>
  <si>
    <t>15905-3028</t>
  </si>
  <si>
    <t>(814) 255-5539</t>
  </si>
  <si>
    <t>LAKESIDE AT WILLOW VALLEY</t>
  </si>
  <si>
    <t>HOMELAND CENTER</t>
  </si>
  <si>
    <t xml:space="preserve">1901 N 5TH ST </t>
  </si>
  <si>
    <t>17102-1510</t>
  </si>
  <si>
    <t>(717) 221-7900</t>
  </si>
  <si>
    <t>HAYES MANOR RETIREMENT RESIDENCE</t>
  </si>
  <si>
    <t xml:space="preserve">2210 BELMONT AVE # 2212 </t>
  </si>
  <si>
    <t>19131-2618</t>
  </si>
  <si>
    <t>(215) 473-1552</t>
  </si>
  <si>
    <t>HATFIELD MENNONITE HOME INC</t>
  </si>
  <si>
    <t>FOXDALE VILLAGE</t>
  </si>
  <si>
    <t xml:space="preserve">500 E MARYLYN AVE </t>
  </si>
  <si>
    <t>16801-6269</t>
  </si>
  <si>
    <t>(814) 238-3322</t>
  </si>
  <si>
    <t>FOULKEWAYS AT GWYNEDD</t>
  </si>
  <si>
    <t xml:space="preserve">1120 MEETINGHOUSE RD </t>
  </si>
  <si>
    <t>GWYNEDD</t>
  </si>
  <si>
    <t>19436-1000</t>
  </si>
  <si>
    <t>(215) 643-2200</t>
  </si>
  <si>
    <t>DOCK MANOR INC.</t>
  </si>
  <si>
    <t xml:space="preserve">1100 DOCK DR </t>
  </si>
  <si>
    <t>19446-6215</t>
  </si>
  <si>
    <t>(215) 362-1537</t>
  </si>
  <si>
    <t>EPISCOPAL APARTMENTS OF SLATE BELT</t>
  </si>
  <si>
    <t xml:space="preserve">684 AMERICAN BANGOR RD </t>
  </si>
  <si>
    <t>18013-9342</t>
  </si>
  <si>
    <t>(610) 863-7626</t>
  </si>
  <si>
    <t>EMMANUEL CENTER AT MARIA JOSEPH MANOR</t>
  </si>
  <si>
    <t xml:space="preserve">875 MONTOUR BLVD </t>
  </si>
  <si>
    <t>17821-9148</t>
  </si>
  <si>
    <t>CATHOLIC HEALTH CARE SERVICES</t>
  </si>
  <si>
    <t xml:space="preserve">222 N 17TH ST STE 435 </t>
  </si>
  <si>
    <t>19103-1202</t>
  </si>
  <si>
    <t>ALBERT EINSTEIN MEDICAL CENTER</t>
  </si>
  <si>
    <t xml:space="preserve">5501 OLD YORK RD </t>
  </si>
  <si>
    <t>(215) 456-8615</t>
  </si>
  <si>
    <t>PRESBYTERIAN HOMES OF GEORGIA INC.</t>
  </si>
  <si>
    <t xml:space="preserve">301 E SEREVEN ST PO BPX 926 </t>
  </si>
  <si>
    <t>31643-0926</t>
  </si>
  <si>
    <t>(229) 263-6191</t>
  </si>
  <si>
    <t>MALTA HOME</t>
  </si>
  <si>
    <t xml:space="preserve">105 MALTA DR </t>
  </si>
  <si>
    <t>GRANVILLE</t>
  </si>
  <si>
    <t>17029-9755</t>
  </si>
  <si>
    <t>(717) 248-3988</t>
  </si>
  <si>
    <t>GUY AND MARY FELT MANOR</t>
  </si>
  <si>
    <t xml:space="preserve">110 E 4TH ST </t>
  </si>
  <si>
    <t>EMPORIUM</t>
  </si>
  <si>
    <t>15834-1445</t>
  </si>
  <si>
    <t>(814) 486-3736</t>
  </si>
  <si>
    <t>CORNWALL MANOR</t>
  </si>
  <si>
    <t xml:space="preserve">1 BOYD ST </t>
  </si>
  <si>
    <t>CORNWALL</t>
  </si>
  <si>
    <t>(717) 273-2647</t>
  </si>
  <si>
    <t>CONCORDIA HOSPICE OF WASHINGTON</t>
  </si>
  <si>
    <t xml:space="preserve">10 LEET ST </t>
  </si>
  <si>
    <t>15301-3382</t>
  </si>
  <si>
    <t>ST PAUL VILLAGE INC</t>
  </si>
  <si>
    <t xml:space="preserve">1355 FORSYTH ST </t>
  </si>
  <si>
    <t>MACON</t>
  </si>
  <si>
    <t>31201-1433</t>
  </si>
  <si>
    <t>(478) 745-0829</t>
  </si>
  <si>
    <t>MAGNOLIA MANOR-COLUMBUS</t>
  </si>
  <si>
    <t xml:space="preserve">2010 WARM SPRINGS RD </t>
  </si>
  <si>
    <t>706-327-5032</t>
  </si>
  <si>
    <t>WOODSIDE OAKS</t>
  </si>
  <si>
    <t xml:space="preserve">1031 ANDERSON DR OFC </t>
  </si>
  <si>
    <t>54304-5281</t>
  </si>
  <si>
    <t>(920) 499-7533</t>
  </si>
  <si>
    <t>THE NEIGHBORS OF DC - EAST BUILDING</t>
  </si>
  <si>
    <t xml:space="preserve">658 HOWISON CIR </t>
  </si>
  <si>
    <t>715-232-2661</t>
  </si>
  <si>
    <t>MCCORMICK ASSISTED LIVING</t>
  </si>
  <si>
    <t xml:space="preserve">212 IROQUOIS AVE </t>
  </si>
  <si>
    <t>54301-1918</t>
  </si>
  <si>
    <t>ST JOSEPHS HOME FOR THE AGED</t>
  </si>
  <si>
    <t xml:space="preserve">9244 29TH AVE </t>
  </si>
  <si>
    <t>53143-6602</t>
  </si>
  <si>
    <t>(262) 925-8102</t>
  </si>
  <si>
    <t>INNOVAGE - GERMANTOWN CENTER</t>
  </si>
  <si>
    <t xml:space="preserve">6950 GERMANTOWN AVE </t>
  </si>
  <si>
    <t>MARY FIELD PRESBYTERIAN APARTMENTS</t>
  </si>
  <si>
    <t xml:space="preserve">2100 S 58TH ST </t>
  </si>
  <si>
    <t>19143-5933</t>
  </si>
  <si>
    <t>(215) 726-3232</t>
  </si>
  <si>
    <t>CANTRELL PLACE</t>
  </si>
  <si>
    <t xml:space="preserve">455 CANTRELL ST </t>
  </si>
  <si>
    <t>BENSALEM PRESBYTERIAN APARTMENTS</t>
  </si>
  <si>
    <t xml:space="preserve">1900 BYBERRY RD </t>
  </si>
  <si>
    <t>BENSALEM</t>
  </si>
  <si>
    <t>215-352-1000</t>
  </si>
  <si>
    <t>ANN THOMAS PRESBYTERIAN APARTMENTS</t>
  </si>
  <si>
    <t xml:space="preserve">2000 S 58TH ST </t>
  </si>
  <si>
    <t>215-726-3232</t>
  </si>
  <si>
    <t>NAZARETH COAST &amp; CENTER</t>
  </si>
  <si>
    <t xml:space="preserve">375 GILLETT ST </t>
  </si>
  <si>
    <t>54935-4511</t>
  </si>
  <si>
    <t>LAUREL GROVE CENTER</t>
  </si>
  <si>
    <t xml:space="preserve">1308 S 22ND ST </t>
  </si>
  <si>
    <t>54220-5563</t>
  </si>
  <si>
    <t>(920) 682-8254</t>
  </si>
  <si>
    <t>ODD FELLOW HOME</t>
  </si>
  <si>
    <t xml:space="preserve">1207 S JACKSON ST </t>
  </si>
  <si>
    <t>54301-3037</t>
  </si>
  <si>
    <t>(920) 437-6523</t>
  </si>
  <si>
    <t>THE GARDENS OF FOUNTAIN WAY LLC</t>
  </si>
  <si>
    <t xml:space="preserve">1050 FOUNTAIN WAY </t>
  </si>
  <si>
    <t>MENASHA</t>
  </si>
  <si>
    <t>54952-8809</t>
  </si>
  <si>
    <t>(920) 993-9980</t>
  </si>
  <si>
    <t>OAKRIDGE GARDENS REHAB &amp; MEMORY CTR</t>
  </si>
  <si>
    <t xml:space="preserve">1700 MIDWAY RD </t>
  </si>
  <si>
    <t>54952-1230</t>
  </si>
  <si>
    <t>(920) 739-0111</t>
  </si>
  <si>
    <t>GREEN HOUSE RESIDENCE AT STADIUM PLACE</t>
  </si>
  <si>
    <t xml:space="preserve">1010 E 33RD ST </t>
  </si>
  <si>
    <t>21218-3780</t>
  </si>
  <si>
    <t>(410) 554-9895</t>
  </si>
  <si>
    <t>ASBURY SOLOMONS INC</t>
  </si>
  <si>
    <t xml:space="preserve">11100 ASBURY CIR </t>
  </si>
  <si>
    <t>20688-3004</t>
  </si>
  <si>
    <t>(410) 394-3000</t>
  </si>
  <si>
    <t>WILLOWS HEALTH CENTER</t>
  </si>
  <si>
    <t xml:space="preserve">4054 ALBRIGHT LN </t>
  </si>
  <si>
    <t>61103-1576</t>
  </si>
  <si>
    <t>(815) 654-2534</t>
  </si>
  <si>
    <t>PARTNERS IN SENIOR CARE</t>
  </si>
  <si>
    <t xml:space="preserve">125 HAWLEY ST </t>
  </si>
  <si>
    <t>GRAYSLAKE</t>
  </si>
  <si>
    <t>60030-1514</t>
  </si>
  <si>
    <t>(847) 548-1330</t>
  </si>
  <si>
    <t>OUR LADY OF ANGELS RETIREMENT HOME</t>
  </si>
  <si>
    <t xml:space="preserve">1201 WYOMING AVE </t>
  </si>
  <si>
    <t>JOLIET</t>
  </si>
  <si>
    <t>60435-3718</t>
  </si>
  <si>
    <t>(815) 725-6631</t>
  </si>
  <si>
    <t>SUNSET HOME</t>
  </si>
  <si>
    <t xml:space="preserve">1800 W 9TH ST </t>
  </si>
  <si>
    <t>785 243272</t>
  </si>
  <si>
    <t>ST. JAMES HOUSE OF BAYTOWN</t>
  </si>
  <si>
    <t xml:space="preserve">5800 W BAKER RD </t>
  </si>
  <si>
    <t>BAYTOWN</t>
  </si>
  <si>
    <t>77520-1618</t>
  </si>
  <si>
    <t>(281) 425-1200</t>
  </si>
  <si>
    <t>JAMES L WEST PRESBYTERIAN SPECIAL-CARE CENTER</t>
  </si>
  <si>
    <t xml:space="preserve">1111 SUMMIT AVE </t>
  </si>
  <si>
    <t>817 877119</t>
  </si>
  <si>
    <t>CHOSEN VALLEY APARTMENTS</t>
  </si>
  <si>
    <t xml:space="preserve">1102 LIBERTY ST SE </t>
  </si>
  <si>
    <t>CHATFIELD</t>
  </si>
  <si>
    <t>55923-1448</t>
  </si>
  <si>
    <t>(507) 867-4220</t>
  </si>
  <si>
    <t>BRYN MAWR HEALTH CARE CENTER</t>
  </si>
  <si>
    <t xml:space="preserve">275 PENN AVE N </t>
  </si>
  <si>
    <t>MINNEAPOLIS</t>
  </si>
  <si>
    <t>612-377-4723</t>
  </si>
  <si>
    <t>CONCORDIA OF FOX CHAPEL</t>
  </si>
  <si>
    <t xml:space="preserve">931 ROUTE 910 </t>
  </si>
  <si>
    <t>CHESWICK</t>
  </si>
  <si>
    <t>15024-4015</t>
  </si>
  <si>
    <t>GRACE MANSION AT HOLY FAMILY RESID SERV</t>
  </si>
  <si>
    <t>(610)865-6748</t>
  </si>
  <si>
    <t>SAINT KATHARINE DREXEL</t>
  </si>
  <si>
    <t xml:space="preserve">7917 FORREST AVE </t>
  </si>
  <si>
    <t>(215) 549-5765</t>
  </si>
  <si>
    <t>BETHANY TOWERS</t>
  </si>
  <si>
    <t xml:space="preserve">335 WESLEY DR </t>
  </si>
  <si>
    <t>17055-3565</t>
  </si>
  <si>
    <t>(717) 766-7698</t>
  </si>
  <si>
    <t>WESLEYAN VILLAGE</t>
  </si>
  <si>
    <t xml:space="preserve">807 WEST AVE </t>
  </si>
  <si>
    <t>ELYRIA</t>
  </si>
  <si>
    <t>44035-5898</t>
  </si>
  <si>
    <t>(440) 284-9000</t>
  </si>
  <si>
    <t>SENIOR INDEPENDENCE</t>
  </si>
  <si>
    <t xml:space="preserve">1001 KINGSMILL PKWY </t>
  </si>
  <si>
    <t>937-743-6339</t>
  </si>
  <si>
    <t>BROOKS MANOR</t>
  </si>
  <si>
    <t xml:space="preserve">23 BROOKS ST </t>
  </si>
  <si>
    <t>304 344292</t>
  </si>
  <si>
    <t>LUTHERAN SENIOR SERVICES OF DOVER INC</t>
  </si>
  <si>
    <t xml:space="preserve">430 KINGS HWY </t>
  </si>
  <si>
    <t>19901-7512</t>
  </si>
  <si>
    <t>(302) 674-1408</t>
  </si>
  <si>
    <t>STURGIS REGIONAL SENIOR CARE</t>
  </si>
  <si>
    <t xml:space="preserve">949 HARMON ST </t>
  </si>
  <si>
    <t>STURGIS</t>
  </si>
  <si>
    <t>605 720240</t>
  </si>
  <si>
    <t>ST- JOHN'S HERR ESTATE</t>
  </si>
  <si>
    <t xml:space="preserve">200 LUTHER LN </t>
  </si>
  <si>
    <t>17512-2401</t>
  </si>
  <si>
    <t>(717) 684-0678</t>
  </si>
  <si>
    <t>LEBANON VALLEY BRETHREN HOME INC.</t>
  </si>
  <si>
    <t xml:space="preserve">1200 GRUBB RD </t>
  </si>
  <si>
    <t>PALMYRA</t>
  </si>
  <si>
    <t>17078-3514</t>
  </si>
  <si>
    <t>(717) 838-5406</t>
  </si>
  <si>
    <t>CHRIST THE KING MANOR INC</t>
  </si>
  <si>
    <t xml:space="preserve">1100 W LONG AVE </t>
  </si>
  <si>
    <t>DU BOIS</t>
  </si>
  <si>
    <t>15801-3986</t>
  </si>
  <si>
    <t>(814) 371-3180</t>
  </si>
  <si>
    <t>THORNWALD HOME</t>
  </si>
  <si>
    <t xml:space="preserve">442 WALNUT BOTTOM RD </t>
  </si>
  <si>
    <t>17013-3742</t>
  </si>
  <si>
    <t>LEBANON VALLEY HOME</t>
  </si>
  <si>
    <t xml:space="preserve">550 E MAIN ST </t>
  </si>
  <si>
    <t>717 867446</t>
  </si>
  <si>
    <t>SPIRITRUST LUTHERAN HOME CARE &amp; HOSPICE</t>
  </si>
  <si>
    <t xml:space="preserve">2700 LUTHER DR </t>
  </si>
  <si>
    <t>(717)264-5700</t>
  </si>
  <si>
    <t>HARMONY PHYSICAL REHABILITATION</t>
  </si>
  <si>
    <t xml:space="preserve">4365 NORTHERN PIKE </t>
  </si>
  <si>
    <t>15146-2807</t>
  </si>
  <si>
    <t>RIVERVIEW APARTMENTS</t>
  </si>
  <si>
    <t xml:space="preserve">312 CLAY ST </t>
  </si>
  <si>
    <t>SISTERSVILLE</t>
  </si>
  <si>
    <t>304-652-2002</t>
  </si>
  <si>
    <t>ELK RIVERVIEW TERRACE APARTMENTS</t>
  </si>
  <si>
    <t xml:space="preserve">1 S MAIN ST </t>
  </si>
  <si>
    <t>WEBSTER SPRINGS</t>
  </si>
  <si>
    <t>304 847777</t>
  </si>
  <si>
    <t>EDGEVIEW SQUARE</t>
  </si>
  <si>
    <t xml:space="preserve">11 EDGEVIEW LN </t>
  </si>
  <si>
    <t>HARRISVILLE</t>
  </si>
  <si>
    <t>304 643246</t>
  </si>
  <si>
    <t>CHATEAU - ASST LIVING RESIDENCE (THE)</t>
  </si>
  <si>
    <t xml:space="preserve">4497 SHORELINE DR </t>
  </si>
  <si>
    <t>SPRING PARK</t>
  </si>
  <si>
    <t>VALLEY VIEW RETIREMENT</t>
  </si>
  <si>
    <t xml:space="preserve">4702 E MAIN ST </t>
  </si>
  <si>
    <t>17004-9251</t>
  </si>
  <si>
    <t>PARK MANOR APARTMENTS</t>
  </si>
  <si>
    <t xml:space="preserve">400 PARK MANOR RD </t>
  </si>
  <si>
    <t>16001-2504</t>
  </si>
  <si>
    <t>(724) 282-7579</t>
  </si>
  <si>
    <t>MOUNTAIN VIEW TERRACE</t>
  </si>
  <si>
    <t xml:space="preserve">567 SPRINGVILLE RD </t>
  </si>
  <si>
    <t>NEW HOLLAND</t>
  </si>
  <si>
    <t>15901-1824</t>
  </si>
  <si>
    <t>RIVERVIEW TOWERS I &amp; II</t>
  </si>
  <si>
    <t xml:space="preserve">52 GARETTA ST </t>
  </si>
  <si>
    <t>15217-3231</t>
  </si>
  <si>
    <t>(412) 521-7876</t>
  </si>
  <si>
    <t>NUGENT SENIOR APARTMENTS</t>
  </si>
  <si>
    <t xml:space="preserve">221 W JOHNSON ST </t>
  </si>
  <si>
    <t>19144-2561</t>
  </si>
  <si>
    <t>INNOVAGE-HENRY AVE CENTER</t>
  </si>
  <si>
    <t xml:space="preserve">3232 HENRY AVE </t>
  </si>
  <si>
    <t>ROSEMONT PRESBYTERIAN VILLAGE</t>
  </si>
  <si>
    <t xml:space="preserve">404 CHESWICK PL </t>
  </si>
  <si>
    <t>BRYN MAWR</t>
  </si>
  <si>
    <t>610-527-6500</t>
  </si>
  <si>
    <t>PENSDALE APARTMENTS</t>
  </si>
  <si>
    <t xml:space="preserve">4200 MITCHELL ST </t>
  </si>
  <si>
    <t>CONCORIDA OF MONROEVILLE</t>
  </si>
  <si>
    <t xml:space="preserve">4363 NORTHERN PIKE </t>
  </si>
  <si>
    <t>PRESBYTERIAN HOMES IN THE PRESBYTERY</t>
  </si>
  <si>
    <t xml:space="preserve">1225 SCHOOL RD </t>
  </si>
  <si>
    <t>16505-2691</t>
  </si>
  <si>
    <t>(814) 314-1700</t>
  </si>
  <si>
    <t>PRESBYTERIAN VILLAGE</t>
  </si>
  <si>
    <t xml:space="preserve">2000 EW CONNECTOR </t>
  </si>
  <si>
    <t>AUSTELL</t>
  </si>
  <si>
    <t>(770) 819-7000</t>
  </si>
  <si>
    <t>COMMON SENSE SERVICES FOR SENIORS</t>
  </si>
  <si>
    <t xml:space="preserve">6415 CARMEN AVE </t>
  </si>
  <si>
    <t>INVER GROVE HEIGHTS</t>
  </si>
  <si>
    <t>55076-4428</t>
  </si>
  <si>
    <t>(651) 552-0288</t>
  </si>
  <si>
    <t>MANTUA PRESBYTERIAN APARTMENTS</t>
  </si>
  <si>
    <t xml:space="preserve">600 N 34TH ST </t>
  </si>
  <si>
    <t>19104-2226</t>
  </si>
  <si>
    <t>(215) 689-2660</t>
  </si>
  <si>
    <t>MORRISVILLE PRESBYTERIAN APARTMENTS</t>
  </si>
  <si>
    <t xml:space="preserve">1 HILLCREST AVE </t>
  </si>
  <si>
    <t>MORRISVILLE</t>
  </si>
  <si>
    <t>19067-1144</t>
  </si>
  <si>
    <t>(215) 295-8696</t>
  </si>
  <si>
    <t>GREENWAY PRESBYTERIAN APARTMENTS</t>
  </si>
  <si>
    <t xml:space="preserve">2001 S 59TH ST </t>
  </si>
  <si>
    <t>COLONIAL MANOR AT BALATON</t>
  </si>
  <si>
    <t xml:space="preserve">219 HWY 14 E </t>
  </si>
  <si>
    <t>BALATON</t>
  </si>
  <si>
    <t>CLARA CITY CARE CENTER</t>
  </si>
  <si>
    <t xml:space="preserve">1012 DIVISION ST N </t>
  </si>
  <si>
    <t>CLARA CITY</t>
  </si>
  <si>
    <t>56222-1141</t>
  </si>
  <si>
    <t>(320) 847-2221</t>
  </si>
  <si>
    <t>COMMONS AT IMPERIAL HOTEL</t>
  </si>
  <si>
    <t xml:space="preserve">355 PEACHTREE ST NE </t>
  </si>
  <si>
    <t>30308-3256</t>
  </si>
  <si>
    <t>LUTHER ACRES</t>
  </si>
  <si>
    <t>(717) 626-6884</t>
  </si>
  <si>
    <t>SOUDERTON MENNONITE HOMES</t>
  </si>
  <si>
    <t xml:space="preserve">207 W SUMMIT ST </t>
  </si>
  <si>
    <t>SOUDERTON</t>
  </si>
  <si>
    <t>18964-2054</t>
  </si>
  <si>
    <t>(215) 723-9881</t>
  </si>
  <si>
    <t>MILLCREEK MANOR</t>
  </si>
  <si>
    <t xml:space="preserve">5515 PEACH ST </t>
  </si>
  <si>
    <t>16509-2603</t>
  </si>
  <si>
    <t>(814) 868-2636</t>
  </si>
  <si>
    <t>LANDIS HOMES</t>
  </si>
  <si>
    <t xml:space="preserve">1001 E OREGON RD </t>
  </si>
  <si>
    <t>(717) 569-3271</t>
  </si>
  <si>
    <t>WYNNEFIELD PLACE APARTMENTS</t>
  </si>
  <si>
    <t xml:space="preserve">1717 N 54TH ST </t>
  </si>
  <si>
    <t>SCOTTISH RITE TOWER</t>
  </si>
  <si>
    <t xml:space="preserve">1530 FITZWATER ST </t>
  </si>
  <si>
    <t>EPHRATA MANOR</t>
  </si>
  <si>
    <t xml:space="preserve">99 BETHANY RD </t>
  </si>
  <si>
    <t>EPHRATA</t>
  </si>
  <si>
    <t>17522-8637</t>
  </si>
  <si>
    <t>(717) 738-4940</t>
  </si>
  <si>
    <t>GARVEY MANOR</t>
  </si>
  <si>
    <t xml:space="preserve">1037 S LOGAN BLVD </t>
  </si>
  <si>
    <t>HOLLIDAYSBURG</t>
  </si>
  <si>
    <t>16648-2607</t>
  </si>
  <si>
    <t>(814) 695-5571</t>
  </si>
  <si>
    <t>VILLAGE AT LUTHER RIDGE - SKILLED CARE CENTER</t>
  </si>
  <si>
    <t xml:space="preserve">2781 LUTHER DR </t>
  </si>
  <si>
    <t>VILLAGE AT LUTHER RIDGE</t>
  </si>
  <si>
    <t xml:space="preserve">2735 LUTHER DR </t>
  </si>
  <si>
    <t>LIVING BRANCHES</t>
  </si>
  <si>
    <t>SCOTTISH RITE HOUSE</t>
  </si>
  <si>
    <t xml:space="preserve">1525 FITZWATER ST </t>
  </si>
  <si>
    <t>LINDLEY COURT APARTMENTS</t>
  </si>
  <si>
    <t xml:space="preserve">1300 LINDLEY AVE </t>
  </si>
  <si>
    <t>CONCORDIA OF CRANBERRY</t>
  </si>
  <si>
    <t xml:space="preserve">10 ADAMS RIDGE BLVD </t>
  </si>
  <si>
    <t>16046-3964</t>
  </si>
  <si>
    <t>CONCORDIA AT CABOT</t>
  </si>
  <si>
    <t xml:space="preserve">134 MARWOOD RD </t>
  </si>
  <si>
    <t>CABOT</t>
  </si>
  <si>
    <t>16023-2206</t>
  </si>
  <si>
    <t>(724) 352-1571</t>
  </si>
  <si>
    <t>BRETHERN CARE VILLAGE LLC</t>
  </si>
  <si>
    <t>BRETHREN VILLAGE</t>
  </si>
  <si>
    <t xml:space="preserve">3001 LITITZ PIKE </t>
  </si>
  <si>
    <t>717-569-2657</t>
  </si>
  <si>
    <t>LITTLE FLOWER MANOR OF THE DIOCESE OF SCRANTO</t>
  </si>
  <si>
    <t xml:space="preserve">200 S MEADE ST </t>
  </si>
  <si>
    <t>18702-6221</t>
  </si>
  <si>
    <t>(570) 823-6131</t>
  </si>
  <si>
    <t>THE OAKS AT DENVILLE</t>
  </si>
  <si>
    <t xml:space="preserve">19 POCONO RD </t>
  </si>
  <si>
    <t>DENVILLE</t>
  </si>
  <si>
    <t>(973) 586-6000</t>
  </si>
  <si>
    <t>KINDER TOWERS</t>
  </si>
  <si>
    <t xml:space="preserve">400 HOOVER AVE STE 1 </t>
  </si>
  <si>
    <t>07003-3758</t>
  </si>
  <si>
    <t>(973) 748-0982</t>
  </si>
  <si>
    <t>VILLAGE AT MANOR PARK DBA 'WESLEY PARK</t>
  </si>
  <si>
    <t xml:space="preserve">8621 W BELOIT RD </t>
  </si>
  <si>
    <t>53227-3771</t>
  </si>
  <si>
    <t>(414) 607-4100</t>
  </si>
  <si>
    <t>MARIAN HEIGHTS APARTMENTS</t>
  </si>
  <si>
    <t xml:space="preserve">101 E BECKERT RD </t>
  </si>
  <si>
    <t>NEW LONDON</t>
  </si>
  <si>
    <t>54961-2514</t>
  </si>
  <si>
    <t>(920) 982-5354</t>
  </si>
  <si>
    <t>COURTYARD AT WILLOWS WOODS</t>
  </si>
  <si>
    <t xml:space="preserve">1500 LINCOLN AVE </t>
  </si>
  <si>
    <t>TOMAH</t>
  </si>
  <si>
    <t>54660-2436</t>
  </si>
  <si>
    <t>GREENWAY PRESBYTERIAN APT</t>
  </si>
  <si>
    <t>GARDEN SPOT VILLAGE</t>
  </si>
  <si>
    <t xml:space="preserve">433 S KINZER AVE </t>
  </si>
  <si>
    <t>(717) 355-6000</t>
  </si>
  <si>
    <t>CONCORDIA AT REBECCA RESIDENCE</t>
  </si>
  <si>
    <t xml:space="preserve">3746 CEDAR RIDGE RD </t>
  </si>
  <si>
    <t>(724)444-0600</t>
  </si>
  <si>
    <t>CONCORDIA HAVEN APARTMENTS</t>
  </si>
  <si>
    <t>PORTLAND POINT</t>
  </si>
  <si>
    <t xml:space="preserve">202 1ST AVE </t>
  </si>
  <si>
    <t>ATLANTIC HIGHLANDS</t>
  </si>
  <si>
    <t>(732) 872-9040</t>
  </si>
  <si>
    <t>GSC JOHNS CREEK LLC</t>
  </si>
  <si>
    <t xml:space="preserve">4265 JOHNS CREEK PKWY STE B </t>
  </si>
  <si>
    <t>JOHNS CREEK</t>
  </si>
  <si>
    <t>30024-6038</t>
  </si>
  <si>
    <t>ON LOK HOUSE</t>
  </si>
  <si>
    <t xml:space="preserve">219 N 10TH ST </t>
  </si>
  <si>
    <t>19107-1829</t>
  </si>
  <si>
    <t>58TH STREET PRESBYTERIAN HOME (THE)</t>
  </si>
  <si>
    <t xml:space="preserve">2050 S 58TH ST </t>
  </si>
  <si>
    <t>215-724-2218</t>
  </si>
  <si>
    <t>SAINT IGNATIUS NURSING HOME</t>
  </si>
  <si>
    <t xml:space="preserve">4401 HAVERFORD AVE </t>
  </si>
  <si>
    <t>19104-1332</t>
  </si>
  <si>
    <t>(215) 349-8800</t>
  </si>
  <si>
    <t>ALEXIAN VILLAGE RETIREMENT COMMUNITY</t>
  </si>
  <si>
    <t xml:space="preserve">9301 N 76TH ST </t>
  </si>
  <si>
    <t>53223-1003</t>
  </si>
  <si>
    <t>(414) 355-9300</t>
  </si>
  <si>
    <t>WOODSIDE HAVEN</t>
  </si>
  <si>
    <t xml:space="preserve">2480 BAY AREA PL </t>
  </si>
  <si>
    <t>54304-5274</t>
  </si>
  <si>
    <t>(92) 490-0129</t>
  </si>
  <si>
    <t>LUTHERAN SENIOR LIFE</t>
  </si>
  <si>
    <t xml:space="preserve">1323 FREEDOM RD </t>
  </si>
  <si>
    <t>CRANBERRY TOWNSHIP</t>
  </si>
  <si>
    <t>16066-5001</t>
  </si>
  <si>
    <t>(724) 776-1100</t>
  </si>
  <si>
    <t>INNOVAGE-PENNYPACK</t>
  </si>
  <si>
    <t xml:space="preserve">4401 MEGARGEE ST </t>
  </si>
  <si>
    <t>PENSDALE II</t>
  </si>
  <si>
    <t xml:space="preserve">4200B MITCHELL ST </t>
  </si>
  <si>
    <t>MT. TABOR SENIOR CYBER VILLAGE</t>
  </si>
  <si>
    <t xml:space="preserve">973 N 7TH ST </t>
  </si>
  <si>
    <t>19123-1329</t>
  </si>
  <si>
    <t>WOODLANDS AT RAMSEY (THE)</t>
  </si>
  <si>
    <t xml:space="preserve">141 PRINCE ST </t>
  </si>
  <si>
    <t>RAMSEY</t>
  </si>
  <si>
    <t>07446-2493</t>
  </si>
  <si>
    <t>(201) 818-0230</t>
  </si>
  <si>
    <t>LAURELS (THE)</t>
  </si>
  <si>
    <t xml:space="preserve">3 LAURELBROOK LANDING </t>
  </si>
  <si>
    <t>(814)849-4131</t>
  </si>
  <si>
    <t>LAURELBROOKE</t>
  </si>
  <si>
    <t xml:space="preserve">1 LAURELBROOKE DR </t>
  </si>
  <si>
    <t>15825-2634</t>
  </si>
  <si>
    <t>(814) 849-3615</t>
  </si>
  <si>
    <t>ASBURY HEALTH CENTER</t>
  </si>
  <si>
    <t>(412) 341-1030</t>
  </si>
  <si>
    <t>KINDRED PLACE AT ANNVILLE</t>
  </si>
  <si>
    <t xml:space="preserve">1 KINDRED PL </t>
  </si>
  <si>
    <t>17003-1940</t>
  </si>
  <si>
    <t>(717) 867-5572</t>
  </si>
  <si>
    <t>SPIRITRUST LUTHERAN</t>
  </si>
  <si>
    <t xml:space="preserve">1050 PENNSYLVANIA AVE </t>
  </si>
  <si>
    <t>(717) 854-3971</t>
  </si>
  <si>
    <t>SPANG CREST MANOR</t>
  </si>
  <si>
    <t xml:space="preserve">945 DUKE ST </t>
  </si>
  <si>
    <t>17042-7216</t>
  </si>
  <si>
    <t>717-274-1495</t>
  </si>
  <si>
    <t>INNOVAGE-SOLUTIONS EAST</t>
  </si>
  <si>
    <t xml:space="preserve">2000 MARKET ST STE 780 </t>
  </si>
  <si>
    <t>SALBA APARTMENTS</t>
  </si>
  <si>
    <t xml:space="preserve">309 WALNUT ST </t>
  </si>
  <si>
    <t>JENKINTOWN</t>
  </si>
  <si>
    <t>19046-2622</t>
  </si>
  <si>
    <t>GEORGIA GO LLC</t>
  </si>
  <si>
    <t>REED STREET PRESBYTERIAN APARTMENTS</t>
  </si>
  <si>
    <t xml:space="preserve">1401 S 16TH ST </t>
  </si>
  <si>
    <t>215-551-1395</t>
  </si>
  <si>
    <t>19143-5945</t>
  </si>
  <si>
    <t>THE HOMEPLACE ADULT DAYCARE INC</t>
  </si>
  <si>
    <t xml:space="preserve">256 MAY AVE </t>
  </si>
  <si>
    <t>LINCOLNTON</t>
  </si>
  <si>
    <t>706-597-0935</t>
  </si>
  <si>
    <t>THE HEARTH AT DREXEL</t>
  </si>
  <si>
    <t xml:space="preserve">238 BELMONT AVE </t>
  </si>
  <si>
    <t>BALA CYNWYD</t>
  </si>
  <si>
    <t>19004-2334</t>
  </si>
  <si>
    <t>RYDAL PARK</t>
  </si>
  <si>
    <t xml:space="preserve">1515 ON THE FAIRWAY </t>
  </si>
  <si>
    <t>RYDAL</t>
  </si>
  <si>
    <t>215-885-6800</t>
  </si>
  <si>
    <t>RIVERSIDE PRESBYTERIAN APARTMENTS</t>
  </si>
  <si>
    <t xml:space="preserve">158 N 23RD ST </t>
  </si>
  <si>
    <t>215-563-6200</t>
  </si>
  <si>
    <t>INTERFAITH HOUSE IN GERMANTOWN</t>
  </si>
  <si>
    <t xml:space="preserve">18 W CHELTEN AVE </t>
  </si>
  <si>
    <t>215-438-9779</t>
  </si>
  <si>
    <t>ALGOMA MEDICAL CTR AND LTC</t>
  </si>
  <si>
    <t xml:space="preserve">1510 FREMONT ST </t>
  </si>
  <si>
    <t>ALGOMA</t>
  </si>
  <si>
    <t>54201-1948</t>
  </si>
  <si>
    <t>(920) 487-5511</t>
  </si>
  <si>
    <t>TRINITY HEALTH SERVICES DBA TRINITY VILLAGE</t>
  </si>
  <si>
    <t xml:space="preserve">7300 W DEAN RD </t>
  </si>
  <si>
    <t>53223-2637</t>
  </si>
  <si>
    <t>(414) 354-3700</t>
  </si>
  <si>
    <t>GRACE COURT</t>
  </si>
  <si>
    <t xml:space="preserve">550 S LANSDOWNE AVE </t>
  </si>
  <si>
    <t>YEADON</t>
  </si>
  <si>
    <t>610-623-3083</t>
  </si>
  <si>
    <t>ALICIAN SENIOR APARTMENTS</t>
  </si>
  <si>
    <t xml:space="preserve">140 HAMPDEN RD </t>
  </si>
  <si>
    <t>UPPER DARBY</t>
  </si>
  <si>
    <t>MEADOWS APARTMENTS</t>
  </si>
  <si>
    <t xml:space="preserve">220 LAKE ST </t>
  </si>
  <si>
    <t>18612-1062</t>
  </si>
  <si>
    <t>(570) 675-6936</t>
  </si>
  <si>
    <t>SPRING VILLAGE AT POCONO</t>
  </si>
  <si>
    <t xml:space="preserve">329 E BROWN ST </t>
  </si>
  <si>
    <t>EAST STROUDSBURG</t>
  </si>
  <si>
    <t>18301-3014</t>
  </si>
  <si>
    <t>(570)426-4013</t>
  </si>
  <si>
    <t>VINCENTIAN COLLABORATIVE SERVICES</t>
  </si>
  <si>
    <t>UNITED CHURCH OF CHRIST HOMES</t>
  </si>
  <si>
    <t xml:space="preserve">30 N 31ST ST </t>
  </si>
  <si>
    <t>CAMP HILL</t>
  </si>
  <si>
    <t>17011-2913</t>
  </si>
  <si>
    <t>VILLAGE AT SHREWSBURY SKILLED CARE CENTER</t>
  </si>
  <si>
    <t xml:space="preserve">200 LUTHER RD </t>
  </si>
  <si>
    <t>SHREWSBURY</t>
  </si>
  <si>
    <t>(717) 235-6895</t>
  </si>
  <si>
    <t>THE VILLAGE AT SPRENKLE DR SKILLED CARE CTR</t>
  </si>
  <si>
    <t xml:space="preserve">1801 FOLKEMER CIR </t>
  </si>
  <si>
    <t>17404-1771</t>
  </si>
  <si>
    <t>(717) 767-5404</t>
  </si>
  <si>
    <t>THE VILLAGE @ SPRENKLE DR ASST LVNG &amp; MEM SPT</t>
  </si>
  <si>
    <t xml:space="preserve">1802 FOLKEMER CIR </t>
  </si>
  <si>
    <t>17404-1755</t>
  </si>
  <si>
    <t xml:space="preserve">101 MAPLE DR </t>
  </si>
  <si>
    <t>SHIPPENVILLE</t>
  </si>
  <si>
    <t>16254-9019</t>
  </si>
  <si>
    <t>(814) 782-3203</t>
  </si>
  <si>
    <t>KINDRED PLACE AT HARRISBURG</t>
  </si>
  <si>
    <t xml:space="preserve">4700 OAKMONT BLVD </t>
  </si>
  <si>
    <t>SAINT MARY'S HOME OF ERIE</t>
  </si>
  <si>
    <t xml:space="preserve">607 E 26TH ST </t>
  </si>
  <si>
    <t>16504-2813</t>
  </si>
  <si>
    <t>(814) 459-0621</t>
  </si>
  <si>
    <t>LONG COMMUNITY (THE)</t>
  </si>
  <si>
    <t xml:space="preserve">600 E ROSEVILLE RD </t>
  </si>
  <si>
    <t>717-381-4901</t>
  </si>
  <si>
    <t>ST. PAUL APARTMENTS</t>
  </si>
  <si>
    <t xml:space="preserve">1330 FORSYTH ST </t>
  </si>
  <si>
    <t>31201-1448</t>
  </si>
  <si>
    <t>BETMAR VILLAGE</t>
  </si>
  <si>
    <t xml:space="preserve">345 ASHWOOD AVE SW </t>
  </si>
  <si>
    <t>30315-6000</t>
  </si>
  <si>
    <t>SUN DIAL MANOR INC</t>
  </si>
  <si>
    <t xml:space="preserve">401 SECOND ST </t>
  </si>
  <si>
    <t>605 492361</t>
  </si>
  <si>
    <t>BETHEL LUTHERAN HOME</t>
  </si>
  <si>
    <t xml:space="preserve">1001 S EGAN AVE </t>
  </si>
  <si>
    <t>605 256453</t>
  </si>
  <si>
    <t>DOCK ACRES</t>
  </si>
  <si>
    <t>OLD CITY PRESBYTERIAN APARTMENTS</t>
  </si>
  <si>
    <t xml:space="preserve">25 N 4TH ST </t>
  </si>
  <si>
    <t>19106-2104</t>
  </si>
  <si>
    <t>(215) 627-9538</t>
  </si>
  <si>
    <t>SPRINGPOINT CHOICE</t>
  </si>
  <si>
    <t xml:space="preserve">7 SCHALKS CROSSING RD STE 320 </t>
  </si>
  <si>
    <t>PLAINSBORO</t>
  </si>
  <si>
    <t>08536-1621</t>
  </si>
  <si>
    <t>(732) 430-3650</t>
  </si>
  <si>
    <t>SKYLARK SENIOR CARE LLC</t>
  </si>
  <si>
    <t>SKYLARK HOME CARE LLC</t>
  </si>
  <si>
    <t>CONCORDIA OF WEXFORD</t>
  </si>
  <si>
    <t xml:space="preserve">125 BROWN RD </t>
  </si>
  <si>
    <t>15090-8557</t>
  </si>
  <si>
    <t>XENIA ADULT RECREATIONAL SERVICES CENTER</t>
  </si>
  <si>
    <t xml:space="preserve">130 E CHURCH ST </t>
  </si>
  <si>
    <t>XENIA</t>
  </si>
  <si>
    <t>VILLAGE ON THE SQUARE</t>
  </si>
  <si>
    <t xml:space="preserve">375 STATE ROAD 67 </t>
  </si>
  <si>
    <t>DOUSMAN</t>
  </si>
  <si>
    <t>53118-9673</t>
  </si>
  <si>
    <t>(262) 965-9543</t>
  </si>
  <si>
    <t>STRUM AREA HEALTH &amp; REHAB</t>
  </si>
  <si>
    <t xml:space="preserve">208 ELM ST </t>
  </si>
  <si>
    <t>STRUM</t>
  </si>
  <si>
    <t>54770-7905</t>
  </si>
  <si>
    <t>(715) 695-2611</t>
  </si>
  <si>
    <t>SKAALEN RIDGE CONDOS</t>
  </si>
  <si>
    <t xml:space="preserve">1000 RIDGE ST </t>
  </si>
  <si>
    <t>53589-5004</t>
  </si>
  <si>
    <t>WESLEY VILLAGE CAMPUS</t>
  </si>
  <si>
    <t xml:space="preserve">209 ROBERTS RD </t>
  </si>
  <si>
    <t>18640-3197</t>
  </si>
  <si>
    <t>REDSTONE HIGHLANDS - SENIOR INDEPENDENCE</t>
  </si>
  <si>
    <t xml:space="preserve">12921 REDSTONE DR </t>
  </si>
  <si>
    <t>IRWIN</t>
  </si>
  <si>
    <t>15642-7223</t>
  </si>
  <si>
    <t>(724) 864-7388</t>
  </si>
  <si>
    <t>SUNBURY FIELDS</t>
  </si>
  <si>
    <t xml:space="preserve">104 SUNBURY FIELDS LN </t>
  </si>
  <si>
    <t>16001-1370</t>
  </si>
  <si>
    <t>(724) 285-1222</t>
  </si>
  <si>
    <t>VILLAGE AT MANOR PARK INC</t>
  </si>
  <si>
    <t xml:space="preserve">3023 S 84TH ST </t>
  </si>
  <si>
    <t>53227-3703</t>
  </si>
  <si>
    <t>WISCONSIN MASONIC HOME INC - DOUSMAN - WI</t>
  </si>
  <si>
    <t xml:space="preserve">410 N MAIN ST </t>
  </si>
  <si>
    <t>53118-8853</t>
  </si>
  <si>
    <t>(262) 965-2111</t>
  </si>
  <si>
    <t>ST CAMILLUS HEALTH CENTER INC</t>
  </si>
  <si>
    <t xml:space="preserve">10101 W WISCONSIN AVE </t>
  </si>
  <si>
    <t>53226-4861</t>
  </si>
  <si>
    <t>(414) 259-6310</t>
  </si>
  <si>
    <t>SKYLARK ADH - POWERS FERRY LLC</t>
  </si>
  <si>
    <t xml:space="preserve">120 INTERSTATE NORTH PKWY SE STE 420 </t>
  </si>
  <si>
    <t>30339-2158</t>
  </si>
  <si>
    <t>BAPTIST GARDENS</t>
  </si>
  <si>
    <t xml:space="preserve">1901 MYRTLE DR SW </t>
  </si>
  <si>
    <t>30311-4914</t>
  </si>
  <si>
    <t>VILLAGE AT HERITAGE POINT</t>
  </si>
  <si>
    <t xml:space="preserve">1 HERITAGE PT </t>
  </si>
  <si>
    <t>MORGANTOWN</t>
  </si>
  <si>
    <t>304 598548</t>
  </si>
  <si>
    <t>LORELTON FOUNDATION - WILMINGTON - DE</t>
  </si>
  <si>
    <t xml:space="preserve">2200 W 4TH ST </t>
  </si>
  <si>
    <t>(302) 573-3580</t>
  </si>
  <si>
    <t>UNITED RETIREMENT CENTER</t>
  </si>
  <si>
    <t xml:space="preserve">405 1ST AVE </t>
  </si>
  <si>
    <t>BROOKINGS</t>
  </si>
  <si>
    <t>605 692535</t>
  </si>
  <si>
    <t>WALL SENIOR CITIZEN HOUSING</t>
  </si>
  <si>
    <t xml:space="preserve">2011 NEW BEDFORD RD </t>
  </si>
  <si>
    <t>WALL</t>
  </si>
  <si>
    <t>(732) 449-5889</t>
  </si>
  <si>
    <t>SPARKS INN ASSISTED LIVING CENTER</t>
  </si>
  <si>
    <t xml:space="preserve">7290 LESTER RD </t>
  </si>
  <si>
    <t>UNION CITY</t>
  </si>
  <si>
    <t>(770) 964-3301</t>
  </si>
  <si>
    <t>INGLESIDE HOMES INC</t>
  </si>
  <si>
    <t xml:space="preserve">1010 N BROOM ST </t>
  </si>
  <si>
    <t>19806-4514</t>
  </si>
  <si>
    <t>(302) 575-0283</t>
  </si>
  <si>
    <t>LUTHER TOWERS OF DOVER INC-AKA LUTHER TOWERS</t>
  </si>
  <si>
    <t>LUTHER TOWERS IV OF DOVER INC</t>
  </si>
  <si>
    <t>JACKSON PLACE</t>
  </si>
  <si>
    <t xml:space="preserve">501 JACKSON ST </t>
  </si>
  <si>
    <t>215-599-0445</t>
  </si>
  <si>
    <t>THREE PILLARS SENIOR LIVING</t>
  </si>
  <si>
    <t>(262) 965-7255</t>
  </si>
  <si>
    <t>ST PAUL MANOR</t>
  </si>
  <si>
    <t xml:space="preserve">224 E 14TH ST </t>
  </si>
  <si>
    <t>920 766602</t>
  </si>
  <si>
    <t>SAN CAMILLO INC</t>
  </si>
  <si>
    <t xml:space="preserve">10200 W BLUEMOUND RD </t>
  </si>
  <si>
    <t>414-259-6310</t>
  </si>
  <si>
    <t>TIOGA PRESBYTERIAN APARTMENTS</t>
  </si>
  <si>
    <t xml:space="preserve">1531 W TIOGA ST </t>
  </si>
  <si>
    <t>215-225-9544</t>
  </si>
  <si>
    <t>SPRING MILL PRESBYTERIAN VILLAGE</t>
  </si>
  <si>
    <t xml:space="preserve">2002 JOSHUA RD </t>
  </si>
  <si>
    <t>610-828-4848</t>
  </si>
  <si>
    <t>HOMEWOOD RETIREMENT CENTER - MARTINSBURG</t>
  </si>
  <si>
    <t xml:space="preserve">430 S MARKET ST </t>
  </si>
  <si>
    <t>MARTINSBURG</t>
  </si>
  <si>
    <t>814-793-3728</t>
  </si>
  <si>
    <t>THE DEERFIELD</t>
  </si>
  <si>
    <t xml:space="preserve">1127 W 8TH ST </t>
  </si>
  <si>
    <t>NEW RICHMOND</t>
  </si>
  <si>
    <t>54017-1467</t>
  </si>
  <si>
    <t>CENTENNIAL ASSISTED LIVING - MEMORY LOSS</t>
  </si>
  <si>
    <t xml:space="preserve">600 PARK ST E </t>
  </si>
  <si>
    <t>ANNANDALE</t>
  </si>
  <si>
    <t>55302-3061</t>
  </si>
  <si>
    <t>(320) 274-5031</t>
  </si>
  <si>
    <t>BREATH OF LIFE ADULT DAY SERVICES</t>
  </si>
  <si>
    <t xml:space="preserve">200 BUFFALO HILLS LANE </t>
  </si>
  <si>
    <t>BRAINERD</t>
  </si>
  <si>
    <t>56401-4555</t>
  </si>
  <si>
    <t>CALVIN COURT ATLANTA INC.</t>
  </si>
  <si>
    <t xml:space="preserve">479 E PACES FERRY RD NE </t>
  </si>
  <si>
    <t>30305-3311</t>
  </si>
  <si>
    <t>(404) 261-1223</t>
  </si>
  <si>
    <t>FAMILY CARE INC</t>
  </si>
  <si>
    <t xml:space="preserve">208 CHURCH ST </t>
  </si>
  <si>
    <t>THOMSON</t>
  </si>
  <si>
    <t>30824-2621</t>
  </si>
  <si>
    <t xml:space="preserve">1324 OLD WRIGHTSBORO RD </t>
  </si>
  <si>
    <t>(706) 597-0935</t>
  </si>
  <si>
    <t>GILEAD ADC</t>
  </si>
  <si>
    <t xml:space="preserve">304 GREENWAY ST </t>
  </si>
  <si>
    <t>30824-2723</t>
  </si>
  <si>
    <t>(706) 597-0310</t>
  </si>
  <si>
    <t>HOME FOR CHILDREN</t>
  </si>
  <si>
    <t xml:space="preserve">7345 RED OAK RD </t>
  </si>
  <si>
    <t>30291-2391</t>
  </si>
  <si>
    <t>ROXANNA BOOTH MANOR</t>
  </si>
  <si>
    <t xml:space="preserve">1315 CHESTNUT ST </t>
  </si>
  <si>
    <t>KENOVA</t>
  </si>
  <si>
    <t>304 453386</t>
  </si>
  <si>
    <t>BAY AREA LUTHERAN HOMES INC.</t>
  </si>
  <si>
    <t xml:space="preserve">1040 PILGRIM WAY </t>
  </si>
  <si>
    <t>(920) 499-1481</t>
  </si>
  <si>
    <t>EDGEWOOD SUMMIT</t>
  </si>
  <si>
    <t xml:space="preserve">300 BAKER LN </t>
  </si>
  <si>
    <t>304 346232</t>
  </si>
  <si>
    <t>TWIN OAKS PLAZA</t>
  </si>
  <si>
    <t xml:space="preserve">201 OAK HILL AVE </t>
  </si>
  <si>
    <t>OAK HILL</t>
  </si>
  <si>
    <t>304 469993</t>
  </si>
  <si>
    <t>TEAYS VALLEY MANOR</t>
  </si>
  <si>
    <t xml:space="preserve">5281 TEAYS VALLEY RD </t>
  </si>
  <si>
    <t>SCOTT DEPOT</t>
  </si>
  <si>
    <t>304 757263</t>
  </si>
  <si>
    <t>AUGUSTA HEALTH AND REHABILITATION</t>
  </si>
  <si>
    <t xml:space="preserve">901 BRIDGE CREEK LN </t>
  </si>
  <si>
    <t>54722-2603</t>
  </si>
  <si>
    <t>715-286-2266</t>
  </si>
  <si>
    <t>ST PAUL VILLA</t>
  </si>
  <si>
    <t xml:space="preserve">312 E 14TH ST </t>
  </si>
  <si>
    <t>ST ANNE HOME</t>
  </si>
  <si>
    <t xml:space="preserve">685 ANGELA DR </t>
  </si>
  <si>
    <t>15601-2655</t>
  </si>
  <si>
    <t>(724) 837-6070</t>
  </si>
  <si>
    <t>ASBURY BETHANY VILLAGE</t>
  </si>
  <si>
    <t xml:space="preserve">325 WESLEY DR </t>
  </si>
  <si>
    <t>17055-3511</t>
  </si>
  <si>
    <t>(717) 766-0279</t>
  </si>
  <si>
    <t>STONEY POINTE COMMONS</t>
  </si>
  <si>
    <t xml:space="preserve">1791 VERNON ODOM BLVD </t>
  </si>
  <si>
    <t>44320-3857</t>
  </si>
  <si>
    <t>ST PAUL VILLAGE</t>
  </si>
  <si>
    <t xml:space="preserve">5515 MADISON RD </t>
  </si>
  <si>
    <t>513-272-1118</t>
  </si>
  <si>
    <t>CRANES LANDING</t>
  </si>
  <si>
    <t xml:space="preserve">3315 MAYO ST </t>
  </si>
  <si>
    <t>43611-3255</t>
  </si>
  <si>
    <t xml:space="preserve">427 CANTRELL ST </t>
  </si>
  <si>
    <t>ROCKHILL MENNONITE COMMUNITY</t>
  </si>
  <si>
    <t xml:space="preserve">3250 STATE RD </t>
  </si>
  <si>
    <t>SELLERSVILLE</t>
  </si>
  <si>
    <t>18960-1624</t>
  </si>
  <si>
    <t>(215) 257-2751</t>
  </si>
  <si>
    <t>SAINT MARY'S VILLA NURSING HOME</t>
  </si>
  <si>
    <t xml:space="preserve">516 SAINT MARYS VILLA RD </t>
  </si>
  <si>
    <t>ELMHURST TOWNSHIP</t>
  </si>
  <si>
    <t>18444-9683</t>
  </si>
  <si>
    <t>(570) 842-7621</t>
  </si>
  <si>
    <t>CONCORDIA OF FRANKLIN PARK</t>
  </si>
  <si>
    <t xml:space="preserve">1600 GEORGETOWN DR </t>
  </si>
  <si>
    <t>SEWICKLEY</t>
  </si>
  <si>
    <t>15143-8546</t>
  </si>
  <si>
    <t>SISTERS OF ST JOSEPH OF WHEELING INC</t>
  </si>
  <si>
    <t xml:space="preserve">137 MOUNT SAINT JOSEPH RD </t>
  </si>
  <si>
    <t>WHEELING</t>
  </si>
  <si>
    <t>BETHESDA HOME OF ABERDEEN</t>
  </si>
  <si>
    <t xml:space="preserve">1224 S HIGH ST </t>
  </si>
  <si>
    <t>605 225758</t>
  </si>
  <si>
    <t>IMPERIAL MANOR PARKVIEW HEIGHTS</t>
  </si>
  <si>
    <t xml:space="preserve">933 GRANT STREET </t>
  </si>
  <si>
    <t>IMPERIAL</t>
  </si>
  <si>
    <t>308 882533</t>
  </si>
  <si>
    <t>PIONEER MANOR</t>
  </si>
  <si>
    <t xml:space="preserve">123 S 11TH ST </t>
  </si>
  <si>
    <t>GENEVA</t>
  </si>
  <si>
    <t>402 759381</t>
  </si>
  <si>
    <t>ASHBY LOFTS</t>
  </si>
  <si>
    <t xml:space="preserve">2909 9TH ST </t>
  </si>
  <si>
    <t>BERKELEY</t>
  </si>
  <si>
    <t>VALLEY VIEW SENIOR HOMES</t>
  </si>
  <si>
    <t xml:space="preserve">31 THERESA AVE </t>
  </si>
  <si>
    <t>AMERICAN CANYON</t>
  </si>
  <si>
    <t>STEELWORKERS TOWER</t>
  </si>
  <si>
    <t xml:space="preserve">2639 PERRYSVILLE AVE </t>
  </si>
  <si>
    <t>15214-3413</t>
  </si>
  <si>
    <t>(412) 321-2460</t>
  </si>
  <si>
    <t>CONCORDIA OF THE SOUTH HILLS</t>
  </si>
  <si>
    <t xml:space="preserve">1300 BOWER HILL RD </t>
  </si>
  <si>
    <t>15243-1388</t>
  </si>
  <si>
    <t>TRINITY TOWERS</t>
  </si>
  <si>
    <t xml:space="preserve">2611 SPRINGDALE RD SW </t>
  </si>
  <si>
    <t>30315-7137</t>
  </si>
  <si>
    <t>(404) 763-4044</t>
  </si>
  <si>
    <t>LAKEWOOD CHRISTIAN MANOR</t>
  </si>
  <si>
    <t xml:space="preserve">2141 SPRINGDALE RD SW </t>
  </si>
  <si>
    <t>30315-6100</t>
  </si>
  <si>
    <t>(404) 766-1466</t>
  </si>
  <si>
    <t>BAPTIST TOWERS</t>
  </si>
  <si>
    <t xml:space="preserve">1881 MYRTLE DR SW </t>
  </si>
  <si>
    <t>30311-4961</t>
  </si>
  <si>
    <t>404-758-4562</t>
  </si>
  <si>
    <t>OAKWOOD VILLAGE UNIVERSITY WOODS</t>
  </si>
  <si>
    <t xml:space="preserve">6209 MINERAL POINT RD </t>
  </si>
  <si>
    <t>ZABAN TOWER (THE)</t>
  </si>
  <si>
    <t xml:space="preserve">3156 HOWELL MILL RD NW </t>
  </si>
  <si>
    <t>404 350711</t>
  </si>
  <si>
    <t>VILLAGE ON PARK</t>
  </si>
  <si>
    <t xml:space="preserve">1600 PARK AVE </t>
  </si>
  <si>
    <t>NITRO</t>
  </si>
  <si>
    <t>304-755-4753</t>
  </si>
  <si>
    <t>LOS JARDINES</t>
  </si>
  <si>
    <t xml:space="preserve">1000 W 5TH ST </t>
  </si>
  <si>
    <t>VILLAGE AT MANOR PARK DBA PALMER HOUSE</t>
  </si>
  <si>
    <t>TREMPEALEAU COUNTY HEALTH CARE CENTER</t>
  </si>
  <si>
    <t xml:space="preserve">W20298 STATE ROAD 121 </t>
  </si>
  <si>
    <t>WHITEHALL</t>
  </si>
  <si>
    <t>54773-9685</t>
  </si>
  <si>
    <t>(715) 538-4312</t>
  </si>
  <si>
    <t>HARWOOD PLACE RETIREMENT COMMUNITY</t>
  </si>
  <si>
    <t xml:space="preserve">8220 HARWOOD AVE </t>
  </si>
  <si>
    <t>(414) 256-6800</t>
  </si>
  <si>
    <t>CRYSTAL LAKE TERRACE</t>
  </si>
  <si>
    <t>ST JOSEPH RESIDENCE - MAIN OFC</t>
  </si>
  <si>
    <t xml:space="preserve">107 E BECKERT RD </t>
  </si>
  <si>
    <t>54961-2509</t>
  </si>
  <si>
    <t>MIRAVIDA LIVING</t>
  </si>
  <si>
    <t>SIMEANNA APARTMENTS INC</t>
  </si>
  <si>
    <t xml:space="preserve">155 NORTH EAGLE STREET </t>
  </si>
  <si>
    <t>920-235-2137</t>
  </si>
  <si>
    <t>VILLAS BY MARY T - PRESCOTT WI</t>
  </si>
  <si>
    <t xml:space="preserve">DEXTER ST S AT HWY 35 </t>
  </si>
  <si>
    <t>INNOVAGE - CHARLOTTESVILLE</t>
  </si>
  <si>
    <t xml:space="preserve">1335 CARLTON AVE </t>
  </si>
  <si>
    <t>CHARLOTTESVILLE</t>
  </si>
  <si>
    <t>WESLEYAN HOMES INC</t>
  </si>
  <si>
    <t xml:space="preserve">265 WHITE HERON DR </t>
  </si>
  <si>
    <t>78628-7272</t>
  </si>
  <si>
    <t>(512) 868-1205</t>
  </si>
  <si>
    <t>WESLEYAN HOMES HOSPICE</t>
  </si>
  <si>
    <t xml:space="preserve">2100 SCENIC DR STE 140 </t>
  </si>
  <si>
    <t>78626-7742</t>
  </si>
  <si>
    <t>(512) 869-5800</t>
  </si>
  <si>
    <t>THE WESLEYAN AT ESTRELLA INDEPENDENT LIVING</t>
  </si>
  <si>
    <t xml:space="preserve">210 WHITE HERON DR </t>
  </si>
  <si>
    <t>78628-7273</t>
  </si>
  <si>
    <t>THE NEIGHBORS OF DC - WEST BUILDING</t>
  </si>
  <si>
    <t xml:space="preserve">651 HOWISON CIR </t>
  </si>
  <si>
    <t>54751-1614</t>
  </si>
  <si>
    <t>(715) 232-2661</t>
  </si>
  <si>
    <t>PINE HAVEN CHRISTIAN HOME</t>
  </si>
  <si>
    <t xml:space="preserve">610 MARK AVE </t>
  </si>
  <si>
    <t>SHEBOYGAN FALLS</t>
  </si>
  <si>
    <t>53085-1722</t>
  </si>
  <si>
    <t>ODD FELLOW REBEKAH HOME ASSOC INC</t>
  </si>
  <si>
    <t>JEWISH HOME AND CARE CENTER - WI</t>
  </si>
  <si>
    <t xml:space="preserve">1414 N PROSPECT AVE </t>
  </si>
  <si>
    <t>BERKSHIRE RESIDENCE</t>
  </si>
  <si>
    <t xml:space="preserve">501 2ND ST SE </t>
  </si>
  <si>
    <t>OSSEO</t>
  </si>
  <si>
    <t>55369-1603</t>
  </si>
  <si>
    <t>763-425-3939</t>
  </si>
  <si>
    <t>ANGELS ON MAIN</t>
  </si>
  <si>
    <t xml:space="preserve">922 MAIN ST NW </t>
  </si>
  <si>
    <t>ELK RIVER</t>
  </si>
  <si>
    <t>55330-1509</t>
  </si>
  <si>
    <t>763-241-6845</t>
  </si>
  <si>
    <t>PINE HAVEN CHRISTIAN COMMUNITIES</t>
  </si>
  <si>
    <t xml:space="preserve">1280 PINE HAVEN LN </t>
  </si>
  <si>
    <t>53085-3001</t>
  </si>
  <si>
    <t>(920) 564-6800</t>
  </si>
  <si>
    <t>MABESS MANOR</t>
  </si>
  <si>
    <t xml:space="preserve">280 MILL ST </t>
  </si>
  <si>
    <t>CAMPBELLSPORT</t>
  </si>
  <si>
    <t>53010-2784</t>
  </si>
  <si>
    <t>(608) 372-5890</t>
  </si>
  <si>
    <t>WOODLANDS (THE)</t>
  </si>
  <si>
    <t xml:space="preserve">700 JANET DR </t>
  </si>
  <si>
    <t>78611-2001</t>
  </si>
  <si>
    <t>(512) 756-2145</t>
  </si>
  <si>
    <t>ST JOSEPH'S RETIREMENT COMMUNITY</t>
  </si>
  <si>
    <t xml:space="preserve">320 E DECATUR ST </t>
  </si>
  <si>
    <t>WEST POINT</t>
  </si>
  <si>
    <t>402 372347</t>
  </si>
  <si>
    <t>LIZA'S HOUSE</t>
  </si>
  <si>
    <t xml:space="preserve">1357 BLUE MOUNTAIN DR </t>
  </si>
  <si>
    <t>DANIELSVILLE</t>
  </si>
  <si>
    <t>18038-9738</t>
  </si>
  <si>
    <t>IW ABEL PLACE</t>
  </si>
  <si>
    <t xml:space="preserve">4720 HATFIELD ST </t>
  </si>
  <si>
    <t>15201-2952</t>
  </si>
  <si>
    <t>(412) 687-7120</t>
  </si>
  <si>
    <t>SPRINGHILL</t>
  </si>
  <si>
    <t xml:space="preserve">2323 EDINBORO RD </t>
  </si>
  <si>
    <t>16509-3476</t>
  </si>
  <si>
    <t>(814) 860-7000</t>
  </si>
  <si>
    <t>GLENMONT</t>
  </si>
  <si>
    <t xml:space="preserve">4599 AVERY RD </t>
  </si>
  <si>
    <t>HILLIARD</t>
  </si>
  <si>
    <t>614-876-0084</t>
  </si>
  <si>
    <t>WALNUT CREEK VILLAGE</t>
  </si>
  <si>
    <t xml:space="preserve">1051 S MAIN ST </t>
  </si>
  <si>
    <t>740 862657</t>
  </si>
  <si>
    <t>BLAIR APARTMENTS</t>
  </si>
  <si>
    <t xml:space="preserve">605 N KNUTSON ST </t>
  </si>
  <si>
    <t>BLAIR</t>
  </si>
  <si>
    <t>54616-9343</t>
  </si>
  <si>
    <t>(715) 538-4518</t>
  </si>
  <si>
    <t>LUTHERAN HOME HEALTH CARE SERVICES</t>
  </si>
  <si>
    <t xml:space="preserve">7500 W NORTH AVE </t>
  </si>
  <si>
    <t>(414) 258-6170</t>
  </si>
  <si>
    <t>NAZARATH HEALTH AND REHAB</t>
  </si>
  <si>
    <t xml:space="preserve">814 JACKSON ST </t>
  </si>
  <si>
    <t>310 839236</t>
  </si>
  <si>
    <t>PRAIRIE CROSSINGS</t>
  </si>
  <si>
    <t>GWINNETT CHRISTIAN TERRACE</t>
  </si>
  <si>
    <t xml:space="preserve">414 BERKMAR WAY NW </t>
  </si>
  <si>
    <t>LILBURN</t>
  </si>
  <si>
    <t>30047-2835</t>
  </si>
  <si>
    <t>(770) 925-2300</t>
  </si>
  <si>
    <t>WESTHILLS VILLAGE RETIREMENT COMMUNITY</t>
  </si>
  <si>
    <t xml:space="preserve">255 TEXAS ST </t>
  </si>
  <si>
    <t>605 342025</t>
  </si>
  <si>
    <t>SHADY LANE INC</t>
  </si>
  <si>
    <t xml:space="preserve">1235 S 24TH ST </t>
  </si>
  <si>
    <t>54220-5516</t>
  </si>
  <si>
    <t>MILWAUKEE CATHOLIC HOME INC</t>
  </si>
  <si>
    <t xml:space="preserve">2330 N PROSPECT AVE </t>
  </si>
  <si>
    <t>53211-4455</t>
  </si>
  <si>
    <t>(414) 220-4610</t>
  </si>
  <si>
    <t>MARSHALL CNTY HEALTH CARE CTR ASSISTED LIVING</t>
  </si>
  <si>
    <t xml:space="preserve">413 9TH ST </t>
  </si>
  <si>
    <t>BRITTON</t>
  </si>
  <si>
    <t>605 448225</t>
  </si>
  <si>
    <t>RAY E DILLON LIVING CENTER</t>
  </si>
  <si>
    <t xml:space="preserve">1901 E 23RD AVE </t>
  </si>
  <si>
    <t>HUTCHINSON</t>
  </si>
  <si>
    <t>67502-1107</t>
  </si>
  <si>
    <t>(620) 663-6440</t>
  </si>
  <si>
    <t>LINDEN HOUSE (THE)</t>
  </si>
  <si>
    <t xml:space="preserve">2315 W LE MOYNE ST </t>
  </si>
  <si>
    <t>60622-1736</t>
  </si>
  <si>
    <t>(773) 276-6031</t>
  </si>
  <si>
    <t>CJE WEINBERG COMMUNITY</t>
  </si>
  <si>
    <t xml:space="preserve">1551 LAKE COOK RD </t>
  </si>
  <si>
    <t>DEERFIELD</t>
  </si>
  <si>
    <t>60015-5651</t>
  </si>
  <si>
    <t>(847) 374-0500</t>
  </si>
  <si>
    <t>CJE - VILLAGE CENTER</t>
  </si>
  <si>
    <t xml:space="preserve">5140 GALITZ ST </t>
  </si>
  <si>
    <t>60077-4102</t>
  </si>
  <si>
    <t>(847) 674-8962</t>
  </si>
  <si>
    <t>CJE - LEVY HOUSE</t>
  </si>
  <si>
    <t xml:space="preserve">1221 W SHERWIN AVE </t>
  </si>
  <si>
    <t>60626-2265</t>
  </si>
  <si>
    <t>(773) 274-1601</t>
  </si>
  <si>
    <t>CJE - FARWELL HOUSE</t>
  </si>
  <si>
    <t xml:space="preserve">1420 W FARWELL AVE </t>
  </si>
  <si>
    <t>60626-3417</t>
  </si>
  <si>
    <t>ALLSTON HOUSE</t>
  </si>
  <si>
    <t xml:space="preserve">2121 7TH ST </t>
  </si>
  <si>
    <t>TELACU TERRACE</t>
  </si>
  <si>
    <t xml:space="preserve">4536 W 118TH ST </t>
  </si>
  <si>
    <t>HAWTHORNE</t>
  </si>
  <si>
    <t>90250-2232</t>
  </si>
  <si>
    <t>(310) 676-6694</t>
  </si>
  <si>
    <t>SEQUOIA LIVING</t>
  </si>
  <si>
    <t>TAMALPAIS (THE)</t>
  </si>
  <si>
    <t xml:space="preserve">501 VIA CASITAS </t>
  </si>
  <si>
    <t>GREENBRAE</t>
  </si>
  <si>
    <t>415-461-2300</t>
  </si>
  <si>
    <t>THE SAVOY</t>
  </si>
  <si>
    <t xml:space="preserve">1424 JEFFERSON ST </t>
  </si>
  <si>
    <t>HARPER CROSSING</t>
  </si>
  <si>
    <t xml:space="preserve">3132 MARTIN LUTHER KING JR WAY </t>
  </si>
  <si>
    <t>MOORINGS OF ARLINGTON HEIGHTS (THE)-PRESBYTER</t>
  </si>
  <si>
    <t xml:space="preserve">811 E CENTRAL RD </t>
  </si>
  <si>
    <t>60005-3244</t>
  </si>
  <si>
    <t>(847) 437-6700</t>
  </si>
  <si>
    <t>PROJECT IMPACT @ WEISS MEMORIAL HOSPITAL</t>
  </si>
  <si>
    <t xml:space="preserve">4646 N MARINE DR </t>
  </si>
  <si>
    <t>60640-5759</t>
  </si>
  <si>
    <t>PROJECT IMPACT @ THOREK MEMORIAL HOSPITAL</t>
  </si>
  <si>
    <t xml:space="preserve">850 W IRVING PARK ROAD </t>
  </si>
  <si>
    <t>PRAIRIE RIDGE APARTMENTS</t>
  </si>
  <si>
    <t xml:space="preserve">1730 S HANCE DR </t>
  </si>
  <si>
    <t>MARION PFM</t>
  </si>
  <si>
    <t xml:space="preserve">102 E DEYOUNG ST </t>
  </si>
  <si>
    <t>62959-2724</t>
  </si>
  <si>
    <t>KINGSTON PLACE</t>
  </si>
  <si>
    <t xml:space="preserve">7435 S KINGSTON AVE </t>
  </si>
  <si>
    <t>60649-5606</t>
  </si>
  <si>
    <t>FOX HILL GROUP HOME</t>
  </si>
  <si>
    <t xml:space="preserve">560 W GALENA BLVD </t>
  </si>
  <si>
    <t>60506-3855</t>
  </si>
  <si>
    <t>EAST ST LOUIS PFM</t>
  </si>
  <si>
    <t xml:space="preserve">614 N 7TH ST </t>
  </si>
  <si>
    <t>EAST SAINT LOUIS</t>
  </si>
  <si>
    <t>62201-1372</t>
  </si>
  <si>
    <t>LSS AT MERIDIAN VILLAGE</t>
  </si>
  <si>
    <t xml:space="preserve">27 AUERBACK PLACE </t>
  </si>
  <si>
    <t>62034-1721</t>
  </si>
  <si>
    <t>(618) 288-3700</t>
  </si>
  <si>
    <t>SISTERS OF ST JOSEPH OF LA GRANGE</t>
  </si>
  <si>
    <t>TOLTON MANOR</t>
  </si>
  <si>
    <t xml:space="preserve">6345 S STEWART AVE </t>
  </si>
  <si>
    <t>60621-3154</t>
  </si>
  <si>
    <t>(773) 783-7800</t>
  </si>
  <si>
    <t>WHEATON POINTE AT EAST WINDSOR</t>
  </si>
  <si>
    <t xml:space="preserve">20 LANNING BLVD </t>
  </si>
  <si>
    <t>EAST WINDSOR</t>
  </si>
  <si>
    <t>08520-1911</t>
  </si>
  <si>
    <t>(609) 448-7738</t>
  </si>
  <si>
    <t>SPRINGPOINT AT HOME</t>
  </si>
  <si>
    <t xml:space="preserve">4814 OUTLOOK DR STE 201 </t>
  </si>
  <si>
    <t>WALL TOWNSHIP</t>
  </si>
  <si>
    <t>07753-6812</t>
  </si>
  <si>
    <t>(844) 724-1777</t>
  </si>
  <si>
    <t>WILLETT MANOR</t>
  </si>
  <si>
    <t xml:space="preserve">340 WHITEHEAD AVE STE 100 </t>
  </si>
  <si>
    <t>SOUTH RIVER</t>
  </si>
  <si>
    <t>08882-2574</t>
  </si>
  <si>
    <t>(732) 257-8221</t>
  </si>
  <si>
    <t>PEDIATRIC HEALTH CHOICE</t>
  </si>
  <si>
    <t xml:space="preserve">8509 BENJAMIN RD STE D </t>
  </si>
  <si>
    <t>33634-1224</t>
  </si>
  <si>
    <t>MIAMI SENIOR MANAGEMENT - TAMPA LLC</t>
  </si>
  <si>
    <t xml:space="preserve">5208 ALTON RD </t>
  </si>
  <si>
    <t>MIAMI BEACH</t>
  </si>
  <si>
    <t>33140-2005</t>
  </si>
  <si>
    <t>HAWTHORN HOUSE (A.L.)</t>
  </si>
  <si>
    <t xml:space="preserve">1200 HAWTHORN HOUSE DR </t>
  </si>
  <si>
    <t>SHALIMAR</t>
  </si>
  <si>
    <t>850-651-3766</t>
  </si>
  <si>
    <t>ASBURY ARMS NORTH INC</t>
  </si>
  <si>
    <t xml:space="preserve">1200 CLEARLAKE RD </t>
  </si>
  <si>
    <t>COCOA</t>
  </si>
  <si>
    <t>32922-4400</t>
  </si>
  <si>
    <t>(321) 632-4943</t>
  </si>
  <si>
    <t>GOLDEN AGE HOME ASSISTED LIVING</t>
  </si>
  <si>
    <t xml:space="preserve">1505 S MAIN ST </t>
  </si>
  <si>
    <t>LOCKHART</t>
  </si>
  <si>
    <t>ROSE OF SHARON APARTMENTS</t>
  </si>
  <si>
    <t xml:space="preserve">322 EAST TAYLOR STREET </t>
  </si>
  <si>
    <t>31401-5029</t>
  </si>
  <si>
    <t>(912) 234-5417</t>
  </si>
  <si>
    <t>JEWISH TOWER (THE)</t>
  </si>
  <si>
    <t xml:space="preserve">3160 HOWELL MILL RD NW </t>
  </si>
  <si>
    <t>404 351353</t>
  </si>
  <si>
    <t>DECATUR CHURCH OF CHRIST SENIOR HOUSING</t>
  </si>
  <si>
    <t xml:space="preserve">1438 CHURCH ST </t>
  </si>
  <si>
    <t>30030-1582</t>
  </si>
  <si>
    <t>(404) 377-5507</t>
  </si>
  <si>
    <t>DECATUR CHRISTIAN TOWERS</t>
  </si>
  <si>
    <t>EDGEWOOD VILLAGE</t>
  </si>
  <si>
    <t xml:space="preserve">40 EDGEWOOD AVE </t>
  </si>
  <si>
    <t>RICHWOOD</t>
  </si>
  <si>
    <t>304 846225</t>
  </si>
  <si>
    <t>TABITHA ADULT DAY SERVICES</t>
  </si>
  <si>
    <t xml:space="preserve">4720 RANDOLPH ST </t>
  </si>
  <si>
    <t>402 484960</t>
  </si>
  <si>
    <t>SENIOR CARE HEALTH &amp; REHABILITATION CENTER</t>
  </si>
  <si>
    <t xml:space="preserve">1413 BRINKER RD </t>
  </si>
  <si>
    <t>76208-6120</t>
  </si>
  <si>
    <t>940-320-6300</t>
  </si>
  <si>
    <t>SEARS METHODIST RETIREMENT SYSTEM</t>
  </si>
  <si>
    <t xml:space="preserve">1114 LOST CREEK BLVD </t>
  </si>
  <si>
    <t>78746-6300</t>
  </si>
  <si>
    <t>(325) 691-5519</t>
  </si>
  <si>
    <t>PRESBYTERIAN MANOR INC</t>
  </si>
  <si>
    <t xml:space="preserve">4600 TAFT BLVD </t>
  </si>
  <si>
    <t>940 691171</t>
  </si>
  <si>
    <t>PRAIRIE VILLAGE</t>
  </si>
  <si>
    <t xml:space="preserve">1915 N WHARTON ST </t>
  </si>
  <si>
    <t>77437-2312</t>
  </si>
  <si>
    <t>(979) 543-1366</t>
  </si>
  <si>
    <t>COUNTRY RIDGE</t>
  </si>
  <si>
    <t xml:space="preserve">5656 FARMHOUSE LN </t>
  </si>
  <si>
    <t>OAK VILLAGE EAST SNF</t>
  </si>
  <si>
    <t xml:space="preserve">5833 AMERICAN PKWY </t>
  </si>
  <si>
    <t>(608) 230-4456</t>
  </si>
  <si>
    <t xml:space="preserve">702 BRATLEY DR </t>
  </si>
  <si>
    <t>WASHBURN</t>
  </si>
  <si>
    <t>320-234-9791</t>
  </si>
  <si>
    <t>LAKE TERRACE APARTMENTS EAST</t>
  </si>
  <si>
    <t xml:space="preserve">1340 WEST WISCONSIN AVE. </t>
  </si>
  <si>
    <t>OHIO LIVING</t>
  </si>
  <si>
    <t>SENIOR INDEPENDENCE - WILLOUGHBY</t>
  </si>
  <si>
    <t xml:space="preserve">28721 MENTOR </t>
  </si>
  <si>
    <t>WILLOUGHBY</t>
  </si>
  <si>
    <t>(440) 953-1256</t>
  </si>
  <si>
    <t>STYGLER VILLAGE</t>
  </si>
  <si>
    <t xml:space="preserve">140 IMPERIAL DR </t>
  </si>
  <si>
    <t>GAHANNA</t>
  </si>
  <si>
    <t>614 475225</t>
  </si>
  <si>
    <t>STONERIDGE COURT</t>
  </si>
  <si>
    <t xml:space="preserve">4105 STONERIDGE LN </t>
  </si>
  <si>
    <t>614-792-8224</t>
  </si>
  <si>
    <t>RESTORATION PLAZA OF BARLOW</t>
  </si>
  <si>
    <t xml:space="preserve">70 WHITE OAK WOODS DR </t>
  </si>
  <si>
    <t>BARLOW</t>
  </si>
  <si>
    <t>740 678710</t>
  </si>
  <si>
    <t>WASHINGTON SQUARE INC</t>
  </si>
  <si>
    <t xml:space="preserve">10 N WASHINGTON ST </t>
  </si>
  <si>
    <t>HINSDALE</t>
  </si>
  <si>
    <t>60521-3462</t>
  </si>
  <si>
    <t>(630) 986-5625</t>
  </si>
  <si>
    <t>THREE CROWNS PARK</t>
  </si>
  <si>
    <t xml:space="preserve">2323 MCDANIEL AVE </t>
  </si>
  <si>
    <t>60201-2549</t>
  </si>
  <si>
    <t>(847) 328-8700</t>
  </si>
  <si>
    <t>PLUM LANDING RETIREMENT CENTER</t>
  </si>
  <si>
    <t xml:space="preserve">495 N LAKE ST </t>
  </si>
  <si>
    <t>(630) 896-5031</t>
  </si>
  <si>
    <t>SHOREHAVEN ADULT DAY CENTER</t>
  </si>
  <si>
    <t>262-560-6905</t>
  </si>
  <si>
    <t>HELPING HANDS - HOME MAINTENANCE</t>
  </si>
  <si>
    <t>WAUWATOSA ADULT DAY CENTER</t>
  </si>
  <si>
    <t xml:space="preserve">4545 N 92ND ST </t>
  </si>
  <si>
    <t>53225-4807</t>
  </si>
  <si>
    <t>(414) 464-3880</t>
  </si>
  <si>
    <t>UNITED LUTHERAN PROGRAM FOR THE AGING</t>
  </si>
  <si>
    <t>53225-4899</t>
  </si>
  <si>
    <t>PRESBYTERIAN SENIORCARE</t>
  </si>
  <si>
    <t xml:space="preserve">1215 HULTON RD </t>
  </si>
  <si>
    <t>OAKMONT</t>
  </si>
  <si>
    <t>15139-1135</t>
  </si>
  <si>
    <t>(412) 828-5600</t>
  </si>
  <si>
    <t>ELMWOOD GARDENS</t>
  </si>
  <si>
    <t xml:space="preserve">2628 ELMWOOD AVE </t>
  </si>
  <si>
    <t>16508-1421</t>
  </si>
  <si>
    <t>(814) 864-4802</t>
  </si>
  <si>
    <t>COMMONS OF SAXONBURG</t>
  </si>
  <si>
    <t xml:space="preserve">100 COMMONS OF SAXONBURG CT </t>
  </si>
  <si>
    <t>SAXONBURG</t>
  </si>
  <si>
    <t>16056-2252</t>
  </si>
  <si>
    <t>(724) 352-2225</t>
  </si>
  <si>
    <t>WESTMINSTER PLACE AT PARKESBURG</t>
  </si>
  <si>
    <t xml:space="preserve">320 W 1ST AVE </t>
  </si>
  <si>
    <t>PARKESBURG</t>
  </si>
  <si>
    <t>KEARSARGE PLACE</t>
  </si>
  <si>
    <t xml:space="preserve">1768 ZIMMERLY RD </t>
  </si>
  <si>
    <t>16509-1869</t>
  </si>
  <si>
    <t>(814) 866-1701</t>
  </si>
  <si>
    <t>MORNINGSIDE HOME CARE</t>
  </si>
  <si>
    <t xml:space="preserve">137 W FRENCH PL </t>
  </si>
  <si>
    <t>SANTA CLARA METHODIST RETIREMENT FOUNDATION</t>
  </si>
  <si>
    <t xml:space="preserve">890 MAIN ST </t>
  </si>
  <si>
    <t>SANTA CLARA</t>
  </si>
  <si>
    <t>95050-5467</t>
  </si>
  <si>
    <t>(408) 243-6226</t>
  </si>
  <si>
    <t>PICO VETERAN SENIOR HOUSING</t>
  </si>
  <si>
    <t xml:space="preserve">10961 W PICO BLVD </t>
  </si>
  <si>
    <t>90064-2161</t>
  </si>
  <si>
    <t>MENORAH HOUSE</t>
  </si>
  <si>
    <t xml:space="preserve">19206 SHERMAN WAY </t>
  </si>
  <si>
    <t>RESEDA</t>
  </si>
  <si>
    <t>91335-3701</t>
  </si>
  <si>
    <t>(818) 708-0407</t>
  </si>
  <si>
    <t>WILLIAM C- ARTHUR TERRACE</t>
  </si>
  <si>
    <t xml:space="preserve">1275 W 8TH ST </t>
  </si>
  <si>
    <t>951-270-0598</t>
  </si>
  <si>
    <t>TERRACES OF LOS GATOS RETIREMENT COM (THE)</t>
  </si>
  <si>
    <t xml:space="preserve">800 BLOSSOM HILL RD </t>
  </si>
  <si>
    <t>LOS GATOS</t>
  </si>
  <si>
    <t>408-356-1006</t>
  </si>
  <si>
    <t>REGENTS POINT</t>
  </si>
  <si>
    <t xml:space="preserve">19191 HARVARD AVE </t>
  </si>
  <si>
    <t>949-854-9500</t>
  </si>
  <si>
    <t>WESTMINSTER SUNCOAST</t>
  </si>
  <si>
    <t xml:space="preserve">1095 PINELLAS POINT DR S </t>
  </si>
  <si>
    <t>SAINT PETERSBURG</t>
  </si>
  <si>
    <t>33705-6154</t>
  </si>
  <si>
    <t>(727) 867-1131</t>
  </si>
  <si>
    <t>WESTMINSTER ST AUGUSTINE</t>
  </si>
  <si>
    <t xml:space="preserve">235 TOWERVIEW DR </t>
  </si>
  <si>
    <t>ST AUGUSTINE</t>
  </si>
  <si>
    <t>(904) 940-4800</t>
  </si>
  <si>
    <t>WESTMINSTER ASBURY</t>
  </si>
  <si>
    <t xml:space="preserve">1430 DIXON BLVD </t>
  </si>
  <si>
    <t xml:space="preserve">30 DESOTO PL </t>
  </si>
  <si>
    <t>TRINITY APARTMENTS OF LAKELAND INC</t>
  </si>
  <si>
    <t xml:space="preserve">1201 S CENTRAL AVE </t>
  </si>
  <si>
    <t>33815-3501</t>
  </si>
  <si>
    <t>(863) 687-3401</t>
  </si>
  <si>
    <t>FORTY MYERS PRESBYTERIAN CHURCH</t>
  </si>
  <si>
    <t xml:space="preserve">1925 VIRGINIA AVE </t>
  </si>
  <si>
    <t>33901-3318</t>
  </si>
  <si>
    <t>(941) 332-1050</t>
  </si>
  <si>
    <t>PIVOTAL HEALTH CARE</t>
  </si>
  <si>
    <t xml:space="preserve">11827 WEST 112TH ST STE 103 </t>
  </si>
  <si>
    <t xml:space="preserve">6TH AND POLK STS </t>
  </si>
  <si>
    <t>HUGOTON</t>
  </si>
  <si>
    <t>307-688-7112</t>
  </si>
  <si>
    <t>LOGAN MANOR COMMUNITY HEALTH</t>
  </si>
  <si>
    <t xml:space="preserve">108 S ADAMS ST </t>
  </si>
  <si>
    <t>785-689-4201</t>
  </si>
  <si>
    <t>LEISURE HOMESTEAD ASSOCIATION AT STAFFORD</t>
  </si>
  <si>
    <t xml:space="preserve">405 GRAND AVE </t>
  </si>
  <si>
    <t>STAFFORD</t>
  </si>
  <si>
    <t>67578-2009</t>
  </si>
  <si>
    <t>(620) 234-5208</t>
  </si>
  <si>
    <t>ATTICA LONG TERM CARE</t>
  </si>
  <si>
    <t xml:space="preserve">302 N BOTKIN ST </t>
  </si>
  <si>
    <t>ATTICA</t>
  </si>
  <si>
    <t>67009-9032</t>
  </si>
  <si>
    <t>(620) 254-7253</t>
  </si>
  <si>
    <t>GABLE RIDGE</t>
  </si>
  <si>
    <t xml:space="preserve">8000 BEACON HILL DR </t>
  </si>
  <si>
    <t>15221-2594</t>
  </si>
  <si>
    <t>(412) 241-9474</t>
  </si>
  <si>
    <t>BEECHTREE COMMONS</t>
  </si>
  <si>
    <t xml:space="preserve">6460 LEECHBURG RD </t>
  </si>
  <si>
    <t>VERONA</t>
  </si>
  <si>
    <t>15147-3646</t>
  </si>
  <si>
    <t>(412) 798-5589</t>
  </si>
  <si>
    <t>MORNINGSTAR SENIOR LIVING INC.</t>
  </si>
  <si>
    <t xml:space="preserve">175 W. NORTH STREET </t>
  </si>
  <si>
    <t>NAZARETH</t>
  </si>
  <si>
    <t>TRINITY TOWER OF BUFFALO INC</t>
  </si>
  <si>
    <t xml:space="preserve">33 LINWOOD AVE </t>
  </si>
  <si>
    <t>14209-2228</t>
  </si>
  <si>
    <t>(716) 882-4348</t>
  </si>
  <si>
    <t>THE COMMUNITY AT SUNSET WOOD</t>
  </si>
  <si>
    <t xml:space="preserve">118 GENESEE ST </t>
  </si>
  <si>
    <t>NEW HARTFORD</t>
  </si>
  <si>
    <t>13413-2358</t>
  </si>
  <si>
    <t>(315) 733-1389</t>
  </si>
  <si>
    <t>BAYSHORE PRESBYTERIAN</t>
  </si>
  <si>
    <t xml:space="preserve">2909 BARCELONA </t>
  </si>
  <si>
    <t>33609-0000</t>
  </si>
  <si>
    <t>(813) 839-3381</t>
  </si>
  <si>
    <t>HERITAGE GARDENS (CBRF)</t>
  </si>
  <si>
    <t>NORTHERN LIGHTS MANOR</t>
  </si>
  <si>
    <t xml:space="preserve">706 BRATLEY DR </t>
  </si>
  <si>
    <t>715-373-5621</t>
  </si>
  <si>
    <t>MOUNT PLEASANT MANOR</t>
  </si>
  <si>
    <t xml:space="preserve">2250 LAYARD AVE </t>
  </si>
  <si>
    <t>53404-2043</t>
  </si>
  <si>
    <t>(703) 341-5000</t>
  </si>
  <si>
    <t>CARMEL RESIDENCE INC</t>
  </si>
  <si>
    <t xml:space="preserve">220 N WESTFIELD ST </t>
  </si>
  <si>
    <t>SKAALEN RETIREMENT SERVICES</t>
  </si>
  <si>
    <t>ST JOHNS COMMUNITIES INC</t>
  </si>
  <si>
    <t xml:space="preserve">1840 N PROSPECT AVE </t>
  </si>
  <si>
    <t>53202-1975</t>
  </si>
  <si>
    <t>(414) 272-2022</t>
  </si>
  <si>
    <t>NORTHLAND LUTHERAN RETIREMENT COMMUNITY INC.</t>
  </si>
  <si>
    <t xml:space="preserve">831 PINE BEACH RD </t>
  </si>
  <si>
    <t>NORTHLAND LUTHERAN</t>
  </si>
  <si>
    <t xml:space="preserve">925 PINE BEACH RD </t>
  </si>
  <si>
    <t>54143-4227</t>
  </si>
  <si>
    <t>(715) 732-0155</t>
  </si>
  <si>
    <t>SNYDER VILLAGE/MARVIN E SMITH</t>
  </si>
  <si>
    <t xml:space="preserve">1200 E PARTRIDGE ST </t>
  </si>
  <si>
    <t>METAMORA</t>
  </si>
  <si>
    <t>61548-9619</t>
  </si>
  <si>
    <t>(309) 367-4300</t>
  </si>
  <si>
    <t>AVALON SQUARE</t>
  </si>
  <si>
    <t xml:space="preserve">222 PARK PL </t>
  </si>
  <si>
    <t>53186-4815</t>
  </si>
  <si>
    <t>(262) 547-6741</t>
  </si>
  <si>
    <t xml:space="preserve">531 GIDDINGS AVE </t>
  </si>
  <si>
    <t>53085-1707</t>
  </si>
  <si>
    <t>(920) 467-2401</t>
  </si>
  <si>
    <t>REBEKAH HAVEN (RCAC)</t>
  </si>
  <si>
    <t xml:space="preserve">826 GRIGNON ST </t>
  </si>
  <si>
    <t>54301-3000</t>
  </si>
  <si>
    <t>OAKWOOD LUTHERAN SENIOR MINISTRIES</t>
  </si>
  <si>
    <t xml:space="preserve">6205 MINERAL POINT RD </t>
  </si>
  <si>
    <t>FRANCIS MEADOWS APARTMENTS</t>
  </si>
  <si>
    <t xml:space="preserve">2209 BROWNS LAKE DR </t>
  </si>
  <si>
    <t>53105-7954</t>
  </si>
  <si>
    <t>LUTHERAN HOME AND HEALTH SERVICES INC</t>
  </si>
  <si>
    <t xml:space="preserve">701 PINE DR </t>
  </si>
  <si>
    <t>OOSTBURG</t>
  </si>
  <si>
    <t>53070-1657</t>
  </si>
  <si>
    <t xml:space="preserve">1229 S JACKSON ST </t>
  </si>
  <si>
    <t>NORTHLAND TERRACE ESTATES TERRACE LN</t>
  </si>
  <si>
    <t xml:space="preserve">1200 MORTHLAND </t>
  </si>
  <si>
    <t>(715) 735-9393</t>
  </si>
  <si>
    <t>PARK CENTRE APARTMENTS</t>
  </si>
  <si>
    <t xml:space="preserve">1045 PERRY ST </t>
  </si>
  <si>
    <t>SENIORSAFE@HOME &amp; SEARS METHODIST</t>
  </si>
  <si>
    <t xml:space="preserve">ONE VILLAGE DR STE 400 </t>
  </si>
  <si>
    <t>79606-8231</t>
  </si>
  <si>
    <t>OUR LADY OF THE LAKE CONVENT</t>
  </si>
  <si>
    <t xml:space="preserve">515 SW 24TH ST </t>
  </si>
  <si>
    <t>78207-4619</t>
  </si>
  <si>
    <t>SHOREHAVEN (HILLSIDE TERRACE)</t>
  </si>
  <si>
    <t>53066-2647</t>
  </si>
  <si>
    <t>PETERSON MEADOWS</t>
  </si>
  <si>
    <t xml:space="preserve">6401 NEWBURG RD </t>
  </si>
  <si>
    <t>61108-4322</t>
  </si>
  <si>
    <t>(815) 229-0390</t>
  </si>
  <si>
    <t>HARVEST HILLS RETIREMENT CENTER</t>
  </si>
  <si>
    <t xml:space="preserve">901 S 36TH ST </t>
  </si>
  <si>
    <t>62301-6693</t>
  </si>
  <si>
    <t>(217) 222-3333</t>
  </si>
  <si>
    <t>DANISH HOME (THE)</t>
  </si>
  <si>
    <t xml:space="preserve">5656 N NEWCASTLE AVE </t>
  </si>
  <si>
    <t>60631-3108</t>
  </si>
  <si>
    <t>(773) 775-7383</t>
  </si>
  <si>
    <t>ST CLOUD VILLAS I</t>
  </si>
  <si>
    <t xml:space="preserve">4226 MEMORY LN </t>
  </si>
  <si>
    <t>SAINT CLOUD</t>
  </si>
  <si>
    <t>34769-1667</t>
  </si>
  <si>
    <t>PALM SPRINGS VILLA</t>
  </si>
  <si>
    <t xml:space="preserve">445 W 51ST PL APT 602 </t>
  </si>
  <si>
    <t>33012-3649</t>
  </si>
  <si>
    <t>(305) 824-1108</t>
  </si>
  <si>
    <t>BARRY MANOR APARTMENTS</t>
  </si>
  <si>
    <t xml:space="preserve">1000 HUSSON AVE </t>
  </si>
  <si>
    <t>32177-5410</t>
  </si>
  <si>
    <t>(386) 328-5137</t>
  </si>
  <si>
    <t>PABLO HAMLET</t>
  </si>
  <si>
    <t xml:space="preserve">1600 SHETTER AVE </t>
  </si>
  <si>
    <t>JACKSONVILLE BEACH</t>
  </si>
  <si>
    <t>32250-2665</t>
  </si>
  <si>
    <t>(904) 241-5207</t>
  </si>
  <si>
    <t>MOUNTAIN VISTAS II</t>
  </si>
  <si>
    <t xml:space="preserve">385 HILLTOP DR </t>
  </si>
  <si>
    <t>530-241-9030</t>
  </si>
  <si>
    <t>PINECREST COMMUNITY</t>
  </si>
  <si>
    <t xml:space="preserve">414 S WESLEY AVE </t>
  </si>
  <si>
    <t>MOUNT MORRIS</t>
  </si>
  <si>
    <t>61054-1428</t>
  </si>
  <si>
    <t>(815) 734-4103</t>
  </si>
  <si>
    <t>BAYWOOD COURT</t>
  </si>
  <si>
    <t xml:space="preserve">21966 DOLORES ST </t>
  </si>
  <si>
    <t>510 733210</t>
  </si>
  <si>
    <t>SEA MIST TOWERS</t>
  </si>
  <si>
    <t xml:space="preserve">1451 ATLANTIC AVE </t>
  </si>
  <si>
    <t>LONG BEACH</t>
  </si>
  <si>
    <t>90813-2076</t>
  </si>
  <si>
    <t>(562) 218-0580</t>
  </si>
  <si>
    <t>RESTORATION SENIOR LIVING</t>
  </si>
  <si>
    <t xml:space="preserve">227 E EDGEWOOD DR </t>
  </si>
  <si>
    <t>77546-3820</t>
  </si>
  <si>
    <t>OAKVIEW APARTMENTS</t>
  </si>
  <si>
    <t xml:space="preserve">900 PARKWAY ST </t>
  </si>
  <si>
    <t>LA PORTE</t>
  </si>
  <si>
    <t>77571-5882</t>
  </si>
  <si>
    <t>(281) 471-6055</t>
  </si>
  <si>
    <t>OAKVIEW HEIGHTS CONTINUOUS CARE AND REHABILITATION CENTER</t>
  </si>
  <si>
    <t xml:space="preserve">1320 W 9TH ST </t>
  </si>
  <si>
    <t>MOUNT CARMEL</t>
  </si>
  <si>
    <t>62863-2905</t>
  </si>
  <si>
    <t>(618) 263-4337</t>
  </si>
  <si>
    <t>SHAWNEE CHRISTIAN NURSING CENTER</t>
  </si>
  <si>
    <t xml:space="preserve">1901 N 13TH ST </t>
  </si>
  <si>
    <t>HERRIN</t>
  </si>
  <si>
    <t>62948-2839</t>
  </si>
  <si>
    <t>(618) 988-0478</t>
  </si>
  <si>
    <t>WASHINGTON PLACE</t>
  </si>
  <si>
    <t xml:space="preserve">612 WASHINGTON ST </t>
  </si>
  <si>
    <t>BEARDSTOWN</t>
  </si>
  <si>
    <t>MOLINE</t>
  </si>
  <si>
    <t xml:space="preserve">1330 13TH ST FL 2 </t>
  </si>
  <si>
    <t>61265-3016</t>
  </si>
  <si>
    <t>WILLIAM BREMAN JEWISH HOME (THE)</t>
  </si>
  <si>
    <t xml:space="preserve">3150 HOWELL MILL RD NW </t>
  </si>
  <si>
    <t>404 351841</t>
  </si>
  <si>
    <t>EL BETHEL TERRACE</t>
  </si>
  <si>
    <t xml:space="preserve">1099 FILLMORE ST </t>
  </si>
  <si>
    <t>415-567-3950</t>
  </si>
  <si>
    <t>CANTERBURY VILLAGE</t>
  </si>
  <si>
    <t xml:space="preserve">23420 AVENIDA ROTELLA </t>
  </si>
  <si>
    <t>91355-3062</t>
  </si>
  <si>
    <t>(661) 255-9797</t>
  </si>
  <si>
    <t>AMERICAN BAPTIST HOMES OF THE WEST</t>
  </si>
  <si>
    <t xml:space="preserve">6120 STONERIDGE MALL RD STE 300 </t>
  </si>
  <si>
    <t>925-924-7100</t>
  </si>
  <si>
    <t>ALLEN TEMPLE GARDENS</t>
  </si>
  <si>
    <t xml:space="preserve">10121 INTERNATIONAL BLVD </t>
  </si>
  <si>
    <t>510-383-9190</t>
  </si>
  <si>
    <t>EPISCOPAL COMMUNITIES &amp; SERVICES</t>
  </si>
  <si>
    <t xml:space="preserve">1111 S ARROYO PKWY STE 230 </t>
  </si>
  <si>
    <t>91105-3269</t>
  </si>
  <si>
    <t>BREMENTOWNE MANOR APTS</t>
  </si>
  <si>
    <t xml:space="preserve">16130 OAK PARK AVE </t>
  </si>
  <si>
    <t>60477-1621</t>
  </si>
  <si>
    <t>(708) 429-4088</t>
  </si>
  <si>
    <t>ALLWAYS CARING SERVICES</t>
  </si>
  <si>
    <t xml:space="preserve">2650 W ALBION AVE </t>
  </si>
  <si>
    <t>60645-5114</t>
  </si>
  <si>
    <t>(773) 764-7313</t>
  </si>
  <si>
    <t>WYNSCAPE NURSING &amp; REHABILITATION CENTER</t>
  </si>
  <si>
    <t xml:space="preserve">2180 MANCHESTER RD </t>
  </si>
  <si>
    <t>60187-4580</t>
  </si>
  <si>
    <t>(630) 665-4330</t>
  </si>
  <si>
    <t xml:space="preserve">2919 9TH ST </t>
  </si>
  <si>
    <t>TULPEHOCKEN TERRACE</t>
  </si>
  <si>
    <t xml:space="preserve">101 W RICHLAND AVE </t>
  </si>
  <si>
    <t>MYERSTOWN</t>
  </si>
  <si>
    <t>17067-1416</t>
  </si>
  <si>
    <t>(717)866-2077</t>
  </si>
  <si>
    <t>VILLAGE GARDEN APARTMENTS</t>
  </si>
  <si>
    <t xml:space="preserve">3111 LITITZ PIKE </t>
  </si>
  <si>
    <t>717-569-9735</t>
  </si>
  <si>
    <t>THE LANGFORD AT COLLEGE STATION</t>
  </si>
  <si>
    <t xml:space="preserve">1851 CARROLL FANCHER WAY </t>
  </si>
  <si>
    <t>COLLEGE STATION</t>
  </si>
  <si>
    <t>77845-8967</t>
  </si>
  <si>
    <t>(979) 704-6600</t>
  </si>
  <si>
    <t>EVERGREEN VILLA APARTMENTS</t>
  </si>
  <si>
    <t xml:space="preserve">805 E HIGHWAY ST </t>
  </si>
  <si>
    <t>78624-5262</t>
  </si>
  <si>
    <t>(830) 997-9458</t>
  </si>
  <si>
    <t>FAITH PRESBYTERIAN HOSPICE</t>
  </si>
  <si>
    <t xml:space="preserve">12477 MERIT DR </t>
  </si>
  <si>
    <t>75251-2344</t>
  </si>
  <si>
    <t>(214) 372-0090</t>
  </si>
  <si>
    <t>PIONEER PLACE SENIOR HOUSING II INC</t>
  </si>
  <si>
    <t xml:space="preserve">1932 AVENUE K </t>
  </si>
  <si>
    <t>PLANO</t>
  </si>
  <si>
    <t>(972) 424-9800</t>
  </si>
  <si>
    <t xml:space="preserve">800 WILLOW ST </t>
  </si>
  <si>
    <t>(717) 273-7071</t>
  </si>
  <si>
    <t>CATHOLIC SENIOR HOUSING AND HEALTH CARE SRVCS</t>
  </si>
  <si>
    <t>(610)865-5595</t>
  </si>
  <si>
    <t>NATIVITY BVM</t>
  </si>
  <si>
    <t xml:space="preserve">3255 BELGRADE ST </t>
  </si>
  <si>
    <t>19134-5248</t>
  </si>
  <si>
    <t>(215) 279-7270</t>
  </si>
  <si>
    <t>FAIRVIEW MEADOWS</t>
  </si>
  <si>
    <t xml:space="preserve">50 FAIRVIEW DR </t>
  </si>
  <si>
    <t>717-581-4465</t>
  </si>
  <si>
    <t>SHEPARD PARK HOME CARE</t>
  </si>
  <si>
    <t xml:space="preserve">2235 ROCKWOOD AVE </t>
  </si>
  <si>
    <t>SAINT PAUL</t>
  </si>
  <si>
    <t>55116-3175</t>
  </si>
  <si>
    <t>LAMPLIGHTER VILLAGE</t>
  </si>
  <si>
    <t xml:space="preserve">1512 WOODBRIDGE ST </t>
  </si>
  <si>
    <t>COMMUNITY HOMES OF LEBANON VALLEY</t>
  </si>
  <si>
    <t xml:space="preserve">1407 OAK ST </t>
  </si>
  <si>
    <t>17042-5886</t>
  </si>
  <si>
    <t>(717)273-1711</t>
  </si>
  <si>
    <t>MAPLE TERRACE</t>
  </si>
  <si>
    <t xml:space="preserve">725 MAPLE ST </t>
  </si>
  <si>
    <t>717-272-2211</t>
  </si>
  <si>
    <t>HILL TERRACE</t>
  </si>
  <si>
    <t xml:space="preserve">745 MAPLE ST </t>
  </si>
  <si>
    <t>BARNABAS COURT AT BREVILLIER VILLAGE</t>
  </si>
  <si>
    <t xml:space="preserve">5416 E LAKE RD </t>
  </si>
  <si>
    <t>16511-1427</t>
  </si>
  <si>
    <t>(814) 899-8600</t>
  </si>
  <si>
    <t>DOMINICAN SISTERS OF SPRINGFIELD ILLINOIS</t>
  </si>
  <si>
    <t>217 787048</t>
  </si>
  <si>
    <t>CJE SENIORLIFE</t>
  </si>
  <si>
    <t xml:space="preserve">3003 W TOUHY AVE </t>
  </si>
  <si>
    <t>60645-2833</t>
  </si>
  <si>
    <t>(773) 508-1000</t>
  </si>
  <si>
    <t>CENTRAL BAPTIST VILLAGE</t>
  </si>
  <si>
    <t xml:space="preserve">4747 N CANFIELD AVE </t>
  </si>
  <si>
    <t>NORRIDGE</t>
  </si>
  <si>
    <t>60706-4480</t>
  </si>
  <si>
    <t>(708) 583-8500</t>
  </si>
  <si>
    <t>SHADY OAKS WEST</t>
  </si>
  <si>
    <t xml:space="preserve">16220 S PARKER RD </t>
  </si>
  <si>
    <t>HOMER GLEN</t>
  </si>
  <si>
    <t>SHADY OAKS EAST</t>
  </si>
  <si>
    <t xml:space="preserve">16240 S PARKER RD </t>
  </si>
  <si>
    <t>SPRINGHILL SENIOR LIVING COMMUNITY</t>
  </si>
  <si>
    <t>717-766-7698</t>
  </si>
  <si>
    <t>CUMMINGS ASSISTED LIVING</t>
  </si>
  <si>
    <t xml:space="preserve">5100 RANDOL MILL RD </t>
  </si>
  <si>
    <t>817 451800</t>
  </si>
  <si>
    <t>BRANDYWINE APARTMENTS</t>
  </si>
  <si>
    <t xml:space="preserve">500 ROCKINGHAM DR </t>
  </si>
  <si>
    <t>RICHARDSON</t>
  </si>
  <si>
    <t>75080-4339</t>
  </si>
  <si>
    <t>COUNTRY VILLAGE SQUARE</t>
  </si>
  <si>
    <t xml:space="preserve">1800 WAELDER RD </t>
  </si>
  <si>
    <t>GONZALES</t>
  </si>
  <si>
    <t>78629-2756</t>
  </si>
  <si>
    <t>(830) 672-2877</t>
  </si>
  <si>
    <t>CARVER PLAZA APARTMENTS</t>
  </si>
  <si>
    <t xml:space="preserve">233 WASHINGTON BLVD </t>
  </si>
  <si>
    <t>79601-5462</t>
  </si>
  <si>
    <t>(325) 676-1534</t>
  </si>
  <si>
    <t>THE OAKS AT BARTLETT</t>
  </si>
  <si>
    <t xml:space="preserve">825 CARILLON DR </t>
  </si>
  <si>
    <t>630 372198</t>
  </si>
  <si>
    <t>CJE - KRASNOW RESIDENCE</t>
  </si>
  <si>
    <t xml:space="preserve">8901 GROSS POINT RD </t>
  </si>
  <si>
    <t>60077-1868</t>
  </si>
  <si>
    <t>CJE - JARVIS HOUSE</t>
  </si>
  <si>
    <t xml:space="preserve">1345 W JARVIS AVE </t>
  </si>
  <si>
    <t>60626-2090</t>
  </si>
  <si>
    <t>LAROCHE MANOR</t>
  </si>
  <si>
    <t xml:space="preserve">1700 E STONE ST </t>
  </si>
  <si>
    <t>BRENHAM</t>
  </si>
  <si>
    <t>77833-5150</t>
  </si>
  <si>
    <t>GREENWAY VILLAGE</t>
  </si>
  <si>
    <t xml:space="preserve">948 WIGGINS PKWY </t>
  </si>
  <si>
    <t>972 686300</t>
  </si>
  <si>
    <t>CYPRESS HEALTHCARE CONSULTANTS</t>
  </si>
  <si>
    <t xml:space="preserve">2929 N CENTRAL EXPY STE 200 </t>
  </si>
  <si>
    <t>75080-2044</t>
  </si>
  <si>
    <t>(972) 424-1360</t>
  </si>
  <si>
    <t>HOUSING AUTHORITY OF JOLIET</t>
  </si>
  <si>
    <t xml:space="preserve">6 S BROADWAY ST </t>
  </si>
  <si>
    <t>60436-1753</t>
  </si>
  <si>
    <t>815-727-0611</t>
  </si>
  <si>
    <t>RIVERMONT PRESBYTERIAN HOMES</t>
  </si>
  <si>
    <t xml:space="preserve">60 4TH AVE APT 105 </t>
  </si>
  <si>
    <t>304 442476</t>
  </si>
  <si>
    <t>MOUNTAIN TERRACE APARTMENTS</t>
  </si>
  <si>
    <t xml:space="preserve">37408 COAL RIVER RD APT 104 </t>
  </si>
  <si>
    <t>WHITESVILLE</t>
  </si>
  <si>
    <t>304-854-0590</t>
  </si>
  <si>
    <t>MASONIC HOME OF DELEWARE INC</t>
  </si>
  <si>
    <t xml:space="preserve">1606 NEWPORT GAP PIKE </t>
  </si>
  <si>
    <t>19903-1240</t>
  </si>
  <si>
    <t>(302) 994-4434</t>
  </si>
  <si>
    <t>DOUGLAS COUNTY HEALTH CENTER</t>
  </si>
  <si>
    <t xml:space="preserve">1225 SOUTH 40TH STREET </t>
  </si>
  <si>
    <t>402 444700</t>
  </si>
  <si>
    <t>ADELINE LOFTS</t>
  </si>
  <si>
    <t xml:space="preserve">1131 24TH ST </t>
  </si>
  <si>
    <t>HEARTHSTONE MANOR</t>
  </si>
  <si>
    <t xml:space="preserve">920 N SEMINARY AVE </t>
  </si>
  <si>
    <t>60098-2996</t>
  </si>
  <si>
    <t>(815) 334-6200</t>
  </si>
  <si>
    <t>BONNIE BRAE TERRACE</t>
  </si>
  <si>
    <t xml:space="preserve">2400 CARLMONT DR </t>
  </si>
  <si>
    <t>BELMONT</t>
  </si>
  <si>
    <t>94002-3264</t>
  </si>
  <si>
    <t>BETHLEHEM TOWERS</t>
  </si>
  <si>
    <t xml:space="preserve">801 TUPPER ST </t>
  </si>
  <si>
    <t>707 544556</t>
  </si>
  <si>
    <t xml:space="preserve">11614 183RD ST </t>
  </si>
  <si>
    <t>562 865521</t>
  </si>
  <si>
    <t xml:space="preserve">1 NATALIE LN </t>
  </si>
  <si>
    <t>HERITAGE SQUARE</t>
  </si>
  <si>
    <t xml:space="preserve">620 N OTTAWA </t>
  </si>
  <si>
    <t>DIXON</t>
  </si>
  <si>
    <t>(815) 288-2251</t>
  </si>
  <si>
    <t>HARVEST TIME BIBLE CHURCH</t>
  </si>
  <si>
    <t xml:space="preserve">1802 DIXON RD </t>
  </si>
  <si>
    <t>ROCK FALLS</t>
  </si>
  <si>
    <t>61071-1917</t>
  </si>
  <si>
    <t>FAIR OAKS HEALTH CARE CENTER</t>
  </si>
  <si>
    <t xml:space="preserve">471 W TERRA COTTA AVE </t>
  </si>
  <si>
    <t>60014-3434</t>
  </si>
  <si>
    <t>815-455-0550</t>
  </si>
  <si>
    <t>CARMELITE CAREFREE VILLAGE</t>
  </si>
  <si>
    <t xml:space="preserve">8419 BAILEY RD </t>
  </si>
  <si>
    <t>DARIEN</t>
  </si>
  <si>
    <t>60561-5361</t>
  </si>
  <si>
    <t>(630) 960-4060</t>
  </si>
  <si>
    <t>BRIGHTON GARDENS OF PROSPECT HEIGHTS</t>
  </si>
  <si>
    <t xml:space="preserve">700 E EUCLID AVE </t>
  </si>
  <si>
    <t>PROSPECT HEIGHTS</t>
  </si>
  <si>
    <t>60070-3409</t>
  </si>
  <si>
    <t>847-797-2700</t>
  </si>
  <si>
    <t>NORMANDIE RIDGE</t>
  </si>
  <si>
    <t xml:space="preserve">1700 NORMANDIE DR </t>
  </si>
  <si>
    <t>717 764626</t>
  </si>
  <si>
    <t>ABRAMSON HOME CARE</t>
  </si>
  <si>
    <t xml:space="preserve">261 OLD YORK RD STE 318 </t>
  </si>
  <si>
    <t>19046-3709</t>
  </si>
  <si>
    <t>LITTLE SISTERS OF THE POOR</t>
  </si>
  <si>
    <t xml:space="preserve">4291 RICHMOND RD </t>
  </si>
  <si>
    <t>(216) 464-1222</t>
  </si>
  <si>
    <t>ELIZA BRYANT VILLAGE</t>
  </si>
  <si>
    <t xml:space="preserve">7201 WADE PARK AVE </t>
  </si>
  <si>
    <t>44103-2765</t>
  </si>
  <si>
    <t>(216) 361-6141</t>
  </si>
  <si>
    <t>COMMONS AT LIVINGSTON</t>
  </si>
  <si>
    <t xml:space="preserve">3349 E LIVINGSTON AVE </t>
  </si>
  <si>
    <t>TELACU PICO ALISO</t>
  </si>
  <si>
    <t xml:space="preserve">1450 E 1ST ST </t>
  </si>
  <si>
    <t>90033-3327</t>
  </si>
  <si>
    <t>(323) 264-9038</t>
  </si>
  <si>
    <t>ST. PAUL'S MANOR</t>
  </si>
  <si>
    <t xml:space="preserve">2635 2ND AVE </t>
  </si>
  <si>
    <t>92103-6552</t>
  </si>
  <si>
    <t>LUTHERAN HOME AT JOHNSTOWN (THE)</t>
  </si>
  <si>
    <t xml:space="preserve">807 GOUCHER ST </t>
  </si>
  <si>
    <t>15905-2942</t>
  </si>
  <si>
    <t>(814) 255-6844</t>
  </si>
  <si>
    <t xml:space="preserve">3201 RIVER RD </t>
  </si>
  <si>
    <t>17837-9255</t>
  </si>
  <si>
    <t>(570) 524-6234</t>
  </si>
  <si>
    <t>BIRNHAK TRANSITIONAL CARE</t>
  </si>
  <si>
    <t xml:space="preserve">1425 HORSHAM RD A1 </t>
  </si>
  <si>
    <t>BETHANY HOME INC</t>
  </si>
  <si>
    <t xml:space="preserve">515 W 1ST ST </t>
  </si>
  <si>
    <t>308 832159</t>
  </si>
  <si>
    <t>MITCHELL CARE CENTER</t>
  </si>
  <si>
    <t xml:space="preserve">1723 23RD ST </t>
  </si>
  <si>
    <t>MITCHELL</t>
  </si>
  <si>
    <t>308-623-1212</t>
  </si>
  <si>
    <t>IMMANUEL</t>
  </si>
  <si>
    <t xml:space="preserve">1044 N 115TH ST STE 500 </t>
  </si>
  <si>
    <t>402 829290</t>
  </si>
  <si>
    <t>ORTHOWEST</t>
  </si>
  <si>
    <t xml:space="preserve">11819 MIRACLE HILLS DR STE 212 </t>
  </si>
  <si>
    <t>908 852480</t>
  </si>
  <si>
    <t>PM VALLEY MEMORIAL HOMES</t>
  </si>
  <si>
    <t xml:space="preserve">2900 14TH AVE S </t>
  </si>
  <si>
    <t>GRAND FORKS</t>
  </si>
  <si>
    <t>EDUCATIONAL INSTITUTE ON AGING</t>
  </si>
  <si>
    <t xml:space="preserve">2205 HANCOCK DR </t>
  </si>
  <si>
    <t>78756-2508</t>
  </si>
  <si>
    <t>DALLAS BUCKNER CENTER FOR HUMANITARIAN AID</t>
  </si>
  <si>
    <t xml:space="preserve">5405 SHOE DR </t>
  </si>
  <si>
    <t>CC YOUNG SENIOR LIVING</t>
  </si>
  <si>
    <t xml:space="preserve">4829 W LAWTHER DR </t>
  </si>
  <si>
    <t>214 827808</t>
  </si>
  <si>
    <t>CARILLON INC</t>
  </si>
  <si>
    <t xml:space="preserve">1717 NORFOLK AVE BLDG A </t>
  </si>
  <si>
    <t>79416-6065</t>
  </si>
  <si>
    <t>(806) 781-6147</t>
  </si>
  <si>
    <t>BAPTIST MEMORIALS MINISTRIES</t>
  </si>
  <si>
    <t xml:space="preserve">902 N MAIN ST # 903 </t>
  </si>
  <si>
    <t>INCARNATE WORD RETIREMENT COMMUNITY</t>
  </si>
  <si>
    <t xml:space="preserve">4707 BROADWAY ST </t>
  </si>
  <si>
    <t>210-829-7561</t>
  </si>
  <si>
    <t>HERITAGE MANOR-JEWISH HOME FOR THE AGED (THE)</t>
  </si>
  <si>
    <t xml:space="preserve">517 GYPSY LN </t>
  </si>
  <si>
    <t>YOUNGSTOWN</t>
  </si>
  <si>
    <t>44504-1314</t>
  </si>
  <si>
    <t>(330) 746-1076</t>
  </si>
  <si>
    <t>REST HAVEN WEST CHRISTIAN NURSING CENTER</t>
  </si>
  <si>
    <t xml:space="preserve">3450 SARATOGA AVE </t>
  </si>
  <si>
    <t>DOWNERS GROVE</t>
  </si>
  <si>
    <t>630 969290</t>
  </si>
  <si>
    <t>STERLING GROUP HOME</t>
  </si>
  <si>
    <t xml:space="preserve">104 SIXTH AVE </t>
  </si>
  <si>
    <t>STERLING</t>
  </si>
  <si>
    <t>KEYSTONE GROUP HOME</t>
  </si>
  <si>
    <t xml:space="preserve">4152 N KEYSTONE AVE </t>
  </si>
  <si>
    <t>60641-2436</t>
  </si>
  <si>
    <t>AUGUSTANA OPEN ARMS</t>
  </si>
  <si>
    <t xml:space="preserve">1340 S DAMEN AVE STE 205 </t>
  </si>
  <si>
    <t>60608-1170</t>
  </si>
  <si>
    <t>ANGELUS PLAZA II</t>
  </si>
  <si>
    <t xml:space="preserve">255 S HILL ST BLDG D </t>
  </si>
  <si>
    <t>90012-3500</t>
  </si>
  <si>
    <t>MANZANITA PLACE</t>
  </si>
  <si>
    <t xml:space="preserve">1019 MADDEN LN </t>
  </si>
  <si>
    <t>95661-4457</t>
  </si>
  <si>
    <t>(916) 773-5770</t>
  </si>
  <si>
    <t>TELACU PLAZA</t>
  </si>
  <si>
    <t xml:space="preserve">1033 S HOPE ST </t>
  </si>
  <si>
    <t>90015-1430</t>
  </si>
  <si>
    <t>(213) 746-7713</t>
  </si>
  <si>
    <t>EASTERN PARK APARTMENTS</t>
  </si>
  <si>
    <t xml:space="preserve">711 EDDY ST </t>
  </si>
  <si>
    <t>415-776-0114</t>
  </si>
  <si>
    <t>HOMES NOW IN THE COMMUNITY</t>
  </si>
  <si>
    <t xml:space="preserve">1800 LINDEN ST </t>
  </si>
  <si>
    <t>LIBERTY TOWER</t>
  </si>
  <si>
    <t>ST DOMINIC NURSING HOME</t>
  </si>
  <si>
    <t xml:space="preserve">2409 HOLCOMBE BLVD </t>
  </si>
  <si>
    <t>77021-2023</t>
  </si>
  <si>
    <t>(713) 741-8701</t>
  </si>
  <si>
    <t>JOHN KNOX VILLAGE OF THE RIO GRANDE-VALLEY I</t>
  </si>
  <si>
    <t xml:space="preserve">1300 S BORDER AVE </t>
  </si>
  <si>
    <t>WESLACO</t>
  </si>
  <si>
    <t>78596-7441</t>
  </si>
  <si>
    <t>(956) 968-4575</t>
  </si>
  <si>
    <t>METHODIST COUNTRY HOUSE</t>
  </si>
  <si>
    <t xml:space="preserve">4830 KENNETT PIKE </t>
  </si>
  <si>
    <t>302 654510</t>
  </si>
  <si>
    <t>PHILIP NURSING HOME</t>
  </si>
  <si>
    <t xml:space="preserve">503 W PINE ST </t>
  </si>
  <si>
    <t>PHILIP</t>
  </si>
  <si>
    <t>605 859251</t>
  </si>
  <si>
    <t>AILBE FAITH APARTMENTS</t>
  </si>
  <si>
    <t xml:space="preserve">1244 E 93RD ST </t>
  </si>
  <si>
    <t>60619-8057</t>
  </si>
  <si>
    <t>(773) 721-0903</t>
  </si>
  <si>
    <t>WICHITA COUNTY HEALTH CENTER</t>
  </si>
  <si>
    <t xml:space="preserve">211 E EARL ST </t>
  </si>
  <si>
    <t>LEOTI</t>
  </si>
  <si>
    <t>67861-9620</t>
  </si>
  <si>
    <t>(620) 375-2233</t>
  </si>
  <si>
    <t>VILLAGE SHALOM INC</t>
  </si>
  <si>
    <t xml:space="preserve">5500 W 123RD ST </t>
  </si>
  <si>
    <t>(913) 317-2600</t>
  </si>
  <si>
    <t>ULYSSES SENIOR CENTER - GRANT COUNTY SENIOR C</t>
  </si>
  <si>
    <t xml:space="preserve">117 E GRANT AVE </t>
  </si>
  <si>
    <t>ULYSSES</t>
  </si>
  <si>
    <t>67880-2512</t>
  </si>
  <si>
    <t>ST. JOSEPH VILLAGE</t>
  </si>
  <si>
    <t xml:space="preserve">2800 WILLOW GROVE RD </t>
  </si>
  <si>
    <t>MANHATTAN</t>
  </si>
  <si>
    <t>66502-2096</t>
  </si>
  <si>
    <t>(785) 539-7671</t>
  </si>
  <si>
    <t>VILLAGE WOODS</t>
  </si>
  <si>
    <t xml:space="preserve">681 RTE 394 </t>
  </si>
  <si>
    <t>CRETE</t>
  </si>
  <si>
    <t>708 672611</t>
  </si>
  <si>
    <t xml:space="preserve">308 W STATE ST STE 250 </t>
  </si>
  <si>
    <t>KIMBALL COUNTY MANOR</t>
  </si>
  <si>
    <t xml:space="preserve">810 E 7TH ST </t>
  </si>
  <si>
    <t>KIMBALL</t>
  </si>
  <si>
    <t>308 235469</t>
  </si>
  <si>
    <t>EVENTIDE AT SHEYENNE CROSSINGS SENIOR LIVING APARTMENTS</t>
  </si>
  <si>
    <t xml:space="preserve">225 13TH AVENUE W. </t>
  </si>
  <si>
    <t>WEST FARGO</t>
  </si>
  <si>
    <t>PM BETHANY HOMES</t>
  </si>
  <si>
    <t xml:space="preserve">201 S UNIVERSITY </t>
  </si>
  <si>
    <t>FARGO</t>
  </si>
  <si>
    <t>(727) 344-1491</t>
  </si>
  <si>
    <t>EVENTIDE AT HI-ACRES</t>
  </si>
  <si>
    <t xml:space="preserve">1300 2ND PL NE </t>
  </si>
  <si>
    <t>58401-3709</t>
  </si>
  <si>
    <t>EVENTIDE HEARTLAND COURTS APARTMENTS</t>
  </si>
  <si>
    <t xml:space="preserve">620 14TH AVE NE </t>
  </si>
  <si>
    <t>DEVILS LAKE</t>
  </si>
  <si>
    <t>ELIM REHAB AND CARE CENTER</t>
  </si>
  <si>
    <t xml:space="preserve">3534 UNIVERSITY DR S </t>
  </si>
  <si>
    <t>58104-6228</t>
  </si>
  <si>
    <t>(701) 271-1800</t>
  </si>
  <si>
    <t>TELACU GARDENS</t>
  </si>
  <si>
    <t xml:space="preserve">7131 E GAGE AVE </t>
  </si>
  <si>
    <t>COMMERCE</t>
  </si>
  <si>
    <t>90040-3862</t>
  </si>
  <si>
    <t>(562) 806-2459</t>
  </si>
  <si>
    <t>SATELLITE HOUSING INC.</t>
  </si>
  <si>
    <t xml:space="preserve">1521 UNIVERSITY AVE </t>
  </si>
  <si>
    <t>510 647070</t>
  </si>
  <si>
    <t>OAK ST TERRACE</t>
  </si>
  <si>
    <t xml:space="preserve">1109 OAK ST </t>
  </si>
  <si>
    <t>THE CANYONS RETIREMENT COMMUNITY</t>
  </si>
  <si>
    <t xml:space="preserve">2200 W 7TH </t>
  </si>
  <si>
    <t>STILLWELL RETIREMENT RESIDENCE</t>
  </si>
  <si>
    <t xml:space="preserve">5400 LAUREL LAKE DR </t>
  </si>
  <si>
    <t>(254) 772-4644</t>
  </si>
  <si>
    <t>LEGACY SENIOR COMMUNITIES INC (THE)</t>
  </si>
  <si>
    <t xml:space="preserve">6101 OHIO DR STE 100 </t>
  </si>
  <si>
    <t>75024-2722</t>
  </si>
  <si>
    <t>(972) 468-6200</t>
  </si>
  <si>
    <t>LAKEWOOD VILLAGE</t>
  </si>
  <si>
    <t>817 451839</t>
  </si>
  <si>
    <t>GOLDBERG B'NAI B'RITH TOWERS</t>
  </si>
  <si>
    <t xml:space="preserve">10909 FONDREN RD </t>
  </si>
  <si>
    <t>77096-5512</t>
  </si>
  <si>
    <t>(713) 771-2417</t>
  </si>
  <si>
    <t>SAMARITAS</t>
  </si>
  <si>
    <t>IMMANUEL VILLAGE</t>
  </si>
  <si>
    <t xml:space="preserve">6803 N 68TH PLZ </t>
  </si>
  <si>
    <t>402-829-3220</t>
  </si>
  <si>
    <t>WESTY COMMUNITY CARE HOME</t>
  </si>
  <si>
    <t xml:space="preserve">105 N HIGHWAY 99 </t>
  </si>
  <si>
    <t>66549-9695</t>
  </si>
  <si>
    <t>(785) 457-2801</t>
  </si>
  <si>
    <t>PHILLIPS COUNTY RETIREMENT CENTER</t>
  </si>
  <si>
    <t xml:space="preserve">1300 STATE ST </t>
  </si>
  <si>
    <t>67661-8758</t>
  </si>
  <si>
    <t>(785) 543-2131</t>
  </si>
  <si>
    <t>EVENTIDE DEVILS LAKE CARE CENTER</t>
  </si>
  <si>
    <t xml:space="preserve">302 7TH AVE NE </t>
  </si>
  <si>
    <t>58301-2516</t>
  </si>
  <si>
    <t>(701) 662-6580</t>
  </si>
  <si>
    <t>EVERGREENS OF FARGO</t>
  </si>
  <si>
    <t xml:space="preserve">1401 W GATEWAY CIR </t>
  </si>
  <si>
    <t>701-239-4524</t>
  </si>
  <si>
    <t>WEST VILLAGE</t>
  </si>
  <si>
    <t xml:space="preserve">1705 ROOSEVELT ST </t>
  </si>
  <si>
    <t>SABETHA</t>
  </si>
  <si>
    <t>66534-2154</t>
  </si>
  <si>
    <t>MIDLAND CARE CONNECTION INC</t>
  </si>
  <si>
    <t xml:space="preserve">200 SW FRAZIER CIRCLE </t>
  </si>
  <si>
    <t>TOPEKA</t>
  </si>
  <si>
    <t>(785) 232-2044</t>
  </si>
  <si>
    <t>LINN COMMUNITY NURSING HOME INC.</t>
  </si>
  <si>
    <t xml:space="preserve">612 3RD ST </t>
  </si>
  <si>
    <t>LINN</t>
  </si>
  <si>
    <t>66953-9052</t>
  </si>
  <si>
    <t>(785) 348-5551</t>
  </si>
  <si>
    <t>WESLEY TOWERS INC</t>
  </si>
  <si>
    <t xml:space="preserve">700 MONTEREY PL </t>
  </si>
  <si>
    <t>67502-2266</t>
  </si>
  <si>
    <t>(620) 663-9175</t>
  </si>
  <si>
    <t>SYRACUSE VIP CENTER</t>
  </si>
  <si>
    <t xml:space="preserve">805 SUMNER </t>
  </si>
  <si>
    <t>SYRACUSE</t>
  </si>
  <si>
    <t>SUBLETTE VIP CENTER</t>
  </si>
  <si>
    <t xml:space="preserve">105 E BECKNELL </t>
  </si>
  <si>
    <t>SUBLETTE</t>
  </si>
  <si>
    <t>COVENANT LIVING OF GOLDEN VALLEY CARE &amp; REHAB CENTER</t>
  </si>
  <si>
    <t xml:space="preserve">5825 SAINT CROIX AVE N </t>
  </si>
  <si>
    <t>GOLDEN VALLEY</t>
  </si>
  <si>
    <t>763 544155</t>
  </si>
  <si>
    <t>BRIDGEWAY ESTATES</t>
  </si>
  <si>
    <t xml:space="preserve">103 12TH ST NE </t>
  </si>
  <si>
    <t>LITTLE FALLS</t>
  </si>
  <si>
    <t>56345-4567</t>
  </si>
  <si>
    <t>BOULDER ESTATES</t>
  </si>
  <si>
    <t xml:space="preserve">601 VILLAGE DR </t>
  </si>
  <si>
    <t>MARSHALL</t>
  </si>
  <si>
    <t>56258-2547</t>
  </si>
  <si>
    <t>NESS CITY LEISURE YEARS</t>
  </si>
  <si>
    <t xml:space="preserve">422 N TOPEKA AVE </t>
  </si>
  <si>
    <t>NESS CITY</t>
  </si>
  <si>
    <t>MIDLAND CARE - LAWRENCE</t>
  </si>
  <si>
    <t xml:space="preserve">319 PERRY ST </t>
  </si>
  <si>
    <t>LAWRENCE</t>
  </si>
  <si>
    <t>66044-1560</t>
  </si>
  <si>
    <t>VALLEY OAK HOMES</t>
  </si>
  <si>
    <t xml:space="preserve">875 LYON ST </t>
  </si>
  <si>
    <t>SONOMA</t>
  </si>
  <si>
    <t>SAINT ANDREWS MANOR</t>
  </si>
  <si>
    <t xml:space="preserve">3250 SAN PABLO AVE </t>
  </si>
  <si>
    <t>EMERYVILLE</t>
  </si>
  <si>
    <t>510 601614</t>
  </si>
  <si>
    <t>KELSEY VILLAGE</t>
  </si>
  <si>
    <t xml:space="preserve">2830 STOCKTON BLVD </t>
  </si>
  <si>
    <t>95817-2314</t>
  </si>
  <si>
    <t>CONCORDIA LUTHERAN HEALTH AND HUMAN CARE</t>
  </si>
  <si>
    <t>CONCORDIA AT THE ORCHARD</t>
  </si>
  <si>
    <t xml:space="preserve">104 CONCORDIA WAY </t>
  </si>
  <si>
    <t>16001-3607</t>
  </si>
  <si>
    <t>(724) 285-4490</t>
  </si>
  <si>
    <t>CONCORDIA AT RIDGEWOOD PLACE</t>
  </si>
  <si>
    <t xml:space="preserve">1460 RENTON RD </t>
  </si>
  <si>
    <t>15239-1534</t>
  </si>
  <si>
    <t>(412)798-1855</t>
  </si>
  <si>
    <t>BREVILLIER VILLAGE</t>
  </si>
  <si>
    <t>ELIZA JENNINGS</t>
  </si>
  <si>
    <t xml:space="preserve">10603 DETROIT AVE </t>
  </si>
  <si>
    <t>44102-1647</t>
  </si>
  <si>
    <t>(216) 226-0282</t>
  </si>
  <si>
    <t>COMMONS AT GRANT</t>
  </si>
  <si>
    <t xml:space="preserve">398 S GRAVE AVE </t>
  </si>
  <si>
    <t>SYCAMORE SENIOR CENTER</t>
  </si>
  <si>
    <t xml:space="preserve">4455 CARVER WOODS DR </t>
  </si>
  <si>
    <t>BLUE ASH</t>
  </si>
  <si>
    <t>513-984-1234</t>
  </si>
  <si>
    <t>WHITE OAK VILLAGE</t>
  </si>
  <si>
    <t xml:space="preserve">230 GREAT OAKS TRL </t>
  </si>
  <si>
    <t>WADSWORTH</t>
  </si>
  <si>
    <t>330-334-6501</t>
  </si>
  <si>
    <t>MEADOWVIEW VILLAGE</t>
  </si>
  <si>
    <t xml:space="preserve">338 W MAIN ST </t>
  </si>
  <si>
    <t>MOUNT STERLING</t>
  </si>
  <si>
    <t>740-869-2813</t>
  </si>
  <si>
    <t>CHESTNUT GROVE</t>
  </si>
  <si>
    <t xml:space="preserve">831 ACORN GROVE DR </t>
  </si>
  <si>
    <t>BLACKLICK</t>
  </si>
  <si>
    <t>614-577-9138</t>
  </si>
  <si>
    <t>ACALANES COURT</t>
  </si>
  <si>
    <t xml:space="preserve">1988 TRINITY AVE </t>
  </si>
  <si>
    <t>TELACU SIERRA VISTA</t>
  </si>
  <si>
    <t xml:space="preserve">650 W 6TH ST </t>
  </si>
  <si>
    <t>909 884949</t>
  </si>
  <si>
    <t>TELACU RESIDENTIAL MANAGEMENT</t>
  </si>
  <si>
    <t xml:space="preserve">1248 GOODRICH BLVD </t>
  </si>
  <si>
    <t>90022-5107</t>
  </si>
  <si>
    <t>(323) 838-8556</t>
  </si>
  <si>
    <t>ST PAUL'S COMMUNITY CARE CENTER</t>
  </si>
  <si>
    <t xml:space="preserve">328 MAPLE ST </t>
  </si>
  <si>
    <t>92103-6522</t>
  </si>
  <si>
    <t>(619) 239-6900</t>
  </si>
  <si>
    <t>WOODS (THE)</t>
  </si>
  <si>
    <t xml:space="preserve">43300 LITTLE RIVER AIRPORT RD </t>
  </si>
  <si>
    <t>LITTLERIVER</t>
  </si>
  <si>
    <t>707-937-0294</t>
  </si>
  <si>
    <t xml:space="preserve">1315 I ST STE 100 </t>
  </si>
  <si>
    <t>95814-2915</t>
  </si>
  <si>
    <t>(916) 392-5111</t>
  </si>
  <si>
    <t>401 FAIRMOUNT APTS</t>
  </si>
  <si>
    <t xml:space="preserve">401 FAIRMOUNT AVE </t>
  </si>
  <si>
    <t>TELACU SOUTH BAY MANOR</t>
  </si>
  <si>
    <t xml:space="preserve">650 E 14TH ST </t>
  </si>
  <si>
    <t>91950-4600</t>
  </si>
  <si>
    <t>(619) 477-0711</t>
  </si>
  <si>
    <t>TELACU BUENA VISTA</t>
  </si>
  <si>
    <t xml:space="preserve">365 COMMERCIAL RD </t>
  </si>
  <si>
    <t>92408-3744</t>
  </si>
  <si>
    <t>(909) 799-0818</t>
  </si>
  <si>
    <t>GOOD SHEPHERD LUTHERAN HOME</t>
  </si>
  <si>
    <t xml:space="preserve">2242 WRIGHT ST </t>
  </si>
  <si>
    <t>320-252-6525</t>
  </si>
  <si>
    <t>COLONY COURT</t>
  </si>
  <si>
    <t xml:space="preserve">200 22ND AVE NE </t>
  </si>
  <si>
    <t>56093-2671</t>
  </si>
  <si>
    <t>CHERRYWOOD ADVANCED LIVING LLC</t>
  </si>
  <si>
    <t xml:space="preserve">1637 4TH AVE N STE 110 </t>
  </si>
  <si>
    <t>56379-2783</t>
  </si>
  <si>
    <t>(320) 253-3305</t>
  </si>
  <si>
    <t>WOODRIDGE</t>
  </si>
  <si>
    <t xml:space="preserve">3255 COACHMAN RD </t>
  </si>
  <si>
    <t>EAGAN</t>
  </si>
  <si>
    <t>55121-1850</t>
  </si>
  <si>
    <t>RIVERVIEW AT UPPER LANDING</t>
  </si>
  <si>
    <t xml:space="preserve">400 SPRING ST # 360 </t>
  </si>
  <si>
    <t>55102-4437</t>
  </si>
  <si>
    <t>RASBERRY WOODS</t>
  </si>
  <si>
    <t xml:space="preserve">5190 NOLAN DR </t>
  </si>
  <si>
    <t>HOPKINS</t>
  </si>
  <si>
    <t>55343-8901</t>
  </si>
  <si>
    <t>OPTIMUM PERSONAL CARE</t>
  </si>
  <si>
    <t xml:space="preserve">2021 FM 1092 RD </t>
  </si>
  <si>
    <t>77459-1702</t>
  </si>
  <si>
    <t>MCMILLAN PLACE APARTMENTS</t>
  </si>
  <si>
    <t xml:space="preserve">946 WIGGINS PKWY </t>
  </si>
  <si>
    <t>HOLLY HALL RETIREMENT COMMUNITY</t>
  </si>
  <si>
    <t xml:space="preserve">2000 HOLLY HALL ST </t>
  </si>
  <si>
    <t>77054-3906</t>
  </si>
  <si>
    <t>(713) 799-9031</t>
  </si>
  <si>
    <t>AVERA ROSEBUD COUNTRY CARE CENTER</t>
  </si>
  <si>
    <t xml:space="preserve">300 PARK AVE </t>
  </si>
  <si>
    <t>GREGORY</t>
  </si>
  <si>
    <t>605 835839</t>
  </si>
  <si>
    <t>CHIMNEY ROCK VILLA</t>
  </si>
  <si>
    <t xml:space="preserve">106 E 13TH ST </t>
  </si>
  <si>
    <t>308 586114</t>
  </si>
  <si>
    <t>WESTMINSTER AT LAKE RIDGE</t>
  </si>
  <si>
    <t xml:space="preserve">12191 CLIPPER DR </t>
  </si>
  <si>
    <t>LAKE RIDGE</t>
  </si>
  <si>
    <t>703 496340</t>
  </si>
  <si>
    <t>WESLEYAN SKILLED NURSING &amp; REHABILITATION</t>
  </si>
  <si>
    <t xml:space="preserve">4011 WILLIAMS DR </t>
  </si>
  <si>
    <t>WESLEYAN HOMES HOME HEALTH</t>
  </si>
  <si>
    <t>SEVEN ACRES JEWISH SENIOR CARE SERVICES - TX</t>
  </si>
  <si>
    <t xml:space="preserve">6200 N BRAESWOOD BLVD </t>
  </si>
  <si>
    <t>77074-7536</t>
  </si>
  <si>
    <t>(713) 778-5700</t>
  </si>
  <si>
    <t>LAKEWOOD VILLAGE HEALTH CARE CENTER-VF DUPLICATE.SEE #994653</t>
  </si>
  <si>
    <t xml:space="preserve">5100 RANDOL MILL ROAD </t>
  </si>
  <si>
    <t>TRAIL RIDGE SENIOR LIVING COMMUNITY</t>
  </si>
  <si>
    <t xml:space="preserve">3408 W RALPH ROGERS RD </t>
  </si>
  <si>
    <t>SIOUX FALLS</t>
  </si>
  <si>
    <t>605 339912</t>
  </si>
  <si>
    <t>TABITHA HEALTH CARE SERVICES</t>
  </si>
  <si>
    <t>402 483767</t>
  </si>
  <si>
    <t>TELACU LAS BRISAS</t>
  </si>
  <si>
    <t xml:space="preserve">286 BEAVER CT </t>
  </si>
  <si>
    <t>91766-5384</t>
  </si>
  <si>
    <t>(909) 620-0073</t>
  </si>
  <si>
    <t>SATELLITE CENTRAL/MAINT DEPT</t>
  </si>
  <si>
    <t xml:space="preserve">540 21ST ST </t>
  </si>
  <si>
    <t>510 451863</t>
  </si>
  <si>
    <t>OCTAVIA COURT</t>
  </si>
  <si>
    <t xml:space="preserve">261 OCTAVIA BLVD </t>
  </si>
  <si>
    <t>PACIFIC SPRING VILLAGE</t>
  </si>
  <si>
    <t xml:space="preserve">805 S 173RD CT </t>
  </si>
  <si>
    <t>402 691843</t>
  </si>
  <si>
    <t>IMMANUEL TRINITY VILLAGE</t>
  </si>
  <si>
    <t xml:space="preserve">522 W LINCOLN ST </t>
  </si>
  <si>
    <t>402 614550</t>
  </si>
  <si>
    <t>SOLOMON VALLEY MANOR</t>
  </si>
  <si>
    <t xml:space="preserve">315 S ASH ST </t>
  </si>
  <si>
    <t>67669-2136</t>
  </si>
  <si>
    <t>(785) 425-6754</t>
  </si>
  <si>
    <t>ECHAD APARTMENTS PHASE I</t>
  </si>
  <si>
    <t xml:space="preserve">2620 RUIDOSA AVE </t>
  </si>
  <si>
    <t>75228-8400</t>
  </si>
  <si>
    <t>(214) 321-2130</t>
  </si>
  <si>
    <t>BAYSHORE HEALTH CENTER</t>
  </si>
  <si>
    <t xml:space="preserve">1601 ST LOUIS AVE </t>
  </si>
  <si>
    <t>(218) 727-8651</t>
  </si>
  <si>
    <t>THE LODGE ON NATCHEZ</t>
  </si>
  <si>
    <t xml:space="preserve">27890 NATCHEZ AVE </t>
  </si>
  <si>
    <t>ELKO</t>
  </si>
  <si>
    <t>55020-9462</t>
  </si>
  <si>
    <t>HERITAGE LANDING</t>
  </si>
  <si>
    <t xml:space="preserve">415 N 1ST ST </t>
  </si>
  <si>
    <t>55401-4305</t>
  </si>
  <si>
    <t>TELACU CASA</t>
  </si>
  <si>
    <t xml:space="preserve">251 S ARIZONA AVE </t>
  </si>
  <si>
    <t>90022-1600</t>
  </si>
  <si>
    <t>(323) 262-5059</t>
  </si>
  <si>
    <t>WESTERN PARK APARTMENTS</t>
  </si>
  <si>
    <t xml:space="preserve">1280 LAGUNA ST </t>
  </si>
  <si>
    <t>415-922-5436</t>
  </si>
  <si>
    <t>ROBIN LANE APTS</t>
  </si>
  <si>
    <t xml:space="preserve">1890 ROBIN LN </t>
  </si>
  <si>
    <t>OAK TERRACE</t>
  </si>
  <si>
    <t>(717) 273-1987</t>
  </si>
  <si>
    <t>LUTHERAN HOME HOLLIDAYSBURG</t>
  </si>
  <si>
    <t xml:space="preserve">916 HICKORY ST </t>
  </si>
  <si>
    <t>16648-2248</t>
  </si>
  <si>
    <t>(814) 696-4527</t>
  </si>
  <si>
    <t>WARRIOR RUN MANOR</t>
  </si>
  <si>
    <t xml:space="preserve">1105 MAIN ST </t>
  </si>
  <si>
    <t>WATSONTOWN</t>
  </si>
  <si>
    <t>17777-1437</t>
  </si>
  <si>
    <t>(570) 538-1033</t>
  </si>
  <si>
    <t>ALBRIGHT CARE SERVICES</t>
  </si>
  <si>
    <t xml:space="preserve">90 MAPLEWOOD DR </t>
  </si>
  <si>
    <t>17837-6307</t>
  </si>
  <si>
    <t>(570) 522-3880</t>
  </si>
  <si>
    <t xml:space="preserve">1616 W MAIN ST </t>
  </si>
  <si>
    <t>62959-1146</t>
  </si>
  <si>
    <t xml:space="preserve">256 S SOANGETAHA RD STE 107 </t>
  </si>
  <si>
    <t>61401-5596</t>
  </si>
  <si>
    <t>FRANCES MANOR</t>
  </si>
  <si>
    <t xml:space="preserve">1270 E GOLF RD </t>
  </si>
  <si>
    <t>DES PLAINES</t>
  </si>
  <si>
    <t>60016-1205</t>
  </si>
  <si>
    <t>(847) 390-1270</t>
  </si>
  <si>
    <t>MONROE CARE CENTER</t>
  </si>
  <si>
    <t xml:space="preserve">120 N 1ST ST </t>
  </si>
  <si>
    <t>ALBIA</t>
  </si>
  <si>
    <t>HERITAGE HOUSE</t>
  </si>
  <si>
    <t xml:space="preserve">1200 BROOKRIDGE CIR </t>
  </si>
  <si>
    <t>ATLANTIC</t>
  </si>
  <si>
    <t>50022-2304</t>
  </si>
  <si>
    <t>(712) 243-1850</t>
  </si>
  <si>
    <t>BAPTIST HOMES OF WESTERN PENNSYLVANIA</t>
  </si>
  <si>
    <t xml:space="preserve">489 CASTLE SHANNON BLVD </t>
  </si>
  <si>
    <t>15234-1419</t>
  </si>
  <si>
    <t>BETHANY VILLAGE</t>
  </si>
  <si>
    <t>ABRAMSON SENIOR RESIDENCE</t>
  </si>
  <si>
    <t xml:space="preserve">1425 HORSHAM RD # A2 </t>
  </si>
  <si>
    <t>SARAH ANN HESTER MEMORIAL HOME</t>
  </si>
  <si>
    <t xml:space="preserve">407 DAKOTA STREET </t>
  </si>
  <si>
    <t>BENKELMAN</t>
  </si>
  <si>
    <t>308 423217</t>
  </si>
  <si>
    <t>EVENTIDE LAKE COUNTRY MANOR</t>
  </si>
  <si>
    <t xml:space="preserve">1332 10TH STREET NE </t>
  </si>
  <si>
    <t>PROJECT PRIDE</t>
  </si>
  <si>
    <t xml:space="preserve">2545 SAN PABLO AVE </t>
  </si>
  <si>
    <t>WYSONG VILLAGE APARTMENTS</t>
  </si>
  <si>
    <t xml:space="preserve">111 N CHAPEL AVE </t>
  </si>
  <si>
    <t>91801-3565</t>
  </si>
  <si>
    <t>(626) 284-3956</t>
  </si>
  <si>
    <t>ADAMS SENIOR HOUSING</t>
  </si>
  <si>
    <t xml:space="preserve">1925 ADAMS BLVD </t>
  </si>
  <si>
    <t>(323) 766-9535</t>
  </si>
  <si>
    <t>PROJECT IMPACT @ METHODIST HOSPITAL</t>
  </si>
  <si>
    <t xml:space="preserve">5025 N PAULINA ST </t>
  </si>
  <si>
    <t>NACHUSA LUTHERAN HOME</t>
  </si>
  <si>
    <t xml:space="preserve">PO BOX 100 </t>
  </si>
  <si>
    <t>NACHUSA</t>
  </si>
  <si>
    <t>61057-0100</t>
  </si>
  <si>
    <t>INTOUCH HOME CARE SERVICES</t>
  </si>
  <si>
    <t xml:space="preserve">1001 E TOUHY AVE STE 125 </t>
  </si>
  <si>
    <t>60018-5841</t>
  </si>
  <si>
    <t>SEVEN OAKS OF FLORENCE</t>
  </si>
  <si>
    <t xml:space="preserve">3439 STATE ST </t>
  </si>
  <si>
    <t>IMMANUEL COURTYARD</t>
  </si>
  <si>
    <t xml:space="preserve">6757 NEWPORT AVE STE 100 </t>
  </si>
  <si>
    <t>402 829291</t>
  </si>
  <si>
    <t>KNUTE NELSON HH FARGO/MOORHEAD</t>
  </si>
  <si>
    <t xml:space="preserve">3361 45TH ST S </t>
  </si>
  <si>
    <t>58104-9084</t>
  </si>
  <si>
    <t>EVENTIDE FARGO</t>
  </si>
  <si>
    <t xml:space="preserve">3225 51ST ST S </t>
  </si>
  <si>
    <t>58104-7180</t>
  </si>
  <si>
    <t>ST. JOHN'S HEALTH CARE - HAYS CAMPUS</t>
  </si>
  <si>
    <t xml:space="preserve">2401 CANTERBURY DR </t>
  </si>
  <si>
    <t>HAYS</t>
  </si>
  <si>
    <t>67601-2345</t>
  </si>
  <si>
    <t>(785) 628-3241</t>
  </si>
  <si>
    <t>NORTHWEST KANSAS AREA AGENCY ON AGING INC.</t>
  </si>
  <si>
    <t xml:space="preserve">510 W 29TH ST STE B </t>
  </si>
  <si>
    <t>(785) 628-8204</t>
  </si>
  <si>
    <t>CEREDO MANOR</t>
  </si>
  <si>
    <t xml:space="preserve">351 HIGH ST </t>
  </si>
  <si>
    <t>CEREDO</t>
  </si>
  <si>
    <t>304 453454</t>
  </si>
  <si>
    <t>AGSTEN MANOR</t>
  </si>
  <si>
    <t xml:space="preserve">715 RANDOLPH ST </t>
  </si>
  <si>
    <t>304 344099</t>
  </si>
  <si>
    <t>ESPRIT OF WHISPERING RIDGE</t>
  </si>
  <si>
    <t xml:space="preserve">17555 EMMET ST </t>
  </si>
  <si>
    <t>HEARTLAND CARE CENTER</t>
  </si>
  <si>
    <t>(701) 662-4905</t>
  </si>
  <si>
    <t>WHEAT STATE MANOR</t>
  </si>
  <si>
    <t xml:space="preserve">601 S MAIN ST </t>
  </si>
  <si>
    <t>WHITEWATER</t>
  </si>
  <si>
    <t>67154-9700</t>
  </si>
  <si>
    <t>(316) 799-2181</t>
  </si>
  <si>
    <t>ROCKDALE SNF LLC DBA RENAISSANCE VILLA</t>
  </si>
  <si>
    <t xml:space="preserve">6813 CACTUS DR </t>
  </si>
  <si>
    <t>LEADINGAGE TEXAS</t>
  </si>
  <si>
    <t>(512) 467-2242</t>
  </si>
  <si>
    <t>KENDALL HOUSE WELLNESS AND REHABILITATION</t>
  </si>
  <si>
    <t xml:space="preserve">1050 GRAND BLVD </t>
  </si>
  <si>
    <t>BOERNE</t>
  </si>
  <si>
    <t>HARTIN APARTMENTS</t>
  </si>
  <si>
    <t xml:space="preserve">1000 WIGGINS PKWY </t>
  </si>
  <si>
    <t>COMMUNITY MEMORIAL HOSPITAL - SNF</t>
  </si>
  <si>
    <t xml:space="preserve">512 SKYLINE BLVD </t>
  </si>
  <si>
    <t>CLOQUET</t>
  </si>
  <si>
    <t>55720-3787</t>
  </si>
  <si>
    <t>(218) 879-4641</t>
  </si>
  <si>
    <t>RIVERSIDE SENIOR LIFE COMMUNITIES</t>
  </si>
  <si>
    <t xml:space="preserve">100 WESTWOOD OAKS CT. </t>
  </si>
  <si>
    <t>MILLER REHABILITATION</t>
  </si>
  <si>
    <t xml:space="preserve">1601 BUTTERFIELD TRL </t>
  </si>
  <si>
    <t>60901-2959</t>
  </si>
  <si>
    <t>(815) 936-6501</t>
  </si>
  <si>
    <t>PROVIDENCE HOSPICE</t>
  </si>
  <si>
    <t>800 509280</t>
  </si>
  <si>
    <t>VICTORIAN WOODS SENIOR LIVING</t>
  </si>
  <si>
    <t xml:space="preserve">3910 W MAIN ST </t>
  </si>
  <si>
    <t xml:space="preserve">1901 FIRST AVE </t>
  </si>
  <si>
    <t>SOS (SOBER ON SHERWIN)</t>
  </si>
  <si>
    <t xml:space="preserve">1412 W SHERWIN AVENUE UNIT A </t>
  </si>
  <si>
    <t>ANAHEIM MEMORIAL MANOR</t>
  </si>
  <si>
    <t xml:space="preserve">275 E CENTER ST </t>
  </si>
  <si>
    <t>ANAHEIM</t>
  </si>
  <si>
    <t>92805-3201</t>
  </si>
  <si>
    <t>(714) 758-3807</t>
  </si>
  <si>
    <t>HILLTOP HAVEN</t>
  </si>
  <si>
    <t xml:space="preserve">308 E COLLEGE </t>
  </si>
  <si>
    <t>GUNTER</t>
  </si>
  <si>
    <t>(903) 433-2415</t>
  </si>
  <si>
    <t>ELIZABETH JANE BIVINS CULINARY CENTER</t>
  </si>
  <si>
    <t xml:space="preserve">6700 KILLGORE DR </t>
  </si>
  <si>
    <t>79106-3703</t>
  </si>
  <si>
    <t>COPPERFIELD VILLAGE SENIOR LIVING - TX</t>
  </si>
  <si>
    <t xml:space="preserve">501 E LARKSPUR ST </t>
  </si>
  <si>
    <t>77904-2634</t>
  </si>
  <si>
    <t>CARTMELL HOME FOR AGED</t>
  </si>
  <si>
    <t xml:space="preserve">2212 W REAGAN ST </t>
  </si>
  <si>
    <t>PALESTINE</t>
  </si>
  <si>
    <t>75801-2222</t>
  </si>
  <si>
    <t>(903) 727-8500</t>
  </si>
  <si>
    <t>CAMILIA ROSE GROUP HOME</t>
  </si>
  <si>
    <t xml:space="preserve">11220 XEON ST NW </t>
  </si>
  <si>
    <t>55448-3104</t>
  </si>
  <si>
    <t>(763) 754-2505</t>
  </si>
  <si>
    <t>BLAINE COURTS</t>
  </si>
  <si>
    <t xml:space="preserve">701 85TH AVE NE </t>
  </si>
  <si>
    <t>55434-2341</t>
  </si>
  <si>
    <t>BETHANY HOME-ALEXANDRIA</t>
  </si>
  <si>
    <t xml:space="preserve">1020 LARK ST </t>
  </si>
  <si>
    <t>ROCKWOOD PLACE</t>
  </si>
  <si>
    <t xml:space="preserve">2259 ROCKWOOD AVE </t>
  </si>
  <si>
    <t>POPLAR TERRACE</t>
  </si>
  <si>
    <t xml:space="preserve">605 S 8TH ST </t>
  </si>
  <si>
    <t>(717) 273-3333</t>
  </si>
  <si>
    <t>CONRAD HOUSE AT BREVILLIER</t>
  </si>
  <si>
    <t>WINFIELD REST HAVEN INC</t>
  </si>
  <si>
    <t xml:space="preserve">1611 RITCHIE ST </t>
  </si>
  <si>
    <t>WINFIELD</t>
  </si>
  <si>
    <t>67156-5252</t>
  </si>
  <si>
    <t>(620) 221-9290</t>
  </si>
  <si>
    <t>ST LUKE LIVING CENTER DBA-HOSPITAL DISTRICT #</t>
  </si>
  <si>
    <t xml:space="preserve">535 S FREEBORN ST </t>
  </si>
  <si>
    <t>66861-1256</t>
  </si>
  <si>
    <t>(620) 382-2177</t>
  </si>
  <si>
    <t>MONTEZUMA SENIOR CITIZENS</t>
  </si>
  <si>
    <t xml:space="preserve">307 N AZTEC ST </t>
  </si>
  <si>
    <t>MONTEZUMA</t>
  </si>
  <si>
    <t>MIDLAND CARE - OTTAWA</t>
  </si>
  <si>
    <t xml:space="preserve">635 S MAIN ST </t>
  </si>
  <si>
    <t>OTTAWA</t>
  </si>
  <si>
    <t>CEDARS OF AUSTIN</t>
  </si>
  <si>
    <t xml:space="preserve">700 1ST DR NW </t>
  </si>
  <si>
    <t>55912-3095</t>
  </si>
  <si>
    <t>BEEHIVE HOMES OF LAKEVILLE</t>
  </si>
  <si>
    <t xml:space="preserve">20159 IBERIA AVE </t>
  </si>
  <si>
    <t>LAKEVILLE</t>
  </si>
  <si>
    <t>952 679207</t>
  </si>
  <si>
    <t>CLOVERLEAF COURTS</t>
  </si>
  <si>
    <t xml:space="preserve">1011 COVERLEAF PKWY </t>
  </si>
  <si>
    <t>AVIV HEALTH CARE INC - CORP OFC</t>
  </si>
  <si>
    <t xml:space="preserve">4509 MINNETONKA BLVD </t>
  </si>
  <si>
    <t>55416-5192</t>
  </si>
  <si>
    <t>952-920-4111</t>
  </si>
  <si>
    <t>CROWELL MEMORIAL HOME</t>
  </si>
  <si>
    <t xml:space="preserve">245 S 22ND ST </t>
  </si>
  <si>
    <t>402 426217</t>
  </si>
  <si>
    <t>LAKESIDE VILLAGE</t>
  </si>
  <si>
    <t xml:space="preserve">17475 FRANCES ST </t>
  </si>
  <si>
    <t>402-829-9020</t>
  </si>
  <si>
    <t xml:space="preserve">6759 NEWPORT AVE STE 100 </t>
  </si>
  <si>
    <t>KRUSE MEMORIAL LUTHERAN VILLAGE - TX</t>
  </si>
  <si>
    <t>(979) 830-1996</t>
  </si>
  <si>
    <t>PLANO COMMUNITY HOME INC</t>
  </si>
  <si>
    <t xml:space="preserve">1608-1612 AVENUE L </t>
  </si>
  <si>
    <t>75074-6165</t>
  </si>
  <si>
    <t>(972) 423-6058</t>
  </si>
  <si>
    <t>PHIL CHAIR HEALTHCARE MANAGEMENT</t>
  </si>
  <si>
    <t xml:space="preserve">5750 PORANO CIRCLE </t>
  </si>
  <si>
    <t>ROUND ROCK</t>
  </si>
  <si>
    <t>COMFORT RESIDENCE</t>
  </si>
  <si>
    <t xml:space="preserve">7115 WAYZATA BLVD </t>
  </si>
  <si>
    <t>ST LOUIS PARK</t>
  </si>
  <si>
    <t>55426-1615</t>
  </si>
  <si>
    <t>CHOSEN VALLEY CARE CENTER</t>
  </si>
  <si>
    <t>BALL PAVILION AT BREVILLIER VILLAGE (THE)</t>
  </si>
  <si>
    <t>ALLEGHENY LUTHERAN SOCIAL MINISTRIES INC.</t>
  </si>
  <si>
    <t xml:space="preserve">915 HICKORY ST </t>
  </si>
  <si>
    <t>16648-2247</t>
  </si>
  <si>
    <t>(814) 696-4500</t>
  </si>
  <si>
    <t>STAFFORD COURT</t>
  </si>
  <si>
    <t xml:space="preserve">49 E NORTH ST </t>
  </si>
  <si>
    <t>WORTHINGTON</t>
  </si>
  <si>
    <t>614-846-2648</t>
  </si>
  <si>
    <t>COMMONS AT GARDEN LAKE</t>
  </si>
  <si>
    <t xml:space="preserve">1065 GARDEN LAKE PKWY </t>
  </si>
  <si>
    <t>43614-2800</t>
  </si>
  <si>
    <t>BETHANY HOME SOCIETY</t>
  </si>
  <si>
    <t xml:space="preserve">930 W MAIN ST </t>
  </si>
  <si>
    <t>RIPON</t>
  </si>
  <si>
    <t>209 599422</t>
  </si>
  <si>
    <t xml:space="preserve">1149 MEADOW LN </t>
  </si>
  <si>
    <t>BENTLEY ASSISTED LIVING</t>
  </si>
  <si>
    <t xml:space="preserve">1010 WIGGINS PKWY </t>
  </si>
  <si>
    <t>ABRAMSON CENTER DAY CARE</t>
  </si>
  <si>
    <t xml:space="preserve">12003 BUSTLETON AVE </t>
  </si>
  <si>
    <t>ST JOSEPH CARE CENTER</t>
  </si>
  <si>
    <t xml:space="preserve">2308 RENO DR </t>
  </si>
  <si>
    <t>330-875-5562</t>
  </si>
  <si>
    <t>RENAISSANCE HEALTH CENTER (THE)</t>
  </si>
  <si>
    <t xml:space="preserve">26376 JOHN RD </t>
  </si>
  <si>
    <t>OLMSTED TWP</t>
  </si>
  <si>
    <t>44138-1277</t>
  </si>
  <si>
    <t>(440) 235-7100</t>
  </si>
  <si>
    <t>BRIDGEPORT MANOR</t>
  </si>
  <si>
    <t xml:space="preserve">1 GOULD PARK RD </t>
  </si>
  <si>
    <t>740-635-1294</t>
  </si>
  <si>
    <t>ASSUMPTION HOME</t>
  </si>
  <si>
    <t xml:space="preserve">715 1ST ST N </t>
  </si>
  <si>
    <t>COLD SPRING</t>
  </si>
  <si>
    <t>56320-1401</t>
  </si>
  <si>
    <t>(320) 685-3693</t>
  </si>
  <si>
    <t>ASHBY LIVING CENTER</t>
  </si>
  <si>
    <t xml:space="preserve">112 IVERSON AVE </t>
  </si>
  <si>
    <t>ASHBY</t>
  </si>
  <si>
    <t>WALKER METHODIST</t>
  </si>
  <si>
    <t xml:space="preserve">3737 BRYANT AVE S </t>
  </si>
  <si>
    <t>55409-1019</t>
  </si>
  <si>
    <t>(612) 827-5931</t>
  </si>
  <si>
    <t>ARBOLEDA APTS</t>
  </si>
  <si>
    <t xml:space="preserve">1550 3RD AVE </t>
  </si>
  <si>
    <t>94597-2651</t>
  </si>
  <si>
    <t>RISING OAKS</t>
  </si>
  <si>
    <t xml:space="preserve">3800 COOLIDGE AVE </t>
  </si>
  <si>
    <t>LINCOLN OAKS APTS</t>
  </si>
  <si>
    <t xml:space="preserve">40852 LINCOLN ST </t>
  </si>
  <si>
    <t>94538-4388</t>
  </si>
  <si>
    <t>NORTHWOOD DEACONESS HEALTH CENTER - LONG TERM</t>
  </si>
  <si>
    <t xml:space="preserve">4 NORTH PARK ST </t>
  </si>
  <si>
    <t>NORTHWOOD</t>
  </si>
  <si>
    <t>EVENTIDE JAMESTOWN SENIOR LIVING APARTMENTS</t>
  </si>
  <si>
    <t xml:space="preserve">114 12TH AVENUE NE </t>
  </si>
  <si>
    <t>BAPTIST HOME ASSISTED LIVING</t>
  </si>
  <si>
    <t xml:space="preserve">3400 NEBRASKA DR </t>
  </si>
  <si>
    <t>BISMARCK</t>
  </si>
  <si>
    <t>58503-1649</t>
  </si>
  <si>
    <t>(701) 223-3040</t>
  </si>
  <si>
    <t>WESLEYAN SENIOR LIVING</t>
  </si>
  <si>
    <t>WESLEYAN MEADOWS</t>
  </si>
  <si>
    <t xml:space="preserve">5400 MEADOW LANE CT </t>
  </si>
  <si>
    <t>SHEFFIELD VILLAGE</t>
  </si>
  <si>
    <t>44035-1491</t>
  </si>
  <si>
    <t>SIDNEY - SHELBY COUNTY HEALTH DISTRIC</t>
  </si>
  <si>
    <t xml:space="preserve">202 W POPLAR ST </t>
  </si>
  <si>
    <t>SIDNEY</t>
  </si>
  <si>
    <t xml:space="preserve">4102 WOOLWORTH AVE </t>
  </si>
  <si>
    <t>BEK CARE LLC DBA ETHOS HOME CARE</t>
  </si>
  <si>
    <t xml:space="preserve">2877 45TH ST S STE 201 </t>
  </si>
  <si>
    <t>58104-8562</t>
  </si>
  <si>
    <t>(701) 356-3803</t>
  </si>
  <si>
    <t>EVENTIDE AT SHEYENNE CROSSINGS</t>
  </si>
  <si>
    <t xml:space="preserve">125 13TH AVE W RM 62A </t>
  </si>
  <si>
    <t>58078-2646</t>
  </si>
  <si>
    <t>SHEPHERD'S CENTER (THE)</t>
  </si>
  <si>
    <t xml:space="preserve">706 NORTH MAIN </t>
  </si>
  <si>
    <t>CIMARRON</t>
  </si>
  <si>
    <t>67835-0249</t>
  </si>
  <si>
    <t>(620) 855-3498</t>
  </si>
  <si>
    <t>WELCOMING CENTER</t>
  </si>
  <si>
    <t xml:space="preserve">5215 N CALIFORNIA AVE </t>
  </si>
  <si>
    <t>(773) 561-5809</t>
  </si>
  <si>
    <t>TRADITIONS AT STYGLER ROAD</t>
  </si>
  <si>
    <t xml:space="preserve">167 N STYGLER RD </t>
  </si>
  <si>
    <t>614-475-8778</t>
  </si>
  <si>
    <t>MENORAH PARK</t>
  </si>
  <si>
    <t xml:space="preserve">27100 CEDAR RD </t>
  </si>
  <si>
    <t>BEACHWOOD</t>
  </si>
  <si>
    <t>44122-1109</t>
  </si>
  <si>
    <t>(216) 831-6500</t>
  </si>
  <si>
    <t>GARDEN GROVE</t>
  </si>
  <si>
    <t xml:space="preserve">2335 N BANK DR </t>
  </si>
  <si>
    <t>DEACONESS - PERRY</t>
  </si>
  <si>
    <t xml:space="preserve">13500 RIDGE RD </t>
  </si>
  <si>
    <t>N ROYALTON</t>
  </si>
  <si>
    <t>44133-3862</t>
  </si>
  <si>
    <t>HOOVER PLACE</t>
  </si>
  <si>
    <t xml:space="preserve">5407 HOOVER AVE </t>
  </si>
  <si>
    <t>CARECHOICE</t>
  </si>
  <si>
    <t xml:space="preserve">1821 UNIVERSITY AVE W STE S256 </t>
  </si>
  <si>
    <t>55104-2872</t>
  </si>
  <si>
    <t>(651) 999-5347</t>
  </si>
  <si>
    <t>THE WELLINGTON</t>
  </si>
  <si>
    <t>(701) 839-4240</t>
  </si>
  <si>
    <t>THE VIEW AT LONG LAKE</t>
  </si>
  <si>
    <t xml:space="preserve">1300 NORTHWEST PKWY </t>
  </si>
  <si>
    <t>55112-7241</t>
  </si>
  <si>
    <t>TOWN MEADOWS</t>
  </si>
  <si>
    <t xml:space="preserve">115 W MURRAY AVE </t>
  </si>
  <si>
    <t>93291-4900</t>
  </si>
  <si>
    <t>(559) 627-2220</t>
  </si>
  <si>
    <t>TELACU MONTE VISTA</t>
  </si>
  <si>
    <t xml:space="preserve">451 N H ST </t>
  </si>
  <si>
    <t>92410-3219</t>
  </si>
  <si>
    <t>(909) 888-6585</t>
  </si>
  <si>
    <t>TELACU LAS PALMAS</t>
  </si>
  <si>
    <t xml:space="preserve">89 S CHAPEL AVE UNIT 109 </t>
  </si>
  <si>
    <t>91801-3917</t>
  </si>
  <si>
    <t>(626) 457-1643</t>
  </si>
  <si>
    <t>ST PAULS PACE</t>
  </si>
  <si>
    <t xml:space="preserve">630 L ST </t>
  </si>
  <si>
    <t>619 677380</t>
  </si>
  <si>
    <t>VALDEZ PLAZA APTS</t>
  </si>
  <si>
    <t xml:space="preserve">280 28TH ST </t>
  </si>
  <si>
    <t>510 268015</t>
  </si>
  <si>
    <t>LINDA GLEN APTS</t>
  </si>
  <si>
    <t xml:space="preserve">32 LINDA AVE </t>
  </si>
  <si>
    <t>PIEDMONT</t>
  </si>
  <si>
    <t>510 601109</t>
  </si>
  <si>
    <t>WILSHIRE HOUSE</t>
  </si>
  <si>
    <t xml:space="preserve">1125 3RD ST </t>
  </si>
  <si>
    <t>SANTA MONICA</t>
  </si>
  <si>
    <t>90403-5093</t>
  </si>
  <si>
    <t>(310) 395-4545</t>
  </si>
  <si>
    <t>RALSTON TOWER</t>
  </si>
  <si>
    <t xml:space="preserve">900 17TH ST </t>
  </si>
  <si>
    <t>95354-1219</t>
  </si>
  <si>
    <t>(209) 521-8900</t>
  </si>
  <si>
    <t>JACK CAPON VILLA</t>
  </si>
  <si>
    <t xml:space="preserve">2216 LINCOLN AVE </t>
  </si>
  <si>
    <t>ALAMEDA</t>
  </si>
  <si>
    <t>SOUTHPOINTE VILLA</t>
  </si>
  <si>
    <t xml:space="preserve">302 W MERRILL AVE </t>
  </si>
  <si>
    <t>RIALTO</t>
  </si>
  <si>
    <t>92376-6375</t>
  </si>
  <si>
    <t>(909) 874-9110</t>
  </si>
  <si>
    <t>HARSHFIELD TERRACE</t>
  </si>
  <si>
    <t xml:space="preserve">6705 W AVE M </t>
  </si>
  <si>
    <t>QUARTZ HILL</t>
  </si>
  <si>
    <t>SHADY OAKS DEVELOPMENTAL TRAINING CENTER</t>
  </si>
  <si>
    <t xml:space="preserve">16248 S PARKER RD </t>
  </si>
  <si>
    <t>ROLLING MEADOWS SENIOR LIVING</t>
  </si>
  <si>
    <t xml:space="preserve">1125 E 1500 NORTH RD </t>
  </si>
  <si>
    <t>PROJECT IMPACT @ SWEDISH COVENANT HOSPITAL</t>
  </si>
  <si>
    <t xml:space="preserve">5145 N CALIFORNIA AVE </t>
  </si>
  <si>
    <t>(773) 989-1609</t>
  </si>
  <si>
    <t xml:space="preserve">6451 FAR HILLS AVE </t>
  </si>
  <si>
    <t>607-796-2181</t>
  </si>
  <si>
    <t xml:space="preserve">3000 W ROHMANN AVE </t>
  </si>
  <si>
    <t>WEST PEORIA</t>
  </si>
  <si>
    <t>61604-4842</t>
  </si>
  <si>
    <t>PALMER SQUARE</t>
  </si>
  <si>
    <t xml:space="preserve">3120 W PALMER BLVD </t>
  </si>
  <si>
    <t>60647-2819</t>
  </si>
  <si>
    <t>MEADOW RIDGE APARTMENTS</t>
  </si>
  <si>
    <t xml:space="preserve">1731 S HANCE DR </t>
  </si>
  <si>
    <t>61032-6788</t>
  </si>
  <si>
    <t>(815) 233-9253</t>
  </si>
  <si>
    <t>LUTHERAN SOCIAL SERVICES OF ILLINOIS CORPORATE OFFICE</t>
  </si>
  <si>
    <t xml:space="preserve">1001 E TOUHY AVE </t>
  </si>
  <si>
    <t>60018-5801</t>
  </si>
  <si>
    <t>DOWNER PLACE I OF LSSI</t>
  </si>
  <si>
    <t xml:space="preserve">2007 W DOWNER PL </t>
  </si>
  <si>
    <t>60506-4667</t>
  </si>
  <si>
    <t>INTACT NORTH</t>
  </si>
  <si>
    <t xml:space="preserve">1001 E TOUHY AVE STE 180 </t>
  </si>
  <si>
    <t>60018-5800</t>
  </si>
  <si>
    <t>ELMBROOK SENIOR RESIDENCES</t>
  </si>
  <si>
    <t xml:space="preserve">7940 W GRAND AVE </t>
  </si>
  <si>
    <t>ELMWOOD PARK</t>
  </si>
  <si>
    <t>60707-1845</t>
  </si>
  <si>
    <t>BELLE PLAINE GROUP HOME</t>
  </si>
  <si>
    <t xml:space="preserve">4824 W BELLE PLAINE AVE </t>
  </si>
  <si>
    <t>60641-1819</t>
  </si>
  <si>
    <t>VIA CHRISTI HOPE</t>
  </si>
  <si>
    <t xml:space="preserve">2622 W CENTRAL AVE STE 101 </t>
  </si>
  <si>
    <t>67203-4970</t>
  </si>
  <si>
    <t>(316) 858-1111</t>
  </si>
  <si>
    <t>SANDSTONE HEIGHTS</t>
  </si>
  <si>
    <t xml:space="preserve">440 STATE ST </t>
  </si>
  <si>
    <t>67457-9107</t>
  </si>
  <si>
    <t>(620) 897-6266</t>
  </si>
  <si>
    <t>RIVERSIDE VILLAGE INC.</t>
  </si>
  <si>
    <t xml:space="preserve">777 N MCLEAN BLVD </t>
  </si>
  <si>
    <t>67203-4980</t>
  </si>
  <si>
    <t>(316) 942-7000</t>
  </si>
  <si>
    <t>COUNCIL GARDENS</t>
  </si>
  <si>
    <t xml:space="preserve">2501 N TAYLOR RD </t>
  </si>
  <si>
    <t>CLEVELAND HEIGHTS</t>
  </si>
  <si>
    <t>44118-1391</t>
  </si>
  <si>
    <t>(216) 382-8625</t>
  </si>
  <si>
    <t>BETHANY VILLAGE GRACEWORKS LUTHERAN SERVICES</t>
  </si>
  <si>
    <t>937-433-2110</t>
  </si>
  <si>
    <t>BETHESDA HOME &amp; RETIREMENT CENTER</t>
  </si>
  <si>
    <t xml:space="preserve">2833 N NORDICA AVE </t>
  </si>
  <si>
    <t>60634-4726</t>
  </si>
  <si>
    <t>(773) 622-6144</t>
  </si>
  <si>
    <t>WALSH RESIDENCE</t>
  </si>
  <si>
    <t xml:space="preserve">6117 N HAMILTON AVE 1E </t>
  </si>
  <si>
    <t>VIENNA</t>
  </si>
  <si>
    <t xml:space="preserve">45 INDUSTRIAL DR </t>
  </si>
  <si>
    <t>TELACU MANOR</t>
  </si>
  <si>
    <t xml:space="preserve">7100 E GAGE AVE </t>
  </si>
  <si>
    <t>90040-3800</t>
  </si>
  <si>
    <t>(562) 927-7427</t>
  </si>
  <si>
    <t>ST. PAUL'S PLAZA</t>
  </si>
  <si>
    <t xml:space="preserve">1420 E PALOMAR ST </t>
  </si>
  <si>
    <t>ST PAULS SENIOR SERVICES</t>
  </si>
  <si>
    <t>SEQUOIAS - SAN FRANCISCO (THE)</t>
  </si>
  <si>
    <t xml:space="preserve">1400 GEARY BLVD </t>
  </si>
  <si>
    <t>415-922-9700</t>
  </si>
  <si>
    <t>SHORE LINE PLACE</t>
  </si>
  <si>
    <t>60091-2890</t>
  </si>
  <si>
    <t>RIVERAIN POINT</t>
  </si>
  <si>
    <t xml:space="preserve">200 N ISLAND AVE </t>
  </si>
  <si>
    <t>BOUNDARY WATERS CARE CENTER</t>
  </si>
  <si>
    <t xml:space="preserve">200 W CONAN ST </t>
  </si>
  <si>
    <t>ELY</t>
  </si>
  <si>
    <t>55731-1143</t>
  </si>
  <si>
    <t>(218) 365-8705</t>
  </si>
  <si>
    <t>AVINITY SERVICES COMPANY</t>
  </si>
  <si>
    <t xml:space="preserve">7645 LYNDALE AVE S STE 110 </t>
  </si>
  <si>
    <t>55423-6008</t>
  </si>
  <si>
    <t>ARNOLD MEMORIAL HEALTH CARE CENTER</t>
  </si>
  <si>
    <t xml:space="preserve">601 LOUISIANA AVE </t>
  </si>
  <si>
    <t>56110-1051</t>
  </si>
  <si>
    <t>CEDAR COURT</t>
  </si>
  <si>
    <t xml:space="preserve">810 WEST MAIN STREET </t>
  </si>
  <si>
    <t>ADAMS</t>
  </si>
  <si>
    <t>507 582326</t>
  </si>
  <si>
    <t>WALKER PLACE</t>
  </si>
  <si>
    <t xml:space="preserve">3701 BRYANT AVE S </t>
  </si>
  <si>
    <t>55409-1051</t>
  </si>
  <si>
    <t>(612) 827-8500</t>
  </si>
  <si>
    <t>THE LODGE OF MENDOTA HEIGHTS</t>
  </si>
  <si>
    <t xml:space="preserve">664 N FREEWAY RD </t>
  </si>
  <si>
    <t>MENDOTA HEIGHTS</t>
  </si>
  <si>
    <t>SPRING RIDGE</t>
  </si>
  <si>
    <t xml:space="preserve">6645 FINCHAM DR </t>
  </si>
  <si>
    <t>LINCOLN MANOR C/O LUTHERAN SOCIAL SERVICES</t>
  </si>
  <si>
    <t xml:space="preserve">615 LINCOLN HWY </t>
  </si>
  <si>
    <t>ROCHELLE</t>
  </si>
  <si>
    <t>61068-1687</t>
  </si>
  <si>
    <t>(815) 562-1404</t>
  </si>
  <si>
    <t>KENMORE</t>
  </si>
  <si>
    <t xml:space="preserve">5517 N KENMORE AVE </t>
  </si>
  <si>
    <t>60640-1515</t>
  </si>
  <si>
    <t xml:space="preserve">16600 W 126TH ST </t>
  </si>
  <si>
    <t>225 927007</t>
  </si>
  <si>
    <t>VIA CHRISTI SR SERVICES</t>
  </si>
  <si>
    <t xml:space="preserve">2622 W CENTRAL AVE STE 100 </t>
  </si>
  <si>
    <t>SCOTT CITY VIPS INC</t>
  </si>
  <si>
    <t xml:space="preserve">302 CHURCH ST </t>
  </si>
  <si>
    <t>SCOTT CITY</t>
  </si>
  <si>
    <t>67871-1115</t>
  </si>
  <si>
    <t>SAN JACINTO MANOR</t>
  </si>
  <si>
    <t xml:space="preserve">1762 S SANTA FE AVE </t>
  </si>
  <si>
    <t>92583-5038</t>
  </si>
  <si>
    <t>(951) 929-0056</t>
  </si>
  <si>
    <t>REDDING RHF HSG - BUTTE</t>
  </si>
  <si>
    <t xml:space="preserve">1348 MARKET ST APT 201 </t>
  </si>
  <si>
    <t>96001-0631</t>
  </si>
  <si>
    <t>(562) 257-5100</t>
  </si>
  <si>
    <t>PEP HOUSING</t>
  </si>
  <si>
    <t xml:space="preserve">951 PETALUMA BLVD S </t>
  </si>
  <si>
    <t>PETALUMA</t>
  </si>
  <si>
    <t>707 762233</t>
  </si>
  <si>
    <t>JOSHUA ARMS OF LSSI SENIOR RESIDENCE</t>
  </si>
  <si>
    <t xml:space="preserve">1315 ROWELL AVE </t>
  </si>
  <si>
    <t>60433-2849</t>
  </si>
  <si>
    <t>(815) 727-6401</t>
  </si>
  <si>
    <t>INTACT SOUTH</t>
  </si>
  <si>
    <t xml:space="preserve">12940 WESTERN AVE STE 300 </t>
  </si>
  <si>
    <t>BLUE ISLAND</t>
  </si>
  <si>
    <t>60406-4154</t>
  </si>
  <si>
    <t>IMMANUEL MANOR</t>
  </si>
  <si>
    <t xml:space="preserve">1415 EASTVIEW AVE </t>
  </si>
  <si>
    <t>61832-1983</t>
  </si>
  <si>
    <t>JOSHUA ARMS SENIOR RESIDENCES</t>
  </si>
  <si>
    <t>GREENBRIER APARTMENTS</t>
  </si>
  <si>
    <t xml:space="preserve">926 GREENBRIER RD </t>
  </si>
  <si>
    <t>60115-1687</t>
  </si>
  <si>
    <t>WYNDEMERE</t>
  </si>
  <si>
    <t xml:space="preserve">200 WYNDEMERE CIR </t>
  </si>
  <si>
    <t>60187-2424</t>
  </si>
  <si>
    <t>(630) 681-4001</t>
  </si>
  <si>
    <t>MATTHEW MANOR</t>
  </si>
  <si>
    <t xml:space="preserve">271 N ALBANY AVE </t>
  </si>
  <si>
    <t>60612-1870</t>
  </si>
  <si>
    <t>(773) 533-0001</t>
  </si>
  <si>
    <t>BERNARDIN MANOR</t>
  </si>
  <si>
    <t xml:space="preserve">1700 MEMORIAL DR </t>
  </si>
  <si>
    <t>CALUMET CITY</t>
  </si>
  <si>
    <t>60409-4334</t>
  </si>
  <si>
    <t>(708) 832-1700</t>
  </si>
  <si>
    <t>HEARTLAND CROSSING</t>
  </si>
  <si>
    <t xml:space="preserve">7745 N HEARTLAND DR </t>
  </si>
  <si>
    <t>PROJECT IMPACT @ COMMUNITY FIRST MEDICAL CENT</t>
  </si>
  <si>
    <t xml:space="preserve">5645 W ADDISON ST </t>
  </si>
  <si>
    <t>HUTCHINSON GROUP HOME</t>
  </si>
  <si>
    <t xml:space="preserve">3348 W HUTCHINSON ST </t>
  </si>
  <si>
    <t>60618-1258</t>
  </si>
  <si>
    <t>DOWNER PLACE II OF LSSI</t>
  </si>
  <si>
    <t xml:space="preserve">2107 W DOWNER PL </t>
  </si>
  <si>
    <t>60506-4489</t>
  </si>
  <si>
    <t>LSS CONCORDIA VILLAGE</t>
  </si>
  <si>
    <t xml:space="preserve">4101 W ISLES AVE </t>
  </si>
  <si>
    <t>(217) 793-9429</t>
  </si>
  <si>
    <t xml:space="preserve">1525 POST ST </t>
  </si>
  <si>
    <t>415-202-7800</t>
  </si>
  <si>
    <t>SAINT PATRICKS TERRACE APTS</t>
  </si>
  <si>
    <t xml:space="preserve">1212 CENTER ST </t>
  </si>
  <si>
    <t>510 251813</t>
  </si>
  <si>
    <t>STERLING OUTPATIENT</t>
  </si>
  <si>
    <t xml:space="preserve">1901 1ST AVE </t>
  </si>
  <si>
    <t>OUR SAVIOR'S SENIOR HOUSING</t>
  </si>
  <si>
    <t xml:space="preserve">14600 INDIANA AVE </t>
  </si>
  <si>
    <t>60419-1615</t>
  </si>
  <si>
    <t>GABLE POINT</t>
  </si>
  <si>
    <t xml:space="preserve">401 COMMONWEALTH DR </t>
  </si>
  <si>
    <t>60014-6293</t>
  </si>
  <si>
    <t>FOX TRAIL</t>
  </si>
  <si>
    <t xml:space="preserve">31 S EDGELAWN DR </t>
  </si>
  <si>
    <t>60506-4301</t>
  </si>
  <si>
    <t>DEER CREEK MANOR</t>
  </si>
  <si>
    <t xml:space="preserve">3916 N VERMILION ST </t>
  </si>
  <si>
    <t>61834-6283</t>
  </si>
  <si>
    <t>SHATTUCK SENIOR HOMES</t>
  </si>
  <si>
    <t xml:space="preserve">2425 SHATTUCK AVE </t>
  </si>
  <si>
    <t>PETER BABCOCK HOUSE</t>
  </si>
  <si>
    <t xml:space="preserve">2350 WOOLSEY ST </t>
  </si>
  <si>
    <t>MONTEGO PLACE</t>
  </si>
  <si>
    <t xml:space="preserve">180 LA CASA VIA </t>
  </si>
  <si>
    <t>94598-3077</t>
  </si>
  <si>
    <t>(925) 944-9159</t>
  </si>
  <si>
    <t>EASTSIDE ARTS AND HOUSING</t>
  </si>
  <si>
    <t xml:space="preserve">2277 INTERNATIONAL BLVD </t>
  </si>
  <si>
    <t>THE CONCORD</t>
  </si>
  <si>
    <t xml:space="preserve">275 CORDOVA ST </t>
  </si>
  <si>
    <t>91101-2415</t>
  </si>
  <si>
    <t>(626) 792-1032</t>
  </si>
  <si>
    <t>MAYFLOWER GARDENS II</t>
  </si>
  <si>
    <t xml:space="preserve">6570 W AVE L-12 </t>
  </si>
  <si>
    <t>(661) 718-1775</t>
  </si>
  <si>
    <t>SENIOR SERVICES INC. OF WICHITA</t>
  </si>
  <si>
    <t xml:space="preserve">200 S WALNUT ST </t>
  </si>
  <si>
    <t>67213-4777</t>
  </si>
  <si>
    <t>HAVEN 501 APARTMENTS</t>
  </si>
  <si>
    <t xml:space="preserve">1178 N MADISON AVE </t>
  </si>
  <si>
    <t>90029-1859</t>
  </si>
  <si>
    <t>213-389-5510</t>
  </si>
  <si>
    <t>HARRISON VILLA</t>
  </si>
  <si>
    <t xml:space="preserve">475 TAYLOR DR </t>
  </si>
  <si>
    <t>CLAREMONT</t>
  </si>
  <si>
    <t>91711-4189</t>
  </si>
  <si>
    <t>(909) 624-5061</t>
  </si>
  <si>
    <t>PLAINFIELD TOWER</t>
  </si>
  <si>
    <t xml:space="preserve">601 W 7TH ST </t>
  </si>
  <si>
    <t>(908) 668-1963</t>
  </si>
  <si>
    <t>OAKS AT TOMS RIVER</t>
  </si>
  <si>
    <t xml:space="preserve">923 OAK AVE </t>
  </si>
  <si>
    <t>BUTLER SENIOR CITIZEN HOUSING</t>
  </si>
  <si>
    <t xml:space="preserve">9 ACE RD </t>
  </si>
  <si>
    <t>(973) 492-3700</t>
  </si>
  <si>
    <t>ELM COURT</t>
  </si>
  <si>
    <t xml:space="preserve">300 ELM RD </t>
  </si>
  <si>
    <t>08540-2526</t>
  </si>
  <si>
    <t>(609) 921-0929</t>
  </si>
  <si>
    <t>MOUNT HOPE NURSING CENTER-MOUNT HOPE NURSING</t>
  </si>
  <si>
    <t xml:space="preserve">704 E MAIN ST </t>
  </si>
  <si>
    <t>MOUNT HOPE</t>
  </si>
  <si>
    <t>67108-9408</t>
  </si>
  <si>
    <t>(316) 667-2431</t>
  </si>
  <si>
    <t>COMMUNITY CARE INC</t>
  </si>
  <si>
    <t xml:space="preserve">310 STRAND ST </t>
  </si>
  <si>
    <t>66937-9629</t>
  </si>
  <si>
    <t xml:space="preserve">1809 WOODFIELD DR </t>
  </si>
  <si>
    <t>SAVOY</t>
  </si>
  <si>
    <t>61874-9505</t>
  </si>
  <si>
    <t xml:space="preserve">700 E OAK ST STE 204 </t>
  </si>
  <si>
    <t>61520-3157</t>
  </si>
  <si>
    <t xml:space="preserve">675 VARSITY DR </t>
  </si>
  <si>
    <t>60120-8176</t>
  </si>
  <si>
    <t xml:space="preserve">605 N LOGAN AVE STE 1 </t>
  </si>
  <si>
    <t>61832-4371</t>
  </si>
  <si>
    <t>CATHOLIC CHARITIES HOUSING DEVELOPMENT CORPOR</t>
  </si>
  <si>
    <t xml:space="preserve">721 N LA SALLE DR </t>
  </si>
  <si>
    <t>60654-3503</t>
  </si>
  <si>
    <t>(312) 655-7490</t>
  </si>
  <si>
    <t>CIBOLO HOUSE ASSISTED LIVING AND MEMORY CARE</t>
  </si>
  <si>
    <t xml:space="preserve">1000 GRAND BLVD </t>
  </si>
  <si>
    <t>78006-9254</t>
  </si>
  <si>
    <t>CHRISTIAN CARE HOSPICE</t>
  </si>
  <si>
    <t>75150-1400</t>
  </si>
  <si>
    <t>DIXON GROUP HOME</t>
  </si>
  <si>
    <t xml:space="preserve">314 S OTTAWA AVE </t>
  </si>
  <si>
    <t>61021-3150</t>
  </si>
  <si>
    <t>SATANTA AGING PROGRAM INC</t>
  </si>
  <si>
    <t xml:space="preserve">118 SEQUAYAH </t>
  </si>
  <si>
    <t>SATANTA</t>
  </si>
  <si>
    <t>RIVERVIEW ESTATES INC.</t>
  </si>
  <si>
    <t xml:space="preserve">202 S WASHINGTON ST </t>
  </si>
  <si>
    <t>MARQUETTE</t>
  </si>
  <si>
    <t>67464-9775</t>
  </si>
  <si>
    <t>(785) 546-2211</t>
  </si>
  <si>
    <t>PROTECTION VALLEY MANOR</t>
  </si>
  <si>
    <t xml:space="preserve">600 S BROADWAY </t>
  </si>
  <si>
    <t>PROTECTION</t>
  </si>
  <si>
    <t>67127-8801</t>
  </si>
  <si>
    <t>(620) 622-4261</t>
  </si>
  <si>
    <t>LEISURE HOMESTEAD ASSOCIATION AT ST. JOHN</t>
  </si>
  <si>
    <t xml:space="preserve">402 N SANTA FE </t>
  </si>
  <si>
    <t>67576-1800</t>
  </si>
  <si>
    <t>(620) 549-3541</t>
  </si>
  <si>
    <t xml:space="preserve">85 HANKES AVE </t>
  </si>
  <si>
    <t>60505-1757</t>
  </si>
  <si>
    <t>ARTESIAN HOME</t>
  </si>
  <si>
    <t xml:space="preserve">6255 N ARTESIAN AVE </t>
  </si>
  <si>
    <t>60659-2828</t>
  </si>
  <si>
    <t>VILLAGE AT VICTORY LAKES RETIREMENT</t>
  </si>
  <si>
    <t xml:space="preserve">1075 E VICTORY DR </t>
  </si>
  <si>
    <t>LINDENHURST</t>
  </si>
  <si>
    <t>60046-7910</t>
  </si>
  <si>
    <t>(847) 356-4600</t>
  </si>
  <si>
    <t>FRANCISCAN COMMUNITIES-ST JAMES MANOR</t>
  </si>
  <si>
    <t xml:space="preserve">1251 E RICHTON RD </t>
  </si>
  <si>
    <t>60417-1623</t>
  </si>
  <si>
    <t>(708) 672-6700</t>
  </si>
  <si>
    <t>LAWRENCE MANOR</t>
  </si>
  <si>
    <t xml:space="preserve">21425 SOUTHWICK DR </t>
  </si>
  <si>
    <t>MATTESON</t>
  </si>
  <si>
    <t>60443-2240</t>
  </si>
  <si>
    <t>(708) 481-1200</t>
  </si>
  <si>
    <t>BEEHIVE HOMES</t>
  </si>
  <si>
    <t xml:space="preserve">3973 N EAGLE RD </t>
  </si>
  <si>
    <t>OTTERBEIN MANOR</t>
  </si>
  <si>
    <t xml:space="preserve">5375 MANILA AVE </t>
  </si>
  <si>
    <t>510 653025</t>
  </si>
  <si>
    <t>DONALD JORDAN SENIOR MANOR</t>
  </si>
  <si>
    <t xml:space="preserve">11441 ACACIA PKWY </t>
  </si>
  <si>
    <t>92840-5361</t>
  </si>
  <si>
    <t>(714) 530-2072</t>
  </si>
  <si>
    <t>SHASTA POINT RETIREMENT COMMUNITY</t>
  </si>
  <si>
    <t xml:space="preserve">1501 SHASTA DR </t>
  </si>
  <si>
    <t>DAVIS</t>
  </si>
  <si>
    <t>95616-6696</t>
  </si>
  <si>
    <t>(541) 857-7454</t>
  </si>
  <si>
    <t>VISTA ALISO</t>
  </si>
  <si>
    <t xml:space="preserve">21544 WESLEY DR </t>
  </si>
  <si>
    <t>LAGUNA BEACH</t>
  </si>
  <si>
    <t>92651-8101</t>
  </si>
  <si>
    <t>(949) 499-5581</t>
  </si>
  <si>
    <t>UNITED METHODIST HOMES AND SERVICES</t>
  </si>
  <si>
    <t xml:space="preserve">1415 W FOSTER AVE </t>
  </si>
  <si>
    <t>60640-2288</t>
  </si>
  <si>
    <t>(773) 769-5500</t>
  </si>
  <si>
    <t>HAYES MANOR</t>
  </si>
  <si>
    <t xml:space="preserve">1211 W MARQUETTE RD </t>
  </si>
  <si>
    <t>60636-2900</t>
  </si>
  <si>
    <t>(773) 873-7400</t>
  </si>
  <si>
    <t>WESLEY AT HOME</t>
  </si>
  <si>
    <t xml:space="preserve">3520 GRAND AVE </t>
  </si>
  <si>
    <t>50312-4359</t>
  </si>
  <si>
    <t>WESLEY ADULT DAY SERVICES</t>
  </si>
  <si>
    <t>(515) 271-6701</t>
  </si>
  <si>
    <t>ON WITH LIFE AT ANKENY</t>
  </si>
  <si>
    <t xml:space="preserve">715 SW ANKENY RD </t>
  </si>
  <si>
    <t>ANKENY</t>
  </si>
  <si>
    <t>50023-9798</t>
  </si>
  <si>
    <t>(515) 289-9600</t>
  </si>
  <si>
    <t xml:space="preserve">1702 N 16TH ST </t>
  </si>
  <si>
    <t>712 256728</t>
  </si>
  <si>
    <t>STONEBRIDGE AT MONTGOMERY</t>
  </si>
  <si>
    <t xml:space="preserve">100 HOLLINSHEAD SPRING RD </t>
  </si>
  <si>
    <t>SKILLMAN</t>
  </si>
  <si>
    <t>08558-2028</t>
  </si>
  <si>
    <t>(609) 759-3600</t>
  </si>
  <si>
    <t>MONROE VILLAGE</t>
  </si>
  <si>
    <t xml:space="preserve">1 DAVID BRAINERD DR </t>
  </si>
  <si>
    <t>JAMESBURG</t>
  </si>
  <si>
    <t>08831-1927</t>
  </si>
  <si>
    <t>(732) 521-6400</t>
  </si>
  <si>
    <t>MEMORIAL HOME INC DBA PINE VILLAGE</t>
  </si>
  <si>
    <t xml:space="preserve">86 22ND AVE </t>
  </si>
  <si>
    <t>MOUNDRIDGE</t>
  </si>
  <si>
    <t>67107-7003</t>
  </si>
  <si>
    <t>(620) 345-2901</t>
  </si>
  <si>
    <t>MEDICINE LODGE LEISURE TIME CENTER</t>
  </si>
  <si>
    <t xml:space="preserve">213 N MAIN ST </t>
  </si>
  <si>
    <t>MEDICINE LODGE</t>
  </si>
  <si>
    <t>67104-1318</t>
  </si>
  <si>
    <t>WESTFIELD MANOR</t>
  </si>
  <si>
    <t xml:space="preserve">7245 WESTFIELD PLAZA DR </t>
  </si>
  <si>
    <t>(618) 233-5506</t>
  </si>
  <si>
    <t>SUNRISE MANOR</t>
  </si>
  <si>
    <t xml:space="preserve">5501 GORDON DR EAST </t>
  </si>
  <si>
    <t>SIOUX CITY</t>
  </si>
  <si>
    <t>(270) 358-3103</t>
  </si>
  <si>
    <t>WOODSTONE</t>
  </si>
  <si>
    <t xml:space="preserve">2335 STEWART AVE </t>
  </si>
  <si>
    <t>55116-3000</t>
  </si>
  <si>
    <t>CENTURY NORTH</t>
  </si>
  <si>
    <t xml:space="preserve">4131 GENEVA AVE N </t>
  </si>
  <si>
    <t>OAKDALE</t>
  </si>
  <si>
    <t>55128-2821</t>
  </si>
  <si>
    <t>BURNSVILLE CAREFREE LIVING</t>
  </si>
  <si>
    <t xml:space="preserve">600 E NICOLLET BLVD </t>
  </si>
  <si>
    <t>55337-6739</t>
  </si>
  <si>
    <t>SUMMERHOUSE OF SHOREVIEW</t>
  </si>
  <si>
    <t xml:space="preserve">4655 VICTORIA ST N </t>
  </si>
  <si>
    <t>55126-5885</t>
  </si>
  <si>
    <t>(651) 765-3900</t>
  </si>
  <si>
    <t>SHOREFRONT JEWISH GERIATRIC CENTER</t>
  </si>
  <si>
    <t xml:space="preserve">3015 W 29TH ST </t>
  </si>
  <si>
    <t>11224-1901</t>
  </si>
  <si>
    <t>SEABURY AT FIELDHOME (THE)</t>
  </si>
  <si>
    <t xml:space="preserve">2276 CATHERINE ST </t>
  </si>
  <si>
    <t>CORTLANDT MANOR</t>
  </si>
  <si>
    <t>10567-7260</t>
  </si>
  <si>
    <t>(914) 737-2255</t>
  </si>
  <si>
    <t>RUDOLF STEINER FELLOWSHIP FOUNDATION</t>
  </si>
  <si>
    <t xml:space="preserve">241 HUNGRY HOLLOW RD </t>
  </si>
  <si>
    <t>CHESTNUT RIDGE</t>
  </si>
  <si>
    <t>10977-6111</t>
  </si>
  <si>
    <t>(845) 356-8494</t>
  </si>
  <si>
    <t>PROSPECT PARK RESIDENCE</t>
  </si>
  <si>
    <t xml:space="preserve">1 PROSPECT PARK W </t>
  </si>
  <si>
    <t>11215-1601</t>
  </si>
  <si>
    <t>(718) 622-8400</t>
  </si>
  <si>
    <t>MOUNTAIN VALLEY HOSPICE</t>
  </si>
  <si>
    <t xml:space="preserve">108 STEELE AVE </t>
  </si>
  <si>
    <t>GLOVERSVILLE</t>
  </si>
  <si>
    <t>(518) 725-4545</t>
  </si>
  <si>
    <t>GEORGE HUMPHREY TOWERS</t>
  </si>
  <si>
    <t xml:space="preserve">1809 BRICKELL AVE </t>
  </si>
  <si>
    <t>33129-1619</t>
  </si>
  <si>
    <t>(561) 775-9571</t>
  </si>
  <si>
    <t>COUNCIL TOWERS NORTH &amp; SOUTH APARTMNTS</t>
  </si>
  <si>
    <t xml:space="preserve">533 COLLINS AVE STE 208 </t>
  </si>
  <si>
    <t>33139-6635</t>
  </si>
  <si>
    <t>(305) 538-5658</t>
  </si>
  <si>
    <t>ST ANDREW TOWERS</t>
  </si>
  <si>
    <t xml:space="preserve">2700 NW 99TH AVE </t>
  </si>
  <si>
    <t>CORAL SPRINGS</t>
  </si>
  <si>
    <t>33065-4837</t>
  </si>
  <si>
    <t>(954) 752-4177</t>
  </si>
  <si>
    <t>STELLA MARIS</t>
  </si>
  <si>
    <t xml:space="preserve">8638 HARDING AVE </t>
  </si>
  <si>
    <t>33141-1200</t>
  </si>
  <si>
    <t>(305) 865-6841</t>
  </si>
  <si>
    <t>CASA MIGUEL</t>
  </si>
  <si>
    <t xml:space="preserve">2285 STATE ROAD 580 </t>
  </si>
  <si>
    <t>33763-1111</t>
  </si>
  <si>
    <t>(727) 797-8551</t>
  </si>
  <si>
    <t>BETHLEHAM HOUSING</t>
  </si>
  <si>
    <t xml:space="preserve">8010 STATE ROAD 52 </t>
  </si>
  <si>
    <t>34667-6791</t>
  </si>
  <si>
    <t>(727) 819-2861</t>
  </si>
  <si>
    <t>MASONIC CARE COMMUNITY</t>
  </si>
  <si>
    <t xml:space="preserve">2150 BLEECKER ST </t>
  </si>
  <si>
    <t>(516) 546-2239</t>
  </si>
  <si>
    <t>LINCOLN MANOR</t>
  </si>
  <si>
    <t>262-833-0144</t>
  </si>
  <si>
    <t>ANDERSON APARTMENTS</t>
  </si>
  <si>
    <t xml:space="preserve">200 E KING AVE </t>
  </si>
  <si>
    <t>61085-1583</t>
  </si>
  <si>
    <t>HOLLAND HOME (THE)</t>
  </si>
  <si>
    <t xml:space="preserve">16300 LOUIS AVE </t>
  </si>
  <si>
    <t>SOUTH HOLLAND</t>
  </si>
  <si>
    <t>60473-2281</t>
  </si>
  <si>
    <t>(708) 596-3050</t>
  </si>
  <si>
    <t>ST BRENDAN APARTMENTS</t>
  </si>
  <si>
    <t xml:space="preserve">6718 S RACINE </t>
  </si>
  <si>
    <t>(773) 846-8600</t>
  </si>
  <si>
    <t>ROSELAND MANOR</t>
  </si>
  <si>
    <t xml:space="preserve">11717 S STATE ST </t>
  </si>
  <si>
    <t>60628-5558</t>
  </si>
  <si>
    <t>(773) 995-9000</t>
  </si>
  <si>
    <t>LONG ISLAND HOME (THE) DBA-BROADLAWN MANOR NH</t>
  </si>
  <si>
    <t xml:space="preserve">399 COUNTY LINE R </t>
  </si>
  <si>
    <t>AMITYVILLE</t>
  </si>
  <si>
    <t>(631) 608-5625</t>
  </si>
  <si>
    <t>JEWISH HOME OF CENTRAL NEW YORK</t>
  </si>
  <si>
    <t xml:space="preserve">4101 E GENESEE ST </t>
  </si>
  <si>
    <t>13214-2136</t>
  </si>
  <si>
    <t>(315) 446-9111</t>
  </si>
  <si>
    <t>HERTLIN HOUSE</t>
  </si>
  <si>
    <t xml:space="preserve">675 PORTION RD </t>
  </si>
  <si>
    <t>RONKONKOMA</t>
  </si>
  <si>
    <t>11779-1878</t>
  </si>
  <si>
    <t>(631) 981-1880</t>
  </si>
  <si>
    <t>CLINTON CREST MANOR</t>
  </si>
  <si>
    <t xml:space="preserve">411 CLINTON ST </t>
  </si>
  <si>
    <t>PENN YAN</t>
  </si>
  <si>
    <t>14527-1369</t>
  </si>
  <si>
    <t>(315) 536-8800</t>
  </si>
  <si>
    <t>SPRUCE TERRACE</t>
  </si>
  <si>
    <t xml:space="preserve">21 SPRUCE ST </t>
  </si>
  <si>
    <t>KEARNY</t>
  </si>
  <si>
    <t>07032-3571</t>
  </si>
  <si>
    <t>(201) 997-4464</t>
  </si>
  <si>
    <t>CHAMBERS BRIDGE RESIDENCE</t>
  </si>
  <si>
    <t xml:space="preserve">175 CHAMBERS BRIDGE RD </t>
  </si>
  <si>
    <t>BRICK</t>
  </si>
  <si>
    <t>08723-3503</t>
  </si>
  <si>
    <t>ALLEN HOUSE AT SPRINGHOUSE</t>
  </si>
  <si>
    <t xml:space="preserve">44 ALLANDALE ST </t>
  </si>
  <si>
    <t>JAMAICA PLAIN</t>
  </si>
  <si>
    <t>02130-3449</t>
  </si>
  <si>
    <t>PUTNAM HOWE VILLAGE</t>
  </si>
  <si>
    <t xml:space="preserve">711 BELROCK AVE </t>
  </si>
  <si>
    <t>BELPRE</t>
  </si>
  <si>
    <t>740 423615</t>
  </si>
  <si>
    <t>SALEM HOSPITAL INC DBA SALEM HOME</t>
  </si>
  <si>
    <t xml:space="preserve">704 S ASH ST </t>
  </si>
  <si>
    <t>67063-1506</t>
  </si>
  <si>
    <t>(620) 947-2272</t>
  </si>
  <si>
    <t>LOGAN COUNTY SENIOR LIVING</t>
  </si>
  <si>
    <t xml:space="preserve">615 PRICE AVE </t>
  </si>
  <si>
    <t>67748-2048</t>
  </si>
  <si>
    <t>(785) 672-8109</t>
  </si>
  <si>
    <t>FOWLER NURSING HOME</t>
  </si>
  <si>
    <t xml:space="preserve">401 E 6TH AVE </t>
  </si>
  <si>
    <t>67844-4419</t>
  </si>
  <si>
    <t>(620) 646-5215</t>
  </si>
  <si>
    <t>EVERGREEN HOSPICE CARE LLC</t>
  </si>
  <si>
    <t xml:space="preserve">11875 S SUNSET DR STE 200 </t>
  </si>
  <si>
    <t>66061-2794</t>
  </si>
  <si>
    <t>ANDBE HOME</t>
  </si>
  <si>
    <t xml:space="preserve">201 W CRANE ST </t>
  </si>
  <si>
    <t>67654-1117</t>
  </si>
  <si>
    <t>(785) 877-2601</t>
  </si>
  <si>
    <t xml:space="preserve">5825 W BELMONT AVE </t>
  </si>
  <si>
    <t>60634-5203</t>
  </si>
  <si>
    <t>(773) 637-0487</t>
  </si>
  <si>
    <t>DUBLIN HOUSE</t>
  </si>
  <si>
    <t xml:space="preserve">1425 CENTRAL AVE </t>
  </si>
  <si>
    <t>513-424-4828</t>
  </si>
  <si>
    <t>FRIENDSHIP VILLAGE DUBLIN</t>
  </si>
  <si>
    <t xml:space="preserve">6000 RIVERSIDE DR </t>
  </si>
  <si>
    <t>614-764-1600</t>
  </si>
  <si>
    <t>DEUPREE HOUSE</t>
  </si>
  <si>
    <t xml:space="preserve">3939 ERIE AVE </t>
  </si>
  <si>
    <t>513-561-6363</t>
  </si>
  <si>
    <t>CANTERBURY COURT</t>
  </si>
  <si>
    <t xml:space="preserve">450 N ELM ST </t>
  </si>
  <si>
    <t>WEST CARROLLTON</t>
  </si>
  <si>
    <t>45449-1266</t>
  </si>
  <si>
    <t>(937) 859-1106</t>
  </si>
  <si>
    <t>COURTYARDS AT LUTHER MANOR</t>
  </si>
  <si>
    <t xml:space="preserve">4611 N 92ND ST </t>
  </si>
  <si>
    <t>LARKSFIELD PLACE</t>
  </si>
  <si>
    <t xml:space="preserve">7373 E 29TH ST N </t>
  </si>
  <si>
    <t>67226-3405</t>
  </si>
  <si>
    <t>(316) 636-1000</t>
  </si>
  <si>
    <t>BUFORD WALKER</t>
  </si>
  <si>
    <t xml:space="preserve">17725 ARCADIA AVE </t>
  </si>
  <si>
    <t>60438-1864</t>
  </si>
  <si>
    <t>THE IOWA CLINIC WESLEY ACRES</t>
  </si>
  <si>
    <t>(515) 271-6500</t>
  </si>
  <si>
    <t>PERRY LUTHERAN HOME</t>
  </si>
  <si>
    <t xml:space="preserve">2323 WILLIS AVE </t>
  </si>
  <si>
    <t>PERRY</t>
  </si>
  <si>
    <t>50220-2148</t>
  </si>
  <si>
    <t>(515) 465-5342</t>
  </si>
  <si>
    <t>MAYFLOWER HOMES INC</t>
  </si>
  <si>
    <t xml:space="preserve">616 BROAD ST </t>
  </si>
  <si>
    <t>GRINNELL</t>
  </si>
  <si>
    <t>50112-2298</t>
  </si>
  <si>
    <t>(641) 236-6151</t>
  </si>
  <si>
    <t>SYVERSON LUTHERAN HOME</t>
  </si>
  <si>
    <t xml:space="preserve">816 PORTER AVE </t>
  </si>
  <si>
    <t>54701-3813</t>
  </si>
  <si>
    <t>(715) 832-1644</t>
  </si>
  <si>
    <t>GRACE APARTMENTS</t>
  </si>
  <si>
    <t xml:space="preserve">3410 SKY PARK BLVD </t>
  </si>
  <si>
    <t>(715) 832-1174</t>
  </si>
  <si>
    <t>EVERGREEN MANOR INDEPENDENT APARTMENTS</t>
  </si>
  <si>
    <t>EVERGREEN HOMES RANCH - STYLE HOMES</t>
  </si>
  <si>
    <t>AVILA RETIREMENT COMMUNITY</t>
  </si>
  <si>
    <t xml:space="preserve">100 WHITE PINE DR </t>
  </si>
  <si>
    <t>ALBANY</t>
  </si>
  <si>
    <t>12203-5156</t>
  </si>
  <si>
    <t>(518) 452-4250</t>
  </si>
  <si>
    <t>LSS LUTHERAN HILLSIDE VILLAGE</t>
  </si>
  <si>
    <t xml:space="preserve">6901 N GALENA RD </t>
  </si>
  <si>
    <t>61614-3111</t>
  </si>
  <si>
    <t>(309) 692-4494</t>
  </si>
  <si>
    <t>SENATE APARTMENTS</t>
  </si>
  <si>
    <t xml:space="preserve">5801G N PULASKI RD </t>
  </si>
  <si>
    <t>60646-6055</t>
  </si>
  <si>
    <t>(773) 539-3403</t>
  </si>
  <si>
    <t>VISTA WOODS CARE CENTER</t>
  </si>
  <si>
    <t xml:space="preserve">3 PENNSYLVANIA PL </t>
  </si>
  <si>
    <t>OTTUMWA</t>
  </si>
  <si>
    <t>52501-2165</t>
  </si>
  <si>
    <t>ROWLEY MEMORIAL MASONIC HOME</t>
  </si>
  <si>
    <t xml:space="preserve">1300 28TH ST </t>
  </si>
  <si>
    <t>50220-2329</t>
  </si>
  <si>
    <t>(515) 465-5316</t>
  </si>
  <si>
    <t>PARK CENTRE</t>
  </si>
  <si>
    <t xml:space="preserve">500 1ST ST N </t>
  </si>
  <si>
    <t>50208-3119</t>
  </si>
  <si>
    <t>(641) 791-5000</t>
  </si>
  <si>
    <t>ATRIUM AT NAVESINK HARBOR (THE)</t>
  </si>
  <si>
    <t xml:space="preserve">40 RIVERSIDE AVE </t>
  </si>
  <si>
    <t>RED BANK</t>
  </si>
  <si>
    <t>07701-1025</t>
  </si>
  <si>
    <t>(732) 842-3400</t>
  </si>
  <si>
    <t>BAPTIST MEMORIALS CENTER</t>
  </si>
  <si>
    <t>ALLISON HOUSE</t>
  </si>
  <si>
    <t xml:space="preserve">439 HOUSTON HARTE </t>
  </si>
  <si>
    <t>LAKEVIEW PLACE APARTMENTS</t>
  </si>
  <si>
    <t xml:space="preserve">8950 HAMMERLY BLVD </t>
  </si>
  <si>
    <t>77080-6742</t>
  </si>
  <si>
    <t>(713) 984-9003</t>
  </si>
  <si>
    <t>KERRVILLE OAKS APARTMENTS</t>
  </si>
  <si>
    <t xml:space="preserve">850 CLAY ST </t>
  </si>
  <si>
    <t>KERRVILLE</t>
  </si>
  <si>
    <t>78028-3381</t>
  </si>
  <si>
    <t>(830) 792-3233</t>
  </si>
  <si>
    <t>A TOUCH OF HOME</t>
  </si>
  <si>
    <t xml:space="preserve">505 MOUNT HOPE AVE </t>
  </si>
  <si>
    <t>14620-2251</t>
  </si>
  <si>
    <t>UNITED HELPERS INTERMEDIATE</t>
  </si>
  <si>
    <t xml:space="preserve">10 SPRUCE ST </t>
  </si>
  <si>
    <t>OGDENSBURG</t>
  </si>
  <si>
    <t>13669-3152</t>
  </si>
  <si>
    <t>(315) 393-5073</t>
  </si>
  <si>
    <t>UNITED HELPERS ICF # - NY</t>
  </si>
  <si>
    <t xml:space="preserve">6859 COUNTY ROUTE 10 </t>
  </si>
  <si>
    <t>LISBON</t>
  </si>
  <si>
    <t>13658-3297</t>
  </si>
  <si>
    <t>(315) 393-6206</t>
  </si>
  <si>
    <t>UNITED HELPERS CANTON NURSING HOME</t>
  </si>
  <si>
    <t xml:space="preserve">205 STATE ST </t>
  </si>
  <si>
    <t>(315) 386-4541</t>
  </si>
  <si>
    <t>MARTIN LUTHER COURT</t>
  </si>
  <si>
    <t xml:space="preserve">380 BELMONT AVE </t>
  </si>
  <si>
    <t>11207-4121</t>
  </si>
  <si>
    <t>(718) 345-3140</t>
  </si>
  <si>
    <t>PENICK VILLAGE</t>
  </si>
  <si>
    <t xml:space="preserve">500 E RHODE ISLAND AVE </t>
  </si>
  <si>
    <t>SOUTHERN PINES</t>
  </si>
  <si>
    <t>28387-4010</t>
  </si>
  <si>
    <t>(910) 692-0300</t>
  </si>
  <si>
    <t>ST SABINA ELDERS VILLAGE</t>
  </si>
  <si>
    <t xml:space="preserve">1222 W 79TH ST </t>
  </si>
  <si>
    <t>(773) 994-7850</t>
  </si>
  <si>
    <t>HAYDEN CROSSING</t>
  </si>
  <si>
    <t xml:space="preserve">88 W SARGENT DR </t>
  </si>
  <si>
    <t>HAYDEN</t>
  </si>
  <si>
    <t>UNITED PRESBYTERIAN HOME</t>
  </si>
  <si>
    <t xml:space="preserve">1203 E WASHINGTON ST </t>
  </si>
  <si>
    <t>52353-2152</t>
  </si>
  <si>
    <t>(319) 653-5473</t>
  </si>
  <si>
    <t>HIDDEN BROOK</t>
  </si>
  <si>
    <t xml:space="preserve">1 BOB FRANKS WAY </t>
  </si>
  <si>
    <t>(732) 560-1751</t>
  </si>
  <si>
    <t>GABLES</t>
  </si>
  <si>
    <t xml:space="preserve">996 ALEXANDER RD </t>
  </si>
  <si>
    <t>PRINCETON JUNCTION</t>
  </si>
  <si>
    <t>(609) 799-8885</t>
  </si>
  <si>
    <t>JEFFERSON PLACE</t>
  </si>
  <si>
    <t xml:space="preserve">413 JEFFERSON ST </t>
  </si>
  <si>
    <t>PELLA</t>
  </si>
  <si>
    <t>(641) 628-1244</t>
  </si>
  <si>
    <t>CALVIN COMMUNITY</t>
  </si>
  <si>
    <t xml:space="preserve">4210 HICKMAN RD </t>
  </si>
  <si>
    <t>50310-3333</t>
  </si>
  <si>
    <t>(515) 277-6141</t>
  </si>
  <si>
    <t>CRESTWOOD MANOR CCRC</t>
  </si>
  <si>
    <t xml:space="preserve">50 LACEY RD </t>
  </si>
  <si>
    <t>(732) 849-4900</t>
  </si>
  <si>
    <t>COUNTRYSIDE MEADOWS</t>
  </si>
  <si>
    <t xml:space="preserve">205 W BUCHANAN AVE </t>
  </si>
  <si>
    <t>EGG HARBOR CITY</t>
  </si>
  <si>
    <t>(609) 652-9100</t>
  </si>
  <si>
    <t>SOUTH MOUNTAIN B'NAI BRITH</t>
  </si>
  <si>
    <t xml:space="preserve">219 S ORANGE AVE </t>
  </si>
  <si>
    <t>SOUTH ORANGE</t>
  </si>
  <si>
    <t>07079-2200</t>
  </si>
  <si>
    <t>(973) 761-4602</t>
  </si>
  <si>
    <t>CAROLINA MEADOWS INC</t>
  </si>
  <si>
    <t xml:space="preserve">100 CAROLINA MEADOWS </t>
  </si>
  <si>
    <t>CHAPEL HILL</t>
  </si>
  <si>
    <t>27514-3200</t>
  </si>
  <si>
    <t>(919) 942-4014</t>
  </si>
  <si>
    <t>UKRAINIAN VILLAGE</t>
  </si>
  <si>
    <t xml:space="preserve">26377 RYAN RD </t>
  </si>
  <si>
    <t>48091-1184</t>
  </si>
  <si>
    <t>(586) 755-7720</t>
  </si>
  <si>
    <t>ST. GEORGE TOWER APARTMENTS</t>
  </si>
  <si>
    <t xml:space="preserve">42250 HAYES RD </t>
  </si>
  <si>
    <t>48038-3637</t>
  </si>
  <si>
    <t>(586) 286-7212</t>
  </si>
  <si>
    <t>GATESHEAD CROSSING</t>
  </si>
  <si>
    <t xml:space="preserve">4950 GATESHEAD ST </t>
  </si>
  <si>
    <t>48236-2146</t>
  </si>
  <si>
    <t>PRAIRIE RUN</t>
  </si>
  <si>
    <t xml:space="preserve">7760 N HEARTLAND DR </t>
  </si>
  <si>
    <t>208 762980</t>
  </si>
  <si>
    <t>WESLEY LIFE COMMUNITY SERVICES</t>
  </si>
  <si>
    <t xml:space="preserve">944 18TH ST </t>
  </si>
  <si>
    <t>50314-1152</t>
  </si>
  <si>
    <t>(515) 288-3334</t>
  </si>
  <si>
    <t>ELIZABETH E MARTIN HEALTH CENTER</t>
  </si>
  <si>
    <t xml:space="preserve">420 E 11TH ST </t>
  </si>
  <si>
    <t>CEDAR FALLS</t>
  </si>
  <si>
    <t>LEE HOLT ADULT DAY SERVICE</t>
  </si>
  <si>
    <t xml:space="preserve">1501 ST LUKE DR </t>
  </si>
  <si>
    <t>51301-6073</t>
  </si>
  <si>
    <t>(712) 262-5932</t>
  </si>
  <si>
    <t>SPRINGPOINT SENIOR LIVING</t>
  </si>
  <si>
    <t>HERITAGE AT WHITING</t>
  </si>
  <si>
    <t xml:space="preserve">40 LACEY RD </t>
  </si>
  <si>
    <t>WATCHUNG TERRACE</t>
  </si>
  <si>
    <t xml:space="preserve">100 WATCHUNG TERRACE </t>
  </si>
  <si>
    <t>MIDDLESEX</t>
  </si>
  <si>
    <t>(732) 356-0681</t>
  </si>
  <si>
    <t>STAFFORD BY THE BAY</t>
  </si>
  <si>
    <t xml:space="preserve">312 E BAY AVE </t>
  </si>
  <si>
    <t>MANAHAWKIN</t>
  </si>
  <si>
    <t>(609) 489-0809</t>
  </si>
  <si>
    <t>SPRINGPOINT SENIOR LIVING FOUNDATION</t>
  </si>
  <si>
    <t xml:space="preserve">4814 OUTLOOK DRIVE SUITE 201 </t>
  </si>
  <si>
    <t>SPRINGPOINT AT MEADOW LAKES INC</t>
  </si>
  <si>
    <t xml:space="preserve">300 ETRA RD </t>
  </si>
  <si>
    <t>E WINDSOR</t>
  </si>
  <si>
    <t>(609) 448-4100</t>
  </si>
  <si>
    <t>SAMUEL MILLER SENIOR HOUSING</t>
  </si>
  <si>
    <t xml:space="preserve">256 CLIFTON AVE </t>
  </si>
  <si>
    <t>MOUNT HOLLY</t>
  </si>
  <si>
    <t>(609) 261-5384</t>
  </si>
  <si>
    <t>PRESBYTERIAN HOMES AT MANCHESTER</t>
  </si>
  <si>
    <t xml:space="preserve">3204 HILLTOP RD </t>
  </si>
  <si>
    <t>08759-1378</t>
  </si>
  <si>
    <t>(732) 350-1300</t>
  </si>
  <si>
    <t>OAK CREEK II</t>
  </si>
  <si>
    <t xml:space="preserve">401 NEW BRUNSWICK AVE </t>
  </si>
  <si>
    <t>EAST BRUNSWICK</t>
  </si>
  <si>
    <t>08816-5150</t>
  </si>
  <si>
    <t>CREST SERVICES</t>
  </si>
  <si>
    <t xml:space="preserve">3105 MERLE HAY ROAD #6 </t>
  </si>
  <si>
    <t>WESTMINSTER JEFFERSON CENTER</t>
  </si>
  <si>
    <t xml:space="preserve">930 N TAMIAMI TRL </t>
  </si>
  <si>
    <t>34236-4063</t>
  </si>
  <si>
    <t>(941) 953-9585</t>
  </si>
  <si>
    <t>TRADITION OF THE PALM BEACHES (THE)</t>
  </si>
  <si>
    <t xml:space="preserve">4920 LORING DR </t>
  </si>
  <si>
    <t>33417-8023</t>
  </si>
  <si>
    <t>(561) 687-5745</t>
  </si>
  <si>
    <t>FRIENDSHIP GARDENS</t>
  </si>
  <si>
    <t xml:space="preserve">100 NEW FRIENDSHIP RD </t>
  </si>
  <si>
    <t>HOWELL</t>
  </si>
  <si>
    <t>(732) 370-9110</t>
  </si>
  <si>
    <t>ASBURY TOWER</t>
  </si>
  <si>
    <t>07712-5646</t>
  </si>
  <si>
    <t>(732) 988-9090</t>
  </si>
  <si>
    <t>JEFFERSON CHASE</t>
  </si>
  <si>
    <t xml:space="preserve">5782 BERKSHIRE VALLEY RD STE A </t>
  </si>
  <si>
    <t>OAK RIDGE</t>
  </si>
  <si>
    <t>(973) 208-6699</t>
  </si>
  <si>
    <t>AIR FORCE VILLAGE PROTESTANT CHURCH</t>
  </si>
  <si>
    <t xml:space="preserve">4917 RAVENSWOOD DR </t>
  </si>
  <si>
    <t>CRANE'S MILL</t>
  </si>
  <si>
    <t xml:space="preserve">459 PASSAIC AVE </t>
  </si>
  <si>
    <t>WEST CALDWELL</t>
  </si>
  <si>
    <t>07006-7457</t>
  </si>
  <si>
    <t>(973) 276-6700</t>
  </si>
  <si>
    <t>JEWISH FEDERATION PLAZA</t>
  </si>
  <si>
    <t xml:space="preserve">750 NORTHFIELD AVE </t>
  </si>
  <si>
    <t>07052-1111</t>
  </si>
  <si>
    <t>(973) 731-2020</t>
  </si>
  <si>
    <t>VOLUNTEERS OF AMERICA OF FLORIDA</t>
  </si>
  <si>
    <t xml:space="preserve">405 CENTRAL AVE STE 100 </t>
  </si>
  <si>
    <t>33701-3866</t>
  </si>
  <si>
    <t>HEATH VILLAGE</t>
  </si>
  <si>
    <t xml:space="preserve">430 SCHOOLEY'S MOUNTAIN RD </t>
  </si>
  <si>
    <t>HACKETTSTOWN</t>
  </si>
  <si>
    <t>(908) 852-4801</t>
  </si>
  <si>
    <t>CHANDLER ESTATE ASSISTED LIVING</t>
  </si>
  <si>
    <t xml:space="preserve">1510 HOWARD ST </t>
  </si>
  <si>
    <t>78212-3444</t>
  </si>
  <si>
    <t>BUCKNER HOSPICE BEAUMONT</t>
  </si>
  <si>
    <t>VOLUNTEERS OF AMERICA</t>
  </si>
  <si>
    <t xml:space="preserve">300 MIDWAY DR E </t>
  </si>
  <si>
    <t>EULESS</t>
  </si>
  <si>
    <t>76039-3711</t>
  </si>
  <si>
    <t>(952) 941-0305</t>
  </si>
  <si>
    <t>LENNOX HOUSE</t>
  </si>
  <si>
    <t xml:space="preserve">110 NW 2ND ST </t>
  </si>
  <si>
    <t>GRAND PRAIRIE</t>
  </si>
  <si>
    <t>75050-5676</t>
  </si>
  <si>
    <t>(972) 263-8420</t>
  </si>
  <si>
    <t>HAPPY HARBOR SR HOUSING</t>
  </si>
  <si>
    <t xml:space="preserve">1106 BAYSHORE DR </t>
  </si>
  <si>
    <t>(281) 525-4320</t>
  </si>
  <si>
    <t>MEADOW LAKES INC.</t>
  </si>
  <si>
    <t xml:space="preserve">300 MEADOW LKS </t>
  </si>
  <si>
    <t>HIGHTSTOWN</t>
  </si>
  <si>
    <t>08520-4804</t>
  </si>
  <si>
    <t>(609) 426-6801</t>
  </si>
  <si>
    <t>COLES LANDING</t>
  </si>
  <si>
    <t xml:space="preserve">555 COLES MILL RD </t>
  </si>
  <si>
    <t>HADDONFIELD</t>
  </si>
  <si>
    <t>08033-1070</t>
  </si>
  <si>
    <t>(856) 616-0100</t>
  </si>
  <si>
    <t>HILLCREST RESIDENCE</t>
  </si>
  <si>
    <t xml:space="preserve">301 SICOMAC AVE. </t>
  </si>
  <si>
    <t>WYCKOFF</t>
  </si>
  <si>
    <t>CHRISTIAN HLTH CARE CTR-RAMAPO RIDGE PSYCH HO</t>
  </si>
  <si>
    <t xml:space="preserve">301 SICOMAC AVE </t>
  </si>
  <si>
    <t>(201) 848-5200</t>
  </si>
  <si>
    <t>SUNNYSIDE VILLAGE</t>
  </si>
  <si>
    <t xml:space="preserve">5201 BAHIA VISTA ST </t>
  </si>
  <si>
    <t>34232-2615</t>
  </si>
  <si>
    <t>(941) 371-2729</t>
  </si>
  <si>
    <t>ST BONIFACE GARDENS INC</t>
  </si>
  <si>
    <t xml:space="preserve">8200 JOHNSON ST </t>
  </si>
  <si>
    <t>PEMBROKE PINES</t>
  </si>
  <si>
    <t>33024-6700</t>
  </si>
  <si>
    <t>HARRIET BRYAN HOUSE</t>
  </si>
  <si>
    <t xml:space="preserve">310 ELM RD </t>
  </si>
  <si>
    <t>08540-2535</t>
  </si>
  <si>
    <t>(609) 683-8858</t>
  </si>
  <si>
    <t>PARKER AT THE PAVILION ADULT DAY HEALTH SERVI</t>
  </si>
  <si>
    <t xml:space="preserve">443 RIVER RD </t>
  </si>
  <si>
    <t>HIGHLAND PARK</t>
  </si>
  <si>
    <t>732 565244</t>
  </si>
  <si>
    <t xml:space="preserve">200 OVERLOOK DR </t>
  </si>
  <si>
    <t>MONROE TOWNSHIP</t>
  </si>
  <si>
    <t>609-655-6853</t>
  </si>
  <si>
    <t>PAUAHI KUPUNA HALE</t>
  </si>
  <si>
    <t xml:space="preserve">167 N PAUAHI ST </t>
  </si>
  <si>
    <t>808 524584</t>
  </si>
  <si>
    <t>WATERMAN VILLAGE</t>
  </si>
  <si>
    <t xml:space="preserve">250 BROOKFIELD AVE </t>
  </si>
  <si>
    <t>32757-9559</t>
  </si>
  <si>
    <t>(352) 383-0051</t>
  </si>
  <si>
    <t>PAVILION AT PENNEY RETIREMENT COMMUNITY</t>
  </si>
  <si>
    <t xml:space="preserve">1 PAVILION PL </t>
  </si>
  <si>
    <t>PENNY FARMS</t>
  </si>
  <si>
    <t>SOUTH RIVER LANDING</t>
  </si>
  <si>
    <t xml:space="preserve">20 WOJIE WAY </t>
  </si>
  <si>
    <t>(732) 238-3838</t>
  </si>
  <si>
    <t>LESTER SENIOR HOUSING COMMUNITY</t>
  </si>
  <si>
    <t xml:space="preserve">903 STATE ROUTE 10 </t>
  </si>
  <si>
    <t>WHIPPANY</t>
  </si>
  <si>
    <t>07981-1139</t>
  </si>
  <si>
    <t>(973) 929-2700</t>
  </si>
  <si>
    <t xml:space="preserve">422 SCHOOLEYS MOUNTAIN RD </t>
  </si>
  <si>
    <t>07840-3907</t>
  </si>
  <si>
    <t>TRACEY MANOR</t>
  </si>
  <si>
    <t xml:space="preserve">656 E 19TH ST </t>
  </si>
  <si>
    <t>34769-5412</t>
  </si>
  <si>
    <t>FRANCIS E. PARKER MEMORIAL HOME - PARKER AT R</t>
  </si>
  <si>
    <t xml:space="preserve">1421 RIVER RD </t>
  </si>
  <si>
    <t>PISCATAWAY</t>
  </si>
  <si>
    <t>732 545833</t>
  </si>
  <si>
    <t>PACE WESTCHESTER</t>
  </si>
  <si>
    <t xml:space="preserve">2700 SW 97TH AVE BLDG D </t>
  </si>
  <si>
    <t>33165-2675</t>
  </si>
  <si>
    <t>HEALTH SERVICES OF BLUEWATER BAY</t>
  </si>
  <si>
    <t xml:space="preserve">1500 WHITE POINT RD </t>
  </si>
  <si>
    <t>NICEVILLE</t>
  </si>
  <si>
    <t>850-897-5592</t>
  </si>
  <si>
    <t>LEGACY SENIOR MANAGEMENT</t>
  </si>
  <si>
    <t xml:space="preserve">725 W CENTRAL BLVD </t>
  </si>
  <si>
    <t>32805-1818</t>
  </si>
  <si>
    <t>(407) 206-0784</t>
  </si>
  <si>
    <t>WESTMINSTER POINT PLEASANT</t>
  </si>
  <si>
    <t xml:space="preserve">1533 4TH AVE W </t>
  </si>
  <si>
    <t>BRADENTON</t>
  </si>
  <si>
    <t>34205-5949</t>
  </si>
  <si>
    <t>(941) 747-1881</t>
  </si>
  <si>
    <t>CHRISTIAN HLTH CARE CTR-ADVENT COUNSELING CTR</t>
  </si>
  <si>
    <t>SANCTA MARIA NURSING FACILITY</t>
  </si>
  <si>
    <t xml:space="preserve">799 CONCORD AVE </t>
  </si>
  <si>
    <t>(617) 868-2200</t>
  </si>
  <si>
    <t>SUWANNEE VALLEY NURSING CENTER</t>
  </si>
  <si>
    <t xml:space="preserve">427 15TH AVE NW </t>
  </si>
  <si>
    <t>(386) 792-1868</t>
  </si>
  <si>
    <t>PINE WOODS VILLA</t>
  </si>
  <si>
    <t xml:space="preserve">8420 SW 188TH TERRACE </t>
  </si>
  <si>
    <t>(305) 235-8269</t>
  </si>
  <si>
    <t>PACE HIALEAH</t>
  </si>
  <si>
    <t xml:space="preserve">60 E 3RD ST FL 2 </t>
  </si>
  <si>
    <t>33010-4965</t>
  </si>
  <si>
    <t>NEWALDAYA LIFESCAPES (FORMERLY CEDAR FALLS LUTHERAN HOME)</t>
  </si>
  <si>
    <t xml:space="preserve">7511 UNIVERSITY AVE </t>
  </si>
  <si>
    <t>50613-5027</t>
  </si>
  <si>
    <t>(319) 268-0401</t>
  </si>
  <si>
    <t xml:space="preserve">700 10TH ST N PO BOX 108 </t>
  </si>
  <si>
    <t>50459-1004</t>
  </si>
  <si>
    <t>(641) 324-1712</t>
  </si>
  <si>
    <t>HILLTOP MANOR</t>
  </si>
  <si>
    <t xml:space="preserve">408 JEFFERSON ST </t>
  </si>
  <si>
    <t>(920) 748-9726</t>
  </si>
  <si>
    <t>THE WESTERN HOME COMMUNITIES</t>
  </si>
  <si>
    <t>(319) 277-2141</t>
  </si>
  <si>
    <t>MOUNT CARMEL BLUFFS</t>
  </si>
  <si>
    <t xml:space="preserve">1100 CARMEL DR </t>
  </si>
  <si>
    <t>DUBUQUE</t>
  </si>
  <si>
    <t>52003-7911</t>
  </si>
  <si>
    <t>(563) 588-2351</t>
  </si>
  <si>
    <t>ACV VILLAGE GROCER</t>
  </si>
  <si>
    <t xml:space="preserve">11057 DOWLING PARK DR </t>
  </si>
  <si>
    <t>LIVE OAK</t>
  </si>
  <si>
    <t>1 80064733</t>
  </si>
  <si>
    <t xml:space="preserve">8703 STULTS RD </t>
  </si>
  <si>
    <t>75243-4109</t>
  </si>
  <si>
    <t>(214) 355-9001</t>
  </si>
  <si>
    <t>CYPRESS CATHEDRAL APARTMENTS</t>
  </si>
  <si>
    <t xml:space="preserve">1601 HAVENDALE BLVD NW </t>
  </si>
  <si>
    <t>33881-5510</t>
  </si>
  <si>
    <t>(863) 293-1528</t>
  </si>
  <si>
    <t>COMMUNITY SERVICES DIVISION</t>
  </si>
  <si>
    <t xml:space="preserve">7415 NW 19TH ST BLDG 6-BAYH </t>
  </si>
  <si>
    <t>33126-1204</t>
  </si>
  <si>
    <t>CANTERBURY TOWER INC</t>
  </si>
  <si>
    <t xml:space="preserve">3501 BAYSHORE BLVD </t>
  </si>
  <si>
    <t>33629-8901</t>
  </si>
  <si>
    <t>(813) 837-1083</t>
  </si>
  <si>
    <t>ASPIRE HEALTH PARTNERS</t>
  </si>
  <si>
    <t xml:space="preserve">300A S BAY AVE </t>
  </si>
  <si>
    <t>SANFORD</t>
  </si>
  <si>
    <t>WESTMINSTER PALMS</t>
  </si>
  <si>
    <t xml:space="preserve">830 N SHORE DR NE </t>
  </si>
  <si>
    <t>33701-2028</t>
  </si>
  <si>
    <t>(727) 894-2102</t>
  </si>
  <si>
    <t>PENNEY RETIREMENT COMMUNITY</t>
  </si>
  <si>
    <t xml:space="preserve">3495 HOFFMAN STREET </t>
  </si>
  <si>
    <t>PENNEY FARMS</t>
  </si>
  <si>
    <t>32079-0555</t>
  </si>
  <si>
    <t>(904) 284-8200</t>
  </si>
  <si>
    <t>LEADINGAGE FLORIDA</t>
  </si>
  <si>
    <t xml:space="preserve">1812 RIGGINS RD </t>
  </si>
  <si>
    <t>(850) 671-3700</t>
  </si>
  <si>
    <t>LAKESIDE PLACE APARTMENTS</t>
  </si>
  <si>
    <t xml:space="preserve">1790 MERCY DR </t>
  </si>
  <si>
    <t>32808-6569</t>
  </si>
  <si>
    <t>(407) 822-5061</t>
  </si>
  <si>
    <t>CHRISTIAN CARE CENTERS FOUNDATION INC.</t>
  </si>
  <si>
    <t>CHRISTIAN CARE CENTERS - MESQUITE</t>
  </si>
  <si>
    <t>CHANDLER ESTATE RETIREMENT APARTMENTS</t>
  </si>
  <si>
    <t xml:space="preserve">135 W FRENCH PL </t>
  </si>
  <si>
    <t>78212-5857</t>
  </si>
  <si>
    <t>CAPITAL CITY VILLAGE</t>
  </si>
  <si>
    <t xml:space="preserve">8403 SHOAL CREEK BLVD </t>
  </si>
  <si>
    <t>78757-7569</t>
  </si>
  <si>
    <t>(512) 524-2709</t>
  </si>
  <si>
    <t>BAPTIST MEMORIAL HIGH-RISE</t>
  </si>
  <si>
    <t>BAPTIST COMMUNITY SERVICES DBA PARK CENTRAL</t>
  </si>
  <si>
    <t xml:space="preserve">400 W 14TH ST </t>
  </si>
  <si>
    <t>ARMY RESIDENCE COMMUNITY</t>
  </si>
  <si>
    <t xml:space="preserve">7400 CRESTWAY DR </t>
  </si>
  <si>
    <t>78239-3098</t>
  </si>
  <si>
    <t>(210) 646-5300</t>
  </si>
  <si>
    <t>THOMAS SQUARE APARTMENTS</t>
  </si>
  <si>
    <t xml:space="preserve">551 SW THOMAS ST </t>
  </si>
  <si>
    <t>BURLESON</t>
  </si>
  <si>
    <t>76028-4555</t>
  </si>
  <si>
    <t>(817) 295-9594</t>
  </si>
  <si>
    <t>HARVESTWOOD APARTMENTS</t>
  </si>
  <si>
    <t xml:space="preserve">4550 S PANTHER CREEK DR </t>
  </si>
  <si>
    <t>THE WOODLANDS</t>
  </si>
  <si>
    <t>77381-3747</t>
  </si>
  <si>
    <t>(281) 367-5611</t>
  </si>
  <si>
    <t>SWEETWATER TOWERS</t>
  </si>
  <si>
    <t xml:space="preserve">10750 SW 4TH ST FRNT OFFICE </t>
  </si>
  <si>
    <t>33174-7405</t>
  </si>
  <si>
    <t>(305) 220-2648</t>
  </si>
  <si>
    <t>VILLAGE AT SHREWSBURY PERSONAL CARE RESIDENCE</t>
  </si>
  <si>
    <t xml:space="preserve">800 BOLLINGER DR </t>
  </si>
  <si>
    <t>JENNER'S POND - PA</t>
  </si>
  <si>
    <t xml:space="preserve">2000 GREENBRIAR LN </t>
  </si>
  <si>
    <t>WEST GROVE</t>
  </si>
  <si>
    <t>19390-9485</t>
  </si>
  <si>
    <t>(610) 869-6800</t>
  </si>
  <si>
    <t>COCALICO PLACE</t>
  </si>
  <si>
    <t xml:space="preserve">120 E FRANKLIN ST </t>
  </si>
  <si>
    <t>17522-2497</t>
  </si>
  <si>
    <t>(717) 738-4240</t>
  </si>
  <si>
    <t>REDSTONE PRESBYTERIAN SENIOR CARE</t>
  </si>
  <si>
    <t xml:space="preserve">126 MATHEWS ST STE 2800 </t>
  </si>
  <si>
    <t>15601-7911</t>
  </si>
  <si>
    <t>(724) 832-8400</t>
  </si>
  <si>
    <t>PLUM CREEK ACRES</t>
  </si>
  <si>
    <t xml:space="preserve">501 CENTER NEW TEXAS RD </t>
  </si>
  <si>
    <t>15239-1547</t>
  </si>
  <si>
    <t>(412) 795-2191</t>
  </si>
  <si>
    <t>LUTHERAN SOCIAL SERVICES OF THE SOUTH - TX</t>
  </si>
  <si>
    <t xml:space="preserve">8305 CROSS PARK DR </t>
  </si>
  <si>
    <t>(512) 459-1000</t>
  </si>
  <si>
    <t>MEMORIAL HEALTH CARE CENTER-TODD TAMERA E.</t>
  </si>
  <si>
    <t xml:space="preserve">212 NW 10TH ST </t>
  </si>
  <si>
    <t>79360-3317</t>
  </si>
  <si>
    <t>(432) 758-4877</t>
  </si>
  <si>
    <t>EDEN CROSS</t>
  </si>
  <si>
    <t xml:space="preserve">1240 JEFFERSON AVE STE 1100 </t>
  </si>
  <si>
    <t>SEGUIN</t>
  </si>
  <si>
    <t>78155-5923</t>
  </si>
  <si>
    <t>(830) 372-3870</t>
  </si>
  <si>
    <t>JEWISH CENTER TOWERS INC</t>
  </si>
  <si>
    <t xml:space="preserve">3001 W DE LEON ST </t>
  </si>
  <si>
    <t>33609-4000</t>
  </si>
  <si>
    <t>(813) 870-1830</t>
  </si>
  <si>
    <t>BAY VILLAGE OF SARASOTA</t>
  </si>
  <si>
    <t xml:space="preserve">8400 VAMO RD </t>
  </si>
  <si>
    <t>34231-7807</t>
  </si>
  <si>
    <t>(941) 966-5611</t>
  </si>
  <si>
    <t>ANTIOCH MANOR</t>
  </si>
  <si>
    <t xml:space="preserve">3850 WD JUDGE DR </t>
  </si>
  <si>
    <t>32808-7400</t>
  </si>
  <si>
    <t>(407) 291-9351</t>
  </si>
  <si>
    <t>MAGNOLIA HEIGHTS RETIREMENT COMMUNITY</t>
  </si>
  <si>
    <t xml:space="preserve">1005 MAGNOLIA ST </t>
  </si>
  <si>
    <t>76063-1744</t>
  </si>
  <si>
    <t>(817) 473-3557</t>
  </si>
  <si>
    <t>NUECES BEND</t>
  </si>
  <si>
    <t xml:space="preserve">3503 CAMINO REAL </t>
  </si>
  <si>
    <t>78238-3471</t>
  </si>
  <si>
    <t>(210) 522-0440</t>
  </si>
  <si>
    <t>COBBLESTONE COURT</t>
  </si>
  <si>
    <t xml:space="preserve">2101 DAVIS LN </t>
  </si>
  <si>
    <t>78745-7603</t>
  </si>
  <si>
    <t>(512) 292-1652</t>
  </si>
  <si>
    <t>MORNINGSIDE MINISTRIES</t>
  </si>
  <si>
    <t xml:space="preserve">700 BABCOCK RD </t>
  </si>
  <si>
    <t>(210) 734-1000</t>
  </si>
  <si>
    <t>ORLANDO LUTHERAN TOWER WINDSOR PLACE</t>
  </si>
  <si>
    <t xml:space="preserve">2404 MARIPOSA ST. </t>
  </si>
  <si>
    <t>32801-3551</t>
  </si>
  <si>
    <t>MOORINGS PARK</t>
  </si>
  <si>
    <t xml:space="preserve">120 MOORINGS PARK DR </t>
  </si>
  <si>
    <t>34105-2122</t>
  </si>
  <si>
    <t>(239) 261-1616</t>
  </si>
  <si>
    <t>FIRST PRESBYTERIAN CHURCH</t>
  </si>
  <si>
    <t xml:space="preserve">637 6TH ST NW </t>
  </si>
  <si>
    <t>33881-4010</t>
  </si>
  <si>
    <t>CHIPOLE APARTMENTS</t>
  </si>
  <si>
    <t xml:space="preserve">4401 CONSTITUTION LN </t>
  </si>
  <si>
    <t>MARIANNA</t>
  </si>
  <si>
    <t>32448-3368</t>
  </si>
  <si>
    <t>850-526-4407</t>
  </si>
  <si>
    <t>LUTHERAN HOMES OF OSHKOSH INC</t>
  </si>
  <si>
    <t xml:space="preserve">225 N EAGLE ST </t>
  </si>
  <si>
    <t>54902-4125</t>
  </si>
  <si>
    <t>(920) 235-3454</t>
  </si>
  <si>
    <t>SHOREHAVEN HEALTH AND REHABILITATION CENTER</t>
  </si>
  <si>
    <t>BAYVIEW SENIOR APARTMENTS</t>
  </si>
  <si>
    <t xml:space="preserve">1111 BAYSHORE DR </t>
  </si>
  <si>
    <t>(281) 471-2820</t>
  </si>
  <si>
    <t>PARK HILL APARTMENTS</t>
  </si>
  <si>
    <t xml:space="preserve">1121 HILL ST </t>
  </si>
  <si>
    <t>SHOREHAVEN</t>
  </si>
  <si>
    <t>LUTHER MANOR TERRACE</t>
  </si>
  <si>
    <t xml:space="preserve">4535 N 92ND ST </t>
  </si>
  <si>
    <t>53225-4822</t>
  </si>
  <si>
    <t>VILLA FRANCISCAN INC</t>
  </si>
  <si>
    <t xml:space="preserve">2101 AVENUE F </t>
  </si>
  <si>
    <t>RIVIERA BEACH</t>
  </si>
  <si>
    <t>33404-5504</t>
  </si>
  <si>
    <t>(561) 840-0444</t>
  </si>
  <si>
    <t>TAMPA BAPTIST MANOR INC</t>
  </si>
  <si>
    <t xml:space="preserve">215 W GRAND CENTRAL AVE </t>
  </si>
  <si>
    <t>33606-1974</t>
  </si>
  <si>
    <t>(813) 253-2868</t>
  </si>
  <si>
    <t>WHITE ACRES GOOD SAMARITAN RETIREMENT VILLAGE</t>
  </si>
  <si>
    <t xml:space="preserve">7304 GOOD SAMARITAN CT </t>
  </si>
  <si>
    <t>79912-1602</t>
  </si>
  <si>
    <t>(915) 581-4683</t>
  </si>
  <si>
    <t>PLEASANT MANOR HEALTH &amp; REHABILITATION CENTER</t>
  </si>
  <si>
    <t xml:space="preserve">3650 S INTERSTATE HIGHWAY 35 E </t>
  </si>
  <si>
    <t>WAXAHACHIE</t>
  </si>
  <si>
    <t>75165-5427</t>
  </si>
  <si>
    <t>972-935-0090</t>
  </si>
  <si>
    <t>WESTMINSTER WINTER PARK TOWERS &amp; VILLAGE</t>
  </si>
  <si>
    <t xml:space="preserve">1111 S LAKEMONT AVE </t>
  </si>
  <si>
    <t>32792-5496</t>
  </si>
  <si>
    <t>(407) 647-4083</t>
  </si>
  <si>
    <t>PRESBYTERIAN VILLAS OF LEHIGH INC</t>
  </si>
  <si>
    <t xml:space="preserve">1300 WOODWARD CT </t>
  </si>
  <si>
    <t>LEHIGH ACRES</t>
  </si>
  <si>
    <t>33936-6542</t>
  </si>
  <si>
    <t>(239) 369-9161</t>
  </si>
  <si>
    <t>PRESBYTERIAN HOMES OF CHARLOTTE INC</t>
  </si>
  <si>
    <t xml:space="preserve">2295 AARON ST </t>
  </si>
  <si>
    <t>(941) 629-6664</t>
  </si>
  <si>
    <t>VILLAGE AT UTZ TERRACE</t>
  </si>
  <si>
    <t xml:space="preserve">2100 UTZ TERRACE </t>
  </si>
  <si>
    <t>(717) 637-0633</t>
  </si>
  <si>
    <t>CONNECTIONS AT HOME</t>
  </si>
  <si>
    <t xml:space="preserve">1576 LITITZ PIKE </t>
  </si>
  <si>
    <t>17601-6511</t>
  </si>
  <si>
    <t>SAINT MARYS HOME OF ERIE DBA</t>
  </si>
  <si>
    <t>PRESBYTERIAN COMMUNITIES AND SERVICES</t>
  </si>
  <si>
    <t xml:space="preserve">12467 MERIT DR </t>
  </si>
  <si>
    <t>(214) 413-1523</t>
  </si>
  <si>
    <t>PLANO COMMUNITY HOME III</t>
  </si>
  <si>
    <t xml:space="preserve">3905 AMERICAN DR </t>
  </si>
  <si>
    <t>75075-6100</t>
  </si>
  <si>
    <t>(972) 867-1905</t>
  </si>
  <si>
    <t>MAGNOLIA ACRES</t>
  </si>
  <si>
    <t xml:space="preserve">108 DEBORAH DR </t>
  </si>
  <si>
    <t>ANGLETON</t>
  </si>
  <si>
    <t>77515-4165</t>
  </si>
  <si>
    <t>(979) 849-2301</t>
  </si>
  <si>
    <t>ORLANDO LUTHERAN TOWERS - ORLANDO - FL</t>
  </si>
  <si>
    <t xml:space="preserve">300 E CHURCH ST </t>
  </si>
  <si>
    <t>32801-3544</t>
  </si>
  <si>
    <t>(407) 425-1033</t>
  </si>
  <si>
    <t>GLENRIDGE ON PALMER RANCH (THE)</t>
  </si>
  <si>
    <t xml:space="preserve">7300 SCOTLAND WAY </t>
  </si>
  <si>
    <t>34238-8530</t>
  </si>
  <si>
    <t>(941) 552-3769</t>
  </si>
  <si>
    <t>FREEDOM SENIOR MANAGEMENT</t>
  </si>
  <si>
    <t xml:space="preserve">1226 N TAMIAMI TRL STE 302 </t>
  </si>
  <si>
    <t>34236-2461</t>
  </si>
  <si>
    <t>(941) 954-1111</t>
  </si>
  <si>
    <t>ST JOSEPH MANOR</t>
  </si>
  <si>
    <t xml:space="preserve">1220 NW 6TH AVE </t>
  </si>
  <si>
    <t>POMPANO BEACH</t>
  </si>
  <si>
    <t>33060-5325</t>
  </si>
  <si>
    <t>PRESBYTERIAN HOMES OF PORT CHARLOTTE INC</t>
  </si>
  <si>
    <t xml:space="preserve">2275 AARON ST </t>
  </si>
  <si>
    <t>33952-5269</t>
  </si>
  <si>
    <t>PLYMOUTH HARBOR ON SARASOTA BAY</t>
  </si>
  <si>
    <t xml:space="preserve">700 JOHN RINGLING BLVD </t>
  </si>
  <si>
    <t>34236-1542</t>
  </si>
  <si>
    <t>(941) 365-2600</t>
  </si>
  <si>
    <t>MIAMI JEWISH HEALTH SYSTEMS</t>
  </si>
  <si>
    <t xml:space="preserve">5200 NE 2ND AVE </t>
  </si>
  <si>
    <t>33137-2706</t>
  </si>
  <si>
    <t>(305) 751-8626</t>
  </si>
  <si>
    <t>MIAMI JEWISH HEALTH SYSTEM - NURSING HOME</t>
  </si>
  <si>
    <t>BUCKINGHAM</t>
  </si>
  <si>
    <t xml:space="preserve">8580 WOODWAY DR </t>
  </si>
  <si>
    <t>77063-2423</t>
  </si>
  <si>
    <t>(713) 979-3100</t>
  </si>
  <si>
    <t xml:space="preserve">12379 MERIT DR </t>
  </si>
  <si>
    <t>214-372-0090</t>
  </si>
  <si>
    <t>PLANO COMMUNITY HOME V</t>
  </si>
  <si>
    <t xml:space="preserve">3915 AMERICAN DR </t>
  </si>
  <si>
    <t>75075-5014</t>
  </si>
  <si>
    <t>PLANO COMMUNITY HOME IV</t>
  </si>
  <si>
    <t xml:space="preserve">3925 AMERICAN DR </t>
  </si>
  <si>
    <t>75075-5003</t>
  </si>
  <si>
    <t>HC NCR LINCOLN VILLAGE-NAC</t>
  </si>
  <si>
    <t xml:space="preserve">4959 MEDFIELD WAY </t>
  </si>
  <si>
    <t>HC NCR HOME&amp;CMTY SVCS/HSPC-NAC</t>
  </si>
  <si>
    <t xml:space="preserve">207 PORTAGE TRAIL EXT W STE 100 </t>
  </si>
  <si>
    <t>CUYAHOGA FALLS</t>
  </si>
  <si>
    <t>44223-1297</t>
  </si>
  <si>
    <t>ST FRANCIS HOME</t>
  </si>
  <si>
    <t xml:space="preserve">182 SAINT FRANCIS AVE </t>
  </si>
  <si>
    <t>44883-3456</t>
  </si>
  <si>
    <t>(419) 447-2723</t>
  </si>
  <si>
    <t>SOUTHMONT OF PRESBYTERIAN SENIORCARE</t>
  </si>
  <si>
    <t xml:space="preserve">835 S MAIN ST </t>
  </si>
  <si>
    <t>15301-6267</t>
  </si>
  <si>
    <t>(724) 222-4300</t>
  </si>
  <si>
    <t>LONGWOOD AT OAKMONT</t>
  </si>
  <si>
    <t xml:space="preserve">500 ROUTE 909 </t>
  </si>
  <si>
    <t>15147-3863</t>
  </si>
  <si>
    <t>(412) 826-5700</t>
  </si>
  <si>
    <t>MIRAVIDA BETHEL HOME INC-EDEN REHAB</t>
  </si>
  <si>
    <t xml:space="preserve">225 NORTH EAGLE STREET </t>
  </si>
  <si>
    <t>920-235-8690</t>
  </si>
  <si>
    <t>LUTHERAN HOME OCONOMOWOC INC</t>
  </si>
  <si>
    <t>(262) 567-8341</t>
  </si>
  <si>
    <t>OLEANDER COMMONS</t>
  </si>
  <si>
    <t xml:space="preserve">12805 BISSONNET ST </t>
  </si>
  <si>
    <t>77099-1278</t>
  </si>
  <si>
    <t>(832) 328-0812</t>
  </si>
  <si>
    <t>OAK BLUFF VILLAGE</t>
  </si>
  <si>
    <t xml:space="preserve">1513 MONTEZUMA ST </t>
  </si>
  <si>
    <t>78934-2122</t>
  </si>
  <si>
    <t>(979) 732-6983</t>
  </si>
  <si>
    <t>FLORIDA GULF COAST APARTMENTS</t>
  </si>
  <si>
    <t xml:space="preserve">816 W LINEBAUGH AVE </t>
  </si>
  <si>
    <t>33612-7856</t>
  </si>
  <si>
    <t>(813) 933-1020</t>
  </si>
  <si>
    <t>DOUGLAS GARDENS NORTH DBA ALBERT</t>
  </si>
  <si>
    <t xml:space="preserve">705 SW 88TH AVE </t>
  </si>
  <si>
    <t>33025-4580</t>
  </si>
  <si>
    <t>(954) 704-3464</t>
  </si>
  <si>
    <t>DESOTO HEALTH &amp; REHAB</t>
  </si>
  <si>
    <t xml:space="preserve">475 NURSING HOME DR </t>
  </si>
  <si>
    <t>34266-3839</t>
  </si>
  <si>
    <t>COMMUNITY HEALTH &amp; REHABILITATION</t>
  </si>
  <si>
    <t xml:space="preserve">3611 TRANSMITTER RD </t>
  </si>
  <si>
    <t>850 747968</t>
  </si>
  <si>
    <t>CHRISTIAN MANOR INC</t>
  </si>
  <si>
    <t xml:space="preserve">325 EXECUTIVE CENTER DR OFC </t>
  </si>
  <si>
    <t>33401-4800</t>
  </si>
  <si>
    <t>(561) 686-5766</t>
  </si>
  <si>
    <t>WESTMINSTER TOWERS - ORLANDO</t>
  </si>
  <si>
    <t xml:space="preserve">70 W LUCERNE CIR </t>
  </si>
  <si>
    <t>32801-3762</t>
  </si>
  <si>
    <t>(407) 841-1310</t>
  </si>
  <si>
    <t>FRIEDMAN VILLAGE AT ST FRANCIS LLC</t>
  </si>
  <si>
    <t xml:space="preserve">175 SAINT FRANCIS AVE </t>
  </si>
  <si>
    <t>44883-3457</t>
  </si>
  <si>
    <t>WAPAKONETA VILLAGE</t>
  </si>
  <si>
    <t xml:space="preserve">218 EASTOWN DR </t>
  </si>
  <si>
    <t>WAPAKONETA</t>
  </si>
  <si>
    <t>419 738945</t>
  </si>
  <si>
    <t>PILGRIM PORT</t>
  </si>
  <si>
    <t xml:space="preserve">4545 ANGOLA ROAD </t>
  </si>
  <si>
    <t>419 380953</t>
  </si>
  <si>
    <t>VILLAGE AT KELLY DRIVE</t>
  </si>
  <si>
    <t xml:space="preserve">750 KELLY DR </t>
  </si>
  <si>
    <t>17404-2433</t>
  </si>
  <si>
    <t>(717)848-2585</t>
  </si>
  <si>
    <t>VILLAGE AT GETTYSBURG</t>
  </si>
  <si>
    <t xml:space="preserve">1075 OLD HARRISBURG RD </t>
  </si>
  <si>
    <t>GETTYSBURG</t>
  </si>
  <si>
    <t>(717) 334-6204</t>
  </si>
  <si>
    <t>REDSTONE HIGHLANDS - NORTH HUNTINGDON</t>
  </si>
  <si>
    <t>(724) 864-5811</t>
  </si>
  <si>
    <t>FLEET LANDING INDEPENDENT LIVI</t>
  </si>
  <si>
    <t xml:space="preserve">1 FLEET LANDING BLVD </t>
  </si>
  <si>
    <t>ATLANTIC BEACH</t>
  </si>
  <si>
    <t>32233-4599</t>
  </si>
  <si>
    <t>(904) 246-9900</t>
  </si>
  <si>
    <t>AGING TRUE HOME HEALTH</t>
  </si>
  <si>
    <t xml:space="preserve">4250 LAKESIDE DR </t>
  </si>
  <si>
    <t>32210-3358</t>
  </si>
  <si>
    <t>(904) 807-1200</t>
  </si>
  <si>
    <t>ADVENT LUTHERAN</t>
  </si>
  <si>
    <t xml:space="preserve">300 E. YAMATO </t>
  </si>
  <si>
    <t>BOCA RATON</t>
  </si>
  <si>
    <t>ACORN TRACE APARTMENTS</t>
  </si>
  <si>
    <t xml:space="preserve">11115 N NEBRASKA AVE </t>
  </si>
  <si>
    <t>33612-5748</t>
  </si>
  <si>
    <t>(813) 977-9093</t>
  </si>
  <si>
    <t>WESTMINSTER OAKS</t>
  </si>
  <si>
    <t xml:space="preserve">4449 MEANDERING WAY </t>
  </si>
  <si>
    <t>32308-5740</t>
  </si>
  <si>
    <t>(850) 878-1136</t>
  </si>
  <si>
    <t>WESTMINSTER COLLEGE ARMS TOWERS</t>
  </si>
  <si>
    <t xml:space="preserve">101 N AMELIA AVE </t>
  </si>
  <si>
    <t>32724-4313</t>
  </si>
  <si>
    <t>MOYER HOUSE AT CARROLL VILLAGE</t>
  </si>
  <si>
    <t xml:space="preserve">11 TRISTAN DRIVE </t>
  </si>
  <si>
    <t>DILLSBURG</t>
  </si>
  <si>
    <t>WEIDNER MANOR</t>
  </si>
  <si>
    <t xml:space="preserve">1133 BEN FRANKLIN HWY W </t>
  </si>
  <si>
    <t>(610) 385-1070</t>
  </si>
  <si>
    <t>PHOEBE BERKS HEALTH CARE CENTER</t>
  </si>
  <si>
    <t xml:space="preserve">1 HEIDELBERG DR </t>
  </si>
  <si>
    <t>WERNERSVILLE</t>
  </si>
  <si>
    <t>(610) 927-8120</t>
  </si>
  <si>
    <t>JOHN F LUTZ APARTMENTS</t>
  </si>
  <si>
    <t xml:space="preserve">3559 SAINT LAWRENCE AVE </t>
  </si>
  <si>
    <t>19606-2349</t>
  </si>
  <si>
    <t>(610) 779-8101</t>
  </si>
  <si>
    <t>LINDENGROVE INC</t>
  </si>
  <si>
    <t xml:space="preserve">18650 W CORPORATE DR </t>
  </si>
  <si>
    <t>53045-6344</t>
  </si>
  <si>
    <t>(262) 797-4600</t>
  </si>
  <si>
    <t>GRACE LUTHERAN FOUNDATION INC</t>
  </si>
  <si>
    <t>(715) 832-3003</t>
  </si>
  <si>
    <t>ABBEY CHURCH VILLAGE</t>
  </si>
  <si>
    <t xml:space="preserve">6003 ABBEY CHAPEL DR </t>
  </si>
  <si>
    <t>SENIOR INDEPENDENCE - OPRS</t>
  </si>
  <si>
    <t>614 888780</t>
  </si>
  <si>
    <t>MAPLE KNOLL VILLAGE</t>
  </si>
  <si>
    <t xml:space="preserve">11100 SPRINGFIELD PIKE </t>
  </si>
  <si>
    <t>513-782-2400</t>
  </si>
  <si>
    <t>REDSTONE HIGHLANDS - MURRYSVILLE</t>
  </si>
  <si>
    <t xml:space="preserve">4951 CLINE HOLLOW RD </t>
  </si>
  <si>
    <t>MURRYSVILLE</t>
  </si>
  <si>
    <t>15668-1580</t>
  </si>
  <si>
    <t>(724) 733-9494</t>
  </si>
  <si>
    <t>SPRUCE WOOD COMMONS</t>
  </si>
  <si>
    <t xml:space="preserve">104 SPRUCE DR </t>
  </si>
  <si>
    <t>SLIPPERY ROCK</t>
  </si>
  <si>
    <t>16057-1402</t>
  </si>
  <si>
    <t>(724) 794-4484</t>
  </si>
  <si>
    <t>NEGLEY COMMONS</t>
  </si>
  <si>
    <t xml:space="preserve">430 N NEGLEY AVE </t>
  </si>
  <si>
    <t>15206-2892</t>
  </si>
  <si>
    <t>(412) 362-0380</t>
  </si>
  <si>
    <t>MILWAUKEE CATHOLIC HOME HEALTH &amp; REHAB</t>
  </si>
  <si>
    <t xml:space="preserve">2462 N PROSPECT AVE </t>
  </si>
  <si>
    <t>53211-4451</t>
  </si>
  <si>
    <t>DENEVEU CREEK RETIREMENT COMMUNITY</t>
  </si>
  <si>
    <t xml:space="preserve">46 WINNEBAGO LANE </t>
  </si>
  <si>
    <t>54935-2504</t>
  </si>
  <si>
    <t>BROADWAY PARK</t>
  </si>
  <si>
    <t xml:space="preserve">353 BROADWAY AVE </t>
  </si>
  <si>
    <t>44504-1566</t>
  </si>
  <si>
    <t>AOPHA SERVICE CORPORATION</t>
  </si>
  <si>
    <t xml:space="preserve">855 S WALL ST </t>
  </si>
  <si>
    <t>WATERFORD AT ST LUKE (THE)</t>
  </si>
  <si>
    <t xml:space="preserve">201 HOLL RD NE </t>
  </si>
  <si>
    <t>NORTH CANTON</t>
  </si>
  <si>
    <t>44720-1765</t>
  </si>
  <si>
    <t>(330) 490-2300</t>
  </si>
  <si>
    <t>SENIOR INDEPENDENCE - CINCINNATI</t>
  </si>
  <si>
    <t xml:space="preserve">9600 COLERAIN AVE </t>
  </si>
  <si>
    <t>513 681817</t>
  </si>
  <si>
    <t>SENIOR INDEPENDENCE - CANFIELD</t>
  </si>
  <si>
    <t xml:space="preserve">6715 TIPPECANOE RD STE E20 </t>
  </si>
  <si>
    <t>CANFIELD</t>
  </si>
  <si>
    <t>44406-9183</t>
  </si>
  <si>
    <t>(330) 533-4350</t>
  </si>
  <si>
    <t>LUTHERAN HOMES OF OCONOMOWOC - LIFE ENRICHMEN</t>
  </si>
  <si>
    <t>HILLVIEW TERRACE</t>
  </si>
  <si>
    <t xml:space="preserve">3503 PARK LANE DR </t>
  </si>
  <si>
    <t>54601-7733</t>
  </si>
  <si>
    <t>(608) 785-5555</t>
  </si>
  <si>
    <t>MCKEE PARK APTS</t>
  </si>
  <si>
    <t xml:space="preserve">2931 CHAPEL VALLEY RD </t>
  </si>
  <si>
    <t>FITCHBURG</t>
  </si>
  <si>
    <t>53711-6436</t>
  </si>
  <si>
    <t>WESTMINSTER PLAZA</t>
  </si>
  <si>
    <t xml:space="preserve">350 E JACKSON ST </t>
  </si>
  <si>
    <t>32801-3545</t>
  </si>
  <si>
    <t>(407) 423-2148</t>
  </si>
  <si>
    <t>WESTMINSTER HUGH ASH MANOR</t>
  </si>
  <si>
    <t xml:space="preserve">740 N WOODLAND BLVD </t>
  </si>
  <si>
    <t>32720-2739</t>
  </si>
  <si>
    <t>(386) 736-2500</t>
  </si>
  <si>
    <t>WESTMINSTER CANTERBURY</t>
  </si>
  <si>
    <t xml:space="preserve">229 S RIDGEWOOD AVE </t>
  </si>
  <si>
    <t>32114-4334</t>
  </si>
  <si>
    <t>(386) 255-3737</t>
  </si>
  <si>
    <t>SAINT MARY'S ASBURY RIDGE</t>
  </si>
  <si>
    <t xml:space="preserve">4854 W RIDGE RD </t>
  </si>
  <si>
    <t>16506-1214</t>
  </si>
  <si>
    <t>BROOMALL PRESBYTERIAN VILLAGE</t>
  </si>
  <si>
    <t xml:space="preserve">146 MARPLE RD </t>
  </si>
  <si>
    <t>BROOMALL</t>
  </si>
  <si>
    <t>19008-2040</t>
  </si>
  <si>
    <t>(610) 356-0100</t>
  </si>
  <si>
    <t>REDSTONE HIGHLANDS - GREENSBURG</t>
  </si>
  <si>
    <t xml:space="preserve">6 GARDEN CENTER DR </t>
  </si>
  <si>
    <t>15601-1351</t>
  </si>
  <si>
    <t>PRESBYTERIAN VILLAS OF PORT CHARLOTTE INC</t>
  </si>
  <si>
    <t xml:space="preserve">2285 AARON ST </t>
  </si>
  <si>
    <t>33952-5349</t>
  </si>
  <si>
    <t>PALM TERRACES ASSISTED LIVING FACILITY &amp; ADULT DAY CARE</t>
  </si>
  <si>
    <t xml:space="preserve">5121 SERENA DR </t>
  </si>
  <si>
    <t>33617-4032</t>
  </si>
  <si>
    <t>OSCEOLA CNTY COUNCIL AG - KISSIMMEE - FL</t>
  </si>
  <si>
    <t xml:space="preserve">700 GENERATION PT </t>
  </si>
  <si>
    <t>MIAMI JEWISH HEALTH SYSTEM IRVING CYPHEN TOWE</t>
  </si>
  <si>
    <t xml:space="preserve">5100 NE 2ND AVE </t>
  </si>
  <si>
    <t>33137-2700</t>
  </si>
  <si>
    <t>MIAMI JEWISH HEALTH SYSTEM HAZEL CYPHEN TOWEL</t>
  </si>
  <si>
    <t xml:space="preserve">5066 NE 2ND AVE </t>
  </si>
  <si>
    <t>33137-2798</t>
  </si>
  <si>
    <t>LAKE WORTH TOWERS INC</t>
  </si>
  <si>
    <t xml:space="preserve">1500 LUCERNE AVE </t>
  </si>
  <si>
    <t>33460-3654</t>
  </si>
  <si>
    <t>(561) 585-7591</t>
  </si>
  <si>
    <t>MORSELIFE</t>
  </si>
  <si>
    <t xml:space="preserve">4847 FRED GLADSTONE DR </t>
  </si>
  <si>
    <t>(561) 471-5111</t>
  </si>
  <si>
    <t>INNOVATION SENIOR MANAGEMENT</t>
  </si>
  <si>
    <t xml:space="preserve">1688 MERIDIAN AVE STE 700 </t>
  </si>
  <si>
    <t>33139-2713</t>
  </si>
  <si>
    <t>HOSPICE OF FLORIDA SUNCOAST INC (THE)</t>
  </si>
  <si>
    <t xml:space="preserve">5771 ROOSEVELT BLVD </t>
  </si>
  <si>
    <t>33760-3413</t>
  </si>
  <si>
    <t>(727) 467-7423</t>
  </si>
  <si>
    <t>DGN ALBERT &amp; ANN JACOBS BUILDING</t>
  </si>
  <si>
    <t xml:space="preserve">705 SW 88TH AVENUE </t>
  </si>
  <si>
    <t>DEEDCO GARDENS</t>
  </si>
  <si>
    <t xml:space="preserve">105 SE 12TH AVE </t>
  </si>
  <si>
    <t>HOMESTEAD</t>
  </si>
  <si>
    <t>33030-8193</t>
  </si>
  <si>
    <t>(305) 242-8866</t>
  </si>
  <si>
    <t>COMMONS AT ORLANDO LUTHERAN TOWERS</t>
  </si>
  <si>
    <t xml:space="preserve">210 LAKE AVE. </t>
  </si>
  <si>
    <t>SENIORITY INC</t>
  </si>
  <si>
    <t xml:space="preserve">15601 DALLAS PKWY STE 200 </t>
  </si>
  <si>
    <t>ADDISON</t>
  </si>
  <si>
    <t>75001-6172</t>
  </si>
  <si>
    <t>(469) 916-8958</t>
  </si>
  <si>
    <t>FAIR PARK HEALTH CARE CENTER</t>
  </si>
  <si>
    <t xml:space="preserve">2815 MARTIN LUTHER KING JR BLVD </t>
  </si>
  <si>
    <t>75215-2320</t>
  </si>
  <si>
    <t>214-421-2159</t>
  </si>
  <si>
    <t>METHODIST RETIREMENT COMMUNITITES</t>
  </si>
  <si>
    <t xml:space="preserve">1440 LAKE FRONT CIR STE 140 </t>
  </si>
  <si>
    <t>77380-3607</t>
  </si>
  <si>
    <t>(281) 363-2600</t>
  </si>
  <si>
    <t>SPRINGS AT SOUTH BISCAYNE (THE)</t>
  </si>
  <si>
    <t xml:space="preserve">6235 HOFFMAN ST </t>
  </si>
  <si>
    <t>NORTH PORT</t>
  </si>
  <si>
    <t>34287-2285</t>
  </si>
  <si>
    <t>(205) 871-8131</t>
  </si>
  <si>
    <t>HILLVIEW HEALTH CARE CENTER</t>
  </si>
  <si>
    <t xml:space="preserve">3501 PARK LANE DR </t>
  </si>
  <si>
    <t>54601-7747</t>
  </si>
  <si>
    <t>(608) 789-4800</t>
  </si>
  <si>
    <t>TEJAS COVE</t>
  </si>
  <si>
    <t xml:space="preserve">1900 PALM VILLAGE BLVD </t>
  </si>
  <si>
    <t>77414-8170</t>
  </si>
  <si>
    <t>(979) 245-4339</t>
  </si>
  <si>
    <t>MORNING STAR APARTMENTS</t>
  </si>
  <si>
    <t xml:space="preserve">1520 BARFIELD RD </t>
  </si>
  <si>
    <t>WHARTON</t>
  </si>
  <si>
    <t>77488-5940</t>
  </si>
  <si>
    <t>(979) 532-4007</t>
  </si>
  <si>
    <t>CRESTVIEW RETIREMENT COMMUNITY</t>
  </si>
  <si>
    <t xml:space="preserve">2505 E VILLA MARIA RD </t>
  </si>
  <si>
    <t>77802-2069</t>
  </si>
  <si>
    <t>(979) 776-4778</t>
  </si>
  <si>
    <t>MAYFLOWER HEALTH CENTER (NH)</t>
  </si>
  <si>
    <t>32792-2585</t>
  </si>
  <si>
    <t>MAYFLOWER ASSISTED LIVING</t>
  </si>
  <si>
    <t>FLORIDA PRESBYTERIAN HOMES - PORTER MCGRATH HEALTH CENTER</t>
  </si>
  <si>
    <t xml:space="preserve">909 LAKESIDE AVE </t>
  </si>
  <si>
    <t>33803-1297</t>
  </si>
  <si>
    <t>FIRST CHRISTIAN TOWERS INC</t>
  </si>
  <si>
    <t xml:space="preserve">745 AVENUE A SW </t>
  </si>
  <si>
    <t>33880-2805</t>
  </si>
  <si>
    <t>MENORAH MANOR</t>
  </si>
  <si>
    <t xml:space="preserve">255 59TH ST N </t>
  </si>
  <si>
    <t>33710-8539</t>
  </si>
  <si>
    <t>(727) 345-2775</t>
  </si>
  <si>
    <t>HILLCREST HAMPTON HOUSE</t>
  </si>
  <si>
    <t xml:space="preserve">2000 HILLCREST ST </t>
  </si>
  <si>
    <t>32803-4838</t>
  </si>
  <si>
    <t>(407) 894-3031</t>
  </si>
  <si>
    <t>KRAUSE TREATMENT CTR</t>
  </si>
  <si>
    <t xml:space="preserve">25752 KINGSLAND BLVD </t>
  </si>
  <si>
    <t>KATY</t>
  </si>
  <si>
    <t>(281) 392-7505</t>
  </si>
  <si>
    <t>BOKENKAMP ORR</t>
  </si>
  <si>
    <t xml:space="preserve">5517 S ALAMEDA ST </t>
  </si>
  <si>
    <t>CORPUS CHRISTI</t>
  </si>
  <si>
    <t>(361) 994-1214</t>
  </si>
  <si>
    <t>KRAMER SENIOR SERVICES</t>
  </si>
  <si>
    <t>BURLINGTON TOWER</t>
  </si>
  <si>
    <t xml:space="preserve">1000 BURLINGTON AVE N </t>
  </si>
  <si>
    <t>33705-1545</t>
  </si>
  <si>
    <t>(727) 823-3867</t>
  </si>
  <si>
    <t>BUENA VIDA ESTATES</t>
  </si>
  <si>
    <t xml:space="preserve">2129 W NEW HAVEN AVE </t>
  </si>
  <si>
    <t>WEST MELBOURNE</t>
  </si>
  <si>
    <t>321-724-0060</t>
  </si>
  <si>
    <t>WESTMINSTER VILLAGE</t>
  </si>
  <si>
    <t xml:space="preserve">1700 N L ST </t>
  </si>
  <si>
    <t>32501-2261</t>
  </si>
  <si>
    <t>(850) 433-5035</t>
  </si>
  <si>
    <t>COMMONS AT BUCKINGHAM</t>
  </si>
  <si>
    <t xml:space="preserve">328 BUCKINGHAM ST </t>
  </si>
  <si>
    <t>WOODVIEW COURT</t>
  </si>
  <si>
    <t xml:space="preserve">3623 HERITAGE CLUB DR </t>
  </si>
  <si>
    <t>614 527066</t>
  </si>
  <si>
    <t>BOB HOPE VILLAGE (I.L.U.)</t>
  </si>
  <si>
    <t xml:space="preserve">30 HOLLY AVE </t>
  </si>
  <si>
    <t>ABUNDANT LIFE</t>
  </si>
  <si>
    <t xml:space="preserve">1494 BANKS RD </t>
  </si>
  <si>
    <t>MARGATE</t>
  </si>
  <si>
    <t>33063-3920</t>
  </si>
  <si>
    <t>WESTMINSTER MANOR FORT WALTON BEACH</t>
  </si>
  <si>
    <t xml:space="preserve">40 WINDHAM AVE SE </t>
  </si>
  <si>
    <t>32548-5472</t>
  </si>
  <si>
    <t>(850) 244-7162</t>
  </si>
  <si>
    <t>THE OHIO MASONICE HOME</t>
  </si>
  <si>
    <t xml:space="preserve">2655 W NATIONAL RD </t>
  </si>
  <si>
    <t>937 525300</t>
  </si>
  <si>
    <t>HOOVER COTTAGES</t>
  </si>
  <si>
    <t xml:space="preserve">5348 JOSHUA TRL </t>
  </si>
  <si>
    <t>WOODS AT CENTRAL COLLEGE (THE)</t>
  </si>
  <si>
    <t xml:space="preserve">700 EAST ST </t>
  </si>
  <si>
    <t>614 895095</t>
  </si>
  <si>
    <t>TOWNE CREEK APARTMENTS</t>
  </si>
  <si>
    <t xml:space="preserve">506 S GRAVES ST </t>
  </si>
  <si>
    <t>MCKINNEY</t>
  </si>
  <si>
    <t>75069-4900</t>
  </si>
  <si>
    <t>(972) 548-7170</t>
  </si>
  <si>
    <t>PIONEER PLACE SENIOR HOUSING INC</t>
  </si>
  <si>
    <t xml:space="preserve">1928 AVENUE K </t>
  </si>
  <si>
    <t>SILVERSTONE RETIREMENT COMMUNITY</t>
  </si>
  <si>
    <t xml:space="preserve">2800 BROADMOOR DR </t>
  </si>
  <si>
    <t>76116-3838</t>
  </si>
  <si>
    <t>(817) 244-5776</t>
  </si>
  <si>
    <t>GARDENVIEW INC</t>
  </si>
  <si>
    <t xml:space="preserve">1712 MIDWAY RD </t>
  </si>
  <si>
    <t>(920) 733-4305</t>
  </si>
  <si>
    <t>SHOREHAVEN TOWER</t>
  </si>
  <si>
    <t>262 567141</t>
  </si>
  <si>
    <t>CENTRAL OHIO HOME HEALTH AGENCY</t>
  </si>
  <si>
    <t xml:space="preserve">2233 N BANK DR </t>
  </si>
  <si>
    <t>614-457-6950</t>
  </si>
  <si>
    <t>MAYFIELD MANOR II</t>
  </si>
  <si>
    <t xml:space="preserve">3846 11TH ST SW </t>
  </si>
  <si>
    <t>44710-1493</t>
  </si>
  <si>
    <t>(330) 478-0055</t>
  </si>
  <si>
    <t>CAROLINA SENIORCARE</t>
  </si>
  <si>
    <t xml:space="preserve">802 E CENTER ST </t>
  </si>
  <si>
    <t>27292-4402</t>
  </si>
  <si>
    <t>TRINITY TERRACE</t>
  </si>
  <si>
    <t xml:space="preserve">1600 TEXAS ST </t>
  </si>
  <si>
    <t>76102-3400</t>
  </si>
  <si>
    <t>(817) 338-2400</t>
  </si>
  <si>
    <t>SANDSTONE FOOTHILLS</t>
  </si>
  <si>
    <t xml:space="preserve">402 BRAZOS DR </t>
  </si>
  <si>
    <t>MINERAL WELLS</t>
  </si>
  <si>
    <t>76067-4775</t>
  </si>
  <si>
    <t>(940) 325-5442</t>
  </si>
  <si>
    <t>WESTHAVEN APARTMENTS</t>
  </si>
  <si>
    <t xml:space="preserve">220 SPRIGG ST </t>
  </si>
  <si>
    <t>NORTH BALTIMORE</t>
  </si>
  <si>
    <t>419 257271</t>
  </si>
  <si>
    <t>THE RAVINE AT CENTRAL COLLEGE II</t>
  </si>
  <si>
    <t xml:space="preserve">622 S SUNBURY RD </t>
  </si>
  <si>
    <t>614 794133</t>
  </si>
  <si>
    <t>INDIAN LAKE VILLA</t>
  </si>
  <si>
    <t xml:space="preserve">601 LINCOLN BLVD OFC 217 </t>
  </si>
  <si>
    <t>RUSSELLS POINT</t>
  </si>
  <si>
    <t>937 843327</t>
  </si>
  <si>
    <t>PRIMROSE PARK</t>
  </si>
  <si>
    <t xml:space="preserve">3101 BLESSING CT </t>
  </si>
  <si>
    <t>76021-5009</t>
  </si>
  <si>
    <t>(817) 540-4066</t>
  </si>
  <si>
    <t>FRIO CROSSING</t>
  </si>
  <si>
    <t xml:space="preserve">3500 CAMINO REAL </t>
  </si>
  <si>
    <t>78238-3401</t>
  </si>
  <si>
    <t>(210) 509-7095</t>
  </si>
  <si>
    <t>BOCA PREP</t>
  </si>
  <si>
    <t xml:space="preserve">10333 DIEGO DR S </t>
  </si>
  <si>
    <t>33428-1328</t>
  </si>
  <si>
    <t>(561) 441-6128</t>
  </si>
  <si>
    <t>MONTEFIORE HOME</t>
  </si>
  <si>
    <t xml:space="preserve">ONE DAVID N MYERS PKWY </t>
  </si>
  <si>
    <t>(216) 360-9080</t>
  </si>
  <si>
    <t>EPISCOPAL RETIREMENT HOMES INC</t>
  </si>
  <si>
    <t xml:space="preserve">3550 SHAW AVE </t>
  </si>
  <si>
    <t>VIEWPOINT APARTMENTS</t>
  </si>
  <si>
    <t xml:space="preserve">215 E SHORELINE DR </t>
  </si>
  <si>
    <t>SANDUSKY</t>
  </si>
  <si>
    <t>419-625-1101</t>
  </si>
  <si>
    <t>NATIONAL CHURCH RSDNC MED HOME</t>
  </si>
  <si>
    <t>MOTHER TERESA MANOR</t>
  </si>
  <si>
    <t xml:space="preserve">5700 PERKINS RD </t>
  </si>
  <si>
    <t>BEDFORD HEIGHTS</t>
  </si>
  <si>
    <t>440 735496</t>
  </si>
  <si>
    <t>LUTHER MANOR COURT YARDS</t>
  </si>
  <si>
    <t>53225-4823</t>
  </si>
  <si>
    <t>BOARDMAN MEADOWS</t>
  </si>
  <si>
    <t xml:space="preserve">460 W 8TH ST </t>
  </si>
  <si>
    <t>715-246-5510</t>
  </si>
  <si>
    <t>BON SECOURS ST PETERSBURG</t>
  </si>
  <si>
    <t xml:space="preserve">10300 4TH ST N </t>
  </si>
  <si>
    <t>33716-3810</t>
  </si>
  <si>
    <t>(727) 576-1025</t>
  </si>
  <si>
    <t>WESTMINSTER GARDENS</t>
  </si>
  <si>
    <t xml:space="preserve">301 E CAROLINA ST </t>
  </si>
  <si>
    <t>850-224-8021</t>
  </si>
  <si>
    <t>CREEKSIDE MANOR I</t>
  </si>
  <si>
    <t xml:space="preserve">1318 FRANKLIN ST </t>
  </si>
  <si>
    <t>33756-7017</t>
  </si>
  <si>
    <t>(727) 441-8400</t>
  </si>
  <si>
    <t>LUTHERAN HAVEN INC</t>
  </si>
  <si>
    <t xml:space="preserve">2041 W STATE ROAD 426 </t>
  </si>
  <si>
    <t>OVIEDO</t>
  </si>
  <si>
    <t>32765-8548</t>
  </si>
  <si>
    <t>(407) 365-5676</t>
  </si>
  <si>
    <t>DOWLING PARK APARTMENTS INC</t>
  </si>
  <si>
    <t xml:space="preserve">23760 PARK CENTER DR </t>
  </si>
  <si>
    <t>386-658-5400</t>
  </si>
  <si>
    <t>DOUGLAS GARDENS SENIOR HOUSING</t>
  </si>
  <si>
    <t>LOS ROBLES APARTMENTS</t>
  </si>
  <si>
    <t xml:space="preserve">11495 W FLAGLER ST OFC 100 </t>
  </si>
  <si>
    <t>33174-4019</t>
  </si>
  <si>
    <t>(305) 226-2102</t>
  </si>
  <si>
    <t>HIALEAH RESIDENCE</t>
  </si>
  <si>
    <t xml:space="preserve">1280 W 46TH ST </t>
  </si>
  <si>
    <t>33012-3282</t>
  </si>
  <si>
    <t>(305) 821-1155</t>
  </si>
  <si>
    <t>PLATEAU RIDGE</t>
  </si>
  <si>
    <t xml:space="preserve">701 MCANEAR ST </t>
  </si>
  <si>
    <t>CLEBURNE</t>
  </si>
  <si>
    <t>76033-5261</t>
  </si>
  <si>
    <t>(817) 556-0326</t>
  </si>
  <si>
    <t>BAYOU GLEN</t>
  </si>
  <si>
    <t xml:space="preserve">11810 S GLEN DR </t>
  </si>
  <si>
    <t>77099-2589</t>
  </si>
  <si>
    <t>MORNINGSIDE MINISTRIES AT THE MEADOWS</t>
  </si>
  <si>
    <t xml:space="preserve">730 BABCOCK RD </t>
  </si>
  <si>
    <t>210-734-1155</t>
  </si>
  <si>
    <t>CREEKSIDE MRC</t>
  </si>
  <si>
    <t xml:space="preserve">1433 VETERANS MEMORIAL PKWY </t>
  </si>
  <si>
    <t>HUNTSVILLE</t>
  </si>
  <si>
    <t>77340-8822</t>
  </si>
  <si>
    <t>(936) 295-0216</t>
  </si>
  <si>
    <t>MARQUARDT MANAGED SERVICES</t>
  </si>
  <si>
    <t xml:space="preserve">1045 HILL STREET </t>
  </si>
  <si>
    <t>920 261040</t>
  </si>
  <si>
    <t>SHOREHAVEN - MEMORY CARE</t>
  </si>
  <si>
    <t>LONGWOOD AT HOME</t>
  </si>
  <si>
    <t>(412) 826-6525</t>
  </si>
  <si>
    <t>SILVER SPRING GARDENS</t>
  </si>
  <si>
    <t xml:space="preserve">66 ASHBURG DRIVE </t>
  </si>
  <si>
    <t>KIRKLAND VILLAGE RETIREMENT COMMUNITY - NJ</t>
  </si>
  <si>
    <t xml:space="preserve">1 KIRKLAND VILLAGE CIR BLDG 1 </t>
  </si>
  <si>
    <t>610-691-4500</t>
  </si>
  <si>
    <t>MOBILE MEALS - MEALS/NUTRITION</t>
  </si>
  <si>
    <t>LAKEFIELD ADULT DAY CENTER</t>
  </si>
  <si>
    <t xml:space="preserve">1193 LAKEFIELD RD </t>
  </si>
  <si>
    <t>GRAFTON</t>
  </si>
  <si>
    <t>53024-9732</t>
  </si>
  <si>
    <t>(262) 377-9780</t>
  </si>
  <si>
    <t>TAYLOR CARE CENTER</t>
  </si>
  <si>
    <t xml:space="preserve">6535 CHESTER AVE </t>
  </si>
  <si>
    <t>32217-2250</t>
  </si>
  <si>
    <t>(904) 636-0313</t>
  </si>
  <si>
    <t>LIFE CARE PASTORAL SERVICES INC.</t>
  </si>
  <si>
    <t xml:space="preserve">1000 VICARS LANDING WAY </t>
  </si>
  <si>
    <t>PONTE VEDRA BEACH</t>
  </si>
  <si>
    <t>32082-9979</t>
  </si>
  <si>
    <t>(904) 273-1701</t>
  </si>
  <si>
    <t>HURLEY MANOR APARTMENTS</t>
  </si>
  <si>
    <t xml:space="preserve">3333 UNIVERSITY BLVD N </t>
  </si>
  <si>
    <t>32277-0615</t>
  </si>
  <si>
    <t>(904) 744-6022</t>
  </si>
  <si>
    <t>MCGREGOR FOUNDATION</t>
  </si>
  <si>
    <t xml:space="preserve">14900 PRIVATE DR </t>
  </si>
  <si>
    <t>216 851820</t>
  </si>
  <si>
    <t>OHIO MASONIC HOME BENEVOLENT ENDOWMENT</t>
  </si>
  <si>
    <t xml:space="preserve">FIVE MASONIC DR </t>
  </si>
  <si>
    <t>LASATA SENIOR LIVING CAMPUS</t>
  </si>
  <si>
    <t xml:space="preserve">W76N677 WAUWATOSA RD </t>
  </si>
  <si>
    <t>CEDARBURG</t>
  </si>
  <si>
    <t>414 377506</t>
  </si>
  <si>
    <t>LASATA HEIGHTS APTS</t>
  </si>
  <si>
    <t xml:space="preserve">W78N675 WAUWATOSA RD </t>
  </si>
  <si>
    <t>262 377600</t>
  </si>
  <si>
    <t>HOMME - WILDWOOD &amp; CARBONERO APT</t>
  </si>
  <si>
    <t xml:space="preserve">604 S WEBB ST </t>
  </si>
  <si>
    <t>WITTENBERG</t>
  </si>
  <si>
    <t>54499-9040</t>
  </si>
  <si>
    <t>(715) 253-2125</t>
  </si>
  <si>
    <t>RIDGE CREST MANOR</t>
  </si>
  <si>
    <t xml:space="preserve">110 PARK DR </t>
  </si>
  <si>
    <t>54730-8902</t>
  </si>
  <si>
    <t>(715) 962-3186</t>
  </si>
  <si>
    <t>BETHEL PARKSIDE</t>
  </si>
  <si>
    <t xml:space="preserve">315 WEST ADAMS CT </t>
  </si>
  <si>
    <t>54639-7939</t>
  </si>
  <si>
    <t>TRINITY MANOR</t>
  </si>
  <si>
    <t xml:space="preserve">301 CLARK ST </t>
  </si>
  <si>
    <t>513 423786</t>
  </si>
  <si>
    <t>HOMME INC OF WISCONSIN</t>
  </si>
  <si>
    <t>RIVERWOOD EAGLES NEST</t>
  </si>
  <si>
    <t xml:space="preserve">115 BOWMAN ROAD </t>
  </si>
  <si>
    <t>WISCONSIN DELLS</t>
  </si>
  <si>
    <t>GRACE PARKSIDE APARTMENTS</t>
  </si>
  <si>
    <t xml:space="preserve">49 E SPRING ST </t>
  </si>
  <si>
    <t>CHIPPEWA FALLS</t>
  </si>
  <si>
    <t>54729-2574</t>
  </si>
  <si>
    <t>SHENANGO PRESBYTERIAN SENIORCARE</t>
  </si>
  <si>
    <t xml:space="preserve">238 S MARKET ST </t>
  </si>
  <si>
    <t>NEW WILMINGTON</t>
  </si>
  <si>
    <t>16142-1212</t>
  </si>
  <si>
    <t>(724) 946-3516</t>
  </si>
  <si>
    <t>SHADY PARK PLACE</t>
  </si>
  <si>
    <t xml:space="preserve">415 LOBINGER AVE </t>
  </si>
  <si>
    <t>BRADDOCK</t>
  </si>
  <si>
    <t>15104-2259</t>
  </si>
  <si>
    <t>(412) 271-7132</t>
  </si>
  <si>
    <t>SENIOR INDEPENDENCE - DAYTON</t>
  </si>
  <si>
    <t xml:space="preserve">6520 POE AVE </t>
  </si>
  <si>
    <t>937 415566</t>
  </si>
  <si>
    <t>ZANE TRACE VILLAGE</t>
  </si>
  <si>
    <t xml:space="preserve">1600 ADAMS LN </t>
  </si>
  <si>
    <t>740 452177</t>
  </si>
  <si>
    <t>WORTHINGTON PLACE</t>
  </si>
  <si>
    <t xml:space="preserve">5861 ROCHE DR </t>
  </si>
  <si>
    <t>614 840033</t>
  </si>
  <si>
    <t>FAIRVIEW RETIREMENT COMMUNITY</t>
  </si>
  <si>
    <t xml:space="preserve">7832 CHAPIN RD </t>
  </si>
  <si>
    <t>76116-7710</t>
  </si>
  <si>
    <t>(817) 244-0142</t>
  </si>
  <si>
    <t>EASTPOINTE STATION</t>
  </si>
  <si>
    <t xml:space="preserve">2750 BROADWAY BLVD </t>
  </si>
  <si>
    <t>(972) 278-9500</t>
  </si>
  <si>
    <t>BROOK OAKS SENIOR RESIDENCES</t>
  </si>
  <si>
    <t xml:space="preserve">1725 COLCORD AVE </t>
  </si>
  <si>
    <t>76707-2200</t>
  </si>
  <si>
    <t>(254) 754-6000</t>
  </si>
  <si>
    <t>LINDENGROVE PHARMACY</t>
  </si>
  <si>
    <t xml:space="preserve">13700 W NATIONAL AVE </t>
  </si>
  <si>
    <t>LINCOLN LUTHERAN OF RACINE WI INC.</t>
  </si>
  <si>
    <t xml:space="preserve">2000 DOMANIK DR </t>
  </si>
  <si>
    <t>53404-2910</t>
  </si>
  <si>
    <t>(262) 633-0500</t>
  </si>
  <si>
    <t>HAVELOCH COMMONS</t>
  </si>
  <si>
    <t xml:space="preserve">105 COAL ST </t>
  </si>
  <si>
    <t>MCDONALD</t>
  </si>
  <si>
    <t>GREEN DIAMOND PLACE</t>
  </si>
  <si>
    <t xml:space="preserve">379 MELLON AVE </t>
  </si>
  <si>
    <t>BADEN</t>
  </si>
  <si>
    <t>SENIOR INDEPENDENCE - AKRON</t>
  </si>
  <si>
    <t xml:space="preserve">1815 W MARKET ST STE 303 </t>
  </si>
  <si>
    <t>44313-7067</t>
  </si>
  <si>
    <t>(330) 873-3468</t>
  </si>
  <si>
    <t>RAVINE AT CENTRAL COLLEGE (THE)</t>
  </si>
  <si>
    <t xml:space="preserve">630 S SUNBURY RD </t>
  </si>
  <si>
    <t>614-523-0704</t>
  </si>
  <si>
    <t>QUARRY RIDGE</t>
  </si>
  <si>
    <t xml:space="preserve">1280 CHERRY RD NW </t>
  </si>
  <si>
    <t>MASSILLON</t>
  </si>
  <si>
    <t>330 830103</t>
  </si>
  <si>
    <t>LINCOLN GARDENS</t>
  </si>
  <si>
    <t xml:space="preserve">110 STURBRIDGE RD </t>
  </si>
  <si>
    <t>614-878-4394</t>
  </si>
  <si>
    <t>KIWANIS VILLAGE</t>
  </si>
  <si>
    <t xml:space="preserve">1200 CROY DR </t>
  </si>
  <si>
    <t>45840-6707</t>
  </si>
  <si>
    <t>(419) 422-5372</t>
  </si>
  <si>
    <t xml:space="preserve">142 UNIVERSITY DR </t>
  </si>
  <si>
    <t>BLESSING COURT</t>
  </si>
  <si>
    <t xml:space="preserve">3100 BLESSING CT </t>
  </si>
  <si>
    <t>76021-5086</t>
  </si>
  <si>
    <t>(817) 540-1275</t>
  </si>
  <si>
    <t>STAYTON</t>
  </si>
  <si>
    <t xml:space="preserve">2501 MUSEUM WAY </t>
  </si>
  <si>
    <t>76107-3058</t>
  </si>
  <si>
    <t>(817) 349-7140</t>
  </si>
  <si>
    <t>PEARL NORDAN OF JULIETTE FOWLER HOMES INC</t>
  </si>
  <si>
    <t xml:space="preserve">1260 ABRAMS RD </t>
  </si>
  <si>
    <t>BRIDGE STREET COMMONS</t>
  </si>
  <si>
    <t xml:space="preserve">600 BRIDGE ST </t>
  </si>
  <si>
    <t>PHOEBE TERRACE</t>
  </si>
  <si>
    <t xml:space="preserve">1940 TURNER ST </t>
  </si>
  <si>
    <t>(610) 794-6000</t>
  </si>
  <si>
    <t>BALCONES HAUS (THE)</t>
  </si>
  <si>
    <t xml:space="preserve">246 LOMA VISTA ST </t>
  </si>
  <si>
    <t>78130-7034</t>
  </si>
  <si>
    <t>(830) 629-0100</t>
  </si>
  <si>
    <t>MRC PINECREST RETIREMENT COMMUNITY</t>
  </si>
  <si>
    <t xml:space="preserve">1302 TOM TEMPLE DR </t>
  </si>
  <si>
    <t>(936) 634-1054</t>
  </si>
  <si>
    <t>HERITAGE HOUSE OF HOUSTON</t>
  </si>
  <si>
    <t xml:space="preserve">140 W PIKE ST </t>
  </si>
  <si>
    <t>15342-1460</t>
  </si>
  <si>
    <t>FIFTH AVENUE COMMONS</t>
  </si>
  <si>
    <t xml:space="preserve">1205 FIFTH AVE </t>
  </si>
  <si>
    <t>MCKEESPORT</t>
  </si>
  <si>
    <t>STS MARY AND JOSEPH HOME</t>
  </si>
  <si>
    <t>44122-6103</t>
  </si>
  <si>
    <t>PHOEBE SERVICES</t>
  </si>
  <si>
    <t xml:space="preserve">1831 W LINDEN ST </t>
  </si>
  <si>
    <t>18104-5663</t>
  </si>
  <si>
    <t>(610) 794-5135</t>
  </si>
  <si>
    <t>PHOEBE MINISTRIES</t>
  </si>
  <si>
    <t xml:space="preserve">1925 W TURNER ST </t>
  </si>
  <si>
    <t>18104-5513</t>
  </si>
  <si>
    <t>800-453-8814</t>
  </si>
  <si>
    <t>DEVITT HOUSE</t>
  </si>
  <si>
    <t xml:space="preserve">340 JPM RD </t>
  </si>
  <si>
    <t>(570) 522-0021</t>
  </si>
  <si>
    <t>RIDGEVIEW APARTMENTS</t>
  </si>
  <si>
    <t xml:space="preserve">100 RIDGEVIEW CT </t>
  </si>
  <si>
    <t>15666-1877</t>
  </si>
  <si>
    <t>(724) 547-6400</t>
  </si>
  <si>
    <t>EASTLAKE WOODS</t>
  </si>
  <si>
    <t xml:space="preserve">4664 E LAKE RD </t>
  </si>
  <si>
    <t>16511-3701</t>
  </si>
  <si>
    <t>(814) 898-1490</t>
  </si>
  <si>
    <t>FURNACE CREEK MANOR</t>
  </si>
  <si>
    <t xml:space="preserve">270 S FREEMAN ST </t>
  </si>
  <si>
    <t>ROBESONIA</t>
  </si>
  <si>
    <t>(610) 693-3419</t>
  </si>
  <si>
    <t>BUCHANAN MANOR</t>
  </si>
  <si>
    <t xml:space="preserve">73 MERCER AVENUE </t>
  </si>
  <si>
    <t>WHEATLAND</t>
  </si>
  <si>
    <t>(724) 342-2181</t>
  </si>
  <si>
    <t>CREEKSIDE MANOR II</t>
  </si>
  <si>
    <t>CENTRAL MANOR</t>
  </si>
  <si>
    <t xml:space="preserve">136 FAIRVIEW AVE </t>
  </si>
  <si>
    <t>32114-2120</t>
  </si>
  <si>
    <t>(386) 255-2622</t>
  </si>
  <si>
    <t>SANTAFE HEALTHCARE INC.</t>
  </si>
  <si>
    <t xml:space="preserve">4300 NW 89TH BLVD </t>
  </si>
  <si>
    <t>32606-5688</t>
  </si>
  <si>
    <t>(352) 337-8707</t>
  </si>
  <si>
    <t>MORNINGSIDE MINISTRIES AT MENGER SPRINGS</t>
  </si>
  <si>
    <t xml:space="preserve">1100 GRAND BLVD </t>
  </si>
  <si>
    <t>(830) 816-4400</t>
  </si>
  <si>
    <t>HELEN GREATHOUSE MANOR</t>
  </si>
  <si>
    <t xml:space="preserve">2208 N LOOP 250 W </t>
  </si>
  <si>
    <t>79707-6011</t>
  </si>
  <si>
    <t>(432) 694-1691</t>
  </si>
  <si>
    <t>SOUTHERN OHIO HOME HEALTH AGENCY</t>
  </si>
  <si>
    <t xml:space="preserve">681 E 3RD ST </t>
  </si>
  <si>
    <t>740 947341</t>
  </si>
  <si>
    <t>HILLTOP SENIOR VILLAGE</t>
  </si>
  <si>
    <t xml:space="preserve">300 OVERSTREET WAY </t>
  </si>
  <si>
    <t>614-276-3017</t>
  </si>
  <si>
    <t>HARBORVIEW</t>
  </si>
  <si>
    <t xml:space="preserve">115 FRANKLIN ST </t>
  </si>
  <si>
    <t>419-627-0544</t>
  </si>
  <si>
    <t>COMMUNITY FIRST SOLUTIONS</t>
  </si>
  <si>
    <t xml:space="preserve">230 LUDLOW ST </t>
  </si>
  <si>
    <t>HAMILTON</t>
  </si>
  <si>
    <t>CRESTVIEW UNITY</t>
  </si>
  <si>
    <t xml:space="preserve">2507 E VILLA MARIA RD </t>
  </si>
  <si>
    <t>77802-2051</t>
  </si>
  <si>
    <t>(979) 776-9294</t>
  </si>
  <si>
    <t>MANCHESTER COMMONS OF ERIE</t>
  </si>
  <si>
    <t xml:space="preserve">6351 W LAKE RD </t>
  </si>
  <si>
    <t>16505-2676</t>
  </si>
  <si>
    <t>(814) 838-9191</t>
  </si>
  <si>
    <t>OAKWOOD HEIGHTS</t>
  </si>
  <si>
    <t xml:space="preserve">10 VO TECH DR </t>
  </si>
  <si>
    <t>OIL CITY</t>
  </si>
  <si>
    <t>16301-3502</t>
  </si>
  <si>
    <t>DERRY STATION</t>
  </si>
  <si>
    <t xml:space="preserve">200 W 2ND AVE </t>
  </si>
  <si>
    <t>DERRY</t>
  </si>
  <si>
    <t>15627-1255</t>
  </si>
  <si>
    <t>(724) 694-2100</t>
  </si>
  <si>
    <t>APPLE BLOSSOM PLACE</t>
  </si>
  <si>
    <t xml:space="preserve">5298 CRABAPPLE DR </t>
  </si>
  <si>
    <t>16509-3980</t>
  </si>
  <si>
    <t>(814) 825-0609</t>
  </si>
  <si>
    <t>CORNERSTONE RETIREMENT COMMUNITY</t>
  </si>
  <si>
    <t xml:space="preserve">4100 MOORES LN </t>
  </si>
  <si>
    <t>TEXARKANA</t>
  </si>
  <si>
    <t>75503-5102</t>
  </si>
  <si>
    <t>(903) 832-5515</t>
  </si>
  <si>
    <t>LUTHERAN SUNSET MINISTRIES</t>
  </si>
  <si>
    <t xml:space="preserve">413 SUNSET ST </t>
  </si>
  <si>
    <t>76634-1874</t>
  </si>
  <si>
    <t>(254) 675-8637</t>
  </si>
  <si>
    <t>STAFFORD VILLAGE</t>
  </si>
  <si>
    <t xml:space="preserve">814 HARTFORD ST </t>
  </si>
  <si>
    <t>COMMONS AT MADELINE PARK</t>
  </si>
  <si>
    <t xml:space="preserve">1241 BROWNSTONE AVE </t>
  </si>
  <si>
    <t>COLMAN COURT</t>
  </si>
  <si>
    <t xml:space="preserve">2025 W 65TH ST </t>
  </si>
  <si>
    <t>216-631-6047</t>
  </si>
  <si>
    <t>WISTERIA COMMONS</t>
  </si>
  <si>
    <t xml:space="preserve">300 WISTERIA LANE </t>
  </si>
  <si>
    <t>CRESCO</t>
  </si>
  <si>
    <t>EPISCOPAL HOUSING FOUNDATION INC</t>
  </si>
  <si>
    <t xml:space="preserve">1100 26TH ST S # 1112 </t>
  </si>
  <si>
    <t>35205-2477</t>
  </si>
  <si>
    <t>(205) 939-0085</t>
  </si>
  <si>
    <t>AIR FORCE ENLISTED VILLAGE INC</t>
  </si>
  <si>
    <t xml:space="preserve">92 SUNSET LN </t>
  </si>
  <si>
    <t>32579-1000</t>
  </si>
  <si>
    <t>(850) 651-3766</t>
  </si>
  <si>
    <t>WESTMINSTER SHORES</t>
  </si>
  <si>
    <t xml:space="preserve">125 56TH AVE S </t>
  </si>
  <si>
    <t>33705-5400</t>
  </si>
  <si>
    <t>(727) 867-2131</t>
  </si>
  <si>
    <t>CLEAR BAY TERRACE</t>
  </si>
  <si>
    <t xml:space="preserve">1770 N BETTY LN </t>
  </si>
  <si>
    <t>33755-1950</t>
  </si>
  <si>
    <t>(727) 443-0411</t>
  </si>
  <si>
    <t>VILLA MADONNA</t>
  </si>
  <si>
    <t xml:space="preserve">4809 LAKE WORTH RD </t>
  </si>
  <si>
    <t>GREENACRES</t>
  </si>
  <si>
    <t>33463-3400</t>
  </si>
  <si>
    <t>(561) 963-1900</t>
  </si>
  <si>
    <t>FLORIDA CHRISTIAN</t>
  </si>
  <si>
    <t xml:space="preserve">1115 EDGEWOOD AVE S </t>
  </si>
  <si>
    <t>32205-5381</t>
  </si>
  <si>
    <t>(904) 381-4800</t>
  </si>
  <si>
    <t>SCHMIDT MEMORIAL HOME (THE)</t>
  </si>
  <si>
    <t xml:space="preserve">10441 S NICHOLSON RD </t>
  </si>
  <si>
    <t>OAK CREEK</t>
  </si>
  <si>
    <t>53154-6421</t>
  </si>
  <si>
    <t>(414) 762-5118</t>
  </si>
  <si>
    <t>THE GARDENS RETIREMENT COMMUNITY</t>
  </si>
  <si>
    <t xml:space="preserve">602 N SEGOE RD </t>
  </si>
  <si>
    <t>WYNCOTE CHURCH HOME</t>
  </si>
  <si>
    <t xml:space="preserve">208 FERNBROOK AVE </t>
  </si>
  <si>
    <t>WYNCOTE</t>
  </si>
  <si>
    <t>(215) 885-2620</t>
  </si>
  <si>
    <t>PHOEBE WYNCOTE</t>
  </si>
  <si>
    <t>19095-1532</t>
  </si>
  <si>
    <t>PHOEBE SERVICES PHARMACY</t>
  </si>
  <si>
    <t xml:space="preserve">6520 STONEGATE DR STE 100 </t>
  </si>
  <si>
    <t>VALLEY VIEW HEALTH CARE CENTER</t>
  </si>
  <si>
    <t xml:space="preserve">2120 NORTH 10TH STREET </t>
  </si>
  <si>
    <t>CANYON CITY</t>
  </si>
  <si>
    <t>SENIORS' RESOURCE CENTER ADULT DAY</t>
  </si>
  <si>
    <t xml:space="preserve">5120 HIGHWAY 73 </t>
  </si>
  <si>
    <t>EVERGREEN</t>
  </si>
  <si>
    <t>303 674284</t>
  </si>
  <si>
    <t>ROWAN COMMUNITY</t>
  </si>
  <si>
    <t xml:space="preserve">4601 EAST ASBURY CIRCLE </t>
  </si>
  <si>
    <t>QP HEALTH CARE SEVICES LLC-VIVAGE</t>
  </si>
  <si>
    <t xml:space="preserve">12136 WEST BAYAUD AVE STE 200 </t>
  </si>
  <si>
    <t>EATON SENIOR PROGRAMS ESP</t>
  </si>
  <si>
    <t xml:space="preserve">333 S EATON ST </t>
  </si>
  <si>
    <t>CLEMENT MANOR RETIREMENT COMMUNITY</t>
  </si>
  <si>
    <t xml:space="preserve">9339 W HOWARD AVE </t>
  </si>
  <si>
    <t>(414) 321-1800</t>
  </si>
  <si>
    <t>PHOEBE RICHLAND HEALTH CARE CENTER</t>
  </si>
  <si>
    <t xml:space="preserve">108 S MAIN ST </t>
  </si>
  <si>
    <t>RICHLAND</t>
  </si>
  <si>
    <t>(267) 371-4500</t>
  </si>
  <si>
    <t>PHOEBE HOME</t>
  </si>
  <si>
    <t xml:space="preserve">1925 TURNER ST </t>
  </si>
  <si>
    <t>(610) 794-5130</t>
  </si>
  <si>
    <t>NESHANNOCK WOODS</t>
  </si>
  <si>
    <t xml:space="preserve">209 CAMBRIDGE ST APT 601 </t>
  </si>
  <si>
    <t>NEW CASTLE</t>
  </si>
  <si>
    <t>(724) 654-3411</t>
  </si>
  <si>
    <t>LAUREL HIGHLANDS VILLAGE</t>
  </si>
  <si>
    <t xml:space="preserve">300 WELDON ST </t>
  </si>
  <si>
    <t>LATROBE</t>
  </si>
  <si>
    <t>15650-1859</t>
  </si>
  <si>
    <t>724-539-3999</t>
  </si>
  <si>
    <t>MASONIC VILLAGES AT THE GRAND LODGE OF PA</t>
  </si>
  <si>
    <t xml:space="preserve">1 MASONIC DR </t>
  </si>
  <si>
    <t>17022-2199</t>
  </si>
  <si>
    <t>VIVIAN TEAL HOWARD - RESIDENTIAL</t>
  </si>
  <si>
    <t xml:space="preserve">116 MARTIN LUTHER KING E </t>
  </si>
  <si>
    <t>13205-1110</t>
  </si>
  <si>
    <t>WESTMINSTER PLACE AT STEWARTSTOWN</t>
  </si>
  <si>
    <t xml:space="preserve">16 SOUTH HILL STREET SUITE 1 </t>
  </si>
  <si>
    <t>STEWARTSTOWN</t>
  </si>
  <si>
    <t>CARROLL VILLAGE</t>
  </si>
  <si>
    <t xml:space="preserve">1 TRINITY DR E STE 201 </t>
  </si>
  <si>
    <t>717-432-1670</t>
  </si>
  <si>
    <t>RIVERVIEW MANOR</t>
  </si>
  <si>
    <t xml:space="preserve">1500 LETORT ST </t>
  </si>
  <si>
    <t>15212-2166</t>
  </si>
  <si>
    <t>(412) 734-0741</t>
  </si>
  <si>
    <t>PARKSIDE MANOR</t>
  </si>
  <si>
    <t xml:space="preserve">1306 BROOKLINE BLVD STE 1 </t>
  </si>
  <si>
    <t>15226-1961</t>
  </si>
  <si>
    <t>(412) 343-2770</t>
  </si>
  <si>
    <t>LINCOLN RIDGE</t>
  </si>
  <si>
    <t xml:space="preserve">705 MCANEAR ST </t>
  </si>
  <si>
    <t>76033-5273</t>
  </si>
  <si>
    <t>FAIRMONT APARTMENTS</t>
  </si>
  <si>
    <t xml:space="preserve">5461 PENN AVE AT FAIRMONT ST </t>
  </si>
  <si>
    <t>BELLMEAD APARTMENTS</t>
  </si>
  <si>
    <t xml:space="preserve">815 S MAIN ST </t>
  </si>
  <si>
    <t>WESTMINSTER PLACE AT WINDY HILL VILLAGE</t>
  </si>
  <si>
    <t xml:space="preserve">225 DOGWOOD LANE </t>
  </si>
  <si>
    <t>SILVER SPRING COURTYARDS</t>
  </si>
  <si>
    <t xml:space="preserve">43 ASHBURG DR STE 23 </t>
  </si>
  <si>
    <t>PHOEBE RICHLAND MEADOW GLEN</t>
  </si>
  <si>
    <t>RICHLANDTOWN</t>
  </si>
  <si>
    <t>18955-1048</t>
  </si>
  <si>
    <t>53228-1600</t>
  </si>
  <si>
    <t>CLEMENT MANOR HEALTH CTR</t>
  </si>
  <si>
    <t xml:space="preserve">3939 S 92ND ST </t>
  </si>
  <si>
    <t>MILL STREET MANOR - SKILLED NURSING</t>
  </si>
  <si>
    <t xml:space="preserve">840 MILL ST N </t>
  </si>
  <si>
    <t>THE GLENN BUFFALO</t>
  </si>
  <si>
    <t xml:space="preserve">201 1ST ST NE </t>
  </si>
  <si>
    <t>55313-1550</t>
  </si>
  <si>
    <t>GRACE CENTER FOR ADULT DAY SERVICES</t>
  </si>
  <si>
    <t xml:space="preserve">980 NW SPRUCE AVE </t>
  </si>
  <si>
    <t>541-754-8417</t>
  </si>
  <si>
    <t>PHOEBE MINISTRIES FURNACE CREEK MANOR</t>
  </si>
  <si>
    <t>19551-9604</t>
  </si>
  <si>
    <t>SHALER OAKS</t>
  </si>
  <si>
    <t xml:space="preserve">1122 MOUNT ROYAL BLVD </t>
  </si>
  <si>
    <t>15223-1079</t>
  </si>
  <si>
    <t>(412) 487-9401</t>
  </si>
  <si>
    <t>ELLIOT HEIGHTS</t>
  </si>
  <si>
    <t xml:space="preserve">1110 STEUBEN ST </t>
  </si>
  <si>
    <t>15220-4743</t>
  </si>
  <si>
    <t>(412) 920-7181</t>
  </si>
  <si>
    <t>NORTHFIELD AT MENNO HAVEN</t>
  </si>
  <si>
    <t xml:space="preserve">1500 NORTHFIELD DRIVE </t>
  </si>
  <si>
    <t>(717) 263-8545</t>
  </si>
  <si>
    <t>PILGRIM TOWER NORTH</t>
  </si>
  <si>
    <t xml:space="preserve">560 E VILLA ST </t>
  </si>
  <si>
    <t>91101-1158</t>
  </si>
  <si>
    <t>(626) 577-0330</t>
  </si>
  <si>
    <t>MAYFLOWER GARDENS</t>
  </si>
  <si>
    <t xml:space="preserve">6570 W AVE L12 </t>
  </si>
  <si>
    <t>93536-3807</t>
  </si>
  <si>
    <t>(661) 943-3228</t>
  </si>
  <si>
    <t>COLUMBIA TERRACE RETIREMENT COMMUNITY</t>
  </si>
  <si>
    <t xml:space="preserve">16932 SE DIVISION ST </t>
  </si>
  <si>
    <t>503 760034</t>
  </si>
  <si>
    <t>WESTMORELAND'S UNION MANOR</t>
  </si>
  <si>
    <t xml:space="preserve">6404 SE 23RD AVE </t>
  </si>
  <si>
    <t>503 233567</t>
  </si>
  <si>
    <t>MEADOWBROOK PLACE</t>
  </si>
  <si>
    <t xml:space="preserve">4000 CEDAR ST </t>
  </si>
  <si>
    <t>BAKER CITY</t>
  </si>
  <si>
    <t>541 523633</t>
  </si>
  <si>
    <t>EPISCOPAL PLACE I</t>
  </si>
  <si>
    <t xml:space="preserve">1112 26TH ST S </t>
  </si>
  <si>
    <t>35205-2461</t>
  </si>
  <si>
    <t>COLOROW CARE CENTER</t>
  </si>
  <si>
    <t xml:space="preserve">869 S HIGHWAY 50 BUSINESS LOOP </t>
  </si>
  <si>
    <t>PRESBYTERIAN HOMES INC &amp; SENIOR CARE SERV</t>
  </si>
  <si>
    <t>717-502-8840</t>
  </si>
  <si>
    <t>PRESBYTERIAN APARTMENTS</t>
  </si>
  <si>
    <t xml:space="preserve">322 N 2ND ST </t>
  </si>
  <si>
    <t>717-233-5114</t>
  </si>
  <si>
    <t>PHOEBE PHARMACY</t>
  </si>
  <si>
    <t xml:space="preserve">1110 ENTERPRISE RD </t>
  </si>
  <si>
    <t>EAST PETERSBURG</t>
  </si>
  <si>
    <t>PHOEBE APARTMENTS</t>
  </si>
  <si>
    <t xml:space="preserve">1901 W LINDEN ST </t>
  </si>
  <si>
    <t>(610) 794-6262</t>
  </si>
  <si>
    <t>SHARPSBURG TOWERS</t>
  </si>
  <si>
    <t xml:space="preserve">601 MAIN ST </t>
  </si>
  <si>
    <t>15215-2251</t>
  </si>
  <si>
    <t>(412) 784-0600</t>
  </si>
  <si>
    <t>DECATUR VILLAGE</t>
  </si>
  <si>
    <t xml:space="preserve">65 IRWIN DR </t>
  </si>
  <si>
    <t>16866-8237</t>
  </si>
  <si>
    <t>(814) 342-2292</t>
  </si>
  <si>
    <t>WIND GAP MANOR</t>
  </si>
  <si>
    <t xml:space="preserve">665 ALPHA RD </t>
  </si>
  <si>
    <t>WIND GAP</t>
  </si>
  <si>
    <t>(610) 599-1500</t>
  </si>
  <si>
    <t>JOHN E. LUTZ APARTMENTS</t>
  </si>
  <si>
    <t xml:space="preserve">3559 ST LAWRENCE AVE </t>
  </si>
  <si>
    <t>SAINT LAWRENCE</t>
  </si>
  <si>
    <t>MASONIC VILLAGE OF DALLAS</t>
  </si>
  <si>
    <t xml:space="preserve">36 RIDGWAY DR STE 1 </t>
  </si>
  <si>
    <t>18612-9280</t>
  </si>
  <si>
    <t>(570)675-1866</t>
  </si>
  <si>
    <t>WEINBERG CAMPUS</t>
  </si>
  <si>
    <t xml:space="preserve">2700 N FOREST RD </t>
  </si>
  <si>
    <t>GETZVILLE</t>
  </si>
  <si>
    <t>(716) 639-3330</t>
  </si>
  <si>
    <t>VALLEY RESIDENTIAL SERVICES</t>
  </si>
  <si>
    <t xml:space="preserve">161 VALLEY DR </t>
  </si>
  <si>
    <t>HERKIMER</t>
  </si>
  <si>
    <t>13350-3736</t>
  </si>
  <si>
    <t>ST MARYS EPISCOPAL CENTER INC</t>
  </si>
  <si>
    <t xml:space="preserve">516 W 126TH ST </t>
  </si>
  <si>
    <t>NEW YORK</t>
  </si>
  <si>
    <t>(212) 662-1826</t>
  </si>
  <si>
    <t>FRANKLIN &amp; NOBLE MANOR</t>
  </si>
  <si>
    <t xml:space="preserve">43 E NOBLE AVE </t>
  </si>
  <si>
    <t>SHOEMARKERSVILLE</t>
  </si>
  <si>
    <t>(610) 562-9691</t>
  </si>
  <si>
    <t>MORAVIAN HALL SQUARE</t>
  </si>
  <si>
    <t xml:space="preserve">175 W NORTH ST </t>
  </si>
  <si>
    <t>18064-1410</t>
  </si>
  <si>
    <t>(610) 746-1000</t>
  </si>
  <si>
    <t>HERITAGE VILLAGE CAMPUS</t>
  </si>
  <si>
    <t xml:space="preserve">139 W. BEIL AVENUE </t>
  </si>
  <si>
    <t>TOWNCREEK RETIREMENT COMMUNITY</t>
  </si>
  <si>
    <t>MRC THE CROSSINGS</t>
  </si>
  <si>
    <t xml:space="preserve">255 N EGRET BAY BLVD </t>
  </si>
  <si>
    <t>LEAGUE CITY</t>
  </si>
  <si>
    <t>AMBERWOOD COURT REHABILITATION &amp; CARE COMMUNI</t>
  </si>
  <si>
    <t xml:space="preserve">4686 E ASBURY CIR </t>
  </si>
  <si>
    <t>THE COMMUNITY AT FRANKLIN PARK</t>
  </si>
  <si>
    <t xml:space="preserve">1535 FRANKLIN ST </t>
  </si>
  <si>
    <t>303 832485</t>
  </si>
  <si>
    <t>PILGRIM PLAZA</t>
  </si>
  <si>
    <t xml:space="preserve">120 N SAN MATEO DR </t>
  </si>
  <si>
    <t>SAN MATEO</t>
  </si>
  <si>
    <t>94401-2771</t>
  </si>
  <si>
    <t>MASONIC CENTER FOR YOUTH AND FAMILIES</t>
  </si>
  <si>
    <t xml:space="preserve">6 FUNSTON AVE </t>
  </si>
  <si>
    <t>94129-1109</t>
  </si>
  <si>
    <t>FREMONT OAK GARDENS APTS</t>
  </si>
  <si>
    <t xml:space="preserve">2681 DRISCOLL RD </t>
  </si>
  <si>
    <t>AMER RED CROSS GOOD NEIGHBOR NUTRITION PROG</t>
  </si>
  <si>
    <t xml:space="preserve">1900 E DOUGLAS AVE </t>
  </si>
  <si>
    <t>67214-4214</t>
  </si>
  <si>
    <t>SENIOR SOLUTIONS HOME CARE</t>
  </si>
  <si>
    <t xml:space="preserve">301 VILLAGE AT STONES CROSSING </t>
  </si>
  <si>
    <t>MASONIC VILLAGES OF THE GRAND LODGE OF PA</t>
  </si>
  <si>
    <t xml:space="preserve">ONE NORTH BROAD ST </t>
  </si>
  <si>
    <t>PHILADEPHIA</t>
  </si>
  <si>
    <t>MASONIC VILLAGE AT WARMINSTER</t>
  </si>
  <si>
    <t xml:space="preserve">850 NORRISTOWN RD </t>
  </si>
  <si>
    <t>WARMINSTER</t>
  </si>
  <si>
    <t>(215) 672-2500</t>
  </si>
  <si>
    <t>MASONIC VILLAGE AT LAFAYETTE HILL</t>
  </si>
  <si>
    <t xml:space="preserve">801 RIDGE PIKE </t>
  </si>
  <si>
    <t>(610) 825-6100</t>
  </si>
  <si>
    <t>HARBOR TOWER</t>
  </si>
  <si>
    <t xml:space="preserve">340 S MESA ST </t>
  </si>
  <si>
    <t>SAN PEDRO</t>
  </si>
  <si>
    <t>90731-2637</t>
  </si>
  <si>
    <t>(310) 831-8981</t>
  </si>
  <si>
    <t>SARATOGA RETIREMENT COMMUNITY</t>
  </si>
  <si>
    <t xml:space="preserve">14500 FRUITVALE AVE BLDG 1000 </t>
  </si>
  <si>
    <t>95070-6166</t>
  </si>
  <si>
    <t>(408) 741-7100</t>
  </si>
  <si>
    <t>GOOD SAMARITAN SOCIETY MINNEAPOLIS</t>
  </si>
  <si>
    <t xml:space="preserve">815 N ROTHSAY AVE PO BOX B </t>
  </si>
  <si>
    <t>67467-1637</t>
  </si>
  <si>
    <t>(785) 392-2162</t>
  </si>
  <si>
    <t>PECAN VILLA</t>
  </si>
  <si>
    <t xml:space="preserve">611 S BONNER ST </t>
  </si>
  <si>
    <t>71270-5063</t>
  </si>
  <si>
    <t>(318) 251-9960</t>
  </si>
  <si>
    <t>CHATEAU DE AMIS</t>
  </si>
  <si>
    <t xml:space="preserve">955 W DARDEAU ST </t>
  </si>
  <si>
    <t>VILLE PLATTE</t>
  </si>
  <si>
    <t>70586-2517</t>
  </si>
  <si>
    <t>(337) 363-4301</t>
  </si>
  <si>
    <t>CHRISTOPHER HOMES INC</t>
  </si>
  <si>
    <t>CHRISTOPHER INN APARTMENTS</t>
  </si>
  <si>
    <t xml:space="preserve">2110 ROYAL ST </t>
  </si>
  <si>
    <t>70116-1693</t>
  </si>
  <si>
    <t>(504) 949-0312</t>
  </si>
  <si>
    <t>PEABODY HOME</t>
  </si>
  <si>
    <t xml:space="preserve">24 PEABODY PL </t>
  </si>
  <si>
    <t>03235-1607</t>
  </si>
  <si>
    <t>(603) 934-3718</t>
  </si>
  <si>
    <t>THERESA MAXIS APARTMENTS</t>
  </si>
  <si>
    <t xml:space="preserve">16800 WYOMING ST </t>
  </si>
  <si>
    <t>313-342-3836</t>
  </si>
  <si>
    <t>WOODLAND VILLAGE INC.</t>
  </si>
  <si>
    <t xml:space="preserve">1477 LONG POND RD </t>
  </si>
  <si>
    <t>WOODLAND POND AT NEW PALTZ</t>
  </si>
  <si>
    <t xml:space="preserve">100 WOODLAND POND CIR </t>
  </si>
  <si>
    <t>NEW PALTZ</t>
  </si>
  <si>
    <t>12561-6405</t>
  </si>
  <si>
    <t>(845) 256-5910</t>
  </si>
  <si>
    <t>UNITED HELPERS RENSSELAER FALL</t>
  </si>
  <si>
    <t xml:space="preserve">207 CONGRESS ST </t>
  </si>
  <si>
    <t>RENSSELAER FALLS</t>
  </si>
  <si>
    <t>13680-3171</t>
  </si>
  <si>
    <t>(315) 344-2453</t>
  </si>
  <si>
    <t>BETH ASHER</t>
  </si>
  <si>
    <t xml:space="preserve">3649 DIMOND AVE </t>
  </si>
  <si>
    <t>510 530409</t>
  </si>
  <si>
    <t>WESLEY MANOR</t>
  </si>
  <si>
    <t xml:space="preserve">1655 WINCHESTER BLVD </t>
  </si>
  <si>
    <t>CAMPBELL</t>
  </si>
  <si>
    <t>95008-1157</t>
  </si>
  <si>
    <t>(408) 374-9511</t>
  </si>
  <si>
    <t>UNITED CHURCH MANOR</t>
  </si>
  <si>
    <t xml:space="preserve">50 NORTH AVE </t>
  </si>
  <si>
    <t>WEST SENECA</t>
  </si>
  <si>
    <t>14224-1364</t>
  </si>
  <si>
    <t>(716) 668-5804</t>
  </si>
  <si>
    <t>ST VINCENT DE PAUL RESIDENCE</t>
  </si>
  <si>
    <t xml:space="preserve">900 INTERVALE AVE </t>
  </si>
  <si>
    <t>10459-4240</t>
  </si>
  <si>
    <t>EBERHART PLACE</t>
  </si>
  <si>
    <t xml:space="preserve">808 EBERHART LN </t>
  </si>
  <si>
    <t>78745-2993</t>
  </si>
  <si>
    <t>(512) 441-5551</t>
  </si>
  <si>
    <t>MORNINGSIDE MINISTRIES AT THE CHANDLER ESTATE</t>
  </si>
  <si>
    <t xml:space="preserve">1502 HOWARD ST </t>
  </si>
  <si>
    <t>(210) 737-5100</t>
  </si>
  <si>
    <t>CRESTVIEW PLACE</t>
  </si>
  <si>
    <t xml:space="preserve">2503 E VILLA MARIA RD </t>
  </si>
  <si>
    <t>77802-2019</t>
  </si>
  <si>
    <t>DIAKONIA HOUSING (MCGREGOR)</t>
  </si>
  <si>
    <t xml:space="preserve">2654 MCGREGOR DR </t>
  </si>
  <si>
    <t>GRANADA HILLS</t>
  </si>
  <si>
    <t>818-360-9711</t>
  </si>
  <si>
    <t>OAK TREE LODGE FACILITY</t>
  </si>
  <si>
    <t xml:space="preserve">845 E BONITA AVE </t>
  </si>
  <si>
    <t>909 624506</t>
  </si>
  <si>
    <t>MENORAH HOUSING FOUNDATION</t>
  </si>
  <si>
    <t xml:space="preserve">10991 W PICO BLVD </t>
  </si>
  <si>
    <t>(310) 475-6083</t>
  </si>
  <si>
    <t>EISENBERG VILLAGE</t>
  </si>
  <si>
    <t xml:space="preserve">18855 VICTORY BLVD </t>
  </si>
  <si>
    <t>818 774300</t>
  </si>
  <si>
    <t>WESTMINSTER RIVERSIDE PRESBYTERIAN HOUSE</t>
  </si>
  <si>
    <t xml:space="preserve">2020 PARK ST </t>
  </si>
  <si>
    <t>32204-3865</t>
  </si>
  <si>
    <t>(904) 388-9376</t>
  </si>
  <si>
    <t>WESTMINSTER RIVERSIDE PRESBYTERIAN APARTMENTS</t>
  </si>
  <si>
    <t xml:space="preserve">1045 OAK ST </t>
  </si>
  <si>
    <t>32204-3922</t>
  </si>
  <si>
    <t>(904) 353-6111</t>
  </si>
  <si>
    <t>CLOISTERS (THE)</t>
  </si>
  <si>
    <t xml:space="preserve">400 E HOWRY AVE </t>
  </si>
  <si>
    <t>32724-5400</t>
  </si>
  <si>
    <t>(386) 822-6900</t>
  </si>
  <si>
    <t>TRINITY TOWERS WEST</t>
  </si>
  <si>
    <t xml:space="preserve">650 E STRAWBRIDGE AVE </t>
  </si>
  <si>
    <t>32901-4759</t>
  </si>
  <si>
    <t>(321) 723-7512</t>
  </si>
  <si>
    <t>PRESBYTERIAN TOWERS INC</t>
  </si>
  <si>
    <t xml:space="preserve">430 BAY ST NE </t>
  </si>
  <si>
    <t>(727) 822-3823</t>
  </si>
  <si>
    <t>BURKE MANOR</t>
  </si>
  <si>
    <t xml:space="preserve">15 N 3RD ST </t>
  </si>
  <si>
    <t>91801-7412</t>
  </si>
  <si>
    <t>(626) 458-1505</t>
  </si>
  <si>
    <t xml:space="preserve">1230 E WINDSOR RD </t>
  </si>
  <si>
    <t>818-244-7219</t>
  </si>
  <si>
    <t>CRESTVIEW TERRACE</t>
  </si>
  <si>
    <t xml:space="preserve">2501 E VILLA MARIA RD </t>
  </si>
  <si>
    <t>77802-2036</t>
  </si>
  <si>
    <t>WESTMINSTER BALDWIN PARK</t>
  </si>
  <si>
    <t xml:space="preserve">2837 LAKE BALDWIN LN </t>
  </si>
  <si>
    <t>32814-6894</t>
  </si>
  <si>
    <t>(407) 621-4150</t>
  </si>
  <si>
    <t>LAS PALMAS PLAZA II</t>
  </si>
  <si>
    <t xml:space="preserve">2501 NW 7TH ST </t>
  </si>
  <si>
    <t>33125-3153</t>
  </si>
  <si>
    <t>(305) 643-6502</t>
  </si>
  <si>
    <t>STERLING PLACE (UNITED CHURCH HOMES)</t>
  </si>
  <si>
    <t xml:space="preserve">600 OLD COMBEE RD </t>
  </si>
  <si>
    <t>33809-8205</t>
  </si>
  <si>
    <t>(863) 859-7856</t>
  </si>
  <si>
    <t>TAYLOR MANOR/VILLAS</t>
  </si>
  <si>
    <t xml:space="preserve">6605 CHESTER AVE </t>
  </si>
  <si>
    <t>32217-2252</t>
  </si>
  <si>
    <t>(904) 636-0142</t>
  </si>
  <si>
    <t>WESTMINSTER MANOR BRADENTON</t>
  </si>
  <si>
    <t xml:space="preserve">1700 21ST AVE W </t>
  </si>
  <si>
    <t>34205-5717</t>
  </si>
  <si>
    <t>(941) 748-4161</t>
  </si>
  <si>
    <t>WESTMINSTER MAGNOLIA TOWERS</t>
  </si>
  <si>
    <t xml:space="preserve">100 E ANDERSON ST </t>
  </si>
  <si>
    <t>32801-3726</t>
  </si>
  <si>
    <t>(407) 843-9591</t>
  </si>
  <si>
    <t>SILVER LAKES APARTMENTS</t>
  </si>
  <si>
    <t xml:space="preserve">5102 CINDERLANE PKWY </t>
  </si>
  <si>
    <t>(407) 822-5100</t>
  </si>
  <si>
    <t>PALMER HOUSE</t>
  </si>
  <si>
    <t xml:space="preserve">1225 SW 107TH AVE </t>
  </si>
  <si>
    <t>33174-2528</t>
  </si>
  <si>
    <t>570-829-6542</t>
  </si>
  <si>
    <t>TAYLOR HOME</t>
  </si>
  <si>
    <t xml:space="preserve">3937 SPRING PARK RD </t>
  </si>
  <si>
    <t>32207-5739</t>
  </si>
  <si>
    <t>TAYLOR FOUNDATION SERVICES - FL</t>
  </si>
  <si>
    <t xml:space="preserve">6601 CHESTER AVE </t>
  </si>
  <si>
    <t>VILLA NUEVA APARTMENTS</t>
  </si>
  <si>
    <t xml:space="preserve">1722 TOBERMAN ST </t>
  </si>
  <si>
    <t>90015-3370</t>
  </si>
  <si>
    <t>213-744-0938</t>
  </si>
  <si>
    <t>BURBANK HEIGHTS AND ORCHARDS</t>
  </si>
  <si>
    <t xml:space="preserve">7777 BODEGA AVE </t>
  </si>
  <si>
    <t>SEBASTOPOL</t>
  </si>
  <si>
    <t>707 823136</t>
  </si>
  <si>
    <t>OPENHOUSE</t>
  </si>
  <si>
    <t xml:space="preserve">65 LAGUNA ST </t>
  </si>
  <si>
    <t>415 813371</t>
  </si>
  <si>
    <t>SHERMAN WAY SENIOR HOUSING</t>
  </si>
  <si>
    <t xml:space="preserve">15864 SHERMAN WAY </t>
  </si>
  <si>
    <t>VAN NUYS</t>
  </si>
  <si>
    <t>91406-4078</t>
  </si>
  <si>
    <t>(818) 785-9765</t>
  </si>
  <si>
    <t>SHERMAN OAKS SENIOR HSNG</t>
  </si>
  <si>
    <t xml:space="preserve">14567 DICKENS ST </t>
  </si>
  <si>
    <t>SHERMAN OAKS</t>
  </si>
  <si>
    <t>91403-3711</t>
  </si>
  <si>
    <t>(818) 986-9515</t>
  </si>
  <si>
    <t>PICO WOOSTER SENIOR HOUSING AKA LOS ANGELES S</t>
  </si>
  <si>
    <t xml:space="preserve">1425 S WOOSTER ST </t>
  </si>
  <si>
    <t>90035-3456</t>
  </si>
  <si>
    <t>(310) 271-9670</t>
  </si>
  <si>
    <t>RAINBOW RETIREMENT COMMUNITY</t>
  </si>
  <si>
    <t xml:space="preserve">101 S AVENUE Q </t>
  </si>
  <si>
    <t>76634-1861</t>
  </si>
  <si>
    <t>HOSPICE SUNSET</t>
  </si>
  <si>
    <t xml:space="preserve">113 S AVENUE D </t>
  </si>
  <si>
    <t>76634-2228</t>
  </si>
  <si>
    <t>(254) 675-3391</t>
  </si>
  <si>
    <t>EDGEMERE</t>
  </si>
  <si>
    <t xml:space="preserve">8523 THACKERY ST </t>
  </si>
  <si>
    <t>75225-3903</t>
  </si>
  <si>
    <t>(214) 615-7035</t>
  </si>
  <si>
    <t>TAYLOR APARTMENTS</t>
  </si>
  <si>
    <t xml:space="preserve">6701 CHESTER AVE </t>
  </si>
  <si>
    <t>32217-2208</t>
  </si>
  <si>
    <t>(904) 731-0579</t>
  </si>
  <si>
    <t>COLLEGE PARK TOWERS I - ORLANDO - FL</t>
  </si>
  <si>
    <t xml:space="preserve">5200 EGGLESTON AVE </t>
  </si>
  <si>
    <t>32810-5300</t>
  </si>
  <si>
    <t>(407) 291-1542</t>
  </si>
  <si>
    <t>TERRACE AT LOS ALTOS</t>
  </si>
  <si>
    <t xml:space="preserve">373 PINE LN </t>
  </si>
  <si>
    <t>LOS ALTOS</t>
  </si>
  <si>
    <t>650-948-8291</t>
  </si>
  <si>
    <t>GARDENS (THE)</t>
  </si>
  <si>
    <t xml:space="preserve">333 MONTEREY RD </t>
  </si>
  <si>
    <t>417-889-7600</t>
  </si>
  <si>
    <t>EL BETHEL ARMS</t>
  </si>
  <si>
    <t xml:space="preserve">1234 MCALLISTER ST </t>
  </si>
  <si>
    <t>PALM HARBOR APARTMENTS</t>
  </si>
  <si>
    <t xml:space="preserve">1081 PALM AVE </t>
  </si>
  <si>
    <t>NORTH FORT MYERS</t>
  </si>
  <si>
    <t>33903-4339</t>
  </si>
  <si>
    <t>(239) 995-2600</t>
  </si>
  <si>
    <t>COURTNEY (THE)</t>
  </si>
  <si>
    <t xml:space="preserve">699 HABEN BLVD APT 107 </t>
  </si>
  <si>
    <t>PALMETTO</t>
  </si>
  <si>
    <t>34221-7103</t>
  </si>
  <si>
    <t>(941) 722-5119</t>
  </si>
  <si>
    <t>RIVERSIDE PARK</t>
  </si>
  <si>
    <t xml:space="preserve">750 OAK ST </t>
  </si>
  <si>
    <t>32204-3344</t>
  </si>
  <si>
    <t>(904) 356-9884</t>
  </si>
  <si>
    <t>PRAIRIE SUNSET HOME</t>
  </si>
  <si>
    <t xml:space="preserve">601 E MAIN ST </t>
  </si>
  <si>
    <t>PRETTY PRAIRIE</t>
  </si>
  <si>
    <t>67570-9202</t>
  </si>
  <si>
    <t>(620) 459-6822</t>
  </si>
  <si>
    <t>MOUNDRIDGE MANOR</t>
  </si>
  <si>
    <t xml:space="preserve">710 N CHRISTIAN AVE </t>
  </si>
  <si>
    <t>67107-8802</t>
  </si>
  <si>
    <t>(620) 345-6364</t>
  </si>
  <si>
    <t>KANSAS ASSOCIATION OF HOMES &amp;</t>
  </si>
  <si>
    <t xml:space="preserve">217 SE 8TH AVE </t>
  </si>
  <si>
    <t>66603-3906</t>
  </si>
  <si>
    <t>(785) 233-7443</t>
  </si>
  <si>
    <t>DODGE CITY SENIOR CENTER</t>
  </si>
  <si>
    <t xml:space="preserve">2408 CENTRAL </t>
  </si>
  <si>
    <t>DODGE CITY</t>
  </si>
  <si>
    <t>CHERRY VILLAGE BENEVOLENCE INC</t>
  </si>
  <si>
    <t xml:space="preserve">1401 CHERRY LN </t>
  </si>
  <si>
    <t>(620) 792-2165</t>
  </si>
  <si>
    <t>ROOKS COUNTY SENIOR SERVICES</t>
  </si>
  <si>
    <t xml:space="preserve">1000 S WASHINGTON ST </t>
  </si>
  <si>
    <t>PLAINVILLE</t>
  </si>
  <si>
    <t>67663-3608</t>
  </si>
  <si>
    <t>(785) 434-4536</t>
  </si>
  <si>
    <t>NORTH FLORIDA RETIREMENT VILLAGE INC</t>
  </si>
  <si>
    <t xml:space="preserve">8000 NW 27TH BLVD </t>
  </si>
  <si>
    <t>32606-8633</t>
  </si>
  <si>
    <t>(352) 373-4032</t>
  </si>
  <si>
    <t>JOHN KNOX HOUSING INC</t>
  </si>
  <si>
    <t xml:space="preserve">1035 ARLINGTON AVE N </t>
  </si>
  <si>
    <t>PETERSBURG</t>
  </si>
  <si>
    <t>(727) 896-5148</t>
  </si>
  <si>
    <t>OAK LEAF LANDING</t>
  </si>
  <si>
    <t xml:space="preserve">2350 N CENTRAL AVE </t>
  </si>
  <si>
    <t>34741-2376</t>
  </si>
  <si>
    <t>(407) 891-1467</t>
  </si>
  <si>
    <t>KISSIMMEE OAK LEAF LANDINGS PHASE II</t>
  </si>
  <si>
    <t>MEASE ASSISTED LIVING (ALF)</t>
  </si>
  <si>
    <t xml:space="preserve">700 MEASE PLAZA </t>
  </si>
  <si>
    <t>DUNEDIN</t>
  </si>
  <si>
    <t>34698-6616</t>
  </si>
  <si>
    <t>RIVER GARDEN SENIOR SERVICES</t>
  </si>
  <si>
    <t xml:space="preserve">11401 OLD SAINT AUGUSTINE RD </t>
  </si>
  <si>
    <t>32258-1402</t>
  </si>
  <si>
    <t>MEASE CONTINUING CARE</t>
  </si>
  <si>
    <t xml:space="preserve">910 NEW YORK AVE </t>
  </si>
  <si>
    <t>34698-6600</t>
  </si>
  <si>
    <t>(727) 738-3000</t>
  </si>
  <si>
    <t>VICARS LANDING</t>
  </si>
  <si>
    <t xml:space="preserve">1003 YORK RD </t>
  </si>
  <si>
    <t>32082-3116</t>
  </si>
  <si>
    <t>ARCHBISHOP CARROLL MANOR INC</t>
  </si>
  <si>
    <t xml:space="preserve">3667 S MIAMI AVE </t>
  </si>
  <si>
    <t>33133-4239</t>
  </si>
  <si>
    <t>(305) 854-8953</t>
  </si>
  <si>
    <t>MADISON AVENUE SENIOR HOUSING</t>
  </si>
  <si>
    <t xml:space="preserve">1151 N MADISON AVE </t>
  </si>
  <si>
    <t>(323) 906-0249</t>
  </si>
  <si>
    <t>OCEAN VIEW PLAZA FOUNDATION</t>
  </si>
  <si>
    <t xml:space="preserve">1001 MAIN ST STE 107-S </t>
  </si>
  <si>
    <t>HALF MOON BAY</t>
  </si>
  <si>
    <t>94019-2165</t>
  </si>
  <si>
    <t>(650) 726-5863</t>
  </si>
  <si>
    <t>EVENING STAR VILLA</t>
  </si>
  <si>
    <t xml:space="preserve">11800 S GLEN DR </t>
  </si>
  <si>
    <t>77099-2502</t>
  </si>
  <si>
    <t>(281) 498-7758</t>
  </si>
  <si>
    <t>EDEN PLACE</t>
  </si>
  <si>
    <t xml:space="preserve">1220 JEFFERSON AVE </t>
  </si>
  <si>
    <t>78155-5934</t>
  </si>
  <si>
    <t>MIRADOR</t>
  </si>
  <si>
    <t xml:space="preserve">5857 TIMBERGATE DR </t>
  </si>
  <si>
    <t>(866) 579-6224</t>
  </si>
  <si>
    <t>MARLTON MANOR</t>
  </si>
  <si>
    <t xml:space="preserve">240 JONES ST </t>
  </si>
  <si>
    <t>94102-2614</t>
  </si>
  <si>
    <t>(415) 885-0361</t>
  </si>
  <si>
    <t>MIRACLE MILE SENIOR HOUSING AKA MASSELIN SENI</t>
  </si>
  <si>
    <t xml:space="preserve">404 S COCHRAN AVE </t>
  </si>
  <si>
    <t>90036-3386</t>
  </si>
  <si>
    <t>(323) 549-0328</t>
  </si>
  <si>
    <t>SAN JOSE MANOR - JACKSONVILLE - FL</t>
  </si>
  <si>
    <t xml:space="preserve">3630 GALICIA RD </t>
  </si>
  <si>
    <t>(904) 739-0555</t>
  </si>
  <si>
    <t>LOS ANGELES JEWISH HOME</t>
  </si>
  <si>
    <t xml:space="preserve">7150 TAMPA AVE </t>
  </si>
  <si>
    <t>VALLEY VISTA SENIOR APTS</t>
  </si>
  <si>
    <t xml:space="preserve">20503 SAN RAMON VALLEY BLVD </t>
  </si>
  <si>
    <t>925-924-7162</t>
  </si>
  <si>
    <t>TOWER PARK APTS</t>
  </si>
  <si>
    <t xml:space="preserve">701 17TH ST </t>
  </si>
  <si>
    <t>209-236-7070</t>
  </si>
  <si>
    <t>PIEDMONT GARDENS RETIREMENT COMMUNITY</t>
  </si>
  <si>
    <t xml:space="preserve">110 41ST ST </t>
  </si>
  <si>
    <t>510-596-2600</t>
  </si>
  <si>
    <t>LESLEY GARDENS</t>
  </si>
  <si>
    <t xml:space="preserve">701 ARNOLD WAY </t>
  </si>
  <si>
    <t>94019-2199</t>
  </si>
  <si>
    <t>(650)-726-2741</t>
  </si>
  <si>
    <t>PLEASANTON GARDENS</t>
  </si>
  <si>
    <t xml:space="preserve">251 KOTTINGER DR </t>
  </si>
  <si>
    <t>925-846-3050</t>
  </si>
  <si>
    <t>OTTO GRUBER HOUSE (THE)</t>
  </si>
  <si>
    <t xml:space="preserve">143 S ISABEL ST </t>
  </si>
  <si>
    <t>818-291-9060</t>
  </si>
  <si>
    <t>OAK KNOLLS HAVEN</t>
  </si>
  <si>
    <t xml:space="preserve">4845 S BRADLEY RD </t>
  </si>
  <si>
    <t>SANTA MARIA</t>
  </si>
  <si>
    <t>805-934-2027</t>
  </si>
  <si>
    <t>LARNED SENIOR CENTER</t>
  </si>
  <si>
    <t xml:space="preserve">113 W 4TH ST </t>
  </si>
  <si>
    <t>LARNED</t>
  </si>
  <si>
    <t>67550-3517</t>
  </si>
  <si>
    <t>SARASOTA BAY CLUB</t>
  </si>
  <si>
    <t xml:space="preserve">1301 N TAMIAMI TRL </t>
  </si>
  <si>
    <t>34236-2402</t>
  </si>
  <si>
    <t>HURLEY HALL</t>
  </si>
  <si>
    <t xml:space="preserve">632 NW 1ST ST </t>
  </si>
  <si>
    <t>HALLANDALE BEACH</t>
  </si>
  <si>
    <t>33009-4142</t>
  </si>
  <si>
    <t>(954) 454-0855</t>
  </si>
  <si>
    <t>ST MONICA GARDENS INC</t>
  </si>
  <si>
    <t xml:space="preserve">3425 NW 189TH ST </t>
  </si>
  <si>
    <t>MIAMI GARDENS</t>
  </si>
  <si>
    <t>33056-2912</t>
  </si>
  <si>
    <t>(305) 628-2500</t>
  </si>
  <si>
    <t>COVENANT MANOR</t>
  </si>
  <si>
    <t xml:space="preserve">600 E 4TH ST </t>
  </si>
  <si>
    <t>562-435-1804</t>
  </si>
  <si>
    <t>CASA DE LA PALOMA</t>
  </si>
  <si>
    <t xml:space="preserve">133 S KENWOOD ST </t>
  </si>
  <si>
    <t>91205-1038</t>
  </si>
  <si>
    <t>(818) 243-0337</t>
  </si>
  <si>
    <t>ECHO PARK SENIOR HOUSING</t>
  </si>
  <si>
    <t xml:space="preserve">1727 MORTON AVE </t>
  </si>
  <si>
    <t>90026-2697</t>
  </si>
  <si>
    <t>(213) 250-5310</t>
  </si>
  <si>
    <t>MASONIC HOMES OF CALIFORNIA</t>
  </si>
  <si>
    <t xml:space="preserve">1111 CALIFORNIA ST </t>
  </si>
  <si>
    <t>94108-2252</t>
  </si>
  <si>
    <t>(510) 471-3435</t>
  </si>
  <si>
    <t>GRANCELL VILLAGE</t>
  </si>
  <si>
    <t>FOREST HILL MANOR</t>
  </si>
  <si>
    <t xml:space="preserve">551 GIBSON AVE </t>
  </si>
  <si>
    <t>(831) 657-5200</t>
  </si>
  <si>
    <t>ANCHIN ASSISTED LIVING &amp; MEMORY CARE ALF</t>
  </si>
  <si>
    <t xml:space="preserve">1959 N HONORE AVE </t>
  </si>
  <si>
    <t>(941) 379-3553</t>
  </si>
  <si>
    <t>HIGHLANDS MANOR</t>
  </si>
  <si>
    <t xml:space="preserve">956 DERBYSHIRE RD </t>
  </si>
  <si>
    <t>32117-2942</t>
  </si>
  <si>
    <t>(386) 248-1556</t>
  </si>
  <si>
    <t>EL CENTRO</t>
  </si>
  <si>
    <t xml:space="preserve">515 &amp; 579-581 PARK AVE </t>
  </si>
  <si>
    <t>92243-5113</t>
  </si>
  <si>
    <t>(760) 370-0635</t>
  </si>
  <si>
    <t>WESLEY GARDENS</t>
  </si>
  <si>
    <t xml:space="preserve">3 UPTON PARK </t>
  </si>
  <si>
    <t>14607-1500</t>
  </si>
  <si>
    <t>(585) 241-2101</t>
  </si>
  <si>
    <t>RUBY WESTON MANOR</t>
  </si>
  <si>
    <t xml:space="preserve">2237 LINDEN BLVD </t>
  </si>
  <si>
    <t>11207-7527</t>
  </si>
  <si>
    <t>(718) 649-7000</t>
  </si>
  <si>
    <t>PLEASANT VALLEY INFIRMARY</t>
  </si>
  <si>
    <t xml:space="preserve">4573 STATE ROUTE 40 </t>
  </si>
  <si>
    <t>ARGYLE</t>
  </si>
  <si>
    <t>12809-3474</t>
  </si>
  <si>
    <t>(518) 638-8274</t>
  </si>
  <si>
    <t>PARTRIDGE KNOLL - UNITED HELPERS</t>
  </si>
  <si>
    <t xml:space="preserve">30 SULLIVAN DR </t>
  </si>
  <si>
    <t>13617-2301</t>
  </si>
  <si>
    <t>MT CARMEL GARDENS INC</t>
  </si>
  <si>
    <t xml:space="preserve">5846 MOUNT CARMEL TER </t>
  </si>
  <si>
    <t>32216-4918</t>
  </si>
  <si>
    <t>(904) 733-6696</t>
  </si>
  <si>
    <t>CASA SAN PABLO</t>
  </si>
  <si>
    <t xml:space="preserve">401 N RIDGEWOOD AVE </t>
  </si>
  <si>
    <t>32114-7516</t>
  </si>
  <si>
    <t>(386) 253-2828</t>
  </si>
  <si>
    <t>FEDERATION GARDENS</t>
  </si>
  <si>
    <t xml:space="preserve">10905 SW 112TH AVE </t>
  </si>
  <si>
    <t>33176-3285</t>
  </si>
  <si>
    <t>(305) 279-1708</t>
  </si>
  <si>
    <t>AVIVA - A CAMPUS FOR SENIOR LIFE</t>
  </si>
  <si>
    <t>EAST RIDGE RETIREMENT VILLAGE</t>
  </si>
  <si>
    <t xml:space="preserve">19301 SW 87TH AVE </t>
  </si>
  <si>
    <t>33157-8904</t>
  </si>
  <si>
    <t>(305) 238-2623</t>
  </si>
  <si>
    <t>SHELTON PAUL M.D. INC.</t>
  </si>
  <si>
    <t xml:space="preserve">1300 E PACIFIC COAST HWY </t>
  </si>
  <si>
    <t>90744-2835</t>
  </si>
  <si>
    <t>(614) 457-6950</t>
  </si>
  <si>
    <t>HOME HEALTH</t>
  </si>
  <si>
    <t xml:space="preserve">6345 BALBOA BLVD STE 213 </t>
  </si>
  <si>
    <t>91316-1517</t>
  </si>
  <si>
    <t>PARK TOWERS</t>
  </si>
  <si>
    <t xml:space="preserve">700 LAUREL AVE </t>
  </si>
  <si>
    <t>94401-4176</t>
  </si>
  <si>
    <t>(650) 342-2051</t>
  </si>
  <si>
    <t>INNOVAGE - CALIFORNIA</t>
  </si>
  <si>
    <t xml:space="preserve">410 E PARKCENTER CIRCLE N </t>
  </si>
  <si>
    <t>WHITE SANDS OF LA JOLLA</t>
  </si>
  <si>
    <t xml:space="preserve">7450 OLIVETAS AVE </t>
  </si>
  <si>
    <t>LA JOLLA</t>
  </si>
  <si>
    <t>858-454-4201</t>
  </si>
  <si>
    <t>PLYMOUTH VILLAGE</t>
  </si>
  <si>
    <t xml:space="preserve">900 SALEM DR </t>
  </si>
  <si>
    <t>909-793-9195</t>
  </si>
  <si>
    <t>FRANKLIN HOUSE (THE)</t>
  </si>
  <si>
    <t xml:space="preserve">2400 KURT ST </t>
  </si>
  <si>
    <t>EUSTIS</t>
  </si>
  <si>
    <t>32726-6286</t>
  </si>
  <si>
    <t>(352) 483-1303</t>
  </si>
  <si>
    <t>SANDHILL COVE PROPERTIES INC.</t>
  </si>
  <si>
    <t xml:space="preserve">1500 SW CAPRI ST </t>
  </si>
  <si>
    <t>PALM CITY</t>
  </si>
  <si>
    <t>34990-4518</t>
  </si>
  <si>
    <t>(561) 283-7775</t>
  </si>
  <si>
    <t>MEADOWLARK HILLS RETIREMENT COMMUNITY</t>
  </si>
  <si>
    <t xml:space="preserve">2121 MEADOWLARK RD </t>
  </si>
  <si>
    <t>66502-4521</t>
  </si>
  <si>
    <t>(785) 537-4610</t>
  </si>
  <si>
    <t>LEONARDVILLE NURSING HOME INC.</t>
  </si>
  <si>
    <t xml:space="preserve">409 W BARTON </t>
  </si>
  <si>
    <t>LEONARDVILLE</t>
  </si>
  <si>
    <t>(785) 293-5244</t>
  </si>
  <si>
    <t>STEEL PLAZA</t>
  </si>
  <si>
    <t xml:space="preserve">1711 W 3RD ST </t>
  </si>
  <si>
    <t>90017-1162</t>
  </si>
  <si>
    <t>(213) 484-8553</t>
  </si>
  <si>
    <t>AMISTAD HOUSE APTS</t>
  </si>
  <si>
    <t xml:space="preserve">2050 DELAWARE ST </t>
  </si>
  <si>
    <t>510 548518</t>
  </si>
  <si>
    <t>BETHANY CENTER SENIOR HOUSING INC.</t>
  </si>
  <si>
    <t xml:space="preserve">580 CAPP ST </t>
  </si>
  <si>
    <t>415 821451</t>
  </si>
  <si>
    <t>THE LODGES COMPANY</t>
  </si>
  <si>
    <t xml:space="preserve">5775 WAYZATA BLVD STE 770 </t>
  </si>
  <si>
    <t>(952) 222-3395</t>
  </si>
  <si>
    <t>STUART CO</t>
  </si>
  <si>
    <t xml:space="preserve">1000 W 80TH ST </t>
  </si>
  <si>
    <t>MARYLAND PARK</t>
  </si>
  <si>
    <t xml:space="preserve">1619 MARYLAND AVE E </t>
  </si>
  <si>
    <t>55106-2974</t>
  </si>
  <si>
    <t>RIVER GARDEN HEBREW HOME FOR THE AGED</t>
  </si>
  <si>
    <t>(904) 886-8411</t>
  </si>
  <si>
    <t>RESERVE AT INDIAN HILL (THE)</t>
  </si>
  <si>
    <t xml:space="preserve">5206 INDIAN HILL RD </t>
  </si>
  <si>
    <t>32808-2816</t>
  </si>
  <si>
    <t>(407) 299-0355</t>
  </si>
  <si>
    <t>ROBERT SHARP TOWERS II</t>
  </si>
  <si>
    <t xml:space="preserve">115 NW 202ND TER </t>
  </si>
  <si>
    <t>33169-2647</t>
  </si>
  <si>
    <t>(305) 652-1772</t>
  </si>
  <si>
    <t>BRANDMAN CENTERS FOR SENIOR CARE</t>
  </si>
  <si>
    <t>LAKESIDE TERRACE</t>
  </si>
  <si>
    <t xml:space="preserve">1100 HARRISON ST </t>
  </si>
  <si>
    <t>66534-1633</t>
  </si>
  <si>
    <t>BETHESDA HOME</t>
  </si>
  <si>
    <t xml:space="preserve">400 E MAIN ST </t>
  </si>
  <si>
    <t>GOESSEL</t>
  </si>
  <si>
    <t>(620) 367-2291</t>
  </si>
  <si>
    <t>VALLE VERDE RETIREMENT COMMUNITY</t>
  </si>
  <si>
    <t xml:space="preserve">900 CALLE DE LOS AMIGOS </t>
  </si>
  <si>
    <t>800-750-5023</t>
  </si>
  <si>
    <t>HADLEY VILLAS</t>
  </si>
  <si>
    <t xml:space="preserve">78-875 AVE 47 </t>
  </si>
  <si>
    <t>LA QUINTA</t>
  </si>
  <si>
    <t>760-777-4631</t>
  </si>
  <si>
    <t>MONTECEDRO</t>
  </si>
  <si>
    <t xml:space="preserve">153 E HOLLY ST </t>
  </si>
  <si>
    <t>91103-3910</t>
  </si>
  <si>
    <t>626-788-4900</t>
  </si>
  <si>
    <t>ST JOHNS MANOR</t>
  </si>
  <si>
    <t xml:space="preserve">2031 ORANGE AVE </t>
  </si>
  <si>
    <t>COSTA MESA</t>
  </si>
  <si>
    <t>92627-7139</t>
  </si>
  <si>
    <t>(949) 645-3728</t>
  </si>
  <si>
    <t>SHIRES MEMORIAL CENTER</t>
  </si>
  <si>
    <t xml:space="preserve">180 N 4TH ST </t>
  </si>
  <si>
    <t>925 956740</t>
  </si>
  <si>
    <t>WESTLAKE CHRISTIAN TERRACE - WEST</t>
  </si>
  <si>
    <t xml:space="preserve">275 28TH ST </t>
  </si>
  <si>
    <t>510 893299</t>
  </si>
  <si>
    <t>AYERS HEALTH &amp; REHABILITATION CENTER</t>
  </si>
  <si>
    <t xml:space="preserve">606 NE 7TH ST </t>
  </si>
  <si>
    <t>TRENTON</t>
  </si>
  <si>
    <t>32693-3636</t>
  </si>
  <si>
    <t>(352) 463-7101</t>
  </si>
  <si>
    <t>PABLO TOWERS</t>
  </si>
  <si>
    <t xml:space="preserve">115 THIRD ST S </t>
  </si>
  <si>
    <t>32250-6800</t>
  </si>
  <si>
    <t>(904) 249-3866</t>
  </si>
  <si>
    <t>LIVINGSTON COUNTY NURSING-LIVINGSTON CAMPUS</t>
  </si>
  <si>
    <t xml:space="preserve">11 MURRAY HILL DR </t>
  </si>
  <si>
    <t>14510-1153</t>
  </si>
  <si>
    <t>(585) 243-7800</t>
  </si>
  <si>
    <t>ELDERLY HOUSING MANAGEMENT CORPORATION</t>
  </si>
  <si>
    <t>MILDRED &amp; CLAUDE PEPPER TOWERS</t>
  </si>
  <si>
    <t xml:space="preserve">2350 NW 54TH ST </t>
  </si>
  <si>
    <t>33142-2964</t>
  </si>
  <si>
    <t>(305) 635-6494</t>
  </si>
  <si>
    <t>KINNERET APARTMENTS I &amp; II</t>
  </si>
  <si>
    <t xml:space="preserve">515 DELANEY AVE </t>
  </si>
  <si>
    <t>32801-3820</t>
  </si>
  <si>
    <t>(407) 425-4537</t>
  </si>
  <si>
    <t>ACV COMMUNITY SERVICES</t>
  </si>
  <si>
    <t xml:space="preserve">10676 MARVIN JONES BLVD </t>
  </si>
  <si>
    <t>386-658-5550</t>
  </si>
  <si>
    <t>WHEATRIDGE MANOR CARE CENTER</t>
  </si>
  <si>
    <t xml:space="preserve">2920 FENTON ST </t>
  </si>
  <si>
    <t>WHEAT RIDGE</t>
  </si>
  <si>
    <t>VALLEY VIEW NURSING HOME</t>
  </si>
  <si>
    <t xml:space="preserve">510 E CEDAR ST PO BOX 98 </t>
  </si>
  <si>
    <t>55943-0098</t>
  </si>
  <si>
    <t>PARKSIDE AT MEDICINE LAKE</t>
  </si>
  <si>
    <t xml:space="preserve">12105 41ST AVE N BLDG A </t>
  </si>
  <si>
    <t>55441-1200</t>
  </si>
  <si>
    <t>ONE SOUTHDALE PLACE</t>
  </si>
  <si>
    <t xml:space="preserve">6800 YORK AVE S </t>
  </si>
  <si>
    <t>EDINA</t>
  </si>
  <si>
    <t>55435-2513</t>
  </si>
  <si>
    <t>HOPKINS PLAZA</t>
  </si>
  <si>
    <t xml:space="preserve">151 8TH AVE S </t>
  </si>
  <si>
    <t>55343-7685</t>
  </si>
  <si>
    <t>CARVER LAKE</t>
  </si>
  <si>
    <t xml:space="preserve">6201 TAHOE RD </t>
  </si>
  <si>
    <t>KANSAS MASONIC HOME</t>
  </si>
  <si>
    <t xml:space="preserve">402 SOUTH MARTINSON </t>
  </si>
  <si>
    <t>316-269-7650</t>
  </si>
  <si>
    <t>GREENSBURG SENIOR CENTER</t>
  </si>
  <si>
    <t xml:space="preserve">431 S MAIN ST </t>
  </si>
  <si>
    <t>67054-1500</t>
  </si>
  <si>
    <t>GREAT BEND SENIOR CENTER</t>
  </si>
  <si>
    <t xml:space="preserve">2005 KANSAS AVE </t>
  </si>
  <si>
    <t>67530-2513</t>
  </si>
  <si>
    <t>GOVE COUNTY MEDICAL CENTER</t>
  </si>
  <si>
    <t xml:space="preserve">520 W 5TH ST </t>
  </si>
  <si>
    <t>QUINTER</t>
  </si>
  <si>
    <t>67752-9705</t>
  </si>
  <si>
    <t>(785) 754-3341</t>
  </si>
  <si>
    <t>ADDA &amp; PAUL SAFRAN SENIOR HOUISING</t>
  </si>
  <si>
    <t xml:space="preserve">151 OCEAN FRONT WALK </t>
  </si>
  <si>
    <t>310-450-9545</t>
  </si>
  <si>
    <t>SPECTRUM COMMUNITY HEALTH - ST CLOUD</t>
  </si>
  <si>
    <t xml:space="preserve">22 WILSON AVE NE STE 117 </t>
  </si>
  <si>
    <t>56304-0440</t>
  </si>
  <si>
    <t>TIMBER HILLS</t>
  </si>
  <si>
    <t xml:space="preserve">6307 BURNHAM CIR </t>
  </si>
  <si>
    <t>55076-1666</t>
  </si>
  <si>
    <t>(651) 552-2800</t>
  </si>
  <si>
    <t>GOOD SAMARITAN SOCIETY TOWERS-AND COLLEGE WAY</t>
  </si>
  <si>
    <t xml:space="preserve">1425 E COLLEGE WAY </t>
  </si>
  <si>
    <t>66062-1715</t>
  </si>
  <si>
    <t>(913) 782-6131</t>
  </si>
  <si>
    <t>FRIENDS OF KANSAS CHRISTIAN HOME</t>
  </si>
  <si>
    <t xml:space="preserve">1035 SE 3RD ST </t>
  </si>
  <si>
    <t>(316) 283-6600</t>
  </si>
  <si>
    <t>WESTMINISTER GARDENS</t>
  </si>
  <si>
    <t xml:space="preserve">1420 SANTO DOMINGO AVE </t>
  </si>
  <si>
    <t>DUARTE</t>
  </si>
  <si>
    <t>91010-2632</t>
  </si>
  <si>
    <t>(626) 358-2569</t>
  </si>
  <si>
    <t>L-C- HOTCHKISS TERRACE</t>
  </si>
  <si>
    <t xml:space="preserve">51 BARSTOW AVE </t>
  </si>
  <si>
    <t>93612-2280</t>
  </si>
  <si>
    <t>(559) 299-2263</t>
  </si>
  <si>
    <t>CLARK TERRACE II</t>
  </si>
  <si>
    <t xml:space="preserve">2680 CLARK AVE </t>
  </si>
  <si>
    <t>NORCO</t>
  </si>
  <si>
    <t>951-738-9094</t>
  </si>
  <si>
    <t>ST PAULS TOWERS</t>
  </si>
  <si>
    <t xml:space="preserve">100 BAY PL </t>
  </si>
  <si>
    <t>510 835470</t>
  </si>
  <si>
    <t>RUSSIAN JACK MANOR</t>
  </si>
  <si>
    <t xml:space="preserve">1260 DELASALA PL </t>
  </si>
  <si>
    <t>ANCHORAGE</t>
  </si>
  <si>
    <t>907 332408</t>
  </si>
  <si>
    <t>MENNO HAVEN MENNO VILLAGE</t>
  </si>
  <si>
    <t xml:space="preserve">2075 SCOTLAND AVE </t>
  </si>
  <si>
    <t>17201-1499</t>
  </si>
  <si>
    <t>ST DOMINIC GARDENS</t>
  </si>
  <si>
    <t xml:space="preserve">5849 NW 7TH ST </t>
  </si>
  <si>
    <t>33126-3100</t>
  </si>
  <si>
    <t>(305) 262-0962</t>
  </si>
  <si>
    <t>EATON TERRACE RESIDENCES</t>
  </si>
  <si>
    <t>303 937300</t>
  </si>
  <si>
    <t>CHRISTOPHER HOUSE REHABILITATION &amp; CARE COMMU</t>
  </si>
  <si>
    <t xml:space="preserve">6270 W 38TH AVE </t>
  </si>
  <si>
    <t>GRAND VIEW APARTMENT</t>
  </si>
  <si>
    <t xml:space="preserve">1501 N 1ST ST </t>
  </si>
  <si>
    <t>GRAND JUNCTION</t>
  </si>
  <si>
    <t>970 256989</t>
  </si>
  <si>
    <t>UNITED HELPERS CEDAR NURSING HOME</t>
  </si>
  <si>
    <t xml:space="preserve">6695 STATE HWY 37 </t>
  </si>
  <si>
    <t>ST. MARGARET'S HOUSE</t>
  </si>
  <si>
    <t xml:space="preserve">49 FULTON ST </t>
  </si>
  <si>
    <t>10038-1836</t>
  </si>
  <si>
    <t>(212) 766-8122</t>
  </si>
  <si>
    <t>THE CANTERBURY</t>
  </si>
  <si>
    <t xml:space="preserve">5801 CRESTRIDGE RD </t>
  </si>
  <si>
    <t>RANCHO PALO VERDES</t>
  </si>
  <si>
    <t>(310) 541-2410</t>
  </si>
  <si>
    <t>WEBSTER HOUSE</t>
  </si>
  <si>
    <t xml:space="preserve">401 WEBSTER ST </t>
  </si>
  <si>
    <t>650 327433</t>
  </si>
  <si>
    <t>ECUMENICAL VILLAGE</t>
  </si>
  <si>
    <t xml:space="preserve">217 W JACKSON AVE </t>
  </si>
  <si>
    <t>WEST MEMPHIS</t>
  </si>
  <si>
    <t>870 735111</t>
  </si>
  <si>
    <t>THE FIELDS OF WASHINGTON COUNTY - RCAC</t>
  </si>
  <si>
    <t xml:space="preserve">675 E WASHINGTON ST </t>
  </si>
  <si>
    <t>WEST BEND</t>
  </si>
  <si>
    <t>53095-2621</t>
  </si>
  <si>
    <t>GREENFIELD I AND II</t>
  </si>
  <si>
    <t xml:space="preserve">920 FEITL COURT </t>
  </si>
  <si>
    <t>FAIRACRES MANOR</t>
  </si>
  <si>
    <t xml:space="preserve">1700 18TH AVE </t>
  </si>
  <si>
    <t>GREELEY</t>
  </si>
  <si>
    <t>RIVER HILLS</t>
  </si>
  <si>
    <t xml:space="preserve">1545 RIVER HILLS PKWY NW </t>
  </si>
  <si>
    <t>55008-3738</t>
  </si>
  <si>
    <t>(763) 689-1474</t>
  </si>
  <si>
    <t>FARMSTEAD COTTAGES</t>
  </si>
  <si>
    <t xml:space="preserve">13733 QUAY ST NW </t>
  </si>
  <si>
    <t>55304-3620</t>
  </si>
  <si>
    <t>(763) 712-7000</t>
  </si>
  <si>
    <t>SISTER THEA BOWMAN MANOR</t>
  </si>
  <si>
    <t xml:space="preserve">6400 SAN PABLO AVE </t>
  </si>
  <si>
    <t>510 420880</t>
  </si>
  <si>
    <t>COMMODORE PARK PLAZA</t>
  </si>
  <si>
    <t xml:space="preserve">10415 JAMESTOWN DR </t>
  </si>
  <si>
    <t>907 552800</t>
  </si>
  <si>
    <t>ST LUKE COMMUNITY HOSPITAL &amp; NURSING HOME</t>
  </si>
  <si>
    <t xml:space="preserve">107 6TH AVE SW </t>
  </si>
  <si>
    <t>RONAN</t>
  </si>
  <si>
    <t>406 676444</t>
  </si>
  <si>
    <t>MISSOULA MANOR HOMES</t>
  </si>
  <si>
    <t xml:space="preserve">909 W CENTRAL AVE </t>
  </si>
  <si>
    <t>MISSOULA</t>
  </si>
  <si>
    <t>406 728321</t>
  </si>
  <si>
    <t>MASONIC VILLAGE AT SEWICKLEY</t>
  </si>
  <si>
    <t xml:space="preserve">1000 MASONIC DR </t>
  </si>
  <si>
    <t>(412) 741-1400</t>
  </si>
  <si>
    <t>WILLOW TOWERS</t>
  </si>
  <si>
    <t xml:space="preserve">355 PELHAM RD </t>
  </si>
  <si>
    <t>NEW ROCHELLE</t>
  </si>
  <si>
    <t>10805-2248</t>
  </si>
  <si>
    <t>WELLS NURSING HOME</t>
  </si>
  <si>
    <t xml:space="preserve">201 W MADISON AVE </t>
  </si>
  <si>
    <t>12095-2806</t>
  </si>
  <si>
    <t>(518) 762-4546</t>
  </si>
  <si>
    <t>VILLAGE NURSING HOME</t>
  </si>
  <si>
    <t xml:space="preserve">214 W HOUSTON ST </t>
  </si>
  <si>
    <t>10014-4846</t>
  </si>
  <si>
    <t>THE LODGE ON SUMMIT OAKS</t>
  </si>
  <si>
    <t xml:space="preserve">1412 SUMMIT OAKS DR </t>
  </si>
  <si>
    <t>55337-4744</t>
  </si>
  <si>
    <t>STERLING VILLAGE</t>
  </si>
  <si>
    <t xml:space="preserve">204 W WASHINGTON AVE </t>
  </si>
  <si>
    <t>67579-1614</t>
  </si>
  <si>
    <t>(620) 278-3651</t>
  </si>
  <si>
    <t>ASHTON MANOR</t>
  </si>
  <si>
    <t xml:space="preserve">270 ASHTON PLANTATION BLVD </t>
  </si>
  <si>
    <t>LULING</t>
  </si>
  <si>
    <t>70070-6249</t>
  </si>
  <si>
    <t>VILLAGE HEALTH CARE AT THE GLEN</t>
  </si>
  <si>
    <t xml:space="preserve">403 E FLOURNOY LUCAS RD </t>
  </si>
  <si>
    <t>71115-3906</t>
  </si>
  <si>
    <t>(318) 798-3500</t>
  </si>
  <si>
    <t>VISITING NURSE SERVICE OF NEW YORK</t>
  </si>
  <si>
    <t xml:space="preserve">5 PENN PLZ </t>
  </si>
  <si>
    <t>10001-1810</t>
  </si>
  <si>
    <t>(800) 675-0391</t>
  </si>
  <si>
    <t>FEDERATION GARDENS - BROWARD</t>
  </si>
  <si>
    <t xml:space="preserve">5701 SW 82ND AVE </t>
  </si>
  <si>
    <t>33328-6021</t>
  </si>
  <si>
    <t>(954) 434-9666</t>
  </si>
  <si>
    <t>PENINSULA REGENT (THE)</t>
  </si>
  <si>
    <t xml:space="preserve">1 BALDWIN AVE </t>
  </si>
  <si>
    <t>650 579550</t>
  </si>
  <si>
    <t>MEADOWS OF NAPA VALLEY (THE)</t>
  </si>
  <si>
    <t xml:space="preserve">1800 ATRIUM PKWY </t>
  </si>
  <si>
    <t>NAPA</t>
  </si>
  <si>
    <t>707 257788</t>
  </si>
  <si>
    <t>PARTHENIA STREET SENIOR HOUSING</t>
  </si>
  <si>
    <t xml:space="preserve">19455 PARTHENIA ST </t>
  </si>
  <si>
    <t>NORTHRIDGE</t>
  </si>
  <si>
    <t>91324-6700</t>
  </si>
  <si>
    <t>MENORAH TERRACE</t>
  </si>
  <si>
    <t xml:space="preserve">1123 N FULLER AVE </t>
  </si>
  <si>
    <t>WEST HOLLYWOOD</t>
  </si>
  <si>
    <t>90046-5764</t>
  </si>
  <si>
    <t>(323) 850-1225</t>
  </si>
  <si>
    <t>STONEHILL</t>
  </si>
  <si>
    <t xml:space="preserve">3501 XENIUM LN N </t>
  </si>
  <si>
    <t>55441-2212</t>
  </si>
  <si>
    <t>SHEPARD PARK PLAZA</t>
  </si>
  <si>
    <t xml:space="preserve">2353 YOUNGMAN AVE </t>
  </si>
  <si>
    <t>WEST WIND VILLAGE</t>
  </si>
  <si>
    <t xml:space="preserve">1001 SCOTTS AVE </t>
  </si>
  <si>
    <t>56267-1763</t>
  </si>
  <si>
    <t>(320) 589-1133</t>
  </si>
  <si>
    <t>CORNERSTONE AT RIDGE PLAZA</t>
  </si>
  <si>
    <t xml:space="preserve">3636 N RIDGE RD </t>
  </si>
  <si>
    <t>67205-1213</t>
  </si>
  <si>
    <t>(316) 462-3636</t>
  </si>
  <si>
    <t>FOURTH STREET SENIOR HOUSING</t>
  </si>
  <si>
    <t xml:space="preserve">1122 4TH ST </t>
  </si>
  <si>
    <t>(310) 917-5004</t>
  </si>
  <si>
    <t>BENDERSON SKILLED NURSING &amp; REHABILITATION</t>
  </si>
  <si>
    <t>THE TERRACES OF BONITA SPRINGS</t>
  </si>
  <si>
    <t xml:space="preserve">26455 S TAMIAMI TRL </t>
  </si>
  <si>
    <t>(239) 949-7555</t>
  </si>
  <si>
    <t>THE COVES AT RIVER GARDEN</t>
  </si>
  <si>
    <t xml:space="preserve">11501 OLD ST. AUGUSTINE ROAD </t>
  </si>
  <si>
    <t>32258-1404</t>
  </si>
  <si>
    <t>LAKELAND PRESBYTERIAN APARTMENTS INC</t>
  </si>
  <si>
    <t xml:space="preserve">530 S FLORIDA AVE </t>
  </si>
  <si>
    <t>(863) 688-4608</t>
  </si>
  <si>
    <t>SUMMERWOOD OF PLYMOUTH TERRACE</t>
  </si>
  <si>
    <t xml:space="preserve">16205 36TH AVE N </t>
  </si>
  <si>
    <t>55446-3374</t>
  </si>
  <si>
    <t>(763) 383-8888</t>
  </si>
  <si>
    <t>ST ANDREWS VILLAGE TERRACE</t>
  </si>
  <si>
    <t xml:space="preserve">240 EAST AVE </t>
  </si>
  <si>
    <t>MAHTOMEDI</t>
  </si>
  <si>
    <t>55115-2279</t>
  </si>
  <si>
    <t>(651) 762-4101</t>
  </si>
  <si>
    <t>VINDAUGA VIEW</t>
  </si>
  <si>
    <t xml:space="preserve">10910 282ND ST </t>
  </si>
  <si>
    <t>CHISAGO CITY</t>
  </si>
  <si>
    <t>(651) 257-7333</t>
  </si>
  <si>
    <t>EAST CENTRAL KANSAS AREA AGENCY ON AGING</t>
  </si>
  <si>
    <t xml:space="preserve">117 S. MAIN </t>
  </si>
  <si>
    <t>CORNERSTONE ASSTED LIVING</t>
  </si>
  <si>
    <t xml:space="preserve">1240 N BROADMOOR ST </t>
  </si>
  <si>
    <t>SCHERVIER NURSING CARE CENTER</t>
  </si>
  <si>
    <t xml:space="preserve">2975 INDEPENDENCE AVE </t>
  </si>
  <si>
    <t>10463-4620</t>
  </si>
  <si>
    <t>(718) 548-1700</t>
  </si>
  <si>
    <t>SAN SIMEONE BY THE SOUND</t>
  </si>
  <si>
    <t xml:space="preserve">61700 RT 48 </t>
  </si>
  <si>
    <t>GREENPORT</t>
  </si>
  <si>
    <t>NIAGARA LUTHERAN HOME &amp; REHAB CTR INC</t>
  </si>
  <si>
    <t xml:space="preserve">64 HAGER ST </t>
  </si>
  <si>
    <t>14208-1327</t>
  </si>
  <si>
    <t>(716) 886-4377</t>
  </si>
  <si>
    <t>NEW YORK CONGREGATIONAL NURSING</t>
  </si>
  <si>
    <t xml:space="preserve">135 LINDEN BOULEVARD </t>
  </si>
  <si>
    <t xml:space="preserve">(718) 284-0039 </t>
  </si>
  <si>
    <t>ST CLOUD VILLAS II</t>
  </si>
  <si>
    <t xml:space="preserve">4300 FORGET ME NOT CT </t>
  </si>
  <si>
    <t>34769-1671</t>
  </si>
  <si>
    <t>PSI MANDARIN CENTER</t>
  </si>
  <si>
    <t xml:space="preserve">3933 PRITMORE RD </t>
  </si>
  <si>
    <t>32257-7803</t>
  </si>
  <si>
    <t>(904) 268-6511</t>
  </si>
  <si>
    <t>CULVER CITY SENIOR HOUSING</t>
  </si>
  <si>
    <t xml:space="preserve">5166 SEPULVEDA BLVD </t>
  </si>
  <si>
    <t>CULVER CITY</t>
  </si>
  <si>
    <t>90230-5234</t>
  </si>
  <si>
    <t>(310) 390-2357</t>
  </si>
  <si>
    <t>FOUNTAIN VIEW AT GONDA WESTSIDE</t>
  </si>
  <si>
    <t xml:space="preserve">12490 WEST FIELDING CIR </t>
  </si>
  <si>
    <t>PLAYA VISTA</t>
  </si>
  <si>
    <t>424 216778</t>
  </si>
  <si>
    <t>FOUNTAI NVIEW AT EISENBERG VILLAGE</t>
  </si>
  <si>
    <t xml:space="preserve">6440 WILBUR AVENUE </t>
  </si>
  <si>
    <t>818 906622</t>
  </si>
  <si>
    <t>INNOVAGE-SACRAMENTO</t>
  </si>
  <si>
    <t xml:space="preserve">3870 ROSIN CT </t>
  </si>
  <si>
    <t>GENESSEE</t>
  </si>
  <si>
    <t xml:space="preserve">8055 PENN AVE S </t>
  </si>
  <si>
    <t>DEER RIDGE TOWNHOMES</t>
  </si>
  <si>
    <t>ROYAL VISTA TERRACE</t>
  </si>
  <si>
    <t xml:space="preserve">1310 ROYAL OAKS DR </t>
  </si>
  <si>
    <t>626-359-6717</t>
  </si>
  <si>
    <t>PARK PASEO</t>
  </si>
  <si>
    <t xml:space="preserve">123 S ISABEL ST </t>
  </si>
  <si>
    <t>818-502-1771</t>
  </si>
  <si>
    <t>WALKER ELDER SUITES</t>
  </si>
  <si>
    <t xml:space="preserve">7400 YORK AVE S </t>
  </si>
  <si>
    <t>55435-5628</t>
  </si>
  <si>
    <t>(952) 835-8351</t>
  </si>
  <si>
    <t>YORK PLAZA</t>
  </si>
  <si>
    <t xml:space="preserve">7230 YORK AVE S </t>
  </si>
  <si>
    <t>55435-4478</t>
  </si>
  <si>
    <t>EAGLE CREEK TOWNHOMES</t>
  </si>
  <si>
    <t xml:space="preserve">700 SARAZIN ST </t>
  </si>
  <si>
    <t>SHAKOPEE</t>
  </si>
  <si>
    <t>55379-4332</t>
  </si>
  <si>
    <t>ST FRANCIS HEALTH SERVICES OF MORRIS</t>
  </si>
  <si>
    <t xml:space="preserve">801 NEVADA AVE </t>
  </si>
  <si>
    <t>56267-1865</t>
  </si>
  <si>
    <t>(320) 589-2004</t>
  </si>
  <si>
    <t>GURWIN JEWISH NURSING &amp; REHAB CTR</t>
  </si>
  <si>
    <t xml:space="preserve">68 HAUPPAUGE RD </t>
  </si>
  <si>
    <t>COMMACK</t>
  </si>
  <si>
    <t>FLUSHING MANOR NURSING HOME AND LTH CARE</t>
  </si>
  <si>
    <t xml:space="preserve">3515 PARSONS BLVD </t>
  </si>
  <si>
    <t>11354-4236</t>
  </si>
  <si>
    <t>718-961-3500</t>
  </si>
  <si>
    <t>80TH STREET RESIDENCE</t>
  </si>
  <si>
    <t xml:space="preserve">430 E 80TH ST </t>
  </si>
  <si>
    <t>10075-1004</t>
  </si>
  <si>
    <t>(212) 717-8888</t>
  </si>
  <si>
    <t>CASTLE ARGYLE</t>
  </si>
  <si>
    <t xml:space="preserve">1919 ARGYLE AVE </t>
  </si>
  <si>
    <t>323 465208</t>
  </si>
  <si>
    <t>DINO PAPAVERO SENIOR CENTER</t>
  </si>
  <si>
    <t xml:space="preserve">16707 MARYGOLD AVE </t>
  </si>
  <si>
    <t>92335-6660</t>
  </si>
  <si>
    <t>(909) 350-0575</t>
  </si>
  <si>
    <t>SAVO ISLAND CO-OP</t>
  </si>
  <si>
    <t xml:space="preserve">2017 STUART ST </t>
  </si>
  <si>
    <t>510 841459</t>
  </si>
  <si>
    <t>INN OF CYPRESS COVE AT HEALTHPARK</t>
  </si>
  <si>
    <t xml:space="preserve">10300 CYPRESS COVE DR </t>
  </si>
  <si>
    <t>ST ANNES GARDENS INC</t>
  </si>
  <si>
    <t xml:space="preserve">11800 QUAIL ROOST DR </t>
  </si>
  <si>
    <t>33177-3966</t>
  </si>
  <si>
    <t>(305) 234-1994</t>
  </si>
  <si>
    <t>ARCHBISHOP MCCARTHY</t>
  </si>
  <si>
    <t xml:space="preserve">13201 NW 28TH AVE </t>
  </si>
  <si>
    <t>OPA LOCKA</t>
  </si>
  <si>
    <t>33054-4806</t>
  </si>
  <si>
    <t>(305) 688-2700</t>
  </si>
  <si>
    <t>SAN LORENZO TERRACE</t>
  </si>
  <si>
    <t xml:space="preserve">4815 N MACDILL AVE </t>
  </si>
  <si>
    <t>34209-3401</t>
  </si>
  <si>
    <t>AHEPA 421 APARTMENTS</t>
  </si>
  <si>
    <t xml:space="preserve">350 NE 141ST ST </t>
  </si>
  <si>
    <t>NORTH MIAMI</t>
  </si>
  <si>
    <t>33161-2861</t>
  </si>
  <si>
    <t>(305) 899-8587</t>
  </si>
  <si>
    <t>SENIORS' RESOURCE CENTER ADULT DAY &amp; RESPITE</t>
  </si>
  <si>
    <t xml:space="preserve">10001 W JEWELL AVE </t>
  </si>
  <si>
    <t>303 594474</t>
  </si>
  <si>
    <t>CALIFORNIA P.E.O. MARGUERITE GARDENS</t>
  </si>
  <si>
    <t xml:space="preserve">700 N STONEMAN AVE </t>
  </si>
  <si>
    <t>91801-1408</t>
  </si>
  <si>
    <t>(626) 300-3711</t>
  </si>
  <si>
    <t>WESTMINSTER COURT</t>
  </si>
  <si>
    <t xml:space="preserve">6850 FLORENCE AVE </t>
  </si>
  <si>
    <t>BELL GARDENS</t>
  </si>
  <si>
    <t>562-806-2893</t>
  </si>
  <si>
    <t>SOUTHERN CALIFORNIA PRESBYTERIAN HOMES</t>
  </si>
  <si>
    <t xml:space="preserve">516 BURCHETT ST </t>
  </si>
  <si>
    <t>818-247-0420</t>
  </si>
  <si>
    <t>CLARK TERRACE</t>
  </si>
  <si>
    <t xml:space="preserve">2660 CLARK AVE </t>
  </si>
  <si>
    <t>951-738-9712</t>
  </si>
  <si>
    <t>PUERTA DEL SOL</t>
  </si>
  <si>
    <t xml:space="preserve">1765 W 42ND PL </t>
  </si>
  <si>
    <t>33012-8404</t>
  </si>
  <si>
    <t>(305) 825-2628</t>
  </si>
  <si>
    <t>PINE GROVE APARTMENTS</t>
  </si>
  <si>
    <t xml:space="preserve">1901 NE 2ND ST FRNT OFFICE </t>
  </si>
  <si>
    <t>32609-3796</t>
  </si>
  <si>
    <t>(352) 373-1213</t>
  </si>
  <si>
    <t>SAINT MARY'S GARDENS</t>
  </si>
  <si>
    <t xml:space="preserve">801 10TH ST </t>
  </si>
  <si>
    <t>510 465962</t>
  </si>
  <si>
    <t>LORENZ HOTEL</t>
  </si>
  <si>
    <t xml:space="preserve">1509 YUMA ST </t>
  </si>
  <si>
    <t>(530) 243-6451</t>
  </si>
  <si>
    <t>MEASE MANOR INC</t>
  </si>
  <si>
    <t xml:space="preserve">700 MEASE PLZ </t>
  </si>
  <si>
    <t>34698-6680</t>
  </si>
  <si>
    <t>HEALTH SERVICES MANAGEMENT</t>
  </si>
  <si>
    <t xml:space="preserve">700 SE 8TH AVE </t>
  </si>
  <si>
    <t>34429-4855</t>
  </si>
  <si>
    <t>(352) 795-8832</t>
  </si>
  <si>
    <t>ROBERT SHARP TOWERS I</t>
  </si>
  <si>
    <t xml:space="preserve">103 NW 202ND TER </t>
  </si>
  <si>
    <t>33169-2622</t>
  </si>
  <si>
    <t>PALERMO LAKES</t>
  </si>
  <si>
    <t xml:space="preserve">5311 NW 7TH ST </t>
  </si>
  <si>
    <t>33126-3384</t>
  </si>
  <si>
    <t>305-443-7600</t>
  </si>
  <si>
    <t>ST VINCENT DE PAUL GARDENS</t>
  </si>
  <si>
    <t xml:space="preserve">10160 NW 19TH AVE </t>
  </si>
  <si>
    <t>(305) 693-1590</t>
  </si>
  <si>
    <t xml:space="preserve">5701 16TH ST S </t>
  </si>
  <si>
    <t>33705-5042</t>
  </si>
  <si>
    <t>(727) 865-7590</t>
  </si>
  <si>
    <t>WIEN HOUSE ASSOCIATES LP</t>
  </si>
  <si>
    <t xml:space="preserve">60 NAGLE AVE </t>
  </si>
  <si>
    <t>10040-1400</t>
  </si>
  <si>
    <t>(212) 304-1800</t>
  </si>
  <si>
    <t>UNITED HEBREW GERIATRIC CTR</t>
  </si>
  <si>
    <t xml:space="preserve">391 PELHAM RD </t>
  </si>
  <si>
    <t>10805-2335</t>
  </si>
  <si>
    <t>LUTHERAN CHURCH HOME OF BUFFALO INC</t>
  </si>
  <si>
    <t xml:space="preserve">217 E DELAVAN AVE </t>
  </si>
  <si>
    <t>14208-1226</t>
  </si>
  <si>
    <t>LORETTO UTICA CENTER</t>
  </si>
  <si>
    <t xml:space="preserve">1445 KEMBLE ST </t>
  </si>
  <si>
    <t>13501-4441</t>
  </si>
  <si>
    <t>(315) 732-0100</t>
  </si>
  <si>
    <t>LORETTO MANAGEMENT CORPORATION NY</t>
  </si>
  <si>
    <t xml:space="preserve">700 E BRIGHTON AVE </t>
  </si>
  <si>
    <t>13205-2201</t>
  </si>
  <si>
    <t>(315) 413-3733</t>
  </si>
  <si>
    <t>HUDSON VALLEY HOSPICE</t>
  </si>
  <si>
    <t xml:space="preserve">400 AARON CT </t>
  </si>
  <si>
    <t>KINGSTON</t>
  </si>
  <si>
    <t>12401-2934</t>
  </si>
  <si>
    <t>FULTON COUNTY RESIDENTIAL HEALTH CARE</t>
  </si>
  <si>
    <t xml:space="preserve">847 COUNTY HIGHWAY 122 </t>
  </si>
  <si>
    <t>12078-6413</t>
  </si>
  <si>
    <t>(518) 773-3400</t>
  </si>
  <si>
    <t>DAUGHTERS OF JACOB NURSING HOME</t>
  </si>
  <si>
    <t xml:space="preserve">1160 TELLER AVE </t>
  </si>
  <si>
    <t>10456-4145</t>
  </si>
  <si>
    <t>(718) 293-1500</t>
  </si>
  <si>
    <t>LAS PALMAS PLAZA I</t>
  </si>
  <si>
    <t xml:space="preserve">740 NW 25TH AVE FRNT OFFICE </t>
  </si>
  <si>
    <t>33125-3100</t>
  </si>
  <si>
    <t>(305) 643-0358</t>
  </si>
  <si>
    <t>PRESBYTERIAN HOMES OF SOUTH FLORIDA INC</t>
  </si>
  <si>
    <t xml:space="preserve">1200 BROAD ST W </t>
  </si>
  <si>
    <t>33936-6541</t>
  </si>
  <si>
    <t>PRESBYTERIAN HOMES OF FLORIDA INC</t>
  </si>
  <si>
    <t xml:space="preserve">4011 S MANHATTAN AVE </t>
  </si>
  <si>
    <t>33611-1265</t>
  </si>
  <si>
    <t>813-839-5331</t>
  </si>
  <si>
    <t>LAKEVIEW PRESBYTERIAN HOMES INC</t>
  </si>
  <si>
    <t xml:space="preserve">515 E ORANGE ST </t>
  </si>
  <si>
    <t>LAKEVIEW VILLAGE INC.</t>
  </si>
  <si>
    <t xml:space="preserve">9100 PARK ST </t>
  </si>
  <si>
    <t>66215-3353</t>
  </si>
  <si>
    <t>(913) 888-1900</t>
  </si>
  <si>
    <t>ELKHART SENIOR CENTER</t>
  </si>
  <si>
    <t xml:space="preserve">647 S COSMOS </t>
  </si>
  <si>
    <t>UNITED HOSPICE OF ROCKLAND &amp; JOE RASO HOSPICE</t>
  </si>
  <si>
    <t xml:space="preserve">11 STOKUM LN </t>
  </si>
  <si>
    <t>NEW CITY</t>
  </si>
  <si>
    <t>SYRACUSE HOME ASSOCIATION</t>
  </si>
  <si>
    <t xml:space="preserve">7740 MEIGS RD </t>
  </si>
  <si>
    <t>BALDWINSVILLE</t>
  </si>
  <si>
    <t>13027-9757</t>
  </si>
  <si>
    <t>(315) 638-2521</t>
  </si>
  <si>
    <t>ST. LUKE HEALTH SERVICES</t>
  </si>
  <si>
    <t xml:space="preserve">299 E RIVER RD </t>
  </si>
  <si>
    <t>OSWEGO</t>
  </si>
  <si>
    <t>13126-6400</t>
  </si>
  <si>
    <t>(315) 342-3166</t>
  </si>
  <si>
    <t>REBEKAH REHAB AND CARE CENTER</t>
  </si>
  <si>
    <t xml:space="preserve">1072 HAVEMEYER AVE </t>
  </si>
  <si>
    <t>10462-5310</t>
  </si>
  <si>
    <t>(718) 863-6200</t>
  </si>
  <si>
    <t>ST JOSEPH'S HOME</t>
  </si>
  <si>
    <t xml:space="preserve">950 LINDEN ST </t>
  </si>
  <si>
    <t>13669-4472</t>
  </si>
  <si>
    <t>(315) 393-3780</t>
  </si>
  <si>
    <t>PARKER JEWISH INSTITUTE FOR HEALTH CARE AND REHABILITATION</t>
  </si>
  <si>
    <t xml:space="preserve">271 11 76TH AVE </t>
  </si>
  <si>
    <t>NEW HYDE PARK</t>
  </si>
  <si>
    <t>718 289235</t>
  </si>
  <si>
    <t>GEORGETOWN VILLAGE</t>
  </si>
  <si>
    <t xml:space="preserve">1655 S GEORGETOWN ST </t>
  </si>
  <si>
    <t>67218-4120</t>
  </si>
  <si>
    <t>(316) 685-0400</t>
  </si>
  <si>
    <t>EVERGREEN COMMUNITY OF JOHNSON COUNTY</t>
  </si>
  <si>
    <t xml:space="preserve">11875 S SUNSET DR STE 100 </t>
  </si>
  <si>
    <t>(913) 477-8227</t>
  </si>
  <si>
    <t>MARY E BIVINS FOUNDATION</t>
  </si>
  <si>
    <t xml:space="preserve">301 S POLK STE 860 </t>
  </si>
  <si>
    <t>79105-1727</t>
  </si>
  <si>
    <t>(806) 379-9400</t>
  </si>
  <si>
    <t>HOLLYVIEW</t>
  </si>
  <si>
    <t xml:space="preserve">5411 HOLLYWOOD BLVD </t>
  </si>
  <si>
    <t>323 467511</t>
  </si>
  <si>
    <t>TAYLOR VILLA</t>
  </si>
  <si>
    <t xml:space="preserve">467 TAYLOR DR </t>
  </si>
  <si>
    <t>NOBLE SENIOR HOUSING</t>
  </si>
  <si>
    <t xml:space="preserve">15100 MOORPARK ST </t>
  </si>
  <si>
    <t>91403-5472</t>
  </si>
  <si>
    <t>(818) 784-2503</t>
  </si>
  <si>
    <t>LONG BEACH SENIOR HOUSING</t>
  </si>
  <si>
    <t xml:space="preserve">575 E VERNON ST </t>
  </si>
  <si>
    <t>90806-3180</t>
  </si>
  <si>
    <t>FULLER AVENUE SENIOR HOUSING</t>
  </si>
  <si>
    <t xml:space="preserve">1627 N FULLER AVE </t>
  </si>
  <si>
    <t>(323) 876-9634</t>
  </si>
  <si>
    <t>PRAIRIE MISSION RETIREMENT VILLAGE</t>
  </si>
  <si>
    <t xml:space="preserve">242 CARROLL ST # 1Z </t>
  </si>
  <si>
    <t>66771-4044</t>
  </si>
  <si>
    <t>(620) 449-2400</t>
  </si>
  <si>
    <t>PLEASANT VIEW HOME</t>
  </si>
  <si>
    <t xml:space="preserve">108 N WALNUT PO BOX 249 </t>
  </si>
  <si>
    <t>67546-0249</t>
  </si>
  <si>
    <t>(620) 585-6411</t>
  </si>
  <si>
    <t>MINNEOLA SENIOR CENTER</t>
  </si>
  <si>
    <t xml:space="preserve">130 MAIN ST </t>
  </si>
  <si>
    <t>BLOOM</t>
  </si>
  <si>
    <t>GARDEN VALLEY RETIREMENT VILLAGE</t>
  </si>
  <si>
    <t xml:space="preserve">1505 E SPRUCE ST </t>
  </si>
  <si>
    <t>GARDEN CITY</t>
  </si>
  <si>
    <t>(620) 275-9651</t>
  </si>
  <si>
    <t>CEDARS INC (THE)</t>
  </si>
  <si>
    <t xml:space="preserve">1021 CEDARS DR </t>
  </si>
  <si>
    <t>MCPHERSON</t>
  </si>
  <si>
    <t>67460-2735</t>
  </si>
  <si>
    <t>(620) 241-0919</t>
  </si>
  <si>
    <t>CATHOLIC CARE ASSISTED LIVING</t>
  </si>
  <si>
    <t xml:space="preserve">6550 E 45TH ST N </t>
  </si>
  <si>
    <t>BEL AIRE</t>
  </si>
  <si>
    <t>67226-8813</t>
  </si>
  <si>
    <t>TOPSIDE MANOR INC</t>
  </si>
  <si>
    <t xml:space="preserve">208 W 2ND ST </t>
  </si>
  <si>
    <t>GOODLAND</t>
  </si>
  <si>
    <t>67735-1660</t>
  </si>
  <si>
    <t>ADORERS OF THE BLOOD OF CHRIST</t>
  </si>
  <si>
    <t xml:space="preserve">1165 SOUTHWEST BLVD </t>
  </si>
  <si>
    <t>67213-1419</t>
  </si>
  <si>
    <t>SCHOUBERG AND ASSOCIATES LLC</t>
  </si>
  <si>
    <t xml:space="preserve">111 VETERANS MEMORIAL BLVD STE 1662 </t>
  </si>
  <si>
    <t>METAIRIE</t>
  </si>
  <si>
    <t>70005-3000</t>
  </si>
  <si>
    <t>ST JOSEPH TOWERS</t>
  </si>
  <si>
    <t xml:space="preserve">3475 NW 30TH ST </t>
  </si>
  <si>
    <t>LAUDERDALE LAKES</t>
  </si>
  <si>
    <t>33311-1889</t>
  </si>
  <si>
    <t>(954) 485-5150</t>
  </si>
  <si>
    <t>BEVERLY HILLS SENIOR HOUSING</t>
  </si>
  <si>
    <t xml:space="preserve">225 N CRESENT DR </t>
  </si>
  <si>
    <t>(310) 276-5209</t>
  </si>
  <si>
    <t>ROSEWOOD COURT</t>
  </si>
  <si>
    <t xml:space="preserve">1888 N FAIR OAKS AVE </t>
  </si>
  <si>
    <t xml:space="preserve">555 E PALMER AVE </t>
  </si>
  <si>
    <t>818-551-1330</t>
  </si>
  <si>
    <t>MOUNTAIN VISTAS</t>
  </si>
  <si>
    <t xml:space="preserve">675 PEPPERTREE LN </t>
  </si>
  <si>
    <t>530-244-7901</t>
  </si>
  <si>
    <t>LIFE'S GARDEN</t>
  </si>
  <si>
    <t xml:space="preserve">450 OLD SAN FRANCISCO RD </t>
  </si>
  <si>
    <t>SUNNYVALE</t>
  </si>
  <si>
    <t>94086-6392</t>
  </si>
  <si>
    <t>(408) 245-5433</t>
  </si>
  <si>
    <t>BETHANY HOME ASSOCIATION</t>
  </si>
  <si>
    <t xml:space="preserve">321 N CHESTNUT ST </t>
  </si>
  <si>
    <t>LINDSBORG</t>
  </si>
  <si>
    <t>67456-1904</t>
  </si>
  <si>
    <t>(785) 227-2334</t>
  </si>
  <si>
    <t>ALDERSGATE VILLAGE</t>
  </si>
  <si>
    <t xml:space="preserve">7220 SW ASBURY DR </t>
  </si>
  <si>
    <t>66614-4706</t>
  </si>
  <si>
    <t>(785) 478-9440</t>
  </si>
  <si>
    <t>ST BENEDICTS MONASTERY</t>
  </si>
  <si>
    <t xml:space="preserve">104 CHAPEL LN </t>
  </si>
  <si>
    <t>SAINT JOSEPH</t>
  </si>
  <si>
    <t>56374-2020</t>
  </si>
  <si>
    <t>SPECTRUM COMMUNITY HEALTH - ELY</t>
  </si>
  <si>
    <t xml:space="preserve">1245 E SHERIDAN STE 2 </t>
  </si>
  <si>
    <t>ELY CAREFREE LIVING</t>
  </si>
  <si>
    <t xml:space="preserve">140 S 2ND AVE W </t>
  </si>
  <si>
    <t>55731-1168</t>
  </si>
  <si>
    <t>LAKE PARK RETIREMENT</t>
  </si>
  <si>
    <t xml:space="preserve">1850 ALICE ST </t>
  </si>
  <si>
    <t>510 835551</t>
  </si>
  <si>
    <t>CYPRESS RUN (UNITED CHURCH HOMES)</t>
  </si>
  <si>
    <t xml:space="preserve">550 HOPE CIR </t>
  </si>
  <si>
    <t>IMMOKALEE</t>
  </si>
  <si>
    <t>34142-4243</t>
  </si>
  <si>
    <t>(239) 657-9032</t>
  </si>
  <si>
    <t>LOURDES - NOREEN MCKEEN RES - GERIATRIC CARE</t>
  </si>
  <si>
    <t xml:space="preserve">315 S FLAGLER DR </t>
  </si>
  <si>
    <t>(561) 655-8544</t>
  </si>
  <si>
    <t>SUNDALE MANOR</t>
  </si>
  <si>
    <t xml:space="preserve">3505 CORBY ST </t>
  </si>
  <si>
    <t>32205-5920</t>
  </si>
  <si>
    <t>(904) 381-4817</t>
  </si>
  <si>
    <t>COURTENAY SPRINGS VILLAGE</t>
  </si>
  <si>
    <t xml:space="preserve">1100 S COURTENAY PKWY </t>
  </si>
  <si>
    <t>32952-3804</t>
  </si>
  <si>
    <t>(321) 452-1233</t>
  </si>
  <si>
    <t>UNIVERSITY RETIREMENT COMMUNITY AT DAVIS</t>
  </si>
  <si>
    <t xml:space="preserve">1515 SHASTA DR </t>
  </si>
  <si>
    <t>95616-6691</t>
  </si>
  <si>
    <t>(530) 747-7000</t>
  </si>
  <si>
    <t>SIERRA VISTA RETIREMENT CENTER</t>
  </si>
  <si>
    <t xml:space="preserve">885 SIERRA VISTA WAY </t>
  </si>
  <si>
    <t>96097-2650</t>
  </si>
  <si>
    <t>(530) 842-3930</t>
  </si>
  <si>
    <t>CYPRESS SUNRISE APARTMENTS</t>
  </si>
  <si>
    <t xml:space="preserve">9151 GRINDLAY ST </t>
  </si>
  <si>
    <t>CYPRESS</t>
  </si>
  <si>
    <t>714 527623</t>
  </si>
  <si>
    <t>ELDERCARE INC</t>
  </si>
  <si>
    <t xml:space="preserve">1819 11TH ST </t>
  </si>
  <si>
    <t>67530-4511</t>
  </si>
  <si>
    <t>(620) 792-1241</t>
  </si>
  <si>
    <t>BETHEL HOME INC.</t>
  </si>
  <si>
    <t xml:space="preserve">300 S AZTEC ST </t>
  </si>
  <si>
    <t>67867-8811</t>
  </si>
  <si>
    <t>(620) 846-2241</t>
  </si>
  <si>
    <t>APOSTOLIC CHRISTIAN HOME</t>
  </si>
  <si>
    <t xml:space="preserve">511 PARAMOUNT ST </t>
  </si>
  <si>
    <t>FAIR HAVENS VILLAGE</t>
  </si>
  <si>
    <t xml:space="preserve">3015 SPINKS RD </t>
  </si>
  <si>
    <t>SEBRING</t>
  </si>
  <si>
    <t>33870-4384</t>
  </si>
  <si>
    <t>(863) 382-3777</t>
  </si>
  <si>
    <t>GIS HOUSING/FREEDOM VILLAGE</t>
  </si>
  <si>
    <t xml:space="preserve">7700 66TH ST N </t>
  </si>
  <si>
    <t>PINELLAS PARK</t>
  </si>
  <si>
    <t>33781-3167</t>
  </si>
  <si>
    <t>(727) 541-6620</t>
  </si>
  <si>
    <t>GRAND LAKE GARDENS RETIREMENT COMMUNITY</t>
  </si>
  <si>
    <t xml:space="preserve">401 SANTA CLARA AVE </t>
  </si>
  <si>
    <t>510-893-8897</t>
  </si>
  <si>
    <t>WOODWARD MANOR INC</t>
  </si>
  <si>
    <t xml:space="preserve">1301 WOODWARD CT </t>
  </si>
  <si>
    <t>33936-6548</t>
  </si>
  <si>
    <t>PRESBYTERIAN HOMES OF LEHIGH ACRES INC</t>
  </si>
  <si>
    <t xml:space="preserve">1291 BROAD ST W </t>
  </si>
  <si>
    <t>(941) 369-9161</t>
  </si>
  <si>
    <t>HERITAGE PRESBYTERIAN HOUSING INC</t>
  </si>
  <si>
    <t xml:space="preserve">10200 122ND AVE N </t>
  </si>
  <si>
    <t>(727) 393-3477</t>
  </si>
  <si>
    <t>ST THERESE HOME</t>
  </si>
  <si>
    <t xml:space="preserve">8000 BASS LAKE RD </t>
  </si>
  <si>
    <t>NEW HOPE</t>
  </si>
  <si>
    <t>55428-3118</t>
  </si>
  <si>
    <t>(763) 531-5000</t>
  </si>
  <si>
    <t>PRESBYTERIAN HOMES AND SERVICES</t>
  </si>
  <si>
    <t xml:space="preserve">2845 HAMLINE AVE N STE 200 </t>
  </si>
  <si>
    <t>55113-7116</t>
  </si>
  <si>
    <t>TRANSFIGURATION MANOR</t>
  </si>
  <si>
    <t xml:space="preserve">4021 45TH ST N </t>
  </si>
  <si>
    <t>33714-3575</t>
  </si>
  <si>
    <t>(727) 914-8912</t>
  </si>
  <si>
    <t>KINGS ARMS</t>
  </si>
  <si>
    <t xml:space="preserve">4125 N LINCOLN AVE </t>
  </si>
  <si>
    <t>33607-6644</t>
  </si>
  <si>
    <t>(813) 873-0234</t>
  </si>
  <si>
    <t>EPIPHANY ARMS APARTMENTS</t>
  </si>
  <si>
    <t xml:space="preserve">2508 E HANNA AVE </t>
  </si>
  <si>
    <t>33610-1340</t>
  </si>
  <si>
    <t>(813) 232-2693</t>
  </si>
  <si>
    <t>PRESBYTERIAN HOMES OF TAMPA INC</t>
  </si>
  <si>
    <t xml:space="preserve">4033 S MANHATTAN AVE </t>
  </si>
  <si>
    <t>(813) 831-7115</t>
  </si>
  <si>
    <t>PRESBYTERIAN HOMES &amp; HOUSING FOUNDATION</t>
  </si>
  <si>
    <t xml:space="preserve">1050 BURLINGTON AVE </t>
  </si>
  <si>
    <t>(727) 894-0368</t>
  </si>
  <si>
    <t>PRESBYTERIAN HOME OF BRADENTON INC</t>
  </si>
  <si>
    <t xml:space="preserve">6125 14TH ST W </t>
  </si>
  <si>
    <t>(941) 756-9000</t>
  </si>
  <si>
    <t>SANDPIPER RUN</t>
  </si>
  <si>
    <t xml:space="preserve">2075 COLLIER AVE </t>
  </si>
  <si>
    <t>(239) 931-0220</t>
  </si>
  <si>
    <t>GROVE CITY MANOR</t>
  </si>
  <si>
    <t xml:space="preserve">6433 GASPARILLA PINES BLVD </t>
  </si>
  <si>
    <t>34224-7858</t>
  </si>
  <si>
    <t>(941) 697-4677</t>
  </si>
  <si>
    <t>LODGE AT CYPRESS COVE AT HEALTHPARK</t>
  </si>
  <si>
    <t xml:space="preserve">10500 CYPRESS COVE DR </t>
  </si>
  <si>
    <t>ST ELIZABETH GARDENS</t>
  </si>
  <si>
    <t xml:space="preserve">801 NE 33RD ST </t>
  </si>
  <si>
    <t>33064-5255</t>
  </si>
  <si>
    <t>(954) 941-4597</t>
  </si>
  <si>
    <t>SAN LORENZO TERRACE II</t>
  </si>
  <si>
    <t xml:space="preserve">4820 N GOMEZ AVE </t>
  </si>
  <si>
    <t>33614-6900</t>
  </si>
  <si>
    <t>(813) 870-0790</t>
  </si>
  <si>
    <t>CASA SANTA CRUZ</t>
  </si>
  <si>
    <t xml:space="preserve">7825 54TH AVE N </t>
  </si>
  <si>
    <t>33709-2345</t>
  </si>
  <si>
    <t>(727) 541-2631</t>
  </si>
  <si>
    <t>WARTBURG ADULT CARE COMMUNITY (THE)</t>
  </si>
  <si>
    <t xml:space="preserve">WARTBURG PLACE </t>
  </si>
  <si>
    <t>(914) 513-5488</t>
  </si>
  <si>
    <t>CEDAR OAKS</t>
  </si>
  <si>
    <t xml:space="preserve">668 LPGA BLVD </t>
  </si>
  <si>
    <t>HOLLY HILL</t>
  </si>
  <si>
    <t>32117-3103</t>
  </si>
  <si>
    <t>(386) 248-0082</t>
  </si>
  <si>
    <t>MEASE MEMORY CARE (ALF)</t>
  </si>
  <si>
    <t xml:space="preserve">603 VIRGINIA ST </t>
  </si>
  <si>
    <t>SYCAMORE TERRACE</t>
  </si>
  <si>
    <t xml:space="preserve">1301 SAN BERNARDINO RD </t>
  </si>
  <si>
    <t>909-946-2811</t>
  </si>
  <si>
    <t>ROSEWOOD RETIREMENT COMMUNITY</t>
  </si>
  <si>
    <t xml:space="preserve">1301 NEW STINE RD </t>
  </si>
  <si>
    <t>93309-3505</t>
  </si>
  <si>
    <t>(661) 834-0620</t>
  </si>
  <si>
    <t>JOHN PIAZZA APARTMENTS</t>
  </si>
  <si>
    <t xml:space="preserve">9971 JUNIPER AVE </t>
  </si>
  <si>
    <t>(909) 429-9140</t>
  </si>
  <si>
    <t>CAMBRIAN CENTER INC.</t>
  </si>
  <si>
    <t xml:space="preserve">2360 SAMARITAN PL </t>
  </si>
  <si>
    <t>95124-3917</t>
  </si>
  <si>
    <t>(408) 559-0330</t>
  </si>
  <si>
    <t>CLARA PARK VILLAGE APARTMENTS</t>
  </si>
  <si>
    <t xml:space="preserve">4805 CLARA ST </t>
  </si>
  <si>
    <t>CUDAHY</t>
  </si>
  <si>
    <t>90201-5200</t>
  </si>
  <si>
    <t>(323) 560-7628</t>
  </si>
  <si>
    <t>MASONIC HOMES OF CALIFORNIA COVINA</t>
  </si>
  <si>
    <t xml:space="preserve">1650 E OLD BADILLO ST </t>
  </si>
  <si>
    <t>626 251222</t>
  </si>
  <si>
    <t>ACACIA CREEK SENIOR LIVING</t>
  </si>
  <si>
    <t xml:space="preserve">34400 MISSION BLVD </t>
  </si>
  <si>
    <t>510 441370</t>
  </si>
  <si>
    <t>PACIFIC MEADOWS</t>
  </si>
  <si>
    <t xml:space="preserve">5315 CARMEL VALLEY RD OFC </t>
  </si>
  <si>
    <t>831-624-9355</t>
  </si>
  <si>
    <t>MOUNT RUBIDOUX MANOR</t>
  </si>
  <si>
    <t xml:space="preserve">3993 10TH ST OFC </t>
  </si>
  <si>
    <t>909-684-3154</t>
  </si>
  <si>
    <t>AMHERST H WILDER FOUNDATION</t>
  </si>
  <si>
    <t xml:space="preserve">451 LEXINGTON PKWY N </t>
  </si>
  <si>
    <t>55104-4636</t>
  </si>
  <si>
    <t>ST HEDWIG'S GARDENS - CATHOLIC CHARITIES</t>
  </si>
  <si>
    <t xml:space="preserve">90 CHERRY LN </t>
  </si>
  <si>
    <t>HICKSVILLE</t>
  </si>
  <si>
    <t>11801-6232</t>
  </si>
  <si>
    <t>(516) 733-7075</t>
  </si>
  <si>
    <t>SCHOFIELD RESIDENCE</t>
  </si>
  <si>
    <t xml:space="preserve">3333 ELMWOOD AVE </t>
  </si>
  <si>
    <t>14217-1013</t>
  </si>
  <si>
    <t>(716) 874-1566</t>
  </si>
  <si>
    <t>ROSEWOOD ON THE SOUND</t>
  </si>
  <si>
    <t xml:space="preserve">59 BAYVILLE AVE </t>
  </si>
  <si>
    <t>BAYVILLE</t>
  </si>
  <si>
    <t>11709-1654</t>
  </si>
  <si>
    <t>(516) 628-1350</t>
  </si>
  <si>
    <t>EPISCOPAL COMMUNITIES &amp; SVCS - CREATIVE HOUSI</t>
  </si>
  <si>
    <t xml:space="preserve">605 E HUNTINGTON DR STE 207 </t>
  </si>
  <si>
    <t>MONROVIA</t>
  </si>
  <si>
    <t>91016-6353</t>
  </si>
  <si>
    <t>(626) 403-5880</t>
  </si>
  <si>
    <t>SAINT JAMES MANOR</t>
  </si>
  <si>
    <t xml:space="preserve">615 S GRAMERCY PL </t>
  </si>
  <si>
    <t>90005-3265</t>
  </si>
  <si>
    <t>(213) 384-8491</t>
  </si>
  <si>
    <t>EATON TERRACE II ASSISTED LIVING</t>
  </si>
  <si>
    <t xml:space="preserve">323 S EATON ST </t>
  </si>
  <si>
    <t>LUTHERAN SENIOR HOUSING</t>
  </si>
  <si>
    <t xml:space="preserve">737 FALCONER ST </t>
  </si>
  <si>
    <t>14701-1933</t>
  </si>
  <si>
    <t xml:space="preserve">1 BELLA VISTA DR </t>
  </si>
  <si>
    <t>ITHACA</t>
  </si>
  <si>
    <t>14850-5792</t>
  </si>
  <si>
    <t>(607) 375-6300</t>
  </si>
  <si>
    <t>LAKE FOREST SENIOR LIVING COMMUNITY INC.</t>
  </si>
  <si>
    <t xml:space="preserve">8 LAKE FOREST DR </t>
  </si>
  <si>
    <t>PLATTSBURGH</t>
  </si>
  <si>
    <t>12903-3963</t>
  </si>
  <si>
    <t>(518) 561-6431</t>
  </si>
  <si>
    <t>J H FLOYD SUNSHINE VILLAGE</t>
  </si>
  <si>
    <t xml:space="preserve">1777 18TH STREET OFFICE 323 </t>
  </si>
  <si>
    <t>34234-8634</t>
  </si>
  <si>
    <t>(941) 955-9367</t>
  </si>
  <si>
    <t>HURLEY MANOR APARTMENTS II</t>
  </si>
  <si>
    <t xml:space="preserve">3335 UNIVERSITY BLVD N </t>
  </si>
  <si>
    <t>32277-0608</t>
  </si>
  <si>
    <t>CASA DE LA VISTA</t>
  </si>
  <si>
    <t xml:space="preserve">686 E REDLANDS BLVD </t>
  </si>
  <si>
    <t>92373-5214</t>
  </si>
  <si>
    <t>(909) 335-8888</t>
  </si>
  <si>
    <t>ANDRES DUARTE TERRACE</t>
  </si>
  <si>
    <t xml:space="preserve">1730 HUNTINGTON DR </t>
  </si>
  <si>
    <t>91010-2538</t>
  </si>
  <si>
    <t>(626) 359-8000</t>
  </si>
  <si>
    <t>ALLEN TEMPLE ARMS II</t>
  </si>
  <si>
    <t xml:space="preserve">1388 81ST AVE </t>
  </si>
  <si>
    <t>510-562-2771</t>
  </si>
  <si>
    <t>CASA DE LOS AMIGOS</t>
  </si>
  <si>
    <t xml:space="preserve">123 S CATALINA AVE </t>
  </si>
  <si>
    <t>REDONDO BEACH</t>
  </si>
  <si>
    <t>310 376345</t>
  </si>
  <si>
    <t>WESTCHESTER VILLAGE</t>
  </si>
  <si>
    <t xml:space="preserve">525 WESTCHESTER DR NE </t>
  </si>
  <si>
    <t>PINE CITY</t>
  </si>
  <si>
    <t>55063-1190</t>
  </si>
  <si>
    <t>THE TERRACES AT ABIITAN</t>
  </si>
  <si>
    <t xml:space="preserve">428 S 2ND ST </t>
  </si>
  <si>
    <t>55401-2923</t>
  </si>
  <si>
    <t>ACKERBERG WEST CAMPUS</t>
  </si>
  <si>
    <t xml:space="preserve">3620 PHILLIPS PKWY </t>
  </si>
  <si>
    <t>ST. LOUIS PARK</t>
  </si>
  <si>
    <t>MISSISSIPPI SHORES</t>
  </si>
  <si>
    <t xml:space="preserve">1213 HART BLVD </t>
  </si>
  <si>
    <t>55362-7603</t>
  </si>
  <si>
    <t>(763) 295-0787</t>
  </si>
  <si>
    <t>CROIXDALE</t>
  </si>
  <si>
    <t xml:space="preserve">750 HIGHWAY 95 N </t>
  </si>
  <si>
    <t>BAYPORT</t>
  </si>
  <si>
    <t>55003-1085</t>
  </si>
  <si>
    <t>(651) 275-4800</t>
  </si>
  <si>
    <t>GEORGE MCDONALD COURT</t>
  </si>
  <si>
    <t xml:space="preserve">1800 E 92ND ST </t>
  </si>
  <si>
    <t>323-566-8608</t>
  </si>
  <si>
    <t>VIA PACIFICA GARDENS</t>
  </si>
  <si>
    <t xml:space="preserve">1860 VIA PACIFICA </t>
  </si>
  <si>
    <t>APTOS</t>
  </si>
  <si>
    <t>831 688332</t>
  </si>
  <si>
    <t>POSADA DE COLORES</t>
  </si>
  <si>
    <t xml:space="preserve">2221 FRUITVALE AVE </t>
  </si>
  <si>
    <t>510 534620</t>
  </si>
  <si>
    <t>LAS BOUGAINVILLEAS</t>
  </si>
  <si>
    <t xml:space="preserve">1223 37TH AVE </t>
  </si>
  <si>
    <t>510 535610</t>
  </si>
  <si>
    <t>KELLER HOUSING ASSOCIATES LP - OAKLAND - CA</t>
  </si>
  <si>
    <t xml:space="preserve">5321 TELEGRAPH AVE </t>
  </si>
  <si>
    <t>510 652404</t>
  </si>
  <si>
    <t>HIGHLAND RIDGE</t>
  </si>
  <si>
    <t xml:space="preserve">2285 STEWART AVE </t>
  </si>
  <si>
    <t>STRAWBERRY CREEK LODGE</t>
  </si>
  <si>
    <t xml:space="preserve">1320 ADDISON ST </t>
  </si>
  <si>
    <t>510 841833</t>
  </si>
  <si>
    <t>SEA VIEW LUTHERAN PLAZA</t>
  </si>
  <si>
    <t xml:space="preserve">2800 PACIFIC VIEW DR APT 101 </t>
  </si>
  <si>
    <t>CORONA DEL MAR</t>
  </si>
  <si>
    <t>949 720088</t>
  </si>
  <si>
    <t>THE ALTON</t>
  </si>
  <si>
    <t xml:space="preserve">1306 ALTON ST </t>
  </si>
  <si>
    <t>55116-3169</t>
  </si>
  <si>
    <t>VILLA APARTMENTS (THE)</t>
  </si>
  <si>
    <t xml:space="preserve">4523 SHORELINE DR </t>
  </si>
  <si>
    <t>55384-9755</t>
  </si>
  <si>
    <t>(612) 471-4001</t>
  </si>
  <si>
    <t>PRAIRIE SENIOR COTTAGES OF NEW ULM</t>
  </si>
  <si>
    <t xml:space="preserve">1304 BIRCHWOOD DR </t>
  </si>
  <si>
    <t>NEW ULM</t>
  </si>
  <si>
    <t>507-359-3420</t>
  </si>
  <si>
    <t>KATHERINE LUTHER NURSING HOME</t>
  </si>
  <si>
    <t xml:space="preserve">110 UTICA RD </t>
  </si>
  <si>
    <t>13323-1548</t>
  </si>
  <si>
    <t>JEWISH HOME AND HOSP LIFECARE SYSTEM (THE)</t>
  </si>
  <si>
    <t xml:space="preserve">120 W 106TH ST </t>
  </si>
  <si>
    <t>10025-3797</t>
  </si>
  <si>
    <t>HAZEL CARPENTER HOME</t>
  </si>
  <si>
    <t xml:space="preserve">533 MAIN ST </t>
  </si>
  <si>
    <t>13421-2423</t>
  </si>
  <si>
    <t>(315) 363-1470</t>
  </si>
  <si>
    <t>BLESSED SACRAMENT MANOR</t>
  </si>
  <si>
    <t xml:space="preserve">6801 12TH AVE S </t>
  </si>
  <si>
    <t>33619-4605</t>
  </si>
  <si>
    <t>(813) 620-0221</t>
  </si>
  <si>
    <t>TRINITY SPRINGS</t>
  </si>
  <si>
    <t xml:space="preserve">12120 COUNTY RD 103 </t>
  </si>
  <si>
    <t>(352) 633-4030</t>
  </si>
  <si>
    <t>JENNINGS COURT</t>
  </si>
  <si>
    <t xml:space="preserve">1080 JENNINGS AVE </t>
  </si>
  <si>
    <t>707 527542</t>
  </si>
  <si>
    <t>EL SOMBROSO OAKS</t>
  </si>
  <si>
    <t xml:space="preserve">110 WOOD RD </t>
  </si>
  <si>
    <t>95030-6737</t>
  </si>
  <si>
    <t>(408) 354-0211</t>
  </si>
  <si>
    <t>HILL TOP HOUSE</t>
  </si>
  <si>
    <t xml:space="preserve">505 W ELM ST </t>
  </si>
  <si>
    <t>BUCKLIN</t>
  </si>
  <si>
    <t>(620) 826-3202</t>
  </si>
  <si>
    <t>CORNERSTONE VILLAGE</t>
  </si>
  <si>
    <t xml:space="preserve">1502 E CENTENNIAL DR </t>
  </si>
  <si>
    <t>66762-6718</t>
  </si>
  <si>
    <t>(620) 235-0020</t>
  </si>
  <si>
    <t>LOCUST GROVE VILLAGE</t>
  </si>
  <si>
    <t xml:space="preserve">701 W 6TH ST </t>
  </si>
  <si>
    <t>785 222257</t>
  </si>
  <si>
    <t>FIRST CHRISTIAN CHURCH APARTMENTS</t>
  </si>
  <si>
    <t xml:space="preserve">3805 SW 18TH ST </t>
  </si>
  <si>
    <t>66604-3369</t>
  </si>
  <si>
    <t>(785) 272-6700</t>
  </si>
  <si>
    <t>ALLEN TEMPLE ARMS I</t>
  </si>
  <si>
    <t xml:space="preserve">8135 INTERNATIONAL BLVD </t>
  </si>
  <si>
    <t>PHILIP MURRAY PLACE</t>
  </si>
  <si>
    <t xml:space="preserve">4324 FLORENCE AVE </t>
  </si>
  <si>
    <t>BELL</t>
  </si>
  <si>
    <t>90201-3565</t>
  </si>
  <si>
    <t>(323) 771-3377</t>
  </si>
  <si>
    <t>BUTTES CHRISTIAN MANOR</t>
  </si>
  <si>
    <t xml:space="preserve">223 F ST </t>
  </si>
  <si>
    <t>95901-5818</t>
  </si>
  <si>
    <t>(530) 742-2421</t>
  </si>
  <si>
    <t>BANCROFT SENIOR HOMES</t>
  </si>
  <si>
    <t xml:space="preserve">5636 BANCROFT AVE </t>
  </si>
  <si>
    <t>510 534400</t>
  </si>
  <si>
    <t>TRINITY HEALTH SERVICES INC</t>
  </si>
  <si>
    <t>53223-2700</t>
  </si>
  <si>
    <t>(414) 357-8086</t>
  </si>
  <si>
    <t>FARMINGTON HEALTH SERVICES DBA TRINITY CARE C</t>
  </si>
  <si>
    <t xml:space="preserve">3410 213TH ST W </t>
  </si>
  <si>
    <t>55024-1167</t>
  </si>
  <si>
    <t>(651) 463-7818</t>
  </si>
  <si>
    <t>SISTERS OF SAINT BENEDICT</t>
  </si>
  <si>
    <t>PINE HAVEN NURSING &amp; REHABILITATION CENTER</t>
  </si>
  <si>
    <t xml:space="preserve">ROUTE 217 </t>
  </si>
  <si>
    <t>(518) 672-7408</t>
  </si>
  <si>
    <t>MARCUS GARVEY NURSING HOME</t>
  </si>
  <si>
    <t xml:space="preserve">810 SAINT MARKS AVE </t>
  </si>
  <si>
    <t>11213-1420</t>
  </si>
  <si>
    <t xml:space="preserve">508 FREEPORT AVE NW </t>
  </si>
  <si>
    <t>55330-1873</t>
  </si>
  <si>
    <t>MOTHER OF MERCY SENIOR LIVING</t>
  </si>
  <si>
    <t xml:space="preserve">230 CHURCH AVE </t>
  </si>
  <si>
    <t>56307-0676</t>
  </si>
  <si>
    <t>VILLAGE CARE OF NEW YORK</t>
  </si>
  <si>
    <t xml:space="preserve">154 CHRISTOPHER ST BSMT 1 </t>
  </si>
  <si>
    <t>10014-2840</t>
  </si>
  <si>
    <t>STEUBEN COUNTY HEALTH CARE FACILITY</t>
  </si>
  <si>
    <t xml:space="preserve">7002 COUNTY ROUTE 113 </t>
  </si>
  <si>
    <t>BATH</t>
  </si>
  <si>
    <t>14810-7826</t>
  </si>
  <si>
    <t>(607) 776-7651</t>
  </si>
  <si>
    <t>ST. JOSEPH'S ADULT CARE HOME</t>
  </si>
  <si>
    <t xml:space="preserve">125 SISTER SERVANTS LN </t>
  </si>
  <si>
    <t>SLOATSBURG</t>
  </si>
  <si>
    <t>10974-2503</t>
  </si>
  <si>
    <t>(845) 753-2555</t>
  </si>
  <si>
    <t>VILLA MARIA INC.-VILLA MARIA NURSING HOME</t>
  </si>
  <si>
    <t xml:space="preserve">116 S CENTRAL AVE </t>
  </si>
  <si>
    <t>MULVANE</t>
  </si>
  <si>
    <t>67110-1718</t>
  </si>
  <si>
    <t>(316) 777-1129</t>
  </si>
  <si>
    <t>WOLDENBERG VILLAGE</t>
  </si>
  <si>
    <t xml:space="preserve">3701 BEHRMAN PL </t>
  </si>
  <si>
    <t>70114-0910</t>
  </si>
  <si>
    <t>(504) 367-5640</t>
  </si>
  <si>
    <t>VILLAGE OF ORLEANS HEALTH REHABILITATION CTR</t>
  </si>
  <si>
    <t xml:space="preserve">14012 STATE ROUTE 31 </t>
  </si>
  <si>
    <t>ALBION</t>
  </si>
  <si>
    <t>14411-9301</t>
  </si>
  <si>
    <t>(585) 589-5637</t>
  </si>
  <si>
    <t>PINECREST HOME FOR ADULTS</t>
  </si>
  <si>
    <t xml:space="preserve">7 CHARLESWORTH AVE # K </t>
  </si>
  <si>
    <t>AVOCA</t>
  </si>
  <si>
    <t>14809-9422</t>
  </si>
  <si>
    <t>(607) 566-2252</t>
  </si>
  <si>
    <t>ST PETERS NURSING - HOME CARE</t>
  </si>
  <si>
    <t xml:space="preserve">315 S MANNING BLVD </t>
  </si>
  <si>
    <t>12208-1707</t>
  </si>
  <si>
    <t>PECONIC LANDING</t>
  </si>
  <si>
    <t xml:space="preserve">1500 BRECKNOCK RD STE A </t>
  </si>
  <si>
    <t>(631) 477-3800</t>
  </si>
  <si>
    <t>ST. JOHNLAND NURSING CENTER INC</t>
  </si>
  <si>
    <t xml:space="preserve">395 SUNKEN MEADOW RD </t>
  </si>
  <si>
    <t>KINGS PARK</t>
  </si>
  <si>
    <t>11754-1000</t>
  </si>
  <si>
    <t>(631) 269-5800</t>
  </si>
  <si>
    <t>ROBINSON TERRACE</t>
  </si>
  <si>
    <t xml:space="preserve">23 HARPER ST </t>
  </si>
  <si>
    <t>12167-1000</t>
  </si>
  <si>
    <t>(607) 652-7521</t>
  </si>
  <si>
    <t>MT LORETTO NURSING HOME</t>
  </si>
  <si>
    <t xml:space="preserve">302 SWART HILL RD </t>
  </si>
  <si>
    <t>AMSTERDAM</t>
  </si>
  <si>
    <t>12010-7081</t>
  </si>
  <si>
    <t>(518) 842-6790</t>
  </si>
  <si>
    <t>MCGRAW HOUSE</t>
  </si>
  <si>
    <t xml:space="preserve">700 MCGRAW HOUSE </t>
  </si>
  <si>
    <t>14850-5468</t>
  </si>
  <si>
    <t>(607) 272-7054</t>
  </si>
  <si>
    <t>MARTIN LUTHER NURSING HOME</t>
  </si>
  <si>
    <t>(315) 853-5515</t>
  </si>
  <si>
    <t>LADIES' HOME OF OSWEGO INC.</t>
  </si>
  <si>
    <t xml:space="preserve">43 E UTICA ST </t>
  </si>
  <si>
    <t>13126-2617</t>
  </si>
  <si>
    <t>(315) 343-6951</t>
  </si>
  <si>
    <t>IVES HILL RETIREMENT COMMUNITY</t>
  </si>
  <si>
    <t xml:space="preserve">1200 JEWELL DR </t>
  </si>
  <si>
    <t>13601-4247</t>
  </si>
  <si>
    <t>(315) 779-9590</t>
  </si>
  <si>
    <t>INGERSOLL PLACE ASSISTED LIVING - NY</t>
  </si>
  <si>
    <t xml:space="preserve">3359 CONSAUL RD </t>
  </si>
  <si>
    <t>SCHENECTADY</t>
  </si>
  <si>
    <t>12304-2207</t>
  </si>
  <si>
    <t>(518) 370-4419</t>
  </si>
  <si>
    <t>GURWIN H.C.A.</t>
  </si>
  <si>
    <t xml:space="preserve">147 MAIN ST </t>
  </si>
  <si>
    <t>HEAMPSTEAD</t>
  </si>
  <si>
    <t>FIELD HOME - HOLY COMFORT</t>
  </si>
  <si>
    <t xml:space="preserve">2300 CATHERINE ST </t>
  </si>
  <si>
    <t>10567-7231</t>
  </si>
  <si>
    <t>(914) 739-2244</t>
  </si>
  <si>
    <t xml:space="preserve">712 9TH ST S </t>
  </si>
  <si>
    <t>VIRGINIA</t>
  </si>
  <si>
    <t>206-624-3700</t>
  </si>
  <si>
    <t>CAREFREE LIVING VIRGINIA</t>
  </si>
  <si>
    <t xml:space="preserve">421 10TH ST S </t>
  </si>
  <si>
    <t>55792-2867</t>
  </si>
  <si>
    <t>LEWIS COUNTY GENERAL HOSPITAL - RHCF</t>
  </si>
  <si>
    <t xml:space="preserve">7785 N STATE ST </t>
  </si>
  <si>
    <t>LOWVILLE</t>
  </si>
  <si>
    <t>13367-1229</t>
  </si>
  <si>
    <t>(315) 376-5200</t>
  </si>
  <si>
    <t xml:space="preserve">374 VIOLET AVE </t>
  </si>
  <si>
    <t>POUGHKEEPSIE</t>
  </si>
  <si>
    <t>HOSPICE &amp; PALLIATIVE CARE ASSOCIATION OF NYS</t>
  </si>
  <si>
    <t xml:space="preserve">2 COMPUTER DR W STE 105 </t>
  </si>
  <si>
    <t>12205-1622</t>
  </si>
  <si>
    <t>JACARANDA TRACE</t>
  </si>
  <si>
    <t xml:space="preserve">3600 WILLIAM PENN WAY </t>
  </si>
  <si>
    <t>34293-5236</t>
  </si>
  <si>
    <t>(941) 408-2000</t>
  </si>
  <si>
    <t>FAMILY HOUSING MANAGEMENT COMPANY INC</t>
  </si>
  <si>
    <t xml:space="preserve">3100 UNIVERSITY BLVD S STE 235 </t>
  </si>
  <si>
    <t>32216-2727</t>
  </si>
  <si>
    <t>(904) 632-1244</t>
  </si>
  <si>
    <t>JAMES LENOX HOUSE INC.</t>
  </si>
  <si>
    <t xml:space="preserve">49 E 73RD ST </t>
  </si>
  <si>
    <t>10021-3520</t>
  </si>
  <si>
    <t>(212) 288-7379</t>
  </si>
  <si>
    <t>SAN CLEMENTE VILLAS</t>
  </si>
  <si>
    <t xml:space="preserve">1102 N ALEXANDER ST </t>
  </si>
  <si>
    <t>33563-2202</t>
  </si>
  <si>
    <t>(813) 752-2417</t>
  </si>
  <si>
    <t>ACV VILLAGE CAFE</t>
  </si>
  <si>
    <t>800-647-3353</t>
  </si>
  <si>
    <t>HOLLY NURSING CARE CENTER</t>
  </si>
  <si>
    <t xml:space="preserve">320 NORTH 8TH STREET </t>
  </si>
  <si>
    <t>ECHO RIDGE</t>
  </si>
  <si>
    <t xml:space="preserve">1033 GERSHWIN AVE N </t>
  </si>
  <si>
    <t>55128-6147</t>
  </si>
  <si>
    <t>(651) 714-5474</t>
  </si>
  <si>
    <t>KNUTE NELSON HH BAXTER</t>
  </si>
  <si>
    <t xml:space="preserve">15175 EDGEWOOD DR STE 160 </t>
  </si>
  <si>
    <t>BAXTER</t>
  </si>
  <si>
    <t>56401-6944</t>
  </si>
  <si>
    <t>APOSTOLIC CHRISTIAN ASSISTED LIVING</t>
  </si>
  <si>
    <t xml:space="preserve">603 PARAMOUNT ST </t>
  </si>
  <si>
    <t>66534-1571</t>
  </si>
  <si>
    <t>CONCORDIA VILLAGE OF TAMPA</t>
  </si>
  <si>
    <t xml:space="preserve">4100 E FLETCHER AVE </t>
  </si>
  <si>
    <t>33613-4864</t>
  </si>
  <si>
    <t>PATRICIAN ARMS II</t>
  </si>
  <si>
    <t xml:space="preserve">4514 S MANHATTAN AVE </t>
  </si>
  <si>
    <t>33611-2307</t>
  </si>
  <si>
    <t>(813) 443-5761</t>
  </si>
  <si>
    <t>GOLD CREST APARTMENTS</t>
  </si>
  <si>
    <t xml:space="preserve">34 NORTH 12TH ST </t>
  </si>
  <si>
    <t>E STREET FLATS</t>
  </si>
  <si>
    <t xml:space="preserve">1195 W COUNTY RD E </t>
  </si>
  <si>
    <t>ARDEN HILLS</t>
  </si>
  <si>
    <t>430 OAK GROVE</t>
  </si>
  <si>
    <t xml:space="preserve">430 OAK GROVE ST </t>
  </si>
  <si>
    <t>55403-3253</t>
  </si>
  <si>
    <t>JEANNE JUGAN RESIDENCE-LITTLE SISTERS OF THE POOR</t>
  </si>
  <si>
    <t xml:space="preserve">2999 SCHURZ AVE </t>
  </si>
  <si>
    <t>10465-3826</t>
  </si>
  <si>
    <t>(310) 831-6751</t>
  </si>
  <si>
    <t>GURWIN HCA</t>
  </si>
  <si>
    <t xml:space="preserve">330 CONKLIN ST </t>
  </si>
  <si>
    <t>FARMINGDALE</t>
  </si>
  <si>
    <t>11735-2609</t>
  </si>
  <si>
    <t>FOUNDER PAVILION</t>
  </si>
  <si>
    <t xml:space="preserve">205 E 1ST ST </t>
  </si>
  <si>
    <t>CORNING</t>
  </si>
  <si>
    <t>14830-2809</t>
  </si>
  <si>
    <t>(607) 654-2400</t>
  </si>
  <si>
    <t>COACHMAN TRAILS</t>
  </si>
  <si>
    <t xml:space="preserve">1405 OLIVE LN N </t>
  </si>
  <si>
    <t>55447-2966</t>
  </si>
  <si>
    <t xml:space="preserve">3330 213TH ST W </t>
  </si>
  <si>
    <t>55024-1446</t>
  </si>
  <si>
    <t>(651) 460-1104</t>
  </si>
  <si>
    <t>SKYVIEW COURT</t>
  </si>
  <si>
    <t xml:space="preserve">1000 COURT DR </t>
  </si>
  <si>
    <t>56267-9479</t>
  </si>
  <si>
    <t>(320) 589-0245</t>
  </si>
  <si>
    <t>ST THERESE RESIDENCE</t>
  </si>
  <si>
    <t xml:space="preserve">8008 BASS LAKE RD </t>
  </si>
  <si>
    <t>(763) 531-5400</t>
  </si>
  <si>
    <t>ST THERESE FOUNDATION INC</t>
  </si>
  <si>
    <t>SUMMERWOOD OF CHANHASSEN COMMONS</t>
  </si>
  <si>
    <t xml:space="preserve">525 LAKE DR </t>
  </si>
  <si>
    <t>CHANHASSEN</t>
  </si>
  <si>
    <t>55317-8364</t>
  </si>
  <si>
    <t>(952) 975-9955</t>
  </si>
  <si>
    <t>CASTLE RIDGE CARE CENTER INC</t>
  </si>
  <si>
    <t xml:space="preserve">625 PRAIRIE CENTER DR </t>
  </si>
  <si>
    <t>EDEN PRAIRIE</t>
  </si>
  <si>
    <t>55344-5326</t>
  </si>
  <si>
    <t>(952) 942-2100</t>
  </si>
  <si>
    <t>ALEXIAN MANOR</t>
  </si>
  <si>
    <t xml:space="preserve">122 SEVENTH AVENUE </t>
  </si>
  <si>
    <t>ELIZABETH</t>
  </si>
  <si>
    <t>(908) 352-0080</t>
  </si>
  <si>
    <t>SALTZMAN HOUSE</t>
  </si>
  <si>
    <t xml:space="preserve">1401 SPRINGDALE RD </t>
  </si>
  <si>
    <t>CHERRY HILL</t>
  </si>
  <si>
    <t>(856) 751-3343</t>
  </si>
  <si>
    <t>COLDWATER - PRAIRIE PLAZA APTS</t>
  </si>
  <si>
    <t xml:space="preserve">205 S CENTRAL </t>
  </si>
  <si>
    <t>COLDWATER</t>
  </si>
  <si>
    <t xml:space="preserve">200 SW 14TH ST </t>
  </si>
  <si>
    <t>(316) 283-4770</t>
  </si>
  <si>
    <t>CHEYENNE COUNTY VILLAGE INC</t>
  </si>
  <si>
    <t xml:space="preserve">820 S DENISON ST </t>
  </si>
  <si>
    <t>SAINT FRANCIS</t>
  </si>
  <si>
    <t>67756-3541</t>
  </si>
  <si>
    <t>(785) 332-2531</t>
  </si>
  <si>
    <t>ASSISI VILLAGE</t>
  </si>
  <si>
    <t xml:space="preserve">7585 BISHOP OTT DR </t>
  </si>
  <si>
    <t>BATON ROUGE</t>
  </si>
  <si>
    <t>70806-8922</t>
  </si>
  <si>
    <t>(563) 557-7180</t>
  </si>
  <si>
    <t>METROPOLITAN JEWISH HEALTH SYSTEM</t>
  </si>
  <si>
    <t xml:space="preserve">6323 7TH AVE STE 3 </t>
  </si>
  <si>
    <t>11220-4742</t>
  </si>
  <si>
    <t>(718) 921-7950</t>
  </si>
  <si>
    <t>LUTHERAN HOME CENTRAL NY</t>
  </si>
  <si>
    <t xml:space="preserve">108 UTICA RD </t>
  </si>
  <si>
    <t>JUDSON MEADOWS ASSISTED LIVING COMMUNITY</t>
  </si>
  <si>
    <t xml:space="preserve">39 SWAGGERTOWN RD </t>
  </si>
  <si>
    <t>GLENVILLE</t>
  </si>
  <si>
    <t>12302-3226</t>
  </si>
  <si>
    <t>JEWISH FEDERATION APARTMENTS</t>
  </si>
  <si>
    <t xml:space="preserve">275 ESSJAY RD </t>
  </si>
  <si>
    <t>WILLIAMSVILLE</t>
  </si>
  <si>
    <t>14221-5758</t>
  </si>
  <si>
    <t>(716) 631-8471</t>
  </si>
  <si>
    <t>HOSPICE INC.</t>
  </si>
  <si>
    <t xml:space="preserve">34 BROADWAY </t>
  </si>
  <si>
    <t>GOOD SAMARITAN LUTHERAN HOME</t>
  </si>
  <si>
    <t xml:space="preserve">141 ROCKEFELLER RD </t>
  </si>
  <si>
    <t>DELMAR</t>
  </si>
  <si>
    <t>12054-2221</t>
  </si>
  <si>
    <t>ACV MANAGEMENT SERVICES LLC</t>
  </si>
  <si>
    <t xml:space="preserve">10680 DOWLING PARK DR </t>
  </si>
  <si>
    <t>385-658-5500</t>
  </si>
  <si>
    <t>GOLDEN WEST SENIOR RESIDENCE</t>
  </si>
  <si>
    <t xml:space="preserve">1055 ADAMS CIR </t>
  </si>
  <si>
    <t>BOULDER</t>
  </si>
  <si>
    <t>303 444396</t>
  </si>
  <si>
    <t>EAGLE RIDGE OF GRAND VALLEY</t>
  </si>
  <si>
    <t xml:space="preserve">2425 TELLER AVE </t>
  </si>
  <si>
    <t>CLEAR CREEK CARE CENTER</t>
  </si>
  <si>
    <t xml:space="preserve">7481 KNOX PL </t>
  </si>
  <si>
    <t>GOLDEN HILL HEALTHCARE CENTER</t>
  </si>
  <si>
    <t xml:space="preserve">99 GOLDEN HILL DR </t>
  </si>
  <si>
    <t>12401-6442</t>
  </si>
  <si>
    <t>(845) 340-3390</t>
  </si>
  <si>
    <t>FAMILY AND CHILDREN'S SOCIETY (THE)</t>
  </si>
  <si>
    <t xml:space="preserve">257 MAIN ST </t>
  </si>
  <si>
    <t>BINGHAMTON</t>
  </si>
  <si>
    <t>13905-2522</t>
  </si>
  <si>
    <t>(607) 772-9776</t>
  </si>
  <si>
    <t>DR WM O BENENSON PAVILLION</t>
  </si>
  <si>
    <t xml:space="preserve">3617 PARSONS BLVD </t>
  </si>
  <si>
    <t>11354-5931</t>
  </si>
  <si>
    <t>(718) 961-4300</t>
  </si>
  <si>
    <t xml:space="preserve">705 RENAISSANCE DR </t>
  </si>
  <si>
    <t>14221-8052</t>
  </si>
  <si>
    <t>(716) 883-7911</t>
  </si>
  <si>
    <t>LUTHERAN SOCIAL MINISTRIES OF NEW JERSEY</t>
  </si>
  <si>
    <t xml:space="preserve">3 MANHATTAN DR </t>
  </si>
  <si>
    <t>08016-4119</t>
  </si>
  <si>
    <t>(609) 386-7171</t>
  </si>
  <si>
    <t>SEASHORE POINT</t>
  </si>
  <si>
    <t xml:space="preserve">100 ALDEN ST </t>
  </si>
  <si>
    <t>PROVINCETOWN</t>
  </si>
  <si>
    <t>02657-1456</t>
  </si>
  <si>
    <t>(508) 487-7090</t>
  </si>
  <si>
    <t>THE GLENN HOPKINS</t>
  </si>
  <si>
    <t xml:space="preserve">1011 FELTL CT </t>
  </si>
  <si>
    <t>55343-6101</t>
  </si>
  <si>
    <t>SPECTRUM COMMUNITY HEALTH - GRAND RAPIDS</t>
  </si>
  <si>
    <t xml:space="preserve">423 NE 4TH ST STE 7 </t>
  </si>
  <si>
    <t>55744-2968</t>
  </si>
  <si>
    <t>THE HAVEN HOUSE INC</t>
  </si>
  <si>
    <t xml:space="preserve">653 MAIN ST N </t>
  </si>
  <si>
    <t>55008-1273</t>
  </si>
  <si>
    <t>KINGS MANOR</t>
  </si>
  <si>
    <t xml:space="preserve">2946 W COLUMBUS DR </t>
  </si>
  <si>
    <t>33607-2209</t>
  </si>
  <si>
    <t>(813) 875-0139</t>
  </si>
  <si>
    <t>AHEPA 18 APARTMENTS</t>
  </si>
  <si>
    <t xml:space="preserve">4370 COMMUNITY DR </t>
  </si>
  <si>
    <t>33409-2975</t>
  </si>
  <si>
    <t>(561) 687-8120</t>
  </si>
  <si>
    <t>ACV PHILLIPS DINING</t>
  </si>
  <si>
    <t xml:space="preserve">23736 PARK CENTER DR </t>
  </si>
  <si>
    <t>INNOVAGE HOME HEALTH</t>
  </si>
  <si>
    <t xml:space="preserve">445 E 124TH AVE </t>
  </si>
  <si>
    <t>THORNTON</t>
  </si>
  <si>
    <t>303-327-1189</t>
  </si>
  <si>
    <t>INNOVAGE HOME CARE - ESTES PARK</t>
  </si>
  <si>
    <t xml:space="preserve">1911-C WOODSTOCK DR </t>
  </si>
  <si>
    <t>970-586-3118</t>
  </si>
  <si>
    <t>CHRISTIAN HLTH CARE CTR-HILLCREST RESIDENCE</t>
  </si>
  <si>
    <t>NOTRE DAME EDUCATIONAL BRIDGE CENTER</t>
  </si>
  <si>
    <t xml:space="preserve">555 PLANTATION ST </t>
  </si>
  <si>
    <t>01605-2376</t>
  </si>
  <si>
    <t>MARYS MEADOW</t>
  </si>
  <si>
    <t xml:space="preserve">12 GAMELIN ST </t>
  </si>
  <si>
    <t>01040-4080</t>
  </si>
  <si>
    <t>(413) 420-2500</t>
  </si>
  <si>
    <t>HORN HOME FOR THE AGED</t>
  </si>
  <si>
    <t xml:space="preserve">98 SMITH ST </t>
  </si>
  <si>
    <t>LOWELL</t>
  </si>
  <si>
    <t>01851-2614</t>
  </si>
  <si>
    <t>SHERIDAN VILLAGE</t>
  </si>
  <si>
    <t xml:space="preserve">1051 S BLUFFVIEW </t>
  </si>
  <si>
    <t>(316) 681-1172</t>
  </si>
  <si>
    <t>PEDIA TRUST LLC</t>
  </si>
  <si>
    <t xml:space="preserve">6270 SEVENOAKS AVE </t>
  </si>
  <si>
    <t>70806-7330</t>
  </si>
  <si>
    <t>PARK PROVENCE</t>
  </si>
  <si>
    <t xml:space="preserve">1925 POSSUM HOLLOW RD </t>
  </si>
  <si>
    <t>SLIDELL</t>
  </si>
  <si>
    <t>70458-8317</t>
  </si>
  <si>
    <t>LEADINGAGE GULF STATES</t>
  </si>
  <si>
    <t xml:space="preserve">5193 SHARPE RD </t>
  </si>
  <si>
    <t>MARRERO</t>
  </si>
  <si>
    <t>70072-7645</t>
  </si>
  <si>
    <t>504-442-0483</t>
  </si>
  <si>
    <t>ORCHARD VALLEY AT WILBRAH</t>
  </si>
  <si>
    <t xml:space="preserve">2387 BOSTON RD </t>
  </si>
  <si>
    <t>WILBRAHAM</t>
  </si>
  <si>
    <t>01095-1246</t>
  </si>
  <si>
    <t>413-596-0006</t>
  </si>
  <si>
    <t>NICHOLS VILLAGE INC.</t>
  </si>
  <si>
    <t xml:space="preserve">1 NICHOLS WAY </t>
  </si>
  <si>
    <t>GROVELAND</t>
  </si>
  <si>
    <t>01834-1431</t>
  </si>
  <si>
    <t>(978) 372-3930</t>
  </si>
  <si>
    <t>UNITED HELPERS</t>
  </si>
  <si>
    <t xml:space="preserve">30 IRISH SETTLEMENT RD </t>
  </si>
  <si>
    <t>HEUVELTON</t>
  </si>
  <si>
    <t>13654-3109</t>
  </si>
  <si>
    <t>(315) 344-2461</t>
  </si>
  <si>
    <t>CLYMER VILLAGE</t>
  </si>
  <si>
    <t xml:space="preserve">211 RED SCHOOL LN </t>
  </si>
  <si>
    <t>08865-2234</t>
  </si>
  <si>
    <t>(908) 454-4661</t>
  </si>
  <si>
    <t>HARROGATE</t>
  </si>
  <si>
    <t xml:space="preserve">400 LOCUST ST </t>
  </si>
  <si>
    <t>(732) 905-7070</t>
  </si>
  <si>
    <t>JEWISH FEDERATION TOWERS</t>
  </si>
  <si>
    <t xml:space="preserve">1 LINDEN AVE </t>
  </si>
  <si>
    <t>IRVINGTON</t>
  </si>
  <si>
    <t>07111-2581</t>
  </si>
  <si>
    <t>(973) 374-1702</t>
  </si>
  <si>
    <t>CHRISTIAN HLTH CARE CTR-SOUTHGATE BEHAVIOR</t>
  </si>
  <si>
    <t>TURTLE CREEK RESIDENTIAL COMMUNITY</t>
  </si>
  <si>
    <t xml:space="preserve">401 ESSEX ST </t>
  </si>
  <si>
    <t>BEVERLY</t>
  </si>
  <si>
    <t>01915-1977</t>
  </si>
  <si>
    <t>(978) 922-1112</t>
  </si>
  <si>
    <t>AMSTERDAM NURSING HOME</t>
  </si>
  <si>
    <t xml:space="preserve">1060 AMSTERDAM AVE </t>
  </si>
  <si>
    <t>10025-1715</t>
  </si>
  <si>
    <t>(212) 316-7700</t>
  </si>
  <si>
    <t>NOTRE DAME HEALTHCARE INC</t>
  </si>
  <si>
    <t>CATHOLIC CHARITIES</t>
  </si>
  <si>
    <t xml:space="preserve">1213 16TH ST N </t>
  </si>
  <si>
    <t>33705-1032</t>
  </si>
  <si>
    <t>(727) 893-1314</t>
  </si>
  <si>
    <t>COPELAND MEDICAL CENTER</t>
  </si>
  <si>
    <t xml:space="preserve">10820 MARVIN JAMES BLVD </t>
  </si>
  <si>
    <t>LEADING AGE</t>
  </si>
  <si>
    <t xml:space="preserve">2519 CONNECTICUT AVE NW </t>
  </si>
  <si>
    <t>20008-1520</t>
  </si>
  <si>
    <t>(202) 508-9476</t>
  </si>
  <si>
    <t>HIGHLINE REHABILITIATION &amp; CARE COMMUNITY</t>
  </si>
  <si>
    <t xml:space="preserve">6060 E ILIFF AVE </t>
  </si>
  <si>
    <t>INNOVAGE - THORNTON CENTER</t>
  </si>
  <si>
    <t>NORWEGIAN CHRISTIAN HOME &amp; HEALTH CENTER</t>
  </si>
  <si>
    <t xml:space="preserve">1270 67TH ST </t>
  </si>
  <si>
    <t>11219-5921</t>
  </si>
  <si>
    <t>(718) 232-2322</t>
  </si>
  <si>
    <t>DANISH VILLAGE</t>
  </si>
  <si>
    <t xml:space="preserve">2566 WALTON BLVD </t>
  </si>
  <si>
    <t>ROCHESTER HILLS</t>
  </si>
  <si>
    <t>48309-1403</t>
  </si>
  <si>
    <t>(248) 375-1810</t>
  </si>
  <si>
    <t>VILLAGE OF SPRING MEADOWS</t>
  </si>
  <si>
    <t xml:space="preserve">3501 CHERRY BLOSSOM DR </t>
  </si>
  <si>
    <t>49201-8060</t>
  </si>
  <si>
    <t>(517) 788-6679</t>
  </si>
  <si>
    <t>SIMPSON MEMORIAL HOMES INC.</t>
  </si>
  <si>
    <t>SIMPSON MEMORIAL HOME INC.</t>
  </si>
  <si>
    <t xml:space="preserve">1000 N MILLER ST </t>
  </si>
  <si>
    <t>LUTHERAN HOMES OF MUSCATINE</t>
  </si>
  <si>
    <t xml:space="preserve">2421 LUTHERAN DR </t>
  </si>
  <si>
    <t>MUSCATINE</t>
  </si>
  <si>
    <t>52761-9392</t>
  </si>
  <si>
    <t>(563) 263-1241</t>
  </si>
  <si>
    <t>SOJOURNER TRUTH MANOR</t>
  </si>
  <si>
    <t xml:space="preserve">6015 MARTIN LUTHER KING JR WAY </t>
  </si>
  <si>
    <t>510 655441</t>
  </si>
  <si>
    <t>ANTIOCH RIVERTOWN SENIOR HOUSING</t>
  </si>
  <si>
    <t xml:space="preserve">1400 A ST </t>
  </si>
  <si>
    <t>ANTIOCH</t>
  </si>
  <si>
    <t>925 706087</t>
  </si>
  <si>
    <t>INGRAM COURT</t>
  </si>
  <si>
    <t xml:space="preserve">398 INGRAM BLVD </t>
  </si>
  <si>
    <t>870 733900</t>
  </si>
  <si>
    <t>TRINITY PINES</t>
  </si>
  <si>
    <t xml:space="preserve">326 W PINE ST </t>
  </si>
  <si>
    <t>LAKE MILLS</t>
  </si>
  <si>
    <t>53551-1159</t>
  </si>
  <si>
    <t>ELDERLY HOUSING DEVELOPMENT AND</t>
  </si>
  <si>
    <t xml:space="preserve">1580 SAWGRASS CORPORATE PKWY STE 210 </t>
  </si>
  <si>
    <t>SUNRISE</t>
  </si>
  <si>
    <t>33323-2869</t>
  </si>
  <si>
    <t>(954) 835-9200</t>
  </si>
  <si>
    <t>ST MARY TOWERS</t>
  </si>
  <si>
    <t xml:space="preserve">7615 NW 2ND AVE </t>
  </si>
  <si>
    <t>33150-3581</t>
  </si>
  <si>
    <t>(305) 757-3190</t>
  </si>
  <si>
    <t>PATRICIAN ARMS</t>
  </si>
  <si>
    <t xml:space="preserve">4516 S MANHATTAN AVE </t>
  </si>
  <si>
    <t>33611-2333</t>
  </si>
  <si>
    <t>(813) 835-8227</t>
  </si>
  <si>
    <t>DOWLING PARK HOME INC</t>
  </si>
  <si>
    <t xml:space="preserve">23740 PARK CENTER DR </t>
  </si>
  <si>
    <t>32064-8248</t>
  </si>
  <si>
    <t>(386) 658-5400</t>
  </si>
  <si>
    <t>NORTH STAR REHABILITATION &amp; CARE COMMUNITY</t>
  </si>
  <si>
    <t xml:space="preserve">3185 W ARKANSAS AVE </t>
  </si>
  <si>
    <t>LEADINGAGE NEW YORK</t>
  </si>
  <si>
    <t xml:space="preserve">13 BRITISH AMERICAN BLVD STE 2 </t>
  </si>
  <si>
    <t>LATHAM</t>
  </si>
  <si>
    <t>12110-1431</t>
  </si>
  <si>
    <t>(518) 867-8383</t>
  </si>
  <si>
    <t>FOX RUN AT ORCHARD PARK</t>
  </si>
  <si>
    <t xml:space="preserve">ONE FOX RUN LN </t>
  </si>
  <si>
    <t>ORCHARD</t>
  </si>
  <si>
    <t>(716) 662-5001</t>
  </si>
  <si>
    <t>BERGQUIST MEMORIAL</t>
  </si>
  <si>
    <t xml:space="preserve">4600 ROUTE 60 </t>
  </si>
  <si>
    <t>GERRY</t>
  </si>
  <si>
    <t>14740-9562</t>
  </si>
  <si>
    <t>SUMMERWOOD OF CHANHASSEN TERRACE</t>
  </si>
  <si>
    <t xml:space="preserve">545 LAKE DR </t>
  </si>
  <si>
    <t>55317-9305</t>
  </si>
  <si>
    <t>(651) 765-3888</t>
  </si>
  <si>
    <t>MAJORIE DOYLE ROCKWELL CENTER</t>
  </si>
  <si>
    <t xml:space="preserve">421 W COLUMBIA </t>
  </si>
  <si>
    <t>COHOES</t>
  </si>
  <si>
    <t>(518) 238-4150</t>
  </si>
  <si>
    <t>GLEN AT HILAND MEADOWS INC (THE)</t>
  </si>
  <si>
    <t xml:space="preserve">39 LONGVIEW DR </t>
  </si>
  <si>
    <t>12804-5935</t>
  </si>
  <si>
    <t>(518) 832-7800</t>
  </si>
  <si>
    <t>ST. ELIZABETH ANN'S HEALTH CARE &amp; REHAB CNTR</t>
  </si>
  <si>
    <t xml:space="preserve">91 TOMPKINS AVE </t>
  </si>
  <si>
    <t>10304-2601</t>
  </si>
  <si>
    <t>(718) 876-1099</t>
  </si>
  <si>
    <t>CATHOLIC CARE CENTER</t>
  </si>
  <si>
    <t xml:space="preserve">6700 E 45TH ST N </t>
  </si>
  <si>
    <t>67226-8817</t>
  </si>
  <si>
    <t>(316) 744-2020</t>
  </si>
  <si>
    <t>ANN BLDG</t>
  </si>
  <si>
    <t xml:space="preserve">818 ANN AVE </t>
  </si>
  <si>
    <t>GOOD SAMARITAN SOCIETY LIBERAL</t>
  </si>
  <si>
    <t xml:space="preserve">2160 ZINNIA LN </t>
  </si>
  <si>
    <t>LIBERAL</t>
  </si>
  <si>
    <t>67901-2042</t>
  </si>
  <si>
    <t>(316) 624-3831</t>
  </si>
  <si>
    <t>VIA CHRISTI VILLAGE HAYES</t>
  </si>
  <si>
    <t xml:space="preserve">2225 CANTERBURY DR </t>
  </si>
  <si>
    <t>67601-2300</t>
  </si>
  <si>
    <t>(785) 628-8742</t>
  </si>
  <si>
    <t>COLORADO PLAZA</t>
  </si>
  <si>
    <t xml:space="preserve">420 COLORADO ST APT 50 </t>
  </si>
  <si>
    <t>66502-6259</t>
  </si>
  <si>
    <t>(785) 776-7994</t>
  </si>
  <si>
    <t>CEDAR SQUARE</t>
  </si>
  <si>
    <t xml:space="preserve">1550 S CEDAR ST </t>
  </si>
  <si>
    <t>66067-3913</t>
  </si>
  <si>
    <t>(785) 242-8110</t>
  </si>
  <si>
    <t>PRESBYTERIAN HOME FOR CENTRAL NEW YORK INC.</t>
  </si>
  <si>
    <t xml:space="preserve">4290 MIDDLE SETTLEMENT RD </t>
  </si>
  <si>
    <t>13413-5314</t>
  </si>
  <si>
    <t>(315) 797-7500</t>
  </si>
  <si>
    <t>EAGLECREST COMMONS</t>
  </si>
  <si>
    <t xml:space="preserve">2945 LINCOLN DR </t>
  </si>
  <si>
    <t>55113-1338</t>
  </si>
  <si>
    <t>(651) 628-3000</t>
  </si>
  <si>
    <t>BEACON HILL TERRACE</t>
  </si>
  <si>
    <t xml:space="preserve">5330 BEACON HILL RD </t>
  </si>
  <si>
    <t>55345-5858</t>
  </si>
  <si>
    <t>(952) 988-8800</t>
  </si>
  <si>
    <t>STONECREST</t>
  </si>
  <si>
    <t xml:space="preserve">8723 PROMENADE LANE </t>
  </si>
  <si>
    <t>55125-9605</t>
  </si>
  <si>
    <t>(651) 264-3200</t>
  </si>
  <si>
    <t>FARMSTEAD TERRACE</t>
  </si>
  <si>
    <t xml:space="preserve">13742 MARIGOLD ST NW </t>
  </si>
  <si>
    <t>55304-3724</t>
  </si>
  <si>
    <t>COURT APARTMENTS (THE)</t>
  </si>
  <si>
    <t xml:space="preserve">4501 SHORELINE DR </t>
  </si>
  <si>
    <t>55384-9758</t>
  </si>
  <si>
    <t>CENTRAL TOWERS INC</t>
  </si>
  <si>
    <t xml:space="preserve">20 EXCHANGE ST E </t>
  </si>
  <si>
    <t>55101-5200</t>
  </si>
  <si>
    <t>(651) 215-4600</t>
  </si>
  <si>
    <t>CHRISTIAN HLTH CARE CTR-LONGVIEW ASSISTED LIV</t>
  </si>
  <si>
    <t>PIONEER MAIN</t>
  </si>
  <si>
    <t>56537-3518</t>
  </si>
  <si>
    <t>SILVERLEAF OF AUGUSTA</t>
  </si>
  <si>
    <t xml:space="preserve">909 BRIDGE CREEK LN </t>
  </si>
  <si>
    <t>SHOREHAVENS CENTER FOR LIFE ENRICHMENT</t>
  </si>
  <si>
    <t xml:space="preserve">1306 W WISCONSIN AVE </t>
  </si>
  <si>
    <t>SHEBOYGAN SENIOR COMMUNITY</t>
  </si>
  <si>
    <t xml:space="preserve">3505 COUNTY ROAD Y </t>
  </si>
  <si>
    <t>53083-2400</t>
  </si>
  <si>
    <t>(920) 458-2137</t>
  </si>
  <si>
    <t>MARIA REGINA RESIDENCE</t>
  </si>
  <si>
    <t xml:space="preserve">1725 BRENTWOOD RD </t>
  </si>
  <si>
    <t>(631) 273-4500</t>
  </si>
  <si>
    <t>HERITAGE (THE)</t>
  </si>
  <si>
    <t xml:space="preserve">1450 PORTLAND AVE </t>
  </si>
  <si>
    <t>CORTLAND PARK REHAB/NURSING CTR</t>
  </si>
  <si>
    <t xml:space="preserve">193 CLINTON AVE </t>
  </si>
  <si>
    <t>CORTLAND</t>
  </si>
  <si>
    <t>13045-1420</t>
  </si>
  <si>
    <t>BISHOPS COMMONS AT ST LUKE</t>
  </si>
  <si>
    <t xml:space="preserve">4 BURKLE ST </t>
  </si>
  <si>
    <t>13126-3235</t>
  </si>
  <si>
    <t>(315) 349-0799</t>
  </si>
  <si>
    <t>BASSETT HC NETWORK-VALLEY HEALTH SERVICES</t>
  </si>
  <si>
    <t xml:space="preserve">690 W GERMAN ST </t>
  </si>
  <si>
    <t>13350-2135</t>
  </si>
  <si>
    <t>(315) 866-3330</t>
  </si>
  <si>
    <t>PARK TERRACE</t>
  </si>
  <si>
    <t xml:space="preserve">1047 HILL STREET </t>
  </si>
  <si>
    <t>LINCOLN VILLA</t>
  </si>
  <si>
    <t xml:space="preserve">5820 LINCOLN VILLAGE DR </t>
  </si>
  <si>
    <t>53406-4698</t>
  </si>
  <si>
    <t>(262) 637-7877</t>
  </si>
  <si>
    <t>GREYSTONE FARM AT SALEM</t>
  </si>
  <si>
    <t xml:space="preserve">242 MAIN ST </t>
  </si>
  <si>
    <t>03079-2752</t>
  </si>
  <si>
    <t>(603) 898-5393</t>
  </si>
  <si>
    <t>RIVERWOODS CO AT EXETER NH</t>
  </si>
  <si>
    <t xml:space="preserve">6 TIMBER LN </t>
  </si>
  <si>
    <t>EXETER</t>
  </si>
  <si>
    <t>(603) 772-4700</t>
  </si>
  <si>
    <t>PRELUDE HOMES AND SERVICES - WOODBURY SOUTH</t>
  </si>
  <si>
    <t xml:space="preserve">10020 RALEIGH RD </t>
  </si>
  <si>
    <t>55129-5004</t>
  </si>
  <si>
    <t>ACV FAMILY SERVICES LLC</t>
  </si>
  <si>
    <t xml:space="preserve">23730 PARK CENTER DR </t>
  </si>
  <si>
    <t>SUMMIT REHABILITATION &amp; CARE COMMUNITY</t>
  </si>
  <si>
    <t xml:space="preserve">500 GENEVA ST </t>
  </si>
  <si>
    <t>COMMUNITY WELLNESS PARTNERS</t>
  </si>
  <si>
    <t>CAYUGA COUNTY NURSING HM</t>
  </si>
  <si>
    <t xml:space="preserve">7451 COUNTY HOUSE RD </t>
  </si>
  <si>
    <t>13021-8216</t>
  </si>
  <si>
    <t>(315) 253-7346</t>
  </si>
  <si>
    <t>OAK CREST SENIOR HOUSING</t>
  </si>
  <si>
    <t xml:space="preserve">201 10TH ST SE </t>
  </si>
  <si>
    <t>ROSEAU</t>
  </si>
  <si>
    <t>56751-2225</t>
  </si>
  <si>
    <t>MARANATHA CARE CENTER</t>
  </si>
  <si>
    <t xml:space="preserve">5401 N 69TH AVE </t>
  </si>
  <si>
    <t>BROOKLYN CENTER</t>
  </si>
  <si>
    <t>55429-1505</t>
  </si>
  <si>
    <t>(763) 549-9600</t>
  </si>
  <si>
    <t>LAKEVIEW SENIOR HOUSING</t>
  </si>
  <si>
    <t xml:space="preserve">651 US HWY 14 EAST </t>
  </si>
  <si>
    <t>(507) 734-6828</t>
  </si>
  <si>
    <t>HERITAGE MANOR-PARK RAPIDS</t>
  </si>
  <si>
    <t xml:space="preserve">602 FAIR AVE </t>
  </si>
  <si>
    <t>GETTY STREET ASSISTED LIVING</t>
  </si>
  <si>
    <t xml:space="preserve">1214 GETTY ST S </t>
  </si>
  <si>
    <t>SAUK CENTRE</t>
  </si>
  <si>
    <t>56378-1432</t>
  </si>
  <si>
    <t>(716) 985-6830</t>
  </si>
  <si>
    <t>CABRINI LONG TERM HOME HEALTH CARE</t>
  </si>
  <si>
    <t xml:space="preserve">220 E 19TH ST </t>
  </si>
  <si>
    <t>10003-2600</t>
  </si>
  <si>
    <t>ARKELL HALL FOUNDATION INC</t>
  </si>
  <si>
    <t xml:space="preserve">55 MONTGOMERY ST </t>
  </si>
  <si>
    <t>CANAJOHARIE</t>
  </si>
  <si>
    <t>13317-1209</t>
  </si>
  <si>
    <t>(518) 673-5417</t>
  </si>
  <si>
    <t>UNITED HELPERS DAY HABILITATION</t>
  </si>
  <si>
    <t xml:space="preserve">101 FORD ST </t>
  </si>
  <si>
    <t>13669-1419</t>
  </si>
  <si>
    <t>(315) 393-4243</t>
  </si>
  <si>
    <t>SIENA VILLAGE OF WAYNE</t>
  </si>
  <si>
    <t xml:space="preserve">1000 SIENA VILLAGE </t>
  </si>
  <si>
    <t>CHRISTIAN HLTH CARE CTR-WOODSIDE ADULT DAY SC</t>
  </si>
  <si>
    <t>CNR HEALTHCARE NETWORK</t>
  </si>
  <si>
    <t xml:space="preserve">520 PROSPECT PL </t>
  </si>
  <si>
    <t>11238-4205</t>
  </si>
  <si>
    <t>AGING IN AMERICA INC</t>
  </si>
  <si>
    <t xml:space="preserve">1000 PELHAM PKWY S </t>
  </si>
  <si>
    <t>10461-1003</t>
  </si>
  <si>
    <t>(877) 244-6469</t>
  </si>
  <si>
    <t>UNITED METHODIST HOMES</t>
  </si>
  <si>
    <t xml:space="preserve">10 ACRE PL </t>
  </si>
  <si>
    <t>13904-2715</t>
  </si>
  <si>
    <t>SAINT LOUISE MANOR</t>
  </si>
  <si>
    <t xml:space="preserve">853 UPPER FRONT ST </t>
  </si>
  <si>
    <t>(607) 722-9223</t>
  </si>
  <si>
    <t>UNITED HELPERS INDEPENDENT RESIDENCE INC</t>
  </si>
  <si>
    <t>(315) 379-1428</t>
  </si>
  <si>
    <t>VINECROFT</t>
  </si>
  <si>
    <t xml:space="preserve">5945 VINECROFT DR </t>
  </si>
  <si>
    <t>CLARENCE CENTER</t>
  </si>
  <si>
    <t>14032-9156</t>
  </si>
  <si>
    <t>(716) 741-7741</t>
  </si>
  <si>
    <t>CHRISTIAN HLTH CARE CTR-EVERGREEN COURT</t>
  </si>
  <si>
    <t>WALTHAM CROSSINGS</t>
  </si>
  <si>
    <t xml:space="preserve">126 SMITH ST </t>
  </si>
  <si>
    <t>WALTHAM</t>
  </si>
  <si>
    <t>02451-1300</t>
  </si>
  <si>
    <t>(781) 466-9912</t>
  </si>
  <si>
    <t>CHRISTIAN HLTH CARE CTR-HERITAGE MANOR NURS.</t>
  </si>
  <si>
    <t>NORTH SHORE ELDER SERVICES</t>
  </si>
  <si>
    <t xml:space="preserve">300 ROSEWOOD DR STE 200 </t>
  </si>
  <si>
    <t>DANVERS</t>
  </si>
  <si>
    <t>01923-1389</t>
  </si>
  <si>
    <t>978-750-4540</t>
  </si>
  <si>
    <t>LASELL VILLAGE</t>
  </si>
  <si>
    <t xml:space="preserve">120 SEMINARY AVE </t>
  </si>
  <si>
    <t>AUBURNDALE</t>
  </si>
  <si>
    <t>02466-2650</t>
  </si>
  <si>
    <t>(617) 663-7000</t>
  </si>
  <si>
    <t>GARDENS AT FELICIAN VILLAGE</t>
  </si>
  <si>
    <t xml:space="preserve">1700 S 18TH ST </t>
  </si>
  <si>
    <t>54220-6000</t>
  </si>
  <si>
    <t>(920) 684-7171</t>
  </si>
  <si>
    <t>EVERGREEN VILLAGE INC</t>
  </si>
  <si>
    <t>LAFARGE AREA SENIOR CONCERNS</t>
  </si>
  <si>
    <t>MERIT CENTRE NORTH</t>
  </si>
  <si>
    <t xml:space="preserve">1020 WINDSOR ST </t>
  </si>
  <si>
    <t>608 784270</t>
  </si>
  <si>
    <t>AMERICAN LUTHERAN HOMES-MEMOMONIE</t>
  </si>
  <si>
    <t xml:space="preserve">915 ELM AVE E </t>
  </si>
  <si>
    <t>54751-1613</t>
  </si>
  <si>
    <t>(715) 235-9041</t>
  </si>
  <si>
    <t>HARBOR POINT AT CENTERVILLE</t>
  </si>
  <si>
    <t xml:space="preserve">22 RICHARDSON RD </t>
  </si>
  <si>
    <t>02632-2453</t>
  </si>
  <si>
    <t>(508) 778-2311</t>
  </si>
  <si>
    <t>CURBSIDE HOSPITALITY INC</t>
  </si>
  <si>
    <t xml:space="preserve">500 CUMMINGS CTR STE 4900 </t>
  </si>
  <si>
    <t>01915-6518</t>
  </si>
  <si>
    <t>HOME FOR AGED PEOPLE IN FALL RIVER (THE)</t>
  </si>
  <si>
    <t xml:space="preserve">1168 HIGHLAND AVE </t>
  </si>
  <si>
    <t>02720-5710</t>
  </si>
  <si>
    <t>BETHANY COMMUNITY SERVICES</t>
  </si>
  <si>
    <t xml:space="preserve">100 WATER STREET </t>
  </si>
  <si>
    <t>HAVERHILL</t>
  </si>
  <si>
    <t>(978) 374-2168</t>
  </si>
  <si>
    <t>SOPHIA SNOW HOUSE</t>
  </si>
  <si>
    <t xml:space="preserve">1215 CENTRE ST </t>
  </si>
  <si>
    <t>ROSLINDALE</t>
  </si>
  <si>
    <t>02131-1010</t>
  </si>
  <si>
    <t>(617) 325-7900</t>
  </si>
  <si>
    <t>ROGERSON COMMUNITIES ADULT DAY CENTER</t>
  </si>
  <si>
    <t xml:space="preserve">23 FLORENCE ST </t>
  </si>
  <si>
    <t>02131-3638</t>
  </si>
  <si>
    <t>(617) 469-5829</t>
  </si>
  <si>
    <t>RESTORATION PLAZA I &amp; II</t>
  </si>
  <si>
    <t xml:space="preserve">4800 TAMARACK BLVD </t>
  </si>
  <si>
    <t>614 846004</t>
  </si>
  <si>
    <t>ISLAND PARKWAY MANOR</t>
  </si>
  <si>
    <t xml:space="preserve">1602 E 2ND ST </t>
  </si>
  <si>
    <t>419 784540</t>
  </si>
  <si>
    <t>LIONS GATE</t>
  </si>
  <si>
    <t xml:space="preserve">1100 LAUREL OAK RD </t>
  </si>
  <si>
    <t>VOORHEES</t>
  </si>
  <si>
    <t>08043-4363</t>
  </si>
  <si>
    <t>(856) 679-2200</t>
  </si>
  <si>
    <t>JEWISH COMMUNITY HOUSING CORPORATION</t>
  </si>
  <si>
    <t>CHRISTIAN HLTH CARE CTR-PATHWAYS PARTIAL HOSP</t>
  </si>
  <si>
    <t>CHRISTIAN HEALTH CARE CENTER</t>
  </si>
  <si>
    <t>CHRISTIAN HEALTH CARE ADULT DAY SERVICES OF WAYNE</t>
  </si>
  <si>
    <t xml:space="preserve">2000 SIENA VILLAGE </t>
  </si>
  <si>
    <t>OVERLOOK MASONIC HEALTH CENTER</t>
  </si>
  <si>
    <t xml:space="preserve">88 MASONIC HOME RD </t>
  </si>
  <si>
    <t>CHARLTON</t>
  </si>
  <si>
    <t>01507-1394</t>
  </si>
  <si>
    <t>(508) 434-2317</t>
  </si>
  <si>
    <t>MCHENRY HOUSE</t>
  </si>
  <si>
    <t xml:space="preserve">3600 MCHENRY AVE </t>
  </si>
  <si>
    <t>513-541-5006</t>
  </si>
  <si>
    <t>HOPETON TERRACE</t>
  </si>
  <si>
    <t xml:space="preserve">55 SUNRUSH BLVD </t>
  </si>
  <si>
    <t>740-773-5871</t>
  </si>
  <si>
    <t>GRAND PLACE</t>
  </si>
  <si>
    <t xml:space="preserve">729 W GRAND AVE </t>
  </si>
  <si>
    <t>GRAND HAVEN COMMONS</t>
  </si>
  <si>
    <t xml:space="preserve">7500 TUSSING RD </t>
  </si>
  <si>
    <t>REYNOLDSBURG</t>
  </si>
  <si>
    <t>614-322-9290</t>
  </si>
  <si>
    <t>BLANCHARD HOUSE</t>
  </si>
  <si>
    <t xml:space="preserve">2000 N BLANCHARD ST </t>
  </si>
  <si>
    <t>45840-8100</t>
  </si>
  <si>
    <t>(419) 425-1010</t>
  </si>
  <si>
    <t>REEDS LANDING</t>
  </si>
  <si>
    <t xml:space="preserve">807 WILBRAHAM RD </t>
  </si>
  <si>
    <t>01109-2067</t>
  </si>
  <si>
    <t>LEOMINSTER CROSSINGS</t>
  </si>
  <si>
    <t xml:space="preserve">1160 MAIN ST </t>
  </si>
  <si>
    <t>LEOMINSTER</t>
  </si>
  <si>
    <t>01453-8709</t>
  </si>
  <si>
    <t>(978) 537-2424</t>
  </si>
  <si>
    <t>DOOLITTLE HOME INC.</t>
  </si>
  <si>
    <t xml:space="preserve">16 BIRD ST </t>
  </si>
  <si>
    <t>FOXBORO</t>
  </si>
  <si>
    <t>02035-2323</t>
  </si>
  <si>
    <t>(508) 543-2694</t>
  </si>
  <si>
    <t>BAY VIEW RETIREMENT COMMUNITY</t>
  </si>
  <si>
    <t xml:space="preserve">4380 N MAIN ST </t>
  </si>
  <si>
    <t>02720-1711</t>
  </si>
  <si>
    <t>(508) 677-0833</t>
  </si>
  <si>
    <t>MAYFIELD VILLAGE</t>
  </si>
  <si>
    <t xml:space="preserve">2030 AARON DR </t>
  </si>
  <si>
    <t>513-422-2855</t>
  </si>
  <si>
    <t>HUFFMAN PLACE</t>
  </si>
  <si>
    <t xml:space="preserve">100 HUFFMAN AVE </t>
  </si>
  <si>
    <t>SUMMIT ELDERCARE LEOMINSTER</t>
  </si>
  <si>
    <t xml:space="preserve">55 CINEMA BLVD </t>
  </si>
  <si>
    <t>01453-3290</t>
  </si>
  <si>
    <t>(978) 401-3100</t>
  </si>
  <si>
    <t>SUMMIT ELDERCARE CHARTON</t>
  </si>
  <si>
    <t>(508) 434-3200</t>
  </si>
  <si>
    <t>WILLIAM B. RICE EVENTIDE HOME</t>
  </si>
  <si>
    <t xml:space="preserve">25 STONEHAVEN DR </t>
  </si>
  <si>
    <t>SOUTH WEYMOUTH</t>
  </si>
  <si>
    <t>02190-3951</t>
  </si>
  <si>
    <t>(617) 472-8300</t>
  </si>
  <si>
    <t>MILTON FULLER HOUSING CORPORATION</t>
  </si>
  <si>
    <t xml:space="preserve">1399 BLUE HILL AVE </t>
  </si>
  <si>
    <t>MILTON</t>
  </si>
  <si>
    <t>(617) 361-7900</t>
  </si>
  <si>
    <t>CHESTNUT HOUSE</t>
  </si>
  <si>
    <t xml:space="preserve">771 CHESTNUT DR </t>
  </si>
  <si>
    <t>614-577-8638</t>
  </si>
  <si>
    <t>MAYFIELD MANOR I</t>
  </si>
  <si>
    <t xml:space="preserve">3884 11TH ST SW </t>
  </si>
  <si>
    <t>BRYN MAWR GLEN</t>
  </si>
  <si>
    <t xml:space="preserve">171 BRYN MAWR ST </t>
  </si>
  <si>
    <t>RAVENNA</t>
  </si>
  <si>
    <t>330 296104</t>
  </si>
  <si>
    <t>BRISTOL COURT</t>
  </si>
  <si>
    <t xml:space="preserve">600 E 5TH ST </t>
  </si>
  <si>
    <t>740-947-7040</t>
  </si>
  <si>
    <t>MAPLE KNOLL COMMUNITIES INC</t>
  </si>
  <si>
    <t xml:space="preserve">1248 SPRINDFIELD PIKE </t>
  </si>
  <si>
    <t>TWIN TOWERS</t>
  </si>
  <si>
    <t xml:space="preserve">5343 HAMILTON AVE </t>
  </si>
  <si>
    <t>45224-3130</t>
  </si>
  <si>
    <t>(513) 853-2000</t>
  </si>
  <si>
    <t>OLYMPIC VILLAGE RETIREMENT COMMUNITY</t>
  </si>
  <si>
    <t xml:space="preserve">1000 HUNTERS TRL </t>
  </si>
  <si>
    <t>SUN PRAIRIE</t>
  </si>
  <si>
    <t>53590-2593</t>
  </si>
  <si>
    <t>RIVER PINES</t>
  </si>
  <si>
    <t xml:space="preserve">206 N WILLSON DR </t>
  </si>
  <si>
    <t>54720-1274</t>
  </si>
  <si>
    <t>(715) 598-7800</t>
  </si>
  <si>
    <t>COLONIAL SENIOR SERVICES</t>
  </si>
  <si>
    <t xml:space="preserve">100 BERKLEY DR </t>
  </si>
  <si>
    <t>513-856-8600</t>
  </si>
  <si>
    <t>MANUEL R GRELL HOME CARE AGENCY INC</t>
  </si>
  <si>
    <t xml:space="preserve">201 CAPTAINS ROW </t>
  </si>
  <si>
    <t>02150-4068</t>
  </si>
  <si>
    <t>617-889-8744</t>
  </si>
  <si>
    <t>CADBURY COMMONS</t>
  </si>
  <si>
    <t xml:space="preserve">66 SHERMAN ST </t>
  </si>
  <si>
    <t>02140-3527</t>
  </si>
  <si>
    <t>(617) 868-0575</t>
  </si>
  <si>
    <t>BROOKHAVEN AT LEXINGTON</t>
  </si>
  <si>
    <t xml:space="preserve">1010 WALTHAM ST </t>
  </si>
  <si>
    <t>02421-8044</t>
  </si>
  <si>
    <t>(781) 863-9660</t>
  </si>
  <si>
    <t>BENCHMARK ASSISTED LIVING</t>
  </si>
  <si>
    <t xml:space="preserve">40 WILLIAM ST STE 350 </t>
  </si>
  <si>
    <t>WELLESLEY</t>
  </si>
  <si>
    <t>CHRISTIAN HEALTH CARE ADULT DAY SERVICES OF WYCKOFF</t>
  </si>
  <si>
    <t xml:space="preserve">301 SICOMAC AVENUE </t>
  </si>
  <si>
    <t>TATNUCK PARK AT WORCESTER</t>
  </si>
  <si>
    <t xml:space="preserve">340 MAY ST </t>
  </si>
  <si>
    <t>01602-1800</t>
  </si>
  <si>
    <t>(508) 755-7277</t>
  </si>
  <si>
    <t>SHREWSBURY CROSSINGS</t>
  </si>
  <si>
    <t xml:space="preserve">311 MAIN ST </t>
  </si>
  <si>
    <t>01545-2298</t>
  </si>
  <si>
    <t>(508) 845-2100</t>
  </si>
  <si>
    <t>PRAIRIE POINTE</t>
  </si>
  <si>
    <t xml:space="preserve">286 N WILLSON DR </t>
  </si>
  <si>
    <t>SANDY RIDGE</t>
  </si>
  <si>
    <t>MARJORIE P LEE RETIREMENT COMMUNITY</t>
  </si>
  <si>
    <t>513 871209</t>
  </si>
  <si>
    <t>CLINTON COURTYARD</t>
  </si>
  <si>
    <t xml:space="preserve">105 ROYAL LN </t>
  </si>
  <si>
    <t>28328-3229</t>
  </si>
  <si>
    <t>910-592-1360</t>
  </si>
  <si>
    <t>LATHROP COMMUNITY INC</t>
  </si>
  <si>
    <t xml:space="preserve">1 SHALLOWBROOK LN </t>
  </si>
  <si>
    <t>NORTHAMPTON</t>
  </si>
  <si>
    <t>413 586000</t>
  </si>
  <si>
    <t>FELICIAN VILLAGE</t>
  </si>
  <si>
    <t>920-684-7171</t>
  </si>
  <si>
    <t>CLARE SUITES AT CLEMENT MANOR</t>
  </si>
  <si>
    <t xml:space="preserve">3939 W 92ND ST </t>
  </si>
  <si>
    <t>CEDAR LAKE HEALTH &amp; REHABILITATION CENTER</t>
  </si>
  <si>
    <t xml:space="preserve">5595 COUNTY ROAD Z </t>
  </si>
  <si>
    <t>53095-9224</t>
  </si>
  <si>
    <t>CEDAR COMMUNITY - CEDAR BAY WEST</t>
  </si>
  <si>
    <t xml:space="preserve">5555 CEDAR BAY </t>
  </si>
  <si>
    <t>53095-7602</t>
  </si>
  <si>
    <t>(262) 306-2130</t>
  </si>
  <si>
    <t>BETHEL HOMES AND SERVICES INC - SKILLED NURSI</t>
  </si>
  <si>
    <t>HOPETON VILLAGE</t>
  </si>
  <si>
    <t xml:space="preserve">153 UNIVERSITY DR </t>
  </si>
  <si>
    <t>740-773-5220</t>
  </si>
  <si>
    <t>CHERRY BLOSSOM APARTMENTS</t>
  </si>
  <si>
    <t xml:space="preserve">5225 CHERRY CREEK PKWY N </t>
  </si>
  <si>
    <t>614-853-2315</t>
  </si>
  <si>
    <t>ARGUS GREEN</t>
  </si>
  <si>
    <t xml:space="preserve">3400 VISION CENTER CT </t>
  </si>
  <si>
    <t>ARGUS COURT</t>
  </si>
  <si>
    <t>614-236-5661</t>
  </si>
  <si>
    <t>PARK VISTA SENIOR HOUSING MANAGEMENT</t>
  </si>
  <si>
    <t>TENNYSON SENIOR LIVING COMMUNITY</t>
  </si>
  <si>
    <t xml:space="preserve">1936 TENNYSON LN STE 100 </t>
  </si>
  <si>
    <t>608-286-1410</t>
  </si>
  <si>
    <t>PLYMOUTH CROSSINGS</t>
  </si>
  <si>
    <t xml:space="preserve">157 SOUTH ST </t>
  </si>
  <si>
    <t>02360-7605</t>
  </si>
  <si>
    <t>508-830-4474</t>
  </si>
  <si>
    <t>HIGHVIEW OF NORTHAMPTON</t>
  </si>
  <si>
    <t xml:space="preserve">222 RIVER RD </t>
  </si>
  <si>
    <t>01053-9783</t>
  </si>
  <si>
    <t>508-434-2262</t>
  </si>
  <si>
    <t>HEBREW SENIORLIFE</t>
  </si>
  <si>
    <t xml:space="preserve">1200 CENTRE ST </t>
  </si>
  <si>
    <t>BOSTON</t>
  </si>
  <si>
    <t>02131-1011</t>
  </si>
  <si>
    <t>GROVES IN LINCOLN INC (THE)</t>
  </si>
  <si>
    <t xml:space="preserve">1 HARVEST CIR </t>
  </si>
  <si>
    <t>01773-3214</t>
  </si>
  <si>
    <t>508-248-7344</t>
  </si>
  <si>
    <t>GLENMEADOW</t>
  </si>
  <si>
    <t xml:space="preserve">24 TABOR CROSSING </t>
  </si>
  <si>
    <t>LONGMEADOW</t>
  </si>
  <si>
    <t>(413) 567-7800</t>
  </si>
  <si>
    <t>NEW ENGLAND HOMES FOR THE DEAF</t>
  </si>
  <si>
    <t xml:space="preserve">154 WATER ST </t>
  </si>
  <si>
    <t>01923-4103</t>
  </si>
  <si>
    <t>(978) 774-0445</t>
  </si>
  <si>
    <t>JEWISH GERIATRIC SERVICES INC</t>
  </si>
  <si>
    <t xml:space="preserve">770 CONVERSE ST </t>
  </si>
  <si>
    <t>01106-1719</t>
  </si>
  <si>
    <t>DR MATTHEW S SHWARTZ HOSPICE</t>
  </si>
  <si>
    <t>671-887-0826</t>
  </si>
  <si>
    <t>CARLETON-WILLARD VILLAGE</t>
  </si>
  <si>
    <t xml:space="preserve">100 OLD BILLERICA RD </t>
  </si>
  <si>
    <t>01730-1267</t>
  </si>
  <si>
    <t>(781) 275-8700</t>
  </si>
  <si>
    <t>DAVENPORT MEMORIAL HOME</t>
  </si>
  <si>
    <t xml:space="preserve">70 SALEM ST </t>
  </si>
  <si>
    <t>MALDEN</t>
  </si>
  <si>
    <t>02148-5208</t>
  </si>
  <si>
    <t>(781) 324-0150</t>
  </si>
  <si>
    <t>BILLERICA CROSSINGS</t>
  </si>
  <si>
    <t xml:space="preserve">20 CHARNSTAFFE LN </t>
  </si>
  <si>
    <t>BILLERICA</t>
  </si>
  <si>
    <t>(978) 667-0898</t>
  </si>
  <si>
    <t>BETHANY HEALTH CARE CENTER INC.</t>
  </si>
  <si>
    <t xml:space="preserve">97 BETHANY RD </t>
  </si>
  <si>
    <t>FRAMINGHAM</t>
  </si>
  <si>
    <t>01702-7237</t>
  </si>
  <si>
    <t>(508) 872-6750</t>
  </si>
  <si>
    <t>BERKELEY RETIREMENT HOME (THE)</t>
  </si>
  <si>
    <t xml:space="preserve">150 BERKELEY ST </t>
  </si>
  <si>
    <t>01841-1224</t>
  </si>
  <si>
    <t>978-682-1614</t>
  </si>
  <si>
    <t>AVIV CENTERS FOR LIVING</t>
  </si>
  <si>
    <t xml:space="preserve">240 LYNNFIELD ST OFC </t>
  </si>
  <si>
    <t>PEABODY</t>
  </si>
  <si>
    <t>01960-5052</t>
  </si>
  <si>
    <t>(978) 471-5100</t>
  </si>
  <si>
    <t>PACE SOUTHEAST MICHIGAN</t>
  </si>
  <si>
    <t xml:space="preserve">7800 W OUTER DRIVE STE 240 </t>
  </si>
  <si>
    <t>AGING SERVICES OF MICHIGAN</t>
  </si>
  <si>
    <t xml:space="preserve">201 N WASHINGTON SQ STE 920 </t>
  </si>
  <si>
    <t>48933-1323</t>
  </si>
  <si>
    <t>(517) 323-3687</t>
  </si>
  <si>
    <t>VILLA MARIE</t>
  </si>
  <si>
    <t xml:space="preserve">15131 NEWBURGH RD </t>
  </si>
  <si>
    <t>734-464-9494</t>
  </si>
  <si>
    <t>ALEXANDER MERCY LIVING CENTER</t>
  </si>
  <si>
    <t xml:space="preserve">718 W 4TH ST </t>
  </si>
  <si>
    <t>ROYAL OAK</t>
  </si>
  <si>
    <t>248-545-0571</t>
  </si>
  <si>
    <t>DORISH PATRICK CAMPUS</t>
  </si>
  <si>
    <t xml:space="preserve">88 CALVARY DR </t>
  </si>
  <si>
    <t>NORWICH</t>
  </si>
  <si>
    <t>13815-1031</t>
  </si>
  <si>
    <t>LUTHERAN CARE NETWORK (THE)</t>
  </si>
  <si>
    <t xml:space="preserve">277 NORTH AVE STE 201 </t>
  </si>
  <si>
    <t>10801-5123</t>
  </si>
  <si>
    <t>(718) 345-2273</t>
  </si>
  <si>
    <t>LASATA CROSSINGS</t>
  </si>
  <si>
    <t xml:space="preserve">W79N673 WAUWATOSA RD </t>
  </si>
  <si>
    <t>262 512280</t>
  </si>
  <si>
    <t>INDEPENDENT LIVING INC.</t>
  </si>
  <si>
    <t xml:space="preserve">2970 CHAPEL VALLEY RD STE 203 </t>
  </si>
  <si>
    <t xml:space="preserve">1635 S 21ST ST </t>
  </si>
  <si>
    <t>HARVARD VILLAGE SENIOR APARTMENTS</t>
  </si>
  <si>
    <t xml:space="preserve">6900 HARVARD AVE </t>
  </si>
  <si>
    <t>FIRST COMMUNITY VILLAGE</t>
  </si>
  <si>
    <t xml:space="preserve">1800 RIVERSIDE DR </t>
  </si>
  <si>
    <t>614-486-9511</t>
  </si>
  <si>
    <t>EVERGREEN MANORVIEW</t>
  </si>
  <si>
    <t>54902-3217</t>
  </si>
  <si>
    <t>(920) 426-7362</t>
  </si>
  <si>
    <t>CCH OF HUDSON - HUDSON CAMPUS</t>
  </si>
  <si>
    <t xml:space="preserve">1320 WISCONSIN ST </t>
  </si>
  <si>
    <t>715 386930</t>
  </si>
  <si>
    <t>EDEN HOUSE</t>
  </si>
  <si>
    <t xml:space="preserve">19441 EDEN DR </t>
  </si>
  <si>
    <t>GALESVILLE</t>
  </si>
  <si>
    <t>608 582221</t>
  </si>
  <si>
    <t xml:space="preserve">5215 AVERY RD </t>
  </si>
  <si>
    <t>BERKLEY SQUARE</t>
  </si>
  <si>
    <t xml:space="preserve">513-856-8600 </t>
  </si>
  <si>
    <t>DEERFIELD EPISCOPAL RETIREMENT COMMUNITY</t>
  </si>
  <si>
    <t xml:space="preserve">1617 HENDERSONVILLE RD </t>
  </si>
  <si>
    <t>828 274153</t>
  </si>
  <si>
    <t>CHAPEL HILL RESIDENTIAL RETIREMENT CENTER INC</t>
  </si>
  <si>
    <t xml:space="preserve">750 WEAVER DAIRY RD </t>
  </si>
  <si>
    <t>27514-1480</t>
  </si>
  <si>
    <t>ALL SAINTS ASSISTED LIVING &amp; MEMORY CARE</t>
  </si>
  <si>
    <t xml:space="preserve">8210 HIGHVIEW DR </t>
  </si>
  <si>
    <t>53719-3852</t>
  </si>
  <si>
    <t>(608) 827-2990</t>
  </si>
  <si>
    <t>CCH OF OSCEOLA</t>
  </si>
  <si>
    <t xml:space="preserve">2650 65TH AVE </t>
  </si>
  <si>
    <t>RIVERVIEW TERRACE</t>
  </si>
  <si>
    <t xml:space="preserve">120 E MAUMEE AVE </t>
  </si>
  <si>
    <t>NAPOLEON</t>
  </si>
  <si>
    <t>419 592434</t>
  </si>
  <si>
    <t>BRISTOL VILLAGE HOMES INC</t>
  </si>
  <si>
    <t xml:space="preserve">660 E FIFTH ST </t>
  </si>
  <si>
    <t>740-947-2118</t>
  </si>
  <si>
    <t>KNOLLS OF OXFORD (THE)</t>
  </si>
  <si>
    <t xml:space="preserve">6727 CONTRERAS RD </t>
  </si>
  <si>
    <t>513 524799</t>
  </si>
  <si>
    <t>BAPTIST RETIREMENT HOMES OF NC</t>
  </si>
  <si>
    <t xml:space="preserve">1912 BETHABARA RD PO BOX 11024 </t>
  </si>
  <si>
    <t>UNITED CHURCH HOMES AND SERVICES</t>
  </si>
  <si>
    <t xml:space="preserve">100 LEONARD AVE </t>
  </si>
  <si>
    <t>28658-9649</t>
  </si>
  <si>
    <t>(828) 464-8264</t>
  </si>
  <si>
    <t>NEVINS NURSING &amp; REHABILITATION CENTRE</t>
  </si>
  <si>
    <t xml:space="preserve">TEN INGALLS CT </t>
  </si>
  <si>
    <t>METHUEN</t>
  </si>
  <si>
    <t>978-682-7611</t>
  </si>
  <si>
    <t>MERRIMACK RIVER VALLEY HOUSE</t>
  </si>
  <si>
    <t xml:space="preserve">520 FLETCHER ST </t>
  </si>
  <si>
    <t>01854-3435</t>
  </si>
  <si>
    <t>(978) 452-6071</t>
  </si>
  <si>
    <t>JEWISH NURSING HOME &amp; REHAB CENTER</t>
  </si>
  <si>
    <t xml:space="preserve">832 CONVERSE ST </t>
  </si>
  <si>
    <t>01106-2082</t>
  </si>
  <si>
    <t>(413) 567-6211</t>
  </si>
  <si>
    <t>WINTERGREEN</t>
  </si>
  <si>
    <t xml:space="preserve">1312 WISCONSIN ST </t>
  </si>
  <si>
    <t>54016-1889</t>
  </si>
  <si>
    <t>(715) 386-9303</t>
  </si>
  <si>
    <t>WILLOWBROOK MANOR REST HOME</t>
  </si>
  <si>
    <t xml:space="preserve">71 UNION ST </t>
  </si>
  <si>
    <t>MILLIS</t>
  </si>
  <si>
    <t>02054-1269</t>
  </si>
  <si>
    <t>(502) 649-6604</t>
  </si>
  <si>
    <t>THE RESIDENCES AT SNOW PLACE</t>
  </si>
  <si>
    <t xml:space="preserve">1205 CENTRE ST # 1215 </t>
  </si>
  <si>
    <t>WEST ROXBURY</t>
  </si>
  <si>
    <t>02132-7745</t>
  </si>
  <si>
    <t>CHESTNUT PARK</t>
  </si>
  <si>
    <t xml:space="preserve">50 SUTHERLAND RD </t>
  </si>
  <si>
    <t>02135-7132</t>
  </si>
  <si>
    <t>(508) 566-1700</t>
  </si>
  <si>
    <t>ASHLAND FARM</t>
  </si>
  <si>
    <t xml:space="preserve">700 CHICKERING RD </t>
  </si>
  <si>
    <t>NORTH ANDOVER</t>
  </si>
  <si>
    <t>(978) 683-1300</t>
  </si>
  <si>
    <t>NORTH HILL COMMUNITIES INC</t>
  </si>
  <si>
    <t xml:space="preserve">865 CENTRAL AVE </t>
  </si>
  <si>
    <t>NEEDHAM</t>
  </si>
  <si>
    <t>02492-1316</t>
  </si>
  <si>
    <t>(781) 444-9910</t>
  </si>
  <si>
    <t>LINCOLN HILL MANOR</t>
  </si>
  <si>
    <t xml:space="preserve">53 LINCOLN ST </t>
  </si>
  <si>
    <t>(508) 885-3338</t>
  </si>
  <si>
    <t>LEADINGAGE MASSACHUETTS</t>
  </si>
  <si>
    <t xml:space="preserve">246 WALNUT ST STE 203 </t>
  </si>
  <si>
    <t>02460-1639</t>
  </si>
  <si>
    <t>(617) 244-2999</t>
  </si>
  <si>
    <t>HAVERHILL CROSSINGS</t>
  </si>
  <si>
    <t xml:space="preserve">254 AMESBURY RD </t>
  </si>
  <si>
    <t>01830-2348</t>
  </si>
  <si>
    <t>(978) 556-1600</t>
  </si>
  <si>
    <t>BETHEL HOMES AND SERVICES - CORPORATE</t>
  </si>
  <si>
    <t>608 637217</t>
  </si>
  <si>
    <t>WINDSOR PLACE</t>
  </si>
  <si>
    <t>608 785227</t>
  </si>
  <si>
    <t>CHARLES T SITRINE HLTH CR CTR</t>
  </si>
  <si>
    <t xml:space="preserve">2050 TILDEN AVE </t>
  </si>
  <si>
    <t>(315) 797-3114</t>
  </si>
  <si>
    <t xml:space="preserve">168 HIGH ST </t>
  </si>
  <si>
    <t>MORRISTOWN</t>
  </si>
  <si>
    <t>13664-3222</t>
  </si>
  <si>
    <t>(315) 375-8543</t>
  </si>
  <si>
    <t>FALLS AT CORDINGLY DAM</t>
  </si>
  <si>
    <t xml:space="preserve">2300 WASHINGTON ST </t>
  </si>
  <si>
    <t>02462-1472</t>
  </si>
  <si>
    <t>(508) 928-0007</t>
  </si>
  <si>
    <t>LATHROP COMMUNITY INC.</t>
  </si>
  <si>
    <t xml:space="preserve">100 BASSETT BROOK DR </t>
  </si>
  <si>
    <t>EASTHAMPTON</t>
  </si>
  <si>
    <t>EVERGREEN RETIREMENT COMMUNITY</t>
  </si>
  <si>
    <t>54902-8700</t>
  </si>
  <si>
    <t>WELCOME HOME APARTMENTS</t>
  </si>
  <si>
    <t xml:space="preserve">3600 28TH ST S </t>
  </si>
  <si>
    <t>608 788025</t>
  </si>
  <si>
    <t>SHELBY TERRACE</t>
  </si>
  <si>
    <t xml:space="preserve">2525 SHELBY RD </t>
  </si>
  <si>
    <t>MILL STREET MANOR - RCAC CERTIFIED</t>
  </si>
  <si>
    <t>54669-2242</t>
  </si>
  <si>
    <t>(608) 786-2440</t>
  </si>
  <si>
    <t>CEDAR COMMUNITY - DBA</t>
  </si>
  <si>
    <t xml:space="preserve">113 CEDAR RIDGE DR </t>
  </si>
  <si>
    <t>53095-3654</t>
  </si>
  <si>
    <t>(262) 334-9487</t>
  </si>
  <si>
    <t>CEDAR BAY AT ELKHART LAKE</t>
  </si>
  <si>
    <t xml:space="preserve">101 CEDAR LN </t>
  </si>
  <si>
    <t>ELKHART LAKE</t>
  </si>
  <si>
    <t>53020-2142</t>
  </si>
  <si>
    <t>(262) 306-2100</t>
  </si>
  <si>
    <t>MAPLEWOOD TERRACE</t>
  </si>
  <si>
    <t>GERMAN HOME (THE)</t>
  </si>
  <si>
    <t xml:space="preserve">374 HOWARD ST </t>
  </si>
  <si>
    <t>01841-2980</t>
  </si>
  <si>
    <t>(978) 682-5593</t>
  </si>
  <si>
    <t>EVANS PARK</t>
  </si>
  <si>
    <t xml:space="preserve">430 CENTRE ST </t>
  </si>
  <si>
    <t>02458-2036</t>
  </si>
  <si>
    <t>(508) 965-9400</t>
  </si>
  <si>
    <t>CABOT PARK VILLAGE</t>
  </si>
  <si>
    <t xml:space="preserve">280 NEWTON VILLE AVE </t>
  </si>
  <si>
    <t>(508) 965-7707</t>
  </si>
  <si>
    <t>SUMMIT ELDERCARE</t>
  </si>
  <si>
    <t xml:space="preserve">TEN CHESTNUT ST </t>
  </si>
  <si>
    <t>(508) 373-7400</t>
  </si>
  <si>
    <t>APPLEWOOD AT AMHERST</t>
  </si>
  <si>
    <t xml:space="preserve">1 SPENCER DR </t>
  </si>
  <si>
    <t>AMHERST</t>
  </si>
  <si>
    <t>01002-3362</t>
  </si>
  <si>
    <t>(413) 253-9833</t>
  </si>
  <si>
    <t>JEWISH NURSING HOME OF WESTERN MA</t>
  </si>
  <si>
    <t xml:space="preserve">770 CONVERSE STREET </t>
  </si>
  <si>
    <t>(413) 567-3949</t>
  </si>
  <si>
    <t>CARNEGIE TOWER AT FAIRFAX</t>
  </si>
  <si>
    <t xml:space="preserve">8920 CARNEGIE AVE </t>
  </si>
  <si>
    <t>BARNESVILLE MANOR</t>
  </si>
  <si>
    <t xml:space="preserve">485 NORTH ST </t>
  </si>
  <si>
    <t>BARNESVILLE</t>
  </si>
  <si>
    <t>740-425-1151</t>
  </si>
  <si>
    <t>ARLINGTON BY THE LAKE</t>
  </si>
  <si>
    <t xml:space="preserve">2101 ARLINGTON AVE </t>
  </si>
  <si>
    <t>419 381662</t>
  </si>
  <si>
    <t>LIFE ENRICHING COMMUNITIES - TWIN LAKES</t>
  </si>
  <si>
    <t xml:space="preserve">9840 MONTGOMERY RD </t>
  </si>
  <si>
    <t>513-985-1003</t>
  </si>
  <si>
    <t>MIDWEST COVENANT HOME</t>
  </si>
  <si>
    <t xml:space="preserve">615 E 9TH ST </t>
  </si>
  <si>
    <t>28388-2001</t>
  </si>
  <si>
    <t>(402) 764-2711</t>
  </si>
  <si>
    <t>MORAVIAN HOME INC</t>
  </si>
  <si>
    <t xml:space="preserve">1000 SALEMTOWNE DR </t>
  </si>
  <si>
    <t>27106-3294</t>
  </si>
  <si>
    <t>(336) 767-8130</t>
  </si>
  <si>
    <t>CEDAR COMMUNITY - CEDAR BAY EAST</t>
  </si>
  <si>
    <t xml:space="preserve">5577 HOME DR </t>
  </si>
  <si>
    <t>53095-7616</t>
  </si>
  <si>
    <t>(262) 306-2145</t>
  </si>
  <si>
    <t>ONATERRACE APARTMENTS</t>
  </si>
  <si>
    <t xml:space="preserve">1126 MAIN ST </t>
  </si>
  <si>
    <t>ONALASKA</t>
  </si>
  <si>
    <t>ATRIUM (THE)</t>
  </si>
  <si>
    <t xml:space="preserve">3900 N MAIN ST </t>
  </si>
  <si>
    <t>53402-3681</t>
  </si>
  <si>
    <t>(262) 639-1100</t>
  </si>
  <si>
    <t>BECKER SHOOP CENTER</t>
  </si>
  <si>
    <t xml:space="preserve">6101 16TH ST </t>
  </si>
  <si>
    <t>53406-4467</t>
  </si>
  <si>
    <t>(262) 637-7486</t>
  </si>
  <si>
    <t>CHRISTIAN HOMESTEAD</t>
  </si>
  <si>
    <t xml:space="preserve">1001 W BROWN ST </t>
  </si>
  <si>
    <t>WAUPUN</t>
  </si>
  <si>
    <t>53963-1661</t>
  </si>
  <si>
    <t>(920) 324-9051</t>
  </si>
  <si>
    <t>CHRISTIAN HOME AND REHABILITATION CENTER</t>
  </si>
  <si>
    <t xml:space="preserve">331 BLY ST </t>
  </si>
  <si>
    <t>53963-1974</t>
  </si>
  <si>
    <t>SUNRISE NURSING HOME</t>
  </si>
  <si>
    <t xml:space="preserve">402 13TH AVE </t>
  </si>
  <si>
    <t>TWO HARBORS</t>
  </si>
  <si>
    <t>55616-1267</t>
  </si>
  <si>
    <t>CLARA WELCH THANKSGIVING HOME</t>
  </si>
  <si>
    <t xml:space="preserve">48 GROVE ST </t>
  </si>
  <si>
    <t>COOPERSTOWN</t>
  </si>
  <si>
    <t>13326-1427</t>
  </si>
  <si>
    <t>(607) 547-8844</t>
  </si>
  <si>
    <t>BETHEL NURSING &amp; REHAB</t>
  </si>
  <si>
    <t xml:space="preserve">67 SPRINGVALE RD </t>
  </si>
  <si>
    <t>CROTON ON HUDSON</t>
  </si>
  <si>
    <t>10520-1343</t>
  </si>
  <si>
    <t>(914) 739-6700</t>
  </si>
  <si>
    <t xml:space="preserve">19443 EDEN DR </t>
  </si>
  <si>
    <t>(608) 582-2211</t>
  </si>
  <si>
    <t>BETHANY RIVERSIDE</t>
  </si>
  <si>
    <t xml:space="preserve">2575 7TH ST S </t>
  </si>
  <si>
    <t>(608) 406-3900</t>
  </si>
  <si>
    <t>CHAPIN HOME FOR THE AGING</t>
  </si>
  <si>
    <t xml:space="preserve">165-01 CHAPIN PKWY </t>
  </si>
  <si>
    <t>(718) 739-2523</t>
  </si>
  <si>
    <t>CABRINI CARE AT HOME</t>
  </si>
  <si>
    <t>(212) 995-7080</t>
  </si>
  <si>
    <t>BROOKSIDE SENIOR-LIVING COMMUNITY</t>
  </si>
  <si>
    <t xml:space="preserve">5701 BROOKSIDE CIR </t>
  </si>
  <si>
    <t>13367-4144</t>
  </si>
  <si>
    <t>(315) 376-4333</t>
  </si>
  <si>
    <t>UNITED HELPERS CARE INC</t>
  </si>
  <si>
    <t xml:space="preserve">100 FORD ST </t>
  </si>
  <si>
    <t>13669-1402</t>
  </si>
  <si>
    <t>CASTLE COURT AT CONCORD VILLAGE</t>
  </si>
  <si>
    <t xml:space="preserve">386 VAN WAGNER RD </t>
  </si>
  <si>
    <t>12603-6818</t>
  </si>
  <si>
    <t>(845) 485-7722</t>
  </si>
  <si>
    <t>ANNIE MAXIM HOUSE INC.</t>
  </si>
  <si>
    <t xml:space="preserve">706 NORTH AVE </t>
  </si>
  <si>
    <t>02770-1712</t>
  </si>
  <si>
    <t>(508) 763-2494</t>
  </si>
  <si>
    <t>ROGERSON HOUSE FORMERLY BOSTON</t>
  </si>
  <si>
    <t xml:space="preserve">434 JAMAICAWAY </t>
  </si>
  <si>
    <t>02130-2009</t>
  </si>
  <si>
    <t>(617) 983-2300</t>
  </si>
  <si>
    <t>SIMON C. FIREMAN COMMUNITY</t>
  </si>
  <si>
    <t xml:space="preserve">640 N MAIN ST </t>
  </si>
  <si>
    <t>RANDOLPH</t>
  </si>
  <si>
    <t>02368-3645</t>
  </si>
  <si>
    <t>(781) 986-8880</t>
  </si>
  <si>
    <t>COHEN FLORENCE LEVINE ESTATES</t>
  </si>
  <si>
    <t>(617) 887-0826</t>
  </si>
  <si>
    <t>CHELSEA JEWISH NURSING HOME</t>
  </si>
  <si>
    <t xml:space="preserve">17 LAFAYETTE AVE </t>
  </si>
  <si>
    <t>02150-2010</t>
  </si>
  <si>
    <t>(617) 884-6766</t>
  </si>
  <si>
    <t>GLEN EDDY</t>
  </si>
  <si>
    <t xml:space="preserve">1 GLEN EDDY DR </t>
  </si>
  <si>
    <t>NISKAYUNA</t>
  </si>
  <si>
    <t>12309-4965</t>
  </si>
  <si>
    <t>(518) 280-8000</t>
  </si>
  <si>
    <t>CHAPEL OAKS</t>
  </si>
  <si>
    <t xml:space="preserve">1550 PORTLAND AVE </t>
  </si>
  <si>
    <t>14621-3005</t>
  </si>
  <si>
    <t>(585) 697-6600</t>
  </si>
  <si>
    <t>PINE RIDGE ASSISTED LIVING</t>
  </si>
  <si>
    <t>54016-1861</t>
  </si>
  <si>
    <t>HEARTHSIDE</t>
  </si>
  <si>
    <t>LEADINGAGE NORTH CAROLINA</t>
  </si>
  <si>
    <t xml:space="preserve">222 N PERSON ST STE 205 </t>
  </si>
  <si>
    <t>27601-1067</t>
  </si>
  <si>
    <t>(919) 571-8333</t>
  </si>
  <si>
    <t>HINDS' FEET FARM</t>
  </si>
  <si>
    <t xml:space="preserve">14625 BLACK FARMS RD </t>
  </si>
  <si>
    <t>HUNTERSVILLE</t>
  </si>
  <si>
    <t>CARMEL HILLS I/A</t>
  </si>
  <si>
    <t xml:space="preserve">2801 CARMEL ROAD </t>
  </si>
  <si>
    <t>(704) 364-8302</t>
  </si>
  <si>
    <t>RIVER LANDING AT SANDY RIDGE</t>
  </si>
  <si>
    <t xml:space="preserve">1575 JOHN KNOX DR </t>
  </si>
  <si>
    <t>27235-9662</t>
  </si>
  <si>
    <t>(336) 668-4900</t>
  </si>
  <si>
    <t>BATTERY PARK SENIOR APARTMENTS</t>
  </si>
  <si>
    <t xml:space="preserve">ONE BATTLE SQUARE </t>
  </si>
  <si>
    <t>(828) 252-5277</t>
  </si>
  <si>
    <t>PACE OF SOUTHEAST MICHIGAN (WARREN ALTERNATIV</t>
  </si>
  <si>
    <t xml:space="preserve">30713 SCHOENHERR RD </t>
  </si>
  <si>
    <t>48088-3122</t>
  </si>
  <si>
    <t>CHELMSFORD CROSSINGS</t>
  </si>
  <si>
    <t xml:space="preserve">199 CHELMSFORD ST </t>
  </si>
  <si>
    <t>CHELMSFORD</t>
  </si>
  <si>
    <t>(978) 250-8855</t>
  </si>
  <si>
    <t>POND HOME</t>
  </si>
  <si>
    <t xml:space="preserve">289 EAST STREET </t>
  </si>
  <si>
    <t>WRENTHAM</t>
  </si>
  <si>
    <t>(508) 384-3531</t>
  </si>
  <si>
    <t>BERKSHIRE PITTSFIELD</t>
  </si>
  <si>
    <t xml:space="preserve">89 SOUTH ST </t>
  </si>
  <si>
    <t>PITTSFIELD</t>
  </si>
  <si>
    <t>01201-6108</t>
  </si>
  <si>
    <t>(413) 445-4056</t>
  </si>
  <si>
    <t>UNITED HELPERS MANAGEMENT COMPANY INC</t>
  </si>
  <si>
    <t xml:space="preserve">732 FORD ST </t>
  </si>
  <si>
    <t>13669-1704</t>
  </si>
  <si>
    <t>(315) 393-3074</t>
  </si>
  <si>
    <t>UNITED HELPERS CARE INC - NY</t>
  </si>
  <si>
    <t>(315) 393-3868</t>
  </si>
  <si>
    <t>VILLAGE AT 46TH AND TEN (THE)</t>
  </si>
  <si>
    <t xml:space="preserve">510 W 46TH ST </t>
  </si>
  <si>
    <t>10036-2296</t>
  </si>
  <si>
    <t>(212) 977-4600</t>
  </si>
  <si>
    <t>RIVINGTON HOUSE HEALTH CARE FACILIT</t>
  </si>
  <si>
    <t xml:space="preserve">45 RIVINGTON ST </t>
  </si>
  <si>
    <t>10002-1304</t>
  </si>
  <si>
    <t>(212) 539-6212</t>
  </si>
  <si>
    <t>UNITED HELPERS RENSSELAER FALLS</t>
  </si>
  <si>
    <t>KING'S APARTMENTS (THE)</t>
  </si>
  <si>
    <t xml:space="preserve">20 PINE DR STE 1 </t>
  </si>
  <si>
    <t>PAWLING</t>
  </si>
  <si>
    <t>12564-1249</t>
  </si>
  <si>
    <t>(845) 855-7230</t>
  </si>
  <si>
    <t>ALPHA TOWERS</t>
  </si>
  <si>
    <t xml:space="preserve">525 E WOODRUFF AVE </t>
  </si>
  <si>
    <t>WELL-SPRING RETIREMENT COMMUNITY</t>
  </si>
  <si>
    <t xml:space="preserve">4100 WELL SPRING DR </t>
  </si>
  <si>
    <t>27410-8857</t>
  </si>
  <si>
    <t>(336) 545-5400</t>
  </si>
  <si>
    <t>SALEM TERRACE</t>
  </si>
  <si>
    <t xml:space="preserve">104 LEWIS ST </t>
  </si>
  <si>
    <t>608 786244</t>
  </si>
  <si>
    <t>VILLAGE AT BROOKWOOD (THE)</t>
  </si>
  <si>
    <t xml:space="preserve">1860 BROOKWOOD AVE </t>
  </si>
  <si>
    <t>27215-3200</t>
  </si>
  <si>
    <t>(800) 282-2053</t>
  </si>
  <si>
    <t>SHARON TOWERS</t>
  </si>
  <si>
    <t xml:space="preserve">5100 SHARON RD </t>
  </si>
  <si>
    <t>28210-4768</t>
  </si>
  <si>
    <t>(704) 553-1670</t>
  </si>
  <si>
    <t>MCAULEY CENTER</t>
  </si>
  <si>
    <t xml:space="preserve">28750 W 11 MILE RD </t>
  </si>
  <si>
    <t>48336-1400</t>
  </si>
  <si>
    <t>(248) 473-7150</t>
  </si>
  <si>
    <t>CHURCH OF CHRIST CARE CENTER</t>
  </si>
  <si>
    <t xml:space="preserve">23575 15 MILE RD </t>
  </si>
  <si>
    <t>48035-3108</t>
  </si>
  <si>
    <t>(586) 285-7121</t>
  </si>
  <si>
    <t>GOOD SAMARITAN SENIOR HOUSING</t>
  </si>
  <si>
    <t xml:space="preserve">119 ROCKEFELLER RD </t>
  </si>
  <si>
    <t>12054-2242</t>
  </si>
  <si>
    <t>(518) 475-0275</t>
  </si>
  <si>
    <t>PARK RIDGE COMMONS</t>
  </si>
  <si>
    <t xml:space="preserve">1465 LONG POND RD </t>
  </si>
  <si>
    <t>WHEATFIELD TOWERS</t>
  </si>
  <si>
    <t xml:space="preserve">6849 PLAZA DR </t>
  </si>
  <si>
    <t>NIAGARA FALLS</t>
  </si>
  <si>
    <t>14304-2991</t>
  </si>
  <si>
    <t>(716) 731-4600</t>
  </si>
  <si>
    <t>FAIRMOUNT GARDENS</t>
  </si>
  <si>
    <t xml:space="preserve">4913 W GENESEE ST </t>
  </si>
  <si>
    <t>CAMILLUS</t>
  </si>
  <si>
    <t>13031-2349</t>
  </si>
  <si>
    <t>(315) 488-1932</t>
  </si>
  <si>
    <t>ASCENSION MANOR</t>
  </si>
  <si>
    <t xml:space="preserve">2960 PINEAPPLE AVE </t>
  </si>
  <si>
    <t>32935-6281</t>
  </si>
  <si>
    <t>(321) 757-9828</t>
  </si>
  <si>
    <t>ADVENT CHRISTIAN VILLAGE INC</t>
  </si>
  <si>
    <t xml:space="preserve">140680 DOWLING PARK DR </t>
  </si>
  <si>
    <t>BAPTIST MANOR</t>
  </si>
  <si>
    <t xml:space="preserve">276 LINWOOD AVE </t>
  </si>
  <si>
    <t>14209-1838</t>
  </si>
  <si>
    <t>(716) 881-1120</t>
  </si>
  <si>
    <t>HILLTOP RETIREMENT CENTER</t>
  </si>
  <si>
    <t xml:space="preserve">286 DEYO HILL RD </t>
  </si>
  <si>
    <t>13790-5110</t>
  </si>
  <si>
    <t>(607) 798-7818</t>
  </si>
  <si>
    <t>ELIZABETH CHURCH MANOR</t>
  </si>
  <si>
    <t xml:space="preserve">863 UPPER FRONT ST RM 223 </t>
  </si>
  <si>
    <t>13905-1540</t>
  </si>
  <si>
    <t>(607) 722-3463</t>
  </si>
  <si>
    <t>MERCY HEALTH AND REHABILITATION CENTER</t>
  </si>
  <si>
    <t xml:space="preserve">3 SAINT ANTHONY ST </t>
  </si>
  <si>
    <t>13021-4500</t>
  </si>
  <si>
    <t>(315) 253-0351</t>
  </si>
  <si>
    <t>ST. ANN'S COMMUNITY</t>
  </si>
  <si>
    <t xml:space="preserve">1500 PORTLAND AVE </t>
  </si>
  <si>
    <t>14621-3065</t>
  </si>
  <si>
    <t>(585) 697-6000</t>
  </si>
  <si>
    <t>PRESBYTERIAN VILLAGE AT NORTH CHURCH</t>
  </si>
  <si>
    <t xml:space="preserve">214 VILLAGE PARK DR </t>
  </si>
  <si>
    <t>14221-5068</t>
  </si>
  <si>
    <t>(716) 631-3430</t>
  </si>
  <si>
    <t>PRESBYTERIAN HOMES OF WNY</t>
  </si>
  <si>
    <t xml:space="preserve">4455 TRANSIT RD STE 2A </t>
  </si>
  <si>
    <t>14221-6030</t>
  </si>
  <si>
    <t>(716) 631-0123</t>
  </si>
  <si>
    <t>PITTSBORO CHRISTIAN VILLAGE INC - NC</t>
  </si>
  <si>
    <t xml:space="preserve">1825 EAST ST </t>
  </si>
  <si>
    <t>PITTSBORO</t>
  </si>
  <si>
    <t>27312-8842</t>
  </si>
  <si>
    <t>(919) 542-3151</t>
  </si>
  <si>
    <t>ST. JOSEPH'S OF THE PINES INC.</t>
  </si>
  <si>
    <t xml:space="preserve">105 GOSSMAN RD STE B </t>
  </si>
  <si>
    <t>910-246-3010</t>
  </si>
  <si>
    <t>THE RESIDENCES AT SHERBURNE COMMONS INC</t>
  </si>
  <si>
    <t xml:space="preserve">40 SHERBURNE CMNS </t>
  </si>
  <si>
    <t>NANTUCKET</t>
  </si>
  <si>
    <t>02554-4451</t>
  </si>
  <si>
    <t>(508) 228-4080</t>
  </si>
  <si>
    <t>BRIARWOOD COMMUNITY</t>
  </si>
  <si>
    <t xml:space="preserve">65 BRIARWOOD CIR </t>
  </si>
  <si>
    <t>01606-1255</t>
  </si>
  <si>
    <t>ROGERSON COMMUNITIES ADULT DAY</t>
  </si>
  <si>
    <t xml:space="preserve">1 FLORENCE ST </t>
  </si>
  <si>
    <t>(617) 469-5800</t>
  </si>
  <si>
    <t>FLORENCE HOUSE</t>
  </si>
  <si>
    <t xml:space="preserve">17 FLORENCE ST </t>
  </si>
  <si>
    <t>FAIRING WAY</t>
  </si>
  <si>
    <t>S WEYMOUTH</t>
  </si>
  <si>
    <t>THE GREEN</t>
  </si>
  <si>
    <t xml:space="preserve">3023 ROUTE 430 </t>
  </si>
  <si>
    <t>GREENHURST</t>
  </si>
  <si>
    <t>GOOD SHEPHERD FAIRVIEW</t>
  </si>
  <si>
    <t xml:space="preserve">80 FAIRVIEW AVE </t>
  </si>
  <si>
    <t>13904-1132</t>
  </si>
  <si>
    <t>(607) 724-2477</t>
  </si>
  <si>
    <t>FORT HUDSON HEALTH SYSTEM INC</t>
  </si>
  <si>
    <t xml:space="preserve">319 BROADWAY </t>
  </si>
  <si>
    <t>FORT EDWARD</t>
  </si>
  <si>
    <t>12828-1221</t>
  </si>
  <si>
    <t>518-747-2811</t>
  </si>
  <si>
    <t>ELANT INC</t>
  </si>
  <si>
    <t xml:space="preserve">46 HARRIMAN DRIVE </t>
  </si>
  <si>
    <t>10924-2410</t>
  </si>
  <si>
    <t>(845) 291-3700</t>
  </si>
  <si>
    <t>FONTBONNE MANOR SENIOR APARTMENTS</t>
  </si>
  <si>
    <t xml:space="preserve">10 CARONDELET DR </t>
  </si>
  <si>
    <t>WATERVLIET</t>
  </si>
  <si>
    <t>12189-2325</t>
  </si>
  <si>
    <t>(518) 782-2780</t>
  </si>
  <si>
    <t>GRACE ADULT DAY SERVICES - ALTOONA</t>
  </si>
  <si>
    <t xml:space="preserve">2441 NEW PINE DR </t>
  </si>
  <si>
    <t>54720-3300</t>
  </si>
  <si>
    <t>(715) 8328811</t>
  </si>
  <si>
    <t>ROCKY MOUNT FAMILY MEDICINE</t>
  </si>
  <si>
    <t xml:space="preserve">804 ENGLISH RD STE 250 </t>
  </si>
  <si>
    <t>ROCKY MOUNT</t>
  </si>
  <si>
    <t>27804-6032</t>
  </si>
  <si>
    <t>GALLOWAY RIDGE</t>
  </si>
  <si>
    <t xml:space="preserve">3000 GALLOWAY RDG </t>
  </si>
  <si>
    <t>27312-8639</t>
  </si>
  <si>
    <t>( 919) 545-2215</t>
  </si>
  <si>
    <t xml:space="preserve">600 CAROLINA VILLAGE RD </t>
  </si>
  <si>
    <t>28792-2892</t>
  </si>
  <si>
    <t>(828) 692-6275</t>
  </si>
  <si>
    <t>ALDERSGATE UM RETIREMENT COMMUNITY INC</t>
  </si>
  <si>
    <t xml:space="preserve">3800 SHAMROCK DR </t>
  </si>
  <si>
    <t>28215-3220</t>
  </si>
  <si>
    <t>(704) 532-7000</t>
  </si>
  <si>
    <t>KITTAY HOUSE</t>
  </si>
  <si>
    <t xml:space="preserve">2550 WEBB AVE </t>
  </si>
  <si>
    <t>10468-3930</t>
  </si>
  <si>
    <t>(718) 410-1420</t>
  </si>
  <si>
    <t>CEDARS OF CHAPEL HILL CLUB INC (THE)</t>
  </si>
  <si>
    <t xml:space="preserve">100 CEDAR CLUB CIR </t>
  </si>
  <si>
    <t>27517-7809</t>
  </si>
  <si>
    <t>(919) 259-7000</t>
  </si>
  <si>
    <t>RESIDENCE AT ROYAL LANE</t>
  </si>
  <si>
    <t xml:space="preserve">111 ROYAL LN </t>
  </si>
  <si>
    <t>28328-3269</t>
  </si>
  <si>
    <t>(910) 592-2500</t>
  </si>
  <si>
    <t>HURON VALLEY PACE</t>
  </si>
  <si>
    <t xml:space="preserve">2940 ELLSWORTH RD </t>
  </si>
  <si>
    <t>734-572-5777</t>
  </si>
  <si>
    <t>SPECTRA HEALTH CARE INC</t>
  </si>
  <si>
    <t xml:space="preserve">5726 120TH AVE </t>
  </si>
  <si>
    <t>50588-7568</t>
  </si>
  <si>
    <t>(712) 732-4118</t>
  </si>
  <si>
    <t xml:space="preserve">1500 PELHAM PKWY S </t>
  </si>
  <si>
    <t>10461-1100</t>
  </si>
  <si>
    <t>(718) 409-7934</t>
  </si>
  <si>
    <t>HAWTHORNE RIDGE</t>
  </si>
  <si>
    <t xml:space="preserve">30 COMMUNITY WAY </t>
  </si>
  <si>
    <t>EAST GREENBUSH</t>
  </si>
  <si>
    <t>12061-3925</t>
  </si>
  <si>
    <t>(518) 833-1111</t>
  </si>
  <si>
    <t>THE VILLAGE AT PARK RIDGE</t>
  </si>
  <si>
    <t xml:space="preserve">1471 LONG POND RD </t>
  </si>
  <si>
    <t>(585) 368-4201</t>
  </si>
  <si>
    <t>DOVE HEALTHCARE - WEST EAU CLAIRE</t>
  </si>
  <si>
    <t xml:space="preserve">1405 TRUAX BLVD </t>
  </si>
  <si>
    <t>54703-1474</t>
  </si>
  <si>
    <t>CEDAR LANDING</t>
  </si>
  <si>
    <t>COUNTRY MEADOWS OF MILACA</t>
  </si>
  <si>
    <t xml:space="preserve">740 2ND ST SE </t>
  </si>
  <si>
    <t>MILACA</t>
  </si>
  <si>
    <t>56353-4653</t>
  </si>
  <si>
    <t>(320) 983-6386</t>
  </si>
  <si>
    <t>PARK RIDGE AT HOME</t>
  </si>
  <si>
    <t xml:space="preserve">89 GENESEE ST STE 2 </t>
  </si>
  <si>
    <t>14611-3201</t>
  </si>
  <si>
    <t>(585) 368-6342</t>
  </si>
  <si>
    <t>RIVERWALK</t>
  </si>
  <si>
    <t xml:space="preserve">5961 PALISADE AVE </t>
  </si>
  <si>
    <t>10471-1253</t>
  </si>
  <si>
    <t>ARBOR ACRES</t>
  </si>
  <si>
    <t xml:space="preserve">1240 ARBOR RD </t>
  </si>
  <si>
    <t>27104-1106</t>
  </si>
  <si>
    <t>(336) 724-7921</t>
  </si>
  <si>
    <t>CLINTON CROSSING</t>
  </si>
  <si>
    <t xml:space="preserve">111 ROYAL LANE </t>
  </si>
  <si>
    <t>(910) 590-2500</t>
  </si>
  <si>
    <t>TRINITY CONTINUING CARE SERVICES</t>
  </si>
  <si>
    <t xml:space="preserve">17410 COLLEGE PKWY STE 200 </t>
  </si>
  <si>
    <t>HIGHLAND HAVEN</t>
  </si>
  <si>
    <t xml:space="preserve">917 S DUCK LAKE RD </t>
  </si>
  <si>
    <t>248-889-2726</t>
  </si>
  <si>
    <t>UNITED HELPERS GATEWAY APARTMENTS</t>
  </si>
  <si>
    <t xml:space="preserve">2320 FORD STREET EXT </t>
  </si>
  <si>
    <t>13669-5450</t>
  </si>
  <si>
    <t>(315) 393-9425</t>
  </si>
  <si>
    <t>MARTIN LUTHER TERRACE APARTMENTS</t>
  </si>
  <si>
    <t xml:space="preserve">COMMUNITY CENTER WARTBURG COURT </t>
  </si>
  <si>
    <t>(631) 544-0869</t>
  </si>
  <si>
    <t>EDDY COHOES REHAB CENTER</t>
  </si>
  <si>
    <t xml:space="preserve">421 COLUMBIA ST </t>
  </si>
  <si>
    <t>12047-2217</t>
  </si>
  <si>
    <t>(518) 237-5630</t>
  </si>
  <si>
    <t>PARK RIDGE LIVING CENTER</t>
  </si>
  <si>
    <t xml:space="preserve">1555 LONG POND RD </t>
  </si>
  <si>
    <t>(716) 723-7260</t>
  </si>
  <si>
    <t>MEADOWS AT MIDDLE SETTLEMENT (THE)</t>
  </si>
  <si>
    <t xml:space="preserve">4310 MIDDLE SETTLEMENT RD </t>
  </si>
  <si>
    <t>13413-5316</t>
  </si>
  <si>
    <t>(315) 624-9915</t>
  </si>
  <si>
    <t xml:space="preserve">5147 COUNTY ROUTE 10 </t>
  </si>
  <si>
    <t>13654-3125</t>
  </si>
  <si>
    <t>(315) 344-2477</t>
  </si>
  <si>
    <t>COBURG VILLAGE</t>
  </si>
  <si>
    <t xml:space="preserve">1 COBURG VILLAGE WAY </t>
  </si>
  <si>
    <t>REXFORD</t>
  </si>
  <si>
    <t>12148-1467</t>
  </si>
  <si>
    <t>(518) 371-5000</t>
  </si>
  <si>
    <t>ABERNETHY LAURELS RETIREMENT COMMUNITY - NC</t>
  </si>
  <si>
    <t xml:space="preserve">102 LEONARD AVE </t>
  </si>
  <si>
    <t>(828) 464-8260</t>
  </si>
  <si>
    <t>SCOTIA VILLAGE</t>
  </si>
  <si>
    <t xml:space="preserve">2200 ELM AVE </t>
  </si>
  <si>
    <t>LAURINBURG</t>
  </si>
  <si>
    <t>28352-8035</t>
  </si>
  <si>
    <t>(910) 277-2000</t>
  </si>
  <si>
    <t>GLENAIRE PRESBITERYAN HOME - NC</t>
  </si>
  <si>
    <t xml:space="preserve">4000 GLENAIRE CIR </t>
  </si>
  <si>
    <t>(919) 460-8095</t>
  </si>
  <si>
    <t>COTTON STREET COMMONS</t>
  </si>
  <si>
    <t xml:space="preserve">819 COTTON ST </t>
  </si>
  <si>
    <t>MONROE</t>
  </si>
  <si>
    <t>28112-5739</t>
  </si>
  <si>
    <t>(704) 283-5136</t>
  </si>
  <si>
    <t>ACCORDIUS HEALTH AT HENDERSONVILLE</t>
  </si>
  <si>
    <t xml:space="preserve">200 HERITAGE WAY </t>
  </si>
  <si>
    <t>828 693829</t>
  </si>
  <si>
    <t>PRENTIS JEWISH APARTMENTS</t>
  </si>
  <si>
    <t xml:space="preserve">15100 W 10 MILE RD </t>
  </si>
  <si>
    <t>48237-1473</t>
  </si>
  <si>
    <t>HEBREW HOME FOR THE AGED AT RIVERDALE</t>
  </si>
  <si>
    <t xml:space="preserve">5901 PALISADE AVE </t>
  </si>
  <si>
    <t>10471-1205</t>
  </si>
  <si>
    <t>(718) 581-1000</t>
  </si>
  <si>
    <t>GURWIN JEWISH GERIATRIC CENTER</t>
  </si>
  <si>
    <t xml:space="preserve">5036 JERICHO TPKE STE 202 </t>
  </si>
  <si>
    <t>11725-2812</t>
  </si>
  <si>
    <t>(631) 715-2000</t>
  </si>
  <si>
    <t>CLOVERWOOD RETIREMENT COMMUNITY</t>
  </si>
  <si>
    <t xml:space="preserve">ONE SINCLAIR DRIVE </t>
  </si>
  <si>
    <t>(585) 248-1100</t>
  </si>
  <si>
    <t>ST JUDE APARTMENTS</t>
  </si>
  <si>
    <t xml:space="preserve">50 DANA AVE STE 1 </t>
  </si>
  <si>
    <t>WYNANTSKILL</t>
  </si>
  <si>
    <t>12198-7980</t>
  </si>
  <si>
    <t>(518) 283-5690</t>
  </si>
  <si>
    <t>COEUR D'ALENE SENIOR APARTMENTS</t>
  </si>
  <si>
    <t xml:space="preserve">7712 N HEARTLAND DR </t>
  </si>
  <si>
    <t>PARK VILLA</t>
  </si>
  <si>
    <t xml:space="preserve">607 W 7TH ST </t>
  </si>
  <si>
    <t>(218) 237-7275</t>
  </si>
  <si>
    <t>EVERGREENS OF MOORHEAD</t>
  </si>
  <si>
    <t xml:space="preserve">512 3RD AVE S </t>
  </si>
  <si>
    <t>MOORHEAD</t>
  </si>
  <si>
    <t>56560-2703</t>
  </si>
  <si>
    <t>218-233-1535</t>
  </si>
  <si>
    <t>EMMAUS PLACE</t>
  </si>
  <si>
    <t xml:space="preserve">200 N HOLCOMBE AVE </t>
  </si>
  <si>
    <t>(320) 693-2430</t>
  </si>
  <si>
    <t>ECUMEN HOSPICE - TWIN CITIES</t>
  </si>
  <si>
    <t xml:space="preserve">7541 9TH ST N STE 200 </t>
  </si>
  <si>
    <t>55128-6626</t>
  </si>
  <si>
    <t>ECUMEN DETROIT LAKES</t>
  </si>
  <si>
    <t xml:space="preserve">1415 MADISON AVE </t>
  </si>
  <si>
    <t>DETROIT LAKES</t>
  </si>
  <si>
    <t>(218) 847-4486</t>
  </si>
  <si>
    <t>COUNTRY NEIGHBORS HOME INC-MAPLETON</t>
  </si>
  <si>
    <t xml:space="preserve">206 3RD AVE NE </t>
  </si>
  <si>
    <t>MAPLETON</t>
  </si>
  <si>
    <t>507-524-4990</t>
  </si>
  <si>
    <t>PACE OF SOUTHEAST MICHIGAN (DETROIT NORTHWEST</t>
  </si>
  <si>
    <t xml:space="preserve">7800 W OUTER DR STE 240 </t>
  </si>
  <si>
    <t>48235-3458</t>
  </si>
  <si>
    <t>CENTRACARE - MI</t>
  </si>
  <si>
    <t xml:space="preserve">200 MICHIGAN AVE W STE 103 </t>
  </si>
  <si>
    <t>49017-3632</t>
  </si>
  <si>
    <t>(269) 441-9315</t>
  </si>
  <si>
    <t>ANDAHWOD CONTINUING CARE COMMUNITY &amp;-AGING SE</t>
  </si>
  <si>
    <t xml:space="preserve">7070 E BRDWAY </t>
  </si>
  <si>
    <t>(989) 775-4316</t>
  </si>
  <si>
    <t>ADRIAN VILLAGE</t>
  </si>
  <si>
    <t xml:space="preserve">1542 VILLAGE GREEN LN </t>
  </si>
  <si>
    <t>49221-1820</t>
  </si>
  <si>
    <t>UPTOWN HEALTHCARE CENTER</t>
  </si>
  <si>
    <t xml:space="preserve">745 E 18TH AVE </t>
  </si>
  <si>
    <t>INNOVAGE - AURORA CENTER</t>
  </si>
  <si>
    <t xml:space="preserve">3551 CHAMBERS RD </t>
  </si>
  <si>
    <t>303-375-0649</t>
  </si>
  <si>
    <t>CHRISTIAN LIVING COMMUNITIES ADULT DAY SERV</t>
  </si>
  <si>
    <t xml:space="preserve">5000 E ARAPAHOE </t>
  </si>
  <si>
    <t>CENTENNIAL</t>
  </si>
  <si>
    <t>720 974355</t>
  </si>
  <si>
    <t>CASTLE PEAK SENIOR CARE</t>
  </si>
  <si>
    <t xml:space="preserve">195 FREESTONE RD </t>
  </si>
  <si>
    <t>EAGLE</t>
  </si>
  <si>
    <t>970 432115</t>
  </si>
  <si>
    <t>STONEMAN VILLAGE</t>
  </si>
  <si>
    <t xml:space="preserve">390 E LELAND RD </t>
  </si>
  <si>
    <t>925 427187</t>
  </si>
  <si>
    <t>IRVING PLACE</t>
  </si>
  <si>
    <t xml:space="preserve">414 E 10TH ST </t>
  </si>
  <si>
    <t>50613-3383</t>
  </si>
  <si>
    <t>WESLEY WILLOWBROOK ADULT DAY SERVICES</t>
  </si>
  <si>
    <t>(515) 271-6646</t>
  </si>
  <si>
    <t>THE METH-WICK COMMUNITY INC</t>
  </si>
  <si>
    <t xml:space="preserve">1224 13TH ST NW </t>
  </si>
  <si>
    <t>52405-2404</t>
  </si>
  <si>
    <t>(319) 365-9171</t>
  </si>
  <si>
    <t>RIDGECREST VILLAGE - IA</t>
  </si>
  <si>
    <t xml:space="preserve">4130 NORTHWEST BLVD </t>
  </si>
  <si>
    <t>52806-4243</t>
  </si>
  <si>
    <t>(563) 391-3430</t>
  </si>
  <si>
    <t>ARLINGTON PLACE - OELWEIN</t>
  </si>
  <si>
    <t xml:space="preserve">1101 3RD ST SW </t>
  </si>
  <si>
    <t>OELWEIN</t>
  </si>
  <si>
    <t>50662-2001</t>
  </si>
  <si>
    <t>PIEDMONT CROSSING</t>
  </si>
  <si>
    <t xml:space="preserve">100 HEDRICK DR </t>
  </si>
  <si>
    <t>27360-6009</t>
  </si>
  <si>
    <t>(336) 472-2017</t>
  </si>
  <si>
    <t>ELLEN KENNEDY LIVING CENTER</t>
  </si>
  <si>
    <t xml:space="preserve">1177 7TH ST SW </t>
  </si>
  <si>
    <t>DYERSVILLE</t>
  </si>
  <si>
    <t>52040-2513</t>
  </si>
  <si>
    <t>(563) 875-6323</t>
  </si>
  <si>
    <t>CEDAR MANOR NURSING HOME</t>
  </si>
  <si>
    <t xml:space="preserve">1200 MULBERRY ST </t>
  </si>
  <si>
    <t>TIPTON</t>
  </si>
  <si>
    <t>52772-1347</t>
  </si>
  <si>
    <t>(563) 886-2133</t>
  </si>
  <si>
    <t>BRIO</t>
  </si>
  <si>
    <t xml:space="preserve">6901 PECKHAM ST </t>
  </si>
  <si>
    <t>50131-3143</t>
  </si>
  <si>
    <t>(515) 271-6789</t>
  </si>
  <si>
    <t>VILLAGE PINES OF MONROE</t>
  </si>
  <si>
    <t xml:space="preserve">1600 PARK CT APT A </t>
  </si>
  <si>
    <t>48162-3350</t>
  </si>
  <si>
    <t>GRANDHAVEN MANOR</t>
  </si>
  <si>
    <t xml:space="preserve">3215 W MOUNT HOPE AVE </t>
  </si>
  <si>
    <t>48911-1272</t>
  </si>
  <si>
    <t>(517) 372-4499</t>
  </si>
  <si>
    <t>VILLAGE OF WESTLAND-ROSE</t>
  </si>
  <si>
    <t xml:space="preserve">32111 CHERRY HILL RD </t>
  </si>
  <si>
    <t>WESTLAND</t>
  </si>
  <si>
    <t>48186-5288</t>
  </si>
  <si>
    <t>(734) 729-4034</t>
  </si>
  <si>
    <t>ROSE SENIOR LIVING</t>
  </si>
  <si>
    <t xml:space="preserve">44003 PARTRIDGE CREEK BLVD </t>
  </si>
  <si>
    <t>48038-0002</t>
  </si>
  <si>
    <t>WESLEY RETIREMENT SERVICES INC</t>
  </si>
  <si>
    <t xml:space="preserve">5508 NW 88TH ST STE 120 </t>
  </si>
  <si>
    <t>50131-3005</t>
  </si>
  <si>
    <t>THE CAPSTONE GROUP INC.</t>
  </si>
  <si>
    <t xml:space="preserve">2306 STATE ST </t>
  </si>
  <si>
    <t>GUTHRIE CENTER</t>
  </si>
  <si>
    <t>50115-8896</t>
  </si>
  <si>
    <t>PENNSYLVANIA PLACE &amp; SYLVAN WOODS</t>
  </si>
  <si>
    <t xml:space="preserve">1 PENNSYLVANIA PL </t>
  </si>
  <si>
    <t>52501-2171</t>
  </si>
  <si>
    <t>(641) 684-4000</t>
  </si>
  <si>
    <t>MERCY MARIAN OAKLAND WEST</t>
  </si>
  <si>
    <t xml:space="preserve">29250 W 10 MILE RD </t>
  </si>
  <si>
    <t>48336-2860</t>
  </si>
  <si>
    <t>(248) 474-7204</t>
  </si>
  <si>
    <t>SENIORS RESOURCE CENTER</t>
  </si>
  <si>
    <t xml:space="preserve">3227 CHASE ST </t>
  </si>
  <si>
    <t>303 235693</t>
  </si>
  <si>
    <t>BROOKSHIRE HOUSE REHABILITATION &amp; CARE COMMUN</t>
  </si>
  <si>
    <t xml:space="preserve">4660 E ASBURY CIR </t>
  </si>
  <si>
    <t>INNOVAGE HOME CARE - LOVELAND</t>
  </si>
  <si>
    <t xml:space="preserve">1303 E 11TH ST </t>
  </si>
  <si>
    <t>INNOVAGE - LOVELAND CENTER</t>
  </si>
  <si>
    <t>970-800-5500</t>
  </si>
  <si>
    <t xml:space="preserve">600 PARK ST </t>
  </si>
  <si>
    <t>50112-2204</t>
  </si>
  <si>
    <t>EDGEWATER WEST DES MOINES</t>
  </si>
  <si>
    <t xml:space="preserve">9225 CASCADE AVE </t>
  </si>
  <si>
    <t>(515) 978-2400</t>
  </si>
  <si>
    <t>HARMONY POINTE NURSING CENTER</t>
  </si>
  <si>
    <t xml:space="preserve">1655 YARROW ST </t>
  </si>
  <si>
    <t>GREEN HOUSE HOMES AT MIRASOL</t>
  </si>
  <si>
    <t xml:space="preserve">490 MIRASOL DR </t>
  </si>
  <si>
    <t>ACV CONFERENCE SERVICES-ADVENT CHRISTIAN VILL</t>
  </si>
  <si>
    <t xml:space="preserve">11057 DOWLING PK DR </t>
  </si>
  <si>
    <t>386-658-5200</t>
  </si>
  <si>
    <t>ACV CONFERENCE CENTER - LODGE</t>
  </si>
  <si>
    <t xml:space="preserve">11057 COUNTY RD 136 </t>
  </si>
  <si>
    <t>ST MARYS COURT HOUSING DEVELPMNT CORP</t>
  </si>
  <si>
    <t xml:space="preserve">725 24TH ST NW </t>
  </si>
  <si>
    <t>20037-2560</t>
  </si>
  <si>
    <t>(202) 223-5712</t>
  </si>
  <si>
    <t>WEST ROUTT RURAL HEALTH COUNCIL INC-DBA HAVEN</t>
  </si>
  <si>
    <t xml:space="preserve">300 S SHELTON LN </t>
  </si>
  <si>
    <t>970 276448</t>
  </si>
  <si>
    <t>MIDLAND COMMONS</t>
  </si>
  <si>
    <t xml:space="preserve">2457 MIDLAND AVENUE </t>
  </si>
  <si>
    <t>28208-4713</t>
  </si>
  <si>
    <t>(704) 392-1151</t>
  </si>
  <si>
    <t>CHRISTIAN COMMUNITY HOMES AND SERVICES</t>
  </si>
  <si>
    <t>715-386-9303</t>
  </si>
  <si>
    <t>FRIENDSHIP HOUSE</t>
  </si>
  <si>
    <t xml:space="preserve">321 BLACK RIVER AVE </t>
  </si>
  <si>
    <t>WESTBY</t>
  </si>
  <si>
    <t>LUTHERAN HOME FOR THE AGED ASSOC EAST (THE)</t>
  </si>
  <si>
    <t xml:space="preserve">1415 2ND AVE </t>
  </si>
  <si>
    <t>52349-1640</t>
  </si>
  <si>
    <t>(319) 472-4211</t>
  </si>
  <si>
    <t>STONEHILL FRANCISCAN SERVICES</t>
  </si>
  <si>
    <t xml:space="preserve">3485 WINDSOR AVE </t>
  </si>
  <si>
    <t>52001-1329</t>
  </si>
  <si>
    <t>VINELAND AVENUE SENIOR HOUSING</t>
  </si>
  <si>
    <t xml:space="preserve">4900 VINELAND AVE </t>
  </si>
  <si>
    <t>N HOLLYWOOD</t>
  </si>
  <si>
    <t>91601-6511</t>
  </si>
  <si>
    <t>FRIENDSHIP VILLAGE</t>
  </si>
  <si>
    <t xml:space="preserve">600 PARK LN </t>
  </si>
  <si>
    <t>WATERLOO</t>
  </si>
  <si>
    <t>50702-5200</t>
  </si>
  <si>
    <t>(319) 291-8100</t>
  </si>
  <si>
    <t>BARTELS LUTHERAN RETIREMENT COMMUNITY</t>
  </si>
  <si>
    <t xml:space="preserve">1922 5TH AVE NW </t>
  </si>
  <si>
    <t>50677-1903</t>
  </si>
  <si>
    <t>(319) 352-4540</t>
  </si>
  <si>
    <t>WALNUT COURT RETIREMENT COMMUNITY</t>
  </si>
  <si>
    <t xml:space="preserve">315 WALNUT ST </t>
  </si>
  <si>
    <t>50703-3857</t>
  </si>
  <si>
    <t>(319) 232-3486</t>
  </si>
  <si>
    <t>DAVENPORT LUTHERAN HOME</t>
  </si>
  <si>
    <t xml:space="preserve">1130 W 53RD ST </t>
  </si>
  <si>
    <t>52806-2401</t>
  </si>
  <si>
    <t>(563) 391-5342</t>
  </si>
  <si>
    <t>KAHL HOME - IA</t>
  </si>
  <si>
    <t xml:space="preserve">1101 W 9TH ST </t>
  </si>
  <si>
    <t>52804-3732</t>
  </si>
  <si>
    <t>(563) 324-1621</t>
  </si>
  <si>
    <t>ELDERCARE ADULT DAY SERVICES AT THE CHRISTIAN LIVING CAMPUS</t>
  </si>
  <si>
    <t xml:space="preserve">2480 S CLERMONT ST </t>
  </si>
  <si>
    <t>303 758452</t>
  </si>
  <si>
    <t>GARDEN PARK VILLA</t>
  </si>
  <si>
    <t xml:space="preserve">1821 N 5TH ST </t>
  </si>
  <si>
    <t>CANON CITY</t>
  </si>
  <si>
    <t>719 275665</t>
  </si>
  <si>
    <t>INNOVAGE - DENVER CENTER</t>
  </si>
  <si>
    <t xml:space="preserve">1265 S BROADWAY </t>
  </si>
  <si>
    <t>303-894-0144</t>
  </si>
  <si>
    <t>WINDERMERE</t>
  </si>
  <si>
    <t xml:space="preserve">5018 S MAIN ST </t>
  </si>
  <si>
    <t>50613-7494</t>
  </si>
  <si>
    <t>(319) 266-5764</t>
  </si>
  <si>
    <t>WINDCOVE</t>
  </si>
  <si>
    <t xml:space="preserve">5300 S MAIN ST </t>
  </si>
  <si>
    <t>50613-7421</t>
  </si>
  <si>
    <t>HERITAGE VILLAGE ASSISTED LIVING FACILIT</t>
  </si>
  <si>
    <t>THE VILLAGE</t>
  </si>
  <si>
    <t xml:space="preserve">1203 N E ST </t>
  </si>
  <si>
    <t>50125-3276</t>
  </si>
  <si>
    <t>(515) 961-7458</t>
  </si>
  <si>
    <t>MCAULEY TERRACE</t>
  </si>
  <si>
    <t xml:space="preserve">5921 WINWOOD DR </t>
  </si>
  <si>
    <t>50131-1689</t>
  </si>
  <si>
    <t>(515) 270-6640</t>
  </si>
  <si>
    <t>HALCYON HOUSE</t>
  </si>
  <si>
    <t xml:space="preserve">1015 S IOWA AVE </t>
  </si>
  <si>
    <t>52353-1126</t>
  </si>
  <si>
    <t>(319) 653-7264</t>
  </si>
  <si>
    <t>ARLINGTON PLACE - POCAHONTAS</t>
  </si>
  <si>
    <t xml:space="preserve">101 NE 5TH ST </t>
  </si>
  <si>
    <t>POCAHONTAS</t>
  </si>
  <si>
    <t>50574-2139</t>
  </si>
  <si>
    <t>712-335-3020</t>
  </si>
  <si>
    <t>RIVER MANOR SENIOR HOUSING</t>
  </si>
  <si>
    <t xml:space="preserve">10000 SHADOWLANE </t>
  </si>
  <si>
    <t>49053-8602</t>
  </si>
  <si>
    <t>(269) 665-5111</t>
  </si>
  <si>
    <t>NEXCARE HEALTH SYSTEMS LLC.</t>
  </si>
  <si>
    <t>VALLEY VIEW HEALTHCARE</t>
  </si>
  <si>
    <t xml:space="preserve">1050 4 MILE RD NW </t>
  </si>
  <si>
    <t>616 685707</t>
  </si>
  <si>
    <t>SAMARITAS SENIOR LIVING CADILLAC</t>
  </si>
  <si>
    <t xml:space="preserve">460 PEARL ST </t>
  </si>
  <si>
    <t>CADILLAC</t>
  </si>
  <si>
    <t>231 755010</t>
  </si>
  <si>
    <t>LUTHER COMMUNITY MANOR</t>
  </si>
  <si>
    <t xml:space="preserve">210 WILSON ST </t>
  </si>
  <si>
    <t>ALPENA</t>
  </si>
  <si>
    <t>49707-1441</t>
  </si>
  <si>
    <t>(989) 356-6725</t>
  </si>
  <si>
    <t>LITTLE SISTERS OF THE POOR - MULLEN HOME</t>
  </si>
  <si>
    <t xml:space="preserve">3629 W 29TH AVE </t>
  </si>
  <si>
    <t>303 433722</t>
  </si>
  <si>
    <t>LUTHER MANOR COMMUNITIES</t>
  </si>
  <si>
    <t xml:space="preserve">3131 HILLCREST RD </t>
  </si>
  <si>
    <t>52001-3999</t>
  </si>
  <si>
    <t>COTTAGE GROVE PLACE</t>
  </si>
  <si>
    <t xml:space="preserve">2115 1ST AVE SE </t>
  </si>
  <si>
    <t>52402-6353</t>
  </si>
  <si>
    <t>(319) 363-2420</t>
  </si>
  <si>
    <t>ARLINGTON PLACE - GRUNDY CENTER</t>
  </si>
  <si>
    <t xml:space="preserve">95D AVE </t>
  </si>
  <si>
    <t>GRUNDY CENTER</t>
  </si>
  <si>
    <t>319-824-5674</t>
  </si>
  <si>
    <t>LAKESIDE TOWERS</t>
  </si>
  <si>
    <t xml:space="preserve">15000 SHORELINE DR </t>
  </si>
  <si>
    <t>48313-2275</t>
  </si>
  <si>
    <t>MERCY BELLBROOK RETIREMENT COMMUNITY</t>
  </si>
  <si>
    <t xml:space="preserve">873 W AVON RD </t>
  </si>
  <si>
    <t>248-656-3239</t>
  </si>
  <si>
    <t>HIGHLAND MEADOWVIEW</t>
  </si>
  <si>
    <t xml:space="preserve">923 S DUCK LAKE RD </t>
  </si>
  <si>
    <t>248-889-5100</t>
  </si>
  <si>
    <t>CENTRACARE - KALAMAZOO</t>
  </si>
  <si>
    <t xml:space="preserve">445 W MICHIGAN AVE </t>
  </si>
  <si>
    <t>49007-3750</t>
  </si>
  <si>
    <t>CANTERBURY ON THE LAKE</t>
  </si>
  <si>
    <t xml:space="preserve">5601 HATCHERY RD </t>
  </si>
  <si>
    <t>WATERFORD</t>
  </si>
  <si>
    <t>48329-3446</t>
  </si>
  <si>
    <t>(248) 674-9292</t>
  </si>
  <si>
    <t>BARAGA MANOR</t>
  </si>
  <si>
    <t xml:space="preserve">301 WASHINGTON ST </t>
  </si>
  <si>
    <t>OTSEGO</t>
  </si>
  <si>
    <t>49078-1276</t>
  </si>
  <si>
    <t>(269) 694-9711</t>
  </si>
  <si>
    <t>CHELSEA RETIREMENT COMMUNITY</t>
  </si>
  <si>
    <t xml:space="preserve">805 W MIDDLE ST </t>
  </si>
  <si>
    <t>734 433100</t>
  </si>
  <si>
    <t>BETHANY MANOR</t>
  </si>
  <si>
    <t>(607) 387-6547</t>
  </si>
  <si>
    <t>WINDCREST VILLAS</t>
  </si>
  <si>
    <t>50613-3364</t>
  </si>
  <si>
    <t>FRASER VILLA</t>
  </si>
  <si>
    <t xml:space="preserve">33300 UTICA RD </t>
  </si>
  <si>
    <t>FRASER</t>
  </si>
  <si>
    <t>586-293-3300</t>
  </si>
  <si>
    <t>SHAWL II OF MONTAGUE</t>
  </si>
  <si>
    <t xml:space="preserve">8363 COOK ST </t>
  </si>
  <si>
    <t>MONTAGUE</t>
  </si>
  <si>
    <t>(231) 894-9464</t>
  </si>
  <si>
    <t>SHAWL I OF WHITEHALL</t>
  </si>
  <si>
    <t xml:space="preserve">225 HALL ST </t>
  </si>
  <si>
    <t>49461-1252</t>
  </si>
  <si>
    <t>(231) 740-4433</t>
  </si>
  <si>
    <t>PRAIRIE HOME</t>
  </si>
  <si>
    <t xml:space="preserve">620 MALIN CT </t>
  </si>
  <si>
    <t>HOLMEN</t>
  </si>
  <si>
    <t>INNOVAGE - PUEBLO CENTER</t>
  </si>
  <si>
    <t xml:space="preserve">401 W NORTHERN AVE </t>
  </si>
  <si>
    <t>PUEBLO</t>
  </si>
  <si>
    <t>719-553-0400</t>
  </si>
  <si>
    <t>WOOD GLEN HALL</t>
  </si>
  <si>
    <t xml:space="preserve">3010 FOOTHILL RD </t>
  </si>
  <si>
    <t>93105-2056</t>
  </si>
  <si>
    <t>(805) 687-7771</t>
  </si>
  <si>
    <t>TABORA GARDENS</t>
  </si>
  <si>
    <t xml:space="preserve">3701 TABORA DR </t>
  </si>
  <si>
    <t>94509-5450</t>
  </si>
  <si>
    <t>SUNSET HALL</t>
  </si>
  <si>
    <t xml:space="preserve">504 N BERENDO ST # 500 </t>
  </si>
  <si>
    <t>90004-2910</t>
  </si>
  <si>
    <t>(323) 962-5277</t>
  </si>
  <si>
    <t>WILLOWWOOD</t>
  </si>
  <si>
    <t xml:space="preserve">1100 GROVE ST </t>
  </si>
  <si>
    <t>50613-3362</t>
  </si>
  <si>
    <t>(319) 277-7682</t>
  </si>
  <si>
    <t>CORNELIA NIXON DAVIS HCC</t>
  </si>
  <si>
    <t xml:space="preserve">1011 PORTERS NECK RD </t>
  </si>
  <si>
    <t>28411-9196</t>
  </si>
  <si>
    <t>(910) 686-7195</t>
  </si>
  <si>
    <t>MCGIVNEY - BETHUNE APARTMENTS</t>
  </si>
  <si>
    <t xml:space="preserve">16850 WYOMING ST </t>
  </si>
  <si>
    <t>313-862-4042</t>
  </si>
  <si>
    <t>MCAULEY COMMONS</t>
  </si>
  <si>
    <t xml:space="preserve">11500 SHOEMAKER ST </t>
  </si>
  <si>
    <t>313-923-3517</t>
  </si>
  <si>
    <t>HIGHLANDS (THE)</t>
  </si>
  <si>
    <t xml:space="preserve">1211 SAINT LUKE DR </t>
  </si>
  <si>
    <t>51301-6068</t>
  </si>
  <si>
    <t>(712) 262-5404</t>
  </si>
  <si>
    <t>ARLINGTON PLACE - RED OAK</t>
  </si>
  <si>
    <t xml:space="preserve">800 E RATLIFF RD </t>
  </si>
  <si>
    <t>RED OAK</t>
  </si>
  <si>
    <t>51566-5102</t>
  </si>
  <si>
    <t>TIVOLI MANOR APARTMENTS</t>
  </si>
  <si>
    <t xml:space="preserve">28103 IMPERIAL DR </t>
  </si>
  <si>
    <t>48093-7858</t>
  </si>
  <si>
    <t>(586) 588-9860</t>
  </si>
  <si>
    <t>MERCY MARYDALE CENTER</t>
  </si>
  <si>
    <t xml:space="preserve">3147 10TH AVE </t>
  </si>
  <si>
    <t>PORT HURON</t>
  </si>
  <si>
    <t>810-985-9683</t>
  </si>
  <si>
    <t>HERITAGE PLACE OF LAKE ORION</t>
  </si>
  <si>
    <t xml:space="preserve">211 ATWATER ST </t>
  </si>
  <si>
    <t>LAKE ORION</t>
  </si>
  <si>
    <t>248-693-9197</t>
  </si>
  <si>
    <t>VILLAGE OF ROSEBUSH MANOR</t>
  </si>
  <si>
    <t xml:space="preserve">4210 E ROSEBUSH RD </t>
  </si>
  <si>
    <t>ROSEBUSH</t>
  </si>
  <si>
    <t>48878-8751</t>
  </si>
  <si>
    <t>(989) 433-0150</t>
  </si>
  <si>
    <t>CLEMENT MANOR</t>
  </si>
  <si>
    <t>53228-2140</t>
  </si>
  <si>
    <t>CCH OSCEOLA / ACORN GRILL</t>
  </si>
  <si>
    <t>WILTON RETIREMENT COMMUNITY</t>
  </si>
  <si>
    <t xml:space="preserve">307 OVESEN DR </t>
  </si>
  <si>
    <t>WILTON</t>
  </si>
  <si>
    <t>563-732-5067</t>
  </si>
  <si>
    <t>GEN-X LIMOUSINE LLC</t>
  </si>
  <si>
    <t xml:space="preserve">479 THORNEHILL TRL </t>
  </si>
  <si>
    <t>48371-5170</t>
  </si>
  <si>
    <t>CHURCH OF CHRIST SENIOR HOUSING</t>
  </si>
  <si>
    <t xml:space="preserve">23561 15 MILE RD </t>
  </si>
  <si>
    <t>48035-5629</t>
  </si>
  <si>
    <t>THOME PACE</t>
  </si>
  <si>
    <t xml:space="preserve">2282 SPRINGPORT RD </t>
  </si>
  <si>
    <t>517-768-9791</t>
  </si>
  <si>
    <t>MERCY MARYHAVEN</t>
  </si>
  <si>
    <t xml:space="preserve">11350 REECK RD </t>
  </si>
  <si>
    <t>734-287-2111</t>
  </si>
  <si>
    <t>MERCY MADONNA VILLA</t>
  </si>
  <si>
    <t xml:space="preserve">17825 15 MILE RD </t>
  </si>
  <si>
    <t>586-792-0358</t>
  </si>
  <si>
    <t>VINTON LUTHERAN HOME</t>
  </si>
  <si>
    <t xml:space="preserve">1301 2ND AVE </t>
  </si>
  <si>
    <t>52349-1638</t>
  </si>
  <si>
    <t>(319) 472-4751</t>
  </si>
  <si>
    <t>ST. LUKE LUTHERAN HOME NURSING FACILITY</t>
  </si>
  <si>
    <t xml:space="preserve">1301 SAINT LUKE DR </t>
  </si>
  <si>
    <t>51301-6043</t>
  </si>
  <si>
    <t>(712) 262-5931</t>
  </si>
  <si>
    <t>RIVERVIEW TERRACE ASSISTED LIVING</t>
  </si>
  <si>
    <t>LIFE CARE RETIREMENT COMMUNITIES INC</t>
  </si>
  <si>
    <t xml:space="preserve">100 E GRAND AVE STE 330 </t>
  </si>
  <si>
    <t>50309-1835</t>
  </si>
  <si>
    <t>(515) 288-5805</t>
  </si>
  <si>
    <t>GREEN HILLS OF AMES</t>
  </si>
  <si>
    <t xml:space="preserve">2200 HAMILTON DR </t>
  </si>
  <si>
    <t>50014-8208</t>
  </si>
  <si>
    <t>(515) 296-5000</t>
  </si>
  <si>
    <t>VALLEY VIEW VILLAGE</t>
  </si>
  <si>
    <t xml:space="preserve">2571 GUTHRIE AVE </t>
  </si>
  <si>
    <t>50317-3019</t>
  </si>
  <si>
    <t>(515) 265-2571</t>
  </si>
  <si>
    <t>MARYWOOD CONVALESCENT CENTER</t>
  </si>
  <si>
    <t xml:space="preserve">1821 N 4TH AVE </t>
  </si>
  <si>
    <t>54401-1910</t>
  </si>
  <si>
    <t>(715) 675-9451</t>
  </si>
  <si>
    <t>WOODCREST OF COUNTRY MANOR</t>
  </si>
  <si>
    <t xml:space="preserve">1200 LANIGAN WAY SW </t>
  </si>
  <si>
    <t>56374-4732</t>
  </si>
  <si>
    <t>WEALSHIRE OF MEDINA</t>
  </si>
  <si>
    <t xml:space="preserve">4555 MOHAWK DR </t>
  </si>
  <si>
    <t>HAMEL</t>
  </si>
  <si>
    <t>55340-9706</t>
  </si>
  <si>
    <t>TRINITY SUITES</t>
  </si>
  <si>
    <t xml:space="preserve">205 11TH ST </t>
  </si>
  <si>
    <t>55024-1809</t>
  </si>
  <si>
    <t>THE ROSEMOUNT</t>
  </si>
  <si>
    <t xml:space="preserve">14344 CAMEO AVE W </t>
  </si>
  <si>
    <t>ROSEMOUNT</t>
  </si>
  <si>
    <t>55068-4066</t>
  </si>
  <si>
    <t>(651) 322-4222</t>
  </si>
  <si>
    <t>SPIRIT VALLEY ASSISTED LIVING</t>
  </si>
  <si>
    <t xml:space="preserve">102 N 58TH AVE W </t>
  </si>
  <si>
    <t>MARTINA PLACE</t>
  </si>
  <si>
    <t xml:space="preserve">5815 WINWOOD DR </t>
  </si>
  <si>
    <t>50131-1666</t>
  </si>
  <si>
    <t>(515) 251-7999</t>
  </si>
  <si>
    <t>ZVAGO CENTRAL VILLAGE</t>
  </si>
  <si>
    <t xml:space="preserve">15322 GALAXIE AVE STE 212 </t>
  </si>
  <si>
    <t>APPLE VALLEY</t>
  </si>
  <si>
    <t>55124-3150</t>
  </si>
  <si>
    <t>VALLEY HOME ASSISTED LIVING</t>
  </si>
  <si>
    <t xml:space="preserve">523 ARNOLD AVE S </t>
  </si>
  <si>
    <t>THIEF RIVER FALLS</t>
  </si>
  <si>
    <t>56701-3500</t>
  </si>
  <si>
    <t>THE SHORES OF LAKE PHALEN</t>
  </si>
  <si>
    <t xml:space="preserve">1870 E SHORE DRIVE </t>
  </si>
  <si>
    <t>SUNCREST SENIOR LIVING COMMUNITY</t>
  </si>
  <si>
    <t xml:space="preserve">2400 WASHINGTON AVE </t>
  </si>
  <si>
    <t>55720-2844</t>
  </si>
  <si>
    <t xml:space="preserve">310 S BRADLEY ST </t>
  </si>
  <si>
    <t>48858-2155</t>
  </si>
  <si>
    <t>(989) 773-7274</t>
  </si>
  <si>
    <t>THREE LINKS COTTAGES ON FOREST</t>
  </si>
  <si>
    <t xml:space="preserve">811 FOREST AVE </t>
  </si>
  <si>
    <t>NORTHFIELD</t>
  </si>
  <si>
    <t>55057-1643</t>
  </si>
  <si>
    <t>(507) 664-8800</t>
  </si>
  <si>
    <t>THE LUTHERAN HOME</t>
  </si>
  <si>
    <t xml:space="preserve">611 W MAIN ST </t>
  </si>
  <si>
    <t>BELLE PLAINE</t>
  </si>
  <si>
    <t>56011-1221</t>
  </si>
  <si>
    <t>(402) 346-3344</t>
  </si>
  <si>
    <t>TALAMORE SENIOR LIVING</t>
  </si>
  <si>
    <t xml:space="preserve">215 37TH AVE N </t>
  </si>
  <si>
    <t>56303-4008</t>
  </si>
  <si>
    <t>STEWARTVILLE CARE CENTER</t>
  </si>
  <si>
    <t xml:space="preserve">120 4TH ST NE </t>
  </si>
  <si>
    <t>STEWARTVILLE</t>
  </si>
  <si>
    <t>55976-1212</t>
  </si>
  <si>
    <t>(507) 533-4288</t>
  </si>
  <si>
    <t>BISHOP DRUMM RETIREMENT CENTER</t>
  </si>
  <si>
    <t xml:space="preserve">5837 WINWOOD DR </t>
  </si>
  <si>
    <t>50131-1651</t>
  </si>
  <si>
    <t>(515) 270-1100</t>
  </si>
  <si>
    <t>WEALSHIRE OF BLOOMINGTON</t>
  </si>
  <si>
    <t xml:space="preserve">10601 LYNDALE CIR S </t>
  </si>
  <si>
    <t>55420-5657</t>
  </si>
  <si>
    <t>(952) 345-1900</t>
  </si>
  <si>
    <t>SUMMIT MANOR INC</t>
  </si>
  <si>
    <t xml:space="preserve">1531 E 4TH ST </t>
  </si>
  <si>
    <t>55812-1249</t>
  </si>
  <si>
    <t>PRELUDE HOMES AND SERVICES - NORTH</t>
  </si>
  <si>
    <t xml:space="preserve">10018 RALEIGH ROAD </t>
  </si>
  <si>
    <t>WOODBUY</t>
  </si>
  <si>
    <t>PRAIRIE VIEW 400</t>
  </si>
  <si>
    <t xml:space="preserve">410 4TH AVENUE S </t>
  </si>
  <si>
    <t>LONG PRAIRIE</t>
  </si>
  <si>
    <t>56347-1370</t>
  </si>
  <si>
    <t>PRAIRIE PARK PLACE</t>
  </si>
  <si>
    <t xml:space="preserve">1100 WARRINGS AVE </t>
  </si>
  <si>
    <t>56222-1001</t>
  </si>
  <si>
    <t>(320) 847-3785</t>
  </si>
  <si>
    <t>THE CEDARS OF DEXTER</t>
  </si>
  <si>
    <t xml:space="preserve">411 CEDARS LN </t>
  </si>
  <si>
    <t>734-792-9702</t>
  </si>
  <si>
    <t>LUTHER PARK AT SANDPOINT</t>
  </si>
  <si>
    <t xml:space="preserve">526 S OLIVE ST </t>
  </si>
  <si>
    <t>SANDPOINT</t>
  </si>
  <si>
    <t>EASTERN STAR MASONIC HOME</t>
  </si>
  <si>
    <t xml:space="preserve">715 W MAMIE EISENHOWER AVE </t>
  </si>
  <si>
    <t>BOONE</t>
  </si>
  <si>
    <t>50036-3930</t>
  </si>
  <si>
    <t>(515) 432-5274</t>
  </si>
  <si>
    <t>WINDGRACE</t>
  </si>
  <si>
    <t xml:space="preserve">5118 S MAIN ST </t>
  </si>
  <si>
    <t>50613-7493</t>
  </si>
  <si>
    <t>HILLSIDE TERRACE</t>
  </si>
  <si>
    <t xml:space="preserve">1209 12TH ST SE </t>
  </si>
  <si>
    <t>HARBOR AREA HOUSING</t>
  </si>
  <si>
    <t xml:space="preserve">311 WEST MIN ST </t>
  </si>
  <si>
    <t>HARBOR</t>
  </si>
  <si>
    <t>SEQUOIA PLACE</t>
  </si>
  <si>
    <t xml:space="preserve">1131 N MAPLE RD STE 125 </t>
  </si>
  <si>
    <t>48103-2864</t>
  </si>
  <si>
    <t>(734) 669-8840</t>
  </si>
  <si>
    <t>ST. CLARE LIVING COMMUNITY OF MORA</t>
  </si>
  <si>
    <t xml:space="preserve">110 7TH ST N </t>
  </si>
  <si>
    <t>MORA</t>
  </si>
  <si>
    <t>320-679-1411</t>
  </si>
  <si>
    <t>ST SCHOLASTICA CONVENT</t>
  </si>
  <si>
    <t xml:space="preserve">1845 20TH AVE SE </t>
  </si>
  <si>
    <t>56304-4612</t>
  </si>
  <si>
    <t>PISGAH MANOR HEALTH CARE - CANDLER - NC</t>
  </si>
  <si>
    <t xml:space="preserve">95 HOLCOMBE COVE RD </t>
  </si>
  <si>
    <t>CANDLER</t>
  </si>
  <si>
    <t>28715-9450</t>
  </si>
  <si>
    <t>(828) 667-9851</t>
  </si>
  <si>
    <t>GREGG COURT APARTMENTS</t>
  </si>
  <si>
    <t xml:space="preserve">940 GREGG CT </t>
  </si>
  <si>
    <t>27803-4218</t>
  </si>
  <si>
    <t>(252) 446-5335</t>
  </si>
  <si>
    <t>WELL BEING SERVICES</t>
  </si>
  <si>
    <t xml:space="preserve">1423 FIELD ST </t>
  </si>
  <si>
    <t>48214-2321</t>
  </si>
  <si>
    <t>(313) 924-7860</t>
  </si>
  <si>
    <t>LYNN STREET MANOR APARTMENTS</t>
  </si>
  <si>
    <t xml:space="preserve">4255 S LYNN ST </t>
  </si>
  <si>
    <t>ONAWAY</t>
  </si>
  <si>
    <t>49765-8680</t>
  </si>
  <si>
    <t>(989) 733-2661</t>
  </si>
  <si>
    <t>AUTUMN HOUSE</t>
  </si>
  <si>
    <t xml:space="preserve">6119 28TH ST SE </t>
  </si>
  <si>
    <t>49546-6956</t>
  </si>
  <si>
    <t>MILL-POND INC</t>
  </si>
  <si>
    <t xml:space="preserve">1201 SE MILL POND CT </t>
  </si>
  <si>
    <t>50021-6534</t>
  </si>
  <si>
    <t>(515) 964-2273</t>
  </si>
  <si>
    <t>ST CLARE TERRACE</t>
  </si>
  <si>
    <t xml:space="preserve">31 EVERETT ST </t>
  </si>
  <si>
    <t>54935-4318</t>
  </si>
  <si>
    <t>(920) 923-7996</t>
  </si>
  <si>
    <t>WOODBRIER APTS</t>
  </si>
  <si>
    <t xml:space="preserve">12115 RYE ST </t>
  </si>
  <si>
    <t>BECKER</t>
  </si>
  <si>
    <t>VALUEFIRST INC</t>
  </si>
  <si>
    <t xml:space="preserve">2550 UNIVERSITY AVE W </t>
  </si>
  <si>
    <t>55114-1900</t>
  </si>
  <si>
    <t>(651) 659-1436</t>
  </si>
  <si>
    <t>TRAVERSE CARE CENTER</t>
  </si>
  <si>
    <t xml:space="preserve">303 7TH ST S </t>
  </si>
  <si>
    <t>56296-1740</t>
  </si>
  <si>
    <t>(320) 563-8124</t>
  </si>
  <si>
    <t>THREE LINKS VILLAGES OF LONSDALE</t>
  </si>
  <si>
    <t xml:space="preserve">1000 BIRCH ST NE </t>
  </si>
  <si>
    <t>LONSDALE</t>
  </si>
  <si>
    <t>55046-5805</t>
  </si>
  <si>
    <t>(507) 744-3453</t>
  </si>
  <si>
    <t>ST. LUKE HOMES AND SERVICE INC.</t>
  </si>
  <si>
    <t>CAMELOT VILLAGE</t>
  </si>
  <si>
    <t xml:space="preserve">1105 S 3RD ST </t>
  </si>
  <si>
    <t>51503-6891</t>
  </si>
  <si>
    <t>(712) 328-2525</t>
  </si>
  <si>
    <t>MARY'S WOODS AT MARYLHURST</t>
  </si>
  <si>
    <t xml:space="preserve">17400 HOLY NAMES DR </t>
  </si>
  <si>
    <t>503 635738</t>
  </si>
  <si>
    <t>VILLA LORETTO NURSING HOME</t>
  </si>
  <si>
    <t xml:space="preserve">N8114 CALVARY ST </t>
  </si>
  <si>
    <t>MOUNT CALVARY</t>
  </si>
  <si>
    <t>53057-9607</t>
  </si>
  <si>
    <t>(920) 753-3211</t>
  </si>
  <si>
    <t>WESTWOOD HEALTH CARE CENTER</t>
  </si>
  <si>
    <t xml:space="preserve">7500 W 22ND ST </t>
  </si>
  <si>
    <t>SAINT LOUIS PARK</t>
  </si>
  <si>
    <t>55426-2602</t>
  </si>
  <si>
    <t>952-546-4261</t>
  </si>
  <si>
    <t>THREE LINKS CARE CENTER</t>
  </si>
  <si>
    <t xml:space="preserve">815 FOREST AVE </t>
  </si>
  <si>
    <t>FAHA MANOR</t>
  </si>
  <si>
    <t xml:space="preserve">191 W VERANO AVE </t>
  </si>
  <si>
    <t>707 938041</t>
  </si>
  <si>
    <t>JEWEL LAKE PLAZA</t>
  </si>
  <si>
    <t xml:space="preserve">8300 JEWEL LAKE RD </t>
  </si>
  <si>
    <t>907 248837</t>
  </si>
  <si>
    <t>BETHEL HOME &amp; SERVICES INC - COMMUNITY SERVIC</t>
  </si>
  <si>
    <t>MERIT CENTRE SOUTH</t>
  </si>
  <si>
    <t xml:space="preserve">3900 EAST AVE S </t>
  </si>
  <si>
    <t>608 788290</t>
  </si>
  <si>
    <t>WARROAD SENIOR LIVING CENTER</t>
  </si>
  <si>
    <t xml:space="preserve">1401 LAKE ST NW </t>
  </si>
  <si>
    <t>WARROAD</t>
  </si>
  <si>
    <t>56763-2026</t>
  </si>
  <si>
    <t>(218) 386-1235</t>
  </si>
  <si>
    <t>DENVER NORTH CARE CENTER</t>
  </si>
  <si>
    <t xml:space="preserve">2201 N DOWNING ST </t>
  </si>
  <si>
    <t>ALLIED JEWISH APARTMENTS</t>
  </si>
  <si>
    <t xml:space="preserve">22 S ADAMS ST </t>
  </si>
  <si>
    <t>RIVERHILLS SENIOR LIVING COMMUNITY</t>
  </si>
  <si>
    <t xml:space="preserve">1545 NW RIVERHILLS PKWY </t>
  </si>
  <si>
    <t xml:space="preserve">8950 E LOWRY BLVD </t>
  </si>
  <si>
    <t>303-837-8834</t>
  </si>
  <si>
    <t>CHRISTIAN LIVING CAMPUS U - HILLS</t>
  </si>
  <si>
    <t>UNIVERSITY NEIGHBORHOOD APTS</t>
  </si>
  <si>
    <t xml:space="preserve">1721 UNIVERSITY AVE </t>
  </si>
  <si>
    <t>ASPEN PLACE</t>
  </si>
  <si>
    <t xml:space="preserve">15351 E 12TH AVE </t>
  </si>
  <si>
    <t>303 344327</t>
  </si>
  <si>
    <t>CHRISTIAN LIVING COMMUNITIES - LIVING CTR</t>
  </si>
  <si>
    <t xml:space="preserve">2479 S CLERMONT </t>
  </si>
  <si>
    <t>SACRAMENTO SENIOR HOMES</t>
  </si>
  <si>
    <t xml:space="preserve">1501 BLAKE ST </t>
  </si>
  <si>
    <t>REDDING RHF HSG - COTTONWD</t>
  </si>
  <si>
    <t>LAKESIDE SENIOR APTS</t>
  </si>
  <si>
    <t xml:space="preserve">1507 2ND AVE </t>
  </si>
  <si>
    <t>COLUMBIA VILLAGE</t>
  </si>
  <si>
    <t xml:space="preserve">1675 44TH AVE NE </t>
  </si>
  <si>
    <t>COLUMBIA HEIGHTS</t>
  </si>
  <si>
    <t>55421-3041</t>
  </si>
  <si>
    <t>(763) 706-2575</t>
  </si>
  <si>
    <t>THE BARRINGTON OF CARMEL</t>
  </si>
  <si>
    <t xml:space="preserve">10700 PRAIRIE LAKES DR </t>
  </si>
  <si>
    <t>55344-3858</t>
  </si>
  <si>
    <t>MASONIC HOMES OF KENTUCKY</t>
  </si>
  <si>
    <t>SAM SWOPE CARE CENTER</t>
  </si>
  <si>
    <t xml:space="preserve">3503 MOYER CIRCLE </t>
  </si>
  <si>
    <t>MASONIC HOME</t>
  </si>
  <si>
    <t>(502) 897-4907</t>
  </si>
  <si>
    <t>MERCY MARIAN PLACE</t>
  </si>
  <si>
    <t xml:space="preserve">408 W FRONT ST </t>
  </si>
  <si>
    <t>734-241-2414</t>
  </si>
  <si>
    <t>THREE LINKS COTTAGES EAST</t>
  </si>
  <si>
    <t xml:space="preserve">804 WEST 5TH STREET </t>
  </si>
  <si>
    <t>(507) 664-8860</t>
  </si>
  <si>
    <t>THE BROOKS OF ST. PAUL</t>
  </si>
  <si>
    <t xml:space="preserve">2480 ST PAUL RD </t>
  </si>
  <si>
    <t>ST LUKE'S LUTHERAN CARE CENTER</t>
  </si>
  <si>
    <t xml:space="preserve">1219 S RAMSEY ST </t>
  </si>
  <si>
    <t>BLUE EARTH</t>
  </si>
  <si>
    <t>56013-2227</t>
  </si>
  <si>
    <t>507-526-2184</t>
  </si>
  <si>
    <t>ST JOHNS LUTHERAN COMMUNITY ON FOUNTAIN LAKE</t>
  </si>
  <si>
    <t xml:space="preserve">1771 EAGLE VIEW CIR </t>
  </si>
  <si>
    <t>ALBERT LEA</t>
  </si>
  <si>
    <t>(507) 373-2040</t>
  </si>
  <si>
    <t>RNC UNIT</t>
  </si>
  <si>
    <t xml:space="preserve">600 N 3RD AVE APT 409 </t>
  </si>
  <si>
    <t>55792-2462</t>
  </si>
  <si>
    <t>RIVER GRAND</t>
  </si>
  <si>
    <t xml:space="preserve">355 RIVER RD </t>
  </si>
  <si>
    <t>55744-3785</t>
  </si>
  <si>
    <t>VISTA SHORES</t>
  </si>
  <si>
    <t xml:space="preserve">5958 ST BERNARD AVE </t>
  </si>
  <si>
    <t>THE GLEN SYSTEM</t>
  </si>
  <si>
    <t>WESTMINSTER WOODS I</t>
  </si>
  <si>
    <t xml:space="preserve">1600 AVENUE F </t>
  </si>
  <si>
    <t>BOGALUSA</t>
  </si>
  <si>
    <t>70427-4900</t>
  </si>
  <si>
    <t>(504) 735-5007</t>
  </si>
  <si>
    <t>WESTMINSTER PLACE</t>
  </si>
  <si>
    <t xml:space="preserve">250 S 1ST ST OFC 45 </t>
  </si>
  <si>
    <t>PONCHATOULA</t>
  </si>
  <si>
    <t>70454-2648</t>
  </si>
  <si>
    <t>(985) 386-9199</t>
  </si>
  <si>
    <t>CHRISTOPHER HOMES INC.</t>
  </si>
  <si>
    <t xml:space="preserve">1000 HOWARD AVE STE 100 </t>
  </si>
  <si>
    <t>70113-1923</t>
  </si>
  <si>
    <t xml:space="preserve">(504) 596-3460 </t>
  </si>
  <si>
    <t>SPRING VALLEY SENIOR LIVING</t>
  </si>
  <si>
    <t xml:space="preserve">800 MEMORIAL DR </t>
  </si>
  <si>
    <t>55975-1054</t>
  </si>
  <si>
    <t>(507) 346-7381</t>
  </si>
  <si>
    <t>RUTH HOMES</t>
  </si>
  <si>
    <t xml:space="preserve">1306 LINCOLN LN </t>
  </si>
  <si>
    <t>HASTINGS</t>
  </si>
  <si>
    <t>55033-1068</t>
  </si>
  <si>
    <t>651-437-4312</t>
  </si>
  <si>
    <t>CHRISTIAN LIVING COMMUNITIES HOLLY CREEK</t>
  </si>
  <si>
    <t xml:space="preserve">5500 E PEAKVIEW AVE </t>
  </si>
  <si>
    <t>303 741297</t>
  </si>
  <si>
    <t>ST. JOHN OF GOD RETIREMENT &amp; CARE CENTER</t>
  </si>
  <si>
    <t xml:space="preserve">2468 S ST ANDREWS PL </t>
  </si>
  <si>
    <t>323 731064</t>
  </si>
  <si>
    <t>ADAMS HOUSE</t>
  </si>
  <si>
    <t>(508) 679-0144</t>
  </si>
  <si>
    <t>ROGERSON EGLESTON ADULT DAY</t>
  </si>
  <si>
    <t xml:space="preserve">2053R COLUMBUS AVE </t>
  </si>
  <si>
    <t>ROXBURY</t>
  </si>
  <si>
    <t>02119-1165</t>
  </si>
  <si>
    <t>RIVERVIEW HIGHLANDS APARTMENTS</t>
  </si>
  <si>
    <t xml:space="preserve">1834 MISSISSIPPI RIVER BLVD S </t>
  </si>
  <si>
    <t>55116-2620</t>
  </si>
  <si>
    <t>(651) 696-8420</t>
  </si>
  <si>
    <t>RIVERVIEW CARE CENTER</t>
  </si>
  <si>
    <t xml:space="preserve">323 S MINNESOTA ST </t>
  </si>
  <si>
    <t>CROOKSTON</t>
  </si>
  <si>
    <t>56716-1601</t>
  </si>
  <si>
    <t>(218) 281-9465</t>
  </si>
  <si>
    <t>RIVERFRONT ON MAIN</t>
  </si>
  <si>
    <t xml:space="preserve">119 N BROADWAY </t>
  </si>
  <si>
    <t>PELICAN RAPIDS</t>
  </si>
  <si>
    <t>56572-4122</t>
  </si>
  <si>
    <t>(218) 863-2401</t>
  </si>
  <si>
    <t>PRELUDE HOMES AND SERVICES</t>
  </si>
  <si>
    <t xml:space="preserve">4650 WHITE BEAR PKWY </t>
  </si>
  <si>
    <t>WHITE BEAR LAKE</t>
  </si>
  <si>
    <t>55110-3332</t>
  </si>
  <si>
    <t>POINT PLEASANT HEIGHTS</t>
  </si>
  <si>
    <t xml:space="preserve">28600 FAIRWAY LN </t>
  </si>
  <si>
    <t>(651) 257-4035</t>
  </si>
  <si>
    <t>ALLISON CARE CENTER</t>
  </si>
  <si>
    <t xml:space="preserve">1660 ALLISON ST </t>
  </si>
  <si>
    <t>303 232717</t>
  </si>
  <si>
    <t>UPLAND MANOR INC.</t>
  </si>
  <si>
    <t xml:space="preserve">1125 W ARROW HWY </t>
  </si>
  <si>
    <t>91786-4417</t>
  </si>
  <si>
    <t>(909) 985-1215</t>
  </si>
  <si>
    <t>SIERRA GARDEN APTS</t>
  </si>
  <si>
    <t xml:space="preserve">150 SIERRA DR # 170 </t>
  </si>
  <si>
    <t>94596-8613</t>
  </si>
  <si>
    <t>PEER SERVICES INC</t>
  </si>
  <si>
    <t xml:space="preserve">1396 W SEQUOIA CIR </t>
  </si>
  <si>
    <t>93654-2776</t>
  </si>
  <si>
    <t>KENNETH HENRY COURT</t>
  </si>
  <si>
    <t xml:space="preserve">6475 FOOTHILL BLVD </t>
  </si>
  <si>
    <t>MOUNTAIN VISTA SENIOR LIVING COMMUNITY</t>
  </si>
  <si>
    <t xml:space="preserve">4800 TABOR ST </t>
  </si>
  <si>
    <t>303 421416</t>
  </si>
  <si>
    <t>SAINT ANNE'S HOME - SAN FRANCISCO-LITTLE SIST</t>
  </si>
  <si>
    <t xml:space="preserve">300 LAKE ST </t>
  </si>
  <si>
    <t>94118-1357</t>
  </si>
  <si>
    <t>(415) 751-6510</t>
  </si>
  <si>
    <t>KERIO INTERMEDIATE CARE FACILITY</t>
  </si>
  <si>
    <t xml:space="preserve">325 S BOYLE AVE </t>
  </si>
  <si>
    <t>90033-3812</t>
  </si>
  <si>
    <t>EVERGREEN KNOLL</t>
  </si>
  <si>
    <t xml:space="preserve">1309 14TH ST </t>
  </si>
  <si>
    <t>55720-2562</t>
  </si>
  <si>
    <t>EBENEZER PARK APARTMENTS</t>
  </si>
  <si>
    <t xml:space="preserve">2700 PARK AVE </t>
  </si>
  <si>
    <t>55407-1017</t>
  </si>
  <si>
    <t>(612) 879-2233</t>
  </si>
  <si>
    <t>HERITAGE ASSISTED LIVING</t>
  </si>
  <si>
    <t xml:space="preserve">747 WATER ST </t>
  </si>
  <si>
    <t>01701-3208</t>
  </si>
  <si>
    <t>(508) 788-6050</t>
  </si>
  <si>
    <t>LOOMIS COMMUNITIES INC</t>
  </si>
  <si>
    <t xml:space="preserve">246 N MAIN ST </t>
  </si>
  <si>
    <t>01075-1799</t>
  </si>
  <si>
    <t>(413) 532-5325</t>
  </si>
  <si>
    <t>RIDGEWAY ON GERMAN</t>
  </si>
  <si>
    <t xml:space="preserve">715 S GERMAN ST </t>
  </si>
  <si>
    <t>56073-4403</t>
  </si>
  <si>
    <t xml:space="preserve">965 DUTCHESS TPKE </t>
  </si>
  <si>
    <t>12603-1551</t>
  </si>
  <si>
    <t>(845) 486-9494</t>
  </si>
  <si>
    <t>UNITY HEALTH SYSTEM</t>
  </si>
  <si>
    <t xml:space="preserve">89 GENESEE ST </t>
  </si>
  <si>
    <t>(585) 368-3166</t>
  </si>
  <si>
    <t>RESCH COMMONS</t>
  </si>
  <si>
    <t xml:space="preserve">600 ISLAND COTTAGE RD </t>
  </si>
  <si>
    <t>(585) 621-4263</t>
  </si>
  <si>
    <t>LONG ISLAND STATE VETERANS HOME</t>
  </si>
  <si>
    <t xml:space="preserve">100 PATRIOTS ROAD </t>
  </si>
  <si>
    <t>STONY BROOK</t>
  </si>
  <si>
    <t>11790-3300</t>
  </si>
  <si>
    <t>(631) 444-8500</t>
  </si>
  <si>
    <t>GRACE VIEW MANOR APARTMENTS</t>
  </si>
  <si>
    <t>(607) 337-1014</t>
  </si>
  <si>
    <t>FRIENDSVIEW RETIREMENT COMMUNITY</t>
  </si>
  <si>
    <t xml:space="preserve">1301 FULTON ST </t>
  </si>
  <si>
    <t>503 538314</t>
  </si>
  <si>
    <t>FOOTHILL RETIREMENT CENTER II</t>
  </si>
  <si>
    <t xml:space="preserve">1997 NE D ST </t>
  </si>
  <si>
    <t>WILLIAMETTE VIEW HEALTH CENTER</t>
  </si>
  <si>
    <t xml:space="preserve">13145 SE RIVER RD </t>
  </si>
  <si>
    <t>503 353710</t>
  </si>
  <si>
    <t>TIMBER RIDGE RETIREMENT CENTER</t>
  </si>
  <si>
    <t xml:space="preserve">660 RANCH RD </t>
  </si>
  <si>
    <t>REEDSPORT</t>
  </si>
  <si>
    <t>541 271011</t>
  </si>
  <si>
    <t>INNOVAGE LAKEWOOD CENTER</t>
  </si>
  <si>
    <t xml:space="preserve">8405 W ALAMEDA AVE </t>
  </si>
  <si>
    <t>720 974540</t>
  </si>
  <si>
    <t>CHRISTIAN LIVING COMMUNITIES - THE VILLAGE</t>
  </si>
  <si>
    <t xml:space="preserve">4761 E COSTILLA AVE </t>
  </si>
  <si>
    <t>CHRISTIAN LIVING COMMUNITIES</t>
  </si>
  <si>
    <t xml:space="preserve">7000 E BELLEVIEW AVE STE 150 </t>
  </si>
  <si>
    <t>GREENWOOD VILLAGE</t>
  </si>
  <si>
    <t>EMMANUEL TERRACE APARTMENTS</t>
  </si>
  <si>
    <t xml:space="preserve">460 FRANCIS DR </t>
  </si>
  <si>
    <t>95133-2417</t>
  </si>
  <si>
    <t>(408) 923-8280</t>
  </si>
  <si>
    <t>ALDERSGATE VILLAGE ASSISTED LIVING</t>
  </si>
  <si>
    <t xml:space="preserve">3124 SW LANDSDOWN </t>
  </si>
  <si>
    <t>66614-6094</t>
  </si>
  <si>
    <t xml:space="preserve">3220 SW ALBRIGHT DR </t>
  </si>
  <si>
    <t>66614-4707</t>
  </si>
  <si>
    <t>TRI COUNTY LIVING CENTER</t>
  </si>
  <si>
    <t xml:space="preserve">1890 EUCLID AVE </t>
  </si>
  <si>
    <t>HORTON</t>
  </si>
  <si>
    <t>66439-1247</t>
  </si>
  <si>
    <t>(785) 486-2697</t>
  </si>
  <si>
    <t>VILLA MARIA COURT</t>
  </si>
  <si>
    <t xml:space="preserve">633 E MAIN ST </t>
  </si>
  <si>
    <t>67110-1781</t>
  </si>
  <si>
    <t>CSJ INITIATIVES INC</t>
  </si>
  <si>
    <t xml:space="preserve">3700 E LINCOLN ST </t>
  </si>
  <si>
    <t>67218-2008</t>
  </si>
  <si>
    <t>(316) 689-4031</t>
  </si>
  <si>
    <t>BEAU PROVENCE</t>
  </si>
  <si>
    <t xml:space="preserve">100 BEAU WEST DR </t>
  </si>
  <si>
    <t>MANDEVILLE</t>
  </si>
  <si>
    <t>70471-3090</t>
  </si>
  <si>
    <t>VILLAGE OF WESTLAND</t>
  </si>
  <si>
    <t xml:space="preserve">32001 CHERRY HILL RD </t>
  </si>
  <si>
    <t>48186-7902</t>
  </si>
  <si>
    <t>(734) 728-5222</t>
  </si>
  <si>
    <t>HIGHLAND RIDGE CARE CENTER</t>
  </si>
  <si>
    <t xml:space="preserve">100 VILLAGE VIEW CIR </t>
  </si>
  <si>
    <t>52361-9684</t>
  </si>
  <si>
    <t>(319) 668-3800</t>
  </si>
  <si>
    <t>SHORES AT PLEASANT HILL (THE)</t>
  </si>
  <si>
    <t xml:space="preserve">1500 EDGEWATER DR </t>
  </si>
  <si>
    <t>515 262444</t>
  </si>
  <si>
    <t>PRESBYTERIAN VILLAGE (THE)</t>
  </si>
  <si>
    <t xml:space="preserve">502 BUTLER ST </t>
  </si>
  <si>
    <t>ACKLEY</t>
  </si>
  <si>
    <t>50601-1730</t>
  </si>
  <si>
    <t>(641) 847-3531</t>
  </si>
  <si>
    <t>ROSE OF SHARON SENIOR HOME</t>
  </si>
  <si>
    <t xml:space="preserve">1600 LAKESHORE AVE </t>
  </si>
  <si>
    <t>510 832609</t>
  </si>
  <si>
    <t>GARFIELD PARK VILLAGE</t>
  </si>
  <si>
    <t xml:space="preserve">721 BAY ST </t>
  </si>
  <si>
    <t>SANTA CRUZ</t>
  </si>
  <si>
    <t>95060-5901</t>
  </si>
  <si>
    <t>(831) 423-3411</t>
  </si>
  <si>
    <t>TUDOR OAKS SENIOR LIVING COMMUNITY</t>
  </si>
  <si>
    <t xml:space="preserve">S77W12929 MCSHANE DR </t>
  </si>
  <si>
    <t>MUSKEGO</t>
  </si>
  <si>
    <t>53150-4052</t>
  </si>
  <si>
    <t>ST JOESPH RESIDENCE INC</t>
  </si>
  <si>
    <t>WESTMINSTER GARDENS II</t>
  </si>
  <si>
    <t xml:space="preserve">501 EDWIN NEILL WAY APT 2 </t>
  </si>
  <si>
    <t>HAMMOND</t>
  </si>
  <si>
    <t>504-345-5010</t>
  </si>
  <si>
    <t>PINE GROVE</t>
  </si>
  <si>
    <t xml:space="preserve">60 PINE CREST RD </t>
  </si>
  <si>
    <t>PINEVILLE</t>
  </si>
  <si>
    <t>71360-4283</t>
  </si>
  <si>
    <t>(318) 640-3006</t>
  </si>
  <si>
    <t>MERCY STAPLETON CENTER</t>
  </si>
  <si>
    <t xml:space="preserve">9341 AGNES ST </t>
  </si>
  <si>
    <t>313-822-0397</t>
  </si>
  <si>
    <t>RESTHAVEN CARE CENTER</t>
  </si>
  <si>
    <t xml:space="preserve">280 W 40TH ST </t>
  </si>
  <si>
    <t>49423-4664</t>
  </si>
  <si>
    <t>(616) 796-3600</t>
  </si>
  <si>
    <t>LEADER</t>
  </si>
  <si>
    <t xml:space="preserve">3043 OLD FORGE DR STE A </t>
  </si>
  <si>
    <t>70808-3150</t>
  </si>
  <si>
    <t>STILES APARTMENTS AT THE GLEN</t>
  </si>
  <si>
    <t>SUNSHINE CENTER</t>
  </si>
  <si>
    <t xml:space="preserve">1851 JEAN ST </t>
  </si>
  <si>
    <t>LEESVILLE</t>
  </si>
  <si>
    <t>71446-4583</t>
  </si>
  <si>
    <t>(337) 239-0463</t>
  </si>
  <si>
    <t>ROUQUETTE LODGE II</t>
  </si>
  <si>
    <t xml:space="preserve">4300 HIGHWAY 22 </t>
  </si>
  <si>
    <t>70471-3318</t>
  </si>
  <si>
    <t>(985) 626-5217</t>
  </si>
  <si>
    <t>WYNHOVEN APARTMENTS I</t>
  </si>
  <si>
    <t xml:space="preserve">4606 10TH ST </t>
  </si>
  <si>
    <t>70072-3063</t>
  </si>
  <si>
    <t>(504) 347-8442</t>
  </si>
  <si>
    <t>THE SCOTT-FARRAR HOME</t>
  </si>
  <si>
    <t xml:space="preserve">11 ELM ST </t>
  </si>
  <si>
    <t>PETERBOROUGH</t>
  </si>
  <si>
    <t>03458-1031</t>
  </si>
  <si>
    <t>(603) 924-3691</t>
  </si>
  <si>
    <t>NASHUA CROSSINGS</t>
  </si>
  <si>
    <t xml:space="preserve">674 W HOLLIS ST </t>
  </si>
  <si>
    <t>NASHUA</t>
  </si>
  <si>
    <t>03062-1347</t>
  </si>
  <si>
    <t>603-882-2898</t>
  </si>
  <si>
    <t>EDDY THE</t>
  </si>
  <si>
    <t xml:space="preserve">2212 BURDETT AVE </t>
  </si>
  <si>
    <t>12180-2401</t>
  </si>
  <si>
    <t>(518) 271-5072</t>
  </si>
  <si>
    <t>RESURRECTION REST HOME</t>
  </si>
  <si>
    <t xml:space="preserve">90 N MAIN ST </t>
  </si>
  <si>
    <t>CASTLETON ON HUDSON</t>
  </si>
  <si>
    <t>12033-1006</t>
  </si>
  <si>
    <t>(518) 732-7617</t>
  </si>
  <si>
    <t>MERCY CASA MARIA OF IMLAY CITY</t>
  </si>
  <si>
    <t xml:space="preserve">600 MAPLE VISTA ST </t>
  </si>
  <si>
    <t>810-724-6300</t>
  </si>
  <si>
    <t>SAMARITAS SENIOR LIVING SAGINAW</t>
  </si>
  <si>
    <t xml:space="preserve">3200 STATE ST </t>
  </si>
  <si>
    <t>989 799190</t>
  </si>
  <si>
    <t>WARM FRIEND (THE)</t>
  </si>
  <si>
    <t xml:space="preserve">5 E 8TH ST </t>
  </si>
  <si>
    <t>49423-3501</t>
  </si>
  <si>
    <t>(616) 796-3550</t>
  </si>
  <si>
    <t>RESTHAVEN</t>
  </si>
  <si>
    <t xml:space="preserve">948 WASHINGTON AVE </t>
  </si>
  <si>
    <t>49423-5205</t>
  </si>
  <si>
    <t>(616) 796-3500</t>
  </si>
  <si>
    <t>VILLAGE OF WOODBRIDGE MANOR</t>
  </si>
  <si>
    <t xml:space="preserve">1300 MARTIN LUTHER KING JR BLVD </t>
  </si>
  <si>
    <t>48201-2363</t>
  </si>
  <si>
    <t>(313) 494-9000</t>
  </si>
  <si>
    <t>PRAIRIE HOMESTEAD/AMERICAN BAPTIST ESTATES</t>
  </si>
  <si>
    <t xml:space="preserve">1605 MAY ST </t>
  </si>
  <si>
    <t>67213-3511</t>
  </si>
  <si>
    <t>HAVENWOOD HERITAGE HEIGHTS</t>
  </si>
  <si>
    <t xml:space="preserve">33 CHRISTIAN AVE </t>
  </si>
  <si>
    <t>03301-6128</t>
  </si>
  <si>
    <t>(603) 229-1144</t>
  </si>
  <si>
    <t xml:space="preserve">5 TIMBER LN </t>
  </si>
  <si>
    <t>VIGIL LIGHT APARTMENTS</t>
  </si>
  <si>
    <t xml:space="preserve">1945 LONG DR </t>
  </si>
  <si>
    <t>707 544281</t>
  </si>
  <si>
    <t>TOWN &amp; COUNTRY MANOR</t>
  </si>
  <si>
    <t xml:space="preserve">555 E MEMORY LN </t>
  </si>
  <si>
    <t>SANTA ANA</t>
  </si>
  <si>
    <t>92706-1705</t>
  </si>
  <si>
    <t>(714) 547-7581</t>
  </si>
  <si>
    <t>NIKKEI VILLAGE</t>
  </si>
  <si>
    <t xml:space="preserve">9551 LAUREL CANYON BLVD </t>
  </si>
  <si>
    <t>ARLETA</t>
  </si>
  <si>
    <t>91331-4235</t>
  </si>
  <si>
    <t>(818) 897-7571</t>
  </si>
  <si>
    <t>CASA DORINDA</t>
  </si>
  <si>
    <t xml:space="preserve">300 HOT SPRINGS RD </t>
  </si>
  <si>
    <t>805 969801</t>
  </si>
  <si>
    <t>GARDEN GROVE I APARTMENT</t>
  </si>
  <si>
    <t xml:space="preserve">1119 GARDEN WAY </t>
  </si>
  <si>
    <t>66502-1752</t>
  </si>
  <si>
    <t>(785) 776-2277</t>
  </si>
  <si>
    <t>OUR LADY OF THE LAKE MEDICAL CENTER</t>
  </si>
  <si>
    <t xml:space="preserve">5000 HENNESSY BLVD </t>
  </si>
  <si>
    <t>70808-4375</t>
  </si>
  <si>
    <t>(225) 927-0070</t>
  </si>
  <si>
    <t>DEMENTIA PARTNERSHIP COALITION</t>
  </si>
  <si>
    <t xml:space="preserve">9671 HIGHWAY 421 </t>
  </si>
  <si>
    <t>SAINT FRANCISVILLE</t>
  </si>
  <si>
    <t>70775-7020</t>
  </si>
  <si>
    <t>(225) 235-7411</t>
  </si>
  <si>
    <t>REDBROOK AT THE GLEN</t>
  </si>
  <si>
    <t>QUINBY PARK APARTMENTS</t>
  </si>
  <si>
    <t xml:space="preserve">1030 SHOECRAFT RD STE 1 </t>
  </si>
  <si>
    <t>14580-8988</t>
  </si>
  <si>
    <t>(585) 671-1450</t>
  </si>
  <si>
    <t>MOUNTAINVIEW COMMONS</t>
  </si>
  <si>
    <t xml:space="preserve">88 QUAKER ST </t>
  </si>
  <si>
    <t>12832-1540</t>
  </si>
  <si>
    <t>(518) 642-2418</t>
  </si>
  <si>
    <t>DOUBLEDAY WOODS</t>
  </si>
  <si>
    <t xml:space="preserve">91 CHURCH AVE </t>
  </si>
  <si>
    <t>BALLSTON SPA</t>
  </si>
  <si>
    <t>12020-1962</t>
  </si>
  <si>
    <t>(518) 885-1900</t>
  </si>
  <si>
    <t>SPECTRUM HEALTH</t>
  </si>
  <si>
    <t xml:space="preserve">2000 SIEGEL BLVD </t>
  </si>
  <si>
    <t>EVELETH</t>
  </si>
  <si>
    <t>55734-8642</t>
  </si>
  <si>
    <t>SHOLOM COMMUNITY ALLIANCE</t>
  </si>
  <si>
    <t>55426-3700</t>
  </si>
  <si>
    <t>CARMEN AVE APTS</t>
  </si>
  <si>
    <t xml:space="preserve">2891 CARMEN AVE </t>
  </si>
  <si>
    <t>LIVERMORE</t>
  </si>
  <si>
    <t>94550-4808</t>
  </si>
  <si>
    <t>WISCONSIN LUTHERAN CHILD AND FAMILY SERVICES-</t>
  </si>
  <si>
    <t xml:space="preserve">W175N11120 STONEWOOD DR STE 103 </t>
  </si>
  <si>
    <t>SCHOOL AGE CHILDCARE</t>
  </si>
  <si>
    <t>54701-7090</t>
  </si>
  <si>
    <t>SCHMITT WOODLAND HILLS</t>
  </si>
  <si>
    <t xml:space="preserve">1400 W SEMINARY </t>
  </si>
  <si>
    <t>RICHLAND CENTER</t>
  </si>
  <si>
    <t>(608) 647-8931</t>
  </si>
  <si>
    <t>NEW GLARUS HOME</t>
  </si>
  <si>
    <t xml:space="preserve">600 2ND AVE </t>
  </si>
  <si>
    <t>NEW GLARUS</t>
  </si>
  <si>
    <t>53574-9776</t>
  </si>
  <si>
    <t>(608) 527-2126</t>
  </si>
  <si>
    <t>WEBSTER HOUSE HEALTH CENTER</t>
  </si>
  <si>
    <t xml:space="preserve">437 WEBSTER ST </t>
  </si>
  <si>
    <t>650 328330</t>
  </si>
  <si>
    <t>BELLFLOWER FRIENDSHIP MANOR</t>
  </si>
  <si>
    <t xml:space="preserve">9550 OAK ST </t>
  </si>
  <si>
    <t>BELLFLOWER</t>
  </si>
  <si>
    <t>90706-5244</t>
  </si>
  <si>
    <t>(562) 867-9550</t>
  </si>
  <si>
    <t>J. L. RICHARD TERRACE</t>
  </si>
  <si>
    <t xml:space="preserve">250 E 12TH ST </t>
  </si>
  <si>
    <t>510 465964</t>
  </si>
  <si>
    <t>ARBOR COVE SENIOR COMMONS</t>
  </si>
  <si>
    <t xml:space="preserve">84 BLACKBURN ST </t>
  </si>
  <si>
    <t>95060-7123</t>
  </si>
  <si>
    <t>(831) 454-9548</t>
  </si>
  <si>
    <t>MAPLE ESPLANADE LC</t>
  </si>
  <si>
    <t xml:space="preserve">1400 OLD BERGMAN RD </t>
  </si>
  <si>
    <t>HARRISON</t>
  </si>
  <si>
    <t>RIVERMEAD RETIREMENT COMMUNITY</t>
  </si>
  <si>
    <t xml:space="preserve">150 RIVERMEAD RD </t>
  </si>
  <si>
    <t>03458-1744</t>
  </si>
  <si>
    <t>(603) 924-0062</t>
  </si>
  <si>
    <t>CHRISTIAN MANOR</t>
  </si>
  <si>
    <t xml:space="preserve">1480 MCLAUGHLIN AVE </t>
  </si>
  <si>
    <t>49442-4192</t>
  </si>
  <si>
    <t>(231) 777-3788</t>
  </si>
  <si>
    <t>VISTA GRANDE VILLA</t>
  </si>
  <si>
    <t xml:space="preserve">2251 SPRINGPORT RD </t>
  </si>
  <si>
    <t>49202-1496</t>
  </si>
  <si>
    <t>(517) 787-0222</t>
  </si>
  <si>
    <t>VILLAGE OF SAGE GROVE</t>
  </si>
  <si>
    <t xml:space="preserve">214 S SAGE ST </t>
  </si>
  <si>
    <t>49006-4183</t>
  </si>
  <si>
    <t>(269) 567-3300</t>
  </si>
  <si>
    <t>GRAND MEADOWS LUTHER MANOR</t>
  </si>
  <si>
    <t xml:space="preserve">5300 GRAND MEADOW DR </t>
  </si>
  <si>
    <t>ASBURY</t>
  </si>
  <si>
    <t>52002-2591</t>
  </si>
  <si>
    <t>NAZARETH ENTERPRISES INC</t>
  </si>
  <si>
    <t>NAZARETH II</t>
  </si>
  <si>
    <t xml:space="preserve">9640 HAYNE BLVD </t>
  </si>
  <si>
    <t>70127-4729</t>
  </si>
  <si>
    <t>(504) 241-9630</t>
  </si>
  <si>
    <t>WESTMINSTER HOMES</t>
  </si>
  <si>
    <t xml:space="preserve">1810 CARY AVE </t>
  </si>
  <si>
    <t>70546-3645</t>
  </si>
  <si>
    <t>(337) 824-9835</t>
  </si>
  <si>
    <t>BLOOM AT BOSSIER</t>
  </si>
  <si>
    <t xml:space="preserve">4828 MEDICAL DR </t>
  </si>
  <si>
    <t>71112-4244</t>
  </si>
  <si>
    <t>(318) 746-0470</t>
  </si>
  <si>
    <t>APARTMENTS OF MATER DELOROSO (THE)</t>
  </si>
  <si>
    <t xml:space="preserve">1226 S CARROLLTON AVE </t>
  </si>
  <si>
    <t>70118-2049</t>
  </si>
  <si>
    <t>(504) 865-7222</t>
  </si>
  <si>
    <t>WEBSTER AT RYE</t>
  </si>
  <si>
    <t xml:space="preserve">795 WASHINGTON RD </t>
  </si>
  <si>
    <t>RYE</t>
  </si>
  <si>
    <t>03870-2318</t>
  </si>
  <si>
    <t>(603) 964-8144</t>
  </si>
  <si>
    <t>QUAIL RIDGE RETIREMENT COMMUNITY</t>
  </si>
  <si>
    <t xml:space="preserve">1055 ELLENDALE DR OFC </t>
  </si>
  <si>
    <t>541 857788</t>
  </si>
  <si>
    <t>BROOKSIDE PLACE</t>
  </si>
  <si>
    <t xml:space="preserve">3552 SW CANAL BLVD </t>
  </si>
  <si>
    <t>REDMOND</t>
  </si>
  <si>
    <t>541 504160</t>
  </si>
  <si>
    <t>GATEWAY COMMONS</t>
  </si>
  <si>
    <t xml:space="preserve">213 MAXWELL LN </t>
  </si>
  <si>
    <t>39702-5261</t>
  </si>
  <si>
    <t>(662) 328-2254</t>
  </si>
  <si>
    <t>ST JOHN LUTHERAN HOME</t>
  </si>
  <si>
    <t xml:space="preserve">201 S COUNTY ROAD 5 </t>
  </si>
  <si>
    <t>56087-2102</t>
  </si>
  <si>
    <t>(507) 723-3200</t>
  </si>
  <si>
    <t>VILLAGE OF REDFORD</t>
  </si>
  <si>
    <t xml:space="preserve">25330 W 6 MILE RD </t>
  </si>
  <si>
    <t>48240-2105</t>
  </si>
  <si>
    <t>(313) 531-6874</t>
  </si>
  <si>
    <t>SIERRA VILLAGE</t>
  </si>
  <si>
    <t xml:space="preserve">1 MOLENSTRAAT </t>
  </si>
  <si>
    <t>93277-8322</t>
  </si>
  <si>
    <t>(559) 739-8330</t>
  </si>
  <si>
    <t>MAGNOLIA CROSSING</t>
  </si>
  <si>
    <t xml:space="preserve">32 W SIERRA AVE </t>
  </si>
  <si>
    <t>93612-0525</t>
  </si>
  <si>
    <t>(559) 825-1735</t>
  </si>
  <si>
    <t>HELIOS CORNER</t>
  </si>
  <si>
    <t xml:space="preserve">1531 UNIVERSITY AVE </t>
  </si>
  <si>
    <t>CALIFORNIA HOME FOR THE ADULT DEAF</t>
  </si>
  <si>
    <t xml:space="preserve">529 LAS TUNAS DR </t>
  </si>
  <si>
    <t>91007-8426</t>
  </si>
  <si>
    <t>(626) 445-2259</t>
  </si>
  <si>
    <t>OAK CREST APARTMENTS</t>
  </si>
  <si>
    <t xml:space="preserve">1639 COUNTY HIGHWAY 10 </t>
  </si>
  <si>
    <t>55432-2202</t>
  </si>
  <si>
    <t>(763) 783-0150</t>
  </si>
  <si>
    <t>HEBREW HOME FOR THE AGED DISABLED D/B/A</t>
  </si>
  <si>
    <t xml:space="preserve">302 SILVER AVE </t>
  </si>
  <si>
    <t>732 873.20</t>
  </si>
  <si>
    <t>NORTHGATE TERRACE</t>
  </si>
  <si>
    <t xml:space="preserve">550 24TH ST </t>
  </si>
  <si>
    <t>510 465934</t>
  </si>
  <si>
    <t>SOUTH LAKE TOWERS</t>
  </si>
  <si>
    <t xml:space="preserve">1501 ALICE ST </t>
  </si>
  <si>
    <t>510 465048</t>
  </si>
  <si>
    <t>MARTIN LUTHER TOWER</t>
  </si>
  <si>
    <t xml:space="preserve">1001 FRANKLIN ST </t>
  </si>
  <si>
    <t>415 885108</t>
  </si>
  <si>
    <t>MARGARET MCDOWELL MANOR</t>
  </si>
  <si>
    <t xml:space="preserve">1525 MERKLEY AVE </t>
  </si>
  <si>
    <t>95691-3229</t>
  </si>
  <si>
    <t>(916) 371-7788</t>
  </si>
  <si>
    <t>CLARK FORK RIVERSIDE-CLARK FORK MANOR INC</t>
  </si>
  <si>
    <t xml:space="preserve">301 W FRONT ST </t>
  </si>
  <si>
    <t>406 721243</t>
  </si>
  <si>
    <t>PRELUDE RESIDENTIAL CARE HOME</t>
  </si>
  <si>
    <t xml:space="preserve">1045 ANTRIM CT </t>
  </si>
  <si>
    <t>MOUNT OLIVET LUTHERAN CHURCH</t>
  </si>
  <si>
    <t xml:space="preserve">5025 KNOX AVENUES S </t>
  </si>
  <si>
    <t>(612) 821-3100</t>
  </si>
  <si>
    <t>HERITAGE AT LYNGBLOMSTEN (THE)</t>
  </si>
  <si>
    <t xml:space="preserve">1440 MIDWAY PKWY </t>
  </si>
  <si>
    <t>55108-2446</t>
  </si>
  <si>
    <t>(651) 632-5428</t>
  </si>
  <si>
    <t>ALBERTA SIMMONS PLAZA</t>
  </si>
  <si>
    <t xml:space="preserve">6611 NE M L KING BLVD </t>
  </si>
  <si>
    <t>503 225067</t>
  </si>
  <si>
    <t>PILOT BUTTE RETIREMENT CENTER I</t>
  </si>
  <si>
    <t xml:space="preserve">1350 NE 27TH ST APT 400 </t>
  </si>
  <si>
    <t>541 383467</t>
  </si>
  <si>
    <t>FOOTHILL RETIREMENT CENTER I</t>
  </si>
  <si>
    <t xml:space="preserve">2031 NE D ST </t>
  </si>
  <si>
    <t>541 471942</t>
  </si>
  <si>
    <t>MENNONITE VILLAGE</t>
  </si>
  <si>
    <t xml:space="preserve">5353 COLUMBUS ST </t>
  </si>
  <si>
    <t>541 928723</t>
  </si>
  <si>
    <t>JUNIPER HOUSE</t>
  </si>
  <si>
    <t xml:space="preserve">301 SW 28TH DR </t>
  </si>
  <si>
    <t>PENDLETON</t>
  </si>
  <si>
    <t>541 278066</t>
  </si>
  <si>
    <t>PIONEER SENIOR COTTAGES - HOMESTEAD</t>
  </si>
  <si>
    <t xml:space="preserve">1327 S MABELLE AVE </t>
  </si>
  <si>
    <t>(218) 998-9970</t>
  </si>
  <si>
    <t>PONDVIEW ESTATES</t>
  </si>
  <si>
    <t xml:space="preserve">334 GOLFVIEW DR </t>
  </si>
  <si>
    <t>56307-8316</t>
  </si>
  <si>
    <t>PARMLY LAKEVIEW APARTMENTS</t>
  </si>
  <si>
    <t xml:space="preserve">10600 282ND ST </t>
  </si>
  <si>
    <t>(651) 257-0581</t>
  </si>
  <si>
    <t>NELSON GABLES</t>
  </si>
  <si>
    <t xml:space="preserve">1220 NOKOMIS ST </t>
  </si>
  <si>
    <t>56308-3700</t>
  </si>
  <si>
    <t>(320) 762-4310</t>
  </si>
  <si>
    <t>GIANNA HOMES</t>
  </si>
  <si>
    <t xml:space="preserve">4605 FAIRHILLS RD E </t>
  </si>
  <si>
    <t>55345-3502</t>
  </si>
  <si>
    <t>(952) 988-0953</t>
  </si>
  <si>
    <t>WOODLAND VILLAGE OCONTO</t>
  </si>
  <si>
    <t xml:space="preserve">101 1ST ST </t>
  </si>
  <si>
    <t>OCONTO</t>
  </si>
  <si>
    <t>54153-1117</t>
  </si>
  <si>
    <t>ST JOHN BERCHMANS</t>
  </si>
  <si>
    <t xml:space="preserve">3400 SAINT ANTHONY AVE </t>
  </si>
  <si>
    <t>504 943934</t>
  </si>
  <si>
    <t>PLACE DUBOURG</t>
  </si>
  <si>
    <t xml:space="preserve">201 RUE DUBOURG </t>
  </si>
  <si>
    <t>LA PLACE</t>
  </si>
  <si>
    <t>70068-3433</t>
  </si>
  <si>
    <t>(985) 652-1981</t>
  </si>
  <si>
    <t xml:space="preserve">6 WHITE OAK DR </t>
  </si>
  <si>
    <t>03833-5324</t>
  </si>
  <si>
    <t xml:space="preserve">2850 MARKET PLACE DR </t>
  </si>
  <si>
    <t>LITTLE CANADA</t>
  </si>
  <si>
    <t>55117-2607</t>
  </si>
  <si>
    <t>(651) 482-1229</t>
  </si>
  <si>
    <t>SACRED HEART CARE CENTER INC</t>
  </si>
  <si>
    <t xml:space="preserve">1200 12TH ST SW </t>
  </si>
  <si>
    <t>55912-2619</t>
  </si>
  <si>
    <t>(507) 433-1808</t>
  </si>
  <si>
    <t>ROSEWOOD SENIOR LIVING</t>
  </si>
  <si>
    <t>RIDGEWAY ON 23RD</t>
  </si>
  <si>
    <t xml:space="preserve">720 23RD ST N </t>
  </si>
  <si>
    <t>56073-1046</t>
  </si>
  <si>
    <t>PULLMAN PLACE</t>
  </si>
  <si>
    <t xml:space="preserve">17155 QUINCY ST </t>
  </si>
  <si>
    <t xml:space="preserve">15 RIVERWOODS DR </t>
  </si>
  <si>
    <t>03833-5310</t>
  </si>
  <si>
    <t>GRAND ARBOR</t>
  </si>
  <si>
    <t xml:space="preserve">4403 PIONEER RD SE </t>
  </si>
  <si>
    <t>56308-9219</t>
  </si>
  <si>
    <t>(320) 759-4600</t>
  </si>
  <si>
    <t>EVANS PARK INC</t>
  </si>
  <si>
    <t xml:space="preserve">300 EVANS AVE NW </t>
  </si>
  <si>
    <t>55330-2649</t>
  </si>
  <si>
    <t>(612) 241-4430</t>
  </si>
  <si>
    <t>LINDEN RIDGE</t>
  </si>
  <si>
    <t xml:space="preserve">841 E VETERANS WAY </t>
  </si>
  <si>
    <t>MUKWONAGO</t>
  </si>
  <si>
    <t>53149-2020</t>
  </si>
  <si>
    <t>MCAULEY RESIDENCE</t>
  </si>
  <si>
    <t xml:space="preserve">308 S MANNING BLVD </t>
  </si>
  <si>
    <t>12208-1708</t>
  </si>
  <si>
    <t>(518) 437-8400</t>
  </si>
  <si>
    <t>CHERRY RIDGE</t>
  </si>
  <si>
    <t xml:space="preserve">900 CHERRY RIDGE BLVD </t>
  </si>
  <si>
    <t>14580-4816</t>
  </si>
  <si>
    <t>PRESBYTERIAN RESIDENTIAL COMMUNITY</t>
  </si>
  <si>
    <t xml:space="preserve">4300 MIDDLE SETTLEMENT RD PO BOX 1144 </t>
  </si>
  <si>
    <t>13413-5399</t>
  </si>
  <si>
    <t>SAWYER GARDENS</t>
  </si>
  <si>
    <t xml:space="preserve">2132 SAWYER DR </t>
  </si>
  <si>
    <t>14304-2987</t>
  </si>
  <si>
    <t>(716) 298-3529</t>
  </si>
  <si>
    <t>SIMEANNA SOUTH INC</t>
  </si>
  <si>
    <t xml:space="preserve">145 NORTH EAGLE STREET </t>
  </si>
  <si>
    <t>OAKWOOD VILLAGE PRAIRIE RIDGE-HEALTH &amp; REHABILITATION CENTER</t>
  </si>
  <si>
    <t xml:space="preserve">5565 TANCHO DR </t>
  </si>
  <si>
    <t>MUELLER APARTMENTS</t>
  </si>
  <si>
    <t xml:space="preserve">1121 HIGHLAND AVE </t>
  </si>
  <si>
    <t>(920) 261-5655</t>
  </si>
  <si>
    <t>LINCOLN VILLA NORTH INC.</t>
  </si>
  <si>
    <t xml:space="preserve">3919 RUBY AVE </t>
  </si>
  <si>
    <t>53402-3014</t>
  </si>
  <si>
    <t>(262) 639-1166</t>
  </si>
  <si>
    <t>PLAZA RETIREMENT COMMUNITY</t>
  </si>
  <si>
    <t xml:space="preserve">265 PLAZA DR </t>
  </si>
  <si>
    <t>MYRTLE CREEK</t>
  </si>
  <si>
    <t>541 863777</t>
  </si>
  <si>
    <t>MARANATHA PLACE</t>
  </si>
  <si>
    <t xml:space="preserve">5415 N 69TH AVE </t>
  </si>
  <si>
    <t>55429-4509</t>
  </si>
  <si>
    <t>(763) 569-4500</t>
  </si>
  <si>
    <t>BEACON HILL COMMONS</t>
  </si>
  <si>
    <t xml:space="preserve">5300 BEACON HILL RD </t>
  </si>
  <si>
    <t>55345-5859</t>
  </si>
  <si>
    <t>PRAIRIE SENIOR COTTAGES OF WILLMAR</t>
  </si>
  <si>
    <t xml:space="preserve">1701 19TH AVE SW </t>
  </si>
  <si>
    <t>WILLMAR</t>
  </si>
  <si>
    <t>320-235-6022</t>
  </si>
  <si>
    <t>PILOT BUTTE RETIREMENT CENTER II</t>
  </si>
  <si>
    <t>LARSON CREEK RETIREMENT CENTER</t>
  </si>
  <si>
    <t xml:space="preserve">1025 ELLENDALE DR </t>
  </si>
  <si>
    <t>541 772007</t>
  </si>
  <si>
    <t>WILLIAM B. ANDERSON TOWER</t>
  </si>
  <si>
    <t>(716) 665-8197</t>
  </si>
  <si>
    <t>HOOKSTON SENIOR APTS</t>
  </si>
  <si>
    <t xml:space="preserve">80 WEST HOOKSTON RD </t>
  </si>
  <si>
    <t>ROYAL LOTO APARTMENTS</t>
  </si>
  <si>
    <t xml:space="preserve">110 LOTO ST </t>
  </si>
  <si>
    <t>EAGLE POINT</t>
  </si>
  <si>
    <t>541 826693</t>
  </si>
  <si>
    <t>CASCADE MANOR INC</t>
  </si>
  <si>
    <t xml:space="preserve">65 W 30TH AVE </t>
  </si>
  <si>
    <t>541 342590</t>
  </si>
  <si>
    <t>SPRING VALLEY HEALTH AND REHABILITATION CENTE</t>
  </si>
  <si>
    <t xml:space="preserve">5830 WESTLAND DR </t>
  </si>
  <si>
    <t>SHADY LANE NURSING CARE CENTER</t>
  </si>
  <si>
    <t xml:space="preserve">5801 16TH ST </t>
  </si>
  <si>
    <t>53406-4472</t>
  </si>
  <si>
    <t>(262) 833-0144</t>
  </si>
  <si>
    <t>GRACE ADULT DAY SERVICES - CHIPPEWA FALLS</t>
  </si>
  <si>
    <t xml:space="preserve">2815 COUNTY HIGHWAY I </t>
  </si>
  <si>
    <t>54729-2656</t>
  </si>
  <si>
    <t>(715) 738-1925</t>
  </si>
  <si>
    <t>CONGREGATIONAL APTS INC</t>
  </si>
  <si>
    <t xml:space="preserve">3140 LILLY RD </t>
  </si>
  <si>
    <t>53005-7623</t>
  </si>
  <si>
    <t>(262) 781-0550</t>
  </si>
  <si>
    <t>RACKLEFF PLACE</t>
  </si>
  <si>
    <t xml:space="preserve">655 SW 13TH AVE </t>
  </si>
  <si>
    <t>CANBY</t>
  </si>
  <si>
    <t>503 263612</t>
  </si>
  <si>
    <t>MARTIN LUTHER MANOR</t>
  </si>
  <si>
    <t xml:space="preserve">1401 E 100TH ST </t>
  </si>
  <si>
    <t>55425-2615</t>
  </si>
  <si>
    <t>(952) 888-7751</t>
  </si>
  <si>
    <t>MARGARET PLACE</t>
  </si>
  <si>
    <t xml:space="preserve">1555 118TH LN NW </t>
  </si>
  <si>
    <t>COON RAPIDS</t>
  </si>
  <si>
    <t>763 754250</t>
  </si>
  <si>
    <t>GREENPORT MANOR</t>
  </si>
  <si>
    <t xml:space="preserve">200 TOWN HALL DR </t>
  </si>
  <si>
    <t>12534-1299</t>
  </si>
  <si>
    <t>(518) 828-6488</t>
  </si>
  <si>
    <t>ST ANN REST HOME</t>
  </si>
  <si>
    <t xml:space="preserve">2020 S MUSKEGO AVE </t>
  </si>
  <si>
    <t>53204-3622</t>
  </si>
  <si>
    <t>QUEEN OF PEACE FRIARY</t>
  </si>
  <si>
    <t xml:space="preserve">2281 BROWNS LAKE DR </t>
  </si>
  <si>
    <t>53105-7114</t>
  </si>
  <si>
    <t>PIONEER NURSING HOME</t>
  </si>
  <si>
    <t xml:space="preserve">530 RIVER AVE S </t>
  </si>
  <si>
    <t>PRAIRIE FARM</t>
  </si>
  <si>
    <t>54762-9791</t>
  </si>
  <si>
    <t>(715) 455-1178</t>
  </si>
  <si>
    <t>OAKWOOD LUTHERAN HOMES INC - HEBRON OAKS</t>
  </si>
  <si>
    <t xml:space="preserve">6201 MINERAL POINT RD </t>
  </si>
  <si>
    <t>53705-4503</t>
  </si>
  <si>
    <t>APPLEGATE PLACE</t>
  </si>
  <si>
    <t xml:space="preserve">1465 E CENTRAL AVE </t>
  </si>
  <si>
    <t>SUTHERLIN</t>
  </si>
  <si>
    <t>541 459630</t>
  </si>
  <si>
    <t>CEDAR SINAI PARK</t>
  </si>
  <si>
    <t xml:space="preserve">6125 SW BOUNDARY ST </t>
  </si>
  <si>
    <t>BOARDTOWN VILLAGE</t>
  </si>
  <si>
    <t xml:space="preserve">905 N MONTGOMERY ST </t>
  </si>
  <si>
    <t>STARKVILLE</t>
  </si>
  <si>
    <t>39759-2286</t>
  </si>
  <si>
    <t>(662) 323-3461</t>
  </si>
  <si>
    <t>WINDSONG APARTMENTS</t>
  </si>
  <si>
    <t xml:space="preserve">1789 RAYMOND RD </t>
  </si>
  <si>
    <t>39204-4137</t>
  </si>
  <si>
    <t>(601) 372-2528</t>
  </si>
  <si>
    <t>HUNT COMMUNITY</t>
  </si>
  <si>
    <t xml:space="preserve">10 ALLDS ST </t>
  </si>
  <si>
    <t>03060-4777</t>
  </si>
  <si>
    <t>EARL M. BOURDON CENTRE</t>
  </si>
  <si>
    <t xml:space="preserve">67 MAPLE AVE APT 109 </t>
  </si>
  <si>
    <t>03743-2965</t>
  </si>
  <si>
    <t>(603) 542-9526</t>
  </si>
  <si>
    <t>LASATA CARE CENTER</t>
  </si>
  <si>
    <t>GRACES GARDEN</t>
  </si>
  <si>
    <t>MARKESAN RESIDENT HOME INC</t>
  </si>
  <si>
    <t xml:space="preserve">1130 N MARGARET ST </t>
  </si>
  <si>
    <t>MARKESAN</t>
  </si>
  <si>
    <t>53946-8516</t>
  </si>
  <si>
    <t>(920) 398-2751</t>
  </si>
  <si>
    <t>PRAIRIE SENIOR COTTAGES OF HUTCHINSON</t>
  </si>
  <si>
    <t xml:space="preserve">1310 BRADFORD ST SE </t>
  </si>
  <si>
    <t>320-587-5508</t>
  </si>
  <si>
    <t>SUPERIOR STREET COTTAGES</t>
  </si>
  <si>
    <t xml:space="preserve">1415 ALMOND AVE </t>
  </si>
  <si>
    <t>55108-2507</t>
  </si>
  <si>
    <t>(651) 632-5423</t>
  </si>
  <si>
    <t>KNUTE NELSON HH MORRIS</t>
  </si>
  <si>
    <t xml:space="preserve">514 ATLANTIC AVE </t>
  </si>
  <si>
    <t>56267-1328</t>
  </si>
  <si>
    <t>SEABURY</t>
  </si>
  <si>
    <t xml:space="preserve">1830 UNIVERSITY AVE W </t>
  </si>
  <si>
    <t>55104-3578</t>
  </si>
  <si>
    <t>(651) 379-5102</t>
  </si>
  <si>
    <t>VAN SCHOONHOVEN SQUARE</t>
  </si>
  <si>
    <t xml:space="preserve">1 VAN SCHOONHOVEN SQ </t>
  </si>
  <si>
    <t>12188-2046</t>
  </si>
  <si>
    <t>(518) 235-0514</t>
  </si>
  <si>
    <t>SUMMIT VIEW PLACE</t>
  </si>
  <si>
    <t xml:space="preserve">7210 WILLIAMS RD </t>
  </si>
  <si>
    <t>STEVEN B. CARLSON TOWER</t>
  </si>
  <si>
    <t>LUTHERAN CARE MINISTRIES</t>
  </si>
  <si>
    <t xml:space="preserve">4570 ROUTE 60 </t>
  </si>
  <si>
    <t>14740-9540</t>
  </si>
  <si>
    <t>515-961-7458</t>
  </si>
  <si>
    <t>HERITAGE MINISTRIES</t>
  </si>
  <si>
    <t>DOVE HEALTHCARE - SOUTH EAU CLAIRE</t>
  </si>
  <si>
    <t xml:space="preserve">3656 MALL DR </t>
  </si>
  <si>
    <t>54701-7634</t>
  </si>
  <si>
    <t>715-552-1035</t>
  </si>
  <si>
    <t>GREEN PINES ACRES</t>
  </si>
  <si>
    <t xml:space="preserve">427 MAIN ST NE </t>
  </si>
  <si>
    <t>MENAHGA</t>
  </si>
  <si>
    <t>56464-8702</t>
  </si>
  <si>
    <t>(218) 564-4101</t>
  </si>
  <si>
    <t>ROSE SCHNITZER TOWER</t>
  </si>
  <si>
    <t xml:space="preserve">1430 SOUTHWEST 12TH STREET </t>
  </si>
  <si>
    <t>KIRKWOOD BY THE RIVER</t>
  </si>
  <si>
    <t xml:space="preserve">3605 RATLIFF RD </t>
  </si>
  <si>
    <t>35210-4512</t>
  </si>
  <si>
    <t>(205) 956-2184</t>
  </si>
  <si>
    <t>PRAIRIE SENIOR COTTAGES OF ISANTI</t>
  </si>
  <si>
    <t xml:space="preserve">706 6TH AVE NE </t>
  </si>
  <si>
    <t>ISANTI</t>
  </si>
  <si>
    <t>763-444-4626</t>
  </si>
  <si>
    <t>BETHANY RESIDENCE AND REHABILITATION CENTER</t>
  </si>
  <si>
    <t xml:space="preserve">2309 HAYES ST NE </t>
  </si>
  <si>
    <t>55418-3934</t>
  </si>
  <si>
    <t>(612) 781-2691</t>
  </si>
  <si>
    <t>ROLLING ACRES HOME HEALTH</t>
  </si>
  <si>
    <t xml:space="preserve">18986 LAKE DR E </t>
  </si>
  <si>
    <t>55317-9348</t>
  </si>
  <si>
    <t>LAKEVIEW MANOR NURSING HOME</t>
  </si>
  <si>
    <t xml:space="preserve">912 MANOR DR </t>
  </si>
  <si>
    <t>WEYAUWEGA</t>
  </si>
  <si>
    <t>54983-8677</t>
  </si>
  <si>
    <t>(920) 867-2183</t>
  </si>
  <si>
    <t>GRACE WOODLANDS</t>
  </si>
  <si>
    <t xml:space="preserve">3214 GALA ST </t>
  </si>
  <si>
    <t>54703-2273</t>
  </si>
  <si>
    <t>DOVE HEALTHCARE - RUTLEDGE HOME</t>
  </si>
  <si>
    <t xml:space="preserve">300 BRIDGEWATER AVE </t>
  </si>
  <si>
    <t>54729-1149</t>
  </si>
  <si>
    <t>DALLAS CARE AND REHAB</t>
  </si>
  <si>
    <t xml:space="preserve">104 E DALLAS </t>
  </si>
  <si>
    <t>ST. MARTIN'S IN-THE-PINES</t>
  </si>
  <si>
    <t xml:space="preserve">4941 MONTEVALLO RD </t>
  </si>
  <si>
    <t>IRONDALE</t>
  </si>
  <si>
    <t>35210-2418</t>
  </si>
  <si>
    <t>(205) 956-1831</t>
  </si>
  <si>
    <t>OAK TERRACE SENIOR HOUSE JORDAN</t>
  </si>
  <si>
    <t xml:space="preserve">622 ABERDEEN AVE </t>
  </si>
  <si>
    <t>JORDAN</t>
  </si>
  <si>
    <t>55352-9516</t>
  </si>
  <si>
    <t>BECKETWOOD COOPERATIVE</t>
  </si>
  <si>
    <t xml:space="preserve">4300 W RIVER PKWY </t>
  </si>
  <si>
    <t>55406-3696</t>
  </si>
  <si>
    <t>(612) 722-4077</t>
  </si>
  <si>
    <t>CLATSOP CARE CENTER HEALTH DISTRICT</t>
  </si>
  <si>
    <t xml:space="preserve">646 16TH ST </t>
  </si>
  <si>
    <t>ASTORIA</t>
  </si>
  <si>
    <t>503 325031</t>
  </si>
  <si>
    <t>BROOKSVILLE ASSISTED LIVING HOME</t>
  </si>
  <si>
    <t xml:space="preserve">355 N PINE ST </t>
  </si>
  <si>
    <t>39739-5516</t>
  </si>
  <si>
    <t>(662) 738-4866</t>
  </si>
  <si>
    <t>AUTUMN GROVE</t>
  </si>
  <si>
    <t xml:space="preserve">1325 E VICTOR RD </t>
  </si>
  <si>
    <t>VICTOR</t>
  </si>
  <si>
    <t>14564-9532</t>
  </si>
  <si>
    <t>(585) 924-8740</t>
  </si>
  <si>
    <t>SHOREFRONT TOWERS</t>
  </si>
  <si>
    <t>(718) 714-4570</t>
  </si>
  <si>
    <t>KENYON SUNSET HOME</t>
  </si>
  <si>
    <t xml:space="preserve">127 GUNDERSON BLVD </t>
  </si>
  <si>
    <t>KENYON</t>
  </si>
  <si>
    <t>55946-1014</t>
  </si>
  <si>
    <t>(507) 789-6134</t>
  </si>
  <si>
    <t>GRANDVIEW CHRISTIAN MINISTRIES</t>
  </si>
  <si>
    <t xml:space="preserve">322 N RIVERHILLS PKWY </t>
  </si>
  <si>
    <t>GIDEON POND COOPERATIVE</t>
  </si>
  <si>
    <t xml:space="preserve">9889 PENN AVE S </t>
  </si>
  <si>
    <t>55431-2912</t>
  </si>
  <si>
    <t xml:space="preserve">1000 PINE TRL </t>
  </si>
  <si>
    <t>HONEOYE FALLS</t>
  </si>
  <si>
    <t>585 546840</t>
  </si>
  <si>
    <t>GUARDIAN OAKS</t>
  </si>
  <si>
    <t xml:space="preserve">350 EVANS AVE NW </t>
  </si>
  <si>
    <t>55330-3622</t>
  </si>
  <si>
    <t>(763) 241-4430</t>
  </si>
  <si>
    <t>GOOD SHEPHERD HOMES INC</t>
  </si>
  <si>
    <t xml:space="preserve">1211 4TH AVE N </t>
  </si>
  <si>
    <t>56379-2230</t>
  </si>
  <si>
    <t>GIANNA HOMES - GLADYS PLACE</t>
  </si>
  <si>
    <t xml:space="preserve">10210 28TH AVE N </t>
  </si>
  <si>
    <t>CORNELIA HOUSE</t>
  </si>
  <si>
    <t xml:space="preserve">1840 UNIVERSITY AVE W </t>
  </si>
  <si>
    <t>55104-3889</t>
  </si>
  <si>
    <t>(651) 288-3931</t>
  </si>
  <si>
    <t>OAK TERRACE ASSISTED LIVING OF N MANKATO</t>
  </si>
  <si>
    <t xml:space="preserve">1575 HOOVER DR </t>
  </si>
  <si>
    <t>NORTH MANKATO</t>
  </si>
  <si>
    <t>NEW BRIGHTON CARE CENTER</t>
  </si>
  <si>
    <t xml:space="preserve">805 6TH AVE NW </t>
  </si>
  <si>
    <t>NEW BRIGHTON</t>
  </si>
  <si>
    <t>55112-2717</t>
  </si>
  <si>
    <t>(651) 633-7200</t>
  </si>
  <si>
    <t>MARGARETS HOUSE</t>
  </si>
  <si>
    <t xml:space="preserve">28210 OLD TOWNE RD </t>
  </si>
  <si>
    <t>LAKE WINONA MANOR</t>
  </si>
  <si>
    <t xml:space="preserve">865 MANKATO AVE PO BOX 5600 </t>
  </si>
  <si>
    <t>WINONA</t>
  </si>
  <si>
    <t>55987-5377</t>
  </si>
  <si>
    <t>(507) 454-3650</t>
  </si>
  <si>
    <t>55422-4419</t>
  </si>
  <si>
    <t>712-243-1850</t>
  </si>
  <si>
    <t>ST MARYS HOME</t>
  </si>
  <si>
    <t xml:space="preserve">1925 NORFOLK AVE </t>
  </si>
  <si>
    <t>55116-2667</t>
  </si>
  <si>
    <t>(651) 696-8400</t>
  </si>
  <si>
    <t>KNUTE NELSON HH WADENA</t>
  </si>
  <si>
    <t xml:space="preserve">618 JEFFERSON ST N STE 1 </t>
  </si>
  <si>
    <t>WADENA</t>
  </si>
  <si>
    <t>56482-2386</t>
  </si>
  <si>
    <t>SISTERS OF ST FRANCIS OF ASSISI</t>
  </si>
  <si>
    <t xml:space="preserve">3221 S LAKE DR </t>
  </si>
  <si>
    <t>53235-3702</t>
  </si>
  <si>
    <t>414-294-7301</t>
  </si>
  <si>
    <t>ROCK VIEW APARTMENTS</t>
  </si>
  <si>
    <t xml:space="preserve">207 E HENRY ST </t>
  </si>
  <si>
    <t>JEFFERSON</t>
  </si>
  <si>
    <t>53549-2059</t>
  </si>
  <si>
    <t>(920) 674-9525</t>
  </si>
  <si>
    <t>OAKWOOD VILLAGE EAST APARTMENTS</t>
  </si>
  <si>
    <t xml:space="preserve">5555 TANCHO DR </t>
  </si>
  <si>
    <t>TREVOR WOODWARD PARK</t>
  </si>
  <si>
    <t>GOOD SHEPHERD VILLAGE AT ENDWELL</t>
  </si>
  <si>
    <t xml:space="preserve">32 VILLAGE DR </t>
  </si>
  <si>
    <t>ENDWELL</t>
  </si>
  <si>
    <t>13760-1062</t>
  </si>
  <si>
    <t>(607) 757-3100</t>
  </si>
  <si>
    <t>OAK MEADOWS</t>
  </si>
  <si>
    <t xml:space="preserve">8131 4TH ST N </t>
  </si>
  <si>
    <t>55128-7078</t>
  </si>
  <si>
    <t>(651) 578-0676</t>
  </si>
  <si>
    <t>LAFAYETTE MANOR</t>
  </si>
  <si>
    <t xml:space="preserve">719 E CATHERINE ST </t>
  </si>
  <si>
    <t>DARLINGTON</t>
  </si>
  <si>
    <t>53530-1330</t>
  </si>
  <si>
    <t>(608) 776-4472</t>
  </si>
  <si>
    <t>RIVERDALE TERRACE</t>
  </si>
  <si>
    <t xml:space="preserve">3247 JOHNSTON AVENUE </t>
  </si>
  <si>
    <t>CABS NURSING HOME COMPANY INC</t>
  </si>
  <si>
    <t xml:space="preserve">270 NOSTRAND AVE </t>
  </si>
  <si>
    <t>11205-4926</t>
  </si>
  <si>
    <t>(718) 534-5400</t>
  </si>
  <si>
    <t>QUEEN OF PEACE RESIDENCE</t>
  </si>
  <si>
    <t xml:space="preserve">11030 221ST ST </t>
  </si>
  <si>
    <t>QUEENS VILLAGE</t>
  </si>
  <si>
    <t>11429-2531</t>
  </si>
  <si>
    <t>(718) 464-1800</t>
  </si>
  <si>
    <t>INNOVAGE HOME CARE - ASPEN</t>
  </si>
  <si>
    <t xml:space="preserve">1158 HIGHWAY 133 </t>
  </si>
  <si>
    <t>CARBONDALE</t>
  </si>
  <si>
    <t>970 947520</t>
  </si>
  <si>
    <t xml:space="preserve">6500 E GIRARD AVE </t>
  </si>
  <si>
    <t>303 756158</t>
  </si>
  <si>
    <t>ST PAUL'S EPISCOPAL HOME INC</t>
  </si>
  <si>
    <t>SISTERS OF THE HOLY NAMES OF JESUS &amp;-MARY CON</t>
  </si>
  <si>
    <t xml:space="preserve">200 PROSPECT AVE </t>
  </si>
  <si>
    <t>95030-7026</t>
  </si>
  <si>
    <t>(408) 395-0259</t>
  </si>
  <si>
    <t>SUITES AT SUGAR MILL POINT (THE)</t>
  </si>
  <si>
    <t xml:space="preserve">220 VALHI BLVD </t>
  </si>
  <si>
    <t>HOUMA</t>
  </si>
  <si>
    <t>KIRKWOOD ASSISITED LIVING RESIDENCE</t>
  </si>
  <si>
    <t xml:space="preserve">1525 E TAFT AVE </t>
  </si>
  <si>
    <t>92865-4601</t>
  </si>
  <si>
    <t>(714) 282-1409</t>
  </si>
  <si>
    <t>ABBEY MERCY LIVING CENTER</t>
  </si>
  <si>
    <t xml:space="preserve">12250 E 12 MILE RD </t>
  </si>
  <si>
    <t>48093-3516</t>
  </si>
  <si>
    <t>(586) 751-6200</t>
  </si>
  <si>
    <t>ALLEN MANOR</t>
  </si>
  <si>
    <t xml:space="preserve">532 JAMES AVE SE </t>
  </si>
  <si>
    <t>49503-5449</t>
  </si>
  <si>
    <t>(616) 456-6350</t>
  </si>
  <si>
    <t>VILLAGE OF SPRING MEADOWS II (THE)</t>
  </si>
  <si>
    <t xml:space="preserve">3300 COUNTY FARM RD </t>
  </si>
  <si>
    <t>49201-4104</t>
  </si>
  <si>
    <t>GARDEN GROVE II</t>
  </si>
  <si>
    <t xml:space="preserve">1115 GARDEN WAY </t>
  </si>
  <si>
    <t>66502-1779</t>
  </si>
  <si>
    <t>SUMMERFIELD PLAZA</t>
  </si>
  <si>
    <t xml:space="preserve">2624 TRACTION AVE </t>
  </si>
  <si>
    <t>95815-2485</t>
  </si>
  <si>
    <t>(916) 924-0961</t>
  </si>
  <si>
    <t>PETALUMA AVE HOMES</t>
  </si>
  <si>
    <t xml:space="preserve">571 PETALUMA AVE </t>
  </si>
  <si>
    <t xml:space="preserve">2600 ESTATES DR </t>
  </si>
  <si>
    <t>LUTHERAN SOCIAL SERVICES-DETROIT - MI</t>
  </si>
  <si>
    <t xml:space="preserve">8131 E JEFFERSON AVE </t>
  </si>
  <si>
    <t>(313) 823-7700</t>
  </si>
  <si>
    <t>GRAND RAVINE SENIOR HOUSING</t>
  </si>
  <si>
    <t xml:space="preserve">725 GRAND RAVINE DR </t>
  </si>
  <si>
    <t>ALLEGAN</t>
  </si>
  <si>
    <t>49010-8023</t>
  </si>
  <si>
    <t>(269) 673-7155</t>
  </si>
  <si>
    <t>OUR LADY OF FATIMA VILLA</t>
  </si>
  <si>
    <t xml:space="preserve">20400 SARATOGA LOS GATOS RD </t>
  </si>
  <si>
    <t>408 741295</t>
  </si>
  <si>
    <t>ORCHARD SENIOR HOMES</t>
  </si>
  <si>
    <t xml:space="preserve">2719 FOOTHILL BLVD </t>
  </si>
  <si>
    <t>MADISON AT 14TH APTS</t>
  </si>
  <si>
    <t xml:space="preserve">160 14TH ST </t>
  </si>
  <si>
    <t>ST MARGARET'S HOME HEALTH HOSPICE</t>
  </si>
  <si>
    <t xml:space="preserve">3525 BIENVILLE ST </t>
  </si>
  <si>
    <t>70119-5249</t>
  </si>
  <si>
    <t>ST JAMES PLACE</t>
  </si>
  <si>
    <t xml:space="preserve">333 LEE DR </t>
  </si>
  <si>
    <t>70808-4980</t>
  </si>
  <si>
    <t>(225) 215-4500</t>
  </si>
  <si>
    <t>ESSENTIA HEALTH - FIRST CARE LIVING CENTER</t>
  </si>
  <si>
    <t xml:space="preserve">900 HILLIGOSS BLVD SE </t>
  </si>
  <si>
    <t>FOSSTON</t>
  </si>
  <si>
    <t>56542-1542</t>
  </si>
  <si>
    <t>ELIM CARE INC</t>
  </si>
  <si>
    <t xml:space="preserve">7485 OFFICE RIDGE CIRCLE </t>
  </si>
  <si>
    <t>(952) 259-4500</t>
  </si>
  <si>
    <t>GOOD SHEPHERD COMMUNITIES</t>
  </si>
  <si>
    <t xml:space="preserve">80 FAIRVIEW AVENUE </t>
  </si>
  <si>
    <t>GLENHAVEN INC</t>
  </si>
  <si>
    <t xml:space="preserve">612 E OAK ST </t>
  </si>
  <si>
    <t>GLENWOOD CITY</t>
  </si>
  <si>
    <t>54013-8520</t>
  </si>
  <si>
    <t>(715) 265-4555</t>
  </si>
  <si>
    <t>DOVE HEALTHCARE - ORCHARD HILLS ASSISTED LIVI</t>
  </si>
  <si>
    <t xml:space="preserve">1403 TRUAX BLVD </t>
  </si>
  <si>
    <t>PRAIRIE SENIOR COTTAGES - NEW RICHLAND</t>
  </si>
  <si>
    <t xml:space="preserve">113 1ST ST SW </t>
  </si>
  <si>
    <t>NEW RICHLAND</t>
  </si>
  <si>
    <t>NORTHFIELD RETIREMENT COMMUNITY</t>
  </si>
  <si>
    <t xml:space="preserve">900 CANNON VALLEY DR </t>
  </si>
  <si>
    <t>55057-1334</t>
  </si>
  <si>
    <t>(507) 664-3475</t>
  </si>
  <si>
    <t>MCKNIGHT CARE CENTER</t>
  </si>
  <si>
    <t xml:space="preserve">3220 LAKE JOHANNA BLVD </t>
  </si>
  <si>
    <t>55112-7944</t>
  </si>
  <si>
    <t>LEADINGAGE MINNESOTA</t>
  </si>
  <si>
    <t xml:space="preserve">2550 UNIVERSITY AVE W STE 350 SOUTH </t>
  </si>
  <si>
    <t>55114-1052</t>
  </si>
  <si>
    <t>(651) 645-4545</t>
  </si>
  <si>
    <t>WILEY RETIREMENT COMMUNITY</t>
  </si>
  <si>
    <t xml:space="preserve">99 EAST MAIN STREET </t>
  </si>
  <si>
    <t>MARLTON</t>
  </si>
  <si>
    <t>(856) 983-0411</t>
  </si>
  <si>
    <t>GREENWOOD HOUSE</t>
  </si>
  <si>
    <t xml:space="preserve">53 WALTER ST </t>
  </si>
  <si>
    <t>EWING</t>
  </si>
  <si>
    <t>08628-3016</t>
  </si>
  <si>
    <t>(609) 883-5391</t>
  </si>
  <si>
    <t>CRANFORD SENIOR HOUSING-EDWARD K- GILL APARTM</t>
  </si>
  <si>
    <t xml:space="preserve">40 MEEKER AVE </t>
  </si>
  <si>
    <t>CRANFORD</t>
  </si>
  <si>
    <t>07016-3174</t>
  </si>
  <si>
    <t>(908) 272-9180</t>
  </si>
  <si>
    <t>EPISCOPAL HOMES OF MINNESOTA</t>
  </si>
  <si>
    <t xml:space="preserve">490 LYNNHURST AVE E </t>
  </si>
  <si>
    <t>55104-3406</t>
  </si>
  <si>
    <t>(651) 646-4061</t>
  </si>
  <si>
    <t>JEWISH HOME OF ROCHESTER</t>
  </si>
  <si>
    <t xml:space="preserve">2021 WINTON RD S </t>
  </si>
  <si>
    <t>585-784-6395</t>
  </si>
  <si>
    <t>VALLEY MANOR APARTMENTS</t>
  </si>
  <si>
    <t xml:space="preserve">1570 EAST AVE </t>
  </si>
  <si>
    <t>585-442-6450</t>
  </si>
  <si>
    <t>HAVEN 501 APTS - BURLINGTON</t>
  </si>
  <si>
    <t xml:space="preserve">1330 S BURLINGTON AVE APT 110 </t>
  </si>
  <si>
    <t>90006-5444</t>
  </si>
  <si>
    <t>HARMON GARDENS</t>
  </si>
  <si>
    <t xml:space="preserve">3240 SACRAMENTO ST </t>
  </si>
  <si>
    <t>CALIFORNIA-NEVADA METHODIST HOMES</t>
  </si>
  <si>
    <t xml:space="preserve">201 19TH ST STE 100 </t>
  </si>
  <si>
    <t>510 893898</t>
  </si>
  <si>
    <t>VILLA ADDITIONS</t>
  </si>
  <si>
    <t xml:space="preserve">500 SAINT MAURICE AVE </t>
  </si>
  <si>
    <t>70117-1538</t>
  </si>
  <si>
    <t>(504) 277-9649</t>
  </si>
  <si>
    <t>THE COTTAGES AT THE GLEN</t>
  </si>
  <si>
    <t>WESTMINSTER SCOTLANDVILLE</t>
  </si>
  <si>
    <t xml:space="preserve">1800 ROSENWALD RD </t>
  </si>
  <si>
    <t>70807-4300</t>
  </si>
  <si>
    <t>(210) 680-9199</t>
  </si>
  <si>
    <t>BISHOP DRUMM RETIREMENT CENTER - CARE CENTER</t>
  </si>
  <si>
    <t>LINDEN KNOLL</t>
  </si>
  <si>
    <t xml:space="preserve">81 LINDEN AVE </t>
  </si>
  <si>
    <t>14610-3527</t>
  </si>
  <si>
    <t>(585) 218-8826</t>
  </si>
  <si>
    <t>FORT HUDSON HOME CARE INC</t>
  </si>
  <si>
    <t>(518) 747-9019</t>
  </si>
  <si>
    <t>BEATRICE PLACE</t>
  </si>
  <si>
    <t xml:space="preserve">600 DENISE RD </t>
  </si>
  <si>
    <t>585-546-8400</t>
  </si>
  <si>
    <t>BISHOP BRODERICK APARTMENTS</t>
  </si>
  <si>
    <t xml:space="preserve">50 PRESCOTT ST STE 1 </t>
  </si>
  <si>
    <t>12205-4444</t>
  </si>
  <si>
    <t>(518) 869-7441</t>
  </si>
  <si>
    <t>MARGARET TIETZ CENTER</t>
  </si>
  <si>
    <t xml:space="preserve">164-11 CHAPIN PARKWAY </t>
  </si>
  <si>
    <t>(718) 298-7800</t>
  </si>
  <si>
    <t>ELIM CARE AND REHAB CENTER</t>
  </si>
  <si>
    <t xml:space="preserve">701 1ST ST </t>
  </si>
  <si>
    <t>55371-1713</t>
  </si>
  <si>
    <t>(763) 389-1171</t>
  </si>
  <si>
    <t>METAIRIE MANOR II</t>
  </si>
  <si>
    <t xml:space="preserve">4929 YORK ST </t>
  </si>
  <si>
    <t>70001-1057</t>
  </si>
  <si>
    <t>(504) 456-1467</t>
  </si>
  <si>
    <t>WESTMINSTER WOODS II</t>
  </si>
  <si>
    <t>EMERSON VILLAGE</t>
  </si>
  <si>
    <t xml:space="preserve">755 N PALOMARES ST </t>
  </si>
  <si>
    <t>91767-4736</t>
  </si>
  <si>
    <t>(909) 623-1421</t>
  </si>
  <si>
    <t>ST MARYS AT FELICIAN VILLAGE</t>
  </si>
  <si>
    <t>54220-6380</t>
  </si>
  <si>
    <t>MAXFIELD RESEARCH AND CONSULTING</t>
  </si>
  <si>
    <t xml:space="preserve">2845 HAMLINE AVE N </t>
  </si>
  <si>
    <t>55113-7127</t>
  </si>
  <si>
    <t>DEMAR CATERED LIVING</t>
  </si>
  <si>
    <t xml:space="preserve">11777 XEON BLVD </t>
  </si>
  <si>
    <t>COTTAGEWOOD SENIOR COMMUNITIES - MANKATO</t>
  </si>
  <si>
    <t xml:space="preserve">300 BUNTING LN </t>
  </si>
  <si>
    <t>MANKATO</t>
  </si>
  <si>
    <t>56001-7020</t>
  </si>
  <si>
    <t>IOLA NURSING HOME</t>
  </si>
  <si>
    <t xml:space="preserve">185 S CHET KRAUSE DR </t>
  </si>
  <si>
    <t>IOLA</t>
  </si>
  <si>
    <t>54945-9300</t>
  </si>
  <si>
    <t>(715) 445-2412</t>
  </si>
  <si>
    <t>ITASCA NURSING HOME DBA GRAND VILLAGE</t>
  </si>
  <si>
    <t xml:space="preserve">923 COUNTY HOME RD </t>
  </si>
  <si>
    <t>HIGHLAND MANOR-BLOOMINGTON</t>
  </si>
  <si>
    <t xml:space="preserve">4616 102ND ST </t>
  </si>
  <si>
    <t>FRANCISCAN HEALTH COMMUNITY</t>
  </si>
  <si>
    <t>DIVINE PROVIDENCE COMMUNITY HOME</t>
  </si>
  <si>
    <t>SLEEPY EYE</t>
  </si>
  <si>
    <t>(507) 794-3011</t>
  </si>
  <si>
    <t>EVERGREEN AT HOME</t>
  </si>
  <si>
    <t xml:space="preserve">1125 N WESTFIELD ST </t>
  </si>
  <si>
    <t>54902-3216</t>
  </si>
  <si>
    <t>DOVE HEALTHCARE - BLOOMER</t>
  </si>
  <si>
    <t xml:space="preserve">1501 THOMPSON ST </t>
  </si>
  <si>
    <t>54724-1257</t>
  </si>
  <si>
    <t>ONAMAIN APARTMENTS</t>
  </si>
  <si>
    <t xml:space="preserve">920 MAIN ST </t>
  </si>
  <si>
    <t>54650-2799</t>
  </si>
  <si>
    <t>GREBE VILLAGE</t>
  </si>
  <si>
    <t xml:space="preserve">1035 STANLEY ST </t>
  </si>
  <si>
    <t>CHEBOYGAN</t>
  </si>
  <si>
    <t>49721-1422</t>
  </si>
  <si>
    <t>(231) 627-5161</t>
  </si>
  <si>
    <t>ATRIO HOME CARE - LAKESHORE</t>
  </si>
  <si>
    <t xml:space="preserve">9 E 8TH ST </t>
  </si>
  <si>
    <t>KINGSLEY COURT RETIREMENT CENTER</t>
  </si>
  <si>
    <t xml:space="preserve">1755 KINGSLEY RD </t>
  </si>
  <si>
    <t>541 338430</t>
  </si>
  <si>
    <t>THE SISTERS OF ST JOSEPH</t>
  </si>
  <si>
    <t xml:space="preserve">4030 DELGADO DR </t>
  </si>
  <si>
    <t>METAIRIE MANOR I</t>
  </si>
  <si>
    <t xml:space="preserve">7 RIVERWOODS DR </t>
  </si>
  <si>
    <t>03833-4374</t>
  </si>
  <si>
    <t>MERRITT CROSSING SENIOR APTS</t>
  </si>
  <si>
    <t xml:space="preserve">609 OAK ST </t>
  </si>
  <si>
    <t xml:space="preserve">3365 SACRAMENTO ST </t>
  </si>
  <si>
    <t>94118-1984</t>
  </si>
  <si>
    <t>(415) 929-7912</t>
  </si>
  <si>
    <t>IRENE COOPER TERRACE</t>
  </si>
  <si>
    <t xml:space="preserve">1218 2ND AVE </t>
  </si>
  <si>
    <t>510 832320</t>
  </si>
  <si>
    <t>SCENIC SHORES CARE CENTER</t>
  </si>
  <si>
    <t>(218) 834-8374</t>
  </si>
  <si>
    <t>REALIFE COOPERATIVE</t>
  </si>
  <si>
    <t xml:space="preserve">1212 3RD ST NE </t>
  </si>
  <si>
    <t>56093-4014</t>
  </si>
  <si>
    <t>(507) 835-5872</t>
  </si>
  <si>
    <t>MEEKER COUNTY TRANSIT</t>
  </si>
  <si>
    <t xml:space="preserve">218 N HOLCOMBE AVE </t>
  </si>
  <si>
    <t>EDGEWOOD GABLES</t>
  </si>
  <si>
    <t xml:space="preserve">600 EAST 3RD ST </t>
  </si>
  <si>
    <t>COKATO</t>
  </si>
  <si>
    <t>(320) 286-2159</t>
  </si>
  <si>
    <t>GUNDERSON TWEETEN CARE CENTER</t>
  </si>
  <si>
    <t xml:space="preserve">125 5TH AVE SE </t>
  </si>
  <si>
    <t>SPRING GROVE</t>
  </si>
  <si>
    <t>55974-1318</t>
  </si>
  <si>
    <t>HOLLADAY PARK PLAZA</t>
  </si>
  <si>
    <t xml:space="preserve">1300 NE 16TH AVE OFC </t>
  </si>
  <si>
    <t>503 288667</t>
  </si>
  <si>
    <t>MARSHALL UNION MANOR</t>
  </si>
  <si>
    <t xml:space="preserve">2020 NW NORTHRUP ST </t>
  </si>
  <si>
    <t>ALDEN POINTE</t>
  </si>
  <si>
    <t xml:space="preserve">2 COURTLAND DR </t>
  </si>
  <si>
    <t>HATTIESBURG</t>
  </si>
  <si>
    <t>39402-8542</t>
  </si>
  <si>
    <t>BIRCHES AT CONCORD</t>
  </si>
  <si>
    <t xml:space="preserve">300 PLEASANT STREET </t>
  </si>
  <si>
    <t>(603) 224-9111</t>
  </si>
  <si>
    <t xml:space="preserve">10 WHITE OAK DR </t>
  </si>
  <si>
    <t>03833-5318</t>
  </si>
  <si>
    <t>ISABELLES HOUSE</t>
  </si>
  <si>
    <t xml:space="preserve">10720 282ND ST </t>
  </si>
  <si>
    <t>CARDOSA VILLAGE</t>
  </si>
  <si>
    <t xml:space="preserve">5710 66TH AVE </t>
  </si>
  <si>
    <t>95823-2640</t>
  </si>
  <si>
    <t>CALIFORNIA MASONIC MEMORIAL TEMPLE</t>
  </si>
  <si>
    <t>THE CLASSIC AT HILLCREST GREEN</t>
  </si>
  <si>
    <t xml:space="preserve">2455 SAWGRASS PL </t>
  </si>
  <si>
    <t>54720-2645</t>
  </si>
  <si>
    <t>SSM FRANCISCAN COURTS</t>
  </si>
  <si>
    <t xml:space="preserve">815 S WESTHAVEN DR </t>
  </si>
  <si>
    <t>54904-7978</t>
  </si>
  <si>
    <t>SIMEANNA III INC</t>
  </si>
  <si>
    <t xml:space="preserve">151 NORTH EAGLE </t>
  </si>
  <si>
    <t>LEADING AGE WI</t>
  </si>
  <si>
    <t xml:space="preserve">204 S HAMILTON ST </t>
  </si>
  <si>
    <t>53703-3212</t>
  </si>
  <si>
    <t>(608) 255-7060</t>
  </si>
  <si>
    <t>KNUTE NELSON HH ELBOW LAKE</t>
  </si>
  <si>
    <t xml:space="preserve">30 CENTRAL AVE S </t>
  </si>
  <si>
    <t>ELBOW LAKE</t>
  </si>
  <si>
    <t>ANGEL RIDGE</t>
  </si>
  <si>
    <t>PRAIRIE VIEW OF HECTOR</t>
  </si>
  <si>
    <t xml:space="preserve">1010 ELM AVE E </t>
  </si>
  <si>
    <t>HECTOR</t>
  </si>
  <si>
    <t>COLONIAL VIEW APARTMENTS</t>
  </si>
  <si>
    <t xml:space="preserve">601 THOMAS DR </t>
  </si>
  <si>
    <t>53590-2345</t>
  </si>
  <si>
    <t>(608) 837-3174</t>
  </si>
  <si>
    <t>EPIPHANY PINES</t>
  </si>
  <si>
    <t xml:space="preserve">1800 111TH AVE NW </t>
  </si>
  <si>
    <t>55433-3897</t>
  </si>
  <si>
    <t>(763) 755-9299</t>
  </si>
  <si>
    <t>ELIM SHORES</t>
  </si>
  <si>
    <t xml:space="preserve">7900 TIMBER LAKE DR </t>
  </si>
  <si>
    <t>55347-1177</t>
  </si>
  <si>
    <t>(952) 934-3005</t>
  </si>
  <si>
    <t>SEASONS AT APPLE VALLEY</t>
  </si>
  <si>
    <t xml:space="preserve">15359 FOUNDERS LN </t>
  </si>
  <si>
    <t>(952) 698-5300</t>
  </si>
  <si>
    <t>LILAC PARKWAY APARTMENTS</t>
  </si>
  <si>
    <t xml:space="preserve">4223 CRY RD 81 </t>
  </si>
  <si>
    <t>ROBBINSDALE</t>
  </si>
  <si>
    <t>(763) 535-5396</t>
  </si>
  <si>
    <t>DOVE HEALTHCARE - OSSEO</t>
  </si>
  <si>
    <t xml:space="preserve">13025 8TH ST </t>
  </si>
  <si>
    <t>54758-7634</t>
  </si>
  <si>
    <t>CLEARVIEW-FRINAK CHARLES W MD</t>
  </si>
  <si>
    <t xml:space="preserve">198 COUNTY ROAD DF </t>
  </si>
  <si>
    <t>JUNEAU</t>
  </si>
  <si>
    <t>53039-9515</t>
  </si>
  <si>
    <t>(920) 386-3400</t>
  </si>
  <si>
    <t>CAPITOL LAKES INC.</t>
  </si>
  <si>
    <t xml:space="preserve">333 W MAIN ST </t>
  </si>
  <si>
    <t>53703-2777</t>
  </si>
  <si>
    <t>(608) 283-2000</t>
  </si>
  <si>
    <t>BETHEL OAKS ELDERLY GROUP HOME</t>
  </si>
  <si>
    <t xml:space="preserve">225 W OAK ST </t>
  </si>
  <si>
    <t>BAYPOINT AT THE ATRIUM</t>
  </si>
  <si>
    <t xml:space="preserve">3950 N MAIN ST </t>
  </si>
  <si>
    <t>FAIRHAVEN RETIREMENT COMMUNITY</t>
  </si>
  <si>
    <t xml:space="preserve">435 W STARIN RD </t>
  </si>
  <si>
    <t>262 473214</t>
  </si>
  <si>
    <t>DOVE HEALTHCARE - BARRON</t>
  </si>
  <si>
    <t xml:space="preserve">1333 MEMORIAL DR </t>
  </si>
  <si>
    <t>BARRON</t>
  </si>
  <si>
    <t>SPRING GROVE ASSISTED LIVING</t>
  </si>
  <si>
    <t xml:space="preserve">130 5TH AVE SE </t>
  </si>
  <si>
    <t>55974-1324</t>
  </si>
  <si>
    <t>(507) 498-4000</t>
  </si>
  <si>
    <t>SCHOOL SISTERS OF NOTRE DAME</t>
  </si>
  <si>
    <t xml:space="preserve">170 GOOD COUNSEL DR </t>
  </si>
  <si>
    <t>56001-3138</t>
  </si>
  <si>
    <t>(507) 389-4200</t>
  </si>
  <si>
    <t>PINE TREE MANOR</t>
  </si>
  <si>
    <t xml:space="preserve">12612 3RD AVE S </t>
  </si>
  <si>
    <t>ZIMMERMAN</t>
  </si>
  <si>
    <t>55398-9561</t>
  </si>
  <si>
    <t>WINONA ARMS INC.</t>
  </si>
  <si>
    <t xml:space="preserve">150 PLEASANT HILL DR </t>
  </si>
  <si>
    <t>507-452-1383</t>
  </si>
  <si>
    <t>WILLOW WOOD APARTMENTS</t>
  </si>
  <si>
    <t xml:space="preserve">3441 WILLOW AVE </t>
  </si>
  <si>
    <t>(651) 748-0084</t>
  </si>
  <si>
    <t>SEASONS AT MAPLEWOOD</t>
  </si>
  <si>
    <t xml:space="preserve">1670 LEGACY PKWY </t>
  </si>
  <si>
    <t>(651) 756-1859</t>
  </si>
  <si>
    <t>PRAIRIE LODGE AT EARLE BROWN FARM</t>
  </si>
  <si>
    <t xml:space="preserve">6001 EARLE BROWN DR </t>
  </si>
  <si>
    <t>763-566-1495</t>
  </si>
  <si>
    <t>LAMPLIGHTER MANOR</t>
  </si>
  <si>
    <t xml:space="preserve">1425 MADISON AVE </t>
  </si>
  <si>
    <t>(218) 847-7768</t>
  </si>
  <si>
    <t xml:space="preserve">2132 CENTER ST </t>
  </si>
  <si>
    <t>53403-3395</t>
  </si>
  <si>
    <t>(262) 634-1426</t>
  </si>
  <si>
    <t>SACRED HEART COURT</t>
  </si>
  <si>
    <t xml:space="preserve">1903 DIVISION ST </t>
  </si>
  <si>
    <t>54220-5661</t>
  </si>
  <si>
    <t>MORROW MEMORIAL HOME</t>
  </si>
  <si>
    <t xml:space="preserve">331 S WATER ST </t>
  </si>
  <si>
    <t>608 269316</t>
  </si>
  <si>
    <t>VILLAGE OF WARREN GLENN</t>
  </si>
  <si>
    <t xml:space="preserve">2950 E 12 MILE RD </t>
  </si>
  <si>
    <t>48092-5669</t>
  </si>
  <si>
    <t>(586) 751-5090</t>
  </si>
  <si>
    <t>SOUTHWOOD SQUARE APARTMENTS</t>
  </si>
  <si>
    <t xml:space="preserve">9085 DEAN RD </t>
  </si>
  <si>
    <t>71118-2848</t>
  </si>
  <si>
    <t>(318)671-1888</t>
  </si>
  <si>
    <t>PIONEER MEMORIAL CARE CTR</t>
  </si>
  <si>
    <t xml:space="preserve">23028 347TH ST SE </t>
  </si>
  <si>
    <t>ERSKINE</t>
  </si>
  <si>
    <t>56535-9466</t>
  </si>
  <si>
    <t>(218) 687-2365</t>
  </si>
  <si>
    <t>OUR LADY OF PEACE</t>
  </si>
  <si>
    <t xml:space="preserve">2076 SAINT ANTHONY AVE </t>
  </si>
  <si>
    <t>55104-5028</t>
  </si>
  <si>
    <t>(651) 646-2797</t>
  </si>
  <si>
    <t>OAK TERRACE SENIOR LIVING</t>
  </si>
  <si>
    <t xml:space="preserve">1570 TOWER BLVD </t>
  </si>
  <si>
    <t>(507) 387-2037</t>
  </si>
  <si>
    <t>MINNESOTA OLD FELLOWS HOME</t>
  </si>
  <si>
    <t>ST MARGARET'S DAUGHTERS</t>
  </si>
  <si>
    <t xml:space="preserve">435 UNION AVE </t>
  </si>
  <si>
    <t>LACONIA</t>
  </si>
  <si>
    <t>03246-2814</t>
  </si>
  <si>
    <t>(603) 524-5600</t>
  </si>
  <si>
    <t>RIVERWOODS CO AT EXETER - CAMPUS CROSSINGS</t>
  </si>
  <si>
    <t xml:space="preserve">5 WHITE OAK DR </t>
  </si>
  <si>
    <t>HILLCREST TERRACE SENIOR HOUSING</t>
  </si>
  <si>
    <t xml:space="preserve">3420 DEER VALLEY RD </t>
  </si>
  <si>
    <t>94531-6690</t>
  </si>
  <si>
    <t>(925) 754-4710</t>
  </si>
  <si>
    <t>VILLA AT FELICIAN VILLAGE (THE)</t>
  </si>
  <si>
    <t xml:space="preserve">1600 S 18TH ST </t>
  </si>
  <si>
    <t>54220-6059</t>
  </si>
  <si>
    <t>MOUNT ROYAL PINES III ASSISTED LIVING</t>
  </si>
  <si>
    <t xml:space="preserve">50 E MARIA ST </t>
  </si>
  <si>
    <t>MILL RIDGE COMMONS</t>
  </si>
  <si>
    <t xml:space="preserve">235 N FERN ST </t>
  </si>
  <si>
    <t>55008-1091</t>
  </si>
  <si>
    <t>EDNA TINA WILSON LIVING CENTER</t>
  </si>
  <si>
    <t xml:space="preserve">700 ISLAND COTTAGE RD </t>
  </si>
  <si>
    <t>(585) 368-6105</t>
  </si>
  <si>
    <t>UNITED HELPERS RIVERWOOD ACRES</t>
  </si>
  <si>
    <t xml:space="preserve">2 WHISPER WIND CIRCLE </t>
  </si>
  <si>
    <t>13669-4400</t>
  </si>
  <si>
    <t>KEN-TON PRESBYTERIAN VILL.</t>
  </si>
  <si>
    <t xml:space="preserve">3735 DELAWARE AVE </t>
  </si>
  <si>
    <t>14217-1000</t>
  </si>
  <si>
    <t>(716) 874-6070</t>
  </si>
  <si>
    <t>SENIOR NAVIGATION LLC</t>
  </si>
  <si>
    <t xml:space="preserve">38250 MONTICELLO DR </t>
  </si>
  <si>
    <t>PRAIRIEVILLE</t>
  </si>
  <si>
    <t>70769-4150</t>
  </si>
  <si>
    <t>VILLAGE DE MEMOIRE I &amp; II</t>
  </si>
  <si>
    <t xml:space="preserve">1001 N REED ST </t>
  </si>
  <si>
    <t>70586-2505</t>
  </si>
  <si>
    <t>(337) 363-5992</t>
  </si>
  <si>
    <t>SAVOY HEIGHTS</t>
  </si>
  <si>
    <t xml:space="preserve">909 CHERRY ST </t>
  </si>
  <si>
    <t>MAMOU</t>
  </si>
  <si>
    <t>70554-2244</t>
  </si>
  <si>
    <t>(337) 468-2616</t>
  </si>
  <si>
    <t>WYNHOVEN APARTMENTS II</t>
  </si>
  <si>
    <t xml:space="preserve">4600 10TH ST </t>
  </si>
  <si>
    <t>70072-3048</t>
  </si>
  <si>
    <t>ROUQUETTE LODGE</t>
  </si>
  <si>
    <t>METAIRIE MANOR III</t>
  </si>
  <si>
    <t>VILLA SAINT MAURICE APARTMENTS</t>
  </si>
  <si>
    <t>70117-1568</t>
  </si>
  <si>
    <t>(504) 267-9643</t>
  </si>
  <si>
    <t>ROUQUETTE III</t>
  </si>
  <si>
    <t xml:space="preserve">4300 HIGHWAY 22 OFC </t>
  </si>
  <si>
    <t>70471-3341</t>
  </si>
  <si>
    <t>(985)-626-5217</t>
  </si>
  <si>
    <t>QUAKER GARDENS</t>
  </si>
  <si>
    <t xml:space="preserve">12151 DALE AVE </t>
  </si>
  <si>
    <t>STANTON</t>
  </si>
  <si>
    <t>90680-3889</t>
  </si>
  <si>
    <t>OUR LADY OF GUADALUPE</t>
  </si>
  <si>
    <t xml:space="preserve">17103 MAGNOLIA ST </t>
  </si>
  <si>
    <t>FOUNTAIN VALLEY</t>
  </si>
  <si>
    <t>CRENSHAW GARDENS</t>
  </si>
  <si>
    <t xml:space="preserve">3411 CRENSHAW BLVD </t>
  </si>
  <si>
    <t>90016-4874</t>
  </si>
  <si>
    <t>ST CAMILLUS HEALTH SYSTEM INC</t>
  </si>
  <si>
    <t>SAINT ANNES SALVATORIAN CAMPUS</t>
  </si>
  <si>
    <t xml:space="preserve">3800 92ND STREET </t>
  </si>
  <si>
    <t>(414) 463-7570</t>
  </si>
  <si>
    <t>BOUTWELLS LANDING TOWNHOMES</t>
  </si>
  <si>
    <t xml:space="preserve">5600 NORWICH PKWY </t>
  </si>
  <si>
    <t>OAK PARK HEIGHTS</t>
  </si>
  <si>
    <t>55082-6482</t>
  </si>
  <si>
    <t>(651) 275-5000</t>
  </si>
  <si>
    <t>PRAIRIE SENIOR COTTAGES OF ALEXANDRIA</t>
  </si>
  <si>
    <t xml:space="preserve">812 MCKAY AVE S </t>
  </si>
  <si>
    <t>320-763-8244</t>
  </si>
  <si>
    <t>PRAIRIE SENIOR COTTAGES OF ALBERT LEA</t>
  </si>
  <si>
    <t xml:space="preserve">1602 W FOUNTAIN ST </t>
  </si>
  <si>
    <t>507-379-9000</t>
  </si>
  <si>
    <t>GOLDEN PEARL LLC</t>
  </si>
  <si>
    <t xml:space="preserve">138 S FOSTER DR </t>
  </si>
  <si>
    <t>SAUKVILLE</t>
  </si>
  <si>
    <t>53080-2005</t>
  </si>
  <si>
    <t>DOVE HEALTHCARE - WISSOTA HEALTH AND REGIONAL</t>
  </si>
  <si>
    <t>DOVE HEALTHCARE - RICE LAKE</t>
  </si>
  <si>
    <t xml:space="preserve">910 BEAR PAW AVE </t>
  </si>
  <si>
    <t>CHRISTIAN HOME INC.</t>
  </si>
  <si>
    <t>BIRCH HAVEN ASSISTED LIVING</t>
  </si>
  <si>
    <t xml:space="preserve">640 ELM ST </t>
  </si>
  <si>
    <t>BALDWIN</t>
  </si>
  <si>
    <t>54002-9358</t>
  </si>
  <si>
    <t>(715) 684-3231</t>
  </si>
  <si>
    <t>SOLVAY SENIOR APARTMENTS</t>
  </si>
  <si>
    <t xml:space="preserve">200 RUSSET LN </t>
  </si>
  <si>
    <t>SOLVAY</t>
  </si>
  <si>
    <t>13209-2060</t>
  </si>
  <si>
    <t>(315) 468-6590</t>
  </si>
  <si>
    <t>KNUTE NELSON HH LONG PRAIRIE</t>
  </si>
  <si>
    <t xml:space="preserve">22339 US 71 </t>
  </si>
  <si>
    <t>56347-5002</t>
  </si>
  <si>
    <t>KNUTE NELSON HH LITTLE FALLS</t>
  </si>
  <si>
    <t xml:space="preserve">116 8TH AVE SE STE 142 </t>
  </si>
  <si>
    <t>56345-3539</t>
  </si>
  <si>
    <t>CORINTHIAN INTERNATIONAL PARKING SERVICES INC</t>
  </si>
  <si>
    <t xml:space="preserve">19925 STEVENS CREEK BLVD </t>
  </si>
  <si>
    <t>CUPERTINO</t>
  </si>
  <si>
    <t>95014-2300</t>
  </si>
  <si>
    <t>KIRKLAND UNION MANOR II</t>
  </si>
  <si>
    <t>KIRKLAND UNION MANOR</t>
  </si>
  <si>
    <t>503 777810</t>
  </si>
  <si>
    <t>VALLEY VIEW RETIREMENT CENTER</t>
  </si>
  <si>
    <t xml:space="preserve">100 SE CORDELIA DR </t>
  </si>
  <si>
    <t>DONALD E. LEWIS RETIREMENT CENTER</t>
  </si>
  <si>
    <t xml:space="preserve">500 YMCA WAY </t>
  </si>
  <si>
    <t>541 488641</t>
  </si>
  <si>
    <t>REDWOOD TERRACE</t>
  </si>
  <si>
    <t xml:space="preserve">3111 CANAL AVE </t>
  </si>
  <si>
    <t>541 471954</t>
  </si>
  <si>
    <t>LYNGBLOMSTEN APARTMENTS</t>
  </si>
  <si>
    <t xml:space="preserve">1455 ALMOND AVE </t>
  </si>
  <si>
    <t>55108-2545</t>
  </si>
  <si>
    <t>(651) 632-5422</t>
  </si>
  <si>
    <t>INGLESIDE</t>
  </si>
  <si>
    <t xml:space="preserve">2811 ROLAND AVE </t>
  </si>
  <si>
    <t>FAIRMONT</t>
  </si>
  <si>
    <t>GUARDIAN ANGELS CARE CENTER</t>
  </si>
  <si>
    <t xml:space="preserve">400 EVANS AVE NW </t>
  </si>
  <si>
    <t>763-441-1213</t>
  </si>
  <si>
    <t>KLAMATH VIEW RETIREMENT CENTER</t>
  </si>
  <si>
    <t xml:space="preserve">2175 N ELDORADO AVE </t>
  </si>
  <si>
    <t>KLAMATH FALLS</t>
  </si>
  <si>
    <t>541 883480</t>
  </si>
  <si>
    <t>ASPEN GROVE APARTMENTS</t>
  </si>
  <si>
    <t xml:space="preserve">611 TENNYSON AVE </t>
  </si>
  <si>
    <t>HINES</t>
  </si>
  <si>
    <t>541.573.69</t>
  </si>
  <si>
    <t>LINUS OAKES RETIREMENT CENTER</t>
  </si>
  <si>
    <t xml:space="preserve">2665 NW VAN PELT BLVD </t>
  </si>
  <si>
    <t>541 677480</t>
  </si>
  <si>
    <t xml:space="preserve">2185 N CALIFORNIA BLVD STE 215 </t>
  </si>
  <si>
    <t>94596-3566</t>
  </si>
  <si>
    <t>(925) 956-7400</t>
  </si>
  <si>
    <t>MEADOWS</t>
  </si>
  <si>
    <t xml:space="preserve">3900 W TULARE AVE </t>
  </si>
  <si>
    <t>93277-1778</t>
  </si>
  <si>
    <t>(559) 734-3275</t>
  </si>
  <si>
    <t>CHRISTIAN CHURCH HOMES OF NORTHERN CA</t>
  </si>
  <si>
    <t xml:space="preserve">303 HEGENBERGER RD STE 201 </t>
  </si>
  <si>
    <t>510 632671</t>
  </si>
  <si>
    <t>WESTVIEW ASSISTED LIVING</t>
  </si>
  <si>
    <t xml:space="preserve">1400 W SEMINARY ST </t>
  </si>
  <si>
    <t>53581-2099</t>
  </si>
  <si>
    <t>SCHOOL SISTER'S OF NOTRE DAME ELM GROVE</t>
  </si>
  <si>
    <t xml:space="preserve">13105 WATERTOWN PLANK RD </t>
  </si>
  <si>
    <t>ELM GROVE</t>
  </si>
  <si>
    <t>(262) 782-1450</t>
  </si>
  <si>
    <t>LUTHERAN SOCIAL SERVICES GROUP INC.</t>
  </si>
  <si>
    <t xml:space="preserve">715 FALCONER ST </t>
  </si>
  <si>
    <t>14701-1935</t>
  </si>
  <si>
    <t>(716) 665-4905</t>
  </si>
  <si>
    <t>ERNEST G. ANDERSON MANOR</t>
  </si>
  <si>
    <t>FORT HUDSON CERTIFIED HOME HEALTH AGENCY INC</t>
  </si>
  <si>
    <t>BRENTLAND WOODS</t>
  </si>
  <si>
    <t xml:space="preserve">3831 E HENRIETTA RD </t>
  </si>
  <si>
    <t>HENRIETTA</t>
  </si>
  <si>
    <t>585 321149</t>
  </si>
  <si>
    <t>SANDERSON COURT SENIOR APARTMENTS</t>
  </si>
  <si>
    <t xml:space="preserve">6 CARONDELET DR </t>
  </si>
  <si>
    <t>12189-2313</t>
  </si>
  <si>
    <t>(518) 783-0444</t>
  </si>
  <si>
    <t>SHOLOM HOME EAST</t>
  </si>
  <si>
    <t xml:space="preserve">740 KAY AVE </t>
  </si>
  <si>
    <t>55102-6014</t>
  </si>
  <si>
    <t>(651) 328-2000</t>
  </si>
  <si>
    <t>SHELTERING OAKS MANOR</t>
  </si>
  <si>
    <t xml:space="preserve">715 DELMORE DR </t>
  </si>
  <si>
    <t>56751-1534</t>
  </si>
  <si>
    <t xml:space="preserve">10018 RALEIGH RD </t>
  </si>
  <si>
    <t>LUTHERAN HOME ASSOCIATION (THE)</t>
  </si>
  <si>
    <t xml:space="preserve">337 S MERIDIAN ST </t>
  </si>
  <si>
    <t>56011-1919</t>
  </si>
  <si>
    <t>(952) 873-6000</t>
  </si>
  <si>
    <t>ELISON ASSISTED LIVING OF OXFORD</t>
  </si>
  <si>
    <t xml:space="preserve">100 AZALEA DR </t>
  </si>
  <si>
    <t>662-234-9600</t>
  </si>
  <si>
    <t>SENIOR MANAGEMENT INC</t>
  </si>
  <si>
    <t xml:space="preserve">2548 SALEM HEIGHTS LN SW </t>
  </si>
  <si>
    <t>55902-4303</t>
  </si>
  <si>
    <t>PUBLIC FOOD PARTNERS</t>
  </si>
  <si>
    <t>PARK LANE APARTMENTS</t>
  </si>
  <si>
    <t xml:space="preserve">200 PARK LN </t>
  </si>
  <si>
    <t>55313-1336</t>
  </si>
  <si>
    <t>(763) 682-1131</t>
  </si>
  <si>
    <t>MCCA</t>
  </si>
  <si>
    <t xml:space="preserve">2550 UNIVERSITY AVE S #350 SOUTH </t>
  </si>
  <si>
    <t>GUARDIAN ANGELS</t>
  </si>
  <si>
    <t xml:space="preserve">508 FREEPORT AVE NW STE A </t>
  </si>
  <si>
    <t>763-241-4428</t>
  </si>
  <si>
    <t>GRAND VILLAGE NURSING HOME</t>
  </si>
  <si>
    <t xml:space="preserve">923 HALE LAKE POINTE </t>
  </si>
  <si>
    <t>CONGREGATIONAL HOME INC</t>
  </si>
  <si>
    <t>ELANT AT MEADOW HILL</t>
  </si>
  <si>
    <t xml:space="preserve">172 MEADOW HILL RD </t>
  </si>
  <si>
    <t>NEWBURGH</t>
  </si>
  <si>
    <t>(845) 564-1700</t>
  </si>
  <si>
    <t>BEECHWOOD CONTINUING CARE</t>
  </si>
  <si>
    <t xml:space="preserve">2235 MILLERSPORT HWY </t>
  </si>
  <si>
    <t>14068-1219</t>
  </si>
  <si>
    <t>(716) 504-1000</t>
  </si>
  <si>
    <t>KNUTE NELSON HH FERGUS FALLS</t>
  </si>
  <si>
    <t xml:space="preserve">403 S UNION AVE STE 4 </t>
  </si>
  <si>
    <t>56537-2525</t>
  </si>
  <si>
    <t>RIVERVIEW LANDING INC</t>
  </si>
  <si>
    <t xml:space="preserve">9200 QUANTRELLE AVE NE </t>
  </si>
  <si>
    <t>ADAMS HOMES</t>
  </si>
  <si>
    <t xml:space="preserve">121 CORDELLE DR </t>
  </si>
  <si>
    <t>541 863444</t>
  </si>
  <si>
    <t>CARITAS MANOR</t>
  </si>
  <si>
    <t xml:space="preserve">145 W 10TH AVE </t>
  </si>
  <si>
    <t>PETAL</t>
  </si>
  <si>
    <t>(601) 545-7744</t>
  </si>
  <si>
    <t>LAKEVIEW RESIDENCE</t>
  </si>
  <si>
    <t>GARDENS AT GIDEON POND (THE)</t>
  </si>
  <si>
    <t xml:space="preserve">10030 NEWTON AVE S </t>
  </si>
  <si>
    <t>55431-2967</t>
  </si>
  <si>
    <t>HORACE NYE HOME</t>
  </si>
  <si>
    <t xml:space="preserve">81 PARK ST </t>
  </si>
  <si>
    <t>(518) 873-3570</t>
  </si>
  <si>
    <t>ELDERWOOD ADMINISTRATIVE SERVICES</t>
  </si>
  <si>
    <t>ADIRONDACK TRI-CO HEALTHCARE CENTER</t>
  </si>
  <si>
    <t xml:space="preserve">112 SKI BOWL RD </t>
  </si>
  <si>
    <t>NORTH CREEK</t>
  </si>
  <si>
    <t>12853-2607</t>
  </si>
  <si>
    <t>(518) 251-2447</t>
  </si>
  <si>
    <t>C F S LAKEVIEW APARTMENTS</t>
  </si>
  <si>
    <t xml:space="preserve">105 GENEVA ST </t>
  </si>
  <si>
    <t>14810-9413</t>
  </si>
  <si>
    <t>(607) 776-4139</t>
  </si>
  <si>
    <t>FRANCISCAN HEIGHTS SENIOR COMMUNITY</t>
  </si>
  <si>
    <t xml:space="preserve">1 ST ANTHONY LN </t>
  </si>
  <si>
    <t>RENSSELAER</t>
  </si>
  <si>
    <t>(518) 432-3555</t>
  </si>
  <si>
    <t>GREAT LAKES MANAGEMENT - GENTLE TOUCH HEALTH</t>
  </si>
  <si>
    <t xml:space="preserve">5000 GLENWOOD AVE STE 150 </t>
  </si>
  <si>
    <t>55422-5153</t>
  </si>
  <si>
    <t>VILLA MARIA RETIREMENT APARTMENTS</t>
  </si>
  <si>
    <t xml:space="preserve">921 PORTER AVE </t>
  </si>
  <si>
    <t>OCEAN SPRINGS</t>
  </si>
  <si>
    <t>39564-4658</t>
  </si>
  <si>
    <t>(228) 875-8811</t>
  </si>
  <si>
    <t>EPISCOPAL PLACE II</t>
  </si>
  <si>
    <t xml:space="preserve">1100 26TH ST S </t>
  </si>
  <si>
    <t>KNUTE NELSON CARE CENTER</t>
  </si>
  <si>
    <t xml:space="preserve">420 12TH AVE E </t>
  </si>
  <si>
    <t>56308-2612</t>
  </si>
  <si>
    <t>(320) 763-6653</t>
  </si>
  <si>
    <t>KNUTE NELSON</t>
  </si>
  <si>
    <t xml:space="preserve">420 12TH AVE. E </t>
  </si>
  <si>
    <t>LAKESIDE MANOR</t>
  </si>
  <si>
    <t xml:space="preserve">4831 LONDON RD </t>
  </si>
  <si>
    <t>55804-2451</t>
  </si>
  <si>
    <t>(218) 525-2784</t>
  </si>
  <si>
    <t>PRESBYTERIAN HOME &amp; SERVICES</t>
  </si>
  <si>
    <t>GREENFIELD MANOR</t>
  </si>
  <si>
    <t xml:space="preserve">5953 BROADWAY </t>
  </si>
  <si>
    <t>(716) 684-8400</t>
  </si>
  <si>
    <t>SIDNEY SENIOR VILLAGE</t>
  </si>
  <si>
    <t xml:space="preserve">200 FOX STREET </t>
  </si>
  <si>
    <t>13838-1500</t>
  </si>
  <si>
    <t>(607) 563-8000</t>
  </si>
  <si>
    <t>SHENENDEHOWA VILLAGE</t>
  </si>
  <si>
    <t xml:space="preserve">300 SOLOMON AVE </t>
  </si>
  <si>
    <t>CLIFTON PARK</t>
  </si>
  <si>
    <t>12065-3703</t>
  </si>
  <si>
    <t>(518) 373-1900</t>
  </si>
  <si>
    <t>LYONS MANOR</t>
  </si>
  <si>
    <t xml:space="preserve">31 PEARL ST </t>
  </si>
  <si>
    <t>LYONS</t>
  </si>
  <si>
    <t>14489-1136</t>
  </si>
  <si>
    <t>(315) 946-4013</t>
  </si>
  <si>
    <t>NJ EASTERN STAR</t>
  </si>
  <si>
    <t xml:space="preserve">111 FINDERNE AVENUE </t>
  </si>
  <si>
    <t>BRIDGEWATER</t>
  </si>
  <si>
    <t>(908) 722-4140</t>
  </si>
  <si>
    <t>RAINBOW TERRACE</t>
  </si>
  <si>
    <t xml:space="preserve">1710 PLYMOUTH AVE N STE 207 </t>
  </si>
  <si>
    <t>612-588-3346</t>
  </si>
  <si>
    <t>NORTH SHORE TOWNHOMES</t>
  </si>
  <si>
    <t>218-847-4486</t>
  </si>
  <si>
    <t>ECUMEN</t>
  </si>
  <si>
    <t xml:space="preserve">3530 LEXINGTON AVE N </t>
  </si>
  <si>
    <t>SHOREVIEW</t>
  </si>
  <si>
    <t>(651) 766-4300</t>
  </si>
  <si>
    <t>MEADOWBROOK VILLAGE CHRISTIAN RETIREMENT COMM</t>
  </si>
  <si>
    <t xml:space="preserve">100 HOLLAND GLN </t>
  </si>
  <si>
    <t>92026-1354</t>
  </si>
  <si>
    <t>(760) 746-2500</t>
  </si>
  <si>
    <t>BOUTWELLS LANDING TERRACE/BROWNSTONES</t>
  </si>
  <si>
    <t>PRAIRIE SENIOR COTTAGES</t>
  </si>
  <si>
    <t xml:space="preserve">11800 WAYZATA BLVD </t>
  </si>
  <si>
    <t>952-352-0675</t>
  </si>
  <si>
    <t>KNUTE NELSON HOME CARE AND HOSPICE</t>
  </si>
  <si>
    <t xml:space="preserve">2715 HIGHWAY 29 S STE 103 </t>
  </si>
  <si>
    <t>56308-3470</t>
  </si>
  <si>
    <t>CRYSTAL BROOK SENIOR LIVING</t>
  </si>
  <si>
    <t xml:space="preserve">1006 CROCUS HILL ST E </t>
  </si>
  <si>
    <t>56470-5419</t>
  </si>
  <si>
    <t>(218) 699-3605</t>
  </si>
  <si>
    <t>KEESEVILLE COUNTRY GARDENS</t>
  </si>
  <si>
    <t xml:space="preserve">164 HILL ST </t>
  </si>
  <si>
    <t>KEESEVILLE</t>
  </si>
  <si>
    <t>12944-4134</t>
  </si>
  <si>
    <t>(518) 834-7725</t>
  </si>
  <si>
    <t>PIONEER PRAIRIE AND SETTLERS RIDGE</t>
  </si>
  <si>
    <t>53718-1901</t>
  </si>
  <si>
    <t>HAVEN DRIVE ASSISTED LIVING</t>
  </si>
  <si>
    <t xml:space="preserve">220 HAVEN DR </t>
  </si>
  <si>
    <t>53085-3005</t>
  </si>
  <si>
    <t xml:space="preserve">1105 S BARSTOW ST </t>
  </si>
  <si>
    <t>54701-3989</t>
  </si>
  <si>
    <t>715-832-1174</t>
  </si>
  <si>
    <t>DOVE HEALTHCARE - OSSEO RCAC</t>
  </si>
  <si>
    <t>FR LEO OBRIEN SENIOR COMMUNITY</t>
  </si>
  <si>
    <t xml:space="preserve">3151 MARRA LN </t>
  </si>
  <si>
    <t>12303-4647</t>
  </si>
  <si>
    <t>(518) 357-4424</t>
  </si>
  <si>
    <t>DEPAUL HOUSING MANAGEMENT CORPORATION</t>
  </si>
  <si>
    <t xml:space="preserve">41 N MAIN AVE </t>
  </si>
  <si>
    <t>12203-1414</t>
  </si>
  <si>
    <t>(518) 459-0183</t>
  </si>
  <si>
    <t>CARTY HEIGHTS</t>
  </si>
  <si>
    <t xml:space="preserve">412 DUNLAP ST N </t>
  </si>
  <si>
    <t>55104-4658</t>
  </si>
  <si>
    <t>(651) 288-1142</t>
  </si>
  <si>
    <t>WINONA SHORES</t>
  </si>
  <si>
    <t xml:space="preserve">1010 LARK ST </t>
  </si>
  <si>
    <t>(320) 763-1120</t>
  </si>
  <si>
    <t>PINE CONE MANOR</t>
  </si>
  <si>
    <t>NIAGARA LUTHERAN HEALTH SYSTEM INC</t>
  </si>
  <si>
    <t xml:space="preserve">5959 BROADWAY ST </t>
  </si>
  <si>
    <t>14086-9523</t>
  </si>
  <si>
    <t>SKENESBOROUGH HARBOR</t>
  </si>
  <si>
    <t xml:space="preserve">8 ELIZABETH ST </t>
  </si>
  <si>
    <t>12887-1544</t>
  </si>
  <si>
    <t>(518) 499-1498</t>
  </si>
  <si>
    <t>GRACE VIEW MANOR</t>
  </si>
  <si>
    <t xml:space="preserve">80 CALVARY DR </t>
  </si>
  <si>
    <t>SOLOMON HEIGHTS</t>
  </si>
  <si>
    <t xml:space="preserve">18 FARR LN E </t>
  </si>
  <si>
    <t>12804-1932</t>
  </si>
  <si>
    <t>(518) 743-1300</t>
  </si>
  <si>
    <t>GURWIN JEWISH - FAY J - LINDNER RESIDENCE</t>
  </si>
  <si>
    <t xml:space="preserve">50 HAUPPAUGE RD </t>
  </si>
  <si>
    <t>11725-4403</t>
  </si>
  <si>
    <t>(631) 715-8511</t>
  </si>
  <si>
    <t>GURWIN CERTIFIED HOME HEALTH AGENCY</t>
  </si>
  <si>
    <t>JOB HAINES HOME FOR AGED</t>
  </si>
  <si>
    <t xml:space="preserve">250 BLOOMFIELD AVE </t>
  </si>
  <si>
    <t>(973) 743-0792</t>
  </si>
  <si>
    <t>SOLDIERS &amp; SAILORS MEMORIAL HOSPITAL</t>
  </si>
  <si>
    <t xml:space="preserve">418 N MAIN ST </t>
  </si>
  <si>
    <t>14527-1070</t>
  </si>
  <si>
    <t>MASONIC CTR FOR HEALTH &amp; REHAB INC</t>
  </si>
  <si>
    <t xml:space="preserve">400 N MAIN ST </t>
  </si>
  <si>
    <t>53118-9348</t>
  </si>
  <si>
    <t>FALL CREEK VALLEY CARE CENTER</t>
  </si>
  <si>
    <t xml:space="preserve">344 W LINCOLN AVE </t>
  </si>
  <si>
    <t>FALL CREEK</t>
  </si>
  <si>
    <t>EASTCASTLE PLACE</t>
  </si>
  <si>
    <t xml:space="preserve">2429 E BRADFORD AVE </t>
  </si>
  <si>
    <t>53211-4100</t>
  </si>
  <si>
    <t>(414) 939-7619</t>
  </si>
  <si>
    <t>KINGS CROSSING</t>
  </si>
  <si>
    <t xml:space="preserve">500 DALE ST N </t>
  </si>
  <si>
    <t>55103-1961</t>
  </si>
  <si>
    <t>(651) 493-4606</t>
  </si>
  <si>
    <t>CASTLE HILL</t>
  </si>
  <si>
    <t xml:space="preserve">114 GREEN AVE </t>
  </si>
  <si>
    <t>12033-1400</t>
  </si>
  <si>
    <t>(518) 732-4263</t>
  </si>
  <si>
    <t>FRIENDS VILLAGE AT WOODSTOWN</t>
  </si>
  <si>
    <t xml:space="preserve">1 FRIENDS DR </t>
  </si>
  <si>
    <t>WOODSTOWN</t>
  </si>
  <si>
    <t>08098-1066</t>
  </si>
  <si>
    <t>(856) 769-1500</t>
  </si>
  <si>
    <t>THE GLEN MINNETONKA</t>
  </si>
  <si>
    <t xml:space="preserve">5300 WOODHILL RD </t>
  </si>
  <si>
    <t>55345-5891</t>
  </si>
  <si>
    <t>CROSSINGS AT PLEASANT VALLEY</t>
  </si>
  <si>
    <t xml:space="preserve">3200 PLEASANT VALLEY RD </t>
  </si>
  <si>
    <t>53095-9274</t>
  </si>
  <si>
    <t>LIVING CENTER (THE)</t>
  </si>
  <si>
    <t xml:space="preserve">1333 7TH ST S </t>
  </si>
  <si>
    <t>56560-3473</t>
  </si>
  <si>
    <t>(218) 233-7508</t>
  </si>
  <si>
    <t>EVENTIDE SENIOR LIVING COMMUNITY</t>
  </si>
  <si>
    <t xml:space="preserve">2405 EIGHTH ST S STE A </t>
  </si>
  <si>
    <t>MIDWAY POINTE</t>
  </si>
  <si>
    <t xml:space="preserve">1880 UNIVERSITY AVE W </t>
  </si>
  <si>
    <t>55104-3301</t>
  </si>
  <si>
    <t>GUARDIAN ANGELS - ELM HOME CARE AND HOSPICE</t>
  </si>
  <si>
    <t xml:space="preserve">403 MAIN ST NW </t>
  </si>
  <si>
    <t>55330-1533</t>
  </si>
  <si>
    <t>(763) 241-0654</t>
  </si>
  <si>
    <t>BETHEL HOME &amp; SERVICES INC.- REHABILITATION</t>
  </si>
  <si>
    <t>CARMEL VALLEY MANOR-TOCCHET PAUL E.</t>
  </si>
  <si>
    <t xml:space="preserve">8545 CARMEL VALLEY RD </t>
  </si>
  <si>
    <t>831 624128</t>
  </si>
  <si>
    <t xml:space="preserve">32 SALINA ST </t>
  </si>
  <si>
    <t>14569-9358</t>
  </si>
  <si>
    <t>(585) 786-8684</t>
  </si>
  <si>
    <t>TUC MANAGEMENT CO INC</t>
  </si>
  <si>
    <t xml:space="preserve">200 WEST 57TH ST STE 702 </t>
  </si>
  <si>
    <t>10019-2303</t>
  </si>
  <si>
    <t>(212) 865-6985</t>
  </si>
  <si>
    <t>MJG NURSING HOME CO INC</t>
  </si>
  <si>
    <t xml:space="preserve">6323 7TH AVE # 1 </t>
  </si>
  <si>
    <t>11220-4743</t>
  </si>
  <si>
    <t>(718) 921-8065</t>
  </si>
  <si>
    <t>PAUL A. WESTERBERG TOWER</t>
  </si>
  <si>
    <t>MARIE - ROSE MANOR</t>
  </si>
  <si>
    <t xml:space="preserve">100 MARQUIS DR STE 100 </t>
  </si>
  <si>
    <t>SLINGERLANDS</t>
  </si>
  <si>
    <t>12159-9348</t>
  </si>
  <si>
    <t>(518) 459-0204</t>
  </si>
  <si>
    <t>BISHOP HUBBARD SENIOR APARTMENTS</t>
  </si>
  <si>
    <t xml:space="preserve">54 KATHERINE DR </t>
  </si>
  <si>
    <t>HALFMOON</t>
  </si>
  <si>
    <t>12065-4530</t>
  </si>
  <si>
    <t>(518) 383-2705</t>
  </si>
  <si>
    <t>CABRINI APARTMENTS</t>
  </si>
  <si>
    <t xml:space="preserve">220 EAST 19TH ST </t>
  </si>
  <si>
    <t>(212) 673-6262</t>
  </si>
  <si>
    <t>WARREN HAVEN</t>
  </si>
  <si>
    <t xml:space="preserve">350 OXFORD RD </t>
  </si>
  <si>
    <t>07863-3224</t>
  </si>
  <si>
    <t>(908) 475-7700</t>
  </si>
  <si>
    <t>RIDGE OAK INC.</t>
  </si>
  <si>
    <t xml:space="preserve">150 MANCHESTER DR </t>
  </si>
  <si>
    <t>BASKING RIDGE</t>
  </si>
  <si>
    <t>07920-1270</t>
  </si>
  <si>
    <t>(908) 221-0266</t>
  </si>
  <si>
    <t>LUTHERAN HOME AT MOORESTOWN</t>
  </si>
  <si>
    <t xml:space="preserve">255 E MAIN ST </t>
  </si>
  <si>
    <t>MOORESTOWN</t>
  </si>
  <si>
    <t>(856) 235-1214</t>
  </si>
  <si>
    <t>THE MADISON</t>
  </si>
  <si>
    <t xml:space="preserve">1405 MADISON AVE </t>
  </si>
  <si>
    <t>LAKEVIEW UM HEALTH SERVICES INC</t>
  </si>
  <si>
    <t xml:space="preserve">610 SUMMIT DR </t>
  </si>
  <si>
    <t>56031-2247</t>
  </si>
  <si>
    <t>(507) 235-6606</t>
  </si>
  <si>
    <t>LAKESIDE MEDICAL CENTER</t>
  </si>
  <si>
    <t xml:space="preserve">129 6TH AVE SE </t>
  </si>
  <si>
    <t>55063-1913</t>
  </si>
  <si>
    <t>320-629-2542</t>
  </si>
  <si>
    <t>KINDER VILLAGE</t>
  </si>
  <si>
    <t xml:space="preserve">504 E LYNNHURST AVE </t>
  </si>
  <si>
    <t>GREENWOOD CONNECTION</t>
  </si>
  <si>
    <t>MONTICELLO - BIG LAKE NURSING HOME</t>
  </si>
  <si>
    <t xml:space="preserve">1013 HART BLVD </t>
  </si>
  <si>
    <t>55362-8575</t>
  </si>
  <si>
    <t>LUTHER HAVEN NURSING HOME</t>
  </si>
  <si>
    <t xml:space="preserve">1109 E HIGHWAY 7 </t>
  </si>
  <si>
    <t>MONTEVIDEO</t>
  </si>
  <si>
    <t>56265-1711</t>
  </si>
  <si>
    <t>(320) 269-6517</t>
  </si>
  <si>
    <t>JONES-HARRISON RESIDENCE</t>
  </si>
  <si>
    <t xml:space="preserve">3700 CEDAR LAKE AVE </t>
  </si>
  <si>
    <t>55416-4240</t>
  </si>
  <si>
    <t>(612) 920-2030</t>
  </si>
  <si>
    <t>GOOD SHEPHERD SENIOR APARTMENTS</t>
  </si>
  <si>
    <t xml:space="preserve">800 HOME ST PO BOX 747 </t>
  </si>
  <si>
    <t>RUSHFORD</t>
  </si>
  <si>
    <t>55971-0747</t>
  </si>
  <si>
    <t>(507) 864-7714</t>
  </si>
  <si>
    <t>ORCHARD GROVE</t>
  </si>
  <si>
    <t xml:space="preserve">2000 SOUTHWESTERN DR # 1 </t>
  </si>
  <si>
    <t>14701-5709</t>
  </si>
  <si>
    <t>ST VINCENTS APARTMENTS</t>
  </si>
  <si>
    <t xml:space="preserve">475 YATES ST STE 1 </t>
  </si>
  <si>
    <t>12208-3372</t>
  </si>
  <si>
    <t>(518) 482-8915</t>
  </si>
  <si>
    <t>BRANSON MANOR SENIOR APARTMENTS</t>
  </si>
  <si>
    <t xml:space="preserve">3 GRANDVIEW DR </t>
  </si>
  <si>
    <t>12144-9300</t>
  </si>
  <si>
    <t>(518) 283-8280</t>
  </si>
  <si>
    <t>RIVERVIEW ESTATES-BAPTIST HOME OF SOUTH JERSE</t>
  </si>
  <si>
    <t xml:space="preserve">303 BANK AVE </t>
  </si>
  <si>
    <t>08077-1113</t>
  </si>
  <si>
    <t>(856) 829-2274</t>
  </si>
  <si>
    <t>HEARTWOOD HOMES SENIOR LIVING INC</t>
  </si>
  <si>
    <t xml:space="preserve">1531 ELK TRAIL CT </t>
  </si>
  <si>
    <t>NEENAH</t>
  </si>
  <si>
    <t>THE MEADOWS OF WORTHINGTON</t>
  </si>
  <si>
    <t xml:space="preserve">1801 COLLEGE WAY </t>
  </si>
  <si>
    <t>(507) 372-7838</t>
  </si>
  <si>
    <t>ST MARKS APARTMENTS</t>
  </si>
  <si>
    <t xml:space="preserve">1401 4TH ST S W </t>
  </si>
  <si>
    <t>(507) 434-7255</t>
  </si>
  <si>
    <t>PATHSTONE LIVING</t>
  </si>
  <si>
    <t xml:space="preserve">718 MOUND AVE </t>
  </si>
  <si>
    <t>56001-1626</t>
  </si>
  <si>
    <t>(507) 345-4576</t>
  </si>
  <si>
    <t>GLORIA DEI MANOR</t>
  </si>
  <si>
    <t>FORT HUDSON NURSING CENTER INC</t>
  </si>
  <si>
    <t>(518) 747-2811</t>
  </si>
  <si>
    <t>RIVER EDGE MANOR</t>
  </si>
  <si>
    <t xml:space="preserve">535 MOUNT HOPE AVE </t>
  </si>
  <si>
    <t>585-232-3130</t>
  </si>
  <si>
    <t>FORT HUDSON RESIDENCES INC</t>
  </si>
  <si>
    <t>SEABURY WOODS</t>
  </si>
  <si>
    <t xml:space="preserve">110 DALAKER DR </t>
  </si>
  <si>
    <t>585-426-4950</t>
  </si>
  <si>
    <t>EPISCOPAL SENIORLIFE COMMUNITIES</t>
  </si>
  <si>
    <t>585 546843</t>
  </si>
  <si>
    <t>EGER HEALTH CARE CENTER</t>
  </si>
  <si>
    <t xml:space="preserve">140 MEISNER AVE </t>
  </si>
  <si>
    <t>10306-1236</t>
  </si>
  <si>
    <t>(718) 979-1800</t>
  </si>
  <si>
    <t>DELHI SENIOR COMMUNITY</t>
  </si>
  <si>
    <t xml:space="preserve">7 MAIN ST </t>
  </si>
  <si>
    <t>(607) 746-8142</t>
  </si>
  <si>
    <t>UPTOWN MAPLE COMMONS</t>
  </si>
  <si>
    <t xml:space="preserve">38799 7TH AVE </t>
  </si>
  <si>
    <t>NORTH BRANCH</t>
  </si>
  <si>
    <t>651-277-7700</t>
  </si>
  <si>
    <t>SIBLEY MANOR WEST</t>
  </si>
  <si>
    <t xml:space="preserve">1115 4TH AVE N </t>
  </si>
  <si>
    <t>56379-2201</t>
  </si>
  <si>
    <t>(320) 252-6525</t>
  </si>
  <si>
    <t>CONGREGATIONAL HOME INC - RESPITE CARE</t>
  </si>
  <si>
    <t>BETHANY SHADOW WOODS</t>
  </si>
  <si>
    <t xml:space="preserve">1226 BERLIN ST </t>
  </si>
  <si>
    <t>WAUPACA</t>
  </si>
  <si>
    <t>54981-1991</t>
  </si>
  <si>
    <t>(715) 258-5521</t>
  </si>
  <si>
    <t>NEW HORIZON-KEYSTONE SENIOR MANAGEMENT</t>
  </si>
  <si>
    <t>KEYSTONE PLACE AT RICHLAND CREEK</t>
  </si>
  <si>
    <t xml:space="preserve">1050 FOUNTAIN LAKES DRIVE </t>
  </si>
  <si>
    <t>618-825-9029</t>
  </si>
  <si>
    <t>PRAIRIE HILL</t>
  </si>
  <si>
    <t xml:space="preserve">1305 MARSHALL ST </t>
  </si>
  <si>
    <t>SAINT PETER</t>
  </si>
  <si>
    <t>(507) 934-2200</t>
  </si>
  <si>
    <t>COUNTRY NEIGHBORS HOME INC-LE CENTER</t>
  </si>
  <si>
    <t xml:space="preserve">175 E DERRYNANE </t>
  </si>
  <si>
    <t>LE CENTER</t>
  </si>
  <si>
    <t>(507) 357-4104</t>
  </si>
  <si>
    <t>THE CREST</t>
  </si>
  <si>
    <t xml:space="preserve">4004 LONDON RD </t>
  </si>
  <si>
    <t>(218) 625-7805</t>
  </si>
  <si>
    <t>EMMANUAL COMMUNITY SERVICES</t>
  </si>
  <si>
    <t>ECUMEN OF LITCHFIELD</t>
  </si>
  <si>
    <t>PARK RIDGE APARTMENTS OF HASTINGS</t>
  </si>
  <si>
    <t xml:space="preserve">901 16TH ST W </t>
  </si>
  <si>
    <t>55033-3355</t>
  </si>
  <si>
    <t>(651) 437-6176</t>
  </si>
  <si>
    <t>AUGUSTANA CARE CORPORATION</t>
  </si>
  <si>
    <t xml:space="preserve">1007 E 14TH ST </t>
  </si>
  <si>
    <t>55404-1395</t>
  </si>
  <si>
    <t>RIVERFRONT MANOR</t>
  </si>
  <si>
    <t xml:space="preserve">215 E MILL AVE </t>
  </si>
  <si>
    <t>218-863-1133</t>
  </si>
  <si>
    <t>WESTMINSTER TERRACE RETIREMENT COMM</t>
  </si>
  <si>
    <t xml:space="preserve">2116 BUECHEL BANK RD </t>
  </si>
  <si>
    <t>40218-3521</t>
  </si>
  <si>
    <t>54981-1997</t>
  </si>
  <si>
    <t>ST PATRICKS MANOR</t>
  </si>
  <si>
    <t xml:space="preserve">863 CENTRAL ST </t>
  </si>
  <si>
    <t>(508) 879-8000</t>
  </si>
  <si>
    <t>FRANCISCAN SISTERS OF LITTLE FALLS MN</t>
  </si>
  <si>
    <t xml:space="preserve">116 8TH AVE SE </t>
  </si>
  <si>
    <t>(320) 632-2981</t>
  </si>
  <si>
    <t>AMERICAN BAPTIST HOMES OF THE MIDWEST</t>
  </si>
  <si>
    <t xml:space="preserve">14850 SCENIC HEIGHTS RD STE 125 </t>
  </si>
  <si>
    <t>55344-2205</t>
  </si>
  <si>
    <t>(952) 941-3175</t>
  </si>
  <si>
    <t>ST ANDREWS RETIREMENT COMMUNITY</t>
  </si>
  <si>
    <t xml:space="preserve">300 STOCKER DR </t>
  </si>
  <si>
    <t>40475-4304</t>
  </si>
  <si>
    <t>(859) 625-1400</t>
  </si>
  <si>
    <t>ELIM MEADOWS</t>
  </si>
  <si>
    <t xml:space="preserve">415 JEFFERSON AVE SW </t>
  </si>
  <si>
    <t>55388-9242</t>
  </si>
  <si>
    <t>(952) 955-3792</t>
  </si>
  <si>
    <t>PATHSTONE HOME SERVICES</t>
  </si>
  <si>
    <t>CABRINI OF WESTCHESTER</t>
  </si>
  <si>
    <t xml:space="preserve">115 BROADWAY </t>
  </si>
  <si>
    <t>DOBBS FERRY</t>
  </si>
  <si>
    <t>(914) 693-6800</t>
  </si>
  <si>
    <t>MEDFORD LEAS</t>
  </si>
  <si>
    <t xml:space="preserve">ONE MEDFORD LEAS WAY </t>
  </si>
  <si>
    <t>(609) 654-3000</t>
  </si>
  <si>
    <t>THE BOULEVARD APARTMENTS</t>
  </si>
  <si>
    <t xml:space="preserve">4458 RESERVOIR BLVD </t>
  </si>
  <si>
    <t>55421-3271</t>
  </si>
  <si>
    <t>(763) 782-1644</t>
  </si>
  <si>
    <t>CREST VIEW SENIOR COMMUNITIES</t>
  </si>
  <si>
    <t xml:space="preserve">4444 RESERVOIR BLVD </t>
  </si>
  <si>
    <t>55421-3255</t>
  </si>
  <si>
    <t>(763) 782-1611</t>
  </si>
  <si>
    <t>WOODSIDE TERRACE</t>
  </si>
  <si>
    <t xml:space="preserve">5800 SAINT CROIX AVE N </t>
  </si>
  <si>
    <t>763-546-6125</t>
  </si>
  <si>
    <t>CASSIA</t>
  </si>
  <si>
    <t xml:space="preserve">7171 OHMS LANE </t>
  </si>
  <si>
    <t>55439-2142</t>
  </si>
  <si>
    <t>SIGNE BURCKHARDT MANOR</t>
  </si>
  <si>
    <t xml:space="preserve">2533 1ST AVE S </t>
  </si>
  <si>
    <t>612-821-2190</t>
  </si>
  <si>
    <t>TALHEIM IN CHASKA</t>
  </si>
  <si>
    <t xml:space="preserve">501 OAK STREET N </t>
  </si>
  <si>
    <t>CHASKA</t>
  </si>
  <si>
    <t>55318-2003</t>
  </si>
  <si>
    <t>WYNDRIS COFFEE SHOP</t>
  </si>
  <si>
    <t xml:space="preserve">929 N 2ND ST </t>
  </si>
  <si>
    <t>RIVER VILLAGE NORTH</t>
  </si>
  <si>
    <t xml:space="preserve">2921 RANDOLPH STREET NE </t>
  </si>
  <si>
    <t>55418-1840</t>
  </si>
  <si>
    <t>AUGUSTANA HEALTH CARE CENTER OF HASTINGS</t>
  </si>
  <si>
    <t xml:space="preserve">930 16TH ST W </t>
  </si>
  <si>
    <t>55033-3335</t>
  </si>
  <si>
    <t>GESHER HOUSE</t>
  </si>
  <si>
    <t xml:space="preserve">3053 CHAPEL AVE W </t>
  </si>
  <si>
    <t>08002-1570</t>
  </si>
  <si>
    <t>(856) 779-1600</t>
  </si>
  <si>
    <t>HARBORVIEW APARTMENTS</t>
  </si>
  <si>
    <t xml:space="preserve">145 OCEAN AVE </t>
  </si>
  <si>
    <t>JERSEY CITY</t>
  </si>
  <si>
    <t>07305-2526</t>
  </si>
  <si>
    <t>(201) 432-1377</t>
  </si>
  <si>
    <t>ECUMEN HOME CARE &amp; HOSPICE - LITCHFIELD</t>
  </si>
  <si>
    <t>COUNTRY NEIGHBORS HOME - LECENTER</t>
  </si>
  <si>
    <t xml:space="preserve">175 E DERRYNANE ST </t>
  </si>
  <si>
    <t>56057-1603</t>
  </si>
  <si>
    <t>DOVE HEALTHCARE</t>
  </si>
  <si>
    <t>MANKATO LUTHERAN HOME CHRIST THE KING LUTHER</t>
  </si>
  <si>
    <t xml:space="preserve">207 MCCONNELL </t>
  </si>
  <si>
    <t>(507) 345-6506</t>
  </si>
  <si>
    <t>LAKELAND SHORES APARTMENTS</t>
  </si>
  <si>
    <t xml:space="preserve">4500 CAMBRIDGE ST </t>
  </si>
  <si>
    <t>(218) 525-3468</t>
  </si>
  <si>
    <t>COUNTRYSIDE SENIOR LIVING</t>
  </si>
  <si>
    <t xml:space="preserve">650 EL DORADO ST </t>
  </si>
  <si>
    <t>(507) 446-5855</t>
  </si>
  <si>
    <t>BROOKSIDE MANOR</t>
  </si>
  <si>
    <t xml:space="preserve">804 BENSON RD </t>
  </si>
  <si>
    <t>(320) 269-6506</t>
  </si>
  <si>
    <t>BETHEL MANOR II</t>
  </si>
  <si>
    <t xml:space="preserve">906 ASH ST </t>
  </si>
  <si>
    <t>(320) 763-7200</t>
  </si>
  <si>
    <t>CATHOLIC ELDERCARE BY DAY</t>
  </si>
  <si>
    <t xml:space="preserve">817 MAIN ST NE </t>
  </si>
  <si>
    <t>612 362240</t>
  </si>
  <si>
    <t>AUGUSTANA REGENT AT BURNSVILLE</t>
  </si>
  <si>
    <t xml:space="preserve">14500 REGENT LN </t>
  </si>
  <si>
    <t>55306-5556</t>
  </si>
  <si>
    <t>(952) 898-1910</t>
  </si>
  <si>
    <t>AUGUSTANA CHAPEL VIEW APARTMENTS</t>
  </si>
  <si>
    <t xml:space="preserve">605 MINNETONKA MILLS RD </t>
  </si>
  <si>
    <t>55343-7211</t>
  </si>
  <si>
    <t>(952) 938-2456</t>
  </si>
  <si>
    <t>NEWBRIDGE ON THE CHARLES</t>
  </si>
  <si>
    <t xml:space="preserve">5000 GREAT MEADOW RD </t>
  </si>
  <si>
    <t>DEDHAM</t>
  </si>
  <si>
    <t>(781) 234-9500</t>
  </si>
  <si>
    <t>KNOLLWOOD NURSING CENTER</t>
  </si>
  <si>
    <t xml:space="preserve">87 BRIARWOOD CIR </t>
  </si>
  <si>
    <t>01606-1225</t>
  </si>
  <si>
    <t>(508) 852-2670</t>
  </si>
  <si>
    <t xml:space="preserve">22 PHOENIX ROW </t>
  </si>
  <si>
    <t>(978) 374-2164</t>
  </si>
  <si>
    <t>WESTFIELD SENIOR CITIZENS HOUSING</t>
  </si>
  <si>
    <t xml:space="preserve">1133 BOYNTON AVE </t>
  </si>
  <si>
    <t>07090-1617</t>
  </si>
  <si>
    <t>(908) 518-9586</t>
  </si>
  <si>
    <t>PINES AT WHITING (THE)</t>
  </si>
  <si>
    <t xml:space="preserve">509 ROUTE 530 </t>
  </si>
  <si>
    <t>08759-3145</t>
  </si>
  <si>
    <t>(732) 849-0400</t>
  </si>
  <si>
    <t>BETHEL MANOR</t>
  </si>
  <si>
    <t xml:space="preserve">910 ASH ST </t>
  </si>
  <si>
    <t>APPLE VALLEY VILLA</t>
  </si>
  <si>
    <t xml:space="preserve">14610 GARRETT AVE </t>
  </si>
  <si>
    <t>55124-8498</t>
  </si>
  <si>
    <t>(952) 236-2600</t>
  </si>
  <si>
    <t>SCANDIA SHORES</t>
  </si>
  <si>
    <t xml:space="preserve">418 HIGHWAY 96 W </t>
  </si>
  <si>
    <t>55126-1993</t>
  </si>
  <si>
    <t>(651) 415-9793</t>
  </si>
  <si>
    <t>LEE CENTER</t>
  </si>
  <si>
    <t xml:space="preserve">3220 8TH AVE E </t>
  </si>
  <si>
    <t>HIBBING</t>
  </si>
  <si>
    <t>55746-2670</t>
  </si>
  <si>
    <t>(218) 262-2166</t>
  </si>
  <si>
    <t>CATHOLIC RESIDENTIAL SERVICES INC</t>
  </si>
  <si>
    <t xml:space="preserve">3710 EAST AVE S PO BOX 2394 </t>
  </si>
  <si>
    <t>(608) 784-5323</t>
  </si>
  <si>
    <t>BETHANY PINES</t>
  </si>
  <si>
    <t xml:space="preserve">50 SHADOW WOODS LA </t>
  </si>
  <si>
    <t>54981-1986</t>
  </si>
  <si>
    <t>MERCER COUNTY GERIATRIC CENTER</t>
  </si>
  <si>
    <t xml:space="preserve">2300 HAMILTON AVE </t>
  </si>
  <si>
    <t>08619-3007</t>
  </si>
  <si>
    <t>(609) 588-5800</t>
  </si>
  <si>
    <t>LEADINGAGE NEW JERSEY</t>
  </si>
  <si>
    <t xml:space="preserve">13 ROSZEL RD STE C200 </t>
  </si>
  <si>
    <t>08540-6384</t>
  </si>
  <si>
    <t>(609) 452-1161</t>
  </si>
  <si>
    <t>KNOLL VIEW CORP</t>
  </si>
  <si>
    <t xml:space="preserve">39 TRAPASSO DR </t>
  </si>
  <si>
    <t>07871-1797</t>
  </si>
  <si>
    <t>(973) 729-4311</t>
  </si>
  <si>
    <t>ST JOSEPH LIVING CENTER</t>
  </si>
  <si>
    <t xml:space="preserve">14 CLUB RD </t>
  </si>
  <si>
    <t>WINDHAM</t>
  </si>
  <si>
    <t>06280-0000</t>
  </si>
  <si>
    <t>SILVERBROOK ESTATES</t>
  </si>
  <si>
    <t xml:space="preserve">100 RED CEDAR RD </t>
  </si>
  <si>
    <t>06477-3563</t>
  </si>
  <si>
    <t>(203) 891-8265</t>
  </si>
  <si>
    <t>RIDGEFIELD CROSSINGS</t>
  </si>
  <si>
    <t xml:space="preserve">640 DANBURY RD </t>
  </si>
  <si>
    <t>RIDGEFIELD</t>
  </si>
  <si>
    <t>06877-2740</t>
  </si>
  <si>
    <t>ODD FELLOWS HOME DBA FAIRVIEW</t>
  </si>
  <si>
    <t xml:space="preserve">235 LESTERTOWN RD </t>
  </si>
  <si>
    <t>06340-2808</t>
  </si>
  <si>
    <t>(860) 445-7478</t>
  </si>
  <si>
    <t>STAMFORD CROSS ROAD RESIDENCES</t>
  </si>
  <si>
    <t xml:space="preserve">SIX CROSS RD </t>
  </si>
  <si>
    <t>06905-3401</t>
  </si>
  <si>
    <t>(203) 348-5377</t>
  </si>
  <si>
    <t>MISS LAURA M RAYMOND HOMES</t>
  </si>
  <si>
    <t xml:space="preserve">290 MAIN AVE </t>
  </si>
  <si>
    <t>NORWALK</t>
  </si>
  <si>
    <t>06851-6170</t>
  </si>
  <si>
    <t>(203) 846-4500</t>
  </si>
  <si>
    <t>PITMAN MANOR</t>
  </si>
  <si>
    <t xml:space="preserve">535 N OAK AVE </t>
  </si>
  <si>
    <t>PITMAN</t>
  </si>
  <si>
    <t>(856) 589-7800</t>
  </si>
  <si>
    <t>SAINT MARY HOME</t>
  </si>
  <si>
    <t xml:space="preserve">2021 ALBANY AVE </t>
  </si>
  <si>
    <t>WEST HARTFORD</t>
  </si>
  <si>
    <t>06117-2789</t>
  </si>
  <si>
    <t>(860) 570-8200</t>
  </si>
  <si>
    <t>COUNTRY NEIGHBORS HOME INC-LAKE CRYSTAL</t>
  </si>
  <si>
    <t xml:space="preserve">511 W BLUE EARTH </t>
  </si>
  <si>
    <t>LAKE CRYSTAL</t>
  </si>
  <si>
    <t>507-726-6537</t>
  </si>
  <si>
    <t>AUGUSTANA HEALTH CARE CENTER OF APPLE VALLEY</t>
  </si>
  <si>
    <t xml:space="preserve">14650 GARRETT AVE </t>
  </si>
  <si>
    <t>55124-7543</t>
  </si>
  <si>
    <t>(952) 431-7700</t>
  </si>
  <si>
    <t>BETHESDA PLEASANT VIEW</t>
  </si>
  <si>
    <t xml:space="preserve">901 WILLMAR AVE SE </t>
  </si>
  <si>
    <t>56201-4604</t>
  </si>
  <si>
    <t>(320) 235-9532</t>
  </si>
  <si>
    <t>THORNE CREST SENIOR LIVING COMMUNITY</t>
  </si>
  <si>
    <t xml:space="preserve">1201 GARFIELD AVE </t>
  </si>
  <si>
    <t>(507) 373-2311</t>
  </si>
  <si>
    <t>CHRISTIAN HEALTH CENTER OF LOUISVILLE</t>
  </si>
  <si>
    <t xml:space="preserve">920 S 4TH ST </t>
  </si>
  <si>
    <t>40203-9975</t>
  </si>
  <si>
    <t>(502) 583-6533</t>
  </si>
  <si>
    <t>AUBURN HOMES AND SERVICES</t>
  </si>
  <si>
    <t xml:space="preserve">501 NORTH OAK STREET </t>
  </si>
  <si>
    <t>ROSE MANOR NURSING HOME</t>
  </si>
  <si>
    <t xml:space="preserve">3057 N CLEVELAND RD </t>
  </si>
  <si>
    <t>40516-9617</t>
  </si>
  <si>
    <t>(859) 299-4177</t>
  </si>
  <si>
    <t xml:space="preserve">1369 GRAFTON ST </t>
  </si>
  <si>
    <t>01604-2737</t>
  </si>
  <si>
    <t>(508) 368-9511</t>
  </si>
  <si>
    <t>JOY STREET RESIDENCE</t>
  </si>
  <si>
    <t xml:space="preserve">60 JOY ST </t>
  </si>
  <si>
    <t>02114-4008</t>
  </si>
  <si>
    <t>ROCKRIDGE RETIREMENT COMMUNITY</t>
  </si>
  <si>
    <t xml:space="preserve">25 COLES MEADOW RD </t>
  </si>
  <si>
    <t>01060-1148</t>
  </si>
  <si>
    <t>(413) 586-2902</t>
  </si>
  <si>
    <t>MCAULEY CENTER INC (THE)</t>
  </si>
  <si>
    <t xml:space="preserve">275 STEELE RD </t>
  </si>
  <si>
    <t>06117-2716</t>
  </si>
  <si>
    <t>(860) 920-6300</t>
  </si>
  <si>
    <t>MULBERRY GARDENS OF SOUTHINGTON</t>
  </si>
  <si>
    <t xml:space="preserve">58 MULBERRY ST </t>
  </si>
  <si>
    <t>06479-1704</t>
  </si>
  <si>
    <t>(860) 276-1020</t>
  </si>
  <si>
    <t>WESLEY WOODS TOWERS</t>
  </si>
  <si>
    <t xml:space="preserve">1825 CLIFTON RD NE </t>
  </si>
  <si>
    <t>404-728-6613</t>
  </si>
  <si>
    <t>VISITING NURSE HEALTH SYSTEM - SUGARLOAF</t>
  </si>
  <si>
    <t xml:space="preserve">2170 SATELLITE BLVD STE 355 </t>
  </si>
  <si>
    <t>30097-4971</t>
  </si>
  <si>
    <t>ST. MARK'S TOWERS</t>
  </si>
  <si>
    <t xml:space="preserve">ONE TOWERS PLAZA </t>
  </si>
  <si>
    <t>BRUNSWICK</t>
  </si>
  <si>
    <t>31520-4461</t>
  </si>
  <si>
    <t>(912) 267-7125</t>
  </si>
  <si>
    <t>LEADINGAGE GEORGIA</t>
  </si>
  <si>
    <t xml:space="preserve">1440 DUTH VALLEY PLACE STE 120 </t>
  </si>
  <si>
    <t>(404) 872-9191</t>
  </si>
  <si>
    <t>AUGUSTANA APARTMENTS OF MINNEAPOLIS</t>
  </si>
  <si>
    <t xml:space="preserve">1510 11TH AVE S </t>
  </si>
  <si>
    <t>55404-1750</t>
  </si>
  <si>
    <t>(612) 238-5201</t>
  </si>
  <si>
    <t>ECUMEN HOME CARE SIGNE BURCKHARDT MANOR</t>
  </si>
  <si>
    <t>THE PILLARS ASSISTED LIVING COMMUNITY</t>
  </si>
  <si>
    <t xml:space="preserve">711 FRANKFORT RD </t>
  </si>
  <si>
    <t>40065-9447</t>
  </si>
  <si>
    <t>TAYLOR MANOR NURSING HOME</t>
  </si>
  <si>
    <t xml:space="preserve">300 BERRY AVE </t>
  </si>
  <si>
    <t>40383-1474</t>
  </si>
  <si>
    <t>(859) 873-4201</t>
  </si>
  <si>
    <t>SHEMWELL HEALTH CARE</t>
  </si>
  <si>
    <t xml:space="preserve">805 PRINCETON ST </t>
  </si>
  <si>
    <t>42450-1811</t>
  </si>
  <si>
    <t>(270) 667-5472</t>
  </si>
  <si>
    <t>MEADOWTHORPE ASSISTED LIVING</t>
  </si>
  <si>
    <t xml:space="preserve">191 LEESTOWN CENTER WAY </t>
  </si>
  <si>
    <t>(859) 878-1300</t>
  </si>
  <si>
    <t>HOME PLACE AT MIDWAY</t>
  </si>
  <si>
    <t xml:space="preserve">275 SEXTON WAY </t>
  </si>
  <si>
    <t>GREEN MEADOWS HEALTH CARE CENTER</t>
  </si>
  <si>
    <t xml:space="preserve">310 BOXWOOD RUN </t>
  </si>
  <si>
    <t>MT WASHINGTON</t>
  </si>
  <si>
    <t>502-955-7600</t>
  </si>
  <si>
    <t>COLONIAL GARDENS</t>
  </si>
  <si>
    <t xml:space="preserve">6900 HOPEFUL RD STE A </t>
  </si>
  <si>
    <t>41042-9449</t>
  </si>
  <si>
    <t>BRIDGEPOINTE AT ASHGROVE WOODS</t>
  </si>
  <si>
    <t xml:space="preserve">5220 GREY OAK LN </t>
  </si>
  <si>
    <t>NICHOLASVILLE</t>
  </si>
  <si>
    <t>40356-6078</t>
  </si>
  <si>
    <t>LAKESIDE APARTMENTS</t>
  </si>
  <si>
    <t xml:space="preserve">441 WILLIAM AVE E </t>
  </si>
  <si>
    <t>DASSEL</t>
  </si>
  <si>
    <t>55325-1102</t>
  </si>
  <si>
    <t>(320) 275-3308</t>
  </si>
  <si>
    <t>WESLEY METHODIST VILLAGE</t>
  </si>
  <si>
    <t xml:space="preserve">1125 LEXINGTON RD </t>
  </si>
  <si>
    <t>WILMORE</t>
  </si>
  <si>
    <t>606 858386</t>
  </si>
  <si>
    <t>LOUDEN AND CO LLC</t>
  </si>
  <si>
    <t xml:space="preserve">3147 CUSTER DR STE A </t>
  </si>
  <si>
    <t>HOME OF THE INNOCENTS</t>
  </si>
  <si>
    <t xml:space="preserve">1100 E MARKET ST </t>
  </si>
  <si>
    <t>502-596-1000</t>
  </si>
  <si>
    <t>HALLMARK HOUSE</t>
  </si>
  <si>
    <t xml:space="preserve">10301 CONEFLOWER LN </t>
  </si>
  <si>
    <t>PROSPECT</t>
  </si>
  <si>
    <t>(502) 835-3242</t>
  </si>
  <si>
    <t>FARMSTEAD CARE OF MOORHEAD LP</t>
  </si>
  <si>
    <t xml:space="preserve">3200 S 28TH ST </t>
  </si>
  <si>
    <t>(218) 512-2020</t>
  </si>
  <si>
    <t>ENGEL HAUS OF ALBERTVILLE</t>
  </si>
  <si>
    <t xml:space="preserve">5101 KASSEL AVE </t>
  </si>
  <si>
    <t>ALBERTVILLE</t>
  </si>
  <si>
    <t>EAST SIDE NEIGHBORHOOD SERVICES</t>
  </si>
  <si>
    <t xml:space="preserve">1700 2ND ST NE </t>
  </si>
  <si>
    <t>55413-1139</t>
  </si>
  <si>
    <t>ROSLINDALE HOUSE</t>
  </si>
  <si>
    <t xml:space="preserve">120 POPLAR ST </t>
  </si>
  <si>
    <t>02131-3609</t>
  </si>
  <si>
    <t>(617) 327-1503</t>
  </si>
  <si>
    <t>LEADINGAGE KENTUCKY</t>
  </si>
  <si>
    <t xml:space="preserve">2501 NELSON MILLER PKWY STE 101 </t>
  </si>
  <si>
    <t>40223-2221</t>
  </si>
  <si>
    <t>(502) 992-4380</t>
  </si>
  <si>
    <t>SAYRE HEALTHCARE CENTER</t>
  </si>
  <si>
    <t xml:space="preserve">3775 BELLEAU WOOD DR </t>
  </si>
  <si>
    <t>40517-1804</t>
  </si>
  <si>
    <t>ROGERSON COMMUNITIES</t>
  </si>
  <si>
    <t>NOTRE DAME HOSPICE</t>
  </si>
  <si>
    <t xml:space="preserve">557 PLANTATION ST </t>
  </si>
  <si>
    <t>01605-2350</t>
  </si>
  <si>
    <t>(508) 852-5505</t>
  </si>
  <si>
    <t>CENTER COMMUNITIES OF BROOKLINE</t>
  </si>
  <si>
    <t xml:space="preserve">100 CENTRE ST </t>
  </si>
  <si>
    <t>BROOKLINE</t>
  </si>
  <si>
    <t>02446-2805</t>
  </si>
  <si>
    <t>(617) 363-8100</t>
  </si>
  <si>
    <t>DEACONESS ABUNDANT LIFE COMMUNITIES</t>
  </si>
  <si>
    <t xml:space="preserve">80 DEACONESS RD </t>
  </si>
  <si>
    <t>01742-4113</t>
  </si>
  <si>
    <t>(978) 369-5151</t>
  </si>
  <si>
    <t>COMMUNITY AT POND MEADOW</t>
  </si>
  <si>
    <t xml:space="preserve">279 EAST ST </t>
  </si>
  <si>
    <t>02093-1338</t>
  </si>
  <si>
    <t>(508) 384-3000</t>
  </si>
  <si>
    <t>RUTH'S HOUSE</t>
  </si>
  <si>
    <t xml:space="preserve">780 CONVERSE ST </t>
  </si>
  <si>
    <t>(413) 567-6212</t>
  </si>
  <si>
    <t>GODDARD - HOMESTEAD INC</t>
  </si>
  <si>
    <t xml:space="preserve">1199 MAIN ST </t>
  </si>
  <si>
    <t>01603-2012</t>
  </si>
  <si>
    <t>(508) 753-4890</t>
  </si>
  <si>
    <t>EPISCOPAL CHURCH HOME</t>
  </si>
  <si>
    <t xml:space="preserve">7504 WESTPORT RD </t>
  </si>
  <si>
    <t>40222-4108</t>
  </si>
  <si>
    <t>(502) 736-7800</t>
  </si>
  <si>
    <t>CHAPEL HOUSE AND FRIENDSHIP HOUSE OF TAYLORSV</t>
  </si>
  <si>
    <t xml:space="preserve">40 RAY RD </t>
  </si>
  <si>
    <t>TAYLORSVILLE</t>
  </si>
  <si>
    <t>40071-9654</t>
  </si>
  <si>
    <t>(502) 477-9398</t>
  </si>
  <si>
    <t>FOREST VIEW APARTMENTS</t>
  </si>
  <si>
    <t xml:space="preserve">580 GREENFIELD DR </t>
  </si>
  <si>
    <t>40517-1702</t>
  </si>
  <si>
    <t>SOUTH BOSTON ELDERLY APARTMENTS</t>
  </si>
  <si>
    <t xml:space="preserve">120 H ST </t>
  </si>
  <si>
    <t>02127-3010</t>
  </si>
  <si>
    <t>(617) 464-0004</t>
  </si>
  <si>
    <t>SHELTON SENIOR HOUSING DBA THE RIPTON</t>
  </si>
  <si>
    <t xml:space="preserve">423 HOWE AVE </t>
  </si>
  <si>
    <t>06484-8102</t>
  </si>
  <si>
    <t>(203) 922-8836</t>
  </si>
  <si>
    <t>SHARON HEALTH CARE CENTER</t>
  </si>
  <si>
    <t xml:space="preserve">27 HOSPITAL HILL RD </t>
  </si>
  <si>
    <t>06069-2095</t>
  </si>
  <si>
    <t>(860) 364-1002</t>
  </si>
  <si>
    <t>CEDAR LAKE SYCAMORE - RUN 1</t>
  </si>
  <si>
    <t xml:space="preserve">4804 SYCAMORE RIDGE LN </t>
  </si>
  <si>
    <t>40031-7574</t>
  </si>
  <si>
    <t>PINE CREST</t>
  </si>
  <si>
    <t xml:space="preserve">419 E RIVER ST </t>
  </si>
  <si>
    <t>01364-1943</t>
  </si>
  <si>
    <t>(978) 544-7433</t>
  </si>
  <si>
    <t>NOTRE DAME DU LAC ASSISTED LIVING</t>
  </si>
  <si>
    <t>(508) 852-5800</t>
  </si>
  <si>
    <t xml:space="preserve">10 PHOENIX ROW STE 20 </t>
  </si>
  <si>
    <t>01832-5734</t>
  </si>
  <si>
    <t>(978) 374-2160</t>
  </si>
  <si>
    <t>SUMMIT ELDERCARE - WORCESTER</t>
  </si>
  <si>
    <t xml:space="preserve">277 E MOUNTAIN ST </t>
  </si>
  <si>
    <t>01606-1207</t>
  </si>
  <si>
    <t>(508) 852-2026</t>
  </si>
  <si>
    <t>PETER SANBORN PLACE INC.</t>
  </si>
  <si>
    <t xml:space="preserve">50 BAY STATE RD </t>
  </si>
  <si>
    <t>01867-1962</t>
  </si>
  <si>
    <t>(781) 944-6262</t>
  </si>
  <si>
    <t>SPENCER HOUSE</t>
  </si>
  <si>
    <t xml:space="preserve">2053 COLUMBUS AVE # R </t>
  </si>
  <si>
    <t>02119-1122</t>
  </si>
  <si>
    <t>PETER FANEUIL HOUSE</t>
  </si>
  <si>
    <t>EASTWOOD SENIOR LIVING</t>
  </si>
  <si>
    <t xml:space="preserve">170 VALHALLA CIR </t>
  </si>
  <si>
    <t>55051-4905</t>
  </si>
  <si>
    <t>SOUTHWEST CENTER FOR THE DEVELOPMENTALLY DISABLED</t>
  </si>
  <si>
    <t xml:space="preserve">8009 TERRY RD </t>
  </si>
  <si>
    <t>40258-2669</t>
  </si>
  <si>
    <t>ELDETIK INC</t>
  </si>
  <si>
    <t xml:space="preserve">228 W MAIN ST </t>
  </si>
  <si>
    <t>42437-1423</t>
  </si>
  <si>
    <t>CHRISTIAN BENEVOLENT OUTREACH INC - SAYRE CHR</t>
  </si>
  <si>
    <t>(859) 271-9000</t>
  </si>
  <si>
    <t>THE CARE CLINIC</t>
  </si>
  <si>
    <t xml:space="preserve">240 MASONIC HOME DR </t>
  </si>
  <si>
    <t>(502) 259-9627</t>
  </si>
  <si>
    <t>BRIARWOOD CONTINUING CARE RETIREMENT COMMUNIT</t>
  </si>
  <si>
    <t xml:space="preserve">70 BRIARWOOD CIR </t>
  </si>
  <si>
    <t>01606-1249</t>
  </si>
  <si>
    <t>AUGUSTANA HEALTH CARE CENTER OF MINNEAPOLIS</t>
  </si>
  <si>
    <t>55404-1314</t>
  </si>
  <si>
    <t>ACCESS SOLUTIONS ADO AUGUSTANA THERAPY SERV</t>
  </si>
  <si>
    <t>WESTRIDGE</t>
  </si>
  <si>
    <t xml:space="preserve">11201 FAIRFIELD RD W </t>
  </si>
  <si>
    <t>55305-7420</t>
  </si>
  <si>
    <t>(952) 512-0547</t>
  </si>
  <si>
    <t>MAIN STREET VILLAGE</t>
  </si>
  <si>
    <t xml:space="preserve">7601 LYNDALE AVE S </t>
  </si>
  <si>
    <t>55423-4073</t>
  </si>
  <si>
    <t>(612) 869-6584</t>
  </si>
  <si>
    <t>ST CHARLES CARE CENTER</t>
  </si>
  <si>
    <t xml:space="preserve">600 FARRELL DR </t>
  </si>
  <si>
    <t>41011-5126</t>
  </si>
  <si>
    <t>(859) 331-3224</t>
  </si>
  <si>
    <t>BEACON HOUSE</t>
  </si>
  <si>
    <t xml:space="preserve">19 MYRTLE ST </t>
  </si>
  <si>
    <t>02114-4587</t>
  </si>
  <si>
    <t>(617) 523-8295</t>
  </si>
  <si>
    <t>STEARNS (THE)</t>
  </si>
  <si>
    <t xml:space="preserve">10 TEMPLE PL </t>
  </si>
  <si>
    <t>02111-1311</t>
  </si>
  <si>
    <t>(617) 451-0169</t>
  </si>
  <si>
    <t>SEABURY HEIGHTS</t>
  </si>
  <si>
    <t xml:space="preserve">240 BELMONT ST # 244 </t>
  </si>
  <si>
    <t>01604-5204</t>
  </si>
  <si>
    <t>(508) 756-2521</t>
  </si>
  <si>
    <t>KING JAMES COURT</t>
  </si>
  <si>
    <t xml:space="preserve">383 E RIVER ST STE 1 </t>
  </si>
  <si>
    <t>01364-1877</t>
  </si>
  <si>
    <t>(978) 544-2044</t>
  </si>
  <si>
    <t>ST. JOSEPH MANOR HEALTH CARE INC.</t>
  </si>
  <si>
    <t xml:space="preserve">215 THATCHER ST </t>
  </si>
  <si>
    <t>02302-3949</t>
  </si>
  <si>
    <t>(508) 583-5834</t>
  </si>
  <si>
    <t>THE DUTTON CENTER</t>
  </si>
  <si>
    <t xml:space="preserve">1117 MAIN ST </t>
  </si>
  <si>
    <t>WAKEFIELD</t>
  </si>
  <si>
    <t>01880-4101</t>
  </si>
  <si>
    <t>(617) 381-6248</t>
  </si>
  <si>
    <t>THE COMMUNITY FAMILY</t>
  </si>
  <si>
    <t xml:space="preserve">236 BROADWAY ST </t>
  </si>
  <si>
    <t>01854-4161</t>
  </si>
  <si>
    <t>(978) 458-4844</t>
  </si>
  <si>
    <t>WESTSCOTT WILCOX ELDERLY HOUSING INC.</t>
  </si>
  <si>
    <t xml:space="preserve">50 CAPRON ST </t>
  </si>
  <si>
    <t>DANIELSON</t>
  </si>
  <si>
    <t>06239-2908</t>
  </si>
  <si>
    <t>(860) 774-9944</t>
  </si>
  <si>
    <t>MARY WADE HOME</t>
  </si>
  <si>
    <t xml:space="preserve">118 CLINTON AVE </t>
  </si>
  <si>
    <t>06513-3100</t>
  </si>
  <si>
    <t>(203) 562-7222</t>
  </si>
  <si>
    <t>LEADINGAGE CONNECTICUT</t>
  </si>
  <si>
    <t xml:space="preserve">110 BARNES RD </t>
  </si>
  <si>
    <t>WALLINGFORD</t>
  </si>
  <si>
    <t>06492-1802</t>
  </si>
  <si>
    <t>(203) 678-4649</t>
  </si>
  <si>
    <t>COTTAGEWOOD SENIOR COMMUNITIES - ROCHESTER</t>
  </si>
  <si>
    <t xml:space="preserve">4220 55TH ST NW </t>
  </si>
  <si>
    <t>55901-8900</t>
  </si>
  <si>
    <t xml:space="preserve">15 AUDUBON PLAZA DR </t>
  </si>
  <si>
    <t>40217-1318</t>
  </si>
  <si>
    <t>(502) 636-2300</t>
  </si>
  <si>
    <t>SAYRE CHRISTIAN VILLAGE (BAUNTA BUILDING)</t>
  </si>
  <si>
    <t xml:space="preserve">3816 CAMELOT DR </t>
  </si>
  <si>
    <t>40517-2062</t>
  </si>
  <si>
    <t>(859) 271-9001</t>
  </si>
  <si>
    <t>SELECT HOME CARE OPTIONS</t>
  </si>
  <si>
    <t xml:space="preserve">3761 JOHNSON HALL DR </t>
  </si>
  <si>
    <t>40041-9998</t>
  </si>
  <si>
    <t>(608) 327-1100</t>
  </si>
  <si>
    <t>MIRALEA ACTIVE LIFESTYLE COMMUNITY</t>
  </si>
  <si>
    <t xml:space="preserve">320 JOE CONWAY CIR </t>
  </si>
  <si>
    <t>40041-9505</t>
  </si>
  <si>
    <t>(502) 897-8727</t>
  </si>
  <si>
    <t>LOOMIS VILLAGE</t>
  </si>
  <si>
    <t xml:space="preserve">20 BAYON DR </t>
  </si>
  <si>
    <t>01075-3333</t>
  </si>
  <si>
    <t>EAGLE STREET CATERED LIVING</t>
  </si>
  <si>
    <t xml:space="preserve">12009 EAGLE ST NW </t>
  </si>
  <si>
    <t>55448-1909</t>
  </si>
  <si>
    <t>(763) 745-2505</t>
  </si>
  <si>
    <t>CREEKSIDE COTTAGE CATERED LIVING</t>
  </si>
  <si>
    <t xml:space="preserve">1190 117TH AVE NW </t>
  </si>
  <si>
    <t>55448-2383</t>
  </si>
  <si>
    <t>COTTAGEWOOD SENIOR LIVING COMMUNITIES MEMORY</t>
  </si>
  <si>
    <t xml:space="preserve">407 8TH ST NW </t>
  </si>
  <si>
    <t>55313-1003</t>
  </si>
  <si>
    <t>SALLY'S GARDEN MEMORY CARE</t>
  </si>
  <si>
    <t xml:space="preserve">3503 MOYERS CIR </t>
  </si>
  <si>
    <t>40041-9035</t>
  </si>
  <si>
    <t>SPROUTLINGS PEDIATRIC DAY CARE &amp; PRESCHOOL</t>
  </si>
  <si>
    <t xml:space="preserve">3800 TOM LARIMORE LANE </t>
  </si>
  <si>
    <t>(502) 753-8222</t>
  </si>
  <si>
    <t>MASONIC COMMUNITIES KENTUCKY INC</t>
  </si>
  <si>
    <t>40041-9002</t>
  </si>
  <si>
    <t>DANA HOME OF LEXINGTON</t>
  </si>
  <si>
    <t xml:space="preserve">2027 MASSACHUSETTS AVE </t>
  </si>
  <si>
    <t>02421-4812</t>
  </si>
  <si>
    <t>(781) 862-0222</t>
  </si>
  <si>
    <t>HEBREW REHABILITATION CENTER</t>
  </si>
  <si>
    <t>02131-1097</t>
  </si>
  <si>
    <t>617-325-8000</t>
  </si>
  <si>
    <t>SHAPIRO - RUDOLPH ADULT DAY CENTER</t>
  </si>
  <si>
    <t xml:space="preserve">330 PARADISE RD </t>
  </si>
  <si>
    <t>SWAMPSCOTT</t>
  </si>
  <si>
    <t>01907-2946</t>
  </si>
  <si>
    <t>(978) 471-5180</t>
  </si>
  <si>
    <t>MISSION TOWERS INC.</t>
  </si>
  <si>
    <t xml:space="preserve">180 WATER STREET </t>
  </si>
  <si>
    <t>(978) 374-2173</t>
  </si>
  <si>
    <t>CHELSEA JEWISH NURSING HOME FOUNDATION</t>
  </si>
  <si>
    <t>THE NATHANIEL WITHERELL HOME</t>
  </si>
  <si>
    <t xml:space="preserve">70 PARSONAGE ROAD </t>
  </si>
  <si>
    <t>GREENWICH</t>
  </si>
  <si>
    <t>203 618420</t>
  </si>
  <si>
    <t>JEWISH HOME FOR THE ELDERLY-ADULT DAY CARE AN</t>
  </si>
  <si>
    <t xml:space="preserve">1 POST RD </t>
  </si>
  <si>
    <t>06824-6241</t>
  </si>
  <si>
    <t>203-365-6490</t>
  </si>
  <si>
    <t>PILLARS ASSISTED CARE CENTER</t>
  </si>
  <si>
    <t xml:space="preserve">250 MASONIC HOME DR </t>
  </si>
  <si>
    <t>40041-9034</t>
  </si>
  <si>
    <t xml:space="preserve">12710 TOWNEPARK WAY STE. 1000 </t>
  </si>
  <si>
    <t>40243-1596</t>
  </si>
  <si>
    <t>CEDAR COMMUNITY BENEVOLENT CORPORATION</t>
  </si>
  <si>
    <t>GALEON COMMUNITY MEMORIAL HOME</t>
  </si>
  <si>
    <t xml:space="preserve">410 W MAIN ST </t>
  </si>
  <si>
    <t>OSAKIS</t>
  </si>
  <si>
    <t>56360-8243</t>
  </si>
  <si>
    <t>(320) 859-2142</t>
  </si>
  <si>
    <t>FOLEY NURSING HOME</t>
  </si>
  <si>
    <t xml:space="preserve">253 PINE ST </t>
  </si>
  <si>
    <t>FOLEY</t>
  </si>
  <si>
    <t>(320) 968-6201</t>
  </si>
  <si>
    <t>EVELETH SERVICES PARK</t>
  </si>
  <si>
    <t xml:space="preserve">227 MCKINLEY AVE </t>
  </si>
  <si>
    <t>55734-1606</t>
  </si>
  <si>
    <t>(218) 744-1950</t>
  </si>
  <si>
    <t>GODDARD HOUSE</t>
  </si>
  <si>
    <t>THE TRUSTEES OF THE COLT BEQUEST DBA ARMSMEAR</t>
  </si>
  <si>
    <t xml:space="preserve">80 WETHERSFIELD AVE </t>
  </si>
  <si>
    <t>HARTFORD</t>
  </si>
  <si>
    <t>06114-1191</t>
  </si>
  <si>
    <t>(860) 246-4025</t>
  </si>
  <si>
    <t>ASBURY POINTE</t>
  </si>
  <si>
    <t xml:space="preserve">50 STAHL RD </t>
  </si>
  <si>
    <t>14068-1550</t>
  </si>
  <si>
    <t>(716) 810-7500</t>
  </si>
  <si>
    <t>MORRIS VIEW NURSING HOME</t>
  </si>
  <si>
    <t xml:space="preserve">540 W HANOVER AVE BLDG 3 </t>
  </si>
  <si>
    <t>MORRIS PLAINS</t>
  </si>
  <si>
    <t>07950-2152</t>
  </si>
  <si>
    <t>HOLLAND CHRISTIAN HOME</t>
  </si>
  <si>
    <t xml:space="preserve">151 GRAHAM AVE </t>
  </si>
  <si>
    <t>NORTH HALEDON</t>
  </si>
  <si>
    <t>(973) 427-4087</t>
  </si>
  <si>
    <t>SPRINGHILL VILLAGE ACTIVE LIFESTYLE COMMUNITY</t>
  </si>
  <si>
    <t xml:space="preserve">700 TAYLORSPRING CT </t>
  </si>
  <si>
    <t>TAYLOR MILL</t>
  </si>
  <si>
    <t>41015-2000</t>
  </si>
  <si>
    <t>(859) 581-4544</t>
  </si>
  <si>
    <t>ALTERNATIVE HEALTH CARE</t>
  </si>
  <si>
    <t xml:space="preserve">147 WILMA AVE </t>
  </si>
  <si>
    <t>40229-6623</t>
  </si>
  <si>
    <t>(502) 955-1750</t>
  </si>
  <si>
    <t>CARLETON HOME</t>
  </si>
  <si>
    <t xml:space="preserve">27 ANDOVER ST </t>
  </si>
  <si>
    <t>01833-1900</t>
  </si>
  <si>
    <t>(978) 352-6332</t>
  </si>
  <si>
    <t>SEABURY RETIREMENT COMMUNITY</t>
  </si>
  <si>
    <t xml:space="preserve">200 SEABURY DR </t>
  </si>
  <si>
    <t>06002-2650</t>
  </si>
  <si>
    <t>(860) 286-0243</t>
  </si>
  <si>
    <t>JEWISH HOME FOR THE AGED</t>
  </si>
  <si>
    <t xml:space="preserve">350 FAIRFIELD AVE STE 401 </t>
  </si>
  <si>
    <t>06604-6003</t>
  </si>
  <si>
    <t xml:space="preserve">(203) 789-1650 </t>
  </si>
  <si>
    <t>CEDAR MOUNTAIN COMMONS</t>
  </si>
  <si>
    <t xml:space="preserve">THREE JOHN H STEWART DR </t>
  </si>
  <si>
    <t>NEWINGTON</t>
  </si>
  <si>
    <t>(860) 665-7901</t>
  </si>
  <si>
    <t>ASHLAR OF NEWTOWN</t>
  </si>
  <si>
    <t xml:space="preserve">139 TAUNTON HILL RD </t>
  </si>
  <si>
    <t>UNDER ONE ROOF INC (THE MARVIN)</t>
  </si>
  <si>
    <t xml:space="preserve">60 GREGORY BLVD </t>
  </si>
  <si>
    <t>06855-2043</t>
  </si>
  <si>
    <t>(203) 854-4660</t>
  </si>
  <si>
    <t>SAINT JOSEPHS REDSIDENCE</t>
  </si>
  <si>
    <t xml:space="preserve">1365 ENFIELD ST </t>
  </si>
  <si>
    <t>ENFIELD</t>
  </si>
  <si>
    <t>06082-4925</t>
  </si>
  <si>
    <t>FIRSTLIGHT HOME CARE</t>
  </si>
  <si>
    <t>JUNIPER HILL VILLAGE</t>
  </si>
  <si>
    <t xml:space="preserve">1 SILO CIR </t>
  </si>
  <si>
    <t>STORRS MANSFIELD</t>
  </si>
  <si>
    <t>06268-2018</t>
  </si>
  <si>
    <t>(860) 429-9933</t>
  </si>
  <si>
    <t>ARBOR ROSE</t>
  </si>
  <si>
    <t xml:space="preserve">975 CORBIN AVE </t>
  </si>
  <si>
    <t>NEW BRITAIN</t>
  </si>
  <si>
    <t>06052-1259</t>
  </si>
  <si>
    <t>(860) 229-3707</t>
  </si>
  <si>
    <t>NEWBURY COURT</t>
  </si>
  <si>
    <t xml:space="preserve">100 NEWBURY CT </t>
  </si>
  <si>
    <t>01742-4154</t>
  </si>
  <si>
    <t>(978) 369-5155</t>
  </si>
  <si>
    <t>LELAND HOME (THE)</t>
  </si>
  <si>
    <t xml:space="preserve">21 NEWTON ST </t>
  </si>
  <si>
    <t>02453-6004</t>
  </si>
  <si>
    <t>(781) 893-2557</t>
  </si>
  <si>
    <t xml:space="preserve">121 WASHINGTON ST </t>
  </si>
  <si>
    <t>(781) 395-5542</t>
  </si>
  <si>
    <t>SCOFIELD MANOR</t>
  </si>
  <si>
    <t xml:space="preserve">614 SCOFIELDTOWN RD </t>
  </si>
  <si>
    <t>06903-2805</t>
  </si>
  <si>
    <t>(203) 329-2388</t>
  </si>
  <si>
    <t>ROCKHAVEN/UPSON TRUST</t>
  </si>
  <si>
    <t xml:space="preserve">349 HUBBARD ST </t>
  </si>
  <si>
    <t>GLASTONBURY</t>
  </si>
  <si>
    <t>06033-3075</t>
  </si>
  <si>
    <t>(860) 659-1412</t>
  </si>
  <si>
    <t>ALLERTON -BETH ABRAHAM</t>
  </si>
  <si>
    <t xml:space="preserve">612 ALLERTON AVE </t>
  </si>
  <si>
    <t>10467-7404</t>
  </si>
  <si>
    <t>(718) 519-4001</t>
  </si>
  <si>
    <t>ELIM PARK BAPTIST HOME INC.</t>
  </si>
  <si>
    <t xml:space="preserve">140 COOK HILL RD </t>
  </si>
  <si>
    <t>CHESHIRE</t>
  </si>
  <si>
    <t>(203) 272-3547</t>
  </si>
  <si>
    <t>ACADEMY POINT AT MYSTIC</t>
  </si>
  <si>
    <t xml:space="preserve">20 ACADEMY LANE </t>
  </si>
  <si>
    <t>MYSTIC</t>
  </si>
  <si>
    <t>(860) 536-1133</t>
  </si>
  <si>
    <t>CARONDELET COMMONS SENIOR APARTMENTS</t>
  </si>
  <si>
    <t xml:space="preserve">2 CARONDELET DR </t>
  </si>
  <si>
    <t>12189-2300</t>
  </si>
  <si>
    <t>CABRINI ACRES SENIOR APARTMENTS</t>
  </si>
  <si>
    <t xml:space="preserve">4 CARONDELET DR </t>
  </si>
  <si>
    <t>12189-2306</t>
  </si>
  <si>
    <t>(518) 785-0050</t>
  </si>
  <si>
    <t>CATHOLIC HEALTH SYSTEM LONG TERM CARE</t>
  </si>
  <si>
    <t xml:space="preserve">291 NORTH ST </t>
  </si>
  <si>
    <t>(716) 706-2112</t>
  </si>
  <si>
    <t>FALL RIVER JEWISH HOME</t>
  </si>
  <si>
    <t xml:space="preserve">538 ROBESON ST </t>
  </si>
  <si>
    <t>02720-5496</t>
  </si>
  <si>
    <t>(508) 679-6172</t>
  </si>
  <si>
    <t xml:space="preserve">106 WYLLIS AVE </t>
  </si>
  <si>
    <t>02149-1142</t>
  </si>
  <si>
    <t>(617) 389-4500</t>
  </si>
  <si>
    <t>GROVE POINT ASSISTED LIVING CENTER</t>
  </si>
  <si>
    <t xml:space="preserve">230 MASONIC HOME DR </t>
  </si>
  <si>
    <t>40041-9000</t>
  </si>
  <si>
    <t>VILLAGE AT WAVENY CARE CENTER THE</t>
  </si>
  <si>
    <t xml:space="preserve">THREE FARM RD </t>
  </si>
  <si>
    <t>NEW CANAAN</t>
  </si>
  <si>
    <t>(203) 594-5200</t>
  </si>
  <si>
    <t>TOLLAND SENIOR HOUSING DBA-WINDING RIVER VILL</t>
  </si>
  <si>
    <t xml:space="preserve">1127 TOLLAND STAGE RD </t>
  </si>
  <si>
    <t>06084-3138</t>
  </si>
  <si>
    <t>(860) 870-1479</t>
  </si>
  <si>
    <t>BAUNTA APARTMENTS</t>
  </si>
  <si>
    <t>ASHBY PLACE BENTON ASSISTED LIVING</t>
  </si>
  <si>
    <t xml:space="preserve">147 COUNTRY CLUB DR </t>
  </si>
  <si>
    <t>SAYRE CHRISTIAN VILLAGE - FRIENDSHIP TOWERS</t>
  </si>
  <si>
    <t xml:space="preserve">3824 CAMELOT DR </t>
  </si>
  <si>
    <t>40517-1895</t>
  </si>
  <si>
    <t>LOOMIS HOUSE</t>
  </si>
  <si>
    <t xml:space="preserve">298 JARVIS AVE </t>
  </si>
  <si>
    <t>01040-1288</t>
  </si>
  <si>
    <t>(413) 538-7551</t>
  </si>
  <si>
    <t>EMMANUEL VILLAGE</t>
  </si>
  <si>
    <t xml:space="preserve">59 EVELYN ST </t>
  </si>
  <si>
    <t>01607-1550</t>
  </si>
  <si>
    <t>(508) 753-7474</t>
  </si>
  <si>
    <t>WAVENY CARE CENTER</t>
  </si>
  <si>
    <t>06840-6698</t>
  </si>
  <si>
    <t>203-594-5200</t>
  </si>
  <si>
    <t>MCLEAN AFFILIATES INC.</t>
  </si>
  <si>
    <t xml:space="preserve">75 GREAT POND RD </t>
  </si>
  <si>
    <t>SIMSBURY</t>
  </si>
  <si>
    <t>06070-1980</t>
  </si>
  <si>
    <t>MCLEAN ADULT DAY HEALTH CARE - SIMSBURY</t>
  </si>
  <si>
    <t>MEADOW ACTIVE LIFE STYLE COMMUNITY</t>
  </si>
  <si>
    <t xml:space="preserve">140 MASONIC HOME DR </t>
  </si>
  <si>
    <t>SOMERSET MANOR-NORTH</t>
  </si>
  <si>
    <t xml:space="preserve">473 DEMOTT LN </t>
  </si>
  <si>
    <t>08873-7700</t>
  </si>
  <si>
    <t>732-873-4800</t>
  </si>
  <si>
    <t>WESLEY-BY-THE-BAY</t>
  </si>
  <si>
    <t xml:space="preserve">2401 BAY AVENUE SUITE 2 </t>
  </si>
  <si>
    <t>OCEAN CITY</t>
  </si>
  <si>
    <t>609-399-6701</t>
  </si>
  <si>
    <t xml:space="preserve">623 E FRONT ST </t>
  </si>
  <si>
    <t>(908) 791-9430</t>
  </si>
  <si>
    <t>VILLAGE ACTIVE LIFESTYLE COMMUNITY</t>
  </si>
  <si>
    <t xml:space="preserve">3703 JOHNSON HALL DR </t>
  </si>
  <si>
    <t>(502) 894-0195</t>
  </si>
  <si>
    <t>COPPERFIELD HILL</t>
  </si>
  <si>
    <t xml:space="preserve">4200 40TH AVE N </t>
  </si>
  <si>
    <t>55422-3266</t>
  </si>
  <si>
    <t>DUNCASTER INC</t>
  </si>
  <si>
    <t xml:space="preserve">40 LOEFFLER RD </t>
  </si>
  <si>
    <t>06002-2262</t>
  </si>
  <si>
    <t>(860) 726-2000</t>
  </si>
  <si>
    <t>SAYE BROOKE VILLAGE - EAST - WEST</t>
  </si>
  <si>
    <t xml:space="preserve">55 SHEFFIELD ST </t>
  </si>
  <si>
    <t>OLD SAYBROOK</t>
  </si>
  <si>
    <t>06475-2334</t>
  </si>
  <si>
    <t>(860) 388-5915</t>
  </si>
  <si>
    <t>CONNECTICUT VNA</t>
  </si>
  <si>
    <t xml:space="preserve">33 N PLAINS INDUSTRIAL RD </t>
  </si>
  <si>
    <t>06492-5841</t>
  </si>
  <si>
    <t>JOY COURT</t>
  </si>
  <si>
    <t xml:space="preserve">167 HOSANNA CIR APT B </t>
  </si>
  <si>
    <t>AMERICUS</t>
  </si>
  <si>
    <t>31719-8269</t>
  </si>
  <si>
    <t>(478) 552-5254</t>
  </si>
  <si>
    <t>CLAIRMONT PLACE CONDOMINIUM ASSOC INC</t>
  </si>
  <si>
    <t xml:space="preserve">2100 CLAIRMONT LAKE </t>
  </si>
  <si>
    <t>(404) 633-8875</t>
  </si>
  <si>
    <t>ASBURY HARRIS EPWORTH TOWERS</t>
  </si>
  <si>
    <t xml:space="preserve">3033 CONTINENTAL COLONY PKWY SW </t>
  </si>
  <si>
    <t>30331-3039</t>
  </si>
  <si>
    <t>(404) 344-9400</t>
  </si>
  <si>
    <t>PINE RIDGE OF MONTCLAIR</t>
  </si>
  <si>
    <t xml:space="preserve">60 GLENRIDGE AVE </t>
  </si>
  <si>
    <t>MONTCLAIR</t>
  </si>
  <si>
    <t>(973) 746-0003</t>
  </si>
  <si>
    <t>SULLIVAN-MCKINNEY ELDER HOUSING</t>
  </si>
  <si>
    <t xml:space="preserve">224 MEADOWBROOK RD </t>
  </si>
  <si>
    <t>06824-5267</t>
  </si>
  <si>
    <t>(203) 259-1991</t>
  </si>
  <si>
    <t>GENERATIONS MANAGEMENT SERVICES LLC</t>
  </si>
  <si>
    <t xml:space="preserve">405 CEDAR LANE </t>
  </si>
  <si>
    <t>TEANECK</t>
  </si>
  <si>
    <t>(201) 287-4400</t>
  </si>
  <si>
    <t>WESLEYAN ARMS</t>
  </si>
  <si>
    <t xml:space="preserve">9 WALL ST </t>
  </si>
  <si>
    <t>(732) 936-0760</t>
  </si>
  <si>
    <t>UNITED METHODIST HOMES OF NJ</t>
  </si>
  <si>
    <t xml:space="preserve">3311 HWY 33 PO BOX 0667 </t>
  </si>
  <si>
    <t>NEPTUNE</t>
  </si>
  <si>
    <t>(732) 922-9800</t>
  </si>
  <si>
    <t>SAINT ANNE VILLA</t>
  </si>
  <si>
    <t xml:space="preserve">190 PARK AVE </t>
  </si>
  <si>
    <t>07960-4649</t>
  </si>
  <si>
    <t>(973) 867-1500</t>
  </si>
  <si>
    <t>WILENTZ SENIOR RESIDENCE</t>
  </si>
  <si>
    <t xml:space="preserve">360 DEMOTT LN </t>
  </si>
  <si>
    <t>(732) 873-3888</t>
  </si>
  <si>
    <t>FEDERATION HOMES</t>
  </si>
  <si>
    <t xml:space="preserve">156 WINTONBURY AVE </t>
  </si>
  <si>
    <t>06002-1964</t>
  </si>
  <si>
    <t>(860) 243-2535</t>
  </si>
  <si>
    <t>WESTVIEW HEALTH CARE CENTER</t>
  </si>
  <si>
    <t xml:space="preserve">150 WARE RD </t>
  </si>
  <si>
    <t>DAYVILLE</t>
  </si>
  <si>
    <t>(860) 774-8574</t>
  </si>
  <si>
    <t>SEYMOUR I HOLLANDER APARTMENTS</t>
  </si>
  <si>
    <t xml:space="preserve">4190 PARK AVE </t>
  </si>
  <si>
    <t>06604-1043</t>
  </si>
  <si>
    <t>(203) 374-7868</t>
  </si>
  <si>
    <t>JEWISH SENIOR SERVICES</t>
  </si>
  <si>
    <t xml:space="preserve">175 JEFFERSON ST </t>
  </si>
  <si>
    <t>06825-1078</t>
  </si>
  <si>
    <t>(203) 365-6487</t>
  </si>
  <si>
    <t>RIDGE OAK II INC</t>
  </si>
  <si>
    <t xml:space="preserve">35 LINDBERGH LN </t>
  </si>
  <si>
    <t>07920-1237</t>
  </si>
  <si>
    <t>BERNARD DUBIN HOUSE</t>
  </si>
  <si>
    <t xml:space="preserve">3051 CHAPEL AVE W </t>
  </si>
  <si>
    <t>08002-1530</t>
  </si>
  <si>
    <t>(856) 667-6826</t>
  </si>
  <si>
    <t>MASONICARE AT CHESTER VILLAGE</t>
  </si>
  <si>
    <t xml:space="preserve">317 W MAIN ST </t>
  </si>
  <si>
    <t>CHESTER</t>
  </si>
  <si>
    <t>06412-1057</t>
  </si>
  <si>
    <t>(860) 526-6800</t>
  </si>
  <si>
    <t>MASONICARE</t>
  </si>
  <si>
    <t xml:space="preserve">22 MASONIC AVE </t>
  </si>
  <si>
    <t>(203) 679-5900</t>
  </si>
  <si>
    <t>AVERY HEIGHTS HEALTHCARE CENTER</t>
  </si>
  <si>
    <t xml:space="preserve">705 NEW BRITAIN AVE </t>
  </si>
  <si>
    <t>06106-4000</t>
  </si>
  <si>
    <t>(860) 527-4663</t>
  </si>
  <si>
    <t>HELLENIC TOWER INC. (THE)</t>
  </si>
  <si>
    <t xml:space="preserve">8450 ROSWELL RD </t>
  </si>
  <si>
    <t>30350-2836</t>
  </si>
  <si>
    <t>(770) 992-4393</t>
  </si>
  <si>
    <t>CLAIRMONT OAKS</t>
  </si>
  <si>
    <t xml:space="preserve">441 CLAIREMONT AVE </t>
  </si>
  <si>
    <t>30030-1894</t>
  </si>
  <si>
    <t>(404) 378-8887</t>
  </si>
  <si>
    <t>VNHS HARTSFIELD</t>
  </si>
  <si>
    <t xml:space="preserve">100 HARTSFIELD CENTER PKWY </t>
  </si>
  <si>
    <t>30328-7294</t>
  </si>
  <si>
    <t>LANIER GARDENS TALMAGE TERRACE</t>
  </si>
  <si>
    <t xml:space="preserve">801 RIVERHILL DR </t>
  </si>
  <si>
    <t>706-546-1480</t>
  </si>
  <si>
    <t>CMSA OPTIONS LLC DBA SARAHCARE AT EVANS TO LOCKS</t>
  </si>
  <si>
    <t xml:space="preserve">801 OAKHURST DR </t>
  </si>
  <si>
    <t>EVANS</t>
  </si>
  <si>
    <t>FELLOWSHIP SENIOR LIVING INC</t>
  </si>
  <si>
    <t xml:space="preserve">8000 FELLOWSHIP RD </t>
  </si>
  <si>
    <t>07920-2932</t>
  </si>
  <si>
    <t>(908) 580-3800</t>
  </si>
  <si>
    <t>UNITED METHODIST COMMUNITIES HOMEWORKS INC</t>
  </si>
  <si>
    <t xml:space="preserve">54 OLIN ST </t>
  </si>
  <si>
    <t>OCEAN GROVE</t>
  </si>
  <si>
    <t>07756-1559</t>
  </si>
  <si>
    <t>SHORES AT WESLEY MANOR</t>
  </si>
  <si>
    <t xml:space="preserve">2201 BAY AVE </t>
  </si>
  <si>
    <t>(609) 399-8505</t>
  </si>
  <si>
    <t>BRISTOL GLEN</t>
  </si>
  <si>
    <t xml:space="preserve">200 BRISTOL GLEN DR </t>
  </si>
  <si>
    <t>(973) 300-5788</t>
  </si>
  <si>
    <t>CREAMERY BROOK VILLAGE</t>
  </si>
  <si>
    <t xml:space="preserve">36 VINA LN </t>
  </si>
  <si>
    <t>06234-1937</t>
  </si>
  <si>
    <t>(860) 779-8700</t>
  </si>
  <si>
    <t>WESLEY WOODS SENIOR LIVING INC</t>
  </si>
  <si>
    <t xml:space="preserve">1817 CLIFTON RD NE </t>
  </si>
  <si>
    <t>30329-4021</t>
  </si>
  <si>
    <t>404-728-6232</t>
  </si>
  <si>
    <t>VISITING NURSE HEALTH SYSTEM</t>
  </si>
  <si>
    <t xml:space="preserve">5775 GLENRIDGE DR STE E200 </t>
  </si>
  <si>
    <t>(404) 215-6000</t>
  </si>
  <si>
    <t>ROSS WOODS ADULT DAY SERVICES</t>
  </si>
  <si>
    <t xml:space="preserve">1402 WALSTON AVE </t>
  </si>
  <si>
    <t>DALTON</t>
  </si>
  <si>
    <t>30720-3040</t>
  </si>
  <si>
    <t>RAGSDALE HEALTHCARE LLC</t>
  </si>
  <si>
    <t xml:space="preserve">171 17TH ST NW STE 1500 </t>
  </si>
  <si>
    <t>30363-1077</t>
  </si>
  <si>
    <t>WELLES COUNTRY VILLAGE</t>
  </si>
  <si>
    <t xml:space="preserve">46 WELLES RD </t>
  </si>
  <si>
    <t>VERNON ROCKVILLE</t>
  </si>
  <si>
    <t>06066-5247</t>
  </si>
  <si>
    <t>(860) 646-8782</t>
  </si>
  <si>
    <t>BACON CONGREGATE HOUSING</t>
  </si>
  <si>
    <t xml:space="preserve">43 MORRIS ST </t>
  </si>
  <si>
    <t>06114-6002</t>
  </si>
  <si>
    <t>(860) 724-4212</t>
  </si>
  <si>
    <t>TELFAIR ARMS APARTMENTS</t>
  </si>
  <si>
    <t xml:space="preserve">17 E PARK AVE </t>
  </si>
  <si>
    <t>31401-6400</t>
  </si>
  <si>
    <t>ST JOHN TOWERS</t>
  </si>
  <si>
    <t xml:space="preserve">724 GREENE ST </t>
  </si>
  <si>
    <t>706-722-2096</t>
  </si>
  <si>
    <t>FOUNDATION OF WESLEY WOODS</t>
  </si>
  <si>
    <t>FODAC - FRIENDS OF DISABLED ADULTS AND CHILDR</t>
  </si>
  <si>
    <t xml:space="preserve">4900 LEWIS RD </t>
  </si>
  <si>
    <t>STONE MOUNTAIN</t>
  </si>
  <si>
    <t>30083-1104</t>
  </si>
  <si>
    <t>CANTERBURY COURT - CCRC</t>
  </si>
  <si>
    <t xml:space="preserve">3750 PEACHTREE RD NE </t>
  </si>
  <si>
    <t>30319-1322</t>
  </si>
  <si>
    <t>(404) 261-6611</t>
  </si>
  <si>
    <t>UNIQUE HOMES &amp; LUMBER INC</t>
  </si>
  <si>
    <t>VILLAS OF HOLLY BROOK &amp; REFLECTIONS BELLEVILLE</t>
  </si>
  <si>
    <t xml:space="preserve">4350 FRANK SCOTT PARKWAY </t>
  </si>
  <si>
    <t>618-744-0231</t>
  </si>
  <si>
    <t>CAMPBELL-STONE NORTH APARTMENTS INC.</t>
  </si>
  <si>
    <t xml:space="preserve">350 CARPENTER DR </t>
  </si>
  <si>
    <t>30328-3364</t>
  </si>
  <si>
    <t>(404) 256-2612</t>
  </si>
  <si>
    <t>BMG CONSULTING</t>
  </si>
  <si>
    <t>EDEN FIELDS ASSISTED LIVING</t>
  </si>
  <si>
    <t xml:space="preserve">3567 DEEP RIVER ROAD </t>
  </si>
  <si>
    <t>STANDISH</t>
  </si>
  <si>
    <t>987-718-3117</t>
  </si>
  <si>
    <t>PIONEER GOLDEN ESTATES</t>
  </si>
  <si>
    <t xml:space="preserve">312 MCGUIRK DRIVE </t>
  </si>
  <si>
    <t>989-424-4050</t>
  </si>
  <si>
    <t>SEABURY HOME CARE</t>
  </si>
  <si>
    <t>(860) 243-6077</t>
  </si>
  <si>
    <t>POND RIDGE AT ASHLAR VILLAGE</t>
  </si>
  <si>
    <t xml:space="preserve">74 CHESHIRE RD </t>
  </si>
  <si>
    <t>STEVENS WOODS ELDERLY HOUSING</t>
  </si>
  <si>
    <t xml:space="preserve">165 CLINTONVILLE RD </t>
  </si>
  <si>
    <t>NORTH HAVEN</t>
  </si>
  <si>
    <t>06473-2446</t>
  </si>
  <si>
    <t>(203) 239-6229</t>
  </si>
  <si>
    <t>HARBOURSITE</t>
  </si>
  <si>
    <t xml:space="preserve">511 SHIPPAN AVE </t>
  </si>
  <si>
    <t>06902-6052</t>
  </si>
  <si>
    <t>(203) 358-8011</t>
  </si>
  <si>
    <t>MERCY COMMUNITY HOME CARE</t>
  </si>
  <si>
    <t>(860) 586-8318</t>
  </si>
  <si>
    <t>JEFFERSON HOUSE</t>
  </si>
  <si>
    <t xml:space="preserve">1 JOHN H STEWART DR </t>
  </si>
  <si>
    <t>06111-3126</t>
  </si>
  <si>
    <t>(860) 667-4453</t>
  </si>
  <si>
    <t>JEWISH HOME AT ROCKLEIGH</t>
  </si>
  <si>
    <t xml:space="preserve">10 LINK DR </t>
  </si>
  <si>
    <t>ROCKLEIGH</t>
  </si>
  <si>
    <t>07647-2504</t>
  </si>
  <si>
    <t>(201) 784-1414</t>
  </si>
  <si>
    <t>BISHOP TAYLOR MANOR</t>
  </si>
  <si>
    <t xml:space="preserve">33 N WALNUT ST </t>
  </si>
  <si>
    <t>(973) 676-9057</t>
  </si>
  <si>
    <t>ASHLAR VILLAGE</t>
  </si>
  <si>
    <t>(203) 679-6935</t>
  </si>
  <si>
    <t>VNHS ROME</t>
  </si>
  <si>
    <t xml:space="preserve">109 W 8TH AVE. </t>
  </si>
  <si>
    <t>VISITING NURSE HEALTH SYSTEM - KENNESAW</t>
  </si>
  <si>
    <t xml:space="preserve">112 TOWNPARK DR NW STE 115 </t>
  </si>
  <si>
    <t>30144-3740</t>
  </si>
  <si>
    <t>SEASHORE GARDENS</t>
  </si>
  <si>
    <t xml:space="preserve">22 W JIMMIE LEEDS RD </t>
  </si>
  <si>
    <t>GALLOWAY TOWNSHIP</t>
  </si>
  <si>
    <t>(609) 404-4848</t>
  </si>
  <si>
    <t>REFORMED CHURCH HOME</t>
  </si>
  <si>
    <t xml:space="preserve">1990 STATE ROUTE 18 </t>
  </si>
  <si>
    <t>08857-3771</t>
  </si>
  <si>
    <t>(732) 607-9230</t>
  </si>
  <si>
    <t>FEDERATION APARTMENTS</t>
  </si>
  <si>
    <t xml:space="preserve">510 E 27TH ST </t>
  </si>
  <si>
    <t>07514-1968</t>
  </si>
  <si>
    <t>(973) 881-8141</t>
  </si>
  <si>
    <t>ACTORS' FUND NURSING HOME (THE)</t>
  </si>
  <si>
    <t xml:space="preserve">175 W HUDSON AVE </t>
  </si>
  <si>
    <t>07631-1609</t>
  </si>
  <si>
    <t>(201) 510-3421</t>
  </si>
  <si>
    <t>CRESCENT POINT AT NIANTIC</t>
  </si>
  <si>
    <t xml:space="preserve">417 MAIN ST </t>
  </si>
  <si>
    <t>NIANTIC</t>
  </si>
  <si>
    <t>06357-3144</t>
  </si>
  <si>
    <t>(860) 739-9479</t>
  </si>
  <si>
    <t>ESSEX MEADOWS</t>
  </si>
  <si>
    <t xml:space="preserve">30 BOKUM RD </t>
  </si>
  <si>
    <t>ESSEX</t>
  </si>
  <si>
    <t>06426-1510</t>
  </si>
  <si>
    <t>(860) 767-7201</t>
  </si>
  <si>
    <t>CENTRAL CONNECTICUT SENIOR HEALTH SERVICES</t>
  </si>
  <si>
    <t xml:space="preserve">45 MERIDEN AVE </t>
  </si>
  <si>
    <t>SOUTHINGTON</t>
  </si>
  <si>
    <t>06489-3214</t>
  </si>
  <si>
    <t>(860) 406-6865</t>
  </si>
  <si>
    <t>VINEVILLE CHRISTIAN TOWERS INC.</t>
  </si>
  <si>
    <t xml:space="preserve">2394 VINEVILLE AVENUE </t>
  </si>
  <si>
    <t>(478) 743-4661</t>
  </si>
  <si>
    <t>T. F. WILLIAMS COURT APARTMENTS</t>
  </si>
  <si>
    <t xml:space="preserve">1900 LINCOLN ST </t>
  </si>
  <si>
    <t>31401-8144</t>
  </si>
  <si>
    <t>(912) 233-9344</t>
  </si>
  <si>
    <t>ST. GEORGE'S COURT INC.</t>
  </si>
  <si>
    <t xml:space="preserve">110 N 10TH ST </t>
  </si>
  <si>
    <t>30223-2802</t>
  </si>
  <si>
    <t>(770) 229-5405</t>
  </si>
  <si>
    <t>SAINT ANNE'S TERRACE INC.</t>
  </si>
  <si>
    <t xml:space="preserve">3100 NORTHSIDE PKWY NW </t>
  </si>
  <si>
    <t>30327-1563</t>
  </si>
  <si>
    <t>(404) 238-9200</t>
  </si>
  <si>
    <t>VILLA RAFFAELLA</t>
  </si>
  <si>
    <t xml:space="preserve">917 S MAIN ST </t>
  </si>
  <si>
    <t>PLEASANTVILLE</t>
  </si>
  <si>
    <t>08232-3617</t>
  </si>
  <si>
    <t>(609) 645-9300</t>
  </si>
  <si>
    <t>OAK CREEK VILLAGE</t>
  </si>
  <si>
    <t>(732) 254-4488</t>
  </si>
  <si>
    <t>MARTIN AND EDITH STEIN (THE)-ASSISTED LIVING</t>
  </si>
  <si>
    <t xml:space="preserve">350 DEMOTT LN </t>
  </si>
  <si>
    <t>08873-4976</t>
  </si>
  <si>
    <t>(732) 568-1155</t>
  </si>
  <si>
    <t>06070-1999</t>
  </si>
  <si>
    <t>(860) 658-3700</t>
  </si>
  <si>
    <t>VISITING NURSE HEALTH SYSTEM - FAYETTEVILLE</t>
  </si>
  <si>
    <t xml:space="preserve">100 HARTSFIELD CENTER PKWY STE 140 </t>
  </si>
  <si>
    <t>30354-1390</t>
  </si>
  <si>
    <t>SPRING HARBOR AT GREEN ISLAND</t>
  </si>
  <si>
    <t xml:space="preserve">100 SPRING HARBOR DR </t>
  </si>
  <si>
    <t>(706) 576-6003</t>
  </si>
  <si>
    <t>QLS GARDENS APARTMENTS</t>
  </si>
  <si>
    <t xml:space="preserve">1870 CAMPBELLTON RD SW </t>
  </si>
  <si>
    <t>30311-4131</t>
  </si>
  <si>
    <t>(404) 760-6647</t>
  </si>
  <si>
    <t>CLAIRMONT OAKS INC. - MAIN OFFICE</t>
  </si>
  <si>
    <t>404-378-8887</t>
  </si>
  <si>
    <t>CAMBRIDGE HOUSE ENRICHMENT CENTER</t>
  </si>
  <si>
    <t xml:space="preserve">2687 SHARPSBURG MCCULLUM RD </t>
  </si>
  <si>
    <t>NEWNAN</t>
  </si>
  <si>
    <t>30265-1919</t>
  </si>
  <si>
    <t>678-423-8700</t>
  </si>
  <si>
    <t>CONNECTICUT BAPTIST HOME INC</t>
  </si>
  <si>
    <t xml:space="preserve">292 THORPE AVE </t>
  </si>
  <si>
    <t>203 237120</t>
  </si>
  <si>
    <t>MERCY SERVICES CORPORATION</t>
  </si>
  <si>
    <t xml:space="preserve">249 STEELE RD </t>
  </si>
  <si>
    <t>06117-2761</t>
  </si>
  <si>
    <t>(860) 232-8602</t>
  </si>
  <si>
    <t>BETTY LARUS ADULT DAY HEALTH CENTER</t>
  </si>
  <si>
    <t xml:space="preserve">705A NEW BRITAIN AVE </t>
  </si>
  <si>
    <t>(860) 278-4773</t>
  </si>
  <si>
    <t>WESLEY WOODS OF NEWNAN-PEACHTREE CITY</t>
  </si>
  <si>
    <t xml:space="preserve">2280 NORTH HIGHWAY 29 </t>
  </si>
  <si>
    <t>770-683-6833</t>
  </si>
  <si>
    <t>WESLEY MOUNTAIN VILLAGE</t>
  </si>
  <si>
    <t xml:space="preserve">493 WESLEY MOUNTAIN DR </t>
  </si>
  <si>
    <t>BLAIRSVILLE</t>
  </si>
  <si>
    <t>30512-2885</t>
  </si>
  <si>
    <t>(706) 745-45565</t>
  </si>
  <si>
    <t>NEW CANAAN INN</t>
  </si>
  <si>
    <t xml:space="preserve">73 OENOKE RDG </t>
  </si>
  <si>
    <t>06840-4100</t>
  </si>
  <si>
    <t>(203) 594-5450</t>
  </si>
  <si>
    <t>HILL TOP HOMES</t>
  </si>
  <si>
    <t xml:space="preserve">212 ROWAYTON AVE </t>
  </si>
  <si>
    <t>06853-1244</t>
  </si>
  <si>
    <t>(203) 866-8447</t>
  </si>
  <si>
    <t>NOBLE HORIZONS</t>
  </si>
  <si>
    <t xml:space="preserve">17 COBBLE RD </t>
  </si>
  <si>
    <t>06068-1501</t>
  </si>
  <si>
    <t>(860) 435-9851</t>
  </si>
  <si>
    <t>ST. GEORGE VILLAGE</t>
  </si>
  <si>
    <t xml:space="preserve">11350 WOODSTOCK RD </t>
  </si>
  <si>
    <t>ROSWELL</t>
  </si>
  <si>
    <t>(770) 645-2340</t>
  </si>
  <si>
    <t>ST JOHN'S BAPTIST CHURCH</t>
  </si>
  <si>
    <t xml:space="preserve">506 BLAIR STREET </t>
  </si>
  <si>
    <t>31401-5100</t>
  </si>
  <si>
    <t>(912) 232-5176</t>
  </si>
  <si>
    <t>HOSPICE ATLANTA CTR</t>
  </si>
  <si>
    <t xml:space="preserve">1244 PARK VISTA DR </t>
  </si>
  <si>
    <t>KINGS BRIDGE RETIREMENT CENTER</t>
  </si>
  <si>
    <t xml:space="preserve">3055 BRIARCLIFF RD NE </t>
  </si>
  <si>
    <t>(404) 321-0263</t>
  </si>
  <si>
    <t>BRANAN TOWERS</t>
  </si>
  <si>
    <t xml:space="preserve">1200 GLENWOOD AVE SE </t>
  </si>
  <si>
    <t>30316-1949</t>
  </si>
  <si>
    <t>(404) 622-5471</t>
  </si>
  <si>
    <t>SHENANDOAH TERRACE</t>
  </si>
  <si>
    <t xml:space="preserve">447 WEST OLD CROSS ROAD </t>
  </si>
  <si>
    <t>NEW MARKET</t>
  </si>
  <si>
    <t>540-740-8600</t>
  </si>
  <si>
    <t xml:space="preserve">408 WALNUT ST </t>
  </si>
  <si>
    <t>MILLEN</t>
  </si>
  <si>
    <t>30442-2034</t>
  </si>
  <si>
    <t>MAPLE RIDGE MANISTEE</t>
  </si>
  <si>
    <t xml:space="preserve">1967 MAPLE RIDGE DRIVE </t>
  </si>
  <si>
    <t>MANISTEE</t>
  </si>
  <si>
    <t>989-903-5405</t>
  </si>
  <si>
    <t>ASH BRANCH MANOR</t>
  </si>
  <si>
    <t xml:space="preserve">104 ASH BRANCH RD </t>
  </si>
  <si>
    <t>PEMBROKE</t>
  </si>
  <si>
    <t>31321-4498</t>
  </si>
  <si>
    <t>AG RHODES HOME/BAUGUESS MANAGEMENT COMPANY</t>
  </si>
  <si>
    <t xml:space="preserve">3715 NORTHSIDE PKWY NW </t>
  </si>
  <si>
    <t>30327-2882</t>
  </si>
  <si>
    <t xml:space="preserve">504 N MAIN ST </t>
  </si>
  <si>
    <t>WRENS</t>
  </si>
  <si>
    <t>30833-1143</t>
  </si>
  <si>
    <t>VILLAS OF HOLLY BROOK &amp; REFLECTIONS VENICE</t>
  </si>
  <si>
    <t xml:space="preserve">1700 CENTER ROAD </t>
  </si>
  <si>
    <t>941-218-1020</t>
  </si>
  <si>
    <t>MARSH'S EDGE ON ST. SIMONS ISLAND</t>
  </si>
  <si>
    <t xml:space="preserve">136 MARSHS EDGE LN </t>
  </si>
  <si>
    <t>SAINT SIMONS ISLAND</t>
  </si>
  <si>
    <t>912 638565</t>
  </si>
  <si>
    <t>ALBERTS HOUSE INC</t>
  </si>
  <si>
    <t xml:space="preserve">2471 KINGSCLIFF DR NE </t>
  </si>
  <si>
    <t>30345-2139</t>
  </si>
  <si>
    <t>(678) 428-1061</t>
  </si>
  <si>
    <t>AGING SERVICES OF GEORGIA INC</t>
  </si>
  <si>
    <t xml:space="preserve">1440 DUTCH VALLEY PL NE STE 120 </t>
  </si>
  <si>
    <t>30324-5367</t>
  </si>
  <si>
    <t>MAPLE RIDGE MANOR</t>
  </si>
  <si>
    <t xml:space="preserve">12020 FOREMAN SE </t>
  </si>
  <si>
    <t>616-552-1588</t>
  </si>
  <si>
    <t>MCLEAN VISTING NURSES &amp; COMM CARE</t>
  </si>
  <si>
    <t>LINCOLN SENIOR HOUSING DBA HALLOCK'S LANDING</t>
  </si>
  <si>
    <t xml:space="preserve">187 MINERVA ST </t>
  </si>
  <si>
    <t>DERBY</t>
  </si>
  <si>
    <t>06418-1837</t>
  </si>
  <si>
    <t>(203) 736-4673</t>
  </si>
  <si>
    <t>SCHOOLHOUSE APARTMENTS</t>
  </si>
  <si>
    <t xml:space="preserve">156 SOUTH AVE </t>
  </si>
  <si>
    <t>06840-5748</t>
  </si>
  <si>
    <t>(203) 248-6809</t>
  </si>
  <si>
    <t>SAINT LUKE'S APARTMENTS FOR SENIORS</t>
  </si>
  <si>
    <t xml:space="preserve">144 BROAD ST </t>
  </si>
  <si>
    <t>06457-3332</t>
  </si>
  <si>
    <t>(860) 347-1168</t>
  </si>
  <si>
    <t>MERCY COMMUNITY HEALTH INC</t>
  </si>
  <si>
    <t>JEROME HOME</t>
  </si>
  <si>
    <t>AVERY HEIGHTS RETIREMENT VILLAGE</t>
  </si>
  <si>
    <t xml:space="preserve">217 AVERY HTS APT 3 </t>
  </si>
  <si>
    <t>06106-4271</t>
  </si>
  <si>
    <t>(860) 527-9126</t>
  </si>
  <si>
    <t>LUTHERAN HOME OF SOUTHBURY</t>
  </si>
  <si>
    <t xml:space="preserve">990 MAIN ST N </t>
  </si>
  <si>
    <t>SOUTHBURY</t>
  </si>
  <si>
    <t>06488-1267</t>
  </si>
  <si>
    <t>(203) 264-9135</t>
  </si>
  <si>
    <t>BRANAN LODGE</t>
  </si>
  <si>
    <t>(706) 745-5565</t>
  </si>
  <si>
    <t>ROSE COMMONS</t>
  </si>
  <si>
    <t xml:space="preserve">540 HARTFORD TPKE </t>
  </si>
  <si>
    <t>06066-5034</t>
  </si>
  <si>
    <t>(860) 870-9636</t>
  </si>
  <si>
    <t>CHELSEA AT FLORHAM PARK</t>
  </si>
  <si>
    <t xml:space="preserve">8 JAMES ST </t>
  </si>
  <si>
    <t>FLORHAM PARK</t>
  </si>
  <si>
    <t>07932-1432</t>
  </si>
  <si>
    <t>(973) 443-0444</t>
  </si>
  <si>
    <t>COLLINGSWOOD MANOR</t>
  </si>
  <si>
    <t xml:space="preserve">460 HADDON AVE </t>
  </si>
  <si>
    <t>COLLINGSWOOD</t>
  </si>
  <si>
    <t>(856) 854-4331</t>
  </si>
  <si>
    <t>OGDEN HOUSE</t>
  </si>
  <si>
    <t xml:space="preserve">100 RIVER RD </t>
  </si>
  <si>
    <t>06897-4028</t>
  </si>
  <si>
    <t>(203) 762-8035</t>
  </si>
  <si>
    <t>NEW SAMARITAN CORPORATION / ELDERLY HOUSING</t>
  </si>
  <si>
    <t xml:space="preserve">2666 STATE ST STE 2 </t>
  </si>
  <si>
    <t>HAMDEN</t>
  </si>
  <si>
    <t>06517-2232</t>
  </si>
  <si>
    <t>MASONICARE AT MYSTIC</t>
  </si>
  <si>
    <t xml:space="preserve">45 CLARA DR </t>
  </si>
  <si>
    <t>NEW HORIZONS VILLAGE</t>
  </si>
  <si>
    <t xml:space="preserve">37 BLISS MEMORIAL RD </t>
  </si>
  <si>
    <t>UNIONVILLE</t>
  </si>
  <si>
    <t>585-427-7760</t>
  </si>
  <si>
    <t>SENIOR CONNECTIONS</t>
  </si>
  <si>
    <t xml:space="preserve">5238 PEACHTREE RD </t>
  </si>
  <si>
    <t>CHAMBLEE</t>
  </si>
  <si>
    <t>FORTRESS OF LOVING ADULT DAY CARE CENTER AND</t>
  </si>
  <si>
    <t xml:space="preserve">1902 OLD JACKSON RD </t>
  </si>
  <si>
    <t>LOCUST GROVE</t>
  </si>
  <si>
    <t>30248-2607</t>
  </si>
  <si>
    <t>CATHOLIC CONTINUING CARE RETIREMENT COMMUNITY</t>
  </si>
  <si>
    <t>770-645-2340</t>
  </si>
  <si>
    <t>CAMPBELL - STONE BUCKHEAD</t>
  </si>
  <si>
    <t xml:space="preserve">2911 PHARR COURT SOUTH NW </t>
  </si>
  <si>
    <t>30305-2172</t>
  </si>
  <si>
    <t>(404) 261-4132</t>
  </si>
  <si>
    <t>BRIARCLIFF OAKS</t>
  </si>
  <si>
    <t xml:space="preserve">2982 BRIARCLIFF RD NE </t>
  </si>
  <si>
    <t>30329-2585</t>
  </si>
  <si>
    <t>(404) 634-3263</t>
  </si>
  <si>
    <t>PARK AVENUE HEALTH CENTER</t>
  </si>
  <si>
    <t xml:space="preserve">146 PARK AVENUE </t>
  </si>
  <si>
    <t>781-648-9530</t>
  </si>
  <si>
    <t>STONINGTON ARMS</t>
  </si>
  <si>
    <t xml:space="preserve">133 S BROAD ST APT 6A </t>
  </si>
  <si>
    <t>PAWCATUCK</t>
  </si>
  <si>
    <t>06379-7911</t>
  </si>
  <si>
    <t>(860) 599-3859</t>
  </si>
  <si>
    <t>SMYRNA TOWERS INC.</t>
  </si>
  <si>
    <t xml:space="preserve">4000 S COBB DR SE </t>
  </si>
  <si>
    <t>SMYRNA</t>
  </si>
  <si>
    <t>30080-6325</t>
  </si>
  <si>
    <t>(770) 435-4010</t>
  </si>
  <si>
    <t>MCKINLEY ALLIANCE GROUP LLC DBA SARAHCARE OF</t>
  </si>
  <si>
    <t xml:space="preserve">1567 JANMAR RD STE 200 </t>
  </si>
  <si>
    <t>SNELLVILLE</t>
  </si>
  <si>
    <t>30078-0309</t>
  </si>
  <si>
    <t>(770) 685-6971</t>
  </si>
  <si>
    <t>LUTHERAN TOWERS</t>
  </si>
  <si>
    <t xml:space="preserve">727 JUNIPER ST NE </t>
  </si>
  <si>
    <t>30308-1343</t>
  </si>
  <si>
    <t>(404) 873-6087</t>
  </si>
  <si>
    <t>LOTUS ADULT DAY CTR</t>
  </si>
  <si>
    <t xml:space="preserve">4595 TOWNE LAKE PKWY STE 100 BLDG 400 </t>
  </si>
  <si>
    <t>30189-5514</t>
  </si>
  <si>
    <t>GUEST HOUSE (THE)</t>
  </si>
  <si>
    <t xml:space="preserve">320 TOWER HEIGHTS RD </t>
  </si>
  <si>
    <t>30501-8525</t>
  </si>
  <si>
    <t>770-535-1487</t>
  </si>
  <si>
    <t>GOOD SHEPHERD PLACE</t>
  </si>
  <si>
    <t xml:space="preserve">198 N CORNERS PKWY </t>
  </si>
  <si>
    <t>CUMMING</t>
  </si>
  <si>
    <t>30040-2079</t>
  </si>
  <si>
    <t>(770) 889-6449</t>
  </si>
  <si>
    <t>EMMA CARES INC.</t>
  </si>
  <si>
    <t xml:space="preserve">2268 CLANTON TER </t>
  </si>
  <si>
    <t>30034-1016</t>
  </si>
  <si>
    <t>(770) 885-2537</t>
  </si>
  <si>
    <t>ALICE WILLIAMS TOWERS</t>
  </si>
  <si>
    <t xml:space="preserve">5470 HILLANDALE DRIVE </t>
  </si>
  <si>
    <t>LITHONIA</t>
  </si>
  <si>
    <t>30058-4983</t>
  </si>
  <si>
    <t>(678) 418-0312</t>
  </si>
  <si>
    <t>GREEN GARDEN ESTATES LLC</t>
  </si>
  <si>
    <t xml:space="preserve">601 NORTH WEST STREET </t>
  </si>
  <si>
    <t>SULLIVAN</t>
  </si>
  <si>
    <t>217-728-9018</t>
  </si>
  <si>
    <t>VILLAS OF HOLLY BROOK &amp; REFLECTIONS SARASOTA</t>
  </si>
  <si>
    <t xml:space="preserve">7610 PROSPECT ROAD </t>
  </si>
  <si>
    <t>941-957-9097</t>
  </si>
  <si>
    <t xml:space="preserve">650 EAST 3300 SOUTH </t>
  </si>
  <si>
    <t>SOUTH SALT LAKE</t>
  </si>
  <si>
    <t>385-580-2090</t>
  </si>
  <si>
    <t>BOVINE</t>
  </si>
  <si>
    <t xml:space="preserve">319 PARK AVENUE </t>
  </si>
  <si>
    <t>407-619-2546</t>
  </si>
  <si>
    <t>POTATO SHACK CAFE</t>
  </si>
  <si>
    <t xml:space="preserve">120 WEST I STREET </t>
  </si>
  <si>
    <t>760-214-3984</t>
  </si>
  <si>
    <t>BLUE ON THE AVENUE</t>
  </si>
  <si>
    <t xml:space="preserve">326 SOURTH PARK AVENUE </t>
  </si>
  <si>
    <t>THE SEASONS AT ALEXANDRIA</t>
  </si>
  <si>
    <t xml:space="preserve">7341 E ALEXANDRIA PIKE </t>
  </si>
  <si>
    <t>859-694-4450</t>
  </si>
  <si>
    <t>INDIANAPOLIS JEWISH HOME INC DBA HOOVERWOOD</t>
  </si>
  <si>
    <t xml:space="preserve">7001 HOOVER RD </t>
  </si>
  <si>
    <t>46260-4169</t>
  </si>
  <si>
    <t>(317) 251-2261</t>
  </si>
  <si>
    <t>LOCKEFIELD VILLAGE</t>
  </si>
  <si>
    <t xml:space="preserve">980 INDIANA AVE </t>
  </si>
  <si>
    <t>46202-2915</t>
  </si>
  <si>
    <t>(317) 269-0448</t>
  </si>
  <si>
    <t>THE VILLAGE AT ERLANGER</t>
  </si>
  <si>
    <t xml:space="preserve">2990 RIGGS AVE </t>
  </si>
  <si>
    <t>859 727933</t>
  </si>
  <si>
    <t>CEDAR LAKE PARK PLACE</t>
  </si>
  <si>
    <t xml:space="preserve">325 PARK RD </t>
  </si>
  <si>
    <t>40050-3096</t>
  </si>
  <si>
    <t>(502) 845-8996</t>
  </si>
  <si>
    <t>WYOMING RETIREMENT CENTER</t>
  </si>
  <si>
    <t xml:space="preserve">890 US HIGHWAY 20 </t>
  </si>
  <si>
    <t>BASIN</t>
  </si>
  <si>
    <t>307 568243</t>
  </si>
  <si>
    <t>ST JOSEPH'S HILL INFIRMARY</t>
  </si>
  <si>
    <t xml:space="preserve">265 ST JOSEPH RD </t>
  </si>
  <si>
    <t>(636) 938-5090</t>
  </si>
  <si>
    <t>WYOMING LIFE RESOURCE CENTER</t>
  </si>
  <si>
    <t xml:space="preserve">8204 HWY 789 </t>
  </si>
  <si>
    <t>LANDER</t>
  </si>
  <si>
    <t>307 335670</t>
  </si>
  <si>
    <t>KNOX COUNTY NURSING HOME</t>
  </si>
  <si>
    <t xml:space="preserve">55774 STATE HIGHWAY 6 </t>
  </si>
  <si>
    <t>63537-4253</t>
  </si>
  <si>
    <t>(660) 397-2282</t>
  </si>
  <si>
    <t>PROVIDENCE HOME (THE)</t>
  </si>
  <si>
    <t xml:space="preserve">520 W 9TH ST </t>
  </si>
  <si>
    <t>47546-2711</t>
  </si>
  <si>
    <t>(812) 482-6603</t>
  </si>
  <si>
    <t>FREELANDVILLE COMM. HME AAHA</t>
  </si>
  <si>
    <t xml:space="preserve">310 CARLISLE ST </t>
  </si>
  <si>
    <t>FREELANDVILLE</t>
  </si>
  <si>
    <t>(812) 328-2134</t>
  </si>
  <si>
    <t>ST AGNES HOME</t>
  </si>
  <si>
    <t xml:space="preserve">10341 MANCHESTER RD </t>
  </si>
  <si>
    <t>63122-1520</t>
  </si>
  <si>
    <t>(314) 965-7616</t>
  </si>
  <si>
    <t>BERTHA D GARTEN KETCHAM MEMORIAL CENTER</t>
  </si>
  <si>
    <t xml:space="preserve">601 E RACE ST </t>
  </si>
  <si>
    <t>ODON</t>
  </si>
  <si>
    <t>(812) 636-4920</t>
  </si>
  <si>
    <t>ST ANDREWS AT FRANCIS PLACE</t>
  </si>
  <si>
    <t xml:space="preserve">300 FORBY ROAD </t>
  </si>
  <si>
    <t>636 938515</t>
  </si>
  <si>
    <t>WAYNOKA NURSING CENTER</t>
  </si>
  <si>
    <t xml:space="preserve">2601 BROADWAY ST </t>
  </si>
  <si>
    <t>WAYNOKA</t>
  </si>
  <si>
    <t>73860-6812</t>
  </si>
  <si>
    <t>(580) 824-5661</t>
  </si>
  <si>
    <t>MCMAHON TOMLINSON</t>
  </si>
  <si>
    <t xml:space="preserve">3126 ARLINGTON </t>
  </si>
  <si>
    <t>(580) 357-3240</t>
  </si>
  <si>
    <t>LA PLATA NURSING HOME</t>
  </si>
  <si>
    <t xml:space="preserve">100 OLD STAGECOACH RD </t>
  </si>
  <si>
    <t>63549-1362</t>
  </si>
  <si>
    <t>(660) 332-4315</t>
  </si>
  <si>
    <t>KINGS DAUGHTERS HOME</t>
  </si>
  <si>
    <t xml:space="preserve">620 W BLVD </t>
  </si>
  <si>
    <t>MEXICO</t>
  </si>
  <si>
    <t>BETHESDA - DILWORTH DIETARY</t>
  </si>
  <si>
    <t>(314) 968-5460</t>
  </si>
  <si>
    <t>BJ EXTENDED CARE</t>
  </si>
  <si>
    <t xml:space="preserve">401 CORPORATE PARK DR </t>
  </si>
  <si>
    <t>63105-4201</t>
  </si>
  <si>
    <t>(314) 725-7447</t>
  </si>
  <si>
    <t>BETHESDA DILWORTH</t>
  </si>
  <si>
    <t>LEEDEY NURSING CENTER</t>
  </si>
  <si>
    <t xml:space="preserve">901 S DEWEY RD </t>
  </si>
  <si>
    <t>LEEDEY</t>
  </si>
  <si>
    <t>73654-6816</t>
  </si>
  <si>
    <t>(580) 488-2006</t>
  </si>
  <si>
    <t>COMMUNITY HEALTH CENTER</t>
  </si>
  <si>
    <t xml:space="preserve">1153 CHEROKEE ST. </t>
  </si>
  <si>
    <t>WAKITA</t>
  </si>
  <si>
    <t>73771-5095</t>
  </si>
  <si>
    <t>(580) 594-2292</t>
  </si>
  <si>
    <t>SHARE MEDICAL CONVALESCENT CENTER</t>
  </si>
  <si>
    <t xml:space="preserve">730 SHARE DR </t>
  </si>
  <si>
    <t>73717-3616</t>
  </si>
  <si>
    <t>(580) 430-3383</t>
  </si>
  <si>
    <t>SEILING NURSING CENTER</t>
  </si>
  <si>
    <t xml:space="preserve">911 N ELM ST </t>
  </si>
  <si>
    <t>SEILING</t>
  </si>
  <si>
    <t>73663-6345</t>
  </si>
  <si>
    <t>(580) 922-4433</t>
  </si>
  <si>
    <t>MARY QUEEN &amp; MOTHER CENTER</t>
  </si>
  <si>
    <t>63119-5001</t>
  </si>
  <si>
    <t>(314) 918-2260</t>
  </si>
  <si>
    <t>BETHESDA MEADOW</t>
  </si>
  <si>
    <t xml:space="preserve">322 OLD STATE RD </t>
  </si>
  <si>
    <t>63021-5917</t>
  </si>
  <si>
    <t>(636) 227-3431</t>
  </si>
  <si>
    <t>HERITAGE COMMUNITY</t>
  </si>
  <si>
    <t xml:space="preserve">1401 N LELIA ST </t>
  </si>
  <si>
    <t>GUYMON</t>
  </si>
  <si>
    <t>73942-3371</t>
  </si>
  <si>
    <t>(580) 338-3186</t>
  </si>
  <si>
    <t>MEMORIAL HEIGHTS NURSING CENTER</t>
  </si>
  <si>
    <t>(580) 286-1068</t>
  </si>
  <si>
    <t>CENTER OF FAMILY LOVE - OK</t>
  </si>
  <si>
    <t xml:space="preserve">S 6TH AT W TEXAS </t>
  </si>
  <si>
    <t>OKARCHE</t>
  </si>
  <si>
    <t>(405) 263-4658</t>
  </si>
  <si>
    <t>CORDELL CHRISTIAN HOME</t>
  </si>
  <si>
    <t xml:space="preserve">1400 N COLLEGE ST </t>
  </si>
  <si>
    <t>73632-1822</t>
  </si>
  <si>
    <t>(580) 832-3371</t>
  </si>
  <si>
    <t>BAPTIST VILLAGE OF HUGO</t>
  </si>
  <si>
    <t xml:space="preserve">1200 W FINLEY PO DRAWER 608 </t>
  </si>
  <si>
    <t>HUGO</t>
  </si>
  <si>
    <t>74743-0608</t>
  </si>
  <si>
    <t>(580) 326-8383</t>
  </si>
  <si>
    <t>ST. MARY'S D'YOUVILLE PAVILLION</t>
  </si>
  <si>
    <t xml:space="preserve">102 CAMPUS AVE </t>
  </si>
  <si>
    <t>04240-6019</t>
  </si>
  <si>
    <t>(207) 777-4250</t>
  </si>
  <si>
    <t>BEDFORD COUNTY NURSING HOME</t>
  </si>
  <si>
    <t xml:space="preserve">835 UNION ST </t>
  </si>
  <si>
    <t>37160-2607</t>
  </si>
  <si>
    <t>(540) 586-7658</t>
  </si>
  <si>
    <t>COLONIAL MANOR II</t>
  </si>
  <si>
    <t xml:space="preserve">120 W VERSA ST </t>
  </si>
  <si>
    <t>73550-3046</t>
  </si>
  <si>
    <t>(580) 688-9431</t>
  </si>
  <si>
    <t>ARCHIE HENDRICKS SR SKILLED NURSING FACILITY</t>
  </si>
  <si>
    <t xml:space="preserve">FEDERAL ROUTE 15 MILEPOST 9 - HC 01 BOX 9100 </t>
  </si>
  <si>
    <t>SELLS</t>
  </si>
  <si>
    <t>520 585550</t>
  </si>
  <si>
    <t>MARYWOOD NURSING CARE CENTER</t>
  </si>
  <si>
    <t xml:space="preserve">36975 W FIVE MILE RD </t>
  </si>
  <si>
    <t>(734) 464-0600</t>
  </si>
  <si>
    <t>MERCY MANOR</t>
  </si>
  <si>
    <t xml:space="preserve">1100 E MICHIGAN AVE </t>
  </si>
  <si>
    <t>GRAYLING</t>
  </si>
  <si>
    <t>49738-1312</t>
  </si>
  <si>
    <t>(989) 348-0337</t>
  </si>
  <si>
    <t>TRINITY CARE CENTER</t>
  </si>
  <si>
    <t xml:space="preserve">400 E SAYLES ST </t>
  </si>
  <si>
    <t>77833-2358</t>
  </si>
  <si>
    <t>(979) 836-9770</t>
  </si>
  <si>
    <t>GARDEN VILLAGE</t>
  </si>
  <si>
    <t xml:space="preserve">206 S 10TH AVE </t>
  </si>
  <si>
    <t>509 453485</t>
  </si>
  <si>
    <t>ROLLING HILLS MANOR NURSING HOME</t>
  </si>
  <si>
    <t xml:space="preserve">3615 16TH ST </t>
  </si>
  <si>
    <t>ZION</t>
  </si>
  <si>
    <t>60099-1423</t>
  </si>
  <si>
    <t>(847) 746-8382</t>
  </si>
  <si>
    <t>WARWICK LIVING CENTER</t>
  </si>
  <si>
    <t xml:space="preserve">842 W WARWICK DR </t>
  </si>
  <si>
    <t>ALMA</t>
  </si>
  <si>
    <t>48801-1178</t>
  </si>
  <si>
    <t>BALLOU HOME FOR THE AGED (THE)</t>
  </si>
  <si>
    <t xml:space="preserve">60 MENDON RD </t>
  </si>
  <si>
    <t>WOONSOCKET</t>
  </si>
  <si>
    <t>02895-1512</t>
  </si>
  <si>
    <t>(401) 769-0437</t>
  </si>
  <si>
    <t>CRISTA NURSING CENTER</t>
  </si>
  <si>
    <t xml:space="preserve">19301 KINGS GARDEN DR N </t>
  </si>
  <si>
    <t>206 546740</t>
  </si>
  <si>
    <t>BETHANY AT PACIFIC</t>
  </si>
  <si>
    <t>CRISTA MINISTRIES - SENIOR COMMUNITY</t>
  </si>
  <si>
    <t>FORKS COMMUNITY HOSPITAL LTC</t>
  </si>
  <si>
    <t xml:space="preserve">530 BOGACHIEL WAY </t>
  </si>
  <si>
    <t>FORKS</t>
  </si>
  <si>
    <t>360 374627</t>
  </si>
  <si>
    <t>HILLSIDE RESIDENCE</t>
  </si>
  <si>
    <t xml:space="preserve">800 NW 25TH AVE </t>
  </si>
  <si>
    <t>503.224.05</t>
  </si>
  <si>
    <t>TRI COUNTY NURSING HOME</t>
  </si>
  <si>
    <t xml:space="preserve">7280 SW STATE ROAD 26 </t>
  </si>
  <si>
    <t>32693-5881</t>
  </si>
  <si>
    <t>(352) 463-1222</t>
  </si>
  <si>
    <t>SAUNDERS HOUSE</t>
  </si>
  <si>
    <t xml:space="preserve">100 E LANCASTER AVE </t>
  </si>
  <si>
    <t>WYNNEWOOD</t>
  </si>
  <si>
    <t>19096-3450</t>
  </si>
  <si>
    <t>(610) 658-5100</t>
  </si>
  <si>
    <t>SHOOK HOME</t>
  </si>
  <si>
    <t xml:space="preserve">55 S 2ND ST </t>
  </si>
  <si>
    <t>(717) 264-6815</t>
  </si>
  <si>
    <t>PIATT COUNTY NURSING HOME</t>
  </si>
  <si>
    <t xml:space="preserve">1111 N STATE ST </t>
  </si>
  <si>
    <t>61856-1151</t>
  </si>
  <si>
    <t>(217) 762-2506</t>
  </si>
  <si>
    <t>BETHANY AT SILVER LAKE</t>
  </si>
  <si>
    <t xml:space="preserve">2235 LAKE HEIGHTS DR </t>
  </si>
  <si>
    <t>425 338300</t>
  </si>
  <si>
    <t>MARGARET E. MOUL HOME</t>
  </si>
  <si>
    <t xml:space="preserve">2050 BARLEY RD </t>
  </si>
  <si>
    <t>17408-1557</t>
  </si>
  <si>
    <t>(717) 767-6463</t>
  </si>
  <si>
    <t>SAINT CLARE HOME FOR THE AGED</t>
  </si>
  <si>
    <t xml:space="preserve">309 SPRING ST </t>
  </si>
  <si>
    <t>02840-6816</t>
  </si>
  <si>
    <t>(401) 849-3204</t>
  </si>
  <si>
    <t xml:space="preserve">JOHN CLARKE RETIREMENT CENTER </t>
  </si>
  <si>
    <t xml:space="preserve">600 VALLEY ROAD </t>
  </si>
  <si>
    <t>401 846074</t>
  </si>
  <si>
    <t>JEWISH HOME OF EASTERN PA - SCRANTON - PA</t>
  </si>
  <si>
    <t xml:space="preserve">1101 VINE ST </t>
  </si>
  <si>
    <t>18510-2126</t>
  </si>
  <si>
    <t>(570) 344-6177</t>
  </si>
  <si>
    <t>LINN HEALTH CARE CENTER</t>
  </si>
  <si>
    <t xml:space="preserve">30 ALEXANDER AVE </t>
  </si>
  <si>
    <t>02914-2309</t>
  </si>
  <si>
    <t>(401) 438-7210</t>
  </si>
  <si>
    <t xml:space="preserve">2001 SCENIC DR </t>
  </si>
  <si>
    <t>78626-7725</t>
  </si>
  <si>
    <t>(512) 863-9511</t>
  </si>
  <si>
    <t>TWIN OAKS MANOR</t>
  </si>
  <si>
    <t xml:space="preserve">112 PIONEER DR </t>
  </si>
  <si>
    <t>BOOKER</t>
  </si>
  <si>
    <t>79005-6008</t>
  </si>
  <si>
    <t>(806) 658-9786</t>
  </si>
  <si>
    <t>LIFEQUEST</t>
  </si>
  <si>
    <t>(267) 371-1601</t>
  </si>
  <si>
    <t>MOUNT ST- RITA HEALTH CENTRE</t>
  </si>
  <si>
    <t xml:space="preserve">15 SUMNER BROWN RD </t>
  </si>
  <si>
    <t>CUMBERLAND</t>
  </si>
  <si>
    <t>02864-1214</t>
  </si>
  <si>
    <t>(401) 333-6352</t>
  </si>
  <si>
    <t>MT- MACRINA MANOR</t>
  </si>
  <si>
    <t xml:space="preserve">520 W MAIN ST </t>
  </si>
  <si>
    <t>15401-2602</t>
  </si>
  <si>
    <t>(724) 437-1400</t>
  </si>
  <si>
    <t>ZENDT HOME (THE)</t>
  </si>
  <si>
    <t xml:space="preserve">MAIN STREET </t>
  </si>
  <si>
    <t>(717) 694-3434</t>
  </si>
  <si>
    <t>THE WILLIAMSPORT HOME</t>
  </si>
  <si>
    <t xml:space="preserve">1900 RAVINE RD </t>
  </si>
  <si>
    <t>17701-1799</t>
  </si>
  <si>
    <t>(570) 323-8781</t>
  </si>
  <si>
    <t>ST LUKES VILLA</t>
  </si>
  <si>
    <t xml:space="preserve">80 E NORTHHAMPTON ST </t>
  </si>
  <si>
    <t>(570) 826-1031</t>
  </si>
  <si>
    <t>EDWARD ABRAHAM MEMORIAL HOME</t>
  </si>
  <si>
    <t xml:space="preserve">803 BIRCH ST </t>
  </si>
  <si>
    <t>CANADIAN</t>
  </si>
  <si>
    <t>79014-3322</t>
  </si>
  <si>
    <t>(806) 323-6453</t>
  </si>
  <si>
    <t xml:space="preserve">80 E NORTHAMPTON ST </t>
  </si>
  <si>
    <t>18701-3035</t>
  </si>
  <si>
    <t>(712) 737-4002</t>
  </si>
  <si>
    <t>MISERICORDIA CONVALESCENT HOME</t>
  </si>
  <si>
    <t xml:space="preserve">998 S RUSSELL ST </t>
  </si>
  <si>
    <t>17402-3542</t>
  </si>
  <si>
    <t>(717) 755-1964</t>
  </si>
  <si>
    <t>BROOKS ESTATE</t>
  </si>
  <si>
    <t xml:space="preserve">410 POLLOCK DR </t>
  </si>
  <si>
    <t>LUTHER ACRES MANOR</t>
  </si>
  <si>
    <t xml:space="preserve">400 SAINT LUKE DR </t>
  </si>
  <si>
    <t>17543-2208</t>
  </si>
  <si>
    <t>LITTLE FLOWER MANOR</t>
  </si>
  <si>
    <t xml:space="preserve">1201 SPRINGFIELD RD </t>
  </si>
  <si>
    <t>DARBY</t>
  </si>
  <si>
    <t>19023-1115</t>
  </si>
  <si>
    <t>(610) 534-6000</t>
  </si>
  <si>
    <t>MEADOWS MANOR</t>
  </si>
  <si>
    <t xml:space="preserve">200 LAKE ST </t>
  </si>
  <si>
    <t>18612-1078</t>
  </si>
  <si>
    <t>(570) 675-7336</t>
  </si>
  <si>
    <t>SAINT MATTHEW CENTER FOR HEALTH</t>
  </si>
  <si>
    <t xml:space="preserve">1601 N WESTERN AVE </t>
  </si>
  <si>
    <t>PARK RIDGE</t>
  </si>
  <si>
    <t>60068-1233</t>
  </si>
  <si>
    <t>(847) 825-5531</t>
  </si>
  <si>
    <t>TWILIGHT HOME</t>
  </si>
  <si>
    <t xml:space="preserve">3001 W 4TH AVE </t>
  </si>
  <si>
    <t>CORSICANA</t>
  </si>
  <si>
    <t>75110-3913</t>
  </si>
  <si>
    <t>(903) 872-2521</t>
  </si>
  <si>
    <t>CROCKETT COUNTY CARE CENTER</t>
  </si>
  <si>
    <t xml:space="preserve">102 AVE H </t>
  </si>
  <si>
    <t>OZONA</t>
  </si>
  <si>
    <t>76943-0640</t>
  </si>
  <si>
    <t>(325) 392-3096</t>
  </si>
  <si>
    <t>WOODSIDE LUTHERAN HOME</t>
  </si>
  <si>
    <t>CABOT SKILLED</t>
  </si>
  <si>
    <t xml:space="preserve">615 N PIKE RD </t>
  </si>
  <si>
    <t>16023-2215</t>
  </si>
  <si>
    <t>724 352 1571</t>
  </si>
  <si>
    <t>BALDWIN CARE CENTER</t>
  </si>
  <si>
    <t xml:space="preserve">650 BIRCH ST </t>
  </si>
  <si>
    <t>54002-9348</t>
  </si>
  <si>
    <t>CONCORDIA AT VILLA ST JOSEPH</t>
  </si>
  <si>
    <t xml:space="preserve">1030 W STATE ST </t>
  </si>
  <si>
    <t>15005-1338</t>
  </si>
  <si>
    <t>(724) 869-6300</t>
  </si>
  <si>
    <t>MUNCY VALLEY HOSPITAL SKILLED NURSING UNIT</t>
  </si>
  <si>
    <t xml:space="preserve">215 E WATER ST </t>
  </si>
  <si>
    <t>MUNCY</t>
  </si>
  <si>
    <t>17756-8828</t>
  </si>
  <si>
    <t>(570) 546-4221</t>
  </si>
  <si>
    <t>EDGERTON CARE CENTER</t>
  </si>
  <si>
    <t xml:space="preserve">313 STOUGHTON RD </t>
  </si>
  <si>
    <t>EDGERTON</t>
  </si>
  <si>
    <t>53534-1132</t>
  </si>
  <si>
    <t>(608) 884-1330</t>
  </si>
  <si>
    <t>CHARLES MORRIS CENTER</t>
  </si>
  <si>
    <t xml:space="preserve">200 JHF DR </t>
  </si>
  <si>
    <t>15217-2950</t>
  </si>
  <si>
    <t>(412) 420-4000</t>
  </si>
  <si>
    <t>MAPLEWOOD CENTER</t>
  </si>
  <si>
    <t>WEST ALLIS</t>
  </si>
  <si>
    <t>THE NEIGHBORS OF DUNN COUNTY</t>
  </si>
  <si>
    <t xml:space="preserve">2901 FORBES AVE </t>
  </si>
  <si>
    <t>54751-1519</t>
  </si>
  <si>
    <t>PALMER CENTER</t>
  </si>
  <si>
    <t>THE FIELDS OF WASHINGTON COUNTY - CBRF</t>
  </si>
  <si>
    <t xml:space="preserve">531 E WASHINGTON ST </t>
  </si>
  <si>
    <t>53095-2531</t>
  </si>
  <si>
    <t>(262) 335-4500</t>
  </si>
  <si>
    <t>MEADOWS NURSING CENTER</t>
  </si>
  <si>
    <t xml:space="preserve">4 E CENTER HILL RD </t>
  </si>
  <si>
    <t>18612-1072</t>
  </si>
  <si>
    <t>DAVID M. DORSETT REGIONAL SENIOR CARE</t>
  </si>
  <si>
    <t xml:space="preserve">1020 N 10TH ST </t>
  </si>
  <si>
    <t>SPEARFISH</t>
  </si>
  <si>
    <t>605 642271</t>
  </si>
  <si>
    <t>PIGEON FALLS HEALTH CARE CENTER</t>
  </si>
  <si>
    <t xml:space="preserve">13197 CHURCH ST </t>
  </si>
  <si>
    <t>PIGEON FALLS</t>
  </si>
  <si>
    <t>54760-0310</t>
  </si>
  <si>
    <t>(715) 983-2293</t>
  </si>
  <si>
    <t>CASTLE MANOR</t>
  </si>
  <si>
    <t xml:space="preserve">209 N 16TH ST </t>
  </si>
  <si>
    <t>605 745346</t>
  </si>
  <si>
    <t>ALFREDO GONZALES TX STATE VETERANS HOME</t>
  </si>
  <si>
    <t xml:space="preserve">301 E YUMA AVE </t>
  </si>
  <si>
    <t>MCALLEN</t>
  </si>
  <si>
    <t>78503-1388</t>
  </si>
  <si>
    <t>(956) 682-4224</t>
  </si>
  <si>
    <t>CRANDALL MEDICAL CENTER</t>
  </si>
  <si>
    <t xml:space="preserve">800 S 15TH ST </t>
  </si>
  <si>
    <t>44672-2050</t>
  </si>
  <si>
    <t>(330) 938-6126</t>
  </si>
  <si>
    <t>WILLOWS OF PRESBYTERIAN SENIORCARE (THE)</t>
  </si>
  <si>
    <t>ANTHONY COMMUNITY CARE CENTER</t>
  </si>
  <si>
    <t xml:space="preserve">212 N 5TH AVE </t>
  </si>
  <si>
    <t>ANTHONY</t>
  </si>
  <si>
    <t>67003-2106</t>
  </si>
  <si>
    <t>(620) 842-5187</t>
  </si>
  <si>
    <t>THE WESLEY COMMUNITY</t>
  </si>
  <si>
    <t xml:space="preserve">131 LAWRENCE ST </t>
  </si>
  <si>
    <t>SARATOGA SPRINGS</t>
  </si>
  <si>
    <t>12866-1346</t>
  </si>
  <si>
    <t>(518) 587-3600</t>
  </si>
  <si>
    <t>SAMARITAN HEALTH CENTER</t>
  </si>
  <si>
    <t>262 335450</t>
  </si>
  <si>
    <t>SAMARITAN CAMPUS OF WASHINGTON COUNTY</t>
  </si>
  <si>
    <t>CYPRESS COVE CARE CENTER</t>
  </si>
  <si>
    <t>ROBERT LEE CARE CENTER</t>
  </si>
  <si>
    <t xml:space="preserve">307 W 8TH ST PO BOX 1209 </t>
  </si>
  <si>
    <t>ROBERT LEE</t>
  </si>
  <si>
    <t>76945-1209</t>
  </si>
  <si>
    <t>(325) 453-2511</t>
  </si>
  <si>
    <t>HERITAGE PLACE</t>
  </si>
  <si>
    <t xml:space="preserve">182 SUNSET AVE NW </t>
  </si>
  <si>
    <t>55321-9620</t>
  </si>
  <si>
    <t>412-422-5100</t>
  </si>
  <si>
    <t>AVE MARIA CONVALESCENT HOSPITAL</t>
  </si>
  <si>
    <t xml:space="preserve">1249 JOSSELYN CANYON RD </t>
  </si>
  <si>
    <t>MONTEREY</t>
  </si>
  <si>
    <t>93940-5265</t>
  </si>
  <si>
    <t>(831) 373-1216</t>
  </si>
  <si>
    <t>CJE - LIEBERMAN CENTER</t>
  </si>
  <si>
    <t xml:space="preserve">9700 GROSS POINT RD </t>
  </si>
  <si>
    <t>60076-1175</t>
  </si>
  <si>
    <t>(847) 674-7210</t>
  </si>
  <si>
    <t>MEMORIAL NURSING AND REHABILITATION CENTER</t>
  </si>
  <si>
    <t xml:space="preserve">224 E 2ND ST </t>
  </si>
  <si>
    <t>DUMAS</t>
  </si>
  <si>
    <t>79029-3808</t>
  </si>
  <si>
    <t>(806) 935-6500</t>
  </si>
  <si>
    <t>NAZARETHVILLE</t>
  </si>
  <si>
    <t xml:space="preserve">300 N RIVER RD </t>
  </si>
  <si>
    <t>60016-1211</t>
  </si>
  <si>
    <t>(847) 297-5900</t>
  </si>
  <si>
    <t>ILLINOIS KNIGHTS TEMPLAR HOME</t>
  </si>
  <si>
    <t xml:space="preserve">450 E FULTON ST PO BOX 49 </t>
  </si>
  <si>
    <t>PAXTON</t>
  </si>
  <si>
    <t>60957-0049</t>
  </si>
  <si>
    <t>(217) 379-2116</t>
  </si>
  <si>
    <t>HOLY FAMILY VILLA</t>
  </si>
  <si>
    <t xml:space="preserve">12220 WILL COOK RD </t>
  </si>
  <si>
    <t>PALOS PARK</t>
  </si>
  <si>
    <t>60464-7332</t>
  </si>
  <si>
    <t>(630) 257-2291</t>
  </si>
  <si>
    <t>SAINT PATRICKS RESIDENCE</t>
  </si>
  <si>
    <t xml:space="preserve">1400 BROOKDALE RD </t>
  </si>
  <si>
    <t>60563-2125</t>
  </si>
  <si>
    <t>(630) 416-6565</t>
  </si>
  <si>
    <t>SISTERS OF CHARITY OF LEAVENWORTH</t>
  </si>
  <si>
    <t xml:space="preserve">4200 S. 4TH STREET </t>
  </si>
  <si>
    <t>MINNEOLA DISTRICT HOSPITAL LTCU</t>
  </si>
  <si>
    <t xml:space="preserve">212 S MAIN ST </t>
  </si>
  <si>
    <t>MINNEOLA</t>
  </si>
  <si>
    <t>(620) 885-4238</t>
  </si>
  <si>
    <t>HIGH PLAINS RETIREMENT</t>
  </si>
  <si>
    <t xml:space="preserve">607 COURT PL </t>
  </si>
  <si>
    <t>LAKIN</t>
  </si>
  <si>
    <t>67860-9704</t>
  </si>
  <si>
    <t>(620) 355-7836</t>
  </si>
  <si>
    <t>ST. PAUL'S MCCOLL HEALTH CENTER</t>
  </si>
  <si>
    <t xml:space="preserve">235 NUTMEG ST </t>
  </si>
  <si>
    <t>92103-6201</t>
  </si>
  <si>
    <t>(619) 239-8687</t>
  </si>
  <si>
    <t>ANOKA CARE CENTER</t>
  </si>
  <si>
    <t xml:space="preserve">3000 4TH AVE </t>
  </si>
  <si>
    <t>ANOKA</t>
  </si>
  <si>
    <t>55303-1203</t>
  </si>
  <si>
    <t>(763) 528-6400</t>
  </si>
  <si>
    <t>MCCULLOUGH HALL NURSING CENTER</t>
  </si>
  <si>
    <t xml:space="preserve">603 SW 24TH ST </t>
  </si>
  <si>
    <t>78207-4621</t>
  </si>
  <si>
    <t>(210) 435-7711</t>
  </si>
  <si>
    <t>TEXHOMA CHRISTIAN CARE CENTER</t>
  </si>
  <si>
    <t xml:space="preserve">300 LOOP 11 </t>
  </si>
  <si>
    <t>(940) 723-8420</t>
  </si>
  <si>
    <t>RIVERVIEW MANOR INC</t>
  </si>
  <si>
    <t xml:space="preserve">200 S OHIO </t>
  </si>
  <si>
    <t>67119-8080</t>
  </si>
  <si>
    <t>620-455-2214</t>
  </si>
  <si>
    <t>COLDWATER MANOR</t>
  </si>
  <si>
    <t xml:space="preserve">111 BEAVER RD </t>
  </si>
  <si>
    <t>79084-1189</t>
  </si>
  <si>
    <t>(806) 396-5568</t>
  </si>
  <si>
    <t>MOUNT SAINT JOSEPH NURSING HOME</t>
  </si>
  <si>
    <t xml:space="preserve">21800 CHARDON RD </t>
  </si>
  <si>
    <t>44117-2125</t>
  </si>
  <si>
    <t>(216) 531-7426</t>
  </si>
  <si>
    <t>SARAH ROBERTS FRENCH HOME</t>
  </si>
  <si>
    <t xml:space="preserve">1315 TEXAS AVE </t>
  </si>
  <si>
    <t>78201-5944</t>
  </si>
  <si>
    <t>(210) 736-4238</t>
  </si>
  <si>
    <t>BETHESDA CARE CENTER</t>
  </si>
  <si>
    <t xml:space="preserve">600 N BRUSH ST </t>
  </si>
  <si>
    <t>43420-1402</t>
  </si>
  <si>
    <t>(419) 334-9521</t>
  </si>
  <si>
    <t>TREGO MANOR INC</t>
  </si>
  <si>
    <t xml:space="preserve">320 SOUTH AVE </t>
  </si>
  <si>
    <t>WAKEENEY</t>
  </si>
  <si>
    <t>67672-2649</t>
  </si>
  <si>
    <t>(785) 743-5787</t>
  </si>
  <si>
    <t>CENTRAL TODD COUNTY CARE CENTER</t>
  </si>
  <si>
    <t xml:space="preserve">406 HIGHWAY 71 E </t>
  </si>
  <si>
    <t>CLARISSA</t>
  </si>
  <si>
    <t>56440-2000</t>
  </si>
  <si>
    <t>(218) 756-3636</t>
  </si>
  <si>
    <t>DOOLEY CENTER</t>
  </si>
  <si>
    <t xml:space="preserve">801 S 8TH ST </t>
  </si>
  <si>
    <t>ATCHISON</t>
  </si>
  <si>
    <t>66002-2724</t>
  </si>
  <si>
    <t>(913) 360-6200</t>
  </si>
  <si>
    <t>PRESCOTT COUNTRY VIEW NURSING HOME</t>
  </si>
  <si>
    <t xml:space="preserve">301 E MILLER ST </t>
  </si>
  <si>
    <t>66767-4103</t>
  </si>
  <si>
    <t>(913) 471-4315</t>
  </si>
  <si>
    <t>LANE COUNTY HOSPITAL LONG TERM CARE DEPT</t>
  </si>
  <si>
    <t xml:space="preserve">243 S 2ND </t>
  </si>
  <si>
    <t>DIGHTON</t>
  </si>
  <si>
    <t>67839-0969</t>
  </si>
  <si>
    <t>(620) 397-5321</t>
  </si>
  <si>
    <t>COLFAX HEALTH AND REHAB</t>
  </si>
  <si>
    <t>VILLAGE POINT</t>
  </si>
  <si>
    <t xml:space="preserve">3 DAVID BRAINERD DR </t>
  </si>
  <si>
    <t>FRANCIS E. PARKER MEMORIAL HOME AT LANDING LA</t>
  </si>
  <si>
    <t xml:space="preserve">501 EASTON AVE </t>
  </si>
  <si>
    <t>NEW BRUNSWICK</t>
  </si>
  <si>
    <t>732 545311</t>
  </si>
  <si>
    <t>SHERRILL HOUSE</t>
  </si>
  <si>
    <t xml:space="preserve">135 S HUNTINGTON AVE </t>
  </si>
  <si>
    <t>02130-4885</t>
  </si>
  <si>
    <t>(617) 731-2400</t>
  </si>
  <si>
    <t>MARGARET ANNA CUSACK CARE CENTER</t>
  </si>
  <si>
    <t xml:space="preserve">537 PAVONIA AVE </t>
  </si>
  <si>
    <t>07306-1803</t>
  </si>
  <si>
    <t>201-653-8300</t>
  </si>
  <si>
    <t>THE DAVID F. BOLGER POST-ACUTE CARE UNIT</t>
  </si>
  <si>
    <t>PARKER AT MONROE INC</t>
  </si>
  <si>
    <t xml:space="preserve">395 SCHOOLHOUSE RD </t>
  </si>
  <si>
    <t>732 992520</t>
  </si>
  <si>
    <t>PARKER AT MCCARRICK</t>
  </si>
  <si>
    <t>732 545420</t>
  </si>
  <si>
    <t>UNIVERSITY COMMONS</t>
  </si>
  <si>
    <t xml:space="preserve">378 PLANTATION ST </t>
  </si>
  <si>
    <t>01605-2324</t>
  </si>
  <si>
    <t>(508) 755-7300</t>
  </si>
  <si>
    <t>EARLE W CRAWFORD HOUSE OF HOPE</t>
  </si>
  <si>
    <t xml:space="preserve">5100 STONE LAKE DR </t>
  </si>
  <si>
    <t>WHICHITA FALLS</t>
  </si>
  <si>
    <t>(940) 691-1710</t>
  </si>
  <si>
    <t>LINDENGROVE - NEW BERLIN</t>
  </si>
  <si>
    <t xml:space="preserve">13755 W FIELDPOINTE DR </t>
  </si>
  <si>
    <t>(262) 796-3660</t>
  </si>
  <si>
    <t>LINDENGROVE - MUKWONAGO</t>
  </si>
  <si>
    <t xml:space="preserve">837 E VETERANS WAY </t>
  </si>
  <si>
    <t>53149-1013</t>
  </si>
  <si>
    <t>(262) 363-6830</t>
  </si>
  <si>
    <t>LINDENGROVE - MENOMONEE FALLS</t>
  </si>
  <si>
    <t xml:space="preserve">W180N8071 TOWN HALL RD </t>
  </si>
  <si>
    <t>MENOMONEE FALLS</t>
  </si>
  <si>
    <t>53051-3518</t>
  </si>
  <si>
    <t>(262) 253-2700</t>
  </si>
  <si>
    <t>MASONIC HEALTHCARE</t>
  </si>
  <si>
    <t xml:space="preserve">THREE MASONIC DR </t>
  </si>
  <si>
    <t>MARQUARDT HEALTH SERVICES</t>
  </si>
  <si>
    <t>HOMME HOME FOR THE AGING</t>
  </si>
  <si>
    <t>LINDENGROVE - WAUKESHA</t>
  </si>
  <si>
    <t xml:space="preserve">425 N UNIVERSITY DR </t>
  </si>
  <si>
    <t>(262) 524-6400</t>
  </si>
  <si>
    <t>LAKEVIEW HEALTH CENTER-RAVENWOOD BEHAVIOR HEA</t>
  </si>
  <si>
    <t xml:space="preserve">902 E GARLAND ST </t>
  </si>
  <si>
    <t>(608) 786-1400</t>
  </si>
  <si>
    <t>MANOR PARK INC</t>
  </si>
  <si>
    <t>(432) 689-9898</t>
  </si>
  <si>
    <t>VILLAGE AT MANOR PARK (THE)</t>
  </si>
  <si>
    <t>MABEE CENTER</t>
  </si>
  <si>
    <t>TRADITIONS AT BATH ROAD</t>
  </si>
  <si>
    <t xml:space="preserve">300 E BATH RD </t>
  </si>
  <si>
    <t>330 929627</t>
  </si>
  <si>
    <t>SENIOR APARTMENTS AT WYOMISSING CLUB</t>
  </si>
  <si>
    <t xml:space="preserve">501 WALNUT ST </t>
  </si>
  <si>
    <t>(610) 927-8000</t>
  </si>
  <si>
    <t xml:space="preserve">33 EVERETT ST </t>
  </si>
  <si>
    <t>(920) 923-7980</t>
  </si>
  <si>
    <t>EDGEWATER RETIREMENT COMMUNITY</t>
  </si>
  <si>
    <t xml:space="preserve">2228 SEAWALL BLVD </t>
  </si>
  <si>
    <t>77550-8940</t>
  </si>
  <si>
    <t>(409) 763-6437</t>
  </si>
  <si>
    <t>VAN RENSSELAER MANOR</t>
  </si>
  <si>
    <t xml:space="preserve">85 BLOOMINGROVE DR </t>
  </si>
  <si>
    <t>12180-8433</t>
  </si>
  <si>
    <t>(518) 283-2000</t>
  </si>
  <si>
    <t>SENECA HILL MANOR INC.</t>
  </si>
  <si>
    <t xml:space="preserve">20 MANOR DR </t>
  </si>
  <si>
    <t>13126-6495</t>
  </si>
  <si>
    <t>CATHEDRAL GERONTOLOGY CENTER INC.</t>
  </si>
  <si>
    <t xml:space="preserve">333 E ASHLEY ST </t>
  </si>
  <si>
    <t>32202-2709</t>
  </si>
  <si>
    <t>(904) 798-5300</t>
  </si>
  <si>
    <t>JOHN F- YOUNGER SPECIAL CARE CENTER (THE)</t>
  </si>
  <si>
    <t>BIVINS VILLAGE</t>
  </si>
  <si>
    <t xml:space="preserve">3201 TEE ANCHOR BLVD </t>
  </si>
  <si>
    <t>79104-3601</t>
  </si>
  <si>
    <t>(806) 342-5530</t>
  </si>
  <si>
    <t>KANSAS SOLDIERS' HOME</t>
  </si>
  <si>
    <t xml:space="preserve">714 SHERIDIAN UNIT 148 </t>
  </si>
  <si>
    <t>(620) 227-2121</t>
  </si>
  <si>
    <t>ODD FELLOW &amp; REBEKAH NURSING HOME</t>
  </si>
  <si>
    <t xml:space="preserve">104 OLD NIAGARA ROAD </t>
  </si>
  <si>
    <t>LOCKPORT</t>
  </si>
  <si>
    <t>(716) 434-6324</t>
  </si>
  <si>
    <t>ROYAL OAK NURSING CENTER</t>
  </si>
  <si>
    <t xml:space="preserve">37300 ROYAL OAK LN </t>
  </si>
  <si>
    <t>33525-5230</t>
  </si>
  <si>
    <t>(352) 567-3122</t>
  </si>
  <si>
    <t>BROOKSVILLE HEALTHCARE CENTERR</t>
  </si>
  <si>
    <t xml:space="preserve">114 CHATMAN BLVD </t>
  </si>
  <si>
    <t>(352) 796-6701</t>
  </si>
  <si>
    <t>HEATHER HILL HEALTHCARE CENTER</t>
  </si>
  <si>
    <t xml:space="preserve">5630 KENTUCKY AVE </t>
  </si>
  <si>
    <t>(727) 849-6936</t>
  </si>
  <si>
    <t>HOMESTEAD HEALTH CENTER INC.</t>
  </si>
  <si>
    <t xml:space="preserve">2133 S ELIZABETH ST </t>
  </si>
  <si>
    <t>67213-3403</t>
  </si>
  <si>
    <t>(316) 262-4473</t>
  </si>
  <si>
    <t>CHENEY GOLDEN AGE HOME INC</t>
  </si>
  <si>
    <t xml:space="preserve">724 N MAIN ST </t>
  </si>
  <si>
    <t>CHENEY</t>
  </si>
  <si>
    <t>67025-9059</t>
  </si>
  <si>
    <t>(316) 540-3691</t>
  </si>
  <si>
    <t>PRESBYTERIAN HOME - BLOOMINGTON</t>
  </si>
  <si>
    <t>(952) 948-3000</t>
  </si>
  <si>
    <t>ZUMBROTA HEALTH SERVICES DBA ZUMBROTA CARE CE</t>
  </si>
  <si>
    <t xml:space="preserve">433 MILL ST </t>
  </si>
  <si>
    <t>ZUMBROTA</t>
  </si>
  <si>
    <t>(507) 732-8400</t>
  </si>
  <si>
    <t>LITTLE FALLS HEALTH SERVICES DBA LITTLE FALLS</t>
  </si>
  <si>
    <t xml:space="preserve">1200 1ST AVE NE </t>
  </si>
  <si>
    <t>56345-3309</t>
  </si>
  <si>
    <t>(320) 632-9211</t>
  </si>
  <si>
    <t>THIEF RIVER CARE CENTER - MN</t>
  </si>
  <si>
    <t xml:space="preserve">2001 EASTWOOD DR </t>
  </si>
  <si>
    <t>56701-4016</t>
  </si>
  <si>
    <t>(218) 683-8100</t>
  </si>
  <si>
    <t>CHISHOLM HEALTH CENTER DBA HERITAGE MANOR</t>
  </si>
  <si>
    <t xml:space="preserve">321 6TH ST NE </t>
  </si>
  <si>
    <t>CHISHOLM</t>
  </si>
  <si>
    <t>55719-1287</t>
  </si>
  <si>
    <t>(218) 254-5765</t>
  </si>
  <si>
    <t>PRESBYTERIAN HOMES OF ROSEVILLE</t>
  </si>
  <si>
    <t xml:space="preserve">1910 COUNTY ROAD D W </t>
  </si>
  <si>
    <t>55112-3503</t>
  </si>
  <si>
    <t>(651) 631-6200</t>
  </si>
  <si>
    <t>PENN YAN MANOR NURSING HOME</t>
  </si>
  <si>
    <t xml:space="preserve">655 LIBERTY ST </t>
  </si>
  <si>
    <t>14527-1048</t>
  </si>
  <si>
    <t>(315) 536-2311</t>
  </si>
  <si>
    <t>VICTORIA HOME</t>
  </si>
  <si>
    <t xml:space="preserve">25 N MALCOLM ST </t>
  </si>
  <si>
    <t>OSSINING</t>
  </si>
  <si>
    <t>10562-3216</t>
  </si>
  <si>
    <t>(914) 941-2450</t>
  </si>
  <si>
    <t>GUARDIAN ANGELS HEALTH AND REHAB</t>
  </si>
  <si>
    <t xml:space="preserve">1500 3RD AVE E </t>
  </si>
  <si>
    <t>55746-1462</t>
  </si>
  <si>
    <t>(218) 263-7583</t>
  </si>
  <si>
    <t>SCHOELLKOPF HEALTH CENTER</t>
  </si>
  <si>
    <t xml:space="preserve">621 10TH ST </t>
  </si>
  <si>
    <t>14301-1813</t>
  </si>
  <si>
    <t>(716) 278-4578</t>
  </si>
  <si>
    <t>LUTHERAN HOME OF CENTRAL NEW YORK INC - NY</t>
  </si>
  <si>
    <t>MONTGOMERY COUNTY INFIRMARY</t>
  </si>
  <si>
    <t xml:space="preserve">100 SANDY DR </t>
  </si>
  <si>
    <t>12010-8191</t>
  </si>
  <si>
    <t>(518) 843-3503</t>
  </si>
  <si>
    <t>MONROE COMMUNITY HOSPITAL - NY</t>
  </si>
  <si>
    <t xml:space="preserve">435 E HENRIETTA RD </t>
  </si>
  <si>
    <t>14620-4629</t>
  </si>
  <si>
    <t>(585) 760-6500</t>
  </si>
  <si>
    <t>GRACE MANOR HEALTH CARE</t>
  </si>
  <si>
    <t xml:space="preserve">10 SYMPHONY CIR </t>
  </si>
  <si>
    <t>(716) 884-2427</t>
  </si>
  <si>
    <t>FINGER LAKES CENTER FOR LIVING</t>
  </si>
  <si>
    <t xml:space="preserve">20 PARK AVE </t>
  </si>
  <si>
    <t>13021-1911</t>
  </si>
  <si>
    <t>(315) 255-7188</t>
  </si>
  <si>
    <t>LINDE - ST MARGARETS CENTER</t>
  </si>
  <si>
    <t xml:space="preserve">27 HACKETT BLVD </t>
  </si>
  <si>
    <t>(518) 591-3300</t>
  </si>
  <si>
    <t>ISLAND NURSING AND REHAB- CENTER</t>
  </si>
  <si>
    <t xml:space="preserve">5537 EXPRESSWAY DR N </t>
  </si>
  <si>
    <t>HOLTSVILLE</t>
  </si>
  <si>
    <t>11742-1316</t>
  </si>
  <si>
    <t xml:space="preserve">(631) 758-3336 </t>
  </si>
  <si>
    <t>RENVILLA HEALTH CENTER</t>
  </si>
  <si>
    <t xml:space="preserve">205 SE ELM AVE </t>
  </si>
  <si>
    <t>RENVILLE</t>
  </si>
  <si>
    <t>(320) 329-8381</t>
  </si>
  <si>
    <t>FRANCISCAN HEALTH CENTER</t>
  </si>
  <si>
    <t xml:space="preserve">3910 MINNESOTA AVE </t>
  </si>
  <si>
    <t>55802-2553</t>
  </si>
  <si>
    <t>(218) 727-8933</t>
  </si>
  <si>
    <t>ST. ROSE'S HOME</t>
  </si>
  <si>
    <t xml:space="preserve">71 JACKSON ST </t>
  </si>
  <si>
    <t>10002-8201</t>
  </si>
  <si>
    <t>(212) 677-8132</t>
  </si>
  <si>
    <t>PROVIDENCE REST</t>
  </si>
  <si>
    <t xml:space="preserve">3304 WATERBURY AVE </t>
  </si>
  <si>
    <t>10465-1554</t>
  </si>
  <si>
    <t>(718) 931-3000</t>
  </si>
  <si>
    <t>GOOD SAMARITAN SOCIETY SLATE CREEK</t>
  </si>
  <si>
    <t xml:space="preserve">1600 W 8TH ST </t>
  </si>
  <si>
    <t>67152-4719</t>
  </si>
  <si>
    <t>(620) 326-2232</t>
  </si>
  <si>
    <t>ATCHISON SENIOR VILLAGE</t>
  </si>
  <si>
    <t xml:space="preserve">1419 N 6TH ST </t>
  </si>
  <si>
    <t>66002-1244</t>
  </si>
  <si>
    <t>(913) 367-1905</t>
  </si>
  <si>
    <t>ENTERPRISE ESTATES NURSING CENTER</t>
  </si>
  <si>
    <t xml:space="preserve">602 CRESTVIEW DR </t>
  </si>
  <si>
    <t>67441-9124</t>
  </si>
  <si>
    <t>(785) 263-8278</t>
  </si>
  <si>
    <t>MAYFLOWER GARDENS CONVALESCENT HOSPITAL</t>
  </si>
  <si>
    <t>93536-1233</t>
  </si>
  <si>
    <t>(661) 943-3212</t>
  </si>
  <si>
    <t>CUMBERNAULD VILLAGE</t>
  </si>
  <si>
    <t xml:space="preserve">716 TWEED </t>
  </si>
  <si>
    <t>67156-1596</t>
  </si>
  <si>
    <t>(620) 221-4141</t>
  </si>
  <si>
    <t>WAVERLY GARDENS</t>
  </si>
  <si>
    <t xml:space="preserve">5919 CENTERVILLE RD </t>
  </si>
  <si>
    <t>NORTH OAKS</t>
  </si>
  <si>
    <t>(651) 765-4000</t>
  </si>
  <si>
    <t>WAYNE COUNTY NURSING HOME - NY</t>
  </si>
  <si>
    <t xml:space="preserve">1529 NYE RD </t>
  </si>
  <si>
    <t>14489-9111</t>
  </si>
  <si>
    <t>(315) 946-5673</t>
  </si>
  <si>
    <t>VIEWCREST HEALTH CENTER</t>
  </si>
  <si>
    <t xml:space="preserve">3111 CHURCH PL </t>
  </si>
  <si>
    <t>55811-2925</t>
  </si>
  <si>
    <t>(218) 727-8801</t>
  </si>
  <si>
    <t>HERITAGE COMMONS RESIDENTIAL HEALTH CARE</t>
  </si>
  <si>
    <t xml:space="preserve">1019 WICKER ST </t>
  </si>
  <si>
    <t>12883-1039</t>
  </si>
  <si>
    <t>(518) 585-6771</t>
  </si>
  <si>
    <t>UHS SENIOR LIVING AT CHENANGO MEMORIAL</t>
  </si>
  <si>
    <t xml:space="preserve">179 N BROAD ST </t>
  </si>
  <si>
    <t>13815-1097</t>
  </si>
  <si>
    <t>(607) 337-4715</t>
  </si>
  <si>
    <t>BROWNS VALLEY HEALTH CENTER</t>
  </si>
  <si>
    <t xml:space="preserve">114 JEFFERSON ST S </t>
  </si>
  <si>
    <t>BROWNS VALLEY</t>
  </si>
  <si>
    <t>56219-9637</t>
  </si>
  <si>
    <t>(320) 695-2165</t>
  </si>
  <si>
    <t>ONTARIO COUNTY HEALTH FACILITY</t>
  </si>
  <si>
    <t xml:space="preserve">3062 COUNTY COMPLEX DR </t>
  </si>
  <si>
    <t>14424-9502</t>
  </si>
  <si>
    <t>(585) 396-4340</t>
  </si>
  <si>
    <t>SHAKER PLACE REHABILITATION AND NURSING CENTER (WAS ALBY CTY</t>
  </si>
  <si>
    <t xml:space="preserve">780 ALBANY SHAKER RD </t>
  </si>
  <si>
    <t>12211-1058</t>
  </si>
  <si>
    <t>(518) 869-2231</t>
  </si>
  <si>
    <t>MICHAUD RESIDENTIAL HEALTH SERVICES</t>
  </si>
  <si>
    <t xml:space="preserve">453 PARK ST </t>
  </si>
  <si>
    <t>FULTON</t>
  </si>
  <si>
    <t>13069-2999</t>
  </si>
  <si>
    <t>(315) 592-2009</t>
  </si>
  <si>
    <t>MENORAH HOME AND HOSPITAL FOR AGED-&amp; INFIRM -</t>
  </si>
  <si>
    <t xml:space="preserve">1516 ORIENTAL BLVD </t>
  </si>
  <si>
    <t>11235-2328</t>
  </si>
  <si>
    <t>(718) 646-4441</t>
  </si>
  <si>
    <t>BEAR CREEK NURSING CENTER</t>
  </si>
  <si>
    <t xml:space="preserve">8041 STATE RD 52 </t>
  </si>
  <si>
    <t>34667-6726</t>
  </si>
  <si>
    <t>(727) 863-5488</t>
  </si>
  <si>
    <t>HIGH PEAKS HOSPICE</t>
  </si>
  <si>
    <t xml:space="preserve">PO BOX 840 </t>
  </si>
  <si>
    <t>SARNAC LAKE</t>
  </si>
  <si>
    <t>SIERRA REHABILITATION &amp; CARE COMMUNITY</t>
  </si>
  <si>
    <t xml:space="preserve">1432 DEPEW STREET </t>
  </si>
  <si>
    <t>303 238137</t>
  </si>
  <si>
    <t>EAGLECREST TERRACE</t>
  </si>
  <si>
    <t>SUNPORCH OF SMITH COUNTY</t>
  </si>
  <si>
    <t xml:space="preserve">920 E KANSAS AVE </t>
  </si>
  <si>
    <t>SMITH CENTER</t>
  </si>
  <si>
    <t>(785) 282-6722</t>
  </si>
  <si>
    <t>GREEN MANOR NURSING HOME</t>
  </si>
  <si>
    <t xml:space="preserve">1 GREEN MANOR AVE </t>
  </si>
  <si>
    <t>GHENT</t>
  </si>
  <si>
    <t>(518) 828-0800</t>
  </si>
  <si>
    <t>CHEMUNG COUNTY NURSING FACILITY</t>
  </si>
  <si>
    <t xml:space="preserve">103 WASHINGTON ST </t>
  </si>
  <si>
    <t>ELMIRA</t>
  </si>
  <si>
    <t>14901-3220</t>
  </si>
  <si>
    <t>(607) 737-2001</t>
  </si>
  <si>
    <t>CHAUTAUQUA COUNTY HOME</t>
  </si>
  <si>
    <t xml:space="preserve">10836 TEMPLE RD </t>
  </si>
  <si>
    <t>14048-9610</t>
  </si>
  <si>
    <t>(716) 366-6400</t>
  </si>
  <si>
    <t>AITKIN HEALTH SERVICES</t>
  </si>
  <si>
    <t xml:space="preserve">301 MINNESOTA AVE </t>
  </si>
  <si>
    <t>AITKIN</t>
  </si>
  <si>
    <t>(218) 927-5526</t>
  </si>
  <si>
    <t>PRESBYTERIAN HOMES ON LAKE MINNETONKA</t>
  </si>
  <si>
    <t xml:space="preserve">4527 SHORELINE DR </t>
  </si>
  <si>
    <t>55384-8706</t>
  </si>
  <si>
    <t>(952) 471-4000</t>
  </si>
  <si>
    <t>ELIZABETH SETON PEDIATRIC CENTER</t>
  </si>
  <si>
    <t xml:space="preserve">590 AVENUE OF THE AMERICAS </t>
  </si>
  <si>
    <t>10011-2019</t>
  </si>
  <si>
    <t>(914) 294-6300</t>
  </si>
  <si>
    <t>CLINTON COUNTY NURSING HOME</t>
  </si>
  <si>
    <t xml:space="preserve">16 FLYNN AVE </t>
  </si>
  <si>
    <t>12901-3707</t>
  </si>
  <si>
    <t>(518) 563-0950</t>
  </si>
  <si>
    <t>GLEN ARDEN</t>
  </si>
  <si>
    <t xml:space="preserve">214 HARRIMAN DR </t>
  </si>
  <si>
    <t>10924-2422</t>
  </si>
  <si>
    <t>(845) 291-7800</t>
  </si>
  <si>
    <t>FRANKLIN COUNTY NURSING HOME-DBA WILLIAM MANS</t>
  </si>
  <si>
    <t xml:space="preserve">184 FINNEY BLVD </t>
  </si>
  <si>
    <t>MALONE</t>
  </si>
  <si>
    <t>12953-2241</t>
  </si>
  <si>
    <t>(518) 483-3300</t>
  </si>
  <si>
    <t>BROTHERS OF MERCY NH</t>
  </si>
  <si>
    <t xml:space="preserve">10570 BERGTOLD RD </t>
  </si>
  <si>
    <t>CLARENCE</t>
  </si>
  <si>
    <t>14031-2105</t>
  </si>
  <si>
    <t>(716) 759-6985</t>
  </si>
  <si>
    <t>UNITED HELPERS NURSING HOME (UHNH) - NY</t>
  </si>
  <si>
    <t xml:space="preserve">8101 STATE HIGHWAY 68 </t>
  </si>
  <si>
    <t>(315) 393-2567</t>
  </si>
  <si>
    <t>SANCTUARY AT MCAULEY PLACE</t>
  </si>
  <si>
    <t xml:space="preserve">1380 E SHERMAN BLVD </t>
  </si>
  <si>
    <t>231-672-2578</t>
  </si>
  <si>
    <t>GROTON COMMUNITY HCC INC.</t>
  </si>
  <si>
    <t xml:space="preserve">120 SYKES ST </t>
  </si>
  <si>
    <t>13073-1231</t>
  </si>
  <si>
    <t>(607) 898-5876</t>
  </si>
  <si>
    <t>BEZALEL REHAB &amp; NURSING CTR</t>
  </si>
  <si>
    <t xml:space="preserve">2938 FAR ROCKAWAY BLVD </t>
  </si>
  <si>
    <t>11691-1947</t>
  </si>
  <si>
    <t>(718) 471-2600</t>
  </si>
  <si>
    <t>ST. CROIX HEALTH CENTER</t>
  </si>
  <si>
    <t xml:space="preserve">1445 N 4TH ST </t>
  </si>
  <si>
    <t>54017-1063</t>
  </si>
  <si>
    <t>(715) 246-6991</t>
  </si>
  <si>
    <t>OUR LADY OF MERCY LIFE CENTER</t>
  </si>
  <si>
    <t xml:space="preserve">2 MERCYCARE LANE </t>
  </si>
  <si>
    <t>GUILDERLAND</t>
  </si>
  <si>
    <t>12084-3505</t>
  </si>
  <si>
    <t>(518) 464-8100</t>
  </si>
  <si>
    <t>EPISCOPAL CHURCH HOME OF MINNESOTA (THE)</t>
  </si>
  <si>
    <t xml:space="preserve">1879 FERONIA AVE </t>
  </si>
  <si>
    <t>55104-3549</t>
  </si>
  <si>
    <t>NEW HARMONY CARE CENTER</t>
  </si>
  <si>
    <t xml:space="preserve">135 GERANIUM AVE E </t>
  </si>
  <si>
    <t>(651) 488-6658</t>
  </si>
  <si>
    <t>COBBLE HILL HEALTH CENTER</t>
  </si>
  <si>
    <t xml:space="preserve">380 HENRY ST </t>
  </si>
  <si>
    <t>11201-6048</t>
  </si>
  <si>
    <t>(718) 855-6789</t>
  </si>
  <si>
    <t>LADYSMITH CARE AND REHAB</t>
  </si>
  <si>
    <t xml:space="preserve">900 COLLEGE AVE W </t>
  </si>
  <si>
    <t>54848-2116</t>
  </si>
  <si>
    <t>(715) 532-5561</t>
  </si>
  <si>
    <t>CHASE MEMORIAL NURSING HOME</t>
  </si>
  <si>
    <t xml:space="preserve">1 TERRACE HEIGHTS </t>
  </si>
  <si>
    <t>13411-9515</t>
  </si>
  <si>
    <t>(607) 847-7000</t>
  </si>
  <si>
    <t>BEECHTREE CARE CENTER</t>
  </si>
  <si>
    <t xml:space="preserve">318 S ALBANY ST </t>
  </si>
  <si>
    <t>14850-5406</t>
  </si>
  <si>
    <t>(607) 273-4166</t>
  </si>
  <si>
    <t>BAPTIST HEALTH NURSING AND REHABILITATION CEN</t>
  </si>
  <si>
    <t xml:space="preserve">297 N BALLSTON AVE </t>
  </si>
  <si>
    <t>12302-2427</t>
  </si>
  <si>
    <t>(518) 370-4700</t>
  </si>
  <si>
    <t>ANDRUS ON HUDSON</t>
  </si>
  <si>
    <t xml:space="preserve">185 OLD BROADWAY </t>
  </si>
  <si>
    <t>HASTINGS ON HUDSON</t>
  </si>
  <si>
    <t>10706-3801</t>
  </si>
  <si>
    <t>(914) 478-3700</t>
  </si>
  <si>
    <t>ST. JOSEPH NURSING HOME</t>
  </si>
  <si>
    <t xml:space="preserve">2535 GENESEE ST </t>
  </si>
  <si>
    <t>13501-6251</t>
  </si>
  <si>
    <t>(315) 797-1230</t>
  </si>
  <si>
    <t>ST. JOSEPH'S HOME FOR THE ELDERLY-LITTLE SIST</t>
  </si>
  <si>
    <t xml:space="preserve">140 SHEPHERD LN </t>
  </si>
  <si>
    <t>TOTOWA</t>
  </si>
  <si>
    <t>07512-2188</t>
  </si>
  <si>
    <t>(973) 942-0300</t>
  </si>
  <si>
    <t>MARILLAC RESIDENCE INC.</t>
  </si>
  <si>
    <t xml:space="preserve">125 OAKLAND ST </t>
  </si>
  <si>
    <t>WELLESLEY HILLS</t>
  </si>
  <si>
    <t>02481-5338</t>
  </si>
  <si>
    <t>(781) 997-1100</t>
  </si>
  <si>
    <t xml:space="preserve">BETHANY AT ST JOSEPH </t>
  </si>
  <si>
    <t>HANNAH B.GRIFFITH SHAW HOME INC</t>
  </si>
  <si>
    <t xml:space="preserve">299 WAREHAM ST </t>
  </si>
  <si>
    <t>MIDDLEBORO</t>
  </si>
  <si>
    <t>02346-2905</t>
  </si>
  <si>
    <t>(508) 947-0332</t>
  </si>
  <si>
    <t>EVERGREEN HEALTH CENTER SNF</t>
  </si>
  <si>
    <t>HEARTLAND COUNTRY VILLAGE</t>
  </si>
  <si>
    <t xml:space="preserve">634 CENTER ST </t>
  </si>
  <si>
    <t>BLACK EARTH</t>
  </si>
  <si>
    <t>(608) 767-2572</t>
  </si>
  <si>
    <t>OUR ISLAND HOME</t>
  </si>
  <si>
    <t xml:space="preserve">9 E CREEK RD </t>
  </si>
  <si>
    <t>02554-4015</t>
  </si>
  <si>
    <t>(508) 228-0462</t>
  </si>
  <si>
    <t>LINDEN COURT NEW BERLIN</t>
  </si>
  <si>
    <t xml:space="preserve">13705 W FIELD POINT DR </t>
  </si>
  <si>
    <t>MONT MARIE HEALTH CARE CTR</t>
  </si>
  <si>
    <t xml:space="preserve">34 LOWER WESTFIELD RD </t>
  </si>
  <si>
    <t>01040-2749</t>
  </si>
  <si>
    <t>(413) 538-6050</t>
  </si>
  <si>
    <t>HOLY TRINITY EASTERN ORTHODOX NURSING-&amp; REHAB</t>
  </si>
  <si>
    <t xml:space="preserve">300 BARBER AVE </t>
  </si>
  <si>
    <t>01606-2476</t>
  </si>
  <si>
    <t>(508) 852-1000</t>
  </si>
  <si>
    <t>FAIRHAVEN HEALTHCARE CENTER</t>
  </si>
  <si>
    <t xml:space="preserve">476 VARNUM AVE </t>
  </si>
  <si>
    <t>(978) 458-3388</t>
  </si>
  <si>
    <t>PM ONALASKA CARE CENTER</t>
  </si>
  <si>
    <t xml:space="preserve">1600 MAIN ST </t>
  </si>
  <si>
    <t>608 783468</t>
  </si>
  <si>
    <t>PM NORSELAND NURSING HOME</t>
  </si>
  <si>
    <t xml:space="preserve">323 BLACK RIVER RD </t>
  </si>
  <si>
    <t>608 634374</t>
  </si>
  <si>
    <t>HELLENIC NURSING &amp; REHABILITATION CENTER</t>
  </si>
  <si>
    <t xml:space="preserve">601 SHERMAN ST </t>
  </si>
  <si>
    <t>02021-2053</t>
  </si>
  <si>
    <t>(781) 828-7450</t>
  </si>
  <si>
    <t>TRIMONT HEALTH CARE CENTER</t>
  </si>
  <si>
    <t xml:space="preserve">303 BROADWAY ST S </t>
  </si>
  <si>
    <t>TRIMONT</t>
  </si>
  <si>
    <t>56176-9732</t>
  </si>
  <si>
    <t>(507) 639-2381</t>
  </si>
  <si>
    <t>D'YOUVILLE SENIOR CARE CENTER INC.</t>
  </si>
  <si>
    <t xml:space="preserve">981 VARNUM AVE </t>
  </si>
  <si>
    <t>01854-1913</t>
  </si>
  <si>
    <t>(978) 569-1000</t>
  </si>
  <si>
    <t>THE GUARDIAN CENTER</t>
  </si>
  <si>
    <t xml:space="preserve">888 N MAIN ST </t>
  </si>
  <si>
    <t>02301-1668</t>
  </si>
  <si>
    <t>(508) 587-6556</t>
  </si>
  <si>
    <t>WARTBURG LUTHERAN HOME</t>
  </si>
  <si>
    <t xml:space="preserve">50 SHEFFIELD AVE </t>
  </si>
  <si>
    <t>11207-2420</t>
  </si>
  <si>
    <t>(914) 573-5569</t>
  </si>
  <si>
    <t>PENACOCK PLACE INC</t>
  </si>
  <si>
    <t xml:space="preserve">150 WATER ST </t>
  </si>
  <si>
    <t>978 374070</t>
  </si>
  <si>
    <t>TERESIAN HOUSE</t>
  </si>
  <si>
    <t xml:space="preserve">200 WASHINGTON AVENUE EXT </t>
  </si>
  <si>
    <t>12203-5335</t>
  </si>
  <si>
    <t>(518) 456-2000</t>
  </si>
  <si>
    <t>ST PETER'S NURSING AND REHABILITATION CENTER</t>
  </si>
  <si>
    <t xml:space="preserve">301 HACKETT BLVD </t>
  </si>
  <si>
    <t>12208-1963</t>
  </si>
  <si>
    <t>(518) 525-7600</t>
  </si>
  <si>
    <t>UNITED HELPERS RESIDENCE INC</t>
  </si>
  <si>
    <t xml:space="preserve">8103 STATE HIGHWAY 68 </t>
  </si>
  <si>
    <t>13669-4403</t>
  </si>
  <si>
    <t>BAPTIST HOME (THE)</t>
  </si>
  <si>
    <t xml:space="preserve">46 BROOKMEADE DR </t>
  </si>
  <si>
    <t>RHINEBECK</t>
  </si>
  <si>
    <t>12572-2317</t>
  </si>
  <si>
    <t>(845) 876-2071</t>
  </si>
  <si>
    <t>ST. ANN'S HOME FOR THE AGED</t>
  </si>
  <si>
    <t>ARMENIAN NURSING &amp; REHABILITATION CENTER</t>
  </si>
  <si>
    <t xml:space="preserve">431 POND ST </t>
  </si>
  <si>
    <t>02130-3402</t>
  </si>
  <si>
    <t>(617) 522-2600</t>
  </si>
  <si>
    <t>PARKVIEW CARE CENTER</t>
  </si>
  <si>
    <t xml:space="preserve">102 N JACKSON ST </t>
  </si>
  <si>
    <t>WAYLAND</t>
  </si>
  <si>
    <t>319-256-2775</t>
  </si>
  <si>
    <t>JAMES G JOHNSTON MEMORIAL NH</t>
  </si>
  <si>
    <t>ST PATRICK'S HOME FOR THE AGED</t>
  </si>
  <si>
    <t xml:space="preserve">66 VAN CORTLANDT PARK S </t>
  </si>
  <si>
    <t>10463-3102</t>
  </si>
  <si>
    <t>(718) 519-2800</t>
  </si>
  <si>
    <t>GOLDEN AGE MANOR</t>
  </si>
  <si>
    <t xml:space="preserve">220 SCHOLL CT </t>
  </si>
  <si>
    <t>AMERY</t>
  </si>
  <si>
    <t>54001-1440</t>
  </si>
  <si>
    <t>(715) 268-7107</t>
  </si>
  <si>
    <t>GOOD SAMARITAN LUTHERAN HEALTH CARE CENTER</t>
  </si>
  <si>
    <t xml:space="preserve">125 ROCKEFELLER RD </t>
  </si>
  <si>
    <t>(518) 439-8116</t>
  </si>
  <si>
    <t>NEW YORK STATE VETERANS HOME</t>
  </si>
  <si>
    <t xml:space="preserve">4211 STATE HIGHWAY 220 </t>
  </si>
  <si>
    <t>13830-4305</t>
  </si>
  <si>
    <t>(607) 843-3129</t>
  </si>
  <si>
    <t>THE EPISCOPAL CHURCH HOME</t>
  </si>
  <si>
    <t xml:space="preserve">505 MT HOPE AVE </t>
  </si>
  <si>
    <t>MADISON MANOR</t>
  </si>
  <si>
    <t xml:space="preserve">27795 DEQUINDRE </t>
  </si>
  <si>
    <t>48071-5708</t>
  </si>
  <si>
    <t>(620) 437-2470</t>
  </si>
  <si>
    <t xml:space="preserve">3105 W ARKANSAS AVE </t>
  </si>
  <si>
    <t>507 553311</t>
  </si>
  <si>
    <t>AMERICAN LUTHERAN HOMES-MONDOVI</t>
  </si>
  <si>
    <t xml:space="preserve">200 MEMORIAL DR </t>
  </si>
  <si>
    <t>MONDOVI</t>
  </si>
  <si>
    <t>54755-1325</t>
  </si>
  <si>
    <t>(715) 926-4962</t>
  </si>
  <si>
    <t>ROTARY SENIOR LIVING</t>
  </si>
  <si>
    <t>ROTARY ANN RETIREMENT COMMUNITY</t>
  </si>
  <si>
    <t xml:space="preserve">620 SE 5TH ST </t>
  </si>
  <si>
    <t>EAGLE GROVE</t>
  </si>
  <si>
    <t>515-448-5124</t>
  </si>
  <si>
    <t>MARINUKA MANOR</t>
  </si>
  <si>
    <t xml:space="preserve">19475 SILVER CREEK RD </t>
  </si>
  <si>
    <t>UNIVERSITY PARK LIVING CENTER</t>
  </si>
  <si>
    <t xml:space="preserve">570 HARVEY ST </t>
  </si>
  <si>
    <t>231-672-2202</t>
  </si>
  <si>
    <t>HOLGATE CENTER-FRIENDSHIP HEALTH CENTER</t>
  </si>
  <si>
    <t xml:space="preserve">3320 SE HOGATE BLVD </t>
  </si>
  <si>
    <t>VIKING MANOR NURSING HOME</t>
  </si>
  <si>
    <t xml:space="preserve">317 1ST ST NW </t>
  </si>
  <si>
    <t>ULEN</t>
  </si>
  <si>
    <t>56585-4010</t>
  </si>
  <si>
    <t>(218) 596-8847</t>
  </si>
  <si>
    <t>SAMARITAN BETHANY HEIGHTS</t>
  </si>
  <si>
    <t xml:space="preserve">1530 11TH AVE NW P O BOX 5947 </t>
  </si>
  <si>
    <t>55903-5947</t>
  </si>
  <si>
    <t>(507) 289-3336</t>
  </si>
  <si>
    <t>FAIRVIEW CARE CENTER</t>
  </si>
  <si>
    <t xml:space="preserve">702 10TH AVE NW </t>
  </si>
  <si>
    <t>DODGE CENTER</t>
  </si>
  <si>
    <t>55927-0010</t>
  </si>
  <si>
    <t>(507) 374-2578</t>
  </si>
  <si>
    <t>COOK HOSPITAL</t>
  </si>
  <si>
    <t xml:space="preserve">10 5TH ST SE </t>
  </si>
  <si>
    <t>COOK</t>
  </si>
  <si>
    <t>55723-9702</t>
  </si>
  <si>
    <t>(218) 666-5945</t>
  </si>
  <si>
    <t>ST MICHAELS LUTHERAN HOME</t>
  </si>
  <si>
    <t xml:space="preserve">270 NORTH ST # 7 </t>
  </si>
  <si>
    <t>FOUNTAIN CITY</t>
  </si>
  <si>
    <t>54629-8277</t>
  </si>
  <si>
    <t>(608) 687-7721</t>
  </si>
  <si>
    <t>SAINT ELIZABETH NURSING HOME</t>
  </si>
  <si>
    <t xml:space="preserve">109 S ATWOOD AVE </t>
  </si>
  <si>
    <t>JANESVILLE</t>
  </si>
  <si>
    <t>53545-4098</t>
  </si>
  <si>
    <t>(608) 752-6709</t>
  </si>
  <si>
    <t>GREENFIELD HEALTH AND REHAB CTR</t>
  </si>
  <si>
    <t xml:space="preserve">5949 BROADWAY ST </t>
  </si>
  <si>
    <t>(716) 684-3000</t>
  </si>
  <si>
    <t>SUNRISE CARE CENTER INC</t>
  </si>
  <si>
    <t xml:space="preserve">3540 S 43RD ST </t>
  </si>
  <si>
    <t>53220-1502</t>
  </si>
  <si>
    <t>(414) 541-1000</t>
  </si>
  <si>
    <t>UNITED PIONEER HOME</t>
  </si>
  <si>
    <t xml:space="preserve">623 S SECOND ST </t>
  </si>
  <si>
    <t>LUCK</t>
  </si>
  <si>
    <t>(715) 472-2164</t>
  </si>
  <si>
    <t>ON WITH LIFE AT GLENWOOD</t>
  </si>
  <si>
    <t xml:space="preserve">714 LACEY ST STE 100 </t>
  </si>
  <si>
    <t>51534-1946</t>
  </si>
  <si>
    <t>(712) 525-1528</t>
  </si>
  <si>
    <t>CARE AND REHAB</t>
  </si>
  <si>
    <t>NEILLSVILLE CARE AND REHAB</t>
  </si>
  <si>
    <t xml:space="preserve">316 SUNSET PL </t>
  </si>
  <si>
    <t>NEILLSVILLE</t>
  </si>
  <si>
    <t>715-743-5444</t>
  </si>
  <si>
    <t>PARKVIEW MANOR</t>
  </si>
  <si>
    <t xml:space="preserve">308 SHERMAN AVE </t>
  </si>
  <si>
    <t>ELLSWORTH</t>
  </si>
  <si>
    <t>(507) 967-2482</t>
  </si>
  <si>
    <t>PELICAN VALLEY HEALTH CENTER</t>
  </si>
  <si>
    <t xml:space="preserve">211 E MILL ST </t>
  </si>
  <si>
    <t>(218) 863-2991</t>
  </si>
  <si>
    <t>PLEASANT VIEW NURSING HOME - MONROE</t>
  </si>
  <si>
    <t xml:space="preserve">N3150 STATE ROAD 81 </t>
  </si>
  <si>
    <t>53566-9397</t>
  </si>
  <si>
    <t>(608) 325-2171</t>
  </si>
  <si>
    <t>OZANAM HALL OF QUEENS NURSING</t>
  </si>
  <si>
    <t xml:space="preserve">4241 201ST ST </t>
  </si>
  <si>
    <t>BAYSIDE</t>
  </si>
  <si>
    <t>11361-2550</t>
  </si>
  <si>
    <t>(718) 423-2000</t>
  </si>
  <si>
    <t>GRANDVIEW CHRISTIAN HOME</t>
  </si>
  <si>
    <t xml:space="preserve">135 N FERN ST </t>
  </si>
  <si>
    <t>JOHN KNOX MANOR II</t>
  </si>
  <si>
    <t xml:space="preserve">4401 NARROW LANE RD </t>
  </si>
  <si>
    <t>36116-2953</t>
  </si>
  <si>
    <t>(334) 281-6336</t>
  </si>
  <si>
    <t>PORTAGE COUNTY HEALTH CARE CENTER</t>
  </si>
  <si>
    <t xml:space="preserve">825 WHITING AVE </t>
  </si>
  <si>
    <t>STEVENS POINT</t>
  </si>
  <si>
    <t>54481-5246</t>
  </si>
  <si>
    <t>(715) 346-1374</t>
  </si>
  <si>
    <t>MANITOWOC CARE CENTER</t>
  </si>
  <si>
    <t xml:space="preserve">2021 S ALVERNO RD </t>
  </si>
  <si>
    <t>920 683410</t>
  </si>
  <si>
    <t>GOOD SHEPHERD SERVICES LTD.</t>
  </si>
  <si>
    <t xml:space="preserve">607 E BRONSON RD </t>
  </si>
  <si>
    <t>54165-1040</t>
  </si>
  <si>
    <t>(920) 833-6856</t>
  </si>
  <si>
    <t>RESIDENCE AT PARMLY LIFEPOINT (THE)</t>
  </si>
  <si>
    <t>55013-9556</t>
  </si>
  <si>
    <t>(651) 257-0575</t>
  </si>
  <si>
    <t>PARK CREST BAPTIST CARE CENTER (MINN.)</t>
  </si>
  <si>
    <t xml:space="preserve">512 49TH AVE N </t>
  </si>
  <si>
    <t>(612) 529-7747</t>
  </si>
  <si>
    <t>55971-8836</t>
  </si>
  <si>
    <t>GLENWOOD VILLAGE CARE CENTER</t>
  </si>
  <si>
    <t xml:space="preserve">719 2ND ST SE </t>
  </si>
  <si>
    <t>56334-1810</t>
  </si>
  <si>
    <t>(320) 634-5131</t>
  </si>
  <si>
    <t>EMMANUEL HOME</t>
  </si>
  <si>
    <t xml:space="preserve">600 S DAVIS ST </t>
  </si>
  <si>
    <t>(320) 693-2472</t>
  </si>
  <si>
    <t>JOURDAIN - PERPICH EXTENDED CARE CENTER</t>
  </si>
  <si>
    <t xml:space="preserve">24856 HOSPITAL DR </t>
  </si>
  <si>
    <t>REDLAKE</t>
  </si>
  <si>
    <t>56671-0399</t>
  </si>
  <si>
    <t>(218) 679-3400</t>
  </si>
  <si>
    <t>THE PARK</t>
  </si>
  <si>
    <t xml:space="preserve">150 PRATHER AVE </t>
  </si>
  <si>
    <t>14701-6710</t>
  </si>
  <si>
    <t>(716) 487-6873</t>
  </si>
  <si>
    <t>ELIM HOME AND REHAB CENTER</t>
  </si>
  <si>
    <t xml:space="preserve">409 JEFFERSON AVE SW </t>
  </si>
  <si>
    <t>55388-9250</t>
  </si>
  <si>
    <t>(952) 955-2691</t>
  </si>
  <si>
    <t>ROCK HAVEN</t>
  </si>
  <si>
    <t xml:space="preserve">3400 N CO HWY F </t>
  </si>
  <si>
    <t>(608) 757-5000</t>
  </si>
  <si>
    <t>ST. TERESA'S NURSING HOME</t>
  </si>
  <si>
    <t xml:space="preserve">120 HIGHLAND AVE </t>
  </si>
  <si>
    <t>10940-4713</t>
  </si>
  <si>
    <t>(845) 342-1033</t>
  </si>
  <si>
    <t>FRIENDLY HOME (THE)</t>
  </si>
  <si>
    <t xml:space="preserve">3156 EAST AVE </t>
  </si>
  <si>
    <t>14618-3428</t>
  </si>
  <si>
    <t>(585) 381-1600</t>
  </si>
  <si>
    <t>NEILSON PLACE</t>
  </si>
  <si>
    <t xml:space="preserve">1000 ANNE ST NW </t>
  </si>
  <si>
    <t>BEMIDJI</t>
  </si>
  <si>
    <t>56601-5109</t>
  </si>
  <si>
    <t>(218) 751-0220</t>
  </si>
  <si>
    <t>LAKELAND HEALTH CARE CENTER</t>
  </si>
  <si>
    <t xml:space="preserve">W3930 COUNTY ROAD NN </t>
  </si>
  <si>
    <t>ELKHORN</t>
  </si>
  <si>
    <t>53121-4335</t>
  </si>
  <si>
    <t>(262) 741-3600</t>
  </si>
  <si>
    <t>NEW YORK STATE VETERANS HOME AT BATAVIA</t>
  </si>
  <si>
    <t xml:space="preserve">220 RICHMOND AVE </t>
  </si>
  <si>
    <t>14020-1227</t>
  </si>
  <si>
    <t>(585) 345-2000</t>
  </si>
  <si>
    <t>CARITAS CENTER</t>
  </si>
  <si>
    <t xml:space="preserve">1400 S SHERIDAN ST </t>
  </si>
  <si>
    <t>67213-1336</t>
  </si>
  <si>
    <t>(316) 942-2201</t>
  </si>
  <si>
    <t>SUNPORCH OF DODGE CITY</t>
  </si>
  <si>
    <t xml:space="preserve">501 W BEESON RD </t>
  </si>
  <si>
    <t>67801-5915</t>
  </si>
  <si>
    <t>(620) 227-7512</t>
  </si>
  <si>
    <t>EVENTIDE LUTHERAN HOME</t>
  </si>
  <si>
    <t xml:space="preserve">1405 7TH ST S </t>
  </si>
  <si>
    <t>56560-3444</t>
  </si>
  <si>
    <t>THE GARDENS</t>
  </si>
  <si>
    <t xml:space="preserve">1860 UNIVERSITY AVE WEST </t>
  </si>
  <si>
    <t>(651) 272-4901</t>
  </si>
  <si>
    <t>DAUGHTERS OF ISRAEL</t>
  </si>
  <si>
    <t xml:space="preserve">1155 PLEASANT VALLEY WAY </t>
  </si>
  <si>
    <t>07052-1424</t>
  </si>
  <si>
    <t>(973) 731-5100</t>
  </si>
  <si>
    <t>NORTHFIELD HOSPITAL - LONG TERM CARE CENTER</t>
  </si>
  <si>
    <t xml:space="preserve">2000 NORTH AVE </t>
  </si>
  <si>
    <t>55057-1498</t>
  </si>
  <si>
    <t>(507) 646-1300</t>
  </si>
  <si>
    <t>MAHNOMEN HEALTH CENTER</t>
  </si>
  <si>
    <t xml:space="preserve">414 W JEFFERSON AVE </t>
  </si>
  <si>
    <t>MAHNOMEN</t>
  </si>
  <si>
    <t>56557-4912</t>
  </si>
  <si>
    <t>(218) 935-2511</t>
  </si>
  <si>
    <t>HERITAGE OF ELMWOOD NURSING HOME</t>
  </si>
  <si>
    <t xml:space="preserve">232 SPRINGER AVE </t>
  </si>
  <si>
    <t>ELMWOOD</t>
  </si>
  <si>
    <t>54740-8806</t>
  </si>
  <si>
    <t>(715) 639-2911</t>
  </si>
  <si>
    <t>HAVEN HOMES OF MAPLE PLAIN</t>
  </si>
  <si>
    <t xml:space="preserve">1520 WYMAN AVE </t>
  </si>
  <si>
    <t>MAPLE PLAIN</t>
  </si>
  <si>
    <t>55359-9639</t>
  </si>
  <si>
    <t>(763) 479-1993</t>
  </si>
  <si>
    <t>THE VILLAGES OF NORTH BRANCH</t>
  </si>
  <si>
    <t xml:space="preserve">5379 383RD ST </t>
  </si>
  <si>
    <t>(651) 237-3000</t>
  </si>
  <si>
    <t>SUNNYSIDE CARE CENTER</t>
  </si>
  <si>
    <t xml:space="preserve">16561 US HWY 10 </t>
  </si>
  <si>
    <t>LAKE PARK</t>
  </si>
  <si>
    <t>(218) 238-5944</t>
  </si>
  <si>
    <t>BLOOMFIELD HEALTHCARE AND REHAB</t>
  </si>
  <si>
    <t xml:space="preserve">3151 COUNTY ROAD CH </t>
  </si>
  <si>
    <t>DODGEVILLE</t>
  </si>
  <si>
    <t>53533-9108</t>
  </si>
  <si>
    <t>(608) 935-3321</t>
  </si>
  <si>
    <t>PRAIRIE MANOR CARE CENTER</t>
  </si>
  <si>
    <t xml:space="preserve">220 3RD ST NW </t>
  </si>
  <si>
    <t>BLOOMING PRAIRIE</t>
  </si>
  <si>
    <t>55917-1121</t>
  </si>
  <si>
    <t>(507) 583-4434</t>
  </si>
  <si>
    <t>PARKVIEW HEALTH CENTER</t>
  </si>
  <si>
    <t xml:space="preserve">725 BUTLER AVE </t>
  </si>
  <si>
    <t>54901-8149</t>
  </si>
  <si>
    <t>(920) 237-6910</t>
  </si>
  <si>
    <t>MISSION NURSING HOME - PLYMOUTH - MN</t>
  </si>
  <si>
    <t xml:space="preserve">3401 E MEDICINE LAKE BLVD </t>
  </si>
  <si>
    <t>55441-2307</t>
  </si>
  <si>
    <t>(763) 559-3123</t>
  </si>
  <si>
    <t>LINCOLN VILLAGE CONVALESCENT CENTER</t>
  </si>
  <si>
    <t xml:space="preserve">1700 C A BECKER DR </t>
  </si>
  <si>
    <t>53406-4714</t>
  </si>
  <si>
    <t>(262) 637-9751</t>
  </si>
  <si>
    <t xml:space="preserve">310 FAIRLANE DRIVE </t>
  </si>
  <si>
    <t>608 637540</t>
  </si>
  <si>
    <t>METHODIST CHURCH HOME FOR THE AGED</t>
  </si>
  <si>
    <t xml:space="preserve">4499 MANHATTAN COLLEGE PKWY </t>
  </si>
  <si>
    <t>10471-3919</t>
  </si>
  <si>
    <t>(718) 548-5100</t>
  </si>
  <si>
    <t>NEW YORK STATE VETERANS HOME-AT ST. ALBANS</t>
  </si>
  <si>
    <t xml:space="preserve">17850 LINDEN BLVD </t>
  </si>
  <si>
    <t>11434-1467</t>
  </si>
  <si>
    <t>(718) 990-0300</t>
  </si>
  <si>
    <t>MOTHER OF MERCY CAMPUS OF CARE</t>
  </si>
  <si>
    <t>56307-9489</t>
  </si>
  <si>
    <t>(320) 845-2195</t>
  </si>
  <si>
    <t>OAK HILLS LIVING CENTER</t>
  </si>
  <si>
    <t xml:space="preserve">1314 8TH ST N </t>
  </si>
  <si>
    <t>507 233080</t>
  </si>
  <si>
    <t>LITTLEFORK MEDICAL CENTER</t>
  </si>
  <si>
    <t xml:space="preserve">912 MAIN ST </t>
  </si>
  <si>
    <t>LITTLEFORK</t>
  </si>
  <si>
    <t>56653-9378</t>
  </si>
  <si>
    <t>(218) 278-6634</t>
  </si>
  <si>
    <t>GRANITE FALLS MUNICIPAL HOSPITAL AND MANOR</t>
  </si>
  <si>
    <t xml:space="preserve">345 10TH AVE </t>
  </si>
  <si>
    <t>GRANITE FALLS</t>
  </si>
  <si>
    <t>(320) 564-3111</t>
  </si>
  <si>
    <t>BROOKSIDE CARE CENTER</t>
  </si>
  <si>
    <t xml:space="preserve">3506 WASHINGTON RD </t>
  </si>
  <si>
    <t>53144-1654</t>
  </si>
  <si>
    <t>(262) 653-3800</t>
  </si>
  <si>
    <t>BREWSTER VILLAGE</t>
  </si>
  <si>
    <t xml:space="preserve">3300 W BREWSTER ST </t>
  </si>
  <si>
    <t>920 832540</t>
  </si>
  <si>
    <t xml:space="preserve">ST. JOSEPHS HOME ASSISTED LIVING &amp; NURSING CTR INC DBA ST. </t>
  </si>
  <si>
    <t xml:space="preserve">1-3 SAINT JOSEPHS TERRACE </t>
  </si>
  <si>
    <t>WOODBRIDGE</t>
  </si>
  <si>
    <t>732 750007</t>
  </si>
  <si>
    <t>ROBISON JEWISH HEALTH CENTER</t>
  </si>
  <si>
    <t>503 535430</t>
  </si>
  <si>
    <t>CLATSOP CARE CENTER</t>
  </si>
  <si>
    <t>LYNGBLOMSTEN CARE CENTER</t>
  </si>
  <si>
    <t>(651) 646-2941</t>
  </si>
  <si>
    <t>LAKE RIDGE CARE CENTER</t>
  </si>
  <si>
    <t xml:space="preserve">310 LAKE BLVD S </t>
  </si>
  <si>
    <t>55313-1456</t>
  </si>
  <si>
    <t>(763) 404-4600</t>
  </si>
  <si>
    <t>UNITY LIVING CENTER</t>
  </si>
  <si>
    <t>(585) 368-3129</t>
  </si>
  <si>
    <t>ST. FRANCIS HOME OF WILLIAMSVILLE</t>
  </si>
  <si>
    <t xml:space="preserve">147 REIST ST </t>
  </si>
  <si>
    <t>14221-5321</t>
  </si>
  <si>
    <t>(716) 633-5400</t>
  </si>
  <si>
    <t>HARBOR HAVEN HEALTH &amp; REHABILITATION</t>
  </si>
  <si>
    <t xml:space="preserve">459 E 1ST ST </t>
  </si>
  <si>
    <t>54935-4505</t>
  </si>
  <si>
    <t>(920) 929-3500</t>
  </si>
  <si>
    <t>ELIM HOME</t>
  </si>
  <si>
    <t xml:space="preserve">730 SECOND ST SE </t>
  </si>
  <si>
    <t>(320) 983-2185</t>
  </si>
  <si>
    <t>THE LINDEN APARTMENTS</t>
  </si>
  <si>
    <t>56560-3497</t>
  </si>
  <si>
    <t>PARK VIEW CARE CENTER</t>
  </si>
  <si>
    <t>COUNTRY MANOR CAMPUS</t>
  </si>
  <si>
    <t xml:space="preserve">520 1ST ST NE </t>
  </si>
  <si>
    <t>SARTELL</t>
  </si>
  <si>
    <t>56377-1274</t>
  </si>
  <si>
    <t>(320) 253-1920</t>
  </si>
  <si>
    <t>MAPLETON COMMUNITY HOME</t>
  </si>
  <si>
    <t xml:space="preserve">301 TROENDLE ST SW </t>
  </si>
  <si>
    <t>56065-9744</t>
  </si>
  <si>
    <t>(507) 524-3315</t>
  </si>
  <si>
    <t>LAKESHORE</t>
  </si>
  <si>
    <t xml:space="preserve">4002 LONDON RD </t>
  </si>
  <si>
    <t>(218) 625-7100</t>
  </si>
  <si>
    <t>HERITAGE LIVING CENTER</t>
  </si>
  <si>
    <t xml:space="preserve">619 W 6TH ST </t>
  </si>
  <si>
    <t>(218) 732-3329</t>
  </si>
  <si>
    <t>REDEEMER HEALTH &amp; REHAB CENTER</t>
  </si>
  <si>
    <t xml:space="preserve">625 W 31ST ST </t>
  </si>
  <si>
    <t>55408-2922</t>
  </si>
  <si>
    <t>(612) 827-2555</t>
  </si>
  <si>
    <t>COLUMBIA HEALTH CARE CENTER</t>
  </si>
  <si>
    <t xml:space="preserve">323 W MONROE ST </t>
  </si>
  <si>
    <t>WYOCENA</t>
  </si>
  <si>
    <t>(608) 429-2181</t>
  </si>
  <si>
    <t>MORNINGSIDE HEIGHTS CARE CENTER</t>
  </si>
  <si>
    <t xml:space="preserve">300 S BRUCE ST </t>
  </si>
  <si>
    <t>56258-1934</t>
  </si>
  <si>
    <t>(507) 532-9661</t>
  </si>
  <si>
    <t>ST MARKS LUTHERAN HOME</t>
  </si>
  <si>
    <t xml:space="preserve">400 - 15TH AVE S W </t>
  </si>
  <si>
    <t>(507) 437-4594</t>
  </si>
  <si>
    <t>ST FRANCIS OF BUFFALO</t>
  </si>
  <si>
    <t xml:space="preserve">34 BENWOOD AVE </t>
  </si>
  <si>
    <t>14214-1761</t>
  </si>
  <si>
    <t>(716) 862-2500</t>
  </si>
  <si>
    <t>CREST VIEW LUTHERAN HOME</t>
  </si>
  <si>
    <t>COKATO MANOR</t>
  </si>
  <si>
    <t>320 286215</t>
  </si>
  <si>
    <t>COLONIAL MANOR NURSING HOME</t>
  </si>
  <si>
    <t xml:space="preserve">714 MANOR DR </t>
  </si>
  <si>
    <t>LAKEFIELD</t>
  </si>
  <si>
    <t>(507) 662-6646</t>
  </si>
  <si>
    <t>AUGUSTANA CHAPEL VIEW CARE CENTER</t>
  </si>
  <si>
    <t xml:space="preserve">615 MINNETONKA MILLS RD </t>
  </si>
  <si>
    <t>55343-7203</t>
  </si>
  <si>
    <t>(952) 938-2761</t>
  </si>
  <si>
    <t>CRYSTAL CARE CENTER - MINNEAPOLIS - MN</t>
  </si>
  <si>
    <t xml:space="preserve">3245 VERA CRUZ AVE N </t>
  </si>
  <si>
    <t>55422-2708</t>
  </si>
  <si>
    <t>(763) 535-6260</t>
  </si>
  <si>
    <t>MATER DEI NURSING HOME</t>
  </si>
  <si>
    <t xml:space="preserve">1845 HADDON AVE </t>
  </si>
  <si>
    <t>08057-3095</t>
  </si>
  <si>
    <t>(856) 358-2061</t>
  </si>
  <si>
    <t>BETHANY HOME-LITCHFIELD</t>
  </si>
  <si>
    <t xml:space="preserve">203 N ARMSTRONG </t>
  </si>
  <si>
    <t>(320) 693-2423</t>
  </si>
  <si>
    <t>DASSEL LAKESIDE COMMUNITY HOME</t>
  </si>
  <si>
    <t xml:space="preserve">439 WILLIAM AVE E PO BOX 383 </t>
  </si>
  <si>
    <t>BETHANY LUTHERAN HOMES INC</t>
  </si>
  <si>
    <t xml:space="preserve">2025 SOUTH AVE </t>
  </si>
  <si>
    <t>(608) 775-9900</t>
  </si>
  <si>
    <t>BETHANY LUTHERAN HOMES</t>
  </si>
  <si>
    <t xml:space="preserve">2575 S 7TH ST </t>
  </si>
  <si>
    <t>54601-5249</t>
  </si>
  <si>
    <t>EDENDALE</t>
  </si>
  <si>
    <t xml:space="preserve">16700 MAIN ST </t>
  </si>
  <si>
    <t>55346-4359</t>
  </si>
  <si>
    <t>(612) 934-5016</t>
  </si>
  <si>
    <t>LITTLE SISTERS OF THE POOR OF GREATER BOSTON</t>
  </si>
  <si>
    <t xml:space="preserve">186 HIGHLAND AVE </t>
  </si>
  <si>
    <t>SOMERVILLE</t>
  </si>
  <si>
    <t>02143-1507</t>
  </si>
  <si>
    <t>(617) 776-4420</t>
  </si>
  <si>
    <t>AUBURN MANOR</t>
  </si>
  <si>
    <t>952 448930</t>
  </si>
  <si>
    <t>THOMSON HOOD VETERANS CENTER</t>
  </si>
  <si>
    <t xml:space="preserve">100 VETERANS DR </t>
  </si>
  <si>
    <t>40390-9775</t>
  </si>
  <si>
    <t>(859)858-2814</t>
  </si>
  <si>
    <t>NIM HENSON GERIATRIC CENTER</t>
  </si>
  <si>
    <t xml:space="preserve">420 JETT DR </t>
  </si>
  <si>
    <t>(606) 666-2456</t>
  </si>
  <si>
    <t>CHRISTIAN HEALTH CENTER</t>
  </si>
  <si>
    <t xml:space="preserve">116 S COMMONWEALTH AVE </t>
  </si>
  <si>
    <t>CORBIN</t>
  </si>
  <si>
    <t>40701-6408</t>
  </si>
  <si>
    <t>(606) 258-2500</t>
  </si>
  <si>
    <t>MARY ANN MORSE NURSING HOME INC</t>
  </si>
  <si>
    <t xml:space="preserve">45 UNION ST </t>
  </si>
  <si>
    <t>NATICK</t>
  </si>
  <si>
    <t>01760-6056</t>
  </si>
  <si>
    <t>(508) 650-9003</t>
  </si>
  <si>
    <t>RIVERCREST-DEACONESS</t>
  </si>
  <si>
    <t>01742-4168</t>
  </si>
  <si>
    <t>(978) 402-8261</t>
  </si>
  <si>
    <t>NOTRE DAME LONG TERM CARE CENTER</t>
  </si>
  <si>
    <t xml:space="preserve">559 PLANTATION STREET </t>
  </si>
  <si>
    <t>(508) 852-3011</t>
  </si>
  <si>
    <t>AUGUSTANA MERCY CARE CENTER LLC</t>
  </si>
  <si>
    <t xml:space="preserve">710 S KENWOOD AVE </t>
  </si>
  <si>
    <t>MOORE LAKE</t>
  </si>
  <si>
    <t>(218) 485-4481</t>
  </si>
  <si>
    <t>AUBURN HOME IN WACONIA</t>
  </si>
  <si>
    <t xml:space="preserve">594 CHERRY DR </t>
  </si>
  <si>
    <t>WACONIA</t>
  </si>
  <si>
    <t>952-442-2546</t>
  </si>
  <si>
    <t>COURAGE RESIDENCE</t>
  </si>
  <si>
    <t xml:space="preserve">3915 GOLDEN VALLEY RD </t>
  </si>
  <si>
    <t>55422-4249</t>
  </si>
  <si>
    <t>(763) 520-0305</t>
  </si>
  <si>
    <t>ARMENIAN NURSING AND REHAB CTR</t>
  </si>
  <si>
    <t xml:space="preserve">70 MAIN ST </t>
  </si>
  <si>
    <t>EMERSON</t>
  </si>
  <si>
    <t>07630-1948</t>
  </si>
  <si>
    <t>(201) 261-6662</t>
  </si>
  <si>
    <t>LOURDES HEALTH CARE CENTER</t>
  </si>
  <si>
    <t xml:space="preserve">345 BELDEN HILL RD </t>
  </si>
  <si>
    <t>06897-3800</t>
  </si>
  <si>
    <t>(203) 762-3318</t>
  </si>
  <si>
    <t>BISHOP WICKE HEALTH CENTER</t>
  </si>
  <si>
    <t xml:space="preserve">584 LONG HILL AVE </t>
  </si>
  <si>
    <t>06484-4810</t>
  </si>
  <si>
    <t>(203) 929-5321</t>
  </si>
  <si>
    <t>BICKFORD HEALTH CARE CENTER</t>
  </si>
  <si>
    <t xml:space="preserve">14 MAIN ST </t>
  </si>
  <si>
    <t>WINDSOR LOCKS</t>
  </si>
  <si>
    <t>06096-2307</t>
  </si>
  <si>
    <t>(860) 623-4351</t>
  </si>
  <si>
    <t>PIERCE MEMORIAL BAPTIST NURSING AND REHAB CEN</t>
  </si>
  <si>
    <t xml:space="preserve">44 CANTERBURY RD </t>
  </si>
  <si>
    <t>06234-1903</t>
  </si>
  <si>
    <t>(860) 774-9050</t>
  </si>
  <si>
    <t>MATULAITIS NURSING HOME INC</t>
  </si>
  <si>
    <t xml:space="preserve">10 THURBER RD </t>
  </si>
  <si>
    <t>PUTNAM</t>
  </si>
  <si>
    <t>06260-2518</t>
  </si>
  <si>
    <t>(860) 928-7976</t>
  </si>
  <si>
    <t>FATHER BAKER MANOR</t>
  </si>
  <si>
    <t xml:space="preserve">6400 POWERS RD </t>
  </si>
  <si>
    <t>ORCHARD PARK</t>
  </si>
  <si>
    <t>14127-4841</t>
  </si>
  <si>
    <t>(716) 667-0001</t>
  </si>
  <si>
    <t>ABBOTT HOUS NURSING HOME</t>
  </si>
  <si>
    <t xml:space="preserve">28 ESSEX S </t>
  </si>
  <si>
    <t>LYNN</t>
  </si>
  <si>
    <t>(781) 595-5500</t>
  </si>
  <si>
    <t>WESLEY REHABILITATION CENTER</t>
  </si>
  <si>
    <t>MERCY SKILLED NURSING FACILITY</t>
  </si>
  <si>
    <t xml:space="preserve">55 MELROY AVE </t>
  </si>
  <si>
    <t>14220-2039</t>
  </si>
  <si>
    <t>(716) 819-5300</t>
  </si>
  <si>
    <t>BEECHWOOD RESIDENCE</t>
  </si>
  <si>
    <t>(716) 810-7000</t>
  </si>
  <si>
    <t>BRADLEY HOME</t>
  </si>
  <si>
    <t xml:space="preserve">320 COLONY ST </t>
  </si>
  <si>
    <t>06451-2053</t>
  </si>
  <si>
    <t>(203) 235-5716</t>
  </si>
  <si>
    <t>A-G- RHODES HOME AT WESLEY WOODS (THE)</t>
  </si>
  <si>
    <t xml:space="preserve">1819 CLIFTON RD NE </t>
  </si>
  <si>
    <t>404-315-0900</t>
  </si>
  <si>
    <t>SMITH HOUSE HEALTH CARE CENTER</t>
  </si>
  <si>
    <t xml:space="preserve">88 ROCK RIMMON RD </t>
  </si>
  <si>
    <t>06903-2817</t>
  </si>
  <si>
    <t>(203) 322-3428</t>
  </si>
  <si>
    <t>MANSFIELD CENTER FOR NURSING &amp; REHAB.</t>
  </si>
  <si>
    <t xml:space="preserve">100 WARREN CIR </t>
  </si>
  <si>
    <t>STORRS</t>
  </si>
  <si>
    <t>(860) 487-2300</t>
  </si>
  <si>
    <t>MERCYKNOLL SKILLED NURSING CENTER</t>
  </si>
  <si>
    <t xml:space="preserve">243 STEELE RD </t>
  </si>
  <si>
    <t>(860) 236-3503</t>
  </si>
  <si>
    <t>HONEY HILL CARE CENTER</t>
  </si>
  <si>
    <t xml:space="preserve">34 MIDROCKS DR </t>
  </si>
  <si>
    <t>06851-1626</t>
  </si>
  <si>
    <t>(203) 847-9686</t>
  </si>
  <si>
    <t>A-G- RHODES HOME BOULEVARD</t>
  </si>
  <si>
    <t xml:space="preserve">350 BOULEVARD SE </t>
  </si>
  <si>
    <t>30312-3352</t>
  </si>
  <si>
    <t>(404) 688-6731</t>
  </si>
  <si>
    <t>A G RHODES HOME - COBB</t>
  </si>
  <si>
    <t xml:space="preserve">900 WYLIE RD SE </t>
  </si>
  <si>
    <t>30067-7857</t>
  </si>
  <si>
    <t>(770) 427-8727</t>
  </si>
  <si>
    <t>SUSSEX COUNTY HOMESTEAD</t>
  </si>
  <si>
    <t xml:space="preserve">129 MORRIS TPKE </t>
  </si>
  <si>
    <t>07860-4913</t>
  </si>
  <si>
    <t>(973) 948-5400</t>
  </si>
  <si>
    <t>LEEWAY INC</t>
  </si>
  <si>
    <t xml:space="preserve">40 ALBERT ST </t>
  </si>
  <si>
    <t>06511-1542</t>
  </si>
  <si>
    <t>(203) 865-0068</t>
  </si>
  <si>
    <t>FAMILY LIFE ENRICHMENT CENTER INC.</t>
  </si>
  <si>
    <t xml:space="preserve">3450 NEW HIGH SHOALS RD </t>
  </si>
  <si>
    <t>HIGH SHOALS</t>
  </si>
  <si>
    <t>30645-0010</t>
  </si>
  <si>
    <t>(706) 769-7738</t>
  </si>
  <si>
    <t>SOUTHINGTON CARE CENTER</t>
  </si>
  <si>
    <t>(860) 621-9559</t>
  </si>
  <si>
    <t>AFFIRMATION HOME HEALTH</t>
  </si>
  <si>
    <t xml:space="preserve">10124 WEST BROAD STREET STE E </t>
  </si>
  <si>
    <t>804-229-1349</t>
  </si>
  <si>
    <t>THE PHOENIX CENTER</t>
  </si>
  <si>
    <t xml:space="preserve">149 MERCY BLVD </t>
  </si>
  <si>
    <t>MOUNT ORAB</t>
  </si>
  <si>
    <t>937-712-3121</t>
  </si>
  <si>
    <t xml:space="preserve">925 LIBERTY AVENUE </t>
  </si>
  <si>
    <t>412-471-6337</t>
  </si>
  <si>
    <t>BLUE JAYS LEARNING CENTER INC</t>
  </si>
  <si>
    <t xml:space="preserve">1610 NORTH MAIN STREET </t>
  </si>
  <si>
    <t>MORTON</t>
  </si>
  <si>
    <t>309-608-0101</t>
  </si>
  <si>
    <t xml:space="preserve">1123 MCDONALD AVENUE </t>
  </si>
  <si>
    <t xml:space="preserve">222 WEST LAS COLINAS STE 1650E </t>
  </si>
  <si>
    <t>ALLIANCE HEALTHCARE CORPORATE</t>
  </si>
  <si>
    <t xml:space="preserve">1382 LANES MILL ROAD </t>
  </si>
  <si>
    <t>732-666-9399</t>
  </si>
  <si>
    <t>BRIAR HILL MANAGEMENT</t>
  </si>
  <si>
    <t>BRIAR HILL MANAGEMENT LLC</t>
  </si>
  <si>
    <t xml:space="preserve">529 SOUTH PEAR ORCHARD ROAD </t>
  </si>
  <si>
    <t>RIDGELAND</t>
  </si>
  <si>
    <t>662-552-0802</t>
  </si>
  <si>
    <t>CATHOLIC SOCIAL SERVICES</t>
  </si>
  <si>
    <t>ST FRANCIS-ST JOSEPH HOMES FOR CHILDREN</t>
  </si>
  <si>
    <t xml:space="preserve">3400 BRISTOL PIKE </t>
  </si>
  <si>
    <t>215-244-9209</t>
  </si>
  <si>
    <t>ADULT &amp; TEEN CHALLENGE OF TX HOUSTON WOMENS CAMPUS</t>
  </si>
  <si>
    <t xml:space="preserve">413 COUNTY ROAD 192 </t>
  </si>
  <si>
    <t>ALVIN</t>
  </si>
  <si>
    <t>417-773-6375</t>
  </si>
  <si>
    <t>MOM 2 MOM CONSIGNMENT</t>
  </si>
  <si>
    <t xml:space="preserve">115 CANYON ROAD </t>
  </si>
  <si>
    <t>WINCESTER</t>
  </si>
  <si>
    <t>540-539-0607</t>
  </si>
  <si>
    <t>LFA KIDS</t>
  </si>
  <si>
    <t xml:space="preserve">5364 DOE RUN ROAD </t>
  </si>
  <si>
    <t>540-525-1446</t>
  </si>
  <si>
    <t>SOARING EAGLE CAMP</t>
  </si>
  <si>
    <t xml:space="preserve">4772 HIGHWAY 110 </t>
  </si>
  <si>
    <t>501-745-3044</t>
  </si>
  <si>
    <t>KIM KELLEY EVENTS</t>
  </si>
  <si>
    <t xml:space="preserve">207 SHAFTSBURY ROAD </t>
  </si>
  <si>
    <t>CLEMSON</t>
  </si>
  <si>
    <t>864-710-7393</t>
  </si>
  <si>
    <t>ANCHORAGE CHRISTIAN SCHOOLS</t>
  </si>
  <si>
    <t xml:space="preserve">6575 EAST NORTHERN LIGHTS BLVD </t>
  </si>
  <si>
    <t>907-269-3841</t>
  </si>
  <si>
    <t>BAPTIST CONVALESCENT CENTER</t>
  </si>
  <si>
    <t xml:space="preserve">120 MAIN ST </t>
  </si>
  <si>
    <t>41071-2354</t>
  </si>
  <si>
    <t>(859) 581-1938</t>
  </si>
  <si>
    <t>ARBOR (THE)</t>
  </si>
  <si>
    <t>LONG HOUSE (THE)</t>
  </si>
  <si>
    <t xml:space="preserve">3000 RIGGS AVE </t>
  </si>
  <si>
    <t>(859) 727-9330</t>
  </si>
  <si>
    <t>MOTHER OF PERPETUAL HELP RESIDENCE</t>
  </si>
  <si>
    <t xml:space="preserve">7609 WATSON RD </t>
  </si>
  <si>
    <t>ST ANDREWS ASSISTED LIVING OF BRIDGETON</t>
  </si>
  <si>
    <t xml:space="preserve">11325 SAINT CHARLES ROCK RD </t>
  </si>
  <si>
    <t>314 209117</t>
  </si>
  <si>
    <t>WYOMING PIONEER HOME</t>
  </si>
  <si>
    <t xml:space="preserve">141 PIONEER HOME DR </t>
  </si>
  <si>
    <t>THERMOPOLIS</t>
  </si>
  <si>
    <t>307 864315</t>
  </si>
  <si>
    <t xml:space="preserve">1302 W SUNSET ST </t>
  </si>
  <si>
    <t>65807-5943</t>
  </si>
  <si>
    <t>(417) 889-7600</t>
  </si>
  <si>
    <t>LSS RICHMOND TERRACE</t>
  </si>
  <si>
    <t xml:space="preserve">1633 LACLEDE STATION RD </t>
  </si>
  <si>
    <t>314 646800</t>
  </si>
  <si>
    <t>ASSISTED LIVING AT CHARLESS VILLAGE</t>
  </si>
  <si>
    <t>(314) 375-1000</t>
  </si>
  <si>
    <t>VERONICA HOUSE</t>
  </si>
  <si>
    <t xml:space="preserve">12284 DE PAUL DR </t>
  </si>
  <si>
    <t>63044-2508</t>
  </si>
  <si>
    <t>(314) 209-8814</t>
  </si>
  <si>
    <t>THE WILLOWS ASSISTED LIVING RESIDENCE</t>
  </si>
  <si>
    <t xml:space="preserve">301 MELVILLE DR </t>
  </si>
  <si>
    <t>73075-6651</t>
  </si>
  <si>
    <t>(405) 238-4414</t>
  </si>
  <si>
    <t>LIFE INC.</t>
  </si>
  <si>
    <t xml:space="preserve">701 S 3RD ST </t>
  </si>
  <si>
    <t>MUSKOGEE</t>
  </si>
  <si>
    <t>74401-7825</t>
  </si>
  <si>
    <t>MEADOWVIEW RESIDENTIAL CARE</t>
  </si>
  <si>
    <t xml:space="preserve">101 FAR WEST DR </t>
  </si>
  <si>
    <t>64506-3500</t>
  </si>
  <si>
    <t>(816) 232-2675</t>
  </si>
  <si>
    <t>DUBOURG HOUSE</t>
  </si>
  <si>
    <t xml:space="preserve">5890 EICHELBERGER </t>
  </si>
  <si>
    <t>63109-3454</t>
  </si>
  <si>
    <t>(314) 752-1901</t>
  </si>
  <si>
    <t>BETHEDSA - HAWTHORNE PLACE</t>
  </si>
  <si>
    <t xml:space="preserve">1111 S BERRY RD </t>
  </si>
  <si>
    <t>63122-6508</t>
  </si>
  <si>
    <t>(314) 942-5750</t>
  </si>
  <si>
    <t>GOLDEN VILLA CENTER INC</t>
  </si>
  <si>
    <t xml:space="preserve">1722 N 4TH ST STE B </t>
  </si>
  <si>
    <t>74601-2745</t>
  </si>
  <si>
    <t>THE VILLAGE AT OAKWOOD</t>
  </si>
  <si>
    <t xml:space="preserve">817 SW 59TH ST </t>
  </si>
  <si>
    <t>(405) 605-6353</t>
  </si>
  <si>
    <t>ST ELIZABETH HALL</t>
  </si>
  <si>
    <t xml:space="preserve">325 N NEWSTEAD AVE </t>
  </si>
  <si>
    <t>63108-2707</t>
  </si>
  <si>
    <t>(314) 652-9525</t>
  </si>
  <si>
    <t xml:space="preserve">E 1801 UPRIVER DR </t>
  </si>
  <si>
    <t>509 483648</t>
  </si>
  <si>
    <t>OLD FOLKS HOME OF BRUNSWICK/TSH</t>
  </si>
  <si>
    <t xml:space="preserve">52 HARPSWELL RD </t>
  </si>
  <si>
    <t>04011-2538</t>
  </si>
  <si>
    <t>(207) 725-5701</t>
  </si>
  <si>
    <t>THE NEIGHBORHOODS AT BAPTIST VILLAGE OF ELK C</t>
  </si>
  <si>
    <t xml:space="preserve">1500 W COUNTRY CLUB BLVD </t>
  </si>
  <si>
    <t>ELK CITY</t>
  </si>
  <si>
    <t>(580) 225-5555</t>
  </si>
  <si>
    <t>TIMBERHILL PLACE ASSISTED LIVING</t>
  </si>
  <si>
    <t xml:space="preserve">989 NW SPRUCE AVE </t>
  </si>
  <si>
    <t>541 753148</t>
  </si>
  <si>
    <t>SPRING MEADOWS</t>
  </si>
  <si>
    <t xml:space="preserve">36070 PITTSBURG RD </t>
  </si>
  <si>
    <t>SAINT HELENS</t>
  </si>
  <si>
    <t>503 397040</t>
  </si>
  <si>
    <t>AIR FORCE VILLAGE INC</t>
  </si>
  <si>
    <t xml:space="preserve">12455 FREEDOM WAY </t>
  </si>
  <si>
    <t>78245-3526</t>
  </si>
  <si>
    <t>(210) 838-6300</t>
  </si>
  <si>
    <t>RIVERVIEW SENIOR RESORT LIVING</t>
  </si>
  <si>
    <t xml:space="preserve">3490 GRAN AVE </t>
  </si>
  <si>
    <t>(321) 312-4555</t>
  </si>
  <si>
    <t>AMBER WAY</t>
  </si>
  <si>
    <t xml:space="preserve">300 GOLDEN DR </t>
  </si>
  <si>
    <t>BETHANY AT SILVER CREST</t>
  </si>
  <si>
    <t xml:space="preserve">2131 LAKE HEIGHTS DR </t>
  </si>
  <si>
    <t>425-385-2335</t>
  </si>
  <si>
    <t>NORTHPOINTE WOODS</t>
  </si>
  <si>
    <t xml:space="preserve">700 NORTH AVE </t>
  </si>
  <si>
    <t>(269) 964-7625</t>
  </si>
  <si>
    <t>WYNDHAM WEST</t>
  </si>
  <si>
    <t xml:space="preserve">620 PHILLIPS ST </t>
  </si>
  <si>
    <t>NYSSA GARDENS</t>
  </si>
  <si>
    <t xml:space="preserve">1101 PARK AVE </t>
  </si>
  <si>
    <t>NYSSA</t>
  </si>
  <si>
    <t>541 372402</t>
  </si>
  <si>
    <t>WILLAMETTE MANOR INC</t>
  </si>
  <si>
    <t xml:space="preserve">176 W C ST </t>
  </si>
  <si>
    <t>541 258817</t>
  </si>
  <si>
    <t>TAFT HOME</t>
  </si>
  <si>
    <t xml:space="preserve">1337 SW WASHINGTON </t>
  </si>
  <si>
    <t>503.223.21</t>
  </si>
  <si>
    <t>HOLTON HOME</t>
  </si>
  <si>
    <t xml:space="preserve">158 WESTERN AVE </t>
  </si>
  <si>
    <t>BRATTLEBORO</t>
  </si>
  <si>
    <t>05301-6089</t>
  </si>
  <si>
    <t>(802) 254-4155</t>
  </si>
  <si>
    <t>BAILEY MANOR</t>
  </si>
  <si>
    <t>29325-9400</t>
  </si>
  <si>
    <t>(864) 833-3425</t>
  </si>
  <si>
    <t>ASBURY PLACE AT KINGSPORT</t>
  </si>
  <si>
    <t>37660-2685</t>
  </si>
  <si>
    <t>(423) 245-1067</t>
  </si>
  <si>
    <t>BAPTIST VILLAGE OF ELK CITY</t>
  </si>
  <si>
    <t xml:space="preserve">1500 W. COUNTRY CLUB BLVD. </t>
  </si>
  <si>
    <t>CHILDRENS ARK</t>
  </si>
  <si>
    <t xml:space="preserve">3701 W SPRING CREEK PKWY </t>
  </si>
  <si>
    <t>75023-3838</t>
  </si>
  <si>
    <t>(972) 769-1109</t>
  </si>
  <si>
    <t>BARUCH SENIOR MINISTRIES</t>
  </si>
  <si>
    <t>PARK PLACE</t>
  </si>
  <si>
    <t xml:space="preserve">6900 37TH AVE S </t>
  </si>
  <si>
    <t>269 388730</t>
  </si>
  <si>
    <t>PHOEBE BERKS VILLAGE</t>
  </si>
  <si>
    <t xml:space="preserve">1 READING DR </t>
  </si>
  <si>
    <t>(610) 927-8510</t>
  </si>
  <si>
    <t>FRANCISCAN MISSIONARIES OF MARY-ASSISTED LIVI</t>
  </si>
  <si>
    <t xml:space="preserve">399 FRUIT HILL AVE </t>
  </si>
  <si>
    <t>NORTH PROVIDENCE</t>
  </si>
  <si>
    <t>02911-2842</t>
  </si>
  <si>
    <t>(401) 353-5800</t>
  </si>
  <si>
    <t>THE LAMOINE ASSISTED LIVING AND MEMORY CARE</t>
  </si>
  <si>
    <t xml:space="preserve">203 N RANDOLPH ST </t>
  </si>
  <si>
    <t>61455-2273</t>
  </si>
  <si>
    <t>(309) 575-3018</t>
  </si>
  <si>
    <t>RIVERSIDE SENIOR LIFE AT BOURBONNAIS</t>
  </si>
  <si>
    <t xml:space="preserve">85 E BURNS RD </t>
  </si>
  <si>
    <t>BOURBONNAIS</t>
  </si>
  <si>
    <t>60914-2193</t>
  </si>
  <si>
    <t>(815) 935-3332</t>
  </si>
  <si>
    <t>WESLEYAN RETIREMENT HOME - ESTRELLA ASSISTED</t>
  </si>
  <si>
    <t xml:space="preserve">109 ESTRELLA XING </t>
  </si>
  <si>
    <t>78628-6991</t>
  </si>
  <si>
    <t>PENN HOME</t>
  </si>
  <si>
    <t xml:space="preserve">1401 E SUSQUEHANNA AVE </t>
  </si>
  <si>
    <t>19125-2825</t>
  </si>
  <si>
    <t>(215) 739-2522</t>
  </si>
  <si>
    <t>RIVER BIRCH SENIOR LIVING</t>
  </si>
  <si>
    <t xml:space="preserve">4012 COCKRELL LN </t>
  </si>
  <si>
    <t>62711-8327</t>
  </si>
  <si>
    <t>(217) 547-0400</t>
  </si>
  <si>
    <t>WESLEY ENHANCED LIVING UPPER MORELAND</t>
  </si>
  <si>
    <t xml:space="preserve">2815 BYBERRY RD </t>
  </si>
  <si>
    <t>19040-2801</t>
  </si>
  <si>
    <t>(215) 675-0103</t>
  </si>
  <si>
    <t>HOLY FAMILY RESIDENCE AT</t>
  </si>
  <si>
    <t xml:space="preserve">900 W MARKET ST </t>
  </si>
  <si>
    <t>ORWIGSBURG</t>
  </si>
  <si>
    <t>17961-1008</t>
  </si>
  <si>
    <t>(610) 865-5595</t>
  </si>
  <si>
    <t>EPISCOPAL HOME</t>
  </si>
  <si>
    <t xml:space="preserve">206 E BURD ST </t>
  </si>
  <si>
    <t>SHIPPENSBURG</t>
  </si>
  <si>
    <t>17257-1402</t>
  </si>
  <si>
    <t>(717) 532-4612</t>
  </si>
  <si>
    <t>CARTER-MAY HOME</t>
  </si>
  <si>
    <t xml:space="preserve">1660 INGRAM RD </t>
  </si>
  <si>
    <t>29407-4242</t>
  </si>
  <si>
    <t>(843) 556-8314</t>
  </si>
  <si>
    <t>SACRED HEART VILLA</t>
  </si>
  <si>
    <t xml:space="preserve">51 SEMINARY AVE </t>
  </si>
  <si>
    <t>19605-2621</t>
  </si>
  <si>
    <t>(610) 929-5751</t>
  </si>
  <si>
    <t>TUNKHANNOCK MANOR</t>
  </si>
  <si>
    <t xml:space="preserve">50 W TIOGA ST </t>
  </si>
  <si>
    <t>TUNKHANNOCK</t>
  </si>
  <si>
    <t>18657-1445</t>
  </si>
  <si>
    <t>(570) 836-2983</t>
  </si>
  <si>
    <t>(412) 826-6085</t>
  </si>
  <si>
    <t>CAMILLUS COURT EAST AND WEST</t>
  </si>
  <si>
    <t xml:space="preserve">10100 W BLUEMOUND RD </t>
  </si>
  <si>
    <t>53226-4386</t>
  </si>
  <si>
    <t>DAYSPRING ASSISTED LIVING</t>
  </si>
  <si>
    <t xml:space="preserve">6400 CHEYENNE TRL </t>
  </si>
  <si>
    <t>75023-3774</t>
  </si>
  <si>
    <t>BIRCHWOOD COTTAGES</t>
  </si>
  <si>
    <t xml:space="preserve">22 OMEGA CT </t>
  </si>
  <si>
    <t>56003-1447</t>
  </si>
  <si>
    <t>(507) 413-6800</t>
  </si>
  <si>
    <t>DOCK MEADOWS</t>
  </si>
  <si>
    <t xml:space="preserve">2343 BETHLEHEM PIKE </t>
  </si>
  <si>
    <t>HATFIELD</t>
  </si>
  <si>
    <t>19440-1322</t>
  </si>
  <si>
    <t>(215) 822-0688</t>
  </si>
  <si>
    <t>THE HOMESTEAD AT MAPLEWOOD</t>
  </si>
  <si>
    <t xml:space="preserve">1890 SHERREN AVE E </t>
  </si>
  <si>
    <t>55109-2713</t>
  </si>
  <si>
    <t>(651) 770-3959</t>
  </si>
  <si>
    <t>SOUTHMINSTER PLACE</t>
  </si>
  <si>
    <t xml:space="preserve">825 S MAIN ST </t>
  </si>
  <si>
    <t>WOODSIDE MANOR</t>
  </si>
  <si>
    <t xml:space="preserve">1060 PILGRIM WAY </t>
  </si>
  <si>
    <t>(920) 499-7560</t>
  </si>
  <si>
    <t>LUTHER ACRES AT MUHLENBERG</t>
  </si>
  <si>
    <t xml:space="preserve">300 SAINT MARK AVE </t>
  </si>
  <si>
    <t>17543-2240</t>
  </si>
  <si>
    <t>717-626-1171</t>
  </si>
  <si>
    <t>THE LANDING AT WILLIAMSBURG VILLAGE</t>
  </si>
  <si>
    <t xml:space="preserve">3500 FAULKNER DR </t>
  </si>
  <si>
    <t>402 420935</t>
  </si>
  <si>
    <t>ASBURY PLACE</t>
  </si>
  <si>
    <t xml:space="preserve">760 BOWER HILL RD </t>
  </si>
  <si>
    <t>(412) 571-5660</t>
  </si>
  <si>
    <t>RIVERSIDE LODGE CBRF</t>
  </si>
  <si>
    <t>(800) 848-5306</t>
  </si>
  <si>
    <t>FARNUM COMMUNITY LIVING CENTER</t>
  </si>
  <si>
    <t xml:space="preserve">18425 DODGE ST </t>
  </si>
  <si>
    <t>54773-8444</t>
  </si>
  <si>
    <t>OAKWOOD SEASONS</t>
  </si>
  <si>
    <t>(608) 230-4000</t>
  </si>
  <si>
    <t>OAKWOOD KNOLL</t>
  </si>
  <si>
    <t>ST PAULS VILLA</t>
  </si>
  <si>
    <t xml:space="preserve">2340 4TH AVE </t>
  </si>
  <si>
    <t>92101-1607</t>
  </si>
  <si>
    <t>(619) 232-2996</t>
  </si>
  <si>
    <t>COVENANT OAKS</t>
  </si>
  <si>
    <t xml:space="preserve">6165 MINERAL POINT RD </t>
  </si>
  <si>
    <t>53705-4457</t>
  </si>
  <si>
    <t>(608) 230-4699</t>
  </si>
  <si>
    <t>SPRINGFIELD MASONIC COMMUNITY</t>
  </si>
  <si>
    <t>937 525306</t>
  </si>
  <si>
    <t>MIRAVIDA GABRIELS VILLA INC</t>
  </si>
  <si>
    <t xml:space="preserve">215 N WESTFIELD ST </t>
  </si>
  <si>
    <t>920-651-8600</t>
  </si>
  <si>
    <t>TABOR OAKS</t>
  </si>
  <si>
    <t xml:space="preserve">6175 MINERAL POINT RD </t>
  </si>
  <si>
    <t>LINDEN HEIGHTS</t>
  </si>
  <si>
    <t xml:space="preserve">427 N UNIVERSITY DR </t>
  </si>
  <si>
    <t>(262) 524-1180</t>
  </si>
  <si>
    <t>CHRISTIAN CARE CENTERS</t>
  </si>
  <si>
    <t>BAPTIST HOMES RESIDENCE</t>
  </si>
  <si>
    <t>(412) 563-6550</t>
  </si>
  <si>
    <t>COUNTRY LANE MEMORY CARE</t>
  </si>
  <si>
    <t xml:space="preserve">875 RIVERTON RD </t>
  </si>
  <si>
    <t>62561-6047</t>
  </si>
  <si>
    <t>(217) 629-4265</t>
  </si>
  <si>
    <t>OAKS AT PLEASANT GAP (THE)</t>
  </si>
  <si>
    <t xml:space="preserve">200 RACHEL DR </t>
  </si>
  <si>
    <t>PLEASANT GAP</t>
  </si>
  <si>
    <t>16823-9622</t>
  </si>
  <si>
    <t>(814) 359-2782</t>
  </si>
  <si>
    <t>MOUNT ST MARY</t>
  </si>
  <si>
    <t>SENIORITY INC.</t>
  </si>
  <si>
    <t>COTTONWOOD COURT</t>
  </si>
  <si>
    <t xml:space="preserve">7442 N MILLBROOK AVE </t>
  </si>
  <si>
    <t>559 446126</t>
  </si>
  <si>
    <t>TRADITIONS AT MILL RUN</t>
  </si>
  <si>
    <t xml:space="preserve">3550 FISHINGER BLVD </t>
  </si>
  <si>
    <t>614 771010</t>
  </si>
  <si>
    <t>CABOT ASSISTED LIVING</t>
  </si>
  <si>
    <t>WINDHAVEN ASSISTED LIVING</t>
  </si>
  <si>
    <t>PIONEER HOUSE ASSISTED LIVING</t>
  </si>
  <si>
    <t xml:space="preserve">3540 UNIVERSITY DR S </t>
  </si>
  <si>
    <t>58104-6282</t>
  </si>
  <si>
    <t>701-271-1862</t>
  </si>
  <si>
    <t>COURTYARD AT CHRISTIAN CARE CENTER (THE)</t>
  </si>
  <si>
    <t xml:space="preserve">950 WIGGINS PKWY </t>
  </si>
  <si>
    <t>972 698262</t>
  </si>
  <si>
    <t xml:space="preserve">1845 AUSTIN RD </t>
  </si>
  <si>
    <t>55060-4611</t>
  </si>
  <si>
    <t>COPELAND OAKS</t>
  </si>
  <si>
    <t>BUHL CAREFREE LIVING LLC</t>
  </si>
  <si>
    <t xml:space="preserve">500 MONROE DR </t>
  </si>
  <si>
    <t>BUHL</t>
  </si>
  <si>
    <t>(218) 258-8681</t>
  </si>
  <si>
    <t>ST- MICHAEL'S HOME</t>
  </si>
  <si>
    <t xml:space="preserve">3 LEHMAN TER </t>
  </si>
  <si>
    <t>YONKERS</t>
  </si>
  <si>
    <t>10705-3630</t>
  </si>
  <si>
    <t>(914) 476-3374</t>
  </si>
  <si>
    <t>HERITAGE ENTERPRISES</t>
  </si>
  <si>
    <t>VILLA ASSISTED LIVING</t>
  </si>
  <si>
    <t xml:space="preserve">4114 W SPRINGFIELD AVE </t>
  </si>
  <si>
    <t>(217) 530-4300</t>
  </si>
  <si>
    <t>LOTT ASSISTED LIVING RESIDENCE AKA VISTA ON 5TH</t>
  </si>
  <si>
    <t xml:space="preserve">1261 5TH AVE </t>
  </si>
  <si>
    <t>10029-3822</t>
  </si>
  <si>
    <t>(212) 534-6464</t>
  </si>
  <si>
    <t>HERITAGE MANOR NURSING HOME</t>
  </si>
  <si>
    <t>WINCHESTER MOUNT VERNON HOUSE</t>
  </si>
  <si>
    <t xml:space="preserve">110 MOUNT VERNON ST </t>
  </si>
  <si>
    <t>01890-2864</t>
  </si>
  <si>
    <t>(781) 729-0497</t>
  </si>
  <si>
    <t>FITCH HOME INC.</t>
  </si>
  <si>
    <t xml:space="preserve">75 LAKE AVE </t>
  </si>
  <si>
    <t>MELROSE</t>
  </si>
  <si>
    <t>02176-2701</t>
  </si>
  <si>
    <t>(781) 665-0521</t>
  </si>
  <si>
    <t>INNISWOOD VILLAGE-NAC</t>
  </si>
  <si>
    <t xml:space="preserve">975 S SUNBURY RD </t>
  </si>
  <si>
    <t>VILLAGE AT WOODLAND</t>
  </si>
  <si>
    <t xml:space="preserve">7533 GRAND RIVER RD </t>
  </si>
  <si>
    <t>810-844-7477</t>
  </si>
  <si>
    <t>THE LONGVIEW ASSISTED LIVING RESIDENCE</t>
  </si>
  <si>
    <t>FRANCIS E. PARKER MEMORIAL HOME PARKER AT STO</t>
  </si>
  <si>
    <t>732 565200</t>
  </si>
  <si>
    <t>CHRISTIAN CARE SENIOR LIVING- ALLEN</t>
  </si>
  <si>
    <t xml:space="preserve">560 PRESTIGE CIR </t>
  </si>
  <si>
    <t>ALLEN</t>
  </si>
  <si>
    <t>844 325823</t>
  </si>
  <si>
    <t>WOODSIDE PLACE AT OAKMONT</t>
  </si>
  <si>
    <t>(412) 826-6088</t>
  </si>
  <si>
    <t>LUTHER MANOR AT RIVER OAKS</t>
  </si>
  <si>
    <t xml:space="preserve">11340 N CEDARBURG RD </t>
  </si>
  <si>
    <t>53092-1931</t>
  </si>
  <si>
    <t>(262) 242-6660</t>
  </si>
  <si>
    <t>WEDGEWOOD SOUTH</t>
  </si>
  <si>
    <t xml:space="preserve">9812 VINTON AVE </t>
  </si>
  <si>
    <t>79424-6376</t>
  </si>
  <si>
    <t>(806) 798-1011</t>
  </si>
  <si>
    <t>FOREST PARK VILLAGE CAMPUS</t>
  </si>
  <si>
    <t xml:space="preserve">2901 N 7TH ST </t>
  </si>
  <si>
    <t>715-845-1214</t>
  </si>
  <si>
    <t>EVERGREEN SHAREHAVEN</t>
  </si>
  <si>
    <t xml:space="preserve">1095 N WESTFIELD ST </t>
  </si>
  <si>
    <t>HC NCR WTRS EDGE/BRADENTON-NAC</t>
  </si>
  <si>
    <t xml:space="preserve">2015 32ND AVE W </t>
  </si>
  <si>
    <t>34205-4505</t>
  </si>
  <si>
    <t>(941) 748-7797</t>
  </si>
  <si>
    <t>GRACE EDGEWOOD</t>
  </si>
  <si>
    <t xml:space="preserve">2512 SPOONER AVE </t>
  </si>
  <si>
    <t>54720-1396</t>
  </si>
  <si>
    <t>(715) 832-5813</t>
  </si>
  <si>
    <t>LINDENCOURT - WAUKESHA</t>
  </si>
  <si>
    <t xml:space="preserve">2330 MICHIGAN AVE </t>
  </si>
  <si>
    <t>TRINITY TOWERS RETIREMENT CENTER</t>
  </si>
  <si>
    <t xml:space="preserve">2800 W ILLINOIS AVE </t>
  </si>
  <si>
    <t>79701-3133</t>
  </si>
  <si>
    <t>COLLEGE HILL ASSISTED LIVING - LUCKENBACH AND</t>
  </si>
  <si>
    <t xml:space="preserve">1700 W 9TH ST </t>
  </si>
  <si>
    <t>76634-1879</t>
  </si>
  <si>
    <t>GRACE WILLOWBROOK</t>
  </si>
  <si>
    <t xml:space="preserve">4868 OTTESON LANE </t>
  </si>
  <si>
    <t>54701-8748</t>
  </si>
  <si>
    <t>(715) 835-0429</t>
  </si>
  <si>
    <t>MACDONALD RESIDENCE ASSISTED LIVING</t>
  </si>
  <si>
    <t xml:space="preserve">605 NW COUCH ST </t>
  </si>
  <si>
    <t>503 241737</t>
  </si>
  <si>
    <t>LOUISIANA ASSISTED LIVING ASSOCIATION (THE)</t>
  </si>
  <si>
    <t xml:space="preserve">2500 COCO PALM DR </t>
  </si>
  <si>
    <t>NEW IBERIA</t>
  </si>
  <si>
    <t>70563-2918</t>
  </si>
  <si>
    <t>MEADOWS ON MAIN</t>
  </si>
  <si>
    <t xml:space="preserve">611 S MAIN ST </t>
  </si>
  <si>
    <t>(320) 329-3788</t>
  </si>
  <si>
    <t>EAGLECREST ARBOR</t>
  </si>
  <si>
    <t xml:space="preserve">2955 LINCOLN DR </t>
  </si>
  <si>
    <t>55113-1326</t>
  </si>
  <si>
    <t>(651) 634-7900</t>
  </si>
  <si>
    <t>VASSAR-WARNER HOME</t>
  </si>
  <si>
    <t xml:space="preserve">52 S HAMILTON ST </t>
  </si>
  <si>
    <t>12601-4117</t>
  </si>
  <si>
    <t>(845) 454-3754</t>
  </si>
  <si>
    <t>QUERENCIA</t>
  </si>
  <si>
    <t xml:space="preserve">2500 BARTON CREEK BLVD </t>
  </si>
  <si>
    <t>78735-1603</t>
  </si>
  <si>
    <t>(512) 610-9400</t>
  </si>
  <si>
    <t>SUMMERWOOD OF PLYMOUTH COMMONS TERRACE</t>
  </si>
  <si>
    <t>THE BRIDGES OF ZUMBROTA</t>
  </si>
  <si>
    <t xml:space="preserve">295 W 4TH ST </t>
  </si>
  <si>
    <t>55992-1252</t>
  </si>
  <si>
    <t>(507) 732-8455</t>
  </si>
  <si>
    <t>FARMSTEAD COMMONS</t>
  </si>
  <si>
    <t>HOYT LAKES CAREFREE LIVING LLC</t>
  </si>
  <si>
    <t xml:space="preserve">421 KENNEDY DR </t>
  </si>
  <si>
    <t>(218) 225-0176</t>
  </si>
  <si>
    <t>EVERGREEN COURT</t>
  </si>
  <si>
    <t>WOODBRIDGE ASSISTED LIVING INC</t>
  </si>
  <si>
    <t xml:space="preserve">240 LYNNFIELD ST </t>
  </si>
  <si>
    <t>01960-5055</t>
  </si>
  <si>
    <t>FEATHERSTONE ASSISTED LIVING</t>
  </si>
  <si>
    <t xml:space="preserve">3218 JOLIET AVE </t>
  </si>
  <si>
    <t>LOCKPORT PRESBYTERIAN HOME</t>
  </si>
  <si>
    <t xml:space="preserve">305 HIGH ST STE 327 </t>
  </si>
  <si>
    <t>14094-4601</t>
  </si>
  <si>
    <t>(716) 434-8805</t>
  </si>
  <si>
    <t>BOUTWELLS LANDING COMMONS &amp; ARBOR</t>
  </si>
  <si>
    <t>ST ANDREWS VILLAGE COMMONS &amp; ARBOR</t>
  </si>
  <si>
    <t>SOMERVILLE HOME</t>
  </si>
  <si>
    <t xml:space="preserve">117 SUMMER ST </t>
  </si>
  <si>
    <t>02143-2706</t>
  </si>
  <si>
    <t>(617) 776-0260</t>
  </si>
  <si>
    <t>THE STEVENS-BENNETT HOME</t>
  </si>
  <si>
    <t xml:space="preserve">337 MAIN ST </t>
  </si>
  <si>
    <t>(978) 374-8861</t>
  </si>
  <si>
    <t>ST JULIE BILLIART RESIDENTIAL CARE CENTER</t>
  </si>
  <si>
    <t xml:space="preserve">30 JEFFREYS NECK RD </t>
  </si>
  <si>
    <t>IPSWICH</t>
  </si>
  <si>
    <t>01938-1398</t>
  </si>
  <si>
    <t>(978) 356-4381</t>
  </si>
  <si>
    <t>SCANDINAVIAN LIVING CENTER</t>
  </si>
  <si>
    <t xml:space="preserve">206 WALTHAM ST </t>
  </si>
  <si>
    <t>WEST NEWTON</t>
  </si>
  <si>
    <t>02465-1733</t>
  </si>
  <si>
    <t>(617) 527-6566</t>
  </si>
  <si>
    <t>EVERGREEN TERRACE</t>
  </si>
  <si>
    <t>LINDENCOURT - MUKWONAGO</t>
  </si>
  <si>
    <t xml:space="preserve">845 E VETERANS WAY </t>
  </si>
  <si>
    <t xml:space="preserve">801 PARCHER ST </t>
  </si>
  <si>
    <t>54403-4218</t>
  </si>
  <si>
    <t>(715) 845-1214</t>
  </si>
  <si>
    <t>THE COTTAGES AT CEDAR RUN</t>
  </si>
  <si>
    <t xml:space="preserve">6090 SCENIC DR </t>
  </si>
  <si>
    <t>53095-4401</t>
  </si>
  <si>
    <t>(262) 306-2120</t>
  </si>
  <si>
    <t>LAUREL MANOR</t>
  </si>
  <si>
    <t xml:space="preserve">108 17TH AVE S </t>
  </si>
  <si>
    <t>608 783181</t>
  </si>
  <si>
    <t>TRELLIS GARDENS AT VISTA GRANDE VILLA</t>
  </si>
  <si>
    <t xml:space="preserve">2801 CARRIAGE LN </t>
  </si>
  <si>
    <t>49202-1175</t>
  </si>
  <si>
    <t>(517) 783-9040</t>
  </si>
  <si>
    <t>HOMME RESIDENTIAL - WITTENBERG</t>
  </si>
  <si>
    <t>715-253-2125</t>
  </si>
  <si>
    <t xml:space="preserve">805 PARCHER ST </t>
  </si>
  <si>
    <t>54403-3278</t>
  </si>
  <si>
    <t>(715) 848-1255</t>
  </si>
  <si>
    <t>WHEELWRIGHT HOUSE</t>
  </si>
  <si>
    <t xml:space="preserve">75 HIGH ST </t>
  </si>
  <si>
    <t>01950-3071</t>
  </si>
  <si>
    <t>(978) 465-7102</t>
  </si>
  <si>
    <t>LATHROP HOME</t>
  </si>
  <si>
    <t xml:space="preserve">215 SOUTH ST </t>
  </si>
  <si>
    <t>413-584-2865</t>
  </si>
  <si>
    <t>BEAVEN KELLY HOME</t>
  </si>
  <si>
    <t xml:space="preserve">25 BRIGHTSIDE DR </t>
  </si>
  <si>
    <t>01040-4033</t>
  </si>
  <si>
    <t>(413) 532-4892</t>
  </si>
  <si>
    <t>BRISTOL HOME</t>
  </si>
  <si>
    <t xml:space="preserve">1500 MAIN ST </t>
  </si>
  <si>
    <t>(716) 884-4371</t>
  </si>
  <si>
    <t>ELIZABETH E. BOIT HOME FOR WOMEN</t>
  </si>
  <si>
    <t xml:space="preserve">5 BENNETT ST </t>
  </si>
  <si>
    <t>01880-3307</t>
  </si>
  <si>
    <t>(781) 245-0008</t>
  </si>
  <si>
    <t>PARK VILLAGE PINES</t>
  </si>
  <si>
    <t xml:space="preserve">2920 CRYSTAL LN </t>
  </si>
  <si>
    <t>49009-2108</t>
  </si>
  <si>
    <t>(269) 372-1928</t>
  </si>
  <si>
    <t>CONGREGATIONAL HOME CBRF</t>
  </si>
  <si>
    <t>OAKLAND WOODS II</t>
  </si>
  <si>
    <t>CASTLE COUNTRY ASSISTED LIVING INC</t>
  </si>
  <si>
    <t xml:space="preserve">221 CANTRIL ST </t>
  </si>
  <si>
    <t>CASTLE ROCK</t>
  </si>
  <si>
    <t>303 688536</t>
  </si>
  <si>
    <t>STANARD FAMILY ASSISTED LIVING CENTER</t>
  </si>
  <si>
    <t>TERRACE VIEW RESIDENTIAL</t>
  </si>
  <si>
    <t xml:space="preserve">1020 W STATE ST </t>
  </si>
  <si>
    <t>51632-1300</t>
  </si>
  <si>
    <t>(712) 542-3530</t>
  </si>
  <si>
    <t>BETHANY HEIGHTS</t>
  </si>
  <si>
    <t xml:space="preserve">101 JUNIPER LN </t>
  </si>
  <si>
    <t>(608) 526-6796</t>
  </si>
  <si>
    <t>RIDGEWAY PLACE INC</t>
  </si>
  <si>
    <t xml:space="preserve">155 E RIDGEWAY AVE </t>
  </si>
  <si>
    <t>50702-5000</t>
  </si>
  <si>
    <t>(319) 272-2622</t>
  </si>
  <si>
    <t xml:space="preserve">30301 W 13 MILE RD </t>
  </si>
  <si>
    <t>48334-2209</t>
  </si>
  <si>
    <t>(248) 626-6100</t>
  </si>
  <si>
    <t>THE WILLOWS</t>
  </si>
  <si>
    <t xml:space="preserve">2555 S 7TH ST </t>
  </si>
  <si>
    <t>(608) 406-3978</t>
  </si>
  <si>
    <t>CASTLE COUNTRY ASST LIVING VICTORIAN HOUSE</t>
  </si>
  <si>
    <t xml:space="preserve">19600 VICTORIAN DR </t>
  </si>
  <si>
    <t>PARKER</t>
  </si>
  <si>
    <t>303 805063</t>
  </si>
  <si>
    <t>VILLAGE AT MERCY HEALTH CENTER</t>
  </si>
  <si>
    <t xml:space="preserve">4170 24TH AVE </t>
  </si>
  <si>
    <t>810-989-7440</t>
  </si>
  <si>
    <t>HEARTEN HOUSE II</t>
  </si>
  <si>
    <t>(608) 784-4522</t>
  </si>
  <si>
    <t>VILLA ROSA INC</t>
  </si>
  <si>
    <t xml:space="preserve">N8120 COUNTY ROAD WW </t>
  </si>
  <si>
    <t>53057-9525</t>
  </si>
  <si>
    <t>(920) 753-2211</t>
  </si>
  <si>
    <t>HILLVIEW SENIOR LIVING</t>
  </si>
  <si>
    <t xml:space="preserve">210 MEMORIAL DR </t>
  </si>
  <si>
    <t>HEARTEN HOUSE I</t>
  </si>
  <si>
    <t>(608) 784-4511</t>
  </si>
  <si>
    <t>AUTUMN VILLAGE</t>
  </si>
  <si>
    <t>ST FRANCIS TERRACE</t>
  </si>
  <si>
    <t xml:space="preserve">345 E 1ST ST </t>
  </si>
  <si>
    <t>54935-4563</t>
  </si>
  <si>
    <t>VILLAGE AT ST JOSEPH MERCY HOSPITAL</t>
  </si>
  <si>
    <t xml:space="preserve">5341 MCAULEY DR </t>
  </si>
  <si>
    <t>734-712-1600</t>
  </si>
  <si>
    <t>BETHANY ON CASS</t>
  </si>
  <si>
    <t xml:space="preserve">1315 CASS ST </t>
  </si>
  <si>
    <t>(608) 784-6656</t>
  </si>
  <si>
    <t>PIONEER SENIOR COTTAGES - HERITAGE</t>
  </si>
  <si>
    <t xml:space="preserve">1307 S MABELLE AVE </t>
  </si>
  <si>
    <t>(218) 998-9680</t>
  </si>
  <si>
    <t>SHEPHERDS INN (THE)</t>
  </si>
  <si>
    <t xml:space="preserve">46 1ST AVE SW </t>
  </si>
  <si>
    <t>WELLS</t>
  </si>
  <si>
    <t>56097-1932</t>
  </si>
  <si>
    <t>(507) 553-6271</t>
  </si>
  <si>
    <t>CENTENNIAL HOUSE OF APPLE VALLEY</t>
  </si>
  <si>
    <t xml:space="preserve">14625 PENNOCK AVE </t>
  </si>
  <si>
    <t>(952) 891-2711</t>
  </si>
  <si>
    <t>CREST VIEW ON 42ND</t>
  </si>
  <si>
    <t xml:space="preserve">900 42ND AVE NE </t>
  </si>
  <si>
    <t>55421-5601</t>
  </si>
  <si>
    <t>(763) 781-5873</t>
  </si>
  <si>
    <t>BIRCHWOOD APARTMENTS</t>
  </si>
  <si>
    <t xml:space="preserve">1600 BIRCHWOOD DR </t>
  </si>
  <si>
    <t>54002-9023</t>
  </si>
  <si>
    <t xml:space="preserve">255 S VALLEY DR </t>
  </si>
  <si>
    <t>303 814066</t>
  </si>
  <si>
    <t>CAMBRIDGE HOMES (THE)</t>
  </si>
  <si>
    <t xml:space="preserve">360 MOUNT AUBURN ST </t>
  </si>
  <si>
    <t>617 876036</t>
  </si>
  <si>
    <t>HALE BARNARD SERVICES</t>
  </si>
  <si>
    <t xml:space="preserve">273 CLARENDON ST </t>
  </si>
  <si>
    <t>02116-1404</t>
  </si>
  <si>
    <t>(617) 536-3726</t>
  </si>
  <si>
    <t>DAGGETT CRANDALL NEWCOMB HOME INC</t>
  </si>
  <si>
    <t xml:space="preserve">55 NEWLAND ST </t>
  </si>
  <si>
    <t>02766-1902</t>
  </si>
  <si>
    <t>(508) 285-3264</t>
  </si>
  <si>
    <t>MOUNT PLEASANT HOME</t>
  </si>
  <si>
    <t xml:space="preserve">301 S HUNTINGTON AVE </t>
  </si>
  <si>
    <t>02130-4807</t>
  </si>
  <si>
    <t>(617) 522-7600</t>
  </si>
  <si>
    <t>THREE LINKS MILLSTREAM COMMONS</t>
  </si>
  <si>
    <t xml:space="preserve">210 8TH ST W </t>
  </si>
  <si>
    <t>55057-2470</t>
  </si>
  <si>
    <t>(507) 650-0141</t>
  </si>
  <si>
    <t>THREE LINKS COTTAGE EAST</t>
  </si>
  <si>
    <t xml:space="preserve">800 5TH ST W </t>
  </si>
  <si>
    <t>55057-1670</t>
  </si>
  <si>
    <t>(507) 664-8866</t>
  </si>
  <si>
    <t>PHEASANTS RIDGE ASSISTED LIVING</t>
  </si>
  <si>
    <t xml:space="preserve">1807 SUNRISE DR </t>
  </si>
  <si>
    <t>ST PETER</t>
  </si>
  <si>
    <t>(507) 931-0966</t>
  </si>
  <si>
    <t>SAINT THOMAS RETIREMENT CENTER</t>
  </si>
  <si>
    <t xml:space="preserve">2937 N BERKELEY AVE </t>
  </si>
  <si>
    <t>TURLOCK</t>
  </si>
  <si>
    <t>95382-9150</t>
  </si>
  <si>
    <t>(209) 634-7252</t>
  </si>
  <si>
    <t>SUNDIAL ASSISTED LIVING</t>
  </si>
  <si>
    <t xml:space="preserve">395 HILLTOP DR </t>
  </si>
  <si>
    <t>VILLAGE AT THE OAKS</t>
  </si>
  <si>
    <t xml:space="preserve">1740 VILLAGE DR </t>
  </si>
  <si>
    <t>231-672-2700</t>
  </si>
  <si>
    <t>MAPLE WOODS</t>
  </si>
  <si>
    <t xml:space="preserve">49 E 32ND ST </t>
  </si>
  <si>
    <t>49423-5175</t>
  </si>
  <si>
    <t>(616) 796-3704</t>
  </si>
  <si>
    <t>VILLAGE ASSISTED LIVING</t>
  </si>
  <si>
    <t xml:space="preserve">2555 GUTHRIE AVE </t>
  </si>
  <si>
    <t>50317-3054</t>
  </si>
  <si>
    <t>(515) 299-1740</t>
  </si>
  <si>
    <t>VILLA MARIA RETIREMENT CENTER</t>
  </si>
  <si>
    <t xml:space="preserve">3905 KINGSTON PLACE </t>
  </si>
  <si>
    <t>(337) 478-4780</t>
  </si>
  <si>
    <t>ST ELIZABETHS ASSISTED LIVING APARTMENTS</t>
  </si>
  <si>
    <t xml:space="preserve">1200 5TH GRANT BLVD </t>
  </si>
  <si>
    <t>WABASHA</t>
  </si>
  <si>
    <t>55981-1042</t>
  </si>
  <si>
    <t>(651) 565-4531</t>
  </si>
  <si>
    <t>ASPENS (THE)</t>
  </si>
  <si>
    <t xml:space="preserve">210 ROE DAVIS AVE </t>
  </si>
  <si>
    <t>541 573222</t>
  </si>
  <si>
    <t>RAKHMA PEACE HOME</t>
  </si>
  <si>
    <t xml:space="preserve">4953 ALDRICH AVE S </t>
  </si>
  <si>
    <t>55419-5352</t>
  </si>
  <si>
    <t>MARGARET S. PARMLY RESIDENCE</t>
  </si>
  <si>
    <t>SUGARHILL RETIREMENT COMMUNITY INC.</t>
  </si>
  <si>
    <t xml:space="preserve">83 ROLLING WOOD DR </t>
  </si>
  <si>
    <t>WOLFEBORO</t>
  </si>
  <si>
    <t>03894-4845</t>
  </si>
  <si>
    <t>(603) 569-8485</t>
  </si>
  <si>
    <t>NEWTON MANOR</t>
  </si>
  <si>
    <t xml:space="preserve">10000 NEWTON AVE S </t>
  </si>
  <si>
    <t>55431-2958</t>
  </si>
  <si>
    <t>(952) 948-3031</t>
  </si>
  <si>
    <t>ROSE HAVEN ASSISTED LIVING INC</t>
  </si>
  <si>
    <t xml:space="preserve">37 6TH ST SE </t>
  </si>
  <si>
    <t>56464-3157</t>
  </si>
  <si>
    <t>HEARTHSTONE - C.B.R.F.</t>
  </si>
  <si>
    <t xml:space="preserve">426 W NORTH ST </t>
  </si>
  <si>
    <t>53190-1934</t>
  </si>
  <si>
    <t>(262) 473-2140</t>
  </si>
  <si>
    <t>CLATSOP RETIREMENT VILLAGE</t>
  </si>
  <si>
    <t xml:space="preserve">947 OLNEY AVE </t>
  </si>
  <si>
    <t>503 325467</t>
  </si>
  <si>
    <t>SENIOR LIVING COMMUNITY FOR THE EASTERN STAR</t>
  </si>
  <si>
    <t xml:space="preserve">16850 BASTANCHURY RD </t>
  </si>
  <si>
    <t>YORBA LINDA</t>
  </si>
  <si>
    <t>92886-1608</t>
  </si>
  <si>
    <t>(714) 577-9281</t>
  </si>
  <si>
    <t>GRANVIDA</t>
  </si>
  <si>
    <t xml:space="preserve">5464 CARPINTERIA AVE </t>
  </si>
  <si>
    <t>CARPINTERIA</t>
  </si>
  <si>
    <t>805 566001</t>
  </si>
  <si>
    <t>CONGREGATIONAL HOME RCAC</t>
  </si>
  <si>
    <t>CORVALLIS CARING PLACE</t>
  </si>
  <si>
    <t xml:space="preserve">750 NW 23RD ST </t>
  </si>
  <si>
    <t>541.753.20</t>
  </si>
  <si>
    <t>HEARTEN HOUSE III</t>
  </si>
  <si>
    <t>54636-9721</t>
  </si>
  <si>
    <t>(608) 526-6793</t>
  </si>
  <si>
    <t>MARK H- WENTWORTH HOME</t>
  </si>
  <si>
    <t xml:space="preserve">346 PLEASANT ST </t>
  </si>
  <si>
    <t>03801-4536</t>
  </si>
  <si>
    <t>(603) 436-0169</t>
  </si>
  <si>
    <t>LINDEN TREE CIRCLE</t>
  </si>
  <si>
    <t xml:space="preserve">1400 SEVENTH ST S </t>
  </si>
  <si>
    <t>56560-3467</t>
  </si>
  <si>
    <t>TERRACE AT IRIS PARK (THE)</t>
  </si>
  <si>
    <t xml:space="preserve">502 LYNNHURST AVE E </t>
  </si>
  <si>
    <t>55104-3583</t>
  </si>
  <si>
    <t>(651) 272-4960</t>
  </si>
  <si>
    <t>SAMARITAS SENIOR LIVING BLOOMFIELD HILLS</t>
  </si>
  <si>
    <t xml:space="preserve">6257 TELEGRAPH RD </t>
  </si>
  <si>
    <t>BLOOMFIELD HILLS</t>
  </si>
  <si>
    <t>48301-1622</t>
  </si>
  <si>
    <t>PARK TERRACE ASSISTED LIVING AND MEMORY CARE</t>
  </si>
  <si>
    <t xml:space="preserve">613 MONTROSE BLVD </t>
  </si>
  <si>
    <t>(763) 684-4866</t>
  </si>
  <si>
    <t>EPIPHANY ASSISTED LIVING LLC</t>
  </si>
  <si>
    <t xml:space="preserve">10955 HANSON BLVD NW </t>
  </si>
  <si>
    <t>(763) 755-0320</t>
  </si>
  <si>
    <t xml:space="preserve">1835 DIVISION ST </t>
  </si>
  <si>
    <t>54961-2517</t>
  </si>
  <si>
    <t>CREST VIEW SENIOR COMMUNITY AT BLAINE</t>
  </si>
  <si>
    <t xml:space="preserve">12016 ULYSSES ST NE </t>
  </si>
  <si>
    <t>55434-4243</t>
  </si>
  <si>
    <t>(763) 762-8420</t>
  </si>
  <si>
    <t>PINES OF HUTCHINSON</t>
  </si>
  <si>
    <t xml:space="preserve">1015 CENTURY AVE SW </t>
  </si>
  <si>
    <t>(320) 234-0870</t>
  </si>
  <si>
    <t>THE HARBOR</t>
  </si>
  <si>
    <t xml:space="preserve">300 NORTH FAXON RD </t>
  </si>
  <si>
    <t>NORWOOD YOUNG AMERICA</t>
  </si>
  <si>
    <t>(952) 467-9682</t>
  </si>
  <si>
    <t>GREENFIELD COURT</t>
  </si>
  <si>
    <t xml:space="preserve">5951 BROADWAY </t>
  </si>
  <si>
    <t>CONGREGATION OF THE SISTERS OF ST JOSEPH</t>
  </si>
  <si>
    <t xml:space="preserve">3134 HUNDRED OAKS AVE </t>
  </si>
  <si>
    <t>70808-1541</t>
  </si>
  <si>
    <t>(225) 332-2999</t>
  </si>
  <si>
    <t>ST ELIZABETH MANOR</t>
  </si>
  <si>
    <t xml:space="preserve">111 COMMERCIAL DR </t>
  </si>
  <si>
    <t>FOOTVILLE</t>
  </si>
  <si>
    <t>(608) 876-4000</t>
  </si>
  <si>
    <t>MOTHER OF MERCY ASSISTED LIVING</t>
  </si>
  <si>
    <t>56307-0550</t>
  </si>
  <si>
    <t>MULDOON MANOR</t>
  </si>
  <si>
    <t xml:space="preserve">2040 MULDOON RD </t>
  </si>
  <si>
    <t>907 338870</t>
  </si>
  <si>
    <t>PRAIRIE HOUSE ASSISTED LIVING AND MEMORY CARE</t>
  </si>
  <si>
    <t xml:space="preserve">51485 MORSON ST </t>
  </si>
  <si>
    <t>LA PINE</t>
  </si>
  <si>
    <t>541 536855</t>
  </si>
  <si>
    <t>REFLECTIONS</t>
  </si>
  <si>
    <t xml:space="preserve">809 FOREST AVE </t>
  </si>
  <si>
    <t>(507) 664-8809</t>
  </si>
  <si>
    <t xml:space="preserve">1505 N PIONEER RD </t>
  </si>
  <si>
    <t>(931) 967-0865</t>
  </si>
  <si>
    <t>ROSE SCHNITZER MANOR</t>
  </si>
  <si>
    <t xml:space="preserve">6140 SW BOUNDARY ST </t>
  </si>
  <si>
    <t>503 535400</t>
  </si>
  <si>
    <t>FRANCIS ASBURY MANOR</t>
  </si>
  <si>
    <t xml:space="preserve">70 STOCKTON AVE </t>
  </si>
  <si>
    <t>(732) 774-1316</t>
  </si>
  <si>
    <t>PATHSTONE CROSSING</t>
  </si>
  <si>
    <t xml:space="preserve">708 MOUND AVE </t>
  </si>
  <si>
    <t>(507) 385-4358</t>
  </si>
  <si>
    <t>CORNERSTONE ASSISTED LIVING</t>
  </si>
  <si>
    <t xml:space="preserve">3750 LAWNDALE LN N </t>
  </si>
  <si>
    <t>55446-2967</t>
  </si>
  <si>
    <t>(763) 550-0333</t>
  </si>
  <si>
    <t>GREENFIELD TERRACE</t>
  </si>
  <si>
    <t xml:space="preserve">5979 BROADWAY ST </t>
  </si>
  <si>
    <t>(716) 882-1231</t>
  </si>
  <si>
    <t>GOOD SHEPHERD MEADOW WOOD RCAC</t>
  </si>
  <si>
    <t xml:space="preserve">605 E BRONSON RD </t>
  </si>
  <si>
    <t>54165-1074</t>
  </si>
  <si>
    <t>(920) 833-1566</t>
  </si>
  <si>
    <t>IRIS PARK COMMONS</t>
  </si>
  <si>
    <t xml:space="preserve">1850 UNIVERSITY AVE W </t>
  </si>
  <si>
    <t>55104-3930</t>
  </si>
  <si>
    <t>(651) 646-1026</t>
  </si>
  <si>
    <t>BRYANT HOUSE OF MAPLE PLAIN</t>
  </si>
  <si>
    <t xml:space="preserve">5515 BRYANT ST </t>
  </si>
  <si>
    <t>(763) 479-3655</t>
  </si>
  <si>
    <t>(716) 720-9600</t>
  </si>
  <si>
    <t>LAKE RIDGE MANOR</t>
  </si>
  <si>
    <t xml:space="preserve">310 LAKE BLVD </t>
  </si>
  <si>
    <t>(763) 404-4648</t>
  </si>
  <si>
    <t>CALEY HOUSE</t>
  </si>
  <si>
    <t xml:space="preserve">104 S EIGHTH AVE </t>
  </si>
  <si>
    <t>55371-1735</t>
  </si>
  <si>
    <t>(763) 389-0424</t>
  </si>
  <si>
    <t xml:space="preserve">945 CENTURY AVE SW </t>
  </si>
  <si>
    <t>THE SHORES</t>
  </si>
  <si>
    <t xml:space="preserve">4000 LONDON RD </t>
  </si>
  <si>
    <t>(218) 625-8280</t>
  </si>
  <si>
    <t>GREENVILLE MANOR</t>
  </si>
  <si>
    <t xml:space="preserve">7098 BUTTERCUP CRT </t>
  </si>
  <si>
    <t>(920) 757-0996</t>
  </si>
  <si>
    <t>GUARDIAN ANGELS BY THE LAKE - ELK RIVER - MN</t>
  </si>
  <si>
    <t xml:space="preserve">13439 185TH LN NW </t>
  </si>
  <si>
    <t>763-241-7682</t>
  </si>
  <si>
    <t>EVENTIDE AT FAIRMONT</t>
  </si>
  <si>
    <t xml:space="preserve">801 2ND AVE N </t>
  </si>
  <si>
    <t>56560-1976</t>
  </si>
  <si>
    <t>(218) 233-8022</t>
  </si>
  <si>
    <t>LAKEVIEW COMMONS</t>
  </si>
  <si>
    <t xml:space="preserve">1200 LAKEWOOD DR N </t>
  </si>
  <si>
    <t>55119-7601</t>
  </si>
  <si>
    <t>(651) 770-1111</t>
  </si>
  <si>
    <t>VILLAGES SOMMERHAUS</t>
  </si>
  <si>
    <t>THE WILDS OF SAND PRAIRIE</t>
  </si>
  <si>
    <t xml:space="preserve">700 KNIGHT ST </t>
  </si>
  <si>
    <t>(507) 931-4375</t>
  </si>
  <si>
    <t xml:space="preserve">120 N LAKEWOOD DR </t>
  </si>
  <si>
    <t>AUBURN MEADOWS</t>
  </si>
  <si>
    <t xml:space="preserve">591 CHERRY DR </t>
  </si>
  <si>
    <t>55387-4586</t>
  </si>
  <si>
    <t>(952) 442-6600</t>
  </si>
  <si>
    <t>SCENIC SHORES ASSISTED LIVING</t>
  </si>
  <si>
    <t xml:space="preserve">409 13TH AVE </t>
  </si>
  <si>
    <t>(218) 834-0849</t>
  </si>
  <si>
    <t>LEWIS MEMORIAL METHODIST HOME</t>
  </si>
  <si>
    <t xml:space="preserve">2905 BOWLING GREEN RD </t>
  </si>
  <si>
    <t>42134-9607</t>
  </si>
  <si>
    <t>(270) 586-3461</t>
  </si>
  <si>
    <t>AUBURN COURTS</t>
  </si>
  <si>
    <t xml:space="preserve">501 OAK ST N </t>
  </si>
  <si>
    <t>EGER HARBOR HOUSE INC</t>
  </si>
  <si>
    <t xml:space="preserve">110 MEISNER AVE </t>
  </si>
  <si>
    <t>(718) 554-8700</t>
  </si>
  <si>
    <t>REGINA ASSISTED LIVING</t>
  </si>
  <si>
    <t xml:space="preserve">1175 NININGER RD </t>
  </si>
  <si>
    <t>55033-1056</t>
  </si>
  <si>
    <t>KENWOOD HERITAGE</t>
  </si>
  <si>
    <t xml:space="preserve">400 15TH AVE SW </t>
  </si>
  <si>
    <t>55912-3232</t>
  </si>
  <si>
    <t>(507) 434-7237</t>
  </si>
  <si>
    <t>AUGUSTANA EMERALD CREST OF SHAKOPEE</t>
  </si>
  <si>
    <t xml:space="preserve">1855 10TH AVE W </t>
  </si>
  <si>
    <t>55379-2021</t>
  </si>
  <si>
    <t>(952) 856-7522</t>
  </si>
  <si>
    <t>CREST VIEW ROYCE PLACE</t>
  </si>
  <si>
    <t xml:space="preserve">1515 44TH AVE NE </t>
  </si>
  <si>
    <t>55421-3003</t>
  </si>
  <si>
    <t>(763) 788-2020</t>
  </si>
  <si>
    <t>KENWOOD PLACE</t>
  </si>
  <si>
    <t xml:space="preserve">4560 COUNTY ROAD 61 </t>
  </si>
  <si>
    <t>MOOSE LAKE</t>
  </si>
  <si>
    <t>55767-9401</t>
  </si>
  <si>
    <t>AUGUSTANA EMERALD CREST OF MINNETONKA</t>
  </si>
  <si>
    <t xml:space="preserve">13401 LAKE STREET EXT </t>
  </si>
  <si>
    <t>55305-4905</t>
  </si>
  <si>
    <t>(952) 933-9903</t>
  </si>
  <si>
    <t>OAKVIEW RESIDENTIAL CARE INC</t>
  </si>
  <si>
    <t xml:space="preserve">300 TALBOT DR </t>
  </si>
  <si>
    <t>55767-5028</t>
  </si>
  <si>
    <t>HOMESTEAD HALL</t>
  </si>
  <si>
    <t xml:space="preserve">10 HOMESTEAD AVE </t>
  </si>
  <si>
    <t>01610-2613</t>
  </si>
  <si>
    <t>(508) 755-7915</t>
  </si>
  <si>
    <t xml:space="preserve">400-15TH AVE S W </t>
  </si>
  <si>
    <t>BROOKRIDGE</t>
  </si>
  <si>
    <t xml:space="preserve">180 SUNSET AVE NW </t>
  </si>
  <si>
    <t>55321-9601</t>
  </si>
  <si>
    <t>(320) 286-2158</t>
  </si>
  <si>
    <t>AUGUSTANA EMERALD CREST OF BURNSVILLE</t>
  </si>
  <si>
    <t xml:space="preserve">451 E TRAVELERS TRL </t>
  </si>
  <si>
    <t>55337-2891</t>
  </si>
  <si>
    <t>AUGUSTANA EMERALD CREST OF VICTORIA</t>
  </si>
  <si>
    <t xml:space="preserve">8150 BAVARIA RD </t>
  </si>
  <si>
    <t>55386-9702</t>
  </si>
  <si>
    <t>SPRINGHOUSE</t>
  </si>
  <si>
    <t xml:space="preserve">44 ALLANDALE ST # 46 </t>
  </si>
  <si>
    <t>(617) 522-0043</t>
  </si>
  <si>
    <t>EMMANUEL HOUSE</t>
  </si>
  <si>
    <t xml:space="preserve">25 E NILSSON ST </t>
  </si>
  <si>
    <t>02301-6604</t>
  </si>
  <si>
    <t>(508) 588-5334</t>
  </si>
  <si>
    <t>SOUTHMAYD HOME INC</t>
  </si>
  <si>
    <t xml:space="preserve">250 COLUMBIA BLVD </t>
  </si>
  <si>
    <t>06710-1401</t>
  </si>
  <si>
    <t>(203) 754-0360</t>
  </si>
  <si>
    <t>SAINT LUKE'S HOME</t>
  </si>
  <si>
    <t xml:space="preserve">85 SPRING ST </t>
  </si>
  <si>
    <t>01105-1211</t>
  </si>
  <si>
    <t>(413) 736-5494</t>
  </si>
  <si>
    <t>DOMAN-ROSE PLACE</t>
  </si>
  <si>
    <t xml:space="preserve">220 MILWAUKEE ST SUITE 3 </t>
  </si>
  <si>
    <t>JEWISH HOME ASSISTED LIVING</t>
  </si>
  <si>
    <t xml:space="preserve">685 WESTWOOD AVE </t>
  </si>
  <si>
    <t>RIVER VALE</t>
  </si>
  <si>
    <t>07675-6335</t>
  </si>
  <si>
    <t>(201) 666-2370</t>
  </si>
  <si>
    <t>FLORENCE &amp; CHAFETZ HOME FOR SPECIALIZED CARE</t>
  </si>
  <si>
    <t xml:space="preserve">175 CAPTAINS ROW </t>
  </si>
  <si>
    <t>02150-4079</t>
  </si>
  <si>
    <t>ORCHARDS AT SOUTHINGTON (THE)</t>
  </si>
  <si>
    <t xml:space="preserve">34 HOBART ST </t>
  </si>
  <si>
    <t>(860) 628-5656</t>
  </si>
  <si>
    <t>THE GARDENS AT CALVARY</t>
  </si>
  <si>
    <t xml:space="preserve">7595 MOON RD </t>
  </si>
  <si>
    <t>31909-1739</t>
  </si>
  <si>
    <t>(706) 653-2000</t>
  </si>
  <si>
    <t>CROSBY COMMONS</t>
  </si>
  <si>
    <t xml:space="preserve">580 LONG HILL AVE </t>
  </si>
  <si>
    <t>06484-4803</t>
  </si>
  <si>
    <t>(203) 255-5000</t>
  </si>
  <si>
    <t>BLOCHER HOMES INC.</t>
  </si>
  <si>
    <t xml:space="preserve">135 EVANS ST </t>
  </si>
  <si>
    <t>14221-5527</t>
  </si>
  <si>
    <t>(716) 810-7400</t>
  </si>
  <si>
    <t>GAINES PROPERTIES LLC</t>
  </si>
  <si>
    <t xml:space="preserve">1740 OLD 41 HWY NW </t>
  </si>
  <si>
    <t>30152-4428</t>
  </si>
  <si>
    <t>AEGIS BELLEVUE OVERLAKE</t>
  </si>
  <si>
    <t xml:space="preserve">1845 116TH AVENUE NE </t>
  </si>
  <si>
    <t>425-223-3454</t>
  </si>
  <si>
    <t>HOLY SPIRIT HEALTH CARE CENTER INC</t>
  </si>
  <si>
    <t xml:space="preserve">72 CHURCH ST </t>
  </si>
  <si>
    <t>06260-1810</t>
  </si>
  <si>
    <t>(860) 928-0891</t>
  </si>
  <si>
    <t>ACTORS' FUND ASSISTED LIVING FACILITY (THE)</t>
  </si>
  <si>
    <t xml:space="preserve">155 W HUDSON AVE </t>
  </si>
  <si>
    <t>(201) 871-8882</t>
  </si>
  <si>
    <t>ABRAMS ASSISTED LIVING</t>
  </si>
  <si>
    <t>AEGIS KIRKLAND WATERFRONT</t>
  </si>
  <si>
    <t xml:space="preserve">1002 LAKE STREET S </t>
  </si>
  <si>
    <t>425-659-3432</t>
  </si>
  <si>
    <t>CENTRAL VALLEY SPECIALTY</t>
  </si>
  <si>
    <t>SONOMA SPECIALTY HOSPITAL</t>
  </si>
  <si>
    <t xml:space="preserve">501 PETALUMA AVENUE </t>
  </si>
  <si>
    <t>707-823-8511</t>
  </si>
  <si>
    <t>Asociación de Propietarios de Residencias Acapulco AC</t>
  </si>
  <si>
    <t>Fairmont Heritage Place Acapulco</t>
  </si>
  <si>
    <t>Colonia Av. Costera de las Palmas Granjas del Marqués 39890 Acapulco de Juárez Gro. Mexico</t>
  </si>
  <si>
    <t>Acapulco De Juarez</t>
  </si>
  <si>
    <t>GRO</t>
  </si>
  <si>
    <t>Fairmont</t>
  </si>
  <si>
    <t>Karina Camacho</t>
  </si>
  <si>
    <t>Nadia Ramirez</t>
  </si>
  <si>
    <t>+()52 744 435 0190</t>
  </si>
  <si>
    <t>Baccarat Hotel New York</t>
  </si>
  <si>
    <t xml:space="preserve">28 West 53rd Street </t>
  </si>
  <si>
    <t>Guia Llamas</t>
  </si>
  <si>
    <t>Pradeep Raman</t>
  </si>
  <si>
    <t>+1 (212) 790-8800</t>
  </si>
  <si>
    <t>Hilton Garden Inn &amp; Homewood Suites Montreal Midtown</t>
  </si>
  <si>
    <t xml:space="preserve">6939 Decarie Boulevard </t>
  </si>
  <si>
    <t>H3W 3E4</t>
  </si>
  <si>
    <t>Nick D'Amico</t>
  </si>
  <si>
    <t>Genevieve Biron</t>
  </si>
  <si>
    <t>+1 (514) 370-3300</t>
  </si>
  <si>
    <t>Selina Isla Mujeres</t>
  </si>
  <si>
    <t xml:space="preserve">Matamoros #15 SM01 Centro </t>
  </si>
  <si>
    <t>Caridad Del Cobre</t>
  </si>
  <si>
    <t>Omar Hernandez</t>
  </si>
  <si>
    <t>+1 (555) 351-8338</t>
  </si>
  <si>
    <t>Selina Oaxaca</t>
  </si>
  <si>
    <t xml:space="preserve">5 de Mayo #217 Ruta Independencia </t>
  </si>
  <si>
    <t>Oaxaca de Juarez</t>
  </si>
  <si>
    <t>OAX</t>
  </si>
  <si>
    <t>Marisol Saavedra</t>
  </si>
  <si>
    <t>+1 (951) 171-9363</t>
  </si>
  <si>
    <t>Selina Sayulita</t>
  </si>
  <si>
    <t xml:space="preserve">Calle Gaviotas Sur #12 </t>
  </si>
  <si>
    <t>Christian Gonzalez</t>
  </si>
  <si>
    <t>Athena Hospitality Group LLC</t>
  </si>
  <si>
    <t>Cambria Hotel &amp; Suites Nashville Airport</t>
  </si>
  <si>
    <t xml:space="preserve">44 Rachel Drive </t>
  </si>
  <si>
    <t>Sean Castady</t>
  </si>
  <si>
    <t>+1 (615) 645-1945</t>
  </si>
  <si>
    <t>POWDER SPRINGS CENTER FOR NURSING AND HEALING</t>
  </si>
  <si>
    <t xml:space="preserve">3460 POWDER SPRINGS RD </t>
  </si>
  <si>
    <t>POWDER SPRINGS</t>
  </si>
  <si>
    <t>770-439-9199</t>
  </si>
  <si>
    <t>MANATEE SPRINGS NURSING AND AND REHAB</t>
  </si>
  <si>
    <t xml:space="preserve">5627 9TH ST EAST </t>
  </si>
  <si>
    <t>941-753-8941</t>
  </si>
  <si>
    <t>UNITY NURSING &amp; REHAB CENTER</t>
  </si>
  <si>
    <t xml:space="preserve">1527 DELACHAISE </t>
  </si>
  <si>
    <t>504-895-3953</t>
  </si>
  <si>
    <t>ROSEMONT AT STONE MOUNTAIN</t>
  </si>
  <si>
    <t xml:space="preserve">5160 SPRINGVIEW AVENUE </t>
  </si>
  <si>
    <t>770-498-4144</t>
  </si>
  <si>
    <t>TRINITY REGIONAL REHAB CENTER</t>
  </si>
  <si>
    <t xml:space="preserve">2144 WELBILT BLVD </t>
  </si>
  <si>
    <t>727-859-4100</t>
  </si>
  <si>
    <t>NOTTINGHAM REGIONAL REHAB CENTER</t>
  </si>
  <si>
    <t xml:space="preserve">2828 WESTFORK DRIVE </t>
  </si>
  <si>
    <t>225-291-7049</t>
  </si>
  <si>
    <t>OAKWOOD VILLAGE ASSISTED LIVING</t>
  </si>
  <si>
    <t xml:space="preserve">4400 MCHUGH RD </t>
  </si>
  <si>
    <t>ZACHARY</t>
  </si>
  <si>
    <t>225-658-8888</t>
  </si>
  <si>
    <t>MAPLE RIDGE HEALTH CARE CENTER</t>
  </si>
  <si>
    <t xml:space="preserve">22 MAPLE RIDGE DRIVE S.E. </t>
  </si>
  <si>
    <t>770-606-8800</t>
  </si>
  <si>
    <t>GREENBRIER REGIONAL MEDICAL CENTER</t>
  </si>
  <si>
    <t xml:space="preserve">1017 GEORGE WASHINGTON HWY N </t>
  </si>
  <si>
    <t>CHESAPEAKE</t>
  </si>
  <si>
    <t>757-485-5500</t>
  </si>
  <si>
    <t>RECHE CANYON REHAB &amp; HEALTH</t>
  </si>
  <si>
    <t xml:space="preserve">1350 RECHE CANYON ROAD </t>
  </si>
  <si>
    <t>COLTON</t>
  </si>
  <si>
    <t>909-370-4411</t>
  </si>
  <si>
    <t>Courtyard Houston Brookhollow</t>
  </si>
  <si>
    <t xml:space="preserve">2504 North Loop West </t>
  </si>
  <si>
    <t>Angela Bell</t>
  </si>
  <si>
    <t>Kerston Weathersby</t>
  </si>
  <si>
    <t>+1 (713) 688-7711</t>
  </si>
  <si>
    <t>FAIRBURN HEALTH CARE CENTER</t>
  </si>
  <si>
    <t xml:space="preserve">178 WEST CAMPBELTON STREET </t>
  </si>
  <si>
    <t>FAIRBURN</t>
  </si>
  <si>
    <t>770-964-1320</t>
  </si>
  <si>
    <t>GRANDVIEW HEALTH CARE CENTER</t>
  </si>
  <si>
    <t xml:space="preserve">618 GENNETT DRIVE </t>
  </si>
  <si>
    <t>VASPAR</t>
  </si>
  <si>
    <t>706-692-5123</t>
  </si>
  <si>
    <t>COVENANT LIVING OF COLORADO</t>
  </si>
  <si>
    <t xml:space="preserve">9153 YARROW ST </t>
  </si>
  <si>
    <t>773-878-2294</t>
  </si>
  <si>
    <t>Holiday Inn Express Lakeshore</t>
  </si>
  <si>
    <t xml:space="preserve">14 Amy Croft Drive </t>
  </si>
  <si>
    <t>Lakeshore</t>
  </si>
  <si>
    <t>N8N 2L9</t>
  </si>
  <si>
    <t>Stacy King</t>
  </si>
  <si>
    <t>+1 (519) 919-2408</t>
  </si>
  <si>
    <t>AC Hotel Tallahassee Downtown</t>
  </si>
  <si>
    <t xml:space="preserve">801 South Gadsden Street </t>
  </si>
  <si>
    <t>Keith Hoogerheyde</t>
  </si>
  <si>
    <t>+1 (850) 392-7700</t>
  </si>
  <si>
    <t>COLONIAL CARE RETIREMENT CENTER</t>
  </si>
  <si>
    <t xml:space="preserve">14686 OLD HAMMOND HWY </t>
  </si>
  <si>
    <t>225-272-9339</t>
  </si>
  <si>
    <t>EAST LAKE ARBOR</t>
  </si>
  <si>
    <t xml:space="preserve">304 5TH AVENUE </t>
  </si>
  <si>
    <t>404-373-6231</t>
  </si>
  <si>
    <t>CARRINGTON PLACE OF ST CHARLES</t>
  </si>
  <si>
    <t xml:space="preserve">2150 W RANDOLPH ST </t>
  </si>
  <si>
    <t>ST CHARLES</t>
  </si>
  <si>
    <t>636-946-4966</t>
  </si>
  <si>
    <t>CARRINGTON PLACE OF SPRINGHILL</t>
  </si>
  <si>
    <t xml:space="preserve">215 FIRST STREET NE </t>
  </si>
  <si>
    <t>318-539-3527</t>
  </si>
  <si>
    <t>CITISCAPE AT ESSEN APARTMENTS</t>
  </si>
  <si>
    <t xml:space="preserve">5010 MANCUSO LANE </t>
  </si>
  <si>
    <t>225-768-8240</t>
  </si>
  <si>
    <t>CHATSWORTH HEALTH CARE CENTER</t>
  </si>
  <si>
    <t xml:space="preserve">102 HOSPITAL DRIVE </t>
  </si>
  <si>
    <t>CHATSWORTH</t>
  </si>
  <si>
    <t>706-695-8313</t>
  </si>
  <si>
    <t>CARRINGTON PLACE OF ST PETE</t>
  </si>
  <si>
    <t xml:space="preserve">10501 ROOSEVELT BLVD NORTH </t>
  </si>
  <si>
    <t>727-577-3800</t>
  </si>
  <si>
    <t>CARRINGTON PLACE OF TAPPHANNOCK</t>
  </si>
  <si>
    <t xml:space="preserve">1150 MARSH STREET </t>
  </si>
  <si>
    <t>TAPPAHANNOCK</t>
  </si>
  <si>
    <t>804-443-4308</t>
  </si>
  <si>
    <t>CARRINGTON PLACE OF NEW ORLEANS</t>
  </si>
  <si>
    <t xml:space="preserve">5301 TULLIS DRIVE </t>
  </si>
  <si>
    <t xml:space="preserve">NEW ORLEANS </t>
  </si>
  <si>
    <t>504-394-5807</t>
  </si>
  <si>
    <t>CARRINGTON PLACE OF BATON ROUGE</t>
  </si>
  <si>
    <t xml:space="preserve">8225 SUMMA AVE </t>
  </si>
  <si>
    <t>225-766-0130</t>
  </si>
  <si>
    <t>CARRINGTON PLACE AT RURAL RETREAT</t>
  </si>
  <si>
    <t>CARRINGTON PLACE AT WYTHEVILLE</t>
  </si>
  <si>
    <t xml:space="preserve">990 HOLSTON ROAD </t>
  </si>
  <si>
    <t>WYTHEVILLE</t>
  </si>
  <si>
    <t>276-200-3030</t>
  </si>
  <si>
    <t>Odyssey PropCo III LLC</t>
  </si>
  <si>
    <t>AC Hotel Sunnyvale Cupertino</t>
  </si>
  <si>
    <t xml:space="preserve">597 East El Camino Real </t>
  </si>
  <si>
    <t>Sunnyvale</t>
  </si>
  <si>
    <t>Milan Djordjevic</t>
  </si>
  <si>
    <t>+()408-733-7950</t>
  </si>
  <si>
    <t>Odyssey PropCo II LLC</t>
  </si>
  <si>
    <t>AC Hotel San Jose Santa Clara</t>
  </si>
  <si>
    <t xml:space="preserve">2970 Lakeside Drive </t>
  </si>
  <si>
    <t>Javier Hernandez</t>
  </si>
  <si>
    <t>Justin Hart</t>
  </si>
  <si>
    <t>+1(408)496-2950</t>
  </si>
  <si>
    <t>CARRINGTON PLACE AT BOTERTOURT</t>
  </si>
  <si>
    <t xml:space="preserve">290 COMMONS PARKWAY </t>
  </si>
  <si>
    <t>DALEVILLE</t>
  </si>
  <si>
    <t>540-966-0056</t>
  </si>
  <si>
    <t>CALHOUN HEALTH CARE CENTER</t>
  </si>
  <si>
    <t xml:space="preserve">1387 HIGHWAY 41 NORTH </t>
  </si>
  <si>
    <t>CALHOUN</t>
  </si>
  <si>
    <t>706-629-1289</t>
  </si>
  <si>
    <t>ATRIUM ASSISTED LIVING</t>
  </si>
  <si>
    <t xml:space="preserve">6555 PARK MANOR DRIVE </t>
  </si>
  <si>
    <t>METARIE</t>
  </si>
  <si>
    <t>504-454-6635</t>
  </si>
  <si>
    <t>AMBER TERRACE</t>
  </si>
  <si>
    <t xml:space="preserve">8585 SUMMA AVE </t>
  </si>
  <si>
    <t>225-767-7877</t>
  </si>
  <si>
    <t>AFFINITY NURSING &amp; REHAB CENTER</t>
  </si>
  <si>
    <t xml:space="preserve">4005 N BLVD &amp; A4065 </t>
  </si>
  <si>
    <t>225-387-5934</t>
  </si>
  <si>
    <t xml:space="preserve">SOUND MENTAL HEALTH </t>
  </si>
  <si>
    <t>WALLINGFORD CLUBHOUSE CLINIC</t>
  </si>
  <si>
    <t xml:space="preserve">4122 STONE WAY NORTH </t>
  </si>
  <si>
    <t>206-461-3614</t>
  </si>
  <si>
    <t>WALLINGFORD CLINIC</t>
  </si>
  <si>
    <t xml:space="preserve">4120 STONE AVENUE N </t>
  </si>
  <si>
    <t>THE WILLOWS CLINIC</t>
  </si>
  <si>
    <t xml:space="preserve">1709 SW 112TH STREET </t>
  </si>
  <si>
    <t>PROPERTY MAINTENANCE CLINIC</t>
  </si>
  <si>
    <t xml:space="preserve">943 NW 50TH STREET </t>
  </si>
  <si>
    <t>206-461-8327</t>
  </si>
  <si>
    <t>NORTHGATE CLINIC</t>
  </si>
  <si>
    <t xml:space="preserve">10501 MERIDIAN AVENUE N </t>
  </si>
  <si>
    <t>KEYSTONE</t>
  </si>
  <si>
    <t xml:space="preserve">11000 LAKE CITY WAY NE </t>
  </si>
  <si>
    <t>BELLTOWN-CLEANSTART CLINIC</t>
  </si>
  <si>
    <t xml:space="preserve">2329 4TH AVENUE </t>
  </si>
  <si>
    <t>ARBOR HOUSE CLINIC</t>
  </si>
  <si>
    <t xml:space="preserve">1107 VIRGINIA STREET </t>
  </si>
  <si>
    <t>Deutsche Bank Mexico SA IBM Division Fiduciaraia F161</t>
  </si>
  <si>
    <t>AC Hotel Guadalajara Expo</t>
  </si>
  <si>
    <t xml:space="preserve">Avenida Lopez Mateos Sur No 2375 </t>
  </si>
  <si>
    <t>Yadira Chapula</t>
  </si>
  <si>
    <t>Cristina Antolin Belmonte</t>
  </si>
  <si>
    <t>+52(33)3880 0600</t>
  </si>
  <si>
    <t>MMI Hotel Group</t>
  </si>
  <si>
    <t>Hotel Simone</t>
  </si>
  <si>
    <t xml:space="preserve">1200 Ocean Boulevard </t>
  </si>
  <si>
    <t>St. Simons Island</t>
  </si>
  <si>
    <t>Laura Malta</t>
  </si>
  <si>
    <t>Lexie Trinkle</t>
  </si>
  <si>
    <t>+1 (912) 357-5500</t>
  </si>
  <si>
    <t>Renaissance Allentown</t>
  </si>
  <si>
    <t xml:space="preserve">12 North Seventh Street </t>
  </si>
  <si>
    <t>Chas Reece</t>
  </si>
  <si>
    <t>Art Villarreal</t>
  </si>
  <si>
    <t>+1 (484) 273-4000</t>
  </si>
  <si>
    <t>Fairfield Inn &amp; Suites Houston Brookhollow</t>
  </si>
  <si>
    <t xml:space="preserve">4850 Federal Plaza Drive </t>
  </si>
  <si>
    <t>Avish Patel</t>
  </si>
  <si>
    <t>Kirk Anderson</t>
  </si>
  <si>
    <t>+1 (832) 831-4486</t>
  </si>
  <si>
    <t>ENGLISH MEADOWS AT WARRENTON LLC</t>
  </si>
  <si>
    <t xml:space="preserve">239 ALEXANDRIA PIKE </t>
  </si>
  <si>
    <t>540-347-6000</t>
  </si>
  <si>
    <t>ENGLISH MEADOWS AT CHRISTIANBURG LLC</t>
  </si>
  <si>
    <t xml:space="preserve">1140 WEST MAIN STREET </t>
  </si>
  <si>
    <t>CHRISTIANSBURG</t>
  </si>
  <si>
    <t>540-382-4919</t>
  </si>
  <si>
    <t>ENGLISH MEADOWS AT LOUISA LLC</t>
  </si>
  <si>
    <t xml:space="preserve">440 W MAIN STREET </t>
  </si>
  <si>
    <t>LOUISA</t>
  </si>
  <si>
    <t>540-967-4600</t>
  </si>
  <si>
    <t>ENGLISH MEADOWS AT CULPEPPER LLC</t>
  </si>
  <si>
    <t xml:space="preserve">215 SOUTHRIDGE PKWY </t>
  </si>
  <si>
    <t>CULPEPPER</t>
  </si>
  <si>
    <t>540-825-4500</t>
  </si>
  <si>
    <t>ENGLISH MEADOWS AT BEDFORD LLC</t>
  </si>
  <si>
    <t xml:space="preserve">931 ASHLAND AVE </t>
  </si>
  <si>
    <t>540-586-8232</t>
  </si>
  <si>
    <t>Moxy NYC Chelsea</t>
  </si>
  <si>
    <t xml:space="preserve">105 West 28th Street </t>
  </si>
  <si>
    <t>Sean Johnston</t>
  </si>
  <si>
    <t>+1 (212) 514-6699</t>
  </si>
  <si>
    <t>Moxy New York City Manhattan Midtown South</t>
  </si>
  <si>
    <t xml:space="preserve">112 East 11th Street </t>
  </si>
  <si>
    <t>Leo Glazer</t>
  </si>
  <si>
    <t>Alexa Silver</t>
  </si>
  <si>
    <t>+1(212) 288-6699</t>
  </si>
  <si>
    <t>MOXY NYC Times Square 7th Avenue</t>
  </si>
  <si>
    <t xml:space="preserve">485 7th Avenue </t>
  </si>
  <si>
    <t>Christian Brosius</t>
  </si>
  <si>
    <t>+1 (212) 967-6699</t>
  </si>
  <si>
    <t>AUBURN POST ACUTE</t>
  </si>
  <si>
    <t xml:space="preserve">414 17TH STREET SE </t>
  </si>
  <si>
    <t>253-833-1740</t>
  </si>
  <si>
    <t>SAFE HAVEN HEALTHCARE</t>
  </si>
  <si>
    <t xml:space="preserve">620 N 6TH STREET </t>
  </si>
  <si>
    <t>208-251-0554</t>
  </si>
  <si>
    <t>SAFE HAVEN HOSPITAL OF TREASURE WAY</t>
  </si>
  <si>
    <t xml:space="preserve">8050 W NORTHVIEW ST </t>
  </si>
  <si>
    <t>208-237-0504</t>
  </si>
  <si>
    <t xml:space="preserve">314 S 7TH STREET </t>
  </si>
  <si>
    <t>208-788-9698</t>
  </si>
  <si>
    <t>DIAMOND PEAK HEALTH CARE</t>
  </si>
  <si>
    <t>DIAMOND PEAK OF GOODING</t>
  </si>
  <si>
    <t xml:space="preserve">745 CALIFORNIA STREET </t>
  </si>
  <si>
    <t>208-934-5506</t>
  </si>
  <si>
    <t>DIAMOND PEAK OF CHALLIS</t>
  </si>
  <si>
    <t xml:space="preserve">610 N CLINIC ROAD </t>
  </si>
  <si>
    <t>CHALLIS</t>
  </si>
  <si>
    <t>208-879-3030</t>
  </si>
  <si>
    <t>DIAMOND PEAK OF BURLEY</t>
  </si>
  <si>
    <t xml:space="preserve">1703 ALMO AVENUE </t>
  </si>
  <si>
    <t>BURLEY</t>
  </si>
  <si>
    <t>208-678-2955</t>
  </si>
  <si>
    <t>BENCHMARK HUMAN SERVICES</t>
  </si>
  <si>
    <t xml:space="preserve">1728 9TH AVE </t>
  </si>
  <si>
    <t>260-744-6145</t>
  </si>
  <si>
    <t>ROO LAN HEALTH AND REHAB</t>
  </si>
  <si>
    <t xml:space="preserve">1505 CARPENTER ROAD SE </t>
  </si>
  <si>
    <t>LACEY</t>
  </si>
  <si>
    <t>360-491-1765</t>
  </si>
  <si>
    <t>CASCADE HALL</t>
  </si>
  <si>
    <t>BRENTWOOD SENIOR LIVING</t>
  </si>
  <si>
    <t xml:space="preserve">6920 SW LEE BLVD </t>
  </si>
  <si>
    <t>580-536-4848</t>
  </si>
  <si>
    <t>CASA DE ROSA ASSISTED LIVING</t>
  </si>
  <si>
    <t xml:space="preserve">10127 GUADALUPE TRAIL NW </t>
  </si>
  <si>
    <t>505-897-2322</t>
  </si>
  <si>
    <t>CASCADE LIVING GROUP</t>
  </si>
  <si>
    <t>ALPINE WAY CONTINUING CARE COMM</t>
  </si>
  <si>
    <t xml:space="preserve">900 W ALPINE WAY </t>
  </si>
  <si>
    <t>360-426-2600</t>
  </si>
  <si>
    <t>PINE VALLEY COMMUNITY VILLAGE</t>
  </si>
  <si>
    <t xml:space="preserve">25951 CIRCLE VIEW DRIVE </t>
  </si>
  <si>
    <t>608-647-2138</t>
  </si>
  <si>
    <t>Novotel Mexico City Toreo</t>
  </si>
  <si>
    <t xml:space="preserve">AV. 1 RO DE MAYO #120 COL. SAN ANDRES ATOTO </t>
  </si>
  <si>
    <t>Napolean Flores Mares</t>
  </si>
  <si>
    <t>+52(55)89 20 04 00</t>
  </si>
  <si>
    <t>Riverchase Country Club</t>
  </si>
  <si>
    <t xml:space="preserve">2000 Club Road </t>
  </si>
  <si>
    <t>John Carney</t>
  </si>
  <si>
    <t>+ (205) 988-8111</t>
  </si>
  <si>
    <t>Spanish Hills Golf &amp; Country Club</t>
  </si>
  <si>
    <t xml:space="preserve">999 Crestview Avenue </t>
  </si>
  <si>
    <t>Camarillo</t>
  </si>
  <si>
    <t>+1 (805) 388-5000</t>
  </si>
  <si>
    <t>Marriott Park Ridge</t>
  </si>
  <si>
    <t xml:space="preserve">300 Brae Boulevard </t>
  </si>
  <si>
    <t>Park Ridge</t>
  </si>
  <si>
    <t>Brian Curiale</t>
  </si>
  <si>
    <t>Abby Gonzalez</t>
  </si>
  <si>
    <t>+1 (201) 307-0800</t>
  </si>
  <si>
    <t>Nautilus Inn Daytona Beach</t>
  </si>
  <si>
    <t xml:space="preserve">1515 South Atlantic Avenue </t>
  </si>
  <si>
    <t>Androse Bell</t>
  </si>
  <si>
    <t>Rodolfo Ortega</t>
  </si>
  <si>
    <t>+1 (386) 254-8600</t>
  </si>
  <si>
    <t>OHIO TREATMENT CENTER-NORTH BALTIMORE</t>
  </si>
  <si>
    <t xml:space="preserve">115 NORTH STATE STREET </t>
  </si>
  <si>
    <t>419-283-8108</t>
  </si>
  <si>
    <t>OHIO TREATMENT CENTER WOMENS HOUSING</t>
  </si>
  <si>
    <t xml:space="preserve">3334 DOUGLAS ROAD </t>
  </si>
  <si>
    <t>OHIO TREATMENT CENTER MENS HOUSING</t>
  </si>
  <si>
    <t xml:space="preserve">2555 KEYGATE DRIVE </t>
  </si>
  <si>
    <t>OHIO TREATMENT CENTER</t>
  </si>
  <si>
    <t xml:space="preserve">4747 MONROE STREET </t>
  </si>
  <si>
    <t>410-283-8108</t>
  </si>
  <si>
    <t>MIDWEST RECOVERY CENTER WOMENS HOUSING</t>
  </si>
  <si>
    <t>419-290-2192</t>
  </si>
  <si>
    <t>MIDWEST RECOVERY CENTER MENS HOUSING</t>
  </si>
  <si>
    <t xml:space="preserve">2541 KEYGATE DRIVE </t>
  </si>
  <si>
    <t>OHIO DETOX CENTER</t>
  </si>
  <si>
    <t xml:space="preserve">1757 INDIAN WOOD CIRCLE </t>
  </si>
  <si>
    <t>MIDWEST DETOX CENTER</t>
  </si>
  <si>
    <t xml:space="preserve">1760 MANLEY ROAD </t>
  </si>
  <si>
    <t xml:space="preserve">TOLEDO </t>
  </si>
  <si>
    <t>MIDWEST RECOVERY CENTER</t>
  </si>
  <si>
    <t xml:space="preserve">7540 NEW WEST ROAD </t>
  </si>
  <si>
    <t>Hilton Garden Inn Lake Oswego</t>
  </si>
  <si>
    <t xml:space="preserve">14850 Kruse Oaks Boulevard </t>
  </si>
  <si>
    <t>Lake Oswego</t>
  </si>
  <si>
    <t>DeEsta Denver</t>
  </si>
  <si>
    <t>Jerry Pense</t>
  </si>
  <si>
    <t>+1 (503) 684-8900</t>
  </si>
  <si>
    <t>Lala Salama Hospitality</t>
  </si>
  <si>
    <t>SpringHill Suites Clearwater</t>
  </si>
  <si>
    <t xml:space="preserve">3485 Ulmerton Road </t>
  </si>
  <si>
    <t>Trevor Penne</t>
  </si>
  <si>
    <t>+1 (727) 571-1600</t>
  </si>
  <si>
    <t>Janus Hotels &amp; Resorts</t>
  </si>
  <si>
    <t>Fairfield Inn &amp; Suites Noblesville</t>
  </si>
  <si>
    <t xml:space="preserve">17960 Foundation Dr. </t>
  </si>
  <si>
    <t>Noblesville</t>
  </si>
  <si>
    <t>Brent Pope</t>
  </si>
  <si>
    <t>Andrew Jeter</t>
  </si>
  <si>
    <t>+1 (317) 776-9900</t>
  </si>
  <si>
    <t>Holiday Inn Express St John's Airport</t>
  </si>
  <si>
    <t xml:space="preserve">5 Navigation Avenue </t>
  </si>
  <si>
    <t>A1A 0E5</t>
  </si>
  <si>
    <t>Serge Primeau</t>
  </si>
  <si>
    <t>Greg Ivany</t>
  </si>
  <si>
    <t>+()709-738-0123</t>
  </si>
  <si>
    <t>Holiday Inn Aurora</t>
  </si>
  <si>
    <t xml:space="preserve">2424 Sullivan Rd. </t>
  </si>
  <si>
    <t>Aurora</t>
  </si>
  <si>
    <t>Arron Martin</t>
  </si>
  <si>
    <t>Robert Frejlich</t>
  </si>
  <si>
    <t>+()630-806-7400</t>
  </si>
  <si>
    <t>Hyatt Place LAX - Century Blvd (Dual Property)</t>
  </si>
  <si>
    <t xml:space="preserve">5959 West Century Boulevard </t>
  </si>
  <si>
    <t>Kenan Tekin</t>
  </si>
  <si>
    <t>Cory Christensen</t>
  </si>
  <si>
    <t>+1 (310) 258-9000</t>
  </si>
  <si>
    <t>Hyatt House LAX - Century Blvd (Dual Property)</t>
  </si>
  <si>
    <t>Grady Hotel</t>
  </si>
  <si>
    <t xml:space="preserve">601 West Main Street </t>
  </si>
  <si>
    <t>Laurent Geroli</t>
  </si>
  <si>
    <t>Scott Taylor</t>
  </si>
  <si>
    <t>+1 (423) 715-6290</t>
  </si>
  <si>
    <t>THE LEGACY SENIOR COMMUNITIES</t>
  </si>
  <si>
    <t>THE LEGACY AT MIDTOWN PARK-IL</t>
  </si>
  <si>
    <t xml:space="preserve">8240 MANDERVILLE </t>
  </si>
  <si>
    <t>214-379-6700</t>
  </si>
  <si>
    <t>TROPICS COCKTAIL BAR</t>
  </si>
  <si>
    <t xml:space="preserve">1 SOUTH ATLANTIC AVENUE </t>
  </si>
  <si>
    <t>321-613-5333</t>
  </si>
  <si>
    <t>TLC PROPERTY HOLDINGS</t>
  </si>
  <si>
    <t xml:space="preserve">110 LAKE SIDE TRAIL </t>
  </si>
  <si>
    <t>937-540-1830</t>
  </si>
  <si>
    <t>TITAN SENQUEST MANAGEMENT INC</t>
  </si>
  <si>
    <t>ROYAL COMFORT SERVICES</t>
  </si>
  <si>
    <t xml:space="preserve">422 FELIX STREET </t>
  </si>
  <si>
    <t>816-233-5691</t>
  </si>
  <si>
    <t>CRYSTAL PARK FIRE DEPARTMENT</t>
  </si>
  <si>
    <t xml:space="preserve">496 PALMER TRAIL </t>
  </si>
  <si>
    <t>MANITU SPRINGS</t>
  </si>
  <si>
    <t>719-476-0245</t>
  </si>
  <si>
    <t>BLUEPRINT RECOVERY CENTER</t>
  </si>
  <si>
    <t xml:space="preserve">2 CHENELL DRIVE </t>
  </si>
  <si>
    <t>BONFIRE BEHAVIORAL HEALTH</t>
  </si>
  <si>
    <t xml:space="preserve">10 GROVE STREET STE 1 </t>
  </si>
  <si>
    <t>WOOD LANE RESIDENTIAL SERVICES INC</t>
  </si>
  <si>
    <t xml:space="preserve">545 PEARL STREET </t>
  </si>
  <si>
    <t>419-353-9577</t>
  </si>
  <si>
    <t>KIDS R KIDS SPRINGBORO</t>
  </si>
  <si>
    <t xml:space="preserve">790 NORTH MAIN STREET </t>
  </si>
  <si>
    <t>SPRINGBORO</t>
  </si>
  <si>
    <t>937-748-1260</t>
  </si>
  <si>
    <t>GARFIELD COUNTY DETENTION</t>
  </si>
  <si>
    <t xml:space="preserve">1020 SOUTH 10TH </t>
  </si>
  <si>
    <t>580-548-0240</t>
  </si>
  <si>
    <t>SOLVERE LIVING SATELLITE CORP OFFICE</t>
  </si>
  <si>
    <t xml:space="preserve">703 BROADCASTING ROAD </t>
  </si>
  <si>
    <t>484-577-7979</t>
  </si>
  <si>
    <t>PORTOPICCOLO GROUP DESIGN AND DEVELOPMENT</t>
  </si>
  <si>
    <t xml:space="preserve">14 53RD STREET #450N </t>
  </si>
  <si>
    <t>BLUE MOON ESTATE SALES</t>
  </si>
  <si>
    <t xml:space="preserve">160 NE MAYNARD ROAD STE 205 </t>
  </si>
  <si>
    <t>844-425-8387</t>
  </si>
  <si>
    <t>FAIRYTALE THREADS LLC</t>
  </si>
  <si>
    <t xml:space="preserve">3601 OAK MEADOW DRIVE </t>
  </si>
  <si>
    <t>512-850-3280</t>
  </si>
  <si>
    <t>AS THEY GROW KIDS CONSIGNMENT LLC</t>
  </si>
  <si>
    <t xml:space="preserve">63 WOODCREST DRIVE </t>
  </si>
  <si>
    <t>ELKTON</t>
  </si>
  <si>
    <t>302-722-1524</t>
  </si>
  <si>
    <t>RI KIDS CONSIGNMENT LLC</t>
  </si>
  <si>
    <t xml:space="preserve">172 EXCHANGE STREET G001 </t>
  </si>
  <si>
    <t>401-250-5439</t>
  </si>
  <si>
    <t>WEE TRADE CAROLINAS</t>
  </si>
  <si>
    <t xml:space="preserve">1070-1 TUNNEL ROAD </t>
  </si>
  <si>
    <t>704-996-5143</t>
  </si>
  <si>
    <t>CRAFTERS EXCHANGE</t>
  </si>
  <si>
    <t xml:space="preserve">156 BRANDEN TRAIL </t>
  </si>
  <si>
    <t>615-542-1669</t>
  </si>
  <si>
    <t>THE LEGACY AT MIDTOWN PARK-AL</t>
  </si>
  <si>
    <t xml:space="preserve">8260 MANDEVILLE LANE </t>
  </si>
  <si>
    <t>469-497-3838</t>
  </si>
  <si>
    <t>Sanchi Hotels LLC</t>
  </si>
  <si>
    <t>Super 8 Ft Stockton</t>
  </si>
  <si>
    <t xml:space="preserve">3200 W Dickinson Blvd </t>
  </si>
  <si>
    <t>Fort Stockton</t>
  </si>
  <si>
    <t>Parth Ahir</t>
  </si>
  <si>
    <t>+1 (432) 336-8531</t>
  </si>
  <si>
    <t>Best Western Santa Rosa Inn</t>
  </si>
  <si>
    <t xml:space="preserve">2491 U.S Rte 66 </t>
  </si>
  <si>
    <t>Harry Bhakta</t>
  </si>
  <si>
    <t>+1 (575) 472-5877</t>
  </si>
  <si>
    <t>Quality Inn Alpine</t>
  </si>
  <si>
    <t xml:space="preserve">2401 East Highway 90 </t>
  </si>
  <si>
    <t>Alpine</t>
  </si>
  <si>
    <t>Sanket Bhakta</t>
  </si>
  <si>
    <t>+1 (432) 837-1530</t>
  </si>
  <si>
    <t>La Quinta Inn &amp; Suites Fort Stockton Northeast</t>
  </si>
  <si>
    <t xml:space="preserve">836 W-10 </t>
  </si>
  <si>
    <t>Hema Patel</t>
  </si>
  <si>
    <t>+1 (432) 299-1777</t>
  </si>
  <si>
    <t>La Quinta Inn &amp; Suites El Paso</t>
  </si>
  <si>
    <t xml:space="preserve">3470 Joe Battle Blvd </t>
  </si>
  <si>
    <t>Ajay Bhakta</t>
  </si>
  <si>
    <t>+1 (TBH)</t>
  </si>
  <si>
    <t>Days Inn Ruidoso Downs</t>
  </si>
  <si>
    <t xml:space="preserve">26150 US-70 </t>
  </si>
  <si>
    <t>Ruidoso Downs</t>
  </si>
  <si>
    <t>Ashish Bhakta</t>
  </si>
  <si>
    <t>+1 (575) 305-3563</t>
  </si>
  <si>
    <t>Fort Davis Inn &amp; RV Park</t>
  </si>
  <si>
    <t xml:space="preserve">2201 N State Street </t>
  </si>
  <si>
    <t>Fort Davis</t>
  </si>
  <si>
    <t>Dee Patel</t>
  </si>
  <si>
    <t>+1 (432) 426-2112</t>
  </si>
  <si>
    <t>Quality Inn Fort Stockton</t>
  </si>
  <si>
    <t xml:space="preserve">1308 North US Highway 285 </t>
  </si>
  <si>
    <t>+1 (432) 336-5955</t>
  </si>
  <si>
    <t>Best Western Plus Arroyo Roble Hotel &amp; Creekside Villas</t>
  </si>
  <si>
    <t xml:space="preserve">400 North State Route 89A </t>
  </si>
  <si>
    <t>Sedona</t>
  </si>
  <si>
    <t>Nicholas Hatcher</t>
  </si>
  <si>
    <t>+1 (928) 282-4001</t>
  </si>
  <si>
    <t>Hyatt House Denver Aurora</t>
  </si>
  <si>
    <t xml:space="preserve">12230 East Colfax Avenue </t>
  </si>
  <si>
    <t>Deacon Cottrell</t>
  </si>
  <si>
    <t>Thomas Cook</t>
  </si>
  <si>
    <t>+1 (303) 364-1468</t>
  </si>
  <si>
    <t>THE LEGACY AT MIDTOWN PARK-AL (DUPLICATE-SEE #972929))</t>
  </si>
  <si>
    <t xml:space="preserve">8280 MANDERVILLE LANE </t>
  </si>
  <si>
    <t>972-468-6203</t>
  </si>
  <si>
    <t>Sea Crest Beach Hotel</t>
  </si>
  <si>
    <t xml:space="preserve">350 Quaker Road </t>
  </si>
  <si>
    <t>North Falmouth</t>
  </si>
  <si>
    <t>Clark Guinn</t>
  </si>
  <si>
    <t>+1 (800) 225-3110</t>
  </si>
  <si>
    <t>Rehab Center</t>
  </si>
  <si>
    <t xml:space="preserve">2532 West Peoria Avenue </t>
  </si>
  <si>
    <t>Tiffany Rondell</t>
  </si>
  <si>
    <t>Donnice Spencer</t>
  </si>
  <si>
    <t>+1 (602) 332-9351</t>
  </si>
  <si>
    <t>No Brick LLC</t>
  </si>
  <si>
    <t>No Brick - Headquarters</t>
  </si>
  <si>
    <t xml:space="preserve">574 Alda Road </t>
  </si>
  <si>
    <t>Mamaroneck</t>
  </si>
  <si>
    <t>Mark Weiss</t>
  </si>
  <si>
    <t>+1 (917) 243-8905</t>
  </si>
  <si>
    <t>SUTTER ESTATES</t>
  </si>
  <si>
    <t xml:space="preserve">1230 PLUMAS STREET </t>
  </si>
  <si>
    <t>530-755-2820</t>
  </si>
  <si>
    <t>Quality Inn - Michigan City</t>
  </si>
  <si>
    <t xml:space="preserve">3801 North Frontage Road </t>
  </si>
  <si>
    <t>+1 (463)213-2998</t>
  </si>
  <si>
    <t>Fairfield Inn &amp; Suites Savannah North</t>
  </si>
  <si>
    <t xml:space="preserve">305 Raley Road </t>
  </si>
  <si>
    <t>Port Wentworth</t>
  </si>
  <si>
    <t>Carlos Soto</t>
  </si>
  <si>
    <t>+1 (912) 430-6700</t>
  </si>
  <si>
    <t>TERRACE GLEN VILLAGE</t>
  </si>
  <si>
    <t xml:space="preserve">3400 ALBURNETT ROAD </t>
  </si>
  <si>
    <t>MARIAN</t>
  </si>
  <si>
    <t>319-377-9000</t>
  </si>
  <si>
    <t>TownePlace Suites Orlando Southwest Universal</t>
  </si>
  <si>
    <t xml:space="preserve">5433 Altamira Drive </t>
  </si>
  <si>
    <t>Chipp Frame</t>
  </si>
  <si>
    <t>+1 (689) 208-1555</t>
  </si>
  <si>
    <t>Comfort Suites Bluffton</t>
  </si>
  <si>
    <t xml:space="preserve">23 Towne Drive </t>
  </si>
  <si>
    <t>Ryan Johnson</t>
  </si>
  <si>
    <t>+1 (843) 277-9165</t>
  </si>
  <si>
    <t>JONESBORO WELLNESS</t>
  </si>
  <si>
    <t xml:space="preserve">1705 LA TOURETTE LANE </t>
  </si>
  <si>
    <t>870-935-7550</t>
  </si>
  <si>
    <t>MAGNOLIA HEALTHCARE LLC</t>
  </si>
  <si>
    <t xml:space="preserve">2642 N DUNDEY RD </t>
  </si>
  <si>
    <t>MAGNOLIA</t>
  </si>
  <si>
    <t>870-234-7168</t>
  </si>
  <si>
    <t>SEARCY HEALTHCARE CENTER</t>
  </si>
  <si>
    <t xml:space="preserve">211 SKYLINE DR </t>
  </si>
  <si>
    <t>SEARCY</t>
  </si>
  <si>
    <t>501-268-6188</t>
  </si>
  <si>
    <t>NASHVILLE WELLNESS LLC</t>
  </si>
  <si>
    <t xml:space="preserve">1407 N MAIN ST </t>
  </si>
  <si>
    <t>870-845-2021</t>
  </si>
  <si>
    <t>WATERTOWN HEALTH CARE CENTER</t>
  </si>
  <si>
    <t xml:space="preserve">121 HOSPITAL DRIVE </t>
  </si>
  <si>
    <t>920-261-9220</t>
  </si>
  <si>
    <t>RIVERDALE HEALTH CARE CENTER</t>
  </si>
  <si>
    <t xml:space="preserve">1000 N WISCONSIN AVENUE </t>
  </si>
  <si>
    <t>MUSCODA</t>
  </si>
  <si>
    <t>608-739-3186</t>
  </si>
  <si>
    <t>FORT ATKINSON HEALTH CARE CENTER</t>
  </si>
  <si>
    <t xml:space="preserve">430 WILCOX STREET </t>
  </si>
  <si>
    <t>FORT ATKINSON</t>
  </si>
  <si>
    <t>920-563-5333</t>
  </si>
  <si>
    <t>SILVER SPRINGS HEALTH CARE CENTER</t>
  </si>
  <si>
    <t xml:space="preserve">1300 W SILVER SPRING DRIVE </t>
  </si>
  <si>
    <t>414-228-8120</t>
  </si>
  <si>
    <t>HERITAGE SQUARE HEALTH CARE CENTER</t>
  </si>
  <si>
    <t xml:space="preserve">5404 W LOOMIS ROAD </t>
  </si>
  <si>
    <t>GREENDALE</t>
  </si>
  <si>
    <t>414-421-0088</t>
  </si>
  <si>
    <t>BEAVER DAM HEALTH CARE CENTER</t>
  </si>
  <si>
    <t xml:space="preserve">410 ROEDL COURT </t>
  </si>
  <si>
    <t>BEAVER DAM</t>
  </si>
  <si>
    <t>920-887-7191</t>
  </si>
  <si>
    <t>ABBOTSFORD HEALTH CARE CENTER</t>
  </si>
  <si>
    <t xml:space="preserve">600 EAST ELM STREET </t>
  </si>
  <si>
    <t>715-223-2359</t>
  </si>
  <si>
    <t>MONROE CANYON ASSISTED LIVING</t>
  </si>
  <si>
    <t xml:space="preserve">535 S MAIN </t>
  </si>
  <si>
    <t>435-527-8870</t>
  </si>
  <si>
    <t>THE GARDENS FOR MEMORY CARE AT EASTON</t>
  </si>
  <si>
    <t xml:space="preserve">500 WASHINGTON STREET </t>
  </si>
  <si>
    <t>610-253-3573</t>
  </si>
  <si>
    <t>Texas Western Management Partners LP</t>
  </si>
  <si>
    <t>Home2 Suites Tucson Airport</t>
  </si>
  <si>
    <t xml:space="preserve">6555 South Bay Colony Drive </t>
  </si>
  <si>
    <t>Mauro Trejo</t>
  </si>
  <si>
    <t>+1 (520) 622-9655</t>
  </si>
  <si>
    <t>Allyson Group Inc.</t>
  </si>
  <si>
    <t>TownePlace Suites Venice</t>
  </si>
  <si>
    <t xml:space="preserve">2986 Executive Drive </t>
  </si>
  <si>
    <t>Venice</t>
  </si>
  <si>
    <t>Catherine O'brien</t>
  </si>
  <si>
    <t>+1 (941) 879-9100</t>
  </si>
  <si>
    <t>THE GARDENS AT STEVENS</t>
  </si>
  <si>
    <t xml:space="preserve">400 LANCASTER AVENUE </t>
  </si>
  <si>
    <t>STEVENS</t>
  </si>
  <si>
    <t>717-336-3878</t>
  </si>
  <si>
    <t>THE GARDENS AT ORANGEVILLE</t>
  </si>
  <si>
    <t xml:space="preserve">200 BERWICK ROAD </t>
  </si>
  <si>
    <t>ORANGEVILLE</t>
  </si>
  <si>
    <t>570-683-5036</t>
  </si>
  <si>
    <t>ORCHARD POINTE TERRAZZA-MENU ONLY</t>
  </si>
  <si>
    <t xml:space="preserve">6775 WEST HAPPY VALLEY ROAD </t>
  </si>
  <si>
    <t>480-582-9596</t>
  </si>
  <si>
    <t>NATIONWIDE HEALTH CARE SERVICES</t>
  </si>
  <si>
    <t>POLARIS HEALTHCARE AND REHABILITATION CENTER</t>
  </si>
  <si>
    <t xml:space="preserve">21 WEST CLARKE AVENUE </t>
  </si>
  <si>
    <t>302-503-7650</t>
  </si>
  <si>
    <t>ASCENT LIVING COMMUNITIES</t>
  </si>
  <si>
    <t>THE CARILLON AT BELLEVIEW STATION</t>
  </si>
  <si>
    <t xml:space="preserve">4855 SOUTH NIAGARA STREET </t>
  </si>
  <si>
    <t>303-333-0482</t>
  </si>
  <si>
    <t>WEST MEMPHIS HEALTH &amp; REHAB</t>
  </si>
  <si>
    <t xml:space="preserve">610 SOUTH AVALON STREET </t>
  </si>
  <si>
    <t>870-735-4543</t>
  </si>
  <si>
    <t>HAMPTON MANOR OF BEDFORD</t>
  </si>
  <si>
    <t xml:space="preserve">3199 WEST STERNS ROAD </t>
  </si>
  <si>
    <t>LAMBERTVILLE</t>
  </si>
  <si>
    <t>313-645-3595</t>
  </si>
  <si>
    <t>ORCHARD POINTE ARROWHEAD-MENU ONLY</t>
  </si>
  <si>
    <t xml:space="preserve">17200 NORTH 67TH AVENUE </t>
  </si>
  <si>
    <t>480-565-4497</t>
  </si>
  <si>
    <t>VOYAGE SENIOR LIVING MURPHYSBORO WEST</t>
  </si>
  <si>
    <t xml:space="preserve">11 NORTH SHAWNEE DRIVE </t>
  </si>
  <si>
    <t>MURPHYSBOROI</t>
  </si>
  <si>
    <t>618-684-8251</t>
  </si>
  <si>
    <t>FRANKIES WINGS</t>
  </si>
  <si>
    <t xml:space="preserve">2430 SOUTH WASHINGTON AVE #115 </t>
  </si>
  <si>
    <t>TITUSVILLE</t>
  </si>
  <si>
    <t>321-684-1414</t>
  </si>
  <si>
    <t>AGORA SERVICES GROUP</t>
  </si>
  <si>
    <t xml:space="preserve">479 OAK GLEN ROAD </t>
  </si>
  <si>
    <t>732-807-1400</t>
  </si>
  <si>
    <t>THE GARDENS AT MILLVILLE</t>
  </si>
  <si>
    <t xml:space="preserve">48 HAVEN LANE </t>
  </si>
  <si>
    <t>MILLVILLE</t>
  </si>
  <si>
    <t>570-458-5566</t>
  </si>
  <si>
    <t>THE GARDENS AT EASTON</t>
  </si>
  <si>
    <t xml:space="preserve">498 WASHINGTON STREET </t>
  </si>
  <si>
    <t>610-258-2985</t>
  </si>
  <si>
    <t>Moxy Miami South Beach</t>
  </si>
  <si>
    <t xml:space="preserve">915 Washington Avenue </t>
  </si>
  <si>
    <t>Leslie Weil</t>
  </si>
  <si>
    <t>+1 (305) 600-4292</t>
  </si>
  <si>
    <t>InnTrusted LLC</t>
  </si>
  <si>
    <t>Fairfield Inn &amp; Suites Idaho Falls</t>
  </si>
  <si>
    <t xml:space="preserve">1293 West Broadway </t>
  </si>
  <si>
    <t>Idaho Falls</t>
  </si>
  <si>
    <t>Lewis Williamson</t>
  </si>
  <si>
    <t>+1 (208) 552-7378</t>
  </si>
  <si>
    <t>Winston Hospitality</t>
  </si>
  <si>
    <t>AC Hotel San Antonio (Dual Property)</t>
  </si>
  <si>
    <t xml:space="preserve">111 Soledad Street </t>
  </si>
  <si>
    <t>Michael Dunbar</t>
  </si>
  <si>
    <t>Alexis Goodwin</t>
  </si>
  <si>
    <t>+(210)222-8300</t>
  </si>
  <si>
    <t>TS2 Olathe Management Company LLC</t>
  </si>
  <si>
    <t>Four Points by Sheraton Olathe</t>
  </si>
  <si>
    <t xml:space="preserve">10574 South Ridgeview Road </t>
  </si>
  <si>
    <t>Bill Esman</t>
  </si>
  <si>
    <t>+1 (913) 438-6666</t>
  </si>
  <si>
    <t>North Mich Hospitality Management</t>
  </si>
  <si>
    <t>Fairfield Inn &amp; Suites Marquette</t>
  </si>
  <si>
    <t xml:space="preserve">808 South Lakeshore </t>
  </si>
  <si>
    <t>Marquette</t>
  </si>
  <si>
    <t>Becky Nadeau</t>
  </si>
  <si>
    <t>+1 (906) 273-2900</t>
  </si>
  <si>
    <t>The Seabird Destination Oceanside</t>
  </si>
  <si>
    <t xml:space="preserve">101 Mission Avenue </t>
  </si>
  <si>
    <t>Oceanside</t>
  </si>
  <si>
    <t>Thomas Kim</t>
  </si>
  <si>
    <t>Valentina Terranova</t>
  </si>
  <si>
    <t>+(855) 420-8163</t>
  </si>
  <si>
    <t>Level Hospitality</t>
  </si>
  <si>
    <t>Holiday Inn &amp; Suites Chicago</t>
  </si>
  <si>
    <t xml:space="preserve">506 West Harrison Street </t>
  </si>
  <si>
    <t>Charlie Roman</t>
  </si>
  <si>
    <t>Nitin Talati</t>
  </si>
  <si>
    <t>+1 (312) 957-9100</t>
  </si>
  <si>
    <t>Hulsing Hotels Inc.</t>
  </si>
  <si>
    <t>Homestead Country Club</t>
  </si>
  <si>
    <t xml:space="preserve">4100 Homestead Court </t>
  </si>
  <si>
    <t>Prairie Village</t>
  </si>
  <si>
    <t>Kyle Hulsing</t>
  </si>
  <si>
    <t>+1 (913) 262-4100</t>
  </si>
  <si>
    <t>Practice Hospitality LLC</t>
  </si>
  <si>
    <t>Hotel Colee Autograph Collection</t>
  </si>
  <si>
    <t xml:space="preserve">3377 Peachtree Road North East </t>
  </si>
  <si>
    <t>Michael Farquaharson</t>
  </si>
  <si>
    <t>Junior Lacayo</t>
  </si>
  <si>
    <t>+1(678)500-3100</t>
  </si>
  <si>
    <t>The Hollypark Organization Inc</t>
  </si>
  <si>
    <t>Fairfield Inn &amp; Suites Salmon Arm</t>
  </si>
  <si>
    <t xml:space="preserve">790 16 Street Northeast </t>
  </si>
  <si>
    <t>Salmon Arm</t>
  </si>
  <si>
    <t>V1V</t>
  </si>
  <si>
    <t>+1 (778) 475-8064</t>
  </si>
  <si>
    <t>Fairfield Inn &amp; Suites Vernon</t>
  </si>
  <si>
    <t xml:space="preserve">5300 Anderson Way </t>
  </si>
  <si>
    <t>Ashley Olsen</t>
  </si>
  <si>
    <t>+(1) 250-260-7829</t>
  </si>
  <si>
    <t>Golf Club At South River</t>
  </si>
  <si>
    <t xml:space="preserve">3451 Solomons Island Road </t>
  </si>
  <si>
    <t>Edgewater</t>
  </si>
  <si>
    <t>21037-2707</t>
  </si>
  <si>
    <t>Tad Peel</t>
  </si>
  <si>
    <t>+1 (410) 798-5865</t>
  </si>
  <si>
    <t>Culinaire International Inc.</t>
  </si>
  <si>
    <t>Culinaire @ Sheraton Suites Houston</t>
  </si>
  <si>
    <t xml:space="preserve">2400 West Loop South </t>
  </si>
  <si>
    <t>+1 (713) 586-5120</t>
  </si>
  <si>
    <t>Graduate East Lansing</t>
  </si>
  <si>
    <t xml:space="preserve">133 Evergreen Avenue </t>
  </si>
  <si>
    <t>East Lansing</t>
  </si>
  <si>
    <t>Graduate Hotels</t>
  </si>
  <si>
    <t>Dena McIntyre</t>
  </si>
  <si>
    <t>Jason Nelson</t>
  </si>
  <si>
    <t>+()517 348 0900</t>
  </si>
  <si>
    <t>Cobblestone Hotel &amp; Suites Oshkosh</t>
  </si>
  <si>
    <t xml:space="preserve">1495 West South Park Avenue </t>
  </si>
  <si>
    <t>Oshkosh</t>
  </si>
  <si>
    <t>Kevin Stephanie</t>
  </si>
  <si>
    <t>+1 (920) 232-0300</t>
  </si>
  <si>
    <t>Embassy Suites Anaheim South</t>
  </si>
  <si>
    <t xml:space="preserve">11767 Harbor Boulevard </t>
  </si>
  <si>
    <t>Jim Durslag</t>
  </si>
  <si>
    <t>+1 (714) 539-3300</t>
  </si>
  <si>
    <t>Anaheim Marriott Suites</t>
  </si>
  <si>
    <t xml:space="preserve">12015 Harbor Boulevard </t>
  </si>
  <si>
    <t>Kevin Schjei</t>
  </si>
  <si>
    <t>+ (714) 750-1000</t>
  </si>
  <si>
    <t>The Lodge at St Edward State Park</t>
  </si>
  <si>
    <t xml:space="preserve">14445 Juanita Drive Northeast </t>
  </si>
  <si>
    <t>Kenmore</t>
  </si>
  <si>
    <t>Corey Roettgers</t>
  </si>
  <si>
    <t>Jenne Oxford</t>
  </si>
  <si>
    <t>+1 (425) 823-2992</t>
  </si>
  <si>
    <t>HARMONY COLLECTION AT HANOVER-NON FOOD</t>
  </si>
  <si>
    <t xml:space="preserve">8203 MEADOWBRIDGE ROAD </t>
  </si>
  <si>
    <t>HAGEN CARE CENTER</t>
  </si>
  <si>
    <t>GREEN COVE SPRINGS</t>
  </si>
  <si>
    <t>BATESVILLE HEALTHCARE LLC</t>
  </si>
  <si>
    <t xml:space="preserve">1975 WHITE DRIVE </t>
  </si>
  <si>
    <t>BATESVILLE</t>
  </si>
  <si>
    <t>870-698-1853</t>
  </si>
  <si>
    <t>SPRING MEADOWS HEALTH CARE CENTER</t>
  </si>
  <si>
    <t xml:space="preserve">220 HIGHWAY 76 </t>
  </si>
  <si>
    <t>931-552-0181</t>
  </si>
  <si>
    <t>NORTH BAY POST ACUTE</t>
  </si>
  <si>
    <t xml:space="preserve">300 DOUGLAS STREET </t>
  </si>
  <si>
    <t>707-763-6887</t>
  </si>
  <si>
    <t xml:space="preserve">LAUREL HEIGHTS HOME FOR THE ELDERLY </t>
  </si>
  <si>
    <t xml:space="preserve">208 WEST 12TH STREET </t>
  </si>
  <si>
    <t>606-864-4155</t>
  </si>
  <si>
    <t>SAINT ELIZABETH COURT</t>
  </si>
  <si>
    <t xml:space="preserve">109 MELROSE STREET </t>
  </si>
  <si>
    <t>401-490-4646</t>
  </si>
  <si>
    <t>TIMBER WOODS</t>
  </si>
  <si>
    <t xml:space="preserve">3012 RIGGS ROAD </t>
  </si>
  <si>
    <t>859-415-2681</t>
  </si>
  <si>
    <t>HERITAGE COMMONS AT PONDS EDGE</t>
  </si>
  <si>
    <t xml:space="preserve">350 VAN WHITE MEMORIAL BLVD </t>
  </si>
  <si>
    <t>EDEN MEADOWS</t>
  </si>
  <si>
    <t xml:space="preserve">3151 EDEN COURT </t>
  </si>
  <si>
    <t>AUGUSTANA APARTMENTS-CARDINAL HOMES</t>
  </si>
  <si>
    <t xml:space="preserve">308 SOUTH MILL STREET </t>
  </si>
  <si>
    <t>HARMONEY AT BROOKDALE FARMS-FOOD</t>
  </si>
  <si>
    <t xml:space="preserve">5416 HUNDLEY ROAD </t>
  </si>
  <si>
    <t>336-562-8289</t>
  </si>
  <si>
    <t>CATHLEEN NAUGHTON ASSOCIATES</t>
  </si>
  <si>
    <t xml:space="preserve">2350 POST ROAD SUITE 101 </t>
  </si>
  <si>
    <t>401-773-7401</t>
  </si>
  <si>
    <t>WEST MEMPHIS WELLNESS LLC</t>
  </si>
  <si>
    <t xml:space="preserve">800 WEST BROADWAY </t>
  </si>
  <si>
    <t>870-735-5174</t>
  </si>
  <si>
    <t>PRAIRIE POINT-BAPTIST HEALTH</t>
  </si>
  <si>
    <t xml:space="preserve">3400 NEBRASKA DRIVE </t>
  </si>
  <si>
    <t>BISMARK</t>
  </si>
  <si>
    <t>HARMONEY COLLECTION AT HANOVER-FOOD</t>
  </si>
  <si>
    <t>ST PAULS HOME APARTMENTS</t>
  </si>
  <si>
    <t xml:space="preserve">2735 15TH AVENUE SOUTH </t>
  </si>
  <si>
    <t>CAMBRIDGE HOME MISTATE SERVICES</t>
  </si>
  <si>
    <t xml:space="preserve">250 BELLEBROOK ROAD </t>
  </si>
  <si>
    <t>423-968-4123</t>
  </si>
  <si>
    <t>OPEN CIRCLE OF MINNEAPOLIS</t>
  </si>
  <si>
    <t xml:space="preserve">1015 NORTH 4TH AVENUE </t>
  </si>
  <si>
    <t>MARIAN TOWERS</t>
  </si>
  <si>
    <t xml:space="preserve">17505 NORTH BAY ROAD </t>
  </si>
  <si>
    <t>SUNNY ISLES BEACH</t>
  </si>
  <si>
    <t>305-932-1300</t>
  </si>
  <si>
    <t>SHENANDOAH PLACE</t>
  </si>
  <si>
    <t xml:space="preserve">57 BURKHOLDER LANE </t>
  </si>
  <si>
    <t>540-740-4300</t>
  </si>
  <si>
    <t>RIVER BEND SENIOR LIVING</t>
  </si>
  <si>
    <t xml:space="preserve">30 SILVER LAKE PLACE NW </t>
  </si>
  <si>
    <t>WEST MEMPHIS MARKETING</t>
  </si>
  <si>
    <t>STONEY POINT MEADOWS</t>
  </si>
  <si>
    <t xml:space="preserve">1900 STONEY POINT ROAD SW </t>
  </si>
  <si>
    <t>SAINT ELIZABETH TERRACE</t>
  </si>
  <si>
    <t xml:space="preserve">150 WARWICK NECK AVENUE </t>
  </si>
  <si>
    <t>401-739-7700</t>
  </si>
  <si>
    <t>PRAHA VILLAGE</t>
  </si>
  <si>
    <t xml:space="preserve">1101 1ST STREET SE </t>
  </si>
  <si>
    <t>NEW PRAGUE</t>
  </si>
  <si>
    <t>JONESBORO MARKETING</t>
  </si>
  <si>
    <t xml:space="preserve">1705 LATOURETTE DRIVE </t>
  </si>
  <si>
    <t>NASHVILLE MARKETING</t>
  </si>
  <si>
    <t xml:space="preserve">1407 NORTH MAIN STREET </t>
  </si>
  <si>
    <t>870-845-2034</t>
  </si>
  <si>
    <t>KEHILLAH HOUSING</t>
  </si>
  <si>
    <t xml:space="preserve">6000 SW BEAVERTON HILLSDALE HWY </t>
  </si>
  <si>
    <t>503-535-4000</t>
  </si>
  <si>
    <t>LUTHERAN HOSPICE OF SOUTH CAROLINA</t>
  </si>
  <si>
    <t xml:space="preserve">102 FORTRESS DRIVE </t>
  </si>
  <si>
    <t>CHAPIN</t>
  </si>
  <si>
    <t>NEW YORK PROFESSIONAL NURSES UNION</t>
  </si>
  <si>
    <t xml:space="preserve">241 EAST 75TH STREET </t>
  </si>
  <si>
    <t>HPSI:HEALTHCARE ASSOCIATION</t>
  </si>
  <si>
    <t>WOODHOUSE CATERING</t>
  </si>
  <si>
    <t xml:space="preserve">7090 COVENANT WOODS DRIVE </t>
  </si>
  <si>
    <t>804-569-8158</t>
  </si>
  <si>
    <t>PROSPERITY WELLNESS CENTER</t>
  </si>
  <si>
    <t xml:space="preserve">12201 PACIFIC AVENUE SOUTH </t>
  </si>
  <si>
    <t>253-536-6425</t>
  </si>
  <si>
    <t>BENCHMARK HUMAN SERVICES GROUP</t>
  </si>
  <si>
    <t xml:space="preserve">139 OEHSLE ROAD </t>
  </si>
  <si>
    <t xml:space="preserve">6520 POE AVENUE SUITE 160 </t>
  </si>
  <si>
    <t xml:space="preserve">6975 OFICE PARK DRIVE </t>
  </si>
  <si>
    <t xml:space="preserve">515 HAMMOCKS VIEW </t>
  </si>
  <si>
    <t xml:space="preserve">7140 OFFICE PARK DRIVE </t>
  </si>
  <si>
    <t>NEURORESTORATIVE-HARTFORD</t>
  </si>
  <si>
    <t xml:space="preserve">266 HARTFORD ROAD </t>
  </si>
  <si>
    <t>ELIM WELLSPRING ADULT DAY CENTER</t>
  </si>
  <si>
    <t xml:space="preserve">439 WILLIAM AVENUE EAST </t>
  </si>
  <si>
    <t>CORNERSTONE ADULT DAY SERVICES APPONAUG CENTER</t>
  </si>
  <si>
    <t xml:space="preserve">3270 POST ROAD </t>
  </si>
  <si>
    <t>401-739-2847</t>
  </si>
  <si>
    <t>CORNERSTONE ADULT DAY SERVICES MEMORY CARE</t>
  </si>
  <si>
    <t xml:space="preserve">140 WARWICK NECK AVENUE </t>
  </si>
  <si>
    <t>401-739-2844</t>
  </si>
  <si>
    <t>CORNERSTONE ADULT DAY SERVICES BRISTOL CENTER</t>
  </si>
  <si>
    <t xml:space="preserve">172 FRANKLIN STREET </t>
  </si>
  <si>
    <t>401-254-9620</t>
  </si>
  <si>
    <t>TRADEMARK CHURCH</t>
  </si>
  <si>
    <t xml:space="preserve">7101 TRAIL LAKE DRIVE </t>
  </si>
  <si>
    <t>817-293-4947</t>
  </si>
  <si>
    <t>PENMORE PLACE</t>
  </si>
  <si>
    <t xml:space="preserve">4410 LEWIS AVENUE </t>
  </si>
  <si>
    <t>THE RESIDENCES AT PARK PLACE</t>
  </si>
  <si>
    <t xml:space="preserve">115 GILLESPIE ROAD </t>
  </si>
  <si>
    <t>SENECA</t>
  </si>
  <si>
    <t>864-973-4282</t>
  </si>
  <si>
    <t>BEYER HOUSE</t>
  </si>
  <si>
    <t>PARKS PLACE MEMORY CARE</t>
  </si>
  <si>
    <t xml:space="preserve">18040 MEDINA ROAD </t>
  </si>
  <si>
    <t xml:space="preserve">PLYMOUTH </t>
  </si>
  <si>
    <t>Canopy Bethesda</t>
  </si>
  <si>
    <t xml:space="preserve">940 Rose Avenue </t>
  </si>
  <si>
    <t>North Bethesda</t>
  </si>
  <si>
    <t>Katherina Kia</t>
  </si>
  <si>
    <t>Jypsy Bailey</t>
  </si>
  <si>
    <t>+1 (301) 882-9400</t>
  </si>
  <si>
    <t>Island Inn Lake Havasu City</t>
  </si>
  <si>
    <t xml:space="preserve">1300 McCulloch Boulevard </t>
  </si>
  <si>
    <t>Mayra Soto</t>
  </si>
  <si>
    <t>+1 (928) 680-0606</t>
  </si>
  <si>
    <t>Motel 6 Williams West - Grand Canyon</t>
  </si>
  <si>
    <t xml:space="preserve">831 West Route 66 </t>
  </si>
  <si>
    <t>Williams</t>
  </si>
  <si>
    <t>Rajan Olsen</t>
  </si>
  <si>
    <t>+1 (928) 635-9000</t>
  </si>
  <si>
    <t>Home2 Suites Arundel Mills BWI Airport</t>
  </si>
  <si>
    <t xml:space="preserve">7545 Teague Road </t>
  </si>
  <si>
    <t>Hanover</t>
  </si>
  <si>
    <t>Dalila Bonilla</t>
  </si>
  <si>
    <t>+1 (410) 684-2003</t>
  </si>
  <si>
    <t>Hotel Westminster</t>
  </si>
  <si>
    <t xml:space="preserve">550 West Mount Pleasant Avenue </t>
  </si>
  <si>
    <t>Matt Slippoy</t>
  </si>
  <si>
    <t>Mecene Louissaint</t>
  </si>
  <si>
    <t>+1 (973) 533-0060</t>
  </si>
  <si>
    <t>Holiday Inn Express Ft. Meyers Airport</t>
  </si>
  <si>
    <t xml:space="preserve">14567 Global Parkway </t>
  </si>
  <si>
    <t>Ft. Meyers</t>
  </si>
  <si>
    <t>Carol Drummond</t>
  </si>
  <si>
    <t>+1(239)327-0198</t>
  </si>
  <si>
    <t>Hyatt Regency Bloomington-Minneapolis</t>
  </si>
  <si>
    <t xml:space="preserve">3200 East 81st Street </t>
  </si>
  <si>
    <t>+()952-922-1234</t>
  </si>
  <si>
    <t>Hide-A-Way Hills Inc.</t>
  </si>
  <si>
    <t>Hide-A-Way Hills Club</t>
  </si>
  <si>
    <t xml:space="preserve">RR 1 Box 1 </t>
  </si>
  <si>
    <t>Bremen</t>
  </si>
  <si>
    <t>Jeff Harper</t>
  </si>
  <si>
    <t>Penny Johnson</t>
  </si>
  <si>
    <t>+ (614) 837-3866</t>
  </si>
  <si>
    <t>Rolling Hills Hospitality</t>
  </si>
  <si>
    <t>Comfort Suites Newport</t>
  </si>
  <si>
    <t xml:space="preserve">420 Riverboat Row </t>
  </si>
  <si>
    <t>Newport</t>
  </si>
  <si>
    <t>Marie Messer</t>
  </si>
  <si>
    <t>+1 (859) 291-6700</t>
  </si>
  <si>
    <t>Element Hotel Jacksonville Beach</t>
  </si>
  <si>
    <t xml:space="preserve">208 Beach Boulevard </t>
  </si>
  <si>
    <t>Sonny Bhikha</t>
  </si>
  <si>
    <t>+1 (904) 435-2260</t>
  </si>
  <si>
    <t>Holiday Inn Express El Reno</t>
  </si>
  <si>
    <t xml:space="preserve">1817 Southwest 27th Street </t>
  </si>
  <si>
    <t>Shannon Stout</t>
  </si>
  <si>
    <t>+1 (405) 422-1155</t>
  </si>
  <si>
    <t>University of Texas Southwestern Medical South Campus Food Court</t>
  </si>
  <si>
    <t xml:space="preserve">5323 Harry Hines Blvd </t>
  </si>
  <si>
    <t>+ () TBD</t>
  </si>
  <si>
    <t>University of Texas Southwestern Medical Center at Dallas</t>
  </si>
  <si>
    <t xml:space="preserve">6001 Forest Park Drive </t>
  </si>
  <si>
    <t>+ (214) 645-6212</t>
  </si>
  <si>
    <t>Tru by Hilton McDonough</t>
  </si>
  <si>
    <t xml:space="preserve">251 Avalon Court </t>
  </si>
  <si>
    <t>Dimple Thakorbhai</t>
  </si>
  <si>
    <t>+1(301)1</t>
  </si>
  <si>
    <t>Canopy San Antonio</t>
  </si>
  <si>
    <t xml:space="preserve">123 North Marys Street </t>
  </si>
  <si>
    <t>Daniel Haughan</t>
  </si>
  <si>
    <t>Derek Clegg</t>
  </si>
  <si>
    <t>Aloft Dublin-Pleasanton</t>
  </si>
  <si>
    <t xml:space="preserve">4075 Grafton Street </t>
  </si>
  <si>
    <t>Holly Haag</t>
  </si>
  <si>
    <t>+1(925) 248-8500</t>
  </si>
  <si>
    <t>La Quinta Inn &amp; Suites San Jose</t>
  </si>
  <si>
    <t xml:space="preserve">2585 Seaboard Ave </t>
  </si>
  <si>
    <t>Anna Botelho</t>
  </si>
  <si>
    <t>+(408)435-8800</t>
  </si>
  <si>
    <t>Baymont Modesto</t>
  </si>
  <si>
    <t xml:space="preserve">4100 Salida Boulevard </t>
  </si>
  <si>
    <t>Modesto</t>
  </si>
  <si>
    <t>Stella Cortinas</t>
  </si>
  <si>
    <t>+1 (209) 543-9000</t>
  </si>
  <si>
    <t>Residence Inn Boulder Broomfield</t>
  </si>
  <si>
    <t xml:space="preserve">455 Zang Street </t>
  </si>
  <si>
    <t>Aubyn Chiles</t>
  </si>
  <si>
    <t>Kasey Hanson</t>
  </si>
  <si>
    <t>+1(303)466-7007</t>
  </si>
  <si>
    <t>Blvd Hotel &amp; Suites</t>
  </si>
  <si>
    <t xml:space="preserve">2010 North Highland Avenue </t>
  </si>
  <si>
    <t>Hollywood</t>
  </si>
  <si>
    <t>+1 (323) 874-2290</t>
  </si>
  <si>
    <t>Holiday Inn Express Modesto</t>
  </si>
  <si>
    <t xml:space="preserve">4300 Bangs Avenue </t>
  </si>
  <si>
    <t>Tiffany Williams</t>
  </si>
  <si>
    <t>+1 (209) 543-9009</t>
  </si>
  <si>
    <t>Hampton Inn Ft. Lauderdale</t>
  </si>
  <si>
    <t xml:space="preserve">250 North Andrews Avenue </t>
  </si>
  <si>
    <t>Ft Lauderdale</t>
  </si>
  <si>
    <t>Jason Smith</t>
  </si>
  <si>
    <t>Maria Vernengo</t>
  </si>
  <si>
    <t>+1 (954) 924-2700</t>
  </si>
  <si>
    <t>Relevant Hospitality LLC</t>
  </si>
  <si>
    <t>Tommie Hollywood</t>
  </si>
  <si>
    <t xml:space="preserve">6516 W Selma Avenue </t>
  </si>
  <si>
    <t>+1 (310) 766-0444</t>
  </si>
  <si>
    <t>Fairfield Inn &amp; Suites Boulder Broomfield</t>
  </si>
  <si>
    <t>+1(303) 466-7020</t>
  </si>
  <si>
    <t>M&amp;E Hospitality LLC</t>
  </si>
  <si>
    <t>Hyatt Place Murfreesboro</t>
  </si>
  <si>
    <t xml:space="preserve">2108 Lothric Way </t>
  </si>
  <si>
    <t>Amber Kelley</t>
  </si>
  <si>
    <t>+(615)995-7920</t>
  </si>
  <si>
    <t>Hyatt Centric Charlotte South Park</t>
  </si>
  <si>
    <t xml:space="preserve">3100 Apex Drive </t>
  </si>
  <si>
    <t>fidencio mata</t>
  </si>
  <si>
    <t>palak patel</t>
  </si>
  <si>
    <t>Aparium Hotel Group</t>
  </si>
  <si>
    <t>Jasper Hotel</t>
  </si>
  <si>
    <t xml:space="preserve">215 Broadway Street </t>
  </si>
  <si>
    <t>Fargo</t>
  </si>
  <si>
    <t>Mary Orlando</t>
  </si>
  <si>
    <t>Kylee Brisch</t>
  </si>
  <si>
    <t>+()312.275.1080</t>
  </si>
  <si>
    <t>Renaissance St. Augustine Historic Downtown Hotel</t>
  </si>
  <si>
    <t xml:space="preserve">6 West Castillo Drive </t>
  </si>
  <si>
    <t>Saint Augustine</t>
  </si>
  <si>
    <t>Richard Lowe</t>
  </si>
  <si>
    <t>+()9048244457</t>
  </si>
  <si>
    <t>Catbird Hotel</t>
  </si>
  <si>
    <t xml:space="preserve">3770 Walnut Street </t>
  </si>
  <si>
    <t>Courtney Griffith</t>
  </si>
  <si>
    <t>Benny Cendali</t>
  </si>
  <si>
    <t>Aloft Chattanooga East</t>
  </si>
  <si>
    <t xml:space="preserve">2090 Hamilton Place Blvd </t>
  </si>
  <si>
    <t>Alan Pinado</t>
  </si>
  <si>
    <t>+1 (423)356-1010</t>
  </si>
  <si>
    <t xml:space="preserve">JW Marriott Charlotte </t>
  </si>
  <si>
    <t xml:space="preserve">600 South College Street </t>
  </si>
  <si>
    <t>David Malmberg</t>
  </si>
  <si>
    <t>+1 (704) 333-1101</t>
  </si>
  <si>
    <t>Monarch Beach Resort</t>
  </si>
  <si>
    <t xml:space="preserve">One Monarch Beach Resort </t>
  </si>
  <si>
    <t>DANA POINT</t>
  </si>
  <si>
    <t>Markus Krebs</t>
  </si>
  <si>
    <t>+1 (949) 234-3900</t>
  </si>
  <si>
    <t>Hilton Garden Inn Billings</t>
  </si>
  <si>
    <t xml:space="preserve">2465 Grant Road </t>
  </si>
  <si>
    <t>Erica Kimble</t>
  </si>
  <si>
    <t>+1 (406) 655-8800</t>
  </si>
  <si>
    <t>Hilton Garden Inn Bozeman</t>
  </si>
  <si>
    <t xml:space="preserve">2023 Commerce Way </t>
  </si>
  <si>
    <t>Bozeman</t>
  </si>
  <si>
    <t>Matt Edgerley</t>
  </si>
  <si>
    <t>+1 (406) 582-9900</t>
  </si>
  <si>
    <t>Home2 Suites Billings</t>
  </si>
  <si>
    <t xml:space="preserve">707 North 27th Street </t>
  </si>
  <si>
    <t>Lori Walker</t>
  </si>
  <si>
    <t>+(406) 252-2255</t>
  </si>
  <si>
    <t>FIVE OAKS HEALTHCARE</t>
  </si>
  <si>
    <t>SHORELINE HEALTH &amp; REHAB CENTER</t>
  </si>
  <si>
    <t xml:space="preserve">2818 NE 145TH STREET </t>
  </si>
  <si>
    <t>206-418-2900</t>
  </si>
  <si>
    <t>AC Hotel Durham</t>
  </si>
  <si>
    <t xml:space="preserve">2800 Erwin Road </t>
  </si>
  <si>
    <t>David Press</t>
  </si>
  <si>
    <t>Fiona Whalen</t>
  </si>
  <si>
    <t>+1 (919)459-4590</t>
  </si>
  <si>
    <t>Country Inn &amp; Suites Cumming</t>
  </si>
  <si>
    <t xml:space="preserve">915 Buford Hwy </t>
  </si>
  <si>
    <t>Kataki Patel</t>
  </si>
  <si>
    <t>SpringHill Suites Charlotte Southwest</t>
  </si>
  <si>
    <t xml:space="preserve">3950 Arco Corporate Drive </t>
  </si>
  <si>
    <t>Michelle Reed</t>
  </si>
  <si>
    <t>+1(704)702-0500</t>
  </si>
  <si>
    <t>AC Hotel Austin Hill Country</t>
  </si>
  <si>
    <t xml:space="preserve">7415 Southwest Parkway Bldg 8 Ste 100 </t>
  </si>
  <si>
    <t>Jeff Landry</t>
  </si>
  <si>
    <t>Charlotte Tyer</t>
  </si>
  <si>
    <t>+1(11))bd</t>
  </si>
  <si>
    <t>Hilton Garden Inn University Area</t>
  </si>
  <si>
    <t xml:space="preserve">511 Huron Boulevard Southeast </t>
  </si>
  <si>
    <t>Kenneth Boyles</t>
  </si>
  <si>
    <t>+1 (612) 504-3000</t>
  </si>
  <si>
    <t>Courtyard Kansas City Shawnee</t>
  </si>
  <si>
    <t xml:space="preserve">17250 Midland Drive </t>
  </si>
  <si>
    <t>+1 (913) 631-8800</t>
  </si>
  <si>
    <t>RIVER TERRACE RETIREMENT COMMUNITY</t>
  </si>
  <si>
    <t xml:space="preserve">400 CAYLOR BLVD </t>
  </si>
  <si>
    <t>BLUFFTON</t>
  </si>
  <si>
    <t>260-824-8940</t>
  </si>
  <si>
    <t>WOODLAND MANOR NURSING AND REHAB</t>
  </si>
  <si>
    <t xml:space="preserve">343 SOUTH NAPPANEE STREET </t>
  </si>
  <si>
    <t>574-295-0096</t>
  </si>
  <si>
    <t>SILVER MEMORIES HEALTH CARE</t>
  </si>
  <si>
    <t xml:space="preserve">6996 US 421 </t>
  </si>
  <si>
    <t>812-689-6222</t>
  </si>
  <si>
    <t>KEYSTONE CENTER</t>
  </si>
  <si>
    <t xml:space="preserve">444 KEYSTONE DRIVE </t>
  </si>
  <si>
    <t>LEOMINISTER</t>
  </si>
  <si>
    <t>978-537-9327</t>
  </si>
  <si>
    <t>COLONIAL NURSING AND REHAB CENTER</t>
  </si>
  <si>
    <t xml:space="preserve">119 NORTH INDIANA AVENUE </t>
  </si>
  <si>
    <t>219-663-2532</t>
  </si>
  <si>
    <t>WARSAW MEADOWS CARE CENTER</t>
  </si>
  <si>
    <t xml:space="preserve">300 EAST PRAIRIE STREET </t>
  </si>
  <si>
    <t>574-267-8922</t>
  </si>
  <si>
    <t>YORKTOWN MANOR</t>
  </si>
  <si>
    <t xml:space="preserve">2000 SOUT ANDREWS ROAD </t>
  </si>
  <si>
    <t>765-759-7740</t>
  </si>
  <si>
    <t>WACHUSETT MANOR</t>
  </si>
  <si>
    <t xml:space="preserve">32 HOSPITAL HILL ROAD </t>
  </si>
  <si>
    <t>WACHSETT</t>
  </si>
  <si>
    <t>978-632-5477</t>
  </si>
  <si>
    <t>OAK VILLAGE HEALTHCARE</t>
  </si>
  <si>
    <t xml:space="preserve">200 WEST 4TH STREET </t>
  </si>
  <si>
    <t>OAKTOWN</t>
  </si>
  <si>
    <t>812-745-2360</t>
  </si>
  <si>
    <t>KENDALLVILLE MANOR</t>
  </si>
  <si>
    <t xml:space="preserve">1802 EAST DOWLING STREET </t>
  </si>
  <si>
    <t>KENDALLVILLE</t>
  </si>
  <si>
    <t>260-347-4374</t>
  </si>
  <si>
    <t>CHESTERTON MANOR</t>
  </si>
  <si>
    <t xml:space="preserve">110 BEVERLY DRIVE </t>
  </si>
  <si>
    <t>CHESTERTON</t>
  </si>
  <si>
    <t>317-598-9496</t>
  </si>
  <si>
    <t>CLOVERLEAF HEALTHCARE OF KNIGHTSVILLE</t>
  </si>
  <si>
    <t xml:space="preserve">9325 NORTH CRAWFORD STREET </t>
  </si>
  <si>
    <t>KNIGHTSVILLE</t>
  </si>
  <si>
    <t>812-446-2309</t>
  </si>
  <si>
    <t>HAMPTON MANOR OF CANTON</t>
  </si>
  <si>
    <t xml:space="preserve">49801 FORD ROAD </t>
  </si>
  <si>
    <t>734-330-8729</t>
  </si>
  <si>
    <t>HARMONY AT BELLEVUE</t>
  </si>
  <si>
    <t xml:space="preserve">8234 HWY 100 </t>
  </si>
  <si>
    <t>615-649-4272</t>
  </si>
  <si>
    <t>HARMONY AT BELLEVUE-FOOD</t>
  </si>
  <si>
    <t>MIRAVIDA BETHEL HOME-EQUIPMENT</t>
  </si>
  <si>
    <t>MIRAVIDA EDEN MEADOWS AND GREEHNOUSE-EDEN REHAB</t>
  </si>
  <si>
    <t>920-652-4000</t>
  </si>
  <si>
    <t>MIRAVIDA ELLIJAHS PLACE</t>
  </si>
  <si>
    <t xml:space="preserve">1551 SOUTHLAND AVENUE </t>
  </si>
  <si>
    <t>920-235-5599</t>
  </si>
  <si>
    <t>New York Times Square</t>
  </si>
  <si>
    <t xml:space="preserve">226 W 52nd St </t>
  </si>
  <si>
    <t>Edyta Fitzmaurice</t>
  </si>
  <si>
    <t>Cheryl Bucceri</t>
  </si>
  <si>
    <t>+ (212) 315-0100</t>
  </si>
  <si>
    <t>Grand Bay Hospitality Group Inc.</t>
  </si>
  <si>
    <t>Grand Bay Hospitality Inc.</t>
  </si>
  <si>
    <t>25400 US Hwy. 19 North Suite 137</t>
  </si>
  <si>
    <t>Greg Brosius</t>
  </si>
  <si>
    <t>+1 (800) 258-2942</t>
  </si>
  <si>
    <t>WALDRON NURSING CENTER</t>
  </si>
  <si>
    <t xml:space="preserve">PO BOX 2230 </t>
  </si>
  <si>
    <t xml:space="preserve">WALDRON </t>
  </si>
  <si>
    <t>479-637-3171</t>
  </si>
  <si>
    <t>GOODY'S KITCHEN</t>
  </si>
  <si>
    <t xml:space="preserve">5665 VAN BUREN BLVD SUITE A </t>
  </si>
  <si>
    <t>951-359-8701</t>
  </si>
  <si>
    <t>Miramonte Resort &amp; Spa</t>
  </si>
  <si>
    <t xml:space="preserve">45000 Indian Wells Lane </t>
  </si>
  <si>
    <t>+1 (760) 837-1623</t>
  </si>
  <si>
    <t>Dayton Club</t>
  </si>
  <si>
    <t xml:space="preserve">Kettering Tower Suite 2900 40 North Main </t>
  </si>
  <si>
    <t>Dayton</t>
  </si>
  <si>
    <t>+ (937) 224-4381</t>
  </si>
  <si>
    <t>Basalt</t>
  </si>
  <si>
    <t xml:space="preserve">502 North Main Street Suite B </t>
  </si>
  <si>
    <t>Ellensburg</t>
  </si>
  <si>
    <t>Mike West</t>
  </si>
  <si>
    <t>Matt Skaletsky</t>
  </si>
  <si>
    <t>+1 (509) 962-80000</t>
  </si>
  <si>
    <t>Hotel Windrow</t>
  </si>
  <si>
    <t xml:space="preserve">502 North Main Street </t>
  </si>
  <si>
    <t>+1 (509) 962-8000</t>
  </si>
  <si>
    <t>TownePlace Suites Indianapolis Downtown</t>
  </si>
  <si>
    <t xml:space="preserve">629 Russell Ave </t>
  </si>
  <si>
    <t>Phil Klaus</t>
  </si>
  <si>
    <t>+1 (463) 209-7300</t>
  </si>
  <si>
    <t>Hotel Granduca Austin</t>
  </si>
  <si>
    <t xml:space="preserve">320 South Capital of Texas Highway </t>
  </si>
  <si>
    <t>West Lake hills</t>
  </si>
  <si>
    <t>Russ Lear</t>
  </si>
  <si>
    <t>+1 (512) 306-6400</t>
  </si>
  <si>
    <t>Mount Vernon Inn</t>
  </si>
  <si>
    <t xml:space="preserve">2 Broad Street </t>
  </si>
  <si>
    <t>Sumter</t>
  </si>
  <si>
    <t xml:space="preserve">Pratik Shah </t>
  </si>
  <si>
    <t>+1 (800) 726-1261</t>
  </si>
  <si>
    <t>Comfort Inn &amp; Suites at Stone Mountain</t>
  </si>
  <si>
    <t xml:space="preserve">5355 Stone Mountain Highway </t>
  </si>
  <si>
    <t>Nicole Bush</t>
  </si>
  <si>
    <t>+1 (470) 589-2718</t>
  </si>
  <si>
    <t>Best Western Smokey Mountain Inn</t>
  </si>
  <si>
    <t xml:space="preserve">130 Shiloh Trail </t>
  </si>
  <si>
    <t>Days Inn Waynesville</t>
  </si>
  <si>
    <t xml:space="preserve">79 Liner Cove Road </t>
  </si>
  <si>
    <t>Kinley Chattanooga a Tribute Hotel</t>
  </si>
  <si>
    <t xml:space="preserve">1409 Market Street </t>
  </si>
  <si>
    <t>Michael DiMaria</t>
  </si>
  <si>
    <t>+1 (248) 860-9616</t>
  </si>
  <si>
    <t>Sequoia Golf Peachtree LLC</t>
  </si>
  <si>
    <t xml:space="preserve">Sun City Peachtree Golf Club </t>
  </si>
  <si>
    <t xml:space="preserve">250 Del Webb Boulevard </t>
  </si>
  <si>
    <t>Griffin</t>
  </si>
  <si>
    <t>Byron Cook</t>
  </si>
  <si>
    <t>Derron Deraney</t>
  </si>
  <si>
    <t>+1 (678) 242-1933</t>
  </si>
  <si>
    <t>Pelham Hotel New Orleans</t>
  </si>
  <si>
    <t xml:space="preserve">444 Common Street </t>
  </si>
  <si>
    <t>Allison Barnette</t>
  </si>
  <si>
    <t>+1 (504) 522-4444</t>
  </si>
  <si>
    <t>La Quinta Inn El Paso Airport</t>
  </si>
  <si>
    <t xml:space="preserve">6140 Gateway East I-10 </t>
  </si>
  <si>
    <t>Justin Vincencio</t>
  </si>
  <si>
    <t>+1 (915) 778-9321</t>
  </si>
  <si>
    <t>SpringHill Suites Topeka Southwest</t>
  </si>
  <si>
    <t xml:space="preserve">2745 SW Fairlawn Road </t>
  </si>
  <si>
    <t>Jessica Miner</t>
  </si>
  <si>
    <t>+1 (785) 596-9650</t>
  </si>
  <si>
    <t>Faena Hotel &amp; Residences</t>
  </si>
  <si>
    <t>Ellis Van der Burgh</t>
  </si>
  <si>
    <t>+1 (786) 646-1265</t>
  </si>
  <si>
    <t>Quality Inn &amp; Suites Garden of the Gods</t>
  </si>
  <si>
    <t xml:space="preserve">555 West Garden of the Gods Road </t>
  </si>
  <si>
    <t>Stephen Hopkins</t>
  </si>
  <si>
    <t>+1 (719) 593-9119</t>
  </si>
  <si>
    <t>Hilton Dallas Southlake Town Square</t>
  </si>
  <si>
    <t xml:space="preserve">1400 Plaza Place </t>
  </si>
  <si>
    <t>Justin Randolph</t>
  </si>
  <si>
    <t>Mike Hutchison</t>
  </si>
  <si>
    <t>+1 (817) 442-9901</t>
  </si>
  <si>
    <t>Fairfield Inn &amp; Suites Guanajuato Silao</t>
  </si>
  <si>
    <t>Plaza de la Paz 102 Col. Puerto Interior</t>
  </si>
  <si>
    <t>Silao</t>
  </si>
  <si>
    <t>German Ahgue</t>
  </si>
  <si>
    <t>Karina Martínez</t>
  </si>
  <si>
    <t>+()52 472 800 3800</t>
  </si>
  <si>
    <t>Mission Pacific JDV Oceanside</t>
  </si>
  <si>
    <t xml:space="preserve">201 North Myers Street </t>
  </si>
  <si>
    <t>+1 (844) 330-1722</t>
  </si>
  <si>
    <t>Canopy by Hilton Austin Downtown</t>
  </si>
  <si>
    <t xml:space="preserve">604 West 6th Street </t>
  </si>
  <si>
    <t>Brian Evola</t>
  </si>
  <si>
    <t>Marc Brenton</t>
  </si>
  <si>
    <t>+1 (512) 991-3100</t>
  </si>
  <si>
    <t>Duke Hospitality</t>
  </si>
  <si>
    <t>Chateau Mar</t>
  </si>
  <si>
    <t xml:space="preserve">507 South Atlantic Avenue </t>
  </si>
  <si>
    <t>Ormond Beach</t>
  </si>
  <si>
    <t>Megan McDaniel</t>
  </si>
  <si>
    <t>+1 (706) 766-6268</t>
  </si>
  <si>
    <t>PETERSEN HEALTH CARE COMPANIES</t>
  </si>
  <si>
    <t>SWANSEA REHAB &amp; HEALTH CARE CTR</t>
  </si>
  <si>
    <t xml:space="preserve">1405 N 2ND STREET </t>
  </si>
  <si>
    <t>618-277-7730</t>
  </si>
  <si>
    <t>309 PALLIATIVE CARE GROUP HOUSTON TX</t>
  </si>
  <si>
    <t xml:space="preserve">2002 TIMBERLOCH PL </t>
  </si>
  <si>
    <t>HH HUNT CORPORATION</t>
  </si>
  <si>
    <t>SPRING ARBOR RICHMOND COTTAGES</t>
  </si>
  <si>
    <t xml:space="preserve">10601 BARBARA LANE </t>
  </si>
  <si>
    <t>480-947-8600</t>
  </si>
  <si>
    <t>THE EDGE CHRISTIAN CAMP INC</t>
  </si>
  <si>
    <t xml:space="preserve">6231 HORTON LANE </t>
  </si>
  <si>
    <t>SPOTSYLVANIA</t>
  </si>
  <si>
    <t>540-840-4076</t>
  </si>
  <si>
    <t>Contemporary Resorts &amp; Residences</t>
  </si>
  <si>
    <t>Verde Ranch Estates</t>
  </si>
  <si>
    <t xml:space="preserve">10 S. Monarch Lane </t>
  </si>
  <si>
    <t>Camp Verde</t>
  </si>
  <si>
    <t>Lori McNerlin</t>
  </si>
  <si>
    <t>Cliff Bryson</t>
  </si>
  <si>
    <t>+(928)482-2607</t>
  </si>
  <si>
    <t>Verde Ranch RV Resort</t>
  </si>
  <si>
    <t xml:space="preserve">1105 N Dreamcatcher Dr. </t>
  </si>
  <si>
    <t>Cali Hildebrandt</t>
  </si>
  <si>
    <t>Julie Put</t>
  </si>
  <si>
    <t>+1 (928) 567-7126</t>
  </si>
  <si>
    <t>La Quinta Angleton</t>
  </si>
  <si>
    <t xml:space="preserve">2400 West Mulberry Street </t>
  </si>
  <si>
    <t>Angleton</t>
  </si>
  <si>
    <t>Roseanna Martinez</t>
  </si>
  <si>
    <t>+1 (979) 864-3383</t>
  </si>
  <si>
    <t>Clarion Suites Downtown</t>
  </si>
  <si>
    <t xml:space="preserve">1110 West 8TH Avenue </t>
  </si>
  <si>
    <t>+1 (907) 222-5005</t>
  </si>
  <si>
    <t>SpringHill Suites Naples</t>
  </si>
  <si>
    <t xml:space="preserve">3798 White Lake Blvd. </t>
  </si>
  <si>
    <t>Tracy Arman</t>
  </si>
  <si>
    <t>+1 (239) 352-2234</t>
  </si>
  <si>
    <t>Homewood Suites Raleigh Crabtree</t>
  </si>
  <si>
    <t xml:space="preserve">5400 Homewood Banks Drive </t>
  </si>
  <si>
    <t>Maurice Mills</t>
  </si>
  <si>
    <t>Robert Ambersley</t>
  </si>
  <si>
    <t>+ (919) 785-1131</t>
  </si>
  <si>
    <t>Homewood Suites Phoenix Metro Center</t>
  </si>
  <si>
    <t xml:space="preserve">2536 West Beryl Avenue </t>
  </si>
  <si>
    <t>Erika Fajardo</t>
  </si>
  <si>
    <t>Dawn Noll</t>
  </si>
  <si>
    <t>+1 (602) 674-8900</t>
  </si>
  <si>
    <t>Hampton Inn &amp; Suites Estero</t>
  </si>
  <si>
    <t xml:space="preserve">10611 Chevrolet Way </t>
  </si>
  <si>
    <t>Estero</t>
  </si>
  <si>
    <t>Mary Silva</t>
  </si>
  <si>
    <t>+1 (239) 947-5566</t>
  </si>
  <si>
    <t>Hilton Garden Inn San Antonio</t>
  </si>
  <si>
    <t xml:space="preserve">12828 San Pedro Avenue </t>
  </si>
  <si>
    <t>David Lane</t>
  </si>
  <si>
    <t>Raven Morris</t>
  </si>
  <si>
    <t>+1 (210) 494-7600</t>
  </si>
  <si>
    <t>Hampton Inn Charlotte - University Place</t>
  </si>
  <si>
    <t xml:space="preserve">8419 North Tryon Street </t>
  </si>
  <si>
    <t xml:space="preserve">Corie Blocker </t>
  </si>
  <si>
    <t>+ (704) 548-0905</t>
  </si>
  <si>
    <t>Hampton Inn Cary</t>
  </si>
  <si>
    <t xml:space="preserve">201 Ashville Avenue </t>
  </si>
  <si>
    <t>Geno Bell</t>
  </si>
  <si>
    <t>Zaida Garzon</t>
  </si>
  <si>
    <t>+ (919) 859-5559</t>
  </si>
  <si>
    <t>Homewood Suites Houston Clear Lake</t>
  </si>
  <si>
    <t xml:space="preserve">401 Bay Area Boulevard </t>
  </si>
  <si>
    <t>Julian Jacobs</t>
  </si>
  <si>
    <t>+1 (281) 486-7677</t>
  </si>
  <si>
    <t>Hampton Inn Perimeter Center</t>
  </si>
  <si>
    <t xml:space="preserve">769 Hammond Drive NE </t>
  </si>
  <si>
    <t>Betty Ayele</t>
  </si>
  <si>
    <t>Brice Pierre</t>
  </si>
  <si>
    <t>+ (404) 303-0014</t>
  </si>
  <si>
    <t>Hilton Garden Inn North Alpharetta</t>
  </si>
  <si>
    <t xml:space="preserve">4025 Windward PLaza </t>
  </si>
  <si>
    <t>Kim Flanders</t>
  </si>
  <si>
    <t>Stanley Corum</t>
  </si>
  <si>
    <t>+ (770) 360-7766</t>
  </si>
  <si>
    <t>Fairfield Inn &amp; Suites Naples</t>
  </si>
  <si>
    <t xml:space="preserve">3808 White Lake Blvd. </t>
  </si>
  <si>
    <t>Victoria Walton</t>
  </si>
  <si>
    <t>+1 (850) 337-3674</t>
  </si>
  <si>
    <t>Hampton Inn &amp; Suites Stuart</t>
  </si>
  <si>
    <t xml:space="preserve">1150 NW Federal Hwy. </t>
  </si>
  <si>
    <t>Kerry Lacey</t>
  </si>
  <si>
    <t>+1 (772) 692-6922</t>
  </si>
  <si>
    <t>Hampton Inn &amp; Suites Clermont</t>
  </si>
  <si>
    <t xml:space="preserve">2200 E. Hwy. 50 </t>
  </si>
  <si>
    <t>Clermont</t>
  </si>
  <si>
    <t>Katerina Templo</t>
  </si>
  <si>
    <t>+1 (352) 536-6600</t>
  </si>
  <si>
    <t>Courtyard Chicago St. Charles</t>
  </si>
  <si>
    <t xml:space="preserve">700 Courtyard Drive </t>
  </si>
  <si>
    <t>St. Charles</t>
  </si>
  <si>
    <t>Mark Schalla</t>
  </si>
  <si>
    <t>+1 (630) 377-6370</t>
  </si>
  <si>
    <t>Fairfield Inn &amp; Suites Orlando Universal Studios</t>
  </si>
  <si>
    <t xml:space="preserve">5614 Vineland Road </t>
  </si>
  <si>
    <t>Vasek Vratny</t>
  </si>
  <si>
    <t>+ (407) 581-5600</t>
  </si>
  <si>
    <t>Comfort Inn Cross Creek</t>
  </si>
  <si>
    <t xml:space="preserve">1922 Skibu Road </t>
  </si>
  <si>
    <t>Matt Rankert</t>
  </si>
  <si>
    <t>+ (910) 867-1777</t>
  </si>
  <si>
    <t>Banyan Tree Management LLC</t>
  </si>
  <si>
    <t>Home2 Suites Gulf Breeze</t>
  </si>
  <si>
    <t xml:space="preserve">822 Gulf Breeze Parkway </t>
  </si>
  <si>
    <t>Gulf Breeze</t>
  </si>
  <si>
    <t>Brian Timm</t>
  </si>
  <si>
    <t>+1 (850) 203-6700</t>
  </si>
  <si>
    <t>True North Hotel Group Inc.</t>
  </si>
  <si>
    <t>AC Hotel Tuscaloosa</t>
  </si>
  <si>
    <t xml:space="preserve">2585 6th Street </t>
  </si>
  <si>
    <t>Tuscaloosa</t>
  </si>
  <si>
    <t>Karen Steiger</t>
  </si>
  <si>
    <t>+1 (205) 374-8080</t>
  </si>
  <si>
    <t>Sheraton Gunter Hotel San Antonio</t>
  </si>
  <si>
    <t xml:space="preserve">205 East Houston Street </t>
  </si>
  <si>
    <t>Troy Benavides</t>
  </si>
  <si>
    <t>+1 (210) 227-3241</t>
  </si>
  <si>
    <t>Fairfield Inn &amp; Suites Knoxville Alcoa</t>
  </si>
  <si>
    <t xml:space="preserve">1865 Pauling Street </t>
  </si>
  <si>
    <t>Alcoa</t>
  </si>
  <si>
    <t>Richard Knight</t>
  </si>
  <si>
    <t>+1 (865) 409-5950</t>
  </si>
  <si>
    <t>The Clayton</t>
  </si>
  <si>
    <t xml:space="preserve">233 Clayton Street </t>
  </si>
  <si>
    <t>Cherry Creek</t>
  </si>
  <si>
    <t>Brandon Duley</t>
  </si>
  <si>
    <t>Greg Deflorio</t>
  </si>
  <si>
    <t>+1 (970) 331-4865</t>
  </si>
  <si>
    <t>Walt Disney World Swan Reserve Autograph Collection</t>
  </si>
  <si>
    <t xml:space="preserve">1255 Epcot Resorts Boulevard </t>
  </si>
  <si>
    <t>Salishan Spa and Golf Resort</t>
  </si>
  <si>
    <t>7760 Highway 101 North PO Box 118</t>
  </si>
  <si>
    <t>Gleneden Beach</t>
  </si>
  <si>
    <t>David Hall</t>
  </si>
  <si>
    <t>Matt Grigg</t>
  </si>
  <si>
    <t>+ (541) 764-3632</t>
  </si>
  <si>
    <t>Podollan Rezidence Grande Prairie</t>
  </si>
  <si>
    <t xml:space="preserve">11702-99th Avenue </t>
  </si>
  <si>
    <t>Akoanshu Popli</t>
  </si>
  <si>
    <t>+1 (780) 830-1376</t>
  </si>
  <si>
    <t>Embassy Suites Center City</t>
  </si>
  <si>
    <t xml:space="preserve">1776 Benjamin Franklin Parkway </t>
  </si>
  <si>
    <t>+ (215) 561-1776</t>
  </si>
  <si>
    <t>VILLAGE CREEK NURSING &amp; REHAB</t>
  </si>
  <si>
    <t xml:space="preserve">3825 VILLAGE CREEK ROAD </t>
  </si>
  <si>
    <t>817-429-1991</t>
  </si>
  <si>
    <t>HARMONY AT MT JULIET</t>
  </si>
  <si>
    <t xml:space="preserve">103 BELINDA PARKWAY </t>
  </si>
  <si>
    <t>MT JULIET</t>
  </si>
  <si>
    <t>615-768-1990</t>
  </si>
  <si>
    <t>THE BRENNITY AT TRADITION</t>
  </si>
  <si>
    <t xml:space="preserve">10685 SW STONY CREEK WAY </t>
  </si>
  <si>
    <t>FORT ST LUCIE</t>
  </si>
  <si>
    <t>775-345-2700</t>
  </si>
  <si>
    <t>BLACK SAPHIRE CATERING</t>
  </si>
  <si>
    <t xml:space="preserve">43791 ARBORVIEW LANE </t>
  </si>
  <si>
    <t>VAN BUREN TOWNSHIP</t>
  </si>
  <si>
    <t>734-644-1498</t>
  </si>
  <si>
    <t>ARIA SENIOR LIVING/SONG ONE LLC</t>
  </si>
  <si>
    <t>ARIA SENIOR LIVING-ARIA AT GATES MILLS</t>
  </si>
  <si>
    <t xml:space="preserve">1735 SOM CENTER ROAD </t>
  </si>
  <si>
    <t>HIGHLAND HEIGHTS</t>
  </si>
  <si>
    <t>330-618-0453</t>
  </si>
  <si>
    <t>HARMONTY AT MT JULIET-FOOD</t>
  </si>
  <si>
    <t>ARIA SENIOR LIVING-CEDAR LIVING</t>
  </si>
  <si>
    <t xml:space="preserve">30091 CEDAR ROAD </t>
  </si>
  <si>
    <t>ELMHAVEN MANOR</t>
  </si>
  <si>
    <t xml:space="preserve">600 WEST WALTON BLVD </t>
  </si>
  <si>
    <t>248-451-1370</t>
  </si>
  <si>
    <t>LEAN FEAST-HUNTINGTON BEACH</t>
  </si>
  <si>
    <t xml:space="preserve">10176 ADAMS AVENUE </t>
  </si>
  <si>
    <t>408-646-6228</t>
  </si>
  <si>
    <t>HUNTINGDON HOUSE</t>
  </si>
  <si>
    <t xml:space="preserve">2680 NORTHWOOD DRIVE </t>
  </si>
  <si>
    <t>FORD HOUSE</t>
  </si>
  <si>
    <t xml:space="preserve">3047 FORD ROAD </t>
  </si>
  <si>
    <t>KIDS R KIDS GREATER CINCINNATI</t>
  </si>
  <si>
    <t>KIDS R KIDS MAINEVILLE</t>
  </si>
  <si>
    <t xml:space="preserve">6493 STATE ROUTE 48 </t>
  </si>
  <si>
    <t>MAINEVILLE</t>
  </si>
  <si>
    <t>513-583-8899</t>
  </si>
  <si>
    <t>KIDS R KIDS MASON</t>
  </si>
  <si>
    <t xml:space="preserve">7439 MASON MONTOGOMERY ROAD </t>
  </si>
  <si>
    <t>513-398-9944</t>
  </si>
  <si>
    <t>KIDS R KIDS FAIRFILED</t>
  </si>
  <si>
    <t xml:space="preserve">8750 HOLDEN BLVD </t>
  </si>
  <si>
    <t>513-870-0696</t>
  </si>
  <si>
    <t>KIDS R KIDS WEST CHESTER</t>
  </si>
  <si>
    <t xml:space="preserve">9077 UNION CENTRE BLVD </t>
  </si>
  <si>
    <t>513-860-5437</t>
  </si>
  <si>
    <t>KIDS R KIDS LIBERTY TOWNSHIP</t>
  </si>
  <si>
    <t xml:space="preserve">6532 PRINCETON GLENDALE ROAD </t>
  </si>
  <si>
    <t>LIBERTY TOWNSHIP</t>
  </si>
  <si>
    <t>513-863-3001</t>
  </si>
  <si>
    <t>RELIABLE HEALTH CARE</t>
  </si>
  <si>
    <t>RES WALRAVEN</t>
  </si>
  <si>
    <t xml:space="preserve">185 DIXIE DRIVE </t>
  </si>
  <si>
    <t>MANNAHOUSE CHRISTIAN ACADEMY</t>
  </si>
  <si>
    <t xml:space="preserve">811 NE 112 AVENUE </t>
  </si>
  <si>
    <t>360-719-2589</t>
  </si>
  <si>
    <t>Best Western Plus Executive Residency</t>
  </si>
  <si>
    <t xml:space="preserve">510 Collins Park Drive </t>
  </si>
  <si>
    <t>Antioch</t>
  </si>
  <si>
    <t>Chuck Beamon</t>
  </si>
  <si>
    <t>+1 (615) 645-9151</t>
  </si>
  <si>
    <t>402 Hotel</t>
  </si>
  <si>
    <t xml:space="preserve">2211 Douglas Street </t>
  </si>
  <si>
    <t xml:space="preserve">Dawn Yopp </t>
  </si>
  <si>
    <t>+1 (402) 345-9565</t>
  </si>
  <si>
    <t>316 Hotel</t>
  </si>
  <si>
    <t xml:space="preserve">1011 North Topeka Street </t>
  </si>
  <si>
    <t>Tayla Fleener</t>
  </si>
  <si>
    <t>+1 (316) 269-9999</t>
  </si>
  <si>
    <t>816 Hotel</t>
  </si>
  <si>
    <t xml:space="preserve">801 Westport Road </t>
  </si>
  <si>
    <t>Luther Solomon</t>
  </si>
  <si>
    <t>Claudette De La Cruz</t>
  </si>
  <si>
    <t>+ (816) 931-1000</t>
  </si>
  <si>
    <t>HS HOTSSON HOTELS &amp; RESORTS</t>
  </si>
  <si>
    <t>HS HOTSSON Hotel GDL Country Club</t>
  </si>
  <si>
    <t xml:space="preserve">AV. De Las Americas 1528 Col. Country Club </t>
  </si>
  <si>
    <t>+()1 15-98-88-20</t>
  </si>
  <si>
    <t>Naples Hotel Group LLC.</t>
  </si>
  <si>
    <t>TownePlace Suites Tampa East/I-4</t>
  </si>
  <si>
    <t xml:space="preserve">6202 East Martin Luther King Boulevard </t>
  </si>
  <si>
    <t>John Fogu</t>
  </si>
  <si>
    <t>+1 (813) 678-2500</t>
  </si>
  <si>
    <t>TownePlace Suites Fort Mill at Carowinds Blvd.</t>
  </si>
  <si>
    <t xml:space="preserve">3519 Lakemont Boulevard </t>
  </si>
  <si>
    <t>Stephen Piwowar</t>
  </si>
  <si>
    <t>+(803) 650-6625</t>
  </si>
  <si>
    <t>Luxe Rodeo LP</t>
  </si>
  <si>
    <t>Luxe Rodeo Drive Hotel</t>
  </si>
  <si>
    <t xml:space="preserve">360 N. Rodeo Drive </t>
  </si>
  <si>
    <t>+1 (310) 273-0300</t>
  </si>
  <si>
    <t>Sneaky's Wine Bar</t>
  </si>
  <si>
    <t xml:space="preserve">110 Carriage Way </t>
  </si>
  <si>
    <t>Snowmass Village</t>
  </si>
  <si>
    <t xml:space="preserve">Servicios Integrales Pin S.A. de C.V. </t>
  </si>
  <si>
    <t>Ibis Irapuato</t>
  </si>
  <si>
    <t xml:space="preserve">Cuarto Cinturon Vial 6802 Ejido de Juarez </t>
  </si>
  <si>
    <t>Ibis</t>
  </si>
  <si>
    <t>Luz Marmolejo</t>
  </si>
  <si>
    <t>Alejandro Ornelas</t>
  </si>
  <si>
    <t>+1(52)462/8006200</t>
  </si>
  <si>
    <t>HOWELLS MILL CHRISTIAN ASSEMBLY</t>
  </si>
  <si>
    <t xml:space="preserve">99 CHRISTIAN CAMP ROAD </t>
  </si>
  <si>
    <t>ONA</t>
  </si>
  <si>
    <t>304-243-4332</t>
  </si>
  <si>
    <t>Hotel Los Gatos</t>
  </si>
  <si>
    <t xml:space="preserve">210 East Main Street </t>
  </si>
  <si>
    <t>Los Gatos</t>
  </si>
  <si>
    <t>Antonio Dimarco</t>
  </si>
  <si>
    <t>+1 (408) 335-1700</t>
  </si>
  <si>
    <t>The Residences at The St. Regis Chicago</t>
  </si>
  <si>
    <t>Jessica Johnson</t>
  </si>
  <si>
    <t>Jack Diemar</t>
  </si>
  <si>
    <t>+()213-218-0535</t>
  </si>
  <si>
    <t>Sheraton Harrisburg Hershey Hotel</t>
  </si>
  <si>
    <t xml:space="preserve">4650 Lindle Road </t>
  </si>
  <si>
    <t>Harry Stevens</t>
  </si>
  <si>
    <t>Shirley Miller</t>
  </si>
  <si>
    <t>+1 (717) 564-5511</t>
  </si>
  <si>
    <t>Radisson Hotel Harrisburg</t>
  </si>
  <si>
    <t xml:space="preserve">1150 Camp Hill Bypass </t>
  </si>
  <si>
    <t>Camp Hill</t>
  </si>
  <si>
    <t>Jeff Strupp</t>
  </si>
  <si>
    <t>Elizabeth Cordeiro</t>
  </si>
  <si>
    <t>+1 (717) 763-7117</t>
  </si>
  <si>
    <t>Janko Hospitality LLC</t>
  </si>
  <si>
    <t>Holiday Inn Express &amp; Suites Lockport</t>
  </si>
  <si>
    <t xml:space="preserve">16223 West 159th Street </t>
  </si>
  <si>
    <t>Lockport</t>
  </si>
  <si>
    <t>Johnie Valencia</t>
  </si>
  <si>
    <t>+1 (815) 306-1200</t>
  </si>
  <si>
    <t>The Forester A Hyatt Place Hotel</t>
  </si>
  <si>
    <t xml:space="preserve">200 North Field Drive </t>
  </si>
  <si>
    <t>Lake Forest</t>
  </si>
  <si>
    <t>Marlena Karwowski</t>
  </si>
  <si>
    <t>+1 (847) 582-6400</t>
  </si>
  <si>
    <t>Fairbrook Hotels LLC</t>
  </si>
  <si>
    <t>Microtel Inn &amp; Suites by Wyndham Culpeper</t>
  </si>
  <si>
    <t xml:space="preserve">885 Willis Lane </t>
  </si>
  <si>
    <t>Culpeper</t>
  </si>
  <si>
    <t>Hemal Ghandi</t>
  </si>
  <si>
    <t>+1 (540) 829-0330</t>
  </si>
  <si>
    <t>Sleep Inn &amp; Suites Harbour Pointe</t>
  </si>
  <si>
    <t xml:space="preserve">6451 Bayside Lane </t>
  </si>
  <si>
    <t>Midlothian</t>
  </si>
  <si>
    <t>Devon Mays</t>
  </si>
  <si>
    <t>+1 (804) 639-3500</t>
  </si>
  <si>
    <t xml:space="preserve">Country Inn &amp; Suites -Charlottesville University </t>
  </si>
  <si>
    <t xml:space="preserve">1600 Emmet Street North </t>
  </si>
  <si>
    <t>Caroline Noelke</t>
  </si>
  <si>
    <t>Heidi Matherly</t>
  </si>
  <si>
    <t>+1 (434)293-4600</t>
  </si>
  <si>
    <t>Country Inn and Suites Dulles</t>
  </si>
  <si>
    <t xml:space="preserve">45620 Falke Plaza </t>
  </si>
  <si>
    <t>+(703) 435-2700</t>
  </si>
  <si>
    <t>Country Inn and Suites BWI</t>
  </si>
  <si>
    <t xml:space="preserve">1717 West Nursery Road </t>
  </si>
  <si>
    <t>LINTHICUM</t>
  </si>
  <si>
    <t>Ebony Harvin</t>
  </si>
  <si>
    <t>+(443) 577-1036</t>
  </si>
  <si>
    <t>Aloft Dulles North</t>
  </si>
  <si>
    <t xml:space="preserve">22390 Flaggstaff Plaza </t>
  </si>
  <si>
    <t>Anthony Pieri</t>
  </si>
  <si>
    <t>Michael Vallese</t>
  </si>
  <si>
    <t>+1(703) 723-6969</t>
  </si>
  <si>
    <t>Plaza Athenee Hotel Company Limited</t>
  </si>
  <si>
    <t>Hotel Plaza Athenee</t>
  </si>
  <si>
    <t xml:space="preserve">37 East 64th Street </t>
  </si>
  <si>
    <t>David Cohen</t>
  </si>
  <si>
    <t>Alfred Thomas</t>
  </si>
  <si>
    <t>+ (212) 734-9100</t>
  </si>
  <si>
    <t>TownePlace Suites Plant City</t>
  </si>
  <si>
    <t xml:space="preserve">2709 Thonotosassa Road </t>
  </si>
  <si>
    <t>Plant City</t>
  </si>
  <si>
    <t>Cory Drew</t>
  </si>
  <si>
    <t>+1 (813) 704-5585</t>
  </si>
  <si>
    <t>The Farnam Autograph Collection</t>
  </si>
  <si>
    <t xml:space="preserve">1299 Farnam Street </t>
  </si>
  <si>
    <t>Christine Chamberlin</t>
  </si>
  <si>
    <t>+1 (402) 915-4900</t>
  </si>
  <si>
    <t>ODYSSEY EXPEDITION</t>
  </si>
  <si>
    <t>ODYSSEY EXPEDITION AT MOUNT PLEASANT</t>
  </si>
  <si>
    <t xml:space="preserve">1606 MEMORIAL STREET </t>
  </si>
  <si>
    <t>903-572-3618</t>
  </si>
  <si>
    <t>ODYSSEY EXPEDITION CRANE NURSING &amp; REHAB</t>
  </si>
  <si>
    <t xml:space="preserve">699 CAMPUS DRIVE </t>
  </si>
  <si>
    <t>CRANE</t>
  </si>
  <si>
    <t>432-336-8870</t>
  </si>
  <si>
    <t>ODYSSEY EXPEDITION AT CORPUS</t>
  </si>
  <si>
    <t xml:space="preserve">801 CANTWELL LANE </t>
  </si>
  <si>
    <t>361-882-4284</t>
  </si>
  <si>
    <t>ODYSSEY EXPEDITION AT WEBSTER</t>
  </si>
  <si>
    <t xml:space="preserve">17231 MILL FOREST </t>
  </si>
  <si>
    <t>281-488-5224</t>
  </si>
  <si>
    <t>ODYSSEY EXPEDITION AT HUMBLE</t>
  </si>
  <si>
    <t xml:space="preserve">93 ISSACKS ROAD </t>
  </si>
  <si>
    <t xml:space="preserve">HUMBLE </t>
  </si>
  <si>
    <t>281-446-7159</t>
  </si>
  <si>
    <t>ODYSSEY EXPEDITION AT LINDEN</t>
  </si>
  <si>
    <t xml:space="preserve">1201 W HOUSTON STREET </t>
  </si>
  <si>
    <t>LINDEN</t>
  </si>
  <si>
    <t>903-756-5537</t>
  </si>
  <si>
    <t>ODYSSEY EXPEDITION AT CLARKSVILLE</t>
  </si>
  <si>
    <t xml:space="preserve">2407 WEST MAIN HIGHWAY 82 </t>
  </si>
  <si>
    <t>903-427-3821</t>
  </si>
  <si>
    <t>ODYSSEY EXPEDITION AT LAMESA</t>
  </si>
  <si>
    <t xml:space="preserve">1201 N 15TH STREET </t>
  </si>
  <si>
    <t>LAMESA</t>
  </si>
  <si>
    <t>806-872-2141</t>
  </si>
  <si>
    <t>ODYSSEY EXPEDITION AT BURNET BAY</t>
  </si>
  <si>
    <t xml:space="preserve">3921 N MAIN STREET </t>
  </si>
  <si>
    <t>281-422-8541</t>
  </si>
  <si>
    <t>REVELATIONS HEALTH CARE GROUP</t>
  </si>
  <si>
    <t>GREENBRIAR HEALTHCARE CENTER</t>
  </si>
  <si>
    <t xml:space="preserve">301 WEST RANDOL MILL ROAD </t>
  </si>
  <si>
    <t>817-460-2002</t>
  </si>
  <si>
    <t>ODYSSEY EXPEDITION AT PASADENA</t>
  </si>
  <si>
    <t xml:space="preserve">3434 WATTERS STREET </t>
  </si>
  <si>
    <t>713-941-9555</t>
  </si>
  <si>
    <t>ODYSSEY EXPEDITION AT AT MIDLAND</t>
  </si>
  <si>
    <t xml:space="preserve">2000 N MAIN </t>
  </si>
  <si>
    <t>432-686-1898</t>
  </si>
  <si>
    <t>ODYSSEY EXPEDITION AT HOGAN PARK</t>
  </si>
  <si>
    <t xml:space="preserve">3203 SAGE STREET </t>
  </si>
  <si>
    <t>432-683-5403</t>
  </si>
  <si>
    <t>LAKESIDE HEALTH AND WELLNESS</t>
  </si>
  <si>
    <t xml:space="preserve">110 NORTH STATE HWY 274 </t>
  </si>
  <si>
    <t>KEMP</t>
  </si>
  <si>
    <t>713-208-9037</t>
  </si>
  <si>
    <t>ODYSSEY EXPEDITION AT STONEBRIER</t>
  </si>
  <si>
    <t xml:space="preserve">110 E LIVE OAK </t>
  </si>
  <si>
    <t>512-444-3511</t>
  </si>
  <si>
    <t>ODYSSEY EXPEDITION AT SHERMAN</t>
  </si>
  <si>
    <t xml:space="preserve">817 W CENTER STREET </t>
  </si>
  <si>
    <t>SHERMAN</t>
  </si>
  <si>
    <t>903-893-6348</t>
  </si>
  <si>
    <t>ODYSSEY EXPEDITION AT ORANGE</t>
  </si>
  <si>
    <t xml:space="preserve">4201 FM 105 </t>
  </si>
  <si>
    <t>409-823-8803</t>
  </si>
  <si>
    <t>ODYSSSEY EXPEDITION AT HUNTSVILLE</t>
  </si>
  <si>
    <t xml:space="preserve">1302 NOTTINGHAM STREET </t>
  </si>
  <si>
    <t>936-295-6313</t>
  </si>
  <si>
    <t>ODYSSEY EXPEDITION AT HAMILTON</t>
  </si>
  <si>
    <t xml:space="preserve">1315 EAST STATE HWY 22 </t>
  </si>
  <si>
    <t>254-967-2307</t>
  </si>
  <si>
    <t>GREENBRIAR HEALTHCARE</t>
  </si>
  <si>
    <t xml:space="preserve">55 HARRIS ROAD </t>
  </si>
  <si>
    <t>603-888-1573</t>
  </si>
  <si>
    <t>ODYSSEY EXPEDITION AT WAXAHACHIE</t>
  </si>
  <si>
    <t xml:space="preserve">1413 WEST MAIN STREET </t>
  </si>
  <si>
    <t>972-937-2298</t>
  </si>
  <si>
    <t>ODYSSEY EXPEDITION AT SUMMER PLACE</t>
  </si>
  <si>
    <t xml:space="preserve">2485 S MAJOR DRIVE </t>
  </si>
  <si>
    <t>409-861-4611</t>
  </si>
  <si>
    <t>ODYSSEY EXPEDITION AT MONAHANS MANAGED CARE</t>
  </si>
  <si>
    <t xml:space="preserve">1200 W 15TH STREET </t>
  </si>
  <si>
    <t>MONAHANS</t>
  </si>
  <si>
    <t>432-943-2741</t>
  </si>
  <si>
    <t>ODYSSEY EXPEDITION AT CEDAR BAYOU</t>
  </si>
  <si>
    <t xml:space="preserve">2000 WEST BAKER ROAD </t>
  </si>
  <si>
    <t>281-427-9120</t>
  </si>
  <si>
    <t>ODYSSEY EXPEDITION OF CENTER</t>
  </si>
  <si>
    <t xml:space="preserve">501 TIMPSON </t>
  </si>
  <si>
    <t>CENTER</t>
  </si>
  <si>
    <t>936-598-2483</t>
  </si>
  <si>
    <t>ODYSSEY EXPEDITION AT WESTWOOD</t>
  </si>
  <si>
    <t xml:space="preserve">8702 SOUTH COURSE DRIVE </t>
  </si>
  <si>
    <t>281-498-5796</t>
  </si>
  <si>
    <t>CARBONDALE NURSING HOME</t>
  </si>
  <si>
    <t xml:space="preserve">10 HART PLACE </t>
  </si>
  <si>
    <t>570-282-1020</t>
  </si>
  <si>
    <t>ODYSSEY EXPEDITION AT BEECHNUT</t>
  </si>
  <si>
    <t xml:space="preserve">12777 BEECHNUT STREET </t>
  </si>
  <si>
    <t>281-879-8040</t>
  </si>
  <si>
    <t>ODYSSEY EXPEDITION AT BAYTOWN</t>
  </si>
  <si>
    <t xml:space="preserve">2000 BEAUMONT </t>
  </si>
  <si>
    <t>281-427-4774</t>
  </si>
  <si>
    <t>ODYSSEY EXPEDITION OF PECOS</t>
  </si>
  <si>
    <t xml:space="preserve">1819 MEMORIAL DRIVE </t>
  </si>
  <si>
    <t>PECOS</t>
  </si>
  <si>
    <t>915-447-2183</t>
  </si>
  <si>
    <t>ODYSSEY EXPEDITION OF ALLENBROOK</t>
  </si>
  <si>
    <t xml:space="preserve">4109 ALLENBROOK DRIVE </t>
  </si>
  <si>
    <t>281-422-3546</t>
  </si>
  <si>
    <t>ODYSSEY EXPEDITION FORT STOCKTON</t>
  </si>
  <si>
    <t xml:space="preserve">501 N SYCAMORE </t>
  </si>
  <si>
    <t>FORT STOCKTON</t>
  </si>
  <si>
    <t>ODYSSEY EXPEDITION AT ODESSA</t>
  </si>
  <si>
    <t xml:space="preserve">2443 W 16 TH STREET </t>
  </si>
  <si>
    <t>432-333-2904</t>
  </si>
  <si>
    <t>ODYSSEY EXPEDITION OF GILMER</t>
  </si>
  <si>
    <t xml:space="preserve">623 HIGHWAY 155 NORTH </t>
  </si>
  <si>
    <t>GILMER</t>
  </si>
  <si>
    <t>903-797-2143</t>
  </si>
  <si>
    <t>ODYSSEY EXPEDITION OF BRENHAM</t>
  </si>
  <si>
    <t xml:space="preserve">1303 HIGHWAY 290 EAST </t>
  </si>
  <si>
    <t>409-830-7100</t>
  </si>
  <si>
    <t>BELLE TERRACE LLC</t>
  </si>
  <si>
    <t xml:space="preserve">1133 NORTH 3RD STREET </t>
  </si>
  <si>
    <t>402-335-3420</t>
  </si>
  <si>
    <t>THE PAVILLON AT GREAT HILLS</t>
  </si>
  <si>
    <t xml:space="preserve">11819 PAVILLON BLVD </t>
  </si>
  <si>
    <t>512-249-0500</t>
  </si>
  <si>
    <t>THE HAMPTON AT MEADOWS PLACE</t>
  </si>
  <si>
    <t xml:space="preserve">11919 WEST AIRPORT BLVD </t>
  </si>
  <si>
    <t>MEADOW PLACE</t>
  </si>
  <si>
    <t>282-241-1707</t>
  </si>
  <si>
    <t>THE PHOENIX AT GREER</t>
  </si>
  <si>
    <t xml:space="preserve">715 SOUTH BUNCOMBE ROAD </t>
  </si>
  <si>
    <t>GREER</t>
  </si>
  <si>
    <t xml:space="preserve">1401 BALLINGER STREET </t>
  </si>
  <si>
    <t>817-632-1000</t>
  </si>
  <si>
    <t>NOBLE SENIOR SERVICES</t>
  </si>
  <si>
    <t xml:space="preserve">137 BROAD STREET </t>
  </si>
  <si>
    <t>TEXAS 4-H CONFERENCE CENTER</t>
  </si>
  <si>
    <t xml:space="preserve">5600 FM 3021 </t>
  </si>
  <si>
    <t>BROWNWOOD</t>
  </si>
  <si>
    <t>325-784-5482</t>
  </si>
  <si>
    <t>PROJECT HOUSEWORKS</t>
  </si>
  <si>
    <t xml:space="preserve">2316 S 24TH STREET </t>
  </si>
  <si>
    <t>402-965-9201</t>
  </si>
  <si>
    <t>Marriott Dallas Uptown</t>
  </si>
  <si>
    <t xml:space="preserve">3033 Fairmount Street </t>
  </si>
  <si>
    <t>Robbie Tawil</t>
  </si>
  <si>
    <t>Cambria Mount Pleasant - Charleston</t>
  </si>
  <si>
    <t xml:space="preserve">1472 Highway 17 North </t>
  </si>
  <si>
    <t>Mount Pleasant</t>
  </si>
  <si>
    <t>Alyssa Nikay</t>
  </si>
  <si>
    <t>+1 (843) 849-9677</t>
  </si>
  <si>
    <t>Hotel Zoso</t>
  </si>
  <si>
    <t xml:space="preserve">150 South Indian Canyon Drive </t>
  </si>
  <si>
    <t>Steven Boswell</t>
  </si>
  <si>
    <t>+1 (760) 325-9676</t>
  </si>
  <si>
    <t>GK Management Co Inc. (Goldrich Kest)</t>
  </si>
  <si>
    <t>Newport Dunes Marina</t>
  </si>
  <si>
    <t xml:space="preserve">101 North Bayside Drive </t>
  </si>
  <si>
    <t>Newport Beach</t>
  </si>
  <si>
    <t>Wade Kerley</t>
  </si>
  <si>
    <t>+1 (949) 729-1100</t>
  </si>
  <si>
    <t>Extended Stay America - Atlanta - Norcross</t>
  </si>
  <si>
    <t>6640 Bay Circle ATTN ODAY LUKE (770)447-8446</t>
  </si>
  <si>
    <t>Raees Harris</t>
  </si>
  <si>
    <t>(770) 447-8446</t>
  </si>
  <si>
    <t>Extended Stay America - Richmond - Glen Allen - Short Pump</t>
  </si>
  <si>
    <t xml:space="preserve">4231 Park Place Court </t>
  </si>
  <si>
    <t>Steven Patterson</t>
  </si>
  <si>
    <t>+(804)747-5253</t>
  </si>
  <si>
    <t>Best Western Plus Bolingbrook</t>
  </si>
  <si>
    <t xml:space="preserve">225 West South Frontage Road </t>
  </si>
  <si>
    <t>+1 (630) 226-1669</t>
  </si>
  <si>
    <t>Extended Stay America - Chicago - Elgin - West Dundee</t>
  </si>
  <si>
    <t xml:space="preserve">2185 Marriott Drive </t>
  </si>
  <si>
    <t>West Dundee</t>
  </si>
  <si>
    <t>Bridget Bloom</t>
  </si>
  <si>
    <t>Carolyn Ayres</t>
  </si>
  <si>
    <t>(847) 608-6320</t>
  </si>
  <si>
    <t>Extended Stay America - Newport News - Yorktown</t>
  </si>
  <si>
    <t xml:space="preserve">200 Cybernetics Way </t>
  </si>
  <si>
    <t>Yorktown</t>
  </si>
  <si>
    <t>Larisa Gallagher</t>
  </si>
  <si>
    <t>Maria Sandoval</t>
  </si>
  <si>
    <t>(757) 874-8884</t>
  </si>
  <si>
    <t>Candlewood Suites Boston North Shore - Danvers</t>
  </si>
  <si>
    <t xml:space="preserve">238 Andover Street </t>
  </si>
  <si>
    <t>Lee Nalewanski</t>
  </si>
  <si>
    <t>Thomas Peck</t>
  </si>
  <si>
    <t>(978) 777-6222</t>
  </si>
  <si>
    <t>Extended Stay America Hotel Northlake Atlanta</t>
  </si>
  <si>
    <t>3300 Northlake Parkway ATTN: RANDY KUIKEN #770-938-0408</t>
  </si>
  <si>
    <t>Frank Distel</t>
  </si>
  <si>
    <t>(770) 938-0408</t>
  </si>
  <si>
    <t>Ramada Phoenix Midtown</t>
  </si>
  <si>
    <t xml:space="preserve">212 West Osborn Road </t>
  </si>
  <si>
    <t>Mira Singh</t>
  </si>
  <si>
    <t>+(602)892-1531</t>
  </si>
  <si>
    <t>Days Inn Kingman East</t>
  </si>
  <si>
    <t xml:space="preserve">3381 East Andy Devine Avenue </t>
  </si>
  <si>
    <t>Kingman</t>
  </si>
  <si>
    <t>Katrina Scrivner</t>
  </si>
  <si>
    <t>+1 (928) 263-8421</t>
  </si>
  <si>
    <t>Hawthorn Suites Chandler</t>
  </si>
  <si>
    <t xml:space="preserve">5858 West Chandler Boulevard </t>
  </si>
  <si>
    <t>Chandler</t>
  </si>
  <si>
    <t>Stella Koleva</t>
  </si>
  <si>
    <t>+1 (480) 705-8881</t>
  </si>
  <si>
    <t>Holiday Inn Downtown Long Beach</t>
  </si>
  <si>
    <t xml:space="preserve">1133 Atlantic Ave </t>
  </si>
  <si>
    <t>Nick Bonkoski</t>
  </si>
  <si>
    <t>+ (562) 590-8858</t>
  </si>
  <si>
    <t>Philadelphia Country Club Inc.</t>
  </si>
  <si>
    <t>Philadelphia Country Club</t>
  </si>
  <si>
    <t xml:space="preserve">1601 Spring Mill Rd </t>
  </si>
  <si>
    <t>Gladwyne</t>
  </si>
  <si>
    <t>Janine Budzius</t>
  </si>
  <si>
    <t>+ (610) 525-6000</t>
  </si>
  <si>
    <t>The Boca Raton</t>
  </si>
  <si>
    <t xml:space="preserve">501 East Camino Real </t>
  </si>
  <si>
    <t>Anthony Rico</t>
  </si>
  <si>
    <t>Daniel Hostettler</t>
  </si>
  <si>
    <t>+1 (561) 447-3000</t>
  </si>
  <si>
    <t>Fairfield Inn &amp; Suites New York Midtown Manhattan Penn Station</t>
  </si>
  <si>
    <t xml:space="preserve">325 West 33rd Street </t>
  </si>
  <si>
    <t>Joseph Keenan</t>
  </si>
  <si>
    <t>Daniel Arias</t>
  </si>
  <si>
    <t>+1 (212) 563-0900</t>
  </si>
  <si>
    <t>Le Meridien New Orleans</t>
  </si>
  <si>
    <t xml:space="preserve">333 Poydras Street </t>
  </si>
  <si>
    <t>Debra Desaulniers</t>
  </si>
  <si>
    <t>+1(504) 525-9444</t>
  </si>
  <si>
    <t>Oakhurst Inn</t>
  </si>
  <si>
    <t xml:space="preserve">122 Oakhurst Circle </t>
  </si>
  <si>
    <t>Allison Ramsey</t>
  </si>
  <si>
    <t>Will Foster</t>
  </si>
  <si>
    <t>+1 (434) 872-0100</t>
  </si>
  <si>
    <t>The Vine Condominiums</t>
  </si>
  <si>
    <t xml:space="preserve">2607 Western Avenue </t>
  </si>
  <si>
    <t>Michael Kosmin</t>
  </si>
  <si>
    <t>Sahara Woods</t>
  </si>
  <si>
    <t>+1 (206) 770-0552</t>
  </si>
  <si>
    <t>ARLINGTON RESIDENCE AND REHABILITATION CENTER</t>
  </si>
  <si>
    <t xml:space="preserve">405 DUNCAN PERRY ROAD </t>
  </si>
  <si>
    <t>817-649-3366</t>
  </si>
  <si>
    <t>Doubletree Austin NW Arboretum</t>
  </si>
  <si>
    <t xml:space="preserve">8901 Business Park Drive </t>
  </si>
  <si>
    <t>Jeff Nelson</t>
  </si>
  <si>
    <t>+1 (512) 343-0888</t>
  </si>
  <si>
    <t>Doubletree Hotel Austin University Area</t>
  </si>
  <si>
    <t xml:space="preserve">1617 IH-35 North </t>
  </si>
  <si>
    <t>Brittany Carey</t>
  </si>
  <si>
    <t>+1 (512) 479-4000</t>
  </si>
  <si>
    <t>Homewood Suites SFO Airport North</t>
  </si>
  <si>
    <t xml:space="preserve">2000 Shoreline Court </t>
  </si>
  <si>
    <t>Brisbane</t>
  </si>
  <si>
    <t>Rhodora Escobar</t>
  </si>
  <si>
    <t>+1 (650) 589-1600</t>
  </si>
  <si>
    <t>Courtyard by Marriott Denver Downtown</t>
  </si>
  <si>
    <t xml:space="preserve">934 16th Street </t>
  </si>
  <si>
    <t>David Brinkey</t>
  </si>
  <si>
    <t>Sue Jones</t>
  </si>
  <si>
    <t>+ (303) 571-1114</t>
  </si>
  <si>
    <t>The Lodge at Sonoma Resort Autograph Collection</t>
  </si>
  <si>
    <t xml:space="preserve">1325 Broadway at Leveroni &amp; Napa Roads </t>
  </si>
  <si>
    <t>Chris Wingerberg</t>
  </si>
  <si>
    <t>McClinton Heil</t>
  </si>
  <si>
    <t>(707) 935-6600</t>
  </si>
  <si>
    <t>Hyatt Place Florence Downtown</t>
  </si>
  <si>
    <t xml:space="preserve">100 East Evans Street </t>
  </si>
  <si>
    <t>LeShannon Cannon</t>
  </si>
  <si>
    <t>+1(843)519-9900</t>
  </si>
  <si>
    <t>Hyatt Place Mt. Pleasant Town Centre SC</t>
  </si>
  <si>
    <t xml:space="preserve">1600 Palmetto Grande Drive </t>
  </si>
  <si>
    <t>Graham Parrish</t>
  </si>
  <si>
    <t>Ehrich Clark</t>
  </si>
  <si>
    <t>+1(843)473-3105</t>
  </si>
  <si>
    <t>Courtyard Columbia Cayce</t>
  </si>
  <si>
    <t xml:space="preserve">1125 Fort Congaree Trail </t>
  </si>
  <si>
    <t>Cayce</t>
  </si>
  <si>
    <t>Angela Emerson</t>
  </si>
  <si>
    <t>+1(803)794-7033</t>
  </si>
  <si>
    <t>Fairfield Inn &amp; Suites Florence I-20</t>
  </si>
  <si>
    <t xml:space="preserve">501 Woody Jones Blvd </t>
  </si>
  <si>
    <t>Heather Harrelson</t>
  </si>
  <si>
    <t>+(843)665-4488</t>
  </si>
  <si>
    <t>SpringHill Suites Charleston Mount Pleasant</t>
  </si>
  <si>
    <t xml:space="preserve">245 Magarth Darby Boulevard </t>
  </si>
  <si>
    <t>Tommy Loeber</t>
  </si>
  <si>
    <t>Christopher Martin</t>
  </si>
  <si>
    <t>+1(843)284-5250</t>
  </si>
  <si>
    <t>Comfort Inn &amp; Suites - Florence</t>
  </si>
  <si>
    <t xml:space="preserve">527 Woody Jones Boulevard </t>
  </si>
  <si>
    <t>Sparkle Cotton</t>
  </si>
  <si>
    <t>Zac Cannon</t>
  </si>
  <si>
    <t>+1 (843) 702-3300</t>
  </si>
  <si>
    <t>Hotel Florence</t>
  </si>
  <si>
    <t xml:space="preserve">126 West Evans Street </t>
  </si>
  <si>
    <t>Dylan Purvis</t>
  </si>
  <si>
    <t>+1 (843) 629-0100</t>
  </si>
  <si>
    <t>Hampton Inn &amp; Suites Columbia Killian Road</t>
  </si>
  <si>
    <t xml:space="preserve">1310 Robert’s Branch Parkway </t>
  </si>
  <si>
    <t>Dwight Stenson</t>
  </si>
  <si>
    <t>+1 (803) 999-1800</t>
  </si>
  <si>
    <t>Cambria Hotel Summerville - Charleston</t>
  </si>
  <si>
    <t xml:space="preserve">405 Sigma Drive </t>
  </si>
  <si>
    <t>Ayanna Little</t>
  </si>
  <si>
    <t>+1 (854) 888-2800</t>
  </si>
  <si>
    <t>Cambria Hotel Greenville</t>
  </si>
  <si>
    <t xml:space="preserve">135 Carolina Point Parkway </t>
  </si>
  <si>
    <t>Sloan Mash</t>
  </si>
  <si>
    <t>+1 (864) 800-5900</t>
  </si>
  <si>
    <t>The Foundry Hotel Asheville Curio Collection by Hilton</t>
  </si>
  <si>
    <t xml:space="preserve">51 South Market </t>
  </si>
  <si>
    <t>Larry Crosby</t>
  </si>
  <si>
    <t>+1 (828) 552-8545</t>
  </si>
  <si>
    <t>Hyatt Place Augusta</t>
  </si>
  <si>
    <t xml:space="preserve">160 Mason McKnight Jr. Parkway </t>
  </si>
  <si>
    <t>Natasha Watson</t>
  </si>
  <si>
    <t>+1 (706) 396-4040</t>
  </si>
  <si>
    <t>TownePlace Suites Florence</t>
  </si>
  <si>
    <t xml:space="preserve">2650 Hospitality Boulevard </t>
  </si>
  <si>
    <t>Jenine Shaffer</t>
  </si>
  <si>
    <t>+1(843)407-9400</t>
  </si>
  <si>
    <t>Hampton Inn Watertown</t>
  </si>
  <si>
    <t xml:space="preserve">25 Bond Street </t>
  </si>
  <si>
    <t>Watertown</t>
  </si>
  <si>
    <t>Jonathan Shisler</t>
  </si>
  <si>
    <t>Alisha Diaz</t>
  </si>
  <si>
    <t>+1 (617) 926-0005</t>
  </si>
  <si>
    <t>Raymond Management Company</t>
  </si>
  <si>
    <t>Fairfield Inn &amp; Suites Overland Park</t>
  </si>
  <si>
    <t xml:space="preserve">12440 Blue Valley Parkway </t>
  </si>
  <si>
    <t>Rosa Perez</t>
  </si>
  <si>
    <t>+1 (913) 338-3600</t>
  </si>
  <si>
    <t>Global Management &amp; Investments</t>
  </si>
  <si>
    <t>SpringHill Suites Overland Park</t>
  </si>
  <si>
    <t xml:space="preserve">12000 Blue Valley Parkway </t>
  </si>
  <si>
    <t>Dawn Haskell</t>
  </si>
  <si>
    <t>+ (913) 491-0010</t>
  </si>
  <si>
    <t>Residence Inn Overland Park</t>
  </si>
  <si>
    <t xml:space="preserve">12010 Blue Valley Parkway </t>
  </si>
  <si>
    <t>Katlin Leonard</t>
  </si>
  <si>
    <t>Shawn Jackson</t>
  </si>
  <si>
    <t>+ (913) 491-4444</t>
  </si>
  <si>
    <t>Residence Inn Kansas City-Country Club Plaza</t>
  </si>
  <si>
    <t xml:space="preserve">4601 Broadway Boulevard </t>
  </si>
  <si>
    <t>Scott Vaughan</t>
  </si>
  <si>
    <t>Garee Houston</t>
  </si>
  <si>
    <t>+1 (816) 753-0033</t>
  </si>
  <si>
    <t>Holiday Inn Toronto Yorkdale</t>
  </si>
  <si>
    <t xml:space="preserve">3450 Dufferin St </t>
  </si>
  <si>
    <t>M6A 2V1</t>
  </si>
  <si>
    <t>Armand Abitbol</t>
  </si>
  <si>
    <t>+ (416) 789-5161</t>
  </si>
  <si>
    <t>Residence Inn Florence</t>
  </si>
  <si>
    <t xml:space="preserve">2660 Hospitality Boulevard </t>
  </si>
  <si>
    <t>Kelly Hicks</t>
  </si>
  <si>
    <t>Lisa Worthy</t>
  </si>
  <si>
    <t>+ () 1-843-468-2800</t>
  </si>
  <si>
    <t>SpringHill Suites Florence</t>
  </si>
  <si>
    <t xml:space="preserve">2670 Hospitality Blvd. </t>
  </si>
  <si>
    <t>Josiah Lovett</t>
  </si>
  <si>
    <t>+1 (843) 317-9050</t>
  </si>
  <si>
    <t xml:space="preserve">Courtyard Florence </t>
  </si>
  <si>
    <t xml:space="preserve">2680 Hospitality Boulevard </t>
  </si>
  <si>
    <t>+ (843) 662-7066</t>
  </si>
  <si>
    <t>Best Western Patriots Point</t>
  </si>
  <si>
    <t xml:space="preserve">259 McGrath Darby Boulevard </t>
  </si>
  <si>
    <t>Tiffany Bell</t>
  </si>
  <si>
    <t>+1 (843) 971-7070</t>
  </si>
  <si>
    <t>Sonesta ES Suites San Jose - Airport</t>
  </si>
  <si>
    <t xml:space="preserve">1602 Crane Court </t>
  </si>
  <si>
    <t>Sonesta ES Suites</t>
  </si>
  <si>
    <t>Alvin Magcale</t>
  </si>
  <si>
    <t>Korenna Brown</t>
  </si>
  <si>
    <t>+1 (408) 436-1600</t>
  </si>
  <si>
    <t>Sonesta ES Suites Torrance Redondo Beach</t>
  </si>
  <si>
    <t xml:space="preserve">19901 Prairie Avenue </t>
  </si>
  <si>
    <t>Douglas Wu</t>
  </si>
  <si>
    <t>Hugo Navarro</t>
  </si>
  <si>
    <t>+1 (310) 371-8525</t>
  </si>
  <si>
    <t>Sonesta ES Suites Anaheim</t>
  </si>
  <si>
    <t xml:space="preserve">1855 South Manchester Avenue </t>
  </si>
  <si>
    <t>Carolyn Stoops</t>
  </si>
  <si>
    <t>Chris Tedesco</t>
  </si>
  <si>
    <t>+1 (714) 748-7700</t>
  </si>
  <si>
    <t>Sonesta Simply Suites Arlington</t>
  </si>
  <si>
    <t xml:space="preserve">2221 Brookhollow Plaza Drive </t>
  </si>
  <si>
    <t>Sonesta Simply Suites</t>
  </si>
  <si>
    <t>Jolene Panigot</t>
  </si>
  <si>
    <t>Kevin McConnell</t>
  </si>
  <si>
    <t>+1 (817) 649-3336</t>
  </si>
  <si>
    <t>CIMINO SENIOR CARE MANAGEMENT</t>
  </si>
  <si>
    <t>GRAND RIVER VILLA SENIOR CARE</t>
  </si>
  <si>
    <t xml:space="preserve">509 MICHIGAN BLVD </t>
  </si>
  <si>
    <t>916-347-4991</t>
  </si>
  <si>
    <t>ORCHARD POINTE SURPRISE- MENU ONLY</t>
  </si>
  <si>
    <t xml:space="preserve">15048 W YOUNG STREET </t>
  </si>
  <si>
    <t>623-505-7800</t>
  </si>
  <si>
    <t>BRISTOL HOSPICE-SIMI VALLEY</t>
  </si>
  <si>
    <t xml:space="preserve">3605 ALAMO STREET STE 340 </t>
  </si>
  <si>
    <t>BRISTOL HOSPICE-ORANGE COUNTY</t>
  </si>
  <si>
    <t xml:space="preserve">3070 BRISTOL STREET STE 100 </t>
  </si>
  <si>
    <t>BRISTOL HOPSICE-TUSCON</t>
  </si>
  <si>
    <t xml:space="preserve">6375 E TANQUE VERDE ROAD STE 170 </t>
  </si>
  <si>
    <t>BRISTOL HOSPICE-NORTHERN LOS ANGELES</t>
  </si>
  <si>
    <t xml:space="preserve">700 N CENTRAL AVENUE STE 550 </t>
  </si>
  <si>
    <t>BRISTOL HOSPICE-GREATER LOS ANGELES</t>
  </si>
  <si>
    <t xml:space="preserve">4010 WATSON PLAZA DRIVE STE 140 </t>
  </si>
  <si>
    <t>BRISTOL HOSPICE-LAS VEGAS</t>
  </si>
  <si>
    <t xml:space="preserve">1820 E WARM SPRINGS ROAD STE 140 </t>
  </si>
  <si>
    <t>BRISTOL HOSPICE-POMONA VALLEY</t>
  </si>
  <si>
    <t xml:space="preserve">7365 CARNELIAN STREET STE 240 </t>
  </si>
  <si>
    <t>CHILDHOOD FOOD SOLUTIONS</t>
  </si>
  <si>
    <t xml:space="preserve">2573 SAINT LEO PLACE </t>
  </si>
  <si>
    <t>513-910-4162</t>
  </si>
  <si>
    <t>DAYCARES R US LLC</t>
  </si>
  <si>
    <t>EUCLID CHILD DEVELOPMENT CENTER</t>
  </si>
  <si>
    <t xml:space="preserve">26191 BRUSH AVENUE </t>
  </si>
  <si>
    <t>216-692-9902</t>
  </si>
  <si>
    <t>HOME REPAIR MINISTRIES</t>
  </si>
  <si>
    <t xml:space="preserve">5150 PEACHTREE IND BLVD STE 150 </t>
  </si>
  <si>
    <t>NORCROSS</t>
  </si>
  <si>
    <t>404-919-5871</t>
  </si>
  <si>
    <t>O DELLS MYSTERY MARKET</t>
  </si>
  <si>
    <t xml:space="preserve">12385 MIDLAND TRAIL WEST </t>
  </si>
  <si>
    <t>CRAWLEY</t>
  </si>
  <si>
    <t>304-667-2857</t>
  </si>
  <si>
    <t>Hotel Melby Downtown Melbourne Tapestry Collection</t>
  </si>
  <si>
    <t xml:space="preserve">801 Strawbridge Avenue </t>
  </si>
  <si>
    <t>Melbourne</t>
  </si>
  <si>
    <t>Carlos Cerda</t>
  </si>
  <si>
    <t>+1(321) 917-5198</t>
  </si>
  <si>
    <t>Staybridge Suites Temecula</t>
  </si>
  <si>
    <t xml:space="preserve">27500 Jefferson Avenue </t>
  </si>
  <si>
    <t>Edgar Rosas</t>
  </si>
  <si>
    <t>+1 (951) 587-4248</t>
  </si>
  <si>
    <t>RAM Hotel Management LLC</t>
  </si>
  <si>
    <t>AC Hotel Columbus Downtown (GA)</t>
  </si>
  <si>
    <t xml:space="preserve">1225 Broadway </t>
  </si>
  <si>
    <t>Kane Morris</t>
  </si>
  <si>
    <t>+1 (706) 780-3090</t>
  </si>
  <si>
    <t>TownePlace Suites Louisville Downtown</t>
  </si>
  <si>
    <t xml:space="preserve">801 West Jefferson Street </t>
  </si>
  <si>
    <t>Renaldo Vines</t>
  </si>
  <si>
    <t>+1 (502) 754-6100</t>
  </si>
  <si>
    <t>Hampton Inn &amp; Suites Sunnyvale</t>
  </si>
  <si>
    <t xml:space="preserve">861 East El Camino Real </t>
  </si>
  <si>
    <t>Derrick Marks</t>
  </si>
  <si>
    <t>+1 (408) 481-9411</t>
  </si>
  <si>
    <t>San Diego Shelter Housing</t>
  </si>
  <si>
    <t xml:space="preserve">1865 Hotel Circle South </t>
  </si>
  <si>
    <t>Hayden Schlosser</t>
  </si>
  <si>
    <t>+1 (619) 881-3600</t>
  </si>
  <si>
    <t>Sonesta Simply Suites Pittsburgh Airport</t>
  </si>
  <si>
    <t xml:space="preserve">100 Chauvet Drive </t>
  </si>
  <si>
    <t>Alex Stevens</t>
  </si>
  <si>
    <t>+ (412) 787-7770</t>
  </si>
  <si>
    <t>Sonesta ES Suites Sunnyvale</t>
  </si>
  <si>
    <t xml:space="preserve">900 Hamlin Court </t>
  </si>
  <si>
    <t>Mary Hood</t>
  </si>
  <si>
    <t>+ (408) 745-1515</t>
  </si>
  <si>
    <t>Extended Stay America - Chantilly - Dulles</t>
  </si>
  <si>
    <t xml:space="preserve">14036 Thunderbolt Place </t>
  </si>
  <si>
    <t>Harold Barfield</t>
  </si>
  <si>
    <t>Emily Munn</t>
  </si>
  <si>
    <t>+1(703)709-0453</t>
  </si>
  <si>
    <t>Homewood Suites by Hilton Virginia Beach - Norfolk Airport</t>
  </si>
  <si>
    <t xml:space="preserve">5757 Cleveland Street </t>
  </si>
  <si>
    <t>Elizabeth Ndungu</t>
  </si>
  <si>
    <t xml:space="preserve">Tracy Williams </t>
  </si>
  <si>
    <t>(757) 490-9367</t>
  </si>
  <si>
    <t>Renaissance Chicago North Shore Hotel</t>
  </si>
  <si>
    <t xml:space="preserve">933 Skokie Boulevard </t>
  </si>
  <si>
    <t>Mary Ellen Lovell</t>
  </si>
  <si>
    <t>Virgilio Bustamante</t>
  </si>
  <si>
    <t>+1 (847) 498-6500</t>
  </si>
  <si>
    <t>City of San Diego Housing</t>
  </si>
  <si>
    <t xml:space="preserve">5400 Kearny Mesa Road </t>
  </si>
  <si>
    <t>Jonathan Correll</t>
  </si>
  <si>
    <t>+ (858) 278-2100</t>
  </si>
  <si>
    <t>Quality Inn &amp; Suites Hammond</t>
  </si>
  <si>
    <t xml:space="preserve">3844 179th Street </t>
  </si>
  <si>
    <t>+(219) 937-7161</t>
  </si>
  <si>
    <t>SREE Hotels LLC</t>
  </si>
  <si>
    <t>Courtyard Cincinnati Downtown</t>
  </si>
  <si>
    <t xml:space="preserve">6 East 4th Street </t>
  </si>
  <si>
    <t>Rebecca Rector</t>
  </si>
  <si>
    <t>+(513) 230-4050</t>
  </si>
  <si>
    <t>HOS Management LLC</t>
  </si>
  <si>
    <t>Four Points Brunswick</t>
  </si>
  <si>
    <t xml:space="preserve">5308 New Jesup Highway </t>
  </si>
  <si>
    <t>Frank Gilford</t>
  </si>
  <si>
    <t>+(912)689-3003</t>
  </si>
  <si>
    <t>TownePlace Suites Leesburg</t>
  </si>
  <si>
    <t xml:space="preserve">238 Eagles Watch Street </t>
  </si>
  <si>
    <t>Leesburg</t>
  </si>
  <si>
    <t>+(352) 314-9700</t>
  </si>
  <si>
    <t>Sonesta Simply Suites Austin South</t>
  </si>
  <si>
    <t xml:space="preserve">4320 South IH 35 Frontage Road </t>
  </si>
  <si>
    <t>Clyde Wilder</t>
  </si>
  <si>
    <t>Lara DeGhelder</t>
  </si>
  <si>
    <t>+1 (512) 444-8882</t>
  </si>
  <si>
    <t>Sonesta ES Suites Vancouver - Portland West</t>
  </si>
  <si>
    <t xml:space="preserve">7301 Northeast 41st Street </t>
  </si>
  <si>
    <t>Ed Michinski</t>
  </si>
  <si>
    <t>Carla Rise</t>
  </si>
  <si>
    <t>+1 (360) 891-8282</t>
  </si>
  <si>
    <t>Sonesta ES Suites Dulles Airport</t>
  </si>
  <si>
    <t xml:space="preserve">13700 Coppermine Road </t>
  </si>
  <si>
    <t>Herndon</t>
  </si>
  <si>
    <t>Keane Bell</t>
  </si>
  <si>
    <t>Peter Hutchins</t>
  </si>
  <si>
    <t>+1 (703) 713-6800</t>
  </si>
  <si>
    <t>Sonesta Simply Suites Hampton</t>
  </si>
  <si>
    <t xml:space="preserve">401 Butler Farm Road </t>
  </si>
  <si>
    <t>Hampton</t>
  </si>
  <si>
    <t>Adrian Lewis</t>
  </si>
  <si>
    <t>Autumn Campbell</t>
  </si>
  <si>
    <t>+1 (757) 766-8976</t>
  </si>
  <si>
    <t>Sonesta Simply Suites Salt Lake City Airport</t>
  </si>
  <si>
    <t xml:space="preserve">2170 West North Temple </t>
  </si>
  <si>
    <t>Justin Hanshew</t>
  </si>
  <si>
    <t>Tracy Poleviyaoma</t>
  </si>
  <si>
    <t>+1 (801) 359-7500</t>
  </si>
  <si>
    <t>Sonesta ES Suites Austin Arboretum</t>
  </si>
  <si>
    <t xml:space="preserve">10201 Stonelake Boulevard </t>
  </si>
  <si>
    <t>Donna Thomas</t>
  </si>
  <si>
    <t>+1 (512) 349-0888</t>
  </si>
  <si>
    <t>Sonesta ES Suites Dallas - Las Colinas</t>
  </si>
  <si>
    <t xml:space="preserve">1201 Executive Circle </t>
  </si>
  <si>
    <t>Dondi Santoya-Shufeldt</t>
  </si>
  <si>
    <t>Jill Erikson</t>
  </si>
  <si>
    <t>+1 (972) 465-9400</t>
  </si>
  <si>
    <t>Sonesta ES Suites San Antonio Northwest</t>
  </si>
  <si>
    <t xml:space="preserve">4320 Spectrum One </t>
  </si>
  <si>
    <t>Hazel Herrera</t>
  </si>
  <si>
    <t>Teresa Colatarci</t>
  </si>
  <si>
    <t>+1 (210) 558-9009</t>
  </si>
  <si>
    <t>Sonesta Simply Suites Dallas Las Colinas</t>
  </si>
  <si>
    <t xml:space="preserve">5300 Green Park Drive </t>
  </si>
  <si>
    <t>Christie White</t>
  </si>
  <si>
    <t>Jeanna Loftus</t>
  </si>
  <si>
    <t>+1 (972) 714-9990</t>
  </si>
  <si>
    <t>Sonesta Simply Suites Houston Westchase</t>
  </si>
  <si>
    <t xml:space="preserve">4033 West Sam Houston Parkway S </t>
  </si>
  <si>
    <t>Abi Omiwade</t>
  </si>
  <si>
    <t>Blake Guillory</t>
  </si>
  <si>
    <t>+1 (713) 780-7881</t>
  </si>
  <si>
    <t>Sonesta Simply Suites Houston Clear Lake</t>
  </si>
  <si>
    <t xml:space="preserve">2737 Bay Area Boulevard </t>
  </si>
  <si>
    <t xml:space="preserve">Houston </t>
  </si>
  <si>
    <t>Antricia Washington</t>
  </si>
  <si>
    <t>Latonya Phillips</t>
  </si>
  <si>
    <t>+1 (281) 461-3060</t>
  </si>
  <si>
    <t>Sonesta Simply Suites Austin Arboretum</t>
  </si>
  <si>
    <t xml:space="preserve">9701 Stonelake Boulevard </t>
  </si>
  <si>
    <t>Jamie Flores</t>
  </si>
  <si>
    <t>Karla Mendez</t>
  </si>
  <si>
    <t>+1 (512) 338-1611</t>
  </si>
  <si>
    <t>Sonesta Simply Suites San Antonio Northwest</t>
  </si>
  <si>
    <t xml:space="preserve">9350 I-H 10 West </t>
  </si>
  <si>
    <t>Kathryn Dulle</t>
  </si>
  <si>
    <t>+1 (210) 615-0550</t>
  </si>
  <si>
    <t>Sonesta Simply Suites Plano</t>
  </si>
  <si>
    <t xml:space="preserve">4701 Legacy Drive </t>
  </si>
  <si>
    <t>Kaitlyn Parker</t>
  </si>
  <si>
    <t>Kori Nooner</t>
  </si>
  <si>
    <t>+1 (972) 618-5446</t>
  </si>
  <si>
    <t>Sonesta Simply Suites Fort Worth</t>
  </si>
  <si>
    <t xml:space="preserve">5201 Endicott Avenue </t>
  </si>
  <si>
    <t>Kristie Mitschke</t>
  </si>
  <si>
    <t>Martavus Robinson</t>
  </si>
  <si>
    <t>+1 (817) 838-8229</t>
  </si>
  <si>
    <t>Sonesta Simply Suites Dallas Richardson</t>
  </si>
  <si>
    <t xml:space="preserve">12525 Greenville Avenue </t>
  </si>
  <si>
    <t>Amanda Thomas</t>
  </si>
  <si>
    <t>+1 (972) 669-9606</t>
  </si>
  <si>
    <t>Sonesta Simply Suites Dallas Galleria</t>
  </si>
  <si>
    <t xml:space="preserve">13939 Noel Road </t>
  </si>
  <si>
    <t>Anabel Palomino</t>
  </si>
  <si>
    <t>Lavonya Swearengin</t>
  </si>
  <si>
    <t>+1 (972) 233-6888</t>
  </si>
  <si>
    <t>Sonesta Simply Suites Houston Galleria</t>
  </si>
  <si>
    <t xml:space="preserve">4900 Loop Central Drive </t>
  </si>
  <si>
    <t>Jose Maldonado</t>
  </si>
  <si>
    <t>Sharon Davis</t>
  </si>
  <si>
    <t>+1 (713) 839-9411</t>
  </si>
  <si>
    <t>Sonesta Simply Suites Nashville Brentwood</t>
  </si>
  <si>
    <t xml:space="preserve">5129 Virginia Way </t>
  </si>
  <si>
    <t>David Bixby</t>
  </si>
  <si>
    <t>+1 (615) 309-0600</t>
  </si>
  <si>
    <t>Sonesta Simply Suites Houston City Centre</t>
  </si>
  <si>
    <t xml:space="preserve">10503 Town &amp; Country Way </t>
  </si>
  <si>
    <t>Tanja Evans</t>
  </si>
  <si>
    <t>+1 (713) 464-2677</t>
  </si>
  <si>
    <t>Sonesta Simply Suites Knoxville</t>
  </si>
  <si>
    <t xml:space="preserve">10206 Parkside Drive </t>
  </si>
  <si>
    <t>Bart Pemberton</t>
  </si>
  <si>
    <t>Patricia Sherrod</t>
  </si>
  <si>
    <t>+1 (865) 777-0400</t>
  </si>
  <si>
    <t>Sonesta Simply Suites Philadelphia Willow Grove</t>
  </si>
  <si>
    <t xml:space="preserve">250 Business Center Drive </t>
  </si>
  <si>
    <t>Brian Walker</t>
  </si>
  <si>
    <t>Matthew Blank</t>
  </si>
  <si>
    <t>+1 (215) 328-9119</t>
  </si>
  <si>
    <t>Sonesta Simply Suites Birmingham</t>
  </si>
  <si>
    <t xml:space="preserve">600 Corporate Ridge Drive </t>
  </si>
  <si>
    <t>Nancy Thomas</t>
  </si>
  <si>
    <t>Sara1 Marquart1</t>
  </si>
  <si>
    <t>+1 (205) 991-0272</t>
  </si>
  <si>
    <t>Sonesta Simply Suites Oklahoma City Airport</t>
  </si>
  <si>
    <t xml:space="preserve">4400 River Park Drive </t>
  </si>
  <si>
    <t>Biju Andrews</t>
  </si>
  <si>
    <t>Janet Wiles</t>
  </si>
  <si>
    <t>+1 (405) 680-8770</t>
  </si>
  <si>
    <t>Sonesta ES Suites Toronto</t>
  </si>
  <si>
    <t xml:space="preserve">355 South Park Road </t>
  </si>
  <si>
    <t>Thornhill</t>
  </si>
  <si>
    <t>L3T 7W2</t>
  </si>
  <si>
    <t>Marlin Mijaljevic</t>
  </si>
  <si>
    <t>+ (905) 771-9333</t>
  </si>
  <si>
    <t>Sonesta Simply Suites Cleveland North Olmstead</t>
  </si>
  <si>
    <t xml:space="preserve">24741 Country Club Boulevard </t>
  </si>
  <si>
    <t>North Olmstead</t>
  </si>
  <si>
    <t>David Mamer</t>
  </si>
  <si>
    <t>Katie Grenig</t>
  </si>
  <si>
    <t>+1 (440) 716-0584</t>
  </si>
  <si>
    <t>Sonesta Simply Suites Columbus Airport</t>
  </si>
  <si>
    <t xml:space="preserve">590 Taylor Road </t>
  </si>
  <si>
    <t>Glinda Forrell</t>
  </si>
  <si>
    <t>Michele Chapman</t>
  </si>
  <si>
    <t>+1 (614) 863-4033</t>
  </si>
  <si>
    <t>Sonesta Simply Suites Las Vegas</t>
  </si>
  <si>
    <t xml:space="preserve">4034 Paradise Road </t>
  </si>
  <si>
    <t>Garry Dickover</t>
  </si>
  <si>
    <t>Ryan Davis</t>
  </si>
  <si>
    <t>+1 (702) 836-3660</t>
  </si>
  <si>
    <t>Sonesta Simply Suites Nanuet</t>
  </si>
  <si>
    <t xml:space="preserve">20 Overlook Boulevard </t>
  </si>
  <si>
    <t>Nanuet</t>
  </si>
  <si>
    <t>Mary Garcia</t>
  </si>
  <si>
    <t>Ricky Malivert</t>
  </si>
  <si>
    <t>+1 (845) 371-4445</t>
  </si>
  <si>
    <t>Sonesta Simply Suites Albuquerque</t>
  </si>
  <si>
    <t xml:space="preserve">3025 Menaul Boulevard Northeast </t>
  </si>
  <si>
    <t>Albuquerque</t>
  </si>
  <si>
    <t>Jacqueline Chavez</t>
  </si>
  <si>
    <t>Justin Coffman</t>
  </si>
  <si>
    <t>+1 (505) 888-3424</t>
  </si>
  <si>
    <t>Sonesta Simply Suites Somerset</t>
  </si>
  <si>
    <t xml:space="preserve">41 Worlds Fair Drive </t>
  </si>
  <si>
    <t>Guy Jean Pierre</t>
  </si>
  <si>
    <t>Kirsten Harodetsky</t>
  </si>
  <si>
    <t>+1 (732) 748-1400</t>
  </si>
  <si>
    <t>Sonesta Simply Suites Philadelphia Mount Laurel</t>
  </si>
  <si>
    <t xml:space="preserve">4000 Crawford Place </t>
  </si>
  <si>
    <t>Aisha Walker</t>
  </si>
  <si>
    <t>+1 (856) 642-7567</t>
  </si>
  <si>
    <t>Sonesta Simply Suites Parsippany Morris Plains</t>
  </si>
  <si>
    <t xml:space="preserve">100 Candlewood Drive </t>
  </si>
  <si>
    <t>Morris Plains</t>
  </si>
  <si>
    <t>Chris Perren</t>
  </si>
  <si>
    <t>Kathy Hiltert</t>
  </si>
  <si>
    <t>+1 (973) 984-9960</t>
  </si>
  <si>
    <t>Sonesta Simply Suites Jersey City</t>
  </si>
  <si>
    <t xml:space="preserve">21 Second Street </t>
  </si>
  <si>
    <t>Clair Brevard</t>
  </si>
  <si>
    <t>Dannielle Ewart</t>
  </si>
  <si>
    <t>+1 (201) 659-2500</t>
  </si>
  <si>
    <t>Sonesta Simply Suites Charlotte University</t>
  </si>
  <si>
    <t xml:space="preserve">8812 University East Drive </t>
  </si>
  <si>
    <t>Ben Cummins</t>
  </si>
  <si>
    <t>Gale Begalla</t>
  </si>
  <si>
    <t>+1 (704) 598-9863</t>
  </si>
  <si>
    <t>Sonesta Simply Suites St. Louis Earth City</t>
  </si>
  <si>
    <t xml:space="preserve">3250 Rider Trail South </t>
  </si>
  <si>
    <t>Earth City</t>
  </si>
  <si>
    <t>Danielle Harlan</t>
  </si>
  <si>
    <t>Frank Cronin</t>
  </si>
  <si>
    <t>+1 (314) 770-2744</t>
  </si>
  <si>
    <t>Sonesta Simply Suites Minneapolis Richfield</t>
  </si>
  <si>
    <t xml:space="preserve">351 West 77th Street </t>
  </si>
  <si>
    <t>Darla Russell</t>
  </si>
  <si>
    <t>+1 (612) 869-7704</t>
  </si>
  <si>
    <t>Sonesta Simply Suites Detroit Troy</t>
  </si>
  <si>
    <t xml:space="preserve">2550 Troy Center Drive </t>
  </si>
  <si>
    <t>Gary Misczak</t>
  </si>
  <si>
    <t>Ryan Morgan</t>
  </si>
  <si>
    <t>+1 (248) 269-6600</t>
  </si>
  <si>
    <t>Sonesta Simply Suites Detroit Warren</t>
  </si>
  <si>
    <t xml:space="preserve">7010 Convention Boulevard </t>
  </si>
  <si>
    <t>Warren</t>
  </si>
  <si>
    <t>Aneisa Farrell</t>
  </si>
  <si>
    <t>Robin Stenson</t>
  </si>
  <si>
    <t>+1 (586) 978-1261</t>
  </si>
  <si>
    <t>Hyatt Place Washington DC National Mall</t>
  </si>
  <si>
    <t xml:space="preserve">400 E Street SW </t>
  </si>
  <si>
    <t>Rustin Moore</t>
  </si>
  <si>
    <t>Cristian Fuentes</t>
  </si>
  <si>
    <t>+(202) 803-6110</t>
  </si>
  <si>
    <t>Sonesta Simply Suites Detroit Southfield</t>
  </si>
  <si>
    <t xml:space="preserve">1 Corporate Drive </t>
  </si>
  <si>
    <t>Southfield</t>
  </si>
  <si>
    <t>Cameron Clegg</t>
  </si>
  <si>
    <t>Tiffany Munson</t>
  </si>
  <si>
    <t>+1 (248) 945-0010</t>
  </si>
  <si>
    <t>Sonesta Simply Suites Detroit Ann Arbor</t>
  </si>
  <si>
    <t xml:space="preserve">701 Waymarket Way </t>
  </si>
  <si>
    <t>Brittany Mceachern</t>
  </si>
  <si>
    <t>Robyn Paris</t>
  </si>
  <si>
    <t>+1 (734) 663-2818</t>
  </si>
  <si>
    <t>Sonesta Simply Suites Boston Braintree</t>
  </si>
  <si>
    <t xml:space="preserve">235 Wood Road </t>
  </si>
  <si>
    <t>Braintree</t>
  </si>
  <si>
    <t>Doug Soule</t>
  </si>
  <si>
    <t>MaKayla Woods</t>
  </si>
  <si>
    <t>+1 (781) 849-7450</t>
  </si>
  <si>
    <t>Sonesta Simply Suites Baltimore BWI Airport</t>
  </si>
  <si>
    <t xml:space="preserve">1247 Winterson Road </t>
  </si>
  <si>
    <t>Kris Griffiths</t>
  </si>
  <si>
    <t>Shirley Doud</t>
  </si>
  <si>
    <t>+1 (410) 850-9214</t>
  </si>
  <si>
    <t>Sonesta ES Suites Baton Rouge</t>
  </si>
  <si>
    <t xml:space="preserve">4001 Nicholson Drive </t>
  </si>
  <si>
    <t>Baton Rouge</t>
  </si>
  <si>
    <t>Bill Puglise</t>
  </si>
  <si>
    <t>Deborah Sanders</t>
  </si>
  <si>
    <t>+1 (225) 456-5430</t>
  </si>
  <si>
    <t>Sonesta Simply Suites Boston Burlington</t>
  </si>
  <si>
    <t xml:space="preserve">130 Middlesex Turnpike </t>
  </si>
  <si>
    <t>Alexandra Sekulic</t>
  </si>
  <si>
    <t>Charlotte Kennedy</t>
  </si>
  <si>
    <t>+1 (781) 229-4300</t>
  </si>
  <si>
    <t>Sonesta Simply Suites Wichita Airport</t>
  </si>
  <si>
    <t xml:space="preserve">570 South Julia </t>
  </si>
  <si>
    <t>Joe Frawley</t>
  </si>
  <si>
    <t>Leigh Dull</t>
  </si>
  <si>
    <t>+1 (316) 942-0400</t>
  </si>
  <si>
    <t>Sonesta Simply Suites Kansas City Overland Park</t>
  </si>
  <si>
    <t xml:space="preserve">11001 Oakmont </t>
  </si>
  <si>
    <t>Cara Galey</t>
  </si>
  <si>
    <t>Ross Lamoureaux</t>
  </si>
  <si>
    <t>+1 (913) 469-5557</t>
  </si>
  <si>
    <t>Sonesta Simply Suites Chicago O'Hare</t>
  </si>
  <si>
    <t xml:space="preserve">4021 North Mannheim Road </t>
  </si>
  <si>
    <t>Schiller Park</t>
  </si>
  <si>
    <t>Dia Vanadia</t>
  </si>
  <si>
    <t>Donna Garrett</t>
  </si>
  <si>
    <t>+1 (847) 671-4663</t>
  </si>
  <si>
    <t>Sonesta Simply Suites Wichita Northeast</t>
  </si>
  <si>
    <t xml:space="preserve">3141 North Webb Road </t>
  </si>
  <si>
    <t>Kori Welsh</t>
  </si>
  <si>
    <t>+1 (316) 634-6070</t>
  </si>
  <si>
    <t>Sonesta Simply Suites Chicago Waukegan</t>
  </si>
  <si>
    <t xml:space="preserve">1151 South Waukegan Road </t>
  </si>
  <si>
    <t>Waukegan</t>
  </si>
  <si>
    <t>Haley Hansen</t>
  </si>
  <si>
    <t>Phillip Hardy</t>
  </si>
  <si>
    <t>+1 (847) 578-5250</t>
  </si>
  <si>
    <t>Sonesta Simply Suites Chicago Naperville</t>
  </si>
  <si>
    <t xml:space="preserve">27 West 300 Warrenville Road </t>
  </si>
  <si>
    <t>Anthony Ahanotu</t>
  </si>
  <si>
    <t>Chris Mowry</t>
  </si>
  <si>
    <t>+1 (630) 836-1650</t>
  </si>
  <si>
    <t>Sonesta Simply Suites Chicago Libertyville</t>
  </si>
  <si>
    <t xml:space="preserve">1100 North US Route 45 </t>
  </si>
  <si>
    <t>Libertyville</t>
  </si>
  <si>
    <t>Alex May</t>
  </si>
  <si>
    <t>Amanda Davis</t>
  </si>
  <si>
    <t>+1 (847) 247-9900</t>
  </si>
  <si>
    <t>Sonesta Simply Suites Des Moines</t>
  </si>
  <si>
    <t xml:space="preserve">7625 Office Plaza Drive North </t>
  </si>
  <si>
    <t>Hannah Speight</t>
  </si>
  <si>
    <t>Matt Stilwell</t>
  </si>
  <si>
    <t>+1 (515) 221-0001</t>
  </si>
  <si>
    <t>Sonesta ES Suites Alpharetta North Point</t>
  </si>
  <si>
    <t xml:space="preserve">3980 North Point Parkway </t>
  </si>
  <si>
    <t>Gwen Upshaw</t>
  </si>
  <si>
    <t>Shayna Robinson</t>
  </si>
  <si>
    <t>+1 (770) 569-7200</t>
  </si>
  <si>
    <t>Sonesta Simply Suites Atlanta</t>
  </si>
  <si>
    <t xml:space="preserve">3665 Shackleford Road </t>
  </si>
  <si>
    <t>Betzaida Cardona</t>
  </si>
  <si>
    <t>Chris Indovina</t>
  </si>
  <si>
    <t>+1 (678) 380-0414</t>
  </si>
  <si>
    <t>Sonesta ES Suites Lake Buena Vista</t>
  </si>
  <si>
    <t xml:space="preserve">8751 Suiteside Drive </t>
  </si>
  <si>
    <t>Diana Choy</t>
  </si>
  <si>
    <t>Julie Gruenthal</t>
  </si>
  <si>
    <t>+ (407) 238-0777</t>
  </si>
  <si>
    <t>Sonesta ES Suites Atlanta - Perimeter Center</t>
  </si>
  <si>
    <t xml:space="preserve">4601 Ridgeview Road </t>
  </si>
  <si>
    <t>Reza Bahri</t>
  </si>
  <si>
    <t>Barbara Clark</t>
  </si>
  <si>
    <t>+1 (678) 320-0111</t>
  </si>
  <si>
    <t>Sonesta Simply Suites Jacksonville</t>
  </si>
  <si>
    <t xml:space="preserve">4990 Belfort Road </t>
  </si>
  <si>
    <t>David Engler</t>
  </si>
  <si>
    <t>Georgia Martin</t>
  </si>
  <si>
    <t>+1 (904) 296-7785</t>
  </si>
  <si>
    <t>Sonesta ES Suites Fort Lauderdale Plantation</t>
  </si>
  <si>
    <t xml:space="preserve">410 North Pine Island Road </t>
  </si>
  <si>
    <t>Blake Petrie</t>
  </si>
  <si>
    <t>Robert Sustayta</t>
  </si>
  <si>
    <t>+1 (954) 577-9696</t>
  </si>
  <si>
    <t>Sonesta Simply Suites Miami Airport</t>
  </si>
  <si>
    <t xml:space="preserve">8855 Northwest 27th Street </t>
  </si>
  <si>
    <t>Joyce Cruceta</t>
  </si>
  <si>
    <t>+1 (305) 591-9099</t>
  </si>
  <si>
    <t>Sonesta Simply Suites Clearwater</t>
  </si>
  <si>
    <t xml:space="preserve">13231 49th Street North </t>
  </si>
  <si>
    <t>Eduardo Dimas</t>
  </si>
  <si>
    <t>+1 (727) 573-3344</t>
  </si>
  <si>
    <t>Sonesta Simply Suites Denver Federal Center</t>
  </si>
  <si>
    <t xml:space="preserve">895 Tabor Street </t>
  </si>
  <si>
    <t>Jose Villa</t>
  </si>
  <si>
    <t>Nikki Carraher</t>
  </si>
  <si>
    <t>+1 (303) 232-7171</t>
  </si>
  <si>
    <t>Sonesta ES Suites Denver - South</t>
  </si>
  <si>
    <t xml:space="preserve">7820 Park Meadows Drive </t>
  </si>
  <si>
    <t>Lone Tree</t>
  </si>
  <si>
    <t>Angela Yeager</t>
  </si>
  <si>
    <t>DeLana Davenport</t>
  </si>
  <si>
    <t>+ (303) 649-1010</t>
  </si>
  <si>
    <t xml:space="preserve">Sonesta Simply Suites Silicon Valley Santa Clara </t>
  </si>
  <si>
    <t xml:space="preserve">481 El Camino Real </t>
  </si>
  <si>
    <t>Carlos Donald</t>
  </si>
  <si>
    <t>Frank Taheri</t>
  </si>
  <si>
    <t>+1 (408) 241-9305</t>
  </si>
  <si>
    <t>Sonesta Simply Suites Orange County Airport</t>
  </si>
  <si>
    <t xml:space="preserve">2600 Red Hill Avenue </t>
  </si>
  <si>
    <t>Santa Ana</t>
  </si>
  <si>
    <t>Armin Betz</t>
  </si>
  <si>
    <t>+1 (949) 250-0404</t>
  </si>
  <si>
    <t>Sonesta Simply Suites Orange County Spectrum Center</t>
  </si>
  <si>
    <t xml:space="preserve">16150 Sand Canyon Avenue </t>
  </si>
  <si>
    <t>Brenda Lopez</t>
  </si>
  <si>
    <t>Charles Julien</t>
  </si>
  <si>
    <t>+1 (949) 788-0500</t>
  </si>
  <si>
    <t>Sonesta Simply Suites Anaheim</t>
  </si>
  <si>
    <t xml:space="preserve">12901 Garden Grove Boulevard </t>
  </si>
  <si>
    <t>Bridgett Watkins</t>
  </si>
  <si>
    <t>Kym Bixler</t>
  </si>
  <si>
    <t>+1 (714) 539-4200</t>
  </si>
  <si>
    <t>Sonesta ES Suites San Francisco - Airport</t>
  </si>
  <si>
    <t xml:space="preserve">1350 Huntington Avenue </t>
  </si>
  <si>
    <t>San Bruno</t>
  </si>
  <si>
    <t>Lisa DeLorean</t>
  </si>
  <si>
    <t>+1 (650) 588-0770</t>
  </si>
  <si>
    <t>Sonesta ES Suites Chatsworth</t>
  </si>
  <si>
    <t xml:space="preserve">21902 Lassen Street </t>
  </si>
  <si>
    <t>Chatsworth</t>
  </si>
  <si>
    <t>Denise Detrano</t>
  </si>
  <si>
    <t>Ria Guiao Montinola</t>
  </si>
  <si>
    <t>+1 (818) 773-0707</t>
  </si>
  <si>
    <t>Sonesta ES Suites San Diego - Sorrento Mesa</t>
  </si>
  <si>
    <t xml:space="preserve">6639 Mira Mesa Boulevard </t>
  </si>
  <si>
    <t>Wes Lavender</t>
  </si>
  <si>
    <t>Donald Osborne</t>
  </si>
  <si>
    <t>+1 (858) 453-5343</t>
  </si>
  <si>
    <t>Sonesta ES Suites San Diego - Rancho Bernardo</t>
  </si>
  <si>
    <t xml:space="preserve">11855 Avenue of Industry </t>
  </si>
  <si>
    <t>Marclyn Ramirez</t>
  </si>
  <si>
    <t>Hazel Guison</t>
  </si>
  <si>
    <t>+1 (858) 487-0900</t>
  </si>
  <si>
    <t>Sonesta Simply Suites Orange County Irvine</t>
  </si>
  <si>
    <t xml:space="preserve">3 South Pointe Drive </t>
  </si>
  <si>
    <t>Alex Garcia</t>
  </si>
  <si>
    <t>Alrich Jareno</t>
  </si>
  <si>
    <t>+1 (949) 598-9105</t>
  </si>
  <si>
    <t>Sonesta Simply Suites Phoenix Tempe</t>
  </si>
  <si>
    <t xml:space="preserve">1335 West Baseline Road </t>
  </si>
  <si>
    <t>Glycel Ann King</t>
  </si>
  <si>
    <t>Nina Duke</t>
  </si>
  <si>
    <t>+1 (480) 777-0440</t>
  </si>
  <si>
    <t>Sonesta Simply Suites Phoenix</t>
  </si>
  <si>
    <t xml:space="preserve">11411 North Black Canyon Hwy </t>
  </si>
  <si>
    <t>Gary Anderson</t>
  </si>
  <si>
    <t>Laurie Chenoweth</t>
  </si>
  <si>
    <t>+1 (602) 861-4900</t>
  </si>
  <si>
    <t>Sonesta Simply Suites Huntsville</t>
  </si>
  <si>
    <t xml:space="preserve">201 Exchange Place </t>
  </si>
  <si>
    <t>Briner Jeff</t>
  </si>
  <si>
    <t>Eric Nixon</t>
  </si>
  <si>
    <t>+1 (256) 830-8222</t>
  </si>
  <si>
    <t>Sonesta Milwaukee West</t>
  </si>
  <si>
    <t xml:space="preserve">10499 Innovation Drive </t>
  </si>
  <si>
    <t>Lisa Ares</t>
  </si>
  <si>
    <t>+ 1 (414) 475-9500</t>
  </si>
  <si>
    <t>The Alexis Royal Sonesta Hotel</t>
  </si>
  <si>
    <t xml:space="preserve">1007 First Avenue </t>
  </si>
  <si>
    <t>Tom Waithe</t>
  </si>
  <si>
    <t>+1 (206) 624-4844</t>
  </si>
  <si>
    <t>The Stephen F Austin Royal Sonesta Hotel</t>
  </si>
  <si>
    <t xml:space="preserve">701 Congress Avenue </t>
  </si>
  <si>
    <t>Mark Ernst</t>
  </si>
  <si>
    <t>+1 (512) 457-8800</t>
  </si>
  <si>
    <t>Royal Sonesta San Juan</t>
  </si>
  <si>
    <t xml:space="preserve">5961 Isla Verde Avenue </t>
  </si>
  <si>
    <t>Carlos Garcia</t>
  </si>
  <si>
    <t>Michael Herrmann</t>
  </si>
  <si>
    <t>+1 (787) 791-6100</t>
  </si>
  <si>
    <t>Royal Sonesta Portland</t>
  </si>
  <si>
    <t xml:space="preserve">506 Southwest Washington Street </t>
  </si>
  <si>
    <t>Matthew White</t>
  </si>
  <si>
    <t>Travis Williams</t>
  </si>
  <si>
    <t>+1 (503) 222-0001</t>
  </si>
  <si>
    <t>Sonesta Charlotte</t>
  </si>
  <si>
    <t xml:space="preserve">5700 Westpark Drive </t>
  </si>
  <si>
    <t>Nick Fischioni</t>
  </si>
  <si>
    <t>Angela Melvin</t>
  </si>
  <si>
    <t>+1 (704) 527-9650</t>
  </si>
  <si>
    <t>The Yorkville Royal Sonesta Hotel</t>
  </si>
  <si>
    <t xml:space="preserve">220 Bloor Street West </t>
  </si>
  <si>
    <t>M5S 1T8</t>
  </si>
  <si>
    <t>Simon Chapman</t>
  </si>
  <si>
    <t>Christopher Perera</t>
  </si>
  <si>
    <t>+ (416) 960-5200</t>
  </si>
  <si>
    <t>Sonesta White Plains</t>
  </si>
  <si>
    <t xml:space="preserve">66 Hale Avenue </t>
  </si>
  <si>
    <t>White Plains</t>
  </si>
  <si>
    <t>Brett Bukofser</t>
  </si>
  <si>
    <t>Monika Henry</t>
  </si>
  <si>
    <t>+1 (914) 682-0050</t>
  </si>
  <si>
    <t>Sonesta Columbus</t>
  </si>
  <si>
    <t xml:space="preserve">33 Nationwide Boulevard </t>
  </si>
  <si>
    <t>Juan Laginia</t>
  </si>
  <si>
    <t>+1 (614) 461-4100</t>
  </si>
  <si>
    <t>Royal Sonesta Chicago River North</t>
  </si>
  <si>
    <t xml:space="preserve">505 North State Street </t>
  </si>
  <si>
    <t>Iris Junge</t>
  </si>
  <si>
    <t>+()312-755-9703</t>
  </si>
  <si>
    <t>The Allegro Royal Sonesta Hotel</t>
  </si>
  <si>
    <t xml:space="preserve">171 West Randolph Street </t>
  </si>
  <si>
    <t>Ben Hou</t>
  </si>
  <si>
    <t>+1 (312) 236-0123</t>
  </si>
  <si>
    <t>Sonesta Chicago O'Hare Airport</t>
  </si>
  <si>
    <t xml:space="preserve">10233 West Higgins Road </t>
  </si>
  <si>
    <t>Paul Cardona</t>
  </si>
  <si>
    <t>Sandra Wolf</t>
  </si>
  <si>
    <t>+1 (847) 954-8600</t>
  </si>
  <si>
    <t>Sonesta Atlanta Airport North</t>
  </si>
  <si>
    <t xml:space="preserve">1325 Virginia Avenue </t>
  </si>
  <si>
    <t>Cindy Smith</t>
  </si>
  <si>
    <t>Rick Berendsen</t>
  </si>
  <si>
    <t>+1 (404) 768-6660</t>
  </si>
  <si>
    <t>Sonesta Atlanta Airport South</t>
  </si>
  <si>
    <t xml:space="preserve">4669 Airport Boulevard </t>
  </si>
  <si>
    <t>Daniel Meys</t>
  </si>
  <si>
    <t>+1 (404) 487-5000</t>
  </si>
  <si>
    <t>Royal Sonesta Washington DC</t>
  </si>
  <si>
    <t xml:space="preserve">2121 P Street Northwest </t>
  </si>
  <si>
    <t>Stephane Vogel</t>
  </si>
  <si>
    <t>+1 (202) 448-1800</t>
  </si>
  <si>
    <t>Sonesta San Jose</t>
  </si>
  <si>
    <t xml:space="preserve">777 Bellew Drive </t>
  </si>
  <si>
    <t>Milpitas</t>
  </si>
  <si>
    <t>Dene Nui</t>
  </si>
  <si>
    <t>+1 (408) 321-9500</t>
  </si>
  <si>
    <t>Sonesta Miami Airport</t>
  </si>
  <si>
    <t xml:space="preserve">950 Northwest 42nd Avenue </t>
  </si>
  <si>
    <t>+1 (305) 446-9000</t>
  </si>
  <si>
    <t>Sonesta Denver</t>
  </si>
  <si>
    <t xml:space="preserve">1450 Glenarm Place </t>
  </si>
  <si>
    <t>Peter Walterspiel</t>
  </si>
  <si>
    <t>Christopher Roberts</t>
  </si>
  <si>
    <t>+1 (303) 573-1450</t>
  </si>
  <si>
    <t>Sonesta Anaheim</t>
  </si>
  <si>
    <t xml:space="preserve">1915 South Manchester Avenue </t>
  </si>
  <si>
    <t>Karen Mahoney</t>
  </si>
  <si>
    <t>+1 (714) 748-7777</t>
  </si>
  <si>
    <t>Sonesta Los Angeles Airport</t>
  </si>
  <si>
    <t xml:space="preserve">5985 West Century Boulevard </t>
  </si>
  <si>
    <t>Paul Gibbs</t>
  </si>
  <si>
    <t>Robert Routh</t>
  </si>
  <si>
    <t>+1 (310) 642-7500</t>
  </si>
  <si>
    <t>Sonesta Redondo Beach &amp; Marina</t>
  </si>
  <si>
    <t xml:space="preserve">300 North Harbor Drive </t>
  </si>
  <si>
    <t>Winnie Kwok</t>
  </si>
  <si>
    <t>+1 (310) 318-8888</t>
  </si>
  <si>
    <t>ROCK POINT NURSING CENTER</t>
  </si>
  <si>
    <t xml:space="preserve">8477 NORTH STREET </t>
  </si>
  <si>
    <t>573-260-4139</t>
  </si>
  <si>
    <t>METHODIST ELDER CARE SERVICES</t>
  </si>
  <si>
    <t>WESLEY RIDGE ROBERT A BARNES CENTER</t>
  </si>
  <si>
    <t xml:space="preserve">2229 TAYLOR PARK DRIVE </t>
  </si>
  <si>
    <t>614-501-1300</t>
  </si>
  <si>
    <t>LORAIN COUNTY COMMUNITY COLLEGE</t>
  </si>
  <si>
    <t xml:space="preserve">1005 N ABBE ROAD </t>
  </si>
  <si>
    <t>440-365-5222</t>
  </si>
  <si>
    <t>MASTERCARE INC</t>
  </si>
  <si>
    <t xml:space="preserve">1817 CRANE RIDGE DRIVE STE B </t>
  </si>
  <si>
    <t>601-981-3200</t>
  </si>
  <si>
    <t>AGASSIZ VILLAGE</t>
  </si>
  <si>
    <t xml:space="preserve">71 AGASSIZ VILLAGE LANE </t>
  </si>
  <si>
    <t>781-860-0200</t>
  </si>
  <si>
    <t>DIVINE CONSIGN</t>
  </si>
  <si>
    <t xml:space="preserve">3300 DEVONSHIRE COURT </t>
  </si>
  <si>
    <t>FLOWERMOUND</t>
  </si>
  <si>
    <t>214-384-2716</t>
  </si>
  <si>
    <t>WILDWOOD HILLS RANCH</t>
  </si>
  <si>
    <t xml:space="preserve">2552 UNION LANE </t>
  </si>
  <si>
    <t>641-396-2414</t>
  </si>
  <si>
    <t>LAKE BENSON CHRISTIAN CAMP</t>
  </si>
  <si>
    <t xml:space="preserve">6184 HIGHWAY 100 </t>
  </si>
  <si>
    <t>BON AQUA</t>
  </si>
  <si>
    <t>931-548-1002</t>
  </si>
  <si>
    <t>Tulsa Club Curio Collection by Hilton</t>
  </si>
  <si>
    <t xml:space="preserve">115 East 5th Street </t>
  </si>
  <si>
    <t>Paul VanRaamsdonk</t>
  </si>
  <si>
    <t>+1 (918) 582-5722</t>
  </si>
  <si>
    <t>AC Hotel Maui Wailea</t>
  </si>
  <si>
    <t xml:space="preserve">88 Wailea Ike Place </t>
  </si>
  <si>
    <t>Wailea</t>
  </si>
  <si>
    <t>Kaleo Kenui</t>
  </si>
  <si>
    <t>+(808) 856-0341</t>
  </si>
  <si>
    <t>The Sinclair Autograph Collection</t>
  </si>
  <si>
    <t xml:space="preserve">512 Main Street </t>
  </si>
  <si>
    <t>Tammy Vallejos</t>
  </si>
  <si>
    <t>+1 (682) 231-8214</t>
  </si>
  <si>
    <t>W Residences New York - Downtown</t>
  </si>
  <si>
    <t xml:space="preserve">123 Washington Street </t>
  </si>
  <si>
    <t>Scott Selby</t>
  </si>
  <si>
    <t>+1 (518) 672-3495</t>
  </si>
  <si>
    <t>Hyatt Centric Memphis</t>
  </si>
  <si>
    <t xml:space="preserve">33 Beale Street </t>
  </si>
  <si>
    <t>Sarah Titus</t>
  </si>
  <si>
    <t>+()901-444-3232</t>
  </si>
  <si>
    <t>Country Inn &amp; Suites Newnan</t>
  </si>
  <si>
    <t xml:space="preserve">1125 Newnan Crossing Boulevard East </t>
  </si>
  <si>
    <t>+1 (770) 304-8500</t>
  </si>
  <si>
    <t>Best Western Pepper Tree Inn</t>
  </si>
  <si>
    <t xml:space="preserve">3850 State Street </t>
  </si>
  <si>
    <t>Oscar Mejia</t>
  </si>
  <si>
    <t>+1 (805) 687-5511</t>
  </si>
  <si>
    <t>Pramukh Varni</t>
  </si>
  <si>
    <t>TownePlace Suites Galveston Island Gulf Front</t>
  </si>
  <si>
    <t xml:space="preserve">9540 Seawall Boulevard </t>
  </si>
  <si>
    <t>Harriet Mikell</t>
  </si>
  <si>
    <t>Samuel Hoyt</t>
  </si>
  <si>
    <t>+()409 -497-2840</t>
  </si>
  <si>
    <t>Courtyard Galveston Island</t>
  </si>
  <si>
    <t xml:space="preserve">9550 Seawall Boulevard </t>
  </si>
  <si>
    <t>Monyssa Gonzales</t>
  </si>
  <si>
    <t>+1(409)497-2850</t>
  </si>
  <si>
    <t>International House Hotel</t>
  </si>
  <si>
    <t xml:space="preserve">221 Camp Street </t>
  </si>
  <si>
    <t>John Price</t>
  </si>
  <si>
    <t>Ryan Nathan</t>
  </si>
  <si>
    <t>+1 (504) 553-9550</t>
  </si>
  <si>
    <t>10643645 Canada Inc.</t>
  </si>
  <si>
    <t>Four Seasons Montreal</t>
  </si>
  <si>
    <t xml:space="preserve">1440 Rue de la Montagne </t>
  </si>
  <si>
    <t>H3G 1Z5</t>
  </si>
  <si>
    <t>David Wilkie</t>
  </si>
  <si>
    <t>Sara-Emmanuelle Frechette</t>
  </si>
  <si>
    <t>+(514) 284-4441</t>
  </si>
  <si>
    <t>The Ritz-Carlton Residences Sarasota</t>
  </si>
  <si>
    <t xml:space="preserve">401 Quay Commons #300 </t>
  </si>
  <si>
    <t>Matthew Simone</t>
  </si>
  <si>
    <t>+1 (941) 309-2026</t>
  </si>
  <si>
    <t>Cobblestone Inn &amp; Suites - Merrill</t>
  </si>
  <si>
    <t xml:space="preserve">3209 East Main Street </t>
  </si>
  <si>
    <t>Merrill</t>
  </si>
  <si>
    <t>James Kreger</t>
  </si>
  <si>
    <t>+1 (715) 536-8351</t>
  </si>
  <si>
    <t>Tru Smyrna Nashville</t>
  </si>
  <si>
    <t xml:space="preserve">950 Colonnade Drive </t>
  </si>
  <si>
    <t>Randy Coots</t>
  </si>
  <si>
    <t>Noah Gilbert</t>
  </si>
  <si>
    <t>+1 (615) 462-5075</t>
  </si>
  <si>
    <t>TownePlace Suites Cincinnati Downtown</t>
  </si>
  <si>
    <t xml:space="preserve">106 West 7th Street </t>
  </si>
  <si>
    <t>Shondale Turner</t>
  </si>
  <si>
    <t>+1 (513) 562-8400</t>
  </si>
  <si>
    <t>TownePlace Suites Columbus Dublin</t>
  </si>
  <si>
    <t xml:space="preserve">5155 Upper Metro Place </t>
  </si>
  <si>
    <t>Heather Murphy</t>
  </si>
  <si>
    <t>Michael Beal</t>
  </si>
  <si>
    <t>+1 (614) 689-2900</t>
  </si>
  <si>
    <t>KISCO SENIOR LIVINGLLC</t>
  </si>
  <si>
    <t>ABBOTSWOOD AT IRVING PARK</t>
  </si>
  <si>
    <t xml:space="preserve">3504 FLINT STREET </t>
  </si>
  <si>
    <t>Allison Pait</t>
  </si>
  <si>
    <t>336-298-8601</t>
  </si>
  <si>
    <t>MH Partners LLC</t>
  </si>
  <si>
    <t>Hotel Indigo Columbus at Riverfront Place</t>
  </si>
  <si>
    <t xml:space="preserve">21 West 14th Street </t>
  </si>
  <si>
    <t>Jan Vanco</t>
  </si>
  <si>
    <t>+()706-780-7800</t>
  </si>
  <si>
    <t xml:space="preserve">Ibis Styles Merida Galerias </t>
  </si>
  <si>
    <t xml:space="preserve">Calle 3 218 x 24 y 60 Col. Loma Bonita Xcumpich </t>
  </si>
  <si>
    <t>Ibis Styles</t>
  </si>
  <si>
    <t>Thierry Pouzargues</t>
  </si>
  <si>
    <t>Marco Aguilar</t>
  </si>
  <si>
    <t>+1 (993) 478-1400</t>
  </si>
  <si>
    <t>The Hotel Group LLC</t>
  </si>
  <si>
    <t>Residence Inn Wenatchee</t>
  </si>
  <si>
    <t xml:space="preserve">1229 Walla Walla Avenue </t>
  </si>
  <si>
    <t>Wenatchee</t>
  </si>
  <si>
    <t>Charlotte Mayo</t>
  </si>
  <si>
    <t>Brent Kiggins</t>
  </si>
  <si>
    <t>+(509) 470-3091</t>
  </si>
  <si>
    <t>Ibis Mazatlan Marina</t>
  </si>
  <si>
    <t xml:space="preserve">Av Del Delfin 6300 La Marina </t>
  </si>
  <si>
    <t>Mazatlán</t>
  </si>
  <si>
    <t>SIN</t>
  </si>
  <si>
    <t>Joan Francesc Ferrer Fabregas</t>
  </si>
  <si>
    <t>Mario Gonzalez</t>
  </si>
  <si>
    <t>+1 (669) 690-4084</t>
  </si>
  <si>
    <t>BOSTICK NURSING CENTER</t>
  </si>
  <si>
    <t xml:space="preserve">1700 BOSTICK CIRCLE </t>
  </si>
  <si>
    <t>MILLEDGEVILLE</t>
  </si>
  <si>
    <t>770-692-4747</t>
  </si>
  <si>
    <t>THE REHAB CENTER OF BRISTOL</t>
  </si>
  <si>
    <t xml:space="preserve">301 VILLAGE CIRCLE </t>
  </si>
  <si>
    <t>276-477-5334</t>
  </si>
  <si>
    <t>PALM VALLEY ASSISTED LIVING</t>
  </si>
  <si>
    <t xml:space="preserve">5975 WEST TWAIN AVENUE </t>
  </si>
  <si>
    <t>702-368-7700</t>
  </si>
  <si>
    <t>WOODBRIDGE TERRACE OF IRVINE</t>
  </si>
  <si>
    <t xml:space="preserve">1 WITHERSPOON </t>
  </si>
  <si>
    <t>949-654-8500</t>
  </si>
  <si>
    <t>LANDMARK ASSISTED LIVING</t>
  </si>
  <si>
    <t xml:space="preserve">301 E 100 SOUTH </t>
  </si>
  <si>
    <t>VERNAL</t>
  </si>
  <si>
    <t>435-789-3000</t>
  </si>
  <si>
    <t>CROSS CREEK HOSPITAL</t>
  </si>
  <si>
    <t xml:space="preserve">8402 CROSS PARK DRIVE </t>
  </si>
  <si>
    <t>512-823-0570</t>
  </si>
  <si>
    <t>POINCIANA HIGH SCHOOL-OSCEOLA SCHOOL DISTRICT</t>
  </si>
  <si>
    <t xml:space="preserve">2300 S POINCIANA BLVD </t>
  </si>
  <si>
    <t>407-870-4860</t>
  </si>
  <si>
    <t>GOOD SHEPHERD INC</t>
  </si>
  <si>
    <t>CORNERSTONE</t>
  </si>
  <si>
    <t xml:space="preserve">300 2ND STREET NE </t>
  </si>
  <si>
    <t>MASON CITY</t>
  </si>
  <si>
    <t>641-424-1740</t>
  </si>
  <si>
    <t>SHALOM TOWER 2</t>
  </si>
  <si>
    <t xml:space="preserve">321 4TH STREET NE </t>
  </si>
  <si>
    <t>SHALOM TOWER 1</t>
  </si>
  <si>
    <t xml:space="preserve">304 3RD STREET NE </t>
  </si>
  <si>
    <t>PRAIRIE PLACE</t>
  </si>
  <si>
    <t xml:space="preserve">320 1ST STREET NE </t>
  </si>
  <si>
    <t>TRULIEVE FL-ORANGE CITY</t>
  </si>
  <si>
    <t xml:space="preserve">2616 ENTERPRISE ROAD </t>
  </si>
  <si>
    <t>386-230-2290</t>
  </si>
  <si>
    <t>TRULIEVE FL-GAINESVILLE 2</t>
  </si>
  <si>
    <t xml:space="preserve">1614 WEST UNIVERSITY AVE UNIT B </t>
  </si>
  <si>
    <t>352-519-0732</t>
  </si>
  <si>
    <t>GENERATIONS OF LEWISTON</t>
  </si>
  <si>
    <t xml:space="preserve">2421 VINEYARD AVENUE </t>
  </si>
  <si>
    <t>218-743-6500</t>
  </si>
  <si>
    <t>Mondrian Los Angeles</t>
  </si>
  <si>
    <t xml:space="preserve">8440 Sunset Boulevard </t>
  </si>
  <si>
    <t>Norbert Relecker</t>
  </si>
  <si>
    <t>+1 (323) 650-8999</t>
  </si>
  <si>
    <t>Fairfield Inn &amp; Suites Louisville North</t>
  </si>
  <si>
    <t xml:space="preserve">619 North Shore Drive </t>
  </si>
  <si>
    <t>Jeffersonville</t>
  </si>
  <si>
    <t>Sunni Caldwell</t>
  </si>
  <si>
    <t>Carolyn Aponte</t>
  </si>
  <si>
    <t>+1 (812) 280-8220</t>
  </si>
  <si>
    <t>Courtyard Dayton Mall South</t>
  </si>
  <si>
    <t xml:space="preserve">100 Prestige Place </t>
  </si>
  <si>
    <t>Katherine Bartlett</t>
  </si>
  <si>
    <t>+1 (937) 433-3131</t>
  </si>
  <si>
    <t>Courtyard Toledo Airport Holland</t>
  </si>
  <si>
    <t xml:space="preserve">1435 East Mall Drive </t>
  </si>
  <si>
    <t>Holland</t>
  </si>
  <si>
    <t>Jamie Everhardt</t>
  </si>
  <si>
    <t>+1 (419) 866-1001</t>
  </si>
  <si>
    <t>Round Hill Country Club Inc.</t>
  </si>
  <si>
    <t>Round Hill Country Club</t>
  </si>
  <si>
    <t xml:space="preserve">3169 Roundhill Rd </t>
  </si>
  <si>
    <t>Alamo</t>
  </si>
  <si>
    <t>Greg Gonsalves</t>
  </si>
  <si>
    <t>+ (925) 934-8211</t>
  </si>
  <si>
    <t>Synergy Hotels Inc.</t>
  </si>
  <si>
    <t>Embassy Suites Hotel Lubbock</t>
  </si>
  <si>
    <t xml:space="preserve">5215 South Loop 289 </t>
  </si>
  <si>
    <t>Walter Riggs</t>
  </si>
  <si>
    <t>Gene Sullivan</t>
  </si>
  <si>
    <t>+1 (806) 771-7000</t>
  </si>
  <si>
    <t>Homewood Suites St. Augustine</t>
  </si>
  <si>
    <t xml:space="preserve">10 Prawn Street </t>
  </si>
  <si>
    <t>Terry Quigley</t>
  </si>
  <si>
    <t>+1 (904) 297-3711</t>
  </si>
  <si>
    <t>R&amp;R Villano LLC</t>
  </si>
  <si>
    <t>Holiday Inn Express St. Augustine - Vilano Beach</t>
  </si>
  <si>
    <t xml:space="preserve">140 Vilano Blvd </t>
  </si>
  <si>
    <t>Michael Cunningham</t>
  </si>
  <si>
    <t>Farid Ashdji</t>
  </si>
  <si>
    <t>+1 (904) 481-8300</t>
  </si>
  <si>
    <t>UNC Charlotte Northeast Marriott</t>
  </si>
  <si>
    <t xml:space="preserve">9041 Robert D Snyder Road </t>
  </si>
  <si>
    <t>Mike Nelson</t>
  </si>
  <si>
    <t>jim ragin</t>
  </si>
  <si>
    <t>+1 (704) 978-8000</t>
  </si>
  <si>
    <t>OHIO ORTHOPEDIC SURGERY INSTITUTE-GROVE CITY</t>
  </si>
  <si>
    <t xml:space="preserve">1325 STRINGTOWN ROAD STE 100 </t>
  </si>
  <si>
    <t>614-827-8777</t>
  </si>
  <si>
    <t>SURGERY CENTER AT REGENCY PARK</t>
  </si>
  <si>
    <t xml:space="preserve">2000 REGENCY COURT STE 101 </t>
  </si>
  <si>
    <t>419-882-0003</t>
  </si>
  <si>
    <t>RIDGECREST REHAB AND NURSING</t>
  </si>
  <si>
    <t xml:space="preserve">8329 STEVENS LANE </t>
  </si>
  <si>
    <t>DAHLONEGA SENIOR LIVING</t>
  </si>
  <si>
    <t xml:space="preserve">55 MECHANICSVILLE ROAD </t>
  </si>
  <si>
    <t>DAHLONEGA</t>
  </si>
  <si>
    <t>LAURELS OF WEST COLUMBUS</t>
  </si>
  <si>
    <t xml:space="preserve">441 NORTON ROAD </t>
  </si>
  <si>
    <t>614-812-1200</t>
  </si>
  <si>
    <t>THE VILLAGE OF SOUTHAMPTON</t>
  </si>
  <si>
    <t xml:space="preserve">5020 KELVIN DRIVE </t>
  </si>
  <si>
    <t>346-800-6496</t>
  </si>
  <si>
    <t>POTOMAC WOODS SENIOR LIVING</t>
  </si>
  <si>
    <t xml:space="preserve">2001 SOUTHAMPTON STREET </t>
  </si>
  <si>
    <t>703-496-9944</t>
  </si>
  <si>
    <t>COMMUNITY ACTION AGENCY OF COLUMBIANA CTY</t>
  </si>
  <si>
    <t>EAST LIVERPOOL HEAD START</t>
  </si>
  <si>
    <t xml:space="preserve">16924 SAINT CLAIRE AVENUE </t>
  </si>
  <si>
    <t xml:space="preserve">EAST LIVERPOOL </t>
  </si>
  <si>
    <t>330-386-4899</t>
  </si>
  <si>
    <t>QUEST RECOVERY AND PREVENTION SERVICES</t>
  </si>
  <si>
    <t>COMMQUEST-CANTON FRIENDSHIP CENTER</t>
  </si>
  <si>
    <t xml:space="preserve">2200 CLEVELAND AVENUE NW </t>
  </si>
  <si>
    <t>330-453-1445</t>
  </si>
  <si>
    <t>EVART YOUTH ACADEMY-YOUTH OPPORTUNITIES</t>
  </si>
  <si>
    <t xml:space="preserve">3030 LONG LANE </t>
  </si>
  <si>
    <t>EVART</t>
  </si>
  <si>
    <t>321-734-6524</t>
  </si>
  <si>
    <t>PATHWAYS YOUTH ACADEMY-YOUTH OPPORTUNITIES</t>
  </si>
  <si>
    <t xml:space="preserve">8835 OAK ROAD </t>
  </si>
  <si>
    <t>231-734-6254</t>
  </si>
  <si>
    <t xml:space="preserve">ROCKDALE YOUTH ACADEMY-YOUTH OPPORTUNITIES </t>
  </si>
  <si>
    <t xml:space="preserve">696 N FM 487 </t>
  </si>
  <si>
    <t>ROCKDALE</t>
  </si>
  <si>
    <t>NEW HOPE YOUTH ACADEMY-YOUTH OPPORTUNITIES</t>
  </si>
  <si>
    <t xml:space="preserve">1719 E HIGH STREET </t>
  </si>
  <si>
    <t>EVERGLADES YOUTH ACADEMY-YOUTH OPPORTUNITIES</t>
  </si>
  <si>
    <t xml:space="preserve">5050 NE 168TH STREET </t>
  </si>
  <si>
    <t>OKEECHOBEE</t>
  </si>
  <si>
    <t>231-734-6524</t>
  </si>
  <si>
    <t>PENSACOLA DEVELOPMENT CENTER</t>
  </si>
  <si>
    <t xml:space="preserve">1 VILLA DRIVE </t>
  </si>
  <si>
    <t>850-453-2323</t>
  </si>
  <si>
    <t>PANAMA CITY DEVELOPMENTAL CENTER</t>
  </si>
  <si>
    <t xml:space="preserve">1407 LINCOLN DRIVE </t>
  </si>
  <si>
    <t>850-769-7636</t>
  </si>
  <si>
    <t>NEURORESTORATIVE SOUTHAMPTON</t>
  </si>
  <si>
    <t xml:space="preserve">806 CRYSTAL AVENUE </t>
  </si>
  <si>
    <t>SOUTHAMPTON</t>
  </si>
  <si>
    <t>800-743-6802</t>
  </si>
  <si>
    <t>PLUS NEURORESTORATIVE</t>
  </si>
  <si>
    <t xml:space="preserve">235 WEST WHITE HORSE PIKE </t>
  </si>
  <si>
    <t>TALLAHASSEE DEVELOPMENTAL CENTER</t>
  </si>
  <si>
    <t xml:space="preserve">455 APPLEYARD DRIVE </t>
  </si>
  <si>
    <t>850-575-0619</t>
  </si>
  <si>
    <t>FORT WALTON BEACH DEVELOPMENT CENTER</t>
  </si>
  <si>
    <t xml:space="preserve">1045 MAR WALT DRIVE </t>
  </si>
  <si>
    <t>850-862-0108</t>
  </si>
  <si>
    <t>HILLSBOROUGH COUNTY DEVELOPMENTAL CENTER</t>
  </si>
  <si>
    <t xml:space="preserve">14219 BRUCE B DOWNS BLVD </t>
  </si>
  <si>
    <t>813-971-3490</t>
  </si>
  <si>
    <t>MICHELLES ACADEMY</t>
  </si>
  <si>
    <t>MICHELLES ACADEMY-HILLARD</t>
  </si>
  <si>
    <t xml:space="preserve">3955 BROWN PARK DRIVE </t>
  </si>
  <si>
    <t>614-759-9444</t>
  </si>
  <si>
    <t xml:space="preserve">7040 N LOOP 336 WEST STE 128 </t>
  </si>
  <si>
    <t>CONROE</t>
  </si>
  <si>
    <t>936-262-3014</t>
  </si>
  <si>
    <t>LITTLE VIKINGS LEARNING CENTER</t>
  </si>
  <si>
    <t xml:space="preserve">550 WISE STREET </t>
  </si>
  <si>
    <t>269-682-5065</t>
  </si>
  <si>
    <t>DIVINE LIVING CENTERS</t>
  </si>
  <si>
    <t>DIVINE LIVING CENTER 4</t>
  </si>
  <si>
    <t xml:space="preserve">1038 EASTBURY DRIVE </t>
  </si>
  <si>
    <t>DIVINE LIFE WEST HASLETT</t>
  </si>
  <si>
    <t xml:space="preserve">2077 HASLETT ROAD </t>
  </si>
  <si>
    <t>HASLETT</t>
  </si>
  <si>
    <t>DIVINE LIFE EAST HASLETT</t>
  </si>
  <si>
    <t xml:space="preserve">5905 EDSON STREET </t>
  </si>
  <si>
    <t>DIVINE LIFE DEWITT</t>
  </si>
  <si>
    <t xml:space="preserve">607 TURNER STREET </t>
  </si>
  <si>
    <t>DEWITT</t>
  </si>
  <si>
    <t>DIVINE LIFE 5</t>
  </si>
  <si>
    <t xml:space="preserve">1020 EASTBURY DRIVE </t>
  </si>
  <si>
    <t>DIVINE LIVING CENTER CORP OFFICE</t>
  </si>
  <si>
    <t xml:space="preserve">2045 BIRCH BLUFF DRIVE </t>
  </si>
  <si>
    <t>OKEMOS</t>
  </si>
  <si>
    <t>SENIOR SERVICES PLUS INC*</t>
  </si>
  <si>
    <t xml:space="preserve">2603 N RODGERS AVE </t>
  </si>
  <si>
    <t>ALTON</t>
  </si>
  <si>
    <t>618-465-3298</t>
  </si>
  <si>
    <t>SECOND GENESIS - WASHINGTON DC*</t>
  </si>
  <si>
    <t xml:space="preserve">1320 HARVARD STREET NW </t>
  </si>
  <si>
    <t>202-222-1020</t>
  </si>
  <si>
    <t>RUBY'S CARE HOME*</t>
  </si>
  <si>
    <t xml:space="preserve">829 CAPP STREET </t>
  </si>
  <si>
    <t>415-386-9973</t>
  </si>
  <si>
    <t>THE VILLA*</t>
  </si>
  <si>
    <t xml:space="preserve">6806 BELLONA AVENUE </t>
  </si>
  <si>
    <t>410-377-2450</t>
  </si>
  <si>
    <t>WORDSWORTH ACADEMY EAST FALL*</t>
  </si>
  <si>
    <t xml:space="preserve">3301 SCOTTS LANE </t>
  </si>
  <si>
    <t>SECOND GENESIS - CROWNSVILLE*</t>
  </si>
  <si>
    <t xml:space="preserve">107 CIRCLE DRIVE </t>
  </si>
  <si>
    <t>301-621-9013</t>
  </si>
  <si>
    <t>YORKSHIRE HOUSE*</t>
  </si>
  <si>
    <t xml:space="preserve">26933 CORNELL STREET </t>
  </si>
  <si>
    <t>HEMET</t>
  </si>
  <si>
    <t>951-956-7378</t>
  </si>
  <si>
    <t>THE KINTOCK GROUP*</t>
  </si>
  <si>
    <t xml:space="preserve">20142 VALLEY FORGE CIRCLE </t>
  </si>
  <si>
    <t>KING OF PRUSSIA</t>
  </si>
  <si>
    <t>610-687-1336</t>
  </si>
  <si>
    <t>SILVER CARE CENTER*</t>
  </si>
  <si>
    <t xml:space="preserve">1417-1427 BRACE ROAD </t>
  </si>
  <si>
    <t>856-795-3131</t>
  </si>
  <si>
    <t>RIVER CITY CENTER*</t>
  </si>
  <si>
    <t xml:space="preserve">1350 14TH AVENUE SE </t>
  </si>
  <si>
    <t>256-355-6911</t>
  </si>
  <si>
    <t>ST JOSEPH HOSPICE*</t>
  </si>
  <si>
    <t xml:space="preserve">1240 BROAD AVENUE </t>
  </si>
  <si>
    <t>GULFPORT</t>
  </si>
  <si>
    <t>228-865-7897</t>
  </si>
  <si>
    <t>WORDSWORTH HARRISBURG*</t>
  </si>
  <si>
    <t xml:space="preserve">1745 N. CAMERON STREET </t>
  </si>
  <si>
    <t>717-238-6960</t>
  </si>
  <si>
    <t>SECOND GENESIS - UPPER MARLBORO 1*</t>
  </si>
  <si>
    <t xml:space="preserve">4620 MELLWOOD RD. </t>
  </si>
  <si>
    <t>UPPER MARLBORO</t>
  </si>
  <si>
    <t>301-568-4822</t>
  </si>
  <si>
    <t>PLEASANT STREET GROVE HOME*</t>
  </si>
  <si>
    <t xml:space="preserve">2056 GROVE STREET </t>
  </si>
  <si>
    <t>415-563-8333</t>
  </si>
  <si>
    <t>PROVIDER CARE INC.*</t>
  </si>
  <si>
    <t xml:space="preserve">7505 PINES ROAD SUITE 1190 </t>
  </si>
  <si>
    <t>318-688-8107</t>
  </si>
  <si>
    <t>WORDSWORTH*</t>
  </si>
  <si>
    <t xml:space="preserve">3905 FORDS RD </t>
  </si>
  <si>
    <t>215-643-5400</t>
  </si>
  <si>
    <t>THE CHARLESTON RETIREMENT &amp; ASSISTED LIV*</t>
  </si>
  <si>
    <t xml:space="preserve">2121 W CHARLESTON BLVD </t>
  </si>
  <si>
    <t>702-382-7746</t>
  </si>
  <si>
    <t>SHADY LANE NURSING HOME*</t>
  </si>
  <si>
    <t xml:space="preserve">256 COUNTY HOUSE ROAD </t>
  </si>
  <si>
    <t>CLARKSBORO</t>
  </si>
  <si>
    <t>856-224-6979</t>
  </si>
  <si>
    <t>SISTERS OF THE HOLY NAMES*</t>
  </si>
  <si>
    <t xml:space="preserve">65 W RINCON AVENUE </t>
  </si>
  <si>
    <t>408-354-1730</t>
  </si>
  <si>
    <t>RAYE MEDICAL MANAGEMENT*</t>
  </si>
  <si>
    <t xml:space="preserve">84 FAIRWAY PLACE </t>
  </si>
  <si>
    <t>601-268-3883</t>
  </si>
  <si>
    <t>SECOND GENESIS - UPPER MARLBORO 2*</t>
  </si>
  <si>
    <t>301-912-2091</t>
  </si>
  <si>
    <t>NORTH WASATCH TREATMENT*</t>
  </si>
  <si>
    <t xml:space="preserve">2740 PENNSYLVANIA AVE </t>
  </si>
  <si>
    <t>801-231-5152</t>
  </si>
  <si>
    <t>PARENTS &amp; FRIENDS SPEC LIVING CT*</t>
  </si>
  <si>
    <t xml:space="preserve">1450 CASEYVILLE AVENUE </t>
  </si>
  <si>
    <t>MAGEE GENERAL HOSPITAL*</t>
  </si>
  <si>
    <t xml:space="preserve">300 THIRD AVENUE SE </t>
  </si>
  <si>
    <t>MAGEE</t>
  </si>
  <si>
    <t>601-849-7344</t>
  </si>
  <si>
    <t>MISSISSIPPI MEDICAL INC*</t>
  </si>
  <si>
    <t xml:space="preserve">5836 N COMMERCE PLAZA </t>
  </si>
  <si>
    <t>601-952-0124</t>
  </si>
  <si>
    <t>MAGNOLIA BEND PERSONAL CARE HOME*</t>
  </si>
  <si>
    <t xml:space="preserve">1101 WEST CHAMBERS DRIVE </t>
  </si>
  <si>
    <t>601-728-5395</t>
  </si>
  <si>
    <t>WORDSWORTH ACADEMY*</t>
  </si>
  <si>
    <t xml:space="preserve">2101 PENNSYLVANIA AVE </t>
  </si>
  <si>
    <t>FT WASHINGTON</t>
  </si>
  <si>
    <t>MENDOCINO CARE CENTER*</t>
  </si>
  <si>
    <t xml:space="preserve">131 WHITMORE LANE </t>
  </si>
  <si>
    <t>MANTECA</t>
  </si>
  <si>
    <t>209-576-5725</t>
  </si>
  <si>
    <t>MISSION BAY CONVALESCENT HOSP*</t>
  </si>
  <si>
    <t xml:space="preserve">331 PENNSYLVANIA AVENUE </t>
  </si>
  <si>
    <t>415-647-3587</t>
  </si>
  <si>
    <t>OSMOND SENIOR LIVING*</t>
  </si>
  <si>
    <t xml:space="preserve">3784 WEST VALLEY VIEW DRIVE </t>
  </si>
  <si>
    <t>CEDAR HILLS</t>
  </si>
  <si>
    <t>801-899-2240</t>
  </si>
  <si>
    <t>KELLER LANDING*</t>
  </si>
  <si>
    <t xml:space="preserve">813 Keller Lane </t>
  </si>
  <si>
    <t>TUSCUMBIA</t>
  </si>
  <si>
    <t>256-383-1575</t>
  </si>
  <si>
    <t>JONES COUNTY REST HOME*</t>
  </si>
  <si>
    <t xml:space="preserve">683 COUNTY HOME ROAD </t>
  </si>
  <si>
    <t>601-477-3334</t>
  </si>
  <si>
    <t>MYRTLES NURSING CENTER*</t>
  </si>
  <si>
    <t xml:space="preserve">1018 ALBERTA AVENUE </t>
  </si>
  <si>
    <t>601-731-1745</t>
  </si>
  <si>
    <t>CHESTER COUNTY HEALTH CARE*</t>
  </si>
  <si>
    <t xml:space="preserve">412 JUANITA DRIVE </t>
  </si>
  <si>
    <t>731-989-7598</t>
  </si>
  <si>
    <t>KINGSBURG MEDICAL CENTER*</t>
  </si>
  <si>
    <t xml:space="preserve">1200 SMITH STREET </t>
  </si>
  <si>
    <t>KINGSBURG</t>
  </si>
  <si>
    <t>559-897-5841</t>
  </si>
  <si>
    <t>HEDDINGTON OAKS*</t>
  </si>
  <si>
    <t xml:space="preserve">2223 W HEADING AVE </t>
  </si>
  <si>
    <t>309-636-3600</t>
  </si>
  <si>
    <t>MARINER HEALTH OF NEWPORT*</t>
  </si>
  <si>
    <t xml:space="preserve">135 REGENCY DRIVE </t>
  </si>
  <si>
    <t>423-623-0929</t>
  </si>
  <si>
    <t>GOLDEN AGE CONVALESCENT HOSPITAL*</t>
  </si>
  <si>
    <t xml:space="preserve">523 BURLINGAME AVENUE </t>
  </si>
  <si>
    <t>831-475-0722</t>
  </si>
  <si>
    <t>HARTFORD PLACE*</t>
  </si>
  <si>
    <t xml:space="preserve">705 HALL AVENUE </t>
  </si>
  <si>
    <t>601-545-8333</t>
  </si>
  <si>
    <t>SOLOMONS NURSING CENTER*</t>
  </si>
  <si>
    <t xml:space="preserve">13325 DOWELL ROAD </t>
  </si>
  <si>
    <t>410-326-0077</t>
  </si>
  <si>
    <t>COTTAGE GROVE*</t>
  </si>
  <si>
    <t xml:space="preserve">1116 FOREST AVENUE </t>
  </si>
  <si>
    <t>601-366-6461</t>
  </si>
  <si>
    <t>DIVERSICARE OF BIG SPRINGS*</t>
  </si>
  <si>
    <t xml:space="preserve">500 ST CLAIR AVENUE SW </t>
  </si>
  <si>
    <t>256-539-5111</t>
  </si>
  <si>
    <t>KEMPER HOMEPLACE NURSING HOME*</t>
  </si>
  <si>
    <t xml:space="preserve">8366 HIGHWAY 19 NORTH </t>
  </si>
  <si>
    <t>601-743-5851</t>
  </si>
  <si>
    <t>HOMETOWN HOSPICE COLLINSVILLE*</t>
  </si>
  <si>
    <t xml:space="preserve">8366 HIGHWAY 19 N </t>
  </si>
  <si>
    <t>601-626-7277</t>
  </si>
  <si>
    <t>GRACE HEALTHCARE*</t>
  </si>
  <si>
    <t xml:space="preserve">1418 31ST AVENUE </t>
  </si>
  <si>
    <t>228-863-3331</t>
  </si>
  <si>
    <t>CHATEAU BATTISTE COLTON*</t>
  </si>
  <si>
    <t xml:space="preserve">2264 BACCARAT AVENUE </t>
  </si>
  <si>
    <t>760-322-9925</t>
  </si>
  <si>
    <t>CYPRESS COVE CENTER*</t>
  </si>
  <si>
    <t xml:space="preserve">200 ALABAMA AVENUE </t>
  </si>
  <si>
    <t>MUSCLE SHOALS</t>
  </si>
  <si>
    <t>256-381-4330</t>
  </si>
  <si>
    <t>CORNERSTONE LIVING CENTER OF BRYSON CITY*</t>
  </si>
  <si>
    <t xml:space="preserve">314 HUGHES BRANCH ROAD </t>
  </si>
  <si>
    <t>828-488-2780</t>
  </si>
  <si>
    <t>GLENWOOD CENTER*</t>
  </si>
  <si>
    <t xml:space="preserve">211 Ana Drive </t>
  </si>
  <si>
    <t>256-766-8963</t>
  </si>
  <si>
    <t>COTTAGE OF THE SHOALS*</t>
  </si>
  <si>
    <t xml:space="preserve">500 JOHN ALDRIDGE DRIVE </t>
  </si>
  <si>
    <t>256-393-4541</t>
  </si>
  <si>
    <t>COLORADO GERIATRIC CARE PC*</t>
  </si>
  <si>
    <t xml:space="preserve">PO BOX 40065 </t>
  </si>
  <si>
    <t>303-831-6686</t>
  </si>
  <si>
    <t>CHAMPAIGN COUNTY NURSING HOME*</t>
  </si>
  <si>
    <t xml:space="preserve">500 SOUTH ART BARTELL RD </t>
  </si>
  <si>
    <t>217-384-3784</t>
  </si>
  <si>
    <t>ARLINGTON THE*</t>
  </si>
  <si>
    <t xml:space="preserve">2807 Arlington Loop </t>
  </si>
  <si>
    <t>601-268-9135</t>
  </si>
  <si>
    <t>BRUCE NURSING CENTER*</t>
  </si>
  <si>
    <t xml:space="preserve">HIGHWAY 9 SOUTH </t>
  </si>
  <si>
    <t>BRUCE</t>
  </si>
  <si>
    <t>601-412-5100</t>
  </si>
  <si>
    <t>9TH AVE COMMUNITY HOME &amp; SOFIA'S HOMES*</t>
  </si>
  <si>
    <t xml:space="preserve">935 ULLOA STREET </t>
  </si>
  <si>
    <t>650-302-5558</t>
  </si>
  <si>
    <t>Hyatt Place Grand Prairie</t>
  </si>
  <si>
    <t xml:space="preserve">1542 North State Highway 360 </t>
  </si>
  <si>
    <t>Evan Ramirez</t>
  </si>
  <si>
    <t>+1 (972) 988-6800</t>
  </si>
  <si>
    <t>The Monsaraz Tapestry Collection</t>
  </si>
  <si>
    <t xml:space="preserve">1451 Rosecrans Street </t>
  </si>
  <si>
    <t>Lauren Goodman</t>
  </si>
  <si>
    <t>+1 (619) 790-5700</t>
  </si>
  <si>
    <t>Cobblestone Hotel &amp; Suites - Newport</t>
  </si>
  <si>
    <t xml:space="preserve">3608 South Van Dyke </t>
  </si>
  <si>
    <t>Cherry Steele</t>
  </si>
  <si>
    <t>+1 (870) 523-2000</t>
  </si>
  <si>
    <t>Cobblestone Hotel &amp; Suites - Pine Bluffs</t>
  </si>
  <si>
    <t xml:space="preserve">607 Parsons Avenue </t>
  </si>
  <si>
    <t>Pine Bluffs</t>
  </si>
  <si>
    <t>Marti Ramirez-Schultz</t>
  </si>
  <si>
    <t>+1 (307) 245-9300</t>
  </si>
  <si>
    <t>Puunoa Beach Estates</t>
  </si>
  <si>
    <t xml:space="preserve">45 Kai Pali Place </t>
  </si>
  <si>
    <t>Lahaina</t>
  </si>
  <si>
    <t>Paula Rathbun</t>
  </si>
  <si>
    <t>+1 (808) 667-5972</t>
  </si>
  <si>
    <t>Lake Toxaway Country Club</t>
  </si>
  <si>
    <t xml:space="preserve">4366 West Club Boulevard </t>
  </si>
  <si>
    <t>Lake Toxaway</t>
  </si>
  <si>
    <t>John Schoenbeck</t>
  </si>
  <si>
    <t>Leigh Coggins</t>
  </si>
  <si>
    <t>+1 (828) 966-4661</t>
  </si>
  <si>
    <t>Ampesa Corp</t>
  </si>
  <si>
    <t>Ampesa</t>
  </si>
  <si>
    <t xml:space="preserve">San Francisco Calle 79 y Ave Los Fundadores </t>
  </si>
  <si>
    <t>Re-Distributor</t>
  </si>
  <si>
    <t>Federico Guerrero</t>
  </si>
  <si>
    <t>+1 (507) 261-4844</t>
  </si>
  <si>
    <t>Cobblestone Hotel &amp; Suites - Morgan</t>
  </si>
  <si>
    <t xml:space="preserve">215 North Commercial Street </t>
  </si>
  <si>
    <t>Morgan</t>
  </si>
  <si>
    <t>Genie Patterson</t>
  </si>
  <si>
    <t>+1 (801) 829-0555</t>
  </si>
  <si>
    <t>Hyatt Place - Hyatt House Tampa</t>
  </si>
  <si>
    <t xml:space="preserve">325 North Florida Avenue 325 </t>
  </si>
  <si>
    <t>Patrick J. Sorge</t>
  </si>
  <si>
    <t>Raymond Canal</t>
  </si>
  <si>
    <t>+1 (813) 616-1234</t>
  </si>
  <si>
    <t>Avid Nashville Airport</t>
  </si>
  <si>
    <t xml:space="preserve">40 Rachel Drive </t>
  </si>
  <si>
    <t>Darya Borst</t>
  </si>
  <si>
    <t>+1 (615) 645-1925</t>
  </si>
  <si>
    <t>Inn at East Beach</t>
  </si>
  <si>
    <t xml:space="preserve">1029 Orilla Del Mar Drive </t>
  </si>
  <si>
    <t>Maria Medina</t>
  </si>
  <si>
    <t>+1 (805) 965-0546</t>
  </si>
  <si>
    <t>Hari Om LLC</t>
  </si>
  <si>
    <t>Super 8 by Wyndham Ukiah</t>
  </si>
  <si>
    <t xml:space="preserve">693 South Orchard Avenue </t>
  </si>
  <si>
    <t>Raakesh Patel</t>
  </si>
  <si>
    <t>+1 (707) 468-8181</t>
  </si>
  <si>
    <t>Homewood Suites Sunnyvale</t>
  </si>
  <si>
    <t xml:space="preserve">830 East El Camino Real </t>
  </si>
  <si>
    <t>Richard Taylor</t>
  </si>
  <si>
    <t>Humaniti Montreal Hotel Autograph Collection</t>
  </si>
  <si>
    <t xml:space="preserve">340 rue de la Gauchetiere O </t>
  </si>
  <si>
    <t>H2Z 0C3</t>
  </si>
  <si>
    <t>Mathieu Larochelle</t>
  </si>
  <si>
    <t>+(514) 657-2595</t>
  </si>
  <si>
    <t>The Rally Hotel</t>
  </si>
  <si>
    <t xml:space="preserve">1600 20th Street </t>
  </si>
  <si>
    <t>Tiffany Owen</t>
  </si>
  <si>
    <t>Marie Delibero</t>
  </si>
  <si>
    <t>LodgeWorks LP</t>
  </si>
  <si>
    <t>Archer Hotel Tysons</t>
  </si>
  <si>
    <t xml:space="preserve">7599 Colshire Drive </t>
  </si>
  <si>
    <t>Tysons</t>
  </si>
  <si>
    <t>Archer</t>
  </si>
  <si>
    <t>Pamela Domingo</t>
  </si>
  <si>
    <t>+1 (703) 912-0488</t>
  </si>
  <si>
    <t>Holiday Inn Barrie Hotel &amp; Conference Centre</t>
  </si>
  <si>
    <t xml:space="preserve">20 Fairview Road </t>
  </si>
  <si>
    <t>Barrie</t>
  </si>
  <si>
    <t>L4N 4P3</t>
  </si>
  <si>
    <t>Ken Johnston</t>
  </si>
  <si>
    <t>+1 (705) 728-6191</t>
  </si>
  <si>
    <t>Ashland Cobblestone LLC</t>
  </si>
  <si>
    <t>Cobblestone Inn &amp; Suites Ashland</t>
  </si>
  <si>
    <t xml:space="preserve">818 Main Street West </t>
  </si>
  <si>
    <t>Ashland</t>
  </si>
  <si>
    <t>Lisa Gervais</t>
  </si>
  <si>
    <t>+1 (715) 682-5066</t>
  </si>
  <si>
    <t>DoubleTree by Hilton Lubbock University Area</t>
  </si>
  <si>
    <t xml:space="preserve">505 Avenue Q </t>
  </si>
  <si>
    <t>Matthew Roig</t>
  </si>
  <si>
    <t>+ (806) 516-0400</t>
  </si>
  <si>
    <t>Cambria Hotel Capitol Riverfront</t>
  </si>
  <si>
    <t xml:space="preserve">69 Q Street </t>
  </si>
  <si>
    <t>Elif Sen</t>
  </si>
  <si>
    <t>+1 (202) 220-8400</t>
  </si>
  <si>
    <t>The Valley Hotel a Curio by Hilton</t>
  </si>
  <si>
    <t xml:space="preserve">2727 18th Street South </t>
  </si>
  <si>
    <t>Danny Hiatt</t>
  </si>
  <si>
    <t>Casey Crowley</t>
  </si>
  <si>
    <t>+1 (205) 354-0171</t>
  </si>
  <si>
    <t>FJM Management LC</t>
  </si>
  <si>
    <t>TownePlace Suites Killeen</t>
  </si>
  <si>
    <t xml:space="preserve">2401 Florence Road </t>
  </si>
  <si>
    <t>Killeen</t>
  </si>
  <si>
    <t>Swan Gomez</t>
  </si>
  <si>
    <t>+1 (254) 554-8899</t>
  </si>
  <si>
    <t>Fairfield Inn &amp; Suites Killeen</t>
  </si>
  <si>
    <t xml:space="preserve">200 East Centex Expressway </t>
  </si>
  <si>
    <t>Shawn Trainum</t>
  </si>
  <si>
    <t>Mukesh Bhakta</t>
  </si>
  <si>
    <t>+1 (254) 526-3333</t>
  </si>
  <si>
    <t>Spectrum Resorts LLC</t>
  </si>
  <si>
    <t>Westgate Luxury Condominiums</t>
  </si>
  <si>
    <t xml:space="preserve">1150 8th Street </t>
  </si>
  <si>
    <t>Shelly Steinberg</t>
  </si>
  <si>
    <t>+1 (205) 614-5800</t>
  </si>
  <si>
    <t>Thompson Hollywood</t>
  </si>
  <si>
    <t xml:space="preserve">1541 Wilcox Avenue </t>
  </si>
  <si>
    <t>Olivier Servat Lagattu</t>
  </si>
  <si>
    <t>+1(310) 766-0444</t>
  </si>
  <si>
    <t>Cambria Hotel Madison East</t>
  </si>
  <si>
    <t xml:space="preserve">5045 East Park Boulevard </t>
  </si>
  <si>
    <t>Kimberly Albert</t>
  </si>
  <si>
    <t>+1 (608) 241-7070</t>
  </si>
  <si>
    <t>Rosewood at Baha Mar</t>
  </si>
  <si>
    <t>Luigi Romaniello</t>
  </si>
  <si>
    <t>Monica Ortiz</t>
  </si>
  <si>
    <t>+(1) 242 677 9750</t>
  </si>
  <si>
    <t>Claremont Companies</t>
  </si>
  <si>
    <t>Courtyard Manhattan SoHo</t>
  </si>
  <si>
    <t xml:space="preserve">181 Varick Street </t>
  </si>
  <si>
    <t>Tyrone Wayne</t>
  </si>
  <si>
    <t>+ (212)414-8282</t>
  </si>
  <si>
    <t>INDIAN HILLS OF SIOUX CITY</t>
  </si>
  <si>
    <t xml:space="preserve">1800 INDIAN HILLS DRIVE </t>
  </si>
  <si>
    <t>712-239-4582</t>
  </si>
  <si>
    <t>Sheraton Stamford Hotel</t>
  </si>
  <si>
    <t xml:space="preserve">700 Main ST </t>
  </si>
  <si>
    <t>Stamford</t>
  </si>
  <si>
    <t>Colin Ankersen</t>
  </si>
  <si>
    <t>Alison Scaggs</t>
  </si>
  <si>
    <t>+ (203) 358-8400</t>
  </si>
  <si>
    <t>Deercreek Country Club</t>
  </si>
  <si>
    <t xml:space="preserve">7816 Mc Laurin RD N </t>
  </si>
  <si>
    <t>John Fairall</t>
  </si>
  <si>
    <t>+ (904) 363-1604</t>
  </si>
  <si>
    <t>Hilton Garden Inn St. Louis O'Fallon</t>
  </si>
  <si>
    <t xml:space="preserve">2310 Technology Drive </t>
  </si>
  <si>
    <t>O'Fallon</t>
  </si>
  <si>
    <t>+1 (636) 625-2700</t>
  </si>
  <si>
    <t>Home2 Suites Wayne</t>
  </si>
  <si>
    <t xml:space="preserve">350 Route 46 </t>
  </si>
  <si>
    <t>Wayne</t>
  </si>
  <si>
    <t>Gio Pazmino</t>
  </si>
  <si>
    <t>+(973)305-8844</t>
  </si>
  <si>
    <t>WYNDEMERE NORTH*</t>
  </si>
  <si>
    <t xml:space="preserve">3001 RIVERSIDE DRIVE </t>
  </si>
  <si>
    <t>920-337-9424</t>
  </si>
  <si>
    <t>WYNDEMERE ESTATE*</t>
  </si>
  <si>
    <t>920-337-9434</t>
  </si>
  <si>
    <t>Hyatt Regency North Dallas</t>
  </si>
  <si>
    <t xml:space="preserve">701 East Campbell Rd </t>
  </si>
  <si>
    <t>Lindsey Myers</t>
  </si>
  <si>
    <t>+1 (972) 231-9600</t>
  </si>
  <si>
    <t>Winstar World Hotel</t>
  </si>
  <si>
    <t>21444 World Way Drive RR1 Box 415</t>
  </si>
  <si>
    <t>Thackerville</t>
  </si>
  <si>
    <t>Kevin Thorstenson</t>
  </si>
  <si>
    <t>Angela Roessler</t>
  </si>
  <si>
    <t>+1 (580) 276 3100</t>
  </si>
  <si>
    <t xml:space="preserve">1409 Junction Road </t>
  </si>
  <si>
    <t>Jefferson</t>
  </si>
  <si>
    <t>Priscilla Gonzalez</t>
  </si>
  <si>
    <t>+1 (608) 432-9640</t>
  </si>
  <si>
    <t>Quality Inn - Helena</t>
  </si>
  <si>
    <t xml:space="preserve">2300 North Oakes Street </t>
  </si>
  <si>
    <t>Amber Jellison</t>
  </si>
  <si>
    <t>+1 (406) 442-3064</t>
  </si>
  <si>
    <t>River Club of Mequon</t>
  </si>
  <si>
    <t xml:space="preserve">12400 North Ville Du Parc Drive </t>
  </si>
  <si>
    <t>Mequon</t>
  </si>
  <si>
    <t>Chris Stewart</t>
  </si>
  <si>
    <t>+1 (262) 242-1400</t>
  </si>
  <si>
    <t>TPC Tampa Bay</t>
  </si>
  <si>
    <t xml:space="preserve">5300 W Lutz Lake Fern Rd </t>
  </si>
  <si>
    <t>Lutz</t>
  </si>
  <si>
    <t>Jeff Hartman</t>
  </si>
  <si>
    <t>+1 (813) 949-0090</t>
  </si>
  <si>
    <t>Shipyard Golf Club</t>
  </si>
  <si>
    <t xml:space="preserve">45 Shipyard Dr </t>
  </si>
  <si>
    <t>Hilton Head Island</t>
  </si>
  <si>
    <t>Eric Boberg</t>
  </si>
  <si>
    <t>+1 (843) 681-1750</t>
  </si>
  <si>
    <t>Port Royal Golf &amp; Racquet Club</t>
  </si>
  <si>
    <t xml:space="preserve">10 Clubhouse Dr </t>
  </si>
  <si>
    <t>+1 (843) 681-1700</t>
  </si>
  <si>
    <t>The Dominion Club</t>
  </si>
  <si>
    <t xml:space="preserve">6000 Dominion Club Dr </t>
  </si>
  <si>
    <t>Dan Riker</t>
  </si>
  <si>
    <t>+1 (804) 360-1200</t>
  </si>
  <si>
    <t>Oyster Reef Golf Club</t>
  </si>
  <si>
    <t xml:space="preserve">155 High Bluff Rd </t>
  </si>
  <si>
    <t>Christopher Wylie</t>
  </si>
  <si>
    <t>+1 (843) 681-1764</t>
  </si>
  <si>
    <t>TPC Prestancia</t>
  </si>
  <si>
    <t xml:space="preserve">4409 Tournament Players Clb DR </t>
  </si>
  <si>
    <t>Elizabeth Miller</t>
  </si>
  <si>
    <t>+1 (941) 922-2800</t>
  </si>
  <si>
    <t>WESTERN MICHIGAN UNIVERSITY-VALLEY DINING CENTER</t>
  </si>
  <si>
    <t xml:space="preserve">BERNHARD CENTER ROOM 161 </t>
  </si>
  <si>
    <t>616-387-4847</t>
  </si>
  <si>
    <t>MEADOWS NURSING AND REHAB</t>
  </si>
  <si>
    <t xml:space="preserve">98 HOSPITALITY DRIVE </t>
  </si>
  <si>
    <t>BARRE</t>
  </si>
  <si>
    <t>802-229-0308</t>
  </si>
  <si>
    <t>NORTH EAST VERMONT NURSING AND REHAB</t>
  </si>
  <si>
    <t xml:space="preserve">1248 HOSPITAL DRIVE </t>
  </si>
  <si>
    <t>ST JOHNSBURY</t>
  </si>
  <si>
    <t>802-748-8757</t>
  </si>
  <si>
    <t>QUEEN CITY NURSING AND REHAB</t>
  </si>
  <si>
    <t xml:space="preserve">300 PEARL STREET </t>
  </si>
  <si>
    <t>802-658-4200</t>
  </si>
  <si>
    <t>SOUTHERN VERMONT NURSING AND REHAB</t>
  </si>
  <si>
    <t xml:space="preserve">2 BLACKBERRY STREET </t>
  </si>
  <si>
    <t>BENNINGTON</t>
  </si>
  <si>
    <t>802-442-8525</t>
  </si>
  <si>
    <t>SPRINGFIELD RIVERS NURSING AND REHAB</t>
  </si>
  <si>
    <t xml:space="preserve">105 CHESTER ROAD </t>
  </si>
  <si>
    <t>802-885-5741</t>
  </si>
  <si>
    <t>LEGACY HEALTH SERVICES</t>
  </si>
  <si>
    <t>MAPLEVIEW COUNTRY VILLA</t>
  </si>
  <si>
    <t xml:space="preserve">775 SOUTH STREET </t>
  </si>
  <si>
    <t>CHARDON</t>
  </si>
  <si>
    <t>440-286-8176</t>
  </si>
  <si>
    <t>WOODLAND HILLS ASSISTED LIVING</t>
  </si>
  <si>
    <t xml:space="preserve">610 NORTH 10TH STREET </t>
  </si>
  <si>
    <t>WEIRTON</t>
  </si>
  <si>
    <t>304-748-3943</t>
  </si>
  <si>
    <t>HAMPTON MANOR OF HAMBURG</t>
  </si>
  <si>
    <t xml:space="preserve">7300 VILLAGE CENTER DRIVE </t>
  </si>
  <si>
    <t>WHITEMORE LAKE</t>
  </si>
  <si>
    <t>810-534-7774</t>
  </si>
  <si>
    <t>THE INN AT ASHLAND WOODS</t>
  </si>
  <si>
    <t xml:space="preserve">1050 DAUCH DRIVE </t>
  </si>
  <si>
    <t>419-289-4700</t>
  </si>
  <si>
    <t>SKYLINE ASSISTED LIVING</t>
  </si>
  <si>
    <t xml:space="preserve">100 HARD ROCK ROAD </t>
  </si>
  <si>
    <t>VAN BUREN</t>
  </si>
  <si>
    <t>573-323-2108</t>
  </si>
  <si>
    <t>MISSION POINT HEALTH CAMPUS OF JACKSON</t>
  </si>
  <si>
    <t xml:space="preserve">703 ROBINSON ROAD </t>
  </si>
  <si>
    <t>517-787-5140</t>
  </si>
  <si>
    <t>DINAHS GARDEN HOTEL</t>
  </si>
  <si>
    <t xml:space="preserve">4261 EL CAMINO REAL </t>
  </si>
  <si>
    <t>650-493-2844</t>
  </si>
  <si>
    <t>SUNNYSIDE COMMUNITIES</t>
  </si>
  <si>
    <t>THE HIGHLANDS</t>
  </si>
  <si>
    <t xml:space="preserve">1130 HIGHLANDS PLACE </t>
  </si>
  <si>
    <t>540-568-8411</t>
  </si>
  <si>
    <t>HOSPICE OF NORTH CENTRAL OHIO</t>
  </si>
  <si>
    <t>HOSPICE OF NORTH CENTRAL OHIO-KNOX COUNTY</t>
  </si>
  <si>
    <t xml:space="preserve">17700 COSHOCTON ROAD </t>
  </si>
  <si>
    <t>800-952-2207</t>
  </si>
  <si>
    <t>DOUGHERTYS PHARMACY</t>
  </si>
  <si>
    <t xml:space="preserve">5959 ROYAL LANE SUITE 515 </t>
  </si>
  <si>
    <t>214-373-5300</t>
  </si>
  <si>
    <t>FAVOR RESIDENTIAL CARE HOMES</t>
  </si>
  <si>
    <t xml:space="preserve">2258 VILLAGE NORTH DRIVE </t>
  </si>
  <si>
    <t>RICARDSON</t>
  </si>
  <si>
    <t>469-335-7352</t>
  </si>
  <si>
    <t>MAPLE SPRINGS</t>
  </si>
  <si>
    <t>ANCORA HOME HEALTH AND HOSPICE WASILLA</t>
  </si>
  <si>
    <t xml:space="preserve">2851 EAST PALMER WASILLA HWY STE 7 </t>
  </si>
  <si>
    <t xml:space="preserve">WASILLA </t>
  </si>
  <si>
    <t>907-561-9240</t>
  </si>
  <si>
    <t>ANCORA HOME HEALTH AND HOSPICE ANCHORAGE</t>
  </si>
  <si>
    <t xml:space="preserve">3501 DENALI STREET STE 202 </t>
  </si>
  <si>
    <t>907-561-0700</t>
  </si>
  <si>
    <t>PLUM HEALTHCARE ROCKLIN OFFICE</t>
  </si>
  <si>
    <t xml:space="preserve">4020 SIERRA COLLEGE BLVD STE 190 </t>
  </si>
  <si>
    <t>FEATHERSTONE RETIREMENT</t>
  </si>
  <si>
    <t>FEATHERSTONE RETIREMENT-CORP</t>
  </si>
  <si>
    <t xml:space="preserve">1012 FAYETTEVILLE ROAD </t>
  </si>
  <si>
    <t>479-459-2610</t>
  </si>
  <si>
    <t xml:space="preserve">106 CHESTNUT STREET STE E </t>
  </si>
  <si>
    <t xml:space="preserve">LAVENDER RIDGE </t>
  </si>
  <si>
    <t>LAVENDER RIDGE CORPORATION</t>
  </si>
  <si>
    <t xml:space="preserve">201 W JEFFERSON AVENUE </t>
  </si>
  <si>
    <t>EFFINGHAM</t>
  </si>
  <si>
    <t>618-242-4050</t>
  </si>
  <si>
    <t>TRULIEVE-PUNTA GORDA</t>
  </si>
  <si>
    <t xml:space="preserve">10175 TAMIAMI TRAIL STE 1105 </t>
  </si>
  <si>
    <t>PUNTA GORDA</t>
  </si>
  <si>
    <t>813-690-2952</t>
  </si>
  <si>
    <t>TRULIEVE-LAKE CITY</t>
  </si>
  <si>
    <t xml:space="preserve">2670 W HIGHWAY 90 SUITE 110 </t>
  </si>
  <si>
    <t>813-690-2592</t>
  </si>
  <si>
    <t>TRULIEVE FIFTY WEST-CLERMONT</t>
  </si>
  <si>
    <t xml:space="preserve">17011 STTE ROAD 50 SUITE A </t>
  </si>
  <si>
    <t>CLERMONT</t>
  </si>
  <si>
    <t>TRULIEVE-SEFFNER</t>
  </si>
  <si>
    <t xml:space="preserve">801 WEST MARTIN LUTHER KING BLVD </t>
  </si>
  <si>
    <t>SEFFNER</t>
  </si>
  <si>
    <t>TRULIEVE-PALM HARBOR</t>
  </si>
  <si>
    <t xml:space="preserve">30600 US HWY 19 </t>
  </si>
  <si>
    <t>MASTERS RANCH GIRLS ACADEMY AT BELLE VIE</t>
  </si>
  <si>
    <t xml:space="preserve">9303 MO 142 </t>
  </si>
  <si>
    <t>THAYER</t>
  </si>
  <si>
    <t>509-749-2103</t>
  </si>
  <si>
    <t>THE CROSSINGS AT FLOWER MOUND</t>
  </si>
  <si>
    <t xml:space="preserve">3201 KARNES ROAD </t>
  </si>
  <si>
    <t>FLOWER MOUND</t>
  </si>
  <si>
    <t>972-355-5432</t>
  </si>
  <si>
    <t>Courtyard Sandestin at Grand Boulevard</t>
  </si>
  <si>
    <t xml:space="preserve">100 Grand Boulevard </t>
  </si>
  <si>
    <t>Sandestin</t>
  </si>
  <si>
    <t>Tania Koehler</t>
  </si>
  <si>
    <t>+1 (850) 650-7411</t>
  </si>
  <si>
    <t>Hyatt Place Sandestin at Grand Boulevard</t>
  </si>
  <si>
    <t xml:space="preserve">325 Grand Boulevard </t>
  </si>
  <si>
    <t>Chris Cornett</t>
  </si>
  <si>
    <t>+1(850)650-7611</t>
  </si>
  <si>
    <t>Residence Inn Sandestin at Grand Boulevard</t>
  </si>
  <si>
    <t xml:space="preserve">300 Grand Boulevard </t>
  </si>
  <si>
    <t>Mindy Patrick</t>
  </si>
  <si>
    <t>+1 (850) 650-7811</t>
  </si>
  <si>
    <t>Manhattan Herald Square</t>
  </si>
  <si>
    <t xml:space="preserve"> 71 West 35th Street </t>
  </si>
  <si>
    <t>Alpha Barry</t>
  </si>
  <si>
    <t>+1 (212) 239-4569</t>
  </si>
  <si>
    <t>Hampton Inn Verona</t>
  </si>
  <si>
    <t xml:space="preserve">5186 Route 365 </t>
  </si>
  <si>
    <t>David Heymann</t>
  </si>
  <si>
    <t>+1 (315) 363-3801</t>
  </si>
  <si>
    <t>Marriott Vacation Club Intl Los Sueños Costa Rica</t>
  </si>
  <si>
    <t xml:space="preserve">800 MTS West from Herradura entrance </t>
  </si>
  <si>
    <t>Los Suenos</t>
  </si>
  <si>
    <t>Marriott Vacations Wwide Corp</t>
  </si>
  <si>
    <t>Florencia Arenaza</t>
  </si>
  <si>
    <t>+1 (506) 2630-9400</t>
  </si>
  <si>
    <t>Aashka LLC</t>
  </si>
  <si>
    <t>Sleep Inn Saint Robert Fort Leonard Wood</t>
  </si>
  <si>
    <t xml:space="preserve">562 Old Route 66 </t>
  </si>
  <si>
    <t>Saint Robert</t>
  </si>
  <si>
    <t>Dhaval Khamar</t>
  </si>
  <si>
    <t>+1 (573) 336-7705</t>
  </si>
  <si>
    <t>1560 LLC</t>
  </si>
  <si>
    <t xml:space="preserve">17930 INTERNATIONAL BLVD </t>
  </si>
  <si>
    <t>SEATAC</t>
  </si>
  <si>
    <t>202-768-3556</t>
  </si>
  <si>
    <t>24 CARROTS</t>
  </si>
  <si>
    <t xml:space="preserve">17851 SKY PARK CIRCLE #F </t>
  </si>
  <si>
    <t>800-717-1545</t>
  </si>
  <si>
    <t>24 CARROTS NEWPORT</t>
  </si>
  <si>
    <t xml:space="preserve">4000 MCARTHUR </t>
  </si>
  <si>
    <t>3C OLD FASHION BOARDING HOME</t>
  </si>
  <si>
    <t xml:space="preserve">1021 SOUTH JIM THORPE BLVD </t>
  </si>
  <si>
    <t>PRAGUE</t>
  </si>
  <si>
    <t>405-567-2280</t>
  </si>
  <si>
    <t>50 NORTH</t>
  </si>
  <si>
    <t xml:space="preserve">339 E MELROSE AVE </t>
  </si>
  <si>
    <t>419-423-8496</t>
  </si>
  <si>
    <t>572 SOCIAL KITCHEN AND LOUNGE</t>
  </si>
  <si>
    <t xml:space="preserve">572 PINE KNOT AVENUE </t>
  </si>
  <si>
    <t>BIG BEAR</t>
  </si>
  <si>
    <t>909-878-0307</t>
  </si>
  <si>
    <t>6TH AVENUE SENIOR LIVING</t>
  </si>
  <si>
    <t xml:space="preserve">610 N FIFE STREET </t>
  </si>
  <si>
    <t>253-272-8600</t>
  </si>
  <si>
    <t>8 FRESH</t>
  </si>
  <si>
    <t xml:space="preserve">8 COLLEGE STREET </t>
  </si>
  <si>
    <t>A CARING HAND MEDICAL ADULT DAY CARE INC</t>
  </si>
  <si>
    <t xml:space="preserve">606 HAMMONDS LANE </t>
  </si>
  <si>
    <t>410-789-9850</t>
  </si>
  <si>
    <t>A CHILDS WORLD</t>
  </si>
  <si>
    <t xml:space="preserve">9775 LOCKHART ROAD </t>
  </si>
  <si>
    <t>DENHAM SPRINGS</t>
  </si>
  <si>
    <t>225-290-9248</t>
  </si>
  <si>
    <t>A GRACE SUB ACUTE</t>
  </si>
  <si>
    <t xml:space="preserve">1250 S WINCHESTER BLVD </t>
  </si>
  <si>
    <t>408-241-3844</t>
  </si>
  <si>
    <t>A NEW OUTLOOK</t>
  </si>
  <si>
    <t xml:space="preserve">668 WOOD RD </t>
  </si>
  <si>
    <t>828-635-8350</t>
  </si>
  <si>
    <t>A S UCD COFFEE HOUSE</t>
  </si>
  <si>
    <t xml:space="preserve">1 SHIELDS AVENUE </t>
  </si>
  <si>
    <t>530-752-3385</t>
  </si>
  <si>
    <t>A.W.A.R.E. INC</t>
  </si>
  <si>
    <t xml:space="preserve">504 CENTRAL AVENUE WEST </t>
  </si>
  <si>
    <t>406-452-5341</t>
  </si>
  <si>
    <t>A.W.A.R.E. INC-ANACONDA</t>
  </si>
  <si>
    <t xml:space="preserve">205 E PARK </t>
  </si>
  <si>
    <t>ANACONDA</t>
  </si>
  <si>
    <t>800-432-6145</t>
  </si>
  <si>
    <t>A.W.A.R.E. INC-BILLINGS</t>
  </si>
  <si>
    <t xml:space="preserve">1050 S 25TH ST W STE 2 </t>
  </si>
  <si>
    <t>BILLINGS</t>
  </si>
  <si>
    <t>406-656-0928</t>
  </si>
  <si>
    <t>AAA KINDNESS CARE HOME</t>
  </si>
  <si>
    <t xml:space="preserve">3811 DOMINION ROAD </t>
  </si>
  <si>
    <t>805-937-6444</t>
  </si>
  <si>
    <t>AARONDALE RETIREMENT &amp; ASSISTED LIVING</t>
  </si>
  <si>
    <t xml:space="preserve">6929 MATTHEW PLACE </t>
  </si>
  <si>
    <t>703-813-1800</t>
  </si>
  <si>
    <t>AASE HAUGEN HOME</t>
  </si>
  <si>
    <t xml:space="preserve">4 OHIO STREET </t>
  </si>
  <si>
    <t>DECORAH</t>
  </si>
  <si>
    <t>563-382-3603</t>
  </si>
  <si>
    <t>AASPEN VILLAGE CARE</t>
  </si>
  <si>
    <t xml:space="preserve">56524 ANTELOPE TRAIL </t>
  </si>
  <si>
    <t>YUCCA VALLEY</t>
  </si>
  <si>
    <t>760-228-2729</t>
  </si>
  <si>
    <t>AASPEN VILLAGE CARE II</t>
  </si>
  <si>
    <t xml:space="preserve">7645 KICKAPOO TRAIL </t>
  </si>
  <si>
    <t>AASTA ASSISTED LIVING</t>
  </si>
  <si>
    <t xml:space="preserve">903 CARMEN DRIVE </t>
  </si>
  <si>
    <t>805-484-2777</t>
  </si>
  <si>
    <t>ABACUS SCHOOL AT AVERY RANCH</t>
  </si>
  <si>
    <t xml:space="preserve">14115 AVERY RANCH BLVD </t>
  </si>
  <si>
    <t xml:space="preserve">AUSTIN </t>
  </si>
  <si>
    <t>512-381-2200</t>
  </si>
  <si>
    <t>ABACUS SCHOOL OF AUSTIN-LEANDER</t>
  </si>
  <si>
    <t xml:space="preserve">1720 BAGDAD ROAD </t>
  </si>
  <si>
    <t>ABBEY PARK</t>
  </si>
  <si>
    <t xml:space="preserve">3221 E BALDWIN ROAD </t>
  </si>
  <si>
    <t>GRAND BLANC</t>
  </si>
  <si>
    <t>810-606-1110</t>
  </si>
  <si>
    <t>ABBEY PARK AT MILL RIVER</t>
  </si>
  <si>
    <t xml:space="preserve">28413 ABBEY LANE </t>
  </si>
  <si>
    <t>NEW HUDSON</t>
  </si>
  <si>
    <t>248-437-6550</t>
  </si>
  <si>
    <t>ABBINGTON MANOR</t>
  </si>
  <si>
    <t xml:space="preserve">215 NORTH CENTER STREET </t>
  </si>
  <si>
    <t>LEHI</t>
  </si>
  <si>
    <t>801-768-3900</t>
  </si>
  <si>
    <t>ABBINGTON MANOR MEMORY CARE</t>
  </si>
  <si>
    <t xml:space="preserve">855 W 1500 N </t>
  </si>
  <si>
    <t>ABBOT SENIOR LIVING</t>
  </si>
  <si>
    <t xml:space="preserve">1258 GREENWOOD AVE </t>
  </si>
  <si>
    <t>740-453-2781</t>
  </si>
  <si>
    <t>ABBY SUPPLY INC</t>
  </si>
  <si>
    <t xml:space="preserve">2124 OAKBROOK ROAD 31ST STREET </t>
  </si>
  <si>
    <t>OAK BROOK</t>
  </si>
  <si>
    <t>ABERDEEN REHABILITATION AND SKILLED NURSING CENTER-FOOD</t>
  </si>
  <si>
    <t xml:space="preserve">5500 FORT STREET </t>
  </si>
  <si>
    <t>734-671-3500</t>
  </si>
  <si>
    <t>ABERDEEN REHABILTATION AND SKILLED NURSING CENTER</t>
  </si>
  <si>
    <t>ABIGAIL COMPLETE CARE</t>
  </si>
  <si>
    <t xml:space="preserve">1230 HOPKINS AVE </t>
  </si>
  <si>
    <t>REDWOOD CITY</t>
  </si>
  <si>
    <t>650-224-8853</t>
  </si>
  <si>
    <t>ABINGTON OF GLENVIEW NURSING AND REHAB</t>
  </si>
  <si>
    <t xml:space="preserve">3901 GLENVIEW ROAD </t>
  </si>
  <si>
    <t>847-729-0000</t>
  </si>
  <si>
    <t>ABLE SOLUTIONS</t>
  </si>
  <si>
    <t xml:space="preserve">2375 WOODVIEW COURT </t>
  </si>
  <si>
    <t>419-207-0832</t>
  </si>
  <si>
    <t>ABSAROKEE SCHOOL</t>
  </si>
  <si>
    <t xml:space="preserve">327 S WOODARD AVE </t>
  </si>
  <si>
    <t>ABSAROKEE</t>
  </si>
  <si>
    <t>406-328-4581</t>
  </si>
  <si>
    <t>ABSOLUTE COMPASSION HOME HEALTH AND HOSPICE</t>
  </si>
  <si>
    <t xml:space="preserve">1905 E 1700 S </t>
  </si>
  <si>
    <t>SPANISH FORK</t>
  </si>
  <si>
    <t>801-465-1331</t>
  </si>
  <si>
    <t>ABUELITA ROSA</t>
  </si>
  <si>
    <t xml:space="preserve">37304 45TH STREET </t>
  </si>
  <si>
    <t>SHAWNEE</t>
  </si>
  <si>
    <t>405-878-9844</t>
  </si>
  <si>
    <t>ACACIA VILLA</t>
  </si>
  <si>
    <t xml:space="preserve">1620 E CHAPMAN AVENUE </t>
  </si>
  <si>
    <t>714-879-0920</t>
  </si>
  <si>
    <t>ACCEL AT COLLEGE STATION</t>
  </si>
  <si>
    <t xml:space="preserve">1500 MEDICAL AVENUE </t>
  </si>
  <si>
    <t>972-899-4401</t>
  </si>
  <si>
    <t>ACCESS HOSPITAL DAYTON</t>
  </si>
  <si>
    <t xml:space="preserve">2611 WAYNE AVENUE </t>
  </si>
  <si>
    <t>937-256-7801</t>
  </si>
  <si>
    <t>ACCLAIMED HEALTHCARE INC</t>
  </si>
  <si>
    <t xml:space="preserve">895 TOWBIN AVENUE # 5 </t>
  </si>
  <si>
    <t>732-886-6559</t>
  </si>
  <si>
    <t>ACCORD CARE COMMUNITY-ORRVILLE</t>
  </si>
  <si>
    <t xml:space="preserve">1980 LYNN DRIVE </t>
  </si>
  <si>
    <t>ORRVILLE</t>
  </si>
  <si>
    <t>330-683-4075</t>
  </si>
  <si>
    <t>ACCORDIUS HEALTH AT BAY POINTE</t>
  </si>
  <si>
    <t xml:space="preserve">1148 FIRST COLONIAL ROAD </t>
  </si>
  <si>
    <t>757-481-3321</t>
  </si>
  <si>
    <t>ACCORDIUS HEALTH AT CHARLOTTE</t>
  </si>
  <si>
    <t xml:space="preserve">5939 REDDMAN ROAD </t>
  </si>
  <si>
    <t>704-563-6862</t>
  </si>
  <si>
    <t>ACCORDIUS HEALTH AT GREENSBORO</t>
  </si>
  <si>
    <t xml:space="preserve">1201 CAROLINA STREET </t>
  </si>
  <si>
    <t>336-522-5700</t>
  </si>
  <si>
    <t>ACCORDIUS HEALTH AT MIDWOOD</t>
  </si>
  <si>
    <t xml:space="preserve">2727 SHAMROCK DRIVE </t>
  </si>
  <si>
    <t>704-519-2400</t>
  </si>
  <si>
    <t>ACCORDIUS HEALTH AT MONROE</t>
  </si>
  <si>
    <t xml:space="preserve">204 OLD HIGHWAY 74 </t>
  </si>
  <si>
    <t>704-800-0601</t>
  </si>
  <si>
    <t>ACCORDIUS HEALTH AT MOORESVILLE</t>
  </si>
  <si>
    <t xml:space="preserve">752 E CENTER </t>
  </si>
  <si>
    <t>704-800-1570</t>
  </si>
  <si>
    <t>ACCORDIUS HEALTH AT RIVER POINTE</t>
  </si>
  <si>
    <t xml:space="preserve">4142 BONNEY ROAD </t>
  </si>
  <si>
    <t>757-340-0620</t>
  </si>
  <si>
    <t>ACCORDIUS HEALTH AT ROANOKE</t>
  </si>
  <si>
    <t xml:space="preserve">324 KING GEORGE AVENUE </t>
  </si>
  <si>
    <t>540-345-8139</t>
  </si>
  <si>
    <t>ACCORDIUS HEALTH AT STATESVILLE</t>
  </si>
  <si>
    <t xml:space="preserve">520 VALLEY STREET </t>
  </si>
  <si>
    <t>STATESVILLE</t>
  </si>
  <si>
    <t>704-516-2500</t>
  </si>
  <si>
    <t>ACCURA HEALTHCARE OF AURELIA</t>
  </si>
  <si>
    <t xml:space="preserve">401 W 5TH STREET </t>
  </si>
  <si>
    <t>AURELIA</t>
  </si>
  <si>
    <t>712-434-2294</t>
  </si>
  <si>
    <t>ACCURA HEALTHCARE OF CASCADE</t>
  </si>
  <si>
    <t xml:space="preserve">701 JOHNSON STREET NW </t>
  </si>
  <si>
    <t>CASCADE</t>
  </si>
  <si>
    <t>563-852-3277</t>
  </si>
  <si>
    <t>ACCURATE HEALTHCARE</t>
  </si>
  <si>
    <t xml:space="preserve">493 CAVE RD </t>
  </si>
  <si>
    <t>615-874-0011</t>
  </si>
  <si>
    <t xml:space="preserve">ADAMS COUNTY CHRISTIAN SCHOOL </t>
  </si>
  <si>
    <t xml:space="preserve">300 CHINQUAPIN LANE </t>
  </si>
  <si>
    <t>NATCHEZ</t>
  </si>
  <si>
    <t>601-442-1422</t>
  </si>
  <si>
    <t>ADDICTION RESEARCH &amp; TREATMENT INC</t>
  </si>
  <si>
    <t xml:space="preserve">1145 MARKET ST FLOOR 10 </t>
  </si>
  <si>
    <t>415-552-7914</t>
  </si>
  <si>
    <t>ADDIE MEEDOM HOUSE</t>
  </si>
  <si>
    <t xml:space="preserve">1445 PARKWAY DRIVE </t>
  </si>
  <si>
    <t>866-646-0142</t>
  </si>
  <si>
    <t>ADDINGTON PLACE AT COLLEGE HARBOR</t>
  </si>
  <si>
    <t xml:space="preserve">4600 54TH AVENUE SOUTH </t>
  </si>
  <si>
    <t>ST. PETERSBURG</t>
  </si>
  <si>
    <t>727-866-3124</t>
  </si>
  <si>
    <t>ADDISON REHAB &amp; LIVING CENTER</t>
  </si>
  <si>
    <t xml:space="preserve">1760 CAPITAL STREET </t>
  </si>
  <si>
    <t>847-531-6004</t>
  </si>
  <si>
    <t>ADF / KNOLLWOOD</t>
  </si>
  <si>
    <t xml:space="preserve">6200 OREGON AVE NW </t>
  </si>
  <si>
    <t>202-541-0150</t>
  </si>
  <si>
    <t>ADULT TEEN CHALLENGE OF TX-BRAZOS VALLEY MENS CAMPUS</t>
  </si>
  <si>
    <t xml:space="preserve">1306 NORTH PARK STREET </t>
  </si>
  <si>
    <t>979-337-9696</t>
  </si>
  <si>
    <t>ADULT TENDERCARE CENTER</t>
  </si>
  <si>
    <t xml:space="preserve">3729 N STATE HIGHWAY H </t>
  </si>
  <si>
    <t>417-866-1559</t>
  </si>
  <si>
    <t>ADVANCE ASSISTED LIVING</t>
  </si>
  <si>
    <t xml:space="preserve">252 PAYTON PLACE </t>
  </si>
  <si>
    <t>ADVANCE</t>
  </si>
  <si>
    <t>573-686-5242</t>
  </si>
  <si>
    <t>ADVANCE NURSING CARE COMM HOSPITAL</t>
  </si>
  <si>
    <t xml:space="preserve">ROUTE 4 BOX 4269 </t>
  </si>
  <si>
    <t>ELLINGTON</t>
  </si>
  <si>
    <t>573-663-2511</t>
  </si>
  <si>
    <t>ADVANCED CARE SOLUTIONS</t>
  </si>
  <si>
    <t xml:space="preserve">4001 NW 124TH AVENUE </t>
  </si>
  <si>
    <t>954-748-1966</t>
  </si>
  <si>
    <t xml:space="preserve">ADVANCED HEALTH AND REHAB </t>
  </si>
  <si>
    <t xml:space="preserve">1700 E SHORT HILLSBORO STREET </t>
  </si>
  <si>
    <t>EL DORADO</t>
  </si>
  <si>
    <t>870-862-5124</t>
  </si>
  <si>
    <t>ADVANCED HEALTH AND REHAB OF TWIGGS COUNTY</t>
  </si>
  <si>
    <t xml:space="preserve">113 SPRING VALLEY DR </t>
  </si>
  <si>
    <t>978-945-2520</t>
  </si>
  <si>
    <t>ADVANCED REHAB CENTER OF TUSTIN</t>
  </si>
  <si>
    <t xml:space="preserve">2210 E FIRST STREET </t>
  </si>
  <si>
    <t>714-547-7091</t>
  </si>
  <si>
    <t>ADVANTAGE MEDICAL EQUIPMENT</t>
  </si>
  <si>
    <t xml:space="preserve">12040 RAYMOND COURT </t>
  </si>
  <si>
    <t>HUNTLEY</t>
  </si>
  <si>
    <t>815-637-2200</t>
  </si>
  <si>
    <t>ADVENTHOME YOUTH SERVICES INC.</t>
  </si>
  <si>
    <t xml:space="preserve">900 COUNTY ROAD 950 </t>
  </si>
  <si>
    <t>423-336-5052</t>
  </si>
  <si>
    <t>ADVENTURE PLACE</t>
  </si>
  <si>
    <t xml:space="preserve">1516 EDISON STREET NW </t>
  </si>
  <si>
    <t>330-877-0418</t>
  </si>
  <si>
    <t>AERIUS HEALTH CENTER</t>
  </si>
  <si>
    <t xml:space="preserve">13840 KING ROAD </t>
  </si>
  <si>
    <t>734-561-7000</t>
  </si>
  <si>
    <t>AESTHETICA PLASTIC SURGERY</t>
  </si>
  <si>
    <t xml:space="preserve">385 W 600 N </t>
  </si>
  <si>
    <t>LINDON</t>
  </si>
  <si>
    <t>801-785-5525</t>
  </si>
  <si>
    <t>AGOURA'S FAMOUS DELI</t>
  </si>
  <si>
    <t xml:space="preserve">5915 N KANAN ROAD </t>
  </si>
  <si>
    <t>818-889-9113</t>
  </si>
  <si>
    <t>AKRON CANTON FOOD BANK</t>
  </si>
  <si>
    <t xml:space="preserve">305 OPPORTUNITY PARKWAY </t>
  </si>
  <si>
    <t>330-535-6900</t>
  </si>
  <si>
    <t>AKRON CARE CENTER</t>
  </si>
  <si>
    <t xml:space="preserve">991 HWY 3 </t>
  </si>
  <si>
    <t>712-568-2422</t>
  </si>
  <si>
    <t>ALAMANCE HEALTH CARE CENTER</t>
  </si>
  <si>
    <t xml:space="preserve">1987 HILTON ROAD </t>
  </si>
  <si>
    <t>336-226-6567</t>
  </si>
  <si>
    <t>ALAMEDA HOSPITAL</t>
  </si>
  <si>
    <t xml:space="preserve">2070 CLINTON AVE </t>
  </si>
  <si>
    <t>510-814-4085</t>
  </si>
  <si>
    <t>ALAMO NURSING HOME</t>
  </si>
  <si>
    <t xml:space="preserve">8290 West C AVENUE </t>
  </si>
  <si>
    <t>269-343-2587</t>
  </si>
  <si>
    <t>ALBANY R-III SCHOOLS</t>
  </si>
  <si>
    <t xml:space="preserve">101 W JEFFERSON </t>
  </si>
  <si>
    <t>660-726-3911</t>
  </si>
  <si>
    <t>ALBERT EINSTEIN RESIDENCE CTR</t>
  </si>
  <si>
    <t xml:space="preserve">1935 WRIGHT STREET </t>
  </si>
  <si>
    <t>916-972-9555</t>
  </si>
  <si>
    <t>ALBERTVILLE NURSING HOME</t>
  </si>
  <si>
    <t xml:space="preserve">750 ALABAMA HIGHWAY 75 NORTH </t>
  </si>
  <si>
    <t>256-891-1205</t>
  </si>
  <si>
    <t>ALBUQUERQUE GRAND SENIOR LIVING</t>
  </si>
  <si>
    <t xml:space="preserve">1501 TIJERAS AVE SE </t>
  </si>
  <si>
    <t>505-842-1972</t>
  </si>
  <si>
    <t>ALCESTER CARE AND REHAB</t>
  </si>
  <si>
    <t xml:space="preserve">101 CHURCH STREET </t>
  </si>
  <si>
    <t>ALCESTER</t>
  </si>
  <si>
    <t>605-934-2011</t>
  </si>
  <si>
    <t>ALDERSON CONVALESCENT HOSPITAL</t>
  </si>
  <si>
    <t xml:space="preserve">124 WALNUT STREET </t>
  </si>
  <si>
    <t>WOODLAND</t>
  </si>
  <si>
    <t>530-662-6375</t>
  </si>
  <si>
    <t>ALEXANDER ASSISTED LIVING</t>
  </si>
  <si>
    <t xml:space="preserve">3032 NC HGWY 16 SOUTH </t>
  </si>
  <si>
    <t>828-632-4443</t>
  </si>
  <si>
    <t>ALEXANDERS ACADEMY KLEIN</t>
  </si>
  <si>
    <t xml:space="preserve">3110 FM 2920 </t>
  </si>
  <si>
    <t>281-350-1546</t>
  </si>
  <si>
    <t>ALEXANDERS ACADEMY SPRING</t>
  </si>
  <si>
    <t xml:space="preserve">625 BRANDT </t>
  </si>
  <si>
    <t>281-353-2637</t>
  </si>
  <si>
    <t>ALEXANDRIA CARE CENTER IN</t>
  </si>
  <si>
    <t xml:space="preserve">1912 SOUTH PARK AVENUE </t>
  </si>
  <si>
    <t>765-724-4478</t>
  </si>
  <si>
    <t>ALHAMBRA CONVALESCENT</t>
  </si>
  <si>
    <t xml:space="preserve">331 ILENE STREET </t>
  </si>
  <si>
    <t>MARTINEZ</t>
  </si>
  <si>
    <t>925-228-2020</t>
  </si>
  <si>
    <t>ALHAMBRA REHAB AND HEALTHCARE</t>
  </si>
  <si>
    <t xml:space="preserve">415 EAST MAIN STREET </t>
  </si>
  <si>
    <t>618-488-3565</t>
  </si>
  <si>
    <t>ALICE MANOR NURSING AND REHAB CTR</t>
  </si>
  <si>
    <t xml:space="preserve">2095 ROCKROSE AVE </t>
  </si>
  <si>
    <t>410-889-9700</t>
  </si>
  <si>
    <t>ALICEVILLE MANOR NURSING HOME</t>
  </si>
  <si>
    <t xml:space="preserve">703 17th Street N.W. </t>
  </si>
  <si>
    <t>ALICEVILLE</t>
  </si>
  <si>
    <t>205-373-6304</t>
  </si>
  <si>
    <t>ALL AMERICAN EXIM</t>
  </si>
  <si>
    <t xml:space="preserve">6090 ZINFANDEL DRIVE </t>
  </si>
  <si>
    <t>678-896-5872</t>
  </si>
  <si>
    <t>ALL FOR KIDS INC.</t>
  </si>
  <si>
    <t xml:space="preserve">1405 E WHEELING AVENUE </t>
  </si>
  <si>
    <t>740-435-8050</t>
  </si>
  <si>
    <t>ALL SAINTS CATHOLIC NURSING HOME</t>
  </si>
  <si>
    <t xml:space="preserve">5888 BLANDING BLVD </t>
  </si>
  <si>
    <t>904-772-1220</t>
  </si>
  <si>
    <t>ALL SEASONS OF ROCHESTER HILLS</t>
  </si>
  <si>
    <t xml:space="preserve">175 NAWAKWA DRIVE </t>
  </si>
  <si>
    <t>248-299-0700</t>
  </si>
  <si>
    <t>ALLAY SENIOR CARE</t>
  </si>
  <si>
    <t xml:space="preserve">131 PENDLETON ST </t>
  </si>
  <si>
    <t xml:space="preserve">LISBON </t>
  </si>
  <si>
    <t>330-424-9788</t>
  </si>
  <si>
    <t>ALLCARE HEALTH SERVICES INC.</t>
  </si>
  <si>
    <t xml:space="preserve">360 S MILLIKEN AVE STE G </t>
  </si>
  <si>
    <t>ONTARIO</t>
  </si>
  <si>
    <t>909-390-5772</t>
  </si>
  <si>
    <t>ALLEGHANY MANOR</t>
  </si>
  <si>
    <t xml:space="preserve">P.O. BOX 550 </t>
  </si>
  <si>
    <t>540-962-4425</t>
  </si>
  <si>
    <t>ALLEGHANY REHABILITATION &amp; HEALTH CARE CENTER</t>
  </si>
  <si>
    <t xml:space="preserve">179 COMBS STREET </t>
  </si>
  <si>
    <t>336-372-2441</t>
  </si>
  <si>
    <t>ALLEGHENY VALLEY SCHOOL</t>
  </si>
  <si>
    <t xml:space="preserve">1291 MIDDLETOWN ROAD </t>
  </si>
  <si>
    <t>HUMMELSTOWN</t>
  </si>
  <si>
    <t>17036-8929</t>
  </si>
  <si>
    <t>717-566-3267</t>
  </si>
  <si>
    <t>ALLEN MEMORIAL HOME</t>
  </si>
  <si>
    <t xml:space="preserve">735 S. Washington </t>
  </si>
  <si>
    <t>MOBILE</t>
  </si>
  <si>
    <t>205-433-2642</t>
  </si>
  <si>
    <t>ALLEN MORGAN HEALTH &amp; REHAB CTR</t>
  </si>
  <si>
    <t>901-251-9233</t>
  </si>
  <si>
    <t>ALLEN OAKS NURSING AND REHAB CENTER</t>
  </si>
  <si>
    <t xml:space="preserve">909 E 6TH AVENUE </t>
  </si>
  <si>
    <t>318-335-1469</t>
  </si>
  <si>
    <t>ALLENDALE NURSING HOME</t>
  </si>
  <si>
    <t xml:space="preserve">85 HARRETON ROAD </t>
  </si>
  <si>
    <t>ALLENDALE</t>
  </si>
  <si>
    <t>201-825-0660</t>
  </si>
  <si>
    <t>ALLIANCE CHRISTIAN</t>
  </si>
  <si>
    <t xml:space="preserve">5809 PORTSMOUTH BLVD </t>
  </si>
  <si>
    <t>757-488-5552</t>
  </si>
  <si>
    <t>ALLIED HOME HEALTH &amp; NURSING</t>
  </si>
  <si>
    <t xml:space="preserve">4800 CADIEUX RD </t>
  </si>
  <si>
    <t>313-885-7841</t>
  </si>
  <si>
    <t>ALLWELL RESIDENTIAL SERVICES</t>
  </si>
  <si>
    <t xml:space="preserve">121 N 18TH STREET </t>
  </si>
  <si>
    <t>740-432-5130</t>
  </si>
  <si>
    <t>ALMA SENIOR CENTER ARKANSAS</t>
  </si>
  <si>
    <t xml:space="preserve">140 COLLUM LANE </t>
  </si>
  <si>
    <t>501-632-3535</t>
  </si>
  <si>
    <t>ALPENA JAIL</t>
  </si>
  <si>
    <t xml:space="preserve">1771 M-32 WEST </t>
  </si>
  <si>
    <t>989-766-0144</t>
  </si>
  <si>
    <t>ALPHA CHI OMEGA (UNC CHAPEL HILL)</t>
  </si>
  <si>
    <t xml:space="preserve">215 E ROSEMARY </t>
  </si>
  <si>
    <t>919-968-0057</t>
  </si>
  <si>
    <t>ALPHA CHI OMEGA SORORITY (UW)</t>
  </si>
  <si>
    <t xml:space="preserve">4545 17TH AVE NE </t>
  </si>
  <si>
    <t>206-525-9104</t>
  </si>
  <si>
    <t>ALPHA COTTAGE</t>
  </si>
  <si>
    <t xml:space="preserve">10816 18TH AVE E </t>
  </si>
  <si>
    <t>253-537-5395</t>
  </si>
  <si>
    <t>ALPHA EPSILON PHI</t>
  </si>
  <si>
    <t xml:space="preserve">2500 RIO GRANDE </t>
  </si>
  <si>
    <t>512-477-8600</t>
  </si>
  <si>
    <t>ALPHA EPSILON PI SORORITY (UW)</t>
  </si>
  <si>
    <t xml:space="preserve">4541 19TH AVE NE </t>
  </si>
  <si>
    <t>206-595-1847</t>
  </si>
  <si>
    <t>ALPHA GAMMA DELTA (UNIV OF AL)</t>
  </si>
  <si>
    <t xml:space="preserve">826 MAGNOLIA DRIVE </t>
  </si>
  <si>
    <t>TUSCALOOSA</t>
  </si>
  <si>
    <t>205-348-4550</t>
  </si>
  <si>
    <t>ALPHA GAMMA RHO FRATERNITY (AUBURN UNIVERSITY)</t>
  </si>
  <si>
    <t xml:space="preserve">831 LEM MORRISON DRIVE </t>
  </si>
  <si>
    <t>404-358-3982</t>
  </si>
  <si>
    <t>ALPHA SIGMA OF CHI PSI UNC CHAPEL HILL</t>
  </si>
  <si>
    <t xml:space="preserve">321 W CAMERON </t>
  </si>
  <si>
    <t>310-208-9736</t>
  </si>
  <si>
    <t>ALPHA TAU OMEGA FRATERNITY-USC</t>
  </si>
  <si>
    <t xml:space="preserve">707 W 28 STREET </t>
  </si>
  <si>
    <t>310-503-0937</t>
  </si>
  <si>
    <t>ALPHA XI DELTA (UNIV OF TX)</t>
  </si>
  <si>
    <t xml:space="preserve">2508 RIO GRANDE </t>
  </si>
  <si>
    <t>210-833-2986</t>
  </si>
  <si>
    <t>512-822-0160</t>
  </si>
  <si>
    <t>ALPHA XI DELTA SORORITY (UW)</t>
  </si>
  <si>
    <t xml:space="preserve">1616 NE 50TH STREET </t>
  </si>
  <si>
    <t>206-522-2968</t>
  </si>
  <si>
    <t>ALPINE COURT APARTMENTS - BYU</t>
  </si>
  <si>
    <t xml:space="preserve">366 E 600 N </t>
  </si>
  <si>
    <t>801-404-5994</t>
  </si>
  <si>
    <t>ALPINE FIRESIDE HEALTH CENTER</t>
  </si>
  <si>
    <t xml:space="preserve">3650 NORTH ALPINE ROAD </t>
  </si>
  <si>
    <t>815-877-7408</t>
  </si>
  <si>
    <t>ALPINE HOUSE OF COLUMBUS</t>
  </si>
  <si>
    <t xml:space="preserve">1001 SCHROCK RD </t>
  </si>
  <si>
    <t>419-724-3671</t>
  </si>
  <si>
    <t>ALPINE HOUSE OF MAPLE HEIGHTS</t>
  </si>
  <si>
    <t>ALPINE HOUSE OF RAVENNA</t>
  </si>
  <si>
    <t xml:space="preserve">7000 STATE ROUTE 88 </t>
  </si>
  <si>
    <t>330-297-7000</t>
  </si>
  <si>
    <t>ALPINE HOUSE OF TOLEDO</t>
  </si>
  <si>
    <t xml:space="preserve">2901 TREMAINSVILLE RD </t>
  </si>
  <si>
    <t>ALPINE VILLAGE ASSISTED LIVING</t>
  </si>
  <si>
    <t xml:space="preserve">4753 NORTHFIELD RD </t>
  </si>
  <si>
    <t>NORTH RANDALL</t>
  </si>
  <si>
    <t>216-650-6295</t>
  </si>
  <si>
    <t>ALTAVITA INDEPENDENT LIVING LLC</t>
  </si>
  <si>
    <t xml:space="preserve">1002 ALTAVITA COURT </t>
  </si>
  <si>
    <t>LONGMONT</t>
  </si>
  <si>
    <t>303-834-8800</t>
  </si>
  <si>
    <t>ALTENHEIM SENIOR LIVING</t>
  </si>
  <si>
    <t xml:space="preserve">18627 SHURMER ROAD </t>
  </si>
  <si>
    <t>STRONGSVILLE</t>
  </si>
  <si>
    <t>440-238-3361</t>
  </si>
  <si>
    <t>ALTERIS RESTAURANT</t>
  </si>
  <si>
    <t xml:space="preserve">7 COLLEGE STREET </t>
  </si>
  <si>
    <t>315-853-6363</t>
  </si>
  <si>
    <t>ALTHEA WOODLAND</t>
  </si>
  <si>
    <t xml:space="preserve">1000 DALEVIEW DRIVE </t>
  </si>
  <si>
    <t>301-434-2646</t>
  </si>
  <si>
    <t>ALTHEIMER/WABBASEKA CENTER</t>
  </si>
  <si>
    <t xml:space="preserve">4TH &amp; EDLINE </t>
  </si>
  <si>
    <t>ALTHEIMER</t>
  </si>
  <si>
    <t>870-766-8257</t>
  </si>
  <si>
    <t>ALTUS SENIOR NUTRITION</t>
  </si>
  <si>
    <t xml:space="preserve">121 NORTH PARK LANE </t>
  </si>
  <si>
    <t>580-482-1290</t>
  </si>
  <si>
    <t>ALVERNIA MANOR LEMONT</t>
  </si>
  <si>
    <t xml:space="preserve">13950 MAIN STREET </t>
  </si>
  <si>
    <t>LEMONT</t>
  </si>
  <si>
    <t>630-257-7721</t>
  </si>
  <si>
    <t>AMARILLO HOSPICE OF THE PLAINS</t>
  </si>
  <si>
    <t xml:space="preserve">508 N TAYLOR ST </t>
  </si>
  <si>
    <t>806-372-6822</t>
  </si>
  <si>
    <t>AMBASSADOR MANOR NURSING &amp; REHAB</t>
  </si>
  <si>
    <t xml:space="preserve">1340 EAST 61ST ST </t>
  </si>
  <si>
    <t>918-743-8978</t>
  </si>
  <si>
    <t>AMBASSADORS' COURTYARDS</t>
  </si>
  <si>
    <t xml:space="preserve">1380 EAST 61ST STREET </t>
  </si>
  <si>
    <t>918-743-7887</t>
  </si>
  <si>
    <t>AMELIA GRACE ASSISTED LIVING</t>
  </si>
  <si>
    <t xml:space="preserve">7090 WILSON MILLS ROAD </t>
  </si>
  <si>
    <t>CHESTERLAND</t>
  </si>
  <si>
    <t>440-423-3838</t>
  </si>
  <si>
    <t>AMELIA HEALTH AND REHAB</t>
  </si>
  <si>
    <t xml:space="preserve">8830 VIRGINIA STREET </t>
  </si>
  <si>
    <t>804-561-5611</t>
  </si>
  <si>
    <t>AMELIA MANOR NURSING HOME</t>
  </si>
  <si>
    <t xml:space="preserve">903 CENTER STREET </t>
  </si>
  <si>
    <t>337-234-7331</t>
  </si>
  <si>
    <t>AMERICAN BEHAVIORAL HEALTH</t>
  </si>
  <si>
    <t xml:space="preserve">500 SE WASHINGTON AVE </t>
  </si>
  <si>
    <t>CHEHALIS</t>
  </si>
  <si>
    <t>AMERICAN FOODSERVICE - MORGANTON</t>
  </si>
  <si>
    <t xml:space="preserve">1053 SUMMERS RD </t>
  </si>
  <si>
    <t>MORGANTON</t>
  </si>
  <si>
    <t>AMERICAN FOODSERVICE - VALDESE</t>
  </si>
  <si>
    <t xml:space="preserve">1053 SUMMERS ROAD </t>
  </si>
  <si>
    <t>VALDESE</t>
  </si>
  <si>
    <t>828-522-1177</t>
  </si>
  <si>
    <t>AMERICAN FOODSERVICE 2</t>
  </si>
  <si>
    <t xml:space="preserve">1990 CONNELLY SPRINGS ROAD </t>
  </si>
  <si>
    <t>LENOIR</t>
  </si>
  <si>
    <t>AMERICAN HEALTHCARE LLC</t>
  </si>
  <si>
    <t xml:space="preserve">3131 ELECTRIC ROAD </t>
  </si>
  <si>
    <t>540-774-4263</t>
  </si>
  <si>
    <t>AMERICAN HOME CARE HEALTH SERVICES</t>
  </si>
  <si>
    <t xml:space="preserve">745 N WHITNAIL HWY </t>
  </si>
  <si>
    <t>310-560-6378</t>
  </si>
  <si>
    <t>AMERICAN HOUSE CEDAR LAKE</t>
  </si>
  <si>
    <t xml:space="preserve">14804 SOUTH VAN DYKE ROAD </t>
  </si>
  <si>
    <t>815-286-6576</t>
  </si>
  <si>
    <t>AMERICAN ROAD TRIP BAR &amp; GRILL</t>
  </si>
  <si>
    <t xml:space="preserve">33960 YUCAIPA BLVD </t>
  </si>
  <si>
    <t>YUCAIPA</t>
  </si>
  <si>
    <t>909-797-7774</t>
  </si>
  <si>
    <t>AMERICARE ASSISTED LIVING</t>
  </si>
  <si>
    <t xml:space="preserve">2992 DAY ROAD </t>
  </si>
  <si>
    <t>386-789-8848</t>
  </si>
  <si>
    <t>AMERICAS CHOICE HOME CARE</t>
  </si>
  <si>
    <t xml:space="preserve">15400 19 MILE RD SUITE 145-8 </t>
  </si>
  <si>
    <t>586-412-5810</t>
  </si>
  <si>
    <t>AMFM OF MERCER COUNTY INC.</t>
  </si>
  <si>
    <t xml:space="preserve">P.O. BOX 410 </t>
  </si>
  <si>
    <t>BLUEFIELD</t>
  </si>
  <si>
    <t>304-325-5448</t>
  </si>
  <si>
    <t>AMFM OF WYOMING COUNTY INC.</t>
  </si>
  <si>
    <t xml:space="preserve">P.O. BOX 149 </t>
  </si>
  <si>
    <t>304-294-7584</t>
  </si>
  <si>
    <t>AMG SPECIALTY HOSPITAL HOUMA</t>
  </si>
  <si>
    <t xml:space="preserve">329 DUNN STREET </t>
  </si>
  <si>
    <t>985-274-0001</t>
  </si>
  <si>
    <t>AMISTAD NURSING HOME INC.</t>
  </si>
  <si>
    <t xml:space="preserve">200 RIVERSIDE DRIVE </t>
  </si>
  <si>
    <t>UVALDE</t>
  </si>
  <si>
    <t>210-278-5641</t>
  </si>
  <si>
    <t>AMITE CHRISTIAN ACADEMY</t>
  </si>
  <si>
    <t xml:space="preserve">7100 AMITE CHURCH ROAD </t>
  </si>
  <si>
    <t>225-665-2060</t>
  </si>
  <si>
    <t>AMITY HOSPICE</t>
  </si>
  <si>
    <t xml:space="preserve">17311 N DALLAS PKWY SUITE 125 </t>
  </si>
  <si>
    <t>972-931-5400</t>
  </si>
  <si>
    <t>AMITY SOCIETY OF FREEPORT</t>
  </si>
  <si>
    <t xml:space="preserve">511 S LIBERTY AVE </t>
  </si>
  <si>
    <t>815-233-0015</t>
  </si>
  <si>
    <t>AMOVEABLE FEAST</t>
  </si>
  <si>
    <t xml:space="preserve">8411 SENECA TURNPIKE </t>
  </si>
  <si>
    <t>315-768-7037</t>
  </si>
  <si>
    <t>ANAHEIM CROWN PLAZA</t>
  </si>
  <si>
    <t xml:space="preserve">641 S BEACH BLVD </t>
  </si>
  <si>
    <t>714-827-7007</t>
  </si>
  <si>
    <t>ANCORA</t>
  </si>
  <si>
    <t xml:space="preserve">261 GENESSE STREET </t>
  </si>
  <si>
    <t>315-724-4815</t>
  </si>
  <si>
    <t>ANDALUSIA MANOR</t>
  </si>
  <si>
    <t xml:space="preserve">670 MOORE ROAD </t>
  </si>
  <si>
    <t>ANDALUSIA</t>
  </si>
  <si>
    <t>334-222-4544</t>
  </si>
  <si>
    <t>ANDERSON OAKS AL</t>
  </si>
  <si>
    <t xml:space="preserve">997 HWY 90 </t>
  </si>
  <si>
    <t>843-347-9280</t>
  </si>
  <si>
    <t>ANGEL GARDENS</t>
  </si>
  <si>
    <t xml:space="preserve">38910 SIX MILE ROAD </t>
  </si>
  <si>
    <t>734-464-2772</t>
  </si>
  <si>
    <t>ANGELHAVEN PERSONAL CARE HOME</t>
  </si>
  <si>
    <t xml:space="preserve">1702 LINDY LANE </t>
  </si>
  <si>
    <t xml:space="preserve">CONROE </t>
  </si>
  <si>
    <t>936-499-5426</t>
  </si>
  <si>
    <t>ANGELICA'S VILLAGE</t>
  </si>
  <si>
    <t xml:space="preserve">555 FRANCIS AVENUE </t>
  </si>
  <si>
    <t>SEASIDE</t>
  </si>
  <si>
    <t>831-899-2644</t>
  </si>
  <si>
    <t>ANGELL CARE CENTER</t>
  </si>
  <si>
    <t xml:space="preserve">912 KELLY ROAD </t>
  </si>
  <si>
    <t>401-410-9099</t>
  </si>
  <si>
    <t>ANGELS TOUCH ASSISTED LIVING</t>
  </si>
  <si>
    <t>920-339-0601</t>
  </si>
  <si>
    <t>ANGELS TOUCH ASSISTED LIVING II</t>
  </si>
  <si>
    <t xml:space="preserve">394 ANGELS TOUCH PATH </t>
  </si>
  <si>
    <t>ANGELUS HOME HEALTH CARE</t>
  </si>
  <si>
    <t xml:space="preserve">101 SOUTH JARED STREET STE 6 </t>
  </si>
  <si>
    <t>DUBOIS</t>
  </si>
  <si>
    <t>814-771-6983</t>
  </si>
  <si>
    <t>ANIYAH'S DESTINY HEALTHCARE</t>
  </si>
  <si>
    <t xml:space="preserve">1395 MILL LAKE CIRCLE </t>
  </si>
  <si>
    <t>513-250-0963</t>
  </si>
  <si>
    <t>ANNABURG MANOR</t>
  </si>
  <si>
    <t xml:space="preserve">9201 MAPLE STREET </t>
  </si>
  <si>
    <t>703-335-8332</t>
  </si>
  <si>
    <t>ANNANDALE HEALTH &amp; COMMUNITY SERVICES</t>
  </si>
  <si>
    <t xml:space="preserve">500 PARK STREET E </t>
  </si>
  <si>
    <t>320-274-2579</t>
  </si>
  <si>
    <t>ANNANDALE VILLAGE</t>
  </si>
  <si>
    <t xml:space="preserve">3500 ANNANDALE LANE </t>
  </si>
  <si>
    <t>770-932-4860</t>
  </si>
  <si>
    <t>ANNE GRADY CENTERS INC.</t>
  </si>
  <si>
    <t xml:space="preserve">1525 EBER ROAD </t>
  </si>
  <si>
    <t>419-866-6500</t>
  </si>
  <si>
    <t>ANOTHER CARING HAND</t>
  </si>
  <si>
    <t xml:space="preserve">606 HAMONDS LANE SUITE L1-L4 </t>
  </si>
  <si>
    <t>410-401-0790</t>
  </si>
  <si>
    <t>ANTEBELLUM AT JAMES BURGESS</t>
  </si>
  <si>
    <t xml:space="preserve">1520 JAMES BURGESS ROAD </t>
  </si>
  <si>
    <t>678-807-7350</t>
  </si>
  <si>
    <t>ANTEBELLUM GROVE</t>
  </si>
  <si>
    <t xml:space="preserve">1010 KATHRYN RYALS ROAD </t>
  </si>
  <si>
    <t>WARNER ROBINS</t>
  </si>
  <si>
    <t>478-953-0706</t>
  </si>
  <si>
    <t>ANTHEM LAKES</t>
  </si>
  <si>
    <t xml:space="preserve">905 ASSISI LANE </t>
  </si>
  <si>
    <t>904-583-5399</t>
  </si>
  <si>
    <t>ANTIOCH CONVALESCENT HOSPITAL</t>
  </si>
  <si>
    <t xml:space="preserve">1210 A ST </t>
  </si>
  <si>
    <t>925-757-8787</t>
  </si>
  <si>
    <t>ANTRIM CO SHERIFF OFFICE</t>
  </si>
  <si>
    <t xml:space="preserve">107 GROVE STREET </t>
  </si>
  <si>
    <t>231-533-8627</t>
  </si>
  <si>
    <t>APACHE JUNCTION HEALTHCARE</t>
  </si>
  <si>
    <t xml:space="preserve">2012 W SOUTHERN AVENUE </t>
  </si>
  <si>
    <t>APACHE JUNCTION</t>
  </si>
  <si>
    <t>480-983-0700</t>
  </si>
  <si>
    <t>APERION CARE HILLSIDE</t>
  </si>
  <si>
    <t xml:space="preserve">323 OAKRIDGE AVENUE </t>
  </si>
  <si>
    <t>708-547-6595</t>
  </si>
  <si>
    <t>APERION CARE MARSEILLES</t>
  </si>
  <si>
    <t xml:space="preserve">578 COMMERCIAL STREET </t>
  </si>
  <si>
    <t>MARSEILLES</t>
  </si>
  <si>
    <t>815-795-5121</t>
  </si>
  <si>
    <t>APERION CARE MORTON VILLA</t>
  </si>
  <si>
    <t xml:space="preserve">190 EAST QUEENWOOD </t>
  </si>
  <si>
    <t>309-266-9741</t>
  </si>
  <si>
    <t>APERION CARE PEORIA HEIGHTS</t>
  </si>
  <si>
    <t xml:space="preserve">1629 E. GARDNER LANE </t>
  </si>
  <si>
    <t>PEORIA HEIGHTS</t>
  </si>
  <si>
    <t>309-685-1545</t>
  </si>
  <si>
    <t>APERION CARE PRINCETON</t>
  </si>
  <si>
    <t xml:space="preserve">515 S BUREAU VALLEY PARKWAY </t>
  </si>
  <si>
    <t>815-875-3347</t>
  </si>
  <si>
    <t>APERION CARE WEST CHICAGO</t>
  </si>
  <si>
    <t xml:space="preserve">201 WEST NORTH AVENUE </t>
  </si>
  <si>
    <t>WEST CHICAGO</t>
  </si>
  <si>
    <t>630-876-8100</t>
  </si>
  <si>
    <t>APEX SECURE CARE</t>
  </si>
  <si>
    <t xml:space="preserve">1101 E LAKE ST </t>
  </si>
  <si>
    <t>BROWNFIELD</t>
  </si>
  <si>
    <t>806-637-7561</t>
  </si>
  <si>
    <t>APOSTOLIC CHRISTIAN HOME EUREKA</t>
  </si>
  <si>
    <t xml:space="preserve">610 W CRUGER AVE PO BOX 128 </t>
  </si>
  <si>
    <t>HPSI:LONG TERM ACUTE CARE</t>
  </si>
  <si>
    <t>309-467-2311</t>
  </si>
  <si>
    <t>APOSTOLIC CHRISTIAN SERVICES</t>
  </si>
  <si>
    <t xml:space="preserve">2125 VETERANS RD </t>
  </si>
  <si>
    <t>309-266-9781</t>
  </si>
  <si>
    <t>APPALACHIAN STATE UNIV FOOD SERV</t>
  </si>
  <si>
    <t xml:space="preserve">170 STADIUM DRIVE </t>
  </si>
  <si>
    <t>828-262-6144</t>
  </si>
  <si>
    <t>APPALACHIAN STATE UNIVERSITY</t>
  </si>
  <si>
    <t>828-262-3601</t>
  </si>
  <si>
    <t>APPLE GROVE</t>
  </si>
  <si>
    <t xml:space="preserve">3575 HACKS CROSS </t>
  </si>
  <si>
    <t>901-755-1244</t>
  </si>
  <si>
    <t>APPLE RIDGE HEALTH &amp; REHAB</t>
  </si>
  <si>
    <t xml:space="preserve">115 ORENDORFF AVE </t>
  </si>
  <si>
    <t>APPLE VALLEY CARE CENTER</t>
  </si>
  <si>
    <t xml:space="preserve">11959 APPLE VALLEY ROAD </t>
  </si>
  <si>
    <t>760-240-5051</t>
  </si>
  <si>
    <t>APPLE VALLEY RESIDENCE</t>
  </si>
  <si>
    <t xml:space="preserve">715 N BUTTE </t>
  </si>
  <si>
    <t>208-365-1497</t>
  </si>
  <si>
    <t>APPLEGATE @ DRUMMOND</t>
  </si>
  <si>
    <t xml:space="preserve">2796 DRUMMOND PLACE </t>
  </si>
  <si>
    <t>THOUSAND OAKS</t>
  </si>
  <si>
    <t>805-207-7791</t>
  </si>
  <si>
    <t>APPOMATTOX HEALTH CARE CENTER</t>
  </si>
  <si>
    <t xml:space="preserve">ROUTE 5 BOX 1098 </t>
  </si>
  <si>
    <t>APPOMATTOX</t>
  </si>
  <si>
    <t>434-352-7420</t>
  </si>
  <si>
    <t>APREVA HOSPICE</t>
  </si>
  <si>
    <t xml:space="preserve">1565 HOTEL CIRCLE #320 </t>
  </si>
  <si>
    <t>619-450-4414</t>
  </si>
  <si>
    <t>AQUINATA HALL DOMINICAN SISTERS</t>
  </si>
  <si>
    <t xml:space="preserve">2025 FULTON STREET </t>
  </si>
  <si>
    <t>616-459-2910</t>
  </si>
  <si>
    <t>AQUINATA HOME FOR THE AGED</t>
  </si>
  <si>
    <t xml:space="preserve">153 LAKESIDEDRIVE NE </t>
  </si>
  <si>
    <t>ARBOR GLEN AT ARBOR TRACE</t>
  </si>
  <si>
    <t xml:space="preserve">1000 ARBOR LAKE DRIVE </t>
  </si>
  <si>
    <t>239-598-2929</t>
  </si>
  <si>
    <t>ARBOR LAKE HEALTHCARE LA</t>
  </si>
  <si>
    <t xml:space="preserve">1155 STERLINGTON HIGHWAY </t>
  </si>
  <si>
    <t>FARMERVILLE</t>
  </si>
  <si>
    <t>318-368-3103</t>
  </si>
  <si>
    <t>ARBOR SPRINGS HEALTH &amp; REHAB</t>
  </si>
  <si>
    <t xml:space="preserve">1910 PEPPERELL PARKWAY </t>
  </si>
  <si>
    <t>OPELIKA</t>
  </si>
  <si>
    <t>ARBOR TERRACE OF SHREWSBURY</t>
  </si>
  <si>
    <t xml:space="preserve">864 SHREWSBURY AVENUE </t>
  </si>
  <si>
    <t>TINTON FALLS</t>
  </si>
  <si>
    <t>732-784-2400</t>
  </si>
  <si>
    <t>ARBORS ASSISTED LIVING CENTER</t>
  </si>
  <si>
    <t xml:space="preserve">4502 W RANDOLPH </t>
  </si>
  <si>
    <t>580-242-4500</t>
  </si>
  <si>
    <t>ARBORS AT TOLEDO</t>
  </si>
  <si>
    <t xml:space="preserve">2900 Cherry Street </t>
  </si>
  <si>
    <t>419-242-7458</t>
  </si>
  <si>
    <t>ARBROOK PLAZA</t>
  </si>
  <si>
    <t xml:space="preserve">401 W. ARBROOK BLVD </t>
  </si>
  <si>
    <t>817-466-3094</t>
  </si>
  <si>
    <t>ARBUCKLE MEMORIAL HOSPITAL</t>
  </si>
  <si>
    <t xml:space="preserve">2011 W BROADWAY </t>
  </si>
  <si>
    <t>SULPHUR</t>
  </si>
  <si>
    <t>580-622-8227</t>
  </si>
  <si>
    <t>ARCADIA NURSING AND REHAB CENTER OF HAMILTON SQUARE NJ</t>
  </si>
  <si>
    <t xml:space="preserve">1501 STATE HWY </t>
  </si>
  <si>
    <t>HAMILTON SQUARE</t>
  </si>
  <si>
    <t>609-586-6114</t>
  </si>
  <si>
    <t>ARCADIA NURSING AND REHAB CENTER OF LITTLE EGG HARBOR NJ</t>
  </si>
  <si>
    <t xml:space="preserve">151 NINTH AVE </t>
  </si>
  <si>
    <t>LITTLE EGG HARBOR TW</t>
  </si>
  <si>
    <t>609-294-3200</t>
  </si>
  <si>
    <t>ARCADIA NURSING AND REHABILITATION CENTER</t>
  </si>
  <si>
    <t xml:space="preserve">P.O. BOX 97 </t>
  </si>
  <si>
    <t>NELSONIA</t>
  </si>
  <si>
    <t>757-665-5555</t>
  </si>
  <si>
    <t>ARCADIA VALLEY</t>
  </si>
  <si>
    <t xml:space="preserve">101 RIGGS SCOTT LANE </t>
  </si>
  <si>
    <t>IRONTON</t>
  </si>
  <si>
    <t>573-546-7429</t>
  </si>
  <si>
    <t>ARCADIAN COVE</t>
  </si>
  <si>
    <t xml:space="preserve">532 CADY DRIVE </t>
  </si>
  <si>
    <t>859-624-0022</t>
  </si>
  <si>
    <t>ARCHSTONE CARE CENTER</t>
  </si>
  <si>
    <t xml:space="preserve">1980 WEST PECOS ROAD </t>
  </si>
  <si>
    <t>480-821-1268</t>
  </si>
  <si>
    <t>ARCP INVESTMENTS-UPLAND INC</t>
  </si>
  <si>
    <t xml:space="preserve">160 W BONITA </t>
  </si>
  <si>
    <t>909-592-0980</t>
  </si>
  <si>
    <t>ARDEN COURTS OF ANNANDALE</t>
  </si>
  <si>
    <t xml:space="preserve">7104 BRADDOCK ROAD </t>
  </si>
  <si>
    <t>703-256-0882</t>
  </si>
  <si>
    <t>ARDEN COURTS OF FAIR OAKS</t>
  </si>
  <si>
    <t xml:space="preserve">12469 LEE JACKSON MEMORIAL HIGHWAY </t>
  </si>
  <si>
    <t>703-383-0060</t>
  </si>
  <si>
    <t xml:space="preserve">445 WAWONA STREET </t>
  </si>
  <si>
    <t>415-379-2224</t>
  </si>
  <si>
    <t>ARDENT CARE ASSISTED LIVING</t>
  </si>
  <si>
    <t xml:space="preserve">1665 S BROOKHURST STREET </t>
  </si>
  <si>
    <t>714-991-0991</t>
  </si>
  <si>
    <t>AREA AGENCY ON AGING OF NW ARK</t>
  </si>
  <si>
    <t xml:space="preserve">910-B HWY 62-65 N </t>
  </si>
  <si>
    <t>870-741-1144</t>
  </si>
  <si>
    <t>AREA AGENCY ON AGING OF SE ARK</t>
  </si>
  <si>
    <t xml:space="preserve">709 E 8TH </t>
  </si>
  <si>
    <t>PINE BLUFF</t>
  </si>
  <si>
    <t>870-543-6300</t>
  </si>
  <si>
    <t>ARGENTINE CARE CENTER</t>
  </si>
  <si>
    <t xml:space="preserve">9051 SILVER LAKE ROAD </t>
  </si>
  <si>
    <t>810-735-9487</t>
  </si>
  <si>
    <t>ARKANSAS CONVALESCENT CENTER</t>
  </si>
  <si>
    <t xml:space="preserve">6301 S HAZEL </t>
  </si>
  <si>
    <t>870-534-8153</t>
  </si>
  <si>
    <t>ARKANSAS COUNTY HOME HEALTH</t>
  </si>
  <si>
    <t xml:space="preserve">806 W 22ND SUITE D </t>
  </si>
  <si>
    <t>STUTTGART</t>
  </si>
  <si>
    <t>870-673-7146</t>
  </si>
  <si>
    <t>ARKANSAS NURSING &amp; REHAB</t>
  </si>
  <si>
    <t xml:space="preserve">2107 DUDLEY </t>
  </si>
  <si>
    <t>870-772-4427</t>
  </si>
  <si>
    <t>ARLEIGH BURKE PAVILION</t>
  </si>
  <si>
    <t xml:space="preserve">1739 KIRBY ROAD </t>
  </si>
  <si>
    <t>703-506-6900</t>
  </si>
  <si>
    <t>ARLINGTON LANES</t>
  </si>
  <si>
    <t xml:space="preserve">7100 ARLINGTON AVENUE </t>
  </si>
  <si>
    <t>HPSI:RECREATION CAMPS</t>
  </si>
  <si>
    <t>951-688-2695</t>
  </si>
  <si>
    <t>ARMED FORCES RETIREMENT HOME-REC CENTER</t>
  </si>
  <si>
    <t xml:space="preserve">3700 N CAPITOL ST NW LA GARDE BLDG </t>
  </si>
  <si>
    <t>202-541-7732</t>
  </si>
  <si>
    <t>ARROHEAD BEHAVORIAL HEALTH</t>
  </si>
  <si>
    <t xml:space="preserve">1725 TIMBERLINE RD </t>
  </si>
  <si>
    <t>419-891-9333</t>
  </si>
  <si>
    <t>ARROWHEAD HOUSE EAST</t>
  </si>
  <si>
    <t xml:space="preserve">16 S 18TH AVENUE EAST </t>
  </si>
  <si>
    <t>218-728-8977</t>
  </si>
  <si>
    <t>ARTHUR B. HODGES CENTER INC.</t>
  </si>
  <si>
    <t xml:space="preserve">500 MORRIS STREET </t>
  </si>
  <si>
    <t>304-345-6560</t>
  </si>
  <si>
    <t>ARTHUR HOME</t>
  </si>
  <si>
    <t xml:space="preserve">423 EBERHARDT DRIVE </t>
  </si>
  <si>
    <t>ARTHUR</t>
  </si>
  <si>
    <t>217-543-2103</t>
  </si>
  <si>
    <t>ARTHUR'S COFFEE SHOP LA HABRA</t>
  </si>
  <si>
    <t xml:space="preserve">1281 E LA HABRA BLVD </t>
  </si>
  <si>
    <t>LA HABRA</t>
  </si>
  <si>
    <t>562-691-7793</t>
  </si>
  <si>
    <t>ASCENSION SCHOOL</t>
  </si>
  <si>
    <t xml:space="preserve">4600 LYNBROOK DRIVE </t>
  </si>
  <si>
    <t>502-451-0334</t>
  </si>
  <si>
    <t>ASHBRIDGE MANOR</t>
  </si>
  <si>
    <t xml:space="preserve">971 E. LANCASTER AVE </t>
  </si>
  <si>
    <t>DOWNINGTON</t>
  </si>
  <si>
    <t>610-269-8800</t>
  </si>
  <si>
    <t>ASHBY CARE CENTER</t>
  </si>
  <si>
    <t xml:space="preserve">2270 ASHBY AVE </t>
  </si>
  <si>
    <t>510-841-9494</t>
  </si>
  <si>
    <t>ASHEVILLE HEALTH CARE CENTER</t>
  </si>
  <si>
    <t xml:space="preserve">1984 US 70 HIGHWAY </t>
  </si>
  <si>
    <t>SWANNANOA</t>
  </si>
  <si>
    <t>828-298-2037</t>
  </si>
  <si>
    <t>ASHFORD ASSISTED LIVING &amp; MEMORY CARE OF DRAPER</t>
  </si>
  <si>
    <t xml:space="preserve">14178 S BANGERTER PKWY </t>
  </si>
  <si>
    <t>DRAPER</t>
  </si>
  <si>
    <t>801-523-1600</t>
  </si>
  <si>
    <t>ASHFORD MEMORY CARE</t>
  </si>
  <si>
    <t xml:space="preserve">10322 N 4800 W </t>
  </si>
  <si>
    <t>801-380-9451</t>
  </si>
  <si>
    <t>ASHFORD OF SPRINGVILLE</t>
  </si>
  <si>
    <t xml:space="preserve">333 S 950 WEST </t>
  </si>
  <si>
    <t>ASHLAN VILLAGE</t>
  </si>
  <si>
    <t xml:space="preserve">415 BRENDA WAY </t>
  </si>
  <si>
    <t>LYMAN</t>
  </si>
  <si>
    <t>864-949-7825</t>
  </si>
  <si>
    <t>ASHLAND COUNTY COUNCIL ON AGING</t>
  </si>
  <si>
    <t xml:space="preserve">240 EAST 3RD STREET </t>
  </si>
  <si>
    <t>419-281-1477</t>
  </si>
  <si>
    <t>ASHLEY ADDICTION TREATMENT</t>
  </si>
  <si>
    <t xml:space="preserve">800 TYDINGS LANE </t>
  </si>
  <si>
    <t>410-273-2216</t>
  </si>
  <si>
    <t>ASHLEY COUNTY HOME HEALTH</t>
  </si>
  <si>
    <t xml:space="preserve">208 ALABAMA </t>
  </si>
  <si>
    <t>CROSSETT</t>
  </si>
  <si>
    <t>870-364-7788</t>
  </si>
  <si>
    <t>ASHLEY COURT OF BRIGHTON</t>
  </si>
  <si>
    <t xml:space="preserve">7400 CHALLIS ROAD </t>
  </si>
  <si>
    <t>810-225-7400</t>
  </si>
  <si>
    <t>ASHLEY MANOR SENIOR LIVING</t>
  </si>
  <si>
    <t xml:space="preserve">9327 W CORY LANE </t>
  </si>
  <si>
    <t>208-376-1300</t>
  </si>
  <si>
    <t>ASHTON PLACE HEALTH &amp; REHAB</t>
  </si>
  <si>
    <t xml:space="preserve">5533 BURLINGTON ROAD </t>
  </si>
  <si>
    <t>MCLEANSVILLE</t>
  </si>
  <si>
    <t>336-698-0045</t>
  </si>
  <si>
    <t>ASHTON TERRACE CELINA</t>
  </si>
  <si>
    <t xml:space="preserve">1301 MYERS ROAD </t>
  </si>
  <si>
    <t>CELINA</t>
  </si>
  <si>
    <t>419-586-3016</t>
  </si>
  <si>
    <t>ASPEN ACRES ASSISTED LIVING</t>
  </si>
  <si>
    <t xml:space="preserve">10214 ROCK CREEK ROAD </t>
  </si>
  <si>
    <t>715-292-7765</t>
  </si>
  <si>
    <t>ASPEN ASSISTED LIVING</t>
  </si>
  <si>
    <t xml:space="preserve">32406 SEVEN MILE ROAD </t>
  </si>
  <si>
    <t>248-987-4460</t>
  </si>
  <si>
    <t>ASPEN CREEK OF SULLIVAN</t>
  </si>
  <si>
    <t xml:space="preserve">411 NORTH WEST ST </t>
  </si>
  <si>
    <t>217-728-2092</t>
  </si>
  <si>
    <t>ASPEN CREEK OF TROY</t>
  </si>
  <si>
    <t xml:space="preserve">1924 SRA BRADLEY SMITH DR </t>
  </si>
  <si>
    <t>618-667-2003</t>
  </si>
  <si>
    <t>ASPEN HILL</t>
  </si>
  <si>
    <t xml:space="preserve">12395 FOREST HILL RD </t>
  </si>
  <si>
    <t>571-217-1872</t>
  </si>
  <si>
    <t>ASPEN PLACE LIVING CENTER</t>
  </si>
  <si>
    <t xml:space="preserve">202 EAST 1ST STREET </t>
  </si>
  <si>
    <t>WETUMKA</t>
  </si>
  <si>
    <t>405-452-3271</t>
  </si>
  <si>
    <t>ASPEN POINTE</t>
  </si>
  <si>
    <t xml:space="preserve">1675 GARDEN OF THE GODS RD </t>
  </si>
  <si>
    <t>719-444-5238</t>
  </si>
  <si>
    <t>ASPEN RIDGE RETIREMENT COMMUNITY</t>
  </si>
  <si>
    <t xml:space="preserve">1010 NE PURCELL BLVD </t>
  </si>
  <si>
    <t>541-633-7324</t>
  </si>
  <si>
    <t>ASPEN SIESTA</t>
  </si>
  <si>
    <t xml:space="preserve">5353 E YALE AVE </t>
  </si>
  <si>
    <t>303-757-1209</t>
  </si>
  <si>
    <t>ASPEN VALLEY SENIOR LIVING</t>
  </si>
  <si>
    <t xml:space="preserve">4455 E WARM SPRINGS AVENUE </t>
  </si>
  <si>
    <t>208-866-4676</t>
  </si>
  <si>
    <t>ASSISTED LIVING AT SWANS LANDING</t>
  </si>
  <si>
    <t xml:space="preserve">4154 SWANS LANDING </t>
  </si>
  <si>
    <t>210-836-7233</t>
  </si>
  <si>
    <t>ASSISTED LIVING MINISTRY SERVICES EAST LIVERPOOL</t>
  </si>
  <si>
    <t xml:space="preserve">650 ST CLAIR AVE </t>
  </si>
  <si>
    <t>EAST LIVERPOOL</t>
  </si>
  <si>
    <t>330-385-0700</t>
  </si>
  <si>
    <t>ASSISTED LIVING OF DRAPER</t>
  </si>
  <si>
    <t xml:space="preserve">217 E SCENIC PEAK COVE </t>
  </si>
  <si>
    <t>801-824-3410</t>
  </si>
  <si>
    <t>ASSISTED LIVING SERVICES AT RICHFIELD</t>
  </si>
  <si>
    <t xml:space="preserve">P.O. BOX 3240 </t>
  </si>
  <si>
    <t>540-380-6538</t>
  </si>
  <si>
    <t>ASSISTED LIVING VILLAGES</t>
  </si>
  <si>
    <t xml:space="preserve">6526 MAIN AVENUE </t>
  </si>
  <si>
    <t>ORANGEVALE</t>
  </si>
  <si>
    <t>916-821-3091</t>
  </si>
  <si>
    <t>ASSISTED LIVING VILLAGES 2</t>
  </si>
  <si>
    <t xml:space="preserve">7111 MAIN AVENUE </t>
  </si>
  <si>
    <t>ASSURED HORIZONS</t>
  </si>
  <si>
    <t xml:space="preserve">18410 COLVILLE STREET </t>
  </si>
  <si>
    <t>949-933-5938</t>
  </si>
  <si>
    <t>ASTOR HOUSE</t>
  </si>
  <si>
    <t xml:space="preserve">1125 CLARION AVENUE </t>
  </si>
  <si>
    <t>419-861-6999</t>
  </si>
  <si>
    <t>ASTORIA GARDENS OAKDALE</t>
  </si>
  <si>
    <t xml:space="preserve">700 LAUREL AVENUE </t>
  </si>
  <si>
    <t>209-847-0864</t>
  </si>
  <si>
    <t>ASTORIA POINTE</t>
  </si>
  <si>
    <t xml:space="preserve">263 W EXCHANGE ST </t>
  </si>
  <si>
    <t>503-325-3000</t>
  </si>
  <si>
    <t>ATASCADERO CHRISTIAN HOME</t>
  </si>
  <si>
    <t xml:space="preserve">8455 SANTA ROSA ROAD </t>
  </si>
  <si>
    <t>805-466-0281</t>
  </si>
  <si>
    <t>ATASCOCITA MEN</t>
  </si>
  <si>
    <t xml:space="preserve">2310 1/2 ATASCOCITA RD </t>
  </si>
  <si>
    <t>HUMBLE</t>
  </si>
  <si>
    <t>ATASCOCITA WOMEN</t>
  </si>
  <si>
    <t xml:space="preserve">2312 ATASCOCITA RD </t>
  </si>
  <si>
    <t>ATHENS HEALTH AND REHAB LLC</t>
  </si>
  <si>
    <t xml:space="preserve">611 W MARKET STREET </t>
  </si>
  <si>
    <t>256-232-1620</t>
  </si>
  <si>
    <t>ATHENS HEALTHCARE &amp; REHAB CENTER</t>
  </si>
  <si>
    <t xml:space="preserve">305 S PALESTINE STREET </t>
  </si>
  <si>
    <t>903-675-2046</t>
  </si>
  <si>
    <t>ATHERTON BAPTIST HOMES</t>
  </si>
  <si>
    <t xml:space="preserve">214 S ATLANTIC BLVD </t>
  </si>
  <si>
    <t>626-289-4178</t>
  </si>
  <si>
    <t>ATHERTON REGENCY</t>
  </si>
  <si>
    <t xml:space="preserve">1275 CRANE STREET </t>
  </si>
  <si>
    <t>MENLO PARK</t>
  </si>
  <si>
    <t>650-325-8600</t>
  </si>
  <si>
    <t>ATLANTA CENTER FOR MEDICAL RESEARCH</t>
  </si>
  <si>
    <t xml:space="preserve">501 FAIRBURN RD SW </t>
  </si>
  <si>
    <t>404-881-5800</t>
  </si>
  <si>
    <t>ATLANTIC HEALTHCARE PRODUCTS</t>
  </si>
  <si>
    <t xml:space="preserve">9832 S MILITARY TRAIL G1 </t>
  </si>
  <si>
    <t>561-733-2331</t>
  </si>
  <si>
    <t xml:space="preserve">6782 FOREST HILL BLVD </t>
  </si>
  <si>
    <t>561-964-6767</t>
  </si>
  <si>
    <t>ATLANTIC SHORES CHRISTIAN</t>
  </si>
  <si>
    <t xml:space="preserve">1861 KEMPSVILLE RD </t>
  </si>
  <si>
    <t>757-479-1125</t>
  </si>
  <si>
    <t>ATLANTIC SHORES CHRISTIAN HS</t>
  </si>
  <si>
    <t xml:space="preserve">1217 N. CENTERVILLE TURNPIKE </t>
  </si>
  <si>
    <t>757-479-9598</t>
  </si>
  <si>
    <t>ATLANTIC SHORES CHRISTIAN SCHOOL</t>
  </si>
  <si>
    <t xml:space="preserve">1217 N CENTERVILLE TURNPIKE </t>
  </si>
  <si>
    <t>757-479-3331</t>
  </si>
  <si>
    <t>ATOKA MANOR</t>
  </si>
  <si>
    <t xml:space="preserve">1500 S VIRGINIA </t>
  </si>
  <si>
    <t>ATOKA</t>
  </si>
  <si>
    <t>580-889-2500</t>
  </si>
  <si>
    <t>ATRIA CYPRESSWOOD</t>
  </si>
  <si>
    <t xml:space="preserve">6611 CYPRESSWOOD DRIVE </t>
  </si>
  <si>
    <t>281-370-5444</t>
  </si>
  <si>
    <t>ATRIUM VILLAGE</t>
  </si>
  <si>
    <t xml:space="preserve">117 S 3RD ST PO BOX 220 </t>
  </si>
  <si>
    <t>HILLS</t>
  </si>
  <si>
    <t>319-679-2224</t>
  </si>
  <si>
    <t>ATTALLA HEALTH CARE INC.</t>
  </si>
  <si>
    <t xml:space="preserve">915 STEWART AVENUE </t>
  </si>
  <si>
    <t>ATTALLA</t>
  </si>
  <si>
    <t>205-538-7852</t>
  </si>
  <si>
    <t>ATTIC ANGEL PLACE</t>
  </si>
  <si>
    <t xml:space="preserve">8301 OLD SAUK RD </t>
  </si>
  <si>
    <t>MIDDLETON</t>
  </si>
  <si>
    <t>608-662-8842</t>
  </si>
  <si>
    <t>AUDIOLOGY &amp; HEARING AID CENTER</t>
  </si>
  <si>
    <t xml:space="preserve">65 WEST STREET RD SUITE B104 </t>
  </si>
  <si>
    <t>WARMINISTER</t>
  </si>
  <si>
    <t>215-622-9239</t>
  </si>
  <si>
    <t>AURORA BEHAVIORAL HEALTH CARE-SAN DIEGO</t>
  </si>
  <si>
    <t xml:space="preserve">11878 AVENUE OF INDUSTRY </t>
  </si>
  <si>
    <t>858-487-3200</t>
  </si>
  <si>
    <t>AURORA OF STATESVIILE</t>
  </si>
  <si>
    <t xml:space="preserve">1902 ORA DRIVE </t>
  </si>
  <si>
    <t>704-878-6376</t>
  </si>
  <si>
    <t>AUSTIN ADULT CARE</t>
  </si>
  <si>
    <t xml:space="preserve">511 BUMGARNER RD </t>
  </si>
  <si>
    <t>CONOVER</t>
  </si>
  <si>
    <t>AUSTIN CHILDREN'S SHELTER</t>
  </si>
  <si>
    <t xml:space="preserve">4800 MANOR ROAD </t>
  </si>
  <si>
    <t>512-581-1646</t>
  </si>
  <si>
    <t>AUTUMN ACRES PERSONAL CARE CENTER</t>
  </si>
  <si>
    <t xml:space="preserve">400 AUTUMN ACRES ROAD </t>
  </si>
  <si>
    <t>BERKELEY SPRINGS</t>
  </si>
  <si>
    <t>304-258-4330</t>
  </si>
  <si>
    <t>AUTUMN FIELDS OF SAVOY</t>
  </si>
  <si>
    <t xml:space="preserve">65 EAST AIRPORT ROAD </t>
  </si>
  <si>
    <t>217-355-1990</t>
  </si>
  <si>
    <t>AUTUMN LAKE AT CROFTON</t>
  </si>
  <si>
    <t xml:space="preserve">2131 DAVIDSONVILLE ROAD </t>
  </si>
  <si>
    <t>CROFTON</t>
  </si>
  <si>
    <t>410-793-0123</t>
  </si>
  <si>
    <t>AUTUMN RIDGE</t>
  </si>
  <si>
    <t xml:space="preserve">300 AUTUMN RIDGE </t>
  </si>
  <si>
    <t>HURCULANEUM</t>
  </si>
  <si>
    <t>636-931-8400</t>
  </si>
  <si>
    <t>AUTUMN RIDGE ASSISTED LIVING</t>
  </si>
  <si>
    <t xml:space="preserve">14280 W STANISLAUS </t>
  </si>
  <si>
    <t>KERMAN</t>
  </si>
  <si>
    <t>559-842-7727</t>
  </si>
  <si>
    <t>AUTUMN WIND/SMITHFIELD</t>
  </si>
  <si>
    <t xml:space="preserve">4302 NC 210 </t>
  </si>
  <si>
    <t>SMITHFIELD</t>
  </si>
  <si>
    <t>AUTUMN WINDS ASSISTED LIVING</t>
  </si>
  <si>
    <t xml:space="preserve">507 N. PINEWOOD ST </t>
  </si>
  <si>
    <t>ROSEBORO</t>
  </si>
  <si>
    <t>910-525-4082</t>
  </si>
  <si>
    <t>AUTUMN WINDS RETIREMENT LODGE</t>
  </si>
  <si>
    <t xml:space="preserve">3301 FM. RD. 3009 </t>
  </si>
  <si>
    <t>SCHERTZ</t>
  </si>
  <si>
    <t>210-658-6338</t>
  </si>
  <si>
    <t>AUTUMN WOOD MEMORY CARE</t>
  </si>
  <si>
    <t xml:space="preserve">2700 HICKORY ST </t>
  </si>
  <si>
    <t>918-283-4949</t>
  </si>
  <si>
    <t>AUTUMN WOOD RES. HEALTH CARE</t>
  </si>
  <si>
    <t xml:space="preserve">29800 HOOVER ROAD </t>
  </si>
  <si>
    <t>810-574-3444</t>
  </si>
  <si>
    <t>AUXILLARY SERVICES CORPORATION</t>
  </si>
  <si>
    <t xml:space="preserve">2600 E NUTWOOD AVENUE </t>
  </si>
  <si>
    <t>714-278-7075</t>
  </si>
  <si>
    <t>AVALON GARDEN</t>
  </si>
  <si>
    <t xml:space="preserve">4359 TAFT AVENUE </t>
  </si>
  <si>
    <t>314-521-7419</t>
  </si>
  <si>
    <t>AVALON PLACE-KIRBYVILLE</t>
  </si>
  <si>
    <t xml:space="preserve">700 N HENDON </t>
  </si>
  <si>
    <t>KIRBYVILLE</t>
  </si>
  <si>
    <t>409-423-6111</t>
  </si>
  <si>
    <t>AVALON PLACE-TRINITY</t>
  </si>
  <si>
    <t xml:space="preserve">808 S ROBB </t>
  </si>
  <si>
    <t>938-594-7521</t>
  </si>
  <si>
    <t>AVALON PLACE-WHARTON</t>
  </si>
  <si>
    <t xml:space="preserve">1405 VALHALIA DRIVE </t>
  </si>
  <si>
    <t>979-532-1244</t>
  </si>
  <si>
    <t>AVALON VILLA CARE CENTER</t>
  </si>
  <si>
    <t xml:space="preserve">12029 SOUTH AVALON BLVD </t>
  </si>
  <si>
    <t>323-756-8191</t>
  </si>
  <si>
    <t>AVANCER-HOMES LLC</t>
  </si>
  <si>
    <t xml:space="preserve">350 SYCAMORE ROAD </t>
  </si>
  <si>
    <t>GENOA</t>
  </si>
  <si>
    <t>815-784-5146</t>
  </si>
  <si>
    <t>AVANTARA LONG GROVE</t>
  </si>
  <si>
    <t xml:space="preserve">1666 CHECKER ROAD </t>
  </si>
  <si>
    <t>LONG GROVE</t>
  </si>
  <si>
    <t>847-419-1111</t>
  </si>
  <si>
    <t>AVANTARA PARK RIDGE</t>
  </si>
  <si>
    <t xml:space="preserve">1601 NORTH WESTERN AVENUE </t>
  </si>
  <si>
    <t>847-825-5531</t>
  </si>
  <si>
    <t>AVANTE REHABILITATION CENTER</t>
  </si>
  <si>
    <t xml:space="preserve">225 NORTH SOWERS </t>
  </si>
  <si>
    <t>940-322-7852</t>
  </si>
  <si>
    <t>AVANTGARDE SENIOR LIVING</t>
  </si>
  <si>
    <t xml:space="preserve">5645 LINDLEY AVENUE </t>
  </si>
  <si>
    <t>TARZANA</t>
  </si>
  <si>
    <t>818-881-0393</t>
  </si>
  <si>
    <t>AVE MARIA HOME</t>
  </si>
  <si>
    <t xml:space="preserve">2805 CHARLES BRYAN ROAD </t>
  </si>
  <si>
    <t>AVENTURA AT ASSUMPTION VILLAGE LLC</t>
  </si>
  <si>
    <t xml:space="preserve">9800 MARKET STREET </t>
  </si>
  <si>
    <t>NORTH LIMA</t>
  </si>
  <si>
    <t>216-549-0740</t>
  </si>
  <si>
    <t>AVENTURA AT HUMILITY HOUSE LLC</t>
  </si>
  <si>
    <t xml:space="preserve">755 OHLTOWN ROAD </t>
  </si>
  <si>
    <t>330-505-0144</t>
  </si>
  <si>
    <t>AVENTURA AT OAKWOOD VILLAGE LLC</t>
  </si>
  <si>
    <t xml:space="preserve">1500 VILLA ROAD </t>
  </si>
  <si>
    <t>937-390-9000</t>
  </si>
  <si>
    <t>AVERSBORO ASSISTED LIVING</t>
  </si>
  <si>
    <t xml:space="preserve">1437 AVERSBORO RD </t>
  </si>
  <si>
    <t>GARNER</t>
  </si>
  <si>
    <t>919-779-4560</t>
  </si>
  <si>
    <t>AVILA SENIOR LIVING</t>
  </si>
  <si>
    <t xml:space="preserve">475 MARSH STREET </t>
  </si>
  <si>
    <t>SAN LUIS OBISPO</t>
  </si>
  <si>
    <t>805-541-4222</t>
  </si>
  <si>
    <t>AVIS B. ADAMS CHRISTIAN CONV CTR</t>
  </si>
  <si>
    <t xml:space="preserve">200 WEAVER AVENUE </t>
  </si>
  <si>
    <t>EMPORIA</t>
  </si>
  <si>
    <t>804-634-6581</t>
  </si>
  <si>
    <t>AVON LAKE PRESBYTERIAN CHURCH</t>
  </si>
  <si>
    <t xml:space="preserve">32340 ELECTRIC BLVD </t>
  </si>
  <si>
    <t>AVON LAKE</t>
  </si>
  <si>
    <t>440-933-6240</t>
  </si>
  <si>
    <t>AVON OAKS NURSING HOME</t>
  </si>
  <si>
    <t xml:space="preserve">37800 FRENCH CREEK RD </t>
  </si>
  <si>
    <t>216-934-5204</t>
  </si>
  <si>
    <t>AVOYELLES MANOR NURSING HOME</t>
  </si>
  <si>
    <t xml:space="preserve">5682 HWY 107-SOUTH </t>
  </si>
  <si>
    <t>DUPONT</t>
  </si>
  <si>
    <t>318-922-3404</t>
  </si>
  <si>
    <t>AYERS NURSING HOME</t>
  </si>
  <si>
    <t xml:space="preserve">801 B STREET </t>
  </si>
  <si>
    <t>SNYDER</t>
  </si>
  <si>
    <t>580-569-2378</t>
  </si>
  <si>
    <t>AZALEA ESTATES ASSISTED LIVING AND RETIREMENT</t>
  </si>
  <si>
    <t xml:space="preserve">2305 S PURPERA AVENUE </t>
  </si>
  <si>
    <t>225-644-1028</t>
  </si>
  <si>
    <t xml:space="preserve">1758 SPRING HILL AVE </t>
  </si>
  <si>
    <t xml:space="preserve">MOBILE </t>
  </si>
  <si>
    <t>251-479-0551</t>
  </si>
  <si>
    <t>AZALEA PLACE</t>
  </si>
  <si>
    <t xml:space="preserve">810 S PORTER AVENUE </t>
  </si>
  <si>
    <t>903-593-2463</t>
  </si>
  <si>
    <t>AZALEA TRACE ASSISTED LIVING</t>
  </si>
  <si>
    <t xml:space="preserve">4107 GALLATIN PIKE </t>
  </si>
  <si>
    <t>615-681-6191</t>
  </si>
  <si>
    <t>AZLE MANOR</t>
  </si>
  <si>
    <t xml:space="preserve">721 DUNAWAY LANE </t>
  </si>
  <si>
    <t>AZLE</t>
  </si>
  <si>
    <t>817-444-2536</t>
  </si>
  <si>
    <t>AZTEC CONCESSIONS COX</t>
  </si>
  <si>
    <t xml:space="preserve">5555 CANYON CREST DRIVE </t>
  </si>
  <si>
    <t>619-594-7629</t>
  </si>
  <si>
    <t>AZTEC SHOPS</t>
  </si>
  <si>
    <t>AZTEC SHOPS C-STORE #806</t>
  </si>
  <si>
    <t>AZTEC SHOPS GROSSMONT-USE 280741</t>
  </si>
  <si>
    <t xml:space="preserve">8800 GROSSMONT COLLEGE DRIVE </t>
  </si>
  <si>
    <t>AZTEC SHOPS I.V.C.</t>
  </si>
  <si>
    <t>AZTEC SHOPS LTD</t>
  </si>
  <si>
    <t>AZTEC SHOPS LTD - CUYAMACA</t>
  </si>
  <si>
    <t xml:space="preserve">8800 GROSSMONT COLLEGE DR. </t>
  </si>
  <si>
    <t>AZTEC SHOPS LTD - GROSSMONT</t>
  </si>
  <si>
    <t>AZTEC SHOPS LTD COYOTE</t>
  </si>
  <si>
    <t xml:space="preserve"> </t>
  </si>
  <si>
    <t>AZTEC SHOPS LTD GRIFFIN</t>
  </si>
  <si>
    <t>AZTEC SHOPS-BETTY'S HOT DOGGER</t>
  </si>
  <si>
    <t>AZURA OF LAKEWOOD</t>
  </si>
  <si>
    <t xml:space="preserve">3190 S WADSWORTH BLVD SUITE 301 </t>
  </si>
  <si>
    <t>303-678-0642</t>
  </si>
  <si>
    <t>AZUSA PACIFIC UNIVERSITY</t>
  </si>
  <si>
    <t xml:space="preserve">910 E ALOSTA </t>
  </si>
  <si>
    <t>AZUSA</t>
  </si>
  <si>
    <t>626-812-3039</t>
  </si>
  <si>
    <t>BA CITY DINER</t>
  </si>
  <si>
    <t xml:space="preserve">740 W NEW ORLEANS ST </t>
  </si>
  <si>
    <t>918-451-7669</t>
  </si>
  <si>
    <t>BAART TURK STREET CLINIC</t>
  </si>
  <si>
    <t xml:space="preserve">433 TURK STREET </t>
  </si>
  <si>
    <t>415-928-7800</t>
  </si>
  <si>
    <t>BAART-RICHMOND CLINIC</t>
  </si>
  <si>
    <t xml:space="preserve">1313 CUTTING BLVD </t>
  </si>
  <si>
    <t>510-232-0874</t>
  </si>
  <si>
    <t>BAISCH NURSING CENTER</t>
  </si>
  <si>
    <t xml:space="preserve">3260 BAISCH DRIVE </t>
  </si>
  <si>
    <t>DESOTO</t>
  </si>
  <si>
    <t>636-586-2291</t>
  </si>
  <si>
    <t>BAKE-N-BROIL LONG BEACH</t>
  </si>
  <si>
    <t xml:space="preserve">3697 ATLANTIC AVENUE </t>
  </si>
  <si>
    <t>562-595-0396</t>
  </si>
  <si>
    <t>BAKER UNIVERSITY</t>
  </si>
  <si>
    <t xml:space="preserve">615 DEARBORN ST </t>
  </si>
  <si>
    <t>BALDWIN CITY</t>
  </si>
  <si>
    <t>785-594-8333</t>
  </si>
  <si>
    <t>BAKERSFIELD COLLEGE</t>
  </si>
  <si>
    <t xml:space="preserve">1801 PANORAMA DRIVE </t>
  </si>
  <si>
    <t>661-395-4345</t>
  </si>
  <si>
    <t>BALA NURSING AND REHAB CENTER</t>
  </si>
  <si>
    <t xml:space="preserve">4001 FORD RD </t>
  </si>
  <si>
    <t>215-877-5400</t>
  </si>
  <si>
    <t>BALANCE ASSISTED LIVING AND MEMORY CARE</t>
  </si>
  <si>
    <t xml:space="preserve">1321 S FAIRMONT AVENUE </t>
  </si>
  <si>
    <t>209-334-3436</t>
  </si>
  <si>
    <t>BALDWIN PARK</t>
  </si>
  <si>
    <t xml:space="preserve">21 WOODLEE ROAD </t>
  </si>
  <si>
    <t>STAUNTON</t>
  </si>
  <si>
    <t>540-885-1122</t>
  </si>
  <si>
    <t>BALL STATE - ATRIUM</t>
  </si>
  <si>
    <t xml:space="preserve">1525 NORTH MCKINLEY AVENUE </t>
  </si>
  <si>
    <t>BALL STATE - QUIZNO'S</t>
  </si>
  <si>
    <t>765-285-1967</t>
  </si>
  <si>
    <t>BALL STATE UNIVERSITY</t>
  </si>
  <si>
    <t>BALL STATE-BOOKMARK CAFE</t>
  </si>
  <si>
    <t>BALL STATE-EMENS AUDITORIUM</t>
  </si>
  <si>
    <t>BALL STATE-FRANK ELLIOTT DINING</t>
  </si>
  <si>
    <t>BALL STATE-JOHNSON DINING RCVG</t>
  </si>
  <si>
    <t>BALL STATE-MICRO CAFE</t>
  </si>
  <si>
    <t>BALL STATE-NORTH DINING</t>
  </si>
  <si>
    <t>765-285-5218</t>
  </si>
  <si>
    <t>BALL STATE-NOYER CENTRE</t>
  </si>
  <si>
    <t>BALL STATE-OUT OF BOUNDS</t>
  </si>
  <si>
    <t>BALL STATE-RESIDENCE HALL DINING SERVICES</t>
  </si>
  <si>
    <t>765-285-5151</t>
  </si>
  <si>
    <t>BALL STATE-SC TALLY</t>
  </si>
  <si>
    <t>BALL STATE-STUDEBAKER DINING SVC</t>
  </si>
  <si>
    <t>BALL STATE-STUDENT CENTER TALLY</t>
  </si>
  <si>
    <t>BALL STATE-TOM JOHN FOOD SHOP</t>
  </si>
  <si>
    <t>BALL STATE-UNIVERSITY CATERING</t>
  </si>
  <si>
    <t>BALL STATE-WOODWORTH PLAZA</t>
  </si>
  <si>
    <t>BANCROFT CONVALESCENT</t>
  </si>
  <si>
    <t xml:space="preserve">1475 BANCROFT AVE </t>
  </si>
  <si>
    <t>SAN LEANDRO</t>
  </si>
  <si>
    <t>510-483-1680</t>
  </si>
  <si>
    <t>BAPTIST HEALTH MEDICAL CENTER-HOT SPRING COUNTY</t>
  </si>
  <si>
    <t xml:space="preserve">1001 SCHNEIDER DRIVE </t>
  </si>
  <si>
    <t>MALVERN</t>
  </si>
  <si>
    <t>510-337-9066</t>
  </si>
  <si>
    <t>BAPTIST HOMES INC</t>
  </si>
  <si>
    <t xml:space="preserve">3001 N HURSTBOURNE PKWY </t>
  </si>
  <si>
    <t>502-420-7725</t>
  </si>
  <si>
    <t>BAPTIST VILLAGE</t>
  </si>
  <si>
    <t xml:space="preserve">2650 CARSWELL AVENUE </t>
  </si>
  <si>
    <t>WAYCROSS</t>
  </si>
  <si>
    <t>912-283-7050</t>
  </si>
  <si>
    <t>BARBARA KALLUS</t>
  </si>
  <si>
    <t xml:space="preserve">11761 REXMOOR DRIVE </t>
  </si>
  <si>
    <t>N. CHESTERFIELD</t>
  </si>
  <si>
    <t>BARNESVILLE HEALTH CARE CENTER</t>
  </si>
  <si>
    <t xml:space="preserve">400 CARRIE AVENUE </t>
  </si>
  <si>
    <t>614-425-3648</t>
  </si>
  <si>
    <t>BARNSDALL NURSING HOME</t>
  </si>
  <si>
    <t xml:space="preserve">411 S 4TH STREET </t>
  </si>
  <si>
    <t>BARNSDALL</t>
  </si>
  <si>
    <t>918-847-2572</t>
  </si>
  <si>
    <t>BARRE RISE</t>
  </si>
  <si>
    <t xml:space="preserve">580 SOUTH BARRE ROAD </t>
  </si>
  <si>
    <t>BARREN COUNTY NURSING AND REHAB</t>
  </si>
  <si>
    <t xml:space="preserve">300 WESTWOOD </t>
  </si>
  <si>
    <t>GLASGOW</t>
  </si>
  <si>
    <t>270-651-9131</t>
  </si>
  <si>
    <t>BARRINGTON COTTAGE OF WEST CHESTER</t>
  </si>
  <si>
    <t xml:space="preserve">7222 HERITAGESSPRING DRIVE </t>
  </si>
  <si>
    <t>513-777-4457</t>
  </si>
  <si>
    <t>BARRINGTON OF OAKLEY</t>
  </si>
  <si>
    <t xml:space="preserve">4855 BABSON PLACE </t>
  </si>
  <si>
    <t>513-561-9100</t>
  </si>
  <si>
    <t>BARRY EATON DISTRICT HEALTH DEPT</t>
  </si>
  <si>
    <t xml:space="preserve">1033 HEALTHCARE DR </t>
  </si>
  <si>
    <t>517-543-2430</t>
  </si>
  <si>
    <t>BARRY ROBINSON CENTER</t>
  </si>
  <si>
    <t xml:space="preserve">443 KEMPSVILLE ROAD </t>
  </si>
  <si>
    <t>757-455-6160</t>
  </si>
  <si>
    <t>BARTHELL O.E.S. HOME</t>
  </si>
  <si>
    <t xml:space="preserve">911 RIDGEWOOD </t>
  </si>
  <si>
    <t>563-382-8787</t>
  </si>
  <si>
    <t>BARTLESVILLE CARE CENTER</t>
  </si>
  <si>
    <t xml:space="preserve">3434 SE KENTUCKY PLACE </t>
  </si>
  <si>
    <t>918-333-9545</t>
  </si>
  <si>
    <t>BARTLEY HEALTHCARE</t>
  </si>
  <si>
    <t xml:space="preserve">175 BARTLEY ROAD </t>
  </si>
  <si>
    <t>732-370-4700</t>
  </si>
  <si>
    <t>BASECAMP-KATHERINE LANDING AT LAKE MOJAVE</t>
  </si>
  <si>
    <t xml:space="preserve">2690 KATHERINE SPUR ROAD </t>
  </si>
  <si>
    <t>BULLHEAD CITY</t>
  </si>
  <si>
    <t>928-754-3245</t>
  </si>
  <si>
    <t>BASS MEMORIAL ACADEMY</t>
  </si>
  <si>
    <t xml:space="preserve">6433 US HIGHWAY 11 </t>
  </si>
  <si>
    <t>LUMBERTON</t>
  </si>
  <si>
    <t>601-794-8561</t>
  </si>
  <si>
    <t>BASSETT UNIFIED SCHOOL DISTRICT</t>
  </si>
  <si>
    <t xml:space="preserve">904 N WILLOW AVE </t>
  </si>
  <si>
    <t>LA PUENTE</t>
  </si>
  <si>
    <t>626-931-3033</t>
  </si>
  <si>
    <t>BATES COLLEGE - COMMONS</t>
  </si>
  <si>
    <t xml:space="preserve">136 CENTRAL AVENUE </t>
  </si>
  <si>
    <t>207-786-6118</t>
  </si>
  <si>
    <t>BATES COUNTY MEMORIAL HOSPITAL</t>
  </si>
  <si>
    <t xml:space="preserve">615 W NURSERY STREET </t>
  </si>
  <si>
    <t>816-679-4135</t>
  </si>
  <si>
    <t>BATTLE CREEK ASSISTED LIVING</t>
  </si>
  <si>
    <t xml:space="preserve">14429 HELMER ROAD S </t>
  </si>
  <si>
    <t>269-969-4000</t>
  </si>
  <si>
    <t>BATTLEFIELD PARK CONVALESCENT CENTER</t>
  </si>
  <si>
    <t xml:space="preserve">250 FLANK ROAD </t>
  </si>
  <si>
    <t>804-861-2223</t>
  </si>
  <si>
    <t>BAVARIAN COMFORT CARE</t>
  </si>
  <si>
    <t xml:space="preserve">5366 W ROLLING HILLS DR </t>
  </si>
  <si>
    <t>989-777-7776</t>
  </si>
  <si>
    <t>BAXTER HOUSE ADULT CENTER</t>
  </si>
  <si>
    <t xml:space="preserve">1101-3 SPRING STREET </t>
  </si>
  <si>
    <t>870-425-7585</t>
  </si>
  <si>
    <t>BAY AREA HEALTHCARE CENTER</t>
  </si>
  <si>
    <t xml:space="preserve">1833 10TH AVE </t>
  </si>
  <si>
    <t>965-817-0714</t>
  </si>
  <si>
    <t>BAY CLIFF HEALTH CAMP</t>
  </si>
  <si>
    <t xml:space="preserve">N4175 BAYCLIFF DRIVE </t>
  </si>
  <si>
    <t>BIG BAY</t>
  </si>
  <si>
    <t>906-345-9314</t>
  </si>
  <si>
    <t>BAY COLLEGE -CAFE BAY</t>
  </si>
  <si>
    <t xml:space="preserve">2601 NORTH LINCOLN ROAD </t>
  </si>
  <si>
    <t>ESCANABA</t>
  </si>
  <si>
    <t>906-217-4015</t>
  </si>
  <si>
    <t>BAY COUNTY DIVISION ON AGING</t>
  </si>
  <si>
    <t xml:space="preserve">800 JOHN F KENNEDY DR </t>
  </si>
  <si>
    <t>989-895-4100</t>
  </si>
  <si>
    <t>BAY COUNTY JAIL</t>
  </si>
  <si>
    <t xml:space="preserve">503 3RD STREET </t>
  </si>
  <si>
    <t>989-895-4142</t>
  </si>
  <si>
    <t>BAY VIEW VILLA</t>
  </si>
  <si>
    <t xml:space="preserve">777 BAY VIEW DRIVE </t>
  </si>
  <si>
    <t>SAN CARLOS</t>
  </si>
  <si>
    <t>650-596-3489</t>
  </si>
  <si>
    <t>BAYBERRY</t>
  </si>
  <si>
    <t xml:space="preserve">111 WICKER CT. </t>
  </si>
  <si>
    <t>ROANOKE RAPIDS</t>
  </si>
  <si>
    <t>252-537-2995</t>
  </si>
  <si>
    <t>BAYLEY CAFE</t>
  </si>
  <si>
    <t xml:space="preserve">401 FARRELL COURT </t>
  </si>
  <si>
    <t>513-347-5500</t>
  </si>
  <si>
    <t>BAYMONT INN &amp; SUITES SPOKANE</t>
  </si>
  <si>
    <t xml:space="preserve">2016 N ARGONNE ROAD </t>
  </si>
  <si>
    <t>HPSI:HOTEL INNS MOTELS</t>
  </si>
  <si>
    <t>509-922-9002</t>
  </si>
  <si>
    <t>BAYSIDE HEALTH CARE CENTER</t>
  </si>
  <si>
    <t xml:space="preserve">P.O. BOX 68039 </t>
  </si>
  <si>
    <t>757-464-4058</t>
  </si>
  <si>
    <t>BAYSIDE OF POQUOSON CONVALESCENT CENTER</t>
  </si>
  <si>
    <t xml:space="preserve">1 VANTAGE DRIVE </t>
  </si>
  <si>
    <t>POQUOSON</t>
  </si>
  <si>
    <t>757-868-9960</t>
  </si>
  <si>
    <t>BAYSIDE PARK</t>
  </si>
  <si>
    <t xml:space="preserve">1440 40TH ST </t>
  </si>
  <si>
    <t>510-594-8800</t>
  </si>
  <si>
    <t>BAYSIDE VILLAGE</t>
  </si>
  <si>
    <t xml:space="preserve">833 SICOTTE </t>
  </si>
  <si>
    <t>L'ANSE</t>
  </si>
  <si>
    <t>906-524-6531</t>
  </si>
  <si>
    <t>BAYVIEW HEALTHCARE</t>
  </si>
  <si>
    <t xml:space="preserve">161 MARINE STREET </t>
  </si>
  <si>
    <t>904-829-3475</t>
  </si>
  <si>
    <t>BAYVIEW NURSING AND REHAB</t>
  </si>
  <si>
    <t xml:space="preserve">3003 KENSINGTON PARK DR </t>
  </si>
  <si>
    <t>NEW BERN</t>
  </si>
  <si>
    <t>252-638-1818</t>
  </si>
  <si>
    <t xml:space="preserve">11 WEST ALOHA STREET </t>
  </si>
  <si>
    <t>206-284-7330</t>
  </si>
  <si>
    <t>BEACON CREST SENIOR LIVING</t>
  </si>
  <si>
    <t xml:space="preserve">591 E PIONEER ROAD </t>
  </si>
  <si>
    <t>801-951-1300</t>
  </si>
  <si>
    <t>BEACON HILL AT EASTGATE</t>
  </si>
  <si>
    <t xml:space="preserve">1845 BOSTON STREET SE </t>
  </si>
  <si>
    <t>616-245-9179</t>
  </si>
  <si>
    <t>BEACON HILL NURSING HOME</t>
  </si>
  <si>
    <t xml:space="preserve">2905 CAMPBELL </t>
  </si>
  <si>
    <t>816-531-6168</t>
  </si>
  <si>
    <t>BEACON HILL RETIREMENT</t>
  </si>
  <si>
    <t xml:space="preserve">2400 S FINLEY RD </t>
  </si>
  <si>
    <t>LOMBARD</t>
  </si>
  <si>
    <t>630-691-4007</t>
  </si>
  <si>
    <t>BEACON OF HOPE</t>
  </si>
  <si>
    <t xml:space="preserve">1419 W BULLARD AVENUE </t>
  </si>
  <si>
    <t>BEADLES NURSING HOME</t>
  </si>
  <si>
    <t xml:space="preserve">916 NOBLE </t>
  </si>
  <si>
    <t>580-327-1274</t>
  </si>
  <si>
    <t>BEAUFONT HEALTH CARE CENTER</t>
  </si>
  <si>
    <t xml:space="preserve">200 HIOAKS ROAD </t>
  </si>
  <si>
    <t>804-272-2918</t>
  </si>
  <si>
    <t>BEAUFONT TOWERS RETIREMENT COMMUNITY</t>
  </si>
  <si>
    <t xml:space="preserve">7015 CARNATION STREET </t>
  </si>
  <si>
    <t>804-320-1412</t>
  </si>
  <si>
    <t>BEAUFORT COUNTY HOSPITAL</t>
  </si>
  <si>
    <t xml:space="preserve">628 EAST 12TH STREET </t>
  </si>
  <si>
    <t>252-975-4203</t>
  </si>
  <si>
    <t>BEAVER COUNTY NURSING HOME</t>
  </si>
  <si>
    <t xml:space="preserve">200 EAST 8TH STREET </t>
  </si>
  <si>
    <t>580-625-4571</t>
  </si>
  <si>
    <t>BEAVER DAM NURSING &amp; REHAB CTR</t>
  </si>
  <si>
    <t xml:space="preserve">1595 US HIGHWAY 231 SOUTH </t>
  </si>
  <si>
    <t>270-274-9646</t>
  </si>
  <si>
    <t>BECKWOOD MANOR</t>
  </si>
  <si>
    <t xml:space="preserve">500 LEIGHTON AVENUE </t>
  </si>
  <si>
    <t>205-236-4949</t>
  </si>
  <si>
    <t xml:space="preserve">1229 COUNTY FARM RD </t>
  </si>
  <si>
    <t>540-586-7658</t>
  </si>
  <si>
    <t>BEE CAVES URGENT CARE</t>
  </si>
  <si>
    <t xml:space="preserve">11614 FM 2244 STE 130 </t>
  </si>
  <si>
    <t>512-263-3911</t>
  </si>
  <si>
    <t>BEE HIVE HOMES OF MESQUITE</t>
  </si>
  <si>
    <t xml:space="preserve">780 SECOND SOUTH </t>
  </si>
  <si>
    <t>702-281-2001</t>
  </si>
  <si>
    <t>BEE HIVE HOMES OF MESQUITE II</t>
  </si>
  <si>
    <t xml:space="preserve">750 SECOND SOUTH BLDG 8 </t>
  </si>
  <si>
    <t>702-346-2040</t>
  </si>
  <si>
    <t>BEEBE MEDICAL CENTER</t>
  </si>
  <si>
    <t xml:space="preserve">424 SAVANNAH RD </t>
  </si>
  <si>
    <t>302-645-3511</t>
  </si>
  <si>
    <t>BEECHWOOD HOME CINCINNATI</t>
  </si>
  <si>
    <t xml:space="preserve">2140 POGUE AVENUE </t>
  </si>
  <si>
    <t>513-321-9294</t>
  </si>
  <si>
    <t>BEECHWOOD REST HOME</t>
  </si>
  <si>
    <t xml:space="preserve">N1495 W HWY A </t>
  </si>
  <si>
    <t>KEWASKUM</t>
  </si>
  <si>
    <t>920-994-4717</t>
  </si>
  <si>
    <t>BEEHIVE ASSISTED LIVING</t>
  </si>
  <si>
    <t xml:space="preserve">4014 TRINITY ROAD </t>
  </si>
  <si>
    <t>218-409-7980</t>
  </si>
  <si>
    <t>BEEHIVE HOME OF ELMO</t>
  </si>
  <si>
    <t xml:space="preserve">95 NORTH CENTER STREET </t>
  </si>
  <si>
    <t>ELMO</t>
  </si>
  <si>
    <t>435-653-2555</t>
  </si>
  <si>
    <t>BEEHIVE HOME OF PRICE</t>
  </si>
  <si>
    <t xml:space="preserve">1025 WEST 470 NORTH </t>
  </si>
  <si>
    <t>PRICE</t>
  </si>
  <si>
    <t>435-636-4483</t>
  </si>
  <si>
    <t>BEEHIVE HOMES OF DRAPER</t>
  </si>
  <si>
    <t xml:space="preserve">711 E PIONEER RD </t>
  </si>
  <si>
    <t>801-495-3100</t>
  </si>
  <si>
    <t>BEEHIVE HOMES OF GRAYSON COUNTY</t>
  </si>
  <si>
    <t xml:space="preserve">1417 BRANDENBURG ROAD </t>
  </si>
  <si>
    <t>270-485-1101</t>
  </si>
  <si>
    <t>BEEHIVE HOMES OF SOUTH JORDAN</t>
  </si>
  <si>
    <t xml:space="preserve">3430 W 11400 SO </t>
  </si>
  <si>
    <t>801-996-3777</t>
  </si>
  <si>
    <t>BEHAVIORAL HEALTH HILTON HEAD</t>
  </si>
  <si>
    <t xml:space="preserve">2200 MAIN STREET </t>
  </si>
  <si>
    <t>843-473-3325</t>
  </si>
  <si>
    <t>BEL AIRE AMERICAN FORK</t>
  </si>
  <si>
    <t xml:space="preserve">1088 EAST 390 SOUTH </t>
  </si>
  <si>
    <t>AMERICAN FORK</t>
  </si>
  <si>
    <t>801-763-0622</t>
  </si>
  <si>
    <t xml:space="preserve">BEL HAVEN CARE </t>
  </si>
  <si>
    <t xml:space="preserve">2020 N WEBER STREET </t>
  </si>
  <si>
    <t>559-486-5977</t>
  </si>
  <si>
    <t>BELAIRE HEALTH CARE CENTER</t>
  </si>
  <si>
    <t xml:space="preserve">2065 LYONS STREET </t>
  </si>
  <si>
    <t>704-867-7300</t>
  </si>
  <si>
    <t>BELCORT TERRACE NURSING HOME</t>
  </si>
  <si>
    <t xml:space="preserve">1710 BELCORT AVENUE </t>
  </si>
  <si>
    <t>615-383-3570</t>
  </si>
  <si>
    <t xml:space="preserve">802 WINDSONG WAY </t>
  </si>
  <si>
    <t>918-423-7020</t>
  </si>
  <si>
    <t>BELFAIR OF SHAWNEE</t>
  </si>
  <si>
    <t xml:space="preserve">1723 N AIRPORT DR </t>
  </si>
  <si>
    <t>405-275-1199</t>
  </si>
  <si>
    <t>BELGRADE NURSING HOME</t>
  </si>
  <si>
    <t xml:space="preserve">103 SCHOOL STREET </t>
  </si>
  <si>
    <t>BELGRADE</t>
  </si>
  <si>
    <t>320-254-8215</t>
  </si>
  <si>
    <t>BELL CONVALESCENT HOSPITAL</t>
  </si>
  <si>
    <t xml:space="preserve">4900 FLORENCE AVENUE </t>
  </si>
  <si>
    <t>323-560-2045</t>
  </si>
  <si>
    <t xml:space="preserve">BELLA ROSE NURSING &amp; REHAB </t>
  </si>
  <si>
    <t xml:space="preserve">200 BELLA ROSE LAKE WAY </t>
  </si>
  <si>
    <t>BELLA ROSE REHAB</t>
  </si>
  <si>
    <t xml:space="preserve">2353 S LACHANCE ROAD </t>
  </si>
  <si>
    <t>231-779-4671</t>
  </si>
  <si>
    <t>BELLA TERRA CEDAR CITY</t>
  </si>
  <si>
    <t xml:space="preserve">411 W 1325 N </t>
  </si>
  <si>
    <t>435-586-6481</t>
  </si>
  <si>
    <t>BELLA TERRA ST GEORGE</t>
  </si>
  <si>
    <t xml:space="preserve">178 S 1200 E </t>
  </si>
  <si>
    <t>ST GEORGE</t>
  </si>
  <si>
    <t>435-688-1207</t>
  </si>
  <si>
    <t>BELLA VISTA HEALTH CENTER</t>
  </si>
  <si>
    <t xml:space="preserve">7922 PALM ST </t>
  </si>
  <si>
    <t>LEMON GROVE</t>
  </si>
  <si>
    <t>619-644-1000</t>
  </si>
  <si>
    <t>BELLAIRE SENIOR LIVING</t>
  </si>
  <si>
    <t xml:space="preserve">12621 HALE STREET </t>
  </si>
  <si>
    <t>734-283-8000</t>
  </si>
  <si>
    <t>BELLE OAKS LIVING CENTER</t>
  </si>
  <si>
    <t xml:space="preserve">2353 S. LACHANCE RD </t>
  </si>
  <si>
    <t>BELLE VIE LIVING CENTER LLC</t>
  </si>
  <si>
    <t xml:space="preserve">535 COMMERCE STREET </t>
  </si>
  <si>
    <t>504-393-9595</t>
  </si>
  <si>
    <t>BELLEVILLE ASSISTED LIVING</t>
  </si>
  <si>
    <t xml:space="preserve">813 PELICAN AVE </t>
  </si>
  <si>
    <t>504-362-7166</t>
  </si>
  <si>
    <t>BELLEVUE COLLEGE</t>
  </si>
  <si>
    <t xml:space="preserve">3000 LANDERHOLM CIRCLE SE </t>
  </si>
  <si>
    <t>425-564-1000</t>
  </si>
  <si>
    <t>BELLINGHAM SENIOR CENTER</t>
  </si>
  <si>
    <t xml:space="preserve">315 HALLECK STREET </t>
  </si>
  <si>
    <t>360-733-4030</t>
  </si>
  <si>
    <t>BELLO GARDENS</t>
  </si>
  <si>
    <t xml:space="preserve">46 MARIPOSA STREET </t>
  </si>
  <si>
    <t>SAN ANSELMO</t>
  </si>
  <si>
    <t>415-933-7595</t>
  </si>
  <si>
    <t>BELLOWS FALLS RISE II</t>
  </si>
  <si>
    <t xml:space="preserve">11 UNDERHILL AVENUE </t>
  </si>
  <si>
    <t>BELLOWS FALLS</t>
  </si>
  <si>
    <t>802-463-9851</t>
  </si>
  <si>
    <t>BELL'S RESIDENTIAL ADULT CARE</t>
  </si>
  <si>
    <t xml:space="preserve">3720 DEEP CREEK BLVD </t>
  </si>
  <si>
    <t>757-397-5586</t>
  </si>
  <si>
    <t>BELLWOOD ASSISTED LIVING</t>
  </si>
  <si>
    <t xml:space="preserve">3190 CARTHAGE HWY </t>
  </si>
  <si>
    <t>615-453-4010</t>
  </si>
  <si>
    <t>BELMONT CONVALESCENT HOSPITAL</t>
  </si>
  <si>
    <t xml:space="preserve">1041 HILL ST </t>
  </si>
  <si>
    <t>94002-2317</t>
  </si>
  <si>
    <t>650-591-7181</t>
  </si>
  <si>
    <t>BELMONT VISTA</t>
  </si>
  <si>
    <t xml:space="preserve">900 6TH AVENUE </t>
  </si>
  <si>
    <t>650-591-2008</t>
  </si>
  <si>
    <t>BELVOIR WOODS HEALTHCARE CTR AT THE FAIRFAX</t>
  </si>
  <si>
    <t xml:space="preserve">9160 BELVOIR WOODS PARKWAY </t>
  </si>
  <si>
    <t>FORT BELVOIR</t>
  </si>
  <si>
    <t>703-799-1333</t>
  </si>
  <si>
    <t>BEN ATCHLEY VETERANS HOME</t>
  </si>
  <si>
    <t xml:space="preserve">1 VETERANS WAY </t>
  </si>
  <si>
    <t>865-862-8100</t>
  </si>
  <si>
    <t>BEN ESKEW</t>
  </si>
  <si>
    <t xml:space="preserve">543 12 ST. DIRVE NW </t>
  </si>
  <si>
    <t>HICKORY</t>
  </si>
  <si>
    <t>BENCHMARK TRANSITIONS</t>
  </si>
  <si>
    <t xml:space="preserve">1971 ESSEX COURT </t>
  </si>
  <si>
    <t>LOMA LINDA</t>
  </si>
  <si>
    <t>909-307-3973</t>
  </si>
  <si>
    <t>BENTLEY SENIOR LIVING AT PENNSAUKEN</t>
  </si>
  <si>
    <t xml:space="preserve">7999 N RTE 130 </t>
  </si>
  <si>
    <t>856-488-5557</t>
  </si>
  <si>
    <t>BENTLEY'S EXTENDED CAREST LOUIS</t>
  </si>
  <si>
    <t xml:space="preserve">3060 ASHBY ROAD </t>
  </si>
  <si>
    <t>314-426-0433</t>
  </si>
  <si>
    <t>BENTON ACADEMY</t>
  </si>
  <si>
    <t xml:space="preserve">216 ACADEMY DRIVE </t>
  </si>
  <si>
    <t>662-673-9722</t>
  </si>
  <si>
    <t>BENTON COUNTY SAC</t>
  </si>
  <si>
    <t xml:space="preserve">3501 SE L STREET </t>
  </si>
  <si>
    <t>BENTONVILLE</t>
  </si>
  <si>
    <t>501-273-7348</t>
  </si>
  <si>
    <t>BENT-WOOD NURSING CENTER</t>
  </si>
  <si>
    <t xml:space="preserve">1501 CHARBONIER ROAD </t>
  </si>
  <si>
    <t>314-921-2700</t>
  </si>
  <si>
    <t>BEREA CTR SPECIALIZED CARE-THB</t>
  </si>
  <si>
    <t xml:space="preserve">49 SHELDON ROAD </t>
  </si>
  <si>
    <t>440-234-0454</t>
  </si>
  <si>
    <t>BERGAMO CENTER</t>
  </si>
  <si>
    <t xml:space="preserve">4400 SHAKERTOWN ROAD </t>
  </si>
  <si>
    <t>937-426-2363</t>
  </si>
  <si>
    <t>BERKELEY PINES SKILLED NURSING CENTER</t>
  </si>
  <si>
    <t xml:space="preserve">2223 ASHBY AVENUE </t>
  </si>
  <si>
    <t>510-843-2711</t>
  </si>
  <si>
    <t>BERKSHIRE FARM CENTER</t>
  </si>
  <si>
    <t xml:space="preserve">13640 STATE RT 22 </t>
  </si>
  <si>
    <t>CANAAN</t>
  </si>
  <si>
    <t>518-781-4567</t>
  </si>
  <si>
    <t>BERKSHIRE HEALTH CARE CENTER</t>
  </si>
  <si>
    <t xml:space="preserve">705 CLEARVIEW DRIVE </t>
  </si>
  <si>
    <t>540-982-6691</t>
  </si>
  <si>
    <t>BERNADINE SENIOR INDEPENDENT LIVING</t>
  </si>
  <si>
    <t xml:space="preserve">363 E GILBERT STREET </t>
  </si>
  <si>
    <t>909-888-1227</t>
  </si>
  <si>
    <t>BERRY HILL NURSING HOME</t>
  </si>
  <si>
    <t xml:space="preserve">P.O. BOX 779 </t>
  </si>
  <si>
    <t>SOUTH BOSTON</t>
  </si>
  <si>
    <t>434-572-8901</t>
  </si>
  <si>
    <t>BEST WESTERN BRONCO INN</t>
  </si>
  <si>
    <t xml:space="preserve">105 W GALBREATH WAY </t>
  </si>
  <si>
    <t>509-659-5000</t>
  </si>
  <si>
    <t>BEST WESTERN GREEN MILL VILLAGE HOTEL</t>
  </si>
  <si>
    <t xml:space="preserve">917 GREEN MILL ROAD </t>
  </si>
  <si>
    <t>ARCOLA</t>
  </si>
  <si>
    <t>217-268-4000</t>
  </si>
  <si>
    <t>BETA THETA PI (UNC CHAPEL HILL)</t>
  </si>
  <si>
    <t xml:space="preserve">114 S COLUMBIA </t>
  </si>
  <si>
    <t>910-315-1064</t>
  </si>
  <si>
    <t>BETA THETA PI (UW)</t>
  </si>
  <si>
    <t xml:space="preserve">1617 NE 47TH </t>
  </si>
  <si>
    <t>206-736-2639</t>
  </si>
  <si>
    <t>BETA UPSILON FOUNDATION FOR EDUCATION INC</t>
  </si>
  <si>
    <t xml:space="preserve">411 E ROSEMARY ST </t>
  </si>
  <si>
    <t>919-360-8770</t>
  </si>
  <si>
    <t>BETH SHOLOM VILLAGE</t>
  </si>
  <si>
    <t xml:space="preserve">6401 AUBURN DR </t>
  </si>
  <si>
    <t>757-420-2512</t>
  </si>
  <si>
    <t>BETH SHOLOM VILLAGE-THE TERRACE</t>
  </si>
  <si>
    <t xml:space="preserve">1049 COLLEGE PARK BLVD </t>
  </si>
  <si>
    <t>757-282-2384</t>
  </si>
  <si>
    <t xml:space="preserve">11 ELLIOTT STREET </t>
  </si>
  <si>
    <t>712-328-8228</t>
  </si>
  <si>
    <t>BETHANY HOME DUBUQUE</t>
  </si>
  <si>
    <t xml:space="preserve">1005 LINCOLN AVENUE </t>
  </si>
  <si>
    <t>563-556-5233</t>
  </si>
  <si>
    <t>BETHANY LUTHERAN HOME</t>
  </si>
  <si>
    <t xml:space="preserve">7 ELLIOTT STREET </t>
  </si>
  <si>
    <t>712-328-9500</t>
  </si>
  <si>
    <t>BETHANY NURSING HOME</t>
  </si>
  <si>
    <t xml:space="preserve">626 34TH ST NW </t>
  </si>
  <si>
    <t>330-492-7171</t>
  </si>
  <si>
    <t xml:space="preserve">150 NOBLE LANE </t>
  </si>
  <si>
    <t>570-251-3463</t>
  </si>
  <si>
    <t>BETHEL HOME AND SERVICES</t>
  </si>
  <si>
    <t xml:space="preserve">614 S ROCK AVENUE </t>
  </si>
  <si>
    <t>608-637-2171</t>
  </si>
  <si>
    <t>BETHEL LUTHERAN HOME SELMA</t>
  </si>
  <si>
    <t xml:space="preserve">2280 DOCKERY AVENUE </t>
  </si>
  <si>
    <t>SELMA</t>
  </si>
  <si>
    <t>559-896-4900</t>
  </si>
  <si>
    <t>BETHEL MANOR EVANSVILLE</t>
  </si>
  <si>
    <t xml:space="preserve">6015 KRATZVILLE ROAD </t>
  </si>
  <si>
    <t>812-425-8182</t>
  </si>
  <si>
    <t>BETHEL RETIREMENT</t>
  </si>
  <si>
    <t xml:space="preserve">2345 SCENIC DRIVE </t>
  </si>
  <si>
    <t>209-523-2603</t>
  </si>
  <si>
    <t>BETHEL RIDGE ASSISTED LIVING</t>
  </si>
  <si>
    <t xml:space="preserve">10535 LEE HWY </t>
  </si>
  <si>
    <t>FINCASTLE</t>
  </si>
  <si>
    <t>540-992-6226</t>
  </si>
  <si>
    <t>BETHESDA HEALTH CARE FACILITY</t>
  </si>
  <si>
    <t xml:space="preserve">3532 DUNN ROAD </t>
  </si>
  <si>
    <t>910-323-8894</t>
  </si>
  <si>
    <t>BETHESDA HOME-HAYWARD</t>
  </si>
  <si>
    <t xml:space="preserve">22427 MONTGOMERY STREET </t>
  </si>
  <si>
    <t>510-538-8300</t>
  </si>
  <si>
    <t>BEULAH SCHOOL DISTRICT</t>
  </si>
  <si>
    <t xml:space="preserve">204 5TH STREET NW </t>
  </si>
  <si>
    <t>BEULAH</t>
  </si>
  <si>
    <t>701-873-5956</t>
  </si>
  <si>
    <t>BEVARIS - ST GENEVIEVE</t>
  </si>
  <si>
    <t xml:space="preserve">13967 ROSCOE BLVD </t>
  </si>
  <si>
    <t>818-645-2001</t>
  </si>
  <si>
    <t>BEVARIS ALLIANCE INC</t>
  </si>
  <si>
    <t xml:space="preserve">433 N CAMDEN DRIVE #600 </t>
  </si>
  <si>
    <t>BEVARIS-BISHOP ALEMANY HS</t>
  </si>
  <si>
    <t>BEVARIS-BISHOP AMOT HS</t>
  </si>
  <si>
    <t>BEVARIS-BISHOP MONTGOMERY HS</t>
  </si>
  <si>
    <t xml:space="preserve">5430 TORRANCE BLVD </t>
  </si>
  <si>
    <t>BEVARIS-CRESPI HS</t>
  </si>
  <si>
    <t xml:space="preserve">5031 ALONZO AVENUE </t>
  </si>
  <si>
    <t>BEVARIS-DON BOSCO HS</t>
  </si>
  <si>
    <t>BEVARIS-MCLB</t>
  </si>
  <si>
    <t xml:space="preserve">1030 PALMETTO DRIVE </t>
  </si>
  <si>
    <t xml:space="preserve"> BEVERLY HILLS</t>
  </si>
  <si>
    <t>310-497-4379</t>
  </si>
  <si>
    <t>BEVERLY FARM FOUNDATION</t>
  </si>
  <si>
    <t xml:space="preserve">6301 HUMBERT ROAD </t>
  </si>
  <si>
    <t>GODFREY</t>
  </si>
  <si>
    <t>618-466-0367</t>
  </si>
  <si>
    <t>BEVERLY HEALTHCARE - FREDERICKSBURG</t>
  </si>
  <si>
    <t xml:space="preserve">3900 PLANK ROAD </t>
  </si>
  <si>
    <t>540-786-8351</t>
  </si>
  <si>
    <t>BEVERLY HEALTHCARE - MARTINSVILLE</t>
  </si>
  <si>
    <t xml:space="preserve">P.O. BOX 3191 </t>
  </si>
  <si>
    <t>276-632-7146</t>
  </si>
  <si>
    <t>BEVERLY MANOR OF PORTSMOUTH</t>
  </si>
  <si>
    <t xml:space="preserve">900 LONDON BOULEVARD </t>
  </si>
  <si>
    <t>757-393-6864</t>
  </si>
  <si>
    <t>BEYSTONE HEALTH AND REHAB</t>
  </si>
  <si>
    <t xml:space="preserve">5933 OLD HAYWOOD ROAD </t>
  </si>
  <si>
    <t>MILLS RIVER</t>
  </si>
  <si>
    <t>828-684-4857</t>
  </si>
  <si>
    <t>BICKFORD OF LANCASTER</t>
  </si>
  <si>
    <t xml:space="preserve">1834 COUNTRY SIDE DRIVE </t>
  </si>
  <si>
    <t>740-689-9944</t>
  </si>
  <si>
    <t>BICKFORD OF MIDDLETOWN</t>
  </si>
  <si>
    <t xml:space="preserve">4375 UNION RD </t>
  </si>
  <si>
    <t>937-550-4911</t>
  </si>
  <si>
    <t>BICKFORD OF WEST LANSING</t>
  </si>
  <si>
    <t xml:space="preserve">6429 EARLINGTON LANE </t>
  </si>
  <si>
    <t xml:space="preserve">LANSING </t>
  </si>
  <si>
    <t>517-321-3391</t>
  </si>
  <si>
    <t>BIG BEND WOODS HEALTHCARE CENTER</t>
  </si>
  <si>
    <t>VALLEY PARK</t>
  </si>
  <si>
    <t>636-225-5144</t>
  </si>
  <si>
    <t>BIG FLAT SENIOR CENTER</t>
  </si>
  <si>
    <t xml:space="preserve">HWY 14 WEST </t>
  </si>
  <si>
    <t>BIG FLAT</t>
  </si>
  <si>
    <t>870-448-3674</t>
  </si>
  <si>
    <t>BIG JOES BAR AND GRILL</t>
  </si>
  <si>
    <t xml:space="preserve">1329 BULLSBORO </t>
  </si>
  <si>
    <t>770-755-9066</t>
  </si>
  <si>
    <t>BIG JOES GRILLE</t>
  </si>
  <si>
    <t xml:space="preserve">1158 SENOIA ROAD #B </t>
  </si>
  <si>
    <t>TYRONE</t>
  </si>
  <si>
    <t>587-366-4273</t>
  </si>
  <si>
    <t>BIG RIVER NURSING AND REHAB</t>
  </si>
  <si>
    <t xml:space="preserve">6400 CEDARS COURT </t>
  </si>
  <si>
    <t>CEDAR HILL</t>
  </si>
  <si>
    <t>314-274-1777</t>
  </si>
  <si>
    <t>BIG SANDY PUBLIC SCHOOLS (K-12)</t>
  </si>
  <si>
    <t xml:space="preserve">342 VERNON AVE </t>
  </si>
  <si>
    <t>BIG SANDY</t>
  </si>
  <si>
    <t>406-378-2406</t>
  </si>
  <si>
    <t>BIG SANDY SCHOOLS-CONCESSIONS</t>
  </si>
  <si>
    <t xml:space="preserve">3420 VERNON AVENUE </t>
  </si>
  <si>
    <t>BIGFORK SCHOOL DISTRICT 38</t>
  </si>
  <si>
    <t xml:space="preserve">600 COMMERCE STREET </t>
  </si>
  <si>
    <t>BIGFORK</t>
  </si>
  <si>
    <t>406-837-7409</t>
  </si>
  <si>
    <t>BILL NICHOLS V A NURSING HOME</t>
  </si>
  <si>
    <t xml:space="preserve">1801 ELKAHATCHEE ROAD </t>
  </si>
  <si>
    <t>ALEXANDER CITY</t>
  </si>
  <si>
    <t>256-329-0868</t>
  </si>
  <si>
    <t>BILL WILSON CENTER</t>
  </si>
  <si>
    <t xml:space="preserve">3490 THE ALAMEDA </t>
  </si>
  <si>
    <t>408-850-6155</t>
  </si>
  <si>
    <t>BILLY V HALL SAC</t>
  </si>
  <si>
    <t xml:space="preserve">1870 LIMEKILN ROAD </t>
  </si>
  <si>
    <t>GRAVETTE</t>
  </si>
  <si>
    <t>501-787-5950</t>
  </si>
  <si>
    <t>BINGER NURSING &amp; REHABILITATION</t>
  </si>
  <si>
    <t xml:space="preserve">516 N BROADWAY </t>
  </si>
  <si>
    <t>BINGER</t>
  </si>
  <si>
    <t>405-656-2302</t>
  </si>
  <si>
    <t>BIRCH GARDENS OF ROYAL CARE</t>
  </si>
  <si>
    <t xml:space="preserve">17 ROYAL DRIVE </t>
  </si>
  <si>
    <t>540-886-5007</t>
  </si>
  <si>
    <t>BIRCHES ASSISTED LIVING</t>
  </si>
  <si>
    <t xml:space="preserve">215 55TH STREET </t>
  </si>
  <si>
    <t>CLARENDON HILLS</t>
  </si>
  <si>
    <t>630-789-1135</t>
  </si>
  <si>
    <t>BIRMINGHAM GREEN</t>
  </si>
  <si>
    <t xml:space="preserve">8605 CENTREVILLE ROAD </t>
  </si>
  <si>
    <t>703-257-0935</t>
  </si>
  <si>
    <t>BISHOP ALEMANY HS</t>
  </si>
  <si>
    <t>BISHOP NOA HOME</t>
  </si>
  <si>
    <t xml:space="preserve">2900 3RD AVENUE SOUTH </t>
  </si>
  <si>
    <t>906-786-5810</t>
  </si>
  <si>
    <t>BISHOPS GLEN RETREAT CENTER-FOOD</t>
  </si>
  <si>
    <t xml:space="preserve">900 LPGA BLVD </t>
  </si>
  <si>
    <t>386-226-9000</t>
  </si>
  <si>
    <t>BLACKFEET CARE CENTER</t>
  </si>
  <si>
    <t xml:space="preserve">728 SO GOVERNMENT SQAURE </t>
  </si>
  <si>
    <t>BROWNING</t>
  </si>
  <si>
    <t>406-338-5971</t>
  </si>
  <si>
    <t>BLACKSHEAR RETIREMENT VILLAS</t>
  </si>
  <si>
    <t xml:space="preserve">1110 BLACKSHEAR ROAD </t>
  </si>
  <si>
    <t>CORDELE</t>
  </si>
  <si>
    <t>229-273-2405</t>
  </si>
  <si>
    <t>BLACKSMITH FORK OF HYRUM</t>
  </si>
  <si>
    <t xml:space="preserve">680 E MAIN STREET </t>
  </si>
  <si>
    <t>HYRUM</t>
  </si>
  <si>
    <t>435-994-3000</t>
  </si>
  <si>
    <t>BLAKEFORD AT GREEN HILLS</t>
  </si>
  <si>
    <t xml:space="preserve">11 BURTON HILLS BLVD </t>
  </si>
  <si>
    <t>615-665-2524</t>
  </si>
  <si>
    <t>BLAKEY HALL</t>
  </si>
  <si>
    <t xml:space="preserve">501 BLAKEY HALL LANE </t>
  </si>
  <si>
    <t>ELON</t>
  </si>
  <si>
    <t>336-506-2300</t>
  </si>
  <si>
    <t>BLEDSOE YOUTH ACADEMY-YOUTH OPPORTUNITY INVESTMENTS</t>
  </si>
  <si>
    <t xml:space="preserve">220 SOUTH HICKORY AVENUE </t>
  </si>
  <si>
    <t>727-800-3511</t>
  </si>
  <si>
    <t>BLESSED SACRAMENT CHURCH</t>
  </si>
  <si>
    <t xml:space="preserve">394 EAST MAIN STREET </t>
  </si>
  <si>
    <t>740-345-4125</t>
  </si>
  <si>
    <t>BLIND STAND PATTY CAKES</t>
  </si>
  <si>
    <t xml:space="preserve">2301 ARGONNE DRIVE </t>
  </si>
  <si>
    <t>410-554-9442</t>
  </si>
  <si>
    <t>BLINN COLLEGE</t>
  </si>
  <si>
    <t xml:space="preserve">902 COLLEGE AVENUE </t>
  </si>
  <si>
    <t>979-830-4123</t>
  </si>
  <si>
    <t>BLOOM AT LAKEWOOD SENIOR LIVING</t>
  </si>
  <si>
    <t xml:space="preserve">1341 MARLOWE AVENUE </t>
  </si>
  <si>
    <t>216-228-2266</t>
  </si>
  <si>
    <t>BLOOMINGDALE COURT</t>
  </si>
  <si>
    <t xml:space="preserve">740 HOLMES STREET </t>
  </si>
  <si>
    <t>925-371-3090</t>
  </si>
  <si>
    <t>BLOOMINGTON DAY CARE CENTER INC</t>
  </si>
  <si>
    <t xml:space="preserve">309 EAST WOOD STREET </t>
  </si>
  <si>
    <t>309-661-5600</t>
  </si>
  <si>
    <t>BLOSSOM RIDGE</t>
  </si>
  <si>
    <t xml:space="preserve">3145 LILY TRAIL </t>
  </si>
  <si>
    <t>OAKLAND TOWNSHIP</t>
  </si>
  <si>
    <t>248-759-8500</t>
  </si>
  <si>
    <t>BLUE CRAB</t>
  </si>
  <si>
    <t xml:space="preserve">4521 PRETTY LAKE AVENUE </t>
  </si>
  <si>
    <t>BLUE CRAB AT SALT POND</t>
  </si>
  <si>
    <t xml:space="preserve">1IVORY GULL CRESCENT </t>
  </si>
  <si>
    <t>HAMPTON</t>
  </si>
  <si>
    <t>BLUE MOUNTAIN CHRISTIAN RETREAT &amp; CONF CTR</t>
  </si>
  <si>
    <t xml:space="preserve">1 CHRISTIAN LANE </t>
  </si>
  <si>
    <t>NEW RINGOLD</t>
  </si>
  <si>
    <t>401-497-7270</t>
  </si>
  <si>
    <t>BLUE RIDGE HOSPICE INC.</t>
  </si>
  <si>
    <t xml:space="preserve">333 WEST CORK STREET </t>
  </si>
  <si>
    <t>540-665-5210</t>
  </si>
  <si>
    <t>BLUEBONNET SCHOOL</t>
  </si>
  <si>
    <t xml:space="preserve">3420 EL SALIDO PARKWAY </t>
  </si>
  <si>
    <t>CEDAR PARK</t>
  </si>
  <si>
    <t>512-331-9009</t>
  </si>
  <si>
    <t>BLUEWATER SEAFOOD &amp; CRAB</t>
  </si>
  <si>
    <t xml:space="preserve">4180 N 1ST STREET UNIT 10 </t>
  </si>
  <si>
    <t>408-289-8879</t>
  </si>
  <si>
    <t>BOBS MARKET</t>
  </si>
  <si>
    <t xml:space="preserve">1454 COUNTY ROUTE 22 </t>
  </si>
  <si>
    <t>GOUVERNEUR</t>
  </si>
  <si>
    <t>315-287-4461</t>
  </si>
  <si>
    <t>BOISE GROUP HOME INC.</t>
  </si>
  <si>
    <t xml:space="preserve">146 SO COLE ROAD </t>
  </si>
  <si>
    <t>208-376-1861</t>
  </si>
  <si>
    <t>BOMBAY PALACE</t>
  </si>
  <si>
    <t xml:space="preserve">8690 WILSHIRE BLVD </t>
  </si>
  <si>
    <t>310-659-9944</t>
  </si>
  <si>
    <t>BOND COUNTY SENIOR CENTER</t>
  </si>
  <si>
    <t xml:space="preserve">1001 E HARRIS AVENUE </t>
  </si>
  <si>
    <t>618-664-1465</t>
  </si>
  <si>
    <t>BONHAM NURSING CENTER</t>
  </si>
  <si>
    <t xml:space="preserve">477 BONNIEVILLE RD </t>
  </si>
  <si>
    <t>570-864-3174</t>
  </si>
  <si>
    <t>BONNER PLACE</t>
  </si>
  <si>
    <t xml:space="preserve">409 TRINITY RIVER CIRCLE </t>
  </si>
  <si>
    <t>903-586-9871</t>
  </si>
  <si>
    <t>BONNER STREET PLAZ HEALTHCARE AND REHAB</t>
  </si>
  <si>
    <t xml:space="preserve">421 S BONNER STREET </t>
  </si>
  <si>
    <t>BONNIE BRAE CONVALESCENT HOSPITAL</t>
  </si>
  <si>
    <t xml:space="preserve">420 SOUTH BONNIE BRAE ST </t>
  </si>
  <si>
    <t>213-483-8144</t>
  </si>
  <si>
    <t>BONNIE TERRE FAMILY FUN CENTER</t>
  </si>
  <si>
    <t xml:space="preserve">111 OLD ORCHARD ROAD </t>
  </si>
  <si>
    <t>BONNIE TERRE</t>
  </si>
  <si>
    <t>573-358-5007</t>
  </si>
  <si>
    <t>BOONE COUNTY ADULT CARE CENTER</t>
  </si>
  <si>
    <t xml:space="preserve">1516-A ROCK SPRINGS ROAD </t>
  </si>
  <si>
    <t>870-741-4991</t>
  </si>
  <si>
    <t>BOONE COUNTY SENIOR CENTER</t>
  </si>
  <si>
    <t xml:space="preserve">1516 ROCK SPRINGS ROAD </t>
  </si>
  <si>
    <t>870-741-1505</t>
  </si>
  <si>
    <t>BOSTON COMMONS LTD</t>
  </si>
  <si>
    <t xml:space="preserve">1146 N. MAIN STREET </t>
  </si>
  <si>
    <t>434-572-4959</t>
  </si>
  <si>
    <t>BOTHELL HEALTH CARE</t>
  </si>
  <si>
    <t xml:space="preserve">707 228TH STREET SW </t>
  </si>
  <si>
    <t>BOTHELL</t>
  </si>
  <si>
    <t>425-481-8500</t>
  </si>
  <si>
    <t>BOTHWELL REGIONAL HEALTH CENTER</t>
  </si>
  <si>
    <t xml:space="preserve">601 E 14TH ST. BOX 1706 </t>
  </si>
  <si>
    <t>SEDALIA</t>
  </si>
  <si>
    <t>816-826-8833</t>
  </si>
  <si>
    <t>BOURBON HEIGHTS NURSING HOME</t>
  </si>
  <si>
    <t xml:space="preserve">2000 SOUTH MAIN STREET </t>
  </si>
  <si>
    <t>859-987-5750</t>
  </si>
  <si>
    <t>BOWDOIN COLLEGE</t>
  </si>
  <si>
    <t xml:space="preserve">3700 COLLEGE STATION </t>
  </si>
  <si>
    <t>207-725-3912</t>
  </si>
  <si>
    <t>BOWDOIN COLLEGE-MOULTON UNION</t>
  </si>
  <si>
    <t>207-725-3432</t>
  </si>
  <si>
    <t>BOWDOIN COLLEGE-OUTING</t>
  </si>
  <si>
    <t>BOWDOIN COLLEGE-SMITH UNION</t>
  </si>
  <si>
    <t>BOWDOIN COLLEGE-UPWARD BOUND</t>
  </si>
  <si>
    <t>BOWDOIN COLLEGE-WAREHOUSE</t>
  </si>
  <si>
    <t>BOWDOIN COLLEGE-WENTWORTH-THORNE HALL</t>
  </si>
  <si>
    <t>207-253-4320</t>
  </si>
  <si>
    <t>BOX ELDER SCHOOLS #13-6</t>
  </si>
  <si>
    <t xml:space="preserve">205 MAIN ST </t>
  </si>
  <si>
    <t>BOX ELDER</t>
  </si>
  <si>
    <t>406-352-4195</t>
  </si>
  <si>
    <t>BOY SCOUTS OF AMERICA-OHIO RIVER VALLEY COUNCIL</t>
  </si>
  <si>
    <t xml:space="preserve">192 MCCOLLOUGH DR </t>
  </si>
  <si>
    <t>304-277-2660</t>
  </si>
  <si>
    <t>BOYS AND GIRLS CLUB OF THE HI-LINE</t>
  </si>
  <si>
    <t xml:space="preserve">500 FIRST AVE </t>
  </si>
  <si>
    <t>HAVRE</t>
  </si>
  <si>
    <t>406-265-6202</t>
  </si>
  <si>
    <t>BRADFORD VILLAGE RETIRMENT COMM</t>
  </si>
  <si>
    <t xml:space="preserve">906 N BOULEVARD </t>
  </si>
  <si>
    <t>405-341-0810</t>
  </si>
  <si>
    <t>BRADLEY COUNTY HOME HEALTH</t>
  </si>
  <si>
    <t xml:space="preserve">110 E CEDAR </t>
  </si>
  <si>
    <t>870-226-5769</t>
  </si>
  <si>
    <t>BRADLEY COURT</t>
  </si>
  <si>
    <t xml:space="preserve">675 E. BRADLEY COURT </t>
  </si>
  <si>
    <t>619-448-6633</t>
  </si>
  <si>
    <t>BRADLEY HEALTHCARE</t>
  </si>
  <si>
    <t xml:space="preserve">2910 PEERLESS RD </t>
  </si>
  <si>
    <t>423-472-7116</t>
  </si>
  <si>
    <t>BRADSHAW MANOR SENIOR CENTER</t>
  </si>
  <si>
    <t xml:space="preserve">2008 RIDGEWAY ROAD </t>
  </si>
  <si>
    <t>870-543-6283</t>
  </si>
  <si>
    <t>BRANDERMILL WOODS</t>
  </si>
  <si>
    <t xml:space="preserve">14311 BRANDERMILL WOODS TRAIL </t>
  </si>
  <si>
    <t>804-744-0141</t>
  </si>
  <si>
    <t>BRANDON OAKS LIFE PLAN COMMUNITY</t>
  </si>
  <si>
    <t xml:space="preserve">3804 BRANDON AVENUE SW </t>
  </si>
  <si>
    <t>540-776-2616</t>
  </si>
  <si>
    <t>BRANDON OAKS NURSING AND REHAB</t>
  </si>
  <si>
    <t xml:space="preserve">3837 BRANDON AVENUE SW </t>
  </si>
  <si>
    <t>540-725-8677</t>
  </si>
  <si>
    <t>BRANDON WOOD RETIREMENT CENTER</t>
  </si>
  <si>
    <t xml:space="preserve">730 W JEFFERSON STREET </t>
  </si>
  <si>
    <t>309-263-7341</t>
  </si>
  <si>
    <t>BRATTLEBORO RISE I MALE</t>
  </si>
  <si>
    <t xml:space="preserve">435 WESTERN AVENUE </t>
  </si>
  <si>
    <t>802-257-2415</t>
  </si>
  <si>
    <t>BRAXTON HEALTH CARE</t>
  </si>
  <si>
    <t xml:space="preserve">859 DAYS DRIVE </t>
  </si>
  <si>
    <t>SUTTON</t>
  </si>
  <si>
    <t>304-765-2861</t>
  </si>
  <si>
    <t>BREESE CARING FIRST NURSING HOME</t>
  </si>
  <si>
    <t xml:space="preserve">1155 NORTH 1ST STREET </t>
  </si>
  <si>
    <t>BREESE</t>
  </si>
  <si>
    <t>618-526-4521</t>
  </si>
  <si>
    <t>BRENTWOOD HEALTH CARE CENTER</t>
  </si>
  <si>
    <t xml:space="preserve">907 W AURORA RD </t>
  </si>
  <si>
    <t>330-468-2273</t>
  </si>
  <si>
    <t>BRET HARTE RETIREMENT INN</t>
  </si>
  <si>
    <t xml:space="preserve">305 W MAIN STREET </t>
  </si>
  <si>
    <t>530-273-7137</t>
  </si>
  <si>
    <t>BRETHREN RETIREMENT COMMUNITY</t>
  </si>
  <si>
    <t xml:space="preserve">750 CHESTNUT STREET </t>
  </si>
  <si>
    <t>937-547-8000</t>
  </si>
  <si>
    <t>BREWSTER PLACE ASSISTED LIVING</t>
  </si>
  <si>
    <t xml:space="preserve">1205 SW 29TH STREET </t>
  </si>
  <si>
    <t>785-274-3350</t>
  </si>
  <si>
    <t>BREWSTER PLACE NURSING CARE</t>
  </si>
  <si>
    <t xml:space="preserve">1001 SW 29TH STREET </t>
  </si>
  <si>
    <t>785-274-3301</t>
  </si>
  <si>
    <t>BRIAN CENTER - WEBER CITY</t>
  </si>
  <si>
    <t xml:space="preserve">105 CLONCE STREET </t>
  </si>
  <si>
    <t>GATE CITY</t>
  </si>
  <si>
    <t>276-386-9444</t>
  </si>
  <si>
    <t>BRIAN'S BILLIARDS FULLERTON</t>
  </si>
  <si>
    <t xml:space="preserve">1944 N PLACENTIA </t>
  </si>
  <si>
    <t>714-993-1401</t>
  </si>
  <si>
    <t>BRIARWOOD THE</t>
  </si>
  <si>
    <t xml:space="preserve">193 RICHMOND HIGHWAY </t>
  </si>
  <si>
    <t>434-946-7781</t>
  </si>
  <si>
    <t xml:space="preserve">3700 Englewood Drive </t>
  </si>
  <si>
    <t>216-688-1828</t>
  </si>
  <si>
    <t>BRIDGEPORT PLACE</t>
  </si>
  <si>
    <t xml:space="preserve">5250 BRIDGEPORT WAY W </t>
  </si>
  <si>
    <t>253-565-1960</t>
  </si>
  <si>
    <t>BRIDGES OF APPLETON</t>
  </si>
  <si>
    <t xml:space="preserve">2915 N MEADE ST </t>
  </si>
  <si>
    <t>920-993-6800</t>
  </si>
  <si>
    <t>BRIDGES SCHOOL</t>
  </si>
  <si>
    <t xml:space="preserve">2587 PLEASANT RIDGE ROAD </t>
  </si>
  <si>
    <t>STATE ROAD</t>
  </si>
  <si>
    <t>336-874-2721</t>
  </si>
  <si>
    <t>BRIDGEVIEW ESTATES</t>
  </si>
  <si>
    <t xml:space="preserve">1828 BRIDGEVIEW BLVD </t>
  </si>
  <si>
    <t>TWIN FALLS</t>
  </si>
  <si>
    <t>208-736-3933</t>
  </si>
  <si>
    <t>BRIDGEWATER RETIREMENT COMMUNITY</t>
  </si>
  <si>
    <t xml:space="preserve">302 NORTH SECOND STREET </t>
  </si>
  <si>
    <t>540-828-2661</t>
  </si>
  <si>
    <t>BRIDGEWAY</t>
  </si>
  <si>
    <t xml:space="preserve">Box 1452 </t>
  </si>
  <si>
    <t>309-344-2323</t>
  </si>
  <si>
    <t>BRIDGEWAY CARE AND REHABILITATION CENTER @ HILLSBOROUGH</t>
  </si>
  <si>
    <t xml:space="preserve">395 AMWELL ROAD </t>
  </si>
  <si>
    <t>HILLSBOROUGH</t>
  </si>
  <si>
    <t>908-281-4400</t>
  </si>
  <si>
    <t>BRIDGEWAY CARE AND REHABILITATION CENTER AT BRIDGEWATER</t>
  </si>
  <si>
    <t xml:space="preserve">270 ROUTE 28 </t>
  </si>
  <si>
    <t>908-722-7022</t>
  </si>
  <si>
    <t>BRIDGEWAY RECOVERY SERVICES</t>
  </si>
  <si>
    <t xml:space="preserve">3325 HAROLD DRIVE NE </t>
  </si>
  <si>
    <t>503-363-2021</t>
  </si>
  <si>
    <t>BRIDGTON ACADEMY</t>
  </si>
  <si>
    <t xml:space="preserve">11 ACADEMY LANE </t>
  </si>
  <si>
    <t>N. BRIDGTON</t>
  </si>
  <si>
    <t>207-647-3322</t>
  </si>
  <si>
    <t>BRIGHT BEGINNINGS</t>
  </si>
  <si>
    <t xml:space="preserve">124 E PLUMMER BLVD </t>
  </si>
  <si>
    <t>217-483-6833</t>
  </si>
  <si>
    <t>BRIGHT BEGINNINGS DAYCARE</t>
  </si>
  <si>
    <t xml:space="preserve">1033 FRANKLIN GROVE RD </t>
  </si>
  <si>
    <t>815-285-1033</t>
  </si>
  <si>
    <t>BRIGHT FUTURES ACADEMY</t>
  </si>
  <si>
    <t xml:space="preserve">9994 COUNTRY FARM ROAD </t>
  </si>
  <si>
    <t>951-785-0504</t>
  </si>
  <si>
    <t>BRIGHTER LIVING ASSISTED</t>
  </si>
  <si>
    <t xml:space="preserve">5301 PLAZA DRIVE </t>
  </si>
  <si>
    <t>HOPEWELL</t>
  </si>
  <si>
    <t>804-458-5830</t>
  </si>
  <si>
    <t>BRIGHTON GARDENS - RICHMOND</t>
  </si>
  <si>
    <t xml:space="preserve">1800 GASKINS ROAD </t>
  </si>
  <si>
    <t>804-741-8880</t>
  </si>
  <si>
    <t>BRIGHTON GARDENS - VA BEACH</t>
  </si>
  <si>
    <t xml:space="preserve">5620 WESLEYAN DRIVE </t>
  </si>
  <si>
    <t>757-499-4800</t>
  </si>
  <si>
    <t>BRIGHTVIEW GREENTREE</t>
  </si>
  <si>
    <t xml:space="preserve">170 GREENTREE ROAD </t>
  </si>
  <si>
    <t>856-810-0070</t>
  </si>
  <si>
    <t>BRIGHTVIEW OF MT. LAUREL</t>
  </si>
  <si>
    <t xml:space="preserve">400 FERNBROOK LANE </t>
  </si>
  <si>
    <t>MT LAUREL</t>
  </si>
  <si>
    <t>856-316-4322</t>
  </si>
  <si>
    <t>BRIGHTVIEW WOODBURY LAKE</t>
  </si>
  <si>
    <t xml:space="preserve">752 COOPER ST </t>
  </si>
  <si>
    <t>856-848-8777</t>
  </si>
  <si>
    <t>BRIGHTWATER</t>
  </si>
  <si>
    <t xml:space="preserve">101 BRIGHTWATER DR </t>
  </si>
  <si>
    <t>843-903-8300</t>
  </si>
  <si>
    <t>BRIGHTWATER SENIOR LIVING OF RIVERBEND</t>
  </si>
  <si>
    <t xml:space="preserve">2235 HESELTINE ROAD </t>
  </si>
  <si>
    <t>REGINA</t>
  </si>
  <si>
    <t>SK</t>
  </si>
  <si>
    <t>S4V 3G8</t>
  </si>
  <si>
    <t>541-241-6804</t>
  </si>
  <si>
    <t>BRILLANCE ASSISTED LIVING EDGEWATER</t>
  </si>
  <si>
    <t xml:space="preserve">2010 S RIDGEWOOD </t>
  </si>
  <si>
    <t>EDGEWATER</t>
  </si>
  <si>
    <t>386-410-5145</t>
  </si>
  <si>
    <t>BRILLIANCE ASSISTED LIVING</t>
  </si>
  <si>
    <t xml:space="preserve">699 N DIXIE FWY </t>
  </si>
  <si>
    <t>NEW SMYRNA BEACH</t>
  </si>
  <si>
    <t>386-410-6255</t>
  </si>
  <si>
    <t xml:space="preserve">206 N 2100 W SUITE 202 </t>
  </si>
  <si>
    <t>801-325-0175</t>
  </si>
  <si>
    <t xml:space="preserve">261 NORTH STREET </t>
  </si>
  <si>
    <t>423-764-6151</t>
  </si>
  <si>
    <t>BRISTOL POINTE HEALTH &amp; REHAB</t>
  </si>
  <si>
    <t xml:space="preserve">202 TIMS AVE </t>
  </si>
  <si>
    <t>BRITANNIA ARMS ALMADEN</t>
  </si>
  <si>
    <t xml:space="preserve">5027 ALMADEN EXPRESSWAY </t>
  </si>
  <si>
    <t>408-266-0550</t>
  </si>
  <si>
    <t>BRITTANY HOUSE</t>
  </si>
  <si>
    <t xml:space="preserve">5401 E CENTRALIA ST </t>
  </si>
  <si>
    <t>562-421-4717</t>
  </si>
  <si>
    <t>BRITTHAVEN CORP</t>
  </si>
  <si>
    <t xml:space="preserve">P.O. BOX 6159 </t>
  </si>
  <si>
    <t>KINSTON</t>
  </si>
  <si>
    <t>252-939-4108</t>
  </si>
  <si>
    <t>BRITTHAVEN OF AYDEN</t>
  </si>
  <si>
    <t xml:space="preserve">128 SNOW HILL ROAD </t>
  </si>
  <si>
    <t>AYDEN</t>
  </si>
  <si>
    <t>252-746-8223</t>
  </si>
  <si>
    <t>BRITTHAVEN OF CHAPEL HILL</t>
  </si>
  <si>
    <t xml:space="preserve">1716 LEGION ROAD </t>
  </si>
  <si>
    <t>919-942-2280</t>
  </si>
  <si>
    <t>BRITTHAVEN OF EDENTON</t>
  </si>
  <si>
    <t xml:space="preserve">1341 PARADISE ROAD </t>
  </si>
  <si>
    <t>EDENTON</t>
  </si>
  <si>
    <t>252-482-7481</t>
  </si>
  <si>
    <t>BRITTHAVEN OF ENFIELD</t>
  </si>
  <si>
    <t xml:space="preserve">208 CARY STREET </t>
  </si>
  <si>
    <t>252-445-2111</t>
  </si>
  <si>
    <t>BRITTHAVEN OF GOLDSBORO</t>
  </si>
  <si>
    <t xml:space="preserve">2401 WAYNE MEMORIAL DRIVE </t>
  </si>
  <si>
    <t>GOLDSBORO</t>
  </si>
  <si>
    <t>919-736-2121</t>
  </si>
  <si>
    <t>BRITTHAVEN OF HAVELOCK</t>
  </si>
  <si>
    <t xml:space="preserve">110 MCCOTTER BOULEVARD </t>
  </si>
  <si>
    <t>HAVELOCK</t>
  </si>
  <si>
    <t>252-444-4631</t>
  </si>
  <si>
    <t>BRITTHAVEN OF HENDERSON</t>
  </si>
  <si>
    <t xml:space="preserve">1245 PARK AVENUE </t>
  </si>
  <si>
    <t>252-492-7021</t>
  </si>
  <si>
    <t>BRITTHAVEN OF JACKSONVILLE</t>
  </si>
  <si>
    <t xml:space="preserve">225 WHITE STREET </t>
  </si>
  <si>
    <t>910-353-7222</t>
  </si>
  <si>
    <t>BRITTHAVEN OF KEYSVILLE</t>
  </si>
  <si>
    <t xml:space="preserve">P.O. BOX 719 </t>
  </si>
  <si>
    <t>KEYSVILLE</t>
  </si>
  <si>
    <t>434-736-8406</t>
  </si>
  <si>
    <t>BRITTHAVEN OF KINSTON</t>
  </si>
  <si>
    <t xml:space="preserve">317 RHODES AVENUE </t>
  </si>
  <si>
    <t>252-523-0082</t>
  </si>
  <si>
    <t>BRITTHAVEN OF LA GRANGE</t>
  </si>
  <si>
    <t xml:space="preserve">P.O. BOX 428 </t>
  </si>
  <si>
    <t>252-566-4112</t>
  </si>
  <si>
    <t>BRITTHAVEN OF LOUISBURG</t>
  </si>
  <si>
    <t xml:space="preserve">1704 NC HIGHWAY 39 NORTH </t>
  </si>
  <si>
    <t>LOUISBURG</t>
  </si>
  <si>
    <t>919-496-7222</t>
  </si>
  <si>
    <t>BRITTHAVEN OF NEW BERN</t>
  </si>
  <si>
    <t xml:space="preserve">P.O. BOX 3397 </t>
  </si>
  <si>
    <t>252-637-4730</t>
  </si>
  <si>
    <t>BRITTHAVEN OF NEWPORT</t>
  </si>
  <si>
    <t xml:space="preserve">210 FOXHALL ROAD </t>
  </si>
  <si>
    <t>252-223-2560</t>
  </si>
  <si>
    <t>BRITTHAVEN OF ONSLOW</t>
  </si>
  <si>
    <t xml:space="preserve">1839 ONSLOW DRIVE </t>
  </si>
  <si>
    <t>910-455-3610</t>
  </si>
  <si>
    <t>BRITTHAVEN OF PAMLICO</t>
  </si>
  <si>
    <t xml:space="preserve">290 KEEL ROAD </t>
  </si>
  <si>
    <t>GRANTSBORO</t>
  </si>
  <si>
    <t>252-745-5005</t>
  </si>
  <si>
    <t>BRITTHAVEN OF SMITHFIELD</t>
  </si>
  <si>
    <t xml:space="preserve">515 BARBOUR ROAD </t>
  </si>
  <si>
    <t>919-934-6017</t>
  </si>
  <si>
    <t>BRITTHAVEN OF SNOW HILL</t>
  </si>
  <si>
    <t xml:space="preserve">1304 SE SECOND STREET </t>
  </si>
  <si>
    <t>SNOW HILL</t>
  </si>
  <si>
    <t>252-747-8126</t>
  </si>
  <si>
    <t>BRITTHAVEN OF TARBORO</t>
  </si>
  <si>
    <t xml:space="preserve">3210 WESTERN BLVD. </t>
  </si>
  <si>
    <t>TARBORO</t>
  </si>
  <si>
    <t>252-823-8546</t>
  </si>
  <si>
    <t>BRITTHAVEN OF WASHINGTON</t>
  </si>
  <si>
    <t xml:space="preserve">250 LOVERS LANE </t>
  </si>
  <si>
    <t>252-975-1636</t>
  </si>
  <si>
    <t>BRITTHAVEN OF WILLIAMSTON</t>
  </si>
  <si>
    <t xml:space="preserve">119 GATLING STREET </t>
  </si>
  <si>
    <t>WILLIAMSTON</t>
  </si>
  <si>
    <t>252-792-1616</t>
  </si>
  <si>
    <t>BRITTHAVEN OF WILSON</t>
  </si>
  <si>
    <t xml:space="preserve">403 CRESTVIEW AVENUE </t>
  </si>
  <si>
    <t>252-237-0724</t>
  </si>
  <si>
    <t>BROADMEAD RETIREMENT CENTER-DARLINGTON MEMORY CARE</t>
  </si>
  <si>
    <t xml:space="preserve">13801 YORK ROAD </t>
  </si>
  <si>
    <t>410-527-1900</t>
  </si>
  <si>
    <t>BROADWAY LIVING CENTER</t>
  </si>
  <si>
    <t xml:space="preserve">301 W BROADWAY STREET </t>
  </si>
  <si>
    <t>405-527-6519</t>
  </si>
  <si>
    <t>BROADWAY SERVICES LAMBETH HOUSE</t>
  </si>
  <si>
    <t xml:space="preserve">150 BROADWAY </t>
  </si>
  <si>
    <t>504-865-1960</t>
  </si>
  <si>
    <t>BROASTER CHICKEN</t>
  </si>
  <si>
    <t xml:space="preserve">3140 E 11TH STREET </t>
  </si>
  <si>
    <t>918-740-2934</t>
  </si>
  <si>
    <t>BROKEN BOW HEALTH AND REHAB</t>
  </si>
  <si>
    <t xml:space="preserve">700 WEST JONES </t>
  </si>
  <si>
    <t>BROKEN BOW</t>
  </si>
  <si>
    <t>580-584-6433</t>
  </si>
  <si>
    <t>BRONSON COMMONS</t>
  </si>
  <si>
    <t xml:space="preserve">23332 RED ARROW HWY </t>
  </si>
  <si>
    <t>MATTAWAN</t>
  </si>
  <si>
    <t>269-283-5200</t>
  </si>
  <si>
    <t>BROOK HAVEN REST HOME</t>
  </si>
  <si>
    <t xml:space="preserve">610 FOURQUREAN LANE </t>
  </si>
  <si>
    <t>804-329-6347</t>
  </si>
  <si>
    <t>BROOK STONE LIVING CENTER</t>
  </si>
  <si>
    <t xml:space="preserve">8990 HWY 17 </t>
  </si>
  <si>
    <t>POLLOCKSVILLE</t>
  </si>
  <si>
    <t>252-224-0112</t>
  </si>
  <si>
    <t>BROOKDALE BAYWOOD</t>
  </si>
  <si>
    <t xml:space="preserve">310 S 63RD STREET </t>
  </si>
  <si>
    <t>480-985-5778</t>
  </si>
  <si>
    <t>BROOKE HAVEN HEALTH CARE</t>
  </si>
  <si>
    <t xml:space="preserve">1410 KENTUCKY AVENUE </t>
  </si>
  <si>
    <t>WEST PLAINS</t>
  </si>
  <si>
    <t>417-256-7975</t>
  </si>
  <si>
    <t>BROOKE NURSING CENTER</t>
  </si>
  <si>
    <t xml:space="preserve">P.O. BOX 2440 </t>
  </si>
  <si>
    <t>540-657-0019</t>
  </si>
  <si>
    <t>BROOKHAVEN MANOR ANN ARBOR</t>
  </si>
  <si>
    <t xml:space="preserve">401 OAKBROOK </t>
  </si>
  <si>
    <t>734-747-8800</t>
  </si>
  <si>
    <t>BROOKLYN COMMUNITY ESTATES</t>
  </si>
  <si>
    <t xml:space="preserve">406 NORTH STREET </t>
  </si>
  <si>
    <t>641-522-9263</t>
  </si>
  <si>
    <t>BROOKMEADE HOME FOR ADULTS</t>
  </si>
  <si>
    <t xml:space="preserve">P.O. BOX 305 </t>
  </si>
  <si>
    <t>SHAWSVILLE</t>
  </si>
  <si>
    <t>540-268-5931</t>
  </si>
  <si>
    <t>BROOKRIDGE RETIREMENT COMMUNITY</t>
  </si>
  <si>
    <t xml:space="preserve">7802 NW QUANAH PARKER TRAILWAY </t>
  </si>
  <si>
    <t>580-536-9700</t>
  </si>
  <si>
    <t>BROOKS HOWELL HOME</t>
  </si>
  <si>
    <t xml:space="preserve">266 MERRIMON AV </t>
  </si>
  <si>
    <t>828-253-6712</t>
  </si>
  <si>
    <t>BROOKSHIRE NURSING CENTER</t>
  </si>
  <si>
    <t xml:space="preserve">P.O. BOX 1107 </t>
  </si>
  <si>
    <t>919-644-6714</t>
  </si>
  <si>
    <t>BROOKSHIRE NURSING CENTER OF HILLSBOROUGH</t>
  </si>
  <si>
    <t xml:space="preserve">300 MEADOWLAND DRIVE </t>
  </si>
  <si>
    <t>BROOKSIDE ASSISTED LIVING</t>
  </si>
  <si>
    <t xml:space="preserve">225 WEST BROOKSIDE STREET </t>
  </si>
  <si>
    <t>719-632-6511</t>
  </si>
  <si>
    <t>BROOKSIDE CHARTER AND DAY SCHOOL</t>
  </si>
  <si>
    <t xml:space="preserve">1815 E 63 ST </t>
  </si>
  <si>
    <t>816-531-2192</t>
  </si>
  <si>
    <t>BROOKSIDE REHAB &amp; NURSING CENTER</t>
  </si>
  <si>
    <t xml:space="preserve">614 HASTINGS LANE </t>
  </si>
  <si>
    <t>540-347-4770</t>
  </si>
  <si>
    <t>BROOKSTONE HAVEN OF RANDLEMAN</t>
  </si>
  <si>
    <t xml:space="preserve">501 POINTE SOUTH DRIVE </t>
  </si>
  <si>
    <t>RANDLEMAN</t>
  </si>
  <si>
    <t>336-495-2810</t>
  </si>
  <si>
    <t>BROOKSTONE RETIREMENT</t>
  </si>
  <si>
    <t xml:space="preserve">2968 OLD SALISBURY RD </t>
  </si>
  <si>
    <t>336-243-2500</t>
  </si>
  <si>
    <t>BROOKSTONE TERRACE OF CLEMMONS</t>
  </si>
  <si>
    <t xml:space="preserve">4430 CLINARD RD </t>
  </si>
  <si>
    <t>336-766-5000</t>
  </si>
  <si>
    <t>BROOKVIEW MEADOWS</t>
  </si>
  <si>
    <t xml:space="preserve">1740 CONDOR LANE SUITE A </t>
  </si>
  <si>
    <t>920-434-1200</t>
  </si>
  <si>
    <t>BROTHER JAMES COURT</t>
  </si>
  <si>
    <t xml:space="preserve">2508 ST JAMES ROAD </t>
  </si>
  <si>
    <t>217-747-5900</t>
  </si>
  <si>
    <t>BROWARD CHILDREN'S CENTER</t>
  </si>
  <si>
    <t xml:space="preserve">200 SE 19TH AVENUE </t>
  </si>
  <si>
    <t>954-649-7362</t>
  </si>
  <si>
    <t>BROWARD YOUTH TREATMENT II</t>
  </si>
  <si>
    <t xml:space="preserve">8301 S PALM DRIVE </t>
  </si>
  <si>
    <t>317-752-6461</t>
  </si>
  <si>
    <t>BROWN MEMORIAL HOME</t>
  </si>
  <si>
    <t xml:space="preserve">158 E MOUND STREET </t>
  </si>
  <si>
    <t>740-474-6238</t>
  </si>
  <si>
    <t>BROWN UNIV FOOD SERVICES</t>
  </si>
  <si>
    <t xml:space="preserve">144 THAYER STREET </t>
  </si>
  <si>
    <t>401-863-6526</t>
  </si>
  <si>
    <t>BROWN UNIV FS-ANDREWS</t>
  </si>
  <si>
    <t>BROWN UNIV FS-BLUE ROOM</t>
  </si>
  <si>
    <t>BROWN UNIV FS-REFECTORY</t>
  </si>
  <si>
    <t xml:space="preserve">144 RHAYER STREET </t>
  </si>
  <si>
    <t>BROWN UNIV FS-VERNEY WOOLEY</t>
  </si>
  <si>
    <t>BROWNING PUBLIC SCHOOL</t>
  </si>
  <si>
    <t xml:space="preserve">102 E BOUNDARY ST </t>
  </si>
  <si>
    <t xml:space="preserve">BROWNING </t>
  </si>
  <si>
    <t>406-338-7952</t>
  </si>
  <si>
    <t>BRUNSWICK COVE LIVING CENTER</t>
  </si>
  <si>
    <t xml:space="preserve">1478 RIVER ROAD </t>
  </si>
  <si>
    <t>WINNABOW</t>
  </si>
  <si>
    <t>910-371-9894</t>
  </si>
  <si>
    <t>BRUNSWICK NURSING HOME</t>
  </si>
  <si>
    <t xml:space="preserve">721 W HARRISON </t>
  </si>
  <si>
    <t>660-548-3182</t>
  </si>
  <si>
    <t>BRUNSWICK SENIOR RESOURCES INC.</t>
  </si>
  <si>
    <t xml:space="preserve">1513 N. HOWE ST. </t>
  </si>
  <si>
    <t>SHALLOTTE</t>
  </si>
  <si>
    <t>BRUNSWICK VILLAGE</t>
  </si>
  <si>
    <t xml:space="preserve">316 OLYMPIA PARK CIRCLE </t>
  </si>
  <si>
    <t>530-274-1992</t>
  </si>
  <si>
    <t>BRYAN MANOR</t>
  </si>
  <si>
    <t xml:space="preserve">2150 E MCCORD PO BOX 568 </t>
  </si>
  <si>
    <t>618-918-3770</t>
  </si>
  <si>
    <t>BRYAN SENIOR CENTER OHIO</t>
  </si>
  <si>
    <t xml:space="preserve">201 E HIGH ST SUITE 2 </t>
  </si>
  <si>
    <t>419-636-4047</t>
  </si>
  <si>
    <t>BRYN MAWR COLLEGE</t>
  </si>
  <si>
    <t xml:space="preserve">101 N. MERION AVE. </t>
  </si>
  <si>
    <t>610-526-7420</t>
  </si>
  <si>
    <t>BRYN MAWR COLLEGE DINING SERVICE</t>
  </si>
  <si>
    <t>BRYN MAWR COLLEGE-WYNDHAM HALL</t>
  </si>
  <si>
    <t xml:space="preserve">101 N MERION AVE </t>
  </si>
  <si>
    <t>610-526-7404</t>
  </si>
  <si>
    <t>BRYSON LIVING CENTER</t>
  </si>
  <si>
    <t xml:space="preserve">314 HUGHES BRANCH RD </t>
  </si>
  <si>
    <t>BSZ MEDICAL</t>
  </si>
  <si>
    <t xml:space="preserve">256 MEDICAL DR </t>
  </si>
  <si>
    <t>JOURDANTON</t>
  </si>
  <si>
    <t>210-639-0812</t>
  </si>
  <si>
    <t>BUCKEYE LAKE KOA</t>
  </si>
  <si>
    <t xml:space="preserve">4460 WALNUT ROAD </t>
  </si>
  <si>
    <t>BUCKEYE LAKE</t>
  </si>
  <si>
    <t>740-928-0706</t>
  </si>
  <si>
    <t>BUCKHORN CHILDRENS CENTER</t>
  </si>
  <si>
    <t xml:space="preserve">701 BUCKHORN LANE </t>
  </si>
  <si>
    <t>BUCKHORN</t>
  </si>
  <si>
    <t>606-398-7245</t>
  </si>
  <si>
    <t>BUCKINGHAM PLACE AT S. BRUNSWICK</t>
  </si>
  <si>
    <t xml:space="preserve">700 WOODS LN </t>
  </si>
  <si>
    <t>732-329-8888</t>
  </si>
  <si>
    <t>BUCKINGHAM SOUTH</t>
  </si>
  <si>
    <t xml:space="preserve">5450 ABERCORN SGTREET </t>
  </si>
  <si>
    <t>912-355-5550</t>
  </si>
  <si>
    <t>BUENA VISTA MANOR SAN FRANCISCO</t>
  </si>
  <si>
    <t xml:space="preserve">399 BUENA VISTA EAST </t>
  </si>
  <si>
    <t>415-863-1721</t>
  </si>
  <si>
    <t>BUFFALO HEAD RESTAURANT</t>
  </si>
  <si>
    <t xml:space="preserve">10626 N LAKE ROAD </t>
  </si>
  <si>
    <t>FORESTPORT</t>
  </si>
  <si>
    <t>315-392-6607</t>
  </si>
  <si>
    <t>BUFFET KING</t>
  </si>
  <si>
    <t xml:space="preserve">1112 ELKO DR </t>
  </si>
  <si>
    <t>408-245-2647</t>
  </si>
  <si>
    <t>BUILDING BLOCKS CHILDCARE AND LEARNING CENTER</t>
  </si>
  <si>
    <t xml:space="preserve">1714 FRONTIER </t>
  </si>
  <si>
    <t>605-582-5437</t>
  </si>
  <si>
    <t>BURGESS SQUARE HEALTHCARE &amp; REHAB</t>
  </si>
  <si>
    <t xml:space="preserve">5801 S. CASS AVENUE </t>
  </si>
  <si>
    <t>630-971-2645</t>
  </si>
  <si>
    <t>BURKE HEALTH CARE CENTER</t>
  </si>
  <si>
    <t xml:space="preserve">9640 BURKE LAKE ROAD </t>
  </si>
  <si>
    <t>BURKE</t>
  </si>
  <si>
    <t>703-425-9765</t>
  </si>
  <si>
    <t>BURLINGTON RISE</t>
  </si>
  <si>
    <t xml:space="preserve">37 ELMWOOD AVENUE </t>
  </si>
  <si>
    <t>802-735-9790</t>
  </si>
  <si>
    <t>BURNLEY WORKSHOP EMPLOYMNT/REHAB</t>
  </si>
  <si>
    <t xml:space="preserve">4219 MANOR DRIVE </t>
  </si>
  <si>
    <t>STROUDSBURG</t>
  </si>
  <si>
    <t>570-992-6616</t>
  </si>
  <si>
    <t>BURNS NURSING HOME</t>
  </si>
  <si>
    <t xml:space="preserve">701 Monroe N.W. </t>
  </si>
  <si>
    <t>205-332-4110</t>
  </si>
  <si>
    <t>BURRELL NURSING CENTER</t>
  </si>
  <si>
    <t xml:space="preserve">611 MCDOWELL AVENUE NORTHWEST </t>
  </si>
  <si>
    <t>540-224-3800</t>
  </si>
  <si>
    <t>BUTLER CLEAR FORK ADULT NUTRITION</t>
  </si>
  <si>
    <t xml:space="preserve">20 HENRY ST </t>
  </si>
  <si>
    <t>BULTER</t>
  </si>
  <si>
    <t>419-883-3330</t>
  </si>
  <si>
    <t>BUTLER COUNTY CARE FACILITY</t>
  </si>
  <si>
    <t xml:space="preserve">1800 PRINCETON ROAD </t>
  </si>
  <si>
    <t>513-887-3728</t>
  </si>
  <si>
    <t>BUTLER COUNTY SHERIFF'S OFFIC E</t>
  </si>
  <si>
    <t xml:space="preserve">200 PHIILLIP KEARBEY BLVD </t>
  </si>
  <si>
    <t>POPLAR BLUFF</t>
  </si>
  <si>
    <t>573-778-8036</t>
  </si>
  <si>
    <t>BUTTE-GLENN COMMUNITY COLLEGE</t>
  </si>
  <si>
    <t xml:space="preserve">3536 BUTTE CAMPUS DRIVE </t>
  </si>
  <si>
    <t>OROVILLE</t>
  </si>
  <si>
    <t>530-895-2327</t>
  </si>
  <si>
    <t>C.A.R.E. UNIT A &amp; B</t>
  </si>
  <si>
    <t xml:space="preserve">500 OPAL STREET </t>
  </si>
  <si>
    <t>CRESTON</t>
  </si>
  <si>
    <t>641-347-5611</t>
  </si>
  <si>
    <t>CABOT SENIOR CITIZENS CENTER</t>
  </si>
  <si>
    <t xml:space="preserve">600 N GRANT </t>
  </si>
  <si>
    <t>501-843-2196</t>
  </si>
  <si>
    <t>CACHE VALLEY ASSISTED LIVING</t>
  </si>
  <si>
    <t xml:space="preserve">233 N MAIN ST </t>
  </si>
  <si>
    <t>435-792-4770</t>
  </si>
  <si>
    <t>CADENCE AT POWAY GARDENS</t>
  </si>
  <si>
    <t xml:space="preserve">12695 MONTE VISTA ROAD </t>
  </si>
  <si>
    <t>POWAY</t>
  </si>
  <si>
    <t>858-674-1255</t>
  </si>
  <si>
    <t xml:space="preserve">CADIA BROADMEADOW </t>
  </si>
  <si>
    <t xml:space="preserve">500 BROAD STREET </t>
  </si>
  <si>
    <t>302-449-3400</t>
  </si>
  <si>
    <t>CADIA CAPITOL HEALTHCARE</t>
  </si>
  <si>
    <t xml:space="preserve">1225 WALKER ROAD </t>
  </si>
  <si>
    <t>302-734-1199</t>
  </si>
  <si>
    <t>CADIA REHAB AT SILVERSIDE</t>
  </si>
  <si>
    <t xml:space="preserve">3322 SILVERSIDE ROAD </t>
  </si>
  <si>
    <t>302-478-8889</t>
  </si>
  <si>
    <t>CADIA RENAISSANCE HEALTHCARE</t>
  </si>
  <si>
    <t xml:space="preserve">26002 JOHN J WILLIAMS HIGHWAY </t>
  </si>
  <si>
    <t>MILLSBORO</t>
  </si>
  <si>
    <t>302-947-4200</t>
  </si>
  <si>
    <t>CAFE BEAU SOLEIL</t>
  </si>
  <si>
    <t xml:space="preserve">953 NEWPORT CENTER DRIVE </t>
  </si>
  <si>
    <t>949-640-4402</t>
  </si>
  <si>
    <t>CAFE CANOLE</t>
  </si>
  <si>
    <t xml:space="preserve">1 CAMPION ROAD </t>
  </si>
  <si>
    <t>CAFE DEL SOL</t>
  </si>
  <si>
    <t xml:space="preserve">3817 S EL CAMINO REAL </t>
  </si>
  <si>
    <t>949-492-7120</t>
  </si>
  <si>
    <t>CAL POLY SAN LUIS OBISPO FND</t>
  </si>
  <si>
    <t xml:space="preserve">CAMPUS DINING </t>
  </si>
  <si>
    <t>805-756-1175</t>
  </si>
  <si>
    <t>CAL ST UNIV CHICO A.S. FOOD SER</t>
  </si>
  <si>
    <t xml:space="preserve">400 W 1ST ST </t>
  </si>
  <si>
    <t>CHICO</t>
  </si>
  <si>
    <t>530-898-6411</t>
  </si>
  <si>
    <t>CAL ST UNIV CHICO BMU GARDEN</t>
  </si>
  <si>
    <t>CAL ST UNIV CHICO BOOK STORE</t>
  </si>
  <si>
    <t>CAL ST UNIV CHICO BUTTE STA #5</t>
  </si>
  <si>
    <t>CAL ST UNIV CHICO HOLT STA #6</t>
  </si>
  <si>
    <t>CAL ST UNIV CHICO PRIMO'S SPRESSO</t>
  </si>
  <si>
    <t>CAL ST UNIV CHICO VENDING/CONC</t>
  </si>
  <si>
    <t>CAL ST UNIV CHICO WHITNEY HALL</t>
  </si>
  <si>
    <t>CAL STATE UNIV SAN MARCOS</t>
  </si>
  <si>
    <t xml:space="preserve">330 S. TWIN OAKS </t>
  </si>
  <si>
    <t>760-750-4718</t>
  </si>
  <si>
    <t>CAL STATE UNIVERSITY FULLERTON</t>
  </si>
  <si>
    <t xml:space="preserve">2600 E NUTWOOD AVE SUITE 120 </t>
  </si>
  <si>
    <t>CAL STATE UNIV-FRESNO</t>
  </si>
  <si>
    <t xml:space="preserve">5200 N. CAMPUS DRIVE RD - 38 </t>
  </si>
  <si>
    <t>559-278-4349</t>
  </si>
  <si>
    <t>CALAVERAS COUNTY SENIORS CENTER</t>
  </si>
  <si>
    <t xml:space="preserve">956 MOUNTAIN RANCH ROAD </t>
  </si>
  <si>
    <t>SAN ANDREAS</t>
  </si>
  <si>
    <t>209-754-3967</t>
  </si>
  <si>
    <t>CALEDONIA SENIOR LIVING-THE SCOTTISH HOME</t>
  </si>
  <si>
    <t xml:space="preserve">2800 DES PLAINES AVENUE </t>
  </si>
  <si>
    <t>NORTH RIVERSIDE</t>
  </si>
  <si>
    <t>708-447-5092</t>
  </si>
  <si>
    <t>CALHOUN COUNTY NURSING HOME</t>
  </si>
  <si>
    <t xml:space="preserve">152 BURKE ROAD </t>
  </si>
  <si>
    <t>CALHOUN CITY</t>
  </si>
  <si>
    <t>601-628-6651</t>
  </si>
  <si>
    <t>CALIF INST OF TECHNOLOGY/JPL</t>
  </si>
  <si>
    <t xml:space="preserve">1300 SAN PASQUAL STREET MC 1-52 </t>
  </si>
  <si>
    <t>626-395-3763</t>
  </si>
  <si>
    <t>CALIFORNIA MANOR</t>
  </si>
  <si>
    <t xml:space="preserve">10165 EL CAMINO </t>
  </si>
  <si>
    <t>805-466-0759</t>
  </si>
  <si>
    <t>CALIFORNIA PEO HOME/MARGUERITE</t>
  </si>
  <si>
    <t xml:space="preserve">849B FOOTHILL BLVD #8 </t>
  </si>
  <si>
    <t>LA CANADA FLINTRIDGE</t>
  </si>
  <si>
    <t>626-300-0400</t>
  </si>
  <si>
    <t>CALIFORNIA PSYCH TRANSITIONS</t>
  </si>
  <si>
    <t xml:space="preserve">9226 N HINTON AVENUE </t>
  </si>
  <si>
    <t>209-667-9304</t>
  </si>
  <si>
    <t>CALOAKS SENIOR LIVING</t>
  </si>
  <si>
    <t xml:space="preserve">3891 POLK STREET </t>
  </si>
  <si>
    <t>951-689-6162</t>
  </si>
  <si>
    <t>CALTECH DINING SERVICES</t>
  </si>
  <si>
    <t>CALTECH DINING-AVERY BOARD KITC</t>
  </si>
  <si>
    <t>CALTECH DINING-AVERY CAMPUS CAT</t>
  </si>
  <si>
    <t>CALTECH DINING-BAKERY</t>
  </si>
  <si>
    <t>CALTECH DINING-BROAD CAFE</t>
  </si>
  <si>
    <t>CALTECH DINING-CHANDLER BRD KITC</t>
  </si>
  <si>
    <t>CALTECH DINING-CHANDLER CAFE KIT</t>
  </si>
  <si>
    <t>CALTECH DINING-CITRUS BISTRO</t>
  </si>
  <si>
    <t>CALTECH DINING-CONVENIENCE STORE</t>
  </si>
  <si>
    <t>CALTECH DINING-JPL 167 NEW CAE</t>
  </si>
  <si>
    <t>CALTECH DINING-JPL CAFE 601</t>
  </si>
  <si>
    <t>CALTECH DINING-JPL CATERING</t>
  </si>
  <si>
    <t>CALTECH DINING-JPL CHILD ED CTR</t>
  </si>
  <si>
    <t>CALTECH DINING-JPL ERC CART</t>
  </si>
  <si>
    <t>CALTECH DINING-JPL UNIT 190</t>
  </si>
  <si>
    <t>CALTECH DINING-JPL UNIT 303</t>
  </si>
  <si>
    <t>CALTECH DINING-JPL167 ROVER CART</t>
  </si>
  <si>
    <t>CALTECH DINING-RED DOOR CAFE</t>
  </si>
  <si>
    <t>CALTECH DINING-STU. ACT.CTR C.H.</t>
  </si>
  <si>
    <t>CALUMET SCHOOL HOT LUNCH</t>
  </si>
  <si>
    <t xml:space="preserve">57070 MINE STREET </t>
  </si>
  <si>
    <t>906-337-1406</t>
  </si>
  <si>
    <t>CALVARY COMMUNITY CHURCH</t>
  </si>
  <si>
    <t xml:space="preserve">HWY 50 &amp; HARRIS ROAD </t>
  </si>
  <si>
    <t>WILLIAMS BAY</t>
  </si>
  <si>
    <t>262-245-6294</t>
  </si>
  <si>
    <t>CALVERT CITY CONVALESCENT CTR</t>
  </si>
  <si>
    <t xml:space="preserve">1201 FIFTH AVENUE </t>
  </si>
  <si>
    <t>CALVERT CITY</t>
  </si>
  <si>
    <t>270-395-4124</t>
  </si>
  <si>
    <t>CALVERT COUNTY NURSING HOME</t>
  </si>
  <si>
    <t xml:space="preserve">85 HOSPITAL ROAD </t>
  </si>
  <si>
    <t>PRINCE FREDERICK</t>
  </si>
  <si>
    <t>410-535-2300</t>
  </si>
  <si>
    <t>CALVERT HOSPICE</t>
  </si>
  <si>
    <t xml:space="preserve">238 MERRIMAC COURT </t>
  </si>
  <si>
    <t>410-535-0892</t>
  </si>
  <si>
    <t>CALVERT MEMORIAL HOSPITAL</t>
  </si>
  <si>
    <t xml:space="preserve">100 HOSPITAL ROAD </t>
  </si>
  <si>
    <t>410-535-8188</t>
  </si>
  <si>
    <t>CAMBRIDGE COURT</t>
  </si>
  <si>
    <t xml:space="preserve">1621 EAST COMMONWEALTH AVE </t>
  </si>
  <si>
    <t>714-972-1750</t>
  </si>
  <si>
    <t>CAMBRIDGE HILLS ASSISTED LIVING</t>
  </si>
  <si>
    <t xml:space="preserve">5660 DURHAM RD </t>
  </si>
  <si>
    <t>ROXBORO</t>
  </si>
  <si>
    <t>336-598-4697</t>
  </si>
  <si>
    <t>CAMBRIDGE HILLS OF PITTSBORO</t>
  </si>
  <si>
    <t xml:space="preserve">140 BROOKSTONE LANE </t>
  </si>
  <si>
    <t>919-545-9573</t>
  </si>
  <si>
    <t>CAMBRIDGE VILLAGE OF APEX</t>
  </si>
  <si>
    <t xml:space="preserve">10000 CAMBRIDGE VILLAGE LOOP </t>
  </si>
  <si>
    <t>APEX</t>
  </si>
  <si>
    <t>919-363-2080</t>
  </si>
  <si>
    <t>CAMBRIDGE VILLAGE OF WILMINGTON</t>
  </si>
  <si>
    <t xml:space="preserve">75 CAVALIER DR </t>
  </si>
  <si>
    <t>HPSI:INDEPENDENT LABORATORY</t>
  </si>
  <si>
    <t>910-515-1810</t>
  </si>
  <si>
    <t>CAMDEN PLACE HEALTH &amp; REHAB</t>
  </si>
  <si>
    <t xml:space="preserve">1 MARITHE CT </t>
  </si>
  <si>
    <t>336-852-9700</t>
  </si>
  <si>
    <t>CAMELOT CHATEAU</t>
  </si>
  <si>
    <t xml:space="preserve">1831 SE LAKE WEIR AVENUE </t>
  </si>
  <si>
    <t>352-629-6077</t>
  </si>
  <si>
    <t>CAMELOT LEISURE LIVING</t>
  </si>
  <si>
    <t xml:space="preserve">6818 HWY 84 W </t>
  </si>
  <si>
    <t>FERRIDAY</t>
  </si>
  <si>
    <t>318-757-2181</t>
  </si>
  <si>
    <t>CAMELOT NURSING &amp; REHAB CENTER</t>
  </si>
  <si>
    <t xml:space="preserve">705 GRAND CANYON DRIVE </t>
  </si>
  <si>
    <t>573-756-8911</t>
  </si>
  <si>
    <t>CAMILLA HALL</t>
  </si>
  <si>
    <t xml:space="preserve">100 MAXIS DRIVE </t>
  </si>
  <si>
    <t>IMMACULATA</t>
  </si>
  <si>
    <t>610-644-1152</t>
  </si>
  <si>
    <t>CAMINO RETIREMENT APARTMENTS</t>
  </si>
  <si>
    <t xml:space="preserve">12101 LOMAS BLVD NE </t>
  </si>
  <si>
    <t>505-298-9976</t>
  </si>
  <si>
    <t>CAMP CASCADE</t>
  </si>
  <si>
    <t xml:space="preserve">1719 W ROSEBERRY </t>
  </si>
  <si>
    <t>DONNELLY</t>
  </si>
  <si>
    <t>208-325-3048</t>
  </si>
  <si>
    <t>CAMP COBEAC</t>
  </si>
  <si>
    <t xml:space="preserve">4925 S RESERVE </t>
  </si>
  <si>
    <t>PRUDENVILE</t>
  </si>
  <si>
    <t>939-366-5162</t>
  </si>
  <si>
    <t>CAMP CROSSROADS</t>
  </si>
  <si>
    <t xml:space="preserve">2247 LITTLE PINEY ROAD </t>
  </si>
  <si>
    <t>LOWEVILLE</t>
  </si>
  <si>
    <t>434-277-8465</t>
  </si>
  <si>
    <t>CAMP FAIRWOOD</t>
  </si>
  <si>
    <t xml:space="preserve">W7905 S PLEASANT ROAD </t>
  </si>
  <si>
    <t>608-296-2801</t>
  </si>
  <si>
    <t>CAMP MARENGO OHIO RETREAT CENTER</t>
  </si>
  <si>
    <t xml:space="preserve">2480 TWP RD 221 PO BOX 177 </t>
  </si>
  <si>
    <t>MARENGO</t>
  </si>
  <si>
    <t>740-747-2916</t>
  </si>
  <si>
    <t>CAMP MCPHERSON DANVILLE</t>
  </si>
  <si>
    <t xml:space="preserve">21880 SHADLEY VALLEY ROAD </t>
  </si>
  <si>
    <t>740-599-7110</t>
  </si>
  <si>
    <t>CAMP NUHOP HEMLOCK CAMPUS</t>
  </si>
  <si>
    <t xml:space="preserve">5370 BUNKERHILL ROAD </t>
  </si>
  <si>
    <t>567-215-0033</t>
  </si>
  <si>
    <t>CAMP TWIN LAKES</t>
  </si>
  <si>
    <t xml:space="preserve">1391 KEENCHEEFOONEE RD </t>
  </si>
  <si>
    <t>RUTLEDGE</t>
  </si>
  <si>
    <t>706-557-9070</t>
  </si>
  <si>
    <t>CAMP WHITE EAGLE</t>
  </si>
  <si>
    <t xml:space="preserve">6903 W EAGLE RD </t>
  </si>
  <si>
    <t>LEAF RIVER</t>
  </si>
  <si>
    <t>815-738-2754</t>
  </si>
  <si>
    <t>CAMP Y NOAH-YMCA</t>
  </si>
  <si>
    <t xml:space="preserve">815 MT PLEASANT ROAD </t>
  </si>
  <si>
    <t>330-896-1964</t>
  </si>
  <si>
    <t>CAMP YAVNEH</t>
  </si>
  <si>
    <t xml:space="preserve">18 LUCAS POND ROAD </t>
  </si>
  <si>
    <t>603-942-5593</t>
  </si>
  <si>
    <t>CAMPBELL CARE CENTER</t>
  </si>
  <si>
    <t xml:space="preserve">2826 CAMPBELL </t>
  </si>
  <si>
    <t>816-931-1466</t>
  </si>
  <si>
    <t>CAMPUS COOKS</t>
  </si>
  <si>
    <t xml:space="preserve">1400 S WOLF ROAD </t>
  </si>
  <si>
    <t>847-881-0401</t>
  </si>
  <si>
    <t>CAMPUS COOKS-ALPHA CHI OMEGA</t>
  </si>
  <si>
    <t xml:space="preserve">637 UNIVERSITY </t>
  </si>
  <si>
    <t>CAMPUS COOKS-ALPHA CHI OMEGA TUCSON</t>
  </si>
  <si>
    <t xml:space="preserve">1775 E 1ST STREET </t>
  </si>
  <si>
    <t>CAMPUS COOKS-ALPHA CHI OMEGA-U OF TX</t>
  </si>
  <si>
    <t xml:space="preserve">2420 NUECES STREET </t>
  </si>
  <si>
    <t>214-727-5167</t>
  </si>
  <si>
    <t>CAMPUS COOKS-ALPHA PHI-U OF TX</t>
  </si>
  <si>
    <t xml:space="preserve">2005 UNIVERSITY AVENUE </t>
  </si>
  <si>
    <t>512-627-9306</t>
  </si>
  <si>
    <t>CAMPUS COOKS-ALPHA XI DELTA (U OF TX)</t>
  </si>
  <si>
    <t>919-548-1741</t>
  </si>
  <si>
    <t>CAMPUS COOKS-GAMMA PHI BETA</t>
  </si>
  <si>
    <t xml:space="preserve">124 SPRING ROAD </t>
  </si>
  <si>
    <t>CAMPUS COOKS-KAPPA ALPHA HOUSE</t>
  </si>
  <si>
    <t xml:space="preserve">2515 LEON STREET </t>
  </si>
  <si>
    <t>CAMPUS COOKS-KAPPA ALPHA THETA (TAMU)</t>
  </si>
  <si>
    <t xml:space="preserve">1503 ATHENS DRIVE </t>
  </si>
  <si>
    <t>CAMPUS COOKS-KAPPA ALPHA THETA (UNIV OF TX)</t>
  </si>
  <si>
    <t xml:space="preserve">2401 PEARL STREET </t>
  </si>
  <si>
    <t>512-705-6746</t>
  </si>
  <si>
    <t>CAMPUS COOKS-KAPPA DELTA</t>
  </si>
  <si>
    <t xml:space="preserve">2315 NUECES STREET </t>
  </si>
  <si>
    <t>CAMPUS COOKS-KAPPA KAPPA GAMMA-U OF TX</t>
  </si>
  <si>
    <t xml:space="preserve">2001 UNIVERSITY AVENUE </t>
  </si>
  <si>
    <t>CAMPUS COOKS-PHI KAPPA PSI-U OF TX</t>
  </si>
  <si>
    <t xml:space="preserve">2501 NUECES STREET </t>
  </si>
  <si>
    <t>CAMPUS COOKS-PI BETA PHI (TAMU)</t>
  </si>
  <si>
    <t xml:space="preserve">1601 MUNSON AVENUE </t>
  </si>
  <si>
    <t>CAMPUS COOKS-PI BETA PHI (U OF TX)</t>
  </si>
  <si>
    <t xml:space="preserve">2300 SAN ANTONIO STREET </t>
  </si>
  <si>
    <t>CAMPUS COOKS-PI KAPPA ALPHA (U OF TX)</t>
  </si>
  <si>
    <t xml:space="preserve">2400 LEON STREET </t>
  </si>
  <si>
    <t>CAMPUS COOKS-SIGMA PHI EPSILON--U OF TX</t>
  </si>
  <si>
    <t xml:space="preserve">2500 PEARL STREET </t>
  </si>
  <si>
    <t>CAMPUS COOKS-ZETA TAV ALPHA</t>
  </si>
  <si>
    <t xml:space="preserve">897 S MILLSEDGE AVENUE </t>
  </si>
  <si>
    <t>CAMPUS DINING INC - JAZZMAN</t>
  </si>
  <si>
    <t xml:space="preserve">200 S CAPITAL ST </t>
  </si>
  <si>
    <t>205-726-2006</t>
  </si>
  <si>
    <t>CAMPUS DINING INC - LAW SCHOOL</t>
  </si>
  <si>
    <t>CAMPUS DINING INC - SKY RANCH</t>
  </si>
  <si>
    <t>CAMPUS DINING- PUTNAMS CENTER</t>
  </si>
  <si>
    <t xml:space="preserve">146 FARGO QUAD </t>
  </si>
  <si>
    <t>716-645-0362</t>
  </si>
  <si>
    <t>CAMPUS DINING/SHOPS-ABP</t>
  </si>
  <si>
    <t>716-645-2521</t>
  </si>
  <si>
    <t>CAMPUS DINING/SHOPS-BALDY</t>
  </si>
  <si>
    <t>CAMPUS DINING/SHOPS-BERT HALL</t>
  </si>
  <si>
    <t>716-645-2337</t>
  </si>
  <si>
    <t>CAMPUS DINING/SHOPS-CAPEN</t>
  </si>
  <si>
    <t>716-645-2176</t>
  </si>
  <si>
    <t>CAMPUS DINING/SHOPS-CENTER FOR THE ARTS</t>
  </si>
  <si>
    <t>CAMPUS DINING/SHOPS-ELICOTT COMPLEX</t>
  </si>
  <si>
    <t>CAMPUS DINING/SHOPS-GOODYEAR CAFE</t>
  </si>
  <si>
    <t>716-829-3306</t>
  </si>
  <si>
    <t>CAMPUS DINING/SHOPS-GOVERNORS HALL</t>
  </si>
  <si>
    <t>716-645-2134</t>
  </si>
  <si>
    <t>CAMPUS DINING/SHOPS-GRAB &amp; GO</t>
  </si>
  <si>
    <t>CAMPUS DINING/SHOPS-HARRIMAN HALL</t>
  </si>
  <si>
    <t>716-829-2521</t>
  </si>
  <si>
    <t>CAMPUS DINING/SHOPS-JAMBA JUICE</t>
  </si>
  <si>
    <t>CAMPUS DINING/SHOPS-KOSHER DELI</t>
  </si>
  <si>
    <t>CAMPUS DINING/SHOPS-MRS RICH'S</t>
  </si>
  <si>
    <t>716-645-2511</t>
  </si>
  <si>
    <t>CAMPUS DINING/SHOPS-PISTACHIO'S</t>
  </si>
  <si>
    <t>716-645-2196</t>
  </si>
  <si>
    <t>CAMPUS DINING/SHOPS-RICHMOND</t>
  </si>
  <si>
    <t>CAMPUS DINING/SHOPS-STATLER COMM BAKERY</t>
  </si>
  <si>
    <t>CAMPUS DINING/SHOPS-UB CATERING</t>
  </si>
  <si>
    <t>716-645-6910</t>
  </si>
  <si>
    <t>CAMPUS DINING/SHOPS-UB CONCESSIONS</t>
  </si>
  <si>
    <t>716-645-7307</t>
  </si>
  <si>
    <t>CAMPUS DINING-1826</t>
  </si>
  <si>
    <t xml:space="preserve">200 JEFFERSON STREET </t>
  </si>
  <si>
    <t>601-725-7797</t>
  </si>
  <si>
    <t>CAMPUS DINING-BAPTIST COFFEE SHOP-MISSISSIPPI COLLEGE</t>
  </si>
  <si>
    <t xml:space="preserve">1225 NORTH STATE STREET </t>
  </si>
  <si>
    <t>601-925-7797</t>
  </si>
  <si>
    <t>CAMPUS DINING-MISSISSIPPI COLLEGE</t>
  </si>
  <si>
    <t xml:space="preserve">200 SOUTH CAPITAL STREET </t>
  </si>
  <si>
    <t>CAMPUS DINING-PIMENTOS MISSISSIPPI COLLEGE</t>
  </si>
  <si>
    <t>601-925-7899</t>
  </si>
  <si>
    <t>CAMPUS DINING-PIMENTOS-MISSISSIPPI COLLEGE</t>
  </si>
  <si>
    <t>601-925-3000</t>
  </si>
  <si>
    <t>CAMPUS TOWERS</t>
  </si>
  <si>
    <t xml:space="preserve">1767 20TH AVENUE </t>
  </si>
  <si>
    <t>360-423-6200</t>
  </si>
  <si>
    <t>CANADA CREEK RANCH</t>
  </si>
  <si>
    <t xml:space="preserve">23500 RANCH HOUSE TRAIL </t>
  </si>
  <si>
    <t>989-785-4201</t>
  </si>
  <si>
    <t xml:space="preserve">CANDIS ASSISTED LIVING </t>
  </si>
  <si>
    <t xml:space="preserve">1619 HANOVER AVE NW </t>
  </si>
  <si>
    <t>540-343-8640</t>
  </si>
  <si>
    <t>CANON CITY SCHOOLS RE-1</t>
  </si>
  <si>
    <t xml:space="preserve">130 SOUTH 4TH STREET </t>
  </si>
  <si>
    <t>719-640-3055</t>
  </si>
  <si>
    <t>CANOPY CHILDRENS SOLUTIONS</t>
  </si>
  <si>
    <t xml:space="preserve">1465 LAKELAND DRIVE </t>
  </si>
  <si>
    <t>601-634-0640</t>
  </si>
  <si>
    <t xml:space="preserve">8700 WEST 31ST STREET </t>
  </si>
  <si>
    <t>708-485-0135</t>
  </si>
  <si>
    <t>CANTERFIELD OF CLAY COUNTY</t>
  </si>
  <si>
    <t xml:space="preserve">1611 WINNERS CIRCLE </t>
  </si>
  <si>
    <t>MIDDLEBURG</t>
  </si>
  <si>
    <t>904-729-2220</t>
  </si>
  <si>
    <t>CANTERFIELD OF FRANKLIN</t>
  </si>
  <si>
    <t xml:space="preserve">7015 MOORES LANE </t>
  </si>
  <si>
    <t>615-573-2125</t>
  </si>
  <si>
    <t>CANTERFIELD OF KENNESAW</t>
  </si>
  <si>
    <t xml:space="preserve">4381 BELLS FERRY DRIVE </t>
  </si>
  <si>
    <t>CANTERFIELD OF OAKRIDGE</t>
  </si>
  <si>
    <t xml:space="preserve">200 BUS TERMINAL ROAD </t>
  </si>
  <si>
    <t>865-425-9966</t>
  </si>
  <si>
    <t>CANTON ACADEMY</t>
  </si>
  <si>
    <t xml:space="preserve">ONE NANCY DRIVE </t>
  </si>
  <si>
    <t>601-859-5231</t>
  </si>
  <si>
    <t>CANTON CHRISTIAN HOME</t>
  </si>
  <si>
    <t xml:space="preserve">2550 CLEVELAND </t>
  </si>
  <si>
    <t>330-456-0004</t>
  </si>
  <si>
    <t>CANTON WOMANS CLUB</t>
  </si>
  <si>
    <t xml:space="preserve">822 MARKET AVENUE N </t>
  </si>
  <si>
    <t>330-453-4802</t>
  </si>
  <si>
    <t>CANYON BREEZE SENIOR LIVING</t>
  </si>
  <si>
    <t xml:space="preserve">380 E 240 N </t>
  </si>
  <si>
    <t>OREM</t>
  </si>
  <si>
    <t>801-372-1613</t>
  </si>
  <si>
    <t>CAPITAL CAMPS RETREAT CENTER</t>
  </si>
  <si>
    <t xml:space="preserve">12230 WILKINS AVENUE </t>
  </si>
  <si>
    <t>301-468-2267</t>
  </si>
  <si>
    <t>CAPITAL SENIOR LIVING CREEKSIDE</t>
  </si>
  <si>
    <t xml:space="preserve">9015 UNIVERSITY PARKWAY </t>
  </si>
  <si>
    <t>850-462-4563</t>
  </si>
  <si>
    <t>CAPITOL CLEANING &amp; PTG SERV</t>
  </si>
  <si>
    <t xml:space="preserve">7643 SUMMERHILL CT </t>
  </si>
  <si>
    <t>LORTON</t>
  </si>
  <si>
    <t>CAPITOL HOUSE NURSING &amp; REHAB</t>
  </si>
  <si>
    <t xml:space="preserve">11546 FLORIDA BLVD </t>
  </si>
  <si>
    <t>225-275-0474</t>
  </si>
  <si>
    <t>CAPITOL PAINTING SERVICES</t>
  </si>
  <si>
    <t xml:space="preserve">7830 BACKLICK RD SUITE B2B </t>
  </si>
  <si>
    <t>CARC INC</t>
  </si>
  <si>
    <t xml:space="preserve">902 WEST CHERRY LANE </t>
  </si>
  <si>
    <t>575-887-1570</t>
  </si>
  <si>
    <t>CARDINAL NURSING &amp; REHAB CENTER</t>
  </si>
  <si>
    <t xml:space="preserve">9229 ARLINGTON BOULEVARD </t>
  </si>
  <si>
    <t>434-385-0555</t>
  </si>
  <si>
    <t>CARDINAL RETIREMENT VILLAGE</t>
  </si>
  <si>
    <t xml:space="preserve">171 GRAHAM ROAD </t>
  </si>
  <si>
    <t>CUYAHOGA</t>
  </si>
  <si>
    <t>330-928-7888</t>
  </si>
  <si>
    <t>CARDINAL SENIOR LIVING</t>
  </si>
  <si>
    <t xml:space="preserve">1350 LONGWOOD AVENUE </t>
  </si>
  <si>
    <t>540-586-0825</t>
  </si>
  <si>
    <t>CARE CENTER OF ABERDEEN</t>
  </si>
  <si>
    <t xml:space="preserve">505 JACKSON STREET </t>
  </si>
  <si>
    <t>601-369-6431</t>
  </si>
  <si>
    <t>CARE CENTER OF LAUREL</t>
  </si>
  <si>
    <t xml:space="preserve">935 WEST DRIVE </t>
  </si>
  <si>
    <t>601-649-8006</t>
  </si>
  <si>
    <t>CARE TO STAY HOME</t>
  </si>
  <si>
    <t xml:space="preserve">326 W 1700 S </t>
  </si>
  <si>
    <t>801-841-4007</t>
  </si>
  <si>
    <t>CAREAID MEDICAL AND WELLNESS SUPPLIES LLC</t>
  </si>
  <si>
    <t xml:space="preserve">3275 N RESERVE ST #D-123 </t>
  </si>
  <si>
    <t>HPSI:DME</t>
  </si>
  <si>
    <t>949-973-3432</t>
  </si>
  <si>
    <t>CARES CENTER</t>
  </si>
  <si>
    <t xml:space="preserve">402 WESLEY AVENUE </t>
  </si>
  <si>
    <t>601-360-0583</t>
  </si>
  <si>
    <t>CARING HANDS ASSISTED LIVING</t>
  </si>
  <si>
    <t xml:space="preserve">2514 WISCONSIN AVENUE </t>
  </si>
  <si>
    <t>NEW HOLSTEIN</t>
  </si>
  <si>
    <t>920-827-2525</t>
  </si>
  <si>
    <t>CARING HEART REHAB AND NURSING</t>
  </si>
  <si>
    <t xml:space="preserve">6445 GERMANTOWN AVE </t>
  </si>
  <si>
    <t>215-438-5268</t>
  </si>
  <si>
    <t>CARING HEARTS NORTH LOGAN</t>
  </si>
  <si>
    <t xml:space="preserve">455 E 2500 N </t>
  </si>
  <si>
    <t>NORTH LOGAN</t>
  </si>
  <si>
    <t>208-478-4782</t>
  </si>
  <si>
    <t>CARING PLACE</t>
  </si>
  <si>
    <t xml:space="preserve">307 N CHURCH ST </t>
  </si>
  <si>
    <t xml:space="preserve">RIPLEY </t>
  </si>
  <si>
    <t>304-372-2193</t>
  </si>
  <si>
    <t>CARLMONT GARDENS</t>
  </si>
  <si>
    <t xml:space="preserve">2140 CARLMONT DRIVE </t>
  </si>
  <si>
    <t>650-591-9601</t>
  </si>
  <si>
    <t>CARL'S JR. RESTAURANT CSUF</t>
  </si>
  <si>
    <t>CARLYLE HEALTHCARE CENTER</t>
  </si>
  <si>
    <t xml:space="preserve">501 CLINTON STREET </t>
  </si>
  <si>
    <t>CARLYLE</t>
  </si>
  <si>
    <t>618-594-3112</t>
  </si>
  <si>
    <t>CARLYLE PLACE</t>
  </si>
  <si>
    <t xml:space="preserve">5300 ZEBULON RD </t>
  </si>
  <si>
    <t>478-405-4521</t>
  </si>
  <si>
    <t>CARMEL HILLS CARE CENTER</t>
  </si>
  <si>
    <t xml:space="preserve">23795 W R HOLMAN HIGHWAY </t>
  </si>
  <si>
    <t>831-624-1875</t>
  </si>
  <si>
    <t>CARMEL VILLAGE RETIREMENT COMM</t>
  </si>
  <si>
    <t xml:space="preserve">17077 SAN MATEO </t>
  </si>
  <si>
    <t>714-962-6667</t>
  </si>
  <si>
    <t>CARMEN PINGREE SCHOOL FOR AUTISM</t>
  </si>
  <si>
    <t xml:space="preserve">780 SOUTH GUARDSMAN WAY </t>
  </si>
  <si>
    <t>801-581-8194</t>
  </si>
  <si>
    <t>CARNATION JAIL</t>
  </si>
  <si>
    <t xml:space="preserve">1200 SAND ROAD </t>
  </si>
  <si>
    <t>231-420-0993</t>
  </si>
  <si>
    <t>CARNEGIE NURSING HOME</t>
  </si>
  <si>
    <t xml:space="preserve">225 N BROADWAY </t>
  </si>
  <si>
    <t>CARNEGIE</t>
  </si>
  <si>
    <t>580-654-1439</t>
  </si>
  <si>
    <t>CARNEYS POINT REHABILITATION AND NURSING CENTER</t>
  </si>
  <si>
    <t xml:space="preserve">201 FITH AVENUE </t>
  </si>
  <si>
    <t>CARNEYS POINT</t>
  </si>
  <si>
    <t>856-299-6800</t>
  </si>
  <si>
    <t>CAROBELL INC</t>
  </si>
  <si>
    <t xml:space="preserve">198 CINNAMON DRIVE </t>
  </si>
  <si>
    <t>HUBERT</t>
  </si>
  <si>
    <t>919-436-4001</t>
  </si>
  <si>
    <t>CAROL WOODS RETIREMENT COMMUNITY</t>
  </si>
  <si>
    <t xml:space="preserve">750 WEAVER DAIRY ROAD </t>
  </si>
  <si>
    <t>919-968-4511</t>
  </si>
  <si>
    <t>CAROLINA CARE CTR CHERRYVILLE</t>
  </si>
  <si>
    <t xml:space="preserve">HWY 274 N 111 HARRILSON ROAD </t>
  </si>
  <si>
    <t>CHERRYVILLE</t>
  </si>
  <si>
    <t>704-435-4161</t>
  </si>
  <si>
    <t>CAROLINA CARING</t>
  </si>
  <si>
    <t xml:space="preserve">7473 SHERRILLS FORD RD </t>
  </si>
  <si>
    <t>SHERRILLS FORD</t>
  </si>
  <si>
    <t>828-466-0466</t>
  </si>
  <si>
    <t>CAROLINA LIVING</t>
  </si>
  <si>
    <t xml:space="preserve">1079 US HIGHWAY 17 SOUTH </t>
  </si>
  <si>
    <t>ELIZABETH CITY</t>
  </si>
  <si>
    <t>252-335-5635</t>
  </si>
  <si>
    <t>CAROLINA PINES AT GREENSBORO</t>
  </si>
  <si>
    <t xml:space="preserve">109 S HOLDEN ROAD </t>
  </si>
  <si>
    <t>336-522-5600</t>
  </si>
  <si>
    <t xml:space="preserve">7500 SEWARD PARK AVENUE SO </t>
  </si>
  <si>
    <t>206-725-8800</t>
  </si>
  <si>
    <t>CARRIAGE COURT OF GROVE CITY</t>
  </si>
  <si>
    <t xml:space="preserve">2320 SONORA DRIVE </t>
  </si>
  <si>
    <t>614-871-8000</t>
  </si>
  <si>
    <t>CARRIAGE COURT OF HILLIARD</t>
  </si>
  <si>
    <t xml:space="preserve">3570 HERITAGE CLUB DRIVE </t>
  </si>
  <si>
    <t>614-664-9124</t>
  </si>
  <si>
    <t>CARRIAGE COURT OF KENWOOD</t>
  </si>
  <si>
    <t xml:space="preserve">4650 E GALBRAITH </t>
  </si>
  <si>
    <t>513-792-9697</t>
  </si>
  <si>
    <t>CARRIAGE COURT OF LANCASTER</t>
  </si>
  <si>
    <t xml:space="preserve">800 BECK'S KNOB ROAD </t>
  </si>
  <si>
    <t>740-654-4422</t>
  </si>
  <si>
    <t>CARRIAGE COURT OF MARYSVILLE</t>
  </si>
  <si>
    <t xml:space="preserve">717 S WALNUT STREET </t>
  </si>
  <si>
    <t>937-642-2202</t>
  </si>
  <si>
    <t>CARRIAGE COURT WASHINGTON CH</t>
  </si>
  <si>
    <t xml:space="preserve">500 N GLEN AVE </t>
  </si>
  <si>
    <t>740-333-3434</t>
  </si>
  <si>
    <t>CARRIAGE CROSSING</t>
  </si>
  <si>
    <t xml:space="preserve">1701 CONGRESSIONAL WAY </t>
  </si>
  <si>
    <t>217-498-3118</t>
  </si>
  <si>
    <t>CARRIAGE CROSSING ARCOLA</t>
  </si>
  <si>
    <t xml:space="preserve">909 GREEN MILL ROAD </t>
  </si>
  <si>
    <t>217-498-3117</t>
  </si>
  <si>
    <t>CARRIAGE HOUSE MANOR</t>
  </si>
  <si>
    <t xml:space="preserve">210 PIPELINE ROAD </t>
  </si>
  <si>
    <t>SULPHUR SPRINGS</t>
  </si>
  <si>
    <t>903-885-3589</t>
  </si>
  <si>
    <t>CARRIE ELLIGSON GIETNER HOME</t>
  </si>
  <si>
    <t xml:space="preserve">5000 S BROADWAY </t>
  </si>
  <si>
    <t>314-752-0000</t>
  </si>
  <si>
    <t>CARRINGTON THE</t>
  </si>
  <si>
    <t xml:space="preserve">P.O. BOX 2526 </t>
  </si>
  <si>
    <t>434-846-3200</t>
  </si>
  <si>
    <t>CARROLL CHILDRENS CENTER</t>
  </si>
  <si>
    <t xml:space="preserve">5301 TIETON DRIVE STE H </t>
  </si>
  <si>
    <t>509-965-7104</t>
  </si>
  <si>
    <t>CARROLL COUNTY COUNCIL ON AGING</t>
  </si>
  <si>
    <t xml:space="preserve">100 KENSINGTON ROAD NE </t>
  </si>
  <si>
    <t>CARROLLTON</t>
  </si>
  <si>
    <t>330-627-7017</t>
  </si>
  <si>
    <t>CARROLL COUNTY SAC</t>
  </si>
  <si>
    <t xml:space="preserve">202 W MADISON AVENUE </t>
  </si>
  <si>
    <t>BERRYVILLE</t>
  </si>
  <si>
    <t>870-423-3265</t>
  </si>
  <si>
    <t>CARROLL HEALTHCARE CTR OHIO</t>
  </si>
  <si>
    <t xml:space="preserve">648 LONGHORN STREET </t>
  </si>
  <si>
    <t>330-627-5501</t>
  </si>
  <si>
    <t>CARROLLTON MANOR</t>
  </si>
  <si>
    <t xml:space="preserve">2455 OAK GROVE CH. RD </t>
  </si>
  <si>
    <t>770-834-1737</t>
  </si>
  <si>
    <t>CARROLLTON NURSING CENTER</t>
  </si>
  <si>
    <t xml:space="preserve">1500 N JEFFERSON </t>
  </si>
  <si>
    <t>660-542-0155</t>
  </si>
  <si>
    <t>CARROLTON HOME CARE INC.</t>
  </si>
  <si>
    <t xml:space="preserve">5301 MORGANTON ROAD </t>
  </si>
  <si>
    <t>252-467-1393</t>
  </si>
  <si>
    <t>CARSON VALLEY RESIDENTIAL CARE</t>
  </si>
  <si>
    <t xml:space="preserve">1189 KIMMERLING ROAD </t>
  </si>
  <si>
    <t>GARDNERVILLE</t>
  </si>
  <si>
    <t>775-265-1400</t>
  </si>
  <si>
    <t>CARTERET COUNTY GENERAL HOSPITAL</t>
  </si>
  <si>
    <t xml:space="preserve">3500 ARENDELL STREET </t>
  </si>
  <si>
    <t>MOOREHEAD CITY</t>
  </si>
  <si>
    <t>252-808-6000</t>
  </si>
  <si>
    <t>CARTHAGE HEALTH &amp; REHAB CTR</t>
  </si>
  <si>
    <t xml:space="preserve">1065 E FRANKLIN STREET </t>
  </si>
  <si>
    <t>601-267-1355</t>
  </si>
  <si>
    <t>L4 LIFESTYLES LLC</t>
  </si>
  <si>
    <t>CARTHAGE PAVILION ASSISTED LIVING</t>
  </si>
  <si>
    <t xml:space="preserve">130 LEBANON HWY </t>
  </si>
  <si>
    <t>615-549-8353</t>
  </si>
  <si>
    <t>CARTS CSUF</t>
  </si>
  <si>
    <t>CARVILLE JOB CORP</t>
  </si>
  <si>
    <t xml:space="preserve">5465 POINT CLAIR ROAD </t>
  </si>
  <si>
    <t>CARVILLE</t>
  </si>
  <si>
    <t>225-642-0699</t>
  </si>
  <si>
    <t>CARY AVENUE ASSISTED LIVING</t>
  </si>
  <si>
    <t xml:space="preserve">7336 CARY AVENUE </t>
  </si>
  <si>
    <t>GLOUCESTER</t>
  </si>
  <si>
    <t>804-693-7035</t>
  </si>
  <si>
    <t>CASA COLOMA HEALTH</t>
  </si>
  <si>
    <t xml:space="preserve">10410 COLOMA RD </t>
  </si>
  <si>
    <t>RANCHO CORDOVA</t>
  </si>
  <si>
    <t>916-363-4843</t>
  </si>
  <si>
    <t>CASA DE MODESTO</t>
  </si>
  <si>
    <t xml:space="preserve">1745 ELDENA WAY </t>
  </si>
  <si>
    <t>209-529-4950</t>
  </si>
  <si>
    <t>CASA DEL MAR SANTA MONICA</t>
  </si>
  <si>
    <t xml:space="preserve">1910 OCEAN WAY </t>
  </si>
  <si>
    <t>310-581-5533</t>
  </si>
  <si>
    <t>CASA DEL SOL</t>
  </si>
  <si>
    <t xml:space="preserve">1950 EAST SONORA STREET </t>
  </si>
  <si>
    <t xml:space="preserve">STOCKTON </t>
  </si>
  <si>
    <t>209-943-3511</t>
  </si>
  <si>
    <t>CASA GRANDE SENIOR CARE</t>
  </si>
  <si>
    <t xml:space="preserve">347 E WALNUT AVE </t>
  </si>
  <si>
    <t>559-733-0233</t>
  </si>
  <si>
    <t>CASCADE PUBLIC SCHOOLS (K-12)</t>
  </si>
  <si>
    <t xml:space="preserve">321 CENTRAL AVE </t>
  </si>
  <si>
    <t>406-468-2671</t>
  </si>
  <si>
    <t>CASCADES AT GALVESTON</t>
  </si>
  <si>
    <t xml:space="preserve">3702 COVE VIEW ROAD </t>
  </si>
  <si>
    <t>469-740-7330</t>
  </si>
  <si>
    <t>CASCADES AT PORT ARTHUR</t>
  </si>
  <si>
    <t xml:space="preserve">6600 NINTH AVENUE </t>
  </si>
  <si>
    <t>PORT ARTHUR</t>
  </si>
  <si>
    <t>409-962-5541</t>
  </si>
  <si>
    <t>CASCADES AT SENIOR REHABILITATION</t>
  </si>
  <si>
    <t xml:space="preserve">8825 LAMPLIGHTER LANE </t>
  </si>
  <si>
    <t>409-727-1651</t>
  </si>
  <si>
    <t>CASCADES VERDAE</t>
  </si>
  <si>
    <t xml:space="preserve">10 FAOUNTAINVIEW TERRACE </t>
  </si>
  <si>
    <t>864-528-5501</t>
  </si>
  <si>
    <t>CASEY'S POND SENIOR LIVING</t>
  </si>
  <si>
    <t xml:space="preserve">2855 OWL HOOT TRAIL </t>
  </si>
  <si>
    <t>STEAMBOAT SPRINGS</t>
  </si>
  <si>
    <t>970-879-8855</t>
  </si>
  <si>
    <t>CASHMERE CARE CENTER</t>
  </si>
  <si>
    <t xml:space="preserve">817 PIONEER AVENUE </t>
  </si>
  <si>
    <t>CASHMERE</t>
  </si>
  <si>
    <t>509-782-1251</t>
  </si>
  <si>
    <t>CASTLE HOME CARE INC</t>
  </si>
  <si>
    <t xml:space="preserve">13050 W CLEVELAND AVENUE </t>
  </si>
  <si>
    <t>NEW ERLIN</t>
  </si>
  <si>
    <t>414-427-1655</t>
  </si>
  <si>
    <t>CASTLE PINES CARE &amp; REHAB CENTER</t>
  </si>
  <si>
    <t xml:space="preserve">2414 W FRANK STREET </t>
  </si>
  <si>
    <t>936-699-2544</t>
  </si>
  <si>
    <t>CASTLEWOOD CAFE</t>
  </si>
  <si>
    <t xml:space="preserve">1307 CHAMPLIN AVENUE </t>
  </si>
  <si>
    <t>315-737-8090</t>
  </si>
  <si>
    <t>CATERING ON CALL</t>
  </si>
  <si>
    <t xml:space="preserve">4925 STATE ROAD </t>
  </si>
  <si>
    <t>440-781-4242</t>
  </si>
  <si>
    <t>CATERING CSUF</t>
  </si>
  <si>
    <t xml:space="preserve">2600 E. NUTWOOD AVENUE </t>
  </si>
  <si>
    <t>CATHEDRAL HEALTH CARE CENTER</t>
  </si>
  <si>
    <t xml:space="preserve">520 WEST 9TH STREET </t>
  </si>
  <si>
    <t>812-482-6603</t>
  </si>
  <si>
    <t>CATHEDRAL SCHOOL</t>
  </si>
  <si>
    <t xml:space="preserve">701 N MARTIN LUTHER KING STREET </t>
  </si>
  <si>
    <t>601-442-2531</t>
  </si>
  <si>
    <t>CATHERINE'S CARE CENTER</t>
  </si>
  <si>
    <t xml:space="preserve">717 NORTH SIXTH STREET </t>
  </si>
  <si>
    <t>740-282-3605</t>
  </si>
  <si>
    <t>CATHOLIC YOUTH SUMMER CAMP</t>
  </si>
  <si>
    <t xml:space="preserve">7550 RAMEY ROAD </t>
  </si>
  <si>
    <t>CENTERBURG</t>
  </si>
  <si>
    <t>614-537-8504</t>
  </si>
  <si>
    <t>CATON MERCHANT HOUSE</t>
  </si>
  <si>
    <t xml:space="preserve">9201 PORTER AVENUE </t>
  </si>
  <si>
    <t>703-335-8401</t>
  </si>
  <si>
    <t>CAVE CREEK HOME FOR ADULTS</t>
  </si>
  <si>
    <t xml:space="preserve">8088 LEE HIGHWAY NORTH </t>
  </si>
  <si>
    <t>TROUTVILLE</t>
  </si>
  <si>
    <t>540-992-2599</t>
  </si>
  <si>
    <t>CDM CAREGIVING SERVICES</t>
  </si>
  <si>
    <t xml:space="preserve">2300 NE ANDRESEN ROAD </t>
  </si>
  <si>
    <t>360-896-9695</t>
  </si>
  <si>
    <t>CECILIAS TORTILLA GRILL</t>
  </si>
  <si>
    <t xml:space="preserve">25250 LA PAZ ROAD #140 </t>
  </si>
  <si>
    <t>949-446-8414</t>
  </si>
  <si>
    <t xml:space="preserve">125 HILLTOP DRIVE NE </t>
  </si>
  <si>
    <t>812-734-0888</t>
  </si>
  <si>
    <t>CEDAR COVE ASSISTED LIVING</t>
  </si>
  <si>
    <t xml:space="preserve">4200 JASMINE COVE COURT </t>
  </si>
  <si>
    <t>910-395-5220</t>
  </si>
  <si>
    <t>CEDAR CREST MANOR LAWTON</t>
  </si>
  <si>
    <t xml:space="preserve">1700 FORT SILL BLVD </t>
  </si>
  <si>
    <t>580-355-1616</t>
  </si>
  <si>
    <t>CEDAR HAVEN HEALTHCARE CENTER</t>
  </si>
  <si>
    <t xml:space="preserve">590 SOUTH FIFTH AVENUE </t>
  </si>
  <si>
    <t>717-274-0421</t>
  </si>
  <si>
    <t xml:space="preserve">110 GROVE AVENUE </t>
  </si>
  <si>
    <t>CEDAR HILL HEALTHCARE CENTER</t>
  </si>
  <si>
    <t xml:space="preserve">230 S CLARK RD </t>
  </si>
  <si>
    <t>972-291-7877</t>
  </si>
  <si>
    <t>CEDAR HILL SENIOR LIVING COMMUNITIES</t>
  </si>
  <si>
    <t xml:space="preserve">402 E ELLAWOOD AVE </t>
  </si>
  <si>
    <t>CEDARTOWN</t>
  </si>
  <si>
    <t>770-748-2284</t>
  </si>
  <si>
    <t>CEDAR HOUSE LIFE CHANGE CENTER</t>
  </si>
  <si>
    <t xml:space="preserve">18612 SANTA ANA AVENUE </t>
  </si>
  <si>
    <t>909-421-7120</t>
  </si>
  <si>
    <t>CEDAR LAKE NURSING HOME</t>
  </si>
  <si>
    <t xml:space="preserve">1611 WEST ROYAL BLVD </t>
  </si>
  <si>
    <t>MALAKOFF</t>
  </si>
  <si>
    <t>903-489-1702</t>
  </si>
  <si>
    <t>CEDAR LAKE NURSING SERVICES</t>
  </si>
  <si>
    <t xml:space="preserve">HIGHWAY 31 WEST </t>
  </si>
  <si>
    <t>CEDAR MANOR</t>
  </si>
  <si>
    <t xml:space="preserve">1324 CEDAR ROAD </t>
  </si>
  <si>
    <t>757-548-4192</t>
  </si>
  <si>
    <t>CEDAR RIDGE CHRISTIAN CHURCH</t>
  </si>
  <si>
    <t xml:space="preserve">4010 WEST NEW ORLEANS </t>
  </si>
  <si>
    <t>918-254-0621</t>
  </si>
  <si>
    <t>CEDAR RIDGE ELDER SERVICES</t>
  </si>
  <si>
    <t xml:space="preserve">2309 ROSS AVE </t>
  </si>
  <si>
    <t>SCHOFIELD</t>
  </si>
  <si>
    <t>715-432-2480</t>
  </si>
  <si>
    <t>CEDAR VALLEY RANCH</t>
  </si>
  <si>
    <t xml:space="preserve">2591 61ST STREET LANE </t>
  </si>
  <si>
    <t>319-472-2671</t>
  </si>
  <si>
    <t>CEDAR VILLAGE</t>
  </si>
  <si>
    <t xml:space="preserve">5467 CEDAR VILLAGE DRIVE </t>
  </si>
  <si>
    <t>513-754-3100</t>
  </si>
  <si>
    <t>CEDAR WOODS</t>
  </si>
  <si>
    <t xml:space="preserve">44401 I-94 SOUTH SERVICE DR </t>
  </si>
  <si>
    <t>734-699-2900</t>
  </si>
  <si>
    <t>CEDARBROOK RESIDENTIAL CENTER INC</t>
  </si>
  <si>
    <t xml:space="preserve">1267 PINNACLE CHURCH RD </t>
  </si>
  <si>
    <t>28761-5753</t>
  </si>
  <si>
    <t>828-652-4633</t>
  </si>
  <si>
    <t>CEDARFIELD</t>
  </si>
  <si>
    <t xml:space="preserve">2300 CEDARFIELD PARKWAY </t>
  </si>
  <si>
    <t>804-474-8800</t>
  </si>
  <si>
    <t>CEDARS NURSING HOME</t>
  </si>
  <si>
    <t xml:space="preserve">1242 CEDARS COURT </t>
  </si>
  <si>
    <t>434-296-5611</t>
  </si>
  <si>
    <t xml:space="preserve">932 BADDOUR PKWY </t>
  </si>
  <si>
    <t xml:space="preserve">LEBANON </t>
  </si>
  <si>
    <t>615-449-5170</t>
  </si>
  <si>
    <t>CEDARS OF LEBANON</t>
  </si>
  <si>
    <t xml:space="preserve">337 SOUTH HARRISON STREET </t>
  </si>
  <si>
    <t>270-692-3121</t>
  </si>
  <si>
    <t>CEDARVILLE SENIOR CENTER</t>
  </si>
  <si>
    <t xml:space="preserve">732 PIRATES WAY </t>
  </si>
  <si>
    <t>CEDARVILLE</t>
  </si>
  <si>
    <t>501-474-5429</t>
  </si>
  <si>
    <t>CELESTIAL SEASONINGS</t>
  </si>
  <si>
    <t xml:space="preserve">4600 SLEEPYTIME ROAD </t>
  </si>
  <si>
    <t>303-530-5300</t>
  </si>
  <si>
    <t>CENTENNIAL HEALTHCARE AND REHAB CENTER</t>
  </si>
  <si>
    <t xml:space="preserve">4400 WEST GIRARD AVENUE </t>
  </si>
  <si>
    <t>215-447-1170</t>
  </si>
  <si>
    <t>CENTER AT CENTENNIAL</t>
  </si>
  <si>
    <t xml:space="preserve">3490 CENTENNIAL BLVD </t>
  </si>
  <si>
    <t>719-685-8888</t>
  </si>
  <si>
    <t>CENTER AT LINCOLN</t>
  </si>
  <si>
    <t xml:space="preserve">12230 LIONESS WAY </t>
  </si>
  <si>
    <t>720-214-7777</t>
  </si>
  <si>
    <t>CENTER FOR ADDICTION TREATMENT</t>
  </si>
  <si>
    <t xml:space="preserve">830 EZZARD CHARLES DRIVE </t>
  </si>
  <si>
    <t>513-381-6672</t>
  </si>
  <si>
    <t>CENTER FOR AGELESS LIVING</t>
  </si>
  <si>
    <t xml:space="preserve">5 THOMAS ROAD </t>
  </si>
  <si>
    <t>505-865-8813</t>
  </si>
  <si>
    <t>CENTER OF FAMILY LOVE</t>
  </si>
  <si>
    <t xml:space="preserve">635 W TEXAS AVENUE </t>
  </si>
  <si>
    <t>405-263-4658</t>
  </si>
  <si>
    <t>CENTER ON AGING AND HEALTH</t>
  </si>
  <si>
    <t xml:space="preserve">880 SOUTH MOHAWK DRIVE </t>
  </si>
  <si>
    <t>ERWIN</t>
  </si>
  <si>
    <t>423-743-7669</t>
  </si>
  <si>
    <t>CENTER SQUARES TOWERS</t>
  </si>
  <si>
    <t xml:space="preserve">550 NORTH BROAD STREET </t>
  </si>
  <si>
    <t>267-337-6161</t>
  </si>
  <si>
    <t>CENTERSTONE OF INDIANA-ENGLISH MANOR</t>
  </si>
  <si>
    <t xml:space="preserve">1811 S 9TH STREET </t>
  </si>
  <si>
    <t>765-939-9284</t>
  </si>
  <si>
    <t>CENTERSTONE OF INDIANA-ENGLISHTON PARK</t>
  </si>
  <si>
    <t xml:space="preserve">2426 S ENGLISH DRIVE </t>
  </si>
  <si>
    <t>812-344-9594</t>
  </si>
  <si>
    <t>CENTRAL CA WOMEN'S REHAB FACILITY</t>
  </si>
  <si>
    <t xml:space="preserve">23370 ROAD 22 </t>
  </si>
  <si>
    <t>CHOWCHILLA</t>
  </si>
  <si>
    <t>916-955-7531</t>
  </si>
  <si>
    <t>CENTRAL CONNECTIONS</t>
  </si>
  <si>
    <t xml:space="preserve">3907 CENTRAL AVENUE </t>
  </si>
  <si>
    <t xml:space="preserve">MIDDLETOWN </t>
  </si>
  <si>
    <t>513-423-1734</t>
  </si>
  <si>
    <t>CENTRAL CONTINUING CARE</t>
  </si>
  <si>
    <t xml:space="preserve">1287 NEWSOME STREET </t>
  </si>
  <si>
    <t>MT AIRY</t>
  </si>
  <si>
    <t>336-786-2133</t>
  </si>
  <si>
    <t>CENTRAL GARDENS DEXTER</t>
  </si>
  <si>
    <t xml:space="preserve">CORNER OF ELM &amp; MARKET STREETS </t>
  </si>
  <si>
    <t>573-624-0011</t>
  </si>
  <si>
    <t>CENTRAL LAKES COLLEGE</t>
  </si>
  <si>
    <t xml:space="preserve">501 COLLEGE DRIVE </t>
  </si>
  <si>
    <t>218-855-8046</t>
  </si>
  <si>
    <t>CENTRAL VALLEY POST ACUTE RIVERBANK</t>
  </si>
  <si>
    <t xml:space="preserve">2649 W TOPEKA AVE </t>
  </si>
  <si>
    <t>RIVERBANK</t>
  </si>
  <si>
    <t>209-869-2568</t>
  </si>
  <si>
    <t>CENTRAL VALLEY SPECIALTY HOSPITAL</t>
  </si>
  <si>
    <t xml:space="preserve">730 17TH ST </t>
  </si>
  <si>
    <t>209-968-3978</t>
  </si>
  <si>
    <t>CENTREVILLE VILLAGE</t>
  </si>
  <si>
    <t xml:space="preserve">1082 KENNSINGTON ROAD NE </t>
  </si>
  <si>
    <t>330-627-7070</t>
  </si>
  <si>
    <t>CENTURY PINES RCF</t>
  </si>
  <si>
    <t xml:space="preserve">709 E MCCRACKEN ROAD </t>
  </si>
  <si>
    <t>417-581-7278</t>
  </si>
  <si>
    <t>CERES CHRISTIAN TERRACE</t>
  </si>
  <si>
    <t xml:space="preserve">1859 RICHARD WAY </t>
  </si>
  <si>
    <t>CERES</t>
  </si>
  <si>
    <t>209-537-5712</t>
  </si>
  <si>
    <t>CESARIO SANCHEZ</t>
  </si>
  <si>
    <t xml:space="preserve">168880 STATE HIGHWAY 64E </t>
  </si>
  <si>
    <t>CHAAT BHAVAN-FREMONT</t>
  </si>
  <si>
    <t xml:space="preserve">5355 MOWRY AVE </t>
  </si>
  <si>
    <t>510-795-1100</t>
  </si>
  <si>
    <t>CHAAT BHAVAN-SUNNYVALE</t>
  </si>
  <si>
    <t xml:space="preserve">976 E EL CAMINO REAL </t>
  </si>
  <si>
    <t>408-773-1100</t>
  </si>
  <si>
    <t>CHALET OF NILES</t>
  </si>
  <si>
    <t xml:space="preserve">911 SOUTH 3D STREET </t>
  </si>
  <si>
    <t>269-684-4320</t>
  </si>
  <si>
    <t>CHAMBREL AT WILLIAMSBURG</t>
  </si>
  <si>
    <t xml:space="preserve">3800 TREYBURN ROAD </t>
  </si>
  <si>
    <t>23185-2875</t>
  </si>
  <si>
    <t>757-229-9406</t>
  </si>
  <si>
    <t>CHANCELLORS VILLAGE</t>
  </si>
  <si>
    <t xml:space="preserve">12100 CHANCELLORS VILLAGE LANE </t>
  </si>
  <si>
    <t>540-786-5000</t>
  </si>
  <si>
    <t>CHANDLER NURSING CENTER</t>
  </si>
  <si>
    <t xml:space="preserve">601 W 1ST ST </t>
  </si>
  <si>
    <t>405-258-1131</t>
  </si>
  <si>
    <t>CHANDLER VALLEY HOPE</t>
  </si>
  <si>
    <t xml:space="preserve">501 N WASHINGTON </t>
  </si>
  <si>
    <t>480-899-3335</t>
  </si>
  <si>
    <t>CHANGE ACADEMY LAKE OZARK</t>
  </si>
  <si>
    <t xml:space="preserve">130 CALO LANE </t>
  </si>
  <si>
    <t>LAKE OZARK</t>
  </si>
  <si>
    <t>573-365-2221</t>
  </si>
  <si>
    <t>CHAPARRAL HOUSE</t>
  </si>
  <si>
    <t xml:space="preserve">1309 ALLSTON AVENUE </t>
  </si>
  <si>
    <t>510-848-8774</t>
  </si>
  <si>
    <t>CHAPEL HILL ACADEMY</t>
  </si>
  <si>
    <t xml:space="preserve">306 W 78TH STREET </t>
  </si>
  <si>
    <t>952-949-9014</t>
  </si>
  <si>
    <t>CHAPEL RIDGE LIVING CENTER</t>
  </si>
  <si>
    <t xml:space="preserve">10023 WHIPPET ROAD </t>
  </si>
  <si>
    <t xml:space="preserve">PARK HILLS </t>
  </si>
  <si>
    <t>573-562-0303</t>
  </si>
  <si>
    <t>CHAPLAINCY HOSPICE HOUSE</t>
  </si>
  <si>
    <t xml:space="preserve">2108 W ENIITAT AVENUE </t>
  </si>
  <si>
    <t>509-783-7416</t>
  </si>
  <si>
    <t>CHAPLAINCY HOSPICE HOUSE-RICHLAND</t>
  </si>
  <si>
    <t xml:space="preserve">1480 FOWLER STREET </t>
  </si>
  <si>
    <t>CHAPMAN TURF AND LANDSCAPE</t>
  </si>
  <si>
    <t xml:space="preserve">260 MCCRARY ROAD </t>
  </si>
  <si>
    <t>28117-8859</t>
  </si>
  <si>
    <t>CHARDON HEALTHCARE CENTER-THB</t>
  </si>
  <si>
    <t xml:space="preserve">620 WATER STREET </t>
  </si>
  <si>
    <t>440-285-9400</t>
  </si>
  <si>
    <t>CHARLESTON HEALTH CARE CTR</t>
  </si>
  <si>
    <t xml:space="preserve">203 BRUCE COURT </t>
  </si>
  <si>
    <t>859-236-9292</t>
  </si>
  <si>
    <t>CHARLESTON JOB CORPS CENTER</t>
  </si>
  <si>
    <t xml:space="preserve">1000 CURTIS PRICE WAY </t>
  </si>
  <si>
    <t>304-414-6526</t>
  </si>
  <si>
    <t>CHARLOTTE HEALTH CARE CENTER</t>
  </si>
  <si>
    <t xml:space="preserve">1735 TODDVILLE ROAD </t>
  </si>
  <si>
    <t>704-394-4001</t>
  </si>
  <si>
    <t>CHARLOTTESVILLE CITY SCHOOL</t>
  </si>
  <si>
    <t xml:space="preserve">1562 DAIRY ROAD </t>
  </si>
  <si>
    <t>434-245-2400</t>
  </si>
  <si>
    <t>CHARLOTTESVILLE HEALTH &amp; REHAB CENTER</t>
  </si>
  <si>
    <t xml:space="preserve">505 WEST RIO ROAD </t>
  </si>
  <si>
    <t>22901-1411</t>
  </si>
  <si>
    <t>434-978-7015</t>
  </si>
  <si>
    <t>CHATEAU CUPERTINO</t>
  </si>
  <si>
    <t xml:space="preserve">10150 TORRE AVENUE </t>
  </si>
  <si>
    <t>408-446-4300</t>
  </si>
  <si>
    <t>CHATEAU DE NOTRE DAME</t>
  </si>
  <si>
    <t xml:space="preserve">2832 BURDETTE STREET </t>
  </si>
  <si>
    <t>504-866-2741</t>
  </si>
  <si>
    <t>CHATEAU D'VILLE REHAB AND RETIREMENT</t>
  </si>
  <si>
    <t xml:space="preserve">401 VATICAN DRIVE </t>
  </si>
  <si>
    <t>DONALDSONVILLE</t>
  </si>
  <si>
    <t>225-473-5614</t>
  </si>
  <si>
    <t>CHATEAU GIRARDEAU</t>
  </si>
  <si>
    <t xml:space="preserve">3120 INDEPENDENCE </t>
  </si>
  <si>
    <t>573-651-8141</t>
  </si>
  <si>
    <t>CHATEAU MADELEINE SENIOR LIVING</t>
  </si>
  <si>
    <t xml:space="preserve">205 HARDOON LANE </t>
  </si>
  <si>
    <t>321-701-8000</t>
  </si>
  <si>
    <t>CHATEAU ST JAMES</t>
  </si>
  <si>
    <t xml:space="preserve">1980 JEFFERSON HIGHWAY </t>
  </si>
  <si>
    <t>LUTCHER</t>
  </si>
  <si>
    <t>225-869-5725</t>
  </si>
  <si>
    <t xml:space="preserve">CHATEAU TERREBONNE </t>
  </si>
  <si>
    <t xml:space="preserve">1386 W TUNNEL BOULEVARD </t>
  </si>
  <si>
    <t>985-872-4553</t>
  </si>
  <si>
    <t>CHATHAM OAKS</t>
  </si>
  <si>
    <t xml:space="preserve">4515 MELROSE AVENUE </t>
  </si>
  <si>
    <t>IOWA CITY</t>
  </si>
  <si>
    <t>319-887-2701</t>
  </si>
  <si>
    <t>CHATSWORTH AT PGA NATIONAL</t>
  </si>
  <si>
    <t xml:space="preserve">347 HIATT DRIVE </t>
  </si>
  <si>
    <t>PALM BEACH GARDENS</t>
  </si>
  <si>
    <t>561-227-3200</t>
  </si>
  <si>
    <t>CHECOTAH NURSING CENTER</t>
  </si>
  <si>
    <t xml:space="preserve">321 S.E. 2ND </t>
  </si>
  <si>
    <t>CHECOTAH</t>
  </si>
  <si>
    <t>918-473-2251</t>
  </si>
  <si>
    <t>CHELSEA GARDENS</t>
  </si>
  <si>
    <t xml:space="preserve">4422 RIVERSTONE BLVD </t>
  </si>
  <si>
    <t>281-499-5040</t>
  </si>
  <si>
    <t>CHENEY CARE CENTER</t>
  </si>
  <si>
    <t xml:space="preserve">2219 NORTH 6TH STREET </t>
  </si>
  <si>
    <t>509-235-6196</t>
  </si>
  <si>
    <t>CHERRY BLOSSOM ASSISTED LIVING</t>
  </si>
  <si>
    <t xml:space="preserve">1880 LIVE OAK BLVD </t>
  </si>
  <si>
    <t>530-673-6051</t>
  </si>
  <si>
    <t>CHERRY LANE NURSING CENTER</t>
  </si>
  <si>
    <t xml:space="preserve">9001 CHERRY LANE </t>
  </si>
  <si>
    <t>301-498-8558</t>
  </si>
  <si>
    <t>CHERRYDALE HEALTHCARE CENTER</t>
  </si>
  <si>
    <t xml:space="preserve">3710 LEE HIGHWAY </t>
  </si>
  <si>
    <t>22207-3721</t>
  </si>
  <si>
    <t>703-243-7640</t>
  </si>
  <si>
    <t>CHESAPEAKE GENERAL HOSP</t>
  </si>
  <si>
    <t xml:space="preserve">736 N BATTLEFIELD BLVD </t>
  </si>
  <si>
    <t>757-312-8121</t>
  </si>
  <si>
    <t>CHESAPEAKE HEALTH CARE CENTER</t>
  </si>
  <si>
    <t xml:space="preserve">688 KINGSBOROUGH SQUARE </t>
  </si>
  <si>
    <t>757-547-9111</t>
  </si>
  <si>
    <t>CHESAPEAKE HOME</t>
  </si>
  <si>
    <t xml:space="preserve">1012 NORTH GEORGE WASHINGTON HWY </t>
  </si>
  <si>
    <t>757-485-5597</t>
  </si>
  <si>
    <t>CHESAPEAKE PLACE ASSISTED LIVING</t>
  </si>
  <si>
    <t xml:space="preserve">1508 VOLVO PKWY </t>
  </si>
  <si>
    <t>757-548-4795</t>
  </si>
  <si>
    <t>CHESTER MENTAL HEALTH</t>
  </si>
  <si>
    <t xml:space="preserve">1315 LEHMEN DRIVE </t>
  </si>
  <si>
    <t>618-526-4571</t>
  </si>
  <si>
    <t>CHESTER RIVER HOSPITAL</t>
  </si>
  <si>
    <t xml:space="preserve">100 BROWN STREET </t>
  </si>
  <si>
    <t>CHESTERTOWN</t>
  </si>
  <si>
    <t>410-778-3301</t>
  </si>
  <si>
    <t>CHESTER-JOPLIN INVERNESS SCHOOLS (K-12)</t>
  </si>
  <si>
    <t xml:space="preserve">101 SCHOOL AND MAIN </t>
  </si>
  <si>
    <t>406-759-5108</t>
  </si>
  <si>
    <t>CHESTER-JOPLIN INVERNESS SCHOOLS (K-12) - CONCESSIONS</t>
  </si>
  <si>
    <t xml:space="preserve">9010 WOODMONT ROAD </t>
  </si>
  <si>
    <t>804-262-7333</t>
  </si>
  <si>
    <t>CHESTNUT GROVE ASSISTED LIVING</t>
  </si>
  <si>
    <t xml:space="preserve">786 CHRIS BARNEY RD </t>
  </si>
  <si>
    <t>DRYDEN</t>
  </si>
  <si>
    <t>276-546-1194</t>
  </si>
  <si>
    <t>CHESTNUT HILL BENEVOLENT ASSOCIATION</t>
  </si>
  <si>
    <t xml:space="preserve">910 BOYLSTON STREET </t>
  </si>
  <si>
    <t>CHESTNUT HILL</t>
  </si>
  <si>
    <t>617-734-5600</t>
  </si>
  <si>
    <t>CHEVY CHASE HOUSE</t>
  </si>
  <si>
    <t xml:space="preserve">5420 CONNECTICUT AVE NW </t>
  </si>
  <si>
    <t>202-686-5504</t>
  </si>
  <si>
    <t>CHEYENNE MANOR</t>
  </si>
  <si>
    <t xml:space="preserve">561 WEST 100 NORTH </t>
  </si>
  <si>
    <t>CHEYENNE WELLS</t>
  </si>
  <si>
    <t>719-767-5602</t>
  </si>
  <si>
    <t>CHI OMEGA (UNIV OF TX)</t>
  </si>
  <si>
    <t xml:space="preserve">2711 RIO GRANDE ST </t>
  </si>
  <si>
    <t>512-810-8805</t>
  </si>
  <si>
    <t>CHICKASHA NURSING CENTER</t>
  </si>
  <si>
    <t xml:space="preserve">2700 SOUTH 9TH ST </t>
  </si>
  <si>
    <t>CHICKASHA</t>
  </si>
  <si>
    <t>405-224-3593</t>
  </si>
  <si>
    <t>CHICOT COUNTY HOME HEALTH</t>
  </si>
  <si>
    <t xml:space="preserve">310 MAIN STREET </t>
  </si>
  <si>
    <t>LAKE VILLAGE</t>
  </si>
  <si>
    <t>870-235-3841</t>
  </si>
  <si>
    <t>CHILD CRISIS CENTER MESA</t>
  </si>
  <si>
    <t xml:space="preserve">604 W 9TH STREET </t>
  </si>
  <si>
    <t>480-969-2308</t>
  </si>
  <si>
    <t>CHILDNET YOUTH &amp; FAMILY SERVICES</t>
  </si>
  <si>
    <t xml:space="preserve">4151 FOUNTAIN STREET </t>
  </si>
  <si>
    <t>310-494-7491</t>
  </si>
  <si>
    <t>CHILDREN'S CENTER OF AUSTIN-BEE CAVE SCHOOL</t>
  </si>
  <si>
    <t xml:space="preserve">8100 BEE CAVES RD </t>
  </si>
  <si>
    <t>512-329-6633</t>
  </si>
  <si>
    <t>CHILDREN'S CENTER OF AUSTIN-JESTER SCHOOL</t>
  </si>
  <si>
    <t xml:space="preserve">6507 JESTER BLVD </t>
  </si>
  <si>
    <t>512-795-8300</t>
  </si>
  <si>
    <t>CHILDREN'S HOME ASSOCIATION OF CENTRAL IL</t>
  </si>
  <si>
    <t xml:space="preserve">2130 N KNOXVILLE AVE </t>
  </si>
  <si>
    <t>309-687-7229</t>
  </si>
  <si>
    <t>CHILDREN'S HOME OF WHEELING</t>
  </si>
  <si>
    <t xml:space="preserve">1 ORCHARD ROAD </t>
  </si>
  <si>
    <t>304-233-2367</t>
  </si>
  <si>
    <t>CHILDRENS HOSPITAL AND MEDICAL CENTER</t>
  </si>
  <si>
    <t xml:space="preserve">8200 DODGE STREET </t>
  </si>
  <si>
    <t>402-955-3755</t>
  </si>
  <si>
    <t>CHILDREN'S HOSPITAL TRANSITIONAL CARE UNIT</t>
  </si>
  <si>
    <t xml:space="preserve">2924 BROOK ROAD </t>
  </si>
  <si>
    <t>23220-1215</t>
  </si>
  <si>
    <t>804-228-5980</t>
  </si>
  <si>
    <t>CHILDRENS LIGHTHOUSE</t>
  </si>
  <si>
    <t xml:space="preserve">23656 CLINTON KEITH ROAD </t>
  </si>
  <si>
    <t>951-600-9395</t>
  </si>
  <si>
    <t>CHILDREN'S LIGHTHOUSE LEARNING CENTER</t>
  </si>
  <si>
    <t xml:space="preserve">1801 BAGDAD RD </t>
  </si>
  <si>
    <t>512-528-5674</t>
  </si>
  <si>
    <t>CHILDREN'S RECEIVING HOME OF SAC</t>
  </si>
  <si>
    <t xml:space="preserve">3555 AUBURN BLVD </t>
  </si>
  <si>
    <t>916-482-2370</t>
  </si>
  <si>
    <t>CHINLE VALLEY SCHOOL RESIDENTIAL</t>
  </si>
  <si>
    <t xml:space="preserve">HWY 191 CHINLE VALLEY SCHOOL RD </t>
  </si>
  <si>
    <t>CHINLE</t>
  </si>
  <si>
    <t>520-674-2700</t>
  </si>
  <si>
    <t>CHINOOK SENIOR CENTER</t>
  </si>
  <si>
    <t xml:space="preserve">325 PENN ST </t>
  </si>
  <si>
    <t>CHINOOK</t>
  </si>
  <si>
    <t>406-357-2648</t>
  </si>
  <si>
    <t>CHIPPENDALE RETIREMENT CENTER</t>
  </si>
  <si>
    <t xml:space="preserve">4931 RIDGEDALE PARKWAY </t>
  </si>
  <si>
    <t>804-271-9502</t>
  </si>
  <si>
    <t>CHIPPEWA COUNTY WAR MEMORIAL HOSPITAL</t>
  </si>
  <si>
    <t xml:space="preserve">500 OSBORN BLVD </t>
  </si>
  <si>
    <t>SAULT STE MARIE</t>
  </si>
  <si>
    <t>906-635-4466</t>
  </si>
  <si>
    <t>CHIPPEWA CREE TRIBAL JUSTICE CENTER</t>
  </si>
  <si>
    <t xml:space="preserve">6742 UPPER BOX ELDER ROAD </t>
  </si>
  <si>
    <t>406-395-4513</t>
  </si>
  <si>
    <t>CHISHOLM SCHOOLS</t>
  </si>
  <si>
    <t xml:space="preserve">305 UTAH </t>
  </si>
  <si>
    <t>580-366-9588</t>
  </si>
  <si>
    <t>CHISHOLM TRAIL ASSISTED LIVING</t>
  </si>
  <si>
    <t xml:space="preserve">625 N CHISHOLM TRAIL PARKWAY </t>
  </si>
  <si>
    <t>DUNCAN</t>
  </si>
  <si>
    <t>580-470-8600</t>
  </si>
  <si>
    <t>CHOWCHILLA MEMORIAL HEALTHCARE DISTRICT</t>
  </si>
  <si>
    <t xml:space="preserve">1104 VENTURA STREET </t>
  </si>
  <si>
    <t>559-665-3781</t>
  </si>
  <si>
    <t>CHRIST HOUSE</t>
  </si>
  <si>
    <t xml:space="preserve">1717 COLUMBIA RD NW </t>
  </si>
  <si>
    <t>202-328-1100</t>
  </si>
  <si>
    <t>CHRIST THE KING MANOR</t>
  </si>
  <si>
    <t xml:space="preserve">1100 WEST LONG AVENUE </t>
  </si>
  <si>
    <t>814-371-3180</t>
  </si>
  <si>
    <t xml:space="preserve">CHRISTIAN CARE </t>
  </si>
  <si>
    <t xml:space="preserve">2053 SHERIDAN DRIVE </t>
  </si>
  <si>
    <t xml:space="preserve">MUSKEGON </t>
  </si>
  <si>
    <t>231-722-7165</t>
  </si>
  <si>
    <t>CHRISTIAN CARE ASSISTED LIVING</t>
  </si>
  <si>
    <t xml:space="preserve">1530 MCLAUGHLIN </t>
  </si>
  <si>
    <t>231-777-3494</t>
  </si>
  <si>
    <t>CHRISTIAN CARE CENTER-PHOENIX</t>
  </si>
  <si>
    <t xml:space="preserve">11812 N 19TH AVENUE </t>
  </si>
  <si>
    <t>602-443-5412</t>
  </si>
  <si>
    <t>CHRISTIAN CITY CONVALESCENT</t>
  </si>
  <si>
    <t xml:space="preserve">7300 LESTER RD </t>
  </si>
  <si>
    <t>770-964-3301</t>
  </si>
  <si>
    <t>CHRISTIAN COLLEGIATE ACADEMY</t>
  </si>
  <si>
    <t xml:space="preserve">12200 DEDEAUX ROAD </t>
  </si>
  <si>
    <t>228-424-2024</t>
  </si>
  <si>
    <t>CHRISTIAN HEALTH CARE</t>
  </si>
  <si>
    <t xml:space="preserve">855 AARON DRIVE </t>
  </si>
  <si>
    <t>LYNDEN</t>
  </si>
  <si>
    <t>360-354-4434</t>
  </si>
  <si>
    <t>CHRISTIAN HOMES RETIREMENT COMMUNITY</t>
  </si>
  <si>
    <t xml:space="preserve">1923 W 4TH AVE </t>
  </si>
  <si>
    <t>HOLDREGE</t>
  </si>
  <si>
    <t>712-364-2132</t>
  </si>
  <si>
    <t>CHRISTIAN HOUSE HOME HEALTH &amp; ASSISTED LIVING</t>
  </si>
  <si>
    <t xml:space="preserve">82 GARFIELD AVENUE </t>
  </si>
  <si>
    <t>EAST PALESTINE</t>
  </si>
  <si>
    <t>330-886-0386</t>
  </si>
  <si>
    <t>CHRISTIAN LEARNING CENTER</t>
  </si>
  <si>
    <t xml:space="preserve">11 AISNE STREET </t>
  </si>
  <si>
    <t xml:space="preserve">CORNING </t>
  </si>
  <si>
    <t>607-962-4220</t>
  </si>
  <si>
    <t>CHRISTOPHER HOUSE</t>
  </si>
  <si>
    <t xml:space="preserve">100 S CLEVELAND </t>
  </si>
  <si>
    <t>509-293-7112</t>
  </si>
  <si>
    <t>CHRISTWOOD RETIREMENT COMMUNITY</t>
  </si>
  <si>
    <t xml:space="preserve">100 CHRISTWOOD BLVD </t>
  </si>
  <si>
    <t>985-898-3022</t>
  </si>
  <si>
    <t>CHURCH HOME REHABILITATION AND HEALTCARE LLC</t>
  </si>
  <si>
    <t xml:space="preserve">2470 US HIGHWAY 41 NORTH </t>
  </si>
  <si>
    <t>FORT VALLEY</t>
  </si>
  <si>
    <t>478-987-1239</t>
  </si>
  <si>
    <t>CHURCH OF CHRIST ASSISTED LIVING</t>
  </si>
  <si>
    <t xml:space="preserve">23621 FIFTEEN MILE RD </t>
  </si>
  <si>
    <t>586-285-6202</t>
  </si>
  <si>
    <t xml:space="preserve">23575 FIFTEEN MILE ROAD </t>
  </si>
  <si>
    <t>586-791-2470</t>
  </si>
  <si>
    <t>CHURCHILL ASSISTED RESIDENCES</t>
  </si>
  <si>
    <t xml:space="preserve">140 CARRIAGE CLUB DRIVE </t>
  </si>
  <si>
    <t>704-658-1200</t>
  </si>
  <si>
    <t>CIMARRON PLACE</t>
  </si>
  <si>
    <t xml:space="preserve">3801 CIMARRON BLVD </t>
  </si>
  <si>
    <t>361-993-8500</t>
  </si>
  <si>
    <t>CINCINNATI STATE TECHNICAL AND COMMUNITY COLLEGE</t>
  </si>
  <si>
    <t xml:space="preserve">3520 CENTRAL PARKWAY </t>
  </si>
  <si>
    <t>513-569-1579</t>
  </si>
  <si>
    <t>CIRCLE C CHILD DEVELOPMENT CENTER</t>
  </si>
  <si>
    <t xml:space="preserve">5917 LACROSSE AVE </t>
  </si>
  <si>
    <t>512-288-9792</t>
  </si>
  <si>
    <t>CIRCLE OF CARE</t>
  </si>
  <si>
    <t xml:space="preserve">1985 E PERSHING ST </t>
  </si>
  <si>
    <t>330-332-1588</t>
  </si>
  <si>
    <t>CIRCUS SMIRKUS</t>
  </si>
  <si>
    <t xml:space="preserve">403 BREEZY ROAD </t>
  </si>
  <si>
    <t>GREENBORO</t>
  </si>
  <si>
    <t>802-533-7443</t>
  </si>
  <si>
    <t>CIRQUE LODGE</t>
  </si>
  <si>
    <t xml:space="preserve">777 NO PALISADE DRIVE </t>
  </si>
  <si>
    <t>801-222-9200</t>
  </si>
  <si>
    <t>CITIZEN'S CARE &amp; REHAB CENTER</t>
  </si>
  <si>
    <t xml:space="preserve">415 SOUTH MARKET ST </t>
  </si>
  <si>
    <t>410-939-5500</t>
  </si>
  <si>
    <t>CITY OF LANSING</t>
  </si>
  <si>
    <t xml:space="preserve">124 W MICHIGAN AVENUE </t>
  </si>
  <si>
    <t>517-483-4128</t>
  </si>
  <si>
    <t>CLAIBORNE HUGHES HEALTH CENTER</t>
  </si>
  <si>
    <t xml:space="preserve">200 STRAHL ST </t>
  </si>
  <si>
    <t>615-791-1103</t>
  </si>
  <si>
    <t>CLARA BALDWIN STOCKER HOME</t>
  </si>
  <si>
    <t xml:space="preserve">527 SOUTH VALINDA AVENUE </t>
  </si>
  <si>
    <t>WEST COVINA</t>
  </si>
  <si>
    <t>626-962-7151</t>
  </si>
  <si>
    <t>CLARE FOUNDATION INC</t>
  </si>
  <si>
    <t xml:space="preserve">909 PICO BLVD </t>
  </si>
  <si>
    <t>310-314-6200</t>
  </si>
  <si>
    <t>CLAREMONT SHELTERED CARE CENTER</t>
  </si>
  <si>
    <t xml:space="preserve">650 SOUTH INDIAN HILL BLVD </t>
  </si>
  <si>
    <t>909-626-3581</t>
  </si>
  <si>
    <t>CLAREMORE SENIOR CITIZENS CENTER</t>
  </si>
  <si>
    <t xml:space="preserve">475 EAST BLUE STARR DRIVE </t>
  </si>
  <si>
    <t>918-341-4734</t>
  </si>
  <si>
    <t>CLARENDON CARE CENTER</t>
  </si>
  <si>
    <t xml:space="preserve">10 MEDICAL CENTER DRIVE </t>
  </si>
  <si>
    <t>CLARENDON</t>
  </si>
  <si>
    <t>806-874-5221</t>
  </si>
  <si>
    <t>CLARK COUNTY NURSING HOME</t>
  </si>
  <si>
    <t xml:space="preserve">1260 JOHNSON STREET </t>
  </si>
  <si>
    <t>KAHOKA</t>
  </si>
  <si>
    <t>660-727-3303</t>
  </si>
  <si>
    <t>CLARK RETIREMENT COMMUNITY</t>
  </si>
  <si>
    <t xml:space="preserve">1551 FRANKLIN STREET SE </t>
  </si>
  <si>
    <t>616-452-1568</t>
  </si>
  <si>
    <t>CLARK-LINDSEY VILLAGE</t>
  </si>
  <si>
    <t xml:space="preserve">101 W WINDSOR ROAD </t>
  </si>
  <si>
    <t>217-344-2144</t>
  </si>
  <si>
    <t>CLARKSVILLE SKILLED NURSING &amp; REHAB</t>
  </si>
  <si>
    <t xml:space="preserve">115 NORTH HILTON </t>
  </si>
  <si>
    <t>319-278-4900</t>
  </si>
  <si>
    <t>CLAYBERG FULTON COUNTY NURSING CTR</t>
  </si>
  <si>
    <t xml:space="preserve">625 E MONROE ST </t>
  </si>
  <si>
    <t>CUBA</t>
  </si>
  <si>
    <t>309-785-5012</t>
  </si>
  <si>
    <t>CLAY'S ASSISTED LIVING</t>
  </si>
  <si>
    <t xml:space="preserve">701 LUNENBURG AVENUE </t>
  </si>
  <si>
    <t>BLACKSTONE</t>
  </si>
  <si>
    <t>434-292-4797</t>
  </si>
  <si>
    <t>CLAYTON WESTLAKE SENIOR RESIDENCES</t>
  </si>
  <si>
    <t xml:space="preserve">14721 NORTH SANTA FE </t>
  </si>
  <si>
    <t>405-767-6901</t>
  </si>
  <si>
    <t>CLEARVIEW HOME CLEARFIELD</t>
  </si>
  <si>
    <t xml:space="preserve">202 N JEFFERSON PO BOX 219 </t>
  </si>
  <si>
    <t>CLEARFIELD</t>
  </si>
  <si>
    <t>641-336-2333</t>
  </si>
  <si>
    <t>CLEARVIEW HOME MT AYR</t>
  </si>
  <si>
    <t xml:space="preserve">406 W. WASHINGTON </t>
  </si>
  <si>
    <t>MOUNT AYR</t>
  </si>
  <si>
    <t>641-464-2240</t>
  </si>
  <si>
    <t>CLEARVIEW MANOR REST HOME</t>
  </si>
  <si>
    <t xml:space="preserve">P.O. BOX 190 </t>
  </si>
  <si>
    <t>CLEARVIEW SANITARIUM</t>
  </si>
  <si>
    <t xml:space="preserve">15823 S WESTERN AVE </t>
  </si>
  <si>
    <t>310-538-2323</t>
  </si>
  <si>
    <t>CLEARWATER CHRISTIAN COLLEGE</t>
  </si>
  <si>
    <t xml:space="preserve">3400 GULF TO BAY BOULEVARD </t>
  </si>
  <si>
    <t>727-726-1153</t>
  </si>
  <si>
    <t>CLEVELAND COUNTY HOME HEALTH</t>
  </si>
  <si>
    <t xml:space="preserve">212 MAIN STREET </t>
  </si>
  <si>
    <t>RISON</t>
  </si>
  <si>
    <t>870-325-7455</t>
  </si>
  <si>
    <t>CLIFF VIEW TERRACE</t>
  </si>
  <si>
    <t xml:space="preserve">1020 CLIFF DRIVE </t>
  </si>
  <si>
    <t>805-963-7556</t>
  </si>
  <si>
    <t>CLIFFS AT EAGLE ROCK (THE)</t>
  </si>
  <si>
    <t xml:space="preserve">707 EAGLE ROCK AVENUE </t>
  </si>
  <si>
    <t>973-669-0011</t>
  </si>
  <si>
    <t>CLINTON COUNTY SHERIFF DEPT</t>
  </si>
  <si>
    <t xml:space="preserve">1347 TOWNSEND STREET </t>
  </si>
  <si>
    <t>ST JOHN</t>
  </si>
  <si>
    <t>817-224-5200</t>
  </si>
  <si>
    <t>CLINTON HOUSE</t>
  </si>
  <si>
    <t xml:space="preserve">205 MARTHA LANE </t>
  </si>
  <si>
    <t>910-592-0154</t>
  </si>
  <si>
    <t>CLINTON LITTLE DEVILS ASSOCIATION INC</t>
  </si>
  <si>
    <t xml:space="preserve">219 W MAIN STREET </t>
  </si>
  <si>
    <t>864-549-1859</t>
  </si>
  <si>
    <t>CLINTON SENIOR CENTER ARKANSAS</t>
  </si>
  <si>
    <t xml:space="preserve">ROUTE 6 BOX 11 SCHOOL STREET </t>
  </si>
  <si>
    <t>501-745-2244</t>
  </si>
  <si>
    <t>CLINTON-HICKMAN COUNTY HOSPITAL</t>
  </si>
  <si>
    <t xml:space="preserve">366 SOUTH WASHINGTON STREET </t>
  </si>
  <si>
    <t>502-653-2461</t>
  </si>
  <si>
    <t>CLOISTERS OF THE VALLEY</t>
  </si>
  <si>
    <t xml:space="preserve">4171 CAMINO DEL RIO SOUTH </t>
  </si>
  <si>
    <t>619-283-2226</t>
  </si>
  <si>
    <t>CLUBHOUSE AT OAK HARBOR</t>
  </si>
  <si>
    <t xml:space="preserve">4755 S HARBOR DRIVE </t>
  </si>
  <si>
    <t>772-562-3808</t>
  </si>
  <si>
    <t>CLYDE W COSPER TEXAS VETERANS HOME</t>
  </si>
  <si>
    <t xml:space="preserve">1300 SEVEN OAKS ROAD </t>
  </si>
  <si>
    <t>BONHAM</t>
  </si>
  <si>
    <t>903-640-8387</t>
  </si>
  <si>
    <t>CMC PROWERS COUNTY JAIL</t>
  </si>
  <si>
    <t xml:space="preserve">103 E OAK </t>
  </si>
  <si>
    <t xml:space="preserve">LAMAR </t>
  </si>
  <si>
    <t>515-278-9774</t>
  </si>
  <si>
    <t>CMC-BATES COUNTY SHERIFFS OFFICE</t>
  </si>
  <si>
    <t xml:space="preserve">6 WEST FORT SCOTT </t>
  </si>
  <si>
    <t xml:space="preserve">BUTLER </t>
  </si>
  <si>
    <t>CMC-BUFFALO COUNTY JAIL</t>
  </si>
  <si>
    <t xml:space="preserve">2670 106TH ST STE 140 </t>
  </si>
  <si>
    <t>CMC-FLINT HILLS TECH COLLEGE</t>
  </si>
  <si>
    <t xml:space="preserve">3301 W 18TH AVE </t>
  </si>
  <si>
    <t xml:space="preserve">EMPORIA </t>
  </si>
  <si>
    <t>CMC-MID PLAINS COMM COLLEGE/MCCOOK</t>
  </si>
  <si>
    <t xml:space="preserve">1205 EAST 1ST STREET </t>
  </si>
  <si>
    <t>MCCOOK</t>
  </si>
  <si>
    <t>CMC-MID PLAINS COMM COLLEGE/NORTH</t>
  </si>
  <si>
    <t xml:space="preserve">1101 HALLIGAN DRIVE </t>
  </si>
  <si>
    <t>CMC-MID PLAINS COMM COLLEGE/SOUTH</t>
  </si>
  <si>
    <t xml:space="preserve">601 WEST SIDE STATE FARM ROAD </t>
  </si>
  <si>
    <t>CMC-NEBRASKA LAW ENFORCE TRAINING CTR</t>
  </si>
  <si>
    <t xml:space="preserve">3600 NORTH ACADEMY ROAD </t>
  </si>
  <si>
    <t>CMC-VERNON COUNTY JAIL</t>
  </si>
  <si>
    <t xml:space="preserve">2040 EAST HUNTER </t>
  </si>
  <si>
    <t xml:space="preserve">NEVADA </t>
  </si>
  <si>
    <t>COAST CARE CONVALESCENT CENTER</t>
  </si>
  <si>
    <t xml:space="preserve">14518 E LOS ANGELES STREET </t>
  </si>
  <si>
    <t>626-337-7229</t>
  </si>
  <si>
    <t>COASTAL HOSPICE</t>
  </si>
  <si>
    <t xml:space="preserve">2604 OLD OCEAN CITY ROAD </t>
  </si>
  <si>
    <t>410-742-8732</t>
  </si>
  <si>
    <t>COBBDALE ASSISTED LIVING</t>
  </si>
  <si>
    <t xml:space="preserve">3503 BURROWS AVENUE </t>
  </si>
  <si>
    <t>571-414-1850</t>
  </si>
  <si>
    <t>COBBLESTONE COURT ASSISTED LIVING</t>
  </si>
  <si>
    <t xml:space="preserve">3187 140TH STREET </t>
  </si>
  <si>
    <t>319-231-3635</t>
  </si>
  <si>
    <t>COBLESKILL AUX SVC-SANDELLA-S</t>
  </si>
  <si>
    <t xml:space="preserve">152 ALBANY AVE. - PRENTICE HALL </t>
  </si>
  <si>
    <t>COBLESKILL</t>
  </si>
  <si>
    <t>518-255-5883</t>
  </si>
  <si>
    <t>COFFEE AND CREPES CATERING</t>
  </si>
  <si>
    <t xml:space="preserve">315 CROSSROADS BLVD </t>
  </si>
  <si>
    <t>COFFMAN NURSING HOME</t>
  </si>
  <si>
    <t xml:space="preserve">1304 PENNSYLVANIA AVE </t>
  </si>
  <si>
    <t>301-733-2914</t>
  </si>
  <si>
    <t>COGBURN HEALTH CENTER MOBILE</t>
  </si>
  <si>
    <t xml:space="preserve">148 TUSCALOOSA STREET </t>
  </si>
  <si>
    <t>251-471-5431</t>
  </si>
  <si>
    <t>COGBURN MID-TOWN MOBILE</t>
  </si>
  <si>
    <t xml:space="preserve">3104 DAUPHIN SQ CONNECTOR </t>
  </si>
  <si>
    <t>251-450-2800</t>
  </si>
  <si>
    <t>COGBURN NURSING CTR HUNTSVILLE</t>
  </si>
  <si>
    <t xml:space="preserve">4010 CHRIS DRIVE </t>
  </si>
  <si>
    <t>256-883-8656</t>
  </si>
  <si>
    <t>COKATO CHARITABLE TRUST</t>
  </si>
  <si>
    <t xml:space="preserve">182 SUNSET AVENUE N </t>
  </si>
  <si>
    <t>320-286-2158</t>
  </si>
  <si>
    <t>COLEMAN ADULT DAY SERVICES</t>
  </si>
  <si>
    <t xml:space="preserve">6695 N CHESTNUT STREET </t>
  </si>
  <si>
    <t>330-296-3214</t>
  </si>
  <si>
    <t>COLEMAN CORNER</t>
  </si>
  <si>
    <t xml:space="preserve">849 LAWERENCE STREET </t>
  </si>
  <si>
    <t>COLEMAN TRI-COUNTY SERVICES INC.</t>
  </si>
  <si>
    <t xml:space="preserve">901 OGLESBY STREET </t>
  </si>
  <si>
    <t>618-252-1215</t>
  </si>
  <si>
    <t>COLLEEN'S CHERRY TREE INN</t>
  </si>
  <si>
    <t xml:space="preserve">8541 STATE ROUTE 3 </t>
  </si>
  <si>
    <t>315-938-7281</t>
  </si>
  <si>
    <t>COLLEGE CHEFS LLC</t>
  </si>
  <si>
    <t xml:space="preserve">411 E PARK ST STE 100 </t>
  </si>
  <si>
    <t>217-531-1190</t>
  </si>
  <si>
    <t>COLLEGE CHEFS-PI KAPPA PHI-U OF TX</t>
  </si>
  <si>
    <t xml:space="preserve">2411 LONGVIEW DRIVE </t>
  </si>
  <si>
    <t>COLLEGE CHEFS-SIGMA CHI-U OF TX</t>
  </si>
  <si>
    <t xml:space="preserve">2701 NUECES STREET </t>
  </si>
  <si>
    <t>COLLEGE OF CENTRAL FLORIDA</t>
  </si>
  <si>
    <t xml:space="preserve">3001 SW COLLEGE ROAD </t>
  </si>
  <si>
    <t>352-873-5800</t>
  </si>
  <si>
    <t>COLLEGE OF SEQUOIA COFFEE SHOP</t>
  </si>
  <si>
    <t xml:space="preserve">915 S MOONEY BLVD </t>
  </si>
  <si>
    <t>554-213-8746</t>
  </si>
  <si>
    <t>COLLEGE OF THE SEQUOIAS VISALIA</t>
  </si>
  <si>
    <t>559-730-3906</t>
  </si>
  <si>
    <t>COLLINGSWOOD NURSING HOME</t>
  </si>
  <si>
    <t xml:space="preserve">299 HURLEY AVENUE </t>
  </si>
  <si>
    <t>301-762-8900</t>
  </si>
  <si>
    <t>COLLINSVILLE NURSING HOME</t>
  </si>
  <si>
    <t xml:space="preserve">685 N VALLEY AVE </t>
  </si>
  <si>
    <t>205-524-2117</t>
  </si>
  <si>
    <t>COLONIAL ACRES OF HUMBOLDT</t>
  </si>
  <si>
    <t xml:space="preserve">1043 10TH STREET </t>
  </si>
  <si>
    <t>HUMBOLDT</t>
  </si>
  <si>
    <t>402-862-3123</t>
  </si>
  <si>
    <t>COLONIAL CARE HOME</t>
  </si>
  <si>
    <t xml:space="preserve">340 SNOWHILL DRIVE </t>
  </si>
  <si>
    <t>336-786-2194</t>
  </si>
  <si>
    <t>COLONIAL HAVEN &amp; COURTS BEEMER</t>
  </si>
  <si>
    <t xml:space="preserve">424 HARRISON STREET </t>
  </si>
  <si>
    <t>BEEMER</t>
  </si>
  <si>
    <t>402-528-3268</t>
  </si>
  <si>
    <t>COLONIAL HAVEN CARE</t>
  </si>
  <si>
    <t xml:space="preserve">616 ARMORY STREET </t>
  </si>
  <si>
    <t>334-624-3054</t>
  </si>
  <si>
    <t>COLONIAL HEALTH AND REHAB CENTER OF PLAINFIELD LLC</t>
  </si>
  <si>
    <t xml:space="preserve">16 WINDSOR AVENUE </t>
  </si>
  <si>
    <t>860-564-4081</t>
  </si>
  <si>
    <t>COLONIAL HEIGHTS HEALTH CARE CENTER</t>
  </si>
  <si>
    <t xml:space="preserve">831 ELLERSLIE AVENUE </t>
  </si>
  <si>
    <t>804-526-6851</t>
  </si>
  <si>
    <t>COLONIAL HOME</t>
  </si>
  <si>
    <t xml:space="preserve">904 NORTH GEORGE WASHINGTON HWY </t>
  </si>
  <si>
    <t>757-487-9737</t>
  </si>
  <si>
    <t>COLONIAL LODGE ASSISTED LIVING</t>
  </si>
  <si>
    <t xml:space="preserve">202 FM 2578 </t>
  </si>
  <si>
    <t>TERRELL</t>
  </si>
  <si>
    <t>972-563-1043</t>
  </si>
  <si>
    <t>COLONIAL MANOR OF COLUMBUS COMMUNITY</t>
  </si>
  <si>
    <t xml:space="preserve">814 SPRINGER AVE </t>
  </si>
  <si>
    <t>COLUMBUS JUNCTION</t>
  </si>
  <si>
    <t>319-728-2276</t>
  </si>
  <si>
    <t>COLONIAL MANOR RETIREMENT LIVING</t>
  </si>
  <si>
    <t xml:space="preserve">8679 POCHANTAS TRAIL </t>
  </si>
  <si>
    <t>757-476-6721</t>
  </si>
  <si>
    <t>COLONIAL MANOR LOUDONVILLE</t>
  </si>
  <si>
    <t xml:space="preserve">747 SOUTH MT VERNON AVENUE </t>
  </si>
  <si>
    <t>LOUDONVILLE</t>
  </si>
  <si>
    <t>419-994-4191</t>
  </si>
  <si>
    <t>COLONIAL MANOR SIKESTON</t>
  </si>
  <si>
    <t xml:space="preserve">907 W MALONE </t>
  </si>
  <si>
    <t>SIKESTON</t>
  </si>
  <si>
    <t>573-471-0058</t>
  </si>
  <si>
    <t>COLONIAL OAKS LIVING CENTER</t>
  </si>
  <si>
    <t xml:space="preserve">4312 ITHACA ST </t>
  </si>
  <si>
    <t>504-887-6414</t>
  </si>
  <si>
    <t>COLONNADES (THE)</t>
  </si>
  <si>
    <t xml:space="preserve">2600 BARRACKS ROAD </t>
  </si>
  <si>
    <t>434-963-4170</t>
  </si>
  <si>
    <t>COLONNADES ASSISTED LIVING</t>
  </si>
  <si>
    <t xml:space="preserve">2448 MIDLAND RD </t>
  </si>
  <si>
    <t>989-684-7060</t>
  </si>
  <si>
    <t>COLONY SOUTH SOUTHERN MARYLAND HOSPITAL</t>
  </si>
  <si>
    <t xml:space="preserve">7503 SURRATS ROAD </t>
  </si>
  <si>
    <t>301-877-4462</t>
  </si>
  <si>
    <t>COLORADO STATE UNIVERSITY</t>
  </si>
  <si>
    <t xml:space="preserve">C.S. BASEMENT ADMIN. ANNEX </t>
  </si>
  <si>
    <t>970-491-6934</t>
  </si>
  <si>
    <t>COLORADO STATE UNIVERSITY-LORY</t>
  </si>
  <si>
    <t xml:space="preserve">LORY STUDENT CENTER 8030 </t>
  </si>
  <si>
    <t>970-491-7202</t>
  </si>
  <si>
    <t>COLORADO STATE VET NURSING HOME</t>
  </si>
  <si>
    <t xml:space="preserve">851 E 5TH STREET </t>
  </si>
  <si>
    <t>RIFLE</t>
  </si>
  <si>
    <t>970-625-0842</t>
  </si>
  <si>
    <t>COLUMBIA ACADEMY</t>
  </si>
  <si>
    <t xml:space="preserve">1548 HWY 98E </t>
  </si>
  <si>
    <t>601-736-6418</t>
  </si>
  <si>
    <t>COLUMBIA MONTGOMERY REG HOSPITAL</t>
  </si>
  <si>
    <t xml:space="preserve">3700 SOUTH MAIN STREET RT. 460 SOUTH </t>
  </si>
  <si>
    <t>24060-9728</t>
  </si>
  <si>
    <t>540-951-1111</t>
  </si>
  <si>
    <t>COLUMBIA TEEN CHALLENGE MENS CENTER</t>
  </si>
  <si>
    <t xml:space="preserve">3332 LEESBURG ROAD </t>
  </si>
  <si>
    <t>270-871-0867</t>
  </si>
  <si>
    <t>COLUMBIA VANTAGE HOUSE</t>
  </si>
  <si>
    <t xml:space="preserve">5400 VANTAGE POINT ROAD </t>
  </si>
  <si>
    <t>410-964-5454</t>
  </si>
  <si>
    <t>COLUMBIERE JESUIT COMMUNITY -STELLA MARIS</t>
  </si>
  <si>
    <t xml:space="preserve">5704 ROLAND AVENUE </t>
  </si>
  <si>
    <t>COLUMBUS MANOR</t>
  </si>
  <si>
    <t xml:space="preserve">5107 W JACKSON BLVD </t>
  </si>
  <si>
    <t>773-378-5490</t>
  </si>
  <si>
    <t>COLUMBUS PUBLIC SCHOOL</t>
  </si>
  <si>
    <t xml:space="preserve">433 N 3RD ST </t>
  </si>
  <si>
    <t>406-322-6373</t>
  </si>
  <si>
    <t xml:space="preserve">COLUSA MEDICAL CENTER-MENU ONLY </t>
  </si>
  <si>
    <t xml:space="preserve">199 EAST WEBSTER STREET </t>
  </si>
  <si>
    <t>COLUSA</t>
  </si>
  <si>
    <t>530-458-5821</t>
  </si>
  <si>
    <t>COLVILLE TRIBAL CONVALESCENT CENTER</t>
  </si>
  <si>
    <t xml:space="preserve">1 CONVALESCENT BLVD </t>
  </si>
  <si>
    <t>NESPELEM</t>
  </si>
  <si>
    <t>509-634-2877</t>
  </si>
  <si>
    <t>COMANCHE NATION ELDER PROGRAM</t>
  </si>
  <si>
    <t xml:space="preserve">1107 SW H AVENUE </t>
  </si>
  <si>
    <t>580-355-2330</t>
  </si>
  <si>
    <t>COMFORCARE EDMOND</t>
  </si>
  <si>
    <t xml:space="preserve">2100 NE 140TH STREET </t>
  </si>
  <si>
    <t>405-425-1000</t>
  </si>
  <si>
    <t>COMFORT COTTAGES</t>
  </si>
  <si>
    <t xml:space="preserve">4121 MEADOW HILL LANE </t>
  </si>
  <si>
    <t>703-449-1640</t>
  </si>
  <si>
    <t>COMFORT INN AND SUITES</t>
  </si>
  <si>
    <t xml:space="preserve">7007 GROVER STREET </t>
  </si>
  <si>
    <t>402-934-4900</t>
  </si>
  <si>
    <t>COMMANDER NURSING</t>
  </si>
  <si>
    <t xml:space="preserve">4438 PAMPLICO HIGHWAY </t>
  </si>
  <si>
    <t>843-669-5302</t>
  </si>
  <si>
    <t>COMMONS AT THE GREENBRIAR-THB</t>
  </si>
  <si>
    <t xml:space="preserve">8060 SOUTH AVENUE </t>
  </si>
  <si>
    <t>BOARDMAN</t>
  </si>
  <si>
    <t>330-758-8855</t>
  </si>
  <si>
    <t>COMMUNITY ACTION COMMITTEE PIKE COUNTY</t>
  </si>
  <si>
    <t xml:space="preserve">402 CLOUGH STREET </t>
  </si>
  <si>
    <t>740-947-5555</t>
  </si>
  <si>
    <t>COMMUNITY ACTION DEVELOPMENT</t>
  </si>
  <si>
    <t xml:space="preserve">PO BOX 202 </t>
  </si>
  <si>
    <t>VICI</t>
  </si>
  <si>
    <t>580-393-2216</t>
  </si>
  <si>
    <t>COMMUNITY ACTION OF NAPA VALLEY</t>
  </si>
  <si>
    <t xml:space="preserve">2310 LAUREL STREET SUITE 1 </t>
  </si>
  <si>
    <t>707-253-6100</t>
  </si>
  <si>
    <t>COMMUNITY CARE CENTER STUART</t>
  </si>
  <si>
    <t xml:space="preserve">325 SW 7TH STREET </t>
  </si>
  <si>
    <t>515-523-2815</t>
  </si>
  <si>
    <t>COMMUNITY CARE OF KNOXVILLE</t>
  </si>
  <si>
    <t xml:space="preserve">205 N IOWA STREET </t>
  </si>
  <si>
    <t>641-842-4618</t>
  </si>
  <si>
    <t>COMMUNITY COOPERATIVE MINISTRIES</t>
  </si>
  <si>
    <t xml:space="preserve">P O BOX 2143 </t>
  </si>
  <si>
    <t>239-332-7687</t>
  </si>
  <si>
    <t>COMMUNITY DEVELOPMENT INSTITUTE</t>
  </si>
  <si>
    <t xml:space="preserve">399 MACEDONIA RD SE </t>
  </si>
  <si>
    <t>HPSI:HEAD START</t>
  </si>
  <si>
    <t>404-363-3030</t>
  </si>
  <si>
    <t>COMMUNITY MANOR FARMINGTON</t>
  </si>
  <si>
    <t xml:space="preserve">783 WEBER ROAD </t>
  </si>
  <si>
    <t>574-356-8997</t>
  </si>
  <si>
    <t>COMMUNITY MEM HLTH CTR HARTLEY</t>
  </si>
  <si>
    <t xml:space="preserve">P O BOX 188 231 N EIGHTH AVE W </t>
  </si>
  <si>
    <t>HARTLEY</t>
  </si>
  <si>
    <t>712-728-2428</t>
  </si>
  <si>
    <t>COMMUNITY MEMORIAL HEALTHCENTER</t>
  </si>
  <si>
    <t xml:space="preserve">P.O. BOX 90 </t>
  </si>
  <si>
    <t>SOUTH HILL</t>
  </si>
  <si>
    <t>23970-0090</t>
  </si>
  <si>
    <t>434-774-2428</t>
  </si>
  <si>
    <t>COMMUNITY NURSING HOME JACKSON</t>
  </si>
  <si>
    <t xml:space="preserve">1129 LANGLEY AVENUE </t>
  </si>
  <si>
    <t>601-355-0617</t>
  </si>
  <si>
    <t>COMMUNITY SCHOOL INC</t>
  </si>
  <si>
    <t xml:space="preserve">1 COMMUNITY SCHOOL DR </t>
  </si>
  <si>
    <t>208-622-3960</t>
  </si>
  <si>
    <t>COMMUNITY SKILLED NURSING CENTRE</t>
  </si>
  <si>
    <t xml:space="preserve">1320 MAHONING AVENUE NW </t>
  </si>
  <si>
    <t>216-373-1160</t>
  </si>
  <si>
    <t>COMPANION HOME HEALTH HOSPICE</t>
  </si>
  <si>
    <t xml:space="preserve">2041 W ORANGEWOOD AVENUE STE B </t>
  </si>
  <si>
    <t>714-560-8188</t>
  </si>
  <si>
    <t>COMPASS CORP. RECOVERY SERVICES</t>
  </si>
  <si>
    <t xml:space="preserve">2005 ASHLAND AVENUE </t>
  </si>
  <si>
    <t>419-418-5570</t>
  </si>
  <si>
    <t>COMPASS POINTE MEMORY CARE</t>
  </si>
  <si>
    <t xml:space="preserve">5425 W SPRUCE STREET </t>
  </si>
  <si>
    <t>559-840-9347</t>
  </si>
  <si>
    <t>COMPASSIONATE CARE SOUTIONS</t>
  </si>
  <si>
    <t xml:space="preserve">1425 E STEVE OWENS BLVD </t>
  </si>
  <si>
    <t>918-544-6966</t>
  </si>
  <si>
    <t>COMPLETE SENIOR LIVING</t>
  </si>
  <si>
    <t xml:space="preserve">601 N IDAHO STREET </t>
  </si>
  <si>
    <t>COMPREHENSIVE BEHAVIORAL HEALTH CENTER</t>
  </si>
  <si>
    <t xml:space="preserve">505 S. 8TH STREET </t>
  </si>
  <si>
    <t>E. ST. LOUIS</t>
  </si>
  <si>
    <t>618-482-7330</t>
  </si>
  <si>
    <t>CONCESSIONS CSUF</t>
  </si>
  <si>
    <t>CONCORD HEALTHCARE AND REHAB CENTER</t>
  </si>
  <si>
    <t xml:space="preserve">963 OCEAN AVENUE </t>
  </si>
  <si>
    <t>732-367-7444</t>
  </si>
  <si>
    <t>CONCORDIA AT SUMNER</t>
  </si>
  <si>
    <t xml:space="preserve">970 SUMNER PARKWAY </t>
  </si>
  <si>
    <t>330-664-1000</t>
  </si>
  <si>
    <t>CONCORDIA COLLEGE-CATERING</t>
  </si>
  <si>
    <t xml:space="preserve">901 SOUTH 8TH STREET </t>
  </si>
  <si>
    <t>218-299-4488</t>
  </si>
  <si>
    <t>CONCORDIA COLLEGE-CENTRAL STORES</t>
  </si>
  <si>
    <t>CONCORDIA COLLEGE-CONCESSIONS</t>
  </si>
  <si>
    <t>CONCORDIA COLLEGE-CONTRACT SVCS</t>
  </si>
  <si>
    <t>CONCORDIA COLLEGE-DINING SERVICE</t>
  </si>
  <si>
    <t>CONCORDIA COLLEGE-GRANT</t>
  </si>
  <si>
    <t>CONCORDIA COLLEGE-KNUTSON</t>
  </si>
  <si>
    <t>CONCORDIA COLLEGE-KORN KRIB</t>
  </si>
  <si>
    <t>CONCORDIA COLLEGE-LANGUAGE VILLA</t>
  </si>
  <si>
    <t>CONCORDIA COLLEGE-NORMANDY</t>
  </si>
  <si>
    <t>CONGREGATION OF ST JOSEPH</t>
  </si>
  <si>
    <t xml:space="preserve">3430 ROCKY RIVER DRIVE </t>
  </si>
  <si>
    <t>216-251-0303</t>
  </si>
  <si>
    <t xml:space="preserve">13900 W BURLEIGH ROAD </t>
  </si>
  <si>
    <t>262-781-0550</t>
  </si>
  <si>
    <t>CONNECTED LIVING AT MODESTO</t>
  </si>
  <si>
    <t xml:space="preserve">1325 HOUSER LANE </t>
  </si>
  <si>
    <t>209-409-8014</t>
  </si>
  <si>
    <t>CONNERTON COURT</t>
  </si>
  <si>
    <t xml:space="preserve">21021 BETEL PALM LANE </t>
  </si>
  <si>
    <t>LAND O'LAKES</t>
  </si>
  <si>
    <t>813-996-9919</t>
  </si>
  <si>
    <t>CONOVER NURSING &amp; REHAB CENTER</t>
  </si>
  <si>
    <t xml:space="preserve">920 4TH STREET SW </t>
  </si>
  <si>
    <t>828-695-8282</t>
  </si>
  <si>
    <t>CONSOLATA HOME</t>
  </si>
  <si>
    <t xml:space="preserve">2319 EAST MAIN STREET </t>
  </si>
  <si>
    <t>337-365-8226</t>
  </si>
  <si>
    <t>CONSOLIDATED MANAGEMENT COMPANY</t>
  </si>
  <si>
    <t xml:space="preserve">2670 106TH STREET SUITE 140 </t>
  </si>
  <si>
    <t>CONSULT AMERICA/COTTAGE HILLS</t>
  </si>
  <si>
    <t xml:space="preserve">700 1ST AVENUE NORTH </t>
  </si>
  <si>
    <t>PLEASANT GROVE</t>
  </si>
  <si>
    <t>205-744-8120</t>
  </si>
  <si>
    <t>CONSUMER SERVICES OF MADISON COUNTY INC.</t>
  </si>
  <si>
    <t xml:space="preserve">1099 NORTHSIDE SHOPPING CENTER </t>
  </si>
  <si>
    <t>315-363-2451</t>
  </si>
  <si>
    <t>CONTINENTAL REHAB HOSPITAL</t>
  </si>
  <si>
    <t xml:space="preserve">555 WASHINGTON ST </t>
  </si>
  <si>
    <t>619-260-8300</t>
  </si>
  <si>
    <t>CONTINENTAL SPRINGS</t>
  </si>
  <si>
    <t xml:space="preserve">3200 G STREET </t>
  </si>
  <si>
    <t>402-494-3043</t>
  </si>
  <si>
    <t>COOK PATTERSON CATERING INC</t>
  </si>
  <si>
    <t xml:space="preserve">104 W TOMARAS AVENUE </t>
  </si>
  <si>
    <t>217-352-1112</t>
  </si>
  <si>
    <t>COON MEMORIAL HOSPITAL OF DALHART</t>
  </si>
  <si>
    <t xml:space="preserve">1411 DENVER AVE </t>
  </si>
  <si>
    <t xml:space="preserve">DALHART </t>
  </si>
  <si>
    <t>806-244-4571</t>
  </si>
  <si>
    <t>COONEY HEALTH CARE</t>
  </si>
  <si>
    <t xml:space="preserve">2555 BROADWAY </t>
  </si>
  <si>
    <t>406-442-0572</t>
  </si>
  <si>
    <t>COOPER COUNTY MEMORIAL HOSPITAL</t>
  </si>
  <si>
    <t xml:space="preserve">HIGHWAY B </t>
  </si>
  <si>
    <t>BOONVILLE</t>
  </si>
  <si>
    <t>816-882-7461</t>
  </si>
  <si>
    <t>COOPER COUNTY NURSING HOME</t>
  </si>
  <si>
    <t xml:space="preserve">205 PROSPECT </t>
  </si>
  <si>
    <t>PILOT GROVE</t>
  </si>
  <si>
    <t>660-834-3111</t>
  </si>
  <si>
    <t>COOPERIIS ASHEVILLE</t>
  </si>
  <si>
    <t xml:space="preserve">85 ZILLICOA </t>
  </si>
  <si>
    <t>828-894-7301</t>
  </si>
  <si>
    <t>COOPERIIS CORPORATE</t>
  </si>
  <si>
    <t xml:space="preserve">101 HEALING FARM LANE </t>
  </si>
  <si>
    <t>MILL SPRING</t>
  </si>
  <si>
    <t>828-894-5557</t>
  </si>
  <si>
    <t>COOSA VALLEY ACADEMY</t>
  </si>
  <si>
    <t xml:space="preserve">163 PARK STREET </t>
  </si>
  <si>
    <t>HARPERSVILLE</t>
  </si>
  <si>
    <t>205-672-7326</t>
  </si>
  <si>
    <t>COOSA VALLEY HEALTHCARE</t>
  </si>
  <si>
    <t xml:space="preserve">513 PINEVIEW AVENUE </t>
  </si>
  <si>
    <t>GLENCOE</t>
  </si>
  <si>
    <t>205-492-5350</t>
  </si>
  <si>
    <t>COPPER HILLS YOUTH CENTER</t>
  </si>
  <si>
    <t xml:space="preserve">5899 W RIVENDELL DRIVE </t>
  </si>
  <si>
    <t>WEST JORDAN</t>
  </si>
  <si>
    <t>801-561-3377</t>
  </si>
  <si>
    <t>COPPER RIDGE</t>
  </si>
  <si>
    <t xml:space="preserve">710 ORBECHT ROAD </t>
  </si>
  <si>
    <t>SYKESVILLE</t>
  </si>
  <si>
    <t>410-795-8808</t>
  </si>
  <si>
    <t>COPPS RESIDENTIAL CARE</t>
  </si>
  <si>
    <t xml:space="preserve">14092 E 500 ROAD </t>
  </si>
  <si>
    <t>918-341-2543</t>
  </si>
  <si>
    <t>CORCORAN DISTRICT HOSPITAL</t>
  </si>
  <si>
    <t xml:space="preserve">1310 HANNA AVENUE </t>
  </si>
  <si>
    <t>CORCORAN</t>
  </si>
  <si>
    <t>559-992-5051</t>
  </si>
  <si>
    <t>CORDELE HEALTH &amp; REHAB CENTER</t>
  </si>
  <si>
    <t xml:space="preserve">1106 NORTH 4TH STREET </t>
  </si>
  <si>
    <t>229-273-1227</t>
  </si>
  <si>
    <t>CORDIA SENIOR RESIDENCE</t>
  </si>
  <si>
    <t xml:space="preserve">865 N CASS AVE </t>
  </si>
  <si>
    <t>630-887-7000</t>
  </si>
  <si>
    <t>CORINTHIAN HOUSE</t>
  </si>
  <si>
    <t xml:space="preserve">250 BUDD AVENUE </t>
  </si>
  <si>
    <t>408-374-4522</t>
  </si>
  <si>
    <t>CORN BIBLE ACADEMY</t>
  </si>
  <si>
    <t xml:space="preserve">208 N REIMEL </t>
  </si>
  <si>
    <t>CORN</t>
  </si>
  <si>
    <t>580-343-2262</t>
  </si>
  <si>
    <t>CORNERSTONE CENTER FOR EARLY LEARNING</t>
  </si>
  <si>
    <t xml:space="preserve">3901 RUSSELL BLVD </t>
  </si>
  <si>
    <t>314-865-5244</t>
  </si>
  <si>
    <t>CORNERSTONE REHABILITATION LTD</t>
  </si>
  <si>
    <t xml:space="preserve">253 W SIXTH STREET </t>
  </si>
  <si>
    <t>MINSTER</t>
  </si>
  <si>
    <t>419-501-2165</t>
  </si>
  <si>
    <t>CORONADO RETIREMENT VILLAGE</t>
  </si>
  <si>
    <t xml:space="preserve">299 PROSPECT PLACE </t>
  </si>
  <si>
    <t>CORONADO</t>
  </si>
  <si>
    <t>619-437-1777</t>
  </si>
  <si>
    <t>CORTLAND ACRES</t>
  </si>
  <si>
    <t xml:space="preserve">39 CORTLAND ACRES LANE </t>
  </si>
  <si>
    <t>THOMAS</t>
  </si>
  <si>
    <t>304-463-4181</t>
  </si>
  <si>
    <t>COUNCIL ON AGING FAYETTEVILLE</t>
  </si>
  <si>
    <t xml:space="preserve">4507 JOHNSON ROAD </t>
  </si>
  <si>
    <t>501-582-1604</t>
  </si>
  <si>
    <t>COUNSELING CENTER AT FOUNTAIN PARK</t>
  </si>
  <si>
    <t xml:space="preserve">3000 S I. H. 35 SUITE 315 </t>
  </si>
  <si>
    <t>512-851-1163</t>
  </si>
  <si>
    <t>COUNSELING CENTER AT ROUND ROCK</t>
  </si>
  <si>
    <t xml:space="preserve">211 COMMERCE ST SUITE 107 </t>
  </si>
  <si>
    <t>COUNTRY CARE CONVALESCENT HOSP</t>
  </si>
  <si>
    <t>805-466-0282</t>
  </si>
  <si>
    <t xml:space="preserve">COUNTRY CLUB MANOR </t>
  </si>
  <si>
    <t xml:space="preserve">575 LOVERS LANE </t>
  </si>
  <si>
    <t>740-266-6118</t>
  </si>
  <si>
    <t>COUNTRY CLUB OF WOODLAND HILLS</t>
  </si>
  <si>
    <t xml:space="preserve">6333 SOUTH 91ST E AVENUE </t>
  </si>
  <si>
    <t>918-252-5451</t>
  </si>
  <si>
    <t>COUNTRY CLUB REHABILITATION AT NEWTON FALLS I</t>
  </si>
  <si>
    <t xml:space="preserve">2200 MILTON BLVD </t>
  </si>
  <si>
    <t>NEWTON FALLS</t>
  </si>
  <si>
    <t>330-872-1991</t>
  </si>
  <si>
    <t>COUNTRY CLUB REHABILITATION AT NEWTON FALLS II</t>
  </si>
  <si>
    <t>330-872-1990</t>
  </si>
  <si>
    <t>COUNTRY DELI &amp; RESTAURANT</t>
  </si>
  <si>
    <t xml:space="preserve">9901 TOPANGA CANYON BLVD </t>
  </si>
  <si>
    <t>818-709-5612</t>
  </si>
  <si>
    <t>COUNTRY GARDENS RCF II</t>
  </si>
  <si>
    <t xml:space="preserve">203 FRANKS LANE </t>
  </si>
  <si>
    <t>573-334-7679</t>
  </si>
  <si>
    <t>COUNTRY GARDENS SENIOR LIVING</t>
  </si>
  <si>
    <t xml:space="preserve">7175 LESTER ROAD </t>
  </si>
  <si>
    <t>770-969-3130</t>
  </si>
  <si>
    <t>COUNTRY LANE RESIDENTIAL CARE</t>
  </si>
  <si>
    <t xml:space="preserve">44455 E 230 ROAD </t>
  </si>
  <si>
    <t>918-256-7368</t>
  </si>
  <si>
    <t>COUNTRY LIVING RETIREMENT</t>
  </si>
  <si>
    <t xml:space="preserve">1200 EAST 6TH STREET SOUTH </t>
  </si>
  <si>
    <t>208-731-4187</t>
  </si>
  <si>
    <t>COUNTRY MANOR</t>
  </si>
  <si>
    <t xml:space="preserve">900 WEST 46TH ST </t>
  </si>
  <si>
    <t>563-391-1111</t>
  </si>
  <si>
    <t>COUNTRY OAK VILLAGE</t>
  </si>
  <si>
    <t xml:space="preserve">101 CROSS CREEK DRIVE </t>
  </si>
  <si>
    <t>GRAIN VALLEY</t>
  </si>
  <si>
    <t>816-224-2700</t>
  </si>
  <si>
    <t>COUNTRY OAKS CARE SANTA MARIA</t>
  </si>
  <si>
    <t xml:space="preserve">830 CHAPEL STREET </t>
  </si>
  <si>
    <t>805-922-6657</t>
  </si>
  <si>
    <t>COUNTRY PINES ASSISTED LIVING</t>
  </si>
  <si>
    <t xml:space="preserve">1748 WEST 1800 NORTH </t>
  </si>
  <si>
    <t>801-773-1649</t>
  </si>
  <si>
    <t>COUNTRY PLACE ASSISTED LIVING</t>
  </si>
  <si>
    <t xml:space="preserve">1715 OLIVE LANE </t>
  </si>
  <si>
    <t>925-778-5000</t>
  </si>
  <si>
    <t>COUNTRY REST HOME</t>
  </si>
  <si>
    <t xml:space="preserve">12046 SUNSET LANE </t>
  </si>
  <si>
    <t>302-349-4114</t>
  </si>
  <si>
    <t>COUNTRY SIDE LIVING OF CANBY</t>
  </si>
  <si>
    <t xml:space="preserve">390 NW 2ND </t>
  </si>
  <si>
    <t>503-266-3031</t>
  </si>
  <si>
    <t>COUNTRY SKILLETS</t>
  </si>
  <si>
    <t xml:space="preserve">1140 W COLONY ROAD </t>
  </si>
  <si>
    <t>209-665-7177</t>
  </si>
  <si>
    <t>COUNTRY TIME ASSISTED LIVING</t>
  </si>
  <si>
    <t xml:space="preserve">277 S MAIN STREET </t>
  </si>
  <si>
    <t>STAR</t>
  </si>
  <si>
    <t>620-286-0668</t>
  </si>
  <si>
    <t>COUNTRY TRAILS CARE CENTER</t>
  </si>
  <si>
    <t xml:space="preserve">1638 VZCR 1803 PO BOX 546 </t>
  </si>
  <si>
    <t>GRAND SALINE</t>
  </si>
  <si>
    <t>903-962-7595</t>
  </si>
  <si>
    <t>COUNTRY VIEW MANOR</t>
  </si>
  <si>
    <t xml:space="preserve">12 FRIENDLY DRIVE </t>
  </si>
  <si>
    <t>717-284-3350</t>
  </si>
  <si>
    <t>COUNTRY VIEW MANOR SIBLEY</t>
  </si>
  <si>
    <t xml:space="preserve">100 CEDAR LANE </t>
  </si>
  <si>
    <t>SIBLEY</t>
  </si>
  <si>
    <t>712-754-2568</t>
  </si>
  <si>
    <t>COUNTRY VILLAGE</t>
  </si>
  <si>
    <t xml:space="preserve">966 KOVAK COURT </t>
  </si>
  <si>
    <t>530-342-7002</t>
  </si>
  <si>
    <t>COUNTRY WINDS MANOR RES CARE/PATTY ELWOOD CTR</t>
  </si>
  <si>
    <t xml:space="preserve">21668 80TH ST </t>
  </si>
  <si>
    <t>563-547-2398</t>
  </si>
  <si>
    <t>COUNTRYSIDE ASSISTED LIVING</t>
  </si>
  <si>
    <t xml:space="preserve">4415 PHEASANT RIDGE ROAD </t>
  </si>
  <si>
    <t>540-851-0255</t>
  </si>
  <si>
    <t>COUNTRYSIDE ESTATES</t>
  </si>
  <si>
    <t xml:space="preserve">HIGHWAY 64 EAST </t>
  </si>
  <si>
    <t>WARNER</t>
  </si>
  <si>
    <t>918-463-5143</t>
  </si>
  <si>
    <t>COUNTRYSIDE LIVING OF REDMOND</t>
  </si>
  <si>
    <t xml:space="preserve">1350 NW CANAL BLVD </t>
  </si>
  <si>
    <t>541-548-3049</t>
  </si>
  <si>
    <t>COUNTRYSIDE LIVING RESIDENTIAL CARE</t>
  </si>
  <si>
    <t xml:space="preserve">209 E GARBER HWY </t>
  </si>
  <si>
    <t>580-863-2224</t>
  </si>
  <si>
    <t>COUNTRYSIDE LIVING PIKEVILLE</t>
  </si>
  <si>
    <t xml:space="preserve">5383 US 117 NORTH </t>
  </si>
  <si>
    <t>PIKEVILLE</t>
  </si>
  <si>
    <t>919-242-6369</t>
  </si>
  <si>
    <t>COUNTRYSIDE MANOR</t>
  </si>
  <si>
    <t xml:space="preserve">7700 US HWY 158 </t>
  </si>
  <si>
    <t>STOKESVILLE</t>
  </si>
  <si>
    <t>336-643-6301</t>
  </si>
  <si>
    <t>COUNTRYVIEW ASSISTED LIVING</t>
  </si>
  <si>
    <t xml:space="preserve">62825 COUNTY HOME ROAD </t>
  </si>
  <si>
    <t>LORE CITY</t>
  </si>
  <si>
    <t>740-489-5351</t>
  </si>
  <si>
    <t>COURTLAND MANOR</t>
  </si>
  <si>
    <t xml:space="preserve">889 S LITTLE CREEK RD </t>
  </si>
  <si>
    <t>302-674-0566</t>
  </si>
  <si>
    <t>COURTYARD AT SEASONS</t>
  </si>
  <si>
    <t xml:space="preserve">7100 DEARWESTER DRIVE </t>
  </si>
  <si>
    <t>514-984-9400</t>
  </si>
  <si>
    <t>COURTYARD ESTATES GIRARD</t>
  </si>
  <si>
    <t xml:space="preserve">1016 W NORTH STREET </t>
  </si>
  <si>
    <t>GIRARD</t>
  </si>
  <si>
    <t>217-627-9502</t>
  </si>
  <si>
    <t>COURTYARD MANOR</t>
  </si>
  <si>
    <t xml:space="preserve">306 SIDNEY MARTIN ROAD </t>
  </si>
  <si>
    <t>337-237-3940</t>
  </si>
  <si>
    <t>COURTYARD RETIREMENT AND ASSISTED LIVING</t>
  </si>
  <si>
    <t xml:space="preserve">308 SIDNEY MARTIN ROAD </t>
  </si>
  <si>
    <t>337-237-3040</t>
  </si>
  <si>
    <t>COURTYARD TOWERS</t>
  </si>
  <si>
    <t xml:space="preserve">22 NORTH ROBSON STREET </t>
  </si>
  <si>
    <t>480-649-3000</t>
  </si>
  <si>
    <t>COVE POINT</t>
  </si>
  <si>
    <t xml:space="preserve">1988 N COVE POINT LANE </t>
  </si>
  <si>
    <t>801-377-9670</t>
  </si>
  <si>
    <t>COVENANT LODGE</t>
  </si>
  <si>
    <t>COVENANT PRESBYTERIAN CHURCH</t>
  </si>
  <si>
    <t xml:space="preserve">1831 DEYERLE ROAD SW </t>
  </si>
  <si>
    <t>540-989-3314</t>
  </si>
  <si>
    <t>COVENANT VILLAGE</t>
  </si>
  <si>
    <t xml:space="preserve">1351 ROBINWOOD RD </t>
  </si>
  <si>
    <t>COVENANT WOODS</t>
  </si>
  <si>
    <t>804-559-8000</t>
  </si>
  <si>
    <t>COVENTRY HOUSE ASSISTED LIVING</t>
  </si>
  <si>
    <t xml:space="preserve">430 NORTH 2ND AVENUE </t>
  </si>
  <si>
    <t>OTHELLO</t>
  </si>
  <si>
    <t>509-488-1000</t>
  </si>
  <si>
    <t>COVER IT WALLPAPER &amp; PAINT</t>
  </si>
  <si>
    <t xml:space="preserve">441 NETWORK STA UNIT A </t>
  </si>
  <si>
    <t>757-547-7710</t>
  </si>
  <si>
    <t xml:space="preserve">1925 NORTH STATE </t>
  </si>
  <si>
    <t>COVINGTON SENIOR LIVING - LEHI</t>
  </si>
  <si>
    <t xml:space="preserve">301 N 1200 E </t>
  </si>
  <si>
    <t>COVINGTON'S CONVALESCENT CENTER</t>
  </si>
  <si>
    <t xml:space="preserve">115 CAYCE STREET </t>
  </si>
  <si>
    <t>270-886-4403</t>
  </si>
  <si>
    <t>COWETA MANOR NURSING HOME</t>
  </si>
  <si>
    <t xml:space="preserve">30049 EAST 151ST SOUTH </t>
  </si>
  <si>
    <t>COWETA</t>
  </si>
  <si>
    <t>918-486-2166</t>
  </si>
  <si>
    <t>CPPF-FN COST CENTER</t>
  </si>
  <si>
    <t xml:space="preserve">3801 W TEMPLE AVE BLDG 7 </t>
  </si>
  <si>
    <t>909-869-2226</t>
  </si>
  <si>
    <t>CPPF-FOUNDATION MAINTENANCE</t>
  </si>
  <si>
    <t xml:space="preserve">3801 WEST TEMPLE AVENUE BLDG 97 </t>
  </si>
  <si>
    <t>909-869-4316</t>
  </si>
  <si>
    <t>CPPF-NUTRITION FD SCI</t>
  </si>
  <si>
    <t xml:space="preserve">3801 W TEMPLE AVE BLDG 7-110 </t>
  </si>
  <si>
    <t>909-869-2066</t>
  </si>
  <si>
    <t>CPPF-RESTAURANT AT KELLOGG RN</t>
  </si>
  <si>
    <t xml:space="preserve">3801 W TEMPLE AVE BLDG 79 (SHRM) </t>
  </si>
  <si>
    <t>909-869-5344</t>
  </si>
  <si>
    <t>CPPF-STUDENT HEALTH</t>
  </si>
  <si>
    <t xml:space="preserve">2740 S CAMPUS DR </t>
  </si>
  <si>
    <t>989-869-2762</t>
  </si>
  <si>
    <t>CPPF-UNIV ADVANCEMENT</t>
  </si>
  <si>
    <t xml:space="preserve">3801 W TEMPLE AVE BLDG 98 T5-10 </t>
  </si>
  <si>
    <t>909-869-4731</t>
  </si>
  <si>
    <t>CRABAPPLE VILLAGE SENIOR ESTATES</t>
  </si>
  <si>
    <t xml:space="preserve">214 HARTMAN PLACE SUITE 100 </t>
  </si>
  <si>
    <t>ST CLAIR</t>
  </si>
  <si>
    <t>636-629-5490</t>
  </si>
  <si>
    <t>CRAIG HALL-COLLEGE TOWNE HSG SVC</t>
  </si>
  <si>
    <t xml:space="preserve">1400 WEST THIRD STREET </t>
  </si>
  <si>
    <t>530-343-0385</t>
  </si>
  <si>
    <t>CRAWFORD MEMORIAL HOSPITAL</t>
  </si>
  <si>
    <t xml:space="preserve">1000 N ALLEN </t>
  </si>
  <si>
    <t>618-544-3131</t>
  </si>
  <si>
    <t>CREATIVE ALTERNATIVES</t>
  </si>
  <si>
    <t xml:space="preserve">2025 E SANTE FE DRIVE </t>
  </si>
  <si>
    <t>209-485-0069</t>
  </si>
  <si>
    <t>CREATIVE CLASSICS CAFE</t>
  </si>
  <si>
    <t xml:space="preserve">101 STATE STREET </t>
  </si>
  <si>
    <t>SUMITON</t>
  </si>
  <si>
    <t>205-435-2722</t>
  </si>
  <si>
    <t>CREEKSIDE ASSISTED LIVING</t>
  </si>
  <si>
    <t xml:space="preserve">1124 CEDAR CREEK RD </t>
  </si>
  <si>
    <t>910-323-8212</t>
  </si>
  <si>
    <t>CREEKSIDE AT THREE RIVERS</t>
  </si>
  <si>
    <t xml:space="preserve">2744 ASHERS FORK DRIVE </t>
  </si>
  <si>
    <t>615-895-3002</t>
  </si>
  <si>
    <t>CREEKSIDE CAFE</t>
  </si>
  <si>
    <t xml:space="preserve">3892 ONEIDA STREET </t>
  </si>
  <si>
    <t>315-737-2222</t>
  </si>
  <si>
    <t>CREEKSIDE MANOR</t>
  </si>
  <si>
    <t xml:space="preserve">6206 REIDSVILLE RD </t>
  </si>
  <si>
    <t>KERNERSVILLE</t>
  </si>
  <si>
    <t>336-595-6004</t>
  </si>
  <si>
    <t>CREEKSIDE ON BARDSTOWN</t>
  </si>
  <si>
    <t xml:space="preserve">3535 BARDSTOWN ROAD </t>
  </si>
  <si>
    <t>502-286-6222</t>
  </si>
  <si>
    <t>CREEKSIDE VILLAS</t>
  </si>
  <si>
    <t xml:space="preserve">465 BOYD AVE. </t>
  </si>
  <si>
    <t>WAYNESVILLE</t>
  </si>
  <si>
    <t>828-456-9240</t>
  </si>
  <si>
    <t>CREEKWOOD SENIOR HOME</t>
  </si>
  <si>
    <t xml:space="preserve">830 TAMALPAIS AVENUE </t>
  </si>
  <si>
    <t>415-897-2661</t>
  </si>
  <si>
    <t>CRESCENT CAFE</t>
  </si>
  <si>
    <t xml:space="preserve">3417 S 113TH WEST AVENUE #4 </t>
  </si>
  <si>
    <t>SAND SPRINGS</t>
  </si>
  <si>
    <t>918-245-6443</t>
  </si>
  <si>
    <t>CRESCENT CITY SKILLED NURSING</t>
  </si>
  <si>
    <t xml:space="preserve">1280 MARSHALL STREET </t>
  </si>
  <si>
    <t>707-464-6151</t>
  </si>
  <si>
    <t>CRESCENT OAKS</t>
  </si>
  <si>
    <t xml:space="preserve">147 CRESCENT AVENUE </t>
  </si>
  <si>
    <t>408-730-4004</t>
  </si>
  <si>
    <t>CREST NURSING HOME BUTTE</t>
  </si>
  <si>
    <t xml:space="preserve">3131 AMHERST AVENUE </t>
  </si>
  <si>
    <t>406-494-7035</t>
  </si>
  <si>
    <t>CREST VIEW MANOR ESCONDIDO</t>
  </si>
  <si>
    <t xml:space="preserve">350 S VINE STREET </t>
  </si>
  <si>
    <t>619-745-0160</t>
  </si>
  <si>
    <t>CRESTVIEW MANOR</t>
  </si>
  <si>
    <t xml:space="preserve">199 COURT STREET </t>
  </si>
  <si>
    <t>JANE LEW</t>
  </si>
  <si>
    <t>304-884-7811</t>
  </si>
  <si>
    <t>CRESTVIEW REHAB &amp; SKILLED NURSING</t>
  </si>
  <si>
    <t xml:space="preserve">957 BECKS KNOB ROAD </t>
  </si>
  <si>
    <t>740-652-2634</t>
  </si>
  <si>
    <t>CRESTVIEW YOUTH ACADEMY</t>
  </si>
  <si>
    <t xml:space="preserve">4449 STRAIGHT LINE ROAD </t>
  </si>
  <si>
    <t>CRESTVIEW</t>
  </si>
  <si>
    <t>407-350-4900</t>
  </si>
  <si>
    <t>CREVE COEUR MANOR ST LOUIS</t>
  </si>
  <si>
    <t xml:space="preserve">1127 TIMBER RUN DRIVE </t>
  </si>
  <si>
    <t>314-434-8361</t>
  </si>
  <si>
    <t>CRIPPLE CREEK CARE CENTER</t>
  </si>
  <si>
    <t xml:space="preserve">700 N 'A' STREET </t>
  </si>
  <si>
    <t>CRIPPLE CREEK</t>
  </si>
  <si>
    <t>719-689-2913</t>
  </si>
  <si>
    <t>CRISP REGIONAL NURSING AND REHAB CENTER</t>
  </si>
  <si>
    <t xml:space="preserve">902 BLACKSHEAR ROAD </t>
  </si>
  <si>
    <t>229-273-1481</t>
  </si>
  <si>
    <t>CROSS ROAD RETIREMENT COMMUNITY</t>
  </si>
  <si>
    <t xml:space="preserve">1302 OLD COX RD </t>
  </si>
  <si>
    <t>ASHEBORO</t>
  </si>
  <si>
    <t>336-610-1230</t>
  </si>
  <si>
    <t>CROSSETT SENIOR CITIZENS CENTER</t>
  </si>
  <si>
    <t xml:space="preserve">1208 PINE STREET </t>
  </si>
  <si>
    <t>870-364-6915</t>
  </si>
  <si>
    <t>CROSSROADS CENTER FOR CHANGE</t>
  </si>
  <si>
    <t xml:space="preserve">244 W. FIFTH ST. </t>
  </si>
  <si>
    <t>419-525-1540</t>
  </si>
  <si>
    <t>CROSSROADS FAMILY MEDICINE</t>
  </si>
  <si>
    <t xml:space="preserve">41 E 1140 NORTH SUITE C </t>
  </si>
  <si>
    <t>801-766-2121</t>
  </si>
  <si>
    <t>CROSSROADS RESIDENTIAL CARE FACILITY</t>
  </si>
  <si>
    <t xml:space="preserve">113653 OLD HWY 69 </t>
  </si>
  <si>
    <t>EUFAULA</t>
  </si>
  <si>
    <t>918-689-7416</t>
  </si>
  <si>
    <t>CROWN BAY NURSING &amp; REHAB CENTER</t>
  </si>
  <si>
    <t xml:space="preserve">508 WESTLINE DRIVE </t>
  </si>
  <si>
    <t>510-521-5765</t>
  </si>
  <si>
    <t>CROWN SENIOR LIVING</t>
  </si>
  <si>
    <t xml:space="preserve">7960 N SHADELAND AVENUE </t>
  </si>
  <si>
    <t>317-376-4639</t>
  </si>
  <si>
    <t>Crowne Plaza of Suffern</t>
  </si>
  <si>
    <t xml:space="preserve">3 Executive Boulevard </t>
  </si>
  <si>
    <t>Suffern</t>
  </si>
  <si>
    <t>Darlene Tedesco</t>
  </si>
  <si>
    <t xml:space="preserve">Angie Gutierrez </t>
  </si>
  <si>
    <t>+1 (845) 357-4800</t>
  </si>
  <si>
    <t>CROWNPOINT HEALTH SUITES</t>
  </si>
  <si>
    <t xml:space="preserve">6640 LOLA AVENUE </t>
  </si>
  <si>
    <t>806-687-6640</t>
  </si>
  <si>
    <t>CRYSTAL HEIGHTS</t>
  </si>
  <si>
    <t xml:space="preserve">1514 HIGH AVENUE </t>
  </si>
  <si>
    <t>641-673-7032</t>
  </si>
  <si>
    <t>CRYSTAL OAKS</t>
  </si>
  <si>
    <t xml:space="preserve">1500 CALVARY CHURCH RD </t>
  </si>
  <si>
    <t>CRYSTAL CITY</t>
  </si>
  <si>
    <t>636-933-1818</t>
  </si>
  <si>
    <t>CRYSTAL OAKS OF PINELLAS</t>
  </si>
  <si>
    <t xml:space="preserve">6767 86TH AVENUE NORTH </t>
  </si>
  <si>
    <t>727-548-5566</t>
  </si>
  <si>
    <t>CRYSTAL PLACE</t>
  </si>
  <si>
    <t xml:space="preserve">400 SW 79TH ST </t>
  </si>
  <si>
    <t>405-616-1980</t>
  </si>
  <si>
    <t>CSI BROOKSVILLE ACADEMY</t>
  </si>
  <si>
    <t xml:space="preserve">201 CULBREATH ROAD </t>
  </si>
  <si>
    <t>386-562-2290</t>
  </si>
  <si>
    <t>CSI CLEVELAND ACADEMY-YOUTH OPPORTUNITY</t>
  </si>
  <si>
    <t xml:space="preserve">175 INDUSTRIAL COURT SW </t>
  </si>
  <si>
    <t>CSI DERMOTT ACADEMY</t>
  </si>
  <si>
    <t xml:space="preserve">878 E GAINES STREET </t>
  </si>
  <si>
    <t>806-787-2507</t>
  </si>
  <si>
    <t>CSI ELIZABETHTON ACADEMY-YOUTH OPPORTUNITY</t>
  </si>
  <si>
    <t xml:space="preserve">450 HATCHER LANE </t>
  </si>
  <si>
    <t>ELIZABETHTON</t>
  </si>
  <si>
    <t>CSI HARRISBURG ACADEMY</t>
  </si>
  <si>
    <t xml:space="preserve">1800 PINE GROVE LANE </t>
  </si>
  <si>
    <t>CSI LEBANON ACADEMY-YOUTH OPPORTUNITY</t>
  </si>
  <si>
    <t xml:space="preserve">3065 MURFREESBORO ROAD </t>
  </si>
  <si>
    <t>CSI LEWISVILLE ACADEMY</t>
  </si>
  <si>
    <t xml:space="preserve">750 LAFAYETTE ROAD 16 </t>
  </si>
  <si>
    <t>LEWISVILLE</t>
  </si>
  <si>
    <t>CSI MANSFIELD ACADEMY</t>
  </si>
  <si>
    <t xml:space="preserve">36 JONNIE CAKE PT </t>
  </si>
  <si>
    <t>CSI MT JULIET ACADEMY-YOUTH OPPORTUNITY</t>
  </si>
  <si>
    <t xml:space="preserve">4455 BENDERS FERRY ROAD </t>
  </si>
  <si>
    <t>MOUNT JULIET</t>
  </si>
  <si>
    <t>CSI ROANE ACADEMY-YOUTH OPPORTUNITY</t>
  </si>
  <si>
    <t xml:space="preserve">503 CARDIFF VALLEY ROAD </t>
  </si>
  <si>
    <t>ROCKWOOD</t>
  </si>
  <si>
    <t>CSI-OCALA YOUTH OPPORTUNITIES</t>
  </si>
  <si>
    <t xml:space="preserve">4055 NW 105TH STREET </t>
  </si>
  <si>
    <t>CSL AT WILLIAMSBURG-CMA</t>
  </si>
  <si>
    <t xml:space="preserve">236 COMMONS WAY </t>
  </si>
  <si>
    <t>757-564-4433</t>
  </si>
  <si>
    <t>CSU - RAM'S HORN</t>
  </si>
  <si>
    <t xml:space="preserve">C.S. BASEMENT ADMIN ANNEX </t>
  </si>
  <si>
    <t>CSU CENTRAL STOREROOM</t>
  </si>
  <si>
    <t>CSU LORY-ASPEN GRILL</t>
  </si>
  <si>
    <t>CSU LORY-CAM LOBBY SHOP</t>
  </si>
  <si>
    <t>CSU LORY-CATERING</t>
  </si>
  <si>
    <t>CSU LORY-FOOD COURT</t>
  </si>
  <si>
    <t>CSU LORY-LORY BAGEL PLACE 1</t>
  </si>
  <si>
    <t>CSU LORY-LORY BAGEL PLACE 2</t>
  </si>
  <si>
    <t>CSU LORY-LORY UNIVERSITY CLUB</t>
  </si>
  <si>
    <t>CSU LORY-RAMSKELLER</t>
  </si>
  <si>
    <t>CSU LORY-SWEET SINSATIONS</t>
  </si>
  <si>
    <t>CSU PINEGREE PARK/BID RES DINING</t>
  </si>
  <si>
    <t xml:space="preserve">170 LORY STUDENT CENTER </t>
  </si>
  <si>
    <t>CSU-ACADEMIC VILLAGE COMMONS</t>
  </si>
  <si>
    <t xml:space="preserve">C.S.BASEMENT ADMIN ANNEX </t>
  </si>
  <si>
    <t>CSU-ALLISON BIDS</t>
  </si>
  <si>
    <t>CSU-BAKE SHOP BIDS</t>
  </si>
  <si>
    <t>CSU-BRAIDEN BIDS</t>
  </si>
  <si>
    <t>CSU-CORBETT BIDS</t>
  </si>
  <si>
    <t>CSUDH-CAMS</t>
  </si>
  <si>
    <t xml:space="preserve">1000 E. VICTORIA STREET </t>
  </si>
  <si>
    <t>CARSON</t>
  </si>
  <si>
    <t>310-243-3814</t>
  </si>
  <si>
    <t>CSUDH-DHSL</t>
  </si>
  <si>
    <t>CSUDH-GRAB N GO #1</t>
  </si>
  <si>
    <t>CSUDH-GRAB N GO #2</t>
  </si>
  <si>
    <t>CSUDH-TULLY</t>
  </si>
  <si>
    <t>CSU-DURRELL BIDS</t>
  </si>
  <si>
    <t>CSU-EDWARDS BIDS</t>
  </si>
  <si>
    <t>CSU-INGERSALL BIDS</t>
  </si>
  <si>
    <t>CSU-LORY CATERING 2ND FLOOR</t>
  </si>
  <si>
    <t>CSU-LORY CATERING BIDS</t>
  </si>
  <si>
    <t>CSU-LORY CATERING KITCHEN</t>
  </si>
  <si>
    <t>CSU-LORY CATERING SALAD</t>
  </si>
  <si>
    <t>CSU-LORY CATERING SKYBOX</t>
  </si>
  <si>
    <t>CSU-LORY CRAM A LATTE</t>
  </si>
  <si>
    <t>CSU-LORY ROCKWELL</t>
  </si>
  <si>
    <t>CSU-LORY THAT'S A WRAP</t>
  </si>
  <si>
    <t>CSU-NEWSOM BIDS</t>
  </si>
  <si>
    <t>CUGINI'S PIZZARIA</t>
  </si>
  <si>
    <t xml:space="preserve">8182 STATE ROUTE 12 </t>
  </si>
  <si>
    <t>BARNEYVELD</t>
  </si>
  <si>
    <t>315-896-6111</t>
  </si>
  <si>
    <t>CUICALLI AZTEC FOODSERVICE</t>
  </si>
  <si>
    <t xml:space="preserve">EAST CAMPUS DRIVE </t>
  </si>
  <si>
    <t>CULINARY INSTITUTE OF MT-FHCC-EARLY CHILDHOOD CTR</t>
  </si>
  <si>
    <t xml:space="preserve">777 GRANDVIEW DRIVE </t>
  </si>
  <si>
    <t>KALISPEL</t>
  </si>
  <si>
    <t>406-756-3920</t>
  </si>
  <si>
    <t>CULINARY INSTITUTE OF MT-FLATHEAD VLY COMM COLL</t>
  </si>
  <si>
    <t xml:space="preserve">777 GRANDVIEW DR </t>
  </si>
  <si>
    <t>KALISPELL</t>
  </si>
  <si>
    <t>406-399-0949</t>
  </si>
  <si>
    <t>CULPEPER PHARMACY</t>
  </si>
  <si>
    <t xml:space="preserve">261 SOUTHGATE SHOPPING CENTER </t>
  </si>
  <si>
    <t>540-825-7576</t>
  </si>
  <si>
    <t>CUMBERLAND MANOR</t>
  </si>
  <si>
    <t xml:space="preserve">154 SUNNY SLOPE DR </t>
  </si>
  <si>
    <t>856-455-8000</t>
  </si>
  <si>
    <t>CUMBERLAND VALLEY MANOR</t>
  </si>
  <si>
    <t xml:space="preserve">301 S MAIN STREET </t>
  </si>
  <si>
    <t>270-864-4315</t>
  </si>
  <si>
    <t>CUMBERLAND VILLAGE</t>
  </si>
  <si>
    <t xml:space="preserve">3335 WISE CREEK LANE </t>
  </si>
  <si>
    <t>803-221-1369</t>
  </si>
  <si>
    <t>CUMMING HEALTH AND REHAB</t>
  </si>
  <si>
    <t xml:space="preserve">2775 CASTLEBERRY ROAD </t>
  </si>
  <si>
    <t>770-781-2300</t>
  </si>
  <si>
    <t>CURRY HOUSE</t>
  </si>
  <si>
    <t xml:space="preserve">5858 SOUTH 47 ROAD </t>
  </si>
  <si>
    <t>231-876-0611</t>
  </si>
  <si>
    <t>CUSTER PUBLIC SCHOOLS</t>
  </si>
  <si>
    <t xml:space="preserve">304 4TH AVENUE </t>
  </si>
  <si>
    <t>CUSTER</t>
  </si>
  <si>
    <t>406-856-4117</t>
  </si>
  <si>
    <t>CUYAMACA COMMUNITY COLLEGE</t>
  </si>
  <si>
    <t>CYPRESS COVE AT HEALTH PARK FL</t>
  </si>
  <si>
    <t xml:space="preserve">10200 CYPRESS COVE DRIVE </t>
  </si>
  <si>
    <t>239-415-5100</t>
  </si>
  <si>
    <t>CYPRESS CREEK ALF</t>
  </si>
  <si>
    <t xml:space="preserve">970 CYPRESS VILLAGE BLVD </t>
  </si>
  <si>
    <t>SUN CITY CENTER</t>
  </si>
  <si>
    <t>813-633-7777</t>
  </si>
  <si>
    <t>CYPRESS CREEK ASSISTED LIVING</t>
  </si>
  <si>
    <t>CYPRESS GLEN RETIREMENT COMMUNITY</t>
  </si>
  <si>
    <t xml:space="preserve">100 HICKORY STREET </t>
  </si>
  <si>
    <t>252-830-0036</t>
  </si>
  <si>
    <t>CYPRESS PALMS</t>
  </si>
  <si>
    <t xml:space="preserve">400 LAKE AVE NE </t>
  </si>
  <si>
    <t>727-559-7888</t>
  </si>
  <si>
    <t>CYPRESS PLACE LIVING CENTER</t>
  </si>
  <si>
    <t xml:space="preserve">204 EAST 1ST STREET </t>
  </si>
  <si>
    <t>CYPRESS WOODS CARE CENTER</t>
  </si>
  <si>
    <t xml:space="preserve">135 1/2 HOSPITAL DRIVE </t>
  </si>
  <si>
    <t>979-849-8221</t>
  </si>
  <si>
    <t>D SCOTT HUDGENS CENTER FOR SKILLED NURSING</t>
  </si>
  <si>
    <t>770-932-3589</t>
  </si>
  <si>
    <t>DADE COUNTY NURSING HOME</t>
  </si>
  <si>
    <t xml:space="preserve">400 BROAD STREET </t>
  </si>
  <si>
    <t>417-637-5315</t>
  </si>
  <si>
    <t>DAMERON SENIOR LIVING</t>
  </si>
  <si>
    <t xml:space="preserve">2128 B STREET NW </t>
  </si>
  <si>
    <t>918-542-3131</t>
  </si>
  <si>
    <t>DANE CNTY-BADGER PRAIRIE HLTH CARE CTR</t>
  </si>
  <si>
    <t xml:space="preserve">1100 E VERONA AVE </t>
  </si>
  <si>
    <t>608-845-1269</t>
  </si>
  <si>
    <t>DANIEL NURSING HOME</t>
  </si>
  <si>
    <t xml:space="preserve">ROUTE 5 </t>
  </si>
  <si>
    <t>601-862-2165</t>
  </si>
  <si>
    <t>DANNYS DONUTS</t>
  </si>
  <si>
    <t xml:space="preserve">417 MAIN STREET </t>
  </si>
  <si>
    <t>678-450-4515</t>
  </si>
  <si>
    <t>DANVILLE REGIONAL MEDICAL CENTER</t>
  </si>
  <si>
    <t xml:space="preserve">142 SOUTH MAIN STREET </t>
  </si>
  <si>
    <t>434-799-2100</t>
  </si>
  <si>
    <t>DAVIS BEHAVIORAL HEALTH</t>
  </si>
  <si>
    <t xml:space="preserve">2250 N 400 WEST </t>
  </si>
  <si>
    <t>LAYTON</t>
  </si>
  <si>
    <t>801-773-7060</t>
  </si>
  <si>
    <t>DAVIS CENTER</t>
  </si>
  <si>
    <t xml:space="preserve">22425 OVERLAND AVENUE </t>
  </si>
  <si>
    <t>641-664-3203</t>
  </si>
  <si>
    <t>DAVIS REGIONAL MEDICAL CENTER</t>
  </si>
  <si>
    <t xml:space="preserve">218 OLD MOCKSVILLE RD. </t>
  </si>
  <si>
    <t>704-873-0281</t>
  </si>
  <si>
    <t>DAY VIEW CARE CTR NEW CARLISLE</t>
  </si>
  <si>
    <t xml:space="preserve">1885 N DAYTON-LAKEVIEW ROAD </t>
  </si>
  <si>
    <t>DAYLESFORD CROSSING</t>
  </si>
  <si>
    <t xml:space="preserve">1450 EAST LANCASTER AVENUE </t>
  </si>
  <si>
    <t>PAOLI</t>
  </si>
  <si>
    <t>610-640-4000</t>
  </si>
  <si>
    <t>DAYWEST HEALTHCARE SERVICES</t>
  </si>
  <si>
    <t xml:space="preserve">1492 E. RIDGELINE DR. STE. 1 </t>
  </si>
  <si>
    <t>OGDEN</t>
  </si>
  <si>
    <t>801-621-6950</t>
  </si>
  <si>
    <t>DE ANZA COLLEGE-CAMPUS DINING SERVICES</t>
  </si>
  <si>
    <t xml:space="preserve">21250 STEVENS CREEK BLVD </t>
  </si>
  <si>
    <t>408-864-8516</t>
  </si>
  <si>
    <t>DEARBORN COUNTY CLEARINGHOUSE</t>
  </si>
  <si>
    <t xml:space="preserve">411 GEORGE STREET </t>
  </si>
  <si>
    <t>812-926-1198</t>
  </si>
  <si>
    <t>DECK &amp; RAILING SOLUTIONS</t>
  </si>
  <si>
    <t xml:space="preserve">24921 DANA POINT HARBOR DR # A-150 </t>
  </si>
  <si>
    <t>949-268-9989</t>
  </si>
  <si>
    <t>DEEP CREEK MANOR</t>
  </si>
  <si>
    <t xml:space="preserve">900 N. GEORGE WASHINGTON HWY </t>
  </si>
  <si>
    <t>757-487-9073</t>
  </si>
  <si>
    <t>DEERFIELD NURSING &amp; REHAB</t>
  </si>
  <si>
    <t xml:space="preserve">522 MAIN STREET </t>
  </si>
  <si>
    <t>318-878-2417</t>
  </si>
  <si>
    <t>DEERFIELD PLACE</t>
  </si>
  <si>
    <t xml:space="preserve">505 EAST GILMAN ST </t>
  </si>
  <si>
    <t>641-892-8080</t>
  </si>
  <si>
    <t>DEERFIELD RETIREMENT</t>
  </si>
  <si>
    <t xml:space="preserve">1671 HENERSONVILLE RD </t>
  </si>
  <si>
    <t>828-545-8082</t>
  </si>
  <si>
    <t>DEFIANCE COUNTY SENIOR CENTER</t>
  </si>
  <si>
    <t xml:space="preserve">140 E BROADWAY ST </t>
  </si>
  <si>
    <t>419-782-3321</t>
  </si>
  <si>
    <t>DEKALB COUNTY NURSING HOME</t>
  </si>
  <si>
    <t xml:space="preserve">2600 N ANNIE GLIDDEN ROAD </t>
  </si>
  <si>
    <t>815-758-2477</t>
  </si>
  <si>
    <t>DEL MAR PARK</t>
  </si>
  <si>
    <t xml:space="preserve">990 E DEL MAR BLVD </t>
  </si>
  <si>
    <t>626-577-0215</t>
  </si>
  <si>
    <t>DEL MONTE ASSISTED RESIDENTIAL</t>
  </si>
  <si>
    <t xml:space="preserve">1229 DAVID AVENUE </t>
  </si>
  <si>
    <t>831-375-2206</t>
  </si>
  <si>
    <t>DELANCO ( CENTENNAIL VILLAGE )</t>
  </si>
  <si>
    <t xml:space="preserve">4400 W. GIRARD AVENUE </t>
  </si>
  <si>
    <t>215-477-1170</t>
  </si>
  <si>
    <t>DELANO DISTRICT SKILLED NURSING</t>
  </si>
  <si>
    <t xml:space="preserve">1509 TOKAY STREET </t>
  </si>
  <si>
    <t>DELANO</t>
  </si>
  <si>
    <t>661-720-2100</t>
  </si>
  <si>
    <t>DELIVERANCE OUTREACH TEMPLE</t>
  </si>
  <si>
    <t xml:space="preserve">851 GARRETTSBURG ROAD </t>
  </si>
  <si>
    <t>931-553-0060</t>
  </si>
  <si>
    <t>DELMAR MANOR</t>
  </si>
  <si>
    <t xml:space="preserve">31093 EAST LINE ROAD </t>
  </si>
  <si>
    <t>410-543-4354</t>
  </si>
  <si>
    <t>DELMAR NURSING AND REHAB CENTER</t>
  </si>
  <si>
    <t xml:space="preserve">101 EAST DELAWARE AVENUE </t>
  </si>
  <si>
    <t>302-846-3077</t>
  </si>
  <si>
    <t>DELMAR VILLA</t>
  </si>
  <si>
    <t xml:space="preserve">31091 EAST LINE ROAD </t>
  </si>
  <si>
    <t>DELTA COLLEGE</t>
  </si>
  <si>
    <t xml:space="preserve">1961 DELTA RD </t>
  </si>
  <si>
    <t>UNIVERSITY CENTER</t>
  </si>
  <si>
    <t>989-686-9228</t>
  </si>
  <si>
    <t>DELTA DELTA DELTA (UNIV OF TX)</t>
  </si>
  <si>
    <t xml:space="preserve">503 W 27TH ST </t>
  </si>
  <si>
    <t>512-476-2293</t>
  </si>
  <si>
    <t>DELTA DELTA DELTA SORORITY</t>
  </si>
  <si>
    <t xml:space="preserve">4535 18TH AVE NE </t>
  </si>
  <si>
    <t>206-527-5207</t>
  </si>
  <si>
    <t>DELTA DELTA DELTA SORORITY (UW)</t>
  </si>
  <si>
    <t xml:space="preserve">4527 21ST AVE NE </t>
  </si>
  <si>
    <t>206-525-0316</t>
  </si>
  <si>
    <t>DELTA DELTA DELTA-UNIVERSITY OF MS</t>
  </si>
  <si>
    <t xml:space="preserve">96 SORORITY LOOP </t>
  </si>
  <si>
    <t>335-832-0975</t>
  </si>
  <si>
    <t>DELTA GAMMA SORORITY-U OF TX</t>
  </si>
  <si>
    <t xml:space="preserve">2419 RIO GRANDE STREET </t>
  </si>
  <si>
    <t>512-762-2081</t>
  </si>
  <si>
    <t>DELTA GAMMA-SAN JOSE STATE</t>
  </si>
  <si>
    <t xml:space="preserve">360 E REED STREET </t>
  </si>
  <si>
    <t>408-489-8335</t>
  </si>
  <si>
    <t>DELTA KAPPA EPSILON (UNC CHAPEL HILL)</t>
  </si>
  <si>
    <t xml:space="preserve">132 S COLUMBIA STREET </t>
  </si>
  <si>
    <t>919-200-3692</t>
  </si>
  <si>
    <t>DELTA NUTRITION</t>
  </si>
  <si>
    <t xml:space="preserve">701 WEST MAIN STREET STE 9 </t>
  </si>
  <si>
    <t>580-255-3967</t>
  </si>
  <si>
    <t>DELTA TAU DELTA-UNIVERSITY OF TEXAS</t>
  </si>
  <si>
    <t xml:space="preserve">2801 SAN JACINTO BLVD </t>
  </si>
  <si>
    <t>512-479-6696</t>
  </si>
  <si>
    <t>DEMETER HOUSE</t>
  </si>
  <si>
    <t xml:space="preserve">4317 SOUTH 6TH STREET </t>
  </si>
  <si>
    <t>703-841-0703</t>
  </si>
  <si>
    <t>DENVER SUNSET HOME</t>
  </si>
  <si>
    <t xml:space="preserve">235 NORTH MILL STREET </t>
  </si>
  <si>
    <t>319-984-5372</t>
  </si>
  <si>
    <t>DEPENDABLE DAUGHTER</t>
  </si>
  <si>
    <t xml:space="preserve">6262 LAKE LUCERNE DRIVE </t>
  </si>
  <si>
    <t>888-822-3379</t>
  </si>
  <si>
    <t>DEPT OF HOMELAND SECURITY-SQF</t>
  </si>
  <si>
    <t xml:space="preserve">440 KOONCE ROAD </t>
  </si>
  <si>
    <t>HARPERS FERRY</t>
  </si>
  <si>
    <t>301-585-1001</t>
  </si>
  <si>
    <t>DERMOTT SENIOR CITIZENS CENTER</t>
  </si>
  <si>
    <t xml:space="preserve">115 E IOWA </t>
  </si>
  <si>
    <t>870-538-3952</t>
  </si>
  <si>
    <t>DESERT COVE BOUTIQUE ASSISTED LIVING</t>
  </si>
  <si>
    <t xml:space="preserve">82380 MILES AVENUE </t>
  </si>
  <si>
    <t>760-868-1400</t>
  </si>
  <si>
    <t>DESERT COVE BOUTIQUE ASSISTED LIVING-DESERT HOT SPRINGS</t>
  </si>
  <si>
    <t xml:space="preserve">13660 MOUNTAIN VIEW DRIVE </t>
  </si>
  <si>
    <t>DESERT HOT SPRINGS</t>
  </si>
  <si>
    <t>DESERT PALM RECOVERY</t>
  </si>
  <si>
    <t xml:space="preserve">67580 JONES RD </t>
  </si>
  <si>
    <t>CATHEDRAL CITY</t>
  </si>
  <si>
    <t>760-969-4140</t>
  </si>
  <si>
    <t>DESERT RANCHO CRT</t>
  </si>
  <si>
    <t xml:space="preserve">47915 OASIS ST </t>
  </si>
  <si>
    <t>760-989-4900</t>
  </si>
  <si>
    <t>DESERT VIEW CARE CENTER OF BUHL</t>
  </si>
  <si>
    <t xml:space="preserve">820 SPRAGUE AVENUE </t>
  </si>
  <si>
    <t>208-543-6401</t>
  </si>
  <si>
    <t>DESERT VIEW SENIOR LIVING-BRIDGESTONE</t>
  </si>
  <si>
    <t xml:space="preserve">3890 NORTH BUFFALO DRIVE </t>
  </si>
  <si>
    <t>891-290-8809</t>
  </si>
  <si>
    <t>DESHA COUNTY HOME HEALTH</t>
  </si>
  <si>
    <t xml:space="preserve">306 N SECOND </t>
  </si>
  <si>
    <t>MCGEHEE</t>
  </si>
  <si>
    <t>870-222-6960</t>
  </si>
  <si>
    <t>DESIRE FOR HEALING</t>
  </si>
  <si>
    <t xml:space="preserve">44882 MISSION ROAD </t>
  </si>
  <si>
    <t xml:space="preserve">PENDLETON </t>
  </si>
  <si>
    <t>541-276-7157</t>
  </si>
  <si>
    <t>DESMET SCHOOL DISTRICT #20</t>
  </si>
  <si>
    <t xml:space="preserve">6355 PADRE LANE </t>
  </si>
  <si>
    <t xml:space="preserve">MISSOULA </t>
  </si>
  <si>
    <t>406-549-4994</t>
  </si>
  <si>
    <t>DESSIE SCOTT CHILDRENS CENTER</t>
  </si>
  <si>
    <t xml:space="preserve">4906 OLD HIGHWAY 15 </t>
  </si>
  <si>
    <t>PINE RIDGE</t>
  </si>
  <si>
    <t>606-668-6445</t>
  </si>
  <si>
    <t>DETROIT BAPTIST MANOR</t>
  </si>
  <si>
    <t xml:space="preserve">30225 WEST 13 MILE RD </t>
  </si>
  <si>
    <t>248-626-6100</t>
  </si>
  <si>
    <t>DEVON HOME</t>
  </si>
  <si>
    <t xml:space="preserve">363 N VALLEY FORGE RD </t>
  </si>
  <si>
    <t>DEVON</t>
  </si>
  <si>
    <t>610-688-7337</t>
  </si>
  <si>
    <t>DEVON HOUSE SENIOR LIVING</t>
  </si>
  <si>
    <t xml:space="preserve">1930 BEVIN DRIVE </t>
  </si>
  <si>
    <t>610-967-1100</t>
  </si>
  <si>
    <t>DEVONSHIRE OAKS</t>
  </si>
  <si>
    <t xml:space="preserve">3635 JEFFERSON AVENUE </t>
  </si>
  <si>
    <t>650-366-9503</t>
  </si>
  <si>
    <t>DEVONSHIRE RETIREMENT</t>
  </si>
  <si>
    <t xml:space="preserve">2220 EXECUTIVE DRIVE </t>
  </si>
  <si>
    <t>757-827-7100</t>
  </si>
  <si>
    <t>DEWITT SENIOR CITIZENS CENTER</t>
  </si>
  <si>
    <t xml:space="preserve">205 S MAIN </t>
  </si>
  <si>
    <t>870-946-1196</t>
  </si>
  <si>
    <t>DIABETES SUPPLY CENTER MIDLANDS</t>
  </si>
  <si>
    <t xml:space="preserve">2910 SOUTH 84TH STREET </t>
  </si>
  <si>
    <t>402-399-8444</t>
  </si>
  <si>
    <t>DIAMOND TERRACE HANFORD</t>
  </si>
  <si>
    <t xml:space="preserve">600 E 11TH STREET </t>
  </si>
  <si>
    <t>209-585-8010</t>
  </si>
  <si>
    <t>DIAMOND VIEW RESIDENTIAL CARE FACILITY</t>
  </si>
  <si>
    <t xml:space="preserve">111 S DIAMOND STREET </t>
  </si>
  <si>
    <t>419-522-4450</t>
  </si>
  <si>
    <t>DICKINSON IRON</t>
  </si>
  <si>
    <t xml:space="preserve">1074 PYLE DRIVE </t>
  </si>
  <si>
    <t>KINGSFORD</t>
  </si>
  <si>
    <t>906-779-2695</t>
  </si>
  <si>
    <t>DIRTY GRINGO</t>
  </si>
  <si>
    <t xml:space="preserve">109 MAIN STREET </t>
  </si>
  <si>
    <t>315-713-8151</t>
  </si>
  <si>
    <t>DISABLED VETERANS COMMITTEE ON HOUSING</t>
  </si>
  <si>
    <t xml:space="preserve">147 DUWAMISH TRAIL </t>
  </si>
  <si>
    <t>540-877-1252</t>
  </si>
  <si>
    <t>DISCOUNT JANITORIAL SUPPLIES LLC</t>
  </si>
  <si>
    <t xml:space="preserve">4080 TAMPA ROAD </t>
  </si>
  <si>
    <t>727-542-1332</t>
  </si>
  <si>
    <t>DISCOVERY BEHAVIORAL HEALTH-304 CASA PALMERA</t>
  </si>
  <si>
    <t xml:space="preserve">14750 EL CAMINO REAL </t>
  </si>
  <si>
    <t>DEL MAR</t>
  </si>
  <si>
    <t>858-481-4411</t>
  </si>
  <si>
    <t>DISCOVERY CHRISTIAN SCHOOL</t>
  </si>
  <si>
    <t xml:space="preserve">111 WESLEY CIRCLE </t>
  </si>
  <si>
    <t>601-891-0608</t>
  </si>
  <si>
    <t>DISCOVERY MINISTRIES</t>
  </si>
  <si>
    <t xml:space="preserve">RT 3 BOX 32 </t>
  </si>
  <si>
    <t>EMINENCE</t>
  </si>
  <si>
    <t>573-226-3213</t>
  </si>
  <si>
    <t>DISCOVERY POINT RETIREMENT COMMUNITY</t>
  </si>
  <si>
    <t xml:space="preserve">6210 E ARBOR AVE </t>
  </si>
  <si>
    <t>480-924-5955</t>
  </si>
  <si>
    <t>DISTINCTIVE DINING SOLUTIONS</t>
  </si>
  <si>
    <t xml:space="preserve">401 EAST 20TH STREET </t>
  </si>
  <si>
    <t>859-283-6613</t>
  </si>
  <si>
    <t>DIVINE GALLO HOUSE ALF</t>
  </si>
  <si>
    <t xml:space="preserve">9100 START TRAIL </t>
  </si>
  <si>
    <t>727-868-3627</t>
  </si>
  <si>
    <t>DIVINE NEST</t>
  </si>
  <si>
    <t xml:space="preserve">4887 HULL ROAD </t>
  </si>
  <si>
    <t>LESLIE</t>
  </si>
  <si>
    <t>517-910-3663</t>
  </si>
  <si>
    <t>DOBIE CENTER</t>
  </si>
  <si>
    <t xml:space="preserve">2021 GUADALUPE SUITE 42 </t>
  </si>
  <si>
    <t>512-505-1000</t>
  </si>
  <si>
    <t>DOEY'S HOUSE</t>
  </si>
  <si>
    <t xml:space="preserve">11370 CARING PATHWAY LANE </t>
  </si>
  <si>
    <t>301-791-6360</t>
  </si>
  <si>
    <t>DOGWOOD VILLAGE OF ORANGE COUNTY</t>
  </si>
  <si>
    <t xml:space="preserve">120 DOGWOOD LANE </t>
  </si>
  <si>
    <t>540-672-2611</t>
  </si>
  <si>
    <t>DOHENY FOOD COMPANY/BONEYARD CAFE</t>
  </si>
  <si>
    <t xml:space="preserve">25300 DANA POINT HARBOR DRIVE </t>
  </si>
  <si>
    <t>949-272-0782</t>
  </si>
  <si>
    <t>DOLLAR BAY K-12</t>
  </si>
  <si>
    <t xml:space="preserve">48475 MAPLE DRIVE </t>
  </si>
  <si>
    <t>DOLLAR BAY</t>
  </si>
  <si>
    <t>906-482-5800</t>
  </si>
  <si>
    <t>DOLPHIN SYSTEM AND SUPPLY</t>
  </si>
  <si>
    <t xml:space="preserve">450 VAN PELT LANE </t>
  </si>
  <si>
    <t>850-474-4045</t>
  </si>
  <si>
    <t>DOMIN SIS OF PEACE ST CATHARINE</t>
  </si>
  <si>
    <t xml:space="preserve">2645 BARDSTOWN ROAD HWY 150 </t>
  </si>
  <si>
    <t>ST CATHERINE</t>
  </si>
  <si>
    <t>859-336-9303</t>
  </si>
  <si>
    <t>DOMINICAN SISTERS OF PEACE</t>
  </si>
  <si>
    <t xml:space="preserve">2320 AIRPORT DRIVE </t>
  </si>
  <si>
    <t>614-416-1092</t>
  </si>
  <si>
    <t>DOMINION VILLAGE AT WILLIAMSBURG</t>
  </si>
  <si>
    <t xml:space="preserve">4132 LONGHILL ROAD </t>
  </si>
  <si>
    <t>757-258-3444</t>
  </si>
  <si>
    <t>DOOLEY MADISON</t>
  </si>
  <si>
    <t xml:space="preserve">212 WEST FRANKLIN STREET </t>
  </si>
  <si>
    <t>804-643-5893</t>
  </si>
  <si>
    <t>DORALDO'S</t>
  </si>
  <si>
    <t xml:space="preserve">1915 POCAHONTAS TRAIL SUITE 2 </t>
  </si>
  <si>
    <t>DOS PALOS MEMORIAL RURAL HEALTH CLINIC</t>
  </si>
  <si>
    <t xml:space="preserve">2118 MARGUERITE STREET </t>
  </si>
  <si>
    <t>DOS PALOS</t>
  </si>
  <si>
    <t>209-392-6121</t>
  </si>
  <si>
    <t>DOUBLE TREE POST ACUTE CARE</t>
  </si>
  <si>
    <t xml:space="preserve">7400 24TH STREET </t>
  </si>
  <si>
    <t>916-422-4825</t>
  </si>
  <si>
    <t>DOUGLAS COUNTY SCHOOL DISTRICT</t>
  </si>
  <si>
    <t xml:space="preserve">2812 N HIGHWAY 85 - BLDG E </t>
  </si>
  <si>
    <t>303-387-0307</t>
  </si>
  <si>
    <t>DOVER HALL</t>
  </si>
  <si>
    <t xml:space="preserve">1500 MANAKIN ROAD </t>
  </si>
  <si>
    <t>MANAKIN SABOT</t>
  </si>
  <si>
    <t>804-784-6051</t>
  </si>
  <si>
    <t>DOWNEY COMMUNITY HEALTH CENTER</t>
  </si>
  <si>
    <t xml:space="preserve">8425 IOWA STREET </t>
  </si>
  <si>
    <t>DOWNEY</t>
  </si>
  <si>
    <t>562-862-6506</t>
  </si>
  <si>
    <t>DOWNEY RETIREMENT CENTER</t>
  </si>
  <si>
    <t xml:space="preserve">11500 DOLAN AVENUE </t>
  </si>
  <si>
    <t>562-869-2416</t>
  </si>
  <si>
    <t>DREW COUNTY HOME HEALTH</t>
  </si>
  <si>
    <t xml:space="preserve">110 E GAINES </t>
  </si>
  <si>
    <t>870-367-9873</t>
  </si>
  <si>
    <t>DREW'S PLACE OF COLDWATER</t>
  </si>
  <si>
    <t xml:space="preserve">300 E WASHINGTON </t>
  </si>
  <si>
    <t>517-278-9494</t>
  </si>
  <si>
    <t>DREW'S PLACE OF HILLSDALE</t>
  </si>
  <si>
    <t xml:space="preserve">101 VILLAGE GREEN BLVD </t>
  </si>
  <si>
    <t>517-439-1600</t>
  </si>
  <si>
    <t>DRUMRIGHT REGIONAL HOSPITAL</t>
  </si>
  <si>
    <t xml:space="preserve">610 WEST BYPASS </t>
  </si>
  <si>
    <t>DRUMRIGHT</t>
  </si>
  <si>
    <t>918-382-2300</t>
  </si>
  <si>
    <t>DTBA-DOWNTOWN BRITANNIA ARMS</t>
  </si>
  <si>
    <t xml:space="preserve">173 W SANTA CLARA STREET </t>
  </si>
  <si>
    <t>408-278-1400</t>
  </si>
  <si>
    <t>DUBLIN ADULT COMMUNITY RESIDENCE</t>
  </si>
  <si>
    <t xml:space="preserve">3 PIERCE ROAD </t>
  </si>
  <si>
    <t>603-583-8107</t>
  </si>
  <si>
    <t>DUBNOFF CENTER FOR CHILDREN</t>
  </si>
  <si>
    <t xml:space="preserve">10526 DUBNOFF WAY </t>
  </si>
  <si>
    <t>818-755-4950</t>
  </si>
  <si>
    <t>DUBOIS CONFERENCE CENTER</t>
  </si>
  <si>
    <t xml:space="preserve">635 COLLEGE STREET </t>
  </si>
  <si>
    <t>MONTEAGLE</t>
  </si>
  <si>
    <t>931-924-2353</t>
  </si>
  <si>
    <t>DUDNEYWOOD ASSISTED LIVING</t>
  </si>
  <si>
    <t xml:space="preserve">2600 N DUDNEY </t>
  </si>
  <si>
    <t>870-234-2800</t>
  </si>
  <si>
    <t>DUFFIELD ADULT RESIDENTIAL &amp; NURSING FACILITY</t>
  </si>
  <si>
    <t xml:space="preserve">P.O. BOX 367 </t>
  </si>
  <si>
    <t>DUFFIELD</t>
  </si>
  <si>
    <t>540-431-4200</t>
  </si>
  <si>
    <t>DUFFY'S GRILL</t>
  </si>
  <si>
    <t xml:space="preserve">1420 W KENOSHA </t>
  </si>
  <si>
    <t>918-251-3285</t>
  </si>
  <si>
    <t>DUFFY'S RESTAURANT</t>
  </si>
  <si>
    <t xml:space="preserve">1520 WEST HIGHWAY 51 </t>
  </si>
  <si>
    <t>WAGONER</t>
  </si>
  <si>
    <t>918-982-5242</t>
  </si>
  <si>
    <t>DUNCAN COMMUNITY RESIDENCE</t>
  </si>
  <si>
    <t xml:space="preserve">1510 W. MAIN </t>
  </si>
  <si>
    <t>580-255-3926</t>
  </si>
  <si>
    <t>DUNCAN HEIGHTS</t>
  </si>
  <si>
    <t xml:space="preserve">236 STATE STREET </t>
  </si>
  <si>
    <t>641-923-3337</t>
  </si>
  <si>
    <t>DUNN MENTAL HEALTH CENTER</t>
  </si>
  <si>
    <t xml:space="preserve">809 DILLON DR </t>
  </si>
  <si>
    <t>765-983-8000</t>
  </si>
  <si>
    <t>DURALINE MEDICAL PRODUCTS</t>
  </si>
  <si>
    <t xml:space="preserve">324 WERNER ST </t>
  </si>
  <si>
    <t>LEIPSIC</t>
  </si>
  <si>
    <t>419-943-2044</t>
  </si>
  <si>
    <t>DUTCH HAVEN ADULT CARE RESIDENCE</t>
  </si>
  <si>
    <t xml:space="preserve">257 TOLL HOUSE ROAD </t>
  </si>
  <si>
    <t>MAURERTOWN</t>
  </si>
  <si>
    <t>540-436-3297</t>
  </si>
  <si>
    <t>DUZIE'S CULINARY COMPANY</t>
  </si>
  <si>
    <t xml:space="preserve">1647 HARTNELL AVENUE #2 </t>
  </si>
  <si>
    <t>530-223-4117</t>
  </si>
  <si>
    <t>DYCORA INDIANA CORPORATE OFFICE</t>
  </si>
  <si>
    <t xml:space="preserve">5935 S EMERSON AVE #100 </t>
  </si>
  <si>
    <t>317-786-3230</t>
  </si>
  <si>
    <t>DYCORA TRANSITIONAL HEALTH BEECH GROVE</t>
  </si>
  <si>
    <t xml:space="preserve">2860 CHURCHMAN AVENUE </t>
  </si>
  <si>
    <t>317-787-3451</t>
  </si>
  <si>
    <t>DYCORA TRANSITIONAL HEALTH BLOOMINGTON</t>
  </si>
  <si>
    <t xml:space="preserve">155 E BURKS DRIVE </t>
  </si>
  <si>
    <t>812-332-4437</t>
  </si>
  <si>
    <t>DYCORA TRANSITIONAL HEALTH ELKHART</t>
  </si>
  <si>
    <t xml:space="preserve">1001 W HIVELY AVENUE </t>
  </si>
  <si>
    <t>574-294-7641</t>
  </si>
  <si>
    <t>DYCORA TRANSITIONAL HEALTH EVANSVILLE</t>
  </si>
  <si>
    <t xml:space="preserve">816 FIRST AVENUE </t>
  </si>
  <si>
    <t>812-426-2841</t>
  </si>
  <si>
    <t>DYCORA TRANSITIONAL HEALTH EVANSVILLE SPRINGS</t>
  </si>
  <si>
    <t xml:space="preserve">30 E CHANDLER AVENUE </t>
  </si>
  <si>
    <t>812-423-6019</t>
  </si>
  <si>
    <t>DYCORA TRANSITIONAL HEALTH GREENFIELD</t>
  </si>
  <si>
    <t xml:space="preserve">745 N SWOPE STREET </t>
  </si>
  <si>
    <t>317-462-9221</t>
  </si>
  <si>
    <t>DYCORA TRANSITIONAL HEALTH INDIANAPOLIS</t>
  </si>
  <si>
    <t xml:space="preserve">7145 E 21ST STREET </t>
  </si>
  <si>
    <t>317-356-0977</t>
  </si>
  <si>
    <t>DYCORA TRANSITIONAL HEALTH KNOX</t>
  </si>
  <si>
    <t xml:space="preserve">300 E CULVER ROAD </t>
  </si>
  <si>
    <t>KNOX</t>
  </si>
  <si>
    <t>574-772-6248</t>
  </si>
  <si>
    <t>DYCORA TRANSITIONAL HEALTH KOKOMO</t>
  </si>
  <si>
    <t xml:space="preserve">2905 W STCANIRE ROAD </t>
  </si>
  <si>
    <t>765-452-5491</t>
  </si>
  <si>
    <t>DYCORA TRANSITIONAL HEALTH LAPORTE</t>
  </si>
  <si>
    <t xml:space="preserve">1700 ""I"" STREET </t>
  </si>
  <si>
    <t>LAPORTE</t>
  </si>
  <si>
    <t>219-362-6234</t>
  </si>
  <si>
    <t>DYCORA TRANSITIONAL HEALTH LAPORTE SPRINGS</t>
  </si>
  <si>
    <t xml:space="preserve">1900 ANDREW AVENUE </t>
  </si>
  <si>
    <t>219-362-7014</t>
  </si>
  <si>
    <t>DYCORA TRANSITIONAL HEALTH MISHAWAKA</t>
  </si>
  <si>
    <t xml:space="preserve">811 E 12TH STREET </t>
  </si>
  <si>
    <t>574-259-1917</t>
  </si>
  <si>
    <t>DYCORA TRANSITIONAL HEALTH MISHAWAKA SPRINGS</t>
  </si>
  <si>
    <t xml:space="preserve">609 TANGLEWOOD LANE </t>
  </si>
  <si>
    <t>574-277-2500</t>
  </si>
  <si>
    <t>DYCORA TRANSITIONAL HEALTH MUNCIE</t>
  </si>
  <si>
    <t xml:space="preserve">2701 N LYN MAR DRIVE </t>
  </si>
  <si>
    <t>765-286-5979</t>
  </si>
  <si>
    <t>DYCORA TRANSITIONAL HEALTH NEWBURGH</t>
  </si>
  <si>
    <t xml:space="preserve">88 FRAME ROAD </t>
  </si>
  <si>
    <t>NEWBURG</t>
  </si>
  <si>
    <t>812-853-9567</t>
  </si>
  <si>
    <t>DYCORA TRANSITIONAL HEALTH PETERSBURG</t>
  </si>
  <si>
    <t xml:space="preserve">309 W PIKE AVENUE </t>
  </si>
  <si>
    <t>812-354-8833</t>
  </si>
  <si>
    <t>DYCORA TRANSITIONAL HEALTH PORTAGE</t>
  </si>
  <si>
    <t xml:space="preserve">3175 LANCER STREET </t>
  </si>
  <si>
    <t>219-762-9571</t>
  </si>
  <si>
    <t>DYCORA TRANSITIONAL HEALTH RICHMOND</t>
  </si>
  <si>
    <t xml:space="preserve">1042 OAK DRIVE </t>
  </si>
  <si>
    <t>765-966-7788</t>
  </si>
  <si>
    <t>DYCORA TRANSITIONAL HEALTH RICHMOND SPRINGS</t>
  </si>
  <si>
    <t xml:space="preserve">2330 S TRAIGHT LINE PIKE </t>
  </si>
  <si>
    <t>765-966-7681</t>
  </si>
  <si>
    <t>DYCORA TRANSITIONAL HEALTH TELL CITY</t>
  </si>
  <si>
    <t xml:space="preserve">402 19TH STREET </t>
  </si>
  <si>
    <t>TELL CITY</t>
  </si>
  <si>
    <t>812-547-3427</t>
  </si>
  <si>
    <t>DYCORA TRANSITIONAL HEALTH VALPARAISO</t>
  </si>
  <si>
    <t xml:space="preserve">251 STURDY ROAD </t>
  </si>
  <si>
    <t>VALPARISO</t>
  </si>
  <si>
    <t>219-462-6158</t>
  </si>
  <si>
    <t>DYCORA TRANSITIONAL HEALTH WILLOW SPRINGS</t>
  </si>
  <si>
    <t xml:space="preserve">2002 W 86TH STREET </t>
  </si>
  <si>
    <t>317-872-8811</t>
  </si>
  <si>
    <t>DYCORA TRANSITIONAL MERRILVILLE</t>
  </si>
  <si>
    <t xml:space="preserve">8800 VIRGINIA PLACE </t>
  </si>
  <si>
    <t>219-736-1310</t>
  </si>
  <si>
    <t>E M JELLINEK CENTER</t>
  </si>
  <si>
    <t xml:space="preserve">130 HINTON AVENUE </t>
  </si>
  <si>
    <t>865-525-4627</t>
  </si>
  <si>
    <t>EAGLE VALLEY CARE CENTER</t>
  </si>
  <si>
    <t xml:space="preserve">1807 EAST LONG </t>
  </si>
  <si>
    <t>CARSON CITY</t>
  </si>
  <si>
    <t>775-883-4449</t>
  </si>
  <si>
    <t>EAGLE WINGS ACADEMY</t>
  </si>
  <si>
    <t xml:space="preserve">9100 JACKSONTOWN ROAD </t>
  </si>
  <si>
    <t>JACKSONTOWN</t>
  </si>
  <si>
    <t>740-232-4063</t>
  </si>
  <si>
    <t>EAGLES MANOR</t>
  </si>
  <si>
    <t xml:space="preserve">211 W JANEAU </t>
  </si>
  <si>
    <t>406-538-3230</t>
  </si>
  <si>
    <t>EAST ADAMS CARE CENTER</t>
  </si>
  <si>
    <t xml:space="preserve">903 S ADAMS STREET </t>
  </si>
  <si>
    <t>509-659-1600</t>
  </si>
  <si>
    <t>EAST BANK CENTER</t>
  </si>
  <si>
    <t xml:space="preserve">6131 PARK RIDGE ROAD </t>
  </si>
  <si>
    <t>LOVES PARK</t>
  </si>
  <si>
    <t>815-633-6810</t>
  </si>
  <si>
    <t>EAST GLEN REHAB/SKILLED NURSING</t>
  </si>
  <si>
    <t xml:space="preserve">53 MEDICAL PARK EAST DRIVE </t>
  </si>
  <si>
    <t>205-836-4231</t>
  </si>
  <si>
    <t>EAST GRAND SCHOOL DISTRICT</t>
  </si>
  <si>
    <t xml:space="preserve">795 N 2ND STREET PO BOX 125 </t>
  </si>
  <si>
    <t>GRANBY</t>
  </si>
  <si>
    <t>970-887-2635</t>
  </si>
  <si>
    <t>EAST HELENA SCHOOLS</t>
  </si>
  <si>
    <t xml:space="preserve">226 E CLINTON </t>
  </si>
  <si>
    <t>EAST HELENA</t>
  </si>
  <si>
    <t>406-227-7712</t>
  </si>
  <si>
    <t>EAST PARK CARE CENTER</t>
  </si>
  <si>
    <t xml:space="preserve">8 EAST PARK CIRCLE </t>
  </si>
  <si>
    <t>BROOK PARK</t>
  </si>
  <si>
    <t>216-267-7229</t>
  </si>
  <si>
    <t>EAST PARK RETIREMENT</t>
  </si>
  <si>
    <t xml:space="preserve">6360 ELMDALE ROAD </t>
  </si>
  <si>
    <t>216-267-7067</t>
  </si>
  <si>
    <t>EASTER SEAL ARKANSAS-CHILDREN'S REHAB CTR</t>
  </si>
  <si>
    <t xml:space="preserve">3920 WOODLANDS HEIGHTS RD </t>
  </si>
  <si>
    <t>501-219-4050</t>
  </si>
  <si>
    <t>EASTERN ARIZONA COLLEGE</t>
  </si>
  <si>
    <t xml:space="preserve">615 NORTH STADIUM AVENUE </t>
  </si>
  <si>
    <t>THATCHER</t>
  </si>
  <si>
    <t>928-651-1002</t>
  </si>
  <si>
    <t>EASTERN MICHIGAN UNIVERSITY</t>
  </si>
  <si>
    <t xml:space="preserve">875 ANN ST STE 103 </t>
  </si>
  <si>
    <t>734-487-4428</t>
  </si>
  <si>
    <t>EASTERN OHIO CORRECTION FACILITY-LISBON</t>
  </si>
  <si>
    <t xml:space="preserve">227 MARKET STREET </t>
  </si>
  <si>
    <t>330-420-0288</t>
  </si>
  <si>
    <t>EASTERN OHIO CORRECTION FACILITY-WINTERSVILLE</t>
  </si>
  <si>
    <t xml:space="preserve">470 STATE ROUTE 43 </t>
  </si>
  <si>
    <t>WINTERSVILLE</t>
  </si>
  <si>
    <t>740-765-4324</t>
  </si>
  <si>
    <t>EASTERN STAR HOME OF VIRGINIA</t>
  </si>
  <si>
    <t xml:space="preserve">500 MASONIC LANE B </t>
  </si>
  <si>
    <t>804-358-8457</t>
  </si>
  <si>
    <t>EASTERN WA UNIVERSITY-CHINOOK FRESHENS</t>
  </si>
  <si>
    <t xml:space="preserve">700 NE THATUNA STREET </t>
  </si>
  <si>
    <t>PULLMAN</t>
  </si>
  <si>
    <t>509-359-2885</t>
  </si>
  <si>
    <t>EASTERN WASH UNIV-THE ROOST</t>
  </si>
  <si>
    <t xml:space="preserve">120 TAWANKA COMMONS </t>
  </si>
  <si>
    <t>EASTERN WASHINGTON UNIV MAINDELI</t>
  </si>
  <si>
    <t xml:space="preserve">120 TAWANKA COMMONS-526 5TH ST. </t>
  </si>
  <si>
    <t>EASTERN WASHINGTON UNIV BALDY'S</t>
  </si>
  <si>
    <t>EASTERN WASHINGTON UNIV-ENSTEINS</t>
  </si>
  <si>
    <t xml:space="preserve">120 TAWANKA HALL </t>
  </si>
  <si>
    <t>EASTERN WASHINGTON UNIVERSITY</t>
  </si>
  <si>
    <t xml:space="preserve">120 TAWANKA COMMONS-526 5TH ST </t>
  </si>
  <si>
    <t>EASTERN WASHINGTON UNIV-FRESHENS</t>
  </si>
  <si>
    <t>EASTERN WASHINGTON UNIV-MORRIS STREET MARKET</t>
  </si>
  <si>
    <t>EASTERN WASHINGTON UNIV-PANDA EXPRESS</t>
  </si>
  <si>
    <t>EASTERN WASHINGTON UNIV-TAWANKA COMMONS EQUIPMENT</t>
  </si>
  <si>
    <t>EASTERN WASHINGTON UNIV-TAWANKA COMMONS SRVLK</t>
  </si>
  <si>
    <t xml:space="preserve">120 TAWANDA HALL </t>
  </si>
  <si>
    <t>EASTERN WASHINGTON UNIV-TAWANKA CSTORE</t>
  </si>
  <si>
    <t>EASTERN WASHINGTON UNIV-TAWANKA MAIN ST DINING</t>
  </si>
  <si>
    <t>EASTERN WASHINGTON UNIV-TAWANKA WAREHOUSE</t>
  </si>
  <si>
    <t xml:space="preserve">CHENEY </t>
  </si>
  <si>
    <t>EASTERN WASHINGTON UNIV-UNION MARKET STORE</t>
  </si>
  <si>
    <t>EASTERN WASHINGTON BRICKHOUSE DELI</t>
  </si>
  <si>
    <t>EASTERN WASHINGTON MORRIS CAFE</t>
  </si>
  <si>
    <t>EASTERN WASHINGTON-UNIV-GLOBAL CAFE</t>
  </si>
  <si>
    <t>EASTSIDE EDUCATIONAL CENTER INC</t>
  </si>
  <si>
    <t xml:space="preserve">405 SOUTH LEOPOLD STREET </t>
  </si>
  <si>
    <t>MACKINAW</t>
  </si>
  <si>
    <t>309-359-5683</t>
  </si>
  <si>
    <t>EASTWOOD ASSISTED LIVING</t>
  </si>
  <si>
    <t xml:space="preserve">320 HERSHBERGER ROAD NW </t>
  </si>
  <si>
    <t>540-265-2244</t>
  </si>
  <si>
    <t>EATON COUNTY COURTHOUSE</t>
  </si>
  <si>
    <t xml:space="preserve">1045 INDEPENDENCE BLVD </t>
  </si>
  <si>
    <t>517-485-6444</t>
  </si>
  <si>
    <t>EATON COUNTY SHERIFF DEPT.</t>
  </si>
  <si>
    <t xml:space="preserve">1025 INDEPENDENCE BLVD </t>
  </si>
  <si>
    <t>517-543-3510</t>
  </si>
  <si>
    <t>EBERHARDT VILLAGE</t>
  </si>
  <si>
    <t xml:space="preserve">431 WEST PALMER </t>
  </si>
  <si>
    <t>217-543-3705</t>
  </si>
  <si>
    <t>ECA-CULINARD GREENSBORO</t>
  </si>
  <si>
    <t xml:space="preserve">3740 S HOLDEN RD </t>
  </si>
  <si>
    <t>205-329-7939</t>
  </si>
  <si>
    <t>ECA-KITCHEN ON SAN MARCO</t>
  </si>
  <si>
    <t xml:space="preserve">1402 SAN MARCO BLVD </t>
  </si>
  <si>
    <t>205-329-7949</t>
  </si>
  <si>
    <t>ECA-VIRGINIA COLLEGE SCHOOL OF BUSNESS &amp; HEALTH</t>
  </si>
  <si>
    <t xml:space="preserve">721 EASTGATE LOOP RD </t>
  </si>
  <si>
    <t>ECHELON PLACE</t>
  </si>
  <si>
    <t xml:space="preserve">140 N MITCHELL ROAD </t>
  </si>
  <si>
    <t>682-518-1070</t>
  </si>
  <si>
    <t>EDDIES RESTAURANT</t>
  </si>
  <si>
    <t xml:space="preserve">901 MAIN STREET </t>
  </si>
  <si>
    <t>SYLVAN BEACH</t>
  </si>
  <si>
    <t>315-762-5430</t>
  </si>
  <si>
    <t>EDEN MEMORY CARE</t>
  </si>
  <si>
    <t xml:space="preserve">13058 GRANT ROAD </t>
  </si>
  <si>
    <t>713-443-3935</t>
  </si>
  <si>
    <t>EDEN VALLEY CARE CENTRE</t>
  </si>
  <si>
    <t xml:space="preserve">612 MAIN STREET </t>
  </si>
  <si>
    <t>SOLEDAD</t>
  </si>
  <si>
    <t>831-678-2462</t>
  </si>
  <si>
    <t>EDEN VILLAGE CARE CENTER</t>
  </si>
  <si>
    <t xml:space="preserve">400 S STATION ROAD </t>
  </si>
  <si>
    <t>618-288-5016</t>
  </si>
  <si>
    <t>EDENTON PRIMETIME RETIREMENT CENTER</t>
  </si>
  <si>
    <t xml:space="preserve">106 MARK DRIVE </t>
  </si>
  <si>
    <t>252-482-4491</t>
  </si>
  <si>
    <t>EDGECREEK APARTMENTS - BYU</t>
  </si>
  <si>
    <t xml:space="preserve">1434 E 820 N </t>
  </si>
  <si>
    <t>EDGEMONT CENTER WYTHEVILLE</t>
  </si>
  <si>
    <t xml:space="preserve">100 EDGEMONT ROAD </t>
  </si>
  <si>
    <t>540-228-7380</t>
  </si>
  <si>
    <t>EDGEWORTH PARK AT NEW TOWN</t>
  </si>
  <si>
    <t xml:space="preserve">5501 DISCOVERY PARK BLVD </t>
  </si>
  <si>
    <t>757-347-8914</t>
  </si>
  <si>
    <t>EDMOND MOBILE MEALS</t>
  </si>
  <si>
    <t xml:space="preserve">25 WEST 3RD STREET </t>
  </si>
  <si>
    <t>405-341-3111</t>
  </si>
  <si>
    <t>EDUCATION STATION</t>
  </si>
  <si>
    <t>EDUCATION STATION OF DORR</t>
  </si>
  <si>
    <t xml:space="preserve">1682 142ND AVENUE </t>
  </si>
  <si>
    <t>DORR</t>
  </si>
  <si>
    <t>616-681-8463</t>
  </si>
  <si>
    <t>EDUCATION STATION OF HASTINGS</t>
  </si>
  <si>
    <t xml:space="preserve">50N M-37 HWY </t>
  </si>
  <si>
    <t>269-948-2024</t>
  </si>
  <si>
    <t>EDUCATION STATION OF MIDDLEVILLE</t>
  </si>
  <si>
    <t xml:space="preserve">420 MISTY RIDGE DRIVE </t>
  </si>
  <si>
    <t>MIDDLEVILLE</t>
  </si>
  <si>
    <t>269-795-9055</t>
  </si>
  <si>
    <t>EDUCATION STATION OF SPRING LAKE</t>
  </si>
  <si>
    <t xml:space="preserve">17290 ROOSEVELT ROAD </t>
  </si>
  <si>
    <t>SPRING LAKE</t>
  </si>
  <si>
    <t>616-844-0134</t>
  </si>
  <si>
    <t>EDUCATION STATION OF WAYLAND</t>
  </si>
  <si>
    <t xml:space="preserve">863 E SUPERIOR STREET </t>
  </si>
  <si>
    <t>269-792-1230</t>
  </si>
  <si>
    <t>EDWARDS COUNTY COUNCIL ON AGING</t>
  </si>
  <si>
    <t xml:space="preserve">323 N 5TH ST </t>
  </si>
  <si>
    <t>618-445-2017</t>
  </si>
  <si>
    <t>EISENHOWER HEALTHCARE</t>
  </si>
  <si>
    <t xml:space="preserve">1470 N FAIR OAKS AVENUE </t>
  </si>
  <si>
    <t>626-798-9133</t>
  </si>
  <si>
    <t>EL ADOBE DE CAPISTRANO</t>
  </si>
  <si>
    <t xml:space="preserve">31891 CAMINO CAPISTRANO </t>
  </si>
  <si>
    <t>949-493-1163</t>
  </si>
  <si>
    <t>EL CENTRO POST ACUTE-IMPERIAL CARE LLC</t>
  </si>
  <si>
    <t xml:space="preserve">1700 S IMPERIAL AVENUE </t>
  </si>
  <si>
    <t>760-352-8471</t>
  </si>
  <si>
    <t>EL ENCANTO HEALTHCARE &amp; REHAB</t>
  </si>
  <si>
    <t xml:space="preserve">555 EL ENCANTO ROAD </t>
  </si>
  <si>
    <t>CITY OF INDUSTRY</t>
  </si>
  <si>
    <t>626-336-1274</t>
  </si>
  <si>
    <t>EL MONTE CONVALESCENT</t>
  </si>
  <si>
    <t xml:space="preserve">4096 EASY ST </t>
  </si>
  <si>
    <t>EL MONTE</t>
  </si>
  <si>
    <t>626-442-1500</t>
  </si>
  <si>
    <t>EL RENO PARC</t>
  </si>
  <si>
    <t xml:space="preserve">2100 TOWNSEND DRIVE </t>
  </si>
  <si>
    <t>405-262-3323</t>
  </si>
  <si>
    <t>EL REPOSO NURSING FACILITY</t>
  </si>
  <si>
    <t xml:space="preserve">260 MILNER CHAPEL ROAD </t>
  </si>
  <si>
    <t>256-757-2143</t>
  </si>
  <si>
    <t>EL VALLE</t>
  </si>
  <si>
    <t xml:space="preserve">2225 CHANDLER STREET </t>
  </si>
  <si>
    <t>559-353-0576</t>
  </si>
  <si>
    <t>ELDER RIDGE MANOR</t>
  </si>
  <si>
    <t xml:space="preserve">4101 OAKLEY ROAD </t>
  </si>
  <si>
    <t>517-851-7801</t>
  </si>
  <si>
    <t>ELDERLY NUTRITION PROG YOLO CNTY</t>
  </si>
  <si>
    <t xml:space="preserve">40 N EAST STREET SUITE C </t>
  </si>
  <si>
    <t>530-662-7035</t>
  </si>
  <si>
    <t>ELISEO RETIREMENT COMMUNITY</t>
  </si>
  <si>
    <t xml:space="preserve">1301 N HIGHLANDS PARKWAY </t>
  </si>
  <si>
    <t>253-752-7112</t>
  </si>
  <si>
    <t>ELITE GROUP SOLUTIONS</t>
  </si>
  <si>
    <t xml:space="preserve">1369 NEW YORK AVE. N.E. </t>
  </si>
  <si>
    <t>901-289-4658</t>
  </si>
  <si>
    <t>ELITE NURSING AND REHAB CENTER</t>
  </si>
  <si>
    <t xml:space="preserve">300 ROYAL TOWER DRIVE </t>
  </si>
  <si>
    <t>205-870-5666</t>
  </si>
  <si>
    <t>ELIZABETH ADAM CRUMP MANOR</t>
  </si>
  <si>
    <t xml:space="preserve">3600 MOUNTAIN ROAD </t>
  </si>
  <si>
    <t>23060-1930</t>
  </si>
  <si>
    <t>804-672-8725</t>
  </si>
  <si>
    <t>ELIZABETH HOUSE</t>
  </si>
  <si>
    <t xml:space="preserve">3590 MOUNTAIN ROAD </t>
  </si>
  <si>
    <t>804-672-7580</t>
  </si>
  <si>
    <t>ELIZABETH SCOTT COMMUNITY</t>
  </si>
  <si>
    <t xml:space="preserve">2720 ALBON ROAD </t>
  </si>
  <si>
    <t>419-865-3002</t>
  </si>
  <si>
    <t>ELIZABETHTOWN COLLEGE DINING SER</t>
  </si>
  <si>
    <t xml:space="preserve">ONE APLHA DRIVE </t>
  </si>
  <si>
    <t>717-361-1551</t>
  </si>
  <si>
    <t>ELIZABETHTOWN HEALTHCARE AND REHAB CENTER</t>
  </si>
  <si>
    <t xml:space="preserve">141 HEISEY AVENUE </t>
  </si>
  <si>
    <t>848-525-5831</t>
  </si>
  <si>
    <t>ELK CROSSING</t>
  </si>
  <si>
    <t xml:space="preserve">811 W ELK </t>
  </si>
  <si>
    <t>DUNCON</t>
  </si>
  <si>
    <t>580-658-2319</t>
  </si>
  <si>
    <t>ELK RIDGE ASSISTED LIVING</t>
  </si>
  <si>
    <t xml:space="preserve">218 W OLYMPIC LANE </t>
  </si>
  <si>
    <t>ELK RIDGE</t>
  </si>
  <si>
    <t>801-504-6091</t>
  </si>
  <si>
    <t>ELK RUN ASSISTED LIVING</t>
  </si>
  <si>
    <t xml:space="preserve">31383 FROST WAY </t>
  </si>
  <si>
    <t>303-679-8777</t>
  </si>
  <si>
    <t>ELKIN ASSISTED LIVING</t>
  </si>
  <si>
    <t xml:space="preserve">500 JOHNSON RIDGE ROAD </t>
  </si>
  <si>
    <t>ELKIN</t>
  </si>
  <si>
    <t>336-835-6670</t>
  </si>
  <si>
    <t>ELKINS REGIONAL CONVALESCENT CENTER</t>
  </si>
  <si>
    <t xml:space="preserve">1175 BEVERLY PIKE </t>
  </si>
  <si>
    <t>ELKINS</t>
  </si>
  <si>
    <t>304-636-1391</t>
  </si>
  <si>
    <t>ELKTON MANOR</t>
  </si>
  <si>
    <t xml:space="preserve">516 W SPOTSWOOD TRAIL </t>
  </si>
  <si>
    <t>540-298-8917</t>
  </si>
  <si>
    <t>PEACH HEALTH GROUP</t>
  </si>
  <si>
    <t xml:space="preserve">ELLA MANOR ASSISTED LIVING </t>
  </si>
  <si>
    <t>ELLEN MEMORIAL HEALTH CARE CTR</t>
  </si>
  <si>
    <t xml:space="preserve">23 ELLEN MEMORIAL LANE </t>
  </si>
  <si>
    <t>HONESDALE</t>
  </si>
  <si>
    <t>570-253-5690</t>
  </si>
  <si>
    <t>ELLETT MEMORIAL HOSPITAL</t>
  </si>
  <si>
    <t xml:space="preserve">610 N OHIO STREET </t>
  </si>
  <si>
    <t>APPLETON CITY</t>
  </si>
  <si>
    <t>816-476-2111</t>
  </si>
  <si>
    <t>ELMHURST EXTENDED CARE</t>
  </si>
  <si>
    <t xml:space="preserve">200 EAST LAKE STREET </t>
  </si>
  <si>
    <t>ELMHURST</t>
  </si>
  <si>
    <t>630-834-4337</t>
  </si>
  <si>
    <t>EMBASSY OF VALLEY VIEW</t>
  </si>
  <si>
    <t xml:space="preserve">3363 RAGGED RIDGE ROAD </t>
  </si>
  <si>
    <t>740-998-2948</t>
  </si>
  <si>
    <t>EMERALD CARE WAPATO</t>
  </si>
  <si>
    <t xml:space="preserve">209 N AHTANUM AVENUE </t>
  </si>
  <si>
    <t>WAPATO</t>
  </si>
  <si>
    <t>509-877-3175</t>
  </si>
  <si>
    <t>EMERALD FOOD SERVICE</t>
  </si>
  <si>
    <t xml:space="preserve">3179 LIVERNOIS </t>
  </si>
  <si>
    <t>248-689-2494</t>
  </si>
  <si>
    <t>EMERALD HEIGHTS</t>
  </si>
  <si>
    <t xml:space="preserve">10901 176TH CIRCLE NE </t>
  </si>
  <si>
    <t>425-556-8100</t>
  </si>
  <si>
    <t>EMERALD OAKS YUBA CITY</t>
  </si>
  <si>
    <t xml:space="preserve">2290 FORREST LANE </t>
  </si>
  <si>
    <t>530-751-0511</t>
  </si>
  <si>
    <t>EMERITUS - ARLINGTON</t>
  </si>
  <si>
    <t xml:space="preserve">3821 WILSON BOULEVARD </t>
  </si>
  <si>
    <t>22203-1981</t>
  </si>
  <si>
    <t>703-294-6875</t>
  </si>
  <si>
    <t>EMERY COUNTY SHERIFFS OFFICE</t>
  </si>
  <si>
    <t xml:space="preserve">1850 N 550 W </t>
  </si>
  <si>
    <t>CASTLE DALE</t>
  </si>
  <si>
    <t>435-381-5500</t>
  </si>
  <si>
    <t>EMILY GREEN SHORES</t>
  </si>
  <si>
    <t xml:space="preserve">500 WESTMORELAND AVE. </t>
  </si>
  <si>
    <t>757-399-3442</t>
  </si>
  <si>
    <t>EMMA JEWEL ACADEMY</t>
  </si>
  <si>
    <t xml:space="preserve">705 BLAKE AVENUE </t>
  </si>
  <si>
    <t>321-634-5462</t>
  </si>
  <si>
    <t>EMMET COUNCIL COA</t>
  </si>
  <si>
    <t xml:space="preserve">1322 ANDERSON ROAD </t>
  </si>
  <si>
    <t>PETOSKEY</t>
  </si>
  <si>
    <t>231-347-3211</t>
  </si>
  <si>
    <t>EMPORIA REHAB AND HEALTHCARE CENTER</t>
  </si>
  <si>
    <t>434-634-6581</t>
  </si>
  <si>
    <t>EMPOWERED FOR EXCELLENCE</t>
  </si>
  <si>
    <t xml:space="preserve">1201 CHAMPLAIN STREET </t>
  </si>
  <si>
    <t>567-316-7253</t>
  </si>
  <si>
    <t>ENCOMPASS HEALTH REHAB HOSPITAL OF NORTHERN KENTUCKY</t>
  </si>
  <si>
    <t xml:space="preserve">201 MEDICAL VILLAGE DRIVE </t>
  </si>
  <si>
    <t>EDGEWOOD</t>
  </si>
  <si>
    <t>859-341-2044</t>
  </si>
  <si>
    <t>ENGLAND SENIOR CENTER</t>
  </si>
  <si>
    <t xml:space="preserve">100 E TAYLOR </t>
  </si>
  <si>
    <t>ENGLAND</t>
  </si>
  <si>
    <t>501-842-3591</t>
  </si>
  <si>
    <t>ENGLISH MEADOWS RETIREMENT CENTER (CORP)</t>
  </si>
  <si>
    <t xml:space="preserve">125 N. MAIN ST </t>
  </si>
  <si>
    <t>ENGLISH VALLEY NURSING CARE CNTR</t>
  </si>
  <si>
    <t xml:space="preserve">150 WEST WASINGTON STREET </t>
  </si>
  <si>
    <t>NORTH ENGLISH</t>
  </si>
  <si>
    <t>319-664-3257</t>
  </si>
  <si>
    <t>ENGLISH VILLAGE MANOR</t>
  </si>
  <si>
    <t xml:space="preserve">1515 CANTERBURY BLVD </t>
  </si>
  <si>
    <t>580-477-1133</t>
  </si>
  <si>
    <t>ENMU-R FOODSERVICES</t>
  </si>
  <si>
    <t xml:space="preserve">PO BOX 6000/ 52 UNIVERSITY DR. </t>
  </si>
  <si>
    <t>505-624-7408</t>
  </si>
  <si>
    <t>ENNIS SCHOOL</t>
  </si>
  <si>
    <t xml:space="preserve">320 SOUTH CHARLES </t>
  </si>
  <si>
    <t>ENNIS</t>
  </si>
  <si>
    <t>406-682-4258</t>
  </si>
  <si>
    <t>ENO POINTE ASSISTED LIVING</t>
  </si>
  <si>
    <t xml:space="preserve">5600 N ROXBORO ROAD </t>
  </si>
  <si>
    <t>919-479-5652</t>
  </si>
  <si>
    <t>ENSIGN TEMPE POST ACUTE-MENU ONLY</t>
  </si>
  <si>
    <t xml:space="preserve">6100 S RURAL ROAD </t>
  </si>
  <si>
    <t>TEMPE</t>
  </si>
  <si>
    <t>480-831-8660</t>
  </si>
  <si>
    <t>ENSURA HEALTH</t>
  </si>
  <si>
    <t xml:space="preserve">4616 25TH AVE NE #293 </t>
  </si>
  <si>
    <t>855-351-9777</t>
  </si>
  <si>
    <t>ENTERPRISE NURSING HOME</t>
  </si>
  <si>
    <t xml:space="preserve">300 PLAZA DRIVE </t>
  </si>
  <si>
    <t>334-347-9541</t>
  </si>
  <si>
    <t>ENTREES BY CHEF CHANSE</t>
  </si>
  <si>
    <t xml:space="preserve">500 LINCOLN DRIVE </t>
  </si>
  <si>
    <t>920-386-2121</t>
  </si>
  <si>
    <t>ENTRUST OF DESOTO</t>
  </si>
  <si>
    <t xml:space="preserve">8027 WEST VIRGINIA </t>
  </si>
  <si>
    <t>972-298-1331</t>
  </si>
  <si>
    <t>EOAC HEAD START/ EARLY HEAD START</t>
  </si>
  <si>
    <t xml:space="preserve">500 FRANKLIN AVENUE </t>
  </si>
  <si>
    <t>254-753-0331</t>
  </si>
  <si>
    <t>EPLEDALEN RETIREMENT &amp; ASSISTED</t>
  </si>
  <si>
    <t xml:space="preserve">809 PIONEER AVENUE </t>
  </si>
  <si>
    <t>509-782-7600</t>
  </si>
  <si>
    <t>ERB MEMORIAL UNION (EMU) FOOD SERVICES</t>
  </si>
  <si>
    <t xml:space="preserve">1228 UNIVERSITY OF OREGON </t>
  </si>
  <si>
    <t>541-346-4299</t>
  </si>
  <si>
    <t>ERWIN GARDEN REHAB AND NURSING</t>
  </si>
  <si>
    <t xml:space="preserve">3100 ERWIN RD. </t>
  </si>
  <si>
    <t>919-383-1546</t>
  </si>
  <si>
    <t>ESSEX RESIDENTIAL CARE</t>
  </si>
  <si>
    <t xml:space="preserve">24898 STATE HIGHWAY AB </t>
  </si>
  <si>
    <t>573-568-5622</t>
  </si>
  <si>
    <t>EUDORA SENIOR CITIZENS CENTER</t>
  </si>
  <si>
    <t xml:space="preserve">HEALTH SERVICES BLDG </t>
  </si>
  <si>
    <t>EUDORA</t>
  </si>
  <si>
    <t>870-355-2136</t>
  </si>
  <si>
    <t>EVANSHAM MANOR WYTHEVILLE</t>
  </si>
  <si>
    <t xml:space="preserve">1899 WALKERS CREEK ROAD </t>
  </si>
  <si>
    <t>540-228-2941</t>
  </si>
  <si>
    <t>EVANSVILLE PROTESTANT HOME</t>
  </si>
  <si>
    <t xml:space="preserve">3701 WASHINGTON AVENUE </t>
  </si>
  <si>
    <t>812-476-3360</t>
  </si>
  <si>
    <t>EVENGLOW INN</t>
  </si>
  <si>
    <t xml:space="preserve">1200 EVENGLOW LANE </t>
  </si>
  <si>
    <t>815-842-9040</t>
  </si>
  <si>
    <t>EVENGLOW LODGE</t>
  </si>
  <si>
    <t xml:space="preserve">215 E WASHINGTON </t>
  </si>
  <si>
    <t>815-844-6131</t>
  </si>
  <si>
    <t>EVENINGS PORCH ASSISTED LIVING</t>
  </si>
  <si>
    <t xml:space="preserve">42811 HWY 160 </t>
  </si>
  <si>
    <t>BAYFIELD</t>
  </si>
  <si>
    <t>970-884-0101</t>
  </si>
  <si>
    <t>EVENTIDE LUTHERAN HOME SILVERRIDGE</t>
  </si>
  <si>
    <t xml:space="preserve">114 S 20TH ST </t>
  </si>
  <si>
    <t>712-263-3114</t>
  </si>
  <si>
    <t>EVERETT HERITAGE COURT</t>
  </si>
  <si>
    <t xml:space="preserve">4230 COLBY AVENUE </t>
  </si>
  <si>
    <t>425-259-7200</t>
  </si>
  <si>
    <t>EVERGREEN COMMONS</t>
  </si>
  <si>
    <t xml:space="preserve">400 STATE STREET </t>
  </si>
  <si>
    <t>616-396-7100</t>
  </si>
  <si>
    <t>EVERGREEN HEALTH &amp; REHAB CENTER</t>
  </si>
  <si>
    <t xml:space="preserve">380 MILLWOOD AVENUE </t>
  </si>
  <si>
    <t>540-667-7010</t>
  </si>
  <si>
    <t>EVERGREEN HEALTH AND REHAB</t>
  </si>
  <si>
    <t xml:space="preserve">139 MORAN LAKE ROAD </t>
  </si>
  <si>
    <t>706-378-3383</t>
  </si>
  <si>
    <t>EVERGREEN HEIGHTS APTS KINGSFORD</t>
  </si>
  <si>
    <t xml:space="preserve">1820 MARYS WAY </t>
  </si>
  <si>
    <t>906-774-8943</t>
  </si>
  <si>
    <t>EVERGREEN LIVING CENTER</t>
  </si>
  <si>
    <t xml:space="preserve">1140 N STATE STREET BLDG B </t>
  </si>
  <si>
    <t>ST IGNACE</t>
  </si>
  <si>
    <t>906-643-8585</t>
  </si>
  <si>
    <t>EVERGREEN MEADOWS</t>
  </si>
  <si>
    <t xml:space="preserve">N-1665 US HWY 8 </t>
  </si>
  <si>
    <t>NORWAY</t>
  </si>
  <si>
    <t>906-563-5900</t>
  </si>
  <si>
    <t xml:space="preserve">1130 NORTH WESTFIELD ST </t>
  </si>
  <si>
    <t>920-237-2134</t>
  </si>
  <si>
    <t>EVERGREEN SCHOOL DISTRICT #50</t>
  </si>
  <si>
    <t xml:space="preserve">18 W EVERGREEN DR </t>
  </si>
  <si>
    <t>406-751-1114</t>
  </si>
  <si>
    <t>EVERGREENE MANOR</t>
  </si>
  <si>
    <t xml:space="preserve">118 WILLIAM MILLS DRIVE </t>
  </si>
  <si>
    <t>STANARDSVILLE</t>
  </si>
  <si>
    <t>434-985-4411</t>
  </si>
  <si>
    <t>EVERGREENE MEADOWS</t>
  </si>
  <si>
    <t xml:space="preserve">422 WILLIAM MILLS DRIVE </t>
  </si>
  <si>
    <t>434-985-4481</t>
  </si>
  <si>
    <t>EVERGREENE NURSING CARE CENTER</t>
  </si>
  <si>
    <t xml:space="preserve">355 WILLIAM MILLS DRIVE </t>
  </si>
  <si>
    <t>804-985-4434</t>
  </si>
  <si>
    <t>EXCEPTIONAL CARE FOR CHILDREN</t>
  </si>
  <si>
    <t xml:space="preserve">11 INDEPENDENCE WAY </t>
  </si>
  <si>
    <t>302-894-1001</t>
  </si>
  <si>
    <t>EXETER DETOXIFICATION CENTER</t>
  </si>
  <si>
    <t xml:space="preserve">251 MAIN STREET </t>
  </si>
  <si>
    <t>401-295-0960</t>
  </si>
  <si>
    <t>EXIRA CARE CENTER</t>
  </si>
  <si>
    <t xml:space="preserve">411 SOUTH CARTHAGE </t>
  </si>
  <si>
    <t>EXIRA</t>
  </si>
  <si>
    <t>712-268-5393</t>
  </si>
  <si>
    <t>EXTENDICARE HEALTH &amp; REHAB CTR</t>
  </si>
  <si>
    <t xml:space="preserve">950 SOUTH ST ANDREWS </t>
  </si>
  <si>
    <t>DOTHAN</t>
  </si>
  <si>
    <t>334-793-1177</t>
  </si>
  <si>
    <t>F &amp; W MANAGEMENT CORP</t>
  </si>
  <si>
    <t xml:space="preserve">PO BOX 20809 </t>
  </si>
  <si>
    <t>HPSI:PROPERTY MANAGEMENT</t>
  </si>
  <si>
    <t>FAHOLO CAMP &amp; CONFERENCE CENTER</t>
  </si>
  <si>
    <t xml:space="preserve">3000 MT HOPE RD </t>
  </si>
  <si>
    <t xml:space="preserve">GRASS LAKE </t>
  </si>
  <si>
    <t>517-522-6800</t>
  </si>
  <si>
    <t>FAHRNEY KEEDY HOME &amp; VILLAGE</t>
  </si>
  <si>
    <t xml:space="preserve">8507 MAPLEVILLE ROAD </t>
  </si>
  <si>
    <t>BOONSBORO</t>
  </si>
  <si>
    <t>301-671-5017</t>
  </si>
  <si>
    <t>FAIR HAVEN HOME INC</t>
  </si>
  <si>
    <t xml:space="preserve">149 FAIR HAVEN DRIVE </t>
  </si>
  <si>
    <t>BOSTIC</t>
  </si>
  <si>
    <t>828-245-9095</t>
  </si>
  <si>
    <t>FAIR HAVEN OF FOREST CITY</t>
  </si>
  <si>
    <t xml:space="preserve">830 BETHANY CHURCH ROAD </t>
  </si>
  <si>
    <t>FOREST CITY</t>
  </si>
  <si>
    <t>828-245-2852</t>
  </si>
  <si>
    <t>FAIR OAKS ESTATES CARMICHAEL</t>
  </si>
  <si>
    <t xml:space="preserve">8845 FAIR OAKS BLVD </t>
  </si>
  <si>
    <t>916-944-2077</t>
  </si>
  <si>
    <t>FAIR OAKS NURSING HOME</t>
  </si>
  <si>
    <t xml:space="preserve">FAIR OAKS DRIVE </t>
  </si>
  <si>
    <t>FAIR OAKS RESIDENTIAL CARE</t>
  </si>
  <si>
    <t xml:space="preserve">1330 NORTH 3RD ST PO BOX 475 </t>
  </si>
  <si>
    <t>LANGLEY</t>
  </si>
  <si>
    <t>918-260-5422</t>
  </si>
  <si>
    <t>FAIR OAKS RESIDENTIAL TREATMENT FACILITY</t>
  </si>
  <si>
    <t xml:space="preserve">7959 ORANGE AVE </t>
  </si>
  <si>
    <t>650-344-8522</t>
  </si>
  <si>
    <t>FAIR PARK NURSING &amp; REHAB CENTER</t>
  </si>
  <si>
    <t xml:space="preserve">200 SOUTHWOOD DRIVE </t>
  </si>
  <si>
    <t>903-657-6506</t>
  </si>
  <si>
    <t>FAIRFAX RETIREMENT COMMUNITY</t>
  </si>
  <si>
    <t>FAIRFIELD BAY SENIOR CTR ARK</t>
  </si>
  <si>
    <t xml:space="preserve">385 DAVE CREEK PARKWAY </t>
  </si>
  <si>
    <t>FAIRFIELD BAY</t>
  </si>
  <si>
    <t>501-884-4881</t>
  </si>
  <si>
    <t>FAIRFIELD OF GRENADA</t>
  </si>
  <si>
    <t xml:space="preserve">1855 FS HILL DR </t>
  </si>
  <si>
    <t>GRENADA</t>
  </si>
  <si>
    <t>601-226-3363</t>
  </si>
  <si>
    <t>FAIRGROUND INN</t>
  </si>
  <si>
    <t xml:space="preserve">852 COFFEEN STREET </t>
  </si>
  <si>
    <t>315-782-7335</t>
  </si>
  <si>
    <t>FAIRHAVEN CHRISTIAN RETIREMENT</t>
  </si>
  <si>
    <t xml:space="preserve">3470 N ALPINE ROAD </t>
  </si>
  <si>
    <t>815-877-1441</t>
  </si>
  <si>
    <t>FAIRHAVEN EMA</t>
  </si>
  <si>
    <t xml:space="preserve">7200 THIRD AVENUE </t>
  </si>
  <si>
    <t>410-795-8933</t>
  </si>
  <si>
    <t>FAIRMONT CROSSING</t>
  </si>
  <si>
    <t xml:space="preserve">173 BROCKMAN PARK DRIVE </t>
  </si>
  <si>
    <t>434-946-2851</t>
  </si>
  <si>
    <t>FAIRMONT GRAND SENIOR LIVING</t>
  </si>
  <si>
    <t xml:space="preserve">409 E FAIRLANE DRIVE </t>
  </si>
  <si>
    <t>605-399-1551</t>
  </si>
  <si>
    <t>FAIRMONT REHABILITATION CENTER</t>
  </si>
  <si>
    <t xml:space="preserve">3518 SOUTH LAFOUNTAIN STREET </t>
  </si>
  <si>
    <t>FAIRVIEW ASSISTED LIVING/PERRY COUNTY HOME</t>
  </si>
  <si>
    <t xml:space="preserve">5550 STATE ROUTE 37 </t>
  </si>
  <si>
    <t>740-342-1213</t>
  </si>
  <si>
    <t>FAIRVIEW FELLOWSHIP HOME</t>
  </si>
  <si>
    <t xml:space="preserve">605 EAST STATE ROAD </t>
  </si>
  <si>
    <t>FAIRVIEW</t>
  </si>
  <si>
    <t>580-227-3783</t>
  </si>
  <si>
    <t>FAIRVIEW HAVEN</t>
  </si>
  <si>
    <t xml:space="preserve">605 N FOURTH ST </t>
  </si>
  <si>
    <t>FAIRBURY</t>
  </si>
  <si>
    <t>815-692-2572</t>
  </si>
  <si>
    <t>FAIRVIEW MANOR CRAWFORD COUNTY</t>
  </si>
  <si>
    <t xml:space="preserve">1630 E SOUTHERN AVENUE </t>
  </si>
  <si>
    <t>BUCYRUS</t>
  </si>
  <si>
    <t>419-562-5831</t>
  </si>
  <si>
    <t>FAIRVIEW NURSING &amp; REHABILITATION CENTER</t>
  </si>
  <si>
    <t xml:space="preserve">602 EAST JACKSON STREET </t>
  </si>
  <si>
    <t>DU QUOIN</t>
  </si>
  <si>
    <t>618-542-3441</t>
  </si>
  <si>
    <t>FAIRVIEW PARK</t>
  </si>
  <si>
    <t xml:space="preserve">544 HARRISON BRIDGE RD </t>
  </si>
  <si>
    <t>SIMPSONVILLE</t>
  </si>
  <si>
    <t>864-316-0697</t>
  </si>
  <si>
    <t>FAITH LUTHERAN HOME</t>
  </si>
  <si>
    <t xml:space="preserve">914 DAVIDSON DRIVE </t>
  </si>
  <si>
    <t>OSAGE</t>
  </si>
  <si>
    <t>641-732-5511</t>
  </si>
  <si>
    <t>FAITHFUL LIVING</t>
  </si>
  <si>
    <t xml:space="preserve">2015 N READING ROAD </t>
  </si>
  <si>
    <t>717-336-5501</t>
  </si>
  <si>
    <t>FALCON RIDGE ASSISTED LIVING</t>
  </si>
  <si>
    <t xml:space="preserve">21202 INTERNATIONAL BLVD SOUTH </t>
  </si>
  <si>
    <t>SEA TAC</t>
  </si>
  <si>
    <t>206-878-0900</t>
  </si>
  <si>
    <t>FALCON'S LANDING</t>
  </si>
  <si>
    <t xml:space="preserve">20522 FALCON'S LANDING CIRCLE </t>
  </si>
  <si>
    <t>POTOMAC FALLS</t>
  </si>
  <si>
    <t>703-404-5100</t>
  </si>
  <si>
    <t>FAMILY BLUE RIDGE CAMP CATERING</t>
  </si>
  <si>
    <t xml:space="preserve">5545 NW 41ST TERRACE </t>
  </si>
  <si>
    <t>561-929-4061</t>
  </si>
  <si>
    <t>FAMILY CARE CENTER OF FAIRLAND</t>
  </si>
  <si>
    <t xml:space="preserve">12 E CONNER </t>
  </si>
  <si>
    <t>FAIRLAND</t>
  </si>
  <si>
    <t>918-676-3685</t>
  </si>
  <si>
    <t>FAMILY CARE CENTER OF KINGSTON</t>
  </si>
  <si>
    <t xml:space="preserve">701 HIGHWAY 32 </t>
  </si>
  <si>
    <t>580-564-2216</t>
  </si>
  <si>
    <t>FAMILY CARE CHIROPRACTIC</t>
  </si>
  <si>
    <t xml:space="preserve">9546 ALLISONVILLE ROAD </t>
  </si>
  <si>
    <t>317-849-9355</t>
  </si>
  <si>
    <t>FAMILY HEALTH CENTER OF BATTLE CREEK</t>
  </si>
  <si>
    <t xml:space="preserve">181 W EMMETT STREET </t>
  </si>
  <si>
    <t>269-441-3415</t>
  </si>
  <si>
    <t>FAMILY STYLE BUFFET</t>
  </si>
  <si>
    <t xml:space="preserve">222 E COLE BLVD </t>
  </si>
  <si>
    <t>CALEXICO</t>
  </si>
  <si>
    <t>760-768-1440</t>
  </si>
  <si>
    <t>FARMCREST</t>
  </si>
  <si>
    <t xml:space="preserve">1100 FARM CREST DRIVE </t>
  </si>
  <si>
    <t>717-354-1800</t>
  </si>
  <si>
    <t>FARMHOUSE FRATERNITY (AUBURN UNIV)</t>
  </si>
  <si>
    <t xml:space="preserve">552 W THACH AVENUE </t>
  </si>
  <si>
    <t>334-821-0924</t>
  </si>
  <si>
    <t>FARMINGTON FAMILY FUN CENTER</t>
  </si>
  <si>
    <t xml:space="preserve">765 WEBER ROAD </t>
  </si>
  <si>
    <t>573-756-6161</t>
  </si>
  <si>
    <t>FARMINGTON MANOR MISSOURI</t>
  </si>
  <si>
    <t xml:space="preserve">2879 US HIGHWAY 67 </t>
  </si>
  <si>
    <t>573-756-7566</t>
  </si>
  <si>
    <t>FARMINGTON SENIOR CENTER ARK</t>
  </si>
  <si>
    <t xml:space="preserve">340 W MAIN </t>
  </si>
  <si>
    <t>501-267-5709</t>
  </si>
  <si>
    <t>FARWELL CARE AND REHABILITATION</t>
  </si>
  <si>
    <t xml:space="preserve">305 5TH STREET </t>
  </si>
  <si>
    <t>FARWELL</t>
  </si>
  <si>
    <t>806-481-9027</t>
  </si>
  <si>
    <t>FATHER PURCELL MEMORIAL</t>
  </si>
  <si>
    <t xml:space="preserve">2048 West Fairview Avenue </t>
  </si>
  <si>
    <t>205-834-5590</t>
  </si>
  <si>
    <t>FAULKNER UNIVERSITY-CULINARY MGMT SOLUTIONS</t>
  </si>
  <si>
    <t xml:space="preserve">5345 ATLANTA HIGHWAY </t>
  </si>
  <si>
    <t xml:space="preserve">MONTGOMERY </t>
  </si>
  <si>
    <t>334-386-7179</t>
  </si>
  <si>
    <t>FAUQUIER HEALTH REHAB &amp; NURSING CENTER</t>
  </si>
  <si>
    <t xml:space="preserve">360 HOSPITAL DRIVE </t>
  </si>
  <si>
    <t>540-316-5500</t>
  </si>
  <si>
    <t>FAUQUIER HOSPITAL HOME HEALTH</t>
  </si>
  <si>
    <t xml:space="preserve">170 W SHIRLEY AVENUE #101 </t>
  </si>
  <si>
    <t>540-316-2700</t>
  </si>
  <si>
    <t>FAYETTE COUNTY SHERIFF</t>
  </si>
  <si>
    <t xml:space="preserve">1500 ROBINSON ROAD SE </t>
  </si>
  <si>
    <t>740-335-6170</t>
  </si>
  <si>
    <t>FAYETTEVILLE CHRISTIAN SCHOOL</t>
  </si>
  <si>
    <t xml:space="preserve">1422 IRELAND DRIVE </t>
  </si>
  <si>
    <t>910-483-3905</t>
  </si>
  <si>
    <t>FCSD-BALDWIN CREEK ELEMENTARY SCHOOL</t>
  </si>
  <si>
    <t xml:space="preserve">400 BALDWIN CREEK ROAD </t>
  </si>
  <si>
    <t>307-335-0115</t>
  </si>
  <si>
    <t>FCSD-GANNETT PEAK ELEMENTARY SCHOOL</t>
  </si>
  <si>
    <t>FCSD-LANDER MIDDLE SCHOOL</t>
  </si>
  <si>
    <t xml:space="preserve">LANDER </t>
  </si>
  <si>
    <t>FCSD-LANDER VALLEY HIGH SCHOOL</t>
  </si>
  <si>
    <t>FCSD-LANDER WAREHOUSE</t>
  </si>
  <si>
    <t>FCSD-NORTH ELEMENTARY SCHOOL</t>
  </si>
  <si>
    <t>FEATHERSTONE ASSISTED LIVING OF ADA</t>
  </si>
  <si>
    <t xml:space="preserve">1501 NORTH MONTE VISTA </t>
  </si>
  <si>
    <t>580-332-5200</t>
  </si>
  <si>
    <t>FEATHERSTONE ASSISTED LIVING OF DURANT</t>
  </si>
  <si>
    <t xml:space="preserve">1919 W UNIVERSITY BLVD </t>
  </si>
  <si>
    <t>580-924-3177</t>
  </si>
  <si>
    <t>FEATHERSTONE ASSISTED LIVING OF MOORE</t>
  </si>
  <si>
    <t xml:space="preserve">301 N EASTERN </t>
  </si>
  <si>
    <t>MOORE</t>
  </si>
  <si>
    <t>405-799-9919</t>
  </si>
  <si>
    <t>FEDOR MANOR</t>
  </si>
  <si>
    <t xml:space="preserve">12400 MADISON AVE </t>
  </si>
  <si>
    <t>216-226-7575</t>
  </si>
  <si>
    <t>FEEDMORE INC</t>
  </si>
  <si>
    <t xml:space="preserve">1415 RHOADMILLER STREET </t>
  </si>
  <si>
    <t>804-521-2500</t>
  </si>
  <si>
    <t>FEINBERG COUNSELING CENTER</t>
  </si>
  <si>
    <t xml:space="preserve">2345 REAGAN STREET </t>
  </si>
  <si>
    <t>214-999-1044</t>
  </si>
  <si>
    <t>FELLOWSHIP HOME OF MERIWETHER</t>
  </si>
  <si>
    <t xml:space="preserve">10 MERIWETHER PLACE </t>
  </si>
  <si>
    <t>478-295-1005</t>
  </si>
  <si>
    <t>FENWICK- CRESCENT RIDGE ADULT CARE CENTER</t>
  </si>
  <si>
    <t xml:space="preserve">7001 OXON HILL RD </t>
  </si>
  <si>
    <t>OXON HILL</t>
  </si>
  <si>
    <t>301-567-1885</t>
  </si>
  <si>
    <t>FENWICK LANDING ASSISTED LIVING</t>
  </si>
  <si>
    <t xml:space="preserve">11665 DOOLITTLE DR </t>
  </si>
  <si>
    <t>301-638-4100</t>
  </si>
  <si>
    <t>FENWICK LANDING SENIOR CARE COMMUNITY</t>
  </si>
  <si>
    <t>FENWICK SENIOR NETWORK ADULT DAY</t>
  </si>
  <si>
    <t>FERIDEAN COMMONS SENIOR HOUSING</t>
  </si>
  <si>
    <t xml:space="preserve">6885 FREEMAN ROAD </t>
  </si>
  <si>
    <t>614-898-7488</t>
  </si>
  <si>
    <t>FERN LODGE</t>
  </si>
  <si>
    <t xml:space="preserve">18457 MADISON AVE </t>
  </si>
  <si>
    <t>510-886-2448</t>
  </si>
  <si>
    <t>FERRIS STATE UNIVERSITY</t>
  </si>
  <si>
    <t xml:space="preserve">1420 KNOLLVIEW DRIVE </t>
  </si>
  <si>
    <t>BIG RAPIDS</t>
  </si>
  <si>
    <t>231-591-2190</t>
  </si>
  <si>
    <t>FERRIS SU-CENTER ICE FOOD COURT</t>
  </si>
  <si>
    <t>FERRIS SU-MARKET C-STORE</t>
  </si>
  <si>
    <t>FERRIS SU-QUAD CAFE</t>
  </si>
  <si>
    <t>FERRIS SU-THE ROCK CAFE</t>
  </si>
  <si>
    <t>FERRIS SU-TOTS PLACE BISHOP HALL</t>
  </si>
  <si>
    <t>FESSENDEN BOWDON SCHOOL</t>
  </si>
  <si>
    <t xml:space="preserve">500 N 2ND STREET </t>
  </si>
  <si>
    <t>FESSENDEN</t>
  </si>
  <si>
    <t>701-547-3296</t>
  </si>
  <si>
    <t>FESTUS MANOR</t>
  </si>
  <si>
    <t xml:space="preserve">627 WESTWOOD SOUTH DRIVE </t>
  </si>
  <si>
    <t>FESTUS</t>
  </si>
  <si>
    <t>636-931-9066</t>
  </si>
  <si>
    <t>FIELD OF DREAMS ASSISTED LIVING</t>
  </si>
  <si>
    <t xml:space="preserve">505 BELITZ DRIVE </t>
  </si>
  <si>
    <t>KIEL</t>
  </si>
  <si>
    <t>920-286-6189</t>
  </si>
  <si>
    <t>FINLANDIA UNIVERSITY</t>
  </si>
  <si>
    <t xml:space="preserve">601 QUINCY STREET </t>
  </si>
  <si>
    <t>HANCOCK</t>
  </si>
  <si>
    <t>906-487-7271</t>
  </si>
  <si>
    <t>FINLANDIA UNIV-HOUSEKEEPING</t>
  </si>
  <si>
    <t>FIRELANDS SCOUT RESERVATION-BSA HRT OF OH</t>
  </si>
  <si>
    <t xml:space="preserve">13782 GORE ORPHANAGE RD </t>
  </si>
  <si>
    <t>WAKEMAN</t>
  </si>
  <si>
    <t>440-965-5703</t>
  </si>
  <si>
    <t>FIRESIDE LODGE</t>
  </si>
  <si>
    <t xml:space="preserve">40660 BIG BEAR BLVD </t>
  </si>
  <si>
    <t>BIG BEAR LAKE</t>
  </si>
  <si>
    <t>909-866-2253</t>
  </si>
  <si>
    <t>FIRESIDE LODGE HEALTHCARE CTR</t>
  </si>
  <si>
    <t xml:space="preserve">4800 WHITE SETTLEMENT ROAD </t>
  </si>
  <si>
    <t>817-738-6556</t>
  </si>
  <si>
    <t>FIRST BAPTIST CHURCH</t>
  </si>
  <si>
    <t xml:space="preserve">455 BRAMLETON AVENUE </t>
  </si>
  <si>
    <t>757-622-6701</t>
  </si>
  <si>
    <t>FIRST BAPTIST CHURCH OF GREENVILLE</t>
  </si>
  <si>
    <t xml:space="preserve">218 E SOUTH AVENUE </t>
  </si>
  <si>
    <t>618-664-1062</t>
  </si>
  <si>
    <t>FIRST BAPTIST CHURCH OF MORGANTON</t>
  </si>
  <si>
    <t xml:space="preserve">502 WEST UNION STREET </t>
  </si>
  <si>
    <t>828-437-2544</t>
  </si>
  <si>
    <t>FIRST BAPTIST CHURCH/SML WONDERS</t>
  </si>
  <si>
    <t xml:space="preserve">11 W CASTOR </t>
  </si>
  <si>
    <t>573-624-7436</t>
  </si>
  <si>
    <t>FIRST CLASS CHILD DEVELOPMENT CENTER</t>
  </si>
  <si>
    <t xml:space="preserve">1215 OLD BLACK COLONY ROAD </t>
  </si>
  <si>
    <t>512-922-3418</t>
  </si>
  <si>
    <t>FIRST CLASS CHILD DEVELOPMENT CENTER 3</t>
  </si>
  <si>
    <t xml:space="preserve">1901 NATURAL PARK BLVD </t>
  </si>
  <si>
    <t xml:space="preserve">1324 MARION STREET </t>
  </si>
  <si>
    <t>803-799-6062</t>
  </si>
  <si>
    <t>FIRST PRESBYTERIAN CHURCH FREDRICKTOWN</t>
  </si>
  <si>
    <t xml:space="preserve">17 S. MAIN STREET </t>
  </si>
  <si>
    <t>FREDERICKTOWN</t>
  </si>
  <si>
    <t>740-694-4751</t>
  </si>
  <si>
    <t>FITZGIBBON HOSPITAL</t>
  </si>
  <si>
    <t xml:space="preserve">2305 SOUTH HIGHWAY 65 </t>
  </si>
  <si>
    <t>816-886-7431</t>
  </si>
  <si>
    <t>FIVE POINTS PUBLIC HOUSE</t>
  </si>
  <si>
    <t xml:space="preserve">623 COLUMBIA STREET </t>
  </si>
  <si>
    <t>704-550-9647</t>
  </si>
  <si>
    <t>FLAT RIVER OUTREACH MINISTRIES</t>
  </si>
  <si>
    <t xml:space="preserve">11535 FULTON STREET E </t>
  </si>
  <si>
    <t>616-897-8260</t>
  </si>
  <si>
    <t>FLESHERS FAIRVIEW HEALTH CARE CENTER</t>
  </si>
  <si>
    <t xml:space="preserve">3016 CANE CREEK ROAD </t>
  </si>
  <si>
    <t>828-628-2800</t>
  </si>
  <si>
    <t>FLORIDA INSTITUTE OF TECHNOLOGY</t>
  </si>
  <si>
    <t xml:space="preserve">150 W. UNIVERSITY BLVD. </t>
  </si>
  <si>
    <t>321-674-8040</t>
  </si>
  <si>
    <t>FLORIDA PRESBYTERIAN HOME</t>
  </si>
  <si>
    <t xml:space="preserve">16 LAKE HUNTER DRIVE </t>
  </si>
  <si>
    <t>863-577-6001</t>
  </si>
  <si>
    <t>FLORIDA TECH-EVANS DINING</t>
  </si>
  <si>
    <t>FLORIDA TECH-RATHSKELLER</t>
  </si>
  <si>
    <t>FLORIDA TECH-SUB CAFE</t>
  </si>
  <si>
    <t>FLOYD E 'TUT' FANN VA HOME</t>
  </si>
  <si>
    <t xml:space="preserve">2701 MERIDIAN STREET </t>
  </si>
  <si>
    <t>256-852-5170</t>
  </si>
  <si>
    <t>FOLSOM CARE CENTER</t>
  </si>
  <si>
    <t xml:space="preserve">510 MILL STREET </t>
  </si>
  <si>
    <t>916-985-3641</t>
  </si>
  <si>
    <t>FOOD MANAGEMENT ASSOCIATES INC</t>
  </si>
  <si>
    <t xml:space="preserve">22349 LA PALMA SUITE 115 </t>
  </si>
  <si>
    <t>714-694-2828</t>
  </si>
  <si>
    <t>FOOD OUTREACH ST LOUIS</t>
  </si>
  <si>
    <t xml:space="preserve">3117 OLIVE STREET </t>
  </si>
  <si>
    <t>314-652-3663</t>
  </si>
  <si>
    <t>FOOTHILL VILLAGE LODGE &amp; INN</t>
  </si>
  <si>
    <t xml:space="preserve">1400 FOOTHILL VILLAGE DRIVE </t>
  </si>
  <si>
    <t>ANGELS CAMP</t>
  </si>
  <si>
    <t>209-729-2200</t>
  </si>
  <si>
    <t>FOR DALE ACADEMY #2</t>
  </si>
  <si>
    <t xml:space="preserve">1100 GAMBLE STREET </t>
  </si>
  <si>
    <t>334-387-2606</t>
  </si>
  <si>
    <t>FOREMOST SENIOR CAMPUS</t>
  </si>
  <si>
    <t xml:space="preserve">17581 SULTANA ST </t>
  </si>
  <si>
    <t>HESPERIA</t>
  </si>
  <si>
    <t>760-244-5579</t>
  </si>
  <si>
    <t>FOREST CITY NURSING AND REHAB CENTER</t>
  </si>
  <si>
    <t xml:space="preserve">915 DELAWARE STREET </t>
  </si>
  <si>
    <t>570-785-3005</t>
  </si>
  <si>
    <t>FOREST MANOR NURSING NORTHPORT</t>
  </si>
  <si>
    <t xml:space="preserve">2215 32ND STREET </t>
  </si>
  <si>
    <t>NORTHPORT</t>
  </si>
  <si>
    <t>205-339-5400</t>
  </si>
  <si>
    <t>FOREST MEADOW VILLAS</t>
  </si>
  <si>
    <t xml:space="preserve">474 LEISURE LANE </t>
  </si>
  <si>
    <t>330-723-3110</t>
  </si>
  <si>
    <t>FOREST PLAZA</t>
  </si>
  <si>
    <t xml:space="preserve">635 HIGHWAY 9 EAST </t>
  </si>
  <si>
    <t>641-585-1555</t>
  </si>
  <si>
    <t>FOREST VIEW MANOR</t>
  </si>
  <si>
    <t xml:space="preserve">141 CALLISON HIGHWAY </t>
  </si>
  <si>
    <t>MCCORMICK</t>
  </si>
  <si>
    <t>864-443-5857</t>
  </si>
  <si>
    <t>FORESTSIDE</t>
  </si>
  <si>
    <t xml:space="preserve">2701 MILITARY ROAD NW </t>
  </si>
  <si>
    <t xml:space="preserve">WASHINGTON </t>
  </si>
  <si>
    <t>202-966-7623</t>
  </si>
  <si>
    <t>FORREST BIRD CHARTER SCHOOL</t>
  </si>
  <si>
    <t xml:space="preserve">614 S MADISON AVENUE </t>
  </si>
  <si>
    <t>208-255-7771</t>
  </si>
  <si>
    <t>FORSYTH VILLAGE</t>
  </si>
  <si>
    <t xml:space="preserve">5100 LANSING DR </t>
  </si>
  <si>
    <t>336-744-7857</t>
  </si>
  <si>
    <t>FORT ARMSTRONG</t>
  </si>
  <si>
    <t xml:space="preserve">1900 THIRD AVENUE </t>
  </si>
  <si>
    <t>309-786-0400</t>
  </si>
  <si>
    <t>FORT DALE ACADEMY #1</t>
  </si>
  <si>
    <t>334-387-2600</t>
  </si>
  <si>
    <t>FORT SHELBY MANOR</t>
  </si>
  <si>
    <t xml:space="preserve">200 SOLAR ST </t>
  </si>
  <si>
    <t>276-591-6440</t>
  </si>
  <si>
    <t>FORT WORTH NURSING &amp; REHAB CTR</t>
  </si>
  <si>
    <t xml:space="preserve">1950 SOUTH LAS VEGAS TRAIL </t>
  </si>
  <si>
    <t>817-429-0320</t>
  </si>
  <si>
    <t>FOUNDATION FOOD CSUSB BOOKSTRE</t>
  </si>
  <si>
    <t xml:space="preserve">5500 UNIVERSITY PARKWAY </t>
  </si>
  <si>
    <t>909-880-5970</t>
  </si>
  <si>
    <t>FOUNDATION FOOD CSUSB COMMONS</t>
  </si>
  <si>
    <t>909-881-5970</t>
  </si>
  <si>
    <t>FOUNDATION FOOD CSUSB JACK BRN</t>
  </si>
  <si>
    <t>FOUNDATION FOOD CSUSB SBS</t>
  </si>
  <si>
    <t>FOUNDATION FOOD CSUSB ST UNION</t>
  </si>
  <si>
    <t xml:space="preserve">5500 UNIVERSILTY PARKWAY </t>
  </si>
  <si>
    <t>FOUNDATION HOUSE OF BOTHELL</t>
  </si>
  <si>
    <t xml:space="preserve">17502 102ND AVENUE NE </t>
  </si>
  <si>
    <t>425-402-9606</t>
  </si>
  <si>
    <t xml:space="preserve">107 AVENIDA DE LA ESTRELLA #202 </t>
  </si>
  <si>
    <t>949-683-2708</t>
  </si>
  <si>
    <t>FOUNDERS PLAZA NURSING &amp; REHAB</t>
  </si>
  <si>
    <t xml:space="preserve">721 SOUTH HIGHWAY 78 </t>
  </si>
  <si>
    <t>WYLIE</t>
  </si>
  <si>
    <t>972-235-1970</t>
  </si>
  <si>
    <t>FOUNTAIN MANOR HEALTH &amp; REHABILITATION CTR</t>
  </si>
  <si>
    <t xml:space="preserve">390 NE 135TH STREET </t>
  </si>
  <si>
    <t>305-895-4804</t>
  </si>
  <si>
    <t>FOUNTAIN PLAZA</t>
  </si>
  <si>
    <t xml:space="preserve">1441 MORROW ROAD </t>
  </si>
  <si>
    <t>541-772-6005</t>
  </si>
  <si>
    <t>FOUNTAIN VIEW MANOR</t>
  </si>
  <si>
    <t xml:space="preserve">107 E BARCLAY </t>
  </si>
  <si>
    <t>HENRYETTA</t>
  </si>
  <si>
    <t>918-652-7021</t>
  </si>
  <si>
    <t>FOX CHASE REHAB &amp; NURSING CENTER</t>
  </si>
  <si>
    <t xml:space="preserve">2015 EAST - WEST HIGHWAY </t>
  </si>
  <si>
    <t>301-587-2400</t>
  </si>
  <si>
    <t>FOX HOLLOW</t>
  </si>
  <si>
    <t xml:space="preserve">190 FOX HOLLOW </t>
  </si>
  <si>
    <t>910-695-0011</t>
  </si>
  <si>
    <t>FOXTAIL ASSISTED LIVING</t>
  </si>
  <si>
    <t xml:space="preserve">3559 W BAVARIA STREET </t>
  </si>
  <si>
    <t>208-871-3047</t>
  </si>
  <si>
    <t>FRANCIS MARION MANOR</t>
  </si>
  <si>
    <t xml:space="preserve">P.O. BOX 880 </t>
  </si>
  <si>
    <t>276-782-1396</t>
  </si>
  <si>
    <t>FRANCISCAN CARE CENTER SYLVANIA</t>
  </si>
  <si>
    <t xml:space="preserve">4111 HOLLAND-SYLVANIA ROAD </t>
  </si>
  <si>
    <t>419-882-6582</t>
  </si>
  <si>
    <t>FRANCISCAN COURT W. CHICAGO</t>
  </si>
  <si>
    <t xml:space="preserve">1996 FRANCISCAN COURT </t>
  </si>
  <si>
    <t>630-562-4242</t>
  </si>
  <si>
    <t>FRANKE TOBEY JONES RET COMMUNITY</t>
  </si>
  <si>
    <t xml:space="preserve">5340 NORTH BRISTOL </t>
  </si>
  <si>
    <t>253-752-6621</t>
  </si>
  <si>
    <t>FRANKIES PASTA HOUSE</t>
  </si>
  <si>
    <t>OLD FORGE</t>
  </si>
  <si>
    <t>315-369-2400</t>
  </si>
  <si>
    <t>FRANKIES TASTE OF ITALY</t>
  </si>
  <si>
    <t xml:space="preserve">2824 STATE ROUTE 28 </t>
  </si>
  <si>
    <t>THENDARA</t>
  </si>
  <si>
    <t>FRANKLIN HEALTH CARE CENTER</t>
  </si>
  <si>
    <t xml:space="preserve">P.O. BOX 555 </t>
  </si>
  <si>
    <t>24151-0555</t>
  </si>
  <si>
    <t>FRANKLIN TERRACE APARTMENTS</t>
  </si>
  <si>
    <t xml:space="preserve">26962 FRANKLIN ROAD </t>
  </si>
  <si>
    <t>248-358-0212</t>
  </si>
  <si>
    <t>FRAT FOOD</t>
  </si>
  <si>
    <t xml:space="preserve">3401 MANHATTAN AVENUE </t>
  </si>
  <si>
    <t>MANHATTAN BEACH</t>
  </si>
  <si>
    <t>949-842-1800</t>
  </si>
  <si>
    <t>FRAT FOOD - ALPHA GAMMA OMEGA</t>
  </si>
  <si>
    <t xml:space="preserve">515 LANDFAIR AVENUE </t>
  </si>
  <si>
    <t>FRAT FOOD - DELTA TAU DELTA (USC)</t>
  </si>
  <si>
    <t xml:space="preserve">801 W 28TH STREET </t>
  </si>
  <si>
    <t>FRAT FOOD - LAMBDA CHI ALPHA</t>
  </si>
  <si>
    <t xml:space="preserve">10918 STRATHMORE DRIVE </t>
  </si>
  <si>
    <t>FRAT FOOD - SIJI</t>
  </si>
  <si>
    <t xml:space="preserve">716 W 28TH STREET </t>
  </si>
  <si>
    <t>FRED LIND MANOR</t>
  </si>
  <si>
    <t xml:space="preserve">1802 17TH AVENUE </t>
  </si>
  <si>
    <t>206-324-1632</t>
  </si>
  <si>
    <t>FREDERICKSBURG CHATEAU</t>
  </si>
  <si>
    <t>22407-6839</t>
  </si>
  <si>
    <t>540-786-5589</t>
  </si>
  <si>
    <t>FREEBURG CARE CENTER</t>
  </si>
  <si>
    <t xml:space="preserve">746 URBANA DR </t>
  </si>
  <si>
    <t>FREEBURG</t>
  </si>
  <si>
    <t>618-539-5856</t>
  </si>
  <si>
    <t>FREEDOM SENIOR LIVING</t>
  </si>
  <si>
    <t xml:space="preserve">2951 BOYDS CREEK HGWY </t>
  </si>
  <si>
    <t>SEVIERVILLE</t>
  </si>
  <si>
    <t>865-365-1916</t>
  </si>
  <si>
    <t>FREMONT COUNTY SCHOOL DISTRICT</t>
  </si>
  <si>
    <t>FRENE VALLEY HEALTH CARE SOUTH</t>
  </si>
  <si>
    <t xml:space="preserve">HIGHWAY 28 WEST </t>
  </si>
  <si>
    <t>OWENSVILLE</t>
  </si>
  <si>
    <t>573-437-6877</t>
  </si>
  <si>
    <t>FRENE VALLEY HEALTH CENTER</t>
  </si>
  <si>
    <t xml:space="preserve">18TH &amp; WEIN STREET </t>
  </si>
  <si>
    <t>HERMANN</t>
  </si>
  <si>
    <t>573-486-3155</t>
  </si>
  <si>
    <t>FRESH MEX-ROME</t>
  </si>
  <si>
    <t xml:space="preserve">293 E DOMINICK STREET </t>
  </si>
  <si>
    <t>FRESNO ADVENTIST ACADEMY</t>
  </si>
  <si>
    <t xml:space="preserve">5397 E OLIVE AVENUE </t>
  </si>
  <si>
    <t>559-251-5548</t>
  </si>
  <si>
    <t>FRESNO PACE FOR SENIORS</t>
  </si>
  <si>
    <t xml:space="preserve">2042 KERN STREET </t>
  </si>
  <si>
    <t>559-400-6420</t>
  </si>
  <si>
    <t>FRIEDMAN PLACE</t>
  </si>
  <si>
    <t xml:space="preserve">5527 NORTH MAPLEWOOD </t>
  </si>
  <si>
    <t>773-989-9800</t>
  </si>
  <si>
    <t>FRIENDLY ELM REST HOME</t>
  </si>
  <si>
    <t xml:space="preserve">416 NORTH PARKER STREET </t>
  </si>
  <si>
    <t>ELM CITY</t>
  </si>
  <si>
    <t>919-236-4085</t>
  </si>
  <si>
    <t>FRIENDLY HOUSE</t>
  </si>
  <si>
    <t xml:space="preserve">380 N MULBERRY ST </t>
  </si>
  <si>
    <t>419-522-0521</t>
  </si>
  <si>
    <t>FRIENDS AND FAMILY LIVING CENTER</t>
  </si>
  <si>
    <t xml:space="preserve">185 CONSTELLATION DRIVE </t>
  </si>
  <si>
    <t>208-227-0801</t>
  </si>
  <si>
    <t>FRIENDS BEHAVORIAL HEALTH SYSTEM</t>
  </si>
  <si>
    <t xml:space="preserve">4641 ROOSEVELT BLVD </t>
  </si>
  <si>
    <t>215-831-4732</t>
  </si>
  <si>
    <t>FRIENDS CARE COMMUNITY</t>
  </si>
  <si>
    <t xml:space="preserve">150 E HERMAN STREET </t>
  </si>
  <si>
    <t>YELLOW SPRINGS</t>
  </si>
  <si>
    <t>937-767-7363</t>
  </si>
  <si>
    <t>FRIENDS HOUSE</t>
  </si>
  <si>
    <t xml:space="preserve">684 BENICIA DRIVE </t>
  </si>
  <si>
    <t>707-538-0152</t>
  </si>
  <si>
    <t>FRIENDS HOUSE RETIREMENT COMMUNITY</t>
  </si>
  <si>
    <t xml:space="preserve">17340 QUAKER LANE </t>
  </si>
  <si>
    <t>301-924-5100</t>
  </si>
  <si>
    <t>FRIENDSHIP HAVEN</t>
  </si>
  <si>
    <t xml:space="preserve">420 SOUTH KENYON RD </t>
  </si>
  <si>
    <t>FT DODGE</t>
  </si>
  <si>
    <t>515-573-6018</t>
  </si>
  <si>
    <t>FRIENDSHIP HEALTH &amp; REHAB LLC</t>
  </si>
  <si>
    <t xml:space="preserve">7400 FRIENDSHIP DRIVE </t>
  </si>
  <si>
    <t>PEE WEE VALLEY</t>
  </si>
  <si>
    <t>502-241-8821</t>
  </si>
  <si>
    <t>FRIENDSHIP HOME AUDUBON</t>
  </si>
  <si>
    <t xml:space="preserve">714 NORTH DIVISION STREET </t>
  </si>
  <si>
    <t>AUDUBON</t>
  </si>
  <si>
    <t>Todd Goetinzer</t>
  </si>
  <si>
    <t>712-563-2651</t>
  </si>
  <si>
    <t>FRIENDSHIP HOUSE AT THE HOME</t>
  </si>
  <si>
    <t xml:space="preserve">1020 N 15TH STREET </t>
  </si>
  <si>
    <t>719-275-7451</t>
  </si>
  <si>
    <t>FRIENDSHIP MANOR GOLETA</t>
  </si>
  <si>
    <t xml:space="preserve">6647 EL COLEGIO ROAD </t>
  </si>
  <si>
    <t>GOLETA</t>
  </si>
  <si>
    <t>805-968-0771</t>
  </si>
  <si>
    <t>FRIENDSHIP TERRACE RETIREMENT COMMUNITY</t>
  </si>
  <si>
    <t xml:space="preserve">4201 BUTTERWORTH PLACE NW </t>
  </si>
  <si>
    <t>202-244-7400</t>
  </si>
  <si>
    <t>FRIENDSHIP VILLAGE OF COLUMBUS</t>
  </si>
  <si>
    <t xml:space="preserve">5800 FOREST HILLS BLVD </t>
  </si>
  <si>
    <t>614-890-8282</t>
  </si>
  <si>
    <t>FRYEBURG ACADEMY</t>
  </si>
  <si>
    <t xml:space="preserve">745 MAIN STREET </t>
  </si>
  <si>
    <t>FRYEBURG</t>
  </si>
  <si>
    <t>207-935-2016</t>
  </si>
  <si>
    <t>FSU ALTERNATIVE</t>
  </si>
  <si>
    <t xml:space="preserve">5200 N CAMPUS DRIVE RD-38 </t>
  </si>
  <si>
    <t>FSU BEVERAGE COURTYARD</t>
  </si>
  <si>
    <t>FSU CARL'S JR.</t>
  </si>
  <si>
    <t>FSU COURTYARD</t>
  </si>
  <si>
    <t>FSU DAIRY PROCESSING</t>
  </si>
  <si>
    <t xml:space="preserve">5200 N. CAMPUS DRIVE </t>
  </si>
  <si>
    <t>559-278-0803</t>
  </si>
  <si>
    <t>FSU FOOD PROCESSING LAB</t>
  </si>
  <si>
    <t xml:space="preserve">5200 N CAMPUS DRIVE </t>
  </si>
  <si>
    <t>559-278-4837</t>
  </si>
  <si>
    <t>FSU FOOD SERVICE COFFEE</t>
  </si>
  <si>
    <t>FSU PROGRAMS FOR CHILDREN</t>
  </si>
  <si>
    <t>FSU PUB</t>
  </si>
  <si>
    <t>FSU RDF</t>
  </si>
  <si>
    <t>FSU RDF CATERING</t>
  </si>
  <si>
    <t>FSU ROUND TABLE</t>
  </si>
  <si>
    <t>FSU SNACK BAR</t>
  </si>
  <si>
    <t>FSU SPECIAL EVENTS</t>
  </si>
  <si>
    <t>FSU STARBUCKS</t>
  </si>
  <si>
    <t>FSU SUBWAY</t>
  </si>
  <si>
    <t>FSU TACO BELL</t>
  </si>
  <si>
    <t>FSU TEST CUST</t>
  </si>
  <si>
    <t>FSU UC CATERING</t>
  </si>
  <si>
    <t>FSU UC CONCESSIONS</t>
  </si>
  <si>
    <t>FSU UNION SNACK BAR</t>
  </si>
  <si>
    <t>FSU UNIVERSITY RESTAURANT</t>
  </si>
  <si>
    <t>FSU WAREHOUSE</t>
  </si>
  <si>
    <t>FSU-ALPHA DELTA PI</t>
  </si>
  <si>
    <t xml:space="preserve">527 WEST JEFFERSON STREET </t>
  </si>
  <si>
    <t>850-644-2525</t>
  </si>
  <si>
    <t>FULTON NURSING AND REHAB</t>
  </si>
  <si>
    <t xml:space="preserve">1004 HOLIDAY LANE </t>
  </si>
  <si>
    <t>270-472-1971</t>
  </si>
  <si>
    <t>FUNDAMENTALS</t>
  </si>
  <si>
    <t>GABLE HOUSE BOWL TORRANCE</t>
  </si>
  <si>
    <t xml:space="preserve">22501 HAWTHORNE BLVD </t>
  </si>
  <si>
    <t>310-378-2265</t>
  </si>
  <si>
    <t>GADSDEN HEALTH &amp; REHAB CENTER</t>
  </si>
  <si>
    <t xml:space="preserve">1945 DAVIS DRIVE </t>
  </si>
  <si>
    <t>GADSDEN</t>
  </si>
  <si>
    <t>256-547-4938</t>
  </si>
  <si>
    <t xml:space="preserve">438 NORTH WATER AVENUE </t>
  </si>
  <si>
    <t>615-452-2322</t>
  </si>
  <si>
    <t>GALLIA COUNTY COUNCIL ON AGING</t>
  </si>
  <si>
    <t xml:space="preserve">1165 STATE ROUTE 160 </t>
  </si>
  <si>
    <t>GALLIPOLIS</t>
  </si>
  <si>
    <t>740-446-7000</t>
  </si>
  <si>
    <t>GARDEN MANOR RETIREMENT VILLAGE</t>
  </si>
  <si>
    <t xml:space="preserve">6898 HAMILTON-MIDDLETOWN ROAD </t>
  </si>
  <si>
    <t>513-424-5321</t>
  </si>
  <si>
    <t>GARDEN OAKS ASSESSMENT CENTER</t>
  </si>
  <si>
    <t xml:space="preserve">501 GARDEN OAKS BLVD </t>
  </si>
  <si>
    <t>713-426-2637</t>
  </si>
  <si>
    <t>GARDEN PLAZA OF POST FALLS</t>
  </si>
  <si>
    <t xml:space="preserve">545 N GARDEN PLAZA COURT </t>
  </si>
  <si>
    <t>POST FALLS</t>
  </si>
  <si>
    <t>208-773-3701</t>
  </si>
  <si>
    <t>GARDEN TERRACE SENIOR LIVING</t>
  </si>
  <si>
    <t xml:space="preserve">500 NORTH EMERSON AVENUE </t>
  </si>
  <si>
    <t>509-663-2154</t>
  </si>
  <si>
    <t>GARDEN VALLEY MANOR</t>
  </si>
  <si>
    <t xml:space="preserve">8575 N GRANBY AVENUE </t>
  </si>
  <si>
    <t>816-436-8575</t>
  </si>
  <si>
    <t>GARDEN VIEW CARE CTR DOUGHERTY</t>
  </si>
  <si>
    <t xml:space="preserve">13612 BIG BEND ROAD </t>
  </si>
  <si>
    <t>636-861-0500</t>
  </si>
  <si>
    <t>GARDEN VIEW CARE CTR O'FALLON</t>
  </si>
  <si>
    <t xml:space="preserve">700 GARDEN PATH </t>
  </si>
  <si>
    <t>636-240-2840</t>
  </si>
  <si>
    <t>GARDEN VIEW CARE CHESTERFIELD</t>
  </si>
  <si>
    <t xml:space="preserve">1025 CHESTERFIELD POINTE PWKY </t>
  </si>
  <si>
    <t>636-537-3333</t>
  </si>
  <si>
    <t>GARDENS AT EASTSIDE</t>
  </si>
  <si>
    <t xml:space="preserve">275 COMMONWEALTH DR </t>
  </si>
  <si>
    <t>864-329-1200</t>
  </si>
  <si>
    <t>GARDENS AT JUANITA BAY</t>
  </si>
  <si>
    <t xml:space="preserve">11853 97TH AVENUE NE </t>
  </si>
  <si>
    <t>425-823-0410</t>
  </si>
  <si>
    <t>GARDENS OF PAMLICO</t>
  </si>
  <si>
    <t xml:space="preserve">771 OLD BAY RIVER ROAD </t>
  </si>
  <si>
    <t>252-745-8208</t>
  </si>
  <si>
    <t>GARDINER PUBLIC SCHOOL</t>
  </si>
  <si>
    <t xml:space="preserve">510 STONE STREET </t>
  </si>
  <si>
    <t>406-848-7563</t>
  </si>
  <si>
    <t>GARDNER NURSING HOME</t>
  </si>
  <si>
    <t xml:space="preserve">702 N DREW STREET </t>
  </si>
  <si>
    <t>STAR CITY</t>
  </si>
  <si>
    <t>501-628-4144</t>
  </si>
  <si>
    <t>GARITO MANOR @ UNION SQUARE</t>
  </si>
  <si>
    <t xml:space="preserve">180 UNION AVE </t>
  </si>
  <si>
    <t>914-636-4200</t>
  </si>
  <si>
    <t>GARROW VILLA</t>
  </si>
  <si>
    <t xml:space="preserve">210 S PARKWAY DRIVE </t>
  </si>
  <si>
    <t>920-756-3389</t>
  </si>
  <si>
    <t>GATEWAYS FOR BETTER LIVING</t>
  </si>
  <si>
    <t xml:space="preserve">6000 MAHONING AVENUE </t>
  </si>
  <si>
    <t>330-792-2854</t>
  </si>
  <si>
    <t>GAYMONT NURSING HOME</t>
  </si>
  <si>
    <t xml:space="preserve">66 NORWOOD AVE. </t>
  </si>
  <si>
    <t>419-668-8258</t>
  </si>
  <si>
    <t>GBT MEDICAL SUPPLY</t>
  </si>
  <si>
    <t xml:space="preserve">1500 WATERS RIDGE SUITE 102 </t>
  </si>
  <si>
    <t>972-899-0605</t>
  </si>
  <si>
    <t>GEAUGA COUNTY BOARD OF DD/METZENBAUM CENTER</t>
  </si>
  <si>
    <t xml:space="preserve">8132 CEDAR RD </t>
  </si>
  <si>
    <t>440-729-9406</t>
  </si>
  <si>
    <t>GENERATIONS AT HOME</t>
  </si>
  <si>
    <t xml:space="preserve">8505 E LOWRY BOULEVARD </t>
  </si>
  <si>
    <t>720-858-6611</t>
  </si>
  <si>
    <t>GENERATIONS AT NEIGHBORS</t>
  </si>
  <si>
    <t xml:space="preserve">811 WEST SECOND STREET </t>
  </si>
  <si>
    <t>BYRON</t>
  </si>
  <si>
    <t>815-234-2511</t>
  </si>
  <si>
    <t>GENERATIONS EARLY LEARNING &amp; FAMILY CENTER</t>
  </si>
  <si>
    <t xml:space="preserve">2901 CONNELLY AVE B101 </t>
  </si>
  <si>
    <t>360-752-6336</t>
  </si>
  <si>
    <t>GENERATIONS HOME HEALTH LLC</t>
  </si>
  <si>
    <t xml:space="preserve">6477 COLLEGE PARK SQUARE #210 </t>
  </si>
  <si>
    <t>866-205-0045</t>
  </si>
  <si>
    <t>GENERATIONS OF RED BAY LLC</t>
  </si>
  <si>
    <t xml:space="preserve">106 10TH AVENUE NORTH </t>
  </si>
  <si>
    <t>RED BAY</t>
  </si>
  <si>
    <t>256-356-4982</t>
  </si>
  <si>
    <t>GENERATIONS OF VERNON LLC</t>
  </si>
  <si>
    <t xml:space="preserve">1050 CONVALESCENT ROAD </t>
  </si>
  <si>
    <t>205-695-9313</t>
  </si>
  <si>
    <t>GENES RESIDENTIAL</t>
  </si>
  <si>
    <t xml:space="preserve">PO BOX 15101/2385 PAMPLICO HGWY </t>
  </si>
  <si>
    <t>843-407-4580</t>
  </si>
  <si>
    <t>GENEVA GLEN CAMP</t>
  </si>
  <si>
    <t xml:space="preserve">5793 SANTA CLARA RD </t>
  </si>
  <si>
    <t>INDIAN HILLS</t>
  </si>
  <si>
    <t>303-697-4621</t>
  </si>
  <si>
    <t>GENEVA POINT CENTER</t>
  </si>
  <si>
    <t xml:space="preserve">108 GENEVA POINT ROAD </t>
  </si>
  <si>
    <t>MOULTONBOROUGH</t>
  </si>
  <si>
    <t>603-253-4366</t>
  </si>
  <si>
    <t>GEORGE KLINGER PAINTING &amp; DECORATING</t>
  </si>
  <si>
    <t xml:space="preserve">1540 6TH AVENUE </t>
  </si>
  <si>
    <t>319-377-3507</t>
  </si>
  <si>
    <t>GEORGES DRYWALL AND PAINT</t>
  </si>
  <si>
    <t xml:space="preserve">1529 N. KING CHARLES RD </t>
  </si>
  <si>
    <t>GEORGETOWN PREPARATORY SCHOOL</t>
  </si>
  <si>
    <t xml:space="preserve">10900 ROCKVILLE PIKE </t>
  </si>
  <si>
    <t>NORTH BETHESDA</t>
  </si>
  <si>
    <t>301-214-1289</t>
  </si>
  <si>
    <t>GEORGIA MANOR AMARILLO</t>
  </si>
  <si>
    <t xml:space="preserve">2611 W 46TH </t>
  </si>
  <si>
    <t>806-355-6517</t>
  </si>
  <si>
    <t>GEORGIA REGIONAL HOSPITAL</t>
  </si>
  <si>
    <t xml:space="preserve">1915 EISENHOUR AV </t>
  </si>
  <si>
    <t>912-356-2011</t>
  </si>
  <si>
    <t>GERI YOUNG HOUSE/SEPTEMBER PLACE</t>
  </si>
  <si>
    <t xml:space="preserve">65 EAST MAIN STREET </t>
  </si>
  <si>
    <t>BEATTYVILLE</t>
  </si>
  <si>
    <t>606-464-2464</t>
  </si>
  <si>
    <t>GETTYSBURG COLLEGE</t>
  </si>
  <si>
    <t xml:space="preserve">DINING SERVICES - BOX 440 </t>
  </si>
  <si>
    <t>717-337-8369</t>
  </si>
  <si>
    <t>GF HOME ASSISTED LIVING FACILITY</t>
  </si>
  <si>
    <t xml:space="preserve">12 HARTMAN AVE </t>
  </si>
  <si>
    <t>ONANCOCK</t>
  </si>
  <si>
    <t>757-302-1290</t>
  </si>
  <si>
    <t>GHENT ARMS RETIREMENT</t>
  </si>
  <si>
    <t xml:space="preserve">641 REDGATE AVENUE </t>
  </si>
  <si>
    <t>757-627-8758</t>
  </si>
  <si>
    <t>GIBBS CARE CENTER</t>
  </si>
  <si>
    <t xml:space="preserve">311 NORTH SPRING STREET </t>
  </si>
  <si>
    <t>STEELVILLE</t>
  </si>
  <si>
    <t>573-775-5815</t>
  </si>
  <si>
    <t>GIBBS EFTING MANAGEMENT SERVICES</t>
  </si>
  <si>
    <t xml:space="preserve">1950 AMPHITHEATER DR </t>
  </si>
  <si>
    <t>910-352-3581</t>
  </si>
  <si>
    <t>GIBBS ELDERHAUS</t>
  </si>
  <si>
    <t xml:space="preserve">1950 AMPHITHEATER DRIVE </t>
  </si>
  <si>
    <t>GIBSON CARE CENTER</t>
  </si>
  <si>
    <t xml:space="preserve">1000 N BROADWAY PO BOX 567 </t>
  </si>
  <si>
    <t>ASPERMONT</t>
  </si>
  <si>
    <t>940-989-3527</t>
  </si>
  <si>
    <t>GIBSON RECOVERY CENTER</t>
  </si>
  <si>
    <t xml:space="preserve">1112 LINDEN </t>
  </si>
  <si>
    <t>573-334-5513</t>
  </si>
  <si>
    <t>GIDEON CARE CENTER</t>
  </si>
  <si>
    <t xml:space="preserve">300 LUNBECK AVE. </t>
  </si>
  <si>
    <t>GIDEON</t>
  </si>
  <si>
    <t>573-448-3505</t>
  </si>
  <si>
    <t>GILA RIVER HEALTH CARE-THE CARING HOUSE</t>
  </si>
  <si>
    <t xml:space="preserve">510 S OCOTILLO ROAD </t>
  </si>
  <si>
    <t>SACATON</t>
  </si>
  <si>
    <t>520-562-7400</t>
  </si>
  <si>
    <t>GILA RIVER HEALTH-INPATIENT FACILITY-MENU ONLY</t>
  </si>
  <si>
    <t xml:space="preserve">483 W SEED FARM ROAD </t>
  </si>
  <si>
    <t>520-562-1200</t>
  </si>
  <si>
    <t>GILBERT RESIDENCE</t>
  </si>
  <si>
    <t xml:space="preserve">203 SOUTH HURON ST </t>
  </si>
  <si>
    <t>734-482-9498</t>
  </si>
  <si>
    <t>GILL GRILLING</t>
  </si>
  <si>
    <t xml:space="preserve">2007 VALLEY RD </t>
  </si>
  <si>
    <t>443-822-0264</t>
  </si>
  <si>
    <t>GILL GRILLING - ALPHA EPSILON PHI UM</t>
  </si>
  <si>
    <t xml:space="preserve">1205 HILL STREET </t>
  </si>
  <si>
    <t>443-822-0204</t>
  </si>
  <si>
    <t>GILL GRILLING - SIGMA ALPHA EPSILON</t>
  </si>
  <si>
    <t xml:space="preserve">3908 SPRUCE STREET </t>
  </si>
  <si>
    <t>GILL GRILLING AT ALPHA CHI OMEGA</t>
  </si>
  <si>
    <t xml:space="preserve">478 COMMONWEALTH AVENUE </t>
  </si>
  <si>
    <t>GILL GRILLING-ALPH CHI OMEGA GAMMA THETA CHAPTER</t>
  </si>
  <si>
    <t xml:space="preserve">4525 COLLEGE AVENUE </t>
  </si>
  <si>
    <t>COLLEGE PARK</t>
  </si>
  <si>
    <t>GILL GRILLING-ALPHA CHI OMEGA</t>
  </si>
  <si>
    <t xml:space="preserve">705 WALNUT AVENUE </t>
  </si>
  <si>
    <t>443-458-0997</t>
  </si>
  <si>
    <t>GILL GRILLING-ALPHA CHI RHO-SYRACUSE UNIV</t>
  </si>
  <si>
    <t xml:space="preserve">131 COLLEGE PLACE </t>
  </si>
  <si>
    <t>GILL GRILLING-ALPHA DELTA PI</t>
  </si>
  <si>
    <t xml:space="preserve">4535 COLLEGE AVENUE </t>
  </si>
  <si>
    <t>301-788-3079</t>
  </si>
  <si>
    <t>GILL GRILLING-ALPHA EPISLOM PHI-ITHACA</t>
  </si>
  <si>
    <t xml:space="preserve">435 WYCKOFF AVENUE </t>
  </si>
  <si>
    <t>GILL GRILLING-ALPHA EPSILON PHI</t>
  </si>
  <si>
    <t xml:space="preserve">11 FRATERNITY ROW </t>
  </si>
  <si>
    <t>GILL GRILLING-ALPHA EPSILON PI</t>
  </si>
  <si>
    <t xml:space="preserve">155 BAYSTATE RD </t>
  </si>
  <si>
    <t>GILL GRILLING-ALPHA OMICRON PI</t>
  </si>
  <si>
    <t xml:space="preserve">299 PROSPECT ST </t>
  </si>
  <si>
    <t>GILL GRILLING-ALPHA OMICRON PI TUSCALOOSA</t>
  </si>
  <si>
    <t xml:space="preserve">740 COLONIAL DRIVE </t>
  </si>
  <si>
    <t>GILL GRILLING-ALPHA OMICRON PI-OSU</t>
  </si>
  <si>
    <t xml:space="preserve">240 E 15TH AVENUE </t>
  </si>
  <si>
    <t>GILL GRILLING-ALPHA OMICRON PI-PI DELTA CHAPTER</t>
  </si>
  <si>
    <t xml:space="preserve">4517 COLLEGE AVENUE </t>
  </si>
  <si>
    <t>GILL GRILLING-ALPHA PHI ANN</t>
  </si>
  <si>
    <t xml:space="preserve">306 HIGHLAND ROAD </t>
  </si>
  <si>
    <t>GILL GRILLING-ALPHA PHI BOSTON</t>
  </si>
  <si>
    <t xml:space="preserve">479 COMMONWEALTH AVENUE </t>
  </si>
  <si>
    <t>GILL GRILLING-ALPHA PHI EDU</t>
  </si>
  <si>
    <t xml:space="preserve">411 THURSTON AVENUE </t>
  </si>
  <si>
    <t>GILL GRILLING-ALPHA SIGMA PHI</t>
  </si>
  <si>
    <t xml:space="preserve">9 FRATERNITY ROW </t>
  </si>
  <si>
    <t>GILL GRILLING-ALPHA TAU OMEGA</t>
  </si>
  <si>
    <t xml:space="preserve">12 EAGLE ROW </t>
  </si>
  <si>
    <t>GILL GRILLING-ALPHA XI DELTA</t>
  </si>
  <si>
    <t xml:space="preserve">4517 KNOX ROAD </t>
  </si>
  <si>
    <t xml:space="preserve">618 SPRUCE ST </t>
  </si>
  <si>
    <t>GILL GRILLING-ALPHA XI DELTA (CORNELL UNIV)</t>
  </si>
  <si>
    <t xml:space="preserve">40 RIDGEWOOD RD </t>
  </si>
  <si>
    <t>GILL GRILLING-ALPHA XI DELTA GILL GRILLING</t>
  </si>
  <si>
    <t xml:space="preserve">3 STRAFFORD AVENUE </t>
  </si>
  <si>
    <t>GILL GRILLING-ALPHA XI DELTA RHODE ISLAND</t>
  </si>
  <si>
    <t xml:space="preserve">12 FRATERNITY CIRCLE </t>
  </si>
  <si>
    <t>GILL GRILLING-ALPHA XI DELTA-SYRACUSE</t>
  </si>
  <si>
    <t xml:space="preserve">125 EUCLID STREET </t>
  </si>
  <si>
    <t>GILL GRILLING-ALPHA XI DELTA-U OF NEW HAMPSHIRE</t>
  </si>
  <si>
    <t>GILL GRILLING-BETA THI PI</t>
  </si>
  <si>
    <t xml:space="preserve">6 FRATERNITY ROW </t>
  </si>
  <si>
    <t>GILL GRILLING-CHI OMEGA THETA CHAPTER WVU</t>
  </si>
  <si>
    <t xml:space="preserve">506 N HIGH STREET </t>
  </si>
  <si>
    <t>GILL GRILLING-CHI OMEGA-U OF AL</t>
  </si>
  <si>
    <t xml:space="preserve">901 MAGNOLIA CIRCLE </t>
  </si>
  <si>
    <t>GILL GRILLING-CHI OMEGA-UNH</t>
  </si>
  <si>
    <t xml:space="preserve">11 STRAFFORD AVENUE </t>
  </si>
  <si>
    <t>GILL GRILLING-CHI PSI-CORNELL UNIV</t>
  </si>
  <si>
    <t xml:space="preserve">810 UNIVERSITY AVENUE </t>
  </si>
  <si>
    <t>215-740-9277</t>
  </si>
  <si>
    <t>GILL GRILLING-DELTA DELTA DELTA</t>
  </si>
  <si>
    <t xml:space="preserve">4604 COLLEGE AVENUE </t>
  </si>
  <si>
    <t>GILL GRILLING-DELTA DELTA DELTA U OF ALABAMA CHAPTER</t>
  </si>
  <si>
    <t xml:space="preserve">757 MAGNOLIA DRIVE </t>
  </si>
  <si>
    <t>GILL GRILLING-DELTA DELTA DELTA-U OF VA</t>
  </si>
  <si>
    <t xml:space="preserve">1537 VIRGINIA AVENUE </t>
  </si>
  <si>
    <t>434-270-6836</t>
  </si>
  <si>
    <t>GILL GRILLING-DELTA GAMMA</t>
  </si>
  <si>
    <t xml:space="preserve">4518 KNOX ROAD </t>
  </si>
  <si>
    <t>GILL GRILLING-DELTA GAMMA-WVU</t>
  </si>
  <si>
    <t xml:space="preserve">652 PRICE STREET </t>
  </si>
  <si>
    <t>GILL GRILLING-DELTA KAPPA EPSILON-CORNELL</t>
  </si>
  <si>
    <t xml:space="preserve">13 SOUTH AVENUE </t>
  </si>
  <si>
    <t>GILL GRILLING-DELTA PHI EPSILON</t>
  </si>
  <si>
    <t xml:space="preserve">4514 KNOX ROAD </t>
  </si>
  <si>
    <t>GILL GRILLING-DELTA PHI EPSILON SYRACUSE</t>
  </si>
  <si>
    <t xml:space="preserve">206 WALNUT AVENUE </t>
  </si>
  <si>
    <t>GILL GRILLING-DELTA PHI EPSILON-IN UNIV</t>
  </si>
  <si>
    <t xml:space="preserve">818 E 3RD STREET </t>
  </si>
  <si>
    <t>GILL GRILLING-DELTA PHI EPSILON-RIDER UNIV</t>
  </si>
  <si>
    <t xml:space="preserve">2083 LAWRENCEVILLE ROAD </t>
  </si>
  <si>
    <t>GILL GRILLING-DELTA PHI EPSILON-U OF RI</t>
  </si>
  <si>
    <t xml:space="preserve">8 FRATERNITY CIRCLE </t>
  </si>
  <si>
    <t xml:space="preserve">KINGSTON </t>
  </si>
  <si>
    <t>GILL GRILLING-DELTA UPSILION-PENN STATE UNIV</t>
  </si>
  <si>
    <t xml:space="preserve">229 LOCUST LANE </t>
  </si>
  <si>
    <t>202-597-0051</t>
  </si>
  <si>
    <t>GILL GRILLING-DELTA UPSILON</t>
  </si>
  <si>
    <t xml:space="preserve">526 BEACON ST </t>
  </si>
  <si>
    <t>GILL GRILLING-DELTA UPSILON ITHACA</t>
  </si>
  <si>
    <t xml:space="preserve">6 SOUTH AVENUE </t>
  </si>
  <si>
    <t>GILL GRILLING-DELTA UPSILON-SYRACUSE UNIV</t>
  </si>
  <si>
    <t xml:space="preserve">801 WALNUT AVENUE </t>
  </si>
  <si>
    <t>GILL GRILLING-GAMMA PHI BETA</t>
  </si>
  <si>
    <t xml:space="preserve">8 FRATERNITY ROW </t>
  </si>
  <si>
    <t>GILL GRILLING-GAMMA PHI BETA EPSILON LAMBADA ALABAMA</t>
  </si>
  <si>
    <t xml:space="preserve">780 PAUL W BRYANT DRIVE </t>
  </si>
  <si>
    <t>GILL GRILLING-GAMMA PHI BETA-OSU</t>
  </si>
  <si>
    <t xml:space="preserve">43 E 15TH STREET </t>
  </si>
  <si>
    <t>GILL GRILLING-KAPPA ALPHA ORDER</t>
  </si>
  <si>
    <t xml:space="preserve">1 FRATERNITY ROW </t>
  </si>
  <si>
    <t>GILL GRILLING-KAPPA ALPHA THETA GAMMA MU CHAPTER</t>
  </si>
  <si>
    <t xml:space="preserve">7407 PRINCETON AVENUE </t>
  </si>
  <si>
    <t>GILL GRILLING-KAPPA ALPHA THETA LEHIGH</t>
  </si>
  <si>
    <t xml:space="preserve">106 HILL ROAD </t>
  </si>
  <si>
    <t>GILL GRILLING-KAPPA ALPHA-EMORY</t>
  </si>
  <si>
    <t xml:space="preserve">14 EAGLE ROW </t>
  </si>
  <si>
    <t>667-458-9576</t>
  </si>
  <si>
    <t>GILL GRILLING-KAPPA DELTA</t>
  </si>
  <si>
    <t xml:space="preserve">4610 COLLEGE AVENUE </t>
  </si>
  <si>
    <t>GILL GRILLING-KAPPA KAPPA GAMMA</t>
  </si>
  <si>
    <t xml:space="preserve">508 THURSTON AVENUE </t>
  </si>
  <si>
    <t xml:space="preserve">244 CALIFORNIA BLVD </t>
  </si>
  <si>
    <t>GILL GRILLING-KAPPA KAPPA GAMMA-WV</t>
  </si>
  <si>
    <t xml:space="preserve">265 PROSPECT STREET </t>
  </si>
  <si>
    <t>GILL GRILLING-KAPPA SIGMA</t>
  </si>
  <si>
    <t xml:space="preserve">407 MEMORIAL DRIVE </t>
  </si>
  <si>
    <t>GILL GRILLING-KAPPA SIGMA ALPHA ALPHA CHAPTER</t>
  </si>
  <si>
    <t xml:space="preserve">4603 COLLEGE AVENUE </t>
  </si>
  <si>
    <t>GILL GRILLING-KAPPA SIGMA RUTGERS</t>
  </si>
  <si>
    <t xml:space="preserve">14 UNION STREET </t>
  </si>
  <si>
    <t>GILL GRILLING-KAPPA SIGMA-UW</t>
  </si>
  <si>
    <t xml:space="preserve">4543 18TH AVE NE </t>
  </si>
  <si>
    <t>GILL GRILLING-LAMBDA CHI ALPHA</t>
  </si>
  <si>
    <t xml:space="preserve">1 EDGECLIFF PLACE </t>
  </si>
  <si>
    <t xml:space="preserve">99 BAYSTATE RD </t>
  </si>
  <si>
    <t>GILL GRILLING-LAMBDA CHI ALPHA -EPSILON PI CHAPTER</t>
  </si>
  <si>
    <t xml:space="preserve">7 FRATERNITY ROW </t>
  </si>
  <si>
    <t>GILL GRILLING-LAMBDA CHI APLHA (CORNELL)</t>
  </si>
  <si>
    <t xml:space="preserve">125 EDGEMOOR LANE </t>
  </si>
  <si>
    <t>GILL GRILLING-PANTRY</t>
  </si>
  <si>
    <t xml:space="preserve">7305 BALTIMORE AVENUE </t>
  </si>
  <si>
    <t>GILL GRILLING-PHI BETA EPSILON-MIT</t>
  </si>
  <si>
    <t xml:space="preserve">400 MEMORIAL DRIVE </t>
  </si>
  <si>
    <t>GILL GRILLING-PHI DELTA THETA-UPENN</t>
  </si>
  <si>
    <t xml:space="preserve">3700 LOCUST WALK </t>
  </si>
  <si>
    <t>267-516-7404</t>
  </si>
  <si>
    <t>GILL GRILLING-PHI GAMMA DELTA-UPENN</t>
  </si>
  <si>
    <t xml:space="preserve">3619 LOCUST WALK </t>
  </si>
  <si>
    <t>GILL GRILLING-PHI KAPPA THETA</t>
  </si>
  <si>
    <t xml:space="preserve">229 COMMONWEALTH AVE </t>
  </si>
  <si>
    <t>GILL GRILLING-PHI SIGMA KAPPA</t>
  </si>
  <si>
    <t xml:space="preserve">2 FRATERNITY ROW </t>
  </si>
  <si>
    <t>GILL GRILLING-PHI SIGMA SIGMA BETA ALPHA CHAPTER</t>
  </si>
  <si>
    <t xml:space="preserve">4531 COLLEGE AVENUE </t>
  </si>
  <si>
    <t>GILL GRILLING-PI BETA PHI ALPHA CHAPTER WVU</t>
  </si>
  <si>
    <t xml:space="preserve">1493 UNIVERSITY AVENUE </t>
  </si>
  <si>
    <t>GILL GRILLING-PI BETA PHI WVU</t>
  </si>
  <si>
    <t>GILL GRILLING-PI KAPPA PHI</t>
  </si>
  <si>
    <t xml:space="preserve">55 RIDGEWOOD ROAD </t>
  </si>
  <si>
    <t>GILL GRILLING-SIGMA ALPHA EPSILON-U OF AL</t>
  </si>
  <si>
    <t xml:space="preserve">432 UNIVERSITY BLVD </t>
  </si>
  <si>
    <t>GILL GRILLING-SIGMA ALPHA MU-EMORY UNIV</t>
  </si>
  <si>
    <t xml:space="preserve">8 EAGLE ROW </t>
  </si>
  <si>
    <t>GILL GRILLING-SIGMA CHI</t>
  </si>
  <si>
    <t xml:space="preserve">14 FRATERNITY ROW </t>
  </si>
  <si>
    <t>GILL GRILLING-SIGMA CHI-EMORY UNIV</t>
  </si>
  <si>
    <t xml:space="preserve">6 EAGLE ROW </t>
  </si>
  <si>
    <t>GILL GRILLING-SIGMA CHI-MIT</t>
  </si>
  <si>
    <t xml:space="preserve">532 BEACON STREET </t>
  </si>
  <si>
    <t>617-599-9603</t>
  </si>
  <si>
    <t>GILL GRILLING-SIGMA CHI-SYRACUSE</t>
  </si>
  <si>
    <t xml:space="preserve">737 COMSTOCK AVENUE </t>
  </si>
  <si>
    <t>GILL GRILLING-SIGMA DELTA TAU</t>
  </si>
  <si>
    <t xml:space="preserve">336 COMSTOCK AVENUE </t>
  </si>
  <si>
    <t xml:space="preserve">4516 KNOX ROAD </t>
  </si>
  <si>
    <t>GILL GRILLING-SIGMA DELTA TAU-UPENN</t>
  </si>
  <si>
    <t xml:space="preserve">3831-33 WALNUT STREET </t>
  </si>
  <si>
    <t>732-803-9925</t>
  </si>
  <si>
    <t>GILL GRILLING-SIGMA KAPPA</t>
  </si>
  <si>
    <t xml:space="preserve">10 FRATERNITY ROW </t>
  </si>
  <si>
    <t xml:space="preserve">480 COMMONWEALTH AVE </t>
  </si>
  <si>
    <t>GILL GRILLING-SIGMA NU</t>
  </si>
  <si>
    <t xml:space="preserve">4617 NORWICH ROAD </t>
  </si>
  <si>
    <t>GILL GRILLING-SIGMA PHI EPSILION-UPENN</t>
  </si>
  <si>
    <t xml:space="preserve">4028 WALNUT STREET </t>
  </si>
  <si>
    <t>GILL GRILLING-SIGMA PHI EPSILON</t>
  </si>
  <si>
    <t xml:space="preserve">530 HUDSON STREET </t>
  </si>
  <si>
    <t>HOBOKEN</t>
  </si>
  <si>
    <t>443-882-0264</t>
  </si>
  <si>
    <t>GILL GRILLING-SIGMAN PHI EPSILON-RENSSELAER POLY</t>
  </si>
  <si>
    <t xml:space="preserve">2005 15TH STREET </t>
  </si>
  <si>
    <t>GILL GRILLING-STATE COLLEGE</t>
  </si>
  <si>
    <t xml:space="preserve">328 FAIRMONT AVENUE </t>
  </si>
  <si>
    <t>GILL GRILLING-TAU EPSILON PHI</t>
  </si>
  <si>
    <t xml:space="preserve">4607 KNOX ROAD </t>
  </si>
  <si>
    <t>240-755-9149</t>
  </si>
  <si>
    <t>GILL GRILLING-THETA CHAPTER OF PHI GAMMA DELTA (UNIV OF AL)</t>
  </si>
  <si>
    <t xml:space="preserve">976 UNIVERSITY BLVD </t>
  </si>
  <si>
    <t>GILL GRILLING-THETA CHI (UNIV OF MD)</t>
  </si>
  <si>
    <t xml:space="preserve">7401 PRINCETON AVE </t>
  </si>
  <si>
    <t>GILL GRILLING-THETA XI</t>
  </si>
  <si>
    <t xml:space="preserve">64 BAYSTATE RD </t>
  </si>
  <si>
    <t>GILL GRILLING-UNIV OF MD</t>
  </si>
  <si>
    <t>ANAPOLIS</t>
  </si>
  <si>
    <t>GILL GRILLING-URI WOMENS CENTER-U OF RI</t>
  </si>
  <si>
    <t xml:space="preserve">22 UPPER COLLEGE ROAD </t>
  </si>
  <si>
    <t>GILL GRILLING-WEST VIRGINIA UNIVERSITY</t>
  </si>
  <si>
    <t xml:space="preserve">1501 UNIVERSITY AVE </t>
  </si>
  <si>
    <t>GILL GRILLING-ZET BETA TAU</t>
  </si>
  <si>
    <t xml:space="preserve">3 FRATERNITY ROW </t>
  </si>
  <si>
    <t>GILL GRILLING-ZETA BETA TAU</t>
  </si>
  <si>
    <t xml:space="preserve">58 MANCHESTER ROAD </t>
  </si>
  <si>
    <t>215-740-9227</t>
  </si>
  <si>
    <t>GILL GRILLING-ZETA BETA TAU-PENN STATE</t>
  </si>
  <si>
    <t xml:space="preserve">328 E FAIRMOUNT AVENUE </t>
  </si>
  <si>
    <t>GILL GRILLING-ZETA PSI</t>
  </si>
  <si>
    <t xml:space="preserve">13 FRATERNITY ROW </t>
  </si>
  <si>
    <t>GILL GRILLING-ZETA TAU ALPHA</t>
  </si>
  <si>
    <t xml:space="preserve">12 FRATERNITY ROW </t>
  </si>
  <si>
    <t>GILLETTE SKILLED NURSING AND REHAB</t>
  </si>
  <si>
    <t xml:space="preserve">3311 ELM ROAD NE </t>
  </si>
  <si>
    <t>330-372-1960</t>
  </si>
  <si>
    <t>GILPIN COUNTY SCHOOL DISTRICT</t>
  </si>
  <si>
    <t xml:space="preserve">10595 HWY 119 </t>
  </si>
  <si>
    <t>BLACK HAWK</t>
  </si>
  <si>
    <t>720-562-3113</t>
  </si>
  <si>
    <t>GILPIN HALL</t>
  </si>
  <si>
    <t xml:space="preserve">1101 GILPIN AVE </t>
  </si>
  <si>
    <t>302-654-4486</t>
  </si>
  <si>
    <t>GINTER HALL - SOUTH</t>
  </si>
  <si>
    <t xml:space="preserve">11300 MALL DRIVE CT </t>
  </si>
  <si>
    <t>804-794-7770</t>
  </si>
  <si>
    <t>GIRARD MULTI-GENERATIONAL CENTER</t>
  </si>
  <si>
    <t xml:space="preserve">443 TRUMBULL AVENUE </t>
  </si>
  <si>
    <t>330-545-6596</t>
  </si>
  <si>
    <t>GIRL SCOUTS OF MANITOU</t>
  </si>
  <si>
    <t xml:space="preserve">5212 WINDWARD COURT </t>
  </si>
  <si>
    <t>920-565-4575</t>
  </si>
  <si>
    <t>GIRL SCOUTS OF NORTHERN ILLINOIS</t>
  </si>
  <si>
    <t xml:space="preserve">12N124 COOMBS ROAD </t>
  </si>
  <si>
    <t>815-234-8622</t>
  </si>
  <si>
    <t>GIRLS RECOVERY LODGE</t>
  </si>
  <si>
    <t xml:space="preserve">3100 ARLINGTON BOULEVARD </t>
  </si>
  <si>
    <t>GIVENS ESTATES</t>
  </si>
  <si>
    <t xml:space="preserve">2360 SWEETWN CREEK RD </t>
  </si>
  <si>
    <t>828-771-2238</t>
  </si>
  <si>
    <t>GIVENS ESTATES-HEALTHCARE</t>
  </si>
  <si>
    <t xml:space="preserve">2360 SWEETEN RD </t>
  </si>
  <si>
    <t>GLACIER HILLS</t>
  </si>
  <si>
    <t xml:space="preserve">1200 Earhart Road </t>
  </si>
  <si>
    <t>313-769-6410</t>
  </si>
  <si>
    <t>GLEBE (THE)</t>
  </si>
  <si>
    <t xml:space="preserve">200 THE GLEBE BLVD </t>
  </si>
  <si>
    <t>540-591-2100</t>
  </si>
  <si>
    <t>GLEN CARE OF MT. OLIVE</t>
  </si>
  <si>
    <t xml:space="preserve">600 SMITH CHAPEL </t>
  </si>
  <si>
    <t>MT OLIVE</t>
  </si>
  <si>
    <t>919-658-6501</t>
  </si>
  <si>
    <t>GLENBURNIE REHAB AND NURSING CENTER</t>
  </si>
  <si>
    <t xml:space="preserve">1901 LIBBIE AVENUE </t>
  </si>
  <si>
    <t>804-281-3500</t>
  </si>
  <si>
    <t>GLENELLEN SENIOR LIVING COMMUNITY</t>
  </si>
  <si>
    <t xml:space="preserve">9661 MARKET ST </t>
  </si>
  <si>
    <t xml:space="preserve">NORTH LIMA </t>
  </si>
  <si>
    <t>330-549-9661</t>
  </si>
  <si>
    <t>GLENVIEW HEALTH CARE FACILITY</t>
  </si>
  <si>
    <t xml:space="preserve">1002 GLENVIEW DRIVE </t>
  </si>
  <si>
    <t>270-651-8332</t>
  </si>
  <si>
    <t>GLENVIEW-MEADOWVIEW</t>
  </si>
  <si>
    <t xml:space="preserve">201 GLENVIEW LANE </t>
  </si>
  <si>
    <t>SHELL LAKE</t>
  </si>
  <si>
    <t>715-468-4255</t>
  </si>
  <si>
    <t>GLORIA NELSON CENTER</t>
  </si>
  <si>
    <t xml:space="preserve">1500 6TH AVE </t>
  </si>
  <si>
    <t>661-725-1000</t>
  </si>
  <si>
    <t>GM HOMES INC</t>
  </si>
  <si>
    <t xml:space="preserve">14771 RAGAN </t>
  </si>
  <si>
    <t>LA MIRADA</t>
  </si>
  <si>
    <t>562-631-4157</t>
  </si>
  <si>
    <t>GME MEDICAL SUPPLY INC.</t>
  </si>
  <si>
    <t xml:space="preserve">2300 BEFORD AVENUE </t>
  </si>
  <si>
    <t>434-528-3765</t>
  </si>
  <si>
    <t>GOLD PLATE PROGRAM</t>
  </si>
  <si>
    <t xml:space="preserve">721 N HICKORY </t>
  </si>
  <si>
    <t>618-542-3511</t>
  </si>
  <si>
    <t>GOLDEN ACERS CARE HOME</t>
  </si>
  <si>
    <t xml:space="preserve">2962 JEFFERSON AVE </t>
  </si>
  <si>
    <t>530-674-1129</t>
  </si>
  <si>
    <t>GOLDEN ACRES MANOR</t>
  </si>
  <si>
    <t xml:space="preserve">1 EAST MAIN STREET </t>
  </si>
  <si>
    <t>CARRINGTON</t>
  </si>
  <si>
    <t>701-652-3117</t>
  </si>
  <si>
    <t>GOLDEN AGE NURSING HM GREENWOOD</t>
  </si>
  <si>
    <t xml:space="preserve">2901 HIGHWAY 82 W </t>
  </si>
  <si>
    <t>601-453-6323</t>
  </si>
  <si>
    <t>GOLDEN AGE OF WELSH</t>
  </si>
  <si>
    <t xml:space="preserve">410 SOUTH SIMMONS STREET </t>
  </si>
  <si>
    <t>WELSH</t>
  </si>
  <si>
    <t>337-734-2555</t>
  </si>
  <si>
    <t>GOLDEN AGE SENIOR CENTER</t>
  </si>
  <si>
    <t xml:space="preserve">330 S AGGIE BLVD </t>
  </si>
  <si>
    <t xml:space="preserve">VERNAL </t>
  </si>
  <si>
    <t>435-789-2169</t>
  </si>
  <si>
    <t>GOLDEN AUTUMN</t>
  </si>
  <si>
    <t xml:space="preserve">8 VIA SOLANA </t>
  </si>
  <si>
    <t>760-250-8990</t>
  </si>
  <si>
    <t>GOLDEN CASTLE</t>
  </si>
  <si>
    <t xml:space="preserve">3803 E BAYSHORE ROAD </t>
  </si>
  <si>
    <t>650-964-1964</t>
  </si>
  <si>
    <t>GOLDEN CROSS HEALTH CARE*</t>
  </si>
  <si>
    <t xml:space="preserve">1450 NORTH FAIR OAKS AVENUE </t>
  </si>
  <si>
    <t>626-791-1948</t>
  </si>
  <si>
    <t>GOLDEN EMPIRE NURSING AND REHAB CENTER</t>
  </si>
  <si>
    <t xml:space="preserve">121 DORSEY DRIVE </t>
  </si>
  <si>
    <t>530-273-1316</t>
  </si>
  <si>
    <t>GOLDEN ESTATE RCF 2</t>
  </si>
  <si>
    <t xml:space="preserve">1134 W NORTON ROAD </t>
  </si>
  <si>
    <t>417-833-4440</t>
  </si>
  <si>
    <t>GOLDEN GRACE DAY ACTIVITY AND HEALTH SERVICES</t>
  </si>
  <si>
    <t xml:space="preserve">3300 W ELDORADO PKWY #500 </t>
  </si>
  <si>
    <t>972-569-9000</t>
  </si>
  <si>
    <t>GOLDEN HAVEN</t>
  </si>
  <si>
    <t xml:space="preserve">2324 LEVER BLVD </t>
  </si>
  <si>
    <t>209-464-4743</t>
  </si>
  <si>
    <t>GOLDEN HERITAGE LIVING</t>
  </si>
  <si>
    <t xml:space="preserve">1275 NORTH FOUTH ST </t>
  </si>
  <si>
    <t>408-392-0752</t>
  </si>
  <si>
    <t>GOLDEN HOME EXTENDED CARE</t>
  </si>
  <si>
    <t xml:space="preserve">1234 LAS GALLINAS </t>
  </si>
  <si>
    <t>415-479-6500</t>
  </si>
  <si>
    <t>GOLDEN LIVINGCENTER-ALLEGHANY</t>
  </si>
  <si>
    <t xml:space="preserve">P.O. BOX 167 </t>
  </si>
  <si>
    <t>CLIFTON FORGE</t>
  </si>
  <si>
    <t>540-862-5791</t>
  </si>
  <si>
    <t>GOLDEN OAKS VILLAGE</t>
  </si>
  <si>
    <t xml:space="preserve">5801 N OAKWOOD RD </t>
  </si>
  <si>
    <t>580-234-2817</t>
  </si>
  <si>
    <t>GOLDEN POND COMMUNITIES</t>
  </si>
  <si>
    <t xml:space="preserve">404 LAKEVIEW ROAD </t>
  </si>
  <si>
    <t>WINTER GARDEN</t>
  </si>
  <si>
    <t>407-654-7217</t>
  </si>
  <si>
    <t>GOLDEN REHAB AND NURSING CTR</t>
  </si>
  <si>
    <t xml:space="preserve">438 SALEM-WOODSTOWN ROAD </t>
  </si>
  <si>
    <t>856-935-6677</t>
  </si>
  <si>
    <t>GOLDEN VIEW GUEST HOME</t>
  </si>
  <si>
    <t xml:space="preserve">3863 W RAMSEY </t>
  </si>
  <si>
    <t>BANNING</t>
  </si>
  <si>
    <t>951-849-7521</t>
  </si>
  <si>
    <t>GOLDEN YEARS ASSISTED LIVING</t>
  </si>
  <si>
    <t xml:space="preserve">40 HUNT CLUB BLVD </t>
  </si>
  <si>
    <t>757-825-2425</t>
  </si>
  <si>
    <t>GOLDIE B FLOBERG CENTER</t>
  </si>
  <si>
    <t xml:space="preserve">58 WEST ROCKTON ROAD </t>
  </si>
  <si>
    <t>ROCKTON</t>
  </si>
  <si>
    <t>815-624-8431</t>
  </si>
  <si>
    <t>GOLFVIEW DEVELOPMENTAL CENTER</t>
  </si>
  <si>
    <t xml:space="preserve">9555 WEST GOLF ROAD </t>
  </si>
  <si>
    <t>847-827-6628</t>
  </si>
  <si>
    <t>GOOD NEIGHBOR CARE OF STERLING</t>
  </si>
  <si>
    <t xml:space="preserve">2705 AVENUE EAST </t>
  </si>
  <si>
    <t>815-622-2800</t>
  </si>
  <si>
    <t>GOOD SAMARITAN HEALTH AND REHAB CENTER</t>
  </si>
  <si>
    <t xml:space="preserve">500 HICKORY HOLLOW TERRACE </t>
  </si>
  <si>
    <t>615-731-7130</t>
  </si>
  <si>
    <t>GOOD SAMARITAN HOME -FLANAGAN</t>
  </si>
  <si>
    <t xml:space="preserve">1225 S EWING DRIVE </t>
  </si>
  <si>
    <t>815-796-2288</t>
  </si>
  <si>
    <t>GOOD SAMARITAN HOME -QUINCY</t>
  </si>
  <si>
    <t xml:space="preserve">2130 Harrison Street </t>
  </si>
  <si>
    <t>217-223-8717</t>
  </si>
  <si>
    <t>GOOD SAMARITAN HOME EVANSVILLE</t>
  </si>
  <si>
    <t xml:space="preserve">601 N BOEKE ROAD </t>
  </si>
  <si>
    <t>812-476-4912</t>
  </si>
  <si>
    <t>GOOD SAMARITAN OF PONTIAC</t>
  </si>
  <si>
    <t>815-844-5121</t>
  </si>
  <si>
    <t>GOOD SAMARITAN PRESCOTT VALLEY-MENU ONLY</t>
  </si>
  <si>
    <t xml:space="preserve">3380 N WINDSONG DRIVE </t>
  </si>
  <si>
    <t>928-778-2450</t>
  </si>
  <si>
    <t>GOOD SAMARITAN PRESCOTT VILLAGE-MENU ONLY</t>
  </si>
  <si>
    <t xml:space="preserve">1030 SCOTT DRIVE </t>
  </si>
  <si>
    <t>GOOD SAMARITAN RETIREMENT CENTER</t>
  </si>
  <si>
    <t xml:space="preserve">1515 JAMACHA WAY </t>
  </si>
  <si>
    <t>619-590-1515</t>
  </si>
  <si>
    <t>GOOD SAMARITAN WILLOW WIND-MENU ONLY</t>
  </si>
  <si>
    <t xml:space="preserve">3191 ASTER DRIVE </t>
  </si>
  <si>
    <t>GOOD SAMARITAN HOT SPRINGS VILL</t>
  </si>
  <si>
    <t xml:space="preserve">121 CORTEZ RD </t>
  </si>
  <si>
    <t>501-922-2000</t>
  </si>
  <si>
    <t xml:space="preserve">1101 WEST CLAY ROAD </t>
  </si>
  <si>
    <t>573-378-4441</t>
  </si>
  <si>
    <t>GOOD SHEPHERD ECUMENICAL RET CTR</t>
  </si>
  <si>
    <t xml:space="preserve"># 3 SHEPHERDS COVE </t>
  </si>
  <si>
    <t>501-224-7200</t>
  </si>
  <si>
    <t>GOOD SHEPHERD HOME</t>
  </si>
  <si>
    <t xml:space="preserve">725 COLUMBUS AVE </t>
  </si>
  <si>
    <t>FOSTORIA</t>
  </si>
  <si>
    <t>419-937-1801</t>
  </si>
  <si>
    <t>GOOD SHEPHERD HOME CARE</t>
  </si>
  <si>
    <t xml:space="preserve">5383 S 900 E </t>
  </si>
  <si>
    <t>801-871-9488</t>
  </si>
  <si>
    <t>GOOD SHEPHERD MANOR MOMENCE</t>
  </si>
  <si>
    <t xml:space="preserve">4129 N STATE ROUTE 1-17 </t>
  </si>
  <si>
    <t>MOMENCE</t>
  </si>
  <si>
    <t>815-472-6492</t>
  </si>
  <si>
    <t>GOOD SHEPHERD NURSING HOME</t>
  </si>
  <si>
    <t xml:space="preserve">159 EDGINGTON LANE </t>
  </si>
  <si>
    <t>304-242-1093</t>
  </si>
  <si>
    <t>GOOD SHEPHERD NURSING LOCKWOOD</t>
  </si>
  <si>
    <t xml:space="preserve">200 W 12TH STREET </t>
  </si>
  <si>
    <t>LOCKWOOD</t>
  </si>
  <si>
    <t>417-232-4571</t>
  </si>
  <si>
    <t>GOOD SHEPHERD VILLAGE SPRINGFLD</t>
  </si>
  <si>
    <t xml:space="preserve">422 N BURNETT ROAD </t>
  </si>
  <si>
    <t>937-322-1911</t>
  </si>
  <si>
    <t>GOOD STUFF EL SEGUNDO</t>
  </si>
  <si>
    <t xml:space="preserve">131 W GRAND AVENUE </t>
  </si>
  <si>
    <t>EL SEGUNDO</t>
  </si>
  <si>
    <t>310-647-9997</t>
  </si>
  <si>
    <t>GOOD STUFF HERMOSA</t>
  </si>
  <si>
    <t xml:space="preserve">1286 STRAND </t>
  </si>
  <si>
    <t>HERMOSA BEACH</t>
  </si>
  <si>
    <t>310-374-2334</t>
  </si>
  <si>
    <t>GOOD STUFF P.V.</t>
  </si>
  <si>
    <t xml:space="preserve">550 DEEP VALLEY DRIVE #151 </t>
  </si>
  <si>
    <t>ROLLING HILLS</t>
  </si>
  <si>
    <t>310-619-0041</t>
  </si>
  <si>
    <t>GOOD STUFF REDONDO</t>
  </si>
  <si>
    <t xml:space="preserve">1617 PACIFIC COAST HIGHWAY </t>
  </si>
  <si>
    <t>310-316-0262</t>
  </si>
  <si>
    <t>GOOD STUFF WEST LOS ANGELES</t>
  </si>
  <si>
    <t xml:space="preserve">11903 W OLYMPIC BLVD </t>
  </si>
  <si>
    <t>W LOS ANGELES</t>
  </si>
  <si>
    <t>310-477-9011</t>
  </si>
  <si>
    <t>GOODWILL COLUMBUS</t>
  </si>
  <si>
    <t xml:space="preserve">1331 EDGEHILL ROAD </t>
  </si>
  <si>
    <t>614-294-5181</t>
  </si>
  <si>
    <t>GORDON HOUSE</t>
  </si>
  <si>
    <t xml:space="preserve">501 N. MAIN STREET </t>
  </si>
  <si>
    <t>GORDONSVILLE</t>
  </si>
  <si>
    <t>540-832-2286</t>
  </si>
  <si>
    <t>GORDON MANOR</t>
  </si>
  <si>
    <t xml:space="preserve">1616 GORDON STREET </t>
  </si>
  <si>
    <t>650-562-0555</t>
  </si>
  <si>
    <t>GOVERNOR'S GLEN MEMORY CARE</t>
  </si>
  <si>
    <t xml:space="preserve">5000 GOVERNORS DRIVE </t>
  </si>
  <si>
    <t>404-362-0404</t>
  </si>
  <si>
    <t>GRACE BRETHREN VILLAGE</t>
  </si>
  <si>
    <t xml:space="preserve">1010 TAYWOOD ROAD </t>
  </si>
  <si>
    <t>937-836-4011</t>
  </si>
  <si>
    <t>GRACE GARDENS SENIOR CARE COMMUNITY</t>
  </si>
  <si>
    <t xml:space="preserve">10691 E TULARE AVE </t>
  </si>
  <si>
    <t>559-251-8462</t>
  </si>
  <si>
    <t>GRACE HEALTHCARE OF ABINGDON</t>
  </si>
  <si>
    <t xml:space="preserve">P.O. BOX 247 </t>
  </si>
  <si>
    <t>276-628-2111</t>
  </si>
  <si>
    <t>GRACE HEALTHCARE OF BENTON</t>
  </si>
  <si>
    <t xml:space="preserve">3300 ALCOA </t>
  </si>
  <si>
    <t>501-315-1700</t>
  </si>
  <si>
    <t>GRACE LODGE</t>
  </si>
  <si>
    <t xml:space="preserve">P.O. BOX 820 </t>
  </si>
  <si>
    <t>434-528-0969</t>
  </si>
  <si>
    <t>GRACE LUTHERAN CHILD DEV CTR</t>
  </si>
  <si>
    <t xml:space="preserve">712 S CENTRAL ST </t>
  </si>
  <si>
    <t>217-466-1234</t>
  </si>
  <si>
    <t>GRACE NURSING HOME LIVINGSTON</t>
  </si>
  <si>
    <t xml:space="preserve">13435 W PEACH </t>
  </si>
  <si>
    <t>LIVINGSTON</t>
  </si>
  <si>
    <t>209-394-2440</t>
  </si>
  <si>
    <t>GRACE PARK SENIOR LIVING WELL</t>
  </si>
  <si>
    <t xml:space="preserve">1170 WEST MAIN STREET </t>
  </si>
  <si>
    <t>570-424-8166</t>
  </si>
  <si>
    <t>GRACE UNITED METHODIST CHURCH</t>
  </si>
  <si>
    <t xml:space="preserve">901 N MAIN </t>
  </si>
  <si>
    <t>217-429-5374</t>
  </si>
  <si>
    <t>GRACELAND CARE CTR OF OXFORD</t>
  </si>
  <si>
    <t xml:space="preserve">1301 BELK BLVD </t>
  </si>
  <si>
    <t>662-234-7821</t>
  </si>
  <si>
    <t>GRACELAND CARE CTR OF PONTOTOC</t>
  </si>
  <si>
    <t xml:space="preserve">278 WEST 8TH STREET </t>
  </si>
  <si>
    <t>PONTOTOC</t>
  </si>
  <si>
    <t>662-489-6411</t>
  </si>
  <si>
    <t>GRACELAND CARE CTR NEW ALBANY</t>
  </si>
  <si>
    <t xml:space="preserve">118 SOUTH GLENFIELD ROAD </t>
  </si>
  <si>
    <t>662-534-9506</t>
  </si>
  <si>
    <t>GRACELAND NURSING CENTER LLC</t>
  </si>
  <si>
    <t xml:space="preserve">1250 FARROW ROAD </t>
  </si>
  <si>
    <t>901-332-7290</t>
  </si>
  <si>
    <t>GRAFTON OAKS NURSING CENTER</t>
  </si>
  <si>
    <t xml:space="preserve">405 GRAFTON AVENUE </t>
  </si>
  <si>
    <t>937-276-4040</t>
  </si>
  <si>
    <t>GRAN GRAN'S PLACE</t>
  </si>
  <si>
    <t xml:space="preserve">1110 SOUTH CORNWELL </t>
  </si>
  <si>
    <t>405-350-2311</t>
  </si>
  <si>
    <t>GRAND BAY CONVALESCENT HOME</t>
  </si>
  <si>
    <t xml:space="preserve">PO BOX 328 13750 HWY 90 WEST </t>
  </si>
  <si>
    <t>GRAND BAY</t>
  </si>
  <si>
    <t>251-865-6443</t>
  </si>
  <si>
    <t>GRAND BAY NURSING HOME</t>
  </si>
  <si>
    <t xml:space="preserve">13750 HIGHWAY 90 WEST </t>
  </si>
  <si>
    <t>GRAND CHAPTER EASTERN STAR OF ILLINOIS</t>
  </si>
  <si>
    <t xml:space="preserve">9894 STAR LANE </t>
  </si>
  <si>
    <t>217-764-3348</t>
  </si>
  <si>
    <t>GRAND HAVEN NURSING HOME</t>
  </si>
  <si>
    <t xml:space="preserve">105 RODGERS PARK </t>
  </si>
  <si>
    <t>CYNTHIANA</t>
  </si>
  <si>
    <t>859-234-2050</t>
  </si>
  <si>
    <t>GRAND LAKE MENTAL HEALTH CENTER</t>
  </si>
  <si>
    <t xml:space="preserve">138 SOUTH MAIN </t>
  </si>
  <si>
    <t>AFTON</t>
  </si>
  <si>
    <t>918-257-4244</t>
  </si>
  <si>
    <t>GRAND LAKE MENTAL HEALTH OFFICE</t>
  </si>
  <si>
    <t xml:space="preserve">114 W DELAWARE </t>
  </si>
  <si>
    <t>NOWATA</t>
  </si>
  <si>
    <t>918-273-1841</t>
  </si>
  <si>
    <t>GRAND OAKS OF JENSEN BEACH</t>
  </si>
  <si>
    <t xml:space="preserve">125 NW JENSEN BEACH BOULEVARD </t>
  </si>
  <si>
    <t>JENSEN BEACH</t>
  </si>
  <si>
    <t>772-286-1844</t>
  </si>
  <si>
    <t>GRAND OAKS OF OKEECHOBEE</t>
  </si>
  <si>
    <t xml:space="preserve">203 SE 2ND ST </t>
  </si>
  <si>
    <t>863-824-6770</t>
  </si>
  <si>
    <t>GRAND OAKS OF PALM CITY</t>
  </si>
  <si>
    <t xml:space="preserve">3550 S.W. CORPORATE HIGHWAY </t>
  </si>
  <si>
    <t>GRAND RAPIDS EARLY DISCOVERY CENTER</t>
  </si>
  <si>
    <t xml:space="preserve">515 JEFFERSON AVENUE SE </t>
  </si>
  <si>
    <t>616-459-0110</t>
  </si>
  <si>
    <t>GRAND TETON COUNCIL-BSA</t>
  </si>
  <si>
    <t xml:space="preserve">3910 SOUTH YELLOWSTONE HWY </t>
  </si>
  <si>
    <t>208-233-4600</t>
  </si>
  <si>
    <t>GRAND VICTORIAN OF PEKIN (THE)</t>
  </si>
  <si>
    <t xml:space="preserve">2700 SOUTH 14TH ST </t>
  </si>
  <si>
    <t>PEKIN</t>
  </si>
  <si>
    <t>309-346-1310</t>
  </si>
  <si>
    <t>GRAND VILLA CLHF</t>
  </si>
  <si>
    <t xml:space="preserve">250 VILLA AVENUE </t>
  </si>
  <si>
    <t>559-797-4984</t>
  </si>
  <si>
    <t>GRANDVIEW HEIGHTS</t>
  </si>
  <si>
    <t xml:space="preserve">910 EAST OLIVE STREET </t>
  </si>
  <si>
    <t>MARSHALLTOWN</t>
  </si>
  <si>
    <t>641-752-4581</t>
  </si>
  <si>
    <t>GRANDVIEW MANOR</t>
  </si>
  <si>
    <t xml:space="preserve">4411 CHICAGO AVE </t>
  </si>
  <si>
    <t>951-781-8400</t>
  </si>
  <si>
    <t>GRANDVIEW NURSING HOME TEXAS</t>
  </si>
  <si>
    <t xml:space="preserve">301 W CRINER </t>
  </si>
  <si>
    <t>GRANDVIEW</t>
  </si>
  <si>
    <t>817-866-3367</t>
  </si>
  <si>
    <t>GRANDVIEW TERRACE SUN HEALTH-MENU ONLY</t>
  </si>
  <si>
    <t xml:space="preserve">14505 W GRANITE VALLEY DR </t>
  </si>
  <si>
    <t>SUN CITY WEST</t>
  </si>
  <si>
    <t>623-975-8117</t>
  </si>
  <si>
    <t>GRANITE GATE SENIOR LIVING</t>
  </si>
  <si>
    <t xml:space="preserve">3850 N HIGHWAY 89 </t>
  </si>
  <si>
    <t>928-771-8200</t>
  </si>
  <si>
    <t>GRANT COUNTY HOME HEALTH</t>
  </si>
  <si>
    <t xml:space="preserve">2071 HIGHWAY 167 S </t>
  </si>
  <si>
    <t>870-942-4842</t>
  </si>
  <si>
    <t>GRANT MEMORIAL HOSPITAL</t>
  </si>
  <si>
    <t xml:space="preserve">MEMORIAL DRIVE </t>
  </si>
  <si>
    <t>304-257-1026</t>
  </si>
  <si>
    <t>GRANT REHABILITATION AND CARE CENTER</t>
  </si>
  <si>
    <t xml:space="preserve">127 EARLY AVENUE </t>
  </si>
  <si>
    <t>304-257-4233</t>
  </si>
  <si>
    <t>GRANVILLE MANOR</t>
  </si>
  <si>
    <t xml:space="preserve">413 CHESTNUT ST </t>
  </si>
  <si>
    <t>PARSONS</t>
  </si>
  <si>
    <t>304-478-1003</t>
  </si>
  <si>
    <t>GRANVILLE SENIOR CENTER</t>
  </si>
  <si>
    <t xml:space="preserve">3825 COLUMBUS ROAD BLDG D </t>
  </si>
  <si>
    <t>740-587-1333</t>
  </si>
  <si>
    <t>GRAYBRIER NURSING &amp; REHAB CTR</t>
  </si>
  <si>
    <t xml:space="preserve">116 LANE DRIVE </t>
  </si>
  <si>
    <t>GRAYSON NURSING &amp; REHABILITATION</t>
  </si>
  <si>
    <t xml:space="preserve">505 WILLIAM THOMASON BYWAY </t>
  </si>
  <si>
    <t>270-259-4028</t>
  </si>
  <si>
    <t>GREAT ADVENTURE CHILDCARE</t>
  </si>
  <si>
    <t xml:space="preserve">800 N HOUSTON LEVEE </t>
  </si>
  <si>
    <t>CORDOVA</t>
  </si>
  <si>
    <t>901-507-9427</t>
  </si>
  <si>
    <t>GREATER SOUTHEAST COMMUNITY HOSPITAL</t>
  </si>
  <si>
    <t xml:space="preserve">1310 SOUTHERN AVENUE SE </t>
  </si>
  <si>
    <t>202-574-6000</t>
  </si>
  <si>
    <t>GREEK AMERICAN REHABILITATION AND CARE CENTRE</t>
  </si>
  <si>
    <t xml:space="preserve">220 N 1ST ST </t>
  </si>
  <si>
    <t>847-459-8700</t>
  </si>
  <si>
    <t>GREEK RESOURCES</t>
  </si>
  <si>
    <t xml:space="preserve">2118 8TH STREET </t>
  </si>
  <si>
    <t xml:space="preserve">TUSCALOOSA </t>
  </si>
  <si>
    <t>800-370-0725</t>
  </si>
  <si>
    <t>GREEK RESOURCES - ALPHA DELTA PI</t>
  </si>
  <si>
    <t>GREEK RESOURCES - ALPHA PHI BETA MU</t>
  </si>
  <si>
    <t>GREEK RESOURCES - BETA THETA PI</t>
  </si>
  <si>
    <t>GREEK RESOURCES - DELTA CHI FRATERNITY</t>
  </si>
  <si>
    <t>GREEK RESOURCES - DELTA ZETA SORORITY</t>
  </si>
  <si>
    <t>GREEK RESOURCES - GREEK RESOURCE SERV</t>
  </si>
  <si>
    <t>GREEK RESOURCES - KAPPA ALPHA FRATERNITY</t>
  </si>
  <si>
    <t>GREEK RESOURCES - KAPPA DELTA SORORITY</t>
  </si>
  <si>
    <t>GREEK RESOURCES - KAPPA SIGMA FRATERNITY</t>
  </si>
  <si>
    <t>GREEK RESOURCES - LAMBDA CHI ALPHA</t>
  </si>
  <si>
    <t>GREEK RESOURCES - PHI DELTA THETA FRAT</t>
  </si>
  <si>
    <t>GREEK RESOURCES - PHI GAMMA DELTA FRAT</t>
  </si>
  <si>
    <t>GREEK RESOURCES - PHI MU SORORITY</t>
  </si>
  <si>
    <t>GREEK RESOURCES - PI KAPPA ALPHA FRAT</t>
  </si>
  <si>
    <t>GREEK RESOURCES - PI KAPPA PHI</t>
  </si>
  <si>
    <t>GREEK RESOURCES - SIGMA ALPHA EPSILON</t>
  </si>
  <si>
    <t>GREEK RESOURCES - SIGMA CHI FRATERNITY</t>
  </si>
  <si>
    <t>GREEK RESOURCES - SIGMA NU FRATERNITY</t>
  </si>
  <si>
    <t>GREEK RESOURCES - SIGMA PI FRATERNITY</t>
  </si>
  <si>
    <t>GREEK RESOURCES - THETA CHI FRAT</t>
  </si>
  <si>
    <t>GREEK RESOURCES - ZETA BETA TAU FRAT</t>
  </si>
  <si>
    <t>GREEK RESOURCES-ALPHA CHI OMEGA</t>
  </si>
  <si>
    <t xml:space="preserve">2118 EIGHTH STREET </t>
  </si>
  <si>
    <t>205-758-7754</t>
  </si>
  <si>
    <t>GREEK RESOURCES-DELTA KAPPA EPSILON</t>
  </si>
  <si>
    <t>GREEK RESOURCES-GAMMA PHI BETA</t>
  </si>
  <si>
    <t>GREEK RESOURCES-KAPPA KAPPA GAMMA</t>
  </si>
  <si>
    <t xml:space="preserve">2118 EIGHT STREET </t>
  </si>
  <si>
    <t>GREEN ACRES REG CENTER</t>
  </si>
  <si>
    <t xml:space="preserve">7830 OHIO RIVER ROAD </t>
  </si>
  <si>
    <t>304-762-2522</t>
  </si>
  <si>
    <t>GREEN CREST ASSISTED LIVING CENTERS INC</t>
  </si>
  <si>
    <t xml:space="preserve">55 HERBERT VOTNER LANE </t>
  </si>
  <si>
    <t>731-847-6713</t>
  </si>
  <si>
    <t xml:space="preserve">6557 U S ROUTE 68 SOUTH </t>
  </si>
  <si>
    <t>GREEN HOUSE COTTAGES OF CARMEL</t>
  </si>
  <si>
    <t xml:space="preserve">616 GREEN HOUSE WAY </t>
  </si>
  <si>
    <t>317-401-8888</t>
  </si>
  <si>
    <t>GREEN MEADOW HAVEN</t>
  </si>
  <si>
    <t xml:space="preserve">1110 RINGGOLD AVENUE </t>
  </si>
  <si>
    <t>COUSHATTA</t>
  </si>
  <si>
    <t>318-932-5202</t>
  </si>
  <si>
    <t>GREEN MEADOWS RETIREMENT HOME</t>
  </si>
  <si>
    <t xml:space="preserve">411 N KINGS HIGHWAY </t>
  </si>
  <si>
    <t>573-471-5503</t>
  </si>
  <si>
    <t>GREEN MEADOWS SKILLED CARE</t>
  </si>
  <si>
    <t xml:space="preserve">ROUTE 2 BOX 251 </t>
  </si>
  <si>
    <t>573-897-2218</t>
  </si>
  <si>
    <t>GREEN TREE AT HUBBELL</t>
  </si>
  <si>
    <t xml:space="preserve">52225 B AVENUE </t>
  </si>
  <si>
    <t>HUBBELL</t>
  </si>
  <si>
    <t>906-296-3301</t>
  </si>
  <si>
    <t>GREEN VALLEY MANOR</t>
  </si>
  <si>
    <t xml:space="preserve">610 PRIGGE ROAD </t>
  </si>
  <si>
    <t>314-741-9393</t>
  </si>
  <si>
    <t>GREENBRIAR HOSPITAL/SPEC SERVICE</t>
  </si>
  <si>
    <t xml:space="preserve">8064 SOUTH AVENUE SUITE 1 </t>
  </si>
  <si>
    <t>330-965-6432</t>
  </si>
  <si>
    <t>GREENBRIER MANOR</t>
  </si>
  <si>
    <t xml:space="preserve">RR 02 BOX 159-A </t>
  </si>
  <si>
    <t>304-645-3076</t>
  </si>
  <si>
    <t>GREENE ACRES NURSING HOME</t>
  </si>
  <si>
    <t xml:space="preserve">2402 COUNTRY CLUB ROAD </t>
  </si>
  <si>
    <t>PARAGOULD</t>
  </si>
  <si>
    <t>501-236-8771</t>
  </si>
  <si>
    <t>GREENFIELD ASSISTED LIVING - FREDERICKSBURG</t>
  </si>
  <si>
    <t xml:space="preserve">1001 NORTHSIDE DRIVE </t>
  </si>
  <si>
    <t>540-374-8200</t>
  </si>
  <si>
    <t>GREENFIELD ASSISTED LIVING - LENOX PARK</t>
  </si>
  <si>
    <t xml:space="preserve">6551 KNIGHT ARNOLD ROAD EXT </t>
  </si>
  <si>
    <t>38115-5626</t>
  </si>
  <si>
    <t>901-692-9260</t>
  </si>
  <si>
    <t>GREENFIELD PLACE</t>
  </si>
  <si>
    <t xml:space="preserve">2575 WEST 5TH STREET </t>
  </si>
  <si>
    <t>252-830-9100</t>
  </si>
  <si>
    <t>GREENFIELD REHAB &amp; NURSING CTR</t>
  </si>
  <si>
    <t xml:space="preserve">3030 GREENFIELD RD </t>
  </si>
  <si>
    <t>248-288-6610</t>
  </si>
  <si>
    <t>GREENFIELDS ASSISTED LIVING</t>
  </si>
  <si>
    <t xml:space="preserve">723 EAST 2ND AVENUE </t>
  </si>
  <si>
    <t>480-649-3911</t>
  </si>
  <si>
    <t>GREENLEAF NURSING &amp; CONVALESCENT</t>
  </si>
  <si>
    <t xml:space="preserve">400 SOUTH MAIN STREET </t>
  </si>
  <si>
    <t>215-348-2980</t>
  </si>
  <si>
    <t>GREENLINE HEALTH SERVICES INC</t>
  </si>
  <si>
    <t xml:space="preserve">570 NORTH JEFF DAVIS DRIVE STE C </t>
  </si>
  <si>
    <t>678-885-9765</t>
  </si>
  <si>
    <t>GREENSPRING VILLAGE</t>
  </si>
  <si>
    <t xml:space="preserve">7470 SPRING VILLAGE DRIVE </t>
  </si>
  <si>
    <t>703-923-4663</t>
  </si>
  <si>
    <t>GREENSVILLE MEMORIAL NURSING HOME</t>
  </si>
  <si>
    <t xml:space="preserve">214 WEAVER AVENUE </t>
  </si>
  <si>
    <t>434-348-2154</t>
  </si>
  <si>
    <t>GREENVILLE CONVALESCENT HOME</t>
  </si>
  <si>
    <t xml:space="preserve">1935 N THEOBALD EXTD </t>
  </si>
  <si>
    <t>601-334-4501</t>
  </si>
  <si>
    <t>GREENWAY MANOR</t>
  </si>
  <si>
    <t xml:space="preserve">501 S WINSTED STREET </t>
  </si>
  <si>
    <t>SPRING GREEN</t>
  </si>
  <si>
    <t>608-588-2596</t>
  </si>
  <si>
    <t>GREENWOOD ASSISTED LIVING</t>
  </si>
  <si>
    <t xml:space="preserve">233 WEST END AVENUE </t>
  </si>
  <si>
    <t>415-258-1560</t>
  </si>
  <si>
    <t xml:space="preserve">1510 SENECA DR. </t>
  </si>
  <si>
    <t>540-951-1208</t>
  </si>
  <si>
    <t>GREER MANAGEMENT SERVICES</t>
  </si>
  <si>
    <t xml:space="preserve">2450 FRANKLIN ST </t>
  </si>
  <si>
    <t>618-594-8581</t>
  </si>
  <si>
    <t>GREGSTON'S NURSING AND REHAB</t>
  </si>
  <si>
    <t xml:space="preserve">711 S BROADWAY </t>
  </si>
  <si>
    <t>MARLOW</t>
  </si>
  <si>
    <t>GRENADA GARDENS SENIOR LIVING</t>
  </si>
  <si>
    <t xml:space="preserve">424 HIGHWAY A-12 PO BOX 339 </t>
  </si>
  <si>
    <t>530-436-2514</t>
  </si>
  <si>
    <t>GRETNA HEALTHCARE CENTER</t>
  </si>
  <si>
    <t xml:space="preserve">P.O. BOX 577 </t>
  </si>
  <si>
    <t>24557-0577</t>
  </si>
  <si>
    <t>434-656-1206</t>
  </si>
  <si>
    <t>GREYSTONE ASSISTED LIVING</t>
  </si>
  <si>
    <t xml:space="preserve">302 GREYSTONE DR </t>
  </si>
  <si>
    <t>CASTLEWOOD</t>
  </si>
  <si>
    <t>276-762-7929</t>
  </si>
  <si>
    <t>GREYSTONE RETIREMENT COMMUNITY</t>
  </si>
  <si>
    <t xml:space="preserve">4200 CHRIS DRIVE </t>
  </si>
  <si>
    <t>205-880-1101</t>
  </si>
  <si>
    <t>GROSS SCHECHTER DAY SCHOOL</t>
  </si>
  <si>
    <t xml:space="preserve">27601 FAIRMOUNT BLVD </t>
  </si>
  <si>
    <t>PEPPER PIKE</t>
  </si>
  <si>
    <t>216-769-1400</t>
  </si>
  <si>
    <t>GROSSMONT COMMUNITY COLLEGE</t>
  </si>
  <si>
    <t>GROVE CREEK</t>
  </si>
  <si>
    <t xml:space="preserve">175 NORTH STATE STREET </t>
  </si>
  <si>
    <t>801-787-1063</t>
  </si>
  <si>
    <t>GROVETON NURSING HOME</t>
  </si>
  <si>
    <t xml:space="preserve">1020 W 1ST STREET </t>
  </si>
  <si>
    <t>GROVETON</t>
  </si>
  <si>
    <t>409-642-1221</t>
  </si>
  <si>
    <t>GROW &amp; LEARN CHILDCARE AND LEARNING CENTER</t>
  </si>
  <si>
    <t xml:space="preserve">2486 N DUPONT PARKWAY </t>
  </si>
  <si>
    <t>302-378-9100</t>
  </si>
  <si>
    <t>GROWING PLACE</t>
  </si>
  <si>
    <t xml:space="preserve">909 S 4TH STREET </t>
  </si>
  <si>
    <t>815-756-5744</t>
  </si>
  <si>
    <t>GRUENE SENIOR LIVING</t>
  </si>
  <si>
    <t xml:space="preserve">1820 E COMMON STREET </t>
  </si>
  <si>
    <t>830-626-2111</t>
  </si>
  <si>
    <t>GUARDIAN CARE OF ROCKY MOUNT</t>
  </si>
  <si>
    <t xml:space="preserve">160 WINSTEAD AVENUE </t>
  </si>
  <si>
    <t>252-443-7667</t>
  </si>
  <si>
    <t>GUARDIAN CARE OF ZEBULON</t>
  </si>
  <si>
    <t xml:space="preserve">509 WEST GANNON AVENUE </t>
  </si>
  <si>
    <t>ZEBULON</t>
  </si>
  <si>
    <t>919-269-9621</t>
  </si>
  <si>
    <t>GUERNSEY COUNTY BOARD OF DEVELOPMENTAL DISABILITIES</t>
  </si>
  <si>
    <t xml:space="preserve">60770 SOUTHGATE ROAD </t>
  </si>
  <si>
    <t>BYESVILLE</t>
  </si>
  <si>
    <t>740-439-4451</t>
  </si>
  <si>
    <t>GUERNSEY COUNTY SENIOR CITIZENS CENTER INC</t>
  </si>
  <si>
    <t xml:space="preserve">1022 CARLISLE AVENUE </t>
  </si>
  <si>
    <t>740-439-6681</t>
  </si>
  <si>
    <t>GUEST HOUSE LAKE ORION</t>
  </si>
  <si>
    <t xml:space="preserve">1601 JOSLYN ROAD </t>
  </si>
  <si>
    <t>248-391-3100</t>
  </si>
  <si>
    <t>GUGGENHEIMER NURSING HOME</t>
  </si>
  <si>
    <t xml:space="preserve">1902 GRACE STREET </t>
  </si>
  <si>
    <t>434-947-5100</t>
  </si>
  <si>
    <t>GUIDED DISCOVERIES</t>
  </si>
  <si>
    <t xml:space="preserve">232 W HARRISON AVENEU </t>
  </si>
  <si>
    <t>909-625-6194</t>
  </si>
  <si>
    <t>GUIDED DISCOVERIES- TOYON BAY BARGE</t>
  </si>
  <si>
    <t xml:space="preserve">385 E SWINFORD STREET </t>
  </si>
  <si>
    <t>800-645-1623</t>
  </si>
  <si>
    <t>GUIDED DISCOVERIES-ASTRO CAMP</t>
  </si>
  <si>
    <t xml:space="preserve">26800 SAUNDERS MEADOW ROAD </t>
  </si>
  <si>
    <t>IDYLLWILD</t>
  </si>
  <si>
    <t>951-659-6062</t>
  </si>
  <si>
    <t>GUIDED DISCOVERIES-ASTROCAMP VIRGINIA</t>
  </si>
  <si>
    <t xml:space="preserve">8144 MT LAUREL ROAD </t>
  </si>
  <si>
    <t>CLOVER</t>
  </si>
  <si>
    <t>800-645-1423</t>
  </si>
  <si>
    <t>GUIDED DISCOVERIES-CAMP FOX</t>
  </si>
  <si>
    <t xml:space="preserve">PO BOX 307 </t>
  </si>
  <si>
    <t>AVALON</t>
  </si>
  <si>
    <t>GUIDED DISCOVERIES-CHERRY COVE</t>
  </si>
  <si>
    <t xml:space="preserve">PO BOX 5015 </t>
  </si>
  <si>
    <t>GUIDED DISCOVERIES-TOYON BAY</t>
  </si>
  <si>
    <t xml:space="preserve">1 TOYON BAY ROAD </t>
  </si>
  <si>
    <t>GUIDED DISCOVERY FOX BARGE</t>
  </si>
  <si>
    <t>GUILLFORD HEALTH CARE CENTER</t>
  </si>
  <si>
    <t xml:space="preserve">2041 WILLOW ROAD </t>
  </si>
  <si>
    <t>336-272-9700</t>
  </si>
  <si>
    <t>GULF CARE INC DIETARY</t>
  </si>
  <si>
    <t xml:space="preserve">1333 SANTA BARBARA BOULEVARD </t>
  </si>
  <si>
    <t>888-655-6389</t>
  </si>
  <si>
    <t>GULF POINTE PLAZA</t>
  </si>
  <si>
    <t xml:space="preserve">1008 ENTERPRISE BLVD </t>
  </si>
  <si>
    <t>361-727-1800</t>
  </si>
  <si>
    <t>GULF POINTE VILLAGE</t>
  </si>
  <si>
    <t xml:space="preserve">900 ENTERPRISE BLVD </t>
  </si>
  <si>
    <t>361-729-5254</t>
  </si>
  <si>
    <t>GUNNISONVILLE MEADOWS SENIOR ASSISTED LIVING</t>
  </si>
  <si>
    <t xml:space="preserve">1758 E. CLARK ROAD </t>
  </si>
  <si>
    <t>517-492-7658</t>
  </si>
  <si>
    <t xml:space="preserve">100 EAST 4TH STREET </t>
  </si>
  <si>
    <t>814-846-4896</t>
  </si>
  <si>
    <t>HACIENDA GRANDE SENIOR ASSISTED LIVING</t>
  </si>
  <si>
    <t xml:space="preserve">1740 GRAND AVENUE </t>
  </si>
  <si>
    <t>562-597-7753</t>
  </si>
  <si>
    <t>HACIENDA POST ACUTE INC</t>
  </si>
  <si>
    <t xml:space="preserve">361 E. GRANGEVILLE BLVD </t>
  </si>
  <si>
    <t>559-582-9221</t>
  </si>
  <si>
    <t>HALCYON HOME LLC</t>
  </si>
  <si>
    <t xml:space="preserve">8133 MESA DRIVE STE 200 </t>
  </si>
  <si>
    <t>512-815-9009</t>
  </si>
  <si>
    <t>HALLMARK OF PEKIN</t>
  </si>
  <si>
    <t xml:space="preserve">2501 ALLENTOWN ROAD </t>
  </si>
  <si>
    <t>309-347-3121</t>
  </si>
  <si>
    <t>HALLMARK PALM SPRINGS</t>
  </si>
  <si>
    <t xml:space="preserve">344 N SUNRISE WAY </t>
  </si>
  <si>
    <t>760-322-3955</t>
  </si>
  <si>
    <t>HAMBURG SENIOR CITIZENS CENTER</t>
  </si>
  <si>
    <t xml:space="preserve">1406 N MAIN </t>
  </si>
  <si>
    <t>HAMBURG</t>
  </si>
  <si>
    <t>870-853-2467</t>
  </si>
  <si>
    <t>HAMILTON CONTINUING CARE CENTER</t>
  </si>
  <si>
    <t xml:space="preserve">1059 EDINBURG ROAD </t>
  </si>
  <si>
    <t>609-588-0091</t>
  </si>
  <si>
    <t>HAMILTON EATERY</t>
  </si>
  <si>
    <t xml:space="preserve">41 LEBANON STREET </t>
  </si>
  <si>
    <t>315-825-9051</t>
  </si>
  <si>
    <t>HAMILTON MEMORIAL HOSPITAL DIST</t>
  </si>
  <si>
    <t xml:space="preserve">611 S MARSHALL AVENUE </t>
  </si>
  <si>
    <t>MCLEANSBORO</t>
  </si>
  <si>
    <t>618-643-2361</t>
  </si>
  <si>
    <t>HAMILTON NURSING HOME</t>
  </si>
  <si>
    <t xml:space="preserve">590 E GRAND BLVD </t>
  </si>
  <si>
    <t>313-921-1580</t>
  </si>
  <si>
    <t>HAMPTON COURT NURSING AND REHAB CENTER</t>
  </si>
  <si>
    <t xml:space="preserve">16100 NW 2ND AVENUE </t>
  </si>
  <si>
    <t>NORTH MIAMI BEACH</t>
  </si>
  <si>
    <t>305-354-8800</t>
  </si>
  <si>
    <t>HANA TRAVEL PLAZA RESTAURANT</t>
  </si>
  <si>
    <t xml:space="preserve">105 E 7TH STREET </t>
  </si>
  <si>
    <t>817-706-4408</t>
  </si>
  <si>
    <t>HANCEVILLE NURSING HOME</t>
  </si>
  <si>
    <t xml:space="preserve">420 N MAIN STREET </t>
  </si>
  <si>
    <t>HANCEVILLE</t>
  </si>
  <si>
    <t>256-352-6481</t>
  </si>
  <si>
    <t>HANCOCK SCHOOLS</t>
  </si>
  <si>
    <t xml:space="preserve">501 CAMPUS DRIVE </t>
  </si>
  <si>
    <t>906-457-5925</t>
  </si>
  <si>
    <t>HANDMAKER JEWISH SERVICES FOR THE AGING</t>
  </si>
  <si>
    <t xml:space="preserve">2221 N ROSEMONT BLVD </t>
  </si>
  <si>
    <t>520-322-3620</t>
  </si>
  <si>
    <t>HANDS OF GRACE ASSISTED LIVING</t>
  </si>
  <si>
    <t xml:space="preserve">155 RIDGEFIELD DRIVE </t>
  </si>
  <si>
    <t>276-646-5435</t>
  </si>
  <si>
    <t>HANNIBAL HEALTH RESOURCES INC.</t>
  </si>
  <si>
    <t xml:space="preserve">210 ROCK ROAD </t>
  </si>
  <si>
    <t>573-221-9103</t>
  </si>
  <si>
    <t>HANOVER HEALTH CARE CENTER</t>
  </si>
  <si>
    <t xml:space="preserve">8139 LEE DAVIS ROAD </t>
  </si>
  <si>
    <t>23111-7001</t>
  </si>
  <si>
    <t>804-559-5030</t>
  </si>
  <si>
    <t>HANSFORD MANOR</t>
  </si>
  <si>
    <t xml:space="preserve">707 ROLAND STREET </t>
  </si>
  <si>
    <t>SPEARMAN</t>
  </si>
  <si>
    <t>806-659-2535</t>
  </si>
  <si>
    <t>HAPEVILLE MANOR</t>
  </si>
  <si>
    <t xml:space="preserve">601 COLEMAN STREET </t>
  </si>
  <si>
    <t>HAPEVILLE</t>
  </si>
  <si>
    <t>404-767-5874</t>
  </si>
  <si>
    <t>HAPPA J'S</t>
  </si>
  <si>
    <t xml:space="preserve">2016 S EL CAMINO REAL </t>
  </si>
  <si>
    <t>949-276-6657</t>
  </si>
  <si>
    <t>HAPPY COOKS (UNIV OF TEXAS AUSTIN)</t>
  </si>
  <si>
    <t xml:space="preserve">WCH 4 132 INNER CAMPUS DR </t>
  </si>
  <si>
    <t>817-714-8183</t>
  </si>
  <si>
    <t>HAPPY TRAILS LEARNING CENTER</t>
  </si>
  <si>
    <t xml:space="preserve">14865 W HIGHWAY 29 </t>
  </si>
  <si>
    <t>LIBERTY HILL</t>
  </si>
  <si>
    <t>512-515-0555</t>
  </si>
  <si>
    <t>HARBERT HILLS NURSING HOME</t>
  </si>
  <si>
    <t xml:space="preserve">3575 LONESOME PINE ROAD </t>
  </si>
  <si>
    <t>731-925-5495</t>
  </si>
  <si>
    <t>HARBOR BEACH COMMUNITY HOSPITAL</t>
  </si>
  <si>
    <t xml:space="preserve">210 SOUTH FIRST STREET </t>
  </si>
  <si>
    <t>HARBOR BEACH</t>
  </si>
  <si>
    <t>989-479-3201</t>
  </si>
  <si>
    <t>HARBOR GRILL DANA POINT</t>
  </si>
  <si>
    <t xml:space="preserve">34499 GOLDEN LANTERN </t>
  </si>
  <si>
    <t>949-240-1416</t>
  </si>
  <si>
    <t>HARBOR HALL CHEBOYGAN</t>
  </si>
  <si>
    <t xml:space="preserve">520 N. MAIN STREET SUITE 106 </t>
  </si>
  <si>
    <t>PETOSKY</t>
  </si>
  <si>
    <t>231-597-9235</t>
  </si>
  <si>
    <t>HARBOR HALL PETOSKEY</t>
  </si>
  <si>
    <t xml:space="preserve">704 EMMET STREET </t>
  </si>
  <si>
    <t>231-347-5511</t>
  </si>
  <si>
    <t>HARBOR HEALTH CARE OF IRONTON</t>
  </si>
  <si>
    <t xml:space="preserve">1050 CLINTON STREET </t>
  </si>
  <si>
    <t>740-532-6096</t>
  </si>
  <si>
    <t>HARBOR HOUSE MINISTRIES</t>
  </si>
  <si>
    <t xml:space="preserve">919 44TH STREET </t>
  </si>
  <si>
    <t>JENISON</t>
  </si>
  <si>
    <t>616-457-9600</t>
  </si>
  <si>
    <t>HARBOR OAKS HOSPITAL</t>
  </si>
  <si>
    <t xml:space="preserve">35031 23 MILE ROAD </t>
  </si>
  <si>
    <t>NEW BALTIMORE</t>
  </si>
  <si>
    <t>586-725-5777</t>
  </si>
  <si>
    <t>HARBOR PLACE ESTATES</t>
  </si>
  <si>
    <t xml:space="preserve">1054 S HIGHWAY 47 </t>
  </si>
  <si>
    <t>636-922-9595</t>
  </si>
  <si>
    <t>HARBOR VIEW CARE CENTER</t>
  </si>
  <si>
    <t xml:space="preserve">1314 THIRD STREET </t>
  </si>
  <si>
    <t>361-888-5511</t>
  </si>
  <si>
    <t>HARBORCHASE OF AIKEN</t>
  </si>
  <si>
    <t xml:space="preserve">1385 SILVER BLUFF RD </t>
  </si>
  <si>
    <t>803-642-8444</t>
  </si>
  <si>
    <t>HARBORCHASE OF COLUMBIA</t>
  </si>
  <si>
    <t xml:space="preserve">120 FAIR FOREST RD </t>
  </si>
  <si>
    <t>803-781-2243</t>
  </si>
  <si>
    <t>HARBORCHASE OF CORAL SPRINGS</t>
  </si>
  <si>
    <t xml:space="preserve">2978 NW 99TH ST </t>
  </si>
  <si>
    <t>954-255-5557</t>
  </si>
  <si>
    <t>HARBORCHASE OF GAINESVILLE</t>
  </si>
  <si>
    <t xml:space="preserve">1415 FORT CLARKE BLVD </t>
  </si>
  <si>
    <t>352-332-4505</t>
  </si>
  <si>
    <t>HARBORCHASE OF HUNTSVILLE</t>
  </si>
  <si>
    <t xml:space="preserve">4801 WHITESPORT CIRCLE </t>
  </si>
  <si>
    <t>256-650-1155</t>
  </si>
  <si>
    <t>HARBORCHASE OF JACKSONVILLE</t>
  </si>
  <si>
    <t xml:space="preserve">3455 SAN PABLO RD. SOUTH </t>
  </si>
  <si>
    <t>904-821-8030</t>
  </si>
  <si>
    <t>HARBORCHASE OF NAPLES</t>
  </si>
  <si>
    <t xml:space="preserve">7801 AIRPORT PULLING ROAD </t>
  </si>
  <si>
    <t>239-566-8077</t>
  </si>
  <si>
    <t>HARBORCHASE OF NORTH COLLIER</t>
  </si>
  <si>
    <t xml:space="preserve">101 CYRESS WAY EAST </t>
  </si>
  <si>
    <t>239-514-0300</t>
  </si>
  <si>
    <t>HARBORCHASE OF PALM HARBOR</t>
  </si>
  <si>
    <t xml:space="preserve">2960 TAMPA RD </t>
  </si>
  <si>
    <t>727-781-8686</t>
  </si>
  <si>
    <t>HARBORCHASE OF ROCK HILL</t>
  </si>
  <si>
    <t xml:space="preserve">1611 CONSTITUTION BLVD </t>
  </si>
  <si>
    <t>803-981-6855</t>
  </si>
  <si>
    <t>HARBORCHASE OF TALLAHASSEE</t>
  </si>
  <si>
    <t xml:space="preserve">100 KNOX RD </t>
  </si>
  <si>
    <t>850-531-0404</t>
  </si>
  <si>
    <t>HARBORCHASE OF TAMARAC</t>
  </si>
  <si>
    <t xml:space="preserve">6855 NW 70TH AVE </t>
  </si>
  <si>
    <t>954-722-0212</t>
  </si>
  <si>
    <t>HARBORCHASE OF VENICE</t>
  </si>
  <si>
    <t xml:space="preserve">950 PIEBROOK RD </t>
  </si>
  <si>
    <t>941-484-8801</t>
  </si>
  <si>
    <t>HARBORCHASE OF VERO BEACH</t>
  </si>
  <si>
    <t xml:space="preserve">4150 INDIAN RIVER ROAD </t>
  </si>
  <si>
    <t>772-778-7727</t>
  </si>
  <si>
    <t>HARBORCHASE OF VILLAGE CROSSINGS</t>
  </si>
  <si>
    <t xml:space="preserve">13517 NE 86TH CT </t>
  </si>
  <si>
    <t>LADY LAKE</t>
  </si>
  <si>
    <t>HARBORS EDGE RETIREMENT COMMUNITY</t>
  </si>
  <si>
    <t xml:space="preserve">ONE COLLEY AVENUE </t>
  </si>
  <si>
    <t>757-616-7900</t>
  </si>
  <si>
    <t>HARBORSIDE OF SWANTON</t>
  </si>
  <si>
    <t xml:space="preserve">401 W AIRPORT HIGHWAY </t>
  </si>
  <si>
    <t>SWANTON</t>
  </si>
  <si>
    <t>419-825-1111</t>
  </si>
  <si>
    <t>HARBORVIEW HEALTH SYSTEMS PIERCE COUNTY</t>
  </si>
  <si>
    <t xml:space="preserve">221 E CARTER AVENUE </t>
  </si>
  <si>
    <t>BLACKSHEAR</t>
  </si>
  <si>
    <t>912-449-6631</t>
  </si>
  <si>
    <t>HARBORVIEW HEALTH SYSTEMS JESUP</t>
  </si>
  <si>
    <t xml:space="preserve">1090 W ORANGE STREET </t>
  </si>
  <si>
    <t>JESUP</t>
  </si>
  <si>
    <t>912-427-6858</t>
  </si>
  <si>
    <t>HARBORVIEW HEALTH SYSTEMS SATILLA</t>
  </si>
  <si>
    <t xml:space="preserve">1600 RIVERSIDE AVENUE </t>
  </si>
  <si>
    <t>912-283-1182</t>
  </si>
  <si>
    <t>HARBORVIEW HEALTH SYSTEMS THOMASTON</t>
  </si>
  <si>
    <t xml:space="preserve">310 AVENUE F </t>
  </si>
  <si>
    <t>THOMASTON</t>
  </si>
  <si>
    <t>706-647-6676</t>
  </si>
  <si>
    <t>HARBORVIEW REHABILITATION</t>
  </si>
  <si>
    <t xml:space="preserve">812 SHEPARD STREET </t>
  </si>
  <si>
    <t>MOREHEAD CITY</t>
  </si>
  <si>
    <t>252-726-6855</t>
  </si>
  <si>
    <t>HARBOUR POINTE MEDICAL &amp; REHAB CENTER</t>
  </si>
  <si>
    <t xml:space="preserve">1005 HAMPTON BOULEVARD </t>
  </si>
  <si>
    <t>23507-1505</t>
  </si>
  <si>
    <t>757-623-5602</t>
  </si>
  <si>
    <t>HARDIN HILLS HEALTH CENTER</t>
  </si>
  <si>
    <t xml:space="preserve">1211 W LIMA STREET </t>
  </si>
  <si>
    <t>KENTON</t>
  </si>
  <si>
    <t>419-673-5251</t>
  </si>
  <si>
    <t>HARLEE MANOR NURSING &amp; REHAB CTR</t>
  </si>
  <si>
    <t xml:space="preserve">463 WEST SPROUL ROAD </t>
  </si>
  <si>
    <t>610-544-2200</t>
  </si>
  <si>
    <t>HARLEM PUBLIC SCHOOLS (K-12)</t>
  </si>
  <si>
    <t xml:space="preserve">610 1ST AVE SE </t>
  </si>
  <si>
    <t>HARLEM</t>
  </si>
  <si>
    <t>406-353-2287</t>
  </si>
  <si>
    <t>HARMONEE HOUSE</t>
  </si>
  <si>
    <t xml:space="preserve">1400 MAIN STREET </t>
  </si>
  <si>
    <t>806-246-3505</t>
  </si>
  <si>
    <t>HARMONY COURT - BELLEVUE</t>
  </si>
  <si>
    <t xml:space="preserve">1802 WALL STREET </t>
  </si>
  <si>
    <t xml:space="preserve">BELLEVUE </t>
  </si>
  <si>
    <t>402-291-4200</t>
  </si>
  <si>
    <t>HARMONY COURT - COUNCIL BLUFFS</t>
  </si>
  <si>
    <t xml:space="preserve">173 BENNETT AVE </t>
  </si>
  <si>
    <t>712-388-9000</t>
  </si>
  <si>
    <t>HARMONY HALL ADULT CARE RESIDENCE</t>
  </si>
  <si>
    <t xml:space="preserve">453 FIARY STON PARK HIGHWAY </t>
  </si>
  <si>
    <t>BASSETT</t>
  </si>
  <si>
    <t>276-629-3533</t>
  </si>
  <si>
    <t>HARMONY HILLS</t>
  </si>
  <si>
    <t xml:space="preserve">18121 BOYS RANCH ROAD </t>
  </si>
  <si>
    <t>855-494-4557</t>
  </si>
  <si>
    <t>HARMONY HILLS ASSISTED LIVING-MERIDIAN</t>
  </si>
  <si>
    <t xml:space="preserve">1180 W OVERLAND ROAD </t>
  </si>
  <si>
    <t>208-605-3700</t>
  </si>
  <si>
    <t>HAROLD AND LOUISE ASSISTED LIVING</t>
  </si>
  <si>
    <t xml:space="preserve">137 ROSEWOOD DRIVE </t>
  </si>
  <si>
    <t>573-795-5012</t>
  </si>
  <si>
    <t>HARPOON EDDIES</t>
  </si>
  <si>
    <t xml:space="preserve">611 PARK AVENUE </t>
  </si>
  <si>
    <t>315-762-5238</t>
  </si>
  <si>
    <t>HARPOON HENRY'S DANA POINT</t>
  </si>
  <si>
    <t xml:space="preserve">34555 GOLDEN LANTERN </t>
  </si>
  <si>
    <t>949-493-2933</t>
  </si>
  <si>
    <t>HARRISON SENIOR LIVING</t>
  </si>
  <si>
    <t xml:space="preserve">300 LEMMON HILL LANE </t>
  </si>
  <si>
    <t>410-742-1432</t>
  </si>
  <si>
    <t>HART CARE CENTER INC.</t>
  </si>
  <si>
    <t xml:space="preserve">261 FAIRVIEW AVENUE </t>
  </si>
  <si>
    <t>HARTWELL</t>
  </si>
  <si>
    <t>706-376-7121</t>
  </si>
  <si>
    <t>HARTLEY HALL NURSING HOME</t>
  </si>
  <si>
    <t xml:space="preserve">1006 MARKET ST </t>
  </si>
  <si>
    <t>POCOMOKE CITY</t>
  </si>
  <si>
    <t>410-957-2252</t>
  </si>
  <si>
    <t>HARTS HILL INN</t>
  </si>
  <si>
    <t xml:space="preserve">135 CLINTON STREET </t>
  </si>
  <si>
    <t>HARTSVILLE CONVALESCENT CENTER</t>
  </si>
  <si>
    <t xml:space="preserve">649 MCMURRAY BLVD </t>
  </si>
  <si>
    <t>615-374-2167</t>
  </si>
  <si>
    <t>HARVARD UNIV DINING SERVICES</t>
  </si>
  <si>
    <t xml:space="preserve">46 BLACKSTONE ST </t>
  </si>
  <si>
    <t>617-496-6727</t>
  </si>
  <si>
    <t>HARVARD UNIVERSITY</t>
  </si>
  <si>
    <t xml:space="preserve">46 BLACKSTONE STREET </t>
  </si>
  <si>
    <t>HARVEST VIEW</t>
  </si>
  <si>
    <t xml:space="preserve">100 HARVEST VIEW LANE </t>
  </si>
  <si>
    <t>HERSCHER</t>
  </si>
  <si>
    <t>815-426-2000</t>
  </si>
  <si>
    <t>HAVEN ADULT FOSTER CARE LTD</t>
  </si>
  <si>
    <t xml:space="preserve">516 MEMPHIS ROAD </t>
  </si>
  <si>
    <t>ARMADA</t>
  </si>
  <si>
    <t>586-754-8890</t>
  </si>
  <si>
    <t>HAVEN CONVALESCENT HOME INC</t>
  </si>
  <si>
    <t xml:space="preserve">725 PAUL STREET </t>
  </si>
  <si>
    <t>724-654-8833</t>
  </si>
  <si>
    <t>HAVEN MEADOWS FLORISSANT</t>
  </si>
  <si>
    <t xml:space="preserve">615 RANCHO </t>
  </si>
  <si>
    <t>314-839-2150</t>
  </si>
  <si>
    <t>HAVENWOOD ASSISTED LIVING</t>
  </si>
  <si>
    <t xml:space="preserve">50 HAVENWOOD DRIVE </t>
  </si>
  <si>
    <t>540-463-2205</t>
  </si>
  <si>
    <t>HAVENWYCK HOSPITAL</t>
  </si>
  <si>
    <t xml:space="preserve">1525 UNIVERSITY DRIVE </t>
  </si>
  <si>
    <t>248-373-9200</t>
  </si>
  <si>
    <t>HAVERFORD COLLEGE</t>
  </si>
  <si>
    <t xml:space="preserve">370 LANCASTER AVE. </t>
  </si>
  <si>
    <t>610-896-1106</t>
  </si>
  <si>
    <t>HAVERFORD COLLEGE - COOP</t>
  </si>
  <si>
    <t xml:space="preserve">370 LANCASTER AVE </t>
  </si>
  <si>
    <t>HAVERFORD COLLEGE - DINING CENTE</t>
  </si>
  <si>
    <t>HAVRE PUBLIC SCHOOLS</t>
  </si>
  <si>
    <t xml:space="preserve">425 6TH ST </t>
  </si>
  <si>
    <t>406-265-6732</t>
  </si>
  <si>
    <t>HAVRE PUBLIC SCHOOLS-BOOSTER CLUB</t>
  </si>
  <si>
    <t xml:space="preserve">425 6TH STREET </t>
  </si>
  <si>
    <t>406-265-4356</t>
  </si>
  <si>
    <t>HAWKS POINT</t>
  </si>
  <si>
    <t xml:space="preserve">1266 SIGNAL BUTTE ROAD </t>
  </si>
  <si>
    <t>DICKSON</t>
  </si>
  <si>
    <t>701-225-9173</t>
  </si>
  <si>
    <t>HAYES CONVALESCENT HOSPITAL</t>
  </si>
  <si>
    <t xml:space="preserve">1250 HAYES ST </t>
  </si>
  <si>
    <t>SAN FRANSCISCO</t>
  </si>
  <si>
    <t>415-931-8806</t>
  </si>
  <si>
    <t>HAYNES VIEW</t>
  </si>
  <si>
    <t xml:space="preserve">4340 PRINCE WILLIAM PKWY </t>
  </si>
  <si>
    <t>703-583-1951</t>
  </si>
  <si>
    <t>HAYS NURSING CENTER</t>
  </si>
  <si>
    <t xml:space="preserve">1900 MEDICAL CENTER </t>
  </si>
  <si>
    <t>512-396-1888</t>
  </si>
  <si>
    <t>HAYS/LODGE POLE PUBLIC SCHOOLS (K-12)</t>
  </si>
  <si>
    <t xml:space="preserve">STATE HWY 66 </t>
  </si>
  <si>
    <t>406-673-3120</t>
  </si>
  <si>
    <t>HAYWARD CONVALESCENT HOSPITAL</t>
  </si>
  <si>
    <t xml:space="preserve">1832 B STREET </t>
  </si>
  <si>
    <t>510-538-3866</t>
  </si>
  <si>
    <t>HAYWOOD LODGE RETIREMENT INC.</t>
  </si>
  <si>
    <t xml:space="preserve">251 SHELTON ST. </t>
  </si>
  <si>
    <t>828-456-8365</t>
  </si>
  <si>
    <t>HAZEL CREEK ASSISTED LIVING</t>
  </si>
  <si>
    <t xml:space="preserve">6125 HAZEL AVENUE </t>
  </si>
  <si>
    <t>916-988-7901</t>
  </si>
  <si>
    <t>HAZELTON MOFFIT BRADDOCK PUBLIC SCHOOL</t>
  </si>
  <si>
    <t xml:space="preserve">211 HAZEL AVENUE </t>
  </si>
  <si>
    <t>HAZELTON</t>
  </si>
  <si>
    <t>701-782-6231</t>
  </si>
  <si>
    <t>HEALTH CARE CENTER AT BRANDERMILL</t>
  </si>
  <si>
    <t xml:space="preserve">2100 BRANDERMILL PARKWAY </t>
  </si>
  <si>
    <t>804-379-7100</t>
  </si>
  <si>
    <t>HEALTH CARE CENTER OF W MEMPHIS</t>
  </si>
  <si>
    <t xml:space="preserve">610 SOUTH AVALON </t>
  </si>
  <si>
    <t>W MEMPHIS</t>
  </si>
  <si>
    <t>HEALTH CARE CONCEPTS</t>
  </si>
  <si>
    <t xml:space="preserve">7124 HULL STREET </t>
  </si>
  <si>
    <t>804-276-7666</t>
  </si>
  <si>
    <t>HEALTH RESEARCH OF HAMPTON ROADS INC</t>
  </si>
  <si>
    <t xml:space="preserve">720 THIMBLE SHOALS BLVD #110 </t>
  </si>
  <si>
    <t>757-591-8100</t>
  </si>
  <si>
    <t>HEALTHCARE CENTER OF HERTFORD</t>
  </si>
  <si>
    <t xml:space="preserve">ROUTE 4 BOX 894 </t>
  </si>
  <si>
    <t>HERTFORD</t>
  </si>
  <si>
    <t>252-264-2777</t>
  </si>
  <si>
    <t>HEALTHCARE MANAGEMENT</t>
  </si>
  <si>
    <t>573-701-0600</t>
  </si>
  <si>
    <t>HEALTHIQUE GROUP</t>
  </si>
  <si>
    <t xml:space="preserve">P.O. BOX 9268 </t>
  </si>
  <si>
    <t>828-261-7315</t>
  </si>
  <si>
    <t>HEALTHY ALTERNATIVES TYRONE</t>
  </si>
  <si>
    <t xml:space="preserve">13607 S EAGLE VALLEY RD </t>
  </si>
  <si>
    <t>888-868-3108</t>
  </si>
  <si>
    <t>HEART LIVING CENTERS OF COLORADO</t>
  </si>
  <si>
    <t xml:space="preserve">101 SOUTH UNION BLVD </t>
  </si>
  <si>
    <t>719-634-3711</t>
  </si>
  <si>
    <t>HEARTHSIDE AT CASTLE HEIGHTS</t>
  </si>
  <si>
    <t xml:space="preserve">215 CASTLE HEIGHTS AVENUE NORTH </t>
  </si>
  <si>
    <t>615-443-1994</t>
  </si>
  <si>
    <t xml:space="preserve">1424 S 1700 E </t>
  </si>
  <si>
    <t>801-798-1500</t>
  </si>
  <si>
    <t>HEARTLAND ALLIANCE</t>
  </si>
  <si>
    <t xml:space="preserve">4822 N BROADWAY AVE </t>
  </si>
  <si>
    <t>773-433-1235</t>
  </si>
  <si>
    <t xml:space="preserve">604 E FENTON </t>
  </si>
  <si>
    <t>MARCUS</t>
  </si>
  <si>
    <t>712-376-2500</t>
  </si>
  <si>
    <t>HEARTLAND HEAD START</t>
  </si>
  <si>
    <t xml:space="preserve">206 STILLWELL ST </t>
  </si>
  <si>
    <t>309-662-4880</t>
  </si>
  <si>
    <t>HEARTLAND HEAD START-PONTIAC</t>
  </si>
  <si>
    <t xml:space="preserve">1303 E INDIANA AVE </t>
  </si>
  <si>
    <t>HEARTLAND HOME HEALTH &amp; HOSPICE</t>
  </si>
  <si>
    <t xml:space="preserve">8774 YATES DR #100 </t>
  </si>
  <si>
    <t>303-926-1001</t>
  </si>
  <si>
    <t>HEARTLAND PLAZA</t>
  </si>
  <si>
    <t xml:space="preserve">2128 DENVER HARNER DRIVE </t>
  </si>
  <si>
    <t>918-542-4040</t>
  </si>
  <si>
    <t>HEARTLAND SENIOR LIVING-TRUMAN</t>
  </si>
  <si>
    <t xml:space="preserve">400 N 4TH AVENUE E </t>
  </si>
  <si>
    <t>507-776-2031</t>
  </si>
  <si>
    <t>HEATH SPRINGS RESIDENTIAL CARE</t>
  </si>
  <si>
    <t xml:space="preserve">614 HART STREET </t>
  </si>
  <si>
    <t>HEATH SPRINGS</t>
  </si>
  <si>
    <t>803-273-3227</t>
  </si>
  <si>
    <t>HEATHERWOOD RETIREMENT COMMUNITY</t>
  </si>
  <si>
    <t xml:space="preserve">9642 BURKE LAKE ROAD </t>
  </si>
  <si>
    <t>703-425-1698</t>
  </si>
  <si>
    <t>HEAVENER NURSING HOME</t>
  </si>
  <si>
    <t xml:space="preserve">204 WEST 1ST STREET </t>
  </si>
  <si>
    <t>HEAVENER</t>
  </si>
  <si>
    <t>918-653-2464</t>
  </si>
  <si>
    <t>HEBREW HOME GREATER WASHINGTON</t>
  </si>
  <si>
    <t xml:space="preserve">6121 MONTROSE ROAD </t>
  </si>
  <si>
    <t>301-881-0300</t>
  </si>
  <si>
    <t>HEIDELBERG CAFE</t>
  </si>
  <si>
    <t xml:space="preserve">1100 S COAST HIGHWAY #116 </t>
  </si>
  <si>
    <t>949-735-2197</t>
  </si>
  <si>
    <t>HEISINGER LUTHERAN HOME</t>
  </si>
  <si>
    <t xml:space="preserve">1002 WEST MAIN </t>
  </si>
  <si>
    <t>573-636-6288</t>
  </si>
  <si>
    <t>HELEN PURCELL HOME</t>
  </si>
  <si>
    <t xml:space="preserve">1854 NORWOOD BLVD </t>
  </si>
  <si>
    <t>740-453-1745</t>
  </si>
  <si>
    <t>HELPING HAND</t>
  </si>
  <si>
    <t xml:space="preserve">3804 AVENUE B </t>
  </si>
  <si>
    <t>512-459-3353</t>
  </si>
  <si>
    <t>HENDERSON COLLEGIATE</t>
  </si>
  <si>
    <t xml:space="preserve">1071 OLD EPSOM ROAD </t>
  </si>
  <si>
    <t>252-204-4742</t>
  </si>
  <si>
    <t>HENDERSON COUNTY DETENTION CTR</t>
  </si>
  <si>
    <t xml:space="preserve">380 BORAX DRIVE </t>
  </si>
  <si>
    <t>270-827-5560</t>
  </si>
  <si>
    <t>HENNIS CARE CENTER OF BOLIVAR</t>
  </si>
  <si>
    <t xml:space="preserve">300 YANT STREET </t>
  </si>
  <si>
    <t>330-874-9999</t>
  </si>
  <si>
    <t>HENNIS CARE CENTRE DOVER</t>
  </si>
  <si>
    <t xml:space="preserve">1720 CROSS STREET </t>
  </si>
  <si>
    <t>216-364-8849</t>
  </si>
  <si>
    <t>HENRICO HEALTH CARE CENTER</t>
  </si>
  <si>
    <t xml:space="preserve">P.O. BOX 319 </t>
  </si>
  <si>
    <t>HIGHLAND SPRINGS</t>
  </si>
  <si>
    <t>23075-0319</t>
  </si>
  <si>
    <t>804-737-0172</t>
  </si>
  <si>
    <t>HENRY COUNTY BOARD OF EDUC-CHILD NUTRI PROG</t>
  </si>
  <si>
    <t xml:space="preserve">300 N TRAWICK ST </t>
  </si>
  <si>
    <t>334-585-2206</t>
  </si>
  <si>
    <t>HENRY COUNTY NURSING HOME</t>
  </si>
  <si>
    <t xml:space="preserve">212 DOTHAN ROAD </t>
  </si>
  <si>
    <t>334-585-2241</t>
  </si>
  <si>
    <t>HENRY COUNTY SENIOR CENTER</t>
  </si>
  <si>
    <t xml:space="preserve">203 ROHRS STREET </t>
  </si>
  <si>
    <t>419-599-5515</t>
  </si>
  <si>
    <t>HEREFORD CARE CENTER</t>
  </si>
  <si>
    <t xml:space="preserve">231 KINGWOOD </t>
  </si>
  <si>
    <t>806-364-7113</t>
  </si>
  <si>
    <t xml:space="preserve">RT.4 BOX 17 </t>
  </si>
  <si>
    <t>304-842-4135</t>
  </si>
  <si>
    <t>HERITAGE ACADEMY MONTEREY</t>
  </si>
  <si>
    <t xml:space="preserve">23100 CLARKRANGE HIGHWAY </t>
  </si>
  <si>
    <t>931-839-6675</t>
  </si>
  <si>
    <t>HERITAGE ADULT DAY HEALTH CARE CTR INC</t>
  </si>
  <si>
    <t xml:space="preserve">2020 N WEBER AVENUE # 123 </t>
  </si>
  <si>
    <t>559-222-0304</t>
  </si>
  <si>
    <t>HERITAGE ASSISTED LIVING YUKON</t>
  </si>
  <si>
    <t xml:space="preserve">9025 NW ESPRESSWAY </t>
  </si>
  <si>
    <t>405-722-5552</t>
  </si>
  <si>
    <t>HERITAGE AT BRANDON PLACE</t>
  </si>
  <si>
    <t xml:space="preserve">13500 BRANDON PLACE </t>
  </si>
  <si>
    <t>405-720-0010</t>
  </si>
  <si>
    <t>HERITAGE AT LONGVIEW HEALTHCARE CENTER</t>
  </si>
  <si>
    <t xml:space="preserve">112 RUTH LYNN DRIVE </t>
  </si>
  <si>
    <t>903-753-8611</t>
  </si>
  <si>
    <t>HERITAGE AT TURNER PARK HEALTH AND REHAB</t>
  </si>
  <si>
    <t xml:space="preserve">820 SMALL STREET </t>
  </si>
  <si>
    <t>972-262-1351</t>
  </si>
  <si>
    <t>HERITAGE CENTER - GENESIS</t>
  </si>
  <si>
    <t xml:space="preserve">101 13TH STREET </t>
  </si>
  <si>
    <t>304-525-7622</t>
  </si>
  <si>
    <t>HOLIDAY HEALTH CARE</t>
  </si>
  <si>
    <t>HERITAGE CENTER-EVANSVILLE</t>
  </si>
  <si>
    <t xml:space="preserve">1201 W BUENA VISTA ROAD </t>
  </si>
  <si>
    <t>812-429-0700</t>
  </si>
  <si>
    <t>HERITAGE CREEK ASSISTED LIVING</t>
  </si>
  <si>
    <t xml:space="preserve">6538 ECKHART ROAD </t>
  </si>
  <si>
    <t>210-446-2120</t>
  </si>
  <si>
    <t>HERITAGE GARDENS OF SPRINGVILLE</t>
  </si>
  <si>
    <t xml:space="preserve">321 EAST 800 SOUTH </t>
  </si>
  <si>
    <t>801-489-3344</t>
  </si>
  <si>
    <t xml:space="preserve">7080 BOOKS FARM ROAD </t>
  </si>
  <si>
    <t>HERITAGE GREEN ASSISTED LIVING</t>
  </si>
  <si>
    <t xml:space="preserve">200 LILLIAN LANE </t>
  </si>
  <si>
    <t>434-338-7928</t>
  </si>
  <si>
    <t>HERITAGE HALL - BIG STONE GAP</t>
  </si>
  <si>
    <t xml:space="preserve">2045 VALLEY VIEW DRIVE </t>
  </si>
  <si>
    <t>BIG STONE GAP</t>
  </si>
  <si>
    <t>276-523-3000</t>
  </si>
  <si>
    <t>HERITAGE HALL - BLACKSBURG</t>
  </si>
  <si>
    <t xml:space="preserve">3610 S. MAIN STREET </t>
  </si>
  <si>
    <t>540-951-7000</t>
  </si>
  <si>
    <t>HERITAGE HALL - BLACKSTONE</t>
  </si>
  <si>
    <t>434-292-5301</t>
  </si>
  <si>
    <t>HERITAGE HALL - BROOKNEAL</t>
  </si>
  <si>
    <t xml:space="preserve">P.O. BOX 1470 </t>
  </si>
  <si>
    <t>BROOKNEAL</t>
  </si>
  <si>
    <t>434-376-3717</t>
  </si>
  <si>
    <t>HERITAGE HALL - CLINTWOOD</t>
  </si>
  <si>
    <t xml:space="preserve">P.O. BOX 909 </t>
  </si>
  <si>
    <t>CLINTWOOD</t>
  </si>
  <si>
    <t>276-926-4693</t>
  </si>
  <si>
    <t>HERITAGE HALL - DILLWYN</t>
  </si>
  <si>
    <t xml:space="preserve">P.O. BOX 580 </t>
  </si>
  <si>
    <t>DILLWYN</t>
  </si>
  <si>
    <t>434-983-2058</t>
  </si>
  <si>
    <t>HERITAGE HALL - FRONT ROYAL</t>
  </si>
  <si>
    <t xml:space="preserve">400 WEST STRASBURG ROAD </t>
  </si>
  <si>
    <t>540-636-3700</t>
  </si>
  <si>
    <t>HERITAGE HALL - GRUNDY</t>
  </si>
  <si>
    <t xml:space="preserve">2966 STATE CREEK ROAD </t>
  </si>
  <si>
    <t>GRUNDY</t>
  </si>
  <si>
    <t>276-935-8144</t>
  </si>
  <si>
    <t>HERITAGE HALL - KING GEORGE</t>
  </si>
  <si>
    <t xml:space="preserve">10051 FOXES WAY </t>
  </si>
  <si>
    <t>KING GEORGE</t>
  </si>
  <si>
    <t>540-775-4000</t>
  </si>
  <si>
    <t>HERITAGE HALL - LAUREL MEADOWS</t>
  </si>
  <si>
    <t xml:space="preserve">16600 DANVILLE PIKE </t>
  </si>
  <si>
    <t>LAUREL FORK</t>
  </si>
  <si>
    <t>276-398-2117</t>
  </si>
  <si>
    <t>HERITAGE HALL - LEESBURG</t>
  </si>
  <si>
    <t xml:space="preserve">122 MORVEN PARK ROAD NW </t>
  </si>
  <si>
    <t>703-777-8700</t>
  </si>
  <si>
    <t>HERITAGE HALL - LEXINGTON</t>
  </si>
  <si>
    <t xml:space="preserve">205 HOUSTON STREET </t>
  </si>
  <si>
    <t>540-464-8181</t>
  </si>
  <si>
    <t>HERITAGE HALL - NASSAWADOX</t>
  </si>
  <si>
    <t xml:space="preserve">P.O. BOX 176 </t>
  </si>
  <si>
    <t>NASAWADOX</t>
  </si>
  <si>
    <t>757-442-5600</t>
  </si>
  <si>
    <t>HERITAGE HALL - TAZEWELL</t>
  </si>
  <si>
    <t xml:space="preserve">121 BEN BOLT AVENUE </t>
  </si>
  <si>
    <t>TAZEWELL</t>
  </si>
  <si>
    <t>276-988-2515</t>
  </si>
  <si>
    <t>HERITAGE HALL - WISE</t>
  </si>
  <si>
    <t xml:space="preserve">P.O. BOX 1009 </t>
  </si>
  <si>
    <t>WISE</t>
  </si>
  <si>
    <t>276-328-2721</t>
  </si>
  <si>
    <t>HERITAGE HEALTH CARE HUTSONVLE</t>
  </si>
  <si>
    <t xml:space="preserve">P O BOX 278 207 WOOD LANE </t>
  </si>
  <si>
    <t>HUTSONVILLE</t>
  </si>
  <si>
    <t>618-563-4806</t>
  </si>
  <si>
    <t>HERITAGE HEALTH CARE TUSCALOOSA</t>
  </si>
  <si>
    <t xml:space="preserve">1101 SNOWS MILL AVENUE </t>
  </si>
  <si>
    <t>205-759-5179</t>
  </si>
  <si>
    <t>HERITAGE HEALTH SERVICES</t>
  </si>
  <si>
    <t xml:space="preserve">1009 W QUINN ROAD </t>
  </si>
  <si>
    <t>208-238-0088</t>
  </si>
  <si>
    <t>HERITAGE HEALTH SERVICES-TF</t>
  </si>
  <si>
    <t xml:space="preserve">1219 CHENEY DRIVE WEST </t>
  </si>
  <si>
    <t>208-410-4040</t>
  </si>
  <si>
    <t>HERITAGE HILLS</t>
  </si>
  <si>
    <t xml:space="preserve">411 M WEST STREET </t>
  </si>
  <si>
    <t>918-423-2920</t>
  </si>
  <si>
    <t>HERITAGE HILLS RETIREMENT COMMUNITY</t>
  </si>
  <si>
    <t xml:space="preserve">2256 SHANKS CHURCH ROAD </t>
  </si>
  <si>
    <t>GREENCASTLE</t>
  </si>
  <si>
    <t>717-593-0334</t>
  </si>
  <si>
    <t>HERITAGE HOME</t>
  </si>
  <si>
    <t xml:space="preserve">515 WARLEY ST </t>
  </si>
  <si>
    <t>843-662-4573</t>
  </si>
  <si>
    <t>HERITAGE HOSPICE</t>
  </si>
  <si>
    <t xml:space="preserve">1202 W BUENA VISTA RD STE 107 </t>
  </si>
  <si>
    <t>812-475-9712</t>
  </si>
  <si>
    <t>HERITAGE HOUSE OF MARSHALL HEALTH AND REHAB CENTER</t>
  </si>
  <si>
    <t xml:space="preserve">5915 ELYSIAN FIELDS ROAD </t>
  </si>
  <si>
    <t>903-835-6700</t>
  </si>
  <si>
    <t>HERITAGE HOUSE MCDERMOTT-THB</t>
  </si>
  <si>
    <t xml:space="preserve">BOX 280 STATE ROUTE 104 </t>
  </si>
  <si>
    <t>MCDERMOTT</t>
  </si>
  <si>
    <t>740-858-6464</t>
  </si>
  <si>
    <t>HERITAGE HOUSE SANTA BARBARA</t>
  </si>
  <si>
    <t xml:space="preserve">5200 HOLLISTER AVENUE </t>
  </si>
  <si>
    <t>805-967-2661</t>
  </si>
  <si>
    <t>HERITAGE INN</t>
  </si>
  <si>
    <t xml:space="preserve">220 S PANTOPS DR </t>
  </si>
  <si>
    <t>434-977-0002</t>
  </si>
  <si>
    <t>HERITAGE LANE</t>
  </si>
  <si>
    <t xml:space="preserve">1040 S LEBARON </t>
  </si>
  <si>
    <t>480-307-8809</t>
  </si>
  <si>
    <t>HERITAGE MANOR SENIOR LIVING</t>
  </si>
  <si>
    <t xml:space="preserve">4220 CLAIRTON BLVD </t>
  </si>
  <si>
    <t>412-882-8400</t>
  </si>
  <si>
    <t>HERITAGE OAKS RETIREMENT</t>
  </si>
  <si>
    <t xml:space="preserve">1100 GERMAN SCHOOL ROAD </t>
  </si>
  <si>
    <t>804-323-3800</t>
  </si>
  <si>
    <t>HERITAGE POINTE</t>
  </si>
  <si>
    <t xml:space="preserve">27356 BELLOGENTE </t>
  </si>
  <si>
    <t>MISSION VIEJO</t>
  </si>
  <si>
    <t>949-364-9685</t>
  </si>
  <si>
    <t>HERITAGE SPRINGS MEMORY CARE</t>
  </si>
  <si>
    <t xml:space="preserve">327 FARLEY CIRCLE </t>
  </si>
  <si>
    <t>570-522-3669</t>
  </si>
  <si>
    <t>HERITAGE SPRINGS MUNCY</t>
  </si>
  <si>
    <t xml:space="preserve">878 OLD CEMENT ROAD </t>
  </si>
  <si>
    <t>570-935-0938</t>
  </si>
  <si>
    <t>HERITAGE SQUARE NEW BOSTON</t>
  </si>
  <si>
    <t xml:space="preserve">3304 Rhodes Avenue </t>
  </si>
  <si>
    <t>NEW BOSTON</t>
  </si>
  <si>
    <t>614-456-8245</t>
  </si>
  <si>
    <t>HERITAGE UNIVERSITY</t>
  </si>
  <si>
    <t xml:space="preserve">3240 FORT ROAD </t>
  </si>
  <si>
    <t>TOPPENISH</t>
  </si>
  <si>
    <t>509-865-8613</t>
  </si>
  <si>
    <t>HERITAGE UNIVERSITY LEARNING CENTER</t>
  </si>
  <si>
    <t>HERITAGE WEST ADULT DAY HEALTH CARE CTR</t>
  </si>
  <si>
    <t xml:space="preserve">3677 W BEECHWOOD AVE </t>
  </si>
  <si>
    <t>559-261-0707</t>
  </si>
  <si>
    <t>HERMANN AREA DISTRICT HOSPITAL</t>
  </si>
  <si>
    <t xml:space="preserve">W 18TH AND WINE </t>
  </si>
  <si>
    <t>573-486-2191</t>
  </si>
  <si>
    <t>HERMITAGE OF NORTHERN VA</t>
  </si>
  <si>
    <t xml:space="preserve">5000 FAIRBANKS AVENUE </t>
  </si>
  <si>
    <t>703-820-5687</t>
  </si>
  <si>
    <t>HERMITAGE OF ROANOKE</t>
  </si>
  <si>
    <t xml:space="preserve">1009 OLD COUNTRY CLUB ROAD NW </t>
  </si>
  <si>
    <t>540-344-6248</t>
  </si>
  <si>
    <t>HERMITAGE ON THE EASTERN SHORE</t>
  </si>
  <si>
    <t xml:space="preserve">23610 NORTH STREET </t>
  </si>
  <si>
    <t>757-787-4343</t>
  </si>
  <si>
    <t>HERMITAGE RETIREMENT</t>
  </si>
  <si>
    <t xml:space="preserve">550 BAILEY ROAD </t>
  </si>
  <si>
    <t>910-738-7281</t>
  </si>
  <si>
    <t>HERMITAGE RETIREMENT CENTER</t>
  </si>
  <si>
    <t xml:space="preserve">401 N MAIN ST </t>
  </si>
  <si>
    <t>RAEFORD</t>
  </si>
  <si>
    <t>HERONS KEY</t>
  </si>
  <si>
    <t xml:space="preserve">4340 BORGEN BLVD </t>
  </si>
  <si>
    <t>253-892-7129</t>
  </si>
  <si>
    <t>HERRINGTON PLACE</t>
  </si>
  <si>
    <t xml:space="preserve">615 HERRINGTON ROAD </t>
  </si>
  <si>
    <t>731-584-6999</t>
  </si>
  <si>
    <t>HFAM SERVICES CORPORATION</t>
  </si>
  <si>
    <t xml:space="preserve">7135 MINSTREL WAY SUITE 104 </t>
  </si>
  <si>
    <t>410-290-5132</t>
  </si>
  <si>
    <t>HIALEAH TERRACE</t>
  </si>
  <si>
    <t xml:space="preserve">8407 HIALEAH WAY </t>
  </si>
  <si>
    <t>916-725-8484</t>
  </si>
  <si>
    <t>HICKORY ESTATES OF PANA</t>
  </si>
  <si>
    <t xml:space="preserve">101 N HICKORY </t>
  </si>
  <si>
    <t>PANA</t>
  </si>
  <si>
    <t>217-562-2022</t>
  </si>
  <si>
    <t>HICKORY ESTATES OF TAYLORVILLE</t>
  </si>
  <si>
    <t xml:space="preserve">1091 E 1500 NORTH ROAD </t>
  </si>
  <si>
    <t>217-824-3355</t>
  </si>
  <si>
    <t>HICKORY HILL RETIREMENT COMMUNITY</t>
  </si>
  <si>
    <t xml:space="preserve">900 CARY SHOP ROAD </t>
  </si>
  <si>
    <t>BURKEVILLE</t>
  </si>
  <si>
    <t>434-767-4225</t>
  </si>
  <si>
    <t>HICKS GOLDEN YEARS NURSING HOME</t>
  </si>
  <si>
    <t xml:space="preserve">1801 W HWY 90 </t>
  </si>
  <si>
    <t>606-348-6034</t>
  </si>
  <si>
    <t>HICO CARE CENTER</t>
  </si>
  <si>
    <t xml:space="preserve">712 RAILROAD ST PO BOX 200 </t>
  </si>
  <si>
    <t>HICO</t>
  </si>
  <si>
    <t>254-796-2111</t>
  </si>
  <si>
    <t>HIDDEN HOLLOW CAMP</t>
  </si>
  <si>
    <t xml:space="preserve">5127 POSSUM RUN RD </t>
  </si>
  <si>
    <t>BELLVILLE</t>
  </si>
  <si>
    <t>419-892-2007</t>
  </si>
  <si>
    <t>HIDDEN MEADOW MEMORY CARE</t>
  </si>
  <si>
    <t xml:space="preserve">240 HIDDEN MEADOW LANE </t>
  </si>
  <si>
    <t>COLUMBIA FALLS</t>
  </si>
  <si>
    <t>406-897-1017</t>
  </si>
  <si>
    <t>HIDDEN SPRINGS SENIOR LIVING</t>
  </si>
  <si>
    <t xml:space="preserve">973 BUCK MOUNTAIN ROAD </t>
  </si>
  <si>
    <t>540-636-2008</t>
  </si>
  <si>
    <t>HIDDEN TRAILS</t>
  </si>
  <si>
    <t xml:space="preserve">11601 HIDDEN TRAILS DRIVE </t>
  </si>
  <si>
    <t>573-624-3638</t>
  </si>
  <si>
    <t>HIDDEN VALLEY ASSISTED LIVING</t>
  </si>
  <si>
    <t xml:space="preserve">1367 SHADOW VALLEY DRIVE </t>
  </si>
  <si>
    <t>801-689-0500</t>
  </si>
  <si>
    <t>HIDDEN VALLEY NURSING &amp; REHAB CENTER</t>
  </si>
  <si>
    <t xml:space="preserve">422 23RD STREET </t>
  </si>
  <si>
    <t>OAKHILL</t>
  </si>
  <si>
    <t>304-465-1903</t>
  </si>
  <si>
    <t>HIDENWOOD RETIREMENT COMMUNITY (THE)</t>
  </si>
  <si>
    <t xml:space="preserve">50 WELLESLEY DRIVE </t>
  </si>
  <si>
    <t>757-930-1075</t>
  </si>
  <si>
    <t>HIGH DESERT HAVEN RIDGECREST</t>
  </si>
  <si>
    <t xml:space="preserve">1240 COLLEGE HEIGHTS BLVD </t>
  </si>
  <si>
    <t>RIDGECREST</t>
  </si>
  <si>
    <t>760-371-1989</t>
  </si>
  <si>
    <t>HIGH PEAK CAMP</t>
  </si>
  <si>
    <t xml:space="preserve">111 SALVATION LANE HWY 7 </t>
  </si>
  <si>
    <t>970-586-3311</t>
  </si>
  <si>
    <t>HIGHGROVE LONGTERM *</t>
  </si>
  <si>
    <t xml:space="preserve">2135 SOUTH SCALES STREET </t>
  </si>
  <si>
    <t>336-342-4112</t>
  </si>
  <si>
    <t>HIGHGROVE LONGTERM CARE CENTER</t>
  </si>
  <si>
    <t>HIGHLAND COMMUNITY COLLEGE</t>
  </si>
  <si>
    <t xml:space="preserve">2998 W PEARL CITY ROAD </t>
  </si>
  <si>
    <t>815-599-3571</t>
  </si>
  <si>
    <t>HIGHLAND COURT MEMORY CARE</t>
  </si>
  <si>
    <t xml:space="preserve">1704 MELODY LANE </t>
  </si>
  <si>
    <t>360-457-9598</t>
  </si>
  <si>
    <t>HIGHLAND COVE SALT LAKE CITY</t>
  </si>
  <si>
    <t xml:space="preserve">3750 HIGHLAND DRIVE </t>
  </si>
  <si>
    <t>801-272-8226</t>
  </si>
  <si>
    <t>HIGHLAND HOUSE OF FAYETTEVILLE</t>
  </si>
  <si>
    <t xml:space="preserve">1700 PAMALEE DRIVE </t>
  </si>
  <si>
    <t>910-484-2295</t>
  </si>
  <si>
    <t xml:space="preserve">2750 WEST HIGHLAND AVENUE </t>
  </si>
  <si>
    <t>847-741-4543</t>
  </si>
  <si>
    <t>HIGHLAND RIDGE ASSISTED LIVING</t>
  </si>
  <si>
    <t xml:space="preserve">180 SCOTTIE DRIVE </t>
  </si>
  <si>
    <t>270-659-2548</t>
  </si>
  <si>
    <t>HIGHLAND TERRACE</t>
  </si>
  <si>
    <t>HIGHLAND UNITED METHODIST CHURCH</t>
  </si>
  <si>
    <t xml:space="preserve">314 N FT THOMAS AVE </t>
  </si>
  <si>
    <t>FT THOMAS</t>
  </si>
  <si>
    <t>859-757-5416</t>
  </si>
  <si>
    <t>HIGHLANDVILLE SCHOOL</t>
  </si>
  <si>
    <t xml:space="preserve">1123 SPOKANE ROAD </t>
  </si>
  <si>
    <t xml:space="preserve">SPOKANE </t>
  </si>
  <si>
    <t>417-443-2200</t>
  </si>
  <si>
    <t>HIGHVIEW IN THE WOODLANDS</t>
  </si>
  <si>
    <t xml:space="preserve">1000 FALCON PT PLACE </t>
  </si>
  <si>
    <t>815-624-6700</t>
  </si>
  <si>
    <t>HILDEBRAND CARE CENTER</t>
  </si>
  <si>
    <t xml:space="preserve">1401 PHAY AVENUE </t>
  </si>
  <si>
    <t>719-275-8656</t>
  </si>
  <si>
    <t xml:space="preserve">1610 TWENTY-EIGHTH STREET </t>
  </si>
  <si>
    <t>HILLCREST ADULT CARE FACILITY</t>
  </si>
  <si>
    <t xml:space="preserve">2270 OAKLAND ROAD </t>
  </si>
  <si>
    <t>828-245-9765</t>
  </si>
  <si>
    <t>HILLCREST CARE CENTER</t>
  </si>
  <si>
    <t xml:space="preserve">348 EAST 8000 SOUTH </t>
  </si>
  <si>
    <t>801-566-4191</t>
  </si>
  <si>
    <t>HILLCREST CARE CENTER LAUREL</t>
  </si>
  <si>
    <t xml:space="preserve">702 CEDAR AVENUE </t>
  </si>
  <si>
    <t>402-256-3961</t>
  </si>
  <si>
    <t>HILLCREST CARE CTR &amp; THE TOWERS</t>
  </si>
  <si>
    <t xml:space="preserve">360 CANYON RIDGE DRIVE </t>
  </si>
  <si>
    <t>WRAY</t>
  </si>
  <si>
    <t>970-332-4856</t>
  </si>
  <si>
    <t>HILLCREST CONV CTR DURHAM</t>
  </si>
  <si>
    <t xml:space="preserve">1417 W PETTIGREW STREET </t>
  </si>
  <si>
    <t>919-286-7705</t>
  </si>
  <si>
    <t>HILLCREST HEALTHCARE CENTER LLC</t>
  </si>
  <si>
    <t xml:space="preserve">111 PEMBERTON DRIVE </t>
  </si>
  <si>
    <t>ASHLAND CITY</t>
  </si>
  <si>
    <t>615-792-9154</t>
  </si>
  <si>
    <t>HILLCREST HOME GENESEO</t>
  </si>
  <si>
    <t xml:space="preserve">14688 ILLINOIS HIGHWAY 82 </t>
  </si>
  <si>
    <t>GENESEO</t>
  </si>
  <si>
    <t>309-937-2102</t>
  </si>
  <si>
    <t>HILLCREST HOME HARRISON</t>
  </si>
  <si>
    <t xml:space="preserve">1111 MAPLEWOOD ROAD </t>
  </si>
  <si>
    <t>870-741-5001</t>
  </si>
  <si>
    <t>HILLCREST HOMES</t>
  </si>
  <si>
    <t xml:space="preserve">2705 MOUNTAIN VIEW DRIVE </t>
  </si>
  <si>
    <t>LA VERNE</t>
  </si>
  <si>
    <t>909-392-4393</t>
  </si>
  <si>
    <t>HILLCREST HOME-SUMNER</t>
  </si>
  <si>
    <t xml:space="preserve">915 W 1ST STREET </t>
  </si>
  <si>
    <t>563-578-8591</t>
  </si>
  <si>
    <t>HILLCREST MANOR SANITARIUM</t>
  </si>
  <si>
    <t xml:space="preserve">1889 NATIONAL CITY BLVD </t>
  </si>
  <si>
    <t>619-477-1176</t>
  </si>
  <si>
    <t>HILLCREST NURSING</t>
  </si>
  <si>
    <t xml:space="preserve">4280 CYPRESS DRIVE </t>
  </si>
  <si>
    <t>909-882-2965</t>
  </si>
  <si>
    <t>HILLCREST NURSING CENTER</t>
  </si>
  <si>
    <t xml:space="preserve">1401 FIRST AVENUE NE </t>
  </si>
  <si>
    <t>601-849-0384</t>
  </si>
  <si>
    <t>HILLCREST RALEIGH AT CRABTREE VALLEY</t>
  </si>
  <si>
    <t xml:space="preserve">3830 BLUE RIDGE RD </t>
  </si>
  <si>
    <t>919-781-4900</t>
  </si>
  <si>
    <t>HILLCREST RETIREMENT</t>
  </si>
  <si>
    <t xml:space="preserve">1093 S HILTON STREET </t>
  </si>
  <si>
    <t>208-345-4460</t>
  </si>
  <si>
    <t>HILL'S HOME FOR ADULTS</t>
  </si>
  <si>
    <t xml:space="preserve">1443 COMMERCE AVE </t>
  </si>
  <si>
    <t>757-545-8797</t>
  </si>
  <si>
    <t>HILLSDALE COUNTY SENIOR SERVICE CENTER</t>
  </si>
  <si>
    <t xml:space="preserve">320 W BACON STREET </t>
  </si>
  <si>
    <t>517-437-2422</t>
  </si>
  <si>
    <t>HILLSIDE (THE)</t>
  </si>
  <si>
    <t xml:space="preserve">2725 FOUR MILE DRIVE </t>
  </si>
  <si>
    <t>MONTOURSVILLE</t>
  </si>
  <si>
    <t>570-322-4436</t>
  </si>
  <si>
    <t>HILLSIDE CARE CENTER HANNIBAL</t>
  </si>
  <si>
    <t xml:space="preserve">321 N SECTION STREET </t>
  </si>
  <si>
    <t>573-221-1439</t>
  </si>
  <si>
    <t>HILLSIDE ESTATES SUITES</t>
  </si>
  <si>
    <t xml:space="preserve">1526 INDEPENDENCE AVENUE </t>
  </si>
  <si>
    <t>CONNELLSVILLE</t>
  </si>
  <si>
    <t>724-366-4239</t>
  </si>
  <si>
    <t>HILLSIDE HOUSE</t>
  </si>
  <si>
    <t xml:space="preserve">1235 VERONICA SPRINGS ROAD </t>
  </si>
  <si>
    <t>805-687-0788</t>
  </si>
  <si>
    <t>HILLSIDE MANOR PERSONAL CARE HOME</t>
  </si>
  <si>
    <t xml:space="preserve">177 OLIVER ROAD </t>
  </si>
  <si>
    <t>724-439-2273</t>
  </si>
  <si>
    <t>HILLSIDE NURSING OF WAKE FOREST</t>
  </si>
  <si>
    <t xml:space="preserve">968 EAST WAIT AVE PO BOX 1826 </t>
  </si>
  <si>
    <t>919-556-4082</t>
  </si>
  <si>
    <t>HILLTOP COMMUNITY RESOURCE</t>
  </si>
  <si>
    <t xml:space="preserve">1331 HERMOSA AVENUE </t>
  </si>
  <si>
    <t>970-242-0445</t>
  </si>
  <si>
    <t>HILLTOP GROUP HOME</t>
  </si>
  <si>
    <t xml:space="preserve">8961 COUNTY RD 393 </t>
  </si>
  <si>
    <t>MILLERSBURG</t>
  </si>
  <si>
    <t>330-674-3080</t>
  </si>
  <si>
    <t>HILLTOP HOME</t>
  </si>
  <si>
    <t xml:space="preserve">2820 KIDD ROAD </t>
  </si>
  <si>
    <t>919-231-8315</t>
  </si>
  <si>
    <t>HILLTOP HOTEL</t>
  </si>
  <si>
    <t xml:space="preserve">213 TAUNTON AVE </t>
  </si>
  <si>
    <t>SEEKONK</t>
  </si>
  <si>
    <t>800-230-4134</t>
  </si>
  <si>
    <t>HILLTOP HOUSE</t>
  </si>
  <si>
    <t xml:space="preserve">1005 TERRACE STREET </t>
  </si>
  <si>
    <t>206-624-5704</t>
  </si>
  <si>
    <t>HILLTOP RECOVERY SERVICES</t>
  </si>
  <si>
    <t xml:space="preserve">14720 CATHOLIC CHURCH RD </t>
  </si>
  <si>
    <t>CLEARLAKE OAKS</t>
  </si>
  <si>
    <t>530-249-9914</t>
  </si>
  <si>
    <t>HILLTOP VILLAGE RETIREMENT COMMUNITY</t>
  </si>
  <si>
    <t xml:space="preserve">25900 EUCLID AVENUE </t>
  </si>
  <si>
    <t>216-261-8383</t>
  </si>
  <si>
    <t>HILLVIEW CONVALESCENT HOSPITAL</t>
  </si>
  <si>
    <t xml:space="preserve">530 W DUNNE AVENUE </t>
  </si>
  <si>
    <t>MORGAN HILL</t>
  </si>
  <si>
    <t>408-779-3633</t>
  </si>
  <si>
    <t>HILLVIEW HEALTHCARE CENTER</t>
  </si>
  <si>
    <t xml:space="preserve">512 NO 11TH STREET </t>
  </si>
  <si>
    <t>618-658-2951</t>
  </si>
  <si>
    <t>HILLVIEW TERRACE MONTGOMERY</t>
  </si>
  <si>
    <t xml:space="preserve">100 PERRY HILL ROAD </t>
  </si>
  <si>
    <t>334-272-0171</t>
  </si>
  <si>
    <t>HILTON PLAZA</t>
  </si>
  <si>
    <t xml:space="preserve">311 MAIN STREET </t>
  </si>
  <si>
    <t>757-596-6010</t>
  </si>
  <si>
    <t xml:space="preserve">201 BELLE STREET </t>
  </si>
  <si>
    <t>HOAGIES</t>
  </si>
  <si>
    <t xml:space="preserve">3255 SCOTT BLVD #4 </t>
  </si>
  <si>
    <t>408-727-6481</t>
  </si>
  <si>
    <t>HODGES' MANOR *</t>
  </si>
  <si>
    <t xml:space="preserve">410 ADKINS ROAD </t>
  </si>
  <si>
    <t>804-674-8925</t>
  </si>
  <si>
    <t>HOFFMAN HOUSE</t>
  </si>
  <si>
    <t xml:space="preserve">7550 E STATE STREET </t>
  </si>
  <si>
    <t>815-397-5800</t>
  </si>
  <si>
    <t>HOFFMAN HOUSE CATERING</t>
  </si>
  <si>
    <t xml:space="preserve">1530 HUBBARD AVENUE UNIT D </t>
  </si>
  <si>
    <t>630-406-0330</t>
  </si>
  <si>
    <t>HOLBROOK ON THE HILL NURSING AND REHAB</t>
  </si>
  <si>
    <t xml:space="preserve">346 S FLORIDA ST </t>
  </si>
  <si>
    <t>BUCKHANNON</t>
  </si>
  <si>
    <t>304-472-3280</t>
  </si>
  <si>
    <t>HOLDREGE MEMORIAL HOME</t>
  </si>
  <si>
    <t xml:space="preserve">1320 11TH AVE </t>
  </si>
  <si>
    <t>308-995-8631</t>
  </si>
  <si>
    <t>HOLIDAY HILL</t>
  </si>
  <si>
    <t xml:space="preserve">245 HIGHWAY 153 </t>
  </si>
  <si>
    <t>COLEMAN</t>
  </si>
  <si>
    <t>325-625-4157</t>
  </si>
  <si>
    <t>HOLIDAY HOUSE</t>
  </si>
  <si>
    <t xml:space="preserve">4211 COUNTY STREET </t>
  </si>
  <si>
    <t>757-397-6352</t>
  </si>
  <si>
    <t>HOLIDAY RETIREMENT VILLAGE- EVANSVLLE</t>
  </si>
  <si>
    <t xml:space="preserve">1200 W BUENA VISTA ROAD </t>
  </si>
  <si>
    <t>812-429-0701</t>
  </si>
  <si>
    <t>HOLLAND LAKE NURSING CENTER</t>
  </si>
  <si>
    <t xml:space="preserve">1201 HOLLAND LAKE DRIVE </t>
  </si>
  <si>
    <t>WEATHERFORD</t>
  </si>
  <si>
    <t>817-598-0160</t>
  </si>
  <si>
    <t>HOLLANDER SENIOR LIVING</t>
  </si>
  <si>
    <t xml:space="preserve">171 HWY 78 NW </t>
  </si>
  <si>
    <t>770-267-7050</t>
  </si>
  <si>
    <t>HOLLANDER SENIOR LIVING AND MEMORY CARE</t>
  </si>
  <si>
    <t xml:space="preserve">5399 NORTHLAND DRIVE NE </t>
  </si>
  <si>
    <t>404-477-3800</t>
  </si>
  <si>
    <t>HOLLENBECK PALMS</t>
  </si>
  <si>
    <t xml:space="preserve">573 BOYLE AVENUE </t>
  </si>
  <si>
    <t>323-268-3655</t>
  </si>
  <si>
    <t>HOLLINS MANOR</t>
  </si>
  <si>
    <t xml:space="preserve">7610 WILLIAMSON ROAD </t>
  </si>
  <si>
    <t>540-563-1212</t>
  </si>
  <si>
    <t>HOLLY SPRINGS SENIOR CITIZENS HM</t>
  </si>
  <si>
    <t xml:space="preserve">1881 BIG ISLAND ROAD </t>
  </si>
  <si>
    <t>828-245-7781</t>
  </si>
  <si>
    <t xml:space="preserve">2000 ST ANNE DRIVE </t>
  </si>
  <si>
    <t>859-781-0712</t>
  </si>
  <si>
    <t xml:space="preserve">5300 CHESTER AVE </t>
  </si>
  <si>
    <t>215-729-5153</t>
  </si>
  <si>
    <t>HOLY SPIRIT RETIREMENT HOME</t>
  </si>
  <si>
    <t xml:space="preserve">1701 WEST 25TH STREET </t>
  </si>
  <si>
    <t>712-252-2726</t>
  </si>
  <si>
    <t>HOLY TRINITY SCHOOL</t>
  </si>
  <si>
    <t xml:space="preserve">2601 NAGEL ROAD </t>
  </si>
  <si>
    <t>440-397-6420</t>
  </si>
  <si>
    <t>HOME</t>
  </si>
  <si>
    <t xml:space="preserve">124 VALLEY VISTA DRIVE </t>
  </si>
  <si>
    <t>540-459-2111</t>
  </si>
  <si>
    <t>HOME AID</t>
  </si>
  <si>
    <t xml:space="preserve">P.O. BOX 334 </t>
  </si>
  <si>
    <t>FARMVILLE</t>
  </si>
  <si>
    <t>804-392-4614</t>
  </si>
  <si>
    <t>HOME ALTERNATIVE OF TAMPA BAY</t>
  </si>
  <si>
    <t xml:space="preserve">300 FRANDORSON CIRCLE #100 </t>
  </si>
  <si>
    <t>APOLLO BEACH</t>
  </si>
  <si>
    <t>HOME HEALTHCARE OF NORTHERN NEVADA</t>
  </si>
  <si>
    <t xml:space="preserve">3785 BAKER LANE #203 </t>
  </si>
  <si>
    <t>775-432-1223</t>
  </si>
  <si>
    <t>HOME LIFE IN THE GARDENS</t>
  </si>
  <si>
    <t xml:space="preserve">1101 ALINE STREET </t>
  </si>
  <si>
    <t>504-894-6100</t>
  </si>
  <si>
    <t>HOME NURSE HOSPICE</t>
  </si>
  <si>
    <t xml:space="preserve">2920 N EXPRESSWAY </t>
  </si>
  <si>
    <t>SUNNYSIDE</t>
  </si>
  <si>
    <t>770-229-9153</t>
  </si>
  <si>
    <t>HOME NURSE INC</t>
  </si>
  <si>
    <t xml:space="preserve">2920N EXPRESSWAY </t>
  </si>
  <si>
    <t>HOME NURSING SERVICE OF SOUTHWEST VIRGINIA</t>
  </si>
  <si>
    <t xml:space="preserve">220 WEST VALLEY STREET </t>
  </si>
  <si>
    <t>HOME OF HOPE INC. PURCHASING</t>
  </si>
  <si>
    <t xml:space="preserve">960 WEST HOPE AVENUE </t>
  </si>
  <si>
    <t>918-256-7825</t>
  </si>
  <si>
    <t>HOMECARE OF VIRGINIA INC</t>
  </si>
  <si>
    <t xml:space="preserve">P.O. BOX 4687 </t>
  </si>
  <si>
    <t>HOMECREST HOUSE</t>
  </si>
  <si>
    <t xml:space="preserve">14508 HOMECREST RD </t>
  </si>
  <si>
    <t>301-598-4000</t>
  </si>
  <si>
    <t>HOMELIFE ON GLYNCO</t>
  </si>
  <si>
    <t xml:space="preserve">1550 GLYNCO PARKWAY </t>
  </si>
  <si>
    <t>912-280-0078</t>
  </si>
  <si>
    <t>HOMESPUN HOSPICE LLC</t>
  </si>
  <si>
    <t xml:space="preserve">1060 RED BUD ROAD </t>
  </si>
  <si>
    <t>706-383-2346</t>
  </si>
  <si>
    <t>HOMESTEAD AT HICKORY VIEW</t>
  </si>
  <si>
    <t xml:space="preserve">1481 MARBACH DRIVE </t>
  </si>
  <si>
    <t>314-239-1941</t>
  </si>
  <si>
    <t>HOMESTEAD HILLS</t>
  </si>
  <si>
    <t xml:space="preserve">3250 HOMESTEAD CLUB DRIVE </t>
  </si>
  <si>
    <t>336-659-0708</t>
  </si>
  <si>
    <t>HOMESTEAD I PAINESVILLE-THB</t>
  </si>
  <si>
    <t xml:space="preserve">164 LIBERTY DRIVE </t>
  </si>
  <si>
    <t>HOMESTEAD II PAINESVILLE-THB</t>
  </si>
  <si>
    <t xml:space="preserve">60 WOOD STREET </t>
  </si>
  <si>
    <t>HOMESTEAD RESIDENTIAL CARE</t>
  </si>
  <si>
    <t xml:space="preserve">35284 SOUTH 4440 ROAD </t>
  </si>
  <si>
    <t xml:space="preserve">VINITA </t>
  </si>
  <si>
    <t>918-782-9969</t>
  </si>
  <si>
    <t>HOMESTEAD YOUTH &amp; FAMILY SERVICES INC</t>
  </si>
  <si>
    <t xml:space="preserve">816 SE 15TH STREET </t>
  </si>
  <si>
    <t>541-276-5433</t>
  </si>
  <si>
    <t>HONEY BAKED HAM N HOLLYWOOD</t>
  </si>
  <si>
    <t xml:space="preserve">10106 RIVERSIDE DRIVE </t>
  </si>
  <si>
    <t>818-766-3958</t>
  </si>
  <si>
    <t>HONEY BEE ACADEMY</t>
  </si>
  <si>
    <t xml:space="preserve">101 REDWOOD BLVD </t>
  </si>
  <si>
    <t>605-582-8222</t>
  </si>
  <si>
    <t>HONEYROCK-NORTHWOODS CAMP &amp; CAMPUS OF WHEATON COLLEGE</t>
  </si>
  <si>
    <t xml:space="preserve">8660 HONEY ROCK ROAD </t>
  </si>
  <si>
    <t>THREE LAKES</t>
  </si>
  <si>
    <t>715-479-7474</t>
  </si>
  <si>
    <t>HOOD MEMORIAL HOSPITAL</t>
  </si>
  <si>
    <t xml:space="preserve">301 WEST WALNUT STREET </t>
  </si>
  <si>
    <t>AMITE</t>
  </si>
  <si>
    <t>985-748-9485</t>
  </si>
  <si>
    <t>HOOTS MEMORIAL HOSPITAL</t>
  </si>
  <si>
    <t xml:space="preserve">P.O. BOX 68 </t>
  </si>
  <si>
    <t>YADKINVILLE</t>
  </si>
  <si>
    <t>336-679-2041</t>
  </si>
  <si>
    <t>HOOVER HAUS</t>
  </si>
  <si>
    <t xml:space="preserve">3675 HOOVER ROAD </t>
  </si>
  <si>
    <t>614-875-7600</t>
  </si>
  <si>
    <t>HOPE ARBOR ASSISTED LIVING OF MURRELLS INLET</t>
  </si>
  <si>
    <t xml:space="preserve">12287 SC 707 </t>
  </si>
  <si>
    <t>843-340-1700</t>
  </si>
  <si>
    <t>HOPE ASSISTED LIVING OF LORIS</t>
  </si>
  <si>
    <t xml:space="preserve">260 WATSON HERITAGE RD </t>
  </si>
  <si>
    <t>LORIS</t>
  </si>
  <si>
    <t>HOPE AT HOME HEALTH CARE</t>
  </si>
  <si>
    <t xml:space="preserve">2 CORPORATE DRIVE STE 100 </t>
  </si>
  <si>
    <t>800-462-5632</t>
  </si>
  <si>
    <t>HOPE HAVEN</t>
  </si>
  <si>
    <t xml:space="preserve">3815 N TRYON STREET </t>
  </si>
  <si>
    <t>704-372-8809</t>
  </si>
  <si>
    <t>HOPE HEALTHCARE</t>
  </si>
  <si>
    <t xml:space="preserve">360 N IRBY ST </t>
  </si>
  <si>
    <t>843-595-2000</t>
  </si>
  <si>
    <t>HOPE MEMORY CARE DACULA</t>
  </si>
  <si>
    <t xml:space="preserve">1200 WINDER HIGHWAY </t>
  </si>
  <si>
    <t>DACULA</t>
  </si>
  <si>
    <t>770-963-4673</t>
  </si>
  <si>
    <t>HOPE NETWORK-COLDWATER</t>
  </si>
  <si>
    <t xml:space="preserve">265 MICHIGAN AVENUE </t>
  </si>
  <si>
    <t>517-278-5933</t>
  </si>
  <si>
    <t>HOPEDALE MEDICAL COMPLEX</t>
  </si>
  <si>
    <t xml:space="preserve">107 TREMONT AVENUE </t>
  </si>
  <si>
    <t>HOPEDALE</t>
  </si>
  <si>
    <t>309-449-3321</t>
  </si>
  <si>
    <t>HOPKINS MANOR</t>
  </si>
  <si>
    <t xml:space="preserve">1235 HOPKINS AVENUE </t>
  </si>
  <si>
    <t>650-368-5656</t>
  </si>
  <si>
    <t>HORIZON EDUCATIONAL CENTERS</t>
  </si>
  <si>
    <t xml:space="preserve">25300 LORAIN ROAD STE 2C </t>
  </si>
  <si>
    <t>440-779-1930</t>
  </si>
  <si>
    <t>HORIZON HEALTHCARE MANAGEMENT</t>
  </si>
  <si>
    <t xml:space="preserve">185 STRAFFORD UMBERGER DRIVE </t>
  </si>
  <si>
    <t>276-228-5440</t>
  </si>
  <si>
    <t>HORIZONS RESIDENTIAL CARE CENTER-ARCHES</t>
  </si>
  <si>
    <t xml:space="preserve">5900 BETHABARA ROAD </t>
  </si>
  <si>
    <t>336-661-2190</t>
  </si>
  <si>
    <t>HORIZONS RESIDENTIAL CARE CENTER-ATRIUM</t>
  </si>
  <si>
    <t xml:space="preserve">103 HORIZONS LANE </t>
  </si>
  <si>
    <t>RURAL HALL</t>
  </si>
  <si>
    <t>336-767-2411</t>
  </si>
  <si>
    <t>HORTON PLAZA</t>
  </si>
  <si>
    <t xml:space="preserve">1122 SPRING STREET </t>
  </si>
  <si>
    <t>541-770-1122</t>
  </si>
  <si>
    <t>HOSPICE AT CHARLOTTE</t>
  </si>
  <si>
    <t xml:space="preserve">1420 E. SEVENTH ST. </t>
  </si>
  <si>
    <t>704-735-0100</t>
  </si>
  <si>
    <t>HOSPICE HOUSE OF THE VALLEY</t>
  </si>
  <si>
    <t xml:space="preserve">9803 SHARROTT ROAD </t>
  </si>
  <si>
    <t>POLAND</t>
  </si>
  <si>
    <t>330-549-5850</t>
  </si>
  <si>
    <t>HOSPICE OF ARIZONA</t>
  </si>
  <si>
    <t xml:space="preserve">19820 N 7TH AVE STE 130 </t>
  </si>
  <si>
    <t>602-678-1313</t>
  </si>
  <si>
    <t>HOSPICE OF MCALESTER</t>
  </si>
  <si>
    <t xml:space="preserve">801 EAST WYANDOTTE AVENUE </t>
  </si>
  <si>
    <t>918-423-3911</t>
  </si>
  <si>
    <t>HOSPICE OF NORTH CENTRAL OHIO-ASHLAND COUNTY</t>
  </si>
  <si>
    <t xml:space="preserve">1021 DAUCH DRIVE </t>
  </si>
  <si>
    <t>419-281-7107</t>
  </si>
  <si>
    <t>HOSPICE OF NORTH CENTRAL OHIO-RICHLAND COUNTY</t>
  </si>
  <si>
    <t xml:space="preserve">2131 PARK AVENUE WEST </t>
  </si>
  <si>
    <t>419-524-9200</t>
  </si>
  <si>
    <t>HOSPICE OF WASHINGTON COUNTY</t>
  </si>
  <si>
    <t xml:space="preserve">747 NORTHERN AVE </t>
  </si>
  <si>
    <t>301-671-2176</t>
  </si>
  <si>
    <t>HOSPICE QUALITY CARE</t>
  </si>
  <si>
    <t xml:space="preserve">921 SOUTH SOONER ROAD </t>
  </si>
  <si>
    <t>405-619-9100</t>
  </si>
  <si>
    <t>HOT DOG PLACE INC</t>
  </si>
  <si>
    <t xml:space="preserve">31115 RANCHO VIEJO ROAD </t>
  </si>
  <si>
    <t>949-364-2099</t>
  </si>
  <si>
    <t>HOTEL MEAD</t>
  </si>
  <si>
    <t xml:space="preserve">451 E GRAND AVENUE </t>
  </si>
  <si>
    <t>715-423-1500</t>
  </si>
  <si>
    <t>HOUGHTON PORTAGE SCHOOLS</t>
  </si>
  <si>
    <t xml:space="preserve">203 JACKER AVENUE </t>
  </si>
  <si>
    <t>906-487-5920</t>
  </si>
  <si>
    <t>HOUSE CALLS HOME HEALTH AGENCY</t>
  </si>
  <si>
    <t xml:space="preserve">9378 OLIVE STREET ROAD #202 </t>
  </si>
  <si>
    <t>OLIVETTE</t>
  </si>
  <si>
    <t>314-432-3277</t>
  </si>
  <si>
    <t>HOWARD'S COFFEE SHOP CYPRESS</t>
  </si>
  <si>
    <t xml:space="preserve">4780 LINCOLN </t>
  </si>
  <si>
    <t>714-827-8422</t>
  </si>
  <si>
    <t>HOWELL NATURE CENTER</t>
  </si>
  <si>
    <t xml:space="preserve">1005 TRIANGLE LAKE ROAD </t>
  </si>
  <si>
    <t>517-546-7577</t>
  </si>
  <si>
    <t>HPSI BONUS AND INCENTIVES</t>
  </si>
  <si>
    <t xml:space="preserve">1 ADA SUITE 150 </t>
  </si>
  <si>
    <t>949-250-4774</t>
  </si>
  <si>
    <t>HPSI PURCHASING SERVICES</t>
  </si>
  <si>
    <t>HSL SNOW HILL NURSING AND REHAB</t>
  </si>
  <si>
    <t xml:space="preserve">430 WEST MARKET </t>
  </si>
  <si>
    <t>410-632-3753</t>
  </si>
  <si>
    <t>HSU-COLLEGE CREEK MARKETPLACE</t>
  </si>
  <si>
    <t xml:space="preserve">355 GRANITE AVENUE </t>
  </si>
  <si>
    <t>ARCADA</t>
  </si>
  <si>
    <t>707-826-3451</t>
  </si>
  <si>
    <t>HSU-COLLEGE OF REDWOODS</t>
  </si>
  <si>
    <t xml:space="preserve">JOLLY GIANT COMMONS-355 GRANITE </t>
  </si>
  <si>
    <t>HSU-DEPOT/WINDOWS</t>
  </si>
  <si>
    <t>HSU-GIANT'S CUPBOARD</t>
  </si>
  <si>
    <t>HSU-LIBRARY CAFE</t>
  </si>
  <si>
    <t xml:space="preserve">355 GRANITE </t>
  </si>
  <si>
    <t>HSU-POW WOW COMMITTEE</t>
  </si>
  <si>
    <t>HSU-THE J</t>
  </si>
  <si>
    <t>HSU-THE MARKETPLACE</t>
  </si>
  <si>
    <t>HUBBARD CARE CENTER</t>
  </si>
  <si>
    <t xml:space="preserve">403 S STATE BOX 667 </t>
  </si>
  <si>
    <t>HUBBARD</t>
  </si>
  <si>
    <t>641-864-3264</t>
  </si>
  <si>
    <t>HUBBARD HEALTH CARE MANAGEMENT</t>
  </si>
  <si>
    <t xml:space="preserve">206 SOUTHGATE DRIVE </t>
  </si>
  <si>
    <t>828-265-0080</t>
  </si>
  <si>
    <t>HUDSON GRANDE SENIOR LIVING</t>
  </si>
  <si>
    <t xml:space="preserve">5400 DARROW RD </t>
  </si>
  <si>
    <t>330-256-7062</t>
  </si>
  <si>
    <t>HUGHES HOME</t>
  </si>
  <si>
    <t xml:space="preserve">100 CAROLINE STREET </t>
  </si>
  <si>
    <t>540-373-4100</t>
  </si>
  <si>
    <t>HUGOS FAMILY RESTAURANT</t>
  </si>
  <si>
    <t xml:space="preserve">1217 ARCHER DRIVE </t>
  </si>
  <si>
    <t>918-341-2927</t>
  </si>
  <si>
    <t>HULA DOG</t>
  </si>
  <si>
    <t xml:space="preserve">2233 W BALBOA BLVD #109 </t>
  </si>
  <si>
    <t>949-220-7094</t>
  </si>
  <si>
    <t>HUMBOLDT STATE UNIVERSITY</t>
  </si>
  <si>
    <t>ARCATA</t>
  </si>
  <si>
    <t>HUMPHREYS COUNTY NURSING HOME</t>
  </si>
  <si>
    <t xml:space="preserve">104 FORT HILL ROAD </t>
  </si>
  <si>
    <t>931-296-2532</t>
  </si>
  <si>
    <t>HUNTER HILL SENIOR VILLAGE</t>
  </si>
  <si>
    <t xml:space="preserve">891 NOELL LANE </t>
  </si>
  <si>
    <t>252-443-7144</t>
  </si>
  <si>
    <t>HUNTINGTON HEALTHCARE &amp; REHAB</t>
  </si>
  <si>
    <t xml:space="preserve">220 EAST ASH STREET </t>
  </si>
  <si>
    <t>936-876-2273</t>
  </si>
  <si>
    <t>HUSSON UNIVERSITY-CAMPUS CENTER (CCT)</t>
  </si>
  <si>
    <t xml:space="preserve">1 COLLEGE CIR-DICKERSON DIN COMMONS </t>
  </si>
  <si>
    <t>207-941-7077</t>
  </si>
  <si>
    <t>HUSSON UNIVERSITY-DICKERMAN DINING COMMONS (DDC)</t>
  </si>
  <si>
    <t>HUSSON UNIVERSITY-GRAB &amp; GO (G&amp;G)</t>
  </si>
  <si>
    <t>HYDE PARK HEALTH CENTER</t>
  </si>
  <si>
    <t xml:space="preserve">4001 ROSSLYN DRIVE </t>
  </si>
  <si>
    <t>513-272-0600</t>
  </si>
  <si>
    <t>HYLITE COUNTRY LIVING</t>
  </si>
  <si>
    <t xml:space="preserve">6040 S 3RD AVENUE </t>
  </si>
  <si>
    <t>BOZEMAN</t>
  </si>
  <si>
    <t>406-219-3241</t>
  </si>
  <si>
    <t>I.O.O.F. HOME</t>
  </si>
  <si>
    <t xml:space="preserve">1037 19TH STREET SW </t>
  </si>
  <si>
    <t>641-423-0428</t>
  </si>
  <si>
    <t>ICHS LEGACY HOUSE</t>
  </si>
  <si>
    <t xml:space="preserve">803 SOUTH LANE STREET </t>
  </si>
  <si>
    <t>206-292-5184</t>
  </si>
  <si>
    <t>IDAHO STATE UNIVERSITY</t>
  </si>
  <si>
    <t xml:space="preserve">638 E DUNN </t>
  </si>
  <si>
    <t>208-282-3111</t>
  </si>
  <si>
    <t>ILIFF NURSING &amp; REHAB CENTER</t>
  </si>
  <si>
    <t xml:space="preserve">8000 ILIFF DRIVE </t>
  </si>
  <si>
    <t>DUNN LORING</t>
  </si>
  <si>
    <t>703-560-1000</t>
  </si>
  <si>
    <t>ILLINOIS PRESBYTERIAN HOME</t>
  </si>
  <si>
    <t xml:space="preserve">2005 W LAWRENCE AVE </t>
  </si>
  <si>
    <t>217-546-5622</t>
  </si>
  <si>
    <t>ILLINOIS VALLEY COMMUNITY HOSPITAL</t>
  </si>
  <si>
    <t xml:space="preserve">925 WEST STREET </t>
  </si>
  <si>
    <t>815-223-3300</t>
  </si>
  <si>
    <t>ILLINOIS VETERANS HOME OF LASALLE</t>
  </si>
  <si>
    <t xml:space="preserve">1015 OCONOR AVENUE </t>
  </si>
  <si>
    <t>LASALLE</t>
  </si>
  <si>
    <t>815-223-0303</t>
  </si>
  <si>
    <t>ILLINOIS VETERANS HOME-ANNA</t>
  </si>
  <si>
    <t xml:space="preserve">792 N MAIN STREET </t>
  </si>
  <si>
    <t>ANNA</t>
  </si>
  <si>
    <t>618-833-6302</t>
  </si>
  <si>
    <t>IMAGINE THAT LEARNING CENTER LLC</t>
  </si>
  <si>
    <t xml:space="preserve">804 E 2ND </t>
  </si>
  <si>
    <t>GILLETTE</t>
  </si>
  <si>
    <t>307-257-7788</t>
  </si>
  <si>
    <t>IMBODEN CREEK GARDENS</t>
  </si>
  <si>
    <t xml:space="preserve">185 W IMBODEN DRIVE </t>
  </si>
  <si>
    <t>217-233-1425</t>
  </si>
  <si>
    <t>IMBODEN CREEK LIVING CENTER</t>
  </si>
  <si>
    <t xml:space="preserve">180 WEST IMBODEN DRIVE </t>
  </si>
  <si>
    <t>Rhonda Luther</t>
  </si>
  <si>
    <t>217-422-6464</t>
  </si>
  <si>
    <t>IMMANUEL CAMPUS OF CARE</t>
  </si>
  <si>
    <t xml:space="preserve">11301 N 99TH AVENUE </t>
  </si>
  <si>
    <t>623-977-8373</t>
  </si>
  <si>
    <t>IMPACT CHARTER SCHOOL</t>
  </si>
  <si>
    <t xml:space="preserve">4815 LAVEY LANE </t>
  </si>
  <si>
    <t>BAKER</t>
  </si>
  <si>
    <t>225-308-9565</t>
  </si>
  <si>
    <t>IMPACT DRUG &amp; ALCOHOL TREATMENT CENTER</t>
  </si>
  <si>
    <t xml:space="preserve">1680 N FAIR OAKS AVENUE </t>
  </si>
  <si>
    <t>626-398-5875</t>
  </si>
  <si>
    <t>IMPERIAL HEALTHCARE CENTER</t>
  </si>
  <si>
    <t xml:space="preserve">11926 LA MIRADA BLVD </t>
  </si>
  <si>
    <t>562-943-7156</t>
  </si>
  <si>
    <t>IMPERIAL SENIOR SUITES</t>
  </si>
  <si>
    <t xml:space="preserve">27600 FRANKLIN ROAD </t>
  </si>
  <si>
    <t>248-200-0180</t>
  </si>
  <si>
    <t>INDEPENDENCE CARE CTR PERRY CNTY</t>
  </si>
  <si>
    <t xml:space="preserve">800 SOUTH KINGS HIGHWAY </t>
  </si>
  <si>
    <t>PERRYVILLE</t>
  </si>
  <si>
    <t>314-547-6546</t>
  </si>
  <si>
    <t>INDEPENDENCE HEALTH SERVICES</t>
  </si>
  <si>
    <t xml:space="preserve">140 NORTH UNION AVE #F350 </t>
  </si>
  <si>
    <t>801-298-1100</t>
  </si>
  <si>
    <t>INDEPENDENCE HOUSE</t>
  </si>
  <si>
    <t xml:space="preserve">1727 N. FAIRFAX DRIVE </t>
  </si>
  <si>
    <t>703-243-0964</t>
  </si>
  <si>
    <t>INDEPENDENCE MANOR AT HUNTERDON</t>
  </si>
  <si>
    <t xml:space="preserve">188 STATE HIGHWAY 31 </t>
  </si>
  <si>
    <t>FLEMINGTON</t>
  </si>
  <si>
    <t>908-788-4893</t>
  </si>
  <si>
    <t>INDEPENDENCE VILLAGE OF OLDE RALEIGH</t>
  </si>
  <si>
    <t xml:space="preserve">3113 CHARLES B ROOT WYND </t>
  </si>
  <si>
    <t>877-931-8238</t>
  </si>
  <si>
    <t>INDEPENDENCE VILLAGE OF WAUKEE</t>
  </si>
  <si>
    <t xml:space="preserve">1654 SE HOLIDAY CREST CIRCLE </t>
  </si>
  <si>
    <t>WAUKEE</t>
  </si>
  <si>
    <t>515-987-3625</t>
  </si>
  <si>
    <t>INDEPENDENT HOME HEALTH CARE</t>
  </si>
  <si>
    <t xml:space="preserve">P.O. BOX 1790 </t>
  </si>
  <si>
    <t>COEBURN</t>
  </si>
  <si>
    <t>540-395-5770</t>
  </si>
  <si>
    <t>INDEPENDENT LIVING SERVICES INC</t>
  </si>
  <si>
    <t xml:space="preserve">P O BOX 6395 </t>
  </si>
  <si>
    <t>208-375-5155</t>
  </si>
  <si>
    <t>INDEPENDENT OPTIONS WAREHOUSE</t>
  </si>
  <si>
    <t xml:space="preserve">1180 OLYMPIC DRIVE SUITE 101 </t>
  </si>
  <si>
    <t>951-279-2585</t>
  </si>
  <si>
    <t>INDIAN RIVER ASSISTED LIVING FACILITY</t>
  </si>
  <si>
    <t xml:space="preserve">11355 131ST ST. </t>
  </si>
  <si>
    <t>727-593-0403</t>
  </si>
  <si>
    <t>INGLESIDE ASSISTED LIVING</t>
  </si>
  <si>
    <t xml:space="preserve">1605 N BROOM STREET </t>
  </si>
  <si>
    <t>302-575-0250</t>
  </si>
  <si>
    <t>INGLESIDE AT ROCK CREEK</t>
  </si>
  <si>
    <t xml:space="preserve">3150 MILITARY RD NW </t>
  </si>
  <si>
    <t>202-363-0831</t>
  </si>
  <si>
    <t>INGLESIDE RETIREMENT APARTMENTS</t>
  </si>
  <si>
    <t xml:space="preserve">1005 N. FRANKLIN ST </t>
  </si>
  <si>
    <t>INGLIS HOUSE</t>
  </si>
  <si>
    <t xml:space="preserve">2600 BELMONT AVENUE </t>
  </si>
  <si>
    <t>215-581-0729</t>
  </si>
  <si>
    <t>INLAND CHRISTIAN CENTER</t>
  </si>
  <si>
    <t xml:space="preserve">1950 S MOUNTAIN AVENUE </t>
  </si>
  <si>
    <t>909-983-0084</t>
  </si>
  <si>
    <t>INLAND VALLEY MEDICAL CENTER</t>
  </si>
  <si>
    <t xml:space="preserve">36485 INLAND VALLEY DRIVE </t>
  </si>
  <si>
    <t>WILDOMAR</t>
  </si>
  <si>
    <t>267-525-8579</t>
  </si>
  <si>
    <t>INNOVA VEIN &amp; VASCULAR</t>
  </si>
  <si>
    <t xml:space="preserve">4600-B MONTGOMERY BLVD NE #100 </t>
  </si>
  <si>
    <t>719-423-6263</t>
  </si>
  <si>
    <t>INSPIRATION MINISTRIES WALWORTH</t>
  </si>
  <si>
    <t xml:space="preserve">N2270 STATE RD F INTERSECT HWY 67 </t>
  </si>
  <si>
    <t>WALWORTH</t>
  </si>
  <si>
    <t>262-275-6131</t>
  </si>
  <si>
    <t>INSPIRED LIVING-GRAND ROYALE</t>
  </si>
  <si>
    <t xml:space="preserve">2900 NE KENDALLWOOD PKWY </t>
  </si>
  <si>
    <t>GLADSTONE</t>
  </si>
  <si>
    <t>816-453-2273</t>
  </si>
  <si>
    <t>INSTITUTE ON AGING-GEARY</t>
  </si>
  <si>
    <t xml:space="preserve">3575 GEARY BLVD </t>
  </si>
  <si>
    <t>INTERCOMMUNITY CARE CENTER</t>
  </si>
  <si>
    <t xml:space="preserve">2626 GRAND AVE </t>
  </si>
  <si>
    <t>310-427-8915</t>
  </si>
  <si>
    <t>INTER-LAKE COMM ACTION NUTRITION</t>
  </si>
  <si>
    <t xml:space="preserve">111 NORTH VAN EPS AVENUE </t>
  </si>
  <si>
    <t>605-256-6518</t>
  </si>
  <si>
    <t>INTERNATIONAL INSTITUTE OF LOS ANGELES</t>
  </si>
  <si>
    <t xml:space="preserve">3845 SELIG PLACE </t>
  </si>
  <si>
    <t>323-987-8203</t>
  </si>
  <si>
    <t>IOSCO COUNTY SHERIFF</t>
  </si>
  <si>
    <t xml:space="preserve">428 LAKE STREET </t>
  </si>
  <si>
    <t xml:space="preserve">TAWAS CITY </t>
  </si>
  <si>
    <t>989-984-1104</t>
  </si>
  <si>
    <t>IOWA MASONIC HEALTH FACILITIES</t>
  </si>
  <si>
    <t xml:space="preserve">2500 GRANT STREET </t>
  </si>
  <si>
    <t>BETTENDORF</t>
  </si>
  <si>
    <t>563-359-9171</t>
  </si>
  <si>
    <t>IRIS MEMORY CARE OF TURTLE CREEK</t>
  </si>
  <si>
    <t xml:space="preserve">3611 DICKASON AVENUE </t>
  </si>
  <si>
    <t>214-559-0140</t>
  </si>
  <si>
    <t>IRON MOUNTAIN CENTRAL SCHOOLS</t>
  </si>
  <si>
    <t xml:space="preserve">440 WEST PROSPECT AVENUE </t>
  </si>
  <si>
    <t>906-779-7735</t>
  </si>
  <si>
    <t>IRON RIVER NURSING HOME</t>
  </si>
  <si>
    <t xml:space="preserve">330 LINCOLN AVE </t>
  </si>
  <si>
    <t>IRON RIVER</t>
  </si>
  <si>
    <t>906-265-5168</t>
  </si>
  <si>
    <t>ITALY'S LITTLE KITCHEN</t>
  </si>
  <si>
    <t xml:space="preserve">8516 LINCOLN BLVD </t>
  </si>
  <si>
    <t>310-645-1220</t>
  </si>
  <si>
    <t>IVY HALL NRG HOME - ELIZABETH</t>
  </si>
  <si>
    <t xml:space="preserve">301 WATAUGA AVENUE </t>
  </si>
  <si>
    <t>423-542-6512</t>
  </si>
  <si>
    <t>J. MICHAEL MORROW MEMORIAL HOME</t>
  </si>
  <si>
    <t xml:space="preserve">883 MAIN STREET </t>
  </si>
  <si>
    <t>ARNAULDVILLE</t>
  </si>
  <si>
    <t>337-754-7703</t>
  </si>
  <si>
    <t>JABA-LOUISA KITCHEN</t>
  </si>
  <si>
    <t xml:space="preserve">522 INDUSTRIAL DRIVE </t>
  </si>
  <si>
    <t>540-967-4435</t>
  </si>
  <si>
    <t>JACKSON MANOR NURSING HOME</t>
  </si>
  <si>
    <t xml:space="preserve">710 BROADRIDGE </t>
  </si>
  <si>
    <t>573-243-3101</t>
  </si>
  <si>
    <t>JACOB'S DWELLING NUSING HOME</t>
  </si>
  <si>
    <t xml:space="preserve">25680 TR 39 </t>
  </si>
  <si>
    <t>COSHOCTON</t>
  </si>
  <si>
    <t>740-824-3635</t>
  </si>
  <si>
    <t>JAMAIL &amp; SMITH CONSTRUCTION</t>
  </si>
  <si>
    <t xml:space="preserve">8868 RESEARCH BLVD SUITE 401 </t>
  </si>
  <si>
    <t>214-385-5330</t>
  </si>
  <si>
    <t>JAMIESON COMMUNITY CENTER</t>
  </si>
  <si>
    <t xml:space="preserve">1025 SOUTH 2ND STREET </t>
  </si>
  <si>
    <t>MONMOUTH</t>
  </si>
  <si>
    <t>309-734-4251</t>
  </si>
  <si>
    <t>JAMIESON NURSING HOME</t>
  </si>
  <si>
    <t xml:space="preserve">790 S US 23 </t>
  </si>
  <si>
    <t>989-724-6889</t>
  </si>
  <si>
    <t>JB JOHNSON NURSING CENTER</t>
  </si>
  <si>
    <t xml:space="preserve">901 FIRST AVENUE NW </t>
  </si>
  <si>
    <t>202-535-1100</t>
  </si>
  <si>
    <t>JCS CATERING CO</t>
  </si>
  <si>
    <t xml:space="preserve">4024 RADFORD AVE </t>
  </si>
  <si>
    <t>STUDIO CITY</t>
  </si>
  <si>
    <t>818-655-5692</t>
  </si>
  <si>
    <t>JEFF DAVIS LIVING CENTER</t>
  </si>
  <si>
    <t xml:space="preserve">1338 N CUTTING AVE </t>
  </si>
  <si>
    <t>337-824-3165</t>
  </si>
  <si>
    <t>JEFFERSON AREA BOARD FOR AGING</t>
  </si>
  <si>
    <t xml:space="preserve">674 HILLSDALE DRIVE SUITE 9 </t>
  </si>
  <si>
    <t>434-817-5222</t>
  </si>
  <si>
    <t>JEFFERSON COUNTY HOME HEALTH</t>
  </si>
  <si>
    <t xml:space="preserve">801 E 8TH </t>
  </si>
  <si>
    <t>JEFFERSON COUNTY HOSPITAL</t>
  </si>
  <si>
    <t xml:space="preserve">2000 S MAIN </t>
  </si>
  <si>
    <t>641-472-4111</t>
  </si>
  <si>
    <t>JEFFERSON HEIGHTS</t>
  </si>
  <si>
    <t xml:space="preserve">4600 KING STREET </t>
  </si>
  <si>
    <t>703-671-0400</t>
  </si>
  <si>
    <t>JEFFERSON LODGE ASSISTED LIVING</t>
  </si>
  <si>
    <t xml:space="preserve">828 JEFFERSON STREET </t>
  </si>
  <si>
    <t>573-642-7790</t>
  </si>
  <si>
    <t>JEFFERSON MANOR HEALTH CENTER</t>
  </si>
  <si>
    <t xml:space="preserve">417 ROUTE 28 </t>
  </si>
  <si>
    <t>814-849-8026</t>
  </si>
  <si>
    <t>JEFFERSON PARK OF DANDRIDGE</t>
  </si>
  <si>
    <t xml:space="preserve">914 INDUSTRIAL PARK ROAD </t>
  </si>
  <si>
    <t>DANDRIDGE</t>
  </si>
  <si>
    <t>865-397-3163</t>
  </si>
  <si>
    <t>JEFFERSON'S FERRY LIFECARE RETIREMENT COMMUNITY</t>
  </si>
  <si>
    <t xml:space="preserve">1 JEFFERSON FERRY DR </t>
  </si>
  <si>
    <t>631-650-2630</t>
  </si>
  <si>
    <t>JEFFREY'S CAFE &amp; CATERING</t>
  </si>
  <si>
    <t xml:space="preserve">25 S QUAKER LN </t>
  </si>
  <si>
    <t>703-751-1286</t>
  </si>
  <si>
    <t>JENKINS MEMORIAL HEALTH FACILITY</t>
  </si>
  <si>
    <t xml:space="preserve">142 JENKINS MEMORIAL ROAD </t>
  </si>
  <si>
    <t>WELLSTON</t>
  </si>
  <si>
    <t>740-384-2119</t>
  </si>
  <si>
    <t>JENNINGS AT BRECKSVILLE</t>
  </si>
  <si>
    <t xml:space="preserve">8736 BRECKSVILLE ROAD </t>
  </si>
  <si>
    <t>BRECKSVILLE</t>
  </si>
  <si>
    <t>216-589-2900</t>
  </si>
  <si>
    <t>JENNINGS CENTER FOR OLDER ADULTS</t>
  </si>
  <si>
    <t xml:space="preserve">1024 GRANGER ROAD </t>
  </si>
  <si>
    <t>216-581-2902</t>
  </si>
  <si>
    <t>JENNINGS TERRACE</t>
  </si>
  <si>
    <t xml:space="preserve">275 S LASALLE STREET </t>
  </si>
  <si>
    <t>630-897-6947</t>
  </si>
  <si>
    <t>JESUS HOUSE</t>
  </si>
  <si>
    <t xml:space="preserve">1335 W SHERIDAN </t>
  </si>
  <si>
    <t>405-232-7164</t>
  </si>
  <si>
    <t>JEWISH COMMUNITY CENTER-LOGAN CAMPUS</t>
  </si>
  <si>
    <t xml:space="preserve">3245 LOGANWAY </t>
  </si>
  <si>
    <t>330-746-3251</t>
  </si>
  <si>
    <t>JEWISH FAMILY SERVICES</t>
  </si>
  <si>
    <t xml:space="preserve">6718 PATTERSON AVE </t>
  </si>
  <si>
    <t>804-282-5644</t>
  </si>
  <si>
    <t>JIHRA PERSONAL CARE</t>
  </si>
  <si>
    <t xml:space="preserve">337 FREDERICK ST </t>
  </si>
  <si>
    <t>717-634-2521</t>
  </si>
  <si>
    <t>JO ELLEN SMITH LIVING CENTER</t>
  </si>
  <si>
    <t xml:space="preserve">4502 GENERAL MEYER AVENUE </t>
  </si>
  <si>
    <t>504-361-7923</t>
  </si>
  <si>
    <t>JOCOA JACKSON COUNCIL ALCOHOL</t>
  </si>
  <si>
    <t xml:space="preserve">900 E CHESTER STREET </t>
  </si>
  <si>
    <t>731-423-3653</t>
  </si>
  <si>
    <t>JOEL POMERENE HOSPITAL</t>
  </si>
  <si>
    <t xml:space="preserve">981 WOOSTER RD </t>
  </si>
  <si>
    <t>330-674-1015</t>
  </si>
  <si>
    <t>JOHN B PARSON'S CUMMUNITY</t>
  </si>
  <si>
    <t>JOHN BRIGGS SNACK BAR</t>
  </si>
  <si>
    <t xml:space="preserve">11000 Wilshire Blvd. </t>
  </si>
  <si>
    <t>818-881-2828</t>
  </si>
  <si>
    <t>JOHN C FREMONT HOSPITAL</t>
  </si>
  <si>
    <t xml:space="preserve">5189 HOSPITAL ROAD </t>
  </si>
  <si>
    <t>MARIPOSA</t>
  </si>
  <si>
    <t>209-966-3631</t>
  </si>
  <si>
    <t>JOHN COOPER SCHOOL</t>
  </si>
  <si>
    <t xml:space="preserve">1 JOHN COOPER DRIVE </t>
  </si>
  <si>
    <t>281-367-0900</t>
  </si>
  <si>
    <t>JOHN KNOX HOME HEALTH AGENCY</t>
  </si>
  <si>
    <t xml:space="preserve">651 S.W. 6TH STREET </t>
  </si>
  <si>
    <t>954-783-4004</t>
  </si>
  <si>
    <t xml:space="preserve">101 NORTHLAKE DRIVE </t>
  </si>
  <si>
    <t>386-775-3840</t>
  </si>
  <si>
    <t>JOHN M REED NURSING HOME</t>
  </si>
  <si>
    <t xml:space="preserve">124 JOHN REED RD </t>
  </si>
  <si>
    <t>LIMESTONE</t>
  </si>
  <si>
    <t>423-257-6122</t>
  </si>
  <si>
    <t>JOHN MANCHIN SENIOR HEALTH CARE CENTER</t>
  </si>
  <si>
    <t xml:space="preserve">401 GUFFEY STREET </t>
  </si>
  <si>
    <t>304-363-0222</t>
  </si>
  <si>
    <t>JOHN T MORGAN ACADEMY</t>
  </si>
  <si>
    <t xml:space="preserve">2901 WEST DALLAS AVENUE </t>
  </si>
  <si>
    <t>334-875-6646</t>
  </si>
  <si>
    <t>JOHN W WELLS YOUTH CENTER</t>
  </si>
  <si>
    <t xml:space="preserve">701 EAST 5TH STREET </t>
  </si>
  <si>
    <t>MADERA</t>
  </si>
  <si>
    <t>559-661-5492</t>
  </si>
  <si>
    <t>JOHNSON SENIOR CENTER INC.</t>
  </si>
  <si>
    <t xml:space="preserve">112 SENIOR LANE </t>
  </si>
  <si>
    <t>434-263-9288</t>
  </si>
  <si>
    <t>JOHNSTON MEMORIAL HOSPITAL</t>
  </si>
  <si>
    <t xml:space="preserve">1000 SOUTH BYRD </t>
  </si>
  <si>
    <t>TISHOMINGO</t>
  </si>
  <si>
    <t>580-371-2327</t>
  </si>
  <si>
    <t>JOLIET AREA COMMUNITY HOSPICE</t>
  </si>
  <si>
    <t xml:space="preserve">250 WATER STONE CIRCLE </t>
  </si>
  <si>
    <t>815-460-3225</t>
  </si>
  <si>
    <t>JONBEC CARE INC</t>
  </si>
  <si>
    <t xml:space="preserve">1711 PLUM LANE </t>
  </si>
  <si>
    <t>909-798-4003</t>
  </si>
  <si>
    <t>JONES &amp; JONES TWO</t>
  </si>
  <si>
    <t xml:space="preserve">7806 FOREST HILL AVENUE </t>
  </si>
  <si>
    <t>804-560-1500</t>
  </si>
  <si>
    <t>JOPLIN HEALTHCARE CENTER</t>
  </si>
  <si>
    <t xml:space="preserve">2810 JACKSON ROAD </t>
  </si>
  <si>
    <t>JOPLIN</t>
  </si>
  <si>
    <t>417-624-2061</t>
  </si>
  <si>
    <t>JOSEPHINE CARING COMMUNITY</t>
  </si>
  <si>
    <t xml:space="preserve">9901 272ND PLACE NW </t>
  </si>
  <si>
    <t>360-629-2126</t>
  </si>
  <si>
    <t>JOURNEY PURE THE RIVER MAIN DETOX AND RES FACILITY</t>
  </si>
  <si>
    <t xml:space="preserve">5110 FLORENCE ROAD </t>
  </si>
  <si>
    <t>615-907-5037</t>
  </si>
  <si>
    <t>JOURNEY SENIOR SERVICES</t>
  </si>
  <si>
    <t xml:space="preserve">17504 MAHOGANY AVENUE </t>
  </si>
  <si>
    <t>CARROLL</t>
  </si>
  <si>
    <t>712-830-8184</t>
  </si>
  <si>
    <t>JOY ADULT CARE</t>
  </si>
  <si>
    <t xml:space="preserve">614 S MAIN </t>
  </si>
  <si>
    <t>660-885-8328</t>
  </si>
  <si>
    <t>JOY ASSISTED LIVING</t>
  </si>
  <si>
    <t xml:space="preserve">2030 W MT VERNON </t>
  </si>
  <si>
    <t>417-864-8805</t>
  </si>
  <si>
    <t>JUBILEE YOUTH RANCH</t>
  </si>
  <si>
    <t xml:space="preserve">29 JUBILEE CIRCLE </t>
  </si>
  <si>
    <t xml:space="preserve">PRESCOTT </t>
  </si>
  <si>
    <t>JUDSON PALMER HOME</t>
  </si>
  <si>
    <t xml:space="preserve">2911 NORTH MAIN STREET </t>
  </si>
  <si>
    <t>419-422-9656</t>
  </si>
  <si>
    <t>JUDSON TERRACE HOMES</t>
  </si>
  <si>
    <t xml:space="preserve">3000 AUGUSTA STREET </t>
  </si>
  <si>
    <t>805-544-1600</t>
  </si>
  <si>
    <t>JULIA'S HOME INC.</t>
  </si>
  <si>
    <t xml:space="preserve">900 N. GEO WASHINGTON HWY </t>
  </si>
  <si>
    <t>JULIE BLAIR NURSING &amp; REHAB</t>
  </si>
  <si>
    <t xml:space="preserve">325 NORTHERN BOULEVARD </t>
  </si>
  <si>
    <t>12204-1001</t>
  </si>
  <si>
    <t>518-449-1100</t>
  </si>
  <si>
    <t>JUNIPER VILLAGE AT BUCKS COUNTY</t>
  </si>
  <si>
    <t xml:space="preserve">3200 BENSALEM BLVD </t>
  </si>
  <si>
    <t>267-685-9214</t>
  </si>
  <si>
    <t>K &amp; V FOODSERVICE</t>
  </si>
  <si>
    <t xml:space="preserve">1816 ARBOR GLENN </t>
  </si>
  <si>
    <t>832-819-2306</t>
  </si>
  <si>
    <t>KABUL NURSING HOME</t>
  </si>
  <si>
    <t xml:space="preserve">1000 MAIN STREET </t>
  </si>
  <si>
    <t>CABOOL</t>
  </si>
  <si>
    <t>417-962-3713</t>
  </si>
  <si>
    <t>KAHUKU MEDICAL CENTER</t>
  </si>
  <si>
    <t xml:space="preserve">56-117 PUALALEA STREET </t>
  </si>
  <si>
    <t>KAHUKU</t>
  </si>
  <si>
    <t>808-293-9221</t>
  </si>
  <si>
    <t>KAMBLY LIVING CENTER</t>
  </si>
  <si>
    <t xml:space="preserve">1003 NORTH AVE </t>
  </si>
  <si>
    <t>269-965-5539</t>
  </si>
  <si>
    <t>KANAWHA COMMUNITY HOME</t>
  </si>
  <si>
    <t xml:space="preserve">130 WEST 6TH STREET </t>
  </si>
  <si>
    <t>KANAWHA</t>
  </si>
  <si>
    <t>641-762-3302</t>
  </si>
  <si>
    <t>KANAWHA MEDICAL</t>
  </si>
  <si>
    <t xml:space="preserve">7009 FOREST HILL AVENUE </t>
  </si>
  <si>
    <t>804-330-5937</t>
  </si>
  <si>
    <t>KANSAS CITY UNIV OF MEDICINE &amp; BIOSCIENCE</t>
  </si>
  <si>
    <t xml:space="preserve">1750 INDEPENDENCE AVE </t>
  </si>
  <si>
    <t>816-654-7142</t>
  </si>
  <si>
    <t>KAPPA ALPHA OXFORD-UNIVERSITY OF MISSISSIPPI</t>
  </si>
  <si>
    <t xml:space="preserve">60 REBEL DRIVE </t>
  </si>
  <si>
    <t>UNIVERSITY</t>
  </si>
  <si>
    <t>662-832-4489</t>
  </si>
  <si>
    <t>KAPPA DELTA (UNC CHAPEL HILL)</t>
  </si>
  <si>
    <t xml:space="preserve">219 E FRANKLIN ST </t>
  </si>
  <si>
    <t>919-967-9326</t>
  </si>
  <si>
    <t>KAPPA DELTA-NCSU</t>
  </si>
  <si>
    <t xml:space="preserve">2304 GREEK VILLAGE DR </t>
  </si>
  <si>
    <t>919-491-3500</t>
  </si>
  <si>
    <t>KAPPA KAPPA GAMMA (UNC CHAPEL HILL)</t>
  </si>
  <si>
    <t xml:space="preserve">302 PITTSBORO ST </t>
  </si>
  <si>
    <t>919-691-7323</t>
  </si>
  <si>
    <t>KAPPA KAPPA GAMMA SORORITY (UW)</t>
  </si>
  <si>
    <t xml:space="preserve">4504 18TH AVE NE </t>
  </si>
  <si>
    <t>206-681-7222</t>
  </si>
  <si>
    <t>KARNES CITY REHABILITATION &amp; NURSING CENTER</t>
  </si>
  <si>
    <t xml:space="preserve">209 COUNTRY CLUB ROAD </t>
  </si>
  <si>
    <t>KARNES</t>
  </si>
  <si>
    <t>830-780-2426</t>
  </si>
  <si>
    <t>KATERING 4 KIDS</t>
  </si>
  <si>
    <t>KATE'S WESTSIDE INN</t>
  </si>
  <si>
    <t xml:space="preserve">511 WEBSTER STREET </t>
  </si>
  <si>
    <t>707-338-1523</t>
  </si>
  <si>
    <t>KATYVILLE HEALTH CARE CENTER</t>
  </si>
  <si>
    <t xml:space="preserve">5129 EAST 5TH STREET </t>
  </si>
  <si>
    <t>281-391-7087</t>
  </si>
  <si>
    <t>KAWABE MEMORIAL HOUSE</t>
  </si>
  <si>
    <t xml:space="preserve">221 18TH AVE SOUTH </t>
  </si>
  <si>
    <t>206-322-4550</t>
  </si>
  <si>
    <t>KAYSIM COURT MANOR</t>
  </si>
  <si>
    <t xml:space="preserve">5919 WAYNE AVENUE </t>
  </si>
  <si>
    <t>215-651-5908</t>
  </si>
  <si>
    <t>KEENE COMMUNITY RESIDENTIAL CENTER</t>
  </si>
  <si>
    <t xml:space="preserve">106 ROXBURY STREET </t>
  </si>
  <si>
    <t>603-358-4041</t>
  </si>
  <si>
    <t>KELLER PROPERTY COMPANY</t>
  </si>
  <si>
    <t xml:space="preserve">10004 WURZBACH RD </t>
  </si>
  <si>
    <t>KEMMERER VILLAGE</t>
  </si>
  <si>
    <t xml:space="preserve">941 N 2500 EAST RD </t>
  </si>
  <si>
    <t>ASSUMPTION</t>
  </si>
  <si>
    <t>217-226-4451</t>
  </si>
  <si>
    <t>KENBRIDGE YOUTH ACADEMY</t>
  </si>
  <si>
    <t xml:space="preserve">231 HICKORY ROAD </t>
  </si>
  <si>
    <t>KENBRIDGE</t>
  </si>
  <si>
    <t>434-676-1378</t>
  </si>
  <si>
    <t>KENDAL AT ITHACA</t>
  </si>
  <si>
    <t xml:space="preserve">2230 N TRIPHAMMER ROAD </t>
  </si>
  <si>
    <t>607-266-5300</t>
  </si>
  <si>
    <t>KENMORE FOREST ACRES</t>
  </si>
  <si>
    <t>804-330-5736</t>
  </si>
  <si>
    <t>KENNETT RESIDENTIAL CARE</t>
  </si>
  <si>
    <t xml:space="preserve">919 S JACKSON </t>
  </si>
  <si>
    <t>KENNETT</t>
  </si>
  <si>
    <t>573-888-1201</t>
  </si>
  <si>
    <t>KENOSHA ESTATES LIVING &amp; CARE</t>
  </si>
  <si>
    <t xml:space="preserve">1703 60TH ST </t>
  </si>
  <si>
    <t>262-658-4125</t>
  </si>
  <si>
    <t>KENRIC MANOR</t>
  </si>
  <si>
    <t xml:space="preserve">125 RAY DRIVE </t>
  </si>
  <si>
    <t>ROSTRAVER TWP</t>
  </si>
  <si>
    <t>724-379-7848</t>
  </si>
  <si>
    <t>KENSINGTON PLACE</t>
  </si>
  <si>
    <t xml:space="preserve">1001 PARKVIEW BLVD </t>
  </si>
  <si>
    <t>614-252-5276</t>
  </si>
  <si>
    <t>KENT HEALTHCARE AND REHAB</t>
  </si>
  <si>
    <t xml:space="preserve">1290 FAIRCHILD AVENUE </t>
  </si>
  <si>
    <t>KENT</t>
  </si>
  <si>
    <t>330-678-4912</t>
  </si>
  <si>
    <t>KENT HOUSE</t>
  </si>
  <si>
    <t xml:space="preserve">215 SCHEELER RD. </t>
  </si>
  <si>
    <t>608-770-2437</t>
  </si>
  <si>
    <t>KENTUCKY ASSC. OF HEALTHCARE FAC</t>
  </si>
  <si>
    <t xml:space="preserve">9403 MILL BROOK ROAD </t>
  </si>
  <si>
    <t>502-425-5000</t>
  </si>
  <si>
    <t>KEOUGH SENIOR LIVING</t>
  </si>
  <si>
    <t xml:space="preserve">4308 LEES CORNER ROAD </t>
  </si>
  <si>
    <t xml:space="preserve">CHANTILLY </t>
  </si>
  <si>
    <t>703-579-9972</t>
  </si>
  <si>
    <t>KERN VALLEY HEALTH DISTRICT-MENU ONLY</t>
  </si>
  <si>
    <t xml:space="preserve">6412 LAUREL AVENUE </t>
  </si>
  <si>
    <t>760-379-2681</t>
  </si>
  <si>
    <t>KERR OIL COMPANY</t>
  </si>
  <si>
    <t xml:space="preserve">650 W CLAYTON AVENUE </t>
  </si>
  <si>
    <t>HPSI:TRUCK STOPS</t>
  </si>
  <si>
    <t>208-664-4820</t>
  </si>
  <si>
    <t xml:space="preserve">700 WEST 40TH STREET </t>
  </si>
  <si>
    <t>410-235-8860</t>
  </si>
  <si>
    <t>KEYES PANCAKE HOUSE</t>
  </si>
  <si>
    <t xml:space="preserve">2967 MAIN STREET </t>
  </si>
  <si>
    <t>315-369-6752</t>
  </si>
  <si>
    <t>KEYSTONE HOSPICE</t>
  </si>
  <si>
    <t xml:space="preserve">8765 STENTON AVE </t>
  </si>
  <si>
    <t>215-836-2440</t>
  </si>
  <si>
    <t>KEYSTONE NURSING CARE CENTER</t>
  </si>
  <si>
    <t>319-442-3234</t>
  </si>
  <si>
    <t>KEYSTONE PLACE AT WOOSTER HEIGHTS</t>
  </si>
  <si>
    <t xml:space="preserve">66 WOOSTER HEIGHTS ROAD </t>
  </si>
  <si>
    <t>DANBURY</t>
  </si>
  <si>
    <t>203-456-3370</t>
  </si>
  <si>
    <t>KEYSVILLE LTC MANAGEMENT LLC</t>
  </si>
  <si>
    <t xml:space="preserve">1005 HIGHWAY 88 NORTH </t>
  </si>
  <si>
    <t>706-547-2591</t>
  </si>
  <si>
    <t>KID CITY USA LONGWOOD-CATERING/CONCESSIONS</t>
  </si>
  <si>
    <t xml:space="preserve">382 W SR 434 </t>
  </si>
  <si>
    <t>787-539-2337</t>
  </si>
  <si>
    <t>KID CITY USA LONGWOOD-DAYCARE</t>
  </si>
  <si>
    <t>KIDDIE ACADEMY</t>
  </si>
  <si>
    <t xml:space="preserve">1710 S HWY 27 </t>
  </si>
  <si>
    <t>CLARMONT</t>
  </si>
  <si>
    <t>352-989-5894</t>
  </si>
  <si>
    <t>KIDDIE CITY DAY CARE COMMUNITY</t>
  </si>
  <si>
    <t xml:space="preserve">280 E 206TH STREET </t>
  </si>
  <si>
    <t>216-481-9044</t>
  </si>
  <si>
    <t>KIDS CITY USA-ALTAMONTE SPRINGS</t>
  </si>
  <si>
    <t xml:space="preserve">290 MAITLAND AVENUE </t>
  </si>
  <si>
    <t>386-736-0000</t>
  </si>
  <si>
    <t>KIDS CITY USA-CRYSTAL RIVER</t>
  </si>
  <si>
    <t xml:space="preserve">243 NE 7TH TERRACE </t>
  </si>
  <si>
    <t xml:space="preserve">KIDS CITY USA-DELAND </t>
  </si>
  <si>
    <t xml:space="preserve">404 N ORANGE AVE </t>
  </si>
  <si>
    <t>KIDS CITY USA-JACKSONVILLE</t>
  </si>
  <si>
    <t xml:space="preserve">12246 SAN JOSE BLVD </t>
  </si>
  <si>
    <t>KIDS CITY USA-LONGWOOD</t>
  </si>
  <si>
    <t xml:space="preserve">382 W STATE ROAD 434 </t>
  </si>
  <si>
    <t>KIDS CITY USA-PONTE VEDRE BEACH</t>
  </si>
  <si>
    <t xml:space="preserve">185 LANDRUM LANE </t>
  </si>
  <si>
    <t>KIDS KLUB CHILD CARE</t>
  </si>
  <si>
    <t xml:space="preserve">5521 GROVEPORT RD </t>
  </si>
  <si>
    <t>GROVEPORT</t>
  </si>
  <si>
    <t>614-409-9130</t>
  </si>
  <si>
    <t>KIDS R KIDS</t>
  </si>
  <si>
    <t xml:space="preserve">540 PINNACLE COVE BLVD </t>
  </si>
  <si>
    <t>407-816-1555</t>
  </si>
  <si>
    <t>KIDS R KIDS-CHARLOTTE</t>
  </si>
  <si>
    <t xml:space="preserve">2115 BEN CRAIG DRIVE </t>
  </si>
  <si>
    <t>704-503-4001</t>
  </si>
  <si>
    <t>KIDS R KIDS-MATTHEWS</t>
  </si>
  <si>
    <t xml:space="preserve">5549 POTTER ROAD </t>
  </si>
  <si>
    <t>704-821-2005</t>
  </si>
  <si>
    <t>KIMES NURSING &amp; REHAB CENTER</t>
  </si>
  <si>
    <t xml:space="preserve">75 KIMES LANE </t>
  </si>
  <si>
    <t>740-593-3391</t>
  </si>
  <si>
    <t>KIN ON CARE CENTER</t>
  </si>
  <si>
    <t xml:space="preserve">4416 S BRANDON STREET </t>
  </si>
  <si>
    <t>206-721-3630</t>
  </si>
  <si>
    <t>KINDER KOLLEGE</t>
  </si>
  <si>
    <t xml:space="preserve">912 WEST 32ND STREET </t>
  </si>
  <si>
    <t>580-399-2001</t>
  </si>
  <si>
    <t>KING BRUWAERT HOUSE</t>
  </si>
  <si>
    <t xml:space="preserve">6101 S COUNTY LINE RD </t>
  </si>
  <si>
    <t>630-323-2250</t>
  </si>
  <si>
    <t>KING CITY SCHOOL</t>
  </si>
  <si>
    <t xml:space="preserve">300 NORTH GRAND </t>
  </si>
  <si>
    <t>KING CITY</t>
  </si>
  <si>
    <t>660-535-4319</t>
  </si>
  <si>
    <t>KINGDON GARDENS</t>
  </si>
  <si>
    <t xml:space="preserve">819 W LAFAYETTE </t>
  </si>
  <si>
    <t>WATSEKA</t>
  </si>
  <si>
    <t>815-432-1145</t>
  </si>
  <si>
    <t>KING'S DAUGHTERS - (MI)</t>
  </si>
  <si>
    <t xml:space="preserve">2410 RODD STREET </t>
  </si>
  <si>
    <t>517-839-9800</t>
  </si>
  <si>
    <t>KING'S DAUGHTERS &amp; SONS HOME OK</t>
  </si>
  <si>
    <t xml:space="preserve">1223 WEST BALTIMORE </t>
  </si>
  <si>
    <t>580-924-0496</t>
  </si>
  <si>
    <t>KING'S DAUGHTERS &amp; SONS TENN</t>
  </si>
  <si>
    <t xml:space="preserve">3568 APPLING ROAD </t>
  </si>
  <si>
    <t>901-272-7405</t>
  </si>
  <si>
    <t>KINGS POINT BELLEVILLE</t>
  </si>
  <si>
    <t xml:space="preserve">7645 MAGNA DRIVE </t>
  </si>
  <si>
    <t>618-277-7715</t>
  </si>
  <si>
    <t>KINGSTON CENTER</t>
  </si>
  <si>
    <t xml:space="preserve">428 CECIL D QUILLEN DRIVE </t>
  </si>
  <si>
    <t>276-431-4200</t>
  </si>
  <si>
    <t>KINGSTON HILL</t>
  </si>
  <si>
    <t xml:space="preserve">202 12TH STREET NW </t>
  </si>
  <si>
    <t>319-362-1382</t>
  </si>
  <si>
    <t>KINKORA PYTHIAN HOME</t>
  </si>
  <si>
    <t xml:space="preserve">25 COVE ROAD </t>
  </si>
  <si>
    <t>DUNCANNON</t>
  </si>
  <si>
    <t>Mitch Himmelberger</t>
  </si>
  <si>
    <t>717-834-4887</t>
  </si>
  <si>
    <t>KINTOCK BRIDGETON ONE</t>
  </si>
  <si>
    <t xml:space="preserve">4 SOUTH INDUSTRIAL BLVD </t>
  </si>
  <si>
    <t>856-459-2800</t>
  </si>
  <si>
    <t>KINTOCK BRIDGETON TWO</t>
  </si>
  <si>
    <t xml:space="preserve">3 WEST INDUSTRIAL BLVD </t>
  </si>
  <si>
    <t>KINTOCK NEWARK</t>
  </si>
  <si>
    <t xml:space="preserve">50 FENWICK STREET </t>
  </si>
  <si>
    <t>732-221-4510</t>
  </si>
  <si>
    <t>KINTOCK PHILADELPHIA</t>
  </si>
  <si>
    <t xml:space="preserve">301 EAST ERIE AVE </t>
  </si>
  <si>
    <t>215-291-7600</t>
  </si>
  <si>
    <t>KIOWA DISTRICT HOSPITAL</t>
  </si>
  <si>
    <t xml:space="preserve">1002 S 4 STREET </t>
  </si>
  <si>
    <t>KIOWA</t>
  </si>
  <si>
    <t>620-825-4131</t>
  </si>
  <si>
    <t>KIOWA MANOR</t>
  </si>
  <si>
    <t xml:space="preserve">1020 MAIN STREET </t>
  </si>
  <si>
    <t>620-825-4117</t>
  </si>
  <si>
    <t xml:space="preserve">KIRAN CARE HOME </t>
  </si>
  <si>
    <t xml:space="preserve">6 TYNDALL COURT </t>
  </si>
  <si>
    <t>916-422-6233</t>
  </si>
  <si>
    <t>KIRBY PINES RETIREMENT COMMUNITY</t>
  </si>
  <si>
    <t xml:space="preserve">3535 KIRBY ROAD </t>
  </si>
  <si>
    <t xml:space="preserve">MEMPHIS </t>
  </si>
  <si>
    <t>901-365-3665</t>
  </si>
  <si>
    <t>KIRKLAND COMMUNITY COLLEGE</t>
  </si>
  <si>
    <t xml:space="preserve">4800 W FOUR MILE ROAD </t>
  </si>
  <si>
    <t>989-275-5000</t>
  </si>
  <si>
    <t>KISSIMMEE YOUTH ACADEMY II</t>
  </si>
  <si>
    <t xml:space="preserve">2330 NEW BEGINNINGS </t>
  </si>
  <si>
    <t>407-201-2561</t>
  </si>
  <si>
    <t>KITCHEN 501 LLC</t>
  </si>
  <si>
    <t xml:space="preserve">501 FAIRBURN ROAD SW </t>
  </si>
  <si>
    <t>KITSAP COMMUNITY RESOURCES</t>
  </si>
  <si>
    <t xml:space="preserve">845 8TH ST </t>
  </si>
  <si>
    <t>360-473-2012</t>
  </si>
  <si>
    <t>KITTRELL JOBS CORPS CENTER</t>
  </si>
  <si>
    <t xml:space="preserve">1096 US HWY #4 SOUTH </t>
  </si>
  <si>
    <t xml:space="preserve">KITTRELL </t>
  </si>
  <si>
    <t>252-438-6161</t>
  </si>
  <si>
    <t>KLC #300828 CARY</t>
  </si>
  <si>
    <t xml:space="preserve">203 KILMAYNE DR </t>
  </si>
  <si>
    <t>919-469-8790</t>
  </si>
  <si>
    <t>KNICKERBOCKER APARTMENTS</t>
  </si>
  <si>
    <t xml:space="preserve">27100 KNICKERBOCKER RD </t>
  </si>
  <si>
    <t>BAY VILLAGE</t>
  </si>
  <si>
    <t>440-871-3234</t>
  </si>
  <si>
    <t>KNIGHTS OF COLUMBUS COUNCIL #12148</t>
  </si>
  <si>
    <t xml:space="preserve">3201 SUNRISE </t>
  </si>
  <si>
    <t>512-791-0952</t>
  </si>
  <si>
    <t>KNO-HO-CO-ASHLAND CAC SENIOR SERVICES</t>
  </si>
  <si>
    <t xml:space="preserve">201 BROWN'S LANE </t>
  </si>
  <si>
    <t>740-622-4852</t>
  </si>
  <si>
    <t>KNOLLWOOD MANOR</t>
  </si>
  <si>
    <t xml:space="preserve">405 TIMES AVE </t>
  </si>
  <si>
    <t>615-666-3170</t>
  </si>
  <si>
    <t>KNOLLWOOD RETIREMENT VILLAGE</t>
  </si>
  <si>
    <t xml:space="preserve">20 JCKSONVILLEPLACE </t>
  </si>
  <si>
    <t>217-245-2050</t>
  </si>
  <si>
    <t>KNOLLWOOD ST CLAIR RETIREMENT CENTER</t>
  </si>
  <si>
    <t xml:space="preserve">921 KNOLLWOOD VILLAGE RD </t>
  </si>
  <si>
    <t>CASEYVILLE</t>
  </si>
  <si>
    <t>618-971-5585</t>
  </si>
  <si>
    <t>KNOPP HEALTHCARE CENTER</t>
  </si>
  <si>
    <t xml:space="preserve">1208 N LLANA </t>
  </si>
  <si>
    <t>830-997-3704</t>
  </si>
  <si>
    <t>KNOTTY PINE RESTAURANT</t>
  </si>
  <si>
    <t xml:space="preserve">100 NY STATE ROUTE 5 </t>
  </si>
  <si>
    <t>WAMPSVILLE</t>
  </si>
  <si>
    <t>KNOWLES HOME ASSISTED LIVING</t>
  </si>
  <si>
    <t xml:space="preserve">1010 CAMILLA CALDWELL LANE </t>
  </si>
  <si>
    <t>615-840-6000</t>
  </si>
  <si>
    <t>KNOX COMMUNITY HOSPITAL</t>
  </si>
  <si>
    <t xml:space="preserve">1330 COSHOCTON ROAD </t>
  </si>
  <si>
    <t>740-393-9000</t>
  </si>
  <si>
    <t xml:space="preserve">800 N MARKET STREET </t>
  </si>
  <si>
    <t>309-289-2338</t>
  </si>
  <si>
    <t>KNUCKLEHEADS BREWHOUSE</t>
  </si>
  <si>
    <t xml:space="preserve">7362 E MAIN STREET </t>
  </si>
  <si>
    <t>315-853-1351</t>
  </si>
  <si>
    <t>KREIDER SERVICES INC.</t>
  </si>
  <si>
    <t xml:space="preserve">500 ANCHOR ROAD </t>
  </si>
  <si>
    <t>815-288-6691</t>
  </si>
  <si>
    <t>KSU FOUNDATION</t>
  </si>
  <si>
    <t xml:space="preserve">1541 MIDCAMPUS DRIVE N </t>
  </si>
  <si>
    <t>785-532-0302</t>
  </si>
  <si>
    <t>KUTZTOWN MANOR</t>
  </si>
  <si>
    <t xml:space="preserve">120 TREXLER AVENUE </t>
  </si>
  <si>
    <t>KUTZTOWN</t>
  </si>
  <si>
    <t>610-683-6220</t>
  </si>
  <si>
    <t>L &amp; J RESIDENTIAL CARE</t>
  </si>
  <si>
    <t xml:space="preserve">4985 HIGHWAY D </t>
  </si>
  <si>
    <t>573-756-3047</t>
  </si>
  <si>
    <t>L2G LLC</t>
  </si>
  <si>
    <t xml:space="preserve">3791 E JASPER DR </t>
  </si>
  <si>
    <t>LA CAFE</t>
  </si>
  <si>
    <t xml:space="preserve">639 S SPRING </t>
  </si>
  <si>
    <t>213-612-3000</t>
  </si>
  <si>
    <t>LA DORA NURSING &amp; REHAB CENTER</t>
  </si>
  <si>
    <t xml:space="preserve">1960 BEDFORD ROAD </t>
  </si>
  <si>
    <t>817-283-4771</t>
  </si>
  <si>
    <t>LA ESTANCIA</t>
  </si>
  <si>
    <t xml:space="preserve">15810 S. 42ND STREET </t>
  </si>
  <si>
    <t>480-759-0358</t>
  </si>
  <si>
    <t>LA LOMA VILLAGE SUN HEALTH-MENU ONLY</t>
  </si>
  <si>
    <t xml:space="preserve">14154 DENNY BLVD </t>
  </si>
  <si>
    <t>LITCHFIELD PARK</t>
  </si>
  <si>
    <t>623-537-7513</t>
  </si>
  <si>
    <t>LA MARIPOSA CARE &amp; REHAB CENTER</t>
  </si>
  <si>
    <t xml:space="preserve">1244 TRAVIS BLVD </t>
  </si>
  <si>
    <t>707-422-7750</t>
  </si>
  <si>
    <t>LA PRIMA CATERING</t>
  </si>
  <si>
    <t xml:space="preserve">5105 A BERWYN ROAD </t>
  </si>
  <si>
    <t xml:space="preserve">COLLEGE PARK </t>
  </si>
  <si>
    <t>301-441-3352</t>
  </si>
  <si>
    <t>LA SALSA #2 @ CEDAR RIDGE</t>
  </si>
  <si>
    <t xml:space="preserve">6501 NE 50TH </t>
  </si>
  <si>
    <t>405-604-5419</t>
  </si>
  <si>
    <t>LA SALSA GRILL AND CANTINA</t>
  </si>
  <si>
    <t xml:space="preserve">834 W DANFORTH ROAD </t>
  </si>
  <si>
    <t>405-562-4100</t>
  </si>
  <si>
    <t>LA SALSA GRILLE</t>
  </si>
  <si>
    <t xml:space="preserve">2329 N MERIDIAN AVENUE </t>
  </si>
  <si>
    <t>LA VIDA LLENA</t>
  </si>
  <si>
    <t xml:space="preserve">10501 LAGRIMA DE ORO NE </t>
  </si>
  <si>
    <t>505-291-3410</t>
  </si>
  <si>
    <t>LABELLE MANOR CARE CENTER</t>
  </si>
  <si>
    <t xml:space="preserve">1002 CENTRAL </t>
  </si>
  <si>
    <t>660-213-3234</t>
  </si>
  <si>
    <t>LABOURE RESIDENCE</t>
  </si>
  <si>
    <t xml:space="preserve">26000 ALTAMONT ROAD </t>
  </si>
  <si>
    <t>LOS ALTOS HILLS</t>
  </si>
  <si>
    <t>650-941-8346</t>
  </si>
  <si>
    <t>LACOBA HOMES</t>
  </si>
  <si>
    <t xml:space="preserve">HWY 60 EAST </t>
  </si>
  <si>
    <t>MONETT</t>
  </si>
  <si>
    <t>417-235-7895</t>
  </si>
  <si>
    <t>LACOUR HOUSE</t>
  </si>
  <si>
    <t xml:space="preserve">345 MAJOR PARKWAY </t>
  </si>
  <si>
    <t>NEW ROADS</t>
  </si>
  <si>
    <t>225-638-7050</t>
  </si>
  <si>
    <t>LADYSMITH NURSING HOME INC</t>
  </si>
  <si>
    <t xml:space="preserve">1001 E 11TH STREET N </t>
  </si>
  <si>
    <t>715-532-5546</t>
  </si>
  <si>
    <t>LAFAYETTE CARE CENTER NEXION</t>
  </si>
  <si>
    <t xml:space="preserve">325 BACQUE CRESCENT </t>
  </si>
  <si>
    <t>337-232-0299</t>
  </si>
  <si>
    <t>LAFAYETTE NURSING HOME ALABAMA</t>
  </si>
  <si>
    <t xml:space="preserve">555 B STREET SW </t>
  </si>
  <si>
    <t>205-864-9371</t>
  </si>
  <si>
    <t>LAFON NURSING FACILITY OF THE HOLY FAMILY</t>
  </si>
  <si>
    <t xml:space="preserve">6900 CHEF MENTEUR BLVD </t>
  </si>
  <si>
    <t>504-241-6285</t>
  </si>
  <si>
    <t>LAGONITA LODGE BIG BEAR LAKE</t>
  </si>
  <si>
    <t xml:space="preserve">183 LAGONITA LANE </t>
  </si>
  <si>
    <t>909-866-6531</t>
  </si>
  <si>
    <t>LAKE BENNETT CENTER OF REHAB AND HEALING</t>
  </si>
  <si>
    <t xml:space="preserve">1091 KELTON AVE </t>
  </si>
  <si>
    <t>407-523-0300</t>
  </si>
  <si>
    <t>LAKE COUNTY BOARD OF DD-DEEPWOOD</t>
  </si>
  <si>
    <t xml:space="preserve">8121 DEEPWOOD BLVD </t>
  </si>
  <si>
    <t>MENTOR</t>
  </si>
  <si>
    <t>440-350-5055</t>
  </si>
  <si>
    <t>LAKE FRANCIS RESIDENTIAL CARE</t>
  </si>
  <si>
    <t xml:space="preserve">3RD AND CEMETERY ROAD </t>
  </si>
  <si>
    <t>WATTS</t>
  </si>
  <si>
    <t>918-422-9907</t>
  </si>
  <si>
    <t>LAKE GENEVA CONFERENCE CENTER</t>
  </si>
  <si>
    <t xml:space="preserve">W2655 SOUTH STREET </t>
  </si>
  <si>
    <t>LAKE GENEVA</t>
  </si>
  <si>
    <t>262-248-5504</t>
  </si>
  <si>
    <t>LAKE LINDEN HUBBELL SCHOOL</t>
  </si>
  <si>
    <t xml:space="preserve">601 CALUMET STREET </t>
  </si>
  <si>
    <t>LAKE LINDEN</t>
  </si>
  <si>
    <t>906-296-6211</t>
  </si>
  <si>
    <t>LAKE OF THE OZARKS GENERAL HOSP</t>
  </si>
  <si>
    <t xml:space="preserve">54 HOSPITAL DRIVE </t>
  </si>
  <si>
    <t>OSAGE BEACH</t>
  </si>
  <si>
    <t>314-348-3181</t>
  </si>
  <si>
    <t>LAKE ORION NURSING CENTER</t>
  </si>
  <si>
    <t xml:space="preserve">585 EAST FLINT STREET </t>
  </si>
  <si>
    <t>248-693-0505</t>
  </si>
  <si>
    <t xml:space="preserve">1001 HOWELL BOULEVARD </t>
  </si>
  <si>
    <t>757-923-5181</t>
  </si>
  <si>
    <t>LAKE TAYLOR TRANSITIONAL CARE HOSPITAL</t>
  </si>
  <si>
    <t xml:space="preserve">1309 KEMPSVILLE RD. </t>
  </si>
  <si>
    <t>757-461-5001</t>
  </si>
  <si>
    <t>LAKE VIEW HOUSE</t>
  </si>
  <si>
    <t xml:space="preserve">465 7TH AVENUE NORTH </t>
  </si>
  <si>
    <t>727-898-3948</t>
  </si>
  <si>
    <t>LAKE VIKING HEALTH CARE</t>
  </si>
  <si>
    <t xml:space="preserve">1337 W GRAND </t>
  </si>
  <si>
    <t>660-663-2197</t>
  </si>
  <si>
    <t>LAKE VILLAGE SENIOR CITIZENS CTR</t>
  </si>
  <si>
    <t xml:space="preserve">308 MAIN STREET </t>
  </si>
  <si>
    <t>870-265-3035</t>
  </si>
  <si>
    <t>LAKE WORTH NURSING HOME</t>
  </si>
  <si>
    <t xml:space="preserve">4220 WELLS DRIVE </t>
  </si>
  <si>
    <t>817-237-6101</t>
  </si>
  <si>
    <t>LAKELAND COMMUNITY COLLEGE</t>
  </si>
  <si>
    <t xml:space="preserve">7700 CLOCKTOWER DRIVE </t>
  </si>
  <si>
    <t>KIRTLAND</t>
  </si>
  <si>
    <t>440-525-7000</t>
  </si>
  <si>
    <t xml:space="preserve">25TH AVE </t>
  </si>
  <si>
    <t>HASKELL</t>
  </si>
  <si>
    <t>973-839-6000</t>
  </si>
  <si>
    <t>LAKES AREA LODGE</t>
  </si>
  <si>
    <t xml:space="preserve">11617 ANDREW STREET </t>
  </si>
  <si>
    <t>320-632-3868</t>
  </si>
  <si>
    <t>LAKES AT LITCHFIELD</t>
  </si>
  <si>
    <t xml:space="preserve">120 LAKE AT LITCHFIELD </t>
  </si>
  <si>
    <t>PAWLEYS ISLAND</t>
  </si>
  <si>
    <t>843-235-9393</t>
  </si>
  <si>
    <t>LAKESHORE RESIDENTIAL CARE</t>
  </si>
  <si>
    <t xml:space="preserve">1901 THIRD AVE </t>
  </si>
  <si>
    <t>510-834-9880</t>
  </si>
  <si>
    <t>LAKESIDE LUTHERAN HOME</t>
  </si>
  <si>
    <t xml:space="preserve">301 N LAWLER ST </t>
  </si>
  <si>
    <t>EMMETSBURG</t>
  </si>
  <si>
    <t>712-852-4060</t>
  </si>
  <si>
    <t>LAKESIDE MANOR RENO</t>
  </si>
  <si>
    <t xml:space="preserve">855 BRINKBY AVENUE </t>
  </si>
  <si>
    <t>775-827-3606</t>
  </si>
  <si>
    <t>LAKESIDE PARK</t>
  </si>
  <si>
    <t xml:space="preserve">468 PERKINS ST </t>
  </si>
  <si>
    <t>510-444-4684</t>
  </si>
  <si>
    <t>LAKESIDE RETREAT AND EVENT CENTER</t>
  </si>
  <si>
    <t xml:space="preserve">7 INTERNATIONAL DRIVE </t>
  </si>
  <si>
    <t>SEALE</t>
  </si>
  <si>
    <t>334-855-0876</t>
  </si>
  <si>
    <t>GANTON SENIOR COMMUNITIES</t>
  </si>
  <si>
    <t>LAKEVIEW ASSISTED LIVING</t>
  </si>
  <si>
    <t xml:space="preserve">14661 HELMER ROAD SOUTH </t>
  </si>
  <si>
    <t>LAKEVIEW FAMILY MEDICINE</t>
  </si>
  <si>
    <t xml:space="preserve">811 N 900 WEST </t>
  </si>
  <si>
    <t>801-434-7600</t>
  </si>
  <si>
    <t>LAKEVIEW LODGE REDWOOD CITY</t>
  </si>
  <si>
    <t xml:space="preserve">530 LAKEVIEW WAY </t>
  </si>
  <si>
    <t>650-369-7476</t>
  </si>
  <si>
    <t>LAKEVIEW SENIOR CENTER</t>
  </si>
  <si>
    <t xml:space="preserve">20 LAKE RD </t>
  </si>
  <si>
    <t>949-724-6900</t>
  </si>
  <si>
    <t>LAKEVIEW TERRACE</t>
  </si>
  <si>
    <t xml:space="preserve">331 RAINTREE DRIVE </t>
  </si>
  <si>
    <t>352-669-2133</t>
  </si>
  <si>
    <t>LAKEWOOD MANOR NORTH</t>
  </si>
  <si>
    <t xml:space="preserve">831 SOUTH LAKE STREET </t>
  </si>
  <si>
    <t>213-380-1879</t>
  </si>
  <si>
    <t>LAKEWOOD MEALS ON WHEELS</t>
  </si>
  <si>
    <t xml:space="preserve">15700 DETROIT AVENUE </t>
  </si>
  <si>
    <t>216-226-1373</t>
  </si>
  <si>
    <t>LAKEWOOD PARK MANOR</t>
  </si>
  <si>
    <t xml:space="preserve">12045 LAKEWOOD BLVD </t>
  </si>
  <si>
    <t>562-923-4417</t>
  </si>
  <si>
    <t>LAKEWOOD PLACE</t>
  </si>
  <si>
    <t xml:space="preserve">1125 GROVE STREET </t>
  </si>
  <si>
    <t>865-458-4123</t>
  </si>
  <si>
    <t>LAMPLIGHT INN AT PEORIA</t>
  </si>
  <si>
    <t xml:space="preserve">10420 N. 89TH AVENUE </t>
  </si>
  <si>
    <t>623-878-5115</t>
  </si>
  <si>
    <t>LAMPLIGHT INN AT THE LELAND</t>
  </si>
  <si>
    <t xml:space="preserve">900 SOUTH A STREET </t>
  </si>
  <si>
    <t>765-939-6500</t>
  </si>
  <si>
    <t>LAMPLIGHT LELAND COFFEE COMPAN</t>
  </si>
  <si>
    <t>LANDING OF CANTON-OH</t>
  </si>
  <si>
    <t xml:space="preserve">4550 HILLS AND DALES NW </t>
  </si>
  <si>
    <t>306-477-5727</t>
  </si>
  <si>
    <t>LANDMARK MEDICAL CENTER</t>
  </si>
  <si>
    <t xml:space="preserve">2030 N GAREY AVE </t>
  </si>
  <si>
    <t>909-593-2585</t>
  </si>
  <si>
    <t>LANDSUN HOMES</t>
  </si>
  <si>
    <t xml:space="preserve">1900 WESTRIDGE ROAD </t>
  </si>
  <si>
    <t>575-885-8150</t>
  </si>
  <si>
    <t>LANE PARK OF HUBER HEIGHTS</t>
  </si>
  <si>
    <t xml:space="preserve">6200 BELLEFONTAINE RD </t>
  </si>
  <si>
    <t>HUBER HEIGHTS</t>
  </si>
  <si>
    <t>937-236-1800</t>
  </si>
  <si>
    <t>LANE PARK OF SIDNEY</t>
  </si>
  <si>
    <t xml:space="preserve">1150 WEST RUSSELL ROAD </t>
  </si>
  <si>
    <t>937-498-1818</t>
  </si>
  <si>
    <t>LANEPARK OF OREGON</t>
  </si>
  <si>
    <t xml:space="preserve">3450 SEAMAN ROAD </t>
  </si>
  <si>
    <t>419-693-9581</t>
  </si>
  <si>
    <t>LANGSDORF HALL EXPRESS CSUF</t>
  </si>
  <si>
    <t>LANIER TERRACE</t>
  </si>
  <si>
    <t xml:space="preserve">12740 LANIER ROAD </t>
  </si>
  <si>
    <t>904-757-0600</t>
  </si>
  <si>
    <t>LANTERN CREST SENIOR LIVING</t>
  </si>
  <si>
    <t xml:space="preserve">800 LANTERN CREST WAY </t>
  </si>
  <si>
    <t>SANTEE</t>
  </si>
  <si>
    <t>619-456-0411</t>
  </si>
  <si>
    <t>LARCHWOOD INN</t>
  </si>
  <si>
    <t xml:space="preserve">2845 N 15TH ST </t>
  </si>
  <si>
    <t>970-245-0022</t>
  </si>
  <si>
    <t>LARI'S RESIDENTIAL CARE</t>
  </si>
  <si>
    <t xml:space="preserve">37098 S 4449 RD </t>
  </si>
  <si>
    <t>918-533-0727</t>
  </si>
  <si>
    <t>LAS PALMAS ESTATES</t>
  </si>
  <si>
    <t xml:space="preserve">1617 COLORADO AVENUE </t>
  </si>
  <si>
    <t>209-632-8841</t>
  </si>
  <si>
    <t>LASALLE NURSING HOME</t>
  </si>
  <si>
    <t xml:space="preserve">HIGHWAY 84 WEST </t>
  </si>
  <si>
    <t>JENA</t>
  </si>
  <si>
    <t>318-992-6627</t>
  </si>
  <si>
    <t>LATIMER NURSING HOME</t>
  </si>
  <si>
    <t xml:space="preserve">103 SW 9TH </t>
  </si>
  <si>
    <t>WILBURTON</t>
  </si>
  <si>
    <t>918-465-2255</t>
  </si>
  <si>
    <t>LATTER DAYS ASSISTED LIVING</t>
  </si>
  <si>
    <t xml:space="preserve">400 S 300 W </t>
  </si>
  <si>
    <t>SANTAQUIN</t>
  </si>
  <si>
    <t>801-754-0813</t>
  </si>
  <si>
    <t>LAUDERDALE CHRISTIAN NURSING HM</t>
  </si>
  <si>
    <t xml:space="preserve">2019 COUNTY ROAD 394 </t>
  </si>
  <si>
    <t>KILLEN</t>
  </si>
  <si>
    <t>256-757-2103</t>
  </si>
  <si>
    <t>LAUREL GROVES ASSISTED LIVING</t>
  </si>
  <si>
    <t xml:space="preserve">549 N 400 E </t>
  </si>
  <si>
    <t>NEPHI</t>
  </si>
  <si>
    <t>435-250-0064</t>
  </si>
  <si>
    <t>LAUREL HEIGHTS COMMUNITY CARE</t>
  </si>
  <si>
    <t xml:space="preserve">2740 CALIFORNIA STREET </t>
  </si>
  <si>
    <t>415-567-3133</t>
  </si>
  <si>
    <t>LAUREL HILLS HEALTH CARE</t>
  </si>
  <si>
    <t xml:space="preserve">395 SOUTH </t>
  </si>
  <si>
    <t>919-496-5696</t>
  </si>
  <si>
    <t>LAUREL HURST</t>
  </si>
  <si>
    <t xml:space="preserve">1002 WEST MILLS AV </t>
  </si>
  <si>
    <t>828-894-3900</t>
  </si>
  <si>
    <t>LAUREL PUBLIC SCHOOLS (K-12)</t>
  </si>
  <si>
    <t xml:space="preserve">410 COLORADO AVE </t>
  </si>
  <si>
    <t>406-628-8623</t>
  </si>
  <si>
    <t>LAURELBROOK SANITARIUM &amp; NURSING</t>
  </si>
  <si>
    <t xml:space="preserve">114 CAMPUS DRIVE </t>
  </si>
  <si>
    <t>423-775-3336</t>
  </si>
  <si>
    <t>LAURELWOOD HEALTH CARE CENTER</t>
  </si>
  <si>
    <t xml:space="preserve">200 BIRCH </t>
  </si>
  <si>
    <t>901-422-5641</t>
  </si>
  <si>
    <t>LAURENS CARE CENTER</t>
  </si>
  <si>
    <t xml:space="preserve">304 E VETERANS RD </t>
  </si>
  <si>
    <t>712-845-4915</t>
  </si>
  <si>
    <t>LAURENS ESTATES</t>
  </si>
  <si>
    <t xml:space="preserve">2841 BYPASS 127 </t>
  </si>
  <si>
    <t>864-984-8001</t>
  </si>
  <si>
    <t>LAURIE CARE CENTER</t>
  </si>
  <si>
    <t xml:space="preserve">610 HIGHWAY O PO BOX 1068 </t>
  </si>
  <si>
    <t>LAURIE</t>
  </si>
  <si>
    <t>573-374-8263</t>
  </si>
  <si>
    <t>LAUTERIOS PAINTING</t>
  </si>
  <si>
    <t xml:space="preserve">51 LAYLE LN </t>
  </si>
  <si>
    <t>NEW BRITIAN</t>
  </si>
  <si>
    <t>LAW OFFICES OF TODD J STEARN</t>
  </si>
  <si>
    <t xml:space="preserve">29829 GREENFIELD RD STE 101 </t>
  </si>
  <si>
    <t>248-744-5000</t>
  </si>
  <si>
    <t>LAWRENCE COUNTY SENIOR CITIZENS</t>
  </si>
  <si>
    <t xml:space="preserve">1705 12TH STREET </t>
  </si>
  <si>
    <t>618-943-5431</t>
  </si>
  <si>
    <t>LAWRENCE COUNTY SHERIFF'S OFFICE</t>
  </si>
  <si>
    <t xml:space="preserve">80 SHERMAN STREET STE 1 </t>
  </si>
  <si>
    <t>DEADWOOD</t>
  </si>
  <si>
    <t>605-578-2230</t>
  </si>
  <si>
    <t>LAWYERS GLEN RETIREMENT LIVING CTR</t>
  </si>
  <si>
    <t xml:space="preserve">10830 LAWYERS GLEN DR </t>
  </si>
  <si>
    <t>704-545-9555</t>
  </si>
  <si>
    <t>LEADING AGE WASHINGTON</t>
  </si>
  <si>
    <t xml:space="preserve">1102 BROADWAY #201 </t>
  </si>
  <si>
    <t>253-964-8870</t>
  </si>
  <si>
    <t>LEAKSVILLE REHAB AND NURSING CENTER</t>
  </si>
  <si>
    <t xml:space="preserve">1300 MELODY LANE </t>
  </si>
  <si>
    <t>LEAKESVILLE</t>
  </si>
  <si>
    <t>601-956-8276</t>
  </si>
  <si>
    <t>LEAP AHEAD CHILD DEVELOPMENT CENTER</t>
  </si>
  <si>
    <t xml:space="preserve">641 N KEYS ROAD </t>
  </si>
  <si>
    <t>509-453-8688</t>
  </si>
  <si>
    <t>LEARN PLAY AND GROW CHILDCARE CENTER</t>
  </si>
  <si>
    <t xml:space="preserve">401 SOUTH GREEN ROAD </t>
  </si>
  <si>
    <t>LEARNING CONNECTIONS OF BARTONVILLE</t>
  </si>
  <si>
    <t xml:space="preserve">7203 SOUTH ADAMS STREET </t>
  </si>
  <si>
    <t>BARTONVILLE</t>
  </si>
  <si>
    <t>309-697-4357</t>
  </si>
  <si>
    <t>LEARNING CONNECTIONS OF GALESBURG</t>
  </si>
  <si>
    <t xml:space="preserve">849 S HENDERSON STREET </t>
  </si>
  <si>
    <t>309-343-3014</t>
  </si>
  <si>
    <t>LEE COUNTY YOUTH DEVELOPMENT CTR</t>
  </si>
  <si>
    <t xml:space="preserve">1109 SPRING DRIVE </t>
  </si>
  <si>
    <t>334-749-2996</t>
  </si>
  <si>
    <t>LEEWOOD HEALTHCARE CENTER</t>
  </si>
  <si>
    <t xml:space="preserve">7120 BRADDOCK RD </t>
  </si>
  <si>
    <t>703-256-9770</t>
  </si>
  <si>
    <t>LEGACY CENTER</t>
  </si>
  <si>
    <t xml:space="preserve">1335 BAUER LANE </t>
  </si>
  <si>
    <t>719-275-2917</t>
  </si>
  <si>
    <t>LEGACY HOUSE ASSISTED LIVING</t>
  </si>
  <si>
    <t xml:space="preserve">1517 W TEMPLE LANE </t>
  </si>
  <si>
    <t>801-254-0373</t>
  </si>
  <si>
    <t>LEGACY HOUSE OF SPANISH FORK</t>
  </si>
  <si>
    <t xml:space="preserve">1449 EAST 150 SOUTH </t>
  </si>
  <si>
    <t>801-892-2000</t>
  </si>
  <si>
    <t>LEGACY NURSING AND REHAB</t>
  </si>
  <si>
    <t xml:space="preserve">1790 MUIR RD </t>
  </si>
  <si>
    <t>925-228-8383</t>
  </si>
  <si>
    <t>LEGACY PLACE COTTAGES</t>
  </si>
  <si>
    <t xml:space="preserve">2051 BEVIN DRIVE </t>
  </si>
  <si>
    <t>484-245-1006</t>
  </si>
  <si>
    <t>LEGACY RETIREMENT</t>
  </si>
  <si>
    <t xml:space="preserve">210 TEXAS BLVD </t>
  </si>
  <si>
    <t>806-244-8555</t>
  </si>
  <si>
    <t>LEGACY VILLAGE HEALTHCARE</t>
  </si>
  <si>
    <t xml:space="preserve">3251 WEST 5400 SOUTH </t>
  </si>
  <si>
    <t>801-613-4600</t>
  </si>
  <si>
    <t>LEGEND HEALTH CARE SUPPORT LLC</t>
  </si>
  <si>
    <t xml:space="preserve">2921 CHAPEL RD </t>
  </si>
  <si>
    <t>ASHTABULA</t>
  </si>
  <si>
    <t>440-593-6266</t>
  </si>
  <si>
    <t>LEGRAND HEALTHCARE &amp; REHAB CTR</t>
  </si>
  <si>
    <t xml:space="preserve">650 HOLT STREET </t>
  </si>
  <si>
    <t>BASTROP</t>
  </si>
  <si>
    <t>318-281-0322</t>
  </si>
  <si>
    <t>LEISURE MANOR</t>
  </si>
  <si>
    <t xml:space="preserve">2901 EL CAMINO AVENUE </t>
  </si>
  <si>
    <t>916-481-5151</t>
  </si>
  <si>
    <t>LELAND LEGACY</t>
  </si>
  <si>
    <t xml:space="preserve">LENAWEE INTERMEDIATE SCHOOL DIST-CULINARY </t>
  </si>
  <si>
    <t xml:space="preserve">4107 NORTH ADRIAN HWY </t>
  </si>
  <si>
    <t>517-265-1647</t>
  </si>
  <si>
    <t>LENBROOK SQUARE</t>
  </si>
  <si>
    <t xml:space="preserve">3747 PEACHTREE ROAD NE </t>
  </si>
  <si>
    <t>404-233-3000</t>
  </si>
  <si>
    <t>LENITY SENIOR LIVING</t>
  </si>
  <si>
    <t xml:space="preserve">4119 LENITY LIVING AVENUE </t>
  </si>
  <si>
    <t>CALDWELL</t>
  </si>
  <si>
    <t>208-866-0312</t>
  </si>
  <si>
    <t>LENOIR ASSISTED LIVING</t>
  </si>
  <si>
    <t xml:space="preserve">2773 PINEWOOD HOME RD </t>
  </si>
  <si>
    <t>PINK HILL</t>
  </si>
  <si>
    <t>252-568-6167</t>
  </si>
  <si>
    <t>LEONEL ESTRADA</t>
  </si>
  <si>
    <t xml:space="preserve">5505 GUIDA DRIVE </t>
  </si>
  <si>
    <t>336-792-0029</t>
  </si>
  <si>
    <t>LETTUCE EAT</t>
  </si>
  <si>
    <t xml:space="preserve">293 EAST DOMINICK STREET </t>
  </si>
  <si>
    <t>LEWINSVILLE RETIREMENT</t>
  </si>
  <si>
    <t xml:space="preserve">1515 GREAT FALLS STREET </t>
  </si>
  <si>
    <t>703-442-8600</t>
  </si>
  <si>
    <t>LEWIS COUNTY NURSING HOME</t>
  </si>
  <si>
    <t xml:space="preserve">HIGHWAY 81 N </t>
  </si>
  <si>
    <t>573-288-4454</t>
  </si>
  <si>
    <t>LEWIS COUNTY SENIOR SERVICES</t>
  </si>
  <si>
    <t xml:space="preserve">2545 N NATIONAL AVENUE </t>
  </si>
  <si>
    <t>360-740-2642</t>
  </si>
  <si>
    <t>LEXINGTON HEALTH CARE CENTER</t>
  </si>
  <si>
    <t xml:space="preserve">17 CORNELIA DRIVE </t>
  </si>
  <si>
    <t>336-242-1349</t>
  </si>
  <si>
    <t>LEXINGTON NURSING HOME</t>
  </si>
  <si>
    <t xml:space="preserve">632 S E 3RD </t>
  </si>
  <si>
    <t>405-527-6531</t>
  </si>
  <si>
    <t>LEXINGTON OF TAZEWELL (THE)</t>
  </si>
  <si>
    <t xml:space="preserve">520 DEER RUN LANE </t>
  </si>
  <si>
    <t>276-385-7150</t>
  </si>
  <si>
    <t>LEXINGTON SQUARE B.O.</t>
  </si>
  <si>
    <t xml:space="preserve">101 N 12TH STREET </t>
  </si>
  <si>
    <t>319-250-0933</t>
  </si>
  <si>
    <t>LEXINGTON THE</t>
  </si>
  <si>
    <t xml:space="preserve">114 W. FAIRVIEW AVE </t>
  </si>
  <si>
    <t>LIBBY BORTZ ASSISTED LIVING</t>
  </si>
  <si>
    <t xml:space="preserve">5844 SOUTH CURTICE STREET </t>
  </si>
  <si>
    <t>303-347-9755</t>
  </si>
  <si>
    <t>LIBERTY PETROLEUM</t>
  </si>
  <si>
    <t xml:space="preserve">3625 ATHENA SCHOOL ROAD </t>
  </si>
  <si>
    <t>636-586-5166</t>
  </si>
  <si>
    <t>LIBERTY SQUARE</t>
  </si>
  <si>
    <t xml:space="preserve">2475 S AMMON RD </t>
  </si>
  <si>
    <t>AMMON</t>
  </si>
  <si>
    <t>208-552-3381</t>
  </si>
  <si>
    <t>LICKING COUNTY AGING PROGRAM</t>
  </si>
  <si>
    <t xml:space="preserve">1058 E MAIN STREET </t>
  </si>
  <si>
    <t>NEWWARK</t>
  </si>
  <si>
    <t>740-345-0821</t>
  </si>
  <si>
    <t>LICKING COUNTY SHERIFF DEPARTMENT</t>
  </si>
  <si>
    <t xml:space="preserve">155 EAST MAIN STREET </t>
  </si>
  <si>
    <t xml:space="preserve">NEWARK </t>
  </si>
  <si>
    <t>740-670-5500</t>
  </si>
  <si>
    <t>LICKING PARK MANOR</t>
  </si>
  <si>
    <t xml:space="preserve">209 HICKORY STREET </t>
  </si>
  <si>
    <t>LICKING</t>
  </si>
  <si>
    <t>573-674-2111</t>
  </si>
  <si>
    <t>LIFE CARE ALLIANCE COLUMBUS</t>
  </si>
  <si>
    <t xml:space="preserve">1699 MOUND STREET </t>
  </si>
  <si>
    <t>614-278-3130</t>
  </si>
  <si>
    <t>LIFE CARE HOSPICE</t>
  </si>
  <si>
    <t xml:space="preserve">1900 AKRON ROAD </t>
  </si>
  <si>
    <t>330-264-4899</t>
  </si>
  <si>
    <t>LIFE CONNECTIONS</t>
  </si>
  <si>
    <t xml:space="preserve">909 EDWARDS ST </t>
  </si>
  <si>
    <t>307-670-9111</t>
  </si>
  <si>
    <t>LIFELONG AIDS ALLIANCE</t>
  </si>
  <si>
    <t xml:space="preserve">1002 E SENECA </t>
  </si>
  <si>
    <t>206-328-8979</t>
  </si>
  <si>
    <t>LIFES JOURNEY AVON LLC</t>
  </si>
  <si>
    <t xml:space="preserve">10241 E COUNTY RD #100 N </t>
  </si>
  <si>
    <t>812-239-3771</t>
  </si>
  <si>
    <t>LIFES PROMISE PCH</t>
  </si>
  <si>
    <t xml:space="preserve">2053 STATE RT 711 </t>
  </si>
  <si>
    <t>LIFETIME RECOVERY</t>
  </si>
  <si>
    <t xml:space="preserve">10290 SOUTHTON ROAD </t>
  </si>
  <si>
    <t>210-633-0201</t>
  </si>
  <si>
    <t>LIGHT BRIDGE HOSPICE</t>
  </si>
  <si>
    <t xml:space="preserve">6155 CORNERSTONE CT EAST #220 </t>
  </si>
  <si>
    <t>858-458-2992</t>
  </si>
  <si>
    <t>LIGHTHOUSE HOSPICE LLC</t>
  </si>
  <si>
    <t xml:space="preserve">151 W GALVANI DR STE 100 </t>
  </si>
  <si>
    <t>208-576-6383</t>
  </si>
  <si>
    <t>LIGHTHOUSE REHAB &amp; HEALTHCARE CT</t>
  </si>
  <si>
    <t xml:space="preserve">2911 EARL GOODWIN PARKWAY </t>
  </si>
  <si>
    <t>334-875-1868</t>
  </si>
  <si>
    <t>LIGHTHOUSE SENIOR LIVING</t>
  </si>
  <si>
    <t xml:space="preserve">3100 N RIDGE RD </t>
  </si>
  <si>
    <t>ELLICOTT CITY</t>
  </si>
  <si>
    <t>410-465-2288</t>
  </si>
  <si>
    <t>LIMA CONVALESCENT HOME</t>
  </si>
  <si>
    <t xml:space="preserve">1650 ALLENTOWN ROAD </t>
  </si>
  <si>
    <t>419-224-9741</t>
  </si>
  <si>
    <t>LINCOLN COUNTY CARE CENTER</t>
  </si>
  <si>
    <t xml:space="preserve">511 EAST 4TH STREET </t>
  </si>
  <si>
    <t>SHOSHONE</t>
  </si>
  <si>
    <t>208-886-2228</t>
  </si>
  <si>
    <t>LINCOLN COUNTY HOME HEALTH</t>
  </si>
  <si>
    <t xml:space="preserve">700 S LINCOLN </t>
  </si>
  <si>
    <t>870-628-5149</t>
  </si>
  <si>
    <t>LINCOLN COUNTY MEMORIAL HOSPITAL</t>
  </si>
  <si>
    <t xml:space="preserve">1000 CHERRY </t>
  </si>
  <si>
    <t>314-528-8551</t>
  </si>
  <si>
    <t>LINCOLN COUNTY SHERIFF'S OFFICE</t>
  </si>
  <si>
    <t xml:space="preserve">65 BUSINESS PARK </t>
  </si>
  <si>
    <t>636-528-8546</t>
  </si>
  <si>
    <t>LINCOLN RETIREMENT VILLA</t>
  </si>
  <si>
    <t xml:space="preserve">41040 LINCOLN STREET </t>
  </si>
  <si>
    <t>510-656-4373</t>
  </si>
  <si>
    <t>LINCOLN SENIOR CENTER ARKANSAS</t>
  </si>
  <si>
    <t xml:space="preserve">116 EAST PARK </t>
  </si>
  <si>
    <t>501-824-3861</t>
  </si>
  <si>
    <t>LINCOLN SPECIALTY CARE CENTER</t>
  </si>
  <si>
    <t xml:space="preserve">1640 SOUTH LINCOLN AVENUE </t>
  </si>
  <si>
    <t>VINELAND</t>
  </si>
  <si>
    <t>856-692-8080</t>
  </si>
  <si>
    <t>LINDEN PONDS</t>
  </si>
  <si>
    <t xml:space="preserve">203 LINDEN PONDS WAY </t>
  </si>
  <si>
    <t>HINGHAM</t>
  </si>
  <si>
    <t>781-337-2255</t>
  </si>
  <si>
    <t>LINDSEY WILSON COLLEGE</t>
  </si>
  <si>
    <t xml:space="preserve">210 LINDSEY WILSON ST </t>
  </si>
  <si>
    <t>270-384-2126</t>
  </si>
  <si>
    <t>LINKS OF NOVI SINGH</t>
  </si>
  <si>
    <t xml:space="preserve">50395 W. 10 MILE RD </t>
  </si>
  <si>
    <t>NOVI</t>
  </si>
  <si>
    <t>248-380-9595</t>
  </si>
  <si>
    <t>LINN MANOR CARE CENTER</t>
  </si>
  <si>
    <t xml:space="preserve">1140 ELIM DR </t>
  </si>
  <si>
    <t xml:space="preserve">MARIAN </t>
  </si>
  <si>
    <t>319-377-4611</t>
  </si>
  <si>
    <t>LISNER-LOUISE-DICKSON-HURT HOME</t>
  </si>
  <si>
    <t xml:space="preserve">5425 WESTERN AVENUE NW </t>
  </si>
  <si>
    <t>202-966-6667</t>
  </si>
  <si>
    <t>LITTLE BIGHORN COLLEGE</t>
  </si>
  <si>
    <t xml:space="preserve">8645 S WEAVER </t>
  </si>
  <si>
    <t>CROW AGENCY</t>
  </si>
  <si>
    <t>406-638-3138</t>
  </si>
  <si>
    <t>LITTLE GALILEE CHRISTIAN CAMP</t>
  </si>
  <si>
    <t xml:space="preserve">7539 LITTLE GALILEE ROAD </t>
  </si>
  <si>
    <t>217-935-3809</t>
  </si>
  <si>
    <t>LITTLE MUNCHKINS SCHOOL</t>
  </si>
  <si>
    <t xml:space="preserve">2020 DENTON DRIVE </t>
  </si>
  <si>
    <t>512-454-1877</t>
  </si>
  <si>
    <t>LITTLE PEOPLES HEAD START</t>
  </si>
  <si>
    <t xml:space="preserve">435 S 13TH STREET </t>
  </si>
  <si>
    <t>775-289-6113</t>
  </si>
  <si>
    <t xml:space="preserve">2100 S WESTERN AVE </t>
  </si>
  <si>
    <t>310-548-0625</t>
  </si>
  <si>
    <t xml:space="preserve">4200 HAREWOOD ROAD NE </t>
  </si>
  <si>
    <t>202-269-1831</t>
  </si>
  <si>
    <t>LITTLE SISTERS OF THE POOR NEWARK</t>
  </si>
  <si>
    <t xml:space="preserve">185 SALEM CHURCH RD </t>
  </si>
  <si>
    <t>302-368-5886</t>
  </si>
  <si>
    <t>LITTLE SISTERS OF THE POOR AL</t>
  </si>
  <si>
    <t xml:space="preserve">1655 MCGILL AVENUE </t>
  </si>
  <si>
    <t>205-476-6335</t>
  </si>
  <si>
    <t>LITTLE SISTERS OF THE POOR VA</t>
  </si>
  <si>
    <t xml:space="preserve">1503 MICHAELS ROAD </t>
  </si>
  <si>
    <t>804-288-6245</t>
  </si>
  <si>
    <t>LIVE OAK MANOR SARASOTA</t>
  </si>
  <si>
    <t xml:space="preserve">5660 MAUNA LOA BLVD </t>
  </si>
  <si>
    <t>941-377-2868</t>
  </si>
  <si>
    <t>LIVING WATERS</t>
  </si>
  <si>
    <t xml:space="preserve">224 FISHERSVILLE ROAD </t>
  </si>
  <si>
    <t>FISHERSVILLE</t>
  </si>
  <si>
    <t>540-949-8546</t>
  </si>
  <si>
    <t>LIVING WATERS - TIMBERVILLE</t>
  </si>
  <si>
    <t xml:space="preserve">379 NORTH MAIN STREET </t>
  </si>
  <si>
    <t>TIMBERVILLE</t>
  </si>
  <si>
    <t>540-896-4558</t>
  </si>
  <si>
    <t>LOCH HAVEN NURSING HOME</t>
  </si>
  <si>
    <t xml:space="preserve">701 SUNSET HILLS DR </t>
  </si>
  <si>
    <t>816-385-3113</t>
  </si>
  <si>
    <t>LOCHHAVEN</t>
  </si>
  <si>
    <t xml:space="preserve">1640 ALLENTOWN ROAD </t>
  </si>
  <si>
    <t>419-227-5450</t>
  </si>
  <si>
    <t>LOCUST RIDGE</t>
  </si>
  <si>
    <t xml:space="preserve">12745 ELM CORNER ROAD </t>
  </si>
  <si>
    <t>513-579-9949</t>
  </si>
  <si>
    <t>LODGE GRASS PUBLIC SCHOOLS</t>
  </si>
  <si>
    <t xml:space="preserve">124 N GEORGE ST </t>
  </si>
  <si>
    <t>LODGE GRASS</t>
  </si>
  <si>
    <t>406-639-2714</t>
  </si>
  <si>
    <t>LOGAN ACRES NURSING HOME</t>
  </si>
  <si>
    <t xml:space="preserve">2739 COUNTY ROAD 91 </t>
  </si>
  <si>
    <t>937-592-2901</t>
  </si>
  <si>
    <t>LOGAN COUNTY SR CITIZENS BOONVLE</t>
  </si>
  <si>
    <t xml:space="preserve">545 HERITAGE DRIVE </t>
  </si>
  <si>
    <t>501-675-4851</t>
  </si>
  <si>
    <t>LOGAN COUNTY SR CITIZENS PARIS</t>
  </si>
  <si>
    <t xml:space="preserve">331 SOUTH 1ST </t>
  </si>
  <si>
    <t>501-963-3475</t>
  </si>
  <si>
    <t>LOLINDA</t>
  </si>
  <si>
    <t xml:space="preserve">2518 MISSION STREET </t>
  </si>
  <si>
    <t>415-550-6970</t>
  </si>
  <si>
    <t>LONE STAR LIVING</t>
  </si>
  <si>
    <t xml:space="preserve">10680 WESTBRAE PKWY </t>
  </si>
  <si>
    <t>713-541-9991</t>
  </si>
  <si>
    <t>LONE TREE CONVALESCENT HOSPITAL</t>
  </si>
  <si>
    <t xml:space="preserve">4001 LONE TREE WAY </t>
  </si>
  <si>
    <t>925-754-0470</t>
  </si>
  <si>
    <t>LONE TREE HEALTH CARE CENTER</t>
  </si>
  <si>
    <t xml:space="preserve">501 E PIONEER ROAD </t>
  </si>
  <si>
    <t>LONE TREE</t>
  </si>
  <si>
    <t>319-629-4255</t>
  </si>
  <si>
    <t>LONGHOUSE-NORTHSHIRE</t>
  </si>
  <si>
    <t xml:space="preserve">711 W. 11TH STREET </t>
  </si>
  <si>
    <t>712-262-2344</t>
  </si>
  <si>
    <t>LONOKE COUNTY COUNCIL ON AGING</t>
  </si>
  <si>
    <t xml:space="preserve">#1 NEWBERRY DRIVE </t>
  </si>
  <si>
    <t>501-676-6971</t>
  </si>
  <si>
    <t>LOOMIS SENIOR CARE VILLA</t>
  </si>
  <si>
    <t xml:space="preserve">3400 CHISOM TRAIL </t>
  </si>
  <si>
    <t>LOOMIS</t>
  </si>
  <si>
    <t>916-652-0146</t>
  </si>
  <si>
    <t>LORANTFFY CARE CENTER</t>
  </si>
  <si>
    <t xml:space="preserve">2631 COPLEY RD </t>
  </si>
  <si>
    <t>330-666-2631</t>
  </si>
  <si>
    <t>LORETTO MOTHERHOUSE INFIRMARY</t>
  </si>
  <si>
    <t xml:space="preserve">515 NERINX ROAD </t>
  </si>
  <si>
    <t>NERINX</t>
  </si>
  <si>
    <t>502-865-5811</t>
  </si>
  <si>
    <t>LOS GATOS OAKS CONVALESCENT HOSPITAL</t>
  </si>
  <si>
    <t xml:space="preserve">16605 LARK AVENUE </t>
  </si>
  <si>
    <t>408-356-9146</t>
  </si>
  <si>
    <t>LOST VALLEY BIBLE CAMP</t>
  </si>
  <si>
    <t xml:space="preserve">5724 WEST M-32 </t>
  </si>
  <si>
    <t>GAYLORD</t>
  </si>
  <si>
    <t>734-812-4315</t>
  </si>
  <si>
    <t>LOUDONVILLE REST HOME</t>
  </si>
  <si>
    <t xml:space="preserve">205 NORTH WATER STREET </t>
  </si>
  <si>
    <t>419-994-4250</t>
  </si>
  <si>
    <t>LOUISA HEALTH CARE CENTER</t>
  </si>
  <si>
    <t xml:space="preserve">210 ELM STREET P.O. BOX 1310 </t>
  </si>
  <si>
    <t>540-967-2250</t>
  </si>
  <si>
    <t>LOUISBURG GARDENS</t>
  </si>
  <si>
    <t xml:space="preserve">844 HIGHWAY 39 SOUTH </t>
  </si>
  <si>
    <t>919-340-0211</t>
  </si>
  <si>
    <t>LOVINGSTON HEALTH CARE CENTER</t>
  </si>
  <si>
    <t xml:space="preserve">P.O. BOX 398 BUSINESS ROUTE 29 </t>
  </si>
  <si>
    <t>LOVINGSTON</t>
  </si>
  <si>
    <t>22949-0398</t>
  </si>
  <si>
    <t>804-263-4823</t>
  </si>
  <si>
    <t>LOVI'S DELICATESSEN</t>
  </si>
  <si>
    <t xml:space="preserve">24005 CALABASAS ROAD </t>
  </si>
  <si>
    <t>CALABASAS</t>
  </si>
  <si>
    <t>818-223-8777</t>
  </si>
  <si>
    <t>LOWER COLUMBIA COLLEGE</t>
  </si>
  <si>
    <t xml:space="preserve">1600 MAPLE STREET </t>
  </si>
  <si>
    <t>360-442-2207</t>
  </si>
  <si>
    <t>LUCERNE 11</t>
  </si>
  <si>
    <t xml:space="preserve">11235 LUCERNE AVENUE </t>
  </si>
  <si>
    <t>310-956-5465</t>
  </si>
  <si>
    <t>LUCKY 7 BAR &amp; GRILL</t>
  </si>
  <si>
    <t xml:space="preserve">12715 NE 124TH STREET </t>
  </si>
  <si>
    <t>425-821-7717</t>
  </si>
  <si>
    <t>LUCY CORR VILLAGE</t>
  </si>
  <si>
    <t xml:space="preserve">6800 LUCY CORR BOULEVARD </t>
  </si>
  <si>
    <t>CHESTERFELD</t>
  </si>
  <si>
    <t>804-748-1511</t>
  </si>
  <si>
    <t>LUDGER'S BAVARIAN CAKERY</t>
  </si>
  <si>
    <t xml:space="preserve">6527 E 91ST STREET </t>
  </si>
  <si>
    <t>918-622-2537</t>
  </si>
  <si>
    <t>LUIGI'S PIZZA</t>
  </si>
  <si>
    <t xml:space="preserve">421 N JAMES STREET </t>
  </si>
  <si>
    <t>315-334-9400</t>
  </si>
  <si>
    <t>LUIGI'S PIZZA II</t>
  </si>
  <si>
    <t xml:space="preserve">8953 TURIN ROAD </t>
  </si>
  <si>
    <t>315-336-3400</t>
  </si>
  <si>
    <t>LUMBERTON ASSISTED LIVING</t>
  </si>
  <si>
    <t xml:space="preserve">505 BAILEY RD. </t>
  </si>
  <si>
    <t>LUMBERYARD</t>
  </si>
  <si>
    <t xml:space="preserve">384 FOREST AVENUE #10 </t>
  </si>
  <si>
    <t>949-715-3900</t>
  </si>
  <si>
    <t>LUMENARY MEMORY CARE</t>
  </si>
  <si>
    <t xml:space="preserve">513 BENFIELD ROAD </t>
  </si>
  <si>
    <t>443-995-0609</t>
  </si>
  <si>
    <t>LUMIERE HEALING CENTERS</t>
  </si>
  <si>
    <t xml:space="preserve">7593 TYLERS PLACE BLVD </t>
  </si>
  <si>
    <t xml:space="preserve">WEST CHESTER </t>
  </si>
  <si>
    <t>513-657-4099</t>
  </si>
  <si>
    <t>LUTHER HOME OF MERCY WILLISTON</t>
  </si>
  <si>
    <t xml:space="preserve">5810 N MAIN STREET </t>
  </si>
  <si>
    <t>419-836-7741</t>
  </si>
  <si>
    <t xml:space="preserve">350 MALIBU DRIVE </t>
  </si>
  <si>
    <t>757-463-3510</t>
  </si>
  <si>
    <t>LUTHER MANOR RETIREMENT</t>
  </si>
  <si>
    <t xml:space="preserve">3170 HIGWAY 61 N </t>
  </si>
  <si>
    <t>573-221-5533</t>
  </si>
  <si>
    <t>LUTHER PINES</t>
  </si>
  <si>
    <t xml:space="preserve">805 S MUMAUGH ROAD </t>
  </si>
  <si>
    <t>419-225-9045</t>
  </si>
  <si>
    <t>LUTHER RIDGE</t>
  </si>
  <si>
    <t xml:space="preserve">80 S WHEELING ST </t>
  </si>
  <si>
    <t>419-698-8933</t>
  </si>
  <si>
    <t>LUTHER VILLAGE ARLINGTON HEIGHTS</t>
  </si>
  <si>
    <t xml:space="preserve">1250 VILLAGE DRIVE </t>
  </si>
  <si>
    <t>847-670-7200</t>
  </si>
  <si>
    <t>LUTHERAN CARE CENTER- ALTAMONT</t>
  </si>
  <si>
    <t xml:space="preserve">702 W CUMBERLAND </t>
  </si>
  <si>
    <t>LUTHERAN OUTDOOR MINISTRIES CTR</t>
  </si>
  <si>
    <t xml:space="preserve">1834 ROUTE 2 </t>
  </si>
  <si>
    <t>815-732-2220</t>
  </si>
  <si>
    <t xml:space="preserve">701 9TH STREET NORTH </t>
  </si>
  <si>
    <t>LUTHERAN TERRACE</t>
  </si>
  <si>
    <t>LUTHERAN VILLAS</t>
  </si>
  <si>
    <t xml:space="preserve">702 W CUMBERLAND ROAD </t>
  </si>
  <si>
    <t>LYDIA H. ROPER HOME</t>
  </si>
  <si>
    <t xml:space="preserve">127 E 40TH STREET </t>
  </si>
  <si>
    <t>757-622-6979</t>
  </si>
  <si>
    <t>LYMAN W LIGGINS URBAN AFFAIRS</t>
  </si>
  <si>
    <t xml:space="preserve">2155 ARLINGTON AVE </t>
  </si>
  <si>
    <t>419-385-2535</t>
  </si>
  <si>
    <t>LYMAN WARD MILITARY SCHOOL</t>
  </si>
  <si>
    <t xml:space="preserve">174 WARD CIRCLE </t>
  </si>
  <si>
    <t>256-896-4127</t>
  </si>
  <si>
    <t>LYNCHBURG COLLEGE</t>
  </si>
  <si>
    <t xml:space="preserve">1501 LAKESIDE DRIVE </t>
  </si>
  <si>
    <t>434-544-8248</t>
  </si>
  <si>
    <t>LYNCHBURG HEALTH &amp; REHABILITATION CENTER</t>
  </si>
  <si>
    <t xml:space="preserve">5615 SEMINOLE AVENUE </t>
  </si>
  <si>
    <t>24502-2201</t>
  </si>
  <si>
    <t>434-239-2657</t>
  </si>
  <si>
    <t>LYNDEN MANOR</t>
  </si>
  <si>
    <t xml:space="preserve">905 AARON DRIVE </t>
  </si>
  <si>
    <t>360-354-5985</t>
  </si>
  <si>
    <t>LYNHURST HEALTHCARE</t>
  </si>
  <si>
    <t xml:space="preserve">5225 WEST MORRIS STREET </t>
  </si>
  <si>
    <t>317-381-9404</t>
  </si>
  <si>
    <t>LYNN HOUSE OF POTOMAC VALLEY</t>
  </si>
  <si>
    <t xml:space="preserve">4400 W BRADDOCK RD </t>
  </si>
  <si>
    <t>703-379-6000</t>
  </si>
  <si>
    <t>LYNN'S HERITAGE HOUSE</t>
  </si>
  <si>
    <t xml:space="preserve">800 KELLY LANE </t>
  </si>
  <si>
    <t>LOUISIANA</t>
  </si>
  <si>
    <t>573-754-4020</t>
  </si>
  <si>
    <t>LYTTON GARDENS</t>
  </si>
  <si>
    <t xml:space="preserve">656 LYTTON AVENUE </t>
  </si>
  <si>
    <t>650-617-7360</t>
  </si>
  <si>
    <t>MABRY HEALTH CARE &amp; REHAB CENTER</t>
  </si>
  <si>
    <t xml:space="preserve">1340 N GRUNDY QUARLES HWY </t>
  </si>
  <si>
    <t>GAINESBORO</t>
  </si>
  <si>
    <t>931-268-0291</t>
  </si>
  <si>
    <t>MAC'S MEALS</t>
  </si>
  <si>
    <t xml:space="preserve">333 GUADALUPE </t>
  </si>
  <si>
    <t>512-378-0235</t>
  </si>
  <si>
    <t>MADEIRA VILLA</t>
  </si>
  <si>
    <t xml:space="preserve">3370 W IRONWOOD DRIVE </t>
  </si>
  <si>
    <t>480-206-3661</t>
  </si>
  <si>
    <t>MADERA COMMUNITY HOSPITAL</t>
  </si>
  <si>
    <t xml:space="preserve">1250 E ALMOND AVE </t>
  </si>
  <si>
    <t xml:space="preserve">MADERA </t>
  </si>
  <si>
    <t>559-675-5459</t>
  </si>
  <si>
    <t>MADISON AVENUE HOUSE</t>
  </si>
  <si>
    <t xml:space="preserve">285 MADISON AVE SO </t>
  </si>
  <si>
    <t>BAINBRIDGE ISLAND</t>
  </si>
  <si>
    <t>206-842-3694</t>
  </si>
  <si>
    <t>MADISON COUNTY CHILDRENS CAMP</t>
  </si>
  <si>
    <t xml:space="preserve">2112 WHEELER DRIVE </t>
  </si>
  <si>
    <t>315-684-9429</t>
  </si>
  <si>
    <t>MADISON COUNTY HEAD START</t>
  </si>
  <si>
    <t xml:space="preserve">80 EATON STREET </t>
  </si>
  <si>
    <t>315-684-3001</t>
  </si>
  <si>
    <t>MADISON COUNTY SAC</t>
  </si>
  <si>
    <t xml:space="preserve">903 N COLLEGE </t>
  </si>
  <si>
    <t>501-738-2750</t>
  </si>
  <si>
    <t>MADISON COUNTY SENIOR CENTER</t>
  </si>
  <si>
    <t xml:space="preserve">107 SPRUCE STREET </t>
  </si>
  <si>
    <t>573-783-5357</t>
  </si>
  <si>
    <t>MADISON HEALTH CARE</t>
  </si>
  <si>
    <t xml:space="preserve">7600 SOUTH RIDGE ROAD </t>
  </si>
  <si>
    <t>440-428-1492</t>
  </si>
  <si>
    <t>MADISON HOME</t>
  </si>
  <si>
    <t xml:space="preserve">3212 CHAMBERLAYNE AVENUE </t>
  </si>
  <si>
    <t>804-358-9300</t>
  </si>
  <si>
    <t>MADISON RETIREMENT CENTER</t>
  </si>
  <si>
    <t xml:space="preserve">251 PATRIOT LANE </t>
  </si>
  <si>
    <t>757-220-4014</t>
  </si>
  <si>
    <t>MADRONA HOUSE</t>
  </si>
  <si>
    <t xml:space="preserve">8800 MADISON AVE NO </t>
  </si>
  <si>
    <t>206-317-6000</t>
  </si>
  <si>
    <t>MAGGIE VALLEY CONVALESCENT CENTER</t>
  </si>
  <si>
    <t xml:space="preserve">75 FISHER LOOP </t>
  </si>
  <si>
    <t>MAGGIE VALLEY</t>
  </si>
  <si>
    <t>828-566-3002</t>
  </si>
  <si>
    <t>MAGNOLIA ASSISTED LIVING</t>
  </si>
  <si>
    <t xml:space="preserve">1604 S BURNSIDE AVENUE </t>
  </si>
  <si>
    <t>225-647-8400</t>
  </si>
  <si>
    <t>MAGNOLIA ESTATES OF OCONEE</t>
  </si>
  <si>
    <t xml:space="preserve">1641 VIRGIL LANGFORD RD </t>
  </si>
  <si>
    <t>BOGART</t>
  </si>
  <si>
    <t>706-543-5595</t>
  </si>
  <si>
    <t>MAGNOLIA GARDEN AT DANVILLE</t>
  </si>
  <si>
    <t xml:space="preserve">205 EL PINTO ROAD </t>
  </si>
  <si>
    <t>925-820-9801</t>
  </si>
  <si>
    <t>MAGNOLIA GARDENS AL</t>
  </si>
  <si>
    <t xml:space="preserve">594 MURRAY HILL ROAD </t>
  </si>
  <si>
    <t>910-654-5879</t>
  </si>
  <si>
    <t>MAGNOLIA GARDENS OF ELLISVILLE</t>
  </si>
  <si>
    <t xml:space="preserve">303 E. IVY ST </t>
  </si>
  <si>
    <t>601-477-9041</t>
  </si>
  <si>
    <t>MAGNOLIA GARDENS OF LAUREL</t>
  </si>
  <si>
    <t xml:space="preserve">945 WEST DRIVE </t>
  </si>
  <si>
    <t>601-518-0597</t>
  </si>
  <si>
    <t>MAGNOLIA GARDENS OF WARRENTON</t>
  </si>
  <si>
    <t xml:space="preserve">930 HIGHWAY 158 BUSINESS EAST </t>
  </si>
  <si>
    <t>252-257-3107</t>
  </si>
  <si>
    <t>MAGNOLIA HOME HEALTH INC.</t>
  </si>
  <si>
    <t xml:space="preserve">1285 PINE STREET SUITE 100 </t>
  </si>
  <si>
    <t>318-263-2700</t>
  </si>
  <si>
    <t>MAGNOLIA HOUSE</t>
  </si>
  <si>
    <t xml:space="preserve">1115 CARTHAGE STREER </t>
  </si>
  <si>
    <t>919-774-7084</t>
  </si>
  <si>
    <t>MAGNOLIA HOUSING AUTHORITY</t>
  </si>
  <si>
    <t xml:space="preserve">100 MEADOWBROOK LANE </t>
  </si>
  <si>
    <t>870-234-2335</t>
  </si>
  <si>
    <t>MAGNOLIA MANOR</t>
  </si>
  <si>
    <t xml:space="preserve">242 MAGNOLIA AVENUE </t>
  </si>
  <si>
    <t>731-352-7746</t>
  </si>
  <si>
    <t>MAGNOLIA REHABILITATION &amp; NURSING CENTER</t>
  </si>
  <si>
    <t xml:space="preserve">8133 MAGNOLIA </t>
  </si>
  <si>
    <t>951-688-4321</t>
  </si>
  <si>
    <t>MAGNOLIA RIDGE ROANOKE</t>
  </si>
  <si>
    <t xml:space="preserve">1007 AMHERST STREET S W </t>
  </si>
  <si>
    <t>540-342-8861</t>
  </si>
  <si>
    <t>MAGNOLIA SQUARE SPRINGFIELD</t>
  </si>
  <si>
    <t xml:space="preserve">1502 W EDGEWOOD </t>
  </si>
  <si>
    <t>417-877-7545</t>
  </si>
  <si>
    <t>MAGNOLIA TERRACE</t>
  </si>
  <si>
    <t xml:space="preserve">1110 N MARKET STREET </t>
  </si>
  <si>
    <t>GALION</t>
  </si>
  <si>
    <t>419-462-3900</t>
  </si>
  <si>
    <t>MAHER JR PAINTING</t>
  </si>
  <si>
    <t xml:space="preserve">1344 ELECTRIC CT </t>
  </si>
  <si>
    <t>757-437-1900</t>
  </si>
  <si>
    <t>MAHONING VALLEY HOSPITAL</t>
  </si>
  <si>
    <t xml:space="preserve">8059 SOUTH AVENUE </t>
  </si>
  <si>
    <t>330-675-5054</t>
  </si>
  <si>
    <t>MAHONING VALLEY NURSING &amp; REHAB</t>
  </si>
  <si>
    <t xml:space="preserve">397 HEMLOCK DRIVE </t>
  </si>
  <si>
    <t>LEHIGHTON</t>
  </si>
  <si>
    <t>570-386-5522</t>
  </si>
  <si>
    <t>MAIN STREET HEALTH CARE SERVICES</t>
  </si>
  <si>
    <t xml:space="preserve">3262 SUPERIOR LANE # 243 </t>
  </si>
  <si>
    <t>BOWIE</t>
  </si>
  <si>
    <t>301-257-4481</t>
  </si>
  <si>
    <t>MAISON DE FLEUR</t>
  </si>
  <si>
    <t xml:space="preserve">559 RUSHING RD W </t>
  </si>
  <si>
    <t>DENHAM SPRING</t>
  </si>
  <si>
    <t>225-238-1919</t>
  </si>
  <si>
    <t>MAJESTIC OAKS</t>
  </si>
  <si>
    <t xml:space="preserve">901 VETERANS MEMORIAL PKWY </t>
  </si>
  <si>
    <t>386-775-2000</t>
  </si>
  <si>
    <t>MALLARD COVE SENIOR LIVING</t>
  </si>
  <si>
    <t xml:space="preserve">1410 MALLARD COVE DR </t>
  </si>
  <si>
    <t>SHARONVILLE</t>
  </si>
  <si>
    <t>513-772-6655</t>
  </si>
  <si>
    <t>MALLORY WOODS</t>
  </si>
  <si>
    <t xml:space="preserve">22 OLD MALLORY ROAD </t>
  </si>
  <si>
    <t>757-827-0000</t>
  </si>
  <si>
    <t>MALVERN HOUSE</t>
  </si>
  <si>
    <t xml:space="preserve">315 SOUTH WARREN ROAD </t>
  </si>
  <si>
    <t>484-321-2541</t>
  </si>
  <si>
    <t>MANATEE RIVER ASSISTED LIVING</t>
  </si>
  <si>
    <t xml:space="preserve">820 5TH ST. W </t>
  </si>
  <si>
    <t>941-721-0426</t>
  </si>
  <si>
    <t>MANAWA COMMUNITY NURSING CENTER</t>
  </si>
  <si>
    <t xml:space="preserve">400 E 4TH STREET </t>
  </si>
  <si>
    <t>MANAWA</t>
  </si>
  <si>
    <t>920-596-2566</t>
  </si>
  <si>
    <t>MANCHESTER ACADEMY</t>
  </si>
  <si>
    <t xml:space="preserve">2131 GORDON AVENUE </t>
  </si>
  <si>
    <t>YAZOO CITY</t>
  </si>
  <si>
    <t>662-746-5913</t>
  </si>
  <si>
    <t>MANCHESTER ACADEMY-MAVERICK</t>
  </si>
  <si>
    <t>MANHATTAN CHRISTIAN SCHOOL</t>
  </si>
  <si>
    <t xml:space="preserve">800 CHURCHILL ROAD </t>
  </si>
  <si>
    <t>406-282-7261</t>
  </si>
  <si>
    <t>MANNING GARDENS NURSING AND REHAB INC.</t>
  </si>
  <si>
    <t xml:space="preserve">2113 E. MANNING AVENUE </t>
  </si>
  <si>
    <t>559-834-2586</t>
  </si>
  <si>
    <t>MANOA COTTAGE KAIMUKI</t>
  </si>
  <si>
    <t xml:space="preserve">748 OLOKELE AVE </t>
  </si>
  <si>
    <t>808-426-7850</t>
  </si>
  <si>
    <t>MANOR EAST ROANOKE</t>
  </si>
  <si>
    <t>540-265-2171</t>
  </si>
  <si>
    <t>MANOR OF NATURAL BRIDGE</t>
  </si>
  <si>
    <t xml:space="preserve">5615 SOUTH LEE HIGHWAY </t>
  </si>
  <si>
    <t>NATURAL BRIDGE</t>
  </si>
  <si>
    <t>540-291-2301</t>
  </si>
  <si>
    <t>MANORCARE HEALTH SERVICES - ALEXANDRIA</t>
  </si>
  <si>
    <t xml:space="preserve">150 COLLINGWOOD ROAD </t>
  </si>
  <si>
    <t>22308-1605</t>
  </si>
  <si>
    <t>703-765-6107</t>
  </si>
  <si>
    <t>MANORCARE HEALTH SERVICES - ARLINGTON</t>
  </si>
  <si>
    <t xml:space="preserve">550 SOUTH CARLIN SPRINGS ROAD </t>
  </si>
  <si>
    <t>22204-1022</t>
  </si>
  <si>
    <t>703-379-7200</t>
  </si>
  <si>
    <t>MANORCARE HEALTH SERVICES - FAIR OAKS</t>
  </si>
  <si>
    <t xml:space="preserve">12475 LEE JACKSON MEMORIAL HIGHWAY </t>
  </si>
  <si>
    <t>22033-2803</t>
  </si>
  <si>
    <t>703-352-7172</t>
  </si>
  <si>
    <t>MANORCARE HEALTH SERVICES - IMPERIAL PLAZA</t>
  </si>
  <si>
    <t xml:space="preserve">1719 BELLEVUE AVENUE </t>
  </si>
  <si>
    <t>23227-3901</t>
  </si>
  <si>
    <t>804-262-7364</t>
  </si>
  <si>
    <t>MANORCARE HEALTH SERVICES - STRATFORD HALL</t>
  </si>
  <si>
    <t xml:space="preserve">2125 HILLARD ROAD </t>
  </si>
  <si>
    <t>23228-4600</t>
  </si>
  <si>
    <t>804-266-9666</t>
  </si>
  <si>
    <t>MANORHOUSE ASSISTED LIVING AND MEMORY CARE</t>
  </si>
  <si>
    <t xml:space="preserve">13500 NORTH GAYTON ROAD </t>
  </si>
  <si>
    <t>804-360-7777</t>
  </si>
  <si>
    <t>MANORHOUSE ASSISTED LIVING/CHATTANOOGA</t>
  </si>
  <si>
    <t xml:space="preserve">1148 MOUNTAIN CREEK ROAD </t>
  </si>
  <si>
    <t>423-870-5900</t>
  </si>
  <si>
    <t>MANORHOUSE ASSISTED LIVING/KNOXVILLE</t>
  </si>
  <si>
    <t xml:space="preserve">8501 SOUTH NORTH SHORE DRIVE </t>
  </si>
  <si>
    <t>865-670-0504</t>
  </si>
  <si>
    <t>MANORHOUSE AT GASTONIA</t>
  </si>
  <si>
    <t xml:space="preserve">2755 UNION ROAD </t>
  </si>
  <si>
    <t>704-810-0111</t>
  </si>
  <si>
    <t>MANORHOUSE AT IRVING PARK</t>
  </si>
  <si>
    <t xml:space="preserve">3200 NORTH ELM STREET </t>
  </si>
  <si>
    <t>336-545-3444</t>
  </si>
  <si>
    <t>MANORHOUSE AT SOUTHPARK #304</t>
  </si>
  <si>
    <t xml:space="preserve">2101 RUNNYMEDE LANE </t>
  </si>
  <si>
    <t>704-525-5508</t>
  </si>
  <si>
    <t>MANORHOUSE AT WINSTON-SALEM</t>
  </si>
  <si>
    <t xml:space="preserve">1540 POLO ROAD </t>
  </si>
  <si>
    <t>336-722-7118</t>
  </si>
  <si>
    <t>MANSFIELD MEMORIAL HOMES</t>
  </si>
  <si>
    <t xml:space="preserve">50 BLYMER AVENUE </t>
  </si>
  <si>
    <t>419-774-5100</t>
  </si>
  <si>
    <t>MANZANITA HOUSE ONTARIO</t>
  </si>
  <si>
    <t xml:space="preserve">708 MANZANITA COURT </t>
  </si>
  <si>
    <t>909-947-3761</t>
  </si>
  <si>
    <t>MAPLE CREST MANOR FAYETTE</t>
  </si>
  <si>
    <t xml:space="preserve">100 BOLGER DRIVE </t>
  </si>
  <si>
    <t>FAYETTE</t>
  </si>
  <si>
    <t>563-425-3336</t>
  </si>
  <si>
    <t>MAPLE CREST MANOR MISSOURI</t>
  </si>
  <si>
    <t xml:space="preserve">430 N FREDERICK </t>
  </si>
  <si>
    <t>573-334-2662</t>
  </si>
  <si>
    <t>MAPLE CREST NURSING OMAHA</t>
  </si>
  <si>
    <t xml:space="preserve">2824 N 66TH AVENUE </t>
  </si>
  <si>
    <t>402-551-2110</t>
  </si>
  <si>
    <t>MAPLE CREST SENIOR LIVING</t>
  </si>
  <si>
    <t xml:space="preserve">700 MAPLE CREST COURT </t>
  </si>
  <si>
    <t>419-358-7654</t>
  </si>
  <si>
    <t>MAPLE HEIGHTS ASSISTED LIVING</t>
  </si>
  <si>
    <t xml:space="preserve">2065 CHUBB LAKE RD </t>
  </si>
  <si>
    <t>336-599-1255</t>
  </si>
  <si>
    <t>MAPLE HEIGHTS NURSING HOME</t>
  </si>
  <si>
    <t xml:space="preserve">2 SUNRISE AVENUE </t>
  </si>
  <si>
    <t>712-882-1680</t>
  </si>
  <si>
    <t>MAPLE LAWN HEALTH CENTER</t>
  </si>
  <si>
    <t xml:space="preserve">700 NORTH MAIN STREET </t>
  </si>
  <si>
    <t>309-467-2337</t>
  </si>
  <si>
    <t>MAPLE MANOR REHAB CENTER</t>
  </si>
  <si>
    <t xml:space="preserve">3999 VENOY </t>
  </si>
  <si>
    <t>734-727-0440</t>
  </si>
  <si>
    <t>MAPLE MANOR REHAB OF NOVI</t>
  </si>
  <si>
    <t xml:space="preserve">31215 NOVI RD </t>
  </si>
  <si>
    <t>MAPLE PLACE LIVING CENTER</t>
  </si>
  <si>
    <t xml:space="preserve">620 SOUTH ALABAMA </t>
  </si>
  <si>
    <t>MAPLE SPRINGS NORTH LOGAN</t>
  </si>
  <si>
    <t xml:space="preserve">350 E 2200 NORTH </t>
  </si>
  <si>
    <t>435-753-9400</t>
  </si>
  <si>
    <t>MAPLE VALLEY NURSING MAPLE CITY</t>
  </si>
  <si>
    <t xml:space="preserve">1086 W BURDICKVILLE ROAD </t>
  </si>
  <si>
    <t>MAPLE CITY</t>
  </si>
  <si>
    <t>231-228-5895</t>
  </si>
  <si>
    <t>MAPLES (THE)</t>
  </si>
  <si>
    <t xml:space="preserve">P.O. BOX 1958 </t>
  </si>
  <si>
    <t>304-327-2485</t>
  </si>
  <si>
    <t>MAPLEWOOD GARDENS</t>
  </si>
  <si>
    <t xml:space="preserve">1100 N SUPERIOR AVENUE </t>
  </si>
  <si>
    <t>509-489-9510</t>
  </si>
  <si>
    <t>MAPLEWOOD HEALTH CARE CENTER</t>
  </si>
  <si>
    <t xml:space="preserve">100 Cherrywood P.L. </t>
  </si>
  <si>
    <t>731-668-1900</t>
  </si>
  <si>
    <t>MARANATHA VILLAGE</t>
  </si>
  <si>
    <t xml:space="preserve">233 EAST NORTON ROAD </t>
  </si>
  <si>
    <t>417-833-0016</t>
  </si>
  <si>
    <t>MARBRIDGE FOUNDATION</t>
  </si>
  <si>
    <t xml:space="preserve">2310 BLISS SPILLAR ROAD </t>
  </si>
  <si>
    <t>MANCHACA</t>
  </si>
  <si>
    <t>512-282-1144</t>
  </si>
  <si>
    <t>MARGARET HUNT SENIOR CENTER</t>
  </si>
  <si>
    <t xml:space="preserve">2121 GARDEN LAKE PARKWAY </t>
  </si>
  <si>
    <t>419-385-2595</t>
  </si>
  <si>
    <t>MARGATE HEALTH AND REHAB CENTER</t>
  </si>
  <si>
    <t xml:space="preserve">540 WAUGH STREET </t>
  </si>
  <si>
    <t>336-246-5581</t>
  </si>
  <si>
    <t>MARIA HEALTHCARE /VILLLA ASSUMPTA</t>
  </si>
  <si>
    <t xml:space="preserve">6401 N CHARLES STREET </t>
  </si>
  <si>
    <t>410-377-7774</t>
  </si>
  <si>
    <t>MARIAN CLIFF MANOR</t>
  </si>
  <si>
    <t xml:space="preserve">381 ELM STREET </t>
  </si>
  <si>
    <t>ST MARY</t>
  </si>
  <si>
    <t>573-543-2218</t>
  </si>
  <si>
    <t>MARIAN HOME</t>
  </si>
  <si>
    <t xml:space="preserve">2400 6TH AVENUE N. </t>
  </si>
  <si>
    <t>515-576-1138</t>
  </si>
  <si>
    <t>MARIE CALLENDER'S #231CSUF</t>
  </si>
  <si>
    <t xml:space="preserve">2600 E. NUTWOOD AVE. </t>
  </si>
  <si>
    <t>MARIE CALLENDERS #74</t>
  </si>
  <si>
    <t xml:space="preserve">6950 ALVARADO ROAD </t>
  </si>
  <si>
    <t>619-465-1910</t>
  </si>
  <si>
    <t>MARIN TERRACE</t>
  </si>
  <si>
    <t xml:space="preserve">297 MILLER AVENUE </t>
  </si>
  <si>
    <t>MILL VALLEY</t>
  </si>
  <si>
    <t>415-388-9526</t>
  </si>
  <si>
    <t>MARINA RESORT</t>
  </si>
  <si>
    <t xml:space="preserve">40770 BIG BEAR BLVD </t>
  </si>
  <si>
    <t>909-866-5000</t>
  </si>
  <si>
    <t>MARINER HEALTH CARE</t>
  </si>
  <si>
    <t xml:space="preserve">1720 17TH STREET </t>
  </si>
  <si>
    <t>304-529-6031</t>
  </si>
  <si>
    <t>MARION CORRECTIONAL INSTITUTION</t>
  </si>
  <si>
    <t xml:space="preserve">940 MARION-WILLIAMSPORT RD </t>
  </si>
  <si>
    <t>740-382-5781</t>
  </si>
  <si>
    <t>MARION COUNTY JUVENILE DETENTION CENTER</t>
  </si>
  <si>
    <t xml:space="preserve">1440 MT VERNON AVENUE </t>
  </si>
  <si>
    <t>740-389-5476</t>
  </si>
  <si>
    <t>MARION COUNTY SENIOR CENTER</t>
  </si>
  <si>
    <t xml:space="preserve">5966 HWY 202 EAST </t>
  </si>
  <si>
    <t>FLIPPIN</t>
  </si>
  <si>
    <t>870-453-8488</t>
  </si>
  <si>
    <t>MARION NURSING CENTER</t>
  </si>
  <si>
    <t xml:space="preserve">P O BOX 1485 2770 SOUTH HIGHWAY 501 </t>
  </si>
  <si>
    <t>843-423-2601</t>
  </si>
  <si>
    <t>MARION-POLK FOOD SHARE</t>
  </si>
  <si>
    <t xml:space="preserve">2615 NEW PORTLAND ROAD </t>
  </si>
  <si>
    <t>503-581-3855</t>
  </si>
  <si>
    <t>MARK TWAIN CONV. SAN ANDREAS</t>
  </si>
  <si>
    <t xml:space="preserve">900 MT RANCH ROAD </t>
  </si>
  <si>
    <t>209-754-3823</t>
  </si>
  <si>
    <t>MARK TWAIN MANOR BRIDGETON</t>
  </si>
  <si>
    <t xml:space="preserve">11988 MARK TWAIN LANE </t>
  </si>
  <si>
    <t>314-291-8240</t>
  </si>
  <si>
    <t>MARK TWAIN OF HUNTSVILLE</t>
  </si>
  <si>
    <t xml:space="preserve">104 E ELM STREET </t>
  </si>
  <si>
    <t>660-277-4439</t>
  </si>
  <si>
    <t>MARK TWAIN OF MOBERLY</t>
  </si>
  <si>
    <t xml:space="preserve">901 UNION AVENUE </t>
  </si>
  <si>
    <t>MOBERLY</t>
  </si>
  <si>
    <t>660-263-6515</t>
  </si>
  <si>
    <t>MARKET STREET LIVING</t>
  </si>
  <si>
    <t xml:space="preserve">301 NW 3RD STREET </t>
  </si>
  <si>
    <t>812-618-8712</t>
  </si>
  <si>
    <t>MARKLUND WASMOND CENTER</t>
  </si>
  <si>
    <t xml:space="preserve">1435 SUMMIT STREET </t>
  </si>
  <si>
    <t>847-741-1609</t>
  </si>
  <si>
    <t>MARLORA POST ACUTE REHAB HOSP</t>
  </si>
  <si>
    <t xml:space="preserve">3801 E ANAHEIM STREET </t>
  </si>
  <si>
    <t>562-494-3311</t>
  </si>
  <si>
    <t>MARQUETTE CATHOLIC HIGH SCHOOL</t>
  </si>
  <si>
    <t xml:space="preserve">219 E 4TH STREET </t>
  </si>
  <si>
    <t>618-463-0580</t>
  </si>
  <si>
    <t>MARQUETTE HOUSE WESTLAND</t>
  </si>
  <si>
    <t xml:space="preserve">36000 CAMPUS DRIVE </t>
  </si>
  <si>
    <t>734-326-6537</t>
  </si>
  <si>
    <t>MARQUETTE SR HIGH SCHOOL</t>
  </si>
  <si>
    <t xml:space="preserve">1201 WEST FAIR AVENUE </t>
  </si>
  <si>
    <t>906-225-4245</t>
  </si>
  <si>
    <t>MARS HILL RETIREMENT COMMUNITY</t>
  </si>
  <si>
    <t xml:space="preserve">170 S MAIN ST </t>
  </si>
  <si>
    <t>MARS HILL</t>
  </si>
  <si>
    <t>828-689-7970</t>
  </si>
  <si>
    <t>MARSHALL MANOR NURSING HOME</t>
  </si>
  <si>
    <t xml:space="preserve">3120 NORTH STREET </t>
  </si>
  <si>
    <t>GUNTERSVILLE</t>
  </si>
  <si>
    <t>256-582-6561</t>
  </si>
  <si>
    <t>MARTHA FRANKS BAPTIST RETIREMENT COMMUNITY</t>
  </si>
  <si>
    <t xml:space="preserve">1 MARTH FRANKS </t>
  </si>
  <si>
    <t>864-984-4541</t>
  </si>
  <si>
    <t>MARTHA JEFFERSON HOUSE</t>
  </si>
  <si>
    <t xml:space="preserve">1600 GORDON AVE </t>
  </si>
  <si>
    <t>434-293-6136</t>
  </si>
  <si>
    <t>MARTIN BOYD CHRISTIAN HOME</t>
  </si>
  <si>
    <t xml:space="preserve">6845 SANDIFE RGAP </t>
  </si>
  <si>
    <t>423-892-1020</t>
  </si>
  <si>
    <t>MARWOOD MANOR PORT HURON</t>
  </si>
  <si>
    <t xml:space="preserve">1300 BEARD STREET </t>
  </si>
  <si>
    <t>810-982-8591</t>
  </si>
  <si>
    <t>MARY BRYANT HOME SPRINGFIELD</t>
  </si>
  <si>
    <t xml:space="preserve">2960 STANTON AVENUE </t>
  </si>
  <si>
    <t>217-529-1611</t>
  </si>
  <si>
    <t>MARY HEALTH OF THE SICK</t>
  </si>
  <si>
    <t xml:space="preserve">2929 THERESA DRIVE </t>
  </si>
  <si>
    <t>NEWBURY PARK</t>
  </si>
  <si>
    <t>805-498-3644</t>
  </si>
  <si>
    <t>MARY QUEEN OF ANGELS</t>
  </si>
  <si>
    <t xml:space="preserve">34 WHITE BRIDGE ROAD </t>
  </si>
  <si>
    <t>615-353-6181</t>
  </si>
  <si>
    <t>MARYCREST MANOR SKILLED NURSING &amp; REHAB</t>
  </si>
  <si>
    <t xml:space="preserve">15475 MIDDLEBELT ROAD </t>
  </si>
  <si>
    <t xml:space="preserve">LIVONIA </t>
  </si>
  <si>
    <t>734-427-9175</t>
  </si>
  <si>
    <t>MARYHAVEN</t>
  </si>
  <si>
    <t xml:space="preserve">1791 ALUM CREEK DRIVE </t>
  </si>
  <si>
    <t>614-324-5483</t>
  </si>
  <si>
    <t>MARYLAND MASONIC HOMES</t>
  </si>
  <si>
    <t xml:space="preserve">300 INTERNATIONAL CIRCLE </t>
  </si>
  <si>
    <t>410-527-1111</t>
  </si>
  <si>
    <t>MARYMOUNT GREENHILLS RETIREMENT</t>
  </si>
  <si>
    <t xml:space="preserve">1201 BROADWAY </t>
  </si>
  <si>
    <t>650-742-9150</t>
  </si>
  <si>
    <t>MARYMOUNT VILLA</t>
  </si>
  <si>
    <t xml:space="preserve">345 DAVIS </t>
  </si>
  <si>
    <t>510-895-5007</t>
  </si>
  <si>
    <t>MARY'S REST HOME FOR ADULTS</t>
  </si>
  <si>
    <t xml:space="preserve">10519 FRANCISCO RD </t>
  </si>
  <si>
    <t>434-574-6270</t>
  </si>
  <si>
    <t>MARYVIEW NURSING CARE CENTER</t>
  </si>
  <si>
    <t xml:space="preserve">4775 BRIDGE ROAD </t>
  </si>
  <si>
    <t>23435-2045</t>
  </si>
  <si>
    <t>757-686-0488</t>
  </si>
  <si>
    <t>MARYWOOD HEALTH CENTER</t>
  </si>
  <si>
    <t xml:space="preserve">111 LAKESIDE DRIVE NE </t>
  </si>
  <si>
    <t>616-643-0270</t>
  </si>
  <si>
    <t>MASON CHRISTIAN VILLAGE</t>
  </si>
  <si>
    <t xml:space="preserve">411 WESTERN ROW ROAD </t>
  </si>
  <si>
    <t>513-398-1486</t>
  </si>
  <si>
    <t>MASONIC HOME FOR CHILDREN BN</t>
  </si>
  <si>
    <t xml:space="preserve">600 COLLEGE ST </t>
  </si>
  <si>
    <t>919-693-5111</t>
  </si>
  <si>
    <t>MASONIC HOME OF VIRGINIA</t>
  </si>
  <si>
    <t xml:space="preserve">4101 NINE MILE ROAD </t>
  </si>
  <si>
    <t>804-222-1694</t>
  </si>
  <si>
    <t>MASONIC PATHWAYS</t>
  </si>
  <si>
    <t xml:space="preserve">1200 WRIGHT AVE </t>
  </si>
  <si>
    <t>989-466-3844</t>
  </si>
  <si>
    <t>MASSANUTTEN MILITARY ACADEMY</t>
  </si>
  <si>
    <t>MATTHEWS MEMORIAL NURSING HOME</t>
  </si>
  <si>
    <t xml:space="preserve">5100 JACKSON STREET EXT </t>
  </si>
  <si>
    <t>318-445-5215</t>
  </si>
  <si>
    <t>MAYFAIR HOUSE - LYNCHBURG</t>
  </si>
  <si>
    <t xml:space="preserve">201 LILLIAN LANE </t>
  </si>
  <si>
    <t>434-385-6077</t>
  </si>
  <si>
    <t>MAYFAIR HOUSE - PORTSMOUTH</t>
  </si>
  <si>
    <t xml:space="preserve">901 ENTERPRISE WAY </t>
  </si>
  <si>
    <t>757-397-3411</t>
  </si>
  <si>
    <t>MAYSLAKE VILLAGE</t>
  </si>
  <si>
    <t xml:space="preserve">1801 35TH STREET </t>
  </si>
  <si>
    <t>630-850-8231</t>
  </si>
  <si>
    <t>MAYVIEW CONVALESCENT CENTER</t>
  </si>
  <si>
    <t xml:space="preserve">513 EAST WHITAKER MILL ROAD </t>
  </si>
  <si>
    <t>919-828-2348</t>
  </si>
  <si>
    <t>MAYWOOD ACRES HEALTHCARE</t>
  </si>
  <si>
    <t xml:space="preserve">2641 SOUTH C STREET </t>
  </si>
  <si>
    <t>805-487-7840</t>
  </si>
  <si>
    <t>MCALLISTER NURSING AND REHAB</t>
  </si>
  <si>
    <t xml:space="preserve">18300 S LAVERGNE AVE </t>
  </si>
  <si>
    <t>708-798-2272</t>
  </si>
  <si>
    <t>MCCALLS CHAPEL SCHOOL</t>
  </si>
  <si>
    <t xml:space="preserve">13546 CR 3600 </t>
  </si>
  <si>
    <t>580-272-6600</t>
  </si>
  <si>
    <t>MCCLAY ADULT DAY CARE</t>
  </si>
  <si>
    <t xml:space="preserve">3821 MCCLAY ROAD </t>
  </si>
  <si>
    <t>ST PETERS</t>
  </si>
  <si>
    <t>MCCLAY SENIOR CARE</t>
  </si>
  <si>
    <t xml:space="preserve">3801 MCCLAY ROAD </t>
  </si>
  <si>
    <t>636-219-3114</t>
  </si>
  <si>
    <t>MCCLURG DINING HALL-UNIV OF THE SOUTH</t>
  </si>
  <si>
    <t xml:space="preserve">635 UNIVERSITY AVE </t>
  </si>
  <si>
    <t>SEWANEE</t>
  </si>
  <si>
    <t>931-598-1161</t>
  </si>
  <si>
    <t>MCCRACKEN REST HOME</t>
  </si>
  <si>
    <t xml:space="preserve">203 MCCRACKEN STREET </t>
  </si>
  <si>
    <t>828-456-9004</t>
  </si>
  <si>
    <t>MCCULLOUGH NURSING CENTER</t>
  </si>
  <si>
    <t xml:space="preserve">603 SOUTHWEST 24TH STREET </t>
  </si>
  <si>
    <t>210-435-7711</t>
  </si>
  <si>
    <t>MCDOWELL ASSISTED LIVING</t>
  </si>
  <si>
    <t xml:space="preserve">5235 NC 226 SOUTH </t>
  </si>
  <si>
    <t>828-659-8649</t>
  </si>
  <si>
    <t>MCGEHEE SENIOR CITIZENS CENTER</t>
  </si>
  <si>
    <t xml:space="preserve">900 OAK STREET </t>
  </si>
  <si>
    <t>870-222-3434</t>
  </si>
  <si>
    <t>MCGUFFEY HEALTH CARE CENTER</t>
  </si>
  <si>
    <t xml:space="preserve">2301 RAINBOW DRIVE </t>
  </si>
  <si>
    <t>256-543-3467</t>
  </si>
  <si>
    <t>MCHENRY VILLA</t>
  </si>
  <si>
    <t xml:space="preserve">3516 W WAUKEGAN ROAD </t>
  </si>
  <si>
    <t>MCHENRY</t>
  </si>
  <si>
    <t>815-344-0246</t>
  </si>
  <si>
    <t>MCKAY HEALTHCARE &amp; REHAB CENTER</t>
  </si>
  <si>
    <t xml:space="preserve">127 2ND AVENUE SW </t>
  </si>
  <si>
    <t>SOAP LAKE</t>
  </si>
  <si>
    <t>509-246-1111</t>
  </si>
  <si>
    <t>MCKENDREE VILLAGE</t>
  </si>
  <si>
    <t xml:space="preserve">4347 LEBANON RD </t>
  </si>
  <si>
    <t>615-871-8200</t>
  </si>
  <si>
    <t>MCKINLEY HEALTH CARE CTR CANTON</t>
  </si>
  <si>
    <t xml:space="preserve">800 MARKET AVENUE NORTH </t>
  </si>
  <si>
    <t>330-456-1014</t>
  </si>
  <si>
    <t>MCLARAN CARE CENTER ST LOUIS</t>
  </si>
  <si>
    <t xml:space="preserve">1265 MCLARAN </t>
  </si>
  <si>
    <t>314-388-4121</t>
  </si>
  <si>
    <t>MCLEAN CARE CENTER</t>
  </si>
  <si>
    <t xml:space="preserve">605 W SEVENTH STREET </t>
  </si>
  <si>
    <t>806-779-2469</t>
  </si>
  <si>
    <t>MCLEAN COUNTY NURSING HOME</t>
  </si>
  <si>
    <t xml:space="preserve">901 N MAIN STREET </t>
  </si>
  <si>
    <t>NORMAL</t>
  </si>
  <si>
    <t>309-888-5380</t>
  </si>
  <si>
    <t>MCMULLEN ASSISTED CARE</t>
  </si>
  <si>
    <t xml:space="preserve">201 SCHOOL DRIVE </t>
  </si>
  <si>
    <t>419-994-5405</t>
  </si>
  <si>
    <t>MCWANE SCIENCE CENTER</t>
  </si>
  <si>
    <t xml:space="preserve">200 19TH STREET </t>
  </si>
  <si>
    <t>205-714-8311</t>
  </si>
  <si>
    <t>MEADE COUNTY JAIL</t>
  </si>
  <si>
    <t xml:space="preserve">1400 MAIN ST </t>
  </si>
  <si>
    <t>605-720-6632</t>
  </si>
  <si>
    <t>MEADOW BROOK ICF/MR</t>
  </si>
  <si>
    <t xml:space="preserve">1500 MEADOW LANE </t>
  </si>
  <si>
    <t>HOWE</t>
  </si>
  <si>
    <t>918-658-3656</t>
  </si>
  <si>
    <t>MEADOW BROOK RES CARE</t>
  </si>
  <si>
    <t xml:space="preserve">1000 MEADOW LANE </t>
  </si>
  <si>
    <t>918-658-2509</t>
  </si>
  <si>
    <t>MEADOW HILL FAMILY</t>
  </si>
  <si>
    <t xml:space="preserve">2935 E PROSPECT ROAD </t>
  </si>
  <si>
    <t>717-755-0876</t>
  </si>
  <si>
    <t>MEADOW VIEW ASSISTED LIVING</t>
  </si>
  <si>
    <t xml:space="preserve">2815 MEDLIN DRIVE </t>
  </si>
  <si>
    <t xml:space="preserve">ARLINGTON </t>
  </si>
  <si>
    <t>903-465-9596</t>
  </si>
  <si>
    <t>MEADOW WIND HEALTH CENTER</t>
  </si>
  <si>
    <t xml:space="preserve">300 23RD STREET NE </t>
  </si>
  <si>
    <t>330-833-2026</t>
  </si>
  <si>
    <t>MEADOW WOOD BEHAVIORAL HEALTH SYSTEM</t>
  </si>
  <si>
    <t xml:space="preserve">575 SOUTH DUPONT HIGHWAY </t>
  </si>
  <si>
    <t>302-328-3330</t>
  </si>
  <si>
    <t>MEADOWBROOK CARE CENTER</t>
  </si>
  <si>
    <t xml:space="preserve">8211 Weller Road </t>
  </si>
  <si>
    <t>513-489-2444</t>
  </si>
  <si>
    <t>MEADOWBROOK HEALTH CARE CENTER</t>
  </si>
  <si>
    <t xml:space="preserve">461 EAST JOHNSTON AVENUE </t>
  </si>
  <si>
    <t>951-658-6374</t>
  </si>
  <si>
    <t>MEADOWBROOK RESIDENTIAL CARE MO</t>
  </si>
  <si>
    <t xml:space="preserve">806 W MULBERRY </t>
  </si>
  <si>
    <t>PILOT KNOB</t>
  </si>
  <si>
    <t>573-546-7065</t>
  </si>
  <si>
    <t>MEADOWOOD HEALTHCARE STOCKTON</t>
  </si>
  <si>
    <t xml:space="preserve">3110 WAGNER HEIGHTS </t>
  </si>
  <si>
    <t>209-956-3444</t>
  </si>
  <si>
    <t>MEADOWOOD NURSING CENTER</t>
  </si>
  <si>
    <t xml:space="preserve">3805 DEXTER LANE </t>
  </si>
  <si>
    <t>707-994-7738</t>
  </si>
  <si>
    <t>MEADOWOOD OF GRAYVILLE</t>
  </si>
  <si>
    <t xml:space="preserve">320 S. Second </t>
  </si>
  <si>
    <t>GRAYVILLE</t>
  </si>
  <si>
    <t>618-375-2171</t>
  </si>
  <si>
    <t>MEADOWOOD RETIREMENT CENTER</t>
  </si>
  <si>
    <t xml:space="preserve">509 PINEVIEW AVENUE </t>
  </si>
  <si>
    <t>MEADOWS ASSISTED LIVING AND CARE CAMPUS</t>
  </si>
  <si>
    <t xml:space="preserve">71 NORTH AVENUE </t>
  </si>
  <si>
    <t>MOUNT CLEMMENS</t>
  </si>
  <si>
    <t>586-864-5608</t>
  </si>
  <si>
    <t>MEADOWS MENNONITE RETIREMENT COMMUNITY</t>
  </si>
  <si>
    <t xml:space="preserve">24588 CHURCH STREET </t>
  </si>
  <si>
    <t>CHENOA</t>
  </si>
  <si>
    <t>309-747-2702</t>
  </si>
  <si>
    <t>MEADOWS NORTH</t>
  </si>
  <si>
    <t xml:space="preserve">2130 ROSE VISTA DRIVE </t>
  </si>
  <si>
    <t>252-522-5783</t>
  </si>
  <si>
    <t>MEADOWS OF BURGAW</t>
  </si>
  <si>
    <t xml:space="preserve">300 WEST ASHE STREET </t>
  </si>
  <si>
    <t>BURGAW</t>
  </si>
  <si>
    <t>901-259-8070</t>
  </si>
  <si>
    <t>MEADOWS OF GOLDSBORO</t>
  </si>
  <si>
    <t xml:space="preserve">2201 ROYALE AVENUE </t>
  </si>
  <si>
    <t>919-735-7684</t>
  </si>
  <si>
    <t>MEADOWS OF HOLLY RIDGE</t>
  </si>
  <si>
    <t xml:space="preserve">325 SOUND ROAD </t>
  </si>
  <si>
    <t>HOLLY RIDGE</t>
  </si>
  <si>
    <t>910-329-0577</t>
  </si>
  <si>
    <t>MEADOWS OF LOUISBURG</t>
  </si>
  <si>
    <t xml:space="preserve">P.O. BOX 487 </t>
  </si>
  <si>
    <t>LOIUSBURG</t>
  </si>
  <si>
    <t>919-496-5914</t>
  </si>
  <si>
    <t>MEADOWS OF OAK GROVE</t>
  </si>
  <si>
    <t xml:space="preserve">3420 WAKE FORREST HWY </t>
  </si>
  <si>
    <t>919-596-1222</t>
  </si>
  <si>
    <t>MEADOWS OF PINK HILL</t>
  </si>
  <si>
    <t xml:space="preserve">2273 PINEWOOD HOME ROAD </t>
  </si>
  <si>
    <t>MEADOWS RETIREMENT COMMUNITY</t>
  </si>
  <si>
    <t xml:space="preserve">220 RAINBOW LANE </t>
  </si>
  <si>
    <t>757-543-9773</t>
  </si>
  <si>
    <t>MEADOWS SHELTERED CARE</t>
  </si>
  <si>
    <t xml:space="preserve">3250 S PLUM GROVE ROAD </t>
  </si>
  <si>
    <t>847-397-0055</t>
  </si>
  <si>
    <t>MEADOWS SOUTH</t>
  </si>
  <si>
    <t xml:space="preserve">1935 IDLEWILD DRIVE </t>
  </si>
  <si>
    <t>252-527-8141</t>
  </si>
  <si>
    <t>MEADOWTHORPE ASSISTED LIVING AND MEMORY CARE</t>
  </si>
  <si>
    <t>859-878-1300</t>
  </si>
  <si>
    <t>MEADOWVIEW CHRISTIAN SCHOOL</t>
  </si>
  <si>
    <t xml:space="preserve">1512 OLD ORRVILLE ROAD </t>
  </si>
  <si>
    <t>334-872-8448</t>
  </si>
  <si>
    <t>MEADOWVIEW HEALTHCARE SEVILLE</t>
  </si>
  <si>
    <t xml:space="preserve">83 HIGH STREET </t>
  </si>
  <si>
    <t>SEVILLE</t>
  </si>
  <si>
    <t>330-769-2015</t>
  </si>
  <si>
    <t>MEADOWVIEW MANOR RETIREMENT HOME</t>
  </si>
  <si>
    <t xml:space="preserve">2103 US HWY 522 SOUTH </t>
  </si>
  <si>
    <t>MCVEYTOWN</t>
  </si>
  <si>
    <t>814-542-2336</t>
  </si>
  <si>
    <t>MEADVILLE CONVALESCENT CARE</t>
  </si>
  <si>
    <t xml:space="preserve">300 HIGHWAY 556 </t>
  </si>
  <si>
    <t>601-384-5861</t>
  </si>
  <si>
    <t>MEALS ON WHEELS AND MORE</t>
  </si>
  <si>
    <t xml:space="preserve">2222 ROSEWOOD </t>
  </si>
  <si>
    <t>512-476-3836</t>
  </si>
  <si>
    <t>MEALS ON WHEELS ASSC. OF AMERICA</t>
  </si>
  <si>
    <t xml:space="preserve">1414 PRINCE STREET SUITE 200 </t>
  </si>
  <si>
    <t>703-548-5558</t>
  </si>
  <si>
    <t>MEALS ON WHEELS NORTHAMPTON CNTY</t>
  </si>
  <si>
    <t xml:space="preserve">4240 FRITCH DRIVE </t>
  </si>
  <si>
    <t>610-691-1030</t>
  </si>
  <si>
    <t>MEALS ON WHEELS OF CENTRAL BALTIMORE</t>
  </si>
  <si>
    <t xml:space="preserve">515 SOUTH HAVEN STREET </t>
  </si>
  <si>
    <t>410-558-0932</t>
  </si>
  <si>
    <t>MEALS ON WHEELS OF SOLANO COUNTY</t>
  </si>
  <si>
    <t xml:space="preserve">95 MARINA CENTER </t>
  </si>
  <si>
    <t>SUISUN</t>
  </si>
  <si>
    <t>707-425-0638</t>
  </si>
  <si>
    <t>MECKLENBURG HEALTH CARE CENTER</t>
  </si>
  <si>
    <t xml:space="preserve">2415 SANDY PORTER ROAD </t>
  </si>
  <si>
    <t>704-583-0430</t>
  </si>
  <si>
    <t>MED 724</t>
  </si>
  <si>
    <t xml:space="preserve">2500 NW 79TH AVENUE </t>
  </si>
  <si>
    <t>DORAL</t>
  </si>
  <si>
    <t>305-468-0070</t>
  </si>
  <si>
    <t>MED CLAIMS SERVICES ATHENS</t>
  </si>
  <si>
    <t xml:space="preserve">1600 W HOBBS STREET </t>
  </si>
  <si>
    <t>205-232-3461</t>
  </si>
  <si>
    <t>MED SHOP TOTAL CARE</t>
  </si>
  <si>
    <t xml:space="preserve">472 E LOOP 281 </t>
  </si>
  <si>
    <t>903-238-7580</t>
  </si>
  <si>
    <t>MEDCO LLC</t>
  </si>
  <si>
    <t xml:space="preserve">3691 DADEVILLE RD </t>
  </si>
  <si>
    <t>256-215-3889</t>
  </si>
  <si>
    <t>MEDFORD MULTICARE</t>
  </si>
  <si>
    <t xml:space="preserve">3115 HORSEBLOCK ROAD </t>
  </si>
  <si>
    <t>631-730-3000</t>
  </si>
  <si>
    <t>MEDICAL CARE CENTER</t>
  </si>
  <si>
    <t xml:space="preserve">2200 LANDOVER PLACE </t>
  </si>
  <si>
    <t>24501-2116</t>
  </si>
  <si>
    <t>434-846-4626</t>
  </si>
  <si>
    <t>MEDICAL EXPRESS</t>
  </si>
  <si>
    <t xml:space="preserve">407 NO READ ROAD </t>
  </si>
  <si>
    <t>CINNAMINSON</t>
  </si>
  <si>
    <t>856-786-3177</t>
  </si>
  <si>
    <t>MEDICAL FACILITIES OF AMERICA</t>
  </si>
  <si>
    <t xml:space="preserve">P.O. BOX 29600 </t>
  </si>
  <si>
    <t>540-776-7575</t>
  </si>
  <si>
    <t>MEDICINE LAKE SCHOOL</t>
  </si>
  <si>
    <t xml:space="preserve">311 YOUNG ST </t>
  </si>
  <si>
    <t>MEDICINE LAKE</t>
  </si>
  <si>
    <t>406-789-2211</t>
  </si>
  <si>
    <t>MEDILODGE OF CHEBOYGAN</t>
  </si>
  <si>
    <t xml:space="preserve">824 SOUTH HURON </t>
  </si>
  <si>
    <t>231-627-4347</t>
  </si>
  <si>
    <t>MEDINA CHRISTIAN ACADEMY</t>
  </si>
  <si>
    <t xml:space="preserve">3646 MEDINA ROAD </t>
  </si>
  <si>
    <t>330-725-3227</t>
  </si>
  <si>
    <t>MEDINA MANOR</t>
  </si>
  <si>
    <t xml:space="preserve">402 SOUTH CENTER </t>
  </si>
  <si>
    <t>DURAND</t>
  </si>
  <si>
    <t>815-248-2151</t>
  </si>
  <si>
    <t>MEDINA VALLEY HEALTH &amp; REHAB CTR</t>
  </si>
  <si>
    <t xml:space="preserve">913 HIGHWAY 90 WEST </t>
  </si>
  <si>
    <t>CASTROVILLE</t>
  </si>
  <si>
    <t>830-931-2900</t>
  </si>
  <si>
    <t>MEDPROZ LLC</t>
  </si>
  <si>
    <t xml:space="preserve">385 PEARSALL AVENUE </t>
  </si>
  <si>
    <t>CEDARHURST</t>
  </si>
  <si>
    <t>516-447-5810</t>
  </si>
  <si>
    <t>MEMORIAL GABLES</t>
  </si>
  <si>
    <t xml:space="preserve">390 GABLES DRIVE </t>
  </si>
  <si>
    <t>513-642-3893</t>
  </si>
  <si>
    <t>MEMORIAL HOSPITAL OF TEXAS COUNTY</t>
  </si>
  <si>
    <t xml:space="preserve">520 MEDICAL DR </t>
  </si>
  <si>
    <t>580-338-5588</t>
  </si>
  <si>
    <t>MEMORIAL MEDICAL CENTER</t>
  </si>
  <si>
    <t xml:space="preserve">1086 FRANKLIN STREET </t>
  </si>
  <si>
    <t>814-534-9455</t>
  </si>
  <si>
    <t>MEMORIAL REGIONAL MEDICAL CENTER</t>
  </si>
  <si>
    <t xml:space="preserve">8260 ATLEE ROAD </t>
  </si>
  <si>
    <t>804-764-6000</t>
  </si>
  <si>
    <t>MEMORIES OF MARIE</t>
  </si>
  <si>
    <t xml:space="preserve">710 MARKET ST </t>
  </si>
  <si>
    <t>740-437-1500</t>
  </si>
  <si>
    <t>MEMORY CENTER</t>
  </si>
  <si>
    <t xml:space="preserve">1853 OLD DONATION PARKWAY </t>
  </si>
  <si>
    <t>757-412-1180</t>
  </si>
  <si>
    <t>MEMPHIS CONVALESCENT CENTER TX</t>
  </si>
  <si>
    <t xml:space="preserve">1415 N 18TH STREET </t>
  </si>
  <si>
    <t>806-259-3566</t>
  </si>
  <si>
    <t>MEMPHIS JEWISH HOME &amp; REHAB</t>
  </si>
  <si>
    <t xml:space="preserve">36 BAZEBERRY ROAD </t>
  </si>
  <si>
    <t>901-756-3223</t>
  </si>
  <si>
    <t>MENNONITE HOME</t>
  </si>
  <si>
    <t xml:space="preserve">1520 HARRISBURG PIKE </t>
  </si>
  <si>
    <t>717-393-1301</t>
  </si>
  <si>
    <t>MENNONITE MEMORIAL HOME</t>
  </si>
  <si>
    <t xml:space="preserve">410 W. ELM ST </t>
  </si>
  <si>
    <t>419-358-1015</t>
  </si>
  <si>
    <t>MERCER CONTINUOUS CARE</t>
  </si>
  <si>
    <t>MERCY ACADEMY</t>
  </si>
  <si>
    <t xml:space="preserve">5801 FEGENBUSH LANE </t>
  </si>
  <si>
    <t>502-671-2010</t>
  </si>
  <si>
    <t>MERCY CHILD DEVELOPMENT CENTER</t>
  </si>
  <si>
    <t xml:space="preserve">2301 ASHE RD </t>
  </si>
  <si>
    <t>661-832-8300</t>
  </si>
  <si>
    <t>MERCY CREEK ASSISTED LIVING</t>
  </si>
  <si>
    <t xml:space="preserve">1501 MERCY CREEK ROAD </t>
  </si>
  <si>
    <t>309-747-3675</t>
  </si>
  <si>
    <t>MERCY LIFE BROAD STREET</t>
  </si>
  <si>
    <t xml:space="preserve">1930 S BROAD ST </t>
  </si>
  <si>
    <t>215-339-4747</t>
  </si>
  <si>
    <t>MERCY LIFE HANCOCK STREET</t>
  </si>
  <si>
    <t xml:space="preserve">320 N HANCOCK ST </t>
  </si>
  <si>
    <t>MERCY LIFE MOORE STREET</t>
  </si>
  <si>
    <t xml:space="preserve">3001 MOORE STREET </t>
  </si>
  <si>
    <t>MERCY MCMAHON TERRACE</t>
  </si>
  <si>
    <t xml:space="preserve">3865 J STREET </t>
  </si>
  <si>
    <t>916-733-6510</t>
  </si>
  <si>
    <t>MERCY MEMORIAL NURSING CENTER</t>
  </si>
  <si>
    <t xml:space="preserve">700 STEWART RD </t>
  </si>
  <si>
    <t>313-242-5656</t>
  </si>
  <si>
    <t>MERCY REHAB AND CARE CENTER INC</t>
  </si>
  <si>
    <t xml:space="preserve">100 ROSEWOOD VILLAGE DRIVE </t>
  </si>
  <si>
    <t>618-236-1391</t>
  </si>
  <si>
    <t>MERCY RIDGE</t>
  </si>
  <si>
    <t xml:space="preserve">2525 POT SPRING ROAD </t>
  </si>
  <si>
    <t>410-308-9478</t>
  </si>
  <si>
    <t>MERIDIAN ACRES</t>
  </si>
  <si>
    <t xml:space="preserve">2905 N MERIDIAN ROAD </t>
  </si>
  <si>
    <t>789-486-1620</t>
  </si>
  <si>
    <t>MERIDIAN BEHAVIORAL HEALTH</t>
  </si>
  <si>
    <t xml:space="preserve">333 LAS OLAS WAY #1403 </t>
  </si>
  <si>
    <t>FT. LAUDERDALE</t>
  </si>
  <si>
    <t>954-712-7770</t>
  </si>
  <si>
    <t>MERIDIAN BEHAVIORAL HEALTH OF GALLATIN</t>
  </si>
  <si>
    <t xml:space="preserve">220 S. HICKORY AVE </t>
  </si>
  <si>
    <t>615-230-2937</t>
  </si>
  <si>
    <t>MERIDIAN MANAGEMENT ASSOCIATES</t>
  </si>
  <si>
    <t xml:space="preserve">3515 HIGHLAND AVENUE </t>
  </si>
  <si>
    <t>310-546-7593</t>
  </si>
  <si>
    <t>MERIDIAN MEDICAL SUPPLY</t>
  </si>
  <si>
    <t xml:space="preserve">1815 MONTANA AVE </t>
  </si>
  <si>
    <t xml:space="preserve">EL PASO </t>
  </si>
  <si>
    <t>915-351-2525</t>
  </si>
  <si>
    <t>MERIDIAN SENIOR SERVICES</t>
  </si>
  <si>
    <t xml:space="preserve">3811 TURTLE CREEK BLVD STE 1850 </t>
  </si>
  <si>
    <t>214-651-4105</t>
  </si>
  <si>
    <t>MERIDIAN TECHNOLOGY CENTER</t>
  </si>
  <si>
    <t xml:space="preserve">1312 SOUTH SANGRE STREET </t>
  </si>
  <si>
    <t>74074-1841</t>
  </si>
  <si>
    <t>405-377-3333</t>
  </si>
  <si>
    <t>MERION GARDENS</t>
  </si>
  <si>
    <t xml:space="preserve">315 MERION AVE </t>
  </si>
  <si>
    <t>856-299-0300</t>
  </si>
  <si>
    <t>MERIT MEDI-TRANS</t>
  </si>
  <si>
    <t xml:space="preserve">1355 E EATON RD </t>
  </si>
  <si>
    <t>530-893-8690</t>
  </si>
  <si>
    <t>MERRICK HOUSE</t>
  </si>
  <si>
    <t xml:space="preserve">1050 STARKWEATHER AVENUE </t>
  </si>
  <si>
    <t>216-771-5077</t>
  </si>
  <si>
    <t>MERRY HEART ASSISTED LIVING</t>
  </si>
  <si>
    <t xml:space="preserve">118 MAIN STREET </t>
  </si>
  <si>
    <t>SUCCASUNNA</t>
  </si>
  <si>
    <t>973-584-4000</t>
  </si>
  <si>
    <t>MERRY HEART HEALTH CARE CENTER</t>
  </si>
  <si>
    <t xml:space="preserve">200 STATE RT 10 WEST </t>
  </si>
  <si>
    <t>MERRY HEART OF BOONTON TOWNSHIP</t>
  </si>
  <si>
    <t xml:space="preserve">199 POWERVILLE ROAD </t>
  </si>
  <si>
    <t>BOONTON TOWNSHIP</t>
  </si>
  <si>
    <t>973-334-2454</t>
  </si>
  <si>
    <t>MES/HPSI OF MICHIGAN</t>
  </si>
  <si>
    <t xml:space="preserve">PO BOX 9382 </t>
  </si>
  <si>
    <t>616-532-3850</t>
  </si>
  <si>
    <t>MES/HPSI OF MISSOURI</t>
  </si>
  <si>
    <t xml:space="preserve">14557 COUNTY ROAD 616 </t>
  </si>
  <si>
    <t>573-624-7522</t>
  </si>
  <si>
    <t>MES/HPSI OF OHIO</t>
  </si>
  <si>
    <t xml:space="preserve">774 RIVERSIDE DRIVE </t>
  </si>
  <si>
    <t>WOODVILLE</t>
  </si>
  <si>
    <t>419-849-2252</t>
  </si>
  <si>
    <t>MES/HPSI OF THE SOUTHEAST</t>
  </si>
  <si>
    <t xml:space="preserve">210 HINDS BLVD SUITE B </t>
  </si>
  <si>
    <t>RAYMOND</t>
  </si>
  <si>
    <t>601-857-6000</t>
  </si>
  <si>
    <t>MESA CHRISTIAN CARE CENTER</t>
  </si>
  <si>
    <t xml:space="preserve">255 W BROWN RD </t>
  </si>
  <si>
    <t>480-833-3988</t>
  </si>
  <si>
    <t>MESCALERO CARE CENTER</t>
  </si>
  <si>
    <t xml:space="preserve">454 LIPAN AVENUE </t>
  </si>
  <si>
    <t>MESCALERO</t>
  </si>
  <si>
    <t>575-464-4802</t>
  </si>
  <si>
    <t>MESCALERO ELDERLY PROGRAM</t>
  </si>
  <si>
    <t xml:space="preserve">456 LIPAN AVENUE </t>
  </si>
  <si>
    <t>575-464-9326</t>
  </si>
  <si>
    <t>MESSIAH COLLEGE</t>
  </si>
  <si>
    <t xml:space="preserve">ONE COLLEGE AVE STE 4512 </t>
  </si>
  <si>
    <t>717-691-6008</t>
  </si>
  <si>
    <t>MESSIAH COLLEGE DINING SERVICES</t>
  </si>
  <si>
    <t xml:space="preserve">1 COLLEGE AVE-BOX 4512 </t>
  </si>
  <si>
    <t>METHODIST MANOR</t>
  </si>
  <si>
    <t xml:space="preserve">2100 TWIN CHURCH ROAD </t>
  </si>
  <si>
    <t>843-664-0700</t>
  </si>
  <si>
    <t>METHODIST MANOR STORM LAKE</t>
  </si>
  <si>
    <t xml:space="preserve">1206 W 4TH STREET </t>
  </si>
  <si>
    <t>712-732-1120</t>
  </si>
  <si>
    <t>METHODIST RETIREMENT CENTER</t>
  </si>
  <si>
    <t xml:space="preserve">1450 BEACH BLVD </t>
  </si>
  <si>
    <t>BILOXI</t>
  </si>
  <si>
    <t>228-435-3861</t>
  </si>
  <si>
    <t>METHODIST THEOLOGICAL SCH. OHIO</t>
  </si>
  <si>
    <t xml:space="preserve">3081 COLUMBUS PIKE </t>
  </si>
  <si>
    <t>DELAWARE</t>
  </si>
  <si>
    <t>740-363-1146</t>
  </si>
  <si>
    <t>METRO COMMUNITY CARE HOME #2</t>
  </si>
  <si>
    <t xml:space="preserve">801 RICHMOND STREET </t>
  </si>
  <si>
    <t>901-947-2136</t>
  </si>
  <si>
    <t>METRO COMMUNITY CARE HOMES INC</t>
  </si>
  <si>
    <t xml:space="preserve">1328 MISSISSIPPI BLVD </t>
  </si>
  <si>
    <t>901-774-8332</t>
  </si>
  <si>
    <t>METRO GARDENS</t>
  </si>
  <si>
    <t xml:space="preserve">17 SHORE STREET </t>
  </si>
  <si>
    <t>804-732-1813</t>
  </si>
  <si>
    <t>MICELIS RESTAURANT</t>
  </si>
  <si>
    <t xml:space="preserve">3655 CAHUENGA </t>
  </si>
  <si>
    <t>323-851-3345</t>
  </si>
  <si>
    <t xml:space="preserve">1646 NORTH LAS PALMAS AVENUE </t>
  </si>
  <si>
    <t>323-466-3438</t>
  </si>
  <si>
    <t>MICHAEL B. TEAM</t>
  </si>
  <si>
    <t xml:space="preserve">296 FIRST FLITE LANE </t>
  </si>
  <si>
    <t>MANAKIN-SABOT</t>
  </si>
  <si>
    <t>804-754-7601</t>
  </si>
  <si>
    <t>MICHELLE'S ACADEMY</t>
  </si>
  <si>
    <t xml:space="preserve">7810 GRAPHICS WAY </t>
  </si>
  <si>
    <t>LEWIS CENTER</t>
  </si>
  <si>
    <t>614-759-9441</t>
  </si>
  <si>
    <t>MICHELLE'S ACADEMY-BLACKLICK</t>
  </si>
  <si>
    <t xml:space="preserve">7297 BLACKLICK RIDGE BLVD </t>
  </si>
  <si>
    <t>MICHINDOH CONFERENCE CENTER</t>
  </si>
  <si>
    <t xml:space="preserve">4545 E BACON ROAD </t>
  </si>
  <si>
    <t xml:space="preserve">HILLSDALE </t>
  </si>
  <si>
    <t>517-523-3616</t>
  </si>
  <si>
    <t xml:space="preserve">3960 BROOKHAM DRIVE </t>
  </si>
  <si>
    <t>MID OHIO FOODBANK-REEB AVENUE</t>
  </si>
  <si>
    <t xml:space="preserve">280 REEB AVENUE </t>
  </si>
  <si>
    <t>614-468-9300</t>
  </si>
  <si>
    <t>MID-CUMBERLAND HEAD START</t>
  </si>
  <si>
    <t xml:space="preserve">412 E VINE STREET </t>
  </si>
  <si>
    <t>615-893-6614</t>
  </si>
  <si>
    <t>MIDDLEFIELD OAKS</t>
  </si>
  <si>
    <t xml:space="preserve">1500 VILLAGE DRIVE </t>
  </si>
  <si>
    <t>COTTAGE GROVE</t>
  </si>
  <si>
    <t>541-767-0080</t>
  </si>
  <si>
    <t>MIDEST MEDICAL TRANSPORT</t>
  </si>
  <si>
    <t xml:space="preserve">4165 NAPLES AVE SW STE #5 </t>
  </si>
  <si>
    <t>HPSI:AMBULANCE SERVICE</t>
  </si>
  <si>
    <t>402-416-4434</t>
  </si>
  <si>
    <t>MIDLAND ASSC RETARDED CITIZENS</t>
  </si>
  <si>
    <t xml:space="preserve">2701 NORTH A STREET </t>
  </si>
  <si>
    <t>915-682-9771</t>
  </si>
  <si>
    <t>MIDLOTHIAN ANIMAL CLINIC</t>
  </si>
  <si>
    <t xml:space="preserve">14411 SOMMERVILLE COURT </t>
  </si>
  <si>
    <t>804-794-2099</t>
  </si>
  <si>
    <t>MID-SOUTH HEALTHNET INC</t>
  </si>
  <si>
    <t xml:space="preserve">3284 COTTON BALE LANE </t>
  </si>
  <si>
    <t>901-410-9024</t>
  </si>
  <si>
    <t>MIDWAY MANOR ADULT LIVING</t>
  </si>
  <si>
    <t xml:space="preserve">1754 ENSLEY AVENUE </t>
  </si>
  <si>
    <t>727-586-1969</t>
  </si>
  <si>
    <t xml:space="preserve">615 E 9TH STREET </t>
  </si>
  <si>
    <t>STROMSBURG</t>
  </si>
  <si>
    <t>402-764-1711</t>
  </si>
  <si>
    <t>MID-WILSHIRE HEALTHCARE</t>
  </si>
  <si>
    <t xml:space="preserve">676 S BONNNIE BRAE </t>
  </si>
  <si>
    <t>213-483-9921</t>
  </si>
  <si>
    <t>MILE SQUARE GOLF COURSE</t>
  </si>
  <si>
    <t xml:space="preserve">10401 WARNER AVENUE </t>
  </si>
  <si>
    <t>714-962-5541</t>
  </si>
  <si>
    <t>MILES COMMUNITY COLLEGE</t>
  </si>
  <si>
    <t xml:space="preserve">2715 DICKINSON STREET </t>
  </si>
  <si>
    <t>MILES CITY</t>
  </si>
  <si>
    <t>406-874-6181</t>
  </si>
  <si>
    <t>MILESTONES EARLY LEARNING CENTER</t>
  </si>
  <si>
    <t xml:space="preserve">1207 SIX POINTS ROAD </t>
  </si>
  <si>
    <t xml:space="preserve">BLOOMINGTON </t>
  </si>
  <si>
    <t>309-829-4202</t>
  </si>
  <si>
    <t>MILL MANOR NURSING HOME</t>
  </si>
  <si>
    <t xml:space="preserve">983 EXCHANGE STREET </t>
  </si>
  <si>
    <t>VERMILION</t>
  </si>
  <si>
    <t>440-967-6614</t>
  </si>
  <si>
    <t>MILLARD COUNTY JAIL</t>
  </si>
  <si>
    <t xml:space="preserve">765 SOUTH HWY 99 </t>
  </si>
  <si>
    <t>FILLMORE</t>
  </si>
  <si>
    <t>435-753-5302</t>
  </si>
  <si>
    <t>MILLER RESIDENTIAL CARE PARIS</t>
  </si>
  <si>
    <t>660-327-5680</t>
  </si>
  <si>
    <t>MILLERS RESIDENTIAL CARE</t>
  </si>
  <si>
    <t xml:space="preserve">203 GUNTER </t>
  </si>
  <si>
    <t>918-256-3796</t>
  </si>
  <si>
    <t>MILLERSVILLE UNIVERSITY</t>
  </si>
  <si>
    <t xml:space="preserve">PO BOX 1002 </t>
  </si>
  <si>
    <t>MILLERSVILLE</t>
  </si>
  <si>
    <t>717-872-3446</t>
  </si>
  <si>
    <t>MILLS COLLEGE</t>
  </si>
  <si>
    <t xml:space="preserve">5000 MACARTHUR BLVD. </t>
  </si>
  <si>
    <t>510-430-2127</t>
  </si>
  <si>
    <t>MILLS COLLEGE-ALDERWOOD CONF CTR</t>
  </si>
  <si>
    <t>MILLS COLLEGE-FOUNDERS COMMONS</t>
  </si>
  <si>
    <t>MILLS COLLEGE-OLYNEY KITCHEN</t>
  </si>
  <si>
    <t>MILLS COLLEGE-TEA SHOP</t>
  </si>
  <si>
    <t>MILPITAS CARE CENTER</t>
  </si>
  <si>
    <t xml:space="preserve">120 CORNING AVENUE </t>
  </si>
  <si>
    <t>MILPITAS</t>
  </si>
  <si>
    <t>408-262-0217</t>
  </si>
  <si>
    <t>MILWAUKEE ESTATES LIVING</t>
  </si>
  <si>
    <t xml:space="preserve">6800 N. 76TH STREET </t>
  </si>
  <si>
    <t>414-353-5000</t>
  </si>
  <si>
    <t>MILWAUKEE NC MACHINING COMPANY</t>
  </si>
  <si>
    <t xml:space="preserve">200 WISCONSIN STREET </t>
  </si>
  <si>
    <t>FREDONIA</t>
  </si>
  <si>
    <t>262-692-2427</t>
  </si>
  <si>
    <t>MINFORD RETIREMENT CTR ELBROOKE</t>
  </si>
  <si>
    <t xml:space="preserve">9641 ST ROUTE 335 </t>
  </si>
  <si>
    <t>MINFORD</t>
  </si>
  <si>
    <t>740-820-4191</t>
  </si>
  <si>
    <t>MINI CASSIA CARE CENTER</t>
  </si>
  <si>
    <t xml:space="preserve">1729 MILLER AVENUE </t>
  </si>
  <si>
    <t>208-678-9474</t>
  </si>
  <si>
    <t>MINNIE CLINE ELEMENTARY</t>
  </si>
  <si>
    <t xml:space="preserve">808 W PRICE </t>
  </si>
  <si>
    <t xml:space="preserve">SAVANNAH </t>
  </si>
  <si>
    <t>816-324-3916</t>
  </si>
  <si>
    <t>MIONA GERIATRIC &amp; DEMENTIA CENTER</t>
  </si>
  <si>
    <t xml:space="preserve">201 POPLAR STREET </t>
  </si>
  <si>
    <t>MARSHALLVILE</t>
  </si>
  <si>
    <t>478-967-2223</t>
  </si>
  <si>
    <t>MIRABELLA AT SOUTH WATERFRONT</t>
  </si>
  <si>
    <t xml:space="preserve">3550 SW BOND AVE </t>
  </si>
  <si>
    <t>503-688-6400</t>
  </si>
  <si>
    <t>MIRACLE MILE HEALTHCARE</t>
  </si>
  <si>
    <t xml:space="preserve">1020 S FAIRFAX AVENUE </t>
  </si>
  <si>
    <t>323-938-2431</t>
  </si>
  <si>
    <t>MISSION AT COMMUNITY LIVING CENTER</t>
  </si>
  <si>
    <t xml:space="preserve">10 WEST 400 SOUTH </t>
  </si>
  <si>
    <t>CENTERFIELD</t>
  </si>
  <si>
    <t>435-528-2800</t>
  </si>
  <si>
    <t>MISSION CONVALESCENT HOME</t>
  </si>
  <si>
    <t xml:space="preserve">118 GLASS STREET </t>
  </si>
  <si>
    <t>731-424-2951</t>
  </si>
  <si>
    <t>MISSION DE LA CASA</t>
  </si>
  <si>
    <t xml:space="preserve">2501 ALVIN AVENUE </t>
  </si>
  <si>
    <t>408-238-9751</t>
  </si>
  <si>
    <t>MISSION HEALTHCARE</t>
  </si>
  <si>
    <t xml:space="preserve">2385 NORTHSIDE DR #200 </t>
  </si>
  <si>
    <t>888-871-0766</t>
  </si>
  <si>
    <t>MISSION LAKES COUNTRY CLUB</t>
  </si>
  <si>
    <t xml:space="preserve">8484 CLUBHOUSE BLVD </t>
  </si>
  <si>
    <t>760-329-6481</t>
  </si>
  <si>
    <t>MISSION ROAD DEVELOPMENTAL CTR</t>
  </si>
  <si>
    <t xml:space="preserve">8706 MISSION ROAD </t>
  </si>
  <si>
    <t>210-924-9265</t>
  </si>
  <si>
    <t>MISSION TERRACE</t>
  </si>
  <si>
    <t xml:space="preserve">623 WEST JUNIPERO STREET </t>
  </si>
  <si>
    <t>805-682-7443</t>
  </si>
  <si>
    <t>MISSION VILLA ALZHEIMERS RESID</t>
  </si>
  <si>
    <t xml:space="preserve">3333 S BASCOM AVENUE </t>
  </si>
  <si>
    <t>408-559-8301</t>
  </si>
  <si>
    <t>MISSISSIPPI JOB CORPS CENTER</t>
  </si>
  <si>
    <t xml:space="preserve">400 HARMONY ROAD </t>
  </si>
  <si>
    <t>CAPITAL SPRINGS</t>
  </si>
  <si>
    <t>601-892-3348</t>
  </si>
  <si>
    <t>MISSISSIPPI VALLEY HEALTAHCARE &amp; REHAB CENTER</t>
  </si>
  <si>
    <t xml:space="preserve">500 MESSENGER ROAD </t>
  </si>
  <si>
    <t>319-524-5321</t>
  </si>
  <si>
    <t>MISSOURI ASSISTED LIVING ASSC.</t>
  </si>
  <si>
    <t xml:space="preserve">2407 HYDE PARK RD B </t>
  </si>
  <si>
    <t>573-635-8750</t>
  </si>
  <si>
    <t>MITCHELL-HOLLINGSWORTH NURSING</t>
  </si>
  <si>
    <t xml:space="preserve">805 FLAGG CIRCLE </t>
  </si>
  <si>
    <t>256-740-5400</t>
  </si>
  <si>
    <t xml:space="preserve">2340 AIRPORT DRIVE </t>
  </si>
  <si>
    <t>614-253-8517</t>
  </si>
  <si>
    <t>MOLDAW FAMILY RESIDENCES-OSHAMAN JEWISH COMMUNITY CTR</t>
  </si>
  <si>
    <t xml:space="preserve">3821 FABIAN WAY </t>
  </si>
  <si>
    <t>560-433-3600</t>
  </si>
  <si>
    <t>MON VALLEY CARE CENTER</t>
  </si>
  <si>
    <t xml:space="preserve">200 STOOPS DRIVE </t>
  </si>
  <si>
    <t>MONONGAHELA</t>
  </si>
  <si>
    <t>724-310-1111</t>
  </si>
  <si>
    <t>MONARCH HEALTH</t>
  </si>
  <si>
    <t xml:space="preserve">4632 SAWMILL ROAD </t>
  </si>
  <si>
    <t>614-545-2002</t>
  </si>
  <si>
    <t>MONARCH RANCHO MIRAGE</t>
  </si>
  <si>
    <t xml:space="preserve">34560 BOB HOPE DRIVE </t>
  </si>
  <si>
    <t>760-770-7737</t>
  </si>
  <si>
    <t>MONARCH VILLA BONITA</t>
  </si>
  <si>
    <t xml:space="preserve">3434 BONITA ROAD </t>
  </si>
  <si>
    <t>619-476-9444</t>
  </si>
  <si>
    <t>MONASTERY OF THE HOLY SPIRIT</t>
  </si>
  <si>
    <t xml:space="preserve">2625 HWY 212 SW </t>
  </si>
  <si>
    <t>678-964-2239</t>
  </si>
  <si>
    <t>MONPOINTE CONTINUING CARE CENTER</t>
  </si>
  <si>
    <t xml:space="preserve">30 VANDERVORT DRIVE </t>
  </si>
  <si>
    <t>304-285-2720</t>
  </si>
  <si>
    <t>MONROE CENTER FOR HEALTHY AGING</t>
  </si>
  <si>
    <t xml:space="preserve">15275 S DIXIE HWY #1 </t>
  </si>
  <si>
    <t>734-241-0404</t>
  </si>
  <si>
    <t>MONROE CITY MANOR</t>
  </si>
  <si>
    <t xml:space="preserve">1010 US HIGHWAY 24/36 E </t>
  </si>
  <si>
    <t>MONROE CITY</t>
  </si>
  <si>
    <t>573-735-4850</t>
  </si>
  <si>
    <t>MONROE MANOR</t>
  </si>
  <si>
    <t xml:space="preserve">226 E MONROE ST PO BOX 409 </t>
  </si>
  <si>
    <t>JAY</t>
  </si>
  <si>
    <t>918-253-4500</t>
  </si>
  <si>
    <t>MONTANA STATE UNIVERSITY-BOZEMAN</t>
  </si>
  <si>
    <t xml:space="preserve">267 STRAND UNION BUILDING </t>
  </si>
  <si>
    <t>406-994-3640</t>
  </si>
  <si>
    <t>MONTCLAIR ESTATES</t>
  </si>
  <si>
    <t xml:space="preserve">801 LA PRADA DRIVE </t>
  </si>
  <si>
    <t>972-686-5633</t>
  </si>
  <si>
    <t>MONTCLAIR RESIDENTIAL CARE</t>
  </si>
  <si>
    <t xml:space="preserve">1019 OLD ST MARYS ROAD </t>
  </si>
  <si>
    <t>573-547-7398</t>
  </si>
  <si>
    <t>MONTE VISTA GROVE HOMES</t>
  </si>
  <si>
    <t xml:space="preserve">2889 SAN PASQUAL </t>
  </si>
  <si>
    <t>626-796-6135</t>
  </si>
  <si>
    <t>MONTEFIORE</t>
  </si>
  <si>
    <t xml:space="preserve">27080 CEDAR ROAD </t>
  </si>
  <si>
    <t>216-910-2200</t>
  </si>
  <si>
    <t>MONTEREAU</t>
  </si>
  <si>
    <t xml:space="preserve">6800 SOUTH GRANITE AVE </t>
  </si>
  <si>
    <t>918-491-5200</t>
  </si>
  <si>
    <t>MONTGOMERY COUNTY ASSISTED LIVING</t>
  </si>
  <si>
    <t xml:space="preserve">147 SENIOR DR </t>
  </si>
  <si>
    <t>MT IDA</t>
  </si>
  <si>
    <t>870-867-2159</t>
  </si>
  <si>
    <t>MONTGOMERY COUNTY NURSING HOME</t>
  </si>
  <si>
    <t xml:space="preserve">741 SOUTH DRIVE </t>
  </si>
  <si>
    <t>MOUNT IDA</t>
  </si>
  <si>
    <t>870-867-2156</t>
  </si>
  <si>
    <t>MONTGOMERY PLACE</t>
  </si>
  <si>
    <t xml:space="preserve">5550 S SHORE DRIVE </t>
  </si>
  <si>
    <t>773-753-4098</t>
  </si>
  <si>
    <t>MONTGOMERY VILLAGE</t>
  </si>
  <si>
    <t xml:space="preserve">327 FREEMAN STREET </t>
  </si>
  <si>
    <t>910-428-2101</t>
  </si>
  <si>
    <t>MONTICELLO RIDGE CROSSING</t>
  </si>
  <si>
    <t xml:space="preserve">218 RIDGE STREET </t>
  </si>
  <si>
    <t>434-977-8887</t>
  </si>
  <si>
    <t>MONTPELIER SENIOR CENTER</t>
  </si>
  <si>
    <t xml:space="preserve">325 N JONESVILLE ST </t>
  </si>
  <si>
    <t>MONTPELIER</t>
  </si>
  <si>
    <t>419-485-3218</t>
  </si>
  <si>
    <t>MONTY'S AZTEC BOOKSTORE</t>
  </si>
  <si>
    <t>MONTY'S AZTEC SHOP #805</t>
  </si>
  <si>
    <t>MONTY'S GENERAL STORE #802</t>
  </si>
  <si>
    <t>MONTY'S MARKET #801</t>
  </si>
  <si>
    <t>MONTY'S MARKET #807</t>
  </si>
  <si>
    <t>MONTY'S MARKET JR #803</t>
  </si>
  <si>
    <t>MOOSEHAVEN INC.</t>
  </si>
  <si>
    <t xml:space="preserve">1701 PARK AVENUE </t>
  </si>
  <si>
    <t>904-278-1236</t>
  </si>
  <si>
    <t>MORGAN COUNTY HEAD START</t>
  </si>
  <si>
    <t xml:space="preserve">105 LONGVIEW DRIVE </t>
  </si>
  <si>
    <t>WARTBURG</t>
  </si>
  <si>
    <t>423-346-6633</t>
  </si>
  <si>
    <t>MORNING POINTE CHATTANOOGA</t>
  </si>
  <si>
    <t xml:space="preserve">7620 SHALLOWFORD RD </t>
  </si>
  <si>
    <t>423-296-0097</t>
  </si>
  <si>
    <t>MORNING POINTE GREENBRIAR COVE</t>
  </si>
  <si>
    <t xml:space="preserve">9658 LEYLAND DRIVE </t>
  </si>
  <si>
    <t>OOLTEWAH</t>
  </si>
  <si>
    <t>423-396-6999</t>
  </si>
  <si>
    <t>MORNING STAR CARE CENTER</t>
  </si>
  <si>
    <t xml:space="preserve">4 NO FORK ROAD </t>
  </si>
  <si>
    <t>FORT WASHAKIE</t>
  </si>
  <si>
    <t>307-332-6902</t>
  </si>
  <si>
    <t>MORNING STAR VILLAGE</t>
  </si>
  <si>
    <t xml:space="preserve">1160 N MULFORD RD </t>
  </si>
  <si>
    <t>815-484-9500</t>
  </si>
  <si>
    <t>MORNING VIEW NURSING AND REHABILITATION CENTER</t>
  </si>
  <si>
    <t xml:space="preserve">475 N NILES AVE </t>
  </si>
  <si>
    <t>574-520-6379</t>
  </si>
  <si>
    <t>MORNINGCREST NURSING AND MEMORY CARE CENTER</t>
  </si>
  <si>
    <t xml:space="preserve">915 S 27TH STREET </t>
  </si>
  <si>
    <t>574-204-7972</t>
  </si>
  <si>
    <t>MORNINGSIDE AT BELLGRADE</t>
  </si>
  <si>
    <t xml:space="preserve">2800 POLO PARKWAY </t>
  </si>
  <si>
    <t>804-379-2800</t>
  </si>
  <si>
    <t>MORNINGSIDE AT CONCORD</t>
  </si>
  <si>
    <t xml:space="preserve">500 PENNY LANE </t>
  </si>
  <si>
    <t>704-795-1200</t>
  </si>
  <si>
    <t>MORNINGSIDE AT KINGSMILL#310</t>
  </si>
  <si>
    <t xml:space="preserve">440 MCLAWS CIRCLE </t>
  </si>
  <si>
    <t>757-221-0018</t>
  </si>
  <si>
    <t>MORNINGSIDE AT RALEIGH</t>
  </si>
  <si>
    <t xml:space="preserve">801 DIXIE TRAIL </t>
  </si>
  <si>
    <t>919-828-5557</t>
  </si>
  <si>
    <t>MORNINGSIDE AT UNIV. VILLAGE</t>
  </si>
  <si>
    <t xml:space="preserve">491 CRESTWOOD DRIVE </t>
  </si>
  <si>
    <t>434-971-8889</t>
  </si>
  <si>
    <t>MORNINGSIDE HOUSE MONROE HOUSE</t>
  </si>
  <si>
    <t xml:space="preserve">46555 HARRY BYRD HIGHWAY </t>
  </si>
  <si>
    <t>703-896-9590</t>
  </si>
  <si>
    <t>MORNINGSIDE HOUSE OF ELLICOTT</t>
  </si>
  <si>
    <t xml:space="preserve">5330 DORSEY HALL DRIVE </t>
  </si>
  <si>
    <t>ELLICOTT</t>
  </si>
  <si>
    <t>410-715-0930</t>
  </si>
  <si>
    <t>MORNINGSIDE HOUSE OF FRIENDSHIP</t>
  </si>
  <si>
    <t xml:space="preserve">7548 OLD TELEGRAPH ROAD </t>
  </si>
  <si>
    <t>410-863-0830</t>
  </si>
  <si>
    <t>MORNINGSIDE HOUSE OF LAUREL</t>
  </si>
  <si>
    <t xml:space="preserve">7700 CHERRY LANE </t>
  </si>
  <si>
    <t>301-725-2220</t>
  </si>
  <si>
    <t>MORNINGSIDE HOUSE OF LEESBURG</t>
  </si>
  <si>
    <t xml:space="preserve">316 HARRISON STREET </t>
  </si>
  <si>
    <t>703-777-2777</t>
  </si>
  <si>
    <t>MORNINGSIDE HOUSE OF SAYTAR HILL</t>
  </si>
  <si>
    <t xml:space="preserve">8800 OLD HARFORD ROAD </t>
  </si>
  <si>
    <t>PARKVILLE</t>
  </si>
  <si>
    <t>410-882-0700</t>
  </si>
  <si>
    <t>MORNINGSIDE HOUSE OF ST. CHARLES</t>
  </si>
  <si>
    <t xml:space="preserve">70 VILLAGE STREET </t>
  </si>
  <si>
    <t>301-645-2776</t>
  </si>
  <si>
    <t>MORNINGSIDE IN THE WEST END</t>
  </si>
  <si>
    <t xml:space="preserve">300 SKIPWITH ROAD </t>
  </si>
  <si>
    <t>804-270-3990</t>
  </si>
  <si>
    <t>MORNINGSIDE MINISTRIES AT THE MANOR</t>
  </si>
  <si>
    <t xml:space="preserve">602 BABCOCK RD </t>
  </si>
  <si>
    <t>210-731-1204</t>
  </si>
  <si>
    <t>MORNINGSIDE OF NEWPORT NEWS</t>
  </si>
  <si>
    <t xml:space="preserve">655 DENBIGH BLVD </t>
  </si>
  <si>
    <t>757-890-0905</t>
  </si>
  <si>
    <t>MORPHEUS DEVELOPMENT GROUP</t>
  </si>
  <si>
    <t xml:space="preserve">3220 17TH ST NW SUITE T-30 </t>
  </si>
  <si>
    <t>202-438-5942</t>
  </si>
  <si>
    <t>MORRISON AT UNIVERSITY OF CINCINNATI HOSPITAL</t>
  </si>
  <si>
    <t xml:space="preserve">234 GOODMAN STREET </t>
  </si>
  <si>
    <t>513-584-4911</t>
  </si>
  <si>
    <t>MORRISON UC WEST CHESTER</t>
  </si>
  <si>
    <t xml:space="preserve">7700 UNIVERSITY DRIVE </t>
  </si>
  <si>
    <t>513-298-3000</t>
  </si>
  <si>
    <t>MORRISVILLE STATE COLLEGE - MAC</t>
  </si>
  <si>
    <t xml:space="preserve">BOX 901 HAMILTON HALL </t>
  </si>
  <si>
    <t>315-684-6090</t>
  </si>
  <si>
    <t>MORRISVILLE-ENVIRON SC FORESTRY COLLEGE</t>
  </si>
  <si>
    <t xml:space="preserve">ONE FORESTRY DR </t>
  </si>
  <si>
    <t>MORISSVILLE</t>
  </si>
  <si>
    <t>MORTON TERRACE HEALTHCARE AND REHAB CENTER</t>
  </si>
  <si>
    <t xml:space="preserve">191 E. QUEENWOOD </t>
  </si>
  <si>
    <t>309-266-5331</t>
  </si>
  <si>
    <t>MOUND GUEST HOME</t>
  </si>
  <si>
    <t xml:space="preserve">5430 TELEGRAPH ROAD </t>
  </si>
  <si>
    <t>VENTURA</t>
  </si>
  <si>
    <t>805-642-2567</t>
  </si>
  <si>
    <t>MOUNDVIEW MEMORIAL HOSPITAL</t>
  </si>
  <si>
    <t xml:space="preserve">402 W LAKE STREET </t>
  </si>
  <si>
    <t>608-339-8325</t>
  </si>
  <si>
    <t>MOUNT ALVERNA HOME</t>
  </si>
  <si>
    <t xml:space="preserve">6765 STATE ROAD </t>
  </si>
  <si>
    <t>PARMA</t>
  </si>
  <si>
    <t>440-843-7800</t>
  </si>
  <si>
    <t>MOUNT HOLYOKE COLLEGE</t>
  </si>
  <si>
    <t xml:space="preserve">47 MORGAN STREET </t>
  </si>
  <si>
    <t>413-538-2315</t>
  </si>
  <si>
    <t>MOUNT ST FRANCIS NURSING CENTER</t>
  </si>
  <si>
    <t xml:space="preserve">7550 ASSISI HEIGHTS </t>
  </si>
  <si>
    <t>719-598-1336</t>
  </si>
  <si>
    <t>MOUNT VERNON NURSING HOME</t>
  </si>
  <si>
    <t xml:space="preserve">8111 TIS WELL DRIVE </t>
  </si>
  <si>
    <t>703-360-4000</t>
  </si>
  <si>
    <t>MOUNTAIN AREA CHILD AND FAMILY CENTER</t>
  </si>
  <si>
    <t xml:space="preserve">2586 RICEVILLE RD </t>
  </si>
  <si>
    <t>ASHVILLE</t>
  </si>
  <si>
    <t>28805-9793</t>
  </si>
  <si>
    <t>828-505-7117</t>
  </si>
  <si>
    <t>MOUNTAIN HOME CARE SERVICES</t>
  </si>
  <si>
    <t xml:space="preserve">300 BURKEMONT AVENUE </t>
  </si>
  <si>
    <t>828-438-9200</t>
  </si>
  <si>
    <t>MOUNTAIN MANOR</t>
  </si>
  <si>
    <t xml:space="preserve">6101 FAIR OAKS BLVD </t>
  </si>
  <si>
    <t>916-488-7211</t>
  </si>
  <si>
    <t>MOUNTAIN PINES APTS - BYU IDAHO</t>
  </si>
  <si>
    <t xml:space="preserve">129 VIKING DRIVE </t>
  </si>
  <si>
    <t>REXBURG</t>
  </si>
  <si>
    <t>208-356-7952</t>
  </si>
  <si>
    <t>MOUNTAIN PROJECT</t>
  </si>
  <si>
    <t xml:space="preserve">2251 OLD BALSAM ROAD </t>
  </si>
  <si>
    <t>828-452-1447</t>
  </si>
  <si>
    <t>MOUNTAIN RIDGE WELLNESS CENTER</t>
  </si>
  <si>
    <t xml:space="preserve">315 OLD U.S. HWY 70 EAST </t>
  </si>
  <si>
    <t>BLACK MOUNTAIN</t>
  </si>
  <si>
    <t>828-669-9991</t>
  </si>
  <si>
    <t>MOUNTAIN VIEW HEALTHCARE CENTER</t>
  </si>
  <si>
    <t xml:space="preserve">2530 SOLACE PLACE </t>
  </si>
  <si>
    <t>650-961-6161</t>
  </si>
  <si>
    <t>MOUNTAIN VIEW NURSING ARODA</t>
  </si>
  <si>
    <t xml:space="preserve">1776 ELLY ROAD </t>
  </si>
  <si>
    <t>ARODA</t>
  </si>
  <si>
    <t>540-948-6831</t>
  </si>
  <si>
    <t>MOUNTAIN VIEW PERSONAL CARE HOME</t>
  </si>
  <si>
    <t xml:space="preserve">3675 KENSINGTON ROAD </t>
  </si>
  <si>
    <t>404-508-7593</t>
  </si>
  <si>
    <t>MOUNTAIN VIEW SERVICES INC.</t>
  </si>
  <si>
    <t xml:space="preserve">625 AMIGOS DRIVE </t>
  </si>
  <si>
    <t>909-335-8121</t>
  </si>
  <si>
    <t>MOUNTAIN VISTA HEALTH PARK</t>
  </si>
  <si>
    <t xml:space="preserve">106 MOUNTAIN VISTA RD </t>
  </si>
  <si>
    <t>336-859-2181</t>
  </si>
  <si>
    <t>MOUNTAINBROOK ASSISTED LIVING</t>
  </si>
  <si>
    <t xml:space="preserve">700 MARKHILL DRIVE </t>
  </si>
  <si>
    <t>865-428-2445</t>
  </si>
  <si>
    <t>MOUNTAINBURG SENIOR CENTER</t>
  </si>
  <si>
    <t xml:space="preserve">HIGHWAY 71 N </t>
  </si>
  <si>
    <t>MOUNTAINBURG</t>
  </si>
  <si>
    <t>501-369-2643</t>
  </si>
  <si>
    <t>MOUNTAINVIEW NURSING HOME</t>
  </si>
  <si>
    <t xml:space="preserve">340 CEDAR SPRINGS RD </t>
  </si>
  <si>
    <t>864-582-4175</t>
  </si>
  <si>
    <t>MOVEABLE FEAST</t>
  </si>
  <si>
    <t xml:space="preserve">901 NORTH MILTON AVENUE </t>
  </si>
  <si>
    <t>410-327-3420</t>
  </si>
  <si>
    <t>MOVING FEAST</t>
  </si>
  <si>
    <t xml:space="preserve">950 HERNDON AVE #109 </t>
  </si>
  <si>
    <t>559-324-7717</t>
  </si>
  <si>
    <t>MOWEAQUA NURSING &amp; RETIREMENT CENTER</t>
  </si>
  <si>
    <t xml:space="preserve">525 SOUTH MACON STREET </t>
  </si>
  <si>
    <t>MOWEAQUA</t>
  </si>
  <si>
    <t>217-768-3951</t>
  </si>
  <si>
    <t>MOYE CENTER</t>
  </si>
  <si>
    <t xml:space="preserve">600 LONDON STREET </t>
  </si>
  <si>
    <t>830-931-2233</t>
  </si>
  <si>
    <t>MSHN SAVANNAH HOUSE</t>
  </si>
  <si>
    <t xml:space="preserve">915 NORTH MAIN STREET </t>
  </si>
  <si>
    <t>901-410-9063</t>
  </si>
  <si>
    <t>MSU CULINARY EDUCATION FUND</t>
  </si>
  <si>
    <t xml:space="preserve">236 STRAND UNION BUILDING </t>
  </si>
  <si>
    <t>406-994-5019</t>
  </si>
  <si>
    <t>MSU FOODSERVICE</t>
  </si>
  <si>
    <t xml:space="preserve">101 CURRIS CENTER </t>
  </si>
  <si>
    <t>MT AYR HEALTH CARE CENTER</t>
  </si>
  <si>
    <t xml:space="preserve">1504 E SOUTH ST BOX 547 </t>
  </si>
  <si>
    <t>MT AYR</t>
  </si>
  <si>
    <t>641-464-3204</t>
  </si>
  <si>
    <t>MT CARMEL COMMUNITY BENTON</t>
  </si>
  <si>
    <t xml:space="preserve">3505 BOONE ROAD </t>
  </si>
  <si>
    <t>501-847-5311</t>
  </si>
  <si>
    <t>MT CARMEL HOME-KEENS MEMORIAL</t>
  </si>
  <si>
    <t xml:space="preserve">412 W 18TH STREET </t>
  </si>
  <si>
    <t>308-237-2287</t>
  </si>
  <si>
    <t>MT EVANS OUTDOOR LAB SCHOOL</t>
  </si>
  <si>
    <t xml:space="preserve">201 EVANS RANCH ROAD </t>
  </si>
  <si>
    <t>303-982-5208</t>
  </si>
  <si>
    <t>MT SAN ANTONIO GARDENS</t>
  </si>
  <si>
    <t xml:space="preserve">900 E HARRISON </t>
  </si>
  <si>
    <t>909-624-5061</t>
  </si>
  <si>
    <t>MULBERRY SENIOR CENTER</t>
  </si>
  <si>
    <t xml:space="preserve">CITY PARK COMMUNITY BUILDING </t>
  </si>
  <si>
    <t>MULBERRY</t>
  </si>
  <si>
    <t>501-997-1901</t>
  </si>
  <si>
    <t>MULLICA GARDENS ASSISTED LIVING</t>
  </si>
  <si>
    <t xml:space="preserve">161 MULLICA HILL ROAD </t>
  </si>
  <si>
    <t>MULICCA HILL</t>
  </si>
  <si>
    <t>856-434-4005</t>
  </si>
  <si>
    <t>MUNICORP FACILITIES MGT &amp; DEV</t>
  </si>
  <si>
    <t xml:space="preserve">9328 OLIVE BLVD SUITE 101 </t>
  </si>
  <si>
    <t>314-432-4511</t>
  </si>
  <si>
    <t>MUSKINGUM COUNTY CTR FOR SENIORS</t>
  </si>
  <si>
    <t xml:space="preserve">160 NORTH 4TH STREET </t>
  </si>
  <si>
    <t>740-454-9761</t>
  </si>
  <si>
    <t>MUSTARD SEED CHRISTIAN DAYCARE</t>
  </si>
  <si>
    <t xml:space="preserve">351 N CHICAGO STREET </t>
  </si>
  <si>
    <t>ROSSVILE</t>
  </si>
  <si>
    <t>217-748-6370</t>
  </si>
  <si>
    <t>MY DOCTOR'S INN</t>
  </si>
  <si>
    <t xml:space="preserve">8384 METROPOLITAN PARKWAY </t>
  </si>
  <si>
    <t>586-838-5900</t>
  </si>
  <si>
    <t>MY FRIENDS ORANGEVALE</t>
  </si>
  <si>
    <t xml:space="preserve">8632 GREENBACK LANE </t>
  </si>
  <si>
    <t>916-987-8632</t>
  </si>
  <si>
    <t>NANO CAFE II</t>
  </si>
  <si>
    <t xml:space="preserve">441 W DUARTE ROAD </t>
  </si>
  <si>
    <t>626-357-2659</t>
  </si>
  <si>
    <t>NANO CAFE II-SM</t>
  </si>
  <si>
    <t xml:space="preserve">322 W SIERRA MADRE BLVD </t>
  </si>
  <si>
    <t>SIERRA MADRE</t>
  </si>
  <si>
    <t>626-325-3334</t>
  </si>
  <si>
    <t>NAPA VALLEY ADVENTIST RET ESTATE</t>
  </si>
  <si>
    <t xml:space="preserve">306 VISTA DRIVE </t>
  </si>
  <si>
    <t>YOUNTVILLE</t>
  </si>
  <si>
    <t>707-944-2994</t>
  </si>
  <si>
    <t>NATIVE AMERICAN CONNECTIONS</t>
  </si>
  <si>
    <t xml:space="preserve">4520 N CENTRAL AVENUE STE 600 </t>
  </si>
  <si>
    <t>602-254-3247</t>
  </si>
  <si>
    <t>NATURE COAST LODGE</t>
  </si>
  <si>
    <t xml:space="preserve">279 N LECANTO HIGHWAY </t>
  </si>
  <si>
    <t>352-527-9720</t>
  </si>
  <si>
    <t>NAUVOO HOUSE - BYU IDAHO</t>
  </si>
  <si>
    <t xml:space="preserve">175 WEST 5TH SOUTH </t>
  </si>
  <si>
    <t>208-356-7756</t>
  </si>
  <si>
    <t>NAZARETH HALL NURSING CENTER</t>
  </si>
  <si>
    <t xml:space="preserve">4614 TROWBRIDGE </t>
  </si>
  <si>
    <t>915-565-4677</t>
  </si>
  <si>
    <t>NAZARETH HOME LOUISVILLE</t>
  </si>
  <si>
    <t xml:space="preserve">2000 NEWBURG ROAD </t>
  </si>
  <si>
    <t>502-459-9681</t>
  </si>
  <si>
    <t>NAZARETH HOME-CLIFTON</t>
  </si>
  <si>
    <t xml:space="preserve">2120 PAYNE STREET </t>
  </si>
  <si>
    <t>502-895-9425</t>
  </si>
  <si>
    <t>NAZARETH HOUSE-LOS ANGELES</t>
  </si>
  <si>
    <t xml:space="preserve">3333 MANNING AVENUE </t>
  </si>
  <si>
    <t>310-839-2361</t>
  </si>
  <si>
    <t>ND-ACC ADMINISTRATION</t>
  </si>
  <si>
    <t xml:space="preserve">217 S. DINING HALL </t>
  </si>
  <si>
    <t>219-631-7254</t>
  </si>
  <si>
    <t>ND-ATHLETIC CONCESSIONS</t>
  </si>
  <si>
    <t>ND-BOOKSTORE CAFE</t>
  </si>
  <si>
    <t>ND-CAFE DEGRASTA</t>
  </si>
  <si>
    <t>ND-CASUAL CATERING-ABP CATERING</t>
  </si>
  <si>
    <t xml:space="preserve">213 SOUTH DINING HALL </t>
  </si>
  <si>
    <t>574-631-7254</t>
  </si>
  <si>
    <t>ND-CATERING BY DESIGN</t>
  </si>
  <si>
    <t>ND-CHARRON</t>
  </si>
  <si>
    <t>ND-COMMON STOCK</t>
  </si>
  <si>
    <t>ND-CORBY HALL</t>
  </si>
  <si>
    <t>ND-DECIO COMMONS</t>
  </si>
  <si>
    <t>ND-ECDC #3334</t>
  </si>
  <si>
    <t>ND-EXECUTIVE EDUCATION</t>
  </si>
  <si>
    <t>ND-F.O.G.</t>
  </si>
  <si>
    <t xml:space="preserve">237 SOUTH DINING HALL </t>
  </si>
  <si>
    <t>ND-FATIMA RETREAT CENTER</t>
  </si>
  <si>
    <t>ND-FOOTBALL</t>
  </si>
  <si>
    <t>ND-FOOTBALL CONCESSIONS (LEV 36132)</t>
  </si>
  <si>
    <t xml:space="preserve">231 SOUTH DINING HALL </t>
  </si>
  <si>
    <t>ND-FOOTBALL CULINARY (LEV 36132)</t>
  </si>
  <si>
    <t>ND-FSSF PRODUCTION</t>
  </si>
  <si>
    <t>ND-FSSF WAREHOUSE</t>
  </si>
  <si>
    <t>ND-GARBANZO</t>
  </si>
  <si>
    <t>ND-GROUNDSKEEPER</t>
  </si>
  <si>
    <t>ND-HAGGERTY FAMILY CAFE/DUNCAN DESSERT SHOP</t>
  </si>
  <si>
    <t>ND-HOLY CROSS COLLEGE</t>
  </si>
  <si>
    <t>ND-HOLY CROSS HOUSE</t>
  </si>
  <si>
    <t>ND-HUDDLE</t>
  </si>
  <si>
    <t>ND-IRISH CAFE</t>
  </si>
  <si>
    <t>ND-JORDAN CAFE</t>
  </si>
  <si>
    <t>ND-JORDON SCIENCE</t>
  </si>
  <si>
    <t>ND-JOYCE PURCELL CONCESSION (LEV 36132)</t>
  </si>
  <si>
    <t>ND-LEGENDS @ NOTRE DAME</t>
  </si>
  <si>
    <t>574-631-7251</t>
  </si>
  <si>
    <t>ND-LIBRARY CAFE ABP</t>
  </si>
  <si>
    <t xml:space="preserve">237 S DINING HALL </t>
  </si>
  <si>
    <t>ND-LOFTUS SPORTS CENTER</t>
  </si>
  <si>
    <t>ND-MODERN MARKET</t>
  </si>
  <si>
    <t>ND-MOREAU SEMINARY</t>
  </si>
  <si>
    <t>ND-MORRIS INN NON FOOD</t>
  </si>
  <si>
    <t>ND-NORTH DINING HALL</t>
  </si>
  <si>
    <t>ND-PIZZA PI</t>
  </si>
  <si>
    <t>ND-PURCHASING</t>
  </si>
  <si>
    <t>219-631-8254</t>
  </si>
  <si>
    <t>ND-REC SPORTS</t>
  </si>
  <si>
    <t>ND-SORIN HALL</t>
  </si>
  <si>
    <t>ND-SOUTH DINING HALL</t>
  </si>
  <si>
    <t>ND-STADIUM CONCESSIONS</t>
  </si>
  <si>
    <t>ND-STAR GINGER</t>
  </si>
  <si>
    <t>ND-STUDENT HEALTH CENTER</t>
  </si>
  <si>
    <t>ND-TALENT SEARCH</t>
  </si>
  <si>
    <t>ND-THE MORRIS INN</t>
  </si>
  <si>
    <t>ND-VENDING</t>
  </si>
  <si>
    <t>ND-WARREN GOLF COURSE</t>
  </si>
  <si>
    <t>NEE INC SENIOR RESOURCE CENTER</t>
  </si>
  <si>
    <t xml:space="preserve">2222 S. COLLEGE RD </t>
  </si>
  <si>
    <t>910-798-6400</t>
  </si>
  <si>
    <t>NELLA'S INC</t>
  </si>
  <si>
    <t xml:space="preserve">P.O. BOX 1639 </t>
  </si>
  <si>
    <t>304-636-1008</t>
  </si>
  <si>
    <t>NELSON MANOR NEWTON</t>
  </si>
  <si>
    <t xml:space="preserve">1500 1ST AVENUE EAST </t>
  </si>
  <si>
    <t>641-792-1443</t>
  </si>
  <si>
    <t>NELSON'S CATERING</t>
  </si>
  <si>
    <t xml:space="preserve">3005 GREAT NORTHERN ROAD </t>
  </si>
  <si>
    <t>217-787-9443</t>
  </si>
  <si>
    <t>NELSONS GOLDEN YEARS PERSONAL CARE</t>
  </si>
  <si>
    <t xml:space="preserve">137 OAKLAHOMA CEMETARY ROAD </t>
  </si>
  <si>
    <t>814-371-7740</t>
  </si>
  <si>
    <t>NEPENTHE HOME MEDICAL EQUIPMENT</t>
  </si>
  <si>
    <t xml:space="preserve">1969 W UINTAH ST </t>
  </si>
  <si>
    <t>719-633-4400</t>
  </si>
  <si>
    <t>NESHOBA COUNTY GENERAL HOSPITAL</t>
  </si>
  <si>
    <t xml:space="preserve">1001 HOLLAND AVENUE </t>
  </si>
  <si>
    <t>601-389-1542</t>
  </si>
  <si>
    <t>NEW AGE PROJECT</t>
  </si>
  <si>
    <t xml:space="preserve">323 BROADWAY OF AMERICA </t>
  </si>
  <si>
    <t>HOLDENVILLE</t>
  </si>
  <si>
    <t>405-379-5404</t>
  </si>
  <si>
    <t>NEW ATHENS HOME FOR THE AGED</t>
  </si>
  <si>
    <t xml:space="preserve">203 S. Johnson St. </t>
  </si>
  <si>
    <t>NEW ATHENS</t>
  </si>
  <si>
    <t>618-475-2550</t>
  </si>
  <si>
    <t>NEW CASSEL RETIREMENT CENTER</t>
  </si>
  <si>
    <t xml:space="preserve">900 NORTH 90TH STREET </t>
  </si>
  <si>
    <t>402-393-2277</t>
  </si>
  <si>
    <t>NEW GRAHAM OAKS CARE CENTER</t>
  </si>
  <si>
    <t xml:space="preserve">1325 FIRST STREET </t>
  </si>
  <si>
    <t>940-549-8787</t>
  </si>
  <si>
    <t>NEW HANOVER HEALTH AND REHAB</t>
  </si>
  <si>
    <t xml:space="preserve">221 SUMMER REST RD </t>
  </si>
  <si>
    <t>910-256-3733</t>
  </si>
  <si>
    <t xml:space="preserve">2172 E 7200 S </t>
  </si>
  <si>
    <t>801-794-1218</t>
  </si>
  <si>
    <t>NEW HAVEN CARE CENTER</t>
  </si>
  <si>
    <t xml:space="preserve">9503 HIGHWAY 100 </t>
  </si>
  <si>
    <t>573-237-2103</t>
  </si>
  <si>
    <t>NEW HAVEN PUBLIC SCHOOLS</t>
  </si>
  <si>
    <t xml:space="preserve">75 BARNES AVENUE </t>
  </si>
  <si>
    <t>203-946-2922</t>
  </si>
  <si>
    <t>NEW HEIGHTS RESIDENTIAL CARE</t>
  </si>
  <si>
    <t xml:space="preserve">3409 MISSOURI </t>
  </si>
  <si>
    <t>314-771-8360</t>
  </si>
  <si>
    <t>NEW HOPE CHRISTIAN ACADEMY</t>
  </si>
  <si>
    <t xml:space="preserve">2264 WALNUT CREEK PIKE </t>
  </si>
  <si>
    <t>740-477-6427</t>
  </si>
  <si>
    <t>NEW RICHLAND CARE CENTER</t>
  </si>
  <si>
    <t xml:space="preserve">312 1ST STREET NE </t>
  </si>
  <si>
    <t>507-465-3292</t>
  </si>
  <si>
    <t>NEW RIVER VALLEY HEALTH CENTER</t>
  </si>
  <si>
    <t xml:space="preserve">5872 HANKS STREET </t>
  </si>
  <si>
    <t>540-674-4193</t>
  </si>
  <si>
    <t>NEWARK SENIOR CENTER</t>
  </si>
  <si>
    <t xml:space="preserve">200 WHITE CHAPLE DR </t>
  </si>
  <si>
    <t>302-737-2336</t>
  </si>
  <si>
    <t>NEWCOMERSTOWN SENIOR CENTER</t>
  </si>
  <si>
    <t xml:space="preserve">222 S BRIDGE ST </t>
  </si>
  <si>
    <t>NEWCOMERSTOWN</t>
  </si>
  <si>
    <t>740-498-4523</t>
  </si>
  <si>
    <t>NEWPORT BAY HOSPITAL</t>
  </si>
  <si>
    <t xml:space="preserve">1501 E 16TH ST </t>
  </si>
  <si>
    <t>949-650-9750</t>
  </si>
  <si>
    <t>NEWPORT HARBOR YACHT CLUB</t>
  </si>
  <si>
    <t xml:space="preserve">720 W. BAY AVENUE </t>
  </si>
  <si>
    <t>949-723-6868</t>
  </si>
  <si>
    <t>NEWTON COUNTY SENIOR CENTER</t>
  </si>
  <si>
    <t xml:space="preserve">100 EAST CLARK STREET </t>
  </si>
  <si>
    <t>870-446-5531</t>
  </si>
  <si>
    <t>NEXT GENERATION VILLAGE</t>
  </si>
  <si>
    <t xml:space="preserve">1062 LAKE SEBRING DRIVE </t>
  </si>
  <si>
    <t>863-658-0116</t>
  </si>
  <si>
    <t>NEXT STEP VILLAGE</t>
  </si>
  <si>
    <t xml:space="preserve">8875 SOUTH US HIGHWAY 1792 </t>
  </si>
  <si>
    <t>MAITLAND</t>
  </si>
  <si>
    <t>407-960-2585</t>
  </si>
  <si>
    <t>NHC HEALTHCARE - ANDERSON</t>
  </si>
  <si>
    <t xml:space="preserve">1501 EAST GREENVILLE STREET </t>
  </si>
  <si>
    <t>864-226-8356</t>
  </si>
  <si>
    <t>NHC HEALTHCARE - CLINTON</t>
  </si>
  <si>
    <t xml:space="preserve">304 JACOBS HIGHWAY </t>
  </si>
  <si>
    <t>864-833-2550</t>
  </si>
  <si>
    <t>NHC HEALTHCARE - GARDEN CITY</t>
  </si>
  <si>
    <t xml:space="preserve">9405 HIGHWAY 17 BYPASS </t>
  </si>
  <si>
    <t>843-650-2213</t>
  </si>
  <si>
    <t>NHC HEALTHCARE - GREENVILLE</t>
  </si>
  <si>
    <t xml:space="preserve">850 EAST BUTLER ROAD </t>
  </si>
  <si>
    <t>864-675-6421</t>
  </si>
  <si>
    <t>NHC HEALTHCARE - GREENWOOD</t>
  </si>
  <si>
    <t xml:space="preserve">437 EAST CAMBRIDGE STREET </t>
  </si>
  <si>
    <t>864-223-1950</t>
  </si>
  <si>
    <t>NHC HEALTHCARE - LAURENS</t>
  </si>
  <si>
    <t xml:space="preserve">301 PINEHAVEN STREET EXTENSION </t>
  </si>
  <si>
    <t>864-984-6584</t>
  </si>
  <si>
    <t>NHC HEALTHCARE - LEXINGTON</t>
  </si>
  <si>
    <t xml:space="preserve">P.O. BOX 2957 </t>
  </si>
  <si>
    <t>803-939-0026</t>
  </si>
  <si>
    <t>NHC HEALTHCARE - MATTIE HALL</t>
  </si>
  <si>
    <t xml:space="preserve">P.O. BOX 475 </t>
  </si>
  <si>
    <t>803-649-6264</t>
  </si>
  <si>
    <t>NHC HEALTHCARE - MAULDIN</t>
  </si>
  <si>
    <t xml:space="preserve">890 EAST BUTLER ROAD </t>
  </si>
  <si>
    <t>MAULDIN</t>
  </si>
  <si>
    <t>NHC HEALTHCARE - NORTH AUGUSTA</t>
  </si>
  <si>
    <t xml:space="preserve">P.O. BOX 7979 </t>
  </si>
  <si>
    <t>803-278-4272</t>
  </si>
  <si>
    <t>NHC HEALTHCARE - PARKLANE</t>
  </si>
  <si>
    <t xml:space="preserve">7601 PARKLANE DRIVE </t>
  </si>
  <si>
    <t>803-741-9090</t>
  </si>
  <si>
    <t>NHC HEALTHCARE - SUMTER</t>
  </si>
  <si>
    <t xml:space="preserve">P.O. BOX 1524 </t>
  </si>
  <si>
    <t>803-773-5567</t>
  </si>
  <si>
    <t>NHC HEALTHCARE CENTER ANNISTON</t>
  </si>
  <si>
    <t xml:space="preserve">2300 COLEMAN ROAD </t>
  </si>
  <si>
    <t>256-831-5730</t>
  </si>
  <si>
    <t>NHS</t>
  </si>
  <si>
    <t xml:space="preserve">2112 WEST LABURNUM AVENUE SUITE 206 </t>
  </si>
  <si>
    <t>804-353-9101</t>
  </si>
  <si>
    <t>NHS ARLINGTON WEST</t>
  </si>
  <si>
    <t xml:space="preserve">3939 PENHURST AVENUE </t>
  </si>
  <si>
    <t>410-664-9535</t>
  </si>
  <si>
    <t>NHS-SW</t>
  </si>
  <si>
    <t xml:space="preserve">2112 LABURNUM AVENUE </t>
  </si>
  <si>
    <t>NICHOLAS COUNTY HEALTH CARE</t>
  </si>
  <si>
    <t xml:space="preserve">18 FOURTH STREET </t>
  </si>
  <si>
    <t>304-846-2668</t>
  </si>
  <si>
    <t>NIFTY AIDES CONCEPT INC</t>
  </si>
  <si>
    <t xml:space="preserve">2005 PALMER AVE #216 </t>
  </si>
  <si>
    <t>LARCHMONT</t>
  </si>
  <si>
    <t>800-800-1665</t>
  </si>
  <si>
    <t>NOBLE SENIOR LIVING AT BALTIMORE</t>
  </si>
  <si>
    <t xml:space="preserve">3855 GREENSPRING AVENUE </t>
  </si>
  <si>
    <t>410-225-9337</t>
  </si>
  <si>
    <t>NOBLE SENIOR LIVING AT FORT WAYNE</t>
  </si>
  <si>
    <t xml:space="preserve">300 EAST WASHINGTON BLVD. </t>
  </si>
  <si>
    <t>260-422-5511</t>
  </si>
  <si>
    <t>NOBLE SENIOR LIVING AT ST PETERSBURG</t>
  </si>
  <si>
    <t xml:space="preserve">3479 54TH AVENUE N </t>
  </si>
  <si>
    <t>727-520-8888</t>
  </si>
  <si>
    <t>NOBLE SENIOR LIVING AT WEST ALLIS</t>
  </si>
  <si>
    <t xml:space="preserve">7400 WEST GREENFIELD AVE </t>
  </si>
  <si>
    <t>414-751-1940</t>
  </si>
  <si>
    <t>NORBERT RESIDENTIAL CARE FACILITY</t>
  </si>
  <si>
    <t xml:space="preserve">2413 SAINT NORBERT DRIVE </t>
  </si>
  <si>
    <t>412-885-5202</t>
  </si>
  <si>
    <t>NORFOLK HEALTH CARE CENTER</t>
  </si>
  <si>
    <t xml:space="preserve">901 EAST PRINCESS ANNE ROAD </t>
  </si>
  <si>
    <t>757-626-1642</t>
  </si>
  <si>
    <t>NORMANDY MANOR OF ROCKY RIVER</t>
  </si>
  <si>
    <t xml:space="preserve">22709 LAKE ROAD </t>
  </si>
  <si>
    <t>440-333-5400</t>
  </si>
  <si>
    <t>NORMANDY PARK SENIOR LIVING</t>
  </si>
  <si>
    <t xml:space="preserve">16625 1ST AVENUE SO </t>
  </si>
  <si>
    <t>NORMANDY PARK</t>
  </si>
  <si>
    <t>206-241-0821</t>
  </si>
  <si>
    <t xml:space="preserve">5311 PHINNEY AVENUE NORTH </t>
  </si>
  <si>
    <t>206-781-7400</t>
  </si>
  <si>
    <t>NORTH ADAMS HOME</t>
  </si>
  <si>
    <t xml:space="preserve">2259 E 1100TH STREET </t>
  </si>
  <si>
    <t>MENDON</t>
  </si>
  <si>
    <t>217-936-2137</t>
  </si>
  <si>
    <t>NORTH BAY LAKE ARROWHEAD OWNERS</t>
  </si>
  <si>
    <t xml:space="preserve">27400 SUGARPINE DRIVE </t>
  </si>
  <si>
    <t>BLUE JAY</t>
  </si>
  <si>
    <t>909-336-4500</t>
  </si>
  <si>
    <t>NORTH BROOK PLACE</t>
  </si>
  <si>
    <t xml:space="preserve">2301 N BROOK DRIVE </t>
  </si>
  <si>
    <t>469-343-1891</t>
  </si>
  <si>
    <t>NORTH CAROLINA STATE UNIVERSITY</t>
  </si>
  <si>
    <t xml:space="preserve">112 THURMAN DR-U. DIN. BOX 7307 </t>
  </si>
  <si>
    <t>919-515-6347</t>
  </si>
  <si>
    <t>NORTH CHRISTIAN SCHOOL</t>
  </si>
  <si>
    <t xml:space="preserve">3109 EMERSON AVE </t>
  </si>
  <si>
    <t>PARKERSBURG</t>
  </si>
  <si>
    <t>740-516-9488</t>
  </si>
  <si>
    <t>NORTH KENT CONNECT</t>
  </si>
  <si>
    <t xml:space="preserve">10075 NORTHLAND DRIVE NE </t>
  </si>
  <si>
    <t>616-866-3478</t>
  </si>
  <si>
    <t>NORTH KIDS PLACE</t>
  </si>
  <si>
    <t>304-428-3293</t>
  </si>
  <si>
    <t>NORTH LAKE SUPPORTS &amp; SERVICE CENTER</t>
  </si>
  <si>
    <t xml:space="preserve">45439 LIVE OAK DRIVE </t>
  </si>
  <si>
    <t>225-567-7419</t>
  </si>
  <si>
    <t>NORTH PARK RETIREMENT COMMUNITY</t>
  </si>
  <si>
    <t xml:space="preserve">14801 HOLLAND ROAD </t>
  </si>
  <si>
    <t>216-267-0555</t>
  </si>
  <si>
    <t>NORTH POINT OF ARCHDALE</t>
  </si>
  <si>
    <t xml:space="preserve">303 ALDRIDGE RD </t>
  </si>
  <si>
    <t>ARCHDALE</t>
  </si>
  <si>
    <t>336-862-7200</t>
  </si>
  <si>
    <t>NORTH POINT OF ASHEBORO</t>
  </si>
  <si>
    <t xml:space="preserve">1195 PINEVIEW ST </t>
  </si>
  <si>
    <t>336-625-1900</t>
  </si>
  <si>
    <t>NORTH POINT OF GARNER</t>
  </si>
  <si>
    <t>NORTH POINTE OF MAYODAN</t>
  </si>
  <si>
    <t xml:space="preserve">6970 HWY 135 </t>
  </si>
  <si>
    <t>MAYODAN</t>
  </si>
  <si>
    <t>336-548-5504</t>
  </si>
  <si>
    <t>NORTH RIDGE HEALTH CENTER</t>
  </si>
  <si>
    <t xml:space="preserve">35990 WESTMINSTER AVENUE </t>
  </si>
  <si>
    <t>NORTH RIDGEVILLE</t>
  </si>
  <si>
    <t>440-327-8511</t>
  </si>
  <si>
    <t>NORTH VALLEY MANOR</t>
  </si>
  <si>
    <t xml:space="preserve">2115 KAPPEL </t>
  </si>
  <si>
    <t>314-867-7474</t>
  </si>
  <si>
    <t>NORTH WOODS MEMORY CARE</t>
  </si>
  <si>
    <t xml:space="preserve">6203 STADIUM DRIVE </t>
  </si>
  <si>
    <t>NORTH WOODS VILLAGE AT EDISON LAKES</t>
  </si>
  <si>
    <t xml:space="preserve">1409 E DAY RD </t>
  </si>
  <si>
    <t>574-247-1866</t>
  </si>
  <si>
    <t>NORTH WOODS VILLAGE AT INVERNESS LAKES</t>
  </si>
  <si>
    <t xml:space="preserve">8075 GLENCARIN BLVD </t>
  </si>
  <si>
    <t>260-420-1866</t>
  </si>
  <si>
    <t>NORTHAVEN II</t>
  </si>
  <si>
    <t xml:space="preserve">531 NE 112TH STREET </t>
  </si>
  <si>
    <t>206-363-1827</t>
  </si>
  <si>
    <t>NORTHAVEN INC.</t>
  </si>
  <si>
    <t xml:space="preserve">11045 8TH AVENUE NE </t>
  </si>
  <si>
    <t>206-365-3022</t>
  </si>
  <si>
    <t>NORTHBAY EDUCATION</t>
  </si>
  <si>
    <t xml:space="preserve">11 HORSESHOE POINT LANE </t>
  </si>
  <si>
    <t>NORTH EAST</t>
  </si>
  <si>
    <t>443-674-9049</t>
  </si>
  <si>
    <t>NORTHBROOK MANOR CARE CENTER</t>
  </si>
  <si>
    <t xml:space="preserve">6420 COUNCIL STREET N.E. </t>
  </si>
  <si>
    <t>319-393-1447</t>
  </si>
  <si>
    <t>NORTHCREST COMMUNITY</t>
  </si>
  <si>
    <t xml:space="preserve">2300 NORTHCREST PARKWAY </t>
  </si>
  <si>
    <t>515-232-6760</t>
  </si>
  <si>
    <t>NORTHCREST REHAB AND NURSING CENTER</t>
  </si>
  <si>
    <t xml:space="preserve">240 NORTHCREST </t>
  </si>
  <si>
    <t>419-599-4070</t>
  </si>
  <si>
    <t>NORTHEAST CARE CENTER</t>
  </si>
  <si>
    <t xml:space="preserve">12627 YORK ROAD </t>
  </si>
  <si>
    <t>NORTH ROYALTON</t>
  </si>
  <si>
    <t>440-582-3300</t>
  </si>
  <si>
    <t>NORTHERN CHEYENNE ELDERLY</t>
  </si>
  <si>
    <t xml:space="preserve">HWY NORTH 39 SOUTH </t>
  </si>
  <si>
    <t>LAME DEER</t>
  </si>
  <si>
    <t>406-477-8707</t>
  </si>
  <si>
    <t>NORTHERN CHEYENNE ELDERLY 2</t>
  </si>
  <si>
    <t xml:space="preserve">FRIANRY BLDG ST LABRE MISSION </t>
  </si>
  <si>
    <t>NORTHERN ILLINOIS UNIVERSITY</t>
  </si>
  <si>
    <t xml:space="preserve">223 NEPTUNE CENTRAL </t>
  </si>
  <si>
    <t>815-753-9558</t>
  </si>
  <si>
    <t>NORTHERN LAKES NURSING &amp; REHAB</t>
  </si>
  <si>
    <t xml:space="preserve">516 WILLIAMS STREET </t>
  </si>
  <si>
    <t>260-665-9467</t>
  </si>
  <si>
    <t>NORTHERN MICHIGAN UNIVERSITY</t>
  </si>
  <si>
    <t xml:space="preserve">2073 SUGARLOAF AVE </t>
  </si>
  <si>
    <t>906-227-2360</t>
  </si>
  <si>
    <t>NORTHGATE PLAZA NURSING/REHAB</t>
  </si>
  <si>
    <t xml:space="preserve">2101 NORTHGATE DRIVE </t>
  </si>
  <si>
    <t>972-255-4460</t>
  </si>
  <si>
    <t>NORTHLAKE BEHAVIORAL HEALTH SYSTEM</t>
  </si>
  <si>
    <t xml:space="preserve">23515 HIGHWAY 190 </t>
  </si>
  <si>
    <t>NORTHPOINTE RESOURCES</t>
  </si>
  <si>
    <t xml:space="preserve">3441 SHERIDAN ROAD </t>
  </si>
  <si>
    <t>847-872-1700</t>
  </si>
  <si>
    <t>NORTHPORT HIGHLANDS</t>
  </si>
  <si>
    <t xml:space="preserve">215 S HIGH ST </t>
  </si>
  <si>
    <t>231-386-9900</t>
  </si>
  <si>
    <t>NORTHVIEW ESTATES</t>
  </si>
  <si>
    <t xml:space="preserve">945 BORDER AVENUE </t>
  </si>
  <si>
    <t>ELWOOD CITY</t>
  </si>
  <si>
    <t>724-758-1200</t>
  </si>
  <si>
    <t>NORTHWEST NURSING CENTER</t>
  </si>
  <si>
    <t xml:space="preserve">2801 NW 61ST STREET </t>
  </si>
  <si>
    <t>405-842-6601</t>
  </si>
  <si>
    <t>NORTHWEST RETIREMENT CENTER</t>
  </si>
  <si>
    <t xml:space="preserve">4701 SW ADMIRAL WAY #210 </t>
  </si>
  <si>
    <t>206-935-0810</t>
  </si>
  <si>
    <t>NORTHWESTERN HLTHCARE CTR-THB</t>
  </si>
  <si>
    <t xml:space="preserve">570 NORTH ROCKY RIVER DRIVE </t>
  </si>
  <si>
    <t>440-243-2122</t>
  </si>
  <si>
    <t>NORWAY SCHOOL</t>
  </si>
  <si>
    <t xml:space="preserve">300 SECTION STREET </t>
  </si>
  <si>
    <t>906-563-9532</t>
  </si>
  <si>
    <t>NORWOOD CROSSING</t>
  </si>
  <si>
    <t xml:space="preserve">6016 N NINA AVE </t>
  </si>
  <si>
    <t>773-631-4856</t>
  </si>
  <si>
    <t>NOTRE DAME COLLEGE-FALCON CAFE</t>
  </si>
  <si>
    <t xml:space="preserve">4546 COLLEGE ROAD </t>
  </si>
  <si>
    <t>216-373-6329</t>
  </si>
  <si>
    <t>NOTTINGHAM VILLAGE</t>
  </si>
  <si>
    <t xml:space="preserve">58 NEITZ ROAD </t>
  </si>
  <si>
    <t>NORTHUMBERLAND</t>
  </si>
  <si>
    <t>570-473-8366</t>
  </si>
  <si>
    <t>NOUIS HOME CARE INC. (PINE EDGE HOME)</t>
  </si>
  <si>
    <t xml:space="preserve">308 1ST STREET SE </t>
  </si>
  <si>
    <t>NOWATA NURSING CENTER</t>
  </si>
  <si>
    <t xml:space="preserve">436 SOUTH JOE STREET </t>
  </si>
  <si>
    <t>918-273-2236</t>
  </si>
  <si>
    <t>NURSING &amp; REHAB CTR U CITY LOOP</t>
  </si>
  <si>
    <t xml:space="preserve">894 LELAND </t>
  </si>
  <si>
    <t>UNIVERSITY CITY</t>
  </si>
  <si>
    <t>314-726-4767</t>
  </si>
  <si>
    <t>NUTWOOD CAFE CSUF</t>
  </si>
  <si>
    <t>NW ARKANSAS ECONOMIC DEVEL. DIST</t>
  </si>
  <si>
    <t xml:space="preserve">818 HWY 62/65/412 N </t>
  </si>
  <si>
    <t>870-741-8007</t>
  </si>
  <si>
    <t>OAK COTTAGE OF SANTA BARBARA MEMORY CARE</t>
  </si>
  <si>
    <t xml:space="preserve">1820 DE LA VINA STREET </t>
  </si>
  <si>
    <t>805-324-4391</t>
  </si>
  <si>
    <t>OAK CREEK NURSING &amp; REHABILITATION</t>
  </si>
  <si>
    <t xml:space="preserve">1105 N MAGNOLIA </t>
  </si>
  <si>
    <t>830-875-5606</t>
  </si>
  <si>
    <t>OAK CREEK REHAB CENTER OF KIMBERLY</t>
  </si>
  <si>
    <t xml:space="preserve">500 POLK STREET EAST </t>
  </si>
  <si>
    <t>KIMBERLY</t>
  </si>
  <si>
    <t>208-423-5591</t>
  </si>
  <si>
    <t xml:space="preserve">OAK CREST </t>
  </si>
  <si>
    <t xml:space="preserve">2944 GREENWOOD ACRES DRIVE </t>
  </si>
  <si>
    <t>815-756-8461</t>
  </si>
  <si>
    <t>OAK CREST VILLA</t>
  </si>
  <si>
    <t xml:space="preserve">8765 W FOREST HOME AVENUE </t>
  </si>
  <si>
    <t>414-427-0744</t>
  </si>
  <si>
    <t>OAK GROVE CHRISTIAN RETIREMENT</t>
  </si>
  <si>
    <t xml:space="preserve">221 W DIVISION STREET </t>
  </si>
  <si>
    <t>219-987-7005</t>
  </si>
  <si>
    <t>OAK GROVE MANOR</t>
  </si>
  <si>
    <t xml:space="preserve">8 RAINBOW LANE </t>
  </si>
  <si>
    <t>540-943-5570</t>
  </si>
  <si>
    <t>OAK GROVE RESIDENTIAL CARE</t>
  </si>
  <si>
    <t xml:space="preserve">333 PEACH STREET </t>
  </si>
  <si>
    <t>434-432-0513</t>
  </si>
  <si>
    <t>OAK GROVE RETIREMENT HOME</t>
  </si>
  <si>
    <t xml:space="preserve">209 OAK CIRCLE </t>
  </si>
  <si>
    <t>662-395-2576</t>
  </si>
  <si>
    <t>OAK HAVEN ASSISTED LIVING</t>
  </si>
  <si>
    <t xml:space="preserve">506 MATTOX ROAD </t>
  </si>
  <si>
    <t>252-752-9210</t>
  </si>
  <si>
    <t xml:space="preserve">623 HAMMACHER STREET </t>
  </si>
  <si>
    <t>618-939-3488</t>
  </si>
  <si>
    <t>OAK HILL ASSITED LIVING</t>
  </si>
  <si>
    <t xml:space="preserve">P.O.BOX 759 </t>
  </si>
  <si>
    <t>ANGIER</t>
  </si>
  <si>
    <t>919-639-9000</t>
  </si>
  <si>
    <t>OAK KNOLL</t>
  </si>
  <si>
    <t xml:space="preserve">37 NORTH CLARK </t>
  </si>
  <si>
    <t>FERGUSON</t>
  </si>
  <si>
    <t xml:space="preserve">OAK LANE NURS &amp; REHAB D/B/A HENDERSON COUNTY RETIREMENT </t>
  </si>
  <si>
    <t xml:space="preserve">604 OAKWOOD DR/200 S LOGAN ST </t>
  </si>
  <si>
    <t>STRONGHURST</t>
  </si>
  <si>
    <t>309-924-1990</t>
  </si>
  <si>
    <t>OAK MANOR NURSING HOME</t>
  </si>
  <si>
    <t xml:space="preserve">1200 FERGUSON STREET </t>
  </si>
  <si>
    <t>NACOGDOCHES</t>
  </si>
  <si>
    <t>936-564-7359</t>
  </si>
  <si>
    <t>OAK PARK ARMS</t>
  </si>
  <si>
    <t xml:space="preserve">408 S. OAK PARK ARMS </t>
  </si>
  <si>
    <t xml:space="preserve">OAK PARK </t>
  </si>
  <si>
    <t>708-386-4040</t>
  </si>
  <si>
    <t>OAK PLACE LIVING CENTER</t>
  </si>
  <si>
    <t xml:space="preserve">201 EAST SECOND STREET </t>
  </si>
  <si>
    <t>405-452-3299</t>
  </si>
  <si>
    <t>OAK TERRACE HEALTH CARE CENTER</t>
  </si>
  <si>
    <t xml:space="preserve">640 3RD STREET </t>
  </si>
  <si>
    <t>507-237-2911</t>
  </si>
  <si>
    <t>OAK TRACE NURSING HOME</t>
  </si>
  <si>
    <t xml:space="preserve">325 SELMA ROAD </t>
  </si>
  <si>
    <t>BESSEMER</t>
  </si>
  <si>
    <t>205-428-9383</t>
  </si>
  <si>
    <t>OAK VIEW SKILLED CARE</t>
  </si>
  <si>
    <t xml:space="preserve">1221 SOUTHGATE LANE </t>
  </si>
  <si>
    <t>573-635-3131</t>
  </si>
  <si>
    <t>OAKBROOK BUILDERS LLC</t>
  </si>
  <si>
    <t xml:space="preserve">2201 DOUBLE CREEK DRIVE #3003 </t>
  </si>
  <si>
    <t>512-961-7295</t>
  </si>
  <si>
    <t>OAKDALE HEIGHTS ASSISTED LIVING</t>
  </si>
  <si>
    <t xml:space="preserve">101 QUARTZ HILL ROAD </t>
  </si>
  <si>
    <t>530-241-6047</t>
  </si>
  <si>
    <t>OAKLAND LIVING CTR N CAROLINA</t>
  </si>
  <si>
    <t xml:space="preserve">704 POORS FORD ROAD </t>
  </si>
  <si>
    <t>828-286-3379</t>
  </si>
  <si>
    <t>OAKLAND PARK SENIOR CITIZENS CTR</t>
  </si>
  <si>
    <t xml:space="preserve">OAKLAND PARK RHINEHART ROAD </t>
  </si>
  <si>
    <t>870-543-6282</t>
  </si>
  <si>
    <t>OAKMONT AT GORDAN PARK</t>
  </si>
  <si>
    <t xml:space="preserve">401 GORDON AVENUE </t>
  </si>
  <si>
    <t>276-644-4800</t>
  </si>
  <si>
    <t>OAKMONT CARE AND REHAB CENTER</t>
  </si>
  <si>
    <t xml:space="preserve">26 ANN STREET </t>
  </si>
  <si>
    <t>412-828-7300</t>
  </si>
  <si>
    <t>OAKMONT ESTATE</t>
  </si>
  <si>
    <t xml:space="preserve">204 COCOVILLE ROAD </t>
  </si>
  <si>
    <t>MANSURA</t>
  </si>
  <si>
    <t>318-240-7424</t>
  </si>
  <si>
    <t>OAKMONT OF CARDINAL POINT</t>
  </si>
  <si>
    <t xml:space="preserve">2431 MARINER SQUARE DRIVE </t>
  </si>
  <si>
    <t>510-337-1033</t>
  </si>
  <si>
    <t>OAKMONT OF CHINO HILLS</t>
  </si>
  <si>
    <t xml:space="preserve">14837 PEYTON DRIVE </t>
  </si>
  <si>
    <t>CHINO HILLS</t>
  </si>
  <si>
    <t>909-538-8642</t>
  </si>
  <si>
    <t>OAKMONT OF MARINER POINT</t>
  </si>
  <si>
    <t xml:space="preserve">2400 MARINER POINT </t>
  </si>
  <si>
    <t>510-523-4820</t>
  </si>
  <si>
    <t xml:space="preserve">OAKMONT OF SEGOVIA </t>
  </si>
  <si>
    <t xml:space="preserve">39905 VIA SCENA </t>
  </si>
  <si>
    <t>760-565-5979</t>
  </si>
  <si>
    <t xml:space="preserve">9240 OLD REDWOOD HWY #200 </t>
  </si>
  <si>
    <t>WINDSOR</t>
  </si>
  <si>
    <t>707-535-3200</t>
  </si>
  <si>
    <t>OAKNOLL RETIREMENT RESIDENCE</t>
  </si>
  <si>
    <t xml:space="preserve">1 OAKNOLL COURT </t>
  </si>
  <si>
    <t>319-466-3020</t>
  </si>
  <si>
    <t xml:space="preserve">701 OAKNOLL DR </t>
  </si>
  <si>
    <t>OAKNOLL RETIREMENT SPRING STREET</t>
  </si>
  <si>
    <t xml:space="preserve">735 GEORGE STREET </t>
  </si>
  <si>
    <t>319-351-1720</t>
  </si>
  <si>
    <t>OAKS NURSING CENTER</t>
  </si>
  <si>
    <t xml:space="preserve">507 W JACKSON ST </t>
  </si>
  <si>
    <t xml:space="preserve">BURNET </t>
  </si>
  <si>
    <t>512-756-6044</t>
  </si>
  <si>
    <t>OAKS OF BENSALEM</t>
  </si>
  <si>
    <t xml:space="preserve">6400 HULMEVILLE ROAD </t>
  </si>
  <si>
    <t>215-752-9140</t>
  </si>
  <si>
    <t>OAKSIDE RESTAURANT &amp; BAR</t>
  </si>
  <si>
    <t xml:space="preserve">40701 VILLAGE DRIVE </t>
  </si>
  <si>
    <t>909-866-5555</t>
  </si>
  <si>
    <t>OAKTREE POINT RETIREMENT CENTER</t>
  </si>
  <si>
    <t xml:space="preserve">6115 TIDEWATER DRIVE </t>
  </si>
  <si>
    <t>757-857-5667</t>
  </si>
  <si>
    <t>OAKVIEW MANOR NURSING OZARK</t>
  </si>
  <si>
    <t xml:space="preserve">929 MIXON SCHOOL ROAD </t>
  </si>
  <si>
    <t>334-774-2631</t>
  </si>
  <si>
    <t>OAKVIEW MANOR CONRAD</t>
  </si>
  <si>
    <t xml:space="preserve">511 EAST CENTER STREET </t>
  </si>
  <si>
    <t>CONRAD</t>
  </si>
  <si>
    <t>641-366-2212</t>
  </si>
  <si>
    <t>OAKVIEW PARK ASSISTED LIVING</t>
  </si>
  <si>
    <t xml:space="preserve">1710 HGWY 153 </t>
  </si>
  <si>
    <t>POWDERSVILLE</t>
  </si>
  <si>
    <t>OAKWOOD CARE CENTER</t>
  </si>
  <si>
    <t xml:space="preserve">1300 WINDLASS DR </t>
  </si>
  <si>
    <t>410-687-1383</t>
  </si>
  <si>
    <t>OAKWOOD ESTATES NURSING AND REHAB</t>
  </si>
  <si>
    <t xml:space="preserve">5303 BERMUDA ROAD </t>
  </si>
  <si>
    <t>314-385-0910</t>
  </si>
  <si>
    <t>OAKWOOD HEALTHCARE AND REHAB CENTER</t>
  </si>
  <si>
    <t xml:space="preserve">2109 RED LION ROAD </t>
  </si>
  <si>
    <t>215-673-7000</t>
  </si>
  <si>
    <t>OASIS DEMENTIA CARE</t>
  </si>
  <si>
    <t xml:space="preserve">4301 WASHINGTON AVENUE </t>
  </si>
  <si>
    <t>812-303-3310</t>
  </si>
  <si>
    <t>OBION COUNTY NURSING HOME</t>
  </si>
  <si>
    <t xml:space="preserve">1084 E COUNTY HOME ROAD </t>
  </si>
  <si>
    <t>731-885-9065</t>
  </si>
  <si>
    <t>O'BRIEN HOUSE</t>
  </si>
  <si>
    <t xml:space="preserve">446 N 12TH STREET </t>
  </si>
  <si>
    <t>225-344-6345</t>
  </si>
  <si>
    <t>OCCIDENTAL COLLEGE CAMPUS DINING</t>
  </si>
  <si>
    <t xml:space="preserve">1600 CAMPUS ROAD </t>
  </si>
  <si>
    <t>323-259-2789</t>
  </si>
  <si>
    <t>OCCIDENTAL COLLEGE-GREEN BEAN</t>
  </si>
  <si>
    <t>OCCIDENTAL COLLEGE-THE TIGER COOLER</t>
  </si>
  <si>
    <t>OCCIDENTAL COLLEGE-TIGER COOLER</t>
  </si>
  <si>
    <t>OCEAN ORAL SURGERY</t>
  </si>
  <si>
    <t xml:space="preserve">18800 MAIN STREET SUITE 205 </t>
  </si>
  <si>
    <t>714-841-4954</t>
  </si>
  <si>
    <t>OCEAN PARK HEALTHCARE LLC</t>
  </si>
  <si>
    <t xml:space="preserve">2250 29TH STREET </t>
  </si>
  <si>
    <t>310-450-7694</t>
  </si>
  <si>
    <t>OCEANS SPEC. HOSP. OF LOUISIANA</t>
  </si>
  <si>
    <t xml:space="preserve">535 COMMERCE ST SUITE B </t>
  </si>
  <si>
    <t>337-802-1336</t>
  </si>
  <si>
    <t>OCEANSIDE HAWAII</t>
  </si>
  <si>
    <t xml:space="preserve">53-594 KAMEHAMEHA HWY </t>
  </si>
  <si>
    <t>HAUULA</t>
  </si>
  <si>
    <t>808-450-2023</t>
  </si>
  <si>
    <t>OCEANSIDE HEALTH AND REHAB</t>
  </si>
  <si>
    <t xml:space="preserve">7 ROSEWOOD AVENUE </t>
  </si>
  <si>
    <t>OCOM OKLA CTR FOR ORTHO SURGERY</t>
  </si>
  <si>
    <t xml:space="preserve">8100 S WALKER AVENUE # C </t>
  </si>
  <si>
    <t>405-602-6500</t>
  </si>
  <si>
    <t>ODD FELLOWS FRIENDSHIP MANOR</t>
  </si>
  <si>
    <t xml:space="preserve">925 PRIMM ROAD </t>
  </si>
  <si>
    <t>217-732-9647</t>
  </si>
  <si>
    <t>ODESSA'S FOSTER CARE HOMES</t>
  </si>
  <si>
    <t xml:space="preserve">694 WILLIAMS AVE </t>
  </si>
  <si>
    <t>OFF STREET CAFE</t>
  </si>
  <si>
    <t xml:space="preserve">11020 ARTESIA BLVD </t>
  </si>
  <si>
    <t>CERRITOS</t>
  </si>
  <si>
    <t>562-402-9665</t>
  </si>
  <si>
    <t>OFFICE OF HUMAN CONCERN ROGERS</t>
  </si>
  <si>
    <t xml:space="preserve">506 E SPRUCE STREET </t>
  </si>
  <si>
    <t>501-636-7301</t>
  </si>
  <si>
    <t>OHANA CRISIS CENTER</t>
  </si>
  <si>
    <t xml:space="preserve">1213 N MORAIN LOOP </t>
  </si>
  <si>
    <t>509-453-4462</t>
  </si>
  <si>
    <t>OHANA CRISIS CENTER INC</t>
  </si>
  <si>
    <t xml:space="preserve">1106 HATHAWAY STREET </t>
  </si>
  <si>
    <t>ZILLAH</t>
  </si>
  <si>
    <t>OHIO EASTERN STAR HOME</t>
  </si>
  <si>
    <t>740-397-1706</t>
  </si>
  <si>
    <t>OHIO HOSPITAL FOR PSYCHIATRY</t>
  </si>
  <si>
    <t xml:space="preserve">880 GREENLAWN AVENUE </t>
  </si>
  <si>
    <t>877-762-9026</t>
  </si>
  <si>
    <t>OHIO LIVING QUAKER HEIGHTS</t>
  </si>
  <si>
    <t xml:space="preserve">514 West High St. </t>
  </si>
  <si>
    <t>513-897-6050</t>
  </si>
  <si>
    <t>OHIO ORTHOPEDIC SURGERY INSTITUTE</t>
  </si>
  <si>
    <t xml:space="preserve">4605 SAWMILL RD SUITE 101 </t>
  </si>
  <si>
    <t>OHIO UNIV-CENTRAL FOOD FACILITY</t>
  </si>
  <si>
    <t xml:space="preserve">120 S. SHAFER STREET </t>
  </si>
  <si>
    <t>740-593-2975</t>
  </si>
  <si>
    <t>OHIO VALLEY HEALTH CARE</t>
  </si>
  <si>
    <t xml:space="preserve">222 NICOLETTE ROAD </t>
  </si>
  <si>
    <t>304-485-5137</t>
  </si>
  <si>
    <t>OHIO VETERANS HOMES</t>
  </si>
  <si>
    <t xml:space="preserve">3416 COLUMBUS AVE </t>
  </si>
  <si>
    <t>419-625-2454</t>
  </si>
  <si>
    <t>OIL BELT CHRISTIAN SERVICES CAMP</t>
  </si>
  <si>
    <t xml:space="preserve">555 PARK ROAD </t>
  </si>
  <si>
    <t>FLORA</t>
  </si>
  <si>
    <t>618-662-2822</t>
  </si>
  <si>
    <t>OKLAHOMA CITY COMMUNITY COLLEGE</t>
  </si>
  <si>
    <t xml:space="preserve">7777 SOUTH MAY AVENUE </t>
  </si>
  <si>
    <t>405-685-7583</t>
  </si>
  <si>
    <t>OKLAHOMA CITY ZOOLOGICAL TRUST</t>
  </si>
  <si>
    <t xml:space="preserve">2101 NE 50TH ST </t>
  </si>
  <si>
    <t>405-425-0233</t>
  </si>
  <si>
    <t>OKLAHOMA MEDICAL RESEARCH FOUNDATION</t>
  </si>
  <si>
    <t xml:space="preserve">825 NE 13TH ST </t>
  </si>
  <si>
    <t>405-271-7241</t>
  </si>
  <si>
    <t>OKLAHOMA METHODIST MANOR</t>
  </si>
  <si>
    <t xml:space="preserve">4134 E 31ST STREET </t>
  </si>
  <si>
    <t>918-743-2565</t>
  </si>
  <si>
    <t>OLALLA RECOVERY CENTERS INC</t>
  </si>
  <si>
    <t xml:space="preserve">12850 LALA COVE LANE SE </t>
  </si>
  <si>
    <t>OLALLA</t>
  </si>
  <si>
    <t>253-857-6201</t>
  </si>
  <si>
    <t>OLIVE MT RESIDENTIAL CARE LLC</t>
  </si>
  <si>
    <t xml:space="preserve">25466 N HWY 5 </t>
  </si>
  <si>
    <t>417-532-3045</t>
  </si>
  <si>
    <t>OLNEY CENTRAL COLLEGE</t>
  </si>
  <si>
    <t xml:space="preserve">305 N WEST STREET </t>
  </si>
  <si>
    <t>618-395-7777</t>
  </si>
  <si>
    <t>OLSON MANOR</t>
  </si>
  <si>
    <t xml:space="preserve">888 W OLSON ROAD </t>
  </si>
  <si>
    <t>989-423-1400</t>
  </si>
  <si>
    <t>OMEGA INSTITUTE OF HEALTH</t>
  </si>
  <si>
    <t xml:space="preserve">2525 SEVERN AVENUE </t>
  </si>
  <si>
    <t>504-832-4200</t>
  </si>
  <si>
    <t>ONSITE WORKSHOPS</t>
  </si>
  <si>
    <t xml:space="preserve">1044 OLD HWY 48 N </t>
  </si>
  <si>
    <t>CUMBERLAND FURNACE</t>
  </si>
  <si>
    <t>615-789-6609</t>
  </si>
  <si>
    <t>OPAL CONSULTING INC.</t>
  </si>
  <si>
    <t xml:space="preserve">17100 GILLETTE AVENUE STE 112 </t>
  </si>
  <si>
    <t>949-885-8886</t>
  </si>
  <si>
    <t>OPOC.US ONE POINT OF CONTACT</t>
  </si>
  <si>
    <t xml:space="preserve">300 W WILSON BRIDGE RD # 300 </t>
  </si>
  <si>
    <t>WORTHNGTON</t>
  </si>
  <si>
    <t>614-431-4331</t>
  </si>
  <si>
    <t>OPPORTUNITIES UNLIMITED</t>
  </si>
  <si>
    <t xml:space="preserve">3439 GLEN OAKS BLVD </t>
  </si>
  <si>
    <t>712-277-8295</t>
  </si>
  <si>
    <t>OPPORTUNITY ENTERPRISES</t>
  </si>
  <si>
    <t xml:space="preserve">2801 EVANS AVE </t>
  </si>
  <si>
    <t>VALPARAISO</t>
  </si>
  <si>
    <t>219-464-9621</t>
  </si>
  <si>
    <t>OPPORTUNITY HOUSE SYCAMORE</t>
  </si>
  <si>
    <t xml:space="preserve">357 N CALIFORNIA STREET </t>
  </si>
  <si>
    <t>SYCAMORE</t>
  </si>
  <si>
    <t>815-895-5108</t>
  </si>
  <si>
    <t>OPTIMAL PHYSICAL THERAPY SOLUTIONS</t>
  </si>
  <si>
    <t xml:space="preserve">6801 SOUTH BELL STREET SUITE 1400 </t>
  </si>
  <si>
    <t>806-355-7633</t>
  </si>
  <si>
    <t>OPTIMUM ASSISTED LIVING</t>
  </si>
  <si>
    <t xml:space="preserve">1104 OLD CHARLOTTE ROAD </t>
  </si>
  <si>
    <t>WHITE BLUFF</t>
  </si>
  <si>
    <t>615-797-1283</t>
  </si>
  <si>
    <t>ORANGE GROVE CENTER</t>
  </si>
  <si>
    <t xml:space="preserve">615 DERBY ST </t>
  </si>
  <si>
    <t>423-629-1451</t>
  </si>
  <si>
    <t>ORANGEBURG MANOR</t>
  </si>
  <si>
    <t xml:space="preserve">1248 NELSON AVENUE </t>
  </si>
  <si>
    <t>209-527-2222</t>
  </si>
  <si>
    <t>ORCA HOUSE INC</t>
  </si>
  <si>
    <t xml:space="preserve">1905 E 89TH ST </t>
  </si>
  <si>
    <t>216-231-3772</t>
  </si>
  <si>
    <t>ORCHARD AT BROOKHAVEN LLC</t>
  </si>
  <si>
    <t xml:space="preserve">1634 AFTON LANE NE </t>
  </si>
  <si>
    <t>404-775-0488</t>
  </si>
  <si>
    <t>ORCHARD HIGHLANDS</t>
  </si>
  <si>
    <t xml:space="preserve">9505 NE 116TH AVENUE </t>
  </si>
  <si>
    <t>360-253-9434</t>
  </si>
  <si>
    <t>ORCHARD HOSPITAL</t>
  </si>
  <si>
    <t xml:space="preserve">240 SPRUCE STREET </t>
  </si>
  <si>
    <t>GRIDLEY</t>
  </si>
  <si>
    <t>530-846-6266</t>
  </si>
  <si>
    <t>ORCHARD PARK MCKINNEY</t>
  </si>
  <si>
    <t xml:space="preserve">3392 MEDICAL CENTER DRIVE </t>
  </si>
  <si>
    <t>972-351-8888</t>
  </si>
  <si>
    <t>ORCHARD PARK OF GEORGETOWN</t>
  </si>
  <si>
    <t xml:space="preserve">100 YELLOW ROSE TRAIL </t>
  </si>
  <si>
    <t>877-902-8929</t>
  </si>
  <si>
    <t>ORCHARD PARK RETIREMENT COMM</t>
  </si>
  <si>
    <t xml:space="preserve">3110 S 48TH STREET </t>
  </si>
  <si>
    <t>402-488-3353</t>
  </si>
  <si>
    <t>ORCHARD VIEW ASSISTED LIVING</t>
  </si>
  <si>
    <t xml:space="preserve">1173 S TURF FARM ROAD </t>
  </si>
  <si>
    <t>PAYSON</t>
  </si>
  <si>
    <t>OREGON STATE UNIV (OSU) HOUSING/DINING</t>
  </si>
  <si>
    <t xml:space="preserve">957 SW JEFFERSON AVE </t>
  </si>
  <si>
    <t>541-737-0689</t>
  </si>
  <si>
    <t>ORIGINAL PANCAKE HOUSE H B</t>
  </si>
  <si>
    <t xml:space="preserve">10035 ADAMS AVE </t>
  </si>
  <si>
    <t>949-300-9909</t>
  </si>
  <si>
    <t>ORIGINAL PANCAKE HOUSE L H</t>
  </si>
  <si>
    <t xml:space="preserve">26951 MOULTON PARKWAY </t>
  </si>
  <si>
    <t>ALISO VIEJO</t>
  </si>
  <si>
    <t>949-643-8591</t>
  </si>
  <si>
    <t>ORIGINAL PANCAKE HOUSE R B</t>
  </si>
  <si>
    <t xml:space="preserve">1756 SOUTH PACIFIC COAST HWY </t>
  </si>
  <si>
    <t>310-543-9875</t>
  </si>
  <si>
    <t>ORLANDO MENS CENTER-TEEN CHALLENGE</t>
  </si>
  <si>
    <t xml:space="preserve">3706 SOUTH SANFORD AVENUE </t>
  </si>
  <si>
    <t>352-445-6044</t>
  </si>
  <si>
    <t>ORLANDO RECOVERY CENTER</t>
  </si>
  <si>
    <t xml:space="preserve">6000 LAKE ELEANOR DRIVE </t>
  </si>
  <si>
    <t>407-613-5555</t>
  </si>
  <si>
    <t>OROVILLE HOSPITAL POST ACUTE CENTER</t>
  </si>
  <si>
    <t xml:space="preserve">1000 EXECUTIVE PARKWAY </t>
  </si>
  <si>
    <t>530-533-7335</t>
  </si>
  <si>
    <t>ORRVILLA RETIREMENT COMMUNITY</t>
  </si>
  <si>
    <t xml:space="preserve">333 E SASSAFRAS STREET </t>
  </si>
  <si>
    <t>330-683-4455</t>
  </si>
  <si>
    <t>ORTHOPAEDIC HOSPITAL OF WISCONSIN</t>
  </si>
  <si>
    <t xml:space="preserve">475 W RIVER WOODS PKWY </t>
  </si>
  <si>
    <t>414-617-9509</t>
  </si>
  <si>
    <t>O'S CAMPUS CAFE (U OF TX- AUSTIN)</t>
  </si>
  <si>
    <t xml:space="preserve">201 E 24TH ST ACES BLDG 2-200 </t>
  </si>
  <si>
    <t>512-232-9058</t>
  </si>
  <si>
    <t>OSBORNE CARE &amp; REHAB</t>
  </si>
  <si>
    <t xml:space="preserve">2530 NORTH ELM </t>
  </si>
  <si>
    <t>918-540-2300</t>
  </si>
  <si>
    <t>OSCAR'S RESTAURANT</t>
  </si>
  <si>
    <t>OSPREY VILLAGE</t>
  </si>
  <si>
    <t xml:space="preserve">48 OSPREY VILLAGE DRIVE </t>
  </si>
  <si>
    <t>AMELIA ISLAND</t>
  </si>
  <si>
    <t>904-277-8222</t>
  </si>
  <si>
    <t>OSPREY/PANTOPS PLACE LLC</t>
  </si>
  <si>
    <t xml:space="preserve">PO BOX 2064 </t>
  </si>
  <si>
    <t>OSSIAN SENIOR HOSPICE</t>
  </si>
  <si>
    <t xml:space="preserve">FISHER STREET-HIGHWAY 52 </t>
  </si>
  <si>
    <t>OSSIAN</t>
  </si>
  <si>
    <t>563-532-9440</t>
  </si>
  <si>
    <t>OSU ARNOLD CENTER</t>
  </si>
  <si>
    <t>541-737-6191</t>
  </si>
  <si>
    <t>OSU CASCADIA MARKET</t>
  </si>
  <si>
    <t xml:space="preserve">CORVALLIS </t>
  </si>
  <si>
    <t>OSU CATERING</t>
  </si>
  <si>
    <t>OSU COOPERS CREEK BBQ</t>
  </si>
  <si>
    <t xml:space="preserve">102 BUXTON HALL </t>
  </si>
  <si>
    <t>OSU INTERNATIONAL KITCHEN</t>
  </si>
  <si>
    <t>541-737-0492</t>
  </si>
  <si>
    <t>OSU MARKETPLACE W</t>
  </si>
  <si>
    <t>541-737-2100</t>
  </si>
  <si>
    <t>OSU MCNARY CENTRAL</t>
  </si>
  <si>
    <t>541-737-4995</t>
  </si>
  <si>
    <t>OSU MEM UN-AVA'S CAFE</t>
  </si>
  <si>
    <t xml:space="preserve">111 MEMORIAL UNION </t>
  </si>
  <si>
    <t>OSU MEM UN-BITES C-STORE</t>
  </si>
  <si>
    <t>OSU MEM UN-DIXON CAFE</t>
  </si>
  <si>
    <t>OSU MEM UN-E CAFE</t>
  </si>
  <si>
    <t>OSU MEM UN-JAVA II</t>
  </si>
  <si>
    <t>OSU MEM UN-JAVA STOP</t>
  </si>
  <si>
    <t>OSU MEM UN-NORTH PORCH</t>
  </si>
  <si>
    <t>OSU MEM UN-PANGEA RESTAURANT</t>
  </si>
  <si>
    <t>OSU MEMORIAL UNION</t>
  </si>
  <si>
    <t xml:space="preserve">111 OSU MEMORIAL UNION </t>
  </si>
  <si>
    <t>541-737-3050</t>
  </si>
  <si>
    <t>OSU MEMORIAL UNION TRADER BINGS CAFE</t>
  </si>
  <si>
    <t xml:space="preserve">2751 SW JEFFERSON WAY </t>
  </si>
  <si>
    <t>OSU MEM-THE DAM</t>
  </si>
  <si>
    <t xml:space="preserve">165 SW SAKOT PLACE </t>
  </si>
  <si>
    <t>OSU OCEANUS RESEARCH SHIP</t>
  </si>
  <si>
    <t>OTSEGO COUNTY JAIL</t>
  </si>
  <si>
    <t xml:space="preserve">124 SOUTH COURT STREET </t>
  </si>
  <si>
    <t>989-732-3555</t>
  </si>
  <si>
    <t>OTSEGO PLACE</t>
  </si>
  <si>
    <t xml:space="preserve">520 OTSEGO </t>
  </si>
  <si>
    <t>OTTAWA COUNTY RIVERVIEW HEALTHCARE CAMPUS</t>
  </si>
  <si>
    <t xml:space="preserve">8180 W STATE ROUTE 163 </t>
  </si>
  <si>
    <t>OAK HARBOR</t>
  </si>
  <si>
    <t>419-898-2851</t>
  </si>
  <si>
    <t>OUHOUSE-CC-ALPHA PHI (U OF AZ)</t>
  </si>
  <si>
    <t xml:space="preserve">1139 EAST 1ST STREET </t>
  </si>
  <si>
    <t>310-634-2371</t>
  </si>
  <si>
    <t>OUHOUSE-CC-KAPPA KAPPA GAMMA (FRESNO STATE)</t>
  </si>
  <si>
    <t xml:space="preserve">5347 NORTH MILLBROOK AVENUE </t>
  </si>
  <si>
    <t>OUR COMMUNITY HOSPITAL</t>
  </si>
  <si>
    <t xml:space="preserve">921 JUNIOR HIGH SCHOOL RD </t>
  </si>
  <si>
    <t>SCOTLAND NECK</t>
  </si>
  <si>
    <t>252-826-4144</t>
  </si>
  <si>
    <t>OUR HOUSE OF OGDEN</t>
  </si>
  <si>
    <t xml:space="preserve">446 N JEFFERSON AVENUE </t>
  </si>
  <si>
    <t>801-782-4444</t>
  </si>
  <si>
    <t>OUR HOUSE OF OREM</t>
  </si>
  <si>
    <t xml:space="preserve">410 S MAIN </t>
  </si>
  <si>
    <t>801-226-4343</t>
  </si>
  <si>
    <t>OUR HOUSE OF TREMONTON</t>
  </si>
  <si>
    <t xml:space="preserve">429 N 400 W </t>
  </si>
  <si>
    <t>TREMONTON</t>
  </si>
  <si>
    <t>435-257-5658</t>
  </si>
  <si>
    <t>OUR LADY OF LOURDES</t>
  </si>
  <si>
    <t xml:space="preserve">409 13TH STREET SOUTH </t>
  </si>
  <si>
    <t>406-452-0551</t>
  </si>
  <si>
    <t>OUR LADY OF MOUNT CARMEL</t>
  </si>
  <si>
    <t xml:space="preserve">1706 OLD EASTERN AVENUE </t>
  </si>
  <si>
    <t>410-238-1160</t>
  </si>
  <si>
    <t>OUR LADY OF PERPETUAL HELP HOME</t>
  </si>
  <si>
    <t xml:space="preserve">760 POLLARD BLVD SW </t>
  </si>
  <si>
    <t>404-688-9515</t>
  </si>
  <si>
    <t>OUR LADY OF VICTORY CONVENT</t>
  </si>
  <si>
    <t xml:space="preserve">11400 THERESA DRIVE </t>
  </si>
  <si>
    <t>630-257-7776</t>
  </si>
  <si>
    <t>OUR LADY OF WISDOM</t>
  </si>
  <si>
    <t xml:space="preserve">5600 GENERAL DE GAULLE DRIVE </t>
  </si>
  <si>
    <t>504-394-5991</t>
  </si>
  <si>
    <t>OURHOUSE</t>
  </si>
  <si>
    <t xml:space="preserve">565 PIER AVENUE </t>
  </si>
  <si>
    <t>310-413-3072</t>
  </si>
  <si>
    <t>OURHOUSE-CC - DELTA TAU DELTA (UCLA)</t>
  </si>
  <si>
    <t xml:space="preserve">649 GAYLEY AVENUE </t>
  </si>
  <si>
    <t>OURHOUSE-CC-ALPHA CHI OMEGA (SDSU)</t>
  </si>
  <si>
    <t xml:space="preserve">5816 MONTEZUMA RD </t>
  </si>
  <si>
    <t>OURHOUSE-CC-ALPHA DELTA PI (UCLA)</t>
  </si>
  <si>
    <t xml:space="preserve">808 HILGARD AVENUE </t>
  </si>
  <si>
    <t>OURHOUSE-CC-ALPHA EPSILON PHI (U OF AZ)</t>
  </si>
  <si>
    <t xml:space="preserve">1071 NORTH MOUNTAIN AVENUE </t>
  </si>
  <si>
    <t>OURHOUSE-CC-ALPHA EPSILON PHI (UCLA)</t>
  </si>
  <si>
    <t xml:space="preserve">632 HILGARD AVENUE </t>
  </si>
  <si>
    <t>OURHOUSE-CC-ALPHA GAMMA DELTA (SDSU)</t>
  </si>
  <si>
    <t xml:space="preserve">5074 COLLEGE AVENUE </t>
  </si>
  <si>
    <t>OURHOUSE-CC-ALPHA PHI (SDSU)</t>
  </si>
  <si>
    <t xml:space="preserve">6055 MONTEZUMA RD </t>
  </si>
  <si>
    <t>OURHOUSE-CC-ALPHA PHI (UCSB)</t>
  </si>
  <si>
    <t xml:space="preserve">840 EMBARCADERO DEL NORTE </t>
  </si>
  <si>
    <t>ISLA VISTA</t>
  </si>
  <si>
    <t>OURHOUSE-CC-ALPHA PHI (USC)</t>
  </si>
  <si>
    <t xml:space="preserve">907 W 28TH STREET </t>
  </si>
  <si>
    <t xml:space="preserve">643 WEST 28TH STREET </t>
  </si>
  <si>
    <t>OURHOUSE-CC-BETA THETA PI (UCLA)</t>
  </si>
  <si>
    <t xml:space="preserve">581 GAYLEY AVENUE </t>
  </si>
  <si>
    <t>OURHOUSE-CC-DELTA GAMMA (FRESNO STATE)</t>
  </si>
  <si>
    <t xml:space="preserve">5307 MILLBROOK AVENUE </t>
  </si>
  <si>
    <t>OURHOUSE-CC-DELTA GAMMA (SDSU)</t>
  </si>
  <si>
    <t xml:space="preserve">5720 MONTEZUMA RD </t>
  </si>
  <si>
    <t xml:space="preserve">5050 COLLEGE AVENUE </t>
  </si>
  <si>
    <t>OURHOUSE-CC-DELTA GAMMA (UCLA)</t>
  </si>
  <si>
    <t xml:space="preserve">652 HILGARD AVENUE </t>
  </si>
  <si>
    <t>OURHOUSE-CC-DELTA GAMMA (UCSB)</t>
  </si>
  <si>
    <t xml:space="preserve">6509 PICASSO RD </t>
  </si>
  <si>
    <t>OURHOUSE-CC-DELTA GAMMA (USC)</t>
  </si>
  <si>
    <t xml:space="preserve">639 W 28TH STREET </t>
  </si>
  <si>
    <t>OURHOUSE-CC-DELTA ZETA (FRESNO STATE)</t>
  </si>
  <si>
    <t xml:space="preserve">5337 MILLBROOK AVENUE </t>
  </si>
  <si>
    <t>OURHOUSE-CC-DELTA ZETA (SDSU)</t>
  </si>
  <si>
    <t xml:space="preserve">5082 COLLEGE AVENUE </t>
  </si>
  <si>
    <t>OURHOUSE-CC-GAMMA PHI BETA (SDSU)</t>
  </si>
  <si>
    <t xml:space="preserve">6123 MONTEZUMA </t>
  </si>
  <si>
    <t>OURHOUSE-CC-GAMMA PHI BETA (U OF AZ)</t>
  </si>
  <si>
    <t xml:space="preserve">1535 E FIRST STREET </t>
  </si>
  <si>
    <t>OURHOUSE-CC-KAPPA ALPHA THETA (SDSU)</t>
  </si>
  <si>
    <t xml:space="preserve">5720 MONTEZUMA ROAD </t>
  </si>
  <si>
    <t>OURHOUSE-CC-KAPPA ALPHA THETA (U OF AZ)</t>
  </si>
  <si>
    <t xml:space="preserve">1050 N MOUNTAIN AVENUE </t>
  </si>
  <si>
    <t>OURHOUSE-CC-KAPPA ALPHA THETA (UC DAVIS)</t>
  </si>
  <si>
    <t xml:space="preserve">200 PARKWAY CL </t>
  </si>
  <si>
    <t>OURHOUSE-CC-KAPPA DELTA (SDSU)</t>
  </si>
  <si>
    <t xml:space="preserve">5066 COLLEGE AVE </t>
  </si>
  <si>
    <t>OURHOUSE-CC-KAPPA SIGMA (U OF AZ)</t>
  </si>
  <si>
    <t xml:space="preserve">1423 E FIRST STREET </t>
  </si>
  <si>
    <t>OURHOUSE-CC-PHI GAMMA DELTA (U OF AZ)</t>
  </si>
  <si>
    <t xml:space="preserve">1801 E 1ST STREET </t>
  </si>
  <si>
    <t>OURHOUSE-CC-PHI KAPPA SIGMA (USC)</t>
  </si>
  <si>
    <t xml:space="preserve">10938 STRATHMORE DRIVE </t>
  </si>
  <si>
    <t>OURHOUSE-CC-PI BETA PHI (SDSU)</t>
  </si>
  <si>
    <t xml:space="preserve">5080 COLLEGE AVE </t>
  </si>
  <si>
    <t>OURHOUSE-CCS-ACACIA (U OF IL)</t>
  </si>
  <si>
    <t xml:space="preserve">302 E ARMORY </t>
  </si>
  <si>
    <t>217-751-2188</t>
  </si>
  <si>
    <t>OURHOUSE-CC-SIGMA ALPHA EPSILON (SDSU)</t>
  </si>
  <si>
    <t xml:space="preserve">5076 COLLEGE PLACE </t>
  </si>
  <si>
    <t>OURHOUSE-CC-SIGMA ALPHA EPSILON (UCLA)</t>
  </si>
  <si>
    <t xml:space="preserve">655 GAYLEY AVENUE </t>
  </si>
  <si>
    <t>OURHOUSE-CC-SIGMA CHI (UCLA)</t>
  </si>
  <si>
    <t xml:space="preserve">459 GAYLEY AVENUE </t>
  </si>
  <si>
    <t>OURHOUSE-CC-SIGMA CHI (USC)</t>
  </si>
  <si>
    <t>OURHOUSE-CC-SIGMA NU (UCLA)</t>
  </si>
  <si>
    <t xml:space="preserve">601 GAYLEY AVENUE </t>
  </si>
  <si>
    <t>OURHOUSE-CCS-PHI GAMMA DELTA (U OF IL)</t>
  </si>
  <si>
    <t xml:space="preserve">201 E JOHN STREET </t>
  </si>
  <si>
    <t>OURHOUSE-CCS-PHI SIGMA KAPPA (PURDUE UNIV)</t>
  </si>
  <si>
    <t xml:space="preserve">302 W WALDRON STREET </t>
  </si>
  <si>
    <t>OURHOUSE-CCS-PHI SIGMA KAPPA (U OF IL)</t>
  </si>
  <si>
    <t xml:space="preserve">1004 S 2ND STREET </t>
  </si>
  <si>
    <t>OURHOUSE-CCS-PSI UPSILON (UNIV OF IL)</t>
  </si>
  <si>
    <t xml:space="preserve">313 E ARMORY </t>
  </si>
  <si>
    <t>OURHOUSE-CC-THETA DELTA CHI (TUCSON)</t>
  </si>
  <si>
    <t xml:space="preserve">1507 EAST 2ND STREET </t>
  </si>
  <si>
    <t>OURHOUSE-CC-THETA XI (U OF AZ)</t>
  </si>
  <si>
    <t xml:space="preserve">1621 EAST 1ST STREET </t>
  </si>
  <si>
    <t>OURHOUSE-CC-TRI DELTA (USC)</t>
  </si>
  <si>
    <t xml:space="preserve">834 WEST 28TH STREET </t>
  </si>
  <si>
    <t>OURHOUSE-CC-ZETA BETA TAU (U OF AZ)</t>
  </si>
  <si>
    <t xml:space="preserve">1701 EAST 1ST STREET </t>
  </si>
  <si>
    <t>OURHOUSE-CC-ZETA BETA TAU (USC)</t>
  </si>
  <si>
    <t xml:space="preserve">668 28TH STREET </t>
  </si>
  <si>
    <t>OURHOUSE-COLLEGE CUISINE (CC)</t>
  </si>
  <si>
    <t xml:space="preserve">11328 ELDERWOOD STREET </t>
  </si>
  <si>
    <t>OZARK MANOR FREDERICKTOWN</t>
  </si>
  <si>
    <t xml:space="preserve">1001 HIGHWAY Z </t>
  </si>
  <si>
    <t>573-783-8338</t>
  </si>
  <si>
    <t>OZARK NURSING CENTER</t>
  </si>
  <si>
    <t xml:space="preserve">600 N 12TH STREET </t>
  </si>
  <si>
    <t>501-667-4791</t>
  </si>
  <si>
    <t>OZARK WELLNESS &amp; ATHLETIC CLUB</t>
  </si>
  <si>
    <t xml:space="preserve">1521 W BUSINESS HIGHWAY 60 </t>
  </si>
  <si>
    <t>573-614-5644</t>
  </si>
  <si>
    <t>P.A.T.H. INC</t>
  </si>
  <si>
    <t xml:space="preserve">PO BOX 671 </t>
  </si>
  <si>
    <t>573-756-7554</t>
  </si>
  <si>
    <t>PACE AT HOME INC</t>
  </si>
  <si>
    <t xml:space="preserve">1915 FAIRGROVE CHURCH RD </t>
  </si>
  <si>
    <t xml:space="preserve">NEWTON </t>
  </si>
  <si>
    <t>PACIFIC CARE CENTER MISSOURI</t>
  </si>
  <si>
    <t xml:space="preserve">105 S 6TH STREET </t>
  </si>
  <si>
    <t>PACIFIC</t>
  </si>
  <si>
    <t>314-257-4222</t>
  </si>
  <si>
    <t>PACIFIC GARDENS SANTA CLARA</t>
  </si>
  <si>
    <t xml:space="preserve">2384 PACIFIC DRIVE </t>
  </si>
  <si>
    <t>408-985-5252</t>
  </si>
  <si>
    <t>PACIFIC GROVE CONVALESCENT HOSP</t>
  </si>
  <si>
    <t xml:space="preserve">200 LIGHTHOUSE AVENUE </t>
  </si>
  <si>
    <t>831-375-2695</t>
  </si>
  <si>
    <t>PACIFIC HAVEN HEALTHCARE CTR</t>
  </si>
  <si>
    <t xml:space="preserve">12072 TRASK AVENUE </t>
  </si>
  <si>
    <t>714-534-1942</t>
  </si>
  <si>
    <t>PACIFIC REGENTS LA JOLLA</t>
  </si>
  <si>
    <t xml:space="preserve">3890 NOBEL DRIVE </t>
  </si>
  <si>
    <t>858-597-8000</t>
  </si>
  <si>
    <t>PACIFICA HOSPITAL OF THE VALLEY</t>
  </si>
  <si>
    <t xml:space="preserve">9449 SAN FERNANDO ROAD </t>
  </si>
  <si>
    <t>818-767-3310</t>
  </si>
  <si>
    <t>PACIFICA SENIOR LIVING CARPENTER'S CREEK</t>
  </si>
  <si>
    <t xml:space="preserve">5918 N DAVIS </t>
  </si>
  <si>
    <t>850-477-8998</t>
  </si>
  <si>
    <t>PACIFICA SL VIRGINIA BEACH</t>
  </si>
  <si>
    <t xml:space="preserve">5417 WESLEYAN DRIVE </t>
  </si>
  <si>
    <t>757-490-6672</t>
  </si>
  <si>
    <t>PACIFICA SL WILMINGTON</t>
  </si>
  <si>
    <t xml:space="preserve">2744 SOUTH 17TH STREET </t>
  </si>
  <si>
    <t>910-452-1114</t>
  </si>
  <si>
    <t>PAGE MEMORIAL HOSPITAL</t>
  </si>
  <si>
    <t xml:space="preserve">200 MEMORIAL AVENUE </t>
  </si>
  <si>
    <t>LURAY</t>
  </si>
  <si>
    <t>540-743-4561</t>
  </si>
  <si>
    <t>PAGE REHABILITATION &amp; HEALTHCARE CENTER</t>
  </si>
  <si>
    <t xml:space="preserve">2310 NORTH AIRPORT ROAD </t>
  </si>
  <si>
    <t>FT MYERS</t>
  </si>
  <si>
    <t>239-931-8401</t>
  </si>
  <si>
    <t>PAISLEY HOUSE</t>
  </si>
  <si>
    <t xml:space="preserve">1408 MAHONING AVE </t>
  </si>
  <si>
    <t>330-799-9431</t>
  </si>
  <si>
    <t>PALLADIAN-OAKDALE CARE CENTER</t>
  </si>
  <si>
    <t xml:space="preserve">2702 DEBBIE LANE </t>
  </si>
  <si>
    <t>573-686-3637</t>
  </si>
  <si>
    <t>PALLIATIVE CARE CENTER &amp; HOSPICE</t>
  </si>
  <si>
    <t xml:space="preserve">3975 ROBINSON RD </t>
  </si>
  <si>
    <t>PALM BAY ACADEMY</t>
  </si>
  <si>
    <t xml:space="preserve">2112 PALM BAY ROAD NE </t>
  </si>
  <si>
    <t>PAL BAY</t>
  </si>
  <si>
    <t>321-265-1803</t>
  </si>
  <si>
    <t>PALM COTTAGES ASSISTED LIVING &amp; MEMORY CARE</t>
  </si>
  <si>
    <t xml:space="preserve">3821 SUNNYSIDE COURT </t>
  </si>
  <si>
    <t>321-633-1819</t>
  </si>
  <si>
    <t>PALM VILLAGE HEALTH CARE CENTER*</t>
  </si>
  <si>
    <t xml:space="preserve">701 W HERBERT AVENUE </t>
  </si>
  <si>
    <t>559-638-3615</t>
  </si>
  <si>
    <t>PALM VILLAGE RETIREMENT</t>
  </si>
  <si>
    <t xml:space="preserve">703 W HERBERT AVENUE </t>
  </si>
  <si>
    <t>209-638-6933</t>
  </si>
  <si>
    <t>PALMER PLACE RETIREMENT COMMUNITY</t>
  </si>
  <si>
    <t xml:space="preserve">500 US HWY 41A NORTH </t>
  </si>
  <si>
    <t>270-667-7772</t>
  </si>
  <si>
    <t>PALMETTO RIDGE</t>
  </si>
  <si>
    <t xml:space="preserve">840 MANOR ROAD </t>
  </si>
  <si>
    <t>CHERAW</t>
  </si>
  <si>
    <t>843-537-4197</t>
  </si>
  <si>
    <t>PALMETTO SUBACUTE CARE CENTER</t>
  </si>
  <si>
    <t xml:space="preserve">7600 SW 8TH STREET </t>
  </si>
  <si>
    <t>305-261-2525</t>
  </si>
  <si>
    <t>PALMETTO VILLAGE</t>
  </si>
  <si>
    <t xml:space="preserve">570 E CENTER ST </t>
  </si>
  <si>
    <t>PALMETTOS OF PARKLANE LLC</t>
  </si>
  <si>
    <t xml:space="preserve">7811 PARKLANE RD </t>
  </si>
  <si>
    <t>803-741-7233</t>
  </si>
  <si>
    <t>PALO ALTO JEWISH COMMUNITY CENTER</t>
  </si>
  <si>
    <t xml:space="preserve">3921 FABIAN WAY </t>
  </si>
  <si>
    <t>650-223-8634</t>
  </si>
  <si>
    <t>PALOS VERDES HEALTH CARE CENTER</t>
  </si>
  <si>
    <t xml:space="preserve">26303 WESTERN AVE </t>
  </si>
  <si>
    <t>LOMITA</t>
  </si>
  <si>
    <t>310-784-5440</t>
  </si>
  <si>
    <t>PANGBURN SENIOR CENTER</t>
  </si>
  <si>
    <t xml:space="preserve">904 2ND STREET </t>
  </si>
  <si>
    <t>PANGBURN</t>
  </si>
  <si>
    <t>501-728-3302</t>
  </si>
  <si>
    <t>PANHANDLE NUTRITION SERVICE</t>
  </si>
  <si>
    <t xml:space="preserve">301 N MAIN PO BOX 157 </t>
  </si>
  <si>
    <t>580-338-1777</t>
  </si>
  <si>
    <t xml:space="preserve">1600 SLEATHER KINNEY ROAD </t>
  </si>
  <si>
    <t>360-456-0111</t>
  </si>
  <si>
    <t>PANORAMA INDEPENDENT LIVING</t>
  </si>
  <si>
    <t xml:space="preserve">1751 CIRCLE LANE </t>
  </si>
  <si>
    <t>360-438-7769</t>
  </si>
  <si>
    <t>PANORAMA OPERATIONS DEPT</t>
  </si>
  <si>
    <t xml:space="preserve">1751 CIRCLE LANE SE </t>
  </si>
  <si>
    <t>PANTER*FRANK</t>
  </si>
  <si>
    <t xml:space="preserve">65 12TH STREET </t>
  </si>
  <si>
    <t>PARADISE VALLEY CAFE</t>
  </si>
  <si>
    <t xml:space="preserve">61721 STATE HWY 74 </t>
  </si>
  <si>
    <t>MOUNTAIN CENTER</t>
  </si>
  <si>
    <t>951-659-3663</t>
  </si>
  <si>
    <t>PARAMOUNT NURSING AND REHAB AT FAYETTEVILLE</t>
  </si>
  <si>
    <t xml:space="preserve">6375 CHAMBERSBURG ROAD </t>
  </si>
  <si>
    <t>717-352-2721</t>
  </si>
  <si>
    <t>PARAMOUNT PARK AT EAGLE</t>
  </si>
  <si>
    <t xml:space="preserve">815 NORTH EAGLE ROAD </t>
  </si>
  <si>
    <t>208-939-9978</t>
  </si>
  <si>
    <t>PARAMOUNT REHAB &amp; NURSING CTR.</t>
  </si>
  <si>
    <t xml:space="preserve">625 N HARLEM AVE </t>
  </si>
  <si>
    <t>708-848-5966</t>
  </si>
  <si>
    <t>PARAMOUNT SENIOR LIVING AT CABELL MIDLAND</t>
  </si>
  <si>
    <t xml:space="preserve">100 WEATHERHOLT DRIVE </t>
  </si>
  <si>
    <t>304-743-4800</t>
  </si>
  <si>
    <t>PARAMOUNT SENIOR LIVING AT LANCASTER COUNTY</t>
  </si>
  <si>
    <t xml:space="preserve">2760 MAYTOWN ROAD </t>
  </si>
  <si>
    <t>MAYTOWN</t>
  </si>
  <si>
    <t>717-426-0033</t>
  </si>
  <si>
    <t>PARCHMENT VALLEY CONFERENCE CENTER</t>
  </si>
  <si>
    <t xml:space="preserve">ROUTE 2 BOX 304 </t>
  </si>
  <si>
    <t>304-372-3675</t>
  </si>
  <si>
    <t>PARHAM HEALTH CARE &amp; REHAB CENTER</t>
  </si>
  <si>
    <t xml:space="preserve">2400 EAST PARHAM ROAD </t>
  </si>
  <si>
    <t>804-264-9185</t>
  </si>
  <si>
    <t>PARK BALLUCHI</t>
  </si>
  <si>
    <t xml:space="preserve">288 CASTRO ST </t>
  </si>
  <si>
    <t>650-960-1000</t>
  </si>
  <si>
    <t>PARK BRIDGE REHAB AND WELLNESS CENTER</t>
  </si>
  <si>
    <t xml:space="preserve">2070 CLINTON AVENUE </t>
  </si>
  <si>
    <t>510-522-1084</t>
  </si>
  <si>
    <t>PARK FOLSOM</t>
  </si>
  <si>
    <t xml:space="preserve">255 WALES DRIVE </t>
  </si>
  <si>
    <t>916-985-7580</t>
  </si>
  <si>
    <t>PARK HAVEN HOME ASHTABULA</t>
  </si>
  <si>
    <t xml:space="preserve">4533 PARK AVENUE </t>
  </si>
  <si>
    <t>440-992-9441</t>
  </si>
  <si>
    <t>PARK MERCED</t>
  </si>
  <si>
    <t xml:space="preserve">3050 M STREET </t>
  </si>
  <si>
    <t>MERCED</t>
  </si>
  <si>
    <t>209-722-3944</t>
  </si>
  <si>
    <t>PARK MERRIT CARE CENTER</t>
  </si>
  <si>
    <t xml:space="preserve">525 E 18TH AVE </t>
  </si>
  <si>
    <t>510-536-6512</t>
  </si>
  <si>
    <t>PARK PLACE AT WINGHAVEN</t>
  </si>
  <si>
    <t xml:space="preserve">2002 BOARDWALK PLACE DR </t>
  </si>
  <si>
    <t>636-625-2500</t>
  </si>
  <si>
    <t>PARK PLACE OF PLEASANT GROVE</t>
  </si>
  <si>
    <t xml:space="preserve">565 E 300 S </t>
  </si>
  <si>
    <t>801-697-2139</t>
  </si>
  <si>
    <t>PARK POINTE HEALTHCARE &amp; REHAB</t>
  </si>
  <si>
    <t xml:space="preserve">1223 EDGEWATER DR </t>
  </si>
  <si>
    <t>815-416-6216</t>
  </si>
  <si>
    <t xml:space="preserve">55 10TH STREET SE </t>
  </si>
  <si>
    <t>507-553-3115</t>
  </si>
  <si>
    <t>PARK VIEW NURSING &amp; REHABILITATION</t>
  </si>
  <si>
    <t xml:space="preserve">175 HATTON STREET </t>
  </si>
  <si>
    <t>757-399-1321</t>
  </si>
  <si>
    <t>PARK VILLA MARION</t>
  </si>
  <si>
    <t xml:space="preserve">221 N WASHINGTON STREET </t>
  </si>
  <si>
    <t>765-664-4573</t>
  </si>
  <si>
    <t>PARK VILLAGE</t>
  </si>
  <si>
    <t xml:space="preserve">207 E PARKERVILLE ROAD </t>
  </si>
  <si>
    <t>972-230-1000</t>
  </si>
  <si>
    <t>PARK VILLAGE HEALTH CARE</t>
  </si>
  <si>
    <t xml:space="preserve">1525 CRATER AVENUE </t>
  </si>
  <si>
    <t>330-364-4436</t>
  </si>
  <si>
    <t>PARK VILLAGE HEALTH CARE- NORTH AL</t>
  </si>
  <si>
    <t xml:space="preserve">1529 CRATER AVENUE </t>
  </si>
  <si>
    <t>PARK VILLAGE HEALTH CARE SOUTH AL</t>
  </si>
  <si>
    <t xml:space="preserve">1511 CRATER AVENUE </t>
  </si>
  <si>
    <t>PARK VILLAGE SOUTHSIDE</t>
  </si>
  <si>
    <t xml:space="preserve">1019 OLD TOWN VALLEY ROAD </t>
  </si>
  <si>
    <t>NEW PHILADELPHIA</t>
  </si>
  <si>
    <t>PARK VISALIA</t>
  </si>
  <si>
    <t xml:space="preserve">3939 W WALNUT AVE </t>
  </si>
  <si>
    <t>559-625-3388</t>
  </si>
  <si>
    <t>PARKCLIFFE ALZHEIMER'S COMMUNITY</t>
  </si>
  <si>
    <t xml:space="preserve">3055 EAST PLAZA BLVD </t>
  </si>
  <si>
    <t>419-698-3822</t>
  </si>
  <si>
    <t xml:space="preserve">4226 PARKCLIFFE LANE </t>
  </si>
  <si>
    <t>419-381-9447</t>
  </si>
  <si>
    <t>PARKER OAKS SENIOR LIVING</t>
  </si>
  <si>
    <t xml:space="preserve">211 6TH STREET NW </t>
  </si>
  <si>
    <t>WINNEBAGO</t>
  </si>
  <si>
    <t>507-893-3171</t>
  </si>
  <si>
    <t>PARKS PLACE</t>
  </si>
  <si>
    <t xml:space="preserve">7075 OLD DECATUR ROAD </t>
  </si>
  <si>
    <t>217-629-2009</t>
  </si>
  <si>
    <t>PARKS SENIOR CENTER</t>
  </si>
  <si>
    <t xml:space="preserve">HIGHWAY 28 E </t>
  </si>
  <si>
    <t>PARKS</t>
  </si>
  <si>
    <t>479-577-2612</t>
  </si>
  <si>
    <t xml:space="preserve">507 N MAIN </t>
  </si>
  <si>
    <t>402-924-3601</t>
  </si>
  <si>
    <t>PARKSIDE RETIREMENT COMMUNITY</t>
  </si>
  <si>
    <t xml:space="preserve">2902 I STREET NE </t>
  </si>
  <si>
    <t>253-939-1332</t>
  </si>
  <si>
    <t>PARKTON PLACE</t>
  </si>
  <si>
    <t xml:space="preserve">1165 W. PARKTON TOBERMONY RD </t>
  </si>
  <si>
    <t>PARKTON</t>
  </si>
  <si>
    <t>910-858-3826</t>
  </si>
  <si>
    <t>PARKVIEW CHRISTIAN ESTATES</t>
  </si>
  <si>
    <t xml:space="preserve">3112 NAPER DRIVE </t>
  </si>
  <si>
    <t>209-521-0860</t>
  </si>
  <si>
    <t>PARKVIEW JULIAN CONVALESCENT</t>
  </si>
  <si>
    <t xml:space="preserve">1801 JULIAN AVE </t>
  </si>
  <si>
    <t>661-831-9150</t>
  </si>
  <si>
    <t>PARKVIEW POINTE SENIOR LIVING</t>
  </si>
  <si>
    <t xml:space="preserve">721 SW 2ND </t>
  </si>
  <si>
    <t>LAVERNE</t>
  </si>
  <si>
    <t>580-921-7575</t>
  </si>
  <si>
    <t>PARKVIEW RETIREMENT VILLAGE</t>
  </si>
  <si>
    <t xml:space="preserve">1801 WICKER STREET </t>
  </si>
  <si>
    <t>919-774-4322</t>
  </si>
  <si>
    <t>PARKWAY SURGERY CENTER</t>
  </si>
  <si>
    <t xml:space="preserve">17 WESTERN MARYLAND PKWY SUITE 102 </t>
  </si>
  <si>
    <t>240-420-0192</t>
  </si>
  <si>
    <t>PARKWOOD PLACE HEALTHCARE CENTER</t>
  </si>
  <si>
    <t xml:space="preserve">300 N BYNUM </t>
  </si>
  <si>
    <t>PARMA LIVING CENTER</t>
  </si>
  <si>
    <t xml:space="preserve">401 N 8TH STREET </t>
  </si>
  <si>
    <t>HOMEDALE</t>
  </si>
  <si>
    <t>208-722-5496</t>
  </si>
  <si>
    <t>PARMA PIZZA</t>
  </si>
  <si>
    <t xml:space="preserve">401 BLACK RIVER BLVD </t>
  </si>
  <si>
    <t>315-371-2010</t>
  </si>
  <si>
    <t>PARSONS CHILD AND FAMILY CENTER</t>
  </si>
  <si>
    <t xml:space="preserve">60 ACADEMY ROAD </t>
  </si>
  <si>
    <t>518-426-2715</t>
  </si>
  <si>
    <t>PASADENA HIGHLANDS</t>
  </si>
  <si>
    <t xml:space="preserve">1575 E WASHINGTON BLVD </t>
  </si>
  <si>
    <t>626-791-1981</t>
  </si>
  <si>
    <t>PASEO VILLAGE</t>
  </si>
  <si>
    <t xml:space="preserve">10420 N 89TH AVE </t>
  </si>
  <si>
    <t>PATHWAY HOUSE</t>
  </si>
  <si>
    <t xml:space="preserve">102 S. 11TH STREET </t>
  </si>
  <si>
    <t>408-998-5191</t>
  </si>
  <si>
    <t>PAUL SPRINGS RETIREMENT COMMUNITY</t>
  </si>
  <si>
    <t xml:space="preserve">716 FORT HUNT ROAD </t>
  </si>
  <si>
    <t>703-768-0234</t>
  </si>
  <si>
    <t>PEACE HAVEN</t>
  </si>
  <si>
    <t xml:space="preserve">12630 ROTT RD </t>
  </si>
  <si>
    <t>314-965-3833</t>
  </si>
  <si>
    <t>PEACE VILLAGE</t>
  </si>
  <si>
    <t xml:space="preserve">10300 VILLAGE CIRCLE DRIVE </t>
  </si>
  <si>
    <t>708-361-6091</t>
  </si>
  <si>
    <t xml:space="preserve">1350 SCENIC HWY # 266 </t>
  </si>
  <si>
    <t>PEACH RESIDENTIAL CARE FACILITY</t>
  </si>
  <si>
    <t xml:space="preserve">301 WATTS STREET </t>
  </si>
  <si>
    <t>PARK HILLS</t>
  </si>
  <si>
    <t>573-431-4874</t>
  </si>
  <si>
    <t>PEACHTREE CENTER</t>
  </si>
  <si>
    <t xml:space="preserve">1437 N LIMESTONE RD </t>
  </si>
  <si>
    <t>GAFFNEY</t>
  </si>
  <si>
    <t>864-487-2717</t>
  </si>
  <si>
    <t>PEAK PLASTIC SURGERY</t>
  </si>
  <si>
    <t xml:space="preserve">1055 N 300 W SUITE 303 </t>
  </si>
  <si>
    <t>801-702-9191</t>
  </si>
  <si>
    <t>PEAK SENIOR SERVICES LLC</t>
  </si>
  <si>
    <t xml:space="preserve">PO BOX 168 </t>
  </si>
  <si>
    <t>717-659-4767</t>
  </si>
  <si>
    <t>PEAKS CARE CENTER</t>
  </si>
  <si>
    <t xml:space="preserve">1440 COFFMAN STREET </t>
  </si>
  <si>
    <t>303-776-2814</t>
  </si>
  <si>
    <t>PEDEN</t>
  </si>
  <si>
    <t xml:space="preserve">600 N. SAN JACINTO ST </t>
  </si>
  <si>
    <t>PELHAM MANOR TOLEDO</t>
  </si>
  <si>
    <t xml:space="preserve">2700 PELHAM ROAD </t>
  </si>
  <si>
    <t>419-537-1515</t>
  </si>
  <si>
    <t>PELICAN HEALTH AT ASHEVILLE</t>
  </si>
  <si>
    <t xml:space="preserve">1984 US-70 </t>
  </si>
  <si>
    <t>PELICAN HEALTH HENDERSON</t>
  </si>
  <si>
    <t xml:space="preserve">280 SOUTH BECKFORD DRIVE </t>
  </si>
  <si>
    <t>252-438-6141</t>
  </si>
  <si>
    <t>PELICAN HEALTH VIRGINIA BEACH</t>
  </si>
  <si>
    <t xml:space="preserve">5580 DANIEL SMITH ROAD </t>
  </si>
  <si>
    <t>757-499-7029</t>
  </si>
  <si>
    <t>PENDER ADULT SERVICES</t>
  </si>
  <si>
    <t xml:space="preserve">901 S WALKER STREET </t>
  </si>
  <si>
    <t>910-259-9119</t>
  </si>
  <si>
    <t>PENIEL BIBLE CAMP</t>
  </si>
  <si>
    <t xml:space="preserve">3260 STATE 314 </t>
  </si>
  <si>
    <t>614-891-2031</t>
  </si>
  <si>
    <t>PENINSULA CANCER INSTITUTE-WSB</t>
  </si>
  <si>
    <t xml:space="preserve">120 KINGS WAY STE 3100 </t>
  </si>
  <si>
    <t>757-345-5724</t>
  </si>
  <si>
    <t>PENINSULA REFLECTIONS</t>
  </si>
  <si>
    <t xml:space="preserve">205 COLLINS AVENUE </t>
  </si>
  <si>
    <t>COLMA</t>
  </si>
  <si>
    <t>650-731-4670</t>
  </si>
  <si>
    <t>PENINSULA REGIONAL MEDICAL CENTER</t>
  </si>
  <si>
    <t xml:space="preserve">100 E CARROLL ST </t>
  </si>
  <si>
    <t>410-543-4725</t>
  </si>
  <si>
    <t>PENNYBYRN</t>
  </si>
  <si>
    <t xml:space="preserve">109 PENNY ROAD </t>
  </si>
  <si>
    <t>HIGH POINT</t>
  </si>
  <si>
    <t>336-821-4000</t>
  </si>
  <si>
    <t>PEPPERCORN GRILLE</t>
  </si>
  <si>
    <t xml:space="preserve">553 PINE KNOT AVENUE </t>
  </si>
  <si>
    <t>909-866-5405</t>
  </si>
  <si>
    <t>PERRY COMMUNITY HOSPITAL</t>
  </si>
  <si>
    <t xml:space="preserve">2718 SQUIRREL HOLLOW DRIVE </t>
  </si>
  <si>
    <t>931-589-2121</t>
  </si>
  <si>
    <t>PERRY COUNTY MEMORIAL HOSPITAL</t>
  </si>
  <si>
    <t xml:space="preserve">434 N WEST STREET </t>
  </si>
  <si>
    <t>573-547-2536</t>
  </si>
  <si>
    <t>PERRYOAKS MANOR</t>
  </si>
  <si>
    <t xml:space="preserve">409 NORTH WEST STREET </t>
  </si>
  <si>
    <t>573-547-1011</t>
  </si>
  <si>
    <t>PERRYVILLE SENIOR ADULT CENTER</t>
  </si>
  <si>
    <t xml:space="preserve">200 MAIN STREEGT </t>
  </si>
  <si>
    <t>501-889-5587</t>
  </si>
  <si>
    <t>PERSONAL TOUCH RETIREMENT</t>
  </si>
  <si>
    <t xml:space="preserve">323 E LINCOLN WAY </t>
  </si>
  <si>
    <t>330-424-4583</t>
  </si>
  <si>
    <t>PERSONALLY DELIVERED</t>
  </si>
  <si>
    <t xml:space="preserve">6898 APOLLO ROAD </t>
  </si>
  <si>
    <t>WEST LINN</t>
  </si>
  <si>
    <t>520-296-2347</t>
  </si>
  <si>
    <t>PERSONALLY DELIVERED LLC</t>
  </si>
  <si>
    <t xml:space="preserve">9601 E RAND PLACE </t>
  </si>
  <si>
    <t>PETERS CREEK RETIREMENT COMMUNITY</t>
  </si>
  <si>
    <t xml:space="preserve">14431 REDMOND WAY </t>
  </si>
  <si>
    <t xml:space="preserve">REDMOND </t>
  </si>
  <si>
    <t>425-869-2273</t>
  </si>
  <si>
    <t>PETERSBURG HOME FOR LADIES</t>
  </si>
  <si>
    <t xml:space="preserve">311 SOUTH JEFFERSON STREET </t>
  </si>
  <si>
    <t>804-861-0660</t>
  </si>
  <si>
    <t>PHCA</t>
  </si>
  <si>
    <t xml:space="preserve">315 N SECOND ST </t>
  </si>
  <si>
    <t>717-221-1800</t>
  </si>
  <si>
    <t>PHEASANT RIDGE SENIOR LIVING</t>
  </si>
  <si>
    <t xml:space="preserve">4435 PHEASANT RIDGE ROAD SW </t>
  </si>
  <si>
    <t>540-725-1120</t>
  </si>
  <si>
    <t>PHEASANT VIEW ASSISTED LIVING</t>
  </si>
  <si>
    <t xml:space="preserve">1242 E. PHEASANT VIEW DRIVE </t>
  </si>
  <si>
    <t>801-866-5009</t>
  </si>
  <si>
    <t>PHENIX CITY HEALTH CARE</t>
  </si>
  <si>
    <t xml:space="preserve">3900 LAKEWOOD DRIVE </t>
  </si>
  <si>
    <t>PHENIX CITY</t>
  </si>
  <si>
    <t>334-298-8247</t>
  </si>
  <si>
    <t>PHI GAMMA DELTA (AUBURN UNIV)</t>
  </si>
  <si>
    <t xml:space="preserve">275 S COLLEGE ST </t>
  </si>
  <si>
    <t>334-821-1848</t>
  </si>
  <si>
    <t>PHI GAMMA DELTA (UNC CHAPEL HILL)</t>
  </si>
  <si>
    <t xml:space="preserve">108 W CAMERON AVE </t>
  </si>
  <si>
    <t>919-960-7921</t>
  </si>
  <si>
    <t>PHI MU SORORITY (UNC CHAPEL HILL)</t>
  </si>
  <si>
    <t xml:space="preserve">211 HENDERSON ST </t>
  </si>
  <si>
    <t>919-969-1503</t>
  </si>
  <si>
    <t>PHILADELPHIA PROTESTANT HOME</t>
  </si>
  <si>
    <t xml:space="preserve">6500 TABOR ROAD </t>
  </si>
  <si>
    <t>215-697-8211</t>
  </si>
  <si>
    <t>PHILADELPHIA SENIOR CENTER</t>
  </si>
  <si>
    <t xml:space="preserve">509 SOUTH BROAD STREET </t>
  </si>
  <si>
    <t>215-546-5879</t>
  </si>
  <si>
    <t>PHOENIX ACADEMY OF AUSTIN</t>
  </si>
  <si>
    <t xml:space="preserve">400 WEST LIVE OAK </t>
  </si>
  <si>
    <t>512-440-0613</t>
  </si>
  <si>
    <t>PHOENIX ACADEMY OF DALLAS</t>
  </si>
  <si>
    <t>214-296-0394</t>
  </si>
  <si>
    <t>PHOENIX HOUSE</t>
  </si>
  <si>
    <t xml:space="preserve">521 N. QUINCY STREET </t>
  </si>
  <si>
    <t>844-319-0252</t>
  </si>
  <si>
    <t>PHOENIX HOUSE - DAY TREATMENT</t>
  </si>
  <si>
    <t xml:space="preserve">311 STATE STREET </t>
  </si>
  <si>
    <t>413-733-5469</t>
  </si>
  <si>
    <t>PHOENIX HOUSE - JAY ST.</t>
  </si>
  <si>
    <t xml:space="preserve">50 JAY STREET </t>
  </si>
  <si>
    <t>631-471-5666</t>
  </si>
  <si>
    <t>PHOENIX HOUSE - LIC</t>
  </si>
  <si>
    <t xml:space="preserve">34-25 VERNON BLVD </t>
  </si>
  <si>
    <t>LONG ISLAND CITY</t>
  </si>
  <si>
    <t>PHOENIX HOUSE - RONKONKOMA WOMENS</t>
  </si>
  <si>
    <t xml:space="preserve">161 LAKE SHORE ROAD </t>
  </si>
  <si>
    <t>LAKE RONKONKOMA</t>
  </si>
  <si>
    <t>631-537-2891</t>
  </si>
  <si>
    <t>PHOENIX HOUSE - WAINSCOTT</t>
  </si>
  <si>
    <t xml:space="preserve">95 INDUSTRIAL ROAD </t>
  </si>
  <si>
    <t>WAINSCOTT</t>
  </si>
  <si>
    <t>PHOENIX HOUSE ADOLESCENT COUNSELING CTR.</t>
  </si>
  <si>
    <t xml:space="preserve">200 NORTH GLEBE ROAD SUITE 104 </t>
  </si>
  <si>
    <t>PHOENIX HOUSE BERKSHIRE COUNTY COMMUNITY CORRECTIONS CENTER</t>
  </si>
  <si>
    <t xml:space="preserve">163 FOURTH STREET </t>
  </si>
  <si>
    <t>413-358-4321</t>
  </si>
  <si>
    <t>PHOENIX HOUSE BRANDON ADOLESCENT UDS</t>
  </si>
  <si>
    <t xml:space="preserve">510 VONDERBURG DRIVE SUITE 301 </t>
  </si>
  <si>
    <t>813-881-1000</t>
  </si>
  <si>
    <t>PHOENIX HOUSE BRENTWOOD COMMUNITY RESIDENTIAL SERVICES</t>
  </si>
  <si>
    <t xml:space="preserve">998 CROOKED HILL ROAD BUILDING 5 </t>
  </si>
  <si>
    <t>631-306-5875</t>
  </si>
  <si>
    <t>PHOENIX HOUSE CLINICAL STABILIZATION SERVICES</t>
  </si>
  <si>
    <t xml:space="preserve">43 OLD COLONY AVENUE </t>
  </si>
  <si>
    <t>617-934-1136</t>
  </si>
  <si>
    <t>PHOENIX HOUSE CROSSROADS MENTAL HEALTH SERVICES</t>
  </si>
  <si>
    <t xml:space="preserve">17824 QUALITY ROAD </t>
  </si>
  <si>
    <t>661-391-2220</t>
  </si>
  <si>
    <t>PHOENIX HOUSE DORCHESTER CENTER</t>
  </si>
  <si>
    <t xml:space="preserve">90 CUSHING AVENUE </t>
  </si>
  <si>
    <t>DORCHESTER</t>
  </si>
  <si>
    <t>617-379-3300</t>
  </si>
  <si>
    <t>PHOENIX HOUSE FAMILY INTERVENTION</t>
  </si>
  <si>
    <t xml:space="preserve">15 MULBERRY STREET </t>
  </si>
  <si>
    <t>413-739-2440</t>
  </si>
  <si>
    <t>PHOENIX HOUSE HAUPPAUGE RESIDENTIAL SERVICES</t>
  </si>
  <si>
    <t xml:space="preserve">220 VETERANS HIGHWAY </t>
  </si>
  <si>
    <t>HAUPPAUGE</t>
  </si>
  <si>
    <t>PHOENIX HOUSE IOP DRUG COURT</t>
  </si>
  <si>
    <t xml:space="preserve">12 KINGSBURY STREET </t>
  </si>
  <si>
    <t>PHOENIX HOUSE LIC ( QUEENS RESIDENTIAL SERVICES )</t>
  </si>
  <si>
    <t xml:space="preserve">34-25 VERNON BOULEVARD </t>
  </si>
  <si>
    <t>PHOENIX HOUSE MARYLAND COUNSELING CENTER</t>
  </si>
  <si>
    <t xml:space="preserve">514 N. CRAIN HIGHWAY </t>
  </si>
  <si>
    <t>888-671-9392</t>
  </si>
  <si>
    <t>PHOENIX HOUSE ORANGE COUNTY CHILDREN'S SERVICES</t>
  </si>
  <si>
    <t xml:space="preserve">1207 EAST FRUIT STREET </t>
  </si>
  <si>
    <t>844-298-6166</t>
  </si>
  <si>
    <t>PHOENIX HOUSE SAN FERNANDO VALLEY OUTPATIENT SERVICES MH</t>
  </si>
  <si>
    <t xml:space="preserve">11600 ELDRIDGE AVENUE </t>
  </si>
  <si>
    <t>LAKE VIEW TERRACE</t>
  </si>
  <si>
    <t>818-686-3000</t>
  </si>
  <si>
    <t>PHOENIX HOUSE SECURE RESIDENTIAL TREATMENT PROGRAM (SRTP)</t>
  </si>
  <si>
    <t xml:space="preserve">1901 E STREET SE </t>
  </si>
  <si>
    <t>PHOENIX HOUSE SPRINGFIELD RESIDENTIAL SERVICES</t>
  </si>
  <si>
    <t xml:space="preserve">240-242 CENTRAL STREET </t>
  </si>
  <si>
    <t>413-746-1207</t>
  </si>
  <si>
    <t>PHOENIX HOUSE VENICE OUTPATIENT CENTER</t>
  </si>
  <si>
    <t xml:space="preserve">503 OCEAN FRONT WALK </t>
  </si>
  <si>
    <t>310-392-3070</t>
  </si>
  <si>
    <t>PHOENIX HOUSE-FAMILES SHELTER</t>
  </si>
  <si>
    <t xml:space="preserve">46 JONES AVE </t>
  </si>
  <si>
    <t>855-587-9448</t>
  </si>
  <si>
    <t>PHOENIX HOUSE-OTTMAR WOMEN</t>
  </si>
  <si>
    <t xml:space="preserve">205 WATERMAN ST. </t>
  </si>
  <si>
    <t>PHOENIX HOUSES OF FLORIDA PROBATION AND RESTITUTION CENTER</t>
  </si>
  <si>
    <t xml:space="preserve">15681 N. US HWY. 301 </t>
  </si>
  <si>
    <t>CITRA</t>
  </si>
  <si>
    <t>352-595-5000</t>
  </si>
  <si>
    <t>PHOENIX MOUNTAIN POST ACUTE</t>
  </si>
  <si>
    <t xml:space="preserve">13232 N TATUM BLVD </t>
  </si>
  <si>
    <t>602-996-5200</t>
  </si>
  <si>
    <t>PI BETA PHI (UNC CHAPEL HILL)</t>
  </si>
  <si>
    <t xml:space="preserve">108 HILLSBOROUGH STREET </t>
  </si>
  <si>
    <t>919-967-1286</t>
  </si>
  <si>
    <t>PI BETA PHI SORORITY (UNIV OF AL)</t>
  </si>
  <si>
    <t xml:space="preserve">847 MAGNOLIA DRIVE </t>
  </si>
  <si>
    <t>205-348-2682</t>
  </si>
  <si>
    <t>PI BETA PHI SORORITY (UNIV OF TX)</t>
  </si>
  <si>
    <t>512-477-3579</t>
  </si>
  <si>
    <t>PI BETA PHI SORORITY (UW)</t>
  </si>
  <si>
    <t xml:space="preserve">4548 17TH AVE NE </t>
  </si>
  <si>
    <t>206-522-4059</t>
  </si>
  <si>
    <t>PI KAPPA ALPHA UPSILON (AUBURN UNIV)</t>
  </si>
  <si>
    <t xml:space="preserve">840 W MAGNOLIA AVE </t>
  </si>
  <si>
    <t xml:space="preserve">AUBURN </t>
  </si>
  <si>
    <t>404-229-5511</t>
  </si>
  <si>
    <t>PICCADILLY CAFETERIA - CHESAPEAKE</t>
  </si>
  <si>
    <t xml:space="preserve">4200 PORTSMOUTH BLVD </t>
  </si>
  <si>
    <t>757-465-5661</t>
  </si>
  <si>
    <t>PICCADILLY CAFETERIA - NEWMARKET MALL</t>
  </si>
  <si>
    <t xml:space="preserve">111 NEW MARKET MALL NORTH </t>
  </si>
  <si>
    <t>757-826-4975</t>
  </si>
  <si>
    <t>PICCADILLY CAFETERIA - NORTH MILITARY HWY</t>
  </si>
  <si>
    <t xml:space="preserve">530 NORTH MILITARY HWY </t>
  </si>
  <si>
    <t>757-461-2477</t>
  </si>
  <si>
    <t>PICKAWAY COUNTY SHERIFF DEPARTMENT</t>
  </si>
  <si>
    <t xml:space="preserve">600 ISLAND ROAD </t>
  </si>
  <si>
    <t>740-474-6093</t>
  </si>
  <si>
    <t>PICKERSGILL RETIREMENT COMMUNITY</t>
  </si>
  <si>
    <t xml:space="preserve">615 CHESTNUT AVENUE </t>
  </si>
  <si>
    <t>410-825-7423</t>
  </si>
  <si>
    <t>PICKLE BOAT GRILL</t>
  </si>
  <si>
    <t xml:space="preserve">127 NORTH STREET </t>
  </si>
  <si>
    <t>315-672-7109</t>
  </si>
  <si>
    <t>PIE-N-BURGER PASADENA</t>
  </si>
  <si>
    <t xml:space="preserve">913 E CALIFORNIA </t>
  </si>
  <si>
    <t>HPSI:FAST FOOD</t>
  </si>
  <si>
    <t>626-795-1123</t>
  </si>
  <si>
    <t>PIGGY PATS BBQ</t>
  </si>
  <si>
    <t xml:space="preserve">3955 EDGEBROOK PLACE </t>
  </si>
  <si>
    <t>PILGRAM HILLS CAMP</t>
  </si>
  <si>
    <t xml:space="preserve">33833 TR 20 </t>
  </si>
  <si>
    <t>740-599-6314</t>
  </si>
  <si>
    <t>PILGRIM PLACE</t>
  </si>
  <si>
    <t xml:space="preserve">698 AVERY </t>
  </si>
  <si>
    <t>909-399-5531</t>
  </si>
  <si>
    <t>PILGRIM PLACE HEALTH SERVICES CENTER</t>
  </si>
  <si>
    <t xml:space="preserve">721 HARRISON AVENUE </t>
  </si>
  <si>
    <t>909-399-5523</t>
  </si>
  <si>
    <t>PILLAR OF CEDAR VALLEY</t>
  </si>
  <si>
    <t xml:space="preserve">1410 W DUNKERTON ROAD </t>
  </si>
  <si>
    <t>319-291-2509</t>
  </si>
  <si>
    <t>PILLARS OF LAUREL</t>
  </si>
  <si>
    <t>601-649-6660</t>
  </si>
  <si>
    <t>PILL-TIME</t>
  </si>
  <si>
    <t xml:space="preserve">100 WEST THIRD STREET </t>
  </si>
  <si>
    <t>336-243-7609</t>
  </si>
  <si>
    <t>PINE ACRES REHABILITATION AND CARE CENTER</t>
  </si>
  <si>
    <t xml:space="preserve">1501 OFFICE PARK ROAD </t>
  </si>
  <si>
    <t>515-223-1223</t>
  </si>
  <si>
    <t>PINE BLUFF VILLAGE</t>
  </si>
  <si>
    <t xml:space="preserve">1514 RIVERSIDE DRIVE </t>
  </si>
  <si>
    <t>410-749-0290</t>
  </si>
  <si>
    <t>PINE MEADOW ADULT HOME</t>
  </si>
  <si>
    <t xml:space="preserve">218 MILL ROAD </t>
  </si>
  <si>
    <t>540-459-4480</t>
  </si>
  <si>
    <t>PINE TREE NURSING CENTER</t>
  </si>
  <si>
    <t xml:space="preserve">2711 PINETREE ROAD </t>
  </si>
  <si>
    <t>903-759-3994</t>
  </si>
  <si>
    <t>PINE VIEW CONTINUOUS CARE</t>
  </si>
  <si>
    <t xml:space="preserve">P.O. BOX 200 </t>
  </si>
  <si>
    <t>26362-0200</t>
  </si>
  <si>
    <t>304-643-2712</t>
  </si>
  <si>
    <t>PINE VIEW FOREST REST HOME</t>
  </si>
  <si>
    <t xml:space="preserve">P.O. BOX 67 HWY 35 </t>
  </si>
  <si>
    <t>POTECASI</t>
  </si>
  <si>
    <t>252-587-1341</t>
  </si>
  <si>
    <t>PINE VIEW RETIREMENT HOME</t>
  </si>
  <si>
    <t xml:space="preserve">621 ACADEMY LANE </t>
  </si>
  <si>
    <t>434-447-3437</t>
  </si>
  <si>
    <t>PINEBROOK RESIDENTIAL CENTER</t>
  </si>
  <si>
    <t xml:space="preserve">244 HARRISON AVE </t>
  </si>
  <si>
    <t>336-679-8671</t>
  </si>
  <si>
    <t>PINECREST ADULT HOME</t>
  </si>
  <si>
    <t xml:space="preserve">709 RIVER RIDGE ROAD </t>
  </si>
  <si>
    <t>434-685-1620</t>
  </si>
  <si>
    <t>PINECREST CAMP</t>
  </si>
  <si>
    <t xml:space="preserve">1252 HIGHWAY C </t>
  </si>
  <si>
    <t>573-783-3534</t>
  </si>
  <si>
    <t>PINECREST GUEST HOME</t>
  </si>
  <si>
    <t xml:space="preserve">133 PINE STREET </t>
  </si>
  <si>
    <t>HAZLEHURST</t>
  </si>
  <si>
    <t>601-894-1411</t>
  </si>
  <si>
    <t>PINERS NURSING HOSPITAL</t>
  </si>
  <si>
    <t xml:space="preserve">1800 PUEBLO AVENUE </t>
  </si>
  <si>
    <t>707-224-7925</t>
  </si>
  <si>
    <t>PINEVIEW HOSPITAL</t>
  </si>
  <si>
    <t xml:space="preserve">1920 WEST COMMERCE DRIVE </t>
  </si>
  <si>
    <t>LAKESIDE</t>
  </si>
  <si>
    <t>928-368-4110</t>
  </si>
  <si>
    <t>PINEWOOD GLEN RETIREMENT COMMUNITY</t>
  </si>
  <si>
    <t xml:space="preserve">2221 S REAL ROAD </t>
  </si>
  <si>
    <t>661-834-4222</t>
  </si>
  <si>
    <t>PINEWOOD MANOR REST HOME</t>
  </si>
  <si>
    <t xml:space="preserve">240 SOUTH EARLY STATION ROAD </t>
  </si>
  <si>
    <t>AHOSKIE</t>
  </si>
  <si>
    <t>252-332-4681</t>
  </si>
  <si>
    <t>PINEY FOREST HEALTH CARE CENTER</t>
  </si>
  <si>
    <t xml:space="preserve">450 PINEY FOREST ROAD </t>
  </si>
  <si>
    <t>434-799-1565</t>
  </si>
  <si>
    <t>PINK BUD HOME FOR GOLDEN YEARS</t>
  </si>
  <si>
    <t xml:space="preserve">400 S COKER </t>
  </si>
  <si>
    <t>479-996-4125</t>
  </si>
  <si>
    <t>PIONEER COLLEGE CATERERS</t>
  </si>
  <si>
    <t xml:space="preserve">25055 W VALLEY PKWY STE 120 </t>
  </si>
  <si>
    <t>913-432-2811</t>
  </si>
  <si>
    <t>PIONEER COLLEGE CATERERS INC</t>
  </si>
  <si>
    <t xml:space="preserve">W10085 PIKE PLAINS ROAD </t>
  </si>
  <si>
    <t>DUNBAR</t>
  </si>
  <si>
    <t>715-324-6999</t>
  </si>
  <si>
    <t>PIONEER GARDENS CHICAGO</t>
  </si>
  <si>
    <t xml:space="preserve">3800 SOUTH KING DRIVE </t>
  </si>
  <si>
    <t>773-536-0760</t>
  </si>
  <si>
    <t>PIONEER LODGE</t>
  </si>
  <si>
    <t xml:space="preserve">300 W 3RD ST PO BOX 487 </t>
  </si>
  <si>
    <t>620-582-2123</t>
  </si>
  <si>
    <t>PIONEER PLACE MEMORY HAVEN</t>
  </si>
  <si>
    <t xml:space="preserve">11519 24TH AVE E </t>
  </si>
  <si>
    <t>253-539-3410</t>
  </si>
  <si>
    <t>PIONEER PLACE VALE</t>
  </si>
  <si>
    <t xml:space="preserve">1060 D ST W </t>
  </si>
  <si>
    <t>VALE</t>
  </si>
  <si>
    <t>541-473-3131</t>
  </si>
  <si>
    <t>PISGAH VALLEY</t>
  </si>
  <si>
    <t xml:space="preserve">95 HOLCOMBE COVE ROAD </t>
  </si>
  <si>
    <t>828-667-9851</t>
  </si>
  <si>
    <t>PITTER PATTER DAYCARE</t>
  </si>
  <si>
    <t xml:space="preserve">868 S MAIN </t>
  </si>
  <si>
    <t>435-623-8226</t>
  </si>
  <si>
    <t>PITTSBURG SKILLED NURSING CENTER</t>
  </si>
  <si>
    <t xml:space="preserve">535 SCHOOL STREET </t>
  </si>
  <si>
    <t>925-432-3831</t>
  </si>
  <si>
    <t xml:space="preserve">15 FURNACE STREET </t>
  </si>
  <si>
    <t>315-823-1860</t>
  </si>
  <si>
    <t>PIZZA CHALET</t>
  </si>
  <si>
    <t xml:space="preserve">34299 YUCAIPA BLVD </t>
  </si>
  <si>
    <t>909-797-5176</t>
  </si>
  <si>
    <t>PLACE AT SOUTHPARK (CONWAY)</t>
  </si>
  <si>
    <t xml:space="preserve">872 SINGLETON RIDGET </t>
  </si>
  <si>
    <t>843-347-3050</t>
  </si>
  <si>
    <t>PLANTATION MANOR</t>
  </si>
  <si>
    <t xml:space="preserve">220 PARK AVE </t>
  </si>
  <si>
    <t>229-227-0880</t>
  </si>
  <si>
    <t>PLANTATION SUITES &amp; VILLAS</t>
  </si>
  <si>
    <t xml:space="preserve">6000 PLANTATION WAY </t>
  </si>
  <si>
    <t>478-405-6325</t>
  </si>
  <si>
    <t>PLAQUEMINE CARING CENTER</t>
  </si>
  <si>
    <t xml:space="preserve">P.O. BOX 619 </t>
  </si>
  <si>
    <t>PLAQUEMINE</t>
  </si>
  <si>
    <t>225-687-0240</t>
  </si>
  <si>
    <t>PLATINUM HEALTHCARE</t>
  </si>
  <si>
    <t xml:space="preserve">7444 N. LONG AVENUE </t>
  </si>
  <si>
    <t>847-329-4100</t>
  </si>
  <si>
    <t>PLAYCARE</t>
  </si>
  <si>
    <t xml:space="preserve">1416 W GORE BLVD SUITE 5 </t>
  </si>
  <si>
    <t>580-355-0814</t>
  </si>
  <si>
    <t>PLEASANT ACRES NURSING AND REHAB CENTER</t>
  </si>
  <si>
    <t xml:space="preserve">118 PLEASANT ACRES RD </t>
  </si>
  <si>
    <t xml:space="preserve">YORK </t>
  </si>
  <si>
    <t>717-840-7100</t>
  </si>
  <si>
    <t>PLEASANT HILL OUTDOOR CAMP</t>
  </si>
  <si>
    <t xml:space="preserve">4654 PLEASANT HILL ROAD </t>
  </si>
  <si>
    <t>PERRYSVILLE</t>
  </si>
  <si>
    <t>419-938-3715</t>
  </si>
  <si>
    <t>PLEASANT MANOR NURSING AND REHAB</t>
  </si>
  <si>
    <t xml:space="preserve">950 HOMESTEAD </t>
  </si>
  <si>
    <t>ASHDOWN</t>
  </si>
  <si>
    <t>870-898-5001</t>
  </si>
  <si>
    <t>PLEASANT PARK CHILD DEVELOPMENT</t>
  </si>
  <si>
    <t xml:space="preserve">955 GORDON DRIVE </t>
  </si>
  <si>
    <t>217-483-1010</t>
  </si>
  <si>
    <t>PLEASANT POINTE ASSISTED LIVING</t>
  </si>
  <si>
    <t xml:space="preserve">220 THIRD STREET </t>
  </si>
  <si>
    <t>BARBERTON</t>
  </si>
  <si>
    <t>330-848-5028</t>
  </si>
  <si>
    <t>PLEASANT VALLEY HEALTH CARE</t>
  </si>
  <si>
    <t xml:space="preserve">1120 ILLINOIS STREET </t>
  </si>
  <si>
    <t>918-682-5391</t>
  </si>
  <si>
    <t>PLEASANT VIEW CARE CENTER</t>
  </si>
  <si>
    <t xml:space="preserve">200 SHANNON DRIVE </t>
  </si>
  <si>
    <t>712-458-2417</t>
  </si>
  <si>
    <t>PLEASANT VIEW HEALTH CARE CENTER</t>
  </si>
  <si>
    <t xml:space="preserve">401 SNYDER AVENUE </t>
  </si>
  <si>
    <t>216-745-6028</t>
  </si>
  <si>
    <t>PLEASANT VIEW HOME ALBERT CITY</t>
  </si>
  <si>
    <t xml:space="preserve">410 SPRUCE STREET </t>
  </si>
  <si>
    <t>ALBERT CITY</t>
  </si>
  <si>
    <t>712-843-2238</t>
  </si>
  <si>
    <t>PLEASANT VIEW RETIREMENT COMMUNITY</t>
  </si>
  <si>
    <t xml:space="preserve">544 N PENRYN ROAD </t>
  </si>
  <si>
    <t>717-665-2445</t>
  </si>
  <si>
    <t>PLEASANT VIEW TOWN SQUARE</t>
  </si>
  <si>
    <t>PLEASANTVIEW HOME</t>
  </si>
  <si>
    <t xml:space="preserve">811 3RD STREET </t>
  </si>
  <si>
    <t>KALONA</t>
  </si>
  <si>
    <t>319-656-2421</t>
  </si>
  <si>
    <t>PLUMBLEE NURSING CENTER</t>
  </si>
  <si>
    <t xml:space="preserve">#7 MEDICAL PLAZA </t>
  </si>
  <si>
    <t>252-793-2100</t>
  </si>
  <si>
    <t>PLUMCREEK SENIOR ASSISTED LIVING</t>
  </si>
  <si>
    <t xml:space="preserve">891 MARKS ROAD </t>
  </si>
  <si>
    <t>PLUSH MILLS SENIOR LIVING</t>
  </si>
  <si>
    <t xml:space="preserve">501 PLUSH MILL RD </t>
  </si>
  <si>
    <t>610-690-1630</t>
  </si>
  <si>
    <t>POCOLA NURSING CENTER</t>
  </si>
  <si>
    <t xml:space="preserve">200 HOME STREET </t>
  </si>
  <si>
    <t>POCOLA</t>
  </si>
  <si>
    <t>918-436-2228</t>
  </si>
  <si>
    <t>POINT RESTAURANT</t>
  </si>
  <si>
    <t xml:space="preserve">34085 PACIFIC COAST HWY # 201 </t>
  </si>
  <si>
    <t>949-464-5700</t>
  </si>
  <si>
    <t>POMEGRANATE HEALTH SYSTEMS</t>
  </si>
  <si>
    <t xml:space="preserve">765 PIERCE DRIVE </t>
  </si>
  <si>
    <t xml:space="preserve">COLUMBUS </t>
  </si>
  <si>
    <t>614-223-1650</t>
  </si>
  <si>
    <t>PONTE' PALMERO</t>
  </si>
  <si>
    <t xml:space="preserve">3083 POINTE' MORINO DRIVE </t>
  </si>
  <si>
    <t>CAMERON PARK</t>
  </si>
  <si>
    <t>530-677-9100</t>
  </si>
  <si>
    <t>POPLAR BEND GROUP HOME</t>
  </si>
  <si>
    <t xml:space="preserve">10 PERRITT LANE </t>
  </si>
  <si>
    <t>731-558-3805</t>
  </si>
  <si>
    <t>POPLAR SPRINGS HOSPITAL</t>
  </si>
  <si>
    <t xml:space="preserve">350 POPLAR DRIVE </t>
  </si>
  <si>
    <t>804-733-6874</t>
  </si>
  <si>
    <t>PORTLAND CC-CROSSRDS CAFE-SUPPLY</t>
  </si>
  <si>
    <t xml:space="preserve">2305 SE 82ND </t>
  </si>
  <si>
    <t>503-977-4320</t>
  </si>
  <si>
    <t>PORTLAND CC-CROSSROADS CAFE FOOD</t>
  </si>
  <si>
    <t>PORTLAND COMM COLLEGE CASCADE</t>
  </si>
  <si>
    <t xml:space="preserve">703 N KILLINGSWORTH </t>
  </si>
  <si>
    <t>PORTLAND COMM COLLEGE SYLVANIA</t>
  </si>
  <si>
    <t xml:space="preserve">12000 SW 49TH AVEN SYCC RM 257 </t>
  </si>
  <si>
    <t>503-971-4320</t>
  </si>
  <si>
    <t>PORTLAND COMM COLLEGEROCK CREEK</t>
  </si>
  <si>
    <t xml:space="preserve">17705 NW SPRINGVILLE ROAD </t>
  </si>
  <si>
    <t>PORTLAND COMMUNITY COLLEGE</t>
  </si>
  <si>
    <t xml:space="preserve">12000 SW 49TH AVENUE </t>
  </si>
  <si>
    <t>POTOMAC VALLEY REHAB AND HEALTHCARE CENTER</t>
  </si>
  <si>
    <t xml:space="preserve">1235 POTOMAC VALLEY ROAD </t>
  </si>
  <si>
    <t>301-762-0700</t>
  </si>
  <si>
    <t>POYDRAS HOME</t>
  </si>
  <si>
    <t xml:space="preserve">5354 MAGAZINE STREET </t>
  </si>
  <si>
    <t>504-897-0535</t>
  </si>
  <si>
    <t>PRAIRIE ACRES FRIONA</t>
  </si>
  <si>
    <t xml:space="preserve">201 E 15TH STREET </t>
  </si>
  <si>
    <t>FRIONA</t>
  </si>
  <si>
    <t>806-250-3922</t>
  </si>
  <si>
    <t>PRAIRIE GROVE SENIOR CENTER ARK</t>
  </si>
  <si>
    <t xml:space="preserve">475 ED STAGGS DRIVE </t>
  </si>
  <si>
    <t>PRAIRIE GROVE</t>
  </si>
  <si>
    <t>501-846-2794</t>
  </si>
  <si>
    <t>PRAIRIE HOME ASSISTED LIVING</t>
  </si>
  <si>
    <t xml:space="preserve">1463 KENWOOD DRIVE </t>
  </si>
  <si>
    <t>920-969-0526</t>
  </si>
  <si>
    <t>PRAIRIE MANOR NURSING HOME</t>
  </si>
  <si>
    <t xml:space="preserve">1050 EDWIN ELLIOTT DRIVE </t>
  </si>
  <si>
    <t>PINE PRAIRIE</t>
  </si>
  <si>
    <t>337-599-2031</t>
  </si>
  <si>
    <t>PRAIRIE POINTE ALF</t>
  </si>
  <si>
    <t xml:space="preserve">701 WEST OLIVE </t>
  </si>
  <si>
    <t>STROUD</t>
  </si>
  <si>
    <t>918-284-0034</t>
  </si>
  <si>
    <t>PRAIRIE TOWER APARTMENTS</t>
  </si>
  <si>
    <t xml:space="preserve">725 N 25TH ST </t>
  </si>
  <si>
    <t>406-248-3377</t>
  </si>
  <si>
    <t>PRAIRIE VIEW ASSISTED LIVING</t>
  </si>
  <si>
    <t xml:space="preserve">500 E MCNAIR RD </t>
  </si>
  <si>
    <t>866-965-2891</t>
  </si>
  <si>
    <t>PRAIRIE VIEW NURSING HOME</t>
  </si>
  <si>
    <t xml:space="preserve">610 N EASTERN STREET </t>
  </si>
  <si>
    <t>SANBORN</t>
  </si>
  <si>
    <t>712-930-3228</t>
  </si>
  <si>
    <t>PRAIRIE VIEW FAYETTE</t>
  </si>
  <si>
    <t xml:space="preserve">18569 LANE ROAD </t>
  </si>
  <si>
    <t>563-425-3291</t>
  </si>
  <si>
    <t xml:space="preserve">403 NORTH 4TH STREET </t>
  </si>
  <si>
    <t>815-269-2970</t>
  </si>
  <si>
    <t>PREBLE COUNTY COUNCIL ON AGING INC</t>
  </si>
  <si>
    <t xml:space="preserve">800 E ST CLAIR ST </t>
  </si>
  <si>
    <t>937-456-4947</t>
  </si>
  <si>
    <t>PRECIOUS PEOPLE PRESCHOOL</t>
  </si>
  <si>
    <t xml:space="preserve">805 HOME AVENUE </t>
  </si>
  <si>
    <t>LENOX</t>
  </si>
  <si>
    <t>641-333-2564</t>
  </si>
  <si>
    <t>PRECIOUS TIME CDC</t>
  </si>
  <si>
    <t xml:space="preserve">1600 EARLY SETTLERS RD </t>
  </si>
  <si>
    <t>804-272-1062</t>
  </si>
  <si>
    <t>PREFERRED COMMUNITY HOMES</t>
  </si>
  <si>
    <t xml:space="preserve">12553 W EXPLORER DRIVE </t>
  </si>
  <si>
    <t>208-855-9142</t>
  </si>
  <si>
    <t>PREMIER CADBURY AT CHERRY HILL</t>
  </si>
  <si>
    <t xml:space="preserve">2150 ROUTE 38 </t>
  </si>
  <si>
    <t>856-667-4550</t>
  </si>
  <si>
    <t>PREMIER LIVING HEALTH CENTER</t>
  </si>
  <si>
    <t xml:space="preserve">106 CAMERON STREET </t>
  </si>
  <si>
    <t>LAKE WACCAMAW</t>
  </si>
  <si>
    <t>910-646-3132</t>
  </si>
  <si>
    <t>PREMIER PLASTIC SURGERY GROUP</t>
  </si>
  <si>
    <t xml:space="preserve">1762 S STATE STREET #220 </t>
  </si>
  <si>
    <t>801-571-2020</t>
  </si>
  <si>
    <t>PREMIER TRANSITIONAL CARE OF DALLAS</t>
  </si>
  <si>
    <t xml:space="preserve">6825 HARRY HINES BLVD </t>
  </si>
  <si>
    <t>214-350-2060</t>
  </si>
  <si>
    <t>PREP SCHOOL OF BEE CAVE</t>
  </si>
  <si>
    <t xml:space="preserve">14001 BEE CAVE PARKWAY BLDG A </t>
  </si>
  <si>
    <t>BEE CAVE</t>
  </si>
  <si>
    <t>512-790-7737</t>
  </si>
  <si>
    <t>PRESBYTERIAN HOME OF HAWFIELDS</t>
  </si>
  <si>
    <t xml:space="preserve">2502 S NC HWY 119 </t>
  </si>
  <si>
    <t>MEBANE</t>
  </si>
  <si>
    <t>336-578-4702</t>
  </si>
  <si>
    <t>PRESBYTERIAN HOME OF HAWFIELDS-2</t>
  </si>
  <si>
    <t xml:space="preserve">2502 SOUTH NC HWY 119 </t>
  </si>
  <si>
    <t>PRESBYTERIAN HOME INC. (THE)</t>
  </si>
  <si>
    <t xml:space="preserve">201 GREENBORO ROAD </t>
  </si>
  <si>
    <t>336-883-9111</t>
  </si>
  <si>
    <t xml:space="preserve">8600 SKYLINE DR </t>
  </si>
  <si>
    <t>213-355-9001</t>
  </si>
  <si>
    <t>PRESBYTERIAN VILLAGE OF HOMER</t>
  </si>
  <si>
    <t xml:space="preserve">3700 HIGHWAY 79 </t>
  </si>
  <si>
    <t>HOMER</t>
  </si>
  <si>
    <t>318-927-6133</t>
  </si>
  <si>
    <t>PRESTON PLACE ASSISTED LIVING</t>
  </si>
  <si>
    <t xml:space="preserve">2001 N. JOHN B DENNIS HWY </t>
  </si>
  <si>
    <t>423-378-6623</t>
  </si>
  <si>
    <t>PRESTON PLACE II</t>
  </si>
  <si>
    <t xml:space="preserve">2303 N JOHN B DENNIS HWY </t>
  </si>
  <si>
    <t>423-378-4673</t>
  </si>
  <si>
    <t>PRESTON POINTE</t>
  </si>
  <si>
    <t xml:space="preserve">1995 NW CARY PARKWAY </t>
  </si>
  <si>
    <t>919-249-7001</t>
  </si>
  <si>
    <t>PRESTONWOOD COURT</t>
  </si>
  <si>
    <t xml:space="preserve">7001 WEST PLANO PKWY </t>
  </si>
  <si>
    <t>972-306-2200</t>
  </si>
  <si>
    <t>PRICE RITE PHARMACY SAN DIEGO</t>
  </si>
  <si>
    <t xml:space="preserve">7964 ARJONS DRIVE SUITE I </t>
  </si>
  <si>
    <t>858-860-2068</t>
  </si>
  <si>
    <t>PRIDE AND HOPE MINISTRY</t>
  </si>
  <si>
    <t xml:space="preserve">25502 HWY 21 </t>
  </si>
  <si>
    <t>ANGIE</t>
  </si>
  <si>
    <t>504-861-6370</t>
  </si>
  <si>
    <t>PRIMROSE RETIREMENT FINDLAY</t>
  </si>
  <si>
    <t xml:space="preserve">8580 TOWNSHIP ROAD 237 </t>
  </si>
  <si>
    <t>419-422-6200</t>
  </si>
  <si>
    <t>PRIMROSE RETIREMENT MANSFIELD</t>
  </si>
  <si>
    <t xml:space="preserve">1301 MILLSBORO ROAD </t>
  </si>
  <si>
    <t>419-526-2900</t>
  </si>
  <si>
    <t>PRIMROSE SCHOOL AT GOLF VILLAGE</t>
  </si>
  <si>
    <t xml:space="preserve">8771 MORELAND STREET </t>
  </si>
  <si>
    <t>POWELL</t>
  </si>
  <si>
    <t>740-881-5830</t>
  </si>
  <si>
    <t>PRIMROSE SCHOOL AT POLARIS</t>
  </si>
  <si>
    <t xml:space="preserve">561 WESTAR BLVD </t>
  </si>
  <si>
    <t>614-899-2588</t>
  </si>
  <si>
    <t>PRIMROSE SCHOOL AT SUMMERWOOD</t>
  </si>
  <si>
    <t xml:space="preserve">14002 W LAKE HOUSTON PKWY </t>
  </si>
  <si>
    <t>281-454-6000</t>
  </si>
  <si>
    <t>PRIMROSE SCHOOL OF ATASCOCITA</t>
  </si>
  <si>
    <t xml:space="preserve">20027 W. LAKE HOUSTON PKWY </t>
  </si>
  <si>
    <t>281-812-6361</t>
  </si>
  <si>
    <t>PRIMROSE SCHOOL OF AVON</t>
  </si>
  <si>
    <t xml:space="preserve">1115 NAGEL ROAD </t>
  </si>
  <si>
    <t>440-934-2567</t>
  </si>
  <si>
    <t>PRIMROSE SCHOOL OF BARKER CYPRESS</t>
  </si>
  <si>
    <t xml:space="preserve">16555 DUNDEE ROAD </t>
  </si>
  <si>
    <t>281-225-0123</t>
  </si>
  <si>
    <t>PRIMROSE SCHOOL OF BEAVERCREEK</t>
  </si>
  <si>
    <t xml:space="preserve">1380 N FAIRFIELD DRIVE </t>
  </si>
  <si>
    <t>937-429-3800</t>
  </si>
  <si>
    <t>PRIMROSE SCHOOL OF CEDAR PARK WEST</t>
  </si>
  <si>
    <t xml:space="preserve">2021 LITTLE ELM TRAIL </t>
  </si>
  <si>
    <t>512-809-0701</t>
  </si>
  <si>
    <t>PRIMROSE SCHOOL OF CHAMPIONS</t>
  </si>
  <si>
    <t xml:space="preserve">16811 SHADOW VALLEY DR </t>
  </si>
  <si>
    <t>281-655-7444</t>
  </si>
  <si>
    <t>PRIMROSE SCHOOL OF DUBLIN</t>
  </si>
  <si>
    <t xml:space="preserve">6415 POST ROAD </t>
  </si>
  <si>
    <t>614-408-3732</t>
  </si>
  <si>
    <t>PRIMROSE SCHOOL OF FOUR POINTS</t>
  </si>
  <si>
    <t xml:space="preserve">6606 SITIO DEL RIO BLVD </t>
  </si>
  <si>
    <t>512-795-9101</t>
  </si>
  <si>
    <t>PRIMROSE SCHOOL OF HILLARD WEST</t>
  </si>
  <si>
    <t xml:space="preserve">4370 CREEKBEND DRIVE </t>
  </si>
  <si>
    <t>614-527-6973</t>
  </si>
  <si>
    <t>PRIMROSE SCHOOL OF HILLIARD AT MILL RUN</t>
  </si>
  <si>
    <t xml:space="preserve">4230 TRUEMAN BLVD </t>
  </si>
  <si>
    <t>614-777-5535</t>
  </si>
  <si>
    <t>PRIMROSE SCHOOL OF LEGACY</t>
  </si>
  <si>
    <t xml:space="preserve">17440 WRIGHT STREET </t>
  </si>
  <si>
    <t>402-334-3337</t>
  </si>
  <si>
    <t>PRIMROSE SCHOOL OF LEWIS CENTER</t>
  </si>
  <si>
    <t xml:space="preserve">8273 OWENFIELD DRIVE </t>
  </si>
  <si>
    <t>740-548-5808</t>
  </si>
  <si>
    <t>PRIMROSE SCHOOL OF MARYSVILLE</t>
  </si>
  <si>
    <t xml:space="preserve">1600 COBBLESTONE WAY </t>
  </si>
  <si>
    <t>937-642-0262</t>
  </si>
  <si>
    <t>PRIMROSE SCHOOL OF PICKERINGTON</t>
  </si>
  <si>
    <t xml:space="preserve">131 CLINT DRIVE </t>
  </si>
  <si>
    <t>614-575-9930</t>
  </si>
  <si>
    <t>PRIMROSE SCHOOL OF WESTLAKE</t>
  </si>
  <si>
    <t xml:space="preserve">25400 CENTER RIDGE ROAD </t>
  </si>
  <si>
    <t>WESTLAKE</t>
  </si>
  <si>
    <t>440-834-2567</t>
  </si>
  <si>
    <t>PRIMROSE SCHOOL OF WORTHINGTON</t>
  </si>
  <si>
    <t xml:space="preserve">6902 NORTH HIGH ST </t>
  </si>
  <si>
    <t>614-888-5800</t>
  </si>
  <si>
    <t>PRINCESS LODGE</t>
  </si>
  <si>
    <t xml:space="preserve">552 W HACIENDA AVE </t>
  </si>
  <si>
    <t>408-379-9331</t>
  </si>
  <si>
    <t>PRINCETON HEALTH CARE CENTER</t>
  </si>
  <si>
    <t xml:space="preserve">315 COURTHOUSE ROAD </t>
  </si>
  <si>
    <t>304-431-4226</t>
  </si>
  <si>
    <t>PRN DEVICES INC</t>
  </si>
  <si>
    <t>PRO HEALTH CARE/REGENCY SR COMM</t>
  </si>
  <si>
    <t xml:space="preserve">13750 NATIONAL AVENUE </t>
  </si>
  <si>
    <t>262-789-1699</t>
  </si>
  <si>
    <t>PROFESSIONAL BUILDING MAINTENANCE CORP</t>
  </si>
  <si>
    <t xml:space="preserve">56 WELL LANE </t>
  </si>
  <si>
    <t>540-371-1921</t>
  </si>
  <si>
    <t>PROFESSIONAL CARE HEALTH SVCS</t>
  </si>
  <si>
    <t xml:space="preserve">2010 WEST AVENUE K #632 </t>
  </si>
  <si>
    <t>877-648-5437</t>
  </si>
  <si>
    <t>PROGRESSIVE CARE CENTER</t>
  </si>
  <si>
    <t xml:space="preserve">2715 ALBERT L BICKNELL DRIVE </t>
  </si>
  <si>
    <t>318-212-8200</t>
  </si>
  <si>
    <t>PROGRESSIVE RESIDENTIAL SERVICES</t>
  </si>
  <si>
    <t xml:space="preserve">3859 WESTLYN </t>
  </si>
  <si>
    <t>248-807-3606</t>
  </si>
  <si>
    <t>PROPERTY MAINTENANCE SUPPLY INC</t>
  </si>
  <si>
    <t xml:space="preserve">4221 WILSHIRE BLVD SUITE 150 </t>
  </si>
  <si>
    <t>323-272-3825</t>
  </si>
  <si>
    <t>PROPHET PAINTING</t>
  </si>
  <si>
    <t xml:space="preserve">8018 HANKINS INDUSTRIAL PARK </t>
  </si>
  <si>
    <t>TOANO</t>
  </si>
  <si>
    <t>PROSPERITY WELLNESS CTR-TACOMA</t>
  </si>
  <si>
    <t xml:space="preserve">5001 112TH STREET EAST </t>
  </si>
  <si>
    <t>253-863-9667</t>
  </si>
  <si>
    <t>PROVIDENCE CARE CENTER SANDUSKY</t>
  </si>
  <si>
    <t xml:space="preserve">2025 HAYES AVENUE </t>
  </si>
  <si>
    <t>419-627-2273</t>
  </si>
  <si>
    <t>PROVIDENCE HIGH SCHOOL</t>
  </si>
  <si>
    <t xml:space="preserve">707 PROVIDENCE WAY </t>
  </si>
  <si>
    <t>812-945-2538</t>
  </si>
  <si>
    <t>PROVIDENCE PAVILION</t>
  </si>
  <si>
    <t>859-581-9393</t>
  </si>
  <si>
    <t>PROVIDENCE PLACE ASSISTED LIVING</t>
  </si>
  <si>
    <t xml:space="preserve">1109 DOWNS STREET </t>
  </si>
  <si>
    <t>WOODWARD</t>
  </si>
  <si>
    <t>580-256-5900</t>
  </si>
  <si>
    <t>PROVIDENCE PLACE OF DE PAUL</t>
  </si>
  <si>
    <t xml:space="preserve">6403 GRANBY STREET </t>
  </si>
  <si>
    <t>23505-4447</t>
  </si>
  <si>
    <t>757-451-2400</t>
  </si>
  <si>
    <t>PROVIDENCE PLACE OF MARYVIEW</t>
  </si>
  <si>
    <t xml:space="preserve">ONE BON SECOURS WAY </t>
  </si>
  <si>
    <t>23703-4533</t>
  </si>
  <si>
    <t>757-686-9100</t>
  </si>
  <si>
    <t>PROVIDENT MEMORY CARE GROUP</t>
  </si>
  <si>
    <t xml:space="preserve">1810 N WASHINGTON AVENUE </t>
  </si>
  <si>
    <t>512-637-5400</t>
  </si>
  <si>
    <t>PROVO ASSISTED LIVING</t>
  </si>
  <si>
    <t xml:space="preserve">462 S 900 E </t>
  </si>
  <si>
    <t>801-372-5656</t>
  </si>
  <si>
    <t>PRUDEN PLACE</t>
  </si>
  <si>
    <t xml:space="preserve">1535 MARSHALL AVE </t>
  </si>
  <si>
    <t>PRYOR PUBLIC SCHOOL/PLENTY COUPS H.S.</t>
  </si>
  <si>
    <t xml:space="preserve">1 HIGH SCHOOL LANE </t>
  </si>
  <si>
    <t>PRYOR</t>
  </si>
  <si>
    <t>406-825-7329</t>
  </si>
  <si>
    <t>PS FOODWORK CAFE MOT</t>
  </si>
  <si>
    <t xml:space="preserve">9786 W PICO BLVD </t>
  </si>
  <si>
    <t>310-772-2518</t>
  </si>
  <si>
    <t>PSYCHOTHERAPEUTIC SERVICES</t>
  </si>
  <si>
    <t xml:space="preserve">1420 MCKEE RD </t>
  </si>
  <si>
    <t>302-672-7159</t>
  </si>
  <si>
    <t>PULASKI HEALTH CARE CENTER</t>
  </si>
  <si>
    <t xml:space="preserve">2401 LEE HIGHWAY </t>
  </si>
  <si>
    <t>PULASKI</t>
  </si>
  <si>
    <t>540-980-3111</t>
  </si>
  <si>
    <t>PULASKI RETIREMENT CENTER</t>
  </si>
  <si>
    <t>540-980-8535</t>
  </si>
  <si>
    <t>PUNGO DISTRICT HOSPITAL</t>
  </si>
  <si>
    <t xml:space="preserve">202 E. WATER STREET </t>
  </si>
  <si>
    <t>BELHAVEN</t>
  </si>
  <si>
    <t>252-944-2201</t>
  </si>
  <si>
    <t>PUYALLUP NURSING AND REHABILITATION</t>
  </si>
  <si>
    <t xml:space="preserve">516 23RD AVENUE SE </t>
  </si>
  <si>
    <t>PUYALLUP</t>
  </si>
  <si>
    <t>253-845-6631</t>
  </si>
  <si>
    <t>PUYALLUP VALLEY ENHANCED RESIDENTIAL CARE</t>
  </si>
  <si>
    <t xml:space="preserve">723 2ND STREET NW </t>
  </si>
  <si>
    <t>253-845-5398</t>
  </si>
  <si>
    <t>QC II NURSING CARE CENTER</t>
  </si>
  <si>
    <t xml:space="preserve">910 Lia Street </t>
  </si>
  <si>
    <t>PATTERSON</t>
  </si>
  <si>
    <t>504-395-4583</t>
  </si>
  <si>
    <t>QUAIL MEADOW ASSISTED LIVING</t>
  </si>
  <si>
    <t xml:space="preserve">786 E 2100 N </t>
  </si>
  <si>
    <t>NORTH OGDEN</t>
  </si>
  <si>
    <t>801-782-7440</t>
  </si>
  <si>
    <t>QUAIL RIDGE ASSISTED LIVING</t>
  </si>
  <si>
    <t xml:space="preserve">12401 TRAIL OAK DRIVE </t>
  </si>
  <si>
    <t>405-755-5775</t>
  </si>
  <si>
    <t>QUAIL RUN ASSISTED LIVING</t>
  </si>
  <si>
    <t xml:space="preserve">9900 WALTHER BOULEVARD </t>
  </si>
  <si>
    <t>PERRY HALL</t>
  </si>
  <si>
    <t>410-529-9400</t>
  </si>
  <si>
    <t>QUAIL RUN RETIREMENT</t>
  </si>
  <si>
    <t xml:space="preserve">1701 PLAZA WAY </t>
  </si>
  <si>
    <t>WALLA WALLA</t>
  </si>
  <si>
    <t>509-529-2180</t>
  </si>
  <si>
    <t>QUALIFIED PROPERTY MANAGEMENT</t>
  </si>
  <si>
    <t xml:space="preserve">5901 US-195 #7 </t>
  </si>
  <si>
    <t>727-869-9700</t>
  </si>
  <si>
    <t>QUALITY CARE HEALTH CENTER</t>
  </si>
  <si>
    <t>615-444-1836</t>
  </si>
  <si>
    <t>QUALITY CARE RESIDENTIAL HOME OF SC</t>
  </si>
  <si>
    <t xml:space="preserve">107 ETLING AVENUE </t>
  </si>
  <si>
    <t>CHINA GROVE</t>
  </si>
  <si>
    <t>843-863-0204</t>
  </si>
  <si>
    <t>QUALITY INN-FESTUS</t>
  </si>
  <si>
    <t xml:space="preserve">1200 W GANNON DRIVE </t>
  </si>
  <si>
    <t>314-937-0700</t>
  </si>
  <si>
    <t>QUALITY LIVING RESIDENTIAL CARE</t>
  </si>
  <si>
    <t xml:space="preserve">178 SE 4TH STREET </t>
  </si>
  <si>
    <t>918-244-0290</t>
  </si>
  <si>
    <t>QUALITY RESIDENTIAL CARE</t>
  </si>
  <si>
    <t xml:space="preserve">2034 W COLLEGE </t>
  </si>
  <si>
    <t>QUARY MANOR</t>
  </si>
  <si>
    <t xml:space="preserve">699 SOUTH PARK ROAD </t>
  </si>
  <si>
    <t>304-925-4663</t>
  </si>
  <si>
    <t>QUEEN CITY NURSING CENTER</t>
  </si>
  <si>
    <t xml:space="preserve">1201-28th Avenue N. </t>
  </si>
  <si>
    <t>601-483-1467</t>
  </si>
  <si>
    <t>QUINTON MANOR</t>
  </si>
  <si>
    <t xml:space="preserve">1209 WEST MAIN STREET </t>
  </si>
  <si>
    <t>QUINTON</t>
  </si>
  <si>
    <t>918-469-2600</t>
  </si>
  <si>
    <t>RACQUET CLUB OF LAGUNA NIGUEL</t>
  </si>
  <si>
    <t xml:space="preserve">23500 CLUBHOUSE DRIVE </t>
  </si>
  <si>
    <t>LAGUNA NIGUEL</t>
  </si>
  <si>
    <t>949-496-2070</t>
  </si>
  <si>
    <t>RAH WINTHROP MANOR</t>
  </si>
  <si>
    <t xml:space="preserve">2100 IDLEWOOD AVE </t>
  </si>
  <si>
    <t>804-278-6336</t>
  </si>
  <si>
    <t>RAINBOW ACRES</t>
  </si>
  <si>
    <t xml:space="preserve">2120 W RESERVATION LOOP RD </t>
  </si>
  <si>
    <t>928-567-5231</t>
  </si>
  <si>
    <t>RAINBOW TERRACE CARE CENTER</t>
  </si>
  <si>
    <t xml:space="preserve">300 WEST 9TH </t>
  </si>
  <si>
    <t>WELEETKA</t>
  </si>
  <si>
    <t>405-786-2244</t>
  </si>
  <si>
    <t>RAINTREE SENIOR LIVING</t>
  </si>
  <si>
    <t xml:space="preserve">2063 W 1900 S </t>
  </si>
  <si>
    <t>801-860-2626</t>
  </si>
  <si>
    <t>RALEIGH COURT HEALTH CARE CENTER</t>
  </si>
  <si>
    <t xml:space="preserve">1527 GRANDIN ROAD SW </t>
  </si>
  <si>
    <t>540-342-9525</t>
  </si>
  <si>
    <t>RALEIGH REHAB &amp; HEALTH CARE CENTER</t>
  </si>
  <si>
    <t xml:space="preserve">616 WADE AVENUE </t>
  </si>
  <si>
    <t>919-828-6251</t>
  </si>
  <si>
    <t>RALLS NURSING HOME</t>
  </si>
  <si>
    <t xml:space="preserve">1111 AVENUE P </t>
  </si>
  <si>
    <t>RALLS</t>
  </si>
  <si>
    <t>806-253-2596</t>
  </si>
  <si>
    <t>RAMADA BY WYNDHAM SPOKANE AIRPORT</t>
  </si>
  <si>
    <t xml:space="preserve">8909 W AIRPORT DRIVE </t>
  </si>
  <si>
    <t>509-838-5211</t>
  </si>
  <si>
    <t>RAMADA DOWNTOWN SPOKANE</t>
  </si>
  <si>
    <t xml:space="preserve">923 E 3RD AVENUE </t>
  </si>
  <si>
    <t>509-535-9000</t>
  </si>
  <si>
    <t>RAMONA REHABILITATION &amp; POST ACUTE CARE CENTER</t>
  </si>
  <si>
    <t xml:space="preserve">485 W JOHNSTON AVENUE </t>
  </si>
  <si>
    <t>951-652-0011</t>
  </si>
  <si>
    <t>RAMONA SENIOR CENTER</t>
  </si>
  <si>
    <t xml:space="preserve">434 AQUA LANE </t>
  </si>
  <si>
    <t>RAMONA</t>
  </si>
  <si>
    <t>760-789-0440</t>
  </si>
  <si>
    <t>RANCH TERRACE NURSING HOME</t>
  </si>
  <si>
    <t xml:space="preserve">1310 EAST CLEVELAND </t>
  </si>
  <si>
    <t>SAPULPA</t>
  </si>
  <si>
    <t>918-224-2578</t>
  </si>
  <si>
    <t>RANCHO SAN ANTONIO BOYS HOME</t>
  </si>
  <si>
    <t xml:space="preserve">21000 PLUMMER STREET </t>
  </si>
  <si>
    <t>818-882-6400</t>
  </si>
  <si>
    <t>RANCHO VISTA</t>
  </si>
  <si>
    <t xml:space="preserve">760 E BOBIER DRIVE </t>
  </si>
  <si>
    <t>760-941-1480</t>
  </si>
  <si>
    <t>RANCHO WEST</t>
  </si>
  <si>
    <t xml:space="preserve">3686 PACIFIC AVENUE </t>
  </si>
  <si>
    <t>RUBIDOUX</t>
  </si>
  <si>
    <t>951-801-2913</t>
  </si>
  <si>
    <t>RANDALL RESIDENCE OF AUBURN HILLS</t>
  </si>
  <si>
    <t xml:space="preserve">3033 N SQUIRREL RD </t>
  </si>
  <si>
    <t>248-340-9296</t>
  </si>
  <si>
    <t>RANDALL RESIDENCE OF STERLING HEIGHTS</t>
  </si>
  <si>
    <t xml:space="preserve">13400 19 MILE RD </t>
  </si>
  <si>
    <t>586-254-5719</t>
  </si>
  <si>
    <t>RANDOLPH COUNTY CARE CENTER</t>
  </si>
  <si>
    <t xml:space="preserve">312 WEST BELMONT </t>
  </si>
  <si>
    <t>618-443-4351</t>
  </si>
  <si>
    <t>RANDOLPH HILLS NURSING CENTER</t>
  </si>
  <si>
    <t xml:space="preserve">4011 RANDOLPH RD </t>
  </si>
  <si>
    <t>301-933-2500</t>
  </si>
  <si>
    <t>RATLIFF CARE CENTER LLC</t>
  </si>
  <si>
    <t xml:space="preserve">717 N SPRIGG </t>
  </si>
  <si>
    <t>573-335-5810</t>
  </si>
  <si>
    <t>RAVENSWOOD CARE CENTER</t>
  </si>
  <si>
    <t xml:space="preserve">1113 WASHINGTON STREET </t>
  </si>
  <si>
    <t>RAVENSWOOD</t>
  </si>
  <si>
    <t>304-273-9482</t>
  </si>
  <si>
    <t>RAVENSWOOD VILLAGE</t>
  </si>
  <si>
    <t xml:space="preserve">300 SOUTH RITCHIE AVENUE </t>
  </si>
  <si>
    <t>304-273-9385</t>
  </si>
  <si>
    <t>RAYA'S PARADISE INC</t>
  </si>
  <si>
    <t xml:space="preserve">1156 N GARDNER STREET </t>
  </si>
  <si>
    <t>W HOLLYWOOD</t>
  </si>
  <si>
    <t>323-851-2517</t>
  </si>
  <si>
    <t>RAYBURN HEALTHCARE</t>
  </si>
  <si>
    <t xml:space="preserve">144 BULLDOG AVENUE </t>
  </si>
  <si>
    <t>409-381-8505</t>
  </si>
  <si>
    <t>RAYVILLE GUEST HOUSE</t>
  </si>
  <si>
    <t xml:space="preserve">P.O. BOX 875 </t>
  </si>
  <si>
    <t>RAYVILLE</t>
  </si>
  <si>
    <t>318-728-2089</t>
  </si>
  <si>
    <t>RC HOSPICE CARE</t>
  </si>
  <si>
    <t xml:space="preserve">3043 GOLD CANAL DRIVE #220 </t>
  </si>
  <si>
    <t>916-858-1440</t>
  </si>
  <si>
    <t>REBEKAH CHILDRENS SERVICES</t>
  </si>
  <si>
    <t xml:space="preserve">290 LOOF AVENUE </t>
  </si>
  <si>
    <t>GILROY</t>
  </si>
  <si>
    <t>408-846-2153</t>
  </si>
  <si>
    <t>RECOVERY OUTFITTERS - MAIN</t>
  </si>
  <si>
    <t xml:space="preserve">1300 PEACHTREE PKWY </t>
  </si>
  <si>
    <t>866-947-6550</t>
  </si>
  <si>
    <t>RECOVERY OUTFITTERS INC</t>
  </si>
  <si>
    <t xml:space="preserve">564 PEACHTREE PKWY SUITE 107 </t>
  </si>
  <si>
    <t>678-947-6550</t>
  </si>
  <si>
    <t>RECOVERY VILLAGE (THE)</t>
  </si>
  <si>
    <t xml:space="preserve">633 UMATILLA BLVD </t>
  </si>
  <si>
    <t>UMATILLA</t>
  </si>
  <si>
    <t>352-669-8000</t>
  </si>
  <si>
    <t>RED CARPET HEALTH CARE CENTER</t>
  </si>
  <si>
    <t xml:space="preserve">8420 GEORGETOWN ROAD </t>
  </si>
  <si>
    <t>614-439-4401</t>
  </si>
  <si>
    <t>RED CLIFFS ASSISTED LIVING CENTER</t>
  </si>
  <si>
    <t xml:space="preserve">338 SOUTH 400 EAST </t>
  </si>
  <si>
    <t>435-660-1265</t>
  </si>
  <si>
    <t xml:space="preserve">650 E NORTH BEND WAY </t>
  </si>
  <si>
    <t>425-888-7108</t>
  </si>
  <si>
    <t>RED OAK MANOR ASSISTED LIVING</t>
  </si>
  <si>
    <t xml:space="preserve">2920 WILLIAMS RD </t>
  </si>
  <si>
    <t>252-756-2242</t>
  </si>
  <si>
    <t>RED RIVER YOUTH ACADEMY</t>
  </si>
  <si>
    <t xml:space="preserve">3400 DESKIN DRIVE </t>
  </si>
  <si>
    <t>405-701-8530</t>
  </si>
  <si>
    <t>RED SPRINGS ASSISTED LIVING</t>
  </si>
  <si>
    <t xml:space="preserve">1301 E 4TH AVE. PO BOX 588 </t>
  </si>
  <si>
    <t>RED SPRINGS</t>
  </si>
  <si>
    <t>336-307-4729</t>
  </si>
  <si>
    <t>REDDING NORTH SENIOR LIVING</t>
  </si>
  <si>
    <t xml:space="preserve">1520 COLLYER DRIVE </t>
  </si>
  <si>
    <t>530-241-5100</t>
  </si>
  <si>
    <t>REDWOOD CONVALESCENT HOSPITAL</t>
  </si>
  <si>
    <t xml:space="preserve">22103 REDWOOD ROAD </t>
  </si>
  <si>
    <t>510-537-8848</t>
  </si>
  <si>
    <t>REDWOOD PLACE LIVING CENTER</t>
  </si>
  <si>
    <t xml:space="preserve">623 SOUTH ALABAMA </t>
  </si>
  <si>
    <t>REDWOOD YOUTH ACADEMY-YOUTH OPPORTUNITIES</t>
  </si>
  <si>
    <t xml:space="preserve">14692 COUNTY ROAD 199 </t>
  </si>
  <si>
    <t>RAIFORD</t>
  </si>
  <si>
    <t>REEDSBURG AREA MEDICAL CENTER</t>
  </si>
  <si>
    <t xml:space="preserve">2000 N DEWEY AVENUE </t>
  </si>
  <si>
    <t>REEDSBURG</t>
  </si>
  <si>
    <t>608-524-6847</t>
  </si>
  <si>
    <t>REFLECTIONS OF CAROLINA FOREST</t>
  </si>
  <si>
    <t xml:space="preserve">219 MIDDLEBURG DRIVE </t>
  </si>
  <si>
    <t>843-379-1589</t>
  </si>
  <si>
    <t>REFLECTIONS RETIREMENT</t>
  </si>
  <si>
    <t xml:space="preserve">2750 WEST FAIR AVE </t>
  </si>
  <si>
    <t>740-653-1423</t>
  </si>
  <si>
    <t>REGAL PALMS</t>
  </si>
  <si>
    <t xml:space="preserve">300 LAKE AVE </t>
  </si>
  <si>
    <t>727-437-1361</t>
  </si>
  <si>
    <t>REGENCY CARE OF ARLINGTON</t>
  </si>
  <si>
    <t xml:space="preserve">1785 S HAYES STREET </t>
  </si>
  <si>
    <t>703-920-5700</t>
  </si>
  <si>
    <t>REGENCY PACIFIC MANAGEMENT</t>
  </si>
  <si>
    <t>REGENCY COUPEVILLE LLC</t>
  </si>
  <si>
    <t xml:space="preserve">311 NE 3RD STREET </t>
  </si>
  <si>
    <t>COUPEVILLE</t>
  </si>
  <si>
    <t>360-678-2273</t>
  </si>
  <si>
    <t>REGENCY HEALTH CARE CENTER</t>
  </si>
  <si>
    <t xml:space="preserve">112 N. CONSTITUTION DRIVE </t>
  </si>
  <si>
    <t>757-890-0675</t>
  </si>
  <si>
    <t>REGENCY PARK</t>
  </si>
  <si>
    <t xml:space="preserve">910 REGENCY SQUARE </t>
  </si>
  <si>
    <t>772-770-1228</t>
  </si>
  <si>
    <t>REGENCY PARK ASSISTED LIVING</t>
  </si>
  <si>
    <t xml:space="preserve">730 MARYLAND RT. 3 SOUTH </t>
  </si>
  <si>
    <t>GAMBRILLS</t>
  </si>
  <si>
    <t>410-923-1200</t>
  </si>
  <si>
    <t>REGENCY PARK ASSISTED LIVING AND MEMORY CARE</t>
  </si>
  <si>
    <t xml:space="preserve">15000 US HIGHWAY 441 </t>
  </si>
  <si>
    <t>407-516-0956</t>
  </si>
  <si>
    <t>REGINA HEALTH CENTER</t>
  </si>
  <si>
    <t xml:space="preserve">5232 BROADVIEW ROAD </t>
  </si>
  <si>
    <t>330-659-4161</t>
  </si>
  <si>
    <t>REHAB SYSTEMS DEXTER</t>
  </si>
  <si>
    <t xml:space="preserve">423 W BUSINESS 60 </t>
  </si>
  <si>
    <t>573-624-1543</t>
  </si>
  <si>
    <t>RELIANT RX LLC</t>
  </si>
  <si>
    <t xml:space="preserve">601 W RIVERSIDE AVE #1550 </t>
  </si>
  <si>
    <t>509-343-3440</t>
  </si>
  <si>
    <t>RENAISSANCE RANCH - RIVERTON</t>
  </si>
  <si>
    <t xml:space="preserve">2829 W 13800 S </t>
  </si>
  <si>
    <t>801-545-0406</t>
  </si>
  <si>
    <t>RENAISSANCE RANCH WOMEN</t>
  </si>
  <si>
    <t xml:space="preserve">2356 W THUNDERHEAD WAY </t>
  </si>
  <si>
    <t>BLUFFDALE</t>
  </si>
  <si>
    <t>801-446-5356</t>
  </si>
  <si>
    <t>RENAISSANCE RETIREMENT</t>
  </si>
  <si>
    <t xml:space="preserve">DR FRANK PRESSLEY DRIVE </t>
  </si>
  <si>
    <t>864-379-2570</t>
  </si>
  <si>
    <t>RENAISSANCE TERRACE</t>
  </si>
  <si>
    <t xml:space="preserve">215 BEARDEN PLACE </t>
  </si>
  <si>
    <t>865-544-1710</t>
  </si>
  <si>
    <t>RENEW CARE HOME HEALTH</t>
  </si>
  <si>
    <t xml:space="preserve">30020 SCHOENHERR RD STE B </t>
  </si>
  <si>
    <t>586-879-6814</t>
  </si>
  <si>
    <t>RENO VALLEY RETIREMENT</t>
  </si>
  <si>
    <t xml:space="preserve">1155 BEECH ST </t>
  </si>
  <si>
    <t>775-323-1911</t>
  </si>
  <si>
    <t>RESCUE MISSION OF TRENTON</t>
  </si>
  <si>
    <t xml:space="preserve">98 CARROLL ST </t>
  </si>
  <si>
    <t>609-695-1436</t>
  </si>
  <si>
    <t>RESIDENCE AT DEER CREEK</t>
  </si>
  <si>
    <t xml:space="preserve">401 E US 30 </t>
  </si>
  <si>
    <t>SCHENERERVILLE</t>
  </si>
  <si>
    <t>219-864-0700</t>
  </si>
  <si>
    <t>RESIDENCE AT OAK RIDGE</t>
  </si>
  <si>
    <t xml:space="preserve">4750 WHEATON DRIVE </t>
  </si>
  <si>
    <t>970-229-5800</t>
  </si>
  <si>
    <t>RESIDENCE OF CHARDON</t>
  </si>
  <si>
    <t xml:space="preserve">501 CHARDON WINDSOR ROAD </t>
  </si>
  <si>
    <t>440-286-2277</t>
  </si>
  <si>
    <t>REST HAVEN HOME INC</t>
  </si>
  <si>
    <t xml:space="preserve">1424 UNION NE </t>
  </si>
  <si>
    <t>616-363-6819</t>
  </si>
  <si>
    <t>REST HAVEN MANOR</t>
  </si>
  <si>
    <t xml:space="preserve">40 HUNT CLUB BOULEVARD </t>
  </si>
  <si>
    <t>757-829-0000</t>
  </si>
  <si>
    <t>REST HAVEN-ALBION</t>
  </si>
  <si>
    <t xml:space="preserve">120 W MAIN </t>
  </si>
  <si>
    <t>618-445-2815</t>
  </si>
  <si>
    <t>RESTHAVEN LIVING CENTER</t>
  </si>
  <si>
    <t xml:space="preserve">1301 HARRISON STREET </t>
  </si>
  <si>
    <t>BUGALUSA</t>
  </si>
  <si>
    <t>985-732-3909</t>
  </si>
  <si>
    <t>RESTHAVEN RETIREMENT &amp; NURSING HOME</t>
  </si>
  <si>
    <t xml:space="preserve">408 MAPLE AVENUE </t>
  </si>
  <si>
    <t>815-772-4021</t>
  </si>
  <si>
    <t>RESTHAVEN SKILLED REHAB AND HEALTH CARE</t>
  </si>
  <si>
    <t xml:space="preserve">2274 MCDERMOTT POND CREEK RD </t>
  </si>
  <si>
    <t>740-259-2838</t>
  </si>
  <si>
    <t>RETREAT AT CENTER HILL LAKE</t>
  </si>
  <si>
    <t xml:space="preserve">358 RELAX DRIVE </t>
  </si>
  <si>
    <t>615-597-4298</t>
  </si>
  <si>
    <t>REUNION PLAZA HEALTHCARE AND REHAB</t>
  </si>
  <si>
    <t xml:space="preserve">1401 RICE ROAD </t>
  </si>
  <si>
    <t>903-561-6060</t>
  </si>
  <si>
    <t>REVERE COURT OF ARLINGTON</t>
  </si>
  <si>
    <t xml:space="preserve">514 CENTRAL PARK </t>
  </si>
  <si>
    <t>817-419-6700</t>
  </si>
  <si>
    <t>REVERE COURT OF BOLINGBROOK</t>
  </si>
  <si>
    <t xml:space="preserve">351 LILY CACHE LANE </t>
  </si>
  <si>
    <t>BOLINGBROOK</t>
  </si>
  <si>
    <t>630-759-0797</t>
  </si>
  <si>
    <t>REVERE COURT OF CRYSTAL LAKE</t>
  </si>
  <si>
    <t xml:space="preserve">495 ALEXANDRA BLVD </t>
  </si>
  <si>
    <t>815-459-7800</t>
  </si>
  <si>
    <t>REVERE COURT OF ROCKWELL</t>
  </si>
  <si>
    <t xml:space="preserve">225 E RALPH HALL PARKWAY </t>
  </si>
  <si>
    <t>469-402-1883</t>
  </si>
  <si>
    <t>REVERE COURT OF SOUTH BARRINGTON</t>
  </si>
  <si>
    <t xml:space="preserve">215 BARTLETT ROAD </t>
  </si>
  <si>
    <t>SOUTH BARRINGTON</t>
  </si>
  <si>
    <t>847-844-1205</t>
  </si>
  <si>
    <t>REX CONVALESCENT CARE CENTER</t>
  </si>
  <si>
    <t xml:space="preserve">4210 LAKE BOONE TRAIL </t>
  </si>
  <si>
    <t>919-784-6600</t>
  </si>
  <si>
    <t>RHEINLANDER &amp; ASSOCIATES ARCHITECTS</t>
  </si>
  <si>
    <t xml:space="preserve">13625 POND SPRINGS ROAD </t>
  </si>
  <si>
    <t>512-255-8948</t>
  </si>
  <si>
    <t>RHODES ESTATES</t>
  </si>
  <si>
    <t xml:space="preserve">318 RHODES PLACE </t>
  </si>
  <si>
    <t>724-656-8000</t>
  </si>
  <si>
    <t>RHONDA'S PAPERING &amp; PAINTING</t>
  </si>
  <si>
    <t xml:space="preserve">236 HINDERER AVE SW </t>
  </si>
  <si>
    <t>330-837-5681</t>
  </si>
  <si>
    <t>RI OUTPATIENT CENTER-PROVIDENCE</t>
  </si>
  <si>
    <t xml:space="preserve">205 WATERMAN STREET </t>
  </si>
  <si>
    <t>401-421-5255</t>
  </si>
  <si>
    <t>RI OUTPATIENT CENTER-PROVIDENCE WAYLAND</t>
  </si>
  <si>
    <t xml:space="preserve">120 WAYLAND AVENUE </t>
  </si>
  <si>
    <t>RIALTO ASSISTED LIVING</t>
  </si>
  <si>
    <t xml:space="preserve">1441 S RIVERSIDE AVENUE </t>
  </si>
  <si>
    <t>909-877-2340</t>
  </si>
  <si>
    <t>RICE UNIVERSITY</t>
  </si>
  <si>
    <t>RICE UNIVERSITY - BAKER</t>
  </si>
  <si>
    <t>RICE UNIVERSITY - CATERING</t>
  </si>
  <si>
    <t>RICE UNIVERSITY - COFFEE HOUSE</t>
  </si>
  <si>
    <t>RICEVILLE COMMUNITY REST HOME</t>
  </si>
  <si>
    <t xml:space="preserve">915 WOODLAND AVENUE </t>
  </si>
  <si>
    <t>RICEVILLE</t>
  </si>
  <si>
    <t>641-985-2606</t>
  </si>
  <si>
    <t>RICHFIELD RESIDENTIAL HALL</t>
  </si>
  <si>
    <t xml:space="preserve">765 W 1ST AVENUE </t>
  </si>
  <si>
    <t>435-896-6121</t>
  </si>
  <si>
    <t>RICHFIELD RETIREMENT COMMUNITY</t>
  </si>
  <si>
    <t xml:space="preserve">3615 W MAIN ST </t>
  </si>
  <si>
    <t>RICHLAND CARE CENTER</t>
  </si>
  <si>
    <t xml:space="preserve">400 TRI COUNTY LANE </t>
  </si>
  <si>
    <t>314-765-3243</t>
  </si>
  <si>
    <t>RIDDLE VILLAGE</t>
  </si>
  <si>
    <t xml:space="preserve">1048 W BALTIMORE PIKE </t>
  </si>
  <si>
    <t>610-891-3700</t>
  </si>
  <si>
    <t>RIDGECREST HILLS</t>
  </si>
  <si>
    <t xml:space="preserve">1000 RIDGECREST LANE </t>
  </si>
  <si>
    <t>336-786-9100</t>
  </si>
  <si>
    <t>RIDGEFIELD ACADEMY</t>
  </si>
  <si>
    <t xml:space="preserve">223 W MOUNTAIN RD </t>
  </si>
  <si>
    <t>203-894-1800</t>
  </si>
  <si>
    <t>RIDGEVIEW CARE CENTER</t>
  </si>
  <si>
    <t xml:space="preserve">413 RIDGE LANE </t>
  </si>
  <si>
    <t>OBLONG</t>
  </si>
  <si>
    <t>618-592-4228</t>
  </si>
  <si>
    <t>RIDGEVIEW GARDENS OF ST GEORGE</t>
  </si>
  <si>
    <t xml:space="preserve">220 SOUTH 1200 EAST </t>
  </si>
  <si>
    <t>435-656-2700</t>
  </si>
  <si>
    <t>RIDGEVIEW HEALTH SERVICES</t>
  </si>
  <si>
    <t xml:space="preserve">903 11TH AVENUE NE </t>
  </si>
  <si>
    <t>205-221-9111</t>
  </si>
  <si>
    <t>RIDGEVIEW HEALTHCARE AND REHAB CENTER</t>
  </si>
  <si>
    <t xml:space="preserve">200 PENNSYLVANIA AVENUE </t>
  </si>
  <si>
    <t>570-462-1921</t>
  </si>
  <si>
    <t>RIDGEVIEW INSTITUTE</t>
  </si>
  <si>
    <t xml:space="preserve">3995 S COBB DRIVE SE </t>
  </si>
  <si>
    <t>770-434-4568</t>
  </si>
  <si>
    <t>RIDGEVIEW RETIREMENT HOME</t>
  </si>
  <si>
    <t xml:space="preserve">100 RIDGEVIEW ROAD </t>
  </si>
  <si>
    <t>EUREKA SPRINGS</t>
  </si>
  <si>
    <t>501-253-2400</t>
  </si>
  <si>
    <t>RIDGEWAY MANOR NURSING HOME</t>
  </si>
  <si>
    <t xml:space="preserve">5743 EDMONDSON AVENUE </t>
  </si>
  <si>
    <t>410-747-5250</t>
  </si>
  <si>
    <t>RIDGEWOOD GARDENS</t>
  </si>
  <si>
    <t xml:space="preserve">2001 RIDGEWOOD DRIVE </t>
  </si>
  <si>
    <t>540-387-4945</t>
  </si>
  <si>
    <t>RIDGEWOOD HEALTH CARE CENTER</t>
  </si>
  <si>
    <t xml:space="preserve">201 OAKHILL ROAD </t>
  </si>
  <si>
    <t>205-221-4862</t>
  </si>
  <si>
    <t>RINGGOLD COUNTY CHILD CARE AKA FAMILY RESOURCE CENTER</t>
  </si>
  <si>
    <t xml:space="preserve">302 N LINCOLN </t>
  </si>
  <si>
    <t>641-464-3385</t>
  </si>
  <si>
    <t>RIO SOL NURSING HOME</t>
  </si>
  <si>
    <t xml:space="preserve">7408 HIGHWAY 1 </t>
  </si>
  <si>
    <t>318-964-2198</t>
  </si>
  <si>
    <t>RIPLEY COUNTY SR CITIZENS CLUB</t>
  </si>
  <si>
    <t xml:space="preserve">715 E WASHINGTON </t>
  </si>
  <si>
    <t>573-996-3070</t>
  </si>
  <si>
    <t>RISON SENIOR CITIZENS CENTER</t>
  </si>
  <si>
    <t xml:space="preserve">I E MOORE DRIVE </t>
  </si>
  <si>
    <t>870-325-6259</t>
  </si>
  <si>
    <t>RITENOUR REST HOME</t>
  </si>
  <si>
    <t xml:space="preserve">403 NORTH COALTER ROAD </t>
  </si>
  <si>
    <t>540-885-0191</t>
  </si>
  <si>
    <t>RIVER BEND NURSING AND REHABILITATION</t>
  </si>
  <si>
    <t xml:space="preserve">3400 STOCKER DRIVE </t>
  </si>
  <si>
    <t>812-424-8100</t>
  </si>
  <si>
    <t>RIVER BEND NURSING CENTER</t>
  </si>
  <si>
    <t xml:space="preserve">2215 OAKMONT WAY </t>
  </si>
  <si>
    <t>916-371-1890</t>
  </si>
  <si>
    <t>RIVER BEND SPECIALIZED ASSISTED LIVING</t>
  </si>
  <si>
    <t xml:space="preserve">1572 MEISNER ROAD </t>
  </si>
  <si>
    <t>EAST CHINA</t>
  </si>
  <si>
    <t>810-765-1002</t>
  </si>
  <si>
    <t>RIVER COMMONS SENIOR LIVING</t>
  </si>
  <si>
    <t xml:space="preserve">301 HARTNELL AVENUE </t>
  </si>
  <si>
    <t>530-221-2121</t>
  </si>
  <si>
    <t>RIVER GARDENS OF NEW BRAUNFELS</t>
  </si>
  <si>
    <t xml:space="preserve">750 RUSK STREET </t>
  </si>
  <si>
    <t>830-629-4400</t>
  </si>
  <si>
    <t>RIVER HILLS HEALTH AND REHAB CENTER</t>
  </si>
  <si>
    <t xml:space="preserve">2091 BANDERA HIGHWAY </t>
  </si>
  <si>
    <t>469-916-6100</t>
  </si>
  <si>
    <t>RIVER MEADOWS SENIOR LIVING</t>
  </si>
  <si>
    <t xml:space="preserve">137 E RED PINE DRIVE </t>
  </si>
  <si>
    <t>ALPINE</t>
  </si>
  <si>
    <t>801-692-2100</t>
  </si>
  <si>
    <t>RIVER OAKS PLACE LONDON</t>
  </si>
  <si>
    <t xml:space="preserve">1101 GROVE STREET </t>
  </si>
  <si>
    <t>865-458-5841</t>
  </si>
  <si>
    <t>RIVER VALLEY DIALYSIS</t>
  </si>
  <si>
    <t xml:space="preserve">300 W MAY ST </t>
  </si>
  <si>
    <t>AMANA</t>
  </si>
  <si>
    <t>HPSI:RENAL DIALYSIS CENTER</t>
  </si>
  <si>
    <t>319-642-8052</t>
  </si>
  <si>
    <t>RIVER VALLEY NURSING HOME</t>
  </si>
  <si>
    <t xml:space="preserve">305 TAYLOR STREET </t>
  </si>
  <si>
    <t>859-472-2217</t>
  </si>
  <si>
    <t>RIVER VALLEY SUPPORTIVE LIVING</t>
  </si>
  <si>
    <t xml:space="preserve">1975 EAST COURT STREET </t>
  </si>
  <si>
    <t>815-936-1000</t>
  </si>
  <si>
    <t>RIVER VIEW URGENT CARE AND MEDICAL CENTER</t>
  </si>
  <si>
    <t xml:space="preserve">382 N OVERLAND AVENUE </t>
  </si>
  <si>
    <t>208-678-6996</t>
  </si>
  <si>
    <t>RIVER'S EDGE REST HOME</t>
  </si>
  <si>
    <t xml:space="preserve">205 WATSON STREET </t>
  </si>
  <si>
    <t>252-946-4334</t>
  </si>
  <si>
    <t>RIVERSIDE CHILD CARE &amp; LEARNING CENTER</t>
  </si>
  <si>
    <t xml:space="preserve">11879 CANON BLVD </t>
  </si>
  <si>
    <t>757-594-3300</t>
  </si>
  <si>
    <t>RIVERSIDE FOUNDATION</t>
  </si>
  <si>
    <t xml:space="preserve">14588 W. HWY 22 </t>
  </si>
  <si>
    <t>LINCOLNSHIRE</t>
  </si>
  <si>
    <t>847-634-3973</t>
  </si>
  <si>
    <t>RIVERSIDE HEALTH CARE CENTER</t>
  </si>
  <si>
    <t xml:space="preserve">2344 RIVERSIDE DRIVE </t>
  </si>
  <si>
    <t>434-791-3800</t>
  </si>
  <si>
    <t>RIVERSIDE HEALTH SERVICES</t>
  </si>
  <si>
    <t xml:space="preserve">1008 ARKANSAS STREET </t>
  </si>
  <si>
    <t>918-875-3107</t>
  </si>
  <si>
    <t>RIVERSIDE MANOR NURSING &amp; REHAB</t>
  </si>
  <si>
    <t xml:space="preserve">1100 E. STATE ROAD </t>
  </si>
  <si>
    <t>NEW COMERSTOWN</t>
  </si>
  <si>
    <t>614-498-5165</t>
  </si>
  <si>
    <t>RIVERSIDE SENIOR LIVING</t>
  </si>
  <si>
    <t xml:space="preserve">1009 LINE STREET N.E. </t>
  </si>
  <si>
    <t>256-350-4545</t>
  </si>
  <si>
    <t>RIVERSTONE</t>
  </si>
  <si>
    <t xml:space="preserve">104 EFIRD BLVD </t>
  </si>
  <si>
    <t>910-920-1180</t>
  </si>
  <si>
    <t>RIVERVIEW HEALTH &amp; REHAB CENTER</t>
  </si>
  <si>
    <t xml:space="preserve">7733 E JEFFERSON AVE </t>
  </si>
  <si>
    <t>313-432-1200</t>
  </si>
  <si>
    <t xml:space="preserve">RIVERVIEW HEALTH &amp; REHAB CENTER NORTH </t>
  </si>
  <si>
    <t xml:space="preserve">18300 E WARREN </t>
  </si>
  <si>
    <t>313-343-8000</t>
  </si>
  <si>
    <t>RIVERVIEW HEALTH INSTITUTE</t>
  </si>
  <si>
    <t xml:space="preserve">ONE ELIZABETH PLACE </t>
  </si>
  <si>
    <t>937-222-5366</t>
  </si>
  <si>
    <t>RIVERVIEW NURSING HOME INC.</t>
  </si>
  <si>
    <t xml:space="preserve">120 VIRGINIA AVENUE </t>
  </si>
  <si>
    <t>RICH CREEK</t>
  </si>
  <si>
    <t>540-726-2328</t>
  </si>
  <si>
    <t>RIVERWAY OF SOUTH JORDAN</t>
  </si>
  <si>
    <t xml:space="preserve">1352 WEST 11400 SOUTH </t>
  </si>
  <si>
    <t>801-282-3711</t>
  </si>
  <si>
    <t>RIVIERA MEXICAN GRILL</t>
  </si>
  <si>
    <t xml:space="preserve">1615 PACIFICA COAST HWY </t>
  </si>
  <si>
    <t>310-540-2501</t>
  </si>
  <si>
    <t>ROBBINSWOOD ASSISTED LIVING</t>
  </si>
  <si>
    <t xml:space="preserve">1125 ROBBINS ROAD </t>
  </si>
  <si>
    <t>616-842-1900</t>
  </si>
  <si>
    <t>ROBERT C. WRIGHT</t>
  </si>
  <si>
    <t xml:space="preserve">P.O. BOX 902 </t>
  </si>
  <si>
    <t>ROCK GARDEN CHRISTIAN SERVICE CP</t>
  </si>
  <si>
    <t xml:space="preserve">4105 STATE ROUTE 17 </t>
  </si>
  <si>
    <t>471-277-5621</t>
  </si>
  <si>
    <t xml:space="preserve">3530 N COUNTY TRUCK HWY F </t>
  </si>
  <si>
    <t>608-757-5000</t>
  </si>
  <si>
    <t>ROCK HAVEN NURSING CENTER</t>
  </si>
  <si>
    <t xml:space="preserve">401 S E STALLINGS DRIVE </t>
  </si>
  <si>
    <t>936-569-9411</t>
  </si>
  <si>
    <t>ROCK PORT SCHOOL R-2</t>
  </si>
  <si>
    <t xml:space="preserve">600 S NEBRASKA STREET </t>
  </si>
  <si>
    <t>POCK PORT</t>
  </si>
  <si>
    <t>660-744-6296</t>
  </si>
  <si>
    <t>ROCKFORD ADULT MEDICINE ASSOCIATES</t>
  </si>
  <si>
    <t xml:space="preserve">534 ROXBURY ROAD </t>
  </si>
  <si>
    <t>815-381-7005</t>
  </si>
  <si>
    <t>ROCKHILL MANOR ASSISTED LIVING CAMPUS</t>
  </si>
  <si>
    <t xml:space="preserve">4235 LOCUST STREET </t>
  </si>
  <si>
    <t>816-931-2225</t>
  </si>
  <si>
    <t>ROCKPORT COASTAL CARE CENTER</t>
  </si>
  <si>
    <t xml:space="preserve">1004 S YOUNG </t>
  </si>
  <si>
    <t>361-729-1228</t>
  </si>
  <si>
    <t>ROCKVILLE NURSING HOME</t>
  </si>
  <si>
    <t xml:space="preserve">303 ADCLARE RD </t>
  </si>
  <si>
    <t>301-279-9000</t>
  </si>
  <si>
    <t>ROCKWELL COMMUNITY NURSING HOME</t>
  </si>
  <si>
    <t xml:space="preserve">707 ELM STREET </t>
  </si>
  <si>
    <t>ROCKWELL</t>
  </si>
  <si>
    <t>641-822-3203</t>
  </si>
  <si>
    <t>ROCKWELL RETIREMENT CENTER</t>
  </si>
  <si>
    <t xml:space="preserve">32 S TURBOT AVENUE </t>
  </si>
  <si>
    <t>570-742-4100</t>
  </si>
  <si>
    <t>ROCKY BOY HEAD START</t>
  </si>
  <si>
    <t xml:space="preserve">#1 SUMMAC DR </t>
  </si>
  <si>
    <t>406-395-4291</t>
  </si>
  <si>
    <t>ROCKY BOY SCHOOLS</t>
  </si>
  <si>
    <t xml:space="preserve">RT 1 MAIN AGENCY RD </t>
  </si>
  <si>
    <t>ROCKY BOY</t>
  </si>
  <si>
    <t>406-395-4474</t>
  </si>
  <si>
    <t>ROCKY BOY SENIOR CENTER</t>
  </si>
  <si>
    <t xml:space="preserve">111 CLINIC ROAD </t>
  </si>
  <si>
    <t>406-395-4728</t>
  </si>
  <si>
    <t>ROCKY MOUNTAIN CARE-SPRING HOLLOW</t>
  </si>
  <si>
    <t xml:space="preserve">92 SOUTH 800 EAST </t>
  </si>
  <si>
    <t>801-494-2042</t>
  </si>
  <si>
    <t>ROCKY RIDGE MUSIC CENTER</t>
  </si>
  <si>
    <t xml:space="preserve">465 LONGS PEAK ROAD </t>
  </si>
  <si>
    <t>970-586-4031</t>
  </si>
  <si>
    <t>ROHLFFS CONCORDIA MANOR</t>
  </si>
  <si>
    <t xml:space="preserve">2400 FAIR DRIVE </t>
  </si>
  <si>
    <t>707-255-9555</t>
  </si>
  <si>
    <t xml:space="preserve">830 WEST 40TH STREET </t>
  </si>
  <si>
    <t>410-243-5856</t>
  </si>
  <si>
    <t>ROLLING FIELDS</t>
  </si>
  <si>
    <t xml:space="preserve">9108 STATE HIGHWAY 198 </t>
  </si>
  <si>
    <t>CONNEAUTVILLE</t>
  </si>
  <si>
    <t>814-587-2012</t>
  </si>
  <si>
    <t>ROMAN EAGLE HEALTH AND REHAB CENTER</t>
  </si>
  <si>
    <t xml:space="preserve">2526 N. MAIN STREET </t>
  </si>
  <si>
    <t>434-836-9510</t>
  </si>
  <si>
    <t>RON ATHERTON MISC ACCTS *</t>
  </si>
  <si>
    <t xml:space="preserve">PO BOX 159 </t>
  </si>
  <si>
    <t>RONALD MCDONALD HOUSE AKRON</t>
  </si>
  <si>
    <t xml:space="preserve">141 W STATE STREET </t>
  </si>
  <si>
    <t>330-253-5400</t>
  </si>
  <si>
    <t>RONKONKOMA MEN'S RESIDENTIAL SERVICES</t>
  </si>
  <si>
    <t xml:space="preserve">153 LAKE SHORE ROAD </t>
  </si>
  <si>
    <t>RONKONKOMA MOTHER &amp; CHILD RESIDENTIAL SERVICES</t>
  </si>
  <si>
    <t xml:space="preserve">153A LAKE SHORE ROAD </t>
  </si>
  <si>
    <t>607-538-1417</t>
  </si>
  <si>
    <t>ROSARY CARE CENTER SYLVANIA</t>
  </si>
  <si>
    <t xml:space="preserve">6832 CONVENT BLVD </t>
  </si>
  <si>
    <t>419-882-2016</t>
  </si>
  <si>
    <t>ROSARY HILL HOME</t>
  </si>
  <si>
    <t xml:space="preserve">9000 W 81ST STREET </t>
  </si>
  <si>
    <t>JUSTICE</t>
  </si>
  <si>
    <t>708-458-3040</t>
  </si>
  <si>
    <t>ROSE BLUMKIN JEWISH HOME</t>
  </si>
  <si>
    <t xml:space="preserve">323 S 132ND STREET </t>
  </si>
  <si>
    <t>402-334-6517</t>
  </si>
  <si>
    <t>ROSE GATE</t>
  </si>
  <si>
    <t xml:space="preserve">1345 CLARKE STREET </t>
  </si>
  <si>
    <t>510-483-0150</t>
  </si>
  <si>
    <t>ROSE GLEN MANOR</t>
  </si>
  <si>
    <t xml:space="preserve">240 INDEPENDENCE AVENUE </t>
  </si>
  <si>
    <t>N WILKESBORO</t>
  </si>
  <si>
    <t>336-818-3411</t>
  </si>
  <si>
    <t>ROSE HAVEN NURSING HOME</t>
  </si>
  <si>
    <t xml:space="preserve">1500 NORTH FRANKLYN AVENUE </t>
  </si>
  <si>
    <t>319-642-3221</t>
  </si>
  <si>
    <t>ROSE HILL RETIREMENT COMMUNITY</t>
  </si>
  <si>
    <t xml:space="preserve">120 FLEMING STREET </t>
  </si>
  <si>
    <t>828-652-2504</t>
  </si>
  <si>
    <t>ROSE MARY C BROOKS PLACE</t>
  </si>
  <si>
    <t xml:space="preserve">200 ROSE MARY DRIVE </t>
  </si>
  <si>
    <t>859-745-4904</t>
  </si>
  <si>
    <t>ROSEBRIAR</t>
  </si>
  <si>
    <t xml:space="preserve">636 14TH ST </t>
  </si>
  <si>
    <t>503-325-1101</t>
  </si>
  <si>
    <t>ROSEMARY REST HOME</t>
  </si>
  <si>
    <t xml:space="preserve">571 S SYCAMORE STREET </t>
  </si>
  <si>
    <t>ROSE HILLS</t>
  </si>
  <si>
    <t>910-289-2435</t>
  </si>
  <si>
    <t>ROSEWOOD ASSISTED 1</t>
  </si>
  <si>
    <t xml:space="preserve">721 N MARIETTA ST </t>
  </si>
  <si>
    <t>704-865-2238</t>
  </si>
  <si>
    <t>ROSEWOOD ASSISTED 2</t>
  </si>
  <si>
    <t xml:space="preserve">3134 HARMONY HWY </t>
  </si>
  <si>
    <t>704-546-2671</t>
  </si>
  <si>
    <t>ROSEWOOD VILLAGE</t>
  </si>
  <si>
    <t xml:space="preserve">500 GREENBRIAR DRIVE </t>
  </si>
  <si>
    <t>804-979-0239</t>
  </si>
  <si>
    <t>ROSEWOOD VILLAGE HOLLYMEAD</t>
  </si>
  <si>
    <t xml:space="preserve">2029 LOCKWOOD DRIVE </t>
  </si>
  <si>
    <t>434-963-7673</t>
  </si>
  <si>
    <t>ROSS COUNTY COMMITTEE FOR ELDERLY INC</t>
  </si>
  <si>
    <t xml:space="preserve">1824 WESTERN AVENUE </t>
  </si>
  <si>
    <t>740-773-3544</t>
  </si>
  <si>
    <t xml:space="preserve">500 S BLAINE </t>
  </si>
  <si>
    <t>ROUBAL CARE &amp; REHAB CENTER</t>
  </si>
  <si>
    <t xml:space="preserve">N306 MAPLE STREET </t>
  </si>
  <si>
    <t>STEPHENSON</t>
  </si>
  <si>
    <t>906-753-2231</t>
  </si>
  <si>
    <t>ROUNDTABLE PIZZA CSUF</t>
  </si>
  <si>
    <t>ROYAL CARE SENIOR LIVING</t>
  </si>
  <si>
    <t xml:space="preserve">54 IMPERIAL DRIVE </t>
  </si>
  <si>
    <t>540-885-0065</t>
  </si>
  <si>
    <t>ROYAL ESTATES ASSISTIVE LIVING</t>
  </si>
  <si>
    <t xml:space="preserve">1515 E 154TH STREET </t>
  </si>
  <si>
    <t>708-841-5560</t>
  </si>
  <si>
    <t>ROYAL LIVING CENTER</t>
  </si>
  <si>
    <t>NEW BADEN</t>
  </si>
  <si>
    <t>618-588-7295</t>
  </si>
  <si>
    <t>ROYAL OAK HOUSE</t>
  </si>
  <si>
    <t xml:space="preserve">1900 N WASHINGTON </t>
  </si>
  <si>
    <t>810-585-2550</t>
  </si>
  <si>
    <t>ROYAL OAKS</t>
  </si>
  <si>
    <t xml:space="preserve">1220 BROADRICK DRIVE </t>
  </si>
  <si>
    <t>706-275-8899</t>
  </si>
  <si>
    <t>ROYSE CITY SENIOR CENTER</t>
  </si>
  <si>
    <t xml:space="preserve">305 ARCH STREET </t>
  </si>
  <si>
    <t>972-635-2781</t>
  </si>
  <si>
    <t>RSW REGIONAL JAIL</t>
  </si>
  <si>
    <t xml:space="preserve">6601 WINCHESTER ROAD </t>
  </si>
  <si>
    <t>540-622-8691</t>
  </si>
  <si>
    <t>RT 66 RESIDENTIAL CARE HOME</t>
  </si>
  <si>
    <t xml:space="preserve">21992 S HWY 69 PO BOX 466 </t>
  </si>
  <si>
    <t>918-533-2873</t>
  </si>
  <si>
    <t>RTA HOSPICE LAKESIDE</t>
  </si>
  <si>
    <t xml:space="preserve">1789 W COMMERECE DRIVE SUITE A </t>
  </si>
  <si>
    <t>928-368-4400</t>
  </si>
  <si>
    <t>RUFFING FAMILY CARE CENTER TIFFIN</t>
  </si>
  <si>
    <t xml:space="preserve">2320 W. COUNTY RD 6 </t>
  </si>
  <si>
    <t>419-447-4662</t>
  </si>
  <si>
    <t>RUNNELS COUNTY REHAB &amp; NURSING</t>
  </si>
  <si>
    <t xml:space="preserve">1800 N BROADWAY </t>
  </si>
  <si>
    <t>BALLINGER</t>
  </si>
  <si>
    <t>325-365-2538</t>
  </si>
  <si>
    <t>RUSKIN CHRISTIAN SCHOOL</t>
  </si>
  <si>
    <t xml:space="preserve">820 COLLEGE AVE W </t>
  </si>
  <si>
    <t>RUSKIN</t>
  </si>
  <si>
    <t>813-645-6441</t>
  </si>
  <si>
    <t>RUSSELL SENIOR CITIZEN CENTER</t>
  </si>
  <si>
    <t xml:space="preserve">106 ELM STREET </t>
  </si>
  <si>
    <t>RUSSELL</t>
  </si>
  <si>
    <t>501-724-3007</t>
  </si>
  <si>
    <t>RUSSELLVILLE HEALTH CARE</t>
  </si>
  <si>
    <t xml:space="preserve">705 GANDY STREET </t>
  </si>
  <si>
    <t>256-332-3773</t>
  </si>
  <si>
    <t>RUTHVEN COMMUNITY CARE CENTER</t>
  </si>
  <si>
    <t xml:space="preserve">2701 MITCHELL STREET </t>
  </si>
  <si>
    <t>RUTHVEN</t>
  </si>
  <si>
    <t>712-837-5411</t>
  </si>
  <si>
    <t>RUXTON AT LAWRENCEVILLE</t>
  </si>
  <si>
    <t xml:space="preserve">P.O. BOX 105 </t>
  </si>
  <si>
    <t>434-848-4766</t>
  </si>
  <si>
    <t>RUXTON HEALTH AT THE MEADOWS</t>
  </si>
  <si>
    <t xml:space="preserve">2715 DOGTOWN ROAD </t>
  </si>
  <si>
    <t>GOOCHLAND</t>
  </si>
  <si>
    <t>804-556-4418</t>
  </si>
  <si>
    <t>RUXTON HEALTH AT THE VILLAGE</t>
  </si>
  <si>
    <t xml:space="preserve">P.O. BOX 669 </t>
  </si>
  <si>
    <t>FORK UNION</t>
  </si>
  <si>
    <t>804-842-2916</t>
  </si>
  <si>
    <t>RUXTON HEALTH OF ALEXANDRIA</t>
  </si>
  <si>
    <t xml:space="preserve">900 VIRGINIA AVE </t>
  </si>
  <si>
    <t>703-684-9100</t>
  </si>
  <si>
    <t>RUXTON HEALTH OF OAK HILL (STAUNTON)</t>
  </si>
  <si>
    <t xml:space="preserve">P.O. BOX 2565 </t>
  </si>
  <si>
    <t>540-886-2335</t>
  </si>
  <si>
    <t>RUXTON HEALTH OF WILLIAMSBURG</t>
  </si>
  <si>
    <t xml:space="preserve">1235 MOUNT VERNON AVENUE </t>
  </si>
  <si>
    <t>757-229-4121</t>
  </si>
  <si>
    <t>RUXTON HEALTH OF WINCHESTER</t>
  </si>
  <si>
    <t xml:space="preserve">110 LAUCK DRIVE </t>
  </si>
  <si>
    <t>540-667-7830</t>
  </si>
  <si>
    <t>S F OFFICE OF THE AGING</t>
  </si>
  <si>
    <t xml:space="preserve">875 STEVENSON STREET 3RD FLOOR </t>
  </si>
  <si>
    <t>415-355-6774</t>
  </si>
  <si>
    <t>SABBATH MANOR NORMANDY</t>
  </si>
  <si>
    <t xml:space="preserve">3715 ST ANN LANE </t>
  </si>
  <si>
    <t>NORMANDY</t>
  </si>
  <si>
    <t>314-383-3353</t>
  </si>
  <si>
    <t>SAC-OSAGE HOSPITAL</t>
  </si>
  <si>
    <t xml:space="preserve">P O BOX 426 </t>
  </si>
  <si>
    <t>417-646-8181</t>
  </si>
  <si>
    <t>SACRAMENTO STATE UEI</t>
  </si>
  <si>
    <t xml:space="preserve">6000 J STREET </t>
  </si>
  <si>
    <t>916-278-5708</t>
  </si>
  <si>
    <t>SACRAMENTO STATE UEI - CONCESSIONS</t>
  </si>
  <si>
    <t>SACRAMENTO STATE UEI - COURTYARD MARKET</t>
  </si>
  <si>
    <t>SACRAMENTO STATE UEI - DINING COMMONS</t>
  </si>
  <si>
    <t>SACRAMENTO STATE UEI - FOOD SCIENCE/NUTR</t>
  </si>
  <si>
    <t>916-278-6376</t>
  </si>
  <si>
    <t>SACRAMENTO STATE UEI - RIVERFRONT GRILL</t>
  </si>
  <si>
    <t>SACRAMENTO STATE UEI - TOGO'S</t>
  </si>
  <si>
    <t>SACRAMENTO STATE UEI - UC RESTAURANT</t>
  </si>
  <si>
    <t>SACRED HEART REHABILITATION CTR</t>
  </si>
  <si>
    <t xml:space="preserve">400 STODDARD ROAD </t>
  </si>
  <si>
    <t>810-392-2167</t>
  </si>
  <si>
    <t>SADIE G MAYS HLTH &amp; REHAB CTR</t>
  </si>
  <si>
    <t xml:space="preserve">1821 ANDERSON AVENUE NW </t>
  </si>
  <si>
    <t>404-794-2477</t>
  </si>
  <si>
    <t>SAFE HARBOR</t>
  </si>
  <si>
    <t xml:space="preserve">9000 86TH AVE N </t>
  </si>
  <si>
    <t>727-623-9073</t>
  </si>
  <si>
    <t>SAGEWOOD</t>
  </si>
  <si>
    <t xml:space="preserve">455 E MAYO BLVD </t>
  </si>
  <si>
    <t>480-384-5806</t>
  </si>
  <si>
    <t>SAILOR'S SNUG HARBOR</t>
  </si>
  <si>
    <t xml:space="preserve">P.O. BOX 150 </t>
  </si>
  <si>
    <t>SEA LEVEL</t>
  </si>
  <si>
    <t>252-225-4411</t>
  </si>
  <si>
    <t>SAINT ANNE NURSING &amp; REHABILITATION CENTER</t>
  </si>
  <si>
    <t xml:space="preserve">3540 NE 110TH STREET </t>
  </si>
  <si>
    <t>206-363-7733</t>
  </si>
  <si>
    <t>SAINT JOSEPH'S COLLEGE-PEARSON'S CAFE</t>
  </si>
  <si>
    <t xml:space="preserve">278 WHITES BRIDGE RD </t>
  </si>
  <si>
    <t>207-893-6681</t>
  </si>
  <si>
    <t xml:space="preserve">301 W WADE </t>
  </si>
  <si>
    <t>405-262-2920</t>
  </si>
  <si>
    <t>SAINT LUKE LUTHERAN COMMUNITY</t>
  </si>
  <si>
    <t xml:space="preserve">220 APPLEGROVE STREET NE </t>
  </si>
  <si>
    <t>330-499-8341</t>
  </si>
  <si>
    <t>SAINT LUKE-MINERVA</t>
  </si>
  <si>
    <t xml:space="preserve">4301 WOODALE AVE </t>
  </si>
  <si>
    <t>MINERVA</t>
  </si>
  <si>
    <t>330-868-5600</t>
  </si>
  <si>
    <t>SAINT MARGARET HALL</t>
  </si>
  <si>
    <t xml:space="preserve">1960 MADISON ROAD </t>
  </si>
  <si>
    <t>513-751-5880</t>
  </si>
  <si>
    <t>SAINT REGIS SCHOOL</t>
  </si>
  <si>
    <t xml:space="preserve">6 TIGER STREET </t>
  </si>
  <si>
    <t xml:space="preserve">ST REGIS </t>
  </si>
  <si>
    <t>406-649-2311</t>
  </si>
  <si>
    <t>SAINT VINCENT HEALTHCARE</t>
  </si>
  <si>
    <t xml:space="preserve">1810 N FAIR OAKS AVE </t>
  </si>
  <si>
    <t>626-398-8182</t>
  </si>
  <si>
    <t>SALEM EVANGELICAL LUTHERAN CHURCH &amp; SCHOOL</t>
  </si>
  <si>
    <t xml:space="preserve">222 E BEECHER </t>
  </si>
  <si>
    <t>217-243-3149</t>
  </si>
  <si>
    <t>SALEM HEALTH &amp; REHAB CENTER</t>
  </si>
  <si>
    <t xml:space="preserve">1945 ROANOKE BLVD. </t>
  </si>
  <si>
    <t>540-345-3894</t>
  </si>
  <si>
    <t>SALEM MEMORIAL DISTRICT HOSPITAL</t>
  </si>
  <si>
    <t xml:space="preserve">HWY 72 NORTH BOX 760 </t>
  </si>
  <si>
    <t>314-729-6626</t>
  </si>
  <si>
    <t>SALEM NURSING &amp; REHAB CENTER OF REFORM</t>
  </si>
  <si>
    <t xml:space="preserve">515 2ND AVENUE NW </t>
  </si>
  <si>
    <t>REFORM</t>
  </si>
  <si>
    <t>205-375-6379</t>
  </si>
  <si>
    <t>SALEM RANCH &amp; CHILDREN'S HOME</t>
  </si>
  <si>
    <t xml:space="preserve">15161 N 400 EAST ROAD </t>
  </si>
  <si>
    <t>815-796-4561</t>
  </si>
  <si>
    <t xml:space="preserve">2609 OLD SALISBURY ROAD </t>
  </si>
  <si>
    <t>336-785-1935</t>
  </si>
  <si>
    <t>SALEMTOWNE</t>
  </si>
  <si>
    <t xml:space="preserve">190 MORAVIAN WAY </t>
  </si>
  <si>
    <t>336-767-8130</t>
  </si>
  <si>
    <t>SALIDA SCHOOL DISTRICT</t>
  </si>
  <si>
    <t xml:space="preserve">26 JONES AVE </t>
  </si>
  <si>
    <t>SALIDA</t>
  </si>
  <si>
    <t>719-530-5433</t>
  </si>
  <si>
    <t>SALISBURY STATE UNIVERSITY</t>
  </si>
  <si>
    <t xml:space="preserve">1101 CAMDEN AVE </t>
  </si>
  <si>
    <t>410-677-5016</t>
  </si>
  <si>
    <t>SALT RIVER NURSING HOME</t>
  </si>
  <si>
    <t xml:space="preserve">142 SHELBY PLAZA ROAD </t>
  </si>
  <si>
    <t>SHELBINA</t>
  </si>
  <si>
    <t>573-588-4175</t>
  </si>
  <si>
    <t>SALUBRIA CENTER</t>
  </si>
  <si>
    <t xml:space="preserve">355 SOUTH JENNIFER STREET </t>
  </si>
  <si>
    <t>208-257-4555</t>
  </si>
  <si>
    <t>SALUDA NURSING AND REHAB</t>
  </si>
  <si>
    <t xml:space="preserve">581 NEWBERRY HGWY </t>
  </si>
  <si>
    <t>SALUDA</t>
  </si>
  <si>
    <t>864-445-2146</t>
  </si>
  <si>
    <t>SALVATION ARMY ARC</t>
  </si>
  <si>
    <t xml:space="preserve">5885 66TH STREET NORTH </t>
  </si>
  <si>
    <t>727-541-7781</t>
  </si>
  <si>
    <t>SALVATION ARMY THE WOMENS CAMP</t>
  </si>
  <si>
    <t xml:space="preserve">235 LUDLOW STREET </t>
  </si>
  <si>
    <t>513-863-1445</t>
  </si>
  <si>
    <t>SALVATION ARMY ASHLAND</t>
  </si>
  <si>
    <t xml:space="preserve">527 E LIBERTY ST </t>
  </si>
  <si>
    <t>419-281-8001</t>
  </si>
  <si>
    <t>SALVATION ARMY SENIOR MEALS SF</t>
  </si>
  <si>
    <t xml:space="preserve">850 HARRISON STREET </t>
  </si>
  <si>
    <t>415-777-5350</t>
  </si>
  <si>
    <t>SALVATION ARMY-AUSTIN</t>
  </si>
  <si>
    <t xml:space="preserve">501 E 8TH ST </t>
  </si>
  <si>
    <t>512-634-5913</t>
  </si>
  <si>
    <t>SALVATION OAKS RECOVERY COMMUNITY</t>
  </si>
  <si>
    <t xml:space="preserve">316 W ALEXANDER AVENUE </t>
  </si>
  <si>
    <t>864-538-4569</t>
  </si>
  <si>
    <t>SAMFORD UNIV-DINING SECOND FLOOR</t>
  </si>
  <si>
    <t xml:space="preserve">800 LAKESHORE DRIVE SU BOX 2271 </t>
  </si>
  <si>
    <t>206-726-7006</t>
  </si>
  <si>
    <t>SAMFORD UNIV-EAST THOMAS</t>
  </si>
  <si>
    <t>SAMFORD UNIVERSITY-MAIN</t>
  </si>
  <si>
    <t>SAMFORD UNIV-INDIAN SPRINGS</t>
  </si>
  <si>
    <t>SAMFORD UNIV-JUDSON COLLEGE (CAMPUS DINING)</t>
  </si>
  <si>
    <t xml:space="preserve">302 BIBB ST </t>
  </si>
  <si>
    <t>334-683-5175</t>
  </si>
  <si>
    <t>SAMFORD UNIV-MARION MILITARY INS</t>
  </si>
  <si>
    <t>SAM'S EATS &amp; SWEETS</t>
  </si>
  <si>
    <t xml:space="preserve">8200 TURIN ROAD </t>
  </si>
  <si>
    <t>315-533-5614</t>
  </si>
  <si>
    <t>SAN CARLOS ELMS</t>
  </si>
  <si>
    <t>650-595-1500</t>
  </si>
  <si>
    <t>SAN CLEMENTE VILLAS BY THE SEA</t>
  </si>
  <si>
    <t xml:space="preserve">660 CAMINO DE LOS MARES </t>
  </si>
  <si>
    <t>949-218-5730</t>
  </si>
  <si>
    <t>SAN DIEGO PACE</t>
  </si>
  <si>
    <t xml:space="preserve">3364 BEYER BLVD </t>
  </si>
  <si>
    <t>SAN YSIDRO</t>
  </si>
  <si>
    <t>619-205-4585</t>
  </si>
  <si>
    <t>SAN FRANCISCO HEALTH CARE</t>
  </si>
  <si>
    <t xml:space="preserve">1477 GROVE STREET </t>
  </si>
  <si>
    <t>415-563-0565</t>
  </si>
  <si>
    <t>SAN JUAN COUNTY JAIL</t>
  </si>
  <si>
    <t xml:space="preserve">297 S MAIN </t>
  </si>
  <si>
    <t>435-587-2237</t>
  </si>
  <si>
    <t>SAN JUAN NURSING HOME</t>
  </si>
  <si>
    <t xml:space="preserve">300 N NEBRASKA AVE </t>
  </si>
  <si>
    <t>SAN JUAN</t>
  </si>
  <si>
    <t>956-787-1771</t>
  </si>
  <si>
    <t>SAN MARCO TERRACE REHAB &amp; CARE</t>
  </si>
  <si>
    <t xml:space="preserve">6209 BARTRAM BROOKS DRIVE </t>
  </si>
  <si>
    <t>904-824-3326</t>
  </si>
  <si>
    <t>SAN MIGUEL VILLA</t>
  </si>
  <si>
    <t xml:space="preserve">1050 SAN MIGUEL ROAD </t>
  </si>
  <si>
    <t>925-825-4280</t>
  </si>
  <si>
    <t>SAN PEDRO MANOR</t>
  </si>
  <si>
    <t xml:space="preserve">515 WEST ASHBY PLACE </t>
  </si>
  <si>
    <t>210-732-5181</t>
  </si>
  <si>
    <t>SAND SPRINGS NURSING &amp; REHAB CENTER</t>
  </si>
  <si>
    <t xml:space="preserve">1025 NORTH ADAMS ROAD </t>
  </si>
  <si>
    <t>918-245-5908</t>
  </si>
  <si>
    <t>SANDY RIDGE MEMORY CARE</t>
  </si>
  <si>
    <t xml:space="preserve">326 BOWMAN ROAD </t>
  </si>
  <si>
    <t>CANDOR</t>
  </si>
  <si>
    <t>910-974-4162</t>
  </si>
  <si>
    <t>SANFORD HEALTH AND REHAB</t>
  </si>
  <si>
    <t xml:space="preserve">2702 FARRELL ROAD </t>
  </si>
  <si>
    <t xml:space="preserve">SANFORD </t>
  </si>
  <si>
    <t>919-776-9602</t>
  </si>
  <si>
    <t>SANSBURY CARE CENTER</t>
  </si>
  <si>
    <t xml:space="preserve">2625 BARDSTOWN ROAD </t>
  </si>
  <si>
    <t>859-336-3974</t>
  </si>
  <si>
    <t>SANTA ANITA CONVALESCENT HOSPITAL</t>
  </si>
  <si>
    <t xml:space="preserve">5522 GRACEWOOD AVENUE </t>
  </si>
  <si>
    <t>626-579-0310</t>
  </si>
  <si>
    <t>SANTA CLARITA LANES</t>
  </si>
  <si>
    <t xml:space="preserve">21615 W SOLEDAD CANYON RD </t>
  </si>
  <si>
    <t>SAUGUS</t>
  </si>
  <si>
    <t>661-254-0540</t>
  </si>
  <si>
    <t>SANTA MARIA CARE CENTER</t>
  </si>
  <si>
    <t xml:space="preserve">820 WEST COOK STREET </t>
  </si>
  <si>
    <t>805-925-8877</t>
  </si>
  <si>
    <t>SANTA ROSA CARE CENTER-TUCSON</t>
  </si>
  <si>
    <t xml:space="preserve">1650 N SANTA ROSA AVE </t>
  </si>
  <si>
    <t>520-795-1610</t>
  </si>
  <si>
    <t>SARAH CARE OF CAMPBELL</t>
  </si>
  <si>
    <t xml:space="preserve">450 MARATHON DRIVE </t>
  </si>
  <si>
    <t>408-374-2273</t>
  </si>
  <si>
    <t>SARAHCARE CENTER OF BELDEN VILLAGE</t>
  </si>
  <si>
    <t xml:space="preserve">6199 FRANK AVE NW </t>
  </si>
  <si>
    <t>330-451-6108</t>
  </si>
  <si>
    <t>SARAHCARE CENTER OF CANTON</t>
  </si>
  <si>
    <t xml:space="preserve">4565 DRESSLER RD NW STE 213 </t>
  </si>
  <si>
    <t>330-454-3366</t>
  </si>
  <si>
    <t>SARAHCARE OF STOW</t>
  </si>
  <si>
    <t xml:space="preserve">4472 DARROW ROAD </t>
  </si>
  <si>
    <t>330-971-7142</t>
  </si>
  <si>
    <t>SAUK COUNTY HEALTH CARE CENTER</t>
  </si>
  <si>
    <t xml:space="preserve">1051 CLARK STREET </t>
  </si>
  <si>
    <t>608-524-4371</t>
  </si>
  <si>
    <t>SAVANNAH BEACH HEALTH AND REHAB</t>
  </si>
  <si>
    <t xml:space="preserve">26 VAN HORNE AVENUE </t>
  </si>
  <si>
    <t>SAVANNAH COURT OF BASTROP</t>
  </si>
  <si>
    <t xml:space="preserve">10280 BOSWELL ST. </t>
  </si>
  <si>
    <t>318-283-4238</t>
  </si>
  <si>
    <t>SAVANNAH COURT OF BOSSIER</t>
  </si>
  <si>
    <t xml:space="preserve">4770 BRANDON BOULEVARD </t>
  </si>
  <si>
    <t>BOSSIER</t>
  </si>
  <si>
    <t>318-549-1001</t>
  </si>
  <si>
    <t>SAVANNAH GRAND OF WEST MONROE</t>
  </si>
  <si>
    <t xml:space="preserve">3702 CYRESS ST </t>
  </si>
  <si>
    <t>WEST MONROE</t>
  </si>
  <si>
    <t>318-397-2220</t>
  </si>
  <si>
    <t>SAVANNAH HIGH SCHOOL</t>
  </si>
  <si>
    <t xml:space="preserve">701 STATE ROUTE E </t>
  </si>
  <si>
    <t>SAVANNAH HOUSE</t>
  </si>
  <si>
    <t xml:space="preserve">4585 HWY 70 EAST </t>
  </si>
  <si>
    <t>731-987-2860</t>
  </si>
  <si>
    <t>SAVANNAH MIDDLE SCHOOL</t>
  </si>
  <si>
    <t xml:space="preserve">10500 STATE ROUTE T </t>
  </si>
  <si>
    <t>SAVANNAH SCHOOL DISTRICT</t>
  </si>
  <si>
    <t xml:space="preserve">408 W MARKET ST </t>
  </si>
  <si>
    <t>816-324-3144</t>
  </si>
  <si>
    <t>SAYBROOK AT HADDAM (THE)</t>
  </si>
  <si>
    <t xml:space="preserve">1556 SAYBROOK RD </t>
  </si>
  <si>
    <t>HADDAM</t>
  </si>
  <si>
    <t>06438-1370</t>
  </si>
  <si>
    <t>860-345-3779</t>
  </si>
  <si>
    <t>SCENIC ACRES</t>
  </si>
  <si>
    <t xml:space="preserve">23105 GRANITE AVENUE </t>
  </si>
  <si>
    <t>ST OLAF</t>
  </si>
  <si>
    <t>563-245-2640</t>
  </si>
  <si>
    <t>SCHICK SHADEL HOSPITAL SEATTLE</t>
  </si>
  <si>
    <t xml:space="preserve">12101 AMBAUM BLVD SW </t>
  </si>
  <si>
    <t>206-244-8100</t>
  </si>
  <si>
    <t>SCHNURMANN HOUSE</t>
  </si>
  <si>
    <t xml:space="preserve">1223 JULIUS WEIL DRIVE </t>
  </si>
  <si>
    <t>440-461-4588</t>
  </si>
  <si>
    <t>SCHRADER ACRES ASSISTED LIVING CENTER</t>
  </si>
  <si>
    <t xml:space="preserve">1204 SCHRADER ACRES DRIVE </t>
  </si>
  <si>
    <t>615-329-4140</t>
  </si>
  <si>
    <t>SCIDPDA</t>
  </si>
  <si>
    <t xml:space="preserve">409 MAYNARD AVE SO SUITE P2 </t>
  </si>
  <si>
    <t>206-624-8929</t>
  </si>
  <si>
    <t>SCIOTO PAINT VALLEY MENTAL HEALTH CENTER</t>
  </si>
  <si>
    <t xml:space="preserve">4449 SR 159 </t>
  </si>
  <si>
    <t>740-775-1260</t>
  </si>
  <si>
    <t>SCOTLAND COUNTY CARE CENTER</t>
  </si>
  <si>
    <t xml:space="preserve">BOX 52 ROUTE 1 </t>
  </si>
  <si>
    <t>816-465-7221</t>
  </si>
  <si>
    <t>SCOTLAND SENIOR CENTER ARKANSAS</t>
  </si>
  <si>
    <t xml:space="preserve">212 GULF MOUNTAIN ROAD </t>
  </si>
  <si>
    <t>501-592-3377</t>
  </si>
  <si>
    <t>SCOTT COUNTY NURSING CENTER</t>
  </si>
  <si>
    <t xml:space="preserve">650 NORTH MAIN </t>
  </si>
  <si>
    <t>217-742-3101</t>
  </si>
  <si>
    <t>SCOTT COUNTY SR CITIZENSWALDRON</t>
  </si>
  <si>
    <t xml:space="preserve">1310 CLYDE WALDRON DRIVE </t>
  </si>
  <si>
    <t>WALDRON</t>
  </si>
  <si>
    <t>501-637-3538</t>
  </si>
  <si>
    <t>SCOTTISH RITE PARK</t>
  </si>
  <si>
    <t xml:space="preserve">2909 WOODLAND AVENUE </t>
  </si>
  <si>
    <t>515-274-4614</t>
  </si>
  <si>
    <t>SCOTTSDALE VILLAGE SQUARE</t>
  </si>
  <si>
    <t xml:space="preserve">2620 N 68TH ST </t>
  </si>
  <si>
    <t>480-946-6571</t>
  </si>
  <si>
    <t>SDX-PALMDALE REGIONAL MEDICAL CENTER</t>
  </si>
  <si>
    <t xml:space="preserve">38600 MEDICAL CENTER DRIVE </t>
  </si>
  <si>
    <t>661-466-8989</t>
  </si>
  <si>
    <t>SEA CREST HOME HEALTH SERVICES</t>
  </si>
  <si>
    <t xml:space="preserve">3187 RED HILL AVE #200 </t>
  </si>
  <si>
    <t>714-975-8011</t>
  </si>
  <si>
    <t>SEACOAST YOUTH ACADEMY</t>
  </si>
  <si>
    <t xml:space="preserve">6367 BAY ROAD </t>
  </si>
  <si>
    <t>843-215-8080</t>
  </si>
  <si>
    <t>SEARCY COUNTY SENIOR CENTER</t>
  </si>
  <si>
    <t xml:space="preserve">ZACK ROAD </t>
  </si>
  <si>
    <t>870-448-2999</t>
  </si>
  <si>
    <t>SEARSTONE RETIREMENT COMMUNITY</t>
  </si>
  <si>
    <t xml:space="preserve">17001 SEARSTONE DRIVE </t>
  </si>
  <si>
    <t>919-234-0400</t>
  </si>
  <si>
    <t>SEASIDE HLTH CTR AT ATL SHORES</t>
  </si>
  <si>
    <t xml:space="preserve">1200 ATLANTIC SHORES DRIVE </t>
  </si>
  <si>
    <t>757-716-2060</t>
  </si>
  <si>
    <t>SEASON BELLEAIR</t>
  </si>
  <si>
    <t xml:space="preserve">1145 PONCE DE LEON BLVD </t>
  </si>
  <si>
    <t>BELLEAIR</t>
  </si>
  <si>
    <t>SEASONS ASSISTED LIVING</t>
  </si>
  <si>
    <t xml:space="preserve">200 W WHITTIER BLVD </t>
  </si>
  <si>
    <t>562-691-1200</t>
  </si>
  <si>
    <t>SEASONS HEALTHCARE AND REHABILITATION</t>
  </si>
  <si>
    <t xml:space="preserve">242 NORTH 200 WEST </t>
  </si>
  <si>
    <t>435-628-1601</t>
  </si>
  <si>
    <t>SEASONS OF LARGO</t>
  </si>
  <si>
    <t xml:space="preserve">4175 E. BAY DRIVE </t>
  </si>
  <si>
    <t>727-282-5303</t>
  </si>
  <si>
    <t>SEASONS OF SANTAQUIN ASSISTED LIVING</t>
  </si>
  <si>
    <t xml:space="preserve">785 E 150 S </t>
  </si>
  <si>
    <t>801-472-0915</t>
  </si>
  <si>
    <t>SEASONS OF SOUTHPOINT</t>
  </si>
  <si>
    <t xml:space="preserve">1002 E HIGHWAY 54 </t>
  </si>
  <si>
    <t>919-484-8518</t>
  </si>
  <si>
    <t>SEATTLE'S UNION GOSPEL MISSION</t>
  </si>
  <si>
    <t xml:space="preserve">3800 S OTHELLO ST </t>
  </si>
  <si>
    <t>206-723-0767</t>
  </si>
  <si>
    <t>SECOND STORY RANCH</t>
  </si>
  <si>
    <t xml:space="preserve">PO BOX 1455 </t>
  </si>
  <si>
    <t>NEWCASTLE</t>
  </si>
  <si>
    <t>303-910-3274</t>
  </si>
  <si>
    <t>SECOND STORY TEEN CENTER</t>
  </si>
  <si>
    <t xml:space="preserve">1033 1/2 N MAIN STREET </t>
  </si>
  <si>
    <t>815-303-4111</t>
  </si>
  <si>
    <t>SEED SCHOOL OF MARYLAND (THE)</t>
  </si>
  <si>
    <t xml:space="preserve">200 FONT HILL AVENUE </t>
  </si>
  <si>
    <t>410-843-9477</t>
  </si>
  <si>
    <t>SELECT CARE OF OKLAHOMA</t>
  </si>
  <si>
    <t xml:space="preserve">1908 12TH AVENUE NW SUITE B </t>
  </si>
  <si>
    <t>HPSI:HMO</t>
  </si>
  <si>
    <t>580-223-8805</t>
  </si>
  <si>
    <t>SELECT SPECIALTY HOSP W MICHIGAN</t>
  </si>
  <si>
    <t xml:space="preserve">1700 CLINTON STREET SOUTH 3 </t>
  </si>
  <si>
    <t>231-728-5827</t>
  </si>
  <si>
    <t>SELMAVILLE CCSD #10</t>
  </si>
  <si>
    <t xml:space="preserve">3185 SELMAVILLE ROAD </t>
  </si>
  <si>
    <t>618-548-2416</t>
  </si>
  <si>
    <t>SEM VILLA MILFORD</t>
  </si>
  <si>
    <t xml:space="preserve">201 MOUND AVENUE </t>
  </si>
  <si>
    <t>513-831-3262</t>
  </si>
  <si>
    <t>SENATOBIA CONVALESCENT CENTER</t>
  </si>
  <si>
    <t xml:space="preserve">402 GET WELL DRIVE </t>
  </si>
  <si>
    <t>SENATOBIA</t>
  </si>
  <si>
    <t>662-562-5664</t>
  </si>
  <si>
    <t>SENIOR CENTER FOR CREATIVE LIVING</t>
  </si>
  <si>
    <t xml:space="preserve">3501 SW DR ELSIE HAMM DRIVE </t>
  </si>
  <si>
    <t>580-248-0471</t>
  </si>
  <si>
    <t>SENIOR CENTERS INC</t>
  </si>
  <si>
    <t xml:space="preserve">2308 JEFFERSON AVE </t>
  </si>
  <si>
    <t>419-242-9511</t>
  </si>
  <si>
    <t>SENIOR HAVEN</t>
  </si>
  <si>
    <t xml:space="preserve">12140 SE FOSTER ROAD </t>
  </si>
  <si>
    <t>971-271-8975</t>
  </si>
  <si>
    <t>SENIOR LIFESTYLE PEACHTREE CREEK</t>
  </si>
  <si>
    <t xml:space="preserve">4375 BEECH HAVEN TRAIL SE </t>
  </si>
  <si>
    <t>770-803-0100</t>
  </si>
  <si>
    <t>SENIOR NUTRITION KITCHEN MADERA</t>
  </si>
  <si>
    <t xml:space="preserve">1901 CLINTON </t>
  </si>
  <si>
    <t>559-661-5479</t>
  </si>
  <si>
    <t>SENIOR NUTRITION PROGRAM SLO CTY</t>
  </si>
  <si>
    <t xml:space="preserve">2180 JOHNSON AVENUE </t>
  </si>
  <si>
    <t>805-541-3312</t>
  </si>
  <si>
    <t>SENIOR REHAB &amp; RECOVERY CTR AT LIMESTONE HEALTH FACILITY</t>
  </si>
  <si>
    <t>256-232-3461</t>
  </si>
  <si>
    <t>SENIOR SERVICES CENTRAL IL DAILY BREAD</t>
  </si>
  <si>
    <t xml:space="preserve">701 WEST MASON ST </t>
  </si>
  <si>
    <t>217-528-4035</t>
  </si>
  <si>
    <t>SENIOR SERVICES OF ISLAND COUNTY</t>
  </si>
  <si>
    <t xml:space="preserve">14594 SR 525 </t>
  </si>
  <si>
    <t>360-321-1600</t>
  </si>
  <si>
    <t>SENIOR SERVICES OF ISLAND COUNTY-CAMANO ISLAND</t>
  </si>
  <si>
    <t xml:space="preserve">606 ARROWHEAD ROAD </t>
  </si>
  <si>
    <t>360-387-6222</t>
  </si>
  <si>
    <t>SENIOR SERVICES SNOHOMISH CNTY</t>
  </si>
  <si>
    <t xml:space="preserve">11627 AIRPORT RD STE B </t>
  </si>
  <si>
    <t>425-290-1264</t>
  </si>
  <si>
    <t>SENIOR SUITES AT ST CLAIR COMMONS</t>
  </si>
  <si>
    <t xml:space="preserve">101 DOROTHY PLACE </t>
  </si>
  <si>
    <t>844-608-4891</t>
  </si>
  <si>
    <t>SENSATIONS MEMORY CARE</t>
  </si>
  <si>
    <t xml:space="preserve">511 E SHEPHERD </t>
  </si>
  <si>
    <t>517-543-8101</t>
  </si>
  <si>
    <t>SEQUATCHIE VALLEY HEAD START</t>
  </si>
  <si>
    <t xml:space="preserve">501 WESTFIELD PLACE </t>
  </si>
  <si>
    <t>423-837-6724</t>
  </si>
  <si>
    <t>SEQUOIAS PORTOLA VALLEY</t>
  </si>
  <si>
    <t xml:space="preserve">501 PORTOLA ROAD </t>
  </si>
  <si>
    <t>PORTOLA VALLEY</t>
  </si>
  <si>
    <t>650-851-1501</t>
  </si>
  <si>
    <t>SEQUOYAH EAST NURSING CENTER</t>
  </si>
  <si>
    <t xml:space="preserve">701 S TAYLOR ROAD </t>
  </si>
  <si>
    <t>ROLAND</t>
  </si>
  <si>
    <t>918-427-7401</t>
  </si>
  <si>
    <t>SEQUOYAH MANOR</t>
  </si>
  <si>
    <t xml:space="preserve">615 E REDWOOD </t>
  </si>
  <si>
    <t>SALLISAW</t>
  </si>
  <si>
    <t>918-775-4881</t>
  </si>
  <si>
    <t>SERENE CARE HOME</t>
  </si>
  <si>
    <t xml:space="preserve">2300 BROWN STREET </t>
  </si>
  <si>
    <t>707-252-9037</t>
  </si>
  <si>
    <t>SERENE MANOR MEDICAL CENTER</t>
  </si>
  <si>
    <t xml:space="preserve">970 WRAY STREET </t>
  </si>
  <si>
    <t>865-523-9171</t>
  </si>
  <si>
    <t>SERENE TRANSITIONAL HOSPICE</t>
  </si>
  <si>
    <t xml:space="preserve">2470 WENDY HILL RD SE #126 </t>
  </si>
  <si>
    <t>678-921-1000</t>
  </si>
  <si>
    <t>SERENITY GARDENS ASSISTED LIVING &amp; MEMORY CARE</t>
  </si>
  <si>
    <t xml:space="preserve">1233 WILLIS STREET </t>
  </si>
  <si>
    <t>530-605-4033</t>
  </si>
  <si>
    <t>SERENITY HEALTHCARE</t>
  </si>
  <si>
    <t xml:space="preserve">1134 CHENEY DRIVE WEST </t>
  </si>
  <si>
    <t>801-574-5754</t>
  </si>
  <si>
    <t xml:space="preserve">172 SPRING ST SW </t>
  </si>
  <si>
    <t>704-786-8722</t>
  </si>
  <si>
    <t>SERENITY LIGHT RECOVERY</t>
  </si>
  <si>
    <t xml:space="preserve">1820 COUNTY ROAD 36 </t>
  </si>
  <si>
    <t>281-431-6700</t>
  </si>
  <si>
    <t>SERENITY SENIOR CARE RESIDENCE</t>
  </si>
  <si>
    <t xml:space="preserve">16302 PUMA PASS STREET </t>
  </si>
  <si>
    <t>SERENITY SPRINGS</t>
  </si>
  <si>
    <t xml:space="preserve">1413 GRATIOT ROAD </t>
  </si>
  <si>
    <t>989-793-3471</t>
  </si>
  <si>
    <t>SERENITY SUITES</t>
  </si>
  <si>
    <t xml:space="preserve">1381 MAY STREET </t>
  </si>
  <si>
    <t>WABASSO</t>
  </si>
  <si>
    <t>507-342-2300</t>
  </si>
  <si>
    <t>SERENITY VILLA</t>
  </si>
  <si>
    <t xml:space="preserve">1 FAIRVIEW DRIVE </t>
  </si>
  <si>
    <t>815-692-6730</t>
  </si>
  <si>
    <t>SESSIONS SANDWICHES</t>
  </si>
  <si>
    <t xml:space="preserve">2823 NEWPORT BLVD </t>
  </si>
  <si>
    <t>949-220-9001</t>
  </si>
  <si>
    <t>SEVEN HILLS HEALTH CARE CENTER THE</t>
  </si>
  <si>
    <t xml:space="preserve">1900 COOL LANE </t>
  </si>
  <si>
    <t>804-343-6100</t>
  </si>
  <si>
    <t>SEVEN OAKS COMMUNITY HOME</t>
  </si>
  <si>
    <t xml:space="preserve">3940 W 5TH AVENUE # C </t>
  </si>
  <si>
    <t>208-773-1521</t>
  </si>
  <si>
    <t>SEVEN SPRINGS HEALTH &amp; REHAB</t>
  </si>
  <si>
    <t xml:space="preserve">1040 WEDDINGFORD ROAD </t>
  </si>
  <si>
    <t>HEBER SPRINGS</t>
  </si>
  <si>
    <t>SEVIER COUNTY HEALTH CARE CTR</t>
  </si>
  <si>
    <t xml:space="preserve">415 CATLETT ROAD </t>
  </si>
  <si>
    <t>865-453-4747</t>
  </si>
  <si>
    <t>SEYMOUR'S DINER &amp; GRILL</t>
  </si>
  <si>
    <t xml:space="preserve">4836 STATE ROUTE 233 </t>
  </si>
  <si>
    <t>SHADY LAWN NURSING HOMESAVANNAH</t>
  </si>
  <si>
    <t xml:space="preserve">13277 STATE ROAD D </t>
  </si>
  <si>
    <t>816-324-5991</t>
  </si>
  <si>
    <t>SHADY OAKS RESIDENTIAL CARE CTR</t>
  </si>
  <si>
    <t xml:space="preserve">HIGHWAY 32 W </t>
  </si>
  <si>
    <t>573-431-0344</t>
  </si>
  <si>
    <t>SHANNON GRAY REHAB &amp; RECOVERY</t>
  </si>
  <si>
    <t xml:space="preserve">2005 SHANNON GRAY COURT </t>
  </si>
  <si>
    <t>SHARMAR VILLAGE</t>
  </si>
  <si>
    <t xml:space="preserve">1201 WEST ABRIENDO </t>
  </si>
  <si>
    <t>719-544-1173</t>
  </si>
  <si>
    <t>SHARON CARE CENTER</t>
  </si>
  <si>
    <t xml:space="preserve">1509 HARRISON AVENUE </t>
  </si>
  <si>
    <t>360-736-0112</t>
  </si>
  <si>
    <t>SHASTA VIEW NURSING CENTER</t>
  </si>
  <si>
    <t xml:space="preserve">445 PARK STREET </t>
  </si>
  <si>
    <t>WEED</t>
  </si>
  <si>
    <t>530-938-4429</t>
  </si>
  <si>
    <t>SHEARER RICHARDSON MEMORIAL NURSING HOME</t>
  </si>
  <si>
    <t xml:space="preserve">512 ROCKWELL DRIVE </t>
  </si>
  <si>
    <t>OKOLONA</t>
  </si>
  <si>
    <t>662-447-3311</t>
  </si>
  <si>
    <t>SHEFFIELD CARE CENTER</t>
  </si>
  <si>
    <t xml:space="preserve">100 BENNETT DRIVE </t>
  </si>
  <si>
    <t>641-892-4691</t>
  </si>
  <si>
    <t>SHELBY RIDGE NURSING HOME</t>
  </si>
  <si>
    <t xml:space="preserve">881 3RD STREET NE </t>
  </si>
  <si>
    <t>ALABASTER</t>
  </si>
  <si>
    <t>205-620-8500</t>
  </si>
  <si>
    <t>SHELTERED VILLAGE WOODSTOCK</t>
  </si>
  <si>
    <t xml:space="preserve">600 BORDEN </t>
  </si>
  <si>
    <t>815-338-6440</t>
  </si>
  <si>
    <t>SHELTERHOUSE-BARRON CENTER FOR MEN</t>
  </si>
  <si>
    <t xml:space="preserve">411 GEST STREET </t>
  </si>
  <si>
    <t>513-721-0643</t>
  </si>
  <si>
    <t>SHELTON ON THE BAY</t>
  </si>
  <si>
    <t xml:space="preserve">1300 N MALLORY ST </t>
  </si>
  <si>
    <t>757-723-6669</t>
  </si>
  <si>
    <t>SHENANDOAH SENIOR LIVING</t>
  </si>
  <si>
    <t xml:space="preserve">103 LEE BURKE ROAD </t>
  </si>
  <si>
    <t>540-635-7923</t>
  </si>
  <si>
    <t>SHENANDOAH VALLEY ACADEMY</t>
  </si>
  <si>
    <t xml:space="preserve">234 WEST LEE HIGHWAY </t>
  </si>
  <si>
    <t>540-740-3161</t>
  </si>
  <si>
    <t>SHEPHERD MANOR RESIDENTIAL CARE</t>
  </si>
  <si>
    <t xml:space="preserve">2410 SUNSET DRIVE </t>
  </si>
  <si>
    <t>405-262-2440</t>
  </si>
  <si>
    <t>SHEPHERD VILLAGE</t>
  </si>
  <si>
    <t xml:space="preserve">805 PARK AVENUE </t>
  </si>
  <si>
    <t>757-625-1877</t>
  </si>
  <si>
    <t>SHEPHERDS BAPTIST MINISTRIES</t>
  </si>
  <si>
    <t xml:space="preserve">1805 15TH </t>
  </si>
  <si>
    <t>UNION GROVE</t>
  </si>
  <si>
    <t>262-878-5620</t>
  </si>
  <si>
    <t>SHEPHERD'S CARE CENTER</t>
  </si>
  <si>
    <t xml:space="preserve">2100 NORTH PLEASANTBURG DRIVE </t>
  </si>
  <si>
    <t>864-322-6212</t>
  </si>
  <si>
    <t>SHERIDAN SCHOOLS (K-12)</t>
  </si>
  <si>
    <t xml:space="preserve">211 MADISON </t>
  </si>
  <si>
    <t>406-842-5302</t>
  </si>
  <si>
    <t>SHERIDAN SENIOR CITIZENS CENTER</t>
  </si>
  <si>
    <t xml:space="preserve">GRANT COUNTY PARK </t>
  </si>
  <si>
    <t>870-942-4824</t>
  </si>
  <si>
    <t xml:space="preserve">700 SHERMAN OAKS DRIVE </t>
  </si>
  <si>
    <t xml:space="preserve">LUDDINGTON </t>
  </si>
  <si>
    <t>231-845-0572</t>
  </si>
  <si>
    <t>SHERWOOD OAKS CONVALESCENT</t>
  </si>
  <si>
    <t xml:space="preserve">130 DANA STREET </t>
  </si>
  <si>
    <t>FORT BRAGG</t>
  </si>
  <si>
    <t>707-964-6333</t>
  </si>
  <si>
    <t>SHIELDS COMFORT CARE</t>
  </si>
  <si>
    <t xml:space="preserve">9140 GRATIOT ROAD </t>
  </si>
  <si>
    <t>989-607-0003</t>
  </si>
  <si>
    <t>SHIREY'S PERSONAL CARE HOME</t>
  </si>
  <si>
    <t xml:space="preserve">108 SCHRADER AVENUE </t>
  </si>
  <si>
    <t>GLEN CAMPBELL</t>
  </si>
  <si>
    <t>814-845-2100</t>
  </si>
  <si>
    <t>SHIRKEY NURSING &amp; REHAB</t>
  </si>
  <si>
    <t xml:space="preserve">804 WOLLARD BLVD </t>
  </si>
  <si>
    <t>816-776-5403</t>
  </si>
  <si>
    <t>SHIRLEY HOME FOR THE AGED</t>
  </si>
  <si>
    <t xml:space="preserve">17050 COUNTRY VIEW LANE </t>
  </si>
  <si>
    <t>SHIRLEYSBURG</t>
  </si>
  <si>
    <t>814-447-3781</t>
  </si>
  <si>
    <t>SHIRLEY SENIOR CENTER ARKANSAS</t>
  </si>
  <si>
    <t xml:space="preserve">HIGHWAY 9 CITY HALL </t>
  </si>
  <si>
    <t>501-723-4669</t>
  </si>
  <si>
    <t>SHUTTERS ON THE BEACH</t>
  </si>
  <si>
    <t xml:space="preserve">ONE PICO BLVD </t>
  </si>
  <si>
    <t>310-458-0030</t>
  </si>
  <si>
    <t>SIDEWALK CAFE VENICE</t>
  </si>
  <si>
    <t xml:space="preserve">1401 OCEAN FRONT WALK </t>
  </si>
  <si>
    <t>310-399-5547</t>
  </si>
  <si>
    <t>SIENA ON BRENDENWOOD</t>
  </si>
  <si>
    <t>815-399-6167</t>
  </si>
  <si>
    <t>SIERRA VALLEY REHABILITATION CENTER</t>
  </si>
  <si>
    <t xml:space="preserve">301 W PUTNAM </t>
  </si>
  <si>
    <t>559-784-4636</t>
  </si>
  <si>
    <t>SIERRA VIEW HOMES</t>
  </si>
  <si>
    <t xml:space="preserve">1155 E SPRINGFIELD AVENUE </t>
  </si>
  <si>
    <t>559-638-9226</t>
  </si>
  <si>
    <t>SIGMA ALPHA EPSILON TEXAS RHO</t>
  </si>
  <si>
    <t xml:space="preserve">2414 PEARL STREET </t>
  </si>
  <si>
    <t>512-695-6821</t>
  </si>
  <si>
    <t>SIGMA CHI FRATERNITY (AUBURN UNIV)</t>
  </si>
  <si>
    <t xml:space="preserve">737 W MAGNOLIA AVE </t>
  </si>
  <si>
    <t>334-826-5665</t>
  </si>
  <si>
    <t>SIGMA CHI FRATERNITY (UW)</t>
  </si>
  <si>
    <t xml:space="preserve">4545 18TH AVE NE </t>
  </si>
  <si>
    <t>206-525-3386</t>
  </si>
  <si>
    <t>SIGMA CHI UNC CHAPEL HILL</t>
  </si>
  <si>
    <t xml:space="preserve">102 BIG FRATERNITY COURT </t>
  </si>
  <si>
    <t>310-889-4892</t>
  </si>
  <si>
    <t>SIGMA CHI UT (AKA FABULOUS AFFAIRS)</t>
  </si>
  <si>
    <t xml:space="preserve">2701 NUECES </t>
  </si>
  <si>
    <t>512-653-5237</t>
  </si>
  <si>
    <t>SIGMA NU FRATERNITY-UNIVERSITY OF MS</t>
  </si>
  <si>
    <t xml:space="preserve">61 S POOLE DRIVE </t>
  </si>
  <si>
    <t>662-832-4888</t>
  </si>
  <si>
    <t>SIGMA PHI EPSILON (AUBURN UNIV)</t>
  </si>
  <si>
    <t xml:space="preserve">108 MARY MARTIN HALL </t>
  </si>
  <si>
    <t>334-750-3222</t>
  </si>
  <si>
    <t>SIGMA PI FRATERNITY (AUBURN UNIVERSITY)</t>
  </si>
  <si>
    <t xml:space="preserve">960 WEST MAGNOLIA AVENUE </t>
  </si>
  <si>
    <t>334-246-0245</t>
  </si>
  <si>
    <t>SIGNATURE SPORTS BAR</t>
  </si>
  <si>
    <t xml:space="preserve">30100 TOWN CENTER DRIVE </t>
  </si>
  <si>
    <t>949-891-8284</t>
  </si>
  <si>
    <t>SILENT VALLEY CLUB</t>
  </si>
  <si>
    <t xml:space="preserve">46305 POPPET FLATS ROAD </t>
  </si>
  <si>
    <t>951-849-4501</t>
  </si>
  <si>
    <t>SILEX NURSING CENTER</t>
  </si>
  <si>
    <t xml:space="preserve">145 DUNCAN MANSION ROAD </t>
  </si>
  <si>
    <t>SILEX</t>
  </si>
  <si>
    <t>573-384-5213</t>
  </si>
  <si>
    <t>SILOAM SPRINGS SAC</t>
  </si>
  <si>
    <t xml:space="preserve">1253 W TULSA STREET </t>
  </si>
  <si>
    <t>501-524-5735</t>
  </si>
  <si>
    <t>SILSBEE OAKS HEALTH CENTER</t>
  </si>
  <si>
    <t xml:space="preserve">920 E AVENUE L </t>
  </si>
  <si>
    <t>SILSBEE</t>
  </si>
  <si>
    <t>409-385-5571</t>
  </si>
  <si>
    <t>SILVER BIRCH</t>
  </si>
  <si>
    <t xml:space="preserve">5620 SOHL AVENUE </t>
  </si>
  <si>
    <t>877-882-1495</t>
  </si>
  <si>
    <t>SILVER BIRCH OF MICHIGAN CITY</t>
  </si>
  <si>
    <t xml:space="preserve">4400 E MICHIGAN BLVD </t>
  </si>
  <si>
    <t>219-879-6115</t>
  </si>
  <si>
    <t>SILVER BIRCH OF MUNICE</t>
  </si>
  <si>
    <t xml:space="preserve">2500 W KILGORE AVENUE </t>
  </si>
  <si>
    <t>765-254-0329</t>
  </si>
  <si>
    <t>SILVER CROSS HOME</t>
  </si>
  <si>
    <t xml:space="preserve">503 SILVER CROSS DRIVE </t>
  </si>
  <si>
    <t>601-833-2361</t>
  </si>
  <si>
    <t>SILVER MAPLES OF CHELSEA</t>
  </si>
  <si>
    <t xml:space="preserve">100 SILVER MAPLES DRIVE </t>
  </si>
  <si>
    <t>734-475-4111</t>
  </si>
  <si>
    <t>SILVER OAK COUNTRY ESTATES</t>
  </si>
  <si>
    <t xml:space="preserve">138 SUN VILLA COURT </t>
  </si>
  <si>
    <t>760-415-8216</t>
  </si>
  <si>
    <t>SILVER RIDGE ASSISTED LIVING</t>
  </si>
  <si>
    <t xml:space="preserve">20332 HACKBERRY DR </t>
  </si>
  <si>
    <t>402-332-4280</t>
  </si>
  <si>
    <t>SILVERADO ORCHARDS</t>
  </si>
  <si>
    <t xml:space="preserve">601 POPE STREET </t>
  </si>
  <si>
    <t>ST HELENA</t>
  </si>
  <si>
    <t>707-963-3688</t>
  </si>
  <si>
    <t>SILVERIDGE AN EVENTIDE COMMUNITY</t>
  </si>
  <si>
    <t xml:space="preserve">222 SOUTH 20TH STREET </t>
  </si>
  <si>
    <t>712-263-2639</t>
  </si>
  <si>
    <t>SIMPLEX MAINTENANCE LLC</t>
  </si>
  <si>
    <t xml:space="preserve">1800 N WESTWOOD BLVD </t>
  </si>
  <si>
    <t>573-718-1895</t>
  </si>
  <si>
    <t>SIMPLY EZ OF COLUMBUS</t>
  </si>
  <si>
    <t xml:space="preserve">3593 INTERCHANGE ROAD </t>
  </si>
  <si>
    <t>614-308-1844</t>
  </si>
  <si>
    <t>SISTERS OF ST JOSEPH OF PEACE</t>
  </si>
  <si>
    <t xml:space="preserve">1663 KILLARNEY WAY </t>
  </si>
  <si>
    <t>425-467-5439</t>
  </si>
  <si>
    <t>SITTER AND BARFOOT ENVIRONMENTAL</t>
  </si>
  <si>
    <t xml:space="preserve">1601 BROAD ROCK BLVD. BUILDING 52999E </t>
  </si>
  <si>
    <t>SITTER AND BARFOOT VETERNS CENTER</t>
  </si>
  <si>
    <t xml:space="preserve">1601 BROAD ROCK BLVD </t>
  </si>
  <si>
    <t>804-371-8000</t>
  </si>
  <si>
    <t>SKI BRONCS WATERSKI SHOW TEAM</t>
  </si>
  <si>
    <t xml:space="preserve">235 EVELYN AVENUE </t>
  </si>
  <si>
    <t>815-541-6534</t>
  </si>
  <si>
    <t>SKILL CREATIONS</t>
  </si>
  <si>
    <t xml:space="preserve">P.O. BOX 1636 </t>
  </si>
  <si>
    <t>919-734-7398</t>
  </si>
  <si>
    <t>SKLD ZEELAND</t>
  </si>
  <si>
    <t xml:space="preserve">285 N STATE STREET </t>
  </si>
  <si>
    <t>ZEELAND</t>
  </si>
  <si>
    <t>616-772-4641</t>
  </si>
  <si>
    <t>SKY PARK GARDENS</t>
  </si>
  <si>
    <t xml:space="preserve">5510 SKY PARKWAY </t>
  </si>
  <si>
    <t>916-422-5650</t>
  </si>
  <si>
    <t>SKYLAND CARE CENTER</t>
  </si>
  <si>
    <t xml:space="preserve">193 ASHEVILLE HGWY </t>
  </si>
  <si>
    <t>SYLVA</t>
  </si>
  <si>
    <t>828-586-8935</t>
  </si>
  <si>
    <t>SKYLIGHT CONVALESCENT</t>
  </si>
  <si>
    <t xml:space="preserve">1201 WLANUT AVENUE </t>
  </si>
  <si>
    <t>562-591-7621</t>
  </si>
  <si>
    <t>SKYLINE TERRACE NURSING HOME</t>
  </si>
  <si>
    <t xml:space="preserve">123 LAKEVIEW DRIVE </t>
  </si>
  <si>
    <t>540-459-3738</t>
  </si>
  <si>
    <t>SKYVIEW RANCH</t>
  </si>
  <si>
    <t xml:space="preserve">7241 T.R.319 </t>
  </si>
  <si>
    <t>330-674-7511</t>
  </si>
  <si>
    <t>SLATESTONE GROCERY &amp; GRILL</t>
  </si>
  <si>
    <t xml:space="preserve">2040 SLATESTONE ROAD </t>
  </si>
  <si>
    <t>919-927-3130</t>
  </si>
  <si>
    <t>SLAVATION ARMY - WACO</t>
  </si>
  <si>
    <t xml:space="preserve">500 S 4TH STREET </t>
  </si>
  <si>
    <t xml:space="preserve">WACO </t>
  </si>
  <si>
    <t>254-292-8982</t>
  </si>
  <si>
    <t>SLICE PIZZA &amp; BAR</t>
  </si>
  <si>
    <t xml:space="preserve">477 FOREST AVENUE </t>
  </si>
  <si>
    <t>SLOVENE HOME FOR THE AGED</t>
  </si>
  <si>
    <t xml:space="preserve">18621 NEFF RD </t>
  </si>
  <si>
    <t>216-486-0268</t>
  </si>
  <si>
    <t>SMART START EARLY LEARNING CENTER</t>
  </si>
  <si>
    <t xml:space="preserve">10 SHECKELLS LANE </t>
  </si>
  <si>
    <t>HUNTINGTOWN</t>
  </si>
  <si>
    <t>443-968-2748</t>
  </si>
  <si>
    <t>SMITH HEALTH CARE</t>
  </si>
  <si>
    <t xml:space="preserve">453 SOUTH MAIN ROAD </t>
  </si>
  <si>
    <t>MOUNTAIN TOP</t>
  </si>
  <si>
    <t>570-868-3664</t>
  </si>
  <si>
    <t>SMITH MEDICAL NURSING CARE CTR</t>
  </si>
  <si>
    <t xml:space="preserve">501 E MC CARTY STREET </t>
  </si>
  <si>
    <t>SANDERSVILLE</t>
  </si>
  <si>
    <t>478-552-5155</t>
  </si>
  <si>
    <t>SMITHFIELD MANOR</t>
  </si>
  <si>
    <t xml:space="preserve">902 BERKSHIRE ROAD </t>
  </si>
  <si>
    <t>919-934-3171</t>
  </si>
  <si>
    <t>SMITH'S ADULT CARE</t>
  </si>
  <si>
    <t xml:space="preserve">16069 MARTINSVILLE HWY </t>
  </si>
  <si>
    <t>AXTON</t>
  </si>
  <si>
    <t>434-685-1778</t>
  </si>
  <si>
    <t>SMOKING PIG BBQ COMPANY</t>
  </si>
  <si>
    <t xml:space="preserve">1144 N 4TH ST </t>
  </si>
  <si>
    <t>408-380-4784</t>
  </si>
  <si>
    <t>SMOKING PIG BBQ-FREMONT</t>
  </si>
  <si>
    <t xml:space="preserve">3340 MOWRY AVENUE </t>
  </si>
  <si>
    <t>510-713-1854</t>
  </si>
  <si>
    <t>SNOW COLLEGE</t>
  </si>
  <si>
    <t xml:space="preserve">150 E COLLEGE AVENUE </t>
  </si>
  <si>
    <t>EPHRAIM</t>
  </si>
  <si>
    <t>435-283-7270</t>
  </si>
  <si>
    <t>SNOW LAKE LODGE ASSOCIATION</t>
  </si>
  <si>
    <t xml:space="preserve">41579 BIG BEAR BLVD </t>
  </si>
  <si>
    <t>909-866-4694</t>
  </si>
  <si>
    <t>SNP-FENTON PRIMARY CENTER</t>
  </si>
  <si>
    <t xml:space="preserve">11351 DRONFIELD AVENUE </t>
  </si>
  <si>
    <t>PACOIMA</t>
  </si>
  <si>
    <t>818-896-7482</t>
  </si>
  <si>
    <t>SNYDER NURSING HOME INC.</t>
  </si>
  <si>
    <t xml:space="preserve">11 NORTH BROAD STREET </t>
  </si>
  <si>
    <t>540-389-0160</t>
  </si>
  <si>
    <t>SO. OREGON UNIV. DINING SERVICES</t>
  </si>
  <si>
    <t xml:space="preserve">CASCADE FOOD SVCE-1250 SISKIYOU </t>
  </si>
  <si>
    <t>541-552-6383</t>
  </si>
  <si>
    <t>SO. OREGON UNIV.-CASCADE DINING</t>
  </si>
  <si>
    <t>SO. OREGON UNIV.-RAIDER AID</t>
  </si>
  <si>
    <t>SO. OREGON UNIV.-SU KITCHEN</t>
  </si>
  <si>
    <t>SOCAL POST-ACUTE CARE</t>
  </si>
  <si>
    <t xml:space="preserve">7931 S SORENSEN AVE </t>
  </si>
  <si>
    <t>562-698-0451</t>
  </si>
  <si>
    <t>SOCIETY FOR HANDICAPPED CITIZENS</t>
  </si>
  <si>
    <t xml:space="preserve">624 FAIRVIEW DRIVE </t>
  </si>
  <si>
    <t>937-746-4201</t>
  </si>
  <si>
    <t>SOLANO LIFE HOUSE</t>
  </si>
  <si>
    <t xml:space="preserve">575 SOUTH JEFFERSON STREET </t>
  </si>
  <si>
    <t>707-678-1652</t>
  </si>
  <si>
    <t>SOLHEIM LUTHERAN HOME</t>
  </si>
  <si>
    <t xml:space="preserve">2236 MERTON AVENUE </t>
  </si>
  <si>
    <t>323-257-7518</t>
  </si>
  <si>
    <t>SOLOMON LAKTINEH MD</t>
  </si>
  <si>
    <t xml:space="preserve">780 ATLANTIC AVENUE </t>
  </si>
  <si>
    <t>562-624-1111</t>
  </si>
  <si>
    <t>SOLON RETIREMENT VILLAGE</t>
  </si>
  <si>
    <t xml:space="preserve">523 E 5TH STREET </t>
  </si>
  <si>
    <t>SOLON</t>
  </si>
  <si>
    <t>319-624-3492</t>
  </si>
  <si>
    <t>SOLVANG FRIENDSHIP HOUSE</t>
  </si>
  <si>
    <t xml:space="preserve">880 FRIENDSHIP LANE </t>
  </si>
  <si>
    <t>SOLVANG</t>
  </si>
  <si>
    <t>805-688-8748</t>
  </si>
  <si>
    <t>SOLVANG LUTHERAN HOME</t>
  </si>
  <si>
    <t xml:space="preserve">636 ATTERDAG ROAD </t>
  </si>
  <si>
    <t>805-688-3263</t>
  </si>
  <si>
    <t xml:space="preserve">435 HAMILTON BOULEVARD </t>
  </si>
  <si>
    <t>804-575-5400</t>
  </si>
  <si>
    <t>SONATA VIERA</t>
  </si>
  <si>
    <t xml:space="preserve">3325 BRESLAY DR </t>
  </si>
  <si>
    <t>SONIA SHANKMAN ORTHOGENIC SCHOOL</t>
  </si>
  <si>
    <t xml:space="preserve">6254 S ELLIS AVENUE </t>
  </si>
  <si>
    <t>773-702-1203</t>
  </si>
  <si>
    <t>SORORITY GOURMET</t>
  </si>
  <si>
    <t>SORORITY GOURMET - KAPPA KAPPA GAMMA</t>
  </si>
  <si>
    <t xml:space="preserve">744 HILGARD AVE </t>
  </si>
  <si>
    <t>SOURCEPOINT</t>
  </si>
  <si>
    <t xml:space="preserve">800 CHESHIRE ROAD </t>
  </si>
  <si>
    <t>740-363-6677</t>
  </si>
  <si>
    <t>SOUTH BOSTON MANOR LLC</t>
  </si>
  <si>
    <t xml:space="preserve">406 OAK LANE </t>
  </si>
  <si>
    <t>434-572-2925</t>
  </si>
  <si>
    <t>SOUTH BURLINGTON INTERVENTION PROGRAM</t>
  </si>
  <si>
    <t xml:space="preserve">7 FARRELL STREET </t>
  </si>
  <si>
    <t>802-862-7356</t>
  </si>
  <si>
    <t>SOUTH CENTRAL COLFAX COUNTY SPECIAL HOSPITAL DISTRICT</t>
  </si>
  <si>
    <t xml:space="preserve">615 PROPECT AVENUE </t>
  </si>
  <si>
    <t>SPRINGER</t>
  </si>
  <si>
    <t>575-483-3300</t>
  </si>
  <si>
    <t>SOUTH COUNTY NURSING HOME</t>
  </si>
  <si>
    <t xml:space="preserve">1101 W OUTER 21 ROAD </t>
  </si>
  <si>
    <t>ARNOLD</t>
  </si>
  <si>
    <t>636-296-5455</t>
  </si>
  <si>
    <t>SOUTH DAVIS COMMUNITY HOSPITAL</t>
  </si>
  <si>
    <t xml:space="preserve">401 SOUTH 400 EAST </t>
  </si>
  <si>
    <t>BOUNTIFUL</t>
  </si>
  <si>
    <t>801-295-2361</t>
  </si>
  <si>
    <t>SOUTH HAMPTON NURSING &amp; REHAB</t>
  </si>
  <si>
    <t xml:space="preserve">213 WILSON MANN ROAD </t>
  </si>
  <si>
    <t>OWENS CROSS ROADS</t>
  </si>
  <si>
    <t>256-725-3400</t>
  </si>
  <si>
    <t>SOUTH HAVEN MANOR</t>
  </si>
  <si>
    <t xml:space="preserve">114 NURSING HOME ROAD </t>
  </si>
  <si>
    <t>SOUTH LAWN SHELTERED CARE</t>
  </si>
  <si>
    <t xml:space="preserve">512 S. Franklin </t>
  </si>
  <si>
    <t>BUNKER HILL</t>
  </si>
  <si>
    <t>618-585-4875</t>
  </si>
  <si>
    <t>SOUTH MONTOGMERY COUNTY ACADEMY</t>
  </si>
  <si>
    <t xml:space="preserve">147 OLD SCHOOL HOUSE ROAD </t>
  </si>
  <si>
    <t>GRADY</t>
  </si>
  <si>
    <t>334-502-3235</t>
  </si>
  <si>
    <t>SOUTH RANGE ELEMENTARY AND JEFFERS HIGH SHOOL</t>
  </si>
  <si>
    <t xml:space="preserve">43084 GOODELL STREET </t>
  </si>
  <si>
    <t>PAINESDLE</t>
  </si>
  <si>
    <t>906-482-0599</t>
  </si>
  <si>
    <t>SOUTH ROANOKE NURSING HOME</t>
  </si>
  <si>
    <t xml:space="preserve">3823 FRANKLIN ROAD SW </t>
  </si>
  <si>
    <t>540-344-4325</t>
  </si>
  <si>
    <t>SOUTH TAMPA HEALTH &amp; REHAB</t>
  </si>
  <si>
    <t xml:space="preserve">4610 S MANHATTAN AVE </t>
  </si>
  <si>
    <t>813-839-5311</t>
  </si>
  <si>
    <t>SOUTHAVEN RESIDENTIAL CARE</t>
  </si>
  <si>
    <t xml:space="preserve">612 S BYPASS E </t>
  </si>
  <si>
    <t>SOUTHEAST IOWA BEHAVIORAL HEALTHCARE CENTER</t>
  </si>
  <si>
    <t xml:space="preserve">3140 PLANK ROAD </t>
  </si>
  <si>
    <t>319-524-1800</t>
  </si>
  <si>
    <t>SOUTHEAST MARKETING INC.</t>
  </si>
  <si>
    <t xml:space="preserve">210 HINDS BLVD </t>
  </si>
  <si>
    <t>SOUTHERN ADVENTIST UNIVERSITY</t>
  </si>
  <si>
    <t xml:space="preserve">4881 TAYLOR CIR PO BOX 370 </t>
  </si>
  <si>
    <t>COLLEGEDALE</t>
  </si>
  <si>
    <t>423-236-2336</t>
  </si>
  <si>
    <t>SOUTHERN HERITAGE</t>
  </si>
  <si>
    <t xml:space="preserve">5310 CLEMMONS RD </t>
  </si>
  <si>
    <t>EAST RIDGE</t>
  </si>
  <si>
    <t>423-490-0119</t>
  </si>
  <si>
    <t>SOUTHERN HERITAGE HEALTH &amp; REHAB</t>
  </si>
  <si>
    <t xml:space="preserve">700 MARK DRIVE </t>
  </si>
  <si>
    <t>SOUTHERN HILLS COUNTRY CLUB</t>
  </si>
  <si>
    <t xml:space="preserve">2636 EAST 61ST STREET </t>
  </si>
  <si>
    <t>918-492-3551</t>
  </si>
  <si>
    <t>SOUTHERN MARYLAND HOSPITAL</t>
  </si>
  <si>
    <t xml:space="preserve">7503 SURRATTS ROAD </t>
  </si>
  <si>
    <t>301-868-8000</t>
  </si>
  <si>
    <t>SOUTHERN OKLAHOMA TREATMENT</t>
  </si>
  <si>
    <t xml:space="preserve">1602 NORTH D STREET </t>
  </si>
  <si>
    <t>918-426-1614</t>
  </si>
  <si>
    <t>SOUTHERN SPECIALTY NURSING &amp; REHAB</t>
  </si>
  <si>
    <t xml:space="preserve">4320 19TH ST </t>
  </si>
  <si>
    <t xml:space="preserve">LUBBOCK </t>
  </si>
  <si>
    <t>806-795-1774</t>
  </si>
  <si>
    <t>SOUTHERN SPLURGE</t>
  </si>
  <si>
    <t xml:space="preserve">500 VALLEY FORGE ROAD </t>
  </si>
  <si>
    <t>919-878-5600</t>
  </si>
  <si>
    <t>SOUTHERN SPRINGS HLTH &amp; REHAB</t>
  </si>
  <si>
    <t xml:space="preserve">745 SOUTHERN SPRINGS ROAD </t>
  </si>
  <si>
    <t>UNION SPRINGS</t>
  </si>
  <si>
    <t>334-738-5590</t>
  </si>
  <si>
    <t>SOUTHGATE HEALTH CARE CENTER</t>
  </si>
  <si>
    <t xml:space="preserve">900 EAST 9TH STREET </t>
  </si>
  <si>
    <t>METROPOLIS</t>
  </si>
  <si>
    <t>618-524-2683</t>
  </si>
  <si>
    <t>SOUTHGATE SENIOR LIVING</t>
  </si>
  <si>
    <t xml:space="preserve">1421 W 10TH STREET </t>
  </si>
  <si>
    <t>618-524-6868</t>
  </si>
  <si>
    <t>SOUTHLAND HEALTHCARE CENTER</t>
  </si>
  <si>
    <t xml:space="preserve">722 S DARGAN STREET </t>
  </si>
  <si>
    <t>843-669-4403</t>
  </si>
  <si>
    <t>SOUTHLAND NURSING HOME</t>
  </si>
  <si>
    <t xml:space="preserve">500 SHIVERS TERRACE </t>
  </si>
  <si>
    <t>334-683-6141</t>
  </si>
  <si>
    <t>SOUTHMINSTER</t>
  </si>
  <si>
    <t xml:space="preserve">8919 PARK RD </t>
  </si>
  <si>
    <t>704-551-7113</t>
  </si>
  <si>
    <t>SOUTHRIDGE VILLAGE OF CONWAY</t>
  </si>
  <si>
    <t xml:space="preserve">1306 S DONAGHEY </t>
  </si>
  <si>
    <t>501-362-7023</t>
  </si>
  <si>
    <t>SOUTHRIDGE VILLAGE RETIREMENT CT</t>
  </si>
  <si>
    <t xml:space="preserve">401 SOUTHRIDGE PARKWAY </t>
  </si>
  <si>
    <t>SOUTHSIDE COMMUNITY HOSPITAL</t>
  </si>
  <si>
    <t xml:space="preserve">800 OAK STREET </t>
  </si>
  <si>
    <t>434-392-8811</t>
  </si>
  <si>
    <t>SOUTHWEST FLORIDA MENS CENTER</t>
  </si>
  <si>
    <t xml:space="preserve">5646 SEVENTH AVENUE </t>
  </si>
  <si>
    <t>239-275-1974</t>
  </si>
  <si>
    <t>SOUTHWEST FLORIDA WOMENS HOME</t>
  </si>
  <si>
    <t xml:space="preserve">5424 SEVENTH AVENUE </t>
  </si>
  <si>
    <t>706-596-8731</t>
  </si>
  <si>
    <t>SOUTHWEST OHIO DEVELOPMENTAL CENTER</t>
  </si>
  <si>
    <t xml:space="preserve">4399 EAST BAUMAN LANE </t>
  </si>
  <si>
    <t>513-732-9200</t>
  </si>
  <si>
    <t>SPALDING UNIVERSITY</t>
  </si>
  <si>
    <t xml:space="preserve">812 SOUTH FOURTH STREET </t>
  </si>
  <si>
    <t>502-873-4235</t>
  </si>
  <si>
    <t>SPARC-CORORATE</t>
  </si>
  <si>
    <t xml:space="preserve">232 BRUNS LANE </t>
  </si>
  <si>
    <t>217-793-2100</t>
  </si>
  <si>
    <t>SPARKS SENIORS NUTRITION SITE</t>
  </si>
  <si>
    <t xml:space="preserve">309 SOUTH 6TH </t>
  </si>
  <si>
    <t>918-866-2606</t>
  </si>
  <si>
    <t>SPARTAN SHOPS INC. SJSU</t>
  </si>
  <si>
    <t xml:space="preserve">1125 N 7TH </t>
  </si>
  <si>
    <t>408-924-1852</t>
  </si>
  <si>
    <t>SPARTAN SHOPS SJSU BOOKSTORE</t>
  </si>
  <si>
    <t xml:space="preserve">1125 N 7TH STREET </t>
  </si>
  <si>
    <t>408-924-1850</t>
  </si>
  <si>
    <t>SPARTAN SHOPS SJSU CATERING</t>
  </si>
  <si>
    <t>SPARTAN SHOPS SJSU DINING COMM</t>
  </si>
  <si>
    <t>SPARTAN SHOPS SJSU EVENT CTR</t>
  </si>
  <si>
    <t>SPARTAN SHOPS SJSU GROUNDED</t>
  </si>
  <si>
    <t xml:space="preserve">ONE WASHINGTON SQUARE </t>
  </si>
  <si>
    <t>SPARTAN SHOPS SJSU HOSP MGMT</t>
  </si>
  <si>
    <t xml:space="preserve">211 S 9TH STREET </t>
  </si>
  <si>
    <t>SPARTAN SHOPS SJSU JUST BELOW</t>
  </si>
  <si>
    <t xml:space="preserve">SAN JOSE </t>
  </si>
  <si>
    <t>SPARTAN SHOPS SJSU LE BOULANGER</t>
  </si>
  <si>
    <t>SPARTAN SHOPS SJSU LIB. CAFE</t>
  </si>
  <si>
    <t>SPARTAN SHOPS SJSU MARKET CAFE</t>
  </si>
  <si>
    <t>SPARTAN SHOPS SJSU SBARRO</t>
  </si>
  <si>
    <t>SPARTAN SHOPS SJSU STADIUM CON</t>
  </si>
  <si>
    <t>SPARTAN SHOPS SJSU STADIUM OP</t>
  </si>
  <si>
    <t>SPARTAN SHOPS SJSU STREET EATS</t>
  </si>
  <si>
    <t>SPARTAN SHOPS SJSU STU.U COMM</t>
  </si>
  <si>
    <t>SPARTAN SHOPS SJSU STUDENT UN</t>
  </si>
  <si>
    <t>SPARTAN SHOPS SJSU VILLAGE MKT</t>
  </si>
  <si>
    <t>SPARTAN SHOPSSJSUNUTR-FOOD SCI</t>
  </si>
  <si>
    <t>SPEARFISH NUTRITION</t>
  </si>
  <si>
    <t xml:space="preserve">430 ORIOLE DR </t>
  </si>
  <si>
    <t>605-642-1277</t>
  </si>
  <si>
    <t>SPECIAL CARE</t>
  </si>
  <si>
    <t xml:space="preserve">12201 NORTH WESTERN AVENUE </t>
  </si>
  <si>
    <t>405-752-5112</t>
  </si>
  <si>
    <t>SPECIALTIES PAINTING</t>
  </si>
  <si>
    <t xml:space="preserve">PO BOX 690833 </t>
  </si>
  <si>
    <t>SPECIALTY HOSPITAL OF WASHINGTON DC/MED LINX</t>
  </si>
  <si>
    <t xml:space="preserve">700 CONSTITUTION AVENUE NE </t>
  </si>
  <si>
    <t>202-546-5700</t>
  </si>
  <si>
    <t>SPICEWOOD COTTAGES</t>
  </si>
  <si>
    <t xml:space="preserve">67 LOVING WAY </t>
  </si>
  <si>
    <t>828-452-3822</t>
  </si>
  <si>
    <t>SPICY GREEN GOURMET</t>
  </si>
  <si>
    <t xml:space="preserve">2945 S MIAMI ROAD </t>
  </si>
  <si>
    <t>919-220-6040</t>
  </si>
  <si>
    <t>SPIRO NURSING HOME</t>
  </si>
  <si>
    <t xml:space="preserve">401 SOUTH MAIN STREET </t>
  </si>
  <si>
    <t>SPIRO</t>
  </si>
  <si>
    <t>918-962-2308</t>
  </si>
  <si>
    <t>SPOKANE SCHOOL</t>
  </si>
  <si>
    <t>SPOKANE VALLEY SUPER 8</t>
  </si>
  <si>
    <t xml:space="preserve">2020 N ARGONNE ROAD </t>
  </si>
  <si>
    <t>509-928-4888</t>
  </si>
  <si>
    <t>SPRESSO'S CAFE</t>
  </si>
  <si>
    <t xml:space="preserve">160 BROOKS ROAD </t>
  </si>
  <si>
    <t>SPRING CREEK REHAB &amp; NURSING CENTER</t>
  </si>
  <si>
    <t xml:space="preserve">1205 SOUTH 28TH ST </t>
  </si>
  <si>
    <t>717-565-7000</t>
  </si>
  <si>
    <t>SPRING GARDENS SENIOR LIVING LINDON</t>
  </si>
  <si>
    <t xml:space="preserve">815 W 700 NORTH </t>
  </si>
  <si>
    <t>801-785-0800</t>
  </si>
  <si>
    <t>SPRING HILL MANOR</t>
  </si>
  <si>
    <t xml:space="preserve">P.O. Box 8395 </t>
  </si>
  <si>
    <t>205-342-5623</t>
  </si>
  <si>
    <t>SPRING HILL RECOVERY</t>
  </si>
  <si>
    <t xml:space="preserve">250 SPRING HILL ROAD </t>
  </si>
  <si>
    <t>888-900-1789</t>
  </si>
  <si>
    <t>SPRING HILLS SINGING WOODS</t>
  </si>
  <si>
    <t xml:space="preserve">150 EAST WOODBURY DRIVE </t>
  </si>
  <si>
    <t>937-274-1400</t>
  </si>
  <si>
    <t>SPRING MEADOWS EXTENDED CARE</t>
  </si>
  <si>
    <t xml:space="preserve">1125 CLARION STREET </t>
  </si>
  <si>
    <t>419-866-6124</t>
  </si>
  <si>
    <t>SPRING PARK ASSISTED LIVING</t>
  </si>
  <si>
    <t xml:space="preserve">925 N MAIN ST </t>
  </si>
  <si>
    <t>TRAVELERS REST</t>
  </si>
  <si>
    <t>877-676-3574</t>
  </si>
  <si>
    <t>SPRING RIDGE RETIREMENT TACOMA</t>
  </si>
  <si>
    <t xml:space="preserve">6856 PORTLAND AVENUE E </t>
  </si>
  <si>
    <t>253-474-1093</t>
  </si>
  <si>
    <t>SPRINGDALE SENIOR CENTER ARK</t>
  </si>
  <si>
    <t xml:space="preserve">203 PARK </t>
  </si>
  <si>
    <t>501-751-1521</t>
  </si>
  <si>
    <t>SPRINGFIELD CARE CENTER</t>
  </si>
  <si>
    <t xml:space="preserve">2401 W GRAND </t>
  </si>
  <si>
    <t>417-864-4545</t>
  </si>
  <si>
    <t>SPRINGFIELD CHRISTIAN PRESCHOOL</t>
  </si>
  <si>
    <t xml:space="preserve">400 N BRUNS LANE </t>
  </si>
  <si>
    <t>217-787-7673</t>
  </si>
  <si>
    <t>SPRINGFIELD SUPPORTIVE LIVING</t>
  </si>
  <si>
    <t xml:space="preserve">2034 CLEAR LAKE AVENUE </t>
  </si>
  <si>
    <t>217-522-8843</t>
  </si>
  <si>
    <t>SPRINGMOOR RETIREMENT COMMUNITY</t>
  </si>
  <si>
    <t xml:space="preserve">1500 SAWMILL ROAD </t>
  </si>
  <si>
    <t xml:space="preserve">RALEIGH </t>
  </si>
  <si>
    <t>919-848-7078</t>
  </si>
  <si>
    <t>SPURGEON MANOR</t>
  </si>
  <si>
    <t xml:space="preserve">1204 LINDEN STREET </t>
  </si>
  <si>
    <t>DALLAS CENTER</t>
  </si>
  <si>
    <t>515-992-3735</t>
  </si>
  <si>
    <t>ST ANDREWS SCHOOL</t>
  </si>
  <si>
    <t xml:space="preserve">227 S CHERRY ST </t>
  </si>
  <si>
    <t>804-648-4545</t>
  </si>
  <si>
    <t>ST ANN HOME</t>
  </si>
  <si>
    <t xml:space="preserve">2161 LEONARD NW </t>
  </si>
  <si>
    <t>616-453-7715</t>
  </si>
  <si>
    <t>ST ANNA'S RESIDENCE</t>
  </si>
  <si>
    <t xml:space="preserve">150 BROADWAY ST OFC </t>
  </si>
  <si>
    <t>504-523-3466</t>
  </si>
  <si>
    <t>ST ANTHONY CARE CENTER</t>
  </si>
  <si>
    <t xml:space="preserve">553 SMALLEY AVENUE </t>
  </si>
  <si>
    <t>510-733-3877</t>
  </si>
  <si>
    <t>ST ANTHONY HEALTH CARE INC</t>
  </si>
  <si>
    <t xml:space="preserve">1205 N 14TH STREET </t>
  </si>
  <si>
    <t>765-423-4861</t>
  </si>
  <si>
    <t>ST ANTHONY HEALTHCARE AND REHAB</t>
  </si>
  <si>
    <t xml:space="preserve">6001 AIRLINE DRIVE </t>
  </si>
  <si>
    <t>504-733-8448</t>
  </si>
  <si>
    <t>ST ANTHONY ON THE LAKE</t>
  </si>
  <si>
    <t xml:space="preserve">W280N2101 PROSPECT AVENUE </t>
  </si>
  <si>
    <t>PEWAUKEE</t>
  </si>
  <si>
    <t>262-691-1173</t>
  </si>
  <si>
    <t>ELEGANCE SENIOR LIVING</t>
  </si>
  <si>
    <t xml:space="preserve">ST AUGUSTINE PLANTATION </t>
  </si>
  <si>
    <t xml:space="preserve">2507 OLD ST AUGUSTINE ROAD </t>
  </si>
  <si>
    <t>850-309-1982</t>
  </si>
  <si>
    <t>ST CHRISTOPHER CONVALESCENT</t>
  </si>
  <si>
    <t xml:space="preserve">22822 MYRTLE ST </t>
  </si>
  <si>
    <t>510-537-4844</t>
  </si>
  <si>
    <t>ST CLARE HEALTH &amp; REHAB</t>
  </si>
  <si>
    <t>901-278-3840</t>
  </si>
  <si>
    <t>ST DOMINIC SCHOOL</t>
  </si>
  <si>
    <t xml:space="preserve">3455 NORWOOD ROAD </t>
  </si>
  <si>
    <t>SHAKER HEIGHTS</t>
  </si>
  <si>
    <t>216-561-4400</t>
  </si>
  <si>
    <t>ST DOMINIC VILLAGE</t>
  </si>
  <si>
    <t xml:space="preserve">2401 E HOLCOMBE BLVD </t>
  </si>
  <si>
    <t>713-741-8700</t>
  </si>
  <si>
    <t>ST FRANCES NURSING AND REHAB</t>
  </si>
  <si>
    <t xml:space="preserve">417 INDUSTRIAL PARK DR </t>
  </si>
  <si>
    <t>OBERLIN</t>
  </si>
  <si>
    <t>337-639-2934</t>
  </si>
  <si>
    <t>ST FRANCIS AREA DEVELOPMENTAL CENTER</t>
  </si>
  <si>
    <t xml:space="preserve">3326 HIGHWAY 1 SOUTH </t>
  </si>
  <si>
    <t>FORREST CITY</t>
  </si>
  <si>
    <t>870-633-5270</t>
  </si>
  <si>
    <t>ST FRANCIS ASSISTED CARETURLOCK</t>
  </si>
  <si>
    <t xml:space="preserve">120 20TH CENTURY BLVD </t>
  </si>
  <si>
    <t>209-668-8014</t>
  </si>
  <si>
    <t xml:space="preserve">65 WEST CLOPTON STREET </t>
  </si>
  <si>
    <t>804-231-1043</t>
  </si>
  <si>
    <t>ST FRANCIS HOME SAGINAW</t>
  </si>
  <si>
    <t xml:space="preserve">915 NORTH RIVER ROAD </t>
  </si>
  <si>
    <t>989-781-3151</t>
  </si>
  <si>
    <t>ST FRANCIS NURSING HOME</t>
  </si>
  <si>
    <t xml:space="preserve">630 WEST WOODLAWN AVE </t>
  </si>
  <si>
    <t>210-736-8082</t>
  </si>
  <si>
    <t>ST FRANCIS VILLA</t>
  </si>
  <si>
    <t xml:space="preserve">10411 JEFFERSON HIGHWAY </t>
  </si>
  <si>
    <t>RIVER RIDGE</t>
  </si>
  <si>
    <t>504-738-1060</t>
  </si>
  <si>
    <t>ST FRANCIS WOODS</t>
  </si>
  <si>
    <t xml:space="preserve">3507 N MOLLECK </t>
  </si>
  <si>
    <t>309-688-0093</t>
  </si>
  <si>
    <t>ST IGNATIUS CATHOLIC SCHOOL</t>
  </si>
  <si>
    <t xml:space="preserve">6180 NORTH MERIDIAN ROAD </t>
  </si>
  <si>
    <t>208-888-4759</t>
  </si>
  <si>
    <t>ST JOE MANOR</t>
  </si>
  <si>
    <t xml:space="preserve">10 LAKE DRIVE </t>
  </si>
  <si>
    <t>573-358-2800</t>
  </si>
  <si>
    <t>ST JOHN DAY SCHOOL</t>
  </si>
  <si>
    <t xml:space="preserve">520 NORTH 5TH AVENUE </t>
  </si>
  <si>
    <t>601-422-7245</t>
  </si>
  <si>
    <t>ST JOHNS PLACE ST LOUIS</t>
  </si>
  <si>
    <t xml:space="preserve">3333 BROWN ROAD </t>
  </si>
  <si>
    <t>314-426-2211</t>
  </si>
  <si>
    <t>ST JOSEPH CATHOLIC SCHOOL</t>
  </si>
  <si>
    <t xml:space="preserve">13900 BISCAYNE WEST AVENUE </t>
  </si>
  <si>
    <t>651-423-1658</t>
  </si>
  <si>
    <t>ST JOSEPH SPRINGFIELD</t>
  </si>
  <si>
    <t xml:space="preserve">3306 SOUTH 6TH STREET ROAD </t>
  </si>
  <si>
    <t>217-529-5596</t>
  </si>
  <si>
    <t>ST JOSEPH'S CATHOLIC SCHOOL (K-12)</t>
  </si>
  <si>
    <t xml:space="preserve">124 W 6TH ST </t>
  </si>
  <si>
    <t>701-570-1794</t>
  </si>
  <si>
    <t>ST JOSEPH'S HOME JEFFERSON CITY</t>
  </si>
  <si>
    <t xml:space="preserve">1306 WEST MAIN STREET </t>
  </si>
  <si>
    <t>314-635-0166</t>
  </si>
  <si>
    <t>ST JOSEPH'S MANOR</t>
  </si>
  <si>
    <t>313-882-3800</t>
  </si>
  <si>
    <t>ST JOSEPH'S VILLA AND COURT</t>
  </si>
  <si>
    <t xml:space="preserve">927 7TH STREET </t>
  </si>
  <si>
    <t>DAVID CITY</t>
  </si>
  <si>
    <t>402-367-3045</t>
  </si>
  <si>
    <t>ST LEONARD</t>
  </si>
  <si>
    <t xml:space="preserve">8100 CLYO ROAD </t>
  </si>
  <si>
    <t>937-439-7152</t>
  </si>
  <si>
    <t>ST LOUIS CENTER</t>
  </si>
  <si>
    <t xml:space="preserve">16195 W OLD US HWY 12 </t>
  </si>
  <si>
    <t>734-475-8430</t>
  </si>
  <si>
    <t>ST LUKE HOMES &amp; SERVICES INC</t>
  </si>
  <si>
    <t xml:space="preserve">1301 ST LUKE DRIVE </t>
  </si>
  <si>
    <t>712-262-5931</t>
  </si>
  <si>
    <t>ST LUKE LUTHERAN PORTAGE LAKES</t>
  </si>
  <si>
    <t xml:space="preserve">615 LATHAN LANE </t>
  </si>
  <si>
    <t>330-644-3914</t>
  </si>
  <si>
    <t>ST LUKES HEALTH CARE CENTER</t>
  </si>
  <si>
    <t xml:space="preserve">4201 WOODLAND DRIVE </t>
  </si>
  <si>
    <t>504-393-5666</t>
  </si>
  <si>
    <t>ST LUKE'S HOME</t>
  </si>
  <si>
    <t xml:space="preserve">615 E ADAMS STREET </t>
  </si>
  <si>
    <t>520-628-1512</t>
  </si>
  <si>
    <t>ST MARK'S CATHOLIC SCHOOL</t>
  </si>
  <si>
    <t xml:space="preserve">7503 NORTHVIEW </t>
  </si>
  <si>
    <t>208-375-6651</t>
  </si>
  <si>
    <t>ST MARTINS HOME-LITTLE SISTERS OF THE POOR</t>
  </si>
  <si>
    <t xml:space="preserve">601 MAIDENS CHOICE LANE </t>
  </si>
  <si>
    <t>410-744-9367</t>
  </si>
  <si>
    <t>ST MARY'S ASSISTED LIVING PL HL</t>
  </si>
  <si>
    <t xml:space="preserve">4427 US HIGHWAY 301 </t>
  </si>
  <si>
    <t>252-536-4919</t>
  </si>
  <si>
    <t>ST MARY'S HOME DISABLED CHILDREN</t>
  </si>
  <si>
    <t xml:space="preserve">6171 KEMPSVILLE CIRCLE </t>
  </si>
  <si>
    <t>757-622-2208</t>
  </si>
  <si>
    <t>ST MARY'S HOSPITAL</t>
  </si>
  <si>
    <t xml:space="preserve">5801 BREMO RD </t>
  </si>
  <si>
    <t>804-285-2011</t>
  </si>
  <si>
    <t>ST MARY'S SEWANEE</t>
  </si>
  <si>
    <t xml:space="preserve">770 ST MARYS LANE </t>
  </si>
  <si>
    <t>931-598-5342</t>
  </si>
  <si>
    <t>ST MATTHEW'S SCHOOL</t>
  </si>
  <si>
    <t xml:space="preserve">602 S MAIN ST </t>
  </si>
  <si>
    <t>406-752-6303</t>
  </si>
  <si>
    <t>ST MICHAEL'S EXTENDED CARE</t>
  </si>
  <si>
    <t xml:space="preserve">416 FOURTH ST </t>
  </si>
  <si>
    <t>415-453-4600</t>
  </si>
  <si>
    <t>ST OF CT-CHILD &amp; FAMILY S707</t>
  </si>
  <si>
    <t xml:space="preserve">505 HUDSON STREET </t>
  </si>
  <si>
    <t>860-550-6416</t>
  </si>
  <si>
    <t>ST OF CT-CORRECTIONS S701</t>
  </si>
  <si>
    <t xml:space="preserve">24 WOLCOTT HILL ROAD </t>
  </si>
  <si>
    <t>WETHERSFIELD</t>
  </si>
  <si>
    <t>860-692-7653</t>
  </si>
  <si>
    <t>ST OF CT-DEPARTMENT OF PUBLIC HEALTH</t>
  </si>
  <si>
    <t xml:space="preserve">460 CAPITOL AVENUE </t>
  </si>
  <si>
    <t>203-806-8772</t>
  </si>
  <si>
    <t>ST OF CT-DMHAS BLUE HILLS SUBSTANCE</t>
  </si>
  <si>
    <t xml:space="preserve">1000 HOLMES DRIVE-PO BOX 1240 </t>
  </si>
  <si>
    <t>860-262-6917</t>
  </si>
  <si>
    <t>ST OF CT-DMHAS CVH</t>
  </si>
  <si>
    <t xml:space="preserve">25 SWEET DRIVE LAUNDRY BUILDING </t>
  </si>
  <si>
    <t>ST OF CT-EDUCATION S702</t>
  </si>
  <si>
    <t xml:space="preserve">39 WOODLAND ST </t>
  </si>
  <si>
    <t>860-807-2148</t>
  </si>
  <si>
    <t>ST OF CT-HIGHER ED S709</t>
  </si>
  <si>
    <t xml:space="preserve">PO BOX 2219 </t>
  </si>
  <si>
    <t>860-713-6543</t>
  </si>
  <si>
    <t>ST OF CT-PUBLIC SAFETY TRAINING</t>
  </si>
  <si>
    <t xml:space="preserve">285 PRESTON AVE </t>
  </si>
  <si>
    <t>203-238-6501</t>
  </si>
  <si>
    <t>ST OF CT-RVS</t>
  </si>
  <si>
    <t>ST OF CT-STERN VILLAGE</t>
  </si>
  <si>
    <t xml:space="preserve">200 HEDGEHOG CIRCLE </t>
  </si>
  <si>
    <t>TRUMBULL</t>
  </si>
  <si>
    <t>203-268-3582</t>
  </si>
  <si>
    <t>ST OF CT-SWCMH</t>
  </si>
  <si>
    <t>560-262-6917</t>
  </si>
  <si>
    <t>ST OF CT-THREE RIVERS COMMUNITY COLLEGE</t>
  </si>
  <si>
    <t xml:space="preserve">1600 HOPMEADOW ST </t>
  </si>
  <si>
    <t>ST OF CT-TRAINING SCL S706</t>
  </si>
  <si>
    <t xml:space="preserve">35 THORPE AVENUE </t>
  </si>
  <si>
    <t>203-294-5095</t>
  </si>
  <si>
    <t>ST OF CT-VETERAN AFRS S708</t>
  </si>
  <si>
    <t xml:space="preserve">287 WEST STREET </t>
  </si>
  <si>
    <t>ROCKY HILL</t>
  </si>
  <si>
    <t>860-616-3639</t>
  </si>
  <si>
    <t>ST OF CT-VIRGINIA CONNOLLY RESIDENCE</t>
  </si>
  <si>
    <t xml:space="preserve">574 NEW LONDON TURNPIKE </t>
  </si>
  <si>
    <t>860-658-1147</t>
  </si>
  <si>
    <t>ST PATRICK CATHOLIC SCHOOL</t>
  </si>
  <si>
    <t xml:space="preserve">1000 BOLLING AVENUE </t>
  </si>
  <si>
    <t>757-213-0834</t>
  </si>
  <si>
    <t>ST PAUL ELDER SERVICES INC</t>
  </si>
  <si>
    <t xml:space="preserve">316 E FOURTEENTH STREET </t>
  </si>
  <si>
    <t>920-766-6020</t>
  </si>
  <si>
    <t>ST PAUL'S SCHOOL</t>
  </si>
  <si>
    <t xml:space="preserve">325 PLEASANT STREET </t>
  </si>
  <si>
    <t>603-229-1670</t>
  </si>
  <si>
    <t>ST REGIS RETIREMENT CENTER</t>
  </si>
  <si>
    <t xml:space="preserve">23950 MISSION BLVD </t>
  </si>
  <si>
    <t>510-881-7888</t>
  </si>
  <si>
    <t>ST RICHARDS VILLA</t>
  </si>
  <si>
    <t xml:space="preserve">711 W HWY 82 </t>
  </si>
  <si>
    <t>MUENSTER</t>
  </si>
  <si>
    <t>940-759-2219</t>
  </si>
  <si>
    <t>ST SEBASTIAN SCHOOL</t>
  </si>
  <si>
    <t xml:space="preserve">1747 N 54TH STREET </t>
  </si>
  <si>
    <t>414-453-6850</t>
  </si>
  <si>
    <t>ST SEBASTIAN SCHOOL/PAL</t>
  </si>
  <si>
    <t>ST VINCENT DE PAUL SOCIETY</t>
  </si>
  <si>
    <t xml:space="preserve">208 WEST FRONT STREET </t>
  </si>
  <si>
    <t>330-746-4004</t>
  </si>
  <si>
    <t>ST VINCENT'S HOME</t>
  </si>
  <si>
    <t xml:space="preserve">1440 N 10TH STREET </t>
  </si>
  <si>
    <t>217-224-3780</t>
  </si>
  <si>
    <t>ST. ANDREWS LIVING CENTER INC.</t>
  </si>
  <si>
    <t xml:space="preserve">246 CABARRUS AVENUE WEST </t>
  </si>
  <si>
    <t>704-788-1018</t>
  </si>
  <si>
    <t>ST. FRANCIS NURSING HOME</t>
  </si>
  <si>
    <t xml:space="preserve">4 RIDGEWOOD PARKWAY </t>
  </si>
  <si>
    <t>23602-4415</t>
  </si>
  <si>
    <t>757-886-6500</t>
  </si>
  <si>
    <t>ST. GABRIEL'S CATHOLIC SCHOOL</t>
  </si>
  <si>
    <t xml:space="preserve">2500 WIMBERLY LANE </t>
  </si>
  <si>
    <t>512-327-7755</t>
  </si>
  <si>
    <t>ST. JAMES REHABILITATION AND HEALTHCARE CENTER</t>
  </si>
  <si>
    <t xml:space="preserve">275 MORICHES ROAD </t>
  </si>
  <si>
    <t>ST JAMES</t>
  </si>
  <si>
    <t>631-862-8000</t>
  </si>
  <si>
    <t>ST. JOSEPH OF THE PINES HEALTH</t>
  </si>
  <si>
    <t xml:space="preserve">2660 CAMP EASTER ROAD </t>
  </si>
  <si>
    <t>910-692-1644</t>
  </si>
  <si>
    <t>ST. LUKE ASSISTED LIVING</t>
  </si>
  <si>
    <t xml:space="preserve">2359 JEFFFERSON HIGHWAY </t>
  </si>
  <si>
    <t>540-943-9049</t>
  </si>
  <si>
    <t>ST. LUKE'S HOME FOR ADULTS</t>
  </si>
  <si>
    <t xml:space="preserve">3202 W. MAIN STREET </t>
  </si>
  <si>
    <t>ST. MARK VILLAGE</t>
  </si>
  <si>
    <t xml:space="preserve">2655 NEBRASKA AVE </t>
  </si>
  <si>
    <t>727-785-2580</t>
  </si>
  <si>
    <t>ST. MARK VILLAGE ALF</t>
  </si>
  <si>
    <t xml:space="preserve">880 HIGHLANDS BLVD. </t>
  </si>
  <si>
    <t>727-785-2195</t>
  </si>
  <si>
    <t>ST. MARY'S NURSING CENTER</t>
  </si>
  <si>
    <t xml:space="preserve">21585 PEABODY STREET </t>
  </si>
  <si>
    <t>301-475-5789</t>
  </si>
  <si>
    <t>ST. NORBERT COLLEGE</t>
  </si>
  <si>
    <t xml:space="preserve">100 GRANT STREET </t>
  </si>
  <si>
    <t>920-403-1334</t>
  </si>
  <si>
    <t>ST. NORBERT COLLEGE #1</t>
  </si>
  <si>
    <t>ST. NORBERT COLLEGE #2</t>
  </si>
  <si>
    <t>ST. NORBERT COLLEGE-CAFETERIA</t>
  </si>
  <si>
    <t>ST. NORBERT COLLEGE-ED'S CAFE</t>
  </si>
  <si>
    <t>ST. NORBERT COLLEGE-KRESS INN</t>
  </si>
  <si>
    <t>ST. NORBERT COLLEGE-PHILS</t>
  </si>
  <si>
    <t>STACYVILLE COMMMUNITY NURSING</t>
  </si>
  <si>
    <t xml:space="preserve">413 S BROAD STREET </t>
  </si>
  <si>
    <t>STACYVILLE</t>
  </si>
  <si>
    <t>641-710-2215</t>
  </si>
  <si>
    <t>STAGE COACH MANOR</t>
  </si>
  <si>
    <t xml:space="preserve">6828 OLD STAGE ROAD </t>
  </si>
  <si>
    <t>919-639-6133</t>
  </si>
  <si>
    <t>STAMBAUGH AUDITORIUM</t>
  </si>
  <si>
    <t xml:space="preserve">1000 FIFTH AVENUE </t>
  </si>
  <si>
    <t>330-747-5175</t>
  </si>
  <si>
    <t>STAMPEDE STEAKHOUSE</t>
  </si>
  <si>
    <t xml:space="preserve">5548 STATE HWY 31 </t>
  </si>
  <si>
    <t>STANFORD UNIV. ADMINISTRATIONIIT</t>
  </si>
  <si>
    <t xml:space="preserve">693 PAMPUS LANE </t>
  </si>
  <si>
    <t>STANFORD</t>
  </si>
  <si>
    <t>650-725-1514</t>
  </si>
  <si>
    <t>STANFORD UNIV. ARRILLAGA CAFE</t>
  </si>
  <si>
    <t xml:space="preserve">693 PAMPAS LANE </t>
  </si>
  <si>
    <t>STANFORD UNIV. AVANTI HALLTUDIES</t>
  </si>
  <si>
    <t xml:space="preserve">693 PAMPAS LANEOAD </t>
  </si>
  <si>
    <t>STANFORD UNIV. BEEFEATERS HALLES</t>
  </si>
  <si>
    <t>STANFORD UNIV. BOLLARD EATING CL</t>
  </si>
  <si>
    <t>STANFORD UNIV. BRANNER HALLFE</t>
  </si>
  <si>
    <t>STANFORD UNIV. CENTRAL DINING</t>
  </si>
  <si>
    <t>STANFORD UNIV. COFFEE HOUSE</t>
  </si>
  <si>
    <t xml:space="preserve">459 LAGUNITA DRIVE </t>
  </si>
  <si>
    <t>STANFORD UNIV. CONCESSIONSAFE</t>
  </si>
  <si>
    <t>STANFORD UNIV. CYBER CAFE-STERN</t>
  </si>
  <si>
    <t xml:space="preserve">619 ESCONDIDO ROAD </t>
  </si>
  <si>
    <t>650-725-3143</t>
  </si>
  <si>
    <t>STANFORD UNIV. FLORENCE MOORE</t>
  </si>
  <si>
    <t xml:space="preserve">436 MAYFIELD </t>
  </si>
  <si>
    <t>STANFORD UNIV. LAGUNITA HALL IIT</t>
  </si>
  <si>
    <t>STANFORD UNIV. LAGUNITA LATE NCL</t>
  </si>
  <si>
    <t xml:space="preserve">326 SANTA TERESA ST. </t>
  </si>
  <si>
    <t>STANFORD UNIV. LINX CAFEFEING CL</t>
  </si>
  <si>
    <t xml:space="preserve">318 CAMPUS DRIVEAD </t>
  </si>
  <si>
    <t>STANFORD UNIV. MANZINITAA DIRECT</t>
  </si>
  <si>
    <t>STANFORD UNIV. MIDDLE EARTHALLES</t>
  </si>
  <si>
    <t>STANFORD UNIV. OLIVES CAFEING CL</t>
  </si>
  <si>
    <t>STANFORD UNIV. PEETS COFFEE</t>
  </si>
  <si>
    <t>STANFORD UNIV. RICKER HALL IIIIT</t>
  </si>
  <si>
    <t>STANFORD UNIV. ROW FACILITIESIIT</t>
  </si>
  <si>
    <t>STANFORD UNIV. SCHWAB GRAD SCHIT</t>
  </si>
  <si>
    <t>STANFORD UNIV. STERN HALLOORE</t>
  </si>
  <si>
    <t>STANFORD UNIV. STERNPIZZA DIRECT</t>
  </si>
  <si>
    <t>650-725-1506</t>
  </si>
  <si>
    <t>STANFORD UNIV. STUDENT HOUSINGIT</t>
  </si>
  <si>
    <t xml:space="preserve">795 ESCONDIDO ROAD </t>
  </si>
  <si>
    <t>STANFORD UNIV. TRESSIDERFEING CL</t>
  </si>
  <si>
    <t>STANFORD UNIV. UFS CATERINGESIIT</t>
  </si>
  <si>
    <t>STANFORD UNIV. WILBUR HALL IIIIT</t>
  </si>
  <si>
    <t>STANFORD UNIV. YOST/AMER STUDIES</t>
  </si>
  <si>
    <t>STANFORD UNIVERSITYENCE MOORE</t>
  </si>
  <si>
    <t>STANLEY TOTAL LIVING CENTER</t>
  </si>
  <si>
    <t xml:space="preserve">514 OLD MT HOLLY ROAD </t>
  </si>
  <si>
    <t>704-263-1986</t>
  </si>
  <si>
    <t>STANLEY TOTAL LIVING CENTER-2</t>
  </si>
  <si>
    <t xml:space="preserve">514 OLD MT HOLLY RD </t>
  </si>
  <si>
    <t>STANLEYTOWN HEALTH CARE CENTER</t>
  </si>
  <si>
    <t xml:space="preserve">P.O. BOX 538 </t>
  </si>
  <si>
    <t>STANLEYTOWN</t>
  </si>
  <si>
    <t>540-629-1772</t>
  </si>
  <si>
    <t>STANTON TOWNSHIP PUBLIC SCHOOLS</t>
  </si>
  <si>
    <t xml:space="preserve">50870 HOLMAN SCHOOL ROAD </t>
  </si>
  <si>
    <t>ATLANTIC MINE</t>
  </si>
  <si>
    <t>906-482-2797</t>
  </si>
  <si>
    <t>STARBUCKS COFFEE-UCI STUDENT CTR</t>
  </si>
  <si>
    <t xml:space="preserve">PO BOX 6131 </t>
  </si>
  <si>
    <t>949-824-2233</t>
  </si>
  <si>
    <t>STARLEY COMMONS CAFE</t>
  </si>
  <si>
    <t xml:space="preserve">72 S CENTRAL CAMPUS DRIVE </t>
  </si>
  <si>
    <t>801-587-7962</t>
  </si>
  <si>
    <t>STAT X-RAY OF TEXAS</t>
  </si>
  <si>
    <t xml:space="preserve">2944 MOTLEY DR #410 </t>
  </si>
  <si>
    <t>972-669-1243</t>
  </si>
  <si>
    <t>STATE OF CONNECTICUT</t>
  </si>
  <si>
    <t>STEAK CORRAL #3 WHITTIER</t>
  </si>
  <si>
    <t xml:space="preserve">11605 E WASHINGTON BLVD </t>
  </si>
  <si>
    <t>562-692-7129</t>
  </si>
  <si>
    <t>STELLA MARIS/CARDINAL SHEEHAN CT</t>
  </si>
  <si>
    <t xml:space="preserve">2300 DULANEY VALLEY ROAD </t>
  </si>
  <si>
    <t>410-252-4500</t>
  </si>
  <si>
    <t>STELLAR CARE</t>
  </si>
  <si>
    <t xml:space="preserve">4518 54TH STREET </t>
  </si>
  <si>
    <t>619-287-2920</t>
  </si>
  <si>
    <t>STEPHENS PLACE</t>
  </si>
  <si>
    <t xml:space="preserve">501 SE ELLSWORTH BLVD </t>
  </si>
  <si>
    <t>360-984-3600</t>
  </si>
  <si>
    <t>STEPHENSON NURSING CENTER</t>
  </si>
  <si>
    <t xml:space="preserve">2946 SOUTH WALNUT ROAD </t>
  </si>
  <si>
    <t>815-235-6173</t>
  </si>
  <si>
    <t>STEPS RECOVERY CENTER</t>
  </si>
  <si>
    <t xml:space="preserve">984 S 930 W </t>
  </si>
  <si>
    <t>801-465-5111</t>
  </si>
  <si>
    <t>STETON MANOR</t>
  </si>
  <si>
    <t xml:space="preserve">215 MARCELLA RD </t>
  </si>
  <si>
    <t>757-827-6512</t>
  </si>
  <si>
    <t>STETSON BAPTIST CHURCH</t>
  </si>
  <si>
    <t xml:space="preserve">1025 W MINNESOTA AVENUE </t>
  </si>
  <si>
    <t>386-734-1991</t>
  </si>
  <si>
    <t>STEVE'S STEAKHOUSE</t>
  </si>
  <si>
    <t xml:space="preserve">417 CRESCENT AVE </t>
  </si>
  <si>
    <t>310-510-0333</t>
  </si>
  <si>
    <t>STEWART HOME AND SCHOOL</t>
  </si>
  <si>
    <t xml:space="preserve">4200 LAWRENCEBURG ROAD </t>
  </si>
  <si>
    <t>502-227-4201</t>
  </si>
  <si>
    <t>STEWART HOUSE</t>
  </si>
  <si>
    <t xml:space="preserve">102 SOUTH STREET </t>
  </si>
  <si>
    <t>770-838-0303</t>
  </si>
  <si>
    <t>STILL WATERS</t>
  </si>
  <si>
    <t xml:space="preserve">259 RED BANK CREEK ROAD </t>
  </si>
  <si>
    <t>LOBELVILLE</t>
  </si>
  <si>
    <t>931-593-3700</t>
  </si>
  <si>
    <t>STILLWATER SENIOR LIVING</t>
  </si>
  <si>
    <t xml:space="preserve">1111 UNIVERSITY DRIVE </t>
  </si>
  <si>
    <t>EDWARDSVILLE</t>
  </si>
  <si>
    <t>Emily Bruegge-Klein</t>
  </si>
  <si>
    <t>618-692-2273</t>
  </si>
  <si>
    <t>STILLWATERS COLONIAL RESIDENCE</t>
  </si>
  <si>
    <t xml:space="preserve">2700 COLONIAL DRIVE </t>
  </si>
  <si>
    <t>360-736-1551</t>
  </si>
  <si>
    <t>STOCKBRIDGE VALLEY FOODS</t>
  </si>
  <si>
    <t xml:space="preserve">WEST PETERBORD STREET </t>
  </si>
  <si>
    <t>MUNNSVILLE</t>
  </si>
  <si>
    <t>315-495-3401</t>
  </si>
  <si>
    <t>STODDARD BAPTIST NURSING HOME</t>
  </si>
  <si>
    <t xml:space="preserve">1818 NEWTON ST NW </t>
  </si>
  <si>
    <t>202-328-7400</t>
  </si>
  <si>
    <t>STODDARD GLOBAL CARE</t>
  </si>
  <si>
    <t xml:space="preserve">2601 18TH STREET NE </t>
  </si>
  <si>
    <t>202-536-9879</t>
  </si>
  <si>
    <t>STONE CROSSING CARE CENTER</t>
  </si>
  <si>
    <t xml:space="preserve">836 34TH STREET NW </t>
  </si>
  <si>
    <t>330-492-7131</t>
  </si>
  <si>
    <t>STONEBRIDGE CROSSING RETIREMENT COMMUNITY</t>
  </si>
  <si>
    <t xml:space="preserve">102 WELLMAN CRESCENT </t>
  </si>
  <si>
    <t>SASKATOON</t>
  </si>
  <si>
    <t>S7T 0G3</t>
  </si>
  <si>
    <t>STONEHAVEN ASSISTED LIVING</t>
  </si>
  <si>
    <t xml:space="preserve">101 OLYMPIA </t>
  </si>
  <si>
    <t>MAUMELLE</t>
  </si>
  <si>
    <t>501-803-3335</t>
  </si>
  <si>
    <t>STONES RIVER MANOR RETIREMENT</t>
  </si>
  <si>
    <t xml:space="preserve">205 HAYNES DRIVE </t>
  </si>
  <si>
    <t>615-893-5617</t>
  </si>
  <si>
    <t>STONEWALL MEMORIAL HOSPITAL</t>
  </si>
  <si>
    <t xml:space="preserve">821 N BROADWAY </t>
  </si>
  <si>
    <t>940-989-3551</t>
  </si>
  <si>
    <t>STONEY BROOK</t>
  </si>
  <si>
    <t xml:space="preserve">308 NORRIS LANE </t>
  </si>
  <si>
    <t>318-396-3130</t>
  </si>
  <si>
    <t>STONEY BROOK VILLAGE</t>
  </si>
  <si>
    <t xml:space="preserve">705 S PINE </t>
  </si>
  <si>
    <t>WEST UNION</t>
  </si>
  <si>
    <t>563-422-5690</t>
  </si>
  <si>
    <t>STOW-GLEN RETIREMENT VILLAGE</t>
  </si>
  <si>
    <t xml:space="preserve">4285 KENT ROAD </t>
  </si>
  <si>
    <t>330-686-2545</t>
  </si>
  <si>
    <t>STRAKE JESUIT COLLEGE PREPARATORY</t>
  </si>
  <si>
    <t xml:space="preserve">8900 BELLAIRE BLVD </t>
  </si>
  <si>
    <t>713-490-8103</t>
  </si>
  <si>
    <t>STRATFORD THE</t>
  </si>
  <si>
    <t xml:space="preserve">2460 GLEBE ST. </t>
  </si>
  <si>
    <t>317-733-9560</t>
  </si>
  <si>
    <t>STREAMSIDE ASSISTED LIVING</t>
  </si>
  <si>
    <t xml:space="preserve">1355 EDGEWATER CIRCLE </t>
  </si>
  <si>
    <t xml:space="preserve">NAMPA </t>
  </si>
  <si>
    <t>208-442-0097</t>
  </si>
  <si>
    <t>STROUD HEALTH CARE CENTER SOUTH</t>
  </si>
  <si>
    <t xml:space="preserve">721 WEST OLIVE </t>
  </si>
  <si>
    <t>918-968-2075</t>
  </si>
  <si>
    <t>STROUD REGIONAL MEDICAL CENTER</t>
  </si>
  <si>
    <t xml:space="preserve">2308 HWY 66 WEST </t>
  </si>
  <si>
    <t>918-968-3571</t>
  </si>
  <si>
    <t>STUARTS DRAFT RETIREMENT COMMUNITY</t>
  </si>
  <si>
    <t xml:space="preserve">94 MOUNTAIN VISTA DRIVE </t>
  </si>
  <si>
    <t>STUARTS DRAFT</t>
  </si>
  <si>
    <t>540-932-3050</t>
  </si>
  <si>
    <t>STUBRIK'S STEAK HOUSE FULLERTON</t>
  </si>
  <si>
    <t xml:space="preserve">118 E COMMONWEALTH </t>
  </si>
  <si>
    <t>714-871-1290</t>
  </si>
  <si>
    <t>STUFT PIZZA &amp; BREWING</t>
  </si>
  <si>
    <t xml:space="preserve">24821 DEL PRADO </t>
  </si>
  <si>
    <t>949-240-6444</t>
  </si>
  <si>
    <t>STUTTGART SENIOR CITIZENS CENTER</t>
  </si>
  <si>
    <t xml:space="preserve">806 W 22ND BLDG A &amp; B </t>
  </si>
  <si>
    <t>870-673-2929</t>
  </si>
  <si>
    <t>SUBLETTE CENTER</t>
  </si>
  <si>
    <t xml:space="preserve">333 N. BRIDGER AVENUE </t>
  </si>
  <si>
    <t>PINEDALE</t>
  </si>
  <si>
    <t>307-367-4161</t>
  </si>
  <si>
    <t>SUDBURY PINES EXTENDED CARE</t>
  </si>
  <si>
    <t xml:space="preserve">642 BOSTON POST ROAD </t>
  </si>
  <si>
    <t>SUDBURY</t>
  </si>
  <si>
    <t>978-443-9000</t>
  </si>
  <si>
    <t>SUGAR MOUNTAIN RETREAT</t>
  </si>
  <si>
    <t xml:space="preserve">25396 MOUNTAIN RETREAT </t>
  </si>
  <si>
    <t>WELLING</t>
  </si>
  <si>
    <t>918-456-1010</t>
  </si>
  <si>
    <t>SUMMER HILL NURSING &amp; REHAB</t>
  </si>
  <si>
    <t xml:space="preserve">111 COUNTY ROAD 516 </t>
  </si>
  <si>
    <t>OLD BRIDGE TOWNSHIP</t>
  </si>
  <si>
    <t>732-254-8200</t>
  </si>
  <si>
    <t>SUMMER MEADOWS</t>
  </si>
  <si>
    <t xml:space="preserve">301 HOLLYBROOK DRIVE </t>
  </si>
  <si>
    <t>903-758-7764</t>
  </si>
  <si>
    <t>SUMMERFIELD RETIREMENT LIVING</t>
  </si>
  <si>
    <t xml:space="preserve">911 NO 800 WEST </t>
  </si>
  <si>
    <t>801-434-7581</t>
  </si>
  <si>
    <t>SUMMERSET ASSISTED LIVING</t>
  </si>
  <si>
    <t xml:space="preserve">2341 VEHICLE DR </t>
  </si>
  <si>
    <t>916-768-5158</t>
  </si>
  <si>
    <t>SUMMERSET LINCOLN</t>
  </si>
  <si>
    <t xml:space="preserve">567 3RD STREET </t>
  </si>
  <si>
    <t>916-712-9865</t>
  </si>
  <si>
    <t>SUMMERVILLE AT WESTMINSTER</t>
  </si>
  <si>
    <t xml:space="preserve">45 WASHINGTON ROAD </t>
  </si>
  <si>
    <t>410-751-2300</t>
  </si>
  <si>
    <t>SUMMIT ASSISTED LIVING</t>
  </si>
  <si>
    <t xml:space="preserve">1320 ENTERPRISE DRIVE </t>
  </si>
  <si>
    <t>434-455-1699</t>
  </si>
  <si>
    <t>SUMMIT CHRISTIAN ACADEMY CEDAR PARK</t>
  </si>
  <si>
    <t xml:space="preserve">2121 CYPRESS CREEK RD </t>
  </si>
  <si>
    <t>512-250-1369</t>
  </si>
  <si>
    <t>SUMMIT HEALTH &amp; REHABILITATION CENTER</t>
  </si>
  <si>
    <t xml:space="preserve">1300 ENTERPRISE DRIVE </t>
  </si>
  <si>
    <t>434-845-6045</t>
  </si>
  <si>
    <t>SUMMIT HILLS</t>
  </si>
  <si>
    <t xml:space="preserve">110 SUMMIT HILLS DR </t>
  </si>
  <si>
    <t>864-582-5561</t>
  </si>
  <si>
    <t>SUMMIT LIVING CENTER</t>
  </si>
  <si>
    <t xml:space="preserve">119 N 6TH ST </t>
  </si>
  <si>
    <t>OKEENE</t>
  </si>
  <si>
    <t>580-822-4441</t>
  </si>
  <si>
    <t>SUMMIT OF HIDDEN VALLEY</t>
  </si>
  <si>
    <t xml:space="preserve">438 23RD STREET </t>
  </si>
  <si>
    <t>304-469-2088</t>
  </si>
  <si>
    <t>SUMMIT PREPARATORY SCHOOL</t>
  </si>
  <si>
    <t xml:space="preserve">1605 DANIELSON RD </t>
  </si>
  <si>
    <t>406-758-8160</t>
  </si>
  <si>
    <t>SUMMIT VILLA LIFECARE</t>
  </si>
  <si>
    <t xml:space="preserve">229 KAREN </t>
  </si>
  <si>
    <t>HOLTS SUMMIT</t>
  </si>
  <si>
    <t>573-896-8567</t>
  </si>
  <si>
    <t>SUMMITVIEW HEALTHCARE CENTER</t>
  </si>
  <si>
    <t xml:space="preserve">3801 SUMMITVIEW AVENUE </t>
  </si>
  <si>
    <t>509-965-5245</t>
  </si>
  <si>
    <t>SUN CITY HEALTH &amp; REHAB CENTER</t>
  </si>
  <si>
    <t xml:space="preserve">9940 W UNION HILLS DRIVE </t>
  </si>
  <si>
    <t>623-933-0022</t>
  </si>
  <si>
    <t>SUN TOWER YAKIMA</t>
  </si>
  <si>
    <t xml:space="preserve">6 NORTH SIXTH STREET </t>
  </si>
  <si>
    <t>SUNCREST HEALTH CARE CENTER-MENU ONLY</t>
  </si>
  <si>
    <t xml:space="preserve">2211 E SOUTHERN AVENUE </t>
  </si>
  <si>
    <t xml:space="preserve">PHOENIX </t>
  </si>
  <si>
    <t>602-305-7134</t>
  </si>
  <si>
    <t>SUNDALE NURSING HOME</t>
  </si>
  <si>
    <t xml:space="preserve">800 J.D. ANDERSON DRIVE </t>
  </si>
  <si>
    <t>304-599-0497</t>
  </si>
  <si>
    <t>SUNLAND HOME FOUNDATION</t>
  </si>
  <si>
    <t xml:space="preserve">691 SPARTA DRIVE </t>
  </si>
  <si>
    <t>760-944-2976</t>
  </si>
  <si>
    <t>SUNLIGHT DETOX INC</t>
  </si>
  <si>
    <t xml:space="preserve">900 GLADES ROAD SUITE 1A </t>
  </si>
  <si>
    <t>561-222-1719</t>
  </si>
  <si>
    <t>SUNNY CREST HOME</t>
  </si>
  <si>
    <t xml:space="preserve">2587 VALLEY VIEW ROAD </t>
  </si>
  <si>
    <t>610-286-5000</t>
  </si>
  <si>
    <t>SUNNY HILL CARE CENTER</t>
  </si>
  <si>
    <t xml:space="preserve">1708 HARDING STREET </t>
  </si>
  <si>
    <t>TAMA</t>
  </si>
  <si>
    <t>641-484-4061</t>
  </si>
  <si>
    <t>SUNNY HILL NURSING-WILL COUNTY</t>
  </si>
  <si>
    <t xml:space="preserve">421 DORIS AVENUE </t>
  </si>
  <si>
    <t>815-727-8710</t>
  </si>
  <si>
    <t>SUNNY HILLS ASSISTED LIVING</t>
  </si>
  <si>
    <t xml:space="preserve">8717 W OLYMPIC BLVD </t>
  </si>
  <si>
    <t>310-652-4047</t>
  </si>
  <si>
    <t>SUNNY VIEW CARE CENTER</t>
  </si>
  <si>
    <t xml:space="preserve">410 NW ASH DRIVE </t>
  </si>
  <si>
    <t>515-964-1101</t>
  </si>
  <si>
    <t>SUNNY VISTA LIVING CENTER</t>
  </si>
  <si>
    <t xml:space="preserve">2445 E CACHE LA POUDRA </t>
  </si>
  <si>
    <t>719-471-8700</t>
  </si>
  <si>
    <t>SUNNYBROOK ALZHEIMER'S &amp; HEALTH CARE SPECIALISTS</t>
  </si>
  <si>
    <t xml:space="preserve">25 SUNNYBROOK DRIVE </t>
  </si>
  <si>
    <t>919-231-6150</t>
  </si>
  <si>
    <t>SUNNYCREST MANOR</t>
  </si>
  <si>
    <t xml:space="preserve">2375 ROOSEVELT STREET </t>
  </si>
  <si>
    <t>563-583-1781</t>
  </si>
  <si>
    <t>SUNNYSIDE GARDENS</t>
  </si>
  <si>
    <t xml:space="preserve">1025 CARSON DR </t>
  </si>
  <si>
    <t>408-730-4070</t>
  </si>
  <si>
    <t>SUNNYSIDE NURSING CENTER</t>
  </si>
  <si>
    <t xml:space="preserve">22617 S VERMONT AVENUE </t>
  </si>
  <si>
    <t>310-320-4130</t>
  </si>
  <si>
    <t>SUNNYSIDE REHAB OF FRESNO</t>
  </si>
  <si>
    <t xml:space="preserve">2939 SOUTH PEACH AVENUE </t>
  </si>
  <si>
    <t>559-233-6248</t>
  </si>
  <si>
    <t>SUNNYSIDE RETIREMENT CENTER</t>
  </si>
  <si>
    <t xml:space="preserve">22711 S VERMONT AVENUE </t>
  </si>
  <si>
    <t>310-320-3318</t>
  </si>
  <si>
    <t>SUNRIDGE OF WEST JORDAN</t>
  </si>
  <si>
    <t xml:space="preserve">7037 SOUTH 4800 WEST </t>
  </si>
  <si>
    <t>801-280-2244</t>
  </si>
  <si>
    <t>SUNRISE COUNTRY MANOR</t>
  </si>
  <si>
    <t xml:space="preserve">610 224TH ROAD </t>
  </si>
  <si>
    <t>402-761-3230</t>
  </si>
  <si>
    <t>SUNRISE HILL CARE CENTER</t>
  </si>
  <si>
    <t xml:space="preserve">909 6TH STREET </t>
  </si>
  <si>
    <t>TRAER</t>
  </si>
  <si>
    <t>319-478-2730</t>
  </si>
  <si>
    <t>SUNRISE HOMES LISBON</t>
  </si>
  <si>
    <t xml:space="preserve">38655 SALTWELL ROAD </t>
  </si>
  <si>
    <t>330-424-1418</t>
  </si>
  <si>
    <t>SUNRISE HOSPICE HOME</t>
  </si>
  <si>
    <t xml:space="preserve">1940 S 375 E </t>
  </si>
  <si>
    <t>435-535-6512</t>
  </si>
  <si>
    <t xml:space="preserve">3434 STATE ROUTE 132 </t>
  </si>
  <si>
    <t>AMELIA</t>
  </si>
  <si>
    <t>513-797-5144</t>
  </si>
  <si>
    <t>SUNRISE OF SAN RAFAEL</t>
  </si>
  <si>
    <t xml:space="preserve">111 MERRYDALE ROAD </t>
  </si>
  <si>
    <t>415-472-6530</t>
  </si>
  <si>
    <t>SUNRISE TERRACE</t>
  </si>
  <si>
    <t xml:space="preserve">706 W CENTRAL AVE PO BOX 30 </t>
  </si>
  <si>
    <t>319-257-3303</t>
  </si>
  <si>
    <t>SUNRISE VIEW CONV &amp; RETIREMENT</t>
  </si>
  <si>
    <t xml:space="preserve">2520 MADISON STREET </t>
  </si>
  <si>
    <t>425-353-4040</t>
  </si>
  <si>
    <t>SUNSET ESTATES PURCELL</t>
  </si>
  <si>
    <t xml:space="preserve">915 N 7TH </t>
  </si>
  <si>
    <t>PURCELL</t>
  </si>
  <si>
    <t>405-527-2122</t>
  </si>
  <si>
    <t>SUNSET HOME ASSISTED LIVING</t>
  </si>
  <si>
    <t xml:space="preserve">510 920 HWY 95 </t>
  </si>
  <si>
    <t>BONNERS FERRY</t>
  </si>
  <si>
    <t>208-267-0260</t>
  </si>
  <si>
    <t xml:space="preserve">SUNSET HOME OF QUINCY </t>
  </si>
  <si>
    <t xml:space="preserve">418 WASHINGTON ST </t>
  </si>
  <si>
    <t>217-223-2636</t>
  </si>
  <si>
    <t>SUNSET MANOR</t>
  </si>
  <si>
    <t xml:space="preserve">251 14TH AVENUE </t>
  </si>
  <si>
    <t>GUIN</t>
  </si>
  <si>
    <t>205-468-3331</t>
  </si>
  <si>
    <t>SUNSHINE ACRES RESIDENTIAL CARE</t>
  </si>
  <si>
    <t xml:space="preserve">541 ROCK ROAD </t>
  </si>
  <si>
    <t>BOURBON</t>
  </si>
  <si>
    <t>573-732-5366</t>
  </si>
  <si>
    <t>SUNSHINE ASSISTED LIVING</t>
  </si>
  <si>
    <t xml:space="preserve">1468 SUN MANOR </t>
  </si>
  <si>
    <t>PARADISE</t>
  </si>
  <si>
    <t>530-877-4463</t>
  </si>
  <si>
    <t>SUNSHINE CORNERS INC.</t>
  </si>
  <si>
    <t xml:space="preserve">141 PRECISION AVE </t>
  </si>
  <si>
    <t>STRASBURG</t>
  </si>
  <si>
    <t>717-687-8663</t>
  </si>
  <si>
    <t>SUNSHINE EXTENDED SERVICES INC</t>
  </si>
  <si>
    <t xml:space="preserve">2501 W LA HABRA BLVD #4 </t>
  </si>
  <si>
    <t>562-691-3573</t>
  </si>
  <si>
    <t>SUNSHINE GARDENS</t>
  </si>
  <si>
    <t xml:space="preserve">442 COMFORT DRIVE </t>
  </si>
  <si>
    <t>618-364-0482</t>
  </si>
  <si>
    <t>SUNSHINE HEALTH AND REHAB</t>
  </si>
  <si>
    <t xml:space="preserve">10410 EAST 9TH AVENUE </t>
  </si>
  <si>
    <t>509-926-3547</t>
  </si>
  <si>
    <t>SUNSPIRE HEALTH HEARTLAND</t>
  </si>
  <si>
    <t xml:space="preserve">1237 EAST 1600 NORTH RAOD </t>
  </si>
  <si>
    <t>GILMAN</t>
  </si>
  <si>
    <t>815-671-4392</t>
  </si>
  <si>
    <t>SUNY POTSDAM-PACES DINING SRVCS</t>
  </si>
  <si>
    <t xml:space="preserve">44 PIERREPONT AVE </t>
  </si>
  <si>
    <t>POTSDAM</t>
  </si>
  <si>
    <t>315-267-2657</t>
  </si>
  <si>
    <t>SUPER DUPER BURGERS-CHESTNUT</t>
  </si>
  <si>
    <t xml:space="preserve">2201 CHESTNUT STREET </t>
  </si>
  <si>
    <t>415-931-6258</t>
  </si>
  <si>
    <t>SUPER DUPER BURGERS-MARKET</t>
  </si>
  <si>
    <t xml:space="preserve">2304 MARKET STREET </t>
  </si>
  <si>
    <t>415-558-8123</t>
  </si>
  <si>
    <t>SUPER DUPER BURGERS-MARKET ST II</t>
  </si>
  <si>
    <t xml:space="preserve">721 MARKET STREET </t>
  </si>
  <si>
    <t>415-882-1750</t>
  </si>
  <si>
    <t>SUPER DUPER BURGERS-MILLER</t>
  </si>
  <si>
    <t xml:space="preserve">430 MILLER AVENUE </t>
  </si>
  <si>
    <t>415-380-8555</t>
  </si>
  <si>
    <t>SUPER DUPER BURGERS-MISSION</t>
  </si>
  <si>
    <t xml:space="preserve">98 MISSION STREET </t>
  </si>
  <si>
    <t>415-974-1200</t>
  </si>
  <si>
    <t>SUPER DUPER BURGERS-MISSION ST II</t>
  </si>
  <si>
    <t xml:space="preserve">783 MISSION STREET </t>
  </si>
  <si>
    <t xml:space="preserve">SAN FRANCISCO </t>
  </si>
  <si>
    <t>SUPER DUPER BURGERS-NOVATO</t>
  </si>
  <si>
    <t xml:space="preserve">5800 NAVE DRIVE #C </t>
  </si>
  <si>
    <t>714-588-7843</t>
  </si>
  <si>
    <t>SUPER DUPER BURGERS-STEVENS CREEK</t>
  </si>
  <si>
    <t xml:space="preserve">2855 STEVENS CREEK BLVD #2465 </t>
  </si>
  <si>
    <t>408-248-4451</t>
  </si>
  <si>
    <t>SUPER DUPER-KEARNY</t>
  </si>
  <si>
    <t xml:space="preserve">346 KEARNY STREET </t>
  </si>
  <si>
    <t>415-550-8626</t>
  </si>
  <si>
    <t>SUPERIOR PARK</t>
  </si>
  <si>
    <t xml:space="preserve">410 SUPERIOR STREET </t>
  </si>
  <si>
    <t>EXCELSIOR SPRING</t>
  </si>
  <si>
    <t>816-630-3177</t>
  </si>
  <si>
    <t>SUREST PATH RECOVERY CENTER OF BLOOMVILLE</t>
  </si>
  <si>
    <t xml:space="preserve">22 SOUTH CLINTON STREET </t>
  </si>
  <si>
    <t xml:space="preserve">BLOOMVILLE </t>
  </si>
  <si>
    <t>419-983-4100</t>
  </si>
  <si>
    <t>SUREST PATH TO RECOVERY OF FREMONT</t>
  </si>
  <si>
    <t xml:space="preserve">825 JUNE STREET </t>
  </si>
  <si>
    <t>SURF BOWL</t>
  </si>
  <si>
    <t xml:space="preserve">1401 SOUTH COAST HIGHWAY </t>
  </si>
  <si>
    <t>760-722-1371</t>
  </si>
  <si>
    <t>SURRY COMMUNITY NURSING CENTER</t>
  </si>
  <si>
    <t xml:space="preserve">542 ALLRED MILL ROAD </t>
  </si>
  <si>
    <t>MT. AIRY</t>
  </si>
  <si>
    <t>336-789-5076</t>
  </si>
  <si>
    <t>SW OK COMMUNITY ACTION GROUP</t>
  </si>
  <si>
    <t xml:space="preserve">905 N WILLARD </t>
  </si>
  <si>
    <t>SWAN MANOR ASSISTED LIVING</t>
  </si>
  <si>
    <t xml:space="preserve">2508 WARD ROAD </t>
  </si>
  <si>
    <t>281-422-9030</t>
  </si>
  <si>
    <t>SWANTON HEALTH CARE &amp; RETIREMENT</t>
  </si>
  <si>
    <t xml:space="preserve">214 S MUNSON ROAD </t>
  </si>
  <si>
    <t>419-825-1145</t>
  </si>
  <si>
    <t>SWARTHMORE COLLEGE</t>
  </si>
  <si>
    <t xml:space="preserve">500 COLLEGE AVE. </t>
  </si>
  <si>
    <t>SWARTHMORE</t>
  </si>
  <si>
    <t>610-328-8139</t>
  </si>
  <si>
    <t>SWAU FOODSERVICE</t>
  </si>
  <si>
    <t xml:space="preserve">106 N MOCKINGBIRD ST </t>
  </si>
  <si>
    <t>817-202-6296</t>
  </si>
  <si>
    <t>SWEET BRIAR</t>
  </si>
  <si>
    <t xml:space="preserve">505 CALDWELL LANE </t>
  </si>
  <si>
    <t>304-744-7400</t>
  </si>
  <si>
    <t>SWEETHAVEN CHRISTIAN SCHOOL</t>
  </si>
  <si>
    <t xml:space="preserve">5000 W. NORFOLK ROAD </t>
  </si>
  <si>
    <t>757-484-4082</t>
  </si>
  <si>
    <t>SWK CAFE DEL SOL (U OF TX)</t>
  </si>
  <si>
    <t xml:space="preserve">6002 JAIN LANE </t>
  </si>
  <si>
    <t>512-287-5002</t>
  </si>
  <si>
    <t>SYCAMORE MANOR HEALTH CENTER</t>
  </si>
  <si>
    <t xml:space="preserve">1445 SYCAMORE ROAD </t>
  </si>
  <si>
    <t>570-326-2037</t>
  </si>
  <si>
    <t>SYCAMORES TERRACE</t>
  </si>
  <si>
    <t xml:space="preserve">1427 LEBANON PIKE </t>
  </si>
  <si>
    <t>615-242-2412</t>
  </si>
  <si>
    <t>SYLACAUGA HEALTH CARE CENTER</t>
  </si>
  <si>
    <t xml:space="preserve">1007 W FORT WILLIAMS </t>
  </si>
  <si>
    <t>SYLACAUGA</t>
  </si>
  <si>
    <t>256-245-7402</t>
  </si>
  <si>
    <t>SYLVESTRY (THE)</t>
  </si>
  <si>
    <t xml:space="preserve">1728 KIRBY ROAD </t>
  </si>
  <si>
    <t>SYMEON'S GREEK RESTAURANT</t>
  </si>
  <si>
    <t xml:space="preserve">4941 COMMERCIAL DRIVE </t>
  </si>
  <si>
    <t>T.C. VAUGHN SENIOR ADULT CENTER</t>
  </si>
  <si>
    <t xml:space="preserve">706 N DIVISION </t>
  </si>
  <si>
    <t>MORRILTON</t>
  </si>
  <si>
    <t>501-354-8044</t>
  </si>
  <si>
    <t>TABOR HILLS HEALTHCARE FACILITY</t>
  </si>
  <si>
    <t xml:space="preserve">1347 CRYSTAL AVENUE </t>
  </si>
  <si>
    <t>630-778-6677</t>
  </si>
  <si>
    <t>TABOR HILLS SUPPORTIVE LIVING</t>
  </si>
  <si>
    <t xml:space="preserve">1439 MCDOWELL ROAD </t>
  </si>
  <si>
    <t>TABOR MANOR CARE CENTER</t>
  </si>
  <si>
    <t xml:space="preserve">209 MAIN STREET </t>
  </si>
  <si>
    <t>TABOR</t>
  </si>
  <si>
    <t>712-629-2645</t>
  </si>
  <si>
    <t>TACO SHACK</t>
  </si>
  <si>
    <t xml:space="preserve">510 E STATE STREET </t>
  </si>
  <si>
    <t>909-307-3238</t>
  </si>
  <si>
    <t>TACO SURF</t>
  </si>
  <si>
    <t xml:space="preserve">34195 PACIFIC COAST HIGHWAY </t>
  </si>
  <si>
    <t>949-661-5754</t>
  </si>
  <si>
    <t>TACOMA NURSING AND REHABILITATION</t>
  </si>
  <si>
    <t xml:space="preserve">2102 S 96TH STREET </t>
  </si>
  <si>
    <t>253-581-2514</t>
  </si>
  <si>
    <t>TALBOT HOSPICE</t>
  </si>
  <si>
    <t xml:space="preserve">586 CYNWOOD DRIVE </t>
  </si>
  <si>
    <t>410-822-6681</t>
  </si>
  <si>
    <t>TALLAHASSEE MENS CENTER-TEEN CHALLENGE</t>
  </si>
  <si>
    <t xml:space="preserve">4141 APALACHEE PARKWAY </t>
  </si>
  <si>
    <t>850-385-8336</t>
  </si>
  <si>
    <t>TAMARACK CAFE</t>
  </si>
  <si>
    <t xml:space="preserve">153 ROUTE 28 </t>
  </si>
  <si>
    <t>INLET</t>
  </si>
  <si>
    <t>315-357-2001</t>
  </si>
  <si>
    <t>TAMMY LYNN CENTER FOR D.D.</t>
  </si>
  <si>
    <t xml:space="preserve">739 CHAPPELL DRIVE </t>
  </si>
  <si>
    <t>919-832-3909</t>
  </si>
  <si>
    <t>TAMPICO TERRACE</t>
  </si>
  <si>
    <t xml:space="preserve">130 TAMPICO </t>
  </si>
  <si>
    <t>925-933-7970</t>
  </si>
  <si>
    <t>TANGLEWOOD HOME FOR ADULTS</t>
  </si>
  <si>
    <t xml:space="preserve">4401 MIDLAND TRAIL </t>
  </si>
  <si>
    <t>540-962-8759</t>
  </si>
  <si>
    <t>TANGLEWOOD VILLAGE</t>
  </si>
  <si>
    <t xml:space="preserve">1293 SOUTH 34TH STREET </t>
  </si>
  <si>
    <t>217-423-5838</t>
  </si>
  <si>
    <t>TAOS HEALTHCARE</t>
  </si>
  <si>
    <t xml:space="preserve">1340 MAESTAS ROAD </t>
  </si>
  <si>
    <t>TAOS</t>
  </si>
  <si>
    <t>575-758-2300</t>
  </si>
  <si>
    <t>TAPESTRY</t>
  </si>
  <si>
    <t xml:space="preserve">178 LINDEN STREET </t>
  </si>
  <si>
    <t>TAPESTRY HOUSE</t>
  </si>
  <si>
    <t xml:space="preserve">2725 HOLCOMB BRIDGE ROAD </t>
  </si>
  <si>
    <t>770-649-0808</t>
  </si>
  <si>
    <t>TARA PLANTATION OF CARTHAGE</t>
  </si>
  <si>
    <t xml:space="preserve">820 MCNEILL STREET </t>
  </si>
  <si>
    <t>910-947-5888</t>
  </si>
  <si>
    <t>TARBORO NURSING CENTER</t>
  </si>
  <si>
    <t xml:space="preserve">911 WESTERN BLVD </t>
  </si>
  <si>
    <t>252-832-2041</t>
  </si>
  <si>
    <t>TARRYTOWNE ESTATES</t>
  </si>
  <si>
    <t xml:space="preserve">1815 ENCLAVE PKWY </t>
  </si>
  <si>
    <t>281-220-9054</t>
  </si>
  <si>
    <t>TARZANA HEALTH &amp; REHAB</t>
  </si>
  <si>
    <t xml:space="preserve">5650 RESEDA BLVD </t>
  </si>
  <si>
    <t>818-881-4261</t>
  </si>
  <si>
    <t>TARZANA TREATMENT CENTER - LONG BEACH</t>
  </si>
  <si>
    <t xml:space="preserve">2101 MAGNOLIA AVENUE </t>
  </si>
  <si>
    <t>562-428-4111</t>
  </si>
  <si>
    <t>TARZANA TREATMENT CENTER - TARZANA</t>
  </si>
  <si>
    <t>TAVERN ON THE COAST</t>
  </si>
  <si>
    <t xml:space="preserve">34212 PACIFIC COAST HIGHWAY </t>
  </si>
  <si>
    <t>949-415-5888</t>
  </si>
  <si>
    <t>TAYLOR BROWN GARDEN</t>
  </si>
  <si>
    <t xml:space="preserve">111 LUCY AVE PO BOX 1731 </t>
  </si>
  <si>
    <t>901-946-1561</t>
  </si>
  <si>
    <t>TAYLOR EXTENDED CARE FACILITY</t>
  </si>
  <si>
    <t xml:space="preserve">468 HIGHWAY 70 EAST </t>
  </si>
  <si>
    <t>SEALEVEL</t>
  </si>
  <si>
    <t>252-225-4611</t>
  </si>
  <si>
    <t>TCR ASSOCIATES</t>
  </si>
  <si>
    <t xml:space="preserve">8162 PERRY HIGHWAY </t>
  </si>
  <si>
    <t>412-366-2877</t>
  </si>
  <si>
    <t>TC'S CAFETERIA</t>
  </si>
  <si>
    <t xml:space="preserve">5805 N LAMAR </t>
  </si>
  <si>
    <t>512-424-5499</t>
  </si>
  <si>
    <t>TEDDY BEAR RESTAURANT</t>
  </si>
  <si>
    <t xml:space="preserve">583 PINE KNOT BLVD </t>
  </si>
  <si>
    <t>909-866-5415</t>
  </si>
  <si>
    <t>TEDDY'S RESTAURANT</t>
  </si>
  <si>
    <t xml:space="preserve">851 BLACK RIVER BLVD N </t>
  </si>
  <si>
    <t>315-838-8001</t>
  </si>
  <si>
    <t>TEEN CHALLENGE DIXON WOMENS HOME</t>
  </si>
  <si>
    <t xml:space="preserve">86 BURNT MILL ROAD </t>
  </si>
  <si>
    <t>270-639-7366</t>
  </si>
  <si>
    <t>TEEN CHALLENGE SOUTHEAST REGION</t>
  </si>
  <si>
    <t xml:space="preserve">15 WEST 10TH STREET </t>
  </si>
  <si>
    <t>TEEN CHALLENGE-COLUMBUS WOMENS HOME</t>
  </si>
  <si>
    <t xml:space="preserve">5304 HURST DRIVE </t>
  </si>
  <si>
    <t>706-507-3705</t>
  </si>
  <si>
    <t>TEEN CHALLENGE-WESTERN KENTUCKY MENS CENTER</t>
  </si>
  <si>
    <t xml:space="preserve">231 KY-2839 </t>
  </si>
  <si>
    <t xml:space="preserve">1200 TEL HAI CIRCLE </t>
  </si>
  <si>
    <t>610-273-9333</t>
  </si>
  <si>
    <t>TELECARE CORPORATION</t>
  </si>
  <si>
    <t xml:space="preserve">1080 MARINA VILLAGE PKWY 100 </t>
  </si>
  <si>
    <t>TELECARE KING COUNTY E &amp; T</t>
  </si>
  <si>
    <t xml:space="preserve">33480 13TH PLACE S </t>
  </si>
  <si>
    <t>TELOS RESIDENTIAL TREATMENT</t>
  </si>
  <si>
    <t xml:space="preserve">870 W. CENTER ST </t>
  </si>
  <si>
    <t>801-426-8800</t>
  </si>
  <si>
    <t>TEMPLE MANOR NURSING HOME</t>
  </si>
  <si>
    <t xml:space="preserve">100 GREEN AVENUE </t>
  </si>
  <si>
    <t>TEMPLE</t>
  </si>
  <si>
    <t>580-342-6228</t>
  </si>
  <si>
    <t>TENDERNEST ASSISTED LIVING</t>
  </si>
  <si>
    <t xml:space="preserve">4040 PARKHILL DRIVE </t>
  </si>
  <si>
    <t>406-655-9100</t>
  </si>
  <si>
    <t>TENKILLER BEHAVIORAL SERVICES</t>
  </si>
  <si>
    <t xml:space="preserve">27753 SOUTH WELLING ROAD </t>
  </si>
  <si>
    <t>TENKILLER BEHAVIORAL SERVICES WATTS</t>
  </si>
  <si>
    <t xml:space="preserve">202 MAIN STREET </t>
  </si>
  <si>
    <t>918-422-4888</t>
  </si>
  <si>
    <t>TENNESSEE CHILDRENS HOME</t>
  </si>
  <si>
    <t xml:space="preserve">6896 HIGHWAY 70 </t>
  </si>
  <si>
    <t>901-386-3961</t>
  </si>
  <si>
    <t>TENNESSEE HEALTH CARE ASSOC.</t>
  </si>
  <si>
    <t xml:space="preserve">2809 FOSTER AVENUE </t>
  </si>
  <si>
    <t>615-834-6520</t>
  </si>
  <si>
    <t>TENNYSON COURT</t>
  </si>
  <si>
    <t xml:space="preserve">49 TENNYSON COURT </t>
  </si>
  <si>
    <t>716-632-9496</t>
  </si>
  <si>
    <t>TERPENING TERRACE</t>
  </si>
  <si>
    <t xml:space="preserve">50 RUBY AVENUE </t>
  </si>
  <si>
    <t>541-689-0619</t>
  </si>
  <si>
    <t>TERRACE AT HOBE SOUND</t>
  </si>
  <si>
    <t xml:space="preserve">9555 SE FEDERAL HWY </t>
  </si>
  <si>
    <t>HOBE SOUND</t>
  </si>
  <si>
    <t>772-546-5800</t>
  </si>
  <si>
    <t>TERRACE AT MOUNTAIN CREEK</t>
  </si>
  <si>
    <t xml:space="preserve">1005 MOUNTAIN CREEK RD </t>
  </si>
  <si>
    <t>423-874-0200</t>
  </si>
  <si>
    <t>TERRACE MANOR NURSING HOME</t>
  </si>
  <si>
    <t xml:space="preserve">390 UNDERWOOD ROAD </t>
  </si>
  <si>
    <t>205-332-3826</t>
  </si>
  <si>
    <t>TERRACE OAKS</t>
  </si>
  <si>
    <t xml:space="preserve">4201 BESSEMER SUPER HIGHWAY </t>
  </si>
  <si>
    <t>205-428-3249</t>
  </si>
  <si>
    <t>TERRACE OF JACKSONVILLE</t>
  </si>
  <si>
    <t xml:space="preserve">10680 OLD SAINT AUGUSTINE RD </t>
  </si>
  <si>
    <t>904-268-4453</t>
  </si>
  <si>
    <t>TERRACE OF KISSIMMEE</t>
  </si>
  <si>
    <t xml:space="preserve">221 PARK PLACE BLVD </t>
  </si>
  <si>
    <t>407-935-0200</t>
  </si>
  <si>
    <t>TERRACE OF ST CLOUD</t>
  </si>
  <si>
    <t xml:space="preserve">3855 OLD CANOE CREEK ROAD </t>
  </si>
  <si>
    <t>409-957-2280</t>
  </si>
  <si>
    <t>TERRACES OF ROSEVILLE</t>
  </si>
  <si>
    <t xml:space="preserve">707 SUNRISE AVENUE </t>
  </si>
  <si>
    <t>916-786-3277</t>
  </si>
  <si>
    <t>TEXAS A&amp;M UNIVERSITY @ GALVESTON</t>
  </si>
  <si>
    <t xml:space="preserve">200 SEAWOLF PARKWAY </t>
  </si>
  <si>
    <t>409-740-4593</t>
  </si>
  <si>
    <t>TEXAS EMPOWERMENT ACADEMY</t>
  </si>
  <si>
    <t xml:space="preserve">3613 BLUE STEIN DRIVE </t>
  </si>
  <si>
    <t>512-494-1076</t>
  </si>
  <si>
    <t>TEXAS PREPARATORY SCHOOL</t>
  </si>
  <si>
    <t xml:space="preserve">400 HIGHLAND ROAD </t>
  </si>
  <si>
    <t>512-805-3000</t>
  </si>
  <si>
    <t>THATCHER BROOK REHAB</t>
  </si>
  <si>
    <t xml:space="preserve">1795 SOUTH CHELEMES WAY 400 EAST </t>
  </si>
  <si>
    <t>801-546-4368</t>
  </si>
  <si>
    <t>THAYER SCHOOLS R-11</t>
  </si>
  <si>
    <t xml:space="preserve">401 E WALNUT STREET </t>
  </si>
  <si>
    <t>417-264-7261</t>
  </si>
  <si>
    <t>THE ACCELERATED SCHOOL</t>
  </si>
  <si>
    <t xml:space="preserve">116 E MARTIN LUTHER KING JR BLVD </t>
  </si>
  <si>
    <t>323-846-3196</t>
  </si>
  <si>
    <t>THE ADOBE ASSISTED LIVING</t>
  </si>
  <si>
    <t xml:space="preserve">1111 E MOUNTAIN AVE </t>
  </si>
  <si>
    <t>575-521-3326</t>
  </si>
  <si>
    <t>THE ALTENHEIM</t>
  </si>
  <si>
    <t xml:space="preserve">936 BARRET AVENUE </t>
  </si>
  <si>
    <t>502-584-7417</t>
  </si>
  <si>
    <t>THE ARBOR SENIOR APARTMENTS</t>
  </si>
  <si>
    <t xml:space="preserve">115 LOUIE AVENUE </t>
  </si>
  <si>
    <t>209-333-3338</t>
  </si>
  <si>
    <t>THE ARBORS MEMORY CARE</t>
  </si>
  <si>
    <t xml:space="preserve">2121 EAST PRATER WAY </t>
  </si>
  <si>
    <t>775-331-2229</t>
  </si>
  <si>
    <t>THE ARC MERCER</t>
  </si>
  <si>
    <t xml:space="preserve">180 EWINGVILLE ROAD </t>
  </si>
  <si>
    <t>EWING TOWNSHIP</t>
  </si>
  <si>
    <t>609-883-0836</t>
  </si>
  <si>
    <t>THE ARISTOCRAT-ALAMOGORDO</t>
  </si>
  <si>
    <t xml:space="preserve">252 ROBERT H BRADLEY </t>
  </si>
  <si>
    <t>ALAMOGORDO</t>
  </si>
  <si>
    <t>505-437-3020</t>
  </si>
  <si>
    <t>THE ARISTOCRAT-LAS CRUCES</t>
  </si>
  <si>
    <t xml:space="preserve">2969 CLAUDE DOVE DRIVE </t>
  </si>
  <si>
    <t>505-521-8188</t>
  </si>
  <si>
    <t>THE ARK JACKSON</t>
  </si>
  <si>
    <t xml:space="preserve">402 WESTLEY AVENUE </t>
  </si>
  <si>
    <t>601-355-0077</t>
  </si>
  <si>
    <t>THE ARTESIAN OF OJAI</t>
  </si>
  <si>
    <t xml:space="preserve">203 E EL ROBLAR DRIVE </t>
  </si>
  <si>
    <t>805-682-3132</t>
  </si>
  <si>
    <t>THE ATHENAEUM-CA INST. OF TECH.</t>
  </si>
  <si>
    <t xml:space="preserve">551 HILL STREET </t>
  </si>
  <si>
    <t>626-395-8266</t>
  </si>
  <si>
    <t>THE ATRIUM AT ALLENDALE COMMUNITY</t>
  </si>
  <si>
    <t>THE AVALON AT BRIDGEWATER</t>
  </si>
  <si>
    <t xml:space="preserve">545 ROUTE 28 </t>
  </si>
  <si>
    <t>908-707-8800</t>
  </si>
  <si>
    <t>THE AVALON AT HILLSBOROUGH</t>
  </si>
  <si>
    <t xml:space="preserve">393 AMWELL ROAD </t>
  </si>
  <si>
    <t>908-874-7200</t>
  </si>
  <si>
    <t>THE AVENUE ASSISTED LIVING</t>
  </si>
  <si>
    <t xml:space="preserve">1035 VAN NESS AVENUE </t>
  </si>
  <si>
    <t>415-776-1800</t>
  </si>
  <si>
    <t>THE BABY FOLD FAMILY CENTER</t>
  </si>
  <si>
    <t xml:space="preserve">612 OGLESBY AVE </t>
  </si>
  <si>
    <t>309-454-1770</t>
  </si>
  <si>
    <t>THE BABY FOLD HAMMITT CAMPUS</t>
  </si>
  <si>
    <t xml:space="preserve">108 E. WILLOW ST </t>
  </si>
  <si>
    <t xml:space="preserve">NORMAL </t>
  </si>
  <si>
    <t>THE BALDWIN CENTER</t>
  </si>
  <si>
    <t xml:space="preserve">212 BALDWIN AVE </t>
  </si>
  <si>
    <t>248-332-6101</t>
  </si>
  <si>
    <t>THE BEI RUT LLC</t>
  </si>
  <si>
    <t xml:space="preserve">1025 N PEACHTREE PKWY </t>
  </si>
  <si>
    <t>PEACHTREE CITY</t>
  </si>
  <si>
    <t>678-364-0707</t>
  </si>
  <si>
    <t>THE BLESSING CENTER</t>
  </si>
  <si>
    <t xml:space="preserve">300 N MAIN STREET </t>
  </si>
  <si>
    <t>660-397-2293</t>
  </si>
  <si>
    <t>THE BLUFFS</t>
  </si>
  <si>
    <t xml:space="preserve">3105 BLUFF CREEK DRIVE </t>
  </si>
  <si>
    <t>573-442-6060</t>
  </si>
  <si>
    <t>THE BRIDGE CARE SUITES</t>
  </si>
  <si>
    <t>THE BRIDGES AT ANKENY</t>
  </si>
  <si>
    <t xml:space="preserve">3510 NW ABILENE ROAD </t>
  </si>
  <si>
    <t>515-963-9815</t>
  </si>
  <si>
    <t>THE BRIDGES AT BENT CREEK</t>
  </si>
  <si>
    <t xml:space="preserve">2100 BENT CREEK BLVD </t>
  </si>
  <si>
    <t>717-795-1100</t>
  </si>
  <si>
    <t>THE BRIDGES AT WARWICK</t>
  </si>
  <si>
    <t xml:space="preserve">1600 ALMSHOUSE ROAD </t>
  </si>
  <si>
    <t>JAMISON</t>
  </si>
  <si>
    <t>215-600-3747</t>
  </si>
  <si>
    <t>THE BUNGALOWS AT BRANSON MEADOWS</t>
  </si>
  <si>
    <t xml:space="preserve">5351 GRETNA ROAD </t>
  </si>
  <si>
    <t>BRANSON</t>
  </si>
  <si>
    <t>417-334-3336</t>
  </si>
  <si>
    <t>THE CALIFORNIAN</t>
  </si>
  <si>
    <t xml:space="preserve">2225 DE LA VINA </t>
  </si>
  <si>
    <t>805-682-1355</t>
  </si>
  <si>
    <t>THE CALIFORNIAN WOODLAND</t>
  </si>
  <si>
    <t xml:space="preserve">1224 COTTONWOOD STREET </t>
  </si>
  <si>
    <t>530-666-2433</t>
  </si>
  <si>
    <t>THE CARLISLE PALM BEACH</t>
  </si>
  <si>
    <t xml:space="preserve">450 EAST OCEAN AVENUE </t>
  </si>
  <si>
    <t>561-533-9440</t>
  </si>
  <si>
    <t>THE CARLTON HEALTHCARE &amp; REHABILITATION CENTRE</t>
  </si>
  <si>
    <t xml:space="preserve">725 W MONTROSE AVE </t>
  </si>
  <si>
    <t>847-679-9797</t>
  </si>
  <si>
    <t>THE CAROLINAS LIFE SKILLS AND LEADERSHIP ACADEMY</t>
  </si>
  <si>
    <t xml:space="preserve">443 TARKIN COURT </t>
  </si>
  <si>
    <t>910-269-7151</t>
  </si>
  <si>
    <t>THE CARRIAGE HOUSE</t>
  </si>
  <si>
    <t xml:space="preserve">2394 MIDLAND ROAD </t>
  </si>
  <si>
    <t>989-684-2303</t>
  </si>
  <si>
    <t>THE CENTER AT CORDERA</t>
  </si>
  <si>
    <t xml:space="preserve">9208 GRAND CORDERA PARKWAY </t>
  </si>
  <si>
    <t>THE CENTER AT NORTHRIDGE</t>
  </si>
  <si>
    <t xml:space="preserve">12285 PECOS STREET </t>
  </si>
  <si>
    <t>303-280-4444</t>
  </si>
  <si>
    <t>THE CENTER AT VAL VISTA</t>
  </si>
  <si>
    <t xml:space="preserve">3744 S ROME STREET </t>
  </si>
  <si>
    <t>480-224-9500</t>
  </si>
  <si>
    <t>THE CHANCELLOR HOTEL</t>
  </si>
  <si>
    <t xml:space="preserve">70 N EAST AVE </t>
  </si>
  <si>
    <t>479-442-5555</t>
  </si>
  <si>
    <t>THE CHANDLER ESTATES IV</t>
  </si>
  <si>
    <t xml:space="preserve">1569 TEELS ROAD </t>
  </si>
  <si>
    <t>PEN ARGYL</t>
  </si>
  <si>
    <t>610-863-1569</t>
  </si>
  <si>
    <t>THE CHATEAU OF LAWTON</t>
  </si>
  <si>
    <t xml:space="preserve">6302 SW LEE BLVD </t>
  </si>
  <si>
    <t>580-536-6800</t>
  </si>
  <si>
    <t>THE CHRISTIAN VILLAGE AT MT HEALTHY</t>
  </si>
  <si>
    <t xml:space="preserve">8097 HAMILTON AVENUE </t>
  </si>
  <si>
    <t>513-931-5000</t>
  </si>
  <si>
    <t>THE CITADEL ELIZABETH CITY</t>
  </si>
  <si>
    <t xml:space="preserve">901 HALSTEAD BLVD </t>
  </si>
  <si>
    <t>252-338-0137</t>
  </si>
  <si>
    <t>THE CITADEL VIRGINIA BEACH</t>
  </si>
  <si>
    <t xml:space="preserve">340 LYNN SHORES DRIVE </t>
  </si>
  <si>
    <t>757-340-6611</t>
  </si>
  <si>
    <t>THE CLARK MEMORIAL HOME</t>
  </si>
  <si>
    <t xml:space="preserve">106 KEWBURY ROAD </t>
  </si>
  <si>
    <t>937-399-4262</t>
  </si>
  <si>
    <t>THE COLONIAL HOME</t>
  </si>
  <si>
    <t xml:space="preserve">102 SUMMITT </t>
  </si>
  <si>
    <t>573-996-4283</t>
  </si>
  <si>
    <t>THE COMMONS OF PROVIDENCE</t>
  </si>
  <si>
    <t xml:space="preserve">5000 PROVIDENCE DRIVE </t>
  </si>
  <si>
    <t>419-624-1171</t>
  </si>
  <si>
    <t>THE CONCIERGE</t>
  </si>
  <si>
    <t xml:space="preserve">2310 SOUTH ELDRIDGE PARKWAY </t>
  </si>
  <si>
    <t>281-558-3900</t>
  </si>
  <si>
    <t>THE COTTAGES OF CLAYTON</t>
  </si>
  <si>
    <t xml:space="preserve">8212 NORTH MAIN STREET </t>
  </si>
  <si>
    <t>937-280-0300</t>
  </si>
  <si>
    <t>THE COURTYARD AT LEXINGTON</t>
  </si>
  <si>
    <t xml:space="preserve">2345 LEXINGTON AVENUE </t>
  </si>
  <si>
    <t>330-337-1730</t>
  </si>
  <si>
    <t>THE COVE AT TAVARES VILLAGE</t>
  </si>
  <si>
    <t xml:space="preserve">1501 SUNSHINE PARKWAY </t>
  </si>
  <si>
    <t>TAVARES</t>
  </si>
  <si>
    <t>352-742-7111</t>
  </si>
  <si>
    <t>THE CRESCENT</t>
  </si>
  <si>
    <t xml:space="preserve">11353 SUGAR PARK LANE </t>
  </si>
  <si>
    <t>SUGAR LAND</t>
  </si>
  <si>
    <t>817-446-4792</t>
  </si>
  <si>
    <t>THE DORCHESTER</t>
  </si>
  <si>
    <t xml:space="preserve">12920 DORMAN RD </t>
  </si>
  <si>
    <t>704-541-0016</t>
  </si>
  <si>
    <t>THE EARLY YEARS</t>
  </si>
  <si>
    <t xml:space="preserve">750 FOUNTAINS PARKWAY </t>
  </si>
  <si>
    <t>FAIRVIEW HEIGHTS</t>
  </si>
  <si>
    <t>314-805-6766</t>
  </si>
  <si>
    <t>THE EDITH KASSANAVOID GORDON ASSISTED LIVING</t>
  </si>
  <si>
    <t xml:space="preserve">1001 SE 36TH ST </t>
  </si>
  <si>
    <t>580-699-3736</t>
  </si>
  <si>
    <t>THE ELIJAH GLEN CENTER AT STEP BY STEP ACADEMY INC</t>
  </si>
  <si>
    <t xml:space="preserve">445 E DUBLIN-GRANVILLE ROAD </t>
  </si>
  <si>
    <t>614-436-7837</t>
  </si>
  <si>
    <t>THE ELIZABETH HOSPICE</t>
  </si>
  <si>
    <t xml:space="preserve">500 LA TERRAZA BLVD </t>
  </si>
  <si>
    <t>760-520-0230</t>
  </si>
  <si>
    <t>THE ELMS OF CRANBURY</t>
  </si>
  <si>
    <t xml:space="preserve">61 MAPLEWOOD AVE </t>
  </si>
  <si>
    <t>CRANBURY</t>
  </si>
  <si>
    <t>609-395-0641</t>
  </si>
  <si>
    <t>THE ELMS MACOMB</t>
  </si>
  <si>
    <t xml:space="preserve">1212 MADELYN AVENUE </t>
  </si>
  <si>
    <t>309-837-5482</t>
  </si>
  <si>
    <t xml:space="preserve">THE ESTATE AT CARPENTERS </t>
  </si>
  <si>
    <t xml:space="preserve">100 CARPENTERS WAY </t>
  </si>
  <si>
    <t>863-858-3847</t>
  </si>
  <si>
    <t>THE FOREST AT DUKE</t>
  </si>
  <si>
    <t xml:space="preserve">2701 PICKETT ROAD </t>
  </si>
  <si>
    <t>800-474-0258</t>
  </si>
  <si>
    <t>THE FOREST HILLS OF DC</t>
  </si>
  <si>
    <t xml:space="preserve">4901 CONNECTICUT AVE NW </t>
  </si>
  <si>
    <t>THE FOUNTAINS AT LAKE PLEASANT</t>
  </si>
  <si>
    <t xml:space="preserve">10134 W MOHAWK LANE </t>
  </si>
  <si>
    <t>623-566-0745</t>
  </si>
  <si>
    <t>THE FOUNTAINS OF WEST COUNTY</t>
  </si>
  <si>
    <t xml:space="preserve">15826 CLAYTON RD </t>
  </si>
  <si>
    <t>636-779-2600</t>
  </si>
  <si>
    <t>THE GABLES OF AMMON</t>
  </si>
  <si>
    <t xml:space="preserve">1405 CURLEW DR </t>
  </si>
  <si>
    <t>208-542-3400</t>
  </si>
  <si>
    <t>THE GANZHORN SUITES</t>
  </si>
  <si>
    <t xml:space="preserve">10272 SAWMILL PARKWAY </t>
  </si>
  <si>
    <t>614-356-9810</t>
  </si>
  <si>
    <t>THE GARDENS AT PARK POINTE</t>
  </si>
  <si>
    <t xml:space="preserve">1550 DUPONT AVENUE </t>
  </si>
  <si>
    <t>815-416-6500</t>
  </si>
  <si>
    <t>THE GARDENS LAKE CHARLES</t>
  </si>
  <si>
    <t xml:space="preserve">1401 COUNTRY CLUB ROAD </t>
  </si>
  <si>
    <t>337-480-1550</t>
  </si>
  <si>
    <t>THE GEORGETOWN</t>
  </si>
  <si>
    <t xml:space="preserve">2512 Q ST NW </t>
  </si>
  <si>
    <t>202-338-6111</t>
  </si>
  <si>
    <t>THE GLOBE-UNIV OF THE SOUTH</t>
  </si>
  <si>
    <t>THE GLORIAN MANOR</t>
  </si>
  <si>
    <t xml:space="preserve">1732 MYRA DRIVE </t>
  </si>
  <si>
    <t>408-888-9308</t>
  </si>
  <si>
    <t>THE GODDARD SCHOOL-BROADVIEW HEIGHTS</t>
  </si>
  <si>
    <t xml:space="preserve">7655 TOWNE CENTRE DRIVE </t>
  </si>
  <si>
    <t>BROADVIEW HEIGHTS</t>
  </si>
  <si>
    <t>440-740-1234</t>
  </si>
  <si>
    <t>THE GOOD SHEPHERD</t>
  </si>
  <si>
    <t xml:space="preserve">622 CENTER STREET </t>
  </si>
  <si>
    <t xml:space="preserve">ASHLAND </t>
  </si>
  <si>
    <t>419-289-3523</t>
  </si>
  <si>
    <t>THE GRAND RESIDENCE AT UPPER ST CLAIR</t>
  </si>
  <si>
    <t xml:space="preserve">45 MCMURRAY ROAD </t>
  </si>
  <si>
    <t>412-833-2500</t>
  </si>
  <si>
    <t>THE GREENS OF ELGIN</t>
  </si>
  <si>
    <t xml:space="preserve">801 N MCLEAN BLVD </t>
  </si>
  <si>
    <t>847-289-8759</t>
  </si>
  <si>
    <t>THE GREENWICH COUNTRY DAY SCHOOL</t>
  </si>
  <si>
    <t xml:space="preserve">401 OLD CHURCH ROAD </t>
  </si>
  <si>
    <t>203-863-3697</t>
  </si>
  <si>
    <t>THE GROVE</t>
  </si>
  <si>
    <t xml:space="preserve">#11 Pecan Drive Sumrall Road </t>
  </si>
  <si>
    <t>601-736-4747</t>
  </si>
  <si>
    <t>THE GROVE FOX VALLEY (AURORA REHAB &amp; LIVING CENTER)</t>
  </si>
  <si>
    <t xml:space="preserve">1601 NORTH FARNSWORTH </t>
  </si>
  <si>
    <t>630-898-1180</t>
  </si>
  <si>
    <t xml:space="preserve">4100 NEWPORT AVE </t>
  </si>
  <si>
    <t>405-943-2273</t>
  </si>
  <si>
    <t>THE HARBOR AT LAKEWAY</t>
  </si>
  <si>
    <t xml:space="preserve">300 MEDICAL PARKWAY </t>
  </si>
  <si>
    <t>LAKEWAY</t>
  </si>
  <si>
    <t>866-344-4946</t>
  </si>
  <si>
    <t>THE HARVEST AT FOWLER</t>
  </si>
  <si>
    <t xml:space="preserve">1400 E SUMMER </t>
  </si>
  <si>
    <t>559-834-5692</t>
  </si>
  <si>
    <t>THE HAVEN AT SKY VIEW</t>
  </si>
  <si>
    <t xml:space="preserve">2192 WEST 100 NORTH </t>
  </si>
  <si>
    <t>435-674-7883</t>
  </si>
  <si>
    <t>THE HEALING LODGE OF SEVEN NATIONS</t>
  </si>
  <si>
    <t xml:space="preserve">5600 EAST 8TH AVENUE </t>
  </si>
  <si>
    <t>509-795-8348</t>
  </si>
  <si>
    <t>THE HEARTHSTONE</t>
  </si>
  <si>
    <t xml:space="preserve">6720 E GREEN LAKE WAY N </t>
  </si>
  <si>
    <t>206-525-9666</t>
  </si>
  <si>
    <t>THE HERITAGE AT HUNTERS CHASE</t>
  </si>
  <si>
    <t xml:space="preserve">12151 HUNTERS CHASE DRIVE </t>
  </si>
  <si>
    <t>512-336-4100</t>
  </si>
  <si>
    <t>THE HERITAGE OF CEDAR ROCK</t>
  </si>
  <si>
    <t xml:space="preserve">191 CRESTVIEW DR </t>
  </si>
  <si>
    <t>MOCKSVILLE</t>
  </si>
  <si>
    <t>336-751-1515</t>
  </si>
  <si>
    <t>THE HERMITAGE-RICHMOND</t>
  </si>
  <si>
    <t xml:space="preserve">1600 WESTWOOD AVENUE </t>
  </si>
  <si>
    <t>804-474-1800</t>
  </si>
  <si>
    <t>THE HICKMAN</t>
  </si>
  <si>
    <t xml:space="preserve">400 NORTH WALNUT ST </t>
  </si>
  <si>
    <t>484-760-6300</t>
  </si>
  <si>
    <t>THE HILL AT WHITEMARSH</t>
  </si>
  <si>
    <t xml:space="preserve">4000 FOX HOUND DRIVE </t>
  </si>
  <si>
    <t>215-836-5146</t>
  </si>
  <si>
    <t xml:space="preserve">7521 OLD CANTON ROAD </t>
  </si>
  <si>
    <t>601-856-8041</t>
  </si>
  <si>
    <t>THE HOMESTEAD AT LOGAN ACRES</t>
  </si>
  <si>
    <t xml:space="preserve">2745 COUNTY RD 91 </t>
  </si>
  <si>
    <t>937-599-7066</t>
  </si>
  <si>
    <t>THE HOTEL AT AUBURN UNIVERSITY</t>
  </si>
  <si>
    <t>334-821-8200</t>
  </si>
  <si>
    <t>THE HOUSE OF THE GOOD SHEPHERD</t>
  </si>
  <si>
    <t xml:space="preserve">798 WILLOW GROVE ST </t>
  </si>
  <si>
    <t>908-684-5726</t>
  </si>
  <si>
    <t>THE IMPERIAL GROVE</t>
  </si>
  <si>
    <t xml:space="preserve">1366 W. FULLERTON AVENUE </t>
  </si>
  <si>
    <t>773-248-9300</t>
  </si>
  <si>
    <t>THE INN AT BELDEN VILLAGE</t>
  </si>
  <si>
    <t xml:space="preserve">3927 38TH STREET NW </t>
  </si>
  <si>
    <t>330-493-0096</t>
  </si>
  <si>
    <t>THE INN AT PALMETTO BLUFF</t>
  </si>
  <si>
    <t xml:space="preserve">476 MOUNT PELIA ROAD </t>
  </si>
  <si>
    <t>843-706-6562</t>
  </si>
  <si>
    <t>THE INN AT UNIVERSITY VILLAGE</t>
  </si>
  <si>
    <t xml:space="preserve">2650 OHIO STATE DRIVE </t>
  </si>
  <si>
    <t>330-837-3000</t>
  </si>
  <si>
    <t>THE INN BETWEEN</t>
  </si>
  <si>
    <t xml:space="preserve">1216 E 1300 S </t>
  </si>
  <si>
    <t>801-410-8314</t>
  </si>
  <si>
    <t>THE JEFFERSON</t>
  </si>
  <si>
    <t xml:space="preserve">900 N. TAYLOR ST. </t>
  </si>
  <si>
    <t>703-516-9455</t>
  </si>
  <si>
    <t>THE JORDAN CENTER</t>
  </si>
  <si>
    <t xml:space="preserve">270 EAST CLAYTON LANE </t>
  </si>
  <si>
    <t>606-638-4586</t>
  </si>
  <si>
    <t>THE JUDE HOUSE INC</t>
  </si>
  <si>
    <t xml:space="preserve">9505 CRAIN HIGHWAY </t>
  </si>
  <si>
    <t>BEL ALTON</t>
  </si>
  <si>
    <t>301-932-0700</t>
  </si>
  <si>
    <t>THE KENNEY</t>
  </si>
  <si>
    <t xml:space="preserve">7125 FAUNTLEROY WAY SW </t>
  </si>
  <si>
    <t>206-937-2800</t>
  </si>
  <si>
    <t>THE KENTRIDGE SENIOR LIVING</t>
  </si>
  <si>
    <t xml:space="preserve">5241 SUNNYBROOK ROAD </t>
  </si>
  <si>
    <t>330-677-4040</t>
  </si>
  <si>
    <t>THE LANDING AT CARMICHAEL</t>
  </si>
  <si>
    <t xml:space="preserve">7125 FAIR OAKS BLVD </t>
  </si>
  <si>
    <t>916-481-7105</t>
  </si>
  <si>
    <t>THE LANDING AT CEDAR RIDGE</t>
  </si>
  <si>
    <t xml:space="preserve">5559 RAIDERS ROAD </t>
  </si>
  <si>
    <t>FARZEYSBURG</t>
  </si>
  <si>
    <t>855-692-7247</t>
  </si>
  <si>
    <t>THE LANDINGS AT REED STATION CROSSING</t>
  </si>
  <si>
    <t xml:space="preserve">2100 REED STATION PKWY </t>
  </si>
  <si>
    <t>618-519-9600</t>
  </si>
  <si>
    <t>THE LAURELS OF GAHANNA</t>
  </si>
  <si>
    <t xml:space="preserve">5151 N. Hamilton Road </t>
  </si>
  <si>
    <t>614-337-1066</t>
  </si>
  <si>
    <t>THE LAURELS SENIOR LIVING</t>
  </si>
  <si>
    <t xml:space="preserve">23 FAITH DRIVE </t>
  </si>
  <si>
    <t>HAZLETON</t>
  </si>
  <si>
    <t>570-455-7757</t>
  </si>
  <si>
    <t>THE LEARNING EXPERIENCE</t>
  </si>
  <si>
    <t xml:space="preserve">9158 S OLD STATE RD </t>
  </si>
  <si>
    <t>614-781-4600</t>
  </si>
  <si>
    <t>THE LEAVES</t>
  </si>
  <si>
    <t xml:space="preserve">1230 WEST SPRING VALLEY RD </t>
  </si>
  <si>
    <t>972-231-4864</t>
  </si>
  <si>
    <t>NATIONAL LUTHERAN COMMUNITIES &amp; SERVICES INC</t>
  </si>
  <si>
    <t>THE LEGACY AT NORTH AUGUSTA</t>
  </si>
  <si>
    <t xml:space="preserve">1410 A NORTH AUGUSTA STREET </t>
  </si>
  <si>
    <t>Staunton</t>
  </si>
  <si>
    <t>+()540-885-5455</t>
  </si>
  <si>
    <t>THE LELAND OF LAUREL RUN</t>
  </si>
  <si>
    <t xml:space="preserve">120 WEST MAIN STREET </t>
  </si>
  <si>
    <t>717-749-0083</t>
  </si>
  <si>
    <t>THE LINCOLNIAN</t>
  </si>
  <si>
    <t xml:space="preserve">4710 N CHAMBLISS ST </t>
  </si>
  <si>
    <t>22312-1703</t>
  </si>
  <si>
    <t>703-914-0330</t>
  </si>
  <si>
    <t>THE LIVING CENTER MARSHALL</t>
  </si>
  <si>
    <t xml:space="preserve">2506 LINDEN TREE PARKWAY </t>
  </si>
  <si>
    <t>660-886-9676</t>
  </si>
  <si>
    <t>THE LODGE AT NEW DAWN</t>
  </si>
  <si>
    <t xml:space="preserve">3660 GREENTREE AVE SW </t>
  </si>
  <si>
    <t>330-484-5888</t>
  </si>
  <si>
    <t>THE LODGE AT OLD TRAIL</t>
  </si>
  <si>
    <t xml:space="preserve">330 CLAREMONT LANE </t>
  </si>
  <si>
    <t>CROZET</t>
  </si>
  <si>
    <t>434-823-9100</t>
  </si>
  <si>
    <t>THE MADISON ASSISTED LIVING</t>
  </si>
  <si>
    <t xml:space="preserve">150 HANCOCK STREET </t>
  </si>
  <si>
    <t>706-343-9991</t>
  </si>
  <si>
    <t>THE MADISON INN</t>
  </si>
  <si>
    <t xml:space="preserve">15 WEST ROCKWOOD BLVD </t>
  </si>
  <si>
    <t>509-474-4200</t>
  </si>
  <si>
    <t>THE MANOR AT WASHINGTON COURT HSE</t>
  </si>
  <si>
    <t xml:space="preserve">726 RAWLINGS STREET </t>
  </si>
  <si>
    <t>WASHINGTON COURT HS</t>
  </si>
  <si>
    <t>740-335-7143</t>
  </si>
  <si>
    <t>THE MANOR LLC</t>
  </si>
  <si>
    <t xml:space="preserve">1401 LABELLE DR </t>
  </si>
  <si>
    <t>501-690-4900</t>
  </si>
  <si>
    <t>THE MAPLES OF TOWSON</t>
  </si>
  <si>
    <t xml:space="preserve">7925 YORK ROAD </t>
  </si>
  <si>
    <t>410-296-8900</t>
  </si>
  <si>
    <t>THE MARIGOLD AT 11TH STREET</t>
  </si>
  <si>
    <t xml:space="preserve">2905 11TH STREET NW </t>
  </si>
  <si>
    <t>THE MARY CULVER HOME</t>
  </si>
  <si>
    <t xml:space="preserve">221 W WASHINGTON AVE </t>
  </si>
  <si>
    <t>314-966-6034</t>
  </si>
  <si>
    <t>THE MCDOWELL SENIOR CENTER</t>
  </si>
  <si>
    <t xml:space="preserve">100 SPAULDING ROAD </t>
  </si>
  <si>
    <t>828-659-0829</t>
  </si>
  <si>
    <t>THE MERIDIAN RETIREMENT COMMUNITY</t>
  </si>
  <si>
    <t>409-763-6437</t>
  </si>
  <si>
    <t>THE MONTEITO SENIOR LIVING</t>
  </si>
  <si>
    <t xml:space="preserve">17271 NORTH 87TH AVE </t>
  </si>
  <si>
    <t>623-972-1400</t>
  </si>
  <si>
    <t>THE MOORINGS AT LEWES</t>
  </si>
  <si>
    <t xml:space="preserve">17028 CADBURY CIRCLE </t>
  </si>
  <si>
    <t>302-645-6400</t>
  </si>
  <si>
    <t>THE NEIGHBORHOOD OF RIO RANCHO</t>
  </si>
  <si>
    <t xml:space="preserve">900 LOMA COLORADO BLVD NE </t>
  </si>
  <si>
    <t>RIO RANCHO</t>
  </si>
  <si>
    <t>505-962-4128</t>
  </si>
  <si>
    <t>THE NURSING CENTER AT LITTLE CREEK</t>
  </si>
  <si>
    <t xml:space="preserve">1811 LITTLE CREEK LANE </t>
  </si>
  <si>
    <t>865-690-6727</t>
  </si>
  <si>
    <t>THE OAKS NURSING HOME INC</t>
  </si>
  <si>
    <t xml:space="preserve">777 NURSING HOME ROAD </t>
  </si>
  <si>
    <t>THE OARS AT GREENBACK LANE</t>
  </si>
  <si>
    <t xml:space="preserve">6550 GREENBACK LANE </t>
  </si>
  <si>
    <t>CITRUS HEIGHTS</t>
  </si>
  <si>
    <t>916-212-0388</t>
  </si>
  <si>
    <t>THE OBSERVATORY</t>
  </si>
  <si>
    <t xml:space="preserve">3503 S HARBOR BLVD </t>
  </si>
  <si>
    <t>714-957-0600</t>
  </si>
  <si>
    <t>THE OLINDE HOUSE</t>
  </si>
  <si>
    <t xml:space="preserve">16232 HIGHWAY 1 </t>
  </si>
  <si>
    <t>SIMMESPORT</t>
  </si>
  <si>
    <t>318-941-2294</t>
  </si>
  <si>
    <t>THE ORCHARD ASSISTED LIVING</t>
  </si>
  <si>
    <t xml:space="preserve">805 W DOGWOOD STREET </t>
  </si>
  <si>
    <t>409-283-5678</t>
  </si>
  <si>
    <t>THE ORCHARDS OF EAST LIVERPOOL</t>
  </si>
  <si>
    <t xml:space="preserve">709 ARMSTRONG LANE </t>
  </si>
  <si>
    <t>330-385-3600</t>
  </si>
  <si>
    <t>THE PALACE REHABILITATION AND CARE CENTER</t>
  </si>
  <si>
    <t xml:space="preserve">315 WEST MILL ROAD </t>
  </si>
  <si>
    <t>MAPLE SHADE</t>
  </si>
  <si>
    <t>856-779-1500</t>
  </si>
  <si>
    <t>THE PALMS</t>
  </si>
  <si>
    <t xml:space="preserve">480 E CHURCH AVENUE </t>
  </si>
  <si>
    <t>407-767-0500</t>
  </si>
  <si>
    <t>THE PARK OAKGROVE</t>
  </si>
  <si>
    <t xml:space="preserve">4920 WOODMAR DRIVE SW </t>
  </si>
  <si>
    <t>540-989-9501</t>
  </si>
  <si>
    <t>THE PARKE-STANLEY LIVING</t>
  </si>
  <si>
    <t xml:space="preserve">151 EAST DALLASA ROAD </t>
  </si>
  <si>
    <t>THE PATRICIAN</t>
  </si>
  <si>
    <t xml:space="preserve">4025 PULITZER PLACE </t>
  </si>
  <si>
    <t>858-869-0338</t>
  </si>
  <si>
    <t>THE PAVILION</t>
  </si>
  <si>
    <t xml:space="preserve">5483 MOORETOWN ROAD </t>
  </si>
  <si>
    <t>757-941-6400</t>
  </si>
  <si>
    <t>THE PAVILION SENIOR LIVING AT LEBANON</t>
  </si>
  <si>
    <t xml:space="preserve">1409 MEDICAL CENTER DRIVE </t>
  </si>
  <si>
    <t>615-444-5556</t>
  </si>
  <si>
    <t>THE PEAKS SENIOR LIVING</t>
  </si>
  <si>
    <t xml:space="preserve">3150 N. WINDING BROOK ROAD </t>
  </si>
  <si>
    <t>928-774-7106</t>
  </si>
  <si>
    <t>THE PHILADELPHIA VETERANS MULTI-SERVICES &amp; EDUCATION CENTER</t>
  </si>
  <si>
    <t xml:space="preserve">1400 BLACKHORSE HILL RD </t>
  </si>
  <si>
    <t>COATESVILLE</t>
  </si>
  <si>
    <t>610-466-7881</t>
  </si>
  <si>
    <t>THE PHYSICIAN'S HOSP IN ANADARKO</t>
  </si>
  <si>
    <t xml:space="preserve">1002 EAST CENTRAL BLVD </t>
  </si>
  <si>
    <t>ANADARKO</t>
  </si>
  <si>
    <t>405-247-2551</t>
  </si>
  <si>
    <t>HEALTHMARK SERVICES INC.</t>
  </si>
  <si>
    <t>THE PILLARS OF THE COMMUNITY</t>
  </si>
  <si>
    <t xml:space="preserve">400 MAIN STREET </t>
  </si>
  <si>
    <t>870-364-2474</t>
  </si>
  <si>
    <t>THE PINEY WOODS SCHOOL</t>
  </si>
  <si>
    <t xml:space="preserve">5096 HWY 49 SOUTH </t>
  </si>
  <si>
    <t>PINEY WOODS</t>
  </si>
  <si>
    <t>601-954-8527</t>
  </si>
  <si>
    <t>THE PREP SCHOOL CRYSTAL FALLS</t>
  </si>
  <si>
    <t xml:space="preserve">3361 NORTH LAKELINE BLVD </t>
  </si>
  <si>
    <t>THE PREP SCHOOL JOURNEY PKWY</t>
  </si>
  <si>
    <t xml:space="preserve">3421 JOURNEY PKWY </t>
  </si>
  <si>
    <t>THE PREP SCHOOL OF MCKINNEY</t>
  </si>
  <si>
    <t xml:space="preserve">5317 W UNIVERSITY DRIVE </t>
  </si>
  <si>
    <t>469-215-7737</t>
  </si>
  <si>
    <t>THE PREPARATORY SCHOOL OF DRIPPING SPRINGS</t>
  </si>
  <si>
    <t xml:space="preserve">12610 NUTTY BROWN RD </t>
  </si>
  <si>
    <t>512-480-9312</t>
  </si>
  <si>
    <t>THE PRESBYTERIAN HOMES INC</t>
  </si>
  <si>
    <t xml:space="preserve">2109 SANDY RIDGE ROAD </t>
  </si>
  <si>
    <t>336-886-6553</t>
  </si>
  <si>
    <t>THE REDWOODS-MILL VALLEY</t>
  </si>
  <si>
    <t xml:space="preserve">40 CAMINO ALTO </t>
  </si>
  <si>
    <t>415-383-2741</t>
  </si>
  <si>
    <t>THE RESERVE AT BRENTWOOD</t>
  </si>
  <si>
    <t xml:space="preserve">915 WEST AURORA ROAD </t>
  </si>
  <si>
    <t>SAGAMORE HILLS</t>
  </si>
  <si>
    <t>330-467-0174</t>
  </si>
  <si>
    <t>THE RESIDENCE AT GLEN RIDDLE</t>
  </si>
  <si>
    <t xml:space="preserve">263 GLEN RIDDLE ROAD </t>
  </si>
  <si>
    <t>610-358-9933</t>
  </si>
  <si>
    <t>THE RESIDENCE AT GRAND MESA</t>
  </si>
  <si>
    <t xml:space="preserve">565 28 1/4 ROAD </t>
  </si>
  <si>
    <t>970-241-8899</t>
  </si>
  <si>
    <t>THE RESIDENCE AT SKYWAY PARK</t>
  </si>
  <si>
    <t xml:space="preserve">886 ARCTURUS DRIVE </t>
  </si>
  <si>
    <t>719-221-7340</t>
  </si>
  <si>
    <t>THE RESIDENCE AT VILLAGE GREEN</t>
  </si>
  <si>
    <t xml:space="preserve">3455 N CAREFREE CIRCLE </t>
  </si>
  <si>
    <t>719-999-5744</t>
  </si>
  <si>
    <t>THE RETREAT AT SUN RIVER ST GEORGE</t>
  </si>
  <si>
    <t xml:space="preserve">4480 S ARROWHEAD CANYON DR </t>
  </si>
  <si>
    <t>THE RETREAT AT SUNBROOK</t>
  </si>
  <si>
    <t xml:space="preserve">359 NORTH DIXIE DRIVE </t>
  </si>
  <si>
    <t xml:space="preserve">ST GEORGE </t>
  </si>
  <si>
    <t>435-272-0202</t>
  </si>
  <si>
    <t>THE REUTLINGER COMMUNITY</t>
  </si>
  <si>
    <t xml:space="preserve">4000 CAMINO TASSAJARA </t>
  </si>
  <si>
    <t>925-648-2800</t>
  </si>
  <si>
    <t xml:space="preserve">THE RIDGE SENIOR LIVING </t>
  </si>
  <si>
    <t xml:space="preserve">2363 S FOOTHILL DRIVE </t>
  </si>
  <si>
    <t>801-466-1122</t>
  </si>
  <si>
    <t>THE RIVERS OF GROSSE POINTE ASSISTED LIVING</t>
  </si>
  <si>
    <t xml:space="preserve">900 COOK ROAD </t>
  </si>
  <si>
    <t>GROSSE POINTE WOODS</t>
  </si>
  <si>
    <t>313-885-5005</t>
  </si>
  <si>
    <t>THE RIVERS OF GROSSE POINTE SKILLED NURSING</t>
  </si>
  <si>
    <t>THE ROCKWOOD</t>
  </si>
  <si>
    <t xml:space="preserve">330 LOCKWOOD AVE </t>
  </si>
  <si>
    <t>314-968-3904</t>
  </si>
  <si>
    <t>THE ROSE CLINIC</t>
  </si>
  <si>
    <t xml:space="preserve">320 W RIVER PARK DRIVE # 245 </t>
  </si>
  <si>
    <t>801-375-7673</t>
  </si>
  <si>
    <t>THE ROWLAND</t>
  </si>
  <si>
    <t xml:space="preserve">330 W ROWLAND AVE </t>
  </si>
  <si>
    <t>626-967-2741</t>
  </si>
  <si>
    <t>THE SALVATION ARMY ADULT REHAB CENTER</t>
  </si>
  <si>
    <t xml:space="preserve">1006 GRANT STREET </t>
  </si>
  <si>
    <t>330-773-3331</t>
  </si>
  <si>
    <t>THE SALVATION ARMY CINCINNATI ADULT REHAB CENTER</t>
  </si>
  <si>
    <t xml:space="preserve">2250 PARK AVENUE </t>
  </si>
  <si>
    <t>513-351-3457</t>
  </si>
  <si>
    <t>THE SALVATION ARMY EAGLE CREST CAMP</t>
  </si>
  <si>
    <t xml:space="preserve">823 COLUMBIA ROAD </t>
  </si>
  <si>
    <t>309-248-7121</t>
  </si>
  <si>
    <t>THE SALVATION ARMY KROC CENTER DAYTON</t>
  </si>
  <si>
    <t xml:space="preserve">1000 N KEOWEE STREET </t>
  </si>
  <si>
    <t>937-528-5200</t>
  </si>
  <si>
    <t>THE SCHULTZ AT CEDAR RIDGE</t>
  </si>
  <si>
    <t xml:space="preserve">441 PUTNAM AVENUE </t>
  </si>
  <si>
    <t>THE SELFHELP HOME</t>
  </si>
  <si>
    <t xml:space="preserve">908 W ARGYLE STREET </t>
  </si>
  <si>
    <t>773-271-0300</t>
  </si>
  <si>
    <t>THE SEQUOIAS</t>
  </si>
  <si>
    <t xml:space="preserve">1500 LAGUNA STREET </t>
  </si>
  <si>
    <t>THE SHACK RESTAURANT-GROTON</t>
  </si>
  <si>
    <t xml:space="preserve">441 LONG HILL RD </t>
  </si>
  <si>
    <t>860-445-5500</t>
  </si>
  <si>
    <t>THE SHAVED DUCK</t>
  </si>
  <si>
    <t xml:space="preserve">15408 WC COMMONS WAY </t>
  </si>
  <si>
    <t>804-379-7505</t>
  </si>
  <si>
    <t>THE SMILING WITH HOPE BAKERY</t>
  </si>
  <si>
    <t xml:space="preserve">314 GRANVILLE ST </t>
  </si>
  <si>
    <t>740-670-7400</t>
  </si>
  <si>
    <t>THE STRATFORD PHOENIX</t>
  </si>
  <si>
    <t xml:space="preserve">1739 W MYRTLE </t>
  </si>
  <si>
    <t>602-841-2500</t>
  </si>
  <si>
    <t>THE SUITES OF ANKENY</t>
  </si>
  <si>
    <t xml:space="preserve">420 NW ASH DRIVE </t>
  </si>
  <si>
    <t>EDURO HEALTHCARE</t>
  </si>
  <si>
    <t>THE SUITES-RIO RANCHO</t>
  </si>
  <si>
    <t xml:space="preserve">2401 WESTSIDE BLVD SE </t>
  </si>
  <si>
    <t>801-601-1450</t>
  </si>
  <si>
    <t>THE SUMMIT AT FIRST HILL</t>
  </si>
  <si>
    <t xml:space="preserve">1200 UNIVERSITY STREET </t>
  </si>
  <si>
    <t xml:space="preserve">SEATTLE </t>
  </si>
  <si>
    <t>206-652-4444</t>
  </si>
  <si>
    <t>THE TERRACES AT SAN JOAQUIN GARDENS</t>
  </si>
  <si>
    <t xml:space="preserve">5551 N FRESNO </t>
  </si>
  <si>
    <t>559-435-1999</t>
  </si>
  <si>
    <t>THE TERRACES RETIREMENT COMM</t>
  </si>
  <si>
    <t xml:space="preserve">2750 SIERRA SUNRISE TERRACE </t>
  </si>
  <si>
    <t>530-894-1010</t>
  </si>
  <si>
    <t>THE TOBOGGAN INN</t>
  </si>
  <si>
    <t xml:space="preserve">5521 COUNTRY ROUTE 28 </t>
  </si>
  <si>
    <t>EAGLE BAY</t>
  </si>
  <si>
    <t>315-357-5199</t>
  </si>
  <si>
    <t>THE UNIVERSITY OF THE SOUTH</t>
  </si>
  <si>
    <t>THE URSULINE CENTER</t>
  </si>
  <si>
    <t xml:space="preserve">4035 INDIAN RD </t>
  </si>
  <si>
    <t>419-536-3535</t>
  </si>
  <si>
    <t>THE VERANDA-UVALDE</t>
  </si>
  <si>
    <t xml:space="preserve">201 HAM LANE </t>
  </si>
  <si>
    <t>830-278-8220</t>
  </si>
  <si>
    <t>THE VICTORY MEALS PROGRAM</t>
  </si>
  <si>
    <t xml:space="preserve">5810 CULLEN STREET </t>
  </si>
  <si>
    <t>832-428-7744</t>
  </si>
  <si>
    <t>THE VILLAGE AT MORSE FARM</t>
  </si>
  <si>
    <t xml:space="preserve">1050 W MAIN STREET </t>
  </si>
  <si>
    <t>217-854-8606</t>
  </si>
  <si>
    <t>THE VILLAGE AT ROCKVILLE</t>
  </si>
  <si>
    <t xml:space="preserve">9701 VIERS DRIVE </t>
  </si>
  <si>
    <t>301-424-9560</t>
  </si>
  <si>
    <t>THE VILLAGE AT ST BERNARD</t>
  </si>
  <si>
    <t xml:space="preserve">1422 E HWY 46 </t>
  </si>
  <si>
    <t>ST BERNARD</t>
  </si>
  <si>
    <t>985-264-8388</t>
  </si>
  <si>
    <t>THE VILLAGE HEALTHCARE CENTER</t>
  </si>
  <si>
    <t xml:space="preserve">2400 W ACACIA AVE </t>
  </si>
  <si>
    <t>951-766-5116</t>
  </si>
  <si>
    <t xml:space="preserve">THE VILLAGE OF KINSTON </t>
  </si>
  <si>
    <t>252-208-7103</t>
  </si>
  <si>
    <t>THE VILLAGE OF NANTY GLO PCH</t>
  </si>
  <si>
    <t xml:space="preserve">628 PIKE RD </t>
  </si>
  <si>
    <t>814-749-5100</t>
  </si>
  <si>
    <t>THE VILLAGE WEST CAMERON</t>
  </si>
  <si>
    <t xml:space="preserve">318 E LITTLE BRICK ROAD </t>
  </si>
  <si>
    <t>CAMERON</t>
  </si>
  <si>
    <t>816-632-1121</t>
  </si>
  <si>
    <t>THE VILLAGE CAMERON</t>
  </si>
  <si>
    <t xml:space="preserve">320 E LITTLE BRICK ROAD </t>
  </si>
  <si>
    <t>816-632-7611</t>
  </si>
  <si>
    <t>THE VILLAS AT CANTERFIELD</t>
  </si>
  <si>
    <t xml:space="preserve">815 ATLANTA HIGHWAY </t>
  </si>
  <si>
    <t>770-880-4929</t>
  </si>
  <si>
    <t>THE VILLAS AT CANTERFIELD-INDEPENDENT LIVING</t>
  </si>
  <si>
    <t xml:space="preserve">815 ATLANTA HIGHWAY BLDG A </t>
  </si>
  <si>
    <t>770-888-4829</t>
  </si>
  <si>
    <t>THE VILLAS AT SAINT THERESE</t>
  </si>
  <si>
    <t xml:space="preserve">25 NOE BIXBY ROAD </t>
  </si>
  <si>
    <t>614-864-3576</t>
  </si>
  <si>
    <t>THE VINES OF COUNTRYSIDE</t>
  </si>
  <si>
    <t xml:space="preserve">971 BODE ROAD </t>
  </si>
  <si>
    <t>847-695-9600</t>
  </si>
  <si>
    <t>THE VINEYARDS CALIFORNIA ARMENIAN HOME</t>
  </si>
  <si>
    <t xml:space="preserve">6720 E KINGS CANYON </t>
  </si>
  <si>
    <t>559-251-8414</t>
  </si>
  <si>
    <t>THE VIRGINIAN</t>
  </si>
  <si>
    <t xml:space="preserve">9229 ARLINGTON BLVD </t>
  </si>
  <si>
    <t>703-385-0555</t>
  </si>
  <si>
    <t>THE WATERFORD AT MANSFIELD</t>
  </si>
  <si>
    <t xml:space="preserve">1296 S TRIMBLE ROAD </t>
  </si>
  <si>
    <t>419-775-1013</t>
  </si>
  <si>
    <t>THE WATERLEAF AT LAND PARK</t>
  </si>
  <si>
    <t xml:space="preserve">966 43RD AVENUE </t>
  </si>
  <si>
    <t>209-956-5633</t>
  </si>
  <si>
    <t>THE WATERTON HEALTHCARE AND REHAB</t>
  </si>
  <si>
    <t xml:space="preserve">2875 SHILOH ROAD </t>
  </si>
  <si>
    <t>903-561-1300</t>
  </si>
  <si>
    <t xml:space="preserve">501 E GOLD COAST ROAD </t>
  </si>
  <si>
    <t xml:space="preserve">PAPILLION </t>
  </si>
  <si>
    <t>402-331-3101</t>
  </si>
  <si>
    <t>THE WELTY HOME</t>
  </si>
  <si>
    <t xml:space="preserve">21 WASHINGTON AVE </t>
  </si>
  <si>
    <t>304-242-5233</t>
  </si>
  <si>
    <t>THE WHITE HOUSE</t>
  </si>
  <si>
    <t xml:space="preserve">340 SOUTH COAST HWY </t>
  </si>
  <si>
    <t>949-494-8088</t>
  </si>
  <si>
    <t>THE WHITESTONE ACADEMY</t>
  </si>
  <si>
    <t xml:space="preserve">1 ACADEMY DRIVE </t>
  </si>
  <si>
    <t>SALISBURY CENTER</t>
  </si>
  <si>
    <t>718-640-5287</t>
  </si>
  <si>
    <t>THE WILLIAMS HOME</t>
  </si>
  <si>
    <t xml:space="preserve">1201 LANGHORNE ROAD </t>
  </si>
  <si>
    <t>434-384-8282</t>
  </si>
  <si>
    <t>THE WILLOWS OF EASLEY</t>
  </si>
  <si>
    <t xml:space="preserve">105 WILLOW PLACE </t>
  </si>
  <si>
    <t>THE WINDHAM</t>
  </si>
  <si>
    <t xml:space="preserve">1100 EAST SPRUCE AVENUE </t>
  </si>
  <si>
    <t>559-554-1400</t>
  </si>
  <si>
    <t>THE WOODLAND INC</t>
  </si>
  <si>
    <t xml:space="preserve">2003 COBB STREET </t>
  </si>
  <si>
    <t>434-392-6106</t>
  </si>
  <si>
    <t xml:space="preserve">144 THAD BILLS DRIVE </t>
  </si>
  <si>
    <t>337-239-6578</t>
  </si>
  <si>
    <t>THE WOODS INN</t>
  </si>
  <si>
    <t xml:space="preserve">148 ROUTE 28 </t>
  </si>
  <si>
    <t>THE WORTH CENTER</t>
  </si>
  <si>
    <t xml:space="preserve">243 E BLUELICK RD </t>
  </si>
  <si>
    <t>419-222-3339</t>
  </si>
  <si>
    <t>THE WRIGHT GROUP CONSULTING LLC</t>
  </si>
  <si>
    <t xml:space="preserve">2209 CRYSTAL SPRINGS AVE #2 </t>
  </si>
  <si>
    <t>540-529-4763</t>
  </si>
  <si>
    <t>THETA CHI FRATERNITY (AUBURN UNIV)</t>
  </si>
  <si>
    <t xml:space="preserve">935 LEM MORRISON DR </t>
  </si>
  <si>
    <t>205-515-2274</t>
  </si>
  <si>
    <t>THOMAS &amp; MACK CTR-CATERING</t>
  </si>
  <si>
    <t xml:space="preserve">4505 MARYLAND PARKWAY BOX 450003 </t>
  </si>
  <si>
    <t>THOMAS &amp; MACK CTR-CONCESSIONS</t>
  </si>
  <si>
    <t>THOMAS JEFFERSON ACADEMY</t>
  </si>
  <si>
    <t xml:space="preserve">2264 HIGHWAY 1 NORTH </t>
  </si>
  <si>
    <t>478-625-8861</t>
  </si>
  <si>
    <t>THOMAS REHABILITATION HOSPITAL</t>
  </si>
  <si>
    <t xml:space="preserve">68 SWEETEN CREEK ROAD </t>
  </si>
  <si>
    <t>828-274-2400</t>
  </si>
  <si>
    <t>THOMAS REST HAVEN</t>
  </si>
  <si>
    <t xml:space="preserve">217 MAIN STREET </t>
  </si>
  <si>
    <t>712-999-2253</t>
  </si>
  <si>
    <t>THORNTON MANOR</t>
  </si>
  <si>
    <t xml:space="preserve">1329 MAIN STREET </t>
  </si>
  <si>
    <t>563-538-4236</t>
  </si>
  <si>
    <t>THREE SPRINGS LODGE CHESTER</t>
  </si>
  <si>
    <t xml:space="preserve">161 THREE SPRINGS RD </t>
  </si>
  <si>
    <t>618-826-3210</t>
  </si>
  <si>
    <t>THRIVE AT FREDERICA</t>
  </si>
  <si>
    <t xml:space="preserve">3615 FREDERICA RD </t>
  </si>
  <si>
    <t>912-230-4662</t>
  </si>
  <si>
    <t>THRIVE CHILDCARE OREGON</t>
  </si>
  <si>
    <t xml:space="preserve">3530 SEAMAN ROAD </t>
  </si>
  <si>
    <t>419-691-6313</t>
  </si>
  <si>
    <t>THRIVE CHILDCARE PERRYSBURG</t>
  </si>
  <si>
    <t xml:space="preserve">1134 PROFESSIONAL PLACE </t>
  </si>
  <si>
    <t>419-873-0870</t>
  </si>
  <si>
    <t>TIDWELL LIVING CENTER</t>
  </si>
  <si>
    <t xml:space="preserve">900 W RANCHWOOD DR </t>
  </si>
  <si>
    <t>918-465-5020</t>
  </si>
  <si>
    <t>TIGER BAY PUB-UNIV OF THE SOUTH</t>
  </si>
  <si>
    <t>TIM CAVALLO'S RESTAURANT</t>
  </si>
  <si>
    <t xml:space="preserve">40A GENESEE STREET </t>
  </si>
  <si>
    <t>GLENWOOD-EMERALD GLEN/CJC GROUP</t>
  </si>
  <si>
    <t>TIMBER CREEK VILLAGE-COLUMBIA FALLS</t>
  </si>
  <si>
    <t xml:space="preserve">375 MEADOW LAKE BLVD </t>
  </si>
  <si>
    <t>406-892-3400</t>
  </si>
  <si>
    <t>TIMBER CREEK VILLAGE-HAVRE</t>
  </si>
  <si>
    <t xml:space="preserve">155 34TH AVE WEST </t>
  </si>
  <si>
    <t>406-265-3111</t>
  </si>
  <si>
    <t>TIMBER RIDGE SR ASSISTED LIVING</t>
  </si>
  <si>
    <t xml:space="preserve">16260 PARK LAKE ROAD </t>
  </si>
  <si>
    <t>EAST LANSING</t>
  </si>
  <si>
    <t>517-339-2322</t>
  </si>
  <si>
    <t>TIMBERLAKE HEALTH AND REHAB</t>
  </si>
  <si>
    <t xml:space="preserve">315 WEST GIBSON </t>
  </si>
  <si>
    <t>409-384-5768</t>
  </si>
  <si>
    <t>TIMBERRIDGE REHAB &amp; NURSING CENTER</t>
  </si>
  <si>
    <t xml:space="preserve">9848 SW 110TH STREET </t>
  </si>
  <si>
    <t>352-854-8200</t>
  </si>
  <si>
    <t>TIMBERS OF SHOREWOOD</t>
  </si>
  <si>
    <t xml:space="preserve">1100 NORTH RIVER ROAD </t>
  </si>
  <si>
    <t>SHOREWOOD</t>
  </si>
  <si>
    <t>815-609-0669</t>
  </si>
  <si>
    <t>TIMELY MISSION HOME</t>
  </si>
  <si>
    <t xml:space="preserve">109 MISSION DRIVE </t>
  </si>
  <si>
    <t>BUFFALO CENTER</t>
  </si>
  <si>
    <t>641-562-2844</t>
  </si>
  <si>
    <t>TITONKA CARE CENTER</t>
  </si>
  <si>
    <t xml:space="preserve">312 1ST AVE NW </t>
  </si>
  <si>
    <t>TITONKA</t>
  </si>
  <si>
    <t>515-928-2600</t>
  </si>
  <si>
    <t>TLC CARE CENTER HENDERSON</t>
  </si>
  <si>
    <t xml:space="preserve">1500 W WARM SPRINGS </t>
  </si>
  <si>
    <t>702-547-6700</t>
  </si>
  <si>
    <t>TMM FAMILY SERVICES</t>
  </si>
  <si>
    <t xml:space="preserve">1550 N COUNTRY CLUB ROAD </t>
  </si>
  <si>
    <t>520-322-9551</t>
  </si>
  <si>
    <t>TOHOPEKALIGA CULINARY-OSCEOLA CTY SCHOOL DISTRICT</t>
  </si>
  <si>
    <t xml:space="preserve">817 BILL BECK BLVD BLDG #2000 </t>
  </si>
  <si>
    <t>407-343-8604</t>
  </si>
  <si>
    <t>TOMMY'S FAMILY RESTAURANT</t>
  </si>
  <si>
    <t xml:space="preserve">1409 S EL CAMINO REAL </t>
  </si>
  <si>
    <t>949-498-7000</t>
  </si>
  <si>
    <t>TONEY REST HOME</t>
  </si>
  <si>
    <t xml:space="preserve">904 RALEIGH ST. </t>
  </si>
  <si>
    <t>919-693-2123</t>
  </si>
  <si>
    <t>TONY'S PIZZA</t>
  </si>
  <si>
    <t xml:space="preserve">4462 COMMERCIAL DRIVE </t>
  </si>
  <si>
    <t>TONYS PIZZERIA</t>
  </si>
  <si>
    <t xml:space="preserve">195 ORISKANY BLVD </t>
  </si>
  <si>
    <t>315-736-4549</t>
  </si>
  <si>
    <t>TOP OF THE MORNING CAFE</t>
  </si>
  <si>
    <t xml:space="preserve">414 TRENTON AVENUE </t>
  </si>
  <si>
    <t>315-507-3141</t>
  </si>
  <si>
    <t>TOPANGA TERRACE</t>
  </si>
  <si>
    <t xml:space="preserve">22125 ROSCOE BLVD </t>
  </si>
  <si>
    <t>CANOGA PARK</t>
  </si>
  <si>
    <t>818-883-7292</t>
  </si>
  <si>
    <t>TOPHAMS TINY TOTS</t>
  </si>
  <si>
    <t xml:space="preserve">247 NO 100 EAST </t>
  </si>
  <si>
    <t>801-225-0323</t>
  </si>
  <si>
    <t>TOTAL HEALTHCARE SOLUTIONS</t>
  </si>
  <si>
    <t xml:space="preserve">3341 75TH AVENUE </t>
  </si>
  <si>
    <t>LANDOVER</t>
  </si>
  <si>
    <t>202-536-4838</t>
  </si>
  <si>
    <t>TOTAL HEALTHCARE SOLUTIONS LLC</t>
  </si>
  <si>
    <t xml:space="preserve">920 M STREET SE </t>
  </si>
  <si>
    <t>TOTALLY KIDS</t>
  </si>
  <si>
    <t>TOURO UNIVERSITY</t>
  </si>
  <si>
    <t xml:space="preserve">1310 CLUB DRIVE </t>
  </si>
  <si>
    <t>VALLEJO</t>
  </si>
  <si>
    <t>707-562-5100</t>
  </si>
  <si>
    <t>TOWERS NURSING HOME</t>
  </si>
  <si>
    <t xml:space="preserve">907 GARWOOD STREET </t>
  </si>
  <si>
    <t>512-237-4606</t>
  </si>
  <si>
    <t>TOWN &amp; COUNTRY MANOR SANTA ANA</t>
  </si>
  <si>
    <t xml:space="preserve">555 EAST MEMORY LANE </t>
  </si>
  <si>
    <t>714-547-7581</t>
  </si>
  <si>
    <t>TOWN &amp; COUNTRY NURSING CENTER</t>
  </si>
  <si>
    <t xml:space="preserve">614 WESTON STREET </t>
  </si>
  <si>
    <t>318-377-5148</t>
  </si>
  <si>
    <t>TOWN OF VICI NURSING HOME</t>
  </si>
  <si>
    <t xml:space="preserve">619 SPECK </t>
  </si>
  <si>
    <t>580-995-4216</t>
  </si>
  <si>
    <t>TOWN PARK TOWERS</t>
  </si>
  <si>
    <t xml:space="preserve">60 N 3RD ST </t>
  </si>
  <si>
    <t>408-288-8750</t>
  </si>
  <si>
    <t>TOWN SQUARE CARE OF PURYEAR INC</t>
  </si>
  <si>
    <t xml:space="preserve">220 COLLEGE STREET </t>
  </si>
  <si>
    <t>PURYEAR</t>
  </si>
  <si>
    <t>721-247-3205</t>
  </si>
  <si>
    <t>TOWNSEN MEMORIAL HOSPITAL</t>
  </si>
  <si>
    <t xml:space="preserve">1475 FM 1960 BYPASS EAST </t>
  </si>
  <si>
    <t>281-964-2100</t>
  </si>
  <si>
    <t>TRADITION OF WEST VALLEY CITY</t>
  </si>
  <si>
    <t xml:space="preserve">2938 S REDWOOD RD </t>
  </si>
  <si>
    <t>WEST VALLEY</t>
  </si>
  <si>
    <t>801-978-2424</t>
  </si>
  <si>
    <t>TRADITIONS SENIOR LIVING LLC</t>
  </si>
  <si>
    <t xml:space="preserve">103 FOREST CROSSING BLVD SUITE 204 </t>
  </si>
  <si>
    <t>615-656-4487</t>
  </si>
  <si>
    <t>TRANQUIL CARE HOSPICE</t>
  </si>
  <si>
    <t xml:space="preserve">3250 OCEAN PARK BLVD </t>
  </si>
  <si>
    <t>310-500-6318</t>
  </si>
  <si>
    <t>TRANSCENDENT HLTHCARE OWENSVILLE</t>
  </si>
  <si>
    <t xml:space="preserve">HIGHWAY 165 WEST </t>
  </si>
  <si>
    <t>812-729-7901</t>
  </si>
  <si>
    <t>TRANSITION HOME HEALTH AND HOSPICE</t>
  </si>
  <si>
    <t>TRANSITIONAL CARE CENTER AT DE PAUL MEDICAL</t>
  </si>
  <si>
    <t xml:space="preserve">150 KINGSLEY LANE </t>
  </si>
  <si>
    <t>23505-4602</t>
  </si>
  <si>
    <t>757-889-3200</t>
  </si>
  <si>
    <t>TREE HOUSE CHILD CARE OF FRUITPORT</t>
  </si>
  <si>
    <t xml:space="preserve">300 N 3RD AVENUE </t>
  </si>
  <si>
    <t>FRUITPORT</t>
  </si>
  <si>
    <t>616-843-4314</t>
  </si>
  <si>
    <t>TREE OF LIFE</t>
  </si>
  <si>
    <t xml:space="preserve">13450 NORTH GAYTON ROAD </t>
  </si>
  <si>
    <t>804-364-3305</t>
  </si>
  <si>
    <t>TREE OF LIFE LUTHERAN CHURCH</t>
  </si>
  <si>
    <t xml:space="preserve">1155 EXECUTIVE CIRCLE </t>
  </si>
  <si>
    <t>919-465-4400</t>
  </si>
  <si>
    <t>TREEMONT RETIREMENT COMMUNITY</t>
  </si>
  <si>
    <t xml:space="preserve">2501 WESTERLAND DRIVE </t>
  </si>
  <si>
    <t>713-783-6820</t>
  </si>
  <si>
    <t>TREVISO TRANISTIONAL CARE</t>
  </si>
  <si>
    <t xml:space="preserve">1154 HAWKINS PARKWAY </t>
  </si>
  <si>
    <t>TREVISTA ANTIOCH</t>
  </si>
  <si>
    <t xml:space="preserve">3950 LONE TREE WAY </t>
  </si>
  <si>
    <t>925-778-6225</t>
  </si>
  <si>
    <t>TREYTON OAK TOWERS</t>
  </si>
  <si>
    <t xml:space="preserve">211 W OAK STREET </t>
  </si>
  <si>
    <t>502-589-3211</t>
  </si>
  <si>
    <t>TRI CITY GARDEN VILLA</t>
  </si>
  <si>
    <t xml:space="preserve">36 WEST FILLMORE ST </t>
  </si>
  <si>
    <t>804-732-1327</t>
  </si>
  <si>
    <t>TRI COUNTY ACADEMY</t>
  </si>
  <si>
    <t xml:space="preserve">400 COX FERRY ROAD </t>
  </si>
  <si>
    <t>601-879-8517</t>
  </si>
  <si>
    <t>TRI-COUNTY EXTENDED CARE CENTER</t>
  </si>
  <si>
    <t xml:space="preserve">5200 CAMELOT DRIVE </t>
  </si>
  <si>
    <t>513-829-8100</t>
  </si>
  <si>
    <t>TRILOGY-THE CLUB AT POLO ESTATES</t>
  </si>
  <si>
    <t xml:space="preserve">51750 POLO CLUB DRIVE </t>
  </si>
  <si>
    <t>214-673-6919</t>
  </si>
  <si>
    <t>TRINIDAD HOME HEALTH</t>
  </si>
  <si>
    <t xml:space="preserve">143 TANDA TRAIL </t>
  </si>
  <si>
    <t>TRINIDAD</t>
  </si>
  <si>
    <t>972-422-1215</t>
  </si>
  <si>
    <t>TRINITY ASSISTANCE LIVING</t>
  </si>
  <si>
    <t xml:space="preserve">PO BOX 5022 </t>
  </si>
  <si>
    <t>757-813-7395</t>
  </si>
  <si>
    <t>TRINITY ASSISTED LIVING OF IDAHO INC</t>
  </si>
  <si>
    <t xml:space="preserve">5390 S FIVE MILE ROAD </t>
  </si>
  <si>
    <t>208-409-1090</t>
  </si>
  <si>
    <t>TRINITY ASSISTED LIVING-BOISE</t>
  </si>
  <si>
    <t xml:space="preserve">12423 W LEWIS &amp; CLARK DRIVE </t>
  </si>
  <si>
    <t>TRINITY ASSISTED LIVING-MERIDIAN</t>
  </si>
  <si>
    <t xml:space="preserve">1353 W 1ST STREET </t>
  </si>
  <si>
    <t>TRINITY BIBLE COL - COFFEE CLOSET CAFE</t>
  </si>
  <si>
    <t xml:space="preserve">50 SIXTH AVENUE SOUTH </t>
  </si>
  <si>
    <t>701-349-5441</t>
  </si>
  <si>
    <t>TRINITY BIBLE COLLEGE</t>
  </si>
  <si>
    <t xml:space="preserve">50 SIXTH AVENUE S </t>
  </si>
  <si>
    <t>TRINITY BIBLE COLLEGE - CAFETERIA</t>
  </si>
  <si>
    <t>TRINITY HEALTH AND REHAB</t>
  </si>
  <si>
    <t xml:space="preserve">700 WILLIAMS FERRY ROAD </t>
  </si>
  <si>
    <t>LENOIR CITY</t>
  </si>
  <si>
    <t>865-986-3583</t>
  </si>
  <si>
    <t>TRINITY HOME LIVING</t>
  </si>
  <si>
    <t xml:space="preserve">1448 W CREST WOOD DRIVE </t>
  </si>
  <si>
    <t>TRINITY LUTHERAN SCHOOL</t>
  </si>
  <si>
    <t xml:space="preserve">515 S MACARTHUR BLVD </t>
  </si>
  <si>
    <t>217-787-2323</t>
  </si>
  <si>
    <t>TRINITY MISSION OF CHARLOTTESVILLE</t>
  </si>
  <si>
    <t xml:space="preserve">1150 NORTHWEST DRIVE </t>
  </si>
  <si>
    <t>434-973-7933</t>
  </si>
  <si>
    <t>TRINITY MISSION OF FARMVILLE</t>
  </si>
  <si>
    <t>434-392-8806</t>
  </si>
  <si>
    <t>TRINITY MISSION OF HILLSVILLE</t>
  </si>
  <si>
    <t xml:space="preserve">222 FULCHER STREET </t>
  </si>
  <si>
    <t>HILLSVILLE</t>
  </si>
  <si>
    <t>276-728-5002</t>
  </si>
  <si>
    <t>TRINITY MISSION OF ROCKY MOUNT</t>
  </si>
  <si>
    <t xml:space="preserve">P.O. BOX 739 </t>
  </si>
  <si>
    <t>24151-0739</t>
  </si>
  <si>
    <t>540-483-9261</t>
  </si>
  <si>
    <t>TRINITY STATION RETIREMENT COMM</t>
  </si>
  <si>
    <t xml:space="preserve">2121 ARGILLITE ROAD </t>
  </si>
  <si>
    <t>FLATWOODS</t>
  </si>
  <si>
    <t>606-833-1111</t>
  </si>
  <si>
    <t>TRIPOLI NURSING AND REHAB</t>
  </si>
  <si>
    <t xml:space="preserve">604 3RD STREET SW </t>
  </si>
  <si>
    <t>TRIPOLI</t>
  </si>
  <si>
    <t>319-882-4269</t>
  </si>
  <si>
    <t>TRIPONDS CAMP GROUND</t>
  </si>
  <si>
    <t xml:space="preserve">3687 DUMONT ROAD </t>
  </si>
  <si>
    <t>269-673-4740</t>
  </si>
  <si>
    <t>TRIUMPH OF THE CROSS PARISH</t>
  </si>
  <si>
    <t xml:space="preserve">411 SOUTH 5TH STREET </t>
  </si>
  <si>
    <t>STEUBENVILE</t>
  </si>
  <si>
    <t>740-264-6177</t>
  </si>
  <si>
    <t>TROUSDALE SENIOR LIVING CENTER</t>
  </si>
  <si>
    <t xml:space="preserve">263 W MCMURRY BLVD </t>
  </si>
  <si>
    <t>615-374-9771</t>
  </si>
  <si>
    <t>TROY HEALTH &amp; REHAB CENTER</t>
  </si>
  <si>
    <t xml:space="preserve">515 ELBA HWY </t>
  </si>
  <si>
    <t>334-566-0880</t>
  </si>
  <si>
    <t>TRUMAN MEDICAL CENTER EAST</t>
  </si>
  <si>
    <t xml:space="preserve">7900 LEE'S SUMMIT ROAD </t>
  </si>
  <si>
    <t>816-373-4485</t>
  </si>
  <si>
    <t>TSALI CARE CENTER</t>
  </si>
  <si>
    <t xml:space="preserve">55 ECHOTA CHURCH RD </t>
  </si>
  <si>
    <t>CHEROKEE</t>
  </si>
  <si>
    <t>828-497-5048</t>
  </si>
  <si>
    <t>TSUNAMI SUSHI</t>
  </si>
  <si>
    <t xml:space="preserve">17236 PACIFIC COAST HIGHWAY </t>
  </si>
  <si>
    <t>562-592-5806</t>
  </si>
  <si>
    <t>TUFF MEMORIAL HOME</t>
  </si>
  <si>
    <t xml:space="preserve">505 E 4TH STREET </t>
  </si>
  <si>
    <t>507-962-3275</t>
  </si>
  <si>
    <t>TURNING POINT RESIDENTIAL</t>
  </si>
  <si>
    <t xml:space="preserve">5512 YOUNGSTOWN POLAND RD </t>
  </si>
  <si>
    <t xml:space="preserve">POLAND </t>
  </si>
  <si>
    <t>330-788-0669</t>
  </si>
  <si>
    <t>TURTLE ROCK PRESCHOOL</t>
  </si>
  <si>
    <t xml:space="preserve">1 CONCORDIA </t>
  </si>
  <si>
    <t>949-854-7611</t>
  </si>
  <si>
    <t>TUSCARAWAS COUNTY SENIOR CENTER</t>
  </si>
  <si>
    <t xml:space="preserve">425 PROSPECT STREET </t>
  </si>
  <si>
    <t>330-364-6611</t>
  </si>
  <si>
    <t>TUTOR AND SPUNKYS</t>
  </si>
  <si>
    <t xml:space="preserve">34085 PACIFIC COAST HWY #116 </t>
  </si>
  <si>
    <t>949-248-9008</t>
  </si>
  <si>
    <t>TUTTLE CARE CENTER</t>
  </si>
  <si>
    <t xml:space="preserve">104 SE 4TH STREET </t>
  </si>
  <si>
    <t>TUTTLE</t>
  </si>
  <si>
    <t>405-381-3363</t>
  </si>
  <si>
    <t>TWILIGHT ACRES WALL LAKE</t>
  </si>
  <si>
    <t xml:space="preserve">600 WEST 6TH STREET </t>
  </si>
  <si>
    <t>WALL LAKE</t>
  </si>
  <si>
    <t>712-664-2488</t>
  </si>
  <si>
    <t>TWILIGHT HAVEN</t>
  </si>
  <si>
    <t xml:space="preserve">1717 SOUTH WINERY </t>
  </si>
  <si>
    <t>559-251-8417</t>
  </si>
  <si>
    <t>TWIN CREEKS ASSISTED LIVING AND MEMORY CARE</t>
  </si>
  <si>
    <t xml:space="preserve">13470 BOYETTE ROAD </t>
  </si>
  <si>
    <t>813-336-2128</t>
  </si>
  <si>
    <t>TWIN CREEKS RETIREMENT</t>
  </si>
  <si>
    <t xml:space="preserve">888 TWIN CREEKS CROSSING </t>
  </si>
  <si>
    <t>541-664-8880</t>
  </si>
  <si>
    <t>TWIN LAKES COMMUNITY</t>
  </si>
  <si>
    <t xml:space="preserve">3701 WADE COBLE DRIVE </t>
  </si>
  <si>
    <t>336-538-1500</t>
  </si>
  <si>
    <t>TWIN OAKS AT HERITAGE POINTE</t>
  </si>
  <si>
    <t xml:space="preserve">1229 WENTZVILLE PARKWAY </t>
  </si>
  <si>
    <t>WENTZVILLE</t>
  </si>
  <si>
    <t>636-272-4502</t>
  </si>
  <si>
    <t>TWIN OAKS CARE CENTER JACKSNVLE</t>
  </si>
  <si>
    <t xml:space="preserve">1123 NORTH BOLTON </t>
  </si>
  <si>
    <t>903-586-9031</t>
  </si>
  <si>
    <t>TWIN OAKS ESTATES O'FALLON</t>
  </si>
  <si>
    <t xml:space="preserve">707 EMGE ROAD </t>
  </si>
  <si>
    <t>636-240-8959</t>
  </si>
  <si>
    <t>TWIN RIVERS AT NATOMAS</t>
  </si>
  <si>
    <t xml:space="preserve">421 SAN JUAN ROAD </t>
  </si>
  <si>
    <t>916-308-1331</t>
  </si>
  <si>
    <t>TWIN RIVERS SENIOR INDEPENDENT LIVING</t>
  </si>
  <si>
    <t xml:space="preserve">25 RECTORY STREET </t>
  </si>
  <si>
    <t>919-545-0149</t>
  </si>
  <si>
    <t>TWIN WILLOWS</t>
  </si>
  <si>
    <t xml:space="preserve">ROUTE 37 NORTH BOX 370 </t>
  </si>
  <si>
    <t>618-548-0542</t>
  </si>
  <si>
    <t>TWINBROOK ASSISTED LIVING APARTMENTS</t>
  </si>
  <si>
    <t xml:space="preserve">3525 EPHRAIM MCDOWELL DRIVE </t>
  </si>
  <si>
    <t>502-452-6330</t>
  </si>
  <si>
    <t>TYRRELL HOUSE</t>
  </si>
  <si>
    <t xml:space="preserve">950 US HIGHWAY 64E </t>
  </si>
  <si>
    <t>U C DAVIS ASSOCIATED STUDENTS</t>
  </si>
  <si>
    <t xml:space="preserve">347 MEMORIAL UNION </t>
  </si>
  <si>
    <t>U OF AZ-MSU</t>
  </si>
  <si>
    <t xml:space="preserve">PO BOX 210017 </t>
  </si>
  <si>
    <t>520-621-5737</t>
  </si>
  <si>
    <t>U OF AZ-PSU</t>
  </si>
  <si>
    <t>U OF CO BOULDER-UNIVERSITY MEMORIAL CENTER</t>
  </si>
  <si>
    <t xml:space="preserve">1669 EUCLID AVENUE </t>
  </si>
  <si>
    <t>303-492-6325</t>
  </si>
  <si>
    <t>U OF CO B - KAPPA SIGMA FRATERNITY</t>
  </si>
  <si>
    <t xml:space="preserve">1100 PENNSYLVANIA AVE </t>
  </si>
  <si>
    <t>303-440-6900</t>
  </si>
  <si>
    <t>U OF CO B - PI BETA PHI SORORITY</t>
  </si>
  <si>
    <t xml:space="preserve">890 11TH STREET </t>
  </si>
  <si>
    <t>303-544-0867</t>
  </si>
  <si>
    <t>U OF COB-ALPHA CHI OMEGA SORORITY</t>
  </si>
  <si>
    <t xml:space="preserve">1162 12TH STREET </t>
  </si>
  <si>
    <t>303-443-1473</t>
  </si>
  <si>
    <t>U OF COB-DELTA DELTA DELTA SORORITY</t>
  </si>
  <si>
    <t xml:space="preserve">1025 15TH STREET </t>
  </si>
  <si>
    <t>303-442-6691</t>
  </si>
  <si>
    <t>U OF COB-SIGMA ALPHA EPSILON</t>
  </si>
  <si>
    <t xml:space="preserve">1101 UNIVERSITY AVE </t>
  </si>
  <si>
    <t>303-570-3482</t>
  </si>
  <si>
    <t>U OF CO.B-GAMMA PHI BETA</t>
  </si>
  <si>
    <t xml:space="preserve">935 16TH STREET </t>
  </si>
  <si>
    <t xml:space="preserve">BOULDER </t>
  </si>
  <si>
    <t>303-817-2982</t>
  </si>
  <si>
    <t>U OF CO-COLORADO SPRINGS</t>
  </si>
  <si>
    <t xml:space="preserve">1420 AUSTIN BLUFFS PARKWAY </t>
  </si>
  <si>
    <t>719-255-3448</t>
  </si>
  <si>
    <t>U OF CT-BLUE COW</t>
  </si>
  <si>
    <t xml:space="preserve">30 GURLEYVILLE ROAD </t>
  </si>
  <si>
    <t>860-486-3128</t>
  </si>
  <si>
    <t>U OF CT-BOOKWORMS CAFE</t>
  </si>
  <si>
    <t xml:space="preserve">233 GLENBROOK ROAD UNIT 4071 </t>
  </si>
  <si>
    <t>U OF CT-BUCKLEY DIN HALL</t>
  </si>
  <si>
    <t>U OF CT-CATERING/STUDENT UNION</t>
  </si>
  <si>
    <t>U OF CT-CENTRAL CATERING</t>
  </si>
  <si>
    <t>U OF CT-CHUCK &amp; AUGIES-BLUE COW</t>
  </si>
  <si>
    <t>U OF CT-COMMISARY COFFEE-CHEM-ATON-LU-MARCHE-BEANERY</t>
  </si>
  <si>
    <t>U OF CT-CO-OP CAFE</t>
  </si>
  <si>
    <t xml:space="preserve">30 GURLEYVILLE ROAD UNIT 4107 </t>
  </si>
  <si>
    <t>U OF CT-CPK-WHSE-BAKERY-CHILD-ROB-LAW-OAK-NUTR-LODEWICK</t>
  </si>
  <si>
    <t>U OF CT-DAIRY-IC TRUCK-CREAMY</t>
  </si>
  <si>
    <t>U OF CT-DEPT OF AGRICULTURE</t>
  </si>
  <si>
    <t>U OF CT-MCMAHON DIN. HALL</t>
  </si>
  <si>
    <t>U OF CT-MORTON'S</t>
  </si>
  <si>
    <t>U OF CT-NORTH CAMPUS</t>
  </si>
  <si>
    <t>U OF CT-NW. DIN. HALL</t>
  </si>
  <si>
    <t>U OF CT-ONE PLATE TWO PLATES</t>
  </si>
  <si>
    <t>U OF CT-PUTNAM REFECTORY &amp; FOOTBALL COMPLEX</t>
  </si>
  <si>
    <t>U OF CT-S CAMPUS DIN HALL</t>
  </si>
  <si>
    <t>U OF CT-SHIPPEE CATERING</t>
  </si>
  <si>
    <t>U OF CT-TOWERS-GELFEN</t>
  </si>
  <si>
    <t>U OF CT-UNION STREET MARKET-EXCHANGE-SUBS-TRUCK</t>
  </si>
  <si>
    <t>U OF CT-WHITNEY DIN HALL</t>
  </si>
  <si>
    <t>U OF CT-WILBUR'S CAFE</t>
  </si>
  <si>
    <t>U OF M ? BAKERY BID</t>
  </si>
  <si>
    <t xml:space="preserve">U OF M COMMISSARY </t>
  </si>
  <si>
    <t>406-243-2115</t>
  </si>
  <si>
    <t>U OF M ? BIOLOGICAL BID</t>
  </si>
  <si>
    <t xml:space="preserve">311 BIO STATION LN </t>
  </si>
  <si>
    <t>U OF M ? CASCADE STORE BID</t>
  </si>
  <si>
    <t xml:space="preserve">CENTRAL RECEIVING </t>
  </si>
  <si>
    <t>U OF M ? CATERING BID</t>
  </si>
  <si>
    <t>U OF M ? CATERING NFD</t>
  </si>
  <si>
    <t>U OF M ? COFFEE MILL BID</t>
  </si>
  <si>
    <t xml:space="preserve">1300 WEST PARK ST </t>
  </si>
  <si>
    <t>U OF M ? CONCESSIONS ADAMS</t>
  </si>
  <si>
    <t xml:space="preserve">ADAMS </t>
  </si>
  <si>
    <t>U OF M ? FOOD ZOO BID</t>
  </si>
  <si>
    <t xml:space="preserve">LODGE DINING SERVICES </t>
  </si>
  <si>
    <t>U OF M ? GALLAGHER BIZBUZ</t>
  </si>
  <si>
    <t>U OF M ? HELENA COLLEGE OF TECH</t>
  </si>
  <si>
    <t xml:space="preserve">1115 N ROBERTS </t>
  </si>
  <si>
    <t>U OF M ? LAPEAK BID</t>
  </si>
  <si>
    <t>U OF M ? LOMMASSON JANITORIAL</t>
  </si>
  <si>
    <t>U OF M ? LUBRECHT EXPER B</t>
  </si>
  <si>
    <t xml:space="preserve">HWY 200 MM 22 LUBRECHT </t>
  </si>
  <si>
    <t>U OF M ? MARCUS DELI STUDENT UN</t>
  </si>
  <si>
    <t>U OF M ? MONTANA ISLAND LODGE</t>
  </si>
  <si>
    <t xml:space="preserve">2433 HWY 83 </t>
  </si>
  <si>
    <t>U OF M ? MONTANA TECH SO CAMPUS</t>
  </si>
  <si>
    <t xml:space="preserve">25 BASIN CREEK RD </t>
  </si>
  <si>
    <t>U OF M ? RECESS</t>
  </si>
  <si>
    <t>U OF M ? THINK TANK COFFEE BID</t>
  </si>
  <si>
    <t>U OF M ? UC DINING SVCS BID</t>
  </si>
  <si>
    <t>U OF M ? UC MARKET</t>
  </si>
  <si>
    <t>U OF M ? UC THEATER BID</t>
  </si>
  <si>
    <t>U OF M-GRIZ AND GO</t>
  </si>
  <si>
    <t xml:space="preserve">150 UNIVERSITY </t>
  </si>
  <si>
    <t>406-244-4041</t>
  </si>
  <si>
    <t>U OF OR-UNIV HOUSING CARSON</t>
  </si>
  <si>
    <t xml:space="preserve">1595 E.15TH AVE. </t>
  </si>
  <si>
    <t xml:space="preserve">U OF WY-CHI OMEGA SORORITY </t>
  </si>
  <si>
    <t xml:space="preserve">1630 E SORORITY ROW </t>
  </si>
  <si>
    <t>LARAMIE</t>
  </si>
  <si>
    <t>307-766-8661</t>
  </si>
  <si>
    <t>U OF WY-DELTA DELTA DELTA SORORITY</t>
  </si>
  <si>
    <t xml:space="preserve">1616 E SORORITY ROW </t>
  </si>
  <si>
    <t>307-766-8580</t>
  </si>
  <si>
    <t>UC MERCED</t>
  </si>
  <si>
    <t xml:space="preserve">4225 N. HOSPITAL ROAD </t>
  </si>
  <si>
    <t>ATWATER</t>
  </si>
  <si>
    <t>209-724-2906</t>
  </si>
  <si>
    <t>UC REGENTS - UCLA BAKERY SHOP</t>
  </si>
  <si>
    <t xml:space="preserve">270 DENEVE DR # 2-311 BOX 951367 </t>
  </si>
  <si>
    <t>310-206-8663</t>
  </si>
  <si>
    <t>UC REGENTS - UCLA HOUSINGDINING</t>
  </si>
  <si>
    <t xml:space="preserve">350 DENEVE DR SUITE 100J </t>
  </si>
  <si>
    <t>310-825-1943</t>
  </si>
  <si>
    <t>UC REGENTS - UCLA LA MNTHLY BID</t>
  </si>
  <si>
    <t xml:space="preserve">270 DENEVE DR #2-311 BOX 951367 </t>
  </si>
  <si>
    <t>UC REGENTS - UCLA BRADLEY</t>
  </si>
  <si>
    <t>UC REGENTS - UCLA BRUIN CAFE</t>
  </si>
  <si>
    <t xml:space="preserve">330 DENEVE DR </t>
  </si>
  <si>
    <t>UC REGENTS - UCLA CATERING</t>
  </si>
  <si>
    <t xml:space="preserve">417 CHARLES YOUNG DRIVE </t>
  </si>
  <si>
    <t>UC REGENTS - UCLA CATERING-CYDR</t>
  </si>
  <si>
    <t>UC REGENTS - UCLA CO-OP</t>
  </si>
  <si>
    <t>UC REGENTS - UCLA COVEL</t>
  </si>
  <si>
    <t>UC REGENTS - UCLA DE NEVE FOOD</t>
  </si>
  <si>
    <t xml:space="preserve">401 CHARLES YOUNG DRIVE </t>
  </si>
  <si>
    <t>UC REGENTS - UCLA ETC.</t>
  </si>
  <si>
    <t>UC REGENTS - UCLA HEDRICK</t>
  </si>
  <si>
    <t xml:space="preserve">250 DE NEVE DRIVE </t>
  </si>
  <si>
    <t>UC REGENTS - UCLA KERCKHOF</t>
  </si>
  <si>
    <t>UC REGENTS - UCLA PUZZLES</t>
  </si>
  <si>
    <t xml:space="preserve">350 DE NEVE DRIVE </t>
  </si>
  <si>
    <t>UC REGENTS - UCLA RENDEZVOUS</t>
  </si>
  <si>
    <t>UC REGENTS - UCLA RIEBER</t>
  </si>
  <si>
    <t xml:space="preserve">310 DENEVE DR </t>
  </si>
  <si>
    <t>UC REGENTS - UCLA SPROUL</t>
  </si>
  <si>
    <t>UC REGENTS - UCLA SUNSET</t>
  </si>
  <si>
    <t>UC REGENTS - UCLA SVCE STORERM</t>
  </si>
  <si>
    <t>UC REGENTS - UCLA TREE HOUSE</t>
  </si>
  <si>
    <t>UC REGENTS - UCLA TROPICS</t>
  </si>
  <si>
    <t>UC REGENTS-UCLA BRUIN PLATE</t>
  </si>
  <si>
    <t xml:space="preserve">251 CHARLES E YOUNG DR </t>
  </si>
  <si>
    <t>UC REGENTS-UCLA CAFE' SEAS</t>
  </si>
  <si>
    <t xml:space="preserve">308 WESTWOOD PLAZA </t>
  </si>
  <si>
    <t>UC REGENTS-UCLA LAKE ARROWHEADCC</t>
  </si>
  <si>
    <t xml:space="preserve">850 WILLOWCREEK ROAD </t>
  </si>
  <si>
    <t>LAKE ARROWHEAD</t>
  </si>
  <si>
    <t>909-337-2478</t>
  </si>
  <si>
    <t>UC REGENTS-UCLA MEDICAL CENTER</t>
  </si>
  <si>
    <t xml:space="preserve">10833 LE CONTE AVENUE </t>
  </si>
  <si>
    <t>UC REGENTS-UCLA NEWS STAND GIFTS</t>
  </si>
  <si>
    <t xml:space="preserve">200 MEDICAL PLAZA </t>
  </si>
  <si>
    <t>UC REGENTS-UCLA PLAZA DELI/GRILL</t>
  </si>
  <si>
    <t xml:space="preserve">100 UCLA MEDICAL PLAZA </t>
  </si>
  <si>
    <t>UC REGENTS-UCLADENEVE COMMISSAR</t>
  </si>
  <si>
    <t xml:space="preserve">401 CHARLES &amp; YOUNG DRIVE </t>
  </si>
  <si>
    <t>UC REGENTS-UCLASANTA MONICA HSP</t>
  </si>
  <si>
    <t xml:space="preserve">1250 16TH STREET </t>
  </si>
  <si>
    <t>UC REGENTS-UCR ALUMM &amp; VISIT CTR*</t>
  </si>
  <si>
    <t xml:space="preserve">100 ABERDEEN DRIVE </t>
  </si>
  <si>
    <t>909-787-5620</t>
  </si>
  <si>
    <t>UC REGENTS-UCSB- ANNEX</t>
  </si>
  <si>
    <t xml:space="preserve">1501 RESIDENTIAL SERVICES </t>
  </si>
  <si>
    <t>805-893-3315</t>
  </si>
  <si>
    <t>UC REGENTS-UCSB- BUCHANAN</t>
  </si>
  <si>
    <t>UC REGENTS-UCSB- CENTRAL KITCHEN</t>
  </si>
  <si>
    <t>UC REGENTS-UCSB- CORAL TREE CAFE</t>
  </si>
  <si>
    <t>UC REGENTS-UCSB- CORNER STORE</t>
  </si>
  <si>
    <t>UC REGENTS-UCSB- COURTYARD CAFE</t>
  </si>
  <si>
    <t xml:space="preserve">1501 RESIDENTIAL SERVICE </t>
  </si>
  <si>
    <t>UC REGENTS-UCSB- FACULTY CLUB</t>
  </si>
  <si>
    <t xml:space="preserve">BLDG. 581 </t>
  </si>
  <si>
    <t>UC REGENTS-UCSB- FACULTY MGMT</t>
  </si>
  <si>
    <t>UC REGENTS-UCSB- KOHN HALL</t>
  </si>
  <si>
    <t>UC REGENTS-UCSB- MARINE SCIENCE</t>
  </si>
  <si>
    <t>UC REGENTS-UCSB- NICOLETTI'S</t>
  </si>
  <si>
    <t>UC REGENTS-UCSB- ORTEGA DIN COMM</t>
  </si>
  <si>
    <t>UC REGENTS-UCSB SELMER O.WAKECTR</t>
  </si>
  <si>
    <t>UC REGENTS-UCSB- SUMMER CAMP</t>
  </si>
  <si>
    <t>UC REGENTS-UCSB- THE ARBOR</t>
  </si>
  <si>
    <t>UC REGENTS-UCSB-ASSOCIATED STUDENTS</t>
  </si>
  <si>
    <t>UC REGENTS-UCSB-BOOKSTORE</t>
  </si>
  <si>
    <t>805-893-4836</t>
  </si>
  <si>
    <t>UC REGENTS-UCSB-CARRILLO COMMONS</t>
  </si>
  <si>
    <t>UC REGENTS-UCSB-CHILDREN'S CTR</t>
  </si>
  <si>
    <t>UC REGENTS-UCSB-CNTRL STORGOLET</t>
  </si>
  <si>
    <t>UC REGENTS-UCSB-DELA GUERRA COMM</t>
  </si>
  <si>
    <t>UC REGENTS-UCSB-GAUCHO DELI UCTR</t>
  </si>
  <si>
    <t>UC REGENTS-UCSB-HEALTH ED</t>
  </si>
  <si>
    <t>UC REGENTS-UCSB-PORTOLA DIN COMM</t>
  </si>
  <si>
    <t>UC REGENTS-UCSB-UCEN CATERING</t>
  </si>
  <si>
    <t xml:space="preserve">1180 UNIVERSITY CENTER </t>
  </si>
  <si>
    <t>805-893-2388</t>
  </si>
  <si>
    <t>UC REGENTS-UCSB-UNIV DINING CTR</t>
  </si>
  <si>
    <t>UC SANTA CRUZ</t>
  </si>
  <si>
    <t xml:space="preserve">1156 HIGH STREET </t>
  </si>
  <si>
    <t>831-460-3074</t>
  </si>
  <si>
    <t>UC SANTA CRUZ 8 EGE 8 EE CART</t>
  </si>
  <si>
    <t>UC SANTA CRUZ 9 &amp;10 COLL FFEE</t>
  </si>
  <si>
    <t>UC SANTA CRUZ BAKERY 8 EE CART</t>
  </si>
  <si>
    <t>UC SANTA CRUZ BJ S@CROWN L EE</t>
  </si>
  <si>
    <t>UC SANTA CRUZ BJS@CROWN TABLETOP</t>
  </si>
  <si>
    <t>UC SANTA CRUZ CATERING COWELL EE</t>
  </si>
  <si>
    <t>UC SANTA CRUZ COLL 8 COFFEE SHOP</t>
  </si>
  <si>
    <t>UC SANTA CRUZ COMM COWELL EECART</t>
  </si>
  <si>
    <t>UC SANTA CRUZ COWELL COFFEE SHOP</t>
  </si>
  <si>
    <t>UC SANTA CRUZ COWELL EE CART</t>
  </si>
  <si>
    <t>UC SANTA CRUZ CROWN 8EE CART</t>
  </si>
  <si>
    <t>UC SANTA CRUZ KRESGE CAFE/OWLS</t>
  </si>
  <si>
    <t>UC SANTA CRUZ PORTER L EE CART</t>
  </si>
  <si>
    <t>UC SANTA CRUZ RETAIL CROWN COFFE</t>
  </si>
  <si>
    <t>UC SANTA CRUZ RETAIL OAKS GE EE</t>
  </si>
  <si>
    <t>UC SANTA CRUZ STEVENSON COFFEE</t>
  </si>
  <si>
    <t>UC SANTA CRUZ TAPS</t>
  </si>
  <si>
    <t>UCI ANTEATER RECREATION CENTER</t>
  </si>
  <si>
    <t xml:space="preserve">C-134 UCI STUDENT CENTER </t>
  </si>
  <si>
    <t>949-824-8502</t>
  </si>
  <si>
    <t>UCI ANTHILL PUB AND GRILLE</t>
  </si>
  <si>
    <t>949-824-1492</t>
  </si>
  <si>
    <t>UCI ATHLETICS/SPORTS MEDICINE</t>
  </si>
  <si>
    <t xml:space="preserve">UNIVERSITY OF CALIFORNIA IRVINE </t>
  </si>
  <si>
    <t>949-824-7633</t>
  </si>
  <si>
    <t>UCI BC'S CAVERN OF THE GREEN</t>
  </si>
  <si>
    <t>UCI BECKMAN CENTER</t>
  </si>
  <si>
    <t>949-824-1580</t>
  </si>
  <si>
    <t>UCI BOOKSTORE/RETAIL ENTERPRISES</t>
  </si>
  <si>
    <t>UCI BREN EVENTS CENTER</t>
  </si>
  <si>
    <t>UCI CENTRAL STOREHOUSE</t>
  </si>
  <si>
    <t xml:space="preserve">19182 JAMBOREE BLVD. </t>
  </si>
  <si>
    <t>949-824-5532</t>
  </si>
  <si>
    <t>UCI CHILD CARE SERVICES</t>
  </si>
  <si>
    <t>UCI CONFERENCE &amp; SCHEDULING</t>
  </si>
  <si>
    <t>UCI EATER'S FOOD COURT</t>
  </si>
  <si>
    <t>UCI FOOD SERVICES</t>
  </si>
  <si>
    <t>UCI GOVERNMENT ASSOCIATION</t>
  </si>
  <si>
    <t>UCI HOUSING ARROYO VISTA</t>
  </si>
  <si>
    <t>UCI HOUSING CAMPUS VILLAGE</t>
  </si>
  <si>
    <t>UCI HOUSING MESA COURT</t>
  </si>
  <si>
    <t>UCI HOUSING MIDDLE EARTH</t>
  </si>
  <si>
    <t>UCI HOUSING PALO VERDE</t>
  </si>
  <si>
    <t>UCI HOUSING VERANO PLACE</t>
  </si>
  <si>
    <t>UCI STUDENT CENTER</t>
  </si>
  <si>
    <t>UCI ZOT 'N' GO EAST</t>
  </si>
  <si>
    <t>UCI ZOT 'N' GO NORTH</t>
  </si>
  <si>
    <t>UCI ZOT 'N' GO SOUTH</t>
  </si>
  <si>
    <t>UCLA-CATERING</t>
  </si>
  <si>
    <t xml:space="preserve">330 DE NEVER DR LOREL COMMONS #L16 </t>
  </si>
  <si>
    <t>310-825-4321</t>
  </si>
  <si>
    <t>UCM RESIDENTIAL SERVICES</t>
  </si>
  <si>
    <t xml:space="preserve">400 SOUTH MELVIN ELEY AVENUE </t>
  </si>
  <si>
    <t>937-968-6265</t>
  </si>
  <si>
    <t>UCONN DEPARTMENT OF DINING SERVICES</t>
  </si>
  <si>
    <t xml:space="preserve">3384 TOWERS LOOP ROAD </t>
  </si>
  <si>
    <t>STORRS CENTER</t>
  </si>
  <si>
    <t>860-558-6579</t>
  </si>
  <si>
    <t>UCONN-EARTH WOK FIRE</t>
  </si>
  <si>
    <t xml:space="preserve">30 GURLEYVILLE RD U-4107 </t>
  </si>
  <si>
    <t>860-486-4607</t>
  </si>
  <si>
    <t>UCONN-REC CENTER FRESHENS</t>
  </si>
  <si>
    <t>UDM GORDINIER DINING HALL</t>
  </si>
  <si>
    <t>717-872-3445</t>
  </si>
  <si>
    <t>UDM LYLE DINING HALL</t>
  </si>
  <si>
    <t>UDM STUDENT MEMORIAL CENTER</t>
  </si>
  <si>
    <t xml:space="preserve">UNION HOSPITAL </t>
  </si>
  <si>
    <t xml:space="preserve">106 BOW STREET </t>
  </si>
  <si>
    <t>410-392-7023</t>
  </si>
  <si>
    <t>UNIQUE REHABILITATION AND HEALTH CENTER</t>
  </si>
  <si>
    <t xml:space="preserve">901 1ST ST NW </t>
  </si>
  <si>
    <t>202-535-2044</t>
  </si>
  <si>
    <t>UNITED CARE NETWORK</t>
  </si>
  <si>
    <t xml:space="preserve">3850 PELONA VISTA DRIVE </t>
  </si>
  <si>
    <t>661-206-9492</t>
  </si>
  <si>
    <t>UNITED COMMUNITY ACTION PROGRAM INC</t>
  </si>
  <si>
    <t xml:space="preserve">501 6TH STREET </t>
  </si>
  <si>
    <t>PAWNEE</t>
  </si>
  <si>
    <t>918-224-3289</t>
  </si>
  <si>
    <t>UNITED METHODIST VILLAGE-NORTH CAMPUS</t>
  </si>
  <si>
    <t>618-934-3444</t>
  </si>
  <si>
    <t>UNITED PARTNERS HEALTHCARE</t>
  </si>
  <si>
    <t xml:space="preserve">903 WEST MAIN </t>
  </si>
  <si>
    <t>STIGLER</t>
  </si>
  <si>
    <t>918-967-2563</t>
  </si>
  <si>
    <t>UNITED REGIONAL MEDICAL GROUP</t>
  </si>
  <si>
    <t xml:space="preserve">1001 MCARTHUR STREET </t>
  </si>
  <si>
    <t>931-461-3466</t>
  </si>
  <si>
    <t>UNITED REHABILITATION SERVICES OF GREATER DAYTON</t>
  </si>
  <si>
    <t xml:space="preserve">4710 OLD TROY PIKE </t>
  </si>
  <si>
    <t>937-233-1230</t>
  </si>
  <si>
    <t>UNITED SERVICE ORGANIZATION</t>
  </si>
  <si>
    <t xml:space="preserve">210 N EL CIELO RD </t>
  </si>
  <si>
    <t>760-534-3508</t>
  </si>
  <si>
    <t xml:space="preserve">UNIV OF BUFFALO CAMPUS DINING/SHOPS-COMMISSARY </t>
  </si>
  <si>
    <t>UNIV OF BUFFALO-CROSSROADS CULINARY CENTER</t>
  </si>
  <si>
    <t>716-645-2336</t>
  </si>
  <si>
    <t>UNIV OF KY - ADPI SORORITY</t>
  </si>
  <si>
    <t xml:space="preserve">476 ROSE ST </t>
  </si>
  <si>
    <t>859-321-0925</t>
  </si>
  <si>
    <t>UNIV OF KY - AOII SORORITY</t>
  </si>
  <si>
    <t xml:space="preserve">368 ROSE ST </t>
  </si>
  <si>
    <t>UNIV OF KY - CAMPUS CUISINE</t>
  </si>
  <si>
    <t xml:space="preserve">FOOD STORAGE BLDG. 19 DONOVAN DR </t>
  </si>
  <si>
    <t>859-257-6156</t>
  </si>
  <si>
    <t>UNIV OF KY - CHILD DEV CTR OF THE BLUEGRASS</t>
  </si>
  <si>
    <t xml:space="preserve">290 ALUMNI DR </t>
  </si>
  <si>
    <t>859-278-0549</t>
  </si>
  <si>
    <t>UNIV OF KY - FARMHOUSE FRATERNITY</t>
  </si>
  <si>
    <t xml:space="preserve">456 ROSE LANE </t>
  </si>
  <si>
    <t>UNIV OF KY - JM FELTNER 4-H CAMP</t>
  </si>
  <si>
    <t xml:space="preserve">380 JM FELTNER ROAD </t>
  </si>
  <si>
    <t>859-257-6157</t>
  </si>
  <si>
    <t>UNIV OF KY - LAKE CUMBERLAND 4-H CENTER/LEADERSHIP CENTER</t>
  </si>
  <si>
    <t xml:space="preserve">17500 HIGHWAY 196 </t>
  </si>
  <si>
    <t>NANCY</t>
  </si>
  <si>
    <t>270-866-4215</t>
  </si>
  <si>
    <t>UNIV OF KY - NORTH CENTRAL 4-H CAMP</t>
  </si>
  <si>
    <t xml:space="preserve">260 CAMP RD </t>
  </si>
  <si>
    <t>859-218-0094</t>
  </si>
  <si>
    <t>UNIV OF KY - SAE HOUSE</t>
  </si>
  <si>
    <t xml:space="preserve">410 ROSE LANE </t>
  </si>
  <si>
    <t>UNIV OF KY - WEST KENTUCKY 4-H CAMP</t>
  </si>
  <si>
    <t xml:space="preserve">600 4H CAMP DRIVE </t>
  </si>
  <si>
    <t>DAWSON SPRINGS</t>
  </si>
  <si>
    <t>UNIV OF KY-SIGMA NU</t>
  </si>
  <si>
    <t xml:space="preserve">422 ROSE LANE </t>
  </si>
  <si>
    <t>UNIV OF NEW MEXICO</t>
  </si>
  <si>
    <t xml:space="preserve">STUDENT UNION ROOM 201 </t>
  </si>
  <si>
    <t>505-277-2331</t>
  </si>
  <si>
    <t>UNIV OF NEW MEXICO CONCESSIONS</t>
  </si>
  <si>
    <t xml:space="preserve">3601 UNIVERISTY SE </t>
  </si>
  <si>
    <t>UNIV OF NEW MEXICO SOUTH GOLF</t>
  </si>
  <si>
    <t>UNIV OF NO IOWA - GILCHRIST HALL</t>
  </si>
  <si>
    <t xml:space="preserve">1501 REDEKER DRIVE </t>
  </si>
  <si>
    <t>319-273-6036</t>
  </si>
  <si>
    <t>UNIV OF OR-ATHLETIC DEPARTMENT</t>
  </si>
  <si>
    <t xml:space="preserve">2727 LEO HARRIS PARKWAY </t>
  </si>
  <si>
    <t>UNIV OF OR-BARNHART</t>
  </si>
  <si>
    <t>UNIV OF OR-BEAN KITCHEN</t>
  </si>
  <si>
    <t xml:space="preserve">DO NOT USE ..USE 05-285302 </t>
  </si>
  <si>
    <t>UNIV OF OR-BEAN KITCHEN CATERING</t>
  </si>
  <si>
    <t>UNIV OF OR-BID</t>
  </si>
  <si>
    <t xml:space="preserve">DO NOT USE ..USE 05-285308 </t>
  </si>
  <si>
    <t>UNIV OF OR-CARSON</t>
  </si>
  <si>
    <t xml:space="preserve">DO NOT USE....USE # 05-285301 </t>
  </si>
  <si>
    <t>UNIV OF OR-CARSON CATERING</t>
  </si>
  <si>
    <t>UNIV OF OR-CARSON DINING BID</t>
  </si>
  <si>
    <t>UNIV OF OR-CARSON KIT.BID ACCT.</t>
  </si>
  <si>
    <t>UNIV OF OR-CATERING</t>
  </si>
  <si>
    <t xml:space="preserve">DO NOT USE.....USE 05-285302 </t>
  </si>
  <si>
    <t>UNIV OF OR-CENTRAL</t>
  </si>
  <si>
    <t>UNIV OF OR-CENTRAL KITCHEN BID</t>
  </si>
  <si>
    <t>UNIV OF OR-CENTRAL WAREHOUSE</t>
  </si>
  <si>
    <t>UNIV OF OR-CENTRAL WHSE UNIV.INN</t>
  </si>
  <si>
    <t xml:space="preserve">DO NOT USE ..USE 05-285305 </t>
  </si>
  <si>
    <t>UNIV OF OR-CLANCY THURBER'S</t>
  </si>
  <si>
    <t xml:space="preserve">DO NOT USE ..USE 05-285303 </t>
  </si>
  <si>
    <t>UNIV OF OR-COLLIER CATERING</t>
  </si>
  <si>
    <t>UNIV OF OR-COLLIER FAST FOOD</t>
  </si>
  <si>
    <t>UNIV OF OR-COLLIER HOUSE TRF510</t>
  </si>
  <si>
    <t>UNIV OF OR-COLLIER TRF910</t>
  </si>
  <si>
    <t>UNIV OF OR-COMMONS COFFEE #2</t>
  </si>
  <si>
    <t xml:space="preserve">1595 E. 15TH AVE. </t>
  </si>
  <si>
    <t>UNIV OF OR-DUX BISTRO</t>
  </si>
  <si>
    <t>UNIV OF OREGON-UO HOUSING</t>
  </si>
  <si>
    <t>UNIV OF OR-ERB MEMORIAL</t>
  </si>
  <si>
    <t>UNIV OF OR-FIRE-N-SPICE</t>
  </si>
  <si>
    <t>UNIV OF OR-GRAB &amp; GO TRF 900</t>
  </si>
  <si>
    <t>UNIV OF OR-HAMILTON DINING BID</t>
  </si>
  <si>
    <t xml:space="preserve">DO NOT USE ..USE 05-285304 </t>
  </si>
  <si>
    <t>UNIV OF OR-HAMILTON GRAB NGO</t>
  </si>
  <si>
    <t>UNIV OF OR-HAMILTON KITCHEN</t>
  </si>
  <si>
    <t>UNIV OF OR-HAMMY'S</t>
  </si>
  <si>
    <t>UNIV OF OR-HOUSING UNIV. INN</t>
  </si>
  <si>
    <t>UNIV OF OR-MARINE BIOLOGY</t>
  </si>
  <si>
    <t xml:space="preserve">63466 BOAT BASIN ROAD </t>
  </si>
  <si>
    <t>541-888-2581</t>
  </si>
  <si>
    <t>UNIV OF OR-PIZANO'S</t>
  </si>
  <si>
    <t>UNIV OF OR-STUDENT UNION</t>
  </si>
  <si>
    <t>UNIV OF OR-UNIV. CATERING</t>
  </si>
  <si>
    <t>UNIV OF OR-UNIVERSITY INN/BID</t>
  </si>
  <si>
    <t>UNIV OF OR-WAREHOUSE</t>
  </si>
  <si>
    <t>UNIV. OF OREGON - EMU FOODSRVCE</t>
  </si>
  <si>
    <t xml:space="preserve">PO BOX 3000 </t>
  </si>
  <si>
    <t>541-346-3719</t>
  </si>
  <si>
    <t>UNIVERSITY DINING - NCSU</t>
  </si>
  <si>
    <t xml:space="preserve">112 THURMAN DR. U. DIN. BOX 7307 </t>
  </si>
  <si>
    <t>UNIVERSITY HOUSING &amp; DINING</t>
  </si>
  <si>
    <t xml:space="preserve">4141 BURGE HALL </t>
  </si>
  <si>
    <t>319-335-3000</t>
  </si>
  <si>
    <t>UNIVERSITY OF ARIZONA</t>
  </si>
  <si>
    <t>UNIVERSITY OF CALIF - MERCED</t>
  </si>
  <si>
    <t>UNIVERSITY OF COLORADO NORLIN</t>
  </si>
  <si>
    <t xml:space="preserve">CTR FOR COMMUNITY N170G 154 UCB </t>
  </si>
  <si>
    <t>303-492-3311</t>
  </si>
  <si>
    <t>UNIVERSITY OF COLORADO-BOULDER</t>
  </si>
  <si>
    <t>UNIVERSITY OF CONNECTICUT</t>
  </si>
  <si>
    <t>UNIVERSITY OF GREAT FALLS</t>
  </si>
  <si>
    <t xml:space="preserve">1301 20TH ST SOUTH </t>
  </si>
  <si>
    <t>406-791-5257</t>
  </si>
  <si>
    <t>UNIVERSITY OF IOWA</t>
  </si>
  <si>
    <t xml:space="preserve">26 IMU </t>
  </si>
  <si>
    <t>319-335-3108</t>
  </si>
  <si>
    <t>UNIVERSITY OF KENTUCKY - DINING SERVICES</t>
  </si>
  <si>
    <t xml:space="preserve">FOOD STORAGE BLDG. 19 DONOVAL DR </t>
  </si>
  <si>
    <t>UNIVERSITY OF MARYLAND</t>
  </si>
  <si>
    <t xml:space="preserve">1150 S CAMPUS DINING HALL </t>
  </si>
  <si>
    <t>301-314-8059</t>
  </si>
  <si>
    <t>UNIVERSITY OF MASSACHUSETTS</t>
  </si>
  <si>
    <t xml:space="preserve">110 STOCKBRIDGE ROAD </t>
  </si>
  <si>
    <t>413-545-2472</t>
  </si>
  <si>
    <t>UNIVERSITY OF MONTANA</t>
  </si>
  <si>
    <t xml:space="preserve">LOMMASSON CENTERRM EL 145 </t>
  </si>
  <si>
    <t>UNIVERSITY OF MONTANA WESTERN - CAFETERIA BID</t>
  </si>
  <si>
    <t xml:space="preserve">710 S ATLANTIC </t>
  </si>
  <si>
    <t>DILLON</t>
  </si>
  <si>
    <t>UNIVERSITY OF MONTANA WESTERN ? BARK-N-BITE</t>
  </si>
  <si>
    <t>406-683-7355</t>
  </si>
  <si>
    <t>UNIVERSITY OF MONTANA WESTERN- BIRCH CREEK BID</t>
  </si>
  <si>
    <t>UNIVERSITY OF NEVADA LAS VEGAS</t>
  </si>
  <si>
    <t xml:space="preserve">4505 MARYLAND PARKWAY BOX 45003 </t>
  </si>
  <si>
    <t>702-895-4171</t>
  </si>
  <si>
    <t>UNIVERSITY OF NOTRE DAME</t>
  </si>
  <si>
    <t>UNIVERSITY OF OREGON GLOBAL SCHOLARS HALL</t>
  </si>
  <si>
    <t xml:space="preserve">FRESH MARKET CAFE 1590 E 15TH AVE </t>
  </si>
  <si>
    <t>UNIVERSITY OF OREGON-BIG MOUTH BURRITO</t>
  </si>
  <si>
    <t xml:space="preserve">1650 E 13TH AVE </t>
  </si>
  <si>
    <t>541-346-4225</t>
  </si>
  <si>
    <t>UNIVERSITY OF WYOMING</t>
  </si>
  <si>
    <t xml:space="preserve">DEPT 3394-1000 E. UNIVERSITY AVE </t>
  </si>
  <si>
    <t>307-766-3059</t>
  </si>
  <si>
    <t>UNIVERSITY PARK</t>
  </si>
  <si>
    <t xml:space="preserve">2420 PEMBERTON ROAD </t>
  </si>
  <si>
    <t>804-747-9200</t>
  </si>
  <si>
    <t>UNIVERSITY TOWERS 776</t>
  </si>
  <si>
    <t>UNIVERSITY VILLAGE</t>
  </si>
  <si>
    <t xml:space="preserve">12401 N. 22ND ST. </t>
  </si>
  <si>
    <t>813-975-5000</t>
  </si>
  <si>
    <t xml:space="preserve">4701 CAMPUS VILLAGE DR </t>
  </si>
  <si>
    <t>512-248-2222</t>
  </si>
  <si>
    <t>UNO DOS MARKET</t>
  </si>
  <si>
    <t xml:space="preserve">595 MARKET STREET </t>
  </si>
  <si>
    <t>UNO DOS POLK</t>
  </si>
  <si>
    <t xml:space="preserve">2227 POLK STREET </t>
  </si>
  <si>
    <t>415-525-4116</t>
  </si>
  <si>
    <t>UOFO-HAMILTON CAFE/COMMON GRNDS</t>
  </si>
  <si>
    <t xml:space="preserve">1595 E 15TH AVENUE </t>
  </si>
  <si>
    <t>UPPER ECHELON SCHOOL FOOD SERVICES</t>
  </si>
  <si>
    <t xml:space="preserve">3253 ALQONQUIN PARKWAY </t>
  </si>
  <si>
    <t>419-699-2375</t>
  </si>
  <si>
    <t>URGENT CARE OF JEROME</t>
  </si>
  <si>
    <t xml:space="preserve">133 W AVENUE A SUITE B </t>
  </si>
  <si>
    <t>JEROME</t>
  </si>
  <si>
    <t>208-208-4440</t>
  </si>
  <si>
    <t>URGENT CARE OF TWIN FALLS</t>
  </si>
  <si>
    <t xml:space="preserve">2392 ADDISON AVENUE E </t>
  </si>
  <si>
    <t>208-933-4440</t>
  </si>
  <si>
    <t>US SPACE AND ROCKET CENTER</t>
  </si>
  <si>
    <t xml:space="preserve">ONE TRANQUILITY BASE </t>
  </si>
  <si>
    <t>256-721-7121</t>
  </si>
  <si>
    <t>USC - GAMMA PHI BETA</t>
  </si>
  <si>
    <t xml:space="preserve">737 WEST 28TH STREET </t>
  </si>
  <si>
    <t>213-748-4027</t>
  </si>
  <si>
    <t>USC - KAPPA ALPHA THETA SORORITY</t>
  </si>
  <si>
    <t xml:space="preserve">653 W. 28TH STREET </t>
  </si>
  <si>
    <t>213-748-1576</t>
  </si>
  <si>
    <t>USC-PI BETA PHI SORORITY</t>
  </si>
  <si>
    <t xml:space="preserve">667 W 28TH STREET </t>
  </si>
  <si>
    <t>213-745-0125</t>
  </si>
  <si>
    <t>UTAH ASSISTED LIVING ASSOCIATION</t>
  </si>
  <si>
    <t xml:space="preserve">3042 WEST WILKINS PEAK COURT </t>
  </si>
  <si>
    <t>801-949-3585</t>
  </si>
  <si>
    <t>UTAH ASSOCIATION FOR HOME CARE</t>
  </si>
  <si>
    <t xml:space="preserve">1327 SOUTH 900 EAST </t>
  </si>
  <si>
    <t>801-487-8242</t>
  </si>
  <si>
    <t>UTAH HEALTH CARE ASSOCIATION</t>
  </si>
  <si>
    <t xml:space="preserve">4970 S 900 E STE C </t>
  </si>
  <si>
    <t>801-486-6100</t>
  </si>
  <si>
    <t>UWYO - KAPPAKAPPA GAMMA SORORITY</t>
  </si>
  <si>
    <t xml:space="preserve">1604 E SORORITY ROW </t>
  </si>
  <si>
    <t>307-399-1839</t>
  </si>
  <si>
    <t>UWYO - PI BETA PHI SORORITY</t>
  </si>
  <si>
    <t xml:space="preserve">1502 SORORITY ROW </t>
  </si>
  <si>
    <t>307-399-7564</t>
  </si>
  <si>
    <t>UWYO- PI KAPPA ALPHA FRATERNITY</t>
  </si>
  <si>
    <t xml:space="preserve">1624 E SORORITY ROW </t>
  </si>
  <si>
    <t>307-760-2907</t>
  </si>
  <si>
    <t>VACAVILLE CONV/REHAB CENTER</t>
  </si>
  <si>
    <t xml:space="preserve">585 NUT TREE COURT </t>
  </si>
  <si>
    <t>VACAVILLE</t>
  </si>
  <si>
    <t>707-449-8000</t>
  </si>
  <si>
    <t>VALLEY BEHAVIORAL HEALTH</t>
  </si>
  <si>
    <t xml:space="preserve">1020 SO MAIN </t>
  </si>
  <si>
    <t>801-263-7200</t>
  </si>
  <si>
    <t xml:space="preserve">3944 SOUTH 400 EAST </t>
  </si>
  <si>
    <t>801-965-8145</t>
  </si>
  <si>
    <t>VALLEY CHRISTIAN HOME</t>
  </si>
  <si>
    <t xml:space="preserve">511 E MALONE ST </t>
  </si>
  <si>
    <t>559-585-3000</t>
  </si>
  <si>
    <t>VALLEY COMFORT MODESTO</t>
  </si>
  <si>
    <t xml:space="preserve">2809 LOU ANN DRIVE </t>
  </si>
  <si>
    <t>209-544-8676</t>
  </si>
  <si>
    <t>VALLEY CONVALESCENT WATSONVILLE</t>
  </si>
  <si>
    <t xml:space="preserve">919 FREEDOM BLVD </t>
  </si>
  <si>
    <t>WATSONVILLE</t>
  </si>
  <si>
    <t>831-722-3581</t>
  </si>
  <si>
    <t>VALLEY HEIGHTS SENIOR LIVING</t>
  </si>
  <si>
    <t xml:space="preserve">925 FREEDOM BLVD </t>
  </si>
  <si>
    <t>831-722-2276</t>
  </si>
  <si>
    <t>VALLEY HI NURSING AND REHAB</t>
  </si>
  <si>
    <t xml:space="preserve">2406 HARTLAND ROAD </t>
  </si>
  <si>
    <t>815-338-0312</t>
  </si>
  <si>
    <t>VALLEY HOUSE REHAB CENTER</t>
  </si>
  <si>
    <t xml:space="preserve">991 CLYDE AVENUE </t>
  </si>
  <si>
    <t>408-988-7666</t>
  </si>
  <si>
    <t>VALLEY HUNT CLUB</t>
  </si>
  <si>
    <t xml:space="preserve">520 S ORANGE GROVE BLVD </t>
  </si>
  <si>
    <t>626-793-7134</t>
  </si>
  <si>
    <t>VALLEY ORCHARDS</t>
  </si>
  <si>
    <t xml:space="preserve">2100 E WASHINGTON STREET </t>
  </si>
  <si>
    <t>VALLEY PARK MANOR</t>
  </si>
  <si>
    <t xml:space="preserve">10 MEDICAL DRIVE NORTH </t>
  </si>
  <si>
    <t>VALLEY</t>
  </si>
  <si>
    <t>334-756-2604</t>
  </si>
  <si>
    <t>VALLEY SERVICES SOUTH CAMPUS</t>
  </si>
  <si>
    <t xml:space="preserve">175 W 7200 SOUTH </t>
  </si>
  <si>
    <t>VALLEY STATE WOMEN'S REHAB</t>
  </si>
  <si>
    <t xml:space="preserve">21633 AVE 24 </t>
  </si>
  <si>
    <t>VALLEY SUB ACUTE AND REHAB OF MODESTO</t>
  </si>
  <si>
    <t xml:space="preserve">515 E ORANGEBURG AVENUE </t>
  </si>
  <si>
    <t>209-529-0516</t>
  </si>
  <si>
    <t>VALLEY VIEW</t>
  </si>
  <si>
    <t xml:space="preserve">108 S HIGH STREET </t>
  </si>
  <si>
    <t>GREENE</t>
  </si>
  <si>
    <t>641-823-4531</t>
  </si>
  <si>
    <t>VALLEY VIEW HEALTH MARKSVILLE</t>
  </si>
  <si>
    <t xml:space="preserve">7119 HIGHWAY ONE </t>
  </si>
  <si>
    <t>MARKSVILLE</t>
  </si>
  <si>
    <t>318-253-6553</t>
  </si>
  <si>
    <t>VALLEY VIEW NURSING CENTER</t>
  </si>
  <si>
    <t xml:space="preserve">2140 WARRENSVILLE ROAD </t>
  </si>
  <si>
    <t>570-433-3161</t>
  </si>
  <si>
    <t>VALLEY VIEW RETIREMENT COMMUNITIES</t>
  </si>
  <si>
    <t xml:space="preserve">1213 LONG MEADOWS DRIVE </t>
  </si>
  <si>
    <t>434-237-3009</t>
  </si>
  <si>
    <t>VALOR HEALTH</t>
  </si>
  <si>
    <t xml:space="preserve">1202 E LOCUST </t>
  </si>
  <si>
    <t>EMMETT</t>
  </si>
  <si>
    <t>208-365-3561</t>
  </si>
  <si>
    <t>VALOR HOME SUMMIT COUNTY</t>
  </si>
  <si>
    <t xml:space="preserve">1121 EXETER ROAD </t>
  </si>
  <si>
    <t>330-773-7000</t>
  </si>
  <si>
    <t>VALOR RECOVERY</t>
  </si>
  <si>
    <t xml:space="preserve">45 N CANFIELD NILES ROAD </t>
  </si>
  <si>
    <t>330-330-8777</t>
  </si>
  <si>
    <t>VAN BUREN LEGACY</t>
  </si>
  <si>
    <t>479-262-6466</t>
  </si>
  <si>
    <t>VAN BUREN SENIOR CENTER</t>
  </si>
  <si>
    <t xml:space="preserve">607 KNOX STREET </t>
  </si>
  <si>
    <t>501-474-5378</t>
  </si>
  <si>
    <t>VAN MATRE REHAB HOSPITAL</t>
  </si>
  <si>
    <t xml:space="preserve">950 S MULFORD ROAD </t>
  </si>
  <si>
    <t>815-381-8500</t>
  </si>
  <si>
    <t>VANDERBILT UNIV CATERING</t>
  </si>
  <si>
    <t xml:space="preserve">1110 19TH AVENUE SOUTH </t>
  </si>
  <si>
    <t>615-322-2999</t>
  </si>
  <si>
    <t>VANDERBILT UNIV COMMON GROUNDS</t>
  </si>
  <si>
    <t xml:space="preserve">1110 19TH AVE SOUTH </t>
  </si>
  <si>
    <t>VANDERBILT UNIV LAST DROP COFFEE SHOP</t>
  </si>
  <si>
    <t>VANDERBILT UNIV OVERCUP OAK</t>
  </si>
  <si>
    <t>VANDERBILT UNIV RAND DINING CTR</t>
  </si>
  <si>
    <t>VANDERBILT UNIVERSITY</t>
  </si>
  <si>
    <t>VANDERBILT UNIVERSITY COMMONS</t>
  </si>
  <si>
    <t xml:space="preserve">230 APPLETON PLACE </t>
  </si>
  <si>
    <t>VANDERBILT UNIVERSITY HEMINGWAY</t>
  </si>
  <si>
    <t>VANDERBILT UNIVERSITY MC TYEIRE</t>
  </si>
  <si>
    <t>VANDERBILT UNIVERSITY MCGUGIN</t>
  </si>
  <si>
    <t>VANDERBILT UNIVERSITY ROTIKI</t>
  </si>
  <si>
    <t>VANDERBILT UNIVERSITY THE PUB</t>
  </si>
  <si>
    <t>VANDERBILT UNIVERSITY TOWERS</t>
  </si>
  <si>
    <t>VANDERBILT UNIVERSITYVARSITYMKT</t>
  </si>
  <si>
    <t>VANDERBILT UNIV-VARISTY MORGAN</t>
  </si>
  <si>
    <t>VANDERBILT UNIV-VARSITY BARNARD</t>
  </si>
  <si>
    <t xml:space="preserve">6280 N FOX RUN WAY </t>
  </si>
  <si>
    <t>208-639-0009</t>
  </si>
  <si>
    <t>VERANDA SENIOR LIVING AT BARBER STATION</t>
  </si>
  <si>
    <t xml:space="preserve">3290 E BARBER VALLEY DRIVE </t>
  </si>
  <si>
    <t>VERENA AT THE RESERVE</t>
  </si>
  <si>
    <t xml:space="preserve">8400 MOORESTOWN ROAD </t>
  </si>
  <si>
    <t>757-345-2995</t>
  </si>
  <si>
    <t>VERITAS LTC INC.</t>
  </si>
  <si>
    <t xml:space="preserve">411 S MAIN STREET </t>
  </si>
  <si>
    <t>513-897-0536</t>
  </si>
  <si>
    <t>VERLAND FOUNDATION</t>
  </si>
  <si>
    <t xml:space="preserve">212 IRIS RD </t>
  </si>
  <si>
    <t>412-741-2375</t>
  </si>
  <si>
    <t>VETERANS MEMORIAL HOSP-WAUKON</t>
  </si>
  <si>
    <t xml:space="preserve">40 1ST STREET SE </t>
  </si>
  <si>
    <t>WAUKON</t>
  </si>
  <si>
    <t>563-568-3411</t>
  </si>
  <si>
    <t>VETERANS OUTREACH</t>
  </si>
  <si>
    <t xml:space="preserve">7 BELGRADE AVENUE </t>
  </si>
  <si>
    <t>307-555-5792</t>
  </si>
  <si>
    <t>VICTORIAN HOUSE</t>
  </si>
  <si>
    <t xml:space="preserve">275 N 500 E </t>
  </si>
  <si>
    <t>LEVAN</t>
  </si>
  <si>
    <t>435-623-1415</t>
  </si>
  <si>
    <t>VICTORY TOWERS</t>
  </si>
  <si>
    <t xml:space="preserve">7051 CARROLL AVENUE </t>
  </si>
  <si>
    <t>301-270-1858</t>
  </si>
  <si>
    <t>VIE DE FRANCE-KENSINGTON</t>
  </si>
  <si>
    <t xml:space="preserve">5218 NICHOLSON LANE </t>
  </si>
  <si>
    <t>KENSINGTON</t>
  </si>
  <si>
    <t>301-984-2267</t>
  </si>
  <si>
    <t>VIE DE FRANCE-POTOMAC</t>
  </si>
  <si>
    <t xml:space="preserve">10146 RIVER ROAD </t>
  </si>
  <si>
    <t>301-299-0904</t>
  </si>
  <si>
    <t>VIE DE FRANCE-ROCKVILLE</t>
  </si>
  <si>
    <t xml:space="preserve">39 A MARYLAND AVENUE </t>
  </si>
  <si>
    <t>301-637-6416</t>
  </si>
  <si>
    <t>VIE DE FRANCE-WASHINGTON D.C.</t>
  </si>
  <si>
    <t xml:space="preserve">600 MARYLAND AVENUE SW </t>
  </si>
  <si>
    <t>202-554-7870</t>
  </si>
  <si>
    <t>VIENNA CORNERS (HOTEL)</t>
  </si>
  <si>
    <t xml:space="preserve">2805 STATE ROUTE 49 </t>
  </si>
  <si>
    <t>BLOSSVALE</t>
  </si>
  <si>
    <t>315-245-2268</t>
  </si>
  <si>
    <t>VIENNA NURSING AND REHAB CENTER</t>
  </si>
  <si>
    <t xml:space="preserve">800 S HAM LANE </t>
  </si>
  <si>
    <t>209-368-7141</t>
  </si>
  <si>
    <t>VIENNA VILLAGE ASSISTED LIVING</t>
  </si>
  <si>
    <t xml:space="preserve">6601 YADKINVILLE ROAD </t>
  </si>
  <si>
    <t>PFAFFTOWN</t>
  </si>
  <si>
    <t>336-945-5410</t>
  </si>
  <si>
    <t>VIERRA FALLS-FALLS CHURCH OPCO</t>
  </si>
  <si>
    <t xml:space="preserve">2100 POWHATAN STREET </t>
  </si>
  <si>
    <t>FALLS CHURCH</t>
  </si>
  <si>
    <t>703-538-2400</t>
  </si>
  <si>
    <t>VIEW HEIGHTS CONVALESCENT HOSP</t>
  </si>
  <si>
    <t xml:space="preserve">12619 SOUTH AVALON BLVD </t>
  </si>
  <si>
    <t>323-757-1881</t>
  </si>
  <si>
    <t>VIEWPOINTE ON QUEEN ANNE</t>
  </si>
  <si>
    <t xml:space="preserve">2450 AURORA AVENUE NO </t>
  </si>
  <si>
    <t>206-282-5777</t>
  </si>
  <si>
    <t>VILLA CATHERINE ASSISTED LIVING</t>
  </si>
  <si>
    <t xml:space="preserve">491 CLINTON STREET </t>
  </si>
  <si>
    <t>618-594-8363</t>
  </si>
  <si>
    <t>VILLA CATHERINE SUPPORTIVE LVING</t>
  </si>
  <si>
    <t xml:space="preserve">1070 6TH STREET </t>
  </si>
  <si>
    <t>VILLA MARIA DEL MAR</t>
  </si>
  <si>
    <t xml:space="preserve">2-1918 EAST CLIFF DRIVE </t>
  </si>
  <si>
    <t>831-475-1236</t>
  </si>
  <si>
    <t>VILLA MARIN</t>
  </si>
  <si>
    <t xml:space="preserve">100 THORNDALE DRIVE </t>
  </si>
  <si>
    <t>415-492-2622</t>
  </si>
  <si>
    <t>VILLA SCALABRINI RETIREMENT CTRE</t>
  </si>
  <si>
    <t xml:space="preserve">10631 VINEDALE STREET </t>
  </si>
  <si>
    <t>818-768-6500</t>
  </si>
  <si>
    <t>VILLA SERENA RETIREMENT</t>
  </si>
  <si>
    <t xml:space="preserve">1340 POMEROY AVENUE </t>
  </si>
  <si>
    <t>408-600-1176</t>
  </si>
  <si>
    <t>VILLA SIENA</t>
  </si>
  <si>
    <t xml:space="preserve">1855 MIRAMONTE AVENUE </t>
  </si>
  <si>
    <t>650-961-6484</t>
  </si>
  <si>
    <t>VILLA SOUTH ASSISTED LIVING</t>
  </si>
  <si>
    <t xml:space="preserve">271 COLLEGE STREET </t>
  </si>
  <si>
    <t>601-845-1888</t>
  </si>
  <si>
    <t>VILLAGE AT ALLANDALE</t>
  </si>
  <si>
    <t xml:space="preserve">100 STRICKLAND COURT </t>
  </si>
  <si>
    <t>423-256-0002</t>
  </si>
  <si>
    <t>VILLAGE AT GARDEN CREEK</t>
  </si>
  <si>
    <t xml:space="preserve">73 BROAD STREET </t>
  </si>
  <si>
    <t>805-543-2300</t>
  </si>
  <si>
    <t>VILLAGE AT LEGACY POINTE-NURSING</t>
  </si>
  <si>
    <t xml:space="preserve">1645 SE HOLIDAY CREST CIRCLE </t>
  </si>
  <si>
    <t>VILLAGE AT ST EDWARD</t>
  </si>
  <si>
    <t xml:space="preserve">3131 SMITH ROAD </t>
  </si>
  <si>
    <t>FAIRLAWN</t>
  </si>
  <si>
    <t>330-666-1183</t>
  </si>
  <si>
    <t>VILLAGE AT SYDNEY CREEK</t>
  </si>
  <si>
    <t xml:space="preserve">1234 LAUREL LANE </t>
  </si>
  <si>
    <t>805-543-2350</t>
  </si>
  <si>
    <t>VILLAGE AT WOODS EDGE</t>
  </si>
  <si>
    <t xml:space="preserve">1401 N. HIGH STREET </t>
  </si>
  <si>
    <t>757-562-3100</t>
  </si>
  <si>
    <t>VILLAGE CENTER CARE</t>
  </si>
  <si>
    <t xml:space="preserve">909 E PUTMAN AVENUE </t>
  </si>
  <si>
    <t>636-327-1907</t>
  </si>
  <si>
    <t>VILLAGE CREEK PLACE</t>
  </si>
  <si>
    <t xml:space="preserve">5217 VILLAGE CREEK DRIVE </t>
  </si>
  <si>
    <t>972-737-1488</t>
  </si>
  <si>
    <t>VILLAGE GREEN REHAB AND HEALTHCARE</t>
  </si>
  <si>
    <t xml:space="preserve">1601 PURDUE DRIVE </t>
  </si>
  <si>
    <t>910-486-5000</t>
  </si>
  <si>
    <t>VILLAGE PROJECT</t>
  </si>
  <si>
    <t xml:space="preserve">27378 W OVIATT </t>
  </si>
  <si>
    <t>440-348-9401</t>
  </si>
  <si>
    <t>VILLAGES AT LAKE HIGHLANDS</t>
  </si>
  <si>
    <t xml:space="preserve">8615 LULLWATER DRIVE </t>
  </si>
  <si>
    <t>214-221-0444</t>
  </si>
  <si>
    <t>VILLAGES OF LAPEER NURSING &amp; REHAB</t>
  </si>
  <si>
    <t xml:space="preserve">239 SOUTH MAIN ST </t>
  </si>
  <si>
    <t>LAPPEER</t>
  </si>
  <si>
    <t>810-664-6611</t>
  </si>
  <si>
    <t>VILLAGES JACKSON CREEK</t>
  </si>
  <si>
    <t xml:space="preserve">3980 JACKSON DRIVE </t>
  </si>
  <si>
    <t>816-795-1433</t>
  </si>
  <si>
    <t>VILLANOVA DINING SERVICES</t>
  </si>
  <si>
    <t xml:space="preserve">800 LANCASTER AVE </t>
  </si>
  <si>
    <t>VILLANOVA</t>
  </si>
  <si>
    <t>610-519-4175</t>
  </si>
  <si>
    <t>VILLANOVA UNIVERSITY</t>
  </si>
  <si>
    <t>VINDOBONA NURSING HOME</t>
  </si>
  <si>
    <t xml:space="preserve">6012 JEFFERSON BLVD </t>
  </si>
  <si>
    <t>BRADDOCK HEIGHTS</t>
  </si>
  <si>
    <t>301-371-7160</t>
  </si>
  <si>
    <t>VINEYARD BLUFFTON</t>
  </si>
  <si>
    <t xml:space="preserve">25 CASSIDY ROAD </t>
  </si>
  <si>
    <t>VINEYARD HENDERSON</t>
  </si>
  <si>
    <t xml:space="preserve">2895 WEST HORIZON RIDGE PARKWAY </t>
  </si>
  <si>
    <t>VINNY'S PIZZARIA</t>
  </si>
  <si>
    <t xml:space="preserve">501 W STATE STREET </t>
  </si>
  <si>
    <t>VINSON HALL</t>
  </si>
  <si>
    <t xml:space="preserve">6251 OLD DOMINION DRIVE </t>
  </si>
  <si>
    <t>703-538-2976</t>
  </si>
  <si>
    <t>VINTAGE GARDENS</t>
  </si>
  <si>
    <t xml:space="preserve">540 S PEACH AVENUE </t>
  </si>
  <si>
    <t>559-252-4036</t>
  </si>
  <si>
    <t>VINTAGE HILLS (THE)</t>
  </si>
  <si>
    <t xml:space="preserve">41 WOODBINE LANE </t>
  </si>
  <si>
    <t>570-275-1824</t>
  </si>
  <si>
    <t>VINTAGE INN OF WILLIAMSTON</t>
  </si>
  <si>
    <t xml:space="preserve">HWY 17N P.O. BOX 547 </t>
  </si>
  <si>
    <t>252-792-8311</t>
  </si>
  <si>
    <t>VIP HEALTH CARE SERVICES LLC</t>
  </si>
  <si>
    <t xml:space="preserve">12125 DAY STREET #H306 </t>
  </si>
  <si>
    <t>MORENO VALLEY</t>
  </si>
  <si>
    <t>951-601-9101</t>
  </si>
  <si>
    <t>VIRGINIA CENTER FOR ADDICTIVE MEDICINE</t>
  </si>
  <si>
    <t xml:space="preserve">2301 N PARHAM RD STE 4 </t>
  </si>
  <si>
    <t>804-467-3691</t>
  </si>
  <si>
    <t>VIRGINIA COMMONWEALTH UNIV-FAMILY CARE</t>
  </si>
  <si>
    <t xml:space="preserve">607 N 10TH ST BOX 985815 </t>
  </si>
  <si>
    <t>804-828-7651</t>
  </si>
  <si>
    <t>VIRGINIA GAY HOSPITAL</t>
  </si>
  <si>
    <t xml:space="preserve">502 N 9TH AVENUE </t>
  </si>
  <si>
    <t>319-472-6200</t>
  </si>
  <si>
    <t>VIRGINIA HEALTH CARE ASSOCIATION</t>
  </si>
  <si>
    <t xml:space="preserve">2112 WEST LABURNUM AVE SUITE 206 </t>
  </si>
  <si>
    <t>VIRGINIA INTERMONT COLLEGE</t>
  </si>
  <si>
    <t xml:space="preserve">1013 MOORE STREET </t>
  </si>
  <si>
    <t xml:space="preserve">BRISTOL </t>
  </si>
  <si>
    <t>276-466-7925</t>
  </si>
  <si>
    <t>VIRGINIA OCULOFACIAL SURGEONS</t>
  </si>
  <si>
    <t xml:space="preserve">1630 WILKES PKWY #102 </t>
  </si>
  <si>
    <t>804-934-9344</t>
  </si>
  <si>
    <t>VIRGINIA UNITED METHODIST HOMES INC.</t>
  </si>
  <si>
    <t xml:space="preserve">7113 THREE CHOPT ROAD SUITE 300 </t>
  </si>
  <si>
    <t>804-474-8700</t>
  </si>
  <si>
    <t>VIRGINIA VETERANS CARE CENTER</t>
  </si>
  <si>
    <t xml:space="preserve">4550 SHENANDOAH AVENUE NE </t>
  </si>
  <si>
    <t>540-982-2860</t>
  </si>
  <si>
    <t>VIRGINIA'S ASSISTED LIVING</t>
  </si>
  <si>
    <t xml:space="preserve">1205 MOORMAN RD NW </t>
  </si>
  <si>
    <t>540-798-8688</t>
  </si>
  <si>
    <t>VISITING NURSE ASSOCIATION OF FLORDIA</t>
  </si>
  <si>
    <t xml:space="preserve">2400 SE MONTEREY RD SUITE 300 </t>
  </si>
  <si>
    <t>VISTA GARDENS</t>
  </si>
  <si>
    <t xml:space="preserve">1863 DEVON PLACE </t>
  </si>
  <si>
    <t>760-295-3900</t>
  </si>
  <si>
    <t>VISTAS FOX VALLEY</t>
  </si>
  <si>
    <t xml:space="preserve">1599 N FARNSWORTH </t>
  </si>
  <si>
    <t>630-898-9400</t>
  </si>
  <si>
    <t>VNA COMMUNITY SERVICES</t>
  </si>
  <si>
    <t xml:space="preserve">2262 GRAND AVE </t>
  </si>
  <si>
    <t>309-342-1152</t>
  </si>
  <si>
    <t>VOLUNTARY ACTION CENTER</t>
  </si>
  <si>
    <t xml:space="preserve">1606 BETHANY ROAD </t>
  </si>
  <si>
    <t>815-758-3932</t>
  </si>
  <si>
    <t>VOLUNTEERS OF AMERICA/FRESH FOOD FACTOR</t>
  </si>
  <si>
    <t xml:space="preserve">1746 TCHOUPITOULAS STREET SUITE C </t>
  </si>
  <si>
    <t>504-522-3063</t>
  </si>
  <si>
    <t>VT ASSESSMENT AND REFERRAL PROGRAM</t>
  </si>
  <si>
    <t xml:space="preserve">99 RICKS ROAD </t>
  </si>
  <si>
    <t>802-672-2500</t>
  </si>
  <si>
    <t>VU FACULTY READING ROOM</t>
  </si>
  <si>
    <t>VU-VARSITY MARKETPLACE</t>
  </si>
  <si>
    <t>W R WINSLOW MEMORIAL HOME</t>
  </si>
  <si>
    <t xml:space="preserve">1075 US HIGHWAY 17 SOUTH </t>
  </si>
  <si>
    <t>252-338-3975</t>
  </si>
  <si>
    <t>W.M. JORDAN CO</t>
  </si>
  <si>
    <t xml:space="preserve">11010 JEFFERSON AVENUE </t>
  </si>
  <si>
    <t>757-596-6341</t>
  </si>
  <si>
    <t>WAGES</t>
  </si>
  <si>
    <t xml:space="preserve">601 ROYALL AVENUE </t>
  </si>
  <si>
    <t>27534-2570</t>
  </si>
  <si>
    <t>919-580-1790</t>
  </si>
  <si>
    <t>WAGONER CARE CENTER</t>
  </si>
  <si>
    <t xml:space="preserve">205 N LINCOLN AVE </t>
  </si>
  <si>
    <t>918-485-2203</t>
  </si>
  <si>
    <t>WALKER NURSING HOME</t>
  </si>
  <si>
    <t xml:space="preserve">530 E BEARDSTOWN STREET </t>
  </si>
  <si>
    <t>217-452-3218</t>
  </si>
  <si>
    <t>WALNUT CREEK WILLOWS</t>
  </si>
  <si>
    <t xml:space="preserve">2015 MT DIABLO BLVD </t>
  </si>
  <si>
    <t>925-256-8708</t>
  </si>
  <si>
    <t>WALNUT GROVE LIVING CENTER</t>
  </si>
  <si>
    <t xml:space="preserve">1001 SOUTH GEORGE NIGH EXPWAY </t>
  </si>
  <si>
    <t>918-423-7373</t>
  </si>
  <si>
    <t>WALNUT HILL CONVALESCENT CENTER</t>
  </si>
  <si>
    <t xml:space="preserve">287 SOUTH BOULEVARD </t>
  </si>
  <si>
    <t>804-733-1190</t>
  </si>
  <si>
    <t>WALNUT RIDGE</t>
  </si>
  <si>
    <t xml:space="preserve">4077 OAKLEY ROAD </t>
  </si>
  <si>
    <t>517-851-7501</t>
  </si>
  <si>
    <t>WALNUT STREET RESIDENTIAL CARE</t>
  </si>
  <si>
    <t xml:space="preserve">404 WALNUT ST </t>
  </si>
  <si>
    <t>573-996-4316</t>
  </si>
  <si>
    <t>WALSH HEALTHCARE CENTER</t>
  </si>
  <si>
    <t xml:space="preserve">150 N NEVADA STREET </t>
  </si>
  <si>
    <t>WALSH</t>
  </si>
  <si>
    <t>719-324-5262</t>
  </si>
  <si>
    <t>WALTER STATE COMMUNITY COLLEGE</t>
  </si>
  <si>
    <t xml:space="preserve">500 SOUTH DAVY CROCKETT PKWY </t>
  </si>
  <si>
    <t>423-585-2600</t>
  </si>
  <si>
    <t>WALTON PLACE ASSISTED LIVING</t>
  </si>
  <si>
    <t xml:space="preserve">501 S WALTON AVENUE </t>
  </si>
  <si>
    <t>TARPON SPRINGS</t>
  </si>
  <si>
    <t>727-722-9600</t>
  </si>
  <si>
    <t>WALTONWOOD COTSWOLD</t>
  </si>
  <si>
    <t xml:space="preserve">5215 RANDOLPH ROAD </t>
  </si>
  <si>
    <t>704-234-5198</t>
  </si>
  <si>
    <t>WALT'S WHARF SEAL BEACH</t>
  </si>
  <si>
    <t>SEAL BEACH</t>
  </si>
  <si>
    <t>562-598-4433</t>
  </si>
  <si>
    <t>WARM HEARTH VILLAGE-KROONTJE HLTHCARE CTR</t>
  </si>
  <si>
    <t xml:space="preserve">1000 LITTON LANE </t>
  </si>
  <si>
    <t>540-443-3463</t>
  </si>
  <si>
    <t>WARM HEARTH VILLAGE-SHOWALTER CENTER</t>
  </si>
  <si>
    <t xml:space="preserve">1060 SHOWALTER DRIVE </t>
  </si>
  <si>
    <t>540-552-1498</t>
  </si>
  <si>
    <t>WARREN BARR GOLD COAST</t>
  </si>
  <si>
    <t xml:space="preserve">66 WEST OAK STREET </t>
  </si>
  <si>
    <t>312-705-5100</t>
  </si>
  <si>
    <t>WARREN BARR NORTH SHORE</t>
  </si>
  <si>
    <t xml:space="preserve">2775 SKOKIE VALLEY ROAD </t>
  </si>
  <si>
    <t>847-266-9266</t>
  </si>
  <si>
    <t>WARREN BARR SOUTH LOOP</t>
  </si>
  <si>
    <t xml:space="preserve">1725 SOUTH WABASH </t>
  </si>
  <si>
    <t>312-922-2777</t>
  </si>
  <si>
    <t>WARREN HILLS NURSING CENTER</t>
  </si>
  <si>
    <t xml:space="preserve">P.O. BOX 618 </t>
  </si>
  <si>
    <t>252-257-2011</t>
  </si>
  <si>
    <t>WARREN SENIOR CITIZENS CENTER</t>
  </si>
  <si>
    <t xml:space="preserve">900 E CHURCH </t>
  </si>
  <si>
    <t>870-226-3710</t>
  </si>
  <si>
    <t>WARSAW HEALTH AND REHAB</t>
  </si>
  <si>
    <t xml:space="preserve">214 LANEFIELD ROAD </t>
  </si>
  <si>
    <t>910-293-3144</t>
  </si>
  <si>
    <t>WARSAW HEALTH CARE CENTER</t>
  </si>
  <si>
    <t xml:space="preserve">ROUTE 1 BOX 39 </t>
  </si>
  <si>
    <t>804-333-3616</t>
  </si>
  <si>
    <t>WASATCH ACADEMY</t>
  </si>
  <si>
    <t xml:space="preserve">120 SOUTH 100 WEST </t>
  </si>
  <si>
    <t>WASHINGTON CENTER SEATTLE</t>
  </si>
  <si>
    <t xml:space="preserve">2821 SOUTH WALDEN </t>
  </si>
  <si>
    <t>206-725-2800</t>
  </si>
  <si>
    <t>WASHINGTON COLLEGE</t>
  </si>
  <si>
    <t xml:space="preserve">300 WASHINGTON AVENUE </t>
  </si>
  <si>
    <t>410-778-7785</t>
  </si>
  <si>
    <t>WASHINGTON COUNTY DETENTION CTR</t>
  </si>
  <si>
    <t xml:space="preserve">611 SW ADAMS BLVD </t>
  </si>
  <si>
    <t>918-332-4030</t>
  </si>
  <si>
    <t>WASHINGTON COUNTY HOME</t>
  </si>
  <si>
    <t xml:space="preserve">845 COUNTY HOUSE LANE </t>
  </si>
  <si>
    <t>740-373-2028</t>
  </si>
  <si>
    <t>WASHINGTON COUNTY MEMORIAL HOSP</t>
  </si>
  <si>
    <t xml:space="preserve">300 HEALTH WAY </t>
  </si>
  <si>
    <t>POTOSI</t>
  </si>
  <si>
    <t>573-438-5451</t>
  </si>
  <si>
    <t>WASHINGTON COUNTY NURSING HOME</t>
  </si>
  <si>
    <t xml:space="preserve">599 W GREENHOUSE DRIVE </t>
  </si>
  <si>
    <t>970-345-2211</t>
  </si>
  <si>
    <t>WASHINGTON HEIGHTS</t>
  </si>
  <si>
    <t xml:space="preserve">525 N MAIN ST </t>
  </si>
  <si>
    <t>262-670-9450</t>
  </si>
  <si>
    <t>WASHINGTON HOME (THE)</t>
  </si>
  <si>
    <t xml:space="preserve">3720 UPTON STREET NW </t>
  </si>
  <si>
    <t>202-966-3720</t>
  </si>
  <si>
    <t>WASHINGTON ODD FELLOWS</t>
  </si>
  <si>
    <t xml:space="preserve">534 BOYER AVENUE </t>
  </si>
  <si>
    <t>509-525-6463</t>
  </si>
  <si>
    <t>WASHINGTON SQUARE HEALTHCARE CTR</t>
  </si>
  <si>
    <t xml:space="preserve">202 WASHINGTON STREET NW </t>
  </si>
  <si>
    <t>330-399-8997</t>
  </si>
  <si>
    <t>WASHINGTON STATE UNIVERSITY</t>
  </si>
  <si>
    <t xml:space="preserve">PO BOX 646005 ROGERS HALL-131 </t>
  </si>
  <si>
    <t>509-335-3561</t>
  </si>
  <si>
    <t>WASON MANAGEMENT SERVICES</t>
  </si>
  <si>
    <t xml:space="preserve">W 5433 BAYWOOD DRIVE </t>
  </si>
  <si>
    <t xml:space="preserve">ELKHORN </t>
  </si>
  <si>
    <t>262-745-4912</t>
  </si>
  <si>
    <t>WATERBROOKE ASSISTED LIVING</t>
  </si>
  <si>
    <t xml:space="preserve">143 ROSEDALE DRIVE </t>
  </si>
  <si>
    <t>252-331-2149</t>
  </si>
  <si>
    <t>WATERCRESS VIETNAMESE BISTRO</t>
  </si>
  <si>
    <t xml:space="preserve">1487 FLAMINGO STREET </t>
  </si>
  <si>
    <t>909-793-6181</t>
  </si>
  <si>
    <t>WATERFORD CROSSING</t>
  </si>
  <si>
    <t xml:space="preserve">1212 WATERFORD CIRCLE </t>
  </si>
  <si>
    <t>574-537-0300</t>
  </si>
  <si>
    <t>WATERFORD ESTATES</t>
  </si>
  <si>
    <t xml:space="preserve">17400 SOUTH KEDZIE </t>
  </si>
  <si>
    <t>HAZEL CREST</t>
  </si>
  <si>
    <t>708-335-1600</t>
  </si>
  <si>
    <t>WATERS EDGE INN</t>
  </si>
  <si>
    <t xml:space="preserve">3188 STATE ROUTE 28 </t>
  </si>
  <si>
    <t>315-369-2484</t>
  </si>
  <si>
    <t>WATERSTONE OF AUGUSTA</t>
  </si>
  <si>
    <t xml:space="preserve">1004 AUGUSTA STREET </t>
  </si>
  <si>
    <t>864-605-7236</t>
  </si>
  <si>
    <t>WATKINS-LOGAN TEXAS VETERANS HOME</t>
  </si>
  <si>
    <t xml:space="preserve">11466 HONOR LN </t>
  </si>
  <si>
    <t>210-828-5686</t>
  </si>
  <si>
    <t>WAVERLY CARE HOME LLC</t>
  </si>
  <si>
    <t xml:space="preserve">315 W BROAD STREET </t>
  </si>
  <si>
    <t>601-494-0074</t>
  </si>
  <si>
    <t>WAYNE CARE NURSING HOME</t>
  </si>
  <si>
    <t xml:space="preserve">505 SOUTH HIGH STREET </t>
  </si>
  <si>
    <t>931-722-5832</t>
  </si>
  <si>
    <t>WAYNE COUNTY ASSISTED LIVING</t>
  </si>
  <si>
    <t xml:space="preserve">210 FAIRLANE DRIVE </t>
  </si>
  <si>
    <t>931-722-2000</t>
  </si>
  <si>
    <t>WAYNE COUNTY CARE CENTER</t>
  </si>
  <si>
    <t xml:space="preserve">876 S GEYERS CHAPEL ROAD </t>
  </si>
  <si>
    <t>330-262-1786</t>
  </si>
  <si>
    <t>WAYNE COUNTY NURSING HOME</t>
  </si>
  <si>
    <t xml:space="preserve">104 MANGUBAT DRIVE </t>
  </si>
  <si>
    <t>931-722-3641</t>
  </si>
  <si>
    <t>WAYNE WOODLANDS MANOR</t>
  </si>
  <si>
    <t xml:space="preserve">37 WOODLANDS DRIVE </t>
  </si>
  <si>
    <t>WAYMART</t>
  </si>
  <si>
    <t>570-488-8701</t>
  </si>
  <si>
    <t>WAYNESBORO MANOR</t>
  </si>
  <si>
    <t xml:space="preserve">809 HOPEMAN PARKWAY </t>
  </si>
  <si>
    <t>540-942-2250</t>
  </si>
  <si>
    <t>WAYSIDE FARM INC</t>
  </si>
  <si>
    <t xml:space="preserve">4557 QUICK ROAD </t>
  </si>
  <si>
    <t>PENINSULA</t>
  </si>
  <si>
    <t>330-923-7828</t>
  </si>
  <si>
    <t>WCS CATERING</t>
  </si>
  <si>
    <t xml:space="preserve">3657 LAFAYETTE AVE </t>
  </si>
  <si>
    <t>314-772-3427</t>
  </si>
  <si>
    <t>WEBCO MANOR</t>
  </si>
  <si>
    <t xml:space="preserve">1687 W WASHINGTON </t>
  </si>
  <si>
    <t>417-468-5144</t>
  </si>
  <si>
    <t>WEBSTER CANTRELL GIRLS HOME</t>
  </si>
  <si>
    <t xml:space="preserve">2749 N NORWOOD AVENUE </t>
  </si>
  <si>
    <t>217-423-6961</t>
  </si>
  <si>
    <t>WEBSTER CANTRELL HALL</t>
  </si>
  <si>
    <t xml:space="preserve">1942 E CANTRELL STREET </t>
  </si>
  <si>
    <t>WEBSTER CANTRELL STALEY EMERGENCY</t>
  </si>
  <si>
    <t xml:space="preserve">1220 UNDERWOOD COURT </t>
  </si>
  <si>
    <t>WEDGEWOOD ESTATES MANSFIELD</t>
  </si>
  <si>
    <t xml:space="preserve">600 S TRIMBLE ROAD </t>
  </si>
  <si>
    <t>419-756-7400</t>
  </si>
  <si>
    <t>WEDGEWOOD GARDENS</t>
  </si>
  <si>
    <t>WEIRTON GERIATRIC CENTER</t>
  </si>
  <si>
    <t xml:space="preserve">2525 PENNSYLVANIA AVENUE </t>
  </si>
  <si>
    <t>304-723-4300</t>
  </si>
  <si>
    <t>WELCOME HOME ASSISTED LIVING</t>
  </si>
  <si>
    <t xml:space="preserve">633 EAST MEDICAL DRIVE </t>
  </si>
  <si>
    <t>801-298-4969</t>
  </si>
  <si>
    <t>WELCOME NURSING HOME</t>
  </si>
  <si>
    <t xml:space="preserve">417 SOUTH MAIN STREET </t>
  </si>
  <si>
    <t>216-775-1491</t>
  </si>
  <si>
    <t>WELLBRIDGE OF CLARKSTON</t>
  </si>
  <si>
    <t xml:space="preserve">5655 CLARKSTON ROAD </t>
  </si>
  <si>
    <t>VILLAGE OF CLARKSTON</t>
  </si>
  <si>
    <t>810-623-5216</t>
  </si>
  <si>
    <t>WELLBRIDGE OF FENTON</t>
  </si>
  <si>
    <t xml:space="preserve">901 PINE CREEK DRIVE </t>
  </si>
  <si>
    <t>FENTON</t>
  </si>
  <si>
    <t>810-223-3905</t>
  </si>
  <si>
    <t>WELLBRIDGE OF GRAND BLANC</t>
  </si>
  <si>
    <t xml:space="preserve">3139 E BALDWIN ROAD </t>
  </si>
  <si>
    <t>810-445-5300</t>
  </si>
  <si>
    <t>WELLCO GLOBAL LLC</t>
  </si>
  <si>
    <t xml:space="preserve">6424 NE 188TH STREET </t>
  </si>
  <si>
    <t>206-914-1785</t>
  </si>
  <si>
    <t>WELLCOME MANOR FAMILY SERVICES</t>
  </si>
  <si>
    <t xml:space="preserve">114 W PLEASANT STREET </t>
  </si>
  <si>
    <t>507-546-3295</t>
  </si>
  <si>
    <t>WELLINGTON CARE CENTER</t>
  </si>
  <si>
    <t xml:space="preserve">1506 CHILDRESS STREET </t>
  </si>
  <si>
    <t>806-447-2777</t>
  </si>
  <si>
    <t>WELLINGTON HEALTHCARE</t>
  </si>
  <si>
    <t xml:space="preserve">327 HILLSBOROUGH STREET </t>
  </si>
  <si>
    <t>WELLINGTON PARK INC</t>
  </si>
  <si>
    <t xml:space="preserve">329 COOPER STREET </t>
  </si>
  <si>
    <t>KENANSVILLE</t>
  </si>
  <si>
    <t>910-296-0333</t>
  </si>
  <si>
    <t>WELLINGTON PARKE</t>
  </si>
  <si>
    <t xml:space="preserve">3107 TINKER DIAGONAL </t>
  </si>
  <si>
    <t>405-677-2273</t>
  </si>
  <si>
    <t>WELLS HEALTH SYSTEMS INC.</t>
  </si>
  <si>
    <t xml:space="preserve">725 HARVARD DRIVE </t>
  </si>
  <si>
    <t>270-926-9355</t>
  </si>
  <si>
    <t>WELLS HOUSE HOSPICE LONG BEACH</t>
  </si>
  <si>
    <t xml:space="preserve">245 CHERRY AVENUE </t>
  </si>
  <si>
    <t>714-952-3795</t>
  </si>
  <si>
    <t>WELLSBORO SHARED HOME</t>
  </si>
  <si>
    <t xml:space="preserve">27 BACON STREET </t>
  </si>
  <si>
    <t>WELLSBORO</t>
  </si>
  <si>
    <t>570-724-2300</t>
  </si>
  <si>
    <t>WELLSPRING ACADEMY</t>
  </si>
  <si>
    <t xml:space="preserve">42675 ROAD 44 </t>
  </si>
  <si>
    <t>559-638-4570</t>
  </si>
  <si>
    <t>WELLSPRING LUTHERAN SERVICES-LIVONIA WOODS</t>
  </si>
  <si>
    <t xml:space="preserve">33600 LUTHER LANE </t>
  </si>
  <si>
    <t>734-421-6564</t>
  </si>
  <si>
    <t>WELLSPRINGS THERAPY CENTER OF CASA GRANDE</t>
  </si>
  <si>
    <t xml:space="preserve">1850 E MCMURRAY BLVD </t>
  </si>
  <si>
    <t>WELLSVILLE USD #289</t>
  </si>
  <si>
    <t xml:space="preserve">602 WALNUT ST </t>
  </si>
  <si>
    <t>WELLSVILLE</t>
  </si>
  <si>
    <t>785-883-2388</t>
  </si>
  <si>
    <t>WELSH MOUNTAIN HOME</t>
  </si>
  <si>
    <t xml:space="preserve">567 SPRINGVILLE ROAD </t>
  </si>
  <si>
    <t xml:space="preserve">NEW HOLLAND </t>
  </si>
  <si>
    <t>717-355-9522</t>
  </si>
  <si>
    <t>WELTY APARTMENTS</t>
  </si>
  <si>
    <t xml:space="preserve">1276 NATIONAL ROAD </t>
  </si>
  <si>
    <t>304-242-5820</t>
  </si>
  <si>
    <t xml:space="preserve">WENDALL FOSTER </t>
  </si>
  <si>
    <t xml:space="preserve">815 TRIPLETT STREET </t>
  </si>
  <si>
    <t>270-683-4517</t>
  </si>
  <si>
    <t>WENDT UNIVERSITY INN</t>
  </si>
  <si>
    <t xml:space="preserve">175 UTICA STREET </t>
  </si>
  <si>
    <t>315-824-4400</t>
  </si>
  <si>
    <t>WERNLE YOUTH AND TREATMENT CENTER</t>
  </si>
  <si>
    <t xml:space="preserve">2000 WERNLE ROAD </t>
  </si>
  <si>
    <t>765-966-2506</t>
  </si>
  <si>
    <t>WESLEY COMMONS</t>
  </si>
  <si>
    <t xml:space="preserve">1110 MARSHALL RD </t>
  </si>
  <si>
    <t>864-227-7276</t>
  </si>
  <si>
    <t>WESLEY COMMONS HEALTHCARE</t>
  </si>
  <si>
    <t xml:space="preserve">1075 BY PASS 25 SE </t>
  </si>
  <si>
    <t>864-227-7247</t>
  </si>
  <si>
    <t>WESLEY COURT ASSISTED LIVING COMMUNITY</t>
  </si>
  <si>
    <t xml:space="preserve">916 WESLEY COURT </t>
  </si>
  <si>
    <t>864-599-9929</t>
  </si>
  <si>
    <t>WESLEY VILLAGE</t>
  </si>
  <si>
    <t xml:space="preserve">1200 E GRANT STREET </t>
  </si>
  <si>
    <t>309-833-2123</t>
  </si>
  <si>
    <t>WESSEX HOUSE OF JACKSONVILLE</t>
  </si>
  <si>
    <t xml:space="preserve">410 WILSON DRIVE SW </t>
  </si>
  <si>
    <t>205-435-1704</t>
  </si>
  <si>
    <t>WEST HILLS COLLEGE COALINGA</t>
  </si>
  <si>
    <t xml:space="preserve">300 CHERRY LANE </t>
  </si>
  <si>
    <t>COALINGA</t>
  </si>
  <si>
    <t>559-934-2368</t>
  </si>
  <si>
    <t>WEST HILLS COMMUNITY LEMOORE</t>
  </si>
  <si>
    <t xml:space="preserve">555 COLLEGE AVENUE </t>
  </si>
  <si>
    <t>LEMOORE</t>
  </si>
  <si>
    <t>WEST MEADE PLACE</t>
  </si>
  <si>
    <t xml:space="preserve">1000 ST LUKE DRIVE </t>
  </si>
  <si>
    <t>615-352-3430</t>
  </si>
  <si>
    <t>WEST NODAWAY SCHOOL</t>
  </si>
  <si>
    <t xml:space="preserve">17665 US HWY 136 </t>
  </si>
  <si>
    <t>BURLINGTON JUNCTION</t>
  </si>
  <si>
    <t>660-725-4613</t>
  </si>
  <si>
    <t>WEST RICHLAND CUD #2-ELEMENTARY</t>
  </si>
  <si>
    <t xml:space="preserve">103 OAK STREET </t>
  </si>
  <si>
    <t>NOBLE</t>
  </si>
  <si>
    <t>618-723-2334</t>
  </si>
  <si>
    <t>WEST RIDGE CARE CENTER</t>
  </si>
  <si>
    <t xml:space="preserve">3131 F AVENUE NW </t>
  </si>
  <si>
    <t>319-390-3367</t>
  </si>
  <si>
    <t>WEST VIEW HEALTHY LIVING</t>
  </si>
  <si>
    <t xml:space="preserve">1715 MECHANICSBURG ROAD </t>
  </si>
  <si>
    <t>330-264-8640</t>
  </si>
  <si>
    <t>WESTBROOK CARE CENTER</t>
  </si>
  <si>
    <t xml:space="preserve">401 PLATTE CLAY WAY </t>
  </si>
  <si>
    <t>816-628-2222</t>
  </si>
  <si>
    <t>WESTBURY CHILD DEVELOPMENT CENTER</t>
  </si>
  <si>
    <t xml:space="preserve">1308 SOUTH MORGAN ROAD </t>
  </si>
  <si>
    <t>405-495-3031</t>
  </si>
  <si>
    <t>WESTCARE NORTH CAROLINA INC.</t>
  </si>
  <si>
    <t xml:space="preserve">633 SHEPARDS WAY LANE </t>
  </si>
  <si>
    <t>MANSON</t>
  </si>
  <si>
    <t>252-366-9380</t>
  </si>
  <si>
    <t>WESTCHESTER GARDENS REHAB &amp; CARE</t>
  </si>
  <si>
    <t xml:space="preserve">3301 MCMULLEN BOOTH ROAD </t>
  </si>
  <si>
    <t>727-785-8335</t>
  </si>
  <si>
    <t>WESTERLY APARTMENTS LAKEWOOD</t>
  </si>
  <si>
    <t xml:space="preserve">14300 DETROIT AVENUE </t>
  </si>
  <si>
    <t>216-521-0053</t>
  </si>
  <si>
    <t>WESTERN MICHIGAN U-DINING SVC</t>
  </si>
  <si>
    <t>WESTERN MICHIGAN UNIVERSITY</t>
  </si>
  <si>
    <t>WESTERN NEBRASKA COMMUNITY COLLEGE</t>
  </si>
  <si>
    <t xml:space="preserve">1601 E 27TH STREET </t>
  </si>
  <si>
    <t>SCOTTSBLUFF</t>
  </si>
  <si>
    <t>308-635-6116</t>
  </si>
  <si>
    <t>WESTERN OREGON UNIVERSITY</t>
  </si>
  <si>
    <t xml:space="preserve">345 N MONMOUTH AVE-ACKERMAN HALL RM 168 </t>
  </si>
  <si>
    <t>503-838-8382</t>
  </si>
  <si>
    <t>WESTFIELD NURSING CENTER INC</t>
  </si>
  <si>
    <t xml:space="preserve">3144 STATE HIGHWAY FF </t>
  </si>
  <si>
    <t>573-471-1174</t>
  </si>
  <si>
    <t>WESTFIELD STATE UNIVERSITY</t>
  </si>
  <si>
    <t xml:space="preserve">577 WESTERN AVENUE </t>
  </si>
  <si>
    <t>413-572-5300</t>
  </si>
  <si>
    <t>WESTHAVEN ASSISTED LIVING</t>
  </si>
  <si>
    <t xml:space="preserve">1440 FAIRVIEW </t>
  </si>
  <si>
    <t>ORLAND</t>
  </si>
  <si>
    <t>530-865-5299</t>
  </si>
  <si>
    <t>WESTHAVEN COMMUNITY</t>
  </si>
  <si>
    <t xml:space="preserve">112 W 4TH STREET </t>
  </si>
  <si>
    <t>515-432-1393</t>
  </si>
  <si>
    <t>WESTLAKE VILLAGE INN*</t>
  </si>
  <si>
    <t xml:space="preserve">32001 AGOURA ROAD </t>
  </si>
  <si>
    <t>WESTLAKE VILLAGE</t>
  </si>
  <si>
    <t>818-889-0230</t>
  </si>
  <si>
    <t>WESTMINISTER CANTERBURY ON THE CHESAPEAKE BAY</t>
  </si>
  <si>
    <t xml:space="preserve">3100 SHORE DRIVE </t>
  </si>
  <si>
    <t>800-673-8186</t>
  </si>
  <si>
    <t>WESTMINISTER PRESCHOOL</t>
  </si>
  <si>
    <t xml:space="preserve">1100 W JEFFRAS AVENUE </t>
  </si>
  <si>
    <t>765-662-3526</t>
  </si>
  <si>
    <t>WESTMINISTER RAPPAHANNOCK</t>
  </si>
  <si>
    <t xml:space="preserve">132 LANCASTER DRIVE </t>
  </si>
  <si>
    <t>804-438-4000</t>
  </si>
  <si>
    <t>WESTMINISTER RAPPAHANNOCK-FOOD</t>
  </si>
  <si>
    <t>WESTMINSTER CANTERBURY BLUE RIDGE</t>
  </si>
  <si>
    <t xml:space="preserve">250 PANTOPS MOUNTAIN ROAD </t>
  </si>
  <si>
    <t>434-972-3180</t>
  </si>
  <si>
    <t>WESTMINSTER CANTERBURY LYNCHBURG</t>
  </si>
  <si>
    <t xml:space="preserve">501 V.E.S. ROAD </t>
  </si>
  <si>
    <t>434-386-3500</t>
  </si>
  <si>
    <t>WESTMINSTER CANTERBURY RICHMOND</t>
  </si>
  <si>
    <t xml:space="preserve">1600 WESTBROOK AVE </t>
  </si>
  <si>
    <t>804-264-6260</t>
  </si>
  <si>
    <t>WESTMINSTER CANTERBURY SHENANDOAH VALLEY</t>
  </si>
  <si>
    <t xml:space="preserve">300 WESTMINSTER CANTERBURY DRIVE </t>
  </si>
  <si>
    <t>540-665-5917</t>
  </si>
  <si>
    <t xml:space="preserve">2301 IDAHO AVENUE </t>
  </si>
  <si>
    <t>504-469-4056</t>
  </si>
  <si>
    <t>WESTMINSTER VILLAGE BLOOMINGTON</t>
  </si>
  <si>
    <t xml:space="preserve">2025 E LINCOLN STREET </t>
  </si>
  <si>
    <t>309-663-6474</t>
  </si>
  <si>
    <t>WESTMONT LIVING INC</t>
  </si>
  <si>
    <t xml:space="preserve">7660 FAY AVE # N </t>
  </si>
  <si>
    <t>858-456-1233</t>
  </si>
  <si>
    <t>WESTWIND HOUSE ASSISTED LIVING</t>
  </si>
  <si>
    <t xml:space="preserve">6600 LOS VOLCANES RD NW </t>
  </si>
  <si>
    <t>505-831-0002</t>
  </si>
  <si>
    <t>WEXNER HERITAGE HOUSE</t>
  </si>
  <si>
    <t xml:space="preserve">1151 COLLEGE AVENUE </t>
  </si>
  <si>
    <t>614-231-4900</t>
  </si>
  <si>
    <t>WHARTON NURSING HOME</t>
  </si>
  <si>
    <t xml:space="preserve">55 WEST LAKE ROAD </t>
  </si>
  <si>
    <t>931-277-3511</t>
  </si>
  <si>
    <t>WHEATHEART NUTRITION PROJECT</t>
  </si>
  <si>
    <t xml:space="preserve">123 N MAIN ST </t>
  </si>
  <si>
    <t>BLACKWELL</t>
  </si>
  <si>
    <t>580-262-0303</t>
  </si>
  <si>
    <t>WHEATLAND MANOR</t>
  </si>
  <si>
    <t xml:space="preserve">316 E LINCOLNWAY </t>
  </si>
  <si>
    <t>563-374-1107</t>
  </si>
  <si>
    <t>WHEATRIDGE</t>
  </si>
  <si>
    <t xml:space="preserve">333 WHEATRIDGE DRIVE </t>
  </si>
  <si>
    <t>WHISPER COVE ASSISTED LIVING</t>
  </si>
  <si>
    <t xml:space="preserve">725 S MAIN </t>
  </si>
  <si>
    <t>KAYSVILLE</t>
  </si>
  <si>
    <t>801-874-6464</t>
  </si>
  <si>
    <t>WHISPERING OAKS HEALTH CARE CTR</t>
  </si>
  <si>
    <t xml:space="preserve">1450 RIDGE ROAD </t>
  </si>
  <si>
    <t>636-256-7700</t>
  </si>
  <si>
    <t>WHISPERING OAKS RCF 2</t>
  </si>
  <si>
    <t xml:space="preserve">203 N B STREET </t>
  </si>
  <si>
    <t>573-686-4490</t>
  </si>
  <si>
    <t>WHISPERING WINDS</t>
  </si>
  <si>
    <t xml:space="preserve">2920 NE CONNERS AVENUE </t>
  </si>
  <si>
    <t>541-312-9690</t>
  </si>
  <si>
    <t>WHISPERING WOODS APARTMENTS</t>
  </si>
  <si>
    <t xml:space="preserve">4411 NORTHSIDE DRIVE </t>
  </si>
  <si>
    <t>478-474-6318</t>
  </si>
  <si>
    <t>WHISPERS CAFE</t>
  </si>
  <si>
    <t xml:space="preserve">1085 E BROKAW ROAD #10 </t>
  </si>
  <si>
    <t>408-453-8500</t>
  </si>
  <si>
    <t>WHITE BIRCH COMMUNITIES</t>
  </si>
  <si>
    <t xml:space="preserve">847 OAKWOOD DRIVE </t>
  </si>
  <si>
    <t>540-879-9699</t>
  </si>
  <si>
    <t>WHITE COUNTY AGING PROGRAM</t>
  </si>
  <si>
    <t xml:space="preserve">2200 E MOORE </t>
  </si>
  <si>
    <t>501-268-2587</t>
  </si>
  <si>
    <t>WHITE EAGLE CONFERENCE CENTER INC</t>
  </si>
  <si>
    <t xml:space="preserve">2910 LAKE MORAINE ROAD </t>
  </si>
  <si>
    <t>315-824-2002</t>
  </si>
  <si>
    <t>WHITE HOUSE HEALTH CARE &amp; REHAB</t>
  </si>
  <si>
    <t xml:space="preserve">2871 HWY 31 W </t>
  </si>
  <si>
    <t>WHITE HOUSE</t>
  </si>
  <si>
    <t>615-672-3636</t>
  </si>
  <si>
    <t>WHITE OAK MANOR</t>
  </si>
  <si>
    <t xml:space="preserve">724 N E 79TH TERRACE </t>
  </si>
  <si>
    <t>816-436-8940</t>
  </si>
  <si>
    <t>WHITE PINE CARE CENTER</t>
  </si>
  <si>
    <t xml:space="preserve">1500 AVENUE G </t>
  </si>
  <si>
    <t>775-289-8801</t>
  </si>
  <si>
    <t>WHITE RIVER HEALTHCARE CENTER</t>
  </si>
  <si>
    <t xml:space="preserve">515 E 8TH ST PO BOX 310 </t>
  </si>
  <si>
    <t>WHITE RIVER</t>
  </si>
  <si>
    <t>605-259-3161</t>
  </si>
  <si>
    <t>WHITE TREE MANOR</t>
  </si>
  <si>
    <t xml:space="preserve">9137 N CONGRESS STREET </t>
  </si>
  <si>
    <t>540-740-8100</t>
  </si>
  <si>
    <t>WHITEFISH SCHOOL DISTRICT</t>
  </si>
  <si>
    <t xml:space="preserve">1500 EAST 7TH </t>
  </si>
  <si>
    <t>WHITEFISH</t>
  </si>
  <si>
    <t>406-862-8620</t>
  </si>
  <si>
    <t>WHITEHALL SCHOOLS</t>
  </si>
  <si>
    <t xml:space="preserve">PO BOX 1109 </t>
  </si>
  <si>
    <t>406-287-3455</t>
  </si>
  <si>
    <t>WHITFIELD NURSING HOME</t>
  </si>
  <si>
    <t xml:space="preserve">2101 E PROPER STREET </t>
  </si>
  <si>
    <t>CORINTH</t>
  </si>
  <si>
    <t>601-286-3331</t>
  </si>
  <si>
    <t>WICKED CHICKEN</t>
  </si>
  <si>
    <t xml:space="preserve">2565 THE ALAMEDA </t>
  </si>
  <si>
    <t>408-246-9464</t>
  </si>
  <si>
    <t>WICKER HOUSE</t>
  </si>
  <si>
    <t xml:space="preserve">28 BEAUREGARD DRIVE </t>
  </si>
  <si>
    <t>WICOMICO NURSING HOME</t>
  </si>
  <si>
    <t xml:space="preserve">900 BOOTH STREET </t>
  </si>
  <si>
    <t>410-742-8896</t>
  </si>
  <si>
    <t xml:space="preserve">WIDE HORIZON </t>
  </si>
  <si>
    <t xml:space="preserve">8900 W 38TH AVENUE </t>
  </si>
  <si>
    <t>303-424-4445</t>
  </si>
  <si>
    <t>WIDEWATER RETREAT &amp; MINISTRY CTR</t>
  </si>
  <si>
    <t xml:space="preserve">4050 US HIGHWAY 24 </t>
  </si>
  <si>
    <t>LIBERTY CENTER</t>
  </si>
  <si>
    <t>419-533-5900</t>
  </si>
  <si>
    <t>WIDOWS HOME OF DAYTON</t>
  </si>
  <si>
    <t xml:space="preserve">50 SOUTH FINDLAY STREET </t>
  </si>
  <si>
    <t>937-252-1661</t>
  </si>
  <si>
    <t>WILBER CARE CENTER</t>
  </si>
  <si>
    <t xml:space="preserve">611 N MAIN STREET </t>
  </si>
  <si>
    <t>WILBER</t>
  </si>
  <si>
    <t>402-821-2331</t>
  </si>
  <si>
    <t>WILDWOOD CANYON VILLA</t>
  </si>
  <si>
    <t xml:space="preserve">33951 COLORADO STREET </t>
  </si>
  <si>
    <t>909-446-0405</t>
  </si>
  <si>
    <t>WILKES COUNTY ADULT CARE</t>
  </si>
  <si>
    <t xml:space="preserve">176 REST HOME DRIVE </t>
  </si>
  <si>
    <t>WILKSBORO</t>
  </si>
  <si>
    <t>336-973-3890</t>
  </si>
  <si>
    <t>WILKES TRADITIONAL LIVING</t>
  </si>
  <si>
    <t xml:space="preserve">206 OLD BRICK YARD RD </t>
  </si>
  <si>
    <t>336-667-2211</t>
  </si>
  <si>
    <t>WILL A WAY</t>
  </si>
  <si>
    <t xml:space="preserve">210 S BROAD ST UNIT 5 </t>
  </si>
  <si>
    <t>WINDER</t>
  </si>
  <si>
    <t>770-867-6123</t>
  </si>
  <si>
    <t>WILL COUNTY ADULT DETENTION CTR</t>
  </si>
  <si>
    <t xml:space="preserve">95 S CHICAGO STREET </t>
  </si>
  <si>
    <t>815-740-1250</t>
  </si>
  <si>
    <t>WILLARD SCHOOLS R-11</t>
  </si>
  <si>
    <t xml:space="preserve">515 JACKSON STREET </t>
  </si>
  <si>
    <t xml:space="preserve">WILLARD </t>
  </si>
  <si>
    <t>417-742-2584</t>
  </si>
  <si>
    <t>WILLIAM F GREEN V A HOME</t>
  </si>
  <si>
    <t xml:space="preserve">300 FAULKNER DRIVE </t>
  </si>
  <si>
    <t>BAY MINETTE</t>
  </si>
  <si>
    <t>251-937-9881</t>
  </si>
  <si>
    <t>WILLIAM H DUNLAP RETIREMENT</t>
  </si>
  <si>
    <t xml:space="preserve">1495 DUNLAP ORPHANAGE RD </t>
  </si>
  <si>
    <t xml:space="preserve">BRIGHTON </t>
  </si>
  <si>
    <t>901-476-7014</t>
  </si>
  <si>
    <t>WILLIAMS COLLEGE DINING SERVICES</t>
  </si>
  <si>
    <t xml:space="preserve">15 PARK STREET </t>
  </si>
  <si>
    <t>413-597-3150</t>
  </si>
  <si>
    <t>WILLIAMSBURG MANOR ROANOKE</t>
  </si>
  <si>
    <t xml:space="preserve">331 FRANKLIN ROAD </t>
  </si>
  <si>
    <t>334-863-5703</t>
  </si>
  <si>
    <t>WILLIAMSBURG OF LOGAN</t>
  </si>
  <si>
    <t xml:space="preserve">132 WEST 300 NORTH </t>
  </si>
  <si>
    <t>435-753-5502</t>
  </si>
  <si>
    <t>WILLIAMSBURG PLACE THE FARLEY CENTER</t>
  </si>
  <si>
    <t xml:space="preserve">5477 MOORETOWN ROAD </t>
  </si>
  <si>
    <t>877-389-4968</t>
  </si>
  <si>
    <t>WILL-O-BELL</t>
  </si>
  <si>
    <t xml:space="preserve">412 NORTH DALTON </t>
  </si>
  <si>
    <t>817-527-3371</t>
  </si>
  <si>
    <t>WILLOW GROVE SPOKANE</t>
  </si>
  <si>
    <t xml:space="preserve">1620 EAST MEAD </t>
  </si>
  <si>
    <t>MEAD</t>
  </si>
  <si>
    <t>509-467-1135</t>
  </si>
  <si>
    <t>WILLOW HAVEN NURSING</t>
  </si>
  <si>
    <t xml:space="preserve">1301 N 5TH STREET </t>
  </si>
  <si>
    <t>TONKAWA</t>
  </si>
  <si>
    <t>580-628-2529</t>
  </si>
  <si>
    <t>WILLOW MANOR</t>
  </si>
  <si>
    <t xml:space="preserve">815 ADOBE DR </t>
  </si>
  <si>
    <t>DEMING</t>
  </si>
  <si>
    <t>575-546-0546</t>
  </si>
  <si>
    <t>WILLOW PARK HEALTH CARE CENTER</t>
  </si>
  <si>
    <t xml:space="preserve">7019 NW CACHE ROAD </t>
  </si>
  <si>
    <t>580-536-1279</t>
  </si>
  <si>
    <t xml:space="preserve">620 WILLOW PLACE </t>
  </si>
  <si>
    <t>WILLOWS AT MEADOW BRANCH</t>
  </si>
  <si>
    <t xml:space="preserve">1881 HARVEST DRIVE </t>
  </si>
  <si>
    <t>540-667-3000</t>
  </si>
  <si>
    <t>WILMER DALLAS COUNTY JTC</t>
  </si>
  <si>
    <t xml:space="preserve">200 GREENE ROAD </t>
  </si>
  <si>
    <t>972-441-6160</t>
  </si>
  <si>
    <t>WILMINGTON TREATMENT CENTER</t>
  </si>
  <si>
    <t xml:space="preserve">2520 TROY DRIVE </t>
  </si>
  <si>
    <t>800-992-3671</t>
  </si>
  <si>
    <t>WILMOT SENIOR CITIZENS CENTER</t>
  </si>
  <si>
    <t xml:space="preserve">404 S 2ND STREET </t>
  </si>
  <si>
    <t>WILMOT</t>
  </si>
  <si>
    <t>870-473-2328</t>
  </si>
  <si>
    <t>WILSON NURSING CENTER</t>
  </si>
  <si>
    <t xml:space="preserve">867 US HIGHWAY 70A </t>
  </si>
  <si>
    <t>580-668-2337</t>
  </si>
  <si>
    <t>WINCHESTER GARDENS</t>
  </si>
  <si>
    <t xml:space="preserve">333 ELMWOOD AVE </t>
  </si>
  <si>
    <t xml:space="preserve">MAPLEWOOD </t>
  </si>
  <si>
    <t>973-378-5119</t>
  </si>
  <si>
    <t>WINCHESTER NURSING CENTER</t>
  </si>
  <si>
    <t xml:space="preserve">400 WINCHESTER ROAD </t>
  </si>
  <si>
    <t>BERNIE</t>
  </si>
  <si>
    <t>573-293-6702</t>
  </si>
  <si>
    <t>WINCHESTER PLACE</t>
  </si>
  <si>
    <t xml:space="preserve">400 WINCHESTER </t>
  </si>
  <si>
    <t>573-293-6705</t>
  </si>
  <si>
    <t>WIND AND SEA RESTAURANT DANA PT</t>
  </si>
  <si>
    <t xml:space="preserve">34699 GOLDEN LANTERN </t>
  </si>
  <si>
    <t>949-496-6500</t>
  </si>
  <si>
    <t>WINDEMERE PARK SENIOR COMMUNITY</t>
  </si>
  <si>
    <t xml:space="preserve">31800 VAN DYKE </t>
  </si>
  <si>
    <t>586-264-9701</t>
  </si>
  <si>
    <t>WINDER HEALTH CARE &amp; REHAB CTR</t>
  </si>
  <si>
    <t xml:space="preserve">263 EAST MAY STREET </t>
  </si>
  <si>
    <t>770-867-2108</t>
  </si>
  <si>
    <t>WINDHAVEN HOUSE INC</t>
  </si>
  <si>
    <t xml:space="preserve">1012 GLENWOOD AVENUE </t>
  </si>
  <si>
    <t>330-743-5454</t>
  </si>
  <si>
    <t>WINDMILL WELLNESS RANCH</t>
  </si>
  <si>
    <t xml:space="preserve">26229 N CRANES MILL ROAD </t>
  </si>
  <si>
    <t>512-573-4911</t>
  </si>
  <si>
    <t>WINDSONG MEMORY CARE</t>
  </si>
  <si>
    <t xml:space="preserve">2030 WALLACE ROAD NW </t>
  </si>
  <si>
    <t>503-912-4551</t>
  </si>
  <si>
    <t>WINDSONG VILLAGE</t>
  </si>
  <si>
    <t xml:space="preserve">3400 E WALNUT </t>
  </si>
  <si>
    <t>PEARLAND</t>
  </si>
  <si>
    <t>281-485-2776</t>
  </si>
  <si>
    <t>WINDSOR ARBOR VIEW</t>
  </si>
  <si>
    <t xml:space="preserve">218 SOUTH BALTIC AVE </t>
  </si>
  <si>
    <t>EDINBURG</t>
  </si>
  <si>
    <t>210-682-6101</t>
  </si>
  <si>
    <t>WINDSOR ATRIUM</t>
  </si>
  <si>
    <t xml:space="preserve">1814 ATRIUM PLACE DR </t>
  </si>
  <si>
    <t>HARLINGEN</t>
  </si>
  <si>
    <t>956-399-3732</t>
  </si>
  <si>
    <t>WINDSOR GARDENS</t>
  </si>
  <si>
    <t xml:space="preserve">101 ISAAC GREER CT </t>
  </si>
  <si>
    <t>BARDSTOWN</t>
  </si>
  <si>
    <t>502-349-6214</t>
  </si>
  <si>
    <t>WINDSOR LANE HEALTHCARE CTR-THB</t>
  </si>
  <si>
    <t xml:space="preserve">355 WINDSOR LANE </t>
  </si>
  <si>
    <t>GIBSONBURG</t>
  </si>
  <si>
    <t>419-637-2104</t>
  </si>
  <si>
    <t>WINDSOR MEADE</t>
  </si>
  <si>
    <t xml:space="preserve">3900 WINDSOR HALL DRIVE </t>
  </si>
  <si>
    <t>757-941-3600</t>
  </si>
  <si>
    <t>WINDSOR MEDICAL CENTER</t>
  </si>
  <si>
    <t xml:space="preserve">1454 EAST MAPLE STREET </t>
  </si>
  <si>
    <t>330-499-8300</t>
  </si>
  <si>
    <t>WINDSOR POINT RETIREMENT COMM</t>
  </si>
  <si>
    <t xml:space="preserve">1221 BROAD ST </t>
  </si>
  <si>
    <t>FUQUAY-VARINA</t>
  </si>
  <si>
    <t>919-552-4580</t>
  </si>
  <si>
    <t>WINDSOR SENIOR LIVING</t>
  </si>
  <si>
    <t xml:space="preserve">7750 LBJ FREEWAY </t>
  </si>
  <si>
    <t>972-661-9990</t>
  </si>
  <si>
    <t>WINDY PEAK OUTDOOR LAB SCHOOL</t>
  </si>
  <si>
    <t xml:space="preserve">20973 WELLINGTON LAKE RD </t>
  </si>
  <si>
    <t>BAILEY</t>
  </si>
  <si>
    <t>303-982-9494</t>
  </si>
  <si>
    <t>WINE COUNTRY CARE CENTER</t>
  </si>
  <si>
    <t xml:space="preserve">321 W TURNER RD </t>
  </si>
  <si>
    <t>209-334-3760</t>
  </si>
  <si>
    <t>WI-NE-MA CHRISTIAN CAMP</t>
  </si>
  <si>
    <t xml:space="preserve">5195 WINEMA ROAD </t>
  </si>
  <si>
    <t>CLOVERDALE</t>
  </si>
  <si>
    <t>503-236-2624</t>
  </si>
  <si>
    <t>WINSLOW CAMPUS OF CARE</t>
  </si>
  <si>
    <t xml:space="preserve">826 W. DESMOND STREET </t>
  </si>
  <si>
    <t>WINSLOW</t>
  </si>
  <si>
    <t>928-289-4678</t>
  </si>
  <si>
    <t>WINSLOW MANOR</t>
  </si>
  <si>
    <t xml:space="preserve">234 WOOD AVE SO </t>
  </si>
  <si>
    <t>206-842-2500</t>
  </si>
  <si>
    <t>WINYAH PHARMACY SOLUTIONS</t>
  </si>
  <si>
    <t xml:space="preserve">810 ELIZABETH STREET </t>
  </si>
  <si>
    <t>843-545-8800</t>
  </si>
  <si>
    <t>WISHING WELL HEALTH CENTER</t>
  </si>
  <si>
    <t xml:space="preserve">1539 COUNTRY CLUB ROAD </t>
  </si>
  <si>
    <t>304-366-9100</t>
  </si>
  <si>
    <t>WISHING WELL MANOR</t>
  </si>
  <si>
    <t xml:space="preserve">1543 COUNTRY CLUB ROAD </t>
  </si>
  <si>
    <t>304-363-2273</t>
  </si>
  <si>
    <t>WISTERIA CARE CENTER</t>
  </si>
  <si>
    <t xml:space="preserve">20524 WISTERIA STREET </t>
  </si>
  <si>
    <t>510-727-9169</t>
  </si>
  <si>
    <t>WISTERIA GARDENS</t>
  </si>
  <si>
    <t xml:space="preserve">5420 HIGHWAY 80 W </t>
  </si>
  <si>
    <t>PEARL</t>
  </si>
  <si>
    <t>601-624-6487</t>
  </si>
  <si>
    <t>WOLF RUN VILLAGE LLC</t>
  </si>
  <si>
    <t xml:space="preserve">3750 RT 220 HIGHWAY </t>
  </si>
  <si>
    <t>HUGHESVILLE</t>
  </si>
  <si>
    <t>570-584-0101</t>
  </si>
  <si>
    <t>WOOD COUNTY SENIOR CITIZENS ASSOC INC</t>
  </si>
  <si>
    <t xml:space="preserve">914 MARKET STREET SUITE 106 </t>
  </si>
  <si>
    <t>304-485-6748</t>
  </si>
  <si>
    <t>WOOD COUNTY SHERIFF'S OFFICE</t>
  </si>
  <si>
    <t xml:space="preserve">1960 EAST GYPSY LANE </t>
  </si>
  <si>
    <t>419-354-7744</t>
  </si>
  <si>
    <t>WOOD HAVEN HEALTH CENTER</t>
  </si>
  <si>
    <t xml:space="preserve">1965 E GYPSY LANE ROAD </t>
  </si>
  <si>
    <t>419-353-8411</t>
  </si>
  <si>
    <t>WOOD MANOR NURSING CENTER</t>
  </si>
  <si>
    <t xml:space="preserve">2800 N HICKORY ST </t>
  </si>
  <si>
    <t>918-341-4365</t>
  </si>
  <si>
    <t>WOODBERRY FOREST</t>
  </si>
  <si>
    <t xml:space="preserve">10 WOODBERRY STATION </t>
  </si>
  <si>
    <t>540-672-6023</t>
  </si>
  <si>
    <t>WOODCREST VILLA</t>
  </si>
  <si>
    <t xml:space="preserve">2001 HARRISBURG PIKE </t>
  </si>
  <si>
    <t>717-390-4100</t>
  </si>
  <si>
    <t>WOODED HILLS</t>
  </si>
  <si>
    <t xml:space="preserve">215 E LOCUST STREET </t>
  </si>
  <si>
    <t>618-713-5284</t>
  </si>
  <si>
    <t>WOODHAVEN NURSING HOME</t>
  </si>
  <si>
    <t xml:space="preserve">13055 W LYNCHBURG SALEM TPIKE </t>
  </si>
  <si>
    <t>540-947-2207</t>
  </si>
  <si>
    <t>WOODHAVEN RESIDENTIAL TREATMENT CENTER</t>
  </si>
  <si>
    <t xml:space="preserve">1 ELIZABETH PLACE </t>
  </si>
  <si>
    <t>937-813-1737</t>
  </si>
  <si>
    <t>WOODHAVEN REST HOME</t>
  </si>
  <si>
    <t xml:space="preserve">310 DIXIE STREET </t>
  </si>
  <si>
    <t>252-445-5665</t>
  </si>
  <si>
    <t>WOODLAND CARE CENTER</t>
  </si>
  <si>
    <t xml:space="preserve">310 4TH STREET </t>
  </si>
  <si>
    <t>360-225-9443</t>
  </si>
  <si>
    <t>WOODLAND JOB CORP</t>
  </si>
  <si>
    <t xml:space="preserve">3300 FORT MEADE ROAD </t>
  </si>
  <si>
    <t>301-362-4406</t>
  </si>
  <si>
    <t xml:space="preserve">10900 OLD COURT ROAD </t>
  </si>
  <si>
    <t>WOODLAND PARK COMMUNITY</t>
  </si>
  <si>
    <t xml:space="preserve">18889 CROGHAN PIKE </t>
  </si>
  <si>
    <t>ORBISONIA</t>
  </si>
  <si>
    <t>814-447-5563</t>
  </si>
  <si>
    <t>WOODLAND PARK WEST</t>
  </si>
  <si>
    <t xml:space="preserve">21711 VENTURA BLVD </t>
  </si>
  <si>
    <t>WOODLAND HILLS</t>
  </si>
  <si>
    <t>818-884-7100</t>
  </si>
  <si>
    <t>WOODLAND TERRACE @ THE OAKS</t>
  </si>
  <si>
    <t xml:space="preserve">1263 SOUTH CREST BLVD </t>
  </si>
  <si>
    <t>610-433-9220</t>
  </si>
  <si>
    <t>WOODLANDS AT FURMAN</t>
  </si>
  <si>
    <t xml:space="preserve">1500 TRAILHEAD COURT #AL08 </t>
  </si>
  <si>
    <t>864-371-3150</t>
  </si>
  <si>
    <t>WOODLANDS RETIREMENT COMMUNITY</t>
  </si>
  <si>
    <t xml:space="preserve">ONE BRADLEY FOSTER DRIVE </t>
  </si>
  <si>
    <t>304-697-1620</t>
  </si>
  <si>
    <t>WOODLAWN HAVEN MT HOLLY</t>
  </si>
  <si>
    <t xml:space="preserve">301 CRAIG STREET </t>
  </si>
  <si>
    <t>MT HOLLY</t>
  </si>
  <si>
    <t>704-827-1573</t>
  </si>
  <si>
    <t>WOODMEN OF THE WORLD - CREWE</t>
  </si>
  <si>
    <t xml:space="preserve">960 WOODMAN ROAD </t>
  </si>
  <si>
    <t>CREWE</t>
  </si>
  <si>
    <t>804-334-9691</t>
  </si>
  <si>
    <t>WOODMEN OF THE WORLD - SOUTHEAST</t>
  </si>
  <si>
    <t xml:space="preserve">1336 SIMMONS MILL ROAD </t>
  </si>
  <si>
    <t>THAXTON</t>
  </si>
  <si>
    <t>540-915-4198</t>
  </si>
  <si>
    <t>WOODRUFF COUNTY AGING PROGRAM</t>
  </si>
  <si>
    <t xml:space="preserve">303 W CACHE </t>
  </si>
  <si>
    <t>870-731-5053</t>
  </si>
  <si>
    <t>WOODS HEALTH SERVICE</t>
  </si>
  <si>
    <t xml:space="preserve">2600 A STREET </t>
  </si>
  <si>
    <t>909-392-4388</t>
  </si>
  <si>
    <t>WOODSIDE REST</t>
  </si>
  <si>
    <t xml:space="preserve">15550 DURSTINE RD </t>
  </si>
  <si>
    <t>DUNDEE</t>
  </si>
  <si>
    <t>330-359-5400</t>
  </si>
  <si>
    <t>WORTH COUNTY CARE CENTER</t>
  </si>
  <si>
    <t xml:space="preserve">503 EAST 4TH STREET </t>
  </si>
  <si>
    <t>GRANT CITY</t>
  </si>
  <si>
    <t>660-564-3304</t>
  </si>
  <si>
    <t>WORTHINGTON CHRISTIAN VILLAGE</t>
  </si>
  <si>
    <t xml:space="preserve">165 HIGHBLUFF BLVD </t>
  </si>
  <si>
    <t>614-846-6076</t>
  </si>
  <si>
    <t>WORTHINGTON NURSING AND REHAB. CENTER</t>
  </si>
  <si>
    <t xml:space="preserve">2675 36TH STREET AND CORE ROAD </t>
  </si>
  <si>
    <t>304-485-7447</t>
  </si>
  <si>
    <t>WOU-VALSETZ DINING HALL</t>
  </si>
  <si>
    <t xml:space="preserve">345 N. MONMOUTH AVE-VALSETZ DIN </t>
  </si>
  <si>
    <t>WOU-WUC RETAIL RESTAURANTS</t>
  </si>
  <si>
    <t xml:space="preserve">345 N. MONMOUTH AVE </t>
  </si>
  <si>
    <t>WSU CARLITAS MEXICAN</t>
  </si>
  <si>
    <t xml:space="preserve">STREIT/PERHAM 157K </t>
  </si>
  <si>
    <t>WSU CATERING CPU</t>
  </si>
  <si>
    <t>WSU CATERING CUB</t>
  </si>
  <si>
    <t xml:space="preserve">COMPTON UNION BLVD. </t>
  </si>
  <si>
    <t>WSU DINING TOWERS MARKET</t>
  </si>
  <si>
    <t xml:space="preserve">STEVENSON CENTER </t>
  </si>
  <si>
    <t>WSU DINING-CENTRAL PURCHASING</t>
  </si>
  <si>
    <t>WSU DINING-CPU</t>
  </si>
  <si>
    <t>WSU DINING-FLIX CAFE &amp; MKT</t>
  </si>
  <si>
    <t xml:space="preserve">ROTUND A BLDG </t>
  </si>
  <si>
    <t>WSU DINING-HILLSIDE CAFE</t>
  </si>
  <si>
    <t>WSU DINING-RADIO CAFE</t>
  </si>
  <si>
    <t>519-335-3561</t>
  </si>
  <si>
    <t>WSU EINSTEIN BAGEL</t>
  </si>
  <si>
    <t xml:space="preserve">1302 NE COUGAR WAY </t>
  </si>
  <si>
    <t>WSU ESPRESSO CENTRAL</t>
  </si>
  <si>
    <t xml:space="preserve">PO BOX 646005 ROGERS HALL 131 </t>
  </si>
  <si>
    <t>509-335-8621</t>
  </si>
  <si>
    <t>WSU HILLSIDE MARKET</t>
  </si>
  <si>
    <t xml:space="preserve">WILMER-DAVIS RESIDENCE HALL </t>
  </si>
  <si>
    <t>WSU MARKET AT GSH</t>
  </si>
  <si>
    <t>WSU NORTHSIDE CAFE</t>
  </si>
  <si>
    <t>WSU NORTHSIDE MARKET</t>
  </si>
  <si>
    <t xml:space="preserve">REGENTS HALL </t>
  </si>
  <si>
    <t>WSU ROGERS HALL</t>
  </si>
  <si>
    <t xml:space="preserve">P O BOX 646005 ROGERS HALL 131 </t>
  </si>
  <si>
    <t>509-335-5035</t>
  </si>
  <si>
    <t>WSU SOUTHSIDE CAFE</t>
  </si>
  <si>
    <t>WSU STARBUCKS @ DC</t>
  </si>
  <si>
    <t xml:space="preserve">1270 SE WASHINGTON STREET </t>
  </si>
  <si>
    <t>509-335-1722</t>
  </si>
  <si>
    <t>WSU TOWERS</t>
  </si>
  <si>
    <t>WSU VENDING SERVICES</t>
  </si>
  <si>
    <t>WSU CATERING@STEVENSON</t>
  </si>
  <si>
    <t xml:space="preserve">PO BO 646005 ROGERS HALL 131 </t>
  </si>
  <si>
    <t>WSU-ATHLETIC DEPT</t>
  </si>
  <si>
    <t xml:space="preserve">M80 BOHLER ATHLETIC CAMP </t>
  </si>
  <si>
    <t>509-337-7029</t>
  </si>
  <si>
    <t>WSU-CENTRAL STORE</t>
  </si>
  <si>
    <t xml:space="preserve">100 DAIRY ROAD </t>
  </si>
  <si>
    <t>PILLMAN</t>
  </si>
  <si>
    <t>WSU-CONCESSIONS</t>
  </si>
  <si>
    <t xml:space="preserve">BEASLEY CORISEMEN RM #718 </t>
  </si>
  <si>
    <t>WSU-CREAMERY</t>
  </si>
  <si>
    <t xml:space="preserve">101 FORD QUALITY BUILDING </t>
  </si>
  <si>
    <t>309-335-6772</t>
  </si>
  <si>
    <t>WSU-GRAY W</t>
  </si>
  <si>
    <t xml:space="preserve">525 COUGAR FOOTBALL CAMP </t>
  </si>
  <si>
    <t>WSU-OPS GRAY HUB</t>
  </si>
  <si>
    <t xml:space="preserve">120 BOHLER ATHLETIC CAMP </t>
  </si>
  <si>
    <t>509-483-4747</t>
  </si>
  <si>
    <t>WSU-VANCOUVER</t>
  </si>
  <si>
    <t xml:space="preserve">410 DAIRY ROAD </t>
  </si>
  <si>
    <t>509-335-7818</t>
  </si>
  <si>
    <t>WYANDOTTE NATIONS CASINO</t>
  </si>
  <si>
    <t xml:space="preserve">100 JACKPOT PLACE </t>
  </si>
  <si>
    <t>WYANDOTTE</t>
  </si>
  <si>
    <t>602-930-3835</t>
  </si>
  <si>
    <t>WYATT HOUSE</t>
  </si>
  <si>
    <t xml:space="preserve">186 WYATT WAY NW </t>
  </si>
  <si>
    <t>206-780-3646</t>
  </si>
  <si>
    <t>WYNHOVEN HEALTHCARE CENTER</t>
  </si>
  <si>
    <t xml:space="preserve">1050 MEDICAL CENTER BLVD </t>
  </si>
  <si>
    <t>504-347-0777</t>
  </si>
  <si>
    <t xml:space="preserve">890 HWY 20 SOUTH </t>
  </si>
  <si>
    <t>307-568-2431</t>
  </si>
  <si>
    <t>YELLOW BRICK HOUSE</t>
  </si>
  <si>
    <t xml:space="preserve">6903 MAIN ST </t>
  </si>
  <si>
    <t>770-482-4044</t>
  </si>
  <si>
    <t>YMCA CAMP BENSON</t>
  </si>
  <si>
    <t xml:space="preserve">16355 SCENIC PALISADES RD </t>
  </si>
  <si>
    <t>MOUNT CARROLL</t>
  </si>
  <si>
    <t>815-244-8722</t>
  </si>
  <si>
    <t>YMCA MOBILE MARKET</t>
  </si>
  <si>
    <t xml:space="preserve">1 E 11TH STREET </t>
  </si>
  <si>
    <t>423-757-0665</t>
  </si>
  <si>
    <t>YMCA OF BILLINGS</t>
  </si>
  <si>
    <t xml:space="preserve">402 N 32ND STREET </t>
  </si>
  <si>
    <t>406-294-1619</t>
  </si>
  <si>
    <t>YMCA-GLENDALE</t>
  </si>
  <si>
    <t xml:space="preserve">140 N LOUISE STREET </t>
  </si>
  <si>
    <t>818-240-4130</t>
  </si>
  <si>
    <t>YODERS KITCHEN LLC</t>
  </si>
  <si>
    <t xml:space="preserve">1195 E COLUMBIA </t>
  </si>
  <si>
    <t>217-543-2714</t>
  </si>
  <si>
    <t>YOO SCOOPS</t>
  </si>
  <si>
    <t xml:space="preserve">1208 SAND DOLLAR WAY </t>
  </si>
  <si>
    <t>760-612-9702</t>
  </si>
  <si>
    <t>YORK PLACE LLC DBA BERTRAND NURSING AND REHAB CTR</t>
  </si>
  <si>
    <t xml:space="preserve">603 HWY 62 WEST </t>
  </si>
  <si>
    <t>BERTRAND</t>
  </si>
  <si>
    <t>573-683-4209</t>
  </si>
  <si>
    <t>YORKTOWNE VILLAGE LLC</t>
  </si>
  <si>
    <t xml:space="preserve">40-42 ROSS COMMON STREET </t>
  </si>
  <si>
    <t>803-684-0183</t>
  </si>
  <si>
    <t>YOUTH AND FAMILY SERVICES</t>
  </si>
  <si>
    <t xml:space="preserve">120 E ADAMS STREET </t>
  </si>
  <si>
    <t>605-341-7201</t>
  </si>
  <si>
    <t>YUMM TERIYAKI</t>
  </si>
  <si>
    <t xml:space="preserve">87 PEACHTREE STREET </t>
  </si>
  <si>
    <t>404-223-2310</t>
  </si>
  <si>
    <t>ZANE'S RESTAURANT</t>
  </si>
  <si>
    <t xml:space="preserve">1150 HERMOSA AVE </t>
  </si>
  <si>
    <t>310-374-7488</t>
  </si>
  <si>
    <t>ZETA BETA TAU</t>
  </si>
  <si>
    <t xml:space="preserve">710 W 28TH STREET </t>
  </si>
  <si>
    <t>512-212-2684</t>
  </si>
  <si>
    <t>ZETA TAU ALPHA SORORITY (UNIV OF TEXAS AUSTIN)</t>
  </si>
  <si>
    <t xml:space="preserve">2711 NEUCES ST </t>
  </si>
  <si>
    <t>512-415-1356</t>
  </si>
  <si>
    <t>ZON BEACHSIDE</t>
  </si>
  <si>
    <t xml:space="preserve">1894 S PATRICK DRIVE </t>
  </si>
  <si>
    <t>INDIAN HARBOUR BEACH</t>
  </si>
  <si>
    <t>321-777-8840</t>
  </si>
  <si>
    <t>ZTA</t>
  </si>
  <si>
    <t xml:space="preserve">102 MOSS CLIFF CIRCLE </t>
  </si>
  <si>
    <t>512-968-0060</t>
  </si>
  <si>
    <t>Thompson San Antonio</t>
  </si>
  <si>
    <t xml:space="preserve">101 Lexington Avenue </t>
  </si>
  <si>
    <t>Ted Knighton</t>
  </si>
  <si>
    <t>Days Inn Wilmington - University</t>
  </si>
  <si>
    <t xml:space="preserve">5040 Market Street </t>
  </si>
  <si>
    <t>Opel Nealy</t>
  </si>
  <si>
    <t>+1 (910) 799-6300</t>
  </si>
  <si>
    <t>Hilton Boston Woburn</t>
  </si>
  <si>
    <t xml:space="preserve">2 Forbes Road </t>
  </si>
  <si>
    <t>Woburn</t>
  </si>
  <si>
    <t>Jennifer Brenna</t>
  </si>
  <si>
    <t>Mike Chouri</t>
  </si>
  <si>
    <t>+1 (781) 932-0999</t>
  </si>
  <si>
    <t>Hotel Ventures Inc.</t>
  </si>
  <si>
    <t>SpringHill Suites Charlotte Huntersville</t>
  </si>
  <si>
    <t xml:space="preserve">13610 Reese Boulevard West </t>
  </si>
  <si>
    <t>GM GM</t>
  </si>
  <si>
    <t>Todd Williams</t>
  </si>
  <si>
    <t>+(704) 946-2950</t>
  </si>
  <si>
    <t>Andaz Palm Springs</t>
  </si>
  <si>
    <t xml:space="preserve">400 North Palm Canyon Drive </t>
  </si>
  <si>
    <t>Andaz</t>
  </si>
  <si>
    <t>+1 (949) 250-4245</t>
  </si>
  <si>
    <t>Residence Inn Lake Buena Vista</t>
  </si>
  <si>
    <t xml:space="preserve">11450 Marbella Palms Court </t>
  </si>
  <si>
    <t>Mark Ratcliff</t>
  </si>
  <si>
    <t>+ (407) 465-0075</t>
  </si>
  <si>
    <t>Courtyard Louisville Airport</t>
  </si>
  <si>
    <t xml:space="preserve">819 Phillips Lane </t>
  </si>
  <si>
    <t>Lauren Briner</t>
  </si>
  <si>
    <t>+1 (502) 368-5678</t>
  </si>
  <si>
    <t>Super 8 Truro</t>
  </si>
  <si>
    <t xml:space="preserve">85 Treaty Trail </t>
  </si>
  <si>
    <t>Millbrook</t>
  </si>
  <si>
    <t>NS</t>
  </si>
  <si>
    <t>B6L 1W3</t>
  </si>
  <si>
    <t>Andy Khakhar</t>
  </si>
  <si>
    <t>+1 (902) 895-8884</t>
  </si>
  <si>
    <t>Basecamp Hotel Tahoe City</t>
  </si>
  <si>
    <t xml:space="preserve">955 North Lake Boulevard </t>
  </si>
  <si>
    <t>Tahoe City</t>
  </si>
  <si>
    <t>Nikki Verdile</t>
  </si>
  <si>
    <t>+1 (530) 580-8430</t>
  </si>
  <si>
    <t>Basecamp Hotel South Lake Tahoe</t>
  </si>
  <si>
    <t xml:space="preserve">4143 Cedar Avenue </t>
  </si>
  <si>
    <t>South Lake Tahoe</t>
  </si>
  <si>
    <t>Mahra Rojas</t>
  </si>
  <si>
    <t>+1 (530) 208-0180</t>
  </si>
  <si>
    <t>Basecamp Boulder</t>
  </si>
  <si>
    <t xml:space="preserve">2020 Arapahoe Avenue </t>
  </si>
  <si>
    <t>Cameron Bradburry</t>
  </si>
  <si>
    <t>+1 (303) 449-7550</t>
  </si>
  <si>
    <t>Silverton Casino LLC</t>
  </si>
  <si>
    <t>Hotel Drover Autograph Collection</t>
  </si>
  <si>
    <t xml:space="preserve">200 Mule Alley Drive </t>
  </si>
  <si>
    <t>Kristin Assad</t>
  </si>
  <si>
    <t>+1 (817) 710-7385</t>
  </si>
  <si>
    <t>Servicios Internacionales De Entegra Rapida S.A d/b/a Siersa Corporation</t>
  </si>
  <si>
    <t>SERVICIOS INTERNACIONALES de ENTEGRA RAPIDA S.A d/b/a SIERSA</t>
  </si>
  <si>
    <t xml:space="preserve">Heredia San Pablo 100 Oeste de la Gasotica </t>
  </si>
  <si>
    <t>Jose Davila</t>
  </si>
  <si>
    <t>Jose Alberto Davila Salicetti</t>
  </si>
  <si>
    <t>+1(786) 789-5293 x905</t>
  </si>
  <si>
    <t>Inn of Naples</t>
  </si>
  <si>
    <t xml:space="preserve">4055 Tamiami Trail North US RT 41 </t>
  </si>
  <si>
    <t>Brittany Wolter</t>
  </si>
  <si>
    <t>+1 (239) 649-5500</t>
  </si>
  <si>
    <t>Courtyard Salt Lake City Cottonwood</t>
  </si>
  <si>
    <t xml:space="preserve">7341 South Canyon Centre Parkway </t>
  </si>
  <si>
    <t>Cottonwood Heights</t>
  </si>
  <si>
    <t>Matt Seamons</t>
  </si>
  <si>
    <t>Greg Willie</t>
  </si>
  <si>
    <t>+(801)930-2107</t>
  </si>
  <si>
    <t>Comfort Suites Stonecrest</t>
  </si>
  <si>
    <t xml:space="preserve">7900 Mall Ring Road </t>
  </si>
  <si>
    <t>Shawn Smith</t>
  </si>
  <si>
    <t>+1 (770) 484-4384</t>
  </si>
  <si>
    <t>VinaKom Inc.</t>
  </si>
  <si>
    <t>Chicago Marriott Northwest</t>
  </si>
  <si>
    <t xml:space="preserve">4800 Columbine Boulevard </t>
  </si>
  <si>
    <t>Hoffman Estates</t>
  </si>
  <si>
    <t>Alex Petrollini</t>
  </si>
  <si>
    <t>Steve Lemmerman</t>
  </si>
  <si>
    <t>+1 (847) 645-9500</t>
  </si>
  <si>
    <t>Comfort Inn Houston</t>
  </si>
  <si>
    <t xml:space="preserve">7887 West Tidwell Road </t>
  </si>
  <si>
    <t xml:space="preserve">Raymond Saenz </t>
  </si>
  <si>
    <t>+1 (713) 690-1493</t>
  </si>
  <si>
    <t>Portland Golf Club Inc.</t>
  </si>
  <si>
    <t>Portland Golf Club</t>
  </si>
  <si>
    <t xml:space="preserve">5900 SW Scholls Ferry Rd </t>
  </si>
  <si>
    <t>Lonnie Lister</t>
  </si>
  <si>
    <t>Sheri Blasio</t>
  </si>
  <si>
    <t>+ (503) 292-2651</t>
  </si>
  <si>
    <t>Highland Lake Property Management LLC</t>
  </si>
  <si>
    <t>Highland Lake Inn &amp; Resort</t>
  </si>
  <si>
    <t xml:space="preserve">86 Lily Pad Lane </t>
  </si>
  <si>
    <t>Flat Rock</t>
  </si>
  <si>
    <t>Jack Grup</t>
  </si>
  <si>
    <t>Peter Fassbender</t>
  </si>
  <si>
    <t>+1 (828) 693-6812</t>
  </si>
  <si>
    <t>Holiday Inn Corpus Christi Airport and Convention Center</t>
  </si>
  <si>
    <t xml:space="preserve">5549 Leopard Street </t>
  </si>
  <si>
    <t>Pinaktu Bhakta</t>
  </si>
  <si>
    <t>+ 1 (682) 554-0273</t>
  </si>
  <si>
    <t>Alila Marea</t>
  </si>
  <si>
    <t xml:space="preserve">2100 North Coast Highway </t>
  </si>
  <si>
    <t>Ben Thiele</t>
  </si>
  <si>
    <t>Michael Savastano</t>
  </si>
  <si>
    <t xml:space="preserve">Springhill Suites North Charleston Airport and Convention Center </t>
  </si>
  <si>
    <t xml:space="preserve"> 3454 West Montague Avenue </t>
  </si>
  <si>
    <t>James Wells</t>
  </si>
  <si>
    <t>+(843)666-0156</t>
  </si>
  <si>
    <t>Element Nashville Vanderbilt West End</t>
  </si>
  <si>
    <t xml:space="preserve">4 City Boulevard </t>
  </si>
  <si>
    <t>Michael Callahan</t>
  </si>
  <si>
    <t>+1 (615) 320-8400</t>
  </si>
  <si>
    <t>Best Western Plus DTC</t>
  </si>
  <si>
    <t xml:space="preserve">9231 East Arapahoe Street </t>
  </si>
  <si>
    <t>Sarah Walton</t>
  </si>
  <si>
    <t>+1 (303) 792-9999</t>
  </si>
  <si>
    <t>Carlton Inn - Midway</t>
  </si>
  <si>
    <t xml:space="preserve">4944 South Archer Ave. </t>
  </si>
  <si>
    <t>CARLTON LODGE</t>
  </si>
  <si>
    <t>Gary Gray</t>
  </si>
  <si>
    <t>Martin Lewis</t>
  </si>
  <si>
    <t>+1 (773) 582-0900</t>
  </si>
  <si>
    <t>Hampton Inn Denver South</t>
  </si>
  <si>
    <t xml:space="preserve">10030 Trainstation Circle </t>
  </si>
  <si>
    <t>Lori Goodman</t>
  </si>
  <si>
    <t>+1 (303) 790-4100</t>
  </si>
  <si>
    <t>EmberSum Management Inc.</t>
  </si>
  <si>
    <t>Courtyard Beaumont</t>
  </si>
  <si>
    <t xml:space="preserve">2275 I-H10 South </t>
  </si>
  <si>
    <t>Beaumont</t>
  </si>
  <si>
    <t xml:space="preserve"> Roy Arline</t>
  </si>
  <si>
    <t>+1 (409) 840-5750</t>
  </si>
  <si>
    <t>Courtyard Indianapolis Plainfield</t>
  </si>
  <si>
    <t xml:space="preserve">450 Marketplace Mile </t>
  </si>
  <si>
    <t>Plainfield</t>
  </si>
  <si>
    <t>Kristin Norman</t>
  </si>
  <si>
    <t>Demetria Freeman</t>
  </si>
  <si>
    <t>+1 (317) 839-0400</t>
  </si>
  <si>
    <t>Fairfield Inn &amp; Suites St. Paul Eagan</t>
  </si>
  <si>
    <t xml:space="preserve">3949 Cedar Grove Parkway </t>
  </si>
  <si>
    <t>Eagan</t>
  </si>
  <si>
    <t>Catherine Grunwald</t>
  </si>
  <si>
    <t>+(612)351-3509</t>
  </si>
  <si>
    <t>Sierra Golf Management</t>
  </si>
  <si>
    <t>Micke Grove Golf Links</t>
  </si>
  <si>
    <t xml:space="preserve">11401 North Micke Grove Road </t>
  </si>
  <si>
    <t>Lodi</t>
  </si>
  <si>
    <t>Danny Fielder</t>
  </si>
  <si>
    <t>Karan Suprai</t>
  </si>
  <si>
    <t>+1 (209) 369-4410</t>
  </si>
  <si>
    <t>Cambria Hotel Philadelphia Downtown City Center</t>
  </si>
  <si>
    <t xml:space="preserve">219 South Broad Street </t>
  </si>
  <si>
    <t>AJ Williams</t>
  </si>
  <si>
    <t>+1 (215) 732-5500</t>
  </si>
  <si>
    <t>Aloft Cincinnati West Chester</t>
  </si>
  <si>
    <t xml:space="preserve">9183 Centre Point Drive </t>
  </si>
  <si>
    <t>Ryan Tomaro</t>
  </si>
  <si>
    <t>Jeremiah Goins</t>
  </si>
  <si>
    <t>+1(513)857-3020</t>
  </si>
  <si>
    <t>Home2 Suites Dayton Vandalia</t>
  </si>
  <si>
    <t xml:space="preserve">6615 TownCenter Drive </t>
  </si>
  <si>
    <t>Alex Appleby</t>
  </si>
  <si>
    <t>+1 (937) 949- 6200</t>
  </si>
  <si>
    <t>Holiday Inn Express Westlake</t>
  </si>
  <si>
    <t xml:space="preserve">30500 Clemens Road </t>
  </si>
  <si>
    <t>Randy Virant</t>
  </si>
  <si>
    <t>Maria Kemmis</t>
  </si>
  <si>
    <t>+1 (440) 808-0500</t>
  </si>
  <si>
    <t>Residence Inn Akron South Green</t>
  </si>
  <si>
    <t xml:space="preserve">897 Arlington Ridge East </t>
  </si>
  <si>
    <t>Akron</t>
  </si>
  <si>
    <t>Missy Devenport</t>
  </si>
  <si>
    <t>+1 (330) 644-2111</t>
  </si>
  <si>
    <t>Residence Inn Middleburg Heights</t>
  </si>
  <si>
    <t xml:space="preserve">19149 East Bagley Road </t>
  </si>
  <si>
    <t>Jessica Sarley</t>
  </si>
  <si>
    <t>Dawn Greene</t>
  </si>
  <si>
    <t>+1 (440) 638-5856</t>
  </si>
  <si>
    <t>Homewood Suites by Hilton Columbus - Polaris</t>
  </si>
  <si>
    <t xml:space="preserve">2045 Polaris Parkway </t>
  </si>
  <si>
    <t>Katelin Wright</t>
  </si>
  <si>
    <t>Justin Handa</t>
  </si>
  <si>
    <t>+1 (614) 396-5100</t>
  </si>
  <si>
    <t>Holiday Inn Express &amp; Suites Columbus-Polaris Parkway</t>
  </si>
  <si>
    <t xml:space="preserve">8670 Orion Place </t>
  </si>
  <si>
    <t>Jesse Boliantz</t>
  </si>
  <si>
    <t>Angela Diep</t>
  </si>
  <si>
    <t>+1 (614) 781-6100</t>
  </si>
  <si>
    <t>Home2 Suites Columbus Downtown</t>
  </si>
  <si>
    <t xml:space="preserve">412 East Main Street </t>
  </si>
  <si>
    <t>Bethany Jester</t>
  </si>
  <si>
    <t>Adam Hodges</t>
  </si>
  <si>
    <t>+ 1 (614) 569-7760</t>
  </si>
  <si>
    <t>Red Lion Rosslyn Iwo Jima</t>
  </si>
  <si>
    <t xml:space="preserve">1501 Arlington Boulevard </t>
  </si>
  <si>
    <t>Bhaveen Patel</t>
  </si>
  <si>
    <t>Charles Cochraham</t>
  </si>
  <si>
    <t>+1 (703) 524-5000</t>
  </si>
  <si>
    <t>Hilton Garden Inn West Chester</t>
  </si>
  <si>
    <t xml:space="preserve">9306 Schulze Drive </t>
  </si>
  <si>
    <t>Natalya Kogay</t>
  </si>
  <si>
    <t>Michael Gross</t>
  </si>
  <si>
    <t>+1 (513) 860-3170</t>
  </si>
  <si>
    <t>SpringHill Suites Dayton North</t>
  </si>
  <si>
    <t xml:space="preserve">3591 York Plaza Lane </t>
  </si>
  <si>
    <t>James Park</t>
  </si>
  <si>
    <t>+1 (937) 280-4150</t>
  </si>
  <si>
    <t xml:space="preserve">Hampton Inn &amp; Suites Dayton </t>
  </si>
  <si>
    <t xml:space="preserve">7043 Miller Lane </t>
  </si>
  <si>
    <t>Northridge</t>
  </si>
  <si>
    <t>Stacy Nelson</t>
  </si>
  <si>
    <t>+1 (937) 387-0598</t>
  </si>
  <si>
    <t>SpringHill Suites Dayton South Miamisburg</t>
  </si>
  <si>
    <t xml:space="preserve">417 North Springboro Pike </t>
  </si>
  <si>
    <t>Alexis Heater</t>
  </si>
  <si>
    <t>Robbie Robinson</t>
  </si>
  <si>
    <t>+1 (937) 432-9277</t>
  </si>
  <si>
    <t>Hampton Inn Dayton South - Dayton Mall</t>
  </si>
  <si>
    <t xml:space="preserve">8960 Mall Ring Road </t>
  </si>
  <si>
    <t>Joe Vigietta</t>
  </si>
  <si>
    <t>+1(937)439-1800</t>
  </si>
  <si>
    <t>Residence Inn Lafayette</t>
  </si>
  <si>
    <t xml:space="preserve">3834 Grace Lane </t>
  </si>
  <si>
    <t>Tareq Alkalaa</t>
  </si>
  <si>
    <t>Tina Lane</t>
  </si>
  <si>
    <t>+1 (765) 479-7208</t>
  </si>
  <si>
    <t>Hampton Inn &amp; Suites Muncie</t>
  </si>
  <si>
    <t xml:space="preserve">4220 West Bethel Road </t>
  </si>
  <si>
    <t>Muncie</t>
  </si>
  <si>
    <t>Laura koenker</t>
  </si>
  <si>
    <t>+1(765) 288-8500</t>
  </si>
  <si>
    <t>Home2 Suites Carmel Indianapolis</t>
  </si>
  <si>
    <t xml:space="preserve">12845 Old Meridian Street </t>
  </si>
  <si>
    <t>Cennet Gogus</t>
  </si>
  <si>
    <t>Mustafa Enes Sahin</t>
  </si>
  <si>
    <t>+1 (317) 795-1030</t>
  </si>
  <si>
    <t>Home2 Suites Lafayette</t>
  </si>
  <si>
    <t xml:space="preserve">3838 Grace Lane </t>
  </si>
  <si>
    <t>Kimberly Warfield</t>
  </si>
  <si>
    <t>+1 (765) 771-7575</t>
  </si>
  <si>
    <t>Hampton Inn Middletown Ohio</t>
  </si>
  <si>
    <t xml:space="preserve">2880 Towne Boulevard </t>
  </si>
  <si>
    <t>George Lloyd</t>
  </si>
  <si>
    <t>+1(513)422-6880</t>
  </si>
  <si>
    <t>Courtyard Kokomo</t>
  </si>
  <si>
    <t xml:space="preserve">411 Kentucky Drive </t>
  </si>
  <si>
    <t>Kokomo</t>
  </si>
  <si>
    <t>Bambi Roe</t>
  </si>
  <si>
    <t>Amy Ciski</t>
  </si>
  <si>
    <t>+1 (765) 453-0800</t>
  </si>
  <si>
    <t>Hampton Inn &amp; Suites Richmond</t>
  </si>
  <si>
    <t xml:space="preserve">455 Commerce Road </t>
  </si>
  <si>
    <t>Amanda Weller</t>
  </si>
  <si>
    <t>+1 (765) 966-5200</t>
  </si>
  <si>
    <t>Holiday Inn Richmond</t>
  </si>
  <si>
    <t xml:space="preserve">6000 National Road East </t>
  </si>
  <si>
    <t>Veronica Silvers</t>
  </si>
  <si>
    <t>+1(765)488-1975</t>
  </si>
  <si>
    <t>Eden Roc Beach Resort &amp; Spa</t>
  </si>
  <si>
    <t xml:space="preserve">4525 Collins Avenue </t>
  </si>
  <si>
    <t>Eugenia Dwyer</t>
  </si>
  <si>
    <t>+1 (305) 531-0000</t>
  </si>
  <si>
    <t>Fairfield Inn &amp; Suites Youngstown Austintown</t>
  </si>
  <si>
    <t xml:space="preserve">801 North Canfield Niles Road </t>
  </si>
  <si>
    <t>Youngstown</t>
  </si>
  <si>
    <t>Diane Coandle</t>
  </si>
  <si>
    <t>Erika Belcik</t>
  </si>
  <si>
    <t>+1 (330) 505-2173</t>
  </si>
  <si>
    <t>Holiday Inn Express &amp; Suites Akron South</t>
  </si>
  <si>
    <t xml:space="preserve">898 Arlington Ridge East </t>
  </si>
  <si>
    <t>John S. Collins</t>
  </si>
  <si>
    <t>+1 (330) 644-5600</t>
  </si>
  <si>
    <t>Holiday Inn Express &amp; Suites New Philadelphia</t>
  </si>
  <si>
    <t xml:space="preserve">145 Bluebell Drive Southwest </t>
  </si>
  <si>
    <t>New Philadelphia</t>
  </si>
  <si>
    <t>Melissa Sedlock</t>
  </si>
  <si>
    <t>Amanda Arth</t>
  </si>
  <si>
    <t>+1 (330) 339-6500</t>
  </si>
  <si>
    <t>Holiday Inn Express Chillicothe East</t>
  </si>
  <si>
    <t xml:space="preserve">1003 East Main Street </t>
  </si>
  <si>
    <t>Chillicothe</t>
  </si>
  <si>
    <t>Joshuah Taylor</t>
  </si>
  <si>
    <t>+1 (740) 851-6140</t>
  </si>
  <si>
    <t>Best Western Dutch Valley Inn</t>
  </si>
  <si>
    <t xml:space="preserve">161 Bluebell Drive Southwest </t>
  </si>
  <si>
    <t>LaTour Hotels &amp; Resorts</t>
  </si>
  <si>
    <t>Holiday Inn Memphis Airport</t>
  </si>
  <si>
    <t xml:space="preserve">2240 Democrat Road </t>
  </si>
  <si>
    <t>Brandon House</t>
  </si>
  <si>
    <t xml:space="preserve">Percy Swan </t>
  </si>
  <si>
    <t>+1 (901) 332-1130</t>
  </si>
  <si>
    <t>Main Line Hotel LP</t>
  </si>
  <si>
    <t>Residence Inn Philadelphia Bala Cynwyd</t>
  </si>
  <si>
    <t xml:space="preserve">615 Righters Ferry Road </t>
  </si>
  <si>
    <t>Bala Cynwyd</t>
  </si>
  <si>
    <t>Kassidy Kunde</t>
  </si>
  <si>
    <t>Stuart Kinckner</t>
  </si>
  <si>
    <t>+(610)747-0550</t>
  </si>
  <si>
    <t>TownePlace Suites Vidalia</t>
  </si>
  <si>
    <t xml:space="preserve">215 Front Street </t>
  </si>
  <si>
    <t>Vidalia</t>
  </si>
  <si>
    <t>Deon Smith</t>
  </si>
  <si>
    <t>+1 (318) 414-1070</t>
  </si>
  <si>
    <t>Hampton Inn &amp; Suites Ridgeland</t>
  </si>
  <si>
    <t xml:space="preserve">600 Steed Road </t>
  </si>
  <si>
    <t>Jeff Holmes</t>
  </si>
  <si>
    <t>+1 (769) 300-5556</t>
  </si>
  <si>
    <t>Hampton Inn Opelousas</t>
  </si>
  <si>
    <t xml:space="preserve">1700 Commerce Boulevard </t>
  </si>
  <si>
    <t>Opelousas</t>
  </si>
  <si>
    <t>Julie Dell</t>
  </si>
  <si>
    <t>+1 (337) 284-3428</t>
  </si>
  <si>
    <t>Hampton Inn Hernando</t>
  </si>
  <si>
    <t xml:space="preserve">2675 McIngvale Road </t>
  </si>
  <si>
    <t>Hernando</t>
  </si>
  <si>
    <t>Ellen Self</t>
  </si>
  <si>
    <t>+1 (662) 449-7737</t>
  </si>
  <si>
    <t>Holiday Inn Express Natchez South</t>
  </si>
  <si>
    <t xml:space="preserve">639 South Canal Street </t>
  </si>
  <si>
    <t>Natchez</t>
  </si>
  <si>
    <t>Christopher O'Neal</t>
  </si>
  <si>
    <t>Katelyn Heidel</t>
  </si>
  <si>
    <t>+1 (601) 442-4462</t>
  </si>
  <si>
    <t>Holiday Inn Express Jackson</t>
  </si>
  <si>
    <t xml:space="preserve">310 Greymont Avenue </t>
  </si>
  <si>
    <t xml:space="preserve">Cedric </t>
  </si>
  <si>
    <t>+1 (601) 948-4466</t>
  </si>
  <si>
    <t>Hampton Inn Akron South</t>
  </si>
  <si>
    <t xml:space="preserve">880 Arlington Ridge East </t>
  </si>
  <si>
    <t>Leah Baddeley</t>
  </si>
  <si>
    <t>+1 (330) 644-6579</t>
  </si>
  <si>
    <t>Hampton Inn &amp; Suites Ashland</t>
  </si>
  <si>
    <t xml:space="preserve">2055 East Main Street </t>
  </si>
  <si>
    <t>Christina Manfield</t>
  </si>
  <si>
    <t>+1 (419) 903-0900</t>
  </si>
  <si>
    <t>The Eliza Jane the Unbound Collection by Hyatt</t>
  </si>
  <si>
    <t xml:space="preserve">315 Magazine Street </t>
  </si>
  <si>
    <t>Danna Holck</t>
  </si>
  <si>
    <t>Michael Klein</t>
  </si>
  <si>
    <t>+1 (504) 882-1234</t>
  </si>
  <si>
    <t>Woodward Brown Ventures LLC</t>
  </si>
  <si>
    <t>The Daxton Hotel</t>
  </si>
  <si>
    <t xml:space="preserve">298 South Old Woodward Avenue </t>
  </si>
  <si>
    <t>Rajesh Radke</t>
  </si>
  <si>
    <t>Aaron Black</t>
  </si>
  <si>
    <t>The Weber Group</t>
  </si>
  <si>
    <t>Charmant Hotel</t>
  </si>
  <si>
    <t xml:space="preserve">101 State Street </t>
  </si>
  <si>
    <t>French Island</t>
  </si>
  <si>
    <t>Michel Gabbud</t>
  </si>
  <si>
    <t>+1 (608) 519-8800</t>
  </si>
  <si>
    <t>Home2 Suites by Hilton Rosenberg Sugar Land Area Tx</t>
  </si>
  <si>
    <t xml:space="preserve">5350 Pointe West Cirlce </t>
  </si>
  <si>
    <t>Kelly Haas</t>
  </si>
  <si>
    <t>+1 (346) 843-2888</t>
  </si>
  <si>
    <t>Home2 Suites Denver Northfield</t>
  </si>
  <si>
    <t xml:space="preserve">9193 East 47th Avenue </t>
  </si>
  <si>
    <t>Darien Smith</t>
  </si>
  <si>
    <t>Avendra DenverTest</t>
  </si>
  <si>
    <t>+1(303) 371-4888</t>
  </si>
  <si>
    <t>Hilton Garden Inn San Jose Airport</t>
  </si>
  <si>
    <t xml:space="preserve">101 East Gish Road </t>
  </si>
  <si>
    <t>Katie McCauley</t>
  </si>
  <si>
    <t>+1(408) 436-1111</t>
  </si>
  <si>
    <t>Element Seattle Sea-Tac Airport</t>
  </si>
  <si>
    <t xml:space="preserve">515 Industry Drive </t>
  </si>
  <si>
    <t>Riverton</t>
  </si>
  <si>
    <t>Joseph Blackburn</t>
  </si>
  <si>
    <t>+1 (206) 575-8010</t>
  </si>
  <si>
    <t>Element Sedona</t>
  </si>
  <si>
    <t xml:space="preserve">6601 State Route 179 </t>
  </si>
  <si>
    <t>Todd Tucker</t>
  </si>
  <si>
    <t>+()928-862-3000</t>
  </si>
  <si>
    <t>Courtyard Portland East</t>
  </si>
  <si>
    <t xml:space="preserve">2811 NE 181st Ave </t>
  </si>
  <si>
    <t>Hosanna Smith</t>
  </si>
  <si>
    <t>Melisa Valjevac</t>
  </si>
  <si>
    <t>+(503) 665-2811</t>
  </si>
  <si>
    <t>Hampton Inn &amp; Suites Seattle Federal Way</t>
  </si>
  <si>
    <t xml:space="preserve">31720 Gateway Center Boulevard </t>
  </si>
  <si>
    <t>Federal Way</t>
  </si>
  <si>
    <t>Vickie Molzer</t>
  </si>
  <si>
    <t>+1 (253) 946-7000</t>
  </si>
  <si>
    <t>Home2 Suites Daytona Beach Speedway</t>
  </si>
  <si>
    <t xml:space="preserve">200 Fentress Boulevard </t>
  </si>
  <si>
    <t>Jon Wray</t>
  </si>
  <si>
    <t>+1 (386) 400-2300</t>
  </si>
  <si>
    <t>Homewood Suites Lynnwood</t>
  </si>
  <si>
    <t xml:space="preserve">18123 Alderwood Mall Parkway </t>
  </si>
  <si>
    <t>Alicia Dresser</t>
  </si>
  <si>
    <t>Mark Lee</t>
  </si>
  <si>
    <t>+1 (425) 670-8943</t>
  </si>
  <si>
    <t>Residence Inn Bend</t>
  </si>
  <si>
    <t xml:space="preserve">500 Bond Street </t>
  </si>
  <si>
    <t>Davis Smith</t>
  </si>
  <si>
    <t>+1 (541) 382-5001</t>
  </si>
  <si>
    <t>Springhill Suites Bozeman</t>
  </si>
  <si>
    <t xml:space="preserve">1601 Baxter Lane </t>
  </si>
  <si>
    <t>Nathan Clementich</t>
  </si>
  <si>
    <t>Ted Day</t>
  </si>
  <si>
    <t>+1(406)586-5200</t>
  </si>
  <si>
    <t>Springhill Suites Bend</t>
  </si>
  <si>
    <t xml:space="preserve">551 Southwest Industrial Way </t>
  </si>
  <si>
    <t>Kevin Coelsch</t>
  </si>
  <si>
    <t>+1 (541) 382-5075</t>
  </si>
  <si>
    <t>Springhill Suites Seattle - Issaquah</t>
  </si>
  <si>
    <t xml:space="preserve">1185 Northwest Maple Street </t>
  </si>
  <si>
    <t>Issaquah</t>
  </si>
  <si>
    <t>Jamie Calabrese</t>
  </si>
  <si>
    <t>Frank Jacobsen</t>
  </si>
  <si>
    <t>+1 (425) 427-6000</t>
  </si>
  <si>
    <t>Courtyard Seattle North - Everett</t>
  </si>
  <si>
    <t xml:space="preserve">3003 Colby Avenue </t>
  </si>
  <si>
    <t>Everett</t>
  </si>
  <si>
    <t>Shannon Swanson-Myers</t>
  </si>
  <si>
    <t>+1 (425) 259-2200</t>
  </si>
  <si>
    <t>TAPS Management Inc.</t>
  </si>
  <si>
    <t>SpringHill Suites Springfield North</t>
  </si>
  <si>
    <t xml:space="preserve">2025 East Kerr Street </t>
  </si>
  <si>
    <t>+1(417)351-6981</t>
  </si>
  <si>
    <t>Holiday Inn Hillsboro</t>
  </si>
  <si>
    <t xml:space="preserve">2575 NW Aloclek Drive </t>
  </si>
  <si>
    <t>Orenco</t>
  </si>
  <si>
    <t>Christian Johnson</t>
  </si>
  <si>
    <t>BJ Johnson</t>
  </si>
  <si>
    <t>+1(503 )640-1745</t>
  </si>
  <si>
    <t>TownePlace Suites Portland Vancouver</t>
  </si>
  <si>
    <t xml:space="preserve">17717 Southeast Mill Plain Boulevard </t>
  </si>
  <si>
    <t>Alison Hite</t>
  </si>
  <si>
    <t>+1 (360) 260-9000</t>
  </si>
  <si>
    <t>Fairfield Inn &amp; Suites Portland North Harbour</t>
  </si>
  <si>
    <t xml:space="preserve">1200 North Anchor Way </t>
  </si>
  <si>
    <t>Maria Semenyakina</t>
  </si>
  <si>
    <t>+1 (503) 286-6336</t>
  </si>
  <si>
    <t>Courtyard San Luis Obispo</t>
  </si>
  <si>
    <t xml:space="preserve">1605 Calle Joaquin Road </t>
  </si>
  <si>
    <t>San Luis Obispo</t>
  </si>
  <si>
    <t>Stephanie Bolles</t>
  </si>
  <si>
    <t>Richard Searcy</t>
  </si>
  <si>
    <t>+1 (805) 786-4200</t>
  </si>
  <si>
    <t>SpringHill Suites Vancouver/Columbia Tech Center</t>
  </si>
  <si>
    <t xml:space="preserve">1421 SE Tech Center Dr. </t>
  </si>
  <si>
    <t>Cassandra Whitworth</t>
  </si>
  <si>
    <t>+1 (360) 260-1000</t>
  </si>
  <si>
    <t>Hilton Garden Inn San Diego Rancho Bernardo</t>
  </si>
  <si>
    <t xml:space="preserve">17240 Bernardo Center Drive </t>
  </si>
  <si>
    <t>Larry Roseth</t>
  </si>
  <si>
    <t>Anita Atkinson</t>
  </si>
  <si>
    <t>+ (858) 676-1660</t>
  </si>
  <si>
    <t>Courtyard Thousand Oaks Ventura County</t>
  </si>
  <si>
    <t xml:space="preserve">1710 Newbury Road </t>
  </si>
  <si>
    <t>Thousand Oaks</t>
  </si>
  <si>
    <t>Rateb Rahen</t>
  </si>
  <si>
    <t>Nancy Howard</t>
  </si>
  <si>
    <t>+1 (805) 499-3900</t>
  </si>
  <si>
    <t>TownePlace Suites Thousand Oaks</t>
  </si>
  <si>
    <t xml:space="preserve">1712 Newbury Road </t>
  </si>
  <si>
    <t>David Conley</t>
  </si>
  <si>
    <t>+1 (805) 499-3111</t>
  </si>
  <si>
    <t>Homewood Suites Salt Lake City Draper</t>
  </si>
  <si>
    <t xml:space="preserve">473 West 13490 Street </t>
  </si>
  <si>
    <t>Brandon Gillins</t>
  </si>
  <si>
    <t>+1 (801) 509-7000</t>
  </si>
  <si>
    <t>Residence Inn Portland North Harbour</t>
  </si>
  <si>
    <t xml:space="preserve">1250 North Anchor Way </t>
  </si>
  <si>
    <t>Ehab Barwaree</t>
  </si>
  <si>
    <t>+ 1 (503) 285-9888</t>
  </si>
  <si>
    <t>Courtyard Kirkland</t>
  </si>
  <si>
    <t xml:space="preserve">11215 124th Street NE </t>
  </si>
  <si>
    <t>Kirkland</t>
  </si>
  <si>
    <t>Danielle Dorland</t>
  </si>
  <si>
    <t>+1 (425) 602-3200</t>
  </si>
  <si>
    <t>Residence Inn San Bernardino</t>
  </si>
  <si>
    <t xml:space="preserve">1040 East Harriman Place </t>
  </si>
  <si>
    <t>Josh Hamilton</t>
  </si>
  <si>
    <t>Christine Gottschalk</t>
  </si>
  <si>
    <t>+1 (909) 382-4564</t>
  </si>
  <si>
    <t>Courtyard San Diego - Rancho Bernardo</t>
  </si>
  <si>
    <t xml:space="preserve">11611 Bernardo Plaza Court </t>
  </si>
  <si>
    <t>San Diego - Rancho Bernardo</t>
  </si>
  <si>
    <t>Doug Wenglare</t>
  </si>
  <si>
    <t>Francesca Suh</t>
  </si>
  <si>
    <t>+1 (858) 613-2000</t>
  </si>
  <si>
    <t>SpringHill Suites Portland-Hillsboro</t>
  </si>
  <si>
    <t xml:space="preserve">7351 Northeast Butler Street </t>
  </si>
  <si>
    <t>+1 (503) 547-0202</t>
  </si>
  <si>
    <t>Courtyard North Harbour</t>
  </si>
  <si>
    <t xml:space="preserve">1231 North Anchor Way </t>
  </si>
  <si>
    <t>Josh Messer</t>
  </si>
  <si>
    <t>Alexis Sampson-Riley</t>
  </si>
  <si>
    <t>+1 (503)735-1818</t>
  </si>
  <si>
    <t>Residence Inn Palo Alto</t>
  </si>
  <si>
    <t xml:space="preserve">4460 El Camino Real </t>
  </si>
  <si>
    <t>Los Altos</t>
  </si>
  <si>
    <t>Jessica DeFelice</t>
  </si>
  <si>
    <t>+1 (650) 559-7890</t>
  </si>
  <si>
    <t>Residence Inn Seattle Lake Union</t>
  </si>
  <si>
    <t xml:space="preserve">800 Fairview Avenue North </t>
  </si>
  <si>
    <t>Maxim Khokhlov</t>
  </si>
  <si>
    <t>+ (206) 624-6000</t>
  </si>
  <si>
    <t>Courtyard Portland Tigard</t>
  </si>
  <si>
    <t xml:space="preserve">15686 SW Sequoia Parkway </t>
  </si>
  <si>
    <t>Tigard</t>
  </si>
  <si>
    <t>Liz Sibert</t>
  </si>
  <si>
    <t>+ (503) 684-7900</t>
  </si>
  <si>
    <t>Courtyard Hillsboro</t>
  </si>
  <si>
    <t xml:space="preserve">3050 NW Stucki Place </t>
  </si>
  <si>
    <t>Joe Saunders</t>
  </si>
  <si>
    <t>Ime Anyang</t>
  </si>
  <si>
    <t>+ (503) 690-1800</t>
  </si>
  <si>
    <t>Four Points by Sheraton Little Rock Midtown</t>
  </si>
  <si>
    <t xml:space="preserve">925 South University Avenue </t>
  </si>
  <si>
    <t>Jake Honegger</t>
  </si>
  <si>
    <t>+ (501) 664-5020</t>
  </si>
  <si>
    <t>Springhill Suites Boise ParkCenter</t>
  </si>
  <si>
    <t xml:space="preserve">424 E Parkcenter Blvd </t>
  </si>
  <si>
    <t>Boise</t>
  </si>
  <si>
    <t>Lisa Vincent</t>
  </si>
  <si>
    <t>Brian Strouf</t>
  </si>
  <si>
    <t>+ (208) 342-1044</t>
  </si>
  <si>
    <t>Hilton Garden Inn Seattle-Renton</t>
  </si>
  <si>
    <t xml:space="preserve">1801 East Valley Rd </t>
  </si>
  <si>
    <t>Renton</t>
  </si>
  <si>
    <t>Nick Gaspar</t>
  </si>
  <si>
    <t>Alysia Cantu</t>
  </si>
  <si>
    <t>+ (425) 430-1414</t>
  </si>
  <si>
    <t>TownePlace Suites Seattle Southcenter</t>
  </si>
  <si>
    <t xml:space="preserve">18123 72nd Avenue South </t>
  </si>
  <si>
    <t>Cristina Nickols</t>
  </si>
  <si>
    <t>Dominic Dewalt</t>
  </si>
  <si>
    <t>+ (253) 796-6000</t>
  </si>
  <si>
    <t>TownePlace Suites Seattle North</t>
  </si>
  <si>
    <t xml:space="preserve">8521 Mukilteo Speedway </t>
  </si>
  <si>
    <t>Quynh Pham</t>
  </si>
  <si>
    <t>Xiomara Andrews</t>
  </si>
  <si>
    <t>+ (425) 551-5900</t>
  </si>
  <si>
    <t>TownePlace Suites Hillsboro</t>
  </si>
  <si>
    <t xml:space="preserve">6550 Northeast Brighton Drive </t>
  </si>
  <si>
    <t>Andrea Edrenic</t>
  </si>
  <si>
    <t xml:space="preserve">Haley Antoine </t>
  </si>
  <si>
    <t>+ (503) 268-6000</t>
  </si>
  <si>
    <t>Residence Inn Boise</t>
  </si>
  <si>
    <t xml:space="preserve">1401 South Lusk Place </t>
  </si>
  <si>
    <t>Steve Rich</t>
  </si>
  <si>
    <t>+ (208) 344-1200</t>
  </si>
  <si>
    <t>Comfort Suites Near Stonebriar Mall</t>
  </si>
  <si>
    <t xml:space="preserve">4796 Memorial Drive </t>
  </si>
  <si>
    <t>The Colony</t>
  </si>
  <si>
    <t>Brian Ayers</t>
  </si>
  <si>
    <t>Shawn Soni</t>
  </si>
  <si>
    <t>+1 (972) 668-5555</t>
  </si>
  <si>
    <t>The Shay Destination Hotels</t>
  </si>
  <si>
    <t xml:space="preserve">8801 Washington Boulevard </t>
  </si>
  <si>
    <t>Ryan Parker</t>
  </si>
  <si>
    <t>Ascent on Main</t>
  </si>
  <si>
    <t xml:space="preserve">18595 Main Street </t>
  </si>
  <si>
    <t>Jeffrey Coyle</t>
  </si>
  <si>
    <t>+1 (720) 572-1910</t>
  </si>
  <si>
    <t>Royal St. Charles Hotel</t>
  </si>
  <si>
    <t xml:space="preserve">135 St. Charles Avenue </t>
  </si>
  <si>
    <t>Donald Carter</t>
  </si>
  <si>
    <t>Keith Williams</t>
  </si>
  <si>
    <t>+1 (504) 587-3700</t>
  </si>
  <si>
    <t>United Hospitality Inc.</t>
  </si>
  <si>
    <t>Quality Inn Arkadelphia - University Area</t>
  </si>
  <si>
    <t xml:space="preserve">136 Valley Street </t>
  </si>
  <si>
    <t>Dharmesh Patel</t>
  </si>
  <si>
    <t>+1 (870) 246-5592</t>
  </si>
  <si>
    <t>Homewood Suites Austin NW</t>
  </si>
  <si>
    <t xml:space="preserve">10925 Stonelake Boulevard </t>
  </si>
  <si>
    <t>Michael Guerrero</t>
  </si>
  <si>
    <t>Roxanna Castillo</t>
  </si>
  <si>
    <t>+1 (512)349-9966</t>
  </si>
  <si>
    <t>Sleep Inn &amp; Suites Columbia</t>
  </si>
  <si>
    <t xml:space="preserve">350 Dohoney Trace </t>
  </si>
  <si>
    <t>Susan Harvey</t>
  </si>
  <si>
    <t>+1 (270) 380-1200</t>
  </si>
  <si>
    <t>Wyvern Hospitality LLC</t>
  </si>
  <si>
    <t>The Wyvern Hotel Punta Gorda</t>
  </si>
  <si>
    <t xml:space="preserve">101 East Retta Esplanade </t>
  </si>
  <si>
    <t>Punta Gorda</t>
  </si>
  <si>
    <t>Melissa Melissa</t>
  </si>
  <si>
    <t>+1 (941) 639-7700</t>
  </si>
  <si>
    <t>Prahar Hospitality Management LLC</t>
  </si>
  <si>
    <t>Homewood Suites Covington</t>
  </si>
  <si>
    <t xml:space="preserve">101 Holiday Square Frontage Road </t>
  </si>
  <si>
    <t>Covington</t>
  </si>
  <si>
    <t>Haley Martin</t>
  </si>
  <si>
    <t>Phyllis Armstrong</t>
  </si>
  <si>
    <t>+1 (985) 809-6144</t>
  </si>
  <si>
    <t>Cambria Fort Lauderdale Beach</t>
  </si>
  <si>
    <t xml:space="preserve">2231 North Ocean Boulevard </t>
  </si>
  <si>
    <t>Kara Lundgren</t>
  </si>
  <si>
    <t>+1 (877) 424-6423</t>
  </si>
  <si>
    <t>Emerald Condominium Association</t>
  </si>
  <si>
    <t xml:space="preserve">121 Stewart Street </t>
  </si>
  <si>
    <t>Courtney Olinger</t>
  </si>
  <si>
    <t>+1 (206) 427-4406</t>
  </si>
  <si>
    <t xml:space="preserve">Fairfield Inn &amp; Suites Gulfport </t>
  </si>
  <si>
    <t xml:space="preserve">15151 Turkey Creek Drive </t>
  </si>
  <si>
    <t>Gulfport</t>
  </si>
  <si>
    <t>Nash Ahmed</t>
  </si>
  <si>
    <t>+1 (228) 822-9000</t>
  </si>
  <si>
    <t>International Hospitality Enterprises</t>
  </si>
  <si>
    <t>Hyatt House San Juan</t>
  </si>
  <si>
    <t>Avenida Fernandez Juncos Esq Boulevard Baldorioty de Castro Distrito de Convenciones</t>
  </si>
  <si>
    <t>Frankie Mariani</t>
  </si>
  <si>
    <t>+1 (787) 525-8280</t>
  </si>
  <si>
    <t>Hyatt Place Manati</t>
  </si>
  <si>
    <t xml:space="preserve">122 Carretera PR - 2 </t>
  </si>
  <si>
    <t>Manati</t>
  </si>
  <si>
    <t>+(787) 854-1000</t>
  </si>
  <si>
    <t>Hyatt Place San Juan Bayamon</t>
  </si>
  <si>
    <t xml:space="preserve">1560 Ave. Comerio </t>
  </si>
  <si>
    <t>Bayamon</t>
  </si>
  <si>
    <t>+1 (787) 779-5000</t>
  </si>
  <si>
    <t>Hyatt Place San Juan</t>
  </si>
  <si>
    <t>Avenida Fernandex Juncos 580 Distrito De Convenciones</t>
  </si>
  <si>
    <t>Gisela Rivera</t>
  </si>
  <si>
    <t>+1 (787) 721-3000</t>
  </si>
  <si>
    <t>Kodak Hospitality LLC</t>
  </si>
  <si>
    <t>Holiday Inn Express Kodak East-Sevierville</t>
  </si>
  <si>
    <t xml:space="preserve">3526 Outdoor World Drive </t>
  </si>
  <si>
    <t>Kodak</t>
  </si>
  <si>
    <t>Becky Schroeder</t>
  </si>
  <si>
    <t>Angela Pitts</t>
  </si>
  <si>
    <t>+1 (865) 933-0087</t>
  </si>
  <si>
    <t>Super 8 Mobile I-65 (Dual Property)</t>
  </si>
  <si>
    <t xml:space="preserve">700 West I-65 Service Road South </t>
  </si>
  <si>
    <t>Mobile</t>
  </si>
  <si>
    <t>Hiral Patel</t>
  </si>
  <si>
    <t>+1 (706) 512-0957</t>
  </si>
  <si>
    <t>Embassy Suites by Hilton Winston Salem</t>
  </si>
  <si>
    <t xml:space="preserve">460 North Cherry Street </t>
  </si>
  <si>
    <t>Ron Mader</t>
  </si>
  <si>
    <t>Yvette Wesley</t>
  </si>
  <si>
    <t>+1 (336) 724-2300</t>
  </si>
  <si>
    <t>The Burgess Hotel</t>
  </si>
  <si>
    <t xml:space="preserve">3600 Piedmont Road Northeast </t>
  </si>
  <si>
    <t>Anita Paas</t>
  </si>
  <si>
    <t>Gerson Velasquez</t>
  </si>
  <si>
    <t>+1 (404) 869-1100</t>
  </si>
  <si>
    <t>Hotel Morgan</t>
  </si>
  <si>
    <t xml:space="preserve">127 High Street </t>
  </si>
  <si>
    <t>Everettville</t>
  </si>
  <si>
    <t>+1 (843) 412-2651</t>
  </si>
  <si>
    <t>Residence Inn Portland Happy Valley</t>
  </si>
  <si>
    <t xml:space="preserve">9191 SE Sunnyside Road </t>
  </si>
  <si>
    <t>Happy Valley</t>
  </si>
  <si>
    <t>Hampton Inn Round Rock</t>
  </si>
  <si>
    <t xml:space="preserve">110 Dell Way </t>
  </si>
  <si>
    <t>Jennifer Prince</t>
  </si>
  <si>
    <t>+1(512) 248-9100</t>
  </si>
  <si>
    <t>Home2 Suites Nashville</t>
  </si>
  <si>
    <t xml:space="preserve">1800 Division Street </t>
  </si>
  <si>
    <t>Justin Byler</t>
  </si>
  <si>
    <t>+1 (615) 254-2170</t>
  </si>
  <si>
    <t>Homewood Suites Round Rock</t>
  </si>
  <si>
    <t xml:space="preserve">2201 South Mays </t>
  </si>
  <si>
    <t>Jermar Smith</t>
  </si>
  <si>
    <t>+1 (512) 341-9200</t>
  </si>
  <si>
    <t>Hilton Garden Inn Nashville Vanderbilt</t>
  </si>
  <si>
    <t xml:space="preserve">1715 Broadway Avenue </t>
  </si>
  <si>
    <t>Michael Samuels</t>
  </si>
  <si>
    <t>+1 (615) 369-5900</t>
  </si>
  <si>
    <t>Hampton Inn Austin NW</t>
  </si>
  <si>
    <t xml:space="preserve">3908 West Braker Lane </t>
  </si>
  <si>
    <t>Diana Guzman</t>
  </si>
  <si>
    <t>+1 (512) 349-9898</t>
  </si>
  <si>
    <t>Hana Maui Resort</t>
  </si>
  <si>
    <t xml:space="preserve">5031 Hana Highway </t>
  </si>
  <si>
    <t>Hana</t>
  </si>
  <si>
    <t>Jon Benson</t>
  </si>
  <si>
    <t>Marni Aina</t>
  </si>
  <si>
    <t>+1 (808) 270-3258</t>
  </si>
  <si>
    <t>Staybridge Suites Omaha 80th and Dodge</t>
  </si>
  <si>
    <t xml:space="preserve">7825 Davenport Street </t>
  </si>
  <si>
    <t>Anjanette Mercer</t>
  </si>
  <si>
    <t>+1 (402) 933-8901</t>
  </si>
  <si>
    <t>Courtyard Shippensburg</t>
  </si>
  <si>
    <t xml:space="preserve">503 Newburg Road </t>
  </si>
  <si>
    <t>Shippensburg</t>
  </si>
  <si>
    <t>Bill Walsh</t>
  </si>
  <si>
    <t>+1 (717) 477-0680</t>
  </si>
  <si>
    <t>Moxy Austin University</t>
  </si>
  <si>
    <t xml:space="preserve">2552 Guadalupe Street </t>
  </si>
  <si>
    <t>Lynn Snyder</t>
  </si>
  <si>
    <t>Michelle VanDiver</t>
  </si>
  <si>
    <t>+1 (737) 471-2621</t>
  </si>
  <si>
    <t>Residence Inn New York JFK Airport</t>
  </si>
  <si>
    <t xml:space="preserve">142-30 135th Avenue </t>
  </si>
  <si>
    <t>Sean Michael Applewhaite</t>
  </si>
  <si>
    <t>+1 (718) 322-3113</t>
  </si>
  <si>
    <t>Marriott Owings Mills Metro Centre Hotel &amp; Conference Center</t>
  </si>
  <si>
    <t xml:space="preserve">10101 Grand Central Avenue </t>
  </si>
  <si>
    <t>Owings Mills</t>
  </si>
  <si>
    <t xml:space="preserve">Kevin Keogan </t>
  </si>
  <si>
    <t>Ashlyn Pulvermiller</t>
  </si>
  <si>
    <t>+1 (410) 363-3434</t>
  </si>
  <si>
    <t>Deinsa Desarrollos Inmobiliarios</t>
  </si>
  <si>
    <t>Tegucigalpa Hotel</t>
  </si>
  <si>
    <t xml:space="preserve">Boulevard Juan Pablo Segundo Tegucigalpa </t>
  </si>
  <si>
    <t>Tegucigalpa</t>
  </si>
  <si>
    <t>HON</t>
  </si>
  <si>
    <t>Honduras</t>
  </si>
  <si>
    <t>Gabriel Garcia</t>
  </si>
  <si>
    <t>Leonel Cubas</t>
  </si>
  <si>
    <t>+1 (504) 232-0033</t>
  </si>
  <si>
    <t>Homewood Suites Flamingo Crossing</t>
  </si>
  <si>
    <t xml:space="preserve">411 Flagler Avenue </t>
  </si>
  <si>
    <t>Winter Garden</t>
  </si>
  <si>
    <t>David Cron</t>
  </si>
  <si>
    <t>+1 (407) 993-3011</t>
  </si>
  <si>
    <t>Home2 Suites Flamingo Crossing</t>
  </si>
  <si>
    <t xml:space="preserve">341 Flagler Avenue </t>
  </si>
  <si>
    <t>+1 (407) 993-3999</t>
  </si>
  <si>
    <t>Fairfield Inn &amp; Suites Orlando Flamingo Crossing - Western Entrance</t>
  </si>
  <si>
    <t xml:space="preserve">631 Flagler Avenue </t>
  </si>
  <si>
    <t>Timothy Whitehead</t>
  </si>
  <si>
    <t>+1 (407) 993-9200</t>
  </si>
  <si>
    <t>Residence Inn Orlando Flamingo Crossing - Western Entrance</t>
  </si>
  <si>
    <t xml:space="preserve">2111 Flagler Avenue </t>
  </si>
  <si>
    <t>+1 (407) 993-3233</t>
  </si>
  <si>
    <t>Fairfield Inn &amp; Suites Homestead Florida City</t>
  </si>
  <si>
    <t xml:space="preserve">60 Southwest 352 Street </t>
  </si>
  <si>
    <t>Florida City</t>
  </si>
  <si>
    <t>+1(786) 758-4770</t>
  </si>
  <si>
    <t>Ramada Grand Dakota Hotel Dickinson</t>
  </si>
  <si>
    <t xml:space="preserve">532 15th Street West </t>
  </si>
  <si>
    <t>Dickinson</t>
  </si>
  <si>
    <t>58601-2913</t>
  </si>
  <si>
    <t>Elaine Myran</t>
  </si>
  <si>
    <t>+1 (701) 483-5600</t>
  </si>
  <si>
    <t>Capital Circle Properties LLC</t>
  </si>
  <si>
    <t>TownePlace Suites Tallahassee</t>
  </si>
  <si>
    <t xml:space="preserve">1876 Capital Circle NE </t>
  </si>
  <si>
    <t>Kervin Lassiter</t>
  </si>
  <si>
    <t>+ (850) 219-0122</t>
  </si>
  <si>
    <t>Nightstar Lodging LLC</t>
  </si>
  <si>
    <t>Holiday Inn Express &amp; Suites Sylva - Western Carolina Area</t>
  </si>
  <si>
    <t xml:space="preserve">26 Rufus Robinson Road </t>
  </si>
  <si>
    <t>Sylva</t>
  </si>
  <si>
    <t>Caroline Powers</t>
  </si>
  <si>
    <t>+1 (828) 631-1111</t>
  </si>
  <si>
    <t>Quality Inn Sylva</t>
  </si>
  <si>
    <t xml:space="preserve">2807 US 74 E </t>
  </si>
  <si>
    <t>Carolyn Anders</t>
  </si>
  <si>
    <t>+1 (828) 586-3315</t>
  </si>
  <si>
    <t>Microtel Inn and Suites Sylva-Dillsboro</t>
  </si>
  <si>
    <t xml:space="preserve">89 Rufus Robinson Road </t>
  </si>
  <si>
    <t>Dustin Woods</t>
  </si>
  <si>
    <t>+1 (828) 586-0009</t>
  </si>
  <si>
    <t>Best Western Plus River Escape Inn &amp; Suites</t>
  </si>
  <si>
    <t xml:space="preserve">248 WBI Drive </t>
  </si>
  <si>
    <t>Dillsboro</t>
  </si>
  <si>
    <t>Meredith Lawrence</t>
  </si>
  <si>
    <t>+1 (828) 586-6060</t>
  </si>
  <si>
    <t>San Diego Mission Bay Resort</t>
  </si>
  <si>
    <t xml:space="preserve">1775 East Mission Bay Drive </t>
  </si>
  <si>
    <t>Jason Moll</t>
  </si>
  <si>
    <t>+1 (619) 276-4010</t>
  </si>
  <si>
    <t xml:space="preserve">VASHU-KINU HARDEEVILLE LLC </t>
  </si>
  <si>
    <t>Best Western Plus Hardeeville</t>
  </si>
  <si>
    <t xml:space="preserve">18102 Whyte Hardee Blvd </t>
  </si>
  <si>
    <t>Keta Patel</t>
  </si>
  <si>
    <t>+1 (843) 540-3733</t>
  </si>
  <si>
    <t>Comfort Inn and Suites Bryant</t>
  </si>
  <si>
    <t xml:space="preserve">209 W. Commerce DR </t>
  </si>
  <si>
    <t>Bryant</t>
  </si>
  <si>
    <t>Tejas Rohant</t>
  </si>
  <si>
    <t>+1 (501) 653-4000</t>
  </si>
  <si>
    <t>Fairfield Inn &amp; Suites San Francisco Pacifica</t>
  </si>
  <si>
    <t xml:space="preserve">500 Old Country Road </t>
  </si>
  <si>
    <t>Pacifica</t>
  </si>
  <si>
    <t>Andrew Roseman</t>
  </si>
  <si>
    <t>+1 (650) 355-5000</t>
  </si>
  <si>
    <t>Hampton Inn &amp; Suites Boynton Beach</t>
  </si>
  <si>
    <t xml:space="preserve">1475 West Gateway Hospitality Blvd </t>
  </si>
  <si>
    <t>Boynton Beach</t>
  </si>
  <si>
    <t>Michael Paulino</t>
  </si>
  <si>
    <t>+ (561) 369-0018</t>
  </si>
  <si>
    <t>Hampton Inn West Palm Beach</t>
  </si>
  <si>
    <t xml:space="preserve">2025 Vista Parkway </t>
  </si>
  <si>
    <t>Ollie Moses</t>
  </si>
  <si>
    <t>+1 (561) 682-9990</t>
  </si>
  <si>
    <t>Hampton Inn Deerfield Beach</t>
  </si>
  <si>
    <t xml:space="preserve">660 West Hillsboro Boulevard </t>
  </si>
  <si>
    <t>Deerfield Beach</t>
  </si>
  <si>
    <t>Melissa Robinson</t>
  </si>
  <si>
    <t>+1 (954) 481-1221</t>
  </si>
  <si>
    <t>Hampton Inn Palm Beach Gardens</t>
  </si>
  <si>
    <t xml:space="preserve">4001 RCA Boulevard </t>
  </si>
  <si>
    <t>Palm Beach Gardens</t>
  </si>
  <si>
    <t>Richard D'Agostino</t>
  </si>
  <si>
    <t>+1 (561) 625-8880</t>
  </si>
  <si>
    <t>Blackhawk Country Club LLC</t>
  </si>
  <si>
    <t>Blackhawk Country Club (CA)</t>
  </si>
  <si>
    <t xml:space="preserve">599 Blackhawk Club Dr </t>
  </si>
  <si>
    <t>Danville</t>
  </si>
  <si>
    <t>Kerry Donohue</t>
  </si>
  <si>
    <t>+(925)736-6500</t>
  </si>
  <si>
    <t>Hampton Inn Boca Raton</t>
  </si>
  <si>
    <t xml:space="preserve">1455 Yamato Road </t>
  </si>
  <si>
    <t>Challin Logan</t>
  </si>
  <si>
    <t>+1 (561) 988-0200</t>
  </si>
  <si>
    <t>Lexington Hospitality</t>
  </si>
  <si>
    <t>Holiday Inn Columbia Downtown</t>
  </si>
  <si>
    <t xml:space="preserve">1233 Washington St. </t>
  </si>
  <si>
    <t>Jesse Broome</t>
  </si>
  <si>
    <t>+(803)205-4950</t>
  </si>
  <si>
    <t>Rosewood Miramar Beach</t>
  </si>
  <si>
    <t xml:space="preserve">1759 S Jameson Ln </t>
  </si>
  <si>
    <t>Richard Fidel</t>
  </si>
  <si>
    <t>+1 (805) 900-8388</t>
  </si>
  <si>
    <t>La Playa Beach &amp; Golf Resort</t>
  </si>
  <si>
    <t xml:space="preserve">9891 Gulf Shore Drive </t>
  </si>
  <si>
    <t>Tim Herman</t>
  </si>
  <si>
    <t>Martin Diehr</t>
  </si>
  <si>
    <t>+1 (239) 597-3123</t>
  </si>
  <si>
    <t>Hyatt Regency Buffalo</t>
  </si>
  <si>
    <t xml:space="preserve">2 Fountain Plaza </t>
  </si>
  <si>
    <t>Buffalo</t>
  </si>
  <si>
    <t>John O'Connell</t>
  </si>
  <si>
    <t>+ (716) 856-1234</t>
  </si>
  <si>
    <t>Comfort Suites Lexington</t>
  </si>
  <si>
    <t xml:space="preserve">325 W Main St. </t>
  </si>
  <si>
    <t>Curtis Steffey</t>
  </si>
  <si>
    <t>+1 (843) 491-4192</t>
  </si>
  <si>
    <t>Aloft Columbia Downtown</t>
  </si>
  <si>
    <t xml:space="preserve">823 Lady Street </t>
  </si>
  <si>
    <t>Jennifer Bolling</t>
  </si>
  <si>
    <t>+1 (803) 445-1900</t>
  </si>
  <si>
    <t>Holiday Inn Express &amp; Suites Beeville</t>
  </si>
  <si>
    <t xml:space="preserve">2199 Highway 59 East </t>
  </si>
  <si>
    <t>Beeville</t>
  </si>
  <si>
    <t>Sabrina Maldonado</t>
  </si>
  <si>
    <t>+1 (361) 358-7300</t>
  </si>
  <si>
    <t>AIL Management Group LLC</t>
  </si>
  <si>
    <t xml:space="preserve">Ramada by Wyndham Clarion </t>
  </si>
  <si>
    <t xml:space="preserve">45 Holiday Inn Road </t>
  </si>
  <si>
    <t>Elisha Sowa</t>
  </si>
  <si>
    <t>+1 (814) 324-9044</t>
  </si>
  <si>
    <t>Ramada by Wyndham Indiana</t>
  </si>
  <si>
    <t xml:space="preserve">1395 Wayne Avenue </t>
  </si>
  <si>
    <t>Indiana</t>
  </si>
  <si>
    <t>Jennifer Anderson</t>
  </si>
  <si>
    <t>+1 (724) 463-3561</t>
  </si>
  <si>
    <t>Element Atlanta Buckhead</t>
  </si>
  <si>
    <t xml:space="preserve">3491 Piedmont Road Northeast </t>
  </si>
  <si>
    <t>Chase Masri</t>
  </si>
  <si>
    <t>+1(470) 567-9955</t>
  </si>
  <si>
    <t xml:space="preserve">Lakeview Golf Resort Trademark Collection by Wyndham </t>
  </si>
  <si>
    <t xml:space="preserve">1 Lakeview Drive </t>
  </si>
  <si>
    <t>Morgantown</t>
  </si>
  <si>
    <t>+1 (304) 594-1111</t>
  </si>
  <si>
    <t>Wyndham Cleveland Airport</t>
  </si>
  <si>
    <t xml:space="preserve">4277 West 150th Street </t>
  </si>
  <si>
    <t>Qadeer Adil</t>
  </si>
  <si>
    <t>+1 (216) 252-5333</t>
  </si>
  <si>
    <t>Ramada by Wyndham Beaver Falls</t>
  </si>
  <si>
    <t xml:space="preserve">7195 Eastwood Road </t>
  </si>
  <si>
    <t>Beaver Falls</t>
  </si>
  <si>
    <t>Lisa Cunning</t>
  </si>
  <si>
    <t>+1 (724) 846-3700</t>
  </si>
  <si>
    <t>Island Inn &amp; Suites Ascend Hotel Collection</t>
  </si>
  <si>
    <t xml:space="preserve">16810 Piney Point Road </t>
  </si>
  <si>
    <t>Piney Point</t>
  </si>
  <si>
    <t>Kim Medeiros</t>
  </si>
  <si>
    <t>+1 (301) 994-1234</t>
  </si>
  <si>
    <t>Motel 6 Lexington Park MD</t>
  </si>
  <si>
    <t xml:space="preserve">21847 Three Notch Road </t>
  </si>
  <si>
    <t>Lexington Park</t>
  </si>
  <si>
    <t>Shahid Latiff</t>
  </si>
  <si>
    <t>Rosemary Ury</t>
  </si>
  <si>
    <t>+1 (301) 863-6666</t>
  </si>
  <si>
    <t>Radisson Hotel Washington DC - Rockville</t>
  </si>
  <si>
    <t xml:space="preserve">3 Research Court </t>
  </si>
  <si>
    <t>Gerard Folly</t>
  </si>
  <si>
    <t>+1 (301) 840-0200</t>
  </si>
  <si>
    <t xml:space="preserve">Sleep Inn Rockville </t>
  </si>
  <si>
    <t xml:space="preserve">2 Research Court </t>
  </si>
  <si>
    <t>Miguel Gonzalez</t>
  </si>
  <si>
    <t>+1 (301) 948-8000</t>
  </si>
  <si>
    <t>Days Inn by Wyndham Warren</t>
  </si>
  <si>
    <t xml:space="preserve">210 Ludlow Street </t>
  </si>
  <si>
    <t>Troy Stewart</t>
  </si>
  <si>
    <t>+1(814) 726-3000</t>
  </si>
  <si>
    <t>GrandStay Delano</t>
  </si>
  <si>
    <t xml:space="preserve">395 13th Street South </t>
  </si>
  <si>
    <t>Delano</t>
  </si>
  <si>
    <t>GrandStay Hotel &amp; Suites</t>
  </si>
  <si>
    <t>Heather Bahn</t>
  </si>
  <si>
    <t>+1 (763) 972-4303</t>
  </si>
  <si>
    <t>Comfort Inn &amp; Suites White Settlement</t>
  </si>
  <si>
    <t xml:space="preserve">7801 Scott Street </t>
  </si>
  <si>
    <t>White Settlement</t>
  </si>
  <si>
    <t>+1 (817) 246-2402</t>
  </si>
  <si>
    <t>Hotel Maren a Curio Collection by Hilton</t>
  </si>
  <si>
    <t xml:space="preserve">550 Seabreeze Boulevard </t>
  </si>
  <si>
    <t>Stuart Levy</t>
  </si>
  <si>
    <t>James Wise</t>
  </si>
  <si>
    <t>+(954)524-9595</t>
  </si>
  <si>
    <t>Essence Hotel Management Group Inc.</t>
  </si>
  <si>
    <t>Fairfield Inn &amp; Suites Tacoma DuPont</t>
  </si>
  <si>
    <t xml:space="preserve">1515 Wilmington Drive </t>
  </si>
  <si>
    <t>Dupont</t>
  </si>
  <si>
    <t>Kim Harris</t>
  </si>
  <si>
    <t>The Westin Chattanooga</t>
  </si>
  <si>
    <t xml:space="preserve">801 Pine Street </t>
  </si>
  <si>
    <t>Charles Phillips</t>
  </si>
  <si>
    <t>+1 (423) 531-4653</t>
  </si>
  <si>
    <t>Hotel Indigo Chattanooga - Downtown</t>
  </si>
  <si>
    <t xml:space="preserve">300 West 6th Street </t>
  </si>
  <si>
    <t>Peter Kartanos</t>
  </si>
  <si>
    <t>+1 (423) 417-1711</t>
  </si>
  <si>
    <t>Hotel Zoe Fisherman's Wharf</t>
  </si>
  <si>
    <t xml:space="preserve">425 North Point Street </t>
  </si>
  <si>
    <t>Stefan Muhle</t>
  </si>
  <si>
    <t>Mary Arellano</t>
  </si>
  <si>
    <t>+1 (415) 561-1100</t>
  </si>
  <si>
    <t>Residence Inn Moncton</t>
  </si>
  <si>
    <t xml:space="preserve">600 Main Street </t>
  </si>
  <si>
    <t>E1C 0M6</t>
  </si>
  <si>
    <t>May Lee Roberts</t>
  </si>
  <si>
    <t>+(506) 854-7100</t>
  </si>
  <si>
    <t>L'Auberge Del Mar</t>
  </si>
  <si>
    <t xml:space="preserve">1540 Camino Del Mar </t>
  </si>
  <si>
    <t>Del Mar</t>
  </si>
  <si>
    <t>Robert Gregson</t>
  </si>
  <si>
    <t>+1 (858) 259-1515</t>
  </si>
  <si>
    <t>Greenwich Country Club Inc.</t>
  </si>
  <si>
    <t>Greenwich Country Club</t>
  </si>
  <si>
    <t xml:space="preserve">19 Doubling Road </t>
  </si>
  <si>
    <t>Greenwich</t>
  </si>
  <si>
    <t>Keith Armstrong</t>
  </si>
  <si>
    <t>+1 (203) 869-1000</t>
  </si>
  <si>
    <t>Argonaut Hotel</t>
  </si>
  <si>
    <t xml:space="preserve">495 Jefferson Street at Hyde </t>
  </si>
  <si>
    <t>+1 (415) 563-0800</t>
  </si>
  <si>
    <t>Hilton Garden Inn Winston-Salem</t>
  </si>
  <si>
    <t xml:space="preserve">1325 Creekshire Way </t>
  </si>
  <si>
    <t>Griffin Hornsby</t>
  </si>
  <si>
    <t>Rueben West</t>
  </si>
  <si>
    <t>+1 (336) 765-1298</t>
  </si>
  <si>
    <t>Doubletree Canton Downtown</t>
  </si>
  <si>
    <t xml:space="preserve">320 Market Avenue South </t>
  </si>
  <si>
    <t>Chad Cuddy</t>
  </si>
  <si>
    <t>+1 (330) 471-8000</t>
  </si>
  <si>
    <t>Hyatt Place Ottawa West</t>
  </si>
  <si>
    <t xml:space="preserve">300 Moodie Drive </t>
  </si>
  <si>
    <t>Nepean</t>
  </si>
  <si>
    <t>K2H 9G1</t>
  </si>
  <si>
    <t>Alison Hunter</t>
  </si>
  <si>
    <t>+()1 613 702 9800</t>
  </si>
  <si>
    <t>Excel Hotel Group Inc.</t>
  </si>
  <si>
    <t>Hampton Inn El Cajon</t>
  </si>
  <si>
    <t xml:space="preserve">100 Fletcher Parkway </t>
  </si>
  <si>
    <t>Rose Fierro</t>
  </si>
  <si>
    <t>+1 (619) 312-0091</t>
  </si>
  <si>
    <t>Hyatt Place Bakersfield</t>
  </si>
  <si>
    <t xml:space="preserve">310 Coffee Road </t>
  </si>
  <si>
    <t>Karl Whitnall</t>
  </si>
  <si>
    <t>Malicka Almansoob</t>
  </si>
  <si>
    <t>+()661-885-6300</t>
  </si>
  <si>
    <t>SpringHill Suites Escondido Downtown</t>
  </si>
  <si>
    <t xml:space="preserve">200 La Terraza Boulevard </t>
  </si>
  <si>
    <t>Chuck Ault</t>
  </si>
  <si>
    <t>Sophia Anderson</t>
  </si>
  <si>
    <t>+1(442)286-8100</t>
  </si>
  <si>
    <t>Towneplace Suites San Diego Central</t>
  </si>
  <si>
    <t xml:space="preserve">8650 Tech Way </t>
  </si>
  <si>
    <t>Rachel Andrews</t>
  </si>
  <si>
    <t>Steve Chelew</t>
  </si>
  <si>
    <t>+1(858) 737-9500</t>
  </si>
  <si>
    <t>SpringHill Suites Huntington Beach Orange County</t>
  </si>
  <si>
    <t xml:space="preserve">7872 Edinger Avenue </t>
  </si>
  <si>
    <t>Huntington Beach</t>
  </si>
  <si>
    <t>Bill Wright</t>
  </si>
  <si>
    <t>Michael Flowers</t>
  </si>
  <si>
    <t>+1 (657) 200-7500</t>
  </si>
  <si>
    <t>Courtyard San Diego El Cajon</t>
  </si>
  <si>
    <t xml:space="preserve">141 North Magnolia Avenue </t>
  </si>
  <si>
    <t>Juan Alarid</t>
  </si>
  <si>
    <t>Marcia Provo</t>
  </si>
  <si>
    <t>+1 (619) 334-6999</t>
  </si>
  <si>
    <t>Homewood Suites San Diego Central</t>
  </si>
  <si>
    <t xml:space="preserve">9880 Mira Mesa Boulevard </t>
  </si>
  <si>
    <t>Khalat Taha</t>
  </si>
  <si>
    <t>+1 (858) 530-2000</t>
  </si>
  <si>
    <t>Howard Johnson Inn San Diego Sea World</t>
  </si>
  <si>
    <t xml:space="preserve">3330 Rosecrans Street </t>
  </si>
  <si>
    <t>+1 (619) 224-8266</t>
  </si>
  <si>
    <t>Holiday Inn Express San Diego South-National City</t>
  </si>
  <si>
    <t xml:space="preserve">1645 East Plaza Boulevard </t>
  </si>
  <si>
    <t>National City</t>
  </si>
  <si>
    <t>+1 (619) 474-2400</t>
  </si>
  <si>
    <t>Hampton Inn Morgan Hill</t>
  </si>
  <si>
    <t>16115 Condit Road Highway 101 &amp; Tennant</t>
  </si>
  <si>
    <t>Morgan Hill</t>
  </si>
  <si>
    <t>+1 (408) 779-7666</t>
  </si>
  <si>
    <t>Comfort Inn Chula Vista San Diego South</t>
  </si>
  <si>
    <t xml:space="preserve">91 East Bonita Road </t>
  </si>
  <si>
    <t>Chula Vista</t>
  </si>
  <si>
    <t xml:space="preserve">Reyna Finch </t>
  </si>
  <si>
    <t>+1 (619) 425-9999</t>
  </si>
  <si>
    <t>Fairfield Inn &amp; Suites San Diego Carlsbad</t>
  </si>
  <si>
    <t xml:space="preserve">1929 Palomar Oaks Way </t>
  </si>
  <si>
    <t>Beau Desjardin</t>
  </si>
  <si>
    <t>+1 (760) 579-0155</t>
  </si>
  <si>
    <t>Fairfield Inn &amp; Suites Riverside Corona Norco</t>
  </si>
  <si>
    <t xml:space="preserve">3441 Hamner Avenue </t>
  </si>
  <si>
    <t>Norco</t>
  </si>
  <si>
    <t>Wendy Crenshaw</t>
  </si>
  <si>
    <t>+1 (951) 340-4500</t>
  </si>
  <si>
    <t>Baymont Inn &amp; Suites Denver International Airport</t>
  </si>
  <si>
    <t xml:space="preserve">6805 North Argonne Street </t>
  </si>
  <si>
    <t>Nicole Herrera</t>
  </si>
  <si>
    <t>+1 (303) 373-5400</t>
  </si>
  <si>
    <t>Holiday Inn Express San Diego Mira Mesa</t>
  </si>
  <si>
    <t xml:space="preserve">9888 Mira Mesa Boulevard </t>
  </si>
  <si>
    <t>Anthony Belisle</t>
  </si>
  <si>
    <t>+1 (858) 635-5566</t>
  </si>
  <si>
    <t>Holiday Inn Express &amp; Suites Santa Clarita</t>
  </si>
  <si>
    <t xml:space="preserve">27513 Wayne Mills Place </t>
  </si>
  <si>
    <t>Karina Winkler</t>
  </si>
  <si>
    <t>Kendra Hines</t>
  </si>
  <si>
    <t>+1 (661) 284-2101</t>
  </si>
  <si>
    <t>Holiday Inn Express San Diego SeaWorld-Beach Area</t>
  </si>
  <si>
    <t xml:space="preserve">4540 Mission Bay Drive </t>
  </si>
  <si>
    <t>Maria Rebollar</t>
  </si>
  <si>
    <t>+1 (858) 274-7888</t>
  </si>
  <si>
    <t>Best Western San Diego Miramar</t>
  </si>
  <si>
    <t xml:space="preserve">9310 Kearny Mesa Rd </t>
  </si>
  <si>
    <t>Sebastian Goldberg</t>
  </si>
  <si>
    <t>+1 (858) 578-6600</t>
  </si>
  <si>
    <t>Holiday Inn Express &amp; Suites San Diego-Sorrento Valley</t>
  </si>
  <si>
    <t xml:space="preserve">5925 Lusk Boulevard </t>
  </si>
  <si>
    <t>Elisa Santos</t>
  </si>
  <si>
    <t>+1 (858) 731-0100</t>
  </si>
  <si>
    <t>Best Western Chula Vista Otay</t>
  </si>
  <si>
    <t xml:space="preserve">4450 Main Street </t>
  </si>
  <si>
    <t>Victor Carrera</t>
  </si>
  <si>
    <t>+1 (619) 422-2600</t>
  </si>
  <si>
    <t>La Quinta Inn San Diego Old Town Airport</t>
  </si>
  <si>
    <t xml:space="preserve">2380 Moore Street </t>
  </si>
  <si>
    <t>Manu Patel</t>
  </si>
  <si>
    <t>+1 (619) 291-9100</t>
  </si>
  <si>
    <t>Cobblestone Hotel &amp; Suites - Cozad</t>
  </si>
  <si>
    <t xml:space="preserve">805 York Drive </t>
  </si>
  <si>
    <t>Cozad</t>
  </si>
  <si>
    <t>Shawnie Lovell</t>
  </si>
  <si>
    <t>+1 (308) 784-3700</t>
  </si>
  <si>
    <t>JRC Consolidated Inc.</t>
  </si>
  <si>
    <t>Aloft Ponce</t>
  </si>
  <si>
    <t xml:space="preserve">Street Num. 2 Ave. Santiago Los Caballeros KM 229.8 Ponce </t>
  </si>
  <si>
    <t>Bda Ext mariani</t>
  </si>
  <si>
    <t>Alexandra Diaz</t>
  </si>
  <si>
    <t>Christian Nieves</t>
  </si>
  <si>
    <t>+1(939) 209-3838</t>
  </si>
  <si>
    <t>Residence Inn Sedona</t>
  </si>
  <si>
    <t xml:space="preserve">4055 West State Route 89A </t>
  </si>
  <si>
    <t>Jill Meixueiro</t>
  </si>
  <si>
    <t>Amanda Mcdougle</t>
  </si>
  <si>
    <t>+1 (928) 239-7470</t>
  </si>
  <si>
    <t>Best Western Plus Desoto</t>
  </si>
  <si>
    <t xml:space="preserve">7904 Craft Goodman Frontage Road </t>
  </si>
  <si>
    <t>Mineral Wells</t>
  </si>
  <si>
    <t>Eugene Perez</t>
  </si>
  <si>
    <t>+1 (662) 932-7110</t>
  </si>
  <si>
    <t>Hilton Garden Inn Kansas City Kansas</t>
  </si>
  <si>
    <t xml:space="preserve">520 Minnesota Avenue </t>
  </si>
  <si>
    <t>Cynthia Jones</t>
  </si>
  <si>
    <t>Renee Hadley</t>
  </si>
  <si>
    <t>+1 (913) 342-7900</t>
  </si>
  <si>
    <t>Holiday Inn Hotel &amp; Suites Cincinnati-Eastgate (I-275e)</t>
  </si>
  <si>
    <t xml:space="preserve">4501 Eastgate Boulevard </t>
  </si>
  <si>
    <t>Michael Scaffidi</t>
  </si>
  <si>
    <t>+1 (513) 752-4400</t>
  </si>
  <si>
    <t>Grand Prairie Hotels LLC</t>
  </si>
  <si>
    <t>Courtyard Dallas Grand Prairie</t>
  </si>
  <si>
    <t xml:space="preserve">2850 South State Highway 161 </t>
  </si>
  <si>
    <t>Katrina Leavitt</t>
  </si>
  <si>
    <t>+1 (972) 807-5500</t>
  </si>
  <si>
    <t>Homewood Suites Gateway Hills Nashua</t>
  </si>
  <si>
    <t xml:space="preserve">15 Tara Boulevard </t>
  </si>
  <si>
    <t>Nashua</t>
  </si>
  <si>
    <t>Adam Robitaille</t>
  </si>
  <si>
    <t>Bijay Singh</t>
  </si>
  <si>
    <t>+1 (603) 546-7470</t>
  </si>
  <si>
    <t>CR Resorts LLC</t>
  </si>
  <si>
    <t>Canyon Ranch SpaClub in Las Vegas</t>
  </si>
  <si>
    <t>3355 South Las Vegas Boulevard #1159</t>
  </si>
  <si>
    <t>Deirdre Strunk</t>
  </si>
  <si>
    <t>Mark Bodnar</t>
  </si>
  <si>
    <t>+1 (702) 414-3606</t>
  </si>
  <si>
    <t>Y Hotel Master Tenant LLC</t>
  </si>
  <si>
    <t>Ace Hotel Pittsburgh</t>
  </si>
  <si>
    <t xml:space="preserve">120 South Whitfield Street </t>
  </si>
  <si>
    <t>Kyle Southerlin</t>
  </si>
  <si>
    <t>+1 (412) 361-3300</t>
  </si>
  <si>
    <t>Holiday Inn Express Lady Lake</t>
  </si>
  <si>
    <t xml:space="preserve">1205 Avenida Center North </t>
  </si>
  <si>
    <t>Lady Lake</t>
  </si>
  <si>
    <t>Brittany Jackson</t>
  </si>
  <si>
    <t>+1 (352) 750-3888</t>
  </si>
  <si>
    <t>Holiday Inn Express Pittsburgh North Shore</t>
  </si>
  <si>
    <t xml:space="preserve">228 Federal Street </t>
  </si>
  <si>
    <t>+1 (412) 323-0300</t>
  </si>
  <si>
    <t>NewcrestImage - HQ</t>
  </si>
  <si>
    <t>1785 State Highway 26 Suite 400</t>
  </si>
  <si>
    <t>Mital Patel</t>
  </si>
  <si>
    <t>+1 (214) 618-5320</t>
  </si>
  <si>
    <t>Renaissance Baltimore Harborplace Hotel</t>
  </si>
  <si>
    <t xml:space="preserve">202 East Pratt Street </t>
  </si>
  <si>
    <t>Chris Madoo</t>
  </si>
  <si>
    <t>Pamela Saleh</t>
  </si>
  <si>
    <t>(410) 547-1200</t>
  </si>
  <si>
    <t>Palace Hotels LLC</t>
  </si>
  <si>
    <t>Holiday Inn Maumee</t>
  </si>
  <si>
    <t xml:space="preserve">1705 Tollgate Dr. </t>
  </si>
  <si>
    <t>Maumee</t>
  </si>
  <si>
    <t>Mike Desai</t>
  </si>
  <si>
    <t>+1 (419) 482-7777</t>
  </si>
  <si>
    <t>Alpharetta Marriott</t>
  </si>
  <si>
    <t xml:space="preserve">5750 Windward Parkway </t>
  </si>
  <si>
    <t>Debbie Niswonger</t>
  </si>
  <si>
    <t>Keith Hensley</t>
  </si>
  <si>
    <t>(770) 754-9600</t>
  </si>
  <si>
    <t>Holiday Inn Express Groveport</t>
  </si>
  <si>
    <t xml:space="preserve">4041 Hamilton Square Boulevard </t>
  </si>
  <si>
    <t>Surya Marietta</t>
  </si>
  <si>
    <t>+1 (614) 920-2400</t>
  </si>
  <si>
    <t xml:space="preserve">Spirit of Adv: Camp Wah-Tut-Ca </t>
  </si>
  <si>
    <t xml:space="preserve">292 Blakes Hill Road </t>
  </si>
  <si>
    <t>Northwood</t>
  </si>
  <si>
    <t>Zack Sheperd</t>
  </si>
  <si>
    <t>Angela Rzeszut</t>
  </si>
  <si>
    <t>+(603) 942-5233</t>
  </si>
  <si>
    <t xml:space="preserve">Spirit of Adv: New England Base Camp </t>
  </si>
  <si>
    <t xml:space="preserve">411 Unquity Road </t>
  </si>
  <si>
    <t>Milton</t>
  </si>
  <si>
    <t>Chuck Blanchette</t>
  </si>
  <si>
    <t>+1 (617) 615-0004</t>
  </si>
  <si>
    <t>Home2 Suites Midland East</t>
  </si>
  <si>
    <t xml:space="preserve"> 4104 North Big Spring Street </t>
  </si>
  <si>
    <t>Luisa Alvarado</t>
  </si>
  <si>
    <t>Gayle Blackburn</t>
  </si>
  <si>
    <t>+1 (214) 907-4035</t>
  </si>
  <si>
    <t>The Mayfair Hotel</t>
  </si>
  <si>
    <t xml:space="preserve">1256 West 7th Street </t>
  </si>
  <si>
    <t>Peter Kolla</t>
  </si>
  <si>
    <t>Hugo Barba</t>
  </si>
  <si>
    <t>+1(213) 632-1200</t>
  </si>
  <si>
    <t xml:space="preserve">Rabun County Company LLC </t>
  </si>
  <si>
    <t>Waterfall Country Club</t>
  </si>
  <si>
    <t xml:space="preserve">1105 Waterfall Drive </t>
  </si>
  <si>
    <t>Clayton</t>
  </si>
  <si>
    <t>Jason Le Blanc</t>
  </si>
  <si>
    <t>Dee Dee Matis</t>
  </si>
  <si>
    <t>+ (706) 212-4000</t>
  </si>
  <si>
    <t>Seaside Inn</t>
  </si>
  <si>
    <t xml:space="preserve">1004 Ocean Boulevard </t>
  </si>
  <si>
    <t>Isle of Palms</t>
  </si>
  <si>
    <t>Scott Masopust</t>
  </si>
  <si>
    <t>+1 (843) 886-7000</t>
  </si>
  <si>
    <t>Metro Toronto Convention Centre</t>
  </si>
  <si>
    <t xml:space="preserve">225 Front St West </t>
  </si>
  <si>
    <t>M5V 2X3</t>
  </si>
  <si>
    <t>Olga Smirnova</t>
  </si>
  <si>
    <t>Ron Pellerine</t>
  </si>
  <si>
    <t>+ (416) 585-8000</t>
  </si>
  <si>
    <t>Hyatt House Orlando Universal</t>
  </si>
  <si>
    <t xml:space="preserve">5915 Caravan Court </t>
  </si>
  <si>
    <t xml:space="preserve">Orlando </t>
  </si>
  <si>
    <t>Nina Shirk</t>
  </si>
  <si>
    <t>Jorge Pena</t>
  </si>
  <si>
    <t>+1()TBD</t>
  </si>
  <si>
    <t>Hyatt Place Orlando/Universal</t>
  </si>
  <si>
    <t xml:space="preserve">5895 Caravan Court </t>
  </si>
  <si>
    <t>Jordan Inthirajvongsy</t>
  </si>
  <si>
    <t>+ (407) 351-0627</t>
  </si>
  <si>
    <t>Hyatt Place Orlando/Convention Center</t>
  </si>
  <si>
    <t xml:space="preserve">8741 International Drive </t>
  </si>
  <si>
    <t>Michelle Logel</t>
  </si>
  <si>
    <t>Chardai McNeill</t>
  </si>
  <si>
    <t>+ (407) 370-4720</t>
  </si>
  <si>
    <t xml:space="preserve">Hyatt Place Scottsdale/Civic Center </t>
  </si>
  <si>
    <t xml:space="preserve">7300 East Third Avenue </t>
  </si>
  <si>
    <t>Janet Woolf-Hof</t>
  </si>
  <si>
    <t>Corey Chung</t>
  </si>
  <si>
    <t>+1 (480) 423-9944</t>
  </si>
  <si>
    <t>Hyatt Place Minneapolis Downtown</t>
  </si>
  <si>
    <t xml:space="preserve">425 7th Street South </t>
  </si>
  <si>
    <t>Bethany Muno</t>
  </si>
  <si>
    <t>Nicholas Radel</t>
  </si>
  <si>
    <t>+1 (612) 333-3111</t>
  </si>
  <si>
    <t>Beverly Hills Acquisitions LLC</t>
  </si>
  <si>
    <t>The Maybourne Beverly Hills</t>
  </si>
  <si>
    <t xml:space="preserve">225 North Canon Drive </t>
  </si>
  <si>
    <t>Eugene Leonard</t>
  </si>
  <si>
    <t>+1 (310) 860-7800</t>
  </si>
  <si>
    <t>XE Hospitality LLC</t>
  </si>
  <si>
    <t>Hampton Inn &amp; Suites - IAH</t>
  </si>
  <si>
    <t xml:space="preserve">15831 John F Kennedy Blvd </t>
  </si>
  <si>
    <t>Apple Francisco-Bell</t>
  </si>
  <si>
    <t>+1 (281) 442-4600</t>
  </si>
  <si>
    <t>Home2 Suites - IAH</t>
  </si>
  <si>
    <t xml:space="preserve">705 N Sam Houston PKWY E </t>
  </si>
  <si>
    <t>+1 (346) 374-8380</t>
  </si>
  <si>
    <t>Hampton Inn &amp; Suites - Houston North</t>
  </si>
  <si>
    <t xml:space="preserve">707 N Sam Houston Pkwy E </t>
  </si>
  <si>
    <t>Lisa Quesada</t>
  </si>
  <si>
    <t>+1 (281) 447-6400</t>
  </si>
  <si>
    <t>Hampton Inn &amp; Suites Huntsville</t>
  </si>
  <si>
    <t xml:space="preserve">120 Ravemwood Village </t>
  </si>
  <si>
    <t>Arturo Canales</t>
  </si>
  <si>
    <t>+1 (936) 439-5228</t>
  </si>
  <si>
    <t>Hilton Garden Inn San Antonio at the Rim</t>
  </si>
  <si>
    <t xml:space="preserve">5730 Rim Pass Dr </t>
  </si>
  <si>
    <t>Ricardo Mata</t>
  </si>
  <si>
    <t>+1 (210) 696-3500</t>
  </si>
  <si>
    <t>Portsmouth Harbor Events &amp; Conference Center</t>
  </si>
  <si>
    <t xml:space="preserve">100 Deer Street </t>
  </si>
  <si>
    <t xml:space="preserve">Portsmouth </t>
  </si>
  <si>
    <t>Thomas Brennan</t>
  </si>
  <si>
    <t>+1 (603) 422-6114</t>
  </si>
  <si>
    <t>Hotel Saltillo</t>
  </si>
  <si>
    <t xml:space="preserve">KM 9 Col Parque Industrial Ramos Arizpe </t>
  </si>
  <si>
    <t>Ramos Arizpe</t>
  </si>
  <si>
    <t>COAH</t>
  </si>
  <si>
    <t>Ana Lilia Chavez Talavera</t>
  </si>
  <si>
    <t>+52 (844) 454-7900</t>
  </si>
  <si>
    <t>Cimarron</t>
  </si>
  <si>
    <t xml:space="preserve">1200 Shary Rd </t>
  </si>
  <si>
    <t>Mission</t>
  </si>
  <si>
    <t>Ed Leinenkugel</t>
  </si>
  <si>
    <t>+ (956) 581-7401</t>
  </si>
  <si>
    <t>SNS Hotel Group Inc.</t>
  </si>
  <si>
    <t>Best Western Plus Cecil Field Inn &amp; Suites</t>
  </si>
  <si>
    <t xml:space="preserve">525 Chaffee Point Boulevard </t>
  </si>
  <si>
    <t>Sunil Dharma</t>
  </si>
  <si>
    <t>+(904)265-7759</t>
  </si>
  <si>
    <t>Hampton Inn &amp; Suites Beach Blvd./Mayo Clinic</t>
  </si>
  <si>
    <t xml:space="preserve">13733 Beach Boulevard </t>
  </si>
  <si>
    <t>Edina Bilalovic</t>
  </si>
  <si>
    <t>+1 (904) 223-0222</t>
  </si>
  <si>
    <t>TownePlace Suites Jacksonville East</t>
  </si>
  <si>
    <t xml:space="preserve">13741 Beach Blvd </t>
  </si>
  <si>
    <t xml:space="preserve">Jacksonville </t>
  </si>
  <si>
    <t>Brittany Tackett</t>
  </si>
  <si>
    <t>+1 (904) 490-6760</t>
  </si>
  <si>
    <t>Integra Hospitality LLC</t>
  </si>
  <si>
    <t>Hampton Inn &amp; Suites Southport</t>
  </si>
  <si>
    <t xml:space="preserve">4820 Port Loop Road </t>
  </si>
  <si>
    <t>Southport</t>
  </si>
  <si>
    <t>Elenore Erickson</t>
  </si>
  <si>
    <t>Cheryl Walton</t>
  </si>
  <si>
    <t>+1 (910) 477-9830</t>
  </si>
  <si>
    <t>Wyndham Garden Summerville</t>
  </si>
  <si>
    <t xml:space="preserve">120 Holiday Drive </t>
  </si>
  <si>
    <t>DJ Gajjar</t>
  </si>
  <si>
    <t>+1 (843) 875-3300</t>
  </si>
  <si>
    <t>Holiday Inn Express &amp; Suites Charleston NE Mt Pleasant US17</t>
  </si>
  <si>
    <t xml:space="preserve">1104 Stockade Lane </t>
  </si>
  <si>
    <t>J. Earl Collins</t>
  </si>
  <si>
    <t>+1 (843) 216-0000</t>
  </si>
  <si>
    <t>Holiday Inn Express &amp; Suites Summerville</t>
  </si>
  <si>
    <t xml:space="preserve">1657 North Main Street </t>
  </si>
  <si>
    <t>Rohan Chopra</t>
  </si>
  <si>
    <t>+1 (843) 873-8900</t>
  </si>
  <si>
    <t>Comfort Suites West of the Ashley</t>
  </si>
  <si>
    <t xml:space="preserve">2080 Savannah Highway </t>
  </si>
  <si>
    <t>Ben Creasy</t>
  </si>
  <si>
    <t>+1 (843) 769-9850</t>
  </si>
  <si>
    <t>Fairfield Inn &amp; Suites Southport</t>
  </si>
  <si>
    <t xml:space="preserve">5181 Southport Supply Road SE </t>
  </si>
  <si>
    <t>Carol Parker</t>
  </si>
  <si>
    <t>+(910) 454-0016</t>
  </si>
  <si>
    <t>Andrew Pinckney Inn</t>
  </si>
  <si>
    <t xml:space="preserve">40 Pinckney Street </t>
  </si>
  <si>
    <t>Barry Hutto</t>
  </si>
  <si>
    <t>+1 (843) 937-8800</t>
  </si>
  <si>
    <t>Element San Jose Milpitas</t>
  </si>
  <si>
    <t xml:space="preserve">521 Alder Drive </t>
  </si>
  <si>
    <t>Mary Barco</t>
  </si>
  <si>
    <t>Scott Berbick</t>
  </si>
  <si>
    <t>+1 (408) 422-4578</t>
  </si>
  <si>
    <t>Mile High Hospitality</t>
  </si>
  <si>
    <t>Canopy by Hilton Scottsdale Old Town</t>
  </si>
  <si>
    <t xml:space="preserve">7142 E 1st St </t>
  </si>
  <si>
    <t>Devin Mahoney</t>
  </si>
  <si>
    <t>+()480-590-3864</t>
  </si>
  <si>
    <t>McLemore Club</t>
  </si>
  <si>
    <t xml:space="preserve">32 Clubhouse Lane </t>
  </si>
  <si>
    <t>Rising Fawn</t>
  </si>
  <si>
    <t>Doug Amor</t>
  </si>
  <si>
    <t xml:space="preserve">Faith Hayes </t>
  </si>
  <si>
    <t>+1 (706) 398-0882</t>
  </si>
  <si>
    <t>Courtyard Waverly Charlotte South</t>
  </si>
  <si>
    <t xml:space="preserve">6319 Providence Farm Lane </t>
  </si>
  <si>
    <t>Leyla Karacan</t>
  </si>
  <si>
    <t>Akshar Patel</t>
  </si>
  <si>
    <t>+1(704) 733-9366</t>
  </si>
  <si>
    <t>Hilton Garden Inn Fremont</t>
  </si>
  <si>
    <t xml:space="preserve">45976 Warm Spring Boulevard </t>
  </si>
  <si>
    <t>Zach Black</t>
  </si>
  <si>
    <t>Frances Archilla</t>
  </si>
  <si>
    <t>+1 (510) 668-1050</t>
  </si>
  <si>
    <t>Origin Hotel Westminster</t>
  </si>
  <si>
    <t xml:space="preserve">8875 Westminster Boulevard </t>
  </si>
  <si>
    <t>Andrew Oldham</t>
  </si>
  <si>
    <t>Lindsay Ryan</t>
  </si>
  <si>
    <t>+1 (720) 647-7400</t>
  </si>
  <si>
    <t>Staybridge Suites Nashville</t>
  </si>
  <si>
    <t xml:space="preserve">350 22nd Avenue North </t>
  </si>
  <si>
    <t>Jeremiah Drummond</t>
  </si>
  <si>
    <t>Aloft Columbus Easton</t>
  </si>
  <si>
    <t xml:space="preserve">4176 Brighton Rose Way </t>
  </si>
  <si>
    <t>+(614)762-9162</t>
  </si>
  <si>
    <t>Odyssey Hotel Group LLC</t>
  </si>
  <si>
    <t>Hampton Glendale Milwaukee</t>
  </si>
  <si>
    <t xml:space="preserve">7065 N Port Washington Road </t>
  </si>
  <si>
    <t>Andi Wilbee</t>
  </si>
  <si>
    <t>Susan Sengkhammee</t>
  </si>
  <si>
    <t>+()414-928-3858</t>
  </si>
  <si>
    <t>The Jefferson a Curio by Hilton</t>
  </si>
  <si>
    <t xml:space="preserve">106 Jefferson Street </t>
  </si>
  <si>
    <t>+()1 256-288-0128</t>
  </si>
  <si>
    <t>Colleton River Plantation Club Inc.</t>
  </si>
  <si>
    <t xml:space="preserve">Colleton River Plantation </t>
  </si>
  <si>
    <t xml:space="preserve">60 Colleton River DR </t>
  </si>
  <si>
    <t>Eric Bischofberger</t>
  </si>
  <si>
    <t>Stephen Minnaar</t>
  </si>
  <si>
    <t>+ (843) 837-3030</t>
  </si>
  <si>
    <t>TownePlace Suites Chicago Waukegan - Gurnee</t>
  </si>
  <si>
    <t xml:space="preserve">402 Lakehurst Road </t>
  </si>
  <si>
    <t>Keenan Hartman</t>
  </si>
  <si>
    <t>+1 (224) 944-0633</t>
  </si>
  <si>
    <t>Main Street Hospitality</t>
  </si>
  <si>
    <t>Seven Hills Inn</t>
  </si>
  <si>
    <t xml:space="preserve">40 Plunkett Street </t>
  </si>
  <si>
    <t>Lenox</t>
  </si>
  <si>
    <t>Robert Mickey</t>
  </si>
  <si>
    <t>+1 (413) 637-0060</t>
  </si>
  <si>
    <t>Cube Hospitality LLC</t>
  </si>
  <si>
    <t>Fairfield Inn &amp; Suites Athens West</t>
  </si>
  <si>
    <t xml:space="preserve">175 Old Epps Bridge Road </t>
  </si>
  <si>
    <t>Mamta Patel</t>
  </si>
  <si>
    <t>Erica Confer</t>
  </si>
  <si>
    <t>+1 (706) 549-5900</t>
  </si>
  <si>
    <t>The Algonquin Resort St. Andrews by-the-Sea Autograph Collection</t>
  </si>
  <si>
    <t xml:space="preserve">184 Adolphus St </t>
  </si>
  <si>
    <t>St Andrews</t>
  </si>
  <si>
    <t>E5B 1T7</t>
  </si>
  <si>
    <t>+ (506) 529-8823</t>
  </si>
  <si>
    <t>Westin Nova Scotian</t>
  </si>
  <si>
    <t xml:space="preserve">1181 Hollis Street </t>
  </si>
  <si>
    <t>Halifax</t>
  </si>
  <si>
    <t>B3H 2P6</t>
  </si>
  <si>
    <t>John Wilson</t>
  </si>
  <si>
    <t>+1 (902) 421-1000</t>
  </si>
  <si>
    <t>Royalton Hotel</t>
  </si>
  <si>
    <t xml:space="preserve">44 West 44th Street </t>
  </si>
  <si>
    <t>Matthew Heymann</t>
  </si>
  <si>
    <t>Oumar Kane</t>
  </si>
  <si>
    <t>+1 (212) 869-4400</t>
  </si>
  <si>
    <t>Hilton Lexington Downtown</t>
  </si>
  <si>
    <t xml:space="preserve">369 West Vine Street </t>
  </si>
  <si>
    <t>Alex Lugo</t>
  </si>
  <si>
    <t>+1 (859) 231-9000</t>
  </si>
  <si>
    <t>Hampton Inn Shelton</t>
  </si>
  <si>
    <t xml:space="preserve">695 Bridgeport Avenue </t>
  </si>
  <si>
    <t>Jonathan Ayala</t>
  </si>
  <si>
    <t>Michael Marques</t>
  </si>
  <si>
    <t>+1 (203) 925-5900</t>
  </si>
  <si>
    <t>Hampton Inn &amp; Suites Halifax-Dartmouth</t>
  </si>
  <si>
    <t xml:space="preserve">65 Cromarty Drive </t>
  </si>
  <si>
    <t>Dartmouth</t>
  </si>
  <si>
    <t>B3B 0G2</t>
  </si>
  <si>
    <t>Annette Williston</t>
  </si>
  <si>
    <t>+1 (902) 406-7700</t>
  </si>
  <si>
    <t>Four Points by Sheraton Bangor Airport</t>
  </si>
  <si>
    <t xml:space="preserve">308 Godfrey Boulevard </t>
  </si>
  <si>
    <t>Bangor</t>
  </si>
  <si>
    <t>Valerie Cross</t>
  </si>
  <si>
    <t>Daphne Curtis</t>
  </si>
  <si>
    <t>+1 (207) 947-6721</t>
  </si>
  <si>
    <t>Fairfield Inn &amp; Suites New Orleans Downtown French Quarter Area</t>
  </si>
  <si>
    <t xml:space="preserve">346 Baronne Street </t>
  </si>
  <si>
    <t>Stephen Borecki</t>
  </si>
  <si>
    <t>Ramona Brooks</t>
  </si>
  <si>
    <t>+1(504)309-0800</t>
  </si>
  <si>
    <t>Holiday Inn Saratoga Springs</t>
  </si>
  <si>
    <t xml:space="preserve">232 Broadway </t>
  </si>
  <si>
    <t>+1 (518) 584-4550</t>
  </si>
  <si>
    <t>Courtyard-Residence Inn Halifax Dartmouth</t>
  </si>
  <si>
    <t xml:space="preserve">35 Shubie Drive </t>
  </si>
  <si>
    <t>Jason Brown</t>
  </si>
  <si>
    <t>+1(902)406-3000</t>
  </si>
  <si>
    <t>Cambria Hotel Charleston Riverview</t>
  </si>
  <si>
    <t xml:space="preserve">84 Ripley Point Drive </t>
  </si>
  <si>
    <t>Tianna Genovese</t>
  </si>
  <si>
    <t>+1 (843) 766-4322</t>
  </si>
  <si>
    <t>Brutger Equities Inc</t>
  </si>
  <si>
    <t>Quality Inn Homestead Park</t>
  </si>
  <si>
    <t xml:space="preserve">2036 Overland Avenue </t>
  </si>
  <si>
    <t>Ginny Hart</t>
  </si>
  <si>
    <t>+1 (406) 652-1320</t>
  </si>
  <si>
    <t>Esperanto Developments LLC</t>
  </si>
  <si>
    <t>SpringHill Suites Dallas Arlington North</t>
  </si>
  <si>
    <t xml:space="preserve">1975 East Lamar Boulevard </t>
  </si>
  <si>
    <t>Glenn Dickerson</t>
  </si>
  <si>
    <t>+1 (817) 860-2737</t>
  </si>
  <si>
    <t>Westin Jekyll Island</t>
  </si>
  <si>
    <t xml:space="preserve">110 Ocean Way </t>
  </si>
  <si>
    <t>Kevin Runner</t>
  </si>
  <si>
    <t>+1 (912) 635-4545</t>
  </si>
  <si>
    <t>Fairfield Inn &amp; Suites Harrisburg West Mechanicsburg</t>
  </si>
  <si>
    <t xml:space="preserve">503 Winding Creek Boulevard </t>
  </si>
  <si>
    <t>Mechanicsburg</t>
  </si>
  <si>
    <t>William Walsh</t>
  </si>
  <si>
    <t>+1 (717) 795-1918</t>
  </si>
  <si>
    <t>Red Roof Inn &amp; Suites Vicksburg</t>
  </si>
  <si>
    <t xml:space="preserve">20 Orme Drive </t>
  </si>
  <si>
    <t>Vicksburg</t>
  </si>
  <si>
    <t>Dave Patel</t>
  </si>
  <si>
    <t>+ (601) 636-1811</t>
  </si>
  <si>
    <t>Fairfield Inn &amp; Suites Duluth (MN)</t>
  </si>
  <si>
    <t xml:space="preserve">1510 Maple Grove Road </t>
  </si>
  <si>
    <t>Daniel Padilla</t>
  </si>
  <si>
    <t>+1(218) 623-3247</t>
  </si>
  <si>
    <t>Holiday Inn Express &amp; Suites Williston</t>
  </si>
  <si>
    <t xml:space="preserve">415 38th Street West </t>
  </si>
  <si>
    <t>Jeannie Hall</t>
  </si>
  <si>
    <t>+1 (701) 577-0400</t>
  </si>
  <si>
    <t>Hawthorn Suites Williston</t>
  </si>
  <si>
    <t xml:space="preserve">3701 4th Ave West </t>
  </si>
  <si>
    <t>Jen Edlund</t>
  </si>
  <si>
    <t>+1 (701) 577-3701</t>
  </si>
  <si>
    <t>Comfort Inn &amp; Suites Mountain Iron and Virginia</t>
  </si>
  <si>
    <t xml:space="preserve">8570 Rock Ridge Drive </t>
  </si>
  <si>
    <t>Mountain Iron</t>
  </si>
  <si>
    <t>Michelle Cramer</t>
  </si>
  <si>
    <t>+1 (218) 741-7411</t>
  </si>
  <si>
    <t>Days Inn &amp; Suites Duluth by the Mall</t>
  </si>
  <si>
    <t xml:space="preserve">909 Cottonwood Ave </t>
  </si>
  <si>
    <t>Darren Wampler</t>
  </si>
  <si>
    <t>+1 (218) 727-3110</t>
  </si>
  <si>
    <t>Hawthorn Suites Dickinson</t>
  </si>
  <si>
    <t xml:space="preserve">1170 Roughrider Blvd </t>
  </si>
  <si>
    <t>Kim Grote</t>
  </si>
  <si>
    <t>+1 (701) 483-7829</t>
  </si>
  <si>
    <t>Days Inn Cheyenne</t>
  </si>
  <si>
    <t xml:space="preserve">2360 West Lincolnway </t>
  </si>
  <si>
    <t>Susan Miller</t>
  </si>
  <si>
    <t>+1 (307) 778-8877</t>
  </si>
  <si>
    <t>Days Inn &amp; Suites Bozeman</t>
  </si>
  <si>
    <t xml:space="preserve">1321 North Seventh Avenue </t>
  </si>
  <si>
    <t>Deb Kowalzek</t>
  </si>
  <si>
    <t>+1 (406) 587-5251</t>
  </si>
  <si>
    <t>Days Inn Bismarck</t>
  </si>
  <si>
    <t xml:space="preserve">1300 East Capitol Avenue </t>
  </si>
  <si>
    <t>Bismarck</t>
  </si>
  <si>
    <t>Eric Hjelmstad</t>
  </si>
  <si>
    <t>+1 (701) 223-9151</t>
  </si>
  <si>
    <t>Candlewood Suites Williston</t>
  </si>
  <si>
    <t xml:space="preserve">3716 6th Avenue </t>
  </si>
  <si>
    <t>Lori Van Winsen</t>
  </si>
  <si>
    <t>+1 (701) 572-3716</t>
  </si>
  <si>
    <t>Whitestone Hospitality</t>
  </si>
  <si>
    <t xml:space="preserve">Hyatt Place Fort Worth - Cityview </t>
  </si>
  <si>
    <t xml:space="preserve">5900 Cityview Boulevard </t>
  </si>
  <si>
    <t>Shalina Oliver</t>
  </si>
  <si>
    <t>+ (817) 361-9797</t>
  </si>
  <si>
    <t>Hyatt Place Fort Worth - Hurst</t>
  </si>
  <si>
    <t xml:space="preserve">1601 Hurst Town Center Drive </t>
  </si>
  <si>
    <t>+ (817) 577-3003</t>
  </si>
  <si>
    <t>Hampton Inn El Reno</t>
  </si>
  <si>
    <t xml:space="preserve">1530 Southwest 27th Street </t>
  </si>
  <si>
    <t>Karen Sweet</t>
  </si>
  <si>
    <t>+1 (405) 702-9200</t>
  </si>
  <si>
    <t>Wallace Whisky Bar Condesa</t>
  </si>
  <si>
    <t xml:space="preserve">Av. Tamaulipas 45 Colonia Condesa Cuauhtémoc </t>
  </si>
  <si>
    <t>+52 (55) 5256 3534</t>
  </si>
  <si>
    <t>Salón de Eventos 1500 Guadalajara</t>
  </si>
  <si>
    <t xml:space="preserve">Avenida de las Américas #1254 Pódium 3 Country Club </t>
  </si>
  <si>
    <t>+52 (55) 2394-2265</t>
  </si>
  <si>
    <t>The Jar Virreyes</t>
  </si>
  <si>
    <t xml:space="preserve">Pedregal 24 Lomas - Virreyes Molino del Rey Miguel Hidalgo </t>
  </si>
  <si>
    <t>Salón de Eventos Virreyes</t>
  </si>
  <si>
    <t>The Bag Virreyes</t>
  </si>
  <si>
    <t>Ciudad de Mexico</t>
  </si>
  <si>
    <t>Myrtle Beach Vacation Rental</t>
  </si>
  <si>
    <t xml:space="preserve">9662 North Kings Highway </t>
  </si>
  <si>
    <t>Lee Lear</t>
  </si>
  <si>
    <t>+1 (843) 913-4421</t>
  </si>
  <si>
    <t>Starbucks at Oceanfront</t>
  </si>
  <si>
    <t xml:space="preserve">1410 North Ocean Boulevard </t>
  </si>
  <si>
    <t>Dennis Pontiere</t>
  </si>
  <si>
    <t>+1 (843) 315-3800</t>
  </si>
  <si>
    <t>Starbucks at Caribbean</t>
  </si>
  <si>
    <t xml:space="preserve">2913-A North Ocean Boulevard </t>
  </si>
  <si>
    <t>+1 (843) 282-0880</t>
  </si>
  <si>
    <t>Starbucks at Litchfield</t>
  </si>
  <si>
    <t xml:space="preserve">14276 Ocean Highway </t>
  </si>
  <si>
    <t>Pawleys Island</t>
  </si>
  <si>
    <t>+1 (843) 235-5656</t>
  </si>
  <si>
    <t>Starbucks at Long Bay</t>
  </si>
  <si>
    <t xml:space="preserve">7200 North Ocean Boulevard </t>
  </si>
  <si>
    <t>+1 (843) 282-1820</t>
  </si>
  <si>
    <t>Starbucks at Breakers</t>
  </si>
  <si>
    <t xml:space="preserve">2005 North Ocean Boulevard </t>
  </si>
  <si>
    <t>+1 (843) 626-4705</t>
  </si>
  <si>
    <t>Starbucks at BayView</t>
  </si>
  <si>
    <t xml:space="preserve">504 North Ocean Boulevard </t>
  </si>
  <si>
    <t>Jill Brennan</t>
  </si>
  <si>
    <t>+1 (843) 282-1870</t>
  </si>
  <si>
    <t>StepStone Hospitality Inc.</t>
  </si>
  <si>
    <t>Le Meridien Dallas North</t>
  </si>
  <si>
    <t xml:space="preserve">13402 Noel Road </t>
  </si>
  <si>
    <t>Roland Maldonado</t>
  </si>
  <si>
    <t>+()214-257-6104</t>
  </si>
  <si>
    <t>RM3 Hospitality LLC</t>
  </si>
  <si>
    <t>Hyatt House Los Angeles USC Medical Campus</t>
  </si>
  <si>
    <t xml:space="preserve">2200 East Trojan Way </t>
  </si>
  <si>
    <t>George Korkar</t>
  </si>
  <si>
    <t>+()626-290-5549</t>
  </si>
  <si>
    <t>Hyatt House Tampa Airport Westshore</t>
  </si>
  <si>
    <t xml:space="preserve">5308 Avion Park Drive </t>
  </si>
  <si>
    <t>Todd Kinney</t>
  </si>
  <si>
    <t>Raj Thakore</t>
  </si>
  <si>
    <t>Kinley Cincinnati Downtown</t>
  </si>
  <si>
    <t xml:space="preserve">37 West 7th Street </t>
  </si>
  <si>
    <t>John Cooper</t>
  </si>
  <si>
    <t>Kristopher Thomas</t>
  </si>
  <si>
    <t>+1 (513) 381-1100</t>
  </si>
  <si>
    <t>New York East Side</t>
  </si>
  <si>
    <t xml:space="preserve">525 Lexington Avenue </t>
  </si>
  <si>
    <t>David Salcfas</t>
  </si>
  <si>
    <t>Dylan Turim</t>
  </si>
  <si>
    <t>(212) 755-4000</t>
  </si>
  <si>
    <t>Thompson Dallas</t>
  </si>
  <si>
    <t xml:space="preserve">205 North Akard Street </t>
  </si>
  <si>
    <t>Aaron Ide</t>
  </si>
  <si>
    <t>+1 (469) 320-1234</t>
  </si>
  <si>
    <t>Sonesta Hamilton Park Morristown</t>
  </si>
  <si>
    <t xml:space="preserve">175 Park Avenue </t>
  </si>
  <si>
    <t>Florham Park</t>
  </si>
  <si>
    <t>Robert Weeks</t>
  </si>
  <si>
    <t>Adolfis Pimentel</t>
  </si>
  <si>
    <t>+1 (973) 377-2424</t>
  </si>
  <si>
    <t>Sonesta ES Suites Dallas Park Central</t>
  </si>
  <si>
    <t xml:space="preserve">7880 Alpha Road </t>
  </si>
  <si>
    <t>+1 (972) 590-8365</t>
  </si>
  <si>
    <t>Sonesta Atlanta Northeast</t>
  </si>
  <si>
    <t xml:space="preserve">6345 Powers Ferry Road Northwest </t>
  </si>
  <si>
    <t>Richard Palmisano</t>
  </si>
  <si>
    <t>+1 (770) 955-1700</t>
  </si>
  <si>
    <t>Rand Tower Minneapolis a Tribute Portfolio Hotel</t>
  </si>
  <si>
    <t xml:space="preserve">527 South Marquette Avenue </t>
  </si>
  <si>
    <t>Brendan Mangan</t>
  </si>
  <si>
    <t>+()612-688-4500</t>
  </si>
  <si>
    <t>Hotel Vogue Inc</t>
  </si>
  <si>
    <t>Hotel Vogue</t>
  </si>
  <si>
    <t xml:space="preserve">1425 Rue De La Montagne </t>
  </si>
  <si>
    <t>H3G 1Z3</t>
  </si>
  <si>
    <t>Eric Quesnel</t>
  </si>
  <si>
    <t>+ (514) 285-5555</t>
  </si>
  <si>
    <t>Doral Arrowwood Hotel &amp; Conference Center</t>
  </si>
  <si>
    <t xml:space="preserve">975 Anderson Hill Road </t>
  </si>
  <si>
    <t>Rye Brook</t>
  </si>
  <si>
    <t>Alex Ferraro</t>
  </si>
  <si>
    <t>+1(844)211-0512</t>
  </si>
  <si>
    <t>Hacienda Beach Club &amp; Residences - 1 Hotel Cabo</t>
  </si>
  <si>
    <t xml:space="preserve">Paseo de La Marina 4732 Col El Medano </t>
  </si>
  <si>
    <t>Vivi Bejar</t>
  </si>
  <si>
    <t>+(52) 624-163-3100</t>
  </si>
  <si>
    <t>Hampton Inn Sulphur</t>
  </si>
  <si>
    <t xml:space="preserve">210 Henning Drive </t>
  </si>
  <si>
    <t>Sulphur</t>
  </si>
  <si>
    <t>Kyle Jarrell</t>
  </si>
  <si>
    <t>+1 (337) 527-0000</t>
  </si>
  <si>
    <t>Hotel Metro Autograph Collection</t>
  </si>
  <si>
    <t xml:space="preserve">411 East Metro Street </t>
  </si>
  <si>
    <t>Andy Cordes</t>
  </si>
  <si>
    <t>Kelly Farah</t>
  </si>
  <si>
    <t>+1 (414) 272-1937</t>
  </si>
  <si>
    <t>Courtyard Fort Lauderdale Downtown</t>
  </si>
  <si>
    <t xml:space="preserve">721 North Federal Highway </t>
  </si>
  <si>
    <t>Scott Roberts</t>
  </si>
  <si>
    <t>Jilan Bruce</t>
  </si>
  <si>
    <t>+1 (954) 766-8800</t>
  </si>
  <si>
    <t>Hilton Aventura</t>
  </si>
  <si>
    <t xml:space="preserve">2885 NE 191st Street </t>
  </si>
  <si>
    <t>Kai Fischer</t>
  </si>
  <si>
    <t>+1 (305) 466-7775</t>
  </si>
  <si>
    <t>Holiday Inn Oceanfront Miami Beach</t>
  </si>
  <si>
    <t xml:space="preserve">4333 Collins Avenue </t>
  </si>
  <si>
    <t>+1 (305) 532-3311</t>
  </si>
  <si>
    <t>Clarus Hotel Inc.</t>
  </si>
  <si>
    <t>Home2 Suites Westchase</t>
  </si>
  <si>
    <t xml:space="preserve">3125 Wilcrest Drive </t>
  </si>
  <si>
    <t>Dewayne Scott</t>
  </si>
  <si>
    <t>Kunal Mehta</t>
  </si>
  <si>
    <t>+1 (832) 295-4800</t>
  </si>
  <si>
    <t>Grand Ole Opry LLC</t>
  </si>
  <si>
    <t>Opry Originals</t>
  </si>
  <si>
    <t xml:space="preserve">300 Broadway </t>
  </si>
  <si>
    <t>+1 (615) 259-9777</t>
  </si>
  <si>
    <t>Ryman Auditorium</t>
  </si>
  <si>
    <t xml:space="preserve">116 Fifth Avenue North </t>
  </si>
  <si>
    <t>+1 (615) 458-8700</t>
  </si>
  <si>
    <t>Grand Ole Opry</t>
  </si>
  <si>
    <t xml:space="preserve">2802 Opryland Drive </t>
  </si>
  <si>
    <t>Mac Smith</t>
  </si>
  <si>
    <t>+1 (615) 871-6779</t>
  </si>
  <si>
    <t>The Westin Baltimore Washington Airport - BWI</t>
  </si>
  <si>
    <t xml:space="preserve">1110 Old Elkridge Landing Road </t>
  </si>
  <si>
    <t xml:space="preserve"> Bill Hofmann</t>
  </si>
  <si>
    <t>+1 (443) 577-2300</t>
  </si>
  <si>
    <t>Staybridge Suites Jackson - Ridgeland</t>
  </si>
  <si>
    <t xml:space="preserve">801 Ridgewood Road </t>
  </si>
  <si>
    <t>Thomas Brown</t>
  </si>
  <si>
    <t>+1 (601) 206-9190</t>
  </si>
  <si>
    <t>Double Star Management</t>
  </si>
  <si>
    <t>Courtyard Jackson Ridgeland</t>
  </si>
  <si>
    <t xml:space="preserve">6280 Ridgewood Court Drive </t>
  </si>
  <si>
    <t>+ (601) 956-9991</t>
  </si>
  <si>
    <t>UCLA Bruin Bowl</t>
  </si>
  <si>
    <t xml:space="preserve">351 Charles E. Young Drive West </t>
  </si>
  <si>
    <t>Marcos Rios</t>
  </si>
  <si>
    <t>+1 (310) 825-5451</t>
  </si>
  <si>
    <t>Sable Hotel at Navy Pier a Curio Collection by Hilton</t>
  </si>
  <si>
    <t xml:space="preserve">900 East Grand Avenue </t>
  </si>
  <si>
    <t>Laurent Boisdron</t>
  </si>
  <si>
    <t>Scott Waters</t>
  </si>
  <si>
    <t>+1 (312) 439-0330</t>
  </si>
  <si>
    <t>Residence Inn Stamford Downtown</t>
  </si>
  <si>
    <t xml:space="preserve">25 Atlantic Street </t>
  </si>
  <si>
    <t>Todd Lindvall</t>
  </si>
  <si>
    <t>+(203)564-5000</t>
  </si>
  <si>
    <t>Courtyard Stamford-Downtown</t>
  </si>
  <si>
    <t xml:space="preserve">275 Summer St </t>
  </si>
  <si>
    <t>+1 (203) 358-8822</t>
  </si>
  <si>
    <t>Ellis Hotel Atlanta a Tribute Portfolio Hotel</t>
  </si>
  <si>
    <t xml:space="preserve">176 Peachtree Street NW </t>
  </si>
  <si>
    <t>Scot Gladstone</t>
  </si>
  <si>
    <t>Anna Kim</t>
  </si>
  <si>
    <t>+(404)523-5155</t>
  </si>
  <si>
    <t>La Quinta Inn &amp; Suites Spring</t>
  </si>
  <si>
    <t xml:space="preserve">21119 North Freeway </t>
  </si>
  <si>
    <t>Spring</t>
  </si>
  <si>
    <t>Kristen Jordan</t>
  </si>
  <si>
    <t>+()1-346-224-2323</t>
  </si>
  <si>
    <t>Home2 Suites Asheville</t>
  </si>
  <si>
    <t xml:space="preserve">61 Thompson Street </t>
  </si>
  <si>
    <t>Rory Higgins</t>
  </si>
  <si>
    <t>+1 (828) 348-1560</t>
  </si>
  <si>
    <t>Seven Springs Golf &amp; Country Club</t>
  </si>
  <si>
    <t xml:space="preserve">3535 Trophy Boulevard </t>
  </si>
  <si>
    <t>New Port Richey</t>
  </si>
  <si>
    <t>Wendi McAnn</t>
  </si>
  <si>
    <t>+1 (727) 376-0680</t>
  </si>
  <si>
    <t>Residence Inn Waldorf</t>
  </si>
  <si>
    <t xml:space="preserve">3020 Technology Dr. </t>
  </si>
  <si>
    <t>Waldorf</t>
  </si>
  <si>
    <t>Brittney Lubin</t>
  </si>
  <si>
    <t>+1 (301) 632-2111</t>
  </si>
  <si>
    <t>Quality Inn &amp; Suites Greenfield</t>
  </si>
  <si>
    <t xml:space="preserve">2270 North State Street </t>
  </si>
  <si>
    <t>Greenfield</t>
  </si>
  <si>
    <t>Joy Purvis</t>
  </si>
  <si>
    <t>Emily Roland</t>
  </si>
  <si>
    <t>+ 1 (317) 462-7112</t>
  </si>
  <si>
    <t>One Lakeside</t>
  </si>
  <si>
    <t xml:space="preserve">201 North First Street </t>
  </si>
  <si>
    <t>Laura DeMott</t>
  </si>
  <si>
    <t>+1 (208) 775-7277</t>
  </si>
  <si>
    <t>TRU Cypress Houston</t>
  </si>
  <si>
    <t xml:space="preserve">27204 US Highway 290 </t>
  </si>
  <si>
    <t>Cypress</t>
  </si>
  <si>
    <t>Michelle Virata</t>
  </si>
  <si>
    <t>+()346-818-6000</t>
  </si>
  <si>
    <t>Even Hotel Denver Tech Center</t>
  </si>
  <si>
    <t xml:space="preserve">7380 South Clinton Street </t>
  </si>
  <si>
    <t>Elena Reveiz</t>
  </si>
  <si>
    <t>+ (303) 662-0777</t>
  </si>
  <si>
    <t>Hyatt Place Iowa City</t>
  </si>
  <si>
    <t xml:space="preserve">255 East Court Street </t>
  </si>
  <si>
    <t>John Burns</t>
  </si>
  <si>
    <t>Meghan James</t>
  </si>
  <si>
    <t>+1 (319)569-2780</t>
  </si>
  <si>
    <t>Elio &amp; Sons LLC</t>
  </si>
  <si>
    <t>Antica Ristorante</t>
  </si>
  <si>
    <t xml:space="preserve">370 Canal Street </t>
  </si>
  <si>
    <t>Chinatown</t>
  </si>
  <si>
    <t>Eduardo Rodriguez</t>
  </si>
  <si>
    <t>+1 (646) 439-2460</t>
  </si>
  <si>
    <t>Hyatt Place UC Davis</t>
  </si>
  <si>
    <t xml:space="preserve">173 Old Davis Road Extension </t>
  </si>
  <si>
    <t>Davis</t>
  </si>
  <si>
    <t>Rocky Roquet</t>
  </si>
  <si>
    <t>+1 (530) 756-9500</t>
  </si>
  <si>
    <t>The Cove of Lake Geneva</t>
  </si>
  <si>
    <t xml:space="preserve">111 Center Street </t>
  </si>
  <si>
    <t>Lake Geneva</t>
  </si>
  <si>
    <t>+1 (512) 573-7795</t>
  </si>
  <si>
    <t>The Murieta Inn &amp; Spa</t>
  </si>
  <si>
    <t xml:space="preserve">7337 Murieta Drive </t>
  </si>
  <si>
    <t>Rancho Murieta</t>
  </si>
  <si>
    <t>+1 (916) 354-3900</t>
  </si>
  <si>
    <t>Tru Rockwall Dallas</t>
  </si>
  <si>
    <t xml:space="preserve">2600 Summer Lee Drive </t>
  </si>
  <si>
    <t>Carrie Milstead</t>
  </si>
  <si>
    <t>Mitchell Emery</t>
  </si>
  <si>
    <t>+1 (469) 472-8375</t>
  </si>
  <si>
    <t>Kolter Hospitality LLC</t>
  </si>
  <si>
    <t>AC Orlando Downtown</t>
  </si>
  <si>
    <t xml:space="preserve">333 South Garland Avenue </t>
  </si>
  <si>
    <t>Bobby Copeland</t>
  </si>
  <si>
    <t>+1 (689) 208-2236</t>
  </si>
  <si>
    <t>JMS Family L.P.</t>
  </si>
  <si>
    <t>Staybridge Suites Atlanta NE Duluth</t>
  </si>
  <si>
    <t xml:space="preserve">2360 Stephens Center Drive </t>
  </si>
  <si>
    <t>Okello Odongo</t>
  </si>
  <si>
    <t>+1 (678) 942-8990</t>
  </si>
  <si>
    <t>Kenwood Country Club Inc.</t>
  </si>
  <si>
    <t>Kenwood Country Club</t>
  </si>
  <si>
    <t xml:space="preserve"> 6501 Kenwood Road </t>
  </si>
  <si>
    <t>Dan Plunkett</t>
  </si>
  <si>
    <t>Laurie Shea</t>
  </si>
  <si>
    <t>+ (513) 561-7482</t>
  </si>
  <si>
    <t>Settlers Hospitality LLC</t>
  </si>
  <si>
    <t>Sayre Mansion</t>
  </si>
  <si>
    <t xml:space="preserve">250 Wyandotte Street </t>
  </si>
  <si>
    <t>Bethlehem</t>
  </si>
  <si>
    <t>Sarah Trimmer</t>
  </si>
  <si>
    <t>+1 (610) 882-2100</t>
  </si>
  <si>
    <t>Hilton Carillon Park</t>
  </si>
  <si>
    <t xml:space="preserve">950 Lake Carillon Drive </t>
  </si>
  <si>
    <t>Saint Petersburg</t>
  </si>
  <si>
    <t>Joseph Ruiz</t>
  </si>
  <si>
    <t>+1 (727) 540-0050</t>
  </si>
  <si>
    <t>Residence Inn Lubbock North</t>
  </si>
  <si>
    <t xml:space="preserve">2415 3rd Street </t>
  </si>
  <si>
    <t>Nick Metcalf</t>
  </si>
  <si>
    <t>+()806-503-7999</t>
  </si>
  <si>
    <t>Courtyard Charlotte Airport</t>
  </si>
  <si>
    <t xml:space="preserve">2700 Little Rock Road </t>
  </si>
  <si>
    <t>Matthew Doyle</t>
  </si>
  <si>
    <t>+ (704) 319-9900</t>
  </si>
  <si>
    <t>Hampton Inn &amp; Suites - Cherry Creek</t>
  </si>
  <si>
    <t xml:space="preserve">4150 East Kentucky Avenue </t>
  </si>
  <si>
    <t>Annisa Thomas</t>
  </si>
  <si>
    <t>+ 1 (303) 692-1800</t>
  </si>
  <si>
    <t>Cleveland Airport Hotel</t>
  </si>
  <si>
    <t xml:space="preserve">4277 W 150th St </t>
  </si>
  <si>
    <t xml:space="preserve">Cleveland </t>
  </si>
  <si>
    <t>Reggie Woolridge</t>
  </si>
  <si>
    <t>+ (216) 252-5333</t>
  </si>
  <si>
    <t>Hampton Inn Denver West Federal Center</t>
  </si>
  <si>
    <t xml:space="preserve">137 Union Boulevard </t>
  </si>
  <si>
    <t>Lou Devito</t>
  </si>
  <si>
    <t>Sam Karabel</t>
  </si>
  <si>
    <t>+1 (303) 969-9900</t>
  </si>
  <si>
    <t>Moraga Country Club Inc</t>
  </si>
  <si>
    <t>Moraga Country Club</t>
  </si>
  <si>
    <t xml:space="preserve">1600 Saint Andrews Dr </t>
  </si>
  <si>
    <t>Moraga</t>
  </si>
  <si>
    <t>Ron Haas</t>
  </si>
  <si>
    <t>+ (925) 376-2200</t>
  </si>
  <si>
    <t>JW Marriott Tampa Water Street</t>
  </si>
  <si>
    <t xml:space="preserve">510 Water Street </t>
  </si>
  <si>
    <t>Stefan Ritter</t>
  </si>
  <si>
    <t>Barbara Readey</t>
  </si>
  <si>
    <t>Hilton Alpharetta Atlanta</t>
  </si>
  <si>
    <t xml:space="preserve">5775 Windward Parkway </t>
  </si>
  <si>
    <t>Tim Zugger</t>
  </si>
  <si>
    <t>+1 (678) 240-9010</t>
  </si>
  <si>
    <t>DoubleTree Houston Intercontinental Airport</t>
  </si>
  <si>
    <t xml:space="preserve">15747 John F Kennedy Boulevard </t>
  </si>
  <si>
    <t>+ 1 (281) 848-4000</t>
  </si>
  <si>
    <t>Travelodge Slave Lake</t>
  </si>
  <si>
    <t>801 Main Street Southeast Box 2459</t>
  </si>
  <si>
    <t>Slave Lake</t>
  </si>
  <si>
    <t>T0G 2A0</t>
  </si>
  <si>
    <t>Travelodge</t>
  </si>
  <si>
    <t>+1 (780)849-3300</t>
  </si>
  <si>
    <t>CIVANA Carefree LLC</t>
  </si>
  <si>
    <t>CIVANA Wellness Resort &amp; Spa</t>
  </si>
  <si>
    <t xml:space="preserve">37220 North Mule Train Road </t>
  </si>
  <si>
    <t>Carefree</t>
  </si>
  <si>
    <t>Adam Ross</t>
  </si>
  <si>
    <t>Julia Hastings</t>
  </si>
  <si>
    <t>+1 (480) 653-9000</t>
  </si>
  <si>
    <t>Residence Inn La Quinta</t>
  </si>
  <si>
    <t xml:space="preserve">79675 Highway 111 </t>
  </si>
  <si>
    <t>LaShan Pope</t>
  </si>
  <si>
    <t>Brian Welker</t>
  </si>
  <si>
    <t>+1(760) 558-4020</t>
  </si>
  <si>
    <t>The Terrace Hotel</t>
  </si>
  <si>
    <t xml:space="preserve">329 East Main Street </t>
  </si>
  <si>
    <t>Lakeland</t>
  </si>
  <si>
    <t>Jeremy Turner</t>
  </si>
  <si>
    <t>Sanda Budic</t>
  </si>
  <si>
    <t>+1 (863) 688-0800</t>
  </si>
  <si>
    <t>HRI Lodging LLC (Hospitality) HQ</t>
  </si>
  <si>
    <t>812 Gravier Street Suite 200</t>
  </si>
  <si>
    <t>Vieux Carre</t>
  </si>
  <si>
    <t>+1 (504) 566-0204</t>
  </si>
  <si>
    <t>Sugarbush Resort</t>
  </si>
  <si>
    <t xml:space="preserve">102 Forest Drive </t>
  </si>
  <si>
    <t>Karen Richardson</t>
  </si>
  <si>
    <t>+ (802) 583-2301</t>
  </si>
  <si>
    <t>Union Station Nashville</t>
  </si>
  <si>
    <t xml:space="preserve">1001 Broadway </t>
  </si>
  <si>
    <t>Schack VonRumohr</t>
  </si>
  <si>
    <t>+1 (615) 726-1001</t>
  </si>
  <si>
    <t>Kerzner Palmilla Hotel Partners S de R.L. de C.V.</t>
  </si>
  <si>
    <t>One and Only Palmilla</t>
  </si>
  <si>
    <t xml:space="preserve">Carr Transpeninsular Tourist Corridor </t>
  </si>
  <si>
    <t>Robert Logan</t>
  </si>
  <si>
    <t>Edgar Sanmiguel</t>
  </si>
  <si>
    <t>+(52) 624-146-7000</t>
  </si>
  <si>
    <t>Harmon Guest House</t>
  </si>
  <si>
    <t xml:space="preserve">227 Healdsburg Ave </t>
  </si>
  <si>
    <t>Aziz Zhari</t>
  </si>
  <si>
    <t>+1 (707)431-8220</t>
  </si>
  <si>
    <t>h2 Hotel</t>
  </si>
  <si>
    <t xml:space="preserve">219 Healdsburg Ave </t>
  </si>
  <si>
    <t>Gerrit Van Den Noord</t>
  </si>
  <si>
    <t>+1 (707) 431 2202</t>
  </si>
  <si>
    <t>Hotel Healdsburg</t>
  </si>
  <si>
    <t xml:space="preserve">25 Matheson Street </t>
  </si>
  <si>
    <t>+(1) 707-431-2000</t>
  </si>
  <si>
    <t>AC Hotel Greenville</t>
  </si>
  <si>
    <t xml:space="preserve">315 South Main Street </t>
  </si>
  <si>
    <t>John Deck</t>
  </si>
  <si>
    <t>Lauren Oliva</t>
  </si>
  <si>
    <t>+1(864) 720-2950</t>
  </si>
  <si>
    <t>Canopy Memphis</t>
  </si>
  <si>
    <t xml:space="preserve">164 Union Avenue </t>
  </si>
  <si>
    <t>Jose Nieto</t>
  </si>
  <si>
    <t>+1(901)479-1001</t>
  </si>
  <si>
    <t>TownePlace Suites San Luis Obispo</t>
  </si>
  <si>
    <t xml:space="preserve">1301 Calle Joaquin </t>
  </si>
  <si>
    <t>Jennifer Crooks</t>
  </si>
  <si>
    <t>+1(805)783-2707</t>
  </si>
  <si>
    <t>Superior Hospitality Management LLC</t>
  </si>
  <si>
    <t>Fairfield Inn Battle Creek</t>
  </si>
  <si>
    <t xml:space="preserve">4665 Beckley Road </t>
  </si>
  <si>
    <t>Battle Creek</t>
  </si>
  <si>
    <t>Erika Regner</t>
  </si>
  <si>
    <t>+1 (269) 979-8000</t>
  </si>
  <si>
    <t>Our Town Hospitality</t>
  </si>
  <si>
    <t>The Hotel Ballast</t>
  </si>
  <si>
    <t xml:space="preserve">301 North Water Street </t>
  </si>
  <si>
    <t xml:space="preserve">Wilmington </t>
  </si>
  <si>
    <t>Kevin Brockway</t>
  </si>
  <si>
    <t>Daniel Perkins</t>
  </si>
  <si>
    <t>+1 (910) 763-5900</t>
  </si>
  <si>
    <t>The Whitehall</t>
  </si>
  <si>
    <t xml:space="preserve">1700 Smith Street </t>
  </si>
  <si>
    <t>Sal Khatri</t>
  </si>
  <si>
    <t>+1 (713) 739-8800</t>
  </si>
  <si>
    <t>The Desoto Savannah</t>
  </si>
  <si>
    <t xml:space="preserve">15 East Liberty Street </t>
  </si>
  <si>
    <t>Jay Wiendl</t>
  </si>
  <si>
    <t>+1 (912) 232-9000</t>
  </si>
  <si>
    <t>The Georgian Terrace</t>
  </si>
  <si>
    <t xml:space="preserve">659 Peachtree Street Northeast </t>
  </si>
  <si>
    <t>Michael Platt</t>
  </si>
  <si>
    <t>Sherry-Ann Givance</t>
  </si>
  <si>
    <t>+1 (404) 897-1991</t>
  </si>
  <si>
    <t>Glenn Enterprises Inc. (AKA LinGate)</t>
  </si>
  <si>
    <t>Tru Monroe</t>
  </si>
  <si>
    <t xml:space="preserve">300 Orton Drive </t>
  </si>
  <si>
    <t>Craig Wahlrab</t>
  </si>
  <si>
    <t>+1 (513) 402-7654</t>
  </si>
  <si>
    <t>Sheraton Louisville Riverside Hotel</t>
  </si>
  <si>
    <t xml:space="preserve">700 West Riverside Drive </t>
  </si>
  <si>
    <t>Michael Klus</t>
  </si>
  <si>
    <t>+1 (812) 284-6711</t>
  </si>
  <si>
    <t>Hotel Alba Tampa Tapestry Collection by Hilton</t>
  </si>
  <si>
    <t xml:space="preserve">5303 West Kennedy Boulevard </t>
  </si>
  <si>
    <t>+1 (813) 289-1950</t>
  </si>
  <si>
    <t>DoubleTree by Hilton Hotel Raleigh - Brownstone - University</t>
  </si>
  <si>
    <t xml:space="preserve">1707 Hillsborough Street </t>
  </si>
  <si>
    <t>Derek Allen</t>
  </si>
  <si>
    <t>+1 (919) 828-0811</t>
  </si>
  <si>
    <t>Doubletree by Hilton Laurel</t>
  </si>
  <si>
    <t xml:space="preserve">15101 Sweitzer Lane </t>
  </si>
  <si>
    <t>Laurel</t>
  </si>
  <si>
    <t>Charles Long</t>
  </si>
  <si>
    <t>+1 (301) 776-5300</t>
  </si>
  <si>
    <t>DoubleTree by Hilton Philadelphia Airport</t>
  </si>
  <si>
    <t xml:space="preserve">4509 Island Avenue </t>
  </si>
  <si>
    <t>+1 (215) 365-4150</t>
  </si>
  <si>
    <t>DoubleTree by Hilton Hotel Jacksonville Riverfront</t>
  </si>
  <si>
    <t xml:space="preserve">1201 Riverplace Boulevard </t>
  </si>
  <si>
    <t>Shawn Frisbee</t>
  </si>
  <si>
    <t>+1 (904) 398-8800</t>
  </si>
  <si>
    <t>Staybridge Suites Houston Willowbrook</t>
  </si>
  <si>
    <t xml:space="preserve">10750 North Gessner Road </t>
  </si>
  <si>
    <t>Jon Heimlich</t>
  </si>
  <si>
    <t>Arielle Miller</t>
  </si>
  <si>
    <t>+1 (281) 807-3700</t>
  </si>
  <si>
    <t>Surety Hotel</t>
  </si>
  <si>
    <t xml:space="preserve">206 6th Avenue </t>
  </si>
  <si>
    <t>East Des moines</t>
  </si>
  <si>
    <t>Matthew Iacobucci</t>
  </si>
  <si>
    <t>+1 (954) 647- 5242</t>
  </si>
  <si>
    <t>Hacienda Uayamon</t>
  </si>
  <si>
    <t xml:space="preserve">KM 20 Carretera </t>
  </si>
  <si>
    <t>Uayamon</t>
  </si>
  <si>
    <t>CAM</t>
  </si>
  <si>
    <t>Luxury Collection</t>
  </si>
  <si>
    <t>Enrique Solari</t>
  </si>
  <si>
    <t>+52(981)813 0530</t>
  </si>
  <si>
    <t>Hacienda Santa Rosa</t>
  </si>
  <si>
    <t xml:space="preserve">Carretera Merida Campeche </t>
  </si>
  <si>
    <t>+()52 999 923 1923</t>
  </si>
  <si>
    <t>Hacienda San Jose</t>
  </si>
  <si>
    <t xml:space="preserve">KM 30 Carretera </t>
  </si>
  <si>
    <t>Tixkokob</t>
  </si>
  <si>
    <t>+52(999)924 1333</t>
  </si>
  <si>
    <t>Hacienda Temozon</t>
  </si>
  <si>
    <t xml:space="preserve">KM 182 Carretera Merida-Uxmal </t>
  </si>
  <si>
    <t>Temozon Sur</t>
  </si>
  <si>
    <t>+1(52)(999) 923-8089</t>
  </si>
  <si>
    <t>Sleep Inn &amp; Suites Edgewood</t>
  </si>
  <si>
    <t xml:space="preserve">1807 Edgewood Rd. </t>
  </si>
  <si>
    <t>Edgewood</t>
  </si>
  <si>
    <t>Mukund Patel</t>
  </si>
  <si>
    <t>+1 (410) 679-4700</t>
  </si>
  <si>
    <t>Courtyard San Salvador</t>
  </si>
  <si>
    <t xml:space="preserve">Calle2 y Calle 3 Centro de Estilo de Vida La Gran </t>
  </si>
  <si>
    <t>San Salvador</t>
  </si>
  <si>
    <t>EL</t>
  </si>
  <si>
    <t>.</t>
  </si>
  <si>
    <t>El Salvador</t>
  </si>
  <si>
    <t>Marcos Quinteros</t>
  </si>
  <si>
    <t>+ (503) 2249-3000</t>
  </si>
  <si>
    <t>Hardage Hospitality LLC</t>
  </si>
  <si>
    <t>Chase Suite Hotel - Brea</t>
  </si>
  <si>
    <t xml:space="preserve">3100 East Imperial Highway </t>
  </si>
  <si>
    <t>Brea</t>
  </si>
  <si>
    <t>Chase Hardage</t>
  </si>
  <si>
    <t>Jose Cuevas</t>
  </si>
  <si>
    <t>+1 (714) 579-3200</t>
  </si>
  <si>
    <t>Candlewood Suites Austin - Round Rock</t>
  </si>
  <si>
    <t xml:space="preserve">521 South IH35 </t>
  </si>
  <si>
    <t>Jay Kamal</t>
  </si>
  <si>
    <t>+1 (512) 828-0899</t>
  </si>
  <si>
    <t>Chase Suite Hotel - Newark</t>
  </si>
  <si>
    <t xml:space="preserve">39150 Cedar Boulevard </t>
  </si>
  <si>
    <t>Herman Wuysang</t>
  </si>
  <si>
    <t>+1 (510) 795-1200</t>
  </si>
  <si>
    <t>Chase Suite Hotel - El Paso</t>
  </si>
  <si>
    <t xml:space="preserve">6791 Montana Avenue </t>
  </si>
  <si>
    <t>David Roque</t>
  </si>
  <si>
    <t>+1 (915) 772-8000</t>
  </si>
  <si>
    <t>Chase Suite Hotel - Tampa</t>
  </si>
  <si>
    <t xml:space="preserve">3075 North Rocky Point Drive East </t>
  </si>
  <si>
    <t>Leo Gregorio</t>
  </si>
  <si>
    <t>Jamir Jordan</t>
  </si>
  <si>
    <t>+1 (813) 281-5677</t>
  </si>
  <si>
    <t>Courtyard Marina del Rey</t>
  </si>
  <si>
    <t xml:space="preserve">4360 Via Marina </t>
  </si>
  <si>
    <t>Marina del Rey</t>
  </si>
  <si>
    <t>Ariana Matei</t>
  </si>
  <si>
    <t>Mark Murphy</t>
  </si>
  <si>
    <t>+1 (310) 439-2908</t>
  </si>
  <si>
    <t>Residence Inn Marina del Rey</t>
  </si>
  <si>
    <t>Montage Healdsburg</t>
  </si>
  <si>
    <t xml:space="preserve">100 Montage Way </t>
  </si>
  <si>
    <t>Allen Highfield</t>
  </si>
  <si>
    <t>Elisa DelCarlo</t>
  </si>
  <si>
    <t>+1 (707) 979-9000</t>
  </si>
  <si>
    <t>Holiday Inn Dallas Market Center</t>
  </si>
  <si>
    <t xml:space="preserve">4500 Harry Hines Boulevard </t>
  </si>
  <si>
    <t>Peter Kandel</t>
  </si>
  <si>
    <t>Lois Woltmann</t>
  </si>
  <si>
    <t>+1 (214) 219-3333</t>
  </si>
  <si>
    <t>Courtyard Gettysburg</t>
  </si>
  <si>
    <t xml:space="preserve">115 Presidential Circle </t>
  </si>
  <si>
    <t>Gettysburg</t>
  </si>
  <si>
    <t>Paul Krep</t>
  </si>
  <si>
    <t>Daniel Miller</t>
  </si>
  <si>
    <t>+1 (717) 334-5600</t>
  </si>
  <si>
    <t>Wyndham Gettysburg</t>
  </si>
  <si>
    <t xml:space="preserve">95 Presidential Circle </t>
  </si>
  <si>
    <t>+1 (717) 339-0020</t>
  </si>
  <si>
    <t>Dwarika Inc</t>
  </si>
  <si>
    <t>Fairfield Inn &amp; Suites Rolla</t>
  </si>
  <si>
    <t xml:space="preserve">1670 Old Wire Outer Road </t>
  </si>
  <si>
    <t>Rolla</t>
  </si>
  <si>
    <t>Len Freeman</t>
  </si>
  <si>
    <t>+1(573) 426-4300</t>
  </si>
  <si>
    <t>Hyatt Place Austin - Lake Travis - Four Points</t>
  </si>
  <si>
    <t xml:space="preserve">7300 N FM 620 </t>
  </si>
  <si>
    <t>Nathan Siler</t>
  </si>
  <si>
    <t>+1 (512) 369-3120</t>
  </si>
  <si>
    <t>Rosewood Sand Hill</t>
  </si>
  <si>
    <t xml:space="preserve">2825 Sand Hill Road </t>
  </si>
  <si>
    <t>West Menlo Park</t>
  </si>
  <si>
    <t>Philip Meyer</t>
  </si>
  <si>
    <t>Julian De Jesus</t>
  </si>
  <si>
    <t>+1 (650) 561-1500</t>
  </si>
  <si>
    <t>Residence Inn Grand Rapids Downtown</t>
  </si>
  <si>
    <t xml:space="preserve">70 Louis Street </t>
  </si>
  <si>
    <t>Andrew White</t>
  </si>
  <si>
    <t>Four Points by Sheraton Mt. Prospect</t>
  </si>
  <si>
    <t xml:space="preserve">2200 South Elmhurst Road </t>
  </si>
  <si>
    <t>Maria Morales</t>
  </si>
  <si>
    <t>+1 (847) 290-0909</t>
  </si>
  <si>
    <t>Hampton Inn &amp; Suites Natchez</t>
  </si>
  <si>
    <t xml:space="preserve">627 South Canal Street </t>
  </si>
  <si>
    <t>Patricia Cothren</t>
  </si>
  <si>
    <t>+1 (601) 446-6770</t>
  </si>
  <si>
    <t>Maa Amba Inc.</t>
  </si>
  <si>
    <t>Four Points by Sheraton Houston West</t>
  </si>
  <si>
    <t xml:space="preserve">11191 Clay Rd </t>
  </si>
  <si>
    <t>Donald Harris</t>
  </si>
  <si>
    <t>+1(281)501-4200</t>
  </si>
  <si>
    <t>Regal Hospitality (Canada)</t>
  </si>
  <si>
    <t>Holiday Inn Express &amp; Suites Huntsville - Muskoka</t>
  </si>
  <si>
    <t xml:space="preserve">100 Howland Drive </t>
  </si>
  <si>
    <t>P1H 2P9</t>
  </si>
  <si>
    <t>Carrie Delongchamp</t>
  </si>
  <si>
    <t>+1 (705) 788-9500</t>
  </si>
  <si>
    <t>Nath Companies Incorporated</t>
  </si>
  <si>
    <t>Doubletree Hotel Chicago O'Hare Airport</t>
  </si>
  <si>
    <t xml:space="preserve">5460 North River Road </t>
  </si>
  <si>
    <t>Mike McGuigan</t>
  </si>
  <si>
    <t>+1 (847)292-3559</t>
  </si>
  <si>
    <t>Embassy Suites Chicago OHare Rosemont</t>
  </si>
  <si>
    <t xml:space="preserve">5500 N River Road </t>
  </si>
  <si>
    <t>+1 (847) 678-4000</t>
  </si>
  <si>
    <t>Hilton Garden Inn Shreveport</t>
  </si>
  <si>
    <t xml:space="preserve">5971 Financial Plaza </t>
  </si>
  <si>
    <t>Shreveport</t>
  </si>
  <si>
    <t>Tracy Waller</t>
  </si>
  <si>
    <t>Kenneth Revell</t>
  </si>
  <si>
    <t>+1 (318) 686-0148</t>
  </si>
  <si>
    <t>Wingate by Wyndham Destin</t>
  </si>
  <si>
    <t xml:space="preserve">117 Palm Street </t>
  </si>
  <si>
    <t>Ralph Smallwood</t>
  </si>
  <si>
    <t>+1 (850) 654-4678</t>
  </si>
  <si>
    <t>Grand Hotel Mackinac Island</t>
  </si>
  <si>
    <t xml:space="preserve">286 Grand Avenue </t>
  </si>
  <si>
    <t>Mackinac Island</t>
  </si>
  <si>
    <t>Doug Dean</t>
  </si>
  <si>
    <t>Kate Conlon</t>
  </si>
  <si>
    <t>+1 (906) 847-3331</t>
  </si>
  <si>
    <t>1 Hotel Brooklyn Bridge</t>
  </si>
  <si>
    <t xml:space="preserve">60 Furman Street </t>
  </si>
  <si>
    <t>Juan Leonis</t>
  </si>
  <si>
    <t>Rick Corcoran</t>
  </si>
  <si>
    <t>+1 (610) 653-0662</t>
  </si>
  <si>
    <t>1 Hotel Central Park</t>
  </si>
  <si>
    <t xml:space="preserve">1414 6th Avenue </t>
  </si>
  <si>
    <t>Bernd Pichler</t>
  </si>
  <si>
    <t>Catherine Lee</t>
  </si>
  <si>
    <t>+1 (212) 703-2001</t>
  </si>
  <si>
    <t>1 Hotel South Beach</t>
  </si>
  <si>
    <t xml:space="preserve">2341 Collins Avenue </t>
  </si>
  <si>
    <t>Bill Lloyd</t>
  </si>
  <si>
    <t>Leslie Gallego</t>
  </si>
  <si>
    <t>+1 (305) 604-1000</t>
  </si>
  <si>
    <t>1 Hotel Toronto</t>
  </si>
  <si>
    <t xml:space="preserve">550 Wellington Street West </t>
  </si>
  <si>
    <t>M5V 2V5</t>
  </si>
  <si>
    <t>Felix Schaller</t>
  </si>
  <si>
    <t>Todd Orlich</t>
  </si>
  <si>
    <t>+1 (416) 640-7778</t>
  </si>
  <si>
    <t>1 Hotel West Hollywood</t>
  </si>
  <si>
    <t xml:space="preserve">8490 Sunset Blvd </t>
  </si>
  <si>
    <t>Elmer Flores</t>
  </si>
  <si>
    <t>Shadi Omeish</t>
  </si>
  <si>
    <t>+1(800)301-0171</t>
  </si>
  <si>
    <t xml:space="preserve">Gideon Toal Management Services Inc. </t>
  </si>
  <si>
    <t>104 - DFW - VIP - ALD - Dallas Fort Worth</t>
  </si>
  <si>
    <t>2333 South International Parkway Terminal D Gate 22</t>
  </si>
  <si>
    <t>CONTRACT SERVICES: Airports</t>
  </si>
  <si>
    <t>Airport</t>
  </si>
  <si>
    <t>Ben Davenport</t>
  </si>
  <si>
    <t>+1 (972) 973-5022</t>
  </si>
  <si>
    <t>IAW Brands LLC</t>
  </si>
  <si>
    <t>1KEPT Atlanta</t>
  </si>
  <si>
    <t xml:space="preserve">2293 Peachtree Road Northeast </t>
  </si>
  <si>
    <t>Thaddeus Keefe</t>
  </si>
  <si>
    <t>Patrick King</t>
  </si>
  <si>
    <t>+1 (404) 702-3702</t>
  </si>
  <si>
    <t>1KEPT Charleston</t>
  </si>
  <si>
    <t xml:space="preserve">68 Wentworth Street </t>
  </si>
  <si>
    <t>Trey Dutton</t>
  </si>
  <si>
    <t>+1 (843) 906-4772</t>
  </si>
  <si>
    <t>21c Museum Hotel - Lexington</t>
  </si>
  <si>
    <t xml:space="preserve">167 West Main Street </t>
  </si>
  <si>
    <t>21c Museum Hotel</t>
  </si>
  <si>
    <t>Gabe Isaac</t>
  </si>
  <si>
    <t>+1 (859) 899-6800</t>
  </si>
  <si>
    <t>21c Museum Hotel - Oklahoma City</t>
  </si>
  <si>
    <t xml:space="preserve">900 West Main Street </t>
  </si>
  <si>
    <t>+1 (405) 982-6900</t>
  </si>
  <si>
    <t>21c Museum Hotel Bentonville</t>
  </si>
  <si>
    <t xml:space="preserve">200 Northeast A Street </t>
  </si>
  <si>
    <t>Bentonville</t>
  </si>
  <si>
    <t>Emmanuel Gardinier</t>
  </si>
  <si>
    <t>+1 (479) 286-6500</t>
  </si>
  <si>
    <t>21c Museum Hotel Chicago</t>
  </si>
  <si>
    <t xml:space="preserve">55 East Ontario Street </t>
  </si>
  <si>
    <t>Randall Williams</t>
  </si>
  <si>
    <t>+1 (312) 660-6100</t>
  </si>
  <si>
    <t>21c Museum Hotel Cincinnati</t>
  </si>
  <si>
    <t xml:space="preserve">609 Walnut Street </t>
  </si>
  <si>
    <t>Shelley Meszoly</t>
  </si>
  <si>
    <t>+1 (513) 578-6600</t>
  </si>
  <si>
    <t>21c Museum Hotel Durham</t>
  </si>
  <si>
    <t xml:space="preserve">111 Corcoran Street </t>
  </si>
  <si>
    <t>+1 (919) 956-6700</t>
  </si>
  <si>
    <t>21c Museum Hotel Kansas City</t>
  </si>
  <si>
    <t xml:space="preserve">219 West 9th Street </t>
  </si>
  <si>
    <t>Tim Roby</t>
  </si>
  <si>
    <t>+1(816)443-4200</t>
  </si>
  <si>
    <t>21c Museum Hotel Louisville</t>
  </si>
  <si>
    <t xml:space="preserve">700 West Main Street </t>
  </si>
  <si>
    <t>Andrew Carter</t>
  </si>
  <si>
    <t>Eric Metzger</t>
  </si>
  <si>
    <t>+1 (502) 217-6300</t>
  </si>
  <si>
    <t>21c Museum Hotel Nashville</t>
  </si>
  <si>
    <t>221 Second Avenue North 221 2nd Ave N</t>
  </si>
  <si>
    <t>Juan Fernandez</t>
  </si>
  <si>
    <t>+1(615)610-6400</t>
  </si>
  <si>
    <t>50 Bowery Hotel</t>
  </si>
  <si>
    <t xml:space="preserve">50 Bowery </t>
  </si>
  <si>
    <t>Ryan Fender</t>
  </si>
  <si>
    <t>Alba Ferreira</t>
  </si>
  <si>
    <t>+1 (212) 508-8000</t>
  </si>
  <si>
    <t>500 - Air France - Houston</t>
  </si>
  <si>
    <t xml:space="preserve">3700 North Terminal Road </t>
  </si>
  <si>
    <t>Alex Nguyen</t>
  </si>
  <si>
    <t>+1 (713) 855-8245</t>
  </si>
  <si>
    <t>501 - KLM - Houston</t>
  </si>
  <si>
    <t>720 - The Club at PHX - ALD - Phoenix</t>
  </si>
  <si>
    <t>3800 East Sky Harbor Terminal 4 B-22</t>
  </si>
  <si>
    <t>Ana Jovenal</t>
  </si>
  <si>
    <t>+1 (480) 225-0645</t>
  </si>
  <si>
    <t>750 - The Club at MCO - ALD - Orlando</t>
  </si>
  <si>
    <t>9603 Jeff Fuqua Boulevard Suite 1680</t>
  </si>
  <si>
    <t>JB Bulle</t>
  </si>
  <si>
    <t>+1 (407) 496-9375</t>
  </si>
  <si>
    <t>778 - The Club at LAS - ALD - Terminal 3 Gate E2 - Las Vegas</t>
  </si>
  <si>
    <t>5757 Wayne Newton Boulevard McCarran International Airport Terminal 3 Gate E2</t>
  </si>
  <si>
    <t>Katie Cluess</t>
  </si>
  <si>
    <t>+1 (702) 261-7574</t>
  </si>
  <si>
    <t>AC Hotel Asheville Downtown</t>
  </si>
  <si>
    <t xml:space="preserve">10 Broadway Street </t>
  </si>
  <si>
    <t>Michael Hickerson</t>
  </si>
  <si>
    <t>+1 (828) 258-2522</t>
  </si>
  <si>
    <t>AC Hotel Atlanta Airport</t>
  </si>
  <si>
    <t xml:space="preserve">2079 Hospitality Way </t>
  </si>
  <si>
    <t>Jeff Fowler</t>
  </si>
  <si>
    <t>Tyra Morgan</t>
  </si>
  <si>
    <t>+1 (404) 665-0309</t>
  </si>
  <si>
    <t>AC Hotel Atlanta Midtown</t>
  </si>
  <si>
    <t xml:space="preserve">53 14th Street NE </t>
  </si>
  <si>
    <t>Brittany Pinter</t>
  </si>
  <si>
    <t>+1 (404) 249-9445</t>
  </si>
  <si>
    <t>AC Hotel Austin Downtown (Dual Property)</t>
  </si>
  <si>
    <t xml:space="preserve">1901 San Antonio Street </t>
  </si>
  <si>
    <t>Leighton James</t>
  </si>
  <si>
    <t>Matthew Konrad</t>
  </si>
  <si>
    <t>+1(512)473-8920</t>
  </si>
  <si>
    <t>AC Hotel Boston Brookline</t>
  </si>
  <si>
    <t xml:space="preserve">395 Chestnut Hill Avenue </t>
  </si>
  <si>
    <t>Kevin Matheson</t>
  </si>
  <si>
    <t>Aixa Amparo</t>
  </si>
  <si>
    <t>+1 (617) 730-3660</t>
  </si>
  <si>
    <t>AC Hotel Boston Cambridge</t>
  </si>
  <si>
    <t xml:space="preserve">10 Acorn Park </t>
  </si>
  <si>
    <t>North Cambridge</t>
  </si>
  <si>
    <t>Kristoffer Martin</t>
  </si>
  <si>
    <t>+1(617) 876-6190</t>
  </si>
  <si>
    <t>AC Hotel Boston Downtown</t>
  </si>
  <si>
    <t xml:space="preserve">225 Albany Street </t>
  </si>
  <si>
    <t>Vincent Sassone</t>
  </si>
  <si>
    <t>+1 (617) 848-9063</t>
  </si>
  <si>
    <t>AC Hotel Boston North</t>
  </si>
  <si>
    <t xml:space="preserve">95 Station Landing </t>
  </si>
  <si>
    <t>+1 (781) 819-2090</t>
  </si>
  <si>
    <t>AC Hotel Charlotte City Center</t>
  </si>
  <si>
    <t xml:space="preserve">220 East Trade Street Suite 500 </t>
  </si>
  <si>
    <t>Carrie Duncan</t>
  </si>
  <si>
    <t>+1(704)348-4002</t>
  </si>
  <si>
    <t>AC Hotel Charlotte Southeast</t>
  </si>
  <si>
    <t xml:space="preserve">1824 Roxborough Road </t>
  </si>
  <si>
    <t>Taylor Lugar</t>
  </si>
  <si>
    <t>Matthew Wilhelm</t>
  </si>
  <si>
    <t>+1(980)281-2080</t>
  </si>
  <si>
    <t>AC Hotel Chicago Downtown</t>
  </si>
  <si>
    <t xml:space="preserve">630 North Rush Street </t>
  </si>
  <si>
    <t>Jeff Stewart</t>
  </si>
  <si>
    <t>+1 (312) 981-6600</t>
  </si>
  <si>
    <t>AC Hotel Cincinnati at The Banks</t>
  </si>
  <si>
    <t xml:space="preserve">135 Joe Nuxhall </t>
  </si>
  <si>
    <t>Jessica Carlson</t>
  </si>
  <si>
    <t>Brittney Hall</t>
  </si>
  <si>
    <t>+1 (513) 744-9900</t>
  </si>
  <si>
    <t xml:space="preserve">AC Hotel Cleveland Beachwood </t>
  </si>
  <si>
    <t xml:space="preserve">300 Park Avenue </t>
  </si>
  <si>
    <t>Brett Wolff</t>
  </si>
  <si>
    <t>+1 (216) 831-1108</t>
  </si>
  <si>
    <t>AC Hotel Columbus Dublin</t>
  </si>
  <si>
    <t xml:space="preserve">6540 Riverside Drive </t>
  </si>
  <si>
    <t>Orcun Turkay</t>
  </si>
  <si>
    <t>Brian McCahill</t>
  </si>
  <si>
    <t>+1 (614) 798-8652</t>
  </si>
  <si>
    <t>AC Hotel Denver Downtown</t>
  </si>
  <si>
    <t xml:space="preserve">750 15th Street </t>
  </si>
  <si>
    <t>Niels Vuijsters</t>
  </si>
  <si>
    <t>+1 (303) 893-1888</t>
  </si>
  <si>
    <t>AC Hotel Escazu</t>
  </si>
  <si>
    <t>San Jose-Escazu San Rafael Avenida Escazu Edificio Ciento Dos</t>
  </si>
  <si>
    <t>Escazu</t>
  </si>
  <si>
    <t>Ismael Morales Guillen</t>
  </si>
  <si>
    <t>+()2588-4300</t>
  </si>
  <si>
    <t>AC Hotel Fort Worth Downtown</t>
  </si>
  <si>
    <t xml:space="preserve">101 West 5th Street </t>
  </si>
  <si>
    <t>Aaron Oquendo</t>
  </si>
  <si>
    <t>+1 (682) 291-0700</t>
  </si>
  <si>
    <t>AC Hotel Grand Rapids Downtown</t>
  </si>
  <si>
    <t xml:space="preserve">50 Monroe Avenue Northwest </t>
  </si>
  <si>
    <t>Ryan Schmied</t>
  </si>
  <si>
    <t>Melissa Stanley</t>
  </si>
  <si>
    <t>+1 (616) 776-3270</t>
  </si>
  <si>
    <t>AC Hotel Guadalajara</t>
  </si>
  <si>
    <t xml:space="preserve">Avenida de Las Americas 1500 Country Club </t>
  </si>
  <si>
    <t>Ivan Altamirano</t>
  </si>
  <si>
    <t>+045(311)106-6340</t>
  </si>
  <si>
    <t>AC Hotel Huntsville South</t>
  </si>
  <si>
    <t xml:space="preserve">435 Williams Ave Southwest </t>
  </si>
  <si>
    <t>Randy Shoe</t>
  </si>
  <si>
    <t>+1(256)836-7776</t>
  </si>
  <si>
    <t>AC Hotel Kansas City South</t>
  </si>
  <si>
    <t xml:space="preserve">560 Westport Road </t>
  </si>
  <si>
    <t>+1 (816) 931-0001</t>
  </si>
  <si>
    <t>AC Hotel Little Rock Downtown</t>
  </si>
  <si>
    <t xml:space="preserve">201 West Capitol Avenue </t>
  </si>
  <si>
    <t>David Miller</t>
  </si>
  <si>
    <t>+1(501)500-8700</t>
  </si>
  <si>
    <t>Welcome Group Inc.</t>
  </si>
  <si>
    <t>AC Hotel Los Angeles South Bay</t>
  </si>
  <si>
    <t xml:space="preserve">2130 East Maple Avenue </t>
  </si>
  <si>
    <t>Ahmed Elassy</t>
  </si>
  <si>
    <t>+1(310)322-3333</t>
  </si>
  <si>
    <t>AC Hotel Miami Beach</t>
  </si>
  <si>
    <t xml:space="preserve">2912 Collins Avenue </t>
  </si>
  <si>
    <t>Nanyce Childress</t>
  </si>
  <si>
    <t>Ana Ramos</t>
  </si>
  <si>
    <t>+(786)264-4720</t>
  </si>
  <si>
    <t>AC Hotel Miami NW-Doral</t>
  </si>
  <si>
    <t xml:space="preserve">8091 Northwest 36th Street </t>
  </si>
  <si>
    <t>Medley</t>
  </si>
  <si>
    <t>Debbie Meiler</t>
  </si>
  <si>
    <t>+(786)753-6035</t>
  </si>
  <si>
    <t>AC Hotel Miami Wynwood</t>
  </si>
  <si>
    <t xml:space="preserve">3400 Biscayne Boulevard </t>
  </si>
  <si>
    <t>+1(786) 209-0005</t>
  </si>
  <si>
    <t>AC Hotel Minneapolis</t>
  </si>
  <si>
    <t xml:space="preserve">401 Hennepin Avenue </t>
  </si>
  <si>
    <t>Ann Heinzer</t>
  </si>
  <si>
    <t>+(612) 338-0700</t>
  </si>
  <si>
    <t>Mercury Investments LP by General Partner Terratron Inc.</t>
  </si>
  <si>
    <t>AC Hotel Minneapolis Bloomington Mall of America</t>
  </si>
  <si>
    <t xml:space="preserve">8100 26th Avenue South </t>
  </si>
  <si>
    <t>Shane Christenson</t>
  </si>
  <si>
    <t>+1 (952) 854-0123</t>
  </si>
  <si>
    <t>AC Hotel Panama City</t>
  </si>
  <si>
    <t xml:space="preserve">Calle Ricardo Arias 8 </t>
  </si>
  <si>
    <t>Ciudad de Panama</t>
  </si>
  <si>
    <t>Yovana Segarra</t>
  </si>
  <si>
    <t>Ana Lucia Arciniegas</t>
  </si>
  <si>
    <t>+(507) 394-7777</t>
  </si>
  <si>
    <t>AC Hotel Phoenix Biltmore</t>
  </si>
  <si>
    <t xml:space="preserve">2811 East Camelback Road </t>
  </si>
  <si>
    <t>Mike Carvelo</t>
  </si>
  <si>
    <t>+1(602)852-6500</t>
  </si>
  <si>
    <t>AC Hotel Phoenix Tempe</t>
  </si>
  <si>
    <t xml:space="preserve">100 East Rio Salado Parkway </t>
  </si>
  <si>
    <t>Steven Munson</t>
  </si>
  <si>
    <t>+(480) 642-6140</t>
  </si>
  <si>
    <t>AC Hotel Pleasanton</t>
  </si>
  <si>
    <t xml:space="preserve">5990 Stoneridge Mall Road </t>
  </si>
  <si>
    <t>Sanjiv Gupta</t>
  </si>
  <si>
    <t>+ (925) 463-3330</t>
  </si>
  <si>
    <t>AC Hotel Portland Beaverton</t>
  </si>
  <si>
    <t xml:space="preserve">15705 NW Blueridge Drive </t>
  </si>
  <si>
    <t>Scott Congdon</t>
  </si>
  <si>
    <t>AC Hotel Portland Downtown Waterfront ME</t>
  </si>
  <si>
    <t xml:space="preserve">158 Fore Street </t>
  </si>
  <si>
    <t>Seamus Perry</t>
  </si>
  <si>
    <t>+1 (207) 747-1640</t>
  </si>
  <si>
    <t>AC Hotel Portsmouth</t>
  </si>
  <si>
    <t xml:space="preserve">299 Vaughan Street </t>
  </si>
  <si>
    <t>Christopher Moulton</t>
  </si>
  <si>
    <t>+1 (603) 427-0152</t>
  </si>
  <si>
    <t>AC Hotel Queretaro Antea</t>
  </si>
  <si>
    <t xml:space="preserve">AV Antea No. 1050 Ejido Jurica </t>
  </si>
  <si>
    <t>Querétaro</t>
  </si>
  <si>
    <t>Edgar Joya</t>
  </si>
  <si>
    <t>+1 (462) 193-9663</t>
  </si>
  <si>
    <t>AC Hotel Santa Ana Irvine</t>
  </si>
  <si>
    <t xml:space="preserve">3309 Michelson Drive </t>
  </si>
  <si>
    <t>Kayla Caamano</t>
  </si>
  <si>
    <t>Elizabeth Park</t>
  </si>
  <si>
    <t>+(949)471-8710</t>
  </si>
  <si>
    <t>Operadora Turistica MP SA DE CV</t>
  </si>
  <si>
    <t>AC Hotel Santa Fe</t>
  </si>
  <si>
    <t>Juan Salvador Agraz No 130 Colonia Santa Fe Cuajimalpa</t>
  </si>
  <si>
    <t>Israel Aragon</t>
  </si>
  <si>
    <t>Christian Sanchez Su</t>
  </si>
  <si>
    <t>+()1 52-55-1037-5140</t>
  </si>
  <si>
    <t>AC Hotel Seattle Bellevue</t>
  </si>
  <si>
    <t xml:space="preserve">208 106th Place Northeast </t>
  </si>
  <si>
    <t>Jerry Rice</t>
  </si>
  <si>
    <t>+1 (425) 625-2450</t>
  </si>
  <si>
    <t>AC Hotel Tampa Airport</t>
  </si>
  <si>
    <t xml:space="preserve">4020 West Boy Scout Boulevard </t>
  </si>
  <si>
    <t>Aaron Hoefen</t>
  </si>
  <si>
    <t>5 North 5th Hotel LLC</t>
  </si>
  <si>
    <t>AC Hotel Tucson</t>
  </si>
  <si>
    <t xml:space="preserve">151 East Broadway Boulevard </t>
  </si>
  <si>
    <t>Luis Galvan</t>
  </si>
  <si>
    <t>Holly Hasting</t>
  </si>
  <si>
    <t>+1 (520) 385-7111</t>
  </si>
  <si>
    <t>AC Hotel Veracruz</t>
  </si>
  <si>
    <t xml:space="preserve">Blvd Adolfo Ruiz Cortines 3422 </t>
  </si>
  <si>
    <t>Boca del Rio</t>
  </si>
  <si>
    <t>Aurora Lopez</t>
  </si>
  <si>
    <t>+(52)229 0271 1200</t>
  </si>
  <si>
    <t>AC Hotel Washington DC at National Harbor</t>
  </si>
  <si>
    <t xml:space="preserve">156 Waterfront Street </t>
  </si>
  <si>
    <t>Oxon Hill</t>
  </si>
  <si>
    <t>Erin Adams</t>
  </si>
  <si>
    <t>Michael Lizon</t>
  </si>
  <si>
    <t>+1 (301) 749-2299</t>
  </si>
  <si>
    <t>AC Hotel Worcester</t>
  </si>
  <si>
    <t xml:space="preserve">125 Front Street </t>
  </si>
  <si>
    <t>Mary Simone</t>
  </si>
  <si>
    <t>+1 (774) 420-7555</t>
  </si>
  <si>
    <t>AC Hotels Dallas by the Galleria</t>
  </si>
  <si>
    <t xml:space="preserve">5460 James Temple Drive </t>
  </si>
  <si>
    <t>Kasey Rhoton</t>
  </si>
  <si>
    <t>Ennisia Anderson</t>
  </si>
  <si>
    <t>+(469)399-1013</t>
  </si>
  <si>
    <t>AC Hotels Guatemala City</t>
  </si>
  <si>
    <t xml:space="preserve">11 Avenida 35-02 Paseo Cayala Zona 16 </t>
  </si>
  <si>
    <t>Guatemala</t>
  </si>
  <si>
    <t>GTM</t>
  </si>
  <si>
    <t>Heyssel Barerra</t>
  </si>
  <si>
    <t>Mauro Barros</t>
  </si>
  <si>
    <t>+1(502)4239 0255</t>
  </si>
  <si>
    <t>AC New Orleans Bourbon-French Quarter Area</t>
  </si>
  <si>
    <t xml:space="preserve">221 Carondelet Street </t>
  </si>
  <si>
    <t>Skip Adams</t>
  </si>
  <si>
    <t>Brandon Scarabin</t>
  </si>
  <si>
    <t>+1 (504) 962-0700</t>
  </si>
  <si>
    <t>AC Portland</t>
  </si>
  <si>
    <t xml:space="preserve">888 SW Third Avenue </t>
  </si>
  <si>
    <t>Eutimia Casler</t>
  </si>
  <si>
    <t>Ryan Kunzer</t>
  </si>
  <si>
    <t>+1 (503) 223-2100</t>
  </si>
  <si>
    <t>Acqualina Management LLC</t>
  </si>
  <si>
    <t>Acqualina Resort and Spa</t>
  </si>
  <si>
    <t xml:space="preserve">17875 Collins Avenue </t>
  </si>
  <si>
    <t>Grant Friedman</t>
  </si>
  <si>
    <t>+1 (305) 918-8000</t>
  </si>
  <si>
    <t>Rockgate Management Co.</t>
  </si>
  <si>
    <t>Adams Pointe Conference Center</t>
  </si>
  <si>
    <t xml:space="preserve">1400 NE Coronado Drive </t>
  </si>
  <si>
    <t>Blue Springs</t>
  </si>
  <si>
    <t>William Reese</t>
  </si>
  <si>
    <t xml:space="preserve">Sarah Hobbs </t>
  </si>
  <si>
    <t>+1 (816) 220-4400</t>
  </si>
  <si>
    <t>C-Two Hotels</t>
  </si>
  <si>
    <t>Adante Hotel</t>
  </si>
  <si>
    <t xml:space="preserve">610 Geary Street </t>
  </si>
  <si>
    <t>Raj TP</t>
  </si>
  <si>
    <t>+1 (415) 673-9221</t>
  </si>
  <si>
    <t>ADERO Scottsdale Autograph Collection</t>
  </si>
  <si>
    <t xml:space="preserve">13225 North Eagle Ridge Drive </t>
  </si>
  <si>
    <t>Claire-Louise Gardenhire</t>
  </si>
  <si>
    <t>Dieter Schmitz</t>
  </si>
  <si>
    <t>+1 (480) 333-1900</t>
  </si>
  <si>
    <t>Air France</t>
  </si>
  <si>
    <t xml:space="preserve">Air France Terminal One JFK International Airport </t>
  </si>
  <si>
    <t>Jean-Bernard Vincent</t>
  </si>
  <si>
    <t>+1 (718) 244-0196</t>
  </si>
  <si>
    <t>Samm Capital Holdings Inc</t>
  </si>
  <si>
    <t>Airlane Hotel &amp; Conference Centre</t>
  </si>
  <si>
    <t xml:space="preserve">698 W. Arthur St. </t>
  </si>
  <si>
    <t>Thunder Bay</t>
  </si>
  <si>
    <t>P7C 2B3</t>
  </si>
  <si>
    <t>Junaid Syed</t>
  </si>
  <si>
    <t>+1 (807) 473-1600</t>
  </si>
  <si>
    <t>Outrigger Hotels Hawaii</t>
  </si>
  <si>
    <t>Airport Honolulu Hotel</t>
  </si>
  <si>
    <t>3401 North Nimitz Highway Oahu</t>
  </si>
  <si>
    <t>Outrigger</t>
  </si>
  <si>
    <t>Jim Heather</t>
  </si>
  <si>
    <t>+1 (808) 836-0661</t>
  </si>
  <si>
    <t>Ajax Skiier Services</t>
  </si>
  <si>
    <t xml:space="preserve">675 East Durant Avenue </t>
  </si>
  <si>
    <t>Jim Ward</t>
  </si>
  <si>
    <t>+1 (970) 300-7155</t>
  </si>
  <si>
    <t>Albemarle Estate at Trump Winery</t>
  </si>
  <si>
    <t xml:space="preserve">355 Albemarle House Drive </t>
  </si>
  <si>
    <t>Kerry Woolard</t>
  </si>
  <si>
    <t>Josh Neelley</t>
  </si>
  <si>
    <t>+1 (434) 977-4001</t>
  </si>
  <si>
    <t>Servicios Administrativos Ecco S. de R.L. de C.V.</t>
  </si>
  <si>
    <t>Alcazar de Toledo</t>
  </si>
  <si>
    <t>Alcazar de Toldeo N 546 Colonia: Real de Las Lomas Miguel Hidalgo</t>
  </si>
  <si>
    <t>Salomon Duek</t>
  </si>
  <si>
    <t>+(55) 41-61-02-94</t>
  </si>
  <si>
    <t>Alden Hotel</t>
  </si>
  <si>
    <t xml:space="preserve">2925 Indian Creek Drive </t>
  </si>
  <si>
    <t>James Hazzard</t>
  </si>
  <si>
    <t>+1 (786) 456-8710</t>
  </si>
  <si>
    <t>Aliso Viejo Country Club</t>
  </si>
  <si>
    <t xml:space="preserve">33 Santa Barbara </t>
  </si>
  <si>
    <t>Aliso Viejo</t>
  </si>
  <si>
    <t>ClubCorp Signature</t>
  </si>
  <si>
    <t>Jay Carballo</t>
  </si>
  <si>
    <t>+ (949) 598-9200</t>
  </si>
  <si>
    <t>Allegria Hotel</t>
  </si>
  <si>
    <t xml:space="preserve">80 West Broadway </t>
  </si>
  <si>
    <t>Glen Vuilleumier</t>
  </si>
  <si>
    <t>Andrew Fare</t>
  </si>
  <si>
    <t>+1 (516) 889-1300</t>
  </si>
  <si>
    <t>Aloft Alpharetta</t>
  </si>
  <si>
    <t xml:space="preserve">7895 North Point Parkway </t>
  </si>
  <si>
    <t>Shakeema FordWalsh</t>
  </si>
  <si>
    <t>Lynn Sharp</t>
  </si>
  <si>
    <t>+1 (678) 527-6800</t>
  </si>
  <si>
    <t>Aloft Arundel Mills</t>
  </si>
  <si>
    <t xml:space="preserve">7520 Teague Road </t>
  </si>
  <si>
    <t>Biruk Tadese</t>
  </si>
  <si>
    <t>+1 (443) 577-0077</t>
  </si>
  <si>
    <t>Aloft Asheville Downtown</t>
  </si>
  <si>
    <t xml:space="preserve">51 Biltmore Avenue </t>
  </si>
  <si>
    <t>Christa Baer</t>
  </si>
  <si>
    <t>Drew Walls</t>
  </si>
  <si>
    <t>+1 (828) 232-2838</t>
  </si>
  <si>
    <t>Aloft at the Battery Atlanta</t>
  </si>
  <si>
    <t xml:space="preserve">950 Battery Avenue </t>
  </si>
  <si>
    <t>Jeff Walker</t>
  </si>
  <si>
    <t>Morgan Tiffany</t>
  </si>
  <si>
    <t>+1 (678) 272-4288</t>
  </si>
  <si>
    <t>Humble Origins Hospitality Management</t>
  </si>
  <si>
    <t>Aloft Austin Airport</t>
  </si>
  <si>
    <t xml:space="preserve">8000 East Ben White Boulevard </t>
  </si>
  <si>
    <t>Nisha Lyles</t>
  </si>
  <si>
    <t>+1(512) 247-4000</t>
  </si>
  <si>
    <t>Aloft Austin Downtown</t>
  </si>
  <si>
    <t xml:space="preserve">109 East 7th Street </t>
  </si>
  <si>
    <t>+1 (512) 476-2222</t>
  </si>
  <si>
    <t>Aloft Boston Seaport</t>
  </si>
  <si>
    <t xml:space="preserve">401-403 D St </t>
  </si>
  <si>
    <t>Conrad McKay</t>
  </si>
  <si>
    <t>+(617) 530-1600</t>
  </si>
  <si>
    <t>Manga Airport LLC</t>
  </si>
  <si>
    <t>Aloft Buffalo Airport</t>
  </si>
  <si>
    <t xml:space="preserve">4219 Genesee Street </t>
  </si>
  <si>
    <t>Jeffrey Rapini</t>
  </si>
  <si>
    <t>Warren Bowles</t>
  </si>
  <si>
    <t>+1 (716) 626-1800</t>
  </si>
  <si>
    <t>Aloft Celaya</t>
  </si>
  <si>
    <t xml:space="preserve">Eje Nor Oriente 177Colonia Compuertas DelCampestre </t>
  </si>
  <si>
    <t>Celaya</t>
  </si>
  <si>
    <t>Ana Luisa Dominguez</t>
  </si>
  <si>
    <t>+()9981704270</t>
  </si>
  <si>
    <t>Aloft Charleston Airport &amp; Convention Center</t>
  </si>
  <si>
    <t xml:space="preserve">4875 Tanger Outlet Boulevard </t>
  </si>
  <si>
    <t>Jennifer Mortland</t>
  </si>
  <si>
    <t>Caroline Sala</t>
  </si>
  <si>
    <t>+1 (843) 566-7300</t>
  </si>
  <si>
    <t>Aloft Charlotte Uptown</t>
  </si>
  <si>
    <t xml:space="preserve">210 E. Trade St. </t>
  </si>
  <si>
    <t>Ashley Tjaden</t>
  </si>
  <si>
    <t>+1 (704) 333-1999</t>
  </si>
  <si>
    <t>THC Ontario LLC</t>
  </si>
  <si>
    <t>Aloft Chicago Mag Mile</t>
  </si>
  <si>
    <t xml:space="preserve">243 East Ontario Street </t>
  </si>
  <si>
    <t>+1(630) 291-1988</t>
  </si>
  <si>
    <t>Aloft Columbia - Harbison</t>
  </si>
  <si>
    <t xml:space="preserve">217 Lanneau Court </t>
  </si>
  <si>
    <t>Tammy Huling</t>
  </si>
  <si>
    <t>Kristin Perry</t>
  </si>
  <si>
    <t>+1 (803) 407-6166</t>
  </si>
  <si>
    <t>Aloft Cupertino</t>
  </si>
  <si>
    <t xml:space="preserve">10165 North De Anza Boulevard </t>
  </si>
  <si>
    <t>Cupertino</t>
  </si>
  <si>
    <t>Betsy Visque</t>
  </si>
  <si>
    <t>Peggy Bodene</t>
  </si>
  <si>
    <t>+1 (408) 766-7000</t>
  </si>
  <si>
    <t>Samar 202 Florida LLC</t>
  </si>
  <si>
    <t>Aloft Delray Beach</t>
  </si>
  <si>
    <t xml:space="preserve">202 Southeast 5th Avenue </t>
  </si>
  <si>
    <t>Delray Beach</t>
  </si>
  <si>
    <t>AJ Jabbour</t>
  </si>
  <si>
    <t>+1 (561) 469-0050</t>
  </si>
  <si>
    <t>Aloft Denver Downtown</t>
  </si>
  <si>
    <t xml:space="preserve">800 15th Street </t>
  </si>
  <si>
    <t>Amber Pacheco</t>
  </si>
  <si>
    <t>Chris Kato</t>
  </si>
  <si>
    <t>+1 (303) 623-3063</t>
  </si>
  <si>
    <t>Aloft Denver International Airport</t>
  </si>
  <si>
    <t xml:space="preserve">16470 East 40th Circle </t>
  </si>
  <si>
    <t>Rishanda Johnson</t>
  </si>
  <si>
    <t>+1 (303) 371-9500</t>
  </si>
  <si>
    <t>Aloft Greenville Downtown</t>
  </si>
  <si>
    <t xml:space="preserve">5 North Laurens Street </t>
  </si>
  <si>
    <t>Jonathon Brashier</t>
  </si>
  <si>
    <t>Dustin Cash</t>
  </si>
  <si>
    <t>+1(864)297-6100</t>
  </si>
  <si>
    <t>Aloft Hotel Austin</t>
  </si>
  <si>
    <t xml:space="preserve">11601 Domain Dr. </t>
  </si>
  <si>
    <t>Travis Sparks</t>
  </si>
  <si>
    <t>+1 (512) 491-0777</t>
  </si>
  <si>
    <t>Aloft Hotel Chicago City Center</t>
  </si>
  <si>
    <t xml:space="preserve">515 North Clark Street </t>
  </si>
  <si>
    <t>Amy Ruffner</t>
  </si>
  <si>
    <t>Esther White</t>
  </si>
  <si>
    <t>+ (312) 661-1000</t>
  </si>
  <si>
    <t>Aloft Houston</t>
  </si>
  <si>
    <t xml:space="preserve">5415 Westheimer Road </t>
  </si>
  <si>
    <t>+ (713) 622-7010</t>
  </si>
  <si>
    <t>Aloft Lexington</t>
  </si>
  <si>
    <t xml:space="preserve">727 Marrett Road - A </t>
  </si>
  <si>
    <t>Bob Ayers</t>
  </si>
  <si>
    <t>Michael Glennon</t>
  </si>
  <si>
    <t>+1 (781) 761-1700</t>
  </si>
  <si>
    <t>Aloft Louisville Downtown</t>
  </si>
  <si>
    <t xml:space="preserve">102 West Main Street </t>
  </si>
  <si>
    <t>+1(502)583-1888</t>
  </si>
  <si>
    <t>Mary Brickell Management</t>
  </si>
  <si>
    <t>Aloft Miami - Brickell</t>
  </si>
  <si>
    <t xml:space="preserve">1001 Southwest 2nd Avenue </t>
  </si>
  <si>
    <t>Jonathan Castillo</t>
  </si>
  <si>
    <t>+1 (305) 854-6300</t>
  </si>
  <si>
    <t>Aloft Miami Airport</t>
  </si>
  <si>
    <t xml:space="preserve">7220 Northwest 36th Street </t>
  </si>
  <si>
    <t>Stephanie Kopfstedt</t>
  </si>
  <si>
    <t>+1 (786) 866-0600</t>
  </si>
  <si>
    <t>Delco Development Company</t>
  </si>
  <si>
    <t>Aloft Mount Laurel</t>
  </si>
  <si>
    <t xml:space="preserve">558 Fellowship Road </t>
  </si>
  <si>
    <t>Joe Pergine</t>
  </si>
  <si>
    <t>Michelle Banfe</t>
  </si>
  <si>
    <t>+1 (856) 234-1880</t>
  </si>
  <si>
    <t>Aloft Mountain View</t>
  </si>
  <si>
    <t xml:space="preserve">840 East El Camino Real </t>
  </si>
  <si>
    <t>Andrea Friend</t>
  </si>
  <si>
    <t>Victor Reynoso</t>
  </si>
  <si>
    <t>+1 (650) 964-1700</t>
  </si>
  <si>
    <t>Aloft New Orleans Downtown</t>
  </si>
  <si>
    <t xml:space="preserve">225 Baronne Street </t>
  </si>
  <si>
    <t>Kristi Taglauer</t>
  </si>
  <si>
    <t>Gary Barthold</t>
  </si>
  <si>
    <t>+1 (504) 581-9225</t>
  </si>
  <si>
    <t>Aloft Orlando Downtown</t>
  </si>
  <si>
    <t xml:space="preserve">500 South Orange Avenue </t>
  </si>
  <si>
    <t>Luis Arancibia</t>
  </si>
  <si>
    <t>Eric Crawford</t>
  </si>
  <si>
    <t>+1(407) 380-3500</t>
  </si>
  <si>
    <t>Nuevos Hoteles De Panama S.A.</t>
  </si>
  <si>
    <t>Aloft Panama Hotel</t>
  </si>
  <si>
    <t xml:space="preserve">Via Israel &amp; 76th Street </t>
  </si>
  <si>
    <t>Jose Roa</t>
  </si>
  <si>
    <t>Maurizio Molari</t>
  </si>
  <si>
    <t>+1 (507) 305-6902</t>
  </si>
  <si>
    <t>Aloft Philadelphia Airport</t>
  </si>
  <si>
    <t xml:space="preserve">4301 Island Avenue </t>
  </si>
  <si>
    <t>Eastwick</t>
  </si>
  <si>
    <t>Scott Barrie</t>
  </si>
  <si>
    <t>+1(267)298-1700</t>
  </si>
  <si>
    <t>Aloft Philadelphia Downtown</t>
  </si>
  <si>
    <t xml:space="preserve">101 North Broad Street </t>
  </si>
  <si>
    <t>Evan Evans</t>
  </si>
  <si>
    <t>+1 (215) 607-2020</t>
  </si>
  <si>
    <t>Aloft Raleigh</t>
  </si>
  <si>
    <t xml:space="preserve">2100 Hillsborough Street </t>
  </si>
  <si>
    <t>Clarice Ohle</t>
  </si>
  <si>
    <t>Edie Deck</t>
  </si>
  <si>
    <t>+1 (919) 828-9900</t>
  </si>
  <si>
    <t>Aloft Round Rock</t>
  </si>
  <si>
    <t xml:space="preserve">2951 Jazz Street </t>
  </si>
  <si>
    <t>Joseph Quail</t>
  </si>
  <si>
    <t>O'Karean Ellis</t>
  </si>
  <si>
    <t>+1(512)218-5945</t>
  </si>
  <si>
    <t>Aloft San Jose Cupertino</t>
  </si>
  <si>
    <t xml:space="preserve">4241 Moorpark Avenue </t>
  </si>
  <si>
    <t>Alex Tang</t>
  </si>
  <si>
    <t>+1 (408) 864-0300</t>
  </si>
  <si>
    <t>Aloft San Juan Convention Center Puerto Rico</t>
  </si>
  <si>
    <t xml:space="preserve">300 Convention Center Boulevard </t>
  </si>
  <si>
    <t>Aloft (LMS)</t>
  </si>
  <si>
    <t>Cesar Ostoloza</t>
  </si>
  <si>
    <t>+1 (787) 688-6468</t>
  </si>
  <si>
    <t>Aloft Sarasota</t>
  </si>
  <si>
    <t xml:space="preserve">1401 Ringling Boulevard </t>
  </si>
  <si>
    <t>Jason Samson</t>
  </si>
  <si>
    <t>Gail Mullen</t>
  </si>
  <si>
    <t>+1(941) 870-0900</t>
  </si>
  <si>
    <t>Aloft Savannah Downtown Historic District</t>
  </si>
  <si>
    <t xml:space="preserve">512 West Oglethorpe Avenue </t>
  </si>
  <si>
    <t>Melvin White</t>
  </si>
  <si>
    <t>+1(912)421-2003</t>
  </si>
  <si>
    <t>Everest Hotel Group LLC</t>
  </si>
  <si>
    <t>Aloft Silicon Valley</t>
  </si>
  <si>
    <t xml:space="preserve">8200 Gateway Boulevard </t>
  </si>
  <si>
    <t>Jason Ransom</t>
  </si>
  <si>
    <t>+1 (510) 494-8800</t>
  </si>
  <si>
    <t>Aloft South Bend</t>
  </si>
  <si>
    <t xml:space="preserve">111 North Main Street </t>
  </si>
  <si>
    <t>South Bend</t>
  </si>
  <si>
    <t>Andrew Sime</t>
  </si>
  <si>
    <t>+1(574)288-8000</t>
  </si>
  <si>
    <t>Aloft Sunnyvale</t>
  </si>
  <si>
    <t xml:space="preserve">170 South Sunnyvale Avenue </t>
  </si>
  <si>
    <t>Alejandra Blanco</t>
  </si>
  <si>
    <t>Jarett Borges</t>
  </si>
  <si>
    <t>+1 (408) 736-0300</t>
  </si>
  <si>
    <t>Aloft Tallahassee Downtown</t>
  </si>
  <si>
    <t xml:space="preserve">200 N. Monroe Street </t>
  </si>
  <si>
    <t>Devin Baker</t>
  </si>
  <si>
    <t>+ () 850-513-0313</t>
  </si>
  <si>
    <t>Pharos Hotels LLC</t>
  </si>
  <si>
    <t>Aloft Tampa Downtown</t>
  </si>
  <si>
    <t xml:space="preserve">100 West Kennedy Boulevard </t>
  </si>
  <si>
    <t>Mike Hurley</t>
  </si>
  <si>
    <t>Raleigh Postiglione</t>
  </si>
  <si>
    <t>+1 (813) 898-8000</t>
  </si>
  <si>
    <t>Aloft Tempe</t>
  </si>
  <si>
    <t xml:space="preserve">951 East Playa Del Norte Drive </t>
  </si>
  <si>
    <t>Dominick Cano</t>
  </si>
  <si>
    <t>+1 (480) 621-3300</t>
  </si>
  <si>
    <t>Aloft Tucson University</t>
  </si>
  <si>
    <t xml:space="preserve">1900 East Speedway Boulevard </t>
  </si>
  <si>
    <t>Cathy Moore</t>
  </si>
  <si>
    <t>Phil Podolski</t>
  </si>
  <si>
    <t>+1 (520) 908-6800</t>
  </si>
  <si>
    <t>Concept Hotel LLC</t>
  </si>
  <si>
    <t>Alpine Inn &amp; Suites</t>
  </si>
  <si>
    <t xml:space="preserve">560 Carter Street </t>
  </si>
  <si>
    <t>Daly City</t>
  </si>
  <si>
    <t>Lisa Gomez</t>
  </si>
  <si>
    <t>+(415)334-6969</t>
  </si>
  <si>
    <t>Alura Inn</t>
  </si>
  <si>
    <t xml:space="preserve">1378 Oakland Road </t>
  </si>
  <si>
    <t>Katrina Jenkins</t>
  </si>
  <si>
    <t>+1 (408) 437-0900</t>
  </si>
  <si>
    <t>Alyeska Resort</t>
  </si>
  <si>
    <t xml:space="preserve">1000 Arlberg Avenue </t>
  </si>
  <si>
    <t>Girdwood</t>
  </si>
  <si>
    <t>Sacha Jurva</t>
  </si>
  <si>
    <t>Jason Porter</t>
  </si>
  <si>
    <t>+1 (907) 754-2111</t>
  </si>
  <si>
    <t>Ambassador Chicago</t>
  </si>
  <si>
    <t xml:space="preserve">1301 North State Parkway </t>
  </si>
  <si>
    <t>+ (312) 787-3700</t>
  </si>
  <si>
    <t xml:space="preserve">CSC Brazilian L.P. </t>
  </si>
  <si>
    <t>Ambassador Hotel</t>
  </si>
  <si>
    <t xml:space="preserve">2730 South Ocean Boulevard </t>
  </si>
  <si>
    <t>Palm Beach Island</t>
  </si>
  <si>
    <t>Erica Gillam</t>
  </si>
  <si>
    <t>Lisa Alexander</t>
  </si>
  <si>
    <t>+1 (561) 582-2511</t>
  </si>
  <si>
    <t>Ambassador Hotel Kansas City</t>
  </si>
  <si>
    <t xml:space="preserve">1111 Grand Boulevard </t>
  </si>
  <si>
    <t>Michael Hammontree</t>
  </si>
  <si>
    <t>Becky Goltz</t>
  </si>
  <si>
    <t>+1 (816) 298-7700</t>
  </si>
  <si>
    <t>Ambassador Hotel Oklahoma City</t>
  </si>
  <si>
    <t xml:space="preserve">1200 North Walker Avenue </t>
  </si>
  <si>
    <t>Emre Topcu</t>
  </si>
  <si>
    <t>+1 (405) 600-6200</t>
  </si>
  <si>
    <t>Ambassador Hotel Tulsa</t>
  </si>
  <si>
    <t xml:space="preserve">1324 South Main Street </t>
  </si>
  <si>
    <t>+1 (918) 587-8200</t>
  </si>
  <si>
    <t>Ambassador Hotel Wichita</t>
  </si>
  <si>
    <t xml:space="preserve">104 South Broadway Street </t>
  </si>
  <si>
    <t>Jennifer Stokem</t>
  </si>
  <si>
    <t>+1 (316) 239-7100</t>
  </si>
  <si>
    <t>Park Place Hospitality Group Inc.</t>
  </si>
  <si>
    <t>Amelia Hotel at the Beach</t>
  </si>
  <si>
    <t xml:space="preserve">1997 South Fletcher Avenue </t>
  </si>
  <si>
    <t>Amelia Island</t>
  </si>
  <si>
    <t>Jayla Awa</t>
  </si>
  <si>
    <t>Bonnie Pinder</t>
  </si>
  <si>
    <t>+1 (904)206-5200</t>
  </si>
  <si>
    <t>AmercInn Hotel &amp; Event Center</t>
  </si>
  <si>
    <t xml:space="preserve">240 Stadium Road </t>
  </si>
  <si>
    <t>Mankato</t>
  </si>
  <si>
    <t>Ashley Sprenger</t>
  </si>
  <si>
    <t>+1 (507) 345-8011</t>
  </si>
  <si>
    <t>American Inn - Downey</t>
  </si>
  <si>
    <t xml:space="preserve">12644 South Lakewood Boulevard </t>
  </si>
  <si>
    <t>Mike Flah</t>
  </si>
  <si>
    <t>+1 (562) 861-7278</t>
  </si>
  <si>
    <t>American Inn Bethesda</t>
  </si>
  <si>
    <t xml:space="preserve">8130 Wisconsin Ave. </t>
  </si>
  <si>
    <t>Virginia Villegas</t>
  </si>
  <si>
    <t>+1 (301) 656-9300</t>
  </si>
  <si>
    <t>1201 K Street F&amp;B Tenants LLC</t>
  </si>
  <si>
    <t>American Son</t>
  </si>
  <si>
    <t xml:space="preserve">1201 K Street Northwest </t>
  </si>
  <si>
    <t>+1 (202) 422-0960</t>
  </si>
  <si>
    <t>American Swedish Institute</t>
  </si>
  <si>
    <t xml:space="preserve">2600 Park Avenue </t>
  </si>
  <si>
    <t>+1 (612) 871-4907</t>
  </si>
  <si>
    <t>Americania Hotel</t>
  </si>
  <si>
    <t xml:space="preserve">121 7th Street </t>
  </si>
  <si>
    <t>Luis Morales</t>
  </si>
  <si>
    <t>+1 (415) 626-0200</t>
  </si>
  <si>
    <t>Americas Best Value Inn - Newark Airport</t>
  </si>
  <si>
    <t xml:space="preserve">100 Union Avenue </t>
  </si>
  <si>
    <t>Irvington</t>
  </si>
  <si>
    <t>Carolina Rivera</t>
  </si>
  <si>
    <t>+1 (973) 375-4102</t>
  </si>
  <si>
    <t>ZMC Hotels LLC</t>
  </si>
  <si>
    <t>AmericInn Ashland</t>
  </si>
  <si>
    <t xml:space="preserve">3009 North Lakeshore Drive East </t>
  </si>
  <si>
    <t>Todd Chingo</t>
  </si>
  <si>
    <t>+(715)682-9950</t>
  </si>
  <si>
    <t>AmericInn Lodge &amp; Suites Griswold</t>
  </si>
  <si>
    <t xml:space="preserve">375 Voluntown Road </t>
  </si>
  <si>
    <t>Hopeville</t>
  </si>
  <si>
    <t>Debbie Watson</t>
  </si>
  <si>
    <t>+1 (860) 376-3200</t>
  </si>
  <si>
    <t>SSN Hotel Management</t>
  </si>
  <si>
    <t>AmericInn Lodge &amp; Suites Rehoboth Beach</t>
  </si>
  <si>
    <t xml:space="preserve">36012 Airport Road </t>
  </si>
  <si>
    <t>Malissa Rasley</t>
  </si>
  <si>
    <t>Vihar Modi</t>
  </si>
  <si>
    <t>+1 (302) 226-0700</t>
  </si>
  <si>
    <t>AmericInn Minocqua</t>
  </si>
  <si>
    <t xml:space="preserve">700 Highway 51 North </t>
  </si>
  <si>
    <t>Minocqua</t>
  </si>
  <si>
    <t>Angela Wolf</t>
  </si>
  <si>
    <t>+1 (715) 356-3730</t>
  </si>
  <si>
    <t>Amway Grand Plaza Hotel</t>
  </si>
  <si>
    <t xml:space="preserve">187 Monroe NW. </t>
  </si>
  <si>
    <t>Rick Winn</t>
  </si>
  <si>
    <t>David Neill</t>
  </si>
  <si>
    <t>+1 (616) 774.2000</t>
  </si>
  <si>
    <t>Anaheim Marriott</t>
  </si>
  <si>
    <t xml:space="preserve">700 West Convention Way </t>
  </si>
  <si>
    <t>Angie Puhl</t>
  </si>
  <si>
    <t>John Kalinski</t>
  </si>
  <si>
    <t>(714) 750-8000</t>
  </si>
  <si>
    <t>Ancala Country Club</t>
  </si>
  <si>
    <t xml:space="preserve">11700 East Via Linda </t>
  </si>
  <si>
    <t>Chris Deprospo</t>
  </si>
  <si>
    <t>John Scappatura</t>
  </si>
  <si>
    <t>+1 (480) 391-1000</t>
  </si>
  <si>
    <t>Andaz 5th Avenue</t>
  </si>
  <si>
    <t xml:space="preserve">485 5th Ave. </t>
  </si>
  <si>
    <t>Scott Mason</t>
  </si>
  <si>
    <t>Christian (CJ) Clark</t>
  </si>
  <si>
    <t>+1 (212) 601-1234</t>
  </si>
  <si>
    <t>Andaz Maui at Wailea</t>
  </si>
  <si>
    <t>3550 Wailea Alanui Drive Maui</t>
  </si>
  <si>
    <t>Michael Jokovich</t>
  </si>
  <si>
    <t>Craig Harris</t>
  </si>
  <si>
    <t>+ (415) 250-1189</t>
  </si>
  <si>
    <t>Andaz Mayakoba Resort Riviera Maya</t>
  </si>
  <si>
    <t xml:space="preserve">Carretera Federal Cancun-Playa Del Carmen Km. 298 </t>
  </si>
  <si>
    <t>Playa Del Carmen</t>
  </si>
  <si>
    <t>Pascal Dupuis</t>
  </si>
  <si>
    <t>Elianne Gomez</t>
  </si>
  <si>
    <t>+1 (984) 1491234</t>
  </si>
  <si>
    <t>Andaz Napa</t>
  </si>
  <si>
    <t xml:space="preserve">1450 First St. </t>
  </si>
  <si>
    <t>Michael Steinwender</t>
  </si>
  <si>
    <t>+1 (707) 224-3900</t>
  </si>
  <si>
    <t>Andaz Ottawa Byward Market</t>
  </si>
  <si>
    <t xml:space="preserve">325 Dalhousie Street </t>
  </si>
  <si>
    <t>Ottawa</t>
  </si>
  <si>
    <t>K1N 7G1</t>
  </si>
  <si>
    <t>Cindy McLong</t>
  </si>
  <si>
    <t>+1(613)321 1234</t>
  </si>
  <si>
    <t>Andaz Papagayo</t>
  </si>
  <si>
    <t xml:space="preserve">Final de la Ruta 253 Peninsula Papagayo </t>
  </si>
  <si>
    <t>Guanacaste</t>
  </si>
  <si>
    <t>Adam Zilber</t>
  </si>
  <si>
    <t>+1 (506)2215-6415</t>
  </si>
  <si>
    <t>Andaz San Diego</t>
  </si>
  <si>
    <t xml:space="preserve">600 F Street </t>
  </si>
  <si>
    <t xml:space="preserve"> Claudia Adriano</t>
  </si>
  <si>
    <t>+1 (619) 814-1000</t>
  </si>
  <si>
    <t>Andaz Savannah</t>
  </si>
  <si>
    <t xml:space="preserve">14 Barnard St. </t>
  </si>
  <si>
    <t>Erin Henry</t>
  </si>
  <si>
    <t>ernesto fernandez</t>
  </si>
  <si>
    <t>+1 (912) 233-2116</t>
  </si>
  <si>
    <t>Andaz Scottsdale</t>
  </si>
  <si>
    <t xml:space="preserve">6114 North Scottsdale Road </t>
  </si>
  <si>
    <t>Paradise Valley</t>
  </si>
  <si>
    <t>Devraj Gorsia</t>
  </si>
  <si>
    <t>Jeffrey Miller</t>
  </si>
  <si>
    <t>+1(480)368-1234</t>
  </si>
  <si>
    <t>Andaz West Hollywood</t>
  </si>
  <si>
    <t xml:space="preserve">8401 Sunset Blvd </t>
  </si>
  <si>
    <t>Julian Tucker</t>
  </si>
  <si>
    <t>David Muir</t>
  </si>
  <si>
    <t>+ (323) 656-1234</t>
  </si>
  <si>
    <t>Local Hotel Adventures LLC</t>
  </si>
  <si>
    <t>Andell Inn</t>
  </si>
  <si>
    <t xml:space="preserve">300 Farm Lake View Road </t>
  </si>
  <si>
    <t>Kiawah Island</t>
  </si>
  <si>
    <t>Meredith Klindtworth</t>
  </si>
  <si>
    <t>Lena Zobec</t>
  </si>
  <si>
    <t>+1 (843) 793-6050</t>
  </si>
  <si>
    <t>Angad Arts Hotel St. Louis</t>
  </si>
  <si>
    <t xml:space="preserve">3550 Samuel Shepard Drive </t>
  </si>
  <si>
    <t>Stacey Howlett</t>
  </si>
  <si>
    <t>+1 (314) 561-0033</t>
  </si>
  <si>
    <t>Annapolis Waterfront Hotel Autograph Collection</t>
  </si>
  <si>
    <t xml:space="preserve">80 Compromise Street </t>
  </si>
  <si>
    <t>Alexander Jurado</t>
  </si>
  <si>
    <t>+ (410) 268-7555</t>
  </si>
  <si>
    <t>Anthem Golf &amp; Country Club - Ironwood Course</t>
  </si>
  <si>
    <t xml:space="preserve">41551 N. Anthem Hills Dr. </t>
  </si>
  <si>
    <t>Anthem</t>
  </si>
  <si>
    <t>ClubCorp Premier</t>
  </si>
  <si>
    <t>Brad Harrington</t>
  </si>
  <si>
    <t>+1 (623) 465-3020</t>
  </si>
  <si>
    <t>Anthem Golf &amp; Country Club - Persimmon Course</t>
  </si>
  <si>
    <t xml:space="preserve">2708 W Anthem Club Drive </t>
  </si>
  <si>
    <t>Scott Fickert</t>
  </si>
  <si>
    <t>+1 (623) 742-6200</t>
  </si>
  <si>
    <t>Anvil Hotel</t>
  </si>
  <si>
    <t xml:space="preserve">215 North Cache </t>
  </si>
  <si>
    <t>Rani Carr</t>
  </si>
  <si>
    <t>+1 (307) 733-3668</t>
  </si>
  <si>
    <t>Catta Verdera Country Club LLC</t>
  </si>
  <si>
    <t>Apple Mountain Golf Resort</t>
  </si>
  <si>
    <t xml:space="preserve">3455 Carson Rd </t>
  </si>
  <si>
    <t>Camino</t>
  </si>
  <si>
    <t>Ryan Bill</t>
  </si>
  <si>
    <t>+1 (530) 647-7400</t>
  </si>
  <si>
    <t>April Sound Country Club</t>
  </si>
  <si>
    <t xml:space="preserve">1000 April Sound Blvd </t>
  </si>
  <si>
    <t>Blake Roberts</t>
  </si>
  <si>
    <t>+ (936) 588-1101</t>
  </si>
  <si>
    <t>Holloway Lodging Corporation</t>
  </si>
  <si>
    <t>Aqsarniit Hotel and Conference Centre</t>
  </si>
  <si>
    <t xml:space="preserve">1730 Federal Road </t>
  </si>
  <si>
    <t>Iqaluit</t>
  </si>
  <si>
    <t>NU</t>
  </si>
  <si>
    <t>X0A 0H0</t>
  </si>
  <si>
    <t xml:space="preserve">Luis Riomayor </t>
  </si>
  <si>
    <t>+1 (867) 222 4229</t>
  </si>
  <si>
    <t>Aqua Palms Waikiki</t>
  </si>
  <si>
    <t xml:space="preserve">1850 Ala Moana Boulevard </t>
  </si>
  <si>
    <t>Waikiki Beach</t>
  </si>
  <si>
    <t>Patty Maher</t>
  </si>
  <si>
    <t>+1 (808) 947-7256</t>
  </si>
  <si>
    <t>ARC HOTEL Washington DC Georgetown</t>
  </si>
  <si>
    <t xml:space="preserve">824 New Hampshire Ave NW </t>
  </si>
  <si>
    <t>Calvin Ware</t>
  </si>
  <si>
    <t>+ (202) 337-6620</t>
  </si>
  <si>
    <t>Archer Burlington</t>
  </si>
  <si>
    <t xml:space="preserve">18 3rd Avenue </t>
  </si>
  <si>
    <t>Albert Kowalczykowski</t>
  </si>
  <si>
    <t>+1 (781) 552-5800</t>
  </si>
  <si>
    <t>Archer Florham Park</t>
  </si>
  <si>
    <t xml:space="preserve">130 Park Avenue </t>
  </si>
  <si>
    <t>Albert Kowalcykowski</t>
  </si>
  <si>
    <t>Victoria Caravella</t>
  </si>
  <si>
    <t>+1 (862) 286-7000</t>
  </si>
  <si>
    <t>Archer Hotel Austin</t>
  </si>
  <si>
    <t xml:space="preserve">3121 Palm Way </t>
  </si>
  <si>
    <t>Ric Mussiett</t>
  </si>
  <si>
    <t>Bill Follett</t>
  </si>
  <si>
    <t>+(512) 836-5700</t>
  </si>
  <si>
    <t>Archer Hotel Falls Church</t>
  </si>
  <si>
    <t xml:space="preserve">8296 Glass Alley </t>
  </si>
  <si>
    <t>Mario Soriano</t>
  </si>
  <si>
    <t>+ (571) 327-2277</t>
  </si>
  <si>
    <t>Archer Hotel Napa</t>
  </si>
  <si>
    <t xml:space="preserve">1212 First Street </t>
  </si>
  <si>
    <t>Michael Collins</t>
  </si>
  <si>
    <t>Peter Triolo</t>
  </si>
  <si>
    <t>+1 (707) 690-9800</t>
  </si>
  <si>
    <t>Archer Redmond</t>
  </si>
  <si>
    <t xml:space="preserve">7200 164th Avenue Northeast </t>
  </si>
  <si>
    <t>Scott Scheriff</t>
  </si>
  <si>
    <t>Madison Stanley</t>
  </si>
  <si>
    <t>+(425) 658-3000</t>
  </si>
  <si>
    <t>Arcis Headquarters Office</t>
  </si>
  <si>
    <t>4851 Lyndon B Johnson Freeway Suites 600</t>
  </si>
  <si>
    <t>+1 (214) 722-6025</t>
  </si>
  <si>
    <t>Arizona Sands Club</t>
  </si>
  <si>
    <t xml:space="preserve">565 North Cherry Avenue </t>
  </si>
  <si>
    <t>Rick Kroner</t>
  </si>
  <si>
    <t>Stacy Pincus</t>
  </si>
  <si>
    <t>+1 (979) 676- 2598</t>
  </si>
  <si>
    <t>Sunburst Hospitality Corporation</t>
  </si>
  <si>
    <t>Arlington Court Suites Hotel - A Clarion Collection</t>
  </si>
  <si>
    <t xml:space="preserve">1200 N. Courthhouse Road </t>
  </si>
  <si>
    <t>Barry Gilliland</t>
  </si>
  <si>
    <t>Carlos Martinez</t>
  </si>
  <si>
    <t>+ (703) 524-4000</t>
  </si>
  <si>
    <t>Arlington Courthouse Hilton Garden Inn</t>
  </si>
  <si>
    <t xml:space="preserve">1333 N. Courthouse Road </t>
  </si>
  <si>
    <t>Ben Joseph</t>
  </si>
  <si>
    <t>+ () 703-528-4444</t>
  </si>
  <si>
    <t>Armar House</t>
  </si>
  <si>
    <t xml:space="preserve">Blvd. Kukulcan El Rey Zona Hotelera </t>
  </si>
  <si>
    <t>Marisol Velázquez A</t>
  </si>
  <si>
    <t>+52(998)881 2500</t>
  </si>
  <si>
    <t>Aronimink Golf Club</t>
  </si>
  <si>
    <t xml:space="preserve">3600 Saint Davids Road </t>
  </si>
  <si>
    <t>Newtown Square</t>
  </si>
  <si>
    <t>Greg Dalanzo</t>
  </si>
  <si>
    <t>+ (610) 356-6055</t>
  </si>
  <si>
    <t>Arrowhead Country Club (AZ)</t>
  </si>
  <si>
    <t xml:space="preserve">19888 North 73rd Avenue </t>
  </si>
  <si>
    <t>Nick Carlson</t>
  </si>
  <si>
    <t>+1 (623) 561-9600</t>
  </si>
  <si>
    <t>Arrowhead Golf Club (CO)</t>
  </si>
  <si>
    <t xml:space="preserve">10850 West Sundown Trail </t>
  </si>
  <si>
    <t>Charles Packard</t>
  </si>
  <si>
    <t>Carmen Harpel</t>
  </si>
  <si>
    <t>+1 (303) 973-9614</t>
  </si>
  <si>
    <t>Arts District Mansion</t>
  </si>
  <si>
    <t xml:space="preserve">2101 Ross Avenue </t>
  </si>
  <si>
    <t>Kevin Brant</t>
  </si>
  <si>
    <t>+ (214) 220-7470</t>
  </si>
  <si>
    <t>Aruba Marriott Resort &amp; Stellaris Casino</t>
  </si>
  <si>
    <t xml:space="preserve">L.G. Smith Blvd #101 </t>
  </si>
  <si>
    <t>PALM BEACH</t>
  </si>
  <si>
    <t>ABW</t>
  </si>
  <si>
    <t>Aruba</t>
  </si>
  <si>
    <t>Bruce Snyder</t>
  </si>
  <si>
    <t>Karen Chastain</t>
  </si>
  <si>
    <t>+1 (297) 586-9000</t>
  </si>
  <si>
    <t>Aruba Ocean Club</t>
  </si>
  <si>
    <t xml:space="preserve">L.G. Smith Boulevard 99 </t>
  </si>
  <si>
    <t>Pedro Vargas</t>
  </si>
  <si>
    <t>+1 (011) 297-586-9000</t>
  </si>
  <si>
    <t>Aruba Surf Club</t>
  </si>
  <si>
    <t xml:space="preserve">L.G. Smith Boulevard 103 </t>
  </si>
  <si>
    <t>Palm Beach</t>
  </si>
  <si>
    <t>Joop Bangma</t>
  </si>
  <si>
    <t>Aruba Surf Club Sales and Marketing</t>
  </si>
  <si>
    <t>Oranjestad</t>
  </si>
  <si>
    <t>Iris Molina</t>
  </si>
  <si>
    <t>+1(011) 297-5206919</t>
  </si>
  <si>
    <t>ASC Catering</t>
  </si>
  <si>
    <t xml:space="preserve">38700 West Highway 82 </t>
  </si>
  <si>
    <t>Ashbury Inn &amp; Suites</t>
  </si>
  <si>
    <t xml:space="preserve">600 West I-65 Service Road South </t>
  </si>
  <si>
    <t>KB Tester</t>
  </si>
  <si>
    <t>+1(251)344-8030</t>
  </si>
  <si>
    <t>Ashton Hotel</t>
  </si>
  <si>
    <t xml:space="preserve">610 Main Street </t>
  </si>
  <si>
    <t>Johnathan Kennedy</t>
  </si>
  <si>
    <t>+1 (817) 332-0100</t>
  </si>
  <si>
    <t>Ashworth by the Sea</t>
  </si>
  <si>
    <t xml:space="preserve">295 Ocean Boulevard </t>
  </si>
  <si>
    <t>Hampton Beach</t>
  </si>
  <si>
    <t>J Argonish</t>
  </si>
  <si>
    <t>+1 (603) 926-6762</t>
  </si>
  <si>
    <t>Aspen Buying Group</t>
  </si>
  <si>
    <t xml:space="preserve">210 Park Avenue </t>
  </si>
  <si>
    <t>Aspen Glen Club</t>
  </si>
  <si>
    <t xml:space="preserve">0545 Bald Eagle Way </t>
  </si>
  <si>
    <t>Carbondale</t>
  </si>
  <si>
    <t>81623-8898</t>
  </si>
  <si>
    <t>Mike Fleig</t>
  </si>
  <si>
    <t>Jared Miller</t>
  </si>
  <si>
    <t>+1 (970) 704-1905</t>
  </si>
  <si>
    <t>Aspen Highlands - Guest Services</t>
  </si>
  <si>
    <t xml:space="preserve">76 Boomerang Road </t>
  </si>
  <si>
    <t>Aston Islander On The Beach</t>
  </si>
  <si>
    <t xml:space="preserve">440 Aleka Place </t>
  </si>
  <si>
    <t>Kapaa</t>
  </si>
  <si>
    <t>Lori Morita</t>
  </si>
  <si>
    <t>+1 (808) 822-7417</t>
  </si>
  <si>
    <t>Aston Kaanapali Shores</t>
  </si>
  <si>
    <t xml:space="preserve">3445 Lower Honoapiilani Road </t>
  </si>
  <si>
    <t>Mark Mrantz</t>
  </si>
  <si>
    <t>+1 (808) 667-2211</t>
  </si>
  <si>
    <t>Aston Waikiki Sunset</t>
  </si>
  <si>
    <t xml:space="preserve">229 Paoakalani Avenue </t>
  </si>
  <si>
    <t>Kim Asuncion</t>
  </si>
  <si>
    <t>Dean Nakasone</t>
  </si>
  <si>
    <t>+1 (808) 922-0511</t>
  </si>
  <si>
    <t>Astor Crowne Plaza</t>
  </si>
  <si>
    <t xml:space="preserve">739 Canal Street </t>
  </si>
  <si>
    <t>Bill Derbins</t>
  </si>
  <si>
    <t>+1 (504) 962-0500</t>
  </si>
  <si>
    <t>Atira Hotel &amp; RV McGregor</t>
  </si>
  <si>
    <t xml:space="preserve">711 West McGregor Drive </t>
  </si>
  <si>
    <t>Mc Gregor</t>
  </si>
  <si>
    <t>Lanie Verdin</t>
  </si>
  <si>
    <t>+1 (254) 840-0444</t>
  </si>
  <si>
    <t>Atlanta Airport Marriott</t>
  </si>
  <si>
    <t xml:space="preserve">4711 Best Road </t>
  </si>
  <si>
    <t>Mark Spanka</t>
  </si>
  <si>
    <t>Georgia Winbush</t>
  </si>
  <si>
    <t>(404) 766-7900</t>
  </si>
  <si>
    <t>Atlanta Airport Marriott Gateway</t>
  </si>
  <si>
    <t xml:space="preserve">2020 Convention Center Concourse </t>
  </si>
  <si>
    <t>Crissy Wright</t>
  </si>
  <si>
    <t>Robert Woolridge</t>
  </si>
  <si>
    <t>+1 (404) 763-1544</t>
  </si>
  <si>
    <t>Atrium Hospitality LP</t>
  </si>
  <si>
    <t>Atlanta Marriott Buckhead Hotel &amp; Conference Center</t>
  </si>
  <si>
    <t xml:space="preserve">3405 Lenox Road Northeast </t>
  </si>
  <si>
    <t>Brian Rhoto</t>
  </si>
  <si>
    <t>Rob Adams</t>
  </si>
  <si>
    <t>+1 (404) 261-9250</t>
  </si>
  <si>
    <t>Atlanta Marriott Century Center-Emory Area</t>
  </si>
  <si>
    <t xml:space="preserve">2000 Century Boulevard Northeast </t>
  </si>
  <si>
    <t>Tim Michaud</t>
  </si>
  <si>
    <t>Olivia Borders</t>
  </si>
  <si>
    <t>+1 (404) 325-0000</t>
  </si>
  <si>
    <t>Atlanta Marriott Marquis</t>
  </si>
  <si>
    <t xml:space="preserve">265 Peachtree Center Avenue </t>
  </si>
  <si>
    <t>Dina Speakman</t>
  </si>
  <si>
    <t>Erica Qualls</t>
  </si>
  <si>
    <t>(404) 521-0000</t>
  </si>
  <si>
    <t>Atlanta Marriott Norcross</t>
  </si>
  <si>
    <t xml:space="preserve">475 Technology Parkway </t>
  </si>
  <si>
    <t>Mike Roling</t>
  </si>
  <si>
    <t>Rodney Gooden</t>
  </si>
  <si>
    <t>+ (770) 263-8558</t>
  </si>
  <si>
    <t>Atlanta Marriott Northwest at Galleria</t>
  </si>
  <si>
    <t xml:space="preserve">200 Interstate North Parkway </t>
  </si>
  <si>
    <t>Jack Brunson</t>
  </si>
  <si>
    <t>Roger Fleming</t>
  </si>
  <si>
    <t>+1 (770) 952-7900</t>
  </si>
  <si>
    <t>Atlanta Marriott Suites Midtown</t>
  </si>
  <si>
    <t xml:space="preserve">35 14th Street </t>
  </si>
  <si>
    <t>George Reed</t>
  </si>
  <si>
    <t>Sharon Plummer</t>
  </si>
  <si>
    <t>(404) 876-8888</t>
  </si>
  <si>
    <t xml:space="preserve">Atlanta National Golf Club </t>
  </si>
  <si>
    <t xml:space="preserve">350 Tournament Players Drive </t>
  </si>
  <si>
    <t>Charlie Moller</t>
  </si>
  <si>
    <t>+1 (770) 442-8801</t>
  </si>
  <si>
    <t>Atlantica Resort</t>
  </si>
  <si>
    <t xml:space="preserve">1700 Ocean Boulevard </t>
  </si>
  <si>
    <t>Stacey Bailey</t>
  </si>
  <si>
    <t>+1 (843) 626-9192</t>
  </si>
  <si>
    <t>Auberge Beach Residences &amp; Spa</t>
  </si>
  <si>
    <t xml:space="preserve">2200 North Ocean Boulevard </t>
  </si>
  <si>
    <t>Stephen Sowards</t>
  </si>
  <si>
    <t>+1 (267) 234-1778</t>
  </si>
  <si>
    <t>Auberge du Soleil</t>
  </si>
  <si>
    <t xml:space="preserve">180 Rutherford Hill Road </t>
  </si>
  <si>
    <t>Rutherford</t>
  </si>
  <si>
    <t>Bradley Reynolds</t>
  </si>
  <si>
    <t>+1 (707) 963-1211</t>
  </si>
  <si>
    <t>Auberge Private Residences at Esperanza</t>
  </si>
  <si>
    <t xml:space="preserve">Carretera Transpeninsular KM 7 Punta Ballena </t>
  </si>
  <si>
    <t>Roger Ponce</t>
  </si>
  <si>
    <t>Carlos Hernandez</t>
  </si>
  <si>
    <t>+1 (52) 624-1456498</t>
  </si>
  <si>
    <t>PCH Hotels &amp; Resorts</t>
  </si>
  <si>
    <t>Auburn Marriott Opelika Hotel &amp; Conference Center at Grand National</t>
  </si>
  <si>
    <t xml:space="preserve">3700 Robert Trent Parkway </t>
  </si>
  <si>
    <t>Jim Keller</t>
  </si>
  <si>
    <t>+1 (334) 741-9292</t>
  </si>
  <si>
    <t>Augusta Riverfront LLC</t>
  </si>
  <si>
    <t>Augusta Marriott at the Convention Center</t>
  </si>
  <si>
    <t xml:space="preserve">Two Tenth Street </t>
  </si>
  <si>
    <t>Darryl Leech</t>
  </si>
  <si>
    <t>Janet Pierce</t>
  </si>
  <si>
    <t>+1 (706) 722-8900</t>
  </si>
  <si>
    <t>Austin Embassy Suites</t>
  </si>
  <si>
    <t xml:space="preserve">9505 Stonelake Blvd. </t>
  </si>
  <si>
    <t>Paul Davis</t>
  </si>
  <si>
    <t>+1 (512) 372-8771</t>
  </si>
  <si>
    <t>Austin Marriott North</t>
  </si>
  <si>
    <t xml:space="preserve">2600 La Frontera Boulevard </t>
  </si>
  <si>
    <t>Eric Chen</t>
  </si>
  <si>
    <t>+1 (512) 733-6767</t>
  </si>
  <si>
    <t>AutoCamp Cape Cod</t>
  </si>
  <si>
    <t xml:space="preserve">836 Palmer Avenue </t>
  </si>
  <si>
    <t>Josh Brillhard</t>
  </si>
  <si>
    <t>Mimi Dufault</t>
  </si>
  <si>
    <t>+1 (805) 699-8793</t>
  </si>
  <si>
    <t>AutoCamp Russian River</t>
  </si>
  <si>
    <t xml:space="preserve">14120 Old Cazadero Road </t>
  </si>
  <si>
    <t>Guerneville</t>
  </si>
  <si>
    <t>Bonniebelle Miner</t>
  </si>
  <si>
    <t>Todd Craig</t>
  </si>
  <si>
    <t>+1 (707) 604-6103</t>
  </si>
  <si>
    <t>AutoCamp Yosemite</t>
  </si>
  <si>
    <t xml:space="preserve">6323 CA-140 </t>
  </si>
  <si>
    <t>Midpines</t>
  </si>
  <si>
    <t>Jason Brannan</t>
  </si>
  <si>
    <t>+1 (888) 405-7553</t>
  </si>
  <si>
    <t xml:space="preserve">Avendra LLC </t>
  </si>
  <si>
    <t>Avendra LLC HQ</t>
  </si>
  <si>
    <t>540 Gaither Road Ste. 200</t>
  </si>
  <si>
    <t>540 Gaither Road</t>
  </si>
  <si>
    <t>Andy Wang</t>
  </si>
  <si>
    <t>Lindsay Billingsley</t>
  </si>
  <si>
    <t>+1 (301) 301-825-0500</t>
  </si>
  <si>
    <t>Ste. 200</t>
  </si>
  <si>
    <t>Sanj Hotels Management Inc.</t>
  </si>
  <si>
    <t>Avenue Hotel</t>
  </si>
  <si>
    <t xml:space="preserve">321 North Vermont Avenue </t>
  </si>
  <si>
    <t>Karan Patel</t>
  </si>
  <si>
    <t>+1 (323) 665-0344</t>
  </si>
  <si>
    <t>Avenue of the Arts Costa Mesa a Tribute Portfolio Hotel</t>
  </si>
  <si>
    <t xml:space="preserve">3350 Avenue Of The Arts </t>
  </si>
  <si>
    <t>Richard Ferber</t>
  </si>
  <si>
    <t>+1 (714) 751-5100</t>
  </si>
  <si>
    <t>Avid Denver International Airport</t>
  </si>
  <si>
    <t xml:space="preserve">6785 North Argonne Street </t>
  </si>
  <si>
    <t>Tracey Lulue</t>
  </si>
  <si>
    <t>+(303) 375-0101</t>
  </si>
  <si>
    <t>Operadora de Hoteles Azul Talavera S.A. de C.V.</t>
  </si>
  <si>
    <t>Azul Talavera Hotel</t>
  </si>
  <si>
    <t xml:space="preserve">Calle 10 Nte. 1402 Barrio del Alto </t>
  </si>
  <si>
    <t>Puebla</t>
  </si>
  <si>
    <t>Manuel Leal</t>
  </si>
  <si>
    <t>+52 (222) 122-2300</t>
  </si>
  <si>
    <t>Performance Hospitality Management LLC</t>
  </si>
  <si>
    <t>B Ocean Resort</t>
  </si>
  <si>
    <t xml:space="preserve">1140 Seabreeze Boulevard </t>
  </si>
  <si>
    <t>Asim Hasan</t>
  </si>
  <si>
    <t>Eyal Tsur</t>
  </si>
  <si>
    <t>+1 (954) 245-3815</t>
  </si>
  <si>
    <t>B Resort &amp; Spa</t>
  </si>
  <si>
    <t xml:space="preserve">1905 Hotel Plaza Boulevard </t>
  </si>
  <si>
    <t>LAKE BUENA VISTA</t>
  </si>
  <si>
    <t>Cindy Staley</t>
  </si>
  <si>
    <t>Yan Steineck</t>
  </si>
  <si>
    <t>+1 (407) 538-2679</t>
  </si>
  <si>
    <t>Titan Hospitality</t>
  </si>
  <si>
    <t>Baha Mar Resort- Buffet Restaurant</t>
  </si>
  <si>
    <t xml:space="preserve">W. Bay Street </t>
  </si>
  <si>
    <t>Sal Shahriar</t>
  </si>
  <si>
    <t>+1 (242) 322-4826</t>
  </si>
  <si>
    <t>Baker's Cay Resort Key Largo</t>
  </si>
  <si>
    <t xml:space="preserve">97000 Overseas Highway </t>
  </si>
  <si>
    <t>Key Largo</t>
  </si>
  <si>
    <t>Joy Boyd</t>
  </si>
  <si>
    <t>+1(305) 852-5553</t>
  </si>
  <si>
    <t>Bakersfield Home2 Suites</t>
  </si>
  <si>
    <t xml:space="preserve">8227 Brimhall Road </t>
  </si>
  <si>
    <t>Cathy Smith</t>
  </si>
  <si>
    <t xml:space="preserve"> Jenny Hlaudy</t>
  </si>
  <si>
    <t>+1 (661) 368-2527</t>
  </si>
  <si>
    <t>International Bay Clubs LLC</t>
  </si>
  <si>
    <t>Balboa Bay Resort</t>
  </si>
  <si>
    <t xml:space="preserve">1221 West Coast Highway </t>
  </si>
  <si>
    <t>Balboa Test</t>
  </si>
  <si>
    <t>Leticia Rice</t>
  </si>
  <si>
    <t>+1 (949) 645-5000</t>
  </si>
  <si>
    <t>Banana Bay Resort &amp; Marina</t>
  </si>
  <si>
    <t xml:space="preserve">4590 Overseas Highway </t>
  </si>
  <si>
    <t>Chris Schmitt</t>
  </si>
  <si>
    <t>Lisa Ferrante</t>
  </si>
  <si>
    <t>+1 (305) 743-3500</t>
  </si>
  <si>
    <t>Bandon Dunes LP</t>
  </si>
  <si>
    <t>Bandon Dunes Golf Resort</t>
  </si>
  <si>
    <t xml:space="preserve">57744 Round Lake Rd </t>
  </si>
  <si>
    <t>Bandon</t>
  </si>
  <si>
    <t>Don Crowe</t>
  </si>
  <si>
    <t>Jeff Simonds</t>
  </si>
  <si>
    <t>+ (541) 347-4380</t>
  </si>
  <si>
    <t>Mayakoba Thai S.A. de C.V.</t>
  </si>
  <si>
    <t>Banyan Tree Mayakoba</t>
  </si>
  <si>
    <t xml:space="preserve">Carr Federal Chetumal-Pto Juarez KM 298 </t>
  </si>
  <si>
    <t>Banyan Tree</t>
  </si>
  <si>
    <t>Peter Hechler</t>
  </si>
  <si>
    <t>+52 (984) 877-3688</t>
  </si>
  <si>
    <t>Care Hospitality Inc.</t>
  </si>
  <si>
    <t>Barclay Atlanta Hotel Downtown</t>
  </si>
  <si>
    <t xml:space="preserve">89 Luckie Street NW </t>
  </si>
  <si>
    <t>+1 (404) 524-7991</t>
  </si>
  <si>
    <t>Bardessono</t>
  </si>
  <si>
    <t xml:space="preserve">6526 Yount Street </t>
  </si>
  <si>
    <t>Yountville</t>
  </si>
  <si>
    <t>Alain Nigueloa</t>
  </si>
  <si>
    <t>Paul Gracheff</t>
  </si>
  <si>
    <t>+1 (707) 204-6000</t>
  </si>
  <si>
    <t>Barefoot Resort</t>
  </si>
  <si>
    <t xml:space="preserve">4403 Highway 17 South </t>
  </si>
  <si>
    <t>N. Myrtle Beach</t>
  </si>
  <si>
    <t>Robin Wilcoxson</t>
  </si>
  <si>
    <t>+1 (843) 417-1600</t>
  </si>
  <si>
    <t>Barony Beach Club</t>
  </si>
  <si>
    <t xml:space="preserve">5 Grasslawn Avenue </t>
  </si>
  <si>
    <t>Erac Priester</t>
  </si>
  <si>
    <t>matt barker</t>
  </si>
  <si>
    <t>+1 (843) 342-1608</t>
  </si>
  <si>
    <t>VIP Hospitality Management Inc.</t>
  </si>
  <si>
    <t>Barrington Hotel &amp; Suites</t>
  </si>
  <si>
    <t xml:space="preserve">263 Shepherd of the Hills Expressway </t>
  </si>
  <si>
    <t>Alma Diaz</t>
  </si>
  <si>
    <t>+1 (417) 334-8866</t>
  </si>
  <si>
    <t>Baton Rouge Marriott</t>
  </si>
  <si>
    <t xml:space="preserve">5500 Hilton Avenue </t>
  </si>
  <si>
    <t>Ralph Ney</t>
  </si>
  <si>
    <t>VANESSA MILLER</t>
  </si>
  <si>
    <t>+1 (225) 924-5000</t>
  </si>
  <si>
    <t>The Bay Clubs Company LLC</t>
  </si>
  <si>
    <t>Bay Club Fremont</t>
  </si>
  <si>
    <t xml:space="preserve">46650 Landing Parkway </t>
  </si>
  <si>
    <t>CLUB: Healthclub</t>
  </si>
  <si>
    <t>Jamie Meafou</t>
  </si>
  <si>
    <t>Krag Rasmussen</t>
  </si>
  <si>
    <t>+1 (510) 226-8500</t>
  </si>
  <si>
    <t>Bay Club Pleasanton</t>
  </si>
  <si>
    <t xml:space="preserve">7090 Johnson Drive </t>
  </si>
  <si>
    <t>ahmad Ahmadzia</t>
  </si>
  <si>
    <t>Chris Hansen</t>
  </si>
  <si>
    <t>+1 (925) 463-2822</t>
  </si>
  <si>
    <t>Bay Club Portland</t>
  </si>
  <si>
    <t xml:space="preserve">18120 SW Lower Boones Ferry Rd </t>
  </si>
  <si>
    <t>+1 (503) 968-4500</t>
  </si>
  <si>
    <t>CBIGG Management LLC</t>
  </si>
  <si>
    <t>Bay Hills Golf Club</t>
  </si>
  <si>
    <t xml:space="preserve">545 Bay Hills Dr </t>
  </si>
  <si>
    <t>Arnold</t>
  </si>
  <si>
    <t>+1 (410) 974-0669</t>
  </si>
  <si>
    <t>Bay Oaks Country Club</t>
  </si>
  <si>
    <t xml:space="preserve">14545 Bay Oaks BLVD </t>
  </si>
  <si>
    <t>Stephen Morris</t>
  </si>
  <si>
    <t>+ (281) 488-7888</t>
  </si>
  <si>
    <t>Bay View Resort</t>
  </si>
  <si>
    <t xml:space="preserve">504 N. Ocean Boulevard </t>
  </si>
  <si>
    <t>Lauren Doran</t>
  </si>
  <si>
    <t>+ () 8436260000</t>
  </si>
  <si>
    <t>Baylor Club</t>
  </si>
  <si>
    <t xml:space="preserve">1001 South Martin Luther King Boulevard </t>
  </si>
  <si>
    <t>Mike Mosel</t>
  </si>
  <si>
    <t>+ (254) 710 8080</t>
  </si>
  <si>
    <t>Avalon Hotel Group LLC</t>
  </si>
  <si>
    <t>Baymont Inn &amp; Suites Alexandria</t>
  </si>
  <si>
    <t xml:space="preserve">2301 North MacArthur Drive </t>
  </si>
  <si>
    <t>Kim Velguth</t>
  </si>
  <si>
    <t>Sharon Howell</t>
  </si>
  <si>
    <t>+(318)619-3300</t>
  </si>
  <si>
    <t>Motel Partners LLC</t>
  </si>
  <si>
    <t>Baymont Inn &amp; Suites Athens</t>
  </si>
  <si>
    <t xml:space="preserve">20 Home Street </t>
  </si>
  <si>
    <t>Amanda Day</t>
  </si>
  <si>
    <t>+1 (740) 594-3000</t>
  </si>
  <si>
    <t>Baymont Inn &amp; Suites Big Spring</t>
  </si>
  <si>
    <t xml:space="preserve">917 Lamesa Highway </t>
  </si>
  <si>
    <t>Big Spring</t>
  </si>
  <si>
    <t>+1 (432) 268-0568</t>
  </si>
  <si>
    <t>Saroor LLC</t>
  </si>
  <si>
    <t>Baymont Inn &amp; Suites Chicago - Alsip</t>
  </si>
  <si>
    <t xml:space="preserve">12801 South Cicero Avenue </t>
  </si>
  <si>
    <t>Alsip</t>
  </si>
  <si>
    <t>Candy Fransen</t>
  </si>
  <si>
    <t>+ (708) 597-3900</t>
  </si>
  <si>
    <t>Apexx Management Group Corp.</t>
  </si>
  <si>
    <t>Baymont Inn &amp; Suites Miami Doral</t>
  </si>
  <si>
    <t xml:space="preserve">3805 Northwest 107th Avenue </t>
  </si>
  <si>
    <t>Caroline Reynoso</t>
  </si>
  <si>
    <t>+1 (305) 468-8093</t>
  </si>
  <si>
    <t>Baxter Hotel Group Inc.</t>
  </si>
  <si>
    <t>Baymont Inn &amp; Suites San Diego Downtown</t>
  </si>
  <si>
    <t xml:space="preserve">719 Ash Street </t>
  </si>
  <si>
    <t>Oussama Maamar</t>
  </si>
  <si>
    <t>+1 (619) 232-2525</t>
  </si>
  <si>
    <t>Baymont Inn &amp; Suites Waukesha</t>
  </si>
  <si>
    <t xml:space="preserve">2111 East Moreland Avenue </t>
  </si>
  <si>
    <t>Waukesha</t>
  </si>
  <si>
    <t>Corrine Cortez</t>
  </si>
  <si>
    <t>+1 (262) 547-7770</t>
  </si>
  <si>
    <t>Baymont Inn and Suites Knoxville - Cedar Bluff</t>
  </si>
  <si>
    <t xml:space="preserve">209 Market Place Boulevard </t>
  </si>
  <si>
    <t>Keith Dryjanski</t>
  </si>
  <si>
    <t>+1 (865) 531-7444</t>
  </si>
  <si>
    <t>Baymont Inn Caddo Valley - Arkadelphia</t>
  </si>
  <si>
    <t xml:space="preserve">100 Crystal Palace Drive </t>
  </si>
  <si>
    <t>Caddo Valley</t>
  </si>
  <si>
    <t>+1 (573) 842-3880</t>
  </si>
  <si>
    <t>Baymont Inn Newark at the University of Delaware</t>
  </si>
  <si>
    <t xml:space="preserve">630 South College Avenue </t>
  </si>
  <si>
    <t>Tarpan Patel</t>
  </si>
  <si>
    <t>+1 (302) 453-1700</t>
  </si>
  <si>
    <t>Evergreen Hospitality</t>
  </si>
  <si>
    <t>Baymont Inn Tehachapi</t>
  </si>
  <si>
    <t xml:space="preserve">500 Steuber Road </t>
  </si>
  <si>
    <t>Joseph Andreas</t>
  </si>
  <si>
    <t>Shelly Kim</t>
  </si>
  <si>
    <t>+1 (661) 823-8000</t>
  </si>
  <si>
    <t>Baymont Suites Albany Airport</t>
  </si>
  <si>
    <t xml:space="preserve">20 Airport Park Boulevard </t>
  </si>
  <si>
    <t>West Latham</t>
  </si>
  <si>
    <t>Billy Dudley</t>
  </si>
  <si>
    <t>+1 (518) 783-1364</t>
  </si>
  <si>
    <t>Legacy Business Solutions LLC</t>
  </si>
  <si>
    <t>Beach Colony Resort</t>
  </si>
  <si>
    <t xml:space="preserve">5308 N. Ocean Blvd </t>
  </si>
  <si>
    <t>Chip Russell</t>
  </si>
  <si>
    <t>Joe Angelino</t>
  </si>
  <si>
    <t>+1 (800) 222-2141</t>
  </si>
  <si>
    <t>Beach Cove Resort</t>
  </si>
  <si>
    <t xml:space="preserve">4800 S. Ocean Blvd. </t>
  </si>
  <si>
    <t>North Myrtle Beach</t>
  </si>
  <si>
    <t>Sabrina Hilliard</t>
  </si>
  <si>
    <t>Greg Hill</t>
  </si>
  <si>
    <t>+1 (800) 369-7043</t>
  </si>
  <si>
    <t>Beach Retreat &amp; Lodge South Lake Tahoe</t>
  </si>
  <si>
    <t xml:space="preserve">3411 Lake Tahoe Boulevard </t>
  </si>
  <si>
    <t>Rachel Thayer</t>
  </si>
  <si>
    <t>+1 (530) 541-6722</t>
  </si>
  <si>
    <t>Beachfront Inn</t>
  </si>
  <si>
    <t xml:space="preserve">16008 Boat Basin Road </t>
  </si>
  <si>
    <t>Brookings</t>
  </si>
  <si>
    <t>+1 (541) 469-7779</t>
  </si>
  <si>
    <t>Beachplace Towers</t>
  </si>
  <si>
    <t xml:space="preserve">21 South Fort Lauderdale Beach Boulevard </t>
  </si>
  <si>
    <t xml:space="preserve">Joel Laviolette </t>
  </si>
  <si>
    <t>Lisa Armbrister Miller</t>
  </si>
  <si>
    <t>+ (954) 525-4440</t>
  </si>
  <si>
    <t>Beachside Resort Hotel</t>
  </si>
  <si>
    <t xml:space="preserve">610 West Beach Boulevard </t>
  </si>
  <si>
    <t>Gulf Shores</t>
  </si>
  <si>
    <t>Costel Hofman</t>
  </si>
  <si>
    <t>+1(251) 948-8141</t>
  </si>
  <si>
    <t>Saunders Hotel Group LLC</t>
  </si>
  <si>
    <t>Beacon Hill Hotel and Bistro</t>
  </si>
  <si>
    <t xml:space="preserve">25 Charles Street </t>
  </si>
  <si>
    <t>Paul Carton</t>
  </si>
  <si>
    <t>+1 (617) 723-7575</t>
  </si>
  <si>
    <t>Bear Creek Golf Club</t>
  </si>
  <si>
    <t xml:space="preserve">3500 Bear Creek Court </t>
  </si>
  <si>
    <t>Brad Dutler</t>
  </si>
  <si>
    <t>+1 (972) 456-3200</t>
  </si>
  <si>
    <t>Bear's Best Atlanta</t>
  </si>
  <si>
    <t xml:space="preserve">5342 Aldeburgh Dr </t>
  </si>
  <si>
    <t>Suwanne</t>
  </si>
  <si>
    <t>Ian Grimwade</t>
  </si>
  <si>
    <t>+1 (678) 714-2582</t>
  </si>
  <si>
    <t>Bear's Best Las Vegas</t>
  </si>
  <si>
    <t xml:space="preserve">11111 West Flamingo Rd </t>
  </si>
  <si>
    <t>Jim Stanfill</t>
  </si>
  <si>
    <t>Tina Randall</t>
  </si>
  <si>
    <t>+1 (702) 804-8500</t>
  </si>
  <si>
    <t>The Earnest Corporation</t>
  </si>
  <si>
    <t>Beau Chene Country Club</t>
  </si>
  <si>
    <t xml:space="preserve">602 North Beau Chene Drive </t>
  </si>
  <si>
    <t>Mandeville</t>
  </si>
  <si>
    <t>Chris Inman</t>
  </si>
  <si>
    <t>Matt Campagne</t>
  </si>
  <si>
    <t>+1 (985) 845-3565</t>
  </si>
  <si>
    <t>BEI Hotel San Francisco</t>
  </si>
  <si>
    <t xml:space="preserve">50 8th Street </t>
  </si>
  <si>
    <t>Craig Waterman</t>
  </si>
  <si>
    <t>Danielle Grillo</t>
  </si>
  <si>
    <t>+ (415) 626-6103</t>
  </si>
  <si>
    <t>Bell Harbor International Conference Center</t>
  </si>
  <si>
    <t xml:space="preserve">2211 Alaskan Way Pier 66 </t>
  </si>
  <si>
    <t>Linda Jones</t>
  </si>
  <si>
    <t>+1 (206) 269-4171</t>
  </si>
  <si>
    <t>Bellewood Golf Club LP</t>
  </si>
  <si>
    <t>Bellewood Golf Club</t>
  </si>
  <si>
    <t xml:space="preserve">400 East Schuylkill Road </t>
  </si>
  <si>
    <t>Pottstown</t>
  </si>
  <si>
    <t>Grove Smith</t>
  </si>
  <si>
    <t>Brian DeJohn</t>
  </si>
  <si>
    <t>+1 (610) 718-9100</t>
  </si>
  <si>
    <t>Charleston Place LLC</t>
  </si>
  <si>
    <t>Belmond Charleston Place</t>
  </si>
  <si>
    <t xml:space="preserve">205 Meeting Street </t>
  </si>
  <si>
    <t>Paul M Stracey</t>
  </si>
  <si>
    <t>Gino Matesi</t>
  </si>
  <si>
    <t>+1 (843) 722-4900</t>
  </si>
  <si>
    <t>El Encanto Inc.</t>
  </si>
  <si>
    <t>Belmond El Encanto</t>
  </si>
  <si>
    <t xml:space="preserve">800 Alvarado Place </t>
  </si>
  <si>
    <t>Janis Clapoff</t>
  </si>
  <si>
    <t>+1 (805) 705-7109</t>
  </si>
  <si>
    <t>Belmont Country Club</t>
  </si>
  <si>
    <t xml:space="preserve">19661 Belmont Manor Lane </t>
  </si>
  <si>
    <t>Mario Almonte</t>
  </si>
  <si>
    <t>+1 (703) 723-5330</t>
  </si>
  <si>
    <t>Benedum Theater</t>
  </si>
  <si>
    <t xml:space="preserve">237 7th Street </t>
  </si>
  <si>
    <t>John Szymanski</t>
  </si>
  <si>
    <t>Doug Genovese</t>
  </si>
  <si>
    <t>+1 (214) 616-2438</t>
  </si>
  <si>
    <t>Bent Creek Country Club</t>
  </si>
  <si>
    <t xml:space="preserve">620 Bent Creek DR </t>
  </si>
  <si>
    <t>Lititz</t>
  </si>
  <si>
    <t>Jim Haus</t>
  </si>
  <si>
    <t>Adnela Dolic</t>
  </si>
  <si>
    <t>+ (717) 560-7700</t>
  </si>
  <si>
    <t>Berkeley Country Club Inc.</t>
  </si>
  <si>
    <t>Berkeley Country Club</t>
  </si>
  <si>
    <t xml:space="preserve">7901 Cutting Boulevard </t>
  </si>
  <si>
    <t>El Cerrito</t>
  </si>
  <si>
    <t>Ryan Wilson</t>
  </si>
  <si>
    <t>+1 (510) 233-7550</t>
  </si>
  <si>
    <t>Berkeley Hall Club Inc.</t>
  </si>
  <si>
    <t>Berkeley Hall Golf Club</t>
  </si>
  <si>
    <t xml:space="preserve">366 Good Hope Road </t>
  </si>
  <si>
    <t>Jeff Dekruif</t>
  </si>
  <si>
    <t>JW Sims</t>
  </si>
  <si>
    <t>+1 (843) 815-8950</t>
  </si>
  <si>
    <t>Bermuda Run Country Club</t>
  </si>
  <si>
    <t xml:space="preserve">324 Bermuda Run Drive </t>
  </si>
  <si>
    <t>ClubCorp Select</t>
  </si>
  <si>
    <t>David Ford</t>
  </si>
  <si>
    <t>Kandice Sage</t>
  </si>
  <si>
    <t>+1 (336) 998-8155</t>
  </si>
  <si>
    <t>Bernardo Heights Country Club</t>
  </si>
  <si>
    <t xml:space="preserve">16066 Bernardo Heights Parkway </t>
  </si>
  <si>
    <t xml:space="preserve">Paul Devine </t>
  </si>
  <si>
    <t>+1 (858) 487-4022</t>
  </si>
  <si>
    <t>Bernardus Lodge and Spa</t>
  </si>
  <si>
    <t xml:space="preserve">415 West Carmel Valley Road </t>
  </si>
  <si>
    <t>CARMEL VALLEY</t>
  </si>
  <si>
    <t>Sean Damery</t>
  </si>
  <si>
    <t>Chuck Ham</t>
  </si>
  <si>
    <t>+1 (831) 658-3580</t>
  </si>
  <si>
    <t>Berry Creek Country Club</t>
  </si>
  <si>
    <t xml:space="preserve">30500 Berry Creek DR </t>
  </si>
  <si>
    <t>Shawn Goben</t>
  </si>
  <si>
    <t>+ (512) 930-4615</t>
  </si>
  <si>
    <t>1344 Eisenhower Bouelvard Highspire &amp; Eisenhower Boulevard</t>
  </si>
  <si>
    <t>Vikas Naik</t>
  </si>
  <si>
    <t>Denise Young</t>
  </si>
  <si>
    <t>+1 (717) 985-1600</t>
  </si>
  <si>
    <t>Best Western Alamo</t>
  </si>
  <si>
    <t xml:space="preserve">1002 S. Laredo St. </t>
  </si>
  <si>
    <t>Ken Patel</t>
  </si>
  <si>
    <t>+1 (210) 472-1002</t>
  </si>
  <si>
    <t>BPR Properties Corporate LLC</t>
  </si>
  <si>
    <t>Best Western All Suites Inn</t>
  </si>
  <si>
    <t xml:space="preserve">500 Ocean Street </t>
  </si>
  <si>
    <t>Nick Homick</t>
  </si>
  <si>
    <t>+1 (831) 458-9898</t>
  </si>
  <si>
    <t>Best Western Annapolis</t>
  </si>
  <si>
    <t xml:space="preserve">2520 Riva Road </t>
  </si>
  <si>
    <t>James Ross</t>
  </si>
  <si>
    <t>+ (410) 224-2800</t>
  </si>
  <si>
    <t>Best Western Aquia - Quantico Inn</t>
  </si>
  <si>
    <t xml:space="preserve">2868 Jefferson Davis Highway </t>
  </si>
  <si>
    <t>Stafford</t>
  </si>
  <si>
    <t>Pratik Patel</t>
  </si>
  <si>
    <t>+1 (540) 659-0022</t>
  </si>
  <si>
    <t>Best Western Arcata Inn</t>
  </si>
  <si>
    <t xml:space="preserve">4827 Valley View Boulevard </t>
  </si>
  <si>
    <t>Arcata</t>
  </si>
  <si>
    <t>Pio Delgadillo</t>
  </si>
  <si>
    <t>+1 (707) 826-0313</t>
  </si>
  <si>
    <t>Best Western at Historic Concord</t>
  </si>
  <si>
    <t xml:space="preserve">740 Elm Street </t>
  </si>
  <si>
    <t>Concord</t>
  </si>
  <si>
    <t>Samantha Cummings</t>
  </si>
  <si>
    <t>+1 (978) 369-6100</t>
  </si>
  <si>
    <t>Best Western Beachside Inn</t>
  </si>
  <si>
    <t xml:space="preserve">4500 Padre Boulevard </t>
  </si>
  <si>
    <t>South Padre island</t>
  </si>
  <si>
    <t>Ashish Patel</t>
  </si>
  <si>
    <t>Tejal Patel</t>
  </si>
  <si>
    <t>+(1) (956)-761-4919</t>
  </si>
  <si>
    <t>Best Western Bridgeview Hotel</t>
  </si>
  <si>
    <t xml:space="preserve">415 Hammond Avenue </t>
  </si>
  <si>
    <t>+(715)392-8174</t>
  </si>
  <si>
    <t>Collier Hotel Management Group Inc.</t>
  </si>
  <si>
    <t>Best Western Brighton Inn</t>
  </si>
  <si>
    <t xml:space="preserve">15151 Brighton Road </t>
  </si>
  <si>
    <t>Brighton</t>
  </si>
  <si>
    <t>Dave Milito</t>
  </si>
  <si>
    <t>Jason Collier</t>
  </si>
  <si>
    <t>+1 (303) 637-7710</t>
  </si>
  <si>
    <t>Aspromonte Inns LLC.</t>
  </si>
  <si>
    <t>Best Western Cedar Inn &amp; Suites</t>
  </si>
  <si>
    <t xml:space="preserve">444 South Main Street </t>
  </si>
  <si>
    <t>Angels Camp</t>
  </si>
  <si>
    <t>Aaron Wise</t>
  </si>
  <si>
    <t>+1 (209) 736-4000</t>
  </si>
  <si>
    <t xml:space="preserve">Vantage Real Estate Group LLC </t>
  </si>
  <si>
    <t>Best Western Center Inn</t>
  </si>
  <si>
    <t xml:space="preserve">5718 Northampton Boulevard </t>
  </si>
  <si>
    <t>Diane Duncan</t>
  </si>
  <si>
    <t>Rahul Patel</t>
  </si>
  <si>
    <t>+()757 613 4089</t>
  </si>
  <si>
    <t>Best Western Chicagoland-Countryside</t>
  </si>
  <si>
    <t xml:space="preserve">6251 Joliet Road </t>
  </si>
  <si>
    <t>Countryside</t>
  </si>
  <si>
    <t>Josh Haack</t>
  </si>
  <si>
    <t>+(708)354-5200</t>
  </si>
  <si>
    <t>Best Western Country Inn</t>
  </si>
  <si>
    <t xml:space="preserve">2025 Riverwalk Drive </t>
  </si>
  <si>
    <t>Fortuna</t>
  </si>
  <si>
    <t>Nicole Rocha</t>
  </si>
  <si>
    <t>+1 (707) 725-6822</t>
  </si>
  <si>
    <t>Best Western Country Park Hotels &amp; Suites</t>
  </si>
  <si>
    <t xml:space="preserve">420 W. Tehachapi Blvd. </t>
  </si>
  <si>
    <t>+1 (661)-823-1800</t>
  </si>
  <si>
    <t xml:space="preserve">Best Western Dallas Inn &amp; Suites </t>
  </si>
  <si>
    <t xml:space="preserve">250 Orchard Drive </t>
  </si>
  <si>
    <t>Andrea Reyes</t>
  </si>
  <si>
    <t>Colton Hiebert</t>
  </si>
  <si>
    <t>+1 (503) 623-6000</t>
  </si>
  <si>
    <t>Broughton Hospitality Group Inc.</t>
  </si>
  <si>
    <t>Best Western De Anza Inn</t>
  </si>
  <si>
    <t xml:space="preserve">2141 North Fremont Street </t>
  </si>
  <si>
    <t>Miguel Renteria</t>
  </si>
  <si>
    <t>+1 (831) 646-8300</t>
  </si>
  <si>
    <t>Hotel INNvestment Group</t>
  </si>
  <si>
    <t>Best Western Desert Villa Inn</t>
  </si>
  <si>
    <t xml:space="preserve">1984 East Main Street </t>
  </si>
  <si>
    <t>Barstow</t>
  </si>
  <si>
    <t>Hope Islas</t>
  </si>
  <si>
    <t>+1 (760) 256-1781</t>
  </si>
  <si>
    <t>Best Western Dothan</t>
  </si>
  <si>
    <t xml:space="preserve">1650 Westgate Parkway </t>
  </si>
  <si>
    <t>Wanda Haden</t>
  </si>
  <si>
    <t>+1 (334) 792-9000</t>
  </si>
  <si>
    <t>Natraj Corporation</t>
  </si>
  <si>
    <t xml:space="preserve">4026 Jackpot Road </t>
  </si>
  <si>
    <t>Grove City</t>
  </si>
  <si>
    <t>+1(614)875-7770</t>
  </si>
  <si>
    <t>Best Western Executive Inn &amp; Suites Grand Rapids</t>
  </si>
  <si>
    <t xml:space="preserve">2725 Buchanan Avenue Grand </t>
  </si>
  <si>
    <t>Amy Mucha</t>
  </si>
  <si>
    <t>+1 (616) 246-6612</t>
  </si>
  <si>
    <t>Best Western Executive Suites</t>
  </si>
  <si>
    <t xml:space="preserve">25 5th Avenue </t>
  </si>
  <si>
    <t>Daniel Sanda</t>
  </si>
  <si>
    <t>+1 (650) 366-5794</t>
  </si>
  <si>
    <t>Best Western False River Hotel</t>
  </si>
  <si>
    <t xml:space="preserve">2125 Memorial Boulevard </t>
  </si>
  <si>
    <t>New Roads</t>
  </si>
  <si>
    <t>Sunny Kumar</t>
  </si>
  <si>
    <t>+1 (225) 618-5725</t>
  </si>
  <si>
    <t>Best Western Gateway Grand</t>
  </si>
  <si>
    <t xml:space="preserve">4200 NW 97th Boulevard </t>
  </si>
  <si>
    <t>Justin Cochran</t>
  </si>
  <si>
    <t>+1(352)331-7101</t>
  </si>
  <si>
    <t>Best Western Georgetown</t>
  </si>
  <si>
    <t xml:space="preserve">132 Darby Drive </t>
  </si>
  <si>
    <t>Amit Pandya</t>
  </si>
  <si>
    <t>+1(502)868-0055</t>
  </si>
  <si>
    <t>Best Western Granbury</t>
  </si>
  <si>
    <t xml:space="preserve">1517 Plaza Drive </t>
  </si>
  <si>
    <t>Granbury</t>
  </si>
  <si>
    <t>+1 (817) 573-4239</t>
  </si>
  <si>
    <t>Best Western Grande Prairie</t>
  </si>
  <si>
    <t xml:space="preserve">10745 117th Avenue </t>
  </si>
  <si>
    <t>T8V 7N6</t>
  </si>
  <si>
    <t>Naomi Ducklowe</t>
  </si>
  <si>
    <t>+1(780) 402-2378</t>
  </si>
  <si>
    <t>Best Western Gregory Hotel</t>
  </si>
  <si>
    <t xml:space="preserve">8315 4th Avenue </t>
  </si>
  <si>
    <t>Kenneth Scoby</t>
  </si>
  <si>
    <t>Gehad Abdelhamid</t>
  </si>
  <si>
    <t>+ (718) 238-3737</t>
  </si>
  <si>
    <t>JNR Management Inc.</t>
  </si>
  <si>
    <t>Best Western Hampshire Inn &amp; Suites</t>
  </si>
  <si>
    <t xml:space="preserve">20 Spur Road </t>
  </si>
  <si>
    <t>Seabrook</t>
  </si>
  <si>
    <t>Imran Pethania</t>
  </si>
  <si>
    <t>+1 (603) 474-5700</t>
  </si>
  <si>
    <t>Best Western Hartford Hotel &amp; Suites</t>
  </si>
  <si>
    <t xml:space="preserve">185 Brainard Road </t>
  </si>
  <si>
    <t>Hartford</t>
  </si>
  <si>
    <t>Mark Marino</t>
  </si>
  <si>
    <t>+1 (860) 525-1000</t>
  </si>
  <si>
    <t>HP3 LLC</t>
  </si>
  <si>
    <t>Best Western Heritage Inn</t>
  </si>
  <si>
    <t xml:space="preserve">151 East McLeod Road </t>
  </si>
  <si>
    <t>AJ Singh</t>
  </si>
  <si>
    <t>+1 (360) 647-1912</t>
  </si>
  <si>
    <t>Evolv Hotels</t>
  </si>
  <si>
    <t>Best Western Hilliard</t>
  </si>
  <si>
    <t xml:space="preserve">3831 Park Mill Run Drive </t>
  </si>
  <si>
    <t>Hilliard</t>
  </si>
  <si>
    <t>Raj Patel</t>
  </si>
  <si>
    <t>+1 (614) 529-8118</t>
  </si>
  <si>
    <t>G&amp;G Hospitality LLC (FSA Lodging LLC)</t>
  </si>
  <si>
    <t>Best Western Hillside Inn</t>
  </si>
  <si>
    <t>1025 Highway 65B</t>
  </si>
  <si>
    <t>Justin Patel</t>
  </si>
  <si>
    <t>+1 (501) 745-4700</t>
  </si>
  <si>
    <t>Best Western Inn &amp; Suites Rutland</t>
  </si>
  <si>
    <t xml:space="preserve">5 Best Western Place </t>
  </si>
  <si>
    <t>Rutland</t>
  </si>
  <si>
    <t>David Correll</t>
  </si>
  <si>
    <t>+ (802) 773-3200</t>
  </si>
  <si>
    <t>Best Western Inn &amp; Suites St. Clairsville</t>
  </si>
  <si>
    <t xml:space="preserve">51654 National Road East </t>
  </si>
  <si>
    <t>St. Clairsville</t>
  </si>
  <si>
    <t>Jackie Newton</t>
  </si>
  <si>
    <t>+1 (740) 699-0010</t>
  </si>
  <si>
    <t>Best Western Inn Florence</t>
  </si>
  <si>
    <t xml:space="preserve">7821 Commerce Drive </t>
  </si>
  <si>
    <t>Kary Moore</t>
  </si>
  <si>
    <t>+1 (859) 525-0090</t>
  </si>
  <si>
    <t>Premier Management Inc.</t>
  </si>
  <si>
    <t>Best Western Kirkwood Inn</t>
  </si>
  <si>
    <t xml:space="preserve">1200 S. Kirkwood Rd. </t>
  </si>
  <si>
    <t>St. Louis</t>
  </si>
  <si>
    <t>Cindy Brasseur</t>
  </si>
  <si>
    <t>+1 (314) 821-3950</t>
  </si>
  <si>
    <t>Best Western McCarran Inn</t>
  </si>
  <si>
    <t xml:space="preserve">4970 Paradise Road </t>
  </si>
  <si>
    <t>Tracey Gulli</t>
  </si>
  <si>
    <t>+1 (702) 798-5530</t>
  </si>
  <si>
    <t>Best Western Mountain Inn Motel</t>
  </si>
  <si>
    <t xml:space="preserve">416 W. Tehachapi Blvd. </t>
  </si>
  <si>
    <t>+1 (661) 822-4800</t>
  </si>
  <si>
    <t>Best Western Mountain View Inn</t>
  </si>
  <si>
    <t xml:space="preserve">2300 West El Camino Real </t>
  </si>
  <si>
    <t>Jeffrey Hirsch</t>
  </si>
  <si>
    <t>+1 (650) 962-9912</t>
  </si>
  <si>
    <t>Best Western Naples Inn &amp; Suites</t>
  </si>
  <si>
    <t xml:space="preserve">2329 9th Street North </t>
  </si>
  <si>
    <t>+1 (239) 261-1148</t>
  </si>
  <si>
    <t>Best Western New Albany</t>
  </si>
  <si>
    <t xml:space="preserve">400 Highway 30 West </t>
  </si>
  <si>
    <t>Tamika Malone</t>
  </si>
  <si>
    <t>+1 (662) 598-0123</t>
  </si>
  <si>
    <t>Best Western North Joliet</t>
  </si>
  <si>
    <t xml:space="preserve">3231 Norman Avenue </t>
  </si>
  <si>
    <t>Kate Barrett</t>
  </si>
  <si>
    <t xml:space="preserve">Cece Osborne </t>
  </si>
  <si>
    <t>+1 (815) 439-4200</t>
  </si>
  <si>
    <t>Best Western Ocala Park Centre</t>
  </si>
  <si>
    <t xml:space="preserve">3701 SW 38th Avenue </t>
  </si>
  <si>
    <t>Melissa Bigwood</t>
  </si>
  <si>
    <t>Josh McCullough</t>
  </si>
  <si>
    <t>+1 (352) 237-4848</t>
  </si>
  <si>
    <t>Best Western Oceanfront</t>
  </si>
  <si>
    <t xml:space="preserve">305 North 1st Street </t>
  </si>
  <si>
    <t>Jacksonville Beach</t>
  </si>
  <si>
    <t>Jaime Mullins</t>
  </si>
  <si>
    <t>+1 (904) 249-4949</t>
  </si>
  <si>
    <t>Best Western Phoenix Downtown</t>
  </si>
  <si>
    <t xml:space="preserve">620 North 6th Street </t>
  </si>
  <si>
    <t>Dayneisha Blueitt</t>
  </si>
  <si>
    <t>Lucia Valadez</t>
  </si>
  <si>
    <t>+1 (602) 452-2020</t>
  </si>
  <si>
    <t>Best Western Plaquemine Inn</t>
  </si>
  <si>
    <t xml:space="preserve">23235 Highway 1 South </t>
  </si>
  <si>
    <t>Plaquemine</t>
  </si>
  <si>
    <t>Nick Chaniara</t>
  </si>
  <si>
    <t>+1 (225) 385-4388</t>
  </si>
  <si>
    <t xml:space="preserve">875 Pulaski Hwy </t>
  </si>
  <si>
    <t>Bear</t>
  </si>
  <si>
    <t>Vik Naik</t>
  </si>
  <si>
    <t>Samantha Peterson</t>
  </si>
  <si>
    <t>+ (302) 326-2500</t>
  </si>
  <si>
    <t>360 Degree Hotel Group Ltd.</t>
  </si>
  <si>
    <t>Best Western Plus - Navigator Inn &amp; Suites</t>
  </si>
  <si>
    <t xml:space="preserve">10210 Evergreen Way </t>
  </si>
  <si>
    <t>Roel Miranda</t>
  </si>
  <si>
    <t>Tony Bowman</t>
  </si>
  <si>
    <t>+1(425)347-2555</t>
  </si>
  <si>
    <t>Best Western Plus Bayshore Inn</t>
  </si>
  <si>
    <t xml:space="preserve">3500 Broadway Street </t>
  </si>
  <si>
    <t>Eureka</t>
  </si>
  <si>
    <t>Regina Roudebush</t>
  </si>
  <si>
    <t>+ (707) 268-8005</t>
  </si>
  <si>
    <t>Best Western Plus Boston Hotel</t>
  </si>
  <si>
    <t xml:space="preserve">891 Massachusetts Avenue </t>
  </si>
  <si>
    <t>Sal Tiexelra</t>
  </si>
  <si>
    <t>+1 (617) 989-1000</t>
  </si>
  <si>
    <t>Best Western Plus Bourbonnais Hotel &amp; Suites</t>
  </si>
  <si>
    <t xml:space="preserve">62 Ken Hayes Drive </t>
  </si>
  <si>
    <t>Bourbonnais</t>
  </si>
  <si>
    <t>Daniel Marotto</t>
  </si>
  <si>
    <t>Melissa Helfert</t>
  </si>
  <si>
    <t>+1 (815) 932-4411</t>
  </si>
  <si>
    <t>Best Western Plus Burleson</t>
  </si>
  <si>
    <t xml:space="preserve">516 Memorial Plaza </t>
  </si>
  <si>
    <t>Priay Patel</t>
  </si>
  <si>
    <t>+1 (817) 744-7747</t>
  </si>
  <si>
    <t>Best Western Plus Capitola By-the-Sea &amp; Suites</t>
  </si>
  <si>
    <t xml:space="preserve">1435 41ST Avenue </t>
  </si>
  <si>
    <t>Capitola</t>
  </si>
  <si>
    <t>Kent Berman</t>
  </si>
  <si>
    <t>Stephanie GM</t>
  </si>
  <si>
    <t>+ 1 (831) 477-0607</t>
  </si>
  <si>
    <t>Gopalco Inc.</t>
  </si>
  <si>
    <t>Best Western Plus Castle Rock</t>
  </si>
  <si>
    <t xml:space="preserve">595 Genoa Way </t>
  </si>
  <si>
    <t>Castle Rock</t>
  </si>
  <si>
    <t>Courtney Perez</t>
  </si>
  <si>
    <t>Jayesh Patel</t>
  </si>
  <si>
    <t>+1(303)814-8800</t>
  </si>
  <si>
    <t>Innvite Hospitality Group LLC</t>
  </si>
  <si>
    <t>Best Western Plus Dayton Northwest</t>
  </si>
  <si>
    <t xml:space="preserve">20 Rockridge Road </t>
  </si>
  <si>
    <t>Shihab Fayed</t>
  </si>
  <si>
    <t>+1 (937) 832-2222</t>
  </si>
  <si>
    <t>Best Western Plus Dayton South</t>
  </si>
  <si>
    <t xml:space="preserve">8099 Old Yankee Street </t>
  </si>
  <si>
    <t>+1 (937) 291-0284</t>
  </si>
  <si>
    <t>CORE Hotels LLC</t>
  </si>
  <si>
    <t>Best Western Plus Delta Inn &amp; Suites - Oakley CA</t>
  </si>
  <si>
    <t xml:space="preserve">5549 Bridgehead Road </t>
  </si>
  <si>
    <t>Oakley</t>
  </si>
  <si>
    <t>Sandra Espinoza</t>
  </si>
  <si>
    <t>+1 (925) 755-1222</t>
  </si>
  <si>
    <t>Best Western Plus Denver International Airport</t>
  </si>
  <si>
    <t xml:space="preserve">7020 Tower Road </t>
  </si>
  <si>
    <t>Ann McLemore</t>
  </si>
  <si>
    <t>+1 (303) 373-1600</t>
  </si>
  <si>
    <t>Best Western Plus Duluth Sugarloaf</t>
  </si>
  <si>
    <t xml:space="preserve">2370 Stephens Center Drive </t>
  </si>
  <si>
    <t>John Walker</t>
  </si>
  <si>
    <t>+1 (678) 957-0500</t>
  </si>
  <si>
    <t>Best Western Plus Executive Residence Jackson</t>
  </si>
  <si>
    <t xml:space="preserve">2443 Christmasville Cove </t>
  </si>
  <si>
    <t>Executive Residence</t>
  </si>
  <si>
    <t>Amanda Brumbelow</t>
  </si>
  <si>
    <t>+1 (731) 300-3370</t>
  </si>
  <si>
    <t>H&amp;H Management LLC</t>
  </si>
  <si>
    <t>Best Western Plus Gateway Inn &amp; Suites</t>
  </si>
  <si>
    <t xml:space="preserve">800 South Abilene Street </t>
  </si>
  <si>
    <t>Kyle Murray</t>
  </si>
  <si>
    <t>+1 (720) 748-4800</t>
  </si>
  <si>
    <t>Best Western Plus Goldsboro</t>
  </si>
  <si>
    <t xml:space="preserve">909 North Spence Avenue </t>
  </si>
  <si>
    <t>Goldsboro</t>
  </si>
  <si>
    <t>Edward Davis</t>
  </si>
  <si>
    <t>+1 (919) 751-1999</t>
  </si>
  <si>
    <t>Best Western Plus Grand Strand</t>
  </si>
  <si>
    <t xml:space="preserve">1804 South Ocean Boulevard </t>
  </si>
  <si>
    <t xml:space="preserve">Michelle Zillig </t>
  </si>
  <si>
    <t>+1 (843) 448-1461</t>
  </si>
  <si>
    <t>Westway Hospitality LLC</t>
  </si>
  <si>
    <t>Best Western Plus Henderson Hotel</t>
  </si>
  <si>
    <t xml:space="preserve">1553 North Boulder Highway </t>
  </si>
  <si>
    <t>Martin Ocequera</t>
  </si>
  <si>
    <t>+1 (702) 564-9200</t>
  </si>
  <si>
    <t>Vue Hotels LLC</t>
  </si>
  <si>
    <t>Best Western Plus Hill Country Suites</t>
  </si>
  <si>
    <t xml:space="preserve">18555 US Highway 281 North </t>
  </si>
  <si>
    <t>Kevin Masutani</t>
  </si>
  <si>
    <t>+1 (210) 490-9191</t>
  </si>
  <si>
    <t>Best Western Plus Indianapolis Downtown</t>
  </si>
  <si>
    <t xml:space="preserve">401 E. Washington </t>
  </si>
  <si>
    <t xml:space="preserve">Nancy Dougherty </t>
  </si>
  <si>
    <t>+1 (317) 638-0327</t>
  </si>
  <si>
    <t>Best Western Plus Kelowna Hotel &amp; Suites</t>
  </si>
  <si>
    <t xml:space="preserve">2402 Highway 97 North </t>
  </si>
  <si>
    <t>Kelowna</t>
  </si>
  <si>
    <t>V1X 4J1</t>
  </si>
  <si>
    <t>Stephen Dodwell</t>
  </si>
  <si>
    <t>+1 (250) 860-1212</t>
  </si>
  <si>
    <t>Best Western Plus Lackland</t>
  </si>
  <si>
    <t xml:space="preserve">3635 Crooked Trail </t>
  </si>
  <si>
    <t>Amado Lamas</t>
  </si>
  <si>
    <t>+1 (210) 298-9191</t>
  </si>
  <si>
    <t>Best Western Plus Landmark Inn</t>
  </si>
  <si>
    <t xml:space="preserve">4430 Southeast Highway </t>
  </si>
  <si>
    <t>Lincoln City</t>
  </si>
  <si>
    <t>Anita Haehl</t>
  </si>
  <si>
    <t>+1 (541) 994-6060</t>
  </si>
  <si>
    <t>Best Western Plus Longhorn Inn &amp; Suites</t>
  </si>
  <si>
    <t xml:space="preserve">4120 East Pierce Street </t>
  </si>
  <si>
    <t>Joliet</t>
  </si>
  <si>
    <t>Crystal Fair</t>
  </si>
  <si>
    <t>+1 (830) 875-5442</t>
  </si>
  <si>
    <t>Best Western Plus Lonoke Hotel</t>
  </si>
  <si>
    <t xml:space="preserve">102 Dee Dee Lane </t>
  </si>
  <si>
    <t>Lonoke</t>
  </si>
  <si>
    <t>+1 (501) 676-8880</t>
  </si>
  <si>
    <t>Best Western Plus Louisville Inn &amp; Suites</t>
  </si>
  <si>
    <t xml:space="preserve">960 West Dillon Road </t>
  </si>
  <si>
    <t>Peter Hawkins</t>
  </si>
  <si>
    <t>Beena Patel</t>
  </si>
  <si>
    <t>+1 (303) 327-1215</t>
  </si>
  <si>
    <t>Best Western Plus Mansfield</t>
  </si>
  <si>
    <t xml:space="preserve">775 Highway 287 North </t>
  </si>
  <si>
    <t>Paresh Patel</t>
  </si>
  <si>
    <t>+1 (817) 539-0707</t>
  </si>
  <si>
    <t>Best Western Plus Miami - Doral - Dolphin Mall</t>
  </si>
  <si>
    <t xml:space="preserve">3875 Northwest 107th Avenue </t>
  </si>
  <si>
    <t>Luis Ballon</t>
  </si>
  <si>
    <t xml:space="preserve">Carolyn Reynoso </t>
  </si>
  <si>
    <t>+1 (305) 463-7195</t>
  </si>
  <si>
    <t>Best Western Plus New Englander</t>
  </si>
  <si>
    <t xml:space="preserve">1 Rainin Road </t>
  </si>
  <si>
    <t>Pegy Daly</t>
  </si>
  <si>
    <t>+1 (781) 935-8160</t>
  </si>
  <si>
    <t>Best Western Plus Oakwood</t>
  </si>
  <si>
    <t xml:space="preserve">4535 Oakwood Road </t>
  </si>
  <si>
    <t>Oakwood</t>
  </si>
  <si>
    <t>Sonial Patel</t>
  </si>
  <si>
    <t>+1 (770) 535-8080</t>
  </si>
  <si>
    <t>Southeast Hospitality Corporation</t>
  </si>
  <si>
    <t>Best Western Plus Oceanside Inn</t>
  </si>
  <si>
    <t xml:space="preserve">1180 Seabreeze Boulevard </t>
  </si>
  <si>
    <t>Carolina Bello</t>
  </si>
  <si>
    <t>Janet Graham</t>
  </si>
  <si>
    <t>+1 (954) 660-1160</t>
  </si>
  <si>
    <t>Tasico Hospitality Group</t>
  </si>
  <si>
    <t>Best Western Plus Ottawa - Kanata Conference Centre</t>
  </si>
  <si>
    <t xml:space="preserve">1876 Robertson Road </t>
  </si>
  <si>
    <t>K2H 5B8</t>
  </si>
  <si>
    <t>Dmitriy Mosiychuk</t>
  </si>
  <si>
    <t>+1(613)828-2741</t>
  </si>
  <si>
    <t>Best Western Plus Palo Alto Inn and Suites</t>
  </si>
  <si>
    <t xml:space="preserve">12507 Southwest Loop 410 </t>
  </si>
  <si>
    <t>Rahul Bhakta</t>
  </si>
  <si>
    <t>+1 (210) 298-9990</t>
  </si>
  <si>
    <t>Best Western Plus Rose Garden Inn</t>
  </si>
  <si>
    <t xml:space="preserve">740 Freedom Boulevard </t>
  </si>
  <si>
    <t>Ryan Peach</t>
  </si>
  <si>
    <t>+1 (831) 724-3367</t>
  </si>
  <si>
    <t>Mirumi Inc.</t>
  </si>
  <si>
    <t>Best Western Plus Shakopee Inn</t>
  </si>
  <si>
    <t xml:space="preserve">511 Marschall Road </t>
  </si>
  <si>
    <t>Christine Onigiri</t>
  </si>
  <si>
    <t>Hetal Patel</t>
  </si>
  <si>
    <t>+ (952) 445-9779</t>
  </si>
  <si>
    <t>Bridgeton Holdings</t>
  </si>
  <si>
    <t>Best Western Plus The Charles Hotel</t>
  </si>
  <si>
    <t xml:space="preserve">1425 South Fifth Street </t>
  </si>
  <si>
    <t>Jena Sievers</t>
  </si>
  <si>
    <t>+1 (636) 946-6936</t>
  </si>
  <si>
    <t>Best Western Plus Tupelo</t>
  </si>
  <si>
    <t xml:space="preserve">3158 North Gloster Street </t>
  </si>
  <si>
    <t>+1 (662) 847-0300</t>
  </si>
  <si>
    <t>Dhillon Hotels</t>
  </si>
  <si>
    <t>Best Western Plus Williston Hotel &amp; Suites</t>
  </si>
  <si>
    <t xml:space="preserve">4201 4th Avenue West Williston </t>
  </si>
  <si>
    <t>Brenda Heaps</t>
  </si>
  <si>
    <t>+1 (701) 572-8800</t>
  </si>
  <si>
    <t>Best Western Plus Yakima Hotel</t>
  </si>
  <si>
    <t xml:space="preserve">1614 North 1st Street </t>
  </si>
  <si>
    <t>Yakima</t>
  </si>
  <si>
    <t>Ron Reynolds</t>
  </si>
  <si>
    <t>Sarah Purdy</t>
  </si>
  <si>
    <t>+1 (509) 453-8898</t>
  </si>
  <si>
    <t>Best Western Plus The Inn of Hampton</t>
  </si>
  <si>
    <t xml:space="preserve">815 Lafayette Road </t>
  </si>
  <si>
    <t>Ismail Pethania</t>
  </si>
  <si>
    <t>+1 (603) 926-6771</t>
  </si>
  <si>
    <t>Best Western Premier Bryan College Station</t>
  </si>
  <si>
    <t xml:space="preserve">1920 Austin Colony Parkway </t>
  </si>
  <si>
    <t>Katie Paddock</t>
  </si>
  <si>
    <t>+1 (979) 731-5300</t>
  </si>
  <si>
    <t>Hollander Hospitality LLC</t>
  </si>
  <si>
    <t>Best Western Premier Plaza Hotel &amp; Conference Center</t>
  </si>
  <si>
    <t xml:space="preserve">620 South Hill Park Drive </t>
  </si>
  <si>
    <t>Puyallup</t>
  </si>
  <si>
    <t>Joshua Goshorn</t>
  </si>
  <si>
    <t>+1 (253) 848-1500</t>
  </si>
  <si>
    <t>Best Western Premier Sports Complex</t>
  </si>
  <si>
    <t xml:space="preserve">4011 Blueridge Cut Off </t>
  </si>
  <si>
    <t>Barbara Cuddy</t>
  </si>
  <si>
    <t>Tracy Moore</t>
  </si>
  <si>
    <t>+1 (816) 353-5300</t>
  </si>
  <si>
    <t>Best Western Riviera</t>
  </si>
  <si>
    <t xml:space="preserve">15 El Camino Real </t>
  </si>
  <si>
    <t>Dan Sanda</t>
  </si>
  <si>
    <t>+1 (650) 321-8772</t>
  </si>
  <si>
    <t>Best Western Rockland</t>
  </si>
  <si>
    <t xml:space="preserve">909 Hingham St </t>
  </si>
  <si>
    <t>Rockland</t>
  </si>
  <si>
    <t>Devesh Karani</t>
  </si>
  <si>
    <t>+ (781) 871-5660</t>
  </si>
  <si>
    <t>VJLP LLC</t>
  </si>
  <si>
    <t>Best Western Shenandoah Inn</t>
  </si>
  <si>
    <t xml:space="preserve">620 Highway 34 East </t>
  </si>
  <si>
    <t>Melanie Ayers</t>
  </si>
  <si>
    <t>+1 (770) 304-9700</t>
  </si>
  <si>
    <t>Best Western Spooner Riverplace</t>
  </si>
  <si>
    <t xml:space="preserve">101 West Maple Street </t>
  </si>
  <si>
    <t>Spooner</t>
  </si>
  <si>
    <t>Lisa Olson</t>
  </si>
  <si>
    <t>+1 (715) 635-9770</t>
  </si>
  <si>
    <t>Best Western Springfield Hotel</t>
  </si>
  <si>
    <t xml:space="preserve">818 Charlestown Road </t>
  </si>
  <si>
    <t>Stephanie Parker</t>
  </si>
  <si>
    <t>+ (802) 885-4516</t>
  </si>
  <si>
    <t>Best Western St. Francisville Hotel</t>
  </si>
  <si>
    <t xml:space="preserve">6756 US Highway 61 </t>
  </si>
  <si>
    <t>Saint Francisville</t>
  </si>
  <si>
    <t>+1 (225) 635-5851</t>
  </si>
  <si>
    <t xml:space="preserve">Best Western Sweetgrass Inn </t>
  </si>
  <si>
    <t xml:space="preserve">1540 Savannah Highway </t>
  </si>
  <si>
    <t>Bill Richards</t>
  </si>
  <si>
    <t>Sweetgrass Tester</t>
  </si>
  <si>
    <t>+1 (843) 571-6100</t>
  </si>
  <si>
    <t>Best Western The Plaza Hotel</t>
  </si>
  <si>
    <t>3253 North Nimitz Highway Oahu</t>
  </si>
  <si>
    <t>+1 (808) 836-3636</t>
  </si>
  <si>
    <t>Best Western University Inn &amp; Suites</t>
  </si>
  <si>
    <t xml:space="preserve">3933 Pacific Avenue </t>
  </si>
  <si>
    <t>Forest Grove</t>
  </si>
  <si>
    <t>Tina Rust</t>
  </si>
  <si>
    <t>+1 (503) 992-8888</t>
  </si>
  <si>
    <t>Minkin Management Inc.</t>
  </si>
  <si>
    <t>Best Western Watertown</t>
  </si>
  <si>
    <t xml:space="preserve">101 Aviation Way </t>
  </si>
  <si>
    <t>Cheryl Mitchell</t>
  </si>
  <si>
    <t>Erik Unmuth</t>
  </si>
  <si>
    <t>+1 (920) 262-1910</t>
  </si>
  <si>
    <t>Best Western York Inn</t>
  </si>
  <si>
    <t xml:space="preserve">2 Brickyard Lane </t>
  </si>
  <si>
    <t>Robins Patel</t>
  </si>
  <si>
    <t>+1 (207) 363-8903</t>
  </si>
  <si>
    <t>Bethesda Country Club Inc.</t>
  </si>
  <si>
    <t>Bethesda Country Club</t>
  </si>
  <si>
    <t xml:space="preserve">7601 Bradley Boulevard </t>
  </si>
  <si>
    <t>Susana Soriano</t>
  </si>
  <si>
    <t>Ted Pogorelc</t>
  </si>
  <si>
    <t>+1 (301) 365-1700</t>
  </si>
  <si>
    <t>Bethesda Marriott</t>
  </si>
  <si>
    <t xml:space="preserve">5151 Pooks Hill Road </t>
  </si>
  <si>
    <t>Aven Test11</t>
  </si>
  <si>
    <t>Bonnie Caravaglia</t>
  </si>
  <si>
    <t>+(301)897-9400</t>
  </si>
  <si>
    <t>Beverly Hills Marriott</t>
  </si>
  <si>
    <t xml:space="preserve">1150 South Beverly Drive </t>
  </si>
  <si>
    <t>Dan Stenz</t>
  </si>
  <si>
    <t>+1 (310) 553-6561</t>
  </si>
  <si>
    <t>Big Canyon Country Club</t>
  </si>
  <si>
    <t xml:space="preserve">1 Big Canyon Drive </t>
  </si>
  <si>
    <t>Jeremy Samson</t>
  </si>
  <si>
    <t>Patricia Nydam</t>
  </si>
  <si>
    <t>+ (949) 644-5404</t>
  </si>
  <si>
    <t>Billings Ventures L.P.</t>
  </si>
  <si>
    <t>Big Horn Resort An Ascend Hotel Collection Member</t>
  </si>
  <si>
    <t xml:space="preserve">1801 Majestic Lane </t>
  </si>
  <si>
    <t>Boone Jones</t>
  </si>
  <si>
    <t>Mike Sattler</t>
  </si>
  <si>
    <t>+1 (406) 839-9300</t>
  </si>
  <si>
    <t>Bishop's Lodge</t>
  </si>
  <si>
    <t xml:space="preserve">1297 Bishops Lodge Road </t>
  </si>
  <si>
    <t>John Volponi</t>
  </si>
  <si>
    <t>Kristina Kohl</t>
  </si>
  <si>
    <t>+ (505) 983-6377</t>
  </si>
  <si>
    <t>Black Bear Golf Club</t>
  </si>
  <si>
    <t xml:space="preserve">11400 Canterberry Parkway </t>
  </si>
  <si>
    <t>David DiMartino</t>
  </si>
  <si>
    <t>Ian Gant</t>
  </si>
  <si>
    <t>+1 (303) 840-3100</t>
  </si>
  <si>
    <t>Blackstone Golf Course</t>
  </si>
  <si>
    <t xml:space="preserve">7777 South Country Club Parkway </t>
  </si>
  <si>
    <t>Jim Garlenski</t>
  </si>
  <si>
    <t>+1 (303) 680-0245</t>
  </si>
  <si>
    <t xml:space="preserve">Bloomington Courtyard Inn </t>
  </si>
  <si>
    <t xml:space="preserve">310 South College Avenue </t>
  </si>
  <si>
    <t>Lee Vanhorn</t>
  </si>
  <si>
    <t>Robert Christie</t>
  </si>
  <si>
    <t>+ (812) 335-8000</t>
  </si>
  <si>
    <t>Bloomington-Normal Marriott Hotel &amp; Conference Center</t>
  </si>
  <si>
    <t xml:space="preserve">201 Broadway Avenue </t>
  </si>
  <si>
    <t>Normal</t>
  </si>
  <si>
    <t>Migidi Tembo</t>
  </si>
  <si>
    <t>+ (309) 862-9000</t>
  </si>
  <si>
    <t xml:space="preserve">190 Gord Canning Drive </t>
  </si>
  <si>
    <t>Blue Mountain</t>
  </si>
  <si>
    <t>L9Y 1C2</t>
  </si>
  <si>
    <t>Jerome Wihby</t>
  </si>
  <si>
    <t>Dan Baker</t>
  </si>
  <si>
    <t>+1 (705) 445-0231</t>
  </si>
  <si>
    <t>Bluegrass Yacht &amp; Country Club</t>
  </si>
  <si>
    <t xml:space="preserve">550 Johnny Cash Parkway </t>
  </si>
  <si>
    <t>+1 (615) 824-6528</t>
  </si>
  <si>
    <t>Blue Bell Meadows LLC</t>
  </si>
  <si>
    <t>Bluestone Country Club</t>
  </si>
  <si>
    <t xml:space="preserve">PO Box 460 </t>
  </si>
  <si>
    <t>Blue Bell</t>
  </si>
  <si>
    <t>AJ Falbo</t>
  </si>
  <si>
    <t>Kris Fair</t>
  </si>
  <si>
    <t>+ (215) 646-2300</t>
  </si>
  <si>
    <t>Boarders Inn &amp; Suites - Ripon</t>
  </si>
  <si>
    <t xml:space="preserve">1219 West Fond Du Lac Street </t>
  </si>
  <si>
    <t>Ripon</t>
  </si>
  <si>
    <t>boarders Inn &amp; Suites</t>
  </si>
  <si>
    <t>Laura Kalish</t>
  </si>
  <si>
    <t>+ 1 (920) 748-7578</t>
  </si>
  <si>
    <t>Boarders Inn &amp; Suites - Shawano</t>
  </si>
  <si>
    <t xml:space="preserve">W7393 River Bend Road </t>
  </si>
  <si>
    <t>Shawano</t>
  </si>
  <si>
    <t>Jennifer Ghent</t>
  </si>
  <si>
    <t>+1 (715) 524-9090</t>
  </si>
  <si>
    <t>Boca Holdings LLC dba Boca Lago Country Club</t>
  </si>
  <si>
    <t>Boca Lago Country Club</t>
  </si>
  <si>
    <t xml:space="preserve">8665 Juego Way </t>
  </si>
  <si>
    <t>Andre Smith</t>
  </si>
  <si>
    <t>Erica Allain</t>
  </si>
  <si>
    <t>+1 (561) 482-5000</t>
  </si>
  <si>
    <t>Woodside Hotels</t>
  </si>
  <si>
    <t>Bodega Bay Lodge &amp; Spa</t>
  </si>
  <si>
    <t xml:space="preserve">103 Coast Hwy 1 </t>
  </si>
  <si>
    <t>Bodega Bay</t>
  </si>
  <si>
    <t>Andrea Murray</t>
  </si>
  <si>
    <t>+ (707) 875-3525</t>
  </si>
  <si>
    <t>Harborside Corporation</t>
  </si>
  <si>
    <t>Bolongo Bay Beach Resort</t>
  </si>
  <si>
    <t xml:space="preserve">7150 Bolongo </t>
  </si>
  <si>
    <t>St Thomas</t>
  </si>
  <si>
    <t>Paul Doumeng</t>
  </si>
  <si>
    <t>+52(181)1-340-775-1800</t>
  </si>
  <si>
    <t>Hospitality Investing Group LLC</t>
  </si>
  <si>
    <t>Bonaventure Country Club</t>
  </si>
  <si>
    <t xml:space="preserve">200 Bonaventure Blvd </t>
  </si>
  <si>
    <t>Royston Brady</t>
  </si>
  <si>
    <t>+1 (954) 389-2100</t>
  </si>
  <si>
    <t>Bonaventure Resort &amp; Spa</t>
  </si>
  <si>
    <t xml:space="preserve">250 Racquet Club Road </t>
  </si>
  <si>
    <t>Lucia Rosa</t>
  </si>
  <si>
    <t>+1 (954) 389-3300</t>
  </si>
  <si>
    <t>Borrego Springs Resort &amp; Country Club</t>
  </si>
  <si>
    <t>1112 Tilting T Drive P.O. Box 981</t>
  </si>
  <si>
    <t>Borrego Springs</t>
  </si>
  <si>
    <t xml:space="preserve">Erica Atmaca </t>
  </si>
  <si>
    <t>+1 (760) 767-5700</t>
  </si>
  <si>
    <t>Boston College Club</t>
  </si>
  <si>
    <t>100 Federal Street 36th Floor</t>
  </si>
  <si>
    <t>Paul McAvoy</t>
  </si>
  <si>
    <t>Stefan Jarausch</t>
  </si>
  <si>
    <t>+ (617) 946-2828</t>
  </si>
  <si>
    <t>Boston Common Hotel and Conference Center</t>
  </si>
  <si>
    <t xml:space="preserve">40 Trinity Place </t>
  </si>
  <si>
    <t>Charlie Grant</t>
  </si>
  <si>
    <t>Dan Chan</t>
  </si>
  <si>
    <t>+1 (617) 933-7700</t>
  </si>
  <si>
    <t>Boston Custom House Sales Gallery</t>
  </si>
  <si>
    <t xml:space="preserve">3 McKinely Square </t>
  </si>
  <si>
    <t>Tannia DeCoteau</t>
  </si>
  <si>
    <t>+1 (202) 499-3574</t>
  </si>
  <si>
    <t>Boston Fenway Inn - Hemenway Street</t>
  </si>
  <si>
    <t xml:space="preserve">12 Hemenway Street </t>
  </si>
  <si>
    <t>+1 (339) 224-1901</t>
  </si>
  <si>
    <t>Boston Harbor Hotel</t>
  </si>
  <si>
    <t xml:space="preserve">70 Rowes Wharf </t>
  </si>
  <si>
    <t>Sheila Rice</t>
  </si>
  <si>
    <t>Stephen Johnston</t>
  </si>
  <si>
    <t>+1 (617) 439-7000</t>
  </si>
  <si>
    <t>Boston Marriott Cambridge</t>
  </si>
  <si>
    <t xml:space="preserve">50 Broadway </t>
  </si>
  <si>
    <t>Cambridge</t>
  </si>
  <si>
    <t>Amanda Doyle</t>
  </si>
  <si>
    <t>John Demelo</t>
  </si>
  <si>
    <t>(617) 494-6600</t>
  </si>
  <si>
    <t>New Boulder Pointe Clubhouse LLC</t>
  </si>
  <si>
    <t>Boulder Pointe Golf Club &amp; Banquet Center</t>
  </si>
  <si>
    <t xml:space="preserve">1 Champion Circle </t>
  </si>
  <si>
    <t>Pinckney</t>
  </si>
  <si>
    <t>Jo Lynn Zampich</t>
  </si>
  <si>
    <t>Mike Selden</t>
  </si>
  <si>
    <t>+1 (248) 969-1500</t>
  </si>
  <si>
    <t>Boulder University Inn</t>
  </si>
  <si>
    <t xml:space="preserve">1632 Broadway </t>
  </si>
  <si>
    <t>+1 (303) 417-1700</t>
  </si>
  <si>
    <t>Bourbon Creek</t>
  </si>
  <si>
    <t>Westford Regency Inn and Conference Center</t>
  </si>
  <si>
    <t>Boxboro Regency Hotel &amp; Conference Center</t>
  </si>
  <si>
    <t xml:space="preserve">242 Adams Place </t>
  </si>
  <si>
    <t>BOXBOROUGH</t>
  </si>
  <si>
    <t>+1 (978) 263-8701</t>
  </si>
  <si>
    <t>Braelinn Golf Club</t>
  </si>
  <si>
    <t xml:space="preserve">500 Clubview Drive </t>
  </si>
  <si>
    <t>Peachtree City</t>
  </si>
  <si>
    <t>Amy Haralson</t>
  </si>
  <si>
    <t>Steve Soriano</t>
  </si>
  <si>
    <t>+1 (770) 631-3100</t>
  </si>
  <si>
    <t>Braemar Country Club</t>
  </si>
  <si>
    <t xml:space="preserve">4001 Reseda Blvd </t>
  </si>
  <si>
    <t>Tarzana</t>
  </si>
  <si>
    <t xml:space="preserve">Ryan Wingo </t>
  </si>
  <si>
    <t>+ (818) 345-6520</t>
  </si>
  <si>
    <t>Brasada Ranch Resort</t>
  </si>
  <si>
    <t xml:space="preserve">16986 SW Brasada Ranch Road </t>
  </si>
  <si>
    <t>Powell Butte</t>
  </si>
  <si>
    <t>Devin Cuzzolina</t>
  </si>
  <si>
    <t>Duncan Hogarth</t>
  </si>
  <si>
    <t>+1( 541) 526-6865</t>
  </si>
  <si>
    <t>Bretton Woods Recreational Center Inc</t>
  </si>
  <si>
    <t>Bretton Woods Recreation Ctr</t>
  </si>
  <si>
    <t xml:space="preserve">15700 River Road </t>
  </si>
  <si>
    <t>Ed Ronan</t>
  </si>
  <si>
    <t>Bryan Bupp</t>
  </si>
  <si>
    <t>+1 (301) 948-5405</t>
  </si>
  <si>
    <t>BridgePointe Hotel &amp; Marina Corporate</t>
  </si>
  <si>
    <t>BridgePointe Hotel and Marina</t>
  </si>
  <si>
    <t xml:space="preserve">101 Howell Road </t>
  </si>
  <si>
    <t>New Bern</t>
  </si>
  <si>
    <t>Jennifer Michels</t>
  </si>
  <si>
    <t>+1 (252) 636-3637</t>
  </si>
  <si>
    <t>Bridgewater Hotel</t>
  </si>
  <si>
    <t xml:space="preserve">723 1st Avenue </t>
  </si>
  <si>
    <t>Fairbanks</t>
  </si>
  <si>
    <t>Nathan Ealy</t>
  </si>
  <si>
    <t>+1 (907)-452-6661</t>
  </si>
  <si>
    <t>Brier Creek Country Club</t>
  </si>
  <si>
    <t xml:space="preserve">9400 Club Hill Drive </t>
  </si>
  <si>
    <t>Ronald Woolard</t>
  </si>
  <si>
    <t>+1 (919) 206-4600</t>
  </si>
  <si>
    <t>Brigham Young University and Conference Center</t>
  </si>
  <si>
    <t xml:space="preserve">55-220 Kulanui St </t>
  </si>
  <si>
    <t>LAIE</t>
  </si>
  <si>
    <t>Marriott Conference Centers</t>
  </si>
  <si>
    <t>Grace Lee</t>
  </si>
  <si>
    <t>+1 (808) 293-3951</t>
  </si>
  <si>
    <t>Broad Bay Country Club</t>
  </si>
  <si>
    <t xml:space="preserve">2120 Lords Landing </t>
  </si>
  <si>
    <t>Brian Liebler</t>
  </si>
  <si>
    <t>+1 (757) 496-9090</t>
  </si>
  <si>
    <t>Brookfield Country Club</t>
  </si>
  <si>
    <t xml:space="preserve">100 Willow Run Road </t>
  </si>
  <si>
    <t>+1 (770) 993-1990</t>
  </si>
  <si>
    <t>Brookfield Milwaukee Hotel</t>
  </si>
  <si>
    <t xml:space="preserve">1005 South Moorland Road </t>
  </si>
  <si>
    <t>Brookfield</t>
  </si>
  <si>
    <t>Jacob John</t>
  </si>
  <si>
    <t>+1 (262) 786-9540</t>
  </si>
  <si>
    <t>Brookhaven Country Club</t>
  </si>
  <si>
    <t xml:space="preserve">3333 Golfing Green DR </t>
  </si>
  <si>
    <t>Farmers Branch</t>
  </si>
  <si>
    <t>Matt Zuckerman</t>
  </si>
  <si>
    <t>Phil Stika</t>
  </si>
  <si>
    <t>+ (972) 243-6151</t>
  </si>
  <si>
    <t>Brookside Country Club of Pottstown</t>
  </si>
  <si>
    <t>Adam &amp; Prospect Streets PO Box 282</t>
  </si>
  <si>
    <t>Michael Sloane</t>
  </si>
  <si>
    <t>Pam Rossi</t>
  </si>
  <si>
    <t>+ (610) 323-9755</t>
  </si>
  <si>
    <t>Brookstone Country Club</t>
  </si>
  <si>
    <t xml:space="preserve">5705 Brookstone Drive </t>
  </si>
  <si>
    <t>Scott Mahr</t>
  </si>
  <si>
    <t>+1 (770) 425-8500</t>
  </si>
  <si>
    <t xml:space="preserve">Brush Creek Ranch </t>
  </si>
  <si>
    <t xml:space="preserve">66 Brush Creek Ranch Road </t>
  </si>
  <si>
    <t>Saratoga</t>
  </si>
  <si>
    <t>Michael Williams</t>
  </si>
  <si>
    <t>Annie Newton</t>
  </si>
  <si>
    <t>+1 (307) 327-5284</t>
  </si>
  <si>
    <t>Bryce's Catering</t>
  </si>
  <si>
    <t xml:space="preserve">1438 Manoa Rd. </t>
  </si>
  <si>
    <t>Wynnewood</t>
  </si>
  <si>
    <t>Terry Rodriguez</t>
  </si>
  <si>
    <t>Alan Brody</t>
  </si>
  <si>
    <t>+1 (610) 658-2400</t>
  </si>
  <si>
    <t>Buckhead Club</t>
  </si>
  <si>
    <t xml:space="preserve">3344 Peachtree Rd NE Suite 2600 </t>
  </si>
  <si>
    <t>Jeff Goldworn</t>
  </si>
  <si>
    <t>Miguel Diaz</t>
  </si>
  <si>
    <t>+ (404) 262-2262</t>
  </si>
  <si>
    <t>Budget Host Inn Hyannis</t>
  </si>
  <si>
    <t xml:space="preserve">614 Lyannough Road </t>
  </si>
  <si>
    <t>Budget Host Inn</t>
  </si>
  <si>
    <t>Sonal Patel</t>
  </si>
  <si>
    <t>+1 (508) 775-8910</t>
  </si>
  <si>
    <t>Buffalo Marriott Harborcenter</t>
  </si>
  <si>
    <t xml:space="preserve">95 Main Street </t>
  </si>
  <si>
    <t>Huseyin Taran</t>
  </si>
  <si>
    <t>Patrick Scully</t>
  </si>
  <si>
    <t>+1 (716) 852-0049</t>
  </si>
  <si>
    <t>Bullpen Rib House</t>
  </si>
  <si>
    <t xml:space="preserve">735 Pollard Boulevard </t>
  </si>
  <si>
    <t>+1 (404) 577-5774</t>
  </si>
  <si>
    <t>Bumps</t>
  </si>
  <si>
    <t>Burger Theory</t>
  </si>
  <si>
    <t xml:space="preserve">701 West 1st Street </t>
  </si>
  <si>
    <t>Owensboro</t>
  </si>
  <si>
    <t>Brenda Westerfield</t>
  </si>
  <si>
    <t>Jimmy Decker</t>
  </si>
  <si>
    <t>+1 (270) 691-8960</t>
  </si>
  <si>
    <t>Burlington Marriott</t>
  </si>
  <si>
    <t xml:space="preserve">One Mall Rd. </t>
  </si>
  <si>
    <t>Bruno Marini</t>
  </si>
  <si>
    <t>Christina Belli</t>
  </si>
  <si>
    <t>(781) 229-6565</t>
  </si>
  <si>
    <t>Boast Hotel Management Company LLC</t>
  </si>
  <si>
    <t>Butler Street Hotel</t>
  </si>
  <si>
    <t xml:space="preserve">279 Butler Street </t>
  </si>
  <si>
    <t>Souley Sanogo</t>
  </si>
  <si>
    <t>Jennifer Chuya</t>
  </si>
  <si>
    <t>+1 (718) 855-9600</t>
  </si>
  <si>
    <t>Buttermilk Skier Services</t>
  </si>
  <si>
    <t>Byham Theater</t>
  </si>
  <si>
    <t xml:space="preserve">619 Fort Duquesne Boulevard </t>
  </si>
  <si>
    <t>Charles Creek</t>
  </si>
  <si>
    <t>+1 (814) 581-5966</t>
  </si>
  <si>
    <t>Cabana Bay Beach Resort</t>
  </si>
  <si>
    <t xml:space="preserve">6550 Adventure Way </t>
  </si>
  <si>
    <t>Adnan Bizri</t>
  </si>
  <si>
    <t>Amy Villegas</t>
  </si>
  <si>
    <t>+1 (407) 503-4000</t>
  </si>
  <si>
    <t>SMS Lodging LLC</t>
  </si>
  <si>
    <t>Cabana Inn</t>
  </si>
  <si>
    <t xml:space="preserve">413 Applerouth Lane </t>
  </si>
  <si>
    <t>Jonathan Hertlein</t>
  </si>
  <si>
    <t>+1 (305) 296-2323</t>
  </si>
  <si>
    <t>Cabo Villas Beach Resort &amp; Spa</t>
  </si>
  <si>
    <t xml:space="preserve">Callejon Del Pescador S-N El Medano </t>
  </si>
  <si>
    <t>Carlos Cache</t>
  </si>
  <si>
    <t>Ana Laura Morales</t>
  </si>
  <si>
    <t>+52 (624) 143-9166</t>
  </si>
  <si>
    <t>Cadillac Miami Beach Oceanfront Autograph Collection</t>
  </si>
  <si>
    <t xml:space="preserve">3925 Collins Ave </t>
  </si>
  <si>
    <t>Jacqueline Lejart</t>
  </si>
  <si>
    <t>+1 (305) 538-3373</t>
  </si>
  <si>
    <t>Knight-Calabasas LLC</t>
  </si>
  <si>
    <t>Calabasas Country Club</t>
  </si>
  <si>
    <t xml:space="preserve">4515 Park Entrada </t>
  </si>
  <si>
    <t>Calabasas</t>
  </si>
  <si>
    <t>Greg Elowe</t>
  </si>
  <si>
    <t>+ (818) 222-8111</t>
  </si>
  <si>
    <t>Calypso</t>
  </si>
  <si>
    <t xml:space="preserve">15817 Front Beach Road </t>
  </si>
  <si>
    <t>+1 (850) 636-5638</t>
  </si>
  <si>
    <t>Cambria Hotel &amp; Suites Pittsburgh - Downtown</t>
  </si>
  <si>
    <t xml:space="preserve">1320 Centre Avenue </t>
  </si>
  <si>
    <t>Mario Corrado</t>
  </si>
  <si>
    <t>+1 (412) 381-6687</t>
  </si>
  <si>
    <t>Cambria Hotel Boston Downtown</t>
  </si>
  <si>
    <t xml:space="preserve">6 West Broadway </t>
  </si>
  <si>
    <t>David McKeon</t>
  </si>
  <si>
    <t>Kimberly Greene</t>
  </si>
  <si>
    <t>+1 (617) 752-6681</t>
  </si>
  <si>
    <t>Cambria Hotel Napa Valley</t>
  </si>
  <si>
    <t xml:space="preserve">320 Soscol Avenue </t>
  </si>
  <si>
    <t>Travis Lott</t>
  </si>
  <si>
    <t>+1 (707) 224-3400</t>
  </si>
  <si>
    <t>Cambria Hotel Rockville</t>
  </si>
  <si>
    <t xml:space="preserve">1 Helen Heneghan Way </t>
  </si>
  <si>
    <t>Jeremy El-Ella</t>
  </si>
  <si>
    <t>Manilet Macaraig</t>
  </si>
  <si>
    <t>+1(301) 294-2200</t>
  </si>
  <si>
    <t>Cambria New Orleans Downtown</t>
  </si>
  <si>
    <t xml:space="preserve">632 Tchopitoulas Street </t>
  </si>
  <si>
    <t>Taylor Mcinerney</t>
  </si>
  <si>
    <t>+1 (504) 524-7770</t>
  </si>
  <si>
    <t>Cambria Sonoma - Rohnert Park</t>
  </si>
  <si>
    <t xml:space="preserve">5870 Labtah Avenue </t>
  </si>
  <si>
    <t>Rohnert Park</t>
  </si>
  <si>
    <t>Max Childs</t>
  </si>
  <si>
    <t>+1 (707) 707-7514</t>
  </si>
  <si>
    <t>Cambria Suites White Plains</t>
  </si>
  <si>
    <t xml:space="preserve">250 Main Street </t>
  </si>
  <si>
    <t>Ravi Persaud</t>
  </si>
  <si>
    <t>Sean Meade</t>
  </si>
  <si>
    <t>+1 (914) 681-0500</t>
  </si>
  <si>
    <t>Sunbelt Golf Corporation</t>
  </si>
  <si>
    <t>Cambrian Ridge</t>
  </si>
  <si>
    <t xml:space="preserve">101 SunBelt Parkway </t>
  </si>
  <si>
    <t>Bryan Reynolds</t>
  </si>
  <si>
    <t>+1 (334) 382-9787</t>
  </si>
  <si>
    <t>Cambridge Hotel &amp; Conference Centre</t>
  </si>
  <si>
    <t xml:space="preserve">700 Hespeler Road </t>
  </si>
  <si>
    <t>N3H 5L8</t>
  </si>
  <si>
    <t>+1 (519) 622-1505</t>
  </si>
  <si>
    <t>Centennial Hotels Ltd.</t>
  </si>
  <si>
    <t>Cambridge Suites Hotel Toronto</t>
  </si>
  <si>
    <t xml:space="preserve">15 Richmond Street East </t>
  </si>
  <si>
    <t>M5C 1N2</t>
  </si>
  <si>
    <t>Nick Vesely</t>
  </si>
  <si>
    <t>+1 (416) 368-1990</t>
  </si>
  <si>
    <t>Camelback Resort Lodge and Aquatopia Indoor Waterpark</t>
  </si>
  <si>
    <t xml:space="preserve">193 Resort Drive </t>
  </si>
  <si>
    <t>Tannersville</t>
  </si>
  <si>
    <t>Matt Lorenz</t>
  </si>
  <si>
    <t>+1 (570) 629-1665</t>
  </si>
  <si>
    <t>Canadian Mountain Holidays - CMH Heli-Skiing &amp; Summer Adventures</t>
  </si>
  <si>
    <t>217 Bear Street Box 1660</t>
  </si>
  <si>
    <t>Banff</t>
  </si>
  <si>
    <t>T1L 1J6</t>
  </si>
  <si>
    <t>Suzanne Belke</t>
  </si>
  <si>
    <t>+1 (800) 661-0252</t>
  </si>
  <si>
    <t>Canby Inn &amp; Suites</t>
  </si>
  <si>
    <t xml:space="preserve">127 1st Street West </t>
  </si>
  <si>
    <t>Canby</t>
  </si>
  <si>
    <t>Bobbi Jo Davis</t>
  </si>
  <si>
    <t>Anette McLain</t>
  </si>
  <si>
    <t>+ () 507/223-6868</t>
  </si>
  <si>
    <t>Candlewood Suites - Times Square</t>
  </si>
  <si>
    <t xml:space="preserve">339 West 39th Street </t>
  </si>
  <si>
    <t>Laurie Misko</t>
  </si>
  <si>
    <t>+ (212) 967-2254</t>
  </si>
  <si>
    <t>Candlewood Suites Alexandria</t>
  </si>
  <si>
    <t xml:space="preserve">8847 Richmond Highway </t>
  </si>
  <si>
    <t>Estela Velasquez</t>
  </si>
  <si>
    <t>+1 (703) 780-1111</t>
  </si>
  <si>
    <t>Candlewood Suites Alexandria West</t>
  </si>
  <si>
    <t xml:space="preserve">99 South Bragg Street </t>
  </si>
  <si>
    <t>Dave Loiseau</t>
  </si>
  <si>
    <t>+(703)354-6300</t>
  </si>
  <si>
    <t>Regal Hospitality Inc.</t>
  </si>
  <si>
    <t>Candlewood Suites Appleton</t>
  </si>
  <si>
    <t xml:space="preserve">4525 West College Avenue </t>
  </si>
  <si>
    <t>Alyssa LeClair</t>
  </si>
  <si>
    <t>+1 (920) 739-8000</t>
  </si>
  <si>
    <t>Candlewood Suites Bensalem</t>
  </si>
  <si>
    <t xml:space="preserve">3908 Old Street Road </t>
  </si>
  <si>
    <t>Bensalem</t>
  </si>
  <si>
    <t>Sherry Jackson</t>
  </si>
  <si>
    <t>+1 (215) 645-1125</t>
  </si>
  <si>
    <t>Candlewood Suites Bethlehem South</t>
  </si>
  <si>
    <t xml:space="preserve">1630 Spillman Drive </t>
  </si>
  <si>
    <t>Melissa Cooper</t>
  </si>
  <si>
    <t>+1 (610) 849-4100</t>
  </si>
  <si>
    <t>Candlewood Suites Cape Girardeau</t>
  </si>
  <si>
    <t xml:space="preserve">485 South Mt. Auburn Road </t>
  </si>
  <si>
    <t>Cape Girardeau</t>
  </si>
  <si>
    <t>Cindy Modglin</t>
  </si>
  <si>
    <t>+ (573) 334-6868</t>
  </si>
  <si>
    <t>Lap Management Inc.</t>
  </si>
  <si>
    <t>Candlewood Suites Chesapeake Suffolk</t>
  </si>
  <si>
    <t xml:space="preserve">4809 Market Place </t>
  </si>
  <si>
    <t>Melinda Warren</t>
  </si>
  <si>
    <t>Peter Kumar</t>
  </si>
  <si>
    <t>+1 (757) 465-8282</t>
  </si>
  <si>
    <t>Candlewood Suites Clarksville</t>
  </si>
  <si>
    <t xml:space="preserve">3050 CLay Lewis Road </t>
  </si>
  <si>
    <t>Matthew Heatherly</t>
  </si>
  <si>
    <t>+1 (931) 906-0900</t>
  </si>
  <si>
    <t>Candlewood Suites Columbus - Grove City</t>
  </si>
  <si>
    <t xml:space="preserve">3996 Jackpot Road </t>
  </si>
  <si>
    <t>Ron Shanks</t>
  </si>
  <si>
    <t>Candlewood Suites Fargo</t>
  </si>
  <si>
    <t xml:space="preserve">4014 17th Avenue South </t>
  </si>
  <si>
    <t>Cory Blegen</t>
  </si>
  <si>
    <t>Jacklyn Willard</t>
  </si>
  <si>
    <t>+1 (701) 282-6006</t>
  </si>
  <si>
    <t>Candlewood Suites Fort Worth - West</t>
  </si>
  <si>
    <t xml:space="preserve">402 North Jim Wright Freeway </t>
  </si>
  <si>
    <t>Toni Richardson</t>
  </si>
  <si>
    <t>+1 (817) 246-6800</t>
  </si>
  <si>
    <t>Candlewood Suites Hazleton</t>
  </si>
  <si>
    <t xml:space="preserve">9 Bowmans Mill Road </t>
  </si>
  <si>
    <t>Hazle Township</t>
  </si>
  <si>
    <t>Brittney Herbert</t>
  </si>
  <si>
    <t>+1 (570) 459-1600</t>
  </si>
  <si>
    <t>Candlewood Suites Lake Charles-Sulphur</t>
  </si>
  <si>
    <t xml:space="preserve">320 Arena Road </t>
  </si>
  <si>
    <t>Claire Parish</t>
  </si>
  <si>
    <t>+1 (337) 528-5777</t>
  </si>
  <si>
    <t>Candlewood Suites Lansing</t>
  </si>
  <si>
    <t xml:space="preserve">3545 Forest Road </t>
  </si>
  <si>
    <t>Will Cantrell</t>
  </si>
  <si>
    <t>+1 (517) 351-8181</t>
  </si>
  <si>
    <t>Candlewood Suites Las Vegas</t>
  </si>
  <si>
    <t xml:space="preserve">185 East Tropicana Avenue </t>
  </si>
  <si>
    <t>Sean Clark</t>
  </si>
  <si>
    <t>+1 (702) 471-0180</t>
  </si>
  <si>
    <t>KWB LLC</t>
  </si>
  <si>
    <t>Candlewood Suites Lenexa - Overland Park Area</t>
  </si>
  <si>
    <t xml:space="preserve">9630 Rosehill Road </t>
  </si>
  <si>
    <t>Lenexa</t>
  </si>
  <si>
    <t>Chuck Smith</t>
  </si>
  <si>
    <t>+1 (913) 888-3300</t>
  </si>
  <si>
    <t>Candlewood Suites Macon</t>
  </si>
  <si>
    <t xml:space="preserve">3957 River Place Drive </t>
  </si>
  <si>
    <t>Shirley Spillers</t>
  </si>
  <si>
    <t>+1 (478) 254-3530</t>
  </si>
  <si>
    <t>Candlewood Suites Memphis-Southaven</t>
  </si>
  <si>
    <t xml:space="preserve">6753 Airway Boulevard </t>
  </si>
  <si>
    <t>Hiren Patel</t>
  </si>
  <si>
    <t>Danen Jones</t>
  </si>
  <si>
    <t>+1 (662) 470-4080</t>
  </si>
  <si>
    <t>Candlewood Suites Newark</t>
  </si>
  <si>
    <t xml:space="preserve">1101 South College Avenue </t>
  </si>
  <si>
    <t>Carolyn Harris</t>
  </si>
  <si>
    <t>+1 (302) 753-9019</t>
  </si>
  <si>
    <t>Candlewood Suites Odessa</t>
  </si>
  <si>
    <t xml:space="preserve">750 South John Ben Shepperd Parkway </t>
  </si>
  <si>
    <t>Odessa</t>
  </si>
  <si>
    <t>Vianca Reynosa</t>
  </si>
  <si>
    <t>Anastasia McKenzie</t>
  </si>
  <si>
    <t>+1 (432) 272-4567</t>
  </si>
  <si>
    <t>Candlewood Suites Texarkana</t>
  </si>
  <si>
    <t xml:space="preserve">2901 Cowhorn Creek Loop </t>
  </si>
  <si>
    <t>Texarkana</t>
  </si>
  <si>
    <t>Amanda Rosette</t>
  </si>
  <si>
    <t>+1 (903) 334-7418</t>
  </si>
  <si>
    <t>Candlewood Suites Tucson</t>
  </si>
  <si>
    <t xml:space="preserve">1995 West River Road </t>
  </si>
  <si>
    <t>Stephanie Gomez</t>
  </si>
  <si>
    <t>+1 (520) 373-5799</t>
  </si>
  <si>
    <t>Candlewood Suites Warner Robins-Robins Afb</t>
  </si>
  <si>
    <t xml:space="preserve">110 Willie Lee Parkway </t>
  </si>
  <si>
    <t>+1 (478) 333-6850</t>
  </si>
  <si>
    <t>Candlewood Suites Winchester</t>
  </si>
  <si>
    <t xml:space="preserve">1135 Millwood Pike </t>
  </si>
  <si>
    <t>Jess Peterson</t>
  </si>
  <si>
    <t>April Corbin</t>
  </si>
  <si>
    <t>+1 (540) 667-8323</t>
  </si>
  <si>
    <t>Canebrake Country Club</t>
  </si>
  <si>
    <t xml:space="preserve">1 Cane Drive </t>
  </si>
  <si>
    <t>Hattiesburg</t>
  </si>
  <si>
    <t>Roy Jarvis</t>
  </si>
  <si>
    <t>+1 (601) 271-2010</t>
  </si>
  <si>
    <t>Canoga Hotel</t>
  </si>
  <si>
    <t xml:space="preserve">7126 De Soto Avenue </t>
  </si>
  <si>
    <t>Canoga Park</t>
  </si>
  <si>
    <t>Nick Ahir</t>
  </si>
  <si>
    <t>+1 (818) 346-9499</t>
  </si>
  <si>
    <t xml:space="preserve">Canongate I Golf Club </t>
  </si>
  <si>
    <t xml:space="preserve">924 Shaw Road </t>
  </si>
  <si>
    <t>Sharpsburg</t>
  </si>
  <si>
    <t>Joe Russello</t>
  </si>
  <si>
    <t>+1 (770) 463-3342</t>
  </si>
  <si>
    <t>Tara Hospitality Corp.</t>
  </si>
  <si>
    <t>Canopy Charlotte Southpark</t>
  </si>
  <si>
    <t xml:space="preserve">4905 Barclays Downs Drive </t>
  </si>
  <si>
    <t>Tiffany Tucker</t>
  </si>
  <si>
    <t>+1 (704) 552-1715</t>
  </si>
  <si>
    <t>Canopy Embassy Row</t>
  </si>
  <si>
    <t xml:space="preserve">1600 Rhode Island Avenue NW </t>
  </si>
  <si>
    <t>Shajidul Kabir</t>
  </si>
  <si>
    <t>+ (202) 293-8000</t>
  </si>
  <si>
    <t>Canopy Hotel Harbor Point</t>
  </si>
  <si>
    <t xml:space="preserve">1215 Wills Street </t>
  </si>
  <si>
    <t>Beth Brainard</t>
  </si>
  <si>
    <t>+1 (443) 422-6679</t>
  </si>
  <si>
    <t>Canopy Ithaca</t>
  </si>
  <si>
    <t xml:space="preserve">324 East State Street </t>
  </si>
  <si>
    <t>Yvonne Hart</t>
  </si>
  <si>
    <t>+(607)277-0230</t>
  </si>
  <si>
    <t>Canopy Jersey City Arts District</t>
  </si>
  <si>
    <t xml:space="preserve">159 Morgan Street </t>
  </si>
  <si>
    <t>Sietse Nabben</t>
  </si>
  <si>
    <t>Alexandra Riggio</t>
  </si>
  <si>
    <t>+()1 848.219.1804</t>
  </si>
  <si>
    <t>Canopy Philadelphia Center City</t>
  </si>
  <si>
    <t xml:space="preserve">1180 Ludlow Street </t>
  </si>
  <si>
    <t>John Fricke</t>
  </si>
  <si>
    <t>+1 (215) 258-9400</t>
  </si>
  <si>
    <t>Canterwood Golf &amp; Country Club</t>
  </si>
  <si>
    <t xml:space="preserve">12606 54th AVE NW </t>
  </si>
  <si>
    <t>Gig Harbor</t>
  </si>
  <si>
    <t>Brett Cohen</t>
  </si>
  <si>
    <t>Tyler Hathaway</t>
  </si>
  <si>
    <t>+ (253) 851-1845</t>
  </si>
  <si>
    <t>Canyon Creek Country Club</t>
  </si>
  <si>
    <t xml:space="preserve">625 W. Lookout Drive </t>
  </si>
  <si>
    <t>Lisa Neel</t>
  </si>
  <si>
    <t>+ (972) 231-1466</t>
  </si>
  <si>
    <t>Canyon Gate Country Club</t>
  </si>
  <si>
    <t xml:space="preserve">2001 Canyon Gate Dr </t>
  </si>
  <si>
    <t>Allen Frederickson</t>
  </si>
  <si>
    <t>Celeste Alvarado</t>
  </si>
  <si>
    <t>+1 (702) 363-0303</t>
  </si>
  <si>
    <t>Canyon Ranch in Lenox</t>
  </si>
  <si>
    <t xml:space="preserve">165 Kemble Street </t>
  </si>
  <si>
    <t>Mindi Morin</t>
  </si>
  <si>
    <t>Scott Wraith</t>
  </si>
  <si>
    <t>+1 (413) 637-4100</t>
  </si>
  <si>
    <t>Canyon Ranch Tucson</t>
  </si>
  <si>
    <t xml:space="preserve">8600 East Rockcliff Road </t>
  </si>
  <si>
    <t>Grant Dipman</t>
  </si>
  <si>
    <t>Christopher Sapp</t>
  </si>
  <si>
    <t>+1 (520) 749-9655</t>
  </si>
  <si>
    <t>Canyon Springs Golf Club</t>
  </si>
  <si>
    <t xml:space="preserve">24405 Wilderness Oak </t>
  </si>
  <si>
    <t>Chris Fink</t>
  </si>
  <si>
    <t>+1 (210) 497-1770</t>
  </si>
  <si>
    <t>Canyon Villas Sales and Marketing</t>
  </si>
  <si>
    <t xml:space="preserve">5220 East Marriott Drive </t>
  </si>
  <si>
    <t>Chastity Copeland</t>
  </si>
  <si>
    <t>+1 (480) 293-3883</t>
  </si>
  <si>
    <t>Cape Rey Carlsbad A Hilton Resort</t>
  </si>
  <si>
    <t xml:space="preserve">1 Ponto Road </t>
  </si>
  <si>
    <t>Thomas Lee</t>
  </si>
  <si>
    <t>+1 (760) 602-0800</t>
  </si>
  <si>
    <t>Capital City Club Columbia</t>
  </si>
  <si>
    <t>1201 Main ST Ste 2500</t>
  </si>
  <si>
    <t>Graham Brook</t>
  </si>
  <si>
    <t>+ (803) 256-2000</t>
  </si>
  <si>
    <t>Capital City Club Montgomery</t>
  </si>
  <si>
    <t xml:space="preserve">201 Monroe St Ste. 2100 RSA Tower 21st Fl </t>
  </si>
  <si>
    <t>Joseph Spellman</t>
  </si>
  <si>
    <t>+ (334) 834-8920</t>
  </si>
  <si>
    <t>Capitol Hill</t>
  </si>
  <si>
    <t xml:space="preserve">2600 Constitution Ave. </t>
  </si>
  <si>
    <t>Prattville</t>
  </si>
  <si>
    <t>+1 (334) 285-1114</t>
  </si>
  <si>
    <t>Capitol Hill Suites</t>
  </si>
  <si>
    <t xml:space="preserve">200 C. Street SE </t>
  </si>
  <si>
    <t>Matt Sommers</t>
  </si>
  <si>
    <t>+1 (202) 543-6000</t>
  </si>
  <si>
    <t>Capitol Plaza Hotel &amp; Convention Center - Jefferson City</t>
  </si>
  <si>
    <t xml:space="preserve">415 West McCarty Street </t>
  </si>
  <si>
    <t>Jefferson City</t>
  </si>
  <si>
    <t>Brian Rhoton</t>
  </si>
  <si>
    <t>Keith Barreiro</t>
  </si>
  <si>
    <t>+1 (573) 635-1234</t>
  </si>
  <si>
    <t>Captains Quarters Motor Inn</t>
  </si>
  <si>
    <t>901 South Ocean Blvd PO Drawer 3486</t>
  </si>
  <si>
    <t>Brian Pinkham</t>
  </si>
  <si>
    <t>Carey Batchelor</t>
  </si>
  <si>
    <t>+1 (843) 448-1404</t>
  </si>
  <si>
    <t>Caravelle Resort Inc.</t>
  </si>
  <si>
    <t xml:space="preserve">6900 N OCEAN BLVD </t>
  </si>
  <si>
    <t>Michael McMiller</t>
  </si>
  <si>
    <t>+1 (843) 918-8000</t>
  </si>
  <si>
    <t>Ocean Reef Club Inc.</t>
  </si>
  <si>
    <t>Card Sound Golf Club</t>
  </si>
  <si>
    <t xml:space="preserve">100 Country Club RD </t>
  </si>
  <si>
    <t>Diana Platt</t>
  </si>
  <si>
    <t>Jackie Gengler</t>
  </si>
  <si>
    <t>+ (305) 367-2555</t>
  </si>
  <si>
    <t xml:space="preserve">Caribbean Resort &amp; Villas </t>
  </si>
  <si>
    <t xml:space="preserve">3000 North Ocean Blvd. </t>
  </si>
  <si>
    <t>Brenda Barnson</t>
  </si>
  <si>
    <t>Farrah Dickerson</t>
  </si>
  <si>
    <t>+1 (843) 448-7181</t>
  </si>
  <si>
    <t>Carlsbad By The Sea Hotel</t>
  </si>
  <si>
    <t xml:space="preserve">850 Palomar Airport Road </t>
  </si>
  <si>
    <t>Niveesha Hill</t>
  </si>
  <si>
    <t>Anthony Muniz</t>
  </si>
  <si>
    <t>+1 (760) 438-7880</t>
  </si>
  <si>
    <t>Carlsbad Inn &amp; Suites</t>
  </si>
  <si>
    <t xml:space="preserve">5010 Avenida Encinas </t>
  </si>
  <si>
    <t>Heather Childers</t>
  </si>
  <si>
    <t>Kritesh Patel</t>
  </si>
  <si>
    <t>+1 (760) 929-8200</t>
  </si>
  <si>
    <t>Carmel Valley Ranch</t>
  </si>
  <si>
    <t xml:space="preserve">1 Old Ranch Road </t>
  </si>
  <si>
    <t>Peter McMahon</t>
  </si>
  <si>
    <t>+1 (831) 625-9500</t>
  </si>
  <si>
    <t>Carnegie Museum of Art and Carnegie Natural History Museum</t>
  </si>
  <si>
    <t xml:space="preserve">4400 Forbes Avenue </t>
  </si>
  <si>
    <t>+1(412) 622-3131</t>
  </si>
  <si>
    <t>Carnegie Science Center</t>
  </si>
  <si>
    <t xml:space="preserve">One Allegeheny Avenue </t>
  </si>
  <si>
    <t>Allegheny</t>
  </si>
  <si>
    <t>+1(412)237-3400</t>
  </si>
  <si>
    <t>Carnivale Restaurant</t>
  </si>
  <si>
    <t xml:space="preserve">702 West Fulton Market </t>
  </si>
  <si>
    <t>Daryl Freeman</t>
  </si>
  <si>
    <t>Ozzie Godoy</t>
  </si>
  <si>
    <t>+1 (312) 850-5005</t>
  </si>
  <si>
    <t>Carolina Club</t>
  </si>
  <si>
    <t xml:space="preserve">George Watts Hill Alumni Ctr Stadium Dr @ Ridge Rd </t>
  </si>
  <si>
    <t>John Rodriguez</t>
  </si>
  <si>
    <t>+ (919) 962-1101</t>
  </si>
  <si>
    <t>Carolina Winds</t>
  </si>
  <si>
    <t>200 76th Ave. N. PO Box Drawer 7518</t>
  </si>
  <si>
    <t xml:space="preserve">John Wendell Smith </t>
  </si>
  <si>
    <t>+(843)449-2477</t>
  </si>
  <si>
    <t>Highfield Hotels Ltd.</t>
  </si>
  <si>
    <t>Carrabba's</t>
  </si>
  <si>
    <t xml:space="preserve">1000 Main Street </t>
  </si>
  <si>
    <t>E1C 1G9</t>
  </si>
  <si>
    <t>Sebastien Ledoux</t>
  </si>
  <si>
    <t>+1 (506) 854-5210</t>
  </si>
  <si>
    <t>Medano Services Resorts S.A.P.I. de CV</t>
  </si>
  <si>
    <t>Casa Dorada Los Cabos Resort &amp; Spa</t>
  </si>
  <si>
    <t>Av. Del Pescador s/n Local 9/10 Colonia El Medano</t>
  </si>
  <si>
    <t>Victor Castillo</t>
  </si>
  <si>
    <t>+52 (624) 163 5757</t>
  </si>
  <si>
    <t>Casa Munras Hotel</t>
  </si>
  <si>
    <t xml:space="preserve">700 Munras Avenue </t>
  </si>
  <si>
    <t>Laurel Flaherty</t>
  </si>
  <si>
    <t>Tim McGregor</t>
  </si>
  <si>
    <t>+1(831)375-2411</t>
  </si>
  <si>
    <t>Castle Hill Resort</t>
  </si>
  <si>
    <t xml:space="preserve">2940 Route 103 </t>
  </si>
  <si>
    <t>Cavendish</t>
  </si>
  <si>
    <t>Andy Smith</t>
  </si>
  <si>
    <t>+1 (802) 226-7688</t>
  </si>
  <si>
    <t>Catalina Canyon Inn</t>
  </si>
  <si>
    <t xml:space="preserve">888 Country Club Drive </t>
  </si>
  <si>
    <t>Nicole Hohenstein</t>
  </si>
  <si>
    <t>+ (310) 510-0325</t>
  </si>
  <si>
    <t>Catalina Island Inn</t>
  </si>
  <si>
    <t>125 Metropole Avenue PO Box 736</t>
  </si>
  <si>
    <t>Mark Phelps</t>
  </si>
  <si>
    <t>+1 (310) 510-1623</t>
  </si>
  <si>
    <t>Catta Verdera Country Club</t>
  </si>
  <si>
    <t xml:space="preserve">1111 Catta Verdera </t>
  </si>
  <si>
    <t>Kevin Earl</t>
  </si>
  <si>
    <t>Jim Braden</t>
  </si>
  <si>
    <t>+1 (916) 645-7200</t>
  </si>
  <si>
    <t>Marriott Managed Golf</t>
  </si>
  <si>
    <t>Cattails At MeadowView Golf Course</t>
  </si>
  <si>
    <t xml:space="preserve">1901 Meadowview PKWY </t>
  </si>
  <si>
    <t>Pete DeBrael</t>
  </si>
  <si>
    <t>City of Kingsport Parks &amp; Recreatio</t>
  </si>
  <si>
    <t>+ (423) 578-6622</t>
  </si>
  <si>
    <t>Cedar Hill Golf and Country Club Inc.</t>
  </si>
  <si>
    <t>Cedar Hill Golf &amp; Country Club</t>
  </si>
  <si>
    <t xml:space="preserve">100 Walnut St </t>
  </si>
  <si>
    <t>Weisser Millien</t>
  </si>
  <si>
    <t>Edgar Jovel</t>
  </si>
  <si>
    <t>+ (973) 992-4700</t>
  </si>
  <si>
    <t>Cedar Rapids Marriott</t>
  </si>
  <si>
    <t xml:space="preserve">1200 Collins Road Northeast </t>
  </si>
  <si>
    <t>Cedar Rapids</t>
  </si>
  <si>
    <t>Steve Smyka</t>
  </si>
  <si>
    <t>+1 (319) 393-6600</t>
  </si>
  <si>
    <t>Cedarbrook Country Club.</t>
  </si>
  <si>
    <t>Cedarbrook Country Club</t>
  </si>
  <si>
    <t xml:space="preserve">180 Penllyn Blue Bell PIKE </t>
  </si>
  <si>
    <t>Bill Beisel</t>
  </si>
  <si>
    <t>Bucky Scott</t>
  </si>
  <si>
    <t>+ (215) 646-9410</t>
  </si>
  <si>
    <t>Cedarbrook Lodge</t>
  </si>
  <si>
    <t xml:space="preserve">18525 36th Avenue South </t>
  </si>
  <si>
    <t>SeaTac</t>
  </si>
  <si>
    <t>Byron Pihuave</t>
  </si>
  <si>
    <t>Adam Stevenson</t>
  </si>
  <si>
    <t>+1 (206) 901-9268</t>
  </si>
  <si>
    <t>Worthy Hotels Inc.</t>
  </si>
  <si>
    <t>Centennial Hotel Spokane</t>
  </si>
  <si>
    <t xml:space="preserve">303 West North River Drive </t>
  </si>
  <si>
    <t>Spokane</t>
  </si>
  <si>
    <t>Lynnelle Caudill</t>
  </si>
  <si>
    <t>Joe Owens</t>
  </si>
  <si>
    <t>+ (509) 326-8000</t>
  </si>
  <si>
    <t>Central Park West Hostel</t>
  </si>
  <si>
    <t xml:space="preserve">201 West 87th Street </t>
  </si>
  <si>
    <t>Planetarium Station</t>
  </si>
  <si>
    <t>+(646) 490-7348</t>
  </si>
  <si>
    <t>Central Sales and Marketing</t>
  </si>
  <si>
    <t xml:space="preserve">6649 Westwood Boulevard </t>
  </si>
  <si>
    <t>Shirley Garcia</t>
  </si>
  <si>
    <t>+1 (407) 903-6413</t>
  </si>
  <si>
    <t>Centre Club Tampa</t>
  </si>
  <si>
    <t xml:space="preserve">123 South Westshore 8th FL </t>
  </si>
  <si>
    <t>+ (813) 286-4040</t>
  </si>
  <si>
    <t>Chamberlain West Hollywood</t>
  </si>
  <si>
    <t xml:space="preserve">1000 Westmount Drive </t>
  </si>
  <si>
    <t>Andrew Maffei</t>
  </si>
  <si>
    <t>Israel Mora</t>
  </si>
  <si>
    <t>+1 (310) 657-7400</t>
  </si>
  <si>
    <t>Chaminade Resort &amp; Spa</t>
  </si>
  <si>
    <t xml:space="preserve">1 Chaminade Lane </t>
  </si>
  <si>
    <t>Kevin Herbst</t>
  </si>
  <si>
    <t>+1 (831) 475-5600</t>
  </si>
  <si>
    <t>Chandler Marriott</t>
  </si>
  <si>
    <t xml:space="preserve">1600 South Price Road </t>
  </si>
  <si>
    <t>Paul Church</t>
  </si>
  <si>
    <t>Brent Menzel</t>
  </si>
  <si>
    <t>+1(480)732-1600</t>
  </si>
  <si>
    <t>Chandler Memory Care and Assisted Living</t>
  </si>
  <si>
    <t xml:space="preserve">1310 Campbell Lane </t>
  </si>
  <si>
    <t>Senior Living Services</t>
  </si>
  <si>
    <t>+1 (270) 842-2626</t>
  </si>
  <si>
    <t>Chandler Park Assisted Living</t>
  </si>
  <si>
    <t xml:space="preserve">2643 Chandler Drive </t>
  </si>
  <si>
    <t>Donna Barnett</t>
  </si>
  <si>
    <t>Chantilly National Golf &amp; Country Club</t>
  </si>
  <si>
    <t xml:space="preserve">14901 Braddock Road </t>
  </si>
  <si>
    <t>Centreville</t>
  </si>
  <si>
    <t>+1 (703) 631-9560</t>
  </si>
  <si>
    <t>Chapel at Ana Villa</t>
  </si>
  <si>
    <t xml:space="preserve">5921 Stone Creek Drive </t>
  </si>
  <si>
    <t>Lewisville</t>
  </si>
  <si>
    <t>Alice Catalano</t>
  </si>
  <si>
    <t>+(972)624-8017</t>
  </si>
  <si>
    <t>Chapel Hill Golf Club</t>
  </si>
  <si>
    <t xml:space="preserve">3300 Golf Ridge Boulevard </t>
  </si>
  <si>
    <t>Douglasville</t>
  </si>
  <si>
    <t>Jeff Schubert</t>
  </si>
  <si>
    <t>+1 (770) 949-0030</t>
  </si>
  <si>
    <t>Charleston Historic District - Hotel Bella Grace</t>
  </si>
  <si>
    <t xml:space="preserve">117 Calhoun Street </t>
  </si>
  <si>
    <t>Robyn Hines</t>
  </si>
  <si>
    <t>+1 (843) 990-7500</t>
  </si>
  <si>
    <t>Charlotte Marriott City Center</t>
  </si>
  <si>
    <t xml:space="preserve">100 West Trade Street </t>
  </si>
  <si>
    <t>Scott Siebert</t>
  </si>
  <si>
    <t>James Jones</t>
  </si>
  <si>
    <t>(704) 333-9000</t>
  </si>
  <si>
    <t>Charlotte Marriott South Park</t>
  </si>
  <si>
    <t xml:space="preserve">2200 Rexford Road </t>
  </si>
  <si>
    <t>Doris Williams</t>
  </si>
  <si>
    <t>Carolina Cooper</t>
  </si>
  <si>
    <t>+1 (704) 364-8220</t>
  </si>
  <si>
    <t>Charlton`s Evergreen Court Ltd.</t>
  </si>
  <si>
    <t>Charlton's Banff</t>
  </si>
  <si>
    <t xml:space="preserve">513 Banff Avenue </t>
  </si>
  <si>
    <t>T1L 1B4</t>
  </si>
  <si>
    <t>Marie Butler</t>
  </si>
  <si>
    <t>Suzanne Gittens</t>
  </si>
  <si>
    <t>+1 (403) 760-6961</t>
  </si>
  <si>
    <t>Chase Park Plaza Royal Sonesta Hotel</t>
  </si>
  <si>
    <t xml:space="preserve">212 North Kingshighway Blvd. </t>
  </si>
  <si>
    <t xml:space="preserve">St. Louis </t>
  </si>
  <si>
    <t xml:space="preserve">Paul Filla </t>
  </si>
  <si>
    <t>+1 (314) 633-3000</t>
  </si>
  <si>
    <t>Chateau Elan Hotels and Resorts</t>
  </si>
  <si>
    <t xml:space="preserve">100 Rue Charlemagne </t>
  </si>
  <si>
    <t>Chris Senden</t>
  </si>
  <si>
    <t>Jen Gravitt</t>
  </si>
  <si>
    <t>+ (678) 425-0900</t>
  </si>
  <si>
    <t>Chateau Golf &amp; Country Club</t>
  </si>
  <si>
    <t xml:space="preserve">3600 Chateau Boulevard </t>
  </si>
  <si>
    <t>Kenner</t>
  </si>
  <si>
    <t>Michelle Yenni</t>
  </si>
  <si>
    <t>+ (504) 467-1351</t>
  </si>
  <si>
    <t>Chateau on the Lake</t>
  </si>
  <si>
    <t xml:space="preserve">415 North State Highway 265 </t>
  </si>
  <si>
    <t>Jon Davidson</t>
  </si>
  <si>
    <t>leanne scheele</t>
  </si>
  <si>
    <t>+1 (417) 334-1161</t>
  </si>
  <si>
    <t>Chelsea Homewood Suites</t>
  </si>
  <si>
    <t xml:space="preserve">145 Beech Street </t>
  </si>
  <si>
    <t>Chelsea</t>
  </si>
  <si>
    <t>Louis Warren</t>
  </si>
  <si>
    <t>Tim Chadbourn</t>
  </si>
  <si>
    <t>+1 (617) 660-9110</t>
  </si>
  <si>
    <t>Pacific Langham International Corporation</t>
  </si>
  <si>
    <t>Chelsea Hotel Toronto</t>
  </si>
  <si>
    <t xml:space="preserve">33 Gerrard Street West </t>
  </si>
  <si>
    <t>M5G 1Z4</t>
  </si>
  <si>
    <t>Anne Lytle</t>
  </si>
  <si>
    <t>Josef Ebner</t>
  </si>
  <si>
    <t>+ (416) 595-1975</t>
  </si>
  <si>
    <t>Golf Facilities Inc.</t>
  </si>
  <si>
    <t>Cherry Creek Golf Club</t>
  </si>
  <si>
    <t xml:space="preserve">52000 Cherry Creek Drive </t>
  </si>
  <si>
    <t>Shelby Township</t>
  </si>
  <si>
    <t>Erle Webber</t>
  </si>
  <si>
    <t>+ (586) 254-7700</t>
  </si>
  <si>
    <t>Cherry Valley Country Club</t>
  </si>
  <si>
    <t xml:space="preserve">125 Country Club Drive </t>
  </si>
  <si>
    <t>Skillman</t>
  </si>
  <si>
    <t>+ (609) 466-4244</t>
  </si>
  <si>
    <t>Chester Valley Golf Club Inc.</t>
  </si>
  <si>
    <t>Chester Valley Golf Club</t>
  </si>
  <si>
    <t xml:space="preserve">430 Swedesford Road </t>
  </si>
  <si>
    <t>Malvern</t>
  </si>
  <si>
    <t>Christa Evans</t>
  </si>
  <si>
    <t>+ (610) 647-1545</t>
  </si>
  <si>
    <t>Chetwynd Pomeroy Inn &amp; Suites</t>
  </si>
  <si>
    <t xml:space="preserve">5200 North Access Road </t>
  </si>
  <si>
    <t>Chetwynd</t>
  </si>
  <si>
    <t>V0C 1J0</t>
  </si>
  <si>
    <t>Norah Newsom</t>
  </si>
  <si>
    <t>+1 (250) 788-4800</t>
  </si>
  <si>
    <t>Chicago Athletic Association</t>
  </si>
  <si>
    <t xml:space="preserve">12 South Michigan Avenue </t>
  </si>
  <si>
    <t>Patrick Hatton</t>
  </si>
  <si>
    <t>Lindsay Bolster</t>
  </si>
  <si>
    <t>+1 (312) 940-3552</t>
  </si>
  <si>
    <t>Chicago Marriott Naperville</t>
  </si>
  <si>
    <t xml:space="preserve">1801 North Naper Boulevard </t>
  </si>
  <si>
    <t>Dan Gustafson</t>
  </si>
  <si>
    <t>+1 (630) 505-4900</t>
  </si>
  <si>
    <t>Chicago Marriott Suites Deerfield</t>
  </si>
  <si>
    <t xml:space="preserve">2 Parkway North </t>
  </si>
  <si>
    <t>Deerfield</t>
  </si>
  <si>
    <t>Doug Hewitt</t>
  </si>
  <si>
    <t>Ismail Ismail</t>
  </si>
  <si>
    <t>+1 (847) 405-9666</t>
  </si>
  <si>
    <t>Chileno Bay Resort &amp; Residences</t>
  </si>
  <si>
    <t xml:space="preserve">Km 15 carretera Transpenninsular Cabo San Lucas </t>
  </si>
  <si>
    <t>San Jose del Cabo</t>
  </si>
  <si>
    <t>+1 (800) 916-1290</t>
  </si>
  <si>
    <t>Christiana at Vail</t>
  </si>
  <si>
    <t xml:space="preserve">356 East Hanson Ranch Road </t>
  </si>
  <si>
    <t>Vail</t>
  </si>
  <si>
    <t>John Everly</t>
  </si>
  <si>
    <t>Gustavo Chin</t>
  </si>
  <si>
    <t>+1 (970) 476-5641</t>
  </si>
  <si>
    <t>Cincinnati Marriott at RiverCenter</t>
  </si>
  <si>
    <t xml:space="preserve">10 West River Center Boulevard </t>
  </si>
  <si>
    <t>Brandt Tiffany</t>
  </si>
  <si>
    <t>Marcus Scurlock</t>
  </si>
  <si>
    <t>+1 (859) 261-2900</t>
  </si>
  <si>
    <t>Cincinnati Riverfront Hotel</t>
  </si>
  <si>
    <t xml:space="preserve">600 West 3rd Street </t>
  </si>
  <si>
    <t>Convington</t>
  </si>
  <si>
    <t>Jordan Francisco</t>
  </si>
  <si>
    <t>+1 (859) 291-4300</t>
  </si>
  <si>
    <t>Citrus Club</t>
  </si>
  <si>
    <t xml:space="preserve">Republic Bank Tower 18th Flr 255 So Orange Ave </t>
  </si>
  <si>
    <t>Jim Haughney</t>
  </si>
  <si>
    <t>+ (321) 843-1080</t>
  </si>
  <si>
    <t xml:space="preserve">City Club Birmingham </t>
  </si>
  <si>
    <t>1901 6th AVE N STE 3100</t>
  </si>
  <si>
    <t>Joseph spellman</t>
  </si>
  <si>
    <t>+ (205) 252-0088</t>
  </si>
  <si>
    <t>City Club of Los Angeles</t>
  </si>
  <si>
    <t xml:space="preserve">555 South Flowers Street </t>
  </si>
  <si>
    <t>Alex Thapar</t>
  </si>
  <si>
    <t>+ (213) 620-9662</t>
  </si>
  <si>
    <t>City Club of Washington DC</t>
  </si>
  <si>
    <t xml:space="preserve">555 13th St NW </t>
  </si>
  <si>
    <t>Ian MacDonald</t>
  </si>
  <si>
    <t>+ (202) 347-0818</t>
  </si>
  <si>
    <t>City Club Raleigh</t>
  </si>
  <si>
    <t>150 Fayetteville Street Suite 2800 Located in the Wachovia Bank Building</t>
  </si>
  <si>
    <t>Fred Sterhan</t>
  </si>
  <si>
    <t>+ (919) 834-8829</t>
  </si>
  <si>
    <t xml:space="preserve">City Steam Brewery </t>
  </si>
  <si>
    <t xml:space="preserve">942 Main Street </t>
  </si>
  <si>
    <t>Jay Dumond</t>
  </si>
  <si>
    <t>+(860)525-1600</t>
  </si>
  <si>
    <t>City Suites Hotel</t>
  </si>
  <si>
    <t xml:space="preserve">933 West Belmont Avenue </t>
  </si>
  <si>
    <t>Maria Lipan</t>
  </si>
  <si>
    <t>+1 (773) 404-3400</t>
  </si>
  <si>
    <t>Charter House Holdings LLC</t>
  </si>
  <si>
    <t>CityFlats Hotel Grand Rapids</t>
  </si>
  <si>
    <t xml:space="preserve">83 Monroe Center Street Northwest </t>
  </si>
  <si>
    <t>John Lagazo</t>
  </si>
  <si>
    <t>Anna Tonnarini</t>
  </si>
  <si>
    <t>+1 (616) 608-1720</t>
  </si>
  <si>
    <t>Clairmont Ramada</t>
  </si>
  <si>
    <t xml:space="preserve">7201 - 99th Street </t>
  </si>
  <si>
    <t>Clairmont</t>
  </si>
  <si>
    <t>T8X 5B1</t>
  </si>
  <si>
    <t>Mark Butler-Jenkins</t>
  </si>
  <si>
    <t>+1 (780) 814-7448</t>
  </si>
  <si>
    <t xml:space="preserve">Claremont Club &amp; Spa A Fairmont Hotel </t>
  </si>
  <si>
    <t xml:space="preserve">41 Tunnel Road </t>
  </si>
  <si>
    <t>Arwi Odense</t>
  </si>
  <si>
    <t>+1 (510) 843-3000</t>
  </si>
  <si>
    <t>85 Venture Group Inc. d/b/a Clarion Hotel &amp; Conference Center</t>
  </si>
  <si>
    <t>Clarion Hotel &amp; Conference Center</t>
  </si>
  <si>
    <t xml:space="preserve">815 Route 37 West </t>
  </si>
  <si>
    <t>Toms River</t>
  </si>
  <si>
    <t>Bob Van Bochove</t>
  </si>
  <si>
    <t>Kevin Hanfield</t>
  </si>
  <si>
    <t>+1 (732) 341-2400</t>
  </si>
  <si>
    <t>Clarion Hotel Anaheim Resort</t>
  </si>
  <si>
    <t xml:space="preserve">616 CONVENTION WAY </t>
  </si>
  <si>
    <t>Naomi Bennett</t>
  </si>
  <si>
    <t>+ (714) 750-3131</t>
  </si>
  <si>
    <t>Imagin Enterprises LLC</t>
  </si>
  <si>
    <t>Clarion Hotel The Belle</t>
  </si>
  <si>
    <t xml:space="preserve">1612 North Dupont Highway </t>
  </si>
  <si>
    <t>New Castle</t>
  </si>
  <si>
    <t>Kay Goragandhi</t>
  </si>
  <si>
    <t>Pat Mistery</t>
  </si>
  <si>
    <t>+1 (302) 428-1000</t>
  </si>
  <si>
    <t>Singhmar Hotel Group Inc.</t>
  </si>
  <si>
    <t>Clarion Hotels &amp; Conference Center Sherwood Park</t>
  </si>
  <si>
    <t xml:space="preserve">2100 Premier Way </t>
  </si>
  <si>
    <t>Sherwood Park</t>
  </si>
  <si>
    <t>T8H 2G4</t>
  </si>
  <si>
    <t>Sabi (Chanprit) Bindra</t>
  </si>
  <si>
    <t>+1(780) 416-2121</t>
  </si>
  <si>
    <t>NMR LLC</t>
  </si>
  <si>
    <t>Clarion Inn &amp; Suites Aiken</t>
  </si>
  <si>
    <t xml:space="preserve">155 Colony Pkwy </t>
  </si>
  <si>
    <t>Neel Shah</t>
  </si>
  <si>
    <t>+ (803) 648-0999</t>
  </si>
  <si>
    <t>Clarion Inn Ormond Beach at Destination Daytona</t>
  </si>
  <si>
    <t xml:space="preserve">1635 North US Highway 1 </t>
  </si>
  <si>
    <t>Kevin Arcieri</t>
  </si>
  <si>
    <t>+1(386) 944-1500</t>
  </si>
  <si>
    <t>Clarion Inn Pittsburgh Cranberry</t>
  </si>
  <si>
    <t xml:space="preserve">20003 Route 19 </t>
  </si>
  <si>
    <t>Jennifer Christie</t>
  </si>
  <si>
    <t>+1 (724) 772-1000</t>
  </si>
  <si>
    <t>Clarion Pointe Hopkinsville</t>
  </si>
  <si>
    <t xml:space="preserve">2910 Fort Campbell Blvd </t>
  </si>
  <si>
    <t>Hopkinsville</t>
  </si>
  <si>
    <t>Tony Cancemi</t>
  </si>
  <si>
    <t>Marci Hunt</t>
  </si>
  <si>
    <t>+1 (270) 886-4413</t>
  </si>
  <si>
    <t>Clear Creek Golf Club</t>
  </si>
  <si>
    <t xml:space="preserve">3902 Fellows Road </t>
  </si>
  <si>
    <t>Mark Rossi</t>
  </si>
  <si>
    <t>+1 (713) 738-8000</t>
  </si>
  <si>
    <t>Clearwater Beach Marriott on Sand Key</t>
  </si>
  <si>
    <t xml:space="preserve">1201 Gulf Boulevard </t>
  </si>
  <si>
    <t>Lukasz Chrzastek</t>
  </si>
  <si>
    <t>Careen Cleveland</t>
  </si>
  <si>
    <t>+1 (727) 596-1100</t>
  </si>
  <si>
    <t>Cleveland Marriott Downtown at Key Tower</t>
  </si>
  <si>
    <t xml:space="preserve">1360 W Mall Drive </t>
  </si>
  <si>
    <t>Hotel General Manager</t>
  </si>
  <si>
    <t>Michael Howe</t>
  </si>
  <si>
    <t>+(216)696-9200</t>
  </si>
  <si>
    <t>Cleveland Marriott East</t>
  </si>
  <si>
    <t xml:space="preserve">26300 Harvard Road </t>
  </si>
  <si>
    <t>Highland Hills</t>
  </si>
  <si>
    <t>Bradley Holko</t>
  </si>
  <si>
    <t>Scott Klukas</t>
  </si>
  <si>
    <t>+1 (216) 3789191</t>
  </si>
  <si>
    <t>Cliff House</t>
  </si>
  <si>
    <t xml:space="preserve">591 Shore Road </t>
  </si>
  <si>
    <t>Cape Neddick</t>
  </si>
  <si>
    <t>Nancy White</t>
  </si>
  <si>
    <t>+1 (207) 361-1000</t>
  </si>
  <si>
    <t>Clinton Street Social Club</t>
  </si>
  <si>
    <t xml:space="preserve">18 1/2 South Clinton Street </t>
  </si>
  <si>
    <t>Anna Wegner</t>
  </si>
  <si>
    <t>+1 (563) 920-2547</t>
  </si>
  <si>
    <t>Cloud Nine</t>
  </si>
  <si>
    <t>Club 96 S De RL De CV - Company</t>
  </si>
  <si>
    <t>Club 96 S de RL de CV</t>
  </si>
  <si>
    <t xml:space="preserve">Carratera Transpeninsular Km. 17.5 Pallmila </t>
  </si>
  <si>
    <t>Mario Cabezas</t>
  </si>
  <si>
    <t>+1(301)52 624144 6013</t>
  </si>
  <si>
    <t>Club America Lounge - Miami</t>
  </si>
  <si>
    <t xml:space="preserve">4300 Northwest 14th Street </t>
  </si>
  <si>
    <t>33126-1410</t>
  </si>
  <si>
    <t>Claudine Mourjan</t>
  </si>
  <si>
    <t>Julian Tchernev</t>
  </si>
  <si>
    <t>+1 (817) 889-2789</t>
  </si>
  <si>
    <t>Club at Falcon Point</t>
  </si>
  <si>
    <t xml:space="preserve">24503 Falcon Point DR </t>
  </si>
  <si>
    <t>Bryan Aumiller</t>
  </si>
  <si>
    <t>Linda Bowles</t>
  </si>
  <si>
    <t>+ (281) 392-7888</t>
  </si>
  <si>
    <t>ClubCorp USA Inc (HQ)</t>
  </si>
  <si>
    <t xml:space="preserve">3030 LBJ Freeway Suite 600 </t>
  </si>
  <si>
    <t>ClubCorp</t>
  </si>
  <si>
    <t>Bill Walden</t>
  </si>
  <si>
    <t>+1 (972) 243-6191</t>
  </si>
  <si>
    <t>Cobbleston Inn &amp; Suites Kermit</t>
  </si>
  <si>
    <t xml:space="preserve">876 Southeast Avenue </t>
  </si>
  <si>
    <t>Kermit</t>
  </si>
  <si>
    <t xml:space="preserve">Hicham Belguezzar </t>
  </si>
  <si>
    <t>Jackie Klehr</t>
  </si>
  <si>
    <t>+1 (432) 586-3333</t>
  </si>
  <si>
    <t>Cobblestone &amp; Suites - Guernsey</t>
  </si>
  <si>
    <t xml:space="preserve">703 West Whalen Street </t>
  </si>
  <si>
    <t>Guernsey</t>
  </si>
  <si>
    <t>Heather Chavez</t>
  </si>
  <si>
    <t>Cobblestone Hotel - Wayne</t>
  </si>
  <si>
    <t xml:space="preserve">505 Tomar Drive </t>
  </si>
  <si>
    <t>Josh Sievers</t>
  </si>
  <si>
    <t>+1(402) 833-1300</t>
  </si>
  <si>
    <t>Cobblestone Hotel &amp; Suites - Baldwin</t>
  </si>
  <si>
    <t xml:space="preserve">500 Baldwin Plaza </t>
  </si>
  <si>
    <t>Rush River</t>
  </si>
  <si>
    <t>Julie Holger</t>
  </si>
  <si>
    <t>+1 (715) 684-5888</t>
  </si>
  <si>
    <t xml:space="preserve">Cobblestone Hotel &amp; Suites - Beulah </t>
  </si>
  <si>
    <t xml:space="preserve">1207 Highway 49 North </t>
  </si>
  <si>
    <t>Beulah</t>
  </si>
  <si>
    <t>Rebecca Bailey</t>
  </si>
  <si>
    <t>Brandi Deutsch</t>
  </si>
  <si>
    <t>+(701) 873-2370</t>
  </si>
  <si>
    <t>Cobblestone Hotel &amp; Suites - Gering</t>
  </si>
  <si>
    <t xml:space="preserve">960 Main Street </t>
  </si>
  <si>
    <t>Gering</t>
  </si>
  <si>
    <t>Valerie Williamson</t>
  </si>
  <si>
    <t>+1 (308) 633-7660</t>
  </si>
  <si>
    <t>Cobblestone Hotel &amp; Suites - Janesville</t>
  </si>
  <si>
    <t xml:space="preserve">20 West Milwaukee Street </t>
  </si>
  <si>
    <t>Nicole Wellington</t>
  </si>
  <si>
    <t>+1 (608) 757-2200</t>
  </si>
  <si>
    <t>Cobblestone Hotel &amp; Suites - Lakin</t>
  </si>
  <si>
    <t xml:space="preserve">603 East Santa Fe </t>
  </si>
  <si>
    <t>Lakin</t>
  </si>
  <si>
    <t>Shnae Budd</t>
  </si>
  <si>
    <t>+1 (620) 355-4211</t>
  </si>
  <si>
    <t>Cobblestone Hotel &amp; Suites - Mc Cook</t>
  </si>
  <si>
    <t xml:space="preserve">1301 North Highway83 </t>
  </si>
  <si>
    <t>Mc Cook</t>
  </si>
  <si>
    <t>Natalie Alred</t>
  </si>
  <si>
    <t>+1 (308) 777-2000</t>
  </si>
  <si>
    <t>Cobblestone Hotel &amp; Suites - Pulaski</t>
  </si>
  <si>
    <t xml:space="preserve">1220 Mountain Bay Drive </t>
  </si>
  <si>
    <t>Angelica</t>
  </si>
  <si>
    <t>James Montie</t>
  </si>
  <si>
    <t>+1(920) 822-0822</t>
  </si>
  <si>
    <t>Cobblestone Hotel &amp; Suites - Punxsutawney</t>
  </si>
  <si>
    <t xml:space="preserve">188 Alliance Drive </t>
  </si>
  <si>
    <t>Punxsutawney</t>
  </si>
  <si>
    <t>Cody Billotte</t>
  </si>
  <si>
    <t>+1(814) 938-5144</t>
  </si>
  <si>
    <t>Cobblestone Hotel &amp; Suites - Seward</t>
  </si>
  <si>
    <t xml:space="preserve">2575 Progressive Road </t>
  </si>
  <si>
    <t>Seward</t>
  </si>
  <si>
    <t>Sheila Poppe</t>
  </si>
  <si>
    <t>+1(402) 646-1004</t>
  </si>
  <si>
    <t>Cobblestone Hotel &amp; Suites - Soda Springs</t>
  </si>
  <si>
    <t xml:space="preserve">341 West 2nd South </t>
  </si>
  <si>
    <t>Soda Springs</t>
  </si>
  <si>
    <t>Lorraine Myers</t>
  </si>
  <si>
    <t>+1 (208) 547-1920</t>
  </si>
  <si>
    <t>Cobblestone Hotel &amp; Suites- Chippewa Falls</t>
  </si>
  <si>
    <t xml:space="preserve">100 North Bridge Street </t>
  </si>
  <si>
    <t>Chippewa Falls</t>
  </si>
  <si>
    <t>Heidi Shervey</t>
  </si>
  <si>
    <t>+()715 720-0355</t>
  </si>
  <si>
    <t>Cobblestone Hotel &amp; Suites Hutchinson</t>
  </si>
  <si>
    <t xml:space="preserve">416 Prospect Street Northeast </t>
  </si>
  <si>
    <t>Deb Brewer</t>
  </si>
  <si>
    <t>Lisa Tadd</t>
  </si>
  <si>
    <t>+1 (320) 587-7777</t>
  </si>
  <si>
    <t>Cobblestone Hotel &amp; Suites Lamoni</t>
  </si>
  <si>
    <t xml:space="preserve">226 South Spruce Drive </t>
  </si>
  <si>
    <t>Lamoni</t>
  </si>
  <si>
    <t>Mariah Smith</t>
  </si>
  <si>
    <t>Jeremy Murray</t>
  </si>
  <si>
    <t>+1 (641)784-4000</t>
  </si>
  <si>
    <t>Cobblestone Hotel &amp; Suites Neenah</t>
  </si>
  <si>
    <t xml:space="preserve">1465 Bryce Drive </t>
  </si>
  <si>
    <t>Neenah</t>
  </si>
  <si>
    <t>Daisy Horne</t>
  </si>
  <si>
    <t>+1 (920) 751-0071</t>
  </si>
  <si>
    <t>Cobblestone Hotel &amp; Suites Stevens Point</t>
  </si>
  <si>
    <t xml:space="preserve">1117 Centerpoint Drive </t>
  </si>
  <si>
    <t>Stevens Point</t>
  </si>
  <si>
    <t>Sherry Noska</t>
  </si>
  <si>
    <t>+1 (715) 343-0522</t>
  </si>
  <si>
    <t>Cobblestone Hotel &amp; Suites Torrington</t>
  </si>
  <si>
    <t xml:space="preserve">1306 Main Street </t>
  </si>
  <si>
    <t>Torrington</t>
  </si>
  <si>
    <t>+1 (307) 532-1033</t>
  </si>
  <si>
    <t>Cobblestone Hotel &amp; Suites Victor</t>
  </si>
  <si>
    <t xml:space="preserve">12 West Dogwood Street </t>
  </si>
  <si>
    <t>Fox Creek</t>
  </si>
  <si>
    <t>Scott Sheer</t>
  </si>
  <si>
    <t>+(208) 787-4567</t>
  </si>
  <si>
    <t>Cobblestone Hotel &amp; Suites Wisconsin Rapids</t>
  </si>
  <si>
    <t xml:space="preserve">3010 8th Street South </t>
  </si>
  <si>
    <t>Jonathan Burt-Olson</t>
  </si>
  <si>
    <t>+1 (715) 424-3444</t>
  </si>
  <si>
    <t>Cobblestone Hotels &amp; Suites - Andrews</t>
  </si>
  <si>
    <t xml:space="preserve">1400 North US Highway 35 </t>
  </si>
  <si>
    <t>Andrews</t>
  </si>
  <si>
    <t>Collin Elliott</t>
  </si>
  <si>
    <t>+1 (432) 223-2477</t>
  </si>
  <si>
    <t>Cobblestone Hotels &amp; Suites - Jefferson</t>
  </si>
  <si>
    <t xml:space="preserve">771 Wild Rose Lane </t>
  </si>
  <si>
    <t>Cheryl Balderas</t>
  </si>
  <si>
    <t>Kristen Amfahr</t>
  </si>
  <si>
    <t>+1 (515) 386-3535</t>
  </si>
  <si>
    <t>Cobblestone Hotels &amp; Suites - Pecos</t>
  </si>
  <si>
    <t xml:space="preserve">2418 South Teague Lane </t>
  </si>
  <si>
    <t>Pecos</t>
  </si>
  <si>
    <t>Lindsey Hoffarth</t>
  </si>
  <si>
    <t>Zach Munoz</t>
  </si>
  <si>
    <t>+(432) 445 0075</t>
  </si>
  <si>
    <t>Cobblestone Hotels &amp; Suites Austin</t>
  </si>
  <si>
    <t xml:space="preserve">1000 16th Avenue Northwest </t>
  </si>
  <si>
    <t>Shelly Christiansen</t>
  </si>
  <si>
    <t>+1 (507) 433-9797</t>
  </si>
  <si>
    <t>Cobblestone Hotels &amp; Suites Hartford</t>
  </si>
  <si>
    <t xml:space="preserve">101 Park Avenue </t>
  </si>
  <si>
    <t>Tina Savage</t>
  </si>
  <si>
    <t>+1 (262) 670-6010</t>
  </si>
  <si>
    <t>Cobblestone Hotels &amp; Suites Two Rivers</t>
  </si>
  <si>
    <t xml:space="preserve">1407 16th Street </t>
  </si>
  <si>
    <t>Two Rivers</t>
  </si>
  <si>
    <t>Yesenia Guyton</t>
  </si>
  <si>
    <t>Brad VandenBoom</t>
  </si>
  <si>
    <t>+1 (920) 553-3632</t>
  </si>
  <si>
    <t>Cobblestone Inn &amp; Suites - Ambridge</t>
  </si>
  <si>
    <t xml:space="preserve">1111 New Economy Drive </t>
  </si>
  <si>
    <t>Fairoaks</t>
  </si>
  <si>
    <t>David Orbin</t>
  </si>
  <si>
    <t>+(724) 266 7100</t>
  </si>
  <si>
    <t>Cobblestone Inn &amp; Suites - Avoca</t>
  </si>
  <si>
    <t xml:space="preserve">7013 North Chestnut Street </t>
  </si>
  <si>
    <t>Avoca</t>
  </si>
  <si>
    <t>Dayton Wood</t>
  </si>
  <si>
    <t>+1(712) 307-6006</t>
  </si>
  <si>
    <t>Cobblestone Inn &amp; Suites - Big Lake</t>
  </si>
  <si>
    <t xml:space="preserve">1318 East US Highway 67 </t>
  </si>
  <si>
    <t>Big Lake</t>
  </si>
  <si>
    <t>Jennifer Abrego</t>
  </si>
  <si>
    <t>+1 (325) 884-3338</t>
  </si>
  <si>
    <t>Cobblestone Inn &amp; Suites - Bottineau</t>
  </si>
  <si>
    <t xml:space="preserve">1109 11th Strett East </t>
  </si>
  <si>
    <t>Bottineau</t>
  </si>
  <si>
    <t>Carrie Cote-Grindeland</t>
  </si>
  <si>
    <t>+1 (701) 534-2121</t>
  </si>
  <si>
    <t>Cobblestone Inn &amp; Suites - Bridgeport</t>
  </si>
  <si>
    <t xml:space="preserve">517 Main Street </t>
  </si>
  <si>
    <t>Bridgeport</t>
  </si>
  <si>
    <t>Kristy Gartner</t>
  </si>
  <si>
    <t>Andrew Wright</t>
  </si>
  <si>
    <t>+1 (308) 262-7900</t>
  </si>
  <si>
    <t>Cobblestone Inn &amp; Suites - Cambridge</t>
  </si>
  <si>
    <t xml:space="preserve">41502 Harvest Drive </t>
  </si>
  <si>
    <t>Judy McCune</t>
  </si>
  <si>
    <t>Heather Shafer</t>
  </si>
  <si>
    <t>+1(308) 697-4466</t>
  </si>
  <si>
    <t>Cobblestone Inn &amp; Suites - Carrington</t>
  </si>
  <si>
    <t xml:space="preserve">835 5th Avenue North </t>
  </si>
  <si>
    <t>Carrington</t>
  </si>
  <si>
    <t>Julie Brown</t>
  </si>
  <si>
    <t>+1 (701) 652-3000</t>
  </si>
  <si>
    <t>Cobblestone Inn &amp; Suites - Clintonville</t>
  </si>
  <si>
    <t xml:space="preserve">I75 Waupaca Street </t>
  </si>
  <si>
    <t>Clintonville</t>
  </si>
  <si>
    <t>Amanda Rousseau</t>
  </si>
  <si>
    <t>+1(715) 823-2000</t>
  </si>
  <si>
    <t>Cobblestone Inn &amp; Suites - Durand</t>
  </si>
  <si>
    <t xml:space="preserve">325 West Prospect Street </t>
  </si>
  <si>
    <t>Durand</t>
  </si>
  <si>
    <t>Jacob Ulwelling</t>
  </si>
  <si>
    <t>+1 (715) 672-5055</t>
  </si>
  <si>
    <t>Cobblestone Inn &amp; Suites - Eads</t>
  </si>
  <si>
    <t xml:space="preserve">501 East Lowell Avenue </t>
  </si>
  <si>
    <t>Eads</t>
  </si>
  <si>
    <t>Nicole Keplar</t>
  </si>
  <si>
    <t>JR Wooldridge</t>
  </si>
  <si>
    <t>+1 (719) 438-2021</t>
  </si>
  <si>
    <t>Cobblestone Inn &amp; Suites - Hartington</t>
  </si>
  <si>
    <t xml:space="preserve">405 Arens Drive </t>
  </si>
  <si>
    <t>Hartington</t>
  </si>
  <si>
    <t>Julie DeBlauw</t>
  </si>
  <si>
    <t>+1(402) 254-9866</t>
  </si>
  <si>
    <t>Cobblestone Inn &amp; Suites - Harvey</t>
  </si>
  <si>
    <t xml:space="preserve">410 Brewster Street West </t>
  </si>
  <si>
    <t>Harvey</t>
  </si>
  <si>
    <t>Shirley Reinowski</t>
  </si>
  <si>
    <t>+1(701) 635-2222</t>
  </si>
  <si>
    <t>Cobblestone Inn &amp; Suites - Kersey</t>
  </si>
  <si>
    <t xml:space="preserve">309 Hill Street </t>
  </si>
  <si>
    <t>Kersey</t>
  </si>
  <si>
    <t>Hunter Santiago</t>
  </si>
  <si>
    <t>+1 (970) 351-9411</t>
  </si>
  <si>
    <t>Cobblestone Inn &amp; Suites - Lake View</t>
  </si>
  <si>
    <t xml:space="preserve">119 Boulder Drive </t>
  </si>
  <si>
    <t>Lake View</t>
  </si>
  <si>
    <t>Jodi Grote</t>
  </si>
  <si>
    <t>+1 (712) 657-2660</t>
  </si>
  <si>
    <t>Cobblestone Inn &amp; Suites - Linton</t>
  </si>
  <si>
    <t xml:space="preserve">100 Aspen Avenue </t>
  </si>
  <si>
    <t>Linton</t>
  </si>
  <si>
    <t>Kera Reich</t>
  </si>
  <si>
    <t>+1(701)254-5734</t>
  </si>
  <si>
    <t>Cobblestone Inn &amp; Suites - Marquette</t>
  </si>
  <si>
    <t xml:space="preserve">100 North Street </t>
  </si>
  <si>
    <t>Stacy Christofferson</t>
  </si>
  <si>
    <t>+1 (563) 873-8900</t>
  </si>
  <si>
    <t>Cobblestone Inn &amp; Suites - Rugby</t>
  </si>
  <si>
    <t xml:space="preserve">402 Highway 2 Southeast </t>
  </si>
  <si>
    <t>Rugby</t>
  </si>
  <si>
    <t>Vicki Hoffart</t>
  </si>
  <si>
    <t>+1 (701) 881-3000</t>
  </si>
  <si>
    <t>Cobblestone Inn &amp; Suites - Steele</t>
  </si>
  <si>
    <t xml:space="preserve">623 North Mitchell Avenue </t>
  </si>
  <si>
    <t>Steele</t>
  </si>
  <si>
    <t>Susie White</t>
  </si>
  <si>
    <t>+1(701) 475-4478</t>
  </si>
  <si>
    <t>Cobblestone Inn &amp; Suites - Waverly</t>
  </si>
  <si>
    <t xml:space="preserve">208 East Bremer Avenue </t>
  </si>
  <si>
    <t>Bremer</t>
  </si>
  <si>
    <t>Kathy Shields-Ruth</t>
  </si>
  <si>
    <t>+(319) 352-1311</t>
  </si>
  <si>
    <t>Cobblestone Inn &amp; Suites - Wray</t>
  </si>
  <si>
    <t xml:space="preserve">35952 US Highway 385 </t>
  </si>
  <si>
    <t>Wray</t>
  </si>
  <si>
    <t>Feliz Faudoa</t>
  </si>
  <si>
    <t>+1 (970) 332-5000</t>
  </si>
  <si>
    <t>Ramsey Enterprises LLC</t>
  </si>
  <si>
    <t>Cobblestone Inn &amp; Suites Altamont Illinois</t>
  </si>
  <si>
    <t xml:space="preserve">4 West Carriage Lane </t>
  </si>
  <si>
    <t>Altamont</t>
  </si>
  <si>
    <t>Matt Ramsey</t>
  </si>
  <si>
    <t>+1 (618) 483-3111</t>
  </si>
  <si>
    <t>Cobblestone Inn &amp; Suites Boone</t>
  </si>
  <si>
    <t xml:space="preserve">1900 Lakewood Drive </t>
  </si>
  <si>
    <t>Brenda Nichols</t>
  </si>
  <si>
    <t>+ 1 (515) 212-8823</t>
  </si>
  <si>
    <t>Cobblestone Inn &amp; Suites Forest City</t>
  </si>
  <si>
    <t xml:space="preserve">1121 Highway 69 North </t>
  </si>
  <si>
    <t>Forest City</t>
  </si>
  <si>
    <t>Nicole Peterson</t>
  </si>
  <si>
    <t>Tara McLaughlin</t>
  </si>
  <si>
    <t>+1 (641) 585-3000</t>
  </si>
  <si>
    <t>Cobblestone Inn &amp; Suites Holdrege</t>
  </si>
  <si>
    <t xml:space="preserve">814 Burlington Street </t>
  </si>
  <si>
    <t>Holdrege</t>
  </si>
  <si>
    <t>Angela Hall</t>
  </si>
  <si>
    <t>+1 (308) 995-8888</t>
  </si>
  <si>
    <t>Cobblestone Inn &amp; Suites Manchester</t>
  </si>
  <si>
    <t xml:space="preserve">1210 Commercial Court </t>
  </si>
  <si>
    <t>Kelly Niles</t>
  </si>
  <si>
    <t>+1 (563) 856-0011</t>
  </si>
  <si>
    <t>Cobblestone Inn &amp; Suites Manning</t>
  </si>
  <si>
    <t xml:space="preserve">120 Heritage Drive </t>
  </si>
  <si>
    <t>Manning</t>
  </si>
  <si>
    <t>Mary Beyerink</t>
  </si>
  <si>
    <t>+1 (712) 655-4000</t>
  </si>
  <si>
    <t>Cobblestone Inn &amp; Suites Menomonie</t>
  </si>
  <si>
    <t xml:space="preserve">149 Main Street </t>
  </si>
  <si>
    <t>Menomonie</t>
  </si>
  <si>
    <t>Jon Krupke</t>
  </si>
  <si>
    <t>+1 (715) 233-0211</t>
  </si>
  <si>
    <t>Cobblestone Inn &amp; Suites Winterset</t>
  </si>
  <si>
    <t xml:space="preserve">1304 North 4th Avenue </t>
  </si>
  <si>
    <t>Winterset</t>
  </si>
  <si>
    <t>Jessica Jamison</t>
  </si>
  <si>
    <t>+1(515 )462-4889</t>
  </si>
  <si>
    <t>Cobblestone Suites Oshkosh</t>
  </si>
  <si>
    <t xml:space="preserve">3105 South Washburn Street </t>
  </si>
  <si>
    <t>Wendy Allen</t>
  </si>
  <si>
    <t>+1 (920) 303-1133</t>
  </si>
  <si>
    <t>Coconut Palm</t>
  </si>
  <si>
    <t xml:space="preserve">198 Harborview Drive- MM92 </t>
  </si>
  <si>
    <t>Plantation Key</t>
  </si>
  <si>
    <t>Tracy Nierod</t>
  </si>
  <si>
    <t>+1(305)852-3017</t>
  </si>
  <si>
    <t>Coconut Plaza Hotel Associates LLC</t>
  </si>
  <si>
    <t>Coconut Waikiki Hotel</t>
  </si>
  <si>
    <t xml:space="preserve">450 Lewers Street </t>
  </si>
  <si>
    <t>Alvida Surpia-Jones</t>
  </si>
  <si>
    <t>Jeffrey Nagata</t>
  </si>
  <si>
    <t>+1 (808) 921-1504</t>
  </si>
  <si>
    <t>Cocoon Coffee House &amp; Bakery</t>
  </si>
  <si>
    <t xml:space="preserve">8 Silk Mill Drive </t>
  </si>
  <si>
    <t>Hawley</t>
  </si>
  <si>
    <t>TJ Slain</t>
  </si>
  <si>
    <t>Ben Sutter</t>
  </si>
  <si>
    <t>+1 (570) 226-2993</t>
  </si>
  <si>
    <t xml:space="preserve">Colgate Inn </t>
  </si>
  <si>
    <t xml:space="preserve">1 Payne Street </t>
  </si>
  <si>
    <t>Kendra Young</t>
  </si>
  <si>
    <t>Noelle Sprague</t>
  </si>
  <si>
    <t>+1 (315) 824-2300</t>
  </si>
  <si>
    <t>College Park Marriott Hotel and Conference Center</t>
  </si>
  <si>
    <t xml:space="preserve">3501 University Blvd E </t>
  </si>
  <si>
    <t>Adelphi</t>
  </si>
  <si>
    <t xml:space="preserve">Aaron Wright </t>
  </si>
  <si>
    <t>Francisco Merizalde</t>
  </si>
  <si>
    <t>(301) 985-7300</t>
  </si>
  <si>
    <t>Colony Club Luxury Collection Barbados</t>
  </si>
  <si>
    <t xml:space="preserve">Porters </t>
  </si>
  <si>
    <t>St. James</t>
  </si>
  <si>
    <t>BRB</t>
  </si>
  <si>
    <t>Barbados</t>
  </si>
  <si>
    <t>Luxury Collection (LMS)</t>
  </si>
  <si>
    <t>Joanna Roterberg</t>
  </si>
  <si>
    <t>+1 (246) 422-2335</t>
  </si>
  <si>
    <t>Colorado Springs Marriott</t>
  </si>
  <si>
    <t xml:space="preserve">5580 Tech Center Drive </t>
  </si>
  <si>
    <t>Jana Smith</t>
  </si>
  <si>
    <t>Darrin Folgesong</t>
  </si>
  <si>
    <t>+1 (719) 260-1800</t>
  </si>
  <si>
    <t>Columbia Hospitality - HQ</t>
  </si>
  <si>
    <t>2200 Alaskan Way Suite 200</t>
  </si>
  <si>
    <t>Amy McBride</t>
  </si>
  <si>
    <t>+1 (806) 239-1800</t>
  </si>
  <si>
    <t>Columbia Staybridge Suites</t>
  </si>
  <si>
    <t xml:space="preserve">1913 Huger Street </t>
  </si>
  <si>
    <t>Isaac Lewis</t>
  </si>
  <si>
    <t>+(803) 451-5900</t>
  </si>
  <si>
    <t>Columbia Tower Club</t>
  </si>
  <si>
    <t>Bank of America Tower 701 Fifth Ave Suite 7500</t>
  </si>
  <si>
    <t>Michael Johnson</t>
  </si>
  <si>
    <t>Carolyn Hurd</t>
  </si>
  <si>
    <t>+ (206) 622-2010</t>
  </si>
  <si>
    <t>Columbus Airport Marriott</t>
  </si>
  <si>
    <t xml:space="preserve">1375 North Cassidy Avenue </t>
  </si>
  <si>
    <t>Martin Borawski</t>
  </si>
  <si>
    <t>Bill Warrell</t>
  </si>
  <si>
    <t>+1 (614) 475-7551</t>
  </si>
  <si>
    <t>Comfort Inn - Belleville</t>
  </si>
  <si>
    <t xml:space="preserve">200 North Park Street </t>
  </si>
  <si>
    <t>Belleville</t>
  </si>
  <si>
    <t>K8P 2Y9</t>
  </si>
  <si>
    <t>Paul Armstrong</t>
  </si>
  <si>
    <t>Lisa Dal</t>
  </si>
  <si>
    <t>+1 (613) 966-7703</t>
  </si>
  <si>
    <t>Comfort Inn - Charlottetown</t>
  </si>
  <si>
    <t xml:space="preserve">112 Capital Drive </t>
  </si>
  <si>
    <t>Charlottetown</t>
  </si>
  <si>
    <t>PE</t>
  </si>
  <si>
    <t>C1E 1E7</t>
  </si>
  <si>
    <t>Shawna Grandjean</t>
  </si>
  <si>
    <t>+1 (902) 566-4424</t>
  </si>
  <si>
    <t>Comfort Inn - Chicoutimi</t>
  </si>
  <si>
    <t xml:space="preserve">1595 boulevard Talbot </t>
  </si>
  <si>
    <t>Chicoutimi</t>
  </si>
  <si>
    <t>G7H 4C3</t>
  </si>
  <si>
    <t>Lotfi Kaddouri</t>
  </si>
  <si>
    <t>+1 (418) 693-8686</t>
  </si>
  <si>
    <t>Comfort Inn - Cobourg</t>
  </si>
  <si>
    <t xml:space="preserve">121 Densmore Road </t>
  </si>
  <si>
    <t>Cobourg</t>
  </si>
  <si>
    <t>K9A 4J9</t>
  </si>
  <si>
    <t>cobourg tester</t>
  </si>
  <si>
    <t>Shubham Patel</t>
  </si>
  <si>
    <t>+1 (905) 372-7007</t>
  </si>
  <si>
    <t>Comfort Inn - Corner Brook</t>
  </si>
  <si>
    <t xml:space="preserve">41 Maple Valley Road </t>
  </si>
  <si>
    <t>Corner Brook</t>
  </si>
  <si>
    <t>A2H 6T2</t>
  </si>
  <si>
    <t>Carling Cox</t>
  </si>
  <si>
    <t>+1 (709) 639-1980</t>
  </si>
  <si>
    <t>Comfort Inn - Drummondville</t>
  </si>
  <si>
    <t xml:space="preserve">1055 rue Hains </t>
  </si>
  <si>
    <t>Drummondville</t>
  </si>
  <si>
    <t>J2C 6G6</t>
  </si>
  <si>
    <t>Julie Blanchette</t>
  </si>
  <si>
    <t>+1 (819) 477-4000</t>
  </si>
  <si>
    <t>Comfort Inn - Dryden</t>
  </si>
  <si>
    <t xml:space="preserve">522 Government Street </t>
  </si>
  <si>
    <t>Dryden</t>
  </si>
  <si>
    <t>P8N 2P5</t>
  </si>
  <si>
    <t>Yvette Burns</t>
  </si>
  <si>
    <t>+1 (807) 223-3893</t>
  </si>
  <si>
    <t>Comfort Inn - Edmundston</t>
  </si>
  <si>
    <t xml:space="preserve">5 Bateman Avenue </t>
  </si>
  <si>
    <t>Edmundston</t>
  </si>
  <si>
    <t>E3V 3L1</t>
  </si>
  <si>
    <t>Amit Fogat</t>
  </si>
  <si>
    <t>+1 (506) 739-8361</t>
  </si>
  <si>
    <t>Comfort Inn - Fredericton</t>
  </si>
  <si>
    <t xml:space="preserve">797 Prospect Street </t>
  </si>
  <si>
    <t>Fredericton</t>
  </si>
  <si>
    <t>E3B 5Y4</t>
  </si>
  <si>
    <t>Krista Arnold</t>
  </si>
  <si>
    <t>Vicki Reagon</t>
  </si>
  <si>
    <t>+1 (506) 453-0800</t>
  </si>
  <si>
    <t>Comfort Inn - Gatineau</t>
  </si>
  <si>
    <t xml:space="preserve">630 boul. la Gappe </t>
  </si>
  <si>
    <t>Gatineau</t>
  </si>
  <si>
    <t>J8T 7S8</t>
  </si>
  <si>
    <t>Julie Desjardins</t>
  </si>
  <si>
    <t>+1 (819) 243-6010</t>
  </si>
  <si>
    <t>Comfort Inn - Glasgow</t>
  </si>
  <si>
    <t xml:space="preserve">740 Westville Road </t>
  </si>
  <si>
    <t>New Glasgow</t>
  </si>
  <si>
    <t>B2H 2J8</t>
  </si>
  <si>
    <t>Diane Mahar</t>
  </si>
  <si>
    <t>+1 (902) 755-6450</t>
  </si>
  <si>
    <t>Comfort Inn - Hamilton</t>
  </si>
  <si>
    <t xml:space="preserve">183 Centennial Parkway </t>
  </si>
  <si>
    <t>Hamilton</t>
  </si>
  <si>
    <t>L8E 1H8</t>
  </si>
  <si>
    <t>Lisa Gallant</t>
  </si>
  <si>
    <t>+1 (905) 560-4500</t>
  </si>
  <si>
    <t>Comfort Inn - Kenora</t>
  </si>
  <si>
    <t xml:space="preserve">1230 ON-17 </t>
  </si>
  <si>
    <t>Kenora</t>
  </si>
  <si>
    <t>P9N 1L9</t>
  </si>
  <si>
    <t>Howard vezina</t>
  </si>
  <si>
    <t>+1 (807) 468-8845</t>
  </si>
  <si>
    <t>Vineland Hospitality LLC</t>
  </si>
  <si>
    <t>Comfort Inn - Kissimmee</t>
  </si>
  <si>
    <t xml:space="preserve">5196 West Irlo Bronson Highway </t>
  </si>
  <si>
    <t>Kissimmee</t>
  </si>
  <si>
    <t>Sarker Ashraf</t>
  </si>
  <si>
    <t>+1 (407) 507-3808</t>
  </si>
  <si>
    <t>Comfort Inn - Laval</t>
  </si>
  <si>
    <t xml:space="preserve">2055 Auto. des Laurentides </t>
  </si>
  <si>
    <t>Laval</t>
  </si>
  <si>
    <t>H7S 1Z6</t>
  </si>
  <si>
    <t>Nicolas Poirier</t>
  </si>
  <si>
    <t>+1 (450) 686-0600</t>
  </si>
  <si>
    <t>Comfort Inn - Pickering</t>
  </si>
  <si>
    <t xml:space="preserve">533 Kingston Road </t>
  </si>
  <si>
    <t>Pickering</t>
  </si>
  <si>
    <t>L1V 3N7</t>
  </si>
  <si>
    <t>Brigette Statchuk</t>
  </si>
  <si>
    <t>+1 (905) 831-6200</t>
  </si>
  <si>
    <t>Comfort Inn - Prince Albert</t>
  </si>
  <si>
    <t xml:space="preserve">3863 2nd Avenue West </t>
  </si>
  <si>
    <t>Prince Albert</t>
  </si>
  <si>
    <t>S6W 1A1</t>
  </si>
  <si>
    <t>Kelli Rinholm</t>
  </si>
  <si>
    <t>Kelli Rinholm1</t>
  </si>
  <si>
    <t>+1 (306) 763-4466</t>
  </si>
  <si>
    <t>Comfort Inn - Sault Ste. Marie</t>
  </si>
  <si>
    <t xml:space="preserve">333 Great Northern Road </t>
  </si>
  <si>
    <t>Sault Ste. Marie</t>
  </si>
  <si>
    <t>P6B 4Z8</t>
  </si>
  <si>
    <t>Tracy White</t>
  </si>
  <si>
    <t>+1 (705) 759-8000</t>
  </si>
  <si>
    <t>Comfort Inn - Sept-Iles</t>
  </si>
  <si>
    <t xml:space="preserve">854 Boulevard Laure </t>
  </si>
  <si>
    <t>Sept-iles</t>
  </si>
  <si>
    <t>G4R 1Y7</t>
  </si>
  <si>
    <t>Bernard-Luc Martin</t>
  </si>
  <si>
    <t>Franceska Evans</t>
  </si>
  <si>
    <t>+1 (418) 968-6005</t>
  </si>
  <si>
    <t>Comfort Inn - Sudbury</t>
  </si>
  <si>
    <t xml:space="preserve">2171 Regent Street South </t>
  </si>
  <si>
    <t>P3E 5V3</t>
  </si>
  <si>
    <t>Kim Connick</t>
  </si>
  <si>
    <t>+1 (705) 522-1101</t>
  </si>
  <si>
    <t>Comfort Inn - Swift Current</t>
  </si>
  <si>
    <t xml:space="preserve">1510 South Service Road East </t>
  </si>
  <si>
    <t>Swift Current</t>
  </si>
  <si>
    <t>S9H 3X6</t>
  </si>
  <si>
    <t>Ashley Glas</t>
  </si>
  <si>
    <t>+1 (306) 778-3994</t>
  </si>
  <si>
    <t>Comfort Inn - Sydney</t>
  </si>
  <si>
    <t xml:space="preserve">368 Kings Road </t>
  </si>
  <si>
    <t>Sydney</t>
  </si>
  <si>
    <t>B1S 1A8</t>
  </si>
  <si>
    <t>Aby Sharma</t>
  </si>
  <si>
    <t>+1 (902) 562-0200</t>
  </si>
  <si>
    <t>Comfort Inn - Thetford Mines</t>
  </si>
  <si>
    <t xml:space="preserve">123 boulevard Frontenac Ouest </t>
  </si>
  <si>
    <t>Thetford Mines</t>
  </si>
  <si>
    <t>G6G 7S7</t>
  </si>
  <si>
    <t>Marilou Pare</t>
  </si>
  <si>
    <t>+1 (418) 338-0171</t>
  </si>
  <si>
    <t>Comfort Inn - Thunder Bay</t>
  </si>
  <si>
    <t xml:space="preserve">660 West Arthur Street </t>
  </si>
  <si>
    <t>P7E 5R8</t>
  </si>
  <si>
    <t>Sherri Locke</t>
  </si>
  <si>
    <t>Sherry Smith</t>
  </si>
  <si>
    <t>+1 (807) 475-3155</t>
  </si>
  <si>
    <t>Comfort Inn - Timmins</t>
  </si>
  <si>
    <t xml:space="preserve">939 Algonquin Boulevard East </t>
  </si>
  <si>
    <t>Timmins</t>
  </si>
  <si>
    <t>P4N 7J5</t>
  </si>
  <si>
    <t>Tiffany Thibeau</t>
  </si>
  <si>
    <t>+1 (705) 264-9474</t>
  </si>
  <si>
    <t>Comfort Inn - Truro</t>
  </si>
  <si>
    <t xml:space="preserve">12 Meadow Drive </t>
  </si>
  <si>
    <t>Truro</t>
  </si>
  <si>
    <t>B2N 5V4</t>
  </si>
  <si>
    <t>Jeffrey Hemming</t>
  </si>
  <si>
    <t>+1 (902) 893-0330</t>
  </si>
  <si>
    <t>Comfort Inn - Tupelo</t>
  </si>
  <si>
    <t xml:space="preserve">1532 McCullough Boulevard </t>
  </si>
  <si>
    <t>Cheryl Foster</t>
  </si>
  <si>
    <t>+1 (662) 840-0340</t>
  </si>
  <si>
    <t>Comfort Inn - Val D'Or</t>
  </si>
  <si>
    <t xml:space="preserve">1665 3ieme Avenue </t>
  </si>
  <si>
    <t>Val-D'Or</t>
  </si>
  <si>
    <t>J9P 1V9</t>
  </si>
  <si>
    <t>Celine Leduc</t>
  </si>
  <si>
    <t>+1 (819) 825-9360</t>
  </si>
  <si>
    <t>Comfort Inn - Warner Robins</t>
  </si>
  <si>
    <t xml:space="preserve">2725 Watson Boulevard </t>
  </si>
  <si>
    <t>Peggy Kay</t>
  </si>
  <si>
    <t>+1 (478) 953-3000</t>
  </si>
  <si>
    <t>Comfort Inn - Yarmouth</t>
  </si>
  <si>
    <t xml:space="preserve">96 Starrs Road </t>
  </si>
  <si>
    <t>Yarmouth</t>
  </si>
  <si>
    <t>B5A 2T5</t>
  </si>
  <si>
    <t>Devon Cromwell</t>
  </si>
  <si>
    <t>+1 (902) 742-1119</t>
  </si>
  <si>
    <t>Pinnacle Hotel Group Inc.</t>
  </si>
  <si>
    <t>Comfort Inn &amp; Suites - Fayetteville</t>
  </si>
  <si>
    <t xml:space="preserve">1234 North Steamboat Drive </t>
  </si>
  <si>
    <t>72704-0406</t>
  </si>
  <si>
    <t>Ramesh Patel</t>
  </si>
  <si>
    <t>+1 (479) 571-5177</t>
  </si>
  <si>
    <t>Comfort Inn &amp; Suites - Fort Smith</t>
  </si>
  <si>
    <t xml:space="preserve">6500 Rogers Avenue </t>
  </si>
  <si>
    <t>Fort Smith</t>
  </si>
  <si>
    <t>Dawn McKimmons</t>
  </si>
  <si>
    <t>+1 (479) 434-5400</t>
  </si>
  <si>
    <t>Comfort Inn &amp; Suites Antioch</t>
  </si>
  <si>
    <t xml:space="preserve">400 Collins Park Drive </t>
  </si>
  <si>
    <t>Chase Patel</t>
  </si>
  <si>
    <t>+1 (615) 731-8540</t>
  </si>
  <si>
    <t>Neema Hospitality Management Inc.</t>
  </si>
  <si>
    <t>Comfort Inn &amp; Suites Cambridge</t>
  </si>
  <si>
    <t xml:space="preserve">2936 Ocean Gateway </t>
  </si>
  <si>
    <t>Gretchen Smith</t>
  </si>
  <si>
    <t>+1 (410) 901-0926</t>
  </si>
  <si>
    <t>Comfort Inn &amp; Suites Chestertown</t>
  </si>
  <si>
    <t xml:space="preserve">150 Scheeler Road </t>
  </si>
  <si>
    <t>Chestertown</t>
  </si>
  <si>
    <t>+1 (410) 778-0778</t>
  </si>
  <si>
    <t>Comfort Inn &amp; Suites Cookeville</t>
  </si>
  <si>
    <t xml:space="preserve">1045 Interstate Drive </t>
  </si>
  <si>
    <t>Ayman Abuzour</t>
  </si>
  <si>
    <t>+1 (931) 372-0086</t>
  </si>
  <si>
    <t>Comfort Inn &amp; Suites Dulles</t>
  </si>
  <si>
    <t xml:space="preserve">45515 Dulles Plaza </t>
  </si>
  <si>
    <t>Mario Pais</t>
  </si>
  <si>
    <t>+1 (703) 471-5005</t>
  </si>
  <si>
    <t>Comfort Inn &amp; Suites Mansfield</t>
  </si>
  <si>
    <t xml:space="preserve">1228 Polk Street </t>
  </si>
  <si>
    <t>Letatia Pea</t>
  </si>
  <si>
    <t>+1 (318) 872 8820</t>
  </si>
  <si>
    <t>Comfort Inn &amp; Suites Maumee - Toledo (I80-90)</t>
  </si>
  <si>
    <t xml:space="preserve">1702 Toll Gate Drive </t>
  </si>
  <si>
    <t>Henry Desai</t>
  </si>
  <si>
    <t>+1 (419) 897-5555</t>
  </si>
  <si>
    <t>H &amp; A Group LLC</t>
  </si>
  <si>
    <t>Comfort Inn &amp; Suites Phoenix North</t>
  </si>
  <si>
    <t xml:space="preserve">17017 North Black Canyon Hwy </t>
  </si>
  <si>
    <t>David Pakka</t>
  </si>
  <si>
    <t>Nick Wallace</t>
  </si>
  <si>
    <t>+1 (602) 548-8888</t>
  </si>
  <si>
    <t>Comfort Inn &amp; Suites Plano East</t>
  </si>
  <si>
    <t xml:space="preserve">700 East Central Parkway </t>
  </si>
  <si>
    <t>Vikesh Patel</t>
  </si>
  <si>
    <t>+1 (972) 881-1881</t>
  </si>
  <si>
    <t>Krishna Management Inc</t>
  </si>
  <si>
    <t>Comfort Inn &amp; Suites Rawlins</t>
  </si>
  <si>
    <t xml:space="preserve">2366 East Cedar Street </t>
  </si>
  <si>
    <t>Rawlins</t>
  </si>
  <si>
    <t>Julie Miller</t>
  </si>
  <si>
    <t>Noreen Jerome</t>
  </si>
  <si>
    <t>+1 (307) 324-3663</t>
  </si>
  <si>
    <t>Comfort Inn &amp; Suites San Diego - Zoo SeaWorld Area</t>
  </si>
  <si>
    <t xml:space="preserve">2485 Hotel Circle Place </t>
  </si>
  <si>
    <t>Andrew Cooper</t>
  </si>
  <si>
    <t>+1 (619) 881-6200</t>
  </si>
  <si>
    <t>Image Hotels</t>
  </si>
  <si>
    <t>Comfort Inn &amp; Suites Savannah Airport</t>
  </si>
  <si>
    <t xml:space="preserve">15 Jay R Turner Drive </t>
  </si>
  <si>
    <t>Wendy Kirby</t>
  </si>
  <si>
    <t>+1 (912) 629-1500</t>
  </si>
  <si>
    <t>Comfort Inn &amp; Suites Snyder</t>
  </si>
  <si>
    <t xml:space="preserve">1774 South Highway 84 </t>
  </si>
  <si>
    <t>Erika Tavarez</t>
  </si>
  <si>
    <t>Trushar Bhakta</t>
  </si>
  <si>
    <t>+1 (325) 515-7550</t>
  </si>
  <si>
    <t>Comfort Inn &amp; Suites St. Johnsbury</t>
  </si>
  <si>
    <t xml:space="preserve">703 US Route 5 South </t>
  </si>
  <si>
    <t>St. Johnsbury</t>
  </si>
  <si>
    <t>Sarah Lumbra</t>
  </si>
  <si>
    <t>+1 (802) 748-1500</t>
  </si>
  <si>
    <t>Sribliss LLC</t>
  </si>
  <si>
    <t>Comfort Inn &amp; Suites Van Buren- Fort Smith</t>
  </si>
  <si>
    <t xml:space="preserve">1633 North 12th Court </t>
  </si>
  <si>
    <t>Van Buren</t>
  </si>
  <si>
    <t>Purvi Patel</t>
  </si>
  <si>
    <t>+1 (479) 262-6776</t>
  </si>
  <si>
    <t>Comfort Inn &amp; Suites Virginia Beach-Norfolk Airport</t>
  </si>
  <si>
    <t xml:space="preserve">5808 Burton Station Road </t>
  </si>
  <si>
    <t>Kelly Baldo</t>
  </si>
  <si>
    <t>+1 (757) 965-3503</t>
  </si>
  <si>
    <t>Comfort Inn &amp; Suites Zachary</t>
  </si>
  <si>
    <t xml:space="preserve">1686 East Mount Pleasant Road </t>
  </si>
  <si>
    <t>Zachary</t>
  </si>
  <si>
    <t>Vince Patel</t>
  </si>
  <si>
    <t>+1 (225) 286-4011</t>
  </si>
  <si>
    <t>Comfort Inn Airport (I - Winnipeg)</t>
  </si>
  <si>
    <t xml:space="preserve">1770 Sargent Avenue </t>
  </si>
  <si>
    <t>Winnipeg</t>
  </si>
  <si>
    <t>MB</t>
  </si>
  <si>
    <t>R3H 0C8</t>
  </si>
  <si>
    <t>Shane Nobiss</t>
  </si>
  <si>
    <t>+1 (204) 783-5627</t>
  </si>
  <si>
    <t>Comfort Inn Alma</t>
  </si>
  <si>
    <t xml:space="preserve">870 av du Pont Sud </t>
  </si>
  <si>
    <t>Alma</t>
  </si>
  <si>
    <t>G8B 2V8</t>
  </si>
  <si>
    <t>Sylvie Fortin</t>
  </si>
  <si>
    <t>+1 (418) 668-9221</t>
  </si>
  <si>
    <t>Comfort Inn Amherst</t>
  </si>
  <si>
    <t xml:space="preserve">143 South Albion Street </t>
  </si>
  <si>
    <t>Amherst</t>
  </si>
  <si>
    <t>B4H 2X2</t>
  </si>
  <si>
    <t>Robin Purcell</t>
  </si>
  <si>
    <t>+1 (902) 667-0404</t>
  </si>
  <si>
    <t>Comfort Inn Ancienne-Lorette</t>
  </si>
  <si>
    <t xml:space="preserve">1255 boul. Duplessis </t>
  </si>
  <si>
    <t>L'ancienne-lorette</t>
  </si>
  <si>
    <t>G2G 2B4</t>
  </si>
  <si>
    <t>Joyce Godbout</t>
  </si>
  <si>
    <t>+1 (418) 872-5900</t>
  </si>
  <si>
    <t>Comfort Inn and Suites - Logan Airport</t>
  </si>
  <si>
    <t xml:space="preserve">85 American Legion Highway </t>
  </si>
  <si>
    <t>Meredith White</t>
  </si>
  <si>
    <t>+1 (781) 485-3600</t>
  </si>
  <si>
    <t>Midwest Hospitality Group Inc.</t>
  </si>
  <si>
    <t>Comfort Inn Avon (IN)</t>
  </si>
  <si>
    <t xml:space="preserve">8229 US Hwy 36 East </t>
  </si>
  <si>
    <t>Avon</t>
  </si>
  <si>
    <t>Tasha Hughlett</t>
  </si>
  <si>
    <t>+1(317)272-8789</t>
  </si>
  <si>
    <t>Comfort Inn Baie Comeau</t>
  </si>
  <si>
    <t xml:space="preserve">745 boul Lafleche </t>
  </si>
  <si>
    <t>Baie-comeau</t>
  </si>
  <si>
    <t>G5C 1C6</t>
  </si>
  <si>
    <t>Dany Durand</t>
  </si>
  <si>
    <t>+1 (418) 589-8252</t>
  </si>
  <si>
    <t>Comfort Inn Bathurst</t>
  </si>
  <si>
    <t xml:space="preserve">1170 St. Peter Avenue </t>
  </si>
  <si>
    <t>Bathurst</t>
  </si>
  <si>
    <t>E2A 2Z9</t>
  </si>
  <si>
    <t>Kamini Kumar Ghirra</t>
  </si>
  <si>
    <t>+1 (506) 547-8000</t>
  </si>
  <si>
    <t>Comfort Inn Bay City</t>
  </si>
  <si>
    <t xml:space="preserve">501 Saginaw Street </t>
  </si>
  <si>
    <t>Kelly Todd</t>
  </si>
  <si>
    <t>+(989) 892-3501</t>
  </si>
  <si>
    <t>Comfort Inn Brandon</t>
  </si>
  <si>
    <t xml:space="preserve">925 Middleton Avenue </t>
  </si>
  <si>
    <t>R7C 1A8</t>
  </si>
  <si>
    <t>Ryan Prevost</t>
  </si>
  <si>
    <t>+1 (204) 727-6232</t>
  </si>
  <si>
    <t>Comfort Inn By The Bay</t>
  </si>
  <si>
    <t xml:space="preserve">2775 Van Ness Ave </t>
  </si>
  <si>
    <t>Todd Symynuk</t>
  </si>
  <si>
    <t>Ned Heiss</t>
  </si>
  <si>
    <t>+ (415) 928-5000</t>
  </si>
  <si>
    <t>Comfort Inn Cambridge</t>
  </si>
  <si>
    <t xml:space="preserve">220 Holiday Inn Drive </t>
  </si>
  <si>
    <t>N3C 1Z4</t>
  </si>
  <si>
    <t>Karen Hughes</t>
  </si>
  <si>
    <t>+1 (519) 658-1100</t>
  </si>
  <si>
    <t>Comfort Inn Cornwall</t>
  </si>
  <si>
    <t xml:space="preserve">1625 Vincent Massey Drive </t>
  </si>
  <si>
    <t>K6H 5R6</t>
  </si>
  <si>
    <t>Priti Ahlawat</t>
  </si>
  <si>
    <t>+1 (613) 937-0111</t>
  </si>
  <si>
    <t>Pika Management LLC dba kk Builders</t>
  </si>
  <si>
    <t>Comfort Inn Cranberry Township</t>
  </si>
  <si>
    <t xml:space="preserve">924 Sheraton Drive </t>
  </si>
  <si>
    <t>Mars</t>
  </si>
  <si>
    <t>Hari Borra</t>
  </si>
  <si>
    <t>+1 (724) 772-2700</t>
  </si>
  <si>
    <t>Comfort Inn Deland- Near University</t>
  </si>
  <si>
    <t xml:space="preserve">400 East International Speedway Boulevard </t>
  </si>
  <si>
    <t>Deland</t>
  </si>
  <si>
    <t>Richard Avery</t>
  </si>
  <si>
    <t>Tom Tucker</t>
  </si>
  <si>
    <t>+1 (386) 736-3100</t>
  </si>
  <si>
    <t>Comfort Inn Downtown Convention Center</t>
  </si>
  <si>
    <t xml:space="preserve">1201 13th Street NW </t>
  </si>
  <si>
    <t>Rajesh Joshi</t>
  </si>
  <si>
    <t>+1 (202) 682-5300</t>
  </si>
  <si>
    <t>Comfort Inn Downtown South at Turner Field</t>
  </si>
  <si>
    <t xml:space="preserve">795 Pollard Boulevard </t>
  </si>
  <si>
    <t>+1 (404) 658-1610</t>
  </si>
  <si>
    <t>Comfort Inn East - Sudbury (II)</t>
  </si>
  <si>
    <t xml:space="preserve">440 2nd Avenue </t>
  </si>
  <si>
    <t>P3B 4A4</t>
  </si>
  <si>
    <t>Lisa White</t>
  </si>
  <si>
    <t>+1 (705) 560-4502</t>
  </si>
  <si>
    <t>Comfort Inn East (Moncton)</t>
  </si>
  <si>
    <t xml:space="preserve">20 Maplewood Drive </t>
  </si>
  <si>
    <t>E1A 6P9</t>
  </si>
  <si>
    <t>Jason Oh</t>
  </si>
  <si>
    <t>+1 (506) 859-6868</t>
  </si>
  <si>
    <t>Comfort Inn Grove City</t>
  </si>
  <si>
    <t xml:space="preserve">4197 Marlane Drive </t>
  </si>
  <si>
    <t>+1 (614) 539-3500</t>
  </si>
  <si>
    <t>Comfort Inn Horn Lake - Southaven</t>
  </si>
  <si>
    <t xml:space="preserve">801 Desoto Cove </t>
  </si>
  <si>
    <t>Horn Lake</t>
  </si>
  <si>
    <t>+1 (662) 349-3493</t>
  </si>
  <si>
    <t>Comfort Inn Hwy. 401</t>
  </si>
  <si>
    <t xml:space="preserve">55 Warne Crescent </t>
  </si>
  <si>
    <t>Kingston</t>
  </si>
  <si>
    <t>K7K 6Z5</t>
  </si>
  <si>
    <t>Janet Chapman-Bristow</t>
  </si>
  <si>
    <t>+1 (613) 546-9500</t>
  </si>
  <si>
    <t>Comfort Inn Kapuskasing</t>
  </si>
  <si>
    <t xml:space="preserve">172 Government Road East </t>
  </si>
  <si>
    <t>Kapuskasing</t>
  </si>
  <si>
    <t>P5N 2W9</t>
  </si>
  <si>
    <t>Jeanmarc Genier</t>
  </si>
  <si>
    <t>+1 (705) 335-8583</t>
  </si>
  <si>
    <t>Comfort Inn Lima</t>
  </si>
  <si>
    <t xml:space="preserve">1210 Neubrecht Road </t>
  </si>
  <si>
    <t>Lima</t>
  </si>
  <si>
    <t>+1 (419) 228-4251</t>
  </si>
  <si>
    <t>Comfort Inn Magnetic Hill</t>
  </si>
  <si>
    <t xml:space="preserve">2495 Mountain Road </t>
  </si>
  <si>
    <t>E1G 2W4</t>
  </si>
  <si>
    <t>Heidi Johnston</t>
  </si>
  <si>
    <t>+1 (506) 384-3175</t>
  </si>
  <si>
    <t>Comfort Inn Maumee-Perrysburgh Area</t>
  </si>
  <si>
    <t xml:space="preserve">1426 South Reynolds Road </t>
  </si>
  <si>
    <t>Chuck Patel</t>
  </si>
  <si>
    <t>+1 (419) 893-2800</t>
  </si>
  <si>
    <t>Comfort Inn Mechanicsburg - Harrisburg South</t>
  </si>
  <si>
    <t xml:space="preserve">1012 Wesley Drive </t>
  </si>
  <si>
    <t>Adisa Gobeljic</t>
  </si>
  <si>
    <t>+1 (717) 766-3700</t>
  </si>
  <si>
    <t>Comfort Inn Newmarket</t>
  </si>
  <si>
    <t xml:space="preserve">1230 Journey's End Circle </t>
  </si>
  <si>
    <t>Newmarket</t>
  </si>
  <si>
    <t>L3Y 8Z6</t>
  </si>
  <si>
    <t>Tammy Benneyworth</t>
  </si>
  <si>
    <t>+1 (905) 895-3355</t>
  </si>
  <si>
    <t>Comfort Inn Newport News</t>
  </si>
  <si>
    <t xml:space="preserve">16890 Warwick Boulevard </t>
  </si>
  <si>
    <t>William Bently</t>
  </si>
  <si>
    <t>+1 (757) 847-9187</t>
  </si>
  <si>
    <t>Comfort Inn North Joliet</t>
  </si>
  <si>
    <t xml:space="preserve">3235 Norman Avenue </t>
  </si>
  <si>
    <t>Bobby Hester</t>
  </si>
  <si>
    <t>+ (815) 436-5141</t>
  </si>
  <si>
    <t>Comfort Inn Northeast</t>
  </si>
  <si>
    <t xml:space="preserve">7907 Brandt Pike </t>
  </si>
  <si>
    <t>Brian Patel</t>
  </si>
  <si>
    <t>+1 (937) 237-7477</t>
  </si>
  <si>
    <t>Comfort Inn O'Hare - Convention Center</t>
  </si>
  <si>
    <t xml:space="preserve">2175 East Touhy Avenue </t>
  </si>
  <si>
    <t>Maya Pencheva</t>
  </si>
  <si>
    <t>+1 (847) 635-1300</t>
  </si>
  <si>
    <t>Comfort Inn Orillia</t>
  </si>
  <si>
    <t xml:space="preserve">75 Progress Drive </t>
  </si>
  <si>
    <t>Orillia</t>
  </si>
  <si>
    <t>L3V 6H1</t>
  </si>
  <si>
    <t>Shelley Cryderman</t>
  </si>
  <si>
    <t>+1 (705) 327-7744</t>
  </si>
  <si>
    <t>Comfort Inn Ottawa East</t>
  </si>
  <si>
    <t xml:space="preserve">1252 Michael Street </t>
  </si>
  <si>
    <t>Gloucester</t>
  </si>
  <si>
    <t>K1J 7T1</t>
  </si>
  <si>
    <t>Barbara Ramos</t>
  </si>
  <si>
    <t>Kristina Taylor</t>
  </si>
  <si>
    <t>+1 (613) 744-2900</t>
  </si>
  <si>
    <t>Comfort Inn Parry Sound</t>
  </si>
  <si>
    <t xml:space="preserve">120 Bowes Street </t>
  </si>
  <si>
    <t>Parry Sound</t>
  </si>
  <si>
    <t>P2A 2L7</t>
  </si>
  <si>
    <t>Cindy Milette</t>
  </si>
  <si>
    <t>+1 (705) 746-6221</t>
  </si>
  <si>
    <t>Comfort Inn Pembroke</t>
  </si>
  <si>
    <t xml:space="preserve">959 Pembroke Street East </t>
  </si>
  <si>
    <t>Pembroke</t>
  </si>
  <si>
    <t>K8A 3M3</t>
  </si>
  <si>
    <t>Chad Downing</t>
  </si>
  <si>
    <t>+1 (613) 735-1057</t>
  </si>
  <si>
    <t>Anya Management Inc.</t>
  </si>
  <si>
    <t xml:space="preserve">Comfort Inn Plant City - Lakeland </t>
  </si>
  <si>
    <t xml:space="preserve">2003 South Frontage Road </t>
  </si>
  <si>
    <t>Nish Patel</t>
  </si>
  <si>
    <t>+1 (813) 707-6000</t>
  </si>
  <si>
    <t xml:space="preserve">Comfort Inn Plymouth </t>
  </si>
  <si>
    <t xml:space="preserve">40455 Ann Arbor Road </t>
  </si>
  <si>
    <t>Plymouth</t>
  </si>
  <si>
    <t>KenDra McIntosh</t>
  </si>
  <si>
    <t>Pierre Bacall</t>
  </si>
  <si>
    <t>+ (734) 455-8100</t>
  </si>
  <si>
    <t>Comfort Inn Randolph</t>
  </si>
  <si>
    <t xml:space="preserve">1374 N Main St. </t>
  </si>
  <si>
    <t>Rick Kumar</t>
  </si>
  <si>
    <t>+ (781) 961-1000</t>
  </si>
  <si>
    <t>Comfort Inn Regina</t>
  </si>
  <si>
    <t xml:space="preserve">3221 Eastgate Drive </t>
  </si>
  <si>
    <t>Regina</t>
  </si>
  <si>
    <t>S4Z 1A4</t>
  </si>
  <si>
    <t>Wanda Flowers</t>
  </si>
  <si>
    <t>+1 (306) 789-5522</t>
  </si>
  <si>
    <t>Comfort Inn Rehoboth Beach</t>
  </si>
  <si>
    <t xml:space="preserve">19210 Coastal Highway </t>
  </si>
  <si>
    <t>Linda Graves</t>
  </si>
  <si>
    <t>+1(480) 653-9270</t>
  </si>
  <si>
    <t>Lodging LLC</t>
  </si>
  <si>
    <t>Comfort Inn River's Edge</t>
  </si>
  <si>
    <t xml:space="preserve">132 North Main Street </t>
  </si>
  <si>
    <t xml:space="preserve"> Joanna Vela</t>
  </si>
  <si>
    <t>+1 (419) 433-8000</t>
  </si>
  <si>
    <t>Comfort Inn Rochester</t>
  </si>
  <si>
    <t xml:space="preserve">2729 Monroe Avenue </t>
  </si>
  <si>
    <t>Silas Patel</t>
  </si>
  <si>
    <t>+1 (585) 273-8410</t>
  </si>
  <si>
    <t xml:space="preserve">Comfort Inn Saskatoon </t>
  </si>
  <si>
    <t xml:space="preserve">2155 Northbridge Drive </t>
  </si>
  <si>
    <t>Saskatoon</t>
  </si>
  <si>
    <t>S7L 6X6</t>
  </si>
  <si>
    <t>Maxine Tebbe</t>
  </si>
  <si>
    <t>+1 (306) 934-1122</t>
  </si>
  <si>
    <t>Comfort Inn Sherbrooke</t>
  </si>
  <si>
    <t xml:space="preserve">4295 boul. Bourque </t>
  </si>
  <si>
    <t>Sherbrooke</t>
  </si>
  <si>
    <t>J1N 1S4</t>
  </si>
  <si>
    <t>Nathan Trudel</t>
  </si>
  <si>
    <t>+1 (819) 564-4400</t>
  </si>
  <si>
    <t>Comfort Inn Simcoe</t>
  </si>
  <si>
    <t xml:space="preserve">85 Queensway East </t>
  </si>
  <si>
    <t>Simcoe</t>
  </si>
  <si>
    <t>N3Y 4M5</t>
  </si>
  <si>
    <t>Annmarie Harriot</t>
  </si>
  <si>
    <t>+1 (519) 426-2611</t>
  </si>
  <si>
    <t>Comfort Inn South (Brossard)</t>
  </si>
  <si>
    <t xml:space="preserve">7863 boul. Taschereau </t>
  </si>
  <si>
    <t>Brossard</t>
  </si>
  <si>
    <t>J4Y 1A4</t>
  </si>
  <si>
    <t>Louis Loranger</t>
  </si>
  <si>
    <t>+1 (450) 678-9350</t>
  </si>
  <si>
    <t>Comfort Inn South (II - Winnipeg)</t>
  </si>
  <si>
    <t xml:space="preserve">3109 Pembina Highway </t>
  </si>
  <si>
    <t>R3T 4R6</t>
  </si>
  <si>
    <t>Charlene Kenny</t>
  </si>
  <si>
    <t>+1 (204) 269-7390</t>
  </si>
  <si>
    <t>Larkin Family Partnership</t>
  </si>
  <si>
    <t>Comfort Inn South Burlington</t>
  </si>
  <si>
    <t xml:space="preserve">3 Dorset Street </t>
  </si>
  <si>
    <t>South Burlington</t>
  </si>
  <si>
    <t>John Martin</t>
  </si>
  <si>
    <t>+1 (802) 863-5541</t>
  </si>
  <si>
    <t>Comfort Inn South Shore</t>
  </si>
  <si>
    <t xml:space="preserve">96 Boulevard de Mortagne </t>
  </si>
  <si>
    <t>Boucherville</t>
  </si>
  <si>
    <t>J4B 5M7</t>
  </si>
  <si>
    <t>Marthe Langlois</t>
  </si>
  <si>
    <t>+1 (450) 641-2880</t>
  </si>
  <si>
    <t>Comfort Inn Suites Paris</t>
  </si>
  <si>
    <t xml:space="preserve">3035 NE Loop 286 </t>
  </si>
  <si>
    <t>Karmyn Moore</t>
  </si>
  <si>
    <t>+1 (903) 785-0089</t>
  </si>
  <si>
    <t>Comfort Inn Syosset</t>
  </si>
  <si>
    <t xml:space="preserve">24 Oak Drive </t>
  </si>
  <si>
    <t>Syosset</t>
  </si>
  <si>
    <t>Brandon Werner</t>
  </si>
  <si>
    <t>+ (516) 921-1111</t>
  </si>
  <si>
    <t>VSMS Property Management LLC</t>
  </si>
  <si>
    <t>Comfort Inn University</t>
  </si>
  <si>
    <t xml:space="preserve">3440 Southwest 40th Boulevard </t>
  </si>
  <si>
    <t>Bruce Cribbs</t>
  </si>
  <si>
    <t>+1 (352) 316-6311</t>
  </si>
  <si>
    <t>Comfort Inn West (Edmonton)</t>
  </si>
  <si>
    <t xml:space="preserve">17610 100th Avenue </t>
  </si>
  <si>
    <t>Edmonton</t>
  </si>
  <si>
    <t>T5S 1S9</t>
  </si>
  <si>
    <t>Clement Chin</t>
  </si>
  <si>
    <t>+1 (780) 484-4415</t>
  </si>
  <si>
    <t>Comfort Inn West (Kanata)</t>
  </si>
  <si>
    <t xml:space="preserve">222 Hearst Way </t>
  </si>
  <si>
    <t>K2L 3A2</t>
  </si>
  <si>
    <t>Mandi McBeath</t>
  </si>
  <si>
    <t>+1 (613) 592-2200</t>
  </si>
  <si>
    <t>Comfort Inn Woburn</t>
  </si>
  <si>
    <t xml:space="preserve">14 Hill ST </t>
  </si>
  <si>
    <t>Mick Shah</t>
  </si>
  <si>
    <t>+1 (781) 933-5363</t>
  </si>
  <si>
    <t>Comfort Suites</t>
  </si>
  <si>
    <t xml:space="preserve">13165 North Central Expressway </t>
  </si>
  <si>
    <t>Kathryn Long</t>
  </si>
  <si>
    <t>+1 (972) 699-7400</t>
  </si>
  <si>
    <t>Comfort Suites at Royal Ridges</t>
  </si>
  <si>
    <t xml:space="preserve">2 Westgate Drive </t>
  </si>
  <si>
    <t>Christopher Moore</t>
  </si>
  <si>
    <t>+1(920) 748-5500</t>
  </si>
  <si>
    <t>Denco Family Inc.</t>
  </si>
  <si>
    <t>Comfort Suites Barstow Near I-45</t>
  </si>
  <si>
    <t xml:space="preserve">2571 Fisher Boulevard </t>
  </si>
  <si>
    <t>Brett Hobbs</t>
  </si>
  <si>
    <t>Sequela Carpenter</t>
  </si>
  <si>
    <t>+1 (760) 253-3600</t>
  </si>
  <si>
    <t>Comfort Suites Bowling Green</t>
  </si>
  <si>
    <t xml:space="preserve">1211 Kenilwood Way </t>
  </si>
  <si>
    <t>Ryan Baker</t>
  </si>
  <si>
    <t>+1 (270) 632-0455</t>
  </si>
  <si>
    <t>Comfort Suites Buda</t>
  </si>
  <si>
    <t>15295 IH 35 Bldg 800</t>
  </si>
  <si>
    <t>Buda</t>
  </si>
  <si>
    <t>Bridgette Glosson-Fralic</t>
  </si>
  <si>
    <t>Chris Griffin</t>
  </si>
  <si>
    <t>+1 (512) 295-8600</t>
  </si>
  <si>
    <t>Comfort Suites Castle Rock</t>
  </si>
  <si>
    <t xml:space="preserve">4755 Castleton Way </t>
  </si>
  <si>
    <t>Dipak Patel</t>
  </si>
  <si>
    <t>+1 (303) 814-9999</t>
  </si>
  <si>
    <t>Comfort Suites Chantilly</t>
  </si>
  <si>
    <t xml:space="preserve">13980 Metrotech Dr. </t>
  </si>
  <si>
    <t>Charles Minnick</t>
  </si>
  <si>
    <t>+1 (703) 263-2007</t>
  </si>
  <si>
    <t>Ugati Hospitality Inc.</t>
  </si>
  <si>
    <t xml:space="preserve">Comfort Suites Clearwater–Dunedin </t>
  </si>
  <si>
    <t xml:space="preserve">1941 Edgewater Drive </t>
  </si>
  <si>
    <t>Chuck Eade</t>
  </si>
  <si>
    <t>+1 (727) 489-5000</t>
  </si>
  <si>
    <t>Comfort Suites Columbus West-Hilliard</t>
  </si>
  <si>
    <t xml:space="preserve">5547 Keim Circle </t>
  </si>
  <si>
    <t>Kalpen Patel</t>
  </si>
  <si>
    <t>+1 (614) 870-7658</t>
  </si>
  <si>
    <t>Comfort Suites Cookeville</t>
  </si>
  <si>
    <t xml:space="preserve">1035 Interstate Drive </t>
  </si>
  <si>
    <t>+1 (931) 372-1881</t>
  </si>
  <si>
    <t xml:space="preserve">Raj Unadkat </t>
  </si>
  <si>
    <t>Comfort Suites Denver Tech Center</t>
  </si>
  <si>
    <t xml:space="preserve">7374 South Cinton </t>
  </si>
  <si>
    <t>Centennial</t>
  </si>
  <si>
    <t>Jose Gonzales</t>
  </si>
  <si>
    <t>Raj Unadkat</t>
  </si>
  <si>
    <t>+1 (303) 858-0700</t>
  </si>
  <si>
    <t>Comfort Suites Downtown Orlando</t>
  </si>
  <si>
    <t xml:space="preserve">2416 North Orange Avenue </t>
  </si>
  <si>
    <t xml:space="preserve">Erik Krakowski </t>
  </si>
  <si>
    <t>+1(407)228-4007</t>
  </si>
  <si>
    <t>Comfort Suites Dry Ridge</t>
  </si>
  <si>
    <t xml:space="preserve">200 Sgt. Daniel Wallace Way </t>
  </si>
  <si>
    <t>Dry Ridge</t>
  </si>
  <si>
    <t>Miles Hollars</t>
  </si>
  <si>
    <t>+1 (859) 903-0080</t>
  </si>
  <si>
    <t>Comfort Suites Dunnellon</t>
  </si>
  <si>
    <t xml:space="preserve">20052 Brooks Street </t>
  </si>
  <si>
    <t>Dunnellon</t>
  </si>
  <si>
    <t>Comfort Suites General Manager</t>
  </si>
  <si>
    <t>Sarah Chandler</t>
  </si>
  <si>
    <t>+1 (352) 533-5234</t>
  </si>
  <si>
    <t>Comfort Suites Ennis</t>
  </si>
  <si>
    <t xml:space="preserve">400 South Interstate Highway 45 </t>
  </si>
  <si>
    <t>Ennis</t>
  </si>
  <si>
    <t>+1 (972) 872-9898</t>
  </si>
  <si>
    <t>Merete Hotel Management</t>
  </si>
  <si>
    <t>Comfort Suites Eugene - Springfield</t>
  </si>
  <si>
    <t xml:space="preserve">969 Kruse Way </t>
  </si>
  <si>
    <t>Paul Rescigno</t>
  </si>
  <si>
    <t>+ (541) 746-5359</t>
  </si>
  <si>
    <t>Comfort Suites Fishers</t>
  </si>
  <si>
    <t xml:space="preserve">9760 Crosspoint Blvd. </t>
  </si>
  <si>
    <t>Fishers</t>
  </si>
  <si>
    <t>Eric Cutts</t>
  </si>
  <si>
    <t>avendrakb tester</t>
  </si>
  <si>
    <t>+1(317) 578-1200</t>
  </si>
  <si>
    <t>Comfort Suites Gainesville</t>
  </si>
  <si>
    <t xml:space="preserve">2603 Southwest 13th Street </t>
  </si>
  <si>
    <t>Derek Poineau</t>
  </si>
  <si>
    <t>Walter Maready</t>
  </si>
  <si>
    <t>+1 (352) 519-0000</t>
  </si>
  <si>
    <t>Comfort Suites Gastonia</t>
  </si>
  <si>
    <t xml:space="preserve">1874 Remount Road </t>
  </si>
  <si>
    <t>Gastonia</t>
  </si>
  <si>
    <t>Patrick Jolly</t>
  </si>
  <si>
    <t>+1 (704) 865-6688</t>
  </si>
  <si>
    <t>Comfort Suites Georgetown</t>
  </si>
  <si>
    <t xml:space="preserve">121 Darby Drive </t>
  </si>
  <si>
    <t>Stephanie Cashell</t>
  </si>
  <si>
    <t>+1(502)868-9500</t>
  </si>
  <si>
    <t>Diamond Jubilee Pelham LLC</t>
  </si>
  <si>
    <t>Comfort Suites Greenville</t>
  </si>
  <si>
    <t xml:space="preserve">1371 Garlington Road </t>
  </si>
  <si>
    <t>Nauman Panjwani</t>
  </si>
  <si>
    <t>Sam Ali</t>
  </si>
  <si>
    <t>+1 (864) 275-7997</t>
  </si>
  <si>
    <t>Comfort Suites Grove City</t>
  </si>
  <si>
    <t xml:space="preserve">4200 Gantz Road </t>
  </si>
  <si>
    <t>Nick Fell</t>
  </si>
  <si>
    <t>+1 (614) 782-2930</t>
  </si>
  <si>
    <t>Comfort Suites Gwinnett Medical Center Area</t>
  </si>
  <si>
    <t xml:space="preserve">2225 Riverside Parkway </t>
  </si>
  <si>
    <t>Lawrenceville</t>
  </si>
  <si>
    <t>Moyo Avari</t>
  </si>
  <si>
    <t>+1 (678) 377-0003</t>
  </si>
  <si>
    <t>Comfort Suites Humble</t>
  </si>
  <si>
    <t xml:space="preserve">7502 North Sam Houston Parkway East </t>
  </si>
  <si>
    <t>Humble</t>
  </si>
  <si>
    <t>Pi Patel</t>
  </si>
  <si>
    <t>+1 (281) 458-2100</t>
  </si>
  <si>
    <t>Comfort Suites Independence - Kansas City</t>
  </si>
  <si>
    <t xml:space="preserve">19751 East Valley Parkway </t>
  </si>
  <si>
    <t>Josh Diehl</t>
  </si>
  <si>
    <t>+1 (816) 373-9880</t>
  </si>
  <si>
    <t>Comfort Suites Johnson Creek</t>
  </si>
  <si>
    <t xml:space="preserve">725 Paradise Lane </t>
  </si>
  <si>
    <t>Johnson Creek</t>
  </si>
  <si>
    <t>Miles Muckala</t>
  </si>
  <si>
    <t>+1 (920) 699-2800</t>
  </si>
  <si>
    <t>Comfort Suites Ocala</t>
  </si>
  <si>
    <t xml:space="preserve">3825 Northwest Blichton Road </t>
  </si>
  <si>
    <t>Debbie Sigler</t>
  </si>
  <si>
    <t>+1 (352) 482-0800</t>
  </si>
  <si>
    <t>Bravo Hospitality Management Group</t>
  </si>
  <si>
    <t>Comfort Suites O'Hare Airport</t>
  </si>
  <si>
    <t xml:space="preserve">4200 North River Road </t>
  </si>
  <si>
    <t>Eduardo Villalpando</t>
  </si>
  <si>
    <t>Torrey Owens</t>
  </si>
  <si>
    <t>+1 (847) 233-9000</t>
  </si>
  <si>
    <t>Comfort Suites Palm Bay - Melbourne</t>
  </si>
  <si>
    <t xml:space="preserve">1175 Malabar Road Northeast </t>
  </si>
  <si>
    <t>Palm Bay</t>
  </si>
  <si>
    <t>+1 (520) 257-3123</t>
  </si>
  <si>
    <t>Comfort Suites South</t>
  </si>
  <si>
    <t xml:space="preserve">7644 Caterpillar Court </t>
  </si>
  <si>
    <t>Pete Fedorchuck</t>
  </si>
  <si>
    <t>+1 (616) 301-2255</t>
  </si>
  <si>
    <t>Comfort Suites South Burlington</t>
  </si>
  <si>
    <t xml:space="preserve">1712 Shelburne Road </t>
  </si>
  <si>
    <t>S BURLINGTON</t>
  </si>
  <si>
    <t>Kim Northam</t>
  </si>
  <si>
    <t>Lisa Greer</t>
  </si>
  <si>
    <t>+ (802) 860-1112</t>
  </si>
  <si>
    <t>Comfort Suites Southport</t>
  </si>
  <si>
    <t xml:space="preserve">4125 Killdeer </t>
  </si>
  <si>
    <t>Gilbert Flores III</t>
  </si>
  <si>
    <t>kevin Oleksiyenko</t>
  </si>
  <si>
    <t>+1 (317)791-9610</t>
  </si>
  <si>
    <t>Comfort Suites Starkville</t>
  </si>
  <si>
    <t xml:space="preserve">801 Russell Street </t>
  </si>
  <si>
    <t>Starkville</t>
  </si>
  <si>
    <t>Sara Fisher</t>
  </si>
  <si>
    <t>+ (662) 324-9595</t>
  </si>
  <si>
    <t>Comfort Suites Waco</t>
  </si>
  <si>
    <t xml:space="preserve">810 North Interstate 35 North </t>
  </si>
  <si>
    <t>+1 (254) 799-7272</t>
  </si>
  <si>
    <t>Bhojani Realty Partnership LLC</t>
  </si>
  <si>
    <t>Comfort Suites Woodbridge</t>
  </si>
  <si>
    <t xml:space="preserve">1275 Route 1 &amp; 9 South </t>
  </si>
  <si>
    <t>Avenel</t>
  </si>
  <si>
    <t>Manuel Vemuri</t>
  </si>
  <si>
    <t>+1 (732) 396-3000</t>
  </si>
  <si>
    <t>Commerce Club Atlanta</t>
  </si>
  <si>
    <t>191 Peachtree street NE 49th Floor</t>
  </si>
  <si>
    <t>Chris Collins</t>
  </si>
  <si>
    <t>+ (404) 222-0191</t>
  </si>
  <si>
    <t>Commerce Hotel</t>
  </si>
  <si>
    <t xml:space="preserve">6121 East Telegraph Rd </t>
  </si>
  <si>
    <t>Commerce</t>
  </si>
  <si>
    <t>+1 (323) 728-3600</t>
  </si>
  <si>
    <t>Commerce Township TownePlace Suites</t>
  </si>
  <si>
    <t xml:space="preserve">199 Loop Road </t>
  </si>
  <si>
    <t>Commerce Township</t>
  </si>
  <si>
    <t>Nash Yousif</t>
  </si>
  <si>
    <t>+1 (248) 669-3200</t>
  </si>
  <si>
    <t>GOLF: Matrix Golf &amp; Hospitality</t>
  </si>
  <si>
    <t>Commonwealth National Golf Club</t>
  </si>
  <si>
    <t xml:space="preserve">250 Babylon Road </t>
  </si>
  <si>
    <t>David Heiser</t>
  </si>
  <si>
    <t>Joanne Mercadante</t>
  </si>
  <si>
    <t>+ (215) 672-4141</t>
  </si>
  <si>
    <t>Compass Cove Oceanfront Resort</t>
  </si>
  <si>
    <t xml:space="preserve">2311 South Ocean Boulevard </t>
  </si>
  <si>
    <t>Bill Pennauchi</t>
  </si>
  <si>
    <t>Dan Steege</t>
  </si>
  <si>
    <t>+1 (843) 448-8373</t>
  </si>
  <si>
    <t>Continental Golf Course</t>
  </si>
  <si>
    <t xml:space="preserve">7920 East Osborn Road </t>
  </si>
  <si>
    <t>Kyle Fitch</t>
  </si>
  <si>
    <t>Martin Haughian</t>
  </si>
  <si>
    <t>+1 (480) 941-1047</t>
  </si>
  <si>
    <t>Continuum</t>
  </si>
  <si>
    <t xml:space="preserve">3345 West Village Drive </t>
  </si>
  <si>
    <t>Nic Barger</t>
  </si>
  <si>
    <t>Damon Wilson</t>
  </si>
  <si>
    <t>+1 (307) 733-2311</t>
  </si>
  <si>
    <t>CHI Apalach LLC</t>
  </si>
  <si>
    <t>Coombs Inn Suites Ascend Hotel Collection</t>
  </si>
  <si>
    <t xml:space="preserve">80 6th Street </t>
  </si>
  <si>
    <t>Apalachicola</t>
  </si>
  <si>
    <t>Tracy Luke</t>
  </si>
  <si>
    <t>+1 (850) 653-9199</t>
  </si>
  <si>
    <t>Copley Square Hotel</t>
  </si>
  <si>
    <t xml:space="preserve">47 Huntington Ave </t>
  </si>
  <si>
    <t>Thomas Santaniello</t>
  </si>
  <si>
    <t>+ (617) 536-9000</t>
  </si>
  <si>
    <t>Coronado Island Marriott Resort</t>
  </si>
  <si>
    <t xml:space="preserve">2000 Second Street </t>
  </si>
  <si>
    <t>Coronado</t>
  </si>
  <si>
    <t>Amy Carey</t>
  </si>
  <si>
    <t>Jonathan Litvack</t>
  </si>
  <si>
    <t>+1 (619) 435-3000</t>
  </si>
  <si>
    <t>Corporativo Diamante Santa Fe</t>
  </si>
  <si>
    <t>Avenida Vasco de Quiroga 3900 Lomas de Santa Fe Cuajimalpa de Morelos</t>
  </si>
  <si>
    <t>Raul Martin</t>
  </si>
  <si>
    <t>+(55) 41-61-03-18</t>
  </si>
  <si>
    <t>Corporativo Diamante Toreo</t>
  </si>
  <si>
    <t>Avenida Rodolfo Gagna 3 Colonia: Lomas de Sotelo Miguel Hidalgo</t>
  </si>
  <si>
    <t>Cosmocrat Interlomas</t>
  </si>
  <si>
    <t>Avenida Jesus del Monte N 42 Colonia: Ex Hacienda de Las Palmas</t>
  </si>
  <si>
    <t>Huixquilucan De Degollado</t>
  </si>
  <si>
    <t>Costa Mesa Marriott</t>
  </si>
  <si>
    <t xml:space="preserve">500 Anton Boulevard </t>
  </si>
  <si>
    <t>Hector Santa Cruz</t>
  </si>
  <si>
    <t>+1(714)957-1100</t>
  </si>
  <si>
    <t>Costa Rica Marriott Hotel Hacienda Belen</t>
  </si>
  <si>
    <t xml:space="preserve">700 Metros Oeste De La Firestone </t>
  </si>
  <si>
    <t>Dennis Whitelaw</t>
  </si>
  <si>
    <t>Adriana Soto</t>
  </si>
  <si>
    <t>+1 (506) 298-0000</t>
  </si>
  <si>
    <t>Coto de Caza Golf &amp; Racquet Club</t>
  </si>
  <si>
    <t xml:space="preserve">25291 Vista Del Verde </t>
  </si>
  <si>
    <t>Coto De Caza</t>
  </si>
  <si>
    <t>Gordon Chow</t>
  </si>
  <si>
    <t>Kevitt Sale</t>
  </si>
  <si>
    <t>+ (949) 858-4100</t>
  </si>
  <si>
    <t>Country Club of Columbus</t>
  </si>
  <si>
    <t xml:space="preserve">2610 Cherokee Avenue </t>
  </si>
  <si>
    <t>Jay Rusch</t>
  </si>
  <si>
    <t>+ (706) 322-4441</t>
  </si>
  <si>
    <t>Country Club of Hilton Head</t>
  </si>
  <si>
    <t xml:space="preserve">70 Skull Creek DR </t>
  </si>
  <si>
    <t>Mark Turner</t>
  </si>
  <si>
    <t>+ (843) 681-2582</t>
  </si>
  <si>
    <t>Country Club of The South</t>
  </si>
  <si>
    <t xml:space="preserve">4100 Old Alabama RD </t>
  </si>
  <si>
    <t>Johns Creek</t>
  </si>
  <si>
    <t>Andrew Deyo</t>
  </si>
  <si>
    <t>Matt Albertario</t>
  </si>
  <si>
    <t>+ (770) 475-6779</t>
  </si>
  <si>
    <t xml:space="preserve">711 Diamond Jo Lane </t>
  </si>
  <si>
    <t>Samantha Bendickson</t>
  </si>
  <si>
    <t>+1 (641) 323-7000</t>
  </si>
  <si>
    <t>DDP Management LLC</t>
  </si>
  <si>
    <t>Country Inn &amp; Suites Brookings</t>
  </si>
  <si>
    <t xml:space="preserve">3000 LeFevre Drive </t>
  </si>
  <si>
    <t>Debra General Manager</t>
  </si>
  <si>
    <t>Hait Patel</t>
  </si>
  <si>
    <t>+1 (605) 692-3500</t>
  </si>
  <si>
    <t>New Era Hospitality Management LLC</t>
  </si>
  <si>
    <t>Country Inn &amp; Suites by Carlson - Camp Springs - Andrews Air Force Base</t>
  </si>
  <si>
    <t xml:space="preserve">4950 Mercedes Boulevard </t>
  </si>
  <si>
    <t>Camp Springs</t>
  </si>
  <si>
    <t>Kalpesh Patel</t>
  </si>
  <si>
    <t>+1 (240) 492-1070</t>
  </si>
  <si>
    <t>Mangat Hospitality Inc.</t>
  </si>
  <si>
    <t>Country Inn &amp; Suites By Carlson Austin North</t>
  </si>
  <si>
    <t xml:space="preserve">14620 North IH 35 </t>
  </si>
  <si>
    <t>Vikas Sharma</t>
  </si>
  <si>
    <t>+1 (512) 251-3259</t>
  </si>
  <si>
    <t>Milan Hotel Group</t>
  </si>
  <si>
    <t>Country Inn &amp; Suites By Carlson Asheville Downtown Tunnel Road Biltmore Estate</t>
  </si>
  <si>
    <t xml:space="preserve">199 Tunnel Road </t>
  </si>
  <si>
    <t>Kasi Mintz</t>
  </si>
  <si>
    <t>+1 (828) 254-4311</t>
  </si>
  <si>
    <t>Country Inn &amp; Suites By Carlson Atlanta Downtown South at Turner Field GA</t>
  </si>
  <si>
    <t xml:space="preserve">759 Pollard Boulevard </t>
  </si>
  <si>
    <t>+1 (404) 658-1961</t>
  </si>
  <si>
    <t>Country Inn &amp; Suites By Carlson Lincoln North Hotel and Conference Center NE</t>
  </si>
  <si>
    <t xml:space="preserve">5353 North 27th Street </t>
  </si>
  <si>
    <t>Kendrick Carter</t>
  </si>
  <si>
    <t>+1 (402) 476-5353</t>
  </si>
  <si>
    <t>Country Inn &amp; Suites by Carlson Minneapolis West MN</t>
  </si>
  <si>
    <t xml:space="preserve">210 Carlson Parkway North </t>
  </si>
  <si>
    <t>Country Hearth Inn</t>
  </si>
  <si>
    <t>Katie Mastel</t>
  </si>
  <si>
    <t>+1 (763) 473-3008</t>
  </si>
  <si>
    <t>1970 Hinesville LLC</t>
  </si>
  <si>
    <t>Country Inn &amp; Suites by Radisson Hinesville GA</t>
  </si>
  <si>
    <t xml:space="preserve">742 General Stewart Way </t>
  </si>
  <si>
    <t>Hinesville</t>
  </si>
  <si>
    <t>Jitendrakumar Patel</t>
  </si>
  <si>
    <t>+1 (252) 399-9042</t>
  </si>
  <si>
    <t>Country Inn &amp; Suites by Radisson Houghton MI</t>
  </si>
  <si>
    <t xml:space="preserve">919 Razorback Drive </t>
  </si>
  <si>
    <t>Houghton</t>
  </si>
  <si>
    <t>Tauna Happner</t>
  </si>
  <si>
    <t>+1 (906) 487-6700</t>
  </si>
  <si>
    <t>Country Inn &amp; Suites Cincinnati Airport</t>
  </si>
  <si>
    <t xml:space="preserve">759 Petersburg Road </t>
  </si>
  <si>
    <t>Hebron</t>
  </si>
  <si>
    <t>Brandi Bales</t>
  </si>
  <si>
    <t>Mike Kimerline</t>
  </si>
  <si>
    <t>+1 (859) 689-0700</t>
  </si>
  <si>
    <t>Country Inn &amp; Suites Fond du Lac</t>
  </si>
  <si>
    <t xml:space="preserve">121 Merwin Way </t>
  </si>
  <si>
    <t>Fond Du lac</t>
  </si>
  <si>
    <t>+1(920) 924-8800</t>
  </si>
  <si>
    <t>Country Inn &amp; Suites Green Bay</t>
  </si>
  <si>
    <t xml:space="preserve">2945 Allied Street </t>
  </si>
  <si>
    <t>Green Bay</t>
  </si>
  <si>
    <t>Lee Feuerstein</t>
  </si>
  <si>
    <t>+1 (920) 336-6600</t>
  </si>
  <si>
    <t>Country Inn &amp; Suites Humble</t>
  </si>
  <si>
    <t xml:space="preserve">20611 Highway 59 N </t>
  </si>
  <si>
    <t>Fran McCullah</t>
  </si>
  <si>
    <t>+1 (281) 446-4977</t>
  </si>
  <si>
    <t>Country Inn &amp; Suites Orangeburg</t>
  </si>
  <si>
    <t xml:space="preserve">731 Citadel Road </t>
  </si>
  <si>
    <t>Orangeburg</t>
  </si>
  <si>
    <t>Anne Gregory</t>
  </si>
  <si>
    <t>Cathy Link Page</t>
  </si>
  <si>
    <t>+1 (803) 928-5300</t>
  </si>
  <si>
    <t>Country Inn &amp; Suites Pella</t>
  </si>
  <si>
    <t xml:space="preserve">315 Roosevelt Road </t>
  </si>
  <si>
    <t>Pella</t>
  </si>
  <si>
    <t>Erica Gaede</t>
  </si>
  <si>
    <t>+1 (641) 620-1111</t>
  </si>
  <si>
    <t>Gateway Private Equity Group LLC</t>
  </si>
  <si>
    <t>Country Inn &amp; Suites Phoenix Chandler</t>
  </si>
  <si>
    <t xml:space="preserve">7425 West Chandler Boulevard </t>
  </si>
  <si>
    <t>Duane Cristion</t>
  </si>
  <si>
    <t>+1 (480) 940-0099</t>
  </si>
  <si>
    <t>Country Inn &amp; Suites Stone Mountain</t>
  </si>
  <si>
    <t xml:space="preserve">1852 Rockbridge Road SW </t>
  </si>
  <si>
    <t>+1 (770) 465-6515</t>
  </si>
  <si>
    <t>Country Inn &amp; Suites Summerville</t>
  </si>
  <si>
    <t xml:space="preserve">220 Holiday Drive </t>
  </si>
  <si>
    <t>Priscilla Price</t>
  </si>
  <si>
    <t>+(843) 285-9000</t>
  </si>
  <si>
    <t>Country Inn &amp; Suites Tinley Park</t>
  </si>
  <si>
    <t xml:space="preserve">18315 South La Grange Road </t>
  </si>
  <si>
    <t>Tinley Park</t>
  </si>
  <si>
    <t>Eric Wahrman</t>
  </si>
  <si>
    <t>Paul Jerantowski</t>
  </si>
  <si>
    <t>+1 (708) 560-9300</t>
  </si>
  <si>
    <t>Ruffin Holdings Inc.</t>
  </si>
  <si>
    <t>Country Inn &amp; Suites Wichita East</t>
  </si>
  <si>
    <t xml:space="preserve">333 South Webb Road </t>
  </si>
  <si>
    <t>Brad Culp</t>
  </si>
  <si>
    <t>Karl Kahihikolo</t>
  </si>
  <si>
    <t>+ (316) 685-3777</t>
  </si>
  <si>
    <t>Countryside Country Club</t>
  </si>
  <si>
    <t xml:space="preserve">3001 Countryside BLVD </t>
  </si>
  <si>
    <t>Aaron Lucas</t>
  </si>
  <si>
    <t>+ (727) 796-2153</t>
  </si>
  <si>
    <t>Talisker Club 2.0 LLC</t>
  </si>
  <si>
    <t>Courchevel a Talisker Club Bistro</t>
  </si>
  <si>
    <t xml:space="preserve">201 Heber Avenue </t>
  </si>
  <si>
    <t>John Corebett</t>
  </si>
  <si>
    <t>+1 (435) 731-7908</t>
  </si>
  <si>
    <t>Courtyard - Glenwood Springs</t>
  </si>
  <si>
    <t xml:space="preserve">105 Wulfsohn Road </t>
  </si>
  <si>
    <t>Glenwood Springs</t>
  </si>
  <si>
    <t>Kevin Kennedy</t>
  </si>
  <si>
    <t xml:space="preserve">+1 (970) 947-1300 </t>
  </si>
  <si>
    <t>Courtyard Mexico City Vallejo</t>
  </si>
  <si>
    <t xml:space="preserve">Calzada Vallejo (Eje Pte 1) 1090 Col Cruz de las </t>
  </si>
  <si>
    <t xml:space="preserve">Mexico City </t>
  </si>
  <si>
    <t>Cristina Riba</t>
  </si>
  <si>
    <t>Courtyard &amp; Fairfield Inn Dallas Market Center</t>
  </si>
  <si>
    <t xml:space="preserve">2150 Market Center Boulevard </t>
  </si>
  <si>
    <t>Christa Flatt</t>
  </si>
  <si>
    <t>+1 (214) 653-1166</t>
  </si>
  <si>
    <t>Courtyard &amp; Residence Inn Los Angeles Downtown</t>
  </si>
  <si>
    <t xml:space="preserve">901 West Olympic Boulevard </t>
  </si>
  <si>
    <t>Andrea Knowles</t>
  </si>
  <si>
    <t>Justin Tardo</t>
  </si>
  <si>
    <t>+1 (213) 443-9200</t>
  </si>
  <si>
    <t>Courtyard &amp; Residence Inn Washington Downtown Convention Center</t>
  </si>
  <si>
    <t xml:space="preserve">901 L Street Northwest </t>
  </si>
  <si>
    <t>Donavon McDaniel</t>
  </si>
  <si>
    <t>Togi Mahdere</t>
  </si>
  <si>
    <t>+1 (202) 589-1800</t>
  </si>
  <si>
    <t>Easton's Group of Hotels Inc.</t>
  </si>
  <si>
    <t>Courtyard &amp; TownePlace by Marriott Toronto Northeast Markham</t>
  </si>
  <si>
    <t xml:space="preserve">7095 Woodbine Avenue </t>
  </si>
  <si>
    <t>Markham</t>
  </si>
  <si>
    <t>L3R 1A3</t>
  </si>
  <si>
    <t>Craig Cassidy</t>
  </si>
  <si>
    <t>Rajani Kombiyil</t>
  </si>
  <si>
    <t>+1 (905) 307-2030</t>
  </si>
  <si>
    <t>Courtyard Aberdeen</t>
  </si>
  <si>
    <t xml:space="preserve">830 Long Drive </t>
  </si>
  <si>
    <t>Edyta Milonas</t>
  </si>
  <si>
    <t>Shelia Bridges</t>
  </si>
  <si>
    <t>+1 (410) 272-0440</t>
  </si>
  <si>
    <t>Courtyard Abilene</t>
  </si>
  <si>
    <t xml:space="preserve">4350 Ridgemont Drive </t>
  </si>
  <si>
    <t>Abilene</t>
  </si>
  <si>
    <t>Crystal Rangel</t>
  </si>
  <si>
    <t>+1 (325) 695-9600</t>
  </si>
  <si>
    <t>Courtyard Abilene Northeast</t>
  </si>
  <si>
    <t xml:space="preserve">2141 Scottish Road </t>
  </si>
  <si>
    <t>Darla Yarbrough</t>
  </si>
  <si>
    <t>Melissa Lara</t>
  </si>
  <si>
    <t>+1 (325) 673-0400</t>
  </si>
  <si>
    <t>Courtyard Aguadilla</t>
  </si>
  <si>
    <t xml:space="preserve">200 West Parade Road </t>
  </si>
  <si>
    <t>Aguadilla</t>
  </si>
  <si>
    <t>Roy Perez</t>
  </si>
  <si>
    <t>Tomas Velez</t>
  </si>
  <si>
    <t>+1 (787) 891-9191</t>
  </si>
  <si>
    <t>Courtyard Airport - Earth City</t>
  </si>
  <si>
    <t xml:space="preserve">3101 Rider Trail South </t>
  </si>
  <si>
    <t>Amanda Michael</t>
  </si>
  <si>
    <t>(314) 209-1000</t>
  </si>
  <si>
    <t xml:space="preserve">Courtyard Albany Thruway </t>
  </si>
  <si>
    <t xml:space="preserve">1455 Washington Avenue </t>
  </si>
  <si>
    <t>Creed Morgan</t>
  </si>
  <si>
    <t>+ (518) 435-1600</t>
  </si>
  <si>
    <t>Courtyard Albany Troy Waterfront</t>
  </si>
  <si>
    <t xml:space="preserve">515 River Street </t>
  </si>
  <si>
    <t>Andy Kennedy</t>
  </si>
  <si>
    <t>+1(518)240-1000</t>
  </si>
  <si>
    <t>Courtyard Albany Wolf Road (Dual Property)</t>
  </si>
  <si>
    <t xml:space="preserve">227 Wolf Road </t>
  </si>
  <si>
    <t>Colonie</t>
  </si>
  <si>
    <t>Tina Rollins</t>
  </si>
  <si>
    <t>Jennette Go</t>
  </si>
  <si>
    <t>+1 (518) 319-8700</t>
  </si>
  <si>
    <t>Courtyard Albuquerque</t>
  </si>
  <si>
    <t xml:space="preserve">5151 Journal Center Boulevard </t>
  </si>
  <si>
    <t>Molly Stevens</t>
  </si>
  <si>
    <t>+1 (505) 823-1919</t>
  </si>
  <si>
    <t>Courtyard Albuquerque Airport</t>
  </si>
  <si>
    <t xml:space="preserve">1920 Yale Boulevard </t>
  </si>
  <si>
    <t>Chris Vanzele</t>
  </si>
  <si>
    <t>Shannon Walker</t>
  </si>
  <si>
    <t>(505) 843-6600</t>
  </si>
  <si>
    <t>Courtyard Alexandria</t>
  </si>
  <si>
    <t xml:space="preserve">2700 Eisenhower Avenue </t>
  </si>
  <si>
    <t>Lizza Carter</t>
  </si>
  <si>
    <t>(703) 329-2323</t>
  </si>
  <si>
    <t>Courtyard Alexandria (Louisiana)</t>
  </si>
  <si>
    <t xml:space="preserve">3830 Alexandria Mall Drive </t>
  </si>
  <si>
    <t>Tim Murray</t>
  </si>
  <si>
    <t>+1 (318) 445-2415</t>
  </si>
  <si>
    <t>Courtyard Alpharetta Atlanta</t>
  </si>
  <si>
    <t xml:space="preserve">12655 Deerfield Parkway </t>
  </si>
  <si>
    <t>Maria Trujillo</t>
  </si>
  <si>
    <t>Sal Capriola</t>
  </si>
  <si>
    <t>(678) 366-3360</t>
  </si>
  <si>
    <t>Courtyard Ames</t>
  </si>
  <si>
    <t xml:space="preserve">311 South 17th Street </t>
  </si>
  <si>
    <t>Kodi Dobbins</t>
  </si>
  <si>
    <t>+1 (515) 620-5910</t>
  </si>
  <si>
    <t>Jim Edmondson</t>
  </si>
  <si>
    <t>Courtyard Anaheim Theme Park Entrance</t>
  </si>
  <si>
    <t xml:space="preserve">1420 South Harbor Boulevard </t>
  </si>
  <si>
    <t>Holiday</t>
  </si>
  <si>
    <t>Bill Cleaver</t>
  </si>
  <si>
    <t>Matt Stanley</t>
  </si>
  <si>
    <t>+1 (714) 254-1442</t>
  </si>
  <si>
    <t>Courtyard Anchorage Airport</t>
  </si>
  <si>
    <t xml:space="preserve">4901 Spenard Road </t>
  </si>
  <si>
    <t>Josh Yelle</t>
  </si>
  <si>
    <t>+ (907) 245-0322</t>
  </si>
  <si>
    <t>Courtyard Andover</t>
  </si>
  <si>
    <t xml:space="preserve">10 Campanelli Drive </t>
  </si>
  <si>
    <t>Martin Horkan</t>
  </si>
  <si>
    <t>(978) 794-0700</t>
  </si>
  <si>
    <t>Courtyard Annapolis</t>
  </si>
  <si>
    <t xml:space="preserve">2559 Riva Road </t>
  </si>
  <si>
    <t>Shenae Moulden</t>
  </si>
  <si>
    <t>Caresse Mitchell</t>
  </si>
  <si>
    <t>(410) 266-1555</t>
  </si>
  <si>
    <t>Courtyard Anniston Oxford</t>
  </si>
  <si>
    <t xml:space="preserve">289 Colonial Drive </t>
  </si>
  <si>
    <t>Ashley Neumann</t>
  </si>
  <si>
    <t>+ 1 (256) 831-7995</t>
  </si>
  <si>
    <t>Courtyard Ardmore</t>
  </si>
  <si>
    <t xml:space="preserve">2025 North Rockford Road </t>
  </si>
  <si>
    <t>Ardmore</t>
  </si>
  <si>
    <t xml:space="preserve">Jeanna Foster </t>
  </si>
  <si>
    <t>Myles Perry</t>
  </si>
  <si>
    <t>+1(580)224-2764</t>
  </si>
  <si>
    <t>Courtyard Arlington</t>
  </si>
  <si>
    <t xml:space="preserve">1500 Nolan Ryan Expressway </t>
  </si>
  <si>
    <t>Brian Foose</t>
  </si>
  <si>
    <t>Skylar Smallwood</t>
  </si>
  <si>
    <t>(817) 277-2774</t>
  </si>
  <si>
    <t>Cooperative Vereniging Van Appartementseigenaren The Mill Resort &amp; Suites</t>
  </si>
  <si>
    <t>Courtyard Aruba Palm Beach Resort</t>
  </si>
  <si>
    <t xml:space="preserve">J.E. Irausquin Blvd 330 </t>
  </si>
  <si>
    <t>Judith Bakos</t>
  </si>
  <si>
    <t>Lillian Britten</t>
  </si>
  <si>
    <t>+1(297)586-7700</t>
  </si>
  <si>
    <t>Courtyard Asheville</t>
  </si>
  <si>
    <t xml:space="preserve">1 Buckstone Place </t>
  </si>
  <si>
    <t>Christina Hernandez</t>
  </si>
  <si>
    <t xml:space="preserve">Caitlyn Ihnat </t>
  </si>
  <si>
    <t>+ (828) 281-0041</t>
  </si>
  <si>
    <t>Courtyard Asheville Biltmore Village</t>
  </si>
  <si>
    <t xml:space="preserve">26 Meadow Road </t>
  </si>
  <si>
    <t>Bogulmil Stys</t>
  </si>
  <si>
    <t>+1(828 )782-5000</t>
  </si>
  <si>
    <t>Courtyard Atlanta Airport South</t>
  </si>
  <si>
    <t xml:space="preserve">2050 Sullivan Road </t>
  </si>
  <si>
    <t>Lori Larson</t>
  </si>
  <si>
    <t>Artheia Blakeney</t>
  </si>
  <si>
    <t>(770) 997-2220</t>
  </si>
  <si>
    <t>Courtyard Atlanta Downtown</t>
  </si>
  <si>
    <t xml:space="preserve">133 Carnegie Way </t>
  </si>
  <si>
    <t>Katie Pizzurro</t>
  </si>
  <si>
    <t>Ivan Sidorjak</t>
  </si>
  <si>
    <t>+1 (404) 222-2416</t>
  </si>
  <si>
    <t>Courtyard Atlanta Duluth Gwinnett Place</t>
  </si>
  <si>
    <t xml:space="preserve">3550 Venture Parkway </t>
  </si>
  <si>
    <t>Kevins Dorce</t>
  </si>
  <si>
    <t>(770) 476-4666</t>
  </si>
  <si>
    <t>Courtyard Atlanta Executive Park</t>
  </si>
  <si>
    <t xml:space="preserve">1236 Executive Park Drive </t>
  </si>
  <si>
    <t>Caridad Rojas</t>
  </si>
  <si>
    <t>Jerry Paylor</t>
  </si>
  <si>
    <t>(404) 728-0708</t>
  </si>
  <si>
    <t>Courtyard Atlanta Kennesaw</t>
  </si>
  <si>
    <t xml:space="preserve">540 Greer's Chapel Drive </t>
  </si>
  <si>
    <t>Barrett Parkway</t>
  </si>
  <si>
    <t>Adam Vickers</t>
  </si>
  <si>
    <t>Love Freeman</t>
  </si>
  <si>
    <t>+1 (770) 635-4700</t>
  </si>
  <si>
    <t>Courtyard Atlanta Lithia Springs</t>
  </si>
  <si>
    <t xml:space="preserve">895 Bob Arnold Boulevard </t>
  </si>
  <si>
    <t>Lithia Springs</t>
  </si>
  <si>
    <t>+1 (770) 635-6500</t>
  </si>
  <si>
    <t>Courtyard Atlanta NE Duluth Sugarloaf</t>
  </si>
  <si>
    <t xml:space="preserve">1948 Satellite Boulevard </t>
  </si>
  <si>
    <t>Christine Phillips</t>
  </si>
  <si>
    <t>+1 (770) 622-6427</t>
  </si>
  <si>
    <t>Courtyard Atlanta Norcross - Peachtree Corners</t>
  </si>
  <si>
    <t xml:space="preserve">3209 Holcomb Bridge Road </t>
  </si>
  <si>
    <t>Annie Hall</t>
  </si>
  <si>
    <t>+1 (770) 446-3777</t>
  </si>
  <si>
    <t>Courtyard Atlanta Perimeter Ctr</t>
  </si>
  <si>
    <t xml:space="preserve">6250 Peachtree-Dunwoody Rd </t>
  </si>
  <si>
    <t>Jerry Clement</t>
  </si>
  <si>
    <t>Resi Kowski</t>
  </si>
  <si>
    <t>(770) 393-1000</t>
  </si>
  <si>
    <t>LRP Hotels LLC</t>
  </si>
  <si>
    <t>Courtyard Atlanta Suwanee</t>
  </si>
  <si>
    <t xml:space="preserve">310 Celebration Drive </t>
  </si>
  <si>
    <t>Suwanee</t>
  </si>
  <si>
    <t>Waz Gran</t>
  </si>
  <si>
    <t>+1 (770) 831-7473</t>
  </si>
  <si>
    <t>Courtyard Atlanta Vinings</t>
  </si>
  <si>
    <t xml:space="preserve">2829 Overlook Parkway SE </t>
  </si>
  <si>
    <t>Eric Gray</t>
  </si>
  <si>
    <t>+(770)436-8300</t>
  </si>
  <si>
    <t>Courtyard Atlanta Windy Hill-Ballpark</t>
  </si>
  <si>
    <t xml:space="preserve">2045 South Park Place Northwest </t>
  </si>
  <si>
    <t>Don Griffin</t>
  </si>
  <si>
    <t>Donique Jackson</t>
  </si>
  <si>
    <t>+1 (770) 955-3838</t>
  </si>
  <si>
    <t>Courtyard Auburn</t>
  </si>
  <si>
    <t xml:space="preserve">2420 West Pace Boulevard </t>
  </si>
  <si>
    <t>Auburn</t>
  </si>
  <si>
    <t>+1(334) 502-0111</t>
  </si>
  <si>
    <t>Courtyard Augusta</t>
  </si>
  <si>
    <t xml:space="preserve">1045 Stevens Creek Road </t>
  </si>
  <si>
    <t>Brigid Creamer</t>
  </si>
  <si>
    <t>Scott Jacobi</t>
  </si>
  <si>
    <t>(706) 737-3737</t>
  </si>
  <si>
    <t>Austin C Arboretum Opco LP (Falcon Group)</t>
  </si>
  <si>
    <t>Courtyard Austin Arboretum NW</t>
  </si>
  <si>
    <t xml:space="preserve">9409 Stonelake BLVD </t>
  </si>
  <si>
    <t>Katie Owens</t>
  </si>
  <si>
    <t>+ (512) 502-8100</t>
  </si>
  <si>
    <t>Courtyard Austin North</t>
  </si>
  <si>
    <t xml:space="preserve">12330 North IH-35 </t>
  </si>
  <si>
    <t>78753-1301</t>
  </si>
  <si>
    <t>Adam White</t>
  </si>
  <si>
    <t>+ (512) 339-8374</t>
  </si>
  <si>
    <t>Courtyard Austin Round Rock</t>
  </si>
  <si>
    <t xml:space="preserve">2700 Hoppe Trail </t>
  </si>
  <si>
    <t>Veronica Baita</t>
  </si>
  <si>
    <t>+1 (512) 255-5551</t>
  </si>
  <si>
    <t>Courtyard Austin-University Area</t>
  </si>
  <si>
    <t xml:space="preserve">5660 North Interstate Highway 35 </t>
  </si>
  <si>
    <t>Misty Berry</t>
  </si>
  <si>
    <t>+1 (512) 458-2340</t>
  </si>
  <si>
    <t>Courtyard Bakersfield</t>
  </si>
  <si>
    <t xml:space="preserve">3601 Marriott Drive </t>
  </si>
  <si>
    <t>Jenny Hlaudy</t>
  </si>
  <si>
    <t>Kasie Heath</t>
  </si>
  <si>
    <t>(661) 324-6660</t>
  </si>
  <si>
    <t>Courtyard Baltimore Airport</t>
  </si>
  <si>
    <t xml:space="preserve">1671 West Nursery Road </t>
  </si>
  <si>
    <t>Dominic Cirri</t>
  </si>
  <si>
    <t>Joseph LaMartina</t>
  </si>
  <si>
    <t>(410) 859-8855</t>
  </si>
  <si>
    <t>Courtyard Baltimore Hunt Valley</t>
  </si>
  <si>
    <t xml:space="preserve">221 International Circle </t>
  </si>
  <si>
    <t>Hunt Valley</t>
  </si>
  <si>
    <t>Len Goodman</t>
  </si>
  <si>
    <t>Ashley Davis</t>
  </si>
  <si>
    <t>+(410)584-7070</t>
  </si>
  <si>
    <t>Courtyard Baltimore Inner Harbor</t>
  </si>
  <si>
    <t xml:space="preserve">1000 Aliceanna Street </t>
  </si>
  <si>
    <t>Andrea Carter</t>
  </si>
  <si>
    <t>Patrick Miner</t>
  </si>
  <si>
    <t>+ (443) 923-4000</t>
  </si>
  <si>
    <t>Courtyard Basking Ridge</t>
  </si>
  <si>
    <t xml:space="preserve">595 Martinsville Road </t>
  </si>
  <si>
    <t>Kasia Fernandez</t>
  </si>
  <si>
    <t>Richard Haviland</t>
  </si>
  <si>
    <t>(908) 542-0300</t>
  </si>
  <si>
    <t>Courtyard Baton Rouge Acadian Thruway LSU</t>
  </si>
  <si>
    <t xml:space="preserve">2421 South Acadian Thruway </t>
  </si>
  <si>
    <t>Troy Chontas</t>
  </si>
  <si>
    <t>Courtyard Baton Rouge</t>
  </si>
  <si>
    <t>+(225)924-6400</t>
  </si>
  <si>
    <t>SMC Hotels LP</t>
  </si>
  <si>
    <t>Courtyard Bentonville</t>
  </si>
  <si>
    <t xml:space="preserve">1001 McClain Road </t>
  </si>
  <si>
    <t>Carissa Thompson</t>
  </si>
  <si>
    <t>+ (479) 273-3333</t>
  </si>
  <si>
    <t>Courtyard Bethlehem Lehigh Valley I-78</t>
  </si>
  <si>
    <t xml:space="preserve">2220 Emrick Road </t>
  </si>
  <si>
    <t>Simone Lavery</t>
  </si>
  <si>
    <t>Darin Levine</t>
  </si>
  <si>
    <t>+1 (610) 625-9500</t>
  </si>
  <si>
    <t>Courtyard Biloxi North D'Iberville</t>
  </si>
  <si>
    <t xml:space="preserve">11471 Cinema Drive </t>
  </si>
  <si>
    <t>D'Iberville</t>
  </si>
  <si>
    <t>Leanna Houston</t>
  </si>
  <si>
    <t>+1 (228) 392-1200</t>
  </si>
  <si>
    <t>Rudra Management</t>
  </si>
  <si>
    <t>Courtyard Binghamton</t>
  </si>
  <si>
    <t xml:space="preserve">3801 Vestal Parkway East </t>
  </si>
  <si>
    <t>Julie GM</t>
  </si>
  <si>
    <t>+1 (607) 644-1000</t>
  </si>
  <si>
    <t>Courtyard Birmingham Downtown UAB</t>
  </si>
  <si>
    <t xml:space="preserve">1820 5th Avenue South </t>
  </si>
  <si>
    <t>Charles Wilson</t>
  </si>
  <si>
    <t>Sheila Cruikshank</t>
  </si>
  <si>
    <t>+1 (205) 254-0004</t>
  </si>
  <si>
    <t>Courtyard Birmingham Homewood</t>
  </si>
  <si>
    <t xml:space="preserve">500 Shades Creek Parkway </t>
  </si>
  <si>
    <t>Abbey Vin Zant</t>
  </si>
  <si>
    <t>Amber Hoffman</t>
  </si>
  <si>
    <t>(205) 879-0400</t>
  </si>
  <si>
    <t>Courtyard Blue Ash</t>
  </si>
  <si>
    <t xml:space="preserve">4625 Lake Forest Drive </t>
  </si>
  <si>
    <t>Blue Ash</t>
  </si>
  <si>
    <t>Michelle Nicht</t>
  </si>
  <si>
    <t>Pete Pordash</t>
  </si>
  <si>
    <t>(513) 733-4334</t>
  </si>
  <si>
    <t>Courtyard Blue Springs</t>
  </si>
  <si>
    <t xml:space="preserve">1500 NE Coronado Drive </t>
  </si>
  <si>
    <t>Sarah Hobbs</t>
  </si>
  <si>
    <t>Jacque Miller</t>
  </si>
  <si>
    <t>+ (816) 228-8100</t>
  </si>
  <si>
    <t>Courtyard Bonaire</t>
  </si>
  <si>
    <t xml:space="preserve">Kaya Internacional 2 </t>
  </si>
  <si>
    <t>Kralendijk</t>
  </si>
  <si>
    <t>BON</t>
  </si>
  <si>
    <t>Bonaire</t>
  </si>
  <si>
    <t>Nelson Ruiz</t>
  </si>
  <si>
    <t>+1(599)715-2222</t>
  </si>
  <si>
    <t>Courtyard Boone</t>
  </si>
  <si>
    <t xml:space="preserve">1050 Hwy 105 </t>
  </si>
  <si>
    <t>Adams</t>
  </si>
  <si>
    <t>Jessica Auten</t>
  </si>
  <si>
    <t>+1 (828) 265-7676</t>
  </si>
  <si>
    <t>Courtyard Bossier City</t>
  </si>
  <si>
    <t xml:space="preserve">100 Boardwalk Boulevard </t>
  </si>
  <si>
    <t>Bossier City</t>
  </si>
  <si>
    <t>Carla Levingston</t>
  </si>
  <si>
    <t>Denise Troutman</t>
  </si>
  <si>
    <t>+ (318) 742-8300</t>
  </si>
  <si>
    <t>Courtyard Boston Billerica</t>
  </si>
  <si>
    <t xml:space="preserve">270 Concord Road </t>
  </si>
  <si>
    <t>Billerica</t>
  </si>
  <si>
    <t>Caitlin Blouin</t>
  </si>
  <si>
    <t>+ (978) 670-7500</t>
  </si>
  <si>
    <t>Courtyard Boston Copley Square</t>
  </si>
  <si>
    <t xml:space="preserve">88 Exeter Street </t>
  </si>
  <si>
    <t>+1 (617) 437-9300</t>
  </si>
  <si>
    <t>Courtyard Boston Dedham - Westwood</t>
  </si>
  <si>
    <t xml:space="preserve">64 University Avenue </t>
  </si>
  <si>
    <t>Westwood</t>
  </si>
  <si>
    <t>Mildre Gonzalez</t>
  </si>
  <si>
    <t>+1 (781) 467-1252</t>
  </si>
  <si>
    <t>Courtyard Boston Norwood</t>
  </si>
  <si>
    <t xml:space="preserve">300 River Ridge Drive </t>
  </si>
  <si>
    <t>Norwood</t>
  </si>
  <si>
    <t>Jillian Paulitzky</t>
  </si>
  <si>
    <t>Anne Morris</t>
  </si>
  <si>
    <t>(781) 762-4700</t>
  </si>
  <si>
    <t>Courtyard Boston Raynham</t>
  </si>
  <si>
    <t>37 Paramount Drive Route 44</t>
  </si>
  <si>
    <t>Raynham</t>
  </si>
  <si>
    <t>Bob Jackson</t>
  </si>
  <si>
    <t>Aishani Karani</t>
  </si>
  <si>
    <t>+ (508) 822-8383</t>
  </si>
  <si>
    <t>Courtyard Boston Westborough</t>
  </si>
  <si>
    <t xml:space="preserve">3 Technology Drive </t>
  </si>
  <si>
    <t>Westborough</t>
  </si>
  <si>
    <t>Joseph Correia</t>
  </si>
  <si>
    <t>+1 (508) 836-4800</t>
  </si>
  <si>
    <t>Courtyard Boulder</t>
  </si>
  <si>
    <t xml:space="preserve">4710 Pearl East Circle </t>
  </si>
  <si>
    <t>Fred Warren</t>
  </si>
  <si>
    <t>Kulli Must-Saradzic</t>
  </si>
  <si>
    <t>(303) 440-4700</t>
  </si>
  <si>
    <t>Boulder C LV Opco LLC (Falcon Group)</t>
  </si>
  <si>
    <t>Courtyard Boulder Louisville</t>
  </si>
  <si>
    <t xml:space="preserve">948 West Dillon Road </t>
  </si>
  <si>
    <t>Stephen (Dual GM) Wenzel</t>
  </si>
  <si>
    <t>+ (303) 604-0007</t>
  </si>
  <si>
    <t>Hospitality Development Company Inc.</t>
  </si>
  <si>
    <t>Courtyard Bowie</t>
  </si>
  <si>
    <t xml:space="preserve">16800 Science Drive </t>
  </si>
  <si>
    <t>Bowie</t>
  </si>
  <si>
    <t>Dexter Pagara</t>
  </si>
  <si>
    <t>+()240-544-1400</t>
  </si>
  <si>
    <t>Courtyard Bowling Green</t>
  </si>
  <si>
    <t xml:space="preserve">1010 Wilkinson Trace </t>
  </si>
  <si>
    <t>Alyson Branstetter</t>
  </si>
  <si>
    <t>Lori Edwards</t>
  </si>
  <si>
    <t>+1 (270) 783-8569</t>
  </si>
  <si>
    <t>Capital Management Inc.</t>
  </si>
  <si>
    <t>Courtyard Briarcliff</t>
  </si>
  <si>
    <t xml:space="preserve">4000 North Mulberry Drive </t>
  </si>
  <si>
    <t>Joshua Francis</t>
  </si>
  <si>
    <t>+ (816) 841-3300</t>
  </si>
  <si>
    <t xml:space="preserve">Shaner Investments Hotel Management L.P. </t>
  </si>
  <si>
    <t>Courtyard Bridgeport Clarksburg</t>
  </si>
  <si>
    <t xml:space="preserve">30 Shaner Drive </t>
  </si>
  <si>
    <t>Michelle West</t>
  </si>
  <si>
    <t>+1 (304) 842-0444</t>
  </si>
  <si>
    <t>Courtyard Broadway</t>
  </si>
  <si>
    <t xml:space="preserve">1351 21st Avenue North </t>
  </si>
  <si>
    <t>Terry Harrelson</t>
  </si>
  <si>
    <t>(843) 445-6333</t>
  </si>
  <si>
    <t>Courtyard Brookline</t>
  </si>
  <si>
    <t xml:space="preserve">40 Webster St </t>
  </si>
  <si>
    <t>Brookline</t>
  </si>
  <si>
    <t>Jen Paro</t>
  </si>
  <si>
    <t>+1 (617) 734-1393</t>
  </si>
  <si>
    <t>Courtyard Brownsville</t>
  </si>
  <si>
    <t xml:space="preserve">3955 North Expressway 7783 </t>
  </si>
  <si>
    <t>BROWNSVILLE</t>
  </si>
  <si>
    <t>Sandra Serna</t>
  </si>
  <si>
    <t>+ 1 (956) 3504600</t>
  </si>
  <si>
    <t>Courtyard Brunswick</t>
  </si>
  <si>
    <t xml:space="preserve">580 Millennium Boulevard </t>
  </si>
  <si>
    <t>Nelly Quinon</t>
  </si>
  <si>
    <t>+1 (912) 265-2644</t>
  </si>
  <si>
    <t>Courtyard Buena Park</t>
  </si>
  <si>
    <t xml:space="preserve">7621 Beach Boulevard </t>
  </si>
  <si>
    <t>Buena Park</t>
  </si>
  <si>
    <t>Camilo Bruce</t>
  </si>
  <si>
    <t>Rick Richardson</t>
  </si>
  <si>
    <t>(714) 670-6600</t>
  </si>
  <si>
    <t>Courtyard Buffalo Amherst-University</t>
  </si>
  <si>
    <t xml:space="preserve">4100 Sheridan Drive </t>
  </si>
  <si>
    <t>Dennis Patel</t>
  </si>
  <si>
    <t>+1 (716) 626-2300</t>
  </si>
  <si>
    <t>Courtyard Buford</t>
  </si>
  <si>
    <t xml:space="preserve">1405 Mall of Georgia Blvd. </t>
  </si>
  <si>
    <t>Buford</t>
  </si>
  <si>
    <t>Lauren Cato</t>
  </si>
  <si>
    <t>+1 (678) 745-3380</t>
  </si>
  <si>
    <t>Courtyard Burbank</t>
  </si>
  <si>
    <t xml:space="preserve">2100 Empire Avenue </t>
  </si>
  <si>
    <t>Colleen Langford</t>
  </si>
  <si>
    <t>Jim Fitzpatrick</t>
  </si>
  <si>
    <t>+1 (818) 843-5500</t>
  </si>
  <si>
    <t>Courtyard Burlington Williston</t>
  </si>
  <si>
    <t xml:space="preserve">177 Hurricane Lane </t>
  </si>
  <si>
    <t>Orhan Smailhodzic</t>
  </si>
  <si>
    <t>+ (802) 879-0100</t>
  </si>
  <si>
    <t>Grupo Azur</t>
  </si>
  <si>
    <t>Courtyard by Marriott Guatemala</t>
  </si>
  <si>
    <t xml:space="preserve">1st Avenue 12-47 zone 10 </t>
  </si>
  <si>
    <t>Guatemala City</t>
  </si>
  <si>
    <t>Christian Mayen</t>
  </si>
  <si>
    <t>Daniela Paz</t>
  </si>
  <si>
    <t>+(502) 2246-7373</t>
  </si>
  <si>
    <t>Courtyard by Marriott I-10 West</t>
  </si>
  <si>
    <t xml:space="preserve">12401 Katy Freeway </t>
  </si>
  <si>
    <t>Nick Martinez</t>
  </si>
  <si>
    <t>+ 1 (281) 496-9090</t>
  </si>
  <si>
    <t>Courtyard by Marriott Manhattan-Chelsea</t>
  </si>
  <si>
    <t xml:space="preserve">135 West 30th Street </t>
  </si>
  <si>
    <t>Ed Pavia</t>
  </si>
  <si>
    <t>Carolyn Fahey</t>
  </si>
  <si>
    <t>+()1 212-967-6000</t>
  </si>
  <si>
    <t>Courtyard by Marriott Maui Airport</t>
  </si>
  <si>
    <t xml:space="preserve">532 Keolani Place </t>
  </si>
  <si>
    <t>Kihei</t>
  </si>
  <si>
    <t>+ (808) 871-1800</t>
  </si>
  <si>
    <t>Courtyard by Marriott Mechanicsburg</t>
  </si>
  <si>
    <t xml:space="preserve">4921 Gettysburg Rd </t>
  </si>
  <si>
    <t>+1 (717) 766-9006</t>
  </si>
  <si>
    <t>Courtyard by Marriott New Orleans Convention Center</t>
  </si>
  <si>
    <t xml:space="preserve">300 Julia Street </t>
  </si>
  <si>
    <t>Frank Romano</t>
  </si>
  <si>
    <t>+(504)598-9898</t>
  </si>
  <si>
    <t>Courtyard by Marriott New Orleans Downtown Near the French Quarter</t>
  </si>
  <si>
    <t xml:space="preserve">124 St. Charles Avenue </t>
  </si>
  <si>
    <t>Natalie F Trosclair</t>
  </si>
  <si>
    <t>Athena Jackson</t>
  </si>
  <si>
    <t>(504) 581-9005</t>
  </si>
  <si>
    <t>Courtyard by Marriott Owensboro</t>
  </si>
  <si>
    <t xml:space="preserve">3120 Highland Pointe Dr. </t>
  </si>
  <si>
    <t>Mark McClure</t>
  </si>
  <si>
    <t>+1 (270) 685-4140</t>
  </si>
  <si>
    <t>Courtyard by Marriott Portland Southeast-Clackamas</t>
  </si>
  <si>
    <t xml:space="preserve">9300 Southeast Sunnybrook Boulevard </t>
  </si>
  <si>
    <t>Clackamas</t>
  </si>
  <si>
    <t>Paul Sala</t>
  </si>
  <si>
    <t>+1 (503) 652-2900</t>
  </si>
  <si>
    <t>Courtyard by Marriott Queretaro</t>
  </si>
  <si>
    <t>Av 5 de Febrero #1351B Delegacion Felipe Carrillo Puerto</t>
  </si>
  <si>
    <t>Queretaro</t>
  </si>
  <si>
    <t>Maria Alejandra Martinez Rodea</t>
  </si>
  <si>
    <t>+()52 722 2799911</t>
  </si>
  <si>
    <t>Wolff Urban Development Management</t>
  </si>
  <si>
    <t>Courtyard by Marriott Sherman Oaks</t>
  </si>
  <si>
    <t xml:space="preserve">15433 Ventura Blvd </t>
  </si>
  <si>
    <t>Sherman Oaks</t>
  </si>
  <si>
    <t>Adam Isrow</t>
  </si>
  <si>
    <t>Adam Keller</t>
  </si>
  <si>
    <t>+1 (818) 263-8704</t>
  </si>
  <si>
    <t>Courtyard by Marriott Southaven</t>
  </si>
  <si>
    <t xml:space="preserve">7225 Sleepy Hollow Drive </t>
  </si>
  <si>
    <t xml:space="preserve">Southaven </t>
  </si>
  <si>
    <t>Kyle Carper</t>
  </si>
  <si>
    <t>+1 (662) 996-1480</t>
  </si>
  <si>
    <t>Lennox Hotel LLC</t>
  </si>
  <si>
    <t>Courtyard by Marriott St. Louis Downtown Convention Center</t>
  </si>
  <si>
    <t xml:space="preserve">823-827 Washington Avenue </t>
  </si>
  <si>
    <t>Cristen Puhl</t>
  </si>
  <si>
    <t>Jacob Hopper</t>
  </si>
  <si>
    <t>+1 (314) 231-7560</t>
  </si>
  <si>
    <t>Operadora el Gran Hotel SA de CV</t>
  </si>
  <si>
    <t>Courtyard by Marriott Toluca Airport</t>
  </si>
  <si>
    <t>Blvd Miguel Aleman 177 Colonia San Pedro Totoltepec</t>
  </si>
  <si>
    <t>Ecatepec De Morelos</t>
  </si>
  <si>
    <t>Ricardo Castaneda</t>
  </si>
  <si>
    <t>Janett Garzon</t>
  </si>
  <si>
    <t>+52 (722) 2772020</t>
  </si>
  <si>
    <t>Courtyard by Marriott Toluca Tollocan</t>
  </si>
  <si>
    <t>Paseo Tollocan #834 Colonia Santa Ana Tlapaltitian</t>
  </si>
  <si>
    <t>Toluca</t>
  </si>
  <si>
    <t>Gerardo Hernandez</t>
  </si>
  <si>
    <t>Janett Garzón</t>
  </si>
  <si>
    <t>+1 (722) 279-9911</t>
  </si>
  <si>
    <t>Courtyard by Marriott Tyler</t>
  </si>
  <si>
    <t xml:space="preserve">7424 South Broadway Avenue </t>
  </si>
  <si>
    <t>Holly Thedford</t>
  </si>
  <si>
    <t>Heather Wheat</t>
  </si>
  <si>
    <t>+1 (903) 509-4411</t>
  </si>
  <si>
    <t>Courtyard by Marriott-Kingston</t>
  </si>
  <si>
    <t xml:space="preserve">103 Dalton Avenue </t>
  </si>
  <si>
    <t>K7K 0C4</t>
  </si>
  <si>
    <t>Matthew Fry</t>
  </si>
  <si>
    <t>Chirs McCaugherty</t>
  </si>
  <si>
    <t>+1(613)547-7672</t>
  </si>
  <si>
    <t>Courtyard Calgary Airport</t>
  </si>
  <si>
    <t xml:space="preserve">2500 48th Ave. NE </t>
  </si>
  <si>
    <t>T3J 4V8</t>
  </si>
  <si>
    <t>Martin Gilbert</t>
  </si>
  <si>
    <t>Melanie Labonte</t>
  </si>
  <si>
    <t>+ (403) 250-6569</t>
  </si>
  <si>
    <t>Courtyard Campbell</t>
  </si>
  <si>
    <t xml:space="preserve">655 Creekside Way </t>
  </si>
  <si>
    <t>Jorge Linares</t>
  </si>
  <si>
    <t>Prodip Mondal</t>
  </si>
  <si>
    <t>+1 (408) 626-9590</t>
  </si>
  <si>
    <t>Courtyard Canton</t>
  </si>
  <si>
    <t xml:space="preserve">4375 Metro Circle Northwest </t>
  </si>
  <si>
    <t>Lisa Birchler</t>
  </si>
  <si>
    <t>+1 (330) 494-6494</t>
  </si>
  <si>
    <t>Courtyard Cape Girardeau</t>
  </si>
  <si>
    <t xml:space="preserve">400 South Broadway </t>
  </si>
  <si>
    <t>Matt Hardy</t>
  </si>
  <si>
    <t>+1 (573) 240-9420</t>
  </si>
  <si>
    <t>Courtyard Capitol Hill Navy Yard</t>
  </si>
  <si>
    <t xml:space="preserve">140 L. Street SE </t>
  </si>
  <si>
    <t>Kiesha Henry</t>
  </si>
  <si>
    <t>+1 (202) 479-0027</t>
  </si>
  <si>
    <t xml:space="preserve">Courtyard Carlsbad </t>
  </si>
  <si>
    <t xml:space="preserve">5835 Owens Avenue </t>
  </si>
  <si>
    <t>Ever Aguilar</t>
  </si>
  <si>
    <t>+1 (760) 431-9399</t>
  </si>
  <si>
    <t>Courtyard Carolina Beach</t>
  </si>
  <si>
    <t xml:space="preserve">100 Charlotte Avenue </t>
  </si>
  <si>
    <t>Tom Ullring</t>
  </si>
  <si>
    <t>+1 (910) 458-2030</t>
  </si>
  <si>
    <t>Courtyard Carson City</t>
  </si>
  <si>
    <t xml:space="preserve">3870 South Carson St. </t>
  </si>
  <si>
    <t>Joseph Pickett</t>
  </si>
  <si>
    <t>+1 (775) 887-9900</t>
  </si>
  <si>
    <t>Courtyard Century City</t>
  </si>
  <si>
    <t xml:space="preserve">10320 West Olympic Boulevard </t>
  </si>
  <si>
    <t>David Hutton</t>
  </si>
  <si>
    <t>Paul Verduin</t>
  </si>
  <si>
    <t>+1 (310) 556-2777</t>
  </si>
  <si>
    <t>Courtyard Charleston Coliseum</t>
  </si>
  <si>
    <t xml:space="preserve">2415 Mall Drive </t>
  </si>
  <si>
    <t>Melissa Zimmerman</t>
  </si>
  <si>
    <t>(843) 747-9122</t>
  </si>
  <si>
    <t>Courtyard Charleston Downtown</t>
  </si>
  <si>
    <t xml:space="preserve">35 Lockwood Drive </t>
  </si>
  <si>
    <t>Robert Heilman</t>
  </si>
  <si>
    <t>+ (843) 722-7229</t>
  </si>
  <si>
    <t>Courtyard Charleston Summerville</t>
  </si>
  <si>
    <t xml:space="preserve">1510 Rose Drive </t>
  </si>
  <si>
    <t>Nathan Stephens</t>
  </si>
  <si>
    <t>Barry Barenfanger</t>
  </si>
  <si>
    <t>+1 (843) 285-8338</t>
  </si>
  <si>
    <t>Courtyard Charlotte Arrowood</t>
  </si>
  <si>
    <t xml:space="preserve">800 West Arrowood Road </t>
  </si>
  <si>
    <t>Lindsay Nelson</t>
  </si>
  <si>
    <t>Mitchell Dills</t>
  </si>
  <si>
    <t>(704) 527-5055</t>
  </si>
  <si>
    <t>Courtyard Charlotte Metro Matthews</t>
  </si>
  <si>
    <t xml:space="preserve">11425 East Independence Blvd </t>
  </si>
  <si>
    <t>Matthews</t>
  </si>
  <si>
    <t>Derrek Pirtle</t>
  </si>
  <si>
    <t>+ (704) 846-4466</t>
  </si>
  <si>
    <t>Courtyard Charlotte South Park</t>
  </si>
  <si>
    <t xml:space="preserve">6023 Park South Drive </t>
  </si>
  <si>
    <t>Mark A. Etters</t>
  </si>
  <si>
    <t>(704) 552-7333</t>
  </si>
  <si>
    <t>Courtyard Charlottesville Downtown</t>
  </si>
  <si>
    <t xml:space="preserve">1201 West Main Street </t>
  </si>
  <si>
    <t>Rick Clark</t>
  </si>
  <si>
    <t>Tom Smith</t>
  </si>
  <si>
    <t>+ (434) 977-1700</t>
  </si>
  <si>
    <t>Courtyard Charlottesville North</t>
  </si>
  <si>
    <t xml:space="preserve">638 Hillsdale Drive </t>
  </si>
  <si>
    <t>Charlie Herdon</t>
  </si>
  <si>
    <t>(434) 973-7100</t>
  </si>
  <si>
    <t>Courtyard Chattanooga Downtown</t>
  </si>
  <si>
    <t xml:space="preserve">200 Chestnut Street </t>
  </si>
  <si>
    <t>Daniel Mote</t>
  </si>
  <si>
    <t>Karl Oates</t>
  </si>
  <si>
    <t>+ (423) 755-0871</t>
  </si>
  <si>
    <t>Courtyard Cherry Creek Hotel</t>
  </si>
  <si>
    <t xml:space="preserve">1475 S Colorado Blvd </t>
  </si>
  <si>
    <t>Ashley Martinez</t>
  </si>
  <si>
    <t>Bryce Walker</t>
  </si>
  <si>
    <t>+1 (303) 759-9200</t>
  </si>
  <si>
    <t>Courtyard Chicago Downtown</t>
  </si>
  <si>
    <t xml:space="preserve">30 E Hubbard </t>
  </si>
  <si>
    <t>Chris Kerbow</t>
  </si>
  <si>
    <t>David Compitello</t>
  </si>
  <si>
    <t>(312) 329-2500</t>
  </si>
  <si>
    <t>Courtyard Chicago Elmhurst</t>
  </si>
  <si>
    <t xml:space="preserve">370 North Route 83 </t>
  </si>
  <si>
    <t>Elmhurst</t>
  </si>
  <si>
    <t>Richard Sasso</t>
  </si>
  <si>
    <t>Carla Manjarrez</t>
  </si>
  <si>
    <t>+ (630) 941-9444</t>
  </si>
  <si>
    <t>Courtyard Chicago Glenview (GLV)</t>
  </si>
  <si>
    <t xml:space="preserve">1801 Milwaukee Avenue </t>
  </si>
  <si>
    <t>Glenview</t>
  </si>
  <si>
    <t>Jason Mashni</t>
  </si>
  <si>
    <t>Howard Gottlieb</t>
  </si>
  <si>
    <t>(847) 803-2500</t>
  </si>
  <si>
    <t>Courtyard Chicago Highland Park</t>
  </si>
  <si>
    <t xml:space="preserve">1505 Lake Cook Road </t>
  </si>
  <si>
    <t>Highland Park</t>
  </si>
  <si>
    <t>Rebekah Burton</t>
  </si>
  <si>
    <t>Veronica Villafuerte</t>
  </si>
  <si>
    <t>(847) 831-3338</t>
  </si>
  <si>
    <t>Courtyard Chicago Lincolnshire</t>
  </si>
  <si>
    <t xml:space="preserve">505 Milwaukee Avenue </t>
  </si>
  <si>
    <t>Lincolnshire</t>
  </si>
  <si>
    <t>Mark Paprocki</t>
  </si>
  <si>
    <t>(847) 634-9555</t>
  </si>
  <si>
    <t>Courtyard Chicago Naperville</t>
  </si>
  <si>
    <t xml:space="preserve">1155 East Diehl Road </t>
  </si>
  <si>
    <t>Naperville</t>
  </si>
  <si>
    <t>Luci Krych</t>
  </si>
  <si>
    <t>(630) 505-0550</t>
  </si>
  <si>
    <t>Courtyard Chicago Oakbrook Terrace</t>
  </si>
  <si>
    <t xml:space="preserve">6 Transam Plaza Drive </t>
  </si>
  <si>
    <t>Oakbrook Terrace</t>
  </si>
  <si>
    <t>Nick Hefner</t>
  </si>
  <si>
    <t>(630) 691-1500</t>
  </si>
  <si>
    <t>Courtyard Chicago OHare</t>
  </si>
  <si>
    <t xml:space="preserve">2950 South River Road </t>
  </si>
  <si>
    <t>Joe Capozzoli</t>
  </si>
  <si>
    <t>(847) 824-7000</t>
  </si>
  <si>
    <t>SSH TRS M LLC</t>
  </si>
  <si>
    <t>Courtyard Chicago Schaumburg</t>
  </si>
  <si>
    <t xml:space="preserve">1311 American Lane </t>
  </si>
  <si>
    <t>Carolyn Ocampo</t>
  </si>
  <si>
    <t>+1 (847) 619-8100</t>
  </si>
  <si>
    <t>Courtyard Chicago Waukegan</t>
  </si>
  <si>
    <t xml:space="preserve">3800 Northpoint Boulevard </t>
  </si>
  <si>
    <t>Mary Metcalf</t>
  </si>
  <si>
    <t>Tracy Lutzen (email is correct)</t>
  </si>
  <si>
    <t>(847) 689-8000</t>
  </si>
  <si>
    <t>Courtyard Chicago-Downtown Magnificent Mile</t>
  </si>
  <si>
    <t xml:space="preserve">165 East Ontario St </t>
  </si>
  <si>
    <t>Daniel Harwood</t>
  </si>
  <si>
    <t>Aubrey Barry</t>
  </si>
  <si>
    <t>+1 (312) 573-0800</t>
  </si>
  <si>
    <t>Courtyard Chico</t>
  </si>
  <si>
    <t xml:space="preserve">2481 Carmichael Drive </t>
  </si>
  <si>
    <t>Brooke Isenberg</t>
  </si>
  <si>
    <t>+1 (530) 894-6699</t>
  </si>
  <si>
    <t>Courtyard Cincinnati Covington</t>
  </si>
  <si>
    <t xml:space="preserve">500 West 3rd Street </t>
  </si>
  <si>
    <t>Courtney Manning</t>
  </si>
  <si>
    <t>Laura Carpenter</t>
  </si>
  <si>
    <t>+(859)491-4000</t>
  </si>
  <si>
    <t>Courtyard Cincinnati Mason</t>
  </si>
  <si>
    <t xml:space="preserve">4753 Socialville-Foster Road </t>
  </si>
  <si>
    <t>Tina Laterza</t>
  </si>
  <si>
    <t>megan rosales</t>
  </si>
  <si>
    <t>+1 (513) 770-0071</t>
  </si>
  <si>
    <t>Jeffrey R Anderson Real Estate Inc.</t>
  </si>
  <si>
    <t>Courtyard Cincinnati Midtown-Rookwood</t>
  </si>
  <si>
    <t xml:space="preserve">3813 Edwards Road </t>
  </si>
  <si>
    <t>Kelly Scavo</t>
  </si>
  <si>
    <t>Mike Scavo</t>
  </si>
  <si>
    <t>+1 (513) 672-7100</t>
  </si>
  <si>
    <t>Courtyard Cincinnati North at Union Centre</t>
  </si>
  <si>
    <t xml:space="preserve">6250 Muhlhauser Road </t>
  </si>
  <si>
    <t>Steve Rue</t>
  </si>
  <si>
    <t>Angie Estes</t>
  </si>
  <si>
    <t>+(513) 341-4140</t>
  </si>
  <si>
    <t>Courtyard Cleveland Airport North</t>
  </si>
  <si>
    <t xml:space="preserve">24901 Country Club Boulevard </t>
  </si>
  <si>
    <t>North Olmsted</t>
  </si>
  <si>
    <t>Martin Fallon</t>
  </si>
  <si>
    <t>Cynthia Eckrich</t>
  </si>
  <si>
    <t>(440) 716-9977</t>
  </si>
  <si>
    <t xml:space="preserve">Courtyard Cleveland Beachwood </t>
  </si>
  <si>
    <t xml:space="preserve">3695 Orange Place </t>
  </si>
  <si>
    <t>Sandra Dangerfield</t>
  </si>
  <si>
    <t>Terri Ball</t>
  </si>
  <si>
    <t>+1 (216) 765-1900</t>
  </si>
  <si>
    <t>Courtyard Cleveland Independence</t>
  </si>
  <si>
    <t xml:space="preserve">5051 West Creek Road </t>
  </si>
  <si>
    <t>Shane Frownfelter</t>
  </si>
  <si>
    <t>+(216)901-9988</t>
  </si>
  <si>
    <t>Courtyard Cleveland Westlake</t>
  </si>
  <si>
    <t xml:space="preserve">25050 Sperry Drive </t>
  </si>
  <si>
    <t>David Bragan</t>
  </si>
  <si>
    <t>Sharee Owens</t>
  </si>
  <si>
    <t>(440) 871-3756</t>
  </si>
  <si>
    <t>Courtyard Clifton Park</t>
  </si>
  <si>
    <t xml:space="preserve">627 Plank Road </t>
  </si>
  <si>
    <t>Jose Camilo Hernandez</t>
  </si>
  <si>
    <t>Amanda Little</t>
  </si>
  <si>
    <t>+1 (518) 579-6100</t>
  </si>
  <si>
    <t>Courtyard Columbia Downtown at USC</t>
  </si>
  <si>
    <t xml:space="preserve">630 Assembly Street </t>
  </si>
  <si>
    <t>Bilyana Franks</t>
  </si>
  <si>
    <t>Kasey Tyner</t>
  </si>
  <si>
    <t>+1 (803) 799-7800</t>
  </si>
  <si>
    <t>Courtyard Columbus - New Albany</t>
  </si>
  <si>
    <t xml:space="preserve">5211 Forest Drive </t>
  </si>
  <si>
    <t>Kelley Foster</t>
  </si>
  <si>
    <t>Brittany Stoll</t>
  </si>
  <si>
    <t>+1 (614) 855-1505</t>
  </si>
  <si>
    <t>Courtyard Columbus (MS)</t>
  </si>
  <si>
    <t xml:space="preserve">1995 6th Street North </t>
  </si>
  <si>
    <t>Jamie Reeves</t>
  </si>
  <si>
    <t>+1 (662) 245-1540</t>
  </si>
  <si>
    <t>Courtyard Columbus Downtown</t>
  </si>
  <si>
    <t xml:space="preserve">35 West Spring Street </t>
  </si>
  <si>
    <t>George Bradley</t>
  </si>
  <si>
    <t>Liz Buxton</t>
  </si>
  <si>
    <t>+ (614) 228-3200</t>
  </si>
  <si>
    <t>Courtyard Columbus Phenix City</t>
  </si>
  <si>
    <t xml:space="preserve">1400 Whitewater Avenue </t>
  </si>
  <si>
    <t>Phenix City</t>
  </si>
  <si>
    <t>+1 (334) 664-9840</t>
  </si>
  <si>
    <t>Courtyard Columbus Tipton Lakes</t>
  </si>
  <si>
    <t xml:space="preserve">3888 Mimosa Drive </t>
  </si>
  <si>
    <t>Katherine Kelly</t>
  </si>
  <si>
    <t>Tokunbo Bamgbola</t>
  </si>
  <si>
    <t>+ (812) 342-8888</t>
  </si>
  <si>
    <t>Courtyard Columbus-Easton</t>
  </si>
  <si>
    <t xml:space="preserve">3900 Morse Crossing </t>
  </si>
  <si>
    <t>Cheyenne Steele</t>
  </si>
  <si>
    <t>Brent Garrison</t>
  </si>
  <si>
    <t>+1 (614) 416-8000</t>
  </si>
  <si>
    <t>Courtyard Concord (NC)</t>
  </si>
  <si>
    <t xml:space="preserve">7602 Scott Padgett Way </t>
  </si>
  <si>
    <t>Brian Richardson</t>
  </si>
  <si>
    <t>+1(704) 453-2600</t>
  </si>
  <si>
    <t>Courtyard Conyers</t>
  </si>
  <si>
    <t xml:space="preserve">1337 Old Convington Highway SE </t>
  </si>
  <si>
    <t>Conyers</t>
  </si>
  <si>
    <t>Natasha Renfroe</t>
  </si>
  <si>
    <t>Tiffany Collins</t>
  </si>
  <si>
    <t>+()770-922-2251</t>
  </si>
  <si>
    <t>Courtyard Corpus Christi</t>
  </si>
  <si>
    <t xml:space="preserve">5133 Flynn Parkway </t>
  </si>
  <si>
    <t>Corpus Chisti</t>
  </si>
  <si>
    <t>. GM</t>
  </si>
  <si>
    <t>+1 (361) 808-8400</t>
  </si>
  <si>
    <t>Courtyard Crabtree Summit</t>
  </si>
  <si>
    <t xml:space="preserve">3908 Arrow Dr </t>
  </si>
  <si>
    <t>Nidal Alawar</t>
  </si>
  <si>
    <t>+1 (919) 782-6868</t>
  </si>
  <si>
    <t>Courtyard Crystal City</t>
  </si>
  <si>
    <t xml:space="preserve">2899 Richmond Highway </t>
  </si>
  <si>
    <t>David Burge</t>
  </si>
  <si>
    <t>Virginie Regent</t>
  </si>
  <si>
    <t>(703) 549-3434</t>
  </si>
  <si>
    <t>Courtyard Cupertino</t>
  </si>
  <si>
    <t xml:space="preserve">10605 North Wolfe Road </t>
  </si>
  <si>
    <t>Charles Hall</t>
  </si>
  <si>
    <t>Elia Ghantous</t>
  </si>
  <si>
    <t>+(408)252-9100</t>
  </si>
  <si>
    <t>Courtyard Cypress</t>
  </si>
  <si>
    <t xml:space="preserve">5865 Katella Avenue </t>
  </si>
  <si>
    <t>ITALIA ETEUATI</t>
  </si>
  <si>
    <t>Noel Pavia</t>
  </si>
  <si>
    <t>+ (714) 827-1010</t>
  </si>
  <si>
    <t>Courtyard Dallas Addison - Midway</t>
  </si>
  <si>
    <t xml:space="preserve">4165 Proton Drive </t>
  </si>
  <si>
    <t>Toya Hart</t>
  </si>
  <si>
    <t>+1 (972) 490-7390</t>
  </si>
  <si>
    <t>Courtyard Dallas Addison Quorum</t>
  </si>
  <si>
    <t xml:space="preserve">15160 Quorum Drive </t>
  </si>
  <si>
    <t>(972) 404-1555</t>
  </si>
  <si>
    <t>Courtyard Dallas Allen at the John Q. Hammons Center</t>
  </si>
  <si>
    <t xml:space="preserve">210 East Stacy Road </t>
  </si>
  <si>
    <t>Denise Lane</t>
  </si>
  <si>
    <t>+1 (214) 383-1151</t>
  </si>
  <si>
    <t>Lowen Hospitality Management</t>
  </si>
  <si>
    <t>Courtyard Dallas Carrollton and Carrollton Conference Center</t>
  </si>
  <si>
    <t xml:space="preserve">1201 Raiford Road </t>
  </si>
  <si>
    <t>Carrollton</t>
  </si>
  <si>
    <t>Jerry Elm</t>
  </si>
  <si>
    <t>+1 (972) 446-0001</t>
  </si>
  <si>
    <t>Courtyard Dallas Downtown/Reunion District</t>
  </si>
  <si>
    <t xml:space="preserve">310 South Houston Street </t>
  </si>
  <si>
    <t>+1(214)238-6589</t>
  </si>
  <si>
    <t>Courtyard Dallas Plano</t>
  </si>
  <si>
    <t xml:space="preserve">4901 West Plano Parkway </t>
  </si>
  <si>
    <t>Annie Blabey</t>
  </si>
  <si>
    <t>(972) 867-8000</t>
  </si>
  <si>
    <t>Courtyard Dallas Plano at Legacy Park</t>
  </si>
  <si>
    <t xml:space="preserve">6840 North Dallas Parkway </t>
  </si>
  <si>
    <t>Paritta (Pam) Perry</t>
  </si>
  <si>
    <t>(972) 403-0802</t>
  </si>
  <si>
    <t>Courtyard Dallas Plano Richardson</t>
  </si>
  <si>
    <t xml:space="preserve">1805 East President George Bush Highway </t>
  </si>
  <si>
    <t>Andrew Reveles</t>
  </si>
  <si>
    <t>Fenil Nagda</t>
  </si>
  <si>
    <t>+1 (972) 516-2949</t>
  </si>
  <si>
    <t>Courtyard Dallas Richardson Spring Valley</t>
  </si>
  <si>
    <t xml:space="preserve">1000 South Sherman </t>
  </si>
  <si>
    <t>(972) 235-5000</t>
  </si>
  <si>
    <t>Courtyard Dalton</t>
  </si>
  <si>
    <t xml:space="preserve">785 College Drive </t>
  </si>
  <si>
    <t>Betty Lovain</t>
  </si>
  <si>
    <t>+1 (706) 275-7215</t>
  </si>
  <si>
    <t>Courtyard Decatur</t>
  </si>
  <si>
    <t xml:space="preserve">1209 Courtyard Circle SW </t>
  </si>
  <si>
    <t>Scott Suenaga</t>
  </si>
  <si>
    <t>Purchasing Yedla</t>
  </si>
  <si>
    <t>+ (256) 355-4446</t>
  </si>
  <si>
    <t>Courtyard Delray Beach</t>
  </si>
  <si>
    <t xml:space="preserve">135 Southeast Avenue </t>
  </si>
  <si>
    <t>Gulf Stream</t>
  </si>
  <si>
    <t>Jackie Young</t>
  </si>
  <si>
    <t>+1 (954) 999-3091</t>
  </si>
  <si>
    <t>Courtyard Denver Airport at Gateway Park</t>
  </si>
  <si>
    <t xml:space="preserve">4343 Airport Way </t>
  </si>
  <si>
    <t>Jessica Barrows</t>
  </si>
  <si>
    <t>+ (303) 375-1105</t>
  </si>
  <si>
    <t>Courtyard Denver Aurora</t>
  </si>
  <si>
    <t xml:space="preserve">255 North Blackhawk Street </t>
  </si>
  <si>
    <t>Gene Arzonetti</t>
  </si>
  <si>
    <t>+1 (720) 769-1600</t>
  </si>
  <si>
    <t>Courtyard Denver Intl Airport</t>
  </si>
  <si>
    <t xml:space="preserve">6901 Tower Road </t>
  </si>
  <si>
    <t>Chad Conrad</t>
  </si>
  <si>
    <t>(303) 371-0300</t>
  </si>
  <si>
    <t>Courtyard Denver North-Westminster</t>
  </si>
  <si>
    <t xml:space="preserve">14355 Orchard Parkway </t>
  </si>
  <si>
    <t>Dawn Ortega</t>
  </si>
  <si>
    <t>+1 (720) 639-7701</t>
  </si>
  <si>
    <t>Courtyard Denver Southwest Lakewood</t>
  </si>
  <si>
    <t xml:space="preserve">7180 West Hampden Avenue </t>
  </si>
  <si>
    <t>Cory Fay</t>
  </si>
  <si>
    <t>+ (303) 985-9696</t>
  </si>
  <si>
    <t>Courtyard Denver Southwest Littleton CO</t>
  </si>
  <si>
    <t xml:space="preserve">3056 West County Line Road </t>
  </si>
  <si>
    <t>Highlands</t>
  </si>
  <si>
    <t>Tara Cates</t>
  </si>
  <si>
    <t>+1(303)791-3001</t>
  </si>
  <si>
    <t>Courtyard Denver Tech Ctr</t>
  </si>
  <si>
    <t xml:space="preserve">6565 South Boston Street </t>
  </si>
  <si>
    <t>Daniel Gomez</t>
  </si>
  <si>
    <t>Tonia Inns</t>
  </si>
  <si>
    <t>(303) 721-0300</t>
  </si>
  <si>
    <t>Denver C Golden Opco LLC (Falcon Group)</t>
  </si>
  <si>
    <t xml:space="preserve">Courtyard Denver West-Golden </t>
  </si>
  <si>
    <t xml:space="preserve">14700 West 6th Avenue </t>
  </si>
  <si>
    <t>James Bell</t>
  </si>
  <si>
    <t>Tyler Brownfield</t>
  </si>
  <si>
    <t>+ (303) 271-0776</t>
  </si>
  <si>
    <t>Courtyard Deptford</t>
  </si>
  <si>
    <t xml:space="preserve">1251 Hurffville Road </t>
  </si>
  <si>
    <t>Woodbury</t>
  </si>
  <si>
    <t>Clarence Grant</t>
  </si>
  <si>
    <t>+1 (856) 232-1500</t>
  </si>
  <si>
    <t>Courtyard Des Moines - Clive</t>
  </si>
  <si>
    <t xml:space="preserve">1520 NW 114th Street </t>
  </si>
  <si>
    <t>Clive</t>
  </si>
  <si>
    <t>Jeff Vandersluis</t>
  </si>
  <si>
    <t>Elizabeth Kennedy</t>
  </si>
  <si>
    <t>(515) 225-1222</t>
  </si>
  <si>
    <t>Courtyard Detroit Airport</t>
  </si>
  <si>
    <t xml:space="preserve">30653 Flynn Drive </t>
  </si>
  <si>
    <t>Brandon Salisbury</t>
  </si>
  <si>
    <t>Terry Barr</t>
  </si>
  <si>
    <t>(734) 721-3200</t>
  </si>
  <si>
    <t>Courtyard Detroit Dearborn</t>
  </si>
  <si>
    <t xml:space="preserve">5200 Mercury Drive </t>
  </si>
  <si>
    <t>Dearborn</t>
  </si>
  <si>
    <t>Maria Wyatt</t>
  </si>
  <si>
    <t>(313) 271-1400</t>
  </si>
  <si>
    <t>Courtyard Detroit Downtown</t>
  </si>
  <si>
    <t xml:space="preserve">333 East Jefferson Ave </t>
  </si>
  <si>
    <t>Neiko Gunn</t>
  </si>
  <si>
    <t>+(313)222-7700</t>
  </si>
  <si>
    <t>Courtyard Detroit Livonia</t>
  </si>
  <si>
    <t xml:space="preserve">17200 N Laurel Park Drive </t>
  </si>
  <si>
    <t>Nancy Pavlicek</t>
  </si>
  <si>
    <t>Ebonee Davis</t>
  </si>
  <si>
    <t>+(734)462-2000</t>
  </si>
  <si>
    <t>Courtyard Detroit Pontiac</t>
  </si>
  <si>
    <t xml:space="preserve">3555 Centerpoint Parkway </t>
  </si>
  <si>
    <t>Pontiac</t>
  </si>
  <si>
    <t>Shandi Evertsen</t>
  </si>
  <si>
    <t>+1 (248) 858-9595</t>
  </si>
  <si>
    <t>Courtyard Detroit Southfield</t>
  </si>
  <si>
    <t xml:space="preserve">27027 Northwestern Highway </t>
  </si>
  <si>
    <t>Masalena Taylor</t>
  </si>
  <si>
    <t>+1 (248) 358-1222</t>
  </si>
  <si>
    <t>Courtyard Detroit Troy</t>
  </si>
  <si>
    <t xml:space="preserve">1525 East Maple Road </t>
  </si>
  <si>
    <t>Rosy Elian</t>
  </si>
  <si>
    <t>+(248)528-2800</t>
  </si>
  <si>
    <t>Courtyard Detroit Warren</t>
  </si>
  <si>
    <t xml:space="preserve">30190 Van Dyke Avenue </t>
  </si>
  <si>
    <t>Justin Morandini</t>
  </si>
  <si>
    <t>Cheryl Sandstrom</t>
  </si>
  <si>
    <t>+(586)751-5777</t>
  </si>
  <si>
    <t>Regent Hospitality</t>
  </si>
  <si>
    <t>Courtyard DFW Airport</t>
  </si>
  <si>
    <t xml:space="preserve">4949 Regent Boulevard </t>
  </si>
  <si>
    <t>Felicia Barfield</t>
  </si>
  <si>
    <t>+ (972) 929-4004</t>
  </si>
  <si>
    <t>Courtyard Dothan</t>
  </si>
  <si>
    <t xml:space="preserve">3040 Ross Clark Circle </t>
  </si>
  <si>
    <t>Sergio .</t>
  </si>
  <si>
    <t>+ (334) 671-3000</t>
  </si>
  <si>
    <t>Highpointe Inc.</t>
  </si>
  <si>
    <t>Courtyard Downtown Pensacola</t>
  </si>
  <si>
    <t xml:space="preserve">700 East Chase St. </t>
  </si>
  <si>
    <t>Frances James</t>
  </si>
  <si>
    <t>Susie Feraci</t>
  </si>
  <si>
    <t>+1 (850) 439-3330</t>
  </si>
  <si>
    <t>Courtyard Dulles Airport</t>
  </si>
  <si>
    <t xml:space="preserve">3935 Centerview Drive </t>
  </si>
  <si>
    <t>Audrey Smith</t>
  </si>
  <si>
    <t>Brian Howard</t>
  </si>
  <si>
    <t>(703) 709-7100</t>
  </si>
  <si>
    <t>Courtyard Dulles Airport Herndon</t>
  </si>
  <si>
    <t xml:space="preserve">13715 Sayward Blvd. </t>
  </si>
  <si>
    <t>Matthew Miller</t>
  </si>
  <si>
    <t>Edward Arroyo</t>
  </si>
  <si>
    <t>+ (571) 643-0950</t>
  </si>
  <si>
    <t>Courtyard Dulles Town Center</t>
  </si>
  <si>
    <t xml:space="preserve">45500 Majestic Drive </t>
  </si>
  <si>
    <t>Robert Lavesque</t>
  </si>
  <si>
    <t>(571) 434-6400</t>
  </si>
  <si>
    <t>Courtyard Dunn Loring Fairfax</t>
  </si>
  <si>
    <t xml:space="preserve">2722 Gallows Road </t>
  </si>
  <si>
    <t>Vienna</t>
  </si>
  <si>
    <t>Andrew Webber</t>
  </si>
  <si>
    <t>(703) 573-9555</t>
  </si>
  <si>
    <t>Courtyard Durham Near Duke University Durham</t>
  </si>
  <si>
    <t xml:space="preserve">1815 Front Street </t>
  </si>
  <si>
    <t>Kevin Rafter</t>
  </si>
  <si>
    <t>+1 (919) 309-1500</t>
  </si>
  <si>
    <t>Courtyard Edgewater</t>
  </si>
  <si>
    <t xml:space="preserve">3 Pembroke Place </t>
  </si>
  <si>
    <t>Lisa Gurriell</t>
  </si>
  <si>
    <t>+1 (201) 945-5440</t>
  </si>
  <si>
    <t>Courtyard El Paso - Convention Center</t>
  </si>
  <si>
    <t xml:space="preserve">610 North Santa Fe Street </t>
  </si>
  <si>
    <t>Victor Delgado</t>
  </si>
  <si>
    <t>+1 (915) 532-7600</t>
  </si>
  <si>
    <t>Courtyard Elizabeth Newark Airport</t>
  </si>
  <si>
    <t xml:space="preserve">87 International Boulevard </t>
  </si>
  <si>
    <t>Elizabeth</t>
  </si>
  <si>
    <t>Gabriel Kuan</t>
  </si>
  <si>
    <t>Ricardo Pinedo</t>
  </si>
  <si>
    <t>(908) 436-9800</t>
  </si>
  <si>
    <t>Courtyard Elkhart</t>
  </si>
  <si>
    <t xml:space="preserve">3445 Plaza Court </t>
  </si>
  <si>
    <t>Elkhart</t>
  </si>
  <si>
    <t>Alma Flores</t>
  </si>
  <si>
    <t>+1 (574) 993-4993</t>
  </si>
  <si>
    <t>Courtyard Erie Bayfront</t>
  </si>
  <si>
    <t xml:space="preserve">2 Sassafras Pier </t>
  </si>
  <si>
    <t>Stacy Tupek</t>
  </si>
  <si>
    <t>+1 (814) 636-1005</t>
  </si>
  <si>
    <t>Courtyard Eugene Springfield</t>
  </si>
  <si>
    <t xml:space="preserve">3443 Hutton Street </t>
  </si>
  <si>
    <t>Sabrina Teeter</t>
  </si>
  <si>
    <t>Eileen Laury</t>
  </si>
  <si>
    <t>+ (541) 726-2121</t>
  </si>
  <si>
    <t>Courtyard Evansville East</t>
  </si>
  <si>
    <t xml:space="preserve">8105 East Walnut Street </t>
  </si>
  <si>
    <t>Crystal Perkins-Welch</t>
  </si>
  <si>
    <t>Misty Wilson</t>
  </si>
  <si>
    <t>+1 (812) 424-4242</t>
  </si>
  <si>
    <t>High Hotels Ltd</t>
  </si>
  <si>
    <t>Courtyard Ewing Hopewell</t>
  </si>
  <si>
    <t xml:space="preserve">360 Scotch Road </t>
  </si>
  <si>
    <t>Ewing Township</t>
  </si>
  <si>
    <t>Rich St. Jean</t>
  </si>
  <si>
    <t>Pam Martin</t>
  </si>
  <si>
    <t>+1 (609) 771-8100</t>
  </si>
  <si>
    <t>Courtyard Fair Oaks</t>
  </si>
  <si>
    <t xml:space="preserve">11220 Lee Jackson Highway (Rte. 50) </t>
  </si>
  <si>
    <t>Glenn Weeks</t>
  </si>
  <si>
    <t>samjhana pudasaini</t>
  </si>
  <si>
    <t>(703) 273-6161</t>
  </si>
  <si>
    <t>Courtyard Fargo</t>
  </si>
  <si>
    <t xml:space="preserve">2249 55th Street South </t>
  </si>
  <si>
    <t>Emily Nielson</t>
  </si>
  <si>
    <t>+1(701)364-5500</t>
  </si>
  <si>
    <t>Courtyard Fayetteville</t>
  </si>
  <si>
    <t xml:space="preserve">4192 Sycamore Dairy Road </t>
  </si>
  <si>
    <t>Elizabeth Buckingham - Rivas</t>
  </si>
  <si>
    <t>Jeanette Starling</t>
  </si>
  <si>
    <t>(910) 487-5557</t>
  </si>
  <si>
    <t>Courtyard Fishkill</t>
  </si>
  <si>
    <t>Route 9 &amp; I-84 17 Westage Drive</t>
  </si>
  <si>
    <t>Fishkill</t>
  </si>
  <si>
    <t>Jose Javier</t>
  </si>
  <si>
    <t>(845) 897-2400</t>
  </si>
  <si>
    <t>Courtyard Flagstaff</t>
  </si>
  <si>
    <t xml:space="preserve">2650 South Beulah Boulevard </t>
  </si>
  <si>
    <t>Jennifer Reyes</t>
  </si>
  <si>
    <t>G M</t>
  </si>
  <si>
    <t>+1 (928) 774-5800</t>
  </si>
  <si>
    <t>Courtyard Foggy Bottom</t>
  </si>
  <si>
    <t xml:space="preserve">515 20th Street NW </t>
  </si>
  <si>
    <t>+(202) 296-5700</t>
  </si>
  <si>
    <t>Courtyard Foothill Ranch-Orange County</t>
  </si>
  <si>
    <t xml:space="preserve">27492 Portola Parkway </t>
  </si>
  <si>
    <t xml:space="preserve"> Cailin Cooksy</t>
  </si>
  <si>
    <t>(949) 951-5700</t>
  </si>
  <si>
    <t>Courtyard Fort Collins</t>
  </si>
  <si>
    <t xml:space="preserve">1200 Oakridge Drive </t>
  </si>
  <si>
    <t>Fort Collins</t>
  </si>
  <si>
    <t>Patty Walsh</t>
  </si>
  <si>
    <t>(970) 282-1700</t>
  </si>
  <si>
    <t>Courtyard Fort Lauderdale-Weston</t>
  </si>
  <si>
    <t xml:space="preserve">2000 N. Commerce Parkway </t>
  </si>
  <si>
    <t>Monica Philipp</t>
  </si>
  <si>
    <t>Steve Sanabria</t>
  </si>
  <si>
    <t>(954) 343-2225</t>
  </si>
  <si>
    <t>Courtyard Fort Meade at National Business Park</t>
  </si>
  <si>
    <t xml:space="preserve">2700 Hercules Rd </t>
  </si>
  <si>
    <t>Annapolis Junction</t>
  </si>
  <si>
    <t>Roody Crosby</t>
  </si>
  <si>
    <t>Sarah Sincuir</t>
  </si>
  <si>
    <t>+1 (301) 498-8400</t>
  </si>
  <si>
    <t>Courtyard Fort Myers at I-75 and Gulf Coast Town Center</t>
  </si>
  <si>
    <t xml:space="preserve">10050 Gulf Center Drive </t>
  </si>
  <si>
    <t>John Mesaros</t>
  </si>
  <si>
    <t>+1 (239) 332-4747</t>
  </si>
  <si>
    <t>Courtyard Fort Smith Downtown</t>
  </si>
  <si>
    <t xml:space="preserve">900 Rogers Avenue </t>
  </si>
  <si>
    <t>Kevin Poehler</t>
  </si>
  <si>
    <t>Ryan Callahan</t>
  </si>
  <si>
    <t>+1 (479) 783-2100</t>
  </si>
  <si>
    <t>Courtyard Fort Wayne Downtown at Grand Wayne Convention Center</t>
  </si>
  <si>
    <t xml:space="preserve">1150 South Harrison Street </t>
  </si>
  <si>
    <t>Ft Wayne</t>
  </si>
  <si>
    <t>Sarah Peters</t>
  </si>
  <si>
    <t>Karen Britton</t>
  </si>
  <si>
    <t>+ (260)490-3629</t>
  </si>
  <si>
    <t>Courtyard Fort Worth Historic Stockyards</t>
  </si>
  <si>
    <t xml:space="preserve">2537 North Main Street </t>
  </si>
  <si>
    <t>Brian Tarvin</t>
  </si>
  <si>
    <t>+1 (817) 624-1112</t>
  </si>
  <si>
    <t>Courtyard Fort Worth West - Lands End</t>
  </si>
  <si>
    <t xml:space="preserve">6530 West Freeway </t>
  </si>
  <si>
    <t>Trina McQueen</t>
  </si>
  <si>
    <t>+1 (817) 737-6923</t>
  </si>
  <si>
    <t>Courtyard Franklin</t>
  </si>
  <si>
    <t xml:space="preserve">2001 Meridian Blvd. </t>
  </si>
  <si>
    <t>Cheryl James</t>
  </si>
  <si>
    <t>Mike Houston</t>
  </si>
  <si>
    <t>+1 (615) 778-0080</t>
  </si>
  <si>
    <t>Plamondon Hospitality Partners LLC</t>
  </si>
  <si>
    <t>Courtyard Frederick</t>
  </si>
  <si>
    <t xml:space="preserve">5225 Westview Drive </t>
  </si>
  <si>
    <t>Frederick</t>
  </si>
  <si>
    <t>Becky Servey</t>
  </si>
  <si>
    <t>Nichole Sullivan</t>
  </si>
  <si>
    <t>+ (301) 631-9030</t>
  </si>
  <si>
    <t>Palmer-Gosnell Management Inc.</t>
  </si>
  <si>
    <t>Courtyard Fredericksburg Historic District</t>
  </si>
  <si>
    <t xml:space="preserve">620 Caroline Street </t>
  </si>
  <si>
    <t>Fredericksburg</t>
  </si>
  <si>
    <t>Tony Kala</t>
  </si>
  <si>
    <t>+1 (540) 373-8300</t>
  </si>
  <si>
    <t>Courtyard Fremont</t>
  </si>
  <si>
    <t xml:space="preserve">47000 Lakeview Boulevard </t>
  </si>
  <si>
    <t>Christopher Ofiana</t>
  </si>
  <si>
    <t>(510) 656-1800</t>
  </si>
  <si>
    <t>Courtyard Fresno</t>
  </si>
  <si>
    <t xml:space="preserve">140 East Shaw Avenue </t>
  </si>
  <si>
    <t>Julee May</t>
  </si>
  <si>
    <t>(559) 221-6000</t>
  </si>
  <si>
    <t>Courtyard Ft Lauderdale East</t>
  </si>
  <si>
    <t xml:space="preserve">5001 North Federal Highway </t>
  </si>
  <si>
    <t>Mary Apple</t>
  </si>
  <si>
    <t>+ (954) 771-8100</t>
  </si>
  <si>
    <t>Courtyard Ft Worth Downtown</t>
  </si>
  <si>
    <t xml:space="preserve">601 Main Street </t>
  </si>
  <si>
    <t>Jed Wagenknecht</t>
  </si>
  <si>
    <t>William Logan</t>
  </si>
  <si>
    <t>+(817)885-8700</t>
  </si>
  <si>
    <t>Courtyard Ft. Lauderdale Airport &amp; Cruise Port</t>
  </si>
  <si>
    <t xml:space="preserve">400 Gulf Stream Way </t>
  </si>
  <si>
    <t>Chad Brunton</t>
  </si>
  <si>
    <t>Dace Stewart</t>
  </si>
  <si>
    <t>+(954)342-8333</t>
  </si>
  <si>
    <t>Courtyard Gaithersburg Washingtonian Center</t>
  </si>
  <si>
    <t xml:space="preserve">204 Boardwalk Place </t>
  </si>
  <si>
    <t>Sarah Kimani</t>
  </si>
  <si>
    <t>Steve Osbon</t>
  </si>
  <si>
    <t>+ () 3015279000</t>
  </si>
  <si>
    <t>Courtyard Glassboro at Rowan University</t>
  </si>
  <si>
    <t xml:space="preserve">325 Rowan Boulevard </t>
  </si>
  <si>
    <t>Glassboro</t>
  </si>
  <si>
    <t>Patricia Jackson</t>
  </si>
  <si>
    <t>+(856)881-0048</t>
  </si>
  <si>
    <t>Courtyard Grand Junction</t>
  </si>
  <si>
    <t xml:space="preserve">765 Horizon Drive </t>
  </si>
  <si>
    <t>Sharah Russell</t>
  </si>
  <si>
    <t>+1 (970) 263-4414</t>
  </si>
  <si>
    <t>Courtyard Grand Rapids Airport</t>
  </si>
  <si>
    <t xml:space="preserve">4741 28th Street Southeast </t>
  </si>
  <si>
    <t>Whitney Monarch</t>
  </si>
  <si>
    <t>Alyssa Stauch</t>
  </si>
  <si>
    <t>+1 (616) 954-0500</t>
  </si>
  <si>
    <t>Courtyard Grand Rapids Downtown</t>
  </si>
  <si>
    <t xml:space="preserve">11 Monroe Avenue NW </t>
  </si>
  <si>
    <t>Jennifer Cutter</t>
  </si>
  <si>
    <t>+ (616) 242-6000</t>
  </si>
  <si>
    <t>Courtyard Greensboro</t>
  </si>
  <si>
    <t xml:space="preserve">4400 West Wendover Avenue </t>
  </si>
  <si>
    <t>Skip King</t>
  </si>
  <si>
    <t>(336) 294-3800</t>
  </si>
  <si>
    <t>Courtyard Greensboro Airport</t>
  </si>
  <si>
    <t xml:space="preserve">7811 National Service Road </t>
  </si>
  <si>
    <t>Daniella Villalba</t>
  </si>
  <si>
    <t>+1 (336) 294-2353</t>
  </si>
  <si>
    <t>Courtyard Greenville</t>
  </si>
  <si>
    <t xml:space="preserve">70 Orchard Park Drive </t>
  </si>
  <si>
    <t>Kim Kessinger</t>
  </si>
  <si>
    <t>(864) 234-0300</t>
  </si>
  <si>
    <t xml:space="preserve">2225 Stantonsburg Road </t>
  </si>
  <si>
    <t>Hanna Magnusson</t>
  </si>
  <si>
    <t>+ (252) 329-2900</t>
  </si>
  <si>
    <t xml:space="preserve">Courtyard Greenville - Spartanburg Airport </t>
  </si>
  <si>
    <t xml:space="preserve">115 The Parkway </t>
  </si>
  <si>
    <t>Emi Grigg</t>
  </si>
  <si>
    <t>Nichole Neuman</t>
  </si>
  <si>
    <t>+ (864) 213-9009</t>
  </si>
  <si>
    <t>Courtyard Grove City</t>
  </si>
  <si>
    <t xml:space="preserve">1668 Buckeye Place </t>
  </si>
  <si>
    <t>Chris Adams</t>
  </si>
  <si>
    <t>+1(614) 782-8292</t>
  </si>
  <si>
    <t>Courtyard Gulf Shores at Craft Farms</t>
  </si>
  <si>
    <t xml:space="preserve">3750 Gulf Shores Parkway </t>
  </si>
  <si>
    <t>Ericka Johnson</t>
  </si>
  <si>
    <t>+()1 251-968-1113</t>
  </si>
  <si>
    <t>Courtyard Gulfport Beachfront</t>
  </si>
  <si>
    <t xml:space="preserve">1600 East Beach Blvd. </t>
  </si>
  <si>
    <t>Charla Fontenot</t>
  </si>
  <si>
    <t>+ (228) 864-4310</t>
  </si>
  <si>
    <t xml:space="preserve">Courtyard Hagerstown </t>
  </si>
  <si>
    <t xml:space="preserve">17270 Valley Mall Rd </t>
  </si>
  <si>
    <t>Hagerstown</t>
  </si>
  <si>
    <t>+(301 )582-0043</t>
  </si>
  <si>
    <t>Courtyard Hampton</t>
  </si>
  <si>
    <t xml:space="preserve">1917 Coliseum Drive </t>
  </si>
  <si>
    <t>Jim Ricci</t>
  </si>
  <si>
    <t>(757) 838-3300</t>
  </si>
  <si>
    <t>Courtyard Hanover Lebanon</t>
  </si>
  <si>
    <t xml:space="preserve">10 Morgan Drive </t>
  </si>
  <si>
    <t>Ty Kulick</t>
  </si>
  <si>
    <t>+ (603) 643-5600</t>
  </si>
  <si>
    <t>Courtyard Harlingen</t>
  </si>
  <si>
    <t xml:space="preserve">1725 West Filmore Avenue </t>
  </si>
  <si>
    <t>Harlingen</t>
  </si>
  <si>
    <t>Argentina Reyes</t>
  </si>
  <si>
    <t>+ (956) 412-7800</t>
  </si>
  <si>
    <t>Courtyard Hartford Windsor</t>
  </si>
  <si>
    <t xml:space="preserve">1 Day Hill Road </t>
  </si>
  <si>
    <t>Colleen Westbrook</t>
  </si>
  <si>
    <t>+(860)683-0022</t>
  </si>
  <si>
    <t>Courtyard Hattiesburg</t>
  </si>
  <si>
    <t xml:space="preserve">119 Grand Drive </t>
  </si>
  <si>
    <t>Merrily Strickland</t>
  </si>
  <si>
    <t>+ (601) 268-3050</t>
  </si>
  <si>
    <t>Courtyard Hawthorne LAX</t>
  </si>
  <si>
    <t xml:space="preserve">4427 El Segunda Boulevard </t>
  </si>
  <si>
    <t>Hawthorne</t>
  </si>
  <si>
    <t>Amanda Wood</t>
  </si>
  <si>
    <t>+1 (310) 263-1116</t>
  </si>
  <si>
    <t>Courtyard Hermosillo</t>
  </si>
  <si>
    <t xml:space="preserve">Periferico Oriente </t>
  </si>
  <si>
    <t>Hermosillo</t>
  </si>
  <si>
    <t>SON</t>
  </si>
  <si>
    <t>Aaron Garcia</t>
  </si>
  <si>
    <t>+00(506)88866034</t>
  </si>
  <si>
    <t>Courtyard Herndon Reston</t>
  </si>
  <si>
    <t xml:space="preserve">533 Herndon Parkway </t>
  </si>
  <si>
    <t>Aleah Powe</t>
  </si>
  <si>
    <t>(703) 478-9400</t>
  </si>
  <si>
    <t>Courtyard High Point</t>
  </si>
  <si>
    <t xml:space="preserve">1000 Mall Loop Road </t>
  </si>
  <si>
    <t>High Point</t>
  </si>
  <si>
    <t>Mark Connell</t>
  </si>
  <si>
    <t>+1 (336) 882-3600</t>
  </si>
  <si>
    <t>Courtyard Hilton Head South</t>
  </si>
  <si>
    <t xml:space="preserve">79 Pope Ave </t>
  </si>
  <si>
    <t>Hilton Head</t>
  </si>
  <si>
    <t>Leigh Anne Staden</t>
  </si>
  <si>
    <t>+(843)802-2180</t>
  </si>
  <si>
    <t>Courtyard Homestead</t>
  </si>
  <si>
    <t xml:space="preserve">2905 NE 9th Street </t>
  </si>
  <si>
    <t>Naranja</t>
  </si>
  <si>
    <t>Orcun Yalcin</t>
  </si>
  <si>
    <t>+ (305) 257-4333</t>
  </si>
  <si>
    <t>Courtyard Hot Springs</t>
  </si>
  <si>
    <t xml:space="preserve">200 Marriott Court </t>
  </si>
  <si>
    <t>Hot Springs National Park</t>
  </si>
  <si>
    <t>Kurt Schatzl</t>
  </si>
  <si>
    <t>Lisa Icenogle</t>
  </si>
  <si>
    <t>+1 (501) 651-4366</t>
  </si>
  <si>
    <t>Courtyard Houston Hobby Airport</t>
  </si>
  <si>
    <t xml:space="preserve">9190 Gulf Freeway </t>
  </si>
  <si>
    <t>Ree Allen</t>
  </si>
  <si>
    <t>(713) 910-1700</t>
  </si>
  <si>
    <t>Courtyard Houston I-10 West-Park Row</t>
  </si>
  <si>
    <t xml:space="preserve">18010 Park Row Drive </t>
  </si>
  <si>
    <t>Marco Gonzalez</t>
  </si>
  <si>
    <t>Tara Campbell</t>
  </si>
  <si>
    <t>+1 (281) 492-7979</t>
  </si>
  <si>
    <t>Courtyard Houston Medical Center</t>
  </si>
  <si>
    <t xml:space="preserve">7702 Main Street </t>
  </si>
  <si>
    <t xml:space="preserve">Joseph Sherfield </t>
  </si>
  <si>
    <t>Christopher Pomilla</t>
  </si>
  <si>
    <t>+(713)668-4500</t>
  </si>
  <si>
    <t>Courtyard Houston North - Shenandoah</t>
  </si>
  <si>
    <t xml:space="preserve">19255 David Memorial Drive </t>
  </si>
  <si>
    <t>Shenandoah</t>
  </si>
  <si>
    <t>Lance Fischer</t>
  </si>
  <si>
    <t>+()1 936-273-6600</t>
  </si>
  <si>
    <t>Courtyard Houston Northwest</t>
  </si>
  <si>
    <t xml:space="preserve">11050 Louetta Road </t>
  </si>
  <si>
    <t>Jennifer Hernandez</t>
  </si>
  <si>
    <t>(281) 374-6464</t>
  </si>
  <si>
    <t>Courtyard Houston Northwest 290 Corridor</t>
  </si>
  <si>
    <t xml:space="preserve">6708 North Gessner Road </t>
  </si>
  <si>
    <t>Leticia Garza</t>
  </si>
  <si>
    <t>+1 (832) 786-6400</t>
  </si>
  <si>
    <t>Courtyard Houston Pearland</t>
  </si>
  <si>
    <t xml:space="preserve">11200 Broadway </t>
  </si>
  <si>
    <t>Pearland</t>
  </si>
  <si>
    <t>Philip Haddad</t>
  </si>
  <si>
    <t>+1 (713) 413-0500</t>
  </si>
  <si>
    <t>Courtyard Houston Springwoods Village</t>
  </si>
  <si>
    <t xml:space="preserve">22742 Holzwarth Road </t>
  </si>
  <si>
    <t>Karen L</t>
  </si>
  <si>
    <t>Kellan Beran</t>
  </si>
  <si>
    <t>+1 (281) 353-1910</t>
  </si>
  <si>
    <t>Courtyard Houston Sugar Land Lake Pointe</t>
  </si>
  <si>
    <t xml:space="preserve">16740 Creek Bend Drive </t>
  </si>
  <si>
    <t>Sugar Land</t>
  </si>
  <si>
    <t>Daniel Ali</t>
  </si>
  <si>
    <t>+(281) 494-0555</t>
  </si>
  <si>
    <t>Courtyard Houston West</t>
  </si>
  <si>
    <t xml:space="preserve">3220 Katy Freeway </t>
  </si>
  <si>
    <t>Chris Gibson</t>
  </si>
  <si>
    <t>+1 (281) 888-5896</t>
  </si>
  <si>
    <t>Courtyard Houston Westchase</t>
  </si>
  <si>
    <t xml:space="preserve">9975 Westheimer </t>
  </si>
  <si>
    <t>McKenzie Smith</t>
  </si>
  <si>
    <t>+1 (713) 784-3003</t>
  </si>
  <si>
    <t>Courtyard Houston-West University</t>
  </si>
  <si>
    <t xml:space="preserve">2929 Westpark Drive </t>
  </si>
  <si>
    <t>Heather Garcia</t>
  </si>
  <si>
    <t>+1 (713) 661-5669</t>
  </si>
  <si>
    <t>Courtyard Hyannis</t>
  </si>
  <si>
    <t xml:space="preserve">707 Iyannough Rd Route 132 </t>
  </si>
  <si>
    <t>Wendy Anderlot</t>
  </si>
  <si>
    <t>+ (508) 775-6600</t>
  </si>
  <si>
    <t>Courtyard Indianapolis Airport</t>
  </si>
  <si>
    <t xml:space="preserve">2602 Fortune Circle East </t>
  </si>
  <si>
    <t>Angela Frederking</t>
  </si>
  <si>
    <t>Dawn Wyeth</t>
  </si>
  <si>
    <t>(317) 248-0300</t>
  </si>
  <si>
    <t>Courtyard Indianapolis Castleton</t>
  </si>
  <si>
    <t xml:space="preserve">8670 Allisonville Road </t>
  </si>
  <si>
    <t>Julie Muriuki</t>
  </si>
  <si>
    <t>Brandon Frost</t>
  </si>
  <si>
    <t>(317) 576-9559</t>
  </si>
  <si>
    <t>Courtyard Indianapolis Downtown</t>
  </si>
  <si>
    <t xml:space="preserve">601 West Washington Street </t>
  </si>
  <si>
    <t>indycourt tester</t>
  </si>
  <si>
    <t>Joseph Ricapito</t>
  </si>
  <si>
    <t>+ (317) 573-6536</t>
  </si>
  <si>
    <t>Courtyard Indianapolis Noblesville</t>
  </si>
  <si>
    <t xml:space="preserve">17863 Foundation Drive </t>
  </si>
  <si>
    <t>Cindy Dulaney</t>
  </si>
  <si>
    <t>+1 (317) 770-7800</t>
  </si>
  <si>
    <t>Courtyard Indianapolis West-Speedway</t>
  </si>
  <si>
    <t xml:space="preserve">6315 Crawfordsville Road </t>
  </si>
  <si>
    <t>Speedway</t>
  </si>
  <si>
    <t>Whitney McCoy</t>
  </si>
  <si>
    <t>+1(317)396-6600</t>
  </si>
  <si>
    <t>Courtyard Invaders Bay</t>
  </si>
  <si>
    <t>Courtyard by Marriott Trinidad &amp; Tobago Audrey Jeffer's Highway</t>
  </si>
  <si>
    <t>Port of Spain Trinidad</t>
  </si>
  <si>
    <t>Nicol Khelawan</t>
  </si>
  <si>
    <t>Leslie Ann Dorner-Byron</t>
  </si>
  <si>
    <t>+1 (868) 627-5555</t>
  </si>
  <si>
    <t>Courtyard Irvine John Wayne Airport</t>
  </si>
  <si>
    <t xml:space="preserve">2701 Main Street </t>
  </si>
  <si>
    <t>Karlyn Bretz</t>
  </si>
  <si>
    <t>(949) 757-1200</t>
  </si>
  <si>
    <t>Courtyard Irvine Spectrum</t>
  </si>
  <si>
    <t xml:space="preserve">7955 Irvine Center Drive </t>
  </si>
  <si>
    <t>Audun Poulsen</t>
  </si>
  <si>
    <t>+1 (949) 453-1033</t>
  </si>
  <si>
    <t>Courtyard Ithaca</t>
  </si>
  <si>
    <t xml:space="preserve">29 Thornwood Drive </t>
  </si>
  <si>
    <t>Jeremy Worrell</t>
  </si>
  <si>
    <t>+ (607) 330-1000</t>
  </si>
  <si>
    <t>Courtyard Jackson (TN)</t>
  </si>
  <si>
    <t xml:space="preserve">200 Campbell Oaks Drive </t>
  </si>
  <si>
    <t>Sara Conley</t>
  </si>
  <si>
    <t>+1 (731) 422-1818</t>
  </si>
  <si>
    <t>Courtyard Jacksonville Airport</t>
  </si>
  <si>
    <t xml:space="preserve">14668 Duval Road </t>
  </si>
  <si>
    <t>+ 1 (904) 741-1122</t>
  </si>
  <si>
    <t>Courtyard Jacksonville Butler Blvd</t>
  </si>
  <si>
    <t xml:space="preserve">4670 Lenoir Avenue South </t>
  </si>
  <si>
    <t>Beryl Rice</t>
  </si>
  <si>
    <t>Linda Pelka</t>
  </si>
  <si>
    <t>+ (904) 296-2828</t>
  </si>
  <si>
    <t>Courtyard Jacksonville Mayo Clinic</t>
  </si>
  <si>
    <t xml:space="preserve">14390 Mayo Blvd. </t>
  </si>
  <si>
    <t>David Mason</t>
  </si>
  <si>
    <t>+1 (904) 223-1700</t>
  </si>
  <si>
    <t>Courtyard Jefferson City</t>
  </si>
  <si>
    <t xml:space="preserve">610 Bolivar Street </t>
  </si>
  <si>
    <t>Scott Perry</t>
  </si>
  <si>
    <t>+1 (573) 760-0850</t>
  </si>
  <si>
    <t>Courtyard Jersey City</t>
  </si>
  <si>
    <t xml:space="preserve">540 Washington Boulevard </t>
  </si>
  <si>
    <t>John Rojan</t>
  </si>
  <si>
    <t xml:space="preserve">Rose Antoine </t>
  </si>
  <si>
    <t>(201) 626-6600</t>
  </si>
  <si>
    <t>Courtyard Johnson City</t>
  </si>
  <si>
    <t xml:space="preserve">4025 Hamilton Place </t>
  </si>
  <si>
    <t>Johnson City</t>
  </si>
  <si>
    <t>Steven Bales</t>
  </si>
  <si>
    <t>+1 (423) 262-0275</t>
  </si>
  <si>
    <t>Courtyard Junction City</t>
  </si>
  <si>
    <t xml:space="preserve">310 Hammons Drive </t>
  </si>
  <si>
    <t>JUNCTION CITY</t>
  </si>
  <si>
    <t>Rick Mata</t>
  </si>
  <si>
    <t>+1 (785) 210-1500</t>
  </si>
  <si>
    <t>Courtyard Jupiter Abacoa</t>
  </si>
  <si>
    <t xml:space="preserve">4800 Main Street </t>
  </si>
  <si>
    <t>Jupiter</t>
  </si>
  <si>
    <t>Dennis Tolentino</t>
  </si>
  <si>
    <t>+1 (561) 406-3369</t>
  </si>
  <si>
    <t>Courtyard Kansas City Downtown Convention Center</t>
  </si>
  <si>
    <t xml:space="preserve">1535 Baltimore Avenue </t>
  </si>
  <si>
    <t>Curt Cerise</t>
  </si>
  <si>
    <t>Joy Ramirez</t>
  </si>
  <si>
    <t>+(816) 221-7400</t>
  </si>
  <si>
    <t>Courtyard Kansas City Overland Park Convention Center</t>
  </si>
  <si>
    <t xml:space="preserve">11001 Woodson Street </t>
  </si>
  <si>
    <t>Marcia Hall</t>
  </si>
  <si>
    <t>Shannon Waters</t>
  </si>
  <si>
    <t>(913) 317-8500</t>
  </si>
  <si>
    <t>Courtyard Kansas City Overland Park Metcalf</t>
  </si>
  <si>
    <t xml:space="preserve">11301 Metcalf Avenue </t>
  </si>
  <si>
    <t>Lorraine Katzer</t>
  </si>
  <si>
    <t>Cindy Gillies</t>
  </si>
  <si>
    <t>+(913)339-9900</t>
  </si>
  <si>
    <t>Courtyard Kingston</t>
  </si>
  <si>
    <t xml:space="preserve">500 Frank Sottile Blvd. </t>
  </si>
  <si>
    <t>Shiona Howe</t>
  </si>
  <si>
    <t>+1 (845) 382-2300</t>
  </si>
  <si>
    <t>Courtyard Kingston Jamaica</t>
  </si>
  <si>
    <t xml:space="preserve">1 Park Close </t>
  </si>
  <si>
    <t>Lee-Ann Godfrey</t>
  </si>
  <si>
    <t>+1 (876) 618-9900</t>
  </si>
  <si>
    <t>Courtyard Knoxville Airport Alcoa</t>
  </si>
  <si>
    <t xml:space="preserve">141 Furrow Way </t>
  </si>
  <si>
    <t>Shakil Ahmad</t>
  </si>
  <si>
    <t>Larry Myers</t>
  </si>
  <si>
    <t>+1 (865) 977-8333</t>
  </si>
  <si>
    <t>Courtyard Knoxville Cedar Bluff</t>
  </si>
  <si>
    <t xml:space="preserve">216 Langley Place </t>
  </si>
  <si>
    <t>Bradley Granger</t>
  </si>
  <si>
    <t>Samantha Steinman</t>
  </si>
  <si>
    <t>+ (865) 539-0600</t>
  </si>
  <si>
    <t>Courtyard LA Westside</t>
  </si>
  <si>
    <t xml:space="preserve">6333 BRISTOL PARKWAY </t>
  </si>
  <si>
    <t>Sam Sahrai</t>
  </si>
  <si>
    <t>Aureliano Yepez</t>
  </si>
  <si>
    <t>+1 (310) 484-7000</t>
  </si>
  <si>
    <t>Courtyard Lafayette</t>
  </si>
  <si>
    <t xml:space="preserve">150 Fairington Avenue </t>
  </si>
  <si>
    <t>Devry Butcher</t>
  </si>
  <si>
    <t>Kaitlyn Byanski</t>
  </si>
  <si>
    <t>+ (765) 449-4800</t>
  </si>
  <si>
    <t>Baron Property Management LLC dba Sunrise Hospitality</t>
  </si>
  <si>
    <t>Courtyard Lafayette South</t>
  </si>
  <si>
    <t xml:space="preserve">200 Frem Boustany </t>
  </si>
  <si>
    <t>Patrick O'Connor</t>
  </si>
  <si>
    <t>+1 (337) 345-4450</t>
  </si>
  <si>
    <t>Courtyard Lake Charles</t>
  </si>
  <si>
    <t xml:space="preserve">2995 L'Auberge Boulevard </t>
  </si>
  <si>
    <t>Lake Charles</t>
  </si>
  <si>
    <t>Larry Byroad</t>
  </si>
  <si>
    <t>Ben Martinez</t>
  </si>
  <si>
    <t>+1(337) 477-5020</t>
  </si>
  <si>
    <t>Courtyard Lake George</t>
  </si>
  <si>
    <t xml:space="preserve">365 Canada Street </t>
  </si>
  <si>
    <t>Lake George</t>
  </si>
  <si>
    <t>Alyson White</t>
  </si>
  <si>
    <t>+1(518) 761-1150</t>
  </si>
  <si>
    <t>Courtyard Lake Jackson</t>
  </si>
  <si>
    <t xml:space="preserve">159 State Highway 288 </t>
  </si>
  <si>
    <t>Lake Jackson</t>
  </si>
  <si>
    <t>Steve Ridenour</t>
  </si>
  <si>
    <t>+(979) 297-7300</t>
  </si>
  <si>
    <t>Courtyard Lake Norman</t>
  </si>
  <si>
    <t xml:space="preserve">16700 Northcross Drive </t>
  </si>
  <si>
    <t>Keith Wilson</t>
  </si>
  <si>
    <t>+ (704) 949-4900</t>
  </si>
  <si>
    <t>Courtyard Lakeland</t>
  </si>
  <si>
    <t xml:space="preserve">3725 Harden BLVD </t>
  </si>
  <si>
    <t>+ (863) 802-9000</t>
  </si>
  <si>
    <t>Courtyard Lancaster</t>
  </si>
  <si>
    <t xml:space="preserve">1931 Hospitality Drive </t>
  </si>
  <si>
    <t>Lee Wager</t>
  </si>
  <si>
    <t>+ () 717-393-3600</t>
  </si>
  <si>
    <t>Courtyard Landover New Carrollton</t>
  </si>
  <si>
    <t xml:space="preserve">8330 Corporate Drive </t>
  </si>
  <si>
    <t>Fred Boateng</t>
  </si>
  <si>
    <t>Rachael Hawkins</t>
  </si>
  <si>
    <t>(301) 577-3373</t>
  </si>
  <si>
    <t>Courtyard Lansing</t>
  </si>
  <si>
    <t xml:space="preserve">2710 Lake Lansing Road </t>
  </si>
  <si>
    <t>Jeff Kujawski</t>
  </si>
  <si>
    <t>Autumn Harrington</t>
  </si>
  <si>
    <t>+1 (517) 482-0500</t>
  </si>
  <si>
    <t>Courtyard Lansing Okemos</t>
  </si>
  <si>
    <t xml:space="preserve">3545 Meridian Crossing </t>
  </si>
  <si>
    <t>Okemos</t>
  </si>
  <si>
    <t>Mike Kent</t>
  </si>
  <si>
    <t>+1 (517) 347-9940</t>
  </si>
  <si>
    <t>Courtyard Largo Capital Beltway</t>
  </si>
  <si>
    <t xml:space="preserve">1320 Caraway Court </t>
  </si>
  <si>
    <t>Largo</t>
  </si>
  <si>
    <t>Frederick Bowers</t>
  </si>
  <si>
    <t>Courtyard Larkspur</t>
  </si>
  <si>
    <t xml:space="preserve">2500 Larkspur Landing Circle </t>
  </si>
  <si>
    <t>Larkspur</t>
  </si>
  <si>
    <t>Sam Pahlavan</t>
  </si>
  <si>
    <t>(415) 925-1800</t>
  </si>
  <si>
    <t>Courtyard Las Colinas</t>
  </si>
  <si>
    <t xml:space="preserve">1151 West Walnut Hill Lane </t>
  </si>
  <si>
    <t>Melanie Forde</t>
  </si>
  <si>
    <t>Sarah Dechert</t>
  </si>
  <si>
    <t>(972) 550-8100</t>
  </si>
  <si>
    <t>Courtyard Las Vegas Convention Center</t>
  </si>
  <si>
    <t xml:space="preserve">3275 Paradise Road </t>
  </si>
  <si>
    <t>Casey Grieme</t>
  </si>
  <si>
    <t>Chris Jones</t>
  </si>
  <si>
    <t>(702) 791-3600</t>
  </si>
  <si>
    <t>Courtyard Las Vegas Green Valley</t>
  </si>
  <si>
    <t xml:space="preserve">2800 North Green Valley Parkway </t>
  </si>
  <si>
    <t>Bill Feenan</t>
  </si>
  <si>
    <t>Nathan Weare</t>
  </si>
  <si>
    <t>(702) 434-4700</t>
  </si>
  <si>
    <t>Courtyard Lebanon</t>
  </si>
  <si>
    <t xml:space="preserve">300 Corporate Drive </t>
  </si>
  <si>
    <t>Dan Santiago</t>
  </si>
  <si>
    <t>Greg Gerlach</t>
  </si>
  <si>
    <t>(908) 236-8500</t>
  </si>
  <si>
    <t>Courtyard Lehi at Thanksgiving Point</t>
  </si>
  <si>
    <t xml:space="preserve">2801 West Clubhouse Drive </t>
  </si>
  <si>
    <t>LehI</t>
  </si>
  <si>
    <t>Warren Durfee</t>
  </si>
  <si>
    <t>+1 (801) 768-1174</t>
  </si>
  <si>
    <t>Courtyard Leon at The Poliforum</t>
  </si>
  <si>
    <t>Boulevard Francisco Villa # 102 Col. Oriental Zona Recreativa y Cultural Leon Guanajuato</t>
  </si>
  <si>
    <t>Leon</t>
  </si>
  <si>
    <t>Tania Heinze Yothers</t>
  </si>
  <si>
    <t>+(52) 477-295-9400</t>
  </si>
  <si>
    <t>Courtyard Lima</t>
  </si>
  <si>
    <t xml:space="preserve">936 Greely Chapel Road </t>
  </si>
  <si>
    <t>Valerie Bollenbacher</t>
  </si>
  <si>
    <t>Adam Jordan</t>
  </si>
  <si>
    <t>+1 (419) 222-9000</t>
  </si>
  <si>
    <t>Courtyard Lincroft Red Bank</t>
  </si>
  <si>
    <t xml:space="preserve">245 Half Mile Road </t>
  </si>
  <si>
    <t>Red Bank</t>
  </si>
  <si>
    <t>Kiernan Newman</t>
  </si>
  <si>
    <t>Thomas De Masi</t>
  </si>
  <si>
    <t>(732) 530-5552</t>
  </si>
  <si>
    <t>Courtyard Little Rock Downtown</t>
  </si>
  <si>
    <t xml:space="preserve">521 President Clinton Avenue </t>
  </si>
  <si>
    <t>Candace Matthews</t>
  </si>
  <si>
    <t>Tanita Gilliam</t>
  </si>
  <si>
    <t>+1 (501) 975-9800</t>
  </si>
  <si>
    <t>Courtyard Long Beach Downtown</t>
  </si>
  <si>
    <t xml:space="preserve">500 East First Street </t>
  </si>
  <si>
    <t>Silvano Merlo</t>
  </si>
  <si>
    <t>(562) 435-8511</t>
  </si>
  <si>
    <t>Courtyard Long Island MacArthur Airport</t>
  </si>
  <si>
    <t xml:space="preserve">5000 Express Drive South </t>
  </si>
  <si>
    <t>Ronkonkoma</t>
  </si>
  <si>
    <t>Susanne Lofaso</t>
  </si>
  <si>
    <t>+1 (631) 612-5000</t>
  </si>
  <si>
    <t>Courtyard Los Angeles Orange County Hacienda Heights</t>
  </si>
  <si>
    <t xml:space="preserve">1905 S Azusa Avenue </t>
  </si>
  <si>
    <t>Hacienda Heights</t>
  </si>
  <si>
    <t>Griselda Amezcua</t>
  </si>
  <si>
    <t>(626) 965-1700</t>
  </si>
  <si>
    <t>Courtyard Louisville</t>
  </si>
  <si>
    <t xml:space="preserve">9608 Blairwood Road </t>
  </si>
  <si>
    <t>Larry Carrico</t>
  </si>
  <si>
    <t>Samuel Teka</t>
  </si>
  <si>
    <t>(502) 429-0006</t>
  </si>
  <si>
    <t>Courtyard Louisville Downtown</t>
  </si>
  <si>
    <t xml:space="preserve">100 South 2nd Street </t>
  </si>
  <si>
    <t>Andre Donley</t>
  </si>
  <si>
    <t>Anthony Westmoreland</t>
  </si>
  <si>
    <t>+1 (502) 562-0200</t>
  </si>
  <si>
    <t>Louisville C NE Opco LLC (Falcon Group)</t>
  </si>
  <si>
    <t>Courtyard Louisville- Northeast</t>
  </si>
  <si>
    <t xml:space="preserve">10200 Champion Farms Drive </t>
  </si>
  <si>
    <t>Mark Flaherty</t>
  </si>
  <si>
    <t>+1 (502) 429-9293</t>
  </si>
  <si>
    <t>Courtyard Loveland Fort Collins</t>
  </si>
  <si>
    <t xml:space="preserve">6106 Sky Pond Drive </t>
  </si>
  <si>
    <t>Loveland</t>
  </si>
  <si>
    <t>Amanda Wheadon</t>
  </si>
  <si>
    <t>+1 (970) 599-7171</t>
  </si>
  <si>
    <t>Courtyard Lufkin</t>
  </si>
  <si>
    <t xml:space="preserve">2130 South 1st Street </t>
  </si>
  <si>
    <t>Lufkin</t>
  </si>
  <si>
    <t>s s</t>
  </si>
  <si>
    <t>Jenifer Holden</t>
  </si>
  <si>
    <t>+ (936) 632-0777</t>
  </si>
  <si>
    <t>Courtyard Lynchburg</t>
  </si>
  <si>
    <t xml:space="preserve">4640 Murray Place </t>
  </si>
  <si>
    <t>Lynne Simpson</t>
  </si>
  <si>
    <t>+ 1 (434) 846-7900</t>
  </si>
  <si>
    <t>Courtyard Macon</t>
  </si>
  <si>
    <t xml:space="preserve">3990 Sheraton Drive </t>
  </si>
  <si>
    <t>Charlisa McKay</t>
  </si>
  <si>
    <t>Matthew Jennings</t>
  </si>
  <si>
    <t>(478) 477-8899</t>
  </si>
  <si>
    <t>Courtyard Madison</t>
  </si>
  <si>
    <t xml:space="preserve">601 Baptist Drive </t>
  </si>
  <si>
    <t>Melanie James</t>
  </si>
  <si>
    <t>Michael Blum</t>
  </si>
  <si>
    <t>+1 (601) 605-8810</t>
  </si>
  <si>
    <t>Courtyard Madison-East</t>
  </si>
  <si>
    <t xml:space="preserve">2502 Crossroads Drive </t>
  </si>
  <si>
    <t>Andrew Myer</t>
  </si>
  <si>
    <t>Andy Gonzalez</t>
  </si>
  <si>
    <t>+1 (608) 661-8100</t>
  </si>
  <si>
    <t xml:space="preserve">Courtyard Malvern </t>
  </si>
  <si>
    <t xml:space="preserve">280 Old Morehall Road </t>
  </si>
  <si>
    <t>Amberlyn Waterhouse</t>
  </si>
  <si>
    <t>+1 (610) 993-2600</t>
  </si>
  <si>
    <t>Courtyard Mankato</t>
  </si>
  <si>
    <t xml:space="preserve">901 Raintree Road </t>
  </si>
  <si>
    <t>Ashley Fenzke</t>
  </si>
  <si>
    <t>+1 (507) 388-1234</t>
  </si>
  <si>
    <t>Courtyard Marathon Florida Keys</t>
  </si>
  <si>
    <t xml:space="preserve">2146 Overseas Highway </t>
  </si>
  <si>
    <t>Grassy Key</t>
  </si>
  <si>
    <t>Daniel Bissig</t>
  </si>
  <si>
    <t>+1(305) 289-2100</t>
  </si>
  <si>
    <t>Courtyard Marietta I-75 North</t>
  </si>
  <si>
    <t xml:space="preserve">2455 Delk Road Southeast </t>
  </si>
  <si>
    <t>Jessica Harris</t>
  </si>
  <si>
    <t>+1 (770) 956-1188</t>
  </si>
  <si>
    <t>Waterton Hospitality</t>
  </si>
  <si>
    <t>Courtyard Marlborough</t>
  </si>
  <si>
    <t xml:space="preserve">75 Felton Street </t>
  </si>
  <si>
    <t>MARLBOROUGH</t>
  </si>
  <si>
    <t>Blake Alleyn</t>
  </si>
  <si>
    <t>Tommie Brunson</t>
  </si>
  <si>
    <t>+ (508) 480-0015</t>
  </si>
  <si>
    <t>Global Investment Real SA</t>
  </si>
  <si>
    <t>Courtyard Marriott Panama at Metromall Mall</t>
  </si>
  <si>
    <t>Avenido Domingo Diaz via Tocumen al lado del centro comercial Metromall</t>
  </si>
  <si>
    <t xml:space="preserve">Juan Jose Franco </t>
  </si>
  <si>
    <t>+1 (507) 304-9595</t>
  </si>
  <si>
    <t>Courtyard Marriott Village at Lake Buena Vista</t>
  </si>
  <si>
    <t xml:space="preserve">8623 Vineland Avenue </t>
  </si>
  <si>
    <t>John McCracken</t>
  </si>
  <si>
    <t>+(407)938-9001</t>
  </si>
  <si>
    <t>Castle Hospitality Ltd.</t>
  </si>
  <si>
    <t>Courtyard McAllen Airport</t>
  </si>
  <si>
    <t xml:space="preserve">2131 South 10th Street </t>
  </si>
  <si>
    <t>Alejandra Cavazos</t>
  </si>
  <si>
    <t>Suhayl Cedillo</t>
  </si>
  <si>
    <t>+ (956) 668-7800</t>
  </si>
  <si>
    <t>Courtyard McDonough</t>
  </si>
  <si>
    <t xml:space="preserve">115 Mill Rd. </t>
  </si>
  <si>
    <t>Mc Donough</t>
  </si>
  <si>
    <t>+1 (678) 902-9000</t>
  </si>
  <si>
    <t>Courtyard McHenry Row</t>
  </si>
  <si>
    <t xml:space="preserve">1803 Porter Street </t>
  </si>
  <si>
    <t>Josee Jean</t>
  </si>
  <si>
    <t>+1 (443) 853-9918</t>
  </si>
  <si>
    <t>Courtyard Medford Airport</t>
  </si>
  <si>
    <t xml:space="preserve">600 Airport Rd. </t>
  </si>
  <si>
    <t>Shannon Johnson</t>
  </si>
  <si>
    <t>Terri Hogeland</t>
  </si>
  <si>
    <t>+1 (541) 772-5656</t>
  </si>
  <si>
    <t>Courtyard Melbourne</t>
  </si>
  <si>
    <t xml:space="preserve">2101 W New Haven Avenue </t>
  </si>
  <si>
    <t>West Melbourne</t>
  </si>
  <si>
    <t>Leah Blackmore</t>
  </si>
  <si>
    <t>Eric Braga</t>
  </si>
  <si>
    <t>(321) 724-6400</t>
  </si>
  <si>
    <t>Courtyard Memphis Airport</t>
  </si>
  <si>
    <t xml:space="preserve">1780 Nonconnah Boulevard </t>
  </si>
  <si>
    <t>Bob Boston</t>
  </si>
  <si>
    <t>Megan Savare</t>
  </si>
  <si>
    <t>(901) 396-3600</t>
  </si>
  <si>
    <t>Courtyard Memphis Germantown</t>
  </si>
  <si>
    <t xml:space="preserve">7750 Wolf River Parkway </t>
  </si>
  <si>
    <t>Morgan Lane</t>
  </si>
  <si>
    <t>+ (901) 751-0230</t>
  </si>
  <si>
    <t>Courtyard Memphis Park Ave East</t>
  </si>
  <si>
    <t xml:space="preserve">6015 Park Avenue </t>
  </si>
  <si>
    <t>Richard Gentry</t>
  </si>
  <si>
    <t>(901) 761-0330</t>
  </si>
  <si>
    <t>Courtyard Mendota Heights</t>
  </si>
  <si>
    <t xml:space="preserve">1352 Northland Drive </t>
  </si>
  <si>
    <t>Mendota Heights</t>
  </si>
  <si>
    <t>Michael Mitchell</t>
  </si>
  <si>
    <t xml:space="preserve">Meggie Dahl (former employee) </t>
  </si>
  <si>
    <t>(651) 452-2000</t>
  </si>
  <si>
    <t>Courtyard Mesa</t>
  </si>
  <si>
    <t xml:space="preserve">1221 South Westwood Avenue </t>
  </si>
  <si>
    <t>Patricia Gaukel</t>
  </si>
  <si>
    <t>(480) 461-3000</t>
  </si>
  <si>
    <t>Courtyard Mesquite</t>
  </si>
  <si>
    <t xml:space="preserve">2300 Interstate 30 </t>
  </si>
  <si>
    <t>Ryan Keen</t>
  </si>
  <si>
    <t>+ (972) 681-3300</t>
  </si>
  <si>
    <t>Courtyard Mexico City Airport</t>
  </si>
  <si>
    <t>Sinaloa 31 Colonia Penon de los Banos Del. Venustiano Carranza</t>
  </si>
  <si>
    <t>+1 (55) 4631-4000</t>
  </si>
  <si>
    <t>Hotel Flamingos Plaza S.A. DE C.V.</t>
  </si>
  <si>
    <t>Courtyard Mexico City Revolucion</t>
  </si>
  <si>
    <t xml:space="preserve">Av. Revolucion 333 Col. Tacubaya </t>
  </si>
  <si>
    <t>Rosa Maria Martinez Garcia</t>
  </si>
  <si>
    <t>+52(55)5627-0220</t>
  </si>
  <si>
    <t>Courtyard Mexico City Toreo</t>
  </si>
  <si>
    <t>Boulevard Manuel Avila Camacho 150 Fracc El Parque</t>
  </si>
  <si>
    <t>+1(554) 739-6930</t>
  </si>
  <si>
    <t>Courtyard Miami - Dolphin Mall</t>
  </si>
  <si>
    <t xml:space="preserve">11275 NW 12th Street </t>
  </si>
  <si>
    <t>Sandy Padua</t>
  </si>
  <si>
    <t xml:space="preserve">+ (305) 994-9343 </t>
  </si>
  <si>
    <t>Courtyard Miami Airport South</t>
  </si>
  <si>
    <t xml:space="preserve">1201 NW LeJeune Road </t>
  </si>
  <si>
    <t>Chade Brunton</t>
  </si>
  <si>
    <t>+ (305) 642-8200</t>
  </si>
  <si>
    <t>Courtyard Miami Airport West</t>
  </si>
  <si>
    <t xml:space="preserve">3929 Northwest 79th Avenue </t>
  </si>
  <si>
    <t>Beata Emmer</t>
  </si>
  <si>
    <t>Carlos Perez</t>
  </si>
  <si>
    <t>(305) 477-8118</t>
  </si>
  <si>
    <t>Courtyard Miami Coconut Grove</t>
  </si>
  <si>
    <t xml:space="preserve">2649 South Bayshore Drive </t>
  </si>
  <si>
    <t>Thomas Langone</t>
  </si>
  <si>
    <t>+ (305) 858-2500</t>
  </si>
  <si>
    <t>Courtyard Miami Coral Gables</t>
  </si>
  <si>
    <t xml:space="preserve">2051 South Le Jeune Road </t>
  </si>
  <si>
    <t>CORAL GABLES</t>
  </si>
  <si>
    <t>Aida Martinez</t>
  </si>
  <si>
    <t>+1 (305) 443-2301</t>
  </si>
  <si>
    <t>Courtyard Miami Downtown</t>
  </si>
  <si>
    <t xml:space="preserve">200 Southeast Second Avenue </t>
  </si>
  <si>
    <t>Andrey De Risio</t>
  </si>
  <si>
    <t>Karin Bittong</t>
  </si>
  <si>
    <t>+ (305) 374-3000</t>
  </si>
  <si>
    <t>Courtyard Miami-South Beach</t>
  </si>
  <si>
    <t xml:space="preserve">1530 Washington Avenue </t>
  </si>
  <si>
    <t>Doris Diaz</t>
  </si>
  <si>
    <t>Robert Burton</t>
  </si>
  <si>
    <t>(305) 604-8887</t>
  </si>
  <si>
    <t>Courtyard Middletown-Wallkill</t>
  </si>
  <si>
    <t xml:space="preserve">24 Crystal Run Crossing </t>
  </si>
  <si>
    <t>+1 (845) 695-0606</t>
  </si>
  <si>
    <t>Courtyard Midlothian Conference Center</t>
  </si>
  <si>
    <t xml:space="preserve">3 Community Circle Drive </t>
  </si>
  <si>
    <t>+1(469)672-8760</t>
  </si>
  <si>
    <t>Courtyard Milpitas</t>
  </si>
  <si>
    <t xml:space="preserve">1480 Falcon Drive </t>
  </si>
  <si>
    <t>Greg Huber</t>
  </si>
  <si>
    <t>Lauren Stratz</t>
  </si>
  <si>
    <t>(408) 719-1966</t>
  </si>
  <si>
    <t>Courtyard Milwaukee Downtown</t>
  </si>
  <si>
    <t xml:space="preserve">300 W. Michigan Street </t>
  </si>
  <si>
    <t>Barb Weinkauf</t>
  </si>
  <si>
    <t>Kerri Huelsbeck</t>
  </si>
  <si>
    <t>+(414)291-4122</t>
  </si>
  <si>
    <t>Courtyard Milwaukee North Brown Deer</t>
  </si>
  <si>
    <t xml:space="preserve">5200 West Brown Deer Road </t>
  </si>
  <si>
    <t>Brown Deer</t>
  </si>
  <si>
    <t>David Fuglseth</t>
  </si>
  <si>
    <t>Millard Ellis</t>
  </si>
  <si>
    <t>+ (414) 355-7500</t>
  </si>
  <si>
    <t xml:space="preserve">Courtyard Minneapolis Downtown </t>
  </si>
  <si>
    <t xml:space="preserve">1500 Washington AVE S </t>
  </si>
  <si>
    <t xml:space="preserve">Minneapolis </t>
  </si>
  <si>
    <t>Mark Maggiotto</t>
  </si>
  <si>
    <t>Phil Johnson</t>
  </si>
  <si>
    <t>+ (612) 333-4646</t>
  </si>
  <si>
    <t>Courtyard Mobile</t>
  </si>
  <si>
    <t xml:space="preserve">1000 West I-65 Service Rd. S </t>
  </si>
  <si>
    <t>Gwennetta Todd</t>
  </si>
  <si>
    <t>+(251) 344-5200</t>
  </si>
  <si>
    <t>Courtyard Monroe Airport</t>
  </si>
  <si>
    <t xml:space="preserve">4915 Pecanland Mall Drive </t>
  </si>
  <si>
    <t>Michael Swanner</t>
  </si>
  <si>
    <t>+1 (318) 388-0034</t>
  </si>
  <si>
    <t>Courtyard Montreal Airport</t>
  </si>
  <si>
    <t xml:space="preserve">7000 PLACE ROBERT-JONCAS </t>
  </si>
  <si>
    <t>MONTREAL</t>
  </si>
  <si>
    <t>H4M 2Z5</t>
  </si>
  <si>
    <t>Mirella Alfiero</t>
  </si>
  <si>
    <t>Vicki Houle</t>
  </si>
  <si>
    <t>+1 (514) 339-5333</t>
  </si>
  <si>
    <t>Courtyard Montreal Brossard</t>
  </si>
  <si>
    <t xml:space="preserve">3300 rue de l'Eclipse </t>
  </si>
  <si>
    <t>J4Z 0P5</t>
  </si>
  <si>
    <t>Etienne Houle</t>
  </si>
  <si>
    <t>+1(450)890-8080</t>
  </si>
  <si>
    <t>Courtyard Mt Laurel</t>
  </si>
  <si>
    <t xml:space="preserve">1000 Century Parkway </t>
  </si>
  <si>
    <t>LaKeisha Pierce</t>
  </si>
  <si>
    <t>Paula Palmer</t>
  </si>
  <si>
    <t>(856) 273-4400</t>
  </si>
  <si>
    <t>Courtyard Nashville Airport</t>
  </si>
  <si>
    <t xml:space="preserve">2508 Elm Hill Pike </t>
  </si>
  <si>
    <t>Leslie Smith</t>
  </si>
  <si>
    <t>Falon Burroughs</t>
  </si>
  <si>
    <t>+(615)883-9500</t>
  </si>
  <si>
    <t>Courtyard Nashville Brentwood</t>
  </si>
  <si>
    <t xml:space="preserve">103 East Park Drive </t>
  </si>
  <si>
    <t>Denis Jaupi</t>
  </si>
  <si>
    <t>Joshua Dobson</t>
  </si>
  <si>
    <t>(615) 371-9200</t>
  </si>
  <si>
    <t>Courtyard Nashville Downtown</t>
  </si>
  <si>
    <t xml:space="preserve">170 Fourth Ave North </t>
  </si>
  <si>
    <t>Scott Faircloth</t>
  </si>
  <si>
    <t>Ben Williams</t>
  </si>
  <si>
    <t>(615) 256-0900</t>
  </si>
  <si>
    <t>Courtyard Nashville Goodlettsville</t>
  </si>
  <si>
    <t xml:space="preserve">865 Conference Drive </t>
  </si>
  <si>
    <t>Goodlettsville</t>
  </si>
  <si>
    <t>Robby Gilreath</t>
  </si>
  <si>
    <t>Brandon Chauvin</t>
  </si>
  <si>
    <t>+ (615) 851-3000</t>
  </si>
  <si>
    <t>Courtyard Nashville Green Hills</t>
  </si>
  <si>
    <t xml:space="preserve">3800 Bedford Avenue </t>
  </si>
  <si>
    <t>Cedric Sharp</t>
  </si>
  <si>
    <t>Bertina Watson</t>
  </si>
  <si>
    <t>+1 (615) 298-7700</t>
  </si>
  <si>
    <t>Courtyard Nashville Mt. Juliet</t>
  </si>
  <si>
    <t xml:space="preserve">1980 Providence Parkway </t>
  </si>
  <si>
    <t>Bennie Caston</t>
  </si>
  <si>
    <t>+1 (832) 526-9901</t>
  </si>
  <si>
    <t>Courtyard Nashville Opryland</t>
  </si>
  <si>
    <t xml:space="preserve">125 Music City Circle </t>
  </si>
  <si>
    <t>+1 (615) 882-9133</t>
  </si>
  <si>
    <t>Courtyard Nashville Southeast - Murfreesboro</t>
  </si>
  <si>
    <t xml:space="preserve">1306 Greshampark Drive </t>
  </si>
  <si>
    <t xml:space="preserve">Elaine Schrader </t>
  </si>
  <si>
    <t>Mary Oagles</t>
  </si>
  <si>
    <t>+1 (615) 907-3105</t>
  </si>
  <si>
    <t>Courtyard Nassau Bay Houston</t>
  </si>
  <si>
    <t xml:space="preserve">18100 Saturn Lane </t>
  </si>
  <si>
    <t>Nassau Bay</t>
  </si>
  <si>
    <t>Kristi Amiri</t>
  </si>
  <si>
    <t>Kimberly Zotz</t>
  </si>
  <si>
    <t xml:space="preserve">+ (281) 333-0220 </t>
  </si>
  <si>
    <t>Courtyard New Bern</t>
  </si>
  <si>
    <t xml:space="preserve">218 East Front Street </t>
  </si>
  <si>
    <t>Reg Poteat</t>
  </si>
  <si>
    <t>+1 (252) 636-0022</t>
  </si>
  <si>
    <t>Courtyard New Orleans Covington Mandeville</t>
  </si>
  <si>
    <t xml:space="preserve">101 NorthPark Boulevard </t>
  </si>
  <si>
    <t>Darrius Gray</t>
  </si>
  <si>
    <t>Ronda Clayton</t>
  </si>
  <si>
    <t>+1 (985) 871-0244</t>
  </si>
  <si>
    <t>Courtyard New Orleans Downtown Iberville</t>
  </si>
  <si>
    <t>910 Iberville Street # 70112F</t>
  </si>
  <si>
    <t>Austin Westbrook</t>
  </si>
  <si>
    <t>+1 (504) 523-2400</t>
  </si>
  <si>
    <t>Courtyard New Orleans Metairie</t>
  </si>
  <si>
    <t xml:space="preserve">2 Galleria Blvd. </t>
  </si>
  <si>
    <t>Michael Richardson</t>
  </si>
  <si>
    <t>Teyonda Hamilton</t>
  </si>
  <si>
    <t>(504) 838-3800</t>
  </si>
  <si>
    <t>Courtyard New York Midtown East</t>
  </si>
  <si>
    <t xml:space="preserve">866 Third Avenue </t>
  </si>
  <si>
    <t>Steven McClure</t>
  </si>
  <si>
    <t>Luis Garcia</t>
  </si>
  <si>
    <t>+1 (212) 644-1300</t>
  </si>
  <si>
    <t>34 Endeavor Hospitality Group LLC</t>
  </si>
  <si>
    <t>Courtyard New York Midtown West</t>
  </si>
  <si>
    <t xml:space="preserve">461 West 34th Street </t>
  </si>
  <si>
    <t>Robert Cole</t>
  </si>
  <si>
    <t>Stephanie Chavez</t>
  </si>
  <si>
    <t>+1 (212) 553-3000</t>
  </si>
  <si>
    <t>Courtyard Newark Airport</t>
  </si>
  <si>
    <t xml:space="preserve">600 Route 1&amp;9 South </t>
  </si>
  <si>
    <t>Pat Flannery</t>
  </si>
  <si>
    <t>+(973)643-8500</t>
  </si>
  <si>
    <t>Courtyard Newark Downtown</t>
  </si>
  <si>
    <t xml:space="preserve">858 Broad Street </t>
  </si>
  <si>
    <t>Howard Spellman</t>
  </si>
  <si>
    <t>+1 (973) 848-0070</t>
  </si>
  <si>
    <t xml:space="preserve">Courtyard Newburgh - Stewart </t>
  </si>
  <si>
    <t xml:space="preserve">4 Governor Drive </t>
  </si>
  <si>
    <t>Newburgh</t>
  </si>
  <si>
    <t>Patty Earl</t>
  </si>
  <si>
    <t>+1 (845) 567-4800</t>
  </si>
  <si>
    <t>Courtyard Newport News Airport</t>
  </si>
  <si>
    <t xml:space="preserve">530 Saint Johns Road </t>
  </si>
  <si>
    <t>Newport News</t>
  </si>
  <si>
    <t>Stephanie Siler</t>
  </si>
  <si>
    <t>+1 (757) 842-6212</t>
  </si>
  <si>
    <t>Courtyard Newport News Yorktown</t>
  </si>
  <si>
    <t xml:space="preserve">105 Cybernetics Way </t>
  </si>
  <si>
    <t>Fallon Sherwood</t>
  </si>
  <si>
    <t>+1 (757) 874-9000</t>
  </si>
  <si>
    <t>Element Development LLC dba Rupal Hospitality</t>
  </si>
  <si>
    <t>Courtyard Niagara Falls USA</t>
  </si>
  <si>
    <t xml:space="preserve">900 Buffalo Avenue </t>
  </si>
  <si>
    <t>Sarah Billittier</t>
  </si>
  <si>
    <t>+1 (716) 284-2222</t>
  </si>
  <si>
    <t>Courtyard Norfolk Downtown</t>
  </si>
  <si>
    <t xml:space="preserve">520 Plume Street </t>
  </si>
  <si>
    <t>Norfolk</t>
  </si>
  <si>
    <t>Cecilio Torres</t>
  </si>
  <si>
    <t>Chris Perry</t>
  </si>
  <si>
    <t>+1 (757) 963-6000</t>
  </si>
  <si>
    <t>Courtyard Norman</t>
  </si>
  <si>
    <t xml:space="preserve">770 Copperfield Drive </t>
  </si>
  <si>
    <t>Norman</t>
  </si>
  <si>
    <t>Kimberly Bonta</t>
  </si>
  <si>
    <t>+1 (405) 701-8900</t>
  </si>
  <si>
    <t>Courtyard North</t>
  </si>
  <si>
    <t xml:space="preserve">3737 Atlantic Ave </t>
  </si>
  <si>
    <t>Tracy Kummers</t>
  </si>
  <si>
    <t>+1 (757) 437-0098</t>
  </si>
  <si>
    <t>Courtyard Norwalk</t>
  </si>
  <si>
    <t xml:space="preserve">474 Main Avenue </t>
  </si>
  <si>
    <t>Diego Romero</t>
  </si>
  <si>
    <t>Rose Blueurose</t>
  </si>
  <si>
    <t>+(203)849-9111</t>
  </si>
  <si>
    <t>Courtyard Norwich</t>
  </si>
  <si>
    <t xml:space="preserve">181 West Town Street </t>
  </si>
  <si>
    <t>Norwich</t>
  </si>
  <si>
    <t>Merrill Marschat</t>
  </si>
  <si>
    <t>+1 (860) 886-2600</t>
  </si>
  <si>
    <t>Courtyard Novato</t>
  </si>
  <si>
    <t xml:space="preserve">1400 N Hamiliton Parkway </t>
  </si>
  <si>
    <t>Novato</t>
  </si>
  <si>
    <t>Ibrahim Germanos</t>
  </si>
  <si>
    <t>Michael Vaccaro</t>
  </si>
  <si>
    <t>+(415)883-8950</t>
  </si>
  <si>
    <t>Courtyard Oahu North Shore</t>
  </si>
  <si>
    <t xml:space="preserve">55-400 Kamehameha Highway </t>
  </si>
  <si>
    <t>Laie</t>
  </si>
  <si>
    <t>Dave Betham</t>
  </si>
  <si>
    <t>+1 (808) 293-4900</t>
  </si>
  <si>
    <t>Courtyard Oakland Airport</t>
  </si>
  <si>
    <t xml:space="preserve">350 Hegenberger Road </t>
  </si>
  <si>
    <t>Issa Arsala</t>
  </si>
  <si>
    <t>+(510)568-7600</t>
  </si>
  <si>
    <t>Courtyard Ocean City Oceanfront</t>
  </si>
  <si>
    <t xml:space="preserve">2 15th Street </t>
  </si>
  <si>
    <t>Jamie West</t>
  </si>
  <si>
    <t>+1 (410) 289-5008</t>
  </si>
  <si>
    <t>Courtyard Odessa</t>
  </si>
  <si>
    <t xml:space="preserve">7241 Tres Hermanas Boulevard </t>
  </si>
  <si>
    <t>Anthony Snyder</t>
  </si>
  <si>
    <t>+1 (432) 563-1400</t>
  </si>
  <si>
    <t>Courtyard OK City NW</t>
  </si>
  <si>
    <t xml:space="preserve">1515 NW Expressway </t>
  </si>
  <si>
    <t>Derek Henderson</t>
  </si>
  <si>
    <t>+(405) 848-0808</t>
  </si>
  <si>
    <t>Courtyard Oklahoma City Downtown</t>
  </si>
  <si>
    <t xml:space="preserve">2 West Reno Ave </t>
  </si>
  <si>
    <t>Bryan Davis</t>
  </si>
  <si>
    <t>Robyn Ikeda</t>
  </si>
  <si>
    <t>+1 (405) 232-2290</t>
  </si>
  <si>
    <t>Courtyard Omaha Aksarben Village</t>
  </si>
  <si>
    <t xml:space="preserve">1625 South 67th Street </t>
  </si>
  <si>
    <t>Tom Helm</t>
  </si>
  <si>
    <t>+1 (402) 951-4300</t>
  </si>
  <si>
    <t>Courtyard Omaha Downtown</t>
  </si>
  <si>
    <t xml:space="preserve">101 South 10th Street </t>
  </si>
  <si>
    <t>John Windover</t>
  </si>
  <si>
    <t>Dayna Baker</t>
  </si>
  <si>
    <t>(402) 346-2200</t>
  </si>
  <si>
    <t>Imagine Resorts &amp; Hotels LLC</t>
  </si>
  <si>
    <t>Courtyard Omaha East - Council Bluffs IA</t>
  </si>
  <si>
    <t xml:space="preserve">2501 Bass Pro Drive </t>
  </si>
  <si>
    <t>Council Bluffs</t>
  </si>
  <si>
    <t>Amanda Walters</t>
  </si>
  <si>
    <t>+1 (712) 318-3330</t>
  </si>
  <si>
    <t>Courtyard Omaha La Vista</t>
  </si>
  <si>
    <t xml:space="preserve">12560 Westport Parkway </t>
  </si>
  <si>
    <t>La Vista</t>
  </si>
  <si>
    <t>Zach Mahnke</t>
  </si>
  <si>
    <t>Boe Lindvall</t>
  </si>
  <si>
    <t>+1 (402) 339-4900</t>
  </si>
  <si>
    <t>Courtyard Orlando Airport</t>
  </si>
  <si>
    <t xml:space="preserve">7155 North Frontage Road </t>
  </si>
  <si>
    <t>Leanne Nash</t>
  </si>
  <si>
    <t>Lindsay Santiago</t>
  </si>
  <si>
    <t>(407) 240-7200</t>
  </si>
  <si>
    <t>Courtyard Orlando Altamonte Springs Maitland</t>
  </si>
  <si>
    <t xml:space="preserve">1750 Pembrook Drive </t>
  </si>
  <si>
    <t>+ (407) 659-9100</t>
  </si>
  <si>
    <t>Pinnacle Hotel Management LLP</t>
  </si>
  <si>
    <t>Courtyard Orlando- East UCF</t>
  </si>
  <si>
    <t xml:space="preserve">12000 Collegiate Way </t>
  </si>
  <si>
    <t>+ (407) 277-7676</t>
  </si>
  <si>
    <t>Courtyard Orlando Intl Drive</t>
  </si>
  <si>
    <t xml:space="preserve">8600 Austrian Court </t>
  </si>
  <si>
    <t>Anna Zapata</t>
  </si>
  <si>
    <t>Maribel Castrillon</t>
  </si>
  <si>
    <t>(407) 351-2244</t>
  </si>
  <si>
    <t>Courtyard Orlando Lake Nona</t>
  </si>
  <si>
    <t xml:space="preserve">6955 Lake Nona Boulevard </t>
  </si>
  <si>
    <t>+1 (407) 856-9165</t>
  </si>
  <si>
    <t>Courtyard Oxford</t>
  </si>
  <si>
    <t xml:space="preserve">305 Jackson Avenue East </t>
  </si>
  <si>
    <t>Oxford</t>
  </si>
  <si>
    <t>Gabriell Rivera</t>
  </si>
  <si>
    <t>+1(662)638-6014</t>
  </si>
  <si>
    <t>ArtHouse Hospitality LLC</t>
  </si>
  <si>
    <t>Courtyard Paducah</t>
  </si>
  <si>
    <t xml:space="preserve">3835 Technology Drive </t>
  </si>
  <si>
    <t>Paducah</t>
  </si>
  <si>
    <t>Nathan Vance</t>
  </si>
  <si>
    <t>+1 (270) 442-3600</t>
  </si>
  <si>
    <t>Courtyard Palm Springs</t>
  </si>
  <si>
    <t xml:space="preserve">1300 Tahquitz Canyon Way </t>
  </si>
  <si>
    <t>Vanessa Perera</t>
  </si>
  <si>
    <t>cristyllin Infante</t>
  </si>
  <si>
    <t>(760) 322-6100</t>
  </si>
  <si>
    <t>Courtyard Palo Alto-Los Altos</t>
  </si>
  <si>
    <t xml:space="preserve">4320 El Camino Real </t>
  </si>
  <si>
    <t>Nader Elkabbany</t>
  </si>
  <si>
    <t>Accounting Department</t>
  </si>
  <si>
    <t>+1 (650) 941-9900</t>
  </si>
  <si>
    <t>Commercial Center Developers Inc</t>
  </si>
  <si>
    <t>Courtyard Panama at Multiplaza Mall</t>
  </si>
  <si>
    <t xml:space="preserve">Multiplaza Pacific Mall Via Israel Avenue </t>
  </si>
  <si>
    <t>Floribeth Gutierrez</t>
  </si>
  <si>
    <t>+1(507) 301-0101</t>
  </si>
  <si>
    <t>Courtyard Panama City</t>
  </si>
  <si>
    <t xml:space="preserve">905 East 23rd Place </t>
  </si>
  <si>
    <t>Candice Worlds</t>
  </si>
  <si>
    <t>Benjamin Russell</t>
  </si>
  <si>
    <t>+1 (850) 763-6525</t>
  </si>
  <si>
    <t>Courtyard Paramus</t>
  </si>
  <si>
    <t xml:space="preserve">320 Route 17 North </t>
  </si>
  <si>
    <t>Paramus</t>
  </si>
  <si>
    <t>David Weishar</t>
  </si>
  <si>
    <t>Emmer Nalwanga</t>
  </si>
  <si>
    <t>+ (201) 599-1414</t>
  </si>
  <si>
    <t>Courtyard Parsipanny</t>
  </si>
  <si>
    <t xml:space="preserve">3769 Highway 46 East </t>
  </si>
  <si>
    <t>Sejong Park</t>
  </si>
  <si>
    <t>Gessica Pecana</t>
  </si>
  <si>
    <t>(973) 394-0303</t>
  </si>
  <si>
    <t>Courtyard Pasadena</t>
  </si>
  <si>
    <t xml:space="preserve">180 North Fair Oaks Avenue </t>
  </si>
  <si>
    <t>Mike Owen</t>
  </si>
  <si>
    <t>+ (626) 403-7600</t>
  </si>
  <si>
    <t>Courtyard Paso Robles</t>
  </si>
  <si>
    <t xml:space="preserve">120 South Vine Street </t>
  </si>
  <si>
    <t>PASO ROBLES</t>
  </si>
  <si>
    <t>Anton Bergmann</t>
  </si>
  <si>
    <t>+ (805) 239-9700</t>
  </si>
  <si>
    <t>Courtyard Pensacola</t>
  </si>
  <si>
    <t xml:space="preserve">451 Creighton Road </t>
  </si>
  <si>
    <t>Kevin James Bednarek</t>
  </si>
  <si>
    <t>+ (850) 857-7744</t>
  </si>
  <si>
    <t>Courtyard Peoria Downtown</t>
  </si>
  <si>
    <t xml:space="preserve">533 Main Street </t>
  </si>
  <si>
    <t>Daryll Smith</t>
  </si>
  <si>
    <t>+1 (309) 637-6500</t>
  </si>
  <si>
    <t>Courtyard Petoskey</t>
  </si>
  <si>
    <t xml:space="preserve">1866 Bear Place </t>
  </si>
  <si>
    <t>Logan Cell</t>
  </si>
  <si>
    <t>+1 (231) 439-3333</t>
  </si>
  <si>
    <t>Courtyard Pflugerville</t>
  </si>
  <si>
    <t xml:space="preserve">16100 Impact Way </t>
  </si>
  <si>
    <t>Pflugerville</t>
  </si>
  <si>
    <t>Donn Thompson</t>
  </si>
  <si>
    <t>Mark Hammer</t>
  </si>
  <si>
    <t>+1 (512) 220-2525</t>
  </si>
  <si>
    <t>Courtyard Philadelphia - Valley Forge - Collegeville</t>
  </si>
  <si>
    <t xml:space="preserve">600 Campus Drive </t>
  </si>
  <si>
    <t>Collegeville</t>
  </si>
  <si>
    <t>Jessica Evans</t>
  </si>
  <si>
    <t>+1 (484) 974-2600</t>
  </si>
  <si>
    <t>Courtyard Philadelphia Bensalem</t>
  </si>
  <si>
    <t xml:space="preserve">3280 Tillman Drive </t>
  </si>
  <si>
    <t>Drazan Mlivoncic</t>
  </si>
  <si>
    <t>+1 (215) 604-9900</t>
  </si>
  <si>
    <t>Courtyard Philadelphia Devon</t>
  </si>
  <si>
    <t xml:space="preserve">762 W Lancaster Avenue </t>
  </si>
  <si>
    <t>Kara Mikita</t>
  </si>
  <si>
    <t>Jennifer Noble</t>
  </si>
  <si>
    <t>(610) 687-6633</t>
  </si>
  <si>
    <t>Courtyard Philadelphia Lansdale</t>
  </si>
  <si>
    <t xml:space="preserve">1737 Sumneytown Pike </t>
  </si>
  <si>
    <t>Kulpsville</t>
  </si>
  <si>
    <t>Kostas Tsitoukis</t>
  </si>
  <si>
    <t>+1 (215) 412-8686</t>
  </si>
  <si>
    <t>Courtyard Philadelphia Plymouth Meeting</t>
  </si>
  <si>
    <t xml:space="preserve">651 Fountain Road </t>
  </si>
  <si>
    <t>Plymouth Meeting</t>
  </si>
  <si>
    <t>Rodger Molnar</t>
  </si>
  <si>
    <t>(610) 238-0695</t>
  </si>
  <si>
    <t>Courtyard Philadelphia South at The Navy Yard</t>
  </si>
  <si>
    <t xml:space="preserve">1001 Intrepid Avenue </t>
  </si>
  <si>
    <t>Derek Beckman</t>
  </si>
  <si>
    <t>+1 (215) 644-9200</t>
  </si>
  <si>
    <t>Courtyard Philadelphia Valley Forge</t>
  </si>
  <si>
    <t xml:space="preserve">1100 Drummers Lane </t>
  </si>
  <si>
    <t>Barbara Bell</t>
  </si>
  <si>
    <t>(610) 687-6700</t>
  </si>
  <si>
    <t>Courtyard Philadelphia West</t>
  </si>
  <si>
    <t xml:space="preserve">4010 City Avenue </t>
  </si>
  <si>
    <t>Mary Culbert</t>
  </si>
  <si>
    <t>+1 (215) 477-0200</t>
  </si>
  <si>
    <t>Courtyard Phoenix Airport</t>
  </si>
  <si>
    <t xml:space="preserve">2621 South 47th Street </t>
  </si>
  <si>
    <t>jennifer tew</t>
  </si>
  <si>
    <t>Nicholas Schulte</t>
  </si>
  <si>
    <t>(480) 966-4300</t>
  </si>
  <si>
    <t>Hansji Corporation</t>
  </si>
  <si>
    <t>Courtyard Phoenix Downtown</t>
  </si>
  <si>
    <t xml:space="preserve">132 South Central Avenue </t>
  </si>
  <si>
    <t>Trent Collicott</t>
  </si>
  <si>
    <t>Abbie Yost</t>
  </si>
  <si>
    <t>+(602)603-2001</t>
  </si>
  <si>
    <t>Courtyard Phoenix North</t>
  </si>
  <si>
    <t xml:space="preserve">9631 North Black Canyon Highway </t>
  </si>
  <si>
    <t>Ryan Banks</t>
  </si>
  <si>
    <t>Marie Pierre</t>
  </si>
  <si>
    <t>(602) 944-7373</t>
  </si>
  <si>
    <t>Courtyard Pittsburgh Airport</t>
  </si>
  <si>
    <t xml:space="preserve">450 Cherrington Parkway </t>
  </si>
  <si>
    <t>Coraopolis</t>
  </si>
  <si>
    <t>Bryant Young</t>
  </si>
  <si>
    <t>(412) 264-5000</t>
  </si>
  <si>
    <t>Courtyard Pittsburgh North</t>
  </si>
  <si>
    <t xml:space="preserve">150 Cranberry Woods Drive </t>
  </si>
  <si>
    <t>Chris Fierro</t>
  </si>
  <si>
    <t>John Hooley</t>
  </si>
  <si>
    <t>+1 (724) 776-1900</t>
  </si>
  <si>
    <t>Courtyard Plantation Ft Lauderdale</t>
  </si>
  <si>
    <t xml:space="preserve">7780 SW 6th Street </t>
  </si>
  <si>
    <t>Michael Wagner</t>
  </si>
  <si>
    <t>Kristine Burns</t>
  </si>
  <si>
    <t>(954) 475-1100</t>
  </si>
  <si>
    <t>Courtyard Pleasanton</t>
  </si>
  <si>
    <t xml:space="preserve">5059 Hopyard Road </t>
  </si>
  <si>
    <t>Alejandro Rodriguez</t>
  </si>
  <si>
    <t>Douglas Lowe</t>
  </si>
  <si>
    <t>(925) 463-1414</t>
  </si>
  <si>
    <t>Courtyard Portland Beaverton</t>
  </si>
  <si>
    <t xml:space="preserve">8500 SW Nimbus Drive </t>
  </si>
  <si>
    <t>Tracy Reynolds</t>
  </si>
  <si>
    <t>Molly Bayne</t>
  </si>
  <si>
    <t>+(503)641-3200</t>
  </si>
  <si>
    <t>Courtyard Portland City Center</t>
  </si>
  <si>
    <t xml:space="preserve">550 SW Oak Street </t>
  </si>
  <si>
    <t>Alison Perlick</t>
  </si>
  <si>
    <t>+ (503) 505-5000</t>
  </si>
  <si>
    <t>Courtyard Poughkeepsie</t>
  </si>
  <si>
    <t xml:space="preserve">2641 South Road/Route 9 </t>
  </si>
  <si>
    <t>Lori Traboldt</t>
  </si>
  <si>
    <t>Loretta Traboldt</t>
  </si>
  <si>
    <t>(845) 485-6336</t>
  </si>
  <si>
    <t>Courtyard Prattville</t>
  </si>
  <si>
    <t xml:space="preserve">2620 Legends Pkwy. </t>
  </si>
  <si>
    <t>Michelle Taylor</t>
  </si>
  <si>
    <t>+1 (334) 290-1270</t>
  </si>
  <si>
    <t>Courtyard Princeton</t>
  </si>
  <si>
    <t xml:space="preserve">3815 US Route 1 at Mapleton Road </t>
  </si>
  <si>
    <t>Thaddeus Borsuk</t>
  </si>
  <si>
    <t>+1 (609) 716-9100</t>
  </si>
  <si>
    <t>Courtyard Providence Downtown</t>
  </si>
  <si>
    <t xml:space="preserve">32 Exchange Terrace </t>
  </si>
  <si>
    <t>Cathy Hamill</t>
  </si>
  <si>
    <t>Michael Fournier</t>
  </si>
  <si>
    <t>+ (401) 272-1191</t>
  </si>
  <si>
    <t>Courtyard Providence-Warwick</t>
  </si>
  <si>
    <t xml:space="preserve">55 Jefferson Park Rd </t>
  </si>
  <si>
    <t>Warwick</t>
  </si>
  <si>
    <t>Lisa Bettencourt</t>
  </si>
  <si>
    <t>+1 (401) 467-6900</t>
  </si>
  <si>
    <t>Operadora Turistica Cosmo SA DE CV</t>
  </si>
  <si>
    <t>Courtyard Puebla Las Animas</t>
  </si>
  <si>
    <t>31 Poniente #3333 Col. Las Animas</t>
  </si>
  <si>
    <t>Pedro Andres Torres Hernandez</t>
  </si>
  <si>
    <t>+52 (222) 477-2100</t>
  </si>
  <si>
    <t>Courtyard Pullman</t>
  </si>
  <si>
    <t xml:space="preserve">1295 Northeast North Fairway Road </t>
  </si>
  <si>
    <t>Tim Cordodor</t>
  </si>
  <si>
    <t>+1 (509) 332-1500</t>
  </si>
  <si>
    <t>Courtyard Quebec City</t>
  </si>
  <si>
    <t xml:space="preserve">900 rue des Rocailles </t>
  </si>
  <si>
    <t>Quebec</t>
  </si>
  <si>
    <t>G2J 1A5</t>
  </si>
  <si>
    <t>Charles Tardif</t>
  </si>
  <si>
    <t>+1 (514) 963-3221</t>
  </si>
  <si>
    <t>Courtyard Raleigh Cary</t>
  </si>
  <si>
    <t xml:space="preserve">102 Edinburgh Drive South </t>
  </si>
  <si>
    <t>John Putprush</t>
  </si>
  <si>
    <t>(919) 481-9666</t>
  </si>
  <si>
    <t>Courtyard Raleigh Little Brier Creek</t>
  </si>
  <si>
    <t xml:space="preserve">10600 Little Brier Creek Lane </t>
  </si>
  <si>
    <t>Bryan Schwed</t>
  </si>
  <si>
    <t>+1 (919) 472-1000</t>
  </si>
  <si>
    <t>Courtyard Raleigh Midtown</t>
  </si>
  <si>
    <t xml:space="preserve">1041 Wake Towne Drive </t>
  </si>
  <si>
    <t>Leshel Klimczyk</t>
  </si>
  <si>
    <t>(919) 821-3400</t>
  </si>
  <si>
    <t>Courtyard Rancho Cucamonga</t>
  </si>
  <si>
    <t xml:space="preserve">11525 Mission Vista Drive </t>
  </si>
  <si>
    <t>Rancho Cucamonga</t>
  </si>
  <si>
    <t>+1 (909) 481-6476</t>
  </si>
  <si>
    <t>Courtyard Richmond Berkeley</t>
  </si>
  <si>
    <t xml:space="preserve">3150 Garrity Way </t>
  </si>
  <si>
    <t>Herman Wysang</t>
  </si>
  <si>
    <t>+1 (510) 262-0700</t>
  </si>
  <si>
    <t>Courtyard Richmond Downtown</t>
  </si>
  <si>
    <t xml:space="preserve">1320 East Cary Street </t>
  </si>
  <si>
    <t>+1 (804) 754-0007</t>
  </si>
  <si>
    <t>Courtyard Richmond Heights</t>
  </si>
  <si>
    <t xml:space="preserve">8101 Dale Avenue </t>
  </si>
  <si>
    <t>Richmond Heights</t>
  </si>
  <si>
    <t>Amy Armellino</t>
  </si>
  <si>
    <t>+1 (314) 647-2998</t>
  </si>
  <si>
    <t>Courtyard Richmond Northwest</t>
  </si>
  <si>
    <t xml:space="preserve">3950 Westerre Parkway </t>
  </si>
  <si>
    <t>Jerome Hughes</t>
  </si>
  <si>
    <t>Kary Horne</t>
  </si>
  <si>
    <t>(804) 346-5427</t>
  </si>
  <si>
    <t>Courtyard Richmond West</t>
  </si>
  <si>
    <t xml:space="preserve">6400 West Broad Street </t>
  </si>
  <si>
    <t>(804) 282-1881</t>
  </si>
  <si>
    <t xml:space="preserve">Courtyard Rochester Brighton </t>
  </si>
  <si>
    <t xml:space="preserve">33 Corporate Woods </t>
  </si>
  <si>
    <t>Phillip Latone</t>
  </si>
  <si>
    <t>+ (585) 292-1000</t>
  </si>
  <si>
    <t xml:space="preserve">Courtyard Rochester East </t>
  </si>
  <si>
    <t xml:space="preserve">1000 Linden PARK </t>
  </si>
  <si>
    <t>Chris Goyette</t>
  </si>
  <si>
    <t>+ (585) 385-1000</t>
  </si>
  <si>
    <t>Courtyard Rockville</t>
  </si>
  <si>
    <t xml:space="preserve">2500 Research Boulevard </t>
  </si>
  <si>
    <t>+(301)670-6700</t>
  </si>
  <si>
    <t>Courtyard Rocky Mount</t>
  </si>
  <si>
    <t xml:space="preserve">250 Gateway Boulevard </t>
  </si>
  <si>
    <t>Rocky Mount</t>
  </si>
  <si>
    <t>Melysa Greene</t>
  </si>
  <si>
    <t>+1 (252) 451-4800</t>
  </si>
  <si>
    <t>Courtyard Rome</t>
  </si>
  <si>
    <t xml:space="preserve">320 West 3rd Street </t>
  </si>
  <si>
    <t xml:space="preserve">Tayesha Lytle </t>
  </si>
  <si>
    <t>+1 (706) 295-7006</t>
  </si>
  <si>
    <t>Courtyard Ruston</t>
  </si>
  <si>
    <t xml:space="preserve">1309 Maxwell Boulevard </t>
  </si>
  <si>
    <t>Ruston</t>
  </si>
  <si>
    <t>John Deason</t>
  </si>
  <si>
    <t>Benay Knowles</t>
  </si>
  <si>
    <t>+1 (318) 254-0067</t>
  </si>
  <si>
    <t>Courtyard Rye</t>
  </si>
  <si>
    <t xml:space="preserve">631 Midland Avenue </t>
  </si>
  <si>
    <t>Antonio Santoiemma</t>
  </si>
  <si>
    <t>JEFF MITTLER</t>
  </si>
  <si>
    <t>+(914)921-1110</t>
  </si>
  <si>
    <t>Courtyard Sacramento Cal Expo</t>
  </si>
  <si>
    <t xml:space="preserve">1782 Tribute Road </t>
  </si>
  <si>
    <t>Byron Oneil</t>
  </si>
  <si>
    <t>+1 (916) 929-7900</t>
  </si>
  <si>
    <t>Courtyard Sacramento Midtown</t>
  </si>
  <si>
    <t xml:space="preserve">4422 Y Street </t>
  </si>
  <si>
    <t>Zuzuna Strouhalova</t>
  </si>
  <si>
    <t>+1 (916) 455-6800</t>
  </si>
  <si>
    <t>Courtyard Sacramento Natomas</t>
  </si>
  <si>
    <t xml:space="preserve">2101 River Plaza Drive </t>
  </si>
  <si>
    <t>Norman Bechler</t>
  </si>
  <si>
    <t>(916) 922-1120</t>
  </si>
  <si>
    <t>Courtyard Sacramento Rancho Cordova</t>
  </si>
  <si>
    <t xml:space="preserve">10683 White Rock Road </t>
  </si>
  <si>
    <t>Rancho Cordova</t>
  </si>
  <si>
    <t>Amy Del Rosario-Bechler</t>
  </si>
  <si>
    <t>Ron Miller</t>
  </si>
  <si>
    <t>(916) 638-3800</t>
  </si>
  <si>
    <t>Courtyard Saint Louis Creve Coeur</t>
  </si>
  <si>
    <t xml:space="preserve">828 N New Ballas Road </t>
  </si>
  <si>
    <t>Creve Coeur</t>
  </si>
  <si>
    <t>Sarah Gebhart</t>
  </si>
  <si>
    <t>Martinice Robinson</t>
  </si>
  <si>
    <t>(314) 993-0515</t>
  </si>
  <si>
    <t>Courtyard Saint Louis Downtown</t>
  </si>
  <si>
    <t xml:space="preserve">2340 Market Street at Jefferson </t>
  </si>
  <si>
    <t>Ron Wilshusen</t>
  </si>
  <si>
    <t>+(314)241-9111</t>
  </si>
  <si>
    <t>Courtyard Saint Louis Westport</t>
  </si>
  <si>
    <t xml:space="preserve">11888 Westline Industrial Dr </t>
  </si>
  <si>
    <t>John Wiseman</t>
  </si>
  <si>
    <t>+(314) 997-1200</t>
  </si>
  <si>
    <t>Courtyard Saint Petersburg Clearwater</t>
  </si>
  <si>
    <t xml:space="preserve">3131 Executive Drive </t>
  </si>
  <si>
    <t>Mike Cote</t>
  </si>
  <si>
    <t>(727) 572-8484</t>
  </si>
  <si>
    <t>Courtyard Salisbury</t>
  </si>
  <si>
    <t xml:space="preserve">120 Marriott Circle </t>
  </si>
  <si>
    <t>Salisbury</t>
  </si>
  <si>
    <t>Therese Henderson</t>
  </si>
  <si>
    <t>+(704) 680-9201</t>
  </si>
  <si>
    <t xml:space="preserve">128 Troopers Way </t>
  </si>
  <si>
    <t>Waitman Vanorsdale</t>
  </si>
  <si>
    <t>+1 (410) 742-4405</t>
  </si>
  <si>
    <t>Courtyard San Antonio</t>
  </si>
  <si>
    <t xml:space="preserve">1803 East Sonterra Blvd. </t>
  </si>
  <si>
    <t>Camila De La Cruz</t>
  </si>
  <si>
    <t>+ () 210-545-3100</t>
  </si>
  <si>
    <t>Courtyard San Antonio Airport</t>
  </si>
  <si>
    <t xml:space="preserve">8615 Broadway Street </t>
  </si>
  <si>
    <t>Ruben Carrasquillo</t>
  </si>
  <si>
    <t>Deanna Smith</t>
  </si>
  <si>
    <t>(210) 828-7200</t>
  </si>
  <si>
    <t>Courtyard San Antonio Airport North Star</t>
  </si>
  <si>
    <t xml:space="preserve">80 Northeast Loop 410 </t>
  </si>
  <si>
    <t>Karena Auzenne</t>
  </si>
  <si>
    <t>+1 (210) 530-9881</t>
  </si>
  <si>
    <t>Courtyard San Antonio Downtown</t>
  </si>
  <si>
    <t xml:space="preserve">600 South Santa Road </t>
  </si>
  <si>
    <t>Brianna Brown</t>
  </si>
  <si>
    <t>Kellie Smith</t>
  </si>
  <si>
    <t>+(210)229-9449</t>
  </si>
  <si>
    <t>Courtyard San Antonio Medical Ctr</t>
  </si>
  <si>
    <t xml:space="preserve">8585 Marriott Drive </t>
  </si>
  <si>
    <t>Jaime Acevedo</t>
  </si>
  <si>
    <t>(210) 614-7100</t>
  </si>
  <si>
    <t>Courtyard San Antonio Riverwalk</t>
  </si>
  <si>
    <t xml:space="preserve">207 N. St. Mary's Street </t>
  </si>
  <si>
    <t>Dinesh Rao</t>
  </si>
  <si>
    <t>+ (210) 223-8888</t>
  </si>
  <si>
    <t>Courtyard San Diego - Mission Valley</t>
  </si>
  <si>
    <t xml:space="preserve">595 Hotel Circle South </t>
  </si>
  <si>
    <t>Josh Lujan</t>
  </si>
  <si>
    <t>+1 (619) 291-5720</t>
  </si>
  <si>
    <t>Courtyard San Diego Airport Liberty Station</t>
  </si>
  <si>
    <t xml:space="preserve">2592 Laning Rd. </t>
  </si>
  <si>
    <t>Rick Brown</t>
  </si>
  <si>
    <t>+1 (619) 221-1900</t>
  </si>
  <si>
    <t>Courtyard San Diego Central</t>
  </si>
  <si>
    <t xml:space="preserve">8651 Spectrum Center Blvd </t>
  </si>
  <si>
    <t>Jay Ibarolle</t>
  </si>
  <si>
    <t>+1 (858) 573-0700</t>
  </si>
  <si>
    <t>Courtyard San Diego Downtown</t>
  </si>
  <si>
    <t xml:space="preserve">530 Broadway Street </t>
  </si>
  <si>
    <t>Bess Miller</t>
  </si>
  <si>
    <t>Dave Campbell</t>
  </si>
  <si>
    <t>+ (619) 446-3000</t>
  </si>
  <si>
    <t>Courtyard San Diego Gaslamp Convention Center</t>
  </si>
  <si>
    <t xml:space="preserve">453 6th Avenue </t>
  </si>
  <si>
    <t>Tim Billing</t>
  </si>
  <si>
    <t>Jackie Rixie</t>
  </si>
  <si>
    <t>+1 (619) 544-1004</t>
  </si>
  <si>
    <t>Courtyard San Diego Oceanside</t>
  </si>
  <si>
    <t xml:space="preserve">3501 Seagate Way </t>
  </si>
  <si>
    <t>Marcus Glade</t>
  </si>
  <si>
    <t>Scott Hausknecht</t>
  </si>
  <si>
    <t>+1 (760) 966-1000</t>
  </si>
  <si>
    <t>Courtyard San Diego Solana Beach Del Mar</t>
  </si>
  <si>
    <t xml:space="preserve">717 South Highway 101 </t>
  </si>
  <si>
    <t>Solana Beach</t>
  </si>
  <si>
    <t>Josephine Forino</t>
  </si>
  <si>
    <t>+1 (858) 792-8200</t>
  </si>
  <si>
    <t>Courtyard San Francisco Airport</t>
  </si>
  <si>
    <t xml:space="preserve">1050 Bayhill Drive </t>
  </si>
  <si>
    <t>Jonathan Powers</t>
  </si>
  <si>
    <t>Ambrose Dauda</t>
  </si>
  <si>
    <t>(650) 952-3333</t>
  </si>
  <si>
    <t>Courtyard San Francisco Fishermans Wharf</t>
  </si>
  <si>
    <t xml:space="preserve">580 Beach St </t>
  </si>
  <si>
    <t>Julia Castano</t>
  </si>
  <si>
    <t>+ (415) 775-3800</t>
  </si>
  <si>
    <t>Courtyard San Francisco Van Ness</t>
  </si>
  <si>
    <t xml:space="preserve">1050 Van Ness </t>
  </si>
  <si>
    <t xml:space="preserve">San Francisco </t>
  </si>
  <si>
    <t>Tony Fernandez</t>
  </si>
  <si>
    <t>+1(415)673-4711</t>
  </si>
  <si>
    <t>Courtyard San Jose Airport Alajuela</t>
  </si>
  <si>
    <t xml:space="preserve">Plaza Los Mangos Radial Francisco L Orlich </t>
  </si>
  <si>
    <t>Alajuela - Costa Rica</t>
  </si>
  <si>
    <t>Diana De Rojas</t>
  </si>
  <si>
    <t>+ (506) 2298-0440</t>
  </si>
  <si>
    <t>Courtyard San Jose Escazu</t>
  </si>
  <si>
    <t xml:space="preserve">Plaza Itskatzu </t>
  </si>
  <si>
    <t>Carlos Aya</t>
  </si>
  <si>
    <t>Gilberto Vargas lara</t>
  </si>
  <si>
    <t>+011 (506) 208-3000</t>
  </si>
  <si>
    <t>Courtyard San Jose North Silicon Valley</t>
  </si>
  <si>
    <t xml:space="preserve">111 Holger Way </t>
  </si>
  <si>
    <t>Xylia Galias</t>
  </si>
  <si>
    <t>+1 (408) 383-3700</t>
  </si>
  <si>
    <t>Courtyard San Mateo Foster City</t>
  </si>
  <si>
    <t xml:space="preserve">550 Shell Boulevard </t>
  </si>
  <si>
    <t>Foster City</t>
  </si>
  <si>
    <t>Shane Okumura</t>
  </si>
  <si>
    <t>Yakub Yakubi</t>
  </si>
  <si>
    <t>(650) 377-0600</t>
  </si>
  <si>
    <t xml:space="preserve">Courtyard Santa Ana </t>
  </si>
  <si>
    <t xml:space="preserve">8 MacArthur Place </t>
  </si>
  <si>
    <t>Robert Kravitz</t>
  </si>
  <si>
    <t xml:space="preserve">+ (714) 668-9993 </t>
  </si>
  <si>
    <t>Courtyard Santa Barbara Goleta</t>
  </si>
  <si>
    <t xml:space="preserve">401 Storke Road </t>
  </si>
  <si>
    <t>Leslie Brickell</t>
  </si>
  <si>
    <t>Stacey Meyer</t>
  </si>
  <si>
    <t>+ (805) 968-0500</t>
  </si>
  <si>
    <t>Courtyard Santa Rosa</t>
  </si>
  <si>
    <t xml:space="preserve">175 Railroad Street </t>
  </si>
  <si>
    <t xml:space="preserve">Theresa Tommasi </t>
  </si>
  <si>
    <t>+ (707) 573-9000</t>
  </si>
  <si>
    <t>Courtyard Sarasota Bradenton</t>
  </si>
  <si>
    <t xml:space="preserve">850 University Parkway </t>
  </si>
  <si>
    <t>Shirley Gravitt</t>
  </si>
  <si>
    <t>+ (941) 355-3337</t>
  </si>
  <si>
    <t>Courtyard Savannah</t>
  </si>
  <si>
    <t xml:space="preserve">6703 Abercorn Street </t>
  </si>
  <si>
    <t>Joshua Lowery</t>
  </si>
  <si>
    <t>(912) 354-7878</t>
  </si>
  <si>
    <t>Courtyard Savannah Airport</t>
  </si>
  <si>
    <t xml:space="preserve">419 Pooler Parkway </t>
  </si>
  <si>
    <t>Delane Thomson</t>
  </si>
  <si>
    <t>Brandy Cooper</t>
  </si>
  <si>
    <t>+1 (912) 450-3300</t>
  </si>
  <si>
    <t>Courtyard Savannah Downtown Historic District</t>
  </si>
  <si>
    <t xml:space="preserve">415 West Liberty Street </t>
  </si>
  <si>
    <t>Bryan Guy</t>
  </si>
  <si>
    <t>Kevin Corprew</t>
  </si>
  <si>
    <t>+ (912) 790-8287</t>
  </si>
  <si>
    <t>Alco Hotel LLC</t>
  </si>
  <si>
    <t>Courtyard Schenectady at Mohawk Harbor</t>
  </si>
  <si>
    <t xml:space="preserve">240 Harborside Drive </t>
  </si>
  <si>
    <t>Schenectady</t>
  </si>
  <si>
    <t>Jason Hayes</t>
  </si>
  <si>
    <t>+1 (518) 579-6620</t>
  </si>
  <si>
    <t>Courtyard Scottsdale Downtown</t>
  </si>
  <si>
    <t xml:space="preserve">3311 North Scottsdale Road </t>
  </si>
  <si>
    <t>Briana Naegeli</t>
  </si>
  <si>
    <t>(480) 429-7785</t>
  </si>
  <si>
    <t>Courtyard Scottsdale Salt River</t>
  </si>
  <si>
    <t xml:space="preserve">5201 North Pima Road </t>
  </si>
  <si>
    <t>Ann Cvelich</t>
  </si>
  <si>
    <t>+1 (480) 745-8200</t>
  </si>
  <si>
    <t>Courtyard Scranton Wilkes-Barre</t>
  </si>
  <si>
    <t xml:space="preserve">16 Glenmaura National Blvd </t>
  </si>
  <si>
    <t>Kristy Whitlock</t>
  </si>
  <si>
    <t>Stephen Policare</t>
  </si>
  <si>
    <t>+ (570) 969-2100</t>
  </si>
  <si>
    <t>Puget Sound Hospitality</t>
  </si>
  <si>
    <t>Courtyard Seattle Bellevue Downtown</t>
  </si>
  <si>
    <t xml:space="preserve">11010 NE 8th Street </t>
  </si>
  <si>
    <t>Rocky Rosenbach</t>
  </si>
  <si>
    <t>Joy Carpenter</t>
  </si>
  <si>
    <t>+(425)454-5888</t>
  </si>
  <si>
    <t>Courtyard Seattle Downtown Lake Union</t>
  </si>
  <si>
    <t xml:space="preserve">925 Westlake Avenue North </t>
  </si>
  <si>
    <t>Mike Schabbing</t>
  </si>
  <si>
    <t>Skye Branson</t>
  </si>
  <si>
    <t>(206) 213-0100</t>
  </si>
  <si>
    <t>Courtyard Seattle Downtown Pioneer Square</t>
  </si>
  <si>
    <t xml:space="preserve">612 2nd Avenue </t>
  </si>
  <si>
    <t>Gerald Lamontagne</t>
  </si>
  <si>
    <t>Owen Leinbach</t>
  </si>
  <si>
    <t>+1 (206) 625-1111</t>
  </si>
  <si>
    <t>Courtyard Seattle Federal Way</t>
  </si>
  <si>
    <t xml:space="preserve">31910 Gateway Center Blvd. South </t>
  </si>
  <si>
    <t>Madalena Miller</t>
  </si>
  <si>
    <t>(253) 529-0200</t>
  </si>
  <si>
    <t>Courtyard Seattle Southcenter</t>
  </si>
  <si>
    <t xml:space="preserve">400 Andover Park West </t>
  </si>
  <si>
    <t>Tukwila</t>
  </si>
  <si>
    <t>Kelley Droll</t>
  </si>
  <si>
    <t>Kim Hart</t>
  </si>
  <si>
    <t>(206) 575-2500</t>
  </si>
  <si>
    <t>Courtyard Secaucus Meadowlands</t>
  </si>
  <si>
    <t xml:space="preserve">455 Harmon Meadow Boulevard </t>
  </si>
  <si>
    <t>Elaine Mirang</t>
  </si>
  <si>
    <t>Nathan Gullo</t>
  </si>
  <si>
    <t>+ (201) 617-8888</t>
  </si>
  <si>
    <t>Courtyard Sedona</t>
  </si>
  <si>
    <t xml:space="preserve">4105 West State Route 89A </t>
  </si>
  <si>
    <t>+1 (928) 325-0055</t>
  </si>
  <si>
    <t>Courtyard Shreveport</t>
  </si>
  <si>
    <t xml:space="preserve">6001 Financial Plaza </t>
  </si>
  <si>
    <t>Yentl Williams</t>
  </si>
  <si>
    <t>+ (318) 686-0880</t>
  </si>
  <si>
    <t>Courtyard Silicon Valley - Newark</t>
  </si>
  <si>
    <t xml:space="preserve">34905 Newark Blvd </t>
  </si>
  <si>
    <t>Jacob Pillay</t>
  </si>
  <si>
    <t>+(510)792-5200</t>
  </si>
  <si>
    <t>Courtyard Silver Spring</t>
  </si>
  <si>
    <t xml:space="preserve">12521 Prosperity Drive </t>
  </si>
  <si>
    <t>Silver Spring</t>
  </si>
  <si>
    <t>Jason McBride</t>
  </si>
  <si>
    <t>+(301)680-8500</t>
  </si>
  <si>
    <t>Courtyard Silver Spring Downtown</t>
  </si>
  <si>
    <t xml:space="preserve">8506 Fenton </t>
  </si>
  <si>
    <t>Thomas Romero</t>
  </si>
  <si>
    <t>Kemisha Parret-Menzie</t>
  </si>
  <si>
    <t>+1 (301) 589-4899</t>
  </si>
  <si>
    <t>Courtyard Somerset</t>
  </si>
  <si>
    <t xml:space="preserve">250 Davidson Avenue </t>
  </si>
  <si>
    <t>Selina Khera</t>
  </si>
  <si>
    <t>Warren Coore</t>
  </si>
  <si>
    <t>+1 (732) 271-4555</t>
  </si>
  <si>
    <t xml:space="preserve">2254 South Highway 27 </t>
  </si>
  <si>
    <t>Korenia Erivers</t>
  </si>
  <si>
    <t>Tammie Jordan</t>
  </si>
  <si>
    <t>+1 (606) 679-0090</t>
  </si>
  <si>
    <t>Courtyard Sorrento Mesa</t>
  </si>
  <si>
    <t xml:space="preserve">9650 Scranton Road </t>
  </si>
  <si>
    <t>Adrianna Toscano</t>
  </si>
  <si>
    <t>Christian Paulsen</t>
  </si>
  <si>
    <t>(858) 558-9600</t>
  </si>
  <si>
    <t>Courtyard South</t>
  </si>
  <si>
    <t xml:space="preserve">2501 Atlantic Ave </t>
  </si>
  <si>
    <t>Alyssa Hite</t>
  </si>
  <si>
    <t>Iris Cabatit</t>
  </si>
  <si>
    <t>+ (757) 491-6222</t>
  </si>
  <si>
    <t>Courtyard South Bend Downtown</t>
  </si>
  <si>
    <t xml:space="preserve">121 South Dr. Martin Luther King Jr. Blvd </t>
  </si>
  <si>
    <t>Michelle Baker</t>
  </si>
  <si>
    <t>+1 (574) 237-7777</t>
  </si>
  <si>
    <t>South Bend C Mishawaka Opco LLC (Falcon Group)</t>
  </si>
  <si>
    <t>Courtyard South Bend Mishawaka</t>
  </si>
  <si>
    <t xml:space="preserve">4825 North Main Street </t>
  </si>
  <si>
    <t>Mishawaka</t>
  </si>
  <si>
    <t>Todd Mowers</t>
  </si>
  <si>
    <t>+1 (574) 273-9900</t>
  </si>
  <si>
    <t>Courtyard South Boston</t>
  </si>
  <si>
    <t xml:space="preserve">63R Boston Street </t>
  </si>
  <si>
    <t>Vandana Kumari</t>
  </si>
  <si>
    <t>+ () 617-436-8200</t>
  </si>
  <si>
    <t>CH Wilmington LLC DBA Courtyard By Marriott Cranbury South Brunswick</t>
  </si>
  <si>
    <t>Courtyard South Brunswick</t>
  </si>
  <si>
    <t xml:space="preserve">420 Forsgate Drive </t>
  </si>
  <si>
    <t>Cranbury</t>
  </si>
  <si>
    <t>Grace Gordon</t>
  </si>
  <si>
    <t>+1 (609) 655-9950</t>
  </si>
  <si>
    <t>Courtyard South Coast Metro</t>
  </si>
  <si>
    <t xml:space="preserve">3002 South Harbor Boulevard </t>
  </si>
  <si>
    <t>Julie Buettner</t>
  </si>
  <si>
    <t>(714) 545-1001</t>
  </si>
  <si>
    <t>Courtyard South Univ Dr Ft Worth</t>
  </si>
  <si>
    <t xml:space="preserve">3150 Riverfront Drive </t>
  </si>
  <si>
    <t>Alicia Burns</t>
  </si>
  <si>
    <t>+(817)335-1300</t>
  </si>
  <si>
    <t>Courtyard Southington</t>
  </si>
  <si>
    <t xml:space="preserve">1081 West Street </t>
  </si>
  <si>
    <t>Southington</t>
  </si>
  <si>
    <t>Victor Dickson</t>
  </si>
  <si>
    <t>+1 (860) 620-1100</t>
  </si>
  <si>
    <t>Courtyard Spokane</t>
  </si>
  <si>
    <t xml:space="preserve">401 North Riverpoint Boulevard </t>
  </si>
  <si>
    <t>Brittany Henderson</t>
  </si>
  <si>
    <t>Pam Alfaro</t>
  </si>
  <si>
    <t>(509) 456-7600</t>
  </si>
  <si>
    <t>Masters Management LLC</t>
  </si>
  <si>
    <t>Courtyard Springfield</t>
  </si>
  <si>
    <t xml:space="preserve">400 West Sproul Road </t>
  </si>
  <si>
    <t>Nicole Hoffman</t>
  </si>
  <si>
    <t>Matthew Thompson</t>
  </si>
  <si>
    <t>+1 (610) 543-1080</t>
  </si>
  <si>
    <t xml:space="preserve">6710 Commerce St. </t>
  </si>
  <si>
    <t>Jessica Walters</t>
  </si>
  <si>
    <t>+ (703) 924-7200</t>
  </si>
  <si>
    <t>Courtyard Springfield Airport</t>
  </si>
  <si>
    <t xml:space="preserve">3527 West Kearney </t>
  </si>
  <si>
    <t>Shelley Copeland</t>
  </si>
  <si>
    <t>+ (417) 869-6700</t>
  </si>
  <si>
    <t>Courtyard Springfield Downtown</t>
  </si>
  <si>
    <t xml:space="preserve">100 South Fountain Avenue </t>
  </si>
  <si>
    <t>Becky Krieger</t>
  </si>
  <si>
    <t>+1 (937) 322-3600</t>
  </si>
  <si>
    <t>Courtyard St. Augustine</t>
  </si>
  <si>
    <t xml:space="preserve">2075 State Road 16 </t>
  </si>
  <si>
    <t>St. Augustine</t>
  </si>
  <si>
    <t>Shannon Dearin</t>
  </si>
  <si>
    <t>+ (904) 826-4068</t>
  </si>
  <si>
    <t>Courtyard St. Petersburg Clearwater Madeira Beach</t>
  </si>
  <si>
    <t xml:space="preserve">601 American Legion Road </t>
  </si>
  <si>
    <t>Madeira Beach</t>
  </si>
  <si>
    <t>Rob Alexandre</t>
  </si>
  <si>
    <t>Carri Delaware</t>
  </si>
  <si>
    <t>+1 (727) 392-8088</t>
  </si>
  <si>
    <t>Courtyard Starkville MSU at The Mill Conference Center</t>
  </si>
  <si>
    <t xml:space="preserve">100 Mercantile Street </t>
  </si>
  <si>
    <t>Aaron Duncan</t>
  </si>
  <si>
    <t>+(662)338-3116</t>
  </si>
  <si>
    <t>Courtyard Stockton</t>
  </si>
  <si>
    <t xml:space="preserve">3252 West March Lane </t>
  </si>
  <si>
    <t>Stockton</t>
  </si>
  <si>
    <t>Isadora Harness</t>
  </si>
  <si>
    <t>+ 1(209) 472-9700</t>
  </si>
  <si>
    <t>Courtyard Stow</t>
  </si>
  <si>
    <t xml:space="preserve">4047 Bridgewater Parkway </t>
  </si>
  <si>
    <t>Steve Patris</t>
  </si>
  <si>
    <t>+1 (330) 945-9722</t>
  </si>
  <si>
    <t>Courtyard Suffolk Chesapeake</t>
  </si>
  <si>
    <t xml:space="preserve">8060 Harbour View Dr. </t>
  </si>
  <si>
    <t>Suffolk</t>
  </si>
  <si>
    <t>+1 (757) 483-5177</t>
  </si>
  <si>
    <t>Courtyard Sunnyvale Mountain View</t>
  </si>
  <si>
    <t xml:space="preserve">660 West El Camino Real </t>
  </si>
  <si>
    <t>Mohammed Nawabi</t>
  </si>
  <si>
    <t>Juana Guzman</t>
  </si>
  <si>
    <t>+1 (408) 737-7377</t>
  </si>
  <si>
    <t>Courtyard Syracuse</t>
  </si>
  <si>
    <t xml:space="preserve">6415 Yorktown Circle </t>
  </si>
  <si>
    <t>East Syracuse</t>
  </si>
  <si>
    <t>Stephanie Chotkowski</t>
  </si>
  <si>
    <t>Sarah Talucci</t>
  </si>
  <si>
    <t>(315) 432-0300</t>
  </si>
  <si>
    <t>Courtyard Syracuse Downtown at Armory Square (Dual Property)</t>
  </si>
  <si>
    <t xml:space="preserve">300 West Fayette Street </t>
  </si>
  <si>
    <t>Julie Martin</t>
  </si>
  <si>
    <t>Sarah McCarthy</t>
  </si>
  <si>
    <t>+1 (315) 422-4854</t>
  </si>
  <si>
    <t>Courtyard Tacoma Downtown</t>
  </si>
  <si>
    <t xml:space="preserve">1515 Commerce Street </t>
  </si>
  <si>
    <t>Danielle Cavoto</t>
  </si>
  <si>
    <t>+ () 253-591-9100</t>
  </si>
  <si>
    <t>Courtyard Tallahassee</t>
  </si>
  <si>
    <t xml:space="preserve">1018 Apalachee Parkway </t>
  </si>
  <si>
    <t>Sean Marchbanks</t>
  </si>
  <si>
    <t>(850) 222-8822</t>
  </si>
  <si>
    <t>Courtyard Tallahassee North I-10 Capital Circle</t>
  </si>
  <si>
    <t xml:space="preserve">1972 Raymond Diehl Road </t>
  </si>
  <si>
    <t>Matthew McCloud</t>
  </si>
  <si>
    <t>Renee Williams</t>
  </si>
  <si>
    <t>+ (850) 422-0600</t>
  </si>
  <si>
    <t>Courtyard Tampa Brandon</t>
  </si>
  <si>
    <t xml:space="preserve">10152 Palm River Road </t>
  </si>
  <si>
    <t>Justin Blanchard</t>
  </si>
  <si>
    <t>Ashley Jacobs</t>
  </si>
  <si>
    <t>+1 (813) 661-9559</t>
  </si>
  <si>
    <t>Courtyard Tampa Downtown</t>
  </si>
  <si>
    <t xml:space="preserve">102 E Cass Street </t>
  </si>
  <si>
    <t>+ (813) 241-3971</t>
  </si>
  <si>
    <t>Courtyard Tampa Northwest Veterans Expressway</t>
  </si>
  <si>
    <t xml:space="preserve">12730 Citrus Park Lane </t>
  </si>
  <si>
    <t>Carrollwood</t>
  </si>
  <si>
    <t>Alicia Stofel</t>
  </si>
  <si>
    <t>+1 (813) 920-2011</t>
  </si>
  <si>
    <t>Courtyard Tampa Westshore</t>
  </si>
  <si>
    <t xml:space="preserve">3805 West Cypress </t>
  </si>
  <si>
    <t>Beverly Mogelnicki</t>
  </si>
  <si>
    <t>Racquel Cooper</t>
  </si>
  <si>
    <t>(813) 874-0555</t>
  </si>
  <si>
    <t>Courtyard Tarrytown Westchester County</t>
  </si>
  <si>
    <t xml:space="preserve">475 White Plains Road </t>
  </si>
  <si>
    <t>John Agabey</t>
  </si>
  <si>
    <t>(914) 631-1122</t>
  </si>
  <si>
    <t>Courtyard Temecula Murrieta</t>
  </si>
  <si>
    <t xml:space="preserve">25419 Madison Avenue </t>
  </si>
  <si>
    <t>Murrieta</t>
  </si>
  <si>
    <t>Amy Batista</t>
  </si>
  <si>
    <t>+1 (951)698-1300</t>
  </si>
  <si>
    <t>Courtyard Thousand Oaks Agoura Hills</t>
  </si>
  <si>
    <t xml:space="preserve">29505 Agoura Road </t>
  </si>
  <si>
    <t>Agoura Hills</t>
  </si>
  <si>
    <t>James Fitzpatrick</t>
  </si>
  <si>
    <t>Josh Lopez</t>
  </si>
  <si>
    <t>+()1 747-263-2348</t>
  </si>
  <si>
    <t>Courtyard Times Square Midtown</t>
  </si>
  <si>
    <t xml:space="preserve">307 - 311 West 37th Street </t>
  </si>
  <si>
    <t>Bob Handler</t>
  </si>
  <si>
    <t>Dave Rajyagor</t>
  </si>
  <si>
    <t>+(212) 912-0009</t>
  </si>
  <si>
    <t>Courtyard Toledo Maumee Arrowhead</t>
  </si>
  <si>
    <t xml:space="preserve">415 West Dussel Drive </t>
  </si>
  <si>
    <t>Roxanne Collins</t>
  </si>
  <si>
    <t>Jeremy Livingston</t>
  </si>
  <si>
    <t>(419) 897-2255</t>
  </si>
  <si>
    <t>Courtyard Toledo Rossford Perrysburg</t>
  </si>
  <si>
    <t xml:space="preserve">9789 Clark Drive </t>
  </si>
  <si>
    <t>Rossford</t>
  </si>
  <si>
    <t>Jan Widdel</t>
  </si>
  <si>
    <t>Andrew Groom</t>
  </si>
  <si>
    <t>(419) 872-5636</t>
  </si>
  <si>
    <t>Courtyard Toronto Downtown</t>
  </si>
  <si>
    <t xml:space="preserve">475 Yonge Street </t>
  </si>
  <si>
    <t>M4Y 1X7</t>
  </si>
  <si>
    <t>Murray Kelsey</t>
  </si>
  <si>
    <t>+1 (416) 924-0611</t>
  </si>
  <si>
    <t>Courtyard Toronto Mississauga - Derry Road</t>
  </si>
  <si>
    <t xml:space="preserve">290 Derry Road </t>
  </si>
  <si>
    <t>L5W 1N6</t>
  </si>
  <si>
    <t>Atul Patel</t>
  </si>
  <si>
    <t>Mariel Barbaza</t>
  </si>
  <si>
    <t>+1(905)670-1947</t>
  </si>
  <si>
    <t>Courtyard Torrance Plaza Del Amo</t>
  </si>
  <si>
    <t xml:space="preserve">2633 Sepulveda Boulevard </t>
  </si>
  <si>
    <t>Victoria McLaughlin</t>
  </si>
  <si>
    <t>(310) 533-8000</t>
  </si>
  <si>
    <t>Courtyard Troy</t>
  </si>
  <si>
    <t xml:space="preserve">115 Troy Plaza Loop </t>
  </si>
  <si>
    <t>Brandon Cook</t>
  </si>
  <si>
    <t>Jaime Guerrero</t>
  </si>
  <si>
    <t>+1 (334) 566-0540</t>
  </si>
  <si>
    <t>Courtyard Trussville</t>
  </si>
  <si>
    <t xml:space="preserve">3665 Roosevelt Blvd. </t>
  </si>
  <si>
    <t>Reagan Williams</t>
  </si>
  <si>
    <t>+ () 205-661-2280</t>
  </si>
  <si>
    <t>Courtyard Tucson Williams Centre</t>
  </si>
  <si>
    <t xml:space="preserve">201 South Williams Boulevard </t>
  </si>
  <si>
    <t>Carlos Gonzalez</t>
  </si>
  <si>
    <t>+(520)745-6000</t>
  </si>
  <si>
    <t>SJS Hospitality LLC</t>
  </si>
  <si>
    <t>Courtyard Tulsa Downtown</t>
  </si>
  <si>
    <t xml:space="preserve">415 South Boston Avenue </t>
  </si>
  <si>
    <t>Steve Fischer</t>
  </si>
  <si>
    <t>+1 (918) 508-7400</t>
  </si>
  <si>
    <t>Courtyard Tupelo</t>
  </si>
  <si>
    <t xml:space="preserve">1320 North Gloster Street </t>
  </si>
  <si>
    <t>Kimberly Crump</t>
  </si>
  <si>
    <t>+1 (662) 841-9960</t>
  </si>
  <si>
    <t>Courtyard Tuscaloosa</t>
  </si>
  <si>
    <t xml:space="preserve">4115 Courtney Drive </t>
  </si>
  <si>
    <t>Michael Donaldson</t>
  </si>
  <si>
    <t>Mary Rickert</t>
  </si>
  <si>
    <t>+ (205) 750-8384</t>
  </si>
  <si>
    <t>Courtyard VA Beach - Norfolk</t>
  </si>
  <si>
    <t xml:space="preserve">5700 Greenwich Road </t>
  </si>
  <si>
    <t>Jennifer Thomas</t>
  </si>
  <si>
    <t>+(757)490-2002</t>
  </si>
  <si>
    <t>Courtyard Valencia - Santa Clarita</t>
  </si>
  <si>
    <t xml:space="preserve">28523 Westinghouse Place </t>
  </si>
  <si>
    <t>Valencia</t>
  </si>
  <si>
    <t xml:space="preserve">+1 (661) 257-3220 </t>
  </si>
  <si>
    <t>Courtyard Vallejo</t>
  </si>
  <si>
    <t xml:space="preserve">1000 Fairgrounds Drive </t>
  </si>
  <si>
    <t>Vallejo</t>
  </si>
  <si>
    <t>Kaitlin Martinez</t>
  </si>
  <si>
    <t>Kabir Bhagat</t>
  </si>
  <si>
    <t>+1 (707) 644-1200</t>
  </si>
  <si>
    <t>Sun Hill Properties Inc.</t>
  </si>
  <si>
    <t>Courtyard Ventura Simi Valley</t>
  </si>
  <si>
    <t xml:space="preserve">191 Cochran Street </t>
  </si>
  <si>
    <t>Simi Valley</t>
  </si>
  <si>
    <t>Fabiane Bodart</t>
  </si>
  <si>
    <t>Patrick Callinan</t>
  </si>
  <si>
    <t>+1 (805) 526-3480</t>
  </si>
  <si>
    <t>Courtyard Victorville Hesperia</t>
  </si>
  <si>
    <t xml:space="preserve">9619 Mariposa Road </t>
  </si>
  <si>
    <t>Hesperia</t>
  </si>
  <si>
    <t>Bernadette Pudlinski</t>
  </si>
  <si>
    <t>+1 (760) 956-3876</t>
  </si>
  <si>
    <t>Inmobiliaria Rig S.A. de C.V.</t>
  </si>
  <si>
    <t>Courtyard Villahermosa</t>
  </si>
  <si>
    <t>Paseo de la Choca No. 107</t>
  </si>
  <si>
    <t>Villahermosa</t>
  </si>
  <si>
    <t>TAB</t>
  </si>
  <si>
    <t>Jesús Puigferrat Grife</t>
  </si>
  <si>
    <t>+1(52)993-310-1600</t>
  </si>
  <si>
    <t>Courtyard Waco</t>
  </si>
  <si>
    <t xml:space="preserve">101 Washington Avenue </t>
  </si>
  <si>
    <t>Jared DeBlois</t>
  </si>
  <si>
    <t>Jody Funnell</t>
  </si>
  <si>
    <t>+1 (254) 752-8686</t>
  </si>
  <si>
    <t>Courtyard Warner Robins</t>
  </si>
  <si>
    <t xml:space="preserve">589 Carl Vinson Parkway </t>
  </si>
  <si>
    <t>Rick Rockett</t>
  </si>
  <si>
    <t xml:space="preserve">Sean McIlwain </t>
  </si>
  <si>
    <t>+1 (478) 602-6200</t>
  </si>
  <si>
    <t>Courtyard Washington DC - US Capitol</t>
  </si>
  <si>
    <t xml:space="preserve">1325 2nd Street NE </t>
  </si>
  <si>
    <t>Carlington (Carl) Barnett</t>
  </si>
  <si>
    <t>+(202)898-4000</t>
  </si>
  <si>
    <t>Corporate Cove Lodging</t>
  </si>
  <si>
    <t>Courtyard Wausau</t>
  </si>
  <si>
    <t xml:space="preserve">1000 South 22nd Avenue </t>
  </si>
  <si>
    <t>Dan Burg</t>
  </si>
  <si>
    <t>+ (715) 849-2124</t>
  </si>
  <si>
    <t>Courtyard West Orange</t>
  </si>
  <si>
    <t xml:space="preserve">8 Rooney Circle </t>
  </si>
  <si>
    <t>Shiva Franklin</t>
  </si>
  <si>
    <t>+1 (973) 669-4725</t>
  </si>
  <si>
    <t>Courtyard West Palm Beach</t>
  </si>
  <si>
    <t xml:space="preserve">600 Northpoint Parkway </t>
  </si>
  <si>
    <t>Alison Brumer</t>
  </si>
  <si>
    <t>Hector Santiago</t>
  </si>
  <si>
    <t>+(561)640-9000</t>
  </si>
  <si>
    <t>Courtyard Westbury Long Island</t>
  </si>
  <si>
    <t xml:space="preserve">1800 Privado Road </t>
  </si>
  <si>
    <t>Eric Fung</t>
  </si>
  <si>
    <t>+1 (516) 542-1001</t>
  </si>
  <si>
    <t>Courtyard Wichita at Old Town</t>
  </si>
  <si>
    <t xml:space="preserve">820 East 2nd Street North </t>
  </si>
  <si>
    <t>Tyler Stevens</t>
  </si>
  <si>
    <t>+1 (316) 264-5300</t>
  </si>
  <si>
    <t>Courtyard Wichita Falls</t>
  </si>
  <si>
    <t xml:space="preserve">3800 Tarry Street </t>
  </si>
  <si>
    <t>Wichita Falls</t>
  </si>
  <si>
    <t>Divyesh Patel</t>
  </si>
  <si>
    <t>Bridgette Bisbee</t>
  </si>
  <si>
    <t>+1 (940) 696-0010</t>
  </si>
  <si>
    <t>Courtyard Williamsburg</t>
  </si>
  <si>
    <t xml:space="preserve">470 McLaws Circle </t>
  </si>
  <si>
    <t>Todd Wellbrock</t>
  </si>
  <si>
    <t>+(757)221-0700</t>
  </si>
  <si>
    <t>Courtyard Willow Grove</t>
  </si>
  <si>
    <t xml:space="preserve">2350 Easton Road Route 611 </t>
  </si>
  <si>
    <t>Lisa Deshields</t>
  </si>
  <si>
    <t>+(215)830-0550</t>
  </si>
  <si>
    <t>Courtyard Wilmington Downtown</t>
  </si>
  <si>
    <t xml:space="preserve">1102 West Street </t>
  </si>
  <si>
    <t>Barret Williams</t>
  </si>
  <si>
    <t>Katie Lamkey</t>
  </si>
  <si>
    <t>(302) 429-7600</t>
  </si>
  <si>
    <t>USA Management Inc.</t>
  </si>
  <si>
    <t>Courtyard Winchester Medical Center</t>
  </si>
  <si>
    <t xml:space="preserve">300 Marriott Drive </t>
  </si>
  <si>
    <t>Jose Herrera</t>
  </si>
  <si>
    <t>+1 (540) 678-8822</t>
  </si>
  <si>
    <t>Courtyard Winston-Salem Downtown</t>
  </si>
  <si>
    <t xml:space="preserve">640 West Fourth Street </t>
  </si>
  <si>
    <t>Arnika Addison</t>
  </si>
  <si>
    <t>+(336)917-3038</t>
  </si>
  <si>
    <t>Courtyard Yonkers</t>
  </si>
  <si>
    <t xml:space="preserve">5 Executive Boulevard </t>
  </si>
  <si>
    <t>Yonkers</t>
  </si>
  <si>
    <t>Ron Czulada</t>
  </si>
  <si>
    <t>Jamie Masterson</t>
  </si>
  <si>
    <t>+1 (914) 476-2400</t>
  </si>
  <si>
    <t>Courtyard York</t>
  </si>
  <si>
    <t xml:space="preserve">2799 Concord Road </t>
  </si>
  <si>
    <t>William Muntz</t>
  </si>
  <si>
    <t>+1 (717) 840-7840</t>
  </si>
  <si>
    <t>Cova Hotel</t>
  </si>
  <si>
    <t xml:space="preserve">Cova Hotel </t>
  </si>
  <si>
    <t xml:space="preserve">655 Ellis Street </t>
  </si>
  <si>
    <t>Simon Sin</t>
  </si>
  <si>
    <t>Zegrid Brandes</t>
  </si>
  <si>
    <t>+1 (415) 771-3000</t>
  </si>
  <si>
    <t>Cowboys Golf Club</t>
  </si>
  <si>
    <t xml:space="preserve">1600 Fairway Drive </t>
  </si>
  <si>
    <t>Don McDougal</t>
  </si>
  <si>
    <t>Cowboys Test</t>
  </si>
  <si>
    <t>+1 (817) 481-7277</t>
  </si>
  <si>
    <t>Coyote Moon Golf Course</t>
  </si>
  <si>
    <t xml:space="preserve">10685 Northwoods Boulevard </t>
  </si>
  <si>
    <t>Ed McGargill</t>
  </si>
  <si>
    <t>+1 (530) 587-0886</t>
  </si>
  <si>
    <t>Coyote South</t>
  </si>
  <si>
    <t xml:space="preserve">3358 Cerrillos Road </t>
  </si>
  <si>
    <t>+1 (505) 471-8811</t>
  </si>
  <si>
    <t>Craft 309</t>
  </si>
  <si>
    <t xml:space="preserve">500 Hamilton Boulevard </t>
  </si>
  <si>
    <t>Danny Leibfried</t>
  </si>
  <si>
    <t>Jamie Lowe</t>
  </si>
  <si>
    <t>+1 (309) 306-3428</t>
  </si>
  <si>
    <t>Crescent Club</t>
  </si>
  <si>
    <t>6075 Poplar AVE Ste 909</t>
  </si>
  <si>
    <t>Robert Onstad</t>
  </si>
  <si>
    <t>Stan Gibson</t>
  </si>
  <si>
    <t>+1 (901) 684-1010</t>
  </si>
  <si>
    <t>Crescent Court Hotel</t>
  </si>
  <si>
    <t xml:space="preserve">400 Crescent Court </t>
  </si>
  <si>
    <t>Maher Jallad</t>
  </si>
  <si>
    <t>+1 (214) 871-3200</t>
  </si>
  <si>
    <t>Crescent Hotels &amp; Resorts HQ</t>
  </si>
  <si>
    <t>10306 Eaton Place Suite 150</t>
  </si>
  <si>
    <t>Lily Hu</t>
  </si>
  <si>
    <t>+1 (703) 279-7820</t>
  </si>
  <si>
    <t>Crofton Country Club</t>
  </si>
  <si>
    <t xml:space="preserve">1691 Crofton Pkwy </t>
  </si>
  <si>
    <t>Crofton</t>
  </si>
  <si>
    <t>Ray Sauser</t>
  </si>
  <si>
    <t>James Grayson</t>
  </si>
  <si>
    <t>+ (410) 721-3111</t>
  </si>
  <si>
    <t>Crossroads Hotel KC</t>
  </si>
  <si>
    <t xml:space="preserve">2101 Central Street </t>
  </si>
  <si>
    <t>Brenda Alderman</t>
  </si>
  <si>
    <t>Jeff Conrade</t>
  </si>
  <si>
    <t>+1 (866) 531-2400</t>
  </si>
  <si>
    <t>CROSSROADS UNITED METHODIST CHURCH</t>
  </si>
  <si>
    <t xml:space="preserve">43454 CROSSROADS DRIVE </t>
  </si>
  <si>
    <t>ASHBURN</t>
  </si>
  <si>
    <t>Barbra Stanley</t>
  </si>
  <si>
    <t>Glenn Colucci</t>
  </si>
  <si>
    <t>+ () 703/729-5100</t>
  </si>
  <si>
    <t>Crow Canyon Country Club</t>
  </si>
  <si>
    <t xml:space="preserve">711 Silver Lake Drive </t>
  </si>
  <si>
    <t>James Birchall</t>
  </si>
  <si>
    <t>+ (925) 735-5700</t>
  </si>
  <si>
    <t>Crown Reef Resort</t>
  </si>
  <si>
    <t xml:space="preserve">2913 South Ocean Boulevard </t>
  </si>
  <si>
    <t>Dottie Smith</t>
  </si>
  <si>
    <t>Jennifer Stahler</t>
  </si>
  <si>
    <t>+1 (843) 626-8077</t>
  </si>
  <si>
    <t>Crowne Plaza and Staybridge Suites Atlanta</t>
  </si>
  <si>
    <t xml:space="preserve">590 West Peachtree Street </t>
  </si>
  <si>
    <t>Antonio Jones</t>
  </si>
  <si>
    <t>+1 (404) 877-9000</t>
  </si>
  <si>
    <t>Crowne Plaza Cabana</t>
  </si>
  <si>
    <t xml:space="preserve">4290 El Camino Real </t>
  </si>
  <si>
    <t>Alyssa Robin</t>
  </si>
  <si>
    <t>+ (650) 857-0787</t>
  </si>
  <si>
    <t>Crowne Plaza Charleston Airport - Conv Center</t>
  </si>
  <si>
    <t xml:space="preserve">4831 Tanger Outlet Boulevard </t>
  </si>
  <si>
    <t>Mark Dancy</t>
  </si>
  <si>
    <t>Jonathan Monroe</t>
  </si>
  <si>
    <t>+1 (843) 744-4422</t>
  </si>
  <si>
    <t>Crowne Plaza College Park</t>
  </si>
  <si>
    <t xml:space="preserve">6400 Ivy Lane </t>
  </si>
  <si>
    <t>Joshua Lustig</t>
  </si>
  <si>
    <t>+1 (301) 441-3700</t>
  </si>
  <si>
    <t>Crowne Plaza Dallas Market Center</t>
  </si>
  <si>
    <t xml:space="preserve">7050 North Stemmons Freeway </t>
  </si>
  <si>
    <t>Mark Peck</t>
  </si>
  <si>
    <t>+ (214) 630-8500</t>
  </si>
  <si>
    <t>Crowne Plaza Denver International Airport</t>
  </si>
  <si>
    <t xml:space="preserve">15500 East 40th Avenue </t>
  </si>
  <si>
    <t>Dan Clarizio</t>
  </si>
  <si>
    <t>Eric Finney</t>
  </si>
  <si>
    <t>+1 (303) 371-9494</t>
  </si>
  <si>
    <t>Crowne Plaza Englewood</t>
  </si>
  <si>
    <t xml:space="preserve">401 South Van Brunt Street </t>
  </si>
  <si>
    <t>Ben Elie</t>
  </si>
  <si>
    <t>Blanca Rios</t>
  </si>
  <si>
    <t>+1 (201) 871-2020</t>
  </si>
  <si>
    <t>Global City Hotel Inc.</t>
  </si>
  <si>
    <t>Crowne Plaza Hotel San Francisco-Intl Airport</t>
  </si>
  <si>
    <t xml:space="preserve">1177 Airport Boulevard </t>
  </si>
  <si>
    <t>BURLINGAME</t>
  </si>
  <si>
    <t>Norman Onaga</t>
  </si>
  <si>
    <t>+1 (650) 373-7025</t>
  </si>
  <si>
    <t>Crowne Plaza Jacksonville Airport</t>
  </si>
  <si>
    <t xml:space="preserve">14670 Duval Road </t>
  </si>
  <si>
    <t>Brian Brooks</t>
  </si>
  <si>
    <t>Dearlyn Phelps</t>
  </si>
  <si>
    <t>+1 (904) 741-4404</t>
  </si>
  <si>
    <t>Crowne Plaza Kansas City Downtown</t>
  </si>
  <si>
    <t xml:space="preserve">1301 Wyandotte Street </t>
  </si>
  <si>
    <t>Samson Goitom</t>
  </si>
  <si>
    <t>Walker Swan</t>
  </si>
  <si>
    <t>+1 (816) 474-6664</t>
  </si>
  <si>
    <t>Crowne Plaza Memphis Downtown</t>
  </si>
  <si>
    <t xml:space="preserve">300 North Second Street </t>
  </si>
  <si>
    <t>Robert Henley</t>
  </si>
  <si>
    <t>+1 (901) 525-1800</t>
  </si>
  <si>
    <t>Crowne Plaza Milwaukee Airport</t>
  </si>
  <si>
    <t xml:space="preserve">6401 South 13th Street </t>
  </si>
  <si>
    <t>Jerry Evans</t>
  </si>
  <si>
    <t>+1 (414) 563-4060</t>
  </si>
  <si>
    <t>Crowne Plaza Northstar</t>
  </si>
  <si>
    <t xml:space="preserve">618 Second Avenue South </t>
  </si>
  <si>
    <t>+ (612) 338-2288</t>
  </si>
  <si>
    <t>Crowne Plaza Portland Downtown</t>
  </si>
  <si>
    <t xml:space="preserve">1441 NE 2nd Avenue </t>
  </si>
  <si>
    <t>Ziggy Lopuszynski</t>
  </si>
  <si>
    <t>Rodney Knicely</t>
  </si>
  <si>
    <t>+1 (503) 233-2401</t>
  </si>
  <si>
    <t>Crowne Plaza Resort Asheville Downtown</t>
  </si>
  <si>
    <t xml:space="preserve">1 Resort Drive </t>
  </si>
  <si>
    <t>Lori Hollifield</t>
  </si>
  <si>
    <t>+1 (828) 254-3211</t>
  </si>
  <si>
    <t>Crowne Plaza Seattle Airport</t>
  </si>
  <si>
    <t xml:space="preserve">17338 International Boulevard </t>
  </si>
  <si>
    <t>Ken Stockdale</t>
  </si>
  <si>
    <t>Wayne Ruedinger</t>
  </si>
  <si>
    <t>+1 (206) 248-1000</t>
  </si>
  <si>
    <t>Crowne Plaza Virginia Beach</t>
  </si>
  <si>
    <t xml:space="preserve">4453 Bonney Road </t>
  </si>
  <si>
    <t>Charles Harrity</t>
  </si>
  <si>
    <t>Marquis Armstrong</t>
  </si>
  <si>
    <t>+1 (757) 473-1700</t>
  </si>
  <si>
    <t>Crowne Plaza Woburn Boston</t>
  </si>
  <si>
    <t xml:space="preserve">15 Middlesex Canal Road </t>
  </si>
  <si>
    <t>Neptali Lowenstein</t>
  </si>
  <si>
    <t>+1 (781) 935-8760</t>
  </si>
  <si>
    <t>Cruise Terminals of America</t>
  </si>
  <si>
    <t xml:space="preserve">2225 Alaskan Way </t>
  </si>
  <si>
    <t>Jean Cox</t>
  </si>
  <si>
    <t>Mary Ann Marklein</t>
  </si>
  <si>
    <t>+1 (206) 787-3911</t>
  </si>
  <si>
    <t>Crystal Cove Autograph Collection Barbados</t>
  </si>
  <si>
    <t xml:space="preserve">Appleby </t>
  </si>
  <si>
    <t>+1 (246) 432-2683</t>
  </si>
  <si>
    <t>Crystal Lake Country Club</t>
  </si>
  <si>
    <t xml:space="preserve">721 Country Club Drive </t>
  </si>
  <si>
    <t>Crystal Lake</t>
  </si>
  <si>
    <t>Mike Nedeau</t>
  </si>
  <si>
    <t>Ryan Koertgen</t>
  </si>
  <si>
    <t>+1(815)459-1237</t>
  </si>
  <si>
    <t>Crystal Mountain Resort</t>
  </si>
  <si>
    <t xml:space="preserve">33914 Crystal Mountain Boulevard </t>
  </si>
  <si>
    <t>Crystal Mountain</t>
  </si>
  <si>
    <t>Melissa Wilson</t>
  </si>
  <si>
    <t>Christian Adams</t>
  </si>
  <si>
    <t>+1 (360) 663-2265</t>
  </si>
  <si>
    <t>Crystal Shores</t>
  </si>
  <si>
    <t xml:space="preserve">600 South Collier Boulevard </t>
  </si>
  <si>
    <t>Marco Island</t>
  </si>
  <si>
    <t>Karl Magnuson</t>
  </si>
  <si>
    <t>John Louie</t>
  </si>
  <si>
    <t>+ (239) 393-6800</t>
  </si>
  <si>
    <t>Culinaire International - HQ</t>
  </si>
  <si>
    <t xml:space="preserve">8303 Elmbrook Drive </t>
  </si>
  <si>
    <t>+ () 214/754-1880</t>
  </si>
  <si>
    <t>Culinaire International - Mary Kay Conference</t>
  </si>
  <si>
    <t>Dallas Convention Center 650 South Griffin Street</t>
  </si>
  <si>
    <t>William LeNoir</t>
  </si>
  <si>
    <t>+1 (1) xxx-xxx-xxxx</t>
  </si>
  <si>
    <t>Culinaire of Florida Inc - Westin Hotel Lake Mary</t>
  </si>
  <si>
    <t xml:space="preserve">2974 International Parkway </t>
  </si>
  <si>
    <t>Lee Ann Dianni</t>
  </si>
  <si>
    <t>+ () tbd</t>
  </si>
  <si>
    <t>Cumberland House Knoxville a Tapestry Collection Hotel</t>
  </si>
  <si>
    <t xml:space="preserve">1109 White Avenue </t>
  </si>
  <si>
    <t>TeDra George</t>
  </si>
  <si>
    <t>+1 (865) 971-4663</t>
  </si>
  <si>
    <t>Piscamar Beach Resort B.V.</t>
  </si>
  <si>
    <t>Curacao Marriott Beach Resort</t>
  </si>
  <si>
    <t xml:space="preserve">John F. Kennedy Boulevard </t>
  </si>
  <si>
    <t>Curacao</t>
  </si>
  <si>
    <t>CUR</t>
  </si>
  <si>
    <t>+599 (9) 7368800</t>
  </si>
  <si>
    <t>Current Restaurant at the W Chicago Lakeshore</t>
  </si>
  <si>
    <t xml:space="preserve">644 North Lakeshore Drive </t>
  </si>
  <si>
    <t>+1 (312) 943-9200</t>
  </si>
  <si>
    <t>Currituck Club</t>
  </si>
  <si>
    <t xml:space="preserve">620 Currituck Clubhouse Drive </t>
  </si>
  <si>
    <t>Corolla</t>
  </si>
  <si>
    <t>Richard Beetle</t>
  </si>
  <si>
    <t>+ (252) 453-9400</t>
  </si>
  <si>
    <t>Custom House</t>
  </si>
  <si>
    <t xml:space="preserve">3 McKinley Square </t>
  </si>
  <si>
    <t>Willie Nagda</t>
  </si>
  <si>
    <t>+ (617) 310-6300</t>
  </si>
  <si>
    <t>CVS Sales and Marketing</t>
  </si>
  <si>
    <t xml:space="preserve">310 Bearcat Drive </t>
  </si>
  <si>
    <t>Wayne Bahr</t>
  </si>
  <si>
    <t>+1 (801) 828-1452</t>
  </si>
  <si>
    <t>Cypress Harbour</t>
  </si>
  <si>
    <t xml:space="preserve">11251 Harbour Villa Road </t>
  </si>
  <si>
    <t>Sonja Giselbrecht</t>
  </si>
  <si>
    <t>+1 (407) 238-1300</t>
  </si>
  <si>
    <t>Cyrus Hotel Topeka a Tribute Portfolio Hotel</t>
  </si>
  <si>
    <t xml:space="preserve">920 South Kansas </t>
  </si>
  <si>
    <t>+1 (866) 266-3500</t>
  </si>
  <si>
    <t>Dallas Embassy Suites</t>
  </si>
  <si>
    <t xml:space="preserve">14021 Noel Road </t>
  </si>
  <si>
    <t>Brian Koenitzer</t>
  </si>
  <si>
    <t>Claudia Wade</t>
  </si>
  <si>
    <t>+1 (972) 364-3640</t>
  </si>
  <si>
    <t>Dallas Marriott City Center Hotel</t>
  </si>
  <si>
    <t xml:space="preserve">650 N Pearl Street </t>
  </si>
  <si>
    <t>Daniel Pickett</t>
  </si>
  <si>
    <t>Juan Calderon</t>
  </si>
  <si>
    <t>+1 (214) 979-9000</t>
  </si>
  <si>
    <t>Dallas Marriott Suites Medical - Market Center</t>
  </si>
  <si>
    <t xml:space="preserve">2493 North Stemmons Freeway </t>
  </si>
  <si>
    <t>Chandler Vadra</t>
  </si>
  <si>
    <t>Tre Johnson</t>
  </si>
  <si>
    <t>(214) 905-0050</t>
  </si>
  <si>
    <t>Dallas Plano Marriott at Legacy Park</t>
  </si>
  <si>
    <t xml:space="preserve">7121 Bishop Drive </t>
  </si>
  <si>
    <t>Mary Lavelle</t>
  </si>
  <si>
    <t>(972) 473-6444</t>
  </si>
  <si>
    <t>Dallas Women's Club</t>
  </si>
  <si>
    <t xml:space="preserve">7000 Park Lane </t>
  </si>
  <si>
    <t>+(214)363-7596</t>
  </si>
  <si>
    <t>David L. Baker Golf Course</t>
  </si>
  <si>
    <t xml:space="preserve">10410 Edinger Avenue </t>
  </si>
  <si>
    <t>Fountain Valley</t>
  </si>
  <si>
    <t>Derek Sipe</t>
  </si>
  <si>
    <t>Kevinl Patel</t>
  </si>
  <si>
    <t>+1 (714) 418-2152</t>
  </si>
  <si>
    <t>Davidson Hotels Atlanta Office</t>
  </si>
  <si>
    <t>1 Ravinia Drive Suite 1600</t>
  </si>
  <si>
    <t>Susan King</t>
  </si>
  <si>
    <t>+()678-349-0909</t>
  </si>
  <si>
    <t>Dawson Creek Pomeroy Inn &amp; Suites</t>
  </si>
  <si>
    <t xml:space="preserve">540 Highway 2 </t>
  </si>
  <si>
    <t>Dawson Creek</t>
  </si>
  <si>
    <t>V1G 0A4</t>
  </si>
  <si>
    <t>Tasha Sheppard</t>
  </si>
  <si>
    <t>+1 (250) 782-3700</t>
  </si>
  <si>
    <t>Dawson Creek Stonebridge Hotel</t>
  </si>
  <si>
    <t xml:space="preserve">500 Highway 2 </t>
  </si>
  <si>
    <t>+1 (250) 782-6226</t>
  </si>
  <si>
    <t>Days Hotel &amp; Conference Center by Wyndham Methuen</t>
  </si>
  <si>
    <t xml:space="preserve">159 Pelham Street </t>
  </si>
  <si>
    <t>Methuen</t>
  </si>
  <si>
    <t>Andy Mistry</t>
  </si>
  <si>
    <t>+1 (978) 291-6522</t>
  </si>
  <si>
    <t>Days Inn &amp; Suites Arlington</t>
  </si>
  <si>
    <t xml:space="preserve">3030 Columbia Pike </t>
  </si>
  <si>
    <t>Terri Madni</t>
  </si>
  <si>
    <t>+ () 703-521-5570</t>
  </si>
  <si>
    <t>Days Inn &amp; Suites Castle Rock</t>
  </si>
  <si>
    <t xml:space="preserve">4691 Castleton Way </t>
  </si>
  <si>
    <t>+1 (303) 814-5825</t>
  </si>
  <si>
    <t>Days Inn Aeroport Montreal</t>
  </si>
  <si>
    <t xml:space="preserve">4545 Cote Vertu Quest </t>
  </si>
  <si>
    <t>Saint-laurent</t>
  </si>
  <si>
    <t>H4S 1C8</t>
  </si>
  <si>
    <t>Leila Abdelkhalki</t>
  </si>
  <si>
    <t>+1 (514) 332-2720</t>
  </si>
  <si>
    <t>Days Inn Altus</t>
  </si>
  <si>
    <t xml:space="preserve">2804 North Main Street </t>
  </si>
  <si>
    <t>Altus</t>
  </si>
  <si>
    <t>Deborah Chaney</t>
  </si>
  <si>
    <t>+1 (580) 482-9300</t>
  </si>
  <si>
    <t>Days Inn and Suites Moncton</t>
  </si>
  <si>
    <t xml:space="preserve">2515 Mountain Road </t>
  </si>
  <si>
    <t>Gary Smith</t>
  </si>
  <si>
    <t>Tom Sherrard</t>
  </si>
  <si>
    <t>+1 (506) 384-1050</t>
  </si>
  <si>
    <t>Days Inn Bonita Springs</t>
  </si>
  <si>
    <t xml:space="preserve">27991 Oakland Drive </t>
  </si>
  <si>
    <t>Bonita Springs</t>
  </si>
  <si>
    <t>Vinnie Patel</t>
  </si>
  <si>
    <t>+ (239) 949-9400</t>
  </si>
  <si>
    <t>Days Inn by Wyndham Absecon Atlantic City Area</t>
  </si>
  <si>
    <t xml:space="preserve">405 East Absecon Boulevard </t>
  </si>
  <si>
    <t>Absecon</t>
  </si>
  <si>
    <t>Umesh Kapadia</t>
  </si>
  <si>
    <t>+1 (609) 646-5000</t>
  </si>
  <si>
    <t>Days Inn by Wyndham Atlanta Stone Mountain</t>
  </si>
  <si>
    <t xml:space="preserve">2006 Glenn Club Dr </t>
  </si>
  <si>
    <t>Keon Stafford</t>
  </si>
  <si>
    <t>+1 (770) 879-0800</t>
  </si>
  <si>
    <t>Days Inn by Wyndham Denton</t>
  </si>
  <si>
    <t xml:space="preserve">4211 North Interstate 35 </t>
  </si>
  <si>
    <t>Denton</t>
  </si>
  <si>
    <t>Max Bhagat</t>
  </si>
  <si>
    <t>Varsha Bhagat</t>
  </si>
  <si>
    <t>+1 (940) 383-1471</t>
  </si>
  <si>
    <t>Churchmans Hospitality LLC</t>
  </si>
  <si>
    <t>Days Inn by Wyndham Newark Wilmington</t>
  </si>
  <si>
    <t xml:space="preserve">900 Churchman's Road </t>
  </si>
  <si>
    <t>Wendy Lee</t>
  </si>
  <si>
    <t>+1 (302) 368-2400</t>
  </si>
  <si>
    <t>Days Inn Camp Springs</t>
  </si>
  <si>
    <t xml:space="preserve">5151 Allentown Road </t>
  </si>
  <si>
    <t>Morningside</t>
  </si>
  <si>
    <t>Reena Karki</t>
  </si>
  <si>
    <t>+ (301) 899-7700</t>
  </si>
  <si>
    <t>Days Inn Clearwater Gulf to Bay</t>
  </si>
  <si>
    <t xml:space="preserve">2940 Gulf to Bay Boulevard </t>
  </si>
  <si>
    <t>Sonya Brothers</t>
  </si>
  <si>
    <t>+1 (727) 799-0100</t>
  </si>
  <si>
    <t>Days Inn College Park</t>
  </si>
  <si>
    <t xml:space="preserve">9113 Baltimore Avenue </t>
  </si>
  <si>
    <t>+ () 301-345-4900</t>
  </si>
  <si>
    <t>Days Inn Cranston</t>
  </si>
  <si>
    <t xml:space="preserve">101 New London Ave. </t>
  </si>
  <si>
    <t>Cranston</t>
  </si>
  <si>
    <t>JP Patel</t>
  </si>
  <si>
    <t>+1 (401) 942-4200</t>
  </si>
  <si>
    <t>Days Inn Dalhart</t>
  </si>
  <si>
    <t xml:space="preserve">701 Liberal St </t>
  </si>
  <si>
    <t>Dalhart</t>
  </si>
  <si>
    <t>Joel Friar</t>
  </si>
  <si>
    <t>+()806-244-5246</t>
  </si>
  <si>
    <t>Days Inn Denver Airport</t>
  </si>
  <si>
    <t xml:space="preserve">7030 Tower Road </t>
  </si>
  <si>
    <t>Erik Aguayo</t>
  </si>
  <si>
    <t>Wesley Bugg</t>
  </si>
  <si>
    <t>+1 (303) 800-3178</t>
  </si>
  <si>
    <t>Days Inn Downtown Ottawa</t>
  </si>
  <si>
    <t xml:space="preserve">319 Rideau Street </t>
  </si>
  <si>
    <t>K1N 5Y4</t>
  </si>
  <si>
    <t>Jessica Martel</t>
  </si>
  <si>
    <t>+1(613)789-5555</t>
  </si>
  <si>
    <t>Days Inn Duluth Lakewalk</t>
  </si>
  <si>
    <t xml:space="preserve">2211 London Road </t>
  </si>
  <si>
    <t>Doug Petrin</t>
  </si>
  <si>
    <t>Jason Miller</t>
  </si>
  <si>
    <t>+1 (218) 728-5141</t>
  </si>
  <si>
    <t>Days Inn Encinitas - Legoland Moonlight Beach</t>
  </si>
  <si>
    <t xml:space="preserve">133 Encinitas Blvd </t>
  </si>
  <si>
    <t>Luis Mendoza</t>
  </si>
  <si>
    <t>+1 (760) 944-0260</t>
  </si>
  <si>
    <t>Hilliard Parkway Knights LLC</t>
  </si>
  <si>
    <t>Days Inn Grove City</t>
  </si>
  <si>
    <t xml:space="preserve">1849 Stringtown Road </t>
  </si>
  <si>
    <t>Ronik Patel</t>
  </si>
  <si>
    <t>+1 (614) 871-0440</t>
  </si>
  <si>
    <t>Days Inn Hurley</t>
  </si>
  <si>
    <t xml:space="preserve">13355 US-51 </t>
  </si>
  <si>
    <t>Hurley</t>
  </si>
  <si>
    <t>Lauretta Fortier</t>
  </si>
  <si>
    <t>+1(715)561-3500</t>
  </si>
  <si>
    <t>Days Inn Johnson Creek</t>
  </si>
  <si>
    <t xml:space="preserve">W 4545 Linmar Lane </t>
  </si>
  <si>
    <t>Jamie Anderson</t>
  </si>
  <si>
    <t>+1 (920) 343-6613</t>
  </si>
  <si>
    <t>Days Inn Kingman West</t>
  </si>
  <si>
    <t xml:space="preserve">3023 E Andy Devine Avenue </t>
  </si>
  <si>
    <t>+1 (928) 753-7500</t>
  </si>
  <si>
    <t>Days Inn Mobile I-65 (Dual Property)</t>
  </si>
  <si>
    <t>+1 (251) 706-3560</t>
  </si>
  <si>
    <t>Group Aquitaine Limited</t>
  </si>
  <si>
    <t>Days Inn Orillia</t>
  </si>
  <si>
    <t xml:space="preserve">5850 Rama Road </t>
  </si>
  <si>
    <t>L3V 6H6</t>
  </si>
  <si>
    <t>Jacob Hornstein</t>
  </si>
  <si>
    <t>+1 (705) 326-8288</t>
  </si>
  <si>
    <t>Bayview Hospitality</t>
  </si>
  <si>
    <t>Days Inn Ottawa Airport</t>
  </si>
  <si>
    <t xml:space="preserve">366 Hunt Club Road </t>
  </si>
  <si>
    <t>K1V 1C1</t>
  </si>
  <si>
    <t>Jay Mathewson</t>
  </si>
  <si>
    <t>+1 (613) 739-7555</t>
  </si>
  <si>
    <t>Days Inn Ottawa West</t>
  </si>
  <si>
    <t xml:space="preserve">350 Moodie Drive </t>
  </si>
  <si>
    <t>K2H 8G3</t>
  </si>
  <si>
    <t>Rose Embrett</t>
  </si>
  <si>
    <t>+1(613) 726-1717</t>
  </si>
  <si>
    <t>Days Inn RDU</t>
  </si>
  <si>
    <t xml:space="preserve">1000 Airport Boulevard </t>
  </si>
  <si>
    <t>+1 (919) 234-5211</t>
  </si>
  <si>
    <t>Days Inn Saint Pauls</t>
  </si>
  <si>
    <t xml:space="preserve">931 West Broad Street </t>
  </si>
  <si>
    <t>Saint Pauls</t>
  </si>
  <si>
    <t>+1 (910) 865-1111</t>
  </si>
  <si>
    <t>Days Inn St. Petersburg North</t>
  </si>
  <si>
    <t xml:space="preserve">5005 34th Street North </t>
  </si>
  <si>
    <t>Meghan Thakore</t>
  </si>
  <si>
    <t>+1 (727) 851-9889</t>
  </si>
  <si>
    <t>Days Inn Whitehorse</t>
  </si>
  <si>
    <t xml:space="preserve">2288 2nd Avenue </t>
  </si>
  <si>
    <t>Whitehorse</t>
  </si>
  <si>
    <t>YT</t>
  </si>
  <si>
    <t>Y1A 1C8</t>
  </si>
  <si>
    <t>Wayne Grimes</t>
  </si>
  <si>
    <t>+1 (867) 668-4747</t>
  </si>
  <si>
    <t>Hotel Capital Management</t>
  </si>
  <si>
    <t>Dayton Grand Hotel</t>
  </si>
  <si>
    <t xml:space="preserve">11 South Ludlow Street </t>
  </si>
  <si>
    <t>Eric Minshall</t>
  </si>
  <si>
    <t>+1 (937) 461-4700</t>
  </si>
  <si>
    <t>Daytona Beach Courtyard</t>
  </si>
  <si>
    <t xml:space="preserve">1605 Richard Petty Blvd </t>
  </si>
  <si>
    <t>Sandra Whittington-Boone</t>
  </si>
  <si>
    <t>Marcus Gonzalez</t>
  </si>
  <si>
    <t>(386) 255-3388</t>
  </si>
  <si>
    <t>Decameron Isla Coral</t>
  </si>
  <si>
    <t xml:space="preserve">Calle retorno de Los Cedros lote 2 manzana O sección K1 fraccionamiento Sol Nuevo </t>
  </si>
  <si>
    <t>Rincon de Guayabitos</t>
  </si>
  <si>
    <t>Feliberto Ventura</t>
  </si>
  <si>
    <t>Andres Rivera</t>
  </si>
  <si>
    <t>+52 (327) 274 0190</t>
  </si>
  <si>
    <t>Decameron La Marina</t>
  </si>
  <si>
    <t xml:space="preserve">Calle Retorno Ceibas Lote 3 manzana 9 seccion O zona K fraccionamiento Sol Nuevo </t>
  </si>
  <si>
    <t>Deer Valley Resort</t>
  </si>
  <si>
    <t xml:space="preserve">2250 Deer Valley Drive South </t>
  </si>
  <si>
    <t>Lauren Pollock</t>
  </si>
  <si>
    <t>Brian Vandenbroek</t>
  </si>
  <si>
    <t>+1 (435) 649-1000</t>
  </si>
  <si>
    <t>Deerwood Club at Kingwood Country Club</t>
  </si>
  <si>
    <t xml:space="preserve">1717 Forest Garden DR </t>
  </si>
  <si>
    <t>Kingwood</t>
  </si>
  <si>
    <t>+ (281) 360-1060</t>
  </si>
  <si>
    <t>Del Mar Los Cabos</t>
  </si>
  <si>
    <t xml:space="preserve">Km 27.5 Carretera Transpeninsular Fraccionamiento </t>
  </si>
  <si>
    <t>+1 (624) 163-7000</t>
  </si>
  <si>
    <t>Lean Culinary Services LLC</t>
  </si>
  <si>
    <t>Deliver Lean</t>
  </si>
  <si>
    <t xml:space="preserve">4351 Northeast 12th Terrace </t>
  </si>
  <si>
    <t>Scott Harris</t>
  </si>
  <si>
    <t>+1 (561) 807-6080</t>
  </si>
  <si>
    <t>Delphine Eatery &amp; Bar at W Hollywood</t>
  </si>
  <si>
    <t xml:space="preserve">6250 Hollywood Boulevard </t>
  </si>
  <si>
    <t>Dax Casillas</t>
  </si>
  <si>
    <t>+1(323) 798-1330</t>
  </si>
  <si>
    <t>Delta Beausejour Hotel</t>
  </si>
  <si>
    <t xml:space="preserve">750 Main Street </t>
  </si>
  <si>
    <t>E1C 1E6</t>
  </si>
  <si>
    <t>Raymond Roberge</t>
  </si>
  <si>
    <t>+ (506) 854-4344</t>
  </si>
  <si>
    <t>Delta Bessborough</t>
  </si>
  <si>
    <t xml:space="preserve">601 Spadina Cresent East </t>
  </si>
  <si>
    <t>S7K 3G8</t>
  </si>
  <si>
    <t>Jason Clark</t>
  </si>
  <si>
    <t>+1 (306) 244-5521</t>
  </si>
  <si>
    <t>Delta Bristol Conference Center</t>
  </si>
  <si>
    <t xml:space="preserve">3135 Linden Drive </t>
  </si>
  <si>
    <t>Bristol</t>
  </si>
  <si>
    <t>Doy Rayburn</t>
  </si>
  <si>
    <t>+1 (276) 466-4100</t>
  </si>
  <si>
    <t>Delta Burnaby</t>
  </si>
  <si>
    <t xml:space="preserve">4331 Dominion Street </t>
  </si>
  <si>
    <t>Burnaby</t>
  </si>
  <si>
    <t>V5G 4M7</t>
  </si>
  <si>
    <t>Anthony Chisholm</t>
  </si>
  <si>
    <t>Darren Duncan</t>
  </si>
  <si>
    <t>+1 (604) 453-0750</t>
  </si>
  <si>
    <t>Delta Calgary Airport Hotel</t>
  </si>
  <si>
    <t xml:space="preserve">2001 Airport Road Northeast </t>
  </si>
  <si>
    <t>T2E 6Z8</t>
  </si>
  <si>
    <t>Dan DeSantis</t>
  </si>
  <si>
    <t>+1 (403) 291-2600</t>
  </si>
  <si>
    <t>Delta Calgary Downtown</t>
  </si>
  <si>
    <t xml:space="preserve">209 Fourth Avenue Southeast </t>
  </si>
  <si>
    <t>T2G 0C6</t>
  </si>
  <si>
    <t>Richard Main</t>
  </si>
  <si>
    <t>+1 (403) 266-1980</t>
  </si>
  <si>
    <t>Hospitality Inns Ltd.</t>
  </si>
  <si>
    <t>Delta Calgary South</t>
  </si>
  <si>
    <t xml:space="preserve">135 Southland Drive SE </t>
  </si>
  <si>
    <t>T2J 5X5</t>
  </si>
  <si>
    <t>Marc Rheaume</t>
  </si>
  <si>
    <t>Dipankar Mukherjee</t>
  </si>
  <si>
    <t>+1 (403) 278-5050</t>
  </si>
  <si>
    <t>Delta Edmonton Centre Suite Hotel</t>
  </si>
  <si>
    <t xml:space="preserve">10222 102 Street </t>
  </si>
  <si>
    <t>T5J 4C5</t>
  </si>
  <si>
    <t>Barnie Yerxa</t>
  </si>
  <si>
    <t>+1 (780) 429-3900</t>
  </si>
  <si>
    <t>Delta Edmonton South Hotel &amp; Conference Centre</t>
  </si>
  <si>
    <t xml:space="preserve">4404 Gateway Boulevard </t>
  </si>
  <si>
    <t>T6H 5C2</t>
  </si>
  <si>
    <t>+1 (780) 434-6415</t>
  </si>
  <si>
    <t>Delta Fredericton Hotel</t>
  </si>
  <si>
    <t xml:space="preserve">225 Woodstock Road </t>
  </si>
  <si>
    <t>E3B 2H8</t>
  </si>
  <si>
    <t>Sara Holyoke</t>
  </si>
  <si>
    <t>+1 (506) 457-7000</t>
  </si>
  <si>
    <t>Delta Grand Okanagan Lakefront Resort &amp; Conference Centre</t>
  </si>
  <si>
    <t xml:space="preserve">1310 Water Street </t>
  </si>
  <si>
    <t>V1Y 9P3</t>
  </si>
  <si>
    <t>Joseph Clohessy</t>
  </si>
  <si>
    <t>Matt Koenig</t>
  </si>
  <si>
    <t>+1 (250) 763-4500</t>
  </si>
  <si>
    <t>Delta Green Bay Downtown</t>
  </si>
  <si>
    <t>2750 Ramada Way Exit off Highway 41</t>
  </si>
  <si>
    <t xml:space="preserve">Green Bay </t>
  </si>
  <si>
    <t>Brittany Siolka</t>
  </si>
  <si>
    <t>Jason Bjerk</t>
  </si>
  <si>
    <t>+1 (920) 499-0631</t>
  </si>
  <si>
    <t>Delta Guelph Hotel &amp; Conference Center</t>
  </si>
  <si>
    <t xml:space="preserve">50 Stone Road West </t>
  </si>
  <si>
    <t>GUELPH</t>
  </si>
  <si>
    <t>N1G 0A9</t>
  </si>
  <si>
    <t>Jonathan Scott</t>
  </si>
  <si>
    <t>+1 (519) 780-3700</t>
  </si>
  <si>
    <t>Delta Hotel Santa Clara Silicon Valley</t>
  </si>
  <si>
    <t xml:space="preserve">2151 Laurelwood Rd </t>
  </si>
  <si>
    <t>Casey Avila</t>
  </si>
  <si>
    <t>Diana Candler</t>
  </si>
  <si>
    <t>+ (408) 988-8411</t>
  </si>
  <si>
    <t>Delta Hotel Seattle Everett</t>
  </si>
  <si>
    <t xml:space="preserve">3105 Pine Street </t>
  </si>
  <si>
    <t>Sheldon Johnson</t>
  </si>
  <si>
    <t xml:space="preserve">Felicia Treddenbarger </t>
  </si>
  <si>
    <t>+1 (425) 339-2000</t>
  </si>
  <si>
    <t>Delta Hotels Ashland Plaza</t>
  </si>
  <si>
    <t xml:space="preserve">1441 Winchester Avenue </t>
  </si>
  <si>
    <t>Jackie Hymel</t>
  </si>
  <si>
    <t>+1 (859) 197-1442</t>
  </si>
  <si>
    <t>Delta Hotels Baltimore Hunt Valley</t>
  </si>
  <si>
    <t xml:space="preserve">245 Shawan Road </t>
  </si>
  <si>
    <t>Greg Donatelli</t>
  </si>
  <si>
    <t>+ (410) 785-7000</t>
  </si>
  <si>
    <t>Delta Hotels Baltimore North</t>
  </si>
  <si>
    <t>5100 Falls Road 100 Village Square</t>
  </si>
  <si>
    <t>Don Bowden</t>
  </si>
  <si>
    <t>Heather Prince</t>
  </si>
  <si>
    <t>+ (410) 532-6900</t>
  </si>
  <si>
    <t>Basking Ridge Mar Property LLC</t>
  </si>
  <si>
    <t>Delta Hotels Basking Ridge</t>
  </si>
  <si>
    <t xml:space="preserve">80 Allen Road </t>
  </si>
  <si>
    <t>Chad Landsberg</t>
  </si>
  <si>
    <t>Herbert Duarte</t>
  </si>
  <si>
    <t>+1 (908) 580-1300</t>
  </si>
  <si>
    <t>Delta Hotels Chicago Willowbrook</t>
  </si>
  <si>
    <t xml:space="preserve">7800 Kingery Highway </t>
  </si>
  <si>
    <t>Erik Millan</t>
  </si>
  <si>
    <t>+()708-290-0006</t>
  </si>
  <si>
    <t>LDI Hospitality Mgmt Corp.</t>
  </si>
  <si>
    <t>Delta Hotels Cincinnati Sharonville</t>
  </si>
  <si>
    <t xml:space="preserve">11320 Chester Road </t>
  </si>
  <si>
    <t>Sanjay Tibrewal</t>
  </si>
  <si>
    <t>+1 (513) 771-2080</t>
  </si>
  <si>
    <t>Delta Hotels Daytona Beach Oceanfront</t>
  </si>
  <si>
    <t xml:space="preserve">2505 South Atlantic Avenue </t>
  </si>
  <si>
    <t>Daytona Beach Shores</t>
  </si>
  <si>
    <t>+1 (386) 366-8515</t>
  </si>
  <si>
    <t>Cicero Hospitality Group LLC</t>
  </si>
  <si>
    <t>Delta Hotels Detroit Novi</t>
  </si>
  <si>
    <t xml:space="preserve">37529 Grand River Avenue </t>
  </si>
  <si>
    <t>Brian Vermuelen</t>
  </si>
  <si>
    <t>Roshan Ahadi</t>
  </si>
  <si>
    <t>+1 (248) 477-7800</t>
  </si>
  <si>
    <t>Delta Hotels Fargo</t>
  </si>
  <si>
    <t xml:space="preserve">1635 42nd St Southwest </t>
  </si>
  <si>
    <t>Antonio Balderas</t>
  </si>
  <si>
    <t>Carol Johnson</t>
  </si>
  <si>
    <t>+1 (701) 277-9000</t>
  </si>
  <si>
    <t>Delta Hotels Grand Rapids Airport</t>
  </si>
  <si>
    <t xml:space="preserve">3333 28th Street Southeast </t>
  </si>
  <si>
    <t>Mark Parker</t>
  </si>
  <si>
    <t>+1 (616) 949-9222</t>
  </si>
  <si>
    <t>Delta Hotels London Armouries</t>
  </si>
  <si>
    <t xml:space="preserve">325 Dundas Street </t>
  </si>
  <si>
    <t>N6B 1T9</t>
  </si>
  <si>
    <t xml:space="preserve">Gerry Champagne </t>
  </si>
  <si>
    <t>+ (519) 679-6111</t>
  </si>
  <si>
    <t>Delta Hotels Marriott Mont Sainte-Anne Resort and Convention Center</t>
  </si>
  <si>
    <t xml:space="preserve">500 Boulevard du Beau-Pre </t>
  </si>
  <si>
    <t>Beaupre</t>
  </si>
  <si>
    <t>G0A 1E0</t>
  </si>
  <si>
    <t>Sebastien Roy</t>
  </si>
  <si>
    <t>+1 (418) 827-5211</t>
  </si>
  <si>
    <t>Scalzo Hospitality Inc</t>
  </si>
  <si>
    <t>Delta Hotels Minneapolis Northeast</t>
  </si>
  <si>
    <t xml:space="preserve">1330 Industrial Boulevard Northeast </t>
  </si>
  <si>
    <t>Pat Lund</t>
  </si>
  <si>
    <t>+1 (612) 331-1900</t>
  </si>
  <si>
    <t>Delta Hotels Phoenix Marriott Mesa</t>
  </si>
  <si>
    <t xml:space="preserve">200 North Centennial Way </t>
  </si>
  <si>
    <t>Janet Hof</t>
  </si>
  <si>
    <t>Dora Zapata</t>
  </si>
  <si>
    <t>+1 (480) 898-8300</t>
  </si>
  <si>
    <t>Delta Hotels Saskatoon Downtown</t>
  </si>
  <si>
    <t xml:space="preserve">405 20th Street East </t>
  </si>
  <si>
    <t>S7K 6X6</t>
  </si>
  <si>
    <t>Patty Schweighardt</t>
  </si>
  <si>
    <t>+1 (306) 665-3322</t>
  </si>
  <si>
    <t>Delta Hotels Somerset</t>
  </si>
  <si>
    <t xml:space="preserve">110 Davidson Avenue </t>
  </si>
  <si>
    <t>Brian Gessner</t>
  </si>
  <si>
    <t>+1 (732) 560-0500</t>
  </si>
  <si>
    <t>Delta Hotels Thunder Bay</t>
  </si>
  <si>
    <t xml:space="preserve">2240 Sleeping Giant Parkway </t>
  </si>
  <si>
    <t>P7B 6P4</t>
  </si>
  <si>
    <t>Corinne Oatman-Howell</t>
  </si>
  <si>
    <t>+1(807)344-0777</t>
  </si>
  <si>
    <t>Vrancor Group</t>
  </si>
  <si>
    <t>Delta Hotels Toronto Mississauga</t>
  </si>
  <si>
    <t xml:space="preserve">3670 Hurontario Street </t>
  </si>
  <si>
    <t>L5B 1P3</t>
  </si>
  <si>
    <t>Yari Khan</t>
  </si>
  <si>
    <t>+1 (905) 896-1000</t>
  </si>
  <si>
    <t>National Hospitality Group Inc.</t>
  </si>
  <si>
    <t>Delta Kamloops</t>
  </si>
  <si>
    <t xml:space="preserve">540 Victoria Street </t>
  </si>
  <si>
    <t>V2C 2B2</t>
  </si>
  <si>
    <t>Carla Donnelly</t>
  </si>
  <si>
    <t>+1 (250) 372-2281</t>
  </si>
  <si>
    <t>Delta Milwaukee Northwest</t>
  </si>
  <si>
    <t xml:space="preserve">N88 W14776 Main Street </t>
  </si>
  <si>
    <t>Menomonee Falls</t>
  </si>
  <si>
    <t>Chadd Scott</t>
  </si>
  <si>
    <t>+1 (262) 251-5153</t>
  </si>
  <si>
    <t>Delta Montreal</t>
  </si>
  <si>
    <t xml:space="preserve">475 President-Kennedy Avenue </t>
  </si>
  <si>
    <t>H3A 1J7</t>
  </si>
  <si>
    <t>Chantal Riopel</t>
  </si>
  <si>
    <t>+1 (514) 286-1986</t>
  </si>
  <si>
    <t>Delta Ottawa City Centre</t>
  </si>
  <si>
    <t xml:space="preserve">101 Lyon Street North </t>
  </si>
  <si>
    <t>K1R 5T9</t>
  </si>
  <si>
    <t>+1 (613) 237-3600</t>
  </si>
  <si>
    <t>Delta Prince Edward</t>
  </si>
  <si>
    <t xml:space="preserve">18 Queen Street </t>
  </si>
  <si>
    <t>C1A 8B9</t>
  </si>
  <si>
    <t>James Tingley</t>
  </si>
  <si>
    <t>+1 (902) 566-2222</t>
  </si>
  <si>
    <t>Delta Quebec</t>
  </si>
  <si>
    <t xml:space="preserve">690 Boul Rene Levesque East </t>
  </si>
  <si>
    <t>Quebec City</t>
  </si>
  <si>
    <t>G1R 5A8</t>
  </si>
  <si>
    <t>Mireille Tardif</t>
  </si>
  <si>
    <t>+1 (418) 647-1717</t>
  </si>
  <si>
    <t>Delta Research Triangle Park Hotel</t>
  </si>
  <si>
    <t xml:space="preserve">151 Tatum Drive </t>
  </si>
  <si>
    <t>Carlos Rubio</t>
  </si>
  <si>
    <t>+(919)474-3000</t>
  </si>
  <si>
    <t>Delta Saint John</t>
  </si>
  <si>
    <t xml:space="preserve">39 King Street </t>
  </si>
  <si>
    <t xml:space="preserve">Saint John </t>
  </si>
  <si>
    <t>E2L 4W3</t>
  </si>
  <si>
    <t>Dan Myers</t>
  </si>
  <si>
    <t>+1 (506) 648-1981</t>
  </si>
  <si>
    <t>Delta Sault Ste. Marie Waterfront Hotel</t>
  </si>
  <si>
    <t xml:space="preserve">208 St. Mary's River Drve </t>
  </si>
  <si>
    <t>P6A 5V4</t>
  </si>
  <si>
    <t>Kevin Wyer</t>
  </si>
  <si>
    <t>+ 1 (705) 949-0611</t>
  </si>
  <si>
    <t>Delta Sherbrooke Hotel &amp; Conf Centre</t>
  </si>
  <si>
    <t xml:space="preserve">2685 Rue King Ouest </t>
  </si>
  <si>
    <t>J1L 1C1</t>
  </si>
  <si>
    <t>Tracy Cosgrove</t>
  </si>
  <si>
    <t>+1 (819) 822-1989</t>
  </si>
  <si>
    <t>Delta Toronto</t>
  </si>
  <si>
    <t xml:space="preserve">75 Lower Simcoe Street </t>
  </si>
  <si>
    <t>M5J 3A6</t>
  </si>
  <si>
    <t>Catherine Velie</t>
  </si>
  <si>
    <t>+1 (416) 849-1200</t>
  </si>
  <si>
    <t>KSD Enterprises Ltd</t>
  </si>
  <si>
    <t>Delta Toronto Airport Hotel &amp; Conference Centre</t>
  </si>
  <si>
    <t xml:space="preserve">655 Dixon Road </t>
  </si>
  <si>
    <t>M9W 1J3</t>
  </si>
  <si>
    <t>David Quinn</t>
  </si>
  <si>
    <t>+1(416)244-1711</t>
  </si>
  <si>
    <t>Delta Trois Rivieres Hotel &amp; Conference Centre</t>
  </si>
  <si>
    <t xml:space="preserve">1620 Rue Notre Dame Center </t>
  </si>
  <si>
    <t>Trois-Rivieres</t>
  </si>
  <si>
    <t>G9A 6E5</t>
  </si>
  <si>
    <t>Carl Gravel</t>
  </si>
  <si>
    <t>Steve Vigneault</t>
  </si>
  <si>
    <t>+1 (819) 376-1991</t>
  </si>
  <si>
    <t>Delta Vancouver Suites</t>
  </si>
  <si>
    <t xml:space="preserve">550 West Hastings Street </t>
  </si>
  <si>
    <t>V6B 1L6</t>
  </si>
  <si>
    <t>Barry Johnson</t>
  </si>
  <si>
    <t>+1 (604) 689-8188</t>
  </si>
  <si>
    <t>Delta Victoria Ocean Pointe Hotel Resort &amp; Spa</t>
  </si>
  <si>
    <t xml:space="preserve">100 Harbour Road </t>
  </si>
  <si>
    <t>V9A 0G1</t>
  </si>
  <si>
    <t>Kimberley Hughes</t>
  </si>
  <si>
    <t>+1 (250) 360-2999</t>
  </si>
  <si>
    <t>Commonwealth Lodging Management LLC</t>
  </si>
  <si>
    <t>Delta Virginia Beach Bayfront Suites</t>
  </si>
  <si>
    <t xml:space="preserve">2800 Shore Drive </t>
  </si>
  <si>
    <t>Alexis Leitman</t>
  </si>
  <si>
    <t>Matt Muserlian</t>
  </si>
  <si>
    <t>+1 (757) 481-9000</t>
  </si>
  <si>
    <t>Delta Waterloo</t>
  </si>
  <si>
    <t xml:space="preserve">110 Erb Street West </t>
  </si>
  <si>
    <t>N2L 0C6</t>
  </si>
  <si>
    <t>Melissa Jamieson</t>
  </si>
  <si>
    <t>+1 (519) 514-0404</t>
  </si>
  <si>
    <t>Delta Whistler Village Suites</t>
  </si>
  <si>
    <t xml:space="preserve">4308 Main Street </t>
  </si>
  <si>
    <t>Whistler</t>
  </si>
  <si>
    <t>V0N 1B4</t>
  </si>
  <si>
    <t>Graeme Benn</t>
  </si>
  <si>
    <t>Mike Dyck</t>
  </si>
  <si>
    <t>+ 1 (604) 905-3987</t>
  </si>
  <si>
    <t>Delta Winnipeg</t>
  </si>
  <si>
    <t xml:space="preserve">350 St Mary Avenue </t>
  </si>
  <si>
    <t>R3C 3J2</t>
  </si>
  <si>
    <t>Jeff Kennedy</t>
  </si>
  <si>
    <t>+1 (204) 942-0551</t>
  </si>
  <si>
    <t>Denver Art Museum</t>
  </si>
  <si>
    <t xml:space="preserve">100 W 14th Avenue Parkway </t>
  </si>
  <si>
    <t>Michael McGeeney</t>
  </si>
  <si>
    <t>Adam Rimler</t>
  </si>
  <si>
    <t>+1 (214) 435-6392</t>
  </si>
  <si>
    <t>Denver Marriott Westminster</t>
  </si>
  <si>
    <t xml:space="preserve">7000 Church Ranch Boulevard </t>
  </si>
  <si>
    <t>Conner White</t>
  </si>
  <si>
    <t>Otis White</t>
  </si>
  <si>
    <t>+1 (720) 887-1177</t>
  </si>
  <si>
    <t>Denver Stapleton Courtyard</t>
  </si>
  <si>
    <t xml:space="preserve">7415 E 41st Avenue </t>
  </si>
  <si>
    <t>Jerome Hopkins</t>
  </si>
  <si>
    <t>+(303)333-3303</t>
  </si>
  <si>
    <t>Denver Union Station</t>
  </si>
  <si>
    <t xml:space="preserve">1701 Wykoop Street </t>
  </si>
  <si>
    <t>Joseph Owen</t>
  </si>
  <si>
    <t>+1 (303) 592-6712</t>
  </si>
  <si>
    <t>Des Moines Marriott Downtown</t>
  </si>
  <si>
    <t xml:space="preserve">700 Grand Avenue </t>
  </si>
  <si>
    <t>Patrick Miller</t>
  </si>
  <si>
    <t>Max Clark</t>
  </si>
  <si>
    <t>(515) 245-5500</t>
  </si>
  <si>
    <t>Desert Pines Golf Club</t>
  </si>
  <si>
    <t xml:space="preserve">3415 East Bonanza Road </t>
  </si>
  <si>
    <t>+1 (702) 388-4400</t>
  </si>
  <si>
    <t>Destination Residences Hawaii</t>
  </si>
  <si>
    <t>4050 Kalai wa'a Street Wailiea Suite 100 Kihei</t>
  </si>
  <si>
    <t>Maui</t>
  </si>
  <si>
    <t>Pamela Scarth</t>
  </si>
  <si>
    <t>+ (808) 891-6200</t>
  </si>
  <si>
    <t xml:space="preserve">Destination Residences Snowmass - The Stonebridge Inn </t>
  </si>
  <si>
    <t xml:space="preserve">300 Carriage Way </t>
  </si>
  <si>
    <t>Jeff Clough</t>
  </si>
  <si>
    <t>Janine Barth</t>
  </si>
  <si>
    <t>+1 (970) 923-2420</t>
  </si>
  <si>
    <t>Detroit Foundation Hotel</t>
  </si>
  <si>
    <t xml:space="preserve">250 West Larned Street </t>
  </si>
  <si>
    <t>Phil Salud</t>
  </si>
  <si>
    <t>+(313)800-5500</t>
  </si>
  <si>
    <t>Detroit Institute of Arts</t>
  </si>
  <si>
    <t xml:space="preserve">5200 Woodward Avenue </t>
  </si>
  <si>
    <t>+1 (313) 833-7900</t>
  </si>
  <si>
    <t>Detroit Marriott Southfield</t>
  </si>
  <si>
    <t xml:space="preserve">27033 Northwestern Highway </t>
  </si>
  <si>
    <t>Rodney Jackson</t>
  </si>
  <si>
    <t>+ (248) 356-7400</t>
  </si>
  <si>
    <t>Devils Ridge Golf Club</t>
  </si>
  <si>
    <t xml:space="preserve">5107 Linksland DR </t>
  </si>
  <si>
    <t>Holly Springs</t>
  </si>
  <si>
    <t>Steve Ostroff</t>
  </si>
  <si>
    <t>+ (919) 557-6100</t>
  </si>
  <si>
    <t>Devon Hershey</t>
  </si>
  <si>
    <t xml:space="preserve">27 West Chocolate Avenue </t>
  </si>
  <si>
    <t>Brian Dailey</t>
  </si>
  <si>
    <t>Wesley Hellberg</t>
  </si>
  <si>
    <t>+1(717) 508-5460</t>
  </si>
  <si>
    <t>Diamond Run Golf Club</t>
  </si>
  <si>
    <t xml:space="preserve">132 Laurel Oak Drive </t>
  </si>
  <si>
    <t>Sewickley</t>
  </si>
  <si>
    <t>Jon Crayton</t>
  </si>
  <si>
    <t>Doug Douglas</t>
  </si>
  <si>
    <t>+ (412) 741-2020</t>
  </si>
  <si>
    <t xml:space="preserve">Diamond's Casino </t>
  </si>
  <si>
    <t xml:space="preserve">1010 East Sixth Street </t>
  </si>
  <si>
    <t>Reno</t>
  </si>
  <si>
    <t>89512-3513</t>
  </si>
  <si>
    <t>Kevin Ford</t>
  </si>
  <si>
    <t>Jack Fisher</t>
  </si>
  <si>
    <t>+1 (775) 323-1908</t>
  </si>
  <si>
    <t>Dominion Valley Country Club</t>
  </si>
  <si>
    <t xml:space="preserve">15200 Arnold Palmer Drive </t>
  </si>
  <si>
    <t>Haymarket</t>
  </si>
  <si>
    <t>Andy Salguero</t>
  </si>
  <si>
    <t>+(571)222-6900</t>
  </si>
  <si>
    <t>Don CeSar Hotel</t>
  </si>
  <si>
    <t xml:space="preserve">3400 Gulf Boulevard </t>
  </si>
  <si>
    <t>ST PETE BEACH</t>
  </si>
  <si>
    <t>Thomas Fraher</t>
  </si>
  <si>
    <t>+ (727) 360-1881</t>
  </si>
  <si>
    <t>Dorado Beach Golf Management LLC</t>
  </si>
  <si>
    <t>Dorado Beach Resort &amp; Club</t>
  </si>
  <si>
    <t xml:space="preserve">500 Plantation Drive </t>
  </si>
  <si>
    <t>Dorado</t>
  </si>
  <si>
    <t>Michael A. Rios</t>
  </si>
  <si>
    <t>David R. Tyson</t>
  </si>
  <si>
    <t>+1(787)-626-1001</t>
  </si>
  <si>
    <t>Dorado Beach a Ritz-Carlton Reserve</t>
  </si>
  <si>
    <t xml:space="preserve">#120 Road 693 Barrio Saldinera </t>
  </si>
  <si>
    <t>George Sotelo</t>
  </si>
  <si>
    <t>Jose Gonzalez Espinosa</t>
  </si>
  <si>
    <t>+1 (787) 626-1099</t>
  </si>
  <si>
    <t>DoubleTree - Charlotte South Park</t>
  </si>
  <si>
    <t xml:space="preserve">6300 Morrison Boulevard </t>
  </si>
  <si>
    <t>Joanie Kastl</t>
  </si>
  <si>
    <t>Colleen Badami</t>
  </si>
  <si>
    <t>+1 (704) 364-2400</t>
  </si>
  <si>
    <t>Doubletree - Denver Tech</t>
  </si>
  <si>
    <t xml:space="preserve">7801 East Orchard Rd. </t>
  </si>
  <si>
    <t>Aaron Alberding</t>
  </si>
  <si>
    <t>Chris Kinsaul</t>
  </si>
  <si>
    <t>+1 (303) 779-6161</t>
  </si>
  <si>
    <t>Doubletree 29th Chelsea</t>
  </si>
  <si>
    <t xml:space="preserve">128 West 29th St. </t>
  </si>
  <si>
    <t>Frank Cortese</t>
  </si>
  <si>
    <t>Mirna Rodriguez</t>
  </si>
  <si>
    <t>+1 (212) 564-0994</t>
  </si>
  <si>
    <t>DoubleTree Appleton</t>
  </si>
  <si>
    <t xml:space="preserve">150 Nicolet Road </t>
  </si>
  <si>
    <t>Erin Engle</t>
  </si>
  <si>
    <t>+1 (920) 735-9955</t>
  </si>
  <si>
    <t>DoubleTree Austin</t>
  </si>
  <si>
    <t xml:space="preserve">303 West 15th Street </t>
  </si>
  <si>
    <t>Stephanie Voutselakos</t>
  </si>
  <si>
    <t>+1 (512) 478-7000</t>
  </si>
  <si>
    <t>DoubleTree Berkeley Marina</t>
  </si>
  <si>
    <t xml:space="preserve">200 Marina Boulevard </t>
  </si>
  <si>
    <t>Jack Hlavac</t>
  </si>
  <si>
    <t>+1 (510) 548-7920</t>
  </si>
  <si>
    <t>Doubletree Biloxi Beach</t>
  </si>
  <si>
    <t xml:space="preserve">940 Beach Boulevard </t>
  </si>
  <si>
    <t>Biloxi</t>
  </si>
  <si>
    <t>Jonathan Wikse</t>
  </si>
  <si>
    <t>+1 (228) 546-3100</t>
  </si>
  <si>
    <t>Doubletree Birmingham Perimeter Park</t>
  </si>
  <si>
    <t xml:space="preserve">8 Perimeter Park South </t>
  </si>
  <si>
    <t>+ (205) 967-2700</t>
  </si>
  <si>
    <t>Doubletree Boston Andover</t>
  </si>
  <si>
    <t xml:space="preserve">123 Old River Road </t>
  </si>
  <si>
    <t>Steve Gordon</t>
  </si>
  <si>
    <t>Danielle Otolo</t>
  </si>
  <si>
    <t>+1 (978) 975-3600</t>
  </si>
  <si>
    <t>Doubletree Boston Chelsea</t>
  </si>
  <si>
    <t xml:space="preserve">201 Everett Avenue </t>
  </si>
  <si>
    <t>Everton Parkinson</t>
  </si>
  <si>
    <t>Kristen Kelley-Hartz</t>
  </si>
  <si>
    <t>+1 (617) 884-2900</t>
  </si>
  <si>
    <t>Doubletree Boston Westborough</t>
  </si>
  <si>
    <t xml:space="preserve">5400 Computer Drive </t>
  </si>
  <si>
    <t>Scott Smith</t>
  </si>
  <si>
    <t>Chris Perdue</t>
  </si>
  <si>
    <t>+1 (508) 366-5511</t>
  </si>
  <si>
    <t>DoubleTree Burlington Vermont</t>
  </si>
  <si>
    <t xml:space="preserve">870 Williston Road </t>
  </si>
  <si>
    <t>John D'Adamo</t>
  </si>
  <si>
    <t>+1 (802) 865-6600</t>
  </si>
  <si>
    <t>DoubleTree by Hilton Atlanta Airport</t>
  </si>
  <si>
    <t xml:space="preserve">3400 Norman Berry Drive </t>
  </si>
  <si>
    <t>Barry Allen</t>
  </si>
  <si>
    <t>+1 (404) 763-1600</t>
  </si>
  <si>
    <t>Doubletree by Hilton Cranberry Pittsburgh North</t>
  </si>
  <si>
    <t xml:space="preserve">910 Sheraton Drive </t>
  </si>
  <si>
    <t>Joe Ruiz</t>
  </si>
  <si>
    <t>+1 (724) 776-6900</t>
  </si>
  <si>
    <t>Doubletree by Hilton Hotel &amp; Suites Pittsburgh Downtown</t>
  </si>
  <si>
    <t xml:space="preserve">One Bigelow Square </t>
  </si>
  <si>
    <t>Donovan Stephens</t>
  </si>
  <si>
    <t>Nicholas Hankinson</t>
  </si>
  <si>
    <t>+ (412) 281-5800</t>
  </si>
  <si>
    <t>DoubleTree by Hilton Hotel Boston - Milford</t>
  </si>
  <si>
    <t xml:space="preserve">11 Beaver Street </t>
  </si>
  <si>
    <t>Milford</t>
  </si>
  <si>
    <t>Maureen Lee</t>
  </si>
  <si>
    <t>Santo Totaro</t>
  </si>
  <si>
    <t>+1 (508) 478-7010</t>
  </si>
  <si>
    <t>DoubleTree by Hilton Hotel Boston - Rockland</t>
  </si>
  <si>
    <t xml:space="preserve">929 Hingham Street </t>
  </si>
  <si>
    <t>Brad Craig</t>
  </si>
  <si>
    <t>+1 (781) 871-0545</t>
  </si>
  <si>
    <t>DoubleTree by Hilton Hotel Carson</t>
  </si>
  <si>
    <t xml:space="preserve">2 Civic Plaza Drive </t>
  </si>
  <si>
    <t>Carson</t>
  </si>
  <si>
    <t>Edward Apodaca</t>
  </si>
  <si>
    <t>+1 (310) 830-9200</t>
  </si>
  <si>
    <t>Doubletree by Hilton Hotel Nashville Downtown</t>
  </si>
  <si>
    <t xml:space="preserve">315 4th Avenue North </t>
  </si>
  <si>
    <t>Hassaan Hyder</t>
  </si>
  <si>
    <t>John Schilling II</t>
  </si>
  <si>
    <t>+1 (615) 244-8200</t>
  </si>
  <si>
    <t>DoubleTree by Hilton Hotel Norwalk</t>
  </si>
  <si>
    <t xml:space="preserve">789 Connecticut Avenue </t>
  </si>
  <si>
    <t>Angelo Rodriguez</t>
  </si>
  <si>
    <t>Asif Khan</t>
  </si>
  <si>
    <t>+1 (203) 853-3477</t>
  </si>
  <si>
    <t>DoubleTree by Hilton Hotel San Francisco Airport North</t>
  </si>
  <si>
    <t xml:space="preserve">5000 Sierra Point Pkwy </t>
  </si>
  <si>
    <t>Gustavo De Almeida</t>
  </si>
  <si>
    <t>+ (415) 467-4400</t>
  </si>
  <si>
    <t>DoubleTree by Hilton Hotel Santa Ana - Orange County Airport</t>
  </si>
  <si>
    <t xml:space="preserve">201 East MacArthur Boulevard </t>
  </si>
  <si>
    <t>David Putnicki</t>
  </si>
  <si>
    <t>+1 (714) 825-3333</t>
  </si>
  <si>
    <t>1859 Historic Hotels Ltd.</t>
  </si>
  <si>
    <t>Doubletree by Hilton Houston Hobby Airport</t>
  </si>
  <si>
    <t xml:space="preserve">8181 Airport Boulevard </t>
  </si>
  <si>
    <t>Helen Bonsall</t>
  </si>
  <si>
    <t>+1 (713) 645-3000</t>
  </si>
  <si>
    <t>DoubleTree by Hilton Irvine Spectrum</t>
  </si>
  <si>
    <t xml:space="preserve">90 Pacifica </t>
  </si>
  <si>
    <t>Don Driscoll</t>
  </si>
  <si>
    <t>+1 (949) 471-8888</t>
  </si>
  <si>
    <t>DoubleTree by Hilton Lawrence</t>
  </si>
  <si>
    <t xml:space="preserve">200 McDonald Drive </t>
  </si>
  <si>
    <t>Lawrence</t>
  </si>
  <si>
    <t>Kayla Chapman</t>
  </si>
  <si>
    <t>+1 (785) 841-7077</t>
  </si>
  <si>
    <t>Doubletree by Hilton Neenah</t>
  </si>
  <si>
    <t xml:space="preserve">123 East Wisconsin Avenue </t>
  </si>
  <si>
    <t>Brittany Johnson</t>
  </si>
  <si>
    <t>Maurice Junius</t>
  </si>
  <si>
    <t>+1 (920) 725-8441</t>
  </si>
  <si>
    <t>Doubletree by Hilton New York Times Square South</t>
  </si>
  <si>
    <t xml:space="preserve">341 West 36th Street </t>
  </si>
  <si>
    <t>Eliecer Garcia</t>
  </si>
  <si>
    <t>Nicole Hendrix</t>
  </si>
  <si>
    <t>+1 (401) 562-2207</t>
  </si>
  <si>
    <t xml:space="preserve">Merani Hotel Group </t>
  </si>
  <si>
    <t>Doubletree by Hilton Niagara Falls</t>
  </si>
  <si>
    <t xml:space="preserve">401 Buffalo Avenue </t>
  </si>
  <si>
    <t>Scott Swagler</t>
  </si>
  <si>
    <t>Michael Marsch</t>
  </si>
  <si>
    <t>+1 (716) 524-3333</t>
  </si>
  <si>
    <t>Doubletree by Hilton Omaha Downtown</t>
  </si>
  <si>
    <t xml:space="preserve">1616 Dodge Street </t>
  </si>
  <si>
    <t>Lee Ownbey</t>
  </si>
  <si>
    <t>+1 (402) 346-7600</t>
  </si>
  <si>
    <t>DoubleTree by Hilton Pleasant Prairie Kenosha (PPW)</t>
  </si>
  <si>
    <t xml:space="preserve">11800 108th Street </t>
  </si>
  <si>
    <t>Pleasant Prairie</t>
  </si>
  <si>
    <t>Kyle Highberg</t>
  </si>
  <si>
    <t>+ () 2628573377</t>
  </si>
  <si>
    <t>DoubleTree by Hilton Portland</t>
  </si>
  <si>
    <t xml:space="preserve">1000 Northeast Multnomah Street </t>
  </si>
  <si>
    <t>Elizabeth Decker</t>
  </si>
  <si>
    <t>Farshad Mayelzadeh</t>
  </si>
  <si>
    <t>+1 (503) 281-6111</t>
  </si>
  <si>
    <t>SilverBirch Hotels &amp; Resorts LP</t>
  </si>
  <si>
    <t>DoubleTree by Hilton Regina</t>
  </si>
  <si>
    <t xml:space="preserve">1975 Broad Street East </t>
  </si>
  <si>
    <t>S4P 1Y2</t>
  </si>
  <si>
    <t>Laura Armitage</t>
  </si>
  <si>
    <t>Perry Lindemann</t>
  </si>
  <si>
    <t>+1 (306) 525-6767</t>
  </si>
  <si>
    <t>Doubletree by Hilton San Antonio Airport</t>
  </si>
  <si>
    <t xml:space="preserve">37 Northeast Loop 410 </t>
  </si>
  <si>
    <t>Rene Vasquez</t>
  </si>
  <si>
    <t>+1 (210) 366-2424</t>
  </si>
  <si>
    <t>DoubleTree by Hilton Syracuse</t>
  </si>
  <si>
    <t xml:space="preserve">6301 Route 298 </t>
  </si>
  <si>
    <t>EAST SYRACUSE</t>
  </si>
  <si>
    <t>Anthony Trupiano</t>
  </si>
  <si>
    <t>Rhonda Evans</t>
  </si>
  <si>
    <t>+1 (315) 432-0200</t>
  </si>
  <si>
    <t>DoubleTree by Hilton West Edmonton</t>
  </si>
  <si>
    <t xml:space="preserve">16615-109th Avenue </t>
  </si>
  <si>
    <t>T5P 4K8</t>
  </si>
  <si>
    <t>+1 (780) 484-0821</t>
  </si>
  <si>
    <t>PAH Management LLC</t>
  </si>
  <si>
    <t>Doubletree Charlotte Airport</t>
  </si>
  <si>
    <t xml:space="preserve">2600 Yorkmont Road </t>
  </si>
  <si>
    <t>Karen Sullivan</t>
  </si>
  <si>
    <t>Michael Zubel</t>
  </si>
  <si>
    <t>+1 (704) 357-9100</t>
  </si>
  <si>
    <t>DoubleTree Chattanooga Downtown</t>
  </si>
  <si>
    <t xml:space="preserve">407 Chestnut Street </t>
  </si>
  <si>
    <t>Bill Antone</t>
  </si>
  <si>
    <t>Karen Porter</t>
  </si>
  <si>
    <t>+1 (423)-756-5150</t>
  </si>
  <si>
    <t>DoubleTree Cleveland Downtown-Lakeside</t>
  </si>
  <si>
    <t xml:space="preserve">1111 Lakeside Avenue East </t>
  </si>
  <si>
    <t>Michael Larson</t>
  </si>
  <si>
    <t>+1 (216) 241-5100</t>
  </si>
  <si>
    <t>DoubleTree Del Mar</t>
  </si>
  <si>
    <t xml:space="preserve">11915 El Camino Real </t>
  </si>
  <si>
    <t>Thomas Kermabon</t>
  </si>
  <si>
    <t>+1 (858) 481-5900</t>
  </si>
  <si>
    <t>Doubletree Denver International Airport</t>
  </si>
  <si>
    <t xml:space="preserve">6900 Tower Road </t>
  </si>
  <si>
    <t>Amethyst Wadsworth</t>
  </si>
  <si>
    <t>Greg McKenna</t>
  </si>
  <si>
    <t>+1 (303) 574-1300</t>
  </si>
  <si>
    <t>Doubletree Edmonton Downtown</t>
  </si>
  <si>
    <t xml:space="preserve">9576 Jasper Avenue </t>
  </si>
  <si>
    <t>T5H 4H7</t>
  </si>
  <si>
    <t>Rohinton Kharadi</t>
  </si>
  <si>
    <t>Prem Singhmar</t>
  </si>
  <si>
    <t>+1(587)525-1234</t>
  </si>
  <si>
    <t>Doubletree El Paso Downtown City Center</t>
  </si>
  <si>
    <t xml:space="preserve">600 N. El Paso Street </t>
  </si>
  <si>
    <t>Linda Michelle</t>
  </si>
  <si>
    <t>Chad Michaud</t>
  </si>
  <si>
    <t>+1 (915) 532-8733</t>
  </si>
  <si>
    <t>Doubletree Grand Junction</t>
  </si>
  <si>
    <t xml:space="preserve">743 Horizon Drive </t>
  </si>
  <si>
    <t xml:space="preserve">Brian Smith </t>
  </si>
  <si>
    <t>Anthony Garcia</t>
  </si>
  <si>
    <t>+1 (970) 241-8888</t>
  </si>
  <si>
    <t>Doubletree Grand Rapids</t>
  </si>
  <si>
    <t xml:space="preserve">4747 28th ST SE </t>
  </si>
  <si>
    <t xml:space="preserve">Lisa Calhoun </t>
  </si>
  <si>
    <t>+1 (616) 957-0100</t>
  </si>
  <si>
    <t>DoubleTree Harrisonburg</t>
  </si>
  <si>
    <t xml:space="preserve">1400 East Market Street </t>
  </si>
  <si>
    <t>Dawn Zimmerman</t>
  </si>
  <si>
    <t>+1 (540) 433-2521</t>
  </si>
  <si>
    <t>Doubletree Holland</t>
  </si>
  <si>
    <t xml:space="preserve">650 East 24th Street </t>
  </si>
  <si>
    <t>Daniel Steines</t>
  </si>
  <si>
    <t>Marvin Meckl</t>
  </si>
  <si>
    <t>+1 (616) 394-0111</t>
  </si>
  <si>
    <t>Doubletree Hotel Albuquerque</t>
  </si>
  <si>
    <t xml:space="preserve">201 Marquette Avenue Northwest </t>
  </si>
  <si>
    <t>Karl Holme</t>
  </si>
  <si>
    <t>Elena Chavez</t>
  </si>
  <si>
    <t>+1 (505) 247-3344</t>
  </si>
  <si>
    <t>Doubletree Hotel Annapolis</t>
  </si>
  <si>
    <t xml:space="preserve">210 Holiday Court </t>
  </si>
  <si>
    <t>Christine DeBari</t>
  </si>
  <si>
    <t>Arnie Garcia</t>
  </si>
  <si>
    <t>+1 (410) 224-3150</t>
  </si>
  <si>
    <t>DoubleTree Hotel Baton Rouge</t>
  </si>
  <si>
    <t xml:space="preserve">4964 Constitution Avenue </t>
  </si>
  <si>
    <t>Gary Jupiter</t>
  </si>
  <si>
    <t>+1 (225) 925-1005</t>
  </si>
  <si>
    <t>DoubleTree Hotel Boston - Bedford Glen</t>
  </si>
  <si>
    <t xml:space="preserve">44 Middlesex Turnpike </t>
  </si>
  <si>
    <t>+ (781) 275-5500</t>
  </si>
  <si>
    <t>Doubletree Hotel Charlottesville</t>
  </si>
  <si>
    <t xml:space="preserve">990 Hilton Heights Road </t>
  </si>
  <si>
    <t>Samie Bazuzi</t>
  </si>
  <si>
    <t>+ (434) 973-2121</t>
  </si>
  <si>
    <t>Doubletree Hotel Denver Westminster</t>
  </si>
  <si>
    <t xml:space="preserve">8773 Yates Drive </t>
  </si>
  <si>
    <t xml:space="preserve">Angie Harper </t>
  </si>
  <si>
    <t>Nicholas Gust</t>
  </si>
  <si>
    <t>+1 (303) 427-4000</t>
  </si>
  <si>
    <t>DoubleTree Hotel Mahwah</t>
  </si>
  <si>
    <t xml:space="preserve">180 Route 17 South </t>
  </si>
  <si>
    <t>Mahwah</t>
  </si>
  <si>
    <t>John Fennell</t>
  </si>
  <si>
    <t>Alok Bhatt</t>
  </si>
  <si>
    <t>+1 (201) 529-5880</t>
  </si>
  <si>
    <t>Doubletree Hotel Modesto</t>
  </si>
  <si>
    <t xml:space="preserve">1150 9th Street </t>
  </si>
  <si>
    <t>Pervez Khan</t>
  </si>
  <si>
    <t>Sami Qureshi</t>
  </si>
  <si>
    <t>+1 (209) 526-6000</t>
  </si>
  <si>
    <t>Doubletree Hotel Montgomery</t>
  </si>
  <si>
    <t xml:space="preserve">120 Madison Avenue </t>
  </si>
  <si>
    <t>Mtgy</t>
  </si>
  <si>
    <t>Samuel Rollain</t>
  </si>
  <si>
    <t>Todd Hanlon</t>
  </si>
  <si>
    <t>+1(334)245-2320</t>
  </si>
  <si>
    <t>Doubletree Hotel New Orleans</t>
  </si>
  <si>
    <t xml:space="preserve">300 Canal Street </t>
  </si>
  <si>
    <t>Francis Carmello</t>
  </si>
  <si>
    <t>+1 (504) 581-1300</t>
  </si>
  <si>
    <t>Doubletree Hotel St. Louis Airport</t>
  </si>
  <si>
    <t xml:space="preserve">4505 Woodson Road </t>
  </si>
  <si>
    <t>Nicholas Elven</t>
  </si>
  <si>
    <t>+1 (314) 427-4700</t>
  </si>
  <si>
    <t>455 Hospitality LLC</t>
  </si>
  <si>
    <t>Doubletree Hotel Tarrytown</t>
  </si>
  <si>
    <t xml:space="preserve">455 South Broadway </t>
  </si>
  <si>
    <t>Kevin Johnson</t>
  </si>
  <si>
    <t>Doreen Clarke</t>
  </si>
  <si>
    <t>+1 (914) 631-5700</t>
  </si>
  <si>
    <t>DoubleTree Huntington</t>
  </si>
  <si>
    <t xml:space="preserve">1001 3rd Avenue </t>
  </si>
  <si>
    <t>Huntington</t>
  </si>
  <si>
    <t>Marcy Kitchen</t>
  </si>
  <si>
    <t>+1 (304) 525-1001</t>
  </si>
  <si>
    <t>Doubletree Jacksonville Airport</t>
  </si>
  <si>
    <t xml:space="preserve">2101 Dixie Clipper Drive </t>
  </si>
  <si>
    <t>Katherine Vander Sluis</t>
  </si>
  <si>
    <t>+ 1 (904) 741-1997</t>
  </si>
  <si>
    <t>Doubletree Jamestown</t>
  </si>
  <si>
    <t xml:space="preserve">150 West 4th Street </t>
  </si>
  <si>
    <t>Jamestown</t>
  </si>
  <si>
    <t>Matt Clark</t>
  </si>
  <si>
    <t>+1 (716) 488-7227</t>
  </si>
  <si>
    <t>DoubleTree London Ontario</t>
  </si>
  <si>
    <t xml:space="preserve">300 King Street </t>
  </si>
  <si>
    <t>N6B 1S2</t>
  </si>
  <si>
    <t>Sumit Bhatia</t>
  </si>
  <si>
    <t>+1 (519) 439-1661</t>
  </si>
  <si>
    <t>Doubletree Manchester</t>
  </si>
  <si>
    <t xml:space="preserve">700 Elm Street </t>
  </si>
  <si>
    <t>Kim Roy</t>
  </si>
  <si>
    <t>Dottie Oakes</t>
  </si>
  <si>
    <t>+ 1(603) 625-1000</t>
  </si>
  <si>
    <t>Doubletree Mesa Pavillion</t>
  </si>
  <si>
    <t xml:space="preserve">1011 West Holmes Avenue </t>
  </si>
  <si>
    <t>Bryan Heintz</t>
  </si>
  <si>
    <t>+1 (480) 833-5555</t>
  </si>
  <si>
    <t>Doubletree Midway</t>
  </si>
  <si>
    <t xml:space="preserve">6624 South Cicero Avenue </t>
  </si>
  <si>
    <t>Bedford Park</t>
  </si>
  <si>
    <t>Woosang Lee</t>
  </si>
  <si>
    <t>+ (708) 563-6490</t>
  </si>
  <si>
    <t>Doubletree Nashua</t>
  </si>
  <si>
    <t xml:space="preserve">2 Somerset Parkway </t>
  </si>
  <si>
    <t>Ryan Connors</t>
  </si>
  <si>
    <t>+1 (603) 886-1200</t>
  </si>
  <si>
    <t>Doubletree Near the University of Michigan</t>
  </si>
  <si>
    <t xml:space="preserve">3600 Plymouth Road </t>
  </si>
  <si>
    <t>Daniel Evans</t>
  </si>
  <si>
    <t>+1 (734) 769-9800</t>
  </si>
  <si>
    <t>Doubletree Newark Airport</t>
  </si>
  <si>
    <t xml:space="preserve">128 Frontage Road </t>
  </si>
  <si>
    <t>Jeff Fowlkes</t>
  </si>
  <si>
    <t>Christopher Sileo</t>
  </si>
  <si>
    <t>+1 (973) 690-5500</t>
  </si>
  <si>
    <t>Doubletree Newark Penn Station</t>
  </si>
  <si>
    <t xml:space="preserve">1048 Raymond Blvd. </t>
  </si>
  <si>
    <t>Washington Park</t>
  </si>
  <si>
    <t>Daniel Conte</t>
  </si>
  <si>
    <t>Andrew Ferreira</t>
  </si>
  <si>
    <t>+()973-622-5000</t>
  </si>
  <si>
    <t>DoubleTree Novi</t>
  </si>
  <si>
    <t xml:space="preserve">42100 Crescent Boulevard </t>
  </si>
  <si>
    <t>Novi</t>
  </si>
  <si>
    <t>Bennett Donald</t>
  </si>
  <si>
    <t>+1 (248) 344-8800</t>
  </si>
  <si>
    <t>Doubletree Ocean Point Resort and Club</t>
  </si>
  <si>
    <t xml:space="preserve">17375 Collins Avenue </t>
  </si>
  <si>
    <t>Peter Hewes</t>
  </si>
  <si>
    <t>+1 (305) 940-5422</t>
  </si>
  <si>
    <t>Doubletree Orlando at Sea World</t>
  </si>
  <si>
    <t xml:space="preserve">10100 International Drive </t>
  </si>
  <si>
    <t>Charisse Wilson</t>
  </si>
  <si>
    <t>Emily Lock</t>
  </si>
  <si>
    <t>+1 (407) 352-1100</t>
  </si>
  <si>
    <t>Doubletree Orlando Downtown</t>
  </si>
  <si>
    <t xml:space="preserve">60 South Ivanhoe Boulevard </t>
  </si>
  <si>
    <t>Stephanie Banks</t>
  </si>
  <si>
    <t>+1 (407) 425-4455</t>
  </si>
  <si>
    <t>DoubleTree Orlando Walt Disney World Resort</t>
  </si>
  <si>
    <t xml:space="preserve">2305 Hotel Plaza Boulevard </t>
  </si>
  <si>
    <t>Craig Williams</t>
  </si>
  <si>
    <t>+1 (407) 934-1000</t>
  </si>
  <si>
    <t>DoubleTree Philadelphia West</t>
  </si>
  <si>
    <t xml:space="preserve">640 Fountain Road </t>
  </si>
  <si>
    <t>Ryan Cimei</t>
  </si>
  <si>
    <t>+1 (610) 834-8300</t>
  </si>
  <si>
    <t>DoubleTree Pittsburgh Meadow Lands</t>
  </si>
  <si>
    <t xml:space="preserve">340 Racetrack Road </t>
  </si>
  <si>
    <t>Daniel Senisi</t>
  </si>
  <si>
    <t>+1 (724) 222-6200</t>
  </si>
  <si>
    <t>Doubletree Pointe-Clair Montreal Airport</t>
  </si>
  <si>
    <t xml:space="preserve">6700 Route Transcanadienne </t>
  </si>
  <si>
    <t>Pointe Claire</t>
  </si>
  <si>
    <t>H9R 1C2</t>
  </si>
  <si>
    <t>Mario Colucci</t>
  </si>
  <si>
    <t>+1 (514) 697-7110</t>
  </si>
  <si>
    <t>Doubletree Quad City Plaza</t>
  </si>
  <si>
    <t xml:space="preserve">111 East 2nd Street </t>
  </si>
  <si>
    <t>Davenport</t>
  </si>
  <si>
    <t>Lena Schomer</t>
  </si>
  <si>
    <t>Megan Johnson</t>
  </si>
  <si>
    <t>+1 (563) 322-2200</t>
  </si>
  <si>
    <t>Doubletree Raleigh Durham Airport</t>
  </si>
  <si>
    <t xml:space="preserve">4810 Page Creek Lane </t>
  </si>
  <si>
    <t>Research Triangle Park</t>
  </si>
  <si>
    <t>Tom Lubbe</t>
  </si>
  <si>
    <t>Tony Lam</t>
  </si>
  <si>
    <t>+1 (919) 941-6000</t>
  </si>
  <si>
    <t>Doubletree Resort Scottsdale</t>
  </si>
  <si>
    <t xml:space="preserve">5401 North Scottsdale Road </t>
  </si>
  <si>
    <t>+1 (480) 947-5400</t>
  </si>
  <si>
    <t>Doubletree Savannah Airport</t>
  </si>
  <si>
    <t xml:space="preserve">50 Yvette J Hagins Drive </t>
  </si>
  <si>
    <t>Keith Smith</t>
  </si>
  <si>
    <t>Javier Corral</t>
  </si>
  <si>
    <t>+1 (912) 965-9595</t>
  </si>
  <si>
    <t>DoubleTree Schaumburg</t>
  </si>
  <si>
    <t xml:space="preserve">800 National Parkway </t>
  </si>
  <si>
    <t>Chuck Caskey</t>
  </si>
  <si>
    <t>+1 (847) 605-9222</t>
  </si>
  <si>
    <t>Doubletree Silver Spring</t>
  </si>
  <si>
    <t xml:space="preserve">8777 Georgia Avenue </t>
  </si>
  <si>
    <t>Pierre Lamarre</t>
  </si>
  <si>
    <t>+ (301) 589-0800</t>
  </si>
  <si>
    <t>Doubletree Skokie</t>
  </si>
  <si>
    <t xml:space="preserve">9599 Skokie Boulevard </t>
  </si>
  <si>
    <t>Skokie</t>
  </si>
  <si>
    <t>Cara Hardiman</t>
  </si>
  <si>
    <t>Rosa Gallardo</t>
  </si>
  <si>
    <t>+1 (847) 679-7000</t>
  </si>
  <si>
    <t>Doubletree Suites Atlanta Galleria</t>
  </si>
  <si>
    <t xml:space="preserve">2780 Windy Ridge Parkway </t>
  </si>
  <si>
    <t>Jay Shaughnessy</t>
  </si>
  <si>
    <t>Thaddeus Hobson</t>
  </si>
  <si>
    <t>+1 (770) 980-1900</t>
  </si>
  <si>
    <t>DoubleTree Suites by Hilton - Huntsville South</t>
  </si>
  <si>
    <t xml:space="preserve">6000 Memorial Pkwy. South </t>
  </si>
  <si>
    <t>Lars Schrader</t>
  </si>
  <si>
    <t>+1 (256) 882-9400</t>
  </si>
  <si>
    <t>Doubletree Suites by Hilton Hotel &amp; Conference Center - Chicago Downer's Grove</t>
  </si>
  <si>
    <t xml:space="preserve">2111 Butterfield Rd </t>
  </si>
  <si>
    <t>Downers Grove</t>
  </si>
  <si>
    <t>Fadi Osmano</t>
  </si>
  <si>
    <t>Jan Lazzar</t>
  </si>
  <si>
    <t>+()630-971-2000</t>
  </si>
  <si>
    <t>DoubleTree Suites by Hilton Hotel Dayton - Miamisburg</t>
  </si>
  <si>
    <t xml:space="preserve">300 Prestige Place </t>
  </si>
  <si>
    <t>Brett Barclay</t>
  </si>
  <si>
    <t>+1 (937) 436-2400</t>
  </si>
  <si>
    <t>DoubleTree Suites by Hilton Hotel Lexington</t>
  </si>
  <si>
    <t xml:space="preserve">2601 Richmond Road </t>
  </si>
  <si>
    <t>Mike Curd</t>
  </si>
  <si>
    <t>+1 (859) 268-0060</t>
  </si>
  <si>
    <t>DoubleTree Suites by Hilton Hotel Nashville Airport</t>
  </si>
  <si>
    <t xml:space="preserve">2424 Atrium Way </t>
  </si>
  <si>
    <t>Gene Anderson</t>
  </si>
  <si>
    <t>+1 (615) 889-8889</t>
  </si>
  <si>
    <t>DoubleTree Suites by Hilton Hotel Salt Lake City Downtown</t>
  </si>
  <si>
    <t xml:space="preserve">110 West 600 South Street </t>
  </si>
  <si>
    <t>Joe Snarr</t>
  </si>
  <si>
    <t>+1 (801) 359-7800</t>
  </si>
  <si>
    <t>Doubletree Suites by Hilton Houston by the Galleria</t>
  </si>
  <si>
    <t xml:space="preserve">5353 Westheimer Road </t>
  </si>
  <si>
    <t>77056-5474</t>
  </si>
  <si>
    <t>William Venegas</t>
  </si>
  <si>
    <t>+1 (713) 961-9000</t>
  </si>
  <si>
    <t>Doubletree Suites by Hilton Melbourne Beach</t>
  </si>
  <si>
    <t xml:space="preserve">1665 North Highway A1A </t>
  </si>
  <si>
    <t>Raed Alshaibi</t>
  </si>
  <si>
    <t>Monique Roberts</t>
  </si>
  <si>
    <t>+1 (321) 723-4222</t>
  </si>
  <si>
    <t>Doubletree Suites Cincinnati Blue Ash</t>
  </si>
  <si>
    <t xml:space="preserve">6300 East Kemper Road </t>
  </si>
  <si>
    <t>Sharonville</t>
  </si>
  <si>
    <t>Colleen Prochaska</t>
  </si>
  <si>
    <t>+1 (513) 489-3636</t>
  </si>
  <si>
    <t>Doubletree Suites Minneapolis</t>
  </si>
  <si>
    <t xml:space="preserve">1101 LaSalle Avenue </t>
  </si>
  <si>
    <t>Tammy Coleman</t>
  </si>
  <si>
    <t>Dan Winslow</t>
  </si>
  <si>
    <t>+1 (612) 332-6800</t>
  </si>
  <si>
    <t>Doubletree Suites Williams Center</t>
  </si>
  <si>
    <t xml:space="preserve">5335 East Broadway </t>
  </si>
  <si>
    <t>Kenja McLeod</t>
  </si>
  <si>
    <t>Elvira Barela</t>
  </si>
  <si>
    <t>+1 (520) 745-2700</t>
  </si>
  <si>
    <t xml:space="preserve">DoubleTree Sunrise </t>
  </si>
  <si>
    <t xml:space="preserve">13400 West Sunrise Boulevard </t>
  </si>
  <si>
    <t>Sunrise</t>
  </si>
  <si>
    <t>Gary Comeaux</t>
  </si>
  <si>
    <t>Amie DeMasi</t>
  </si>
  <si>
    <t>+1 (954) 851-1020</t>
  </si>
  <si>
    <t>DoubleTree Tampa Bay</t>
  </si>
  <si>
    <t xml:space="preserve">3050 North Rocky Point Drive West </t>
  </si>
  <si>
    <t>Bryan Clancy</t>
  </si>
  <si>
    <t>Qoomars Mollanazar</t>
  </si>
  <si>
    <t>+1 (813) 888-8800</t>
  </si>
  <si>
    <t>Doubletree Tampa Westshore</t>
  </si>
  <si>
    <t xml:space="preserve">4500 West Cypress Street </t>
  </si>
  <si>
    <t xml:space="preserve">Ken Hoffman </t>
  </si>
  <si>
    <t>+ (813) 879-4800</t>
  </si>
  <si>
    <t>Doubletree Times Square South</t>
  </si>
  <si>
    <t xml:space="preserve">525 8th Avenue </t>
  </si>
  <si>
    <t>Brett Fetter</t>
  </si>
  <si>
    <t>Kelvin Pabon</t>
  </si>
  <si>
    <t>+1 (718) 683-1254</t>
  </si>
  <si>
    <t>DoubleTree Toronto Downtown</t>
  </si>
  <si>
    <t xml:space="preserve">108 Chestnut Street </t>
  </si>
  <si>
    <t>M5G 1R3</t>
  </si>
  <si>
    <t>Umesh Srivastava</t>
  </si>
  <si>
    <t>Floyd Joseph</t>
  </si>
  <si>
    <t>+1 (416) 977-5000</t>
  </si>
  <si>
    <t>Doubletree Virginia Beach Oceanfront</t>
  </si>
  <si>
    <t xml:space="preserve">615 Atlantic Avenue </t>
  </si>
  <si>
    <t>+1 (757) 237-8548</t>
  </si>
  <si>
    <t>Doubletree Washington Dulles Airport Hotel</t>
  </si>
  <si>
    <t xml:space="preserve">21611 Atlantic Blvd. </t>
  </si>
  <si>
    <t>Sterling</t>
  </si>
  <si>
    <t>James Krebs</t>
  </si>
  <si>
    <t>Jouqin Ama</t>
  </si>
  <si>
    <t>+1 (703) 230-0077</t>
  </si>
  <si>
    <t>DoubleTree West Palm Beach Airport</t>
  </si>
  <si>
    <t xml:space="preserve">1808 South Australian Avenue </t>
  </si>
  <si>
    <t>Sydney Lyon</t>
  </si>
  <si>
    <t>Stacy Boyer</t>
  </si>
  <si>
    <t>+1 (561) 689-6888</t>
  </si>
  <si>
    <t>DoubleTree Wichita Airport</t>
  </si>
  <si>
    <t xml:space="preserve">2098 Airport Road </t>
  </si>
  <si>
    <t>+1 (316) 945-5272</t>
  </si>
  <si>
    <t>DoubleTree Wood Dale</t>
  </si>
  <si>
    <t xml:space="preserve">1200 North Mittel Boulevard </t>
  </si>
  <si>
    <t>Wood Dale</t>
  </si>
  <si>
    <t xml:space="preserve">Greg Koloze </t>
  </si>
  <si>
    <t>Andrea Sharp</t>
  </si>
  <si>
    <t>+1 (630) 860-2900</t>
  </si>
  <si>
    <t>Downtown Club at Houston Center</t>
  </si>
  <si>
    <t xml:space="preserve">1100 Caroline ST </t>
  </si>
  <si>
    <t>Paul Bimler</t>
  </si>
  <si>
    <t>Julio Cisneros</t>
  </si>
  <si>
    <t>+ (713) 654-0877</t>
  </si>
  <si>
    <t>Downtown Club at Met</t>
  </si>
  <si>
    <t>One Allen Center 340 West Dallas 6th Fl 340 W Dallas 6th Flr</t>
  </si>
  <si>
    <t>+ (713) 652-0700</t>
  </si>
  <si>
    <t>DTG Las Vegas Manager LLC</t>
  </si>
  <si>
    <t>Downtown Grand Hotel</t>
  </si>
  <si>
    <t xml:space="preserve">206 North 3rd Street </t>
  </si>
  <si>
    <t>+1(855)384-7263</t>
  </si>
  <si>
    <t>Dr. Wilkinson's Hot Springs Resort</t>
  </si>
  <si>
    <t xml:space="preserve">1507 Lincoln Avenue </t>
  </si>
  <si>
    <t>Jose Ortega</t>
  </si>
  <si>
    <t>+1 (707) 942-4102</t>
  </si>
  <si>
    <t>4Pant LLC dba Dream Nashville</t>
  </si>
  <si>
    <t>Dream Nashville</t>
  </si>
  <si>
    <t xml:space="preserve">210 4th Avenue North </t>
  </si>
  <si>
    <t>JP Roberts</t>
  </si>
  <si>
    <t>+1 (615) 622-0600</t>
  </si>
  <si>
    <t>Dunes Village Resort</t>
  </si>
  <si>
    <t>5200 N. Ocean Blvd. (Palms Tower) 5300 N. Ocean Blvd. (Palmetto Tower)</t>
  </si>
  <si>
    <t>Nancy Gullans</t>
  </si>
  <si>
    <t>Ray Harter</t>
  </si>
  <si>
    <t>+1 (843) 449-5275</t>
  </si>
  <si>
    <t>Dunhill Hotel</t>
  </si>
  <si>
    <t xml:space="preserve">237 North Tryon Street </t>
  </si>
  <si>
    <t>Craig Austin</t>
  </si>
  <si>
    <t>+1 (704) 332-4141</t>
  </si>
  <si>
    <t>Durham Marriott - RTP</t>
  </si>
  <si>
    <t xml:space="preserve">4700 Guardian Drive </t>
  </si>
  <si>
    <t>Bill Clancy</t>
  </si>
  <si>
    <t>+ (919) 941-6200</t>
  </si>
  <si>
    <t>Dylan Hotel</t>
  </si>
  <si>
    <t xml:space="preserve">52 East 41st Street </t>
  </si>
  <si>
    <t>Matthew Dempsey</t>
  </si>
  <si>
    <t>+1 (212) 338-0500</t>
  </si>
  <si>
    <t>Eagle Brook Country Club</t>
  </si>
  <si>
    <t xml:space="preserve">2288 Fargo Boulevard </t>
  </si>
  <si>
    <t>Alex Evans</t>
  </si>
  <si>
    <t>+1 (630) 208-4653</t>
  </si>
  <si>
    <t>Eagle Ridge Hospitality LLC</t>
  </si>
  <si>
    <t>Eagle Ridge Resort &amp; Spa</t>
  </si>
  <si>
    <t xml:space="preserve">444 Eagle Ridge Drive </t>
  </si>
  <si>
    <t>Thomas Ruhs</t>
  </si>
  <si>
    <t>George Pettera</t>
  </si>
  <si>
    <t>+1 (815) 777-5000</t>
  </si>
  <si>
    <t xml:space="preserve">Eagle Watch Golf Club </t>
  </si>
  <si>
    <t xml:space="preserve">3055 Eagle Watch Dr </t>
  </si>
  <si>
    <t>Woodstock</t>
  </si>
  <si>
    <t>Matthew Goldwait</t>
  </si>
  <si>
    <t>+1 (770) 591-1000</t>
  </si>
  <si>
    <t>Eagles Bluff Country Club</t>
  </si>
  <si>
    <t xml:space="preserve">700 North Eagles Bluff Boulevard </t>
  </si>
  <si>
    <t>Bullard</t>
  </si>
  <si>
    <t>Bill Dowling</t>
  </si>
  <si>
    <t>Tim Muench</t>
  </si>
  <si>
    <t>+1 (903) 825- 1123</t>
  </si>
  <si>
    <t>Eagles Landing Country Club</t>
  </si>
  <si>
    <t xml:space="preserve">100 Eagles Landing WAY </t>
  </si>
  <si>
    <t>Stockbridge</t>
  </si>
  <si>
    <t xml:space="preserve">Michael Edwards </t>
  </si>
  <si>
    <t>Mary Hayden</t>
  </si>
  <si>
    <t>+ (770) 389-2000</t>
  </si>
  <si>
    <t>Eagles Nest Country Club</t>
  </si>
  <si>
    <t xml:space="preserve">12801 Stone Hill Road </t>
  </si>
  <si>
    <t>Thomas Saathoff</t>
  </si>
  <si>
    <t>+1 (410) 252-8484</t>
  </si>
  <si>
    <t>East Lake Woodlands Country Club</t>
  </si>
  <si>
    <t xml:space="preserve">1055 E Lake Woodlands Parkwa </t>
  </si>
  <si>
    <t>Oldsmar</t>
  </si>
  <si>
    <t>Kyle Mooney</t>
  </si>
  <si>
    <t>+ (727) 784-8576</t>
  </si>
  <si>
    <t>East Region Galleris Sales and Marketing</t>
  </si>
  <si>
    <t xml:space="preserve">1044 William Hilton Parkway </t>
  </si>
  <si>
    <t>Matt Barker</t>
  </si>
  <si>
    <t>Tim Tanner</t>
  </si>
  <si>
    <t>+1 (843) 363-3012</t>
  </si>
  <si>
    <t>EICA Management LLC</t>
  </si>
  <si>
    <t>EB Hotel Miami</t>
  </si>
  <si>
    <t xml:space="preserve">4299 Northwest 36th Street </t>
  </si>
  <si>
    <t xml:space="preserve">Miami </t>
  </si>
  <si>
    <t>Maripyli Martin</t>
  </si>
  <si>
    <t>+1 (305) 324-6835</t>
  </si>
  <si>
    <t>Burgeon Hotel Group Corporation</t>
  </si>
  <si>
    <t>E-Central Hotel Downtown Los Angeles</t>
  </si>
  <si>
    <t xml:space="preserve">1020 South Figueroa Street </t>
  </si>
  <si>
    <t>Patrick Nee</t>
  </si>
  <si>
    <t>+1 (213) 748-1291</t>
  </si>
  <si>
    <t>Echo Falls Country Club</t>
  </si>
  <si>
    <t xml:space="preserve">20414 121st Avenue SE </t>
  </si>
  <si>
    <t>Snohomish</t>
  </si>
  <si>
    <t>Mark Knowles</t>
  </si>
  <si>
    <t>+1 (206) 362-3000</t>
  </si>
  <si>
    <t>Asha Management</t>
  </si>
  <si>
    <t>Econo Lodge - Conley</t>
  </si>
  <si>
    <t xml:space="preserve">3140 Moreland Avenue </t>
  </si>
  <si>
    <t>Conley</t>
  </si>
  <si>
    <t>Neemita Amin</t>
  </si>
  <si>
    <t>+1 (404)363-6960</t>
  </si>
  <si>
    <t>Econo Lodge Inn &amp; Suites Shamokin Dam - Selinsgrove</t>
  </si>
  <si>
    <t xml:space="preserve">3249 North Susquehanna Trail </t>
  </si>
  <si>
    <t>Shamokin Dam</t>
  </si>
  <si>
    <t>Sharon Wolfe</t>
  </si>
  <si>
    <t>+1 (570) 743-1111</t>
  </si>
  <si>
    <t>Econo Lodge Inn &amp; Suites Triadelphia - Wheeling</t>
  </si>
  <si>
    <t xml:space="preserve">87 Jenkins Lane </t>
  </si>
  <si>
    <t>Triadelphia</t>
  </si>
  <si>
    <t>Kristina Barnes</t>
  </si>
  <si>
    <t>+1 (304) 547-1380</t>
  </si>
  <si>
    <t>Econo Lodge Malden</t>
  </si>
  <si>
    <t xml:space="preserve">321 Broadway </t>
  </si>
  <si>
    <t>Malden</t>
  </si>
  <si>
    <t>+1 (781) 324-8500</t>
  </si>
  <si>
    <t>Econo Lodge Philadelphia Airport</t>
  </si>
  <si>
    <t xml:space="preserve">600 South Governor Printz Boulevard </t>
  </si>
  <si>
    <t>Essington</t>
  </si>
  <si>
    <t>Prad Sayal</t>
  </si>
  <si>
    <t>+1 (610) 521-3900</t>
  </si>
  <si>
    <t>Econolodge Columbus</t>
  </si>
  <si>
    <t xml:space="preserve">920 North Wilson Road </t>
  </si>
  <si>
    <t>Valleyview</t>
  </si>
  <si>
    <t>Fenil Patel</t>
  </si>
  <si>
    <t>+1 (614) 274-8581</t>
  </si>
  <si>
    <t>EconoLodge Inn &amp; Suites Richardson</t>
  </si>
  <si>
    <t xml:space="preserve">2458 North Central Expressway </t>
  </si>
  <si>
    <t>Gina Poonawalla</t>
  </si>
  <si>
    <t>+1 (972) 470-9440</t>
  </si>
  <si>
    <t>EconoLodge Sharon</t>
  </si>
  <si>
    <t xml:space="preserve">775 Providence Highway </t>
  </si>
  <si>
    <t>Sharon</t>
  </si>
  <si>
    <t>+1 (781) 784-5800</t>
  </si>
  <si>
    <t>Eden Roc Inn &amp; Suites</t>
  </si>
  <si>
    <t xml:space="preserve">1830 South West Street </t>
  </si>
  <si>
    <t>Agnes Choleininski</t>
  </si>
  <si>
    <t>Oscar Aranda</t>
  </si>
  <si>
    <t>+1 (714) 663-8700</t>
  </si>
  <si>
    <t>Edgewater Hotel &amp; Waterpark</t>
  </si>
  <si>
    <t xml:space="preserve">2400 London Road </t>
  </si>
  <si>
    <t>Steve Kresal</t>
  </si>
  <si>
    <t>+1 (218) 728-3601</t>
  </si>
  <si>
    <t>El Convento Boutique Hotel Antigua Guatemala</t>
  </si>
  <si>
    <t xml:space="preserve">2nd Avenue North number 11 La Antigua Guatemala </t>
  </si>
  <si>
    <t>La Antigua</t>
  </si>
  <si>
    <t>Darinka Langlé Serovic</t>
  </si>
  <si>
    <t>Rosa Maria Velasquez</t>
  </si>
  <si>
    <t>ÉLAN Hotel Modern</t>
  </si>
  <si>
    <t xml:space="preserve">8435 Beverly Blvd. </t>
  </si>
  <si>
    <t>Jarrett Jackson</t>
  </si>
  <si>
    <t>+1 (323) 658.6663</t>
  </si>
  <si>
    <t>Eldorado Country Club</t>
  </si>
  <si>
    <t xml:space="preserve">2604 Country Club Drive </t>
  </si>
  <si>
    <t>McKinney</t>
  </si>
  <si>
    <t>DJ Martin</t>
  </si>
  <si>
    <t>+ (972) 529-6779</t>
  </si>
  <si>
    <t>Elegant Hotels BGI Limited</t>
  </si>
  <si>
    <t xml:space="preserve">Jaskcon </t>
  </si>
  <si>
    <t>St. Michael</t>
  </si>
  <si>
    <t>+1 (246) 432-6500</t>
  </si>
  <si>
    <t>Element Arundel Mills</t>
  </si>
  <si>
    <t xml:space="preserve">7522 Teague Road </t>
  </si>
  <si>
    <t>Tim Ford</t>
  </si>
  <si>
    <t>Kate Emata</t>
  </si>
  <si>
    <t>+1 (443) 577-0050</t>
  </si>
  <si>
    <t>Element Austin Downtown</t>
  </si>
  <si>
    <t>+1 (512) 473-0000</t>
  </si>
  <si>
    <t>Element Austin Round Rock</t>
  </si>
  <si>
    <t xml:space="preserve">1770 Warner Ranch Drive </t>
  </si>
  <si>
    <t>+()1 512-218-4100</t>
  </si>
  <si>
    <t>Element Bend</t>
  </si>
  <si>
    <t xml:space="preserve">1526 Northwest Wall Street </t>
  </si>
  <si>
    <t>Eric Rock</t>
  </si>
  <si>
    <t>+1 (541) 585-7373</t>
  </si>
  <si>
    <t>I Square Management LLC - AAHOA</t>
  </si>
  <si>
    <t>Element Bentonville</t>
  </si>
  <si>
    <t xml:space="preserve">3301 Medlin Lane </t>
  </si>
  <si>
    <t>Brittany Weathers</t>
  </si>
  <si>
    <t>+1(479)268-5010</t>
  </si>
  <si>
    <t>Element Bloomington</t>
  </si>
  <si>
    <t xml:space="preserve">2400 East 82nd Street </t>
  </si>
  <si>
    <t>Rhonda Hagel</t>
  </si>
  <si>
    <t>Karen Moerke</t>
  </si>
  <si>
    <t>+1 (952) 567-1810</t>
  </si>
  <si>
    <t>Element Boston Seaport</t>
  </si>
  <si>
    <t xml:space="preserve">395 D St </t>
  </si>
  <si>
    <t>+(617) 530-1700</t>
  </si>
  <si>
    <t>OHM Hotels Management Inc.</t>
  </si>
  <si>
    <t>Element by Westin Raleigh Airport</t>
  </si>
  <si>
    <t xml:space="preserve">804 Airport Boulevard </t>
  </si>
  <si>
    <t>Nirav Desai</t>
  </si>
  <si>
    <t>+1 (704) 737-5533</t>
  </si>
  <si>
    <t>Element Denver Park Meadows</t>
  </si>
  <si>
    <t xml:space="preserve">9985 Park Meadows Drive </t>
  </si>
  <si>
    <t>Jesse Pearson</t>
  </si>
  <si>
    <t>Robert Deighton</t>
  </si>
  <si>
    <t>+1 (303)790-2100</t>
  </si>
  <si>
    <t>Element Detroit at The Metropolitan Building</t>
  </si>
  <si>
    <t xml:space="preserve">33 John R Street </t>
  </si>
  <si>
    <t>+1(313) 587-3111</t>
  </si>
  <si>
    <t>Element Edmonton West</t>
  </si>
  <si>
    <t xml:space="preserve">18540 100th Avenue NW </t>
  </si>
  <si>
    <t>T5S 2N9</t>
  </si>
  <si>
    <t>Ashwin Kumar</t>
  </si>
  <si>
    <t>+1 (780) 244-8355</t>
  </si>
  <si>
    <t>Element Ewing Princeton</t>
  </si>
  <si>
    <t xml:space="preserve">1000 Sam Weinroth Road East </t>
  </si>
  <si>
    <t>Ewing</t>
  </si>
  <si>
    <t>Amal Wright</t>
  </si>
  <si>
    <t>+1 (609) 671-0050</t>
  </si>
  <si>
    <t>Element Hanover Lebanon</t>
  </si>
  <si>
    <t xml:space="preserve">25 Foothill Street </t>
  </si>
  <si>
    <t>Emma McGinley</t>
  </si>
  <si>
    <t>+1 (603) 448-5000</t>
  </si>
  <si>
    <t>Element Harrison-Newark</t>
  </si>
  <si>
    <t xml:space="preserve">399 Somerset Street </t>
  </si>
  <si>
    <t>Harrison</t>
  </si>
  <si>
    <t>Christina Scoppetta</t>
  </si>
  <si>
    <t>James Earley</t>
  </si>
  <si>
    <t>+1 (973) 484-1500</t>
  </si>
  <si>
    <t>Element Hotel Moline</t>
  </si>
  <si>
    <t xml:space="preserve">316 12th street </t>
  </si>
  <si>
    <t>Moline</t>
  </si>
  <si>
    <t>Nick Holke</t>
  </si>
  <si>
    <t>+1 (309) 517-1659</t>
  </si>
  <si>
    <t>Element Houston Katy</t>
  </si>
  <si>
    <t xml:space="preserve">23653 Grand Center Drive </t>
  </si>
  <si>
    <t xml:space="preserve">Katy </t>
  </si>
  <si>
    <t>Ray Hite</t>
  </si>
  <si>
    <t>Thomas Stubbs</t>
  </si>
  <si>
    <t>+(281)574-9885</t>
  </si>
  <si>
    <t>Element Houston Vintage Park</t>
  </si>
  <si>
    <t xml:space="preserve">14555 Vintage Preserve Pkwy. </t>
  </si>
  <si>
    <t>Bhavesh Bhakta</t>
  </si>
  <si>
    <t>+1 (281) 379-7300</t>
  </si>
  <si>
    <t>Element Huntsville</t>
  </si>
  <si>
    <t xml:space="preserve">6810 Governors West Road Northwest </t>
  </si>
  <si>
    <t>+()1 256-327-9000</t>
  </si>
  <si>
    <t>Element Knoxville West</t>
  </si>
  <si>
    <t xml:space="preserve">400 North Peters Road </t>
  </si>
  <si>
    <t>Ryan Webb</t>
  </si>
  <si>
    <t>Element Las Vegas Summerlin</t>
  </si>
  <si>
    <t xml:space="preserve">10555 Discovery Drive </t>
  </si>
  <si>
    <t>Paul Gundrum</t>
  </si>
  <si>
    <t>+1 (702) 589-2000</t>
  </si>
  <si>
    <t>Element Lexington</t>
  </si>
  <si>
    <t xml:space="preserve">727 Marrett Road - B </t>
  </si>
  <si>
    <t>+1 (781) 761-1750</t>
  </si>
  <si>
    <t>Element Nashville Airport</t>
  </si>
  <si>
    <t xml:space="preserve">2825 Elm Hill Pike </t>
  </si>
  <si>
    <t>Tonya Goodale</t>
  </si>
  <si>
    <t>+1(615)894-9791</t>
  </si>
  <si>
    <t>Element North Chelmsford</t>
  </si>
  <si>
    <t xml:space="preserve">25 Research Place </t>
  </si>
  <si>
    <t>North Chelmsford</t>
  </si>
  <si>
    <t>Lorraine Day</t>
  </si>
  <si>
    <t>+ (978) 256-5151</t>
  </si>
  <si>
    <t>Element Orlando Universal Boulevard</t>
  </si>
  <si>
    <t xml:space="preserve">8278 Universal Boulevard </t>
  </si>
  <si>
    <t>Christopher Heaxt</t>
  </si>
  <si>
    <t>Lee Orlinsky</t>
  </si>
  <si>
    <t>+1 (407) 352-2225</t>
  </si>
  <si>
    <t>Element Palmdale</t>
  </si>
  <si>
    <t xml:space="preserve">39325 Trade Center Drive </t>
  </si>
  <si>
    <t>Gabriel Gonzalez</t>
  </si>
  <si>
    <t>+1 (661) 224-1200</t>
  </si>
  <si>
    <t>Element Philadelphia</t>
  </si>
  <si>
    <t>Ed Baten</t>
  </si>
  <si>
    <t>Tim Jones</t>
  </si>
  <si>
    <t>+(215) 709-9000</t>
  </si>
  <si>
    <t>Element Portland Beaverton</t>
  </si>
  <si>
    <t xml:space="preserve">15655 NW Blueridge Drive </t>
  </si>
  <si>
    <t>Stacee Gadea</t>
  </si>
  <si>
    <t>Element Sacramento Airport</t>
  </si>
  <si>
    <t xml:space="preserve">3681 North Freeway Boulevard </t>
  </si>
  <si>
    <t>Oksana Vyndyuk</t>
  </si>
  <si>
    <t>+1 (916) 419-8663</t>
  </si>
  <si>
    <t>Element Toronto Airport (Dual Property)</t>
  </si>
  <si>
    <t xml:space="preserve">6257 Airport Road </t>
  </si>
  <si>
    <t>L4V 1E4</t>
  </si>
  <si>
    <t>Frank Russo</t>
  </si>
  <si>
    <t>+1 (647) 406-1961</t>
  </si>
  <si>
    <t>Elevation Athletic Club</t>
  </si>
  <si>
    <t xml:space="preserve">1 World Of Tennis SQ </t>
  </si>
  <si>
    <t>Dennis McWilliams</t>
  </si>
  <si>
    <t>+ (512) 261-7222</t>
  </si>
  <si>
    <t>Elk Camp Restaurant</t>
  </si>
  <si>
    <t xml:space="preserve">1001 Divide Road </t>
  </si>
  <si>
    <t>Elliott House Inn</t>
  </si>
  <si>
    <t xml:space="preserve">78 Queen Street </t>
  </si>
  <si>
    <t>Ashley Fitzgerald</t>
  </si>
  <si>
    <t>+1 (843) 518-6500</t>
  </si>
  <si>
    <t>Elvis Presley Enterprises Inc.</t>
  </si>
  <si>
    <t>Elvis Presley's Memphis</t>
  </si>
  <si>
    <t xml:space="preserve">1078 Craft Road </t>
  </si>
  <si>
    <t>Daniel Clark</t>
  </si>
  <si>
    <t>+1 (901) 332-3322</t>
  </si>
  <si>
    <t>Elyton Hotel Autograph Collection</t>
  </si>
  <si>
    <t xml:space="preserve">1928 1st Avenue North </t>
  </si>
  <si>
    <t>+1 (205) 731-3600</t>
  </si>
  <si>
    <t>Embassy Suites - Atlanta Perimeter Center</t>
  </si>
  <si>
    <t xml:space="preserve">1030 Crown Pointe Parkway </t>
  </si>
  <si>
    <t>Bob Kisker</t>
  </si>
  <si>
    <t>Dawn Wade</t>
  </si>
  <si>
    <t>+1 (770) 394-5454</t>
  </si>
  <si>
    <t>Embassy Suites - Chicago Lombard Oak Brook</t>
  </si>
  <si>
    <t xml:space="preserve">707 East Butterfield Road </t>
  </si>
  <si>
    <t>Mike Hansen</t>
  </si>
  <si>
    <t>+1 (630) 969-7500</t>
  </si>
  <si>
    <t>Embassy Suites - Indianapolis North</t>
  </si>
  <si>
    <t xml:space="preserve">3912 Vincennes Road </t>
  </si>
  <si>
    <t>Manny Hermosillo</t>
  </si>
  <si>
    <t>Matthew Graber</t>
  </si>
  <si>
    <t>+1 (317) 872-7700</t>
  </si>
  <si>
    <t>Embassy Suites - Waikiki Beach Walk</t>
  </si>
  <si>
    <t xml:space="preserve">201 Beachwalk </t>
  </si>
  <si>
    <t>Simeon Miranda</t>
  </si>
  <si>
    <t>+1(808) 921-2345</t>
  </si>
  <si>
    <t>Embassy Suites Albuquerque Hotel &amp; Spa</t>
  </si>
  <si>
    <t xml:space="preserve">1000 Woodward Place NE </t>
  </si>
  <si>
    <t>Thad Clark</t>
  </si>
  <si>
    <t>Scott Cape</t>
  </si>
  <si>
    <t>+1 (505) 245-7100</t>
  </si>
  <si>
    <t>Windsor Capital Group Inc.</t>
  </si>
  <si>
    <t>Embassy Suites Alpharetta</t>
  </si>
  <si>
    <t xml:space="preserve">5955 North Point Parkway </t>
  </si>
  <si>
    <t>Cheryl Catrair</t>
  </si>
  <si>
    <t>+1 (678) 566-8800</t>
  </si>
  <si>
    <t>Embassy Suites Anchorage</t>
  </si>
  <si>
    <t xml:space="preserve">600 E. Benson Blvd. </t>
  </si>
  <si>
    <t>Jim Stoneking</t>
  </si>
  <si>
    <t>+1 (907) 332-7000</t>
  </si>
  <si>
    <t xml:space="preserve">Embassy Suites Arcadia </t>
  </si>
  <si>
    <t xml:space="preserve">211 East Huntington Drive </t>
  </si>
  <si>
    <t>Luis Plascencia</t>
  </si>
  <si>
    <t>+ () 626-445-8525</t>
  </si>
  <si>
    <t>Embassy Suites Atlanta Buckhead</t>
  </si>
  <si>
    <t xml:space="preserve">3285 Peachtree Road </t>
  </si>
  <si>
    <t>Steven Qualls</t>
  </si>
  <si>
    <t>Luke Butler</t>
  </si>
  <si>
    <t>+1 (404) 261-7733</t>
  </si>
  <si>
    <t>Embassy Suites Auburn Hills</t>
  </si>
  <si>
    <t xml:space="preserve">2300 Featherstone </t>
  </si>
  <si>
    <t>Auburn Hills</t>
  </si>
  <si>
    <t>Nik Kern</t>
  </si>
  <si>
    <t>+1 (248) 334-2222</t>
  </si>
  <si>
    <t xml:space="preserve">Embassy Suites Austin Central </t>
  </si>
  <si>
    <t xml:space="preserve">5901 N-IH-35 </t>
  </si>
  <si>
    <t>Tim Goodman</t>
  </si>
  <si>
    <t>+ 1 (512) 454-8004</t>
  </si>
  <si>
    <t>Embassy Suites Berkeley Heights</t>
  </si>
  <si>
    <t xml:space="preserve">250 Connell Drive </t>
  </si>
  <si>
    <t>Brian Bistrong</t>
  </si>
  <si>
    <t>Ian Brodsky</t>
  </si>
  <si>
    <t>+1 (908) 673-3754</t>
  </si>
  <si>
    <t>Embassy Suites Birmingham</t>
  </si>
  <si>
    <t xml:space="preserve">2300 Woodcrest Place </t>
  </si>
  <si>
    <t>Jose Pereira</t>
  </si>
  <si>
    <t>+1 (205) 879-7400</t>
  </si>
  <si>
    <t>Embassy Suites Bloomington</t>
  </si>
  <si>
    <t xml:space="preserve">2800 American Boulevard West </t>
  </si>
  <si>
    <t>+1 (952) 884-4811</t>
  </si>
  <si>
    <t>Embassy Suites Blue Ash</t>
  </si>
  <si>
    <t xml:space="preserve">4554 Lake Forest Drive </t>
  </si>
  <si>
    <t>Uriel Baker</t>
  </si>
  <si>
    <t>+1 (513) 733-8900</t>
  </si>
  <si>
    <t>Embassy Suites Boston Waltham</t>
  </si>
  <si>
    <t xml:space="preserve">550 Winter Street </t>
  </si>
  <si>
    <t>Corey Lambert</t>
  </si>
  <si>
    <t>Gene Burton</t>
  </si>
  <si>
    <t>+1 (781) 890-6767</t>
  </si>
  <si>
    <t>Embassy Suites Boulder</t>
  </si>
  <si>
    <t xml:space="preserve">2601 Canyon Boulevard </t>
  </si>
  <si>
    <t>Joseph Steiskal</t>
  </si>
  <si>
    <t>Matthew Swisher</t>
  </si>
  <si>
    <t>+1 (303) 443-2600</t>
  </si>
  <si>
    <t>Embassy Suites Brea</t>
  </si>
  <si>
    <t xml:space="preserve">900 East Birch Street </t>
  </si>
  <si>
    <t>Jay Badillo</t>
  </si>
  <si>
    <t>+1 (714) 990-6000</t>
  </si>
  <si>
    <t>Embassy Suites by Hilton Atlanta Galleria</t>
  </si>
  <si>
    <t xml:space="preserve">2815 Akers Mill Rd </t>
  </si>
  <si>
    <t>Devin Heath</t>
  </si>
  <si>
    <t>+1 (770) 984-9300</t>
  </si>
  <si>
    <t>Embassy Suites by Hilton Detroit Troy Auburn Hills</t>
  </si>
  <si>
    <t xml:space="preserve">850 Tower Drive </t>
  </si>
  <si>
    <t>Sara Milligan</t>
  </si>
  <si>
    <t>+1 (248) 879-7500</t>
  </si>
  <si>
    <t>Embassy Suites by Hilton La Quinta Hotel &amp; Spa</t>
  </si>
  <si>
    <t xml:space="preserve">50-777 Santa Rosa Plaza </t>
  </si>
  <si>
    <t>Maria Vaca</t>
  </si>
  <si>
    <t>Mike Valdez</t>
  </si>
  <si>
    <t>+1 (760) 777-1711</t>
  </si>
  <si>
    <t>Embassy Suites by Hilton Milwaukee Brookfield</t>
  </si>
  <si>
    <t xml:space="preserve">1200 South Moorland Road </t>
  </si>
  <si>
    <t>Amie Wilkerson</t>
  </si>
  <si>
    <t>+ (262) 782-2900</t>
  </si>
  <si>
    <t>Embassy Suites by Hilton Minneapolis Downtown</t>
  </si>
  <si>
    <t xml:space="preserve">12 Sixth Street South </t>
  </si>
  <si>
    <t>+1 (612) 351-2554</t>
  </si>
  <si>
    <t>Embassy Suites by Hilton Montreal Airport</t>
  </si>
  <si>
    <t xml:space="preserve">6300 Transcanada Highway </t>
  </si>
  <si>
    <t>H9R 1B9</t>
  </si>
  <si>
    <t>Youssef Khazzaka</t>
  </si>
  <si>
    <t>+1 (514) 426-5060</t>
  </si>
  <si>
    <t>Embassy Suites by Hilton Phoenix Downtown North</t>
  </si>
  <si>
    <t xml:space="preserve">10 East Thomas Road </t>
  </si>
  <si>
    <t>Brian Clark</t>
  </si>
  <si>
    <t>Elizabeth Salinas</t>
  </si>
  <si>
    <t>+1 (602) 222-1111</t>
  </si>
  <si>
    <t>Embassy Suites by Hilton San Rafael Marin County</t>
  </si>
  <si>
    <t xml:space="preserve">101 McInnis Parkway </t>
  </si>
  <si>
    <t>San Rafael</t>
  </si>
  <si>
    <t>Shawn Milburn</t>
  </si>
  <si>
    <t>Branden Johnson</t>
  </si>
  <si>
    <t>+1 (415) 499-9222</t>
  </si>
  <si>
    <t>Embassy Suites by Hilton St Augustine Beach Oceanfront Resort</t>
  </si>
  <si>
    <t xml:space="preserve">300 A1A Beach Boulevard </t>
  </si>
  <si>
    <t>St Augustine</t>
  </si>
  <si>
    <t>Jason Kern</t>
  </si>
  <si>
    <t>Jackie Rockstool</t>
  </si>
  <si>
    <t>+1 (904) 461-9004</t>
  </si>
  <si>
    <t>Embassy Suites by Hilton Toronto Airport</t>
  </si>
  <si>
    <t xml:space="preserve">262 Carlingview Drive </t>
  </si>
  <si>
    <t>M9W 5G1</t>
  </si>
  <si>
    <t>+1 (416) 674-8442</t>
  </si>
  <si>
    <t>Embassy Suites by Hilton Tulsa I-44</t>
  </si>
  <si>
    <t xml:space="preserve">3332 South 79th East Avenue </t>
  </si>
  <si>
    <t>Kenneth Morgan</t>
  </si>
  <si>
    <t>+1 (918) 622-4000</t>
  </si>
  <si>
    <t>Embassy Suites Canton Airport</t>
  </si>
  <si>
    <t xml:space="preserve">7883 Freedom </t>
  </si>
  <si>
    <t>Lake Slagle</t>
  </si>
  <si>
    <t>Cristian Teusan</t>
  </si>
  <si>
    <t>+1(330)305-0500</t>
  </si>
  <si>
    <t>Embassy Suites Charleston</t>
  </si>
  <si>
    <t xml:space="preserve">300 Court Street </t>
  </si>
  <si>
    <t>David Hicks</t>
  </si>
  <si>
    <t>+1 (304) 347-8700</t>
  </si>
  <si>
    <t>Embassy Suites Charleston Convention Center</t>
  </si>
  <si>
    <t xml:space="preserve">5055 International Boulevard </t>
  </si>
  <si>
    <t>Anthony Caggiano</t>
  </si>
  <si>
    <t>Josh Rubio</t>
  </si>
  <si>
    <t>+1 (843) 747-1882</t>
  </si>
  <si>
    <t>Embassy Suites Charlotte - SREE</t>
  </si>
  <si>
    <t xml:space="preserve">4800 South Tryon Street </t>
  </si>
  <si>
    <t>Allie Haulsee</t>
  </si>
  <si>
    <t>Kevin Plucker</t>
  </si>
  <si>
    <t>+1(704) 527-8400</t>
  </si>
  <si>
    <t>Embassy Suites Charlotte Concord Golf Resort &amp; Spa</t>
  </si>
  <si>
    <t xml:space="preserve">5400 John Q. Hammons Dr. NW </t>
  </si>
  <si>
    <t>Alan Benson</t>
  </si>
  <si>
    <t>Michael Ratcliff</t>
  </si>
  <si>
    <t>+1 (704) 455-8200</t>
  </si>
  <si>
    <t>Embassy Suites Chicago</t>
  </si>
  <si>
    <t xml:space="preserve">600 North State Street </t>
  </si>
  <si>
    <t>Chris Dugenske</t>
  </si>
  <si>
    <t>Ed Buckley</t>
  </si>
  <si>
    <t>+ (312) 943-3800</t>
  </si>
  <si>
    <t>Embassy Suites Chicago North Shore</t>
  </si>
  <si>
    <t xml:space="preserve">1445 Lake Cook Road </t>
  </si>
  <si>
    <t>John Silvia</t>
  </si>
  <si>
    <t>+1 (847) 945-4500</t>
  </si>
  <si>
    <t>Embassy Suites Colorado Springs</t>
  </si>
  <si>
    <t xml:space="preserve">7290 Commerce Center </t>
  </si>
  <si>
    <t xml:space="preserve">Daisy Heafner </t>
  </si>
  <si>
    <t>+1 (719) 599-9100</t>
  </si>
  <si>
    <t>Embassy Suites Columbia</t>
  </si>
  <si>
    <t xml:space="preserve">200 Stoneridge Drive </t>
  </si>
  <si>
    <t>Charles Johnson</t>
  </si>
  <si>
    <t>+1 (803) 252-8700</t>
  </si>
  <si>
    <t>Embassy Suites Dallas - DFW Airport North</t>
  </si>
  <si>
    <t xml:space="preserve">2401 Bass Pro Drive </t>
  </si>
  <si>
    <t>Obed Morales</t>
  </si>
  <si>
    <t>Sue Llewellyn</t>
  </si>
  <si>
    <t>+1 (972) 724-2600</t>
  </si>
  <si>
    <t>Embassy Suites Dallas Frisco Hotel Convention Center &amp; Spa</t>
  </si>
  <si>
    <t xml:space="preserve">7600 John Q. Hammons Drive </t>
  </si>
  <si>
    <t>Enrico Hempel</t>
  </si>
  <si>
    <t>Rich Lundt</t>
  </si>
  <si>
    <t>+1 (972) 712-7200</t>
  </si>
  <si>
    <t>Embassy Suites Deerfield Beach Resort &amp; Spa</t>
  </si>
  <si>
    <t xml:space="preserve">950 Southeast 20th Ave. </t>
  </si>
  <si>
    <t>Jorge Madrigal</t>
  </si>
  <si>
    <t>David Zapata</t>
  </si>
  <si>
    <t>+1 (954) 426-0478</t>
  </si>
  <si>
    <t>Embassy Suites Denver</t>
  </si>
  <si>
    <t xml:space="preserve">7525 East Hampden Ave. </t>
  </si>
  <si>
    <t xml:space="preserve">Charlie Lamont </t>
  </si>
  <si>
    <t>Eric Willis</t>
  </si>
  <si>
    <t>+1 (303) 696-6644</t>
  </si>
  <si>
    <t>Embassy Suites Denver Central Park</t>
  </si>
  <si>
    <t xml:space="preserve">4444 North Havana </t>
  </si>
  <si>
    <t>Ed Decker</t>
  </si>
  <si>
    <t>Ashlynn Simmons</t>
  </si>
  <si>
    <t>+1 (303) 375-0400</t>
  </si>
  <si>
    <t>Embassy Suites Denver Downtown</t>
  </si>
  <si>
    <t xml:space="preserve">1420 Stout Street </t>
  </si>
  <si>
    <t>Steve Santomo</t>
  </si>
  <si>
    <t>Danny Chavez</t>
  </si>
  <si>
    <t>+1 (303) 592-1000</t>
  </si>
  <si>
    <t>Embassy Suites Denver International Airport</t>
  </si>
  <si>
    <t xml:space="preserve">7001 Yampa Street </t>
  </si>
  <si>
    <t>Michael Glover</t>
  </si>
  <si>
    <t>Kellie Bray</t>
  </si>
  <si>
    <t>+1 (303) 574-3000</t>
  </si>
  <si>
    <t>Embassy Suites Denver Tech Center</t>
  </si>
  <si>
    <t xml:space="preserve">10250 East Costilla Avenue </t>
  </si>
  <si>
    <t>Brian Lenfestey</t>
  </si>
  <si>
    <t>Matthew Gerber</t>
  </si>
  <si>
    <t>+ (303) 792-0433</t>
  </si>
  <si>
    <t>Embassy Suites Des Moines Downtown</t>
  </si>
  <si>
    <t xml:space="preserve">101East Locust Street </t>
  </si>
  <si>
    <t>+1 (515) 244-1700</t>
  </si>
  <si>
    <t>Embassy Suites Destin</t>
  </si>
  <si>
    <t xml:space="preserve">570 Scenic Gulf Drive </t>
  </si>
  <si>
    <t>Richard Lamperti</t>
  </si>
  <si>
    <t>+1 (850) 337-7000</t>
  </si>
  <si>
    <t>Embassy Suites Dulles Airport</t>
  </si>
  <si>
    <t xml:space="preserve">13341 Woodland Park DR </t>
  </si>
  <si>
    <t>Yolanda Gainey</t>
  </si>
  <si>
    <t>+ (703) 464-0200</t>
  </si>
  <si>
    <t>Embassy Suites East Peoria Riverfront Hotel &amp; Conference Center</t>
  </si>
  <si>
    <t xml:space="preserve">100 Conference Center Drive </t>
  </si>
  <si>
    <t>Fred Jones</t>
  </si>
  <si>
    <t>+1 (309) 694-0200</t>
  </si>
  <si>
    <t>Embassy Suites Flagstaff</t>
  </si>
  <si>
    <t xml:space="preserve">706 South Milton Road </t>
  </si>
  <si>
    <t>John Williams</t>
  </si>
  <si>
    <t>Nicole Golston</t>
  </si>
  <si>
    <t>+1 (928) 774-4333</t>
  </si>
  <si>
    <t>Embassy Suites Ft. Lauderdale (17th Street)</t>
  </si>
  <si>
    <t xml:space="preserve">1100 South East 17th Street </t>
  </si>
  <si>
    <t>Chris Adames</t>
  </si>
  <si>
    <t>+1 (954) 527-2700</t>
  </si>
  <si>
    <t>Embassy Suites Greensboro</t>
  </si>
  <si>
    <t xml:space="preserve">204 Centreport Drive </t>
  </si>
  <si>
    <t>Angelika Lloyd</t>
  </si>
  <si>
    <t>+1 (336) 668-4535</t>
  </si>
  <si>
    <t>Embassy Suites Greenville Golf Resort &amp; Conference Center</t>
  </si>
  <si>
    <t xml:space="preserve">670 Verdae Boulevard </t>
  </si>
  <si>
    <t>Bill Groves</t>
  </si>
  <si>
    <t>Christy Kelly</t>
  </si>
  <si>
    <t>+1 (864) 676-9090</t>
  </si>
  <si>
    <t>Embassy Suites Hampton Hotel Convention Center</t>
  </si>
  <si>
    <t xml:space="preserve">1700 Coliseum Drive </t>
  </si>
  <si>
    <t>Derek Patterson</t>
  </si>
  <si>
    <t>Graham Parker</t>
  </si>
  <si>
    <t>+1 (757) 827-8200</t>
  </si>
  <si>
    <t>Embassy Suites Hilton Portland Maine</t>
  </si>
  <si>
    <t xml:space="preserve">1050 Westbrook Street </t>
  </si>
  <si>
    <t>Alison Frank</t>
  </si>
  <si>
    <t>Kristen Marks</t>
  </si>
  <si>
    <t>+1 (207) 775-2200</t>
  </si>
  <si>
    <t>Embassy Suites Hot Springs Hotel &amp; Spa</t>
  </si>
  <si>
    <t xml:space="preserve">400 Convention Boulevard </t>
  </si>
  <si>
    <t>Alicia Lavin</t>
  </si>
  <si>
    <t>TJ Sparks</t>
  </si>
  <si>
    <t>+1 (501) 624-9200</t>
  </si>
  <si>
    <t>Embassy Suites Hotel at the Chevy Chase Pavilion</t>
  </si>
  <si>
    <t xml:space="preserve">4300 Military Road Northwest </t>
  </si>
  <si>
    <t>Katie Doherty</t>
  </si>
  <si>
    <t>Paul Tzivani</t>
  </si>
  <si>
    <t>+1 (202) 362-9300</t>
  </si>
  <si>
    <t>Embassy Suites Hotel by Hilton El Paso TX</t>
  </si>
  <si>
    <t xml:space="preserve">6100 Gateway East </t>
  </si>
  <si>
    <t>Robin Pence</t>
  </si>
  <si>
    <t>Alice Najar</t>
  </si>
  <si>
    <t>+1 (915) 779-6222</t>
  </si>
  <si>
    <t>Embassy Suites Hotel Fort Worth - Downtown</t>
  </si>
  <si>
    <t xml:space="preserve">600 Commerce Street </t>
  </si>
  <si>
    <t>George Barham</t>
  </si>
  <si>
    <t>+ (817) 332-6900</t>
  </si>
  <si>
    <t>Embassy Suites Hotel Palm Beach Gardens</t>
  </si>
  <si>
    <t xml:space="preserve">4350 PGA Blvd. </t>
  </si>
  <si>
    <t>Michael Link</t>
  </si>
  <si>
    <t>Bibi Adams</t>
  </si>
  <si>
    <t>+1 (561) 622-1000</t>
  </si>
  <si>
    <t>Embassy Suites Huntsville Hotel &amp; Spa</t>
  </si>
  <si>
    <t xml:space="preserve">800 Monroe Street SW </t>
  </si>
  <si>
    <t>Sandi Snead</t>
  </si>
  <si>
    <t>+1 (256) 539-7373</t>
  </si>
  <si>
    <t>Embassy Suites Irvine - Orange County Airport</t>
  </si>
  <si>
    <t xml:space="preserve">2120 Main Street </t>
  </si>
  <si>
    <t>Jeff Mitrovic</t>
  </si>
  <si>
    <t>+1 (949) 553-8332</t>
  </si>
  <si>
    <t>Embassy Suites Kansas City - International Airport</t>
  </si>
  <si>
    <t xml:space="preserve">7640 Northwest Tiffany Springs Parkway </t>
  </si>
  <si>
    <t xml:space="preserve">John Parker </t>
  </si>
  <si>
    <t>Ryan Scott</t>
  </si>
  <si>
    <t>+1 (816) 891-7788</t>
  </si>
  <si>
    <t>Embassy Suites Kansas City Overland Park</t>
  </si>
  <si>
    <t xml:space="preserve">10601 Metcalf Avenue </t>
  </si>
  <si>
    <t xml:space="preserve">Jessica Hinkle </t>
  </si>
  <si>
    <t>Charlene Hale</t>
  </si>
  <si>
    <t>+1 (913) 649-7060</t>
  </si>
  <si>
    <t>Embassy Suites Laredo</t>
  </si>
  <si>
    <t xml:space="preserve">110 Calle Del Norte </t>
  </si>
  <si>
    <t>Laura Morales</t>
  </si>
  <si>
    <t>Marco Verastegui</t>
  </si>
  <si>
    <t>+1 (956) 723-9100</t>
  </si>
  <si>
    <t xml:space="preserve">Embassy Suites Las Vegas </t>
  </si>
  <si>
    <t xml:space="preserve">3600 Paradise Rd. </t>
  </si>
  <si>
    <t>Kevin Phipps</t>
  </si>
  <si>
    <t>Denise Lund</t>
  </si>
  <si>
    <t>+1 (702) 893-8000</t>
  </si>
  <si>
    <t>Embassy Suites LAX Airport South</t>
  </si>
  <si>
    <t xml:space="preserve">1440 East Imperial Avenue </t>
  </si>
  <si>
    <t>Shar Franklin</t>
  </si>
  <si>
    <t>Glenda Rivera</t>
  </si>
  <si>
    <t>+1 (310) 640-3600</t>
  </si>
  <si>
    <t>Embassy Suites Lexington</t>
  </si>
  <si>
    <t xml:space="preserve">1801 Newtown Pike </t>
  </si>
  <si>
    <t>Amanda Ruggles</t>
  </si>
  <si>
    <t>+1 (859) 455-5000</t>
  </si>
  <si>
    <t>Embassy Suites Lincoln</t>
  </si>
  <si>
    <t xml:space="preserve">1040 P Street </t>
  </si>
  <si>
    <t>Jason Johnson</t>
  </si>
  <si>
    <t xml:space="preserve">Bryan Sullivan </t>
  </si>
  <si>
    <t>+1 (402) 474-1111</t>
  </si>
  <si>
    <t>Embassy Suites Little Rock</t>
  </si>
  <si>
    <t xml:space="preserve">11301 Financial Centre Parkway </t>
  </si>
  <si>
    <t>Delane McCoy</t>
  </si>
  <si>
    <t>+1 (501) 312-9000</t>
  </si>
  <si>
    <t xml:space="preserve">Embassy Suites Livonia </t>
  </si>
  <si>
    <t xml:space="preserve">19525 Victor Parkway </t>
  </si>
  <si>
    <t>Marc Richardson</t>
  </si>
  <si>
    <t>+1 (734) 462-6000</t>
  </si>
  <si>
    <t>Embassy Suites Lompoc</t>
  </si>
  <si>
    <t xml:space="preserve">1117 North H Street </t>
  </si>
  <si>
    <t>Lompoc</t>
  </si>
  <si>
    <t>GOLDA MAE ESCALANTE</t>
  </si>
  <si>
    <t>+1 (805) 735-8311</t>
  </si>
  <si>
    <t>Embassy Suites Loveland Hotel &amp; Conference Center &amp; Spa</t>
  </si>
  <si>
    <t>4705 Clydesdale Parkway test</t>
  </si>
  <si>
    <t>Kevin Smith</t>
  </si>
  <si>
    <t>Darian Akers</t>
  </si>
  <si>
    <t>+1 (970) 593-6200</t>
  </si>
  <si>
    <t>Embassy Suites Lynnwood</t>
  </si>
  <si>
    <t xml:space="preserve">20610 44th Ave. West </t>
  </si>
  <si>
    <t>David Weston</t>
  </si>
  <si>
    <t>+1 (425) 775-2500</t>
  </si>
  <si>
    <t>Embassy Suites Mandalay Beach Resort</t>
  </si>
  <si>
    <t xml:space="preserve">2101 Mandalay Beach Road </t>
  </si>
  <si>
    <t>Oxnard</t>
  </si>
  <si>
    <t>Ben Ly</t>
  </si>
  <si>
    <t>+1 (805) 984-2500</t>
  </si>
  <si>
    <t>Embassy Suites Marlborough</t>
  </si>
  <si>
    <t xml:space="preserve">123 Boston Post Road </t>
  </si>
  <si>
    <t>Richard Tomanek</t>
  </si>
  <si>
    <t>+1 (508) 485-5900</t>
  </si>
  <si>
    <t>Embassy Suites Miami Int'l Airport</t>
  </si>
  <si>
    <t xml:space="preserve">3974 N.W. South River Rd. </t>
  </si>
  <si>
    <t xml:space="preserve">Clavel Jacques-Louis </t>
  </si>
  <si>
    <t>+1 (305) 634-5000</t>
  </si>
  <si>
    <t>Embassy Suites Milpitas</t>
  </si>
  <si>
    <t xml:space="preserve">901 East Calaveras Boulevard </t>
  </si>
  <si>
    <t>Sheila Martin</t>
  </si>
  <si>
    <t>Raj Vassant</t>
  </si>
  <si>
    <t>+ 1 (408) 942-0400</t>
  </si>
  <si>
    <t>Embassy Suites Monterey Bay - Seaside</t>
  </si>
  <si>
    <t xml:space="preserve">1441 Canyon Del Rey Boulevard </t>
  </si>
  <si>
    <t>Seaside</t>
  </si>
  <si>
    <t>Jose Arias</t>
  </si>
  <si>
    <t>Serena Huerta</t>
  </si>
  <si>
    <t>+1 (831) 393-1115</t>
  </si>
  <si>
    <t>Embassy Suites Montgomery</t>
  </si>
  <si>
    <t xml:space="preserve">300 Tallapoosa Street </t>
  </si>
  <si>
    <t>Rob Ammeter</t>
  </si>
  <si>
    <t>+1 (334) 269-5055</t>
  </si>
  <si>
    <t>Embassy Suites Nashville Airport</t>
  </si>
  <si>
    <t xml:space="preserve">10 Century Boulevard </t>
  </si>
  <si>
    <t>Rory McCook</t>
  </si>
  <si>
    <t>Paul Rapien</t>
  </si>
  <si>
    <t>+1(615)871-0033</t>
  </si>
  <si>
    <t>Embassy Suites Nashville SE Murfreesboro</t>
  </si>
  <si>
    <t xml:space="preserve">1200 Conference Center Boulevard </t>
  </si>
  <si>
    <t>+1 (615) 890-4464</t>
  </si>
  <si>
    <t>Embassy Suites Nashville South Cool Springs</t>
  </si>
  <si>
    <t xml:space="preserve">820 Crescent Centre Drive </t>
  </si>
  <si>
    <t>Allen Lehman</t>
  </si>
  <si>
    <t>Brain Sims</t>
  </si>
  <si>
    <t>+1 (615) 515-5151</t>
  </si>
  <si>
    <t>Embassy Suites Nashville Vanderbilt</t>
  </si>
  <si>
    <t xml:space="preserve">1811 Broadway </t>
  </si>
  <si>
    <t>+ (615) 320-8899</t>
  </si>
  <si>
    <t>Embassy Suites New Orleans Convention Hotel</t>
  </si>
  <si>
    <t xml:space="preserve">315 Julia Street </t>
  </si>
  <si>
    <t>Brian Stokes</t>
  </si>
  <si>
    <t>Christy Cavignac</t>
  </si>
  <si>
    <t>+1 (504) 525-1993</t>
  </si>
  <si>
    <t>Embassy Suites Norman Hotel &amp; Conference Center</t>
  </si>
  <si>
    <t xml:space="preserve">2501 Conference Drive </t>
  </si>
  <si>
    <t>Scott Kovalick</t>
  </si>
  <si>
    <t>+1 (405) 364-8040</t>
  </si>
  <si>
    <t>Embassy Suites Northwest Arkansas - Hotel Spa &amp; Convention Center</t>
  </si>
  <si>
    <t xml:space="preserve">3303 Pinnacle Hills Parkway </t>
  </si>
  <si>
    <t>Larry Cooper</t>
  </si>
  <si>
    <t>+1 (479) 254-8400</t>
  </si>
  <si>
    <t>Embassy Suites Oklahoma City</t>
  </si>
  <si>
    <t xml:space="preserve">1815 South Meridian </t>
  </si>
  <si>
    <t xml:space="preserve">Chris De Angeli </t>
  </si>
  <si>
    <t>+1 (405) 682-6000</t>
  </si>
  <si>
    <t>Embassy Suites Oklahoma City Downtown Medical Center</t>
  </si>
  <si>
    <t xml:space="preserve">741 North Phillips Avenue </t>
  </si>
  <si>
    <t>Christian Harris</t>
  </si>
  <si>
    <t>+1 (405) 239-3900</t>
  </si>
  <si>
    <t>Embassy Suites Omaha</t>
  </si>
  <si>
    <t xml:space="preserve">555 South 10th Street </t>
  </si>
  <si>
    <t>Melanie Maes</t>
  </si>
  <si>
    <t>+1 (402) 346-9000</t>
  </si>
  <si>
    <t>Embassy Suites Omaha La Vista Hotel &amp; Conference Center</t>
  </si>
  <si>
    <t xml:space="preserve">12520 Westport Parkway </t>
  </si>
  <si>
    <t>Ben Feldhausen</t>
  </si>
  <si>
    <t>+1 (402) 331-7400</t>
  </si>
  <si>
    <t>Embassy Suites Orlando</t>
  </si>
  <si>
    <t xml:space="preserve">8250 Jamaican Court </t>
  </si>
  <si>
    <t>Sand Lake</t>
  </si>
  <si>
    <t>David Vallillo</t>
  </si>
  <si>
    <t>+1 (407) 345-8250</t>
  </si>
  <si>
    <t>Embassy Suites Orlando North</t>
  </si>
  <si>
    <t xml:space="preserve">225 Shorecrest Drive </t>
  </si>
  <si>
    <t>Robert Rovish</t>
  </si>
  <si>
    <t>Michael Martin</t>
  </si>
  <si>
    <t>+ (407) 834-2400</t>
  </si>
  <si>
    <t>Embassy Suites Phoenix Scottsdale</t>
  </si>
  <si>
    <t xml:space="preserve">4415 East Paradise Village Parkway South </t>
  </si>
  <si>
    <t>Michelle Shelstead</t>
  </si>
  <si>
    <t>Cameron Lauck</t>
  </si>
  <si>
    <t>+1 (602) 765-5800</t>
  </si>
  <si>
    <t>Embassy Suites Portland Airport Hotel</t>
  </si>
  <si>
    <t xml:space="preserve">7900 Northeast 82nd Avenue </t>
  </si>
  <si>
    <t>Matt Dalrymple</t>
  </si>
  <si>
    <t>Trey Bollinger</t>
  </si>
  <si>
    <t>+ 1(503) 460-3000</t>
  </si>
  <si>
    <t>Embassy Suites Raleigh</t>
  </si>
  <si>
    <t xml:space="preserve">4700 Creedmoor Road </t>
  </si>
  <si>
    <t>Crabtree Valley</t>
  </si>
  <si>
    <t>Donna B. Mills</t>
  </si>
  <si>
    <t>Sachin Shourie</t>
  </si>
  <si>
    <t>+1 (919) 881-0000</t>
  </si>
  <si>
    <t>Embassy Suites Raleigh Durham Research Triangle</t>
  </si>
  <si>
    <t xml:space="preserve">201 Harrison Oaks Boulevard </t>
  </si>
  <si>
    <t>Abderrah Fares</t>
  </si>
  <si>
    <t>Bill McCallen</t>
  </si>
  <si>
    <t>+1 (919) 677-1840</t>
  </si>
  <si>
    <t>Embassy Suites San Antonio - Riverwalk</t>
  </si>
  <si>
    <t xml:space="preserve">125 East Houston Street </t>
  </si>
  <si>
    <t>Scott Douglas</t>
  </si>
  <si>
    <t>+1 (210) 226-9000</t>
  </si>
  <si>
    <t>Embassy Suites San Diego Bay</t>
  </si>
  <si>
    <t xml:space="preserve">601 Pacific Highway </t>
  </si>
  <si>
    <t>Todd Capizzo</t>
  </si>
  <si>
    <t>+1 (619) 239-2400</t>
  </si>
  <si>
    <t>Embassy Suites San Francisco Airport Waterfront (was Burlingame)</t>
  </si>
  <si>
    <t xml:space="preserve">150 Anza Boulevard </t>
  </si>
  <si>
    <t>Fettah Aydin</t>
  </si>
  <si>
    <t>+1 (650) 342-4600</t>
  </si>
  <si>
    <t>Embassy Suites San Luis Obispo</t>
  </si>
  <si>
    <t xml:space="preserve">333 Madonna Road </t>
  </si>
  <si>
    <t>Tom Pugh</t>
  </si>
  <si>
    <t>+1 (805) 549-0800</t>
  </si>
  <si>
    <t>Embassy Suites San Marcos Hotel Conference Center &amp; Spa</t>
  </si>
  <si>
    <t xml:space="preserve">1001 E. McCarty Lane </t>
  </si>
  <si>
    <t>San Marcos</t>
  </si>
  <si>
    <t>Pablo Zuniga</t>
  </si>
  <si>
    <t>+1 (512) 392-6450</t>
  </si>
  <si>
    <t>Embassy Suites Santa Ana OC Airport North</t>
  </si>
  <si>
    <t xml:space="preserve">1325 E. Dyer Road </t>
  </si>
  <si>
    <t>Adam Stanchina</t>
  </si>
  <si>
    <t>+1 (714) 241-3800</t>
  </si>
  <si>
    <t>Embassy Suites Scottsdale</t>
  </si>
  <si>
    <t xml:space="preserve">5001 North Scottsdale Road </t>
  </si>
  <si>
    <t>+1 (480) 949-1414</t>
  </si>
  <si>
    <t>Embassy Suites South San Francisco</t>
  </si>
  <si>
    <t>South San francisco</t>
  </si>
  <si>
    <t>+1 (650) 589-3400</t>
  </si>
  <si>
    <t>Embassy Suites Springfield</t>
  </si>
  <si>
    <t xml:space="preserve">8100 Loisdale Road </t>
  </si>
  <si>
    <t>Jarratt Watkins</t>
  </si>
  <si>
    <t>+1 (571)339-2000</t>
  </si>
  <si>
    <t>Embassy Suites St. Louis St. Charles</t>
  </si>
  <si>
    <t xml:space="preserve">Two Convention Center Plaza </t>
  </si>
  <si>
    <t>ST. CHARLES</t>
  </si>
  <si>
    <t>Scott Heiman</t>
  </si>
  <si>
    <t>Tim Lewin</t>
  </si>
  <si>
    <t>+1 (636) 946-5544</t>
  </si>
  <si>
    <t>Embassy Suites Tampa</t>
  </si>
  <si>
    <t xml:space="preserve">3705 Spectrum Boulevard </t>
  </si>
  <si>
    <t>Guy Lavallee</t>
  </si>
  <si>
    <t>Vicky Pettys</t>
  </si>
  <si>
    <t>+1 (813) 977-7066</t>
  </si>
  <si>
    <t>Embassy Suites Tampa Brandon</t>
  </si>
  <si>
    <t xml:space="preserve">10220 Palm River Road </t>
  </si>
  <si>
    <t>Chad Lobner</t>
  </si>
  <si>
    <t>+1 (813) 653-1905</t>
  </si>
  <si>
    <t>Embassy Suites Tampa Westshore</t>
  </si>
  <si>
    <t xml:space="preserve">555 North West Shore Boulevard </t>
  </si>
  <si>
    <t>Alberto Ramos</t>
  </si>
  <si>
    <t>Traci Hreha</t>
  </si>
  <si>
    <t>+1 (813) 875-1555</t>
  </si>
  <si>
    <t>Embassy Suites Temecula</t>
  </si>
  <si>
    <t xml:space="preserve">29345 Rancho California Rd </t>
  </si>
  <si>
    <t>Christina Belvedere</t>
  </si>
  <si>
    <t>+1 (951) 676-5656</t>
  </si>
  <si>
    <t>Embassy Suites Tucson East</t>
  </si>
  <si>
    <t xml:space="preserve">6555 East Speedway Boulevard </t>
  </si>
  <si>
    <t>Charles Brown</t>
  </si>
  <si>
    <t>Lee Gambrell</t>
  </si>
  <si>
    <t>+1 (520) 721-7100</t>
  </si>
  <si>
    <t>Embassy Suites Tuscaloosa (Valor)</t>
  </si>
  <si>
    <t xml:space="preserve">2410 University Boulevard </t>
  </si>
  <si>
    <t>Dee Richardson</t>
  </si>
  <si>
    <t>+1 (205) 561-2500</t>
  </si>
  <si>
    <t>Embassy Suites Tysons Corner</t>
  </si>
  <si>
    <t xml:space="preserve">8517 Leesburg Pike </t>
  </si>
  <si>
    <t>Julie Welch</t>
  </si>
  <si>
    <t>+ (703) 883-0707</t>
  </si>
  <si>
    <t>Emery Autograph Collection</t>
  </si>
  <si>
    <t xml:space="preserve">215 4th Street South </t>
  </si>
  <si>
    <t>Hugh Hedin</t>
  </si>
  <si>
    <t>+1 (612) 340-2000</t>
  </si>
  <si>
    <t xml:space="preserve">Emory Conference Center </t>
  </si>
  <si>
    <t xml:space="preserve">1615 Clifton Road NE </t>
  </si>
  <si>
    <t>Emory Test</t>
  </si>
  <si>
    <t>+1 (404) 712-6000</t>
  </si>
  <si>
    <t>Empire Ranch Golf Club</t>
  </si>
  <si>
    <t xml:space="preserve">1620 East Natoma </t>
  </si>
  <si>
    <t>Folsom</t>
  </si>
  <si>
    <t>Rick Fansler</t>
  </si>
  <si>
    <t>+1 (916) 817-8100</t>
  </si>
  <si>
    <t>Empress Hotel La Jolla</t>
  </si>
  <si>
    <t xml:space="preserve">7766 Fay Avenue </t>
  </si>
  <si>
    <t>Larry Loy</t>
  </si>
  <si>
    <t>+ (858) 454-3001</t>
  </si>
  <si>
    <t>Engineers Country Club</t>
  </si>
  <si>
    <t xml:space="preserve">55 Glenwood Road </t>
  </si>
  <si>
    <t>Roslyn Harbor</t>
  </si>
  <si>
    <t>Benjamin Hammond</t>
  </si>
  <si>
    <t>Aldebaran Aliaga</t>
  </si>
  <si>
    <t>+ (516) 621-5350</t>
  </si>
  <si>
    <t>Envue Autograph Collection Hotel NJ</t>
  </si>
  <si>
    <t xml:space="preserve">550 Avenue Port Imperial </t>
  </si>
  <si>
    <t>Matthes Metz</t>
  </si>
  <si>
    <t>Ashley Growe</t>
  </si>
  <si>
    <t>+1(201)758-7920</t>
  </si>
  <si>
    <t>Erie TownePlace Suites</t>
  </si>
  <si>
    <t xml:space="preserve">2090 Interchange Road </t>
  </si>
  <si>
    <t>Melissa Orsini</t>
  </si>
  <si>
    <t>+1 (814) 866-7100</t>
  </si>
  <si>
    <t>Escala (Private Residences)</t>
  </si>
  <si>
    <t xml:space="preserve">1920 Fourth Avenue </t>
  </si>
  <si>
    <t>Lenny Zilz</t>
  </si>
  <si>
    <t>Tae Hong</t>
  </si>
  <si>
    <t>+1 (206) 432-3939</t>
  </si>
  <si>
    <t>Espacio The Jewel of Waikiki</t>
  </si>
  <si>
    <t xml:space="preserve">2452 Kalakaua Avenue </t>
  </si>
  <si>
    <t>+1 (808) 564-7615</t>
  </si>
  <si>
    <t>Esperanza an Auberge Resort</t>
  </si>
  <si>
    <t>Carretera Transpeninsular KM 7 entre Santa Carmela y Cabo del Sol</t>
  </si>
  <si>
    <t>+1 (52) 624-1456438</t>
  </si>
  <si>
    <t>Estancia La Jolla Hotel &amp; Spa</t>
  </si>
  <si>
    <t xml:space="preserve">9700 North Torrey Pines Rd </t>
  </si>
  <si>
    <t>La Jolla</t>
  </si>
  <si>
    <t>Eric Jenkins</t>
  </si>
  <si>
    <t>+1 (858) 550-1000</t>
  </si>
  <si>
    <t>Euro Suites Hotel</t>
  </si>
  <si>
    <t xml:space="preserve">501 Chestnut Ridge Road </t>
  </si>
  <si>
    <t>Karla Culp</t>
  </si>
  <si>
    <t>+(304)598-1000</t>
  </si>
  <si>
    <t>Evangeline Downs Hotel</t>
  </si>
  <si>
    <t>2235 Cresswell Lane Extension Lot B</t>
  </si>
  <si>
    <t>Patrick Arceneaux</t>
  </si>
  <si>
    <t>Ronette Sam</t>
  </si>
  <si>
    <t>+1 (337) 447-4252</t>
  </si>
  <si>
    <t>Kinsman Hotel Associates Inc.</t>
  </si>
  <si>
    <t>Even Hotel Sarasota</t>
  </si>
  <si>
    <t xml:space="preserve">6231 Lake Osprey Dr </t>
  </si>
  <si>
    <t>Jesse dussault</t>
  </si>
  <si>
    <t>+1 (941) 782-4400</t>
  </si>
  <si>
    <t>Extended Stay Suites Bossier City</t>
  </si>
  <si>
    <t xml:space="preserve">1001 Gould Drive </t>
  </si>
  <si>
    <t>Charles Chaniyara</t>
  </si>
  <si>
    <t>+1 (318) 747-6220</t>
  </si>
  <si>
    <t>Fair Oaks Ranch Golf &amp; Country Club</t>
  </si>
  <si>
    <t xml:space="preserve">7900 Fair Oaks PKWY </t>
  </si>
  <si>
    <t>Fair Oaks Ranch</t>
  </si>
  <si>
    <t>Jeff De Franco</t>
  </si>
  <si>
    <t>+ (210) 582-6700</t>
  </si>
  <si>
    <t>Fairfax Marriott at Fair Oaks</t>
  </si>
  <si>
    <t xml:space="preserve">11787 Lee Jackson Memorial Highway </t>
  </si>
  <si>
    <t>Zach Kennedy</t>
  </si>
  <si>
    <t>+1 (703) 352-2525</t>
  </si>
  <si>
    <t>Fairfield Inn - Bellevue</t>
  </si>
  <si>
    <t xml:space="preserve">14595 NE 29th Place </t>
  </si>
  <si>
    <t>+ (425) 869-6548</t>
  </si>
  <si>
    <t>Slawson Companies (previously k/a Alameda Management Company)</t>
  </si>
  <si>
    <t>Fairfield Inn - Portland South Lake Oswego</t>
  </si>
  <si>
    <t xml:space="preserve">6100 SW Meadows Road </t>
  </si>
  <si>
    <t>Christi Houstead</t>
  </si>
  <si>
    <t>+ (503) 670-7557</t>
  </si>
  <si>
    <t>Fairfield Inn &amp; Suites - Rancho Cordova</t>
  </si>
  <si>
    <t xml:space="preserve">10745 Gold Center Drive </t>
  </si>
  <si>
    <t>Bayron Balcarcel</t>
  </si>
  <si>
    <t>Hillary Johnston</t>
  </si>
  <si>
    <t>+1 (916) 858-8680</t>
  </si>
  <si>
    <t>Fairfield Inn &amp; Suites Aberdeen</t>
  </si>
  <si>
    <t xml:space="preserve">907 Barnett Lane </t>
  </si>
  <si>
    <t>Angel Perry</t>
  </si>
  <si>
    <t>+1(443) 327-7772</t>
  </si>
  <si>
    <t>Fairfield Inn &amp; Suites Aiken</t>
  </si>
  <si>
    <t xml:space="preserve">185 Colony Parkway </t>
  </si>
  <si>
    <t>Aiken</t>
  </si>
  <si>
    <t>Susan Puckett</t>
  </si>
  <si>
    <t>+1 (803) 648-7808</t>
  </si>
  <si>
    <t>Fairfield Inn &amp; Suites Akron Stow</t>
  </si>
  <si>
    <t xml:space="preserve">4170 Steels Pointe </t>
  </si>
  <si>
    <t>Stow</t>
  </si>
  <si>
    <t>Erin Schmidt</t>
  </si>
  <si>
    <t>Vishal Patel</t>
  </si>
  <si>
    <t>+1(330) 940-1450</t>
  </si>
  <si>
    <t>Hometown Management LLC</t>
  </si>
  <si>
    <t>Fairfield Inn &amp; Suites Alamogordo</t>
  </si>
  <si>
    <t xml:space="preserve">300 Panorama Boulevard </t>
  </si>
  <si>
    <t>Almogrodo</t>
  </si>
  <si>
    <t>Kalpana Patil</t>
  </si>
  <si>
    <t>Stacie Banda</t>
  </si>
  <si>
    <t>+1 (575) 437-4000</t>
  </si>
  <si>
    <t>Fairfield Inn &amp; Suites Albany</t>
  </si>
  <si>
    <t xml:space="preserve">3011 Kensington Court </t>
  </si>
  <si>
    <t>Tiffany Nix</t>
  </si>
  <si>
    <t>+1 (229) 883-8288</t>
  </si>
  <si>
    <t>Fairfield Inn &amp; Suites Albany Airport</t>
  </si>
  <si>
    <t xml:space="preserve">168 Wolf Road </t>
  </si>
  <si>
    <t>Karen Ault</t>
  </si>
  <si>
    <t>+ (518) 482-8800</t>
  </si>
  <si>
    <t>Fairfield Inn &amp; Suites Albany East Greenbush</t>
  </si>
  <si>
    <t>124 Troy Road RT4</t>
  </si>
  <si>
    <t>East Greenbush</t>
  </si>
  <si>
    <t>Bonnie Barba</t>
  </si>
  <si>
    <t>+ (518) 477-7984</t>
  </si>
  <si>
    <t>Royal Lodging of Alexandria LLC</t>
  </si>
  <si>
    <t>Fairfield Inn &amp; Suites Alexandria</t>
  </si>
  <si>
    <t xml:space="preserve">2830 South Macarthur Drive </t>
  </si>
  <si>
    <t>Tracy Jemison</t>
  </si>
  <si>
    <t>+1 (318) 449-9000</t>
  </si>
  <si>
    <t xml:space="preserve">6254 Duke Street </t>
  </si>
  <si>
    <t>Marby La Luces</t>
  </si>
  <si>
    <t>+1 (703) 642-3422</t>
  </si>
  <si>
    <t>Fairfield Inn &amp; Suites Altoona</t>
  </si>
  <si>
    <t xml:space="preserve">2915 Pleasant Valley Boulevard </t>
  </si>
  <si>
    <t>Altoona</t>
  </si>
  <si>
    <t>Christa Williams</t>
  </si>
  <si>
    <t>Jim Long</t>
  </si>
  <si>
    <t>+1 (814) 946-0422</t>
  </si>
  <si>
    <t>Fairfield Inn &amp; Suites Anderson Clemson</t>
  </si>
  <si>
    <t xml:space="preserve">117 Interstate Boulevard </t>
  </si>
  <si>
    <t>Anderson</t>
  </si>
  <si>
    <t>Debbie O'Quinn</t>
  </si>
  <si>
    <t>+1 (864) 332-9000</t>
  </si>
  <si>
    <t>Fairfield Inn &amp; Suites Anniston Oxford</t>
  </si>
  <si>
    <t xml:space="preserve">143 Colonial Drive </t>
  </si>
  <si>
    <t>Jennifer Mayne</t>
  </si>
  <si>
    <t>+1 (256) 831-1921</t>
  </si>
  <si>
    <t>Fairfield Inn &amp; Suites Appleton</t>
  </si>
  <si>
    <t xml:space="preserve">130 S Nicolet Rd </t>
  </si>
  <si>
    <t>Amanda Hedtke</t>
  </si>
  <si>
    <t>+1(920) 939-8181</t>
  </si>
  <si>
    <t>Fairfield Inn &amp; Suites Arundel Mills</t>
  </si>
  <si>
    <t xml:space="preserve">7539 Teague Road </t>
  </si>
  <si>
    <t>Marco Guloy</t>
  </si>
  <si>
    <t>+1 (410) 694-9500</t>
  </si>
  <si>
    <t>Fairfield Inn &amp; Suites Asheville Tunnel Road</t>
  </si>
  <si>
    <t xml:space="preserve">184 Tunnel Road </t>
  </si>
  <si>
    <t>Valerio Saracco</t>
  </si>
  <si>
    <t>+1 (828) 274-2001</t>
  </si>
  <si>
    <t>SJB Management Inc.</t>
  </si>
  <si>
    <t>Fairfield Inn &amp; Suites Athens</t>
  </si>
  <si>
    <t xml:space="preserve">924 East State Street </t>
  </si>
  <si>
    <t>Mark Samuels</t>
  </si>
  <si>
    <t>Melissa Bailes</t>
  </si>
  <si>
    <t>+1 (740) 589-5839</t>
  </si>
  <si>
    <t>Fairfield Inn &amp; Suites Atlanta Airport</t>
  </si>
  <si>
    <t xml:space="preserve">2020 Sullivan Road </t>
  </si>
  <si>
    <t>OJ Harris</t>
  </si>
  <si>
    <t>+ (770) 994-3666</t>
  </si>
  <si>
    <t>Fairfield Inn &amp; Suites Atlanta Downtown</t>
  </si>
  <si>
    <t xml:space="preserve">54 Peachtree Street Southwest </t>
  </si>
  <si>
    <t>Nikki Henry</t>
  </si>
  <si>
    <t>+1 (678) 702-8600</t>
  </si>
  <si>
    <t>Fairfield Inn &amp; Suites Atlanta Fairburn</t>
  </si>
  <si>
    <t xml:space="preserve">7775 Ella Lane </t>
  </si>
  <si>
    <t>Anca Thompson</t>
  </si>
  <si>
    <t>+1 (770) 969-1673</t>
  </si>
  <si>
    <t>Fairfield Inn &amp; Suites Atlanta Kennesaw</t>
  </si>
  <si>
    <t xml:space="preserve">3425 Busbee Pkwy. </t>
  </si>
  <si>
    <t>Peta Gay-Barrett</t>
  </si>
  <si>
    <t>+ (770) 427-9700</t>
  </si>
  <si>
    <t>Fairfield Inn &amp; Suites Atlanta Lithia Springs</t>
  </si>
  <si>
    <t>Don Manager</t>
  </si>
  <si>
    <t>Daniel AGM</t>
  </si>
  <si>
    <t>Fairfield Inn &amp; Suites Atlanta Stockbridge</t>
  </si>
  <si>
    <t xml:space="preserve">825 Highway 138 </t>
  </si>
  <si>
    <t>Chevron Screen</t>
  </si>
  <si>
    <t>+1 (678) 216-1200</t>
  </si>
  <si>
    <t>Fairfield Inn &amp; Suites Atlanta Stonecrest</t>
  </si>
  <si>
    <t xml:space="preserve">7850 Stonecrest Square </t>
  </si>
  <si>
    <t>Lithonia</t>
  </si>
  <si>
    <t>Chris Dixon</t>
  </si>
  <si>
    <t>+1 (770) 484-9993</t>
  </si>
  <si>
    <t>Fairfield Inn &amp; Suites Atlanta Vinings</t>
  </si>
  <si>
    <t xml:space="preserve">2450 Paces Ferry Road </t>
  </si>
  <si>
    <t>Howard Loggins</t>
  </si>
  <si>
    <t>+1 (770) 435-4500</t>
  </si>
  <si>
    <t>Fairfield Inn &amp; Suites Atmore</t>
  </si>
  <si>
    <t xml:space="preserve">112 Lakeview Circle </t>
  </si>
  <si>
    <t>Atmore</t>
  </si>
  <si>
    <t>Angela Carter</t>
  </si>
  <si>
    <t>+1(251) 368-1188</t>
  </si>
  <si>
    <t>Fairfield Inn &amp; Suites Auburn</t>
  </si>
  <si>
    <t xml:space="preserve">718A Southbridge Street </t>
  </si>
  <si>
    <t>Juan Rincon</t>
  </si>
  <si>
    <t>+1 (508) 832-9500</t>
  </si>
  <si>
    <t>Fairfield Inn &amp; Suites Augusta</t>
  </si>
  <si>
    <t xml:space="preserve">2175 Gordon Highway </t>
  </si>
  <si>
    <t>Diamond Harrison</t>
  </si>
  <si>
    <t>Kayla Hepworth</t>
  </si>
  <si>
    <t>+ (706) 733-2121</t>
  </si>
  <si>
    <t>Fairfield Inn &amp; Suites Augusta Washington Rd.-I-20</t>
  </si>
  <si>
    <t xml:space="preserve">3023 1-2 Washington Road </t>
  </si>
  <si>
    <t>Deana Daughenbaugh</t>
  </si>
  <si>
    <t>+1 (706) 922-3211</t>
  </si>
  <si>
    <t>Fairfield Inn &amp; Suites Austin North</t>
  </si>
  <si>
    <t xml:space="preserve">12536 North IH-35 </t>
  </si>
  <si>
    <t>Victor Atayde</t>
  </si>
  <si>
    <t>+ (512) 821-0376</t>
  </si>
  <si>
    <t>Fairfield Inn &amp; Suites Austin Northwest - Arboretum</t>
  </si>
  <si>
    <t xml:space="preserve">11201 North MoPac Expressway </t>
  </si>
  <si>
    <t>Ryan Plain</t>
  </si>
  <si>
    <t>+1 (512) 527-0734</t>
  </si>
  <si>
    <t>Fairfield Inn &amp; Suites Austin San Marcos</t>
  </si>
  <si>
    <t xml:space="preserve">1250 North Interstate Highway 35 </t>
  </si>
  <si>
    <t>Armando Garcia</t>
  </si>
  <si>
    <t>Maria Medrano</t>
  </si>
  <si>
    <t>+ 1 (512) 396-0131</t>
  </si>
  <si>
    <t>Fairfield Inn &amp; Suites Austin-University Area</t>
  </si>
  <si>
    <t xml:space="preserve">959 Reinli Street </t>
  </si>
  <si>
    <t>Rizwan Marfani</t>
  </si>
  <si>
    <t>+1 (512) 302-5550</t>
  </si>
  <si>
    <t>Fairfield Inn &amp; Suites Avon</t>
  </si>
  <si>
    <t xml:space="preserve">119 Angelina Way </t>
  </si>
  <si>
    <t>Heidi Jacobsen</t>
  </si>
  <si>
    <t>+1 (317) 271-9200</t>
  </si>
  <si>
    <t>Fairfield Inn &amp; Suites Baltimore</t>
  </si>
  <si>
    <t xml:space="preserve">101 President Street </t>
  </si>
  <si>
    <t>Martin Norwood</t>
  </si>
  <si>
    <t>+1 (410) 837-9900</t>
  </si>
  <si>
    <t>Fairfield Inn &amp; Suites Bardstown</t>
  </si>
  <si>
    <t xml:space="preserve">1070 Morton Avenue </t>
  </si>
  <si>
    <t>Timothy Alsip</t>
  </si>
  <si>
    <t>+1 (513) 673-2851</t>
  </si>
  <si>
    <t>Kadea LLC</t>
  </si>
  <si>
    <t>Fairfield Inn &amp; Suites Bay City</t>
  </si>
  <si>
    <t xml:space="preserve">515 7th Street </t>
  </si>
  <si>
    <t>Bay City</t>
  </si>
  <si>
    <t>Samantha Lopez</t>
  </si>
  <si>
    <t>+1(979)323-9191</t>
  </si>
  <si>
    <t>Fairfield Inn &amp; Suites Bedford</t>
  </si>
  <si>
    <t xml:space="preserve">4436 Business Route 220 </t>
  </si>
  <si>
    <t>Brandy Wright</t>
  </si>
  <si>
    <t>+1 (814) 623-3444</t>
  </si>
  <si>
    <t>TNB Hotels</t>
  </si>
  <si>
    <t xml:space="preserve">Fairfield Inn &amp; Suites Bend Downtown </t>
  </si>
  <si>
    <t xml:space="preserve">1626 NW Wall Street </t>
  </si>
  <si>
    <t>Raul Ainardi</t>
  </si>
  <si>
    <t>+1 (541) 318-1747</t>
  </si>
  <si>
    <t>Fairfield Inn &amp; Suites Bentonville Rogers</t>
  </si>
  <si>
    <t xml:space="preserve">4611 West Rozell Street </t>
  </si>
  <si>
    <t>Amanda Baysinger</t>
  </si>
  <si>
    <t>Mary Wood</t>
  </si>
  <si>
    <t>+1 (479) 936-5900</t>
  </si>
  <si>
    <t>Fairfield Inn &amp; Suites Birmingham Colonnade</t>
  </si>
  <si>
    <t xml:space="preserve">3930 Colonnade Parkway </t>
  </si>
  <si>
    <t>Sisi Hogan</t>
  </si>
  <si>
    <t>+1(205) 969-7630</t>
  </si>
  <si>
    <t>Fairfield Inn &amp; Suites Birmingham Downtown</t>
  </si>
  <si>
    <t xml:space="preserve">1918 1st Avenue North </t>
  </si>
  <si>
    <t>Ardebra Terrell</t>
  </si>
  <si>
    <t>+1 (205) 263-9157</t>
  </si>
  <si>
    <t>Aum Enterprises Inc.</t>
  </si>
  <si>
    <t xml:space="preserve">Fairfield Inn &amp; Suites Birmingham Fultondale - I-65 </t>
  </si>
  <si>
    <t xml:space="preserve">1795 Morris Avenue </t>
  </si>
  <si>
    <t>Fultondale</t>
  </si>
  <si>
    <t>Early Watson</t>
  </si>
  <si>
    <t>Rakesh Patel</t>
  </si>
  <si>
    <t>+1 (205) 849-8484</t>
  </si>
  <si>
    <t>Fairfield Inn &amp; Suites Birmingham Pelham - I-65</t>
  </si>
  <si>
    <t xml:space="preserve">230 Cahaba Valley Road </t>
  </si>
  <si>
    <t>Pelham</t>
  </si>
  <si>
    <t>+1 (205) 987-9879</t>
  </si>
  <si>
    <t>Fairfield Inn &amp; Suites Boca Raton Deerfield Beach</t>
  </si>
  <si>
    <t xml:space="preserve">301 Hillsboro Technology Drive </t>
  </si>
  <si>
    <t>Kevin Oleksiyenko</t>
  </si>
  <si>
    <t>+1 (954) 671-5300</t>
  </si>
  <si>
    <t>Fairfield Inn &amp; Suites Boise West</t>
  </si>
  <si>
    <t xml:space="preserve">7881 West Emerald Street </t>
  </si>
  <si>
    <t>Cindy Crain</t>
  </si>
  <si>
    <t>+(208) 378-4044</t>
  </si>
  <si>
    <t>Fairfield Inn &amp; Suites Boston Chelsea</t>
  </si>
  <si>
    <t xml:space="preserve">200 Maple Street </t>
  </si>
  <si>
    <t>Phillip Dixon</t>
  </si>
  <si>
    <t>+1(617)889-9990</t>
  </si>
  <si>
    <t>Fairfield Inn &amp; Suites Boston Marlborough - Apex Center</t>
  </si>
  <si>
    <t xml:space="preserve">105 Apex Drive </t>
  </si>
  <si>
    <t>Marlboro</t>
  </si>
  <si>
    <t>Phillip Gagnon</t>
  </si>
  <si>
    <t>+1(508)720-1500</t>
  </si>
  <si>
    <t>Fairfield Inn &amp; Suites Boston Waltham</t>
  </si>
  <si>
    <t xml:space="preserve">250 Second Avenue </t>
  </si>
  <si>
    <t>North Waltham</t>
  </si>
  <si>
    <t>Erik Paulitzky</t>
  </si>
  <si>
    <t>+1 (781) 202-5150</t>
  </si>
  <si>
    <t>Fairfield Inn &amp; Suites Bowling Green</t>
  </si>
  <si>
    <t xml:space="preserve">1832 Cave Mill Road </t>
  </si>
  <si>
    <t>Jeffery Anderson</t>
  </si>
  <si>
    <t>Joy Jolly</t>
  </si>
  <si>
    <t>+1(270) 599-1832</t>
  </si>
  <si>
    <t>Fairfield Inn &amp; Suites Buford</t>
  </si>
  <si>
    <t xml:space="preserve">1355 Mall of Georgia Boulevard </t>
  </si>
  <si>
    <t>Laurie Thomas</t>
  </si>
  <si>
    <t>+1 (678)714-0248</t>
  </si>
  <si>
    <t>Fairfield Inn &amp; Suites Burley</t>
  </si>
  <si>
    <t xml:space="preserve">230 West 7th St. North </t>
  </si>
  <si>
    <t>Burley</t>
  </si>
  <si>
    <t>Dave Nebeker</t>
  </si>
  <si>
    <t>Jeff Johnson</t>
  </si>
  <si>
    <t>+1 (208) 677-5000</t>
  </si>
  <si>
    <t>GRE Hotel Management Company LLC</t>
  </si>
  <si>
    <t>Fairfield Inn &amp; Suites Burlington</t>
  </si>
  <si>
    <t xml:space="preserve">1213 North Roosevelt Avenue </t>
  </si>
  <si>
    <t>Karen Hale</t>
  </si>
  <si>
    <t>Carrie Eason</t>
  </si>
  <si>
    <t>+ (319) 754-0000</t>
  </si>
  <si>
    <t xml:space="preserve">9384 Old Hwy. 99 N. </t>
  </si>
  <si>
    <t>Emi Bowers</t>
  </si>
  <si>
    <t>Sandy Kish</t>
  </si>
  <si>
    <t>+1 (360) 757-2717</t>
  </si>
  <si>
    <t>Fairfield Inn &amp; Suites BWI Airport</t>
  </si>
  <si>
    <t xml:space="preserve">1020 Andover Rd </t>
  </si>
  <si>
    <t>Danielle Hedden</t>
  </si>
  <si>
    <t>+ (410) 691-1001</t>
  </si>
  <si>
    <t>Fairfield Inn &amp; Suites by Marriott Puyallup</t>
  </si>
  <si>
    <t xml:space="preserve">202 15th Ave. SW </t>
  </si>
  <si>
    <t>Elizabeth Hofmann</t>
  </si>
  <si>
    <t>+(253)770-3100</t>
  </si>
  <si>
    <t>Fairfield Inn &amp; Suites by Marriott Santa Cruz - Capitola</t>
  </si>
  <si>
    <t xml:space="preserve">1255 41st Avenue </t>
  </si>
  <si>
    <t>Derek Grell</t>
  </si>
  <si>
    <t>Barbara Witkowsk</t>
  </si>
  <si>
    <t>+1 (831) 427-2900</t>
  </si>
  <si>
    <t>Fairfield Inn &amp; Suites Calgary Downtown</t>
  </si>
  <si>
    <t xml:space="preserve">239 12th Avenue Southwest </t>
  </si>
  <si>
    <t>T2R 1H7</t>
  </si>
  <si>
    <t>Gaurav Phatak</t>
  </si>
  <si>
    <t>Tiffany Richards</t>
  </si>
  <si>
    <t>+1 (403) 351-6500</t>
  </si>
  <si>
    <t>Plantation Bay Hotels LLC</t>
  </si>
  <si>
    <t>Fairfield Inn &amp; Suites Camarillo</t>
  </si>
  <si>
    <t xml:space="preserve">4444 Central Avenue </t>
  </si>
  <si>
    <t>Rishi Jhunjhnuwala</t>
  </si>
  <si>
    <t>+1 (805) 988-9396</t>
  </si>
  <si>
    <t>Fairfield Inn &amp; Suites Cambridge</t>
  </si>
  <si>
    <t xml:space="preserve">8700 Dozer Road </t>
  </si>
  <si>
    <t>Laura Harshaw</t>
  </si>
  <si>
    <t>+1 (740) 435-8700</t>
  </si>
  <si>
    <t>Fairfield Inn &amp; Suites Carlisle</t>
  </si>
  <si>
    <t xml:space="preserve">1528 Commerce Avenue </t>
  </si>
  <si>
    <t>Carlisle</t>
  </si>
  <si>
    <t>Kristin Shipman</t>
  </si>
  <si>
    <t>+1 (717) 243-2080</t>
  </si>
  <si>
    <t>Fairfield Inn &amp; Suites Carlsbad</t>
  </si>
  <si>
    <t xml:space="preserve">2525 S. Canal St. </t>
  </si>
  <si>
    <t>Carlsbad Caverns national pa</t>
  </si>
  <si>
    <t>Emily Boone</t>
  </si>
  <si>
    <t>+1 (575) 887-8000</t>
  </si>
  <si>
    <t>Fairfield Inn &amp; Suites Cedar Rapids</t>
  </si>
  <si>
    <t xml:space="preserve">605 32nd Ave. SW </t>
  </si>
  <si>
    <t>Gloria Smith</t>
  </si>
  <si>
    <t>+1 (319) 247-1000</t>
  </si>
  <si>
    <t>Fairfield Inn &amp; Suites Charleston</t>
  </si>
  <si>
    <t xml:space="preserve">402 2nd Avenue </t>
  </si>
  <si>
    <t>Melissa Stricker</t>
  </si>
  <si>
    <t>+1(304)744-4444</t>
  </si>
  <si>
    <t>Fairfield Inn &amp; Suites Charleston Airport</t>
  </si>
  <si>
    <t xml:space="preserve">4841 Tanger Outlet Boulevard </t>
  </si>
  <si>
    <t>Kelly Chubb</t>
  </si>
  <si>
    <t>+ (843) 300-3100</t>
  </si>
  <si>
    <t xml:space="preserve">Fairfield Inn &amp; Suites Charleston North Ashley Phosphate </t>
  </si>
  <si>
    <t xml:space="preserve">2540 North Forest Drive </t>
  </si>
  <si>
    <t>Brenda Pieper</t>
  </si>
  <si>
    <t>+1 (843) 725-5400</t>
  </si>
  <si>
    <t>Fairfield Inn &amp; Suites Charlotte</t>
  </si>
  <si>
    <t xml:space="preserve">201 South McDowell Street </t>
  </si>
  <si>
    <t>Bill Moore</t>
  </si>
  <si>
    <t>+1 (704) 372-7550</t>
  </si>
  <si>
    <t>Fairfield Inn &amp; Suites Charlotte Arrowood</t>
  </si>
  <si>
    <t xml:space="preserve">7920 Arrowridge Boulevard </t>
  </si>
  <si>
    <t>Dashay Johnson</t>
  </si>
  <si>
    <t>+1 (704) 319-5100</t>
  </si>
  <si>
    <t>Fairfield Inn &amp; Suites Charlotte Matthews</t>
  </si>
  <si>
    <t xml:space="preserve">8540 East Independence Boulevard </t>
  </si>
  <si>
    <t>Juana Gil Mendez</t>
  </si>
  <si>
    <t>+1 (980) 245-9200</t>
  </si>
  <si>
    <t>Fairfield Inn &amp; Suites Chattanooga</t>
  </si>
  <si>
    <t xml:space="preserve">2345 Shallowford Village Drive </t>
  </si>
  <si>
    <t>Bob Gopar</t>
  </si>
  <si>
    <t>+1 (423) 499-3800</t>
  </si>
  <si>
    <t>Fairfield Inn &amp; Suites Chattanooga Lookout Mountain</t>
  </si>
  <si>
    <t xml:space="preserve">40 Starview Lane </t>
  </si>
  <si>
    <t>Solihin Bratanatawira</t>
  </si>
  <si>
    <t>+1 (423) 664-4222</t>
  </si>
  <si>
    <t>Fairfield Inn &amp; Suites Chattanooga South East Ridge</t>
  </si>
  <si>
    <t xml:space="preserve">1453 Mack Smith Road </t>
  </si>
  <si>
    <t>East Ridge</t>
  </si>
  <si>
    <t>Michael Tubbs</t>
  </si>
  <si>
    <t>+1 (423) 499-4080</t>
  </si>
  <si>
    <t xml:space="preserve">Fairfield Inn &amp; Suites Chesapeake </t>
  </si>
  <si>
    <t xml:space="preserve">2122 Joliff Road </t>
  </si>
  <si>
    <t>Debbie Brown</t>
  </si>
  <si>
    <t>+1 (757) 966-2727</t>
  </si>
  <si>
    <t>Fairfield Inn &amp; Suites Chicago Downtown River North</t>
  </si>
  <si>
    <t xml:space="preserve">60 West Illinois Street </t>
  </si>
  <si>
    <t>+(312)836-1700</t>
  </si>
  <si>
    <t>ECD Hospitality Inc.</t>
  </si>
  <si>
    <t>Fairfield Inn &amp; Suites Chicago Downtown/Magnificent Mile</t>
  </si>
  <si>
    <t xml:space="preserve">216 East Ontario Street </t>
  </si>
  <si>
    <t>Tim Moritz</t>
  </si>
  <si>
    <t>Noemi Rivera</t>
  </si>
  <si>
    <t>+1 (312) 787-3777</t>
  </si>
  <si>
    <t>Fairfield Inn &amp; Suites Chicago Naperville</t>
  </si>
  <si>
    <t xml:space="preserve">1820 Abriter Court </t>
  </si>
  <si>
    <t>Colin Seibert</t>
  </si>
  <si>
    <t>Francisco Gaytan</t>
  </si>
  <si>
    <t>+1 (630) 577-1820</t>
  </si>
  <si>
    <t>Fairfield Inn &amp; Suites Cincinnati</t>
  </si>
  <si>
    <t xml:space="preserve">4521 Eastgate Blvd </t>
  </si>
  <si>
    <t>Cindy Knippenberg</t>
  </si>
  <si>
    <t>+ (513) 947-9402</t>
  </si>
  <si>
    <t>Fairfield Inn &amp; Suites Cincinnati Florence</t>
  </si>
  <si>
    <t xml:space="preserve">5910 Merchant Street </t>
  </si>
  <si>
    <t>Ricky Ball</t>
  </si>
  <si>
    <t>+1(859)545-4828</t>
  </si>
  <si>
    <t>Fairfield Inn &amp; Suites Cincinnati Uptown- University Area</t>
  </si>
  <si>
    <t xml:space="preserve">2500 South Market Street </t>
  </si>
  <si>
    <t>Moji Collins</t>
  </si>
  <si>
    <t>Dominique Sweet</t>
  </si>
  <si>
    <t>+1 (513) 281-2200</t>
  </si>
  <si>
    <t>Fairfield Inn &amp; Suites Cleveland</t>
  </si>
  <si>
    <t xml:space="preserve">2815 Westside Drive Northwest </t>
  </si>
  <si>
    <t>Deanna Jonker</t>
  </si>
  <si>
    <t>+1 (423) 664-2501</t>
  </si>
  <si>
    <t>Fairfield Inn &amp; Suites Clovis</t>
  </si>
  <si>
    <t xml:space="preserve">4305 North Prince Street </t>
  </si>
  <si>
    <t>Clovis</t>
  </si>
  <si>
    <t>China Pierce</t>
  </si>
  <si>
    <t>+1 (575) 762-1411</t>
  </si>
  <si>
    <t>Fairfield Inn &amp; Suites Colorado Springs</t>
  </si>
  <si>
    <t xml:space="preserve">15275 Struthers Road </t>
  </si>
  <si>
    <t>Cheryl Tracey</t>
  </si>
  <si>
    <t>+1 (719) 488-4644</t>
  </si>
  <si>
    <t>Fairfield Inn &amp; Suites Colorado Springs East</t>
  </si>
  <si>
    <t xml:space="preserve">4107 Tutt Boulevard </t>
  </si>
  <si>
    <t>Kevin Bass</t>
  </si>
  <si>
    <t>+()1 719-597-5699</t>
  </si>
  <si>
    <t>Fairfield Inn &amp; Suites Columbus</t>
  </si>
  <si>
    <t xml:space="preserve">2011 6th Street North </t>
  </si>
  <si>
    <t xml:space="preserve">Columbus </t>
  </si>
  <si>
    <t>Jordan Reeves</t>
  </si>
  <si>
    <t>+ (662) 241-1990</t>
  </si>
  <si>
    <t>Fairfield Inn &amp; Suites Columbus Airport (CMF)</t>
  </si>
  <si>
    <t xml:space="preserve">4300 International Gateway </t>
  </si>
  <si>
    <t>Casey Illig</t>
  </si>
  <si>
    <t>+1 (614) 237-2100</t>
  </si>
  <si>
    <t>Fairfield Inn &amp; Suites Columbus New Albany</t>
  </si>
  <si>
    <t xml:space="preserve">4976 East Dublin Granville Road </t>
  </si>
  <si>
    <t>Taryn Weisheit</t>
  </si>
  <si>
    <t>+1 (614) 855-9766</t>
  </si>
  <si>
    <t>Fairfield Inn &amp; Suites Columbus North - Dublin</t>
  </si>
  <si>
    <t xml:space="preserve">7150 Sawmill Road </t>
  </si>
  <si>
    <t>Sarah James</t>
  </si>
  <si>
    <t>+1 (614) 389-3036</t>
  </si>
  <si>
    <t>Fairfield Inn &amp; Suites Columbus OSU</t>
  </si>
  <si>
    <t xml:space="preserve">3031 Olentangy River Road </t>
  </si>
  <si>
    <t>Keon Clark</t>
  </si>
  <si>
    <t>+1 (614) 267-1111</t>
  </si>
  <si>
    <t>R&amp;K Investment Group Inc.</t>
  </si>
  <si>
    <t>Fairfield Inn &amp; Suites Columbus West-Hilliard</t>
  </si>
  <si>
    <t xml:space="preserve">5520 Maxwell Place </t>
  </si>
  <si>
    <t>Alice Packett</t>
  </si>
  <si>
    <t>Rupal Patel</t>
  </si>
  <si>
    <t>+1(614)643-4300</t>
  </si>
  <si>
    <t xml:space="preserve">Fairfield Inn &amp; Suites Conway </t>
  </si>
  <si>
    <t xml:space="preserve">2260 Sanders Road </t>
  </si>
  <si>
    <t>Conway</t>
  </si>
  <si>
    <t>Chad Ahrens</t>
  </si>
  <si>
    <t>+1 (501) 505-8034</t>
  </si>
  <si>
    <t>Fairfield Inn &amp; Suites Cookeville</t>
  </si>
  <si>
    <t xml:space="preserve">1200 Sam's Street </t>
  </si>
  <si>
    <t>Jeff Hart</t>
  </si>
  <si>
    <t>+1 (931) 854-1050</t>
  </si>
  <si>
    <t>Fairfield Inn &amp; Suites Cordele</t>
  </si>
  <si>
    <t xml:space="preserve">2001 16th Avenue East </t>
  </si>
  <si>
    <t>Cordele</t>
  </si>
  <si>
    <t>April Eldridge</t>
  </si>
  <si>
    <t>+1 (229) 273-0042</t>
  </si>
  <si>
    <t>Fairfield Inn &amp; Suites Dallas I-30 West- Cockrell Hill</t>
  </si>
  <si>
    <t xml:space="preserve">2100 North Cockrell Hill Road </t>
  </si>
  <si>
    <t>Jamila Carter</t>
  </si>
  <si>
    <t>+1( 972) 685-7700</t>
  </si>
  <si>
    <t>Fairfield Inn &amp; Suites Dayton Downtown</t>
  </si>
  <si>
    <t xml:space="preserve">305 East Monument Avenue </t>
  </si>
  <si>
    <t>Joshua Ocamp</t>
  </si>
  <si>
    <t>+1 (937) 331-9330</t>
  </si>
  <si>
    <t>Ceres Enterprises Properties</t>
  </si>
  <si>
    <t>Fairfield Inn &amp; Suites Dayton Troy</t>
  </si>
  <si>
    <t xml:space="preserve">83 Troy Town Drive </t>
  </si>
  <si>
    <t>Gary Gruss</t>
  </si>
  <si>
    <t>Rhonda Doty</t>
  </si>
  <si>
    <t>+1 (937) 332-1446</t>
  </si>
  <si>
    <t>Fairfield Inn &amp; Suites Daytona Beach Speedway Airport</t>
  </si>
  <si>
    <t xml:space="preserve">1820 Checkered Flag Blvd </t>
  </si>
  <si>
    <t>Matt Crall</t>
  </si>
  <si>
    <t>Spencer White</t>
  </si>
  <si>
    <t>+1 (386) 254-4700</t>
  </si>
  <si>
    <t>Fairfield Inn &amp; Suites Decatur</t>
  </si>
  <si>
    <t xml:space="preserve">1910 West US Highway 380 </t>
  </si>
  <si>
    <t>Grace Brandenburg</t>
  </si>
  <si>
    <t>+1 (940) 627-0645</t>
  </si>
  <si>
    <t>Fairfield Inn &amp; Suites Denver Downtown</t>
  </si>
  <si>
    <t xml:space="preserve">2747 Wyandot Street </t>
  </si>
  <si>
    <t>Isabela Gonzales</t>
  </si>
  <si>
    <t>+1 (303) 455-2995</t>
  </si>
  <si>
    <t>Fairfield Inn &amp; Suites Denver Northeast-Brighton</t>
  </si>
  <si>
    <t xml:space="preserve">948 Platte River Boulevard </t>
  </si>
  <si>
    <t>+1 (303) 637-0910</t>
  </si>
  <si>
    <t>Fairfield Inn &amp; Suites Denver Southwest- Lakewood</t>
  </si>
  <si>
    <t xml:space="preserve">3605 South Wadsworth Boulevard </t>
  </si>
  <si>
    <t>+(720)782-3030</t>
  </si>
  <si>
    <t>Fairfield Inn &amp; Suites Denver Tech Center</t>
  </si>
  <si>
    <t xml:space="preserve">5071 South Syracuse Street </t>
  </si>
  <si>
    <t>Joni Sutton</t>
  </si>
  <si>
    <t>+1(303)694-7500</t>
  </si>
  <si>
    <t>Fairfield Inn &amp; Suites Denver West - Federal Center</t>
  </si>
  <si>
    <t xml:space="preserve">140 South Union Boulevard </t>
  </si>
  <si>
    <t>Andrew DeBruzzi</t>
  </si>
  <si>
    <t>Nicole Castellow</t>
  </si>
  <si>
    <t>+1 (303)233-3133</t>
  </si>
  <si>
    <t>Fairfield Inn &amp; Suites Dublin</t>
  </si>
  <si>
    <t xml:space="preserve">620 Pinehill Road </t>
  </si>
  <si>
    <t>+1(478)277-0333</t>
  </si>
  <si>
    <t>Fairfield Inn &amp; Suites DuBois</t>
  </si>
  <si>
    <t xml:space="preserve">2219 Bee Line Highway </t>
  </si>
  <si>
    <t>Du Bois</t>
  </si>
  <si>
    <t>Corey Babbit</t>
  </si>
  <si>
    <t>+1(814)371-2260</t>
  </si>
  <si>
    <t>Fairfield Inn &amp; Suites Duluth</t>
  </si>
  <si>
    <t xml:space="preserve">3570 Breckinridge Boulevard </t>
  </si>
  <si>
    <t>Natasha Grey</t>
  </si>
  <si>
    <t>+(678) 924-1023</t>
  </si>
  <si>
    <t>Fairfield Inn &amp; Suites Duncan</t>
  </si>
  <si>
    <t xml:space="preserve">149 Rogers Bridge Road </t>
  </si>
  <si>
    <t>Duncan</t>
  </si>
  <si>
    <t>Darla McKinney</t>
  </si>
  <si>
    <t>+1 (864) 642-2150</t>
  </si>
  <si>
    <t>Fairfield Inn &amp; Suites Durham</t>
  </si>
  <si>
    <t xml:space="preserve">7807 Leonardo Drive </t>
  </si>
  <si>
    <t>Jeff Horne</t>
  </si>
  <si>
    <t>+1 (919) 806-8200</t>
  </si>
  <si>
    <t>Fairfield Inn &amp; Suites East Syracuse</t>
  </si>
  <si>
    <t xml:space="preserve">6593 Weighlock Drive </t>
  </si>
  <si>
    <t>E Syracuse</t>
  </si>
  <si>
    <t>Amy Newfield</t>
  </si>
  <si>
    <t>Tonya Sweet</t>
  </si>
  <si>
    <t>+1 (315) 433-2777</t>
  </si>
  <si>
    <t>Fairfield Inn &amp; Suites Edmonton International Airport</t>
  </si>
  <si>
    <t xml:space="preserve">4545 Airport Perimeter Road </t>
  </si>
  <si>
    <t>T9E 1J5</t>
  </si>
  <si>
    <t>Raj Chollangi</t>
  </si>
  <si>
    <t>+1 (780) 739-2200</t>
  </si>
  <si>
    <t>Fairfield Inn &amp; Suites El Centro</t>
  </si>
  <si>
    <t xml:space="preserve">503 Danenburg Drive </t>
  </si>
  <si>
    <t>Daniela Arellano</t>
  </si>
  <si>
    <t>+1 (760) 353-2600</t>
  </si>
  <si>
    <t>Fairfield Inn &amp; Suites Elkhart</t>
  </si>
  <si>
    <t xml:space="preserve">3501 Plaza Court </t>
  </si>
  <si>
    <t>Tia Todd</t>
  </si>
  <si>
    <t>+1 (574) 970-1688</t>
  </si>
  <si>
    <t>Fairfield Inn &amp; Suites Enterprise</t>
  </si>
  <si>
    <t xml:space="preserve">100 Brabham Drive </t>
  </si>
  <si>
    <t>Enterprise</t>
  </si>
  <si>
    <t>Beverly Woods</t>
  </si>
  <si>
    <t>+1(770) 904-0756</t>
  </si>
  <si>
    <t>Fairfield Inn &amp; Suites Eugene East Springfield</t>
  </si>
  <si>
    <t xml:space="preserve">3003 Franklin Boulevard </t>
  </si>
  <si>
    <t>Fairfield Inn &amp; Suites Fair Oaks Farms</t>
  </si>
  <si>
    <t xml:space="preserve">708 North 600 East </t>
  </si>
  <si>
    <t>Fair Oaks</t>
  </si>
  <si>
    <t>AJ Crites</t>
  </si>
  <si>
    <t>+1(219)394-2100</t>
  </si>
  <si>
    <t>Centurion Hospitality Services LLC</t>
  </si>
  <si>
    <t>Fairfield Inn &amp; Suites Fairmont</t>
  </si>
  <si>
    <t xml:space="preserve">27 Southland Dr. </t>
  </si>
  <si>
    <t>Wendy Anderson</t>
  </si>
  <si>
    <t>+1 (304) 367-9150</t>
  </si>
  <si>
    <t>Fairfield Inn &amp; Suites Fort Pierce</t>
  </si>
  <si>
    <t xml:space="preserve">6502 Metal Drive </t>
  </si>
  <si>
    <t>Fort Pierce</t>
  </si>
  <si>
    <t>Sage Pate</t>
  </si>
  <si>
    <t>+ (772) 462-2900</t>
  </si>
  <si>
    <t>Fairfield Inn &amp; Suites Fort Smith</t>
  </si>
  <si>
    <t xml:space="preserve">7601 Phoenix Ave </t>
  </si>
  <si>
    <t>Tracy O'Bryan</t>
  </si>
  <si>
    <t>+1 (479) 755-3111</t>
  </si>
  <si>
    <t>Fairfield Inn &amp; Suites Fort Wayne</t>
  </si>
  <si>
    <t xml:space="preserve">6021 Lima Rd. </t>
  </si>
  <si>
    <t>Fort Wayne</t>
  </si>
  <si>
    <t>+1 (260) 442-3040</t>
  </si>
  <si>
    <t>Fairfield Inn &amp; Suites Fort Worth</t>
  </si>
  <si>
    <t xml:space="preserve">1010 Houston Street </t>
  </si>
  <si>
    <t>Brandi Ragstar</t>
  </si>
  <si>
    <t>+1 (817) 529-9200</t>
  </si>
  <si>
    <t>DDAK Hospitality LLC</t>
  </si>
  <si>
    <t>Fairfield Inn &amp; Suites Fort Worth Burleson</t>
  </si>
  <si>
    <t xml:space="preserve">201 Pace Alsbury court </t>
  </si>
  <si>
    <t>Arpan Patel</t>
  </si>
  <si>
    <t>Victor Rivera</t>
  </si>
  <si>
    <t>+1 (817) 295-9201</t>
  </si>
  <si>
    <t>Dahsom Hotel Group LLC</t>
  </si>
  <si>
    <t>Fairfield Inn &amp; Suites Fort Worth-Fossil Creek</t>
  </si>
  <si>
    <t xml:space="preserve">3701 Northeast Loop 820 </t>
  </si>
  <si>
    <t>Kim Chong</t>
  </si>
  <si>
    <t>Melissa Randell</t>
  </si>
  <si>
    <t>+1 (817) 232-5700</t>
  </si>
  <si>
    <t>DML Management INC.</t>
  </si>
  <si>
    <t>Fairfield Inn &amp; Suites Frankenmuth</t>
  </si>
  <si>
    <t xml:space="preserve">430 South Main Street </t>
  </si>
  <si>
    <t>Frankenmuth</t>
  </si>
  <si>
    <t>Layne Davis</t>
  </si>
  <si>
    <t>+ (989) 652-5000</t>
  </si>
  <si>
    <t>Fairfield Inn &amp; Suites Fresno North-Shaw Avenue</t>
  </si>
  <si>
    <t xml:space="preserve">1710 West Shaw Ave </t>
  </si>
  <si>
    <t>+1(559) 490-9000</t>
  </si>
  <si>
    <t>Fairfield Inn &amp; Suites Gadsden</t>
  </si>
  <si>
    <t xml:space="preserve">116 Walker Drive </t>
  </si>
  <si>
    <t>Gadsden</t>
  </si>
  <si>
    <t>Joe DeMontigny</t>
  </si>
  <si>
    <t>+ (256) 538-2100</t>
  </si>
  <si>
    <t>Fairfield Inn &amp; Suites Gainesville</t>
  </si>
  <si>
    <t xml:space="preserve">1755 Browns Bridge Road </t>
  </si>
  <si>
    <t>Joshlyn Villa</t>
  </si>
  <si>
    <t>+1 (678) 971-4670</t>
  </si>
  <si>
    <t>Lake City Hotels Inc</t>
  </si>
  <si>
    <t>Fairfield Inn &amp; Suites Gainesville Southwest</t>
  </si>
  <si>
    <t xml:space="preserve">3877 SW 37th Blvd </t>
  </si>
  <si>
    <t>Adam McGovern</t>
  </si>
  <si>
    <t>Vic Patel</t>
  </si>
  <si>
    <t>+1 (352) 745-7777</t>
  </si>
  <si>
    <t>Fairfield Inn &amp; Suites Gaylord</t>
  </si>
  <si>
    <t xml:space="preserve">826 Carpenter Street </t>
  </si>
  <si>
    <t>Gaylord</t>
  </si>
  <si>
    <t>Eileen Tussey</t>
  </si>
  <si>
    <t>+1 (989)448-2967</t>
  </si>
  <si>
    <t>Fairfield Inn &amp; Suites Geneva Finger Lakes</t>
  </si>
  <si>
    <t xml:space="preserve">383 Hamilton Street </t>
  </si>
  <si>
    <t>Gary Cole</t>
  </si>
  <si>
    <t>Steven Laros</t>
  </si>
  <si>
    <t>+1 (315) 789-2900</t>
  </si>
  <si>
    <t>Fairfield Inn &amp; Suites Germantown</t>
  </si>
  <si>
    <t xml:space="preserve">20025 Century Blvd. </t>
  </si>
  <si>
    <t>Cindy Rivas</t>
  </si>
  <si>
    <t>+1 (301) 916-0750</t>
  </si>
  <si>
    <t>Fairfield Inn &amp; Suites Glendale</t>
  </si>
  <si>
    <t xml:space="preserve">7035 North Port Washington Road </t>
  </si>
  <si>
    <t>+1 (414) 446-5900</t>
  </si>
  <si>
    <t>Fairfield Inn &amp; Suites Goshen (IN)</t>
  </si>
  <si>
    <t xml:space="preserve">2110 Keystone Drive </t>
  </si>
  <si>
    <t>Goshen</t>
  </si>
  <si>
    <t>Jennifer Brown</t>
  </si>
  <si>
    <t>+()1 574-538-2027</t>
  </si>
  <si>
    <t>CH Harrisburg LLC.</t>
  </si>
  <si>
    <t>Fairfield Inn &amp; Suites Goshen (NY)</t>
  </si>
  <si>
    <t xml:space="preserve">20 Hatfield Lane </t>
  </si>
  <si>
    <t>Kate Clark</t>
  </si>
  <si>
    <t>+1 (845) 291-1282</t>
  </si>
  <si>
    <t>Fairfield Inn &amp; Suites Grand Mound Centralia</t>
  </si>
  <si>
    <t xml:space="preserve">6223 197th Way SW </t>
  </si>
  <si>
    <t>Heather Shreck</t>
  </si>
  <si>
    <t>Kayla Kuehne</t>
  </si>
  <si>
    <t>+1 (360) 858-5757</t>
  </si>
  <si>
    <t>JAM Hospitality Companies</t>
  </si>
  <si>
    <t>Fairfield Inn &amp; Suites Greensboro Coliseum Area</t>
  </si>
  <si>
    <t xml:space="preserve">3308 Isle Street </t>
  </si>
  <si>
    <t>Susan Welch</t>
  </si>
  <si>
    <t>+1 (336) 235-4002</t>
  </si>
  <si>
    <t>WeCare Hotels LLC</t>
  </si>
  <si>
    <t>Fairfield Inn &amp; Suites Greensboro Wendover</t>
  </si>
  <si>
    <t xml:space="preserve">4308 Big Tree Way </t>
  </si>
  <si>
    <t>Robin Boze</t>
  </si>
  <si>
    <t>+1 (336) 369-1300</t>
  </si>
  <si>
    <t>Fairfield Inn &amp; Suites Harrisburg International Airport</t>
  </si>
  <si>
    <t xml:space="preserve">4 Terminal Drive </t>
  </si>
  <si>
    <t>Middeltown</t>
  </si>
  <si>
    <t>Mark Burnett</t>
  </si>
  <si>
    <t>Wesley Jordan</t>
  </si>
  <si>
    <t>+1 (717) 944-1361</t>
  </si>
  <si>
    <t>Fairfield Inn &amp; Suites Harrisonburg</t>
  </si>
  <si>
    <t xml:space="preserve">1946 Medical Ave. </t>
  </si>
  <si>
    <t>Franita Coleman</t>
  </si>
  <si>
    <t>+1 (540) 433-9333</t>
  </si>
  <si>
    <t xml:space="preserve">Fairfield Inn &amp; Suites Hattiesburg </t>
  </si>
  <si>
    <t xml:space="preserve">173 Thornhill Drive </t>
  </si>
  <si>
    <t>Reno Jones</t>
  </si>
  <si>
    <t>+ (601) 296-7777</t>
  </si>
  <si>
    <t>Fairfield Inn &amp; Suites Hazleton</t>
  </si>
  <si>
    <t xml:space="preserve">1 Woodbine Street </t>
  </si>
  <si>
    <t>Melissa Lindsey</t>
  </si>
  <si>
    <t>+1 (570) 453-0300</t>
  </si>
  <si>
    <t>Fairfield Inn &amp; Suites High Point Archdale</t>
  </si>
  <si>
    <t xml:space="preserve">10141 North Main Street </t>
  </si>
  <si>
    <t>Archdale</t>
  </si>
  <si>
    <t>+1 (336) 434-0055</t>
  </si>
  <si>
    <t>Fairfield Inn &amp; Suites Hope Hull</t>
  </si>
  <si>
    <t xml:space="preserve">7560 Mobil Highway </t>
  </si>
  <si>
    <t>Hope Hull</t>
  </si>
  <si>
    <t>Ron Jenkins</t>
  </si>
  <si>
    <t>Tori Bagby</t>
  </si>
  <si>
    <t>+1 (334) 281-6882</t>
  </si>
  <si>
    <t>Fairfield Inn &amp; Suites Houston Intercontinental Airport</t>
  </si>
  <si>
    <t xml:space="preserve">4025 Interwood North Parkway </t>
  </si>
  <si>
    <t>Brian Cooper</t>
  </si>
  <si>
    <t>+1 (281) 227-3434</t>
  </si>
  <si>
    <t>Fairfield Inn &amp; Suites Houston League City</t>
  </si>
  <si>
    <t xml:space="preserve">1144 Pinnacle Park Drive </t>
  </si>
  <si>
    <t>League City</t>
  </si>
  <si>
    <t>Tarell Calvin</t>
  </si>
  <si>
    <t>+1 (281) 967 8490</t>
  </si>
  <si>
    <t>Fairfield Inn &amp; Suites Houston Pasadena</t>
  </si>
  <si>
    <t xml:space="preserve">3640 East Sam Houston Parkway South </t>
  </si>
  <si>
    <t>Natalie Nunez</t>
  </si>
  <si>
    <t>Fairfield Inn &amp; Suites Huntingdon</t>
  </si>
  <si>
    <t xml:space="preserve">9970 Shaner Boulevard </t>
  </si>
  <si>
    <t>Huntingdon</t>
  </si>
  <si>
    <t>Dustin Shriner</t>
  </si>
  <si>
    <t>+ (814) 643-3672</t>
  </si>
  <si>
    <t>Fairfield Inn &amp; Suites Indianapolis Airport</t>
  </si>
  <si>
    <t xml:space="preserve">5220 West Southern Avenue </t>
  </si>
  <si>
    <t>Douglas Scott</t>
  </si>
  <si>
    <t>Ebony Robinson</t>
  </si>
  <si>
    <t>+1 (317) 244-1600</t>
  </si>
  <si>
    <t>Fairfield Inn &amp; Suites Indianapolis Downtown</t>
  </si>
  <si>
    <t xml:space="preserve">501 West Washington Street </t>
  </si>
  <si>
    <t>Jeff Wagner</t>
  </si>
  <si>
    <t>Kimberly Soria</t>
  </si>
  <si>
    <t>+1 (317) 636-7678</t>
  </si>
  <si>
    <t>Fairfield Inn &amp; Suites Indianapolis NW</t>
  </si>
  <si>
    <t xml:space="preserve">5905 West 86th Street </t>
  </si>
  <si>
    <t>Ricky Hence</t>
  </si>
  <si>
    <t>+1 (317) 228-9300</t>
  </si>
  <si>
    <t>Fairfield Inn &amp; Suites Ithaca</t>
  </si>
  <si>
    <t xml:space="preserve">359 Elmira Road </t>
  </si>
  <si>
    <t>Patti Demont</t>
  </si>
  <si>
    <t>+1 (607) 277-1000</t>
  </si>
  <si>
    <t>Fairfield Inn &amp; Suites Jacksonville Airport</t>
  </si>
  <si>
    <t xml:space="preserve">1300 Airport Road </t>
  </si>
  <si>
    <t>Robert Tillman</t>
  </si>
  <si>
    <t>+ (904) 741-3500</t>
  </si>
  <si>
    <t>Fairfield Inn &amp; Suites Jacksonville Beach</t>
  </si>
  <si>
    <t xml:space="preserve">1616 N First St </t>
  </si>
  <si>
    <t>Angela Talbot</t>
  </si>
  <si>
    <t>Michael Hitt</t>
  </si>
  <si>
    <t>+1 (904) 435-0100</t>
  </si>
  <si>
    <t>Fairfield Inn &amp; Suites Johnson City</t>
  </si>
  <si>
    <t xml:space="preserve">3078 Hamilton Place </t>
  </si>
  <si>
    <t>Brandy Crawford</t>
  </si>
  <si>
    <t>+1(423)900-8640</t>
  </si>
  <si>
    <t>Kansas Hospitality Management Service LLC</t>
  </si>
  <si>
    <t>Fairfield Inn &amp; Suites Kansas City Belton</t>
  </si>
  <si>
    <t xml:space="preserve">151 North Mullen Road </t>
  </si>
  <si>
    <t>Belton</t>
  </si>
  <si>
    <t>Sonal Bhakta</t>
  </si>
  <si>
    <t>+1 (816) 946-6250</t>
  </si>
  <si>
    <t>Fairfield Inn &amp; Suites Kansas City Leavenworth</t>
  </si>
  <si>
    <t xml:space="preserve">1101 North 4th Street </t>
  </si>
  <si>
    <t>Danny La Gore</t>
  </si>
  <si>
    <t>Patty Welch</t>
  </si>
  <si>
    <t>+(913)758-9303</t>
  </si>
  <si>
    <t>Fairfield Inn &amp; Suites Keene Downtown</t>
  </si>
  <si>
    <t xml:space="preserve">30 Main Street </t>
  </si>
  <si>
    <t>Tucker Olmstead</t>
  </si>
  <si>
    <t>+1 (603) 357-7070</t>
  </si>
  <si>
    <t>Fairfield Inn &amp; Suites Kennett Square Brandywine Valley</t>
  </si>
  <si>
    <t xml:space="preserve">719 East Baltimore Pike </t>
  </si>
  <si>
    <t>Kennett Square</t>
  </si>
  <si>
    <t>Berin Basol</t>
  </si>
  <si>
    <t>+1 (610) 444-8995</t>
  </si>
  <si>
    <t>Fairfield Inn &amp; Suites Kenosha Pleasant Prairie</t>
  </si>
  <si>
    <t xml:space="preserve">10601 120th Avenue </t>
  </si>
  <si>
    <t>Nadia Rodriguez</t>
  </si>
  <si>
    <t>+1 (262) 455-7795</t>
  </si>
  <si>
    <t>Fairfield Inn &amp; Suites Klamath Falls</t>
  </si>
  <si>
    <t xml:space="preserve">460 Timbermill Drive </t>
  </si>
  <si>
    <t>+1 (541) 205-4800</t>
  </si>
  <si>
    <t>Fairfield Inn &amp; Suites Knoxville West</t>
  </si>
  <si>
    <t xml:space="preserve">11763 Snyder Road </t>
  </si>
  <si>
    <t>Farragut</t>
  </si>
  <si>
    <t>Trent Walker</t>
  </si>
  <si>
    <t>+1 (865) 392-1122</t>
  </si>
  <si>
    <t>Fairfield Inn &amp; Suites Kodak</t>
  </si>
  <si>
    <t xml:space="preserve">3620 Outdoor Sportsman Place </t>
  </si>
  <si>
    <t>Lori VanPrice</t>
  </si>
  <si>
    <t>+1 (865) 933-3033</t>
  </si>
  <si>
    <t>La Crosse WI Hotel LLC</t>
  </si>
  <si>
    <t>Fairfield Inn &amp; Suites La Crosse Downtown</t>
  </si>
  <si>
    <t xml:space="preserve">434 3rd Street South </t>
  </si>
  <si>
    <t>La Crosse</t>
  </si>
  <si>
    <t>Arman Handal</t>
  </si>
  <si>
    <t>Mariam Wright-Hall</t>
  </si>
  <si>
    <t>+1 (608) 782-1491</t>
  </si>
  <si>
    <t>Fairfield Inn &amp; Suites Lake Geneva</t>
  </si>
  <si>
    <t xml:space="preserve">1111 North Edwards Boulevard </t>
  </si>
  <si>
    <t>Tina Fierros</t>
  </si>
  <si>
    <t>+1(262)348-9000</t>
  </si>
  <si>
    <t>Fairfield Inn &amp; Suites Lakeland Plant City</t>
  </si>
  <si>
    <t xml:space="preserve">4307 Sterling Commerce Drive </t>
  </si>
  <si>
    <t>James Patterson</t>
  </si>
  <si>
    <t>Oana Stoian</t>
  </si>
  <si>
    <t>+ (813) 757-6202</t>
  </si>
  <si>
    <t>Fairfield Inn &amp; Suites Lancaster East</t>
  </si>
  <si>
    <t xml:space="preserve">2270 Lincoln Highway East </t>
  </si>
  <si>
    <t>Lisa Hanson</t>
  </si>
  <si>
    <t>+1(717)295-9100</t>
  </si>
  <si>
    <t>Fairfield Inn &amp; Suites Lansing Eastwood</t>
  </si>
  <si>
    <t xml:space="preserve">3320 Preyde Boulevard </t>
  </si>
  <si>
    <t>Carrie Jewett</t>
  </si>
  <si>
    <t>Chris Godfrey</t>
  </si>
  <si>
    <t>+1(517)374-6500</t>
  </si>
  <si>
    <t>Fairfield Inn &amp; Suites LaPlace</t>
  </si>
  <si>
    <t xml:space="preserve">944 Belle Terre Boulevard </t>
  </si>
  <si>
    <t>LaPlace</t>
  </si>
  <si>
    <t>Leanne Leon</t>
  </si>
  <si>
    <t>+1(985)359-2000</t>
  </si>
  <si>
    <t>Fairfield Inn &amp; Suites Laramie</t>
  </si>
  <si>
    <t xml:space="preserve">1673 Centennial Drive </t>
  </si>
  <si>
    <t>Bosler</t>
  </si>
  <si>
    <t>Damaris Peil</t>
  </si>
  <si>
    <t>+1 (307) 460-2100</t>
  </si>
  <si>
    <t>Fairfield Inn &amp; Suites Laredo</t>
  </si>
  <si>
    <t xml:space="preserve">700 West Hillside Road </t>
  </si>
  <si>
    <t>Daniela Hernandez</t>
  </si>
  <si>
    <t>+1 (956) 722-4533</t>
  </si>
  <si>
    <t>Fairfield Inn &amp; Suites Las Vegas Airport South (Dual Property)</t>
  </si>
  <si>
    <t xml:space="preserve">355 East Warm Springs Road </t>
  </si>
  <si>
    <t>+1 (702) 916-2101</t>
  </si>
  <si>
    <t>Fairfield Inn &amp; Suites Las Vegas Northwest</t>
  </si>
  <si>
    <t xml:space="preserve">5701 Sky Point Drive North </t>
  </si>
  <si>
    <t>+1 (702) 466-1021</t>
  </si>
  <si>
    <t>Fairfield Inn &amp; Suites Lawton</t>
  </si>
  <si>
    <t xml:space="preserve">201 SE 7th St </t>
  </si>
  <si>
    <t>Lawton</t>
  </si>
  <si>
    <t>Jessicca Sandifer</t>
  </si>
  <si>
    <t>+1 (580) 248-5500</t>
  </si>
  <si>
    <t>Fairfield Inn &amp; Suites Lebanon</t>
  </si>
  <si>
    <t xml:space="preserve">1145 Franklin Road </t>
  </si>
  <si>
    <t>Laura Rowney</t>
  </si>
  <si>
    <t>+1 (615) 470-2224</t>
  </si>
  <si>
    <t>Fairfield Inn &amp; Suites Lexington</t>
  </si>
  <si>
    <t xml:space="preserve">2100 Hackney Place </t>
  </si>
  <si>
    <t>Keith Marr</t>
  </si>
  <si>
    <t>+1 (859) 977-5870</t>
  </si>
  <si>
    <t>Fairfield Inn &amp; Suites Livingston Yellowstone</t>
  </si>
  <si>
    <t xml:space="preserve">1629 West Park Street </t>
  </si>
  <si>
    <t>Kelly Baker</t>
  </si>
  <si>
    <t>+1 (406) 222-4914</t>
  </si>
  <si>
    <t>Fairfield Inn &amp; Suites Lock Haven</t>
  </si>
  <si>
    <t xml:space="preserve">50 Spring Street </t>
  </si>
  <si>
    <t>Lock Haven</t>
  </si>
  <si>
    <t>Maureen Dunn</t>
  </si>
  <si>
    <t>+ (570) 748-1580</t>
  </si>
  <si>
    <t>Fairfield Inn &amp; Suites Louisville</t>
  </si>
  <si>
    <t xml:space="preserve">1220 Kentucky Mills Dr. </t>
  </si>
  <si>
    <t>Mike McVay</t>
  </si>
  <si>
    <t>+1 (502) 240-6171</t>
  </si>
  <si>
    <t>Fairfield Inn &amp; Suites Louisville Downtown</t>
  </si>
  <si>
    <t xml:space="preserve">100 East Jefferson Street </t>
  </si>
  <si>
    <t>Stephen Burke</t>
  </si>
  <si>
    <t>+ (502) 569-3553</t>
  </si>
  <si>
    <t>Fairfield Inn &amp; Suites Louisville Jeffersonville</t>
  </si>
  <si>
    <t xml:space="preserve">3000 Gottbrath Parkway </t>
  </si>
  <si>
    <t>Chris Nokes</t>
  </si>
  <si>
    <t>+1(812) 913-1610</t>
  </si>
  <si>
    <t>Fairfield Inn &amp; Suites Louisville Northeast</t>
  </si>
  <si>
    <t xml:space="preserve">10110 Champion Farms Drive </t>
  </si>
  <si>
    <t>Angela Kretzer</t>
  </si>
  <si>
    <t>+1(502)637-1200</t>
  </si>
  <si>
    <t>Fairfield Inn &amp; Suites Lubbock Southwest</t>
  </si>
  <si>
    <t xml:space="preserve">6435 50th Street </t>
  </si>
  <si>
    <t>Shannon Harrison</t>
  </si>
  <si>
    <t>Christopher Harrison</t>
  </si>
  <si>
    <t>+1(806) 993-9000</t>
  </si>
  <si>
    <t>Fairfield Inn &amp; Suites Lynchburg Liberty University</t>
  </si>
  <si>
    <t xml:space="preserve">3777 Candlers Mountain Road </t>
  </si>
  <si>
    <t>Brad Goodale</t>
  </si>
  <si>
    <t>+1 (434) 845-1700</t>
  </si>
  <si>
    <t>Fairfield Inn &amp; Suites Macon</t>
  </si>
  <si>
    <t xml:space="preserve">4035 Sheraton Drive </t>
  </si>
  <si>
    <t>Connie Bainum</t>
  </si>
  <si>
    <t>+1 (478) 738-9007</t>
  </si>
  <si>
    <t>Fairfield Inn &amp; Suites Madison East</t>
  </si>
  <si>
    <t xml:space="preserve">2702 Crossroads Dr. </t>
  </si>
  <si>
    <t>+1(608) 661-2700</t>
  </si>
  <si>
    <t xml:space="preserve">Fairfield Inn &amp; Suites Marianna </t>
  </si>
  <si>
    <t xml:space="preserve">4966 Whitetail Drive </t>
  </si>
  <si>
    <t>+1 (850) 482-0012</t>
  </si>
  <si>
    <t>Fairfield Inn &amp; Suites Marietta</t>
  </si>
  <si>
    <t xml:space="preserve">200 CHERRY TREE LANE </t>
  </si>
  <si>
    <t>Brithly Coleman</t>
  </si>
  <si>
    <t>Jessica Newlen</t>
  </si>
  <si>
    <t>+1 (740) 374-3000</t>
  </si>
  <si>
    <t>Fairfield Inn &amp; Suites Marshall</t>
  </si>
  <si>
    <t xml:space="preserve">105 Interstate 20 West </t>
  </si>
  <si>
    <t>Marshall</t>
  </si>
  <si>
    <t>Taylor Handley</t>
  </si>
  <si>
    <t>+1 (903) 938-7666</t>
  </si>
  <si>
    <t>Fairfield Inn &amp; Suites Martinsburg</t>
  </si>
  <si>
    <t xml:space="preserve">451 Foxcroft Avenue </t>
  </si>
  <si>
    <t>Martinsburg</t>
  </si>
  <si>
    <t>+1 (304) 901-3003</t>
  </si>
  <si>
    <t>Fairfield Inn &amp; Suites Memphis Olive Branch</t>
  </si>
  <si>
    <t xml:space="preserve">7044 Hacks Cross Road </t>
  </si>
  <si>
    <t>OLIVE BRANCH</t>
  </si>
  <si>
    <t>Blake Teague</t>
  </si>
  <si>
    <t>Shaquille Cornelious</t>
  </si>
  <si>
    <t>+1 (662) 892-4469</t>
  </si>
  <si>
    <t>Desarrollo de Activos S. de R.L. de C.V.</t>
  </si>
  <si>
    <t>Fairfield Inn &amp; Suites Mexicali</t>
  </si>
  <si>
    <t>Calzada Manuel Gomez Morin 856 Colonia Rivera</t>
  </si>
  <si>
    <t>Jose Luis Reyna</t>
  </si>
  <si>
    <t>Jesus Enrique Corella</t>
  </si>
  <si>
    <t>+52 (686) 214-3350</t>
  </si>
  <si>
    <t>Fairfield Inn &amp; Suites Mexico City Vallejo</t>
  </si>
  <si>
    <t>Fairfield Inn &amp; Suites Miami NW - Doral</t>
  </si>
  <si>
    <t xml:space="preserve">8051 NW 36 Street </t>
  </si>
  <si>
    <t>Sandra Rojas</t>
  </si>
  <si>
    <t>+(786)753-6010</t>
  </si>
  <si>
    <t>Fairfield Inn &amp; Suites Midland</t>
  </si>
  <si>
    <t xml:space="preserve">506 East Buttles Street </t>
  </si>
  <si>
    <t>Michael Smith</t>
  </si>
  <si>
    <t>+1(989)631-7100</t>
  </si>
  <si>
    <t>Fairfield Inn &amp; Suites Milwaukee Brookfield</t>
  </si>
  <si>
    <t xml:space="preserve">135 Discovery Drive </t>
  </si>
  <si>
    <t>Chai Jung</t>
  </si>
  <si>
    <t>+()2622054450</t>
  </si>
  <si>
    <t>Fairfield Inn &amp; Suites Minneapolis North/Blaine</t>
  </si>
  <si>
    <t xml:space="preserve">10643 Baltimore Street NE </t>
  </si>
  <si>
    <t>Blaine</t>
  </si>
  <si>
    <t>Ashley Brown</t>
  </si>
  <si>
    <t>+1 (763) 285-4766</t>
  </si>
  <si>
    <t>Fairfield Inn &amp; Suites Minneapolis Shakopee</t>
  </si>
  <si>
    <t xml:space="preserve">4600 12th Avenue East </t>
  </si>
  <si>
    <t>Shakopee</t>
  </si>
  <si>
    <t>Abigail Wulff</t>
  </si>
  <si>
    <t>Nicole Chalmers</t>
  </si>
  <si>
    <t>+1(612) 248-1685</t>
  </si>
  <si>
    <t>Fairfield Inn &amp; Suites Moab</t>
  </si>
  <si>
    <t xml:space="preserve">1863 North Highway 191 </t>
  </si>
  <si>
    <t>Jill Berliner</t>
  </si>
  <si>
    <t>Dan Applegate</t>
  </si>
  <si>
    <t>+1 (435) 259-5350</t>
  </si>
  <si>
    <t>Fairfield Inn &amp; Suites Mobile Daphne - Eastern Shore</t>
  </si>
  <si>
    <t xml:space="preserve">12000 Cypress Way </t>
  </si>
  <si>
    <t>Spanish Fort</t>
  </si>
  <si>
    <t xml:space="preserve">Melissa Corbin </t>
  </si>
  <si>
    <t>Shannon Collins</t>
  </si>
  <si>
    <t>+1 (251) 370-1160</t>
  </si>
  <si>
    <t>Fairfield Inn &amp; Suites Mobile Saraland</t>
  </si>
  <si>
    <t xml:space="preserve">2950 Township Boulevard </t>
  </si>
  <si>
    <t>Rainey Burkett</t>
  </si>
  <si>
    <t>+(251) 406-8572</t>
  </si>
  <si>
    <t>Fairfield Inn &amp; Suites Moses Lake</t>
  </si>
  <si>
    <t xml:space="preserve">2380 South Maiers Road </t>
  </si>
  <si>
    <t>Moses Lake</t>
  </si>
  <si>
    <t>Nadine Gurule</t>
  </si>
  <si>
    <t>+1 (509) 765-0500</t>
  </si>
  <si>
    <t>Fairfield Inn &amp; Suites Nampa</t>
  </si>
  <si>
    <t xml:space="preserve">16150 N Merchant Way </t>
  </si>
  <si>
    <t>Nampa</t>
  </si>
  <si>
    <t>Scott Terry</t>
  </si>
  <si>
    <t>+1 (208) 467-5888</t>
  </si>
  <si>
    <t>Fairfield Inn &amp; Suites Natchitoches</t>
  </si>
  <si>
    <t xml:space="preserve">150 Hayes Avenue </t>
  </si>
  <si>
    <t>Natchitoches</t>
  </si>
  <si>
    <t>Angela Mitchell</t>
  </si>
  <si>
    <t>+1 (318) 354 8007</t>
  </si>
  <si>
    <t>Fairfield Inn &amp; Suites New Buffalo</t>
  </si>
  <si>
    <t xml:space="preserve">11400 Holiday Drive </t>
  </si>
  <si>
    <t>NEW BUFFALO</t>
  </si>
  <si>
    <t>Denise Sutherland</t>
  </si>
  <si>
    <t>+ (269) 586-2222</t>
  </si>
  <si>
    <t>Fairfield Inn &amp; Suites New Castle</t>
  </si>
  <si>
    <t xml:space="preserve">2117 North DuPont Highway </t>
  </si>
  <si>
    <t>Dhruv Jani</t>
  </si>
  <si>
    <t>+(302)777-4700</t>
  </si>
  <si>
    <t>Fairfield Inn &amp; Suites New Orleans Metairie</t>
  </si>
  <si>
    <t xml:space="preserve">2710 Severn Avenue </t>
  </si>
  <si>
    <t>Brandie Euper</t>
  </si>
  <si>
    <t>Tricia Vise</t>
  </si>
  <si>
    <t>+1 (504) 619-9700</t>
  </si>
  <si>
    <t>Brooklyn Hospitality 181 LLC</t>
  </si>
  <si>
    <t>Fairfield Inn &amp; Suites New York Brooklyn</t>
  </si>
  <si>
    <t xml:space="preserve">181 3rd Avenue </t>
  </si>
  <si>
    <t>Stephanie Vidal</t>
  </si>
  <si>
    <t>+1(718)522-4000</t>
  </si>
  <si>
    <t>Fairfield Inn &amp; Suites New York Manhattan/Times Square 36th St.</t>
  </si>
  <si>
    <t xml:space="preserve">338 West 36th Street </t>
  </si>
  <si>
    <t>Kevin Catrambone</t>
  </si>
  <si>
    <t>+()212-216-9110</t>
  </si>
  <si>
    <t>Fairfield Inn &amp; Suites Nogales</t>
  </si>
  <si>
    <t xml:space="preserve">Boulevard El Greco 45 Calle Arcadias </t>
  </si>
  <si>
    <t>Graciela Garcia</t>
  </si>
  <si>
    <t>+()52 631-6906700</t>
  </si>
  <si>
    <t>Fairfield Inn &amp; Suites North Charleston</t>
  </si>
  <si>
    <t xml:space="preserve">2600 Elms Center Drive </t>
  </si>
  <si>
    <t>Andrea Nicholson</t>
  </si>
  <si>
    <t>Dawn Wells</t>
  </si>
  <si>
    <t>+1 (843) 414-2700</t>
  </si>
  <si>
    <t>Fairfield Inn &amp; Suites Omaha (OMA)</t>
  </si>
  <si>
    <t xml:space="preserve">1501 Nicholas St. </t>
  </si>
  <si>
    <t>Christina Gilliland</t>
  </si>
  <si>
    <t>+1 (402) 280-1516</t>
  </si>
  <si>
    <t>Fairfield Inn &amp; Suites Orange Beach</t>
  </si>
  <si>
    <t xml:space="preserve">3111 Loop Road </t>
  </si>
  <si>
    <t>Jill Malone</t>
  </si>
  <si>
    <t>+ (1) 251-543-4444</t>
  </si>
  <si>
    <t>Fairfield Inn &amp; Suites Orlando at SeaWorld</t>
  </si>
  <si>
    <t xml:space="preserve">10815 International Drive </t>
  </si>
  <si>
    <t>Jerry Robinson</t>
  </si>
  <si>
    <t>Alex Bonilla</t>
  </si>
  <si>
    <t>+ (407)354-1139</t>
  </si>
  <si>
    <t>Fairfield Inn &amp; Suites Orlando East UCF Area</t>
  </si>
  <si>
    <t xml:space="preserve">3420 Lake Lynda Drive </t>
  </si>
  <si>
    <t>David Wittish</t>
  </si>
  <si>
    <t>+(407)270-6480</t>
  </si>
  <si>
    <t>Fairfield Inn &amp; Suites Orlando Kissimmee Celebration</t>
  </si>
  <si>
    <t xml:space="preserve">6073 West Irlo Bronson Memorial Highway </t>
  </si>
  <si>
    <t>Lisette Chalker</t>
  </si>
  <si>
    <t>+1 (407) 390-1532</t>
  </si>
  <si>
    <t>Fairfield Inn &amp; Suites Ottawa Starved Rock</t>
  </si>
  <si>
    <t xml:space="preserve">3000 Fairfield Lane </t>
  </si>
  <si>
    <t>Debbie Carson</t>
  </si>
  <si>
    <t>+ 1 (815) 431-8955</t>
  </si>
  <si>
    <t>Fairfield Inn &amp; Suites Paramus Park</t>
  </si>
  <si>
    <t xml:space="preserve">601 From Road </t>
  </si>
  <si>
    <t>Maureen Moran</t>
  </si>
  <si>
    <t>+ (201) 262-6900</t>
  </si>
  <si>
    <t>Fairfield Inn &amp; Suites Peoria East (PEF)</t>
  </si>
  <si>
    <t xml:space="preserve">200 Eastlight Court </t>
  </si>
  <si>
    <t>Alexis Oliver</t>
  </si>
  <si>
    <t>+1 (309) 699-4100</t>
  </si>
  <si>
    <t>IAWL MANAGEMENT LLC</t>
  </si>
  <si>
    <t>Fairfield Inn &amp; Suites Philadelphia Broomall</t>
  </si>
  <si>
    <t xml:space="preserve">100 Lawrence Road </t>
  </si>
  <si>
    <t>Broomall</t>
  </si>
  <si>
    <t>Andy McLoughlin</t>
  </si>
  <si>
    <t>+1 (610) 355-2335</t>
  </si>
  <si>
    <t>World Travel Inns/MLEM Properties INC.</t>
  </si>
  <si>
    <t>Fairfield Inn &amp; Suites Phoenix Tempe Airport</t>
  </si>
  <si>
    <t xml:space="preserve">2222 South Priest Drive </t>
  </si>
  <si>
    <t>Tim O'Regan</t>
  </si>
  <si>
    <t>+1(480) 967-7161</t>
  </si>
  <si>
    <t>Fairfield Inn &amp; Suites Phoenix West - Tolleson</t>
  </si>
  <si>
    <t xml:space="preserve">9033 West McDowell Road </t>
  </si>
  <si>
    <t>Nicholas Valenzuela</t>
  </si>
  <si>
    <t>+1(623)936-6603</t>
  </si>
  <si>
    <t>Fairfield Inn &amp; Suites Pigeon Forge</t>
  </si>
  <si>
    <t xml:space="preserve">2445 Teaster Lane </t>
  </si>
  <si>
    <t>Samantha DeLuca</t>
  </si>
  <si>
    <t>David Duda</t>
  </si>
  <si>
    <t>+()1 865-409-5999</t>
  </si>
  <si>
    <t>Fairfield Inn &amp; Suites Poplar Bluff</t>
  </si>
  <si>
    <t xml:space="preserve">3109 Oak Grove </t>
  </si>
  <si>
    <t>Poplar Bluff</t>
  </si>
  <si>
    <t>Tammy Killian</t>
  </si>
  <si>
    <t>+1 (573) 250-7020</t>
  </si>
  <si>
    <t>Fairfield Inn &amp; Suites Port Clinton</t>
  </si>
  <si>
    <t xml:space="preserve">1811 East Perry Street </t>
  </si>
  <si>
    <t>Ali Chapman</t>
  </si>
  <si>
    <t>+1(419)732-0007</t>
  </si>
  <si>
    <t>Fairfield Inn &amp; Suites Portland West Beaverton</t>
  </si>
  <si>
    <t xml:space="preserve">15583 NW Gateway Court </t>
  </si>
  <si>
    <t>Hori Toya</t>
  </si>
  <si>
    <t>+ (503) 972-0048</t>
  </si>
  <si>
    <t>Fairfield Inn &amp; Suites Potomac Mills Woodbridge</t>
  </si>
  <si>
    <t xml:space="preserve">2610 Prince William Parkway </t>
  </si>
  <si>
    <t>Aliya Javed</t>
  </si>
  <si>
    <t>+1 (703) 497-4000</t>
  </si>
  <si>
    <t>Fairfield Inn &amp; Suites Provo Orem</t>
  </si>
  <si>
    <t xml:space="preserve">901 North 1200 West </t>
  </si>
  <si>
    <t>Orem</t>
  </si>
  <si>
    <t>Brian Larsen</t>
  </si>
  <si>
    <t>+1 (801) 225-9009</t>
  </si>
  <si>
    <t>Fairfield Inn &amp; Suites Queretaro Jiriquilla</t>
  </si>
  <si>
    <t xml:space="preserve">Av Paseo de la Republica y Fray Junipero Serra </t>
  </si>
  <si>
    <t>+52(55)1102-1168</t>
  </si>
  <si>
    <t>The Focus Properties Inc.</t>
  </si>
  <si>
    <t>Fairfield Inn &amp; Suites Raleigh Airport RTP</t>
  </si>
  <si>
    <t xml:space="preserve">2750 Slater Road </t>
  </si>
  <si>
    <t>Veronica Swetland</t>
  </si>
  <si>
    <t>+1 (919) 468-2660</t>
  </si>
  <si>
    <t>Fairfield Inn &amp; Suites Raleigh-Crabtree Valley</t>
  </si>
  <si>
    <t xml:space="preserve">2201 Summit Park Lane </t>
  </si>
  <si>
    <t>+ (919) 881-9800</t>
  </si>
  <si>
    <t>Fairfield Inn &amp; Suites Reading Wyomissing</t>
  </si>
  <si>
    <t xml:space="preserve">21 Meridian Boulevard </t>
  </si>
  <si>
    <t>Jeff Witmer</t>
  </si>
  <si>
    <t>Mathew Sech</t>
  </si>
  <si>
    <t>+1 (610) 376-4400</t>
  </si>
  <si>
    <t>Fairfield Inn &amp; Suites Redding</t>
  </si>
  <si>
    <t xml:space="preserve">5164 Caterpillar Road </t>
  </si>
  <si>
    <t>Redding</t>
  </si>
  <si>
    <t>Lacy Coleman</t>
  </si>
  <si>
    <t>+1 (530) 243-3200</t>
  </si>
  <si>
    <t>Fairfield Inn &amp; Suites Reno Sparks</t>
  </si>
  <si>
    <t xml:space="preserve">2085 Brierly Way </t>
  </si>
  <si>
    <t>Sparks</t>
  </si>
  <si>
    <t>Larry Cardarelli</t>
  </si>
  <si>
    <t>Chelsey Orlando</t>
  </si>
  <si>
    <t>+1 (775) 355-7700</t>
  </si>
  <si>
    <t>Fairfield Inn &amp; Suites Richmond Airport</t>
  </si>
  <si>
    <t xml:space="preserve">5252 Airport Square Lane </t>
  </si>
  <si>
    <t>David Cassell</t>
  </si>
  <si>
    <t>+1(804) 226-1100</t>
  </si>
  <si>
    <t>Fairfield Inn &amp; Suites Richmond West</t>
  </si>
  <si>
    <t xml:space="preserve">150 North Pinetta Drive </t>
  </si>
  <si>
    <t>Greg Havener</t>
  </si>
  <si>
    <t>Ravi Patel</t>
  </si>
  <si>
    <t>+1(804)447-8326</t>
  </si>
  <si>
    <t>Intrepid Hospitality Inc.</t>
  </si>
  <si>
    <t>Fairfield Inn &amp; Suites Rockport</t>
  </si>
  <si>
    <t xml:space="preserve">2950 Business Hwy 35N </t>
  </si>
  <si>
    <t>Rockport</t>
  </si>
  <si>
    <t>Ian Hughes</t>
  </si>
  <si>
    <t>Jatin Bhakta</t>
  </si>
  <si>
    <t>+1(361)727-9007</t>
  </si>
  <si>
    <t>Fairfield Inn &amp; Suites Rohnert Park</t>
  </si>
  <si>
    <t xml:space="preserve">405 Martin Avenue </t>
  </si>
  <si>
    <t>+1(707) 796-7500</t>
  </si>
  <si>
    <t>Kilpatrick Investments LLC</t>
  </si>
  <si>
    <t>Fairfield Inn &amp; Suites Ruston</t>
  </si>
  <si>
    <t xml:space="preserve">1707 Roberta Avenue </t>
  </si>
  <si>
    <t>Claire Givens</t>
  </si>
  <si>
    <t>+1 (318) 251-9800</t>
  </si>
  <si>
    <t>Fairfield Inn &amp; Suites Sacramento Folsom</t>
  </si>
  <si>
    <t xml:space="preserve">1755 Cavitt Drive </t>
  </si>
  <si>
    <t>Matt Willis</t>
  </si>
  <si>
    <t>+1 (916) 984-0100</t>
  </si>
  <si>
    <t>Fairfield Inn &amp; Suites Saint Louis Saint Charles</t>
  </si>
  <si>
    <t xml:space="preserve">801 Veterans Memorial Parkway </t>
  </si>
  <si>
    <t>Angela McDonald</t>
  </si>
  <si>
    <t>+1 (636) 946-1900</t>
  </si>
  <si>
    <t>Fairfield Inn &amp; Suites San Antonio AP at Nstar</t>
  </si>
  <si>
    <t xml:space="preserve">88 Loop 410 NE </t>
  </si>
  <si>
    <t>Joshua Rodriguez</t>
  </si>
  <si>
    <t>+ (210) 530-9899</t>
  </si>
  <si>
    <t>HGP Hospitality</t>
  </si>
  <si>
    <t>Fairfield Inn &amp; Suites San Antonio Downtown</t>
  </si>
  <si>
    <t xml:space="preserve">422 Bonham St. </t>
  </si>
  <si>
    <t>John Corona</t>
  </si>
  <si>
    <t>+1 (210) 212-6262</t>
  </si>
  <si>
    <t>Fairfield Inn &amp; Suites San Jose North/Silicon Valley</t>
  </si>
  <si>
    <t xml:space="preserve">656 America Center Court </t>
  </si>
  <si>
    <t>Josh Howard</t>
  </si>
  <si>
    <t>+1(408)758-9550</t>
  </si>
  <si>
    <t>Fairfield Inn &amp; Suites Sandusky</t>
  </si>
  <si>
    <t xml:space="preserve">6220 Milan Road </t>
  </si>
  <si>
    <t>Sandusky</t>
  </si>
  <si>
    <t>Connie Cummings</t>
  </si>
  <si>
    <t>+1 (419) 621-9500</t>
  </si>
  <si>
    <t>Fairfield Inn &amp; Suites Sarasota-Lakewood Ranch</t>
  </si>
  <si>
    <t xml:space="preserve">6105 Exchange Way </t>
  </si>
  <si>
    <t>Jesse Dussault</t>
  </si>
  <si>
    <t>+1 (941) 552-4000</t>
  </si>
  <si>
    <t>Fairfield Inn &amp; Suites Savannah</t>
  </si>
  <si>
    <t xml:space="preserve">17027 Abercorn Street </t>
  </si>
  <si>
    <t>Jennie Linares</t>
  </si>
  <si>
    <t>+1 (912) 925-5050</t>
  </si>
  <si>
    <t>Fairfield Inn &amp; Suites Savannah Airport</t>
  </si>
  <si>
    <t xml:space="preserve">10 Stephen S. Green Drive </t>
  </si>
  <si>
    <t>Tracy Boles</t>
  </si>
  <si>
    <t>+1 (912) 965-9777</t>
  </si>
  <si>
    <t>Fairfield Inn &amp; Suites Savannah Midtown</t>
  </si>
  <si>
    <t xml:space="preserve">5801 Abercorn Street </t>
  </si>
  <si>
    <t xml:space="preserve">David Harrison </t>
  </si>
  <si>
    <t>+1 (912) 298-0800</t>
  </si>
  <si>
    <t>Fairfield Inn &amp; Suites Scottsbluff</t>
  </si>
  <si>
    <t xml:space="preserve">902 Winter Creek Drive </t>
  </si>
  <si>
    <t>Scottsbluff</t>
  </si>
  <si>
    <t>William Jennings</t>
  </si>
  <si>
    <t>+1 (308) 633-3500</t>
  </si>
  <si>
    <t>Fairfield Inn &amp; Suites Selma Kingsburg</t>
  </si>
  <si>
    <t xml:space="preserve">216 Ventura Court </t>
  </si>
  <si>
    <t>Kingsburg</t>
  </si>
  <si>
    <t>Abel Perez</t>
  </si>
  <si>
    <t>Monika Sherburne</t>
  </si>
  <si>
    <t>+1 (559) 897-8840</t>
  </si>
  <si>
    <t>Fairfield Inn &amp; Suites Seymour</t>
  </si>
  <si>
    <t xml:space="preserve">327 North Sandy Creek Dr. </t>
  </si>
  <si>
    <t>Seymour</t>
  </si>
  <si>
    <t>Mastor Johnson</t>
  </si>
  <si>
    <t>Angela Kelly</t>
  </si>
  <si>
    <t>+1 (812) 524-3800</t>
  </si>
  <si>
    <t>Fairfield Inn &amp; Suites Sidney</t>
  </si>
  <si>
    <t xml:space="preserve">889 East Jennifer Lane </t>
  </si>
  <si>
    <t>Sidney</t>
  </si>
  <si>
    <t>Laura Munkvold</t>
  </si>
  <si>
    <t>+1 (308) 254-9000</t>
  </si>
  <si>
    <t>Fairfield Inn &amp; Suites Sierra Vista</t>
  </si>
  <si>
    <t xml:space="preserve">3855 El Mercado Loop </t>
  </si>
  <si>
    <t>Sierra Vista</t>
  </si>
  <si>
    <t>Shawn Wise</t>
  </si>
  <si>
    <t>Eva Boettcher</t>
  </si>
  <si>
    <t>+1 (520) 439-5900</t>
  </si>
  <si>
    <t>Fairfield Inn &amp; Suites Sioux Falls</t>
  </si>
  <si>
    <t xml:space="preserve">4035 Bobhalla Drive </t>
  </si>
  <si>
    <t>Sioux Falls</t>
  </si>
  <si>
    <t>Katie Semmler</t>
  </si>
  <si>
    <t>+1 (605) 339-8997</t>
  </si>
  <si>
    <t>Fairfield Inn &amp; Suites Slippery Rock</t>
  </si>
  <si>
    <t xml:space="preserve">1000 University Parkway </t>
  </si>
  <si>
    <t>Slippery Rock</t>
  </si>
  <si>
    <t>Carol Torvik</t>
  </si>
  <si>
    <t>Rudy Ferraro</t>
  </si>
  <si>
    <t>+1 (724) 406-0535</t>
  </si>
  <si>
    <t>Fairfield Inn &amp; Suites Smithfield</t>
  </si>
  <si>
    <t xml:space="preserve">809 Venture Drive </t>
  </si>
  <si>
    <t>Smithfield</t>
  </si>
  <si>
    <t>Andrenna Collier</t>
  </si>
  <si>
    <t>+(919) 938-0050</t>
  </si>
  <si>
    <t>Fairfield Inn &amp; Suites South Bend at Notre Dame</t>
  </si>
  <si>
    <t xml:space="preserve">1220 East Angela Boulevard </t>
  </si>
  <si>
    <t>Kyle Parker</t>
  </si>
  <si>
    <t>+1 (574) 234-5510</t>
  </si>
  <si>
    <t>Fairfield Inn &amp; Suites South Boston</t>
  </si>
  <si>
    <t xml:space="preserve">1120 Bill Tuck Hwy. </t>
  </si>
  <si>
    <t>South Boston</t>
  </si>
  <si>
    <t>Janet Collins</t>
  </si>
  <si>
    <t>+1 (434) 575-6000</t>
  </si>
  <si>
    <t>Hotel Management Solutions LLC</t>
  </si>
  <si>
    <t>Fairfield Inn &amp; Suites Spokane Downtown</t>
  </si>
  <si>
    <t xml:space="preserve">311 North Riverpoint Boulevard </t>
  </si>
  <si>
    <t>Shannon Draper</t>
  </si>
  <si>
    <t>+ 1 (509) 747-9131</t>
  </si>
  <si>
    <t>Fairfield Inn &amp; Suites Springfield Enfield</t>
  </si>
  <si>
    <t xml:space="preserve">1 Bright Meadow Boulevard </t>
  </si>
  <si>
    <t>Enfield</t>
  </si>
  <si>
    <t>Nikki Ouelette</t>
  </si>
  <si>
    <t>Patricia Hippolyte</t>
  </si>
  <si>
    <t>+1 (860) 741-2211</t>
  </si>
  <si>
    <t>Fairfield Inn &amp; Suites St. Augustine</t>
  </si>
  <si>
    <t xml:space="preserve">305 Outlets Mall Blvd. </t>
  </si>
  <si>
    <t>Thomas Jankowski</t>
  </si>
  <si>
    <t>John Fink</t>
  </si>
  <si>
    <t xml:space="preserve">+ (904) 810-9892 </t>
  </si>
  <si>
    <t>Fairfield Inn &amp; Suites St. Charles</t>
  </si>
  <si>
    <t xml:space="preserve">2096 Bricher Road </t>
  </si>
  <si>
    <t>Scott Carlson</t>
  </si>
  <si>
    <t>Zack Eskridge</t>
  </si>
  <si>
    <t>+1 (630) 845-5500</t>
  </si>
  <si>
    <t>Fairfield Inn &amp; Suites St. John's Newfoundland</t>
  </si>
  <si>
    <t xml:space="preserve">199 Kenmount Road </t>
  </si>
  <si>
    <t xml:space="preserve">St. John's </t>
  </si>
  <si>
    <t>A1B 3P9</t>
  </si>
  <si>
    <t>Ann Marie Reddy</t>
  </si>
  <si>
    <t>Craig Ball</t>
  </si>
  <si>
    <t>+1 (709) 722-5540</t>
  </si>
  <si>
    <t>Fairfield Inn &amp; Suites St. Louis Downtown</t>
  </si>
  <si>
    <t xml:space="preserve">2144 Market Street </t>
  </si>
  <si>
    <t>Janet Filiberto</t>
  </si>
  <si>
    <t>Janice Hasik</t>
  </si>
  <si>
    <t>+1 (314) 499-0100</t>
  </si>
  <si>
    <t>Fairfield Inn &amp; Suites St. Petersburg Clearwater</t>
  </si>
  <si>
    <t xml:space="preserve">3211 Executive Drive </t>
  </si>
  <si>
    <t>+ (727) 572-4400</t>
  </si>
  <si>
    <t>Fairfield Inn &amp; Suites State College</t>
  </si>
  <si>
    <t xml:space="preserve">2215 North Atherton Street </t>
  </si>
  <si>
    <t>State College</t>
  </si>
  <si>
    <t>Mimi Driscoll</t>
  </si>
  <si>
    <t>+ (814) 238-3871</t>
  </si>
  <si>
    <t>Fairfield Inn &amp; Suites Tallahassee</t>
  </si>
  <si>
    <t xml:space="preserve">2997 Apalachee Pkwy </t>
  </si>
  <si>
    <t>Cynette Shannon</t>
  </si>
  <si>
    <t>+1 (850) 210-1210</t>
  </si>
  <si>
    <t>Fairfield Inn &amp; Suites Tampa</t>
  </si>
  <si>
    <t xml:space="preserve">2215 North Lois Avenue </t>
  </si>
  <si>
    <t xml:space="preserve">Sean Harris </t>
  </si>
  <si>
    <t>Janice Stroud</t>
  </si>
  <si>
    <t>+1(813)872-0044</t>
  </si>
  <si>
    <t>Fairfield Inn &amp; Suites Tampa Riverview</t>
  </si>
  <si>
    <t xml:space="preserve">10743 Big Bend Road </t>
  </si>
  <si>
    <t>Christy Atkins</t>
  </si>
  <si>
    <t>Todd Casper</t>
  </si>
  <si>
    <t>+1(813)644-4050</t>
  </si>
  <si>
    <t>Fairfield Inn &amp; Suites Tehachapi</t>
  </si>
  <si>
    <t xml:space="preserve">422 W Tehachapi Blvd </t>
  </si>
  <si>
    <t>+ () 661-822-4800</t>
  </si>
  <si>
    <t>Fairfield Inn &amp; Suites Terrell</t>
  </si>
  <si>
    <t xml:space="preserve">351 Market Center Drive </t>
  </si>
  <si>
    <t>Terrell</t>
  </si>
  <si>
    <t>Kim Shosner</t>
  </si>
  <si>
    <t>+()972-551-3200</t>
  </si>
  <si>
    <t>Fairfield Inn &amp; Suites Texarkana</t>
  </si>
  <si>
    <t xml:space="preserve">4209 Mall Drive </t>
  </si>
  <si>
    <t>Lee Salinas</t>
  </si>
  <si>
    <t>+1 (903) 838-1000</t>
  </si>
  <si>
    <t>Fairfield Inn &amp; Suites Tijuana</t>
  </si>
  <si>
    <t>Boulevard Rodolfo Sanchez Taboada No 10461 Zona Urbana Rio</t>
  </si>
  <si>
    <t>Tijuana</t>
  </si>
  <si>
    <t>Yosep Subias Franco</t>
  </si>
  <si>
    <t>+52 (664) 512-1300</t>
  </si>
  <si>
    <t>Fairfield Inn &amp; Suites Tupelo</t>
  </si>
  <si>
    <t xml:space="preserve">3070 Tom Watson Rd. </t>
  </si>
  <si>
    <t>Saltillo</t>
  </si>
  <si>
    <t>Rahshae Scott</t>
  </si>
  <si>
    <t>+1 (662) 680-6798</t>
  </si>
  <si>
    <t>Fairfield Inn &amp; Suites Tustin Orange County</t>
  </si>
  <si>
    <t xml:space="preserve">15011 Newport Avenue </t>
  </si>
  <si>
    <t>Tustin</t>
  </si>
  <si>
    <t>Karen Lorton</t>
  </si>
  <si>
    <t>Che Sutton</t>
  </si>
  <si>
    <t>+1 (714) 258-9900</t>
  </si>
  <si>
    <t>Fairfield Inn &amp; Suites Twin Falls</t>
  </si>
  <si>
    <t xml:space="preserve">1788 Washington Street North </t>
  </si>
  <si>
    <t>Twin Falls</t>
  </si>
  <si>
    <t>Curtis Hansen</t>
  </si>
  <si>
    <t>Aaron Asher</t>
  </si>
  <si>
    <t>+1 (208) 734-8444</t>
  </si>
  <si>
    <t>Fairfield Inn &amp; Suites Uncasville</t>
  </si>
  <si>
    <t xml:space="preserve">2255 Norwich New London Turnpike </t>
  </si>
  <si>
    <t>Uncasville</t>
  </si>
  <si>
    <t>Lynn Nazarko</t>
  </si>
  <si>
    <t>+1(860) 848-0660</t>
  </si>
  <si>
    <t>Fairfield Inn &amp; Suites Venice</t>
  </si>
  <si>
    <t xml:space="preserve">2935 Executive Drive </t>
  </si>
  <si>
    <t>Kris Karvelis</t>
  </si>
  <si>
    <t>+ (941) 488-4343</t>
  </si>
  <si>
    <t>Fairfield Inn &amp; Suites Villahermosa Tabasco</t>
  </si>
  <si>
    <t xml:space="preserve">Circito Interior Carlos Pillicer Camara </t>
  </si>
  <si>
    <t>+52 (993) 342-8041</t>
  </si>
  <si>
    <t>Fairfield Inn &amp; Suites Virginia Beach Northwest</t>
  </si>
  <si>
    <t xml:space="preserve">5800 Burton Station Road </t>
  </si>
  <si>
    <t>Melissa Perry</t>
  </si>
  <si>
    <t>+(757)363-2901</t>
  </si>
  <si>
    <t>Fairfield Inn &amp; Suites Visalia Tulare</t>
  </si>
  <si>
    <t xml:space="preserve">1225 Hillman St. </t>
  </si>
  <si>
    <t>Tulare</t>
  </si>
  <si>
    <t>Nadia Alcola</t>
  </si>
  <si>
    <t>Mercedes Lopez</t>
  </si>
  <si>
    <t>+1(559)686-4700</t>
  </si>
  <si>
    <t>Fairfield Inn &amp; Suites Waco</t>
  </si>
  <si>
    <t xml:space="preserve">4257 North I-35 </t>
  </si>
  <si>
    <t>Shierly Ucol</t>
  </si>
  <si>
    <t>Dora Varela</t>
  </si>
  <si>
    <t>+1 (254) 412-2535</t>
  </si>
  <si>
    <t>Fairfield Inn &amp; Suites Warner Robins</t>
  </si>
  <si>
    <t xml:space="preserve">221 Margie Drive </t>
  </si>
  <si>
    <t>+1 (478) 953-4200</t>
  </si>
  <si>
    <t>Fairfield Inn &amp; Suites Warsaw</t>
  </si>
  <si>
    <t xml:space="preserve">54 Petro Drive </t>
  </si>
  <si>
    <t>Warsaw</t>
  </si>
  <si>
    <t>Chiquita Lane</t>
  </si>
  <si>
    <t>+(574)385-2700</t>
  </si>
  <si>
    <t>Fairfield Inn &amp; Suites Washington DC</t>
  </si>
  <si>
    <t xml:space="preserve">500 H STREET NW </t>
  </si>
  <si>
    <t>Ebony Moore</t>
  </si>
  <si>
    <t>+1 (202) 289-5959</t>
  </si>
  <si>
    <t xml:space="preserve">Fairfield Inn &amp; Suites Waterbury Stowe </t>
  </si>
  <si>
    <t xml:space="preserve">1017 Waterbury-Stowe Road </t>
  </si>
  <si>
    <t>Duxbury</t>
  </si>
  <si>
    <t>Ashley Carr</t>
  </si>
  <si>
    <t>+1 (802) 241-1600</t>
  </si>
  <si>
    <t>Fairfield Inn &amp; Suites Waxahachie</t>
  </si>
  <si>
    <t xml:space="preserve">2020 Civic Center Lane </t>
  </si>
  <si>
    <t>Waxahachie</t>
  </si>
  <si>
    <t>Blair Burleson</t>
  </si>
  <si>
    <t>+1 (972) 937-8886</t>
  </si>
  <si>
    <t>Fairfield Inn &amp; Suites Weatherford</t>
  </si>
  <si>
    <t xml:space="preserve">175 Alford Drive </t>
  </si>
  <si>
    <t>Weatherford</t>
  </si>
  <si>
    <t>Nadia Ray</t>
  </si>
  <si>
    <t>Stacie Hamby</t>
  </si>
  <si>
    <t>+ (817) 599-4040</t>
  </si>
  <si>
    <t>Fairfield Inn &amp; Suites Wellington West Palm Beach</t>
  </si>
  <si>
    <t xml:space="preserve">10616 Forest Hill Boulevard </t>
  </si>
  <si>
    <t>Wellington</t>
  </si>
  <si>
    <t>Elizabeth Kelleher</t>
  </si>
  <si>
    <t>+(561)408-5990</t>
  </si>
  <si>
    <t>Fairfield Inn &amp; Suites Wichita East</t>
  </si>
  <si>
    <t xml:space="preserve">417 South Webb Road </t>
  </si>
  <si>
    <t>+1 (316) 685-3777</t>
  </si>
  <si>
    <t>Fairfield Inn &amp; Suites Wilkes-Barre Scranton</t>
  </si>
  <si>
    <t xml:space="preserve">884 Kidder Street </t>
  </si>
  <si>
    <t>Wilkes-Barre</t>
  </si>
  <si>
    <t>Lois Graham</t>
  </si>
  <si>
    <t>+1 (570) 208-4455</t>
  </si>
  <si>
    <t>Fairfield Inn &amp; Suites Wilmington</t>
  </si>
  <si>
    <t xml:space="preserve">307 Eastwood Dr. </t>
  </si>
  <si>
    <t>Brian Elliott</t>
  </si>
  <si>
    <t>+1 (910) 791-8082</t>
  </si>
  <si>
    <t>Fairfield Inn &amp; Suites Winston Salem</t>
  </si>
  <si>
    <t xml:space="preserve">125 South Main Street </t>
  </si>
  <si>
    <t>Winston-Salem</t>
  </si>
  <si>
    <t>Laura Hilario</t>
  </si>
  <si>
    <t>+1 (336)-714-2800</t>
  </si>
  <si>
    <t>Fairfield Inn &amp; Suites Wisconsin Dells</t>
  </si>
  <si>
    <t xml:space="preserve">511 Wisconsin Dells Parkway </t>
  </si>
  <si>
    <t>Wisconsin Dells</t>
  </si>
  <si>
    <t>Sara Remlinger</t>
  </si>
  <si>
    <t>Robert Zelinski</t>
  </si>
  <si>
    <t>+1 (608) 678-2676</t>
  </si>
  <si>
    <t>Fairfield Inn &amp; Suites Woodbridge-Avenel</t>
  </si>
  <si>
    <t xml:space="preserve">1295 Route 1 South </t>
  </si>
  <si>
    <t>Trinidad Mercado</t>
  </si>
  <si>
    <t>+1 (732) 396-9700</t>
  </si>
  <si>
    <t>Lot 6 Group LLC</t>
  </si>
  <si>
    <t>Fairfield Inn &amp; Suites Yakima</t>
  </si>
  <si>
    <t xml:space="preserve">137 North Fair Avenue </t>
  </si>
  <si>
    <t>Jeren Franks</t>
  </si>
  <si>
    <t>+1 (509) 452-3100</t>
  </si>
  <si>
    <t>Fairfield Inn Anaheim Disneyland</t>
  </si>
  <si>
    <t xml:space="preserve">1460 South Harbor Boulevard </t>
  </si>
  <si>
    <t>(714) 772-6777</t>
  </si>
  <si>
    <t>Fairfield Inn and Suites Boston Cambridge</t>
  </si>
  <si>
    <t xml:space="preserve">215 Monsignor O’Brian Highway </t>
  </si>
  <si>
    <t>+(617)621-1999</t>
  </si>
  <si>
    <t>Fairfield Inn and Suites Delray Beach</t>
  </si>
  <si>
    <t xml:space="preserve">910 West Atlantic Boulevard </t>
  </si>
  <si>
    <t>Heath Beckett</t>
  </si>
  <si>
    <t>+1 (561) 279-2900</t>
  </si>
  <si>
    <t>Fairfield Inn and Suites Fayetteville North</t>
  </si>
  <si>
    <t xml:space="preserve">4249 Ramsey Street </t>
  </si>
  <si>
    <t>Adam Collier</t>
  </si>
  <si>
    <t>+1 (910) 223-7867</t>
  </si>
  <si>
    <t>Fairfield Inn and Suites Meridian</t>
  </si>
  <si>
    <t xml:space="preserve">800 15th Court East </t>
  </si>
  <si>
    <t>Tanneasha Camel</t>
  </si>
  <si>
    <t>Marty Baylor</t>
  </si>
  <si>
    <t>+1 (601) 453-3851</t>
  </si>
  <si>
    <t>Fairfield Inn and Suites Nashville Downtown The Gulch</t>
  </si>
  <si>
    <t xml:space="preserve">901 Division Street </t>
  </si>
  <si>
    <t>Barry Volkers</t>
  </si>
  <si>
    <t>Chris Moody</t>
  </si>
  <si>
    <t>+1 (615) 690-1740</t>
  </si>
  <si>
    <t>Fairfield Inn and Suites Rochester East</t>
  </si>
  <si>
    <t xml:space="preserve">915 Hard Road </t>
  </si>
  <si>
    <t>Webster</t>
  </si>
  <si>
    <t>Maris Morse</t>
  </si>
  <si>
    <t>+ (585) 671-1500</t>
  </si>
  <si>
    <t>Fairfield Inn and Suites Towanda</t>
  </si>
  <si>
    <t xml:space="preserve">1248 Golden Mile Road </t>
  </si>
  <si>
    <t>Towanda</t>
  </si>
  <si>
    <t>Marquise Brown</t>
  </si>
  <si>
    <t>Megan Vannoy</t>
  </si>
  <si>
    <t>+(570) 265-5553</t>
  </si>
  <si>
    <t>CHRG Manager LLC</t>
  </si>
  <si>
    <t>Fairfield Inn Ann Arbor</t>
  </si>
  <si>
    <t xml:space="preserve">3285 Boardwalk Drive </t>
  </si>
  <si>
    <t>Jennifer McMicken</t>
  </si>
  <si>
    <t>Michelle Boprie</t>
  </si>
  <si>
    <t>+1 (734) 995-5200</t>
  </si>
  <si>
    <t>Fairfield Inn Arlington</t>
  </si>
  <si>
    <t xml:space="preserve">2500 East Lamar Boulevard </t>
  </si>
  <si>
    <t>Scott Hankins</t>
  </si>
  <si>
    <t>+ (817) 649-5800</t>
  </si>
  <si>
    <t>Fairfield Inn Austin North</t>
  </si>
  <si>
    <t xml:space="preserve">13087 Research Boulevard </t>
  </si>
  <si>
    <t>Cory Armer</t>
  </si>
  <si>
    <t>+ () 512-258-4100</t>
  </si>
  <si>
    <t>Fairfield Inn Belleville</t>
  </si>
  <si>
    <t xml:space="preserve">407 North Front Street </t>
  </si>
  <si>
    <t>K8P 3C8</t>
  </si>
  <si>
    <t>Ashley Plews</t>
  </si>
  <si>
    <t>Maria Doucet</t>
  </si>
  <si>
    <t>+1 (613) 962-9211</t>
  </si>
  <si>
    <t>Fairfield Inn Bethlehem</t>
  </si>
  <si>
    <t xml:space="preserve">2140 Motel Drive </t>
  </si>
  <si>
    <t>Jeff Moore</t>
  </si>
  <si>
    <t>+ (610) 867-8681</t>
  </si>
  <si>
    <t>Fairfield Inn Bloomington</t>
  </si>
  <si>
    <t xml:space="preserve">120 Fairfield Drive </t>
  </si>
  <si>
    <t>Zachary Richardson</t>
  </si>
  <si>
    <t>Janis Richardson</t>
  </si>
  <si>
    <t>+ (812) 331-1122</t>
  </si>
  <si>
    <t>Fairfield Inn Boston Sudbury</t>
  </si>
  <si>
    <t xml:space="preserve">738 Boston Post Road </t>
  </si>
  <si>
    <t>Billie-Sue Hutchins</t>
  </si>
  <si>
    <t>+1 (978) 443-2223</t>
  </si>
  <si>
    <t>Fairfield Inn Charlotte Northlake</t>
  </si>
  <si>
    <t xml:space="preserve">9230 Harris Corners Parkway </t>
  </si>
  <si>
    <t>Ellen Hayes</t>
  </si>
  <si>
    <t>Julie Andrews</t>
  </si>
  <si>
    <t>+ (704) 509-0123</t>
  </si>
  <si>
    <t xml:space="preserve">Fairfield Inn Columbia </t>
  </si>
  <si>
    <t xml:space="preserve">320 Columbiana Drive </t>
  </si>
  <si>
    <t>Bargo Patel</t>
  </si>
  <si>
    <t>+ (803) 732-4436</t>
  </si>
  <si>
    <t>Fairfield Inn Coralville</t>
  </si>
  <si>
    <t xml:space="preserve">650 Coral Ridge Avenue </t>
  </si>
  <si>
    <t>Cassandra Rule</t>
  </si>
  <si>
    <t>Pinank Kumar</t>
  </si>
  <si>
    <t>+1 (319) 333-7711</t>
  </si>
  <si>
    <t>Fairfield Inn Cumberland</t>
  </si>
  <si>
    <t xml:space="preserve">21 North Wineow Street </t>
  </si>
  <si>
    <t>Cumberland</t>
  </si>
  <si>
    <t>Jennifer Taylor</t>
  </si>
  <si>
    <t>+1 (301) 722-0340</t>
  </si>
  <si>
    <t>Fairfield Inn Denver Tower Rd</t>
  </si>
  <si>
    <t xml:space="preserve">6851 Tower Road </t>
  </si>
  <si>
    <t>Kelsey Ferris</t>
  </si>
  <si>
    <t>Therra Irey</t>
  </si>
  <si>
    <t>+ (303) 576-9640</t>
  </si>
  <si>
    <t>Fairfield Inn Dothan</t>
  </si>
  <si>
    <t xml:space="preserve">3038 Ross Clark Circle SW </t>
  </si>
  <si>
    <t>Cierra Gaskin</t>
  </si>
  <si>
    <t>+ (334) 671-0100</t>
  </si>
  <si>
    <t>Fairfield Inn Evansville West</t>
  </si>
  <si>
    <t xml:space="preserve">5400 Weston Road </t>
  </si>
  <si>
    <t>Eric Lightner</t>
  </si>
  <si>
    <t>+1 (812) 429-0900</t>
  </si>
  <si>
    <t>Fairfield Inn Fayetteville</t>
  </si>
  <si>
    <t xml:space="preserve">755 East Van Asche Drive </t>
  </si>
  <si>
    <t>Wheeler</t>
  </si>
  <si>
    <t>Dawn Stookey</t>
  </si>
  <si>
    <t>Dion Honnell</t>
  </si>
  <si>
    <t>+()479)551-9270</t>
  </si>
  <si>
    <t>Associated Hospitality Services</t>
  </si>
  <si>
    <t>Fairfield Inn Fayetteville I-95</t>
  </si>
  <si>
    <t xml:space="preserve">1925 Cedar Creek Road </t>
  </si>
  <si>
    <t>Susan Ray</t>
  </si>
  <si>
    <t>+ (910) 433-2666</t>
  </si>
  <si>
    <t>Fairfield Inn Fenton</t>
  </si>
  <si>
    <t xml:space="preserve">1680 Fenton Business Park Court </t>
  </si>
  <si>
    <t>Fenton</t>
  </si>
  <si>
    <t>Brandis Rawls</t>
  </si>
  <si>
    <t>Eric Marsh</t>
  </si>
  <si>
    <t>+ (636) 305-1500</t>
  </si>
  <si>
    <t>Fairfield Inn Flushing NY LGA</t>
  </si>
  <si>
    <t xml:space="preserve">28-66 College Point Boulevard </t>
  </si>
  <si>
    <t>Amr Saad</t>
  </si>
  <si>
    <t>+(718)888-9979</t>
  </si>
  <si>
    <t>Fairfield Inn Fort Myers</t>
  </si>
  <si>
    <t xml:space="preserve">7090 Cypress Terrace </t>
  </si>
  <si>
    <t>Hassel Adkins</t>
  </si>
  <si>
    <t>Zuleima Silva Montanez</t>
  </si>
  <si>
    <t>+1 (239) 437-5600</t>
  </si>
  <si>
    <t>Fairfield Inn Frederick</t>
  </si>
  <si>
    <t xml:space="preserve">5220 Westview Drive </t>
  </si>
  <si>
    <t>Amy Dixon</t>
  </si>
  <si>
    <t>Kim Truss</t>
  </si>
  <si>
    <t>+ (301) 631-2000</t>
  </si>
  <si>
    <t xml:space="preserve">Fairfield Inn Gastonia </t>
  </si>
  <si>
    <t xml:space="preserve">1860 Remount Road </t>
  </si>
  <si>
    <t>Nicole Turza</t>
  </si>
  <si>
    <t>Kasandra Berrios</t>
  </si>
  <si>
    <t>+ (704) 867-5073</t>
  </si>
  <si>
    <t>Fairfield Inn Green Bay Southwest</t>
  </si>
  <si>
    <t xml:space="preserve">2850 South Oneida Street </t>
  </si>
  <si>
    <t>Jamie Bumford</t>
  </si>
  <si>
    <t>+1 (920) 497-1010</t>
  </si>
  <si>
    <t>Fairfield Inn Greenville</t>
  </si>
  <si>
    <t xml:space="preserve">48 Fisherman Lane </t>
  </si>
  <si>
    <t>Jennifer Davis</t>
  </si>
  <si>
    <t>Deanna Daughenbaugh</t>
  </si>
  <si>
    <t>+ (864) 234-9916</t>
  </si>
  <si>
    <t>Fairfield Inn Grove City</t>
  </si>
  <si>
    <t xml:space="preserve">1722 Buckeye Place </t>
  </si>
  <si>
    <t>Melea Russell</t>
  </si>
  <si>
    <t>+1 (614) 808-8200</t>
  </si>
  <si>
    <t>Fairfield Inn Hartsville</t>
  </si>
  <si>
    <t xml:space="preserve">200 South 4th St. </t>
  </si>
  <si>
    <t>Kanti Patel</t>
  </si>
  <si>
    <t>+ (843) 332-9898</t>
  </si>
  <si>
    <t>Fairfield Inn Humble</t>
  </si>
  <si>
    <t xml:space="preserve">20525 Highway 59 </t>
  </si>
  <si>
    <t>Monica Garcia</t>
  </si>
  <si>
    <t>Sonya Dyer</t>
  </si>
  <si>
    <t>+ (281) 540-3311</t>
  </si>
  <si>
    <t>Fairfield Inn Jamaica NY</t>
  </si>
  <si>
    <t xml:space="preserve">156-08 Rockaway Blvd. </t>
  </si>
  <si>
    <t>Sheetal Patel</t>
  </si>
  <si>
    <t>+ (718) 977-3300</t>
  </si>
  <si>
    <t>Fairfield Inn Jefferson City</t>
  </si>
  <si>
    <t xml:space="preserve">3621 West Truman Blvd. </t>
  </si>
  <si>
    <t>Aaron Friedewald</t>
  </si>
  <si>
    <t>+ (573) 761-0400</t>
  </si>
  <si>
    <t>Fairfield Inn Kansas City Union Hill</t>
  </si>
  <si>
    <t xml:space="preserve">3001 Main Street </t>
  </si>
  <si>
    <t>Daniel Nowakowski</t>
  </si>
  <si>
    <t>+ (816) 931-5700</t>
  </si>
  <si>
    <t>Fairfield Inn Knoxville East</t>
  </si>
  <si>
    <t xml:space="preserve">1551 Cracker Barrel Lane </t>
  </si>
  <si>
    <t>Haven Gopal</t>
  </si>
  <si>
    <t>+ (865) 971-4033</t>
  </si>
  <si>
    <t>Fairfield Inn KS City Airport</t>
  </si>
  <si>
    <t xml:space="preserve">11820 NW Plaza Circle </t>
  </si>
  <si>
    <t>Christy Dockery</t>
  </si>
  <si>
    <t>+ (816) 464-2424</t>
  </si>
  <si>
    <t>Fairfield Inn KS City Olathe</t>
  </si>
  <si>
    <t xml:space="preserve">12245 South Strang Line Road </t>
  </si>
  <si>
    <t xml:space="preserve">Kaitlyn Larcom </t>
  </si>
  <si>
    <t>Jane Collins</t>
  </si>
  <si>
    <t>+ (913) 768-7000</t>
  </si>
  <si>
    <t>Fairfield Inn Laurel</t>
  </si>
  <si>
    <t xml:space="preserve">13700 Baltimore Avenue </t>
  </si>
  <si>
    <t>Doreen Djan</t>
  </si>
  <si>
    <t>Jason Derr</t>
  </si>
  <si>
    <t>+ (301) 498-8900</t>
  </si>
  <si>
    <t>Fairfield Inn Los Cabos</t>
  </si>
  <si>
    <t xml:space="preserve">Ave. Lazaro Cardenas No. 2709 Colonia Medano </t>
  </si>
  <si>
    <t>Christian Gomez</t>
  </si>
  <si>
    <t>+1 (624) 144-2700</t>
  </si>
  <si>
    <t>Fairfield Inn Loveland</t>
  </si>
  <si>
    <t xml:space="preserve">1710 Foxtrail Drive </t>
  </si>
  <si>
    <t>Cora Shumpert</t>
  </si>
  <si>
    <t>Fairfield Invoices</t>
  </si>
  <si>
    <t>+ (970) 461-1000</t>
  </si>
  <si>
    <t>Fairfield Inn Manchester – Boston Regional Airport</t>
  </si>
  <si>
    <t xml:space="preserve">860 South Porter Street </t>
  </si>
  <si>
    <t>Fiona Blauvelt</t>
  </si>
  <si>
    <t>+1 (603) 625-2020</t>
  </si>
  <si>
    <t>Fairfield Inn McAllen</t>
  </si>
  <si>
    <t xml:space="preserve">2117 South 10th Street </t>
  </si>
  <si>
    <t>+ (956) 971-9444</t>
  </si>
  <si>
    <t>Fairfield Inn Memphis I-240 Perkins</t>
  </si>
  <si>
    <t xml:space="preserve">4760 Showcase Boulevard </t>
  </si>
  <si>
    <t>James Preyer</t>
  </si>
  <si>
    <t>Jeremy Ruperto</t>
  </si>
  <si>
    <t>+1 (901) 795-1900</t>
  </si>
  <si>
    <t>Fairfield Inn Merrillville</t>
  </si>
  <si>
    <t xml:space="preserve">8275 Georgia Street </t>
  </si>
  <si>
    <t>Merrillville</t>
  </si>
  <si>
    <t>Sean Perez</t>
  </si>
  <si>
    <t>+1 (219) 736-0500</t>
  </si>
  <si>
    <t>Fairfield Inn Miami South</t>
  </si>
  <si>
    <t xml:space="preserve">4101 NW 11th Street </t>
  </si>
  <si>
    <t>Dale Nysetvold</t>
  </si>
  <si>
    <t>+1 (786) 456-2100</t>
  </si>
  <si>
    <t>Service Hospitality LLC</t>
  </si>
  <si>
    <t>Fairfield Inn Mobile</t>
  </si>
  <si>
    <t xml:space="preserve">950-A West I-65 Service Rd. S </t>
  </si>
  <si>
    <t>Todd Hagerty</t>
  </si>
  <si>
    <t>+ (251) 316-0029</t>
  </si>
  <si>
    <t>Fairfield Inn Mooresville</t>
  </si>
  <si>
    <t xml:space="preserve">120 Consumer Square Drive </t>
  </si>
  <si>
    <t>Mooresville</t>
  </si>
  <si>
    <t>Kara McConnell</t>
  </si>
  <si>
    <t>+ (704) 663-6100</t>
  </si>
  <si>
    <t>Fairfield Inn Muskegon Norton Shores</t>
  </si>
  <si>
    <t xml:space="preserve">1520 East Mount Garfield Road </t>
  </si>
  <si>
    <t>Muskegon</t>
  </si>
  <si>
    <t>Nick Beardsley</t>
  </si>
  <si>
    <t>Melissa Hall</t>
  </si>
  <si>
    <t>+1 (231) 799-0100</t>
  </si>
  <si>
    <t>Fairfield Inn Myrtle Beach North</t>
  </si>
  <si>
    <t xml:space="preserve">10231 North Kings Hwy (Hwy 17) </t>
  </si>
  <si>
    <t>Joseph Moore</t>
  </si>
  <si>
    <t>+ (843) 361-8000</t>
  </si>
  <si>
    <t>Fairfield Inn Myrtle Beach-Broadway at the Beach</t>
  </si>
  <si>
    <t xml:space="preserve">3150 Oleander </t>
  </si>
  <si>
    <t>Anna Rogers</t>
  </si>
  <si>
    <t>+1 (843) 444-8097</t>
  </si>
  <si>
    <t>Fairfield Inn Nashville Opryland</t>
  </si>
  <si>
    <t xml:space="preserve">211 Music City Circle </t>
  </si>
  <si>
    <t>Candace Allen</t>
  </si>
  <si>
    <t>+1 (615) 872-8939</t>
  </si>
  <si>
    <t>Fairfield Inn New Cumberland</t>
  </si>
  <si>
    <t xml:space="preserve">185 Beacon Hill Road </t>
  </si>
  <si>
    <t>New Cumberland</t>
  </si>
  <si>
    <t>Michael Lamberson</t>
  </si>
  <si>
    <t>+1 (717) 774-0100</t>
  </si>
  <si>
    <t>Fairfield Inn New York</t>
  </si>
  <si>
    <t xml:space="preserve">95 Henry Street </t>
  </si>
  <si>
    <t xml:space="preserve">Amr Saad </t>
  </si>
  <si>
    <t>+(212) 227-0709</t>
  </si>
  <si>
    <t>Fairfield Inn Norman</t>
  </si>
  <si>
    <t xml:space="preserve">301 Norman Center Court </t>
  </si>
  <si>
    <t>+ (405) 447-1661</t>
  </si>
  <si>
    <t>Alliance Investment Orange Park LLC</t>
  </si>
  <si>
    <t xml:space="preserve">Fairfield Inn Orange Park </t>
  </si>
  <si>
    <t xml:space="preserve">450 Eldridge Avenue </t>
  </si>
  <si>
    <t>Orange Park</t>
  </si>
  <si>
    <t>Stephanie Shaw</t>
  </si>
  <si>
    <t>+1 (904) 278-7442</t>
  </si>
  <si>
    <t>Fairfield Inn Orlando Lake Buena Vista In the Village at Little Lake Bryan</t>
  </si>
  <si>
    <t xml:space="preserve">8615 Vineland Avenue </t>
  </si>
  <si>
    <t>John Mccracken</t>
  </si>
  <si>
    <t>(407) 938-9001</t>
  </si>
  <si>
    <t>Fairfield Inn Owensboro</t>
  </si>
  <si>
    <t xml:space="preserve">800 Salem Drive </t>
  </si>
  <si>
    <t>Sofia Mayse</t>
  </si>
  <si>
    <t>Tanya Garcia</t>
  </si>
  <si>
    <t>+ (270) 688-8887</t>
  </si>
  <si>
    <t>Fairfield Inn Pensacola</t>
  </si>
  <si>
    <t xml:space="preserve">7325 North Davis Highway </t>
  </si>
  <si>
    <t>Marla Navarre</t>
  </si>
  <si>
    <t>Rich Cassara</t>
  </si>
  <si>
    <t>+ (850) 484-8001</t>
  </si>
  <si>
    <t>Fairfield Inn Plymouth Middleboro</t>
  </si>
  <si>
    <t>4 Chalet Road st Rte 44</t>
  </si>
  <si>
    <t>Middleboro</t>
  </si>
  <si>
    <t>Courtney Webber</t>
  </si>
  <si>
    <t>+1 (508) 946-4000</t>
  </si>
  <si>
    <t>Fairfield Inn Ponca City</t>
  </si>
  <si>
    <t xml:space="preserve">3405 North 14th Street </t>
  </si>
  <si>
    <t>Ponca City</t>
  </si>
  <si>
    <t>David Eccles</t>
  </si>
  <si>
    <t>+ (580) 765-3000</t>
  </si>
  <si>
    <t>RAK Management Inc.</t>
  </si>
  <si>
    <t>Fairfield Inn Port Huron</t>
  </si>
  <si>
    <t xml:space="preserve">1635 Yeager Street </t>
  </si>
  <si>
    <t>Port Huron</t>
  </si>
  <si>
    <t>Codi Aboutaleb</t>
  </si>
  <si>
    <t>Heather Solomon</t>
  </si>
  <si>
    <t>+1 (810) 982-8500</t>
  </si>
  <si>
    <t>Fairfield Inn Sacramento Cal Expo</t>
  </si>
  <si>
    <t xml:space="preserve">1780 Tribute Road </t>
  </si>
  <si>
    <t>+1 (916) 920-5300</t>
  </si>
  <si>
    <t>Fairfield Inn San Salvador</t>
  </si>
  <si>
    <t>Calle Chilitiupan Centro Comercial La Gran Lote 4-A</t>
  </si>
  <si>
    <t>Antiguo Cuscatlan</t>
  </si>
  <si>
    <t>Marco Quinteros</t>
  </si>
  <si>
    <t>+1 (503) 2529-2200</t>
  </si>
  <si>
    <t>Fairfield Inn Sandusky</t>
  </si>
  <si>
    <t xml:space="preserve">5410 Milan Road </t>
  </si>
  <si>
    <t>Allen Graves</t>
  </si>
  <si>
    <t>+1 (419) 625-7070</t>
  </si>
  <si>
    <t>Fairfield Inn Santa Clarita</t>
  </si>
  <si>
    <t xml:space="preserve">25340 The Old Road </t>
  </si>
  <si>
    <t>Santa Clarita</t>
  </si>
  <si>
    <t>Brad Cleveland</t>
  </si>
  <si>
    <t>+ (661) 290-2828</t>
  </si>
  <si>
    <t>Fairfield Inn Savannah Downtown Historic District</t>
  </si>
  <si>
    <t xml:space="preserve">135 Martin Luther King Jr Boulevard </t>
  </si>
  <si>
    <t>Jeff Barnett</t>
  </si>
  <si>
    <t>+1 (912) 236-1777</t>
  </si>
  <si>
    <t>Fairfield Inn South Newark</t>
  </si>
  <si>
    <t xml:space="preserve">618 Route 1 &amp; 9 </t>
  </si>
  <si>
    <t>Michael Boyle</t>
  </si>
  <si>
    <t>Jesenia Deltoro</t>
  </si>
  <si>
    <t>+ (973) 242-2600</t>
  </si>
  <si>
    <t>Fairfield Inn Tampa Brandon</t>
  </si>
  <si>
    <t xml:space="preserve">10150 Palm River Road </t>
  </si>
  <si>
    <t>+1 (813) 661-9719</t>
  </si>
  <si>
    <t>Fairfield Inn Traverse City</t>
  </si>
  <si>
    <t xml:space="preserve">3701 North Country Drive </t>
  </si>
  <si>
    <t>Traverse City</t>
  </si>
  <si>
    <t>Ric Heller</t>
  </si>
  <si>
    <t>JJ Warren</t>
  </si>
  <si>
    <t>+ (231) 922-7900</t>
  </si>
  <si>
    <t>Fairfield Inn Tuscaloosa</t>
  </si>
  <si>
    <t xml:space="preserve">4101 Courtney Drive </t>
  </si>
  <si>
    <t>Jay White</t>
  </si>
  <si>
    <t>+ (205) 366-0900</t>
  </si>
  <si>
    <t>Fairfield Inn Weirton</t>
  </si>
  <si>
    <t xml:space="preserve">11 Amerihost Drive </t>
  </si>
  <si>
    <t>Weirton</t>
  </si>
  <si>
    <t>Amanda Leasure</t>
  </si>
  <si>
    <t>Barb Barkley</t>
  </si>
  <si>
    <t>+1 (304) 723-0088</t>
  </si>
  <si>
    <t>Fairfield Inn Wilson</t>
  </si>
  <si>
    <t xml:space="preserve">4915 Hayes Place West </t>
  </si>
  <si>
    <t>Lori Hooks</t>
  </si>
  <si>
    <t>+1 (252) 265-5660</t>
  </si>
  <si>
    <t>Oliver Hospitality LLC</t>
  </si>
  <si>
    <t>Fairlane Hotel</t>
  </si>
  <si>
    <t xml:space="preserve">401 Union Street </t>
  </si>
  <si>
    <t>Jeremiah Ranegar</t>
  </si>
  <si>
    <t>Kristin Beringson</t>
  </si>
  <si>
    <t>+1 (615) 988-8511</t>
  </si>
  <si>
    <t>Fairmont Austin Hotel</t>
  </si>
  <si>
    <t xml:space="preserve">101 Red River Street </t>
  </si>
  <si>
    <t>Nenad Praporski</t>
  </si>
  <si>
    <t>Jay Taylor</t>
  </si>
  <si>
    <t>+(512)600-2000</t>
  </si>
  <si>
    <t>Fairmont Century Plaza Los Angeles</t>
  </si>
  <si>
    <t xml:space="preserve">2025 Avenue of the Stars </t>
  </si>
  <si>
    <t>Philip M. Barnes</t>
  </si>
  <si>
    <t>+1 (310) 228-1234</t>
  </si>
  <si>
    <t>Fairmont El San Juan</t>
  </si>
  <si>
    <t xml:space="preserve">6063 Ave Isla Verde </t>
  </si>
  <si>
    <t>Justina Garcia</t>
  </si>
  <si>
    <t>+1 (787) 791-1000</t>
  </si>
  <si>
    <t>Fairmont Grand Del Mar</t>
  </si>
  <si>
    <t xml:space="preserve">5300 Grand Del Mar Court </t>
  </si>
  <si>
    <t>Shawn Cox</t>
  </si>
  <si>
    <t>Poosana Sunnanonta</t>
  </si>
  <si>
    <t>+1(858) 314-2000</t>
  </si>
  <si>
    <t>Fairmont Hotels &amp; Resorts Canada</t>
  </si>
  <si>
    <t>Fairmont Heritage Place - At Nature's Door</t>
  </si>
  <si>
    <t xml:space="preserve">2300 Nordic Drive </t>
  </si>
  <si>
    <t>V0N 1B2</t>
  </si>
  <si>
    <t>+ (604) 966-3300</t>
  </si>
  <si>
    <t>Fairmont Heritage Place Ghirardelli Square</t>
  </si>
  <si>
    <t xml:space="preserve">900 North Point </t>
  </si>
  <si>
    <t>Daniel McClain</t>
  </si>
  <si>
    <t>Aftim Nassar</t>
  </si>
  <si>
    <t>+1 (415) 268-9900</t>
  </si>
  <si>
    <t>Fairmont Heritage Place Inspiration</t>
  </si>
  <si>
    <t xml:space="preserve">8100 Inspiration Drive </t>
  </si>
  <si>
    <t>Miramar Beach</t>
  </si>
  <si>
    <t>+ (850) 269-4500</t>
  </si>
  <si>
    <t>Fairmont Hotel San Francisco</t>
  </si>
  <si>
    <t xml:space="preserve">950 Mason Street </t>
  </si>
  <si>
    <t>+ (415) 772-5000</t>
  </si>
  <si>
    <t>Fairmont Le Chateau Frontenac Resort</t>
  </si>
  <si>
    <t xml:space="preserve">1 rue des Carrieres </t>
  </si>
  <si>
    <t>G1R 4P5</t>
  </si>
  <si>
    <t>Ken Hall</t>
  </si>
  <si>
    <t>Elisa Pescador</t>
  </si>
  <si>
    <t>+ (418) 692-3861</t>
  </si>
  <si>
    <t>Fairmont Le Chateau Laurier</t>
  </si>
  <si>
    <t xml:space="preserve">1 Rideau St </t>
  </si>
  <si>
    <t>K1N 8S7</t>
  </si>
  <si>
    <t>+ (613) 241-1414</t>
  </si>
  <si>
    <t>Fairmont Le Chateau Montebello</t>
  </si>
  <si>
    <t xml:space="preserve">392 rue Notre Dame </t>
  </si>
  <si>
    <t>Montebello</t>
  </si>
  <si>
    <t>J0V 1L0</t>
  </si>
  <si>
    <t>Genevieve Dumas</t>
  </si>
  <si>
    <t>+ (819) 423-6341</t>
  </si>
  <si>
    <t>Fairmont Le Manoir Richelieu</t>
  </si>
  <si>
    <t xml:space="preserve">181 rue Richelieu </t>
  </si>
  <si>
    <t>Pointe au Pic</t>
  </si>
  <si>
    <t>G5A 1X7</t>
  </si>
  <si>
    <t>Jean-Jacques Etcheberrigaray</t>
  </si>
  <si>
    <t>+ (418) 665-3703</t>
  </si>
  <si>
    <t>Fairmont Pacific Rim</t>
  </si>
  <si>
    <t xml:space="preserve">1038 Canada Place </t>
  </si>
  <si>
    <t>V6C 0B9</t>
  </si>
  <si>
    <t>Jens Moesker</t>
  </si>
  <si>
    <t>Charline Leroy</t>
  </si>
  <si>
    <t>+1 (604) 695-5300</t>
  </si>
  <si>
    <t>Fairmont Pittsburgh</t>
  </si>
  <si>
    <t xml:space="preserve">510 Market Street </t>
  </si>
  <si>
    <t>David Sher</t>
  </si>
  <si>
    <t xml:space="preserve">+ (412)391-1033 </t>
  </si>
  <si>
    <t>Fairmont Queen Elizabeth</t>
  </si>
  <si>
    <t xml:space="preserve">900 Rene Levesque Blvd W </t>
  </si>
  <si>
    <t>H3B 4A5</t>
  </si>
  <si>
    <t>David Connor</t>
  </si>
  <si>
    <t>+ (514) 861-3511</t>
  </si>
  <si>
    <t>Fairmont Southampton Princess</t>
  </si>
  <si>
    <t xml:space="preserve">101 South Shore Road </t>
  </si>
  <si>
    <t>Southampton</t>
  </si>
  <si>
    <t>Kiaran MacDonald</t>
  </si>
  <si>
    <t>David Packer</t>
  </si>
  <si>
    <t>+1 (441) 238-8000</t>
  </si>
  <si>
    <t>Fairmont Tremblant</t>
  </si>
  <si>
    <t xml:space="preserve">3045 Chemin de la Chapelle </t>
  </si>
  <si>
    <t>Mont-Tremblant</t>
  </si>
  <si>
    <t>J8E 1E1</t>
  </si>
  <si>
    <t>+ (819) 681-7000</t>
  </si>
  <si>
    <t>Fairmont Washington DC Georgetown</t>
  </si>
  <si>
    <t xml:space="preserve">2401 M Street Northwest </t>
  </si>
  <si>
    <t>Kelly Wilson</t>
  </si>
  <si>
    <t>Mark Huntley</t>
  </si>
  <si>
    <t>+(202)457-5096</t>
  </si>
  <si>
    <t>Fairway Villas Gallery</t>
  </si>
  <si>
    <t xml:space="preserve">500 Fairway Lane </t>
  </si>
  <si>
    <t>Fargo Force - Scheels Arena</t>
  </si>
  <si>
    <t xml:space="preserve">5225 31st Ave. South </t>
  </si>
  <si>
    <t>Frontier</t>
  </si>
  <si>
    <t>STADIUMS/ARENAS</t>
  </si>
  <si>
    <t>Jon Kram</t>
  </si>
  <si>
    <t>+()701-356-7656</t>
  </si>
  <si>
    <t>Irvine Management Company</t>
  </si>
  <si>
    <t>Fashion Island Hotel Newport Beach</t>
  </si>
  <si>
    <t xml:space="preserve">690 Newport Center Dr. </t>
  </si>
  <si>
    <t>Gerard Widder</t>
  </si>
  <si>
    <t>Ed Chutney</t>
  </si>
  <si>
    <t>+ (949) 759-0808</t>
  </si>
  <si>
    <t>FedEx Family House</t>
  </si>
  <si>
    <t xml:space="preserve">918 Poplar Avenue </t>
  </si>
  <si>
    <t>+1 (901) 322-1971</t>
  </si>
  <si>
    <t>FelCor @ Embassy Suites Phoenix Biltmore</t>
  </si>
  <si>
    <t xml:space="preserve">2630 East Camelback Road </t>
  </si>
  <si>
    <t>Joy Grant</t>
  </si>
  <si>
    <t>Zakee Jones</t>
  </si>
  <si>
    <t>+1 (602) 955-3992</t>
  </si>
  <si>
    <t>Firestone Country Club</t>
  </si>
  <si>
    <t xml:space="preserve">452 East Warner Road </t>
  </si>
  <si>
    <t>Brian Mabie</t>
  </si>
  <si>
    <t>Carrie Beier</t>
  </si>
  <si>
    <t>+ (330) 644-8441</t>
  </si>
  <si>
    <t>Firethorne Country Club</t>
  </si>
  <si>
    <t xml:space="preserve">1108 Firethorne Club Drive </t>
  </si>
  <si>
    <t>Marvin</t>
  </si>
  <si>
    <t>Bridget Roberts</t>
  </si>
  <si>
    <t>+1 (704) 243-2433</t>
  </si>
  <si>
    <t>Fitler Club LLC</t>
  </si>
  <si>
    <t>Fitler Club</t>
  </si>
  <si>
    <t xml:space="preserve">2400 Market Street No. 100 </t>
  </si>
  <si>
    <t>Mid City west</t>
  </si>
  <si>
    <t>Jeff David</t>
  </si>
  <si>
    <t>Juan Sanchez</t>
  </si>
  <si>
    <t>+1 (215) 575-9092</t>
  </si>
  <si>
    <t>Flat Creek Country Club</t>
  </si>
  <si>
    <t xml:space="preserve">100 Flat Creek Road </t>
  </si>
  <si>
    <t>January Welch</t>
  </si>
  <si>
    <t>Mark Owen</t>
  </si>
  <si>
    <t>+1 (770) 487-8140</t>
  </si>
  <si>
    <t>Food Glorious Food</t>
  </si>
  <si>
    <t>Chris Brazzle</t>
  </si>
  <si>
    <t>Craig James</t>
  </si>
  <si>
    <t>+ (214) 368-6538</t>
  </si>
  <si>
    <t>Food Glorious Food - Premier Designs</t>
  </si>
  <si>
    <t>Tarrant County Convention Center 1201 Houston Street</t>
  </si>
  <si>
    <t>+1 (1) xxx-xxxx</t>
  </si>
  <si>
    <t>Fords Colony Country Club</t>
  </si>
  <si>
    <t xml:space="preserve">240 Fords Colony Drive </t>
  </si>
  <si>
    <t>Peter Miller</t>
  </si>
  <si>
    <t>+1 (757) 258-4176</t>
  </si>
  <si>
    <t>Forest Dunes Resort</t>
  </si>
  <si>
    <t xml:space="preserve">5511 North Ocean Blvd </t>
  </si>
  <si>
    <t>George Tangela</t>
  </si>
  <si>
    <t>+ (800) 845-7787</t>
  </si>
  <si>
    <t>RDC Forsgate Partners LLC</t>
  </si>
  <si>
    <t>Forsgate Country Club</t>
  </si>
  <si>
    <t xml:space="preserve">375 Forsgate Drive </t>
  </si>
  <si>
    <t>Monroe Township</t>
  </si>
  <si>
    <t>Christopher Schiavone</t>
  </si>
  <si>
    <t>+ (732) 521-0070</t>
  </si>
  <si>
    <t>Fort Lauderdale Marriott Coral Springs Hotel Golf Club &amp; Convention</t>
  </si>
  <si>
    <t xml:space="preserve">11775 Heron Bay Boulevard </t>
  </si>
  <si>
    <t>Coral Springs</t>
  </si>
  <si>
    <t>Jim Kreucher</t>
  </si>
  <si>
    <t>Mark Cherry</t>
  </si>
  <si>
    <t>+ 1 (954) 753-5598</t>
  </si>
  <si>
    <t>Fort St. John Gaming Centre- Chances</t>
  </si>
  <si>
    <t xml:space="preserve">11308 Alaska Road </t>
  </si>
  <si>
    <t>Fort St. John</t>
  </si>
  <si>
    <t>V1J 5T5</t>
  </si>
  <si>
    <t>CASINO: Upscale</t>
  </si>
  <si>
    <t>Leanne Johnson</t>
  </si>
  <si>
    <t>+1 (250) 262-2005</t>
  </si>
  <si>
    <t>Fort St. John Holiday Inn Express</t>
  </si>
  <si>
    <t xml:space="preserve">9504 Alaska Road </t>
  </si>
  <si>
    <t>V1J 6L5</t>
  </si>
  <si>
    <t>Priyanka Singh</t>
  </si>
  <si>
    <t>+1 (250) 787-7737</t>
  </si>
  <si>
    <t>Fort St. John Pomeroy Hotel</t>
  </si>
  <si>
    <t>Gillian Haugen-Koechl</t>
  </si>
  <si>
    <t>Graeme Jenkins</t>
  </si>
  <si>
    <t>+1 (250) 262-3233</t>
  </si>
  <si>
    <t>Fort St. John Pomeroy Inn &amp; Suites</t>
  </si>
  <si>
    <t xml:space="preserve">9320 Alaska Road </t>
  </si>
  <si>
    <t>Eleanor Ryan</t>
  </si>
  <si>
    <t>+1 (250) 262-3030</t>
  </si>
  <si>
    <t>Fort St. John Stonebridge Hotel</t>
  </si>
  <si>
    <t xml:space="preserve">9223 - 100th Street </t>
  </si>
  <si>
    <t>V1J 3X3</t>
  </si>
  <si>
    <t>Priyanka s</t>
  </si>
  <si>
    <t>+1 (250) 263-6880</t>
  </si>
  <si>
    <t>Fort Worth Hilton</t>
  </si>
  <si>
    <t xml:space="preserve">815 Main ST </t>
  </si>
  <si>
    <t>Raul Rodriguez</t>
  </si>
  <si>
    <t>+ (817) 870-2100</t>
  </si>
  <si>
    <t>Fort Worth Zoo</t>
  </si>
  <si>
    <t xml:space="preserve">1989 Colonial Parkway </t>
  </si>
  <si>
    <t>Anthony Zachery</t>
  </si>
  <si>
    <t>Kelley Allred</t>
  </si>
  <si>
    <t>+ (817) 759-7406</t>
  </si>
  <si>
    <t>Found 613 - North Wells Street</t>
  </si>
  <si>
    <t xml:space="preserve">613 North Wells Street </t>
  </si>
  <si>
    <t>Gerard Ryan</t>
  </si>
  <si>
    <t>+1 (818) 929-4042</t>
  </si>
  <si>
    <t>Found Hotel Boston Common</t>
  </si>
  <si>
    <t xml:space="preserve">78 Charles Street </t>
  </si>
  <si>
    <t>Edward Donovan</t>
  </si>
  <si>
    <t>+1(617) 426-6220</t>
  </si>
  <si>
    <t>Found Hotel San Diego</t>
  </si>
  <si>
    <t xml:space="preserve">505 West Grape Street </t>
  </si>
  <si>
    <t>Greg Djinis</t>
  </si>
  <si>
    <t>+1 (619) 230-1600</t>
  </si>
  <si>
    <t>FOUND HOTEL San Francisco - Union Square</t>
  </si>
  <si>
    <t xml:space="preserve">140 Mason Street </t>
  </si>
  <si>
    <t>Joe Michl</t>
  </si>
  <si>
    <t>Four Fathers Brewing Co.</t>
  </si>
  <si>
    <t xml:space="preserve">125 Guelph Avenue </t>
  </si>
  <si>
    <t>N3C 1A5</t>
  </si>
  <si>
    <t>Mike Hruden</t>
  </si>
  <si>
    <t>+1 (519) 658-4434</t>
  </si>
  <si>
    <t>Four Points Appleton</t>
  </si>
  <si>
    <t xml:space="preserve">300 North Mall Drive </t>
  </si>
  <si>
    <t>Gina Louis</t>
  </si>
  <si>
    <t>+1 (920) 257-4111</t>
  </si>
  <si>
    <t>Manhattan Hotel Group LLC</t>
  </si>
  <si>
    <t>Four Points by Sheraton Anaheim</t>
  </si>
  <si>
    <t xml:space="preserve">1221 S Harbor Boulevard </t>
  </si>
  <si>
    <t>Clint Beckett</t>
  </si>
  <si>
    <t>+1 (714) 758-0900</t>
  </si>
  <si>
    <t>Four Points by Sheraton Asheville Downtown</t>
  </si>
  <si>
    <t xml:space="preserve">22 Woodfin Street </t>
  </si>
  <si>
    <t>Anthony Ingle</t>
  </si>
  <si>
    <t>John Zellers</t>
  </si>
  <si>
    <t>+1 (828) 253-1851</t>
  </si>
  <si>
    <t>Four Points by Sheraton at Phoenix Mesa Gateway Airport</t>
  </si>
  <si>
    <t xml:space="preserve">6850 E Williams Field Rd </t>
  </si>
  <si>
    <t>Shannen Desautelle</t>
  </si>
  <si>
    <t>+1(480)579-2100</t>
  </si>
  <si>
    <t>Four Points by Sheraton Charlotte - Lake Norman</t>
  </si>
  <si>
    <t xml:space="preserve">16508 Northcross Drive </t>
  </si>
  <si>
    <t>Tyrone Tindell</t>
  </si>
  <si>
    <t>+1 (704) 766-2500</t>
  </si>
  <si>
    <t>Hotel Sora SA de CV</t>
  </si>
  <si>
    <t xml:space="preserve">Four Points by Sheraton Colonia Roma </t>
  </si>
  <si>
    <t xml:space="preserve">Av. Álvaro Obregón 38 C. U. Benito Juárez </t>
  </si>
  <si>
    <t>Jacqueline Alonso Rodriguez</t>
  </si>
  <si>
    <t>Javier Gomez</t>
  </si>
  <si>
    <t>+()52 55 1085 9500</t>
  </si>
  <si>
    <t>Four Points by Sheraton Coral Gables</t>
  </si>
  <si>
    <t xml:space="preserve">3861 Southwest 40th Street </t>
  </si>
  <si>
    <t>+1 (305) 567-0534</t>
  </si>
  <si>
    <t>Four Points by Sheraton Downtown Seattle Center</t>
  </si>
  <si>
    <t xml:space="preserve">601 Roy Street </t>
  </si>
  <si>
    <t>Yvonne Gilbert</t>
  </si>
  <si>
    <t>+1 (206) 282-2600</t>
  </si>
  <si>
    <t>Four Points by Sheraton Edmonton Gateway</t>
  </si>
  <si>
    <t xml:space="preserve">10010 12 Ave SW </t>
  </si>
  <si>
    <t>T6X 0P9</t>
  </si>
  <si>
    <t>Farid Janmohamed</t>
  </si>
  <si>
    <t>+1(780)801-4000</t>
  </si>
  <si>
    <t>Four Points by Sheraton Edmonton West</t>
  </si>
  <si>
    <t>Four Points by Sheraton Edmundston</t>
  </si>
  <si>
    <t xml:space="preserve">100 Rice Street </t>
  </si>
  <si>
    <t>E3V 1T4</t>
  </si>
  <si>
    <t>+1 (506) 739-7321</t>
  </si>
  <si>
    <t>Four Points by Sheraton Fort Lauderdale Airport</t>
  </si>
  <si>
    <t xml:space="preserve">1900 Stirling Road </t>
  </si>
  <si>
    <t>Dania Beach</t>
  </si>
  <si>
    <t>Jesus Castro</t>
  </si>
  <si>
    <t>+1 (954) 926-7300</t>
  </si>
  <si>
    <t>Springfield L.L.C.</t>
  </si>
  <si>
    <t>Four Points by Sheraton French Quarter</t>
  </si>
  <si>
    <t xml:space="preserve">541 Bourbon Street </t>
  </si>
  <si>
    <t>Beth Ables</t>
  </si>
  <si>
    <t>Jairo Brenes</t>
  </si>
  <si>
    <t>+1 (504) 524-7611</t>
  </si>
  <si>
    <t>Hotel Monterrey S.A. De C.V.</t>
  </si>
  <si>
    <t>Four Points by Sheraton Galerias Monterrey</t>
  </si>
  <si>
    <t xml:space="preserve">Av. Insurgentes No. 3961 Col. Vista Hermosa </t>
  </si>
  <si>
    <t>Monterrey</t>
  </si>
  <si>
    <t>Rolando Girodengo</t>
  </si>
  <si>
    <t>Luis Carlos González</t>
  </si>
  <si>
    <t>+1 (83) 8916 00</t>
  </si>
  <si>
    <t>Four Points by Sheraton Grande Prairie</t>
  </si>
  <si>
    <t xml:space="preserve">6702 106 Street </t>
  </si>
  <si>
    <t>T8W 0K8</t>
  </si>
  <si>
    <t>Kumar Anand</t>
  </si>
  <si>
    <t>+1 (780) 293-1906</t>
  </si>
  <si>
    <t>Four Points by Sheraton Huntsville Airport</t>
  </si>
  <si>
    <t xml:space="preserve">1000 Glenn Hearn BLVD SW </t>
  </si>
  <si>
    <t>Lisa Lightsey</t>
  </si>
  <si>
    <t>Peggy Tiemann</t>
  </si>
  <si>
    <t>+ (256) 772-9661</t>
  </si>
  <si>
    <t>Four Points by Sheraton Jacksonville Baymeadows</t>
  </si>
  <si>
    <t xml:space="preserve">8520 Baymeadows Rd </t>
  </si>
  <si>
    <t>Carrie Gould</t>
  </si>
  <si>
    <t>+1 (904) 562-4920</t>
  </si>
  <si>
    <t>Four Points by Sheraton Jacksonville Beachfront</t>
  </si>
  <si>
    <t xml:space="preserve">11 1st Street North </t>
  </si>
  <si>
    <t>+1 (904) 435-3535</t>
  </si>
  <si>
    <t>Four Points by Sheraton Kansas City Airport</t>
  </si>
  <si>
    <t xml:space="preserve">11832 Northwest Plaza Circle </t>
  </si>
  <si>
    <t>Brad Verkamp</t>
  </si>
  <si>
    <t>Carla Huffman</t>
  </si>
  <si>
    <t>+1 (816) 464-2345</t>
  </si>
  <si>
    <t>Argus Properties Ltd.</t>
  </si>
  <si>
    <t>Four Points by Sheraton Kelowna Airport</t>
  </si>
  <si>
    <t xml:space="preserve">5505 Airport Way </t>
  </si>
  <si>
    <t>V1V 3C3</t>
  </si>
  <si>
    <t>Jason Guyitt</t>
  </si>
  <si>
    <t>+1 (250) 807-7425</t>
  </si>
  <si>
    <t>Four Points by Sheraton Louisville Airport</t>
  </si>
  <si>
    <t xml:space="preserve">2850 Crittenden Drive </t>
  </si>
  <si>
    <t>Annetta Downs</t>
  </si>
  <si>
    <t>+1 (502) 753-5555</t>
  </si>
  <si>
    <t>Four Points by Sheraton Manhattan</t>
  </si>
  <si>
    <t xml:space="preserve">530 Richards Drive </t>
  </si>
  <si>
    <t>Laura Cain</t>
  </si>
  <si>
    <t>+1 (785) 539-5311</t>
  </si>
  <si>
    <t>Four Points by Sheraton Memphis Southwind</t>
  </si>
  <si>
    <t xml:space="preserve">4090 Stansell Court </t>
  </si>
  <si>
    <t>Leslie Mitchell</t>
  </si>
  <si>
    <t>+1 (901) 309-3020</t>
  </si>
  <si>
    <t>Four Points by Sheraton Milwaukee North Shore</t>
  </si>
  <si>
    <t xml:space="preserve">8900 North Kildeer Court </t>
  </si>
  <si>
    <t>Alex Gomez</t>
  </si>
  <si>
    <t>Christian Cooney</t>
  </si>
  <si>
    <t>+1 (414) 357-1601</t>
  </si>
  <si>
    <t xml:space="preserve">Four Points by Sheraton Monterrey Linda Vista </t>
  </si>
  <si>
    <t xml:space="preserve">Av. Miguel Alemán No. 6064 Colonia Torre de Linda </t>
  </si>
  <si>
    <t>Guadalupe</t>
  </si>
  <si>
    <t>Four Points by Sheraton Nashville - Brentwood</t>
  </si>
  <si>
    <t xml:space="preserve">760 Old Hickory Boulevard </t>
  </si>
  <si>
    <t>+1 (615) 964-5500</t>
  </si>
  <si>
    <t>Four Points by Sheraton Newark</t>
  </si>
  <si>
    <t xml:space="preserve">56 South Old Baltimore Pike </t>
  </si>
  <si>
    <t>Madga Torres</t>
  </si>
  <si>
    <t>+1 (302) 266-6600</t>
  </si>
  <si>
    <t>Great Palace LLP</t>
  </si>
  <si>
    <t>Four Points by Sheraton Newburgh Stewart Airport</t>
  </si>
  <si>
    <t xml:space="preserve">5 Lakeside Road </t>
  </si>
  <si>
    <t>Jonathan Lifshutz</t>
  </si>
  <si>
    <t>Joe Fakhoury</t>
  </si>
  <si>
    <t>+1 (845) 567-0567</t>
  </si>
  <si>
    <t>Four Points by Sheraton Omaha Midtown</t>
  </si>
  <si>
    <t xml:space="preserve">330 North 30th Street </t>
  </si>
  <si>
    <t>Tiffani Timbrook</t>
  </si>
  <si>
    <t>+1(402) 916-5129</t>
  </si>
  <si>
    <t>Four Points by Sheraton Philadelphia Airport</t>
  </si>
  <si>
    <t xml:space="preserve">4101A Island Avenue </t>
  </si>
  <si>
    <t>+1(215) 492-0400</t>
  </si>
  <si>
    <t>Four Points by Sheraton Philadelphia Northeast</t>
  </si>
  <si>
    <t xml:space="preserve">9461 Roosevelt Blvd </t>
  </si>
  <si>
    <t>Jack Haggerty</t>
  </si>
  <si>
    <t>+(215)671-9600</t>
  </si>
  <si>
    <t>333 South Service Rd. LLC</t>
  </si>
  <si>
    <t>Four Points by Sheraton Plainview Long Island</t>
  </si>
  <si>
    <t xml:space="preserve">333 South Service Road </t>
  </si>
  <si>
    <t>Plainview</t>
  </si>
  <si>
    <t>Cathy De Lucia</t>
  </si>
  <si>
    <t>+1 (516) 694-6500</t>
  </si>
  <si>
    <t>Four Points by Sheraton Puntacana Village</t>
  </si>
  <si>
    <t>Boulevard 1ero de Noviembre Punta Cana La Altagracia</t>
  </si>
  <si>
    <t>Angelle Marie Estevez Fernande</t>
  </si>
  <si>
    <t>Yarik Rabanales</t>
  </si>
  <si>
    <t>+1 (809) 959-4444</t>
  </si>
  <si>
    <t>Four Points by Sheraton Raleigh Durham Airport</t>
  </si>
  <si>
    <t xml:space="preserve">1200 Claren Circle </t>
  </si>
  <si>
    <t>Tonya Begley</t>
  </si>
  <si>
    <t>+1 (919) 380-1221</t>
  </si>
  <si>
    <t>Four Points by Sheraton San Diego</t>
  </si>
  <si>
    <t xml:space="preserve">8110 Aero Drive </t>
  </si>
  <si>
    <t>Steve Slack</t>
  </si>
  <si>
    <t>+1 (858) 277-8888</t>
  </si>
  <si>
    <t>Four Points by Sheraton Scranton</t>
  </si>
  <si>
    <t xml:space="preserve">300 Meadow Avenue </t>
  </si>
  <si>
    <t>Scranton</t>
  </si>
  <si>
    <t>Cassie Clarkson</t>
  </si>
  <si>
    <t>Dan Harris</t>
  </si>
  <si>
    <t>+1 (570) 344-9811</t>
  </si>
  <si>
    <t>Four Points by Sheraton Sherwood Park</t>
  </si>
  <si>
    <t xml:space="preserve">1005 Provincial Avenue </t>
  </si>
  <si>
    <t>T8H 0Y7</t>
  </si>
  <si>
    <t>+1(780)705-3552</t>
  </si>
  <si>
    <t>Four Points by Sheraton Spartanburg</t>
  </si>
  <si>
    <t xml:space="preserve">9027 Fairforest Road </t>
  </si>
  <si>
    <t>Spartanburg</t>
  </si>
  <si>
    <t>Nicole Gale</t>
  </si>
  <si>
    <t>Jennifer Gauntt</t>
  </si>
  <si>
    <t>+1 (864) 574-2111</t>
  </si>
  <si>
    <t>Argus Road Hospitality Inc.</t>
  </si>
  <si>
    <t>Four Points by Sheraton St. Catharines Niagara Suites</t>
  </si>
  <si>
    <t xml:space="preserve">3530 Schmon Parkway </t>
  </si>
  <si>
    <t>St Catharines</t>
  </si>
  <si>
    <t>L2V 4Y6</t>
  </si>
  <si>
    <t>Ayub Atcha</t>
  </si>
  <si>
    <t>+(905) 984-8484</t>
  </si>
  <si>
    <t>Union Management Company Tallahassee LLC</t>
  </si>
  <si>
    <t>Four Points by Sheraton Tallahassee Downtown</t>
  </si>
  <si>
    <t xml:space="preserve">316 West Tennessee Street </t>
  </si>
  <si>
    <t>Jamilah Stevenson</t>
  </si>
  <si>
    <t>Greg Brown</t>
  </si>
  <si>
    <t>+1 (850) 422-4205</t>
  </si>
  <si>
    <t>Four Points by Sheraton Toronto Airport (Dual Property)</t>
  </si>
  <si>
    <t>+1 (905) 678-1414</t>
  </si>
  <si>
    <t>Four Points by Sheraton Toronto Mississauga</t>
  </si>
  <si>
    <t xml:space="preserve">6090 Dixie Road </t>
  </si>
  <si>
    <t>L5T 1A6</t>
  </si>
  <si>
    <t>Gino Zambito</t>
  </si>
  <si>
    <t>+1 (905) 670-0050</t>
  </si>
  <si>
    <t>Constructora E Inmobiliaria Marylas S.A. de C.V.</t>
  </si>
  <si>
    <t>Four Points by Sheraton Veracruz Mexico</t>
  </si>
  <si>
    <t xml:space="preserve">Calzada Ruiz Cortines No. 1997 5o piso entre Orquideas y Jardines de Virginia </t>
  </si>
  <si>
    <t>Jose Antonio Lastra Faces</t>
  </si>
  <si>
    <t>Marco Antonio Mendoza Riveroll</t>
  </si>
  <si>
    <t>+()2292-76-16-30</t>
  </si>
  <si>
    <t>Four Points by Sheraton Wakefield Boston Hotel &amp; Conference Center</t>
  </si>
  <si>
    <t xml:space="preserve">One Audubon Road </t>
  </si>
  <si>
    <t>Wakefield</t>
  </si>
  <si>
    <t>Steve Merrill</t>
  </si>
  <si>
    <t>Marcy Saunders</t>
  </si>
  <si>
    <t>+1 (781) 245-9300</t>
  </si>
  <si>
    <t>Four Points By Sheraton York</t>
  </si>
  <si>
    <t xml:space="preserve">1650 Toronita Street </t>
  </si>
  <si>
    <t>+1 (717) 846-4940</t>
  </si>
  <si>
    <t>Four Points by Sheraton-Houston</t>
  </si>
  <si>
    <t xml:space="preserve">2828 Southwest Freeway </t>
  </si>
  <si>
    <t>John Robbins</t>
  </si>
  <si>
    <t>+1 (713) 942-2111</t>
  </si>
  <si>
    <t>Four Points Cancun</t>
  </si>
  <si>
    <t xml:space="preserve">Avenida Tulum MZ 1 – Lote 2 - SM 12 </t>
  </si>
  <si>
    <t>Eliane Barradas</t>
  </si>
  <si>
    <t>+(52)(998) 283 0101</t>
  </si>
  <si>
    <t>Four Points Chicago Schaumburg</t>
  </si>
  <si>
    <t xml:space="preserve">1100 East Higgins Road </t>
  </si>
  <si>
    <t>Anne O'Hara</t>
  </si>
  <si>
    <t>+(847) 330-0133</t>
  </si>
  <si>
    <t>Four Points Downtown San Diego</t>
  </si>
  <si>
    <t xml:space="preserve">1617 1st Avenue </t>
  </si>
  <si>
    <t>Nadia Khalil</t>
  </si>
  <si>
    <t>+1 (619) 239-6171</t>
  </si>
  <si>
    <t>Four Points Greensboro Airport</t>
  </si>
  <si>
    <t xml:space="preserve">7619 Thorndike Road </t>
  </si>
  <si>
    <t>Shawn Patel</t>
  </si>
  <si>
    <t>+1 (336) 882-6666</t>
  </si>
  <si>
    <t>Four Points Hotel Eastham</t>
  </si>
  <si>
    <t xml:space="preserve">3800 State Highway </t>
  </si>
  <si>
    <t>Eastham</t>
  </si>
  <si>
    <t>Daniel Connell</t>
  </si>
  <si>
    <t>Denise Haddad</t>
  </si>
  <si>
    <t>+ (508) 255-5000</t>
  </si>
  <si>
    <t>Four Points Peoria Downtown</t>
  </si>
  <si>
    <t>Curt Baker</t>
  </si>
  <si>
    <t>Mark Pilato</t>
  </si>
  <si>
    <t>+1(309)306-3424</t>
  </si>
  <si>
    <t>Four Points San Francisco Airport</t>
  </si>
  <si>
    <t xml:space="preserve">264 South Airport Boulevard </t>
  </si>
  <si>
    <t>Jeffrey Adkins</t>
  </si>
  <si>
    <t>Kristy Barrera</t>
  </si>
  <si>
    <t>+1 (650) 624-3700</t>
  </si>
  <si>
    <t>Four Points Sheraton Allentown Lehigh Valley</t>
  </si>
  <si>
    <t xml:space="preserve">3712 Hamilton Boulevard </t>
  </si>
  <si>
    <t>Het Ghandi</t>
  </si>
  <si>
    <t>+1 (610) 437-9100</t>
  </si>
  <si>
    <t>Pacific Hotel Management LLC</t>
  </si>
  <si>
    <t>Four Points Sheraton Emeryville</t>
  </si>
  <si>
    <t xml:space="preserve">1603 Powell St </t>
  </si>
  <si>
    <t>Emeryville</t>
  </si>
  <si>
    <t>Marion Masood</t>
  </si>
  <si>
    <t>Michelle Sims</t>
  </si>
  <si>
    <t>+ (510) 547-7888</t>
  </si>
  <si>
    <t>Palms Hospitality Management LLC.</t>
  </si>
  <si>
    <t>Four Points Tampa Airport Westshore</t>
  </si>
  <si>
    <t xml:space="preserve">4400 West Cypress Street </t>
  </si>
  <si>
    <t>+ (813) 873-8675</t>
  </si>
  <si>
    <t>Inmobiliaria Nacional Mexicana S. de R.L. de C.V.</t>
  </si>
  <si>
    <t>Four Seasons Hotel Mexico</t>
  </si>
  <si>
    <t>Paseo de la Reforma 500 Col Juarez</t>
  </si>
  <si>
    <t>+(555)230-1818</t>
  </si>
  <si>
    <t>Aviara Residence Club Owner's Association</t>
  </si>
  <si>
    <t>Four Seasons Residence Club Aviara North San Diego</t>
  </si>
  <si>
    <t xml:space="preserve">7210 Blue Heron Place </t>
  </si>
  <si>
    <t xml:space="preserve">Demi Ortega </t>
  </si>
  <si>
    <t>John David</t>
  </si>
  <si>
    <t>+1 (760) 603-3700</t>
  </si>
  <si>
    <t>Four Seasons Resort &amp; Club Dallas at Las Colinas - Company</t>
  </si>
  <si>
    <t>Four Seasons Resort &amp; Club Dallas at Las Colinas</t>
  </si>
  <si>
    <t xml:space="preserve">4150 N MacArthur Blvd </t>
  </si>
  <si>
    <t>Michael Florsheim</t>
  </si>
  <si>
    <t>Dirk Burghartz</t>
  </si>
  <si>
    <t>+1 (972) 717-0700</t>
  </si>
  <si>
    <t>Fox Harb'r Resort Corp</t>
  </si>
  <si>
    <t>Fox Harb'r Resort</t>
  </si>
  <si>
    <t xml:space="preserve">1337 Fox Harbour Road </t>
  </si>
  <si>
    <t>Wallace</t>
  </si>
  <si>
    <t>B0K 1Y0</t>
  </si>
  <si>
    <t>Kevin Toth</t>
  </si>
  <si>
    <t>+1 (902) 257-4311</t>
  </si>
  <si>
    <t>Fox Meadow Country Club</t>
  </si>
  <si>
    <t xml:space="preserve">4260 Fox Meadow Drive </t>
  </si>
  <si>
    <t>Medina</t>
  </si>
  <si>
    <t>44256-7838</t>
  </si>
  <si>
    <t>Rob Smyser</t>
  </si>
  <si>
    <t>JR Hobbs</t>
  </si>
  <si>
    <t>+1 (330) 723-4653</t>
  </si>
  <si>
    <t>Franklin Hotel Chapel Hill</t>
  </si>
  <si>
    <t xml:space="preserve">311 West Franklin Street </t>
  </si>
  <si>
    <t>Wes Rowe</t>
  </si>
  <si>
    <t>+1 (919) 442-9000</t>
  </si>
  <si>
    <t>Franklin Marriott Cool Springs</t>
  </si>
  <si>
    <t xml:space="preserve">700 Cool Springs Blvd </t>
  </si>
  <si>
    <t>Matthew Lahiff</t>
  </si>
  <si>
    <t>+ (615) 261-6100</t>
  </si>
  <si>
    <t>Fredericksburg Inn &amp; Suites</t>
  </si>
  <si>
    <t xml:space="preserve">201 South Washington Street </t>
  </si>
  <si>
    <t>Dwayne Palmer</t>
  </si>
  <si>
    <t>+1 (830) 997-0202</t>
  </si>
  <si>
    <t>Fredericksburg Residence Inn</t>
  </si>
  <si>
    <t xml:space="preserve">60 Towne Centre Blvd </t>
  </si>
  <si>
    <t>Ashley Katsourakis</t>
  </si>
  <si>
    <t>+1 (540) 786-9222</t>
  </si>
  <si>
    <t>George Super TopCo LLC</t>
  </si>
  <si>
    <t>Freehand Chicago</t>
  </si>
  <si>
    <t xml:space="preserve">19 East Ohio Street </t>
  </si>
  <si>
    <t>Jermaine Anderson</t>
  </si>
  <si>
    <t>+1 (312) 940-3699</t>
  </si>
  <si>
    <t>Freehand Los Angeles</t>
  </si>
  <si>
    <t xml:space="preserve">416 West 8th Street </t>
  </si>
  <si>
    <t>Rich Oken</t>
  </si>
  <si>
    <t>+1 (213) 612-0021</t>
  </si>
  <si>
    <t>Freehand Miami</t>
  </si>
  <si>
    <t xml:space="preserve">2727 Indian Creek Drive </t>
  </si>
  <si>
    <t>Mary Beth Bennett</t>
  </si>
  <si>
    <t>+1 (305) 531-2727</t>
  </si>
  <si>
    <t>Freehand New York</t>
  </si>
  <si>
    <t xml:space="preserve">23 Lexington Avenue </t>
  </si>
  <si>
    <t>Paul Kashman</t>
  </si>
  <si>
    <t>Caitlin Conley</t>
  </si>
  <si>
    <t>+1 (212) 475-1920</t>
  </si>
  <si>
    <t>Freepoint Hotel</t>
  </si>
  <si>
    <t xml:space="preserve">220 Alewife Brook Parkway </t>
  </si>
  <si>
    <t>Jason Lamotte</t>
  </si>
  <si>
    <t>Kathleen Flanary</t>
  </si>
  <si>
    <t>+1 (617) 491-8000</t>
  </si>
  <si>
    <t>Freeport Hotel</t>
  </si>
  <si>
    <t xml:space="preserve">506 US Route 1 </t>
  </si>
  <si>
    <t>Craig Patel</t>
  </si>
  <si>
    <t>+1 (207) 865-1408</t>
  </si>
  <si>
    <t>Fremont Marriott Silicon Valley</t>
  </si>
  <si>
    <t xml:space="preserve">46100 Landing Parkway </t>
  </si>
  <si>
    <t>Jon Kranock</t>
  </si>
  <si>
    <t>+1 (510) 413-3700</t>
  </si>
  <si>
    <t>French Creek Golf Links LP</t>
  </si>
  <si>
    <t>French Creek Golf Club</t>
  </si>
  <si>
    <t xml:space="preserve">4500 Conestoga Road </t>
  </si>
  <si>
    <t>Marsh</t>
  </si>
  <si>
    <t>Mindy Fortin</t>
  </si>
  <si>
    <t>Nick Gerov</t>
  </si>
  <si>
    <t>+1 (610) 913-6330</t>
  </si>
  <si>
    <t>French Leave Resort Autograph Collection</t>
  </si>
  <si>
    <t xml:space="preserve">Queens Highway Governors Harbour </t>
  </si>
  <si>
    <t>Eleuthera</t>
  </si>
  <si>
    <t>Jahmed Mills</t>
  </si>
  <si>
    <t>+1 (814) 234-4460</t>
  </si>
  <si>
    <t>French Quarter Inn</t>
  </si>
  <si>
    <t xml:space="preserve">166 Church Street </t>
  </si>
  <si>
    <t>Carlo Carroccia</t>
  </si>
  <si>
    <t>Jessica Stewart</t>
  </si>
  <si>
    <t>+1 (843) 722-1900</t>
  </si>
  <si>
    <t>Frenchman's Cove</t>
  </si>
  <si>
    <t xml:space="preserve">7338 Estate Bakkeroe Street </t>
  </si>
  <si>
    <t>Scott Derrickson</t>
  </si>
  <si>
    <t>+ (340) 693-4800</t>
  </si>
  <si>
    <t>Frenchman's Cove Sales and Marketing</t>
  </si>
  <si>
    <t xml:space="preserve">#5 Estate Bakkeroe </t>
  </si>
  <si>
    <t>Mona Bedminster</t>
  </si>
  <si>
    <t>+1 (340) 715-5925</t>
  </si>
  <si>
    <t>Fresh Meadow Golf Club</t>
  </si>
  <si>
    <t xml:space="preserve">2144 South Wolf Road </t>
  </si>
  <si>
    <t>Hillside</t>
  </si>
  <si>
    <t>Dan Behrendt</t>
  </si>
  <si>
    <t>+1 (708) 449-3434</t>
  </si>
  <si>
    <t>Friday Harbor House</t>
  </si>
  <si>
    <t xml:space="preserve">130 West Street </t>
  </si>
  <si>
    <t>Friday Harbor</t>
  </si>
  <si>
    <t>Meaghan McCormick</t>
  </si>
  <si>
    <t xml:space="preserve">Michael Felso </t>
  </si>
  <si>
    <t>+ (360) 378-8455</t>
  </si>
  <si>
    <t xml:space="preserve">Gaia Shasta Hotel </t>
  </si>
  <si>
    <t xml:space="preserve">4125 Riverside Place </t>
  </si>
  <si>
    <t>Victor Alvarez</t>
  </si>
  <si>
    <t>+1 (530) 365-7077</t>
  </si>
  <si>
    <t>Gainey Ranch Golf Club</t>
  </si>
  <si>
    <t xml:space="preserve">7600 E. Gainey Club Dr. </t>
  </si>
  <si>
    <t>Jim Murphy</t>
  </si>
  <si>
    <t>Jose Ruiz</t>
  </si>
  <si>
    <t>+1 (480) 951-0022</t>
  </si>
  <si>
    <t>Gastonia Conference Center</t>
  </si>
  <si>
    <t xml:space="preserve">145 South Marietta Street </t>
  </si>
  <si>
    <t>Boogertown</t>
  </si>
  <si>
    <t>Michael Nolan</t>
  </si>
  <si>
    <t>Gerard Durkee</t>
  </si>
  <si>
    <t>+1(704)869-1948</t>
  </si>
  <si>
    <t>Gate JFK Airport Hotel</t>
  </si>
  <si>
    <t xml:space="preserve">132-26 South Conduit Avenue </t>
  </si>
  <si>
    <t>Teresa Valenzuela</t>
  </si>
  <si>
    <t>+1(718)322-7190</t>
  </si>
  <si>
    <t>Gaylord National Resort &amp; Convention Center on the Potomac</t>
  </si>
  <si>
    <t xml:space="preserve">201 Waterfront Street </t>
  </si>
  <si>
    <t>National Harbor</t>
  </si>
  <si>
    <t>Balan Paravantavida</t>
  </si>
  <si>
    <t>+1 (301) 965-4000</t>
  </si>
  <si>
    <t>Gaylord Opryland Resort &amp; Convention Center Nashville</t>
  </si>
  <si>
    <t xml:space="preserve">2800 Opryland Dr. </t>
  </si>
  <si>
    <t>Jackie Trollope</t>
  </si>
  <si>
    <t>Laurie Potts</t>
  </si>
  <si>
    <t>+ (615) 889-1000</t>
  </si>
  <si>
    <t>Gaylord Palms Resort &amp; Convention Center Florida</t>
  </si>
  <si>
    <t xml:space="preserve">6000 West Osceola Pkwy. </t>
  </si>
  <si>
    <t>Johann Krieger</t>
  </si>
  <si>
    <t>Duane Headley</t>
  </si>
  <si>
    <t>+1 (407) 586-0000</t>
  </si>
  <si>
    <t>Gaylord Rockies Resort &amp; Convention Center</t>
  </si>
  <si>
    <t xml:space="preserve">6700 North Gaylord Rockies Boulevard </t>
  </si>
  <si>
    <t>Suzy Hart</t>
  </si>
  <si>
    <t>Kay Moore</t>
  </si>
  <si>
    <t>+1 (720) 452-6900</t>
  </si>
  <si>
    <t>Gaylord Springs Golf Links</t>
  </si>
  <si>
    <t xml:space="preserve">18 Springhouse Lane </t>
  </si>
  <si>
    <t>Harry Taylor</t>
  </si>
  <si>
    <t>James Paschal</t>
  </si>
  <si>
    <t>+ (615) 871-7759</t>
  </si>
  <si>
    <t>Gaylord Texan Resort &amp; Convention Center</t>
  </si>
  <si>
    <t xml:space="preserve">1501 Gaylord Trail </t>
  </si>
  <si>
    <t>Chuck Pacioni</t>
  </si>
  <si>
    <t>nancy wilwert</t>
  </si>
  <si>
    <t>+1 (817) 778-1000</t>
  </si>
  <si>
    <t>General Jackson Showboat</t>
  </si>
  <si>
    <t xml:space="preserve">2812 Opryland Drive </t>
  </si>
  <si>
    <t>Robert Lopez</t>
  </si>
  <si>
    <t>+ (615) 871-6894</t>
  </si>
  <si>
    <t>Generator Miami</t>
  </si>
  <si>
    <t xml:space="preserve">3120 Collins Avenue </t>
  </si>
  <si>
    <t>Luis Rodriguez</t>
  </si>
  <si>
    <t>+1 (786) 496-5730</t>
  </si>
  <si>
    <t>Generator Washington DC</t>
  </si>
  <si>
    <t xml:space="preserve">1900 Connecticut Avenue NW </t>
  </si>
  <si>
    <t>Allan Bella</t>
  </si>
  <si>
    <t>Thaddeus Richburg</t>
  </si>
  <si>
    <t>+ (202) 332-9300</t>
  </si>
  <si>
    <t>George W. Bush Presidential Center</t>
  </si>
  <si>
    <t xml:space="preserve">2943 SMU Boulevard </t>
  </si>
  <si>
    <t>+(214)754-1887</t>
  </si>
  <si>
    <t>Georgia Tech Hotel &amp; Conference Center</t>
  </si>
  <si>
    <t xml:space="preserve">800 Spring St NW </t>
  </si>
  <si>
    <t>David Chesley</t>
  </si>
  <si>
    <t>+1 (404) 347-9440</t>
  </si>
  <si>
    <t>Gild Hall A Thompson Hotel</t>
  </si>
  <si>
    <t xml:space="preserve">15 Gold Street </t>
  </si>
  <si>
    <t>Titus Negrescu</t>
  </si>
  <si>
    <t>Danny Chan</t>
  </si>
  <si>
    <t>+1 (212) 232-7700</t>
  </si>
  <si>
    <t>Give Kids The World</t>
  </si>
  <si>
    <t xml:space="preserve">210 S. Bass Road </t>
  </si>
  <si>
    <t>Philip Torres</t>
  </si>
  <si>
    <t>+1 (407) 396-1114</t>
  </si>
  <si>
    <t>Gleneagles Country Club</t>
  </si>
  <si>
    <t xml:space="preserve">5401 West Park Blvd. </t>
  </si>
  <si>
    <t>Bryant Early</t>
  </si>
  <si>
    <t>Robby Peters</t>
  </si>
  <si>
    <t>+ (972) 867-6666</t>
  </si>
  <si>
    <t>Glidden House</t>
  </si>
  <si>
    <t xml:space="preserve">1901 Ford Drive </t>
  </si>
  <si>
    <t>Tom Farinacci</t>
  </si>
  <si>
    <t>Karen Adams</t>
  </si>
  <si>
    <t>+1 (216) 231-8900</t>
  </si>
  <si>
    <t>Glorietta Bay Inn</t>
  </si>
  <si>
    <t xml:space="preserve">1630 Glorietta Boulevard </t>
  </si>
  <si>
    <t>Claudia Ludlow</t>
  </si>
  <si>
    <t>Rob Vaine</t>
  </si>
  <si>
    <t>+ (619) 435-3101</t>
  </si>
  <si>
    <t>Godfrey Hotel Hollywood</t>
  </si>
  <si>
    <t xml:space="preserve">1400 Cahuenga Boulevard </t>
  </si>
  <si>
    <t>+1 (805) 558-0602</t>
  </si>
  <si>
    <t>Gold Beach Inn</t>
  </si>
  <si>
    <t xml:space="preserve">29346 Ellennburg Avenue </t>
  </si>
  <si>
    <t>Pistol River</t>
  </si>
  <si>
    <t>Brett Silva</t>
  </si>
  <si>
    <t>+1 (541) 247-7091</t>
  </si>
  <si>
    <t>Gold Mountain Golf Course</t>
  </si>
  <si>
    <t xml:space="preserve">7263 Belfair Valley Road </t>
  </si>
  <si>
    <t>Bremerton</t>
  </si>
  <si>
    <t>Daryl Matheny</t>
  </si>
  <si>
    <t>Patrick McKenzie</t>
  </si>
  <si>
    <t>+1 (360) 415-5432</t>
  </si>
  <si>
    <t>Golden Bear Club at Indigo Run</t>
  </si>
  <si>
    <t xml:space="preserve">72 Golden Bear WAY </t>
  </si>
  <si>
    <t>+ (843) 689-2200</t>
  </si>
  <si>
    <t>Golden Eagle Resort</t>
  </si>
  <si>
    <t xml:space="preserve">511 Mountain Road </t>
  </si>
  <si>
    <t>Jamie Wolfe</t>
  </si>
  <si>
    <t>+1 (802) 253-4811</t>
  </si>
  <si>
    <t>Golf Club at Cinco Ranch</t>
  </si>
  <si>
    <t xml:space="preserve">23030 Cinco Ranch Boulevard </t>
  </si>
  <si>
    <t>Joey Perez</t>
  </si>
  <si>
    <t>Sean Brown</t>
  </si>
  <si>
    <t>+1 (281) 395-4653</t>
  </si>
  <si>
    <t>Golf Club at Indigo Run</t>
  </si>
  <si>
    <t xml:space="preserve">101 Golden Bear Way </t>
  </si>
  <si>
    <t>+ (843) 689-5666</t>
  </si>
  <si>
    <t>Golf Trails at The Woodlands</t>
  </si>
  <si>
    <t xml:space="preserve">2311 North Millbend Drive </t>
  </si>
  <si>
    <t>Troy Muller</t>
  </si>
  <si>
    <t>+1 (281) 882-3024</t>
  </si>
  <si>
    <t>Josam Acquisitions (Good To Go Food)</t>
  </si>
  <si>
    <t>Good To Go Food</t>
  </si>
  <si>
    <t>310 South Racine Avenue #7</t>
  </si>
  <si>
    <t>Tom Gerdich</t>
  </si>
  <si>
    <t>+1 (312) 243-3170</t>
  </si>
  <si>
    <t>Governors Club LLC</t>
  </si>
  <si>
    <t>Governors Club</t>
  </si>
  <si>
    <t xml:space="preserve">202 South Adams Street </t>
  </si>
  <si>
    <t>Barry Shields</t>
  </si>
  <si>
    <t>Cynthia Dilmore</t>
  </si>
  <si>
    <t>+()8502240650</t>
  </si>
  <si>
    <t>Grace Bay Resorts</t>
  </si>
  <si>
    <t>Grace Bay Club</t>
  </si>
  <si>
    <t xml:space="preserve">Grace Bay Road </t>
  </si>
  <si>
    <t>1ZZ</t>
  </si>
  <si>
    <t>Kulbhushan Tyagi</t>
  </si>
  <si>
    <t>Joe Harvey</t>
  </si>
  <si>
    <t>+1 (649) 946-5050</t>
  </si>
  <si>
    <t>Graduate Ann Arbor</t>
  </si>
  <si>
    <t xml:space="preserve">615 East Huron </t>
  </si>
  <si>
    <t>Logan Taylor</t>
  </si>
  <si>
    <t>+1 (734) 769-2213</t>
  </si>
  <si>
    <t>Graduate Annapolis</t>
  </si>
  <si>
    <t xml:space="preserve">126 West Street </t>
  </si>
  <si>
    <t>John Esainko</t>
  </si>
  <si>
    <t>Sherry Octaviano</t>
  </si>
  <si>
    <t>+ (410) 263-7777</t>
  </si>
  <si>
    <t>Graduate Athens</t>
  </si>
  <si>
    <t xml:space="preserve">295 East Dougherty Street </t>
  </si>
  <si>
    <t>Amber Kitson</t>
  </si>
  <si>
    <t>+1 (706) 546-0410</t>
  </si>
  <si>
    <t>Graduate Berkeley</t>
  </si>
  <si>
    <t xml:space="preserve">2600 Durant Avenue </t>
  </si>
  <si>
    <t>Christine McDermott</t>
  </si>
  <si>
    <t>Armida Ferrel</t>
  </si>
  <si>
    <t>+ (510) 845-8981</t>
  </si>
  <si>
    <t>Graduate Bloomington</t>
  </si>
  <si>
    <t xml:space="preserve">210 East Kirkwood Avenue </t>
  </si>
  <si>
    <t>Corey Parton</t>
  </si>
  <si>
    <t>+1 (812) 994-0500</t>
  </si>
  <si>
    <t>Graduate Charlottesville</t>
  </si>
  <si>
    <t xml:space="preserve">1309 West Main Street </t>
  </si>
  <si>
    <t>University</t>
  </si>
  <si>
    <t>Gillian Clark</t>
  </si>
  <si>
    <t>+1(434) 295-4333</t>
  </si>
  <si>
    <t>Graduate Cincinnati</t>
  </si>
  <si>
    <t>151 Goodman Drive University of Cincinnati</t>
  </si>
  <si>
    <t>Rebecca Leo</t>
  </si>
  <si>
    <t>Wade Riedman</t>
  </si>
  <si>
    <t>(513) 487-3800</t>
  </si>
  <si>
    <t>Graduate Columbia</t>
  </si>
  <si>
    <t xml:space="preserve">1619 Pendleton Street </t>
  </si>
  <si>
    <t>Tanya Black</t>
  </si>
  <si>
    <t>+1 (803) 779-7779</t>
  </si>
  <si>
    <t>Graduate Eugene</t>
  </si>
  <si>
    <t xml:space="preserve">66 E. 6th Ave </t>
  </si>
  <si>
    <t>Jason Williams</t>
  </si>
  <si>
    <t>Jennifer Wallace</t>
  </si>
  <si>
    <t>+ (541) 342-2000</t>
  </si>
  <si>
    <t>Graduate Fayetteville</t>
  </si>
  <si>
    <t xml:space="preserve">70 North East Avenue </t>
  </si>
  <si>
    <t>+1 (479) 442-5555</t>
  </si>
  <si>
    <t>Graduate Hotel Columbus</t>
  </si>
  <si>
    <t xml:space="preserve">750 North High Street </t>
  </si>
  <si>
    <t>Annamarie Moore</t>
  </si>
  <si>
    <t>Reed Smith</t>
  </si>
  <si>
    <t>Graduate Hotel Nashville</t>
  </si>
  <si>
    <t xml:space="preserve">101 20th Avenue North </t>
  </si>
  <si>
    <t>Greg Bradley</t>
  </si>
  <si>
    <t>Ousmane Diop</t>
  </si>
  <si>
    <t>+1 (615) 551-2700</t>
  </si>
  <si>
    <t>Graduate Hotel New Haven</t>
  </si>
  <si>
    <t xml:space="preserve">1151 Chapel Street </t>
  </si>
  <si>
    <t>Dominic Ruggieri</t>
  </si>
  <si>
    <t>Rachael Spiker</t>
  </si>
  <si>
    <t>+1 (475) 207-7070</t>
  </si>
  <si>
    <t>Graduate Iowa City</t>
  </si>
  <si>
    <t xml:space="preserve">210 South Dubuque Street </t>
  </si>
  <si>
    <t>Abbey Tillman</t>
  </si>
  <si>
    <t xml:space="preserve">Christopher Adams </t>
  </si>
  <si>
    <t>+1(319) 337-4058</t>
  </si>
  <si>
    <t>Graduate Knoxville</t>
  </si>
  <si>
    <t xml:space="preserve">1706 Cumberland Avenue </t>
  </si>
  <si>
    <t>Kirk Figgins</t>
  </si>
  <si>
    <t>+1 (865) 437-5500</t>
  </si>
  <si>
    <t>Graduate Lincoln</t>
  </si>
  <si>
    <t xml:space="preserve">141 North 9th Street </t>
  </si>
  <si>
    <t>Kevin Junker</t>
  </si>
  <si>
    <t>Chuck Goldberg</t>
  </si>
  <si>
    <t>+1 (402) 475-4011</t>
  </si>
  <si>
    <t>Graduate Madison</t>
  </si>
  <si>
    <t xml:space="preserve">601 Langdon Street </t>
  </si>
  <si>
    <t>David Buss</t>
  </si>
  <si>
    <t>Stephen Hansen</t>
  </si>
  <si>
    <t>+1 (608) 257-4391</t>
  </si>
  <si>
    <t>Graduate Minneapolis</t>
  </si>
  <si>
    <t xml:space="preserve">615 Washington Avenue Southeast </t>
  </si>
  <si>
    <t>Kyle Johnson</t>
  </si>
  <si>
    <t>+1 (612) 379-8888</t>
  </si>
  <si>
    <t>Graduate Oxford</t>
  </si>
  <si>
    <t xml:space="preserve">400 North Lamar Boulevard </t>
  </si>
  <si>
    <t>Rickie Pares</t>
  </si>
  <si>
    <t>+1 (662) 234-3031</t>
  </si>
  <si>
    <t>Graduate Richmond</t>
  </si>
  <si>
    <t xml:space="preserve">301 West Franklin Street </t>
  </si>
  <si>
    <t>Tina Harris</t>
  </si>
  <si>
    <t>+1 (804) 644-9871</t>
  </si>
  <si>
    <t>Graduate State College</t>
  </si>
  <si>
    <t xml:space="preserve">125 South Atherton Street </t>
  </si>
  <si>
    <t>Hunter Millward</t>
  </si>
  <si>
    <t>Garrett Schultz</t>
  </si>
  <si>
    <t>+1 (814) 231-2100</t>
  </si>
  <si>
    <t>Graduate Storrs</t>
  </si>
  <si>
    <t xml:space="preserve">855 Bolton Road U-1241 </t>
  </si>
  <si>
    <t>Storrs</t>
  </si>
  <si>
    <t>Ty Coleman</t>
  </si>
  <si>
    <t>Carrie Kennedy</t>
  </si>
  <si>
    <t>+1 (860) 427-7888</t>
  </si>
  <si>
    <t>Graduate Tempe</t>
  </si>
  <si>
    <t xml:space="preserve">225 East Apache Boulevard </t>
  </si>
  <si>
    <t>Andrew Harris</t>
  </si>
  <si>
    <t>+1 (480) 967-9431</t>
  </si>
  <si>
    <t>Graduate Tucson</t>
  </si>
  <si>
    <t xml:space="preserve">930 East Second Street </t>
  </si>
  <si>
    <t>Jody Hall</t>
  </si>
  <si>
    <t>Grand Bay Hotel San Francisco</t>
  </si>
  <si>
    <t xml:space="preserve">223 Twin Dolphin Dr </t>
  </si>
  <si>
    <t>Ken Peduzzi</t>
  </si>
  <si>
    <t>+ (650) 598-9000</t>
  </si>
  <si>
    <t>Grand Cayman Marriott Beach Resort</t>
  </si>
  <si>
    <t>389 West Bay Road SMB PO Box 30371</t>
  </si>
  <si>
    <t>Grand Cayman</t>
  </si>
  <si>
    <t>CYM</t>
  </si>
  <si>
    <t>Cayman Islands</t>
  </si>
  <si>
    <t>John Hazard</t>
  </si>
  <si>
    <t>+ (345) 949-0088</t>
  </si>
  <si>
    <t>Grand Chateau Las Vegas</t>
  </si>
  <si>
    <t xml:space="preserve">75 East Harmon Avenue </t>
  </si>
  <si>
    <t>Chad Sitkowski</t>
  </si>
  <si>
    <t>Beth Bierman</t>
  </si>
  <si>
    <t>+1 (702) 862-5600</t>
  </si>
  <si>
    <t>Grand Geneva Resort &amp; Spa</t>
  </si>
  <si>
    <t xml:space="preserve">7036 Grand Geneva Way </t>
  </si>
  <si>
    <t>Michael Weaver</t>
  </si>
  <si>
    <t>Doug Andrews</t>
  </si>
  <si>
    <t>+ (262) 248-8811</t>
  </si>
  <si>
    <t>Grand Harbor Management LLC</t>
  </si>
  <si>
    <t>Grand Harbor Beach Club</t>
  </si>
  <si>
    <t xml:space="preserve">8500 North A1A </t>
  </si>
  <si>
    <t>Donna Rainbow</t>
  </si>
  <si>
    <t>+1 (772) 492-1002</t>
  </si>
  <si>
    <t>Grand Harbor Golf Club</t>
  </si>
  <si>
    <t xml:space="preserve">4985 Club Terrace </t>
  </si>
  <si>
    <t>+ (772) 569-9632</t>
  </si>
  <si>
    <t>Grand Hyatt at Baha Mar</t>
  </si>
  <si>
    <t>Grand Hyatt</t>
  </si>
  <si>
    <t>Courtney Dames</t>
  </si>
  <si>
    <t>+()242 788 1234</t>
  </si>
  <si>
    <t>Grand Hyatt at SFO</t>
  </si>
  <si>
    <t xml:space="preserve">55 South McDonnell Road </t>
  </si>
  <si>
    <t>Henning Nopper</t>
  </si>
  <si>
    <t>+1(650) 452-1234</t>
  </si>
  <si>
    <t>Grand Hyatt Atlanta in Buckhead</t>
  </si>
  <si>
    <t xml:space="preserve">3300 Peachtree RD NE </t>
  </si>
  <si>
    <t>Dave Phillips</t>
  </si>
  <si>
    <t>Scott Snipes</t>
  </si>
  <si>
    <t>+ (404) 365-8100</t>
  </si>
  <si>
    <t>Grand Hyatt Denver</t>
  </si>
  <si>
    <t xml:space="preserve">1750 Welton Street </t>
  </si>
  <si>
    <t>Ed Bucholtz</t>
  </si>
  <si>
    <t>Cristienne Beam</t>
  </si>
  <si>
    <t>+1 (303) 295-1234</t>
  </si>
  <si>
    <t>Grand Hyatt DFW</t>
  </si>
  <si>
    <t xml:space="preserve">2337 South International Parkway </t>
  </si>
  <si>
    <t>DFW</t>
  </si>
  <si>
    <t>Corinna Wenks</t>
  </si>
  <si>
    <t>Danielle Kitson</t>
  </si>
  <si>
    <t>+ () 972-973-1234</t>
  </si>
  <si>
    <t>Grand Hyatt Kauai Resort &amp; Spa</t>
  </si>
  <si>
    <t>1571 Poipu Road Kauai</t>
  </si>
  <si>
    <t>Koloa</t>
  </si>
  <si>
    <t>Carlos Cabrera</t>
  </si>
  <si>
    <t>Adriane Ceria</t>
  </si>
  <si>
    <t>+ (808) 742-1234</t>
  </si>
  <si>
    <t>Grand Hyatt Nashville</t>
  </si>
  <si>
    <t xml:space="preserve">1000 Broadway Nashville </t>
  </si>
  <si>
    <t>Orville Boswell</t>
  </si>
  <si>
    <t>+1 (615) 622-1234</t>
  </si>
  <si>
    <t>Grand Hyatt Playa Del Carmen</t>
  </si>
  <si>
    <t>1a Avenida Esquina Calle 26 Colonia Centro</t>
  </si>
  <si>
    <t>Leandro Livschitz</t>
  </si>
  <si>
    <t>Erika Espinosa</t>
  </si>
  <si>
    <t>+()1 52-984-875-1234</t>
  </si>
  <si>
    <t>Grand Hyatt San Antonio Convention Center</t>
  </si>
  <si>
    <t xml:space="preserve">600 E. Market Street </t>
  </si>
  <si>
    <t>+1 (210) 224-1234</t>
  </si>
  <si>
    <t>Grand Hyatt San Francisco</t>
  </si>
  <si>
    <t xml:space="preserve">345 Stockton St </t>
  </si>
  <si>
    <t>David Lewin</t>
  </si>
  <si>
    <t>Jonathan Solis</t>
  </si>
  <si>
    <t>+ (415) 398-1234</t>
  </si>
  <si>
    <t>Grand Hyatt Seattle</t>
  </si>
  <si>
    <t xml:space="preserve">721 Pine St </t>
  </si>
  <si>
    <t>steve vissotzky</t>
  </si>
  <si>
    <t>Carlos Aleman</t>
  </si>
  <si>
    <t>+ (206) 774-1234</t>
  </si>
  <si>
    <t>Grand Hyatt Tampa Bay</t>
  </si>
  <si>
    <t xml:space="preserve">2900 Bayport Drive </t>
  </si>
  <si>
    <t>Ruth Benjamin</t>
  </si>
  <si>
    <t>Paul Devitt</t>
  </si>
  <si>
    <t>+ (813) 874-1234</t>
  </si>
  <si>
    <t>Grand Hyatt Vail</t>
  </si>
  <si>
    <t xml:space="preserve">1300 Westhaven Drive </t>
  </si>
  <si>
    <t>Dan Johnson</t>
  </si>
  <si>
    <t>Russ Craney</t>
  </si>
  <si>
    <t>+1 (970) 476-7111</t>
  </si>
  <si>
    <t>Grand Hyatt Washington</t>
  </si>
  <si>
    <t xml:space="preserve">1000 H Street NW </t>
  </si>
  <si>
    <t>Majed Dawood-Farah</t>
  </si>
  <si>
    <t>Hector Alleyne</t>
  </si>
  <si>
    <t>+ (202) 582-1234</t>
  </si>
  <si>
    <t>Grand National</t>
  </si>
  <si>
    <t xml:space="preserve">3000 Sunbelt Parkway </t>
  </si>
  <si>
    <t>Scott Gomberg</t>
  </si>
  <si>
    <t>+1 (334) 749-9042</t>
  </si>
  <si>
    <t>Grand Residence Club Lake Tahoe</t>
  </si>
  <si>
    <t xml:space="preserve">1001 Heavenly Village Way </t>
  </si>
  <si>
    <t>Greg Campbell</t>
  </si>
  <si>
    <t>Manuel Sanchez</t>
  </si>
  <si>
    <t>+1 (530) 542-8400</t>
  </si>
  <si>
    <t>Grande Ocean</t>
  </si>
  <si>
    <t xml:space="preserve">51 South Forest Beach Drive </t>
  </si>
  <si>
    <t xml:space="preserve">Massimo Santangelo </t>
  </si>
  <si>
    <t>+()843-686-7385</t>
  </si>
  <si>
    <t>Grande Prairie Holiday Inn Express</t>
  </si>
  <si>
    <t xml:space="preserve">10226 - 117th Avenue </t>
  </si>
  <si>
    <t>T8V 7S5</t>
  </si>
  <si>
    <t>Jennifer Doucet</t>
  </si>
  <si>
    <t>+1 (780) 830-7744</t>
  </si>
  <si>
    <t>Grande Prairie Motel 6</t>
  </si>
  <si>
    <t xml:space="preserve">15402 - 101st Street </t>
  </si>
  <si>
    <t>T8V 0P7</t>
  </si>
  <si>
    <t>Lisa Schenck</t>
  </si>
  <si>
    <t>Grande Vista - Lakeshore Reserve Sales and Marketing</t>
  </si>
  <si>
    <t xml:space="preserve">11501 International Drive </t>
  </si>
  <si>
    <t>Mark Melans</t>
  </si>
  <si>
    <t>+1 (407) 238-6800</t>
  </si>
  <si>
    <t xml:space="preserve">Koury Corporation </t>
  </si>
  <si>
    <t>Grandover Resort</t>
  </si>
  <si>
    <t xml:space="preserve">1000 Club Road </t>
  </si>
  <si>
    <t>Kelly Harrill</t>
  </si>
  <si>
    <t>Sheryl Rogers</t>
  </si>
  <si>
    <t>+1 (336) 294-1800</t>
  </si>
  <si>
    <t>Granite Bay Golf Club</t>
  </si>
  <si>
    <t xml:space="preserve">9600 Golf Club Dr </t>
  </si>
  <si>
    <t>Granite Bay</t>
  </si>
  <si>
    <t>Kevin Marshall</t>
  </si>
  <si>
    <t>+1 (916) 791-7578</t>
  </si>
  <si>
    <t>Grata Bar &amp; Grille</t>
  </si>
  <si>
    <t xml:space="preserve">923 North Gloster </t>
  </si>
  <si>
    <t>Scott Kent</t>
  </si>
  <si>
    <t>+1 (662) 269-0096</t>
  </si>
  <si>
    <t>Green Roof Lounge</t>
  </si>
  <si>
    <t>Phil McKay</t>
  </si>
  <si>
    <t>+1 (662) 368-6014</t>
  </si>
  <si>
    <t>Green Valley Country Club Inc.</t>
  </si>
  <si>
    <t>Green Valley Country Club</t>
  </si>
  <si>
    <t xml:space="preserve">201 West Ridge Pike </t>
  </si>
  <si>
    <t>Harry Ginther</t>
  </si>
  <si>
    <t>+ (610) 828-3000</t>
  </si>
  <si>
    <t>Greenbrier Country Club</t>
  </si>
  <si>
    <t xml:space="preserve">1301 Volvo PKWY </t>
  </si>
  <si>
    <t>Bill Rehanek</t>
  </si>
  <si>
    <t>+ (757) 547-7375</t>
  </si>
  <si>
    <t>Greensboro-High Point Marriott Airport</t>
  </si>
  <si>
    <t xml:space="preserve">One Marriott Drive </t>
  </si>
  <si>
    <t>Jim Ceh</t>
  </si>
  <si>
    <t>+1 (336) 852-6450</t>
  </si>
  <si>
    <t>Greer Cabaret Theater</t>
  </si>
  <si>
    <t xml:space="preserve">655 Penn Avenue </t>
  </si>
  <si>
    <t>Greystone Golf Club Inc</t>
  </si>
  <si>
    <t>Greystone Golf Club</t>
  </si>
  <si>
    <t xml:space="preserve">4100 Greystone Drive </t>
  </si>
  <si>
    <t>David Porter</t>
  </si>
  <si>
    <t>+ (205) 986-5148</t>
  </si>
  <si>
    <t>Grove West Seattle Inn</t>
  </si>
  <si>
    <t xml:space="preserve">3512 SW Alaska Street </t>
  </si>
  <si>
    <t>John Coney</t>
  </si>
  <si>
    <t>+1 (206) 937-9920</t>
  </si>
  <si>
    <t>Gurneys Inn Resort &amp; Spa</t>
  </si>
  <si>
    <t>Gurney’s Newport Resort and Marina</t>
  </si>
  <si>
    <t xml:space="preserve">One Goat Island </t>
  </si>
  <si>
    <t>David Smiley</t>
  </si>
  <si>
    <t>+ (401) 851-1234</t>
  </si>
  <si>
    <t>Gurney's Inn Resort &amp; Spa</t>
  </si>
  <si>
    <t xml:space="preserve">290 Old Montauk Highway </t>
  </si>
  <si>
    <t>MONTAUK</t>
  </si>
  <si>
    <t>Michael Nenner</t>
  </si>
  <si>
    <t>Angelica Rojas</t>
  </si>
  <si>
    <t>+1 (631) 668-2345</t>
  </si>
  <si>
    <t>Gurney's Montauk Yacht Club &amp; Resort</t>
  </si>
  <si>
    <t xml:space="preserve">32 Star Island Road </t>
  </si>
  <si>
    <t>William Beckert</t>
  </si>
  <si>
    <t>+1 (631) 668-3100</t>
  </si>
  <si>
    <t>Guthrie Theatre - Culinaire</t>
  </si>
  <si>
    <t xml:space="preserve">818 South 2nd Street </t>
  </si>
  <si>
    <t>Tracy Vopatek</t>
  </si>
  <si>
    <t>+1 (612) 225-6473</t>
  </si>
  <si>
    <t xml:space="preserve">Hacienda Alta Gracia </t>
  </si>
  <si>
    <t>Contiguo a la escuela Santa Teresa de Cajon Perez Zeledon</t>
  </si>
  <si>
    <t>Maria Reyes</t>
  </si>
  <si>
    <t>+ (506) 2105-3080</t>
  </si>
  <si>
    <t>Quinta del Golfo de Cortez SA de CV</t>
  </si>
  <si>
    <t>Hacienda del Mar Hotel Villas &amp; Golf Resort Los Cabos</t>
  </si>
  <si>
    <t xml:space="preserve">Corredor Turistico KM 10 Lote D </t>
  </si>
  <si>
    <t>Pierre Ouradou</t>
  </si>
  <si>
    <t>Emmeline Montes de Oca</t>
  </si>
  <si>
    <t>+(52)(624) 14 58000</t>
  </si>
  <si>
    <t>Hacienda Puerta Campeche</t>
  </si>
  <si>
    <t xml:space="preserve">Calle 59 No. 71 Pro 16 &amp; 18 </t>
  </si>
  <si>
    <t>Campeche</t>
  </si>
  <si>
    <t>+()52 981 816 7508</t>
  </si>
  <si>
    <t>Hackberry Creek Country Club</t>
  </si>
  <si>
    <t xml:space="preserve">1901 W ROYAL LN </t>
  </si>
  <si>
    <t>David Russi</t>
  </si>
  <si>
    <t>Kelli Robinson</t>
  </si>
  <si>
    <t>+ (972) 869-2631</t>
  </si>
  <si>
    <t>Halcyon a Hotel in Cherry Creek</t>
  </si>
  <si>
    <t xml:space="preserve">245 North Columbine Street </t>
  </si>
  <si>
    <t>Jason Delcamp</t>
  </si>
  <si>
    <t>Colter Hocking</t>
  </si>
  <si>
    <t>+1 (720) 772-5011</t>
  </si>
  <si>
    <t>Halekulani Corporation</t>
  </si>
  <si>
    <t>Halekulani Hotel</t>
  </si>
  <si>
    <t xml:space="preserve">2199 Kalia Road </t>
  </si>
  <si>
    <t>Preferred Hotels &amp; Resorts</t>
  </si>
  <si>
    <t>Ami Yoshikawa</t>
  </si>
  <si>
    <t>Kobey Matsushige</t>
  </si>
  <si>
    <t>+1 (808) 923-2311</t>
  </si>
  <si>
    <t>Halepuna Waikiki by Halekulani</t>
  </si>
  <si>
    <t xml:space="preserve">2233 Helumoa RD </t>
  </si>
  <si>
    <t>Julie Arigo</t>
  </si>
  <si>
    <t>+ (808) 921-7272</t>
  </si>
  <si>
    <t>225 Liquor Licensee LLC</t>
  </si>
  <si>
    <t xml:space="preserve">225 River Street </t>
  </si>
  <si>
    <t>Hoboken</t>
  </si>
  <si>
    <t>Seadon Shouse</t>
  </si>
  <si>
    <t>+1 (201) 253-2508</t>
  </si>
  <si>
    <t>Halifax Marriott Harbourfront Hotel</t>
  </si>
  <si>
    <t xml:space="preserve">1919 Upper Water Street </t>
  </si>
  <si>
    <t>B3J 3J5</t>
  </si>
  <si>
    <t>Jeff Ransome</t>
  </si>
  <si>
    <t>(902) 421-1700</t>
  </si>
  <si>
    <t>Hall Arts Hotel Dallas</t>
  </si>
  <si>
    <t xml:space="preserve">1717 Leonard Street </t>
  </si>
  <si>
    <t>Ginger Martin</t>
  </si>
  <si>
    <t>Haydee Hernandez</t>
  </si>
  <si>
    <t>EOS DCH Owner LLC</t>
  </si>
  <si>
    <t>Hamilton Hotel Washington D.C.</t>
  </si>
  <si>
    <t xml:space="preserve">1001 14th Street Northwest </t>
  </si>
  <si>
    <t>Jennifer Doerfler</t>
  </si>
  <si>
    <t>Mark Driscoll</t>
  </si>
  <si>
    <t>+1 (202) 218-7521</t>
  </si>
  <si>
    <t>Hamilton Inn Bessemer Alabama</t>
  </si>
  <si>
    <t xml:space="preserve">4910 Civic Lane </t>
  </si>
  <si>
    <t>Bess</t>
  </si>
  <si>
    <t>+1 (205) 425-2010</t>
  </si>
  <si>
    <t>Hamlet Golf &amp; Country Club</t>
  </si>
  <si>
    <t xml:space="preserve">1 Clubhouse Drive </t>
  </si>
  <si>
    <t>Commack</t>
  </si>
  <si>
    <t>Ken Nicholas</t>
  </si>
  <si>
    <t>Jim Farrell</t>
  </si>
  <si>
    <t>+ (631)209-7448</t>
  </si>
  <si>
    <t>Hampton Cove</t>
  </si>
  <si>
    <t xml:space="preserve">450 Old Hwy. 431 South </t>
  </si>
  <si>
    <t>Owens Cross Road</t>
  </si>
  <si>
    <t>+1 (256) 551-1818</t>
  </si>
  <si>
    <t>Hampton Inn - Medford</t>
  </si>
  <si>
    <t xml:space="preserve">1122 Morrow Road </t>
  </si>
  <si>
    <t>Kelli Laverda</t>
  </si>
  <si>
    <t>Marcy Longendyck</t>
  </si>
  <si>
    <t>+1 (541) 779-0660</t>
  </si>
  <si>
    <t>Hampton Inn - Norcross</t>
  </si>
  <si>
    <t xml:space="preserve">440 Technology Parkway </t>
  </si>
  <si>
    <t>Cody Perkins</t>
  </si>
  <si>
    <t>Keshia Heard</t>
  </si>
  <si>
    <t>+1 (770) 729-0015</t>
  </si>
  <si>
    <t>Hampton Inn - Portland</t>
  </si>
  <si>
    <t xml:space="preserve">209 Fore Street </t>
  </si>
  <si>
    <t>Erick Poulin</t>
  </si>
  <si>
    <t>+(207)775-1454</t>
  </si>
  <si>
    <t>Hampton Inn - Woodbury</t>
  </si>
  <si>
    <t xml:space="preserve">1450 Weir Drive </t>
  </si>
  <si>
    <t>Angel Buckhalton</t>
  </si>
  <si>
    <t>+ (651) 578-2822</t>
  </si>
  <si>
    <t>Hampton Inn &amp; Suites - Capitol View</t>
  </si>
  <si>
    <t xml:space="preserve">530 11th Avenue </t>
  </si>
  <si>
    <t>Dan Deaver</t>
  </si>
  <si>
    <t>Jennifer Armistead</t>
  </si>
  <si>
    <t>+(615) 780-2000</t>
  </si>
  <si>
    <t>Hampton Inn &amp; Suites Alexandria</t>
  </si>
  <si>
    <t xml:space="preserve">5821 Richmond Highway </t>
  </si>
  <si>
    <t>Alfred Matter</t>
  </si>
  <si>
    <t>+1 (703) 329-1400</t>
  </si>
  <si>
    <t>Hampton Inn &amp; Suites Amelia Island</t>
  </si>
  <si>
    <t xml:space="preserve">19 S. Second St </t>
  </si>
  <si>
    <t>Fernandina Beach</t>
  </si>
  <si>
    <t>Bob Ramshaw</t>
  </si>
  <si>
    <t>Kate Spellman</t>
  </si>
  <si>
    <t>+1 (904) 491-4911</t>
  </si>
  <si>
    <t>Hampton Inn &amp; Suites Anaheim/Garden Grove</t>
  </si>
  <si>
    <t xml:space="preserve">11747 Harbor Blvd </t>
  </si>
  <si>
    <t>Mike. Domingo</t>
  </si>
  <si>
    <t>Richard Auer</t>
  </si>
  <si>
    <t>+ (714) 703-8800</t>
  </si>
  <si>
    <t>Hampton Inn &amp; Suites Annapolis</t>
  </si>
  <si>
    <t xml:space="preserve">124 Womack Drive </t>
  </si>
  <si>
    <t>+1 (410) 571-0200</t>
  </si>
  <si>
    <t>Hampton Inn &amp; Suites Atlanta Decatur Emory</t>
  </si>
  <si>
    <t xml:space="preserve">116 Clairemont Avenue </t>
  </si>
  <si>
    <t>Amber Johnson</t>
  </si>
  <si>
    <t>Shakela Ayton</t>
  </si>
  <si>
    <t>+1 (404) 377-6360</t>
  </si>
  <si>
    <t>Hampton Inn &amp; Suites Atlanta Downtown</t>
  </si>
  <si>
    <t xml:space="preserve">161 Ted Turner Drive Northwest </t>
  </si>
  <si>
    <t>Amanda Sathchakham</t>
  </si>
  <si>
    <t>Kevin Giesse</t>
  </si>
  <si>
    <t>+(404)589-1111</t>
  </si>
  <si>
    <t>Hampton Inn &amp; Suites Augusta-Washington Rd</t>
  </si>
  <si>
    <t xml:space="preserve">3028 B Washington Road </t>
  </si>
  <si>
    <t>Gia Gardere</t>
  </si>
  <si>
    <t>+1 (706) 738-4567</t>
  </si>
  <si>
    <t>Hampton Inn &amp; Suites Avon-Indianapolis</t>
  </si>
  <si>
    <t xml:space="preserve">193 Angelina Way </t>
  </si>
  <si>
    <t>+1 (317) 698-0599</t>
  </si>
  <si>
    <t>Hampton Inn &amp; Suites Beale Street</t>
  </si>
  <si>
    <t xml:space="preserve">175 Peabody Place </t>
  </si>
  <si>
    <t>Brooke Atkins</t>
  </si>
  <si>
    <t>Margaret Clark</t>
  </si>
  <si>
    <t>+ (901) 260-4000</t>
  </si>
  <si>
    <t>Hampton Inn &amp; Suites Berry Farms</t>
  </si>
  <si>
    <t xml:space="preserve">7101 Berry Farms Crossing </t>
  </si>
  <si>
    <t>Christy Howlett</t>
  </si>
  <si>
    <t>+1 (615) 599-3700</t>
  </si>
  <si>
    <t>Hampton Inn &amp; Suites Birmingham-Downtown-Tutwiler</t>
  </si>
  <si>
    <t xml:space="preserve">2021 Park Place </t>
  </si>
  <si>
    <t>Kay French</t>
  </si>
  <si>
    <t>+1 (205) 322-2100</t>
  </si>
  <si>
    <t>Hampton Inn &amp; Suites Bloomington Normal</t>
  </si>
  <si>
    <t xml:space="preserve">320 S. Towanda Avenue </t>
  </si>
  <si>
    <t>Richard Raube</t>
  </si>
  <si>
    <t>+ () 309-452-8900</t>
  </si>
  <si>
    <t>Hampton Inn &amp; Suites Buckhead</t>
  </si>
  <si>
    <t xml:space="preserve">3312 Piedmont Road Northeast </t>
  </si>
  <si>
    <t>Christopher Flanders</t>
  </si>
  <si>
    <t>Earth Billingslea</t>
  </si>
  <si>
    <t>+1(404) 816-7309</t>
  </si>
  <si>
    <t>Hampton Inn &amp; Suites Buda</t>
  </si>
  <si>
    <t xml:space="preserve">1201 Cabelas Drive </t>
  </si>
  <si>
    <t>Pablo Palomino</t>
  </si>
  <si>
    <t>+1 (512) 295-4900</t>
  </si>
  <si>
    <t xml:space="preserve">1320 North Roosevelt </t>
  </si>
  <si>
    <t>Sara Huston</t>
  </si>
  <si>
    <t>+()319-237-0700</t>
  </si>
  <si>
    <t>Hampton Inn &amp; Suites Camp Springs-Andrews AFB</t>
  </si>
  <si>
    <t xml:space="preserve">5000 Mercedes Boulevard </t>
  </si>
  <si>
    <t>James Hodges</t>
  </si>
  <si>
    <t>+1 (240) 532-5510</t>
  </si>
  <si>
    <t>Hampton Inn &amp; Suites Cape Coral</t>
  </si>
  <si>
    <t xml:space="preserve">619 S.E. 47th Terrace </t>
  </si>
  <si>
    <t>Cape Coral</t>
  </si>
  <si>
    <t>Walter Crappse</t>
  </si>
  <si>
    <t>+ (239) 540-1050</t>
  </si>
  <si>
    <t>Hampton Inn &amp; Suites Chadds Ford</t>
  </si>
  <si>
    <t xml:space="preserve">40 State Farm Drive </t>
  </si>
  <si>
    <t>Glen Mills</t>
  </si>
  <si>
    <t>Casey Smith</t>
  </si>
  <si>
    <t>+1(610)358-9540</t>
  </si>
  <si>
    <t>Hampton Inn &amp; Suites Charlotte - Ballantyne</t>
  </si>
  <si>
    <t xml:space="preserve">11935 North Community House Road </t>
  </si>
  <si>
    <t>Dominique Wright</t>
  </si>
  <si>
    <t>+1 (315) 813-4267</t>
  </si>
  <si>
    <t>Hampton Inn &amp; Suites Charlotte - Pineville</t>
  </si>
  <si>
    <t xml:space="preserve">401 Town Centre Boulevard </t>
  </si>
  <si>
    <t>Jafad Mwamburi</t>
  </si>
  <si>
    <t>+1 (704) 889-2700</t>
  </si>
  <si>
    <t>Hampton Inn &amp; Suites Charlotte Airport (Dual Property)</t>
  </si>
  <si>
    <t xml:space="preserve">2227 Cascade Pointe Boulevard </t>
  </si>
  <si>
    <t>Drew Dunston</t>
  </si>
  <si>
    <t>Jesse El Azzouzi</t>
  </si>
  <si>
    <t>+1 (980) 312-5500</t>
  </si>
  <si>
    <t>Hampton Inn &amp; Suites Charlotte Arrowood Road</t>
  </si>
  <si>
    <t xml:space="preserve">9110 Southern Pine </t>
  </si>
  <si>
    <t>Jennifer White</t>
  </si>
  <si>
    <t>Sieanna Serrano</t>
  </si>
  <si>
    <t>+1 (704) 525-3333</t>
  </si>
  <si>
    <t>Hampton Inn &amp; Suites Chattanooga Downtown</t>
  </si>
  <si>
    <t xml:space="preserve">400 Chestnut Street </t>
  </si>
  <si>
    <t>Scott Shepard</t>
  </si>
  <si>
    <t>+1 (423) 693-0500</t>
  </si>
  <si>
    <t>Hampton Inn &amp; Suites Chattanooga Hamilton Place</t>
  </si>
  <si>
    <t xml:space="preserve">2014 Hamilton Place Boulevard </t>
  </si>
  <si>
    <t>Christopher Chilton</t>
  </si>
  <si>
    <t>+1 (423) 602-7840</t>
  </si>
  <si>
    <t>Hampton Inn &amp; Suites Chesapeake Square Mall</t>
  </si>
  <si>
    <t xml:space="preserve">4449 Peek Trail </t>
  </si>
  <si>
    <t>Jay Augustin</t>
  </si>
  <si>
    <t>+1 (757) 465-7000</t>
  </si>
  <si>
    <t>Hampton Inn &amp; Suites Chicago River North (CRN)</t>
  </si>
  <si>
    <t xml:space="preserve">33 W. Illinois Street </t>
  </si>
  <si>
    <t>Ross Guthrie</t>
  </si>
  <si>
    <t xml:space="preserve">Michael Zwolinski </t>
  </si>
  <si>
    <t>+ (312) 832-0330</t>
  </si>
  <si>
    <t>Hampton Inn &amp; Suites Chicago/Waukegan</t>
  </si>
  <si>
    <t xml:space="preserve">438 Lakehurst Road </t>
  </si>
  <si>
    <t>Chris Metke</t>
  </si>
  <si>
    <t>Hannah Johnson</t>
  </si>
  <si>
    <t>+1 (224) 715-7676</t>
  </si>
  <si>
    <t>Hampton Inn &amp; Suites Cincinnati Union Centre</t>
  </si>
  <si>
    <t xml:space="preserve">9266 Schulze Drive </t>
  </si>
  <si>
    <t>Kat Hutchinson</t>
  </si>
  <si>
    <t>+1 (513) 341-2040</t>
  </si>
  <si>
    <t>Hampton Inn &amp; Suites Clearwater beach</t>
  </si>
  <si>
    <t xml:space="preserve">635 South Gulfview Boulevard </t>
  </si>
  <si>
    <t>Gregory Burnes</t>
  </si>
  <si>
    <t>Simone Lindo</t>
  </si>
  <si>
    <t>+1 (727) 451-1111</t>
  </si>
  <si>
    <t>Hampton Inn &amp; Suites Clovis</t>
  </si>
  <si>
    <t xml:space="preserve">855 Gettysburg Avenue </t>
  </si>
  <si>
    <t>Stephanie Rodriguez</t>
  </si>
  <si>
    <t>+1 (559) 348-0000</t>
  </si>
  <si>
    <t>Hampton Inn &amp; Suites Colleyville DFW West</t>
  </si>
  <si>
    <t xml:space="preserve">5300 State highway 121 </t>
  </si>
  <si>
    <t>Colleyville</t>
  </si>
  <si>
    <t>+1 (817) 318-5000</t>
  </si>
  <si>
    <t>Hampton Inn &amp; Suites Colorado Springs</t>
  </si>
  <si>
    <t xml:space="preserve">2910 Geyser Dr. </t>
  </si>
  <si>
    <t>Gabi Starr</t>
  </si>
  <si>
    <t>Jennifer Kamberis</t>
  </si>
  <si>
    <t>+1 (719) 884-0330</t>
  </si>
  <si>
    <t>Hampton Inn &amp; Suites Columbia</t>
  </si>
  <si>
    <t xml:space="preserve">7045 Minstrel Way </t>
  </si>
  <si>
    <t>Joseph Galvan</t>
  </si>
  <si>
    <t>Kimberly Hart</t>
  </si>
  <si>
    <t>+(410)381-3001</t>
  </si>
  <si>
    <t>Hampton Inn &amp; Suites Columbus</t>
  </si>
  <si>
    <t xml:space="preserve">1915 6th Street North </t>
  </si>
  <si>
    <t>Columbus Afb</t>
  </si>
  <si>
    <t>Adriana Brunson</t>
  </si>
  <si>
    <t>+1 (662)245-1085</t>
  </si>
  <si>
    <t>Hampton Inn &amp; Suites Columbus/Easton</t>
  </si>
  <si>
    <t xml:space="preserve">4150 Stelzer Rd. </t>
  </si>
  <si>
    <t>Joy Cronin</t>
  </si>
  <si>
    <t>Michael Koziorynsky</t>
  </si>
  <si>
    <t>+1 (614) 473-9911</t>
  </si>
  <si>
    <t>Hampton Inn &amp; Suites Cranberry Pittsburgh</t>
  </si>
  <si>
    <t xml:space="preserve">10015 Pendleton Way </t>
  </si>
  <si>
    <t>Steven Knight</t>
  </si>
  <si>
    <t>+()7247201100</t>
  </si>
  <si>
    <t>Hampton Inn &amp; Suites Dallas - Frisco North Fieldhouse</t>
  </si>
  <si>
    <t xml:space="preserve">6070 Sports Village Road </t>
  </si>
  <si>
    <t>Karen Carlquist</t>
  </si>
  <si>
    <t>Jonathan Williams</t>
  </si>
  <si>
    <t>+1 (972) 668-4200</t>
  </si>
  <si>
    <t>Hampton Inn &amp; Suites Dallas East</t>
  </si>
  <si>
    <t xml:space="preserve">8605 East R L Thornton Freeway </t>
  </si>
  <si>
    <t>Jerry Brown</t>
  </si>
  <si>
    <t>+1 (469) 206-6030</t>
  </si>
  <si>
    <t>Hampton Inn &amp; Suites Dallas- Mesquite</t>
  </si>
  <si>
    <t xml:space="preserve">1700 Rodeo Drive </t>
  </si>
  <si>
    <t>Brandon Henderson</t>
  </si>
  <si>
    <t>Karla Jacobs</t>
  </si>
  <si>
    <t>+1 (972) 329-3100</t>
  </si>
  <si>
    <t xml:space="preserve">Hampton Inn &amp; Suites Decatur </t>
  </si>
  <si>
    <t xml:space="preserve">110 South Highway 81 / 287 </t>
  </si>
  <si>
    <t>Wilma Howard</t>
  </si>
  <si>
    <t>+1 (940) 627-4900</t>
  </si>
  <si>
    <t>Hampton Inn &amp; Suites Denver Airport-Gateway Park</t>
  </si>
  <si>
    <t xml:space="preserve">4310 Airport Way </t>
  </si>
  <si>
    <t>Haitham Salah</t>
  </si>
  <si>
    <t>+1(303)375-8118</t>
  </si>
  <si>
    <t>Hampton Inn &amp; Suites Denver Downtown</t>
  </si>
  <si>
    <t xml:space="preserve">1845 Sherman Street </t>
  </si>
  <si>
    <t>Michael Galligan</t>
  </si>
  <si>
    <t>+1 (303) 864-8000</t>
  </si>
  <si>
    <t>Hampton Inn &amp; Suites Deptford</t>
  </si>
  <si>
    <t xml:space="preserve">1253 Hurfville Road </t>
  </si>
  <si>
    <t>Deptford</t>
  </si>
  <si>
    <t>Sabrina Burke</t>
  </si>
  <si>
    <t>+1 (609) 577-3613</t>
  </si>
  <si>
    <t>Hampton Inn &amp; Suites Des Moines</t>
  </si>
  <si>
    <t xml:space="preserve">120 SW Water Street </t>
  </si>
  <si>
    <t>Jeffrey Abbott</t>
  </si>
  <si>
    <t>+1(515)244-1650</t>
  </si>
  <si>
    <t>Hampton Inn &amp; Suites El Paso</t>
  </si>
  <si>
    <t xml:space="preserve">6635 Gateway Boulevard West </t>
  </si>
  <si>
    <t>Gabriel Ayub</t>
  </si>
  <si>
    <t>+1 (915) 771-6644</t>
  </si>
  <si>
    <t>Hampton Inn &amp; Suites Exeter</t>
  </si>
  <si>
    <t xml:space="preserve">59 Portsmouth Avenue </t>
  </si>
  <si>
    <t>Exeter</t>
  </si>
  <si>
    <t>Nick Starns</t>
  </si>
  <si>
    <t>Ryan Sheridan</t>
  </si>
  <si>
    <t>+1 (603) 658-5555</t>
  </si>
  <si>
    <t>Hampton Inn &amp; Suites Falls Church</t>
  </si>
  <si>
    <t xml:space="preserve">6430 Arlington Boulevard </t>
  </si>
  <si>
    <t>Falls Church</t>
  </si>
  <si>
    <t>Hatice Meral</t>
  </si>
  <si>
    <t>+1 (703) 538-1000</t>
  </si>
  <si>
    <t>Hampton Inn &amp; Suites Fayetteville</t>
  </si>
  <si>
    <t xml:space="preserve">2065 Cedar Creek Road </t>
  </si>
  <si>
    <t>Milan Patel</t>
  </si>
  <si>
    <t>Meagan Larima</t>
  </si>
  <si>
    <t>Hampton Inn &amp; Suites Fort Belvoir</t>
  </si>
  <si>
    <t xml:space="preserve">8843 Richmond Highway </t>
  </si>
  <si>
    <t>April Luedtke</t>
  </si>
  <si>
    <t>+(703)619-7026</t>
  </si>
  <si>
    <t>Hampton Inn &amp; Suites Ft. Lauderdale Airport</t>
  </si>
  <si>
    <t xml:space="preserve">2500 Stirling Road </t>
  </si>
  <si>
    <t>Alegna Reyes</t>
  </si>
  <si>
    <t>Robert Cruz</t>
  </si>
  <si>
    <t>+1 (954) 922-0011</t>
  </si>
  <si>
    <t>Hampton Inn &amp; Suites Grand Rapids-Airport 28th Street</t>
  </si>
  <si>
    <t xml:space="preserve">5200 28th Street </t>
  </si>
  <si>
    <t>Louis Calise</t>
  </si>
  <si>
    <t>+1 (616) 575-9144</t>
  </si>
  <si>
    <t>Hampton Inn &amp; Suites Grants Pass</t>
  </si>
  <si>
    <t xml:space="preserve">110 Northeast Morgan Lane </t>
  </si>
  <si>
    <t>Grants Pass</t>
  </si>
  <si>
    <t>Samantha Chanquet</t>
  </si>
  <si>
    <t>+1 (541) 474-5690</t>
  </si>
  <si>
    <t>Hampton Inn &amp; Suites Gulfport</t>
  </si>
  <si>
    <t xml:space="preserve">15580 Daniel Boulevard </t>
  </si>
  <si>
    <t>Kerri Guinn</t>
  </si>
  <si>
    <t>+1 (228) 539-0601</t>
  </si>
  <si>
    <t>Hampton Inn &amp; Suites Hammond</t>
  </si>
  <si>
    <t xml:space="preserve">2842 Carlson Drive </t>
  </si>
  <si>
    <t>Thomas Wilson</t>
  </si>
  <si>
    <t>Tadora Matthews</t>
  </si>
  <si>
    <t>+(219) 629-8720</t>
  </si>
  <si>
    <t>Hampton Inn &amp; Suites Harrisburg North</t>
  </si>
  <si>
    <t xml:space="preserve">30 Capital Drive </t>
  </si>
  <si>
    <t>Amanda Richardson</t>
  </si>
  <si>
    <t>+1 (717) 540-0900</t>
  </si>
  <si>
    <t>Hampton Inn &amp; Suites Home2 Suites Las Vegas Convention Center</t>
  </si>
  <si>
    <t xml:space="preserve">755 Sierra Vista Drive </t>
  </si>
  <si>
    <t>Zaw Oo</t>
  </si>
  <si>
    <t>Lynhdan Nguyen</t>
  </si>
  <si>
    <t>+1 (725) 780-4100</t>
  </si>
  <si>
    <t>Hampton Inn &amp; Suites Hood River</t>
  </si>
  <si>
    <t xml:space="preserve">1 Nichols Parkway </t>
  </si>
  <si>
    <t>Hood River</t>
  </si>
  <si>
    <t>Joseph Brice</t>
  </si>
  <si>
    <t>+1 (541) 436-1600</t>
  </si>
  <si>
    <t>Hampton Inn &amp; Suites Houston-Medical Center-Reliant Park</t>
  </si>
  <si>
    <t xml:space="preserve">1715 Old Spanish Trail </t>
  </si>
  <si>
    <t>Marlena Mastromarino</t>
  </si>
  <si>
    <t>Shelly Halladay</t>
  </si>
  <si>
    <t>+1 (713) 797-0040</t>
  </si>
  <si>
    <t>Hampton Inn &amp; Suites I-65 Mobile</t>
  </si>
  <si>
    <t xml:space="preserve">1028 West I-65 Service Road South </t>
  </si>
  <si>
    <t>Thomas Cobb</t>
  </si>
  <si>
    <t>Matthew Cunningham II</t>
  </si>
  <si>
    <t>+ () 251-343-4007</t>
  </si>
  <si>
    <t>Hampton Inn &amp; Suites Imperial Beach</t>
  </si>
  <si>
    <t xml:space="preserve">771 Palm Avenue </t>
  </si>
  <si>
    <t>Imperial Beach</t>
  </si>
  <si>
    <t>Robert Blatt</t>
  </si>
  <si>
    <t>+1 (619) 295-1004</t>
  </si>
  <si>
    <t>Hampton Inn &amp; Suites Jackson (MS)</t>
  </si>
  <si>
    <t xml:space="preserve">320 Greymont AVE </t>
  </si>
  <si>
    <t>Ruby Lindsey</t>
  </si>
  <si>
    <t>+ (601) 352-1700</t>
  </si>
  <si>
    <t>Hampton Inn &amp; Suites Jacksonville</t>
  </si>
  <si>
    <t xml:space="preserve">1032 Hampton Inn Way </t>
  </si>
  <si>
    <t>Chris Davis</t>
  </si>
  <si>
    <t>+1(910)347-3400</t>
  </si>
  <si>
    <t>Hampton Inn &amp; Suites Jekyll Island</t>
  </si>
  <si>
    <t xml:space="preserve">200 South Beachview Drive </t>
  </si>
  <si>
    <t>William Daley</t>
  </si>
  <si>
    <t>+1 (912) 635-3733</t>
  </si>
  <si>
    <t>Hampton Inn &amp; Suites Kelowna Airport</t>
  </si>
  <si>
    <t xml:space="preserve">1665 Innovation Drive </t>
  </si>
  <si>
    <t>V1V 2Y9</t>
  </si>
  <si>
    <t>Jamie Hackl</t>
  </si>
  <si>
    <t>+1 (250) 765-9042</t>
  </si>
  <si>
    <t xml:space="preserve">Hampton Inn &amp; Suites Lady Lake - The Villages </t>
  </si>
  <si>
    <t xml:space="preserve">11727 N.E. 63rd Drive </t>
  </si>
  <si>
    <t>The Villages</t>
  </si>
  <si>
    <t>+ (352) 259-8246</t>
  </si>
  <si>
    <t>Hampton Inn &amp; Suites Lake Placid</t>
  </si>
  <si>
    <t xml:space="preserve">801 Mirror Lake Drive </t>
  </si>
  <si>
    <t>Lake Placid</t>
  </si>
  <si>
    <t>Richard Cambeis</t>
  </si>
  <si>
    <t>Geneveive Benware</t>
  </si>
  <si>
    <t>+1 (518) 523-9500</t>
  </si>
  <si>
    <t>Hampton Inn &amp; Suites Landfall Park</t>
  </si>
  <si>
    <t xml:space="preserve">1989 Eastwood Rd </t>
  </si>
  <si>
    <t>Dan Kovacic</t>
  </si>
  <si>
    <t>+1 (910) 256-9600</t>
  </si>
  <si>
    <t>Hampton Inn &amp; Suites Lansing West</t>
  </si>
  <si>
    <t xml:space="preserve">900 North Canal Road </t>
  </si>
  <si>
    <t>David Eddy</t>
  </si>
  <si>
    <t>+1 (517) 999-7900</t>
  </si>
  <si>
    <t>Hampton Inn &amp; Suites Las Vegas - Red Rock Summerlin</t>
  </si>
  <si>
    <t xml:space="preserve">4280 S. Grand Canyon </t>
  </si>
  <si>
    <t>Christine West</t>
  </si>
  <si>
    <t>John Henry</t>
  </si>
  <si>
    <t>+1 (702) 227-3305</t>
  </si>
  <si>
    <t>Hampton Inn &amp; Suites Lexington</t>
  </si>
  <si>
    <t xml:space="preserve">4751 Sunset Boulevard </t>
  </si>
  <si>
    <t>Michael Magee</t>
  </si>
  <si>
    <t>Jennifer Cook</t>
  </si>
  <si>
    <t>+1 (803) 722-5800</t>
  </si>
  <si>
    <t>Hampton Inn &amp; Suites Liberty Township</t>
  </si>
  <si>
    <t xml:space="preserve">7320 Tylers Place Boulevard </t>
  </si>
  <si>
    <t>Katarzyna Hutchinson</t>
  </si>
  <si>
    <t>+1 (513) 847-5700</t>
  </si>
  <si>
    <t>Hampton Inn &amp; Suites Los Alamos</t>
  </si>
  <si>
    <t xml:space="preserve">124 State Highway 4 </t>
  </si>
  <si>
    <t>Jack Marshall</t>
  </si>
  <si>
    <t>Indira Lopez</t>
  </si>
  <si>
    <t>+1 (505) 672-3838</t>
  </si>
  <si>
    <t>Hampton Inn &amp; Suites Manchester</t>
  </si>
  <si>
    <t xml:space="preserve">1432 Pleasant Valley Road </t>
  </si>
  <si>
    <t>Lindsay Struck</t>
  </si>
  <si>
    <t>+1 (860) 644-1732</t>
  </si>
  <si>
    <t>Hampton Inn &amp; Suites Marana</t>
  </si>
  <si>
    <t xml:space="preserve">6300 West Marana Center Boulevard </t>
  </si>
  <si>
    <t>Marana</t>
  </si>
  <si>
    <t>+1 (520) 572-1010</t>
  </si>
  <si>
    <t>Hampton Inn &amp; Suites McAllen</t>
  </si>
  <si>
    <t xml:space="preserve">10 W. Expressway 83 </t>
  </si>
  <si>
    <t>Mcallen</t>
  </si>
  <si>
    <t>Jessica Echeverria</t>
  </si>
  <si>
    <t>+1 (956) 661-1100</t>
  </si>
  <si>
    <t>Hampton Inn &amp; Suites Miami Doral Boulevard</t>
  </si>
  <si>
    <t xml:space="preserve">11600 NW 41st Street </t>
  </si>
  <si>
    <t>Miami Doral</t>
  </si>
  <si>
    <t>Jonathan Lykins</t>
  </si>
  <si>
    <t>+1 (305) 500-9300</t>
  </si>
  <si>
    <t>Hampton Inn &amp; Suites Milwaukee Downtown</t>
  </si>
  <si>
    <t xml:space="preserve">176 West Wisconsin Avenue </t>
  </si>
  <si>
    <t>Amy Grunwald</t>
  </si>
  <si>
    <t>Phil Heisler</t>
  </si>
  <si>
    <t>+1 (414) 271-4656</t>
  </si>
  <si>
    <t>Hampton Inn &amp; Suites Moline Quad City International Airport</t>
  </si>
  <si>
    <t xml:space="preserve">2450 69th Avenue </t>
  </si>
  <si>
    <t>Todd Dickey</t>
  </si>
  <si>
    <t>+1 (309) 762-1900</t>
  </si>
  <si>
    <t>Hampton Inn &amp; Suites Montgomery</t>
  </si>
  <si>
    <t xml:space="preserve">100 Commerce St. </t>
  </si>
  <si>
    <t>John Jones</t>
  </si>
  <si>
    <t>Shareta Williams</t>
  </si>
  <si>
    <t>+1 (334) 265-1010</t>
  </si>
  <si>
    <t>Hampton Inn &amp; Suites Mt. Juliet</t>
  </si>
  <si>
    <t xml:space="preserve">5001 Crossings Circle </t>
  </si>
  <si>
    <t>John Pleasant</t>
  </si>
  <si>
    <t>+1 (615) 553-5900</t>
  </si>
  <si>
    <t>Hampton Inn &amp; Suites Mt. Prospect</t>
  </si>
  <si>
    <t xml:space="preserve">1 Randhurst Village Dr. </t>
  </si>
  <si>
    <t>Nicoleta Williams</t>
  </si>
  <si>
    <t>Robert Nicosia</t>
  </si>
  <si>
    <t>+ (847) 590-1860</t>
  </si>
  <si>
    <t>Hampton Inn &amp; Suites Muscatine</t>
  </si>
  <si>
    <t xml:space="preserve">3303 North Port Drive </t>
  </si>
  <si>
    <t>Muscatine</t>
  </si>
  <si>
    <t>Juanita Hinton</t>
  </si>
  <si>
    <t>+1 (563) 264-3003</t>
  </si>
  <si>
    <t>Hampton Inn &amp; Suites N. Ft Worth-Alliance Airport</t>
  </si>
  <si>
    <t xml:space="preserve">13600 North Freeway </t>
  </si>
  <si>
    <t>Jonathan Radford</t>
  </si>
  <si>
    <t>+1 (817) 439-0400</t>
  </si>
  <si>
    <t>Hampton Inn &amp; Suites Nashville</t>
  </si>
  <si>
    <t xml:space="preserve">3451 Dickerson Road </t>
  </si>
  <si>
    <t>Stefano Patterson</t>
  </si>
  <si>
    <t>+()1-615-762-3500</t>
  </si>
  <si>
    <t>Hampton Inn &amp; Suites Nashville Downtown</t>
  </si>
  <si>
    <t xml:space="preserve">310 4th Avenue South </t>
  </si>
  <si>
    <t>Donald Hartley</t>
  </si>
  <si>
    <t>Azat Ismagilov</t>
  </si>
  <si>
    <t>+1 (615) 277-5000</t>
  </si>
  <si>
    <t>Hampton Inn &amp; Suites Nashville/Franklin</t>
  </si>
  <si>
    <t xml:space="preserve">7141 South Springs Drive </t>
  </si>
  <si>
    <t>David Brawner</t>
  </si>
  <si>
    <t>+1 (615) 771-7225</t>
  </si>
  <si>
    <t>Hampton Inn &amp; Suites Nashville-Airport</t>
  </si>
  <si>
    <t xml:space="preserve">583 Donelson Pike </t>
  </si>
  <si>
    <t>+(615)885-4242</t>
  </si>
  <si>
    <t>Hampton Inn &amp; Suites New Albany</t>
  </si>
  <si>
    <t xml:space="preserve">5220 Forest Drive </t>
  </si>
  <si>
    <t>Jake O'Dare</t>
  </si>
  <si>
    <t>Jennifer Doll</t>
  </si>
  <si>
    <t>+1 (270) 683-1555</t>
  </si>
  <si>
    <t>Hampton Inn &amp; Suites New Haven</t>
  </si>
  <si>
    <t xml:space="preserve">510 Sawmill Road </t>
  </si>
  <si>
    <t>West Haven</t>
  </si>
  <si>
    <t>Robert Langevin</t>
  </si>
  <si>
    <t>+ (203) 932-0404</t>
  </si>
  <si>
    <t>Hampton Inn &amp; Suites New Orleans Convention Center</t>
  </si>
  <si>
    <t xml:space="preserve">1201 Convention Center Boulevard </t>
  </si>
  <si>
    <t>Bryan Roberts</t>
  </si>
  <si>
    <t>+1 (504) 566-9990</t>
  </si>
  <si>
    <t>Hampton Inn &amp; Suites New Orleans Garden District</t>
  </si>
  <si>
    <t xml:space="preserve">3626 St. Charles Avenue </t>
  </si>
  <si>
    <t>+1 (504) 899- 9990</t>
  </si>
  <si>
    <t>Hampton Inn &amp; Suites Newark Harrison Riverwalk</t>
  </si>
  <si>
    <t xml:space="preserve">100 Passaic Avenue </t>
  </si>
  <si>
    <t>East Newark</t>
  </si>
  <si>
    <t>Waheeda Ashraf</t>
  </si>
  <si>
    <t>+1 (973) 483-1900</t>
  </si>
  <si>
    <t>Hampton Inn &amp; Suites Niles</t>
  </si>
  <si>
    <t xml:space="preserve">5581 Youngstown-Warren Road </t>
  </si>
  <si>
    <t>Niles</t>
  </si>
  <si>
    <t>Nick Pratt</t>
  </si>
  <si>
    <t>Vivian Sullivan</t>
  </si>
  <si>
    <t>+1 (330) 652-1277</t>
  </si>
  <si>
    <t>Hampton Inn &amp; Suites Omaha-Downtown</t>
  </si>
  <si>
    <t xml:space="preserve">1212 Cuming Street </t>
  </si>
  <si>
    <t>Josh Houston</t>
  </si>
  <si>
    <t>+1 (402) 345-5500</t>
  </si>
  <si>
    <t>Hampton Inn &amp; Suites Orlando Gateway-Orlando Airport</t>
  </si>
  <si>
    <t xml:space="preserve">5460 Gateway Village Circle </t>
  </si>
  <si>
    <t>Belle Isle</t>
  </si>
  <si>
    <t>Gina Fedotova</t>
  </si>
  <si>
    <t>Jhanette Andrade</t>
  </si>
  <si>
    <t>+ (407) 857-2830</t>
  </si>
  <si>
    <t>Hampton Inn &amp; Suites Orlando Health - Downtown</t>
  </si>
  <si>
    <t xml:space="preserve">43 West Columbia Street </t>
  </si>
  <si>
    <t>Kristina Nielsen</t>
  </si>
  <si>
    <t>+(407) 270-6460</t>
  </si>
  <si>
    <t>Hampton Inn &amp; Suites Orlando International Drive North</t>
  </si>
  <si>
    <t xml:space="preserve">7448 International Drive </t>
  </si>
  <si>
    <t>Rosetta Kimraj</t>
  </si>
  <si>
    <t>Steven Dougherty</t>
  </si>
  <si>
    <t>Hampton Inn &amp; Suites Orlando North Altamonte Springs</t>
  </si>
  <si>
    <t xml:space="preserve">161 North Douglas Avenue </t>
  </si>
  <si>
    <t>Nicole Henderson</t>
  </si>
  <si>
    <t>+1 (407) 331-0220</t>
  </si>
  <si>
    <t>Hampton Inn &amp; Suites Orlando-Apopka</t>
  </si>
  <si>
    <t xml:space="preserve">321 South Lake Cortez Drive </t>
  </si>
  <si>
    <t>Apopka</t>
  </si>
  <si>
    <t>Moe El Hoss</t>
  </si>
  <si>
    <t>+1(407) 880-7861</t>
  </si>
  <si>
    <t>Hampton Inn &amp; Suites Parsippany North</t>
  </si>
  <si>
    <t xml:space="preserve">3737 Route 46 East </t>
  </si>
  <si>
    <t>Troy Hills</t>
  </si>
  <si>
    <t>Robert Bayer</t>
  </si>
  <si>
    <t>Tamia Esperance</t>
  </si>
  <si>
    <t>+1 (973) 257-1600</t>
  </si>
  <si>
    <t>Hampton Inn &amp; Suites Phoenix Tempe</t>
  </si>
  <si>
    <t xml:space="preserve">1415 North Scottsdale Road </t>
  </si>
  <si>
    <t>Joan Rozum</t>
  </si>
  <si>
    <t>+1 (480) 941-3441</t>
  </si>
  <si>
    <t>Hampton Inn &amp; Suites Pinedale</t>
  </si>
  <si>
    <t xml:space="preserve">55 Bloomfield Avenue </t>
  </si>
  <si>
    <t>Pinedale</t>
  </si>
  <si>
    <t>Stuart Lamson</t>
  </si>
  <si>
    <t>Robyn Hofland</t>
  </si>
  <si>
    <t>+1 (307) 367-6700</t>
  </si>
  <si>
    <t>Hampton Inn &amp; Suites Pittsburgh/Waterfront-West</t>
  </si>
  <si>
    <t xml:space="preserve">301 West Waterfront Drive </t>
  </si>
  <si>
    <t>Marianne Linder</t>
  </si>
  <si>
    <t>+1 (412) 462-4226</t>
  </si>
  <si>
    <t>Hampton Inn &amp; Suites Pittsburgh-Meadow Lands</t>
  </si>
  <si>
    <t xml:space="preserve">475 Johnson Road </t>
  </si>
  <si>
    <t>Kimberly Redman</t>
  </si>
  <si>
    <t>+1 (724) 222-4014</t>
  </si>
  <si>
    <t>Hampton Inn &amp; Suites Portsmouth</t>
  </si>
  <si>
    <t xml:space="preserve">23 Portwalk Place </t>
  </si>
  <si>
    <t>Jon Newton</t>
  </si>
  <si>
    <t>Stephen Harding</t>
  </si>
  <si>
    <t>+1 (603) 430-3033</t>
  </si>
  <si>
    <t>still88</t>
  </si>
  <si>
    <t>Hampton Inn &amp; Suites Providence Warwick - Airport</t>
  </si>
  <si>
    <t xml:space="preserve">2100 Post Road </t>
  </si>
  <si>
    <t>Paris Charles</t>
  </si>
  <si>
    <t>+1 (401) 739-8888</t>
  </si>
  <si>
    <t>Hampton Inn &amp; Suites Pueblo</t>
  </si>
  <si>
    <t xml:space="preserve">3315 Gateway Drive </t>
  </si>
  <si>
    <t>Pueblo</t>
  </si>
  <si>
    <t>Kristen Romero</t>
  </si>
  <si>
    <t>+1 (719) 566-1726</t>
  </si>
  <si>
    <t>Hampton Inn &amp; Suites Redding</t>
  </si>
  <si>
    <t xml:space="preserve">2160 Larkspur Lane </t>
  </si>
  <si>
    <t>Dave Grabeal</t>
  </si>
  <si>
    <t>+1 (530) 224-1001</t>
  </si>
  <si>
    <t>Hampton Inn &amp; Suites Roseburg</t>
  </si>
  <si>
    <t xml:space="preserve">1620 Northwest Mulholland Drive </t>
  </si>
  <si>
    <t>Roseburg</t>
  </si>
  <si>
    <t>Allen Pike</t>
  </si>
  <si>
    <t>+1 (541) 492-1212</t>
  </si>
  <si>
    <t>Hampton Inn &amp; Suites Roseville</t>
  </si>
  <si>
    <t xml:space="preserve">110 North Sunrise Avenue </t>
  </si>
  <si>
    <t>Roseville</t>
  </si>
  <si>
    <t>Henry Collantes</t>
  </si>
  <si>
    <t>+1 (916) 772-9900</t>
  </si>
  <si>
    <t>Hampton Inn &amp; Suites San Antonio Downtown Market Square</t>
  </si>
  <si>
    <t xml:space="preserve">411 South Flores Street </t>
  </si>
  <si>
    <t>+1 (210) 212-7000</t>
  </si>
  <si>
    <t>Hampton Inn &amp; Suites San Antonio Lackland ABF SeaWorld</t>
  </si>
  <si>
    <t xml:space="preserve">1719 Cable Ranch Road </t>
  </si>
  <si>
    <t>April Galvan</t>
  </si>
  <si>
    <t>+1 (210) 674-0700</t>
  </si>
  <si>
    <t>Hampton Inn &amp; Suites San Diego Liberty Station</t>
  </si>
  <si>
    <t xml:space="preserve">2211 Lee Court </t>
  </si>
  <si>
    <t>Matthew Paone</t>
  </si>
  <si>
    <t>Maria Murillo</t>
  </si>
  <si>
    <t>+1 (619) 881-2710</t>
  </si>
  <si>
    <t>Hampton Inn &amp; Suites San Luis Obispo</t>
  </si>
  <si>
    <t xml:space="preserve">1530 Calle Joaquin </t>
  </si>
  <si>
    <t>Rick Ogg</t>
  </si>
  <si>
    <t>Jen Crooks</t>
  </si>
  <si>
    <t>+ (805) 594-1445</t>
  </si>
  <si>
    <t>Hampton Inn &amp; Suites Seattle</t>
  </si>
  <si>
    <t xml:space="preserve">19324 Alderwood Mall Parkway </t>
  </si>
  <si>
    <t>LYNNWOOD</t>
  </si>
  <si>
    <t>+1 (425) 771-1888</t>
  </si>
  <si>
    <t>Hampton Inn &amp; Suites Shreveport Bossier City at Airline Drive</t>
  </si>
  <si>
    <t xml:space="preserve">2691 Viking Drive </t>
  </si>
  <si>
    <t>Hayden Kezerle</t>
  </si>
  <si>
    <t>+1 (318) 841-9700</t>
  </si>
  <si>
    <t>Hampton Inn &amp; Suites Silverthorne</t>
  </si>
  <si>
    <t>177 Meraly Way PO BOX 416</t>
  </si>
  <si>
    <t>Silverthorne</t>
  </si>
  <si>
    <t>Becci Hyde</t>
  </si>
  <si>
    <t>+1 (970) 513-4020</t>
  </si>
  <si>
    <t>Hampton Inn &amp; Suites Smithfield</t>
  </si>
  <si>
    <t xml:space="preserve">945 Douglas Pike </t>
  </si>
  <si>
    <t>Chris French</t>
  </si>
  <si>
    <t>+ (401) 232-9200</t>
  </si>
  <si>
    <t>Hampton Inn &amp; Suites Snellville Atlanta NE</t>
  </si>
  <si>
    <t xml:space="preserve">1905 Pharrs Road </t>
  </si>
  <si>
    <t>Snellville</t>
  </si>
  <si>
    <t>Saun Matthews</t>
  </si>
  <si>
    <t>+1 (678) 344-9090</t>
  </si>
  <si>
    <t>Hampton Inn &amp; Suites South Bend</t>
  </si>
  <si>
    <t xml:space="preserve">52709 US 31N </t>
  </si>
  <si>
    <t>Paula Landa</t>
  </si>
  <si>
    <t>Charles Fetherolf</t>
  </si>
  <si>
    <t>+ (574) 277-9373</t>
  </si>
  <si>
    <t>Hampton Inn &amp; Suites Sparks</t>
  </si>
  <si>
    <t xml:space="preserve">200 Legends Bay Drive </t>
  </si>
  <si>
    <t>Patrick</t>
  </si>
  <si>
    <t>Courtney Scholl</t>
  </si>
  <si>
    <t>+1 (775) 351-2220</t>
  </si>
  <si>
    <t>Hampton Inn &amp; Suites Springdale</t>
  </si>
  <si>
    <t xml:space="preserve">1700 South 48th Street </t>
  </si>
  <si>
    <t>Springdale</t>
  </si>
  <si>
    <t>Jayson Janda</t>
  </si>
  <si>
    <t>+1 (479) 756-3500</t>
  </si>
  <si>
    <t>Hampton Inn &amp; Suites St Augustine</t>
  </si>
  <si>
    <t xml:space="preserve">95 Vilano Road </t>
  </si>
  <si>
    <t>Antonio Alicea</t>
  </si>
  <si>
    <t>Catherine Longo</t>
  </si>
  <si>
    <t>+1 (904) 827-9797</t>
  </si>
  <si>
    <t>Hampton Inn &amp; Suites Tampa Airport Avion Park Westshore</t>
  </si>
  <si>
    <t xml:space="preserve">5329 Avion Park Drive </t>
  </si>
  <si>
    <t>Abel Bohorquez</t>
  </si>
  <si>
    <t>John Janzen</t>
  </si>
  <si>
    <t>+1 (813) 287-8500</t>
  </si>
  <si>
    <t>Hampton Inn &amp; Suites Tampa Busch Gardens Area</t>
  </si>
  <si>
    <t xml:space="preserve">3333 E. Busch Blvd </t>
  </si>
  <si>
    <t>Mark Clausen</t>
  </si>
  <si>
    <t>+(1) 813-605-5233</t>
  </si>
  <si>
    <t xml:space="preserve">Hampton Inn &amp; Suites Tampa East </t>
  </si>
  <si>
    <t xml:space="preserve">11740 Tampa Gateway Boulevard </t>
  </si>
  <si>
    <t>Seffner</t>
  </si>
  <si>
    <t>Lilian Rosa</t>
  </si>
  <si>
    <t>+ (813) 630-4321</t>
  </si>
  <si>
    <t>Hampton Inn &amp; Suites Teaneck</t>
  </si>
  <si>
    <t xml:space="preserve">1 Glenwood Avenue </t>
  </si>
  <si>
    <t>Teaneck</t>
  </si>
  <si>
    <t>Joshua Still</t>
  </si>
  <si>
    <t>Logan Wolverton</t>
  </si>
  <si>
    <t>+1 (201) 883-9777</t>
  </si>
  <si>
    <t>Hampton Inn &amp; Suites Tucson Tech Park</t>
  </si>
  <si>
    <t xml:space="preserve">9095 South Rita Road </t>
  </si>
  <si>
    <t>+1 (520) 989-7200</t>
  </si>
  <si>
    <t>Hampton Inn &amp; Suites Tulsa South-Bixby</t>
  </si>
  <si>
    <t xml:space="preserve">8220 East Regal Place </t>
  </si>
  <si>
    <t>Philip Koepf</t>
  </si>
  <si>
    <t>+1 (918) 394-2000</t>
  </si>
  <si>
    <t>Hampton Inn &amp; Suites Vero Beach</t>
  </si>
  <si>
    <t xml:space="preserve">611 20th Place </t>
  </si>
  <si>
    <t>Gifford</t>
  </si>
  <si>
    <t>Brenda Celano</t>
  </si>
  <si>
    <t>+1 (772) 774-4010</t>
  </si>
  <si>
    <t>Hampton Inn &amp; Suites Waco</t>
  </si>
  <si>
    <t xml:space="preserve">2501 Marketplace Drive </t>
  </si>
  <si>
    <t>Erica Almanzaflores</t>
  </si>
  <si>
    <t>+1 (254) 662-9500</t>
  </si>
  <si>
    <t>Hampton Inn &amp; Suites West Lafayette</t>
  </si>
  <si>
    <t xml:space="preserve">160 Tapawingo Drive </t>
  </si>
  <si>
    <t>W Lafayette</t>
  </si>
  <si>
    <t>Jim Winship</t>
  </si>
  <si>
    <t>+1 (765) 269-8000</t>
  </si>
  <si>
    <t>Hampton Inn &amp; Suites Westford</t>
  </si>
  <si>
    <t xml:space="preserve">9 Nixon Road </t>
  </si>
  <si>
    <t>Westford</t>
  </si>
  <si>
    <t>Midre Gonzalez</t>
  </si>
  <si>
    <t>+1 (978) 392-1555</t>
  </si>
  <si>
    <t>Hampton Inn &amp; Suites Wilmington</t>
  </si>
  <si>
    <t xml:space="preserve">225 Grace Street </t>
  </si>
  <si>
    <t>Wilm</t>
  </si>
  <si>
    <t>Eric Brown</t>
  </si>
  <si>
    <t>+1 (910) 251-3930</t>
  </si>
  <si>
    <t>Hampton Inn &amp; Suites Winston Salem University</t>
  </si>
  <si>
    <t xml:space="preserve">309 Summit Square Court </t>
  </si>
  <si>
    <t>Bob Chapman</t>
  </si>
  <si>
    <t>+1 (336) 377-3000</t>
  </si>
  <si>
    <t xml:space="preserve">Hampton Inn and Suites - Richardson </t>
  </si>
  <si>
    <t xml:space="preserve">2250 North Glenville Drive </t>
  </si>
  <si>
    <t>Michael Lloyd</t>
  </si>
  <si>
    <t>+1 (972) 231-9800</t>
  </si>
  <si>
    <t>Hampton Inn and Suites Dallas Lewisville</t>
  </si>
  <si>
    <t xml:space="preserve">2650 Lake Vista Drive </t>
  </si>
  <si>
    <t>Vilma Trevino</t>
  </si>
  <si>
    <t>+1 (972) 315-3200</t>
  </si>
  <si>
    <t>Hampton Inn and Suites Vine Street</t>
  </si>
  <si>
    <t xml:space="preserve">617 Vine Street </t>
  </si>
  <si>
    <t>Curtis Slough</t>
  </si>
  <si>
    <t>+()513-354-2430</t>
  </si>
  <si>
    <t>Hampton Inn and Suites Wichita Northeast</t>
  </si>
  <si>
    <t xml:space="preserve">2433 North Greenwich Road </t>
  </si>
  <si>
    <t>Brandi Stewart</t>
  </si>
  <si>
    <t>Martiece Cook</t>
  </si>
  <si>
    <t>+1 (316) 636-5594</t>
  </si>
  <si>
    <t>Hampton Inn Athens</t>
  </si>
  <si>
    <t xml:space="preserve">2220 West Broad Street </t>
  </si>
  <si>
    <t>Christopher Jordan</t>
  </si>
  <si>
    <t>Nicolas Williams</t>
  </si>
  <si>
    <t>+1 (706) 548-9600</t>
  </si>
  <si>
    <t xml:space="preserve">986 East State Street </t>
  </si>
  <si>
    <t>Lindsay Barnett</t>
  </si>
  <si>
    <t>Derek Gross</t>
  </si>
  <si>
    <t>+1(740)593-5600</t>
  </si>
  <si>
    <t>Hampton Inn Atlanta Kennesaw</t>
  </si>
  <si>
    <t xml:space="preserve">3405 Busbee Drive </t>
  </si>
  <si>
    <t>Priscilla Urra</t>
  </si>
  <si>
    <t>+1 (770) 427-2002</t>
  </si>
  <si>
    <t>Hampton Inn Austin-North @ I-35 &amp; Hwy 183</t>
  </si>
  <si>
    <t xml:space="preserve">7619 I-35 North </t>
  </si>
  <si>
    <t>Joseph Trousdale</t>
  </si>
  <si>
    <t>+ 1 (512) 452-3300</t>
  </si>
  <si>
    <t>Hampton Inn Bellvue</t>
  </si>
  <si>
    <t xml:space="preserve">7815 Coley Davis Road </t>
  </si>
  <si>
    <t>John Lunsford</t>
  </si>
  <si>
    <t>+1 (615) 662-3133</t>
  </si>
  <si>
    <t>Hampton Inn Birmingham - Mountain Brook</t>
  </si>
  <si>
    <t xml:space="preserve">2731 US Highway 280 </t>
  </si>
  <si>
    <t>Mountain Brook</t>
  </si>
  <si>
    <t>David Arnott</t>
  </si>
  <si>
    <t>Robert Winston</t>
  </si>
  <si>
    <t>+ (205) 870-7822</t>
  </si>
  <si>
    <t>Hampton Inn Birmingham- 280 East Eagle Pointe</t>
  </si>
  <si>
    <t xml:space="preserve">6220 Farley Court </t>
  </si>
  <si>
    <t xml:space="preserve">Birmingham </t>
  </si>
  <si>
    <t>Amran Luckett</t>
  </si>
  <si>
    <t>Barbara Zieba</t>
  </si>
  <si>
    <t>+1 (205) 981-0024</t>
  </si>
  <si>
    <t>Hampton Inn Birmingham-Colonnade</t>
  </si>
  <si>
    <t xml:space="preserve">3400 Colonnade Parkway </t>
  </si>
  <si>
    <t>Jaclyn Segebart</t>
  </si>
  <si>
    <t>+(205)967-0002</t>
  </si>
  <si>
    <t>Hampton Inn Bloomington (BMG)</t>
  </si>
  <si>
    <t xml:space="preserve">2100 N Walnut St </t>
  </si>
  <si>
    <t>Rachel Robertson</t>
  </si>
  <si>
    <t>Sean McCloud</t>
  </si>
  <si>
    <t>+ (812) 334-2100</t>
  </si>
  <si>
    <t>Hampton Inn Bonita Springs</t>
  </si>
  <si>
    <t xml:space="preserve">27900 Crown Lake Boulevard </t>
  </si>
  <si>
    <t>Bryant Olson</t>
  </si>
  <si>
    <t>Jocelyn DeLaPaz</t>
  </si>
  <si>
    <t>+1(239) 9447-9393</t>
  </si>
  <si>
    <t>Hampton Inn Boston</t>
  </si>
  <si>
    <t xml:space="preserve">59 Newbury Street </t>
  </si>
  <si>
    <t>Peabody</t>
  </si>
  <si>
    <t>idrees raja</t>
  </si>
  <si>
    <t>+1 (978) 535-2377</t>
  </si>
  <si>
    <t>Hampton Inn Boston Chelsea</t>
  </si>
  <si>
    <t xml:space="preserve">200 Second Street </t>
  </si>
  <si>
    <t>Mary McKay</t>
  </si>
  <si>
    <t>+(617) 884-3334</t>
  </si>
  <si>
    <t>Hampton Inn Boston-Braintree</t>
  </si>
  <si>
    <t xml:space="preserve">215 Wood Road </t>
  </si>
  <si>
    <t>Maria Salvaggio</t>
  </si>
  <si>
    <t>Elizabeth Linares</t>
  </si>
  <si>
    <t>+1 (781) 380-3300</t>
  </si>
  <si>
    <t>Hampton Inn Boulder/Louisville</t>
  </si>
  <si>
    <t xml:space="preserve">912 West Dillon Rd </t>
  </si>
  <si>
    <t>Ramona Hill</t>
  </si>
  <si>
    <t>Desiree Baker</t>
  </si>
  <si>
    <t>+ (303) 666-7700</t>
  </si>
  <si>
    <t>Hampton Inn Bowling Green</t>
  </si>
  <si>
    <t xml:space="preserve">233 Three Springs Road </t>
  </si>
  <si>
    <t>Michael Nunn</t>
  </si>
  <si>
    <t>Tara Powers</t>
  </si>
  <si>
    <t>+1 (270) 842-4100</t>
  </si>
  <si>
    <t>Hampton Inn Braselton</t>
  </si>
  <si>
    <t xml:space="preserve">5159 Golf Club Drive </t>
  </si>
  <si>
    <t>Jon Beard</t>
  </si>
  <si>
    <t>+1 (770) 307-0700</t>
  </si>
  <si>
    <t>Hampton Inn Bridgeport</t>
  </si>
  <si>
    <t xml:space="preserve">2 Pureland Drive </t>
  </si>
  <si>
    <t>Swedesboro</t>
  </si>
  <si>
    <t>Jeanne Stankovitch</t>
  </si>
  <si>
    <t>Timothy Carroll</t>
  </si>
  <si>
    <t>+1 (856) 467-6200</t>
  </si>
  <si>
    <t>Hampton Inn Bridgeview</t>
  </si>
  <si>
    <t xml:space="preserve">7010 S. Harlem Avenue </t>
  </si>
  <si>
    <t>Bridgeview</t>
  </si>
  <si>
    <t>Paul Cantrelle</t>
  </si>
  <si>
    <t>+1 (224) 513-0017</t>
  </si>
  <si>
    <t>Hampton Inn Bridgewater</t>
  </si>
  <si>
    <t xml:space="preserve">1277 Route 22 West </t>
  </si>
  <si>
    <t>Bridgewater</t>
  </si>
  <si>
    <t>Meghan Morey</t>
  </si>
  <si>
    <t>Vanessa Arrieta-Morales</t>
  </si>
  <si>
    <t>+1 (908) 722-9910</t>
  </si>
  <si>
    <t>Hampton Inn Brookhaven</t>
  </si>
  <si>
    <t xml:space="preserve">2000 N. Ocean Avenue </t>
  </si>
  <si>
    <t>Farmingville</t>
  </si>
  <si>
    <t>Jaimie Laudicina</t>
  </si>
  <si>
    <t>+ () 631-732-7300</t>
  </si>
  <si>
    <t xml:space="preserve">Hampton Inn Buford </t>
  </si>
  <si>
    <t xml:space="preserve">3240 Buford Drive </t>
  </si>
  <si>
    <t>BUFORD</t>
  </si>
  <si>
    <t>Sagar Barhe</t>
  </si>
  <si>
    <t>+ (678) 546-1200</t>
  </si>
  <si>
    <t>Hampton Inn by Hilton London</t>
  </si>
  <si>
    <t xml:space="preserve">840 Exeter Road </t>
  </si>
  <si>
    <t>N6E 1L5</t>
  </si>
  <si>
    <t>Kara Barbosa</t>
  </si>
  <si>
    <t>+()1 519 649 6500</t>
  </si>
  <si>
    <t>Hampton Inn Cambridge</t>
  </si>
  <si>
    <t xml:space="preserve">191 Monsigner O'Brien Hwy </t>
  </si>
  <si>
    <t>Gerry Reppucci</t>
  </si>
  <si>
    <t>+1 (617) 494-5300</t>
  </si>
  <si>
    <t>Hampton Inn Carlisle</t>
  </si>
  <si>
    <t xml:space="preserve">1164 Harrisburg Pike </t>
  </si>
  <si>
    <t>Justin Self</t>
  </si>
  <si>
    <t xml:space="preserve">Wayne Ambrose </t>
  </si>
  <si>
    <t>+ (717) 240-0200</t>
  </si>
  <si>
    <t>Hampton Inn Cedar Falls</t>
  </si>
  <si>
    <t xml:space="preserve">101 West 1st Street </t>
  </si>
  <si>
    <t>Cedar Falls</t>
  </si>
  <si>
    <t>Cherrie Zempel</t>
  </si>
  <si>
    <t>Ben Trueg</t>
  </si>
  <si>
    <t>+(1) 319 242-7350</t>
  </si>
  <si>
    <t>Hampton Inn Charleston Southridge</t>
  </si>
  <si>
    <t xml:space="preserve">1 Preferred Place </t>
  </si>
  <si>
    <t>Mike Carnemolla</t>
  </si>
  <si>
    <t>Michael Cochran</t>
  </si>
  <si>
    <t>+1 (304) 746-4646</t>
  </si>
  <si>
    <t>Hampton Inn Charlotte/Matthews</t>
  </si>
  <si>
    <t xml:space="preserve">9615 Independence Pointe Parkway </t>
  </si>
  <si>
    <t>Matthew Daye</t>
  </si>
  <si>
    <t>+1 (704) 841-1155</t>
  </si>
  <si>
    <t>Hampton Inn Chelsea</t>
  </si>
  <si>
    <t xml:space="preserve">108 W 24th Street </t>
  </si>
  <si>
    <t>10011-1902</t>
  </si>
  <si>
    <t>+1 (212) 414-1000</t>
  </si>
  <si>
    <t>Hampton Inn Chicago Downtown West Loop</t>
  </si>
  <si>
    <t xml:space="preserve">116 North Jefferson </t>
  </si>
  <si>
    <t>Fred Marshall</t>
  </si>
  <si>
    <t>John Born</t>
  </si>
  <si>
    <t>+1 (312) 648-0000</t>
  </si>
  <si>
    <t>Hampton Inn Chicago McCormick Place (CM3HI)</t>
  </si>
  <si>
    <t xml:space="preserve">123 East Cermak </t>
  </si>
  <si>
    <t>Courtney Davis</t>
  </si>
  <si>
    <t>Jared Heglin</t>
  </si>
  <si>
    <t>+1 (312) 791-1121</t>
  </si>
  <si>
    <t>Hampton Inn Cleveland</t>
  </si>
  <si>
    <t xml:space="preserve">4355 Frontage Road </t>
  </si>
  <si>
    <t>LeAnna Dowd</t>
  </si>
  <si>
    <t>+1 (423) 458-1222</t>
  </si>
  <si>
    <t>Hampton Inn Columbia (MO)</t>
  </si>
  <si>
    <t xml:space="preserve">3410 Clark Lane </t>
  </si>
  <si>
    <t>Barth Burgin</t>
  </si>
  <si>
    <t>Dunia Zimmerman</t>
  </si>
  <si>
    <t>+1 (573) 886-9392</t>
  </si>
  <si>
    <t>Hampton Inn Columbia Northeast Fort Jackson</t>
  </si>
  <si>
    <t xml:space="preserve">1551 Barbara Drive </t>
  </si>
  <si>
    <t>Allan Drew</t>
  </si>
  <si>
    <t>Lefunzo Wright</t>
  </si>
  <si>
    <t>+1 (803) 865-8000</t>
  </si>
  <si>
    <t>Hampton Inn Columbia- Southeast Ft Jackson</t>
  </si>
  <si>
    <t xml:space="preserve">201 East Exchange Boulevard </t>
  </si>
  <si>
    <t>Kevin Paden</t>
  </si>
  <si>
    <t>+1 (803) 217-3999</t>
  </si>
  <si>
    <t>Hampton Inn Concord</t>
  </si>
  <si>
    <t xml:space="preserve">612 Dickens Place </t>
  </si>
  <si>
    <t>Ben Mccandliss</t>
  </si>
  <si>
    <t>Maria Carter</t>
  </si>
  <si>
    <t>+1 (704) 793-9700</t>
  </si>
  <si>
    <t>Hampton Inn Conway</t>
  </si>
  <si>
    <t xml:space="preserve">810 Museum Road </t>
  </si>
  <si>
    <t>72032-5921</t>
  </si>
  <si>
    <t>Dhara Patel</t>
  </si>
  <si>
    <t>+1 (501) 329-8999</t>
  </si>
  <si>
    <t>Hampton Inn Dallas-Arlington-South</t>
  </si>
  <si>
    <t xml:space="preserve">1100 East I-20 </t>
  </si>
  <si>
    <t>Jesus Chavez</t>
  </si>
  <si>
    <t>+1 (817) 419-3700</t>
  </si>
  <si>
    <t>Hampton Inn Danville</t>
  </si>
  <si>
    <t xml:space="preserve">137 Old Valley School Road </t>
  </si>
  <si>
    <t>Bill Zuber</t>
  </si>
  <si>
    <t>+ (570) 271-2500</t>
  </si>
  <si>
    <t xml:space="preserve">Hampton Inn Daytona - Ormond Beach </t>
  </si>
  <si>
    <t xml:space="preserve">155 Interchange Blvd </t>
  </si>
  <si>
    <t>Kimberly Hayden</t>
  </si>
  <si>
    <t>+ (386) 677-9999</t>
  </si>
  <si>
    <t>Hampton Inn Dearborn</t>
  </si>
  <si>
    <t xml:space="preserve">22324 Michigan Avenue </t>
  </si>
  <si>
    <t>Kylie Rose</t>
  </si>
  <si>
    <t>+ (313) 562-0000</t>
  </si>
  <si>
    <t>Hampton Inn Debary - Deltona</t>
  </si>
  <si>
    <t xml:space="preserve">308 Sunrise Boulevard </t>
  </si>
  <si>
    <t>De Bary</t>
  </si>
  <si>
    <t>Jalletsy Vargas</t>
  </si>
  <si>
    <t>+1 (386) 668-5758</t>
  </si>
  <si>
    <t>Hampton Inn Decatur</t>
  </si>
  <si>
    <t xml:space="preserve">2041 Beltline Rd. </t>
  </si>
  <si>
    <t>Chat Dorough</t>
  </si>
  <si>
    <t>+1 (256) 355-5888</t>
  </si>
  <si>
    <t>Hampton Inn Denver Downtown (Dual Property)</t>
  </si>
  <si>
    <t xml:space="preserve">550 15th Street </t>
  </si>
  <si>
    <t>Louis Bene</t>
  </si>
  <si>
    <t>Alejandra Flores</t>
  </si>
  <si>
    <t>+1 (303) 534-7800</t>
  </si>
  <si>
    <t>Hampton Inn Denver Tech Center South</t>
  </si>
  <si>
    <t xml:space="preserve">7079 South Kenton Street </t>
  </si>
  <si>
    <t>Marcelo Birckenstaedt</t>
  </si>
  <si>
    <t>+(303)790-8800</t>
  </si>
  <si>
    <t>Hampton Inn Destin</t>
  </si>
  <si>
    <t xml:space="preserve">1625 Hwy. 98 East </t>
  </si>
  <si>
    <t>Regina Samy</t>
  </si>
  <si>
    <t>Rosalie Wong</t>
  </si>
  <si>
    <t>+1 (850) 654-2677</t>
  </si>
  <si>
    <t>Hampton Inn Detroit/ Auburn Hills North</t>
  </si>
  <si>
    <t xml:space="preserve">3988 Baldwin Road </t>
  </si>
  <si>
    <t>Justin Bacall</t>
  </si>
  <si>
    <t>+1 (248) 874-4902</t>
  </si>
  <si>
    <t>Hampton Inn Detroit/ Auburn Inn South</t>
  </si>
  <si>
    <t xml:space="preserve">2200 Featherstone Avenue </t>
  </si>
  <si>
    <t>Brandon Tomlinson</t>
  </si>
  <si>
    <t>+1 (248) 334-3324</t>
  </si>
  <si>
    <t>Hampton Inn Detroit/ Utica-Shelby Township</t>
  </si>
  <si>
    <t xml:space="preserve">51620 Shelby Parkway </t>
  </si>
  <si>
    <t>Nicole Genna</t>
  </si>
  <si>
    <t>+1 (586) 731-4267</t>
  </si>
  <si>
    <t>Hampton Inn Detroit-Novi at 14 Mile Road</t>
  </si>
  <si>
    <t xml:space="preserve">169 Loop Road </t>
  </si>
  <si>
    <t>Joey Bacall</t>
  </si>
  <si>
    <t>+1 (248) 624-8100</t>
  </si>
  <si>
    <t>Hampton Inn Dover</t>
  </si>
  <si>
    <t xml:space="preserve">9 Hotel Drive </t>
  </si>
  <si>
    <t>Debra Roy</t>
  </si>
  <si>
    <t>+1 (603) 516-5600</t>
  </si>
  <si>
    <t>Hampton Inn Downtown Baltimore</t>
  </si>
  <si>
    <t xml:space="preserve">550 Washington Boulevard </t>
  </si>
  <si>
    <t>Celena Dotson</t>
  </si>
  <si>
    <t>+ (410) 685-5000</t>
  </si>
  <si>
    <t>Hampton Inn DuBois</t>
  </si>
  <si>
    <t xml:space="preserve">1582 Bee Line Highway </t>
  </si>
  <si>
    <t>Andrew Dowdall</t>
  </si>
  <si>
    <t>James Long</t>
  </si>
  <si>
    <t>+1(814)375-1000</t>
  </si>
  <si>
    <t>Hampton Inn Eagan</t>
  </si>
  <si>
    <t xml:space="preserve">3000 Eagandale Place </t>
  </si>
  <si>
    <t>Claudia Kalai</t>
  </si>
  <si>
    <t>+1 (651) 688-3343</t>
  </si>
  <si>
    <t>Hampton Inn East Lansing</t>
  </si>
  <si>
    <t xml:space="preserve">2500 Coolidge Road </t>
  </si>
  <si>
    <t>Angela McComb</t>
  </si>
  <si>
    <t>+ 1 (517) 324-2072</t>
  </si>
  <si>
    <t>Hampton Inn East Ridge</t>
  </si>
  <si>
    <t xml:space="preserve">623 Camp Jordan Parkway </t>
  </si>
  <si>
    <t>+1 (423) 602-5861</t>
  </si>
  <si>
    <t>Hampton Inn Eastwood</t>
  </si>
  <si>
    <t xml:space="preserve">124 Old Eastwood Rd. </t>
  </si>
  <si>
    <t>Bryan Barkley</t>
  </si>
  <si>
    <t>+1 (910) 509-7080</t>
  </si>
  <si>
    <t>Hampton Inn Egg Harbor</t>
  </si>
  <si>
    <t xml:space="preserve">6708 Tilton Road </t>
  </si>
  <si>
    <t>Egg Harbor Township</t>
  </si>
  <si>
    <t>Jeannette Munn</t>
  </si>
  <si>
    <t>Penny Brown</t>
  </si>
  <si>
    <t>+1 (609) 641-4500</t>
  </si>
  <si>
    <t>Hampton Inn El Centro</t>
  </si>
  <si>
    <t xml:space="preserve">598 East Wake Avenue </t>
  </si>
  <si>
    <t>Isabel Salinger</t>
  </si>
  <si>
    <t xml:space="preserve">Juana Robles </t>
  </si>
  <si>
    <t>+1 (760) 336-2000</t>
  </si>
  <si>
    <t>Hampton Inn Elk Grove</t>
  </si>
  <si>
    <t xml:space="preserve">2305 Longport Court </t>
  </si>
  <si>
    <t>Adolf Mondaca</t>
  </si>
  <si>
    <t>Arthur Valdez</t>
  </si>
  <si>
    <t>+1(916) 683-9545</t>
  </si>
  <si>
    <t>Hampton Inn Empire State Building</t>
  </si>
  <si>
    <t xml:space="preserve">59 West 35th St. </t>
  </si>
  <si>
    <t>Katerin Quinonez</t>
  </si>
  <si>
    <t>+1 (212) 564-3688</t>
  </si>
  <si>
    <t>Hampton Inn Enterprise</t>
  </si>
  <si>
    <t xml:space="preserve">8 West Pointe Ct. </t>
  </si>
  <si>
    <t>+1 (334) 347-5763</t>
  </si>
  <si>
    <t>Hampton Inn Evanston</t>
  </si>
  <si>
    <t xml:space="preserve">101 Wasatch Road </t>
  </si>
  <si>
    <t>Evanston</t>
  </si>
  <si>
    <t>Sadi Fain</t>
  </si>
  <si>
    <t>+(307) 789-5678</t>
  </si>
  <si>
    <t xml:space="preserve">Hampton Inn Evansville </t>
  </si>
  <si>
    <t xml:space="preserve">8000 Eagle Crest BLVD </t>
  </si>
  <si>
    <t>Gregory Gee</t>
  </si>
  <si>
    <t>+ (812) 473-5000</t>
  </si>
  <si>
    <t>Hampton Inn Florence - Midtown</t>
  </si>
  <si>
    <t xml:space="preserve">2281 Florence Blvd. </t>
  </si>
  <si>
    <t>Thomas Schmaus</t>
  </si>
  <si>
    <t>Tammy Dawson</t>
  </si>
  <si>
    <t>+1 (256) 764-8888</t>
  </si>
  <si>
    <t>Hampton Inn Fort Saskatchewan</t>
  </si>
  <si>
    <t xml:space="preserve">8709 101 Street </t>
  </si>
  <si>
    <t>Fort Saskatchewan</t>
  </si>
  <si>
    <t>T8L 0H9</t>
  </si>
  <si>
    <t>Dhruv Rajput</t>
  </si>
  <si>
    <t>+1 (780) 997-1001</t>
  </si>
  <si>
    <t>Hampton Inn Fort Wayne Downtown</t>
  </si>
  <si>
    <t xml:space="preserve">223 West Jefferson Boulevard </t>
  </si>
  <si>
    <t>+1 (260) 247-6915</t>
  </si>
  <si>
    <t>Hampton Inn Fort Wayne SW</t>
  </si>
  <si>
    <t xml:space="preserve">8219 West Jefferson Boulevard </t>
  </si>
  <si>
    <t>Amanda Codespoti</t>
  </si>
  <si>
    <t>Shelby Riggenbach</t>
  </si>
  <si>
    <t>+1 (260) 459-1999</t>
  </si>
  <si>
    <t>Hampton Inn Ft. Lauderdale Plantation</t>
  </si>
  <si>
    <t xml:space="preserve">7801 Southwest 6th Street </t>
  </si>
  <si>
    <t>Techeyra Santos</t>
  </si>
  <si>
    <t>+1 (954) 382-4500</t>
  </si>
  <si>
    <t>Veritas Hospitality Group LLC</t>
  </si>
  <si>
    <t>Hampton Inn Fultondale</t>
  </si>
  <si>
    <t xml:space="preserve">1716 Fulton Road </t>
  </si>
  <si>
    <t>Lisa Stone</t>
  </si>
  <si>
    <t>+1 (205) 439-6700</t>
  </si>
  <si>
    <t>Hampton Inn Germantown</t>
  </si>
  <si>
    <t xml:space="preserve">1680 South Germantown Parkway </t>
  </si>
  <si>
    <t>Diana Moore</t>
  </si>
  <si>
    <t>Vivian Easley</t>
  </si>
  <si>
    <t>+1 (901) 3090555</t>
  </si>
  <si>
    <t>Hampton Inn Grand Island</t>
  </si>
  <si>
    <t xml:space="preserve">504 North Diers Avenue </t>
  </si>
  <si>
    <t>Grand Island</t>
  </si>
  <si>
    <t>Theresa Brittain</t>
  </si>
  <si>
    <t>+(308) 384-9777</t>
  </si>
  <si>
    <t>Hampton Inn Grand Rapids</t>
  </si>
  <si>
    <t xml:space="preserve">500 Center Drive NW </t>
  </si>
  <si>
    <t>Nathan Suchecki</t>
  </si>
  <si>
    <t>+ 1 (616) 647-1000</t>
  </si>
  <si>
    <t>Hampton Inn Green Bay Downtown</t>
  </si>
  <si>
    <t xml:space="preserve">201 Main Street </t>
  </si>
  <si>
    <t>Barb Myer</t>
  </si>
  <si>
    <t>+1 (920) 437-5900</t>
  </si>
  <si>
    <t>Hampton Inn Gulf Shores</t>
  </si>
  <si>
    <t xml:space="preserve">1703 Gulf Shores Parkway </t>
  </si>
  <si>
    <t>Blake Majors</t>
  </si>
  <si>
    <t>+1(251)948-1020</t>
  </si>
  <si>
    <t xml:space="preserve">Hampton Inn Haverhill </t>
  </si>
  <si>
    <t xml:space="preserve">106 Bank Road </t>
  </si>
  <si>
    <t>Haverhill</t>
  </si>
  <si>
    <t>Jim Krusky</t>
  </si>
  <si>
    <t>Rahul Shreyakar</t>
  </si>
  <si>
    <t>+1 (978) 374-7755</t>
  </si>
  <si>
    <t>Hampton Inn Hazleton</t>
  </si>
  <si>
    <t xml:space="preserve">1 Top of the 80s Road </t>
  </si>
  <si>
    <t>Hazleton</t>
  </si>
  <si>
    <t>Carla Thaller</t>
  </si>
  <si>
    <t>+1 (570) 454-3449</t>
  </si>
  <si>
    <t>Hampton Inn Herald Square</t>
  </si>
  <si>
    <t xml:space="preserve">116 West 31st Street </t>
  </si>
  <si>
    <t>10001-3401</t>
  </si>
  <si>
    <t>Jessica Matthews</t>
  </si>
  <si>
    <t>+1 (212) 947-9700</t>
  </si>
  <si>
    <t xml:space="preserve">Hampton Inn Homestead </t>
  </si>
  <si>
    <t xml:space="preserve">2855 NE 9th Street </t>
  </si>
  <si>
    <t>Homestead</t>
  </si>
  <si>
    <t>Jenny Estrada</t>
  </si>
  <si>
    <t>+ (305) 257-7000</t>
  </si>
  <si>
    <t>Hampton Inn Hope Hull</t>
  </si>
  <si>
    <t xml:space="preserve">60 Wasden Rd. </t>
  </si>
  <si>
    <t>Michele Miller</t>
  </si>
  <si>
    <t>+1 (334) 280-9592</t>
  </si>
  <si>
    <t>Houston A Galleria Opco LP (Falcon Group)</t>
  </si>
  <si>
    <t>Hampton Inn Houston Galleria</t>
  </si>
  <si>
    <t xml:space="preserve">4500 Post Oak Parkway </t>
  </si>
  <si>
    <t>Diana Hebbe</t>
  </si>
  <si>
    <t>Ocie Johnson</t>
  </si>
  <si>
    <t>+1 (713) 871-9911</t>
  </si>
  <si>
    <t>Hampton Inn Houston I-10 West Park Row</t>
  </si>
  <si>
    <t xml:space="preserve">18014 Park Row Drive </t>
  </si>
  <si>
    <t>Addicks Barker</t>
  </si>
  <si>
    <t>Juli Austin</t>
  </si>
  <si>
    <t>+1 (281) 578-6700</t>
  </si>
  <si>
    <t>Hampton Inn Huntsville-South Parkway/Arsenal</t>
  </si>
  <si>
    <t xml:space="preserve">501 Boulevard South </t>
  </si>
  <si>
    <t>Edyta Hall</t>
  </si>
  <si>
    <t>Nikki Raymer</t>
  </si>
  <si>
    <t>+1 (256) 882-2228</t>
  </si>
  <si>
    <t>Hampton Inn I-10</t>
  </si>
  <si>
    <t xml:space="preserve">10505 East Freeway </t>
  </si>
  <si>
    <t>Jacinto City</t>
  </si>
  <si>
    <t>Chris Jackson</t>
  </si>
  <si>
    <t>+1(713)997-8181</t>
  </si>
  <si>
    <t>Hampton Inn Indianapolis Downtown</t>
  </si>
  <si>
    <t xml:space="preserve">105 S Meridan Street </t>
  </si>
  <si>
    <t>Jeannie Hensley</t>
  </si>
  <si>
    <t>+ (317) 261-1200</t>
  </si>
  <si>
    <t>Hampton Inn Jacksonville</t>
  </si>
  <si>
    <t xml:space="preserve">8127 Point Meadow Drive </t>
  </si>
  <si>
    <t>Stephen Picklesimer</t>
  </si>
  <si>
    <t>+1 (904) 363-7150</t>
  </si>
  <si>
    <t>Hampton Inn Jacksonville Beach Oceanfront</t>
  </si>
  <si>
    <t xml:space="preserve">1515 First Street North </t>
  </si>
  <si>
    <t>John Hirt</t>
  </si>
  <si>
    <t>Trent Pipher</t>
  </si>
  <si>
    <t>+1 (904) 241-2311</t>
  </si>
  <si>
    <t>Hampton Inn Kalamazoo</t>
  </si>
  <si>
    <t xml:space="preserve">2610 AirView Boulevard </t>
  </si>
  <si>
    <t>Kalamazoo</t>
  </si>
  <si>
    <t>Katlyn Prange</t>
  </si>
  <si>
    <t>+1 (269) 343-0400</t>
  </si>
  <si>
    <t>Hampton Inn Kansas City Village West</t>
  </si>
  <si>
    <t xml:space="preserve">1400 Village West Parkway </t>
  </si>
  <si>
    <t>Bridget Mahmood</t>
  </si>
  <si>
    <t>+1 (913)328-1400</t>
  </si>
  <si>
    <t>Hampton Inn Kernersville</t>
  </si>
  <si>
    <t xml:space="preserve">150 Clayton Forest Road </t>
  </si>
  <si>
    <t>Kernersville</t>
  </si>
  <si>
    <t>Joseph Duke</t>
  </si>
  <si>
    <t>Stacey Senters</t>
  </si>
  <si>
    <t>+()336-497-0724</t>
  </si>
  <si>
    <t>Hampton Inn Kimball</t>
  </si>
  <si>
    <t xml:space="preserve">100 Hampton Drive </t>
  </si>
  <si>
    <t>South Pittsburg</t>
  </si>
  <si>
    <t>+1 (423) 228-4270</t>
  </si>
  <si>
    <t>Hampton Inn King of Prussia</t>
  </si>
  <si>
    <t xml:space="preserve">530 West Dekalb Pike </t>
  </si>
  <si>
    <t>Michelle Coviello</t>
  </si>
  <si>
    <t>+1 (610) 962-8111</t>
  </si>
  <si>
    <t>Hampton Inn Knoxville Turkey Creek</t>
  </si>
  <si>
    <t xml:space="preserve">11360 Campbell Lakes Drive </t>
  </si>
  <si>
    <t>Darren Tallent</t>
  </si>
  <si>
    <t>+1 (865) 966-0303</t>
  </si>
  <si>
    <t>Hampton Inn Kokomo</t>
  </si>
  <si>
    <t xml:space="preserve">2920 S Reed Road </t>
  </si>
  <si>
    <t>Christina Heavilon</t>
  </si>
  <si>
    <t>Mark Davidson</t>
  </si>
  <si>
    <t>+ (765) 455-2900</t>
  </si>
  <si>
    <t>Hampton Inn Lakeland South Polk</t>
  </si>
  <si>
    <t xml:space="preserve">3630 Lakeside Village </t>
  </si>
  <si>
    <t>Steve Colkett</t>
  </si>
  <si>
    <t>+ 1 (863) 603-7600</t>
  </si>
  <si>
    <t>Hampton Inn Lakeville</t>
  </si>
  <si>
    <t xml:space="preserve">20851 Keokuk Avenue </t>
  </si>
  <si>
    <t>Lakeville</t>
  </si>
  <si>
    <t>Nixie Robitschek</t>
  </si>
  <si>
    <t>Robert Jambor</t>
  </si>
  <si>
    <t>Hampton Inn Lancaster</t>
  </si>
  <si>
    <t xml:space="preserve">2041 Schorrway Drive </t>
  </si>
  <si>
    <t>Jacob Barber</t>
  </si>
  <si>
    <t>Pam Berry</t>
  </si>
  <si>
    <t>+1 (740) 654-2999</t>
  </si>
  <si>
    <t>Hampton Inn Las Colinas</t>
  </si>
  <si>
    <t xml:space="preserve">820 West Walnut Hill Lane </t>
  </si>
  <si>
    <t>Kim Limon</t>
  </si>
  <si>
    <t>+1 (972) 753-1232</t>
  </si>
  <si>
    <t>Hampton Inn Laurel (Fort Meade Area)</t>
  </si>
  <si>
    <t xml:space="preserve">7900 Braygreen Road </t>
  </si>
  <si>
    <t>+1 (240) 456-0234</t>
  </si>
  <si>
    <t xml:space="preserve">Hampton Inn Lawrenceville </t>
  </si>
  <si>
    <t xml:space="preserve">1135 Lakes Parkway </t>
  </si>
  <si>
    <t>Jim Flanagan</t>
  </si>
  <si>
    <t>+ (770) 338-9600</t>
  </si>
  <si>
    <t>Hampton Inn Lead</t>
  </si>
  <si>
    <t xml:space="preserve">900 Miners Avenue </t>
  </si>
  <si>
    <t>Lead</t>
  </si>
  <si>
    <t>Kruti Patel</t>
  </si>
  <si>
    <t>Nicole Coons</t>
  </si>
  <si>
    <t>+1 (605) 584-1800</t>
  </si>
  <si>
    <t>Hampton Inn Leesburg/ Tavares</t>
  </si>
  <si>
    <t xml:space="preserve">9630 US Highway 441 </t>
  </si>
  <si>
    <t>David Flower</t>
  </si>
  <si>
    <t>Steven Ball</t>
  </si>
  <si>
    <t>+1 (352) 315-1053</t>
  </si>
  <si>
    <t>Hampton Inn Linden</t>
  </si>
  <si>
    <t xml:space="preserve">501 West Edgar Road </t>
  </si>
  <si>
    <t>Linden</t>
  </si>
  <si>
    <t>Dierma Betances</t>
  </si>
  <si>
    <t>Jessica Cleary</t>
  </si>
  <si>
    <t>+1(908) 862-3222</t>
  </si>
  <si>
    <t>Hampton Inn Littleton</t>
  </si>
  <si>
    <t xml:space="preserve">580 Meadow Street </t>
  </si>
  <si>
    <t>Tracie Parker</t>
  </si>
  <si>
    <t>GM Placeholder</t>
  </si>
  <si>
    <t>+ () 603-444-0025</t>
  </si>
  <si>
    <t>Hampton Inn Logan Airport</t>
  </si>
  <si>
    <t xml:space="preserve">230 Lee Burbank Highway </t>
  </si>
  <si>
    <t>Corey Cassano</t>
  </si>
  <si>
    <t>Sam Sudah</t>
  </si>
  <si>
    <t>+ () 781-286-5665</t>
  </si>
  <si>
    <t>Hampton Inn Lookout Mountain</t>
  </si>
  <si>
    <t xml:space="preserve">74 Starview Lane </t>
  </si>
  <si>
    <t>Patricia Haines</t>
  </si>
  <si>
    <t>Rene Baker</t>
  </si>
  <si>
    <t>+1 (423) 602-5350</t>
  </si>
  <si>
    <t>Hampton Inn Los Angeles-Orange County-Cypress</t>
  </si>
  <si>
    <t xml:space="preserve">10900 Yamaha Way </t>
  </si>
  <si>
    <t xml:space="preserve">Noel Pavia </t>
  </si>
  <si>
    <t>+1(714)527-2900</t>
  </si>
  <si>
    <t>Hampton Inn Loveland</t>
  </si>
  <si>
    <t xml:space="preserve">5500 Stone Creek Cir </t>
  </si>
  <si>
    <t>Michael Marchese</t>
  </si>
  <si>
    <t>Joe Pilakowski</t>
  </si>
  <si>
    <t>+ (970) 593-1400</t>
  </si>
  <si>
    <t>Hampton Inn Madison</t>
  </si>
  <si>
    <t xml:space="preserve">4820 Hayes Road </t>
  </si>
  <si>
    <t>Mike Nevins</t>
  </si>
  <si>
    <t>+ (608) 244-9400</t>
  </si>
  <si>
    <t>Hampton Inn Madison Heights</t>
  </si>
  <si>
    <t xml:space="preserve">32420 Stephenson Highway </t>
  </si>
  <si>
    <t>Tonya Lewis</t>
  </si>
  <si>
    <t>+1 (248) 585-8881</t>
  </si>
  <si>
    <t>Hampton Inn Majestic Chicago Theatre District (CTD)</t>
  </si>
  <si>
    <t xml:space="preserve">22 W. Monroe Street </t>
  </si>
  <si>
    <t>Harman Hall</t>
  </si>
  <si>
    <t>Marcus Wilson</t>
  </si>
  <si>
    <t>+ () 312-332-5052</t>
  </si>
  <si>
    <t>Hampton Inn Marathon Key</t>
  </si>
  <si>
    <t xml:space="preserve">13351 Overseas Highway Marathon Key </t>
  </si>
  <si>
    <t>jill campbell</t>
  </si>
  <si>
    <t>+1 (305) 359-3040</t>
  </si>
  <si>
    <t>Hampton Inn Medical Center</t>
  </si>
  <si>
    <t xml:space="preserve">11426 IH 10 W </t>
  </si>
  <si>
    <t>Brian Trice</t>
  </si>
  <si>
    <t>+1 (210) 697-8900</t>
  </si>
  <si>
    <t>Hampton Inn Memphis Poplar</t>
  </si>
  <si>
    <t xml:space="preserve">5320 Poplar Avenue </t>
  </si>
  <si>
    <t>Justin Baxter</t>
  </si>
  <si>
    <t>+1 (901) 683-8500</t>
  </si>
  <si>
    <t>Hampton Inn Memphis Southaven</t>
  </si>
  <si>
    <t xml:space="preserve">7097 Sleepy Hollow Drive </t>
  </si>
  <si>
    <t>Shavon Hubbard</t>
  </si>
  <si>
    <t>Gail Hopkins</t>
  </si>
  <si>
    <t>+1 (662) 349-8855</t>
  </si>
  <si>
    <t>SSH TRS H LLC</t>
  </si>
  <si>
    <t>Hampton Inn Merrillville</t>
  </si>
  <si>
    <t xml:space="preserve">8353 Georgia Street </t>
  </si>
  <si>
    <t>+1 (219) 736-7600</t>
  </si>
  <si>
    <t>Hampton Inn Miami Airport East</t>
  </si>
  <si>
    <t xml:space="preserve">3449 Northwest 42nd Avenue </t>
  </si>
  <si>
    <t>Angie Hidalgo</t>
  </si>
  <si>
    <t>Eduardo Sotelo</t>
  </si>
  <si>
    <t>+1 (786) 801-3136</t>
  </si>
  <si>
    <t>Hampton Inn Miami Airport West</t>
  </si>
  <si>
    <t xml:space="preserve">3620 Northwest 79th Avenue </t>
  </si>
  <si>
    <t>Marco Mejia</t>
  </si>
  <si>
    <t>Indira Guerrero</t>
  </si>
  <si>
    <t>+1 (305) 513-0777</t>
  </si>
  <si>
    <t>Hampton Inn Midland South</t>
  </si>
  <si>
    <t xml:space="preserve">2201 Camp Street </t>
  </si>
  <si>
    <t>Norma Martinez</t>
  </si>
  <si>
    <t>+1 (432) 520-9600</t>
  </si>
  <si>
    <t xml:space="preserve">2368 Roland DR </t>
  </si>
  <si>
    <t>Chris Redfern</t>
  </si>
  <si>
    <t>+ (704) 220-2200</t>
  </si>
  <si>
    <t>Hampton Inn Monroeville</t>
  </si>
  <si>
    <t xml:space="preserve">3000 Mosside Boulevard </t>
  </si>
  <si>
    <t>Megan Mongelluzzo</t>
  </si>
  <si>
    <t>+ (412) 380-4000</t>
  </si>
  <si>
    <t>Hampton Inn Morehead City</t>
  </si>
  <si>
    <t xml:space="preserve">4035 Arendell Street </t>
  </si>
  <si>
    <t>Morehead City</t>
  </si>
  <si>
    <t>Judie Butcofski</t>
  </si>
  <si>
    <t>Camille Owens</t>
  </si>
  <si>
    <t>+1 (252) 240-2300</t>
  </si>
  <si>
    <t>Hampton Inn Muskegon</t>
  </si>
  <si>
    <t xml:space="preserve">1401 East Ellis Road </t>
  </si>
  <si>
    <t>Julie Oneill</t>
  </si>
  <si>
    <t>+1 (231) 799-8333</t>
  </si>
  <si>
    <t>Hampton Inn Nanuet</t>
  </si>
  <si>
    <t xml:space="preserve">260 NY-59 </t>
  </si>
  <si>
    <t>Frances Sarenas</t>
  </si>
  <si>
    <t>+1 (845) 623-0900</t>
  </si>
  <si>
    <t>Hampton Inn Nashville Brentwood</t>
  </si>
  <si>
    <t xml:space="preserve">5630 Franklin Pike Circle </t>
  </si>
  <si>
    <t>Daryl Eadie</t>
  </si>
  <si>
    <t xml:space="preserve">Andrew Pillow </t>
  </si>
  <si>
    <t>+1 (615) 373-2212</t>
  </si>
  <si>
    <t>Hampton Inn Neptune</t>
  </si>
  <si>
    <t xml:space="preserve">4 McNamara Way </t>
  </si>
  <si>
    <t>Neptune</t>
  </si>
  <si>
    <t>Dominique Ervin</t>
  </si>
  <si>
    <t>+1(732)643-0500</t>
  </si>
  <si>
    <t>Hampton Inn New Orleans French Quarter</t>
  </si>
  <si>
    <t xml:space="preserve">226 Carondelet Street </t>
  </si>
  <si>
    <t>Justin Nunez</t>
  </si>
  <si>
    <t>Maryann Warwick</t>
  </si>
  <si>
    <t>+1 (504) 529-9990</t>
  </si>
  <si>
    <t>Hampton Inn Norfolk</t>
  </si>
  <si>
    <t xml:space="preserve">8501 Hampton Boulevard </t>
  </si>
  <si>
    <t>Brad Deise</t>
  </si>
  <si>
    <t>+1 (757) 489-1000</t>
  </si>
  <si>
    <t>Hampton Inn Norfolk - VA Beach</t>
  </si>
  <si>
    <t xml:space="preserve">5793 Greenwich Road </t>
  </si>
  <si>
    <t>Becky Aleman</t>
  </si>
  <si>
    <t>+1 (757) 490-9800</t>
  </si>
  <si>
    <t>Hampton Inn North</t>
  </si>
  <si>
    <t xml:space="preserve">2300 Green Road </t>
  </si>
  <si>
    <t>Allison Bowe</t>
  </si>
  <si>
    <t>Kelly Wilkin</t>
  </si>
  <si>
    <t>+ (734) 996-4444</t>
  </si>
  <si>
    <t>Hampton Inn Northwest</t>
  </si>
  <si>
    <t xml:space="preserve">5860 West 73rd Street </t>
  </si>
  <si>
    <t>Jason Shirley</t>
  </si>
  <si>
    <t>Tara Bagley</t>
  </si>
  <si>
    <t>+1 (317) 290-6000</t>
  </si>
  <si>
    <t>Hampton Inn Oahu- Kapolei</t>
  </si>
  <si>
    <t>91-5431 Kapolei Parkway Suite 900</t>
  </si>
  <si>
    <t>Kapolei</t>
  </si>
  <si>
    <t>Wade Gesteuyala</t>
  </si>
  <si>
    <t>+1 (808) 628-4900</t>
  </si>
  <si>
    <t>Hampton Inn Oklahoma City Northwest</t>
  </si>
  <si>
    <t xml:space="preserve">3022 Northwest Expressway </t>
  </si>
  <si>
    <t>Connie Heimbach</t>
  </si>
  <si>
    <t>+1 (405) 947-0953</t>
  </si>
  <si>
    <t>Hampton Inn Orangeburg - Citadel</t>
  </si>
  <si>
    <t xml:space="preserve">749 Citadel Road </t>
  </si>
  <si>
    <t>+1 (803) 937-5800</t>
  </si>
  <si>
    <t>Hampton Inn Orland Park</t>
  </si>
  <si>
    <t xml:space="preserve">16158 South 96th Avenue </t>
  </si>
  <si>
    <t>Orland Park</t>
  </si>
  <si>
    <t>Hampton Inn Orlando International Drive Convention Center</t>
  </si>
  <si>
    <t xml:space="preserve">8900 Universal Boulevard </t>
  </si>
  <si>
    <t>DeAngelo Hammond</t>
  </si>
  <si>
    <t>+1 (407) 354-4447</t>
  </si>
  <si>
    <t>Hampton Inn Ottawa</t>
  </si>
  <si>
    <t xml:space="preserve">4115 Holiday Lane </t>
  </si>
  <si>
    <t>Karin Stiegler</t>
  </si>
  <si>
    <t>+1 (815) 434-6040</t>
  </si>
  <si>
    <t>Hampton Inn Pampa</t>
  </si>
  <si>
    <t xml:space="preserve">2820 N Perryton Parkway </t>
  </si>
  <si>
    <t>Joshua Nachtigall</t>
  </si>
  <si>
    <t>+(806)669-1555</t>
  </si>
  <si>
    <t>Hampton Inn Parsippany</t>
  </si>
  <si>
    <t xml:space="preserve">1 Hilton Court </t>
  </si>
  <si>
    <t>Anish Patney</t>
  </si>
  <si>
    <t>Anyell Sanchez</t>
  </si>
  <si>
    <t>+1 (973) 290-9058</t>
  </si>
  <si>
    <t>Hampton Inn Pearland</t>
  </si>
  <si>
    <t xml:space="preserve">6515 Broadway Street </t>
  </si>
  <si>
    <t>Anuar Castro</t>
  </si>
  <si>
    <t>+1 (832) 736-9977</t>
  </si>
  <si>
    <t>Hampton Inn Petaluma</t>
  </si>
  <si>
    <t xml:space="preserve">450 Jefferson Street </t>
  </si>
  <si>
    <t>Gary Sterman</t>
  </si>
  <si>
    <t>+1 (707) 397-0000</t>
  </si>
  <si>
    <t>Hampton Inn Philadelphia Convention Center</t>
  </si>
  <si>
    <t xml:space="preserve">1301 Race Street </t>
  </si>
  <si>
    <t>19107-1517</t>
  </si>
  <si>
    <t>Joseph Oliveira</t>
  </si>
  <si>
    <t>+1 (215) 665-9100</t>
  </si>
  <si>
    <t>Hampton Inn Philadelphia International Airport</t>
  </si>
  <si>
    <t xml:space="preserve">8600 Bartram Avenue </t>
  </si>
  <si>
    <t>Kendra Grace</t>
  </si>
  <si>
    <t>+1 (215) 966-1300</t>
  </si>
  <si>
    <t>Hampton Inn Philadelphia-Plymouth Meeting</t>
  </si>
  <si>
    <t xml:space="preserve">2055 Chemical Road </t>
  </si>
  <si>
    <t>Viveca Phatak-Stinson</t>
  </si>
  <si>
    <t>+1 (610) 567-0900</t>
  </si>
  <si>
    <t>Hampton Inn Pittsburgh University Center</t>
  </si>
  <si>
    <t xml:space="preserve">3315 Hamlet Place </t>
  </si>
  <si>
    <t>Cassandra Washington</t>
  </si>
  <si>
    <t>+1 (412) 681-1000</t>
  </si>
  <si>
    <t>Hampton Inn Plant City</t>
  </si>
  <si>
    <t xml:space="preserve">2702 Thonotosassa Road </t>
  </si>
  <si>
    <t>Anna Yershova</t>
  </si>
  <si>
    <t>+1 (813) 756-5600</t>
  </si>
  <si>
    <t>Hampton Inn Ponte Vedra</t>
  </si>
  <si>
    <t xml:space="preserve">1220 Marsh Land Parkway </t>
  </si>
  <si>
    <t>Hope Jenkins</t>
  </si>
  <si>
    <t>Steven Hale</t>
  </si>
  <si>
    <t>+1 (904) 280-9101</t>
  </si>
  <si>
    <t>Hampton Inn Poughkeepsie</t>
  </si>
  <si>
    <t xml:space="preserve">2361 South Road </t>
  </si>
  <si>
    <t>Chris Bono</t>
  </si>
  <si>
    <t>+1 (845) 463-7500</t>
  </si>
  <si>
    <t>Hampton Inn Salt Lake City West Jordan</t>
  </si>
  <si>
    <t xml:space="preserve">3923 West Center Park Drive </t>
  </si>
  <si>
    <t>W Jordan</t>
  </si>
  <si>
    <t>Michael Beltran</t>
  </si>
  <si>
    <t>Tiare Wolfgramm</t>
  </si>
  <si>
    <t>+1 (801) 280-7300</t>
  </si>
  <si>
    <t>Hampton Inn San Diego</t>
  </si>
  <si>
    <t xml:space="preserve">1531 Pacific Highway </t>
  </si>
  <si>
    <t>Fred Breshears</t>
  </si>
  <si>
    <t>+1 (619) 233-8408</t>
  </si>
  <si>
    <t>Hampton Inn San Jose</t>
  </si>
  <si>
    <t xml:space="preserve">2088 North 1st Street </t>
  </si>
  <si>
    <t>Mac Candari</t>
  </si>
  <si>
    <t>+1 (707) 207-1515</t>
  </si>
  <si>
    <t>Hampton Inn Santa Clarita</t>
  </si>
  <si>
    <t xml:space="preserve">25259 The Old Road </t>
  </si>
  <si>
    <t>+1 (661) 253-2400</t>
  </si>
  <si>
    <t>Hampton Inn Santa Fe</t>
  </si>
  <si>
    <t xml:space="preserve">3430 Cerrillos Road </t>
  </si>
  <si>
    <t>Ruby Hernandez</t>
  </si>
  <si>
    <t>+1 (505) 471-4411</t>
  </si>
  <si>
    <t>Hampton Inn Sarasota Bradenton Airport</t>
  </si>
  <si>
    <t xml:space="preserve">975 University Parkway </t>
  </si>
  <si>
    <t>Danika Smith - Josiah</t>
  </si>
  <si>
    <t>Samantha Cox</t>
  </si>
  <si>
    <t>+1 (941) 355-8140</t>
  </si>
  <si>
    <t>Hampton Inn Savannah North</t>
  </si>
  <si>
    <t xml:space="preserve">7050 Highway 21 </t>
  </si>
  <si>
    <t>Joey Mitchell</t>
  </si>
  <si>
    <t>+1 (912) 966-2000</t>
  </si>
  <si>
    <t>Hampton Inn Seaport</t>
  </si>
  <si>
    <t xml:space="preserve">320 Pearl Street </t>
  </si>
  <si>
    <t>Ariel Alba</t>
  </si>
  <si>
    <t>Elizabeth Pimentel</t>
  </si>
  <si>
    <t>+1 (212) 571-4400</t>
  </si>
  <si>
    <t>Hampton Inn Seattle Southcenter</t>
  </si>
  <si>
    <t xml:space="preserve">7200 South 156th Street </t>
  </si>
  <si>
    <t>Debra Scott</t>
  </si>
  <si>
    <t>Susan Utchinski</t>
  </si>
  <si>
    <t>+1 (425) 228-5800</t>
  </si>
  <si>
    <t>Hampton Inn Selinsgrove</t>
  </si>
  <si>
    <t xml:space="preserve">3 Stetler Avenue </t>
  </si>
  <si>
    <t>Selinsgrove</t>
  </si>
  <si>
    <t>Todd Fisher</t>
  </si>
  <si>
    <t>Wayne Strausser</t>
  </si>
  <si>
    <t>+ (570) 743-2223</t>
  </si>
  <si>
    <t>Hampton Inn Slidell</t>
  </si>
  <si>
    <t xml:space="preserve">56460 Frank Pichon Road </t>
  </si>
  <si>
    <t>North Shore</t>
  </si>
  <si>
    <t>Katie Edwards</t>
  </si>
  <si>
    <t>+()1-985-726-9777</t>
  </si>
  <si>
    <t>Hampton Inn St. Joseph I-94</t>
  </si>
  <si>
    <t xml:space="preserve">5050 Red Arrow Highway </t>
  </si>
  <si>
    <t>Stevensville</t>
  </si>
  <si>
    <t>+1 (269) 429-2700</t>
  </si>
  <si>
    <t>Hampton Inn Starkville</t>
  </si>
  <si>
    <t xml:space="preserve">700 Highway 12 East </t>
  </si>
  <si>
    <t>Jordan Smith</t>
  </si>
  <si>
    <t>+ (662) 324-1333</t>
  </si>
  <si>
    <t>Hampton Inn State College</t>
  </si>
  <si>
    <t xml:space="preserve">1955 Waddle RD </t>
  </si>
  <si>
    <t>Pamela Newberry</t>
  </si>
  <si>
    <t>+ (814) 231-1899</t>
  </si>
  <si>
    <t xml:space="preserve">1101 East College Avenue </t>
  </si>
  <si>
    <t>Brandon Fultz</t>
  </si>
  <si>
    <t>+ (814) 231-1590</t>
  </si>
  <si>
    <t>Hampton Inn Statesboro</t>
  </si>
  <si>
    <t xml:space="preserve">350 Brampton Avenue </t>
  </si>
  <si>
    <t>Statesboro</t>
  </si>
  <si>
    <t>Demetrius Burnley</t>
  </si>
  <si>
    <t>+(912)489-8989</t>
  </si>
  <si>
    <t>Hampton Inn Sweetwater</t>
  </si>
  <si>
    <t xml:space="preserve">302 Southeast Georgia Avenue </t>
  </si>
  <si>
    <t>Chrisi Warner</t>
  </si>
  <si>
    <t>+(325)235-3337</t>
  </si>
  <si>
    <t>Hampton Inn Tampa Downtown Channel District (Dual Property)</t>
  </si>
  <si>
    <t xml:space="preserve">1155 East Kennedy Boulevard </t>
  </si>
  <si>
    <t>Stacy Royalty</t>
  </si>
  <si>
    <t>Husani Parris</t>
  </si>
  <si>
    <t>+1 (813) 525-9900</t>
  </si>
  <si>
    <t>Hampton Inn Tampa Westshore</t>
  </si>
  <si>
    <t xml:space="preserve">4817 West Laurel Street </t>
  </si>
  <si>
    <t>Paul Perez</t>
  </si>
  <si>
    <t xml:space="preserve">Matthew Griffith </t>
  </si>
  <si>
    <t>+ (813) 287-0778</t>
  </si>
  <si>
    <t>Hampton Inn Taos</t>
  </si>
  <si>
    <t xml:space="preserve">1515 Paseo del Pueblo Sur </t>
  </si>
  <si>
    <t>Taos</t>
  </si>
  <si>
    <t>Davey Routte</t>
  </si>
  <si>
    <t>+1 (575) 737-5700</t>
  </si>
  <si>
    <t>Hampton Inn Tillmans Corner</t>
  </si>
  <si>
    <t xml:space="preserve">5478 Inn Road </t>
  </si>
  <si>
    <t>Friday Sayasy</t>
  </si>
  <si>
    <t>+1 (251) 660-9202</t>
  </si>
  <si>
    <t>Hampton Inn Times Square South</t>
  </si>
  <si>
    <t xml:space="preserve">337 West 39th Street </t>
  </si>
  <si>
    <t>+ (212) 967-2344</t>
  </si>
  <si>
    <t>Hampton Inn Toledo Perrysburg</t>
  </si>
  <si>
    <t xml:space="preserve">9753 Clark Drive </t>
  </si>
  <si>
    <t>Valerie Ware</t>
  </si>
  <si>
    <t>+1 (419) 662-8800</t>
  </si>
  <si>
    <t>Hampton Inn Troy</t>
  </si>
  <si>
    <t xml:space="preserve">103 Troy Plaza Loop </t>
  </si>
  <si>
    <t>Kim Waters</t>
  </si>
  <si>
    <t>Ramona Vester</t>
  </si>
  <si>
    <t>+1 (334) 807-5900</t>
  </si>
  <si>
    <t>Hampton Inn Urbana</t>
  </si>
  <si>
    <t xml:space="preserve">1200 West University Avenue </t>
  </si>
  <si>
    <t>Laura Rittenhouse</t>
  </si>
  <si>
    <t>Sandra Overman</t>
  </si>
  <si>
    <t>+1 (217) 337-1100</t>
  </si>
  <si>
    <t>Hampton Inn Uvalde</t>
  </si>
  <si>
    <t xml:space="preserve">2714 East Main Street </t>
  </si>
  <si>
    <t>Uvalde</t>
  </si>
  <si>
    <t>Chris Champagne</t>
  </si>
  <si>
    <t>+1 (830) 278-1300</t>
  </si>
  <si>
    <t>Charter One Hotels &amp; Resorts Inc.</t>
  </si>
  <si>
    <t>Hampton Inn Venice</t>
  </si>
  <si>
    <t xml:space="preserve">881 Venetia Bay Boulevard </t>
  </si>
  <si>
    <t>Tiffany Smiley</t>
  </si>
  <si>
    <t>+1 (941) 488-5900</t>
  </si>
  <si>
    <t>Hampton Inn Vero Beach</t>
  </si>
  <si>
    <t xml:space="preserve">9350 19th Lane </t>
  </si>
  <si>
    <t>Nicholas Atasoy</t>
  </si>
  <si>
    <t>+ (772) 770-4299</t>
  </si>
  <si>
    <t>Hampton Inn Walterboro</t>
  </si>
  <si>
    <t xml:space="preserve">129 Cane Branch Road </t>
  </si>
  <si>
    <t>Walterboro</t>
  </si>
  <si>
    <t>Tony Ferrell</t>
  </si>
  <si>
    <t>FayeQueisha Haggood</t>
  </si>
  <si>
    <t>+(843) 538-2300</t>
  </si>
  <si>
    <t>Hampton Inn Washington DC - Convention Center</t>
  </si>
  <si>
    <t xml:space="preserve">901 6th Street NW </t>
  </si>
  <si>
    <t>Allen Davis</t>
  </si>
  <si>
    <t>Adrian Bascom</t>
  </si>
  <si>
    <t>+1 (202) 842-2500</t>
  </si>
  <si>
    <t>Hampton Inn West Springfield</t>
  </si>
  <si>
    <t xml:space="preserve">1011 Riverdale Street </t>
  </si>
  <si>
    <t>West Springfield</t>
  </si>
  <si>
    <t>Tammy Boland</t>
  </si>
  <si>
    <t>+1 (413) 732-1300</t>
  </si>
  <si>
    <t>Hampton Inn Wetumpka</t>
  </si>
  <si>
    <t xml:space="preserve">350 South Main Street </t>
  </si>
  <si>
    <t>Wetumpka</t>
  </si>
  <si>
    <t xml:space="preserve">Samantha Hall </t>
  </si>
  <si>
    <t>+1 (334) 731-2222</t>
  </si>
  <si>
    <t>Hampton Inn-Golden</t>
  </si>
  <si>
    <t xml:space="preserve">17150 West Colfax Ave </t>
  </si>
  <si>
    <t>Brandon Peterson</t>
  </si>
  <si>
    <t>+ (303) 278-6600</t>
  </si>
  <si>
    <t>Hanover Golf Club</t>
  </si>
  <si>
    <t xml:space="preserve">133 Larrison Road </t>
  </si>
  <si>
    <t>Wrightstown</t>
  </si>
  <si>
    <t>Rick Durham</t>
  </si>
  <si>
    <t>+1 (609) 758-0300</t>
  </si>
  <si>
    <t>Harbor Hotel</t>
  </si>
  <si>
    <t xml:space="preserve">698 Commercial Street </t>
  </si>
  <si>
    <t>Jacqueline Frost</t>
  </si>
  <si>
    <t>+1 (508) 487-1711</t>
  </si>
  <si>
    <t>Harbour Club Charleston</t>
  </si>
  <si>
    <t xml:space="preserve">35 Prioleau Street </t>
  </si>
  <si>
    <t>Jim Coyne</t>
  </si>
  <si>
    <t>+ (843) 723-9680</t>
  </si>
  <si>
    <t>Harbour Club Hotel &amp; Marina</t>
  </si>
  <si>
    <t>+1 (242)322-4826</t>
  </si>
  <si>
    <t>Harbour Lake - Orlando</t>
  </si>
  <si>
    <t xml:space="preserve">7102 Grand Horizons Boulevard </t>
  </si>
  <si>
    <t>Melissa Fritsche</t>
  </si>
  <si>
    <t>Christa Ruvolo</t>
  </si>
  <si>
    <t>+1 (407) 465-6100</t>
  </si>
  <si>
    <t>Harbour Point</t>
  </si>
  <si>
    <t xml:space="preserve">4 Shelter Cove Lane </t>
  </si>
  <si>
    <t>HILTON HEAD</t>
  </si>
  <si>
    <t>Paul Bishop</t>
  </si>
  <si>
    <t>+1 (843) 686-7070</t>
  </si>
  <si>
    <t>Harbour View Inn</t>
  </si>
  <si>
    <t xml:space="preserve">2 Vendue Range </t>
  </si>
  <si>
    <t>Mark Henry</t>
  </si>
  <si>
    <t>Bernadette Wertman</t>
  </si>
  <si>
    <t>+ (843) 853-8439</t>
  </si>
  <si>
    <t>Harbourfront Inn &amp; Suites - Sarnia</t>
  </si>
  <si>
    <t xml:space="preserve">505 Harbour Street </t>
  </si>
  <si>
    <t>N7T 5R8</t>
  </si>
  <si>
    <t>Rickey Randhawa</t>
  </si>
  <si>
    <t>Denise Seller</t>
  </si>
  <si>
    <t>+(519)337-5434</t>
  </si>
  <si>
    <t>Hard Rock at Universal Orlando</t>
  </si>
  <si>
    <t xml:space="preserve">5800 Universal Boulevard </t>
  </si>
  <si>
    <t>Mark Castriota</t>
  </si>
  <si>
    <t>+ (407) 503-2001</t>
  </si>
  <si>
    <t xml:space="preserve">Hard Rock Hotel Daytona Beach </t>
  </si>
  <si>
    <t xml:space="preserve">918 North Atlantic Avenue </t>
  </si>
  <si>
    <t>+1 (407) 445-7897</t>
  </si>
  <si>
    <t>Hartefeld National Golf Club</t>
  </si>
  <si>
    <t xml:space="preserve">1 Hartefeld Drive </t>
  </si>
  <si>
    <t>Joe O'Brien</t>
  </si>
  <si>
    <t>+1 (610) 268-8800</t>
  </si>
  <si>
    <t>Harvest Inn</t>
  </si>
  <si>
    <t xml:space="preserve">One Main Street </t>
  </si>
  <si>
    <t>St. Helena</t>
  </si>
  <si>
    <t>Vern Lakusta</t>
  </si>
  <si>
    <t>+1 (707) 963.9463</t>
  </si>
  <si>
    <t>Hasentree Country Club</t>
  </si>
  <si>
    <t xml:space="preserve">1200 Keith Road </t>
  </si>
  <si>
    <t>27587-1718</t>
  </si>
  <si>
    <t>+1 (919) 569-0256</t>
  </si>
  <si>
    <t>Hawkstone Country Club</t>
  </si>
  <si>
    <t xml:space="preserve">9905 SW 44TH AVE </t>
  </si>
  <si>
    <t>Terry Cross</t>
  </si>
  <si>
    <t>+ (352) 335-0055</t>
  </si>
  <si>
    <t>Ambica Hospitality Group LLC</t>
  </si>
  <si>
    <t>Hawthorn Inn &amp; Suites St. Louis</t>
  </si>
  <si>
    <t xml:space="preserve">1881 Craigshire Road </t>
  </si>
  <si>
    <t>Angela Morgan</t>
  </si>
  <si>
    <t>Lisa Thelke</t>
  </si>
  <si>
    <t>+ (314) 469-0060</t>
  </si>
  <si>
    <t>Hawthorn Suites Arlington</t>
  </si>
  <si>
    <t xml:space="preserve">2401 Brookhollow Plaza Drive </t>
  </si>
  <si>
    <t>Barry White</t>
  </si>
  <si>
    <t>+1 (817) 640-1188</t>
  </si>
  <si>
    <t xml:space="preserve">Hawthorn Suites by Wyndham College Station </t>
  </si>
  <si>
    <t xml:space="preserve">1010 University Drive East </t>
  </si>
  <si>
    <t>Brandie Harris</t>
  </si>
  <si>
    <t>Larry Vire</t>
  </si>
  <si>
    <t>+1 (979) 695-9500</t>
  </si>
  <si>
    <t>Las Colinas Hospitality Management LLC</t>
  </si>
  <si>
    <t>Hawthorn Suites Lubbock</t>
  </si>
  <si>
    <t xml:space="preserve">4435 Marsha Sharp Freeway </t>
  </si>
  <si>
    <t>Sean Patel</t>
  </si>
  <si>
    <t>+1 (806) 792-3600</t>
  </si>
  <si>
    <t>White's Lodging LLC</t>
  </si>
  <si>
    <t>Hawthorn Suites of Naples</t>
  </si>
  <si>
    <t xml:space="preserve">3557 Pine Ridge Road </t>
  </si>
  <si>
    <t>Tom White</t>
  </si>
  <si>
    <t>Shamoy Rene</t>
  </si>
  <si>
    <t>+(239) 593-1300</t>
  </si>
  <si>
    <t>Hayes Street Hotel</t>
  </si>
  <si>
    <t xml:space="preserve">1909 Hayes Street </t>
  </si>
  <si>
    <t>Keily Brown</t>
  </si>
  <si>
    <t>+1 (615) 320-0110</t>
  </si>
  <si>
    <t>Healy Point Country Club</t>
  </si>
  <si>
    <t xml:space="preserve">293 River North Boulevard </t>
  </si>
  <si>
    <t>+1 (478) 743-1495</t>
  </si>
  <si>
    <t>Hearthstone Country Club</t>
  </si>
  <si>
    <t xml:space="preserve">7615 Ameswood RD </t>
  </si>
  <si>
    <t>Tatia George</t>
  </si>
  <si>
    <t>Allen Baquet</t>
  </si>
  <si>
    <t>+ (281) 463-2201</t>
  </si>
  <si>
    <t>Heathman Hotel</t>
  </si>
  <si>
    <t xml:space="preserve">220 Kirkland Avenue </t>
  </si>
  <si>
    <t>Mike Hill</t>
  </si>
  <si>
    <t>+1 (425) 284-5800</t>
  </si>
  <si>
    <t>Heathman Hotel Portland</t>
  </si>
  <si>
    <t xml:space="preserve">1001 SW Broadway </t>
  </si>
  <si>
    <t>Jessica Monjaras</t>
  </si>
  <si>
    <t>+1 (503) 241-4100</t>
  </si>
  <si>
    <t>Heritage Golf Club</t>
  </si>
  <si>
    <t xml:space="preserve">3525 Heritage Club Drive </t>
  </si>
  <si>
    <t>Bobby Sneed</t>
  </si>
  <si>
    <t>+1 (614) 777-1690</t>
  </si>
  <si>
    <t>Hersha Hospitality Management Office</t>
  </si>
  <si>
    <t xml:space="preserve">254 West 31st Street </t>
  </si>
  <si>
    <t>+ (646) 395-7780</t>
  </si>
  <si>
    <t>Hershey Country Club</t>
  </si>
  <si>
    <t xml:space="preserve">1000 E Derry Rd </t>
  </si>
  <si>
    <t>Jon Gehman</t>
  </si>
  <si>
    <t>Kathy Youtz</t>
  </si>
  <si>
    <t>+ (717) 533-2360</t>
  </si>
  <si>
    <t>Hershey Courtyard</t>
  </si>
  <si>
    <t xml:space="preserve">515 East Chocolate Avenue </t>
  </si>
  <si>
    <t>Elias Thompson</t>
  </si>
  <si>
    <t>+1 (717) 533-1750</t>
  </si>
  <si>
    <t>Hershey Entertainment &amp; Resorts Company - Unit</t>
  </si>
  <si>
    <t>David Lavery</t>
  </si>
  <si>
    <t>+(717)534-8689</t>
  </si>
  <si>
    <t>Hershey Houlihan's</t>
  </si>
  <si>
    <t>Christopher Emlet</t>
  </si>
  <si>
    <t>+1 (717) 508-1713</t>
  </si>
  <si>
    <t>Hershey Lodge &amp; Convention Center</t>
  </si>
  <si>
    <t xml:space="preserve">West Chocolate Avenue and University Drive </t>
  </si>
  <si>
    <t>Jason Heath</t>
  </si>
  <si>
    <t>Jaime Blauch</t>
  </si>
  <si>
    <t>+ (717) 533-3311</t>
  </si>
  <si>
    <t>Hewing Hotel</t>
  </si>
  <si>
    <t xml:space="preserve">300 North Washington Avenue </t>
  </si>
  <si>
    <t>Catherine Hall</t>
  </si>
  <si>
    <t>+1 (651) 468-0400</t>
  </si>
  <si>
    <t>Hidden Valley Country Club</t>
  </si>
  <si>
    <t xml:space="preserve">3575 East Hidden Valley Drive </t>
  </si>
  <si>
    <t>Elona Skadberg</t>
  </si>
  <si>
    <t>Jennifer Brodzinski</t>
  </si>
  <si>
    <t>+ (775) 857-4742</t>
  </si>
  <si>
    <t>Higgins Hotel</t>
  </si>
  <si>
    <t xml:space="preserve">1000 Magazine Street </t>
  </si>
  <si>
    <t>Daniel Rhodes</t>
  </si>
  <si>
    <t>+1 (504) 528-1941</t>
  </si>
  <si>
    <t>High Alpine Restaurant</t>
  </si>
  <si>
    <t>Dieter Schindler</t>
  </si>
  <si>
    <t>+1 (970) 923-0450</t>
  </si>
  <si>
    <t>High Peaks Resort</t>
  </si>
  <si>
    <t xml:space="preserve">2384 Saranac Avenue </t>
  </si>
  <si>
    <t>Darcie McCulley</t>
  </si>
  <si>
    <t xml:space="preserve">Lisa Lester </t>
  </si>
  <si>
    <t>+1 (518) 523-4411</t>
  </si>
  <si>
    <t>Highland Dallas Curio</t>
  </si>
  <si>
    <t xml:space="preserve">5300 East Mockingbird Lane </t>
  </si>
  <si>
    <t>Natasha Johnson</t>
  </si>
  <si>
    <t>Ryan Bunker</t>
  </si>
  <si>
    <t>+1 (214) 520-7969</t>
  </si>
  <si>
    <t>Highland Oaks Golf Course</t>
  </si>
  <si>
    <t xml:space="preserve">904 Royal Parkway </t>
  </si>
  <si>
    <t>+1 (334) 712-2820</t>
  </si>
  <si>
    <t>Highlands Golf &amp; Tennis Club</t>
  </si>
  <si>
    <t xml:space="preserve">5163 Clayton Road </t>
  </si>
  <si>
    <t>Aaron Loehr</t>
  </si>
  <si>
    <t>+1 (314) 531-7773</t>
  </si>
  <si>
    <t>Highline Vail - a DoubleTree by Hilton</t>
  </si>
  <si>
    <t xml:space="preserve">2211 North Frontage Road West </t>
  </si>
  <si>
    <t>Don Woodin</t>
  </si>
  <si>
    <t>+1 (970) 476-2739</t>
  </si>
  <si>
    <t>Hill House Inn</t>
  </si>
  <si>
    <t xml:space="preserve">10701 Palette Drive </t>
  </si>
  <si>
    <t>Mendocino</t>
  </si>
  <si>
    <t>Jamie Buckner</t>
  </si>
  <si>
    <t>+1 (707) 937-0554</t>
  </si>
  <si>
    <t>Hills Country Club</t>
  </si>
  <si>
    <t xml:space="preserve">26 Club Estates PKWY </t>
  </si>
  <si>
    <t>Gene Guerra</t>
  </si>
  <si>
    <t>John Woodeshick</t>
  </si>
  <si>
    <t>+ (512) 261-7254</t>
  </si>
  <si>
    <t>Hills II of Lakeway/Flintrock</t>
  </si>
  <si>
    <t xml:space="preserve">401 Jack Nicklaus Drive </t>
  </si>
  <si>
    <t>+ () 5122617200</t>
  </si>
  <si>
    <t>Hilton - Kansas City Airport</t>
  </si>
  <si>
    <t xml:space="preserve">8801 NW 112TH Street </t>
  </si>
  <si>
    <t xml:space="preserve">Kate Higgins </t>
  </si>
  <si>
    <t>+1 (816) 891-8900</t>
  </si>
  <si>
    <t>Hilton Alexandria Mark Center</t>
  </si>
  <si>
    <t xml:space="preserve">5000 Seminary Road </t>
  </si>
  <si>
    <t>Greg Langweg</t>
  </si>
  <si>
    <t>+1 (703) 845-1010</t>
  </si>
  <si>
    <t>Hilton Alexandria Old Town</t>
  </si>
  <si>
    <t xml:space="preserve">1767 King Street </t>
  </si>
  <si>
    <t>Sherri Cooper</t>
  </si>
  <si>
    <t>+1 (703) 837-0440</t>
  </si>
  <si>
    <t>Hilton Atlanta Airport</t>
  </si>
  <si>
    <t xml:space="preserve">1031 Virginia Avenue </t>
  </si>
  <si>
    <t>David Levy</t>
  </si>
  <si>
    <t>Cathy Zucker</t>
  </si>
  <si>
    <t>+1(404)767-9000</t>
  </si>
  <si>
    <t>Hilton Atlanta-Marietta Hotel &amp; Conference Center</t>
  </si>
  <si>
    <t xml:space="preserve">500 Powder Springs ST </t>
  </si>
  <si>
    <t>Frank Cook</t>
  </si>
  <si>
    <t>+1 (770) 427-2500</t>
  </si>
  <si>
    <t>Hilton Baton Rouge Capitol Center</t>
  </si>
  <si>
    <t xml:space="preserve">201 Lafayette Street </t>
  </si>
  <si>
    <t>Jamer Samonte</t>
  </si>
  <si>
    <t>+1 (225) 344-5866</t>
  </si>
  <si>
    <t>Hilton Birmingham</t>
  </si>
  <si>
    <t xml:space="preserve">808 South 20th Street </t>
  </si>
  <si>
    <t>Lisa Castagna</t>
  </si>
  <si>
    <t>+1 (205) 933-9000</t>
  </si>
  <si>
    <t>Hilton Boston Back Bay</t>
  </si>
  <si>
    <t xml:space="preserve">40 Dalton St </t>
  </si>
  <si>
    <t>Doug Koenig</t>
  </si>
  <si>
    <t>Fady Bishay</t>
  </si>
  <si>
    <t>+ (617) 236-1100</t>
  </si>
  <si>
    <t>Hilton Brentwood-Nashville Suites</t>
  </si>
  <si>
    <t xml:space="preserve">9000 Overlook Boulevard </t>
  </si>
  <si>
    <t>Tom Rybak</t>
  </si>
  <si>
    <t>+1 (615) 370-0111</t>
  </si>
  <si>
    <t>Hilton Charlotte Airport</t>
  </si>
  <si>
    <t xml:space="preserve">2800 Coliseum Centre Drive </t>
  </si>
  <si>
    <t xml:space="preserve">Nazmi Aysan </t>
  </si>
  <si>
    <t>Tim Peters</t>
  </si>
  <si>
    <t>+1 (704) 357-1414</t>
  </si>
  <si>
    <t>Hilton Checkers - Los Angeles</t>
  </si>
  <si>
    <t xml:space="preserve">535 South Grand Avenue </t>
  </si>
  <si>
    <t>Althea Abdallah</t>
  </si>
  <si>
    <t>Edward Chan</t>
  </si>
  <si>
    <t>+ (213) 624-0000</t>
  </si>
  <si>
    <t>Hilton Cincinnati Airport</t>
  </si>
  <si>
    <t xml:space="preserve">7373 Turfway Road </t>
  </si>
  <si>
    <t>Imran Hussain</t>
  </si>
  <si>
    <t>+ (859) 371-4400</t>
  </si>
  <si>
    <t>Hilton Columbus at Easton</t>
  </si>
  <si>
    <t xml:space="preserve">3900 Chagrin Drive </t>
  </si>
  <si>
    <t>Carrie Richards</t>
  </si>
  <si>
    <t>Michael Jenkins</t>
  </si>
  <si>
    <t>+1 (614) 414-5000</t>
  </si>
  <si>
    <t>Hilton Columbus/Polaris</t>
  </si>
  <si>
    <t xml:space="preserve">8700 Lyra Dr. </t>
  </si>
  <si>
    <t>+1 (614) 885-1600</t>
  </si>
  <si>
    <t>Hilton Daytona Beach</t>
  </si>
  <si>
    <t xml:space="preserve">100 North Atlantic Avenue </t>
  </si>
  <si>
    <t>Jim Berkley</t>
  </si>
  <si>
    <t>+1 (386) 254-8200</t>
  </si>
  <si>
    <t>Hilton Fort Collins</t>
  </si>
  <si>
    <t xml:space="preserve">425 West Prospect Road </t>
  </si>
  <si>
    <t>Daniel Benton</t>
  </si>
  <si>
    <t>Atrium AP</t>
  </si>
  <si>
    <t>+1 (970) 482-2626</t>
  </si>
  <si>
    <t>Hilton Fort Wayne at the Grand Wayne Convention Center</t>
  </si>
  <si>
    <t xml:space="preserve">1020 South Calhoun Street </t>
  </si>
  <si>
    <t>Mark Luttik</t>
  </si>
  <si>
    <t>Brooke Colvin</t>
  </si>
  <si>
    <t>+1 (260) 420-1100</t>
  </si>
  <si>
    <t>Hilton Franklin Cool Springs</t>
  </si>
  <si>
    <t xml:space="preserve">601 Corporate Center Drive </t>
  </si>
  <si>
    <t>Gerald Loughran</t>
  </si>
  <si>
    <t>Ryan Matthews</t>
  </si>
  <si>
    <t>+1 (615) 771-1995</t>
  </si>
  <si>
    <t xml:space="preserve">7007 Fayetteville Rd. </t>
  </si>
  <si>
    <t>Max Houseworth</t>
  </si>
  <si>
    <t>+1 (919) 544-6000</t>
  </si>
  <si>
    <t>Hilton Garden Inn - Albany/SUNY</t>
  </si>
  <si>
    <t xml:space="preserve">1389 Washington Ave </t>
  </si>
  <si>
    <t>Sherrene Zachow</t>
  </si>
  <si>
    <t>Samantha Sickles</t>
  </si>
  <si>
    <t>+1 (518) 453-1300</t>
  </si>
  <si>
    <t>Hilton Garden Inn - Blacksburg</t>
  </si>
  <si>
    <t xml:space="preserve">900 Plantation Square Road </t>
  </si>
  <si>
    <t>Chris Lyon</t>
  </si>
  <si>
    <t>Patrick Hurley</t>
  </si>
  <si>
    <t>+(540) 552-5005</t>
  </si>
  <si>
    <t>Hilton Garden Inn - Bossier City</t>
  </si>
  <si>
    <t>2015 Old Minden Road c/o Hilton Garden Inn Bossier City</t>
  </si>
  <si>
    <t>Ray Ferland</t>
  </si>
  <si>
    <t>Nikki Kotzian</t>
  </si>
  <si>
    <t>+()318-759-1950</t>
  </si>
  <si>
    <t>Hilton Garden Inn - Cherry Creek</t>
  </si>
  <si>
    <t xml:space="preserve">600 S Colorado Blvd. </t>
  </si>
  <si>
    <t>Eric Hautzenrader</t>
  </si>
  <si>
    <t>+1 (303) 757-3341</t>
  </si>
  <si>
    <t>Hilton Garden Inn - Denver Downtown</t>
  </si>
  <si>
    <t xml:space="preserve">1400 Welton Street </t>
  </si>
  <si>
    <t>Kara VanBeek</t>
  </si>
  <si>
    <t>+1 (303) 603-8000</t>
  </si>
  <si>
    <t>Hilton Garden Inn - Devens</t>
  </si>
  <si>
    <t xml:space="preserve">59 Andrews Parkway </t>
  </si>
  <si>
    <t>Devens</t>
  </si>
  <si>
    <t>Jon Mehlmann</t>
  </si>
  <si>
    <t>+1 (978) 772-0600</t>
  </si>
  <si>
    <t>Hilton Garden Inn - Jacksonville Downtown</t>
  </si>
  <si>
    <t xml:space="preserve">1201 Kings Avenue </t>
  </si>
  <si>
    <t>Andres Norena</t>
  </si>
  <si>
    <t>+1 (904) 396-6111</t>
  </si>
  <si>
    <t>Hilton Garden Inn - Norwalk</t>
  </si>
  <si>
    <t xml:space="preserve">560 Main Avenue </t>
  </si>
  <si>
    <t>John Matkovich</t>
  </si>
  <si>
    <t>Helen Kevin</t>
  </si>
  <si>
    <t>+1 (203) 523-4000</t>
  </si>
  <si>
    <t>Hilton Garden Inn - Shelton</t>
  </si>
  <si>
    <t xml:space="preserve">25 Old Stratford Road </t>
  </si>
  <si>
    <t>Saad Akhtar</t>
  </si>
  <si>
    <t>+1 (203) 447-1000</t>
  </si>
  <si>
    <t>Hilton Garden Inn &amp; Homewood Suites Inner Harbor</t>
  </si>
  <si>
    <t xml:space="preserve">625 S. President Street </t>
  </si>
  <si>
    <t>Pat McManus</t>
  </si>
  <si>
    <t>Ivan Demin</t>
  </si>
  <si>
    <t>+1 (410) 234-0065</t>
  </si>
  <si>
    <t>Hilton Garden Inn Akron</t>
  </si>
  <si>
    <t xml:space="preserve">1307 East Market Street </t>
  </si>
  <si>
    <t>Shirlene Kramer</t>
  </si>
  <si>
    <t>+1 (330) 733-2900</t>
  </si>
  <si>
    <t>Hilton Garden Inn Alexandria</t>
  </si>
  <si>
    <t xml:space="preserve">1620 Prince Street </t>
  </si>
  <si>
    <t>Joseph Mensah</t>
  </si>
  <si>
    <t>+1 (703) 302-8300</t>
  </si>
  <si>
    <t>Hilton Garden Inn Allentown Bethlehem Airport</t>
  </si>
  <si>
    <t xml:space="preserve">1787B Airport Road </t>
  </si>
  <si>
    <t>Mark Raphun</t>
  </si>
  <si>
    <t>Jocelyn Yaich</t>
  </si>
  <si>
    <t>+ (610) 443-1400</t>
  </si>
  <si>
    <t>Hilton Garden Inn Allentown West</t>
  </si>
  <si>
    <t xml:space="preserve">230 Sycamore Road </t>
  </si>
  <si>
    <t>Breinigsville</t>
  </si>
  <si>
    <t>Jennifer Holmwood</t>
  </si>
  <si>
    <t>+ (610) 398-6686</t>
  </si>
  <si>
    <t>Hilton Garden Inn Anaheim/Garden Grove</t>
  </si>
  <si>
    <t xml:space="preserve">11777 Harbor Blvd </t>
  </si>
  <si>
    <t>Alfredo Sanedrin</t>
  </si>
  <si>
    <t xml:space="preserve">Cosme Martinez </t>
  </si>
  <si>
    <t>+ (714) 703-9100</t>
  </si>
  <si>
    <t>Hilton Garden Inn Annapolis</t>
  </si>
  <si>
    <t xml:space="preserve">305 Harry S. Truman Pkwy. </t>
  </si>
  <si>
    <t>Kristy Kryger</t>
  </si>
  <si>
    <t>+1 (410) 266-9006</t>
  </si>
  <si>
    <t>Hilton Garden Inn Arlington TX</t>
  </si>
  <si>
    <t xml:space="preserve">521 East Interstate 20 </t>
  </si>
  <si>
    <t>DeAnna Hendrix</t>
  </si>
  <si>
    <t>+1 (817)557-8233</t>
  </si>
  <si>
    <t>Hilton Garden Inn Arlington/Shirlington</t>
  </si>
  <si>
    <t xml:space="preserve">4271 Campbell Ave. </t>
  </si>
  <si>
    <t>Christopher Ng</t>
  </si>
  <si>
    <t>Ben Henderson</t>
  </si>
  <si>
    <t>+1 (703) 820-0440</t>
  </si>
  <si>
    <t>Hilton Garden Inn Atlanta - Perimeter Center</t>
  </si>
  <si>
    <t xml:space="preserve">1501 Lake Hearn Dr. </t>
  </si>
  <si>
    <t xml:space="preserve">Jason Caughron </t>
  </si>
  <si>
    <t>+ (404) 459-0500</t>
  </si>
  <si>
    <t>Hilton Garden Inn Atlanta Airport</t>
  </si>
  <si>
    <t xml:space="preserve">2301 Sullivan Road </t>
  </si>
  <si>
    <t>Michael Eagan</t>
  </si>
  <si>
    <t>+ (404) 766-0303</t>
  </si>
  <si>
    <t>Hilton Garden Inn Atlanta Kennesaw Town Center</t>
  </si>
  <si>
    <t xml:space="preserve">895 Cobb Place Boulevard </t>
  </si>
  <si>
    <t>Karen Hurst</t>
  </si>
  <si>
    <t>+1 (678) 322-1140</t>
  </si>
  <si>
    <t>Hilton Garden Inn Auburn</t>
  </si>
  <si>
    <t xml:space="preserve">2555 Hilton Garden Drive </t>
  </si>
  <si>
    <t>Jay Lockhart</t>
  </si>
  <si>
    <t>+ (334) 502-3500</t>
  </si>
  <si>
    <t>Hilton Garden Inn Austin Downtown</t>
  </si>
  <si>
    <t xml:space="preserve">500 NORTH INTERSTATE 35 </t>
  </si>
  <si>
    <t>+1 (512) 480 8181</t>
  </si>
  <si>
    <t>Hilton Garden Inn Austin North</t>
  </si>
  <si>
    <t xml:space="preserve">12400 North IH 35 </t>
  </si>
  <si>
    <t>+ (512) 339-3626</t>
  </si>
  <si>
    <t>Hilton Garden Inn Baton Rouge Airport</t>
  </si>
  <si>
    <t xml:space="preserve">3330 Harding Boulevard </t>
  </si>
  <si>
    <t>Joshua Lamb</t>
  </si>
  <si>
    <t>+1 (225) 357-6177</t>
  </si>
  <si>
    <t>Hilton Garden Inn Beaufort</t>
  </si>
  <si>
    <t xml:space="preserve">1500 Queen Street </t>
  </si>
  <si>
    <t>Burton</t>
  </si>
  <si>
    <t>Jennifer Kovacs</t>
  </si>
  <si>
    <t>+1 (843) 379-9800</t>
  </si>
  <si>
    <t>Hilton Garden Inn Bethesda</t>
  </si>
  <si>
    <t xml:space="preserve">7301 Waverly Street </t>
  </si>
  <si>
    <t>+1 (301) 654-8111</t>
  </si>
  <si>
    <t>Hilton Garden Inn Birmingham Downtown</t>
  </si>
  <si>
    <t xml:space="preserve">250 18th Street South </t>
  </si>
  <si>
    <t>Jason Deluca</t>
  </si>
  <si>
    <t>+1 (205) 322-7937</t>
  </si>
  <si>
    <t>Hilton Garden Inn Bloomington</t>
  </si>
  <si>
    <t xml:space="preserve">245 N. College Ave. </t>
  </si>
  <si>
    <t>Megan Snyder</t>
  </si>
  <si>
    <t>+1 (812) 331-1335</t>
  </si>
  <si>
    <t>Hilton Garden Inn Boca Raton</t>
  </si>
  <si>
    <t xml:space="preserve">8201 Congress AVenue </t>
  </si>
  <si>
    <t>Amy Belzeski</t>
  </si>
  <si>
    <t>David Gronowicz</t>
  </si>
  <si>
    <t>+ (561) 988-6110</t>
  </si>
  <si>
    <t>Hilton Garden Inn Boston Burlington</t>
  </si>
  <si>
    <t xml:space="preserve">5 Wheeler Road </t>
  </si>
  <si>
    <t>Andrew Smith</t>
  </si>
  <si>
    <t>Heidi Sorgenfrei</t>
  </si>
  <si>
    <t>+1 (781) 272-8800</t>
  </si>
  <si>
    <t>Hilton Garden Inn Boulder</t>
  </si>
  <si>
    <t xml:space="preserve">2701 Canyon Boulevard </t>
  </si>
  <si>
    <t>Joseph Steikal</t>
  </si>
  <si>
    <t>+1 (303) 443-2200</t>
  </si>
  <si>
    <t>Hilton Garden Inn Bowling Green</t>
  </si>
  <si>
    <t xml:space="preserve">1020 Wilkinson Trace </t>
  </si>
  <si>
    <t>Byron Palmiter</t>
  </si>
  <si>
    <t>Wendy Kublin</t>
  </si>
  <si>
    <t>+1 (270) 781-6778</t>
  </si>
  <si>
    <t>Hilton Garden Inn Brentwood</t>
  </si>
  <si>
    <t xml:space="preserve">217 Centerview Drive </t>
  </si>
  <si>
    <t>Annette Porter</t>
  </si>
  <si>
    <t xml:space="preserve">Daryl Eadie </t>
  </si>
  <si>
    <t>+1 (615) 370-5040</t>
  </si>
  <si>
    <t>Hilton Garden Inn Brickell</t>
  </si>
  <si>
    <t xml:space="preserve">2500 Brickell Avenue </t>
  </si>
  <si>
    <t>Glenda Sanchez</t>
  </si>
  <si>
    <t>+1 (305) 854-2070</t>
  </si>
  <si>
    <t>Hilton Garden Inn Buckhead</t>
  </si>
  <si>
    <t xml:space="preserve">3342 Peachtree Road Northeast </t>
  </si>
  <si>
    <t>+ (404) 231-1234</t>
  </si>
  <si>
    <t>Hilton Garden Inn Buffalo Downtown</t>
  </si>
  <si>
    <t xml:space="preserve">10 Lafayette Square </t>
  </si>
  <si>
    <t>Erin Hanel</t>
  </si>
  <si>
    <t>Steve Walsh</t>
  </si>
  <si>
    <t>+1 (716) 848-1000</t>
  </si>
  <si>
    <t>Hilton Garden Inn BWI Airport</t>
  </si>
  <si>
    <t xml:space="preserve">1516 Aero Drive </t>
  </si>
  <si>
    <t>Elsa Balckson</t>
  </si>
  <si>
    <t>Erika Pinkard</t>
  </si>
  <si>
    <t>+1 (410) 691-0500</t>
  </si>
  <si>
    <t>Hilton Garden Inn Carlsbad Beach</t>
  </si>
  <si>
    <t xml:space="preserve">6450 Carlsbad Boulevard </t>
  </si>
  <si>
    <t>Peter Yerkes</t>
  </si>
  <si>
    <t>+1 (760) 476-0800</t>
  </si>
  <si>
    <t>Hilton Garden Inn Cedar Park Austin</t>
  </si>
  <si>
    <t>13501 Lyndhurst Street Building 1</t>
  </si>
  <si>
    <t>Nicholas Rosenberg</t>
  </si>
  <si>
    <t>+1 (512) 506-8880</t>
  </si>
  <si>
    <t>Hilton Garden Inn Champaign - Urbana</t>
  </si>
  <si>
    <t xml:space="preserve">1501 South Neil Street </t>
  </si>
  <si>
    <t>Donna Wickersham</t>
  </si>
  <si>
    <t>+1 (217) 352-9970</t>
  </si>
  <si>
    <t>Hilton Garden Inn Charleston Mt. Pleasant</t>
  </si>
  <si>
    <t xml:space="preserve">300 Wingo Way </t>
  </si>
  <si>
    <t>Ted Wackler</t>
  </si>
  <si>
    <t>+1 (843) 606-4600</t>
  </si>
  <si>
    <t>Hilton Garden Inn Charleston Waterfront Downtown</t>
  </si>
  <si>
    <t xml:space="preserve">45 Lockwood Drive </t>
  </si>
  <si>
    <t>Charles Reed</t>
  </si>
  <si>
    <t>Kimberly StJohn</t>
  </si>
  <si>
    <t>+1 (843) 637-4074</t>
  </si>
  <si>
    <t>Hilton Garden Inn Charlotte</t>
  </si>
  <si>
    <t xml:space="preserve">4808 Sharon Road </t>
  </si>
  <si>
    <t>Broderick Cooley</t>
  </si>
  <si>
    <t xml:space="preserve">Colin Burnheimer </t>
  </si>
  <si>
    <t>+1 (704) 362-5080</t>
  </si>
  <si>
    <t>Hilton Garden Inn Charlotte Airport</t>
  </si>
  <si>
    <t xml:space="preserve">2400 Cascade Pointe Boulevard </t>
  </si>
  <si>
    <t>Jason Skoler</t>
  </si>
  <si>
    <t>+1 (704) 790-7000</t>
  </si>
  <si>
    <t>Hilton Garden Inn Charlotte Waverly</t>
  </si>
  <si>
    <t xml:space="preserve">7415 Waverly Walk Avenue </t>
  </si>
  <si>
    <t>Marsha Ellsworth</t>
  </si>
  <si>
    <t>+1 (704) 992-9900</t>
  </si>
  <si>
    <t>Hilton Garden Inn Chattanooga Downtown</t>
  </si>
  <si>
    <t xml:space="preserve">311 Chestnut Street </t>
  </si>
  <si>
    <t>Andrea Anderson</t>
  </si>
  <si>
    <t>Chris Maples</t>
  </si>
  <si>
    <t>+1 (423) 308-9000</t>
  </si>
  <si>
    <t>Hilton Garden Inn Chattanooga Hamilton Place</t>
  </si>
  <si>
    <t xml:space="preserve">2343 Shallowford Village Drive </t>
  </si>
  <si>
    <t>+1 (423) 308-4400</t>
  </si>
  <si>
    <t>Hilton Garden Inn Chesapeake Suffolk</t>
  </si>
  <si>
    <t xml:space="preserve">5921 Harbour View Boulevard </t>
  </si>
  <si>
    <t>Carole Downs</t>
  </si>
  <si>
    <t>+1(757) 484-9001</t>
  </si>
  <si>
    <t>Hilton Garden Inn Chesterton</t>
  </si>
  <si>
    <t xml:space="preserve">501 Gateway Boulevard </t>
  </si>
  <si>
    <t>Chesterton</t>
  </si>
  <si>
    <t>Maria Leser</t>
  </si>
  <si>
    <t>+1 (219) 983-9500</t>
  </si>
  <si>
    <t>Hilton Garden Inn Chicago</t>
  </si>
  <si>
    <t xml:space="preserve">10 East Grand Avenue </t>
  </si>
  <si>
    <t>+ () 312-595-0000</t>
  </si>
  <si>
    <t>Hilton Garden Inn Chicago McCormick Place (CM3HG)</t>
  </si>
  <si>
    <t>123 East Cermak Suite 300</t>
  </si>
  <si>
    <t>Hilton Garden Inn Chicago-Tinley Park</t>
  </si>
  <si>
    <t xml:space="preserve">18335 LaGrange Road </t>
  </si>
  <si>
    <t>Patty Glomb</t>
  </si>
  <si>
    <t>+1 (708) 429-2266</t>
  </si>
  <si>
    <t>Hilton Garden Inn Cincinnati Midtown</t>
  </si>
  <si>
    <t xml:space="preserve">2145 Dana Avenue </t>
  </si>
  <si>
    <t>Jason Towles</t>
  </si>
  <si>
    <t>Mark Steller</t>
  </si>
  <si>
    <t>+(513) 361-9800</t>
  </si>
  <si>
    <t>Hilton Garden Inn Cincinnati Northeast</t>
  </si>
  <si>
    <t xml:space="preserve">6288 Tri Ridge Boulevard </t>
  </si>
  <si>
    <t>Steelville</t>
  </si>
  <si>
    <t>Ray Reichert</t>
  </si>
  <si>
    <t>James Horath</t>
  </si>
  <si>
    <t>+1 (513) 576-6999</t>
  </si>
  <si>
    <t>Hilton Garden Inn Cleveland Airport</t>
  </si>
  <si>
    <t xml:space="preserve">4900 Emerald Court SW </t>
  </si>
  <si>
    <t>Scott Polenda</t>
  </si>
  <si>
    <t>+1 (216) 898-1898</t>
  </si>
  <si>
    <t>Hilton Garden Inn Cleveland Downtown</t>
  </si>
  <si>
    <t xml:space="preserve">1100 Carnegie Avenue </t>
  </si>
  <si>
    <t>Joel Hoffmaster</t>
  </si>
  <si>
    <t>Richard Bloom</t>
  </si>
  <si>
    <t>+1 (216) 658-6400</t>
  </si>
  <si>
    <t>Hilton Garden Inn Clovis</t>
  </si>
  <si>
    <t xml:space="preserve">520 West Shaw Avenue </t>
  </si>
  <si>
    <t>Adrian Gooden</t>
  </si>
  <si>
    <t>Chris Milton</t>
  </si>
  <si>
    <t>+1 (559) 299-2203</t>
  </si>
  <si>
    <t>Hilton Garden Inn Columbia</t>
  </si>
  <si>
    <t xml:space="preserve">434 Columbiana Drive </t>
  </si>
  <si>
    <t>Shawn Wallick</t>
  </si>
  <si>
    <t>Tom Sedio</t>
  </si>
  <si>
    <t>+1 (803) 407-6640</t>
  </si>
  <si>
    <t>Hilton Garden Inn Columbus</t>
  </si>
  <si>
    <t xml:space="preserve">1500 Bradley Lake Boulevard </t>
  </si>
  <si>
    <t>Cindy Webb</t>
  </si>
  <si>
    <t>Chris McCall</t>
  </si>
  <si>
    <t>+1 (706) 660-1000</t>
  </si>
  <si>
    <t>Hilton Garden Inn Columbus Dublin</t>
  </si>
  <si>
    <t xml:space="preserve">500 Metro Place North </t>
  </si>
  <si>
    <t>Jason Spargur</t>
  </si>
  <si>
    <t>Jessica Meyers</t>
  </si>
  <si>
    <t>+1 (614) 766-9900</t>
  </si>
  <si>
    <t>Hilton Garden Inn Columbus Grove City</t>
  </si>
  <si>
    <t xml:space="preserve">3928 Jackpot Road </t>
  </si>
  <si>
    <t>Jeff Fisher</t>
  </si>
  <si>
    <t>+1 (614) 539-8944</t>
  </si>
  <si>
    <t>Hilton Garden Inn Corning</t>
  </si>
  <si>
    <t xml:space="preserve">23 Riverside Drive </t>
  </si>
  <si>
    <t>Corning</t>
  </si>
  <si>
    <t>Linda Wright</t>
  </si>
  <si>
    <t>Pam Ray</t>
  </si>
  <si>
    <t>+1(607)438-1400</t>
  </si>
  <si>
    <t>Hilton Garden Inn Corpus Christi</t>
  </si>
  <si>
    <t xml:space="preserve">6717 South Padre Island Drive </t>
  </si>
  <si>
    <t>Dusty Tracy</t>
  </si>
  <si>
    <t>+1 (361) 991-8200</t>
  </si>
  <si>
    <t>Hilton Garden Inn Cupertino</t>
  </si>
  <si>
    <t xml:space="preserve">10741 N. Wolfe Rd </t>
  </si>
  <si>
    <t>Adrien Villalobos</t>
  </si>
  <si>
    <t>+1 (408) 777-8787</t>
  </si>
  <si>
    <t>Hilton Garden Inn Denison</t>
  </si>
  <si>
    <t xml:space="preserve">5015 South US 75 </t>
  </si>
  <si>
    <t>Christopher Nerad</t>
  </si>
  <si>
    <t>Chris Jennings</t>
  </si>
  <si>
    <t>+1 (903) 463-3331</t>
  </si>
  <si>
    <t>Hilton Garden Inn Denver South Meridian</t>
  </si>
  <si>
    <t xml:space="preserve">9290 South Meridian Blvd </t>
  </si>
  <si>
    <t>Paige Roberts</t>
  </si>
  <si>
    <t xml:space="preserve"> Gregory Roper</t>
  </si>
  <si>
    <t>+1 (303) 824-1550</t>
  </si>
  <si>
    <t>Hilton Garden Inn Denver Tech Center</t>
  </si>
  <si>
    <t xml:space="preserve">7675 East Union Avenue </t>
  </si>
  <si>
    <t>Jason Bargar</t>
  </si>
  <si>
    <t>Aaron Rhodes</t>
  </si>
  <si>
    <t>+1 (303) 770-4200</t>
  </si>
  <si>
    <t>Hilton Garden Inn Denver Union Station</t>
  </si>
  <si>
    <t xml:space="preserve">1999 Chestnut Place </t>
  </si>
  <si>
    <t>Alison Mitchell</t>
  </si>
  <si>
    <t>Franco Ruiz</t>
  </si>
  <si>
    <t>+(720)643-1999</t>
  </si>
  <si>
    <t>Hilton Garden Inn Destin - Miramar Beach</t>
  </si>
  <si>
    <t xml:space="preserve">220 Scenic Gulf Drive </t>
  </si>
  <si>
    <t>Jeffrey Welch</t>
  </si>
  <si>
    <t>+1 (850) 622-3375</t>
  </si>
  <si>
    <t>Hilton Garden Inn DFW North Grapevine</t>
  </si>
  <si>
    <t xml:space="preserve">205 West State Highway 114 </t>
  </si>
  <si>
    <t>Adrian Perez</t>
  </si>
  <si>
    <t>+1 (817) 421-1172</t>
  </si>
  <si>
    <t>Hilton Garden Inn DFW South</t>
  </si>
  <si>
    <t xml:space="preserve">2001 Valley View Lane </t>
  </si>
  <si>
    <t>Jim Roe</t>
  </si>
  <si>
    <t>+1 (972) 313-2800</t>
  </si>
  <si>
    <t>Hilton Garden Inn Downtown Dallas</t>
  </si>
  <si>
    <t xml:space="preserve">1600 Pacific Avenue </t>
  </si>
  <si>
    <t>Brooke Beilby</t>
  </si>
  <si>
    <t>Safira Garza</t>
  </si>
  <si>
    <t>+1 (214) 299-8982</t>
  </si>
  <si>
    <t>Hilton Garden Inn Downtown Louisville (LDT)</t>
  </si>
  <si>
    <t xml:space="preserve">350 West Chestnut Street </t>
  </si>
  <si>
    <t>John Fields</t>
  </si>
  <si>
    <t>Matt Szurko</t>
  </si>
  <si>
    <t>+1 (502) 584-5175</t>
  </si>
  <si>
    <t>Hilton Garden Inn Edmonton International Airport</t>
  </si>
  <si>
    <t xml:space="preserve">8208 36th Street </t>
  </si>
  <si>
    <t>Leduc</t>
  </si>
  <si>
    <t>T9E 0H7</t>
  </si>
  <si>
    <t>Yeggi General Manager</t>
  </si>
  <si>
    <t>+1 (780) 612-2350</t>
  </si>
  <si>
    <t>Hilton Garden Inn El Paso Airport</t>
  </si>
  <si>
    <t xml:space="preserve">6650 Gateway Boulevard East </t>
  </si>
  <si>
    <t>Laura Olivas</t>
  </si>
  <si>
    <t>Sabine Weighelt</t>
  </si>
  <si>
    <t>+1 (915) 772-4722</t>
  </si>
  <si>
    <t>Hilton Garden Inn Elkhart</t>
  </si>
  <si>
    <t xml:space="preserve">3401 Plaza Court </t>
  </si>
  <si>
    <t>Shayne Marvin</t>
  </si>
  <si>
    <t>+1 (574) 970-4444</t>
  </si>
  <si>
    <t>Hilton Garden Inn Emeryville</t>
  </si>
  <si>
    <t xml:space="preserve">1800 Powell Street </t>
  </si>
  <si>
    <t>Bruce Britton</t>
  </si>
  <si>
    <t>John Olson</t>
  </si>
  <si>
    <t>+ (510) 658-9300</t>
  </si>
  <si>
    <t>Hilton Garden Inn Evanston</t>
  </si>
  <si>
    <t xml:space="preserve">1818 Maple Street </t>
  </si>
  <si>
    <t>Shannon Townsend</t>
  </si>
  <si>
    <t>+ 1 (847) 475-6400</t>
  </si>
  <si>
    <t>Hilton Garden Inn Evansville</t>
  </si>
  <si>
    <t xml:space="preserve">220 Eagle Crest Drive </t>
  </si>
  <si>
    <t>Jodi Staley</t>
  </si>
  <si>
    <t>Kimberly Wiseman</t>
  </si>
  <si>
    <t>+1 (812) 476-4000</t>
  </si>
  <si>
    <t>Hilton Garden Inn Financial District</t>
  </si>
  <si>
    <t xml:space="preserve">6-10 Water Street </t>
  </si>
  <si>
    <t>Hassan Elbardei</t>
  </si>
  <si>
    <t>+1 (212) 248-1100</t>
  </si>
  <si>
    <t>Hilton Garden Inn Flint</t>
  </si>
  <si>
    <t xml:space="preserve">110 West Kearsley Street </t>
  </si>
  <si>
    <t>Flint</t>
  </si>
  <si>
    <t>Jeff Stableford</t>
  </si>
  <si>
    <t>Alyssa DiCicco</t>
  </si>
  <si>
    <t>+1 (810) 233-9110</t>
  </si>
  <si>
    <t>Hilton Garden Inn Fort Collins</t>
  </si>
  <si>
    <t xml:space="preserve">2821 East Harmony Road </t>
  </si>
  <si>
    <t>Marissa Burnell</t>
  </si>
  <si>
    <t>+1 (970) 225-2900</t>
  </si>
  <si>
    <t>Hilton Garden Inn Fort Worth Alliance Airport</t>
  </si>
  <si>
    <t xml:space="preserve">2600 Westport Parkway </t>
  </si>
  <si>
    <t>Norman Marks</t>
  </si>
  <si>
    <t>+1 (817) 562-3047</t>
  </si>
  <si>
    <t>Hilton Garden Inn Foxborough</t>
  </si>
  <si>
    <t xml:space="preserve">27 Patriots Place </t>
  </si>
  <si>
    <t>Foxboro</t>
  </si>
  <si>
    <t>Scott Liebman</t>
  </si>
  <si>
    <t>+(508) 543-2040</t>
  </si>
  <si>
    <t>Hilton Garden Inn Fredericksburg</t>
  </si>
  <si>
    <t xml:space="preserve">1060 Hospitality Lane </t>
  </si>
  <si>
    <t>Daniel Outlaw</t>
  </si>
  <si>
    <t>+1 (540) 548-8822</t>
  </si>
  <si>
    <t>Hilton Garden Inn Frisco</t>
  </si>
  <si>
    <t xml:space="preserve">7550 Gaylord Parkway </t>
  </si>
  <si>
    <t>Monica Trichel</t>
  </si>
  <si>
    <t>+1 (469) 362-8485</t>
  </si>
  <si>
    <t>Hilton Garden Inn Gainesville</t>
  </si>
  <si>
    <t xml:space="preserve">4075 SW 33RD PL </t>
  </si>
  <si>
    <t>Husani Parris-Hunte</t>
  </si>
  <si>
    <t>Kevin Baker</t>
  </si>
  <si>
    <t>+1 (352) 338-1466</t>
  </si>
  <si>
    <t>Hilton Garden Inn Glastonbury</t>
  </si>
  <si>
    <t xml:space="preserve">85 Glastonbury Blvd. </t>
  </si>
  <si>
    <t>Glastonbury</t>
  </si>
  <si>
    <t>06033-4401</t>
  </si>
  <si>
    <t>Edward Kosinski</t>
  </si>
  <si>
    <t>+1 (860) 659-1025</t>
  </si>
  <si>
    <t>Hilton Garden Inn Granbury</t>
  </si>
  <si>
    <t xml:space="preserve">635 East Pearl Street </t>
  </si>
  <si>
    <t>Tracy Crow</t>
  </si>
  <si>
    <t>Jessica Newman</t>
  </si>
  <si>
    <t>+1 (817) 579-3800</t>
  </si>
  <si>
    <t>Hilton Garden Inn Hampton Coliseum Central</t>
  </si>
  <si>
    <t xml:space="preserve">1999 Power Plant Parkway </t>
  </si>
  <si>
    <t>Mustapha Agourram</t>
  </si>
  <si>
    <t>+1 (757) 310-6323</t>
  </si>
  <si>
    <t>Hilton Garden Inn Hanover - Lebanon</t>
  </si>
  <si>
    <t xml:space="preserve">35 Lombombard Road </t>
  </si>
  <si>
    <t>Madison Hayes</t>
  </si>
  <si>
    <t>+1 (603) 448-3300</t>
  </si>
  <si>
    <t>Hilton Garden Inn Hanover Arundel Mills</t>
  </si>
  <si>
    <t xml:space="preserve">7491 New Ridge Road </t>
  </si>
  <si>
    <t>AJ Gallow</t>
  </si>
  <si>
    <t>Justin Davis</t>
  </si>
  <si>
    <t>+(410)694-9450</t>
  </si>
  <si>
    <t>Hilton Garden Inn Hershey</t>
  </si>
  <si>
    <t xml:space="preserve">550 East Main Street </t>
  </si>
  <si>
    <t>Hummelstown</t>
  </si>
  <si>
    <t>Bryan Reichelt</t>
  </si>
  <si>
    <t>Dale Mccoy</t>
  </si>
  <si>
    <t>+1 (717) 566-9292</t>
  </si>
  <si>
    <t>Hilton Garden Inn Highlands Ranch</t>
  </si>
  <si>
    <t xml:space="preserve">1050 Plaza Drive </t>
  </si>
  <si>
    <t>Steven Firstenberg</t>
  </si>
  <si>
    <t>+1 (303) 683-4100</t>
  </si>
  <si>
    <t>Hilton Garden Inn Hilton Head</t>
  </si>
  <si>
    <t xml:space="preserve">1575 Fording Island Road </t>
  </si>
  <si>
    <t>Hilton Head island</t>
  </si>
  <si>
    <t>Christina Yuschalk</t>
  </si>
  <si>
    <t>+1 (843) 837-8111</t>
  </si>
  <si>
    <t>Hilton Garden Inn Hoffman Estates</t>
  </si>
  <si>
    <t xml:space="preserve">2425 Barrington Road </t>
  </si>
  <si>
    <t>+1 (847) 277-7889</t>
  </si>
  <si>
    <t>Hilton Garden Inn Houston-Baytown</t>
  </si>
  <si>
    <t xml:space="preserve">4910 East Chase Street </t>
  </si>
  <si>
    <t>Michael Warner</t>
  </si>
  <si>
    <t>+1 (281) 838-8208</t>
  </si>
  <si>
    <t>Hilton Garden Inn Huntsville Space Center</t>
  </si>
  <si>
    <t xml:space="preserve">4801 Governors House Drive </t>
  </si>
  <si>
    <t>Heaven Flores</t>
  </si>
  <si>
    <t>Trent White</t>
  </si>
  <si>
    <t>+1 (256) 430-1778</t>
  </si>
  <si>
    <t>Hilton Garden Inn Indianapolis (IND)</t>
  </si>
  <si>
    <t xml:space="preserve">10 E. Market Street </t>
  </si>
  <si>
    <t>Richard Letko</t>
  </si>
  <si>
    <t>+1 (317) 955-9700</t>
  </si>
  <si>
    <t>Hilton Garden Inn Indianapolis Northwest</t>
  </si>
  <si>
    <t xml:space="preserve">6930 Intech Boulevard </t>
  </si>
  <si>
    <t>Brandon Thul</t>
  </si>
  <si>
    <t>Mandykae Blair</t>
  </si>
  <si>
    <t>+1 (317)-288-6060</t>
  </si>
  <si>
    <t>Hilton Garden Inn Jackson</t>
  </si>
  <si>
    <t xml:space="preserve">1324 Vann Drive </t>
  </si>
  <si>
    <t>Chris Fultz</t>
  </si>
  <si>
    <t>+1 (731) 215-1287</t>
  </si>
  <si>
    <t>Hilton Garden Inn Jackson Downtown</t>
  </si>
  <si>
    <t xml:space="preserve">235 West Capital Street </t>
  </si>
  <si>
    <t>Matthew Bejarano</t>
  </si>
  <si>
    <t>+1 (601) 353-5464</t>
  </si>
  <si>
    <t>Hilton Garden Inn Jackson Pearl</t>
  </si>
  <si>
    <t xml:space="preserve">438 Riverwind Drive </t>
  </si>
  <si>
    <t>Lasandra Harper</t>
  </si>
  <si>
    <t>+1 (601) 933-1174</t>
  </si>
  <si>
    <t>Hilton Garden Inn Jackson-Clinton</t>
  </si>
  <si>
    <t xml:space="preserve">5007 Hampstead Blvd </t>
  </si>
  <si>
    <t>Allen Boykin</t>
  </si>
  <si>
    <t>+1 (601) 460-6116</t>
  </si>
  <si>
    <t>Hilton Garden Inn JFK</t>
  </si>
  <si>
    <t xml:space="preserve">148-18 134th Street </t>
  </si>
  <si>
    <t>+1 (718) 322-4448</t>
  </si>
  <si>
    <t>Hilton Garden Inn Kennett Square</t>
  </si>
  <si>
    <t xml:space="preserve">815 East Baltimore Pike </t>
  </si>
  <si>
    <t>Kennett Sq</t>
  </si>
  <si>
    <t>Sean Christ</t>
  </si>
  <si>
    <t>+1(610) 444-9100</t>
  </si>
  <si>
    <t>Hilton Garden Inn Kent Island</t>
  </si>
  <si>
    <t xml:space="preserve">3206 Main Street </t>
  </si>
  <si>
    <t>Graysonville</t>
  </si>
  <si>
    <t>Jacqui Collins</t>
  </si>
  <si>
    <t>Lisa Smith</t>
  </si>
  <si>
    <t>+1 (410) 827-3877</t>
  </si>
  <si>
    <t>Hilton Garden Inn Lake Buena Vista Orlando</t>
  </si>
  <si>
    <t xml:space="preserve">11400 Marbella Palm Court </t>
  </si>
  <si>
    <t>Les Harris</t>
  </si>
  <si>
    <t>+1 (407) 239-9550</t>
  </si>
  <si>
    <t>Hilton Garden Inn Las Colinas</t>
  </si>
  <si>
    <t xml:space="preserve">7516 Las Colinas Boulevard </t>
  </si>
  <si>
    <t>Ali Alkhatib</t>
  </si>
  <si>
    <t>Rita Vega</t>
  </si>
  <si>
    <t>+ (972) 444-8434</t>
  </si>
  <si>
    <t>Hilton Garden Inn Las Vegas - Henderson</t>
  </si>
  <si>
    <t xml:space="preserve">1340 West Warm Springs Road </t>
  </si>
  <si>
    <t>Angela Roberts</t>
  </si>
  <si>
    <t>William Fennelly</t>
  </si>
  <si>
    <t>+1 (702) 322-9000</t>
  </si>
  <si>
    <t>Hilton Garden Inn Las Vegas City Center</t>
  </si>
  <si>
    <t xml:space="preserve">4655 Dean Martin Drive </t>
  </si>
  <si>
    <t>+()1-702-262-1031</t>
  </si>
  <si>
    <t>Hilton Garden Inn Long Island City</t>
  </si>
  <si>
    <t xml:space="preserve">29-21 41st Avenue </t>
  </si>
  <si>
    <t>Darren Piercey</t>
  </si>
  <si>
    <t>+1 (718) 786-6001</t>
  </si>
  <si>
    <t>Hilton Garden Inn Longmont</t>
  </si>
  <si>
    <t xml:space="preserve">470 South Martin Street </t>
  </si>
  <si>
    <t>Adam Sahagun</t>
  </si>
  <si>
    <t>+1 (720) 759-4422</t>
  </si>
  <si>
    <t>Hilton Garden Inn Los Angeles Marina Del Rey</t>
  </si>
  <si>
    <t xml:space="preserve">4200 Admiralty Way </t>
  </si>
  <si>
    <t>Marina Del Rey</t>
  </si>
  <si>
    <t>90292-5422</t>
  </si>
  <si>
    <t>Wendy Rosales</t>
  </si>
  <si>
    <t>+1 (310) 301-2000</t>
  </si>
  <si>
    <t>Hilton Garden Inn Louisville</t>
  </si>
  <si>
    <t xml:space="preserve">1530 Alliant Avenue </t>
  </si>
  <si>
    <t>Meagan Baker</t>
  </si>
  <si>
    <t>+1 (502) 297-8066</t>
  </si>
  <si>
    <t>Hilton Garden Inn Lubbock</t>
  </si>
  <si>
    <t xml:space="preserve">6027 45th Street </t>
  </si>
  <si>
    <t>David Henderson</t>
  </si>
  <si>
    <t>+1 (806) 776-3900</t>
  </si>
  <si>
    <t>Hilton Garden Inn Medford</t>
  </si>
  <si>
    <t xml:space="preserve">1000 Welcome Way </t>
  </si>
  <si>
    <t>Paul Schmidt</t>
  </si>
  <si>
    <t>+1 (541) 200-6900</t>
  </si>
  <si>
    <t>Hilton Garden Inn Memphis</t>
  </si>
  <si>
    <t xml:space="preserve">201 Union Avenue </t>
  </si>
  <si>
    <t>+1 (901) 528-1540</t>
  </si>
  <si>
    <t>Hilton Garden Inn Merrillville</t>
  </si>
  <si>
    <t xml:space="preserve">7775 Mississippi Street </t>
  </si>
  <si>
    <t>Matthew Baran</t>
  </si>
  <si>
    <t>+1 (219) 769-7100</t>
  </si>
  <si>
    <t>Hilton Garden Inn Mettawa</t>
  </si>
  <si>
    <t xml:space="preserve">26225 N. Riverwoods Boulevard </t>
  </si>
  <si>
    <t>Mettawa</t>
  </si>
  <si>
    <t>Luigi Demarchi</t>
  </si>
  <si>
    <t>+ (847) 735-8374</t>
  </si>
  <si>
    <t>Hilton Garden Inn Miami</t>
  </si>
  <si>
    <t xml:space="preserve">2940 Collins Avenue </t>
  </si>
  <si>
    <t>Humberto Pellon</t>
  </si>
  <si>
    <t>+1(305) 642-7656</t>
  </si>
  <si>
    <t>Hilton Garden Inn Midland</t>
  </si>
  <si>
    <t xml:space="preserve">1301 North Loop 250 West </t>
  </si>
  <si>
    <t>Heather Patterson</t>
  </si>
  <si>
    <t>Lindsay Marshall</t>
  </si>
  <si>
    <t>+1 (432) 689-0022</t>
  </si>
  <si>
    <t>Hilton Garden Inn Milwaukee (MKD)</t>
  </si>
  <si>
    <t xml:space="preserve">611 North Broadway </t>
  </si>
  <si>
    <t>Adam Dziadosz</t>
  </si>
  <si>
    <t>+1 (414) 271-6611</t>
  </si>
  <si>
    <t>Hilton Garden Inn Minneapolis Airport- Mall Area (MHA)</t>
  </si>
  <si>
    <t xml:space="preserve">1601 East American Boulevard </t>
  </si>
  <si>
    <t>David Laukkonen</t>
  </si>
  <si>
    <t xml:space="preserve">Alex Bussewitz </t>
  </si>
  <si>
    <t>+1 (952) 854-1687</t>
  </si>
  <si>
    <t>Hilton Garden Inn Minneapolis Downtown (MDT)</t>
  </si>
  <si>
    <t xml:space="preserve">1101 Fourth Avenue South </t>
  </si>
  <si>
    <t xml:space="preserve">Ryan Caldwell </t>
  </si>
  <si>
    <t>+1 (612) 339-6633</t>
  </si>
  <si>
    <t xml:space="preserve">Hilton Garden Inn Miramar </t>
  </si>
  <si>
    <t xml:space="preserve">14501 Hotel Road </t>
  </si>
  <si>
    <t>Miramar</t>
  </si>
  <si>
    <t>Dalila Hernandez</t>
  </si>
  <si>
    <t>Omar Johnson</t>
  </si>
  <si>
    <t>+1 (954) 874-1255</t>
  </si>
  <si>
    <t>Hilton Garden Inn Mobile West I-65 Airport Blvd</t>
  </si>
  <si>
    <t xml:space="preserve">828 West I-65 Service Road South </t>
  </si>
  <si>
    <t>Rachel Davis</t>
  </si>
  <si>
    <t>+1 (251) 544-6000</t>
  </si>
  <si>
    <t>Hilton Garden Inn Monterey</t>
  </si>
  <si>
    <t xml:space="preserve">1000 Aguajito Road </t>
  </si>
  <si>
    <t>Marion Abaunza</t>
  </si>
  <si>
    <t>Emil Agib</t>
  </si>
  <si>
    <t>+1 (831) 373-6141</t>
  </si>
  <si>
    <t>Hilton Garden Inn Montgomery</t>
  </si>
  <si>
    <t xml:space="preserve">1600 Interstate Park Drive </t>
  </si>
  <si>
    <t>Mark Barnett</t>
  </si>
  <si>
    <t>+ (334) 272-2225</t>
  </si>
  <si>
    <t>Hilton Garden Inn Nanuet</t>
  </si>
  <si>
    <t xml:space="preserve">270 West Route 59 </t>
  </si>
  <si>
    <t>Valerie Abad</t>
  </si>
  <si>
    <t>+1 (845) 623-0600</t>
  </si>
  <si>
    <t>Hilton Garden Inn Nashville Franklin Cool Springs</t>
  </si>
  <si>
    <t xml:space="preserve">9150 Carothers Parkway </t>
  </si>
  <si>
    <t>Merriyl Bell</t>
  </si>
  <si>
    <t>+1 (615) 656-2700</t>
  </si>
  <si>
    <t>Hilton Garden Inn New Orleans French Quarter-CBD</t>
  </si>
  <si>
    <t xml:space="preserve">821 Gravier Street </t>
  </si>
  <si>
    <t xml:space="preserve">Adam Turni </t>
  </si>
  <si>
    <t>Ray Camp</t>
  </si>
  <si>
    <t>+1 (504) 324-6000</t>
  </si>
  <si>
    <t>Hilton Garden Inn New York - Manhattan Midtown East</t>
  </si>
  <si>
    <t xml:space="preserve">206 East 52nd Street </t>
  </si>
  <si>
    <t>Igor Pinkhasov</t>
  </si>
  <si>
    <t>Rany Baroudi</t>
  </si>
  <si>
    <t>+()212-794-6000</t>
  </si>
  <si>
    <t>Hilton Garden Inn New York / Manhattan -Chelsea</t>
  </si>
  <si>
    <t xml:space="preserve">121 West 28th Street </t>
  </si>
  <si>
    <t>Danita Harth-Bates</t>
  </si>
  <si>
    <t>+ (212) 564-2181</t>
  </si>
  <si>
    <t>Hilton Garden Inn New York Central Park South - Midtown West</t>
  </si>
  <si>
    <t xml:space="preserve">237 West 54th Street </t>
  </si>
  <si>
    <t>Manny Cartagena</t>
  </si>
  <si>
    <t>+1 (212) 253-6000</t>
  </si>
  <si>
    <t>Sreeji Inc</t>
  </si>
  <si>
    <t>Hilton Garden Inn Newport News</t>
  </si>
  <si>
    <t xml:space="preserve">180 Regal Way </t>
  </si>
  <si>
    <t>+1 (757) 947-1080</t>
  </si>
  <si>
    <t>Hilton Garden Inn Niagara on the Lake</t>
  </si>
  <si>
    <t xml:space="preserve">500 York Road </t>
  </si>
  <si>
    <t>Niagara On The Lake</t>
  </si>
  <si>
    <t>L0S 1J0</t>
  </si>
  <si>
    <t>Leea Sawyer</t>
  </si>
  <si>
    <t>+1(905) 984-4200</t>
  </si>
  <si>
    <t>Hilton Garden Inn Novi</t>
  </si>
  <si>
    <t xml:space="preserve">27355 Cabaret Drive </t>
  </si>
  <si>
    <t>Silviya Toth</t>
  </si>
  <si>
    <t>+ (248) 348-3840</t>
  </si>
  <si>
    <t>Hilton Garden Inn Oakdale</t>
  </si>
  <si>
    <t xml:space="preserve">420 Inwood Avenue North </t>
  </si>
  <si>
    <t>Oakdale</t>
  </si>
  <si>
    <t>Jesse Lewis</t>
  </si>
  <si>
    <t>Kristen Iehl</t>
  </si>
  <si>
    <t>+1 (651) 735-4100</t>
  </si>
  <si>
    <t>Hilton Garden Inn O'Fallon</t>
  </si>
  <si>
    <t xml:space="preserve">360 Regency Park Drive </t>
  </si>
  <si>
    <t>Nancy Voss</t>
  </si>
  <si>
    <t>+1 (618) 624-4499</t>
  </si>
  <si>
    <t>Hilton Garden Inn Oklahoma City Airport</t>
  </si>
  <si>
    <t xml:space="preserve">801 South Meridian Ave </t>
  </si>
  <si>
    <t>+ (405) 942-1400</t>
  </si>
  <si>
    <t>Hilton Garden Inn Olive Branch</t>
  </si>
  <si>
    <t xml:space="preserve">7890 Craft Goodman Frontage </t>
  </si>
  <si>
    <t>Olive Branch</t>
  </si>
  <si>
    <t>+(662)932-7100</t>
  </si>
  <si>
    <t>Hilton Garden Inn Omaha Downtown-Old Market</t>
  </si>
  <si>
    <t xml:space="preserve">1005 Dodge Street </t>
  </si>
  <si>
    <t>+1 (402) 341-4400</t>
  </si>
  <si>
    <t>Hilton Garden Inn Orlando Airport</t>
  </si>
  <si>
    <t xml:space="preserve">7300 Augusta National Drive </t>
  </si>
  <si>
    <t>Alex Blanco</t>
  </si>
  <si>
    <t>James Welch</t>
  </si>
  <si>
    <t>+ (407) 240-3725</t>
  </si>
  <si>
    <t>Hilton Garden Inn Orlando at Seaworld</t>
  </si>
  <si>
    <t xml:space="preserve">6850 Westwood Blvd </t>
  </si>
  <si>
    <t>Natalie Mower</t>
  </si>
  <si>
    <t>+1 (407) 354-1500</t>
  </si>
  <si>
    <t>Hilton Garden Inn Oxford - Anniston AL</t>
  </si>
  <si>
    <t xml:space="preserve">280 Colonial Drive </t>
  </si>
  <si>
    <t>+()256-831-0083</t>
  </si>
  <si>
    <t>Hilton Garden Inn Palm Beach Gardens</t>
  </si>
  <si>
    <t xml:space="preserve">3505 Kyoto Gardens Drive </t>
  </si>
  <si>
    <t>Jacqueline Lewis</t>
  </si>
  <si>
    <t>Craig Dorencamp</t>
  </si>
  <si>
    <t>+1 (561) 694-5833</t>
  </si>
  <si>
    <t>Hilton Garden Inn Phoenix Airport North</t>
  </si>
  <si>
    <t xml:space="preserve">3838 East Van Buren Street </t>
  </si>
  <si>
    <t>Bleu Petty</t>
  </si>
  <si>
    <t>Tom Alvarez</t>
  </si>
  <si>
    <t>+1 (602) 306-2323</t>
  </si>
  <si>
    <t>Hilton Garden Inn Phoenix Avondale</t>
  </si>
  <si>
    <t xml:space="preserve">11460 West Hilton Way </t>
  </si>
  <si>
    <t>Elda Mayea</t>
  </si>
  <si>
    <t>Kevin Fennell</t>
  </si>
  <si>
    <t>+1 (623) 882-3351</t>
  </si>
  <si>
    <t>Hilton Garden Inn Plymouth</t>
  </si>
  <si>
    <t xml:space="preserve">Four Home Depot Drive </t>
  </si>
  <si>
    <t>Paul Kochanski</t>
  </si>
  <si>
    <t>+1 (508) 830-0200</t>
  </si>
  <si>
    <t>Hilton Garden Inn Portland - Beaverton</t>
  </si>
  <si>
    <t xml:space="preserve">15520 Northwest Gateway Court </t>
  </si>
  <si>
    <t>Grant Becker</t>
  </si>
  <si>
    <t>Michael Holloway</t>
  </si>
  <si>
    <t>+1 (503) 439-1717</t>
  </si>
  <si>
    <t>Hilton Garden Inn Portsmouth</t>
  </si>
  <si>
    <t xml:space="preserve">100 High Street </t>
  </si>
  <si>
    <t>Troy Bergeron</t>
  </si>
  <si>
    <t>Alex Bates</t>
  </si>
  <si>
    <t>+1 (603) 431-1499</t>
  </si>
  <si>
    <t>Hilton Garden Inn Providence Airport - Warwick</t>
  </si>
  <si>
    <t xml:space="preserve">1 Thuber Street </t>
  </si>
  <si>
    <t>Bud Nolan</t>
  </si>
  <si>
    <t>+1 (401) 734-9600</t>
  </si>
  <si>
    <t>Hilton Garden Inn Rancho Cucamonga</t>
  </si>
  <si>
    <t xml:space="preserve">11481 Mission Vista Drive </t>
  </si>
  <si>
    <t>Vincent Romo</t>
  </si>
  <si>
    <t>+1 (909) 481-1800</t>
  </si>
  <si>
    <t>Hilton Garden Inn Richmond Innsbrook</t>
  </si>
  <si>
    <t xml:space="preserve">4050 Cox Road </t>
  </si>
  <si>
    <t>Carter Marchant</t>
  </si>
  <si>
    <t>Scott Chasteen</t>
  </si>
  <si>
    <t>+1 (804) 521-2900</t>
  </si>
  <si>
    <t>Hilton Garden Inn Rio Rancho</t>
  </si>
  <si>
    <t xml:space="preserve">1771 Rio Rancho Boulevard </t>
  </si>
  <si>
    <t>Rio Rancho</t>
  </si>
  <si>
    <t>Christopher Hilkert</t>
  </si>
  <si>
    <t>Elizabeth Walsh</t>
  </si>
  <si>
    <t>+1 (505) 896-1111</t>
  </si>
  <si>
    <t>Hilton Garden Inn Robinson Township</t>
  </si>
  <si>
    <t xml:space="preserve">303 Park Manor Drive </t>
  </si>
  <si>
    <t>Mc Kees rocks</t>
  </si>
  <si>
    <t>+1(412) 788-9500</t>
  </si>
  <si>
    <t>Hilton Garden Inn Rochester</t>
  </si>
  <si>
    <t xml:space="preserve">30 Celebration Drive </t>
  </si>
  <si>
    <t>Phil Mattox</t>
  </si>
  <si>
    <t>+1 (585) 424-4404</t>
  </si>
  <si>
    <t>Hilton Garden Inn Ronkonkoma Islip</t>
  </si>
  <si>
    <t xml:space="preserve">3485 Veterans Memorial Hwy </t>
  </si>
  <si>
    <t>Colby Lemieux</t>
  </si>
  <si>
    <t>+1 (631) 738-7800</t>
  </si>
  <si>
    <t>Hilton Garden Inn Round Rock</t>
  </si>
  <si>
    <t xml:space="preserve">2310 North IH-35 </t>
  </si>
  <si>
    <t>Brandon Cantrell</t>
  </si>
  <si>
    <t>Antonio Carabal</t>
  </si>
  <si>
    <t>+ 1 (512) 341-8200</t>
  </si>
  <si>
    <t>Hilton Garden Inn Sacramento</t>
  </si>
  <si>
    <t xml:space="preserve">2540 Venture Oaks Way </t>
  </si>
  <si>
    <t>Luis Robles</t>
  </si>
  <si>
    <t>+1 (916) 568-5400</t>
  </si>
  <si>
    <t>Hilton Garden Inn San Antonio Airport</t>
  </si>
  <si>
    <t xml:space="preserve">8505 Broadway </t>
  </si>
  <si>
    <t>Caleb Thompson</t>
  </si>
  <si>
    <t>+1 (210) 822-1554</t>
  </si>
  <si>
    <t>Hilton Garden Inn San Antonio Downtown</t>
  </si>
  <si>
    <t xml:space="preserve">408 East Houston Street </t>
  </si>
  <si>
    <t>Jeffrey Ellis</t>
  </si>
  <si>
    <t>Jermaine Nevels</t>
  </si>
  <si>
    <t>+1 (210) 222-8811</t>
  </si>
  <si>
    <t>Hilton Garden Inn San Diego Mission Valley Stadium</t>
  </si>
  <si>
    <t xml:space="preserve">3805 Murphy Canyon Road </t>
  </si>
  <si>
    <t>Miki Ueksawa</t>
  </si>
  <si>
    <t>Sean Moran</t>
  </si>
  <si>
    <t>+1 (858) 278-9300</t>
  </si>
  <si>
    <t>Hilton Garden Inn Santa Barbara Goleta</t>
  </si>
  <si>
    <t xml:space="preserve">6878 Hollister Avenue </t>
  </si>
  <si>
    <t>Garrett Ritter</t>
  </si>
  <si>
    <t>Stella Ahn</t>
  </si>
  <si>
    <t>+1 (805) 562-5996</t>
  </si>
  <si>
    <t>Hilton Garden Inn Savannah Airport</t>
  </si>
  <si>
    <t xml:space="preserve">80 Clyde East Martin Drive </t>
  </si>
  <si>
    <t>Lila Scaife</t>
  </si>
  <si>
    <t>Raymond Marshall</t>
  </si>
  <si>
    <t>+1 (912) 964-5550</t>
  </si>
  <si>
    <t>Hilton Garden Inn Seattle Downtown</t>
  </si>
  <si>
    <t xml:space="preserve">1821 Boren Avenue </t>
  </si>
  <si>
    <t>Becky Proffitt</t>
  </si>
  <si>
    <t>Drew Gunderson</t>
  </si>
  <si>
    <t>+1 (206) 467-7770</t>
  </si>
  <si>
    <t xml:space="preserve">Hilton Garden Inn SFO Airport </t>
  </si>
  <si>
    <t xml:space="preserve">670 Gateway Blvd </t>
  </si>
  <si>
    <t>South San Francisco</t>
  </si>
  <si>
    <t>Erik Mendoza</t>
  </si>
  <si>
    <t>David Cook</t>
  </si>
  <si>
    <t>+ (650) 872-1515</t>
  </si>
  <si>
    <t>Hilton Garden Inn Silver Spring</t>
  </si>
  <si>
    <t xml:space="preserve">2200 Broadbirch Dr. </t>
  </si>
  <si>
    <t>Daniel Maldonado</t>
  </si>
  <si>
    <t>+1 (301) 622-3333</t>
  </si>
  <si>
    <t>Hilton Garden Inn Springfield</t>
  </si>
  <si>
    <t xml:space="preserve">3100 South Dirksen Pkwy </t>
  </si>
  <si>
    <t>Lenee Pilkington</t>
  </si>
  <si>
    <t>+1 (217) 529-7171</t>
  </si>
  <si>
    <t>Hilton Garden Inn Stony Brook</t>
  </si>
  <si>
    <t xml:space="preserve">1 Circle Drive </t>
  </si>
  <si>
    <t>Stony Brook</t>
  </si>
  <si>
    <t>Robert Siemsen</t>
  </si>
  <si>
    <t>David Orpen</t>
  </si>
  <si>
    <t>+(631) 941-2980</t>
  </si>
  <si>
    <t>Hilton Garden Inn Tampa Airport Westshore</t>
  </si>
  <si>
    <t xml:space="preserve">5312 Avion Park Drive </t>
  </si>
  <si>
    <t>Randy Kuiken</t>
  </si>
  <si>
    <t>+1 (813) 289-2700</t>
  </si>
  <si>
    <t>Hilton Garden Inn Tempe</t>
  </si>
  <si>
    <t xml:space="preserve">86 South Rockford Drive </t>
  </si>
  <si>
    <t xml:space="preserve">Aaron Franklin </t>
  </si>
  <si>
    <t>+1 (480) 968-2180</t>
  </si>
  <si>
    <t>Hilton Garden Inn Tifton</t>
  </si>
  <si>
    <t xml:space="preserve">201 Boo Dr. </t>
  </si>
  <si>
    <t>Kathleen Moore</t>
  </si>
  <si>
    <t>John McKinnon</t>
  </si>
  <si>
    <t>+1 (229) 382-8484</t>
  </si>
  <si>
    <t>Hilton Garden Inn Toronto - Mississauga</t>
  </si>
  <si>
    <t xml:space="preserve">100 Traders Boulevard East Mississauga </t>
  </si>
  <si>
    <t>L4Z 2H7</t>
  </si>
  <si>
    <t>Peter Lewis</t>
  </si>
  <si>
    <t>Ruchit Kikani</t>
  </si>
  <si>
    <t>+1 (905) 890-9110</t>
  </si>
  <si>
    <t>Hilton Garden Inn Toronto Downtown</t>
  </si>
  <si>
    <t xml:space="preserve">92 Peter Street </t>
  </si>
  <si>
    <t>M5V 2G5</t>
  </si>
  <si>
    <t>+1(416) 596-2802</t>
  </si>
  <si>
    <t>Hilton Garden Inn Toronto Vaughan</t>
  </si>
  <si>
    <t xml:space="preserve">3201 Highway 7 West </t>
  </si>
  <si>
    <t>L4K 5Z7</t>
  </si>
  <si>
    <t>Ajay Harjani</t>
  </si>
  <si>
    <t>+1(905) 532-2234</t>
  </si>
  <si>
    <t>Hilton Garden Inn Toronto-Ajax</t>
  </si>
  <si>
    <t xml:space="preserve">500 Beck Crescent </t>
  </si>
  <si>
    <t>Ajax</t>
  </si>
  <si>
    <t>L1Z 1C9</t>
  </si>
  <si>
    <t>Jimmy Chan</t>
  </si>
  <si>
    <t>Alex Aoyubi</t>
  </si>
  <si>
    <t>+()905-686-5969</t>
  </si>
  <si>
    <t>Hilton Garden Inn Toronto-Burlington</t>
  </si>
  <si>
    <t xml:space="preserve">985 Syscon Road </t>
  </si>
  <si>
    <t>L7L 5S3</t>
  </si>
  <si>
    <t>Nozer Doctor</t>
  </si>
  <si>
    <t>+1 (905) 631-7000</t>
  </si>
  <si>
    <t>Hilton Garden Inn Tribeca</t>
  </si>
  <si>
    <t xml:space="preserve">39 Avenue of the Americas </t>
  </si>
  <si>
    <t>+ (212) 966-4091</t>
  </si>
  <si>
    <t>Hilton Garden Inn Tucson Airport</t>
  </si>
  <si>
    <t xml:space="preserve">6575 South Country Club Road </t>
  </si>
  <si>
    <t>Robb Blythe</t>
  </si>
  <si>
    <t>+1 (520) 741-0505</t>
  </si>
  <si>
    <t>Hilton Garden Inn Twin Falls</t>
  </si>
  <si>
    <t xml:space="preserve">1741 Harrison Street North </t>
  </si>
  <si>
    <t>April Schaffstall</t>
  </si>
  <si>
    <t>Daniel Tolliver</t>
  </si>
  <si>
    <t>+1 (208) 733-8500</t>
  </si>
  <si>
    <t>Hilton Garden Inn Tyler</t>
  </si>
  <si>
    <t xml:space="preserve">220 East Grande </t>
  </si>
  <si>
    <t>Amanda Smith</t>
  </si>
  <si>
    <t>+1 (903) 509-1166</t>
  </si>
  <si>
    <t>Hilton Garden Inn Tysons Corner</t>
  </si>
  <si>
    <t xml:space="preserve">8301 Boone Boulevard </t>
  </si>
  <si>
    <t>Phil Seto</t>
  </si>
  <si>
    <t>+1 (703) 760-9777</t>
  </si>
  <si>
    <t>Shiva Management Inc.</t>
  </si>
  <si>
    <t>Hilton Garden Inn Victorville</t>
  </si>
  <si>
    <t xml:space="preserve">12603 Mariposa Road </t>
  </si>
  <si>
    <t>VICTORVILLE</t>
  </si>
  <si>
    <t>Josie Serafin</t>
  </si>
  <si>
    <t>+1 (760) 952-1200</t>
  </si>
  <si>
    <t>Hilton Garden Inn Virginia Beach</t>
  </si>
  <si>
    <t xml:space="preserve">252 Town Center Dr </t>
  </si>
  <si>
    <t>Alandric Holman</t>
  </si>
  <si>
    <t>+1 (757) 326-6200</t>
  </si>
  <si>
    <t>Hilton Garden Inn Warrenville</t>
  </si>
  <si>
    <t xml:space="preserve">28351 Dodge Drive </t>
  </si>
  <si>
    <t>Sedina Pivac</t>
  </si>
  <si>
    <t>+ (630) 393-3223</t>
  </si>
  <si>
    <t>Hilton Garden Inn Washington DC - US Capitol</t>
  </si>
  <si>
    <t xml:space="preserve">1225 First Street </t>
  </si>
  <si>
    <t>Brian Williams</t>
  </si>
  <si>
    <t>+1 (202) 408-4870</t>
  </si>
  <si>
    <t>Hilton Garden Inn West End</t>
  </si>
  <si>
    <t xml:space="preserve">2201 M Street N.W. </t>
  </si>
  <si>
    <t>John Varghese</t>
  </si>
  <si>
    <t>Ruta Bekele</t>
  </si>
  <si>
    <t>+(202) 974-6010</t>
  </si>
  <si>
    <t>Hilton Garden Inn West Monroe</t>
  </si>
  <si>
    <t xml:space="preserve">400 Mane Street </t>
  </si>
  <si>
    <t>West Monroe</t>
  </si>
  <si>
    <t>Lisa Johnston</t>
  </si>
  <si>
    <t>Tonia Wheeless</t>
  </si>
  <si>
    <t>+1 (318) 398-0653</t>
  </si>
  <si>
    <t>Hilton Garden Inn West Palm Beach I95 Outlets</t>
  </si>
  <si>
    <t xml:space="preserve">1675 Palm Beach Lakes Boulevard </t>
  </si>
  <si>
    <t>West Palm beach</t>
  </si>
  <si>
    <t>Michael Kelly</t>
  </si>
  <si>
    <t>Diana Budrecki</t>
  </si>
  <si>
    <t>+1 (561) 329-3348</t>
  </si>
  <si>
    <t>Hilton Garden Inn Westchester Dobbs Ferry</t>
  </si>
  <si>
    <t xml:space="preserve">201 Ogden Avenue </t>
  </si>
  <si>
    <t>Dobbs Ferry</t>
  </si>
  <si>
    <t>Dontavius Richardson</t>
  </si>
  <si>
    <t>Pamela Brown</t>
  </si>
  <si>
    <t>+1 (914) 591-4300</t>
  </si>
  <si>
    <t>Hilton Garden Inn Wichita</t>
  </si>
  <si>
    <t xml:space="preserve">2041 North Bradley Fair Parkway </t>
  </si>
  <si>
    <t>Don Ross</t>
  </si>
  <si>
    <t>Dan Stroud</t>
  </si>
  <si>
    <t>+1 (316) 219-4444</t>
  </si>
  <si>
    <t>Hilton Garden Inn Yuma Pivot Point</t>
  </si>
  <si>
    <t xml:space="preserve">310 North Madison Avenue </t>
  </si>
  <si>
    <t>Dean Chauhan</t>
  </si>
  <si>
    <t>Andrew Aguirre</t>
  </si>
  <si>
    <t>+1 (928) 783-1500</t>
  </si>
  <si>
    <t>Hilton Green Hills</t>
  </si>
  <si>
    <t xml:space="preserve">3801 Cleghorn Avenue </t>
  </si>
  <si>
    <t>David Sundermann</t>
  </si>
  <si>
    <t>+1(615)297-9979</t>
  </si>
  <si>
    <t>Hilton Greenville</t>
  </si>
  <si>
    <t xml:space="preserve">45 West Orchard Park Drive </t>
  </si>
  <si>
    <t>Erica Endorf</t>
  </si>
  <si>
    <t>+1 (864) 232-4747</t>
  </si>
  <si>
    <t>Hilton Head Sales and Marketing</t>
  </si>
  <si>
    <t xml:space="preserve">50 South Forest Beach Road </t>
  </si>
  <si>
    <t>Colin Moe</t>
  </si>
  <si>
    <t>+1 (843) 342-1420</t>
  </si>
  <si>
    <t>Hilton Indianapolis</t>
  </si>
  <si>
    <t xml:space="preserve">120 West Market Street </t>
  </si>
  <si>
    <t>Joe Melton</t>
  </si>
  <si>
    <t>Rodney Barta</t>
  </si>
  <si>
    <t>+1 (317) 972-0600</t>
  </si>
  <si>
    <t>Hilton Inn Sacramento Arden West</t>
  </si>
  <si>
    <t xml:space="preserve">2200 Harvard Street </t>
  </si>
  <si>
    <t>Ananias Amaral</t>
  </si>
  <si>
    <t>+1 (916) 922-4700</t>
  </si>
  <si>
    <t>Hilton Jackson</t>
  </si>
  <si>
    <t xml:space="preserve">1001 County Line Road </t>
  </si>
  <si>
    <t>Blake Brennan</t>
  </si>
  <si>
    <t xml:space="preserve">Danielle Gallagher </t>
  </si>
  <si>
    <t>+1 (601) 957-2800</t>
  </si>
  <si>
    <t>Hilton Long Beach &amp; Executive Meeting Center</t>
  </si>
  <si>
    <t xml:space="preserve">701 West Ocean Boulevard </t>
  </si>
  <si>
    <t>Swietlana Cahill</t>
  </si>
  <si>
    <t>+1 (562) 983-3400</t>
  </si>
  <si>
    <t>Hilton Los Angeles - Universal City</t>
  </si>
  <si>
    <t xml:space="preserve">555 Universal Hollywood Drive </t>
  </si>
  <si>
    <t>UNIVERSAL CITY</t>
  </si>
  <si>
    <t>Randy Romero</t>
  </si>
  <si>
    <t>+1 (818) 623-1249</t>
  </si>
  <si>
    <t>Hilton Los Angeles Culver City</t>
  </si>
  <si>
    <t xml:space="preserve">6161 W. Centinela Ave </t>
  </si>
  <si>
    <t>Steve Wisner</t>
  </si>
  <si>
    <t>+ (310) 649-1776</t>
  </si>
  <si>
    <t>Hilton Madison Monona Terrace</t>
  </si>
  <si>
    <t xml:space="preserve">9 East Wilson Street </t>
  </si>
  <si>
    <t>Derek Morrison</t>
  </si>
  <si>
    <t>+1 (608) 255-5100</t>
  </si>
  <si>
    <t>Hilton Marco Island Beach Resort</t>
  </si>
  <si>
    <t xml:space="preserve">560 South Collier Boulevard </t>
  </si>
  <si>
    <t>Corey Hepburn</t>
  </si>
  <si>
    <t>John Pagac</t>
  </si>
  <si>
    <t>+1 (239) 394-5000</t>
  </si>
  <si>
    <t>Hilton Melbourne Beach Oceanfront</t>
  </si>
  <si>
    <t xml:space="preserve">3003 North Highway A1A </t>
  </si>
  <si>
    <t>Marcello Munoz</t>
  </si>
  <si>
    <t>Hilton Memphis Hotel</t>
  </si>
  <si>
    <t xml:space="preserve">939 Ridge Lake Blvd </t>
  </si>
  <si>
    <t>Tom Goodwin</t>
  </si>
  <si>
    <t>+ (901) 684-6664</t>
  </si>
  <si>
    <t>Hilton Milwaukee City Center</t>
  </si>
  <si>
    <t xml:space="preserve">509 West Wisconsin Avenue </t>
  </si>
  <si>
    <t>Mahesh Reddy</t>
  </si>
  <si>
    <t>Trevor Pirics</t>
  </si>
  <si>
    <t>+ (414) 271-7250</t>
  </si>
  <si>
    <t>Hilton Minneapolis - Bloomington</t>
  </si>
  <si>
    <t xml:space="preserve">3900 American Boulevard West </t>
  </si>
  <si>
    <t>Bloomingon</t>
  </si>
  <si>
    <t>Jim Waldvogel</t>
  </si>
  <si>
    <t>Aaron Slattery</t>
  </si>
  <si>
    <t>+1 (952) 893-9500</t>
  </si>
  <si>
    <t>Hilton New Orleans Airport</t>
  </si>
  <si>
    <t xml:space="preserve">901 Airline Drive </t>
  </si>
  <si>
    <t>Ivy Lim</t>
  </si>
  <si>
    <t>Donald White</t>
  </si>
  <si>
    <t>+1 (504) 469-5000</t>
  </si>
  <si>
    <t>Hilton North Raleigh</t>
  </si>
  <si>
    <t xml:space="preserve">3415 Wake Forest Road </t>
  </si>
  <si>
    <t>Nic Quatrara</t>
  </si>
  <si>
    <t>+1 (919) 872-2323</t>
  </si>
  <si>
    <t>Hilton Oak Lawn Hotel</t>
  </si>
  <si>
    <t xml:space="preserve">9333 S. Cicero Avenue </t>
  </si>
  <si>
    <t>Oak Lawn</t>
  </si>
  <si>
    <t>Charlie Shirk</t>
  </si>
  <si>
    <t>+ (708) 425-7800</t>
  </si>
  <si>
    <t>Hilton Ocala</t>
  </si>
  <si>
    <t xml:space="preserve">3600 Southwest 36th Avenue </t>
  </si>
  <si>
    <t>Rich Larkin</t>
  </si>
  <si>
    <t>+1 (352) 854-1400</t>
  </si>
  <si>
    <t>Hilton Orange County/Costa Mesa</t>
  </si>
  <si>
    <t xml:space="preserve">3050 Bristol Street </t>
  </si>
  <si>
    <t>+1 (714) 540-7000</t>
  </si>
  <si>
    <t>Hilton Orrington</t>
  </si>
  <si>
    <t xml:space="preserve">1710 Orrington Avenue </t>
  </si>
  <si>
    <t>Wayne Leming</t>
  </si>
  <si>
    <t>+1 (847) 866-8700</t>
  </si>
  <si>
    <t>Hilton Palm Beach Airport</t>
  </si>
  <si>
    <t xml:space="preserve">150 Australian </t>
  </si>
  <si>
    <t>Angella Gilzene</t>
  </si>
  <si>
    <t>Ashley Sanchez</t>
  </si>
  <si>
    <t>+(561)684-9400</t>
  </si>
  <si>
    <t>Hilton Parsippany</t>
  </si>
  <si>
    <t>Christopher Cassese</t>
  </si>
  <si>
    <t>+1 (973) 267-7373</t>
  </si>
  <si>
    <t>Hilton Philadelphia at Penn's Landing</t>
  </si>
  <si>
    <t xml:space="preserve">201 South Columbus Boulevard </t>
  </si>
  <si>
    <t>Alan Cagle</t>
  </si>
  <si>
    <t>Rayna Policella</t>
  </si>
  <si>
    <t>+ (215) 928-1234</t>
  </si>
  <si>
    <t>Hilton Phoenix Chandler</t>
  </si>
  <si>
    <t xml:space="preserve">2929 West Frye Road </t>
  </si>
  <si>
    <t>Bill Taylor</t>
  </si>
  <si>
    <t>+1 (480) 899-7400</t>
  </si>
  <si>
    <t>Hilton Phoenix Resort on the Peak</t>
  </si>
  <si>
    <t xml:space="preserve">7677 North 16th Street </t>
  </si>
  <si>
    <t>Patrick Connors</t>
  </si>
  <si>
    <t>+1 (602) 997-2626</t>
  </si>
  <si>
    <t>Hilton Richmond Downtown</t>
  </si>
  <si>
    <t xml:space="preserve">501 East Broad Street </t>
  </si>
  <si>
    <t>John Cario</t>
  </si>
  <si>
    <t>Alfredo Alvarado</t>
  </si>
  <si>
    <t>+1 (804) 344-4300</t>
  </si>
  <si>
    <t>Hilton San Antonio Hill Country</t>
  </si>
  <si>
    <t xml:space="preserve">9800 Westover Hills Boulevard </t>
  </si>
  <si>
    <t>+1 (210) 509-9800</t>
  </si>
  <si>
    <t>Hilton San Diego Gaslamp Quarter</t>
  </si>
  <si>
    <t xml:space="preserve">401 K Street </t>
  </si>
  <si>
    <t>Dania Duke</t>
  </si>
  <si>
    <t>+1 (619) 231-4040</t>
  </si>
  <si>
    <t>Hilton Santa Cruz / Scotts Valley</t>
  </si>
  <si>
    <t xml:space="preserve">6001 La Madrona Drive </t>
  </si>
  <si>
    <t>SCOTTS VALLEY</t>
  </si>
  <si>
    <t>Ashley Vincent</t>
  </si>
  <si>
    <t>Josh Belcher</t>
  </si>
  <si>
    <t>+1 (831) 440-1000</t>
  </si>
  <si>
    <t>Hilton Santa Monica Hotel &amp; Suites</t>
  </si>
  <si>
    <t xml:space="preserve">1707 4th Street </t>
  </si>
  <si>
    <t>Shahid Kayani</t>
  </si>
  <si>
    <t>+1 (310) 395-3332</t>
  </si>
  <si>
    <t>Hilton Scottsdale Resort &amp; Villas</t>
  </si>
  <si>
    <t xml:space="preserve">6333 North Scottsdale Road </t>
  </si>
  <si>
    <t>Matt Gerber</t>
  </si>
  <si>
    <t>+1 (480) 948-7750</t>
  </si>
  <si>
    <t>Hilton Scranton &amp; Conference Center</t>
  </si>
  <si>
    <t xml:space="preserve">100 Adams Avenue </t>
  </si>
  <si>
    <t>Paul Junas</t>
  </si>
  <si>
    <t>Robert Trotta</t>
  </si>
  <si>
    <t>+1 (570) 343-3000</t>
  </si>
  <si>
    <t>Hilton Shreveport</t>
  </si>
  <si>
    <t xml:space="preserve">104 Market Street </t>
  </si>
  <si>
    <t>Marianne Nelson</t>
  </si>
  <si>
    <t>Cate Jeane</t>
  </si>
  <si>
    <t>+1 (318) 698-0900</t>
  </si>
  <si>
    <t>Hilton Singer Island</t>
  </si>
  <si>
    <t xml:space="preserve">3700 North Ocean Drive </t>
  </si>
  <si>
    <t>Singer Island</t>
  </si>
  <si>
    <t>George Isaac</t>
  </si>
  <si>
    <t>Aida Malave</t>
  </si>
  <si>
    <t>+ (561) 848-3888</t>
  </si>
  <si>
    <t>Hilton St. Louis Downtown at the Arch</t>
  </si>
  <si>
    <t xml:space="preserve">400 Olive Street </t>
  </si>
  <si>
    <t>Stephanee Hargett</t>
  </si>
  <si>
    <t>Todd Curry</t>
  </si>
  <si>
    <t>+1 (314) 436-0002</t>
  </si>
  <si>
    <t>Hilton Stamford</t>
  </si>
  <si>
    <t xml:space="preserve">One First Stamford Place </t>
  </si>
  <si>
    <t>+1 (203) 967-2222</t>
  </si>
  <si>
    <t>Hilton Stockton</t>
  </si>
  <si>
    <t xml:space="preserve">2323 Grand Canal Blvd </t>
  </si>
  <si>
    <t>Alex Munro</t>
  </si>
  <si>
    <t>+ (209) 957-9090</t>
  </si>
  <si>
    <t>Hilton Tampa Airport Westshore</t>
  </si>
  <si>
    <t xml:space="preserve">2225 N Lois Ave. </t>
  </si>
  <si>
    <t>John DePiro</t>
  </si>
  <si>
    <t>+ (813) 877-6688</t>
  </si>
  <si>
    <t>Hilton Tucson El Conquistador Golf &amp; Tennis Resort</t>
  </si>
  <si>
    <t xml:space="preserve">10000 North Oracle Road </t>
  </si>
  <si>
    <t>Otton Suarez</t>
  </si>
  <si>
    <t>Shelby Francom</t>
  </si>
  <si>
    <t>+1 (520) 544-5000</t>
  </si>
  <si>
    <t>Hilton Vancouver Metrotown</t>
  </si>
  <si>
    <t xml:space="preserve">6083 McKay Avenue </t>
  </si>
  <si>
    <t>V5H 2W7</t>
  </si>
  <si>
    <t>Michael Favelle</t>
  </si>
  <si>
    <t>+1 (604) 438-1200</t>
  </si>
  <si>
    <t>Hilton Waco</t>
  </si>
  <si>
    <t xml:space="preserve">113 South University Parks Drive </t>
  </si>
  <si>
    <t>Justin Edwards</t>
  </si>
  <si>
    <t>+1 (254) 754-8484</t>
  </si>
  <si>
    <t>Hilton Wilmington Christiana</t>
  </si>
  <si>
    <t xml:space="preserve">100 Continental Drive </t>
  </si>
  <si>
    <t>Brad Wenger</t>
  </si>
  <si>
    <t>Christine Strouss</t>
  </si>
  <si>
    <t>+1 (302) 454-1500</t>
  </si>
  <si>
    <t>Historic Inns Of Annapolis</t>
  </si>
  <si>
    <t xml:space="preserve">58 State Circle </t>
  </si>
  <si>
    <t>Daryl Strayer</t>
  </si>
  <si>
    <t>+ (410) 263-2641</t>
  </si>
  <si>
    <t>Holiday Inn - Colorado Springs Airport</t>
  </si>
  <si>
    <t xml:space="preserve">1855 Aeroplaza Drive </t>
  </si>
  <si>
    <t>Michelle Stten</t>
  </si>
  <si>
    <t>+1 (719) 380-8516</t>
  </si>
  <si>
    <t>Holiday Inn &amp; Suites Calgary South Conference Center</t>
  </si>
  <si>
    <t xml:space="preserve">8360 Blackfoot Trail SE </t>
  </si>
  <si>
    <t>T2J 7E1</t>
  </si>
  <si>
    <t>Doug Sholter</t>
  </si>
  <si>
    <t>+1 (403) 475-8561</t>
  </si>
  <si>
    <t>Holiday Inn &amp; Suites Charleston West</t>
  </si>
  <si>
    <t xml:space="preserve">400 2nd Avenue SW </t>
  </si>
  <si>
    <t>South Charleston</t>
  </si>
  <si>
    <t>Hope Carroll</t>
  </si>
  <si>
    <t>+1 (304) 744-4641</t>
  </si>
  <si>
    <t>Holiday Inn &amp; Suites Cleveland</t>
  </si>
  <si>
    <t xml:space="preserve">110 Interstate Drive Northwest </t>
  </si>
  <si>
    <t>+1 (423) 478-1212</t>
  </si>
  <si>
    <t>Holiday Inn &amp; Suites Ottawa-Kanata</t>
  </si>
  <si>
    <t xml:space="preserve">101 Kanata Avenue </t>
  </si>
  <si>
    <t>K2T 1E6</t>
  </si>
  <si>
    <t xml:space="preserve">Alana Haining </t>
  </si>
  <si>
    <t>+1 (613) 271-3057</t>
  </si>
  <si>
    <t>Holiday Inn &amp; Suites Universal Studios/Orlando</t>
  </si>
  <si>
    <t xml:space="preserve">5905 South Kirkman Road </t>
  </si>
  <si>
    <t>Claudine Binz</t>
  </si>
  <si>
    <t>+1 (407) 351-3333</t>
  </si>
  <si>
    <t>Holiday Inn Airport West Earth City</t>
  </si>
  <si>
    <t xml:space="preserve">3400 Rider Trail South </t>
  </si>
  <si>
    <t>Ariel Mendoza</t>
  </si>
  <si>
    <t>Lori Lammers</t>
  </si>
  <si>
    <t>+1 (314) 291-6800</t>
  </si>
  <si>
    <t>Holiday Inn Arlington</t>
  </si>
  <si>
    <t xml:space="preserve">1311 Wet 'n Wild Way </t>
  </si>
  <si>
    <t xml:space="preserve">Greta Peasley </t>
  </si>
  <si>
    <t>Karla Black</t>
  </si>
  <si>
    <t xml:space="preserve">+1 (817) 460-2500 </t>
  </si>
  <si>
    <t>Holiday Inn Arlington At Ballston</t>
  </si>
  <si>
    <t xml:space="preserve">4610 Fairfax Drive </t>
  </si>
  <si>
    <t>Eric Reyes</t>
  </si>
  <si>
    <t>+1 (703) 243-9800</t>
  </si>
  <si>
    <t>Holiday Inn Atlanta Airport North</t>
  </si>
  <si>
    <t xml:space="preserve">1380 Virginia Avenue </t>
  </si>
  <si>
    <t>Dale Pipher</t>
  </si>
  <si>
    <t>+1 (404) 305-9500</t>
  </si>
  <si>
    <t>Holiday Inn Austin Town Lake</t>
  </si>
  <si>
    <t xml:space="preserve">20 North I-35 </t>
  </si>
  <si>
    <t>Pat Fair</t>
  </si>
  <si>
    <t>Tod Peddie</t>
  </si>
  <si>
    <t>+ (512) 472-8211</t>
  </si>
  <si>
    <t>Holiday Inn Baltimore – Inner Harbor</t>
  </si>
  <si>
    <t xml:space="preserve">110 West Fayette Street </t>
  </si>
  <si>
    <t>Adam Novotny</t>
  </si>
  <si>
    <t>Rick Gaede</t>
  </si>
  <si>
    <t>+1 (239) 248-2468</t>
  </si>
  <si>
    <t>Hari Hotels LLC</t>
  </si>
  <si>
    <t>Holiday Inn Baltimore BWI Airport</t>
  </si>
  <si>
    <t xml:space="preserve">815 Elkridge Landing Road </t>
  </si>
  <si>
    <t>Grace Scott</t>
  </si>
  <si>
    <t>+1 (410) 691-1000</t>
  </si>
  <si>
    <t>Holiday Inn Bismarck</t>
  </si>
  <si>
    <t xml:space="preserve">3903 State Street </t>
  </si>
  <si>
    <t>Bernie Eckroth</t>
  </si>
  <si>
    <t>+1 (701) 751-8240</t>
  </si>
  <si>
    <t>Holiday Inn Burlington</t>
  </si>
  <si>
    <t xml:space="preserve">1068 Williston Road </t>
  </si>
  <si>
    <t>Nate Germond</t>
  </si>
  <si>
    <t>Sharon Beauregard</t>
  </si>
  <si>
    <t>+1 (802) 863-6363</t>
  </si>
  <si>
    <t>Holiday Inn Capitol</t>
  </si>
  <si>
    <t xml:space="preserve">550 C Street Southwest </t>
  </si>
  <si>
    <t>Jacquie Holder</t>
  </si>
  <si>
    <t>+1 (202) 479-4000</t>
  </si>
  <si>
    <t>Correa Lodging LLC</t>
  </si>
  <si>
    <t>Holiday Inn Casa Grande</t>
  </si>
  <si>
    <t xml:space="preserve">777 North Pinal Avenue </t>
  </si>
  <si>
    <t>Casa Grande</t>
  </si>
  <si>
    <t>Melissa Grijalva</t>
  </si>
  <si>
    <t>+1 (520) 426-3500</t>
  </si>
  <si>
    <t>Holiday Inn Cedar Bluff</t>
  </si>
  <si>
    <t xml:space="preserve">9134 Executive Park Drive </t>
  </si>
  <si>
    <t>Misty Perry</t>
  </si>
  <si>
    <t>Anna Scales</t>
  </si>
  <si>
    <t>+ (865) 693-1011</t>
  </si>
  <si>
    <t>Holiday Inn Charleston Historic Downtown</t>
  </si>
  <si>
    <t xml:space="preserve">425 Meeting Street </t>
  </si>
  <si>
    <t>Alfonce McKinney</t>
  </si>
  <si>
    <t>Makisha Montgomery</t>
  </si>
  <si>
    <t>+1 (843) 718-2327</t>
  </si>
  <si>
    <t>Holiday Inn Chelsea</t>
  </si>
  <si>
    <t xml:space="preserve">1012 Broadway </t>
  </si>
  <si>
    <t>Jon Moore</t>
  </si>
  <si>
    <t>+1 (617) 884-3330</t>
  </si>
  <si>
    <t>Holiday Inn Cherry Hill</t>
  </si>
  <si>
    <t xml:space="preserve">2175 West Marlton Pike </t>
  </si>
  <si>
    <t>Nolan Cox</t>
  </si>
  <si>
    <t>+1 (856) 663-5300</t>
  </si>
  <si>
    <t>Holiday Inn Cincinnati Airport</t>
  </si>
  <si>
    <t xml:space="preserve">1717 Airport Exchange Boulevard </t>
  </si>
  <si>
    <t>Brody Townsend</t>
  </si>
  <si>
    <t>Elizabeth Balcom</t>
  </si>
  <si>
    <t>+ 1 (859) 371-2233</t>
  </si>
  <si>
    <t>Holiday Inn Clark - Newark Area</t>
  </si>
  <si>
    <t xml:space="preserve">36 Valley Road </t>
  </si>
  <si>
    <t>Clark</t>
  </si>
  <si>
    <t>Kathleen Falkiewicz</t>
  </si>
  <si>
    <t>Alberto Torres</t>
  </si>
  <si>
    <t>+1 (732) 574-0100</t>
  </si>
  <si>
    <t>Holiday Inn College Park</t>
  </si>
  <si>
    <t xml:space="preserve">10000 Baltimore Avenue </t>
  </si>
  <si>
    <t>Martin Mohabir</t>
  </si>
  <si>
    <t>+1 (301) 345-6700</t>
  </si>
  <si>
    <t>Holiday Inn Columbia East-Jessup</t>
  </si>
  <si>
    <t xml:space="preserve">7900 Washington Boulevard </t>
  </si>
  <si>
    <t>Adrian Hughes</t>
  </si>
  <si>
    <t>+1 (410) 799-7500</t>
  </si>
  <si>
    <t>Virav Hospitality LLC</t>
  </si>
  <si>
    <t>Holiday Inn Daytona Beach LPGA Blvd</t>
  </si>
  <si>
    <t xml:space="preserve">137 Automall Circle </t>
  </si>
  <si>
    <t>Jessica Anderson</t>
  </si>
  <si>
    <t>Bhavyesh Patel</t>
  </si>
  <si>
    <t>+1 (386) 236-0200</t>
  </si>
  <si>
    <t>Holiday Inn Dedham</t>
  </si>
  <si>
    <t xml:space="preserve">55 Ariadne Road </t>
  </si>
  <si>
    <t>Dedham</t>
  </si>
  <si>
    <t>Sean Smith</t>
  </si>
  <si>
    <t>+1 (781) 329-1000</t>
  </si>
  <si>
    <t>Holiday Inn Downtown Shreveport</t>
  </si>
  <si>
    <t xml:space="preserve">102 Lake Street </t>
  </si>
  <si>
    <t>+1 (318) 222-7717</t>
  </si>
  <si>
    <t>Evario Events Centre Ltd.</t>
  </si>
  <si>
    <t>Holiday Inn Edmonton S - Ellerslie Rd</t>
  </si>
  <si>
    <t xml:space="preserve">950 Parsons Road Southwest </t>
  </si>
  <si>
    <t>T6X 0J4</t>
  </si>
  <si>
    <t>Vinu Nambiar</t>
  </si>
  <si>
    <t>+1 (780) 699-3500</t>
  </si>
  <si>
    <t>Holiday Inn Elk Grove (EGV)</t>
  </si>
  <si>
    <t xml:space="preserve">1000 Busse RD </t>
  </si>
  <si>
    <t>Deana Olar</t>
  </si>
  <si>
    <t>Robert Lindsay</t>
  </si>
  <si>
    <t>+ (847) 437-6010</t>
  </si>
  <si>
    <t>Holiday Inn Express - Andover</t>
  </si>
  <si>
    <t xml:space="preserve">224 Winthrop AVE </t>
  </si>
  <si>
    <t>Brian Bourque</t>
  </si>
  <si>
    <t>+ (978) 975-4050</t>
  </si>
  <si>
    <t>Holiday Inn Express - Manchester Airport</t>
  </si>
  <si>
    <t xml:space="preserve">1298 South Porter Street </t>
  </si>
  <si>
    <t>Nathan Beaudoin</t>
  </si>
  <si>
    <t>+()603-669-6800</t>
  </si>
  <si>
    <t>Holiday Inn Express Marshalltown</t>
  </si>
  <si>
    <t xml:space="preserve">3401 South 2nd Street </t>
  </si>
  <si>
    <t>Marshalltown</t>
  </si>
  <si>
    <t>+1 (641) 854-2900</t>
  </si>
  <si>
    <t>Holiday Inn Express - Monterey Bay</t>
  </si>
  <si>
    <t xml:space="preserve">1400 Del Monte BLVD </t>
  </si>
  <si>
    <t>David Perry</t>
  </si>
  <si>
    <t>+ (831) 394-5335</t>
  </si>
  <si>
    <t>Holiday Inn Express - Mt. Pleasant</t>
  </si>
  <si>
    <t xml:space="preserve">350 Johnnie Dodds Boulevard </t>
  </si>
  <si>
    <t>Drue Ford</t>
  </si>
  <si>
    <t>+1(843) 375-2600</t>
  </si>
  <si>
    <t>Holiday Inn Express - North Little Rock</t>
  </si>
  <si>
    <t xml:space="preserve">4306 East McCain Boulevard </t>
  </si>
  <si>
    <t>North Little Rock</t>
  </si>
  <si>
    <t>Eleanor Depriest</t>
  </si>
  <si>
    <t>+1 (501) 945-4800</t>
  </si>
  <si>
    <t>Holiday Inn Express &amp; Suites - Marina State Beach Area</t>
  </si>
  <si>
    <t xml:space="preserve">189 Seaside Circle </t>
  </si>
  <si>
    <t>Marina</t>
  </si>
  <si>
    <t>Ian Rumery</t>
  </si>
  <si>
    <t>+1 (831) 884-2500</t>
  </si>
  <si>
    <t>Holiday Inn Express &amp; Suites : Bryant - Benton Area</t>
  </si>
  <si>
    <t xml:space="preserve">7224 Alcoa Road </t>
  </si>
  <si>
    <t>Walt Gates</t>
  </si>
  <si>
    <t>+1 (501) 778-8400</t>
  </si>
  <si>
    <t>Holiday Inn Express &amp; Suites : Fulton</t>
  </si>
  <si>
    <t xml:space="preserve">1505 South Adams Street </t>
  </si>
  <si>
    <t>Fulton</t>
  </si>
  <si>
    <t>Angela Byers</t>
  </si>
  <si>
    <t>+1 (662) 862-5505</t>
  </si>
  <si>
    <t>Holiday Inn Express &amp; Suites : Olive Branch</t>
  </si>
  <si>
    <t xml:space="preserve">8900 Expressway Drive </t>
  </si>
  <si>
    <t>Rebecca Thompson</t>
  </si>
  <si>
    <t>+1 (662) 893-8700</t>
  </si>
  <si>
    <t>Harvard Hotels Ltd.</t>
  </si>
  <si>
    <t>Holiday Inn Express &amp; Suites Airport Dieppe</t>
  </si>
  <si>
    <t xml:space="preserve">425 Adelard Savoie Boulevard </t>
  </si>
  <si>
    <t>Dieppe</t>
  </si>
  <si>
    <t>E1A 7E6</t>
  </si>
  <si>
    <t>Joni-Raye Poole</t>
  </si>
  <si>
    <t>+1 (506) 388-7601</t>
  </si>
  <si>
    <t>Holiday Inn Express &amp; Suites Albert Lea I-35</t>
  </si>
  <si>
    <t xml:space="preserve">77820 Main Street East </t>
  </si>
  <si>
    <t>Albert Lea</t>
  </si>
  <si>
    <t>Jeff Simpson</t>
  </si>
  <si>
    <t>+1 (507) 473-2300</t>
  </si>
  <si>
    <t>Holiday Inn Express &amp; Suites Alpharetta – Windward Parkway</t>
  </si>
  <si>
    <t xml:space="preserve">12505 Innovation Way </t>
  </si>
  <si>
    <t>Matt Markopoulos</t>
  </si>
  <si>
    <t>+1 (678) 339-0505</t>
  </si>
  <si>
    <t>Holiday Inn Express &amp; Suites Ames</t>
  </si>
  <si>
    <t xml:space="preserve">2600 East 13th Street </t>
  </si>
  <si>
    <t>Joel Sanford</t>
  </si>
  <si>
    <t>+1 (515) 232-2300</t>
  </si>
  <si>
    <t>Holiday Inn Express &amp; Suites Baltimore - BWI Airport North</t>
  </si>
  <si>
    <t xml:space="preserve">1510 Aero Drive </t>
  </si>
  <si>
    <t>Roxanne Rivera</t>
  </si>
  <si>
    <t>Ryan Thompson</t>
  </si>
  <si>
    <t>+1 (410) 859-0003</t>
  </si>
  <si>
    <t>Holiday Inn Express &amp; Suites Baton Rouge - Port Allen</t>
  </si>
  <si>
    <t xml:space="preserve">2860 North Westport Drive </t>
  </si>
  <si>
    <t>Port Allen</t>
  </si>
  <si>
    <t>Eric McMonigle</t>
  </si>
  <si>
    <t>+()225-778-5722</t>
  </si>
  <si>
    <t>Holiday Inn Express &amp; Suites Bossier City</t>
  </si>
  <si>
    <t xml:space="preserve">7970 East Texas Street </t>
  </si>
  <si>
    <t>Michaela Auchard</t>
  </si>
  <si>
    <t>Chelsea Nitz</t>
  </si>
  <si>
    <t>+1 (318) 841-9800</t>
  </si>
  <si>
    <t>Holiday Inn Express &amp; Suites Charlotte</t>
  </si>
  <si>
    <t xml:space="preserve">15139 Ballancroft Parkway </t>
  </si>
  <si>
    <t>Chris Manor</t>
  </si>
  <si>
    <t>Tammy Hayes</t>
  </si>
  <si>
    <t>Holiday Inn Express &amp; Suites Charlotte North</t>
  </si>
  <si>
    <t xml:space="preserve">7230 Smith Corners Boulevard </t>
  </si>
  <si>
    <t>Pina Patel</t>
  </si>
  <si>
    <t>+1 (704) 790-1700</t>
  </si>
  <si>
    <t>Holiday Inn Express &amp; Suites Charlotte Southeast - Matthews</t>
  </si>
  <si>
    <t xml:space="preserve">9420 East Independence Boulevard </t>
  </si>
  <si>
    <t>Janie Carpenter</t>
  </si>
  <si>
    <t>+1 (704) 443-3100</t>
  </si>
  <si>
    <t>Holiday Inn Express &amp; Suites Chatsworth Hotel</t>
  </si>
  <si>
    <t xml:space="preserve">21340 Devonshire Street </t>
  </si>
  <si>
    <t>Lissette Lucero</t>
  </si>
  <si>
    <t>+1 (818) 998-5289</t>
  </si>
  <si>
    <t>Holiday Inn Express &amp; Suites Chattanooga</t>
  </si>
  <si>
    <t xml:space="preserve">440 West Martin Luther King Boulevard </t>
  </si>
  <si>
    <t xml:space="preserve">Rene Baker </t>
  </si>
  <si>
    <t>David Ruiz</t>
  </si>
  <si>
    <t>+1 (423)-664-4321</t>
  </si>
  <si>
    <t>Holiday Inn Express &amp; Suites Clovis</t>
  </si>
  <si>
    <t xml:space="preserve">650 West Shaw Avenue </t>
  </si>
  <si>
    <t>Rosa Ayala</t>
  </si>
  <si>
    <t>+1 (559) 297-0555</t>
  </si>
  <si>
    <t>Holiday Inn Express &amp; Suites Columbia-I-26 @ Harbison Blvd</t>
  </si>
  <si>
    <t xml:space="preserve">211 Lanneau Court </t>
  </si>
  <si>
    <t>Tony Nimons</t>
  </si>
  <si>
    <t>+1 (803) 732-2229</t>
  </si>
  <si>
    <t>Holiday Inn Express &amp; Suites Columbus</t>
  </si>
  <si>
    <t xml:space="preserve">4899 Sunbury Easton Road </t>
  </si>
  <si>
    <t>Tim Knipp</t>
  </si>
  <si>
    <t>+(270)683-1555</t>
  </si>
  <si>
    <t>Holiday Inn Express &amp; Suites Cordele North</t>
  </si>
  <si>
    <t xml:space="preserve">1102 Arc Way </t>
  </si>
  <si>
    <t>Cynthia Harrington</t>
  </si>
  <si>
    <t>+1 (229) 273-8775</t>
  </si>
  <si>
    <t>Holiday Inn Express &amp; Suites Dallas - Grand Prairie I-20</t>
  </si>
  <si>
    <t xml:space="preserve">4112 South Carrier Parkway </t>
  </si>
  <si>
    <t>Holiday Inn Express &amp; Suites Dallas NW HWY - Love Field</t>
  </si>
  <si>
    <t xml:space="preserve">2217 Connector Drive </t>
  </si>
  <si>
    <t>Viren Patel</t>
  </si>
  <si>
    <t>+1 (469) 466-3940</t>
  </si>
  <si>
    <t>Holiday Inn Express &amp; Suites Dallas South - Desoto</t>
  </si>
  <si>
    <t xml:space="preserve">1310 East Wintergreen Road </t>
  </si>
  <si>
    <t>Shirley Ucol</t>
  </si>
  <si>
    <t>+1 (972) 224-3100</t>
  </si>
  <si>
    <t>Holiday Inn Express &amp; Suites Denver South-Castle Rock</t>
  </si>
  <si>
    <t xml:space="preserve">610 Genoa Way </t>
  </si>
  <si>
    <t>+1(303)688-0888</t>
  </si>
  <si>
    <t>Holiday Inn Express &amp; Suites Elkhorn Lake Geneva Area</t>
  </si>
  <si>
    <t xml:space="preserve">200 West O'Connor Drive </t>
  </si>
  <si>
    <t>Elkhorn</t>
  </si>
  <si>
    <t>Travis Gitter</t>
  </si>
  <si>
    <t>+1 (262) 723-1888</t>
  </si>
  <si>
    <t>Holiday Inn Express &amp; Suites Elko</t>
  </si>
  <si>
    <t xml:space="preserve">2542 Ruby Vista Drive </t>
  </si>
  <si>
    <t>Elko</t>
  </si>
  <si>
    <t>Michelli Leedy</t>
  </si>
  <si>
    <t>+1 (775) 299-4800</t>
  </si>
  <si>
    <t>Holiday Inn Express &amp; Suites Forrest City</t>
  </si>
  <si>
    <t xml:space="preserve">220 Eldridge Road </t>
  </si>
  <si>
    <t>Forrest City</t>
  </si>
  <si>
    <t>Marylou Thomas</t>
  </si>
  <si>
    <t>andy patel</t>
  </si>
  <si>
    <t>+1 (870) 633-3700</t>
  </si>
  <si>
    <t>Holiday Inn Express &amp; Suites Fort Saskatchewan</t>
  </si>
  <si>
    <t xml:space="preserve">10120 86th Avenue </t>
  </si>
  <si>
    <t>T8L 0N6</t>
  </si>
  <si>
    <t>Rayla Derenowski</t>
  </si>
  <si>
    <t>+1 (780) 997-9700</t>
  </si>
  <si>
    <t>Holiday Inn Express &amp; Suites Galesburg</t>
  </si>
  <si>
    <t xml:space="preserve">2160 East Main Street </t>
  </si>
  <si>
    <t>Henderson Grove</t>
  </si>
  <si>
    <t>Ryan Probst</t>
  </si>
  <si>
    <t>+1 (309) 343-7100</t>
  </si>
  <si>
    <t>Holiday Inn Express &amp; Suites Goldsboro</t>
  </si>
  <si>
    <t xml:space="preserve">1003 Sunburst Drive </t>
  </si>
  <si>
    <t>Shelby Bryant</t>
  </si>
  <si>
    <t>+(919) 778-0007</t>
  </si>
  <si>
    <t>Holiday Inn Express &amp; Suites Gulf Shores</t>
  </si>
  <si>
    <t xml:space="preserve">160 West Commerce Avenue </t>
  </si>
  <si>
    <t>Illyssa Borchert</t>
  </si>
  <si>
    <t>+1(251) 948-6191</t>
  </si>
  <si>
    <t>Holiday Inn Express &amp; Suites Gulfport</t>
  </si>
  <si>
    <t xml:space="preserve">4302 West Beach Boulevard </t>
  </si>
  <si>
    <t>Lisa Couch</t>
  </si>
  <si>
    <t>+1(228) 214-0010</t>
  </si>
  <si>
    <t>Holiday Inn Express &amp; Suites Hermiston</t>
  </si>
  <si>
    <t xml:space="preserve">245 N. 1st Street </t>
  </si>
  <si>
    <t>Hermiston</t>
  </si>
  <si>
    <t>Will Stafford</t>
  </si>
  <si>
    <t>+1 (541) 585-5656</t>
  </si>
  <si>
    <t>Holiday Inn Express &amp; Suites Independence-Kansas City</t>
  </si>
  <si>
    <t xml:space="preserve">19901 East Valley View Parkway </t>
  </si>
  <si>
    <t>+1 (816) 795-8889</t>
  </si>
  <si>
    <t>Holiday Inn Express &amp; Suites Inverness- Lecanto</t>
  </si>
  <si>
    <t xml:space="preserve">903 East Gulf to Lake Highway </t>
  </si>
  <si>
    <t>Megan Wahba</t>
  </si>
  <si>
    <t>+1 (352) 341-3515</t>
  </si>
  <si>
    <t>Holiday Inn Express &amp; Suites Jackson Northeast</t>
  </si>
  <si>
    <t xml:space="preserve">55 Parkstone Place </t>
  </si>
  <si>
    <t>+1 (731) 736-1174</t>
  </si>
  <si>
    <t>Holiday Inn Express &amp; Suites Jackson-Pearl Intl Airport</t>
  </si>
  <si>
    <t xml:space="preserve">100 Riverwind East Drive </t>
  </si>
  <si>
    <t>LaToya Wiliams</t>
  </si>
  <si>
    <t>+1 (601) 936-7005</t>
  </si>
  <si>
    <t>Holiday Inn Express &amp; Suites Jacksonville SE Medical Center Area</t>
  </si>
  <si>
    <t xml:space="preserve">4790 Windsor Commons Court </t>
  </si>
  <si>
    <t>Jacob Lafferty</t>
  </si>
  <si>
    <t>Lisa Schultz</t>
  </si>
  <si>
    <t>+(904)421-7000</t>
  </si>
  <si>
    <t>Holiday Inn Express &amp; Suites Lakeway</t>
  </si>
  <si>
    <t xml:space="preserve">15707 Oak Grove Boulevard </t>
  </si>
  <si>
    <t>Andrees Muggler</t>
  </si>
  <si>
    <t>Bryant Chandler</t>
  </si>
  <si>
    <t>+1 (512) 735-5555</t>
  </si>
  <si>
    <t>Holiday Inn Express &amp; Suites Lawrence</t>
  </si>
  <si>
    <t xml:space="preserve">3411 Iowa Street </t>
  </si>
  <si>
    <t>David York</t>
  </si>
  <si>
    <t>Donna Mulford</t>
  </si>
  <si>
    <t>+1 (785) 749-7555</t>
  </si>
  <si>
    <t>Holiday Inn Express &amp; Suites Lenexa – Overland Park Area</t>
  </si>
  <si>
    <t xml:space="preserve">9620 Rosehill Road </t>
  </si>
  <si>
    <t>+1 (913) 492-4516</t>
  </si>
  <si>
    <t>Holiday Inn Express &amp; Suites Middleboro Raynham</t>
  </si>
  <si>
    <t xml:space="preserve">43 Harding Street </t>
  </si>
  <si>
    <t>Middleborough</t>
  </si>
  <si>
    <t>Amish Patel</t>
  </si>
  <si>
    <t>+1 (508) 946-3398</t>
  </si>
  <si>
    <t>Holiday Inn Express &amp; Suites Milton East I-10</t>
  </si>
  <si>
    <t xml:space="preserve">8510 Keshav Taylor Drive </t>
  </si>
  <si>
    <t>Lori Gordon</t>
  </si>
  <si>
    <t>+1 (850) 626-9060</t>
  </si>
  <si>
    <t>Holiday Inn Express &amp; Suites Mobile West - I-65</t>
  </si>
  <si>
    <t xml:space="preserve">80 Springdale Boulevard </t>
  </si>
  <si>
    <t>Randy Gould</t>
  </si>
  <si>
    <t>+1 (251) 473-2380</t>
  </si>
  <si>
    <t>Holiday Inn Express &amp; Suites North Bay</t>
  </si>
  <si>
    <t xml:space="preserve">1325 Seymour Street </t>
  </si>
  <si>
    <t>North Bay</t>
  </si>
  <si>
    <t>P1B 9V6</t>
  </si>
  <si>
    <t>Parth Dholakia</t>
  </si>
  <si>
    <t>+1 (705) 476-7700</t>
  </si>
  <si>
    <t>Holiday Inn Express &amp; Suites O'Fallon</t>
  </si>
  <si>
    <t xml:space="preserve">3396 Green Mount Crossing Drive </t>
  </si>
  <si>
    <t>Shiloh</t>
  </si>
  <si>
    <t>Sam Burditt</t>
  </si>
  <si>
    <t>Timothy Sweeney</t>
  </si>
  <si>
    <t>+1 (618) 632-0400</t>
  </si>
  <si>
    <t>Holiday Inn Express &amp; Suites Olathe West</t>
  </si>
  <si>
    <t xml:space="preserve">10360 South Ridgeview Road </t>
  </si>
  <si>
    <t>Linda Dowell</t>
  </si>
  <si>
    <t>+(913)541-9999</t>
  </si>
  <si>
    <t>Holiday Inn Express &amp; Suites Orlando - Apopka</t>
  </si>
  <si>
    <t xml:space="preserve">238 South Line Drive </t>
  </si>
  <si>
    <t>Mohamad Won't Give Last Name</t>
  </si>
  <si>
    <t>+1(407) 880-7868</t>
  </si>
  <si>
    <t>Holiday Inn Express &amp; Suites Peru</t>
  </si>
  <si>
    <t xml:space="preserve">5253 Trompeter Road </t>
  </si>
  <si>
    <t>Peru</t>
  </si>
  <si>
    <t>Brooke Beutler</t>
  </si>
  <si>
    <t>+1 (815) 224-2500</t>
  </si>
  <si>
    <t>Holiday Inn Express &amp; Suites Pittsburg</t>
  </si>
  <si>
    <t xml:space="preserve">4011 Parkview Drive </t>
  </si>
  <si>
    <t>Pittsburg</t>
  </si>
  <si>
    <t>LaWana Johnson</t>
  </si>
  <si>
    <t>+1 (620) 231-1177</t>
  </si>
  <si>
    <t>Holiday Inn Express &amp; Suites Pittsburgh Southwest - Southpoint</t>
  </si>
  <si>
    <t xml:space="preserve">4000 Verizon Vue Drive </t>
  </si>
  <si>
    <t>Canonsburg</t>
  </si>
  <si>
    <t>Josh Namlik</t>
  </si>
  <si>
    <t>+1 (724) 743-4300</t>
  </si>
  <si>
    <t>Holiday Inn Express &amp; Suites Port St. Lucie West</t>
  </si>
  <si>
    <t xml:space="preserve">1601 Northwest Courtyard Circle </t>
  </si>
  <si>
    <t>Brenda Goodwin</t>
  </si>
  <si>
    <t>+1 (772) 879-6565</t>
  </si>
  <si>
    <t>Webster Hospitality Development LLC</t>
  </si>
  <si>
    <t>Holiday Inn Express &amp; Suites Rochester Webster</t>
  </si>
  <si>
    <t xml:space="preserve">860 Holt Road </t>
  </si>
  <si>
    <t>Kara Kane</t>
  </si>
  <si>
    <t>+1 (585) 872-0900</t>
  </si>
  <si>
    <t>Kayak Hotels LLC</t>
  </si>
  <si>
    <t>Holiday Inn Express &amp; Suites Rocky Mount-Smith Mtn Lake</t>
  </si>
  <si>
    <t xml:space="preserve">395 Old Franklin Turnpike </t>
  </si>
  <si>
    <t>Jared Atkinson</t>
  </si>
  <si>
    <t>+1 (540) 489-5001</t>
  </si>
  <si>
    <t>Holiday Inn Express &amp; Suites Ruston</t>
  </si>
  <si>
    <t xml:space="preserve">1312 Hospitality Street </t>
  </si>
  <si>
    <t>Carl Haggans</t>
  </si>
  <si>
    <t>+1 (318) 232-1230</t>
  </si>
  <si>
    <t>Holiday Inn Express &amp; Suites San Antonio North Windcrest</t>
  </si>
  <si>
    <t xml:space="preserve">8204 North IH-35 </t>
  </si>
  <si>
    <t>Letticia Hernandez</t>
  </si>
  <si>
    <t>+1 (210) 654-3800</t>
  </si>
  <si>
    <t>Holiday Inn Express &amp; Suites Selinsgrove – University Area</t>
  </si>
  <si>
    <t xml:space="preserve">651 North Susquehanna Trail </t>
  </si>
  <si>
    <t>Carolyn Walter</t>
  </si>
  <si>
    <t>+1 (570) 743-9275</t>
  </si>
  <si>
    <t>Holiday Inn Express &amp; Suites Shreveport - West</t>
  </si>
  <si>
    <t xml:space="preserve">5420 Interstate Drive </t>
  </si>
  <si>
    <t>+1 (318) 686-8328</t>
  </si>
  <si>
    <t>Holiday Inn Express &amp; Suites Shreveport South - Park Plaza</t>
  </si>
  <si>
    <t xml:space="preserve">8751 Park Plaza </t>
  </si>
  <si>
    <t>Jim Wilson</t>
  </si>
  <si>
    <t>+1 (318) 629-0163</t>
  </si>
  <si>
    <t>Holiday Inn Express &amp; Suites Silver Springs-Ocala</t>
  </si>
  <si>
    <t xml:space="preserve">5360 East Silver Springs Boulevard </t>
  </si>
  <si>
    <t>Silver Springs</t>
  </si>
  <si>
    <t>Rashma Kathwaru</t>
  </si>
  <si>
    <t>+1 (352) 304-6111</t>
  </si>
  <si>
    <t>Holiday Inn Express &amp; Suites South Bend - Notre Dame Univ.</t>
  </si>
  <si>
    <t xml:space="preserve">120 Dixie Way North </t>
  </si>
  <si>
    <t>Dawn Buckmaster</t>
  </si>
  <si>
    <t>+1 (574) 968-8080</t>
  </si>
  <si>
    <t>Holiday Inn Express &amp; Suites South Bend - South</t>
  </si>
  <si>
    <t xml:space="preserve">210 E Callander Street </t>
  </si>
  <si>
    <t>Marissa Hetrick</t>
  </si>
  <si>
    <t>+1 (574) 291-1040</t>
  </si>
  <si>
    <t>Holiday Inn Express &amp; Suites Statesville</t>
  </si>
  <si>
    <t xml:space="preserve">939 Carolina Avenue </t>
  </si>
  <si>
    <t>Statesville</t>
  </si>
  <si>
    <t>Patricia Everett</t>
  </si>
  <si>
    <t>+1 (704) 978-2800</t>
  </si>
  <si>
    <t>Holiday Inn Express &amp; Suites Tavares- Leesburg</t>
  </si>
  <si>
    <t xml:space="preserve">3601 West Burleigh Boulevard </t>
  </si>
  <si>
    <t>Tavares</t>
  </si>
  <si>
    <t>Patrick Hinton</t>
  </si>
  <si>
    <t>+1 (352) 742-1600</t>
  </si>
  <si>
    <t>Holiday Inn Express &amp; Suites Tempe</t>
  </si>
  <si>
    <t xml:space="preserve">1520 West Baseline Road </t>
  </si>
  <si>
    <t>Holly Foreman</t>
  </si>
  <si>
    <t>+ () 480-831-9800</t>
  </si>
  <si>
    <t>Holiday Inn Express &amp; Suites Tulsa S Broken Arrow Hwy 51</t>
  </si>
  <si>
    <t xml:space="preserve">2201 North Stone Wood Circle </t>
  </si>
  <si>
    <t>Broken Arrow</t>
  </si>
  <si>
    <t>Randy McKinley</t>
  </si>
  <si>
    <t>+1 (918) 355-3200</t>
  </si>
  <si>
    <t>Holiday Inn Express &amp; Suites Tupelo</t>
  </si>
  <si>
    <t xml:space="preserve">1612 McClure Cove </t>
  </si>
  <si>
    <t>Lezlie Pender</t>
  </si>
  <si>
    <t>+1 (662) 620-8184</t>
  </si>
  <si>
    <t>Holiday Inn Express &amp; Suites West Monroe</t>
  </si>
  <si>
    <t xml:space="preserve">603 Constitution Drive </t>
  </si>
  <si>
    <t>Kelli Ebarb</t>
  </si>
  <si>
    <t>+1 (318) 807-6000</t>
  </si>
  <si>
    <t>Holiday Inn Express Acme</t>
  </si>
  <si>
    <t xml:space="preserve">3536 Mount Hope Road </t>
  </si>
  <si>
    <t>Acme</t>
  </si>
  <si>
    <t>Connie Johnson</t>
  </si>
  <si>
    <t>+1 (231) 938-2600</t>
  </si>
  <si>
    <t>Holiday Inn Express Alamo/Riverwalk Hotel</t>
  </si>
  <si>
    <t xml:space="preserve">120 Cameron Street </t>
  </si>
  <si>
    <t>Rico Gomez</t>
  </si>
  <si>
    <t>+1 (210) 281-1400</t>
  </si>
  <si>
    <t>Holiday Inn Express Alcoa</t>
  </si>
  <si>
    <t xml:space="preserve">130 Associates Boulevard </t>
  </si>
  <si>
    <t>Taylor Vanwormer</t>
  </si>
  <si>
    <t>+1 (865) 981-9008</t>
  </si>
  <si>
    <t>Cirrus Hospitality LLC.</t>
  </si>
  <si>
    <t>Holiday Inn Express Allentown</t>
  </si>
  <si>
    <t xml:space="preserve">1715 Plaza Lane </t>
  </si>
  <si>
    <t>Amir Saleem</t>
  </si>
  <si>
    <t>Imran Saleem</t>
  </si>
  <si>
    <t>+1 (610) 435-7880</t>
  </si>
  <si>
    <t>Holiday Inn Express Altoona</t>
  </si>
  <si>
    <t xml:space="preserve">115 Convention Center Boulevard </t>
  </si>
  <si>
    <t>Duncansville</t>
  </si>
  <si>
    <t>Heather Macharola</t>
  </si>
  <si>
    <t>+1 (814) 693-1004</t>
  </si>
  <si>
    <t>Holiday Inn Express Altus</t>
  </si>
  <si>
    <t xml:space="preserve">2812 East Broadway </t>
  </si>
  <si>
    <t>Eloisa Sanchez</t>
  </si>
  <si>
    <t>Joanna Carter</t>
  </si>
  <si>
    <t>+1 (580) 480-1212</t>
  </si>
  <si>
    <t>Holiday Inn Express and Suites Aiken</t>
  </si>
  <si>
    <t xml:space="preserve">2897 Whiskey Road </t>
  </si>
  <si>
    <t>+1 (803) 508-7700</t>
  </si>
  <si>
    <t>Holiday Inn Express and Suites Hays</t>
  </si>
  <si>
    <t xml:space="preserve">4650 Roth Avenue </t>
  </si>
  <si>
    <t>Natashia Cecil</t>
  </si>
  <si>
    <t>Margie Dansel</t>
  </si>
  <si>
    <t>+1 (785) 625-8000</t>
  </si>
  <si>
    <t>Holiday Inn Express Atlanta - Stone Mountain</t>
  </si>
  <si>
    <t xml:space="preserve">1790 E. Park Place Blvd. </t>
  </si>
  <si>
    <t>Alton McCord</t>
  </si>
  <si>
    <t>Holiday Inn Express Atlantic City W Pleasantville</t>
  </si>
  <si>
    <t xml:space="preserve">7079 East Black Horse Pike </t>
  </si>
  <si>
    <t>Pleasantville</t>
  </si>
  <si>
    <t>Larry Veotri</t>
  </si>
  <si>
    <t>+1 (609) 484-1900</t>
  </si>
  <si>
    <t>Holiday Inn Express Atmore</t>
  </si>
  <si>
    <t xml:space="preserve">111 Lakeview Circle </t>
  </si>
  <si>
    <t>Rochel Martin</t>
  </si>
  <si>
    <t>+1 (251) 368-1585</t>
  </si>
  <si>
    <t>Holiday Inn Express Auburn Hills</t>
  </si>
  <si>
    <t xml:space="preserve">3990 Baldwin Road </t>
  </si>
  <si>
    <t>Michael Loffredo</t>
  </si>
  <si>
    <t>Angela McNabb</t>
  </si>
  <si>
    <t>+1 (248) 322-7000</t>
  </si>
  <si>
    <t>Holiday Inn Express Auburn Hills South</t>
  </si>
  <si>
    <t xml:space="preserve">907 North OPDYKE Road </t>
  </si>
  <si>
    <t>+1 (248) 285-9300</t>
  </si>
  <si>
    <t>Holiday Inn Express Austin Downtown - University</t>
  </si>
  <si>
    <t xml:space="preserve">805 Neches Street </t>
  </si>
  <si>
    <t>Jason Troncale</t>
  </si>
  <si>
    <t>+1 (512) 474-8600</t>
  </si>
  <si>
    <t>Propel Management LLC</t>
  </si>
  <si>
    <t>Holiday Inn Express Austin Round Rock</t>
  </si>
  <si>
    <t xml:space="preserve">2340 North IH-35 </t>
  </si>
  <si>
    <t>Matt Swartzbaugh</t>
  </si>
  <si>
    <t>Raquel Garcia</t>
  </si>
  <si>
    <t>+(737) 203-8937</t>
  </si>
  <si>
    <t>Holiday Inn Express Belmont</t>
  </si>
  <si>
    <t xml:space="preserve">1650 El Camino Real </t>
  </si>
  <si>
    <t>Jenny Petersen</t>
  </si>
  <si>
    <t>+1 (650) 654-4000</t>
  </si>
  <si>
    <t>Holiday Inn Express Bend South</t>
  </si>
  <si>
    <t xml:space="preserve">61070 South Highway 97 </t>
  </si>
  <si>
    <t>Steven Arrasmith</t>
  </si>
  <si>
    <t>+1 (541) 585-7474</t>
  </si>
  <si>
    <t>Holiday Inn Express Bloomington</t>
  </si>
  <si>
    <t xml:space="preserve">7801 12th Avenue South </t>
  </si>
  <si>
    <t>Andrew Mackley</t>
  </si>
  <si>
    <t>Veronica Rosbolt</t>
  </si>
  <si>
    <t>Holiday Inn Express Boise-University-Area</t>
  </si>
  <si>
    <t xml:space="preserve">475 West Parkcenter Boulevard </t>
  </si>
  <si>
    <t>Kimberly Archer</t>
  </si>
  <si>
    <t>+1 (208) 345-2002</t>
  </si>
  <si>
    <t>Holiday Inn Express Boston</t>
  </si>
  <si>
    <t xml:space="preserve">69 Boston ST </t>
  </si>
  <si>
    <t>Wagner Qintanalia</t>
  </si>
  <si>
    <t>+ (617) 288-3030</t>
  </si>
  <si>
    <t>Holiday Inn Express Boston Quincy</t>
  </si>
  <si>
    <t xml:space="preserve">1 Arlington Street </t>
  </si>
  <si>
    <t>Quincy</t>
  </si>
  <si>
    <t>Travis Carbaugh</t>
  </si>
  <si>
    <t>+1 (781) 819-3890</t>
  </si>
  <si>
    <t>Holiday Inn Express Bradenton West</t>
  </si>
  <si>
    <t xml:space="preserve">4450 47th Street West </t>
  </si>
  <si>
    <t>Kerri Alderson</t>
  </si>
  <si>
    <t>+1 (941) 795-4633</t>
  </si>
  <si>
    <t>Holiday Inn Express Brockton</t>
  </si>
  <si>
    <t xml:space="preserve">405 Westgate Drive </t>
  </si>
  <si>
    <t>Brockton</t>
  </si>
  <si>
    <t>Matt Amirault</t>
  </si>
  <si>
    <t>Rajiv Shah</t>
  </si>
  <si>
    <t>+ (508) 588-6300</t>
  </si>
  <si>
    <t>Holiday Inn Express Brookfield</t>
  </si>
  <si>
    <t xml:space="preserve">115 Discovery Drive </t>
  </si>
  <si>
    <t>Michell Lee</t>
  </si>
  <si>
    <t>Rebecca Ortega</t>
  </si>
  <si>
    <t>+1 (262) 214-5600</t>
  </si>
  <si>
    <t xml:space="preserve">1605 N Roosevelt Avenue </t>
  </si>
  <si>
    <t>Allison Ray</t>
  </si>
  <si>
    <t>+ (319) 752-0000</t>
  </si>
  <si>
    <t>Holiday Inn Express Cambridge</t>
  </si>
  <si>
    <t xml:space="preserve">250 Monsignor Obrien Hwy. </t>
  </si>
  <si>
    <t>Brian Martens</t>
  </si>
  <si>
    <t>+ (617) 577-7600</t>
  </si>
  <si>
    <t>Holiday Inn Express Cedar Rapids</t>
  </si>
  <si>
    <t xml:space="preserve">1230 Collins Road </t>
  </si>
  <si>
    <t>Samantha Duffy</t>
  </si>
  <si>
    <t>+1 (319) 294-9407</t>
  </si>
  <si>
    <t>Holiday Inn Express Central Point</t>
  </si>
  <si>
    <t xml:space="preserve">285 Penninger St. </t>
  </si>
  <si>
    <t>Central Point</t>
  </si>
  <si>
    <t>JC Brown</t>
  </si>
  <si>
    <t>+1 (541) 423-1010</t>
  </si>
  <si>
    <t>Holiday Inn Express Charleston</t>
  </si>
  <si>
    <t xml:space="preserve">1943 Savannah Highway </t>
  </si>
  <si>
    <t>Kelly Fassett</t>
  </si>
  <si>
    <t>Ben Gregory</t>
  </si>
  <si>
    <t>+1 (843) 402-8300</t>
  </si>
  <si>
    <t>Holiday Inn Express Chelmsford</t>
  </si>
  <si>
    <t xml:space="preserve">8 Independence Drive </t>
  </si>
  <si>
    <t>Chelmsford</t>
  </si>
  <si>
    <t>Katey Blake</t>
  </si>
  <si>
    <t>+1 (978) 710-3151</t>
  </si>
  <si>
    <t>Holiday Inn Express Chicago NW - Arlington Heights</t>
  </si>
  <si>
    <t xml:space="preserve">2111 South Arlington Heights Road </t>
  </si>
  <si>
    <t>Marissa Martinez</t>
  </si>
  <si>
    <t>+1 (847) 956-1400</t>
  </si>
  <si>
    <t>Holiday Inn Express Civic Center</t>
  </si>
  <si>
    <t xml:space="preserve">100 Civic Center Drive </t>
  </si>
  <si>
    <t>Patrice Lutz</t>
  </si>
  <si>
    <t>+ (304) 345-0600</t>
  </si>
  <si>
    <t>Holiday Inn Express College Park</t>
  </si>
  <si>
    <t xml:space="preserve">9020 Baltimore Avenue </t>
  </si>
  <si>
    <t>Jay Javid</t>
  </si>
  <si>
    <t>+1 (301) 441-8110</t>
  </si>
  <si>
    <t>Holiday Inn Express Colorado Springs</t>
  </si>
  <si>
    <t xml:space="preserve">3431 Cinema Point </t>
  </si>
  <si>
    <t>Cimarron Hills</t>
  </si>
  <si>
    <t>Emily Jenkins</t>
  </si>
  <si>
    <t>+(719)596-6000</t>
  </si>
  <si>
    <t>Holiday Inn Express Crystal River</t>
  </si>
  <si>
    <t xml:space="preserve">1203 NE Fifth Street </t>
  </si>
  <si>
    <t>Crystal River</t>
  </si>
  <si>
    <t>Franki Pozzi</t>
  </si>
  <si>
    <t>Brian Omara</t>
  </si>
  <si>
    <t>+1 (352) 563-1111</t>
  </si>
  <si>
    <t>Holiday Inn Express Denver Downtown</t>
  </si>
  <si>
    <t xml:space="preserve">401 17th Street </t>
  </si>
  <si>
    <t>Nick Moschetti</t>
  </si>
  <si>
    <t>+1 (303) 296-0400</t>
  </si>
  <si>
    <t>Holiday Inn Express Denver SW Littleton</t>
  </si>
  <si>
    <t xml:space="preserve">12683 West Indore Place </t>
  </si>
  <si>
    <t>Dinah Shaw</t>
  </si>
  <si>
    <t>+ (720) 981-1000</t>
  </si>
  <si>
    <t>Holiday Inn Express DIA</t>
  </si>
  <si>
    <t xml:space="preserve">6910 Tower Road </t>
  </si>
  <si>
    <t>Steve Hahm</t>
  </si>
  <si>
    <t>Kiera Adams</t>
  </si>
  <si>
    <t>+1 (303) 373-4100</t>
  </si>
  <si>
    <t>Holiday Inn Express El Centro</t>
  </si>
  <si>
    <t xml:space="preserve">350 Smoketree Drive </t>
  </si>
  <si>
    <t>Calista Fulton</t>
  </si>
  <si>
    <t>+1 (760) 352-6666</t>
  </si>
  <si>
    <t>Holiday Inn Express Eugene - Springfield</t>
  </si>
  <si>
    <t xml:space="preserve">919 Kruse Way </t>
  </si>
  <si>
    <t>Kari Preston</t>
  </si>
  <si>
    <t>+1 (541) 284-0707</t>
  </si>
  <si>
    <t>Holiday Inn Express Fall River</t>
  </si>
  <si>
    <t xml:space="preserve">360 Airport Road </t>
  </si>
  <si>
    <t>Fall River</t>
  </si>
  <si>
    <t>Neil Patel</t>
  </si>
  <si>
    <t>Scott Ross</t>
  </si>
  <si>
    <t>+1 (508) 672-0011</t>
  </si>
  <si>
    <t xml:space="preserve">Holiday Inn Express Fargo SW </t>
  </si>
  <si>
    <t xml:space="preserve">4711 19th Avenue South </t>
  </si>
  <si>
    <t>Brett Busby</t>
  </si>
  <si>
    <t>+1 (701) 356-3232</t>
  </si>
  <si>
    <t>Holiday Inn Express Fargo-West Acres</t>
  </si>
  <si>
    <t xml:space="preserve">1040 40th Street South </t>
  </si>
  <si>
    <t>Nathan Tienter-Muscchia</t>
  </si>
  <si>
    <t>+1 (701) 282-2000</t>
  </si>
  <si>
    <t>Holiday Inn Express Fishers</t>
  </si>
  <si>
    <t xml:space="preserve">9791 North by Northeast Boulevard </t>
  </si>
  <si>
    <t>Sara Graves</t>
  </si>
  <si>
    <t>+ (317) 558-4100</t>
  </si>
  <si>
    <t>Holiday Inn Express Florence</t>
  </si>
  <si>
    <t xml:space="preserve">1055 Vandercar Way </t>
  </si>
  <si>
    <t>Eric Mcmonigle</t>
  </si>
  <si>
    <t>Holiday Inn Express Gatlinburg</t>
  </si>
  <si>
    <t xml:space="preserve">322 Historic Nature Trail </t>
  </si>
  <si>
    <t>Gatlinburg</t>
  </si>
  <si>
    <t>Anna Altman</t>
  </si>
  <si>
    <t>Scott Winsor</t>
  </si>
  <si>
    <t>+1 (865) 868-6200</t>
  </si>
  <si>
    <t>Holiday inn Express Germantown</t>
  </si>
  <si>
    <t xml:space="preserve">W. 177 N. 9675 Riversbend Lane </t>
  </si>
  <si>
    <t>Julie Kugler</t>
  </si>
  <si>
    <t>+1 (262) 255-1100</t>
  </si>
  <si>
    <t>Holiday Inn Express Grove City</t>
  </si>
  <si>
    <t xml:space="preserve">3951 Jackpot Road </t>
  </si>
  <si>
    <t>Rachel Sarge</t>
  </si>
  <si>
    <t>+1 (614) 801-9000</t>
  </si>
  <si>
    <t>Holiday Inn Express Hammond</t>
  </si>
  <si>
    <t xml:space="preserve">2918 Carlson Drive Hammond </t>
  </si>
  <si>
    <t>Hessville</t>
  </si>
  <si>
    <t>Brian Black</t>
  </si>
  <si>
    <t>+1 (219) 844-5077</t>
  </si>
  <si>
    <t>Holiday Inn Express Harrisburg SW - Mechanicsburg</t>
  </si>
  <si>
    <t xml:space="preserve">6325 Carlisle Pike </t>
  </si>
  <si>
    <t>Geri Osborn</t>
  </si>
  <si>
    <t>+1 (717) 697-0321</t>
  </si>
  <si>
    <t>Holiday Inn Express Hot Springs</t>
  </si>
  <si>
    <t xml:space="preserve">206 Mehta Court </t>
  </si>
  <si>
    <t>Tasha Smith</t>
  </si>
  <si>
    <t>+1 (501) 463-5600</t>
  </si>
  <si>
    <t>Holiday Inn Express Hotel &amp; Suites Alexandria</t>
  </si>
  <si>
    <t xml:space="preserve">6055 Richmond Hwy. </t>
  </si>
  <si>
    <t>Jefferson Manor</t>
  </si>
  <si>
    <t>Chrissy Cockrell</t>
  </si>
  <si>
    <t>Frederick Green-Knight</t>
  </si>
  <si>
    <t>+1 (571) 257-9555</t>
  </si>
  <si>
    <t>Holiday Inn Express Hotel &amp; Suites Farmington</t>
  </si>
  <si>
    <t xml:space="preserve">820 Market St. </t>
  </si>
  <si>
    <t>Kim Tucker</t>
  </si>
  <si>
    <t>+1 (573) 701-0505</t>
  </si>
  <si>
    <t>Holiday Inn Express Hotel &amp; Suites Kingman</t>
  </si>
  <si>
    <t xml:space="preserve">3031 E. Andy Devine Ave </t>
  </si>
  <si>
    <t>Sumil Patel</t>
  </si>
  <si>
    <t>+1 (928) 718-4343</t>
  </si>
  <si>
    <t>New Tampa Hospitality Group LLC</t>
  </si>
  <si>
    <t>Holiday Inn Express Hotel &amp; Suites New Tampa</t>
  </si>
  <si>
    <t xml:space="preserve">8310 Galbraith Road </t>
  </si>
  <si>
    <t>George Sandona</t>
  </si>
  <si>
    <t>David Larson</t>
  </si>
  <si>
    <t>+1 (813) 910-7171</t>
  </si>
  <si>
    <t>Holiday Inn Express Hotel &amp; Suites Weslaco</t>
  </si>
  <si>
    <t xml:space="preserve">421 South International Blvd </t>
  </si>
  <si>
    <t>Weslasco</t>
  </si>
  <si>
    <t>Ruben Villanueva</t>
  </si>
  <si>
    <t>+(1) 956-973-2222</t>
  </si>
  <si>
    <t>Holiday Inn Express Hotels &amp; Suites Bluffton</t>
  </si>
  <si>
    <t xml:space="preserve">35 Bluffton Road </t>
  </si>
  <si>
    <t>Raelene Anderson</t>
  </si>
  <si>
    <t>+1 (843) 757-2002</t>
  </si>
  <si>
    <t>Holiday Inn Express Houston Space Center</t>
  </si>
  <si>
    <t xml:space="preserve">900 Rogers Court </t>
  </si>
  <si>
    <t>Amita Patel</t>
  </si>
  <si>
    <t>Claudia Castillo</t>
  </si>
  <si>
    <t>+1 (281) 316-9750</t>
  </si>
  <si>
    <t>Holiday Inn Express Huntsville</t>
  </si>
  <si>
    <t xml:space="preserve">148 I-45 South </t>
  </si>
  <si>
    <t>Sheryl Miller</t>
  </si>
  <si>
    <t>+1 (936) 295-4300</t>
  </si>
  <si>
    <t>Holiday Inn Express Ithaca</t>
  </si>
  <si>
    <t xml:space="preserve">371 Elmira Road </t>
  </si>
  <si>
    <t>Ithaca College</t>
  </si>
  <si>
    <t>Cassidy Fox</t>
  </si>
  <si>
    <t>+1 (607) 277-1100</t>
  </si>
  <si>
    <t>Holiday Inn Express Kansas City - Village West</t>
  </si>
  <si>
    <t xml:space="preserve">1931 Prairie Crossing </t>
  </si>
  <si>
    <t>Michele Torres</t>
  </si>
  <si>
    <t>+1 (913) 328-1024</t>
  </si>
  <si>
    <t>Holiday Inn Express Keene</t>
  </si>
  <si>
    <t xml:space="preserve">175 Key Road </t>
  </si>
  <si>
    <t>Chris Bergeron</t>
  </si>
  <si>
    <t>+1 (603) 352-7616</t>
  </si>
  <si>
    <t>Holiday Inn Express Kendall East</t>
  </si>
  <si>
    <t xml:space="preserve">11520 SW 88th Street </t>
  </si>
  <si>
    <t>Anthony Barrios</t>
  </si>
  <si>
    <t>+1 (305) 279-8688</t>
  </si>
  <si>
    <t>Holiday Inn Express La Jolla</t>
  </si>
  <si>
    <t xml:space="preserve">6705 La Jolla Blvd </t>
  </si>
  <si>
    <t>Ramita Suwanworabun</t>
  </si>
  <si>
    <t>+ (858) 454-7101</t>
  </si>
  <si>
    <t>Holiday Inn Express Lakewood Ranch</t>
  </si>
  <si>
    <t xml:space="preserve">5464 Lena Road </t>
  </si>
  <si>
    <t xml:space="preserve">Bradenton </t>
  </si>
  <si>
    <t>+1 (941) 755-0055</t>
  </si>
  <si>
    <t>Holiday Inn Express Landover Hills</t>
  </si>
  <si>
    <t xml:space="preserve">6205 Annapolis Road </t>
  </si>
  <si>
    <t>Landover Hills</t>
  </si>
  <si>
    <t>Jose Villatoro</t>
  </si>
  <si>
    <t>+1 (301) 322-6000</t>
  </si>
  <si>
    <t>Holiday Inn Express Las Vegas I-215 South Beltway</t>
  </si>
  <si>
    <t xml:space="preserve">6220 South Rainbow Boulevard </t>
  </si>
  <si>
    <t>Shannon Depew</t>
  </si>
  <si>
    <t>+1 (702) 871-4453</t>
  </si>
  <si>
    <t>Holiday Inn Express Lexington Downtown - University</t>
  </si>
  <si>
    <t xml:space="preserve">1000 Export Street </t>
  </si>
  <si>
    <t>Melanie Moseby</t>
  </si>
  <si>
    <t>+1 (859) 389-6800</t>
  </si>
  <si>
    <t>Holiday Inn Express Little Rock- Airport</t>
  </si>
  <si>
    <t xml:space="preserve">3121 Bankhead Drive </t>
  </si>
  <si>
    <t>Victor Davis</t>
  </si>
  <si>
    <t>+1 (501) 490-4000</t>
  </si>
  <si>
    <t>Holiday Inn Express Malvern</t>
  </si>
  <si>
    <t xml:space="preserve">1 Morehall Road </t>
  </si>
  <si>
    <t>Frazer</t>
  </si>
  <si>
    <t>Kevin Murphy</t>
  </si>
  <si>
    <t>+ () 610-651-0400</t>
  </si>
  <si>
    <t>Holiday Inn Express Manchester</t>
  </si>
  <si>
    <t xml:space="preserve">111 Hospitality Boulevard </t>
  </si>
  <si>
    <t>Kayla Transue</t>
  </si>
  <si>
    <t>Doyle Chumbley</t>
  </si>
  <si>
    <t>+1 (931) 728-9383</t>
  </si>
  <si>
    <t>Holiday Inn Express Manhattan</t>
  </si>
  <si>
    <t xml:space="preserve">232 W. 29th Street </t>
  </si>
  <si>
    <t>+ () 212-695-7200</t>
  </si>
  <si>
    <t>Holiday Inn Express Medford</t>
  </si>
  <si>
    <t xml:space="preserve">1375 Center Drive </t>
  </si>
  <si>
    <t>Josh Hamik</t>
  </si>
  <si>
    <t>+1 (541) 494-1818</t>
  </si>
  <si>
    <t>Holiday Inn Express Memphis Southwind</t>
  </si>
  <si>
    <t xml:space="preserve">4068 Stansell Court </t>
  </si>
  <si>
    <t>John Stringer</t>
  </si>
  <si>
    <t>+1 (901) 309-6474</t>
  </si>
  <si>
    <t>Holiday Inn Express Miami</t>
  </si>
  <si>
    <t xml:space="preserve">8436 NW 36th Street </t>
  </si>
  <si>
    <t>Stiven Salazar</t>
  </si>
  <si>
    <t>+1 (305)592-4799</t>
  </si>
  <si>
    <t>Holiday Inn Express Miami-Arpt Ctrl-Miami Springs</t>
  </si>
  <si>
    <t xml:space="preserve">5125 Northwest 36th Street </t>
  </si>
  <si>
    <t>Miami Springs</t>
  </si>
  <si>
    <t>Taj Patel</t>
  </si>
  <si>
    <t>+1 (305) 887-2153</t>
  </si>
  <si>
    <t>Holiday Inn Express Milwaukee - West Medical Center</t>
  </si>
  <si>
    <t xml:space="preserve">11111 West North Avenue </t>
  </si>
  <si>
    <t>Wauwatosa</t>
  </si>
  <si>
    <t>Greg Rath</t>
  </si>
  <si>
    <t>+ (414) 778-0333</t>
  </si>
  <si>
    <t>Holiday Inn Express Milwaukee Downtown</t>
  </si>
  <si>
    <t xml:space="preserve">525 North Jefferson Street </t>
  </si>
  <si>
    <t>Anthony Pittman</t>
  </si>
  <si>
    <t>+(414) 240-2896</t>
  </si>
  <si>
    <t>Holiday Inn Express Morris</t>
  </si>
  <si>
    <t xml:space="preserve">222 Gore Road </t>
  </si>
  <si>
    <t>Morris</t>
  </si>
  <si>
    <t>Patti Vonder Heide</t>
  </si>
  <si>
    <t>Jill Stercic</t>
  </si>
  <si>
    <t>+1 (815) 941-8700</t>
  </si>
  <si>
    <t>Holiday Inn Express Muncie</t>
  </si>
  <si>
    <t xml:space="preserve">4201 West Bethel Avenue </t>
  </si>
  <si>
    <t>Yolanda Taylor</t>
  </si>
  <si>
    <t>+1 (765) 289-4678</t>
  </si>
  <si>
    <t>Holiday Inn Express Nashville Airport</t>
  </si>
  <si>
    <t xml:space="preserve">1111 Airport Center Drive </t>
  </si>
  <si>
    <t>Alyssa Nagel</t>
  </si>
  <si>
    <t>+1 (615) 883-1366</t>
  </si>
  <si>
    <t>Holiday Inn Express New Buffalo</t>
  </si>
  <si>
    <t xml:space="preserve">11500 Holiday Drive </t>
  </si>
  <si>
    <t>New Buffalo</t>
  </si>
  <si>
    <t>Melody Horn</t>
  </si>
  <si>
    <t>+1 (269) 469-3436</t>
  </si>
  <si>
    <t>Canon Hospitality Management LLC.</t>
  </si>
  <si>
    <t>Holiday Inn Express New Columbia</t>
  </si>
  <si>
    <t xml:space="preserve">160 Commerce Park Drive </t>
  </si>
  <si>
    <t>NEW COLUMBIA</t>
  </si>
  <si>
    <t>John Barsoum</t>
  </si>
  <si>
    <t>+1 (570) 568-1100</t>
  </si>
  <si>
    <t>Holiday Inn Express New Orleans</t>
  </si>
  <si>
    <t xml:space="preserve">936 Saint Charles Avenue </t>
  </si>
  <si>
    <t>Gina Currera</t>
  </si>
  <si>
    <t>Kenny Jacques</t>
  </si>
  <si>
    <t>+1 (504) 962-0900</t>
  </si>
  <si>
    <t>Holiday Inn Express New Orleans Dwtn - Fr Qtr Area</t>
  </si>
  <si>
    <t xml:space="preserve">334 O'Keefe Avenue </t>
  </si>
  <si>
    <t>Ray Gil</t>
  </si>
  <si>
    <t xml:space="preserve">Vanessa Abney </t>
  </si>
  <si>
    <t>+1 (504) 524-5400</t>
  </si>
  <si>
    <t>Holiday Inn Express New York - Brooklyn</t>
  </si>
  <si>
    <t xml:space="preserve">625 Union Street </t>
  </si>
  <si>
    <t>+1 (718) 797-1133</t>
  </si>
  <si>
    <t>Holiday Inn Express Newport</t>
  </si>
  <si>
    <t xml:space="preserve">135 SE 32nd St. </t>
  </si>
  <si>
    <t>Elizabeth Driebergen</t>
  </si>
  <si>
    <t>Shone Hadield</t>
  </si>
  <si>
    <t>+1 (541) 867-3377</t>
  </si>
  <si>
    <t>Holiday Inn Express North Hollywood - Burbank Area</t>
  </si>
  <si>
    <t xml:space="preserve">11350 Burbank Boulevard </t>
  </si>
  <si>
    <t>Valley Village</t>
  </si>
  <si>
    <t>Michael Acosta</t>
  </si>
  <si>
    <t>+1 (818) 821-8031</t>
  </si>
  <si>
    <t>Holiday Inn Express Obetz</t>
  </si>
  <si>
    <t xml:space="preserve">4870 Old Rathmell Court </t>
  </si>
  <si>
    <t>Obetz</t>
  </si>
  <si>
    <t>Corine Davis</t>
  </si>
  <si>
    <t>+1(614) 492-9000</t>
  </si>
  <si>
    <t>Holiday Inn Express Ottawa</t>
  </si>
  <si>
    <t xml:space="preserve">2340 South Princeton Street </t>
  </si>
  <si>
    <t>Nancy Johnson</t>
  </si>
  <si>
    <t>Tanya Adamson</t>
  </si>
  <si>
    <t>+1 (785)521-7009</t>
  </si>
  <si>
    <t>Holiday Inn Express Ottumwa</t>
  </si>
  <si>
    <t xml:space="preserve">941 North Quincy Avenue </t>
  </si>
  <si>
    <t>Bladensburg</t>
  </si>
  <si>
    <t>Tina Verdejo</t>
  </si>
  <si>
    <t>+(641) 814-4500</t>
  </si>
  <si>
    <t xml:space="preserve">Holiday Inn Express Oxford </t>
  </si>
  <si>
    <t xml:space="preserve">160 Colonial Drive </t>
  </si>
  <si>
    <t>Tammy Parks</t>
  </si>
  <si>
    <t>+1 (256) 835-8768</t>
  </si>
  <si>
    <t>Holiday Inn Express Paris</t>
  </si>
  <si>
    <t xml:space="preserve">3025 NE Loop 286 </t>
  </si>
  <si>
    <t>Gail Dority</t>
  </si>
  <si>
    <t>+1 (903) 785-0088</t>
  </si>
  <si>
    <t>Holiday Inn Express Powell</t>
  </si>
  <si>
    <t xml:space="preserve">7520 Conner Road </t>
  </si>
  <si>
    <t>Powell</t>
  </si>
  <si>
    <t>Sophia Morris</t>
  </si>
  <si>
    <t>+1 (865) 938-3800</t>
  </si>
  <si>
    <t>Holiday Inn Express Prattville</t>
  </si>
  <si>
    <t xml:space="preserve">203 Legends Court </t>
  </si>
  <si>
    <t>Brittney Hensley</t>
  </si>
  <si>
    <t>Clarence Sanders</t>
  </si>
  <si>
    <t>+ (334) 290-2970</t>
  </si>
  <si>
    <t>Holiday Inn Express Pullman</t>
  </si>
  <si>
    <t xml:space="preserve">1190 Southeast Bishop Boulevard </t>
  </si>
  <si>
    <t>Meghan Wiley</t>
  </si>
  <si>
    <t>+1 (509) 334-4437</t>
  </si>
  <si>
    <t>Holiday Inn Express Puyallup</t>
  </si>
  <si>
    <t xml:space="preserve">812 South Hill Park Drive </t>
  </si>
  <si>
    <t>Haley Hollander</t>
  </si>
  <si>
    <t>+1 (253) 848-4900</t>
  </si>
  <si>
    <t>Holiday Inn Express Revere (Dual Property)</t>
  </si>
  <si>
    <t xml:space="preserve">245 Revere Beach Parkway </t>
  </si>
  <si>
    <t>Holiday Inn Express San Diego Downtown</t>
  </si>
  <si>
    <t xml:space="preserve">1430 Seventh Avenue </t>
  </si>
  <si>
    <t>Mica Jackson</t>
  </si>
  <si>
    <t>+1 (619) 696-0911</t>
  </si>
  <si>
    <t>Holiday Inn Express San Francisco Union Square</t>
  </si>
  <si>
    <t xml:space="preserve">235 O'Farrell Street </t>
  </si>
  <si>
    <t>Raj Lakdawala</t>
  </si>
  <si>
    <t>+1 (415) 951-1500</t>
  </si>
  <si>
    <t>Holiday Inn Express Saugus</t>
  </si>
  <si>
    <t xml:space="preserve">999 Broadway U.S. Rt. 1 </t>
  </si>
  <si>
    <t>Saugus</t>
  </si>
  <si>
    <t>Mario Robinson</t>
  </si>
  <si>
    <t>+1 (781) 233-1800</t>
  </si>
  <si>
    <t>Holiday Inn Express Sea World</t>
  </si>
  <si>
    <t xml:space="preserve">2861 Cinema Ridge </t>
  </si>
  <si>
    <t>Tom Rivera</t>
  </si>
  <si>
    <t>+1 (210) 520-4200</t>
  </si>
  <si>
    <t>Holiday Inn Express Shreveport</t>
  </si>
  <si>
    <t xml:space="preserve">201 Lake Street </t>
  </si>
  <si>
    <t>Robert Minor</t>
  </si>
  <si>
    <t>+1 (318) 585-1000</t>
  </si>
  <si>
    <t>Holiday Inn Express South Burlington</t>
  </si>
  <si>
    <t xml:space="preserve">1720 Shelburne Road </t>
  </si>
  <si>
    <t>Traci Boyer</t>
  </si>
  <si>
    <t>Paul Marsoubian</t>
  </si>
  <si>
    <t>+1 (802) 860-6000</t>
  </si>
  <si>
    <t>Holiday Inn Express Southington</t>
  </si>
  <si>
    <t xml:space="preserve">120 Laning Street (I-84 Exit 32) </t>
  </si>
  <si>
    <t>Krupa Patel</t>
  </si>
  <si>
    <t>+1 (860) 276-0736</t>
  </si>
  <si>
    <t>Holiday Inn Express Spring</t>
  </si>
  <si>
    <t xml:space="preserve">21606 Spring Plaza Drive </t>
  </si>
  <si>
    <t>Melanie Sutton</t>
  </si>
  <si>
    <t>+1 (281) 462-9150</t>
  </si>
  <si>
    <t>Holiday Inn Express State College</t>
  </si>
  <si>
    <t xml:space="preserve">1925 Waddle Road </t>
  </si>
  <si>
    <t>Ben Jellison</t>
  </si>
  <si>
    <t>+ (814) 867-1800</t>
  </si>
  <si>
    <t>Holiday Inn Express Stellarton-New Glasgow</t>
  </si>
  <si>
    <t xml:space="preserve">86 Lawrence Boulevard </t>
  </si>
  <si>
    <t>Stellarton</t>
  </si>
  <si>
    <t>B0K 1S0</t>
  </si>
  <si>
    <t>Allayna Munroe</t>
  </si>
  <si>
    <t>+1 (902)755-1020</t>
  </si>
  <si>
    <t>Holiday Inn Express Tallahassee I-10 E</t>
  </si>
  <si>
    <t xml:space="preserve">1653 Raymond Diehl Road </t>
  </si>
  <si>
    <t>Chris Forest</t>
  </si>
  <si>
    <t>Edith Fuller</t>
  </si>
  <si>
    <t>+1 (850) 386-7500</t>
  </si>
  <si>
    <t>Holiday Inn Express Temecula</t>
  </si>
  <si>
    <t xml:space="preserve">27660 Jefferson Avenue </t>
  </si>
  <si>
    <t>Kathy Lindeman</t>
  </si>
  <si>
    <t>+1 (951) 699-2444</t>
  </si>
  <si>
    <t>Holiday Inn Express Terrell</t>
  </si>
  <si>
    <t xml:space="preserve">300 Tanger Drive </t>
  </si>
  <si>
    <t>Amanda Nelson</t>
  </si>
  <si>
    <t>Natisha Rachal</t>
  </si>
  <si>
    <t>+1 (972) 563-7888</t>
  </si>
  <si>
    <t>Holiday Inn Express Texarkana</t>
  </si>
  <si>
    <t xml:space="preserve">5210 Crossroads Parkway </t>
  </si>
  <si>
    <t>Karmen Harper</t>
  </si>
  <si>
    <t>+1 (870) 216-0083</t>
  </si>
  <si>
    <t>Holiday Inn Express Times Square</t>
  </si>
  <si>
    <t xml:space="preserve">343 West 39th Street </t>
  </si>
  <si>
    <t>+ (212) 239-1222</t>
  </si>
  <si>
    <t>Holiday Inn Express Toronto Downtown</t>
  </si>
  <si>
    <t xml:space="preserve">111 Lombard Street </t>
  </si>
  <si>
    <t>M5C 2T9</t>
  </si>
  <si>
    <t>Winston Young</t>
  </si>
  <si>
    <t>Linda Joseph</t>
  </si>
  <si>
    <t>+1 (416) 367-5555</t>
  </si>
  <si>
    <t>Holiday Inn Express Trinity</t>
  </si>
  <si>
    <t xml:space="preserve">2125 Corporate Center Drive </t>
  </si>
  <si>
    <t>Trinity</t>
  </si>
  <si>
    <t>Wes Bowser</t>
  </si>
  <si>
    <t>+1 (727) 835-7820</t>
  </si>
  <si>
    <t>Holiday Inn Express Troutville</t>
  </si>
  <si>
    <t xml:space="preserve">3200 Lee Highway </t>
  </si>
  <si>
    <t>Troutville</t>
  </si>
  <si>
    <t>Jim Williams</t>
  </si>
  <si>
    <t>+1 (540) 966-4444</t>
  </si>
  <si>
    <t>Holiday Inn Express Tullahoma</t>
  </si>
  <si>
    <t xml:space="preserve">2030 North Jackson Street </t>
  </si>
  <si>
    <t>Tullahoma</t>
  </si>
  <si>
    <t>+1 (931)-222-1414</t>
  </si>
  <si>
    <t>Holiday Inn Express Tyler</t>
  </si>
  <si>
    <t xml:space="preserve">2421 ESE Loop 323 </t>
  </si>
  <si>
    <t>Ashlyn Fieker</t>
  </si>
  <si>
    <t>+1 (903) 566-0600</t>
  </si>
  <si>
    <t>Holiday Inn Express Uvalde</t>
  </si>
  <si>
    <t xml:space="preserve">2801 E Main St. </t>
  </si>
  <si>
    <t>Rosalinda Deleon</t>
  </si>
  <si>
    <t>+1(830)278-7300</t>
  </si>
  <si>
    <t>Holiday Inn Express Visalia</t>
  </si>
  <si>
    <t xml:space="preserve">5625 West Cypress Avenue </t>
  </si>
  <si>
    <t>Tanja Renzi</t>
  </si>
  <si>
    <t>Doshie Myrick</t>
  </si>
  <si>
    <t>+1 (559) 627-0600</t>
  </si>
  <si>
    <t>Holiday Inn Express Voorhees</t>
  </si>
  <si>
    <t xml:space="preserve">121 Laurel Oak Road </t>
  </si>
  <si>
    <t>Voorhees</t>
  </si>
  <si>
    <t>Deborah Magaldi</t>
  </si>
  <si>
    <t>Michael Greene</t>
  </si>
  <si>
    <t>+1 (856) 346-4500</t>
  </si>
  <si>
    <t>Holiday Inn Express Waldorf</t>
  </si>
  <si>
    <t xml:space="preserve">11370 Days Court </t>
  </si>
  <si>
    <t>Bob Russell</t>
  </si>
  <si>
    <t>+1 (301) 932-9200</t>
  </si>
  <si>
    <t>Holiday Inn Express Wall Street</t>
  </si>
  <si>
    <t xml:space="preserve">126 Water Street </t>
  </si>
  <si>
    <t>Franciso Matina</t>
  </si>
  <si>
    <t>+1 (212) 747-9222</t>
  </si>
  <si>
    <t>Holiday Inn Express Walterboro</t>
  </si>
  <si>
    <t xml:space="preserve">1834 Sniders Highway </t>
  </si>
  <si>
    <t>Misty Hughes</t>
  </si>
  <si>
    <t>Deidre Glover</t>
  </si>
  <si>
    <t>+ () 843-538-2700</t>
  </si>
  <si>
    <t>Holiday Inn Express Warner Robins North West</t>
  </si>
  <si>
    <t xml:space="preserve">4020 Watson Boulevard </t>
  </si>
  <si>
    <t>Taylor Dzeskewicz</t>
  </si>
  <si>
    <t>+1 (478) 333-2737</t>
  </si>
  <si>
    <t>Holiday Inn Express West Edmonton - Mall Area</t>
  </si>
  <si>
    <t xml:space="preserve">18520 100th Avenue </t>
  </si>
  <si>
    <t>T5S 0C2</t>
  </si>
  <si>
    <t>Jon Sholter</t>
  </si>
  <si>
    <t>+1 (780) 756-2134</t>
  </si>
  <si>
    <t>Holiday Inn Express White River Junction</t>
  </si>
  <si>
    <t xml:space="preserve">121 Ballardvale Drive </t>
  </si>
  <si>
    <t>WHITE RIVER JUN</t>
  </si>
  <si>
    <t>Amy Warchal</t>
  </si>
  <si>
    <t>+1 (802) 299-2700</t>
  </si>
  <si>
    <t>Holiday Inn Express Wilmington - University Center</t>
  </si>
  <si>
    <t xml:space="preserve">160 Van Campen Boulevard </t>
  </si>
  <si>
    <t>Galen Elliott</t>
  </si>
  <si>
    <t>Tracy Hann-Culp</t>
  </si>
  <si>
    <t>+1 (910) 392-3227</t>
  </si>
  <si>
    <t>Holiday Inn Express Woburn</t>
  </si>
  <si>
    <t xml:space="preserve">315 Mishawum Road </t>
  </si>
  <si>
    <t>Amy Zellen</t>
  </si>
  <si>
    <t>+ (781) 935-7666</t>
  </si>
  <si>
    <t>Holiday Inn Express: Indianapolis - Southeast</t>
  </si>
  <si>
    <t xml:space="preserve">5302 Victory Drive </t>
  </si>
  <si>
    <t>+1 (317) 791-9100</t>
  </si>
  <si>
    <t>Holiday Inn Fair &amp; Expo</t>
  </si>
  <si>
    <t xml:space="preserve">447 Farmington Ave. </t>
  </si>
  <si>
    <t>Rebecca Cavallaro</t>
  </si>
  <si>
    <t>Savannah Fischel</t>
  </si>
  <si>
    <t>+1 (502) 637-4500</t>
  </si>
  <si>
    <t>Holiday Inn Falmouth</t>
  </si>
  <si>
    <t xml:space="preserve">291 Jones Rd </t>
  </si>
  <si>
    <t>Michael MacDonald</t>
  </si>
  <si>
    <t>+1 (508) 540-2000</t>
  </si>
  <si>
    <t>Holiday Inn Fargo Hotel &amp; Convention Center</t>
  </si>
  <si>
    <t xml:space="preserve">3803 13th Avenue South </t>
  </si>
  <si>
    <t>Mike Prekel</t>
  </si>
  <si>
    <t>+1 (701) 282-2700</t>
  </si>
  <si>
    <t>Holiday Inn Grand Haven - Spring Lake</t>
  </si>
  <si>
    <t xml:space="preserve">940 West Savidge Street </t>
  </si>
  <si>
    <t>+1 (616) 846-1000</t>
  </si>
  <si>
    <t>Holiday Inn Great Falls</t>
  </si>
  <si>
    <t xml:space="preserve">1100 5th Street South Great Falls </t>
  </si>
  <si>
    <t>Jeff Page</t>
  </si>
  <si>
    <t>+1 (406) 727-7200</t>
  </si>
  <si>
    <t>Holiday Inn Green Bay</t>
  </si>
  <si>
    <t xml:space="preserve">2785 Ramada Way </t>
  </si>
  <si>
    <t>Jackie Adams</t>
  </si>
  <si>
    <t>Jenna Schultz</t>
  </si>
  <si>
    <t>+1 (920) 569-4248</t>
  </si>
  <si>
    <t>Holiday Inn Greensboro Airport</t>
  </si>
  <si>
    <t xml:space="preserve">6426 Burnt Poplar Road </t>
  </si>
  <si>
    <t>Omar Akarramou</t>
  </si>
  <si>
    <t>+1 (336) 668-0421</t>
  </si>
  <si>
    <t>Holiday Inn Greensboro Coliseum</t>
  </si>
  <si>
    <t xml:space="preserve">3005 West Gate City Boulevard </t>
  </si>
  <si>
    <t>Kevin Raper</t>
  </si>
  <si>
    <t>+1 (336) 294-4565</t>
  </si>
  <si>
    <t>Reliance Hospitality LLC</t>
  </si>
  <si>
    <t>Holiday Inn Gurnee Convention Center</t>
  </si>
  <si>
    <t xml:space="preserve">6161 West Grand Avenue </t>
  </si>
  <si>
    <t>Gurnee</t>
  </si>
  <si>
    <t>Rory Flot</t>
  </si>
  <si>
    <t>+()847-336-6300</t>
  </si>
  <si>
    <t>Holiday Inn Harrisburg East</t>
  </si>
  <si>
    <t xml:space="preserve">815 South Eisenhower Boulevard </t>
  </si>
  <si>
    <t>Joe Spadolini</t>
  </si>
  <si>
    <t>+1 (717) 939-1600</t>
  </si>
  <si>
    <t>Holiday Inn Hartford Downtown Area</t>
  </si>
  <si>
    <t xml:space="preserve">100 East River Drive </t>
  </si>
  <si>
    <t>East Hartford</t>
  </si>
  <si>
    <t>William Preston</t>
  </si>
  <si>
    <t>+1 (860) 528-9703</t>
  </si>
  <si>
    <t>Holiday Inn Hotel &amp; Suites : Memphis - Wolfchase Galleria</t>
  </si>
  <si>
    <t xml:space="preserve">2751 New Brunswick Road </t>
  </si>
  <si>
    <t>+1 (901) 226-1952</t>
  </si>
  <si>
    <t>Holiday Inn Hotel &amp; Suites Grande Prairie Barcelona</t>
  </si>
  <si>
    <t xml:space="preserve">9816 107 Street </t>
  </si>
  <si>
    <t>GRANDE PRAIRIE</t>
  </si>
  <si>
    <t>T8V 8E7</t>
  </si>
  <si>
    <t>James Clouther</t>
  </si>
  <si>
    <t>+1 (780) 402-6886</t>
  </si>
  <si>
    <t>Holiday Inn Hotel &amp; Suites Tupelo North</t>
  </si>
  <si>
    <t>Michael Brunkow</t>
  </si>
  <si>
    <t>Holiday Inn Issaquah</t>
  </si>
  <si>
    <t xml:space="preserve">1801 12th Avenue NW </t>
  </si>
  <si>
    <t>ISSAQUAH</t>
  </si>
  <si>
    <t>Julie Gobunquin</t>
  </si>
  <si>
    <t>+ (425) 392-6421</t>
  </si>
  <si>
    <t>Holiday Inn Jacksonville</t>
  </si>
  <si>
    <t xml:space="preserve">11083 Nursery Field Drive </t>
  </si>
  <si>
    <t>Fernando Nemer</t>
  </si>
  <si>
    <t>Shannon Krueger</t>
  </si>
  <si>
    <t>+ (904) 854-8000</t>
  </si>
  <si>
    <t>Holiday Inn Johnson City</t>
  </si>
  <si>
    <t xml:space="preserve">101 West Springbrook Drive </t>
  </si>
  <si>
    <t>Patricia Kilgore</t>
  </si>
  <si>
    <t>+1 (423) 262-1564</t>
  </si>
  <si>
    <t>Holiday Inn Kingston Waterfront</t>
  </si>
  <si>
    <t xml:space="preserve">2 Princess Street </t>
  </si>
  <si>
    <t>K7L 1A2</t>
  </si>
  <si>
    <t>Chris Marz</t>
  </si>
  <si>
    <t>+1 (613) 549-8400</t>
  </si>
  <si>
    <t>Holiday Inn Lake Buena Vista</t>
  </si>
  <si>
    <t xml:space="preserve">13351 ST Rte 535 </t>
  </si>
  <si>
    <t xml:space="preserve"> Jerry Barnes</t>
  </si>
  <si>
    <t>Hugh Barrett</t>
  </si>
  <si>
    <t>+ (407) 239-4500</t>
  </si>
  <si>
    <t>Holiday Inn Las Colinas</t>
  </si>
  <si>
    <t xml:space="preserve">110 West John Carpenter Freeway </t>
  </si>
  <si>
    <t>Brande Keys</t>
  </si>
  <si>
    <t>+ 1 (972) 650-1600</t>
  </si>
  <si>
    <t>Holiday Inn Laval - Montreal</t>
  </si>
  <si>
    <t xml:space="preserve">2900 Boul Le Carrefour </t>
  </si>
  <si>
    <t>H7T 2K9</t>
  </si>
  <si>
    <t>Patricia Alaouz</t>
  </si>
  <si>
    <t>+1 (450) 682-9000</t>
  </si>
  <si>
    <t>Holiday Inn Lexington Hamburg</t>
  </si>
  <si>
    <t xml:space="preserve">1976 Justice Drive </t>
  </si>
  <si>
    <t>Melissa Keith</t>
  </si>
  <si>
    <t>+1 (859) 687-7008</t>
  </si>
  <si>
    <t>Holiday Inn Lumberton</t>
  </si>
  <si>
    <t xml:space="preserve">101 Wintergreen Dr. </t>
  </si>
  <si>
    <t>Steven Arp</t>
  </si>
  <si>
    <t>+ (910) 671-1166</t>
  </si>
  <si>
    <t>Holiday Inn Marlborough</t>
  </si>
  <si>
    <t xml:space="preserve">265 Lakeside Avenue </t>
  </si>
  <si>
    <t>Coley Wall</t>
  </si>
  <si>
    <t>+1 (508) 481-3000</t>
  </si>
  <si>
    <t>Holiday Inn Martinsburg</t>
  </si>
  <si>
    <t xml:space="preserve">301 Foxcroft Ave </t>
  </si>
  <si>
    <t>Tom Belfield</t>
  </si>
  <si>
    <t>+ (304) 267-5500</t>
  </si>
  <si>
    <t>Holiday Inn Memphis Downtown</t>
  </si>
  <si>
    <t xml:space="preserve">160 Union Avenue </t>
  </si>
  <si>
    <t>Sandy Bardley</t>
  </si>
  <si>
    <t>+1 (901) 525-5491</t>
  </si>
  <si>
    <t>Holiday Inn Miami Doral</t>
  </si>
  <si>
    <t xml:space="preserve">3255 NW 87th Avenue </t>
  </si>
  <si>
    <t>Eugene Hilliard</t>
  </si>
  <si>
    <t>+1 (305) 500-9000</t>
  </si>
  <si>
    <t>Holiday Inn Milwaukee Riverfront Hotel</t>
  </si>
  <si>
    <t xml:space="preserve">4700 North Port Washington Road </t>
  </si>
  <si>
    <t>+1 (414) 962-6040</t>
  </si>
  <si>
    <t>Holiday Inn Mishawaka - Conference Center</t>
  </si>
  <si>
    <t xml:space="preserve">1208 East Douglas Road </t>
  </si>
  <si>
    <t>Jason Stanfill</t>
  </si>
  <si>
    <t>Carla Watson</t>
  </si>
  <si>
    <t>+1 (574) 258-4408</t>
  </si>
  <si>
    <t>Holiday Inn Mississauga</t>
  </si>
  <si>
    <t xml:space="preserve">2125 North Sheridan Way </t>
  </si>
  <si>
    <t>MISSISSAUGA</t>
  </si>
  <si>
    <t>L5K 1A3</t>
  </si>
  <si>
    <t>Bonnie Anderson</t>
  </si>
  <si>
    <t>+1 (905) 855-5930</t>
  </si>
  <si>
    <t>Holiday Inn New York City - Wall Street</t>
  </si>
  <si>
    <t xml:space="preserve">51 Nassau Street </t>
  </si>
  <si>
    <t>Kyle Ramsy</t>
  </si>
  <si>
    <t xml:space="preserve">Francisco Matias </t>
  </si>
  <si>
    <t>+1 (212) 227-3007</t>
  </si>
  <si>
    <t>Holiday Inn Newark Airport</t>
  </si>
  <si>
    <t xml:space="preserve">450 US Route 1 South </t>
  </si>
  <si>
    <t>Vijay Alimchandani</t>
  </si>
  <si>
    <t xml:space="preserve">Marcela Sarmiento </t>
  </si>
  <si>
    <t>+()973-242-0900</t>
  </si>
  <si>
    <t>Holiday Inn Niagara Falls</t>
  </si>
  <si>
    <t xml:space="preserve">114 Buffalo Avenue </t>
  </si>
  <si>
    <t>Wendy Popadowski</t>
  </si>
  <si>
    <t>Jackie Smith</t>
  </si>
  <si>
    <t>+ (716) 517-1703</t>
  </si>
  <si>
    <t>Holiday Inn North Adams - Berkshires</t>
  </si>
  <si>
    <t xml:space="preserve">40 Main Street </t>
  </si>
  <si>
    <t>NORTH ADAMS</t>
  </si>
  <si>
    <t>Linette Searcy</t>
  </si>
  <si>
    <t>Dawn Horn</t>
  </si>
  <si>
    <t>+1 (413) 663-6500</t>
  </si>
  <si>
    <t>Holiday Inn Norwich</t>
  </si>
  <si>
    <t xml:space="preserve">10 LAURA BLVD </t>
  </si>
  <si>
    <t>Wayne Vanderstreet</t>
  </si>
  <si>
    <t>+1 (860) 889-5201</t>
  </si>
  <si>
    <t>Holiday Inn Oakville Bronte</t>
  </si>
  <si>
    <t xml:space="preserve">2525 Wyecroft Road </t>
  </si>
  <si>
    <t>L6L 6P8</t>
  </si>
  <si>
    <t>+1 (905) 847-1000</t>
  </si>
  <si>
    <t>Holiday Inn Oakville Centre</t>
  </si>
  <si>
    <t xml:space="preserve">590 Argus Road </t>
  </si>
  <si>
    <t>L6J 3J3</t>
  </si>
  <si>
    <t>Saleem Jaka</t>
  </si>
  <si>
    <t>+1 (905) 842-5000</t>
  </si>
  <si>
    <t>Holiday Inn Opelousas</t>
  </si>
  <si>
    <t xml:space="preserve">5696 I-49 North Service Road </t>
  </si>
  <si>
    <t>Fantazia Minix</t>
  </si>
  <si>
    <t>Aaron Patel</t>
  </si>
  <si>
    <t>+1 (337) 948-3300</t>
  </si>
  <si>
    <t>Holiday Inn Paducah</t>
  </si>
  <si>
    <t xml:space="preserve">600 North 4th Street </t>
  </si>
  <si>
    <t>Hendron</t>
  </si>
  <si>
    <t>Joshua Holmes</t>
  </si>
  <si>
    <t>+1 (270) 366-7614</t>
  </si>
  <si>
    <t>Holiday Inn Peabody</t>
  </si>
  <si>
    <t xml:space="preserve">1 Newbury Street </t>
  </si>
  <si>
    <t>Jahayra Santiago</t>
  </si>
  <si>
    <t>+1 (978) 535-4600</t>
  </si>
  <si>
    <t>Holiday Inn Plano-The Colony</t>
  </si>
  <si>
    <t xml:space="preserve">4301 Paige Road </t>
  </si>
  <si>
    <t>Cory Burns</t>
  </si>
  <si>
    <t>+1 (469) 384-8165</t>
  </si>
  <si>
    <t>Holiday Inn Portland-Airport (I-205)</t>
  </si>
  <si>
    <t xml:space="preserve">8439 NE Columbia Boulevard </t>
  </si>
  <si>
    <t>Irina Birca</t>
  </si>
  <si>
    <t>+1 (503) 256-5000</t>
  </si>
  <si>
    <t>Holiday Inn Riverview</t>
  </si>
  <si>
    <t xml:space="preserve">301 Savannah Highway </t>
  </si>
  <si>
    <t>Amanda Carter</t>
  </si>
  <si>
    <t>+ (843) 556-7100</t>
  </si>
  <si>
    <t>Holiday Inn Sacramento Downtown – Arena</t>
  </si>
  <si>
    <t xml:space="preserve">300 J Street </t>
  </si>
  <si>
    <t>Barry Miller</t>
  </si>
  <si>
    <t>+1(916)446-0100</t>
  </si>
  <si>
    <t>Holiday Inn Salem</t>
  </si>
  <si>
    <t xml:space="preserve">1 Keewaydin Drive </t>
  </si>
  <si>
    <t>Danielle Calkins</t>
  </si>
  <si>
    <t>+ (603) 893-5511</t>
  </si>
  <si>
    <t>Holiday Inn San Antonio Downtown (Market Square)</t>
  </si>
  <si>
    <t xml:space="preserve">318 West Cesar E. Chavez Boulevard </t>
  </si>
  <si>
    <t>Ben Baker</t>
  </si>
  <si>
    <t>+ (210) 225-3211</t>
  </si>
  <si>
    <t>Holiday Inn San Antonio NW - Seaworld Area</t>
  </si>
  <si>
    <t xml:space="preserve">10135 State Highway 151 </t>
  </si>
  <si>
    <t>+1 (210) 520-2508</t>
  </si>
  <si>
    <t>Holiday Inn Savannah Historic District</t>
  </si>
  <si>
    <t xml:space="preserve">520 West Bryan Street </t>
  </si>
  <si>
    <t>Amanda Kelly</t>
  </si>
  <si>
    <t>Robin Stascheit</t>
  </si>
  <si>
    <t>+1 (912) 790-1000</t>
  </si>
  <si>
    <t>SSH TRS I LLC</t>
  </si>
  <si>
    <t>Holiday Inn Select Grand Rapids</t>
  </si>
  <si>
    <t xml:space="preserve">3063 Lake Eastbrook Boulevard </t>
  </si>
  <si>
    <t>Holiday Inn Select</t>
  </si>
  <si>
    <t>Theresa Horvat</t>
  </si>
  <si>
    <t>+1 (616) 285-7600</t>
  </si>
  <si>
    <t>Holiday Inn Southington</t>
  </si>
  <si>
    <t xml:space="preserve">64 Knotter Drive </t>
  </si>
  <si>
    <t>Ilir Bici</t>
  </si>
  <si>
    <t>+ (860) 276-3100</t>
  </si>
  <si>
    <t>Holiday Inn Springdale/ Fayetteville Area</t>
  </si>
  <si>
    <t xml:space="preserve">1500 South 48th Street </t>
  </si>
  <si>
    <t>Tiffany Stychalski</t>
  </si>
  <si>
    <t>+1 (479) 751-8300</t>
  </si>
  <si>
    <t>Holiday Inn Statesboro - University Area</t>
  </si>
  <si>
    <t xml:space="preserve">455 Commerce Drive </t>
  </si>
  <si>
    <t>Charlene Mulligan</t>
  </si>
  <si>
    <t>+ 1 (912) 489-4545</t>
  </si>
  <si>
    <t>Holiday Inn Taunton-Foxboro</t>
  </si>
  <si>
    <t xml:space="preserve">700 Myles Standish Boulevard </t>
  </si>
  <si>
    <t>Taunton</t>
  </si>
  <si>
    <t>Jeffrey Terwilliger</t>
  </si>
  <si>
    <t>+ (508) 823-0430</t>
  </si>
  <si>
    <t>Holiday Inn Toronto International Airport</t>
  </si>
  <si>
    <t xml:space="preserve">970 Dixon Road </t>
  </si>
  <si>
    <t>M9W 1J1</t>
  </si>
  <si>
    <t>Janak Bhawnani</t>
  </si>
  <si>
    <t>+1(416)675-7611</t>
  </si>
  <si>
    <t>Holiday Inn University of Memphis</t>
  </si>
  <si>
    <t xml:space="preserve">3700 Central Avenue </t>
  </si>
  <si>
    <t>Kurt Harrop</t>
  </si>
  <si>
    <t>Brenda Burks</t>
  </si>
  <si>
    <t>+1(901)678-8200</t>
  </si>
  <si>
    <t>Holiday Inn University Plaza - Bowling Green</t>
  </si>
  <si>
    <t xml:space="preserve">1021 Wilkinson Trace </t>
  </si>
  <si>
    <t>Seth McClain</t>
  </si>
  <si>
    <t>+1 (270) 745-0088</t>
  </si>
  <si>
    <t>Holiday Inn Weirton</t>
  </si>
  <si>
    <t xml:space="preserve">350 Three Springs Dr </t>
  </si>
  <si>
    <t>Brandy Wenner</t>
  </si>
  <si>
    <t>+1 (304) 723-5522</t>
  </si>
  <si>
    <t>Holiday Inn Wilkes Barre - East Mountain</t>
  </si>
  <si>
    <t xml:space="preserve">600 Wildflower Drive </t>
  </si>
  <si>
    <t>+1 (570) 822-1011</t>
  </si>
  <si>
    <t>Holiday Inn World Golf</t>
  </si>
  <si>
    <t xml:space="preserve">475 Commerce Lake Drive </t>
  </si>
  <si>
    <t>Angel Luis Rivera</t>
  </si>
  <si>
    <t>+1 (904) 940-9500</t>
  </si>
  <si>
    <t>Holston House Hyatt Unbound Collection - Nashville</t>
  </si>
  <si>
    <t xml:space="preserve">118 7th Avenue North </t>
  </si>
  <si>
    <t>Shannon Foster</t>
  </si>
  <si>
    <t>+1 (615) 392 1234</t>
  </si>
  <si>
    <t>Home2 St. Louis / Forest Park</t>
  </si>
  <si>
    <t xml:space="preserve">920 South Taylor Avene </t>
  </si>
  <si>
    <t>Rob Cote</t>
  </si>
  <si>
    <t>+1(314)531-4446</t>
  </si>
  <si>
    <t>Home2 Suites Abilene</t>
  </si>
  <si>
    <t xml:space="preserve">2109 Scottish Road </t>
  </si>
  <si>
    <t>Karen Mitchell</t>
  </si>
  <si>
    <t>+1 (325) 677-1100</t>
  </si>
  <si>
    <t>Home2 Suites Anchorage - Midtown</t>
  </si>
  <si>
    <t xml:space="preserve">4700 Union Square Drive </t>
  </si>
  <si>
    <t>Brittney Johnsen</t>
  </si>
  <si>
    <t>+1 (907) 561-5618</t>
  </si>
  <si>
    <t>Home2 Suites Atascadero</t>
  </si>
  <si>
    <t xml:space="preserve">1800 El Camino Real </t>
  </si>
  <si>
    <t>Atascadero</t>
  </si>
  <si>
    <t>Lori Ellersick</t>
  </si>
  <si>
    <t>+1 (805) 462-3333</t>
  </si>
  <si>
    <t>Home2 Suites Atlanta Kennesaw</t>
  </si>
  <si>
    <t xml:space="preserve">2975 Ring Road </t>
  </si>
  <si>
    <t>Natasha Dodd</t>
  </si>
  <si>
    <t>+(470) 632-1450</t>
  </si>
  <si>
    <t>Home2 Suites Birmingham Downtown</t>
  </si>
  <si>
    <t>+1 (205) 322-7933</t>
  </si>
  <si>
    <t>Home2 Suites Bloomington</t>
  </si>
  <si>
    <t xml:space="preserve">1410 North Walnut Street </t>
  </si>
  <si>
    <t>Blmgtn</t>
  </si>
  <si>
    <t>Keith Robbins</t>
  </si>
  <si>
    <t>+1 (812) 668-5999</t>
  </si>
  <si>
    <t>Home2 Suites Boston South Bay</t>
  </si>
  <si>
    <t xml:space="preserve">15 Jan Karski Way </t>
  </si>
  <si>
    <t>+1 (617) 297-5393</t>
  </si>
  <si>
    <t>Home2 Suites Brookhaven</t>
  </si>
  <si>
    <t xml:space="preserve">101 Boulevard East </t>
  </si>
  <si>
    <t>Yaphank</t>
  </si>
  <si>
    <t>Megan Pauze</t>
  </si>
  <si>
    <t>+()1-631-775-1450</t>
  </si>
  <si>
    <t>Home2 Suites by Hilton - East Hanover</t>
  </si>
  <si>
    <t xml:space="preserve">170 Route 10 West </t>
  </si>
  <si>
    <t>East Hanover</t>
  </si>
  <si>
    <t>Stephanie Dietz</t>
  </si>
  <si>
    <t>Scott Ninivaggi</t>
  </si>
  <si>
    <t>+(973)887-0037</t>
  </si>
  <si>
    <t>Home2 Suites by Hilton Atlanta Downtown</t>
  </si>
  <si>
    <t xml:space="preserve">87 Walton Street </t>
  </si>
  <si>
    <t>Anthony Bauer</t>
  </si>
  <si>
    <t>Jim Lane</t>
  </si>
  <si>
    <t>+1(404)965-7992</t>
  </si>
  <si>
    <t>Home2 Suites by Hilton Elkhart</t>
  </si>
  <si>
    <t xml:space="preserve">3521 Plaza Court </t>
  </si>
  <si>
    <t>Liza Whitson</t>
  </si>
  <si>
    <t>+(574)993-3900</t>
  </si>
  <si>
    <t>Home2 Suites By Hilton Maumee Toledo</t>
  </si>
  <si>
    <t xml:space="preserve">1701 Tollgate Drive </t>
  </si>
  <si>
    <t>Kishan Patel</t>
  </si>
  <si>
    <t>+1 (419) 887-9062</t>
  </si>
  <si>
    <t>Home2 Suites by Hilton Nashville Franklin Cool Springs</t>
  </si>
  <si>
    <t xml:space="preserve">107 International Drive </t>
  </si>
  <si>
    <t>Josh Urias</t>
  </si>
  <si>
    <t>Karen King</t>
  </si>
  <si>
    <t>+1 (615) 771-8032</t>
  </si>
  <si>
    <t>Home2 Suites by Hilton Rock Hill</t>
  </si>
  <si>
    <t xml:space="preserve">1285 Old Springdale </t>
  </si>
  <si>
    <t>Adam Nicholas</t>
  </si>
  <si>
    <t>Terrence Mitchell</t>
  </si>
  <si>
    <t>+1 (803) 980-6000</t>
  </si>
  <si>
    <t>Home2 Suites by Hilton Sioux Falls-Sanford Medical Center SD</t>
  </si>
  <si>
    <t xml:space="preserve">1120 South Grange Street </t>
  </si>
  <si>
    <t>Lucas Dannenbring</t>
  </si>
  <si>
    <t>+1 (605) 332-5461</t>
  </si>
  <si>
    <t>Home2 Suites by Hilton Yuma</t>
  </si>
  <si>
    <t xml:space="preserve">155 North Madison Avenue </t>
  </si>
  <si>
    <t>+1 (928) 783-0057</t>
  </si>
  <si>
    <t>Home2 Suites byHilton West Edmonton</t>
  </si>
  <si>
    <t xml:space="preserve">16675-109 Avenue </t>
  </si>
  <si>
    <t>Darcy Weber</t>
  </si>
  <si>
    <t>Jordie Mason</t>
  </si>
  <si>
    <t>+1 (780) 509-1230</t>
  </si>
  <si>
    <t>Home2 Suites Carbondale</t>
  </si>
  <si>
    <t xml:space="preserve">200 West Elm Street </t>
  </si>
  <si>
    <t>Andrea Smith</t>
  </si>
  <si>
    <t>+1 (618) 529-2555</t>
  </si>
  <si>
    <t>Home2 Suites Champaign - Urbana</t>
  </si>
  <si>
    <t xml:space="preserve">2013 South Neill Street </t>
  </si>
  <si>
    <t>Molly Mooney</t>
  </si>
  <si>
    <t>+1 (217) 355-6468</t>
  </si>
  <si>
    <t>Home2 Suites Charlotte Uptown</t>
  </si>
  <si>
    <t xml:space="preserve">610 South Caldwell Street </t>
  </si>
  <si>
    <t>+1 (980) 500-0085</t>
  </si>
  <si>
    <t>Home2 Suites Charlottesville Downtown</t>
  </si>
  <si>
    <t xml:space="preserve">201 Monticello Avenue </t>
  </si>
  <si>
    <t>Tyler Arbaugh</t>
  </si>
  <si>
    <t>+1 (434) 295-0003</t>
  </si>
  <si>
    <t>Home2 Suites Chattanooga</t>
  </si>
  <si>
    <t xml:space="preserve">2330 Center Street </t>
  </si>
  <si>
    <t>Chad Reyes</t>
  </si>
  <si>
    <t>+()423-702-2600</t>
  </si>
  <si>
    <t>Home2 Suites Chicago</t>
  </si>
  <si>
    <t xml:space="preserve">110 West Huron Street </t>
  </si>
  <si>
    <t>Amanda Greenberg</t>
  </si>
  <si>
    <t>Andrew Eck</t>
  </si>
  <si>
    <t>+1 (312) 944-8000</t>
  </si>
  <si>
    <t>Home2 Suites Chicago McCormick Place (CM3H2)</t>
  </si>
  <si>
    <t>+1 (312) 528-0210</t>
  </si>
  <si>
    <t>Home2 Suites Cincinnati Liberty Township</t>
  </si>
  <si>
    <t xml:space="preserve">7145 Liberty Centre Drive </t>
  </si>
  <si>
    <t>Liberty Township</t>
  </si>
  <si>
    <t>Pamela Hillman</t>
  </si>
  <si>
    <t>+1 (513) 644-2207</t>
  </si>
  <si>
    <t>Home2 Suites Clovis Fresno Airport</t>
  </si>
  <si>
    <t xml:space="preserve">810 Santa Ana Avenue </t>
  </si>
  <si>
    <t>+1(559)940-6001</t>
  </si>
  <si>
    <t>Home2 Suites Colorado Springs South</t>
  </si>
  <si>
    <t xml:space="preserve">1235 Tenderfoot Road </t>
  </si>
  <si>
    <t>Ricardo Flores</t>
  </si>
  <si>
    <t>+1 (719) 226-3440</t>
  </si>
  <si>
    <t>Home2 Suites Columbus West</t>
  </si>
  <si>
    <t xml:space="preserve">5460 Fisher Road </t>
  </si>
  <si>
    <t>Lynnsi Barnett</t>
  </si>
  <si>
    <t>+()614-845-5620</t>
  </si>
  <si>
    <t>Home2 Suites Corona</t>
  </si>
  <si>
    <t xml:space="preserve">4556 Temescal Canyon Road </t>
  </si>
  <si>
    <t>Corona</t>
  </si>
  <si>
    <t>Mesker Bekele</t>
  </si>
  <si>
    <t>+(951)898-2500</t>
  </si>
  <si>
    <t>Home2 Suites Dallas Downtown at Baylor Scott &amp; White</t>
  </si>
  <si>
    <t xml:space="preserve">3301 Gaston Avenue </t>
  </si>
  <si>
    <t>Anaelisse Bernal</t>
  </si>
  <si>
    <t>+()1-214-765-2690</t>
  </si>
  <si>
    <t>Home2 Suites Denver (Dual Property)</t>
  </si>
  <si>
    <t xml:space="preserve">1501 Stout Street </t>
  </si>
  <si>
    <t>Kara Mastin</t>
  </si>
  <si>
    <t>+1 (303) 759-1301</t>
  </si>
  <si>
    <t>Home2 Suites Denver International Airport</t>
  </si>
  <si>
    <t xml:space="preserve">6792 Tower Road </t>
  </si>
  <si>
    <t>Jorge Madera</t>
  </si>
  <si>
    <t>+1 (303) 307-4444</t>
  </si>
  <si>
    <t>Home2 Suites Denver South Centennial Airport</t>
  </si>
  <si>
    <t xml:space="preserve">6640 South Paris Street </t>
  </si>
  <si>
    <t>Heather Cook</t>
  </si>
  <si>
    <t>+1 (303) 662-8888</t>
  </si>
  <si>
    <t>Home2 Suites Des Moines Drake University</t>
  </si>
  <si>
    <t xml:space="preserve">2650 University Avenue </t>
  </si>
  <si>
    <t>Chris Stockman</t>
  </si>
  <si>
    <t>+()515.264.7960</t>
  </si>
  <si>
    <t>Home2 Suites Destin</t>
  </si>
  <si>
    <t xml:space="preserve">14060 Emerald Coast Parkway </t>
  </si>
  <si>
    <t>Dylan Cain</t>
  </si>
  <si>
    <t>+1 (850) 650-3500</t>
  </si>
  <si>
    <t>Home2 Suites Dublin</t>
  </si>
  <si>
    <t xml:space="preserve">5000 Upper Metro Place </t>
  </si>
  <si>
    <t>Chaz Le</t>
  </si>
  <si>
    <t>+1 (614) 889-7540</t>
  </si>
  <si>
    <t>Home2 Suites Eagan</t>
  </si>
  <si>
    <t xml:space="preserve">3939 Cedargrove Parkway </t>
  </si>
  <si>
    <t>Saint Paul</t>
  </si>
  <si>
    <t>Brian Wind</t>
  </si>
  <si>
    <t>+1 (612) 295-0056</t>
  </si>
  <si>
    <t>Home2 Suites El Paso Airport</t>
  </si>
  <si>
    <t xml:space="preserve">6308 Montana Avenue </t>
  </si>
  <si>
    <t>Ashley Huizar</t>
  </si>
  <si>
    <t>Jesse Rojas</t>
  </si>
  <si>
    <t>+1 (915) 887-0300</t>
  </si>
  <si>
    <t>Home2 Suites Fort St. John</t>
  </si>
  <si>
    <t xml:space="preserve">9519 111 Street </t>
  </si>
  <si>
    <t>V1J 0N1</t>
  </si>
  <si>
    <t>Nadya McLean</t>
  </si>
  <si>
    <t>+1 (250) 785-5356</t>
  </si>
  <si>
    <t>Home2 Suites Frederick</t>
  </si>
  <si>
    <t xml:space="preserve">4850 Buckeystown Pike </t>
  </si>
  <si>
    <t>Danny Vasquez</t>
  </si>
  <si>
    <t>Gem Gurcan</t>
  </si>
  <si>
    <t>+1 (301) 695-0001</t>
  </si>
  <si>
    <t>Home2 Suites Gilbert</t>
  </si>
  <si>
    <t xml:space="preserve">3333 South Market Street </t>
  </si>
  <si>
    <t>Gilbert</t>
  </si>
  <si>
    <t>Kevin Barbour</t>
  </si>
  <si>
    <t>+1 (480) 857-4778</t>
  </si>
  <si>
    <t>Home2 Suites Glen Mills Chadds Ford</t>
  </si>
  <si>
    <t xml:space="preserve">75 Applied Bank Boulevard </t>
  </si>
  <si>
    <t>Ryan Greene</t>
  </si>
  <si>
    <t>+1 (610) 358-4716</t>
  </si>
  <si>
    <t>Home2 Suites Greensboro Airport</t>
  </si>
  <si>
    <t xml:space="preserve">7801 National Service Road </t>
  </si>
  <si>
    <t>Tracy McIver</t>
  </si>
  <si>
    <t>+1 (336) 256-9680</t>
  </si>
  <si>
    <t>Home2 Suites Grovetown Augusta</t>
  </si>
  <si>
    <t xml:space="preserve">903 Husk Box Way </t>
  </si>
  <si>
    <t>Grovetown</t>
  </si>
  <si>
    <t>David Przedecki</t>
  </si>
  <si>
    <t>Jala Marks</t>
  </si>
  <si>
    <t>+1 (706) 251-9100</t>
  </si>
  <si>
    <t>Home2 Suites Gulfport</t>
  </si>
  <si>
    <t xml:space="preserve">15600 Daniel Boulevard </t>
  </si>
  <si>
    <t>Robin Norris</t>
  </si>
  <si>
    <t>+(228)357-9684</t>
  </si>
  <si>
    <t>Home2 Suites Highlands Ranch</t>
  </si>
  <si>
    <t xml:space="preserve">1405 Plaza Drive </t>
  </si>
  <si>
    <t>Highlands Ranch</t>
  </si>
  <si>
    <t>Angela Nesiba</t>
  </si>
  <si>
    <t>+1 (303) 791-1560</t>
  </si>
  <si>
    <t>Home2 Suites Hilton Oxford AL</t>
  </si>
  <si>
    <t xml:space="preserve">300 Colonial Drive </t>
  </si>
  <si>
    <t>Chris Eagle</t>
  </si>
  <si>
    <t>+1 (256) 831-7008</t>
  </si>
  <si>
    <t>Home2 Suites Kansas City</t>
  </si>
  <si>
    <t xml:space="preserve">2001 Main Street </t>
  </si>
  <si>
    <t>Dan Gudenkauf</t>
  </si>
  <si>
    <t>+()816-987-7300</t>
  </si>
  <si>
    <t>Home2 Suites King of Prussia</t>
  </si>
  <si>
    <t xml:space="preserve">550 West DeKalb Pike </t>
  </si>
  <si>
    <t>King Of prussia</t>
  </si>
  <si>
    <t>Blado Alvardo</t>
  </si>
  <si>
    <t>Jeffrey Falk</t>
  </si>
  <si>
    <t>+ (610) 962-0700</t>
  </si>
  <si>
    <t>Home2 Suites Knoxville</t>
  </si>
  <si>
    <t xml:space="preserve">380 North Peters Road </t>
  </si>
  <si>
    <t>Bobby Howard</t>
  </si>
  <si>
    <t>+1 (865) 973-9444</t>
  </si>
  <si>
    <t xml:space="preserve">1909 Kaliste Saloom Road </t>
  </si>
  <si>
    <t>Renee Bergner</t>
  </si>
  <si>
    <t>+1 (337) 706-8610</t>
  </si>
  <si>
    <t>Home2 Suites Lakeland</t>
  </si>
  <si>
    <t xml:space="preserve">3610 Lakeside Village Boulevard </t>
  </si>
  <si>
    <t>Juan Carlos Urrea</t>
  </si>
  <si>
    <t>+()863-500-6869</t>
  </si>
  <si>
    <t>Home2 Suites Las Vegas</t>
  </si>
  <si>
    <t xml:space="preserve">4940 Dean Martin Drive </t>
  </si>
  <si>
    <t>Tavia Dalton</t>
  </si>
  <si>
    <t>+()1-702-891-0124</t>
  </si>
  <si>
    <t>Home2 Suites Lawrenceville</t>
  </si>
  <si>
    <t xml:space="preserve">1765 North Brown Road </t>
  </si>
  <si>
    <t>Rajeah Knight</t>
  </si>
  <si>
    <t>+1 (678) 985-3400</t>
  </si>
  <si>
    <t>Home2 Suites Louisville Nulu Medical District (LH2)</t>
  </si>
  <si>
    <t xml:space="preserve">240 South Hancock Street </t>
  </si>
  <si>
    <t>Deveenier Brooks</t>
  </si>
  <si>
    <t>Hope Moore</t>
  </si>
  <si>
    <t>+1 (502) 561-0460</t>
  </si>
  <si>
    <t>Home2 Suites Lubbock</t>
  </si>
  <si>
    <t xml:space="preserve">6004 Marsha Sharp Freeway </t>
  </si>
  <si>
    <t>Dawn Bell</t>
  </si>
  <si>
    <t>+1 (806) 833-5000</t>
  </si>
  <si>
    <t>Home2 Suites Miami Doral West Airport</t>
  </si>
  <si>
    <t xml:space="preserve">8852 NW 26 Street </t>
  </si>
  <si>
    <t>Luisana Fernandez</t>
  </si>
  <si>
    <t>+1 (786) 673-5170</t>
  </si>
  <si>
    <t>Home2 Suites Milwaukee Downtown (Dual Property)</t>
  </si>
  <si>
    <t xml:space="preserve">515 North Jefferson Street </t>
  </si>
  <si>
    <t>Home2 Suites Minneapolis</t>
  </si>
  <si>
    <t xml:space="preserve">317 2nd Avenue South </t>
  </si>
  <si>
    <t>Chris Gaylord</t>
  </si>
  <si>
    <t>Home2 Suites Miramar Ft. Lauderdale</t>
  </si>
  <si>
    <t xml:space="preserve">2800 SW 149th Avenue </t>
  </si>
  <si>
    <t>Robert Allen</t>
  </si>
  <si>
    <t>+(954) 441-0122</t>
  </si>
  <si>
    <t>Home2 Suites Mishawaka</t>
  </si>
  <si>
    <t xml:space="preserve">211 East Day Road </t>
  </si>
  <si>
    <t>Cathleen Arb</t>
  </si>
  <si>
    <t>+1(574)252-4100</t>
  </si>
  <si>
    <t>Home2 Suites Mobile I-65 Government Boulevard</t>
  </si>
  <si>
    <t xml:space="preserve">1485 Satchel Paige Drive </t>
  </si>
  <si>
    <t>Darryl Carter</t>
  </si>
  <si>
    <t>Jonelle George</t>
  </si>
  <si>
    <t>+1 (251) 415-5422</t>
  </si>
  <si>
    <t>Home2 Suites Mobile West I-10 Tillmans Corner</t>
  </si>
  <si>
    <t xml:space="preserve">5460 Inn Road </t>
  </si>
  <si>
    <t>Shawn Watkins</t>
  </si>
  <si>
    <t>+1 (251) 345-1234</t>
  </si>
  <si>
    <t>Home2 Suites Montgomery - Prattville</t>
  </si>
  <si>
    <t xml:space="preserve">2505 Legends Drive </t>
  </si>
  <si>
    <t>Stephanie Brynes</t>
  </si>
  <si>
    <t>+1 (334) 551-2900</t>
  </si>
  <si>
    <t>Home2 Suites New Albany</t>
  </si>
  <si>
    <t xml:space="preserve">5095 Forest Drive </t>
  </si>
  <si>
    <t>Robert Taylor</t>
  </si>
  <si>
    <t>+()614-305-4257</t>
  </si>
  <si>
    <t>Home2 Suites Newark Airport</t>
  </si>
  <si>
    <t xml:space="preserve">620 Route 1 and 9 South </t>
  </si>
  <si>
    <t>Antonio Cartagena</t>
  </si>
  <si>
    <t>Edgar Acevedo</t>
  </si>
  <si>
    <t>+(973)589-3002</t>
  </si>
  <si>
    <t>Home2 Suites Olive Branch</t>
  </si>
  <si>
    <t xml:space="preserve">7595 Lodging Lane Rd. </t>
  </si>
  <si>
    <t>Christopher Golden</t>
  </si>
  <si>
    <t>Home2 Suites Overland Park</t>
  </si>
  <si>
    <t xml:space="preserve">7121 West 135th Street </t>
  </si>
  <si>
    <t>Eric Allensworth</t>
  </si>
  <si>
    <t>+1 (913) 229-9220</t>
  </si>
  <si>
    <t>Home2 Suites Owings Mills</t>
  </si>
  <si>
    <t xml:space="preserve">4514 Painters Mills </t>
  </si>
  <si>
    <t>Amanda Schoell</t>
  </si>
  <si>
    <t>+1 (410) 363-0272</t>
  </si>
  <si>
    <t>Home2 Suites Pensacola</t>
  </si>
  <si>
    <t xml:space="preserve">7753 North Davis Highway </t>
  </si>
  <si>
    <t xml:space="preserve">Cynthia Conner </t>
  </si>
  <si>
    <t>+1 (850) 474-3777</t>
  </si>
  <si>
    <t>Home2 Suites Perimeter Center</t>
  </si>
  <si>
    <t xml:space="preserve">6110 Peachtree Dunwoody Road NE </t>
  </si>
  <si>
    <t>Demitrius Blackmon</t>
  </si>
  <si>
    <t>+ (770) 828-0330</t>
  </si>
  <si>
    <t>Home2 Suites Phoenix International Airport</t>
  </si>
  <si>
    <t xml:space="preserve">4725 East Broadway Road </t>
  </si>
  <si>
    <t>Tessa Lara</t>
  </si>
  <si>
    <t>+()1-602-414-0099</t>
  </si>
  <si>
    <t>Home2 Suites San Antonio Downtown Riverwalk</t>
  </si>
  <si>
    <t xml:space="preserve">603 Navarro Street </t>
  </si>
  <si>
    <t>+1 (210) 354-4366</t>
  </si>
  <si>
    <t>Home2 Suites San Antonio Lackland Seaworld (Dual Property)</t>
  </si>
  <si>
    <t xml:space="preserve">9911 Ingram Road </t>
  </si>
  <si>
    <t>Sam Graham</t>
  </si>
  <si>
    <t>+()1-210-673-5535</t>
  </si>
  <si>
    <t>Home2 Suites San Antonio North Stone Oak</t>
  </si>
  <si>
    <t xml:space="preserve">1807 North Loop 1604 East </t>
  </si>
  <si>
    <t>Damaris Reyes</t>
  </si>
  <si>
    <t>Rose Marie Danna</t>
  </si>
  <si>
    <t>+1 (210) 497-4000</t>
  </si>
  <si>
    <t>Home2 Suites Seattle Airport</t>
  </si>
  <si>
    <t xml:space="preserve">380 Upland Drive </t>
  </si>
  <si>
    <t>Charles Eiling</t>
  </si>
  <si>
    <t>Dolores Escobar</t>
  </si>
  <si>
    <t>+1 (206) 623-7300</t>
  </si>
  <si>
    <t>Home2 Suites St. Augustine</t>
  </si>
  <si>
    <t xml:space="preserve">270 Outlet Mall Boulevard </t>
  </si>
  <si>
    <t>Jeremy Prince</t>
  </si>
  <si>
    <t>Renee Gonzales</t>
  </si>
  <si>
    <t>+1 (904) 826-0200</t>
  </si>
  <si>
    <t>Home2 Suites Statesboro</t>
  </si>
  <si>
    <t xml:space="preserve">1576 Brampton Avenue </t>
  </si>
  <si>
    <t>+1 (912) 259-1900</t>
  </si>
  <si>
    <t>Home2 Suites Tampa Downtown Channel District (Dual Property)</t>
  </si>
  <si>
    <t>Home2 Suites Tampa USF Busch Gardens</t>
  </si>
  <si>
    <t xml:space="preserve">11606 North McKinely Drive </t>
  </si>
  <si>
    <t>Samantha Bryant</t>
  </si>
  <si>
    <t>+1 (813) 750-8844</t>
  </si>
  <si>
    <t>Home2 Suites Temecula</t>
  </si>
  <si>
    <t xml:space="preserve">28400 Rancho California Road </t>
  </si>
  <si>
    <t>Rancho California</t>
  </si>
  <si>
    <t>Chris Johnson</t>
  </si>
  <si>
    <t>Kalarae Johnston</t>
  </si>
  <si>
    <t>+1 (951) 331-3622</t>
  </si>
  <si>
    <t>Home2 Suites Waco</t>
  </si>
  <si>
    <t xml:space="preserve">2500 Bagby Avenue </t>
  </si>
  <si>
    <t>Lana Murphy</t>
  </si>
  <si>
    <t>Melissa Guerra</t>
  </si>
  <si>
    <t>+1 (254) 752-4400</t>
  </si>
  <si>
    <t>Home2 Suites Walpole</t>
  </si>
  <si>
    <t xml:space="preserve">2375 Providence Highway </t>
  </si>
  <si>
    <t>Walpole</t>
  </si>
  <si>
    <t>Kayla Curtis</t>
  </si>
  <si>
    <t>+(508)668-8500</t>
  </si>
  <si>
    <t>Home2 Suites White Marsh</t>
  </si>
  <si>
    <t xml:space="preserve">10465 Philadelphia Road </t>
  </si>
  <si>
    <t>White Marsh</t>
  </si>
  <si>
    <t>Laura Geisel</t>
  </si>
  <si>
    <t>+1 (410) 933-1010</t>
  </si>
  <si>
    <t>Home2 Suitesby Hilton Gainesville</t>
  </si>
  <si>
    <t xml:space="preserve">2115 Southwest 13th Street </t>
  </si>
  <si>
    <t>Amarys Maldonado</t>
  </si>
  <si>
    <t>Blake Mitchell</t>
  </si>
  <si>
    <t>+1 (352) 372-1025</t>
  </si>
  <si>
    <t>Home2Suites Salt Lake City - South Jordan</t>
  </si>
  <si>
    <t xml:space="preserve">10704 South River Front Parkway </t>
  </si>
  <si>
    <t>South Jordan</t>
  </si>
  <si>
    <t>Brandy Adams</t>
  </si>
  <si>
    <t>Joe Martinez</t>
  </si>
  <si>
    <t>+1 (801) 446-8800</t>
  </si>
  <si>
    <t>Homewood Suites - Jacksonville Downtown</t>
  </si>
  <si>
    <t>+1 (904) 396-6888</t>
  </si>
  <si>
    <t>Trans Inns Management Inc.</t>
  </si>
  <si>
    <t>Homewood Suites - Overland Park</t>
  </si>
  <si>
    <t xml:space="preserve">10556 Marty Street </t>
  </si>
  <si>
    <t>Kim White</t>
  </si>
  <si>
    <t>+ (913) 341-5576</t>
  </si>
  <si>
    <t>Homewood Suites Agoura Hills</t>
  </si>
  <si>
    <t xml:space="preserve">28901 Canwood Street </t>
  </si>
  <si>
    <t>Vincent Singletary</t>
  </si>
  <si>
    <t>+1 (818) 865-1000</t>
  </si>
  <si>
    <t>Homewood Suites Aliso Viejo</t>
  </si>
  <si>
    <t xml:space="preserve">110 VAntis Drive </t>
  </si>
  <si>
    <t>+1(949)425-9500</t>
  </si>
  <si>
    <t>Homewood Suites Anaheim/Garden Grove</t>
  </si>
  <si>
    <t xml:space="preserve">12005 Harbor Blvd </t>
  </si>
  <si>
    <t>Emily Cate</t>
  </si>
  <si>
    <t>+ (714) 740-1800</t>
  </si>
  <si>
    <t>Homewood Suites Athens</t>
  </si>
  <si>
    <t xml:space="preserve">750 East Broad Street </t>
  </si>
  <si>
    <t>Carlos Santana</t>
  </si>
  <si>
    <t>+1 (706) 548-3500</t>
  </si>
  <si>
    <t>Homewood Suites Atlanta Perimeter Center</t>
  </si>
  <si>
    <t xml:space="preserve">915 Crestline Parkway </t>
  </si>
  <si>
    <t>Tawana Boyd</t>
  </si>
  <si>
    <t>+1 (770) 415-3200</t>
  </si>
  <si>
    <t>Homewood Suites Austin Downtown</t>
  </si>
  <si>
    <t xml:space="preserve">78 East Avenue </t>
  </si>
  <si>
    <t>Hector Orozco</t>
  </si>
  <si>
    <t>+1 (512) 320-5454</t>
  </si>
  <si>
    <t>Homewood Suites Baltimore BWI Airport</t>
  </si>
  <si>
    <t xml:space="preserve">1181 Winterson Road </t>
  </si>
  <si>
    <t>Dante Brown</t>
  </si>
  <si>
    <t>Jeremy Conroy</t>
  </si>
  <si>
    <t>+1 (410) 684-6100</t>
  </si>
  <si>
    <t>Homewood Suites Baton Rouge</t>
  </si>
  <si>
    <t xml:space="preserve">5860 Corporate Boulevard </t>
  </si>
  <si>
    <t>Courtney Wesley</t>
  </si>
  <si>
    <t>+1 (225)927-1700</t>
  </si>
  <si>
    <t>Homewood Suites Belmont</t>
  </si>
  <si>
    <t xml:space="preserve">1201 Shoreway Road </t>
  </si>
  <si>
    <t>Debbie Gudmundson</t>
  </si>
  <si>
    <t>+1 (650) 597-2000</t>
  </si>
  <si>
    <t>Homewood Suites Boise</t>
  </si>
  <si>
    <t xml:space="preserve">7957 West Spectrum Way </t>
  </si>
  <si>
    <t>David Rush</t>
  </si>
  <si>
    <t>Sargis Mnatsakanyan</t>
  </si>
  <si>
    <t>+1 (208) 375-8500</t>
  </si>
  <si>
    <t>Homewood Suites Bonita Springs</t>
  </si>
  <si>
    <t xml:space="preserve">8901 Highland Woods Boulevard </t>
  </si>
  <si>
    <t>Reynaldo Moran</t>
  </si>
  <si>
    <t>+1(239)949-5913</t>
  </si>
  <si>
    <t>Homewood Suites Boston</t>
  </si>
  <si>
    <t xml:space="preserve">35 Middlesex Turnpike </t>
  </si>
  <si>
    <t>+ (978) 670-7111</t>
  </si>
  <si>
    <t xml:space="preserve">57 Newbury Street </t>
  </si>
  <si>
    <t>Dawn Tyrrell</t>
  </si>
  <si>
    <t>Zaine Jack</t>
  </si>
  <si>
    <t>+1 (978) 536-5050</t>
  </si>
  <si>
    <t>Homewood Suites Boulder</t>
  </si>
  <si>
    <t xml:space="preserve">4950 Baseline Road </t>
  </si>
  <si>
    <t>Joe Steiskal</t>
  </si>
  <si>
    <t>Samuel Karabel</t>
  </si>
  <si>
    <t>+1 (303) 499-9922</t>
  </si>
  <si>
    <t>Homewood Suites by Birmingham South</t>
  </si>
  <si>
    <t xml:space="preserve">215 Inverness Center Drive </t>
  </si>
  <si>
    <t>Ivey Johnson</t>
  </si>
  <si>
    <t>Jackie Segebart</t>
  </si>
  <si>
    <t>+ () 205/995-9823</t>
  </si>
  <si>
    <t>Homewood Suites by Hilton</t>
  </si>
  <si>
    <t xml:space="preserve">3035 Chemin de la Chappelle </t>
  </si>
  <si>
    <t>Mont Tremblant</t>
  </si>
  <si>
    <t>Simon Berube</t>
  </si>
  <si>
    <t>+1 (819) 681-0808</t>
  </si>
  <si>
    <t>Homewood Suites by Hilton - Bossier City</t>
  </si>
  <si>
    <t>2015 Old Minden Road c/o Homewood Suites Bossier City</t>
  </si>
  <si>
    <t>Steven Backofen</t>
  </si>
  <si>
    <t>+ (318) 759-1940</t>
  </si>
  <si>
    <t>Homewood Suites by Hilton - Carle Place</t>
  </si>
  <si>
    <t xml:space="preserve">40 Westbury Avenue </t>
  </si>
  <si>
    <t>Carle Place</t>
  </si>
  <si>
    <t>Paul J. Gabriel</t>
  </si>
  <si>
    <t>+()516-747-0230</t>
  </si>
  <si>
    <t>Homewood Suites by Hilton Atlanta - Buckhead</t>
  </si>
  <si>
    <t xml:space="preserve">3566 Piedmont Road NE </t>
  </si>
  <si>
    <t>Charlie Ellis</t>
  </si>
  <si>
    <t>Natasha Boyd</t>
  </si>
  <si>
    <t>+ (404) 365-0001</t>
  </si>
  <si>
    <t>Homewood Suites by Hilton Augusta</t>
  </si>
  <si>
    <t xml:space="preserve">1049 Stevens Creek Road </t>
  </si>
  <si>
    <t>Amanda Dulmage</t>
  </si>
  <si>
    <t>+ (706) 738-3131</t>
  </si>
  <si>
    <t>Homewood Suites by Hilton Birmingham Downtown Near UAB</t>
  </si>
  <si>
    <t xml:space="preserve">1016 20th Street South </t>
  </si>
  <si>
    <t>+1 (205) 703-9920</t>
  </si>
  <si>
    <t>Homewood Suites by Hilton Burlington</t>
  </si>
  <si>
    <t xml:space="preserve">975 Syscon Road </t>
  </si>
  <si>
    <t>Clarence Brinkworth</t>
  </si>
  <si>
    <t>+1 (905) 631-8300</t>
  </si>
  <si>
    <t>Homewood Suites by Hilton Cambridge Waterloo</t>
  </si>
  <si>
    <t xml:space="preserve">800 Jamieson Parkway </t>
  </si>
  <si>
    <t>N3C 4N6</t>
  </si>
  <si>
    <t>Vanessa Stevenson</t>
  </si>
  <si>
    <t>+1 (519) 651-2888</t>
  </si>
  <si>
    <t>Homewood Suites by Hilton Charleston Historic District</t>
  </si>
  <si>
    <t xml:space="preserve">415 Meeting Street </t>
  </si>
  <si>
    <t>Ashley Zimmer</t>
  </si>
  <si>
    <t>Britton Delis</t>
  </si>
  <si>
    <t>+1 (843) 724-8800</t>
  </si>
  <si>
    <t>Homewood Suites by Hilton Charlotte Ballantyne Area NC</t>
  </si>
  <si>
    <t xml:space="preserve">12030 Copper Way </t>
  </si>
  <si>
    <t>Beatriz Lista</t>
  </si>
  <si>
    <t>Michelle Peralta</t>
  </si>
  <si>
    <t>+1 (704) 544-7902</t>
  </si>
  <si>
    <t>Homewood Suites by Hilton Columbus</t>
  </si>
  <si>
    <t xml:space="preserve">6614 Whittlesey Boulevard </t>
  </si>
  <si>
    <t>Karon Warren</t>
  </si>
  <si>
    <t>Eboniee Wollard</t>
  </si>
  <si>
    <t>+1 (706) 568-3545</t>
  </si>
  <si>
    <t>Homewood Suites by Hilton Davidson</t>
  </si>
  <si>
    <t xml:space="preserve"> 125 Harbour Place Drive </t>
  </si>
  <si>
    <t>DAVIDSON</t>
  </si>
  <si>
    <t>Shakiah Gaddist</t>
  </si>
  <si>
    <t>+1 (704) 987-1818</t>
  </si>
  <si>
    <t>Homewood Suites by Hilton Farmington</t>
  </si>
  <si>
    <t xml:space="preserve">2 Farm Glen Boulevard </t>
  </si>
  <si>
    <t>Bryson Bregen</t>
  </si>
  <si>
    <t>Nicole Karski</t>
  </si>
  <si>
    <t>+ (860) 321-0000</t>
  </si>
  <si>
    <t>Homewood Suites by Hilton Fredericksburg</t>
  </si>
  <si>
    <t xml:space="preserve">1040 Hospitality Lane </t>
  </si>
  <si>
    <t>Ronnie James</t>
  </si>
  <si>
    <t>Chris Cahill</t>
  </si>
  <si>
    <t>+1 (540) 786-9700</t>
  </si>
  <si>
    <t>Homewood Suites by Hilton Gainesville</t>
  </si>
  <si>
    <t xml:space="preserve">3333 SW 42ND STREET </t>
  </si>
  <si>
    <t>Cynthia Dill</t>
  </si>
  <si>
    <t>Lindsey Maurer</t>
  </si>
  <si>
    <t>+(352)335-3133</t>
  </si>
  <si>
    <t>Homewood Suites by Hilton Houston Near the Galleria</t>
  </si>
  <si>
    <t xml:space="preserve">2950 Sage Road </t>
  </si>
  <si>
    <t>Katherine Jorgensen</t>
  </si>
  <si>
    <t>+1 (713) 439-1305</t>
  </si>
  <si>
    <t>Homewood Suites by Hilton Jackson Fondren Medical District</t>
  </si>
  <si>
    <t xml:space="preserve">2815 North State Street </t>
  </si>
  <si>
    <t>Lewis Formby</t>
  </si>
  <si>
    <t>+(601) 398-9500</t>
  </si>
  <si>
    <t>Homewood Suites by Hilton Jacksonville-South/St.Johns Ctr</t>
  </si>
  <si>
    <t xml:space="preserve">10434 Midtown Parkway </t>
  </si>
  <si>
    <t>Brittany Lagassee</t>
  </si>
  <si>
    <t>Betty Warner</t>
  </si>
  <si>
    <t>+ () 904/641-7988</t>
  </si>
  <si>
    <t>Homewood Suites by Hilton Medford</t>
  </si>
  <si>
    <t xml:space="preserve">2010 Hospitality Way </t>
  </si>
  <si>
    <t>+1 (541) 779-9800</t>
  </si>
  <si>
    <t>Homewood Suites by Hilton Mississauga</t>
  </si>
  <si>
    <t xml:space="preserve">6430 Edwards Boulevard </t>
  </si>
  <si>
    <t>L5T 2Y3</t>
  </si>
  <si>
    <t>Alnoor (Al) Gulamani</t>
  </si>
  <si>
    <t>+1 (905) 564-5529</t>
  </si>
  <si>
    <t>Homewood Suites by Hilton New Orleans French Quarter</t>
  </si>
  <si>
    <t xml:space="preserve">317 Rampart Street </t>
  </si>
  <si>
    <t>Daniel Ader</t>
  </si>
  <si>
    <t>Sabrina Dabney</t>
  </si>
  <si>
    <t>+1 (504) 930-4494</t>
  </si>
  <si>
    <t>True North Development Group LLC</t>
  </si>
  <si>
    <t>Homewood Suites by Hilton Newburgh-Stewart Airport</t>
  </si>
  <si>
    <t xml:space="preserve">180 Breunig Road </t>
  </si>
  <si>
    <t>New Windsor</t>
  </si>
  <si>
    <t>Jim Hutchinson</t>
  </si>
  <si>
    <t>Lindsay Higgins</t>
  </si>
  <si>
    <t>+1 (845) 567-2700</t>
  </si>
  <si>
    <t>Homewood Suites by Hilton Oakville</t>
  </si>
  <si>
    <t xml:space="preserve">2095 Winston Park Drive </t>
  </si>
  <si>
    <t>Oakville</t>
  </si>
  <si>
    <t>L6H 6P5</t>
  </si>
  <si>
    <t>Gloria Lau</t>
  </si>
  <si>
    <t>+1 (905) 829-9998</t>
  </si>
  <si>
    <t>Homewood Suites by Hilton Philadelphia-Great Valley</t>
  </si>
  <si>
    <t xml:space="preserve">12 East Swedesford Road </t>
  </si>
  <si>
    <t>Rob Powell</t>
  </si>
  <si>
    <t>+1(610)296-3500</t>
  </si>
  <si>
    <t>Homewood Suites by Hilton Raleigh-Durham AP/Research Park Triangle</t>
  </si>
  <si>
    <t xml:space="preserve">4603 Central Park DR </t>
  </si>
  <si>
    <t>+ (919) 474-9900</t>
  </si>
  <si>
    <t>Homewood Suites by Hilton Tampa Airport - Westshore</t>
  </si>
  <si>
    <t xml:space="preserve">5325 Avion Park Drive </t>
  </si>
  <si>
    <t>John Fuller</t>
  </si>
  <si>
    <t>+1 (813) 282-1950</t>
  </si>
  <si>
    <t>Homewood Suites by Hilton Toronto-Ajax</t>
  </si>
  <si>
    <t xml:space="preserve">600 Beck Crescent </t>
  </si>
  <si>
    <t>Homewood Suites Carmel</t>
  </si>
  <si>
    <t xml:space="preserve">11355 North Meridien Street </t>
  </si>
  <si>
    <t>Robin Harris</t>
  </si>
  <si>
    <t>Matt McAtee</t>
  </si>
  <si>
    <t>+1 (317) 844-7994</t>
  </si>
  <si>
    <t>Homewood Suites Champaign - Urbana</t>
  </si>
  <si>
    <t xml:space="preserve">1417 South Neil Street </t>
  </si>
  <si>
    <t>Lynn Hursey</t>
  </si>
  <si>
    <t>+1 (217) 352-9960</t>
  </si>
  <si>
    <t>Homewood Suites Charlotte</t>
  </si>
  <si>
    <t>+1 (704) 442-4050</t>
  </si>
  <si>
    <t>Homewood Suites Chattanooga - Hamilton</t>
  </si>
  <si>
    <t xml:space="preserve">2250 Center Street </t>
  </si>
  <si>
    <t>Don Speegle</t>
  </si>
  <si>
    <t>+1 (423) 510-8020</t>
  </si>
  <si>
    <t>Homewood Suites Cincinnati - West Chester</t>
  </si>
  <si>
    <t xml:space="preserve">9226 Schulza Drive </t>
  </si>
  <si>
    <t>Pisgah</t>
  </si>
  <si>
    <t>Angela Serna</t>
  </si>
  <si>
    <t>+1 (513) 805-4400</t>
  </si>
  <si>
    <t>Homewood Suites Clearwater</t>
  </si>
  <si>
    <t xml:space="preserve">2233 Ulmerton Road </t>
  </si>
  <si>
    <t>Michael Mottinger</t>
  </si>
  <si>
    <t>+1 (727) 573-1500</t>
  </si>
  <si>
    <t>Homewood Suites Clovis</t>
  </si>
  <si>
    <t xml:space="preserve">835 Gettysburg Avenue </t>
  </si>
  <si>
    <t>+1 (559) 292-4004</t>
  </si>
  <si>
    <t>Homewood Suites College Station</t>
  </si>
  <si>
    <t xml:space="preserve">950 University Drive East </t>
  </si>
  <si>
    <t>Aaron Hendrick</t>
  </si>
  <si>
    <t>+1 (979) 846-0400</t>
  </si>
  <si>
    <t xml:space="preserve">8320 Benson Dr. </t>
  </si>
  <si>
    <t>Yolande Lacam</t>
  </si>
  <si>
    <t>+1 (410) 872-9200</t>
  </si>
  <si>
    <t>Homewood Suites Columbus OSU</t>
  </si>
  <si>
    <t xml:space="preserve">1576 West Lane Avenue </t>
  </si>
  <si>
    <t>+1 (614) 488-1500</t>
  </si>
  <si>
    <t>Homewood Suites Concord Charlotte</t>
  </si>
  <si>
    <t xml:space="preserve">7300 Scott Padgett Parkway </t>
  </si>
  <si>
    <t>Chrissy Powers</t>
  </si>
  <si>
    <t>+1 (980) 313-3100</t>
  </si>
  <si>
    <t>Homewood Suites Cranford</t>
  </si>
  <si>
    <t xml:space="preserve">2 Jackson Drive </t>
  </si>
  <si>
    <t>Cranford</t>
  </si>
  <si>
    <t>Jatin Thakker</t>
  </si>
  <si>
    <t>+1 (908) 709-1980</t>
  </si>
  <si>
    <t>Homewood Suites Dallas</t>
  </si>
  <si>
    <t xml:space="preserve">2747 North Stemmons Freeway </t>
  </si>
  <si>
    <t>Michael Manners</t>
  </si>
  <si>
    <t>+ (214) 819-9700</t>
  </si>
  <si>
    <t>Homewood Suites Dallas Allen</t>
  </si>
  <si>
    <t xml:space="preserve">455 Central Expressway North </t>
  </si>
  <si>
    <t>Cody Stites</t>
  </si>
  <si>
    <t>+1 (214) 383-6673</t>
  </si>
  <si>
    <t>Homewood Suites Dallas Downtown</t>
  </si>
  <si>
    <t xml:space="preserve">1025 Elm Street </t>
  </si>
  <si>
    <t>Jelique Ayala</t>
  </si>
  <si>
    <t>Louis Dracoulis</t>
  </si>
  <si>
    <t>+1 (214) 748-4000</t>
  </si>
  <si>
    <t>Homewood Suites Daytona</t>
  </si>
  <si>
    <t xml:space="preserve">165 Bill France Boulevard </t>
  </si>
  <si>
    <t>jim Peterson</t>
  </si>
  <si>
    <t>+1 (386) 258-2828</t>
  </si>
  <si>
    <t>Homewood Suites DC</t>
  </si>
  <si>
    <t xml:space="preserve">1475 Massachusetts Avenue NW </t>
  </si>
  <si>
    <t>Darrell Trice</t>
  </si>
  <si>
    <t>Jason Horni</t>
  </si>
  <si>
    <t>+ (202) 265-8000</t>
  </si>
  <si>
    <t>Homewood Suites Denton</t>
  </si>
  <si>
    <t xml:space="preserve">2907 Shoreline Dr. </t>
  </si>
  <si>
    <t>Emily Wright</t>
  </si>
  <si>
    <t>Jessica Munoz</t>
  </si>
  <si>
    <t>+1 (940) 382-0420</t>
  </si>
  <si>
    <t>Homewood Suites Denver Downtown (Dual Property)</t>
  </si>
  <si>
    <t>+1 (303) 623-5900</t>
  </si>
  <si>
    <t>Homewood Suites Denver International Airport</t>
  </si>
  <si>
    <t xml:space="preserve">4210 Airport Way </t>
  </si>
  <si>
    <t>+1(303)371-4555</t>
  </si>
  <si>
    <t xml:space="preserve">6951 Yampa Street </t>
  </si>
  <si>
    <t>Rick Asimus</t>
  </si>
  <si>
    <t>+()1-303-307-8000</t>
  </si>
  <si>
    <t>Homewood Suites Downtown Chicago</t>
  </si>
  <si>
    <t xml:space="preserve">40 East Grand Avenue </t>
  </si>
  <si>
    <t>Jim Craver</t>
  </si>
  <si>
    <t>+1 (312) 644-2222</t>
  </si>
  <si>
    <t>Homewood Suites East Lansing</t>
  </si>
  <si>
    <t xml:space="preserve">2201 Showtime Drive </t>
  </si>
  <si>
    <t>Brooke Smith</t>
  </si>
  <si>
    <t>Brooke Niska</t>
  </si>
  <si>
    <t>+1 (517) 882-2000</t>
  </si>
  <si>
    <t>Homewood Suites El Paso Airport</t>
  </si>
  <si>
    <t xml:space="preserve">6656 Gateway Boulevard East </t>
  </si>
  <si>
    <t>Melissa Selby</t>
  </si>
  <si>
    <t>+1 (915) 778-9400</t>
  </si>
  <si>
    <t>Homewood Suites Fairfield Napa Valley</t>
  </si>
  <si>
    <t xml:space="preserve">4755 Business Center Drive </t>
  </si>
  <si>
    <t>John Lauritsen</t>
  </si>
  <si>
    <t>+1 (707) 863-0300</t>
  </si>
  <si>
    <t>Homewood Suites Fort Collins</t>
  </si>
  <si>
    <t xml:space="preserve">1521 Oakridge Dr. </t>
  </si>
  <si>
    <t>Ft. Collins</t>
  </si>
  <si>
    <t>Christine Stephens</t>
  </si>
  <si>
    <t>+1 (970) 225-2400</t>
  </si>
  <si>
    <t>Homewood Suites Frederick</t>
  </si>
  <si>
    <t xml:space="preserve">4950 Westview Drive </t>
  </si>
  <si>
    <t>+1 (301) 663-9600</t>
  </si>
  <si>
    <t>Homewood Suites Greensboro</t>
  </si>
  <si>
    <t xml:space="preserve">6011 Landmark Center Boulevard </t>
  </si>
  <si>
    <t>Groomtown</t>
  </si>
  <si>
    <t>Stacy Centers</t>
  </si>
  <si>
    <t>+1 (336) 560-5312</t>
  </si>
  <si>
    <t xml:space="preserve">201 Centreport Drive </t>
  </si>
  <si>
    <t>Marc Bika</t>
  </si>
  <si>
    <t>+ 1 (336) 393-0088</t>
  </si>
  <si>
    <t>Homewood Suites Houston-Stafford</t>
  </si>
  <si>
    <t xml:space="preserve">4520 Techniplex Drive </t>
  </si>
  <si>
    <t>Vicente Cruz</t>
  </si>
  <si>
    <t>+1 (281) 265-2760</t>
  </si>
  <si>
    <t>Homewood Suites Huntsville-Downtown</t>
  </si>
  <si>
    <t xml:space="preserve">714 Gallatin Street Southwest </t>
  </si>
  <si>
    <t>+1(256) 539-1445</t>
  </si>
  <si>
    <t>Homewood Suites Irving-DFW Airport</t>
  </si>
  <si>
    <t xml:space="preserve">7800 Dulles Drive </t>
  </si>
  <si>
    <t>Brittani Villatoro</t>
  </si>
  <si>
    <t>+1 (972) 929-2202</t>
  </si>
  <si>
    <t>Homewood Suites Kansas City</t>
  </si>
  <si>
    <t xml:space="preserve">7312 North Polo Drive </t>
  </si>
  <si>
    <t>Stacie Anno</t>
  </si>
  <si>
    <t>Thomas Cahill</t>
  </si>
  <si>
    <t>+1 (816) 880-9880</t>
  </si>
  <si>
    <t>Homewood Suites Kansas City Speedway</t>
  </si>
  <si>
    <t xml:space="preserve">10922 Parallel Parkway </t>
  </si>
  <si>
    <t>Kia Everett Peterson</t>
  </si>
  <si>
    <t>+1 (913) 288-9999</t>
  </si>
  <si>
    <t>Homewood Suites Kennesaw</t>
  </si>
  <si>
    <t xml:space="preserve">905 Cobb Place Boulevard </t>
  </si>
  <si>
    <t>+1 (678) 354-2800</t>
  </si>
  <si>
    <t>Homewood Suites Lafayette</t>
  </si>
  <si>
    <t xml:space="preserve">201 Kaliste Saloom Road </t>
  </si>
  <si>
    <t>Whitney Rodriguez</t>
  </si>
  <si>
    <t>+1 (337) 264-6044</t>
  </si>
  <si>
    <t>Homewood Suites Lake Buena Vista Orlando</t>
  </si>
  <si>
    <t xml:space="preserve">11428 Marbella Palm Court </t>
  </si>
  <si>
    <t>+()1-407-239-4540</t>
  </si>
  <si>
    <t>Homewood Suites Las Vegas City Center</t>
  </si>
  <si>
    <t xml:space="preserve">4625 Dean Martin Drive </t>
  </si>
  <si>
    <t xml:space="preserve"> Angela De La Paz</t>
  </si>
  <si>
    <t>Miguel Vernaza</t>
  </si>
  <si>
    <t>+1 (702) 598-0101</t>
  </si>
  <si>
    <t>Homewood Suites Lewisville</t>
  </si>
  <si>
    <t xml:space="preserve">700 Hebron Parkway </t>
  </si>
  <si>
    <t>Raul Leyva</t>
  </si>
  <si>
    <t>Devin McGowan</t>
  </si>
  <si>
    <t>+1 (972) 315-6123</t>
  </si>
  <si>
    <t>Homewood Suites Liberty Station</t>
  </si>
  <si>
    <t xml:space="preserve">2576 Laning Rd. </t>
  </si>
  <si>
    <t>+1 (619) 222-0500</t>
  </si>
  <si>
    <t>Homewood Suites Little Rock</t>
  </si>
  <si>
    <t xml:space="preserve">400 River Market Avenue </t>
  </si>
  <si>
    <t>Jalinska Deloach</t>
  </si>
  <si>
    <t>Sarah Wright</t>
  </si>
  <si>
    <t>+1 (501)375-4663</t>
  </si>
  <si>
    <t>Homewood Suites Littleton</t>
  </si>
  <si>
    <t xml:space="preserve">7630 Shaffer Parkway </t>
  </si>
  <si>
    <t>+1(720) 981-4763</t>
  </si>
  <si>
    <t>Homewood Suites Livermore</t>
  </si>
  <si>
    <t xml:space="preserve">5400 Wolf House Drive </t>
  </si>
  <si>
    <t>Livermore</t>
  </si>
  <si>
    <t>Dawn Brown</t>
  </si>
  <si>
    <t>Homewood Suites Louisville Downtown</t>
  </si>
  <si>
    <t xml:space="preserve">635 West Market Street </t>
  </si>
  <si>
    <t>John Demling</t>
  </si>
  <si>
    <t>Homewood Suites Lubbock</t>
  </si>
  <si>
    <t xml:space="preserve">5320 West Loop 289 </t>
  </si>
  <si>
    <t>+1 (806) 785-7600</t>
  </si>
  <si>
    <t>Homewood Suites Macon</t>
  </si>
  <si>
    <t xml:space="preserve">1514 Bass Road </t>
  </si>
  <si>
    <t>Home-Towne Suites</t>
  </si>
  <si>
    <t>Cathy Garofalo</t>
  </si>
  <si>
    <t>+1 (478) 477-9776</t>
  </si>
  <si>
    <t>Homewood Suites Mahwah</t>
  </si>
  <si>
    <t xml:space="preserve">375 Corporate Drive </t>
  </si>
  <si>
    <t>David Strauss</t>
  </si>
  <si>
    <t>+1 (201) 760-9994</t>
  </si>
  <si>
    <t>Homewood Suites Manchester</t>
  </si>
  <si>
    <t xml:space="preserve">109 Pavilions Drive </t>
  </si>
  <si>
    <t>Brendan McDermott</t>
  </si>
  <si>
    <t>+1 (860) 644-2244</t>
  </si>
  <si>
    <t>Homewood Suites McAllen</t>
  </si>
  <si>
    <t xml:space="preserve">3801 Expressway 83 </t>
  </si>
  <si>
    <t>Pancho Guerra</t>
  </si>
  <si>
    <t>+1 (956) 630-0500</t>
  </si>
  <si>
    <t>Homewood Suites Metairie</t>
  </si>
  <si>
    <t xml:space="preserve">2730 Severn Avenue </t>
  </si>
  <si>
    <t>David Henson</t>
  </si>
  <si>
    <t>+1 (504) 509-7410</t>
  </si>
  <si>
    <t>Homewood Suites Miami</t>
  </si>
  <si>
    <t xml:space="preserve">1750 Southwest 1st Avenue </t>
  </si>
  <si>
    <t>Charlie Ortigosa</t>
  </si>
  <si>
    <t>+1 (305) 285-7112</t>
  </si>
  <si>
    <t xml:space="preserve">5500 Blue Lagoon Drive </t>
  </si>
  <si>
    <t>Emmanuel Cruz</t>
  </si>
  <si>
    <t>Rogelio Perez</t>
  </si>
  <si>
    <t>+1 (305) 261-3335</t>
  </si>
  <si>
    <t>Homewood Suites Milford</t>
  </si>
  <si>
    <t xml:space="preserve">600 Chamber Drive </t>
  </si>
  <si>
    <t>Mark Simon</t>
  </si>
  <si>
    <t>Stacey Black</t>
  </si>
  <si>
    <t>+1 (513) 248-4663</t>
  </si>
  <si>
    <t>Homewood Suites Minneapolis-Mall of America</t>
  </si>
  <si>
    <t xml:space="preserve">2261 Killebrew Drive </t>
  </si>
  <si>
    <t>Randy Nelson</t>
  </si>
  <si>
    <t>+ (952) 854-0900</t>
  </si>
  <si>
    <t>Homewood Suites Mobile University Area</t>
  </si>
  <si>
    <t xml:space="preserve">530 Providence Park Drive East </t>
  </si>
  <si>
    <t>Matthew McCarver</t>
  </si>
  <si>
    <t>Michelle Davis</t>
  </si>
  <si>
    <t>+1 (251) 634-8664</t>
  </si>
  <si>
    <t>Homewood Suites Montgomery</t>
  </si>
  <si>
    <t xml:space="preserve">1800 Interstate Park Drive </t>
  </si>
  <si>
    <t>Francine Molette</t>
  </si>
  <si>
    <t>+ (334) 272-3010</t>
  </si>
  <si>
    <t>Homewood Suites Mount Laurel</t>
  </si>
  <si>
    <t xml:space="preserve">1422 Nixon Drive </t>
  </si>
  <si>
    <t>Fran Loram</t>
  </si>
  <si>
    <t>Frank Hill</t>
  </si>
  <si>
    <t>+1 (856) 222-9001</t>
  </si>
  <si>
    <t>Homewood Suites Mount Pleasant</t>
  </si>
  <si>
    <t xml:space="preserve">1998 Riviera Drive </t>
  </si>
  <si>
    <t>Greg Creede</t>
  </si>
  <si>
    <t>Jeffrey Prorock</t>
  </si>
  <si>
    <t>+1 (843) 881-6950</t>
  </si>
  <si>
    <t>Homewood Suites Myrtle Beach</t>
  </si>
  <si>
    <t xml:space="preserve">302 Seaboard Street </t>
  </si>
  <si>
    <t>Barry Werthwine</t>
  </si>
  <si>
    <t>+1 (843) 353-4554</t>
  </si>
  <si>
    <t>Homewood Suites Nashville</t>
  </si>
  <si>
    <t xml:space="preserve">706 Church Street </t>
  </si>
  <si>
    <t>Gayle Wilkinson</t>
  </si>
  <si>
    <t>Kevin Clark</t>
  </si>
  <si>
    <t>+1 (615) 742-5550</t>
  </si>
  <si>
    <t>Homewood Suites Nashville-Brentwood</t>
  </si>
  <si>
    <t xml:space="preserve">5107 Peter Taylor Park </t>
  </si>
  <si>
    <t>Kate Nicoli</t>
  </si>
  <si>
    <t>Mark Darden</t>
  </si>
  <si>
    <t>+ (615) 377-3332</t>
  </si>
  <si>
    <t>Homewood Suites New Orleans</t>
  </si>
  <si>
    <t xml:space="preserve">901 Poydras Street </t>
  </si>
  <si>
    <t>Ivan Pla Leyva</t>
  </si>
  <si>
    <t>Rene Zimmer</t>
  </si>
  <si>
    <t>+1 (504) 581-5599</t>
  </si>
  <si>
    <t>Homewood Suites Newark</t>
  </si>
  <si>
    <t xml:space="preserve">39270 Cedar Blvd </t>
  </si>
  <si>
    <t>Nicole Harris</t>
  </si>
  <si>
    <t>+1 (510) 791-7700</t>
  </si>
  <si>
    <t>Homewood Suites Newport News Yorktown</t>
  </si>
  <si>
    <t xml:space="preserve">401 Commonwealth Drive </t>
  </si>
  <si>
    <t>Hirang Patel</t>
  </si>
  <si>
    <t>+1 (757) 251-6644</t>
  </si>
  <si>
    <t>Homewood Suites Northwest San Antonio</t>
  </si>
  <si>
    <t xml:space="preserve">4323 Spectrum One </t>
  </si>
  <si>
    <t>Patricia Conant</t>
  </si>
  <si>
    <t>+(210)696-5400</t>
  </si>
  <si>
    <t>Homewood Suites Odessa</t>
  </si>
  <si>
    <t xml:space="preserve">7221 Tres Hermanas Boulevard </t>
  </si>
  <si>
    <t>Manuel Jimenez</t>
  </si>
  <si>
    <t>+1(432) 695-6905</t>
  </si>
  <si>
    <t>Homewood Suites Omaha-Downtown</t>
  </si>
  <si>
    <t xml:space="preserve">1314 Cuming Street </t>
  </si>
  <si>
    <t>Homewood Suites Orland Park</t>
  </si>
  <si>
    <t xml:space="preserve">16245 South LaGrange Road </t>
  </si>
  <si>
    <t>Laura Daniels</t>
  </si>
  <si>
    <t>Pam Person</t>
  </si>
  <si>
    <t>+1 (708) 364-9411</t>
  </si>
  <si>
    <t>Homewood Suites Orlando Airport at Gateway Village</t>
  </si>
  <si>
    <t xml:space="preserve">5425 Gateway Village Circle </t>
  </si>
  <si>
    <t>Allison Martin</t>
  </si>
  <si>
    <t>Stanley Etienne</t>
  </si>
  <si>
    <t>+(407)857-5791</t>
  </si>
  <si>
    <t>Homewood Suites Orlando Theme Parks</t>
  </si>
  <si>
    <t xml:space="preserve">6940 Westwood Boulevard </t>
  </si>
  <si>
    <t>St. Clair Bass</t>
  </si>
  <si>
    <t>+1 (407) 778-5888</t>
  </si>
  <si>
    <t>Homewood Suites Orlando-International Drive Convention Center</t>
  </si>
  <si>
    <t xml:space="preserve">8745 International Drive </t>
  </si>
  <si>
    <t>Lana Burke</t>
  </si>
  <si>
    <t>Debra Thompson</t>
  </si>
  <si>
    <t>+1 (407) 248-2232</t>
  </si>
  <si>
    <t>Homewood Suites Orlando-Maitland</t>
  </si>
  <si>
    <t xml:space="preserve">290 Southhall Lane </t>
  </si>
  <si>
    <t>Eatonville</t>
  </si>
  <si>
    <t>Sarah Kaminski</t>
  </si>
  <si>
    <t>+ (407) 875-8777</t>
  </si>
  <si>
    <t>Homewood Suites Ottawa Kanata</t>
  </si>
  <si>
    <t xml:space="preserve">900 Great Lakes Avenue </t>
  </si>
  <si>
    <t>K2K 0K9</t>
  </si>
  <si>
    <t>Imran Gulamani</t>
  </si>
  <si>
    <t>Ilhan Kodalak</t>
  </si>
  <si>
    <t>+1 (613) 270-2050</t>
  </si>
  <si>
    <t>Homewood Suites Palm Desert</t>
  </si>
  <si>
    <t xml:space="preserve">36999 Cook Street </t>
  </si>
  <si>
    <t>Maria Banning</t>
  </si>
  <si>
    <t>Rudy Segura</t>
  </si>
  <si>
    <t>+1 (318) 325-5561</t>
  </si>
  <si>
    <t>TMH Hotels Inc.</t>
  </si>
  <si>
    <t>Homewood Suites Palo Alto</t>
  </si>
  <si>
    <t xml:space="preserve">4329 El Camino Real </t>
  </si>
  <si>
    <t>Matt Dolan</t>
  </si>
  <si>
    <t>Stephanie Neher</t>
  </si>
  <si>
    <t>+1 (650)559-8700</t>
  </si>
  <si>
    <t>Homewood Suites Phoenix Avondale</t>
  </si>
  <si>
    <t xml:space="preserve">11450 West Hilton Way </t>
  </si>
  <si>
    <t>Kim Csernay</t>
  </si>
  <si>
    <t>+1 (623) 882-3315</t>
  </si>
  <si>
    <t>Homewood Suites Phoenix Biltmore</t>
  </si>
  <si>
    <t xml:space="preserve">2001 East Highland Avenue </t>
  </si>
  <si>
    <t>Joshua Garcia</t>
  </si>
  <si>
    <t>+1 (602) 508-0937</t>
  </si>
  <si>
    <t>Homewood Suites Pinehurst</t>
  </si>
  <si>
    <t xml:space="preserve">250 Central Park Ave. </t>
  </si>
  <si>
    <t>Pinehurst</t>
  </si>
  <si>
    <t>Luis Rivas</t>
  </si>
  <si>
    <t>+1 (910) 255-0300</t>
  </si>
  <si>
    <t>Homewood Suites Pittsburgh Southpointe</t>
  </si>
  <si>
    <t xml:space="preserve">3000 Horizon Vue Drive </t>
  </si>
  <si>
    <t>+1 (724) 745-4663</t>
  </si>
  <si>
    <t>Homewood Suites Rancho Cordova</t>
  </si>
  <si>
    <t xml:space="preserve">10700 White Rock Road </t>
  </si>
  <si>
    <t>Sheena Smith</t>
  </si>
  <si>
    <t>+1 (916) 589-1332</t>
  </si>
  <si>
    <t>Homewood Suites Rancho Cucamonga</t>
  </si>
  <si>
    <t xml:space="preserve">11433 Mission Vista Drive </t>
  </si>
  <si>
    <t>Jerry Guzman</t>
  </si>
  <si>
    <t>+1 (909) 481-6480</t>
  </si>
  <si>
    <t>Homewood Suites Reno</t>
  </si>
  <si>
    <t xml:space="preserve">5450 Kietzke Ln. </t>
  </si>
  <si>
    <t>Marlon Salazar</t>
  </si>
  <si>
    <t>Tammy Adams</t>
  </si>
  <si>
    <t>+1 (775) 853-7100</t>
  </si>
  <si>
    <t>Homewood Suites Ronkonkoma</t>
  </si>
  <si>
    <t xml:space="preserve">65 union Avenue </t>
  </si>
  <si>
    <t>Lake Ronkonkoma</t>
  </si>
  <si>
    <t>+1 (631) 585-0080</t>
  </si>
  <si>
    <t>Homewood Suites San Antonio</t>
  </si>
  <si>
    <t xml:space="preserve">432 West Market Street </t>
  </si>
  <si>
    <t>Todd Hatch</t>
  </si>
  <si>
    <t>Tom Inman</t>
  </si>
  <si>
    <t>+1 (210) 222-1515</t>
  </si>
  <si>
    <t>Homewood Suites San Antonio Airport</t>
  </si>
  <si>
    <t xml:space="preserve">8531 Broadway Street </t>
  </si>
  <si>
    <t>Tiffany Ross</t>
  </si>
  <si>
    <t>+1 (210) 804-0100</t>
  </si>
  <si>
    <t>Homewood Suites San Bernardino</t>
  </si>
  <si>
    <t xml:space="preserve">885 East Hospitality Lane </t>
  </si>
  <si>
    <t>Stephanie Lopez</t>
  </si>
  <si>
    <t>+1 (909) 799-6500</t>
  </si>
  <si>
    <t>Homewood Suites San Jose</t>
  </si>
  <si>
    <t xml:space="preserve">10 West Trimble Road </t>
  </si>
  <si>
    <t>+1 (408) 428-9900</t>
  </si>
  <si>
    <t>Homewood Suites Schaumburg</t>
  </si>
  <si>
    <t xml:space="preserve">815 East American Lane </t>
  </si>
  <si>
    <t>Angela Golden</t>
  </si>
  <si>
    <t>Christopher Dubar</t>
  </si>
  <si>
    <t>+1 (847) 605-0400</t>
  </si>
  <si>
    <t>Homewood Suites Seattle Downtown</t>
  </si>
  <si>
    <t xml:space="preserve">206 Western Avenue </t>
  </si>
  <si>
    <t>+1 (206) 281-9393</t>
  </si>
  <si>
    <t>Homewood Suites Shreveport</t>
  </si>
  <si>
    <t xml:space="preserve">5485 Financial Plaza </t>
  </si>
  <si>
    <t>Emma Hebert</t>
  </si>
  <si>
    <t>+1 (318) 549-2000</t>
  </si>
  <si>
    <t>Homewood Suites St. Louis Galleria</t>
  </si>
  <si>
    <t xml:space="preserve">8040 Clayton Rd. </t>
  </si>
  <si>
    <t>Robert Swehla</t>
  </si>
  <si>
    <t>+1 (314) 863-7700</t>
  </si>
  <si>
    <t>Homewood Suites St. Louis Riverport - Airport West</t>
  </si>
  <si>
    <t xml:space="preserve">13639 Riverport Drive </t>
  </si>
  <si>
    <t>Maryland Heights</t>
  </si>
  <si>
    <t>Jennifer Lee</t>
  </si>
  <si>
    <t>Matthew McTigue</t>
  </si>
  <si>
    <t>+1 (314) 739-3900</t>
  </si>
  <si>
    <t>Homewood Suites Stratford</t>
  </si>
  <si>
    <t xml:space="preserve">6905 Main Street </t>
  </si>
  <si>
    <t>Stratford</t>
  </si>
  <si>
    <t>Gary Walsh</t>
  </si>
  <si>
    <t>Linda Holmes-Hannan</t>
  </si>
  <si>
    <t>+ (203) 377-3322</t>
  </si>
  <si>
    <t>Homewood Suites Tampa</t>
  </si>
  <si>
    <t xml:space="preserve">10240 Palm River Road </t>
  </si>
  <si>
    <t>+1 (813) 685-7099</t>
  </si>
  <si>
    <t>Homewood Suites Teaneck</t>
  </si>
  <si>
    <t>+1 (201) 883-1777</t>
  </si>
  <si>
    <t>Homewood Suites Tempe</t>
  </si>
  <si>
    <t xml:space="preserve">66 South Rockford Drive </t>
  </si>
  <si>
    <t>Ryan Brailean</t>
  </si>
  <si>
    <t>+1 (480) 966-2780</t>
  </si>
  <si>
    <t>Homewood Suites Toronto Airport Corporate Centre</t>
  </si>
  <si>
    <t xml:space="preserve">5515 Eglinton Avenue West </t>
  </si>
  <si>
    <t>M9C 5K5</t>
  </si>
  <si>
    <t>Ramires Diaz</t>
  </si>
  <si>
    <t>+1 (416) 646-4600</t>
  </si>
  <si>
    <t>Homewood Suites Toronto Vaughan</t>
  </si>
  <si>
    <t xml:space="preserve">618 Applewood Crescent </t>
  </si>
  <si>
    <t>L4K 4B4</t>
  </si>
  <si>
    <t>Bill Forrest</t>
  </si>
  <si>
    <t>+1(905) 760-1660</t>
  </si>
  <si>
    <t>Homewood Suites Tukwila</t>
  </si>
  <si>
    <t xml:space="preserve">6955 Fort Dent Way </t>
  </si>
  <si>
    <t>Miesa Berry</t>
  </si>
  <si>
    <t>+1 (206) 433-8000</t>
  </si>
  <si>
    <t>Homewood Suites Tyler</t>
  </si>
  <si>
    <t xml:space="preserve">3104 Golden Road </t>
  </si>
  <si>
    <t>Trenica Session</t>
  </si>
  <si>
    <t>+1 (903) 593-7880</t>
  </si>
  <si>
    <t>Homewood Suites University City</t>
  </si>
  <si>
    <t xml:space="preserve">4109 Walnut Street </t>
  </si>
  <si>
    <t>Jeff Cafferty</t>
  </si>
  <si>
    <t>Daniel Harrison</t>
  </si>
  <si>
    <t>+ (215) 382-1111</t>
  </si>
  <si>
    <t>Homewood Suites Victoria</t>
  </si>
  <si>
    <t xml:space="preserve">6705 North East Zac Lentz Parkway </t>
  </si>
  <si>
    <t>Victoria</t>
  </si>
  <si>
    <t>Lori Hayden</t>
  </si>
  <si>
    <t>+(361)578-1900</t>
  </si>
  <si>
    <t>Homewood Suites Vine Street</t>
  </si>
  <si>
    <t>Ted Vondenbenken</t>
  </si>
  <si>
    <t>+1 (704) 717-5005</t>
  </si>
  <si>
    <t>Homewood Suites Virginia Beach Norfolk Airport</t>
  </si>
  <si>
    <t xml:space="preserve">5733 Cleveland Street </t>
  </si>
  <si>
    <t>Sam Peraza</t>
  </si>
  <si>
    <t>+()1-757-552-0080</t>
  </si>
  <si>
    <t>Homewood Suites Washington DC Capitol - Navy Yard</t>
  </si>
  <si>
    <t xml:space="preserve">50 M Street Southeast </t>
  </si>
  <si>
    <t>Nick Kelley</t>
  </si>
  <si>
    <t>+1 (202) 899-2800</t>
  </si>
  <si>
    <t>Homewood Suites Yuma</t>
  </si>
  <si>
    <t xml:space="preserve">1955 East 16th Street </t>
  </si>
  <si>
    <t>Wayne Rooks</t>
  </si>
  <si>
    <t>+1 (928) 782-4100</t>
  </si>
  <si>
    <t>Homewood Suitesby Hilton Knoxville West at Turkey Creek</t>
  </si>
  <si>
    <t xml:space="preserve">10935 Turkey Drive </t>
  </si>
  <si>
    <t>David McNeil</t>
  </si>
  <si>
    <t>Corey Bodnar</t>
  </si>
  <si>
    <t>+ () 865/777-0375</t>
  </si>
  <si>
    <t xml:space="preserve">Horseshoe Bay Resort </t>
  </si>
  <si>
    <t>200 High Circle North PO Box 4449</t>
  </si>
  <si>
    <t>Horseshoe Bay</t>
  </si>
  <si>
    <t>Bryan Woodward</t>
  </si>
  <si>
    <t>Kimberly Gonzales</t>
  </si>
  <si>
    <t>+1 (830) 598-6313</t>
  </si>
  <si>
    <t>Host Inn All Suites Wilkes-Barre</t>
  </si>
  <si>
    <t xml:space="preserve">860 Kidder Street </t>
  </si>
  <si>
    <t>Craig Fenoff</t>
  </si>
  <si>
    <t>+1 (570) 270-4678</t>
  </si>
  <si>
    <t>Hostmark Hospitality Group - HQ</t>
  </si>
  <si>
    <t xml:space="preserve">1300 E. Woodfield Road Suite 400 </t>
  </si>
  <si>
    <t>Ann Nassiri</t>
  </si>
  <si>
    <t>+1 (847) 517-9090</t>
  </si>
  <si>
    <t>Hostmark Hospitality Group LLC San Diego</t>
  </si>
  <si>
    <t xml:space="preserve">2251 San Diego Avenue #B204 </t>
  </si>
  <si>
    <t>Vikram Sood</t>
  </si>
  <si>
    <t>+1 (858) 239-1500</t>
  </si>
  <si>
    <t>Hotel 1620 at Plymouth 11</t>
  </si>
  <si>
    <t xml:space="preserve">180 Water Street </t>
  </si>
  <si>
    <t>Sheryl Barrett</t>
  </si>
  <si>
    <t xml:space="preserve">Allyson Cashin </t>
  </si>
  <si>
    <t>+1(508) 747-4900</t>
  </si>
  <si>
    <t>Hotel 24 South</t>
  </si>
  <si>
    <t xml:space="preserve">24 S. Market Street </t>
  </si>
  <si>
    <t>Damon Strickland</t>
  </si>
  <si>
    <t>+1 (540) 885-4848</t>
  </si>
  <si>
    <t>Hotel 48 Lex New York</t>
  </si>
  <si>
    <t xml:space="preserve">517 Lexington Avenue </t>
  </si>
  <si>
    <t>Carolina Rios</t>
  </si>
  <si>
    <t>Melvin Valerio</t>
  </si>
  <si>
    <t>+1(212) 888-3500</t>
  </si>
  <si>
    <t>Hotel Abrego</t>
  </si>
  <si>
    <t xml:space="preserve">755 Abrego Street </t>
  </si>
  <si>
    <t>Fady Hanna</t>
  </si>
  <si>
    <t>Karel Fernandez</t>
  </si>
  <si>
    <t>+1 (831) 372-7551</t>
  </si>
  <si>
    <t>Hotel Abri</t>
  </si>
  <si>
    <t xml:space="preserve">127 Ellis Street </t>
  </si>
  <si>
    <t>Gail Isono</t>
  </si>
  <si>
    <t>+1 (415) 392-8800</t>
  </si>
  <si>
    <t>Hotel Aiken</t>
  </si>
  <si>
    <t xml:space="preserve">235 Richland Avenue West </t>
  </si>
  <si>
    <t>+(803) 648-4265</t>
  </si>
  <si>
    <t>Hotel Amarano</t>
  </si>
  <si>
    <t xml:space="preserve">322 Pass Avenue </t>
  </si>
  <si>
    <t>Burbank</t>
  </si>
  <si>
    <t>+1 (818) 842-8887</t>
  </si>
  <si>
    <t>Ascot Hotel L.P. dba Hotel Angeleno</t>
  </si>
  <si>
    <t>Hotel Angeleno Los Angeles</t>
  </si>
  <si>
    <t xml:space="preserve">170 North Church Lane </t>
  </si>
  <si>
    <t>Shawn Highland</t>
  </si>
  <si>
    <t>+1 (310) 476.6411</t>
  </si>
  <si>
    <t>Hotel Anthracite</t>
  </si>
  <si>
    <t xml:space="preserve">25 South Main Street </t>
  </si>
  <si>
    <t>Chad Coble</t>
  </si>
  <si>
    <t>+1 (570) 536-6020</t>
  </si>
  <si>
    <t>Hotel Audry</t>
  </si>
  <si>
    <t xml:space="preserve">166 East Superior Street </t>
  </si>
  <si>
    <t>Penny Ingram</t>
  </si>
  <si>
    <t>+1 (312) 787-6000</t>
  </si>
  <si>
    <t>Diamond Hospitality LLC</t>
  </si>
  <si>
    <t>Hotel Aura</t>
  </si>
  <si>
    <t xml:space="preserve">190 El Camino Real </t>
  </si>
  <si>
    <t>Prativ Patel</t>
  </si>
  <si>
    <t>+1 (650) 588-0800</t>
  </si>
  <si>
    <t>Hotel Avante</t>
  </si>
  <si>
    <t xml:space="preserve">860 East El Camino Real </t>
  </si>
  <si>
    <t>Sean Hadley</t>
  </si>
  <si>
    <t>+1 (650) 940-1000</t>
  </si>
  <si>
    <t>La Punta Resorts SA de CV</t>
  </si>
  <si>
    <t>Hotel Banyan Tree Cabo Marques</t>
  </si>
  <si>
    <t>Cerrada S/N Lote 1 Colonia Punta Diamante</t>
  </si>
  <si>
    <t>Acapulco</t>
  </si>
  <si>
    <t>Jose Portocarrero</t>
  </si>
  <si>
    <t>+ (52) 7444340100</t>
  </si>
  <si>
    <t>Hotel Blue</t>
  </si>
  <si>
    <t xml:space="preserve">705 South Ocean Blvd </t>
  </si>
  <si>
    <t>+1 (843) 448-4304</t>
  </si>
  <si>
    <t>Hotel Boston</t>
  </si>
  <si>
    <t xml:space="preserve">40 Mt. Hood Road </t>
  </si>
  <si>
    <t>Ken Hartnett</t>
  </si>
  <si>
    <t>+1 (617) 566-6260</t>
  </si>
  <si>
    <t>Hotel Carmichael Autograph Collection</t>
  </si>
  <si>
    <t xml:space="preserve">1 Carmichael Square </t>
  </si>
  <si>
    <t>Jamie Hopwood</t>
  </si>
  <si>
    <t>Kelley Nichols</t>
  </si>
  <si>
    <t>+()317-688-1700</t>
  </si>
  <si>
    <t>Hotel Chauncey Tapestry Collection by Hilton</t>
  </si>
  <si>
    <t xml:space="preserve">404 East College Street </t>
  </si>
  <si>
    <t>+(319) 519-6601</t>
  </si>
  <si>
    <t>Hotel Chicago Downtown Autograph Collection</t>
  </si>
  <si>
    <t xml:space="preserve">333 North Dearborn Street </t>
  </si>
  <si>
    <t>Kate Higgins</t>
  </si>
  <si>
    <t>+1 (312) 245-0333</t>
  </si>
  <si>
    <t>Hotel Chicago Illinois Medical District</t>
  </si>
  <si>
    <t xml:space="preserve">1622 West Jackson Boulevard </t>
  </si>
  <si>
    <t>Andrew Hilliker</t>
  </si>
  <si>
    <t>+1 (312) 243-2900</t>
  </si>
  <si>
    <t>Hotel Clermont</t>
  </si>
  <si>
    <t xml:space="preserve">789 Ponce De Leon Avenue Northeast </t>
  </si>
  <si>
    <t>Grace Renshaw</t>
  </si>
  <si>
    <t>+1(470)485-0485</t>
  </si>
  <si>
    <t>Hotel Commonwealth</t>
  </si>
  <si>
    <t xml:space="preserve">500 Commonwealth Avenue </t>
  </si>
  <si>
    <t>Adam Sperling</t>
  </si>
  <si>
    <t>Lucas Mulkern</t>
  </si>
  <si>
    <t>+(617)532-5009</t>
  </si>
  <si>
    <t>Hotel Contessa</t>
  </si>
  <si>
    <t xml:space="preserve">306 West Market Street </t>
  </si>
  <si>
    <t>David Bodette</t>
  </si>
  <si>
    <t>+1 (210) 229-9222</t>
  </si>
  <si>
    <t>Vr Hospitality LLC</t>
  </si>
  <si>
    <t>Hotel Covington</t>
  </si>
  <si>
    <t xml:space="preserve">638 Madison Avenue </t>
  </si>
  <si>
    <t>Justin Ham</t>
  </si>
  <si>
    <t>Aaron Allen</t>
  </si>
  <si>
    <t>+1 (859) 905-6600</t>
  </si>
  <si>
    <t>Hotel De Anza</t>
  </si>
  <si>
    <t xml:space="preserve">233 West Santa Clara Street </t>
  </si>
  <si>
    <t>+1 (408) 286-0500</t>
  </si>
  <si>
    <t>Hotel Decameron Los Cocos</t>
  </si>
  <si>
    <t xml:space="preserve">Av Retorno Las Palmas 44100 </t>
  </si>
  <si>
    <t>Rincon De Guayabitos</t>
  </si>
  <si>
    <t>Hotel Dene &amp; Conference Center</t>
  </si>
  <si>
    <t xml:space="preserve">Route 28 &amp; Highway 897 PO Box 1769 </t>
  </si>
  <si>
    <t>Cold Lake</t>
  </si>
  <si>
    <t>T9M 1P4</t>
  </si>
  <si>
    <t>Colin Brown</t>
  </si>
  <si>
    <t>+1 (780) 278-7709</t>
  </si>
  <si>
    <t>Hotel Distil an Autograph Collection</t>
  </si>
  <si>
    <t xml:space="preserve">101 West Main Street </t>
  </si>
  <si>
    <t>Craig Pearson</t>
  </si>
  <si>
    <t>Joshua Carter</t>
  </si>
  <si>
    <t>+1(502)785-0185</t>
  </si>
  <si>
    <t>Hotel Don Fernando de Taos Tapestry Collection by Hilton</t>
  </si>
  <si>
    <t xml:space="preserve">1005 Paseo Del Pueblo Sur </t>
  </si>
  <si>
    <t>Jennifer Matsuzaki</t>
  </si>
  <si>
    <t>+1 (575) 751-4444</t>
  </si>
  <si>
    <t>Hotel Drisco</t>
  </si>
  <si>
    <t xml:space="preserve">2901 Pacific Avenue </t>
  </si>
  <si>
    <t>Catherine Grandi</t>
  </si>
  <si>
    <t>John Spear</t>
  </si>
  <si>
    <t>+1 (415) 346.2880</t>
  </si>
  <si>
    <t>Hotel Duval</t>
  </si>
  <si>
    <t xml:space="preserve">415 North Monroe Street </t>
  </si>
  <si>
    <t>Brian Healy</t>
  </si>
  <si>
    <t>+1 (850) 224-6000</t>
  </si>
  <si>
    <t>IHA Hotel Management Company LLC (Greystone)</t>
  </si>
  <si>
    <t>Hotel E Santa Rosa</t>
  </si>
  <si>
    <t xml:space="preserve">37 Old Courthouse Square </t>
  </si>
  <si>
    <t>Tony Pace</t>
  </si>
  <si>
    <t>+1 (707)481-3750</t>
  </si>
  <si>
    <t>Hotel Eldorado</t>
  </si>
  <si>
    <t xml:space="preserve">500 Cook Road </t>
  </si>
  <si>
    <t>V1W 3G9</t>
  </si>
  <si>
    <t>Mark Jeanes</t>
  </si>
  <si>
    <t>+1 (250) 763-7500</t>
  </si>
  <si>
    <t>Hotel Eleo at University of Florida</t>
  </si>
  <si>
    <t xml:space="preserve">1514 SW 14th Street </t>
  </si>
  <si>
    <t>Ray Logan</t>
  </si>
  <si>
    <t>Rich Richardson</t>
  </si>
  <si>
    <t>+1 (352) 565-3536</t>
  </si>
  <si>
    <t>Hotel Emeline</t>
  </si>
  <si>
    <t xml:space="preserve">181 Church Street </t>
  </si>
  <si>
    <t>Brad Harvey</t>
  </si>
  <si>
    <t>Thomas Dippold</t>
  </si>
  <si>
    <t>+1 (843) 577-2644</t>
  </si>
  <si>
    <t>Hotel Fort Des Moines Curio Collection by Hilton</t>
  </si>
  <si>
    <t>Abid Talic</t>
  </si>
  <si>
    <t>+1(515)528-7733</t>
  </si>
  <si>
    <t>FWH Venture LLC</t>
  </si>
  <si>
    <t>Hotel Fort Wayne</t>
  </si>
  <si>
    <t xml:space="preserve">305 East Washington Center Road </t>
  </si>
  <si>
    <t>Arnel Cordic</t>
  </si>
  <si>
    <t>Terry Stapler</t>
  </si>
  <si>
    <t>+ (260) 484-0411</t>
  </si>
  <si>
    <t>Hotel Fusion</t>
  </si>
  <si>
    <t xml:space="preserve">140 Ellis Street </t>
  </si>
  <si>
    <t>Steven McCauslin</t>
  </si>
  <si>
    <t>+1 (415) 568-2525</t>
  </si>
  <si>
    <t>Hotel Halifax</t>
  </si>
  <si>
    <t xml:space="preserve">1990 Barrington Street </t>
  </si>
  <si>
    <t>B3J 1P2</t>
  </si>
  <si>
    <t>Sean Doucet</t>
  </si>
  <si>
    <t>Carey Power</t>
  </si>
  <si>
    <t>+1 (902) 425-6700</t>
  </si>
  <si>
    <t>Hotel Haya</t>
  </si>
  <si>
    <t xml:space="preserve">1412 East 7th Street </t>
  </si>
  <si>
    <t>Pablo Molinari</t>
  </si>
  <si>
    <t>+1 (310) 795-7103</t>
  </si>
  <si>
    <t>Hotel Highland Downtown - UAB - Hotel Indigo</t>
  </si>
  <si>
    <t xml:space="preserve">1023 20th Street South </t>
  </si>
  <si>
    <t>Rita Mattox</t>
  </si>
  <si>
    <t>+1 (205) 933-9555</t>
  </si>
  <si>
    <t>Potomac Hospitality Services Inc. dba Modus Hotels Mgmt</t>
  </si>
  <si>
    <t>Hotel Hive</t>
  </si>
  <si>
    <t xml:space="preserve">2224 F Street NW </t>
  </si>
  <si>
    <t>Ian Crines</t>
  </si>
  <si>
    <t>+1 (202) 849-8499</t>
  </si>
  <si>
    <t>Hotel ICON Autograph Collection</t>
  </si>
  <si>
    <t xml:space="preserve">220 Main Street </t>
  </si>
  <si>
    <t>John Sevilla</t>
  </si>
  <si>
    <t>Fred Arceneaux</t>
  </si>
  <si>
    <t>+1 (713) 224-4266</t>
  </si>
  <si>
    <t>Hotel Indigo Atlanta Midtown</t>
  </si>
  <si>
    <t xml:space="preserve">683 Peachtree Street Northeast </t>
  </si>
  <si>
    <t>Gabriele Webster</t>
  </si>
  <si>
    <t>+1 (404) 874-9200</t>
  </si>
  <si>
    <t>Hotel Indigo Atlanta Vinings</t>
  </si>
  <si>
    <t xml:space="preserve">2857 Paces Ferry Road Southeast </t>
  </si>
  <si>
    <t>+1 (770) 432-5555</t>
  </si>
  <si>
    <t>Hotel Indigo Austin Downtown - University</t>
  </si>
  <si>
    <t xml:space="preserve">810 RedRiver Street </t>
  </si>
  <si>
    <t>+1 (512) 481-1000</t>
  </si>
  <si>
    <t>Hotel Indigo Baltimore - Mt. Vernon</t>
  </si>
  <si>
    <t xml:space="preserve">24 West Franklin Street </t>
  </si>
  <si>
    <t>Jason Curtis</t>
  </si>
  <si>
    <t>+1 (410) 625-6200</t>
  </si>
  <si>
    <t>Hotel Indigo Boston Garden</t>
  </si>
  <si>
    <t xml:space="preserve">280 Friend Street </t>
  </si>
  <si>
    <t>Brittany Glover</t>
  </si>
  <si>
    <t>Patrick Strong</t>
  </si>
  <si>
    <t>+1 (617) 720-5544</t>
  </si>
  <si>
    <t>Hotel Indigo Celebration Pointe</t>
  </si>
  <si>
    <t xml:space="preserve">5020 Southwest 30th Lane </t>
  </si>
  <si>
    <t>Allyson Hoyer</t>
  </si>
  <si>
    <t>Jose Torres</t>
  </si>
  <si>
    <t>Hotel Indigo Chicago - Vernon Hills</t>
  </si>
  <si>
    <t xml:space="preserve">450 North Milwaukee Avenue </t>
  </si>
  <si>
    <t>Vernon Hills</t>
  </si>
  <si>
    <t>Lori Hanser</t>
  </si>
  <si>
    <t>+1 (847) 918-1400</t>
  </si>
  <si>
    <t>Hotel Indigo Cleveland Downtown</t>
  </si>
  <si>
    <t xml:space="preserve">651 Huron Road </t>
  </si>
  <si>
    <t>Eric Conrad</t>
  </si>
  <si>
    <t>+1 (216) 377-9000</t>
  </si>
  <si>
    <t>Hotel Indigo Collegetown</t>
  </si>
  <si>
    <t xml:space="preserve">826 West Gaines Street </t>
  </si>
  <si>
    <t>Mark Xenophon</t>
  </si>
  <si>
    <t>Jeremy McCauley</t>
  </si>
  <si>
    <t>+1(850) 210-0008</t>
  </si>
  <si>
    <t>Hotel Indigo Denver Downtown</t>
  </si>
  <si>
    <t xml:space="preserve">1801 Wewatta Street </t>
  </si>
  <si>
    <t>Kayla Kornrumpf</t>
  </si>
  <si>
    <t>Scott Gladney</t>
  </si>
  <si>
    <t>+1 (303) 623-4422</t>
  </si>
  <si>
    <t>Hotel Indigo Ft. Myers Downtown River District</t>
  </si>
  <si>
    <t>1520 Broadway Suite 104</t>
  </si>
  <si>
    <t>Daryl Rixman</t>
  </si>
  <si>
    <t>+1 (239) 337-3446</t>
  </si>
  <si>
    <t>Hotel Indigo Jacksonville-Deerwood Park</t>
  </si>
  <si>
    <t xml:space="preserve">9840 Tapestry Park Circle </t>
  </si>
  <si>
    <t>Hana Hybska</t>
  </si>
  <si>
    <t>+1 (352) 873-2419</t>
  </si>
  <si>
    <t>Hotel Indigo San Diego Del Mar</t>
  </si>
  <si>
    <t xml:space="preserve">710 Camino Del Mar </t>
  </si>
  <si>
    <t>Arnon Clark</t>
  </si>
  <si>
    <t>Larry O'Neil</t>
  </si>
  <si>
    <t>+ (858) 755-1501</t>
  </si>
  <si>
    <t>Hotel Indigo St. Louis Downtown</t>
  </si>
  <si>
    <t xml:space="preserve">501 Olive Street </t>
  </si>
  <si>
    <t>Saab Tem</t>
  </si>
  <si>
    <t>+1 (314) 732-4334</t>
  </si>
  <si>
    <t>Hotel Indigo Tulsa</t>
  </si>
  <si>
    <t xml:space="preserve">121 South Elgin Avenue </t>
  </si>
  <si>
    <t>Travis Taylor</t>
  </si>
  <si>
    <t>+1 (918) 779-4445</t>
  </si>
  <si>
    <t>Hotel Indigo Tuscaloosa</t>
  </si>
  <si>
    <t xml:space="preserve">111 Greensboro Avenue </t>
  </si>
  <si>
    <t>Greg Hopton-Jones</t>
  </si>
  <si>
    <t>+1 (205) 469-1660</t>
  </si>
  <si>
    <t>Hotel Indigo Waterfront Place</t>
  </si>
  <si>
    <t xml:space="preserve">1028 - 13th Street </t>
  </si>
  <si>
    <t xml:space="preserve">Mary Violet Walton </t>
  </si>
  <si>
    <t>+1 (425) 217-2772</t>
  </si>
  <si>
    <t>Hotel Indigo Williamsburg-Brooklyn</t>
  </si>
  <si>
    <t xml:space="preserve">500 Metropolitan Avenue </t>
  </si>
  <si>
    <t>Annabelle Richalet</t>
  </si>
  <si>
    <t>Avinash Navrain</t>
  </si>
  <si>
    <t>+1 (404) 846-0700</t>
  </si>
  <si>
    <t>Hotel Interurban</t>
  </si>
  <si>
    <t xml:space="preserve">223 Andover Park East </t>
  </si>
  <si>
    <t>+1 (877) 768-8668</t>
  </si>
  <si>
    <t>Hotel Irvine Jamboree Center</t>
  </si>
  <si>
    <t xml:space="preserve">17900 Jamboree Road </t>
  </si>
  <si>
    <t>Sonja Prox-Deyl</t>
  </si>
  <si>
    <t>Jeroen Quint</t>
  </si>
  <si>
    <t>+()(877-614-2137</t>
  </si>
  <si>
    <t>Hotel Ivy a Luxury Collection Hotel Minneapolis</t>
  </si>
  <si>
    <t xml:space="preserve">201 South Eleventh Street </t>
  </si>
  <si>
    <t>+1 (612) 746-4600</t>
  </si>
  <si>
    <t>Hotel Jerome</t>
  </si>
  <si>
    <t xml:space="preserve">330 East Main Street </t>
  </si>
  <si>
    <t>Patrick Davila</t>
  </si>
  <si>
    <t>Debi Baker</t>
  </si>
  <si>
    <t>+1 (855) 331-7213</t>
  </si>
  <si>
    <t>Hotel Julian</t>
  </si>
  <si>
    <t xml:space="preserve">168 North Michigan Avenue </t>
  </si>
  <si>
    <t>Loop Station</t>
  </si>
  <si>
    <t>Larry irving</t>
  </si>
  <si>
    <t>Luda Chervona</t>
  </si>
  <si>
    <t>+1 (312) 346-1200</t>
  </si>
  <si>
    <t>Hotel Kabuki San Francisco</t>
  </si>
  <si>
    <t xml:space="preserve">1625 Post Street </t>
  </si>
  <si>
    <t>Alex Prouty</t>
  </si>
  <si>
    <t>+1 (415) 922-3200</t>
  </si>
  <si>
    <t>Hotel Kansas City the Unbound Collection</t>
  </si>
  <si>
    <t xml:space="preserve">1228 Baltimore Avenue </t>
  </si>
  <si>
    <t>Ryan Baldwin</t>
  </si>
  <si>
    <t>Tyler Gulledge</t>
  </si>
  <si>
    <t>+()816-685-1228</t>
  </si>
  <si>
    <t>Hotel Keen</t>
  </si>
  <si>
    <t xml:space="preserve">425 High Street </t>
  </si>
  <si>
    <t>Marlon Smith</t>
  </si>
  <si>
    <t>+1 (650) 327-2775</t>
  </si>
  <si>
    <t>Hotel Landing</t>
  </si>
  <si>
    <t xml:space="preserve">925 Lake Street </t>
  </si>
  <si>
    <t>Wayzata</t>
  </si>
  <si>
    <t>Laura Garcia</t>
  </si>
  <si>
    <t>+1(952) 777-7900</t>
  </si>
  <si>
    <t>Hotel LeVeque Autograph Collection (CLQ)</t>
  </si>
  <si>
    <t>Geri Lombard</t>
  </si>
  <si>
    <t>Ashley Dean</t>
  </si>
  <si>
    <t>+1 (614) 324-3270</t>
  </si>
  <si>
    <t>Hotel Lucent</t>
  </si>
  <si>
    <t xml:space="preserve">727 El Camino </t>
  </si>
  <si>
    <t>+1(650) 521-0024</t>
  </si>
  <si>
    <t>Hotel Lulu Anaheim Resort BW Premier Collection</t>
  </si>
  <si>
    <t xml:space="preserve">1850 South Harbor Boulevard </t>
  </si>
  <si>
    <t>Michael Cox</t>
  </si>
  <si>
    <t>+ (657) 688-5858</t>
  </si>
  <si>
    <t>Hotel Madeline Telluride</t>
  </si>
  <si>
    <t xml:space="preserve">568 Mountain Village Boulevard </t>
  </si>
  <si>
    <t>Telluride</t>
  </si>
  <si>
    <t>Bryan Woody</t>
  </si>
  <si>
    <t>+1 (970) 369-0880</t>
  </si>
  <si>
    <t>Hotel Madera</t>
  </si>
  <si>
    <t xml:space="preserve">1310 New Hampshire Avenue NW </t>
  </si>
  <si>
    <t>+1 (202) 296-7600</t>
  </si>
  <si>
    <t>Hotel Maverick</t>
  </si>
  <si>
    <t xml:space="preserve">840 Kennedy Avenue </t>
  </si>
  <si>
    <t>Tammy Anderson</t>
  </si>
  <si>
    <t>+1 (970) 822-4888</t>
  </si>
  <si>
    <t>Hotel Maya - a DoubleTree by Hilton</t>
  </si>
  <si>
    <t xml:space="preserve">700 Queensway Drive </t>
  </si>
  <si>
    <t>Greg Gutherie</t>
  </si>
  <si>
    <t>+1 (562) 435-7676</t>
  </si>
  <si>
    <t>Hotel Midtown</t>
  </si>
  <si>
    <t xml:space="preserve">188 14th St NE </t>
  </si>
  <si>
    <t>Fabrizio Calvo</t>
  </si>
  <si>
    <t>Brian Barden</t>
  </si>
  <si>
    <t>+1(404)892-6000</t>
  </si>
  <si>
    <t>Hotel Milo</t>
  </si>
  <si>
    <t xml:space="preserve">202 West Cabrillo Boulevard </t>
  </si>
  <si>
    <t>Robert Glock</t>
  </si>
  <si>
    <t xml:space="preserve">+1 (805) 965-4577 </t>
  </si>
  <si>
    <t>Hotel Nexus BW Signature Collection</t>
  </si>
  <si>
    <t xml:space="preserve">2140 N. Northgate Way </t>
  </si>
  <si>
    <t>Bitter Lake</t>
  </si>
  <si>
    <t>Peter Smiley</t>
  </si>
  <si>
    <t>+1(206)365-0700</t>
  </si>
  <si>
    <t>Jolly Hotels U.S.A. Inc.</t>
  </si>
  <si>
    <t>Hotel NH Collection New York Madison Avenue</t>
  </si>
  <si>
    <t xml:space="preserve">22 East 38th Street </t>
  </si>
  <si>
    <t>Ruth Abellan</t>
  </si>
  <si>
    <t>+1 (212) 802-0600</t>
  </si>
  <si>
    <t>Hotel Northland Autograph Collection</t>
  </si>
  <si>
    <t xml:space="preserve">304 North Adams Street </t>
  </si>
  <si>
    <t>Kenny Didier</t>
  </si>
  <si>
    <t>+1 (405) 651-7744</t>
  </si>
  <si>
    <t>Hotel Otis Autograph Collection (Dual Property)</t>
  </si>
  <si>
    <t>Thomas Hoffman</t>
  </si>
  <si>
    <t>+1(512)473-8900</t>
  </si>
  <si>
    <t xml:space="preserve">Hotel Pacific </t>
  </si>
  <si>
    <t xml:space="preserve">300 Pacific Street </t>
  </si>
  <si>
    <t>+1 (831) 373-5700</t>
  </si>
  <si>
    <t>Hotel Paradox Autograph Collection</t>
  </si>
  <si>
    <t xml:space="preserve">611 Ocean Street </t>
  </si>
  <si>
    <t>Grant D'Entremont</t>
  </si>
  <si>
    <t>Melissa Begin</t>
  </si>
  <si>
    <t>+1 (831) 425-7100</t>
  </si>
  <si>
    <t>Hotel Paso Del Norte Autograph Collection</t>
  </si>
  <si>
    <t xml:space="preserve">10 Henry Trost Court </t>
  </si>
  <si>
    <t>Carlos Sarmiento</t>
  </si>
  <si>
    <t>+()915-534-3000</t>
  </si>
  <si>
    <t>Hotel Providence</t>
  </si>
  <si>
    <t xml:space="preserve">139 Mathewson Street </t>
  </si>
  <si>
    <t>Thomas Anderson</t>
  </si>
  <si>
    <t>Dennis Sullivan</t>
  </si>
  <si>
    <t>+1 (401) 861-8000</t>
  </si>
  <si>
    <t>Hotel Pur Quebec</t>
  </si>
  <si>
    <t xml:space="preserve">395 Rue de la Couronne </t>
  </si>
  <si>
    <t>G1K 7X4</t>
  </si>
  <si>
    <t>Susan Wilkinson</t>
  </si>
  <si>
    <t>+1 (418) 647 1444</t>
  </si>
  <si>
    <t>DICAS SA de CV</t>
  </si>
  <si>
    <t>Hotel Reef Yucatan</t>
  </si>
  <si>
    <t xml:space="preserve">Km.32 Carretera Telchac Puerto </t>
  </si>
  <si>
    <t>Telchac Puerto</t>
  </si>
  <si>
    <t>Cecilio González</t>
  </si>
  <si>
    <t>+52 (55) 9919175000</t>
  </si>
  <si>
    <t>Hotel Republic San Diego Autograph Collection</t>
  </si>
  <si>
    <t xml:space="preserve">421 B Street </t>
  </si>
  <si>
    <t>Malia Empron</t>
  </si>
  <si>
    <t>Percy Oani</t>
  </si>
  <si>
    <t>+1 (619) 398-3100</t>
  </si>
  <si>
    <t>Hotel Revival Baltimore</t>
  </si>
  <si>
    <t xml:space="preserve">101 West Monument Street </t>
  </si>
  <si>
    <t>Donte Johnson</t>
  </si>
  <si>
    <t>+1 (410) 727-7101</t>
  </si>
  <si>
    <t>Hotel Shattuck Plaza</t>
  </si>
  <si>
    <t xml:space="preserve">2086 Allston Way </t>
  </si>
  <si>
    <t>Dell Dellinger</t>
  </si>
  <si>
    <t>+1 (510) 845-7300</t>
  </si>
  <si>
    <t>Hotel Solamar</t>
  </si>
  <si>
    <t xml:space="preserve">435 6th Avenue </t>
  </si>
  <si>
    <t>Kyle Larson</t>
  </si>
  <si>
    <t>+1 (619) 819-9500</t>
  </si>
  <si>
    <t>Hotel Spero</t>
  </si>
  <si>
    <t xml:space="preserve">405 Taylor Street </t>
  </si>
  <si>
    <t>Benjamin Malmquist</t>
  </si>
  <si>
    <t>Jasmine Enriquez</t>
  </si>
  <si>
    <t>+1 (415) 885-2500</t>
  </si>
  <si>
    <t>Hotel St. Augustine</t>
  </si>
  <si>
    <t xml:space="preserve">347 Washington Avenue </t>
  </si>
  <si>
    <t>Ethan Silva</t>
  </si>
  <si>
    <t>+1 (305) 532-0570</t>
  </si>
  <si>
    <t>Hotel Tybee</t>
  </si>
  <si>
    <t xml:space="preserve">1401 Strand Avenue </t>
  </si>
  <si>
    <t>Tybee Island</t>
  </si>
  <si>
    <t>Brett Loehr</t>
  </si>
  <si>
    <t>+1 (912) 786-7777</t>
  </si>
  <si>
    <t>Hotel Vertigo</t>
  </si>
  <si>
    <t xml:space="preserve">940 Sutter Street </t>
  </si>
  <si>
    <t>Jaime Gonzalez</t>
  </si>
  <si>
    <t>+1 (415) 885-6800</t>
  </si>
  <si>
    <t>Hotel Viking</t>
  </si>
  <si>
    <t xml:space="preserve">1 Bellevue Avenue </t>
  </si>
  <si>
    <t>Meaghan Walsh</t>
  </si>
  <si>
    <t>+1 (401) 847-3300</t>
  </si>
  <si>
    <t>Hotel Vin Autograph Collection</t>
  </si>
  <si>
    <t xml:space="preserve">215 East Dallas Road </t>
  </si>
  <si>
    <t>Thomas Santora</t>
  </si>
  <si>
    <t>Tyler Garrett</t>
  </si>
  <si>
    <t>+1 (817) 796-9696</t>
  </si>
  <si>
    <t>Hotel Vinache</t>
  </si>
  <si>
    <t xml:space="preserve">1300 Canal Street </t>
  </si>
  <si>
    <t>Angela Thompson</t>
  </si>
  <si>
    <t>+1 (504) 299-9900</t>
  </si>
  <si>
    <t>Hotel Vitale</t>
  </si>
  <si>
    <t xml:space="preserve">8 Mission Street </t>
  </si>
  <si>
    <t>Ashley Gochnauer</t>
  </si>
  <si>
    <t>Mike Lustgraaf</t>
  </si>
  <si>
    <t>+1 (415) 278-3700</t>
  </si>
  <si>
    <t>Hotel Washington</t>
  </si>
  <si>
    <t xml:space="preserve">515 15th Street NW </t>
  </si>
  <si>
    <t>Lauren Favre</t>
  </si>
  <si>
    <t>+1(202)661-2400</t>
  </si>
  <si>
    <t>Hotel Weyanoke</t>
  </si>
  <si>
    <t xml:space="preserve">202 High Street Farmville </t>
  </si>
  <si>
    <t>Catherine Snyder</t>
  </si>
  <si>
    <t>+1 (434) 658-7500</t>
  </si>
  <si>
    <t>Hotel Y</t>
  </si>
  <si>
    <t xml:space="preserve">1700 North 1st Street </t>
  </si>
  <si>
    <t>Daniele Butler</t>
  </si>
  <si>
    <t>+1 (509) 248-5650</t>
  </si>
  <si>
    <t>Hotel Yountville</t>
  </si>
  <si>
    <t xml:space="preserve">6462 Washington Street </t>
  </si>
  <si>
    <t>+1 (707) 967-7900</t>
  </si>
  <si>
    <t>Hotel Zachary Chicago a Tribute Portfolio Hotel</t>
  </si>
  <si>
    <t xml:space="preserve">3630 North Clark Street </t>
  </si>
  <si>
    <t>Anna Anderson</t>
  </si>
  <si>
    <t>Taylor Smith</t>
  </si>
  <si>
    <t>+1 (901) 568-5799</t>
  </si>
  <si>
    <t>Z Resorts Management LLC</t>
  </si>
  <si>
    <t>Hotel Zaza Austin</t>
  </si>
  <si>
    <t xml:space="preserve">400 Lavaca Street </t>
  </si>
  <si>
    <t>Jacob Weaver</t>
  </si>
  <si>
    <t>+1 (512) 542-9292</t>
  </si>
  <si>
    <t>Hotel ZaZa Dallas</t>
  </si>
  <si>
    <t xml:space="preserve">2332 Leonard Street </t>
  </si>
  <si>
    <t>Alex Aland</t>
  </si>
  <si>
    <t>Sarah Barr</t>
  </si>
  <si>
    <t>+1 (214) 468-8399</t>
  </si>
  <si>
    <t>Hotel Zaza Houston Memorial City</t>
  </si>
  <si>
    <t xml:space="preserve">9787 Katy Freeway </t>
  </si>
  <si>
    <t>Ian Bush</t>
  </si>
  <si>
    <t>+1 (713) 465-3244</t>
  </si>
  <si>
    <t>Hotel ZaZa Houston Museum District</t>
  </si>
  <si>
    <t xml:space="preserve">5701 Main Street </t>
  </si>
  <si>
    <t>Michael Bartek</t>
  </si>
  <si>
    <t>+1 (713) 526-1991</t>
  </si>
  <si>
    <t>Hotel Zena</t>
  </si>
  <si>
    <t xml:space="preserve">1155 14th Street NW </t>
  </si>
  <si>
    <t>+ (202) 737-1200</t>
  </si>
  <si>
    <t>Hotel Zico</t>
  </si>
  <si>
    <t xml:space="preserve">200 East El Camino Real </t>
  </si>
  <si>
    <t>Mountain view</t>
  </si>
  <si>
    <t>Ricardo Berrosti</t>
  </si>
  <si>
    <t>+1 (650) 969-8200</t>
  </si>
  <si>
    <t>Hotels at Home Inc. Corp</t>
  </si>
  <si>
    <t>Hotels at Home Inc.</t>
  </si>
  <si>
    <t xml:space="preserve">208 Passaic Avenue </t>
  </si>
  <si>
    <t>Clarie Barrise</t>
  </si>
  <si>
    <t>Janet Arendacs</t>
  </si>
  <si>
    <t>+1 (973) 882-8437</t>
  </si>
  <si>
    <t>Houston Club</t>
  </si>
  <si>
    <t xml:space="preserve">910 Louisiana Suite 4900 </t>
  </si>
  <si>
    <t>Michelle Inberg</t>
  </si>
  <si>
    <t>Doug George</t>
  </si>
  <si>
    <t>+ (713) 225-3257</t>
  </si>
  <si>
    <t>Houston Embassy Suites</t>
  </si>
  <si>
    <t xml:space="preserve">2911 Sage Road </t>
  </si>
  <si>
    <t>Steve Martinez</t>
  </si>
  <si>
    <t>+1 (713) 626-5444</t>
  </si>
  <si>
    <t xml:space="preserve">Houston Hilton NASA/Clearlake </t>
  </si>
  <si>
    <t xml:space="preserve">3000 Nasa Road One </t>
  </si>
  <si>
    <t>77058-4322</t>
  </si>
  <si>
    <t>William Dalleske</t>
  </si>
  <si>
    <t>+ (281) 333-9300</t>
  </si>
  <si>
    <t>Houston Marriott Energy Corridor</t>
  </si>
  <si>
    <t xml:space="preserve">16011 Katy Freeway </t>
  </si>
  <si>
    <t>Art Menedez</t>
  </si>
  <si>
    <t>+1 (281) 829-5525</t>
  </si>
  <si>
    <t>Houston Marriott South at Hobby Airport</t>
  </si>
  <si>
    <t xml:space="preserve">9100 Gulf Freeway </t>
  </si>
  <si>
    <t>Charles Watts</t>
  </si>
  <si>
    <t>Luis Soto</t>
  </si>
  <si>
    <t>+1 (713) 943-7979</t>
  </si>
  <si>
    <t>Houston Marriott Westchase</t>
  </si>
  <si>
    <t xml:space="preserve">2900 Briarpark Road </t>
  </si>
  <si>
    <t>Harry Greenblatt</t>
  </si>
  <si>
    <t>+ (713) 978-7400</t>
  </si>
  <si>
    <t>Howard Johnson Ocala</t>
  </si>
  <si>
    <t xml:space="preserve">3951 Northwest Blitchon road </t>
  </si>
  <si>
    <t>cedric trueluck</t>
  </si>
  <si>
    <t>+1 (352) 629-7021</t>
  </si>
  <si>
    <t>Hu. Hotel</t>
  </si>
  <si>
    <t xml:space="preserve">79 Madison Avenue </t>
  </si>
  <si>
    <t>Joe White</t>
  </si>
  <si>
    <t>Keila Bell</t>
  </si>
  <si>
    <t>+1 (901) 333-1200</t>
  </si>
  <si>
    <t>Hunt Valley Golf Club</t>
  </si>
  <si>
    <t xml:space="preserve">14101 Phoenix Road </t>
  </si>
  <si>
    <t>Mark Fisher</t>
  </si>
  <si>
    <t>+1 (410) 527-3300</t>
  </si>
  <si>
    <t>Hunters Green Country Club</t>
  </si>
  <si>
    <t xml:space="preserve">18101 Longwater Run DR </t>
  </si>
  <si>
    <t>Greg Lauzier</t>
  </si>
  <si>
    <t>Dustin Pugliese</t>
  </si>
  <si>
    <t>+ (813) 973-1000</t>
  </si>
  <si>
    <t>Huntingdon Valley Country Club Corp.</t>
  </si>
  <si>
    <t>Huntingdon Valley Country Club</t>
  </si>
  <si>
    <t xml:space="preserve">2295 Country Club Drive </t>
  </si>
  <si>
    <t>Huntingdon Valley</t>
  </si>
  <si>
    <t>Bill Troyanoski</t>
  </si>
  <si>
    <t>Scott Schneider</t>
  </si>
  <si>
    <t>+1 (215) 657-1610</t>
  </si>
  <si>
    <t>Huntsville Marriott</t>
  </si>
  <si>
    <t xml:space="preserve">5 Tranquility Base </t>
  </si>
  <si>
    <t>+ (256) 830-2222</t>
  </si>
  <si>
    <t>Hyatt at Olive 8</t>
  </si>
  <si>
    <t xml:space="preserve">1635 Eight Avenue </t>
  </si>
  <si>
    <t>Hyatt Hotels</t>
  </si>
  <si>
    <t>Steve Vissotzky</t>
  </si>
  <si>
    <t>Michael Reyes</t>
  </si>
  <si>
    <t>+ (206) 695-1234</t>
  </si>
  <si>
    <t>Hyatt Beach House Resort Vacation Club</t>
  </si>
  <si>
    <t xml:space="preserve">5051 Overseas Highway </t>
  </si>
  <si>
    <t>Jason Jones</t>
  </si>
  <si>
    <t>+1 (305) 294-0059</t>
  </si>
  <si>
    <t>Hyatt Carmel Highlands Overlooking Big Sur Coast</t>
  </si>
  <si>
    <t xml:space="preserve">120 Highlands Drive </t>
  </si>
  <si>
    <t>+1 (831) 620-1234</t>
  </si>
  <si>
    <t>Hyatt Centric Atlanta Midtown</t>
  </si>
  <si>
    <t xml:space="preserve">125 10th Street NE </t>
  </si>
  <si>
    <t>Joseph Fawole</t>
  </si>
  <si>
    <t>+1(404) 443-1234</t>
  </si>
  <si>
    <t>Hyatt Centric Chicago Magnificent Mile</t>
  </si>
  <si>
    <t xml:space="preserve">633 North Saint Clair Street </t>
  </si>
  <si>
    <t>Matt Huss</t>
  </si>
  <si>
    <t>+1 (312) 787-1234</t>
  </si>
  <si>
    <t>Hyatt Centric Downtown Minneapolis</t>
  </si>
  <si>
    <t xml:space="preserve">615 Second Avenue South </t>
  </si>
  <si>
    <t>Michael Berk</t>
  </si>
  <si>
    <t>+1 (612) 288-8888</t>
  </si>
  <si>
    <t>Hyatt Centric Downtown Portland</t>
  </si>
  <si>
    <t xml:space="preserve">601 Southwest 11th Ave </t>
  </si>
  <si>
    <t>Erik Cole</t>
  </si>
  <si>
    <t>+()503-595-1234</t>
  </si>
  <si>
    <t>Hyatt Centric Faneuil Hall Boston</t>
  </si>
  <si>
    <t xml:space="preserve">68 Devonshire Street </t>
  </si>
  <si>
    <t>Peter McNamee</t>
  </si>
  <si>
    <t>+(617)720-1234</t>
  </si>
  <si>
    <t>Hyatt Centric French Quarter New Orleans</t>
  </si>
  <si>
    <t xml:space="preserve">800 Iberville Street </t>
  </si>
  <si>
    <t>Travis Tague</t>
  </si>
  <si>
    <t>+1 (504) 586-0800</t>
  </si>
  <si>
    <t>Hyatt Centric Keywest Resort &amp; Spa</t>
  </si>
  <si>
    <t xml:space="preserve">601 Front Street </t>
  </si>
  <si>
    <t>Jessica Cain</t>
  </si>
  <si>
    <t>+ (305) 296-9900</t>
  </si>
  <si>
    <t>Hyatt Centric Las Olas Fort Lauderdale</t>
  </si>
  <si>
    <t xml:space="preserve">100 East Las Olas Boulevard </t>
  </si>
  <si>
    <t>+()954-353-1234</t>
  </si>
  <si>
    <t>Hyatt Centric Park City</t>
  </si>
  <si>
    <t xml:space="preserve">3551 North Escala Court </t>
  </si>
  <si>
    <t>Annie Painting</t>
  </si>
  <si>
    <t>+1 (435) 940-1234</t>
  </si>
  <si>
    <t>Hyatt Centric Philadelphia</t>
  </si>
  <si>
    <t xml:space="preserve">1634 Chancellor Street </t>
  </si>
  <si>
    <t>Gilbert Santana</t>
  </si>
  <si>
    <t>Isaiah Morris</t>
  </si>
  <si>
    <t>+1(215)985-1234</t>
  </si>
  <si>
    <t>Hyatt Centric The Woodlands</t>
  </si>
  <si>
    <t>9595 Six Pines Dr. Suite 1100</t>
  </si>
  <si>
    <t>Woodlands</t>
  </si>
  <si>
    <t>Matthew Brink</t>
  </si>
  <si>
    <t>+1 (281) 203-5005</t>
  </si>
  <si>
    <t>Hyatt Centric Times Square</t>
  </si>
  <si>
    <t>135 West 45th Street 646 364 1234</t>
  </si>
  <si>
    <t>thomas Blundell</t>
  </si>
  <si>
    <t>Christopher Thomas</t>
  </si>
  <si>
    <t>+(203)515-8099</t>
  </si>
  <si>
    <t>Hyatt Centric Waikiki Beach</t>
  </si>
  <si>
    <t xml:space="preserve">349 Seaside Avenue </t>
  </si>
  <si>
    <t>Richard Elliott</t>
  </si>
  <si>
    <t>Aileen Novales</t>
  </si>
  <si>
    <t>+1 (808) 922-7444</t>
  </si>
  <si>
    <t>Hyatt Coconut Plantation Vacation Club</t>
  </si>
  <si>
    <t xml:space="preserve">11800 Coconut Plantation Drive </t>
  </si>
  <si>
    <t>Reinery Martinez</t>
  </si>
  <si>
    <t>+1 (239) 947-7300</t>
  </si>
  <si>
    <t>Hyatt Grand Central New York</t>
  </si>
  <si>
    <t xml:space="preserve">Park Avenue @ Grand Central Station </t>
  </si>
  <si>
    <t>Jerry Lewin</t>
  </si>
  <si>
    <t>Tommasi Moccia</t>
  </si>
  <si>
    <t>+ (212) 883-1234</t>
  </si>
  <si>
    <t>Hyatt Hacienda del Mar Vacation Club</t>
  </si>
  <si>
    <t xml:space="preserve">301 Highway 693 </t>
  </si>
  <si>
    <t>+1 (787) 796-3000</t>
  </si>
  <si>
    <t>Hyatt Herald Square</t>
  </si>
  <si>
    <t xml:space="preserve">30 West 31st Street </t>
  </si>
  <si>
    <t>Aidan Rowe</t>
  </si>
  <si>
    <t>Jemima Arcos</t>
  </si>
  <si>
    <t>+1 (212) 330-1234</t>
  </si>
  <si>
    <t>Hyatt High Sierra Lodge Vacation Club</t>
  </si>
  <si>
    <t xml:space="preserve">989 Incline Village </t>
  </si>
  <si>
    <t>Incline Village</t>
  </si>
  <si>
    <t>Linda Knaust</t>
  </si>
  <si>
    <t>Travis Garrison</t>
  </si>
  <si>
    <t>+1 (775) 832-0220</t>
  </si>
  <si>
    <t>Hyatt Administrative Accounts</t>
  </si>
  <si>
    <t>Hyatt Hotels Corporation - unit</t>
  </si>
  <si>
    <t xml:space="preserve">150 North Riverside Plaza </t>
  </si>
  <si>
    <t>+1 (312) 750-1234</t>
  </si>
  <si>
    <t>Sequoia Hospitality LLC</t>
  </si>
  <si>
    <t>Hyatt House - Sandy</t>
  </si>
  <si>
    <t xml:space="preserve">9685 South Monroe Street </t>
  </si>
  <si>
    <t>Sandy</t>
  </si>
  <si>
    <t>Erik Nestel</t>
  </si>
  <si>
    <t>+1 (801) 304-5700</t>
  </si>
  <si>
    <t>Hyatt House &amp; Hyatt Place Charleston</t>
  </si>
  <si>
    <t xml:space="preserve">560 King Street </t>
  </si>
  <si>
    <t>Thomas Payne</t>
  </si>
  <si>
    <t>Ann Tilelli</t>
  </si>
  <si>
    <t>+1 (843) 207-2299</t>
  </si>
  <si>
    <t>Hyatt House and Hyatt Place East Moline Quad City</t>
  </si>
  <si>
    <t xml:space="preserve">111 Bend Boulevard </t>
  </si>
  <si>
    <t>East Moline</t>
  </si>
  <si>
    <t>John Tysdal</t>
  </si>
  <si>
    <t>+1 (309) 755-6000</t>
  </si>
  <si>
    <t>Hyatt House Atlanta/Cobb Galleria</t>
  </si>
  <si>
    <t xml:space="preserve">3595 Cumberland Boulevard SE </t>
  </si>
  <si>
    <t>Ambur Fuller</t>
  </si>
  <si>
    <t>Zelda Dollar</t>
  </si>
  <si>
    <t>+1(770)541 2960</t>
  </si>
  <si>
    <t>Hyatt House Augusta Downtown</t>
  </si>
  <si>
    <t xml:space="preserve">1268 Broad Street </t>
  </si>
  <si>
    <t>Randall Blumberg</t>
  </si>
  <si>
    <t>Austin H Arboretum Opco LP (Falcon Group)</t>
  </si>
  <si>
    <t>Hyatt House Austin Arboretum</t>
  </si>
  <si>
    <t xml:space="preserve">10001 N. Capital of Texas Highway </t>
  </si>
  <si>
    <t>Josh Owens</t>
  </si>
  <si>
    <t>+1 (512) 342-8080</t>
  </si>
  <si>
    <t>Hyatt House Austin Downtown</t>
  </si>
  <si>
    <t xml:space="preserve">901 Neches Street </t>
  </si>
  <si>
    <t>Lance Taylor</t>
  </si>
  <si>
    <t>+1(512) 391 0000</t>
  </si>
  <si>
    <t>Hyatt House Bellevue</t>
  </si>
  <si>
    <t xml:space="preserve">3244 139th Avenue SE </t>
  </si>
  <si>
    <t>Chris Rutan</t>
  </si>
  <si>
    <t>+1 (425) 747-2705</t>
  </si>
  <si>
    <t>Hyatt House Charlotte Airport</t>
  </si>
  <si>
    <t xml:space="preserve">4920 S Tryon Street </t>
  </si>
  <si>
    <t>Trey Stanley</t>
  </si>
  <si>
    <t>+ (704) 525-2600</t>
  </si>
  <si>
    <t>Hyatt Select Hotel Group</t>
  </si>
  <si>
    <t>Hyatt House Charlotte City Center</t>
  </si>
  <si>
    <t xml:space="preserve">435 E. Trade St. </t>
  </si>
  <si>
    <t>Matt Allen</t>
  </si>
  <si>
    <t>Leah Fields-Nester</t>
  </si>
  <si>
    <t>+1 (704) 373-9700</t>
  </si>
  <si>
    <t>Hyatt House Chicago - Oak Brook</t>
  </si>
  <si>
    <t xml:space="preserve">210 22nd Street </t>
  </si>
  <si>
    <t>Nicole Patterson</t>
  </si>
  <si>
    <t>Joseph Lee</t>
  </si>
  <si>
    <t>+(630)590-1200</t>
  </si>
  <si>
    <t>Hyatt House Chicago Evanston</t>
  </si>
  <si>
    <t xml:space="preserve">1515 Chicago Avenue </t>
  </si>
  <si>
    <t>Stefanie Olencheck</t>
  </si>
  <si>
    <t>+1 (847) 864-2300</t>
  </si>
  <si>
    <t>Hyatt House Chicago Schaumburg</t>
  </si>
  <si>
    <t xml:space="preserve">1251 American Lane </t>
  </si>
  <si>
    <t>Robert Plata</t>
  </si>
  <si>
    <t>+1 (847) 706-9007</t>
  </si>
  <si>
    <t>Hyatt House Chicago West Loop - Fulton Market District</t>
  </si>
  <si>
    <t xml:space="preserve">105 North May Street </t>
  </si>
  <si>
    <t>Lexi Salloum</t>
  </si>
  <si>
    <t>Tony Marco</t>
  </si>
  <si>
    <t>+1(312) 492-0000</t>
  </si>
  <si>
    <t>Hyatt House Cypress/Anaheim</t>
  </si>
  <si>
    <t xml:space="preserve">5905 Corporate Ave </t>
  </si>
  <si>
    <t>Gerardo Amezola</t>
  </si>
  <si>
    <t>Maribel Munoz</t>
  </si>
  <si>
    <t>+ (714) 828-4000</t>
  </si>
  <si>
    <t>Hyatt House Dallas Frisco</t>
  </si>
  <si>
    <t xml:space="preserve">2875 Parkwood Boulevard </t>
  </si>
  <si>
    <t>Traci Rockafellow</t>
  </si>
  <si>
    <t>Gilbert Ortiz</t>
  </si>
  <si>
    <t>+1 (972)668-4500</t>
  </si>
  <si>
    <t>Hyatt House Dallas-Richardson</t>
  </si>
  <si>
    <t xml:space="preserve">2301 North Central Expressway </t>
  </si>
  <si>
    <t>Amanda Gallegos</t>
  </si>
  <si>
    <t>+1 (972) 671-8080</t>
  </si>
  <si>
    <t>Hyatt House Denver Airport</t>
  </si>
  <si>
    <t xml:space="preserve">18741 East 71st Avenue </t>
  </si>
  <si>
    <t>Bianca Aguero</t>
  </si>
  <si>
    <t>+1 (303) 628-7777</t>
  </si>
  <si>
    <t>Hyatt House Denver Downtown</t>
  </si>
  <si>
    <t xml:space="preserve">440 14th Street </t>
  </si>
  <si>
    <t>Melissa Briguccia</t>
  </si>
  <si>
    <t>+1 (303) 893-3100</t>
  </si>
  <si>
    <t>Hyatt House Denver Tech Center</t>
  </si>
  <si>
    <t xml:space="preserve">9280 East Costilla Avenue </t>
  </si>
  <si>
    <t>Heath Carnes</t>
  </si>
  <si>
    <t>Heidi Nieman</t>
  </si>
  <si>
    <t>+1 (303) 706-1945</t>
  </si>
  <si>
    <t>Hyatt House Emeryville San Francisco Bay</t>
  </si>
  <si>
    <t xml:space="preserve">5800 Shellmound St </t>
  </si>
  <si>
    <t>Ana Clark</t>
  </si>
  <si>
    <t>Michael Reed</t>
  </si>
  <si>
    <t>+ (510) 601-5880</t>
  </si>
  <si>
    <t>Houston H Galleria Opco LP (Falcon Group)</t>
  </si>
  <si>
    <t>Hyatt House Houston Galleria</t>
  </si>
  <si>
    <t xml:space="preserve">3440 Sage Road </t>
  </si>
  <si>
    <t>Wendy Liu</t>
  </si>
  <si>
    <t>+1 (713) 629-9711</t>
  </si>
  <si>
    <t>Hyatt House Irvine / John Wayne Airport</t>
  </si>
  <si>
    <t xml:space="preserve">2320 Main Street </t>
  </si>
  <si>
    <t>Kerry Knudson</t>
  </si>
  <si>
    <t>Aimee Caplen</t>
  </si>
  <si>
    <t>+1 (949) 936-4280</t>
  </si>
  <si>
    <t>Hyatt House King of Prussia</t>
  </si>
  <si>
    <t xml:space="preserve">240 Mall Boulevard </t>
  </si>
  <si>
    <t>Christopher Verdonck</t>
  </si>
  <si>
    <t>+1(610)265-0300</t>
  </si>
  <si>
    <t>Hyatt House Naples 5th Avenue</t>
  </si>
  <si>
    <t xml:space="preserve">1345 5th Avenue South </t>
  </si>
  <si>
    <t>Jay Slaboch</t>
  </si>
  <si>
    <t>Patrick Simmons</t>
  </si>
  <si>
    <t>+1 (239) 775-1000</t>
  </si>
  <si>
    <t>Hyatt House Nashville - Franklin Cool Springs</t>
  </si>
  <si>
    <t xml:space="preserve">3501 Mallory Lane </t>
  </si>
  <si>
    <t>Tiffany Ponder</t>
  </si>
  <si>
    <t>+()615-778-8798</t>
  </si>
  <si>
    <t>Hyatt House Nashville Airport</t>
  </si>
  <si>
    <t xml:space="preserve">14 Century Boulevard </t>
  </si>
  <si>
    <t>Tiffany Coleman-Ponder</t>
  </si>
  <si>
    <t>+(615) 871-9500</t>
  </si>
  <si>
    <t>Hyatt House Nashville Downtown SoBro</t>
  </si>
  <si>
    <t xml:space="preserve">535 5th Ave South </t>
  </si>
  <si>
    <t>Catilin Buesinger</t>
  </si>
  <si>
    <t>John McEntee</t>
  </si>
  <si>
    <t>+1(615)248-9888</t>
  </si>
  <si>
    <t>Hyatt House New Orleans</t>
  </si>
  <si>
    <t xml:space="preserve">1250 Poydras Street </t>
  </si>
  <si>
    <t>Cristina Perez-Gomes</t>
  </si>
  <si>
    <t>+1(504) 648-3118</t>
  </si>
  <si>
    <t>Hyatt House Portland Downtown</t>
  </si>
  <si>
    <t xml:space="preserve">2080 Southwest River Drive </t>
  </si>
  <si>
    <t>Al Patnik</t>
  </si>
  <si>
    <t>Patrick Ray</t>
  </si>
  <si>
    <t>+1(503) 241-2775</t>
  </si>
  <si>
    <t>Hyatt House Provo/Pleasant Grove</t>
  </si>
  <si>
    <t xml:space="preserve">544 South Pleasant Grove Boulevard </t>
  </si>
  <si>
    <t>Pleasant Grove</t>
  </si>
  <si>
    <t>Erick Lorenzana</t>
  </si>
  <si>
    <t>Ashley Quackenbush</t>
  </si>
  <si>
    <t>+(385) 498-3700</t>
  </si>
  <si>
    <t>Hyatt House Redmond</t>
  </si>
  <si>
    <t xml:space="preserve">15785 Bear Creek Pkwy NE </t>
  </si>
  <si>
    <t>Amber Chen</t>
  </si>
  <si>
    <t>+1 (425) 497-2000</t>
  </si>
  <si>
    <t>Hyatt House San Diego Sorrento Mesas</t>
  </si>
  <si>
    <t xml:space="preserve">10044 Pacific Mesa Blvd </t>
  </si>
  <si>
    <t>+ (858) 597-0500</t>
  </si>
  <si>
    <t>Hyatt House San Jose / Cupertino</t>
  </si>
  <si>
    <t xml:space="preserve">10380 Perimeter Road </t>
  </si>
  <si>
    <t>Paul Medawar</t>
  </si>
  <si>
    <t>Victor Escoto</t>
  </si>
  <si>
    <t>+1 (669) 220-3800</t>
  </si>
  <si>
    <t>Hyatt House San Jose Airport</t>
  </si>
  <si>
    <t xml:space="preserve">2105 North 1st Street </t>
  </si>
  <si>
    <t>Sebastian Gurevich</t>
  </si>
  <si>
    <t>+(669) 342-0011</t>
  </si>
  <si>
    <t>Hyatt House San Jose Silicon Valley</t>
  </si>
  <si>
    <t xml:space="preserve">75 Headquarters Dr. </t>
  </si>
  <si>
    <t>Kevin Hurley</t>
  </si>
  <si>
    <t>Yesenia Lopez</t>
  </si>
  <si>
    <t>+1 (408) 324-1155</t>
  </si>
  <si>
    <t>Hyatt House San Ramon</t>
  </si>
  <si>
    <t xml:space="preserve">2323 San Ramon Valley Blvd. </t>
  </si>
  <si>
    <t>San Ramon</t>
  </si>
  <si>
    <t>Brett Chavez</t>
  </si>
  <si>
    <t>Alan Mass</t>
  </si>
  <si>
    <t>+1 (925) 743-1882</t>
  </si>
  <si>
    <t>Hyatt House Santa Clara</t>
  </si>
  <si>
    <t xml:space="preserve">3915 Rivermark Plaza </t>
  </si>
  <si>
    <t>Emily Garcia</t>
  </si>
  <si>
    <t>+1 (408) 486-0800</t>
  </si>
  <si>
    <t>Hyatt House Seattle/Downtown</t>
  </si>
  <si>
    <t xml:space="preserve">201 5th Avenue North </t>
  </si>
  <si>
    <t>Albert Elder</t>
  </si>
  <si>
    <t>+1 (206) 727-1234</t>
  </si>
  <si>
    <t>Hyatt House Virginia Beach - Oceanfront</t>
  </si>
  <si>
    <t xml:space="preserve">2705 Atlantic Avenue </t>
  </si>
  <si>
    <t>Vin Lal</t>
  </si>
  <si>
    <t>+1 (757) 428-4200</t>
  </si>
  <si>
    <t>Hyatt House White Plains</t>
  </si>
  <si>
    <t xml:space="preserve">101 Corporate Park Drive </t>
  </si>
  <si>
    <t>Katrina Snyder</t>
  </si>
  <si>
    <t>+ (914) 251-9700</t>
  </si>
  <si>
    <t>Hyatt Ka'anapali Beach Resort</t>
  </si>
  <si>
    <t xml:space="preserve">180 Nohea Kai Drive </t>
  </si>
  <si>
    <t>Kimberly Brown</t>
  </si>
  <si>
    <t>Cy Gabourie</t>
  </si>
  <si>
    <t>+1 (808) 283-4334</t>
  </si>
  <si>
    <t>Hyatt Lodge Oakbrook</t>
  </si>
  <si>
    <t xml:space="preserve">2815 Jorie BLVD </t>
  </si>
  <si>
    <t>Robert Brand</t>
  </si>
  <si>
    <t>+ (630) 568-1234</t>
  </si>
  <si>
    <t>Hyatt Main Street Station Vacation Club</t>
  </si>
  <si>
    <t xml:space="preserve">505 South Main Street </t>
  </si>
  <si>
    <t>Parker Rubin</t>
  </si>
  <si>
    <t>+1 (970) 547-2700</t>
  </si>
  <si>
    <t>Hyatt Mountain Lodge Vacation Club</t>
  </si>
  <si>
    <t xml:space="preserve">63 Avondale Lane </t>
  </si>
  <si>
    <t>Nedra Redden</t>
  </si>
  <si>
    <t>Dan Carlson</t>
  </si>
  <si>
    <t>+1 (970) 748-3000</t>
  </si>
  <si>
    <t>Hyatt Palm Springs</t>
  </si>
  <si>
    <t xml:space="preserve">285 North Palm Canyon Drive </t>
  </si>
  <si>
    <t>Joseph Alegre</t>
  </si>
  <si>
    <t>Jim Pulver</t>
  </si>
  <si>
    <t>+1 (760) 322-9000</t>
  </si>
  <si>
    <t>Hyatt Pinon Pointe Vacation Club</t>
  </si>
  <si>
    <t xml:space="preserve">1 North Highway 89A </t>
  </si>
  <si>
    <t>Victoria Cameron</t>
  </si>
  <si>
    <t>Jami Champagne</t>
  </si>
  <si>
    <t>+1 (928) 204-8820</t>
  </si>
  <si>
    <t>Hyatt Place - Hyatt House Indianapolis Downtown</t>
  </si>
  <si>
    <t xml:space="preserve">130 South Pennsylvania Street </t>
  </si>
  <si>
    <t>Rick Schatz</t>
  </si>
  <si>
    <t>+1 (317) 762-9000</t>
  </si>
  <si>
    <t>Hyatt Place Albuquerque</t>
  </si>
  <si>
    <t xml:space="preserve">6901 Arvada Northeast </t>
  </si>
  <si>
    <t>Shehnaz Mehta</t>
  </si>
  <si>
    <t>+1 (505) 872-9000</t>
  </si>
  <si>
    <t>Hyatt Place Amarillo</t>
  </si>
  <si>
    <t xml:space="preserve">8985 West Amarillo Boulevard </t>
  </si>
  <si>
    <t>Andrea Randall</t>
  </si>
  <si>
    <t>+(806) 310-2700</t>
  </si>
  <si>
    <t>Hyatt Place and Hyatt House Tempe at ASU</t>
  </si>
  <si>
    <t xml:space="preserve">601 East 6th Street </t>
  </si>
  <si>
    <t>Todd Wilson</t>
  </si>
  <si>
    <t>Adrian Lundy</t>
  </si>
  <si>
    <t>+1 (480) 381-1091</t>
  </si>
  <si>
    <t>Hyatt Place Ann Arbor (AHP)</t>
  </si>
  <si>
    <t xml:space="preserve">3223 South State Street </t>
  </si>
  <si>
    <t>Angela Tatro</t>
  </si>
  <si>
    <t>Sheena Rausch</t>
  </si>
  <si>
    <t>+1(515)450-3820</t>
  </si>
  <si>
    <t>Hyatt Place Arlington Courthouse Plaza</t>
  </si>
  <si>
    <t xml:space="preserve">2401 Wilson Boulevard </t>
  </si>
  <si>
    <t>Kelly Sites</t>
  </si>
  <si>
    <t>Meredith Carlton</t>
  </si>
  <si>
    <t>+1 (703) 243-2494</t>
  </si>
  <si>
    <t>Hyatt Place Aruba Airport Oranjestad</t>
  </si>
  <si>
    <t xml:space="preserve">Wayaca 6B </t>
  </si>
  <si>
    <t>Marjorie Calvo</t>
  </si>
  <si>
    <t>Marta Raven</t>
  </si>
  <si>
    <t>+1 (297) 523-1234</t>
  </si>
  <si>
    <t>Southern Hospitality Group LLC</t>
  </si>
  <si>
    <t>Hyatt Place Athens</t>
  </si>
  <si>
    <t xml:space="preserve">412 North Thomas Street </t>
  </si>
  <si>
    <t>Angela Smith</t>
  </si>
  <si>
    <t>+1 (706) 425-1800</t>
  </si>
  <si>
    <t>Hyatt Place Atlanta Centennial Park</t>
  </si>
  <si>
    <t xml:space="preserve">300 Luckie Street Northwest </t>
  </si>
  <si>
    <t>Eileen Archer</t>
  </si>
  <si>
    <t>+1 (313) 574-3403</t>
  </si>
  <si>
    <t xml:space="preserve">Hyatt Place Atlanta Cobb Galleria </t>
  </si>
  <si>
    <t xml:space="preserve">2876 Spring Hill Parkway </t>
  </si>
  <si>
    <t>Matthew Shine</t>
  </si>
  <si>
    <t>+ (770) 384-0060</t>
  </si>
  <si>
    <t>M.L. Peachtree Group Inc.</t>
  </si>
  <si>
    <t>Hyatt Place Atlanta Downtown</t>
  </si>
  <si>
    <t xml:space="preserve">330 Peachtree St. NE </t>
  </si>
  <si>
    <t>+1 (404) 577-1980</t>
  </si>
  <si>
    <t>Hyatt Place Atlanta/Airport South</t>
  </si>
  <si>
    <t xml:space="preserve">1899 Sullivan Road </t>
  </si>
  <si>
    <t>Tyrone Jackson</t>
  </si>
  <si>
    <t>+1 (770) 994-2997</t>
  </si>
  <si>
    <t>Hyatt Place Atlanta/Buckhead</t>
  </si>
  <si>
    <t xml:space="preserve">3242 Peachtree DR NE </t>
  </si>
  <si>
    <t>Dan Knopp</t>
  </si>
  <si>
    <t>Isaac Leonards</t>
  </si>
  <si>
    <t>+ (404) 869-6161</t>
  </si>
  <si>
    <t>Hyatt Place Austin Airport</t>
  </si>
  <si>
    <t xml:space="preserve">9532 Spirit of Austin Lane </t>
  </si>
  <si>
    <t>Hunter Krallman</t>
  </si>
  <si>
    <t>Stephen Taylor</t>
  </si>
  <si>
    <t>+1 (512) 272 5001</t>
  </si>
  <si>
    <t>Hyatt Place Austin Arboretum</t>
  </si>
  <si>
    <t xml:space="preserve">3612 Tudor Bouelvard </t>
  </si>
  <si>
    <t>Robert Levy</t>
  </si>
  <si>
    <t>Blendia Quintana</t>
  </si>
  <si>
    <t>+1 (512) 231-8491</t>
  </si>
  <si>
    <t>Hyatt Place Austin Downtown</t>
  </si>
  <si>
    <t xml:space="preserve">211 East 3rd Street </t>
  </si>
  <si>
    <t>Brad Haas</t>
  </si>
  <si>
    <t>Justin Payne</t>
  </si>
  <si>
    <t>+1 (512) 476-4440</t>
  </si>
  <si>
    <t>Hyatt Place Baltimore Inner Harbor</t>
  </si>
  <si>
    <t xml:space="preserve">511 South Central Avenue </t>
  </si>
  <si>
    <t>Michael Howard</t>
  </si>
  <si>
    <t>+1 (410) 588-1840</t>
  </si>
  <si>
    <t>Hyatt Place Baton Rouge</t>
  </si>
  <si>
    <t xml:space="preserve">6080 Bluebonnet Boulevard </t>
  </si>
  <si>
    <t>Darick Washinigton</t>
  </si>
  <si>
    <t>+1 (225) 769-4400</t>
  </si>
  <si>
    <t>Hyatt Place Bethlehem</t>
  </si>
  <si>
    <t xml:space="preserve">45 West North Street </t>
  </si>
  <si>
    <t>Katie LaBar</t>
  </si>
  <si>
    <t>Keith O'Brien</t>
  </si>
  <si>
    <t>+1 (610) 625-0500</t>
  </si>
  <si>
    <t>Hyatt Place Biloxi</t>
  </si>
  <si>
    <t xml:space="preserve">1150 Beach Boulevard </t>
  </si>
  <si>
    <t>Desirae Edwards</t>
  </si>
  <si>
    <t>+1 (228) 206-0950</t>
  </si>
  <si>
    <t>Hyatt Place Blacksburg Virginia Tech</t>
  </si>
  <si>
    <t xml:space="preserve">650 University City Boulevard </t>
  </si>
  <si>
    <t>Tom Marick</t>
  </si>
  <si>
    <t>Mathew Hoffman</t>
  </si>
  <si>
    <t>+1 (540) 552-7500</t>
  </si>
  <si>
    <t>Hyatt Place Bloomington</t>
  </si>
  <si>
    <t xml:space="preserve">217 West Kirkwood Avenue </t>
  </si>
  <si>
    <t>Nicholas Siracusa</t>
  </si>
  <si>
    <t>+1 (812) 339-5950</t>
  </si>
  <si>
    <t>Hyatt Place Bloomington-Normal</t>
  </si>
  <si>
    <t xml:space="preserve">200 Broadway Avenue </t>
  </si>
  <si>
    <t>Monique Taplin</t>
  </si>
  <si>
    <t>+1 (309) 454-9288</t>
  </si>
  <si>
    <t>Hyatt Place Boca Raton</t>
  </si>
  <si>
    <t xml:space="preserve">100 East Palmetto Park Road </t>
  </si>
  <si>
    <t>Sharon Ballard</t>
  </si>
  <si>
    <t>+()1 561 672 7819</t>
  </si>
  <si>
    <t>Hyatt Place Boston MA Seaport</t>
  </si>
  <si>
    <t xml:space="preserve">295 Northern Avenue </t>
  </si>
  <si>
    <t>Marcos Piteira</t>
  </si>
  <si>
    <t>Michael Lanzo</t>
  </si>
  <si>
    <t>+1 (857) 328-1234</t>
  </si>
  <si>
    <t>Hyatt Place Braintree</t>
  </si>
  <si>
    <t xml:space="preserve">50 Forbes Road </t>
  </si>
  <si>
    <t>Brian Leavitt</t>
  </si>
  <si>
    <t>+1 (781) 848-0600</t>
  </si>
  <si>
    <t>1970219 Alberta Ltd.</t>
  </si>
  <si>
    <t>Hyatt Place Calgary Airport</t>
  </si>
  <si>
    <t xml:space="preserve">10 Aero Crescent Northeast </t>
  </si>
  <si>
    <t>T2E 7Y5</t>
  </si>
  <si>
    <t>John Lee</t>
  </si>
  <si>
    <t>+1 (587) 747-1234</t>
  </si>
  <si>
    <t>Hyatt Place Cedar Park</t>
  </si>
  <si>
    <t xml:space="preserve">1315 East New Hope Drive </t>
  </si>
  <si>
    <t>Cedar Park</t>
  </si>
  <si>
    <t>Bill Winters</t>
  </si>
  <si>
    <t>Shay Bourgeois</t>
  </si>
  <si>
    <t>+1 (512) 337-3001</t>
  </si>
  <si>
    <t>Hyatt Place Celaya</t>
  </si>
  <si>
    <t>Avenue La Cano #124 Fraccionamiento Sur del Predio Rustico. Col La Can</t>
  </si>
  <si>
    <t>Daniel Mazzini Martinez</t>
  </si>
  <si>
    <t>+52(461)159 1234</t>
  </si>
  <si>
    <t>Hyatt Place Champaign (CUH)</t>
  </si>
  <si>
    <t xml:space="preserve">217 North Neil Street </t>
  </si>
  <si>
    <t>Daniel Harbour</t>
  </si>
  <si>
    <t>+1 (217) 531-2800</t>
  </si>
  <si>
    <t>Hyatt Place Chantilly/Dulles Airport South</t>
  </si>
  <si>
    <t xml:space="preserve">4994 Westone Plaza </t>
  </si>
  <si>
    <t>Eddie Egerton2</t>
  </si>
  <si>
    <t>Anna Svedlow</t>
  </si>
  <si>
    <t>+ () 703-961-8160</t>
  </si>
  <si>
    <t>Hyatt Place Chapel Hill - Southern Village</t>
  </si>
  <si>
    <t xml:space="preserve">1090 US Highway 15 501 South </t>
  </si>
  <si>
    <t>Corey Ishman</t>
  </si>
  <si>
    <t>+1 (919) 929-9511</t>
  </si>
  <si>
    <t>Hyatt Place Charleston Airport</t>
  </si>
  <si>
    <t xml:space="preserve">3234 West Montague Avenue </t>
  </si>
  <si>
    <t>Nick Patel</t>
  </si>
  <si>
    <t>Czarina Dandan</t>
  </si>
  <si>
    <t>+1 (843) 302-8600</t>
  </si>
  <si>
    <t>Hyatt Place Charlotte Downtown</t>
  </si>
  <si>
    <t xml:space="preserve">222 South Caldwell Street </t>
  </si>
  <si>
    <t>Samuel Lucas</t>
  </si>
  <si>
    <t>Tien Ning</t>
  </si>
  <si>
    <t>+1 (704) 227-0500</t>
  </si>
  <si>
    <t>Hyatt Place Charlotte/City Park</t>
  </si>
  <si>
    <t xml:space="preserve">4119 South Stream Blvd </t>
  </si>
  <si>
    <t>Horacio Bermudaz</t>
  </si>
  <si>
    <t>Rudy Vasquez</t>
  </si>
  <si>
    <t>+ (704) 357-8555</t>
  </si>
  <si>
    <t>Hyatt Place Chicago - Wicker Park</t>
  </si>
  <si>
    <t xml:space="preserve">1551 West North Avenue </t>
  </si>
  <si>
    <t xml:space="preserve">Chicago </t>
  </si>
  <si>
    <t>Adam Miller</t>
  </si>
  <si>
    <t>Jonathan Monserrate</t>
  </si>
  <si>
    <t>+1 (773) 384-8280</t>
  </si>
  <si>
    <t>Hyatt Place Chicago Downtown River North</t>
  </si>
  <si>
    <t xml:space="preserve">66 West Illinois Street </t>
  </si>
  <si>
    <t>+(312)755-1600</t>
  </si>
  <si>
    <t>Hyatt Place Chicago Midway Airport</t>
  </si>
  <si>
    <t xml:space="preserve">6550 South Cicero Avenue </t>
  </si>
  <si>
    <t>WooSang Lee</t>
  </si>
  <si>
    <t>+1 (708) 594-1400</t>
  </si>
  <si>
    <t>Hyatt Place O'Hare LLC</t>
  </si>
  <si>
    <t>Hyatt Place Chicago-O'Hare Airport</t>
  </si>
  <si>
    <t xml:space="preserve">6810 North Mannheim Road </t>
  </si>
  <si>
    <t xml:space="preserve">Jonathan Monserrate </t>
  </si>
  <si>
    <t>Bonnie Nordquist</t>
  </si>
  <si>
    <t>+1 (224) 563-1800</t>
  </si>
  <si>
    <t>Hyatt Place Ciudad Del Carmen</t>
  </si>
  <si>
    <t xml:space="preserve">Avenida Isla de Tris No 13 Fraccionamiento Palmira </t>
  </si>
  <si>
    <t>Ciudad Del Carmen</t>
  </si>
  <si>
    <t>Victoria Fuentes</t>
  </si>
  <si>
    <t>+52 (938) 118-1822</t>
  </si>
  <si>
    <t>Hyatt Place Coconut Point</t>
  </si>
  <si>
    <t xml:space="preserve">23120 Via Villagio </t>
  </si>
  <si>
    <t>Ben McRae</t>
  </si>
  <si>
    <t>+ (239) 495-1395</t>
  </si>
  <si>
    <t>Hyatt Place College Station</t>
  </si>
  <si>
    <t xml:space="preserve">1100 University Drive East </t>
  </si>
  <si>
    <t>Austin West</t>
  </si>
  <si>
    <t>Tiaan Homann</t>
  </si>
  <si>
    <t>+1 (979) 846-9800</t>
  </si>
  <si>
    <t xml:space="preserve">Hyatt Place Colorado Springs/Garden of the Gods </t>
  </si>
  <si>
    <t xml:space="preserve">503 West Garden of the Gods Road </t>
  </si>
  <si>
    <t>Benjamin Bliss</t>
  </si>
  <si>
    <t>MARY KRALL</t>
  </si>
  <si>
    <t>+1 (719) 265-9385</t>
  </si>
  <si>
    <t>Hyatt Place Columbia/Harbison</t>
  </si>
  <si>
    <t xml:space="preserve">1130 Kinley Road </t>
  </si>
  <si>
    <t>Irmo</t>
  </si>
  <si>
    <t>Michael Inman</t>
  </si>
  <si>
    <t xml:space="preserve">Valerie Shannon </t>
  </si>
  <si>
    <t>+1 (803) 407-1560</t>
  </si>
  <si>
    <t>Hyatt Place Columbus/Dublin</t>
  </si>
  <si>
    <t xml:space="preserve">6161 Parkcenter Circle </t>
  </si>
  <si>
    <t>Ryan Fisher</t>
  </si>
  <si>
    <t>Karla Chamorrorobles</t>
  </si>
  <si>
    <t>+ (614) 799-1913</t>
  </si>
  <si>
    <t>Hyatt Place Dallas DFW Airport</t>
  </si>
  <si>
    <t>2350 Global Drive DFW Airport</t>
  </si>
  <si>
    <t>Francis Jallow</t>
  </si>
  <si>
    <t>Jon Painter</t>
  </si>
  <si>
    <t>+(972) 574-1234</t>
  </si>
  <si>
    <t>Hyatt Place Dallas-North</t>
  </si>
  <si>
    <t xml:space="preserve">5229 Spring Valley Road </t>
  </si>
  <si>
    <t>Kristi Christianson</t>
  </si>
  <si>
    <t>Scott Perrine</t>
  </si>
  <si>
    <t>+ () 972-716-2001</t>
  </si>
  <si>
    <t>Hyatt Place Delray Beach</t>
  </si>
  <si>
    <t xml:space="preserve">104 Northeast 2nd Avenue </t>
  </si>
  <si>
    <t>Rosario Coppola</t>
  </si>
  <si>
    <t>William Hartman</t>
  </si>
  <si>
    <t>+1 (561) 330-3530</t>
  </si>
  <si>
    <t>Hyatt Place Denver - Cherry Creek</t>
  </si>
  <si>
    <t xml:space="preserve">4150 East Mississippi Avenue </t>
  </si>
  <si>
    <t>+1 (303)-782-9300</t>
  </si>
  <si>
    <t>Hyatt Place Denver Downtown</t>
  </si>
  <si>
    <t>+1 (303) 893-2900</t>
  </si>
  <si>
    <t>Hyatt Place Denver Tech Center</t>
  </si>
  <si>
    <t xml:space="preserve">8300 East Crescent Parkway </t>
  </si>
  <si>
    <t>Colin Grice</t>
  </si>
  <si>
    <t>John Starzyk</t>
  </si>
  <si>
    <t>+ (303) 804-0700</t>
  </si>
  <si>
    <t>Hyatt Place Denver-South/Park Meadows</t>
  </si>
  <si>
    <t xml:space="preserve">9030 East Westview Road </t>
  </si>
  <si>
    <t>Deryck Schwitzer</t>
  </si>
  <si>
    <t>William Afeaki</t>
  </si>
  <si>
    <t>+ (303) 662-8500</t>
  </si>
  <si>
    <t>Hyatt Place Des Moines</t>
  </si>
  <si>
    <t xml:space="preserve">418 6th Avenue </t>
  </si>
  <si>
    <t>+1 (515) 282-5555</t>
  </si>
  <si>
    <t xml:space="preserve">Hyatt Place Detroit - Utica </t>
  </si>
  <si>
    <t xml:space="preserve">45400 Park Avenue </t>
  </si>
  <si>
    <t>Utica</t>
  </si>
  <si>
    <t>Dottie Groves</t>
  </si>
  <si>
    <t>Jenny Reyes</t>
  </si>
  <si>
    <t>+1 (586) 803-0100</t>
  </si>
  <si>
    <t>Hyatt Place Dewey Beach</t>
  </si>
  <si>
    <t xml:space="preserve">1301 Coastal Highway </t>
  </si>
  <si>
    <t>John Lowe</t>
  </si>
  <si>
    <t>Katie Bryant</t>
  </si>
  <si>
    <t>+1 (302) 864-9100</t>
  </si>
  <si>
    <t>Hyatt Place Downtown Greenville</t>
  </si>
  <si>
    <t xml:space="preserve">128 East Broad Street </t>
  </si>
  <si>
    <t>Brittany Watson</t>
  </si>
  <si>
    <t>Mohammad Gharavi</t>
  </si>
  <si>
    <t>+1 (864) 270-7200</t>
  </si>
  <si>
    <t>GEM Management Inc.</t>
  </si>
  <si>
    <t>Hyatt Place Dublin</t>
  </si>
  <si>
    <t xml:space="preserve">4950 Hacienda DR </t>
  </si>
  <si>
    <t>Ramin Vergara</t>
  </si>
  <si>
    <t>+ (925) 828-9006</t>
  </si>
  <si>
    <t>Hyatt Place Dulles Station</t>
  </si>
  <si>
    <t xml:space="preserve">13711 Sayward Boulevard </t>
  </si>
  <si>
    <t>Doug Clinesmith</t>
  </si>
  <si>
    <t>+1 (571) 643-0905</t>
  </si>
  <si>
    <t>Hyatt Place Durham Southpoint</t>
  </si>
  <si>
    <t xml:space="preserve">7840 NC 751 Highway </t>
  </si>
  <si>
    <t>Matthew Smith</t>
  </si>
  <si>
    <t>+1 (919) 688-7800</t>
  </si>
  <si>
    <t>Lighthouse Hospitality Management Inc.</t>
  </si>
  <si>
    <t>Hyatt Place Edmonton West</t>
  </si>
  <si>
    <t xml:space="preserve">18004 100th Avenue Northwest </t>
  </si>
  <si>
    <t>T5S 2T6</t>
  </si>
  <si>
    <t>+1 (780) 244-4900</t>
  </si>
  <si>
    <t>Hyatt Place El Paso Airport</t>
  </si>
  <si>
    <t xml:space="preserve">6030 Gateway Boulevard East </t>
  </si>
  <si>
    <t>Danny Padilla</t>
  </si>
  <si>
    <t>+ (915) 771-0022</t>
  </si>
  <si>
    <t>Hyatt Place Eugene</t>
  </si>
  <si>
    <t xml:space="preserve">333 Oakway Center </t>
  </si>
  <si>
    <t>Darby Dobrijevic</t>
  </si>
  <si>
    <t>+1 (541) 343-9333</t>
  </si>
  <si>
    <t>Hyatt Place Flushing LaGuardia Airport</t>
  </si>
  <si>
    <t xml:space="preserve">133-42 39th Avenue </t>
  </si>
  <si>
    <t>Mohammad Khan</t>
  </si>
  <si>
    <t>Tony Schatz</t>
  </si>
  <si>
    <t>+1 (718) 888-1234</t>
  </si>
  <si>
    <t>Hyatt Place Fort Lee</t>
  </si>
  <si>
    <t xml:space="preserve">2167 Route 4 East </t>
  </si>
  <si>
    <t>Fort lee</t>
  </si>
  <si>
    <t>Pratik Amin</t>
  </si>
  <si>
    <t>+1 (201) 849-5900</t>
  </si>
  <si>
    <t>Hyatt Place Fort Worth Alliance Town Center</t>
  </si>
  <si>
    <t xml:space="preserve">3201 Alliance Town Center </t>
  </si>
  <si>
    <t>Erin Alamillo</t>
  </si>
  <si>
    <t>+1(682) 285-1234</t>
  </si>
  <si>
    <t>Hyatt Place Fort Worth Historic Stockyards</t>
  </si>
  <si>
    <t xml:space="preserve">132 East Exchange Avenue </t>
  </si>
  <si>
    <t>Jennifer Clifford</t>
  </si>
  <si>
    <t>+1 (817) 626-6000</t>
  </si>
  <si>
    <t>Hyatt Place Fremont - Silicon Valley</t>
  </si>
  <si>
    <t xml:space="preserve">3101 West Warren Avenue </t>
  </si>
  <si>
    <t>Cristal Jones</t>
  </si>
  <si>
    <t>+ (510) 623-6000</t>
  </si>
  <si>
    <t>Hyatt Place Ft. Lauderdale - 17th Street Convention Center</t>
  </si>
  <si>
    <t xml:space="preserve">1851 Southeast 10th Avenue </t>
  </si>
  <si>
    <t>Ciara Burton</t>
  </si>
  <si>
    <t>Reinhard Schneider</t>
  </si>
  <si>
    <t>+1 (954) 763-7670</t>
  </si>
  <si>
    <t>Hyatt Place Georgetown</t>
  </si>
  <si>
    <t xml:space="preserve">2121 M Street NW </t>
  </si>
  <si>
    <t>Ida Yogi</t>
  </si>
  <si>
    <t>+1 (202) 838-2222</t>
  </si>
  <si>
    <t>Hyatt Place Glendale</t>
  </si>
  <si>
    <t xml:space="preserve">225 West Wilson Avenue </t>
  </si>
  <si>
    <t>Jonathan Lopez</t>
  </si>
  <si>
    <t>+1 (747) 272 1710</t>
  </si>
  <si>
    <t>Hyatt Place Grand Rapids Downtown</t>
  </si>
  <si>
    <t xml:space="preserve">140 Ottawa Avenue </t>
  </si>
  <si>
    <t>Lindsay Jarvis</t>
  </si>
  <si>
    <t>Haleigh Wright</t>
  </si>
  <si>
    <t>+1 (616) 9841200</t>
  </si>
  <si>
    <t xml:space="preserve">Hyatt Place Greensboro </t>
  </si>
  <si>
    <t xml:space="preserve">1619 Stanley Road </t>
  </si>
  <si>
    <t>Robert Woidt</t>
  </si>
  <si>
    <t>Scott Sanborn</t>
  </si>
  <si>
    <t>+ (336) 852-1443</t>
  </si>
  <si>
    <t>Hyatt Place Houston/Sugar Land</t>
  </si>
  <si>
    <t xml:space="preserve">16730 Creek Bend Drive </t>
  </si>
  <si>
    <t>Pete Cardenas</t>
  </si>
  <si>
    <t>+1 (281) 491-0300</t>
  </si>
  <si>
    <t>Hyatt Place Huntsville</t>
  </si>
  <si>
    <t xml:space="preserve">6860 Governors West </t>
  </si>
  <si>
    <t>Tyler Anderson</t>
  </si>
  <si>
    <t>Paula Robley</t>
  </si>
  <si>
    <t>+(256) 666-9660</t>
  </si>
  <si>
    <t>Hyatt Place Indianapolis Airport</t>
  </si>
  <si>
    <t xml:space="preserve">5500 W Bradberry Ave </t>
  </si>
  <si>
    <t>Bill Styck</t>
  </si>
  <si>
    <t>Conner Tribby</t>
  </si>
  <si>
    <t>+1 (317) 227-0950</t>
  </si>
  <si>
    <t>Hyatt Place Jackson Ridgeland</t>
  </si>
  <si>
    <t xml:space="preserve">1016 Highland Colony Parkway </t>
  </si>
  <si>
    <t>+1 (601) 898-8815</t>
  </si>
  <si>
    <t>Hyatt Place Jacksonville Airport</t>
  </si>
  <si>
    <t xml:space="preserve">14565 Duvall Road </t>
  </si>
  <si>
    <t>+1 (904) 741.4184</t>
  </si>
  <si>
    <t>Hyatt Place Kansas City Lenexa City Center</t>
  </si>
  <si>
    <t xml:space="preserve">8741 Ryckert Street </t>
  </si>
  <si>
    <t>Randy Bull</t>
  </si>
  <si>
    <t>+1 (913) 742-7777</t>
  </si>
  <si>
    <t>Hyatt Place Kansas City Overland Park Convention Center</t>
  </si>
  <si>
    <t xml:space="preserve">5001 W 110th Street </t>
  </si>
  <si>
    <t>Brent Kumorowski</t>
  </si>
  <si>
    <t>Stephanie Gargac</t>
  </si>
  <si>
    <t>+ (913) 491-9002</t>
  </si>
  <si>
    <t>Kelowna East Investments LTD</t>
  </si>
  <si>
    <t>Hyatt Place Kelowna</t>
  </si>
  <si>
    <t xml:space="preserve">1915 Enterprise Way </t>
  </si>
  <si>
    <t>V1Y 9S9</t>
  </si>
  <si>
    <t>+1 (236)420-0530</t>
  </si>
  <si>
    <t>Hyatt Place Knoxville</t>
  </si>
  <si>
    <t xml:space="preserve">530 South Gay Street </t>
  </si>
  <si>
    <t>Trenton Keelen</t>
  </si>
  <si>
    <t>+1(865)544-9977</t>
  </si>
  <si>
    <t>Hyatt Place La Paz</t>
  </si>
  <si>
    <t xml:space="preserve">KM 7.5 Carretera a Pichilingue </t>
  </si>
  <si>
    <t>La Paz</t>
  </si>
  <si>
    <t>Rafael Correa</t>
  </si>
  <si>
    <t>Diego Oseguera</t>
  </si>
  <si>
    <t>+()52-612-123-1234</t>
  </si>
  <si>
    <t>Hyatt Place Las Vegas</t>
  </si>
  <si>
    <t xml:space="preserve">4520 Paradise Road </t>
  </si>
  <si>
    <t>James Tabone</t>
  </si>
  <si>
    <t>David Zwahlen</t>
  </si>
  <si>
    <t>+1 (702) 369-3366</t>
  </si>
  <si>
    <t>Hyatt Place Madison Downtown</t>
  </si>
  <si>
    <t xml:space="preserve">333 W. Washington Ave. </t>
  </si>
  <si>
    <t>Melanie Malone</t>
  </si>
  <si>
    <t>+1 (608) 257-2700</t>
  </si>
  <si>
    <t>Hyatt Place Marlborough</t>
  </si>
  <si>
    <t xml:space="preserve">169 Apex Drive </t>
  </si>
  <si>
    <t>Jeanine Rhea</t>
  </si>
  <si>
    <t>Jennifer Mell</t>
  </si>
  <si>
    <t>+1 (508) 506-8100</t>
  </si>
  <si>
    <t>Hyatt Place Memphis/Wolfchase Galleria</t>
  </si>
  <si>
    <t xml:space="preserve">7905 Giacosa Place </t>
  </si>
  <si>
    <t>Annette Lawrence</t>
  </si>
  <si>
    <t>+1 (901) 371-0010</t>
  </si>
  <si>
    <t>Hyatt Place Miami Airport West/Doral</t>
  </si>
  <si>
    <t xml:space="preserve">3655 Northwest 82nd Avenue </t>
  </si>
  <si>
    <t>Anna Puglia</t>
  </si>
  <si>
    <t>Melissa Marquez</t>
  </si>
  <si>
    <t>+ 1 (305) 718-8292</t>
  </si>
  <si>
    <t>Hyatt Place Midtown South</t>
  </si>
  <si>
    <t xml:space="preserve">52 West 36th Street </t>
  </si>
  <si>
    <t>Kyle Weiss</t>
  </si>
  <si>
    <t>+1 (212) 239-9100</t>
  </si>
  <si>
    <t>Empyrean Hospitality LLC</t>
  </si>
  <si>
    <t>Hyatt Place Milford</t>
  </si>
  <si>
    <t xml:space="preserve">190 Old Gate Lane </t>
  </si>
  <si>
    <t>Prashant Bhatt</t>
  </si>
  <si>
    <t>+1 (203) 877-9800</t>
  </si>
  <si>
    <t>SCI Real Estate Inc.</t>
  </si>
  <si>
    <t>Hyatt Place Milwaukee Airport</t>
  </si>
  <si>
    <t xml:space="preserve">200 West Grange Avenue </t>
  </si>
  <si>
    <t>Aaron Lorch</t>
  </si>
  <si>
    <t>+1 (414) 744-3600</t>
  </si>
  <si>
    <t>Hyatt Place Milwaukee Downtown</t>
  </si>
  <si>
    <t xml:space="preserve">800 West Juneau Avenue </t>
  </si>
  <si>
    <t>Angel Rivera</t>
  </si>
  <si>
    <t>+(414) 808-3880</t>
  </si>
  <si>
    <t>Hyatt Place Milwaukee West</t>
  </si>
  <si>
    <t xml:space="preserve">11777 West Silver Springs Drive </t>
  </si>
  <si>
    <t>Bradley Peterson</t>
  </si>
  <si>
    <t>+1 (414) 462-3500</t>
  </si>
  <si>
    <t>Hyatt Place Minneapolis Airport South (MHP)</t>
  </si>
  <si>
    <t xml:space="preserve">7800 International Drive </t>
  </si>
  <si>
    <t>Jennifer Stephens</t>
  </si>
  <si>
    <t>Scott Baanrud</t>
  </si>
  <si>
    <t>+1 (952) 854-0700</t>
  </si>
  <si>
    <t>Hyatt Place Mishawaka (SHP)</t>
  </si>
  <si>
    <t xml:space="preserve">215 West Day Road </t>
  </si>
  <si>
    <t>Gyorgy Baumann</t>
  </si>
  <si>
    <t>Kaylee Rhodes</t>
  </si>
  <si>
    <t>+1 (574) 258-7777</t>
  </si>
  <si>
    <t>Hyatt Place Mississauga Centre</t>
  </si>
  <si>
    <t xml:space="preserve">5787 Hurontario Street </t>
  </si>
  <si>
    <t>Paul Kowalewski</t>
  </si>
  <si>
    <t>+1 (285) 815-1234</t>
  </si>
  <si>
    <t>Hyatt Place Moncton</t>
  </si>
  <si>
    <t>E1C 1E3</t>
  </si>
  <si>
    <t>Marc Dionne</t>
  </si>
  <si>
    <t>+()506-857-7000</t>
  </si>
  <si>
    <t>Hyatt Place Morrisville</t>
  </si>
  <si>
    <t xml:space="preserve">200 Airgate Drive </t>
  </si>
  <si>
    <t>Fady Malty</t>
  </si>
  <si>
    <t>+1 (919) 405-2400</t>
  </si>
  <si>
    <t xml:space="preserve">Hyatt Place Mt. Laurel </t>
  </si>
  <si>
    <t xml:space="preserve">8000 Crawford Place </t>
  </si>
  <si>
    <t>Glenn Cuddy</t>
  </si>
  <si>
    <t>+ (856) 840-0770</t>
  </si>
  <si>
    <t xml:space="preserve">Hyatt Place Nashville - Franklin - Cool Springs </t>
  </si>
  <si>
    <t xml:space="preserve">650 Bakers Bridge Avenue </t>
  </si>
  <si>
    <t>Gina Brooks</t>
  </si>
  <si>
    <t>+1 (615) 771-8900</t>
  </si>
  <si>
    <t>BNA Hotel Partners LLC</t>
  </si>
  <si>
    <t>Hyatt Place Nashville Airport</t>
  </si>
  <si>
    <t xml:space="preserve">721 Royal Parkway </t>
  </si>
  <si>
    <t>Shaan Kumar</t>
  </si>
  <si>
    <t>+1 (615) 493-5200</t>
  </si>
  <si>
    <t>Hyatt Place Nashville Downtown</t>
  </si>
  <si>
    <t xml:space="preserve">301 3rd Avenue </t>
  </si>
  <si>
    <t>Elisa Rosario</t>
  </si>
  <si>
    <t>Stan Iliev</t>
  </si>
  <si>
    <t>+(615) 687-9995</t>
  </si>
  <si>
    <t>Hyatt Place Nashville Northeast</t>
  </si>
  <si>
    <t>Anthony Brown</t>
  </si>
  <si>
    <t>+ () 615-826-4301</t>
  </si>
  <si>
    <t>Hyatt Place New Orleans Convention Center</t>
  </si>
  <si>
    <t xml:space="preserve">881 Convention Center Boulevard </t>
  </si>
  <si>
    <t>Jennifer Jones</t>
  </si>
  <si>
    <t>+ (504) 524-1881</t>
  </si>
  <si>
    <t>Hyatt Place New York City Times Square</t>
  </si>
  <si>
    <t xml:space="preserve">350 West 39th Street </t>
  </si>
  <si>
    <t>Andrew Lichtenbaum</t>
  </si>
  <si>
    <t>+1 (212) 904-1811</t>
  </si>
  <si>
    <t>Hyatt Place Niagara Falls</t>
  </si>
  <si>
    <t>Rachel Dorgan</t>
  </si>
  <si>
    <t>+1 (716) 285-5000</t>
  </si>
  <si>
    <t>Hyatt Place Ocean City - Oceanfront</t>
  </si>
  <si>
    <t xml:space="preserve">1 16th street </t>
  </si>
  <si>
    <t>Andrew Friedman</t>
  </si>
  <si>
    <t>+1 (410) 213-5333</t>
  </si>
  <si>
    <t>Hyatt Place Orlando Airport</t>
  </si>
  <si>
    <t xml:space="preserve">5435 Forbes Place </t>
  </si>
  <si>
    <t>Carrie Hoyt</t>
  </si>
  <si>
    <t>+ (407) 816-7800</t>
  </si>
  <si>
    <t>Hyatt Place Page</t>
  </si>
  <si>
    <t xml:space="preserve">1126 North Navajo </t>
  </si>
  <si>
    <t>Page</t>
  </si>
  <si>
    <t>Caitlyn Burke</t>
  </si>
  <si>
    <t>Nadia Santacruz</t>
  </si>
  <si>
    <t>+()1 928-212-2200</t>
  </si>
  <si>
    <t>Hyatt Place Panama City</t>
  </si>
  <si>
    <t>Aquilino de la Guardia entre Via Espana y Calle 52</t>
  </si>
  <si>
    <t>Leonardo Ruiz</t>
  </si>
  <si>
    <t>+1 (507) 6983-9217</t>
  </si>
  <si>
    <t>Hyatt Place Pena Station</t>
  </si>
  <si>
    <t xml:space="preserve">6110 Panasonic Way </t>
  </si>
  <si>
    <t>+1 (720) 405-4321</t>
  </si>
  <si>
    <t>Hyatt Place Phoenix - Chandler Fashion Center</t>
  </si>
  <si>
    <t xml:space="preserve">3535 West Chandler Boulevard </t>
  </si>
  <si>
    <t>Michael Moreno</t>
  </si>
  <si>
    <t>+1 (480) 812-9600</t>
  </si>
  <si>
    <t>Hyatt Place Pittsburgh - North Shore</t>
  </si>
  <si>
    <t xml:space="preserve">260 North Shore Drive </t>
  </si>
  <si>
    <t>Dan Rooney</t>
  </si>
  <si>
    <t>+1 (412) 321-3000</t>
  </si>
  <si>
    <t>Hyatt Place Reno-Tahoe Airport</t>
  </si>
  <si>
    <t xml:space="preserve">1790 East Plumb Lane </t>
  </si>
  <si>
    <t>Daniel Diefenthaler</t>
  </si>
  <si>
    <t>+1 (775) 826-2500</t>
  </si>
  <si>
    <t>Hyatt Place Salt Lake City</t>
  </si>
  <si>
    <t xml:space="preserve">55 North 400 West </t>
  </si>
  <si>
    <t>Slc</t>
  </si>
  <si>
    <t>Brandon Hansen</t>
  </si>
  <si>
    <t>+1 (801) 456-6300</t>
  </si>
  <si>
    <t>Hyatt Place Salt Lake City - Cottonwood</t>
  </si>
  <si>
    <t xml:space="preserve">3090 East 6200 South </t>
  </si>
  <si>
    <t>Nicholas Elmore</t>
  </si>
  <si>
    <t>Ken Cheshire</t>
  </si>
  <si>
    <t>+(801) 890-1280</t>
  </si>
  <si>
    <t>Hyatt Place Salt Lake City Farmington Station Park</t>
  </si>
  <si>
    <t xml:space="preserve">222 North Union Avenue </t>
  </si>
  <si>
    <t>Collin Townsend</t>
  </si>
  <si>
    <t>Tawny Mccrary</t>
  </si>
  <si>
    <t>+1(801) 683-4444</t>
  </si>
  <si>
    <t>Hyatt Place San Antonio Airport - Quarry Market</t>
  </si>
  <si>
    <t xml:space="preserve">7615 Jones Maltsberger Road </t>
  </si>
  <si>
    <t>Derrick Garcia</t>
  </si>
  <si>
    <t>+1 (210) 930-2333</t>
  </si>
  <si>
    <t>Hyatt Place San Antonio North Stone Oak</t>
  </si>
  <si>
    <t xml:space="preserve">1610 East Sonterra Blvd. </t>
  </si>
  <si>
    <t>Adriana Villarreal</t>
  </si>
  <si>
    <t>+1 (210) 545-2810</t>
  </si>
  <si>
    <t xml:space="preserve">Hyatt Place San Antonio/Riverwalk </t>
  </si>
  <si>
    <t xml:space="preserve">601 South St. Mary's Street </t>
  </si>
  <si>
    <t>Arthur Zertuche</t>
  </si>
  <si>
    <t>George Haas</t>
  </si>
  <si>
    <t>+ (210) 227-6854</t>
  </si>
  <si>
    <t>Hyatt Place San Francisco</t>
  </si>
  <si>
    <t xml:space="preserve">701 3rd Street </t>
  </si>
  <si>
    <t>Keno Rodriguez</t>
  </si>
  <si>
    <t>+1 (415) 767-2000</t>
  </si>
  <si>
    <t>Hyatt Place San Jose - Pinares</t>
  </si>
  <si>
    <t xml:space="preserve">Plaza Momentum Pinares </t>
  </si>
  <si>
    <t>Tomas Schilling</t>
  </si>
  <si>
    <t>+(506)2518 - 7700</t>
  </si>
  <si>
    <t>Hyatt Place San Jose Airport</t>
  </si>
  <si>
    <t xml:space="preserve">82 Karina Court </t>
  </si>
  <si>
    <t>+1 (669) 342-0007</t>
  </si>
  <si>
    <t>Hyatt Place San Jose del Cabo</t>
  </si>
  <si>
    <t>Paseo Malecon San Jose No. 128 Colonia Zona Hotelera Delegacio San Jose del Cabo</t>
  </si>
  <si>
    <t>San José Del Cabo</t>
  </si>
  <si>
    <t>Jorge Alberto Castaneda Chavez</t>
  </si>
  <si>
    <t>+1 (52) 624-123-1234</t>
  </si>
  <si>
    <t>Desarrollos Hoteleros de Honduras SA de CV</t>
  </si>
  <si>
    <t>Hyatt Place San Pedro Sula</t>
  </si>
  <si>
    <t xml:space="preserve">Avenida Circunvalación 10 calle Colonia Trejo </t>
  </si>
  <si>
    <t>San Pedro Sula</t>
  </si>
  <si>
    <t>Luis Garner</t>
  </si>
  <si>
    <t>+(504) 2570 7600</t>
  </si>
  <si>
    <t>Hyatt Place Schaumburg</t>
  </si>
  <si>
    <t xml:space="preserve">1851 McConnor Parkway </t>
  </si>
  <si>
    <t>Ashley Inclan</t>
  </si>
  <si>
    <t>+ (847) 330-1060</t>
  </si>
  <si>
    <t>Hyatt Place Seattle Downtown</t>
  </si>
  <si>
    <t xml:space="preserve">110 6th Avenue North </t>
  </si>
  <si>
    <t>+1 (206) 441-6041</t>
  </si>
  <si>
    <t>Hyatt Place Sharonville</t>
  </si>
  <si>
    <t xml:space="preserve">11345 Chester Road </t>
  </si>
  <si>
    <t>Frank Arena</t>
  </si>
  <si>
    <t>David Coley</t>
  </si>
  <si>
    <t>+1 (859) 360-6036</t>
  </si>
  <si>
    <t>Hyatt Place Silverton Village</t>
  </si>
  <si>
    <t xml:space="preserve">8380 Dean Martin Drive </t>
  </si>
  <si>
    <t>Jessica Dupont</t>
  </si>
  <si>
    <t>Angela McLaughlin</t>
  </si>
  <si>
    <t>+1(702) 575-6201</t>
  </si>
  <si>
    <t>Hyatt Place St. Paul</t>
  </si>
  <si>
    <t xml:space="preserve">180 East Kellogg Boulevard </t>
  </si>
  <si>
    <t>Mitchell Unruh</t>
  </si>
  <si>
    <t>Dominic Rudy</t>
  </si>
  <si>
    <t>+1 (651) 647-5000</t>
  </si>
  <si>
    <t>Hyatt Place St. Petersburg</t>
  </si>
  <si>
    <t xml:space="preserve">25 2nd Street North </t>
  </si>
  <si>
    <t>Stephen Nunez</t>
  </si>
  <si>
    <t>+1 (561) 717-6711</t>
  </si>
  <si>
    <t>Hyatt Place Sterling/Dulles Airport North</t>
  </si>
  <si>
    <t xml:space="preserve">21481 Ridgetop Circle </t>
  </si>
  <si>
    <t>Ashish Sharma</t>
  </si>
  <si>
    <t>+1 (703) 444-3909</t>
  </si>
  <si>
    <t>Hyatt Place Tampa Airport/Westshore</t>
  </si>
  <si>
    <t xml:space="preserve">4811 West Main Street </t>
  </si>
  <si>
    <t>Jim Trivers</t>
  </si>
  <si>
    <t>+ 1 (813) 282-1037</t>
  </si>
  <si>
    <t>Hyatt Place Tempe Phoenix Airport</t>
  </si>
  <si>
    <t xml:space="preserve">1413 West Rio Salado Parkway </t>
  </si>
  <si>
    <t>Jennifer Lewis</t>
  </si>
  <si>
    <t>+ (480) 804-9544</t>
  </si>
  <si>
    <t>Hyatt Place Tijuana</t>
  </si>
  <si>
    <t xml:space="preserve">Boulevard Agua Caliente 10488 Col Aviacon </t>
  </si>
  <si>
    <t>Baltazar Pille</t>
  </si>
  <si>
    <t>+52 (664) 136-4835</t>
  </si>
  <si>
    <t>Hyatt Place Tucson-Central</t>
  </si>
  <si>
    <t xml:space="preserve">1375 West Grant Road </t>
  </si>
  <si>
    <t>Wade Hossman</t>
  </si>
  <si>
    <t>+1 (520) 206-0602</t>
  </si>
  <si>
    <t>3S Hotels Group LLC</t>
  </si>
  <si>
    <t>Hyatt Place Tulsa Downtown</t>
  </si>
  <si>
    <t xml:space="preserve">400 South Boston Avenue </t>
  </si>
  <si>
    <t>Julie Shreve</t>
  </si>
  <si>
    <t>+1 (918) 346-6024</t>
  </si>
  <si>
    <t>Hyatt Place Waco</t>
  </si>
  <si>
    <t xml:space="preserve">5400 Bagby Avenue </t>
  </si>
  <si>
    <t>Andreas Muggler</t>
  </si>
  <si>
    <t>Carrie Mathews</t>
  </si>
  <si>
    <t>+1 (254) 313-0800</t>
  </si>
  <si>
    <t>Hyatt Place Waikiki Beach</t>
  </si>
  <si>
    <t xml:space="preserve">175 Paoakalani Avenue </t>
  </si>
  <si>
    <t>Ihab Kherati</t>
  </si>
  <si>
    <t>+1 (808) 922-3861</t>
  </si>
  <si>
    <t>Hyatt Place Washington DC - US Capitol</t>
  </si>
  <si>
    <t xml:space="preserve">33 New York Avenue Northeast </t>
  </si>
  <si>
    <t>Josie Forde</t>
  </si>
  <si>
    <t>+1 (202) 289-5599</t>
  </si>
  <si>
    <t>Hyatt Place West Palm Beach - Downtown</t>
  </si>
  <si>
    <t xml:space="preserve">295 Lakeview Avenue </t>
  </si>
  <si>
    <t>Chad Ingram</t>
  </si>
  <si>
    <t>+1 (561) 655-1454</t>
  </si>
  <si>
    <t>Hyatt Place Yonkers</t>
  </si>
  <si>
    <t xml:space="preserve">7000 Mall Walk Boulevard </t>
  </si>
  <si>
    <t>Jason Bomba</t>
  </si>
  <si>
    <t>Seth White</t>
  </si>
  <si>
    <t>+1 (316) 681-5100</t>
  </si>
  <si>
    <t>Hyatt Regency Andares Guadalajara</t>
  </si>
  <si>
    <t xml:space="preserve">Puerta de hierro 4965 </t>
  </si>
  <si>
    <t>Cesar Moreno</t>
  </si>
  <si>
    <t>Paula Barbosa</t>
  </si>
  <si>
    <t>+1(333) 815-3678</t>
  </si>
  <si>
    <t>Hyatt Regency Aruba Resort &amp; Casino</t>
  </si>
  <si>
    <t xml:space="preserve">J.E. Irausquin Blvd #85 </t>
  </si>
  <si>
    <t xml:space="preserve">Gabriel Castrillon </t>
  </si>
  <si>
    <t>Daniel Quandus</t>
  </si>
  <si>
    <t>+1 (011) 297-586-1234</t>
  </si>
  <si>
    <t xml:space="preserve">Hyatt Regency Atlanta </t>
  </si>
  <si>
    <t xml:space="preserve">265 Peachtree ST NE </t>
  </si>
  <si>
    <t>+ (404) 577-1234</t>
  </si>
  <si>
    <t>Hyatt Regency Aurora Denver Conference</t>
  </si>
  <si>
    <t xml:space="preserve">13200 East 14th Street </t>
  </si>
  <si>
    <t>Derek Shelly</t>
  </si>
  <si>
    <t>Maria Cigolotti</t>
  </si>
  <si>
    <t>+1 (303) 365-1234</t>
  </si>
  <si>
    <t>Hyatt Regency Austin</t>
  </si>
  <si>
    <t xml:space="preserve">208 Barton Springs Road </t>
  </si>
  <si>
    <t>Jeff Donahoe</t>
  </si>
  <si>
    <t>+ (512) 477-1234</t>
  </si>
  <si>
    <t>Hyatt Regency Baltimore</t>
  </si>
  <si>
    <t xml:space="preserve">300 Light Street </t>
  </si>
  <si>
    <t>newkb tester</t>
  </si>
  <si>
    <t>+ (410) 528-1234</t>
  </si>
  <si>
    <t>Hyatt Regency Bellevue</t>
  </si>
  <si>
    <t xml:space="preserve">900 Bellevue Way NE </t>
  </si>
  <si>
    <t>David Nadelman</t>
  </si>
  <si>
    <t>+ (425) 462-1234</t>
  </si>
  <si>
    <t>Hyatt Regency Birmingham - The Wynfrey Hotel</t>
  </si>
  <si>
    <t xml:space="preserve">1000 Riverchase Galleria </t>
  </si>
  <si>
    <t>Matthew Sterley</t>
  </si>
  <si>
    <t>+1 (205) 987-1600</t>
  </si>
  <si>
    <t>Hyatt Regency Boston Financial Center</t>
  </si>
  <si>
    <t xml:space="preserve">One Avenue De Lafayette </t>
  </si>
  <si>
    <t>Chryssaldo Thomas</t>
  </si>
  <si>
    <t>Brian Gorski</t>
  </si>
  <si>
    <t>+1 (617) 912-1234</t>
  </si>
  <si>
    <t>Hyatt Regency Boston Harbor</t>
  </si>
  <si>
    <t xml:space="preserve">101 Harborside DR </t>
  </si>
  <si>
    <t>Chad Goudie</t>
  </si>
  <si>
    <t>+ (617) 568-1234</t>
  </si>
  <si>
    <t>Hyatt Regency Calgary</t>
  </si>
  <si>
    <t xml:space="preserve">700 CENTRE STREET SOUTH </t>
  </si>
  <si>
    <t>CALGARY</t>
  </si>
  <si>
    <t>T2G 5P6</t>
  </si>
  <si>
    <t>Manfred Steuerwald</t>
  </si>
  <si>
    <t>Gabriel Serban</t>
  </si>
  <si>
    <t>+1 (403) 717-1234</t>
  </si>
  <si>
    <t>Hyatt Regency Cambridge</t>
  </si>
  <si>
    <t xml:space="preserve">575 Memorial DR </t>
  </si>
  <si>
    <t>Brian Chiaromonte</t>
  </si>
  <si>
    <t>+ (617) 492-1234</t>
  </si>
  <si>
    <t>Hyatt Regency Chesapeake Bay Resort</t>
  </si>
  <si>
    <t xml:space="preserve">100 Heron Blvd. </t>
  </si>
  <si>
    <t>Joel Bunde</t>
  </si>
  <si>
    <t>Sarah Parker</t>
  </si>
  <si>
    <t>+1 (410) 901-1234</t>
  </si>
  <si>
    <t>Hyatt Regency Chicago</t>
  </si>
  <si>
    <t xml:space="preserve">151 E. Wacker Drive </t>
  </si>
  <si>
    <t>Patrick Donelly</t>
  </si>
  <si>
    <t>Maria Gomez</t>
  </si>
  <si>
    <t>+ (312) 565-1234</t>
  </si>
  <si>
    <t>Hyatt Regency Cincinnati</t>
  </si>
  <si>
    <t xml:space="preserve">151 West 5th Street </t>
  </si>
  <si>
    <t>Joe Pinto</t>
  </si>
  <si>
    <t>Justin Anderson</t>
  </si>
  <si>
    <t>+ (513) 579-1234</t>
  </si>
  <si>
    <t>Hyatt Regency Clearwater Beach Resort and Spa</t>
  </si>
  <si>
    <t xml:space="preserve">301 South Gulfview Boulevard </t>
  </si>
  <si>
    <t>Jeff Thompson</t>
  </si>
  <si>
    <t>+ (727) 373-1234</t>
  </si>
  <si>
    <t>Hyatt Regency Cleveland</t>
  </si>
  <si>
    <t xml:space="preserve">420 Superior Avenue East </t>
  </si>
  <si>
    <t>Joe Forbes</t>
  </si>
  <si>
    <t>+ (216) 575-1234</t>
  </si>
  <si>
    <t>Hyatt Regency Coconut Point</t>
  </si>
  <si>
    <t xml:space="preserve">5001 Coconut Rd. </t>
  </si>
  <si>
    <t>Brian Kramer</t>
  </si>
  <si>
    <t>Lisa Button</t>
  </si>
  <si>
    <t>+ (239) 444-1234</t>
  </si>
  <si>
    <t>Hyatt Regency Columbus</t>
  </si>
  <si>
    <t xml:space="preserve">350 North High Street </t>
  </si>
  <si>
    <t>Stephen Stewart</t>
  </si>
  <si>
    <t>Bob Vance</t>
  </si>
  <si>
    <t>+ (614) 463-1234</t>
  </si>
  <si>
    <t>Hyatt Regency Coral Gables</t>
  </si>
  <si>
    <t xml:space="preserve">50 Alhambra PLZ </t>
  </si>
  <si>
    <t>Mario Terran</t>
  </si>
  <si>
    <t>+ (305) 441-1234</t>
  </si>
  <si>
    <t>Hyatt Regency Coralville</t>
  </si>
  <si>
    <t xml:space="preserve">300 East 9th Street </t>
  </si>
  <si>
    <t>Matt Traetow</t>
  </si>
  <si>
    <t>+ (319) 688-4000</t>
  </si>
  <si>
    <t>Hyatt Regency Crystal City</t>
  </si>
  <si>
    <t xml:space="preserve">2799 Jefferson Davis Highway </t>
  </si>
  <si>
    <t>Donna Marquez</t>
  </si>
  <si>
    <t>+ (703) 418-1234</t>
  </si>
  <si>
    <t>Hyatt Regency Dallas</t>
  </si>
  <si>
    <t xml:space="preserve">300 Reunion Blvd </t>
  </si>
  <si>
    <t>Michael Koffler</t>
  </si>
  <si>
    <t>Markus Puereschitz</t>
  </si>
  <si>
    <t>+ (214) 651-1234</t>
  </si>
  <si>
    <t>Hyatt Regency Denver Convention Center</t>
  </si>
  <si>
    <t xml:space="preserve">650 15th Street </t>
  </si>
  <si>
    <t>Greg Leonard</t>
  </si>
  <si>
    <t>Marc Ellin</t>
  </si>
  <si>
    <t>+1 (303) 436-1234</t>
  </si>
  <si>
    <t>Hyatt Regency DFW</t>
  </si>
  <si>
    <t>2334 North International Parkway PO Box 619014 International Parkway</t>
  </si>
  <si>
    <t>Stephen Dagostino</t>
  </si>
  <si>
    <t>+ (972) 453-1234</t>
  </si>
  <si>
    <t>Hyatt Regency Dulles</t>
  </si>
  <si>
    <t xml:space="preserve">2300 Dulles Corner Boulevard </t>
  </si>
  <si>
    <t>Brian Lodermeier</t>
  </si>
  <si>
    <t>+1 (703) 713-1234</t>
  </si>
  <si>
    <t>Hyatt Regency Frisco</t>
  </si>
  <si>
    <t xml:space="preserve">2615 Preston Road </t>
  </si>
  <si>
    <t>Lance Stumpf</t>
  </si>
  <si>
    <t>Hyatt Regency Grand Cypress Resort</t>
  </si>
  <si>
    <t xml:space="preserve">1 Grand Cypress BLVD </t>
  </si>
  <si>
    <t>Paul Joseph</t>
  </si>
  <si>
    <t>Jose Barriga</t>
  </si>
  <si>
    <t>+ (407) 239-1234</t>
  </si>
  <si>
    <t>Hyatt Regency Green Bay</t>
  </si>
  <si>
    <t xml:space="preserve">333 Main Street </t>
  </si>
  <si>
    <t>Kristine Hall</t>
  </si>
  <si>
    <t>Shauntel Hamilton</t>
  </si>
  <si>
    <t>+1 (920) 432-1234</t>
  </si>
  <si>
    <t>Hyatt Regency Greenville</t>
  </si>
  <si>
    <t xml:space="preserve">220 North Main Street </t>
  </si>
  <si>
    <t>Dirk Bengel</t>
  </si>
  <si>
    <t>Tina McCune</t>
  </si>
  <si>
    <t>+ (864) 235-1234</t>
  </si>
  <si>
    <t>Hyatt Regency Greenwich</t>
  </si>
  <si>
    <t xml:space="preserve">1800 E PUTNAM AVE </t>
  </si>
  <si>
    <t>Old Greenwich</t>
  </si>
  <si>
    <t>Sherry Hicks-Buckles</t>
  </si>
  <si>
    <t>Leroy Gee</t>
  </si>
  <si>
    <t>+ (203) 637-1234</t>
  </si>
  <si>
    <t>Hyatt Regency Hill Country Resort</t>
  </si>
  <si>
    <t xml:space="preserve">9800 Hyatt Resort Drive </t>
  </si>
  <si>
    <t>Steve Smith</t>
  </si>
  <si>
    <t>Dawn Herrera</t>
  </si>
  <si>
    <t>+ (210) 647-1234</t>
  </si>
  <si>
    <t>Hyatt Regency Houston</t>
  </si>
  <si>
    <t xml:space="preserve">1200 Louisiana ST </t>
  </si>
  <si>
    <t>John Schaffer</t>
  </si>
  <si>
    <t>Meka Harrison</t>
  </si>
  <si>
    <t>+ (713) 654-1234</t>
  </si>
  <si>
    <t>Hyatt Regency Huntington Beach Resort &amp; Spa</t>
  </si>
  <si>
    <t xml:space="preserve">21500 Pacific Coast Highway </t>
  </si>
  <si>
    <t>Nicole McGeorge</t>
  </si>
  <si>
    <t xml:space="preserve">Peter Rice </t>
  </si>
  <si>
    <t>+1 (714) 698-1234</t>
  </si>
  <si>
    <t>Hyatt Regency Indian Wells Resort &amp; Spa</t>
  </si>
  <si>
    <t xml:space="preserve">44-600 Indian Wells Ln </t>
  </si>
  <si>
    <t>Mike Waddell</t>
  </si>
  <si>
    <t>Andrew Romero</t>
  </si>
  <si>
    <t>+ (760) 341-1000</t>
  </si>
  <si>
    <t>Hyatt Regency Jacksonville</t>
  </si>
  <si>
    <t xml:space="preserve">225 Coast Line Drive East </t>
  </si>
  <si>
    <t>Joe Hindsley</t>
  </si>
  <si>
    <t>+1 (904) 588-1234</t>
  </si>
  <si>
    <t>Hyatt Regency Jersey City on the Hudson</t>
  </si>
  <si>
    <t xml:space="preserve">2 Exchange Place </t>
  </si>
  <si>
    <t>James Dale</t>
  </si>
  <si>
    <t>+1 (201) 469-1234</t>
  </si>
  <si>
    <t>Pacific Hotel Management Inc</t>
  </si>
  <si>
    <t>Hyatt Regency John Wayne Airport - Newport Beach</t>
  </si>
  <si>
    <t xml:space="preserve">4545 Macarthur Boulevard </t>
  </si>
  <si>
    <t>+1 (949) 833-0570</t>
  </si>
  <si>
    <t>Hyatt Regency La Jolla</t>
  </si>
  <si>
    <t xml:space="preserve">3777 La Jolla Village Drive </t>
  </si>
  <si>
    <t>+1 (858) 552-1234</t>
  </si>
  <si>
    <t>Hyatt Regency Lake Tahoe</t>
  </si>
  <si>
    <t xml:space="preserve">111 Country Club Dr. </t>
  </si>
  <si>
    <t>Michael Murphy</t>
  </si>
  <si>
    <t>Carlos Ramos</t>
  </si>
  <si>
    <t>+ (775) 832-1234</t>
  </si>
  <si>
    <t>Hyatt Regency Lake Washington at Seattle’s Southport</t>
  </si>
  <si>
    <t xml:space="preserve">1053 Lake Washington Boulevard </t>
  </si>
  <si>
    <t>Scott Lane</t>
  </si>
  <si>
    <t>Vito Dunmire</t>
  </si>
  <si>
    <t>+1 (425) 203-1234</t>
  </si>
  <si>
    <t>Hyatt Regency Long Beach</t>
  </si>
  <si>
    <t xml:space="preserve">200 S. Pine Ave </t>
  </si>
  <si>
    <t>Sid Ramani</t>
  </si>
  <si>
    <t>+ (562) 491-1234</t>
  </si>
  <si>
    <t>Hyatt Regency Long Island</t>
  </si>
  <si>
    <t xml:space="preserve">1717 Motor Pkwy. </t>
  </si>
  <si>
    <t>Ozgen Cevik</t>
  </si>
  <si>
    <t>Andrew Carranza</t>
  </si>
  <si>
    <t>+1 (631) 232-9800</t>
  </si>
  <si>
    <t>Hyatt Regency Los Angeles International Airport</t>
  </si>
  <si>
    <t xml:space="preserve">6225 West Century Boulevard </t>
  </si>
  <si>
    <t>Gnell Abracosa</t>
  </si>
  <si>
    <t>Rey Pascual</t>
  </si>
  <si>
    <t>+1 (310) 670-9000</t>
  </si>
  <si>
    <t>Hyatt Regency Lost Pines Resort and Spa</t>
  </si>
  <si>
    <t xml:space="preserve">575 Hyatt Lost Pines Road </t>
  </si>
  <si>
    <t>Lost Pines</t>
  </si>
  <si>
    <t>Keith Spinden</t>
  </si>
  <si>
    <t>Michael Sanchez</t>
  </si>
  <si>
    <t>+1 (512) 308-1234</t>
  </si>
  <si>
    <t>Hyatt Regency Maui</t>
  </si>
  <si>
    <t>200 Nohea Kai Dr Maui</t>
  </si>
  <si>
    <t>David Olney</t>
  </si>
  <si>
    <t>+ (808) 661-1234</t>
  </si>
  <si>
    <t>Hyatt Regency McCormick Place</t>
  </si>
  <si>
    <t xml:space="preserve">2233 S Martin Luther King Dri </t>
  </si>
  <si>
    <t>David Jacobs</t>
  </si>
  <si>
    <t>John Gill</t>
  </si>
  <si>
    <t>+ (312) 567-1234</t>
  </si>
  <si>
    <t xml:space="preserve">Hyatt Regency Merida </t>
  </si>
  <si>
    <t>Av Colon 344 Col. Centro Paseo Montejo</t>
  </si>
  <si>
    <t>Sarah Levorato</t>
  </si>
  <si>
    <t>+52 (55) 9999421234</t>
  </si>
  <si>
    <t>Hyatt Regency Mexico City</t>
  </si>
  <si>
    <t>Campos Eliseos 204 Col. Polanco Chapultepec</t>
  </si>
  <si>
    <t>Christophe Lorvo</t>
  </si>
  <si>
    <t>Mayra Murguia</t>
  </si>
  <si>
    <t>+52 (55) 52838700</t>
  </si>
  <si>
    <t>Hyatt Regency Miami</t>
  </si>
  <si>
    <t xml:space="preserve">400 SE 2ND AVE </t>
  </si>
  <si>
    <t>Amir Blattner</t>
  </si>
  <si>
    <t>Donna Lewis</t>
  </si>
  <si>
    <t>+ (305) 358-1234</t>
  </si>
  <si>
    <t>Hyatt Regency Minneapolis</t>
  </si>
  <si>
    <t xml:space="preserve">1300 Nicollet AVE </t>
  </si>
  <si>
    <t>John Yeadon</t>
  </si>
  <si>
    <t>Mike Menard</t>
  </si>
  <si>
    <t>+ (612) 370-1234</t>
  </si>
  <si>
    <t>Hyatt Regency Mission Bay Spa &amp; Marina</t>
  </si>
  <si>
    <t xml:space="preserve">1441 Quivira Rd </t>
  </si>
  <si>
    <t>Chad Eding</t>
  </si>
  <si>
    <t>+ (619) 224-1234</t>
  </si>
  <si>
    <t>Hyatt Regency Monterey</t>
  </si>
  <si>
    <t xml:space="preserve">1 Old Golf Course Road </t>
  </si>
  <si>
    <t>+ (831) 372-1234</t>
  </si>
  <si>
    <t xml:space="preserve">Hyatt Regency Morristown </t>
  </si>
  <si>
    <t xml:space="preserve">3 Speedwell Avenue </t>
  </si>
  <si>
    <t>Jeff Babcock</t>
  </si>
  <si>
    <t>+1 (973) 647-1234</t>
  </si>
  <si>
    <t>Hyatt Regency New Brunswick</t>
  </si>
  <si>
    <t xml:space="preserve">2 Albany Street </t>
  </si>
  <si>
    <t>Jeffrey Johnson</t>
  </si>
  <si>
    <t>George Crea</t>
  </si>
  <si>
    <t>+ (732) 873-1234</t>
  </si>
  <si>
    <t>Hyatt Regency New Orleans</t>
  </si>
  <si>
    <t xml:space="preserve">601 Loyola Avenue </t>
  </si>
  <si>
    <t>Linda Ehnert</t>
  </si>
  <si>
    <t>+ (504) 561-1234</t>
  </si>
  <si>
    <t>Hyatt Regency Newport Beach</t>
  </si>
  <si>
    <t xml:space="preserve">1107 Jamboree Rd </t>
  </si>
  <si>
    <t>Accounting Newpo</t>
  </si>
  <si>
    <t>+ (949) 729-1234</t>
  </si>
  <si>
    <t>Hyatt Regency O'Hare</t>
  </si>
  <si>
    <t xml:space="preserve">9300 West Bryn Mawr Avenue </t>
  </si>
  <si>
    <t>Jason Gibbs</t>
  </si>
  <si>
    <t>Mark Wagner</t>
  </si>
  <si>
    <t>+ (847) 696-1234</t>
  </si>
  <si>
    <t>Hyatt Regency Orange County</t>
  </si>
  <si>
    <t xml:space="preserve">11999 Harbor Blvd </t>
  </si>
  <si>
    <t>Greg Nomura</t>
  </si>
  <si>
    <t>+ (714) 750-1234</t>
  </si>
  <si>
    <t>Hyatt Regency Orlando</t>
  </si>
  <si>
    <t xml:space="preserve">9801 International Drive </t>
  </si>
  <si>
    <t>Brian Comes</t>
  </si>
  <si>
    <t>Tara Kotkowski</t>
  </si>
  <si>
    <t>+1 (407) 284-1234</t>
  </si>
  <si>
    <t>Hyatt Regency Orlando International Airport</t>
  </si>
  <si>
    <t xml:space="preserve">9300 Jeff Fuqua Boulevard </t>
  </si>
  <si>
    <t>Bruce McDonald</t>
  </si>
  <si>
    <t>David Phillips</t>
  </si>
  <si>
    <t>+ (407) 825-1234</t>
  </si>
  <si>
    <t>Hyatt Regency Phoenix</t>
  </si>
  <si>
    <t xml:space="preserve">122 N. 2nd St </t>
  </si>
  <si>
    <t>Tom Delaney</t>
  </si>
  <si>
    <t>Danielle Klus</t>
  </si>
  <si>
    <t>+1 (602) 252-1234</t>
  </si>
  <si>
    <t>Hyatt Regency Pittsburgh International Airport</t>
  </si>
  <si>
    <t>1111 Airport Boulevard P. O. Box 12420</t>
  </si>
  <si>
    <t>Robert Rush</t>
  </si>
  <si>
    <t>+ (724) 899-1234</t>
  </si>
  <si>
    <t>Hyatt Regency Portland at the Oregon Convention Center</t>
  </si>
  <si>
    <t xml:space="preserve">375 NE Holladay Street </t>
  </si>
  <si>
    <t>Shane Nicolopoulus</t>
  </si>
  <si>
    <t>Alex Yukolis</t>
  </si>
  <si>
    <t>Hyatt Regency Princeton</t>
  </si>
  <si>
    <t xml:space="preserve">102 Carnegie CTR </t>
  </si>
  <si>
    <t>Michael Moser</t>
  </si>
  <si>
    <t>Kelly Pierce</t>
  </si>
  <si>
    <t>+ (609) 987-1234</t>
  </si>
  <si>
    <t>Hyatt Regency Reston</t>
  </si>
  <si>
    <t xml:space="preserve">1800 Presidents Street </t>
  </si>
  <si>
    <t>Reston</t>
  </si>
  <si>
    <t>Tyson Warren</t>
  </si>
  <si>
    <t>+ (703) 709-1234</t>
  </si>
  <si>
    <t>Hyatt Regency Sacramento</t>
  </si>
  <si>
    <t xml:space="preserve">1209 L St </t>
  </si>
  <si>
    <t>Ryan Martinez</t>
  </si>
  <si>
    <t>+ (916) 443-1234</t>
  </si>
  <si>
    <t>Hyatt Regency San Antonio Riverwalk</t>
  </si>
  <si>
    <t xml:space="preserve">123 Losoya Street </t>
  </si>
  <si>
    <t>Philip Stamm</t>
  </si>
  <si>
    <t>+ (210) 222-1234</t>
  </si>
  <si>
    <t>Hyatt Regency San Francisco Airport</t>
  </si>
  <si>
    <t xml:space="preserve">1333 Bayshore Highway </t>
  </si>
  <si>
    <t>Burlingame</t>
  </si>
  <si>
    <t>Kevin Kretsch</t>
  </si>
  <si>
    <t>+ (650) 347-1234</t>
  </si>
  <si>
    <t>Hyatt Regency Santa Clara</t>
  </si>
  <si>
    <t xml:space="preserve">5101 Great America Parkway </t>
  </si>
  <si>
    <t>Eron Hodges</t>
  </si>
  <si>
    <t>Matt Stohlgren</t>
  </si>
  <si>
    <t>+1 (408) 986-0700</t>
  </si>
  <si>
    <t>Hyatt Regency Savannah</t>
  </si>
  <si>
    <t xml:space="preserve">2 W Bay Street </t>
  </si>
  <si>
    <t>Todd Costin</t>
  </si>
  <si>
    <t>Clyde Sanders</t>
  </si>
  <si>
    <t>+ (912) 238-1234</t>
  </si>
  <si>
    <t>Hyatt Regency Schaumburg</t>
  </si>
  <si>
    <t xml:space="preserve">1800 East Golf Road </t>
  </si>
  <si>
    <t>Omar Naimi</t>
  </si>
  <si>
    <t>+ (847) 605-1234</t>
  </si>
  <si>
    <t>Hyatt Regency Scottsdale at Gainey Ranch</t>
  </si>
  <si>
    <t xml:space="preserve">7500 E. Doubletree Ranch Rd </t>
  </si>
  <si>
    <t>Lance Marrin</t>
  </si>
  <si>
    <t>Christina Fry</t>
  </si>
  <si>
    <t>+1 (480) 444-1234</t>
  </si>
  <si>
    <t>Hyatt Regency Seattle</t>
  </si>
  <si>
    <t xml:space="preserve">808 Howell Street </t>
  </si>
  <si>
    <t>Hubertus Jores</t>
  </si>
  <si>
    <t>Tom Wolf</t>
  </si>
  <si>
    <t>+1(206) 973-1234</t>
  </si>
  <si>
    <t>Hyatt Regency St. Louis at the Arch</t>
  </si>
  <si>
    <t xml:space="preserve">315 Chestnut Street </t>
  </si>
  <si>
    <t>Randy thompson</t>
  </si>
  <si>
    <t>Fran Zicari</t>
  </si>
  <si>
    <t>+ (314) 655-1234</t>
  </si>
  <si>
    <t>Hyatt Regency Suites Atlanta Northwest</t>
  </si>
  <si>
    <t xml:space="preserve">2999 Windy Hill Road </t>
  </si>
  <si>
    <t>Leslie Tune</t>
  </si>
  <si>
    <t>+ (770) 956-1234</t>
  </si>
  <si>
    <t>Hyatt Regency Tamaya</t>
  </si>
  <si>
    <t xml:space="preserve">1300 Tuyuna Trail </t>
  </si>
  <si>
    <t>Santa Ana Pueblo</t>
  </si>
  <si>
    <t>Claudia Wattenberg</t>
  </si>
  <si>
    <t>Cesar Carrillo</t>
  </si>
  <si>
    <t>+1 (505) 867-1234</t>
  </si>
  <si>
    <t xml:space="preserve">Hyatt Regency Toronto </t>
  </si>
  <si>
    <t>370 King Street West Box #137</t>
  </si>
  <si>
    <t>M5V 1J9</t>
  </si>
  <si>
    <t>Vinay Monteiro</t>
  </si>
  <si>
    <t>+1(416)343 1234</t>
  </si>
  <si>
    <t>Hyatt Regency Trinidad</t>
  </si>
  <si>
    <t># 1 Wrightson Road PO BOX 1017</t>
  </si>
  <si>
    <t>Jane Sadaphal</t>
  </si>
  <si>
    <t>Jason Sealy</t>
  </si>
  <si>
    <t>+1 (868) 623 2222</t>
  </si>
  <si>
    <t>Hyatt Regency Tysons Corner Center</t>
  </si>
  <si>
    <t xml:space="preserve">7901 Tysons One Place </t>
  </si>
  <si>
    <t>Mc Lean</t>
  </si>
  <si>
    <t>Jon Davenhall</t>
  </si>
  <si>
    <t>Bradley Nairne</t>
  </si>
  <si>
    <t>+1 (703) 893-1234</t>
  </si>
  <si>
    <t>Hyatt Regency Valencia</t>
  </si>
  <si>
    <t xml:space="preserve">24500 Town Center Dr </t>
  </si>
  <si>
    <t>Thomas Clearwater</t>
  </si>
  <si>
    <t>Staci Scarselli</t>
  </si>
  <si>
    <t>+ (661) 799-1234</t>
  </si>
  <si>
    <t>Hyatt Regency Vancouver</t>
  </si>
  <si>
    <t xml:space="preserve">655 Burrard St </t>
  </si>
  <si>
    <t>V6C 2R7</t>
  </si>
  <si>
    <t>Jordan Meisner</t>
  </si>
  <si>
    <t>Ellie Teano</t>
  </si>
  <si>
    <t>+ (604) 683-1234</t>
  </si>
  <si>
    <t>Hyatt Regency Villa Christina</t>
  </si>
  <si>
    <t xml:space="preserve">4000 Summit Boulevard </t>
  </si>
  <si>
    <t>North Atlanta</t>
  </si>
  <si>
    <t>Chris Alto</t>
  </si>
  <si>
    <t>+1 (678) 539-1234</t>
  </si>
  <si>
    <t>Hyatt Regency Villahermosa</t>
  </si>
  <si>
    <t>Calle Benito Juarez Garcia No 106 col Lindvista</t>
  </si>
  <si>
    <t>Francisco Hernandez</t>
  </si>
  <si>
    <t>+52 (993) 310-1234</t>
  </si>
  <si>
    <t>Hyatt Regency Waikiki</t>
  </si>
  <si>
    <t>2424 Kalakaua Ave Oahu</t>
  </si>
  <si>
    <t>Kim Torii</t>
  </si>
  <si>
    <t>+ (808) 923-1234</t>
  </si>
  <si>
    <t>Hyatt Regency Washington</t>
  </si>
  <si>
    <t xml:space="preserve">400 New Jersey Avenue NW </t>
  </si>
  <si>
    <t>Gail Smith-Howard</t>
  </si>
  <si>
    <t>+ (202) 737-1234</t>
  </si>
  <si>
    <t>Hyatt Regency Westlake Plaza</t>
  </si>
  <si>
    <t xml:space="preserve">880 South Westlake Boulevard </t>
  </si>
  <si>
    <t>Westlake Village</t>
  </si>
  <si>
    <t>Anthony Salah</t>
  </si>
  <si>
    <t>+ (805) 557-1234</t>
  </si>
  <si>
    <t>Hyatt Regency Wichita</t>
  </si>
  <si>
    <t xml:space="preserve">400 W Waterman St </t>
  </si>
  <si>
    <t xml:space="preserve">Chris Ruffin </t>
  </si>
  <si>
    <t>Kari Miner</t>
  </si>
  <si>
    <t>+ (316) 293-1234</t>
  </si>
  <si>
    <t>Hyatt Siesta Key Beach</t>
  </si>
  <si>
    <t xml:space="preserve">915 Seaside Drive </t>
  </si>
  <si>
    <t xml:space="preserve">Jonathan ""JP"" Doepke </t>
  </si>
  <si>
    <t>+(941)346-5900</t>
  </si>
  <si>
    <t>Hyatt Sunset Harbor Vacation Club</t>
  </si>
  <si>
    <t xml:space="preserve">200 Sunset Lane </t>
  </si>
  <si>
    <t>Leidys Torres</t>
  </si>
  <si>
    <t>+1 (305) 292-2001</t>
  </si>
  <si>
    <t>Hyatt The Pike</t>
  </si>
  <si>
    <t xml:space="preserve">285 Bay Street </t>
  </si>
  <si>
    <t>+1 (562) 436-1047</t>
  </si>
  <si>
    <t>Hyatt Union Square</t>
  </si>
  <si>
    <t xml:space="preserve">132 Fourth Avenue </t>
  </si>
  <si>
    <t>new york</t>
  </si>
  <si>
    <t>+(212)253-1234</t>
  </si>
  <si>
    <t>Hyatt Wild Oak Ranch Vacation Club</t>
  </si>
  <si>
    <t xml:space="preserve">9700 West Military Drive </t>
  </si>
  <si>
    <t>+1 (210) 647-9300</t>
  </si>
  <si>
    <t>Hyatt Windward Pointe Vacation Club</t>
  </si>
  <si>
    <t xml:space="preserve">3675 South Roosevelt Boulevard </t>
  </si>
  <si>
    <t>Adam Baraniewicz</t>
  </si>
  <si>
    <t>+1 (305) 293-5050</t>
  </si>
  <si>
    <t>Ibis Aquascalientes Norte</t>
  </si>
  <si>
    <t>Blvd Aquascaliente Zac km 6 Fracc Arroyo el Molino</t>
  </si>
  <si>
    <t>Itzel Rueda</t>
  </si>
  <si>
    <t>+(+52)449 200 2500</t>
  </si>
  <si>
    <t>Ibis Cancun Centro</t>
  </si>
  <si>
    <t>Av Tulum y Nichupte Supermanzana 11 M2 L3</t>
  </si>
  <si>
    <t>+(+52)998 272 8500</t>
  </si>
  <si>
    <t>Ibis Chihuahua</t>
  </si>
  <si>
    <t>Av Benito Juarez Garcia 3115 Col Centro</t>
  </si>
  <si>
    <t>Chihuahua</t>
  </si>
  <si>
    <t>CHIH</t>
  </si>
  <si>
    <t>+(+52)6142015100</t>
  </si>
  <si>
    <t>Ibis Culiacan</t>
  </si>
  <si>
    <t>Jesus Kumate 3500 Sur Col San Rafael Culiacan</t>
  </si>
  <si>
    <t>Culiacan</t>
  </si>
  <si>
    <t>+(+52)667 500 3700</t>
  </si>
  <si>
    <t>Ibis Guadalajara</t>
  </si>
  <si>
    <t>Av Mariano Otero no 1400 Col Jardines Del Bosque</t>
  </si>
  <si>
    <t>+(+52)33 3880 9600</t>
  </si>
  <si>
    <t>Ibis Hermosillo</t>
  </si>
  <si>
    <t>Boulevard Cultura 48 Col Proyecto Rio Sonora</t>
  </si>
  <si>
    <t>Los Tajitos</t>
  </si>
  <si>
    <t>+(+52)662 208 4700</t>
  </si>
  <si>
    <t>Ibis Juarez Consulado</t>
  </si>
  <si>
    <t>Prol Ramon R Lara 8930 3 Av Paseo de la Victoria</t>
  </si>
  <si>
    <t>Ciudad Juarez</t>
  </si>
  <si>
    <t>+(+52)656 289 6400</t>
  </si>
  <si>
    <t>Ibis Los Mochis</t>
  </si>
  <si>
    <t>Av Antonio Rosales 800 Norte Col Jordan Ahome</t>
  </si>
  <si>
    <t>Los Mochis</t>
  </si>
  <si>
    <t>+(+52)668 500 3100</t>
  </si>
  <si>
    <t>Ibis Merida</t>
  </si>
  <si>
    <t>Calle 58 A 495 Colonia Centro</t>
  </si>
  <si>
    <t>Aidee Castellanos</t>
  </si>
  <si>
    <t>+(+52)9992543800</t>
  </si>
  <si>
    <t>Ibis Mexico Alameda</t>
  </si>
  <si>
    <t>Balderas 49 Colonia Centro Delegacion Cuahtemoc</t>
  </si>
  <si>
    <t>+(+52)01 55 1000 5000</t>
  </si>
  <si>
    <t>Ibis Mexico Perinorte</t>
  </si>
  <si>
    <t>Hacienda Sierra Vieja 2Centro Comercial Perinorte Colonia Hacienda del Parque</t>
  </si>
  <si>
    <t>Cuautitlan Izcalli</t>
  </si>
  <si>
    <t>+(+52)55 2075 9000</t>
  </si>
  <si>
    <t>Ibis Mexico Tlalnepantla Hotel</t>
  </si>
  <si>
    <t>Av Sor Juana Ines De La Cruz Numero 132 Colonia</t>
  </si>
  <si>
    <t>Tlalnepantla De Baz</t>
  </si>
  <si>
    <t>Fernanda Rios</t>
  </si>
  <si>
    <t>+(+52)5583119000</t>
  </si>
  <si>
    <t>Ibis Monterrey Aeropuerto</t>
  </si>
  <si>
    <t>Blvd Interamerican 105 AL 109 Parque Industrial Finsa</t>
  </si>
  <si>
    <t>+(+52)81 8196 4040</t>
  </si>
  <si>
    <t>Ibis Monterrey Valle</t>
  </si>
  <si>
    <t>Ave Lazaro Cardenas 3000 Esq Dr Atl Col Valle Oriente</t>
  </si>
  <si>
    <t>San Pedro Garza Garcia</t>
  </si>
  <si>
    <t>+(+52)81 8133 5050</t>
  </si>
  <si>
    <t>Ibis Queretaro</t>
  </si>
  <si>
    <t>Av Bernardo Quintana No 302 Col Centro Sur Queretaro</t>
  </si>
  <si>
    <t>Sandra Andrew</t>
  </si>
  <si>
    <t>+(+52)44 2690 1000</t>
  </si>
  <si>
    <t>Ibis San Luis Potosi</t>
  </si>
  <si>
    <t>Carretera 57 105 esq Eje 102 Zona Industrial se San Luis</t>
  </si>
  <si>
    <t>+(+52)444 167 8000</t>
  </si>
  <si>
    <t>Ibis Styles Mexico Zona Rosa</t>
  </si>
  <si>
    <t>Liverpool 115 A Col Juarez Delegacion Cuahutemoc</t>
  </si>
  <si>
    <t>+(+52)55 4125 2900</t>
  </si>
  <si>
    <t>Ibis Torreon</t>
  </si>
  <si>
    <t xml:space="preserve">San Pedro de las Colonias - Torreón 2200 </t>
  </si>
  <si>
    <t>Torreon</t>
  </si>
  <si>
    <t>Carlos Guzman</t>
  </si>
  <si>
    <t>Javier Emmanuel Gonzalez Bolivar</t>
  </si>
  <si>
    <t>+52(871)690 5060</t>
  </si>
  <si>
    <t>Icicle Village Resort</t>
  </si>
  <si>
    <t xml:space="preserve">505 Highway 2 </t>
  </si>
  <si>
    <t>Woody Braden</t>
  </si>
  <si>
    <t>+(509)548-7000</t>
  </si>
  <si>
    <t>Century Campus Housing Management LP dba Campus Living Villages</t>
  </si>
  <si>
    <t>Illini Tower</t>
  </si>
  <si>
    <t xml:space="preserve">409 East Chalmers Street </t>
  </si>
  <si>
    <t>Alicia McGee</t>
  </si>
  <si>
    <t>Ronnie Davis</t>
  </si>
  <si>
    <t>+(217)344-0400</t>
  </si>
  <si>
    <t>Imperial Palm Villas</t>
  </si>
  <si>
    <t xml:space="preserve">8404 Vacation Way </t>
  </si>
  <si>
    <t>Brandon Smith</t>
  </si>
  <si>
    <t>Joyce Wurm</t>
  </si>
  <si>
    <t>+1 (407) 238-6200</t>
  </si>
  <si>
    <t>Indian Valley Country Club Corp</t>
  </si>
  <si>
    <t>Indian Valley Country Club</t>
  </si>
  <si>
    <t xml:space="preserve">650 Bergey RD </t>
  </si>
  <si>
    <t>Telford</t>
  </si>
  <si>
    <t>Eric Beck</t>
  </si>
  <si>
    <t>Lenny Welch</t>
  </si>
  <si>
    <t>+ (215) 723-9886</t>
  </si>
  <si>
    <t>Indian Wells Country Club</t>
  </si>
  <si>
    <t xml:space="preserve">46000 Club Dr </t>
  </si>
  <si>
    <t>Monica Davis</t>
  </si>
  <si>
    <t>+ (760) 345-2561</t>
  </si>
  <si>
    <t>Indigo Inn</t>
  </si>
  <si>
    <t xml:space="preserve">1 Maiden Lane </t>
  </si>
  <si>
    <t>Karl von Ramm</t>
  </si>
  <si>
    <t>+1 (843) 577-5900</t>
  </si>
  <si>
    <t xml:space="preserve">Cascade Capital Group Investments LLC </t>
  </si>
  <si>
    <t>Infinity Bay Spa &amp; Beach Resort</t>
  </si>
  <si>
    <t xml:space="preserve">West Bay Beach </t>
  </si>
  <si>
    <t>Roatan</t>
  </si>
  <si>
    <t>Richard Kolinsky</t>
  </si>
  <si>
    <t>+1 (001) 541-359-1229</t>
  </si>
  <si>
    <t>Ink 48 Hotel</t>
  </si>
  <si>
    <t xml:space="preserve">653 11th Avenue </t>
  </si>
  <si>
    <t>Nick Ivezaj</t>
  </si>
  <si>
    <t>Andy Naibaho</t>
  </si>
  <si>
    <t>+1 (212) 757-0088</t>
  </si>
  <si>
    <t>Inn at Abeja Vineyards</t>
  </si>
  <si>
    <t xml:space="preserve">2014 Mill Creek Road </t>
  </si>
  <si>
    <t>Walla Walla</t>
  </si>
  <si>
    <t>Daniel Wamplfer</t>
  </si>
  <si>
    <t>Gaby Default</t>
  </si>
  <si>
    <t>+1 (509) 520-1234</t>
  </si>
  <si>
    <t>Inn at Carnall Hall</t>
  </si>
  <si>
    <t xml:space="preserve">465 North Arkansas Avenue </t>
  </si>
  <si>
    <t>Becky Cervantes</t>
  </si>
  <si>
    <t>Ross Powell</t>
  </si>
  <si>
    <t>+1 (479) 582-0400</t>
  </si>
  <si>
    <t>Inn at Chocolate Avenue</t>
  </si>
  <si>
    <t xml:space="preserve">Route 422 &amp; 1 Sipe Avenue </t>
  </si>
  <si>
    <t>Cinnamon Elliott-Tice</t>
  </si>
  <si>
    <t>+1 (717) 533-5665</t>
  </si>
  <si>
    <t>Inn at Morro Bay</t>
  </si>
  <si>
    <t xml:space="preserve">60 State Park Road </t>
  </si>
  <si>
    <t>MORRO BAY</t>
  </si>
  <si>
    <t>+ (805) 772-5651</t>
  </si>
  <si>
    <t>Inn at Opryland</t>
  </si>
  <si>
    <t xml:space="preserve">2401 Music Valley Drive </t>
  </si>
  <si>
    <t>Mark Giovetti</t>
  </si>
  <si>
    <t>+1(615)889-0800</t>
  </si>
  <si>
    <t>Inn at the Cove</t>
  </si>
  <si>
    <t xml:space="preserve">2651 Price Street </t>
  </si>
  <si>
    <t>Daniel Davila</t>
  </si>
  <si>
    <t>+1 (805) 773-3511</t>
  </si>
  <si>
    <t>Inn at the Mission San Juan Capistrano Autograph Collection</t>
  </si>
  <si>
    <t xml:space="preserve">31692 El Camino Real </t>
  </si>
  <si>
    <t>San Juan Capistrano</t>
  </si>
  <si>
    <t>Pam Ryan</t>
  </si>
  <si>
    <t>+1(949)503-5700</t>
  </si>
  <si>
    <t>Inn at the Waterpark</t>
  </si>
  <si>
    <t xml:space="preserve">2525 Jones Drive </t>
  </si>
  <si>
    <t>Jon Roy</t>
  </si>
  <si>
    <t>+1 (409) 740-1155</t>
  </si>
  <si>
    <t>Inn at Virginia Mason</t>
  </si>
  <si>
    <t xml:space="preserve">1006 Spring Street </t>
  </si>
  <si>
    <t>Carol Gallagher</t>
  </si>
  <si>
    <t>Alexander Castillo</t>
  </si>
  <si>
    <t>+1 (206) 583-6453</t>
  </si>
  <si>
    <t>Inn of the Hills Resort and Conference Center</t>
  </si>
  <si>
    <t xml:space="preserve">1001 Junction Highway </t>
  </si>
  <si>
    <t>Kerrville</t>
  </si>
  <si>
    <t>Laura Russell</t>
  </si>
  <si>
    <t>+1 (830) 895-5000</t>
  </si>
  <si>
    <t>Inn on Lake Superior</t>
  </si>
  <si>
    <t xml:space="preserve">350 Canal Park Drive </t>
  </si>
  <si>
    <t>Jesse Hinkemeyer</t>
  </si>
  <si>
    <t>+1 (218) 726-1111</t>
  </si>
  <si>
    <t>Impact Hospitality V3ntures</t>
  </si>
  <si>
    <t>INNSIDE New York NoMad</t>
  </si>
  <si>
    <t xml:space="preserve">132 West 27th Street </t>
  </si>
  <si>
    <t>Jenisse Vasquez</t>
  </si>
  <si>
    <t>Mauricio Patino</t>
  </si>
  <si>
    <t>+1 (404) 963-4907</t>
  </si>
  <si>
    <t>InnVest Hotels LP HQ</t>
  </si>
  <si>
    <t>200 Bay Street Suite 2200</t>
  </si>
  <si>
    <t>M5J 2J1</t>
  </si>
  <si>
    <t>Sharon Yang</t>
  </si>
  <si>
    <t>+1(416) 607-7100</t>
  </si>
  <si>
    <t>InterContinental New Orleans</t>
  </si>
  <si>
    <t xml:space="preserve">444 Saint Charles Avenue </t>
  </si>
  <si>
    <t>InterContinental</t>
  </si>
  <si>
    <t>John Romano</t>
  </si>
  <si>
    <t>Jonathan Emerson</t>
  </si>
  <si>
    <t>+1 (504) 525-5566</t>
  </si>
  <si>
    <t>Ipswich Country Club</t>
  </si>
  <si>
    <t xml:space="preserve">148 Country Club WAY </t>
  </si>
  <si>
    <t>Ipswich</t>
  </si>
  <si>
    <t>Frank Lavacca</t>
  </si>
  <si>
    <t>Bob Manni</t>
  </si>
  <si>
    <t>+ (978) 356-4822</t>
  </si>
  <si>
    <t>Iron Horse Golf Course</t>
  </si>
  <si>
    <t xml:space="preserve">6200 Skylark Circle </t>
  </si>
  <si>
    <t>North Richland Hills</t>
  </si>
  <si>
    <t>Garrett Peek</t>
  </si>
  <si>
    <t>Jerred Gibson</t>
  </si>
  <si>
    <t>+1 (817) 485-6666</t>
  </si>
  <si>
    <t>Islander Resort</t>
  </si>
  <si>
    <t xml:space="preserve">82100 Overseas Highway </t>
  </si>
  <si>
    <t>Shand Luce</t>
  </si>
  <si>
    <t>Shannon O'Berry</t>
  </si>
  <si>
    <t>+1 (305) 664-2031</t>
  </si>
  <si>
    <t>Ithaca Marriott Downtown on the Commons</t>
  </si>
  <si>
    <t xml:space="preserve">120 South Aurora Street </t>
  </si>
  <si>
    <t>Cathy Hart</t>
  </si>
  <si>
    <t>+1(607)272-2222</t>
  </si>
  <si>
    <t>Ivy Boutique Hotel</t>
  </si>
  <si>
    <t xml:space="preserve">233 East Ontario Street </t>
  </si>
  <si>
    <t>+1 (312) 335-5444</t>
  </si>
  <si>
    <t>Ixtapan de la Sal Marriott Hotel Spa &amp; Convention Center</t>
  </si>
  <si>
    <t>Jose Maria Morelos S/N Fraccionamiento Bugambilias</t>
  </si>
  <si>
    <t>Ixtapan de la Sal</t>
  </si>
  <si>
    <t>Eduardo Sanchez Moreno</t>
  </si>
  <si>
    <t>Lilian Popoca</t>
  </si>
  <si>
    <t>+52 (721) 1432010</t>
  </si>
  <si>
    <t>Jacksonville Beach Courtyard by Marriott</t>
  </si>
  <si>
    <t xml:space="preserve">1617 1st Street N </t>
  </si>
  <si>
    <t>Jeff Truhlar</t>
  </si>
  <si>
    <t>+ (904) 249-9071</t>
  </si>
  <si>
    <t>Jacksonville Courtyard I-295 East Beltway</t>
  </si>
  <si>
    <t xml:space="preserve">9815 Lantern Street </t>
  </si>
  <si>
    <t>Yaser Hasan</t>
  </si>
  <si>
    <t>Alyssa Melendez</t>
  </si>
  <si>
    <t>+ (904) 247-6782</t>
  </si>
  <si>
    <t xml:space="preserve">Jacksonville Hilton Garden Inn </t>
  </si>
  <si>
    <t xml:space="preserve">9745 Gate Parkway North </t>
  </si>
  <si>
    <t>Andy Preslar</t>
  </si>
  <si>
    <t>+1 (904) 997-6600</t>
  </si>
  <si>
    <t>Jamul Indian Village Corporation</t>
  </si>
  <si>
    <t>Jamul Casino</t>
  </si>
  <si>
    <t xml:space="preserve">14145 Campo Road </t>
  </si>
  <si>
    <t>Jamul</t>
  </si>
  <si>
    <t>Mary Cheeks</t>
  </si>
  <si>
    <t>Patty Muse</t>
  </si>
  <si>
    <t>+1 (619) 315-2250</t>
  </si>
  <si>
    <t>JDV Merced - El Capitan</t>
  </si>
  <si>
    <t xml:space="preserve">609 West Main Street </t>
  </si>
  <si>
    <t>Merced</t>
  </si>
  <si>
    <t>Costa Lugo</t>
  </si>
  <si>
    <t>Robin Donovan</t>
  </si>
  <si>
    <t>Jefferson-Lakeside Club</t>
  </si>
  <si>
    <t>Jefferson Lakeside Country Club</t>
  </si>
  <si>
    <t xml:space="preserve">1700 Lakeside Avenue </t>
  </si>
  <si>
    <t>Jeffrey Crabbe</t>
  </si>
  <si>
    <t>Taylor Sutherland</t>
  </si>
  <si>
    <t>+1 (804) 266-2382</t>
  </si>
  <si>
    <t>Jekyll Island Club Hotel</t>
  </si>
  <si>
    <t xml:space="preserve">371 Riverview Drive </t>
  </si>
  <si>
    <t>Joanne Decesare</t>
  </si>
  <si>
    <t>+1 (855) 787-3857</t>
  </si>
  <si>
    <t>JetBlue Lodge</t>
  </si>
  <si>
    <t xml:space="preserve">8465 Hanger Boulevard </t>
  </si>
  <si>
    <t>Candi Young</t>
  </si>
  <si>
    <t>Sarah Wrzesinski</t>
  </si>
  <si>
    <t>+1(301)526-3290</t>
  </si>
  <si>
    <t>John Carver Inn &amp; Spa</t>
  </si>
  <si>
    <t xml:space="preserve">25 Summer Street </t>
  </si>
  <si>
    <t>Rebecca Nydam</t>
  </si>
  <si>
    <t>+1 (855) 771-3293</t>
  </si>
  <si>
    <t>Jumping Brook Country Club</t>
  </si>
  <si>
    <t xml:space="preserve">210 Jumping Brook Road </t>
  </si>
  <si>
    <t>Ralph Epstein</t>
  </si>
  <si>
    <t>Kiersten Staubach</t>
  </si>
  <si>
    <t>+ (732) 922-8200</t>
  </si>
  <si>
    <t>Jupiter Country Club</t>
  </si>
  <si>
    <t xml:space="preserve">300 Marsala Court </t>
  </si>
  <si>
    <t>Frank Petitti</t>
  </si>
  <si>
    <t>Joseph Mazzeo</t>
  </si>
  <si>
    <t>+1 (561) 743-9100</t>
  </si>
  <si>
    <t>JW Marriott Camelback Inn Resort/Spa</t>
  </si>
  <si>
    <t xml:space="preserve">5402 E Lincoln Drive </t>
  </si>
  <si>
    <t>Oliver Reschreiter</t>
  </si>
  <si>
    <t>Paige Lund</t>
  </si>
  <si>
    <t>+1 (480) 948-1700</t>
  </si>
  <si>
    <t>JW Marriott Cancun Resort</t>
  </si>
  <si>
    <t>Blvd Kukulcan KM 14.5. lote40-A Zona Hotelera/Quintana Roo</t>
  </si>
  <si>
    <t>Christopher Calabrese</t>
  </si>
  <si>
    <t>Silvia Tun</t>
  </si>
  <si>
    <t>+52 (998) 848-9600</t>
  </si>
  <si>
    <t>JW Marriott Chicago</t>
  </si>
  <si>
    <t xml:space="preserve">151 West Adams </t>
  </si>
  <si>
    <t>Hassan El Neklawy</t>
  </si>
  <si>
    <t xml:space="preserve">+ (312)660-8200 </t>
  </si>
  <si>
    <t>JW Marriott Desert Ridge Resort &amp; Spa</t>
  </si>
  <si>
    <t xml:space="preserve">5350 East Marriott Drive </t>
  </si>
  <si>
    <t>Richard Romane</t>
  </si>
  <si>
    <t>Becky Barrett</t>
  </si>
  <si>
    <t>+1 (480) 293-5000</t>
  </si>
  <si>
    <t xml:space="preserve">JW Marriott Desert Springs Resort </t>
  </si>
  <si>
    <t xml:space="preserve">74855 Country Club Drive </t>
  </si>
  <si>
    <t>John Faulk</t>
  </si>
  <si>
    <t>Tom Tabler</t>
  </si>
  <si>
    <t>+1 (760) 341-2211</t>
  </si>
  <si>
    <t>JW Marriott Downtown Houston</t>
  </si>
  <si>
    <t xml:space="preserve">806 Main Street </t>
  </si>
  <si>
    <t>Jelle Vandenbroucke</t>
  </si>
  <si>
    <t>+1 (713) 237-1111</t>
  </si>
  <si>
    <t>JW Marriott Edmonton ICE District</t>
  </si>
  <si>
    <t xml:space="preserve">10344-102 Street </t>
  </si>
  <si>
    <t>T5J 4Y8</t>
  </si>
  <si>
    <t>Jeff Scheelar</t>
  </si>
  <si>
    <t>Henry Everts</t>
  </si>
  <si>
    <t>+1(780)784-7950</t>
  </si>
  <si>
    <t>JW Marriott Hotel - Grand Rapids</t>
  </si>
  <si>
    <t xml:space="preserve">235 Louis Street </t>
  </si>
  <si>
    <t>Kent Mattson</t>
  </si>
  <si>
    <t>+1 (616)-242-1500</t>
  </si>
  <si>
    <t>JW Marriott Hotel Los Angeles at L.A. LIVE</t>
  </si>
  <si>
    <t xml:space="preserve">900 West Olympic Blvd </t>
  </si>
  <si>
    <t>Javier Cano</t>
  </si>
  <si>
    <t>+ (213) 765-8600</t>
  </si>
  <si>
    <t>JW Marriott Houston</t>
  </si>
  <si>
    <t xml:space="preserve">5150 Westheimer </t>
  </si>
  <si>
    <t>Christina Cedillo</t>
  </si>
  <si>
    <t>Ramon Ventura</t>
  </si>
  <si>
    <t>(713) 961-1500</t>
  </si>
  <si>
    <t>JW Marriott Lenox</t>
  </si>
  <si>
    <t xml:space="preserve">3300 Lenox Road </t>
  </si>
  <si>
    <t>Brian Wander</t>
  </si>
  <si>
    <t>Ebrahima Mbye</t>
  </si>
  <si>
    <t>(404) 262-3344</t>
  </si>
  <si>
    <t>JW Marriott Marco Island</t>
  </si>
  <si>
    <t xml:space="preserve">400 South Collier Boulevard </t>
  </si>
  <si>
    <t>Sharon Lockwood</t>
  </si>
  <si>
    <t>(239) 394-2511</t>
  </si>
  <si>
    <t>JW Marriott Mexico City</t>
  </si>
  <si>
    <t xml:space="preserve">Andres Bello 29 </t>
  </si>
  <si>
    <t>Hector Ortega</t>
  </si>
  <si>
    <t>+52 (55) 59-99-0000</t>
  </si>
  <si>
    <t>JW Marriott Minneapolis Mall of America</t>
  </si>
  <si>
    <t xml:space="preserve">2141 Lindau Lane </t>
  </si>
  <si>
    <t>Lars Danneberg</t>
  </si>
  <si>
    <t>Karen Carlson</t>
  </si>
  <si>
    <t>+1 (612) 615-0100</t>
  </si>
  <si>
    <t>JW Marriott New Orleans</t>
  </si>
  <si>
    <t xml:space="preserve">614 Canal Street </t>
  </si>
  <si>
    <t>Angela Earl</t>
  </si>
  <si>
    <t>(504) 525-6500</t>
  </si>
  <si>
    <t>JW Marriott Orlando Bonnet Creek Resort &amp; Spa</t>
  </si>
  <si>
    <t xml:space="preserve">14900 Chelonia Parkway </t>
  </si>
  <si>
    <t>Sam Basu</t>
  </si>
  <si>
    <t>+1 (407) 789-0999</t>
  </si>
  <si>
    <t xml:space="preserve">JW Marriott Orlando-Grande Lakes </t>
  </si>
  <si>
    <t xml:space="preserve">4040 Central Florida Parkway </t>
  </si>
  <si>
    <t>Michael Scioscia</t>
  </si>
  <si>
    <t>Oris Saygin</t>
  </si>
  <si>
    <t>(407) 206-2300</t>
  </si>
  <si>
    <t>JW Marriott Panama</t>
  </si>
  <si>
    <t xml:space="preserve">Calle Punta Colon Punta Pacifica Torre TOC </t>
  </si>
  <si>
    <t>0833-00321</t>
  </si>
  <si>
    <t>Demetrio Maduro</t>
  </si>
  <si>
    <t>Nelly Lombardo</t>
  </si>
  <si>
    <t>+1 (507) 215-8858</t>
  </si>
  <si>
    <t>JW Marriott Parq Vancouver</t>
  </si>
  <si>
    <t xml:space="preserve">39 Smithe Street </t>
  </si>
  <si>
    <t>V6B 0R3</t>
  </si>
  <si>
    <t>Eric Eikeland</t>
  </si>
  <si>
    <t>Marion Harper Treskin</t>
  </si>
  <si>
    <t>+1 (604) 676-0888</t>
  </si>
  <si>
    <t>JW Marriott San Antonio Hill Country Resort &amp; Spa</t>
  </si>
  <si>
    <t xml:space="preserve">23808 Resort Parkway </t>
  </si>
  <si>
    <t>Reed Randolph</t>
  </si>
  <si>
    <t>Bert Squitieri</t>
  </si>
  <si>
    <t>+ (210) 507-4550</t>
  </si>
  <si>
    <t>JW Marriott San Francisco Union Square</t>
  </si>
  <si>
    <t xml:space="preserve">515 Mason Street </t>
  </si>
  <si>
    <t>94102-1229</t>
  </si>
  <si>
    <t>John Anderson</t>
  </si>
  <si>
    <t>Miguel Guillen</t>
  </si>
  <si>
    <t>+1 (415) 771-8600</t>
  </si>
  <si>
    <t>JW Marriott Santo Domingo</t>
  </si>
  <si>
    <t xml:space="preserve">Winston Churchill Avenue No.93 </t>
  </si>
  <si>
    <t>Ensanche Piantini Santo Doming</t>
  </si>
  <si>
    <t>Alejandro Larrondo</t>
  </si>
  <si>
    <t>+1 (809) 807-1717</t>
  </si>
  <si>
    <t xml:space="preserve">JW Marriott Starr Pass Resort </t>
  </si>
  <si>
    <t xml:space="preserve">3800 West Starr Pass Blvd. </t>
  </si>
  <si>
    <t>Dean Callahan</t>
  </si>
  <si>
    <t>Matteo Mastrovalerio</t>
  </si>
  <si>
    <t>+1 (520) 792-3500</t>
  </si>
  <si>
    <t>JW Marriott Washington DC</t>
  </si>
  <si>
    <t xml:space="preserve">1331 Pennsylvania Avenue </t>
  </si>
  <si>
    <t xml:space="preserve">Tushaar Agrawal </t>
  </si>
  <si>
    <t>(202) 393-2000</t>
  </si>
  <si>
    <t>JW Marriott Anaheim Resort</t>
  </si>
  <si>
    <t xml:space="preserve">1775 South Clementine Street </t>
  </si>
  <si>
    <t>Nusrat Mirza</t>
  </si>
  <si>
    <t>+(1) 714-399-9331</t>
  </si>
  <si>
    <t>Niagara Resorts (Muskoka) Inc.</t>
  </si>
  <si>
    <t>JW Marriott The Rosseau Muskoka Resort &amp; Spa</t>
  </si>
  <si>
    <t xml:space="preserve">1050 Paignton House Road </t>
  </si>
  <si>
    <t>Minett</t>
  </si>
  <si>
    <t>P0B 1G0</t>
  </si>
  <si>
    <t>Didier Dolivet</t>
  </si>
  <si>
    <t>+ (705) 765-1900</t>
  </si>
  <si>
    <t>Kaanapali Alii Resort</t>
  </si>
  <si>
    <t xml:space="preserve">50 Nohea Kai Drive </t>
  </si>
  <si>
    <t>Mark Altier</t>
  </si>
  <si>
    <t>+1 (808) 667-1400</t>
  </si>
  <si>
    <t>Kananaskis Mountain Lodge Autograph Collection</t>
  </si>
  <si>
    <t xml:space="preserve">1 Centennial Drive </t>
  </si>
  <si>
    <t>Kananaskis Village</t>
  </si>
  <si>
    <t>T0L 2H0</t>
  </si>
  <si>
    <t>Lauren A</t>
  </si>
  <si>
    <t>Amber Brouse</t>
  </si>
  <si>
    <t>+1 (403) 591-7711</t>
  </si>
  <si>
    <t>Kansas City Airport Marriott</t>
  </si>
  <si>
    <t xml:space="preserve">775 Brasilia Avenue </t>
  </si>
  <si>
    <t xml:space="preserve">Debra Mastropietro </t>
  </si>
  <si>
    <t>Jim Wynn</t>
  </si>
  <si>
    <t>+1 (816) 464-2200</t>
  </si>
  <si>
    <t>Kauai Sales and Marketing</t>
  </si>
  <si>
    <t xml:space="preserve">3610 Rice Street </t>
  </si>
  <si>
    <t>Roger Rynda</t>
  </si>
  <si>
    <t>+1 (808) 632-8003</t>
  </si>
  <si>
    <t>Kem's Restaurant</t>
  </si>
  <si>
    <t>Kids Kave</t>
  </si>
  <si>
    <t xml:space="preserve">125 Daly Lane </t>
  </si>
  <si>
    <t>Killington Mountain Lodge</t>
  </si>
  <si>
    <t xml:space="preserve">2617 Killington Road </t>
  </si>
  <si>
    <t>Killington</t>
  </si>
  <si>
    <t>Ed Stevens</t>
  </si>
  <si>
    <t>+1 (802) 422-4302</t>
  </si>
  <si>
    <t>Kimpton Banneker Hotel</t>
  </si>
  <si>
    <t xml:space="preserve">1315 16th Street Northwest </t>
  </si>
  <si>
    <t>Raeshawna Scott</t>
  </si>
  <si>
    <t>+1 (202) 232.8000</t>
  </si>
  <si>
    <t>Kimpton Brice Hotel</t>
  </si>
  <si>
    <t xml:space="preserve">601 East Bay Street </t>
  </si>
  <si>
    <t>danita harth-bates</t>
  </si>
  <si>
    <t>+1 (912) 238-1200</t>
  </si>
  <si>
    <t>Kimpton Cottonwood Hotel</t>
  </si>
  <si>
    <t xml:space="preserve">302 South 36th Street </t>
  </si>
  <si>
    <t>Steve Shern</t>
  </si>
  <si>
    <t>+1 (402) 810-9500</t>
  </si>
  <si>
    <t>Kimpton Hotel Arras</t>
  </si>
  <si>
    <t xml:space="preserve">7 Patton Avenue </t>
  </si>
  <si>
    <t>David McCartney</t>
  </si>
  <si>
    <t>+1 (828) 275-8680</t>
  </si>
  <si>
    <t>Kimpton Onyx Hotel</t>
  </si>
  <si>
    <t xml:space="preserve">155 Portland Street </t>
  </si>
  <si>
    <t>Ali Haddad</t>
  </si>
  <si>
    <t>+1 (617) 557-9955</t>
  </si>
  <si>
    <t>The Kingbridge Centre</t>
  </si>
  <si>
    <t>Kingbridge Conference Centre &amp; Institute</t>
  </si>
  <si>
    <t xml:space="preserve">12750 Jane Street </t>
  </si>
  <si>
    <t>King City (Toronto)</t>
  </si>
  <si>
    <t>L7B 1A3</t>
  </si>
  <si>
    <t>Lisa Gilbert</t>
  </si>
  <si>
    <t>+1 (905) 833-3086</t>
  </si>
  <si>
    <t>Kingwood Country Club</t>
  </si>
  <si>
    <t xml:space="preserve">1700 Lake Kingwood TRL </t>
  </si>
  <si>
    <t>Bill Ceriello</t>
  </si>
  <si>
    <t>Patrick Pettit</t>
  </si>
  <si>
    <t>+ (281) 358-2171</t>
  </si>
  <si>
    <t>Urbana Varro Hospitality Management Company LLC</t>
  </si>
  <si>
    <t>Kinzie Hotel</t>
  </si>
  <si>
    <t xml:space="preserve">20 West Kinzie Street </t>
  </si>
  <si>
    <t>Brian Shin</t>
  </si>
  <si>
    <t>+1 (312) 395-9000</t>
  </si>
  <si>
    <t>Kitsap Conference Center at Bremerton</t>
  </si>
  <si>
    <t xml:space="preserve">100 Washington Avenue </t>
  </si>
  <si>
    <t>Lori Main</t>
  </si>
  <si>
    <t>Kevin Swanson</t>
  </si>
  <si>
    <t>+1 (253) 221-1000</t>
  </si>
  <si>
    <t>Kiva Hotel Abilene</t>
  </si>
  <si>
    <t xml:space="preserve">5203 South 1st Street </t>
  </si>
  <si>
    <t>Jessica McGill</t>
  </si>
  <si>
    <t>+1 (325) 795-8888</t>
  </si>
  <si>
    <t>KLTT Services LLC</t>
  </si>
  <si>
    <t xml:space="preserve">105 Decker Court Suite 500 </t>
  </si>
  <si>
    <t>Elaine Palakiko</t>
  </si>
  <si>
    <t>+1(972 )871-1004</t>
  </si>
  <si>
    <t>Knickerbocker Country Club Inc.</t>
  </si>
  <si>
    <t>Knickerbocker Country Club</t>
  </si>
  <si>
    <t xml:space="preserve">188 Knickerbocker RD </t>
  </si>
  <si>
    <t>Tenafly</t>
  </si>
  <si>
    <t>Richard Lowack</t>
  </si>
  <si>
    <t>Ryan Keenan</t>
  </si>
  <si>
    <t>+ (201) 568-1460</t>
  </si>
  <si>
    <t>NextGen Hotels LLC</t>
  </si>
  <si>
    <t>Knickerbocker Yacht Cub</t>
  </si>
  <si>
    <t xml:space="preserve">433 Main Street </t>
  </si>
  <si>
    <t>Port Washington</t>
  </si>
  <si>
    <t>Calina Francos</t>
  </si>
  <si>
    <t>+1 (203) 218-9145</t>
  </si>
  <si>
    <t>Knights Inn &amp; Suites Allentown</t>
  </si>
  <si>
    <t xml:space="preserve">1880 Steelstone Road </t>
  </si>
  <si>
    <t>Knight's Inn</t>
  </si>
  <si>
    <t>Mack Bhagat</t>
  </si>
  <si>
    <t>+ (610) 266-9070</t>
  </si>
  <si>
    <t>Knights Inn Crawfordsville</t>
  </si>
  <si>
    <t xml:space="preserve">1020 Corey Blvd. </t>
  </si>
  <si>
    <t>Crawfordsville</t>
  </si>
  <si>
    <t>Anil Patel</t>
  </si>
  <si>
    <t>+1 (765) 364-8800</t>
  </si>
  <si>
    <t>Knights Inn Kingman</t>
  </si>
  <si>
    <t xml:space="preserve">3285 E. Andy Devine Ave </t>
  </si>
  <si>
    <t>Grasshopper Junction</t>
  </si>
  <si>
    <t>Bernice Thornhill</t>
  </si>
  <si>
    <t>+1 (928) 757-4315</t>
  </si>
  <si>
    <t>Knight's Inn San Ysidro</t>
  </si>
  <si>
    <t xml:space="preserve">230 Via De San Ysidro </t>
  </si>
  <si>
    <t>Rabin Sarma</t>
  </si>
  <si>
    <t>+1 (619) 428-6191</t>
  </si>
  <si>
    <t>Knob Hill Inn</t>
  </si>
  <si>
    <t xml:space="preserve">960 North Main Street </t>
  </si>
  <si>
    <t>Ketchum</t>
  </si>
  <si>
    <t>Ally Barnhardt</t>
  </si>
  <si>
    <t>Sthefany Seegott</t>
  </si>
  <si>
    <t>+1 (208) 720-1718</t>
  </si>
  <si>
    <t xml:space="preserve">16633 Baywood LN </t>
  </si>
  <si>
    <t>Granger</t>
  </si>
  <si>
    <t>Cale Bolinger</t>
  </si>
  <si>
    <t>+ (574) 277-1541</t>
  </si>
  <si>
    <t>Ko Olina Beach Club</t>
  </si>
  <si>
    <t xml:space="preserve">92-161Waipahe Place </t>
  </si>
  <si>
    <t>KAPOLEI</t>
  </si>
  <si>
    <t>Jason Fukumoto</t>
  </si>
  <si>
    <t>Judith Guillermo</t>
  </si>
  <si>
    <t>+1 (808) 679-4700</t>
  </si>
  <si>
    <t>Ko Olina Beach Club Sales and Marketing</t>
  </si>
  <si>
    <t xml:space="preserve">92-161 Waipahe Road </t>
  </si>
  <si>
    <t>Sheryl Naito</t>
  </si>
  <si>
    <t>+1 (808) 679-4918</t>
  </si>
  <si>
    <t>Ko'a Kea Hotel and Resort at Poipu Beach</t>
  </si>
  <si>
    <t xml:space="preserve">2251 Poipu Road </t>
  </si>
  <si>
    <t>+1 (808) 828-8888</t>
  </si>
  <si>
    <t>Kokopelli Golf Course</t>
  </si>
  <si>
    <t xml:space="preserve">1800 West Guadalupe Road </t>
  </si>
  <si>
    <t>Josh Wamsley</t>
  </si>
  <si>
    <t>+1 (480) 926-3589</t>
  </si>
  <si>
    <t>Koloa Landing Autograph Collection</t>
  </si>
  <si>
    <t xml:space="preserve">2641 Poipu Road </t>
  </si>
  <si>
    <t>Andy Evers</t>
  </si>
  <si>
    <t>Coty Ganotisi</t>
  </si>
  <si>
    <t>+1 (808) 240-6600</t>
  </si>
  <si>
    <t>KPMG Learning Development &amp; Innovation Center</t>
  </si>
  <si>
    <t xml:space="preserve">9301 Lake Nona Boulevard </t>
  </si>
  <si>
    <t>Edan Ballantine</t>
  </si>
  <si>
    <t>Kristen Cochrane</t>
  </si>
  <si>
    <t>+1 (314) 640-5261</t>
  </si>
  <si>
    <t>Krieger Center</t>
  </si>
  <si>
    <t xml:space="preserve">101 South Bellagio Way </t>
  </si>
  <si>
    <t>Gerardo Castro</t>
  </si>
  <si>
    <t>+1 (310) 825-5086</t>
  </si>
  <si>
    <t>La Bellasera</t>
  </si>
  <si>
    <t xml:space="preserve">206 Alexa Court </t>
  </si>
  <si>
    <t>June Kuglin</t>
  </si>
  <si>
    <t>Zack Moahmmed</t>
  </si>
  <si>
    <t>+1 (805) 238-2834</t>
  </si>
  <si>
    <t>La Cima Club</t>
  </si>
  <si>
    <t xml:space="preserve">The Tower at Williams Sq 26th FL. 5215 N O'Connor </t>
  </si>
  <si>
    <t>Mike Goff</t>
  </si>
  <si>
    <t>+ (972) 869-2266</t>
  </si>
  <si>
    <t>La Concha Hotel &amp; Spa</t>
  </si>
  <si>
    <t xml:space="preserve">430 Duval Street </t>
  </si>
  <si>
    <t>Tifanny Scott</t>
  </si>
  <si>
    <t>+1 (305) 296-2991</t>
  </si>
  <si>
    <t>La Luna Inn</t>
  </si>
  <si>
    <t xml:space="preserve">2599 Lombard Street </t>
  </si>
  <si>
    <t>Scott Willford</t>
  </si>
  <si>
    <t>+1 (415) 346-4664</t>
  </si>
  <si>
    <t>La Posada De Santa Fe A Tribute Portfolio Resort &amp; Spa</t>
  </si>
  <si>
    <t xml:space="preserve">330 East Palace Avenue </t>
  </si>
  <si>
    <t>Derrick Pair</t>
  </si>
  <si>
    <t>+1 (505) 986-0000</t>
  </si>
  <si>
    <t>La Quinta Atlanta Airport</t>
  </si>
  <si>
    <t xml:space="preserve">1200 Virginia Avenue </t>
  </si>
  <si>
    <t>+1 (404) 209-1800</t>
  </si>
  <si>
    <t>La Quinta College Station South</t>
  </si>
  <si>
    <t xml:space="preserve">1838 Graham Road </t>
  </si>
  <si>
    <t>Jay Jayyusi</t>
  </si>
  <si>
    <t>+1 (979) 704-6100</t>
  </si>
  <si>
    <t>La Quinta Dalhart</t>
  </si>
  <si>
    <t xml:space="preserve">801 Liberal St </t>
  </si>
  <si>
    <t>Charity GM</t>
  </si>
  <si>
    <t>+()806-249-1145</t>
  </si>
  <si>
    <t>La Quinta Del Sol - Frisco</t>
  </si>
  <si>
    <t xml:space="preserve">9595 John West Elliott Drive </t>
  </si>
  <si>
    <t>Jason Haynes</t>
  </si>
  <si>
    <t>+(469)340-3065</t>
  </si>
  <si>
    <t>La Quinta Inn &amp; Suites Albany Airport</t>
  </si>
  <si>
    <t xml:space="preserve">833 New Loudon Road (Rt. 9) </t>
  </si>
  <si>
    <t>Latham</t>
  </si>
  <si>
    <t>Della O'Brien</t>
  </si>
  <si>
    <t>+ 1 (518)640-2200</t>
  </si>
  <si>
    <t>RIviera Sebring Owner LLC</t>
  </si>
  <si>
    <t>La Quinta Inn &amp; Suites by Wyndham Sebring</t>
  </si>
  <si>
    <t xml:space="preserve">4115 U.S. Highway 27 South </t>
  </si>
  <si>
    <t>Sebring</t>
  </si>
  <si>
    <t>Maritza Cristiansen</t>
  </si>
  <si>
    <t>+ (863) 386-1000</t>
  </si>
  <si>
    <t>La Quinta Inn &amp; Suites Carlsbad</t>
  </si>
  <si>
    <t xml:space="preserve">4020 National Parks Highway </t>
  </si>
  <si>
    <t>Christy Beasley</t>
  </si>
  <si>
    <t>Tommy Salsberry</t>
  </si>
  <si>
    <t>+1 (575) 236-1010</t>
  </si>
  <si>
    <t>La Quinta Inn &amp; Suites Cocoa Beach-Oceanfront</t>
  </si>
  <si>
    <t xml:space="preserve">One Henry Avenue </t>
  </si>
  <si>
    <t>Cocoa Beach</t>
  </si>
  <si>
    <t>Alison Lynam</t>
  </si>
  <si>
    <t>+1 (321) 784-3126</t>
  </si>
  <si>
    <t>La Quinta Inn &amp; Suites Columbus</t>
  </si>
  <si>
    <t xml:space="preserve">1200 Highway North </t>
  </si>
  <si>
    <t>Nikki Mays</t>
  </si>
  <si>
    <t>+1 (662) 240-2454</t>
  </si>
  <si>
    <t>La Quinta Inn &amp; Suites Dalton</t>
  </si>
  <si>
    <t xml:space="preserve">715 College Dr. </t>
  </si>
  <si>
    <t>Melissa Thacker</t>
  </si>
  <si>
    <t>Shandalia Arrendale</t>
  </si>
  <si>
    <t>+1 (706) 272-9099</t>
  </si>
  <si>
    <t>La Quinta Inn &amp; Suites Edgewood APG South</t>
  </si>
  <si>
    <t xml:space="preserve">2112-B Emmorton Park Road </t>
  </si>
  <si>
    <t>Alex Patel</t>
  </si>
  <si>
    <t>+1 (410) 676-6969</t>
  </si>
  <si>
    <t>La Quinta Inn &amp; Suites Fayetteville</t>
  </si>
  <si>
    <t xml:space="preserve">720 East Millsap Road </t>
  </si>
  <si>
    <t>72703-4003</t>
  </si>
  <si>
    <t>+1 (479) 587-8600</t>
  </si>
  <si>
    <t>Kindred Lakes Hospitality LLC</t>
  </si>
  <si>
    <t>La Quinta Inn &amp; Suites Las Vegas Nellis</t>
  </si>
  <si>
    <t xml:space="preserve">4288 North Nellis Boulevard </t>
  </si>
  <si>
    <t>Rosalie Lapak</t>
  </si>
  <si>
    <t>+1 (702) 632-0229</t>
  </si>
  <si>
    <t>La Quinta Inn &amp; Suites Lubbock North</t>
  </si>
  <si>
    <t xml:space="preserve">5006 Auburn Street </t>
  </si>
  <si>
    <t>+1 (214) 971-3888</t>
  </si>
  <si>
    <t>La Quinta Inn &amp; Suites Morgantown</t>
  </si>
  <si>
    <t xml:space="preserve">5000 Gateway Drive </t>
  </si>
  <si>
    <t>Westover</t>
  </si>
  <si>
    <t>Abby Haught</t>
  </si>
  <si>
    <t>+1 (304) 241-4501</t>
  </si>
  <si>
    <t>La Quinta Inn &amp; Suites Rockport - Fulton</t>
  </si>
  <si>
    <t xml:space="preserve">2921 Highway 35 North </t>
  </si>
  <si>
    <t>Eric Smith</t>
  </si>
  <si>
    <t>+1 (361) 727-9824</t>
  </si>
  <si>
    <t>La Quinta Inn &amp; Suites Sturbridge</t>
  </si>
  <si>
    <t xml:space="preserve">478 Main Street </t>
  </si>
  <si>
    <t>Sturbridge</t>
  </si>
  <si>
    <t>Kim Sanabria</t>
  </si>
  <si>
    <t>+1 (413) 536-1980</t>
  </si>
  <si>
    <t>La Quinta Inn &amp; Suites Tucson - Reid Park</t>
  </si>
  <si>
    <t xml:space="preserve">102 North Alvernon Way </t>
  </si>
  <si>
    <t>Bo Bentele</t>
  </si>
  <si>
    <t>+1 (520) 795-0330</t>
  </si>
  <si>
    <t>La Quinta Inn and Suites Danbury</t>
  </si>
  <si>
    <t xml:space="preserve">116 Newtown Road </t>
  </si>
  <si>
    <t>Danbury</t>
  </si>
  <si>
    <t>+1 (203) 798-1200</t>
  </si>
  <si>
    <t>La Quinta Inn Grove City</t>
  </si>
  <si>
    <t xml:space="preserve">3962 Jackpot Road Grove </t>
  </si>
  <si>
    <t>Aman Patel</t>
  </si>
  <si>
    <t>+1 (614) 539-6200</t>
  </si>
  <si>
    <t>La Quinta Inn Midtown</t>
  </si>
  <si>
    <t xml:space="preserve">6805 Abercom Street </t>
  </si>
  <si>
    <t>Dell Patel</t>
  </si>
  <si>
    <t>Kirtesh Patel</t>
  </si>
  <si>
    <t>+1 (912) 355-3004</t>
  </si>
  <si>
    <t>La Quinta Inn Savannah Gateway</t>
  </si>
  <si>
    <t xml:space="preserve">6 Gateway Boulevard </t>
  </si>
  <si>
    <t>Kroger</t>
  </si>
  <si>
    <t>Theresa Grant-Clark</t>
  </si>
  <si>
    <t>+1 (912) 925-9505</t>
  </si>
  <si>
    <t>La Quinta Inn Sea World San Diego</t>
  </si>
  <si>
    <t xml:space="preserve">641 Camino Del Rio South </t>
  </si>
  <si>
    <t>+1 (619) 295-6886</t>
  </si>
  <si>
    <t>La Quinta Inn Tampa Bay Pinellas Park Clearwater</t>
  </si>
  <si>
    <t xml:space="preserve">7500 Highway 19 North Pinellas Park </t>
  </si>
  <si>
    <t>Pinellas Park</t>
  </si>
  <si>
    <t>Joyce Cole</t>
  </si>
  <si>
    <t>+1 (727) 545-5611</t>
  </si>
  <si>
    <t>La Quinta Kingwood</t>
  </si>
  <si>
    <t xml:space="preserve">22790 US HWY 59 N </t>
  </si>
  <si>
    <t>Anna Hernandez</t>
  </si>
  <si>
    <t>+()281-359-6611</t>
  </si>
  <si>
    <t>La Quinta Lakeway</t>
  </si>
  <si>
    <t xml:space="preserve">1943 Medical Dr </t>
  </si>
  <si>
    <t>Nate French</t>
  </si>
  <si>
    <t>+1 (512) 263-1300</t>
  </si>
  <si>
    <t>La Quinta Oshkosh</t>
  </si>
  <si>
    <t xml:space="preserve">1886 Rath Lane </t>
  </si>
  <si>
    <t>+1 (920) 233-4190</t>
  </si>
  <si>
    <t>La Quinta Richmond</t>
  </si>
  <si>
    <t xml:space="preserve">1139 Crabb River RD </t>
  </si>
  <si>
    <t>Kim GM</t>
  </si>
  <si>
    <t>+()346-239-2777</t>
  </si>
  <si>
    <t xml:space="preserve">8383 FM 1960 RD W </t>
  </si>
  <si>
    <t>+()832-617-5757</t>
  </si>
  <si>
    <t>La Quinta Winchester</t>
  </si>
  <si>
    <t xml:space="preserve">1055 Millwood Pike </t>
  </si>
  <si>
    <t>Rebeca Kale</t>
  </si>
  <si>
    <t>+1 (540) 723-0753</t>
  </si>
  <si>
    <t>La Quinta Woodlands</t>
  </si>
  <si>
    <t xml:space="preserve">28673 I-45 N </t>
  </si>
  <si>
    <t>The Woodlands</t>
  </si>
  <si>
    <t>Neha GM</t>
  </si>
  <si>
    <t>+1 (281) 367-7722</t>
  </si>
  <si>
    <t>La Rinconada Country Club</t>
  </si>
  <si>
    <t xml:space="preserve">14595 Clearview Drive </t>
  </si>
  <si>
    <t>Andy Kimball</t>
  </si>
  <si>
    <t>Surendra Mistry</t>
  </si>
  <si>
    <t>+ (408) 395-4220</t>
  </si>
  <si>
    <t>La Valencia Hotel</t>
  </si>
  <si>
    <t xml:space="preserve">1132 Prospect Street </t>
  </si>
  <si>
    <t>92037-4533</t>
  </si>
  <si>
    <t>Summer Shoemaker</t>
  </si>
  <si>
    <t>+1 (858) 454-0771</t>
  </si>
  <si>
    <t>La Vecina</t>
  </si>
  <si>
    <t xml:space="preserve">920 East 9th Street </t>
  </si>
  <si>
    <t xml:space="preserve">Nate Seaton </t>
  </si>
  <si>
    <t>Lafayette Park Hotel &amp; Spa</t>
  </si>
  <si>
    <t xml:space="preserve">3287 Mt Diablo Boulevard </t>
  </si>
  <si>
    <t>Nick Bozych</t>
  </si>
  <si>
    <t>Sharon Ballock</t>
  </si>
  <si>
    <t>+ (925) 283-3700</t>
  </si>
  <si>
    <t>Lahaina Shores Beach Resort</t>
  </si>
  <si>
    <t xml:space="preserve">475 Front Street </t>
  </si>
  <si>
    <t>Wendell Inagmasu</t>
  </si>
  <si>
    <t>David Ching</t>
  </si>
  <si>
    <t>+1 (808) 661-4835</t>
  </si>
  <si>
    <t>Lake Park 18 Hole Course</t>
  </si>
  <si>
    <t xml:space="preserve">6 Lake Park Road </t>
  </si>
  <si>
    <t>Kiley Weaver</t>
  </si>
  <si>
    <t>+1 (972) 219-5661</t>
  </si>
  <si>
    <t>Lake Park Executive Golf Course</t>
  </si>
  <si>
    <t xml:space="preserve">102 Lake Park Road </t>
  </si>
  <si>
    <t>+1 (972) 436-3113</t>
  </si>
  <si>
    <t>Lake Windcrest Golf Club</t>
  </si>
  <si>
    <t xml:space="preserve">10941 Clubhouse Circle </t>
  </si>
  <si>
    <t>Magnolia</t>
  </si>
  <si>
    <t>+1 (281) 259-2279</t>
  </si>
  <si>
    <t>LakeRidge Country Club</t>
  </si>
  <si>
    <t xml:space="preserve">8802 Vicksburg Avenue </t>
  </si>
  <si>
    <t>Ramona McKay</t>
  </si>
  <si>
    <t>+1 (806) 794-4444</t>
  </si>
  <si>
    <t>Lakeshore Reserve Grand Lakes</t>
  </si>
  <si>
    <t xml:space="preserve">11248 Lakeshore Reserve Drive </t>
  </si>
  <si>
    <t>Jorge Reyes</t>
  </si>
  <si>
    <t>Maridally Santos</t>
  </si>
  <si>
    <t>+1 (407) 393-6405</t>
  </si>
  <si>
    <t>Lakeway Resort and Spa</t>
  </si>
  <si>
    <t xml:space="preserve">101 Lakeway Drive </t>
  </si>
  <si>
    <t>Blake Doran</t>
  </si>
  <si>
    <t>+1 (512) 261-6600</t>
  </si>
  <si>
    <t>LuVan Inc.</t>
  </si>
  <si>
    <t>Landings Inn and Cottages LLC</t>
  </si>
  <si>
    <t xml:space="preserve">29 Saco Avenue </t>
  </si>
  <si>
    <t>Old Orchard beach</t>
  </si>
  <si>
    <t>Cherri Dukes</t>
  </si>
  <si>
    <t>+1 (616) 706-0611</t>
  </si>
  <si>
    <t>Landmark Resort</t>
  </si>
  <si>
    <t xml:space="preserve">1501 S. Ocean Blvd </t>
  </si>
  <si>
    <t>Alice Hamrick</t>
  </si>
  <si>
    <t>+1(843)448 9441</t>
  </si>
  <si>
    <t>Lantana Golf Club</t>
  </si>
  <si>
    <t xml:space="preserve">800 Golf Club Drive </t>
  </si>
  <si>
    <t>Lantana</t>
  </si>
  <si>
    <t>Greg Radomski</t>
  </si>
  <si>
    <t>+1(940) 728-4653</t>
  </si>
  <si>
    <t>LaQuinta Inn &amp; Suites Dallas - Richardson</t>
  </si>
  <si>
    <t xml:space="preserve">13175 North Central Expressway </t>
  </si>
  <si>
    <t>RIAD ALYATIM</t>
  </si>
  <si>
    <t>+1 (972) 480-9000</t>
  </si>
  <si>
    <t>LaQuinta Inn &amp; Suites Dallas Downtown</t>
  </si>
  <si>
    <t xml:space="preserve">302 South Houston Street </t>
  </si>
  <si>
    <t>+1 (214) 761-9090</t>
  </si>
  <si>
    <t>LaQuinta Inn &amp; Suites Ft. Myers</t>
  </si>
  <si>
    <t xml:space="preserve">9521 Market Place Rd. </t>
  </si>
  <si>
    <t>Alexa Hardin</t>
  </si>
  <si>
    <t>+1 (239) 466-0012</t>
  </si>
  <si>
    <t>LaQuinta Inn &amp; Suites Springfield OR</t>
  </si>
  <si>
    <t xml:space="preserve">3480 Hutton Street </t>
  </si>
  <si>
    <t>Colleen Evans</t>
  </si>
  <si>
    <t>+1 (541) 746-8471</t>
  </si>
  <si>
    <t>Vintage Hotels LLC</t>
  </si>
  <si>
    <t>LaQuinta Inn Dallas Lewisville</t>
  </si>
  <si>
    <t xml:space="preserve">1657 South Stemmons Freeway </t>
  </si>
  <si>
    <t>Timothy Bleeker</t>
  </si>
  <si>
    <t>+1 (469) 470-2891</t>
  </si>
  <si>
    <t>LaQuinta Inn Mobile</t>
  </si>
  <si>
    <t xml:space="preserve">3650 Airport Road </t>
  </si>
  <si>
    <t>Charlie Allen</t>
  </si>
  <si>
    <t>+(251)239-9300</t>
  </si>
  <si>
    <t>Larkspur Landing Bellevue</t>
  </si>
  <si>
    <t xml:space="preserve">15805 Southeast 37th Street </t>
  </si>
  <si>
    <t>Thomas Hughes</t>
  </si>
  <si>
    <t>+1 (425) 373-1212</t>
  </si>
  <si>
    <t>Larkspur Landing Campbell</t>
  </si>
  <si>
    <t xml:space="preserve">550 West Hamilton Avenue </t>
  </si>
  <si>
    <t>Sean Gardner</t>
  </si>
  <si>
    <t>+1 (408) 364-1514</t>
  </si>
  <si>
    <t>Larkspur Landing Folsom</t>
  </si>
  <si>
    <t xml:space="preserve">121 Iron Point Road </t>
  </si>
  <si>
    <t>Regina Bryant</t>
  </si>
  <si>
    <t>+1 (916) 355-1616</t>
  </si>
  <si>
    <t>Larkspur Landing Hillsboro</t>
  </si>
  <si>
    <t xml:space="preserve">3133 Northeast Shute Road </t>
  </si>
  <si>
    <t>Sacha McGregor</t>
  </si>
  <si>
    <t>Tika Singh</t>
  </si>
  <si>
    <t>+1 (503) 681-2121</t>
  </si>
  <si>
    <t>Larkspur Landing Milpitas</t>
  </si>
  <si>
    <t xml:space="preserve">40 Ranch Drive </t>
  </si>
  <si>
    <t>Brian Hutchison</t>
  </si>
  <si>
    <t>Omar Martinez</t>
  </si>
  <si>
    <t>+1 (408) 719-1212</t>
  </si>
  <si>
    <t>Larkspur Landing Pleasanton</t>
  </si>
  <si>
    <t xml:space="preserve">5535 Johnson Drive </t>
  </si>
  <si>
    <t>Mary Moreno</t>
  </si>
  <si>
    <t>Rene Maron</t>
  </si>
  <si>
    <t>+1 (925) 463-1212</t>
  </si>
  <si>
    <t>Larkspur Landing Renton</t>
  </si>
  <si>
    <t xml:space="preserve">1701 East Valley Road </t>
  </si>
  <si>
    <t>Jamie Schwartz</t>
  </si>
  <si>
    <t>+1 (425) 235-1212</t>
  </si>
  <si>
    <t>Larkspur Landing Roseville</t>
  </si>
  <si>
    <t xml:space="preserve">1931 Taylor Road </t>
  </si>
  <si>
    <t>Patricia White</t>
  </si>
  <si>
    <t>+1 (916) 773-1717</t>
  </si>
  <si>
    <t>Larkspur Landing Sacramento</t>
  </si>
  <si>
    <t xml:space="preserve">555 Howe Avenue </t>
  </si>
  <si>
    <t>+1 (916) 646-1212</t>
  </si>
  <si>
    <t>Larkspur Landing South San Francisco</t>
  </si>
  <si>
    <t xml:space="preserve">690 Gateway Boulevard </t>
  </si>
  <si>
    <t>Amber Patterson</t>
  </si>
  <si>
    <t>+1 (650) 827-1515</t>
  </si>
  <si>
    <t>Larkspur Landing Sunnyvale</t>
  </si>
  <si>
    <t xml:space="preserve">748 North Mathilda Avenue </t>
  </si>
  <si>
    <t>Sanjeev Kumar</t>
  </si>
  <si>
    <t>+1 (408) 733-1212</t>
  </si>
  <si>
    <t>Oprem 390 S.A. de C.V.</t>
  </si>
  <si>
    <t>Las Alcobas Mexico City</t>
  </si>
  <si>
    <t>Ave. Presidente Masaryk 930 Paklok</t>
  </si>
  <si>
    <t>Michael Chiche</t>
  </si>
  <si>
    <t>Octavio Leonerdo</t>
  </si>
  <si>
    <t>+()1 5520 4599</t>
  </si>
  <si>
    <t>Las Colinas Country Club</t>
  </si>
  <si>
    <t xml:space="preserve">4400 N. O'Connor Blvd </t>
  </si>
  <si>
    <t>David Rems</t>
  </si>
  <si>
    <t>Patrick Connell</t>
  </si>
  <si>
    <t>+ (972) 541-1141</t>
  </si>
  <si>
    <t xml:space="preserve">Las Vegas Embassy Suites </t>
  </si>
  <si>
    <t xml:space="preserve">4315 Swenson St </t>
  </si>
  <si>
    <t>Tom Spoto</t>
  </si>
  <si>
    <t>JC Nieto</t>
  </si>
  <si>
    <t>+ (702) 795-2800</t>
  </si>
  <si>
    <t>Las Vegas Golf Course</t>
  </si>
  <si>
    <t xml:space="preserve">4300 West Washington Avenue </t>
  </si>
  <si>
    <t>Ryan Humphreys</t>
  </si>
  <si>
    <t>+1 (702) 646-3003</t>
  </si>
  <si>
    <t>Las Vegas Sales and Marketing</t>
  </si>
  <si>
    <t>Brent Gorby</t>
  </si>
  <si>
    <t>+1 (702) 862-5715</t>
  </si>
  <si>
    <t>Las Ventanas Al Paraiso A Rosewood Resort</t>
  </si>
  <si>
    <t xml:space="preserve">KM 19.5 Ctra. Transpeninsular </t>
  </si>
  <si>
    <t>Rafael Lira</t>
  </si>
  <si>
    <t>+()52 624 144 2800</t>
  </si>
  <si>
    <t>Latin Sales and Marketing</t>
  </si>
  <si>
    <t>Cindy Willis</t>
  </si>
  <si>
    <t>Laurel Springs Golf Club</t>
  </si>
  <si>
    <t xml:space="preserve">6400 Golf Club Dr </t>
  </si>
  <si>
    <t>Bobby Ahquin</t>
  </si>
  <si>
    <t>Kevin Boyko</t>
  </si>
  <si>
    <t>+ (770) 884-0064</t>
  </si>
  <si>
    <t>Le Centre Sheraton Montreal Hotel</t>
  </si>
  <si>
    <t xml:space="preserve">1201 Boulevard René-Lévesque West </t>
  </si>
  <si>
    <t>H3B 2L7</t>
  </si>
  <si>
    <t>Bertil Fabre</t>
  </si>
  <si>
    <t>+1(514)878-2000</t>
  </si>
  <si>
    <t>Le Consulat</t>
  </si>
  <si>
    <t xml:space="preserve">Avenida Magdalena </t>
  </si>
  <si>
    <t>Condado</t>
  </si>
  <si>
    <t>Nestor Ruiz</t>
  </si>
  <si>
    <t>+1 (787) 289-9191</t>
  </si>
  <si>
    <t>Le Meridien Arlington</t>
  </si>
  <si>
    <t xml:space="preserve">1121 N. 19th Street </t>
  </si>
  <si>
    <t>Hazel Hagans</t>
  </si>
  <si>
    <t>+1 (703) 351-9170</t>
  </si>
  <si>
    <t>Le Meridien Cambridge</t>
  </si>
  <si>
    <t xml:space="preserve">20 Sidney Street </t>
  </si>
  <si>
    <t>Emilia Arruda</t>
  </si>
  <si>
    <t>Joe Dadiego</t>
  </si>
  <si>
    <t>+ (617) 577-0200</t>
  </si>
  <si>
    <t>Le Meridien Chicago - Oakbrook Center</t>
  </si>
  <si>
    <t xml:space="preserve">2100 Spring Road </t>
  </si>
  <si>
    <t>Dick Turner</t>
  </si>
  <si>
    <t>+1 (630) 368-9900</t>
  </si>
  <si>
    <t>Le Meridien Clayton Plaza St. Louis</t>
  </si>
  <si>
    <t xml:space="preserve">7730 Bonhomme Avenue </t>
  </si>
  <si>
    <t xml:space="preserve">Andrew Hargis </t>
  </si>
  <si>
    <t>Benjamin Leonard</t>
  </si>
  <si>
    <t>+1 (314) 863-0400</t>
  </si>
  <si>
    <t xml:space="preserve">Le Meridien Dallas The Stoneleigh </t>
  </si>
  <si>
    <t xml:space="preserve">2927 Maple Avenue </t>
  </si>
  <si>
    <t>+ (214) 871-7111</t>
  </si>
  <si>
    <t>Cohen Dania Beach Hotel LLC</t>
  </si>
  <si>
    <t>Le Méridien Dania Beach at Fort Lauderdale Airport</t>
  </si>
  <si>
    <t xml:space="preserve">1825 Griffin Road </t>
  </si>
  <si>
    <t>Doug Hope</t>
  </si>
  <si>
    <t>Dave Fogel</t>
  </si>
  <si>
    <t>+1 (954) 920-3500</t>
  </si>
  <si>
    <t>Le Meridien Denver Downtown</t>
  </si>
  <si>
    <t xml:space="preserve">1475 California Street </t>
  </si>
  <si>
    <t>Luis San Martin</t>
  </si>
  <si>
    <t>Le Meridien Essex Chicago</t>
  </si>
  <si>
    <t xml:space="preserve">800 South Michigan Avenue </t>
  </si>
  <si>
    <t>Ludmila Chervona</t>
  </si>
  <si>
    <t>+1 (312) 939-2800</t>
  </si>
  <si>
    <t>Le Meridien Houston Downtown</t>
  </si>
  <si>
    <t xml:space="preserve">1121 Walker Street </t>
  </si>
  <si>
    <t>+1 (713) 222-7777</t>
  </si>
  <si>
    <t>Le Meridien Mexico City</t>
  </si>
  <si>
    <t xml:space="preserve">Paseo de la Reforma 69 </t>
  </si>
  <si>
    <t>+()52 55 5061 3000</t>
  </si>
  <si>
    <t>Le Meridien Philadelphia</t>
  </si>
  <si>
    <t xml:space="preserve">1421 Arch Street </t>
  </si>
  <si>
    <t>Wilson Bravo</t>
  </si>
  <si>
    <t>+ (215) 422-8200</t>
  </si>
  <si>
    <t>Le Meridien San Francisco</t>
  </si>
  <si>
    <t xml:space="preserve">333 Battery Street </t>
  </si>
  <si>
    <t>Jonathan Sembrana</t>
  </si>
  <si>
    <t>+ (415) 296-2900</t>
  </si>
  <si>
    <t>Le Meridien St. Louis Downtown</t>
  </si>
  <si>
    <t>Cameron Taylor</t>
  </si>
  <si>
    <t>+1 (314) 436-2355</t>
  </si>
  <si>
    <t>Le Parc Suite Hotel</t>
  </si>
  <si>
    <t xml:space="preserve">733 West Knoll Drive </t>
  </si>
  <si>
    <t>Bert Seneca</t>
  </si>
  <si>
    <t>Karla Roque</t>
  </si>
  <si>
    <t>+1 (310) 855-8888</t>
  </si>
  <si>
    <t>Le Pavillon Hotel</t>
  </si>
  <si>
    <t xml:space="preserve">833 Poydras Street </t>
  </si>
  <si>
    <t>Jeff Wilkinson</t>
  </si>
  <si>
    <t>+1 (504) 581-3111</t>
  </si>
  <si>
    <t>Leamington Hotel</t>
  </si>
  <si>
    <t xml:space="preserve">307 Northeast 1st Street </t>
  </si>
  <si>
    <t>Luzzy Castro</t>
  </si>
  <si>
    <t>+1 (305) 373-7783</t>
  </si>
  <si>
    <t>Ledges Hotel</t>
  </si>
  <si>
    <t xml:space="preserve">120 Falls Avenue </t>
  </si>
  <si>
    <t>Terri Marcellus</t>
  </si>
  <si>
    <t>Legacy Club</t>
  </si>
  <si>
    <t xml:space="preserve">330 Legacy Way </t>
  </si>
  <si>
    <t>Shoal Creek</t>
  </si>
  <si>
    <t>+1 (205) 986-5148</t>
  </si>
  <si>
    <t>Legends Edge</t>
  </si>
  <si>
    <t xml:space="preserve">4000 Marriott Drive </t>
  </si>
  <si>
    <t>Panama City Beach</t>
  </si>
  <si>
    <t>Kevin Lynn</t>
  </si>
  <si>
    <t>Darlene Mellies</t>
  </si>
  <si>
    <t>+1 (850) 236-4200</t>
  </si>
  <si>
    <t>Legend's Edge Sales Gallery</t>
  </si>
  <si>
    <t>Panama City beach</t>
  </si>
  <si>
    <t>City Center Hotel Partners I LLC</t>
  </si>
  <si>
    <t>Lexington Marriott City Center</t>
  </si>
  <si>
    <t xml:space="preserve">121 West Vine Street </t>
  </si>
  <si>
    <t>Barry Kuhnke</t>
  </si>
  <si>
    <t xml:space="preserve"> Jared Gettler</t>
  </si>
  <si>
    <t>+1(859) 253-1000</t>
  </si>
  <si>
    <t>LIA Hotel</t>
  </si>
  <si>
    <t xml:space="preserve">950 El Camino Real </t>
  </si>
  <si>
    <t>Lourdes Mota</t>
  </si>
  <si>
    <t>+1 (650) 593-3136</t>
  </si>
  <si>
    <t>Lido House Autograph Collection</t>
  </si>
  <si>
    <t xml:space="preserve">3300 Newport Boulevard </t>
  </si>
  <si>
    <t>Eduardo Rodrigues</t>
  </si>
  <si>
    <t>Teresa Brusca</t>
  </si>
  <si>
    <t>+1 (949) 524-8500</t>
  </si>
  <si>
    <t>Lighthouse Inn and Cabins LLC</t>
  </si>
  <si>
    <t xml:space="preserve">74 Saco Avenue </t>
  </si>
  <si>
    <t>Lighthouse Lodge &amp; Cottages</t>
  </si>
  <si>
    <t xml:space="preserve">1150 Lighthouse Avenue </t>
  </si>
  <si>
    <t>Pacific Grove</t>
  </si>
  <si>
    <t>+1 (831)655-2111</t>
  </si>
  <si>
    <t>Limelight Hotel - Aspen</t>
  </si>
  <si>
    <t xml:space="preserve">355 South Monarch </t>
  </si>
  <si>
    <t>Austin McNeill</t>
  </si>
  <si>
    <t>Henning Rahm</t>
  </si>
  <si>
    <t>Limelight Hotel - Snowmass</t>
  </si>
  <si>
    <t xml:space="preserve">65 Wood Road </t>
  </si>
  <si>
    <t>Naomi Baldwin</t>
  </si>
  <si>
    <t>Rahm Henning</t>
  </si>
  <si>
    <t>+1 (970) 379-3962</t>
  </si>
  <si>
    <t>Linchris Hotel Corporation HQ</t>
  </si>
  <si>
    <t>225 Water Street Suite A-125</t>
  </si>
  <si>
    <t>+ () 781/826-8824</t>
  </si>
  <si>
    <t>Litchfield Beach &amp; Golf Resort</t>
  </si>
  <si>
    <t>14276 Ocean Hwy P.O. Box 320</t>
  </si>
  <si>
    <t>Benjamin Greene</t>
  </si>
  <si>
    <t>Bill Baldree</t>
  </si>
  <si>
    <t>+1 (843) 237-3000</t>
  </si>
  <si>
    <t>Grand America Hotels and Resorts</t>
  </si>
  <si>
    <t>Little America Hotel-Cheyenne</t>
  </si>
  <si>
    <t xml:space="preserve">2800 West Lincolnway </t>
  </si>
  <si>
    <t>Brooke Taylor</t>
  </si>
  <si>
    <t>Tony O'Brien</t>
  </si>
  <si>
    <t>+1 (307) 775-8400</t>
  </si>
  <si>
    <t>Little America Hotel-Flagstaff</t>
  </si>
  <si>
    <t xml:space="preserve">2515 E Butler Ave </t>
  </si>
  <si>
    <t>Fred Reese</t>
  </si>
  <si>
    <t>Brent Garrett</t>
  </si>
  <si>
    <t>+1 (928) 779-2741</t>
  </si>
  <si>
    <t>Little America Hotel-Salt Lake City</t>
  </si>
  <si>
    <t xml:space="preserve">500 South Main Street </t>
  </si>
  <si>
    <t>Maranda Gardner</t>
  </si>
  <si>
    <t>Billly Boud</t>
  </si>
  <si>
    <t>+1 (801) 596-5700</t>
  </si>
  <si>
    <t>Little America-Wyoming</t>
  </si>
  <si>
    <t xml:space="preserve">I-80 Exit 68 </t>
  </si>
  <si>
    <t>LITTLE AMERICA</t>
  </si>
  <si>
    <t xml:space="preserve">Spencer Riggs </t>
  </si>
  <si>
    <t>+1 (307) 875-2400</t>
  </si>
  <si>
    <t>Little Nell</t>
  </si>
  <si>
    <t xml:space="preserve">675 East Durant Ave </t>
  </si>
  <si>
    <t>Jonathan Fillman</t>
  </si>
  <si>
    <t>Tim Baldwin</t>
  </si>
  <si>
    <t>+1 (970) 920-6354</t>
  </si>
  <si>
    <t>Live Oak Golf Club</t>
  </si>
  <si>
    <t xml:space="preserve">510 Lakeway Drive </t>
  </si>
  <si>
    <t>+ (512) 261-7173</t>
  </si>
  <si>
    <t>Live! by Loews Arlington</t>
  </si>
  <si>
    <t xml:space="preserve">1600 East Randol Mill Road </t>
  </si>
  <si>
    <t xml:space="preserve">Debbie Young </t>
  </si>
  <si>
    <t>Scott Nassar</t>
  </si>
  <si>
    <t>+1 (615) 340-5901</t>
  </si>
  <si>
    <t>Live! By Loews St. Louis</t>
  </si>
  <si>
    <t xml:space="preserve">799 Clark Avenue </t>
  </si>
  <si>
    <t>Geneya Sauro</t>
  </si>
  <si>
    <t>+1(314)597-9700</t>
  </si>
  <si>
    <t>Lochmere Golf Club</t>
  </si>
  <si>
    <t xml:space="preserve">2511 Kildaire Farm RD </t>
  </si>
  <si>
    <t>Ed Hanley</t>
  </si>
  <si>
    <t>+ (919) 851-0611</t>
  </si>
  <si>
    <t>Lodge On The Desert</t>
  </si>
  <si>
    <t xml:space="preserve">306 North Alvernon Way </t>
  </si>
  <si>
    <t>Kyle Treat</t>
  </si>
  <si>
    <t>Mariana Esquer</t>
  </si>
  <si>
    <t>+1 (520) 254-0640</t>
  </si>
  <si>
    <t>Loews - Lakewood Regional Office</t>
  </si>
  <si>
    <t xml:space="preserve">6800 Lakewood Plaza Drive </t>
  </si>
  <si>
    <t>+1 (407) 503-9000</t>
  </si>
  <si>
    <t>Loews Atlanta Hotel</t>
  </si>
  <si>
    <t xml:space="preserve">1065 Peachtree Street NE </t>
  </si>
  <si>
    <t>Dale McDaniel</t>
  </si>
  <si>
    <t>+1(404)745-5000</t>
  </si>
  <si>
    <t>Loews Boston Back Bay Hotel</t>
  </si>
  <si>
    <t xml:space="preserve">350 Stuart Street </t>
  </si>
  <si>
    <t>Robert Rivers</t>
  </si>
  <si>
    <t>+1 (617) 266-7200</t>
  </si>
  <si>
    <t>Loews Chicago Hotel</t>
  </si>
  <si>
    <t xml:space="preserve">455 North Park Drive </t>
  </si>
  <si>
    <t>+1(312)840-6657</t>
  </si>
  <si>
    <t>Loews Chicago O'Hare Hotel</t>
  </si>
  <si>
    <t xml:space="preserve">5300 North River Road </t>
  </si>
  <si>
    <t>Craig Curtiss</t>
  </si>
  <si>
    <t>+1 (847) 544-5300</t>
  </si>
  <si>
    <t>Loews Coronado Bay Resort - San Diego</t>
  </si>
  <si>
    <t xml:space="preserve">4000 Coronado Bay Road </t>
  </si>
  <si>
    <t>Tony Phillips</t>
  </si>
  <si>
    <t>+ (619) 424-4000</t>
  </si>
  <si>
    <t>Loews Hollywood</t>
  </si>
  <si>
    <t xml:space="preserve">1755 North Highland Avenue </t>
  </si>
  <si>
    <t>Brian Aker</t>
  </si>
  <si>
    <t>(323) 856-1200</t>
  </si>
  <si>
    <t>Loews Kansas City Hotel</t>
  </si>
  <si>
    <t xml:space="preserve">1515 Wyandotte Street </t>
  </si>
  <si>
    <t>Brian D. Johnson</t>
  </si>
  <si>
    <t>Loews Miami Beach Hotel</t>
  </si>
  <si>
    <t>1601 Collins Avenue 13365 N.E 17th Avenue</t>
  </si>
  <si>
    <t>AP Invoices</t>
  </si>
  <si>
    <t>+ (305) 604-1601</t>
  </si>
  <si>
    <t>Loews Minneapolis Hotel</t>
  </si>
  <si>
    <t xml:space="preserve">601 First Avenue North </t>
  </si>
  <si>
    <t>Jason Sitte</t>
  </si>
  <si>
    <t>+1 (612) 677-1100</t>
  </si>
  <si>
    <t>Loews New Orleans Hotel</t>
  </si>
  <si>
    <t>300 Poydras Street Alt: 533 South Peters Street</t>
  </si>
  <si>
    <t>Patrick Barrett</t>
  </si>
  <si>
    <t>+1(504)595-3300</t>
  </si>
  <si>
    <t>Loews Philadelphia Hotel</t>
  </si>
  <si>
    <t xml:space="preserve">1200 Market Street </t>
  </si>
  <si>
    <t>Hans Ritten</t>
  </si>
  <si>
    <t>+ (215) 627-1200</t>
  </si>
  <si>
    <t>Loews Portofino Bay Hotel at Universal Orlando</t>
  </si>
  <si>
    <t xml:space="preserve">5601 Universal Boulevard </t>
  </si>
  <si>
    <t>George Cronk</t>
  </si>
  <si>
    <t>+ (407) 503-1001</t>
  </si>
  <si>
    <t>Loews Regency Hotel</t>
  </si>
  <si>
    <t xml:space="preserve">540 Park Avenue (at 61st Street) </t>
  </si>
  <si>
    <t>John Maibach</t>
  </si>
  <si>
    <t>+ (212) 759-4100</t>
  </si>
  <si>
    <t>Loews Royal Pacific Resort at Universal Orlando</t>
  </si>
  <si>
    <t xml:space="preserve">6300 Hollywood Way </t>
  </si>
  <si>
    <t>Nando Belmonte</t>
  </si>
  <si>
    <t>+1 (407) 503-3001</t>
  </si>
  <si>
    <t>Loews Sapphire Falls Resort</t>
  </si>
  <si>
    <t xml:space="preserve">6601 Adventure Way </t>
  </si>
  <si>
    <t>+1 (888) 430-4999</t>
  </si>
  <si>
    <t>Loews Vanderbilt Hotel Nashville</t>
  </si>
  <si>
    <t xml:space="preserve">2100 West End Avenue </t>
  </si>
  <si>
    <t>Hugh Anderson</t>
  </si>
  <si>
    <t>+ (615) 320-1700</t>
  </si>
  <si>
    <t>Loews Ventana Canyon Resort - Tucson</t>
  </si>
  <si>
    <t xml:space="preserve">7000 North Resort Drive </t>
  </si>
  <si>
    <t>+ (520) 299-2020</t>
  </si>
  <si>
    <t>London House Chicago</t>
  </si>
  <si>
    <t xml:space="preserve">85 East Wacker Drive </t>
  </si>
  <si>
    <t>Juan Leyva</t>
  </si>
  <si>
    <t>Elizabeth Sweeney</t>
  </si>
  <si>
    <t>+1 (312) 357-1200</t>
  </si>
  <si>
    <t>Lone Tree Tru</t>
  </si>
  <si>
    <t xml:space="preserve">9741 Park Meadow Drive </t>
  </si>
  <si>
    <t>Kaitlyn Perez</t>
  </si>
  <si>
    <t>+1 (303) 799-1800</t>
  </si>
  <si>
    <t>Long Bay Resort</t>
  </si>
  <si>
    <t>jim david</t>
  </si>
  <si>
    <t>jim davis</t>
  </si>
  <si>
    <t>+1 (843) 449-3361</t>
  </si>
  <si>
    <t>Los Altos Golf &amp; Country Club</t>
  </si>
  <si>
    <t xml:space="preserve">1560 Country Club DR </t>
  </si>
  <si>
    <t>Randall Bertao MS</t>
  </si>
  <si>
    <t>James Callahan</t>
  </si>
  <si>
    <t>+ (650) 947-3100</t>
  </si>
  <si>
    <t>Los Robles Golf Course</t>
  </si>
  <si>
    <t xml:space="preserve">299 South Moorpark Road </t>
  </si>
  <si>
    <t>Jack Swisher</t>
  </si>
  <si>
    <t>+1 (805) 495-6421</t>
  </si>
  <si>
    <t xml:space="preserve">Los Suenos Marriott Ocean Golf Resort </t>
  </si>
  <si>
    <t>800 Meters West Herradura Bay Entrance on Pacific Playa Herradura 4023</t>
  </si>
  <si>
    <t>Playa Herradura Puntarenas</t>
  </si>
  <si>
    <t>Andrea Ramirez</t>
  </si>
  <si>
    <t>Diana de Rojas</t>
  </si>
  <si>
    <t>+011 (506) 2630-9000</t>
  </si>
  <si>
    <t>Lost Creek Country Club</t>
  </si>
  <si>
    <t xml:space="preserve">2612 Lost Creek BLVD </t>
  </si>
  <si>
    <t>Chip Gist</t>
  </si>
  <si>
    <t>+ (512) 892-1205</t>
  </si>
  <si>
    <t>2885DH Management LLC</t>
  </si>
  <si>
    <t>Lotus Honolulu at Diamond Head</t>
  </si>
  <si>
    <t xml:space="preserve">2885 Kalakaua Avenue </t>
  </si>
  <si>
    <t>+1 (808) 922-1700</t>
  </si>
  <si>
    <t xml:space="preserve">Luana Waikiki </t>
  </si>
  <si>
    <t xml:space="preserve">2045 Kalakaua Avenue </t>
  </si>
  <si>
    <t>Clem Lagundimao</t>
  </si>
  <si>
    <t>+1 (808) 955-6000</t>
  </si>
  <si>
    <t>Lucky Dollar Bingo Palace Ltd.- Terrace Chances</t>
  </si>
  <si>
    <t xml:space="preserve">4410 Legion Avenue </t>
  </si>
  <si>
    <t>Terrace</t>
  </si>
  <si>
    <t>V9G 1N6</t>
  </si>
  <si>
    <t>Sean Bujtas</t>
  </si>
  <si>
    <t>Sandra Da Silva</t>
  </si>
  <si>
    <t>+1 (250) 635-2411</t>
  </si>
  <si>
    <t>Lucky Eagle Hotel</t>
  </si>
  <si>
    <t xml:space="preserve">768 Lucky Eagle Drive </t>
  </si>
  <si>
    <t>Esmeralda Hernandez Garza</t>
  </si>
  <si>
    <t>+1 (803) 773-2255</t>
  </si>
  <si>
    <t>E.H. Summit Inc.</t>
  </si>
  <si>
    <t>Luxe Sunset Blvd Hotel</t>
  </si>
  <si>
    <t xml:space="preserve">11461 Sunset Boulevard </t>
  </si>
  <si>
    <t>+1 (310) 691-7513</t>
  </si>
  <si>
    <t>Lynn Britt Cabin (Burlingame)</t>
  </si>
  <si>
    <t>M C Benton Jr Convention &amp; Civic Center</t>
  </si>
  <si>
    <t xml:space="preserve">301 West 5th Street </t>
  </si>
  <si>
    <t>Grant Minnix</t>
  </si>
  <si>
    <t>Jessica Dorr</t>
  </si>
  <si>
    <t>+1 (336) 727-2976</t>
  </si>
  <si>
    <t>Macon Marriott City Center</t>
  </si>
  <si>
    <t xml:space="preserve">240 Coliseum Dr. </t>
  </si>
  <si>
    <t>Kathy Martin</t>
  </si>
  <si>
    <t>+1 (478) 621-5300</t>
  </si>
  <si>
    <t>Madison Marriott West</t>
  </si>
  <si>
    <t xml:space="preserve">1313 John Q. Hammons Drive </t>
  </si>
  <si>
    <t>Middleton</t>
  </si>
  <si>
    <t>David Bleuer</t>
  </si>
  <si>
    <t>+1 (608) 831-2000</t>
  </si>
  <si>
    <t>Magnolia Creek</t>
  </si>
  <si>
    <t xml:space="preserve">1501 West Bay Area Boulevard </t>
  </si>
  <si>
    <t>Jenny Judd</t>
  </si>
  <si>
    <t>+1 (281) 726-4293</t>
  </si>
  <si>
    <t>Magnolia Grove</t>
  </si>
  <si>
    <t xml:space="preserve">7001 Magnolia Grove Parkway </t>
  </si>
  <si>
    <t>Paul Martino</t>
  </si>
  <si>
    <t>+1 (251) 645-0075</t>
  </si>
  <si>
    <t>Magnolia Hotel Dallas</t>
  </si>
  <si>
    <t xml:space="preserve">1401 Commerce Street </t>
  </si>
  <si>
    <t>Kevin Gilbert</t>
  </si>
  <si>
    <t>Shannon Weber</t>
  </si>
  <si>
    <t>+1 (214) 915-6500</t>
  </si>
  <si>
    <t>Mahi Mah's</t>
  </si>
  <si>
    <t xml:space="preserve">605 Atlantic Avenue </t>
  </si>
  <si>
    <t>Majestic Oaks Golf Club</t>
  </si>
  <si>
    <t xml:space="preserve">701 Bunker Lake Boulevard NE </t>
  </si>
  <si>
    <t>Ham Lake</t>
  </si>
  <si>
    <t>Emmett Lincoln Jr</t>
  </si>
  <si>
    <t>+1 (763) 755-2140</t>
  </si>
  <si>
    <t>Landmark Hotels Inc.</t>
  </si>
  <si>
    <t xml:space="preserve">Makena Beach &amp; Golf Resort </t>
  </si>
  <si>
    <t xml:space="preserve">5400 Makena Alanui </t>
  </si>
  <si>
    <t>Wailea-Makena</t>
  </si>
  <si>
    <t>Shawn Sweeney</t>
  </si>
  <si>
    <t>Celina Cabo</t>
  </si>
  <si>
    <t>+1 (808) 874-1111</t>
  </si>
  <si>
    <t>Mama Shelter</t>
  </si>
  <si>
    <t xml:space="preserve">6500 Selma Avenue </t>
  </si>
  <si>
    <t>Andrew Jay</t>
  </si>
  <si>
    <t>+1(323)785-6666</t>
  </si>
  <si>
    <t>Manchester Grand Hyatt San Diego</t>
  </si>
  <si>
    <t xml:space="preserve">1 Market Pl </t>
  </si>
  <si>
    <t>Daniel Kuperschmid</t>
  </si>
  <si>
    <t>+ (619) 232-1234</t>
  </si>
  <si>
    <t>Mandarin Oriental Boston</t>
  </si>
  <si>
    <t xml:space="preserve">776 Boylston Street </t>
  </si>
  <si>
    <t>Alexander Von Susskind</t>
  </si>
  <si>
    <t>Markus Lindner</t>
  </si>
  <si>
    <t>+1 (617) 535-8888</t>
  </si>
  <si>
    <t>Mandarin Oriental Miami</t>
  </si>
  <si>
    <t xml:space="preserve">500 Brickell Key Drive </t>
  </si>
  <si>
    <t>Elysia Weiss</t>
  </si>
  <si>
    <t xml:space="preserve">Flavia Daudan-Caponi </t>
  </si>
  <si>
    <t>+1 (305) 913-8288</t>
  </si>
  <si>
    <t>Mandarin Oriental New York</t>
  </si>
  <si>
    <t xml:space="preserve">80 Columbus Circle and 60th Street </t>
  </si>
  <si>
    <t>Jeroen Werdmolder</t>
  </si>
  <si>
    <t>Robert Lowe</t>
  </si>
  <si>
    <t>+1 (212) 805-8800</t>
  </si>
  <si>
    <t>Mandarin Oriental Washington DC</t>
  </si>
  <si>
    <t xml:space="preserve">1330 Maryland Ave. SW </t>
  </si>
  <si>
    <t>+1 (202) 554-8588</t>
  </si>
  <si>
    <t>Manigua Club</t>
  </si>
  <si>
    <t xml:space="preserve">Avenida Jesus del Monte N 33 </t>
  </si>
  <si>
    <t>Manor Club</t>
  </si>
  <si>
    <t xml:space="preserve">101 Saint Andrews Dr </t>
  </si>
  <si>
    <t>Angel Paz</t>
  </si>
  <si>
    <t>+ (757) 258-1120</t>
  </si>
  <si>
    <t>Manor Club Sales Gallery</t>
  </si>
  <si>
    <t xml:space="preserve">101 Saint Andres Drive </t>
  </si>
  <si>
    <t xml:space="preserve">Manor Golf and Country Club </t>
  </si>
  <si>
    <t xml:space="preserve">15951 Manor Club Drive </t>
  </si>
  <si>
    <t xml:space="preserve">Milton </t>
  </si>
  <si>
    <t>+1 (678) 366-3886</t>
  </si>
  <si>
    <t>Mansfield National Golf Club</t>
  </si>
  <si>
    <t xml:space="preserve">3750 National Parkway </t>
  </si>
  <si>
    <t>76063-5406</t>
  </si>
  <si>
    <t>+1 (817) 477-3366</t>
  </si>
  <si>
    <t>Manteo Resort</t>
  </si>
  <si>
    <t xml:space="preserve">3766 Lakeshore Road </t>
  </si>
  <si>
    <t>V1W 3L4</t>
  </si>
  <si>
    <t>+1 (250) 860-1031</t>
  </si>
  <si>
    <t>Manufacturers' Golf &amp; Country Club</t>
  </si>
  <si>
    <t>Manufacturers Golf &amp; Country Club</t>
  </si>
  <si>
    <t>511 Dreshertown Road PO Box 790</t>
  </si>
  <si>
    <t>Fort Washington</t>
  </si>
  <si>
    <t>Gregory D'Alonzo</t>
  </si>
  <si>
    <t>+ (215) 886-3200</t>
  </si>
  <si>
    <t>Mar Monte Hotel</t>
  </si>
  <si>
    <t xml:space="preserve">1111 East Cabrillo Boulevard </t>
  </si>
  <si>
    <t>Jerome Strack</t>
  </si>
  <si>
    <t>+1 (805)963-0744</t>
  </si>
  <si>
    <t>Marco Island Sales and Marketing</t>
  </si>
  <si>
    <t>Diana Pekelder</t>
  </si>
  <si>
    <t>+1 (239) 393-6010</t>
  </si>
  <si>
    <t>Margaritaville Beach Resort</t>
  </si>
  <si>
    <t xml:space="preserve">1111 North Ocean Drive </t>
  </si>
  <si>
    <t>Cate Farmer</t>
  </si>
  <si>
    <t>+1 (954) 874-4444</t>
  </si>
  <si>
    <t>Margaritaville Hotel Nashville</t>
  </si>
  <si>
    <t xml:space="preserve">425 5th Avenue South </t>
  </si>
  <si>
    <t>Jeff Webb</t>
  </si>
  <si>
    <t>+(615)986-9300</t>
  </si>
  <si>
    <t>Margaritaville Resort Orlando</t>
  </si>
  <si>
    <t xml:space="preserve">8000 Fins Up Circle </t>
  </si>
  <si>
    <t>Scott Robbins</t>
  </si>
  <si>
    <t>Elizabeth Brackman</t>
  </si>
  <si>
    <t>+1 (855) 995-9099</t>
  </si>
  <si>
    <t>Margaritaville Resort Palm Springs</t>
  </si>
  <si>
    <t xml:space="preserve">1600 North Indian Canyon Drive </t>
  </si>
  <si>
    <t>Marc Choplick</t>
  </si>
  <si>
    <t>Martimo Whitter</t>
  </si>
  <si>
    <t>+1 (760) 327-8311</t>
  </si>
  <si>
    <t>Mariani Inn</t>
  </si>
  <si>
    <t xml:space="preserve">2500 El Camino Real </t>
  </si>
  <si>
    <t>Jou-Yie Chou</t>
  </si>
  <si>
    <t>Linda Leca</t>
  </si>
  <si>
    <t>+1 (408) 243-1431</t>
  </si>
  <si>
    <t>Shaw Hospitality LLC</t>
  </si>
  <si>
    <t>Marianna Inn and Suites</t>
  </si>
  <si>
    <t xml:space="preserve">2222 Highway 71 </t>
  </si>
  <si>
    <t>Marianna</t>
  </si>
  <si>
    <t>Shrey Shah</t>
  </si>
  <si>
    <t>+1 (561) 628-3447</t>
  </si>
  <si>
    <t>Marina Vallarta Club de Golf</t>
  </si>
  <si>
    <t>Paseo de la Marina 430 Fraccionamineto Marina Vallarta</t>
  </si>
  <si>
    <t>Puerto Vallarta Jalisco</t>
  </si>
  <si>
    <t>Homero Hernandez</t>
  </si>
  <si>
    <t>+ (011) 523-2210073</t>
  </si>
  <si>
    <t>Mark Twain Hotel</t>
  </si>
  <si>
    <t xml:space="preserve">225 Northeast Adams Street </t>
  </si>
  <si>
    <t xml:space="preserve">Shawanda Keeton </t>
  </si>
  <si>
    <t>+1 (309) 676-3600</t>
  </si>
  <si>
    <t>MarQueen Hotel</t>
  </si>
  <si>
    <t xml:space="preserve">600 Queen Anne Avenue North </t>
  </si>
  <si>
    <t>Patty Davis</t>
  </si>
  <si>
    <t>+1 (206) 282-7407</t>
  </si>
  <si>
    <t>Marriott Albuquerque Pyramid North</t>
  </si>
  <si>
    <t xml:space="preserve">5151 San Francisco Road NE </t>
  </si>
  <si>
    <t>Michael Adams</t>
  </si>
  <si>
    <t>+1 (505) 821-3333</t>
  </si>
  <si>
    <t>Marriott at Centerpoint</t>
  </si>
  <si>
    <t xml:space="preserve">3600 Center Point Parkway </t>
  </si>
  <si>
    <t>Stephen Cadaret</t>
  </si>
  <si>
    <t xml:space="preserve"> Michele Thomas</t>
  </si>
  <si>
    <t>+1 (248) 253-9800</t>
  </si>
  <si>
    <t>Marriott at Metro Center</t>
  </si>
  <si>
    <t xml:space="preserve">775 12th Street NW </t>
  </si>
  <si>
    <t>Melissagale Lechelt</t>
  </si>
  <si>
    <t>(202) 737-2200</t>
  </si>
  <si>
    <t>Marriott Atlanta Perimeter Center</t>
  </si>
  <si>
    <t xml:space="preserve">246 Perimeter Center Parkway NE </t>
  </si>
  <si>
    <t>Maggie Rosa</t>
  </si>
  <si>
    <t>(770) 394-6500</t>
  </si>
  <si>
    <t>Marriott Baltimore Waterfront</t>
  </si>
  <si>
    <t>700 Aliceanna Street Ste 28</t>
  </si>
  <si>
    <t>Terry Donahue</t>
  </si>
  <si>
    <t>(410) 385-3000</t>
  </si>
  <si>
    <t>Marriott Bethesda North Hotel &amp; Conference Center</t>
  </si>
  <si>
    <t xml:space="preserve">5701 Marinelli Road </t>
  </si>
  <si>
    <t>David Child</t>
  </si>
  <si>
    <t>(301) 822-9200</t>
  </si>
  <si>
    <t>Marriott Bethesda Suites</t>
  </si>
  <si>
    <t xml:space="preserve">6711 Democracy Boulevard </t>
  </si>
  <si>
    <t>Marty Roth</t>
  </si>
  <si>
    <t>(301) 897-5600</t>
  </si>
  <si>
    <t>Marriott Boca Raton</t>
  </si>
  <si>
    <t xml:space="preserve">5150 Town Center Circle </t>
  </si>
  <si>
    <t>Joel Gonzalez</t>
  </si>
  <si>
    <t>Marta Rekosiewicz</t>
  </si>
  <si>
    <t>+ (561) 392-4600</t>
  </si>
  <si>
    <t>Marriott Boston Copley Place</t>
  </si>
  <si>
    <t xml:space="preserve">110 Huntington Avenue </t>
  </si>
  <si>
    <t>Alan Smith</t>
  </si>
  <si>
    <t>Bob Campbell</t>
  </si>
  <si>
    <t>(617) 236-5800</t>
  </si>
  <si>
    <t>Marriott Boston Long Wharf</t>
  </si>
  <si>
    <t xml:space="preserve">296 State Street </t>
  </si>
  <si>
    <t>Ed Rocco</t>
  </si>
  <si>
    <t>Kevin McLaughlin</t>
  </si>
  <si>
    <t>(617) 227-0800</t>
  </si>
  <si>
    <t>Marriott Boulder</t>
  </si>
  <si>
    <t xml:space="preserve">2660 Canyon Boulevard </t>
  </si>
  <si>
    <t>David Latessa</t>
  </si>
  <si>
    <t>Alejandro Burneo</t>
  </si>
  <si>
    <t>+1 (303) 440-8877</t>
  </si>
  <si>
    <t>Marriott Bridgewater</t>
  </si>
  <si>
    <t xml:space="preserve">700 Commons Way </t>
  </si>
  <si>
    <t>Frank Fricano</t>
  </si>
  <si>
    <t>Diana Swinarski</t>
  </si>
  <si>
    <t>(908) 927-9300</t>
  </si>
  <si>
    <t>Marriott Burbank Hotel &amp; Conference Center</t>
  </si>
  <si>
    <t xml:space="preserve">2500 North Hollywood Way </t>
  </si>
  <si>
    <t>Alan Tate</t>
  </si>
  <si>
    <t>Dan Razeghi</t>
  </si>
  <si>
    <t>+1 (818) 843-6000</t>
  </si>
  <si>
    <t>Marriott BWI Airport</t>
  </si>
  <si>
    <t xml:space="preserve">1743 West Nursery Road </t>
  </si>
  <si>
    <t>Donnie Sutton</t>
  </si>
  <si>
    <t>Danny Alsamadi</t>
  </si>
  <si>
    <t>(410) 859-8300</t>
  </si>
  <si>
    <t>Marriott Calgary</t>
  </si>
  <si>
    <t xml:space="preserve">110 9th Avenue SE </t>
  </si>
  <si>
    <t>T2G 5A6</t>
  </si>
  <si>
    <t>Peter Catarino</t>
  </si>
  <si>
    <t>+ (403) 266-7331</t>
  </si>
  <si>
    <t>Marriott Calgary Airport In Terminal Hotel</t>
  </si>
  <si>
    <t xml:space="preserve">2008 Airport Road Northeast </t>
  </si>
  <si>
    <t>T2E 3B9</t>
  </si>
  <si>
    <t>Samuel Ross</t>
  </si>
  <si>
    <t>+1 (403) 717-0522</t>
  </si>
  <si>
    <t>Marriott Cancun Resort</t>
  </si>
  <si>
    <t>Boulevard Kukulcan Retorno Chac L-41 Zona Hotelera</t>
  </si>
  <si>
    <t>Antonio Diaz-Medina</t>
  </si>
  <si>
    <t>+52 (998) 881-2000</t>
  </si>
  <si>
    <t>Marriott Charleston</t>
  </si>
  <si>
    <t xml:space="preserve">170 Lockwood Drive </t>
  </si>
  <si>
    <t xml:space="preserve">Patrick Rogers </t>
  </si>
  <si>
    <t>Kristen Bowles</t>
  </si>
  <si>
    <t>+ () 843/723-3000</t>
  </si>
  <si>
    <t>Marriott Charleston Town Center</t>
  </si>
  <si>
    <t xml:space="preserve">200 Lee Street East </t>
  </si>
  <si>
    <t>Stephanie Casey</t>
  </si>
  <si>
    <t>(304) 345-6500</t>
  </si>
  <si>
    <t>Marriott Chicago Downtown</t>
  </si>
  <si>
    <t xml:space="preserve">540 North Michigan Avenue </t>
  </si>
  <si>
    <t>Kay Washington</t>
  </si>
  <si>
    <t>Patrick Birschall</t>
  </si>
  <si>
    <t>(312) 836-0100</t>
  </si>
  <si>
    <t>Marriott Chicago Downtown at Medical District/UIC</t>
  </si>
  <si>
    <t xml:space="preserve">625 S Ashland Avenue </t>
  </si>
  <si>
    <t>Bradley Williams</t>
  </si>
  <si>
    <t>+ (312) 491-1234</t>
  </si>
  <si>
    <t>Marriott Convention Center</t>
  </si>
  <si>
    <t xml:space="preserve">Two Carter Plaza </t>
  </si>
  <si>
    <t>Jay Raynor</t>
  </si>
  <si>
    <t>Kelley Koppinger</t>
  </si>
  <si>
    <t>+ (423) 756-0002</t>
  </si>
  <si>
    <t>Marriott Courtyard Boston Tremont</t>
  </si>
  <si>
    <t xml:space="preserve">275 Tremont Street </t>
  </si>
  <si>
    <t>Cristina Mallahan</t>
  </si>
  <si>
    <t>Daniel Kakabeeke</t>
  </si>
  <si>
    <t>(617) 426-1400</t>
  </si>
  <si>
    <t>Marriott Crystal City</t>
  </si>
  <si>
    <t xml:space="preserve">1999 Jefferson Davis Highway </t>
  </si>
  <si>
    <t>Crystal Christmas-Watson</t>
  </si>
  <si>
    <t>Kyung Kim</t>
  </si>
  <si>
    <t>(703) 413-5500</t>
  </si>
  <si>
    <t>Marriott Crystal Gateway</t>
  </si>
  <si>
    <t xml:space="preserve">1700 Jefferson Davis Highway </t>
  </si>
  <si>
    <t>Linda Tierney</t>
  </si>
  <si>
    <t>(703) 920-3230</t>
  </si>
  <si>
    <t>Marriott Dallas Fort Worth Westlake</t>
  </si>
  <si>
    <t>1301 Solana Boulevard Building 3</t>
  </si>
  <si>
    <t>Brett Montgomery</t>
  </si>
  <si>
    <t>Rae Hnizdo</t>
  </si>
  <si>
    <t>+(817)430-5000</t>
  </si>
  <si>
    <t>Marriott Dearborn Inn Hotel</t>
  </si>
  <si>
    <t xml:space="preserve">20301 Oakwood Boulevard </t>
  </si>
  <si>
    <t>Bob Pierce</t>
  </si>
  <si>
    <t>(313) 271-2700</t>
  </si>
  <si>
    <t>Marriott Denver Airport at Gateway Park</t>
  </si>
  <si>
    <t xml:space="preserve">16455 East 40th Circle </t>
  </si>
  <si>
    <t>Ben Kulak</t>
  </si>
  <si>
    <t>Nick George</t>
  </si>
  <si>
    <t>+1 (303) 371-4333</t>
  </si>
  <si>
    <t>Marriott Denver South</t>
  </si>
  <si>
    <t xml:space="preserve">10345 Park Meadows Drive </t>
  </si>
  <si>
    <t>Zac Middleton</t>
  </si>
  <si>
    <t>Aaron Peeper</t>
  </si>
  <si>
    <t>+1 (303) 925-0004</t>
  </si>
  <si>
    <t>Marriott Denver Tech Center</t>
  </si>
  <si>
    <t xml:space="preserve">4900 South Syracuse </t>
  </si>
  <si>
    <t>Mike Case</t>
  </si>
  <si>
    <t>Breanna Woodall</t>
  </si>
  <si>
    <t>+1 (303) 779-1100</t>
  </si>
  <si>
    <t>Marriott Denver West</t>
  </si>
  <si>
    <t xml:space="preserve">1717 Denver West Boulevard </t>
  </si>
  <si>
    <t>Vince Buonocore</t>
  </si>
  <si>
    <t>Daniel Hyman</t>
  </si>
  <si>
    <t>+1 (303) 279-9100</t>
  </si>
  <si>
    <t>Marriott Desert Springs Villas</t>
  </si>
  <si>
    <t xml:space="preserve">1091 Pinehurst Lane </t>
  </si>
  <si>
    <t>Peter Antinoph</t>
  </si>
  <si>
    <t>Derek Nelson</t>
  </si>
  <si>
    <t>+1 (760) 779-1200</t>
  </si>
  <si>
    <t>Marriott Detroit Metro Airport</t>
  </si>
  <si>
    <t xml:space="preserve">30559 Flynn Road </t>
  </si>
  <si>
    <t>Brandi Simmons</t>
  </si>
  <si>
    <t>+1 (734) 729-7555</t>
  </si>
  <si>
    <t>Marriott Detroit Renaissance Center</t>
  </si>
  <si>
    <t>400 Renaissance Drive Renaissance Center</t>
  </si>
  <si>
    <t>Shonda Johnson</t>
  </si>
  <si>
    <t>Nancy Peel</t>
  </si>
  <si>
    <t>(313) 568-8000</t>
  </si>
  <si>
    <t>Marriott DFW Airport</t>
  </si>
  <si>
    <t xml:space="preserve">8440 Freeport Parkway </t>
  </si>
  <si>
    <t>Darryl Jett</t>
  </si>
  <si>
    <t>(972) 929-8800</t>
  </si>
  <si>
    <t>Marriott Downers Grove Suites</t>
  </si>
  <si>
    <t xml:space="preserve">1500 Opus Place </t>
  </si>
  <si>
    <t>Alejandra Romero</t>
  </si>
  <si>
    <t>(630) 852-1500</t>
  </si>
  <si>
    <t>Marriott Dulles Airport</t>
  </si>
  <si>
    <t xml:space="preserve">45020 Aviation Drive </t>
  </si>
  <si>
    <t>Keith McNeill</t>
  </si>
  <si>
    <t>Anthony Gitangu</t>
  </si>
  <si>
    <t>(703) 471-9500</t>
  </si>
  <si>
    <t>Marriott Durham Convention Center</t>
  </si>
  <si>
    <t xml:space="preserve">201 Foster Street </t>
  </si>
  <si>
    <t>Alex Reitter</t>
  </si>
  <si>
    <t>Betty Henderson</t>
  </si>
  <si>
    <t>+1 (919) 768-6000</t>
  </si>
  <si>
    <t>Marriott Eaton Centre</t>
  </si>
  <si>
    <t xml:space="preserve">525 Bay Street </t>
  </si>
  <si>
    <t>M5G 2L2</t>
  </si>
  <si>
    <t>(416) 597-9200</t>
  </si>
  <si>
    <t>Marriott Evergreen Conference Resort</t>
  </si>
  <si>
    <t xml:space="preserve">4021 Lakeview Drive </t>
  </si>
  <si>
    <t>Keith hensley</t>
  </si>
  <si>
    <t>Aisha Ceesay</t>
  </si>
  <si>
    <t>(770) 879-9900</t>
  </si>
  <si>
    <t>Marriott Executive Apartments Panama City Finisterre</t>
  </si>
  <si>
    <t xml:space="preserve">Calle Colombia y Ave. 3ra A Sur Bella Vista </t>
  </si>
  <si>
    <t>+1 (507) 214-9200</t>
  </si>
  <si>
    <t>Marriott Fairview Park</t>
  </si>
  <si>
    <t xml:space="preserve">3111 Fairview Park Drive </t>
  </si>
  <si>
    <t>Faraz Ahmed</t>
  </si>
  <si>
    <t>(703) 849-9400</t>
  </si>
  <si>
    <t>Marriott Fisherman's Wharf</t>
  </si>
  <si>
    <t xml:space="preserve">1250 Columbus Avenue </t>
  </si>
  <si>
    <t>Michael Baier</t>
  </si>
  <si>
    <t>Bobby Johnson</t>
  </si>
  <si>
    <t>+ (415) 775-7555</t>
  </si>
  <si>
    <t>Marriott Fort Collins</t>
  </si>
  <si>
    <t xml:space="preserve">350 East Horsetooth Road </t>
  </si>
  <si>
    <t>Amanda Cossey</t>
  </si>
  <si>
    <t>Sandra Fredrickson</t>
  </si>
  <si>
    <t>+1 (970) 226-5200</t>
  </si>
  <si>
    <t>Marriott G.E. Conference Center</t>
  </si>
  <si>
    <t xml:space="preserve">N16W22419 Watertown Road </t>
  </si>
  <si>
    <t>Jamie Hill</t>
  </si>
  <si>
    <t>Gary Noffke</t>
  </si>
  <si>
    <t>(262) 574-8621</t>
  </si>
  <si>
    <t>Marriott Gaithersburg Washingtonian</t>
  </si>
  <si>
    <t xml:space="preserve">9751 Washingtonian Boulevard </t>
  </si>
  <si>
    <t>Vivin Kuriakose</t>
  </si>
  <si>
    <t>Sainabou Cham</t>
  </si>
  <si>
    <t>+(301)590-0044</t>
  </si>
  <si>
    <t>Marriott Golf Academy</t>
  </si>
  <si>
    <t xml:space="preserve">6720 Captain's Way </t>
  </si>
  <si>
    <t>Panna Utpaul</t>
  </si>
  <si>
    <t>+ (407) 238-7677</t>
  </si>
  <si>
    <t>Marriott Greenville</t>
  </si>
  <si>
    <t xml:space="preserve">One Parkway East </t>
  </si>
  <si>
    <t>Brian Crowne</t>
  </si>
  <si>
    <t>Nikki Sims-Jones</t>
  </si>
  <si>
    <t>+ (864) 297-0300</t>
  </si>
  <si>
    <t>Marriott Hanover</t>
  </si>
  <si>
    <t xml:space="preserve">1401 Rt 10 E </t>
  </si>
  <si>
    <t>Whippany</t>
  </si>
  <si>
    <t>Christopher Kral</t>
  </si>
  <si>
    <t>Greg Ciaccio</t>
  </si>
  <si>
    <t>(973) 538-8811</t>
  </si>
  <si>
    <t>Marriott Harbor Beach Resort</t>
  </si>
  <si>
    <t xml:space="preserve">3030 Holiday Drive </t>
  </si>
  <si>
    <t>Dieydi (JD) Ba</t>
  </si>
  <si>
    <t>Donelle Zunker</t>
  </si>
  <si>
    <t>(954) 525-4000</t>
  </si>
  <si>
    <t>Sodexho (Marriott Corp.Cafeteria)</t>
  </si>
  <si>
    <t>Marriott Headquarters Corporate Cafeteria</t>
  </si>
  <si>
    <t xml:space="preserve">10401 Fernwood Road </t>
  </si>
  <si>
    <t>Sodexo</t>
  </si>
  <si>
    <t>+1 (301) 380-3324</t>
  </si>
  <si>
    <t>Full Service Hospitality LLC</t>
  </si>
  <si>
    <t>Marriott Hotel Jackson</t>
  </si>
  <si>
    <t xml:space="preserve">200 East Amite Street </t>
  </si>
  <si>
    <t>Christi Hardy</t>
  </si>
  <si>
    <t>Maleika Hentz</t>
  </si>
  <si>
    <t>+1 (601) 969-5100</t>
  </si>
  <si>
    <t>Marriott Hotels &amp; Resorts Dallas Allen</t>
  </si>
  <si>
    <t xml:space="preserve">777 Watters Creek Boulevard </t>
  </si>
  <si>
    <t>Ray Hammer</t>
  </si>
  <si>
    <t>Douglas Ochoa</t>
  </si>
  <si>
    <t>+()469-675-0800</t>
  </si>
  <si>
    <t>Marriott Houston Airport</t>
  </si>
  <si>
    <t xml:space="preserve">18700 John.F. Kennedy Blvd. </t>
  </si>
  <si>
    <t>Dennis Doherty</t>
  </si>
  <si>
    <t>(281) 443-2310</t>
  </si>
  <si>
    <t>Marriott Houston Medical Center</t>
  </si>
  <si>
    <t xml:space="preserve">6580 Fannin Street </t>
  </si>
  <si>
    <t>Jennifer Gohagan</t>
  </si>
  <si>
    <t>(713) 796-0080</t>
  </si>
  <si>
    <t>Marriott Houston West Loop By Galleria</t>
  </si>
  <si>
    <t xml:space="preserve">1750 West Loop South </t>
  </si>
  <si>
    <t>+ (713) 960-0111</t>
  </si>
  <si>
    <t>Marriott Inner Harbor at Camden Yards</t>
  </si>
  <si>
    <t xml:space="preserve">110 South Eutaw Street </t>
  </si>
  <si>
    <t>Kevin Keogan</t>
  </si>
  <si>
    <t>+1 (410) 962-0202</t>
  </si>
  <si>
    <t>Marriott Irvine</t>
  </si>
  <si>
    <t xml:space="preserve">18000 Von Karman Avenue </t>
  </si>
  <si>
    <t>Kandee Anderson</t>
  </si>
  <si>
    <t xml:space="preserve">Nancy Becker </t>
  </si>
  <si>
    <t>(949) 553-0100</t>
  </si>
  <si>
    <t>Marriott Irvine Spectrum</t>
  </si>
  <si>
    <t xml:space="preserve">7905 Irvine Center Drive </t>
  </si>
  <si>
    <t>Dianne Markis</t>
  </si>
  <si>
    <t>+1(949)759-0200</t>
  </si>
  <si>
    <t>Marriott Jesse Jones Rotary House</t>
  </si>
  <si>
    <t xml:space="preserve">1600 Holcombe Boulevard </t>
  </si>
  <si>
    <t>Kyle Ariza</t>
  </si>
  <si>
    <t>(713) 790-1600</t>
  </si>
  <si>
    <t>Marriott La Jolla</t>
  </si>
  <si>
    <t xml:space="preserve">4240 La Jolla Village Drive </t>
  </si>
  <si>
    <t>Michael Swyney</t>
  </si>
  <si>
    <t>(858) 587-1414</t>
  </si>
  <si>
    <t xml:space="preserve">Marriott Las Vegas </t>
  </si>
  <si>
    <t xml:space="preserve">325 Convention Center Drive </t>
  </si>
  <si>
    <t>Keith Gamberg</t>
  </si>
  <si>
    <t>john Guzman</t>
  </si>
  <si>
    <t>+1 (702) 650-2000</t>
  </si>
  <si>
    <t>Marriott Lincolnshire Resort</t>
  </si>
  <si>
    <t xml:space="preserve">10 Marriott Drive </t>
  </si>
  <si>
    <t>brad LaJoie</t>
  </si>
  <si>
    <t>Pierre Daval</t>
  </si>
  <si>
    <t>+(847)634-0100</t>
  </si>
  <si>
    <t>Marriott Little Rock</t>
  </si>
  <si>
    <t xml:space="preserve">3 Statehouse Plaza </t>
  </si>
  <si>
    <t xml:space="preserve">David Lang </t>
  </si>
  <si>
    <t>Karen Tucker</t>
  </si>
  <si>
    <t>+1 (501) 906-4000</t>
  </si>
  <si>
    <t xml:space="preserve">Marriott Livonia </t>
  </si>
  <si>
    <t xml:space="preserve">17100 Laurel Park Drive North </t>
  </si>
  <si>
    <t>David Kipfmiller</t>
  </si>
  <si>
    <t>(734) 462-3100</t>
  </si>
  <si>
    <t>Marriott Long Beach Airport</t>
  </si>
  <si>
    <t xml:space="preserve">4700 Airport Plaza Drive </t>
  </si>
  <si>
    <t xml:space="preserve">Imran Ahmed </t>
  </si>
  <si>
    <t>Jennifer Raleigh</t>
  </si>
  <si>
    <t>+ (562) 425-5210</t>
  </si>
  <si>
    <t>Marriott Los Angeles Airport</t>
  </si>
  <si>
    <t xml:space="preserve">5855 West Century Boulevard </t>
  </si>
  <si>
    <t>Jim Cote</t>
  </si>
  <si>
    <t>(310) 641-5700</t>
  </si>
  <si>
    <t>Marriott Louisville Downtown</t>
  </si>
  <si>
    <t xml:space="preserve">280 West Jefferson </t>
  </si>
  <si>
    <t>David Greene</t>
  </si>
  <si>
    <t>Jack Molidor</t>
  </si>
  <si>
    <t>+1 (502) 627-5045</t>
  </si>
  <si>
    <t>Marriott Louisville East</t>
  </si>
  <si>
    <t xml:space="preserve">1903 Embassy Square Boulevard </t>
  </si>
  <si>
    <t>Amber Bellis</t>
  </si>
  <si>
    <t>Raquel Romero</t>
  </si>
  <si>
    <t>+1 (502) 491-1184</t>
  </si>
  <si>
    <t>Marriott Marina del Rey</t>
  </si>
  <si>
    <t xml:space="preserve">4100 Admiralty Way </t>
  </si>
  <si>
    <t>Ruben Gonzales</t>
  </si>
  <si>
    <t>(310) 301-3000</t>
  </si>
  <si>
    <t>Marriott Marquis Chicago</t>
  </si>
  <si>
    <t xml:space="preserve">2121 South Prairie Avenue </t>
  </si>
  <si>
    <t>Catherine Mrowiec</t>
  </si>
  <si>
    <t>Kristine Pfeifer</t>
  </si>
  <si>
    <t>+1 (312) 791-6517</t>
  </si>
  <si>
    <t>Marriott Marquis Houston</t>
  </si>
  <si>
    <t xml:space="preserve">1777 Walker Street </t>
  </si>
  <si>
    <t>Scot Cotton</t>
  </si>
  <si>
    <t>Mike Culver</t>
  </si>
  <si>
    <t>+1 (713) 654-1777</t>
  </si>
  <si>
    <t>Marriott Marquis Washington DC</t>
  </si>
  <si>
    <t xml:space="preserve">901 Massachusetts Ave NW </t>
  </si>
  <si>
    <t>Satinder Palta</t>
  </si>
  <si>
    <t>John Conniff</t>
  </si>
  <si>
    <t>+1 (202) 824-9200</t>
  </si>
  <si>
    <t>Marriott Memphis East</t>
  </si>
  <si>
    <t xml:space="preserve">5795 Poplar Avenue </t>
  </si>
  <si>
    <t>Patrick Jordan</t>
  </si>
  <si>
    <t>Cordell Rogers</t>
  </si>
  <si>
    <t>+(901) 682-0080</t>
  </si>
  <si>
    <t>Marriott Miami Airport</t>
  </si>
  <si>
    <t>1201 NW LeJeune Road Building A</t>
  </si>
  <si>
    <t>Ingrid Chaves</t>
  </si>
  <si>
    <t>(305) 649-5000</t>
  </si>
  <si>
    <t>Marriott Minneapolis Southwest</t>
  </si>
  <si>
    <t xml:space="preserve">5801 Opus Parkway </t>
  </si>
  <si>
    <t>Minnetonka</t>
  </si>
  <si>
    <t>(952) 935-5500</t>
  </si>
  <si>
    <t>Marriott Monterey</t>
  </si>
  <si>
    <t xml:space="preserve">350 Calle Principal </t>
  </si>
  <si>
    <t>Paula Ellis</t>
  </si>
  <si>
    <t>Stefan Lorch</t>
  </si>
  <si>
    <t>(831) 649-4234</t>
  </si>
  <si>
    <t>Marriott Newport Beach Hotel &amp; Spa</t>
  </si>
  <si>
    <t xml:space="preserve">900 Newport Center Drive </t>
  </si>
  <si>
    <t>Debra Snavely</t>
  </si>
  <si>
    <t>Marisol Bravo</t>
  </si>
  <si>
    <t>(949) 640-4000</t>
  </si>
  <si>
    <t>Marriott Orlando World Center</t>
  </si>
  <si>
    <t xml:space="preserve">8701 World Center Drive </t>
  </si>
  <si>
    <t>Robert Bray</t>
  </si>
  <si>
    <t>David Cesario</t>
  </si>
  <si>
    <t>(407) 239-4200</t>
  </si>
  <si>
    <t>Marriott Orlando/Lake Mary</t>
  </si>
  <si>
    <t xml:space="preserve">1501 International Parkway </t>
  </si>
  <si>
    <t>Bruce Skwarlo</t>
  </si>
  <si>
    <t>+1 (407) 995-1100</t>
  </si>
  <si>
    <t>Marriott Overland Park</t>
  </si>
  <si>
    <t xml:space="preserve">10800 Metcalf Avenue </t>
  </si>
  <si>
    <t>George Katz</t>
  </si>
  <si>
    <t>Kimberly Kensinger</t>
  </si>
  <si>
    <t>(913) 451-8000</t>
  </si>
  <si>
    <t>Marriott Palm Beach Gardens</t>
  </si>
  <si>
    <t xml:space="preserve">4000 RCA Boulevard </t>
  </si>
  <si>
    <t>Fletcher Mayes</t>
  </si>
  <si>
    <t>Alexander Tessmer</t>
  </si>
  <si>
    <t>+ (561) 622-8888</t>
  </si>
  <si>
    <t>Marriott Peabody</t>
  </si>
  <si>
    <t xml:space="preserve">8A Centennial Drive </t>
  </si>
  <si>
    <t>Tara Bassett</t>
  </si>
  <si>
    <t>John Toolan</t>
  </si>
  <si>
    <t>(978) 977-9700</t>
  </si>
  <si>
    <t>Marriott Philadelphia Airport</t>
  </si>
  <si>
    <t xml:space="preserve">One Arrivals Road </t>
  </si>
  <si>
    <t>Annette Crispin</t>
  </si>
  <si>
    <t>Andrew Piazza</t>
  </si>
  <si>
    <t>(215) 492-9000</t>
  </si>
  <si>
    <t>Marriott Philadelphia Downtown</t>
  </si>
  <si>
    <t xml:space="preserve">1201 Market Street </t>
  </si>
  <si>
    <t>Jimmy Alexiou</t>
  </si>
  <si>
    <t>Nour Laasri</t>
  </si>
  <si>
    <t>+(215)625-2900</t>
  </si>
  <si>
    <t>Marriott Pittsburgh City Center</t>
  </si>
  <si>
    <t xml:space="preserve">112 Washington Place </t>
  </si>
  <si>
    <t>+ (412) 471-4000</t>
  </si>
  <si>
    <t>Marriott Pompano Beach</t>
  </si>
  <si>
    <t xml:space="preserve">1200 North Ocean Boulevard </t>
  </si>
  <si>
    <t>Hillsboro Beach</t>
  </si>
  <si>
    <t>Ingrid Havadtoy</t>
  </si>
  <si>
    <t>+(954)782-0100</t>
  </si>
  <si>
    <t>Marriott Port- au- Prince Hotel</t>
  </si>
  <si>
    <t xml:space="preserve">151 Angle Avenue Jean Paul II et Impasses Duverger </t>
  </si>
  <si>
    <t>Port-au-Prince</t>
  </si>
  <si>
    <t>HTI</t>
  </si>
  <si>
    <t>Haiti</t>
  </si>
  <si>
    <t>Jeffry Prime</t>
  </si>
  <si>
    <t>Jorge Davila</t>
  </si>
  <si>
    <t>+(509) 3437-9211</t>
  </si>
  <si>
    <t>Marriott Prattville at Capitol Hill</t>
  </si>
  <si>
    <t xml:space="preserve">2500 Legends Circle </t>
  </si>
  <si>
    <t>Kevin Wesolowski</t>
  </si>
  <si>
    <t>+1 (334) 290-1235</t>
  </si>
  <si>
    <t>Marriott Puerto Vallarta Resort &amp; Spa</t>
  </si>
  <si>
    <t>Av. Paseo De La Marina No. 5 Marina Vallarta</t>
  </si>
  <si>
    <t>Puerto Vallarta</t>
  </si>
  <si>
    <t>Manuel Magana</t>
  </si>
  <si>
    <t>Catalina Lorenzo</t>
  </si>
  <si>
    <t>+52 (322) 226-0000</t>
  </si>
  <si>
    <t>Marriott Redmond Town Center</t>
  </si>
  <si>
    <t xml:space="preserve">7401 164th Ave NE </t>
  </si>
  <si>
    <t>Dan Angellar</t>
  </si>
  <si>
    <t>John Hadnett</t>
  </si>
  <si>
    <t>(425) 498-4000</t>
  </si>
  <si>
    <t>Marriott Richmond</t>
  </si>
  <si>
    <t xml:space="preserve">500 East Broad Street </t>
  </si>
  <si>
    <t>Lars Friedriszik</t>
  </si>
  <si>
    <t>Sunny Sharma</t>
  </si>
  <si>
    <t>+1 (804) 643-3400</t>
  </si>
  <si>
    <t>Marriott Riverside at the Convention Center</t>
  </si>
  <si>
    <t xml:space="preserve">3400 Market Street </t>
  </si>
  <si>
    <t>Per Nilsson</t>
  </si>
  <si>
    <t>+1 (951) 784-8000</t>
  </si>
  <si>
    <t xml:space="preserve">Marriott Rochester Airport </t>
  </si>
  <si>
    <t xml:space="preserve">1890 West Ridge Road </t>
  </si>
  <si>
    <t>Lori Phillips</t>
  </si>
  <si>
    <t>+ (585) 225-6880</t>
  </si>
  <si>
    <t>Marriott San Antonio River Center</t>
  </si>
  <si>
    <t xml:space="preserve">101 Bowie Street </t>
  </si>
  <si>
    <t>Loris Menfi</t>
  </si>
  <si>
    <t>Brett Rea</t>
  </si>
  <si>
    <t>(210) 223-1000</t>
  </si>
  <si>
    <t>Marriott San Antonio Riverwalk</t>
  </si>
  <si>
    <t xml:space="preserve">889 East Market Street </t>
  </si>
  <si>
    <t>Rafael Ceniseros</t>
  </si>
  <si>
    <t>(210) 224-4555</t>
  </si>
  <si>
    <t>Marriott San Francisco Marquis</t>
  </si>
  <si>
    <t xml:space="preserve">55 Fourth Street </t>
  </si>
  <si>
    <t>Connie Cerutti</t>
  </si>
  <si>
    <t>Mike Kass</t>
  </si>
  <si>
    <t>(415) 896-1600</t>
  </si>
  <si>
    <t>Marriott San Jose / Convention Center</t>
  </si>
  <si>
    <t xml:space="preserve">301 South Market Street </t>
  </si>
  <si>
    <t>John Southwell</t>
  </si>
  <si>
    <t>(408) 280-1300</t>
  </si>
  <si>
    <t>Marriott San Ramon</t>
  </si>
  <si>
    <t xml:space="preserve">2600 Bishop Drive </t>
  </si>
  <si>
    <t>Efren Sanchez</t>
  </si>
  <si>
    <t>Scotty Mraz</t>
  </si>
  <si>
    <t>(925) 867-9200</t>
  </si>
  <si>
    <t>Marriott Santa Clara</t>
  </si>
  <si>
    <t xml:space="preserve">2700 Mission College Boulevard </t>
  </si>
  <si>
    <t>(408) 988-1500</t>
  </si>
  <si>
    <t>Marriott Sea-Tac Airport</t>
  </si>
  <si>
    <t xml:space="preserve">3201 South 176th Street </t>
  </si>
  <si>
    <t>Bob Schrader</t>
  </si>
  <si>
    <t>Ida Hooks</t>
  </si>
  <si>
    <t>+1 (206)241-2000</t>
  </si>
  <si>
    <t>Marriott Seattle Waterfront</t>
  </si>
  <si>
    <t xml:space="preserve">2100 Alaskan Way </t>
  </si>
  <si>
    <t>Amrit Sandhu</t>
  </si>
  <si>
    <t>Rafaella Herrara</t>
  </si>
  <si>
    <t>(206) 443-5000</t>
  </si>
  <si>
    <t>Marriott Shoals Resort &amp; Spa</t>
  </si>
  <si>
    <t xml:space="preserve">800 Cox Creek Parkway </t>
  </si>
  <si>
    <t>Larry Bowser</t>
  </si>
  <si>
    <t>Vickie Crowder</t>
  </si>
  <si>
    <t>+1 (256) 246-3600</t>
  </si>
  <si>
    <t xml:space="preserve">Marriott Southern Hills </t>
  </si>
  <si>
    <t xml:space="preserve">1902 E 71ST Street </t>
  </si>
  <si>
    <t>Joe Gaudet</t>
  </si>
  <si>
    <t>Erika Lopez</t>
  </si>
  <si>
    <t>+ (918) 493-7000</t>
  </si>
  <si>
    <t>Royal St Kitts Beach Resort Limited</t>
  </si>
  <si>
    <t>Marriott St. Kitts Resort and the Royal Beach Casino</t>
  </si>
  <si>
    <t>858 Frigate Bay Road Frigate Bay</t>
  </si>
  <si>
    <t>ST. KITTS</t>
  </si>
  <si>
    <t>KNA</t>
  </si>
  <si>
    <t>St Kitts and Nevis</t>
  </si>
  <si>
    <t>Jacques Hamou</t>
  </si>
  <si>
    <t>Sharon Bathory</t>
  </si>
  <si>
    <t>+1 (869) 466-1200</t>
  </si>
  <si>
    <t>Marriott St. Louis Grand Hotel</t>
  </si>
  <si>
    <t xml:space="preserve">800 Washington Avenue </t>
  </si>
  <si>
    <t xml:space="preserve">Theona Simbrat </t>
  </si>
  <si>
    <t xml:space="preserve">Michael Dudek </t>
  </si>
  <si>
    <t>(314) 621-9600</t>
  </si>
  <si>
    <t>Marriott Stamford</t>
  </si>
  <si>
    <t xml:space="preserve">243 Tresser Boulevard </t>
  </si>
  <si>
    <t>Evan Zoldessy</t>
  </si>
  <si>
    <t>Nels Nelson</t>
  </si>
  <si>
    <t>+1 (203) 357-9555</t>
  </si>
  <si>
    <t>Marriott Stone Mountain Inn</t>
  </si>
  <si>
    <t xml:space="preserve">1058 Robert E Lee Blvd </t>
  </si>
  <si>
    <t>John B Hearns</t>
  </si>
  <si>
    <t>+ (770) 469-3311</t>
  </si>
  <si>
    <t>Marriott Sugar Land Town Square Hotel</t>
  </si>
  <si>
    <t xml:space="preserve">16090 City Walk </t>
  </si>
  <si>
    <t xml:space="preserve">Sugar Land </t>
  </si>
  <si>
    <t>Sandy Robnett</t>
  </si>
  <si>
    <t>Steve Davis</t>
  </si>
  <si>
    <t>+1 (281) 275-8400</t>
  </si>
  <si>
    <t>Marriott Syracuse Downtown</t>
  </si>
  <si>
    <t xml:space="preserve">100 East Onondaga Street </t>
  </si>
  <si>
    <t>Jon Mathews</t>
  </si>
  <si>
    <t>+1 (980)201-1086</t>
  </si>
  <si>
    <t>Marriott Tampa Airport</t>
  </si>
  <si>
    <t>Tampa International Airport 4200 George J Bean Parkway</t>
  </si>
  <si>
    <t>Mark Richardson</t>
  </si>
  <si>
    <t>Scott McClinton</t>
  </si>
  <si>
    <t>(813) 879-5151</t>
  </si>
  <si>
    <t>Marriott The Woodlands Waterway Hotel &amp; Convention Center</t>
  </si>
  <si>
    <t xml:space="preserve">1601 Lake Robbins Drive </t>
  </si>
  <si>
    <t>Fred Domenick</t>
  </si>
  <si>
    <t>David Moser</t>
  </si>
  <si>
    <t>(281) 367-9797</t>
  </si>
  <si>
    <t>Marriott Toronto Airport</t>
  </si>
  <si>
    <t xml:space="preserve">901 Dixon Road </t>
  </si>
  <si>
    <t>M9W 1J5</t>
  </si>
  <si>
    <t>Kevin Schmidt</t>
  </si>
  <si>
    <t>+1(416)674-9400</t>
  </si>
  <si>
    <t xml:space="preserve">Marriott Torrance </t>
  </si>
  <si>
    <t xml:space="preserve">3635 Fashion Way </t>
  </si>
  <si>
    <t>Rhanda Richardson</t>
  </si>
  <si>
    <t>(310) 316-3636</t>
  </si>
  <si>
    <t>Marriott Troy</t>
  </si>
  <si>
    <t xml:space="preserve">200 W. Big Beaver Rd. </t>
  </si>
  <si>
    <t>Michelle Street</t>
  </si>
  <si>
    <t>Jason Clayton</t>
  </si>
  <si>
    <t>(248) 680-9797</t>
  </si>
  <si>
    <t>Marriott Trumbull Merritt Pkwy</t>
  </si>
  <si>
    <t xml:space="preserve">180 Hawley Lane </t>
  </si>
  <si>
    <t>Trumbull</t>
  </si>
  <si>
    <t>Richard Pacino</t>
  </si>
  <si>
    <t>+ (203) 378-1400</t>
  </si>
  <si>
    <t>Marriott Tucson University Park Hotel</t>
  </si>
  <si>
    <t xml:space="preserve">880 East 2nd Street </t>
  </si>
  <si>
    <t>Jill Nghiem</t>
  </si>
  <si>
    <t>+1 (520) 792-4100</t>
  </si>
  <si>
    <t>Marriott Tysons Corner</t>
  </si>
  <si>
    <t xml:space="preserve">8028 Leesburg Pike </t>
  </si>
  <si>
    <t>AJ Atmonavage</t>
  </si>
  <si>
    <t>Joanne Obcemea</t>
  </si>
  <si>
    <t>(703) 734-3200</t>
  </si>
  <si>
    <t>Marriott Vacation Club at Waikoloa Beach</t>
  </si>
  <si>
    <t xml:space="preserve">69-275 Waikoloa Beach Drive </t>
  </si>
  <si>
    <t>Waikoloa</t>
  </si>
  <si>
    <t>Marriott Vacation Club Int'l</t>
  </si>
  <si>
    <t>Christopher Laletin</t>
  </si>
  <si>
    <t>+1(808) 886-6789</t>
  </si>
  <si>
    <t>Marriott Vacation Club Pulse San Francisco</t>
  </si>
  <si>
    <t xml:space="preserve">2620 Jones Street </t>
  </si>
  <si>
    <t>Giselle Gaona</t>
  </si>
  <si>
    <t>+1 (415) 885-4700</t>
  </si>
  <si>
    <t>Marriott Vacation Club Pulse-San Diego</t>
  </si>
  <si>
    <t xml:space="preserve">701 A Street </t>
  </si>
  <si>
    <t>Bill Quiseng</t>
  </si>
  <si>
    <t>Jennifer Penningroth</t>
  </si>
  <si>
    <t>+1 (619) 696-9800</t>
  </si>
  <si>
    <t>Marriott Vacation Club- South Beach</t>
  </si>
  <si>
    <t xml:space="preserve">1410 Ocean Drive </t>
  </si>
  <si>
    <t>Abraham Wong</t>
  </si>
  <si>
    <t>David Khey</t>
  </si>
  <si>
    <t>+1 (786)516-2160</t>
  </si>
  <si>
    <t>Marriott Vacation Club New York City</t>
  </si>
  <si>
    <t xml:space="preserve">33 West 37th Street </t>
  </si>
  <si>
    <t>Orlando Carrasquillo</t>
  </si>
  <si>
    <t>Ashley Ramirez</t>
  </si>
  <si>
    <t>+1(212)448-1024</t>
  </si>
  <si>
    <t>Marriott Waikiki Beach Resort and Spa</t>
  </si>
  <si>
    <t xml:space="preserve">2552 Kalakaua Ave </t>
  </si>
  <si>
    <t>Waikiki</t>
  </si>
  <si>
    <t>Nuno Alves</t>
  </si>
  <si>
    <t>+ (808) 922-6611</t>
  </si>
  <si>
    <t>Marriott Walnut Creek</t>
  </si>
  <si>
    <t xml:space="preserve">2355 N. Main Street </t>
  </si>
  <si>
    <t>Walnut Creek</t>
  </si>
  <si>
    <t>Doug Smith</t>
  </si>
  <si>
    <t>+ (925) 934-2000</t>
  </si>
  <si>
    <t>Marriott West Palm Beach</t>
  </si>
  <si>
    <t xml:space="preserve">1001 Okeechobee Blvd </t>
  </si>
  <si>
    <t>Michele (Shelly) Pappas</t>
  </si>
  <si>
    <t>westpalm tester</t>
  </si>
  <si>
    <t>(561) 833-1234</t>
  </si>
  <si>
    <t>Marriott Westfields Conference Center</t>
  </si>
  <si>
    <t xml:space="preserve">14750 Conference Center Drive </t>
  </si>
  <si>
    <t>Derwin Swann</t>
  </si>
  <si>
    <t>Anthony Spinner</t>
  </si>
  <si>
    <t>(703) 818-0300</t>
  </si>
  <si>
    <t>Marriott Wichita</t>
  </si>
  <si>
    <t xml:space="preserve">9100 Corporate Hills Drive </t>
  </si>
  <si>
    <t>Melissa Evans</t>
  </si>
  <si>
    <t>Michelle Ruffin-Stein</t>
  </si>
  <si>
    <t>+ (316) 651-0333</t>
  </si>
  <si>
    <t>Marriott’s Kauai Lagoons – Kalanipu’u</t>
  </si>
  <si>
    <t xml:space="preserve">3325 Holokawelu Way </t>
  </si>
  <si>
    <t>Christie Reis</t>
  </si>
  <si>
    <t>+()808.632.8202</t>
  </si>
  <si>
    <t>Marriott's Canyon Villas</t>
  </si>
  <si>
    <t>Gretchen McCurdy</t>
  </si>
  <si>
    <t>Mimi Holly</t>
  </si>
  <si>
    <t>+1 (480) 629-3200</t>
  </si>
  <si>
    <t>Marriott's Fairway Villas</t>
  </si>
  <si>
    <t xml:space="preserve">500 East Fairway Lane </t>
  </si>
  <si>
    <t>Eileen Irwin</t>
  </si>
  <si>
    <t>Donna Repnicki</t>
  </si>
  <si>
    <t>+1 (609) 748-4700</t>
  </si>
  <si>
    <t>Marriott's Grande Vista Resort</t>
  </si>
  <si>
    <t xml:space="preserve">5925 Avenida Vista </t>
  </si>
  <si>
    <t>Dione Lewis</t>
  </si>
  <si>
    <t>Nick Cooper</t>
  </si>
  <si>
    <t>+ (407) 238-7676</t>
  </si>
  <si>
    <t>Marriott's Monarch at Sea Pines</t>
  </si>
  <si>
    <t xml:space="preserve">91 North Sea Pines Drive </t>
  </si>
  <si>
    <t>Birgit Koellner</t>
  </si>
  <si>
    <t>+1 (843) 363-3040</t>
  </si>
  <si>
    <t>Marriott's Ocean Pointe</t>
  </si>
  <si>
    <t xml:space="preserve">71 Ocean Avenue </t>
  </si>
  <si>
    <t>Palm Beach Shores</t>
  </si>
  <si>
    <t>Kristen Rolle</t>
  </si>
  <si>
    <t>Andrew Mitchell</t>
  </si>
  <si>
    <t>+ (561) 882-3000</t>
  </si>
  <si>
    <t>Marsh Creek Country Club</t>
  </si>
  <si>
    <t xml:space="preserve">169 Marshside DR </t>
  </si>
  <si>
    <t>Mary Claire Gaze</t>
  </si>
  <si>
    <t>+1 (904) 461-1101</t>
  </si>
  <si>
    <t>Maryland Club Corp</t>
  </si>
  <si>
    <t>Maryland Club</t>
  </si>
  <si>
    <t xml:space="preserve">1 East Eager Street </t>
  </si>
  <si>
    <t>Ben Hales</t>
  </si>
  <si>
    <t>Matt Smeal</t>
  </si>
  <si>
    <t>+1 (410) 727-2323</t>
  </si>
  <si>
    <t>Mason Street Grill</t>
  </si>
  <si>
    <t xml:space="preserve">425 East Mason Street </t>
  </si>
  <si>
    <t>+1 (414)-298-3131</t>
  </si>
  <si>
    <t>Maui Ocean Club</t>
  </si>
  <si>
    <t xml:space="preserve">100 Nohea Kai Drive </t>
  </si>
  <si>
    <t>LAHAINA</t>
  </si>
  <si>
    <t>Cyrus Keyhani</t>
  </si>
  <si>
    <t>Nani Dapitan</t>
  </si>
  <si>
    <t>+1 (808) 667-1200</t>
  </si>
  <si>
    <t>Maui Ocean Club Sales and Marketing</t>
  </si>
  <si>
    <t>Chris Macleod</t>
  </si>
  <si>
    <t>+1 (808) 662-8824</t>
  </si>
  <si>
    <t>Prince Resorts Hawaii Inc.</t>
  </si>
  <si>
    <t>Mauna Kea Beach Hotel Corp</t>
  </si>
  <si>
    <t xml:space="preserve">62-100 Mauna Kea Beach Dr. </t>
  </si>
  <si>
    <t>Kamuela</t>
  </si>
  <si>
    <t>Jon Gersonde</t>
  </si>
  <si>
    <t>+ (808) 882-7222</t>
  </si>
  <si>
    <t>Mauna Lani Resort</t>
  </si>
  <si>
    <t xml:space="preserve">68-1400 Mauna Lani Drive </t>
  </si>
  <si>
    <t>Gina Kapeliela</t>
  </si>
  <si>
    <t>Precy Burbano</t>
  </si>
  <si>
    <t>+1 (808) 885-6622</t>
  </si>
  <si>
    <t>Mayfair Hotel &amp; Spa</t>
  </si>
  <si>
    <t xml:space="preserve">3000 Florida Avenue </t>
  </si>
  <si>
    <t>COCONUT GROVE</t>
  </si>
  <si>
    <t>Sean McKeen</t>
  </si>
  <si>
    <t>+1 (305) 441-0000</t>
  </si>
  <si>
    <t>Mayflower Inn &amp; Spa Auberge Resorts Collection</t>
  </si>
  <si>
    <t>118 Woodbury Road Route 47</t>
  </si>
  <si>
    <t>Mohit Girdhar</t>
  </si>
  <si>
    <t>+1 (860) 868-9466</t>
  </si>
  <si>
    <t>Mayflower Sales and Marketing</t>
  </si>
  <si>
    <t xml:space="preserve">1130 Conneticut Avenue Northwest </t>
  </si>
  <si>
    <t>McCormick Woods Golf Course</t>
  </si>
  <si>
    <t xml:space="preserve">5155 McCormick Woods Drive Southwest </t>
  </si>
  <si>
    <t>Port Orchard</t>
  </si>
  <si>
    <t>Bjorn Bjorke</t>
  </si>
  <si>
    <t>+1 (360) 329-5257</t>
  </si>
  <si>
    <t>McKibbon Admin Tampa</t>
  </si>
  <si>
    <t>5315 Avion Park Drive Suite 170</t>
  </si>
  <si>
    <t>Bryan Drackett</t>
  </si>
  <si>
    <t>Randy Hassen</t>
  </si>
  <si>
    <t>+ () 8134727383</t>
  </si>
  <si>
    <t>Meadowbrook Canyon Creek</t>
  </si>
  <si>
    <t xml:space="preserve">601 Municipal Drive </t>
  </si>
  <si>
    <t>Justin Brosius</t>
  </si>
  <si>
    <t>+1 (806) 765-6679</t>
  </si>
  <si>
    <t>Meadowlark Golf Course</t>
  </si>
  <si>
    <t xml:space="preserve">16782 Graham Street </t>
  </si>
  <si>
    <t>Derek Uyesaka</t>
  </si>
  <si>
    <t>Steve Bossard</t>
  </si>
  <si>
    <t>+1 (714) 846-1364</t>
  </si>
  <si>
    <t>MeadowView Marriott Conference Resort &amp; Convention Center</t>
  </si>
  <si>
    <t xml:space="preserve">1901 Meadowview Parkway </t>
  </si>
  <si>
    <t>Ramona Jackson</t>
  </si>
  <si>
    <t>(423) 578-6600</t>
  </si>
  <si>
    <t>Medina Golf &amp; Country Club</t>
  </si>
  <si>
    <t xml:space="preserve">400 Evergreen Road </t>
  </si>
  <si>
    <t>Hamel</t>
  </si>
  <si>
    <t>Jim Johnson</t>
  </si>
  <si>
    <t>+1 (763) 478-6021</t>
  </si>
  <si>
    <t>Meeting Street Inn</t>
  </si>
  <si>
    <t xml:space="preserve">173 Meeting Street </t>
  </si>
  <si>
    <t xml:space="preserve">Maureen Sheridan </t>
  </si>
  <si>
    <t>+1 (843) 723-1882</t>
  </si>
  <si>
    <t>Meliá Braco Village</t>
  </si>
  <si>
    <t xml:space="preserve">Rio Bueno </t>
  </si>
  <si>
    <t>Trelawny</t>
  </si>
  <si>
    <t>Odane Johnson</t>
  </si>
  <si>
    <t>+1 (876) 361-4878</t>
  </si>
  <si>
    <t>Meliá Orlando Suites Hotels at Celebration</t>
  </si>
  <si>
    <t xml:space="preserve">225 Celebration Place </t>
  </si>
  <si>
    <t>Mark Velez</t>
  </si>
  <si>
    <t>+1 (407) 964-7000</t>
  </si>
  <si>
    <t>Memphis Central Station A Curio Hilton Hotel</t>
  </si>
  <si>
    <t xml:space="preserve">545 South Main Street </t>
  </si>
  <si>
    <t>Jeremy Sadler</t>
  </si>
  <si>
    <t>+1(901)524-5247</t>
  </si>
  <si>
    <t>Billings-Gassaway LP dba Memphis National Golf Club</t>
  </si>
  <si>
    <t>Memphis National Golf Club</t>
  </si>
  <si>
    <t xml:space="preserve">10135 National Club Dr </t>
  </si>
  <si>
    <t>Collierville</t>
  </si>
  <si>
    <t>Christian Huggins</t>
  </si>
  <si>
    <t xml:space="preserve">Robert Corder </t>
  </si>
  <si>
    <t>+(901)853-8050</t>
  </si>
  <si>
    <t>Mendocino Hotel and Garden Suites</t>
  </si>
  <si>
    <t xml:space="preserve">45080 Main Street </t>
  </si>
  <si>
    <t>+1 (707) 937-0511</t>
  </si>
  <si>
    <t>Menlo Park Inn</t>
  </si>
  <si>
    <t xml:space="preserve">1315 El Camino Real </t>
  </si>
  <si>
    <t>Roberto Mota</t>
  </si>
  <si>
    <t>+1 (650) 326-7530</t>
  </si>
  <si>
    <t>Merry Go Round Restaurant</t>
  </si>
  <si>
    <t>Richbell Carrollton LLC</t>
  </si>
  <si>
    <t>Metro Points Hotel</t>
  </si>
  <si>
    <t xml:space="preserve">8500 Annapolis Road </t>
  </si>
  <si>
    <t>New Carrollton</t>
  </si>
  <si>
    <t>Arun Luthra</t>
  </si>
  <si>
    <t>Fernando Bosch</t>
  </si>
  <si>
    <t>+1 (301) 459-6700</t>
  </si>
  <si>
    <t>Metropolitan Club</t>
  </si>
  <si>
    <t>50 East Rivercenter Boulevard Suite 1900</t>
  </si>
  <si>
    <t>Kelsey Yerger</t>
  </si>
  <si>
    <t>+1 (859) 491-2400</t>
  </si>
  <si>
    <t>Metropolitan Club Chicago</t>
  </si>
  <si>
    <t>Willis Tower 67th Flr 233 South Wacker Drive Willis Tower</t>
  </si>
  <si>
    <t>Antonio Soto</t>
  </si>
  <si>
    <t>Vijay Raj</t>
  </si>
  <si>
    <t>+ (312) 876-3200</t>
  </si>
  <si>
    <t>Metropolitan Hotel Vancouver</t>
  </si>
  <si>
    <t xml:space="preserve">645 Howe Street </t>
  </si>
  <si>
    <t>V6C 2Y9</t>
  </si>
  <si>
    <t>Joe Dias</t>
  </si>
  <si>
    <t>+1 (604) 687-1122</t>
  </si>
  <si>
    <t>Metterra Hotel Edmonton</t>
  </si>
  <si>
    <t xml:space="preserve">10454 82 Avenue </t>
  </si>
  <si>
    <t>T6E 4Z7</t>
  </si>
  <si>
    <t>Joel Hollingsworth</t>
  </si>
  <si>
    <t>+1(780)465-8150</t>
  </si>
  <si>
    <t>Meyerson Symphony Center</t>
  </si>
  <si>
    <t xml:space="preserve">2301 Flora Street </t>
  </si>
  <si>
    <t>Justin Reagan</t>
  </si>
  <si>
    <t>+ (214) 670-3725</t>
  </si>
  <si>
    <t>Miami Lakes Hotel</t>
  </si>
  <si>
    <t xml:space="preserve">6842 Main Street </t>
  </si>
  <si>
    <t>Miami Lakes</t>
  </si>
  <si>
    <t>Darren Lee</t>
  </si>
  <si>
    <t>Tom Valentin</t>
  </si>
  <si>
    <t>+1 (561) 989-3976</t>
  </si>
  <si>
    <t>Miami Marriott Biscayne Bay</t>
  </si>
  <si>
    <t xml:space="preserve">1633 North Bayshore Drive </t>
  </si>
  <si>
    <t>Julissa Kepner</t>
  </si>
  <si>
    <t>+1(305)374-3900</t>
  </si>
  <si>
    <t>Miami South Beach Sales and Marketing</t>
  </si>
  <si>
    <t xml:space="preserve">161 Ocean Pointe </t>
  </si>
  <si>
    <t>+1 (703) na</t>
  </si>
  <si>
    <t>Microtel Inn &amp; Suites by Wyndham Gulf Shores</t>
  </si>
  <si>
    <t xml:space="preserve">3600 Gulf Shores Parkway </t>
  </si>
  <si>
    <t>Andrew Lewis</t>
  </si>
  <si>
    <t>+1(251)967-3000</t>
  </si>
  <si>
    <t>Microtel Inn &amp; Suites by Wyndham Midland</t>
  </si>
  <si>
    <t xml:space="preserve">200 West Longview Avenue </t>
  </si>
  <si>
    <t>John Guinn</t>
  </si>
  <si>
    <t>+1 (432) 203-2100</t>
  </si>
  <si>
    <t>Microtel Inn &amp; Suites Hillsborough</t>
  </si>
  <si>
    <t xml:space="preserve">120 Old Dogwood Street </t>
  </si>
  <si>
    <t>Hillsborough</t>
  </si>
  <si>
    <t>Natalie Edwards</t>
  </si>
  <si>
    <t>+1 (919) 245-3102</t>
  </si>
  <si>
    <t>Microtel Inn &amp; Suites San Angelo</t>
  </si>
  <si>
    <t xml:space="preserve">4649 West Houston Harte Express </t>
  </si>
  <si>
    <t>+1 (325) 227-4866</t>
  </si>
  <si>
    <t>Microtel Inn &amp; Suites Wyndham - Kenedy</t>
  </si>
  <si>
    <t xml:space="preserve">333 North Sunset Strip Drive </t>
  </si>
  <si>
    <t>Michelle Pena</t>
  </si>
  <si>
    <t>+1 (830) 299-3154</t>
  </si>
  <si>
    <t>Mid America Club</t>
  </si>
  <si>
    <t>200 East Randolph Drive 80th Floor</t>
  </si>
  <si>
    <t>+1 (312) 861-1100</t>
  </si>
  <si>
    <t>Midlothian Country Club</t>
  </si>
  <si>
    <t xml:space="preserve">5000 West 147th Street </t>
  </si>
  <si>
    <t>Tom Ahern</t>
  </si>
  <si>
    <t>+ (708) 388-0596</t>
  </si>
  <si>
    <t>Midtown &amp; Bar 115</t>
  </si>
  <si>
    <t xml:space="preserve">4421 - 115 Six Forks Rd. </t>
  </si>
  <si>
    <t>Todd Chriscoe</t>
  </si>
  <si>
    <t>+1 (919) 787-8963</t>
  </si>
  <si>
    <t>Midtown Manhattan Embassy Suites</t>
  </si>
  <si>
    <t xml:space="preserve">60 West 37th Street </t>
  </si>
  <si>
    <t>Julie Torres</t>
  </si>
  <si>
    <t>Coral Castillo</t>
  </si>
  <si>
    <t>+1(212)912-0111</t>
  </si>
  <si>
    <t>Miles River Yacht Club Inc.</t>
  </si>
  <si>
    <t>Miles River Yacht Club</t>
  </si>
  <si>
    <t>24750 Yacht Club Road P.O.Box 158</t>
  </si>
  <si>
    <t>Saint Michaels</t>
  </si>
  <si>
    <t>Cheryl Alfes</t>
  </si>
  <si>
    <t>Dottie Johnson</t>
  </si>
  <si>
    <t>+(410)745-9511</t>
  </si>
  <si>
    <t>9711864 Canada Inc.</t>
  </si>
  <si>
    <t>Mill River Experience</t>
  </si>
  <si>
    <t xml:space="preserve">180 Mill River Resort Road </t>
  </si>
  <si>
    <t>O'Leary</t>
  </si>
  <si>
    <t>C0B 1V0</t>
  </si>
  <si>
    <t>Louise Arsenault</t>
  </si>
  <si>
    <t>+1 (902) 859-3555</t>
  </si>
  <si>
    <t>Miller Time Pub at Hilton Milwaukee</t>
  </si>
  <si>
    <t xml:space="preserve">509 West Wisconsin Ave </t>
  </si>
  <si>
    <t>+1(414) 271-2337</t>
  </si>
  <si>
    <t>Miller Time Pub at The Cornhusker</t>
  </si>
  <si>
    <t xml:space="preserve">333 South 13th Steeret </t>
  </si>
  <si>
    <t>+1 (402) 489-2337</t>
  </si>
  <si>
    <t>Milwaukee Marriott Downtown</t>
  </si>
  <si>
    <t xml:space="preserve">323 East Wisconsin Avenue </t>
  </si>
  <si>
    <t>Chuck Collins</t>
  </si>
  <si>
    <t>+1(414)278-5999</t>
  </si>
  <si>
    <t>Minebrook Golf Club</t>
  </si>
  <si>
    <t xml:space="preserve">500 Schooley's Mountain Rd </t>
  </si>
  <si>
    <t>Hackettstown</t>
  </si>
  <si>
    <t>Rob Armstrong</t>
  </si>
  <si>
    <t>+1 (908) 979-0366</t>
  </si>
  <si>
    <t>Minneapolis Marriott City Center</t>
  </si>
  <si>
    <t xml:space="preserve">30 South 7th Street </t>
  </si>
  <si>
    <t xml:space="preserve">Jay Garrett </t>
  </si>
  <si>
    <t>Kathy Cottrell</t>
  </si>
  <si>
    <t>(612) 349-4000</t>
  </si>
  <si>
    <t>Minneapolis/St. Paul Airport Hilton</t>
  </si>
  <si>
    <t xml:space="preserve">3800 American Blvd. East </t>
  </si>
  <si>
    <t>Jeff Feltes</t>
  </si>
  <si>
    <t>+ (952) 854-2100</t>
  </si>
  <si>
    <t>Miraval Arizona</t>
  </si>
  <si>
    <t xml:space="preserve">5000 East Via Estancia Miraval </t>
  </si>
  <si>
    <t>Catalina</t>
  </si>
  <si>
    <t>Miraval</t>
  </si>
  <si>
    <t>Mark Stebbings</t>
  </si>
  <si>
    <t>Sheri Muskin</t>
  </si>
  <si>
    <t>+1 (520) 825-4000</t>
  </si>
  <si>
    <t>Miraval Austin</t>
  </si>
  <si>
    <t xml:space="preserve">13500 Farm to Market Road 2769 </t>
  </si>
  <si>
    <t>Brett Ambrose</t>
  </si>
  <si>
    <t>+1 (877) 261-7792</t>
  </si>
  <si>
    <t>Miraval Berkshires</t>
  </si>
  <si>
    <t xml:space="preserve">55 Lee Road </t>
  </si>
  <si>
    <t>Vic Cappadona</t>
  </si>
  <si>
    <t>+ (413) 637-1364</t>
  </si>
  <si>
    <t>Mirror Lake Golf Club</t>
  </si>
  <si>
    <t xml:space="preserve">1000 Cannon Gate Parkway </t>
  </si>
  <si>
    <t>Villa Rica</t>
  </si>
  <si>
    <t>+1 (770) 459-5599</t>
  </si>
  <si>
    <t>Mission Hills Country Club</t>
  </si>
  <si>
    <t xml:space="preserve">34600 Mission Hills Dr </t>
  </si>
  <si>
    <t>Dennis Coker</t>
  </si>
  <si>
    <t>Mike Walker</t>
  </si>
  <si>
    <t>+ (760) 324-9400</t>
  </si>
  <si>
    <t>Moana Surfrider A Westin Resort &amp; Spa Waikiki Beach</t>
  </si>
  <si>
    <t xml:space="preserve">2365 Kalakaua Avenu </t>
  </si>
  <si>
    <t>+1(808)922-3111</t>
  </si>
  <si>
    <t>Mobile Marriott</t>
  </si>
  <si>
    <t xml:space="preserve">3101 Airport Boulevard </t>
  </si>
  <si>
    <t>Joshua Morris</t>
  </si>
  <si>
    <t>Sam Kelly</t>
  </si>
  <si>
    <t>+1 (251) 476-6400</t>
  </si>
  <si>
    <t>Molina's Enterprises INC</t>
  </si>
  <si>
    <t>Molinas Cantina</t>
  </si>
  <si>
    <t xml:space="preserve">3801 Bellaire Blvd </t>
  </si>
  <si>
    <t>Ricardo Molina</t>
  </si>
  <si>
    <t>+1 (713) 266-2042</t>
  </si>
  <si>
    <t>Molinas Cantina 1463</t>
  </si>
  <si>
    <t>6300 FM 1463 Suite 500</t>
  </si>
  <si>
    <t>Molinas Mexican Restaurant</t>
  </si>
  <si>
    <t xml:space="preserve">7901 Westheimer </t>
  </si>
  <si>
    <t>Molinas Washington</t>
  </si>
  <si>
    <t>4720 Washington Suite E</t>
  </si>
  <si>
    <t>Monarch Country Club</t>
  </si>
  <si>
    <t xml:space="preserve">1801 SW MONARCH CLUB DR </t>
  </si>
  <si>
    <t>Palm City</t>
  </si>
  <si>
    <t>Elizabeth Olson</t>
  </si>
  <si>
    <t>Folker Raynolds</t>
  </si>
  <si>
    <t>+ (772) 286-8447</t>
  </si>
  <si>
    <t>Montage Deer Valley</t>
  </si>
  <si>
    <t xml:space="preserve">9100 Marsac Avenue </t>
  </si>
  <si>
    <t>Deer Valley</t>
  </si>
  <si>
    <t>Joseph Mattioli</t>
  </si>
  <si>
    <t>+1 (435) 604-1300</t>
  </si>
  <si>
    <t>Montage Kapalua Bay</t>
  </si>
  <si>
    <t xml:space="preserve">One Bay Drive </t>
  </si>
  <si>
    <t>Richard Holtzman</t>
  </si>
  <si>
    <t>Matt Bailey</t>
  </si>
  <si>
    <t>+ (808) 669-5656</t>
  </si>
  <si>
    <t>Montage Los Cabos</t>
  </si>
  <si>
    <t>Carretera Transpeninsular KM 12.5 Frente A La Bahia De Santa Maria</t>
  </si>
  <si>
    <t>Araceli Gomez</t>
  </si>
  <si>
    <t>Humberto Montano</t>
  </si>
  <si>
    <t>+1 (624) 163-2000</t>
  </si>
  <si>
    <t>Montage Palmetto Bluff</t>
  </si>
  <si>
    <t xml:space="preserve">476 Mount Pelia Road </t>
  </si>
  <si>
    <t>Brighton Beach</t>
  </si>
  <si>
    <t>Becky Hinton</t>
  </si>
  <si>
    <t>Casey Lavin</t>
  </si>
  <si>
    <t>+(843) 706-6500</t>
  </si>
  <si>
    <t>Monterey Bay Inn</t>
  </si>
  <si>
    <t xml:space="preserve">242 Cannery Row </t>
  </si>
  <si>
    <t>Stacey Lee</t>
  </si>
  <si>
    <t>+(831) 373-6242</t>
  </si>
  <si>
    <t>Monterey Bay Resort</t>
  </si>
  <si>
    <t xml:space="preserve">6804 North Ocean Boulevard </t>
  </si>
  <si>
    <t>Benjamin (Benji) Norton</t>
  </si>
  <si>
    <t>+ () 843-449-4833</t>
  </si>
  <si>
    <t>Monterey Plaza Hotel</t>
  </si>
  <si>
    <t xml:space="preserve">400 Cannery Row </t>
  </si>
  <si>
    <t>Chris Sommers</t>
  </si>
  <si>
    <t>Rodrigo Santiago</t>
  </si>
  <si>
    <t>+ (831) 646-1700</t>
  </si>
  <si>
    <t>Montgomery Country Club</t>
  </si>
  <si>
    <t xml:space="preserve">20908 Golf View Drive </t>
  </si>
  <si>
    <t>Laytonsville</t>
  </si>
  <si>
    <t>Kieron Mooney</t>
  </si>
  <si>
    <t>+1 (240) 912-9515</t>
  </si>
  <si>
    <t>Montreal Airport Marriott</t>
  </si>
  <si>
    <t xml:space="preserve">800 Leigh Capreol </t>
  </si>
  <si>
    <t>Dorval</t>
  </si>
  <si>
    <t>H4Y 0A4</t>
  </si>
  <si>
    <t>Brenda Rodricks</t>
  </si>
  <si>
    <t>Flavia Francescutti</t>
  </si>
  <si>
    <t xml:space="preserve">+ (514)636-6700 </t>
  </si>
  <si>
    <t>Montrose West Hollywood</t>
  </si>
  <si>
    <t xml:space="preserve">900 Hammond Street </t>
  </si>
  <si>
    <t>Kevin Alfaro</t>
  </si>
  <si>
    <t>+1 (310) 855-1115</t>
  </si>
  <si>
    <t>Moody Gardens Hotel</t>
  </si>
  <si>
    <t xml:space="preserve">7 Hope Boulevard </t>
  </si>
  <si>
    <t>Robert Callies</t>
  </si>
  <si>
    <t>Jessica Mason</t>
  </si>
  <si>
    <t>+1 (409) 741-8484</t>
  </si>
  <si>
    <t>Moon Valley Country Club</t>
  </si>
  <si>
    <t xml:space="preserve">151 West Moon Valley Drive </t>
  </si>
  <si>
    <t>Brett Evans</t>
  </si>
  <si>
    <t>Anthony Olesh</t>
  </si>
  <si>
    <t>+1 (602) 942-1278</t>
  </si>
  <si>
    <t>Morgan Run Resort &amp; Club</t>
  </si>
  <si>
    <t xml:space="preserve">5690 Cancha De Golf </t>
  </si>
  <si>
    <t>Rancho Santa Fe</t>
  </si>
  <si>
    <t>Erik Johnson</t>
  </si>
  <si>
    <t xml:space="preserve">Derick Frederick </t>
  </si>
  <si>
    <t>+ (858) 756-2471</t>
  </si>
  <si>
    <t>Morgantown Marriott at Waterfront Place</t>
  </si>
  <si>
    <t xml:space="preserve">Two Waterfront Place </t>
  </si>
  <si>
    <t>Bert Haifley</t>
  </si>
  <si>
    <t>Jack Paul</t>
  </si>
  <si>
    <t>+1 (304) 296-1700</t>
  </si>
  <si>
    <t>Morrison House Autograph Collection</t>
  </si>
  <si>
    <t xml:space="preserve">116 South Alfred Street </t>
  </si>
  <si>
    <t>Jeffrey Brower</t>
  </si>
  <si>
    <t>+()703-838-8000</t>
  </si>
  <si>
    <t>Moscow Fairfield Inn &amp; Suites</t>
  </si>
  <si>
    <t xml:space="preserve">1000 West Pullman Road </t>
  </si>
  <si>
    <t>Moscow</t>
  </si>
  <si>
    <t>Rhonda Michelson</t>
  </si>
  <si>
    <t>+(208) 882-4600</t>
  </si>
  <si>
    <t>Moselem Development Company d/b/a Moselem Springs Golf Club</t>
  </si>
  <si>
    <t>Moselem Springs Golf Club</t>
  </si>
  <si>
    <t xml:space="preserve">684 Eagle RD </t>
  </si>
  <si>
    <t>Fleetwood</t>
  </si>
  <si>
    <t>Chris Wegner</t>
  </si>
  <si>
    <t>Amanda Frey</t>
  </si>
  <si>
    <t>+ (610) 944-7616</t>
  </si>
  <si>
    <t>Motel 6 Branford</t>
  </si>
  <si>
    <t xml:space="preserve">320 East Main Street </t>
  </si>
  <si>
    <t>Branford</t>
  </si>
  <si>
    <t>Ankoor Naik</t>
  </si>
  <si>
    <t>+1 (203) 483-5828</t>
  </si>
  <si>
    <t>Motel 6 Brockton</t>
  </si>
  <si>
    <t xml:space="preserve">391 Westgate Drive </t>
  </si>
  <si>
    <t>Chet Patel</t>
  </si>
  <si>
    <t>+ (508) 857-3700</t>
  </si>
  <si>
    <t>Motel 6 Crawfordsville</t>
  </si>
  <si>
    <t xml:space="preserve">1040 Corey Blvd. </t>
  </si>
  <si>
    <t>+1 (765) 362-0300</t>
  </si>
  <si>
    <t>Motel 6 Fargo ND - West Acres/North Fargo</t>
  </si>
  <si>
    <t xml:space="preserve">1202 36th Street South </t>
  </si>
  <si>
    <t>+1 (701) 232-9251</t>
  </si>
  <si>
    <t>Motel 6 Indianapolis IN - South</t>
  </si>
  <si>
    <t xml:space="preserve">4585 South Harding Street </t>
  </si>
  <si>
    <t>Evelyn Graves</t>
  </si>
  <si>
    <t>+1 (317) 757-6145</t>
  </si>
  <si>
    <t>Motel 6 Memphis TN - Downtown</t>
  </si>
  <si>
    <t xml:space="preserve">210 South Pauline Street </t>
  </si>
  <si>
    <t>Yatin Patel</t>
  </si>
  <si>
    <t>+1 (901) 528-0650</t>
  </si>
  <si>
    <t>Motel 6 Sioux Falls SD</t>
  </si>
  <si>
    <t xml:space="preserve">3009 West Russell Street </t>
  </si>
  <si>
    <t>+(605)336-7800</t>
  </si>
  <si>
    <t>Motif Seattle</t>
  </si>
  <si>
    <t xml:space="preserve">1415 5th Avenue </t>
  </si>
  <si>
    <t>Steve Sasso</t>
  </si>
  <si>
    <t>Tyler Coons</t>
  </si>
  <si>
    <t>+1 (206) 971-8020</t>
  </si>
  <si>
    <t>Motto City Center</t>
  </si>
  <si>
    <t xml:space="preserve">627 H Street NW </t>
  </si>
  <si>
    <t>Jon Porcello</t>
  </si>
  <si>
    <t>+1 (202) 446-5000</t>
  </si>
  <si>
    <t>Mount Vernon Ladies Association</t>
  </si>
  <si>
    <t xml:space="preserve">3200 Mount Vernon Memorial Highway </t>
  </si>
  <si>
    <t>Mount Vernon</t>
  </si>
  <si>
    <t>Cathy Johns</t>
  </si>
  <si>
    <t>+ () 703-799-8699</t>
  </si>
  <si>
    <t>Mountain Modern Motel</t>
  </si>
  <si>
    <t xml:space="preserve">380 West Broadway </t>
  </si>
  <si>
    <t>Elena Schroth</t>
  </si>
  <si>
    <t>Justin Robertson</t>
  </si>
  <si>
    <t>+1 (307) 733-4340</t>
  </si>
  <si>
    <t>The Mountain Ridge Country Club</t>
  </si>
  <si>
    <t>Mountain Ridge Country Club</t>
  </si>
  <si>
    <t xml:space="preserve">713 Passaic Avenue </t>
  </si>
  <si>
    <t>West Caldwell</t>
  </si>
  <si>
    <t>James Messina</t>
  </si>
  <si>
    <t>Samantha Marra</t>
  </si>
  <si>
    <t>+1 (973) 575–8200</t>
  </si>
  <si>
    <t>Mountain Valley Lodge</t>
  </si>
  <si>
    <t>655 Columbine Road P.O. Box 1937</t>
  </si>
  <si>
    <t>Sarah Oliver</t>
  </si>
  <si>
    <t>Todd Lebow</t>
  </si>
  <si>
    <t>+ (970) 453-8500</t>
  </si>
  <si>
    <t>Mountainside</t>
  </si>
  <si>
    <t>1305 Lowell Avenue P.O Box 4109</t>
  </si>
  <si>
    <t>Tanner Newton</t>
  </si>
  <si>
    <t>+ (435) 940-2000</t>
  </si>
  <si>
    <t>Movie Colony Hotel</t>
  </si>
  <si>
    <t xml:space="preserve">726 North Indian Canyon Drive </t>
  </si>
  <si>
    <t>Gonzalo Rodriguez</t>
  </si>
  <si>
    <t>+1 (760) 320-6340</t>
  </si>
  <si>
    <t>MOXY Atlanta Midtown</t>
  </si>
  <si>
    <t xml:space="preserve">48 13th Street NE </t>
  </si>
  <si>
    <t>+1 (404) 249-9446</t>
  </si>
  <si>
    <t>MOXY Chattanooga Downtown</t>
  </si>
  <si>
    <t xml:space="preserve">1220 King Street </t>
  </si>
  <si>
    <t>Dwayne Massengale</t>
  </si>
  <si>
    <t>+1 (423) 664-1180</t>
  </si>
  <si>
    <t>Moxy Chicago Downtown</t>
  </si>
  <si>
    <t xml:space="preserve">530 North LaSalle </t>
  </si>
  <si>
    <t>Rob Mastro</t>
  </si>
  <si>
    <t>Lynn Hon</t>
  </si>
  <si>
    <t>+(312)527-7200</t>
  </si>
  <si>
    <t>Moxy Columbus Short North</t>
  </si>
  <si>
    <t xml:space="preserve">800 North High Street </t>
  </si>
  <si>
    <t>Susan Tosun</t>
  </si>
  <si>
    <t>+1(614)412-7664</t>
  </si>
  <si>
    <t>Moxy Denver Cherry Creek</t>
  </si>
  <si>
    <t xml:space="preserve">240 Josephine Street </t>
  </si>
  <si>
    <t>Isabel Bishop</t>
  </si>
  <si>
    <t>Szilvia Szocs</t>
  </si>
  <si>
    <t>+1 (303) 463-6699</t>
  </si>
  <si>
    <t>Moxy Louisville Downtown</t>
  </si>
  <si>
    <t>Justin Weeks</t>
  </si>
  <si>
    <t>+1(502)874-4331</t>
  </si>
  <si>
    <t>Moxy Omaha Downtown</t>
  </si>
  <si>
    <t xml:space="preserve">409 South 12th Street </t>
  </si>
  <si>
    <t>Moxy San Diego Gaslamp District</t>
  </si>
  <si>
    <t xml:space="preserve">831 6th Avenue </t>
  </si>
  <si>
    <t>Tim Billings</t>
  </si>
  <si>
    <t>Wyatt Bostic</t>
  </si>
  <si>
    <t>+1 (619) 239-6699</t>
  </si>
  <si>
    <t>Moxy Seattle North</t>
  </si>
  <si>
    <t xml:space="preserve">1016 Republican Street </t>
  </si>
  <si>
    <t>Matt Miknyoczki</t>
  </si>
  <si>
    <t>+1 (206) 708-8200</t>
  </si>
  <si>
    <t>Mr. C Beverly Hills</t>
  </si>
  <si>
    <t xml:space="preserve">1224 Beverwil Drive </t>
  </si>
  <si>
    <t>Brock Taylor</t>
  </si>
  <si>
    <t>+ (310) 226-6271</t>
  </si>
  <si>
    <t>Mr. C Coconut Grove LLC</t>
  </si>
  <si>
    <t>Mr. C Coconut Grove</t>
  </si>
  <si>
    <t xml:space="preserve">2988 McFarlane Road </t>
  </si>
  <si>
    <t>Andrea Martucci</t>
  </si>
  <si>
    <t>Jaime Stuyck</t>
  </si>
  <si>
    <t>+1 (305) 804-1083</t>
  </si>
  <si>
    <t>HHC 33 Peck Slip Holdings LLC</t>
  </si>
  <si>
    <t>Mr. C Seaport</t>
  </si>
  <si>
    <t xml:space="preserve">33 Peck Slip </t>
  </si>
  <si>
    <t>Edoardo Minoli</t>
  </si>
  <si>
    <t>Sam Jagger</t>
  </si>
  <si>
    <t>+()877.528.4249</t>
  </si>
  <si>
    <t>Multigestiones Cenrex SAS</t>
  </si>
  <si>
    <t>Punta Cana Resort &amp; Club La Altagracia Punta Cana La Altagracia</t>
  </si>
  <si>
    <t>+1 (809) 959-2714</t>
  </si>
  <si>
    <t>Museum of Contemporary Art in Chicago</t>
  </si>
  <si>
    <t xml:space="preserve">220 East Chicago Avenue </t>
  </si>
  <si>
    <t>+1(312)280-2660</t>
  </si>
  <si>
    <t>Music Hall at Fair Park</t>
  </si>
  <si>
    <t xml:space="preserve">909 First Avenue </t>
  </si>
  <si>
    <t>David Burak</t>
  </si>
  <si>
    <t>+ (214) 413-3941</t>
  </si>
  <si>
    <t>InnerSea Discoveries LLC dba UnCruise Adventures</t>
  </si>
  <si>
    <t>MV Safari Voyager</t>
  </si>
  <si>
    <t xml:space="preserve">Avenida Estudiante #12001 </t>
  </si>
  <si>
    <t>Cruise</t>
  </si>
  <si>
    <t>Erasmo Estripeau</t>
  </si>
  <si>
    <t>James Tait</t>
  </si>
  <si>
    <t>+1 (206) 284-0300</t>
  </si>
  <si>
    <t>My Place Brookings</t>
  </si>
  <si>
    <t xml:space="preserve">711 32nd Avenue </t>
  </si>
  <si>
    <t>Preston Premus</t>
  </si>
  <si>
    <t>Rob Laughter</t>
  </si>
  <si>
    <t>+1(605) 696-3150</t>
  </si>
  <si>
    <t>My Place Hotel</t>
  </si>
  <si>
    <t xml:space="preserve">200 East 31st Street </t>
  </si>
  <si>
    <t>Hastings</t>
  </si>
  <si>
    <t>Marina Grass</t>
  </si>
  <si>
    <t>+ 1 (402) 303-6060</t>
  </si>
  <si>
    <t>My Place Hotel - Avondale</t>
  </si>
  <si>
    <t xml:space="preserve">915 North Avondale Boulevard </t>
  </si>
  <si>
    <t>Avondale-Goodyear</t>
  </si>
  <si>
    <t>Jerry Powell</t>
  </si>
  <si>
    <t>+1 (623) 440-2500</t>
  </si>
  <si>
    <t>My Place Hotel Huntersville</t>
  </si>
  <si>
    <t xml:space="preserve">14725 Statesville Road </t>
  </si>
  <si>
    <t>Unique Lowery</t>
  </si>
  <si>
    <t>+(704) 274-9164</t>
  </si>
  <si>
    <t>My Place Hotel Twin Falls</t>
  </si>
  <si>
    <t xml:space="preserve">440 North Haven Drive </t>
  </si>
  <si>
    <t>Stacey Parker</t>
  </si>
  <si>
    <t>+1 (208) 733-0999</t>
  </si>
  <si>
    <t>My Place Hotel Watertown</t>
  </si>
  <si>
    <t xml:space="preserve">3409 8th Avenue Southeast </t>
  </si>
  <si>
    <t>Kathy Kuno</t>
  </si>
  <si>
    <t>+()605-878-3133</t>
  </si>
  <si>
    <t>My Suites Lawton</t>
  </si>
  <si>
    <t xml:space="preserve">3 SE Interstate Drive </t>
  </si>
  <si>
    <t>Adam Shiel</t>
  </si>
  <si>
    <t>Jonathan Wittenberg</t>
  </si>
  <si>
    <t>+ (580) 248-8500</t>
  </si>
  <si>
    <t>Mylo Hotel</t>
  </si>
  <si>
    <t xml:space="preserve">3211 Geneva Avenue </t>
  </si>
  <si>
    <t>Roberto Moto</t>
  </si>
  <si>
    <t>+1 (415) 467-4200</t>
  </si>
  <si>
    <t>Myrtlewood Villas</t>
  </si>
  <si>
    <t xml:space="preserve">1410 48th Avenue North </t>
  </si>
  <si>
    <t>David Crawford</t>
  </si>
  <si>
    <t>+ (843) 913-4508</t>
  </si>
  <si>
    <t>Mystic Dunes Resort and Golf Club</t>
  </si>
  <si>
    <t xml:space="preserve">7850 Shadow Tree Lane </t>
  </si>
  <si>
    <t>Celebration</t>
  </si>
  <si>
    <t>Kenny Cashwell</t>
  </si>
  <si>
    <t>Jeremy Senko</t>
  </si>
  <si>
    <t>+ (407) 396-1311</t>
  </si>
  <si>
    <t>Mystic Marriott Hotel &amp; Spa</t>
  </si>
  <si>
    <t xml:space="preserve">625 North Road (Route 117) </t>
  </si>
  <si>
    <t>Groton</t>
  </si>
  <si>
    <t>Charles Botto</t>
  </si>
  <si>
    <t>Stephanie Croom</t>
  </si>
  <si>
    <t>+ 1 (860) 446-2600</t>
  </si>
  <si>
    <t>Nags Head Golf Club</t>
  </si>
  <si>
    <t xml:space="preserve">5615 S Seachase Drive </t>
  </si>
  <si>
    <t>Nags Head</t>
  </si>
  <si>
    <t>Daniel Saunders</t>
  </si>
  <si>
    <t>Karen Reeder</t>
  </si>
  <si>
    <t>+ (252) 441-8073</t>
  </si>
  <si>
    <t>Napa Valley Lodge</t>
  </si>
  <si>
    <t xml:space="preserve">2230 Madison ST </t>
  </si>
  <si>
    <t>Maxence Compagnon</t>
  </si>
  <si>
    <t>Monica Lilly</t>
  </si>
  <si>
    <t>+ (707) 944-2468</t>
  </si>
  <si>
    <t>Napa Valley Marriott</t>
  </si>
  <si>
    <t xml:space="preserve">3425 Solano Avenue </t>
  </si>
  <si>
    <t>Troy Christian</t>
  </si>
  <si>
    <t>Nicholas Bobbs</t>
  </si>
  <si>
    <t>+ (707) 253-8600</t>
  </si>
  <si>
    <t>Napa Winery Inn</t>
  </si>
  <si>
    <t xml:space="preserve">1998 Trower Avenue </t>
  </si>
  <si>
    <t>Randy Baron</t>
  </si>
  <si>
    <t>+1 (707) 257-7220</t>
  </si>
  <si>
    <t>Napili Kai Beach Resort</t>
  </si>
  <si>
    <t xml:space="preserve">5900 Lower Honoapiilani Road </t>
  </si>
  <si>
    <t>Gregg Nelson</t>
  </si>
  <si>
    <t>+1 (808) 669-6271</t>
  </si>
  <si>
    <t>Nara</t>
  </si>
  <si>
    <t xml:space="preserve">JESUS DEL MONTE # 41 INT. 7 COL JESUS DEL MONTE </t>
  </si>
  <si>
    <t>Marcos Guerrero</t>
  </si>
  <si>
    <t>+()1 52475618</t>
  </si>
  <si>
    <t>Nashville Marriott at Vanderbilt University</t>
  </si>
  <si>
    <t xml:space="preserve">2555 West End Ave </t>
  </si>
  <si>
    <t>Shawn Hornaday</t>
  </si>
  <si>
    <t>+1 (615) 321-1300</t>
  </si>
  <si>
    <t>National Pizza Pub and Grille</t>
  </si>
  <si>
    <t xml:space="preserve">5501 West National Avenue </t>
  </si>
  <si>
    <t>Julia Jacobs</t>
  </si>
  <si>
    <t>+1 (414) 671-4224</t>
  </si>
  <si>
    <t>NCC Hopes Center</t>
  </si>
  <si>
    <t xml:space="preserve">365 Airport Blvd </t>
  </si>
  <si>
    <t>Danielle Hennessy</t>
  </si>
  <si>
    <t>+1 (302) 328-6200</t>
  </si>
  <si>
    <t>New Haven Hotel</t>
  </si>
  <si>
    <t xml:space="preserve">229 George Street </t>
  </si>
  <si>
    <t>Mike Ferguson</t>
  </si>
  <si>
    <t>Celso Ribeiro</t>
  </si>
  <si>
    <t>+1 (203) 498-3100</t>
  </si>
  <si>
    <t>New Jersey Performing Arts Center</t>
  </si>
  <si>
    <t xml:space="preserve">One Center Street </t>
  </si>
  <si>
    <t>Andrew Watterson</t>
  </si>
  <si>
    <t>Brett Mitchell</t>
  </si>
  <si>
    <t>+1 (214) 754-1887</t>
  </si>
  <si>
    <t>New Orleans Downtown Marriott at the Convention Center</t>
  </si>
  <si>
    <t xml:space="preserve">859 Convention Center Blvd. </t>
  </si>
  <si>
    <t>Joseph Blanchek</t>
  </si>
  <si>
    <t>Alvin Pierre</t>
  </si>
  <si>
    <t>(504) 613-2888</t>
  </si>
  <si>
    <t>New York Athletic Club of the City of New York</t>
  </si>
  <si>
    <t>New York Athletic Club - City House</t>
  </si>
  <si>
    <t xml:space="preserve">180 Central Park South </t>
  </si>
  <si>
    <t>Roger Simon</t>
  </si>
  <si>
    <t>Christopher Wellenbrink</t>
  </si>
  <si>
    <t>+1 (212) 767-7032</t>
  </si>
  <si>
    <t>New York Athletic Club - Travers Island</t>
  </si>
  <si>
    <t xml:space="preserve">31 Shore Road </t>
  </si>
  <si>
    <t>Pelham Manor</t>
  </si>
  <si>
    <t>Joseph Nicaj</t>
  </si>
  <si>
    <t>Lara DeMatteo</t>
  </si>
  <si>
    <t>+1 (914) 738-2700</t>
  </si>
  <si>
    <t>New York City Sales and Marketing</t>
  </si>
  <si>
    <t>1010 Avenue of the Americas 2nd Floor</t>
  </si>
  <si>
    <t>Josef Montanez</t>
  </si>
  <si>
    <t>+1 (646) 368-6401</t>
  </si>
  <si>
    <t>New York LaGuardia Airport Marriott</t>
  </si>
  <si>
    <t xml:space="preserve">102-05 Ditmars Boulevard </t>
  </si>
  <si>
    <t>East Elmhurst</t>
  </si>
  <si>
    <t>Mark Ranieri</t>
  </si>
  <si>
    <t>Betzaida Insignares</t>
  </si>
  <si>
    <t>+(718)533-3000</t>
  </si>
  <si>
    <t>New York Marriott Downtown Hotel</t>
  </si>
  <si>
    <t xml:space="preserve">85 West Street </t>
  </si>
  <si>
    <t>David Sharkey</t>
  </si>
  <si>
    <t>Hugo A. Guerrero</t>
  </si>
  <si>
    <t>(212) 385-4900</t>
  </si>
  <si>
    <t>New York Marriott Marquis</t>
  </si>
  <si>
    <t xml:space="preserve">1535 Broadway </t>
  </si>
  <si>
    <t>Dan Nadeau</t>
  </si>
  <si>
    <t>James Smith</t>
  </si>
  <si>
    <t>(212) 398-1900</t>
  </si>
  <si>
    <t>Newark Liberty International Airport Marriott</t>
  </si>
  <si>
    <t>1 Hotel Road Newark Airport</t>
  </si>
  <si>
    <t>Amgad Gadelsayed</t>
  </si>
  <si>
    <t>John Magnifico</t>
  </si>
  <si>
    <t>(973) 623-0006</t>
  </si>
  <si>
    <t>Newport Beach Country Club</t>
  </si>
  <si>
    <t xml:space="preserve">One Clubhouse Drive </t>
  </si>
  <si>
    <t>John McCook</t>
  </si>
  <si>
    <t>Robin Shelton</t>
  </si>
  <si>
    <t>+1 (949) 644-9550</t>
  </si>
  <si>
    <t>Newport Beach Marriott Bayview</t>
  </si>
  <si>
    <t xml:space="preserve">500 Bayview Circle </t>
  </si>
  <si>
    <t>Ashley Wilson</t>
  </si>
  <si>
    <t>Charles Cho</t>
  </si>
  <si>
    <t>(949) 854-4500</t>
  </si>
  <si>
    <t>Newport Beachside Hotel &amp; Resort</t>
  </si>
  <si>
    <t xml:space="preserve">16701 Collins Avenue </t>
  </si>
  <si>
    <t>Isa Torres</t>
  </si>
  <si>
    <t>Oscar Fontana Roos</t>
  </si>
  <si>
    <t>+1 (305) 949-1300</t>
  </si>
  <si>
    <t>Newport Coast Villas</t>
  </si>
  <si>
    <t xml:space="preserve">23000 Newport Coast Drive </t>
  </si>
  <si>
    <t>NEWPORT COAST</t>
  </si>
  <si>
    <t>Jim Marks</t>
  </si>
  <si>
    <t>+1 (949) 464-6000</t>
  </si>
  <si>
    <t>Newport Coast Villas Sales and Marketing</t>
  </si>
  <si>
    <t>Newport Coast</t>
  </si>
  <si>
    <t>Karen Steuber</t>
  </si>
  <si>
    <t>+1 (949) 464-6375</t>
  </si>
  <si>
    <t>Newport Harbor Hotel &amp; Marina</t>
  </si>
  <si>
    <t xml:space="preserve">49 Americas Cup AVE </t>
  </si>
  <si>
    <t>Becky Leighton</t>
  </si>
  <si>
    <t>+ (401) 847-9000</t>
  </si>
  <si>
    <t xml:space="preserve">Newport Marriott </t>
  </si>
  <si>
    <t xml:space="preserve">25 America's Cup Avenue </t>
  </si>
  <si>
    <t>Walter Andrews</t>
  </si>
  <si>
    <t>(401) 849-1000</t>
  </si>
  <si>
    <t>Newport News Marriott at City Center</t>
  </si>
  <si>
    <t xml:space="preserve">740 Town Center Drive </t>
  </si>
  <si>
    <t>Mark Butcher</t>
  </si>
  <si>
    <t>+1 (757) 873-9299</t>
  </si>
  <si>
    <t>NextGenHotels LLC dba:Galleria Palms</t>
  </si>
  <si>
    <t xml:space="preserve">3000 Maingate Lane </t>
  </si>
  <si>
    <t>Reunion</t>
  </si>
  <si>
    <t>Randy Bohannan</t>
  </si>
  <si>
    <t>Gene Verett</t>
  </si>
  <si>
    <t>+ (407) 396-6300</t>
  </si>
  <si>
    <t>Niagara Riverside Resort</t>
  </si>
  <si>
    <t xml:space="preserve">7001 Buffalo Avenue </t>
  </si>
  <si>
    <t>Jim Kean</t>
  </si>
  <si>
    <t>Deb Sanford</t>
  </si>
  <si>
    <t>+1 (716) 622-4426</t>
  </si>
  <si>
    <t>Nicklaus Golf Club @ Lions Gate</t>
  </si>
  <si>
    <t xml:space="preserve">14225 Dearborn ST </t>
  </si>
  <si>
    <t>Jeff Schauer</t>
  </si>
  <si>
    <t>+ (913) 402-1000</t>
  </si>
  <si>
    <t>NGD Homesharing LLC</t>
  </si>
  <si>
    <t>Niido-Nashville</t>
  </si>
  <si>
    <t xml:space="preserve">501 5th Avenue South </t>
  </si>
  <si>
    <t>Alysha Vogler</t>
  </si>
  <si>
    <t>Ron Parker</t>
  </si>
  <si>
    <t>+1 (833) 539-5586</t>
  </si>
  <si>
    <t>Niido-Orlando</t>
  </si>
  <si>
    <t xml:space="preserve">3100 Domain Circle </t>
  </si>
  <si>
    <t>Jean Dossantos</t>
  </si>
  <si>
    <t>+1 (833) 397-3147</t>
  </si>
  <si>
    <t>Noelle A Tribute Portfolio Hotel Nashville</t>
  </si>
  <si>
    <t xml:space="preserve">200 Fourth Avenue North </t>
  </si>
  <si>
    <t>Ben Olin</t>
  </si>
  <si>
    <t>+1 (615) 649-5000</t>
  </si>
  <si>
    <t>NOPSI Hotel New Orleans</t>
  </si>
  <si>
    <t xml:space="preserve">317 Baronne Street </t>
  </si>
  <si>
    <t>Joseph Quilio</t>
  </si>
  <si>
    <t>Terry Penton</t>
  </si>
  <si>
    <t>+1 (844) 439-1463</t>
  </si>
  <si>
    <t>Norbeck Country Club</t>
  </si>
  <si>
    <t xml:space="preserve">17200 Cashell Road </t>
  </si>
  <si>
    <t>Patrick Ellis</t>
  </si>
  <si>
    <t>Corey Kuck</t>
  </si>
  <si>
    <t>+1 (301) 774-7700</t>
  </si>
  <si>
    <t>Norfolk Waterside Marriott</t>
  </si>
  <si>
    <t xml:space="preserve">235 East Main Street </t>
  </si>
  <si>
    <t>Jesse Hemphill</t>
  </si>
  <si>
    <t>John Maclure</t>
  </si>
  <si>
    <t>+1 (757) 627-4200</t>
  </si>
  <si>
    <t>North Beach Plantation</t>
  </si>
  <si>
    <t xml:space="preserve">719 North Beach Blvd </t>
  </si>
  <si>
    <t>Adam Townsend</t>
  </si>
  <si>
    <t>Bryan Renn</t>
  </si>
  <si>
    <t>+1 (843) 315-2520</t>
  </si>
  <si>
    <t>North Charleston Marriott</t>
  </si>
  <si>
    <t xml:space="preserve">4770 Goer Drive </t>
  </si>
  <si>
    <t>Victoria Facemire</t>
  </si>
  <si>
    <t>Patrick Rogers</t>
  </si>
  <si>
    <t>+1 (843) 747-1900</t>
  </si>
  <si>
    <t>North Hills Country Club</t>
  </si>
  <si>
    <t xml:space="preserve">99 Station Avenue </t>
  </si>
  <si>
    <t>Glenside</t>
  </si>
  <si>
    <t>Michael Reilly</t>
  </si>
  <si>
    <t>+ 1 (215) 887-8030</t>
  </si>
  <si>
    <t>North Little Rock Fairfield Inn</t>
  </si>
  <si>
    <t xml:space="preserve">4120 Health Care Drive </t>
  </si>
  <si>
    <t>Cristen Sullivan</t>
  </si>
  <si>
    <t>+ (501) 945-9777</t>
  </si>
  <si>
    <t>North Little Rock Residence Inn</t>
  </si>
  <si>
    <t xml:space="preserve">4110 Health Care Drive </t>
  </si>
  <si>
    <t>Crissa George</t>
  </si>
  <si>
    <t>Alaa Williams</t>
  </si>
  <si>
    <t>+ (501) 945-7777</t>
  </si>
  <si>
    <t>North Ridge Country Club</t>
  </si>
  <si>
    <t xml:space="preserve">6612 Falls Of Neuse Rd </t>
  </si>
  <si>
    <t>Jeff Earley</t>
  </si>
  <si>
    <t>Lee scarlett</t>
  </si>
  <si>
    <t>+1 (919) 846-9667</t>
  </si>
  <si>
    <t>Northshore Golf Course</t>
  </si>
  <si>
    <t xml:space="preserve">4101 North Shore Boulevard </t>
  </si>
  <si>
    <t>David Wetli</t>
  </si>
  <si>
    <t>+1 (800) 447-1375</t>
  </si>
  <si>
    <t>Novotel Mexico Santa Fe</t>
  </si>
  <si>
    <t>Antpnio Dovali Jaime 75 Col Centro de Ci Col Centro de Ciudad Santa Fe</t>
  </si>
  <si>
    <t>Susana Uribe</t>
  </si>
  <si>
    <t>+(+52)55 9177 7700</t>
  </si>
  <si>
    <t>Novotel Miami Brickell</t>
  </si>
  <si>
    <t xml:space="preserve">1500 Southwest 1st Avenue </t>
  </si>
  <si>
    <t>Claudia Di Gino</t>
  </si>
  <si>
    <t>+1 (786) 600-2600</t>
  </si>
  <si>
    <t>Novotel Monterrey Valle</t>
  </si>
  <si>
    <t>Guy Candusso</t>
  </si>
  <si>
    <t>+(+52)81 8133 8133</t>
  </si>
  <si>
    <t>Novotel Toronto North York</t>
  </si>
  <si>
    <t xml:space="preserve">3 Park Home Avenue </t>
  </si>
  <si>
    <t>North York</t>
  </si>
  <si>
    <t>M2N 6L3</t>
  </si>
  <si>
    <t>Michael Singer</t>
  </si>
  <si>
    <t>+1 (416) 733-2929</t>
  </si>
  <si>
    <t>Novotel Toronto Vaughan Hotel</t>
  </si>
  <si>
    <t xml:space="preserve">200 Bass Pro Mills Drive </t>
  </si>
  <si>
    <t>L4K 0B9</t>
  </si>
  <si>
    <t>+1 (905) 660-0212</t>
  </si>
  <si>
    <t>NYAH</t>
  </si>
  <si>
    <t xml:space="preserve">420 Margaret Street </t>
  </si>
  <si>
    <t>Michael Nicholas</t>
  </si>
  <si>
    <t>+1 (844) 399-6924</t>
  </si>
  <si>
    <t>NYLO Dallas Plano Hotel Tapestry Collection By Hilton</t>
  </si>
  <si>
    <t xml:space="preserve">8201 Preston Road </t>
  </si>
  <si>
    <t>Safiya Mukamana</t>
  </si>
  <si>
    <t>+1 (972) 624-6990</t>
  </si>
  <si>
    <t>NYLO Las Colinas Hotel Tapestry Collection By Hilton</t>
  </si>
  <si>
    <t xml:space="preserve">1001 West Royal Lane </t>
  </si>
  <si>
    <t>Joshua French</t>
  </si>
  <si>
    <t>Marcos Gonzalez</t>
  </si>
  <si>
    <t>+1 (972) 373-8900</t>
  </si>
  <si>
    <t>NYLO Providence Warwick Hotel Tapestry Collection By Hilton</t>
  </si>
  <si>
    <t xml:space="preserve">400 Knight Street </t>
  </si>
  <si>
    <t>Ashley Boukhari</t>
  </si>
  <si>
    <t>Sean Riccard</t>
  </si>
  <si>
    <t>+1 (401) 734-4460</t>
  </si>
  <si>
    <t>Oak Creek Golf Club</t>
  </si>
  <si>
    <t xml:space="preserve">One Golf Club Drive </t>
  </si>
  <si>
    <t>Veronica Segovia</t>
  </si>
  <si>
    <t>Duncan Simms</t>
  </si>
  <si>
    <t>+1 (949) 653-5300</t>
  </si>
  <si>
    <t xml:space="preserve">600 Bowieville Manor Lane </t>
  </si>
  <si>
    <t>Upper Marlboro</t>
  </si>
  <si>
    <t>+1 (301) 249-0809</t>
  </si>
  <si>
    <t>Oak Harbor Club</t>
  </si>
  <si>
    <t xml:space="preserve">4755 South Harbor Drive </t>
  </si>
  <si>
    <t>+ () 772-562-3808</t>
  </si>
  <si>
    <t>Oak Pointe Country Club</t>
  </si>
  <si>
    <t xml:space="preserve">4500 Club Drive </t>
  </si>
  <si>
    <t>Bill Durham</t>
  </si>
  <si>
    <t>Charles Fort</t>
  </si>
  <si>
    <t>+ (810) 229-4554</t>
  </si>
  <si>
    <t>Oak Tree Country Club</t>
  </si>
  <si>
    <t xml:space="preserve">700 Country Club Drive </t>
  </si>
  <si>
    <t>Edmond</t>
  </si>
  <si>
    <t>Kevin Williams</t>
  </si>
  <si>
    <t>Derrek Long</t>
  </si>
  <si>
    <t>+ (405) 340-1010</t>
  </si>
  <si>
    <t>Oakhurst Golf &amp; Country Club</t>
  </si>
  <si>
    <t xml:space="preserve">7000 Oakhurst Lane </t>
  </si>
  <si>
    <t>Clarkston</t>
  </si>
  <si>
    <t>Nick Trias</t>
  </si>
  <si>
    <t>Jeff Zimmerman</t>
  </si>
  <si>
    <t>+ (248) 391-3300</t>
  </si>
  <si>
    <t>Oakland Marriott City Center</t>
  </si>
  <si>
    <t>Kurtis Hanson</t>
  </si>
  <si>
    <t>Christopher O'Boyle</t>
  </si>
  <si>
    <t>+1 (510) 451-4000</t>
  </si>
  <si>
    <t>Oakland Marriott City Center - Conference Center</t>
  </si>
  <si>
    <t>Dasa Manka</t>
  </si>
  <si>
    <t>Oakmont Country Club</t>
  </si>
  <si>
    <t xml:space="preserve">1200 Clubhouse DR </t>
  </si>
  <si>
    <t>David Woods</t>
  </si>
  <si>
    <t>+ (940) 321-5599</t>
  </si>
  <si>
    <t>Ocean Club Community Association INC</t>
  </si>
  <si>
    <t>Ocean Club Key Biscayne</t>
  </si>
  <si>
    <t xml:space="preserve">795 Crandon Boulevard </t>
  </si>
  <si>
    <t>Key Biscayne</t>
  </si>
  <si>
    <t>Alp Ozsoy</t>
  </si>
  <si>
    <t>+(305)361-1101</t>
  </si>
  <si>
    <t>Ocean Creek Resort</t>
  </si>
  <si>
    <t xml:space="preserve">10600 North Kings Highway </t>
  </si>
  <si>
    <t>Tess Pariseau</t>
  </si>
  <si>
    <t>+1 (877) 844-3800</t>
  </si>
  <si>
    <t>Ocean Palms Sales and Marketing</t>
  </si>
  <si>
    <t xml:space="preserve">3200 North Ocean Drive </t>
  </si>
  <si>
    <t>Riviera Beach</t>
  </si>
  <si>
    <t>Brent Holden</t>
  </si>
  <si>
    <t>+1 (561) 227-3707</t>
  </si>
  <si>
    <t>Ocean Park Inn</t>
  </si>
  <si>
    <t xml:space="preserve">3900 State Highway </t>
  </si>
  <si>
    <t>+1 (508) 255-1132</t>
  </si>
  <si>
    <t xml:space="preserve">Ocean Reef Club </t>
  </si>
  <si>
    <t>35 Ocean Reef Dr Suite 200</t>
  </si>
  <si>
    <t>KEY LARGO</t>
  </si>
  <si>
    <t>Alex Tonarelli</t>
  </si>
  <si>
    <t>+ (305) 367-2611</t>
  </si>
  <si>
    <t>Ocean Reef Resort</t>
  </si>
  <si>
    <t xml:space="preserve">7100 North Ocean Boulevard </t>
  </si>
  <si>
    <t>Aladin Glaoui</t>
  </si>
  <si>
    <t>Heather Horner</t>
  </si>
  <si>
    <t>+1 (843) 449-4441</t>
  </si>
  <si>
    <t>AC Ocean Walk LLC</t>
  </si>
  <si>
    <t>Ocean Resort Casino</t>
  </si>
  <si>
    <t xml:space="preserve">500 Boardwalk </t>
  </si>
  <si>
    <t>Atlantic City</t>
  </si>
  <si>
    <t>Bob Rosenthal</t>
  </si>
  <si>
    <t>+1 (609) 783-8245</t>
  </si>
  <si>
    <t>Sand &amp; Sea Inc.</t>
  </si>
  <si>
    <t>Ocean View Hotel</t>
  </si>
  <si>
    <t xml:space="preserve">1447 Ocean Avenue </t>
  </si>
  <si>
    <t>Bryan Lara</t>
  </si>
  <si>
    <t>+1 (310) 458-4888</t>
  </si>
  <si>
    <t>Ocean Watch Villas Sales and Marketing</t>
  </si>
  <si>
    <t xml:space="preserve">8500 Costa Verde Drive </t>
  </si>
  <si>
    <t>Rajka Osim</t>
  </si>
  <si>
    <t>Joy Houser</t>
  </si>
  <si>
    <t>+1 (843) 692-5662</t>
  </si>
  <si>
    <t>Oceana Palms Resort</t>
  </si>
  <si>
    <t xml:space="preserve">3200 North Ocean Avenue </t>
  </si>
  <si>
    <t>Riveria Beach</t>
  </si>
  <si>
    <t>Heather Smith</t>
  </si>
  <si>
    <t>Yaroslava (Yari) Vasilk</t>
  </si>
  <si>
    <t>+1 (561) 227-3601</t>
  </si>
  <si>
    <t>Oceanwatch Villas at Grande Dunes</t>
  </si>
  <si>
    <t>rajka osim</t>
  </si>
  <si>
    <t>+1 (843) 692-5500</t>
  </si>
  <si>
    <t>Ohio University Inn &amp; Conference Center</t>
  </si>
  <si>
    <t xml:space="preserve">331 Richland Avenue </t>
  </si>
  <si>
    <t>+ 1 (740) 593-6661</t>
  </si>
  <si>
    <t>Old Ranch Country Club</t>
  </si>
  <si>
    <t xml:space="preserve">3901 Lampson Avenue </t>
  </si>
  <si>
    <t>Seal Beach</t>
  </si>
  <si>
    <t>Frank Herrera</t>
  </si>
  <si>
    <t>+1 (562) 596-4425</t>
  </si>
  <si>
    <t>Olde Atlanta Country Club</t>
  </si>
  <si>
    <t xml:space="preserve">5750 Olde Atlanta Parkway </t>
  </si>
  <si>
    <t>Kenny Weis</t>
  </si>
  <si>
    <t>+1 (770) 497-0097</t>
  </si>
  <si>
    <t>Olives Meze Grill</t>
  </si>
  <si>
    <t>Olshan Hotel Management</t>
  </si>
  <si>
    <t>5500 New Albany Road Suite 200</t>
  </si>
  <si>
    <t>Caroline Willard</t>
  </si>
  <si>
    <t>Mia Haberfeld</t>
  </si>
  <si>
    <t>+1 (614) 289-5800</t>
  </si>
  <si>
    <t>Omaha Marriott</t>
  </si>
  <si>
    <t xml:space="preserve">10220 Regency Circle </t>
  </si>
  <si>
    <t>Bill Holper</t>
  </si>
  <si>
    <t>+ (402) 399-9000</t>
  </si>
  <si>
    <t>Omaha Marriott Capital District</t>
  </si>
  <si>
    <t xml:space="preserve">222 North 10th Street </t>
  </si>
  <si>
    <t>Carlo Vermeeren</t>
  </si>
  <si>
    <t>+1 (402) 807-8000</t>
  </si>
  <si>
    <t>Events at One King West LTD</t>
  </si>
  <si>
    <t>One King West Hotel &amp; Residence</t>
  </si>
  <si>
    <t xml:space="preserve">1 King Street West </t>
  </si>
  <si>
    <t>M5H 1A1</t>
  </si>
  <si>
    <t>Steve O'Brien</t>
  </si>
  <si>
    <t>+1 (416) 548-8100</t>
  </si>
  <si>
    <t>One Ocean Resort</t>
  </si>
  <si>
    <t xml:space="preserve">One Ocean Blvd </t>
  </si>
  <si>
    <t xml:space="preserve">David Mariotti </t>
  </si>
  <si>
    <t>+1 (904) 249-7402</t>
  </si>
  <si>
    <t>One Washington Circle Hotel</t>
  </si>
  <si>
    <t xml:space="preserve">One Washington Circle NW </t>
  </si>
  <si>
    <t>Marco R.</t>
  </si>
  <si>
    <t>+1 (202) 872-1680</t>
  </si>
  <si>
    <t>Onion Creek Country Club</t>
  </si>
  <si>
    <t xml:space="preserve">2510 Onion Creek Parkway </t>
  </si>
  <si>
    <t>Chris Bowen</t>
  </si>
  <si>
    <t>+1 (512) 282-2162</t>
  </si>
  <si>
    <t>Free Sacred Trinity Church Inc.</t>
  </si>
  <si>
    <t>Optimum Health Institute - San Diego</t>
  </si>
  <si>
    <t xml:space="preserve">6970 Central Avenue </t>
  </si>
  <si>
    <t>Lemon Grove</t>
  </si>
  <si>
    <t>Guillermo Romero</t>
  </si>
  <si>
    <t>Krista Rocha</t>
  </si>
  <si>
    <t>+1 (619) 589-4757</t>
  </si>
  <si>
    <t>Optimum Health Institute of Austin</t>
  </si>
  <si>
    <t xml:space="preserve">265 Cedar Lane </t>
  </si>
  <si>
    <t>Cedar Creek</t>
  </si>
  <si>
    <t>Cheryl Green</t>
  </si>
  <si>
    <t>Marianne Arriaga</t>
  </si>
  <si>
    <t>Orchard International Group Inc.</t>
  </si>
  <si>
    <t>Orchard Hotel</t>
  </si>
  <si>
    <t xml:space="preserve">665 Bush Street </t>
  </si>
  <si>
    <t>Klaus Atzmueller</t>
  </si>
  <si>
    <t>Susanna Tran</t>
  </si>
  <si>
    <t>+1 (415) 362-8878</t>
  </si>
  <si>
    <t>Origin Hotel Raleigh</t>
  </si>
  <si>
    <t xml:space="preserve">603 Morgan Street </t>
  </si>
  <si>
    <t>Todd Buchko</t>
  </si>
  <si>
    <t>+1 (843) 478-7623</t>
  </si>
  <si>
    <t>Origin Lexington</t>
  </si>
  <si>
    <t xml:space="preserve">4174 Rowan </t>
  </si>
  <si>
    <t>Michael Russell</t>
  </si>
  <si>
    <t>+1 (859) 245-0400</t>
  </si>
  <si>
    <t>Origin Red Rocks</t>
  </si>
  <si>
    <t xml:space="preserve">18485 West Colfax Avenue </t>
  </si>
  <si>
    <t>Meredith Whitehouse</t>
  </si>
  <si>
    <t>Teryn Flood</t>
  </si>
  <si>
    <t>+1 (303) 215-0100</t>
  </si>
  <si>
    <t>Orlando Call Center Sales and Marketing</t>
  </si>
  <si>
    <t xml:space="preserve">8403 South Park Circle Suite 600 </t>
  </si>
  <si>
    <t>Alicia Jenkins</t>
  </si>
  <si>
    <t>+1 (407) 903-6113</t>
  </si>
  <si>
    <t>Oro Valley Country Club</t>
  </si>
  <si>
    <t xml:space="preserve">300 West Greenock Drive </t>
  </si>
  <si>
    <t>+1 (520) 297-1121</t>
  </si>
  <si>
    <t>Oronoque Country Club</t>
  </si>
  <si>
    <t xml:space="preserve">385 Oronoque Ln </t>
  </si>
  <si>
    <t>Tommy Miller</t>
  </si>
  <si>
    <t>+1 (203) 375-4293</t>
  </si>
  <si>
    <t>OTG Management Inc.</t>
  </si>
  <si>
    <t>OTG Management Headquarters</t>
  </si>
  <si>
    <t>352 Park Avenue South 10th Floor</t>
  </si>
  <si>
    <t>+1 (000) 000-0000</t>
  </si>
  <si>
    <t>Ottawa Marriott Hotel</t>
  </si>
  <si>
    <t xml:space="preserve">100 Kent Street </t>
  </si>
  <si>
    <t>K1P 5R7</t>
  </si>
  <si>
    <t>Stephane Pelletier</t>
  </si>
  <si>
    <t>+1 (613) 238-1122</t>
  </si>
  <si>
    <t>Outrigger Corporate Services</t>
  </si>
  <si>
    <t xml:space="preserve">2375 Kuhio Avenue </t>
  </si>
  <si>
    <t>+1(808)921-6600</t>
  </si>
  <si>
    <t>Outrigger Kona Resort &amp; Spa</t>
  </si>
  <si>
    <t xml:space="preserve">78-128 Ehukai Street </t>
  </si>
  <si>
    <t>KAILUA KONA</t>
  </si>
  <si>
    <t>Steve Solberg</t>
  </si>
  <si>
    <t>+1 (808) 930-4900</t>
  </si>
  <si>
    <t>Outrigger Reef Waikiki Beach Resort</t>
  </si>
  <si>
    <t xml:space="preserve">2169 Kalia Road </t>
  </si>
  <si>
    <t>+1 (808) 923-3111</t>
  </si>
  <si>
    <t>Outrigger Waikiki Beach Resort</t>
  </si>
  <si>
    <t xml:space="preserve">2335 Kalakaua Avenue </t>
  </si>
  <si>
    <t>Revell Newton</t>
  </si>
  <si>
    <t>+1 (808) 923-0711</t>
  </si>
  <si>
    <t>Ovation Autograph Hotel</t>
  </si>
  <si>
    <t xml:space="preserve">1255 North Palm Avenue </t>
  </si>
  <si>
    <t>Greg Tinsley</t>
  </si>
  <si>
    <t>Nicholas Perdue</t>
  </si>
  <si>
    <t>+1 (941) 316-0808</t>
  </si>
  <si>
    <t>Overton Hotel and Conference Center</t>
  </si>
  <si>
    <t xml:space="preserve">2322 Mac Davis Lane </t>
  </si>
  <si>
    <t>Kurt Metcalf</t>
  </si>
  <si>
    <t>John Heagy</t>
  </si>
  <si>
    <t>+1 (806) 776-7000</t>
  </si>
  <si>
    <t>Oxford Hotel</t>
  </si>
  <si>
    <t xml:space="preserve">1600 17th St </t>
  </si>
  <si>
    <t>Ed Blair</t>
  </si>
  <si>
    <t>Caitlin Cassidy</t>
  </si>
  <si>
    <t>+1 (303) 628-5400</t>
  </si>
  <si>
    <t>Oxmoor Valley</t>
  </si>
  <si>
    <t xml:space="preserve">100 Sunbelt Parkway </t>
  </si>
  <si>
    <t>+1 (205) 942-1177</t>
  </si>
  <si>
    <t xml:space="preserve">Pacific Hospitality Group Ventures Inc. - HQ </t>
  </si>
  <si>
    <t xml:space="preserve">2532 Dupont Drive </t>
  </si>
  <si>
    <t>Brett Arnold</t>
  </si>
  <si>
    <t>Shannon Cook</t>
  </si>
  <si>
    <t>+1 (949) 474-7368 x213</t>
  </si>
  <si>
    <t>Majestic Industry Hills LLC</t>
  </si>
  <si>
    <t>Pacific Palms Resort</t>
  </si>
  <si>
    <t xml:space="preserve">1 Industry Hills Parkway </t>
  </si>
  <si>
    <t>City of Industry</t>
  </si>
  <si>
    <t>Hee-Won Lim</t>
  </si>
  <si>
    <t>Kyle Tabak</t>
  </si>
  <si>
    <t>+1 (626) 810-4653</t>
  </si>
  <si>
    <t>Pacific View Inn</t>
  </si>
  <si>
    <t xml:space="preserve">610 Emerald Street </t>
  </si>
  <si>
    <t>Neil White</t>
  </si>
  <si>
    <t>+()858-483-6117</t>
  </si>
  <si>
    <t>Painted Desert Golf Club</t>
  </si>
  <si>
    <t xml:space="preserve">5555 Painted Mirage Road </t>
  </si>
  <si>
    <t>Greg Minshall</t>
  </si>
  <si>
    <t>+1 (702) 645-2570</t>
  </si>
  <si>
    <t>Palace Hotel San Francisco</t>
  </si>
  <si>
    <t xml:space="preserve">2 New Montgomery Street </t>
  </si>
  <si>
    <t>Clif Clark</t>
  </si>
  <si>
    <t>Kevin Boland</t>
  </si>
  <si>
    <t>+(415) 512-1111</t>
  </si>
  <si>
    <t>Palace Resort</t>
  </si>
  <si>
    <t>1605 South Ocean Blvd P.O. Box 487</t>
  </si>
  <si>
    <t>Ebony Washington</t>
  </si>
  <si>
    <t>Barbara Witte</t>
  </si>
  <si>
    <t>+ (800) 305-1270</t>
  </si>
  <si>
    <t>Palisades Tahoe</t>
  </si>
  <si>
    <t xml:space="preserve">1990 Squaw Valley Road </t>
  </si>
  <si>
    <t>Alpine Meadows</t>
  </si>
  <si>
    <t>JC Goldrup</t>
  </si>
  <si>
    <t>Kelly Rodriguez</t>
  </si>
  <si>
    <t>+1 (530) 452-4331</t>
  </si>
  <si>
    <t>Palm Beach Marriott Singer Island Beach Resort &amp; Spa</t>
  </si>
  <si>
    <t xml:space="preserve">3800 N Ocean Drive </t>
  </si>
  <si>
    <t>SINGER ISLAND</t>
  </si>
  <si>
    <t>Jon Peels</t>
  </si>
  <si>
    <t>Roger Amidon</t>
  </si>
  <si>
    <t>+1 (561) 340-1700</t>
  </si>
  <si>
    <t>Palms Oceanfront Hotel</t>
  </si>
  <si>
    <t xml:space="preserve">1126 Ocean Boulevard </t>
  </si>
  <si>
    <t>ISLE OF PALMS</t>
  </si>
  <si>
    <t>Kevin Price</t>
  </si>
  <si>
    <t>+1 (843) 886-3003</t>
  </si>
  <si>
    <t>Palms Resort</t>
  </si>
  <si>
    <t>2500 North Ocean Blvd PO Box 3937</t>
  </si>
  <si>
    <t>Dee Welker</t>
  </si>
  <si>
    <t>+1 (843) 626-8334</t>
  </si>
  <si>
    <t>Palmyra Inn &amp; Suites</t>
  </si>
  <si>
    <t xml:space="preserve">955 Canandaigua Road </t>
  </si>
  <si>
    <t>Palmyra</t>
  </si>
  <si>
    <t>Eboney Johnson</t>
  </si>
  <si>
    <t>+1 (315) 597-8888</t>
  </si>
  <si>
    <t>Pan Pacific Hotel Seattle</t>
  </si>
  <si>
    <t xml:space="preserve">2125 Terry Avenue </t>
  </si>
  <si>
    <t>Pan Pacific Hotels</t>
  </si>
  <si>
    <t>Rob Brandenberg</t>
  </si>
  <si>
    <t>Alex Yee</t>
  </si>
  <si>
    <t>+1 (206) 264-8111</t>
  </si>
  <si>
    <t>Panama Hotel</t>
  </si>
  <si>
    <t>Calle 52 y Ricardo Arias Area Bancaria</t>
  </si>
  <si>
    <t>Idu Ribeiro</t>
  </si>
  <si>
    <t>+011 (507) 2109100</t>
  </si>
  <si>
    <t>Paradise Point Resort &amp; Spa</t>
  </si>
  <si>
    <t xml:space="preserve">1404 Vacation Road </t>
  </si>
  <si>
    <t>Jim Gross</t>
  </si>
  <si>
    <t>Kevin Goodchild</t>
  </si>
  <si>
    <t>+1 (858) 274-4630</t>
  </si>
  <si>
    <t>Paradise Resort</t>
  </si>
  <si>
    <t xml:space="preserve">2201 South Ocean Boulevard </t>
  </si>
  <si>
    <t>Alison Jacobs</t>
  </si>
  <si>
    <t>Megan Bonilla</t>
  </si>
  <si>
    <t>+1 (843) 916-9500</t>
  </si>
  <si>
    <t>Park Hyatt Aviara Resort</t>
  </si>
  <si>
    <t xml:space="preserve">7100 Aviara Resort Drive </t>
  </si>
  <si>
    <t>Park Hyatt</t>
  </si>
  <si>
    <t>Geoffrey Gray</t>
  </si>
  <si>
    <t>Cade Zimmerman</t>
  </si>
  <si>
    <t>+ (760) 603-6800</t>
  </si>
  <si>
    <t>Park Hyatt Beaver Creek</t>
  </si>
  <si>
    <t>50 West Thomas Pl PO Box 1595</t>
  </si>
  <si>
    <t>81620-1595</t>
  </si>
  <si>
    <t>Herb Rackliff</t>
  </si>
  <si>
    <t>Amrut Misra</t>
  </si>
  <si>
    <t>+1 (970) 949-1234</t>
  </si>
  <si>
    <t>Park Hyatt Chicago</t>
  </si>
  <si>
    <t xml:space="preserve">800 N MICHIGAN AVE </t>
  </si>
  <si>
    <t>Colleen Kareti</t>
  </si>
  <si>
    <t>Jorge Arias</t>
  </si>
  <si>
    <t>+ (312) 335-1234</t>
  </si>
  <si>
    <t>Park Hyatt New York</t>
  </si>
  <si>
    <t xml:space="preserve">153 W 57TH ST </t>
  </si>
  <si>
    <t>Alpan Keskin</t>
  </si>
  <si>
    <t>Peter Roth</t>
  </si>
  <si>
    <t>+1 (646) 213-6754</t>
  </si>
  <si>
    <t>Park Hyatt St. Kitts Christophe Harbour</t>
  </si>
  <si>
    <t xml:space="preserve">One Banana Bay </t>
  </si>
  <si>
    <t>South East Penninsula</t>
  </si>
  <si>
    <t>Marc Schneider</t>
  </si>
  <si>
    <t>+1 (869) 468-1234</t>
  </si>
  <si>
    <t>Park Hyatt Toronto</t>
  </si>
  <si>
    <t xml:space="preserve">4 Avenue Road </t>
  </si>
  <si>
    <t>M5R 2E8</t>
  </si>
  <si>
    <t>Bonnie Strome</t>
  </si>
  <si>
    <t>+ (416) 925-1234</t>
  </si>
  <si>
    <t>Park Hyatt Washington</t>
  </si>
  <si>
    <t xml:space="preserve">1201 24th Street NW </t>
  </si>
  <si>
    <t>Terry Dunbar</t>
  </si>
  <si>
    <t>+ (202) 789-1234</t>
  </si>
  <si>
    <t>Park South Hotel</t>
  </si>
  <si>
    <t xml:space="preserve">124 East 28th Street </t>
  </si>
  <si>
    <t>John Loizos</t>
  </si>
  <si>
    <t>Carol Elliott</t>
  </si>
  <si>
    <t>+1(212) 448-0888</t>
  </si>
  <si>
    <t>Park Vue Inn</t>
  </si>
  <si>
    <t xml:space="preserve">1570 South Harbor Boulevard </t>
  </si>
  <si>
    <t>Brian DeRose</t>
  </si>
  <si>
    <t>+1 (714) 772-3691</t>
  </si>
  <si>
    <t>Parkside Main 8 Theater</t>
  </si>
  <si>
    <t xml:space="preserve">1050 Parkside Main Street </t>
  </si>
  <si>
    <t>Reynolds Plantation</t>
  </si>
  <si>
    <t>Chris Nutting</t>
  </si>
  <si>
    <t>+1 (706) 999-9990</t>
  </si>
  <si>
    <t>Parque Interlomas</t>
  </si>
  <si>
    <t xml:space="preserve">Avenida Jesus del Monte 41 A-F Jesus del Monte </t>
  </si>
  <si>
    <t>PC Hotel Management LTD</t>
  </si>
  <si>
    <t>Parrot Cay Resort</t>
  </si>
  <si>
    <t>P.O.Box 164 Providenciales</t>
  </si>
  <si>
    <t>Turks &amp; Caicos Islands</t>
  </si>
  <si>
    <t>Hynetta Forbes</t>
  </si>
  <si>
    <t>Jessica Missick</t>
  </si>
  <si>
    <t>+1(649)946-7788</t>
  </si>
  <si>
    <t>Parrot Key Hotel &amp; Villas</t>
  </si>
  <si>
    <t xml:space="preserve">2801 North Roosevelt Boulevard </t>
  </si>
  <si>
    <t>Steven Mungall</t>
  </si>
  <si>
    <t>Tracy Mayle</t>
  </si>
  <si>
    <t>+1 (305) 600-0097</t>
  </si>
  <si>
    <t>Pasea Hotel &amp; Spa</t>
  </si>
  <si>
    <t xml:space="preserve">21080 Pacific Coast Highway </t>
  </si>
  <si>
    <t>Beach Center</t>
  </si>
  <si>
    <t>Cecille-Lou Jones</t>
  </si>
  <si>
    <t>Paul Maddison</t>
  </si>
  <si>
    <t>+1 (855) 636-6371</t>
  </si>
  <si>
    <t>PB Surf Beachside Inn</t>
  </si>
  <si>
    <t xml:space="preserve">4760 Mission Boulevard </t>
  </si>
  <si>
    <t>Jim Silver</t>
  </si>
  <si>
    <t>+ (858) 483-6780</t>
  </si>
  <si>
    <t>PBK Burgers</t>
  </si>
  <si>
    <t>JESUS DEL MONTE # 41 COL HACIENDA DE LAS PALMAS EDOMEX</t>
  </si>
  <si>
    <t>+1()5572582345</t>
  </si>
  <si>
    <t>Peachtree City Tennis Club</t>
  </si>
  <si>
    <t xml:space="preserve">10 Planterra Way </t>
  </si>
  <si>
    <t xml:space="preserve">Jonathan Fralick </t>
  </si>
  <si>
    <t>+1(770) 486-9474</t>
  </si>
  <si>
    <t>Pebble Beach Company</t>
  </si>
  <si>
    <t xml:space="preserve">1700 17 Mile Drive </t>
  </si>
  <si>
    <t>Pebble Beach</t>
  </si>
  <si>
    <t>Yvonne Hall</t>
  </si>
  <si>
    <t>Marcus Jackson</t>
  </si>
  <si>
    <t>+1 (831) 648-7803</t>
  </si>
  <si>
    <t>Pecan Grove Plantation Country Club</t>
  </si>
  <si>
    <t xml:space="preserve">3000 Plantation Dr </t>
  </si>
  <si>
    <t>Dave Esch</t>
  </si>
  <si>
    <t>Richard Rowell</t>
  </si>
  <si>
    <t>+ (281) 342-9940</t>
  </si>
  <si>
    <t>PECO Energy Company Beneficial Association</t>
  </si>
  <si>
    <t>PECO Energy Company Beneficial Association (McCall Golf &amp; Country Club)</t>
  </si>
  <si>
    <t xml:space="preserve">201 North Lynn Blvd. </t>
  </si>
  <si>
    <t>Upper Darby</t>
  </si>
  <si>
    <t>Bill Sheilds</t>
  </si>
  <si>
    <t>Kevin Dwyer</t>
  </si>
  <si>
    <t>+ (610) 734-7900</t>
  </si>
  <si>
    <t>Pecometh United Methodist Camp and Retreat Ministries Inc.</t>
  </si>
  <si>
    <t>Pecometh Camp and Retreat Ministries</t>
  </si>
  <si>
    <t xml:space="preserve">136 Bookers Wharf Road </t>
  </si>
  <si>
    <t>Buddy Landing</t>
  </si>
  <si>
    <t>Jack Shitama</t>
  </si>
  <si>
    <t>+1 (410) 556-6900</t>
  </si>
  <si>
    <t>Pendry Chicago</t>
  </si>
  <si>
    <t>Jeremy Bratton</t>
  </si>
  <si>
    <t>Stephen Blackford</t>
  </si>
  <si>
    <t>+1 (312) 345-1000</t>
  </si>
  <si>
    <t>Pendry Natirar</t>
  </si>
  <si>
    <t xml:space="preserve">2 Main Street </t>
  </si>
  <si>
    <t>Daniela DeGrazia</t>
  </si>
  <si>
    <t>Gloria Amos</t>
  </si>
  <si>
    <t>+1(908)901-9500</t>
  </si>
  <si>
    <t>Pendry West Hollywood</t>
  </si>
  <si>
    <t>Tony Diaz</t>
  </si>
  <si>
    <t>Peninsula of America Inc</t>
  </si>
  <si>
    <t>Peninsula Beverly Hills</t>
  </si>
  <si>
    <t xml:space="preserve">9882 S. Santa Monica </t>
  </si>
  <si>
    <t>Peninsula Hotels</t>
  </si>
  <si>
    <t>Offer Nissenbaum</t>
  </si>
  <si>
    <t>Brad Miller</t>
  </si>
  <si>
    <t>+ (310) 788-2300</t>
  </si>
  <si>
    <t>Peninsula Chicago Hotel</t>
  </si>
  <si>
    <t xml:space="preserve">108 E. Superior Street </t>
  </si>
  <si>
    <t>Maria Zec</t>
  </si>
  <si>
    <t>Bettina Nash</t>
  </si>
  <si>
    <t xml:space="preserve">+1 (312) 337-2888 </t>
  </si>
  <si>
    <t>Peninsula New York</t>
  </si>
  <si>
    <t xml:space="preserve">700 Fifth Avenue </t>
  </si>
  <si>
    <t>AnaLissa Sison</t>
  </si>
  <si>
    <t>David Joo</t>
  </si>
  <si>
    <t>+1 (212) 956-2888</t>
  </si>
  <si>
    <t>Peoria Marriott Pere Marquette</t>
  </si>
  <si>
    <t xml:space="preserve">501 Main Street </t>
  </si>
  <si>
    <t>Peregrine Hotel Omaha Downtown Curio</t>
  </si>
  <si>
    <t xml:space="preserve">203 South 18th Street </t>
  </si>
  <si>
    <t>+1 (402) 509-7901</t>
  </si>
  <si>
    <t>Perry's Ocean Edge Resort</t>
  </si>
  <si>
    <t xml:space="preserve">2209 South Atlantic Avenue </t>
  </si>
  <si>
    <t xml:space="preserve">Jeff Vandiver </t>
  </si>
  <si>
    <t>+ (386) 255-0581</t>
  </si>
  <si>
    <t>Pestana Miami LLC</t>
  </si>
  <si>
    <t>Pestana Miami South Beach</t>
  </si>
  <si>
    <t xml:space="preserve">1817 James Avenue </t>
  </si>
  <si>
    <t>+1 (305) 341-2401</t>
  </si>
  <si>
    <t>Peter Island Resort &amp; Spa</t>
  </si>
  <si>
    <t xml:space="preserve">P.O.Box 211 Road Town Tortola vg 1110 </t>
  </si>
  <si>
    <t>Tortola</t>
  </si>
  <si>
    <t>VGB</t>
  </si>
  <si>
    <t>VG1110</t>
  </si>
  <si>
    <t>Scott Hart</t>
  </si>
  <si>
    <t>+1 (284) 495-2000</t>
  </si>
  <si>
    <t>PGA National Resort &amp; Spa</t>
  </si>
  <si>
    <t xml:space="preserve">400 Avenue Of Champions </t>
  </si>
  <si>
    <t>Patrick Brophy</t>
  </si>
  <si>
    <t>Anneris Martinez</t>
  </si>
  <si>
    <t>+1 (800) 633-9150</t>
  </si>
  <si>
    <t>Philadelphia Airport Embassy Suites</t>
  </si>
  <si>
    <t xml:space="preserve">9000 Bartram Avenue </t>
  </si>
  <si>
    <t>Billy Gunn</t>
  </si>
  <si>
    <t>+ () 215-365-4500</t>
  </si>
  <si>
    <t>The Philadelphia Cricket Club</t>
  </si>
  <si>
    <t>Philadelphia Cricket Club</t>
  </si>
  <si>
    <t xml:space="preserve">415 W Willow Grove Ave </t>
  </si>
  <si>
    <t>Jake D’Agostino</t>
  </si>
  <si>
    <t>Mark Litrenta</t>
  </si>
  <si>
    <t>+ (215) 247-1260</t>
  </si>
  <si>
    <t>Philadelphia Cricket Club @ Flourtown</t>
  </si>
  <si>
    <t xml:space="preserve">6075 W VALLEY GREEN RD </t>
  </si>
  <si>
    <t>Flourtown</t>
  </si>
  <si>
    <t>Cozzi Linda</t>
  </si>
  <si>
    <t>+ (215) 233-1110</t>
  </si>
  <si>
    <t>Phoenix Park Hotel</t>
  </si>
  <si>
    <t xml:space="preserve">520 N Capitol Street NW </t>
  </si>
  <si>
    <t>David Hill</t>
  </si>
  <si>
    <t>Derrick Strickland</t>
  </si>
  <si>
    <t>+ (202) 638-6900</t>
  </si>
  <si>
    <t>Picnic Palace (Spider Sabich Race Arena)</t>
  </si>
  <si>
    <t>David Gray</t>
  </si>
  <si>
    <t>B.L. Resorts Inc.</t>
  </si>
  <si>
    <t>Pictou Lodge Beach Resort</t>
  </si>
  <si>
    <t xml:space="preserve">172 Lodge Road </t>
  </si>
  <si>
    <t>Pictou</t>
  </si>
  <si>
    <t>B0K 1H0</t>
  </si>
  <si>
    <t>Wes Surrett</t>
  </si>
  <si>
    <t>Dorothy Johnston</t>
  </si>
  <si>
    <t>+1 (902) 485-4761</t>
  </si>
  <si>
    <t>Piedmont Golfers Club</t>
  </si>
  <si>
    <t xml:space="preserve">14675 Piedmont Vista Drive </t>
  </si>
  <si>
    <t>Mark Wesolek</t>
  </si>
  <si>
    <t>+ (703) 753-5922</t>
  </si>
  <si>
    <t>Pier 66 Hotel &amp; Pelican Landing</t>
  </si>
  <si>
    <t xml:space="preserve">2301 Southeast 17th Street </t>
  </si>
  <si>
    <t>Ft. Lauderdale</t>
  </si>
  <si>
    <t>+1 (954) 728-3526</t>
  </si>
  <si>
    <t>Pier House Resort and Caribbean Spa</t>
  </si>
  <si>
    <t xml:space="preserve">One Duval St </t>
  </si>
  <si>
    <t xml:space="preserve">Joe Dantoni </t>
  </si>
  <si>
    <t>Yvonne Jan</t>
  </si>
  <si>
    <t>+ (305) 296-4600</t>
  </si>
  <si>
    <t>Pier V Hotel</t>
  </si>
  <si>
    <t xml:space="preserve">711 Eastern Avenue </t>
  </si>
  <si>
    <t>Owen Frink</t>
  </si>
  <si>
    <t>Ted Jabara III</t>
  </si>
  <si>
    <t>+1 (410) 539-2000</t>
  </si>
  <si>
    <t>Golf Concepts Inc.</t>
  </si>
  <si>
    <t>Pine Trace Golf Club</t>
  </si>
  <si>
    <t xml:space="preserve">3600 Pine Trace Boulevard </t>
  </si>
  <si>
    <t>Jim Smith</t>
  </si>
  <si>
    <t>Kristy Reinhold</t>
  </si>
  <si>
    <t>+1 (248) 852-7100</t>
  </si>
  <si>
    <t>Pinehurst Resort &amp; Country Club</t>
  </si>
  <si>
    <t xml:space="preserve">80 Carolina Vista Drive </t>
  </si>
  <si>
    <t>Dawn Downs</t>
  </si>
  <si>
    <t>Calvin Burkley</t>
  </si>
  <si>
    <t>+ (800) 487-4653</t>
  </si>
  <si>
    <t>Boykin Hospitality</t>
  </si>
  <si>
    <t>Pink Shell Beach Resort &amp; Spa</t>
  </si>
  <si>
    <t xml:space="preserve">275 Estero Boulevard </t>
  </si>
  <si>
    <t>Fort Myers Beach</t>
  </si>
  <si>
    <t>Bill Waichulis</t>
  </si>
  <si>
    <t>Bonni Delizia</t>
  </si>
  <si>
    <t>+1 (239) 463-6181</t>
  </si>
  <si>
    <t>Pinnacle Country Club</t>
  </si>
  <si>
    <t xml:space="preserve">3 Clubhouse Dr </t>
  </si>
  <si>
    <t>Mike Hudson</t>
  </si>
  <si>
    <t>Debra Carson</t>
  </si>
  <si>
    <t>+ (479) ) 273-0500</t>
  </si>
  <si>
    <t>Pinwheels Bar &amp; Cafe</t>
  </si>
  <si>
    <t>Pittsburgh Marriott North</t>
  </si>
  <si>
    <t xml:space="preserve">100 Cranberry Woods Drive </t>
  </si>
  <si>
    <t>+1 (724) 772-3700</t>
  </si>
  <si>
    <t>Plantation Golf Club</t>
  </si>
  <si>
    <t xml:space="preserve">4701 Plantation Lane </t>
  </si>
  <si>
    <t>Sean Swanberg</t>
  </si>
  <si>
    <t>+1 (972) 335-4653</t>
  </si>
  <si>
    <t>Planterra Ridge Golf Club</t>
  </si>
  <si>
    <t xml:space="preserve">500 Clubhouse Drive </t>
  </si>
  <si>
    <t>David Kim</t>
  </si>
  <si>
    <t>+1 (770) 487-8141</t>
  </si>
  <si>
    <t>Playa Largo Resort &amp; Spa</t>
  </si>
  <si>
    <t xml:space="preserve">97450 Overseas Highway </t>
  </si>
  <si>
    <t>Kristine Cox</t>
  </si>
  <si>
    <t>+1 (305) 853-1001</t>
  </si>
  <si>
    <t>Plaza Club San Antonio</t>
  </si>
  <si>
    <t>100 W. Houston Frost Bank Tower 21st Flr Fl 21</t>
  </si>
  <si>
    <t>Ken Younghans</t>
  </si>
  <si>
    <t>+ (210) 227-4191</t>
  </si>
  <si>
    <t>Plaza Hotel Little Rock</t>
  </si>
  <si>
    <t xml:space="preserve">201 South Shackleford Road </t>
  </si>
  <si>
    <t xml:space="preserve">Rhonda Cooksey </t>
  </si>
  <si>
    <t>+1 (501) 223-3000</t>
  </si>
  <si>
    <t>Plaza Victoria</t>
  </si>
  <si>
    <t>Avenida Jesus del Monte 39 39-A Colonia: Jesus del Monte</t>
  </si>
  <si>
    <t>CONTRACT SERVICES: Malls</t>
  </si>
  <si>
    <t>+1(55) 41-61-03-18</t>
  </si>
  <si>
    <t>Pleasant View Inn</t>
  </si>
  <si>
    <t xml:space="preserve">65 Atlantic Avenue </t>
  </si>
  <si>
    <t>WESTERLY</t>
  </si>
  <si>
    <t>Joseph Taunton</t>
  </si>
  <si>
    <t>Robb Moskowitz</t>
  </si>
  <si>
    <t>+1 (401)348-8200</t>
  </si>
  <si>
    <t>Pleasanton Marriott</t>
  </si>
  <si>
    <t xml:space="preserve">11950 Dublin Canyon Rd </t>
  </si>
  <si>
    <t>Dianna Teves</t>
  </si>
  <si>
    <t>+ (925) 847-6000</t>
  </si>
  <si>
    <t>Plunge Beach Hotel</t>
  </si>
  <si>
    <t xml:space="preserve">4660 El Mar Drive </t>
  </si>
  <si>
    <t>Lauderdale by the Sea</t>
  </si>
  <si>
    <t>Tom Mulroy</t>
  </si>
  <si>
    <t>Fernando Agras</t>
  </si>
  <si>
    <t>+1 (754) 200-3346</t>
  </si>
  <si>
    <t>Pod 39 Operating LLC</t>
  </si>
  <si>
    <t>POD Brooklyn Hotel</t>
  </si>
  <si>
    <t xml:space="preserve">247 Metropolitan Ave </t>
  </si>
  <si>
    <t>Effie Tsavalias</t>
  </si>
  <si>
    <t>+1 (844) 763-7666</t>
  </si>
  <si>
    <t>Pod Times Square Hotel</t>
  </si>
  <si>
    <t xml:space="preserve">400 W 42nd Street </t>
  </si>
  <si>
    <t>Alain Derderian</t>
  </si>
  <si>
    <t>John Maldari</t>
  </si>
  <si>
    <t>+1 (646) 973-4850</t>
  </si>
  <si>
    <t>Polo Golf and Country Club</t>
  </si>
  <si>
    <t xml:space="preserve">6300 Polo Club Drive </t>
  </si>
  <si>
    <t>30040-5717</t>
  </si>
  <si>
    <t>David Bond</t>
  </si>
  <si>
    <t>+1 (770) 887-7656</t>
  </si>
  <si>
    <t>Polynesian Cultural Center</t>
  </si>
  <si>
    <t xml:space="preserve">55-370 Kamehameha Hwy </t>
  </si>
  <si>
    <t>+1 (808) 293-3005</t>
  </si>
  <si>
    <t>Pomeroy Hotel &amp; Conference Center Fort McMurray</t>
  </si>
  <si>
    <t xml:space="preserve">10108 Manning Avenue </t>
  </si>
  <si>
    <t>Fort Mcmurray</t>
  </si>
  <si>
    <t>T9H 2C3</t>
  </si>
  <si>
    <t>Anthony Brigidear</t>
  </si>
  <si>
    <t>Siddhesh Deshmukh</t>
  </si>
  <si>
    <t>+1 (780) 233-5155</t>
  </si>
  <si>
    <t>Pomeroy Hotel &amp; Conference Center Grande Prairie</t>
  </si>
  <si>
    <t xml:space="preserve">11633 100th Street </t>
  </si>
  <si>
    <t>T8V 3Y4</t>
  </si>
  <si>
    <t>Alexander Herbert</t>
  </si>
  <si>
    <t>Kayla Enright</t>
  </si>
  <si>
    <t>+1 (780) 532-5221</t>
  </si>
  <si>
    <t>Pomeroy Inn &amp; Suites at Olds College</t>
  </si>
  <si>
    <t xml:space="preserve">4601 46th Avenue </t>
  </si>
  <si>
    <t>Olds</t>
  </si>
  <si>
    <t>T4H 1P5</t>
  </si>
  <si>
    <t>James Wilson</t>
  </si>
  <si>
    <t>+1 (403) 556-8815</t>
  </si>
  <si>
    <t>Pomeroy Lodging</t>
  </si>
  <si>
    <t>120 Country Hills Landing Northwest Suite 201</t>
  </si>
  <si>
    <t>T3K 5C9</t>
  </si>
  <si>
    <t>David Marriott</t>
  </si>
  <si>
    <t>+1 (587) 434-8836</t>
  </si>
  <si>
    <t>Port Charlotte Sleep Inn</t>
  </si>
  <si>
    <t xml:space="preserve">806 Kings Highway </t>
  </si>
  <si>
    <t>Port Charlotte</t>
  </si>
  <si>
    <t>Scott Hyatt</t>
  </si>
  <si>
    <t>Sue Carron</t>
  </si>
  <si>
    <t>+ (941) 613-6300</t>
  </si>
  <si>
    <t>Porter Valley Country Club</t>
  </si>
  <si>
    <t xml:space="preserve">19216 Singing Hills Dr </t>
  </si>
  <si>
    <t>Daniel Ryan</t>
  </si>
  <si>
    <t>Tracy Tartaglino</t>
  </si>
  <si>
    <t>+ (818) 360-1071</t>
  </si>
  <si>
    <t>Portland Marriott Downtown Waterfront</t>
  </si>
  <si>
    <t xml:space="preserve">1401 Southwest Naito Parkway </t>
  </si>
  <si>
    <t>Martin McAllister</t>
  </si>
  <si>
    <t>Mark Morell</t>
  </si>
  <si>
    <t>(503) 226-7600</t>
  </si>
  <si>
    <t>Portola Hotel &amp; Spa Corporate</t>
  </si>
  <si>
    <t>Portola Hotel &amp; Spa</t>
  </si>
  <si>
    <t xml:space="preserve">Two Portola Plaza </t>
  </si>
  <si>
    <t>Christina Martinez</t>
  </si>
  <si>
    <t>Janine Chicourrat</t>
  </si>
  <si>
    <t>+1 (831) 649-4511</t>
  </si>
  <si>
    <t>Powder Pandas - Buttermilk Mountain</t>
  </si>
  <si>
    <t xml:space="preserve">350 West Tiehack Road </t>
  </si>
  <si>
    <t>Prestonwood Country Club - Creek Course</t>
  </si>
  <si>
    <t xml:space="preserve">15909 Preston Road </t>
  </si>
  <si>
    <t>Scott Hajdu</t>
  </si>
  <si>
    <t>+1 (972) 239-7111</t>
  </si>
  <si>
    <t>Prestonwood Country Club - Hills Course</t>
  </si>
  <si>
    <t xml:space="preserve">6600 Columbine Way </t>
  </si>
  <si>
    <t>James Spadoni</t>
  </si>
  <si>
    <t>+1 (972) 307-1620</t>
  </si>
  <si>
    <t>Primeclass</t>
  </si>
  <si>
    <t xml:space="preserve">1000 Palm Beach International Airport </t>
  </si>
  <si>
    <t>Princeton Marriott Hotel &amp; Conference Center at Forrestal</t>
  </si>
  <si>
    <t xml:space="preserve">100 College Road East </t>
  </si>
  <si>
    <t>Maria Beltran</t>
  </si>
  <si>
    <t>Michael Marino</t>
  </si>
  <si>
    <t>+1 (609) 452-7800</t>
  </si>
  <si>
    <t>Princeville Resort</t>
  </si>
  <si>
    <t xml:space="preserve">5520 Ka Haku Road Princeville </t>
  </si>
  <si>
    <t>Princeville</t>
  </si>
  <si>
    <t>Thomas Meding</t>
  </si>
  <si>
    <t>Diaeldin Waziry</t>
  </si>
  <si>
    <t>+(808)826-9644</t>
  </si>
  <si>
    <t>Pronghorn Golf LLC</t>
  </si>
  <si>
    <t>Pronghorn Resort</t>
  </si>
  <si>
    <t xml:space="preserve">65600 Pronghorn Club Drive </t>
  </si>
  <si>
    <t>Spencer Schaub</t>
  </si>
  <si>
    <t>Anna Barrett</t>
  </si>
  <si>
    <t>+1 (866) 320-5024</t>
  </si>
  <si>
    <t>Providence Marriott Downtown</t>
  </si>
  <si>
    <t xml:space="preserve">1 Orms Street </t>
  </si>
  <si>
    <t>Farouk Rajab</t>
  </si>
  <si>
    <t>+1 (401) 272-2400</t>
  </si>
  <si>
    <t>Provo Marriott Hotel and Conference Center</t>
  </si>
  <si>
    <t xml:space="preserve">101 West 100 North </t>
  </si>
  <si>
    <t>Provo</t>
  </si>
  <si>
    <t>John Garfield</t>
  </si>
  <si>
    <t>Chad Cadden</t>
  </si>
  <si>
    <t>+1 (801) 377-4700</t>
  </si>
  <si>
    <t>Public Coast Pub</t>
  </si>
  <si>
    <t xml:space="preserve">264 Third Street </t>
  </si>
  <si>
    <t>Cannon Beach</t>
  </si>
  <si>
    <t>Denny Grosclaude</t>
  </si>
  <si>
    <t>+1 (503) 436-0285</t>
  </si>
  <si>
    <t>Punta Borinquen Resort Aguadilla</t>
  </si>
  <si>
    <t xml:space="preserve">90 Wing Road </t>
  </si>
  <si>
    <t>Anastacio Lopez</t>
  </si>
  <si>
    <t>+()1 787-882-8000</t>
  </si>
  <si>
    <t>Pyramid Advisors LLC HQ</t>
  </si>
  <si>
    <t>30 Rowes Wharf Suite 5300</t>
  </si>
  <si>
    <t>+1 (617) 946-2033</t>
  </si>
  <si>
    <t>Pyramid Club</t>
  </si>
  <si>
    <t xml:space="preserve">1735 Market St Mellon Bank Center 52nd Flr </t>
  </si>
  <si>
    <t>Rachael Barclay</t>
  </si>
  <si>
    <t>+ (215) 567-6510</t>
  </si>
  <si>
    <t>Pyramid Hotel Group Cincinnati Office</t>
  </si>
  <si>
    <t>8044 Montgomery Road Suite 385</t>
  </si>
  <si>
    <t>Q&amp;C Hotel Bar New Orleans Autograph Collection</t>
  </si>
  <si>
    <t xml:space="preserve">344 Camp Street </t>
  </si>
  <si>
    <t>Daniel Tabares</t>
  </si>
  <si>
    <t>+1 (504) 587-9700</t>
  </si>
  <si>
    <t>Quail Hollow Country Club</t>
  </si>
  <si>
    <t xml:space="preserve">11295 Quail Hollow Dr </t>
  </si>
  <si>
    <t>Kevin Mccune</t>
  </si>
  <si>
    <t>Andy Knappeperger</t>
  </si>
  <si>
    <t>+1 (440) 639-3800</t>
  </si>
  <si>
    <t>Quail Lodge Golf Club</t>
  </si>
  <si>
    <t xml:space="preserve">8000 Valley Greens Drive </t>
  </si>
  <si>
    <t>Jan Verweij</t>
  </si>
  <si>
    <t>Kai Lermen</t>
  </si>
  <si>
    <t>+1 (831) 620-8866</t>
  </si>
  <si>
    <t>Quality Hotel Philadelphia Airport</t>
  </si>
  <si>
    <t xml:space="preserve">600 S Governor Printz Boulevard </t>
  </si>
  <si>
    <t>+1 (610) 521-3909</t>
  </si>
  <si>
    <t>Ram &amp; Raj LLC</t>
  </si>
  <si>
    <t>Quality Inn - Grand Rapids</t>
  </si>
  <si>
    <t xml:space="preserve">7625 Caterpillar Court Southwest </t>
  </si>
  <si>
    <t>Vicki Patel</t>
  </si>
  <si>
    <t>+1 (616) 827-9900</t>
  </si>
  <si>
    <t>Quality Inn &amp; Suites - Georgetown</t>
  </si>
  <si>
    <t xml:space="preserve">20530 DuPont Boulevard </t>
  </si>
  <si>
    <t>Chelsea Johnson</t>
  </si>
  <si>
    <t>+1 (302) 854-9400</t>
  </si>
  <si>
    <t>Quality Inn &amp; Suites - Lexington</t>
  </si>
  <si>
    <t xml:space="preserve">440 Bedford Street </t>
  </si>
  <si>
    <t>Isaac Pilav</t>
  </si>
  <si>
    <t>+1 (781) 861-0850</t>
  </si>
  <si>
    <t>Quality Inn &amp; Suites Aberdeen</t>
  </si>
  <si>
    <t xml:space="preserve">2112-A Emmorton Park Road </t>
  </si>
  <si>
    <t>Michael Patel</t>
  </si>
  <si>
    <t>+1 (410) 670-6006</t>
  </si>
  <si>
    <t>Quality Inn &amp; Suites Athens University Area</t>
  </si>
  <si>
    <t xml:space="preserve">2715 Atlanta Highway </t>
  </si>
  <si>
    <t>Nikki Cook</t>
  </si>
  <si>
    <t>+1 (706) 549-1530</t>
  </si>
  <si>
    <t>804335123RT001 DBA Quality Inn &amp; Suites Brampton</t>
  </si>
  <si>
    <t>Quality Inn &amp; Suites Brampton</t>
  </si>
  <si>
    <t xml:space="preserve">30 Clark Boulevard </t>
  </si>
  <si>
    <t>Brampton</t>
  </si>
  <si>
    <t>L6W 1X3</t>
  </si>
  <si>
    <t>Satyen Pandey</t>
  </si>
  <si>
    <t>+1 (905) 454-1300</t>
  </si>
  <si>
    <t>MJ Hospitality Management</t>
  </si>
  <si>
    <t>Quality Inn &amp; Suites Davenport</t>
  </si>
  <si>
    <t xml:space="preserve">6605 North Brady Street </t>
  </si>
  <si>
    <t>Mike Jhala</t>
  </si>
  <si>
    <t>+1 (563) 386-8336</t>
  </si>
  <si>
    <t>Quality Inn &amp; Suites Decatur - Atlanta East</t>
  </si>
  <si>
    <t xml:space="preserve">5300 Snapfinger Park Drive </t>
  </si>
  <si>
    <t>Stephanie Williams</t>
  </si>
  <si>
    <t>Michelle Baptiste</t>
  </si>
  <si>
    <t>+1 (678) 418-0004</t>
  </si>
  <si>
    <t>Quality Inn &amp; Suites Elko</t>
  </si>
  <si>
    <t xml:space="preserve">3320 East Idaho Street </t>
  </si>
  <si>
    <t>Jiggs</t>
  </si>
  <si>
    <t>Laura Dorfman</t>
  </si>
  <si>
    <t>+1 (775) 777-8000</t>
  </si>
  <si>
    <t>Quality Inn &amp; Suites Franklin</t>
  </si>
  <si>
    <t xml:space="preserve">1307 Murfreesboro Road </t>
  </si>
  <si>
    <t>+1 (615) 794-7591</t>
  </si>
  <si>
    <t>Quality Inn &amp; Suites Grande Prairie</t>
  </si>
  <si>
    <t xml:space="preserve">11710 102nd Street </t>
  </si>
  <si>
    <t>T8V 7S7</t>
  </si>
  <si>
    <t>Jennifer Eveleigh</t>
  </si>
  <si>
    <t>+1 (780)831-2999</t>
  </si>
  <si>
    <t>Quality Inn &amp; Suites Gulf Shores</t>
  </si>
  <si>
    <t xml:space="preserve">213 West Fort Morgan Road </t>
  </si>
  <si>
    <t>Tina Evans</t>
  </si>
  <si>
    <t>+1(251)967-3500</t>
  </si>
  <si>
    <t>Quality Inn &amp; Suites in Stuttgart</t>
  </si>
  <si>
    <t xml:space="preserve">704 West Michigan Street </t>
  </si>
  <si>
    <t>Stuttgart</t>
  </si>
  <si>
    <t>Michael Lynn</t>
  </si>
  <si>
    <t>+1 (870) 673-2575</t>
  </si>
  <si>
    <t>Quality Inn &amp; Suites Matthews - Charlotte</t>
  </si>
  <si>
    <t xml:space="preserve">13470 East Independence Boulevard </t>
  </si>
  <si>
    <t>Aaron Harvey</t>
  </si>
  <si>
    <t>+1 (704) 821-9800</t>
  </si>
  <si>
    <t>Quality Inn &amp; Suites Middletown Newport</t>
  </si>
  <si>
    <t xml:space="preserve">936 West Main Road </t>
  </si>
  <si>
    <t>Parul Patel</t>
  </si>
  <si>
    <t>+1 (401) 846-7600</t>
  </si>
  <si>
    <t>Quality Inn &amp; Suites North</t>
  </si>
  <si>
    <t xml:space="preserve">7500 Vantage Drive </t>
  </si>
  <si>
    <t>Larry Patel</t>
  </si>
  <si>
    <t>+1 (614) 436-0556</t>
  </si>
  <si>
    <t>Quality Inn &amp; Suites Oceanfront Hotel</t>
  </si>
  <si>
    <t xml:space="preserve">705 Atlantic Avenue </t>
  </si>
  <si>
    <t>Viral Ghiya</t>
  </si>
  <si>
    <t>+1 (757)428-8935</t>
  </si>
  <si>
    <t>Quality Inn &amp; Suites Port Allen</t>
  </si>
  <si>
    <t xml:space="preserve">131 Lobdell Highway </t>
  </si>
  <si>
    <t>PORT ALLEN</t>
  </si>
  <si>
    <t>Victor Reshmuvala</t>
  </si>
  <si>
    <t>+1 (225) 343-4821</t>
  </si>
  <si>
    <t>Quality Inn &amp; Suites South</t>
  </si>
  <si>
    <t xml:space="preserve">4850 Frusta Drive </t>
  </si>
  <si>
    <t>Anahu Patel</t>
  </si>
  <si>
    <t>Kathern N/A</t>
  </si>
  <si>
    <t>+1(614) 497-9600</t>
  </si>
  <si>
    <t>Quality Inn &amp; Suites South Joliet</t>
  </si>
  <si>
    <t xml:space="preserve">135 South Larkin Avenue </t>
  </si>
  <si>
    <t xml:space="preserve">Shanda O'Donnell </t>
  </si>
  <si>
    <t>+ (815) 744-1770</t>
  </si>
  <si>
    <t>Quality Inn &amp; Suites Waco</t>
  </si>
  <si>
    <t xml:space="preserve">1508 I-35 Service Road </t>
  </si>
  <si>
    <t>Bellmead</t>
  </si>
  <si>
    <t>Vivik Patel</t>
  </si>
  <si>
    <t>+1 (254) 799-9989</t>
  </si>
  <si>
    <t>Quality Inn &amp; Suites Yellowknife</t>
  </si>
  <si>
    <t xml:space="preserve">5010 49th Street </t>
  </si>
  <si>
    <t>Yellowknife</t>
  </si>
  <si>
    <t>NT</t>
  </si>
  <si>
    <t>X1A 1N4</t>
  </si>
  <si>
    <t>Swanand Chandorkar</t>
  </si>
  <si>
    <t>+1 (867) 873-2601</t>
  </si>
  <si>
    <t>Quality Inn and Hotels Whitecourt</t>
  </si>
  <si>
    <t xml:space="preserve">5406 Caxton Street West </t>
  </si>
  <si>
    <t>Whitecourt</t>
  </si>
  <si>
    <t>T7S 0A6</t>
  </si>
  <si>
    <t>Marlyn Vandewce</t>
  </si>
  <si>
    <t>+1 (780)779-2399</t>
  </si>
  <si>
    <t>Quality Inn Asheville Tunnel Road</t>
  </si>
  <si>
    <t xml:space="preserve">180 Tunnel Road </t>
  </si>
  <si>
    <t>Kate Briggs</t>
  </si>
  <si>
    <t>+1 (828) 505-4648</t>
  </si>
  <si>
    <t>Quality Inn Camp Springs</t>
  </si>
  <si>
    <t xml:space="preserve">4783 Allentown RD </t>
  </si>
  <si>
    <t>CAMP SPRINGS</t>
  </si>
  <si>
    <t>+ (301) 420-2800</t>
  </si>
  <si>
    <t>Quality Inn Carolina Oceanfront</t>
  </si>
  <si>
    <t xml:space="preserve">401 North Virginia Dare Trail </t>
  </si>
  <si>
    <t>Kill Devil hills</t>
  </si>
  <si>
    <t>Francisco Valdovinos</t>
  </si>
  <si>
    <t>+1 (252)480-2600</t>
  </si>
  <si>
    <t>Berck Management Company</t>
  </si>
  <si>
    <t>Quality Inn Clarksville</t>
  </si>
  <si>
    <t xml:space="preserve">3095 Wilma Rudolph Blvd </t>
  </si>
  <si>
    <t>Richard Roland</t>
  </si>
  <si>
    <t>+ (931) 648-4848</t>
  </si>
  <si>
    <t>Quality Inn Colchester</t>
  </si>
  <si>
    <t xml:space="preserve">84 South Park Drive </t>
  </si>
  <si>
    <t>Colchester</t>
  </si>
  <si>
    <t>Julie LaCroix</t>
  </si>
  <si>
    <t>+ (802) 655-1400</t>
  </si>
  <si>
    <t>Quality Inn Cookeville</t>
  </si>
  <si>
    <t xml:space="preserve">970 South Jefferson Avenue </t>
  </si>
  <si>
    <t>Wendyl Booth</t>
  </si>
  <si>
    <t>+1 (931) 526-7125</t>
  </si>
  <si>
    <t>Quality Inn Executive Inn</t>
  </si>
  <si>
    <t xml:space="preserve">3105 Millbranch Road </t>
  </si>
  <si>
    <t>+1 (901) 312-7000</t>
  </si>
  <si>
    <t>Quality Inn Grove City</t>
  </si>
  <si>
    <t xml:space="preserve">1800 Stringtown Road </t>
  </si>
  <si>
    <t>+1 (614)277-0705</t>
  </si>
  <si>
    <t>Quality Inn Hernando - FLC37</t>
  </si>
  <si>
    <t xml:space="preserve">350 East Norvell Bryant Highway </t>
  </si>
  <si>
    <t>Darren Mooar</t>
  </si>
  <si>
    <t>+1 (352) 527-0015</t>
  </si>
  <si>
    <t xml:space="preserve">Quality Inn Historic Downtown </t>
  </si>
  <si>
    <t xml:space="preserve">255 Church Street </t>
  </si>
  <si>
    <t>Jared Cooper</t>
  </si>
  <si>
    <t>+1(251)433-6923</t>
  </si>
  <si>
    <t>Quality Inn Indianapolis South</t>
  </si>
  <si>
    <t xml:space="preserve">4502 S. Harding St. </t>
  </si>
  <si>
    <t>Tracey Olive</t>
  </si>
  <si>
    <t>+1 (623) 748-7660</t>
  </si>
  <si>
    <t>Frontier Hospitality LLC</t>
  </si>
  <si>
    <t>Quality Inn Kennedy Space Center</t>
  </si>
  <si>
    <t xml:space="preserve">3655 Cheney Highway </t>
  </si>
  <si>
    <t>Titusville</t>
  </si>
  <si>
    <t>Melissa Bayles</t>
  </si>
  <si>
    <t>+1 (954) 610-0212</t>
  </si>
  <si>
    <t>Quality Inn Kissimmee</t>
  </si>
  <si>
    <t xml:space="preserve">2039 East Irlo Bronson Memorial Highway </t>
  </si>
  <si>
    <t xml:space="preserve">Savannah Fontanez </t>
  </si>
  <si>
    <t>+1 (407) 449-4777</t>
  </si>
  <si>
    <t>Quality Inn Louisville - Boulder</t>
  </si>
  <si>
    <t xml:space="preserve">1196 West Dillon Road </t>
  </si>
  <si>
    <t>Giuseppe De Santis</t>
  </si>
  <si>
    <t>+1 (303) 604-0181</t>
  </si>
  <si>
    <t>Quality Inn Manassas</t>
  </si>
  <si>
    <t xml:space="preserve">10653 Balls Ford Rd </t>
  </si>
  <si>
    <t>Ashok Patel</t>
  </si>
  <si>
    <t>Debbie Strawser</t>
  </si>
  <si>
    <t>+ (703) 368-2800</t>
  </si>
  <si>
    <t>Quality Inn Mayport</t>
  </si>
  <si>
    <t xml:space="preserve">2401 Mayport Road </t>
  </si>
  <si>
    <t>Atlantic Bch</t>
  </si>
  <si>
    <t>+1 (904) 249-0313</t>
  </si>
  <si>
    <t>3755 Property Holdings LLC</t>
  </si>
  <si>
    <t>Quality Inn Miami Airport</t>
  </si>
  <si>
    <t xml:space="preserve">3959 NW 79th Avenue </t>
  </si>
  <si>
    <t>Ruzelkis Alzolar</t>
  </si>
  <si>
    <t>+ (305) 599-5200</t>
  </si>
  <si>
    <t>Arya LLC</t>
  </si>
  <si>
    <t>Quality Inn Nashua</t>
  </si>
  <si>
    <t xml:space="preserve">242 Daniel Webster Highway </t>
  </si>
  <si>
    <t>Merrimack</t>
  </si>
  <si>
    <t>Ankita Patel</t>
  </si>
  <si>
    <t>+ (603) 429-4600</t>
  </si>
  <si>
    <t>Quality Inn Near Chico State</t>
  </si>
  <si>
    <t xml:space="preserve">715 Main Street </t>
  </si>
  <si>
    <t>+1 (530) 370-5507</t>
  </si>
  <si>
    <t>Quality Inn New Port Richey</t>
  </si>
  <si>
    <t xml:space="preserve">5316 US Highway 19 North </t>
  </si>
  <si>
    <t>James Finch</t>
  </si>
  <si>
    <t>Jeries Alnemat</t>
  </si>
  <si>
    <t>+1 (727) 847-9005</t>
  </si>
  <si>
    <t>Quality Inn Noblesville - Indianapolis</t>
  </si>
  <si>
    <t xml:space="preserve">17070 Dragon Fly Lane </t>
  </si>
  <si>
    <t>Dometrious Buckley</t>
  </si>
  <si>
    <t>Neil Foster</t>
  </si>
  <si>
    <t>+1 (317) 507-3097</t>
  </si>
  <si>
    <t>Quality Inn North Bay</t>
  </si>
  <si>
    <t xml:space="preserve">1525 Seymour Street </t>
  </si>
  <si>
    <t>P1B 84J</t>
  </si>
  <si>
    <t>Kathy Nicholson</t>
  </si>
  <si>
    <t>+1 (705) 495-1133</t>
  </si>
  <si>
    <t>Quality Inn North Platte</t>
  </si>
  <si>
    <t xml:space="preserve">2901 South Jeffers Street </t>
  </si>
  <si>
    <t>North Platte</t>
  </si>
  <si>
    <t>Barry Jollensten</t>
  </si>
  <si>
    <t>Janet McConnaughey</t>
  </si>
  <si>
    <t>+(308) 532-6144</t>
  </si>
  <si>
    <t>Quality Inn of Blue Ash</t>
  </si>
  <si>
    <t xml:space="preserve">5901 Pfeiffer Rd </t>
  </si>
  <si>
    <t>Roger Patel</t>
  </si>
  <si>
    <t>+(513)793-4500</t>
  </si>
  <si>
    <t>Quality Inn Poughkeepsie</t>
  </si>
  <si>
    <t xml:space="preserve">536 Haight Avenue </t>
  </si>
  <si>
    <t>Vinny Patel</t>
  </si>
  <si>
    <t>+(845)454-1010</t>
  </si>
  <si>
    <t>Quality Inn Revere</t>
  </si>
  <si>
    <t xml:space="preserve">100 Morris Street </t>
  </si>
  <si>
    <t>REVERE</t>
  </si>
  <si>
    <t>+ (781) 324-1900</t>
  </si>
  <si>
    <t>Quality Inn San Diego</t>
  </si>
  <si>
    <t xml:space="preserve">3878 Dalbergia Court </t>
  </si>
  <si>
    <t>Henry Patel</t>
  </si>
  <si>
    <t>+1 (619) 238-2788</t>
  </si>
  <si>
    <t>Quality Inn Selinsgrove</t>
  </si>
  <si>
    <t xml:space="preserve">613 North Susquehanna Trail </t>
  </si>
  <si>
    <t>Penn Avon</t>
  </si>
  <si>
    <t>Kimberly Brubaker</t>
  </si>
  <si>
    <t>+1 (570) 374-8880</t>
  </si>
  <si>
    <t>Quality Inn St. Robert - Ft. Leonard Wood</t>
  </si>
  <si>
    <t xml:space="preserve">114 Vickie Lynn Lane </t>
  </si>
  <si>
    <t>Quality Inn Takoma Park</t>
  </si>
  <si>
    <t xml:space="preserve">7411 New Hampshire Avenue </t>
  </si>
  <si>
    <t>Takoma Park</t>
  </si>
  <si>
    <t>Renee Lewis</t>
  </si>
  <si>
    <t>+ () 301-439-3000</t>
  </si>
  <si>
    <t>Quality Inn Tysons</t>
  </si>
  <si>
    <t xml:space="preserve">1587 Springhill Road </t>
  </si>
  <si>
    <t>Wayland Campbell</t>
  </si>
  <si>
    <t>Amilcar Lopez</t>
  </si>
  <si>
    <t>+ (703) 448-8020</t>
  </si>
  <si>
    <t>Quality Inn Watertown</t>
  </si>
  <si>
    <t xml:space="preserve">800 35th St. Circle </t>
  </si>
  <si>
    <t>+1 (605) 886-3010</t>
  </si>
  <si>
    <t>Quality Suites San Luis Obispo</t>
  </si>
  <si>
    <t xml:space="preserve">1631 Monterey Street </t>
  </si>
  <si>
    <t>George Newland</t>
  </si>
  <si>
    <t>Bruce Watson</t>
  </si>
  <si>
    <t>+1 (805) 541-5001</t>
  </si>
  <si>
    <t>Quebec City Marriott Downtown</t>
  </si>
  <si>
    <t xml:space="preserve">850 Place D'Youville </t>
  </si>
  <si>
    <t>G1R 3P6</t>
  </si>
  <si>
    <t>Dany Thibault</t>
  </si>
  <si>
    <t>+1 (418) 694-4004</t>
  </si>
  <si>
    <t>Queens Harbour Country Club</t>
  </si>
  <si>
    <t xml:space="preserve">1131 Queen's Harbour Blvd </t>
  </si>
  <si>
    <t>Donald Beardsley</t>
  </si>
  <si>
    <t>+ (904) 220-2118</t>
  </si>
  <si>
    <t>Quirk Hotel</t>
  </si>
  <si>
    <t xml:space="preserve">201 West Broad Street </t>
  </si>
  <si>
    <t>Nico Scherman</t>
  </si>
  <si>
    <t>+1 (804) 340-6040</t>
  </si>
  <si>
    <t>Quirk Hotel Charlottesville</t>
  </si>
  <si>
    <t xml:space="preserve">499 West Main Street </t>
  </si>
  <si>
    <t>+1(804)340-6040</t>
  </si>
  <si>
    <t>Radisson Blu Fargo</t>
  </si>
  <si>
    <t xml:space="preserve">201 5th Street North </t>
  </si>
  <si>
    <t>Laura Church</t>
  </si>
  <si>
    <t>+1 (701) 232-7363</t>
  </si>
  <si>
    <t>Radisson Hotel and Suites Chelmsford-Lowell</t>
  </si>
  <si>
    <t xml:space="preserve">10 Independence Drive </t>
  </si>
  <si>
    <t>+1 (978) 256-0800</t>
  </si>
  <si>
    <t>Radisson Hotel and Suites Guatemala City</t>
  </si>
  <si>
    <t xml:space="preserve">1st Avenue 12-46 zone 10 </t>
  </si>
  <si>
    <t>Howard Garcia</t>
  </si>
  <si>
    <t>Radisson Hotel Baltimore Downtown - Inner Harbor</t>
  </si>
  <si>
    <t xml:space="preserve">101 West Fayette Street </t>
  </si>
  <si>
    <t>Keith Jefferson</t>
  </si>
  <si>
    <t>+1 (410) 752-1100</t>
  </si>
  <si>
    <t>Radisson Hotel Cincinnati Riverfront</t>
  </si>
  <si>
    <t xml:space="preserve">668 West 5TH Street </t>
  </si>
  <si>
    <t>Art Santomo</t>
  </si>
  <si>
    <t>+ (859) 491-1200</t>
  </si>
  <si>
    <t>Radisson Hotel Corning</t>
  </si>
  <si>
    <t xml:space="preserve">125 Denison Parkway East </t>
  </si>
  <si>
    <t>Rachel Courtney</t>
  </si>
  <si>
    <t>+1 (607) 962-5000</t>
  </si>
  <si>
    <t>Radisson Hotel Dallas North - Addison</t>
  </si>
  <si>
    <t xml:space="preserve">4960 Arapaho Road </t>
  </si>
  <si>
    <t>David Cortijo</t>
  </si>
  <si>
    <t>+1 (972) 490-1212</t>
  </si>
  <si>
    <t>Radisson Hotel Providence Airport</t>
  </si>
  <si>
    <t xml:space="preserve">2081 Post Road </t>
  </si>
  <si>
    <t>Justin Kohlmeier</t>
  </si>
  <si>
    <t>+1 (401) 739-9309</t>
  </si>
  <si>
    <t>Radley Run Country Club Inc.</t>
  </si>
  <si>
    <t>Radley Run Country Club</t>
  </si>
  <si>
    <t xml:space="preserve">1100 Country Club RD </t>
  </si>
  <si>
    <t>+ (610) 793-1660</t>
  </si>
  <si>
    <t>Radnor Valley Country Club Inc.</t>
  </si>
  <si>
    <t>Radnor Valley Country Club</t>
  </si>
  <si>
    <t xml:space="preserve">555 Sproul Rd. </t>
  </si>
  <si>
    <t>Villanova</t>
  </si>
  <si>
    <t>Shelly Achtert</t>
  </si>
  <si>
    <t>Dan Hall</t>
  </si>
  <si>
    <t>+1 (610) 688-9450</t>
  </si>
  <si>
    <t>Raices Lomas Country</t>
  </si>
  <si>
    <t>Avenida Club de Golf N 18 Colonia: Lomas Country</t>
  </si>
  <si>
    <t>Signature Real Estate Holdings LLC</t>
  </si>
  <si>
    <t>Ramada Des Moines Airport</t>
  </si>
  <si>
    <t xml:space="preserve">1810 Army Post Road </t>
  </si>
  <si>
    <t>Dipak Chaudhari</t>
  </si>
  <si>
    <t>+1 (515) 287-6464</t>
  </si>
  <si>
    <t>Ramada Indy Speedway</t>
  </si>
  <si>
    <t xml:space="preserve">2930 Waterfront Parkway </t>
  </si>
  <si>
    <t>Doris Perino</t>
  </si>
  <si>
    <t>+1 (317) 299-8400</t>
  </si>
  <si>
    <t>Ramada Lindsay Hotel</t>
  </si>
  <si>
    <t xml:space="preserve">1754 Highway 7 </t>
  </si>
  <si>
    <t>Lindsay</t>
  </si>
  <si>
    <t>K9V 4R2</t>
  </si>
  <si>
    <t>+1(705) 328-1743</t>
  </si>
  <si>
    <t>Ramada Plaza Gillette</t>
  </si>
  <si>
    <t xml:space="preserve">2009 South Douglas Highway </t>
  </si>
  <si>
    <t>Gillette</t>
  </si>
  <si>
    <t>Melissa Hannah</t>
  </si>
  <si>
    <t>+1 (307) 686-3000</t>
  </si>
  <si>
    <t>Ramada Reno</t>
  </si>
  <si>
    <t xml:space="preserve">1000 East Sixth Street </t>
  </si>
  <si>
    <t>Jason Gerard</t>
  </si>
  <si>
    <t>+1 (775)786-5151</t>
  </si>
  <si>
    <t>Ramada Trenton Hotel</t>
  </si>
  <si>
    <t xml:space="preserve">99 Glen Miller Road </t>
  </si>
  <si>
    <t>K8V 5P8</t>
  </si>
  <si>
    <t>+1(613)394-4855</t>
  </si>
  <si>
    <t>Rancho Santa Fe Association</t>
  </si>
  <si>
    <t>Rancho Santa Fe Golf Club</t>
  </si>
  <si>
    <t xml:space="preserve">5827 Via de la Cumbre </t>
  </si>
  <si>
    <t>+ (858) 756-1182</t>
  </si>
  <si>
    <t xml:space="preserve">Rancho Valencia Resort Partners LLC </t>
  </si>
  <si>
    <t>Rancho Valencia Resort &amp; Spa</t>
  </si>
  <si>
    <t>5921 Valencia Circle Box 9126</t>
  </si>
  <si>
    <t>Rancho Santa fe</t>
  </si>
  <si>
    <t>Laura McIver</t>
  </si>
  <si>
    <t>Mayra Herrera</t>
  </si>
  <si>
    <t>+1 (858) 756-1123</t>
  </si>
  <si>
    <t>Raven Golf Club Phoenix</t>
  </si>
  <si>
    <t xml:space="preserve">3636 East Baseline Road </t>
  </si>
  <si>
    <t>85042-7214</t>
  </si>
  <si>
    <t>Danny Lee</t>
  </si>
  <si>
    <t>Kevin Weber</t>
  </si>
  <si>
    <t>+1 (602) 243-3636</t>
  </si>
  <si>
    <t>Ravinia Green Country Club</t>
  </si>
  <si>
    <t xml:space="preserve">1200 Saunders Road </t>
  </si>
  <si>
    <t>Riverwoods</t>
  </si>
  <si>
    <t>Anthony Rizzo</t>
  </si>
  <si>
    <t>Trinidad Vega</t>
  </si>
  <si>
    <t>+1 (847) 945-6200</t>
  </si>
  <si>
    <t>Red Lion Baltimore</t>
  </si>
  <si>
    <t xml:space="preserve">207 East Redwood Street </t>
  </si>
  <si>
    <t>Carlos Orihuela</t>
  </si>
  <si>
    <t>+1 (410) 685-2381</t>
  </si>
  <si>
    <t>Red Lion Hotel Seattle Airport</t>
  </si>
  <si>
    <t xml:space="preserve">18220 International Boulevard </t>
  </si>
  <si>
    <t>Sung Park</t>
  </si>
  <si>
    <t>+ (206) 246-5535</t>
  </si>
  <si>
    <t>Red Roof Inn - Williamsport</t>
  </si>
  <si>
    <t xml:space="preserve">234 Montgomery Pike US Highway </t>
  </si>
  <si>
    <t>Williamsport</t>
  </si>
  <si>
    <t>Dinesh Jadav</t>
  </si>
  <si>
    <t>Mitesh Patel</t>
  </si>
  <si>
    <t>+1(570) 322-9050</t>
  </si>
  <si>
    <t>Red Roof Inn &amp; Suites Columbus West Broad</t>
  </si>
  <si>
    <t xml:space="preserve">4530 West Broad Street </t>
  </si>
  <si>
    <t>+ (614) 870-3700</t>
  </si>
  <si>
    <t>1979 Hinesville LLC</t>
  </si>
  <si>
    <t>Red Roof Inn &amp; Suites Hinesville</t>
  </si>
  <si>
    <t xml:space="preserve">70 Wallace Martin Drive </t>
  </si>
  <si>
    <t>+(1) (912) 877-3000</t>
  </si>
  <si>
    <t>Red Roof Inn &amp; Suites University Newark</t>
  </si>
  <si>
    <t xml:space="preserve">1119 South College Avenue </t>
  </si>
  <si>
    <t>Pragnesh Patel</t>
  </si>
  <si>
    <t>+ (302) 368-8521</t>
  </si>
  <si>
    <t>Red Roof Inn Ames</t>
  </si>
  <si>
    <t xml:space="preserve">1400 South Dayton Place </t>
  </si>
  <si>
    <t>Dann Sutton</t>
  </si>
  <si>
    <t>+1 (515) 239-9999</t>
  </si>
  <si>
    <t>Red Roof Inn Atlanta Buckhead</t>
  </si>
  <si>
    <t xml:space="preserve">1960 North Druid Hills Road </t>
  </si>
  <si>
    <t>+1 (404) 321-1653</t>
  </si>
  <si>
    <t>Red Roof Inn Birmingham South</t>
  </si>
  <si>
    <t xml:space="preserve">1466 Montgomery Highway </t>
  </si>
  <si>
    <t>Vestavia Hills</t>
  </si>
  <si>
    <t>Jonnie Murray</t>
  </si>
  <si>
    <t>+1 (205) 822-2224</t>
  </si>
  <si>
    <t>Red Roof Inn Carteret Rahway</t>
  </si>
  <si>
    <t>CARTERET</t>
  </si>
  <si>
    <t>Arpit Desai</t>
  </si>
  <si>
    <t>+1 (732) 541-9500</t>
  </si>
  <si>
    <t>Red Roof Inn Chicago Lansing</t>
  </si>
  <si>
    <t xml:space="preserve">2450 East 173rd </t>
  </si>
  <si>
    <t>Radica Petrovic</t>
  </si>
  <si>
    <t>+ 1(708) 895-9570</t>
  </si>
  <si>
    <t>Red Roof Inn College Park</t>
  </si>
  <si>
    <t xml:space="preserve">9137 Baltimore Avenue </t>
  </si>
  <si>
    <t>Darryl Lindsey</t>
  </si>
  <si>
    <t>+1 (301) 345-5000</t>
  </si>
  <si>
    <t>Red Roof Inn Dublin</t>
  </si>
  <si>
    <t xml:space="preserve">5125 Post Road </t>
  </si>
  <si>
    <t>Judy Miller</t>
  </si>
  <si>
    <t>+1 (614) 767-3993</t>
  </si>
  <si>
    <t>Red Roof Inn Edison</t>
  </si>
  <si>
    <t xml:space="preserve">860 New Durham Road </t>
  </si>
  <si>
    <t>Neil Naik</t>
  </si>
  <si>
    <t>+1 (732) 248-9300</t>
  </si>
  <si>
    <t>Red Roof Inn Gulf Shores</t>
  </si>
  <si>
    <t xml:space="preserve">3049 West 1st street </t>
  </si>
  <si>
    <t>+1(251) 968-8604</t>
  </si>
  <si>
    <t>Red Roof Inn Lancaster-Strasburg</t>
  </si>
  <si>
    <t xml:space="preserve">2390 Lincoln Highway </t>
  </si>
  <si>
    <t>Menak Patel</t>
  </si>
  <si>
    <t>+1 (717) 397-6531</t>
  </si>
  <si>
    <t>Red Roof Inn Locust Grove</t>
  </si>
  <si>
    <t xml:space="preserve">4840 Bill Gardner Parkway </t>
  </si>
  <si>
    <t>Locust Grove</t>
  </si>
  <si>
    <t>Michelle Lassiter</t>
  </si>
  <si>
    <t>+1 (678) 583-0004</t>
  </si>
  <si>
    <t>Red Roof Inn Music City</t>
  </si>
  <si>
    <t xml:space="preserve">2407 Brick Church Pike </t>
  </si>
  <si>
    <t>Sandra Coriano</t>
  </si>
  <si>
    <t>+1 (615) 226-3300</t>
  </si>
  <si>
    <t>Red Roof Inn New Britain</t>
  </si>
  <si>
    <t xml:space="preserve">65 Columbus Boulevard </t>
  </si>
  <si>
    <t>New Britain</t>
  </si>
  <si>
    <t>+1 (860) 348-1463</t>
  </si>
  <si>
    <t>Red Roof Inn Richmond South</t>
  </si>
  <si>
    <t xml:space="preserve">4350 Commerce Road </t>
  </si>
  <si>
    <t>+1(804)271-7240</t>
  </si>
  <si>
    <t>Red Roof PLUS+ Miami Airport</t>
  </si>
  <si>
    <t xml:space="preserve">3401 Northwest LeJeune Road </t>
  </si>
  <si>
    <t>Jon De Irish</t>
  </si>
  <si>
    <t>Main Email</t>
  </si>
  <si>
    <t>+1 (305) 871-4221</t>
  </si>
  <si>
    <t>Regency Suites Atlanta</t>
  </si>
  <si>
    <t xml:space="preserve">975 West Peachtree Street </t>
  </si>
  <si>
    <t>Angela Hernandez</t>
  </si>
  <si>
    <t>Ken Wilson</t>
  </si>
  <si>
    <t>+1 (404) 876-5003</t>
  </si>
  <si>
    <t>Rehoboth Beach Country Club Inc.</t>
  </si>
  <si>
    <t>Rehoboth Beach Country Club</t>
  </si>
  <si>
    <t xml:space="preserve">221 West Side Drive </t>
  </si>
  <si>
    <t>Rehoboth Beach</t>
  </si>
  <si>
    <t>Michael McDonald</t>
  </si>
  <si>
    <t>Pat Mastrain</t>
  </si>
  <si>
    <t>+1 (302) 227-3811</t>
  </si>
  <si>
    <t>Reikart House Buffalo a Tribute Portfolio Hotel</t>
  </si>
  <si>
    <t xml:space="preserve">5000 Main Street </t>
  </si>
  <si>
    <t>Karen Oleszak</t>
  </si>
  <si>
    <t>Christian Witucki</t>
  </si>
  <si>
    <t>+1 (716) 839-2200</t>
  </si>
  <si>
    <t xml:space="preserve">144 State Hospitality </t>
  </si>
  <si>
    <t>Renaissance Albany Hotel</t>
  </si>
  <si>
    <t xml:space="preserve">144 State Street </t>
  </si>
  <si>
    <t>Leola Edelin</t>
  </si>
  <si>
    <t>+1 (518) 396-7472</t>
  </si>
  <si>
    <t>Renaissance Arlington Capital View Hotel</t>
  </si>
  <si>
    <t xml:space="preserve">2800 South Potomac Avenue </t>
  </si>
  <si>
    <t>Terry Duvall</t>
  </si>
  <si>
    <t>Grant Renfrow</t>
  </si>
  <si>
    <t>+1 (703) 413-1300</t>
  </si>
  <si>
    <t>Boulevard Hotel NV</t>
  </si>
  <si>
    <t>Renaissance Aruba Beach Resort &amp; Casino</t>
  </si>
  <si>
    <t xml:space="preserve">L.G. Smith Blvd. #82 </t>
  </si>
  <si>
    <t>Oranjestad Aruba</t>
  </si>
  <si>
    <t>Paul Gielen</t>
  </si>
  <si>
    <t>Zulaika Boekhoudt</t>
  </si>
  <si>
    <t>+1 (297) 8-36000</t>
  </si>
  <si>
    <t>Renaissance Atlanta Airport Gateway Hotel</t>
  </si>
  <si>
    <t xml:space="preserve">2081 Convention Center Concourse </t>
  </si>
  <si>
    <t>+1 (470) 306-0100</t>
  </si>
  <si>
    <t>Renaissance Atlanta Midtown</t>
  </si>
  <si>
    <t xml:space="preserve">866 W Peachtree Street NW </t>
  </si>
  <si>
    <t>Matt Work</t>
  </si>
  <si>
    <t>+1 (678) 412-2400</t>
  </si>
  <si>
    <t>Renaissance Austin Hotel</t>
  </si>
  <si>
    <t xml:space="preserve">9721 Arboretum Boulevard </t>
  </si>
  <si>
    <t>Rob Gillette</t>
  </si>
  <si>
    <t>Esperanza Titapas</t>
  </si>
  <si>
    <t>(512) 343-2626</t>
  </si>
  <si>
    <t>Renaissance Boston Patriot Place Hotel</t>
  </si>
  <si>
    <t xml:space="preserve">28 Patriot Place </t>
  </si>
  <si>
    <t>Norm Demers</t>
  </si>
  <si>
    <t>Pam Legg</t>
  </si>
  <si>
    <t>+1 (508) 543-5500</t>
  </si>
  <si>
    <t>Renaissance Boston Waterfront Hotel</t>
  </si>
  <si>
    <t xml:space="preserve">606 Congress Street </t>
  </si>
  <si>
    <t>Ken Lavigne</t>
  </si>
  <si>
    <t>Tom Walsh</t>
  </si>
  <si>
    <t xml:space="preserve">+1 (617) 338-4111 </t>
  </si>
  <si>
    <t>Renaissance Boulder Suites</t>
  </si>
  <si>
    <t xml:space="preserve">500 Flatiron Boulevard </t>
  </si>
  <si>
    <t>Kimberly Gagnon</t>
  </si>
  <si>
    <t>+1 (303) 464-8400</t>
  </si>
  <si>
    <t>Renaissance Charlotte SouthPark Hotel</t>
  </si>
  <si>
    <t xml:space="preserve">5501 Carnegie Boulevard </t>
  </si>
  <si>
    <t>+ (704) 501-2510</t>
  </si>
  <si>
    <t>Renaissance Chicago Downtown Hotel</t>
  </si>
  <si>
    <t xml:space="preserve">1 West Wacker Drive </t>
  </si>
  <si>
    <t>Kristin Duncan</t>
  </si>
  <si>
    <t>Frank Zamarron</t>
  </si>
  <si>
    <t>(312) 372-7200</t>
  </si>
  <si>
    <t xml:space="preserve">Renaissance ClubSport Walnut Creek Hotel </t>
  </si>
  <si>
    <t xml:space="preserve">2805 Jones Road </t>
  </si>
  <si>
    <t>Amy Tye</t>
  </si>
  <si>
    <t>Elias Mandilaras</t>
  </si>
  <si>
    <t>+1 (925) 938-8700</t>
  </si>
  <si>
    <t>Leisure Sports Inc.</t>
  </si>
  <si>
    <t>Renaissance ClubSport Aliso Viejo Hotel</t>
  </si>
  <si>
    <t xml:space="preserve">50 Enterprise Drive </t>
  </si>
  <si>
    <t>Heather Stanek</t>
  </si>
  <si>
    <t>Marco Rongen</t>
  </si>
  <si>
    <t>+ (949) 362-5701</t>
  </si>
  <si>
    <t>Renaissance Columbus Downtown Hotel</t>
  </si>
  <si>
    <t xml:space="preserve">50 North Third Street </t>
  </si>
  <si>
    <t>Michael Sweeney</t>
  </si>
  <si>
    <t>George Smith</t>
  </si>
  <si>
    <t>(614) 228-5050</t>
  </si>
  <si>
    <t>MetaCorp N.V.</t>
  </si>
  <si>
    <t>Renaissance Curacao Resort &amp; Casino</t>
  </si>
  <si>
    <t>Baden Powellweg 1 P.O. Box 2100</t>
  </si>
  <si>
    <t>Maylin Trenidad</t>
  </si>
  <si>
    <t>+1 (5999) 435-5000</t>
  </si>
  <si>
    <t>Renaissance Dallas</t>
  </si>
  <si>
    <t xml:space="preserve">2222 Stemmons Freeway </t>
  </si>
  <si>
    <t>Chris Pilavakis</t>
  </si>
  <si>
    <t>Darren Parker</t>
  </si>
  <si>
    <t>(214) 631-2222</t>
  </si>
  <si>
    <t>Renaissance Dallas at Plano Legacy West Hotel</t>
  </si>
  <si>
    <t xml:space="preserve">6007 Legacy Drive </t>
  </si>
  <si>
    <t>Robert Bula</t>
  </si>
  <si>
    <t>+1(469) 925-1800</t>
  </si>
  <si>
    <t>Renaissance Dallas Richardson Hotel</t>
  </si>
  <si>
    <t xml:space="preserve">900 East Lookout Drive </t>
  </si>
  <si>
    <t>Ben Logan</t>
  </si>
  <si>
    <t>Cheryl McKinney</t>
  </si>
  <si>
    <t>+1 (972) 367-2000</t>
  </si>
  <si>
    <t>Renaissance Del Monte Lodge Hotel &amp; Spa</t>
  </si>
  <si>
    <t xml:space="preserve">41 North Main Street </t>
  </si>
  <si>
    <t>Pittsford</t>
  </si>
  <si>
    <t>Felix Ramos</t>
  </si>
  <si>
    <t>John Freezee</t>
  </si>
  <si>
    <t>+ (585) 381-9900</t>
  </si>
  <si>
    <t>Renaissance Des Moines Savery Hotel</t>
  </si>
  <si>
    <t xml:space="preserve">401 Locust Street </t>
  </si>
  <si>
    <t xml:space="preserve">Michael Vance </t>
  </si>
  <si>
    <t>+ (515) 244-2151</t>
  </si>
  <si>
    <t>Platinum Investments LTD.</t>
  </si>
  <si>
    <t>Renaissance Edmonton Airport Hotel</t>
  </si>
  <si>
    <t xml:space="preserve">4236 36th Street East </t>
  </si>
  <si>
    <t>Alberta</t>
  </si>
  <si>
    <t>T9E 0V4</t>
  </si>
  <si>
    <t>Josh Solomon</t>
  </si>
  <si>
    <t>Anwar Virji</t>
  </si>
  <si>
    <t>+1 (780) 488-7159</t>
  </si>
  <si>
    <t>Renaissance Fort Lauderdale-Plantation Hotel</t>
  </si>
  <si>
    <t xml:space="preserve">1230 South Pine Island Road </t>
  </si>
  <si>
    <t>Christopher Reger</t>
  </si>
  <si>
    <t>+1 (954) 472-2252</t>
  </si>
  <si>
    <t>Renaissance Hotel Asheville</t>
  </si>
  <si>
    <t xml:space="preserve">31 Woodfin Street </t>
  </si>
  <si>
    <t>Rich Byrd</t>
  </si>
  <si>
    <t>+ (828) 252-8211</t>
  </si>
  <si>
    <t>Renaissance Hotel Denver</t>
  </si>
  <si>
    <t xml:space="preserve">918 17th Street </t>
  </si>
  <si>
    <t>Brian Leiker</t>
  </si>
  <si>
    <t>Lori Zafft</t>
  </si>
  <si>
    <t>+1 (303) 867-8100</t>
  </si>
  <si>
    <t>Renaissance Hotel Toledo (TDT)</t>
  </si>
  <si>
    <t xml:space="preserve">444 North Summit Street </t>
  </si>
  <si>
    <t>Brian Crooks</t>
  </si>
  <si>
    <t>David Marsh</t>
  </si>
  <si>
    <t>+1 (866) 599-6674</t>
  </si>
  <si>
    <t>Renaissance Indian Wells Resort &amp; Spa</t>
  </si>
  <si>
    <t xml:space="preserve">44-400 Indian Wells Lane </t>
  </si>
  <si>
    <t>Tim Pyne</t>
  </si>
  <si>
    <t>Dave Prost</t>
  </si>
  <si>
    <t>(760) 773-4444</t>
  </si>
  <si>
    <t xml:space="preserve">Renaissance Indianapolis North </t>
  </si>
  <si>
    <t xml:space="preserve">11925 North Meridian Street </t>
  </si>
  <si>
    <t>Chris Snyder</t>
  </si>
  <si>
    <t>Michael Balcom</t>
  </si>
  <si>
    <t>+1 (317) 816-0777</t>
  </si>
  <si>
    <t>Renaissance Long Beach Hotel</t>
  </si>
  <si>
    <t xml:space="preserve">111 East Ocean Boulevard </t>
  </si>
  <si>
    <t>Karen Englund</t>
  </si>
  <si>
    <t>(562) 437-5900</t>
  </si>
  <si>
    <t>Renaissance Los Angeles Airport Hotel</t>
  </si>
  <si>
    <t xml:space="preserve">9620 Airport Boulevard </t>
  </si>
  <si>
    <t>Geoff Hatler</t>
  </si>
  <si>
    <t>Silvia Santos</t>
  </si>
  <si>
    <t>(310) 337-2800</t>
  </si>
  <si>
    <t>Renaissance Minneapolis Bloomington Hotel</t>
  </si>
  <si>
    <t xml:space="preserve">5500 American Boulevard </t>
  </si>
  <si>
    <t xml:space="preserve">Patrick Bissen </t>
  </si>
  <si>
    <t>+1 (952) 345-1249</t>
  </si>
  <si>
    <t>Renaissance Montgomery Hotel &amp; Spa at the Convention Center</t>
  </si>
  <si>
    <t xml:space="preserve">201 Tallapoosa Street </t>
  </si>
  <si>
    <t>Craig Hillyard</t>
  </si>
  <si>
    <t>Jabari Nix</t>
  </si>
  <si>
    <t>+ () 334-481-5000</t>
  </si>
  <si>
    <t>Renaissance Montreal Downtown Hotel</t>
  </si>
  <si>
    <t xml:space="preserve">1250 Robert-Bourassa Boulevard </t>
  </si>
  <si>
    <t>H3B 3B8</t>
  </si>
  <si>
    <t>+1 (514) 657-5000</t>
  </si>
  <si>
    <t>Renaissance Nashville</t>
  </si>
  <si>
    <t xml:space="preserve">611 Commerce Street </t>
  </si>
  <si>
    <t>Tom Boyer</t>
  </si>
  <si>
    <t>(615) 255-8400</t>
  </si>
  <si>
    <t>Renaissance New Orleans Arts Hotel</t>
  </si>
  <si>
    <t xml:space="preserve">700 Tchoupitoulas Street </t>
  </si>
  <si>
    <t>Ian Moro</t>
  </si>
  <si>
    <t>(504) 613-2330</t>
  </si>
  <si>
    <t>Renaissance New Orleans/ Pere Marquette</t>
  </si>
  <si>
    <t xml:space="preserve">817 Common Street </t>
  </si>
  <si>
    <t>(504) 525-1111</t>
  </si>
  <si>
    <t>Renaissance Newark Airport Hotel</t>
  </si>
  <si>
    <t xml:space="preserve">1000 Spring Street </t>
  </si>
  <si>
    <t>Andrew Wnek</t>
  </si>
  <si>
    <t>Kairy Maldonado</t>
  </si>
  <si>
    <t>+1 (908) 436-4600</t>
  </si>
  <si>
    <t>Renaissance Newport Beach</t>
  </si>
  <si>
    <t xml:space="preserve">4500 MacArthur Boulevard </t>
  </si>
  <si>
    <t>Gregg Herning</t>
  </si>
  <si>
    <t>+1 (949) 476-2001</t>
  </si>
  <si>
    <t>Renaissance Orlando @ Sea World</t>
  </si>
  <si>
    <t xml:space="preserve">6677 Sea Harbor Drive </t>
  </si>
  <si>
    <t>32821-8092</t>
  </si>
  <si>
    <t>Bob Walsh</t>
  </si>
  <si>
    <t>Don Herr</t>
  </si>
  <si>
    <t>(407) 351-5555</t>
  </si>
  <si>
    <t>Renaissance Orlando Airport Hotel</t>
  </si>
  <si>
    <t xml:space="preserve">5445 Forbes Place </t>
  </si>
  <si>
    <t>Charles Moore</t>
  </si>
  <si>
    <t>+ (407) 240-1000</t>
  </si>
  <si>
    <t>Renaissance Palm Springs Hotel</t>
  </si>
  <si>
    <t xml:space="preserve">888 E Tahquitz Canyon Way </t>
  </si>
  <si>
    <t>Lynnie Green</t>
  </si>
  <si>
    <t>+1 (760) 322-6000</t>
  </si>
  <si>
    <t>Renaissance Penn Station New York</t>
  </si>
  <si>
    <t xml:space="preserve">218 West 35th Street </t>
  </si>
  <si>
    <t>Gilles Rebmann</t>
  </si>
  <si>
    <t>Allen Atwell</t>
  </si>
  <si>
    <t>+1(212)239-0014</t>
  </si>
  <si>
    <t>Renaissance Phoenix Downtown</t>
  </si>
  <si>
    <t xml:space="preserve">100 North 1st Street </t>
  </si>
  <si>
    <t>Tracy Stoltz</t>
  </si>
  <si>
    <t>Jeremy Dichoso</t>
  </si>
  <si>
    <t xml:space="preserve">+ (602) 333-0000 </t>
  </si>
  <si>
    <t>Renaissance Phoenix Glendale Hotel &amp; Spa</t>
  </si>
  <si>
    <t xml:space="preserve">9495 W. Coyotes Boulevard </t>
  </si>
  <si>
    <t>Anna Igaya</t>
  </si>
  <si>
    <t>Stephen Eberhart</t>
  </si>
  <si>
    <t>+1 (623) 937-3700</t>
  </si>
  <si>
    <t xml:space="preserve">Renaissance Pittsburgh </t>
  </si>
  <si>
    <t xml:space="preserve">107 Sixth Street </t>
  </si>
  <si>
    <t>Scott Melchior</t>
  </si>
  <si>
    <t>Nanette Alexander</t>
  </si>
  <si>
    <t>+ (412) 562-1200</t>
  </si>
  <si>
    <t>Renaissance Reno Downtown Hotel &amp; Spa</t>
  </si>
  <si>
    <t xml:space="preserve">1 South Lake Street </t>
  </si>
  <si>
    <t>Vicki Savini</t>
  </si>
  <si>
    <t>Fernando Madrigal</t>
  </si>
  <si>
    <t>+1 (775) 682-3900</t>
  </si>
  <si>
    <t>Renaissance Riverview Plaza Hotel</t>
  </si>
  <si>
    <t xml:space="preserve">64 South Water Street </t>
  </si>
  <si>
    <t>Jessica Steward</t>
  </si>
  <si>
    <t>Kent Blackinton</t>
  </si>
  <si>
    <t>+1 (251) 438-4000</t>
  </si>
  <si>
    <t>Renaissance Ross Bridge Golf Resort and Spa</t>
  </si>
  <si>
    <t xml:space="preserve">4000 Grand Avenue </t>
  </si>
  <si>
    <t>Hoover</t>
  </si>
  <si>
    <t>Crystal Rogers</t>
  </si>
  <si>
    <t>Rick Smith</t>
  </si>
  <si>
    <t>+1 (205) 916-7677</t>
  </si>
  <si>
    <t>Renaissance Saint Elm Dallas Downtown</t>
  </si>
  <si>
    <t xml:space="preserve">1907 Elm Street </t>
  </si>
  <si>
    <t>Kevin Watson</t>
  </si>
  <si>
    <t>+1 (214) 220-2900</t>
  </si>
  <si>
    <t>Renaissance Santo Domingo Jaragua Hotel &amp; Casino</t>
  </si>
  <si>
    <t>George Washington Ave 367 Apto. Postal 769-2</t>
  </si>
  <si>
    <t>Santo Domingo</t>
  </si>
  <si>
    <t>karen Vasquez</t>
  </si>
  <si>
    <t>Matt Knights</t>
  </si>
  <si>
    <t>+011 (809) 221-2222</t>
  </si>
  <si>
    <t>Renaissance Schaumburg Hotel and Convention Center</t>
  </si>
  <si>
    <t xml:space="preserve">1551 Thoreau Drive </t>
  </si>
  <si>
    <t>Dieter Heigl</t>
  </si>
  <si>
    <t>+1 (847) 303-4115</t>
  </si>
  <si>
    <t>Renaissance St Louis Airport</t>
  </si>
  <si>
    <t xml:space="preserve">9801 Natural Bridge Road </t>
  </si>
  <si>
    <t>Vicki Kroll</t>
  </si>
  <si>
    <t>+ (314) 429-1100</t>
  </si>
  <si>
    <t>Renaissance St. Augustine World Golf Village</t>
  </si>
  <si>
    <t xml:space="preserve">500 South Legacy Trail </t>
  </si>
  <si>
    <t>Stephen Boudreau</t>
  </si>
  <si>
    <t>+1 (904) 940-8000</t>
  </si>
  <si>
    <t>Renaissance Tampa International Plaza</t>
  </si>
  <si>
    <t xml:space="preserve">4200 Jim Walter Boulevard </t>
  </si>
  <si>
    <t>Jim Bartholomay</t>
  </si>
  <si>
    <t>Nina Hoochuk</t>
  </si>
  <si>
    <t>(813) 877-9200</t>
  </si>
  <si>
    <t>Renaissance Times Square</t>
  </si>
  <si>
    <t xml:space="preserve">714 Seventh Avenue </t>
  </si>
  <si>
    <t>Christine Devers</t>
  </si>
  <si>
    <t>Thomas Sturniolo</t>
  </si>
  <si>
    <t>(212) 765-7676</t>
  </si>
  <si>
    <t>Renaissance Tulsa Hotel &amp; Convention Center</t>
  </si>
  <si>
    <t xml:space="preserve">6808 South 107th East Avenue </t>
  </si>
  <si>
    <t>Casey Kittel</t>
  </si>
  <si>
    <t>+1 (918) 307-2600</t>
  </si>
  <si>
    <t xml:space="preserve">Renaissance Washington DC </t>
  </si>
  <si>
    <t xml:space="preserve">999 Ninth Street NW </t>
  </si>
  <si>
    <t>20001-4427</t>
  </si>
  <si>
    <t>Kori Johnson</t>
  </si>
  <si>
    <t>+(202)898-9000</t>
  </si>
  <si>
    <t>Renaissance Waverly Hotel</t>
  </si>
  <si>
    <t xml:space="preserve">2450 Galleria Parkway </t>
  </si>
  <si>
    <t>Joe Uhl</t>
  </si>
  <si>
    <t>(770) 953-4500</t>
  </si>
  <si>
    <t>Renaissance Worthington</t>
  </si>
  <si>
    <t xml:space="preserve">200 Main Street </t>
  </si>
  <si>
    <t>Drew Hayden</t>
  </si>
  <si>
    <t>(817) 870-1000</t>
  </si>
  <si>
    <t>Residence Inn - Lakeland</t>
  </si>
  <si>
    <t xml:space="preserve">3701 Harden Boulevard </t>
  </si>
  <si>
    <t>Mike Philips</t>
  </si>
  <si>
    <t>+ (863) 680-2323</t>
  </si>
  <si>
    <t>Residence Inn - Mystic Groton</t>
  </si>
  <si>
    <t xml:space="preserve">40 Whitehall Avenue </t>
  </si>
  <si>
    <t>Mystic</t>
  </si>
  <si>
    <t>Carmen Nunez</t>
  </si>
  <si>
    <t>+1 (860) 536-5150</t>
  </si>
  <si>
    <t>Residence Inn - Shreveport Airport</t>
  </si>
  <si>
    <t xml:space="preserve">4910 West Monkhouse Drive </t>
  </si>
  <si>
    <t>Jose Rodrigues</t>
  </si>
  <si>
    <t>+1 (318) 635-8000</t>
  </si>
  <si>
    <t>Residence Inn - Springdale</t>
  </si>
  <si>
    <t xml:space="preserve">1740 South 48th Street </t>
  </si>
  <si>
    <t>Katrina Rupe</t>
  </si>
  <si>
    <t>+1 (479) 872-9100</t>
  </si>
  <si>
    <t>Residence Inn @ Montreal Airport</t>
  </si>
  <si>
    <t xml:space="preserve">6500 Place Robert-Joncas </t>
  </si>
  <si>
    <t>+1 (514) 336-9333</t>
  </si>
  <si>
    <t>Residence Inn Aberdeen at Ripken Stadium</t>
  </si>
  <si>
    <t>Sheila Bridges</t>
  </si>
  <si>
    <t>+1 (410) 272-0444</t>
  </si>
  <si>
    <t>Residence Inn Abilene</t>
  </si>
  <si>
    <t xml:space="preserve">1641 Musgrave Boulevard </t>
  </si>
  <si>
    <t>Denise Worley</t>
  </si>
  <si>
    <t>+1 (325) 677-8700</t>
  </si>
  <si>
    <t>Residence Inn Albany</t>
  </si>
  <si>
    <t xml:space="preserve">124 Washington Avenue Extension </t>
  </si>
  <si>
    <t>Miranda Winters</t>
  </si>
  <si>
    <t>+1 (518)218-7240</t>
  </si>
  <si>
    <t>Residence Inn Albany Clifton Park</t>
  </si>
  <si>
    <t xml:space="preserve">1740 Route 9 </t>
  </si>
  <si>
    <t>Victoria Polonsky</t>
  </si>
  <si>
    <t>+1 (518) 374-4444</t>
  </si>
  <si>
    <t>Residence Inn Albany Wolf Road (Dual Property)</t>
  </si>
  <si>
    <t>Residence Inn Albuquerque Airport</t>
  </si>
  <si>
    <t xml:space="preserve">2301 International Ave SE </t>
  </si>
  <si>
    <t>Barbara Wood</t>
  </si>
  <si>
    <t>+1 (505) 242-2844</t>
  </si>
  <si>
    <t>Residence Inn Albuquerque-North</t>
  </si>
  <si>
    <t xml:space="preserve">4331 The Lane @ I-25 NE </t>
  </si>
  <si>
    <t>Brenda Lucero</t>
  </si>
  <si>
    <t>+1 (505) 761-0200</t>
  </si>
  <si>
    <t>Residence Inn Alexandria Old Town South at Carlyle</t>
  </si>
  <si>
    <t xml:space="preserve">2345 Mill Road </t>
  </si>
  <si>
    <t>Meaghan Couch</t>
  </si>
  <si>
    <t>+ (703) 549-1155</t>
  </si>
  <si>
    <t>Residence Inn Alexandria-Old Town</t>
  </si>
  <si>
    <t xml:space="preserve">1456 Duke Street </t>
  </si>
  <si>
    <t>Nancy Palma</t>
  </si>
  <si>
    <t>Madison Fredricks</t>
  </si>
  <si>
    <t>(703) 548-5474</t>
  </si>
  <si>
    <t>Residence Inn Amelia Island</t>
  </si>
  <si>
    <t xml:space="preserve">2301 Sadler Drive </t>
  </si>
  <si>
    <t>Bob Hartman</t>
  </si>
  <si>
    <t>+1 (904) 277-2440</t>
  </si>
  <si>
    <t>Residence Inn Anaheim-Resort Area/Garden Grove</t>
  </si>
  <si>
    <t xml:space="preserve">11931 Harbor Blvd </t>
  </si>
  <si>
    <t>+1 (714) 591-4000</t>
  </si>
  <si>
    <t>Residence Inn Anchorage Midtown</t>
  </si>
  <si>
    <t xml:space="preserve">1025 35th Avenue </t>
  </si>
  <si>
    <t>Ashley Gardner</t>
  </si>
  <si>
    <t>Dale Sears</t>
  </si>
  <si>
    <t>+ (907) 563-9844</t>
  </si>
  <si>
    <t>Residence Inn Andover Boston</t>
  </si>
  <si>
    <t xml:space="preserve">500 Minuteman Road </t>
  </si>
  <si>
    <t>(978) 683-0382</t>
  </si>
  <si>
    <t>Residence Inn Ann Arbor Downtown (ADT)</t>
  </si>
  <si>
    <t xml:space="preserve">120 West Huron Street </t>
  </si>
  <si>
    <t>Ryan Wilkins</t>
  </si>
  <si>
    <t>+(734) 662-9999</t>
  </si>
  <si>
    <t>Residence Inn Arlington At Ballston</t>
  </si>
  <si>
    <t xml:space="preserve">650 North Quincy Street </t>
  </si>
  <si>
    <t>Roberto Perez</t>
  </si>
  <si>
    <t>+1 (703) 310-1999</t>
  </si>
  <si>
    <t>Residence Inn Arlington Capital View</t>
  </si>
  <si>
    <t xml:space="preserve">2850 S. Potomac Avenue </t>
  </si>
  <si>
    <t>Terrence Duvall</t>
  </si>
  <si>
    <t>+1 (703) 415-1300</t>
  </si>
  <si>
    <t>Residence Inn Arlington Courthouse</t>
  </si>
  <si>
    <t xml:space="preserve">1401 North Adams St. </t>
  </si>
  <si>
    <t>+1 (703) 312-2100</t>
  </si>
  <si>
    <t>Residence Inn Arlington Rosslyn</t>
  </si>
  <si>
    <t xml:space="preserve">1651 North Oak Street </t>
  </si>
  <si>
    <t>Flavia Sampaio</t>
  </si>
  <si>
    <t>+1 (703) 812-8400</t>
  </si>
  <si>
    <t>Residence Inn Atlanta - Buckhead</t>
  </si>
  <si>
    <t xml:space="preserve">2960 Piedmont Road NE </t>
  </si>
  <si>
    <t>Tony Ellis</t>
  </si>
  <si>
    <t>(404) 239-0677</t>
  </si>
  <si>
    <t>Residence Inn Atlanta Airport-Hapeville</t>
  </si>
  <si>
    <t xml:space="preserve">3401 International Boulevard </t>
  </si>
  <si>
    <t>Hapeville</t>
  </si>
  <si>
    <t>Artheia Blakeney-Greene</t>
  </si>
  <si>
    <t>(404) 761-0511</t>
  </si>
  <si>
    <t>Residence Inn Atlanta McDonough</t>
  </si>
  <si>
    <t xml:space="preserve">1200 Avalon Parkway </t>
  </si>
  <si>
    <t>Andrea Edwards</t>
  </si>
  <si>
    <t>Jamie Wilson</t>
  </si>
  <si>
    <t>+1 (678) 782-7599</t>
  </si>
  <si>
    <t>Residence Inn Atlanta Perimeter Center - Dunwoody</t>
  </si>
  <si>
    <t xml:space="preserve">4695 Ashford Dunwoody Road </t>
  </si>
  <si>
    <t>Dunwoody</t>
  </si>
  <si>
    <t>+1 (393) 730-1531</t>
  </si>
  <si>
    <t>Residence Inn Augusta</t>
  </si>
  <si>
    <t xml:space="preserve">1116 Marks Church Road </t>
  </si>
  <si>
    <t>Tristan Davis</t>
  </si>
  <si>
    <t>+1 (706) 288-1900</t>
  </si>
  <si>
    <t>Residence Inn Austin Lake Austin-River Place</t>
  </si>
  <si>
    <t xml:space="preserve">6608 River Place </t>
  </si>
  <si>
    <t>Robert Trevino</t>
  </si>
  <si>
    <t>Suzy Marin</t>
  </si>
  <si>
    <t>+1 (512) 735-9300</t>
  </si>
  <si>
    <t>Austin R Parmer Opco LP (Falcon Group)</t>
  </si>
  <si>
    <t>Residence Inn Austin North</t>
  </si>
  <si>
    <t xml:space="preserve">12401 North Lamar Boulevard </t>
  </si>
  <si>
    <t>Dina Muasher</t>
  </si>
  <si>
    <t>+ (512) 977-0544</t>
  </si>
  <si>
    <t>Residence Inn Austin Northwest - The Domain Area</t>
  </si>
  <si>
    <t xml:space="preserve">11301 Burnet Road </t>
  </si>
  <si>
    <t>Adrianne Fort</t>
  </si>
  <si>
    <t>Vera McKelvy</t>
  </si>
  <si>
    <t>+1 (512) 719-7055</t>
  </si>
  <si>
    <t>Austin R Arboretum Opco LP (Falcon Group)</t>
  </si>
  <si>
    <t>Residence Inn Austin The Domain Area</t>
  </si>
  <si>
    <t xml:space="preserve">3713 Tudor Boulevard </t>
  </si>
  <si>
    <t>Brian Long</t>
  </si>
  <si>
    <t>+ (512) 502-8200</t>
  </si>
  <si>
    <t>Residence Inn Baton Rouge Towne Center at Cedar Lodge</t>
  </si>
  <si>
    <t xml:space="preserve">7061 Commerce Cir. </t>
  </si>
  <si>
    <t>Amanda Acosta</t>
  </si>
  <si>
    <t>+1 (225) 925-9100</t>
  </si>
  <si>
    <t>Residence Inn Beaumont</t>
  </si>
  <si>
    <t xml:space="preserve">5380 Clearwater Court </t>
  </si>
  <si>
    <t>Christopher Calvin</t>
  </si>
  <si>
    <t>+1 (409) 434-0600</t>
  </si>
  <si>
    <t>Residence Inn Bethesda - Downtown</t>
  </si>
  <si>
    <t xml:space="preserve">7335 Wisconsin Avenue </t>
  </si>
  <si>
    <t>Shelly Saunders</t>
  </si>
  <si>
    <t>Maria Sosa</t>
  </si>
  <si>
    <t>+(301)718-0200</t>
  </si>
  <si>
    <t>Residence Inn Big Sky/The Wilson Hotel</t>
  </si>
  <si>
    <t xml:space="preserve">145 Town Center Avenue </t>
  </si>
  <si>
    <t>Minsun Robillard</t>
  </si>
  <si>
    <t>+1(406)995-9000</t>
  </si>
  <si>
    <t>Residence Inn Blacksburg</t>
  </si>
  <si>
    <t xml:space="preserve">850 Prices Fork Road </t>
  </si>
  <si>
    <t>Ken Rogers</t>
  </si>
  <si>
    <t>+1 (540) 315-7112</t>
  </si>
  <si>
    <t>Residence Inn Boca Raton</t>
  </si>
  <si>
    <t xml:space="preserve">525 NW 77th Street </t>
  </si>
  <si>
    <t>Denise Wesselhoft</t>
  </si>
  <si>
    <t>Ginelle Powell</t>
  </si>
  <si>
    <t>+1 (561) 994-3222</t>
  </si>
  <si>
    <t>Residence Inn Boise Downtown City Center</t>
  </si>
  <si>
    <t xml:space="preserve">400 South Capitol Boulevard </t>
  </si>
  <si>
    <t>Aimee Tylor</t>
  </si>
  <si>
    <t>+1 (208) 424-9999</t>
  </si>
  <si>
    <t>Residence Inn Boston - Westford</t>
  </si>
  <si>
    <t xml:space="preserve">7 LAN Drive </t>
  </si>
  <si>
    <t>+ (978) 392-1407</t>
  </si>
  <si>
    <t>Residence Inn Boston Burlington</t>
  </si>
  <si>
    <t xml:space="preserve">400 District Ave </t>
  </si>
  <si>
    <t>Bronson webster</t>
  </si>
  <si>
    <t>+1 (781) 307-5523</t>
  </si>
  <si>
    <t>Residence Inn Boston Cambridge</t>
  </si>
  <si>
    <t xml:space="preserve">120 Broadway </t>
  </si>
  <si>
    <t>John Wilmoth</t>
  </si>
  <si>
    <t>Milenko Ivanis</t>
  </si>
  <si>
    <t>(617) 349-0700</t>
  </si>
  <si>
    <t>Residence Inn Boston Downtown South End</t>
  </si>
  <si>
    <t xml:space="preserve">2001 Washington Street </t>
  </si>
  <si>
    <t>Roxbury</t>
  </si>
  <si>
    <t>Gael Shungu</t>
  </si>
  <si>
    <t>+1(857)776-3000</t>
  </si>
  <si>
    <t>Residence Inn Boston Logan Airport Chelsea</t>
  </si>
  <si>
    <t>Eluz Torres</t>
  </si>
  <si>
    <t>+1 (617) 889-9990</t>
  </si>
  <si>
    <t>Residence Inn Boston Natick</t>
  </si>
  <si>
    <t xml:space="preserve">1 Superior Drive </t>
  </si>
  <si>
    <t>Natick</t>
  </si>
  <si>
    <t>Joey Tutela</t>
  </si>
  <si>
    <t>+()1 508-651-5250</t>
  </si>
  <si>
    <t>Residence Inn Boston Needham</t>
  </si>
  <si>
    <t xml:space="preserve">80 B Street </t>
  </si>
  <si>
    <t>Needham</t>
  </si>
  <si>
    <t>Michael Gendrin</t>
  </si>
  <si>
    <t>+1 (781) 444-5750</t>
  </si>
  <si>
    <t>Residence Inn Boston Waltham</t>
  </si>
  <si>
    <t>+1 (781) 202-5140</t>
  </si>
  <si>
    <t>Residence Inn Boston Watertown</t>
  </si>
  <si>
    <t xml:space="preserve">570 Arsenal Street </t>
  </si>
  <si>
    <t>East Watertown</t>
  </si>
  <si>
    <t>Marsha Wong</t>
  </si>
  <si>
    <t>Sharad Chand</t>
  </si>
  <si>
    <t>+1 (617) 926-4600</t>
  </si>
  <si>
    <t>Residence Inn Boulder</t>
  </si>
  <si>
    <t xml:space="preserve">3030 Center Green Drive </t>
  </si>
  <si>
    <t>Cathy Rothweiler</t>
  </si>
  <si>
    <t>(303) 449-5545</t>
  </si>
  <si>
    <t>Residence Inn Boulder Canyon Boulevard</t>
  </si>
  <si>
    <t xml:space="preserve">2550 Canyon Boulevard </t>
  </si>
  <si>
    <t>Laura Brooks</t>
  </si>
  <si>
    <t>+()303-577-7300</t>
  </si>
  <si>
    <t>Boulder R LV Opco LLC (Falcon Group)</t>
  </si>
  <si>
    <t>Residence Inn Boulder-Louisville</t>
  </si>
  <si>
    <t xml:space="preserve">845 Coal Creek Circle </t>
  </si>
  <si>
    <t>Stephen Wenzel</t>
  </si>
  <si>
    <t>Zoua Vang</t>
  </si>
  <si>
    <t>+ (303) 665-2661</t>
  </si>
  <si>
    <t>Residence Inn Branson</t>
  </si>
  <si>
    <t xml:space="preserve">280 Wildwood Drive South </t>
  </si>
  <si>
    <t>Shelia Blevins</t>
  </si>
  <si>
    <t>Tara Headley</t>
  </si>
  <si>
    <t>+1 (417) 336-4077</t>
  </si>
  <si>
    <t>Residence Inn Breckenridge</t>
  </si>
  <si>
    <t xml:space="preserve">600 South Ridge Street </t>
  </si>
  <si>
    <t>Scott Lypson</t>
  </si>
  <si>
    <t>+1 (970) 453-1181</t>
  </si>
  <si>
    <t>Residence Inn Brookfield</t>
  </si>
  <si>
    <t xml:space="preserve">765 Pinehurst Court </t>
  </si>
  <si>
    <t>Mark Ostendorf</t>
  </si>
  <si>
    <t>Georgia Mueller</t>
  </si>
  <si>
    <t>+1 (262) 782-0765</t>
  </si>
  <si>
    <t>Residence Inn Brownsville</t>
  </si>
  <si>
    <t xml:space="preserve">3975 North Expressway 7783 </t>
  </si>
  <si>
    <t>+ (956) 350-8100</t>
  </si>
  <si>
    <t>Residence Inn Buckhead</t>
  </si>
  <si>
    <t xml:space="preserve">2220 Lake Boulevard NE </t>
  </si>
  <si>
    <t>Stephen Hawthorne</t>
  </si>
  <si>
    <t>Stephen Wyner</t>
  </si>
  <si>
    <t>+ (404) 467-1660</t>
  </si>
  <si>
    <t>Residence Inn Burlington-Colchester</t>
  </si>
  <si>
    <t xml:space="preserve">71 Rathe Rd. </t>
  </si>
  <si>
    <t>Andrew Cournoyer</t>
  </si>
  <si>
    <t>+1 (802) 655-3100</t>
  </si>
  <si>
    <t>Residence Inn by Marriott Birmingham</t>
  </si>
  <si>
    <t xml:space="preserve">821 20th Street South </t>
  </si>
  <si>
    <t>Amanda Roberts</t>
  </si>
  <si>
    <t>+(205)731-9595</t>
  </si>
  <si>
    <t>Residence Inn by Marriott Burbank Downtown</t>
  </si>
  <si>
    <t xml:space="preserve">321 Ikea Way </t>
  </si>
  <si>
    <t>Eric Ducat</t>
  </si>
  <si>
    <t>Michael Swaney</t>
  </si>
  <si>
    <t>+1 (818) 260-8787</t>
  </si>
  <si>
    <t>Residence Inn by Marriott Calgary Airport</t>
  </si>
  <si>
    <t xml:space="preserve">2530 48th Ave. NE </t>
  </si>
  <si>
    <t>Residence Inn by Marriott Dulles Airport @ Dulles 28 Centre</t>
  </si>
  <si>
    <t xml:space="preserve">45250 Monterey Place </t>
  </si>
  <si>
    <t>Gregg Carlson</t>
  </si>
  <si>
    <t>Jeffrey Butler</t>
  </si>
  <si>
    <t>+ () 7034212000</t>
  </si>
  <si>
    <t>Residence Inn by Marriott Fairfax City</t>
  </si>
  <si>
    <t xml:space="preserve">3565 Chain Bridge Road </t>
  </si>
  <si>
    <t>Dave Wilson</t>
  </si>
  <si>
    <t>Inga Liaukuviene</t>
  </si>
  <si>
    <t>+1 (703) 267-2525</t>
  </si>
  <si>
    <t>Residence Inn by Marriott Lake Forest/Mettawa</t>
  </si>
  <si>
    <t xml:space="preserve">26325 N. Riverwoods Boulevard </t>
  </si>
  <si>
    <t>+ (847) 615-2701</t>
  </si>
  <si>
    <t>Residence Inn by Marriott Melbourne</t>
  </si>
  <si>
    <t xml:space="preserve">1430 S Babcock Street </t>
  </si>
  <si>
    <t>Julie Braga</t>
  </si>
  <si>
    <t>Melanie Paske</t>
  </si>
  <si>
    <t>+1 (321) 723-5740</t>
  </si>
  <si>
    <t>Residence Inn by Marriott Orlando Airport</t>
  </si>
  <si>
    <t xml:space="preserve">7024 Augusta National Drive </t>
  </si>
  <si>
    <t>Mary Keller</t>
  </si>
  <si>
    <t>+1 (407) 856-2444</t>
  </si>
  <si>
    <t>Residence Inn Camarillo</t>
  </si>
  <si>
    <t xml:space="preserve">2912 Petit Street </t>
  </si>
  <si>
    <t>Josie Williams</t>
  </si>
  <si>
    <t>Karl Fukuda</t>
  </si>
  <si>
    <t xml:space="preserve">+ (805)388-7997 </t>
  </si>
  <si>
    <t>Residence Inn Cape Canaveral Cocoa Beach</t>
  </si>
  <si>
    <t xml:space="preserve">8959 Astronaut Boulevard </t>
  </si>
  <si>
    <t>Tina Campbell</t>
  </si>
  <si>
    <t>+1 (321) 323-1100</t>
  </si>
  <si>
    <t>Residence Inn Capitol</t>
  </si>
  <si>
    <t xml:space="preserve">333 E Street Southwest </t>
  </si>
  <si>
    <t>Deidra Davis</t>
  </si>
  <si>
    <t>+1 (202) 484-8280</t>
  </si>
  <si>
    <t xml:space="preserve">Residence Inn Carlsbad </t>
  </si>
  <si>
    <t xml:space="preserve">2000 Faraday Avenue </t>
  </si>
  <si>
    <t>Hannah Beal</t>
  </si>
  <si>
    <t>Oscar Recinos</t>
  </si>
  <si>
    <t>+ (760) 431-9999</t>
  </si>
  <si>
    <t>Residence Inn Cedar Rapids 33rd</t>
  </si>
  <si>
    <t xml:space="preserve">730 33rd Avenue South West </t>
  </si>
  <si>
    <t>Alex Lussetto</t>
  </si>
  <si>
    <t>Melissa Meyer</t>
  </si>
  <si>
    <t>+1(319)450-7647</t>
  </si>
  <si>
    <t>Residence Inn Champaigne</t>
  </si>
  <si>
    <t xml:space="preserve">502 West Marketview Drive </t>
  </si>
  <si>
    <t>Calita Sterling</t>
  </si>
  <si>
    <t>+(319)752-7400</t>
  </si>
  <si>
    <t>Residence Inn Chantilly Dulles South</t>
  </si>
  <si>
    <t xml:space="preserve">14440 Chantilly Crossing Lane </t>
  </si>
  <si>
    <t>Kristin Feenstra</t>
  </si>
  <si>
    <t>(703) 263-7900</t>
  </si>
  <si>
    <t>Residence Inn Chapel Hill</t>
  </si>
  <si>
    <t xml:space="preserve">101 Erwin Rd. </t>
  </si>
  <si>
    <t>Dale Wilson</t>
  </si>
  <si>
    <t>+1 (919) 933-4848</t>
  </si>
  <si>
    <t>Residence Inn Charleston Airport</t>
  </si>
  <si>
    <t xml:space="preserve">5035 International Boulevard </t>
  </si>
  <si>
    <t>NORTH CHARLESTON</t>
  </si>
  <si>
    <t>Jennifer Della-Penna</t>
  </si>
  <si>
    <t>+1 (843) 266-3434</t>
  </si>
  <si>
    <t>Residence Inn Charleston Downtown Riverview</t>
  </si>
  <si>
    <t xml:space="preserve">90 Ripley Point Drive </t>
  </si>
  <si>
    <t>Darryl Kosiorek</t>
  </si>
  <si>
    <t>+ (843) 571-7979</t>
  </si>
  <si>
    <t>Residence Inn Charleston Summerville</t>
  </si>
  <si>
    <t xml:space="preserve">1528 North Main Street </t>
  </si>
  <si>
    <t>Monica Charles</t>
  </si>
  <si>
    <t>+1 (843) 285-9716</t>
  </si>
  <si>
    <t>Residence Inn Charlotte City Center</t>
  </si>
  <si>
    <t xml:space="preserve">220 East Trade Street Suite 1400 </t>
  </si>
  <si>
    <t>+1(704)334-0709</t>
  </si>
  <si>
    <t>Residence Inn Charlotte Concord</t>
  </si>
  <si>
    <t xml:space="preserve">7601 Scott Padgett Pkwy </t>
  </si>
  <si>
    <t>Andre Collins</t>
  </si>
  <si>
    <t>+1 (704) 454-7862</t>
  </si>
  <si>
    <t>Residence Inn Charlotte SouthPark</t>
  </si>
  <si>
    <t xml:space="preserve">6030 Piedmont Row South </t>
  </si>
  <si>
    <t>Jade Johnson</t>
  </si>
  <si>
    <t>+ (704) 554-7001</t>
  </si>
  <si>
    <t>Residence Inn Charlotte University Research Park</t>
  </si>
  <si>
    <t xml:space="preserve">8503 North Tryon Street </t>
  </si>
  <si>
    <t>+1 (704) 547-1122</t>
  </si>
  <si>
    <t>Residence Inn Charlotte-Uptown</t>
  </si>
  <si>
    <t xml:space="preserve">404 South Mint Street </t>
  </si>
  <si>
    <t xml:space="preserve"> Craig Austin</t>
  </si>
  <si>
    <t>+1 (704) 340-4000</t>
  </si>
  <si>
    <t>Residence Inn Chattanooga - Downtown</t>
  </si>
  <si>
    <t xml:space="preserve">215 Chestnut Street </t>
  </si>
  <si>
    <t>Nathan Smith</t>
  </si>
  <si>
    <t>+ (423) 266-0600</t>
  </si>
  <si>
    <t>Residence Inn Cherry Creek</t>
  </si>
  <si>
    <t xml:space="preserve">670 South Colorado Boulevard </t>
  </si>
  <si>
    <t>Randie Mallory</t>
  </si>
  <si>
    <t>+(303)758-6200</t>
  </si>
  <si>
    <t>Residence Inn Chicago Downtown Loop</t>
  </si>
  <si>
    <t xml:space="preserve">11 South LaSalle Street </t>
  </si>
  <si>
    <t>Tommie Van</t>
  </si>
  <si>
    <t>+1(312)223-8500</t>
  </si>
  <si>
    <t>Residence Inn Chicago River North</t>
  </si>
  <si>
    <t xml:space="preserve">410 Dearborn Street </t>
  </si>
  <si>
    <t>Leah Thompson</t>
  </si>
  <si>
    <t>Linda Hunt</t>
  </si>
  <si>
    <t>+ (312) 644-4071</t>
  </si>
  <si>
    <t>Residence Inn Chicago Schaumburg</t>
  </si>
  <si>
    <t xml:space="preserve">1610 McConnor Parkway </t>
  </si>
  <si>
    <t>Lou Demarchi</t>
  </si>
  <si>
    <t>+1 (847) 517-9200</t>
  </si>
  <si>
    <t>Residence Inn Chico</t>
  </si>
  <si>
    <t xml:space="preserve">2485 Carmichael Drive </t>
  </si>
  <si>
    <t>Cassie Motzkus</t>
  </si>
  <si>
    <t>+1 (530) 894-5500</t>
  </si>
  <si>
    <t>Residence Inn Cincinnati - West Chester</t>
  </si>
  <si>
    <t xml:space="preserve">6240 Muhlhauser Road </t>
  </si>
  <si>
    <t>+1 (513) 341-4040</t>
  </si>
  <si>
    <t>Residence Inn Cincinnati Downtown</t>
  </si>
  <si>
    <t xml:space="preserve">506 East 4th Street </t>
  </si>
  <si>
    <t>Paul Pisegna</t>
  </si>
  <si>
    <t>+1 (513) 651-1234</t>
  </si>
  <si>
    <t>Residence Inn Cincinnati Midtown Rookwood</t>
  </si>
  <si>
    <t xml:space="preserve">3815 Edwards Road </t>
  </si>
  <si>
    <t>+1 (513) 873-2400</t>
  </si>
  <si>
    <t>Residence Inn Cincinnati Northeast/Mason</t>
  </si>
  <si>
    <t xml:space="preserve">2511 Kings Center Court </t>
  </si>
  <si>
    <t>+1 (513) 972-8500</t>
  </si>
  <si>
    <t>Residence Inn Clearwater Downtown</t>
  </si>
  <si>
    <t xml:space="preserve">940 Court Street </t>
  </si>
  <si>
    <t>Steven Bradshaw</t>
  </si>
  <si>
    <t>Norman Bottie</t>
  </si>
  <si>
    <t>+1 (727) 562-5400</t>
  </si>
  <si>
    <t>Residence Inn Cleveland University Circle - Medical Center</t>
  </si>
  <si>
    <t xml:space="preserve">1914 E 101st Street </t>
  </si>
  <si>
    <t>Laura Chmielewski</t>
  </si>
  <si>
    <t>+1(216)249-9090</t>
  </si>
  <si>
    <t>Residence Inn College Station</t>
  </si>
  <si>
    <t xml:space="preserve">720 University Dr. E </t>
  </si>
  <si>
    <t>Eddie Hernandez</t>
  </si>
  <si>
    <t>+1 (979) 268-2200</t>
  </si>
  <si>
    <t>Residence Inn Colorado Springs East</t>
  </si>
  <si>
    <t xml:space="preserve">6020 South Carefree Circle </t>
  </si>
  <si>
    <t>Deborah Niemeyer</t>
  </si>
  <si>
    <t>+1 (719) 473-0370</t>
  </si>
  <si>
    <t>Residence Inn Columbia</t>
  </si>
  <si>
    <t xml:space="preserve">1100 Woodland Springs Court </t>
  </si>
  <si>
    <t>Bobbi Luebbert</t>
  </si>
  <si>
    <t>Serena Bevans</t>
  </si>
  <si>
    <t>+ () 573-442-5601</t>
  </si>
  <si>
    <t>Residence Inn Columbia (Baltimore)</t>
  </si>
  <si>
    <t xml:space="preserve">4950 Beaver Run </t>
  </si>
  <si>
    <t>Ellicott City</t>
  </si>
  <si>
    <t>Zuzanna Latkowska</t>
  </si>
  <si>
    <t>(410) 997-7200</t>
  </si>
  <si>
    <t>Residence Inn Columbus</t>
  </si>
  <si>
    <t xml:space="preserve">2670 Adams Farm Drive </t>
  </si>
  <si>
    <t>Emily White</t>
  </si>
  <si>
    <t>+1 (706) 494-0050</t>
  </si>
  <si>
    <t xml:space="preserve">4525 West State Road 46 </t>
  </si>
  <si>
    <t>Debra Duncan</t>
  </si>
  <si>
    <t>+1 (812) 342-2400</t>
  </si>
  <si>
    <t>Residence Inn Columbus Airport</t>
  </si>
  <si>
    <t xml:space="preserve">4294 International Gateway </t>
  </si>
  <si>
    <t>+1 (614) 236-1000</t>
  </si>
  <si>
    <t>Residence Inn Columbus Dublin</t>
  </si>
  <si>
    <t xml:space="preserve">6364 Frantz Road </t>
  </si>
  <si>
    <t>John Stevenson</t>
  </si>
  <si>
    <t>Mike Hrusovsky</t>
  </si>
  <si>
    <t>+1 (614) 389-6600</t>
  </si>
  <si>
    <t>Residence Inn Columbus Easton</t>
  </si>
  <si>
    <t xml:space="preserve">3999 Easton Loop West </t>
  </si>
  <si>
    <t>Rachel Marchant</t>
  </si>
  <si>
    <t>+ (614) 414-1000</t>
  </si>
  <si>
    <t>Residence Inn Columbus Polaris</t>
  </si>
  <si>
    <t xml:space="preserve">8865 Lyra Drive </t>
  </si>
  <si>
    <t>Kimberly Black</t>
  </si>
  <si>
    <t>Mike Koh</t>
  </si>
  <si>
    <t>+1 (614) 436-3955</t>
  </si>
  <si>
    <t>Residence Inn Concord MA</t>
  </si>
  <si>
    <t xml:space="preserve">320 Baker Avenue </t>
  </si>
  <si>
    <t>West Concord</t>
  </si>
  <si>
    <t>Mark Cohn</t>
  </si>
  <si>
    <t>Jeremy Hall</t>
  </si>
  <si>
    <t>+(978) 341-0003</t>
  </si>
  <si>
    <t>Residence Inn Coralville</t>
  </si>
  <si>
    <t xml:space="preserve">2681 James Street </t>
  </si>
  <si>
    <t>Megan Johson</t>
  </si>
  <si>
    <t>+ (319) 338-6000</t>
  </si>
  <si>
    <t>Residence Inn Corona</t>
  </si>
  <si>
    <t xml:space="preserve">1015 Montecito Drive </t>
  </si>
  <si>
    <t>+1 (951) 371-0107</t>
  </si>
  <si>
    <t>Residence Inn Costa Mesa - Newport Beach</t>
  </si>
  <si>
    <t xml:space="preserve">881 Baker Street </t>
  </si>
  <si>
    <t>Sue Cooke</t>
  </si>
  <si>
    <t>(714) 241-8800</t>
  </si>
  <si>
    <t>Residence Inn Crabtree Valley</t>
  </si>
  <si>
    <t xml:space="preserve">2200 Summit Park Lane </t>
  </si>
  <si>
    <t>+ (919) 279-3000</t>
  </si>
  <si>
    <t>Residence Inn Cranbury-South Brunswick</t>
  </si>
  <si>
    <t xml:space="preserve">2662 Route 130 </t>
  </si>
  <si>
    <t>(609) 395-9447</t>
  </si>
  <si>
    <t>Residence Inn Cypress - Orange County</t>
  </si>
  <si>
    <t xml:space="preserve">4931 Katella Avenue </t>
  </si>
  <si>
    <t>Los Alamitos</t>
  </si>
  <si>
    <t>Lisa Lane</t>
  </si>
  <si>
    <t>Karen McCall</t>
  </si>
  <si>
    <t>(714) 484-5700</t>
  </si>
  <si>
    <t>Residence Inn Dallas - Las Colinas</t>
  </si>
  <si>
    <t xml:space="preserve">950 Walnut Hill Lane </t>
  </si>
  <si>
    <t>Ana Quintanilla</t>
  </si>
  <si>
    <t>Gary Shepherd</t>
  </si>
  <si>
    <t>(972) 580-7773</t>
  </si>
  <si>
    <t>Residence Inn Dallas Allen - Fairview</t>
  </si>
  <si>
    <t xml:space="preserve">295 Murray Farm Road </t>
  </si>
  <si>
    <t>Michael Donnelly</t>
  </si>
  <si>
    <t>+1 (972) 548-4800</t>
  </si>
  <si>
    <t>Residence Inn Dallas by the Galleria</t>
  </si>
  <si>
    <t>+1(469)399-1019</t>
  </si>
  <si>
    <t>Residence Inn Dallas Plano</t>
  </si>
  <si>
    <t xml:space="preserve">5001 Whitestone Lane </t>
  </si>
  <si>
    <t>Joseph Mitchell</t>
  </si>
  <si>
    <t>+ (972) 473-6761</t>
  </si>
  <si>
    <t>Residence Inn Dallas Plano-Richardson</t>
  </si>
  <si>
    <t xml:space="preserve">1705 East President George Bush Highway </t>
  </si>
  <si>
    <t>Mike Donahue</t>
  </si>
  <si>
    <t>+1 (972) 424-9101</t>
  </si>
  <si>
    <t>Residence Inn Dallas/ Fort Worth Airport North</t>
  </si>
  <si>
    <t xml:space="preserve">8600 Esters Boulevard </t>
  </si>
  <si>
    <t>William Mitchell</t>
  </si>
  <si>
    <t>Chris Campbell</t>
  </si>
  <si>
    <t>+1 (972) 871-1331</t>
  </si>
  <si>
    <t>Residence Inn Danbury</t>
  </si>
  <si>
    <t xml:space="preserve">22 Segar Street </t>
  </si>
  <si>
    <t>+ (203) 797-1256</t>
  </si>
  <si>
    <t>Residence Inn Dayton North</t>
  </si>
  <si>
    <t xml:space="preserve">7227 York Center Drive </t>
  </si>
  <si>
    <t>Assistant General Manager</t>
  </si>
  <si>
    <t>Robyn Ingalls</t>
  </si>
  <si>
    <t>+ (937) 890-2244</t>
  </si>
  <si>
    <t>Residence Inn Dayton Troy</t>
  </si>
  <si>
    <t xml:space="preserve">87 Troy Town Drive </t>
  </si>
  <si>
    <t>Rhonda Doty-</t>
  </si>
  <si>
    <t>+1 (937) 440-9303</t>
  </si>
  <si>
    <t>Residence Inn Daytona Beach</t>
  </si>
  <si>
    <t xml:space="preserve">1725 Richard Petty Blvd. </t>
  </si>
  <si>
    <t xml:space="preserve">Brittany Simons </t>
  </si>
  <si>
    <t>+(386)252 - 3949</t>
  </si>
  <si>
    <t>Residence Inn Decatur</t>
  </si>
  <si>
    <t xml:space="preserve">1213 Courtyard Circle </t>
  </si>
  <si>
    <t>Annie Thornton</t>
  </si>
  <si>
    <t>+1 (256) 280-2666</t>
  </si>
  <si>
    <t>Residence Inn Dedham</t>
  </si>
  <si>
    <t xml:space="preserve">259 Elm Street </t>
  </si>
  <si>
    <t>Chelsea Powell</t>
  </si>
  <si>
    <t>Alex Frans</t>
  </si>
  <si>
    <t>+(781)407-0999</t>
  </si>
  <si>
    <t>Residence Inn Del Mar</t>
  </si>
  <si>
    <t xml:space="preserve">3525 Valley Centre Drive </t>
  </si>
  <si>
    <t xml:space="preserve">Adrian Flores </t>
  </si>
  <si>
    <t>(858) 481-8800</t>
  </si>
  <si>
    <t>Residence Inn Denver Airport Aurora</t>
  </si>
  <si>
    <t xml:space="preserve">16490 East 40th Circle </t>
  </si>
  <si>
    <t>Robert Hellman</t>
  </si>
  <si>
    <t>+1 (303) 459-8000</t>
  </si>
  <si>
    <t>Residence Inn Denver Airport Convention Center</t>
  </si>
  <si>
    <t xml:space="preserve">6762 Tower Road </t>
  </si>
  <si>
    <t>Mike Christen</t>
  </si>
  <si>
    <t>+1(303) 307-9100</t>
  </si>
  <si>
    <t>Residence Inn Denver City Center</t>
  </si>
  <si>
    <t xml:space="preserve">1725 Champa Street </t>
  </si>
  <si>
    <t>Brad Leonard</t>
  </si>
  <si>
    <t>David Schiltz</t>
  </si>
  <si>
    <t>+1 (303) 296-3444</t>
  </si>
  <si>
    <t>Residence Inn Denver Southwest - Lakewood</t>
  </si>
  <si>
    <t xml:space="preserve">7050 West Hampden Avenue </t>
  </si>
  <si>
    <t>+ (303) 985-7676</t>
  </si>
  <si>
    <t>Residence Inn Denver Southwest Littleton</t>
  </si>
  <si>
    <t xml:space="preserve">3090 West County Line Road </t>
  </si>
  <si>
    <t>+1 (303) 791-3010</t>
  </si>
  <si>
    <t>Residence Inn Denver Stapleton</t>
  </si>
  <si>
    <t xml:space="preserve">4667 North Central Park Boulevard </t>
  </si>
  <si>
    <t>+1 (303) 373-3960</t>
  </si>
  <si>
    <t>Denver R Golden Opco LLC (Falcon Group)</t>
  </si>
  <si>
    <t>Residence Inn Denver West Golden</t>
  </si>
  <si>
    <t xml:space="preserve">14600 West 6th Avenue </t>
  </si>
  <si>
    <t>+ (303) 271-0909</t>
  </si>
  <si>
    <t>Residence Inn Des Moines</t>
  </si>
  <si>
    <t xml:space="preserve">100 SW Water Street </t>
  </si>
  <si>
    <t>Kim Harper</t>
  </si>
  <si>
    <t>+1 (515) 288-4500</t>
  </si>
  <si>
    <t>Residence Inn Detroit Pontiac</t>
  </si>
  <si>
    <t xml:space="preserve">3333 Centerpoint Parkway </t>
  </si>
  <si>
    <t>+1 (248) 858-8664</t>
  </si>
  <si>
    <t>Residence Inn Dothan</t>
  </si>
  <si>
    <t xml:space="preserve">186 Hospitality Lane </t>
  </si>
  <si>
    <t>Pam Garrett</t>
  </si>
  <si>
    <t>+1 (334) 793-1030</t>
  </si>
  <si>
    <t>Residence Inn Downtown Little Rock</t>
  </si>
  <si>
    <t xml:space="preserve">219 River Market Avenue </t>
  </si>
  <si>
    <t>Sean Cadzow</t>
  </si>
  <si>
    <t>+(501)376-7200</t>
  </si>
  <si>
    <t>Residence Inn Downtown Omaha (OFB)</t>
  </si>
  <si>
    <t xml:space="preserve">106 South 15th Street </t>
  </si>
  <si>
    <t>Kyle Steenson</t>
  </si>
  <si>
    <t>Residence Inn Downtown Raleigh</t>
  </si>
  <si>
    <t xml:space="preserve">616 South Salisbury Street </t>
  </si>
  <si>
    <t>+1 (919) 856-0017</t>
  </si>
  <si>
    <t>Residence Inn Dupont Circle</t>
  </si>
  <si>
    <t xml:space="preserve">2120 P Street NW </t>
  </si>
  <si>
    <t>Seviye Gucbilmez</t>
  </si>
  <si>
    <t>+1 (202) 466-6800</t>
  </si>
  <si>
    <t>Residence Inn Durham</t>
  </si>
  <si>
    <t xml:space="preserve">201 Residence Inn Blvd. </t>
  </si>
  <si>
    <t>(919) 361-1266</t>
  </si>
  <si>
    <t>Residence Inn East Lansing</t>
  </si>
  <si>
    <t xml:space="preserve">2841 Hannah Boulevard </t>
  </si>
  <si>
    <t>Tracie Kent</t>
  </si>
  <si>
    <t>Tyler Shafer</t>
  </si>
  <si>
    <t>+1 (517) 657-2875</t>
  </si>
  <si>
    <t>Residence Inn Edina</t>
  </si>
  <si>
    <t xml:space="preserve">3400 Edinborough Way </t>
  </si>
  <si>
    <t>Edina</t>
  </si>
  <si>
    <t>Lisa Mullerleile</t>
  </si>
  <si>
    <t>+ (952) 893-9300</t>
  </si>
  <si>
    <t>Residence Inn El Segundo</t>
  </si>
  <si>
    <t xml:space="preserve">2135 East El Segundo Boulevard </t>
  </si>
  <si>
    <t>Ursula Rohler</t>
  </si>
  <si>
    <t>+1 (310) 333-0888</t>
  </si>
  <si>
    <t>Residence Inn Eugene</t>
  </si>
  <si>
    <t xml:space="preserve">25 Club Road </t>
  </si>
  <si>
    <t>Colleen Arruda</t>
  </si>
  <si>
    <t>+ (541) 342-7171</t>
  </si>
  <si>
    <t>Residence Inn Evansville East</t>
  </si>
  <si>
    <t xml:space="preserve">8283 East Walnut Street </t>
  </si>
  <si>
    <t>Mo El Ramahi</t>
  </si>
  <si>
    <t>+ (812) 471-7191</t>
  </si>
  <si>
    <t>Residence Inn Fairfax/Merrifield</t>
  </si>
  <si>
    <t xml:space="preserve">8125 Gatehouse Road </t>
  </si>
  <si>
    <t>(703) 573-5200</t>
  </si>
  <si>
    <t>Residence Inn Fayetteville</t>
  </si>
  <si>
    <t xml:space="preserve">1468 Skibo Road </t>
  </si>
  <si>
    <t>Rose Guinn</t>
  </si>
  <si>
    <t>+1 (910) 868-9005</t>
  </si>
  <si>
    <t>Residence Inn Fenway</t>
  </si>
  <si>
    <t xml:space="preserve">125 Brookline Avenue </t>
  </si>
  <si>
    <t>Genevieve Humphrey</t>
  </si>
  <si>
    <t>+(617)236-8787</t>
  </si>
  <si>
    <t xml:space="preserve">1000 Sweetwater Avenue </t>
  </si>
  <si>
    <t>Kati Thompson</t>
  </si>
  <si>
    <t>Lisa Norton</t>
  </si>
  <si>
    <t>+1 (256) 764-9966</t>
  </si>
  <si>
    <t>Residence Inn Foggy Bottom</t>
  </si>
  <si>
    <t xml:space="preserve">801 New Hampshire Avenue </t>
  </si>
  <si>
    <t>Jessica Conley</t>
  </si>
  <si>
    <t>+1 (202) 785-2000</t>
  </si>
  <si>
    <t>Residence Inn Forsyth</t>
  </si>
  <si>
    <t xml:space="preserve">230 Lucile Avenue </t>
  </si>
  <si>
    <t>Forsyth</t>
  </si>
  <si>
    <t>Amy Trostle</t>
  </si>
  <si>
    <t>Benjamin Silver</t>
  </si>
  <si>
    <t>+1 (217) 872-6600</t>
  </si>
  <si>
    <t>Residence Inn Fort Collins</t>
  </si>
  <si>
    <t xml:space="preserve">1127 Oakridge Drive </t>
  </si>
  <si>
    <t>Linda Schrader</t>
  </si>
  <si>
    <t>+(970)223-5700</t>
  </si>
  <si>
    <t>Residence Inn Fort Lauderdale</t>
  </si>
  <si>
    <t xml:space="preserve">3333 Northeast 32nd Avenue </t>
  </si>
  <si>
    <t>David Fernandaz</t>
  </si>
  <si>
    <t>Jennifer Johnson</t>
  </si>
  <si>
    <t>+1 (954) 564-4400</t>
  </si>
  <si>
    <t>Residence Inn Fort Lauderdale Airport &amp; Cruise Port</t>
  </si>
  <si>
    <t xml:space="preserve">4801 Anglers Avenue </t>
  </si>
  <si>
    <t>Cristyl-Lin Scott</t>
  </si>
  <si>
    <t>+1 (954) 989-3636</t>
  </si>
  <si>
    <t>Residence Inn Fort Lauderdale Pompano Beach</t>
  </si>
  <si>
    <t xml:space="preserve">2880 Center Port Circle </t>
  </si>
  <si>
    <t>Pompano Beach</t>
  </si>
  <si>
    <t>Linda Markert</t>
  </si>
  <si>
    <t>Residence Inn Fort Myers</t>
  </si>
  <si>
    <t xml:space="preserve">2960 Colonial Boulevard </t>
  </si>
  <si>
    <t>Amanda Chades</t>
  </si>
  <si>
    <t>+ (239) 936-0110</t>
  </si>
  <si>
    <t>Residence Inn Fort Myers Gulf Coast Town Center</t>
  </si>
  <si>
    <t xml:space="preserve">10054 Gulf Center Drive </t>
  </si>
  <si>
    <t>Margarita Lopera</t>
  </si>
  <si>
    <t>+1 (239) 332-7001</t>
  </si>
  <si>
    <t>Residence Inn Fort Smith</t>
  </si>
  <si>
    <t xml:space="preserve">3005 South 74th St </t>
  </si>
  <si>
    <t>Amber Freeman</t>
  </si>
  <si>
    <t>+1 (479) 478-8300</t>
  </si>
  <si>
    <t>Residence Inn Fort Walton Beach</t>
  </si>
  <si>
    <t xml:space="preserve">2 Miracle Strip Parkway SE </t>
  </si>
  <si>
    <t>Amanda Wells</t>
  </si>
  <si>
    <t>James Fender</t>
  </si>
  <si>
    <t>+1 (850) 301-1369</t>
  </si>
  <si>
    <t>Residence Inn Fort Wayne- South</t>
  </si>
  <si>
    <t xml:space="preserve">7811 West Jefferson Boulevard </t>
  </si>
  <si>
    <t>Dent Davis</t>
  </si>
  <si>
    <t>Gina Noss</t>
  </si>
  <si>
    <t>+1 (260) 432-8000</t>
  </si>
  <si>
    <t>Residence Inn Fort Worth Alliance Airport</t>
  </si>
  <si>
    <t xml:space="preserve">13400 North Freeway </t>
  </si>
  <si>
    <t>Maricruz Zamora</t>
  </si>
  <si>
    <t>+1 (817) 750-7000</t>
  </si>
  <si>
    <t>Residence Inn Framingham</t>
  </si>
  <si>
    <t xml:space="preserve">400 Staples Drive </t>
  </si>
  <si>
    <t>Svetlozar Miloshev</t>
  </si>
  <si>
    <t>+ (508) 370-0001</t>
  </si>
  <si>
    <t>Residence Inn Franklin</t>
  </si>
  <si>
    <t xml:space="preserve">2009 Meridian Blvd. </t>
  </si>
  <si>
    <t>TJ Angeleno</t>
  </si>
  <si>
    <t>+1 (615) 778-0002</t>
  </si>
  <si>
    <t>Residence Inn Frederick</t>
  </si>
  <si>
    <t xml:space="preserve">5230 Westview Drive </t>
  </si>
  <si>
    <t>Elizabeth Segovia</t>
  </si>
  <si>
    <t>+1 (301) 360-0010</t>
  </si>
  <si>
    <t>Residence Inn Fulton at Maple Lawn</t>
  </si>
  <si>
    <t xml:space="preserve">11800 West Market Place </t>
  </si>
  <si>
    <t>Chuck Chandler</t>
  </si>
  <si>
    <t>+1 (301) 776-7460</t>
  </si>
  <si>
    <t>Residence Inn Glenwood Springs</t>
  </si>
  <si>
    <t xml:space="preserve">125 Wulfsohn Road </t>
  </si>
  <si>
    <t>Bryce Skeen</t>
  </si>
  <si>
    <t xml:space="preserve">+ (970)928-0900 </t>
  </si>
  <si>
    <t>Residence Inn Grand Junction</t>
  </si>
  <si>
    <t xml:space="preserve">767 Horizon Drive </t>
  </si>
  <si>
    <t>Caroline Coles</t>
  </si>
  <si>
    <t>+1 (970) 263-4004</t>
  </si>
  <si>
    <t>Residence Inn Grand Rapids</t>
  </si>
  <si>
    <t xml:space="preserve">3451 Rivertown Point Ct. SW </t>
  </si>
  <si>
    <t>Grandville</t>
  </si>
  <si>
    <t>Kay Shumate</t>
  </si>
  <si>
    <t>(616) 538-1100</t>
  </si>
  <si>
    <t>Residence Inn Green Hills</t>
  </si>
  <si>
    <t xml:space="preserve">3807 Cleghorn Avenue </t>
  </si>
  <si>
    <t>+1(615)279-1414</t>
  </si>
  <si>
    <t>Residence Inn Greensboro Airport</t>
  </si>
  <si>
    <t xml:space="preserve">7616 Thorndike Rd </t>
  </si>
  <si>
    <t>Sherrie Gladney</t>
  </si>
  <si>
    <t>+1 (336) 632-4666</t>
  </si>
  <si>
    <t>Residence Inn Greenville</t>
  </si>
  <si>
    <t xml:space="preserve">1820 West 5th Street </t>
  </si>
  <si>
    <t>Andrea ochoa-gorum</t>
  </si>
  <si>
    <t>Walter Smith</t>
  </si>
  <si>
    <t>+(252) 364-8999</t>
  </si>
  <si>
    <t>Residence Inn Greenville &amp; Springhill Suites Greenville</t>
  </si>
  <si>
    <t xml:space="preserve">200 East Washington Street </t>
  </si>
  <si>
    <t>Derek Cooper</t>
  </si>
  <si>
    <t>luther pye</t>
  </si>
  <si>
    <t>+1 (864) 720-2901</t>
  </si>
  <si>
    <t>Residence Inn Greenville-Spartanburg Airport</t>
  </si>
  <si>
    <t xml:space="preserve">120 Milestone WAY </t>
  </si>
  <si>
    <t>Jasmin Gilbertson</t>
  </si>
  <si>
    <t>Laura Perry</t>
  </si>
  <si>
    <t>+ (864) 627-0001</t>
  </si>
  <si>
    <t>Residence Inn Harrisburg Carlisle</t>
  </si>
  <si>
    <t xml:space="preserve">1 Hampton Court </t>
  </si>
  <si>
    <t>Ashton Lloyd</t>
  </si>
  <si>
    <t>+1 (717) 610-9050</t>
  </si>
  <si>
    <t>Residence Inn Harrisburg Linglestown</t>
  </si>
  <si>
    <t xml:space="preserve">2250 Kohn Road </t>
  </si>
  <si>
    <t>Lisa Marie Sheaffer</t>
  </si>
  <si>
    <t>Tina Garlinger</t>
  </si>
  <si>
    <t>+1 (717)671-9300</t>
  </si>
  <si>
    <t>Residence Inn Hartford</t>
  </si>
  <si>
    <t>Kam Saleh</t>
  </si>
  <si>
    <t>Tiffany Foxx</t>
  </si>
  <si>
    <t>+1 (860) 524-5550</t>
  </si>
  <si>
    <t>Residence Inn Hattiesburg</t>
  </si>
  <si>
    <t xml:space="preserve">116 Grand Dr. </t>
  </si>
  <si>
    <t>Fred Spence</t>
  </si>
  <si>
    <t>+1 (601) 264-9202</t>
  </si>
  <si>
    <t>Residence Inn Hazleton</t>
  </si>
  <si>
    <t xml:space="preserve">1 Station Circle </t>
  </si>
  <si>
    <t>Toni Ruggiero</t>
  </si>
  <si>
    <t>+1 (570) 455-9555</t>
  </si>
  <si>
    <t>Residence Inn Henderson - Green Valley</t>
  </si>
  <si>
    <t xml:space="preserve">2190 Olympic Avenue </t>
  </si>
  <si>
    <t>Wendy Molton</t>
  </si>
  <si>
    <t>(702) 434-2700</t>
  </si>
  <si>
    <t>Residence Inn Herndon Reston</t>
  </si>
  <si>
    <t xml:space="preserve">315 Elden Street </t>
  </si>
  <si>
    <t>Sean Flynn</t>
  </si>
  <si>
    <t>+1 (703) 435-0044</t>
  </si>
  <si>
    <t>Residence Inn Highlands Ranch</t>
  </si>
  <si>
    <t xml:space="preserve">93 West Centennial Boulevard </t>
  </si>
  <si>
    <t>Steve Firstenberg</t>
  </si>
  <si>
    <t>+ (303) 683-5500</t>
  </si>
  <si>
    <t>Residence Inn Hillsboro</t>
  </si>
  <si>
    <t xml:space="preserve">3160 Northeast Brookwood Parkway </t>
  </si>
  <si>
    <t>Katie-Lee Baker</t>
  </si>
  <si>
    <t>Michele Reyes</t>
  </si>
  <si>
    <t>+(302) 226-1515</t>
  </si>
  <si>
    <t>Residence Inn Holland</t>
  </si>
  <si>
    <t xml:space="preserve">631 Southpointe Ridge </t>
  </si>
  <si>
    <t>Matt Yost</t>
  </si>
  <si>
    <t>+1 (616) 393-6900</t>
  </si>
  <si>
    <t>Residence Inn Holtsville</t>
  </si>
  <si>
    <t xml:space="preserve">25 Middle Avenue </t>
  </si>
  <si>
    <t>Holtsville</t>
  </si>
  <si>
    <t>Lauren Kemler</t>
  </si>
  <si>
    <t>+1 (631) 475-9500</t>
  </si>
  <si>
    <t>Residence Inn Houston - Cypress</t>
  </si>
  <si>
    <t xml:space="preserve">10456 Huffmeister Road </t>
  </si>
  <si>
    <t>Pamela Avritt</t>
  </si>
  <si>
    <t>Svetla Jobe</t>
  </si>
  <si>
    <t>+1 (281) 295-1777</t>
  </si>
  <si>
    <t>Residence Inn Houston I-10 West-Park Row</t>
  </si>
  <si>
    <t xml:space="preserve">1550 Barker Cypress Road </t>
  </si>
  <si>
    <t>Arquil Lucien</t>
  </si>
  <si>
    <t>Jasmine James</t>
  </si>
  <si>
    <t>+1 (281) 829-2600</t>
  </si>
  <si>
    <t>Residence Inn Houston Tomball</t>
  </si>
  <si>
    <t xml:space="preserve">14303 Medical Complex Drive </t>
  </si>
  <si>
    <t>Tomball</t>
  </si>
  <si>
    <t>+1 (281) 799-3910</t>
  </si>
  <si>
    <t>Residence Inn Houston West Energy Corridor</t>
  </si>
  <si>
    <t xml:space="preserve">1150 Eldridge Parkway </t>
  </si>
  <si>
    <t>Joy East</t>
  </si>
  <si>
    <t>+1 (281) 293-8787</t>
  </si>
  <si>
    <t>Residence Inn Houston- West University</t>
  </si>
  <si>
    <t xml:space="preserve">2939 Westpark Drive </t>
  </si>
  <si>
    <t>+1 (713) 661-4660</t>
  </si>
  <si>
    <t>Residence Inn Houston Westchase</t>
  </si>
  <si>
    <t xml:space="preserve">9965 Westheimer Road </t>
  </si>
  <si>
    <t>Julie McBride</t>
  </si>
  <si>
    <t>(713) 974-5454</t>
  </si>
  <si>
    <t>Residence Inn Indianapolis - Carmel</t>
  </si>
  <si>
    <t xml:space="preserve">11895 North Meridian Street </t>
  </si>
  <si>
    <t>Brett Sigley</t>
  </si>
  <si>
    <t>+1 (317) 846-2000</t>
  </si>
  <si>
    <t>Residence Inn Indianapolis Airport</t>
  </si>
  <si>
    <t xml:space="preserve">5224 West Southern Avenue </t>
  </si>
  <si>
    <t>Doug Scott</t>
  </si>
  <si>
    <t>+1 (317) 244-1500</t>
  </si>
  <si>
    <t>Residence Inn Indianapolis Northwest</t>
  </si>
  <si>
    <t xml:space="preserve">6220 Digital Way </t>
  </si>
  <si>
    <t>+1 (317) 275-6000</t>
  </si>
  <si>
    <t>Residence Inn Irvine- Orange County A/P</t>
  </si>
  <si>
    <t xml:space="preserve">2855 Main Street </t>
  </si>
  <si>
    <t>Ryan Fitzpatrick</t>
  </si>
  <si>
    <t>(949) 261-2020</t>
  </si>
  <si>
    <t>Residence Inn Irvine Spectrum</t>
  </si>
  <si>
    <t xml:space="preserve">10 Morgan Street </t>
  </si>
  <si>
    <t>Ruby Macias</t>
  </si>
  <si>
    <t>(949) 380-3000</t>
  </si>
  <si>
    <t>Residence Inn Jackson</t>
  </si>
  <si>
    <t xml:space="preserve">126 Old Medina Crossing </t>
  </si>
  <si>
    <t>Alex Brumley</t>
  </si>
  <si>
    <t>+1 (731) 935-4100</t>
  </si>
  <si>
    <t>Residence Inn Jackson The District at Eastover</t>
  </si>
  <si>
    <t xml:space="preserve">1248 Eastover Drive </t>
  </si>
  <si>
    <t>Tina Smith</t>
  </si>
  <si>
    <t>+1 (601)362-8003</t>
  </si>
  <si>
    <t>Residence Inn Jacksonville</t>
  </si>
  <si>
    <t xml:space="preserve">10551 Deerwood Park Blvd </t>
  </si>
  <si>
    <t>Sarah Wilson</t>
  </si>
  <si>
    <t>+ (904) 996-8900</t>
  </si>
  <si>
    <t>Residence Inn Jacksonville Airport</t>
  </si>
  <si>
    <t xml:space="preserve">1310 Airport Road </t>
  </si>
  <si>
    <t>Sylvia Wardzala</t>
  </si>
  <si>
    <t>+1 (904) 741-6550</t>
  </si>
  <si>
    <t>Residence Inn Jersey City</t>
  </si>
  <si>
    <t xml:space="preserve">80 Christopher Columbus Drive </t>
  </si>
  <si>
    <t>John Pascali</t>
  </si>
  <si>
    <t>+1 (201) 222-5500</t>
  </si>
  <si>
    <t>Residence Inn Johns Hopkins</t>
  </si>
  <si>
    <t xml:space="preserve">800 North Wolfe Street </t>
  </si>
  <si>
    <t>Chad (Martavius) Bright</t>
  </si>
  <si>
    <t>Ian Harvey</t>
  </si>
  <si>
    <t>+1 (443) 524-8400</t>
  </si>
  <si>
    <t>Residence Inn Joplin</t>
  </si>
  <si>
    <t xml:space="preserve">3128 East Hammons Boulevard </t>
  </si>
  <si>
    <t>Pete Hall</t>
  </si>
  <si>
    <t>+1 (417) 782-0908</t>
  </si>
  <si>
    <t>Residence Inn Kalamazoo</t>
  </si>
  <si>
    <t xml:space="preserve">1500 East Kilgore Road </t>
  </si>
  <si>
    <t>Ashley Salyer</t>
  </si>
  <si>
    <t>Carrie Oberthaler</t>
  </si>
  <si>
    <t>+()269-349-0855</t>
  </si>
  <si>
    <t>Residence Inn Kansas City Airport</t>
  </si>
  <si>
    <t xml:space="preserve">10300 Ambassador Drive </t>
  </si>
  <si>
    <t>+1 (816) 741-2300</t>
  </si>
  <si>
    <t>Residence Inn Kansas City Downtown Convention Center</t>
  </si>
  <si>
    <t>+1 (816) 221-7400</t>
  </si>
  <si>
    <t>Residence Inn Kansas City Olathe</t>
  </si>
  <si>
    <t xml:space="preserve">12215 South Strang Line Road </t>
  </si>
  <si>
    <t>Mike Marshall</t>
  </si>
  <si>
    <t>+1 (913) 829-6700</t>
  </si>
  <si>
    <t>Residence Inn Kansas City Speedway</t>
  </si>
  <si>
    <t xml:space="preserve">1875 Village West Parkway </t>
  </si>
  <si>
    <t>William Thompson</t>
  </si>
  <si>
    <t>Armando Marin</t>
  </si>
  <si>
    <t>+1 (913) 788-5650</t>
  </si>
  <si>
    <t>Residence Inn Killeen</t>
  </si>
  <si>
    <t xml:space="preserve">400 East Central Texas Expressway </t>
  </si>
  <si>
    <t>KILLEEN</t>
  </si>
  <si>
    <t>Yoira Rivera</t>
  </si>
  <si>
    <t>+1 (254) 634-1020</t>
  </si>
  <si>
    <t>Residence Inn Knoxville</t>
  </si>
  <si>
    <t xml:space="preserve">215 Langley Place </t>
  </si>
  <si>
    <t>+ (865) 539-5339</t>
  </si>
  <si>
    <t>Residence Inn La Jolla</t>
  </si>
  <si>
    <t xml:space="preserve">8901 Gilman Drive </t>
  </si>
  <si>
    <t>Trent Selbrede</t>
  </si>
  <si>
    <t>(858) 587-1770</t>
  </si>
  <si>
    <t>Residence Inn Lafayette Airport</t>
  </si>
  <si>
    <t xml:space="preserve">128 James Comeaux Road </t>
  </si>
  <si>
    <t>jody Marceaux</t>
  </si>
  <si>
    <t>+1 (337) 232-3341</t>
  </si>
  <si>
    <t>LA Creole Hospitality 1 LLC</t>
  </si>
  <si>
    <t>Residence Inn Lake Charles</t>
  </si>
  <si>
    <t xml:space="preserve">1591 West Prien Lake Road </t>
  </si>
  <si>
    <t>+1 (337) 474-1772</t>
  </si>
  <si>
    <t xml:space="preserve">Residence Inn Lake Nona </t>
  </si>
  <si>
    <t xml:space="preserve">John Luciew </t>
  </si>
  <si>
    <t>Residence Inn Lake Norman</t>
  </si>
  <si>
    <t xml:space="preserve">16830 Kenton Drive </t>
  </si>
  <si>
    <t>Evan Lindsey</t>
  </si>
  <si>
    <t>+1 (704) 584-0000</t>
  </si>
  <si>
    <t>Residence Inn Lancaster</t>
  </si>
  <si>
    <t xml:space="preserve">1450 Harrisburg Pike </t>
  </si>
  <si>
    <t>Jeremy Geib</t>
  </si>
  <si>
    <t>+1 (717) 299-9898</t>
  </si>
  <si>
    <t>Residence Inn Langhorne</t>
  </si>
  <si>
    <t xml:space="preserve">15 Cabot Blvd East </t>
  </si>
  <si>
    <t>Langhorne</t>
  </si>
  <si>
    <t>John Beard</t>
  </si>
  <si>
    <t>Mark Bartle</t>
  </si>
  <si>
    <t>+1 (215) 946-6500</t>
  </si>
  <si>
    <t>Residence Inn Largo Capital Beltway</t>
  </si>
  <si>
    <t xml:space="preserve">1330 Caraway Court </t>
  </si>
  <si>
    <t>+1(301)-925-7806</t>
  </si>
  <si>
    <t>Residence Inn Las Vegas Convention Center</t>
  </si>
  <si>
    <t xml:space="preserve">3225 Paradise Road </t>
  </si>
  <si>
    <t>(702) 796-9300</t>
  </si>
  <si>
    <t>Residence Inn Las Vegas Hughes Ctr</t>
  </si>
  <si>
    <t xml:space="preserve">370 Hughes Center Dr </t>
  </si>
  <si>
    <t>Rudy Robles</t>
  </si>
  <si>
    <t>Tiffany Lamp</t>
  </si>
  <si>
    <t>(702) 650-0040</t>
  </si>
  <si>
    <t>Residence Inn Las Vegas South Henderson</t>
  </si>
  <si>
    <t xml:space="preserve">3225 Saint Rose Parkway </t>
  </si>
  <si>
    <t>Brian Paulson</t>
  </si>
  <si>
    <t>Melesete Sime</t>
  </si>
  <si>
    <t>+1(702) 820-5252</t>
  </si>
  <si>
    <t>Residence Inn Las Vegas South II</t>
  </si>
  <si>
    <t xml:space="preserve">7690 S Las Vegas Blvd </t>
  </si>
  <si>
    <t>Monay Asuncion</t>
  </si>
  <si>
    <t>Shaun Vincenti</t>
  </si>
  <si>
    <t>+ (702) 407-1942</t>
  </si>
  <si>
    <t>Residence Inn Lebanon</t>
  </si>
  <si>
    <t xml:space="preserve">32 Centerra Parkway </t>
  </si>
  <si>
    <t>+1 (603) 643-4511</t>
  </si>
  <si>
    <t>City Center Hotel Partners II LLC</t>
  </si>
  <si>
    <t>Residence Inn Lexington City Center</t>
  </si>
  <si>
    <t xml:space="preserve">150 West Main Street </t>
  </si>
  <si>
    <t>Jason Perkins</t>
  </si>
  <si>
    <t>+1(859)253-3000</t>
  </si>
  <si>
    <t>Residence Inn Lexington-Hamburg Place/South</t>
  </si>
  <si>
    <t xml:space="preserve">2688 Pink Pigeon Parkway </t>
  </si>
  <si>
    <t>Kathy Artiles</t>
  </si>
  <si>
    <t>Dot Cummins</t>
  </si>
  <si>
    <t>+1 (859) 263-9979</t>
  </si>
  <si>
    <t>Residence Inn Livermore</t>
  </si>
  <si>
    <t xml:space="preserve">5200 Wolf House </t>
  </si>
  <si>
    <t>Doshia Myrick</t>
  </si>
  <si>
    <t>Richard Loretto</t>
  </si>
  <si>
    <t>+1 (925) 606-1980</t>
  </si>
  <si>
    <t>Residence Inn Long Beach</t>
  </si>
  <si>
    <t xml:space="preserve">4111 East Willow Street </t>
  </si>
  <si>
    <t>(562) 595-0909</t>
  </si>
  <si>
    <t>Residence Inn Long Beach Downtown</t>
  </si>
  <si>
    <t xml:space="preserve">600 Queensway Drive </t>
  </si>
  <si>
    <t>Mir Said</t>
  </si>
  <si>
    <t xml:space="preserve">+ (562) 495-0700 </t>
  </si>
  <si>
    <t>Residence Inn Long Island-Hauppauge/Islandia</t>
  </si>
  <si>
    <t xml:space="preserve">850 Veterans Memorial Hwy. </t>
  </si>
  <si>
    <t>Hauppauge</t>
  </si>
  <si>
    <t>Robert Peterson</t>
  </si>
  <si>
    <t>Marjorie Monty</t>
  </si>
  <si>
    <t>+(631)724-4188</t>
  </si>
  <si>
    <t>Residence Inn Los Angeles Glendale</t>
  </si>
  <si>
    <t xml:space="preserve">199 North Louise Street </t>
  </si>
  <si>
    <t>Shiona Wood</t>
  </si>
  <si>
    <t>Amjad Zidan</t>
  </si>
  <si>
    <t>+1(818)244-1000</t>
  </si>
  <si>
    <t>Residence Inn Los Angeles Pasadena Old Town</t>
  </si>
  <si>
    <t xml:space="preserve">21 West Walnut Street </t>
  </si>
  <si>
    <t>Karen Lorton-Vella</t>
  </si>
  <si>
    <t>Nicole Duval</t>
  </si>
  <si>
    <t>+1 (626) 204-9220</t>
  </si>
  <si>
    <t>Residence Inn Louisville Old Henry</t>
  </si>
  <si>
    <t xml:space="preserve">2510 Terra Crossing Boulevard </t>
  </si>
  <si>
    <t xml:space="preserve">Brandon Maynard </t>
  </si>
  <si>
    <t>Jake Anderson</t>
  </si>
  <si>
    <t>Louisville R NE Opco LLC (Falcon Group)</t>
  </si>
  <si>
    <t>Residence Inn Louisville-Northeast</t>
  </si>
  <si>
    <t xml:space="preserve">3500 Springhurst Commons Drive </t>
  </si>
  <si>
    <t>+ (502) 412-1311</t>
  </si>
  <si>
    <t>Residence Inn Loveland</t>
  </si>
  <si>
    <t xml:space="preserve">5450 McWhiney Blvd </t>
  </si>
  <si>
    <t>Manuela O'Brien</t>
  </si>
  <si>
    <t>+ 1 (970) 622-7000</t>
  </si>
  <si>
    <t>Residence Inn Lubbock Southwest</t>
  </si>
  <si>
    <t xml:space="preserve">6415 62nd Street </t>
  </si>
  <si>
    <t>Debi Bennett</t>
  </si>
  <si>
    <t>+1 (806) 701-4801</t>
  </si>
  <si>
    <t>Residence Inn Lynchburg</t>
  </si>
  <si>
    <t xml:space="preserve">2630 Wards Road </t>
  </si>
  <si>
    <t>Krysta Inglett</t>
  </si>
  <si>
    <t>+1(434)616-4000</t>
  </si>
  <si>
    <t>Residence Inn Macon</t>
  </si>
  <si>
    <t xml:space="preserve">3900 Sheraton Drive </t>
  </si>
  <si>
    <t>Jawana Mason</t>
  </si>
  <si>
    <t>Latesha Sallette</t>
  </si>
  <si>
    <t>+ (478) 475-4280</t>
  </si>
  <si>
    <t>Residence Inn Manassas Battlefield Park</t>
  </si>
  <si>
    <t xml:space="preserve">7345 Williamson Boulevard </t>
  </si>
  <si>
    <t>Shirley Cruz</t>
  </si>
  <si>
    <t>+1 (703) 330-8808</t>
  </si>
  <si>
    <t>Residence Inn Manchester Downtown</t>
  </si>
  <si>
    <t xml:space="preserve">40 Lake Avenue </t>
  </si>
  <si>
    <t>Jennifer Brooks</t>
  </si>
  <si>
    <t>+1 (603) 314 - 0500</t>
  </si>
  <si>
    <t>Residence Inn Manhattan-Midtown East</t>
  </si>
  <si>
    <t xml:space="preserve">148 East 48th Street </t>
  </si>
  <si>
    <t>Greg Dietl</t>
  </si>
  <si>
    <t>+ (212) 980-1003</t>
  </si>
  <si>
    <t>Residence Inn Marlborough</t>
  </si>
  <si>
    <t xml:space="preserve">112 Donald Lynch Blvd. </t>
  </si>
  <si>
    <t>Eric Chalmers</t>
  </si>
  <si>
    <t>+ (508) 481-1500</t>
  </si>
  <si>
    <t>Residence Inn McAllen</t>
  </si>
  <si>
    <t xml:space="preserve">220 West Expressway 83 </t>
  </si>
  <si>
    <t>Monica Licea</t>
  </si>
  <si>
    <t>+ (956) 994-8626</t>
  </si>
  <si>
    <t>Residence Inn Memphis Germantown</t>
  </si>
  <si>
    <t xml:space="preserve">9314 Poplar Pike </t>
  </si>
  <si>
    <t>Gabrielle Lenhardt</t>
  </si>
  <si>
    <t>Adrian Caples</t>
  </si>
  <si>
    <t>+ (901) 752-0900</t>
  </si>
  <si>
    <t>Residence Inn Merrillville</t>
  </si>
  <si>
    <t xml:space="preserve">8018 Delaware Place </t>
  </si>
  <si>
    <t>Brittany Sims</t>
  </si>
  <si>
    <t>+ (219) 791-9000</t>
  </si>
  <si>
    <t>Residence Inn Metairie</t>
  </si>
  <si>
    <t xml:space="preserve">3 Galleria Boulevard </t>
  </si>
  <si>
    <t>(504) 832-0888</t>
  </si>
  <si>
    <t>Residence Inn Miami Airport South</t>
  </si>
  <si>
    <t xml:space="preserve">1201 NW Lejeune Road </t>
  </si>
  <si>
    <t>Omar De Jesus</t>
  </si>
  <si>
    <t xml:space="preserve">+ (305)642-8570 </t>
  </si>
  <si>
    <t>Residence Inn Miami Airport West Doral</t>
  </si>
  <si>
    <t xml:space="preserve">3450 Northwest 91st Avenue </t>
  </si>
  <si>
    <t>Victoria Ferrer</t>
  </si>
  <si>
    <t>+1 (786) 814-8427</t>
  </si>
  <si>
    <t>Residence Inn Miami Beach South Beach</t>
  </si>
  <si>
    <t xml:space="preserve">1231 17th Street </t>
  </si>
  <si>
    <t>+(305)604-6070</t>
  </si>
  <si>
    <t>Residence Inn Miami Sunny Isles Beach</t>
  </si>
  <si>
    <t xml:space="preserve">17700 Collins Avenue </t>
  </si>
  <si>
    <t>Sunny Isles</t>
  </si>
  <si>
    <t>Wade Stonesifer</t>
  </si>
  <si>
    <t>+1(305)933-5224</t>
  </si>
  <si>
    <t>Residence Inn Midland</t>
  </si>
  <si>
    <t xml:space="preserve">5509 Deauville Boulevard </t>
  </si>
  <si>
    <t>Kelli Taylor</t>
  </si>
  <si>
    <t>+1 (432) 689-3511</t>
  </si>
  <si>
    <t>Residence Inn Midway</t>
  </si>
  <si>
    <t xml:space="preserve">6638 South Cicero Avenue </t>
  </si>
  <si>
    <t>Maria Nied</t>
  </si>
  <si>
    <t>+ (708) 458-7790</t>
  </si>
  <si>
    <t>Residence Inn Milpitas</t>
  </si>
  <si>
    <t xml:space="preserve">1501 California Circle </t>
  </si>
  <si>
    <t>Dora Deslatte Neal</t>
  </si>
  <si>
    <t>+ (408) 941-9222</t>
  </si>
  <si>
    <t>Residence Inn Milwaukee North-Glendale</t>
  </si>
  <si>
    <t xml:space="preserve">7003 North Port Washington Road </t>
  </si>
  <si>
    <t>Ray Dole</t>
  </si>
  <si>
    <t>John Reeves</t>
  </si>
  <si>
    <t>+1 (414) 248-4105</t>
  </si>
  <si>
    <t>Residence Inn Mishawaka</t>
  </si>
  <si>
    <t xml:space="preserve">231 Park Place </t>
  </si>
  <si>
    <t>Samantha Nibblelink</t>
  </si>
  <si>
    <t>+1 (574) 271-9283</t>
  </si>
  <si>
    <t>Residence Inn Moline Quad Cities</t>
  </si>
  <si>
    <t xml:space="preserve">4600 53rd Street </t>
  </si>
  <si>
    <t>Christina Garzon</t>
  </si>
  <si>
    <t>+1 (309) 796-4244</t>
  </si>
  <si>
    <t>Residence Inn Monroe</t>
  </si>
  <si>
    <t xml:space="preserve">4960 Millhaven </t>
  </si>
  <si>
    <t>Janie Smith</t>
  </si>
  <si>
    <t>+1 (318) 387-0210</t>
  </si>
  <si>
    <t>Residence Inn Mont Tremblant</t>
  </si>
  <si>
    <t xml:space="preserve">170 Chemin Cure Deslauriers </t>
  </si>
  <si>
    <t>J8E 1C9</t>
  </si>
  <si>
    <t>Alain Labarre</t>
  </si>
  <si>
    <t>+ (819) 681-4000</t>
  </si>
  <si>
    <t>Residence Inn Montreal Downtown</t>
  </si>
  <si>
    <t xml:space="preserve">2045 Peel Street </t>
  </si>
  <si>
    <t>H3A 1T6</t>
  </si>
  <si>
    <t>Marco Carelli</t>
  </si>
  <si>
    <t>Sonia Grenier</t>
  </si>
  <si>
    <t>+ (514) 982-6064</t>
  </si>
  <si>
    <t>Residence Inn Morgantown</t>
  </si>
  <si>
    <t xml:space="preserve">1046 Willowdale Road </t>
  </si>
  <si>
    <t>Leah Carbone</t>
  </si>
  <si>
    <t>Jennifer Given</t>
  </si>
  <si>
    <t>+1 (304) 599-0237</t>
  </si>
  <si>
    <t>Residence Inn Mountain View</t>
  </si>
  <si>
    <t xml:space="preserve">1854 El Camino Real West </t>
  </si>
  <si>
    <t>Ernesto Tula</t>
  </si>
  <si>
    <t>+ (650) 940-1300</t>
  </si>
  <si>
    <t>Residence Inn Muskoka Wharf</t>
  </si>
  <si>
    <t xml:space="preserve">285 Steamship Bay Road </t>
  </si>
  <si>
    <t>Gravenhurst</t>
  </si>
  <si>
    <t>P1P 1Z9</t>
  </si>
  <si>
    <t>Samantha Petherick</t>
  </si>
  <si>
    <t>Sarah Callan</t>
  </si>
  <si>
    <t>+ (705) 687-6600</t>
  </si>
  <si>
    <t>Residence Inn Myrtle Beach</t>
  </si>
  <si>
    <t xml:space="preserve">2605 South Ocean Boulevard </t>
  </si>
  <si>
    <t>Cory Cartwright</t>
  </si>
  <si>
    <t>+1 (843) 492-9000</t>
  </si>
  <si>
    <t>Residence Inn Nashua</t>
  </si>
  <si>
    <t xml:space="preserve">25 Trafalgar Square </t>
  </si>
  <si>
    <t>Elizabeth Cole</t>
  </si>
  <si>
    <t>+1 (603) 882-8300</t>
  </si>
  <si>
    <t>Residence Inn Nashville Airport</t>
  </si>
  <si>
    <t xml:space="preserve">2300 Elm Hill Pike </t>
  </si>
  <si>
    <t>Jack Smith</t>
  </si>
  <si>
    <t>(615) 889-8600</t>
  </si>
  <si>
    <t>Residence Inn Nashville SE Murfreesburo</t>
  </si>
  <si>
    <t xml:space="preserve">1409 Conference Center Boulevard </t>
  </si>
  <si>
    <t>David Storrs</t>
  </si>
  <si>
    <t>Joseph Sasraku</t>
  </si>
  <si>
    <t>+1 (615) 225-9250</t>
  </si>
  <si>
    <t>Residence Inn Nashville Vanderbilt - West End</t>
  </si>
  <si>
    <t xml:space="preserve">1801 Hayes Street </t>
  </si>
  <si>
    <t>Nicole Randazzo</t>
  </si>
  <si>
    <t>+1 (615) 988-9920</t>
  </si>
  <si>
    <t>Residence Inn New Bedford-Dartmouth</t>
  </si>
  <si>
    <t xml:space="preserve">181 Faunce Corner Road </t>
  </si>
  <si>
    <t>Monica Gouin</t>
  </si>
  <si>
    <t>Isac Desousa</t>
  </si>
  <si>
    <t>+ () 508-984-5858</t>
  </si>
  <si>
    <t>Residence Inn New Orleans Covington/North Shore</t>
  </si>
  <si>
    <t xml:space="preserve">101 Park Place Blvd. </t>
  </si>
  <si>
    <t>Kristal Calin</t>
  </si>
  <si>
    <t xml:space="preserve">+ (985)246-7222 </t>
  </si>
  <si>
    <t>Residence Inn New Orleans Downtown Near the French Quarter</t>
  </si>
  <si>
    <t xml:space="preserve">360 St. Charles Avenue </t>
  </si>
  <si>
    <t>Erik Fabacher</t>
  </si>
  <si>
    <t>Wayne Hendricks</t>
  </si>
  <si>
    <t>+1 (504) 522-0360</t>
  </si>
  <si>
    <t>Residence Inn New Orleans West Elmwood</t>
  </si>
  <si>
    <t xml:space="preserve">1080 Elmwood Park Blvd </t>
  </si>
  <si>
    <t>+1(504)619-9889</t>
  </si>
  <si>
    <t>Residence Inn New Rochelle</t>
  </si>
  <si>
    <t xml:space="preserve">35 Le Count Place </t>
  </si>
  <si>
    <t>New Rochelle</t>
  </si>
  <si>
    <t>Denise Rubin</t>
  </si>
  <si>
    <t>+ (914) 636-7888</t>
  </si>
  <si>
    <t>Residence Inn New York The Bronx at Metro Center Atrium</t>
  </si>
  <si>
    <t xml:space="preserve">1776 Eastchester Road </t>
  </si>
  <si>
    <t>Bronx</t>
  </si>
  <si>
    <t>Clement Carey</t>
  </si>
  <si>
    <t>+1 (718) 239-3939</t>
  </si>
  <si>
    <t>Residence Inn Newark- Airport/Elizabeth</t>
  </si>
  <si>
    <t xml:space="preserve">83 International Boulevard </t>
  </si>
  <si>
    <t>Desiree Dickey</t>
  </si>
  <si>
    <t>(908) 352-4300</t>
  </si>
  <si>
    <t>Residence Inn Niles</t>
  </si>
  <si>
    <t xml:space="preserve">5555 Youngstown-Warren Road </t>
  </si>
  <si>
    <t>Carrie Biery</t>
  </si>
  <si>
    <t>Dylan Harless</t>
  </si>
  <si>
    <t>+1 (330) 505-3655</t>
  </si>
  <si>
    <t>Residence Inn Norfolk</t>
  </si>
  <si>
    <t xml:space="preserve">227 West Brambleton Avenue </t>
  </si>
  <si>
    <t>Dawn Anderson</t>
  </si>
  <si>
    <t>+1 (757) 842-6216</t>
  </si>
  <si>
    <t>Residence Inn Norwalk</t>
  </si>
  <si>
    <t xml:space="preserve">45 South Main Street </t>
  </si>
  <si>
    <t>Eugene Lynch</t>
  </si>
  <si>
    <t>Sashika McDonald</t>
  </si>
  <si>
    <t>+1(203)229-1234</t>
  </si>
  <si>
    <t>Residence Inn Norwood</t>
  </si>
  <si>
    <t xml:space="preserve">275 Norwood Park South </t>
  </si>
  <si>
    <t>Andrea Karageanis</t>
  </si>
  <si>
    <t>+ () 781-278-9595</t>
  </si>
  <si>
    <t>Residence Inn Oakland Walnut Creek</t>
  </si>
  <si>
    <t xml:space="preserve">2050 North California Boulevard </t>
  </si>
  <si>
    <t>Mariam Georgi</t>
  </si>
  <si>
    <t>Al Patel</t>
  </si>
  <si>
    <t>+1 (925) 433-5215</t>
  </si>
  <si>
    <t xml:space="preserve">Residence Inn Ocean City </t>
  </si>
  <si>
    <t xml:space="preserve">300 Seabay Lane </t>
  </si>
  <si>
    <t>Keith Whisenant</t>
  </si>
  <si>
    <t>+1(410) 723-2222</t>
  </si>
  <si>
    <t>Residence Inn Oceanside San Diego</t>
  </si>
  <si>
    <t xml:space="preserve">3603 Ocean Ranch Blvd. </t>
  </si>
  <si>
    <t>Alicia Clements</t>
  </si>
  <si>
    <t>+1 (760) 722-9600</t>
  </si>
  <si>
    <t>Residence Inn Odessa</t>
  </si>
  <si>
    <t xml:space="preserve">7261 Tres Hermanas Boulevard </t>
  </si>
  <si>
    <t>Keith Osborne</t>
  </si>
  <si>
    <t>+1 (432) 563-2190</t>
  </si>
  <si>
    <t>Residence Inn Oklahoma City Downtown Bricktown</t>
  </si>
  <si>
    <t xml:space="preserve">400 East Reno Ave </t>
  </si>
  <si>
    <t>Kristin Chambless</t>
  </si>
  <si>
    <t>+1 (405) 601-1700</t>
  </si>
  <si>
    <t>Residence Inn Omaha</t>
  </si>
  <si>
    <t xml:space="preserve">18202 Cuming Street </t>
  </si>
  <si>
    <t>Dominic Arellano</t>
  </si>
  <si>
    <t>+1(402)289-9500</t>
  </si>
  <si>
    <t>Residence Inn Omaha Aksarben Village</t>
  </si>
  <si>
    <t xml:space="preserve">1717 South 67th Street </t>
  </si>
  <si>
    <t>Frank Hardin</t>
  </si>
  <si>
    <t>Residence Inn Orangeburg Rockland - Bergen</t>
  </si>
  <si>
    <t xml:space="preserve">3 Stevens Way </t>
  </si>
  <si>
    <t>Jennifer Arnone</t>
  </si>
  <si>
    <t>+1 (845) 359-5200</t>
  </si>
  <si>
    <t xml:space="preserve">Residence Inn Orlando at Millenia </t>
  </si>
  <si>
    <t xml:space="preserve">5403 Millenia Lakes Blvd </t>
  </si>
  <si>
    <t>Alex Freid</t>
  </si>
  <si>
    <t>+1(407) 352-2700</t>
  </si>
  <si>
    <t xml:space="preserve">Residence Inn Orlando Convention Center </t>
  </si>
  <si>
    <t xml:space="preserve">8800 Universal Boulevard </t>
  </si>
  <si>
    <t>Macrena Hodges</t>
  </si>
  <si>
    <t>+ (407) 226-0288</t>
  </si>
  <si>
    <t>Residence Inn Orlando Downtown</t>
  </si>
  <si>
    <t xml:space="preserve">680 North Orange Avenue </t>
  </si>
  <si>
    <t>Nicole Dye</t>
  </si>
  <si>
    <t>Rick Donohue</t>
  </si>
  <si>
    <t>+1 (407) 482-1500</t>
  </si>
  <si>
    <t>Residence Inn Orlando-East/UCF</t>
  </si>
  <si>
    <t xml:space="preserve">11651 University Boulevard </t>
  </si>
  <si>
    <t>Janisse Ramirez</t>
  </si>
  <si>
    <t>Loudy Ocean</t>
  </si>
  <si>
    <t>+ (407) 513-9000</t>
  </si>
  <si>
    <t>Residence Inn Orlando-Sea World Intl Ctr</t>
  </si>
  <si>
    <t xml:space="preserve">11000 Westwood Boulevard </t>
  </si>
  <si>
    <t>Christine Bullock</t>
  </si>
  <si>
    <t>Gina Sanchez</t>
  </si>
  <si>
    <t>(407) 313-3600</t>
  </si>
  <si>
    <t>Residence Inn Owings Mills</t>
  </si>
  <si>
    <t xml:space="preserve">10620 Red Run Boulevard </t>
  </si>
  <si>
    <t>Karen Inferrere</t>
  </si>
  <si>
    <t>+1(301)345-8700</t>
  </si>
  <si>
    <t>Sand Hill Hotel Management LLC</t>
  </si>
  <si>
    <t>Residence Inn Palo Alto Menlo Park</t>
  </si>
  <si>
    <t xml:space="preserve">555 Glenwood Avenue </t>
  </si>
  <si>
    <t>Lia Kandel</t>
  </si>
  <si>
    <t>Carlos Lopez</t>
  </si>
  <si>
    <t>+1 (650) 327-2000</t>
  </si>
  <si>
    <t>Residence Inn Panama City</t>
  </si>
  <si>
    <t>Calle Ramon H Jurado Edificio Pacific Center Edificio Punta Pacifica</t>
  </si>
  <si>
    <t>Carlos Roque</t>
  </si>
  <si>
    <t>Yuria Pon Liu</t>
  </si>
  <si>
    <t>+1(507) 6685-1324</t>
  </si>
  <si>
    <t>Residence Inn Park Central</t>
  </si>
  <si>
    <t xml:space="preserve">7642 LBJ Freeway </t>
  </si>
  <si>
    <t>Will Mitchell</t>
  </si>
  <si>
    <t>+ (972) 503-1333</t>
  </si>
  <si>
    <t>Residence Inn Pasadena - Arcadia</t>
  </si>
  <si>
    <t xml:space="preserve">321 East Huntington Drive </t>
  </si>
  <si>
    <t>Shannon Labbe</t>
  </si>
  <si>
    <t>Cheryl Johnson</t>
  </si>
  <si>
    <t>(626) 446-6500</t>
  </si>
  <si>
    <t>Residence Inn Pensacola Airport-Medical Center</t>
  </si>
  <si>
    <t xml:space="preserve">6000 Cobble Creek Road </t>
  </si>
  <si>
    <t>Catherine McLaughlin</t>
  </si>
  <si>
    <t>+1(850) 476-8383</t>
  </si>
  <si>
    <t>Residence Inn Pensacola Downtown</t>
  </si>
  <si>
    <t xml:space="preserve">601 East Chase Street </t>
  </si>
  <si>
    <t>Jennifer Mason</t>
  </si>
  <si>
    <t>+ (850) 432-0202</t>
  </si>
  <si>
    <t>Solow Incorporated</t>
  </si>
  <si>
    <t>Residence Inn Philadelphia Airport</t>
  </si>
  <si>
    <t xml:space="preserve">3701 Island Avenue </t>
  </si>
  <si>
    <t xml:space="preserve">Philadelphia </t>
  </si>
  <si>
    <t>Elaine Paper</t>
  </si>
  <si>
    <t>+1 (215) 921-8011</t>
  </si>
  <si>
    <t>Residence Inn Philadelphia Great Valley-Malvern</t>
  </si>
  <si>
    <t xml:space="preserve">10 General Warren Boulevard </t>
  </si>
  <si>
    <t>Nicole Heffelfinger</t>
  </si>
  <si>
    <t>Tom Moran</t>
  </si>
  <si>
    <t>+1 (484) 899-7800</t>
  </si>
  <si>
    <t>Residence Inn Philadelphia Valley Forge Collegeville</t>
  </si>
  <si>
    <t xml:space="preserve">500 Campus Drive </t>
  </si>
  <si>
    <t>Ryan Kunde</t>
  </si>
  <si>
    <t>+(610) 831-9400</t>
  </si>
  <si>
    <t>Residence Inn Philadelphia/Conshohocken</t>
  </si>
  <si>
    <t xml:space="preserve">191 Washington Street </t>
  </si>
  <si>
    <t>Conshohocken</t>
  </si>
  <si>
    <t>Kareem Edwards</t>
  </si>
  <si>
    <t>+1 (610) 828-8800</t>
  </si>
  <si>
    <t>Residence Inn Philadelphia/Willow Grove</t>
  </si>
  <si>
    <t xml:space="preserve">3 Walnut Grove Drive </t>
  </si>
  <si>
    <t>Daniel Driscoll</t>
  </si>
  <si>
    <t>Eric Bonyun</t>
  </si>
  <si>
    <t>+(215)443-7330</t>
  </si>
  <si>
    <t>Residence Inn Phoenix Airport</t>
  </si>
  <si>
    <t xml:space="preserve">801 North 44th Street </t>
  </si>
  <si>
    <t>Noel Johnson</t>
  </si>
  <si>
    <t>+1(602)273-9220</t>
  </si>
  <si>
    <t>Residence Inn Phoenix Desert View At Mayo Clinic</t>
  </si>
  <si>
    <t xml:space="preserve">5665 East Mayo Boulevard </t>
  </si>
  <si>
    <t>Michelle Joyce</t>
  </si>
  <si>
    <t>+1 (480) 563-1500</t>
  </si>
  <si>
    <t>Residence Inn Phoenix Downtown</t>
  </si>
  <si>
    <t>+(602) 603-2000</t>
  </si>
  <si>
    <t>Byrd Enterprises of Arizona</t>
  </si>
  <si>
    <t>Residence Inn Phoenix Goodyear</t>
  </si>
  <si>
    <t xml:space="preserve">2020 North Litchfield Road </t>
  </si>
  <si>
    <t>Peter Mayer</t>
  </si>
  <si>
    <t>+ () 623/866-1313</t>
  </si>
  <si>
    <t>Residence Inn Phoenix NW</t>
  </si>
  <si>
    <t xml:space="preserve">16418 North Bullard Avenue </t>
  </si>
  <si>
    <t>Surprise</t>
  </si>
  <si>
    <t>Travis Cornell</t>
  </si>
  <si>
    <t>+1 (623) 249-6333</t>
  </si>
  <si>
    <t>Residence Inn Phoenix West Avondale</t>
  </si>
  <si>
    <t xml:space="preserve">11410 West Hotel Way </t>
  </si>
  <si>
    <t>Brandy Washington</t>
  </si>
  <si>
    <t>Cristina Greiner</t>
  </si>
  <si>
    <t>+1 (623) 666-6390</t>
  </si>
  <si>
    <t>Residence Inn Piper Glen</t>
  </si>
  <si>
    <t xml:space="preserve">5115 Piper Station Drive </t>
  </si>
  <si>
    <t>Lauren Story</t>
  </si>
  <si>
    <t>+ (704) 319-3900</t>
  </si>
  <si>
    <t>Residence Inn Pittsburgh Airport/Coraopolis</t>
  </si>
  <si>
    <t xml:space="preserve">1500 Park Lane Drive </t>
  </si>
  <si>
    <t>Daniel Yancosek</t>
  </si>
  <si>
    <t>Sara Andreoli</t>
  </si>
  <si>
    <t>+ (412) 787-3300</t>
  </si>
  <si>
    <t>Residence Inn Pittsburgh Northshore</t>
  </si>
  <si>
    <t xml:space="preserve">574 West General Robinson Street </t>
  </si>
  <si>
    <t>Meg Heinlein</t>
  </si>
  <si>
    <t>Erica Bender</t>
  </si>
  <si>
    <t>+1 (412) 321-2099</t>
  </si>
  <si>
    <t>Residence Inn Placentia - Fullerton</t>
  </si>
  <si>
    <t xml:space="preserve">700 W Kimberly Avenue </t>
  </si>
  <si>
    <t>Placentia</t>
  </si>
  <si>
    <t>Chris Herren</t>
  </si>
  <si>
    <t>Tish Seraj</t>
  </si>
  <si>
    <t>(714) 996-0555</t>
  </si>
  <si>
    <t>Residence Inn Pleasant Hill</t>
  </si>
  <si>
    <t xml:space="preserve">700 Ellinwood Way </t>
  </si>
  <si>
    <t>JC Medina</t>
  </si>
  <si>
    <t>Tracie Collins</t>
  </si>
  <si>
    <t>(925) 689-1010</t>
  </si>
  <si>
    <t xml:space="preserve">145 Fore St. </t>
  </si>
  <si>
    <t>Matthew Nolan</t>
  </si>
  <si>
    <t>Amanda Arris</t>
  </si>
  <si>
    <t>+1 (207) 761-1660</t>
  </si>
  <si>
    <t>Residence Inn Portland Downtown - Pearl District</t>
  </si>
  <si>
    <t xml:space="preserve">1150 NW 9th Avenue </t>
  </si>
  <si>
    <t>Aung Win</t>
  </si>
  <si>
    <t>Laura Allen</t>
  </si>
  <si>
    <t>+1 (503) 220-1339</t>
  </si>
  <si>
    <t>Evergreen Hospitality Development Group LLC</t>
  </si>
  <si>
    <t>Residence Inn Portland Vancouver</t>
  </si>
  <si>
    <t xml:space="preserve">411 Southeast 123rd Avenue </t>
  </si>
  <si>
    <t>Christine Co-Santos</t>
  </si>
  <si>
    <t>+1(360)892-4404</t>
  </si>
  <si>
    <t>Residence Inn Portsmouth Downtown Waterfront</t>
  </si>
  <si>
    <t>Jason Raynor</t>
  </si>
  <si>
    <t>Kim Guay</t>
  </si>
  <si>
    <t>+1 (603) 422-9200</t>
  </si>
  <si>
    <t>Residence Inn Poughkeepsie</t>
  </si>
  <si>
    <t xml:space="preserve">2525 South Rd. </t>
  </si>
  <si>
    <t>Cory Shields</t>
  </si>
  <si>
    <t>Seif Fakhoury</t>
  </si>
  <si>
    <t>(845) 463-4343</t>
  </si>
  <si>
    <t>Residence Inn Providence Coventry</t>
  </si>
  <si>
    <t xml:space="preserve">725 Center of New England Boulevard </t>
  </si>
  <si>
    <t>West Greenwich</t>
  </si>
  <si>
    <t>Alexander Louden</t>
  </si>
  <si>
    <t>+1 (401) 828-1170</t>
  </si>
  <si>
    <t>Residence Inn Providence Lincoln</t>
  </si>
  <si>
    <t xml:space="preserve">632 George Washington Highway </t>
  </si>
  <si>
    <t>Chellen Cavalier</t>
  </si>
  <si>
    <t>+(401) 305-6950</t>
  </si>
  <si>
    <t>Residence Inn Provo</t>
  </si>
  <si>
    <t xml:space="preserve">252 West 2230 North </t>
  </si>
  <si>
    <t>David Lythgoe</t>
  </si>
  <si>
    <t>+ (801) 374-1000</t>
  </si>
  <si>
    <t>Residence Inn Provo South</t>
  </si>
  <si>
    <t xml:space="preserve">1290 South University Ave. </t>
  </si>
  <si>
    <t>Christian Daniels</t>
  </si>
  <si>
    <t>Craig Lindsey</t>
  </si>
  <si>
    <t>+1 (801) 734-9740</t>
  </si>
  <si>
    <t>Residence Inn Pullman</t>
  </si>
  <si>
    <t xml:space="preserve">1255 Northeast North Fairway Road </t>
  </si>
  <si>
    <t>+1 (509) 332-4400</t>
  </si>
  <si>
    <t>Residence Inn Raleigh</t>
  </si>
  <si>
    <t xml:space="preserve">1000 Navaho Drive </t>
  </si>
  <si>
    <t>Anna Naya</t>
  </si>
  <si>
    <t>+1 (919) 878-6100</t>
  </si>
  <si>
    <t>Residence Inn Raleigh Little Brier Creek</t>
  </si>
  <si>
    <t>Residence Inn Reno Sparks</t>
  </si>
  <si>
    <t xml:space="preserve">300 Legends Bay Drive </t>
  </si>
  <si>
    <t>Patricia Schille</t>
  </si>
  <si>
    <t>Jared Souther</t>
  </si>
  <si>
    <t>+1(775)331-3342</t>
  </si>
  <si>
    <t>Residence Inn Richmond Downtown</t>
  </si>
  <si>
    <t xml:space="preserve">14 South 14th Street </t>
  </si>
  <si>
    <t>Capitol</t>
  </si>
  <si>
    <t>+1 (804) 225-5550</t>
  </si>
  <si>
    <t>Residence Inn Ritchie Station</t>
  </si>
  <si>
    <t xml:space="preserve">1700 Ritchie Station Court </t>
  </si>
  <si>
    <t>Angela LeGrand</t>
  </si>
  <si>
    <t>+1 (301) 333-0050</t>
  </si>
  <si>
    <t>Residence Inn Rochester West</t>
  </si>
  <si>
    <t xml:space="preserve">500 Paddy Creek Circle </t>
  </si>
  <si>
    <t>Misty Bobzin</t>
  </si>
  <si>
    <t>+ (585) 865-2090</t>
  </si>
  <si>
    <t>Residence Inn Rocky Mount</t>
  </si>
  <si>
    <t xml:space="preserve">230 Gateway Boulevard </t>
  </si>
  <si>
    <t>Linda Hunter</t>
  </si>
  <si>
    <t>+ (252) 451-5600</t>
  </si>
  <si>
    <t>Residence Inn Round Rock</t>
  </si>
  <si>
    <t xml:space="preserve">2505 South IH 35 </t>
  </si>
  <si>
    <t>Terry Dagenhart</t>
  </si>
  <si>
    <t>Fay Purvis</t>
  </si>
  <si>
    <t>+ (512) 733-2400</t>
  </si>
  <si>
    <t>Residence Inn Sacramento</t>
  </si>
  <si>
    <t xml:space="preserve">1121 15th Street </t>
  </si>
  <si>
    <t>Shelly Moranville</t>
  </si>
  <si>
    <t>+1 (916) 443-0500</t>
  </si>
  <si>
    <t xml:space="preserve">Residence Inn Sacramento - South Natomas </t>
  </si>
  <si>
    <t xml:space="preserve">2618 Gateway Oaks Drive </t>
  </si>
  <si>
    <t>Denia Phillips</t>
  </si>
  <si>
    <t>+1 (916) 649-1300</t>
  </si>
  <si>
    <t>Residence Inn Sacramento Roseville</t>
  </si>
  <si>
    <t xml:space="preserve">1850 Freedom Way </t>
  </si>
  <si>
    <t>Martin Johnson</t>
  </si>
  <si>
    <t>Linsey Ornellas</t>
  </si>
  <si>
    <t>Residence Inn Saginaw</t>
  </si>
  <si>
    <t xml:space="preserve">5230 Cardial Square Boulevard </t>
  </si>
  <si>
    <t>Saginaw</t>
  </si>
  <si>
    <t>Chad Shobbrook</t>
  </si>
  <si>
    <t>Cory Hewens</t>
  </si>
  <si>
    <t>+1 (989) 799-9000</t>
  </si>
  <si>
    <t>Residence Inn Salisbury</t>
  </si>
  <si>
    <t xml:space="preserve">140 Centre Rd. </t>
  </si>
  <si>
    <t>+1 (410) 543-0033</t>
  </si>
  <si>
    <t>Residence Inn Salt Lake City Cottonwood</t>
  </si>
  <si>
    <t xml:space="preserve">6425 South 3000 East </t>
  </si>
  <si>
    <t>Camden Maxon</t>
  </si>
  <si>
    <t>(801) 453-0430</t>
  </si>
  <si>
    <t>Residence Inn Salt Lake City Murray</t>
  </si>
  <si>
    <t xml:space="preserve">171 East 5300 South </t>
  </si>
  <si>
    <t>Murray</t>
  </si>
  <si>
    <t>Jayson Alexander</t>
  </si>
  <si>
    <t>+1 (801) 262-4200</t>
  </si>
  <si>
    <t>Residence Inn San Antonio - Airport</t>
  </si>
  <si>
    <t xml:space="preserve">1014 NE Loop 410 </t>
  </si>
  <si>
    <t>Matt Clingo</t>
  </si>
  <si>
    <t>(210) 805-8118</t>
  </si>
  <si>
    <t>Residence Inn San Antonio North - Stone Oak</t>
  </si>
  <si>
    <t xml:space="preserve">1115 North 1604 East </t>
  </si>
  <si>
    <t>Alexandria Andrea</t>
  </si>
  <si>
    <t>Kaye Shumate</t>
  </si>
  <si>
    <t>+1 (210) 490-1333</t>
  </si>
  <si>
    <t>Residence Inn San Diego Downtown</t>
  </si>
  <si>
    <t xml:space="preserve">1747 Pacific Highway </t>
  </si>
  <si>
    <t>Steven Coons</t>
  </si>
  <si>
    <t>+ (619) 338-8200</t>
  </si>
  <si>
    <t>Residence Inn San Diego Downtown Bayfront</t>
  </si>
  <si>
    <t xml:space="preserve">900 Bayfront Court </t>
  </si>
  <si>
    <t>Debbie Ayala</t>
  </si>
  <si>
    <t>Alisha Nelson</t>
  </si>
  <si>
    <t>+1(619) 831-0225</t>
  </si>
  <si>
    <t>Residence Inn San Diego Downtown Gaslamp</t>
  </si>
  <si>
    <t xml:space="preserve">356 6th Avenue </t>
  </si>
  <si>
    <t xml:space="preserve">Kimberly Shaddick </t>
  </si>
  <si>
    <t>+ (619)487-1201</t>
  </si>
  <si>
    <t>Residence Inn San Diego- Sorrento Mesa</t>
  </si>
  <si>
    <t xml:space="preserve">5995 Pacific Mesa Court </t>
  </si>
  <si>
    <t>Melissa Sedillo</t>
  </si>
  <si>
    <t>Tracy Carr</t>
  </si>
  <si>
    <t>(858) 552-9100</t>
  </si>
  <si>
    <t>Residence Inn San Francisco San Carlos</t>
  </si>
  <si>
    <t xml:space="preserve">800 East San Carlos Avenue </t>
  </si>
  <si>
    <t>Nick Dell'Ergo</t>
  </si>
  <si>
    <t xml:space="preserve"> Stacey Meyer</t>
  </si>
  <si>
    <t>+1(650) 637-5500</t>
  </si>
  <si>
    <t>Sand Hill Hotel Management Cupertino LLC</t>
  </si>
  <si>
    <t>Residence Inn San Jose Cupertino</t>
  </si>
  <si>
    <t xml:space="preserve">19429 Stevens Creek Boulevard </t>
  </si>
  <si>
    <t>Evelyn Bomagat</t>
  </si>
  <si>
    <t>Maniya Ablaza</t>
  </si>
  <si>
    <t>+1 (408) 892-4394</t>
  </si>
  <si>
    <t>Residence Inn San Jose Escazu Costa Rica</t>
  </si>
  <si>
    <t>Calle Marginal a Autopista Prospero Fernandez Contiguo a Hospital Cima. Escazu</t>
  </si>
  <si>
    <t>Ismael Morales</t>
  </si>
  <si>
    <t>+ (506) 2588-4300</t>
  </si>
  <si>
    <t>Residence Inn San Jose Newark</t>
  </si>
  <si>
    <t xml:space="preserve">35466 Dumbarton Court </t>
  </si>
  <si>
    <t>Gustavo Perez</t>
  </si>
  <si>
    <t>Angie Gheen</t>
  </si>
  <si>
    <t>(510) 739-6000</t>
  </si>
  <si>
    <t>Residence Inn San Jose North/Silicon Valley</t>
  </si>
  <si>
    <t>Robert Johnson</t>
  </si>
  <si>
    <t>Residence Inn San Juan Capistrano</t>
  </si>
  <si>
    <t xml:space="preserve">33711 Camino Capistrano </t>
  </si>
  <si>
    <t>San Juan capistrano</t>
  </si>
  <si>
    <t>Deandre Gipson</t>
  </si>
  <si>
    <t>+ (949) 443-3600</t>
  </si>
  <si>
    <t>Residence Inn San Mateo</t>
  </si>
  <si>
    <t xml:space="preserve">2000 Winward Way </t>
  </si>
  <si>
    <t>Hugo Hernandez</t>
  </si>
  <si>
    <t>+ (650) 574-4700</t>
  </si>
  <si>
    <t>Residence Inn San Ramon</t>
  </si>
  <si>
    <t xml:space="preserve">1071 Market Place </t>
  </si>
  <si>
    <t>Christopher Knorr</t>
  </si>
  <si>
    <t>(925) 277-9292</t>
  </si>
  <si>
    <t>Residence Inn Sanibel</t>
  </si>
  <si>
    <t xml:space="preserve">20371 Summerlin Road </t>
  </si>
  <si>
    <t>Daybel Encinas</t>
  </si>
  <si>
    <t>Tim Schaefer</t>
  </si>
  <si>
    <t xml:space="preserve">+ (239) 415-4150 </t>
  </si>
  <si>
    <t>Residence Inn Santa Barbara Goleta</t>
  </si>
  <si>
    <t xml:space="preserve">6350 Hollister Avenue </t>
  </si>
  <si>
    <t>+1 (805) 770-5031</t>
  </si>
  <si>
    <t>Residence Inn Santa Clarita</t>
  </si>
  <si>
    <t xml:space="preserve">25320 The Old Road </t>
  </si>
  <si>
    <t>+1 (661) 290-2800</t>
  </si>
  <si>
    <t>Residence Inn Sarasota/Bradenton</t>
  </si>
  <si>
    <t xml:space="preserve">1040 University PKWY </t>
  </si>
  <si>
    <t>Michele Reisdorf</t>
  </si>
  <si>
    <t>+ (941) 358-1468</t>
  </si>
  <si>
    <t>Residence Inn Savannah</t>
  </si>
  <si>
    <t xml:space="preserve">5710 White Bluff Road </t>
  </si>
  <si>
    <t>Angela Small</t>
  </si>
  <si>
    <t>+ (912) 356-3266</t>
  </si>
  <si>
    <t>Residence Inn Savannah Airport</t>
  </si>
  <si>
    <t xml:space="preserve">900 Towne Center Boulevard </t>
  </si>
  <si>
    <t>+1 (912) 988-1433</t>
  </si>
  <si>
    <t>Residence Inn Savannah Downtown/Historic District</t>
  </si>
  <si>
    <t xml:space="preserve">500 West Charlton Street </t>
  </si>
  <si>
    <t>Anthony Trice</t>
  </si>
  <si>
    <t>Selina Manager</t>
  </si>
  <si>
    <t>+1 (912) 233-9996</t>
  </si>
  <si>
    <t>Residence Inn Scottsdale Salt River</t>
  </si>
  <si>
    <t xml:space="preserve">5351 North Pima Road </t>
  </si>
  <si>
    <t>+1 (480) 745-8900</t>
  </si>
  <si>
    <t>Residence Inn Sea World</t>
  </si>
  <si>
    <t xml:space="preserve">2838 Cinema Ridge </t>
  </si>
  <si>
    <t>Kevin Famiglietta</t>
  </si>
  <si>
    <t>Robert Cantu</t>
  </si>
  <si>
    <t>+1 (210) 509-3100</t>
  </si>
  <si>
    <t>Residence Inn Seattle Bellevue Downtown</t>
  </si>
  <si>
    <t xml:space="preserve">605 114th Avenue S.E. </t>
  </si>
  <si>
    <t>Karla Perez</t>
  </si>
  <si>
    <t>+ (425) 637-8500</t>
  </si>
  <si>
    <t>Residence Inn Seattle Downtown Terry Avenue</t>
  </si>
  <si>
    <t xml:space="preserve">1815 Terry Avenue </t>
  </si>
  <si>
    <t>Ben Osgood</t>
  </si>
  <si>
    <t>Chris Nash</t>
  </si>
  <si>
    <t>+1(206) 388-1000</t>
  </si>
  <si>
    <t>Residence Inn Seattle East / Redmond</t>
  </si>
  <si>
    <t xml:space="preserve">7575 164th Avenue Northeast </t>
  </si>
  <si>
    <t>Kim Saunderson</t>
  </si>
  <si>
    <t>Nancy Krueger</t>
  </si>
  <si>
    <t>(425) 497-9226</t>
  </si>
  <si>
    <t>Residence Inn Seattle Sea-Tac Airport</t>
  </si>
  <si>
    <t xml:space="preserve">19608 International Boulevard </t>
  </si>
  <si>
    <t>Elizabeth Madrigal</t>
  </si>
  <si>
    <t>Misagh Rowhani</t>
  </si>
  <si>
    <t>+1 (206) 878-6188</t>
  </si>
  <si>
    <t>Residence Inn Seattle South Renton</t>
  </si>
  <si>
    <t xml:space="preserve">1200 Lake Washington </t>
  </si>
  <si>
    <t>Tracy Wiley</t>
  </si>
  <si>
    <t>+1 (425) 687-0485</t>
  </si>
  <si>
    <t>Residence Inn Seattle University District</t>
  </si>
  <si>
    <t xml:space="preserve">4501 12th Ave North East </t>
  </si>
  <si>
    <t>Lucia Popovici</t>
  </si>
  <si>
    <t>Chauncey Liu</t>
  </si>
  <si>
    <t>+1 (206) 322-8887</t>
  </si>
  <si>
    <t>Residence Inn Sebring</t>
  </si>
  <si>
    <t xml:space="preserve">3221 Tubbs Road </t>
  </si>
  <si>
    <t>+1 (863) 314-9100</t>
  </si>
  <si>
    <t>Residence Inn Shreveport Bossier City</t>
  </si>
  <si>
    <t xml:space="preserve">501 Traffic Street </t>
  </si>
  <si>
    <t>Robert Brown</t>
  </si>
  <si>
    <t>+1 (318) 742-8300</t>
  </si>
  <si>
    <t>Residence Inn Silicon Valley I</t>
  </si>
  <si>
    <t xml:space="preserve">750 Lakeway Drive </t>
  </si>
  <si>
    <t>Yvette Enriquez</t>
  </si>
  <si>
    <t>+ (408) 720-1000</t>
  </si>
  <si>
    <t>Residence Inn Silicon Valley II</t>
  </si>
  <si>
    <t xml:space="preserve">1080 Stewart Drive </t>
  </si>
  <si>
    <t>Antonio Morales</t>
  </si>
  <si>
    <t>+ (408) 720-8893</t>
  </si>
  <si>
    <t>Residence Inn Silver Spring</t>
  </si>
  <si>
    <t xml:space="preserve">12000 Plum Orchard Dr </t>
  </si>
  <si>
    <t>Ossi Tuominen</t>
  </si>
  <si>
    <t>Sonu Regmi</t>
  </si>
  <si>
    <t>(301) 572-2322</t>
  </si>
  <si>
    <t>Residence Inn Skokie - Wilmette</t>
  </si>
  <si>
    <t xml:space="preserve">3205 Old Glenview Road </t>
  </si>
  <si>
    <t>Wilmette</t>
  </si>
  <si>
    <t>Kathryn O'Connell</t>
  </si>
  <si>
    <t>+1 (847) 251-6600</t>
  </si>
  <si>
    <t>Residence Inn Skyport</t>
  </si>
  <si>
    <t xml:space="preserve">10 Skyport Drive </t>
  </si>
  <si>
    <t>Roxanne Vargas</t>
  </si>
  <si>
    <t>Tony Gomez</t>
  </si>
  <si>
    <t>+(408)650-0580</t>
  </si>
  <si>
    <t>Residence Inn Somerset</t>
  </si>
  <si>
    <t xml:space="preserve">37 Worlds Fair Drive </t>
  </si>
  <si>
    <t>Jennifer Marcucci</t>
  </si>
  <si>
    <t>Katasha Barrett</t>
  </si>
  <si>
    <t>(732) 627-0881</t>
  </si>
  <si>
    <t>Residence Inn Southaven</t>
  </si>
  <si>
    <t xml:space="preserve">7165 Sleepy Hollow Dr. </t>
  </si>
  <si>
    <t>Lance Fruge</t>
  </si>
  <si>
    <t>+1 (662) 996-1500</t>
  </si>
  <si>
    <t>Residence Inn Southern Pines</t>
  </si>
  <si>
    <t xml:space="preserve">105 Brucewood Road </t>
  </si>
  <si>
    <t>Southern Pines</t>
  </si>
  <si>
    <t>Bobbie Rollins</t>
  </si>
  <si>
    <t>+ (910) 693-3400</t>
  </si>
  <si>
    <t>Residence Inn Southington</t>
  </si>
  <si>
    <t xml:space="preserve">778 West Street </t>
  </si>
  <si>
    <t>Stephanie Wood</t>
  </si>
  <si>
    <t>Marta Ozga</t>
  </si>
  <si>
    <t>+1 (860) 621-4440</t>
  </si>
  <si>
    <t>Residence Inn Spartanburg</t>
  </si>
  <si>
    <t xml:space="preserve">9011 Fairforest Road </t>
  </si>
  <si>
    <t>Mike Day</t>
  </si>
  <si>
    <t>+1 (864) 576-3333</t>
  </si>
  <si>
    <t>Residence Inn Spokane East Valley</t>
  </si>
  <si>
    <t xml:space="preserve">15915 East Indiana Avenue </t>
  </si>
  <si>
    <t>Sarai Fesler</t>
  </si>
  <si>
    <t>+ (509) 892-9300</t>
  </si>
  <si>
    <t>Residence Inn Springfield</t>
  </si>
  <si>
    <t xml:space="preserve">1303 East Kingsley Street </t>
  </si>
  <si>
    <t>Marc Foreman</t>
  </si>
  <si>
    <t>+ (417) 890-0020</t>
  </si>
  <si>
    <t>Residence Inn Springfield VA</t>
  </si>
  <si>
    <t xml:space="preserve">6412 Backlick Road </t>
  </si>
  <si>
    <t>Mostafa Lasfar</t>
  </si>
  <si>
    <t>+ (703) 644-0020</t>
  </si>
  <si>
    <t>Residence Inn Springwoods Village</t>
  </si>
  <si>
    <t xml:space="preserve">22814 Holzwarth Road </t>
  </si>
  <si>
    <t>Misha Drake</t>
  </si>
  <si>
    <t>+1(281)353-2237</t>
  </si>
  <si>
    <t>Residence Inn St. Louis- Airport/Earth City</t>
  </si>
  <si>
    <t xml:space="preserve">3290 Rider Trail South </t>
  </si>
  <si>
    <t>Jaime Hagedorn</t>
  </si>
  <si>
    <t>Stephanie Stoliar</t>
  </si>
  <si>
    <t>+1 (314) 209-0995</t>
  </si>
  <si>
    <t>Residence Inn St. Louis Downtown</t>
  </si>
  <si>
    <t xml:space="preserve">525 South Jefferson Street </t>
  </si>
  <si>
    <t>James Vavak</t>
  </si>
  <si>
    <t>Diona Bester</t>
  </si>
  <si>
    <t>+1 (314) 289-7500</t>
  </si>
  <si>
    <t>Residence Inn Steamboat Springs</t>
  </si>
  <si>
    <t xml:space="preserve">1480 Pine Grove Road </t>
  </si>
  <si>
    <t>Steamboat</t>
  </si>
  <si>
    <t>Megan Annuschat</t>
  </si>
  <si>
    <t>Ryan Schwede</t>
  </si>
  <si>
    <t>+()970-879-1298</t>
  </si>
  <si>
    <t>Residence Inn Stillwater</t>
  </si>
  <si>
    <t xml:space="preserve">800 S. Murphy St. </t>
  </si>
  <si>
    <t>Jeri Hughes</t>
  </si>
  <si>
    <t>+1(405) 707-0588</t>
  </si>
  <si>
    <t>Residence Inn Stockton</t>
  </si>
  <si>
    <t xml:space="preserve">3240 March Lane </t>
  </si>
  <si>
    <t>Jon Primm</t>
  </si>
  <si>
    <t>+1 (209) 472-9800</t>
  </si>
  <si>
    <t>Residence Inn Sugarloaf</t>
  </si>
  <si>
    <t xml:space="preserve">1940 Satellite Boulevard </t>
  </si>
  <si>
    <t>+1 (770) 814-2929</t>
  </si>
  <si>
    <t>Residence Inn Syracuse</t>
  </si>
  <si>
    <t xml:space="preserve">6420 Yorktown Circle </t>
  </si>
  <si>
    <t>Heather Baum</t>
  </si>
  <si>
    <t>+(315)432-4488</t>
  </si>
  <si>
    <t>Residence Inn Syracuse Downtown at Armory Square (Dual Property)</t>
  </si>
  <si>
    <t>+1 (315) 422-4864</t>
  </si>
  <si>
    <t>Residence Inn Tallahassee</t>
  </si>
  <si>
    <t xml:space="preserve">1880 Raymond Diehl Road </t>
  </si>
  <si>
    <t>Nakia Henderson</t>
  </si>
  <si>
    <t>+ (850) 422-0093</t>
  </si>
  <si>
    <t xml:space="preserve">600 W. Gaines Street </t>
  </si>
  <si>
    <t>+1 (850) 329-9080</t>
  </si>
  <si>
    <t>Residence Inn Tampa Brandon Sabal Pk</t>
  </si>
  <si>
    <t xml:space="preserve">9719 Princess Palm Avenue </t>
  </si>
  <si>
    <t>Jake Shade</t>
  </si>
  <si>
    <t>Brad Spurlock</t>
  </si>
  <si>
    <t>+ (813) 627-8855</t>
  </si>
  <si>
    <t>Residence Inn Tampa Clearwater Beach</t>
  </si>
  <si>
    <t xml:space="preserve">309 Coronado Drive </t>
  </si>
  <si>
    <t>Chris Hammons</t>
  </si>
  <si>
    <t>Greg Brooks</t>
  </si>
  <si>
    <t>+1(727) 218-1088</t>
  </si>
  <si>
    <t>Residence Inn Tampa Downtown</t>
  </si>
  <si>
    <t xml:space="preserve">101 East Tyler Street </t>
  </si>
  <si>
    <t>+ (813) 221-4224</t>
  </si>
  <si>
    <t>Residence Inn Tampa North/1-75 Fletcher</t>
  </si>
  <si>
    <t xml:space="preserve">13420 North Telecom Parkway </t>
  </si>
  <si>
    <t>Devin Spaulding</t>
  </si>
  <si>
    <t>Jerry Charles</t>
  </si>
  <si>
    <t>+ (813) 972-4400</t>
  </si>
  <si>
    <t>Residence Inn Tampa Westshore Airport</t>
  </si>
  <si>
    <t xml:space="preserve">4312 Boy Scout Boulevard </t>
  </si>
  <si>
    <t>Holly Rodriguez</t>
  </si>
  <si>
    <t>Infonta Clark</t>
  </si>
  <si>
    <t>+ (813) 877-7988</t>
  </si>
  <si>
    <t>Residence Inn Temecula Murrieta</t>
  </si>
  <si>
    <t xml:space="preserve">25407 Madison Avenue </t>
  </si>
  <si>
    <t>Marlene Altieri</t>
  </si>
  <si>
    <t>+1 (951) 698-6300</t>
  </si>
  <si>
    <t>Residence Inn Tempe Downtown</t>
  </si>
  <si>
    <t xml:space="preserve">510 South Forest Avenue </t>
  </si>
  <si>
    <t>Dana Gillis</t>
  </si>
  <si>
    <t>Andrea Sarante</t>
  </si>
  <si>
    <t>+1(480)967-2300</t>
  </si>
  <si>
    <t>Residence Inn Temple</t>
  </si>
  <si>
    <t xml:space="preserve">4301 South General Bruce Drive </t>
  </si>
  <si>
    <t>Temple</t>
  </si>
  <si>
    <t>Juan Camacho</t>
  </si>
  <si>
    <t>+1 (254) 773-8400</t>
  </si>
  <si>
    <t>Residence Inn Texarkana</t>
  </si>
  <si>
    <t xml:space="preserve">3900 St. Michael Drive </t>
  </si>
  <si>
    <t>Amber Ferguson</t>
  </si>
  <si>
    <t>+1 (430) 200-0742</t>
  </si>
  <si>
    <t>Residence Inn Tierra Verde</t>
  </si>
  <si>
    <t xml:space="preserve">214 Madonna Boulevard </t>
  </si>
  <si>
    <t>Egemen Alici</t>
  </si>
  <si>
    <t>Shawn Wilson</t>
  </si>
  <si>
    <t>+1 (727) 864-4868</t>
  </si>
  <si>
    <t>Residence Inn Toronto Downtown Entertainment District</t>
  </si>
  <si>
    <t xml:space="preserve">255 Wellington Street West </t>
  </si>
  <si>
    <t>M5V 3P9</t>
  </si>
  <si>
    <t>+1 (416) 581-1800</t>
  </si>
  <si>
    <t>Residence Inn Toronto Mississauga Southwest</t>
  </si>
  <si>
    <t xml:space="preserve">2145 North Sheridan Way </t>
  </si>
  <si>
    <t>L5A 1A3</t>
  </si>
  <si>
    <t>Marco Capeloa</t>
  </si>
  <si>
    <t>+1(905)919-7000</t>
  </si>
  <si>
    <t>Residence Inn Torrance - Redondo Beach</t>
  </si>
  <si>
    <t xml:space="preserve">3701 Torrance Boulevard </t>
  </si>
  <si>
    <t>An Vo</t>
  </si>
  <si>
    <t>+(310)543-4566</t>
  </si>
  <si>
    <t>Residence Inn Tucson Airport</t>
  </si>
  <si>
    <t xml:space="preserve">2660 East Medina Road </t>
  </si>
  <si>
    <t>Emily Osborn</t>
  </si>
  <si>
    <t>Juanita Foley</t>
  </si>
  <si>
    <t>+1 (520) 294-5522</t>
  </si>
  <si>
    <t>Residence Inn Tucson Williams Centre</t>
  </si>
  <si>
    <t xml:space="preserve">5400 East Williams Circle </t>
  </si>
  <si>
    <t>+1 (520) 790-6100</t>
  </si>
  <si>
    <t>Residence Inn Tudor Wharf</t>
  </si>
  <si>
    <t xml:space="preserve">34-44 Charles River Ave </t>
  </si>
  <si>
    <t>Justin Eid</t>
  </si>
  <si>
    <t>+1 (617) 242-9000</t>
  </si>
  <si>
    <t>Residence Inn Tustin Orange County</t>
  </si>
  <si>
    <t xml:space="preserve">15181 Newport Avenue </t>
  </si>
  <si>
    <t>+1 (714)-258-9700</t>
  </si>
  <si>
    <t xml:space="preserve">Residence Inn Tysons Corner </t>
  </si>
  <si>
    <t xml:space="preserve">8400 Old Courthouse Road </t>
  </si>
  <si>
    <t>Megan Couch</t>
  </si>
  <si>
    <t>Michael Gale</t>
  </si>
  <si>
    <t>+ (703) 917-0800</t>
  </si>
  <si>
    <t>Residence Inn Universal Orlando</t>
  </si>
  <si>
    <t xml:space="preserve">5614 Major Boulevard </t>
  </si>
  <si>
    <t>+1(407) 313-1234</t>
  </si>
  <si>
    <t>Residence Inn Valley Forge</t>
  </si>
  <si>
    <t xml:space="preserve">600 West Swedesford Road </t>
  </si>
  <si>
    <t>Berwyn</t>
  </si>
  <si>
    <t>Bernice Coffey</t>
  </si>
  <si>
    <t>(610) 640-9494</t>
  </si>
  <si>
    <t>Residence Inn Vancouver/Downtown</t>
  </si>
  <si>
    <t xml:space="preserve">1234 Hornby Street </t>
  </si>
  <si>
    <t>V6Z 1W2</t>
  </si>
  <si>
    <t>Susan Fregona</t>
  </si>
  <si>
    <t>Don Micalchuk</t>
  </si>
  <si>
    <t>+ (604) 688-1234</t>
  </si>
  <si>
    <t>Residence Inn Wailea</t>
  </si>
  <si>
    <t xml:space="preserve">75 Wailea Ike Drive </t>
  </si>
  <si>
    <t>Brandi Beaulieu</t>
  </si>
  <si>
    <t>+1 (808) 891-7460</t>
  </si>
  <si>
    <t>Residence Inn Washington Capitol Hill Navy Yard</t>
  </si>
  <si>
    <t xml:space="preserve">1233 First Street Southeast </t>
  </si>
  <si>
    <t>John Chisman</t>
  </si>
  <si>
    <t>Gia Polo</t>
  </si>
  <si>
    <t>+1(202) 770-2800</t>
  </si>
  <si>
    <t>Residence Inn Washington DC</t>
  </si>
  <si>
    <t xml:space="preserve">1199 Vermont Avenue NW </t>
  </si>
  <si>
    <t>Ashley Rosenbaum</t>
  </si>
  <si>
    <t>Jeff Ault</t>
  </si>
  <si>
    <t>(202) 898-1100</t>
  </si>
  <si>
    <t>Residence Inn Washington DC National Harbor</t>
  </si>
  <si>
    <t xml:space="preserve">192 Waterfront Street </t>
  </si>
  <si>
    <t>Jacqueline Swainston</t>
  </si>
  <si>
    <t>+ (301) 749-4755</t>
  </si>
  <si>
    <t>Residence Inn Weehawken</t>
  </si>
  <si>
    <t xml:space="preserve">100 Ferry Road </t>
  </si>
  <si>
    <t>Jilian Alps</t>
  </si>
  <si>
    <t>+1 (201) 758-7922</t>
  </si>
  <si>
    <t>Residence Inn West Orange</t>
  </si>
  <si>
    <t xml:space="preserve">107 Prospect Avenue </t>
  </si>
  <si>
    <t>West Orange</t>
  </si>
  <si>
    <t>Kimberly Todd</t>
  </si>
  <si>
    <t>+ (973) 669-4700</t>
  </si>
  <si>
    <t>Residence Inn West Palm Beach Downtown</t>
  </si>
  <si>
    <t xml:space="preserve">455 Hibiscus Street </t>
  </si>
  <si>
    <t>Donna Ainsworth</t>
  </si>
  <si>
    <t>+(561)653-8100</t>
  </si>
  <si>
    <t>Residence Inn White Plains</t>
  </si>
  <si>
    <t xml:space="preserve">5 Barker Avenue </t>
  </si>
  <si>
    <t>Kenneth Hung</t>
  </si>
  <si>
    <t>+ (914) 761-7700</t>
  </si>
  <si>
    <t>Residence Inn Wichita East at Plazzio</t>
  </si>
  <si>
    <t xml:space="preserve">1212 North Greenwich Road </t>
  </si>
  <si>
    <t>Darren Nearhood</t>
  </si>
  <si>
    <t>Irma Medina</t>
  </si>
  <si>
    <t>+ (316) 682-7300</t>
  </si>
  <si>
    <t>Residence Inn Williamsburg</t>
  </si>
  <si>
    <t xml:space="preserve">1648 Richmond Road </t>
  </si>
  <si>
    <t>Charles Dipasquale</t>
  </si>
  <si>
    <t>+ (757) 941-2000</t>
  </si>
  <si>
    <t>Residence Inn Wilmington Landfall</t>
  </si>
  <si>
    <t xml:space="preserve">1200 Culbreth Drive </t>
  </si>
  <si>
    <t>Amy Petro</t>
  </si>
  <si>
    <t>+1 (910) 256-0098</t>
  </si>
  <si>
    <t>Residence Inn Winston-Salem Southwest</t>
  </si>
  <si>
    <t xml:space="preserve">3885 Oxford Station Way </t>
  </si>
  <si>
    <t>Carol White</t>
  </si>
  <si>
    <t>Tara Zuehl</t>
  </si>
  <si>
    <t>+1 (336) 837-3979</t>
  </si>
  <si>
    <t>Residence Inn Woburn</t>
  </si>
  <si>
    <t xml:space="preserve">300 Presidential Way </t>
  </si>
  <si>
    <t>Michael Bissonnette</t>
  </si>
  <si>
    <t>Xiomara Llera</t>
  </si>
  <si>
    <t>+1 (781) 376-4000</t>
  </si>
  <si>
    <t>Residence Inn Woodbridge Edison-Raritan Center</t>
  </si>
  <si>
    <t xml:space="preserve">2 Regency Place </t>
  </si>
  <si>
    <t>Loubna Semlali</t>
  </si>
  <si>
    <t>Gosia Gabryl</t>
  </si>
  <si>
    <t>+ (732) 510-7100</t>
  </si>
  <si>
    <t>Residence Inn Yonkers</t>
  </si>
  <si>
    <t xml:space="preserve">7 Executive Boulevard </t>
  </si>
  <si>
    <t>+1 (914) 476-4600</t>
  </si>
  <si>
    <t>Residence Inn-Westlake Village</t>
  </si>
  <si>
    <t xml:space="preserve">30950 Russell Ranch Rd </t>
  </si>
  <si>
    <t>Grace Strasser</t>
  </si>
  <si>
    <t>Jake Stein</t>
  </si>
  <si>
    <t>+1 (818) 707-4411</t>
  </si>
  <si>
    <t>Residences at Ritz-Carlton Toronto</t>
  </si>
  <si>
    <t xml:space="preserve">183 Wellington Street West </t>
  </si>
  <si>
    <t>M5V 0A1</t>
  </si>
  <si>
    <t>+1 (416) 572-8103</t>
  </si>
  <si>
    <t>Residences at The Little Nell</t>
  </si>
  <si>
    <t xml:space="preserve">501 Dean Street </t>
  </si>
  <si>
    <t>Carol Lucie</t>
  </si>
  <si>
    <t>+1 (970) 429-6700</t>
  </si>
  <si>
    <t>Resort At Squaw Creek</t>
  </si>
  <si>
    <t xml:space="preserve">400 Squaw Creek Road </t>
  </si>
  <si>
    <t>Olympic Valley</t>
  </si>
  <si>
    <t>Greg Gooding</t>
  </si>
  <si>
    <t>Jennifer Kabat</t>
  </si>
  <si>
    <t>+ (530) 583-6300</t>
  </si>
  <si>
    <t>Restaurante Ferro</t>
  </si>
  <si>
    <t xml:space="preserve">AV. JESUS DEL MONTE #41 HACIENDA DE LAS PALMAS </t>
  </si>
  <si>
    <t>+()5552472781</t>
  </si>
  <si>
    <t>REVERB Atlanta</t>
  </si>
  <si>
    <t xml:space="preserve">89 Centennial Olympic Drive NW </t>
  </si>
  <si>
    <t>Sebastian De La Hoz</t>
  </si>
  <si>
    <t>Revere Hotel</t>
  </si>
  <si>
    <t xml:space="preserve">200 Stuart Street </t>
  </si>
  <si>
    <t>Mark Fischer</t>
  </si>
  <si>
    <t>Sunny Chopra</t>
  </si>
  <si>
    <t>+1 (617) 482-1800</t>
  </si>
  <si>
    <t>Richmond Marriott West</t>
  </si>
  <si>
    <t xml:space="preserve">4240 Dominion Boulevard </t>
  </si>
  <si>
    <t>Sam Perry</t>
  </si>
  <si>
    <t>+1 (804) 965-9500</t>
  </si>
  <si>
    <t>Ridge Club</t>
  </si>
  <si>
    <t xml:space="preserve">70 Country Club Road </t>
  </si>
  <si>
    <t>Sandwich</t>
  </si>
  <si>
    <t>Matt Trombetta</t>
  </si>
  <si>
    <t>+ (508) 428-6800</t>
  </si>
  <si>
    <t>Ridgeview Ranch Golf Club</t>
  </si>
  <si>
    <t xml:space="preserve">2701 Ridgeview Drive </t>
  </si>
  <si>
    <t>Joe Don Davis</t>
  </si>
  <si>
    <t>+ (972) 390-1039</t>
  </si>
  <si>
    <t>Full House Resorts Inc.</t>
  </si>
  <si>
    <t>Rising Star Casino Resort</t>
  </si>
  <si>
    <t xml:space="preserve">777 Rising Star Drive </t>
  </si>
  <si>
    <t>Rising Sun</t>
  </si>
  <si>
    <t>Brian Kessler</t>
  </si>
  <si>
    <t>Sonny Duquette</t>
  </si>
  <si>
    <t>+1 (812) 438-1234</t>
  </si>
  <si>
    <t>Ritz-Carlton Aruba</t>
  </si>
  <si>
    <t xml:space="preserve">L.G. Smith Boulevard #107 </t>
  </si>
  <si>
    <t>Steve redkoles</t>
  </si>
  <si>
    <t>+1(297)527 2222</t>
  </si>
  <si>
    <t>Hotel R. C. M. Inc</t>
  </si>
  <si>
    <t>Ritz-Carlton Montreal</t>
  </si>
  <si>
    <t xml:space="preserve">1228 Sherbrooke Street West </t>
  </si>
  <si>
    <t>H3G 1H6</t>
  </si>
  <si>
    <t>Andrew Torriani</t>
  </si>
  <si>
    <t>Ralph Ambrosino</t>
  </si>
  <si>
    <t>+ (514) 842-4212</t>
  </si>
  <si>
    <t>River Creek Club</t>
  </si>
  <si>
    <t xml:space="preserve">43800 Olympic Blvd </t>
  </si>
  <si>
    <t>Jay Biggs</t>
  </si>
  <si>
    <t>+ (703) 779-2022</t>
  </si>
  <si>
    <t>River Forest Golf Club</t>
  </si>
  <si>
    <t xml:space="preserve">3650 Johnstonville Road </t>
  </si>
  <si>
    <t>+1 (478) 974-0974</t>
  </si>
  <si>
    <t xml:space="preserve">River Oaks Resort </t>
  </si>
  <si>
    <t xml:space="preserve">590 River Oaks Drive </t>
  </si>
  <si>
    <t>Rosalie Strickland</t>
  </si>
  <si>
    <t>Johnny Layton</t>
  </si>
  <si>
    <t>+1 (843) 236-1353</t>
  </si>
  <si>
    <t>River Place Country Club</t>
  </si>
  <si>
    <t xml:space="preserve">4207 River Place Boulevard </t>
  </si>
  <si>
    <t>Reed Woogerd</t>
  </si>
  <si>
    <t>+1 (512) 346-1114</t>
  </si>
  <si>
    <t>Riverchase Golf Club</t>
  </si>
  <si>
    <t xml:space="preserve">700 Riverchase Drive </t>
  </si>
  <si>
    <t>+ (972) 462-8281</t>
  </si>
  <si>
    <t>Rivers Club</t>
  </si>
  <si>
    <t xml:space="preserve">One Oxford Centre 301 Grant Street Suite 411 </t>
  </si>
  <si>
    <t>Jessica Hootman</t>
  </si>
  <si>
    <t>Jim Gelzheiser</t>
  </si>
  <si>
    <t>+ (412) 391-5227</t>
  </si>
  <si>
    <t>River's Edge Resort</t>
  </si>
  <si>
    <t xml:space="preserve">4200 Boat Street </t>
  </si>
  <si>
    <t>Lisa Simons</t>
  </si>
  <si>
    <t>+1 (907) 474-0286</t>
  </si>
  <si>
    <t>Riya Cranbury LLC</t>
  </si>
  <si>
    <t>Riya Cranbury LLC (dba Staybridge Suites Cranbury)</t>
  </si>
  <si>
    <t xml:space="preserve">1272 South River Rd </t>
  </si>
  <si>
    <t>Tushar Patel</t>
  </si>
  <si>
    <t>Gina Nordquist</t>
  </si>
  <si>
    <t>+1 (609) 409-7181</t>
  </si>
  <si>
    <t>Rizzo Conference Center</t>
  </si>
  <si>
    <t xml:space="preserve">150 DuBose House Lane </t>
  </si>
  <si>
    <t>Brent Haste</t>
  </si>
  <si>
    <t>Joseph Hofmann</t>
  </si>
  <si>
    <t>+ (919) 913-2098</t>
  </si>
  <si>
    <t>Evitts Resort LLC</t>
  </si>
  <si>
    <t>Rocky Gap Casino Resort</t>
  </si>
  <si>
    <t xml:space="preserve">16701 Lakeview Road NE </t>
  </si>
  <si>
    <t>Brian Kurtz</t>
  </si>
  <si>
    <t>+ (301) 784-8400</t>
  </si>
  <si>
    <t>Rodd Hotels &amp; Resorts</t>
  </si>
  <si>
    <t>Rodd Brudenell River</t>
  </si>
  <si>
    <t>86 Highway P.O. Box 67</t>
  </si>
  <si>
    <t>Cardigan</t>
  </si>
  <si>
    <t>C0A 1G0</t>
  </si>
  <si>
    <t>Keith Samuel</t>
  </si>
  <si>
    <t>+1 (902) 652-2332</t>
  </si>
  <si>
    <t>Rodd Charlottetown</t>
  </si>
  <si>
    <t>75 Kent Street P.O. Box 159</t>
  </si>
  <si>
    <t>C1A 7K4</t>
  </si>
  <si>
    <t>Elaine Thomson</t>
  </si>
  <si>
    <t>Kevin Gregan</t>
  </si>
  <si>
    <t>+1 (902) 894-7371</t>
  </si>
  <si>
    <t>Rodd Crowbush Golf &amp; Beach Resort</t>
  </si>
  <si>
    <t>632 Route 350 P.O. Box 164</t>
  </si>
  <si>
    <t>Morell</t>
  </si>
  <si>
    <t>C0A 1S0</t>
  </si>
  <si>
    <t>+1 (902) 961-5600</t>
  </si>
  <si>
    <t>Rodd Grand Yarmouth</t>
  </si>
  <si>
    <t>417 Main Street P.O. Box 220</t>
  </si>
  <si>
    <t>B5A 4B2</t>
  </si>
  <si>
    <t>Tammy Murray</t>
  </si>
  <si>
    <t>+1 (902) 742-2446</t>
  </si>
  <si>
    <t>Rodd Miramichi River</t>
  </si>
  <si>
    <t xml:space="preserve">1809 Water Street </t>
  </si>
  <si>
    <t>Miramichi</t>
  </si>
  <si>
    <t>E1N 1B2</t>
  </si>
  <si>
    <t>Jim Gertridge</t>
  </si>
  <si>
    <t>+1 (506) 773-3111</t>
  </si>
  <si>
    <t>Rodd Park House Inn</t>
  </si>
  <si>
    <t xml:space="preserve">434 Main Street </t>
  </si>
  <si>
    <t>E1C 1B9</t>
  </si>
  <si>
    <t>Danny Babineau</t>
  </si>
  <si>
    <t>+1 (506) 382-1664</t>
  </si>
  <si>
    <t>Rodd Royalty Inn &amp; Suites</t>
  </si>
  <si>
    <t>14 Capital Drive P.O. Box 2499</t>
  </si>
  <si>
    <t>C1A 8C2</t>
  </si>
  <si>
    <t>+1 (902) 894-8566</t>
  </si>
  <si>
    <t>Rodeway Inn Fallon</t>
  </si>
  <si>
    <t xml:space="preserve">1051 West Williams Avenue </t>
  </si>
  <si>
    <t>Fallon</t>
  </si>
  <si>
    <t>Rodeway Inn</t>
  </si>
  <si>
    <t>Kelli Tomko</t>
  </si>
  <si>
    <t>+1(775)428-0300</t>
  </si>
  <si>
    <t>Rodeway Inn Hilliard</t>
  </si>
  <si>
    <t xml:space="preserve">3950 Parkway Lane </t>
  </si>
  <si>
    <t>+1 (614) 710-1060</t>
  </si>
  <si>
    <t>Rodeway Inn St. Augustine</t>
  </si>
  <si>
    <t xml:space="preserve">3101 North Ponce De Leon Boulevard </t>
  </si>
  <si>
    <t>+1 (904) 829-3461</t>
  </si>
  <si>
    <t>Rolling Green Country Club</t>
  </si>
  <si>
    <t xml:space="preserve">2525 East Rand Road </t>
  </si>
  <si>
    <t>Katie Geimer</t>
  </si>
  <si>
    <t>Travis Hall</t>
  </si>
  <si>
    <t>+1 (847) 253-0400</t>
  </si>
  <si>
    <t>Rolling Green Golf Club Inc.</t>
  </si>
  <si>
    <t>Rolling Green Golf Club</t>
  </si>
  <si>
    <t xml:space="preserve">280 North State Road </t>
  </si>
  <si>
    <t>Brian Chapin</t>
  </si>
  <si>
    <t>+ (610) 544-4500</t>
  </si>
  <si>
    <t>Roseville Home2 Suites</t>
  </si>
  <si>
    <t xml:space="preserve">1900 Freedom Way </t>
  </si>
  <si>
    <t>Tania Brightwell</t>
  </si>
  <si>
    <t>Taelor Barrett</t>
  </si>
  <si>
    <t>+1 (916) 773-2200</t>
  </si>
  <si>
    <t>Rosewood Bermuda</t>
  </si>
  <si>
    <t xml:space="preserve">60 Tuckers Point Drive </t>
  </si>
  <si>
    <t>Hamilton Parish</t>
  </si>
  <si>
    <t>HS 02</t>
  </si>
  <si>
    <t>Esan Frederick</t>
  </si>
  <si>
    <t>Sascha Hemmann</t>
  </si>
  <si>
    <t>+()809-441-293-2040</t>
  </si>
  <si>
    <t>Rosewood Hotel Georgia</t>
  </si>
  <si>
    <t xml:space="preserve">801 West Georgia Street </t>
  </si>
  <si>
    <t>V6C 1P7</t>
  </si>
  <si>
    <t>Safwan Abu Risheh</t>
  </si>
  <si>
    <t>+1 (604) 682-5566</t>
  </si>
  <si>
    <t>Rosewood Inn of the Anasazi</t>
  </si>
  <si>
    <t xml:space="preserve">113 Washington Avenue </t>
  </si>
  <si>
    <t>Lutz Arnhold</t>
  </si>
  <si>
    <t>Alfredo Lobato</t>
  </si>
  <si>
    <t>+1 (505) 988-3030</t>
  </si>
  <si>
    <t>Rosewood Little Dix Bay</t>
  </si>
  <si>
    <t>PO Box 70 Lee Road The Valley</t>
  </si>
  <si>
    <t>Virgin Gorda</t>
  </si>
  <si>
    <t>VG1150</t>
  </si>
  <si>
    <t>+1 (284) 495-5555</t>
  </si>
  <si>
    <t>Rosewood Mansion on Turtle Creek</t>
  </si>
  <si>
    <t xml:space="preserve">2821 Turtle Creek Blvd. </t>
  </si>
  <si>
    <t>Andrea Gates</t>
  </si>
  <si>
    <t>John Terry</t>
  </si>
  <si>
    <t>+1 (214) 559-2100</t>
  </si>
  <si>
    <t>Rosewood Mayakoba</t>
  </si>
  <si>
    <t>Ctra. Federal Cancun Playa del Carmen KM 298</t>
  </si>
  <si>
    <t>Daniel Scott</t>
  </si>
  <si>
    <t>Ulises Reyes</t>
  </si>
  <si>
    <t>+52 (984) 875-8000</t>
  </si>
  <si>
    <t>Rosewood San Miguel de Allende</t>
  </si>
  <si>
    <t>Nemesio Diez 11 Colonia Centro</t>
  </si>
  <si>
    <t>San Miguel De Allende</t>
  </si>
  <si>
    <t>Alfredo Renteria</t>
  </si>
  <si>
    <t>Guillermo Varela</t>
  </si>
  <si>
    <t>+(52) 415-152-9783</t>
  </si>
  <si>
    <t>Rosewood Washington DC</t>
  </si>
  <si>
    <t xml:space="preserve">1050 31st St NW </t>
  </si>
  <si>
    <t xml:space="preserve">Gabor Vida </t>
  </si>
  <si>
    <t>Nattha Chutinthranond</t>
  </si>
  <si>
    <t>+1 (202) 617-2400</t>
  </si>
  <si>
    <t>Royal Canadian Lodge Banff</t>
  </si>
  <si>
    <t xml:space="preserve">459 Banff Avenue </t>
  </si>
  <si>
    <t>BANFF</t>
  </si>
  <si>
    <t>+1 (403) 762-3307</t>
  </si>
  <si>
    <t>Royal Decameron Complex - Flamingos Tropical and Royal</t>
  </si>
  <si>
    <t xml:space="preserve">Calle Lázaro Cárdenas 150 </t>
  </si>
  <si>
    <t>Bucerias</t>
  </si>
  <si>
    <t>Nestor Marrugo</t>
  </si>
  <si>
    <t>+52 (329) 298 0226</t>
  </si>
  <si>
    <t>Royal Decameron Los Cabos Hotel</t>
  </si>
  <si>
    <t xml:space="preserve">Bulevar Malecon San Jose Colonia Zona Hotelera C.P </t>
  </si>
  <si>
    <t>Jesus Tellez</t>
  </si>
  <si>
    <t>+52 (624) 142 9300</t>
  </si>
  <si>
    <t>Royal Palms Resort and Spa</t>
  </si>
  <si>
    <t xml:space="preserve">5200 East Camelback Road </t>
  </si>
  <si>
    <t>Carlos Morales</t>
  </si>
  <si>
    <t>Daniel Daniels</t>
  </si>
  <si>
    <t>+1 (602) 840-3610</t>
  </si>
  <si>
    <t>Royal Sonesta Boston Hotel</t>
  </si>
  <si>
    <t xml:space="preserve">40 Edwin Land Boulevard </t>
  </si>
  <si>
    <t>Mark Jeffery</t>
  </si>
  <si>
    <t>+1 (617) 806-4200</t>
  </si>
  <si>
    <t>Royal Sonesta Chicago Downtown at the Riverwalk</t>
  </si>
  <si>
    <t xml:space="preserve">71 East Wacker Drive </t>
  </si>
  <si>
    <t>Tony Goebel</t>
  </si>
  <si>
    <t>+1 (312) 346-7100</t>
  </si>
  <si>
    <t>Royal Sonesta Harbor Court Baltimore</t>
  </si>
  <si>
    <t xml:space="preserve">550 Light Street </t>
  </si>
  <si>
    <t xml:space="preserve">Bob Haislip </t>
  </si>
  <si>
    <t xml:space="preserve">Cassandra Green </t>
  </si>
  <si>
    <t>+1 (410) 234-0550</t>
  </si>
  <si>
    <t>Royal Sonesta Hotel Houston</t>
  </si>
  <si>
    <t xml:space="preserve">2222 West Loop South </t>
  </si>
  <si>
    <t>Pete Ells</t>
  </si>
  <si>
    <t>+1 (713) 961-7272</t>
  </si>
  <si>
    <t>Royal Sonesta Kaua`i Resort</t>
  </si>
  <si>
    <t>3610 Rice Street Kalapaki Beache Lihue</t>
  </si>
  <si>
    <t>Paul Toner</t>
  </si>
  <si>
    <t>Kirk Pierpoint</t>
  </si>
  <si>
    <t>+1 (808) 245-5050</t>
  </si>
  <si>
    <t>Royal Sonesta New Orleans</t>
  </si>
  <si>
    <t xml:space="preserve">300 Bourbon Street </t>
  </si>
  <si>
    <t>Adam Pickett</t>
  </si>
  <si>
    <t>Alfred Groos</t>
  </si>
  <si>
    <t>+1 (504) 586-0300</t>
  </si>
  <si>
    <t>Ruby Hill Golf Club</t>
  </si>
  <si>
    <t xml:space="preserve">3400 West Ruby Hill Drive </t>
  </si>
  <si>
    <t>Andre Jackson</t>
  </si>
  <si>
    <t>+1 (925) 417-5840</t>
  </si>
  <si>
    <t>Ruffled Feathers Golf Club</t>
  </si>
  <si>
    <t xml:space="preserve">1 Pete Dye Drive </t>
  </si>
  <si>
    <t>Lemont</t>
  </si>
  <si>
    <t>Laura Payne</t>
  </si>
  <si>
    <t>+1 (630) 257-1000</t>
  </si>
  <si>
    <t>Saddlebrook Resorts Inc.</t>
  </si>
  <si>
    <t>Saddlebrook Resort</t>
  </si>
  <si>
    <t xml:space="preserve">5700 Saddlebrook Way </t>
  </si>
  <si>
    <t>Wesley Chapel</t>
  </si>
  <si>
    <t>Pat Ciaccio</t>
  </si>
  <si>
    <t>Barbara Bacot</t>
  </si>
  <si>
    <t>+(813)907-4438</t>
  </si>
  <si>
    <t>Safari Endeavour</t>
  </si>
  <si>
    <t xml:space="preserve">3826 18th Avenue West </t>
  </si>
  <si>
    <t>Dani Barney</t>
  </si>
  <si>
    <t>Safari Explorer</t>
  </si>
  <si>
    <t>Safari Quest</t>
  </si>
  <si>
    <t>Sage Hospitality Resources Corporate Office</t>
  </si>
  <si>
    <t>1575 Welton Street Suite 300</t>
  </si>
  <si>
    <t>Kimberly Schrader</t>
  </si>
  <si>
    <t>+1 (303) 595-7200</t>
  </si>
  <si>
    <t>Sage Lodge</t>
  </si>
  <si>
    <t xml:space="preserve">55 Sage Lodge Drive </t>
  </si>
  <si>
    <t>Pray</t>
  </si>
  <si>
    <t>Justin Robbins</t>
  </si>
  <si>
    <t>Andrew Tenis</t>
  </si>
  <si>
    <t>+1 (855) 400-0505</t>
  </si>
  <si>
    <t>Saint Kate Arts Hotel</t>
  </si>
  <si>
    <t xml:space="preserve">139 East Kilbourn Avenue </t>
  </si>
  <si>
    <t>Bradon Drusch</t>
  </si>
  <si>
    <t>Bette Edwards</t>
  </si>
  <si>
    <t>+1 (414) 276-8686</t>
  </si>
  <si>
    <t>Salish Lodge &amp; Spa</t>
  </si>
  <si>
    <t xml:space="preserve">6501 Railroad Avenue SE PO Box 1109 </t>
  </si>
  <si>
    <t>SNOQUALMIE</t>
  </si>
  <si>
    <t>Alan Stephens</t>
  </si>
  <si>
    <t>Shannon Galusha</t>
  </si>
  <si>
    <t>+ (425) 831-6500</t>
  </si>
  <si>
    <t xml:space="preserve">Salt Lake City Marriott University Park </t>
  </si>
  <si>
    <t xml:space="preserve">480 Wakara Way </t>
  </si>
  <si>
    <t>Shirley LeGrand</t>
  </si>
  <si>
    <t>+1 (801) 581-1000</t>
  </si>
  <si>
    <t>Salt Lake Marriott Downtown at City Creek</t>
  </si>
  <si>
    <t xml:space="preserve">75 South West Temple </t>
  </si>
  <si>
    <t>Dennis Arbogast</t>
  </si>
  <si>
    <t>+1 (801) 531-0800</t>
  </si>
  <si>
    <t>Sam's Knob</t>
  </si>
  <si>
    <t>San Antonio Home2 Suites</t>
  </si>
  <si>
    <t xml:space="preserve">17303 Vance Jackson </t>
  </si>
  <si>
    <t>DJ Jagodic</t>
  </si>
  <si>
    <t>Alyna Lopez</t>
  </si>
  <si>
    <t>+1 (210) 561-6123</t>
  </si>
  <si>
    <t>San Diego Marriott Del Mar</t>
  </si>
  <si>
    <t xml:space="preserve">11966 El Camino Real </t>
  </si>
  <si>
    <t>(858) 523-1700</t>
  </si>
  <si>
    <t>San Diego Marriott Marquis &amp; Marina</t>
  </si>
  <si>
    <t xml:space="preserve">333 West Harbor Drive </t>
  </si>
  <si>
    <t>Donna Lynn Chong</t>
  </si>
  <si>
    <t>Tanja Ralevich</t>
  </si>
  <si>
    <t>(619) 234-1500</t>
  </si>
  <si>
    <t>San Diego Sales and Marketing</t>
  </si>
  <si>
    <t>+1 (619) 321-4717</t>
  </si>
  <si>
    <t>San Francisco Airport Marriott Waterfront</t>
  </si>
  <si>
    <t xml:space="preserve">1800 Old Bayshore Highway </t>
  </si>
  <si>
    <t>Lisa Kershner</t>
  </si>
  <si>
    <t>Sewan Kim</t>
  </si>
  <si>
    <t>(650) 692-9100</t>
  </si>
  <si>
    <t>San Francisco Marriott Union Square</t>
  </si>
  <si>
    <t xml:space="preserve">480 Sutter St </t>
  </si>
  <si>
    <t>Angie Clifton</t>
  </si>
  <si>
    <t>Iris Washington</t>
  </si>
  <si>
    <t>+ (415) 398-8900</t>
  </si>
  <si>
    <t>Team San Jose</t>
  </si>
  <si>
    <t>San Jose McEnery Convention Center</t>
  </si>
  <si>
    <t xml:space="preserve">408 Almaden Boulevard </t>
  </si>
  <si>
    <t>Jessica Campbell</t>
  </si>
  <si>
    <t>+1 (408) 975-3416</t>
  </si>
  <si>
    <t>San Juan Marriott Resort &amp; Stellaris Casino</t>
  </si>
  <si>
    <t xml:space="preserve">1309 Ashford Ave </t>
  </si>
  <si>
    <t>Henry Giraldo</t>
  </si>
  <si>
    <t>+ (787) 722-7000</t>
  </si>
  <si>
    <t>Sandy Run Country Club</t>
  </si>
  <si>
    <t xml:space="preserve">200 Valley Green RD </t>
  </si>
  <si>
    <t>Oreland</t>
  </si>
  <si>
    <t>Karen Wright</t>
  </si>
  <si>
    <t>Dave Tirpak</t>
  </si>
  <si>
    <t>+ (215) 233-0666</t>
  </si>
  <si>
    <t>Santa Catalina Island Resort Services Inc.</t>
  </si>
  <si>
    <t>Santa Catalina Island Resort</t>
  </si>
  <si>
    <t>PO Box 737 150 Metropole Avenue</t>
  </si>
  <si>
    <t>Roberto Perico</t>
  </si>
  <si>
    <t>Andrew Welham</t>
  </si>
  <si>
    <t>+1(310) 510-2000</t>
  </si>
  <si>
    <t>Santa Cruz Dream Inn</t>
  </si>
  <si>
    <t xml:space="preserve">175 West Cliff Drive </t>
  </si>
  <si>
    <t>Darren Pound</t>
  </si>
  <si>
    <t>+1 (831) 426-4330</t>
  </si>
  <si>
    <t>Santa Fe Hilton</t>
  </si>
  <si>
    <t xml:space="preserve">100 Sandoval Street </t>
  </si>
  <si>
    <t>John Rickey</t>
  </si>
  <si>
    <t>Steve Hunter</t>
  </si>
  <si>
    <t>+1 (505) 988-2811</t>
  </si>
  <si>
    <t>Santa Fe Sage Inn</t>
  </si>
  <si>
    <t xml:space="preserve">725 Cerrillos Road </t>
  </si>
  <si>
    <t>Miguel Garza</t>
  </si>
  <si>
    <t>+1 (505) 982-5952</t>
  </si>
  <si>
    <t>Santa Monica Motel</t>
  </si>
  <si>
    <t xml:space="preserve">2102 Lincoln Boulevard </t>
  </si>
  <si>
    <t>Sean Vanger</t>
  </si>
  <si>
    <t>+1 (310) 392-6806</t>
  </si>
  <si>
    <t>Santa Rosa Golf &amp; Country Club (CA)</t>
  </si>
  <si>
    <t xml:space="preserve">333 Country Club Drive </t>
  </si>
  <si>
    <t>Dennis Stankovic</t>
  </si>
  <si>
    <t>+1 (707) 546-3485</t>
  </si>
  <si>
    <t>Santa Rosa Golf &amp; Country Club (FL)</t>
  </si>
  <si>
    <t xml:space="preserve">4801 West County Highway 30A </t>
  </si>
  <si>
    <t>Santa Rosa Beach</t>
  </si>
  <si>
    <t>Mike Bickett</t>
  </si>
  <si>
    <t>+1(850) 267-1240</t>
  </si>
  <si>
    <t>Santa Ynez Valley Marriott</t>
  </si>
  <si>
    <t xml:space="preserve">555 McMurray Road </t>
  </si>
  <si>
    <t>Buellton</t>
  </si>
  <si>
    <t xml:space="preserve">Karla Azahar </t>
  </si>
  <si>
    <t>Vanessa Gonzales</t>
  </si>
  <si>
    <t>+ (805) 688-1000</t>
  </si>
  <si>
    <t>SAS Institute Inc.</t>
  </si>
  <si>
    <t>SAS Institute</t>
  </si>
  <si>
    <t xml:space="preserve">SAS Campus Drive </t>
  </si>
  <si>
    <t>Steve Holt</t>
  </si>
  <si>
    <t>+ (919) 677-8000</t>
  </si>
  <si>
    <t>Sawgrass Marriott Resort &amp; Spa</t>
  </si>
  <si>
    <t xml:space="preserve">1000 PGA Tour Boulevard </t>
  </si>
  <si>
    <t>Ponte Vedra Beach</t>
  </si>
  <si>
    <t>Todd Hickey</t>
  </si>
  <si>
    <t>Erika Rockwell</t>
  </si>
  <si>
    <t>+ (904) 285-7777</t>
  </si>
  <si>
    <t>Scottsdale Marriott at McDowell Mountains</t>
  </si>
  <si>
    <t xml:space="preserve">16770 North Perimeter Drive </t>
  </si>
  <si>
    <t>Brandy Staab</t>
  </si>
  <si>
    <t>Theresa Campici</t>
  </si>
  <si>
    <t>+1 (480) 502-3836</t>
  </si>
  <si>
    <t>Scottsdale Marriott Suites Old Town</t>
  </si>
  <si>
    <t xml:space="preserve">7325 East Third Avenue </t>
  </si>
  <si>
    <t>Kari Archer</t>
  </si>
  <si>
    <t>Alvina Molina</t>
  </si>
  <si>
    <t>+1 (480) 945-1550</t>
  </si>
  <si>
    <t>SDP Lodging O/A Pomeroy Inn &amp; Suites Prince George</t>
  </si>
  <si>
    <t xml:space="preserve">2700 Recplace Drive </t>
  </si>
  <si>
    <t>Prince George</t>
  </si>
  <si>
    <t>v2n 0b2</t>
  </si>
  <si>
    <t>Jerry Manyimbiri</t>
  </si>
  <si>
    <t>+1 (236) 423-4546</t>
  </si>
  <si>
    <t>Sea Captain's House Restaurant</t>
  </si>
  <si>
    <t xml:space="preserve">3002 North Ocean Blvd. </t>
  </si>
  <si>
    <t>David Crone</t>
  </si>
  <si>
    <t>Jen Neill</t>
  </si>
  <si>
    <t>+1 (843) 448-8082</t>
  </si>
  <si>
    <t>Sea Watch Resort</t>
  </si>
  <si>
    <t xml:space="preserve">161 Sea Watch Dr. </t>
  </si>
  <si>
    <t>29572-5370</t>
  </si>
  <si>
    <t>Cari Garvey</t>
  </si>
  <si>
    <t>Cheryl Catton</t>
  </si>
  <si>
    <t>+(843)918-0000</t>
  </si>
  <si>
    <t>SeaCrest OceanFront Hotel</t>
  </si>
  <si>
    <t xml:space="preserve">2241 Price Street </t>
  </si>
  <si>
    <t>Heidi Kamas</t>
  </si>
  <si>
    <t>Jed Bickel</t>
  </si>
  <si>
    <t>+1 (805) 773-4608</t>
  </si>
  <si>
    <t>Seaport Hotel LP</t>
  </si>
  <si>
    <t>Seaport Hotel</t>
  </si>
  <si>
    <t xml:space="preserve">One Seaport Lane </t>
  </si>
  <si>
    <t>+ (617) 385-4000</t>
  </si>
  <si>
    <t>Seattle Hilton Hotel</t>
  </si>
  <si>
    <t xml:space="preserve">1301 6th Avenue </t>
  </si>
  <si>
    <t>Heather McCurdy</t>
  </si>
  <si>
    <t>+ () 206-624-0500</t>
  </si>
  <si>
    <t>Seattle Marriott Bellevue</t>
  </si>
  <si>
    <t xml:space="preserve">200 110th Avenue Northeast </t>
  </si>
  <si>
    <t>Caroline Demarkarian</t>
  </si>
  <si>
    <t>Andrew Worrall</t>
  </si>
  <si>
    <t>+1 (425) 214-7600</t>
  </si>
  <si>
    <t>Seaway Inn</t>
  </si>
  <si>
    <t xml:space="preserve">176 West Cliff Drive </t>
  </si>
  <si>
    <t>Stephanie Valdez</t>
  </si>
  <si>
    <t>+1 (831) 471-9004</t>
  </si>
  <si>
    <t>Selina Bowery</t>
  </si>
  <si>
    <t xml:space="preserve">138 Bowery </t>
  </si>
  <si>
    <t>+1 (732) 239-3574</t>
  </si>
  <si>
    <t>Selina Cancun Downtown</t>
  </si>
  <si>
    <t xml:space="preserve">SM 22 Lt. 24 y 6 Av. Tulum Frente a Glorieta Historia de Mexico </t>
  </si>
  <si>
    <t>Lisseth Huerta</t>
  </si>
  <si>
    <t>Miguel Casas</t>
  </si>
  <si>
    <t>+1 (52) 998 884 2999</t>
  </si>
  <si>
    <t>Selina Chelsea</t>
  </si>
  <si>
    <t xml:space="preserve">518 West 27th Street </t>
  </si>
  <si>
    <t>William Burpitt</t>
  </si>
  <si>
    <t>Kate Mik</t>
  </si>
  <si>
    <t>+1 (212) 216-0000</t>
  </si>
  <si>
    <t>Selina Hotel Zone Clipper</t>
  </si>
  <si>
    <t xml:space="preserve">Hotel Zone Lvd. Kukulkan km 9 Zona Hotelera </t>
  </si>
  <si>
    <t>+1 (52) 998-891-5999</t>
  </si>
  <si>
    <t>Selina Mexico City Downtown - Virreyes</t>
  </si>
  <si>
    <t xml:space="preserve">Jose Maria Izazaga 8 Delegacion Cuauhtemoc </t>
  </si>
  <si>
    <t>Itai Alavez</t>
  </si>
  <si>
    <t>+1 (52) 1 55 8060 3552</t>
  </si>
  <si>
    <t>Selina Miami</t>
  </si>
  <si>
    <t xml:space="preserve">1444 Southwest 7th Street </t>
  </si>
  <si>
    <t>+1 (941) 457-0667</t>
  </si>
  <si>
    <t>Selina Playa del Carmen</t>
  </si>
  <si>
    <t xml:space="preserve">5a por Calle 2nte. MZ07 It 02 </t>
  </si>
  <si>
    <t>Gabriela Villalobos</t>
  </si>
  <si>
    <t>+1 (52) 1 984 188 4889</t>
  </si>
  <si>
    <t>Selina Puerto Escondido</t>
  </si>
  <si>
    <t>Calle del Morro S/N Col El Marinero Santa Maria Colotepec</t>
  </si>
  <si>
    <t>Puerto Escondido</t>
  </si>
  <si>
    <t>Edgar Diaz</t>
  </si>
  <si>
    <t>+1 (954) 107-2115</t>
  </si>
  <si>
    <t>Selina River Inn</t>
  </si>
  <si>
    <t xml:space="preserve">437 Southwest 2nd Street </t>
  </si>
  <si>
    <t>Damelis Theocharis</t>
  </si>
  <si>
    <t>+1 (786) 652-7666</t>
  </si>
  <si>
    <t>Selina San Miguel de Allende</t>
  </si>
  <si>
    <t xml:space="preserve">Cuna de Allende Numero 11 Municipio </t>
  </si>
  <si>
    <t>Juan Villegas</t>
  </si>
  <si>
    <t>+1 (52) 1 55 2966 8118</t>
  </si>
  <si>
    <t>Selina Tulum</t>
  </si>
  <si>
    <t>Retorno Cazón 37 Manzana 18 Lote 12 SM 03 Benito Juárez</t>
  </si>
  <si>
    <t>Fernando Tzec</t>
  </si>
  <si>
    <t>Selina Woodstock</t>
  </si>
  <si>
    <t xml:space="preserve">20 Country Club Road </t>
  </si>
  <si>
    <t>Kayla Burch</t>
  </si>
  <si>
    <t>+1 (607) 287-1342</t>
  </si>
  <si>
    <t>Semiahmoo Golf &amp; Country Club</t>
  </si>
  <si>
    <t xml:space="preserve">8720 Semiahmoo Parkway </t>
  </si>
  <si>
    <t>Mike Skaletsky</t>
  </si>
  <si>
    <t>+1 (360) 371-7015</t>
  </si>
  <si>
    <t>Semiahmoo Resort</t>
  </si>
  <si>
    <t xml:space="preserve">9565 Semiahmoo Parkway </t>
  </si>
  <si>
    <t>Micah Mullen</t>
  </si>
  <si>
    <t>+1 (360) 318-2000</t>
  </si>
  <si>
    <t>Prima Hotels</t>
  </si>
  <si>
    <t>SenS Extended Stay Residence - Livermore</t>
  </si>
  <si>
    <t xml:space="preserve">1000 Airway Boulevard </t>
  </si>
  <si>
    <t>Dean Banks</t>
  </si>
  <si>
    <t>+ (925) 373-1800</t>
  </si>
  <si>
    <t>Avenida Vasco de Quiroga 3900 Cuajimalpa de Morelos</t>
  </si>
  <si>
    <t>Seven Sebring Raceway</t>
  </si>
  <si>
    <t xml:space="preserve">150 Midway Drive </t>
  </si>
  <si>
    <t>Reinhard Haubner</t>
  </si>
  <si>
    <t>+1 (863) 655-7200</t>
  </si>
  <si>
    <t>Seville Golf and Country Club</t>
  </si>
  <si>
    <t xml:space="preserve">6683 S. Clubhouse Dr. </t>
  </si>
  <si>
    <t>85298-4188</t>
  </si>
  <si>
    <t>Garret Kriske</t>
  </si>
  <si>
    <t>Brian Hammond</t>
  </si>
  <si>
    <t>+1 (480) 722-8100</t>
  </si>
  <si>
    <t>Shackamaxon Golf &amp; Country Club</t>
  </si>
  <si>
    <t xml:space="preserve">100 Tilinghastturn </t>
  </si>
  <si>
    <t>Scotch Plains</t>
  </si>
  <si>
    <t>Chris Hanns</t>
  </si>
  <si>
    <t>+1 (908) 233-1300</t>
  </si>
  <si>
    <t>Shadow Ridge Resort</t>
  </si>
  <si>
    <t xml:space="preserve">9003 Shadow Ridge Road </t>
  </si>
  <si>
    <t xml:space="preserve">Jim Moran </t>
  </si>
  <si>
    <t>Miguel Zepeda</t>
  </si>
  <si>
    <t>+ (760) 674-2600</t>
  </si>
  <si>
    <t>Shadow Ridge Sales and Marketing</t>
  </si>
  <si>
    <t xml:space="preserve">9000 Shadow Ridge Road </t>
  </si>
  <si>
    <t>Al Sirak</t>
  </si>
  <si>
    <t>+1 (760) 674-2916</t>
  </si>
  <si>
    <t>Shadowridge Country Club</t>
  </si>
  <si>
    <t xml:space="preserve">1980 Gateway Dr </t>
  </si>
  <si>
    <t>Vista</t>
  </si>
  <si>
    <t>Jimmy Letourneau</t>
  </si>
  <si>
    <t>+ (760) 727-7700</t>
  </si>
  <si>
    <t>Shakertown At Pleasant Hill Kentucky Inc</t>
  </si>
  <si>
    <t>Shaker Village of Pleasant Hill</t>
  </si>
  <si>
    <t xml:space="preserve">3501 Lexington Road </t>
  </si>
  <si>
    <t>Pleasanthill</t>
  </si>
  <si>
    <t>Bob Gigliotti</t>
  </si>
  <si>
    <t>+1 (859) 734-5411</t>
  </si>
  <si>
    <t>Shandin Hills Golf Club</t>
  </si>
  <si>
    <t xml:space="preserve">3380 Little Mountain Drive </t>
  </si>
  <si>
    <t>Mark Drury</t>
  </si>
  <si>
    <t>+1 (909) 886-0669</t>
  </si>
  <si>
    <t>Shangri-La International Hotel Management Ltd.</t>
  </si>
  <si>
    <t>Shangri-La Hotel Vancouver</t>
  </si>
  <si>
    <t xml:space="preserve">1128 West Georgia Street </t>
  </si>
  <si>
    <t>V6E 0A8</t>
  </si>
  <si>
    <t>Anne Sy</t>
  </si>
  <si>
    <t>Kate Martin</t>
  </si>
  <si>
    <t>+1 (604) 661-3345</t>
  </si>
  <si>
    <t>Shangri-La Hotel Toronto</t>
  </si>
  <si>
    <t xml:space="preserve">188 University Avenue </t>
  </si>
  <si>
    <t>M5H 0A3</t>
  </si>
  <si>
    <t>Eliane Joller</t>
  </si>
  <si>
    <t>+1 (647) 788-8888</t>
  </si>
  <si>
    <t>Shem Creek Inn</t>
  </si>
  <si>
    <t>1401 Shrimpboat Lane Coleman Boulevard at Shem Cree</t>
  </si>
  <si>
    <t>Emily Hagen</t>
  </si>
  <si>
    <t>+1 (843) 881-1000</t>
  </si>
  <si>
    <t>Shepherd's Hollow Golf Club LLC.</t>
  </si>
  <si>
    <t>Shepherd's Hollow Golf Club</t>
  </si>
  <si>
    <t xml:space="preserve">9085 Big Lake Road </t>
  </si>
  <si>
    <t>Mike Bylen</t>
  </si>
  <si>
    <t>+1 (248) 922-0300</t>
  </si>
  <si>
    <t>Sheraton Ambassador Hotel</t>
  </si>
  <si>
    <t xml:space="preserve">Hidalgo 310 Oriente </t>
  </si>
  <si>
    <t>Camilo Patino Lizcano</t>
  </si>
  <si>
    <t>Lioscar Amezcua</t>
  </si>
  <si>
    <t>+(52)(81) 8380 7000</t>
  </si>
  <si>
    <t>Sheraton Anchorage Hotel &amp; Spa</t>
  </si>
  <si>
    <t xml:space="preserve">401 East 6th Avenue </t>
  </si>
  <si>
    <t>Brittney Dusenberry</t>
  </si>
  <si>
    <t>Tracy Morgan</t>
  </si>
  <si>
    <t>+ (907) 276-8700</t>
  </si>
  <si>
    <t>Sheraton Ann Arbor Hotel</t>
  </si>
  <si>
    <t xml:space="preserve">3200 Boardwalk </t>
  </si>
  <si>
    <t>Susan Sereno</t>
  </si>
  <si>
    <t>Bruce Jones</t>
  </si>
  <si>
    <t>+1 (734) 996-0600</t>
  </si>
  <si>
    <t>Sheraton Arlington Hotel</t>
  </si>
  <si>
    <t xml:space="preserve">1500 Convention Center Drive </t>
  </si>
  <si>
    <t>Nancy Sorrells</t>
  </si>
  <si>
    <t>+1 (817) 261-8200</t>
  </si>
  <si>
    <t>Sheraton Atlanta Hotel</t>
  </si>
  <si>
    <t xml:space="preserve">165 Courtland Street Northeast </t>
  </si>
  <si>
    <t>Pattie Pearson</t>
  </si>
  <si>
    <t>Betty Hawkins</t>
  </si>
  <si>
    <t>+1 (404) 586-3347</t>
  </si>
  <si>
    <t>Sheraton Atlantic City Convention Center Hotel</t>
  </si>
  <si>
    <t xml:space="preserve"> 2 Convention Boulevard </t>
  </si>
  <si>
    <t>Jeff Albrecht</t>
  </si>
  <si>
    <t>Gabrielle Stailey</t>
  </si>
  <si>
    <t>+1(609)344-3535</t>
  </si>
  <si>
    <t>Sheraton Austin</t>
  </si>
  <si>
    <t xml:space="preserve">701 East 11th Street </t>
  </si>
  <si>
    <t>(512) 478-1111</t>
  </si>
  <si>
    <t>Sheraton Birmingham Hotel</t>
  </si>
  <si>
    <t xml:space="preserve">2101 Richard Arrington Jr Blvd N </t>
  </si>
  <si>
    <t>Steve Miller</t>
  </si>
  <si>
    <t>+1(205)324-5000</t>
  </si>
  <si>
    <t>Sheraton Bloomington Hotel</t>
  </si>
  <si>
    <t xml:space="preserve">5601 West 78th Street </t>
  </si>
  <si>
    <t>Fadi Zaatari</t>
  </si>
  <si>
    <t>Tiffany Zimmer</t>
  </si>
  <si>
    <t>+1 (952) 835-1900</t>
  </si>
  <si>
    <t>Sheraton Boston Hotel</t>
  </si>
  <si>
    <t xml:space="preserve">39 Dalton St </t>
  </si>
  <si>
    <t>Joe Florio</t>
  </si>
  <si>
    <t>+1(617)236-2000</t>
  </si>
  <si>
    <t>Sheraton Broadway Plantation Resort Villas</t>
  </si>
  <si>
    <t xml:space="preserve">3301 Robert M. Grissom Parkway </t>
  </si>
  <si>
    <t>Sheraton (LMS)</t>
  </si>
  <si>
    <t>Betty Billingsley</t>
  </si>
  <si>
    <t>Camie Ware</t>
  </si>
  <si>
    <t>+1 (843) 916-8855</t>
  </si>
  <si>
    <t xml:space="preserve">Sheraton Bucks County </t>
  </si>
  <si>
    <t xml:space="preserve">400 Oxford Valley RD </t>
  </si>
  <si>
    <t>Michael Deutsch</t>
  </si>
  <si>
    <t>+ (215) 547-4100</t>
  </si>
  <si>
    <t>Vallarta Internacional S.A. de C.V.</t>
  </si>
  <si>
    <t>Sheraton Buganvilias Resort &amp; Convention Center</t>
  </si>
  <si>
    <t>Boulevard Francisco Medina Ascencio Number 999 Zona Hotelera Las Glorias</t>
  </si>
  <si>
    <t>Rodolfo Pacheco</t>
  </si>
  <si>
    <t>+52 (322) 226-0404</t>
  </si>
  <si>
    <t>Grand Pacific Carlsbad Hotel LP</t>
  </si>
  <si>
    <t>Sheraton Carlsbad Resort &amp; Spa</t>
  </si>
  <si>
    <t xml:space="preserve">5480 Grand Pacific Drive </t>
  </si>
  <si>
    <t>Chris Draper</t>
  </si>
  <si>
    <t>Pennelope Wright</t>
  </si>
  <si>
    <t>+1 (760) 827-2400</t>
  </si>
  <si>
    <t>Cavalier Enterprises Ltd.</t>
  </si>
  <si>
    <t>Sheraton Cavalier Saskatoon Hotel</t>
  </si>
  <si>
    <t xml:space="preserve">612 Spadina Crescent East </t>
  </si>
  <si>
    <t>S7K 3G9</t>
  </si>
  <si>
    <t>Dale Grant</t>
  </si>
  <si>
    <t>+1 (306) 652-6770</t>
  </si>
  <si>
    <t>Sheraton Centre Toronto Hotel</t>
  </si>
  <si>
    <t xml:space="preserve">123 Queen Street West </t>
  </si>
  <si>
    <t xml:space="preserve">M5H 2M9 </t>
  </si>
  <si>
    <t>Shane Downey</t>
  </si>
  <si>
    <t>Tim Reardon</t>
  </si>
  <si>
    <t>+1 (416) 361-1000</t>
  </si>
  <si>
    <t>Sheraton Charlotte Hotel</t>
  </si>
  <si>
    <t xml:space="preserve">555 South McDowell Street </t>
  </si>
  <si>
    <t>Mariah Scott</t>
  </si>
  <si>
    <t>Justin Marsinko</t>
  </si>
  <si>
    <t>+1 (704) 372-4100</t>
  </si>
  <si>
    <t>Sheraton Chicago O'Hare Airport Hotel (COS)</t>
  </si>
  <si>
    <t xml:space="preserve">6501 Mannheim Road </t>
  </si>
  <si>
    <t>Russell John</t>
  </si>
  <si>
    <t>+1 (847) 699-6300</t>
  </si>
  <si>
    <t>Hoteles Real de Chihuahua S.a De C.v.</t>
  </si>
  <si>
    <t>Sheraton Chihuahua Soberano Hotel</t>
  </si>
  <si>
    <t xml:space="preserve">3211 Fraccionamiento Barrancas </t>
  </si>
  <si>
    <t>Raul Galvan</t>
  </si>
  <si>
    <t>+1 (614) 429-2908</t>
  </si>
  <si>
    <t>Sheraton City Centre - Indianapolis</t>
  </si>
  <si>
    <t xml:space="preserve">31 W Ohio Street </t>
  </si>
  <si>
    <t>Jamal Masoud</t>
  </si>
  <si>
    <t>kathytest sheraton</t>
  </si>
  <si>
    <t>+ (317) 635-2000</t>
  </si>
  <si>
    <t>Commander Properties Inc.</t>
  </si>
  <si>
    <t>Sheraton Commander Hotel</t>
  </si>
  <si>
    <t xml:space="preserve">16 Garden Street </t>
  </si>
  <si>
    <t>Michael Guleserian</t>
  </si>
  <si>
    <t>Cheryl Ward</t>
  </si>
  <si>
    <t>+1 (617) 234-1320</t>
  </si>
  <si>
    <t xml:space="preserve">Sheraton Crescent Hotel - Phoenix </t>
  </si>
  <si>
    <t xml:space="preserve">2620 West Dunlap Avenue </t>
  </si>
  <si>
    <t>Pete Lesser</t>
  </si>
  <si>
    <t>Josh Branch</t>
  </si>
  <si>
    <t>+1 (360) 931-3629</t>
  </si>
  <si>
    <t>Sheraton Dallas Hotel</t>
  </si>
  <si>
    <t xml:space="preserve">400 North Olive Street </t>
  </si>
  <si>
    <t>KBTEST DALLAS</t>
  </si>
  <si>
    <t>Mark Woelffer</t>
  </si>
  <si>
    <t>+1(214)922-8000</t>
  </si>
  <si>
    <t>Sheraton Denver Downtown Hotel</t>
  </si>
  <si>
    <t xml:space="preserve">1550 Court Place </t>
  </si>
  <si>
    <t>Tony Dunn</t>
  </si>
  <si>
    <t>Erica Benton</t>
  </si>
  <si>
    <t>+1(303)893-3333</t>
  </si>
  <si>
    <t>Sheraton Desert Oasis Villas</t>
  </si>
  <si>
    <t xml:space="preserve">17700 North Hayden Road </t>
  </si>
  <si>
    <t>Cassandra Wilkins</t>
  </si>
  <si>
    <t>Jason Brommel</t>
  </si>
  <si>
    <t>+1 (480) 419-2610</t>
  </si>
  <si>
    <t>Sheraton Detroit-Metro Airport Hotel</t>
  </si>
  <si>
    <t xml:space="preserve">8000 Merriman Road </t>
  </si>
  <si>
    <t>+ (734) 729-2600</t>
  </si>
  <si>
    <t>Sheraton Erie Bayfront Hotel</t>
  </si>
  <si>
    <t xml:space="preserve">55 West Bay Drive </t>
  </si>
  <si>
    <t>Daniel Pora</t>
  </si>
  <si>
    <t>Joe Lorusso</t>
  </si>
  <si>
    <t>+ (814) 454-2005</t>
  </si>
  <si>
    <t>Sheraton Fairplex Hotel &amp; Conference Center</t>
  </si>
  <si>
    <t xml:space="preserve">601 W McKinley Ave </t>
  </si>
  <si>
    <t>Darren Munoz</t>
  </si>
  <si>
    <t>+1(909)622-2220</t>
  </si>
  <si>
    <t>Sheraton Framingham</t>
  </si>
  <si>
    <t xml:space="preserve">1657 Worcester Road </t>
  </si>
  <si>
    <t>Brian Smith</t>
  </si>
  <si>
    <t>+1 (508) 879-7200</t>
  </si>
  <si>
    <t>Sheraton Gateway Hotel in Toronto International Airport</t>
  </si>
  <si>
    <t xml:space="preserve">Terminal 3 Toronto AMF 3000 Toronto Pearson Intl </t>
  </si>
  <si>
    <t>L5P 1C4</t>
  </si>
  <si>
    <t>Douglas Brennan</t>
  </si>
  <si>
    <t>+1(905)672-7000</t>
  </si>
  <si>
    <t xml:space="preserve">Sheraton Gateway LAX </t>
  </si>
  <si>
    <t xml:space="preserve">6101 West Century Boulevard </t>
  </si>
  <si>
    <t>Brian Comeau</t>
  </si>
  <si>
    <t>+1 (310) 642-1111</t>
  </si>
  <si>
    <t>Sheraton Georgetown Texas Hotel and Conference Center</t>
  </si>
  <si>
    <t xml:space="preserve">1101 Woodlawn Street </t>
  </si>
  <si>
    <t>Rita Healy</t>
  </si>
  <si>
    <t>+1(737)444-2700</t>
  </si>
  <si>
    <t>Sheraton Grand at Wild Horse Pass</t>
  </si>
  <si>
    <t xml:space="preserve">5594 West Wild Horse Pass Road </t>
  </si>
  <si>
    <t>Bunty Ahamed</t>
  </si>
  <si>
    <t>Alejandro Espinosa</t>
  </si>
  <si>
    <t>+1(602)225-0100</t>
  </si>
  <si>
    <t>Sheraton Grand Chicago</t>
  </si>
  <si>
    <t xml:space="preserve">301 E North Water St </t>
  </si>
  <si>
    <t>Andy Markus</t>
  </si>
  <si>
    <t>Lisa Timbo</t>
  </si>
  <si>
    <t>+ (312) 464-1000</t>
  </si>
  <si>
    <t>Sheraton Grand Los Angeles</t>
  </si>
  <si>
    <t xml:space="preserve">711 South Hope Street </t>
  </si>
  <si>
    <t>Steve Choe</t>
  </si>
  <si>
    <t xml:space="preserve">Allison Williams </t>
  </si>
  <si>
    <t>+1(213)488-3500</t>
  </si>
  <si>
    <t>Sheraton Grand Panama</t>
  </si>
  <si>
    <t xml:space="preserve">Via Israel &amp; 77th Street </t>
  </si>
  <si>
    <t>Sara Pardo</t>
  </si>
  <si>
    <t>+1 (507) 305-5100</t>
  </si>
  <si>
    <t>Sheraton Grand Phoenix Downtown Hotel</t>
  </si>
  <si>
    <t xml:space="preserve">340 North 3rd Street </t>
  </si>
  <si>
    <t>Mike Ehmann</t>
  </si>
  <si>
    <t>Brady Lamar</t>
  </si>
  <si>
    <t>+(602)262-2500</t>
  </si>
  <si>
    <t>Sheraton Grand Sacramento Hotel</t>
  </si>
  <si>
    <t xml:space="preserve">1230 J St </t>
  </si>
  <si>
    <t>Jeroen Gerrese</t>
  </si>
  <si>
    <t>+(916)447-1700</t>
  </si>
  <si>
    <t>Sheraton Greensboro Hotel at Four Seasons</t>
  </si>
  <si>
    <t xml:space="preserve">3121 West Gate City Boulevard </t>
  </si>
  <si>
    <t>Samantha Edwards</t>
  </si>
  <si>
    <t>+1 (336) 292-9161</t>
  </si>
  <si>
    <t>Hamilton 116 King West Inc.</t>
  </si>
  <si>
    <t>Sheraton Hamilton Hotel</t>
  </si>
  <si>
    <t xml:space="preserve">116 King Street West </t>
  </si>
  <si>
    <t>L8P 4V3</t>
  </si>
  <si>
    <t>Colin Watson</t>
  </si>
  <si>
    <t>+1 (905) 529-5515</t>
  </si>
  <si>
    <t>Sheraton Hotel Jacksonville</t>
  </si>
  <si>
    <t xml:space="preserve">10605 Deerwood Park Boulevard </t>
  </si>
  <si>
    <t>Brad Whitaker</t>
  </si>
  <si>
    <t>+1 (904) 564-4772</t>
  </si>
  <si>
    <t>Sheraton Houston Brookhollow Hotel</t>
  </si>
  <si>
    <t xml:space="preserve">3000 North Loop West Freeway </t>
  </si>
  <si>
    <t>Mark Clinton</t>
  </si>
  <si>
    <t>+1 (713) 688-0100</t>
  </si>
  <si>
    <t>Sheraton Inner Harbor Hotel</t>
  </si>
  <si>
    <t xml:space="preserve">300 S Charles St </t>
  </si>
  <si>
    <t>Mike Wilson</t>
  </si>
  <si>
    <t>Seth Yecina</t>
  </si>
  <si>
    <t>+1(410)962-8300</t>
  </si>
  <si>
    <t>Sheraton Kansas City Hotel at Crown Center</t>
  </si>
  <si>
    <t xml:space="preserve">2345 McGee Street </t>
  </si>
  <si>
    <t>Chad Mohwinkle</t>
  </si>
  <si>
    <t>+()816-841-1000</t>
  </si>
  <si>
    <t>Sheraton Kauai Coconut Beach</t>
  </si>
  <si>
    <t xml:space="preserve">650 Aleka Loop </t>
  </si>
  <si>
    <t>Shaun Borges</t>
  </si>
  <si>
    <t>+1 (808) 822-3455</t>
  </si>
  <si>
    <t>Sheraton Kauai Resort</t>
  </si>
  <si>
    <t xml:space="preserve">2440 Hoonani Rd </t>
  </si>
  <si>
    <t>Chip Bahouth</t>
  </si>
  <si>
    <t>Katie Brenner</t>
  </si>
  <si>
    <t>+1(808)742-1661</t>
  </si>
  <si>
    <t>La Jolla Village Inn Associates dba Sheraton La Jolla</t>
  </si>
  <si>
    <t>Sheraton La Jolla Hotel</t>
  </si>
  <si>
    <t xml:space="preserve">3299 Holiday Court </t>
  </si>
  <si>
    <t>Craig Reber</t>
  </si>
  <si>
    <t>+1 (858) 453-5500</t>
  </si>
  <si>
    <t>Flushing Center Management LLC dba Sheraton LaGuardia East Hotel</t>
  </si>
  <si>
    <t>Sheraton LaGuardia East Hotel</t>
  </si>
  <si>
    <t xml:space="preserve">135-20 39th Avenue </t>
  </si>
  <si>
    <t>Ed Staniszewski</t>
  </si>
  <si>
    <t>Daryl Rhodes</t>
  </si>
  <si>
    <t>+1 (718) 460-6666</t>
  </si>
  <si>
    <t>Sheraton Los Angeles San Gabriel</t>
  </si>
  <si>
    <t xml:space="preserve">303 East Valley Boulevard </t>
  </si>
  <si>
    <t>Wanda Chan</t>
  </si>
  <si>
    <t>+1 (310) 642-4828</t>
  </si>
  <si>
    <t>Sheraton Maria Isabel Hotel &amp; Towers</t>
  </si>
  <si>
    <t xml:space="preserve">Paseo de la Reforma 325 </t>
  </si>
  <si>
    <t>Mario Huato</t>
  </si>
  <si>
    <t>Marcelo Moretti</t>
  </si>
  <si>
    <t>+()52 55 5242 5555</t>
  </si>
  <si>
    <t>Sheraton Maui Resort &amp; Spa</t>
  </si>
  <si>
    <t xml:space="preserve">2605 Kaanapali Parkway </t>
  </si>
  <si>
    <t>Tets Yamazaki</t>
  </si>
  <si>
    <t>+1(808)661-0031</t>
  </si>
  <si>
    <t>Sheraton Miami Airport Hotel &amp; Executive Meeting</t>
  </si>
  <si>
    <t xml:space="preserve">3900 Northwest 21st Street </t>
  </si>
  <si>
    <t>Bill Gilchrist</t>
  </si>
  <si>
    <t>Marlen Castellanos</t>
  </si>
  <si>
    <t>+ (305) 871-3800</t>
  </si>
  <si>
    <t>Sheraton Minneapolis West Hotel</t>
  </si>
  <si>
    <t xml:space="preserve">12201 Ridgedale Drive </t>
  </si>
  <si>
    <t>Hopkins</t>
  </si>
  <si>
    <t>Gerry Goldfarb</t>
  </si>
  <si>
    <t>+ (952) 593-0000</t>
  </si>
  <si>
    <t>Sheraton Mission Valley San Diego Hotel</t>
  </si>
  <si>
    <t xml:space="preserve">1433 Camino Del Rio South </t>
  </si>
  <si>
    <t>Marco Rodriguez</t>
  </si>
  <si>
    <t>+ () 619-260-0111</t>
  </si>
  <si>
    <t>Sheraton Mountain Vista Villas</t>
  </si>
  <si>
    <t xml:space="preserve">160 West Beaver Creek Boulevard </t>
  </si>
  <si>
    <t>David Weiss</t>
  </si>
  <si>
    <t>Alexandra Arana</t>
  </si>
  <si>
    <t>+1 (970) 748-6001</t>
  </si>
  <si>
    <t>Sheraton Music City Hotel</t>
  </si>
  <si>
    <t xml:space="preserve">777 McGavock Pike </t>
  </si>
  <si>
    <t>Chad Henderson</t>
  </si>
  <si>
    <t>+1 (615) 885-2200</t>
  </si>
  <si>
    <t>Sheraton Needham</t>
  </si>
  <si>
    <t xml:space="preserve">100 Cabot Street </t>
  </si>
  <si>
    <t>Shawn Rodriquenz</t>
  </si>
  <si>
    <t>Kimberly Alves</t>
  </si>
  <si>
    <t>+1 (781) 444-1110</t>
  </si>
  <si>
    <t>Sheraton New Orleans Hotel</t>
  </si>
  <si>
    <t xml:space="preserve">500 Canal St </t>
  </si>
  <si>
    <t>Jim Cook</t>
  </si>
  <si>
    <t>+1(504)525-2500</t>
  </si>
  <si>
    <t>Sheraton New York Times Square Hotel</t>
  </si>
  <si>
    <t xml:space="preserve">811 7TH Avenue W 53rd St </t>
  </si>
  <si>
    <t>Alexander Petrou</t>
  </si>
  <si>
    <t>Joe Dembek</t>
  </si>
  <si>
    <t>+1(212)581-1000</t>
  </si>
  <si>
    <t>Sheraton Norfolk Waterside</t>
  </si>
  <si>
    <t xml:space="preserve">777 Waterside Drive </t>
  </si>
  <si>
    <t>Brendan England</t>
  </si>
  <si>
    <t>+1 (757) 622-6664</t>
  </si>
  <si>
    <t>Sheraton Oklahoma City</t>
  </si>
  <si>
    <t xml:space="preserve">1 North Broadway Avenue </t>
  </si>
  <si>
    <t>Keith Johnson</t>
  </si>
  <si>
    <t>+1 (405) 235-2780</t>
  </si>
  <si>
    <t>Chateau Ottawa Hotel Inc</t>
  </si>
  <si>
    <t>Sheraton Ottawa Hotel</t>
  </si>
  <si>
    <t xml:space="preserve">150 Albert Street </t>
  </si>
  <si>
    <t>K1P 5G2</t>
  </si>
  <si>
    <t>Yolaine Charette</t>
  </si>
  <si>
    <t>+1 (613) 238-1500</t>
  </si>
  <si>
    <t>Sheraton Overland Park Hotel At The Convention Center</t>
  </si>
  <si>
    <t xml:space="preserve">6100 College Blvd </t>
  </si>
  <si>
    <t>Bruce Boettcher</t>
  </si>
  <si>
    <t>+()913-234-2100</t>
  </si>
  <si>
    <t>Sheraton Palo Alto</t>
  </si>
  <si>
    <t xml:space="preserve">625 El Camino Real </t>
  </si>
  <si>
    <t>Jim Rebosio</t>
  </si>
  <si>
    <t>Angel Sembrano</t>
  </si>
  <si>
    <t>+ (650) 328-2800</t>
  </si>
  <si>
    <t>Sheraton Panama City Beach Gold and Spa Resort</t>
  </si>
  <si>
    <t xml:space="preserve">4114 Jan Cooley Drive </t>
  </si>
  <si>
    <t>Matt Sutherland</t>
  </si>
  <si>
    <t>+1 (850) 236-6000</t>
  </si>
  <si>
    <t>Parkway Hotels and Convention Centre Inc.</t>
  </si>
  <si>
    <t>Sheraton Parkway Hotel and Convention Centre</t>
  </si>
  <si>
    <t xml:space="preserve">600 Highway 7 East </t>
  </si>
  <si>
    <t>L4B 1B2</t>
  </si>
  <si>
    <t>Suzanne Marshall</t>
  </si>
  <si>
    <t>Livio DiCarmine</t>
  </si>
  <si>
    <t>+1 (905) 882-3115</t>
  </si>
  <si>
    <t>Sheraton Parsippany Hotel</t>
  </si>
  <si>
    <t xml:space="preserve">199 Smith Road </t>
  </si>
  <si>
    <t>Shannon Keaney</t>
  </si>
  <si>
    <t>Artie Jaroszak</t>
  </si>
  <si>
    <t>+1 (973) 515-2000</t>
  </si>
  <si>
    <t>Sheraton Pentagon City</t>
  </si>
  <si>
    <t xml:space="preserve">900 S Orme St. </t>
  </si>
  <si>
    <t>Ashley Smith</t>
  </si>
  <si>
    <t>+1 (703) 521-1900</t>
  </si>
  <si>
    <t>Sheraton PGA Vacation Resort</t>
  </si>
  <si>
    <t xml:space="preserve">8702 Champions Way </t>
  </si>
  <si>
    <t>Port St. Lucie</t>
  </si>
  <si>
    <t>+1 (772) 229-9200</t>
  </si>
  <si>
    <t>Sheraton Philadelphia University City Hotel</t>
  </si>
  <si>
    <t xml:space="preserve">3549 Chestnut Street </t>
  </si>
  <si>
    <t>Nicole Ramamurthy</t>
  </si>
  <si>
    <t>+1 (215) 387-8000</t>
  </si>
  <si>
    <t>Sheraton Pittsburgh Airport Hotel</t>
  </si>
  <si>
    <t xml:space="preserve">1160 Thorn Run Road </t>
  </si>
  <si>
    <t>Neal Washington Jr.</t>
  </si>
  <si>
    <t>+1 (412) 262-2400</t>
  </si>
  <si>
    <t>Sheraton Princess Kaiulani</t>
  </si>
  <si>
    <t xml:space="preserve">120 Kaiulani Avenue </t>
  </si>
  <si>
    <t>Fredd Orr</t>
  </si>
  <si>
    <t>+1(808)922-5811</t>
  </si>
  <si>
    <t>Sheraton Puerto Rico Convention Center Hotel &amp; Casino</t>
  </si>
  <si>
    <t xml:space="preserve">200 Convention Blvd </t>
  </si>
  <si>
    <t>Roberto Mosquera</t>
  </si>
  <si>
    <t>+(787) 993-3500</t>
  </si>
  <si>
    <t>Sheraton Redding Hotel at the Sundial Bridge</t>
  </si>
  <si>
    <t xml:space="preserve">820 Sundial Bridge Drive </t>
  </si>
  <si>
    <t>Lindsay Myers</t>
  </si>
  <si>
    <t>+1(530)364-2800</t>
  </si>
  <si>
    <t>9116-7262 QUÉBEC INC.</t>
  </si>
  <si>
    <t xml:space="preserve">Sheraton Saint-Hyacinthe Hotel </t>
  </si>
  <si>
    <t xml:space="preserve">1315 Daniel-Johnson O. </t>
  </si>
  <si>
    <t>Saint-hyacinthe</t>
  </si>
  <si>
    <t>J2S 8S4</t>
  </si>
  <si>
    <t>Bryan Belanger</t>
  </si>
  <si>
    <t>Michel Douville</t>
  </si>
  <si>
    <t>+1 (450) 252-7988</t>
  </si>
  <si>
    <t>Sheraton San Diego Hotel &amp; Marina</t>
  </si>
  <si>
    <t>1380 Harbor Island Dr West Tower (Standard)</t>
  </si>
  <si>
    <t>Hayden Knudsen</t>
  </si>
  <si>
    <t>Sean Clancy</t>
  </si>
  <si>
    <t>+1(619)291-2900</t>
  </si>
  <si>
    <t>Sand Key Associates Limited Partnership</t>
  </si>
  <si>
    <t>Sheraton Sand Key Resort</t>
  </si>
  <si>
    <t xml:space="preserve">1160 Gulf Boulevard </t>
  </si>
  <si>
    <t>Christopher Reagan</t>
  </si>
  <si>
    <t>+1 (727) 595-1611</t>
  </si>
  <si>
    <t>Sheraton Seattle Hotel</t>
  </si>
  <si>
    <t xml:space="preserve">1400 6th Avenue </t>
  </si>
  <si>
    <t>Bronwyn Gerberding</t>
  </si>
  <si>
    <t>Callette Nielsen</t>
  </si>
  <si>
    <t>+1(206)621-9000</t>
  </si>
  <si>
    <t>Sheraton Sioux Falls &amp; Convention Center</t>
  </si>
  <si>
    <t xml:space="preserve">1211 North Avenue West </t>
  </si>
  <si>
    <t>Ghena Ferguson</t>
  </si>
  <si>
    <t>Marek Vesely</t>
  </si>
  <si>
    <t>+1 (605) 331-0100</t>
  </si>
  <si>
    <t>Sheraton Sonoma County - Petaluma</t>
  </si>
  <si>
    <t xml:space="preserve">745 Baywood Drive </t>
  </si>
  <si>
    <t>Petaluma City</t>
  </si>
  <si>
    <t>Gregg Pearson</t>
  </si>
  <si>
    <t>+1 (707) 283-2888</t>
  </si>
  <si>
    <t>Falcon Hotel Corp.</t>
  </si>
  <si>
    <t>Sheraton Springfield Monarch Place Hotel</t>
  </si>
  <si>
    <t xml:space="preserve">One Monarch Place </t>
  </si>
  <si>
    <t>Stacy Gravanis</t>
  </si>
  <si>
    <t>+1 (413) 781-1010</t>
  </si>
  <si>
    <t>Sheraton St. Paul Woodbury</t>
  </si>
  <si>
    <t xml:space="preserve">676 Bielenberg Drive </t>
  </si>
  <si>
    <t>+(651)209-3280</t>
  </si>
  <si>
    <t>Sheraton Steamboat Resort</t>
  </si>
  <si>
    <t xml:space="preserve">2200 Village Inn Court </t>
  </si>
  <si>
    <t>Dan Pirrallo</t>
  </si>
  <si>
    <t>Barbara Whelan</t>
  </si>
  <si>
    <t>+1 (970) 879-2220</t>
  </si>
  <si>
    <t>Sheraton Stonebriar Hotel</t>
  </si>
  <si>
    <t xml:space="preserve">5444 State Hwy 121 </t>
  </si>
  <si>
    <t>Kimberly Hayward</t>
  </si>
  <si>
    <t>Regina Rhodes</t>
  </si>
  <si>
    <t>+1(972)668-8700</t>
  </si>
  <si>
    <t>Sheraton Suites Calgary Eau Claire</t>
  </si>
  <si>
    <t xml:space="preserve">255 Barclay Parade SW </t>
  </si>
  <si>
    <t>T2P 5C2</t>
  </si>
  <si>
    <t>Cole Millen</t>
  </si>
  <si>
    <t>Scott Richards</t>
  </si>
  <si>
    <t>+1 (403) 266-7200</t>
  </si>
  <si>
    <t>Sheraton Suites Columbus</t>
  </si>
  <si>
    <t xml:space="preserve">201 Hutchinson Avenue </t>
  </si>
  <si>
    <t>Donovan Archie</t>
  </si>
  <si>
    <t>Salma Alchahal</t>
  </si>
  <si>
    <t>+1 (614) 436-0004</t>
  </si>
  <si>
    <t>Sheraton Suites Fort Lauderdale at Cypress Creek</t>
  </si>
  <si>
    <t xml:space="preserve">555 N.W. 62nd Street </t>
  </si>
  <si>
    <t>Michael Lundwall</t>
  </si>
  <si>
    <t>James Dorvil</t>
  </si>
  <si>
    <t>+1 (954) 772-5400</t>
  </si>
  <si>
    <t>Sheraton Suites Fort Lauderdale Plantation</t>
  </si>
  <si>
    <t xml:space="preserve">311 North University Drive </t>
  </si>
  <si>
    <t>Keith Dunker</t>
  </si>
  <si>
    <t>Fred Mercado</t>
  </si>
  <si>
    <t>+1 (954) 424-3300</t>
  </si>
  <si>
    <t>Sheraton Suites Galleria Atlanta</t>
  </si>
  <si>
    <t xml:space="preserve">2844 Cobb Parkway </t>
  </si>
  <si>
    <t>William Newman</t>
  </si>
  <si>
    <t>+1 (770) 955-3900</t>
  </si>
  <si>
    <t>Sheraton Suites Philadelphia Airport</t>
  </si>
  <si>
    <t xml:space="preserve">4101 B Island Avenue </t>
  </si>
  <si>
    <t>Fran Coleman</t>
  </si>
  <si>
    <t>+1 (215) 365-6600</t>
  </si>
  <si>
    <t>Syracuse University Hotel &amp; Conference Center LLC</t>
  </si>
  <si>
    <t>Sheraton Syracuse University Hotel And Conference Center</t>
  </si>
  <si>
    <t xml:space="preserve">801 University Avenue </t>
  </si>
  <si>
    <t xml:space="preserve">Syracuse </t>
  </si>
  <si>
    <t>Kevin Connolly</t>
  </si>
  <si>
    <t>Gary Nuzzo</t>
  </si>
  <si>
    <t>+1 (315) 475-3000</t>
  </si>
  <si>
    <t>Sheraton Tampa East</t>
  </si>
  <si>
    <t xml:space="preserve">10221 Princess Palm Avenue </t>
  </si>
  <si>
    <t>Scott Selvaggi</t>
  </si>
  <si>
    <t>Matt Chauvin</t>
  </si>
  <si>
    <t>+1 (813) 623-6363</t>
  </si>
  <si>
    <t>Sheraton Tampa Riverwalk Hotel</t>
  </si>
  <si>
    <t xml:space="preserve">200 North Ashley Drive </t>
  </si>
  <si>
    <t>Rizwan Ansari</t>
  </si>
  <si>
    <t>+1 (813) 226-4420</t>
  </si>
  <si>
    <t>Sheraton Tarrytown Hotel</t>
  </si>
  <si>
    <t xml:space="preserve">600 White Plains Road </t>
  </si>
  <si>
    <t>TARRYTOWN</t>
  </si>
  <si>
    <t>Katarina Sefrankova</t>
  </si>
  <si>
    <t>Paul Williamson</t>
  </si>
  <si>
    <t>+1 (914) 332-7900</t>
  </si>
  <si>
    <t>Sheraton Tribeca</t>
  </si>
  <si>
    <t xml:space="preserve">370 Canal St. </t>
  </si>
  <si>
    <t>Cesar Cepeda</t>
  </si>
  <si>
    <t>Mai Garcia</t>
  </si>
  <si>
    <t>+1 (212) 966-3400</t>
  </si>
  <si>
    <t>Sheraton Tucson</t>
  </si>
  <si>
    <t xml:space="preserve">5151 East Grant Road </t>
  </si>
  <si>
    <t>Pierre Abou-Zeid</t>
  </si>
  <si>
    <t>Martha Sanchez</t>
  </si>
  <si>
    <t>+1 (520) 323-6262</t>
  </si>
  <si>
    <t>Shen Zhen New World II LLC</t>
  </si>
  <si>
    <t>Sheraton Universal City</t>
  </si>
  <si>
    <t xml:space="preserve">333 Universal Hollywood Drive </t>
  </si>
  <si>
    <t>Universal City</t>
  </si>
  <si>
    <t>Chris Tzeng</t>
  </si>
  <si>
    <t>Paul Izen</t>
  </si>
  <si>
    <t>+1 (818) 509-2739</t>
  </si>
  <si>
    <t>Sheraton Vistana Resort Villas</t>
  </si>
  <si>
    <t xml:space="preserve">8800 Vistana Centre Drive </t>
  </si>
  <si>
    <t>Jaret Della Porta</t>
  </si>
  <si>
    <t>Jorg Heyer</t>
  </si>
  <si>
    <t>+1 (407) 239-3100</t>
  </si>
  <si>
    <t>Sheraton Vistana Villages Resort Villas</t>
  </si>
  <si>
    <t xml:space="preserve">12401 International Drive </t>
  </si>
  <si>
    <t>Arno Pfeffer</t>
  </si>
  <si>
    <t>Herbert Vogt</t>
  </si>
  <si>
    <t>+1 (407) 238-5111</t>
  </si>
  <si>
    <t>Sheraton Waikiki</t>
  </si>
  <si>
    <t xml:space="preserve">2255 Kalakaua Avenue </t>
  </si>
  <si>
    <t>+1(808)922-4422</t>
  </si>
  <si>
    <t>Sheraton West Des Moines Hotel</t>
  </si>
  <si>
    <t xml:space="preserve">1800 50th Street </t>
  </si>
  <si>
    <t xml:space="preserve">Brandon Danner </t>
  </si>
  <si>
    <t>+1 (515) 223-1800</t>
  </si>
  <si>
    <t>Shore Hotel</t>
  </si>
  <si>
    <t xml:space="preserve">1515 Ocean Avenue </t>
  </si>
  <si>
    <t>Inessa Udovchenko</t>
  </si>
  <si>
    <t>Julie Ward</t>
  </si>
  <si>
    <t>+1 (310) 458-1515</t>
  </si>
  <si>
    <t>Shoreby Club Inc.</t>
  </si>
  <si>
    <t>Shoreby Club</t>
  </si>
  <si>
    <t xml:space="preserve">40 Shoreby Drive </t>
  </si>
  <si>
    <t>Bratenahl</t>
  </si>
  <si>
    <t>Shawn Tatarowicz</t>
  </si>
  <si>
    <t>+1 (216) 851-2582</t>
  </si>
  <si>
    <t>Seaside Waikiki Hotel Fund LLC</t>
  </si>
  <si>
    <t>Shoreline Hotel Waikiki</t>
  </si>
  <si>
    <t xml:space="preserve">342 Seaside Avenue </t>
  </si>
  <si>
    <t>+1 (808) 931-1504</t>
  </si>
  <si>
    <t>Shotgun Sally's Rock n' Roll Saloon</t>
  </si>
  <si>
    <t xml:space="preserve">1515 42nd Street South </t>
  </si>
  <si>
    <t>Nikki Eiynck</t>
  </si>
  <si>
    <t>Pennie Busick</t>
  </si>
  <si>
    <t>+1 (701) 241-4386</t>
  </si>
  <si>
    <t>Showboat Hotel</t>
  </si>
  <si>
    <t xml:space="preserve">801 Boardwalk </t>
  </si>
  <si>
    <t>Emily Reaves</t>
  </si>
  <si>
    <t>Fawaz Mir</t>
  </si>
  <si>
    <t>+1 (609) 487-4600</t>
  </si>
  <si>
    <t>Signature of Solon Country Club</t>
  </si>
  <si>
    <t xml:space="preserve">39000 Signature Drive </t>
  </si>
  <si>
    <t>Solon</t>
  </si>
  <si>
    <t>Dan DeCrow</t>
  </si>
  <si>
    <t>+1 (440) 498-8888</t>
  </si>
  <si>
    <t>Silicon Valley Capital Club</t>
  </si>
  <si>
    <t xml:space="preserve">Fairmont Plaza Suite 1700 50 West San Fernando </t>
  </si>
  <si>
    <t>+ (408) 971-9300</t>
  </si>
  <si>
    <t>Silver Birches Resort</t>
  </si>
  <si>
    <t xml:space="preserve">205 PA-507 </t>
  </si>
  <si>
    <t>Jenna Simpler</t>
  </si>
  <si>
    <t>+1 (570) 226-2124</t>
  </si>
  <si>
    <t>Silver Lake Country Club</t>
  </si>
  <si>
    <t xml:space="preserve">1325 Graham RD </t>
  </si>
  <si>
    <t>Silver Lake</t>
  </si>
  <si>
    <t>Dave Lansinger</t>
  </si>
  <si>
    <t>+ (330) 688-6066</t>
  </si>
  <si>
    <t>Silver Lakes</t>
  </si>
  <si>
    <t xml:space="preserve">1 SunBelt Parkway </t>
  </si>
  <si>
    <t>Glencoe</t>
  </si>
  <si>
    <t>+1 (256) 892-3268</t>
  </si>
  <si>
    <t>Silver Slipper Casino</t>
  </si>
  <si>
    <t xml:space="preserve">5000 South Beach Boulevard </t>
  </si>
  <si>
    <t>Bayside Park</t>
  </si>
  <si>
    <t>John Ferrucci</t>
  </si>
  <si>
    <t>+1 (866) 775-4773</t>
  </si>
  <si>
    <t>Silverado Resort Services Group LLC</t>
  </si>
  <si>
    <t>Silverado Resort &amp; Spa</t>
  </si>
  <si>
    <t xml:space="preserve">1600 Atlas Peak Road </t>
  </si>
  <si>
    <t>William Santos</t>
  </si>
  <si>
    <t>+ (707) 257-0200</t>
  </si>
  <si>
    <t>Silverhorn Golf Club of Texas</t>
  </si>
  <si>
    <t xml:space="preserve">1100 West Bitters Road </t>
  </si>
  <si>
    <t>Bryan Ledesma</t>
  </si>
  <si>
    <t>+ (210) 545-5300</t>
  </si>
  <si>
    <t>Silver Sands Limited</t>
  </si>
  <si>
    <t>Silversands Grenada</t>
  </si>
  <si>
    <t xml:space="preserve">Grand Anse Main Road </t>
  </si>
  <si>
    <t>St. George's</t>
  </si>
  <si>
    <t>GRD</t>
  </si>
  <si>
    <t>Grenada</t>
  </si>
  <si>
    <t>Narelle McDougall</t>
  </si>
  <si>
    <t>Pauline Wanjiru</t>
  </si>
  <si>
    <t>+1 (473) 423-3999</t>
  </si>
  <si>
    <t>Sirata Beach Resort</t>
  </si>
  <si>
    <t xml:space="preserve">5300 Gulf Boulevard </t>
  </si>
  <si>
    <t>St. Petersburg</t>
  </si>
  <si>
    <t>Paul Herbert</t>
  </si>
  <si>
    <t>Steven Woelfer</t>
  </si>
  <si>
    <t>+1 (727) 897-5200</t>
  </si>
  <si>
    <t>Skamania Lodge</t>
  </si>
  <si>
    <t xml:space="preserve">1131 SW Skamania Lodge Way </t>
  </si>
  <si>
    <t>Stevenson</t>
  </si>
  <si>
    <t>Ken Daugherty</t>
  </si>
  <si>
    <t>Amanda Perry</t>
  </si>
  <si>
    <t>+1 (509) 427-2510</t>
  </si>
  <si>
    <t>Skier Services Snowmass</t>
  </si>
  <si>
    <t>Skyline Club Indianapolis</t>
  </si>
  <si>
    <t>1 American SQ Flr 36</t>
  </si>
  <si>
    <t>Jeff Markowicz</t>
  </si>
  <si>
    <t>+ (317) 263-5000</t>
  </si>
  <si>
    <t>Skyline Club Southfield</t>
  </si>
  <si>
    <t>2000 Town CTR Ste 2800</t>
  </si>
  <si>
    <t>Richelle Tragge</t>
  </si>
  <si>
    <t>+ (248) 350-9898</t>
  </si>
  <si>
    <t>Skytop Lodge Corporation</t>
  </si>
  <si>
    <t>Skytop Lodge</t>
  </si>
  <si>
    <t xml:space="preserve">1 Skytop Lodge Road </t>
  </si>
  <si>
    <t>SKYTOP</t>
  </si>
  <si>
    <t>Jeffery Rudder</t>
  </si>
  <si>
    <t>+1 (570) 595-7401</t>
  </si>
  <si>
    <t>Sleep Inn - Billy Graham Parkway</t>
  </si>
  <si>
    <t xml:space="preserve">701 Yorkmont Road </t>
  </si>
  <si>
    <t>Amyn Mithani</t>
  </si>
  <si>
    <t>+ (704) 525-5005</t>
  </si>
  <si>
    <t>EC Hospitality LLC</t>
  </si>
  <si>
    <t>Sleep Inn - Destin</t>
  </si>
  <si>
    <t xml:space="preserve">10775 Emerald Coast Parkway </t>
  </si>
  <si>
    <t>Tom Snell</t>
  </si>
  <si>
    <t>+1 (850) 654-7022</t>
  </si>
  <si>
    <t>Sleep Inn - Fayetteville</t>
  </si>
  <si>
    <t xml:space="preserve">728 East Millsap Road </t>
  </si>
  <si>
    <t>+1 (479) 587-8700</t>
  </si>
  <si>
    <t>Sleep Inn &amp; Suites - Port Clinton</t>
  </si>
  <si>
    <t xml:space="preserve">947 State Route 53 North </t>
  </si>
  <si>
    <t>Angie Hopkins</t>
  </si>
  <si>
    <t>+1 (419) 732-7707</t>
  </si>
  <si>
    <t>Barbagallos Hotel LLC</t>
  </si>
  <si>
    <t>Sleep Inn &amp; Suites East Syracuse</t>
  </si>
  <si>
    <t xml:space="preserve">6344 East Malloy Road </t>
  </si>
  <si>
    <t>Matthew Barbagallo</t>
  </si>
  <si>
    <t>+1 (315) 433-8585</t>
  </si>
  <si>
    <t>Sleep Inn &amp; Suites I-20</t>
  </si>
  <si>
    <t xml:space="preserve">6720 Klug Pines Road </t>
  </si>
  <si>
    <t>Mike Desi</t>
  </si>
  <si>
    <t>+1 (318) 841-4408</t>
  </si>
  <si>
    <t>JSM Groups LLC</t>
  </si>
  <si>
    <t>Sleep Inn &amp; Suites Near I-90 &amp; Ashtabula</t>
  </si>
  <si>
    <t xml:space="preserve">9350 Center Road </t>
  </si>
  <si>
    <t>Austinburg</t>
  </si>
  <si>
    <t>Kris Rea</t>
  </si>
  <si>
    <t>+1 (440) 275-6800</t>
  </si>
  <si>
    <t>Sleep Inn &amp; Suites Ocala - FL730</t>
  </si>
  <si>
    <t xml:space="preserve">13600 Southwest 17th Court </t>
  </si>
  <si>
    <t>Sarah Aube</t>
  </si>
  <si>
    <t>Juan Ortiz</t>
  </si>
  <si>
    <t>+1 (352) 347-8383</t>
  </si>
  <si>
    <t>Sleep Inn &amp; Suites Pleasant Hill</t>
  </si>
  <si>
    <t xml:space="preserve">5850 Morning Star Court </t>
  </si>
  <si>
    <t>Chris Decker</t>
  </si>
  <si>
    <t>+1 (515) 299-9922</t>
  </si>
  <si>
    <t>SIS of Ruston LLC</t>
  </si>
  <si>
    <t>Sleep Inn &amp; Suites Ruston - LA168</t>
  </si>
  <si>
    <t xml:space="preserve">106 South Service Road East </t>
  </si>
  <si>
    <t>Michael Conley</t>
  </si>
  <si>
    <t>Keith Brasuell</t>
  </si>
  <si>
    <t>+1 (318) 232-1100</t>
  </si>
  <si>
    <t>Sleep Inn &amp; Suites University - Shands</t>
  </si>
  <si>
    <t xml:space="preserve">4110 Southwest 40th Boulevard </t>
  </si>
  <si>
    <t>Sleep Inn at North Scottsdale Road</t>
  </si>
  <si>
    <t xml:space="preserve">16630 North Scottsdale Road </t>
  </si>
  <si>
    <t>Adam Hoaglund</t>
  </si>
  <si>
    <t>+1 (480) 998-9211</t>
  </si>
  <si>
    <t>Sleep Inn Charleston</t>
  </si>
  <si>
    <t xml:space="preserve">1524 Savannah Highway US 17 South </t>
  </si>
  <si>
    <t>Travis Baker</t>
  </si>
  <si>
    <t>+1 (843) 556-6959</t>
  </si>
  <si>
    <t>Lodging Venture LLC</t>
  </si>
  <si>
    <t>Sleep Inn Flowood</t>
  </si>
  <si>
    <t xml:space="preserve">4351 Lakeland Drive </t>
  </si>
  <si>
    <t>Flowood</t>
  </si>
  <si>
    <t>Brodie Meche</t>
  </si>
  <si>
    <t>+1 (769) 216-3287</t>
  </si>
  <si>
    <t>Sleep Inn Londonderry</t>
  </si>
  <si>
    <t xml:space="preserve">72 Perkins Rd </t>
  </si>
  <si>
    <t>Londonderry</t>
  </si>
  <si>
    <t>Mariza Fisher</t>
  </si>
  <si>
    <t>+ (603) 425-2110</t>
  </si>
  <si>
    <t>Sleep Inn South</t>
  </si>
  <si>
    <t xml:space="preserve">10332 Plaza Americano Drive </t>
  </si>
  <si>
    <t>+1 (225) 926-8488</t>
  </si>
  <si>
    <t>Sleep Inn Upper Marlboro</t>
  </si>
  <si>
    <t xml:space="preserve">9310 Marlboro Pike </t>
  </si>
  <si>
    <t>LaTonya McLeod</t>
  </si>
  <si>
    <t>Yogi Patel</t>
  </si>
  <si>
    <t>+1 (301) 599-9400</t>
  </si>
  <si>
    <t>SLS Hotel at Beverly Hills</t>
  </si>
  <si>
    <t xml:space="preserve">465 La Cienega Boulevard </t>
  </si>
  <si>
    <t>Christophe Thomas</t>
  </si>
  <si>
    <t>+1(310)247-0400</t>
  </si>
  <si>
    <t>Smart Suites South Burlington</t>
  </si>
  <si>
    <t xml:space="preserve">1700 Shelburne Road </t>
  </si>
  <si>
    <t>James Davison</t>
  </si>
  <si>
    <t>Michelle Richards</t>
  </si>
  <si>
    <t>+1 (802) 860-9900</t>
  </si>
  <si>
    <t>Smith Tower</t>
  </si>
  <si>
    <t xml:space="preserve">500 2nd Ave </t>
  </si>
  <si>
    <t>David Lennon</t>
  </si>
  <si>
    <t>Kelsey Hutchinson</t>
  </si>
  <si>
    <t>+1 (877) 412-2776</t>
  </si>
  <si>
    <t>Snowbasin a Sun Valley Resort</t>
  </si>
  <si>
    <t xml:space="preserve">3925 East Snowbasin Road </t>
  </si>
  <si>
    <t>Davy Ratchford</t>
  </si>
  <si>
    <t>Chris Westover</t>
  </si>
  <si>
    <t>+ (801) 399-1135</t>
  </si>
  <si>
    <t>Snowpine Lodge</t>
  </si>
  <si>
    <t xml:space="preserve">10420 Little Cottonwood Canyon Road </t>
  </si>
  <si>
    <t>Alta</t>
  </si>
  <si>
    <t>Justin Clark</t>
  </si>
  <si>
    <t>+1 (801) 742-2000</t>
  </si>
  <si>
    <t>Snowshoe Mountain</t>
  </si>
  <si>
    <t xml:space="preserve">10 Snowshoe Drive </t>
  </si>
  <si>
    <t>Snowshoe</t>
  </si>
  <si>
    <t>Robert Wims</t>
  </si>
  <si>
    <t>Chris Cutright</t>
  </si>
  <si>
    <t>+1 (304) 572-1000</t>
  </si>
  <si>
    <t>Sofitel Chicago Water Tower</t>
  </si>
  <si>
    <t xml:space="preserve">20 E Chestnut St </t>
  </si>
  <si>
    <t>Sofitel Hotels</t>
  </si>
  <si>
    <t>Matthew Blackmore</t>
  </si>
  <si>
    <t>+1 (312) 324-4000</t>
  </si>
  <si>
    <t>Sofitel Los Angeles</t>
  </si>
  <si>
    <t xml:space="preserve">8555 Beverly Blvd </t>
  </si>
  <si>
    <t>Eric Lemaire</t>
  </si>
  <si>
    <t>+ (310) 278-5444</t>
  </si>
  <si>
    <t>Sofitel Mexico Reforma</t>
  </si>
  <si>
    <t xml:space="preserve">Av. Paseo de la Reforma 297 </t>
  </si>
  <si>
    <t>Sylvain Chauvet</t>
  </si>
  <si>
    <t>Alejandro Osti</t>
  </si>
  <si>
    <t>+1 (52) 55 43126405</t>
  </si>
  <si>
    <t>Sofitel Montreal</t>
  </si>
  <si>
    <t xml:space="preserve">1155 Sherbrooke St. West </t>
  </si>
  <si>
    <t>H3A 2N3</t>
  </si>
  <si>
    <t>Marc Pichot</t>
  </si>
  <si>
    <t>+1 (514) 285-9000</t>
  </si>
  <si>
    <t>Sofitel New York</t>
  </si>
  <si>
    <t xml:space="preserve">45 West 44th St </t>
  </si>
  <si>
    <t>Mathieu Chanoux</t>
  </si>
  <si>
    <t>Simon Antoine</t>
  </si>
  <si>
    <t>+1 (212) 354-8844</t>
  </si>
  <si>
    <t>Sofitel Philadelphia</t>
  </si>
  <si>
    <t xml:space="preserve">120 South 17th Street </t>
  </si>
  <si>
    <t>Angela Bauer</t>
  </si>
  <si>
    <t>+1 (215) 569-8300</t>
  </si>
  <si>
    <t>Sofitel Washington DC</t>
  </si>
  <si>
    <t xml:space="preserve">806 15th Street NW </t>
  </si>
  <si>
    <t xml:space="preserve">Karla Erales </t>
  </si>
  <si>
    <t>+1 (202) 730-8800</t>
  </si>
  <si>
    <t>Solage an Auberge Resort</t>
  </si>
  <si>
    <t xml:space="preserve">755 Silverado Trail </t>
  </si>
  <si>
    <t>Todd Cilano</t>
  </si>
  <si>
    <t>+1 (707) 266-7531</t>
  </si>
  <si>
    <t>Solaz A Luxury Collection Hotel Los Cabos</t>
  </si>
  <si>
    <t xml:space="preserve">San Jose Del Cabo Del Municipio De Los Cabos B. C. </t>
  </si>
  <si>
    <t>Giuliana Torres</t>
  </si>
  <si>
    <t>+() 52 624 145 8014</t>
  </si>
  <si>
    <t>Solitude Mountain Resort</t>
  </si>
  <si>
    <t>12000 Big Cottonwood Canyon Road Entry 2</t>
  </si>
  <si>
    <t>Solitude</t>
  </si>
  <si>
    <t>Erika Reichert</t>
  </si>
  <si>
    <t>Staffan Eklund</t>
  </si>
  <si>
    <t>+1 (801) 534-1400</t>
  </si>
  <si>
    <t>Somerset House</t>
  </si>
  <si>
    <t xml:space="preserve">1540 Oak Harbor Blvd. </t>
  </si>
  <si>
    <t>Alton Mendleson</t>
  </si>
  <si>
    <t>+1 (772) 778-8181</t>
  </si>
  <si>
    <t>Sonesta Atlanta Gwinnett Place</t>
  </si>
  <si>
    <t xml:space="preserve">1775 Pleasant Hill Road </t>
  </si>
  <si>
    <t>Brett Deloach</t>
  </si>
  <si>
    <t xml:space="preserve">Eileen Mossbrooks </t>
  </si>
  <si>
    <t>+1 (617) 421-5400</t>
  </si>
  <si>
    <t>Sonesta Bee Cave Austin</t>
  </si>
  <si>
    <t xml:space="preserve">12525 Bee Cave Parkway </t>
  </si>
  <si>
    <t>Bee Cave</t>
  </si>
  <si>
    <t xml:space="preserve">John Dallas </t>
  </si>
  <si>
    <t>+1(512)483 5900</t>
  </si>
  <si>
    <t>Sonesta Emeryville</t>
  </si>
  <si>
    <t xml:space="preserve">5555 Shellmound Street </t>
  </si>
  <si>
    <t>Mesui Pale</t>
  </si>
  <si>
    <t>JB Carr</t>
  </si>
  <si>
    <t>+1 (510) 652-8777</t>
  </si>
  <si>
    <t>Sonesta ES Suites Albuquerque</t>
  </si>
  <si>
    <t xml:space="preserve">3300 Prospect Avenue NE </t>
  </si>
  <si>
    <t>Mike Foster</t>
  </si>
  <si>
    <t>+1 (505) 881-2661</t>
  </si>
  <si>
    <t xml:space="preserve">Sonesta ES Suites Allentown Bethlehem </t>
  </si>
  <si>
    <t xml:space="preserve">2180 Motel Drive </t>
  </si>
  <si>
    <t>David Greco</t>
  </si>
  <si>
    <t>+1 (610) 317-2662</t>
  </si>
  <si>
    <t>Sonesta ES Suites Andover</t>
  </si>
  <si>
    <t xml:space="preserve">4 Tech Drive </t>
  </si>
  <si>
    <t>Katerina Belcheva</t>
  </si>
  <si>
    <t>+1 (978) 686-2000</t>
  </si>
  <si>
    <t>Sonesta ES Suites Ann Arbor</t>
  </si>
  <si>
    <t xml:space="preserve">800 Victors Way </t>
  </si>
  <si>
    <t>Jenna Rieberger</t>
  </si>
  <si>
    <t>Jody Boose</t>
  </si>
  <si>
    <t>(734) 996-5666</t>
  </si>
  <si>
    <t xml:space="preserve">Sonesta ES Suites Annapolis </t>
  </si>
  <si>
    <t xml:space="preserve">170 Admiral Cochrane Drive </t>
  </si>
  <si>
    <t>Petros Kifle</t>
  </si>
  <si>
    <t>Alexis Harrison</t>
  </si>
  <si>
    <t>(410) 573-0300</t>
  </si>
  <si>
    <t xml:space="preserve">Sonesta ES Suites Atlanta Alpharetta Windward </t>
  </si>
  <si>
    <t xml:space="preserve">5465 Windward Pkwy West </t>
  </si>
  <si>
    <t>Amberle Bryant</t>
  </si>
  <si>
    <t>+1 (770) 664-0664</t>
  </si>
  <si>
    <t>Sonesta ES Suites Atlanta Center North</t>
  </si>
  <si>
    <t xml:space="preserve">760 Mt. Vernon Highway N.E. </t>
  </si>
  <si>
    <t>Sandy Springs</t>
  </si>
  <si>
    <t>Adreene Allen</t>
  </si>
  <si>
    <t>Maci Clark</t>
  </si>
  <si>
    <t>+1 (404) 250-0110</t>
  </si>
  <si>
    <t>Sonesta ES Suites Atlanta Kennesaw Town Center</t>
  </si>
  <si>
    <t xml:space="preserve">3443 Busbee Drive NW </t>
  </si>
  <si>
    <t>Cailin Riddell</t>
  </si>
  <si>
    <t>Jamandi Jolomi</t>
  </si>
  <si>
    <t>+1 (770) 218-1018</t>
  </si>
  <si>
    <t>Sonesta ES Suites Atlanta North Point Mall</t>
  </si>
  <si>
    <t xml:space="preserve">1325 Northpoint Drive </t>
  </si>
  <si>
    <t>Anthony Cameron</t>
  </si>
  <si>
    <t>Maria Gemina Trujillo</t>
  </si>
  <si>
    <t>+1 (770) 587-1151</t>
  </si>
  <si>
    <t>Sonesta ES Suites Atlanta Perimeter East</t>
  </si>
  <si>
    <t xml:space="preserve">1901 Savoy Drive </t>
  </si>
  <si>
    <t>Chamblee</t>
  </si>
  <si>
    <t xml:space="preserve"> Shamonica Jeffries</t>
  </si>
  <si>
    <t>(770) 455-4446</t>
  </si>
  <si>
    <t>Sonesta ES Suites Auburn Hills</t>
  </si>
  <si>
    <t xml:space="preserve">2050 Featherstone Road </t>
  </si>
  <si>
    <t xml:space="preserve">Michele Tomaszewski </t>
  </si>
  <si>
    <t>Roemon Murphy</t>
  </si>
  <si>
    <t>+1 (248) 322-4600</t>
  </si>
  <si>
    <t>Sonesta ES Suites Baltimore BWI Airport</t>
  </si>
  <si>
    <t xml:space="preserve">1160 Winterson Road </t>
  </si>
  <si>
    <t>Shene Moulden</t>
  </si>
  <si>
    <t>+1 (410) 691-0255</t>
  </si>
  <si>
    <t>Sonesta ES Suites Birmingham Homewood</t>
  </si>
  <si>
    <t xml:space="preserve">50 State Farm Parkway </t>
  </si>
  <si>
    <t>Robert Giere</t>
  </si>
  <si>
    <t>Vickie Garrett</t>
  </si>
  <si>
    <t>+1 (205) 943-0044</t>
  </si>
  <si>
    <t>Sonesta ES Suites Birmingham Inverness</t>
  </si>
  <si>
    <t>3 Greenhill Parkway US Hwy #280</t>
  </si>
  <si>
    <t>Parker Smile</t>
  </si>
  <si>
    <t>(205) 991-8686</t>
  </si>
  <si>
    <t>Sonesta ES Suites Boston Westborough</t>
  </si>
  <si>
    <t xml:space="preserve">25 Connector Road </t>
  </si>
  <si>
    <t>Afaf Gerges</t>
  </si>
  <si>
    <t>Cristal Bonauito</t>
  </si>
  <si>
    <t>+1 (508) 366-7700</t>
  </si>
  <si>
    <t>Sonesta ES Suites Burlington</t>
  </si>
  <si>
    <t xml:space="preserve">11 Old Concord Road </t>
  </si>
  <si>
    <t>Deborah Derusha</t>
  </si>
  <si>
    <t>Kathryn Murphy</t>
  </si>
  <si>
    <t>+1 (781) 221-2233</t>
  </si>
  <si>
    <t>Sonesta ES Suites Burlington VT</t>
  </si>
  <si>
    <t xml:space="preserve">35 Hurricane Lane </t>
  </si>
  <si>
    <t>Brittany Zwynenburg</t>
  </si>
  <si>
    <t xml:space="preserve">Meghan Bouvier </t>
  </si>
  <si>
    <t>+1 (802) 878-2001</t>
  </si>
  <si>
    <t>Sonesta ES Suites Carmel Mountain</t>
  </si>
  <si>
    <t xml:space="preserve">11002 Rancho Carmel Drive </t>
  </si>
  <si>
    <t>Joyce Ferrer</t>
  </si>
  <si>
    <t>+1 (858) 673-1900</t>
  </si>
  <si>
    <t xml:space="preserve">Sonesta ES Suites Charleston </t>
  </si>
  <si>
    <t xml:space="preserve">200 Hotel Circle </t>
  </si>
  <si>
    <t>Greg Bolles</t>
  </si>
  <si>
    <t>Steve Erwin</t>
  </si>
  <si>
    <t>+1 (304) 345-4200</t>
  </si>
  <si>
    <t>Sonesta ES Suites Charlotte</t>
  </si>
  <si>
    <t xml:space="preserve">7925 Forest Pine Drive </t>
  </si>
  <si>
    <t>Kay Canada</t>
  </si>
  <si>
    <t>+1 (704) 527-6767</t>
  </si>
  <si>
    <t>Sonesta ES Suites Charlottesville</t>
  </si>
  <si>
    <t xml:space="preserve">1111 Millmont Street </t>
  </si>
  <si>
    <t>Atom Wanta</t>
  </si>
  <si>
    <t>+1 (434) 923-0300</t>
  </si>
  <si>
    <t>Sonesta ES Suites Chicago Downtown</t>
  </si>
  <si>
    <t xml:space="preserve">201 East Walton Place </t>
  </si>
  <si>
    <t>devin moore</t>
  </si>
  <si>
    <t>+1 (312) 943-9800</t>
  </si>
  <si>
    <t>Sonesta ES Suites Chicago Lombard</t>
  </si>
  <si>
    <t xml:space="preserve">2001 South Highland Avenue </t>
  </si>
  <si>
    <t>Alan Gagnon</t>
  </si>
  <si>
    <t>TBD TBD</t>
  </si>
  <si>
    <t>(630) 629-7800</t>
  </si>
  <si>
    <t>Sonesta ES Suites Chicago Waukegan</t>
  </si>
  <si>
    <t xml:space="preserve">1440 South White Oak Drive </t>
  </si>
  <si>
    <t>Amy Dow</t>
  </si>
  <si>
    <t>Chad Clausen</t>
  </si>
  <si>
    <t>+1 (847) 689-9240</t>
  </si>
  <si>
    <t>Sonesta ES Suites Cincinnati</t>
  </si>
  <si>
    <t xml:space="preserve">2670 East Kemper Road </t>
  </si>
  <si>
    <t xml:space="preserve">Steve Fasig </t>
  </si>
  <si>
    <t>Tim Nelson</t>
  </si>
  <si>
    <t>+1 (513) 772-8888</t>
  </si>
  <si>
    <t>Sonesta ES Suites Cincinnati Blue Ash</t>
  </si>
  <si>
    <t xml:space="preserve">11401 Reed Hartman Highway </t>
  </si>
  <si>
    <t>Dorlisa Lewis</t>
  </si>
  <si>
    <t>(513) 530-5060</t>
  </si>
  <si>
    <t>Sonesta ES Suites Cincinnati North Sharonville</t>
  </si>
  <si>
    <t xml:space="preserve">11689 Chester Road </t>
  </si>
  <si>
    <t>Albert Williams</t>
  </si>
  <si>
    <t>Steve Fasig</t>
  </si>
  <si>
    <t>(513) 771-2525</t>
  </si>
  <si>
    <t>Sonesta ES Suites Cleveland Airport</t>
  </si>
  <si>
    <t xml:space="preserve">17525 Rosbough Drive </t>
  </si>
  <si>
    <t>Santos Galarza</t>
  </si>
  <si>
    <t>+1 (440) 234-6688</t>
  </si>
  <si>
    <t>Sonesta ES Suites Cleveland Westlake</t>
  </si>
  <si>
    <t xml:space="preserve">30100 Clemens Road </t>
  </si>
  <si>
    <t>Desmond Johnson</t>
  </si>
  <si>
    <t>Stephanie Billstone</t>
  </si>
  <si>
    <t>+1 (440) 892-2254</t>
  </si>
  <si>
    <t>Sonesta ES Suites Colorado Springs</t>
  </si>
  <si>
    <t xml:space="preserve">3880 North Academy Boulevard </t>
  </si>
  <si>
    <t>Taves Maciel</t>
  </si>
  <si>
    <t>+1 (719) 574-0370</t>
  </si>
  <si>
    <t>Sonesta ES Suites Columbia</t>
  </si>
  <si>
    <t xml:space="preserve">8844 Columbia 100 PKWY </t>
  </si>
  <si>
    <t>Jajuan Mosby</t>
  </si>
  <si>
    <t>+1 (410) 964-9494</t>
  </si>
  <si>
    <t>Sonesta ES Suites Dallas Central Expressway</t>
  </si>
  <si>
    <t xml:space="preserve">10333 North Central Expressway </t>
  </si>
  <si>
    <t>Keven Brinneman</t>
  </si>
  <si>
    <t>Neal Mitchell</t>
  </si>
  <si>
    <t>+1 (214) 750-8220</t>
  </si>
  <si>
    <t>Sonesta ES Suites Dallas Market Center</t>
  </si>
  <si>
    <t xml:space="preserve">6950 N Stemmons Freeway </t>
  </si>
  <si>
    <t>Rosa Azuara</t>
  </si>
  <si>
    <t>+1 (214) 631-2472</t>
  </si>
  <si>
    <t>Sonesta ES Suites Dallas Richardson</t>
  </si>
  <si>
    <t xml:space="preserve">1040 Waterwood Drive </t>
  </si>
  <si>
    <t>Lacey Lamm</t>
  </si>
  <si>
    <t>Paul Moore</t>
  </si>
  <si>
    <t>+1 (972) 669-5888</t>
  </si>
  <si>
    <t>Sonesta ES Suites Detroit Warren</t>
  </si>
  <si>
    <t xml:space="preserve">30120 Civic Center N </t>
  </si>
  <si>
    <t>Katie Hicks</t>
  </si>
  <si>
    <t>Mario Arredondo</t>
  </si>
  <si>
    <t>+1 (586) 558-8050</t>
  </si>
  <si>
    <t>Sonesta ES Suites Dublin</t>
  </si>
  <si>
    <t xml:space="preserve">435 Metro Place South </t>
  </si>
  <si>
    <t>Malak Markus</t>
  </si>
  <si>
    <t>+1 (614) 791-0403</t>
  </si>
  <si>
    <t>Sonesta ES Suites Fairfax</t>
  </si>
  <si>
    <t xml:space="preserve">12815 Fair Lakes Parkway </t>
  </si>
  <si>
    <t>Hannah Adlam</t>
  </si>
  <si>
    <t>Stephany Ward</t>
  </si>
  <si>
    <t>+1 (703) 266-4900</t>
  </si>
  <si>
    <t>Sonesta ES Suites Flagstaff</t>
  </si>
  <si>
    <t xml:space="preserve">1440 North Country Club Drive </t>
  </si>
  <si>
    <t>Chris Shields</t>
  </si>
  <si>
    <t>+1 (928) 526-5555</t>
  </si>
  <si>
    <t xml:space="preserve">Sonesta ES Suites Fort Worth </t>
  </si>
  <si>
    <t xml:space="preserve">5801 Sandshell Dr. </t>
  </si>
  <si>
    <t>Colleen Radtke</t>
  </si>
  <si>
    <t>+1 (817) 439-1300</t>
  </si>
  <si>
    <t>Sonesta ES Suites Fresno</t>
  </si>
  <si>
    <t xml:space="preserve">5322 N Diana Avenue </t>
  </si>
  <si>
    <t>Cody Johnson</t>
  </si>
  <si>
    <t>+1 (559) 222-8900</t>
  </si>
  <si>
    <t>Sonesta ES Suites Houston</t>
  </si>
  <si>
    <t xml:space="preserve">5190 Hidalgo Street </t>
  </si>
  <si>
    <t>Akhere Okoiron</t>
  </si>
  <si>
    <t>Thomas Flow</t>
  </si>
  <si>
    <t>+1 (713) 355-8888</t>
  </si>
  <si>
    <t>Sonesta ES Suites Houston Clear Lake</t>
  </si>
  <si>
    <t xml:space="preserve">525 Bay Area Boulevard </t>
  </si>
  <si>
    <t>Austin Davis</t>
  </si>
  <si>
    <t>Josie Chapa</t>
  </si>
  <si>
    <t>(281) 486-2424</t>
  </si>
  <si>
    <t>Sonesta ES Suites Huntington Beach</t>
  </si>
  <si>
    <t xml:space="preserve">9930 Slater Avenue </t>
  </si>
  <si>
    <t>Edith Gaytan</t>
  </si>
  <si>
    <t>+1 (714) 965-8000</t>
  </si>
  <si>
    <t>Sonesta ES Suites Jacksonville Baymeadows</t>
  </si>
  <si>
    <t xml:space="preserve">8365 Dix Ellis Trail </t>
  </si>
  <si>
    <t>Helaine Shea</t>
  </si>
  <si>
    <t>(904) 733-8088</t>
  </si>
  <si>
    <t>Sonesta ES Suites Malvern</t>
  </si>
  <si>
    <t xml:space="preserve">20 Morehall Road </t>
  </si>
  <si>
    <t>Claudine McGee-Bounds</t>
  </si>
  <si>
    <t>+1 (610) 296-4343</t>
  </si>
  <si>
    <t>Sonesta ES Suites Memphis East</t>
  </si>
  <si>
    <t xml:space="preserve">6141 Old Poplar Pike </t>
  </si>
  <si>
    <t>Fred Hallman</t>
  </si>
  <si>
    <t>(901) 685-9595</t>
  </si>
  <si>
    <t>Sonesta ES Suites Minneapolis St. Paul Airport</t>
  </si>
  <si>
    <t xml:space="preserve">3040 Eagandale Place </t>
  </si>
  <si>
    <t>Gerald McDermott</t>
  </si>
  <si>
    <t>LIsa Yilmaz</t>
  </si>
  <si>
    <t>+1 (651) 688-0363</t>
  </si>
  <si>
    <t>Sonesta ES Suites Montgomery</t>
  </si>
  <si>
    <t xml:space="preserve">1200 Hillmar Court </t>
  </si>
  <si>
    <t>Misty Ferguson</t>
  </si>
  <si>
    <t>Richard Woods</t>
  </si>
  <si>
    <t>(334) 270-3300</t>
  </si>
  <si>
    <t>Sonesta ES Suites Nashville Brentwood</t>
  </si>
  <si>
    <t xml:space="preserve">206 Ward Circle </t>
  </si>
  <si>
    <t>+1 (615) 371-0100</t>
  </si>
  <si>
    <t>Sonesta ES Suites New Orleans</t>
  </si>
  <si>
    <t xml:space="preserve">212 Loyola Avenue </t>
  </si>
  <si>
    <t>+1 (504) 533-9002</t>
  </si>
  <si>
    <t>Sonesta ES Suites New Orleans Convention Center</t>
  </si>
  <si>
    <t xml:space="preserve">345 St. Joseph Street </t>
  </si>
  <si>
    <t>Taylor Inscoe</t>
  </si>
  <si>
    <t>+1 (504) 522-1300</t>
  </si>
  <si>
    <t>Sonesta ES Suites Oklahoma City</t>
  </si>
  <si>
    <t xml:space="preserve">4361 West Reno Avenue </t>
  </si>
  <si>
    <t>Alex Santiago</t>
  </si>
  <si>
    <t>+1 (405) 942-4500</t>
  </si>
  <si>
    <t>Sonesta ES Suites Omaha</t>
  </si>
  <si>
    <t xml:space="preserve">6990 Dodge Street </t>
  </si>
  <si>
    <t>Scott Alves</t>
  </si>
  <si>
    <t>+1 (402) 553-8898</t>
  </si>
  <si>
    <t>Sonesta ES Suites Orlando</t>
  </si>
  <si>
    <t xml:space="preserve">8480 International Drive </t>
  </si>
  <si>
    <t>Gustavo Sanchez</t>
  </si>
  <si>
    <t>Daniel DiLeonardo</t>
  </si>
  <si>
    <t>+1 (407) 352-2400</t>
  </si>
  <si>
    <t>Sonesta ES Suites Parsippany</t>
  </si>
  <si>
    <t xml:space="preserve">61 Interpace Parkway </t>
  </si>
  <si>
    <t>Kevin Keown</t>
  </si>
  <si>
    <t>Vanessa Stickles</t>
  </si>
  <si>
    <t>+1 (973) 334-2907</t>
  </si>
  <si>
    <t>Sonesta ES Suites Parsippany Morris Plains</t>
  </si>
  <si>
    <t xml:space="preserve">3 Gatehall Drive </t>
  </si>
  <si>
    <t>Alex Vilar</t>
  </si>
  <si>
    <t>Francis Dake</t>
  </si>
  <si>
    <t>+1 (973) 984-3313</t>
  </si>
  <si>
    <t>Sonesta ES Suites Portland North Vancouver</t>
  </si>
  <si>
    <t xml:space="preserve">8005 NE Parkway Drive </t>
  </si>
  <si>
    <t>Patrick Dawsey</t>
  </si>
  <si>
    <t>+ (360) 253-4800</t>
  </si>
  <si>
    <t>Sonesta ES Suites Princeton</t>
  </si>
  <si>
    <t xml:space="preserve">4375 US Route 1 South </t>
  </si>
  <si>
    <t xml:space="preserve">Bobbie Lal </t>
  </si>
  <si>
    <t>Nii Yemoh</t>
  </si>
  <si>
    <t>+1 (609) 951-0009</t>
  </si>
  <si>
    <t>Sonesta ES Suites Providence Warwick</t>
  </si>
  <si>
    <t xml:space="preserve">500 Kilvert Street </t>
  </si>
  <si>
    <t>Viet Tu</t>
  </si>
  <si>
    <t>(401) 737-7100</t>
  </si>
  <si>
    <t>Sonesta ES Suites Raleigh Cary</t>
  </si>
  <si>
    <t xml:space="preserve">2900 Regency Parkway </t>
  </si>
  <si>
    <t>Beth Eakes</t>
  </si>
  <si>
    <t>+1 (919) 467-4080</t>
  </si>
  <si>
    <t>Sonesta ES Suites Raleigh Durham Airport</t>
  </si>
  <si>
    <t xml:space="preserve">2020 Hospitality Court </t>
  </si>
  <si>
    <t>Melissa Lee</t>
  </si>
  <si>
    <t>+1 (919) 467-8689</t>
  </si>
  <si>
    <t>Sonesta ES Suites Reno</t>
  </si>
  <si>
    <t xml:space="preserve">9845 Gateway Drive </t>
  </si>
  <si>
    <t>Cynthia Fairbanks</t>
  </si>
  <si>
    <t>Stephanie Ford</t>
  </si>
  <si>
    <t>+1 (775) 853-8800</t>
  </si>
  <si>
    <t>Sonesta ES Suites San Antonio Downtown</t>
  </si>
  <si>
    <t xml:space="preserve">425 Bonham Street </t>
  </si>
  <si>
    <t>Dusty Smith</t>
  </si>
  <si>
    <t>Kurt Thomas</t>
  </si>
  <si>
    <t>+1 (210) 212-5555</t>
  </si>
  <si>
    <t>Sonesta ES Suites San Francisco Airport Oyster Point</t>
  </si>
  <si>
    <t xml:space="preserve">1350 Veterans Blvd </t>
  </si>
  <si>
    <t>Regina Chaudhary</t>
  </si>
  <si>
    <t>Tim Howard</t>
  </si>
  <si>
    <t>+1 (650) 837-9000</t>
  </si>
  <si>
    <t>Sonesta ES Suites Schaumburg</t>
  </si>
  <si>
    <t xml:space="preserve">901 E Woodfield Office Ct </t>
  </si>
  <si>
    <t>Jane Wilkie</t>
  </si>
  <si>
    <t>+1 (847) 619-6677</t>
  </si>
  <si>
    <t>Sonesta ES Suites Scottsdale</t>
  </si>
  <si>
    <t xml:space="preserve">6040 North Scottsdale Road </t>
  </si>
  <si>
    <t>Edie Mayer</t>
  </si>
  <si>
    <t>Kelsey Pugh</t>
  </si>
  <si>
    <t>+1 (480) 948-8666</t>
  </si>
  <si>
    <t>Sonesta ES Suites Somers Point</t>
  </si>
  <si>
    <t xml:space="preserve">900 Mays Landing Road </t>
  </si>
  <si>
    <t>Somers Point</t>
  </si>
  <si>
    <t>+1 (609) 927-6400</t>
  </si>
  <si>
    <t>Sonesta ES Suites Somerset</t>
  </si>
  <si>
    <t xml:space="preserve">260 Davidson Avenue </t>
  </si>
  <si>
    <t>Matt Walsh</t>
  </si>
  <si>
    <t>Rebecca Dispoto</t>
  </si>
  <si>
    <t>+1 (732) 356-8000</t>
  </si>
  <si>
    <t>Sonesta ES Suites South Brunswick</t>
  </si>
  <si>
    <t xml:space="preserve">4225 US Highway 1 </t>
  </si>
  <si>
    <t>Monmouth Junction</t>
  </si>
  <si>
    <t>Alicia Pacheco</t>
  </si>
  <si>
    <t>Michael Camassa</t>
  </si>
  <si>
    <t>+1 (732) 329-9600</t>
  </si>
  <si>
    <t>Sonesta ES Suites St Louis Chesterfield</t>
  </si>
  <si>
    <t xml:space="preserve">15431 Conway Road </t>
  </si>
  <si>
    <t>Chesterfield</t>
  </si>
  <si>
    <t>Bill Carey</t>
  </si>
  <si>
    <t>Lynne Wallace</t>
  </si>
  <si>
    <t>+1 (636) 537-1444</t>
  </si>
  <si>
    <t>Sonesta ES Suites St. Louis</t>
  </si>
  <si>
    <t xml:space="preserve">1855 Craigshire Road </t>
  </si>
  <si>
    <t xml:space="preserve">Bill Carey </t>
  </si>
  <si>
    <t>+1 (314) 878-1555</t>
  </si>
  <si>
    <t>Sonesta ES Suites Tempe</t>
  </si>
  <si>
    <t xml:space="preserve">5075 South Priest Drive </t>
  </si>
  <si>
    <t>Jake Romero</t>
  </si>
  <si>
    <t>(480) 756-2122</t>
  </si>
  <si>
    <t>Sonesta ES Suites Tucson</t>
  </si>
  <si>
    <t xml:space="preserve">6477 East Speedway Boulevard </t>
  </si>
  <si>
    <t>Jim Hinkley</t>
  </si>
  <si>
    <t>Marie Rubio</t>
  </si>
  <si>
    <t>+1 (520) 721-0991</t>
  </si>
  <si>
    <t>Sonesta ES Suites Wilmington Newark Christina</t>
  </si>
  <si>
    <t xml:space="preserve">240 Chapman Road </t>
  </si>
  <si>
    <t>Aaron Smith</t>
  </si>
  <si>
    <t>(302) 453-9200</t>
  </si>
  <si>
    <t>Sonesta Fort Lauderdale</t>
  </si>
  <si>
    <t xml:space="preserve">999 North Ft. Lauderdale Beach Boulevard </t>
  </si>
  <si>
    <t>Michael Medeiros</t>
  </si>
  <si>
    <t>+1 (954) 315-1460</t>
  </si>
  <si>
    <t>Sonesta Hotel Philadelphia</t>
  </si>
  <si>
    <t xml:space="preserve">1800 Market Street </t>
  </si>
  <si>
    <t>Bob Cosgrove</t>
  </si>
  <si>
    <t>Reggie Devose</t>
  </si>
  <si>
    <t>+1 (215) 561-7500</t>
  </si>
  <si>
    <t>Sonesta Nashville Airport</t>
  </si>
  <si>
    <t xml:space="preserve">600 Marriott Drive </t>
  </si>
  <si>
    <t>Cameron Hill</t>
  </si>
  <si>
    <t>Ed Knight</t>
  </si>
  <si>
    <t>+1 (615) 889-9300</t>
  </si>
  <si>
    <t>Sonesta Resort Hilton Head Island</t>
  </si>
  <si>
    <t xml:space="preserve">130 Shipyard Drive </t>
  </si>
  <si>
    <t>Chris Bracken</t>
  </si>
  <si>
    <t xml:space="preserve">Karen Thompson </t>
  </si>
  <si>
    <t>+1 (843) 842-2400</t>
  </si>
  <si>
    <t xml:space="preserve">Sonesta Select Allentown Bethlehem </t>
  </si>
  <si>
    <t xml:space="preserve">2160 Motel Drive </t>
  </si>
  <si>
    <t>Sonesta Select</t>
  </si>
  <si>
    <t>Mila Soden</t>
  </si>
  <si>
    <t>+1 (610)317-6200</t>
  </si>
  <si>
    <t>Sonesta Select Arlington</t>
  </si>
  <si>
    <t xml:space="preserve">1533 Clarendon Boulevard </t>
  </si>
  <si>
    <t>Elaine Uy</t>
  </si>
  <si>
    <t>Ramond Sneed</t>
  </si>
  <si>
    <t>+1 (703) 528-2222</t>
  </si>
  <si>
    <t>Sonesta Select Arlington Heights</t>
  </si>
  <si>
    <t xml:space="preserve">3700 N Wilke Road </t>
  </si>
  <si>
    <t>Mary Hoover</t>
  </si>
  <si>
    <t>+1 (847) 394-9999</t>
  </si>
  <si>
    <t>Sonesta Select Atlanta Airport</t>
  </si>
  <si>
    <t xml:space="preserve">3399 International Boulevard </t>
  </si>
  <si>
    <t>+1 (404) 559-1043</t>
  </si>
  <si>
    <t>Sonesta Select Atlanta Cumberland</t>
  </si>
  <si>
    <t xml:space="preserve">3000 Cumberland Blvd </t>
  </si>
  <si>
    <t>Allan Rea</t>
  </si>
  <si>
    <t>Kevin Pagnotto</t>
  </si>
  <si>
    <t>+1 (770) 952-2555</t>
  </si>
  <si>
    <t xml:space="preserve">Sonesta Select Atlanta Duluth </t>
  </si>
  <si>
    <t xml:space="preserve">3530 Venture Parkway </t>
  </si>
  <si>
    <t>Jamie Aiken</t>
  </si>
  <si>
    <t>Donna Lemon</t>
  </si>
  <si>
    <t>+1 (770) 623-9699</t>
  </si>
  <si>
    <t>Sonesta Select Atlanta Midtown</t>
  </si>
  <si>
    <t xml:space="preserve">1132 Techwood Drive </t>
  </si>
  <si>
    <t>Heidi Brau</t>
  </si>
  <si>
    <t>Shirley Vaughn</t>
  </si>
  <si>
    <t>+1 (404) 607-1112</t>
  </si>
  <si>
    <t>Sonesta Select Atlanta Norcross</t>
  </si>
  <si>
    <t xml:space="preserve">6235 McDonough Drive </t>
  </si>
  <si>
    <t>+1 (770) 242-7172</t>
  </si>
  <si>
    <t xml:space="preserve">Sonesta Select Austin North </t>
  </si>
  <si>
    <t xml:space="preserve">7522 North IH-35 </t>
  </si>
  <si>
    <t>Jennifer Currier</t>
  </si>
  <si>
    <t>+ (512) 323-2121</t>
  </si>
  <si>
    <t xml:space="preserve">Sonesta Select Bettendorf </t>
  </si>
  <si>
    <t xml:space="preserve">895 Golden Valley Drive </t>
  </si>
  <si>
    <t>Bettendorf</t>
  </si>
  <si>
    <t>Kristi Steen</t>
  </si>
  <si>
    <t>Jeff Peterson</t>
  </si>
  <si>
    <t>+1 (563) 355-3999</t>
  </si>
  <si>
    <t xml:space="preserve">Sonesta Select Birmingham </t>
  </si>
  <si>
    <t xml:space="preserve">4300 Colonnade Parkway </t>
  </si>
  <si>
    <t>Trenton Hood</t>
  </si>
  <si>
    <t>Jeffrey Rhinehart</t>
  </si>
  <si>
    <t>+1 (205) 967-4466</t>
  </si>
  <si>
    <t>Sonesta Select Boca Raton</t>
  </si>
  <si>
    <t xml:space="preserve">2000 NW Executive Center </t>
  </si>
  <si>
    <t>Lennox McIntosh</t>
  </si>
  <si>
    <t>Ray Diaz</t>
  </si>
  <si>
    <t>+1 (561) 241-7070</t>
  </si>
  <si>
    <t>Sonesta Select Boston Danvers</t>
  </si>
  <si>
    <t xml:space="preserve">275 Independence Way </t>
  </si>
  <si>
    <t>+1 (978) 777-8630</t>
  </si>
  <si>
    <t>Sonesta Select Boston Foxborough</t>
  </si>
  <si>
    <t xml:space="preserve">35 Foxborough Boulevard </t>
  </si>
  <si>
    <t>Karen Votta</t>
  </si>
  <si>
    <t>Samantha Ehrlich</t>
  </si>
  <si>
    <t>+1 (508) 543-5222</t>
  </si>
  <si>
    <t xml:space="preserve">Sonesta Select Boston Lowell </t>
  </si>
  <si>
    <t xml:space="preserve">30 Industrial Avenue East </t>
  </si>
  <si>
    <t>Lowell</t>
  </si>
  <si>
    <t>Michael Lessard</t>
  </si>
  <si>
    <t>Doreen Botelho</t>
  </si>
  <si>
    <t>+1 (978) 458-7575</t>
  </si>
  <si>
    <t>Sonesta Select Boston Milford</t>
  </si>
  <si>
    <t xml:space="preserve">10 Fortune Boulevard </t>
  </si>
  <si>
    <t>+1 (508) 634-9500</t>
  </si>
  <si>
    <t xml:space="preserve">Sonesta Select Boston Stoughton </t>
  </si>
  <si>
    <t xml:space="preserve">200 Technology Center Drive </t>
  </si>
  <si>
    <t>Stoughton</t>
  </si>
  <si>
    <t>Greg Collins</t>
  </si>
  <si>
    <t>Jenny Meritus</t>
  </si>
  <si>
    <t>+1 (781) 297-7000</t>
  </si>
  <si>
    <t>Sonesta Select Boston Woburn</t>
  </si>
  <si>
    <t xml:space="preserve">240 Mishawum Road </t>
  </si>
  <si>
    <t>Craig Ramos</t>
  </si>
  <si>
    <t>Christine Devine</t>
  </si>
  <si>
    <t>+1 (781) 932-3200</t>
  </si>
  <si>
    <t xml:space="preserve">Sonesta Select Camarillo </t>
  </si>
  <si>
    <t xml:space="preserve">4994 Verdugo Way </t>
  </si>
  <si>
    <t>Mellany Arbues</t>
  </si>
  <si>
    <t>(805) 388-1020</t>
  </si>
  <si>
    <t xml:space="preserve">Sonesta Select Charlotte University </t>
  </si>
  <si>
    <t xml:space="preserve">333 West W.T. Harris Blvd </t>
  </si>
  <si>
    <t>Steve Kutay</t>
  </si>
  <si>
    <t>Matthew Swanson</t>
  </si>
  <si>
    <t>+1 (704) 549-4888</t>
  </si>
  <si>
    <t xml:space="preserve">Sonesta Select Chattanooga </t>
  </si>
  <si>
    <t xml:space="preserve">2210 Bams Drive </t>
  </si>
  <si>
    <t>Cathy Bondesen</t>
  </si>
  <si>
    <t>Kevin Butler</t>
  </si>
  <si>
    <t>+(423)499-4400</t>
  </si>
  <si>
    <t>Sonesta Select Chicago Elgin</t>
  </si>
  <si>
    <t xml:space="preserve">2175 Marriott Drive </t>
  </si>
  <si>
    <t>Aaron Staller</t>
  </si>
  <si>
    <t>+1 (847) 429-0300</t>
  </si>
  <si>
    <t>Sonesta Select Columbia</t>
  </si>
  <si>
    <t xml:space="preserve">8910 Stanford Boulevard </t>
  </si>
  <si>
    <t>Jason Abbey</t>
  </si>
  <si>
    <t>+1 (410) 290-0002</t>
  </si>
  <si>
    <t>Sonesta Select Dallas Central Expressway</t>
  </si>
  <si>
    <t xml:space="preserve">10325 North Central Expressway </t>
  </si>
  <si>
    <t>+1 (214) 739-2500</t>
  </si>
  <si>
    <t>Sonesta Select Dallas Richardson</t>
  </si>
  <si>
    <t xml:space="preserve">2191 N. Greenville Avenue </t>
  </si>
  <si>
    <t>Suzanne Nickel</t>
  </si>
  <si>
    <t>+1 (972) 994-9933</t>
  </si>
  <si>
    <t>Sonesta Select Detroit Auburn Hills</t>
  </si>
  <si>
    <t xml:space="preserve">2550 Aimee Lane </t>
  </si>
  <si>
    <t>Melissa Whitcomb</t>
  </si>
  <si>
    <t>+1 (248) 373-4100</t>
  </si>
  <si>
    <t>Sonesta Select Detroit Novi</t>
  </si>
  <si>
    <t xml:space="preserve">42700 Eleven Mile Road </t>
  </si>
  <si>
    <t>Jeremy Dukes</t>
  </si>
  <si>
    <t>+1 (248) 380-1234</t>
  </si>
  <si>
    <t xml:space="preserve">Sonesta Select Durham </t>
  </si>
  <si>
    <t xml:space="preserve">301 Residence Inn Boulevard </t>
  </si>
  <si>
    <t>Joe Smiley</t>
  </si>
  <si>
    <t>Sean Buck</t>
  </si>
  <si>
    <t>+1 (919) 484-2900</t>
  </si>
  <si>
    <t xml:space="preserve">Sonesta Select Fort Wayne </t>
  </si>
  <si>
    <t xml:space="preserve">111 W Washington Center Road </t>
  </si>
  <si>
    <t>Caroline Buroker</t>
  </si>
  <si>
    <t>+ (260) 471-8522</t>
  </si>
  <si>
    <t>Sonesta Select Fort Worth</t>
  </si>
  <si>
    <t xml:space="preserve">3751 NE Loop 820 </t>
  </si>
  <si>
    <t>Vanessa Coto</t>
  </si>
  <si>
    <t>+1 (817)847-0044</t>
  </si>
  <si>
    <t>Sonesta Select Greenbelt</t>
  </si>
  <si>
    <t xml:space="preserve">6301 Golden Triangle Drive </t>
  </si>
  <si>
    <t>Mario Lara</t>
  </si>
  <si>
    <t>Sonnelle Gonzales</t>
  </si>
  <si>
    <t>+1 (301) 441-3311</t>
  </si>
  <si>
    <t>Sonesta Select Huntington Beach</t>
  </si>
  <si>
    <t xml:space="preserve">9950 Slater Road </t>
  </si>
  <si>
    <t>(714) 968-5775</t>
  </si>
  <si>
    <t xml:space="preserve">Sonesta Select Indianapolis </t>
  </si>
  <si>
    <t xml:space="preserve">37 West 103rd Street </t>
  </si>
  <si>
    <t>Patrick Durbin</t>
  </si>
  <si>
    <t>Jay Kakias</t>
  </si>
  <si>
    <t>+1 (317) 571-1110</t>
  </si>
  <si>
    <t>Sonesta Select Kansas City Airport</t>
  </si>
  <si>
    <t xml:space="preserve">7901 NW Tiffany Springs Parkway </t>
  </si>
  <si>
    <t>Stacy Dierenfeldt</t>
  </si>
  <si>
    <t>+1 (816)891-7500</t>
  </si>
  <si>
    <t xml:space="preserve">Sonesta Select Kansas City Airport Prairie View </t>
  </si>
  <si>
    <t xml:space="preserve">7600 NW 97th Terrace </t>
  </si>
  <si>
    <t>Asia Trigg</t>
  </si>
  <si>
    <t>+ (816) 891-0871</t>
  </si>
  <si>
    <t>Sonesta Select Kansas City South</t>
  </si>
  <si>
    <t xml:space="preserve">500 East 105th Street </t>
  </si>
  <si>
    <t>Kelly Kuns</t>
  </si>
  <si>
    <t>Drek Shepard</t>
  </si>
  <si>
    <t>+1 (816) 941-3333</t>
  </si>
  <si>
    <t>Sonesta Select Laguna Hills</t>
  </si>
  <si>
    <t xml:space="preserve">23175 Avenida de la Carlota </t>
  </si>
  <si>
    <t>Laguna Hills</t>
  </si>
  <si>
    <t>George Girgis</t>
  </si>
  <si>
    <t>Marina Tanagho</t>
  </si>
  <si>
    <t>(949) 859-5500</t>
  </si>
  <si>
    <t>Sonesta Select Las Vegas</t>
  </si>
  <si>
    <t xml:space="preserve">1901 North Rainbow Blvd </t>
  </si>
  <si>
    <t>Seleste Miller</t>
  </si>
  <si>
    <t>+1 (702)646-4400</t>
  </si>
  <si>
    <t>Sonesta Select Los Angeles LAX</t>
  </si>
  <si>
    <t xml:space="preserve">2000 East Mariposa Avenue </t>
  </si>
  <si>
    <t>Doreen Mills</t>
  </si>
  <si>
    <t>(310) 322-0700</t>
  </si>
  <si>
    <t>Sonesta Select Los Angeles Torrance</t>
  </si>
  <si>
    <t xml:space="preserve">1925 West 190th Street </t>
  </si>
  <si>
    <t>Zachari Mateev</t>
  </si>
  <si>
    <t>+1 (310) 532-1722</t>
  </si>
  <si>
    <t>Sonesta Select Mahwah</t>
  </si>
  <si>
    <t xml:space="preserve">140 Rte 17 South </t>
  </si>
  <si>
    <t>Cynthia Amaro</t>
  </si>
  <si>
    <t>+1 (201) 529-5200</t>
  </si>
  <si>
    <t xml:space="preserve">Sonesta Select Miami Lakes </t>
  </si>
  <si>
    <t xml:space="preserve">15700 NW 77th Court </t>
  </si>
  <si>
    <t>Carla Feijoo</t>
  </si>
  <si>
    <t>+1 (305) 556-6665</t>
  </si>
  <si>
    <t>Sonesta Select Milwaukee Brookfield</t>
  </si>
  <si>
    <t xml:space="preserve">16865 West Bluemound Road </t>
  </si>
  <si>
    <t>James Gersema</t>
  </si>
  <si>
    <t>Angela Cleland</t>
  </si>
  <si>
    <t>+1 (262) 821-1800</t>
  </si>
  <si>
    <t xml:space="preserve">Sonesta Select Minneapolis </t>
  </si>
  <si>
    <t xml:space="preserve">11391 Viking Drive </t>
  </si>
  <si>
    <t>Eden Prairie</t>
  </si>
  <si>
    <t>Karyn Ramsay</t>
  </si>
  <si>
    <t>Robert (Bob) Johnson</t>
  </si>
  <si>
    <t>+1 (952) 942-9100</t>
  </si>
  <si>
    <t>Sonesta Select Nashville Airport Suites</t>
  </si>
  <si>
    <t xml:space="preserve">1100 Airport Center Drive </t>
  </si>
  <si>
    <t>Leann Doherty</t>
  </si>
  <si>
    <t>+1 (615) 884-6111</t>
  </si>
  <si>
    <t>Sonesta Select Newark</t>
  </si>
  <si>
    <t xml:space="preserve">48 Geoffrey Drive </t>
  </si>
  <si>
    <t>Andrea Hebert</t>
  </si>
  <si>
    <t>Alisha Beaudoin</t>
  </si>
  <si>
    <t>+1 (302)456-3800</t>
  </si>
  <si>
    <t>Sonesta Select Newport Middletown</t>
  </si>
  <si>
    <t xml:space="preserve">9 Commerce Drive </t>
  </si>
  <si>
    <t>Patti O'Brien</t>
  </si>
  <si>
    <t>Cindy Balcewicz</t>
  </si>
  <si>
    <t>+1 (401) 849-8000</t>
  </si>
  <si>
    <t>Sonesta Select Philadelphia Airport</t>
  </si>
  <si>
    <t xml:space="preserve">8900 Bartram Avenue </t>
  </si>
  <si>
    <t>Don Davis</t>
  </si>
  <si>
    <t>+1 (215) 365-2200</t>
  </si>
  <si>
    <t xml:space="preserve">Sonesta Select Phoenix Camelback </t>
  </si>
  <si>
    <t xml:space="preserve">2101 East Camelback Road </t>
  </si>
  <si>
    <t>+1 (602) 955-5200</t>
  </si>
  <si>
    <t xml:space="preserve">Sonesta Select Phoenix Chandler </t>
  </si>
  <si>
    <t xml:space="preserve">920 N 54th Street </t>
  </si>
  <si>
    <t>Kevin Granier</t>
  </si>
  <si>
    <t>+1 (480) 763-9500</t>
  </si>
  <si>
    <t>Sonesta Select Pleasant Hill</t>
  </si>
  <si>
    <t xml:space="preserve">2250 Contra Costa Boulevard </t>
  </si>
  <si>
    <t>Richard Chanofsky</t>
  </si>
  <si>
    <t>+1 (925) 691-1444</t>
  </si>
  <si>
    <t>Sonesta Select Raleigh Durham Airport</t>
  </si>
  <si>
    <t xml:space="preserve">2001 Hospitality Court </t>
  </si>
  <si>
    <t>Jack Lucido</t>
  </si>
  <si>
    <t>+1 (919) 467-9444</t>
  </si>
  <si>
    <t>Sonesta Select San Francisco Airport</t>
  </si>
  <si>
    <t xml:space="preserve">1300 Veterans Boulevard </t>
  </si>
  <si>
    <t>Marc Byrd</t>
  </si>
  <si>
    <t>+1 (650) 871-4100</t>
  </si>
  <si>
    <t>Sonesta Select San Jose Airport</t>
  </si>
  <si>
    <t xml:space="preserve">1727 Technology Drive </t>
  </si>
  <si>
    <t>Angel Childress</t>
  </si>
  <si>
    <t>+1 (408) 441-6111</t>
  </si>
  <si>
    <t>Sonesta Select San Ramon</t>
  </si>
  <si>
    <t xml:space="preserve">18090 San Ramon Valley Blvd </t>
  </si>
  <si>
    <t>Anthony Nguyen</t>
  </si>
  <si>
    <t>+1 (925) 866-2900</t>
  </si>
  <si>
    <t>Sonesta Select Scottsdale Mayo Clinic</t>
  </si>
  <si>
    <t xml:space="preserve">13444 East Shea Boulevard </t>
  </si>
  <si>
    <t>Abby Peery</t>
  </si>
  <si>
    <t>+1 (480) 860-4000</t>
  </si>
  <si>
    <t>Sonesta Select Seattle Bellevue</t>
  </si>
  <si>
    <t xml:space="preserve">14615 NE 29th Place </t>
  </si>
  <si>
    <t>Sanjay Mahajan</t>
  </si>
  <si>
    <t>Kayla Stanworth</t>
  </si>
  <si>
    <t>+1(425) 869-5300</t>
  </si>
  <si>
    <t>Sonesta Select Seattle Renton Suites</t>
  </si>
  <si>
    <t xml:space="preserve">200 SW 19th Street </t>
  </si>
  <si>
    <t>Asuka Ludden</t>
  </si>
  <si>
    <t>+1 (425) 226-4100</t>
  </si>
  <si>
    <t>Sonesta Select Spartanburg</t>
  </si>
  <si>
    <t xml:space="preserve">110 Mobile Drive </t>
  </si>
  <si>
    <t>Marcus Johnson</t>
  </si>
  <si>
    <t>Richard Garcia</t>
  </si>
  <si>
    <t>+1 (864) 585-2400</t>
  </si>
  <si>
    <t>Sonesta Select Tempe</t>
  </si>
  <si>
    <t xml:space="preserve">601 South Ash Avenue </t>
  </si>
  <si>
    <t>Ericka Jones</t>
  </si>
  <si>
    <t>(480) 966-2800</t>
  </si>
  <si>
    <t>Sonesta Select Tinton Falls</t>
  </si>
  <si>
    <t xml:space="preserve">600 Hope Road </t>
  </si>
  <si>
    <t>Tinton Falls</t>
  </si>
  <si>
    <t>Christopher Simione</t>
  </si>
  <si>
    <t>+1 (732) 389-2100</t>
  </si>
  <si>
    <t xml:space="preserve">Sonesta Select Tucson Airport </t>
  </si>
  <si>
    <t xml:space="preserve">6885 South Tucson Blvd </t>
  </si>
  <si>
    <t>Michelle O'Brien</t>
  </si>
  <si>
    <t>Daniel Villaseno</t>
  </si>
  <si>
    <t>+ (520) 295-0405</t>
  </si>
  <si>
    <t>Sonesta Select Whippany</t>
  </si>
  <si>
    <t xml:space="preserve">157 Route 10 </t>
  </si>
  <si>
    <t xml:space="preserve"> Meagan Gundry</t>
  </si>
  <si>
    <t>Maria Fano Stamenovic</t>
  </si>
  <si>
    <t>+1 (973)887-8700</t>
  </si>
  <si>
    <t>Sonesta Silicon Valley San Jose</t>
  </si>
  <si>
    <t xml:space="preserve">1820 Barber Lane </t>
  </si>
  <si>
    <t>Peter Schreurs</t>
  </si>
  <si>
    <t>+1 (408) 943-9080</t>
  </si>
  <si>
    <t>Sonesta Simply Suites Detroit Novi</t>
  </si>
  <si>
    <t xml:space="preserve">42600 Eleven Mile Road </t>
  </si>
  <si>
    <t>+1 (248) 305-5533</t>
  </si>
  <si>
    <t>Sonesta Simply Suites Falls Church</t>
  </si>
  <si>
    <t xml:space="preserve">205 Hillwood Ave. </t>
  </si>
  <si>
    <t>+1 (703) 237-6172</t>
  </si>
  <si>
    <t>Sonesta Simply Suites Scottsdale North</t>
  </si>
  <si>
    <t xml:space="preserve">10740 North 90th Street </t>
  </si>
  <si>
    <t>Karen Boeck</t>
  </si>
  <si>
    <t>(480) 551-1100</t>
  </si>
  <si>
    <t>Sonesta Simply Suites Seattle Renton</t>
  </si>
  <si>
    <t xml:space="preserve">300 SW 19th Street </t>
  </si>
  <si>
    <t>+1 (425) 917-2000</t>
  </si>
  <si>
    <t>Sonesta Suites Scottsdale</t>
  </si>
  <si>
    <t xml:space="preserve">7300 Gainey Suites Drive </t>
  </si>
  <si>
    <t>Richard Newman</t>
  </si>
  <si>
    <t>Dustin Enk</t>
  </si>
  <si>
    <t>+1 (480) 922-6969</t>
  </si>
  <si>
    <t>Sorrel Partners LLC</t>
  </si>
  <si>
    <t>Sorrel River Ranch Resort &amp; Spa</t>
  </si>
  <si>
    <t xml:space="preserve">Mile 17 Highway 128 </t>
  </si>
  <si>
    <t>Arches</t>
  </si>
  <si>
    <t>Don Brookshire</t>
  </si>
  <si>
    <t>Elizabeth Rad</t>
  </si>
  <si>
    <t>+1 (435) 259-4642</t>
  </si>
  <si>
    <t>Sortis Hotel Panama</t>
  </si>
  <si>
    <t>Calle 56-57 East Obarrio Bella Vista</t>
  </si>
  <si>
    <t>+1 (507) 226-8888</t>
  </si>
  <si>
    <t>Sound View Greenport</t>
  </si>
  <si>
    <t xml:space="preserve">58855 Route 48 </t>
  </si>
  <si>
    <t>Jonathan Palencia</t>
  </si>
  <si>
    <t>+1 (631) 477-1910</t>
  </si>
  <si>
    <t>State of Washington Seattle Colleges District #6</t>
  </si>
  <si>
    <t>South Seattle College</t>
  </si>
  <si>
    <t xml:space="preserve">6000 16th Avenue Southwest </t>
  </si>
  <si>
    <t>Craig Bush</t>
  </si>
  <si>
    <t>Brian Scheehser</t>
  </si>
  <si>
    <t>+1 (206) 934-4139</t>
  </si>
  <si>
    <t>South Shore Country Club</t>
  </si>
  <si>
    <t xml:space="preserve">4300 South Shore Boulevard </t>
  </si>
  <si>
    <t>+1 (281) 334-0525</t>
  </si>
  <si>
    <t>South Shore Harbour Resort</t>
  </si>
  <si>
    <t xml:space="preserve">2500 South Shore Boulevard </t>
  </si>
  <si>
    <t>Roy Green</t>
  </si>
  <si>
    <t>+1 (281) 334-1000</t>
  </si>
  <si>
    <t>Marina Inn Inc.</t>
  </si>
  <si>
    <t>South Sioux City Marriott Riverfront</t>
  </si>
  <si>
    <t xml:space="preserve">385 East 4th Street </t>
  </si>
  <si>
    <t>South Sioux City</t>
  </si>
  <si>
    <t>Ralph Bobian</t>
  </si>
  <si>
    <t xml:space="preserve">Catherine Rinker </t>
  </si>
  <si>
    <t>+1 (402) 494-4000</t>
  </si>
  <si>
    <t>Southbridge Hotel &amp; Conference Center</t>
  </si>
  <si>
    <t xml:space="preserve">14 Mechanic Street </t>
  </si>
  <si>
    <t>Southbridge</t>
  </si>
  <si>
    <t>Nicole Robitaille</t>
  </si>
  <si>
    <t>Steve Gardiner</t>
  </si>
  <si>
    <t>+1 (508) 765-8000</t>
  </si>
  <si>
    <t>Southwyck Golf Club</t>
  </si>
  <si>
    <t xml:space="preserve">2901 Clubhouse Dr. </t>
  </si>
  <si>
    <t>Jennifer Spoor</t>
  </si>
  <si>
    <t>+ (713) 436-9999</t>
  </si>
  <si>
    <t>Spanish Fort Courtyard</t>
  </si>
  <si>
    <t xml:space="preserve">13000 Cypress Way </t>
  </si>
  <si>
    <t>Melissa Corbin</t>
  </si>
  <si>
    <t>+1 (251) 370-1161</t>
  </si>
  <si>
    <t>Spanish Peaks Mountain Club</t>
  </si>
  <si>
    <t xml:space="preserve">181 Clubhouse Fork </t>
  </si>
  <si>
    <t>Louise Astbury</t>
  </si>
  <si>
    <t>Greg Villeneuve</t>
  </si>
  <si>
    <t>+1 (406) 999-0040</t>
  </si>
  <si>
    <t>Spanish Wells Hotel and Restaurant</t>
  </si>
  <si>
    <t xml:space="preserve">Spanish Wells </t>
  </si>
  <si>
    <t>North Eleuthera</t>
  </si>
  <si>
    <t>Samantha Allen</t>
  </si>
  <si>
    <t>+1 (242) 477 3307</t>
  </si>
  <si>
    <t>Spartanburg Marriott</t>
  </si>
  <si>
    <t xml:space="preserve">299 North Church Street </t>
  </si>
  <si>
    <t>Bryan Bourret</t>
  </si>
  <si>
    <t>Victoria FernandezWooley</t>
  </si>
  <si>
    <t>+1 (864) 596-1211</t>
  </si>
  <si>
    <t>Spindrift Inn</t>
  </si>
  <si>
    <t xml:space="preserve">652 Cannery Row </t>
  </si>
  <si>
    <t>Duchess Baird</t>
  </si>
  <si>
    <t>+1 (831) 646-8900</t>
  </si>
  <si>
    <t>Splash</t>
  </si>
  <si>
    <t xml:space="preserve">17698 Front Beach Road </t>
  </si>
  <si>
    <t>Melindy Harcus</t>
  </si>
  <si>
    <t>+1 (850) 596-0589</t>
  </si>
  <si>
    <t>Sportsmen's Lodge</t>
  </si>
  <si>
    <t xml:space="preserve">12825 Ventura Boulevard </t>
  </si>
  <si>
    <t>Studio City</t>
  </si>
  <si>
    <t>Stephen Chavez</t>
  </si>
  <si>
    <t>+1 (818) 769-4700</t>
  </si>
  <si>
    <t>Spring Lake Golf Club Inc.</t>
  </si>
  <si>
    <t>Spring Lake Golf Club</t>
  </si>
  <si>
    <t xml:space="preserve">901 Warren Avenue </t>
  </si>
  <si>
    <t>Spring Lake</t>
  </si>
  <si>
    <t>Rob Anen</t>
  </si>
  <si>
    <t>Dan Ingenbrandt</t>
  </si>
  <si>
    <t>+ (732) 449-7185</t>
  </si>
  <si>
    <t>Spring Valley Lake Country Club</t>
  </si>
  <si>
    <t xml:space="preserve">S.V.L. Box 7070 13229 Spring Valley Parkway </t>
  </si>
  <si>
    <t>Victorville</t>
  </si>
  <si>
    <t>+ (760) 245-5356</t>
  </si>
  <si>
    <t>SpringHill Suites - BWI</t>
  </si>
  <si>
    <t xml:space="preserve">899 Elkridge Landing Road </t>
  </si>
  <si>
    <t>Elsa Blackson</t>
  </si>
  <si>
    <t>Ali Nural</t>
  </si>
  <si>
    <t>+ (410) 694-0555</t>
  </si>
  <si>
    <t>SpringHill Suites - Convention Ctr</t>
  </si>
  <si>
    <t xml:space="preserve">301 St. Joseph Street </t>
  </si>
  <si>
    <t>+(504)522-3100</t>
  </si>
  <si>
    <t>SpringHill Suites - Fairbanks</t>
  </si>
  <si>
    <t xml:space="preserve">575 1st Avenue </t>
  </si>
  <si>
    <t>Elizabeth Torres-Sanchez</t>
  </si>
  <si>
    <t>+ (907) 451-6552</t>
  </si>
  <si>
    <t>SpringHill Suites - Schaumburg</t>
  </si>
  <si>
    <t xml:space="preserve">1550 McConnor Parkway </t>
  </si>
  <si>
    <t>+1 (847) 995-1500</t>
  </si>
  <si>
    <t>SpringHill Suites Airport San Antonio</t>
  </si>
  <si>
    <t xml:space="preserve">514 NE Loop 410 San Antonio </t>
  </si>
  <si>
    <t>Hilda Falciola</t>
  </si>
  <si>
    <t>+1 (210) 804-2266</t>
  </si>
  <si>
    <t>Springhill Suites Albuquerque Airport</t>
  </si>
  <si>
    <t xml:space="preserve">1101 Central Avenue Northeast </t>
  </si>
  <si>
    <t>Carrissa Virgin</t>
  </si>
  <si>
    <t>+1 (505) 242-1104</t>
  </si>
  <si>
    <t>SpringHill Suites Alexandria</t>
  </si>
  <si>
    <t xml:space="preserve">6065 Richmond Hwy. </t>
  </si>
  <si>
    <t>Sharon Quinones</t>
  </si>
  <si>
    <t>+1 (571) 481-4441</t>
  </si>
  <si>
    <t>SpringHill Suites Alexandria Tech Center</t>
  </si>
  <si>
    <t xml:space="preserve">2950 Eisenhower Avenue </t>
  </si>
  <si>
    <t>Pio Mendes</t>
  </si>
  <si>
    <t>Brittney Rice</t>
  </si>
  <si>
    <t>+1 (703) 317-0013</t>
  </si>
  <si>
    <t>Springhill Suites Allentown Bethlehem - Center Valley</t>
  </si>
  <si>
    <t xml:space="preserve">3800 West Drive </t>
  </si>
  <si>
    <t>Center Valley</t>
  </si>
  <si>
    <t>Katrina Simmons</t>
  </si>
  <si>
    <t>Sandy Mumbauer</t>
  </si>
  <si>
    <t>+1 (610) 709-9797</t>
  </si>
  <si>
    <t>SpringHill Suites Anchorage Midtown</t>
  </si>
  <si>
    <t xml:space="preserve">3401 A Street </t>
  </si>
  <si>
    <t>Amalia David</t>
  </si>
  <si>
    <t>+ (907) 562-3247</t>
  </si>
  <si>
    <t>SpringHill Suites Anchorage University Lake</t>
  </si>
  <si>
    <t xml:space="preserve">4050 University Lake Drive </t>
  </si>
  <si>
    <t>Adam Steele</t>
  </si>
  <si>
    <t>+ () 9077516300</t>
  </si>
  <si>
    <t>SpringHill Suites Annapolis</t>
  </si>
  <si>
    <t xml:space="preserve">189 Admiral Cochran Dr. </t>
  </si>
  <si>
    <t>Alex Dubisson</t>
  </si>
  <si>
    <t>+1 (443) 321-2500</t>
  </si>
  <si>
    <t>SpringHill Suites Asheville</t>
  </si>
  <si>
    <t xml:space="preserve">2 Buckstone Place </t>
  </si>
  <si>
    <t>Amanda Cleveland</t>
  </si>
  <si>
    <t>Matthew Blakely</t>
  </si>
  <si>
    <t>+ (828) 253-4666</t>
  </si>
  <si>
    <t>SpringHill Suites Atlanta Airport Gateway</t>
  </si>
  <si>
    <t xml:space="preserve">2091 Convention Center Concourse </t>
  </si>
  <si>
    <t>Jose Salazar</t>
  </si>
  <si>
    <t>Benisa Woolford</t>
  </si>
  <si>
    <t xml:space="preserve">+ (770)907-8880 </t>
  </si>
  <si>
    <t>SpringHill Suites Atlanta Buford/Mall of Georgia</t>
  </si>
  <si>
    <t xml:space="preserve">3250 Buford Drive </t>
  </si>
  <si>
    <t>Yanti Blackard</t>
  </si>
  <si>
    <t>+ (678) 714-2150</t>
  </si>
  <si>
    <t>SpringHill Suites Atlanta Downtown</t>
  </si>
  <si>
    <t xml:space="preserve">239 Ivan Allen Junior Boulevard </t>
  </si>
  <si>
    <t>Ashley Steele</t>
  </si>
  <si>
    <t>+1(678)539-2900</t>
  </si>
  <si>
    <t>SpringHill Suites Atlanta Kennesaw</t>
  </si>
  <si>
    <t xml:space="preserve">3399 Town Point Drive </t>
  </si>
  <si>
    <t>Barbu Kessee</t>
  </si>
  <si>
    <t>Yvonne Smith</t>
  </si>
  <si>
    <t>+ (770) 218-5550</t>
  </si>
  <si>
    <t>Springhill Suites Atlanta Perimeter Center</t>
  </si>
  <si>
    <t xml:space="preserve">1005 Crestline Parkway </t>
  </si>
  <si>
    <t>Faith Williams</t>
  </si>
  <si>
    <t>+ () 770-730-9300</t>
  </si>
  <si>
    <t>Springhill Suites Augusta</t>
  </si>
  <si>
    <t xml:space="preserve">1110 Marks Church Road </t>
  </si>
  <si>
    <t>Brett English</t>
  </si>
  <si>
    <t>+1 (706) 396-6600</t>
  </si>
  <si>
    <t>Worth Hotels LLC</t>
  </si>
  <si>
    <t>SpringHill Suites Austin Cedar Park</t>
  </si>
  <si>
    <t xml:space="preserve">1110 Discovery Boulevard </t>
  </si>
  <si>
    <t>Malin Daniels</t>
  </si>
  <si>
    <t>+1 (512) 260-1200</t>
  </si>
  <si>
    <t>SpringHill Suites Austin North/ Round Rock</t>
  </si>
  <si>
    <t xml:space="preserve">2960 Hoppe Trail </t>
  </si>
  <si>
    <t xml:space="preserve">Brandon Cantrell </t>
  </si>
  <si>
    <t>+1 (512) 733-6700</t>
  </si>
  <si>
    <t>Austin S Parmer Opco LP (Falcon Group)</t>
  </si>
  <si>
    <t>SpringHill Suites Austin-North</t>
  </si>
  <si>
    <t xml:space="preserve">12520 North IH-35 </t>
  </si>
  <si>
    <t>Justin Jaramillo</t>
  </si>
  <si>
    <t>+1 (512) 833-8100</t>
  </si>
  <si>
    <t>Springhill Suites Bakery Square</t>
  </si>
  <si>
    <t xml:space="preserve">134 Bakery Square Blvd. </t>
  </si>
  <si>
    <t>Jim Rizzo</t>
  </si>
  <si>
    <t>+(412)362-8600</t>
  </si>
  <si>
    <t>SpringHill Suites Baltimore White Marsh Middle River</t>
  </si>
  <si>
    <t xml:space="preserve">6110 Greenleigh Avenue </t>
  </si>
  <si>
    <t>Middle River</t>
  </si>
  <si>
    <t>Maureen Houston</t>
  </si>
  <si>
    <t>+1(410) 335-2112</t>
  </si>
  <si>
    <t>SpringHill Suites Baton Rouge Gonzales</t>
  </si>
  <si>
    <t xml:space="preserve">2801 South Cabela's Parkway </t>
  </si>
  <si>
    <t>Gonzales</t>
  </si>
  <si>
    <t>Shantesh Patil</t>
  </si>
  <si>
    <t>+1 (225) 621-3000</t>
  </si>
  <si>
    <t>SpringHill Suites Baton Rouge South</t>
  </si>
  <si>
    <t xml:space="preserve">7979 Essen Park Avenue </t>
  </si>
  <si>
    <t>Kristy Massey</t>
  </si>
  <si>
    <t>+1 (225) 766-5252</t>
  </si>
  <si>
    <t>SpringHill Suites Bellingham</t>
  </si>
  <si>
    <t xml:space="preserve">4040 Nothwest Avenue </t>
  </si>
  <si>
    <t>Keith Coleman</t>
  </si>
  <si>
    <t>+()360-714-9600</t>
  </si>
  <si>
    <t>Springhill Suites Birmingham</t>
  </si>
  <si>
    <t xml:space="preserve">2024 4th Avenue South </t>
  </si>
  <si>
    <t>+1 (205) 322-8600</t>
  </si>
  <si>
    <t>SpringHill Suites Boston-Peabody</t>
  </si>
  <si>
    <t xml:space="preserve">43 Newbury Street (US 1 North) </t>
  </si>
  <si>
    <t>Lynn Nalewanski</t>
  </si>
  <si>
    <t>+1 (978) 535-5000</t>
  </si>
  <si>
    <t>SpringHill Suites Bridgeport</t>
  </si>
  <si>
    <t xml:space="preserve">97 Platinum Drive </t>
  </si>
  <si>
    <t>Patrick Geiger</t>
  </si>
  <si>
    <t>+1 (304)842-5200</t>
  </si>
  <si>
    <t>SpringHill Suites Buckhead</t>
  </si>
  <si>
    <t xml:space="preserve">3459 Buckhead Loop NE </t>
  </si>
  <si>
    <t>(404) 844-4800</t>
  </si>
  <si>
    <t>SpringHill Suites by Marriott Louisville Downtown</t>
  </si>
  <si>
    <t xml:space="preserve">132 East Jefferson Street </t>
  </si>
  <si>
    <t>+ (502) 569-7373</t>
  </si>
  <si>
    <t>SpringHill Suites by Marriott Miami Arts/Health District</t>
  </si>
  <si>
    <t xml:space="preserve">1311 NW 10th Avenue </t>
  </si>
  <si>
    <t>Noraimy Rodriguez</t>
  </si>
  <si>
    <t xml:space="preserve">+ (305)575-5300 </t>
  </si>
  <si>
    <t>SpringHill Suites By Marriott New York Manhattan/Midtown West</t>
  </si>
  <si>
    <t>+()212-216-9244</t>
  </si>
  <si>
    <t>SpringHill Suites By Marriott Pigeon Forge</t>
  </si>
  <si>
    <t xml:space="preserve">120 Christmas Tree Lane </t>
  </si>
  <si>
    <t>Cheyenne Powell</t>
  </si>
  <si>
    <t xml:space="preserve">+1 (865) 453-4514 </t>
  </si>
  <si>
    <t>SpringHill Suites by Marriott Vero Beach</t>
  </si>
  <si>
    <t xml:space="preserve">5115 Indian River Blvd. </t>
  </si>
  <si>
    <t>Mary Jo Bouthiller</t>
  </si>
  <si>
    <t>+1 (772) 978-9292</t>
  </si>
  <si>
    <t>SpringHill Suites Centreville</t>
  </si>
  <si>
    <t xml:space="preserve">5920 Trinity Parkway </t>
  </si>
  <si>
    <t>Fatima Achhal</t>
  </si>
  <si>
    <t>Scott Newman</t>
  </si>
  <si>
    <t>(703) 815-7800</t>
  </si>
  <si>
    <t>SpringHill Suites Charleston Riverview</t>
  </si>
  <si>
    <t xml:space="preserve">98 Ripley Point Drive </t>
  </si>
  <si>
    <t>Debbie Sigmon</t>
  </si>
  <si>
    <t>+ (843) 571-1711</t>
  </si>
  <si>
    <t>SpringHill Suites Charlotte Ballantyne</t>
  </si>
  <si>
    <t xml:space="preserve">12325 Johnston Rd. </t>
  </si>
  <si>
    <t>Tyrekus Williams</t>
  </si>
  <si>
    <t>+1 (704) 817-1500</t>
  </si>
  <si>
    <t>SpringHill Suites Charlotte Univ Research</t>
  </si>
  <si>
    <t xml:space="preserve">8700 Research Drive </t>
  </si>
  <si>
    <t>Sarah George</t>
  </si>
  <si>
    <t>(704) 503-4800</t>
  </si>
  <si>
    <t>Springhill Suites Charlotte Uptown</t>
  </si>
  <si>
    <t xml:space="preserve">311 East 5th Street </t>
  </si>
  <si>
    <t>+1 (704) 439-8100</t>
  </si>
  <si>
    <t>SpringHill Suites Chattanooga Downtown - Cameron Harbor</t>
  </si>
  <si>
    <t xml:space="preserve">495 Riverfront Parkway </t>
  </si>
  <si>
    <t>Victoria Grace</t>
  </si>
  <si>
    <t>+1 (423) 834-9300</t>
  </si>
  <si>
    <t>SpringHill Suites Chesterfield</t>
  </si>
  <si>
    <t xml:space="preserve">1065 Chesterfield Parkway </t>
  </si>
  <si>
    <t>(636) 519-7500</t>
  </si>
  <si>
    <t>SpringHill Suites Chicago Elmhurst - Oakbrook Area</t>
  </si>
  <si>
    <t xml:space="preserve">410 West Lake Street </t>
  </si>
  <si>
    <t>Kimberly Nickels</t>
  </si>
  <si>
    <t>Esmeralda Leon</t>
  </si>
  <si>
    <t>+1 (630) 782-6300</t>
  </si>
  <si>
    <t>SpringHill Suites Chicago Lincolnshire</t>
  </si>
  <si>
    <t>Mabel Carvajal</t>
  </si>
  <si>
    <t>+(847)793-7500</t>
  </si>
  <si>
    <t>SpringHill Suites Chicago O'Hare (COH)</t>
  </si>
  <si>
    <t xml:space="preserve">8101 W Higgins Rd </t>
  </si>
  <si>
    <t xml:space="preserve"> Keith Likosar</t>
  </si>
  <si>
    <t>Viviana Torres</t>
  </si>
  <si>
    <t>+ (773) 867-0000</t>
  </si>
  <si>
    <t>SpringHill Suites Chicago River North</t>
  </si>
  <si>
    <t>SpringHill Suites Chicago Southwest at Burr Ridge - Hinsdale</t>
  </si>
  <si>
    <t xml:space="preserve">15W90 North Frontage Road </t>
  </si>
  <si>
    <t>Burr Ridge</t>
  </si>
  <si>
    <t>Tina Anderson</t>
  </si>
  <si>
    <t>+1 (630) 323-7530</t>
  </si>
  <si>
    <t>SpringHill Suites Chicago Warrenville (WRN)</t>
  </si>
  <si>
    <t xml:space="preserve">4305 Weaver PKWY </t>
  </si>
  <si>
    <t>Alison Papini</t>
  </si>
  <si>
    <t>Rory Casalla</t>
  </si>
  <si>
    <t>+ (630) 393-0400</t>
  </si>
  <si>
    <t>Springhill Suites Cincinnati Blue Ash</t>
  </si>
  <si>
    <t xml:space="preserve">4650 Creek Road </t>
  </si>
  <si>
    <t>Melissa Williams</t>
  </si>
  <si>
    <t>+1 (513) 793-1000</t>
  </si>
  <si>
    <t>Springhill Suites Cincinnati North-Forest Park</t>
  </si>
  <si>
    <t xml:space="preserve">12001 Chase Plaza Dr </t>
  </si>
  <si>
    <t>Forest Park</t>
  </si>
  <si>
    <t>Kanyalal Datwani</t>
  </si>
  <si>
    <t>Zeeshan Hussain</t>
  </si>
  <si>
    <t>+1 (513) 825-9035</t>
  </si>
  <si>
    <t>Springhill Suites Colonnade</t>
  </si>
  <si>
    <t xml:space="preserve">3950 Colonnade Parkway </t>
  </si>
  <si>
    <t>Race Banks</t>
  </si>
  <si>
    <t>+1 (205) 969-8099</t>
  </si>
  <si>
    <t>SpringHill Suites Columbia</t>
  </si>
  <si>
    <t xml:space="preserve">511 Lady St. </t>
  </si>
  <si>
    <t>Ashley Johnson</t>
  </si>
  <si>
    <t>+1 (803) 978-2333</t>
  </si>
  <si>
    <t>Springhill Suites Columbia</t>
  </si>
  <si>
    <t xml:space="preserve">7055 Minstrel Way </t>
  </si>
  <si>
    <t>Kristy Jackson</t>
  </si>
  <si>
    <t>+1 (410) 290-7896</t>
  </si>
  <si>
    <t>SpringHill Suites Columbus Dublin</t>
  </si>
  <si>
    <t xml:space="preserve">4475 Bridge Park Avenue </t>
  </si>
  <si>
    <t>Jodie Hutchins</t>
  </si>
  <si>
    <t>Rick Manzi</t>
  </si>
  <si>
    <t>+1 (614) 766-7255</t>
  </si>
  <si>
    <t xml:space="preserve">SpringHill Suites Concord </t>
  </si>
  <si>
    <t xml:space="preserve">7811 Gateway Lane NW </t>
  </si>
  <si>
    <t>Cindy Wood</t>
  </si>
  <si>
    <t>Renee Miller</t>
  </si>
  <si>
    <t>+ (704) 979-2500</t>
  </si>
  <si>
    <t>SpringHill Suites Coralville</t>
  </si>
  <si>
    <t xml:space="preserve">1001 25th Avenue </t>
  </si>
  <si>
    <t>JASON LUCKY</t>
  </si>
  <si>
    <t>+1 (319) 625-1001</t>
  </si>
  <si>
    <t>SpringHill Suites Dallas Mansfield</t>
  </si>
  <si>
    <t xml:space="preserve">3126 East Broad Street </t>
  </si>
  <si>
    <t>Carmen Gonzales</t>
  </si>
  <si>
    <t>+1 (682) 518-1201</t>
  </si>
  <si>
    <t>Springhill Suites Dallas Richardson Plano</t>
  </si>
  <si>
    <t xml:space="preserve">3251 East George Bush Turnpike </t>
  </si>
  <si>
    <t>Elray Adams</t>
  </si>
  <si>
    <t>+1 (972) 479-0300</t>
  </si>
  <si>
    <t>Springhill Suites Dallas Rockwall</t>
  </si>
  <si>
    <t xml:space="preserve">2601 Lakefront Trail </t>
  </si>
  <si>
    <t>Vicki Delamar</t>
  </si>
  <si>
    <t>+1 (972) 961-5100</t>
  </si>
  <si>
    <t>SpringHill Suites Dallas-Addison/Quorum Drive</t>
  </si>
  <si>
    <t xml:space="preserve">15255 Quorum Drive </t>
  </si>
  <si>
    <t>Donna Gladney</t>
  </si>
  <si>
    <t>+(972)774-1010</t>
  </si>
  <si>
    <t>SpringHill Suites Danbury</t>
  </si>
  <si>
    <t xml:space="preserve">30 Old Ridgebury Rd </t>
  </si>
  <si>
    <t>Michael Kasten</t>
  </si>
  <si>
    <t>Tricia Culp</t>
  </si>
  <si>
    <t>+(203)744-7333</t>
  </si>
  <si>
    <t>SpringHill Suites Dania Beach</t>
  </si>
  <si>
    <t xml:space="preserve">151 SW 18th Court </t>
  </si>
  <si>
    <t>Freddy Serna</t>
  </si>
  <si>
    <t>+1 (954) 920-9696</t>
  </si>
  <si>
    <t>SpringHill Suites Denton</t>
  </si>
  <si>
    <t xml:space="preserve">1434 Centre Place Drive </t>
  </si>
  <si>
    <t>Melissa Gilcrease</t>
  </si>
  <si>
    <t>Sarah Pahlen</t>
  </si>
  <si>
    <t>+1 (940) 383-4100</t>
  </si>
  <si>
    <t>SpringHill Suites Denver</t>
  </si>
  <si>
    <t xml:space="preserve">18350 East 68th Avenue </t>
  </si>
  <si>
    <t>Aaron Williams</t>
  </si>
  <si>
    <t>Thomas Cooney</t>
  </si>
  <si>
    <t>+1 (303) 371-9400</t>
  </si>
  <si>
    <t>SpringHill Suites Denver Downtown at Metro State</t>
  </si>
  <si>
    <t xml:space="preserve">1190 Auraria Parkway </t>
  </si>
  <si>
    <t>Taryn Claassen</t>
  </si>
  <si>
    <t>+ (303) 705-7300</t>
  </si>
  <si>
    <t>Springhill Suites Denver Lakewood</t>
  </si>
  <si>
    <t xml:space="preserve">1315 Colorado Mills Parkway </t>
  </si>
  <si>
    <t>Jason Mueller</t>
  </si>
  <si>
    <t>+1(303)215-0125</t>
  </si>
  <si>
    <t>SpringHill Suites Devens</t>
  </si>
  <si>
    <t xml:space="preserve">27 Andrews Parkway </t>
  </si>
  <si>
    <t>Mike Cordry</t>
  </si>
  <si>
    <t>+1 (978) 772-3030</t>
  </si>
  <si>
    <t>United Hospitality Group East Lansing LLC</t>
  </si>
  <si>
    <t>Springhill Suites East Lansing</t>
  </si>
  <si>
    <t xml:space="preserve">1100 Trowbridge Road </t>
  </si>
  <si>
    <t>Julie Traskos</t>
  </si>
  <si>
    <t>Lawrence Mio</t>
  </si>
  <si>
    <t>+1(517)763-2033</t>
  </si>
  <si>
    <t>Merit Hotel Group - Merit Riverside LLC</t>
  </si>
  <si>
    <t>SpringHill Suites Edgewood-Aberdeen</t>
  </si>
  <si>
    <t xml:space="preserve">1420 Handlir Drive </t>
  </si>
  <si>
    <t>Belair</t>
  </si>
  <si>
    <t>Tammy Parrott</t>
  </si>
  <si>
    <t>+ (410) 297-4970</t>
  </si>
  <si>
    <t>Springhill Suites Elizabethtown</t>
  </si>
  <si>
    <t xml:space="preserve">1025 Executive Drive </t>
  </si>
  <si>
    <t>Elizabethtown</t>
  </si>
  <si>
    <t>Nicole Taylor</t>
  </si>
  <si>
    <t>+(414)687-6833</t>
  </si>
  <si>
    <t>SpringHill Suites Ewing</t>
  </si>
  <si>
    <t xml:space="preserve">1000 Charles Ewing Blvd. </t>
  </si>
  <si>
    <t>Gregory Abellard</t>
  </si>
  <si>
    <t>+1 (609) 530-0900</t>
  </si>
  <si>
    <t>Springhill Suites Fairfax Fair Oaks</t>
  </si>
  <si>
    <t xml:space="preserve">11191 Waples Mill Road </t>
  </si>
  <si>
    <t>Joannette Blevins</t>
  </si>
  <si>
    <t>+1 (703) 691-7880</t>
  </si>
  <si>
    <t>SpringHill Suites Fishkill</t>
  </si>
  <si>
    <t xml:space="preserve">500 Westage Business Center Drive </t>
  </si>
  <si>
    <t>Lisa Brady</t>
  </si>
  <si>
    <t>+1 (845) 896-8100</t>
  </si>
  <si>
    <t>Springhill Suites Flagstaff</t>
  </si>
  <si>
    <t xml:space="preserve">2455 South Beulah Boulevard </t>
  </si>
  <si>
    <t>Sara Fowler</t>
  </si>
  <si>
    <t>+1 (928) 774-8042</t>
  </si>
  <si>
    <t>Springhill Suites Florence</t>
  </si>
  <si>
    <t xml:space="preserve">7492 Turfway Road </t>
  </si>
  <si>
    <t>Abel Melesse</t>
  </si>
  <si>
    <t>Greg Roetting</t>
  </si>
  <si>
    <t>+1 (859) 371-3388</t>
  </si>
  <si>
    <t>SpringHill Suites Fort Worth Historic Stockyards</t>
  </si>
  <si>
    <t xml:space="preserve">2315 North Main Street </t>
  </si>
  <si>
    <t>Carter Hord</t>
  </si>
  <si>
    <t>Natalie Pivec</t>
  </si>
  <si>
    <t>+1(682)255-5100</t>
  </si>
  <si>
    <t>SpringHill Suites Fort Worth University</t>
  </si>
  <si>
    <t xml:space="preserve">3250 Lovell </t>
  </si>
  <si>
    <t>Keith Jackson</t>
  </si>
  <si>
    <t>Micah Willis</t>
  </si>
  <si>
    <t>(817) 878-2554</t>
  </si>
  <si>
    <t>Springhill Suites Frankenmuth-Saginaw</t>
  </si>
  <si>
    <t xml:space="preserve">530 South Main Street </t>
  </si>
  <si>
    <t>Lindsey Weiss</t>
  </si>
  <si>
    <t>+1 (989) 652-7500</t>
  </si>
  <si>
    <t>SpringHill Suites Franklin</t>
  </si>
  <si>
    <t xml:space="preserve">5011 Aspen Grove Drive </t>
  </si>
  <si>
    <t>Paul Tyson</t>
  </si>
  <si>
    <t>Seth Myrick</t>
  </si>
  <si>
    <t>+1 (615) 778-4688</t>
  </si>
  <si>
    <t>Springhill Suites Ft Myers Airport</t>
  </si>
  <si>
    <t xml:space="preserve">9501 Market Place Road </t>
  </si>
  <si>
    <t>Ft Myers</t>
  </si>
  <si>
    <t>Calyn Ward</t>
  </si>
  <si>
    <t>+1 (239) 561-1803</t>
  </si>
  <si>
    <t>SpringHill Suites Gainesville</t>
  </si>
  <si>
    <t xml:space="preserve">4155 Southwest 40th Boulevard </t>
  </si>
  <si>
    <t>Julian Vazquez</t>
  </si>
  <si>
    <t>Dery Mitchell</t>
  </si>
  <si>
    <t>+1 (352) 376-8873</t>
  </si>
  <si>
    <t>SpringHill Suites Gaithersburg</t>
  </si>
  <si>
    <t xml:space="preserve">9715 Washingtonian Blvd. </t>
  </si>
  <si>
    <t>Stephen Faulconer</t>
  </si>
  <si>
    <t>(301) 987-0900</t>
  </si>
  <si>
    <t>Springhill Suites Grand Rapids Airport Southeast</t>
  </si>
  <si>
    <t xml:space="preserve">5250 28th Street SE </t>
  </si>
  <si>
    <t>Brandon Hrusovsky</t>
  </si>
  <si>
    <t>+1 (616) 464-1130</t>
  </si>
  <si>
    <t>SpringHill Suites Grand Rapids North</t>
  </si>
  <si>
    <t xml:space="preserve">450 Center Drive </t>
  </si>
  <si>
    <t>+1 (616) 785-1600</t>
  </si>
  <si>
    <t>SpringHill Suites Green Bay</t>
  </si>
  <si>
    <t xml:space="preserve">1011 Tony Canadeo Run </t>
  </si>
  <si>
    <t>Kurt Leahy</t>
  </si>
  <si>
    <t>+1 (920) 569-8500</t>
  </si>
  <si>
    <t>SpringHill Suites Greensboro</t>
  </si>
  <si>
    <t xml:space="preserve">6006 Landmark Center Blvd. </t>
  </si>
  <si>
    <t>Ken Andrews</t>
  </si>
  <si>
    <t>+1 (336) 809-0909</t>
  </si>
  <si>
    <t>Springhill Suites Gulfport</t>
  </si>
  <si>
    <t xml:space="preserve">15610 Daniel Boulevard </t>
  </si>
  <si>
    <t>Sharon Welch</t>
  </si>
  <si>
    <t>+1 (228) 265-5869</t>
  </si>
  <si>
    <t>SpringHill Suites Hagerstown</t>
  </si>
  <si>
    <t xml:space="preserve">17280 Valley Mall Road </t>
  </si>
  <si>
    <t>Nhi-Khanh Greene</t>
  </si>
  <si>
    <t>Ross Baker</t>
  </si>
  <si>
    <t>+1 (301) 582-0011</t>
  </si>
  <si>
    <t>SpringHill Suites Hampton Coliseum</t>
  </si>
  <si>
    <t xml:space="preserve">1997 Power Plant Parkway </t>
  </si>
  <si>
    <t>Aristot Vunika</t>
  </si>
  <si>
    <t>Michelle Barco</t>
  </si>
  <si>
    <t>+1 (757) 310-6333</t>
  </si>
  <si>
    <t>SpringHill Suites Harrisburg Hershey</t>
  </si>
  <si>
    <t xml:space="preserve">15 Capital Drive </t>
  </si>
  <si>
    <t>Teji Awad</t>
  </si>
  <si>
    <t>+1 (717) 540-5100</t>
  </si>
  <si>
    <t>Springhill Suites Hartford Cromwell</t>
  </si>
  <si>
    <t xml:space="preserve">76 Berlin Road </t>
  </si>
  <si>
    <t>Cromwell</t>
  </si>
  <si>
    <t>+(860)613-0710</t>
  </si>
  <si>
    <t>SpringHill Suites Herndon</t>
  </si>
  <si>
    <t xml:space="preserve">138 Spring Street </t>
  </si>
  <si>
    <t>Sarah Jones</t>
  </si>
  <si>
    <t>(703) 435-3100</t>
  </si>
  <si>
    <t>SpringHill Suites Houston Hwy 290 NW Cypress</t>
  </si>
  <si>
    <t xml:space="preserve">20350 Northwest Freeway </t>
  </si>
  <si>
    <t>Jason Hassouna</t>
  </si>
  <si>
    <t>+1 (281) 469-6500</t>
  </si>
  <si>
    <t>SpringHill Suites Houston Northwest</t>
  </si>
  <si>
    <t xml:space="preserve">20303 Chasewood Park Drive </t>
  </si>
  <si>
    <t>Sam Xie</t>
  </si>
  <si>
    <t>+1 (832) 953-2220</t>
  </si>
  <si>
    <t>SpringHill Suites Houston Reliant Park</t>
  </si>
  <si>
    <t xml:space="preserve">1400 Old Spanish Trail </t>
  </si>
  <si>
    <t>Michael Giangrosso</t>
  </si>
  <si>
    <t>Eli Rodriguez</t>
  </si>
  <si>
    <t>+1 (713) 796-1000</t>
  </si>
  <si>
    <t>Springhill Suites Houston/Seabrook</t>
  </si>
  <si>
    <t xml:space="preserve">2120 NASA Parkway </t>
  </si>
  <si>
    <t>Terri Akins</t>
  </si>
  <si>
    <t>+1 (281) 474-3458</t>
  </si>
  <si>
    <t>Springhill Suites Huntsville</t>
  </si>
  <si>
    <t xml:space="preserve">745 Constellation Drive </t>
  </si>
  <si>
    <t>Jason Stroud</t>
  </si>
  <si>
    <t>Krishna Nagalla</t>
  </si>
  <si>
    <t>+1 (256) 512-0188</t>
  </si>
  <si>
    <t>Dixon Properties</t>
  </si>
  <si>
    <t>SpringHill Suites I-95 South</t>
  </si>
  <si>
    <t xml:space="preserve">4 Gateway Blvd. East </t>
  </si>
  <si>
    <t>Renata Atkins</t>
  </si>
  <si>
    <t>Tim Schaadt</t>
  </si>
  <si>
    <t>+1 (912) 629-7777</t>
  </si>
  <si>
    <t>SpringHill Suites Indianapolis Downtown</t>
  </si>
  <si>
    <t>Trisha Klingerman</t>
  </si>
  <si>
    <t>+1 (317) 972-7293</t>
  </si>
  <si>
    <t>SpringHill Suites Indianapolis Fishers</t>
  </si>
  <si>
    <t xml:space="preserve">9698 Hague Road </t>
  </si>
  <si>
    <t>Moussa Ndiaye</t>
  </si>
  <si>
    <t>+ (317) 841-0416</t>
  </si>
  <si>
    <t>SpringHill Suites Indianapolis-Carmel</t>
  </si>
  <si>
    <t xml:space="preserve">11855 North Meridian Street </t>
  </si>
  <si>
    <t>+1 (317) 846-1800</t>
  </si>
  <si>
    <t>Springhill Suites Irvine Lake Forest</t>
  </si>
  <si>
    <t xml:space="preserve">23632 Rockfield Boulevard </t>
  </si>
  <si>
    <t>Mark Kirsch</t>
  </si>
  <si>
    <t>Geovanny Tello</t>
  </si>
  <si>
    <t>+1 (949) 951-1019</t>
  </si>
  <si>
    <t>SpringHill Suites Jackson Hole</t>
  </si>
  <si>
    <t xml:space="preserve">150 West Simpson Avenue </t>
  </si>
  <si>
    <t>Logan Wolfley</t>
  </si>
  <si>
    <t>Matt Mueller</t>
  </si>
  <si>
    <t>+1 (307)201-5320</t>
  </si>
  <si>
    <t>Springhill Suites Jacksonville</t>
  </si>
  <si>
    <t xml:space="preserve">4385 Southside Boulevard </t>
  </si>
  <si>
    <t>Christian Reyes</t>
  </si>
  <si>
    <t>+ (904) 997-6650</t>
  </si>
  <si>
    <t>SpringHill Suites Jacksonville Airport</t>
  </si>
  <si>
    <t xml:space="preserve">13550 Airport Ct. </t>
  </si>
  <si>
    <t>Deborah Johnston</t>
  </si>
  <si>
    <t>+1 (904) 741-8002</t>
  </si>
  <si>
    <t>SpringHill Suites Kansas City Midtown</t>
  </si>
  <si>
    <t xml:space="preserve">4500 Madison Avenue </t>
  </si>
  <si>
    <t>Beatrix Bajcsev</t>
  </si>
  <si>
    <t>+()1 816-285-4900</t>
  </si>
  <si>
    <t>Springhill Suites Kingman</t>
  </si>
  <si>
    <t xml:space="preserve">3101 E. Andy Devine Ave </t>
  </si>
  <si>
    <t>Chyler Hess</t>
  </si>
  <si>
    <t>+1 (928) 753-8766</t>
  </si>
  <si>
    <t>Springhill Suites Knoxville at Turkey Creek</t>
  </si>
  <si>
    <t xml:space="preserve">10955 Turkey Drive </t>
  </si>
  <si>
    <t>Travis Murphy</t>
  </si>
  <si>
    <t>+ () 865/966-8888</t>
  </si>
  <si>
    <t>SpringHill Suites Lafayette</t>
  </si>
  <si>
    <t xml:space="preserve">321 Settlers Trace </t>
  </si>
  <si>
    <t>Joseph Richard</t>
  </si>
  <si>
    <t>+1 (337) 981-5512</t>
  </si>
  <si>
    <t>SpringHill Suites Lakeland</t>
  </si>
  <si>
    <t xml:space="preserve">511 West Lime Street </t>
  </si>
  <si>
    <t>John Loute</t>
  </si>
  <si>
    <t>Katherine Arrieta</t>
  </si>
  <si>
    <t>+()863-413-1700</t>
  </si>
  <si>
    <t>SpringHill Suites Las Cruces</t>
  </si>
  <si>
    <t xml:space="preserve">1611 Hickory Loop </t>
  </si>
  <si>
    <t>Las Cruces</t>
  </si>
  <si>
    <t>Gerardo Moreno</t>
  </si>
  <si>
    <t>+1 (575) 541-8887</t>
  </si>
  <si>
    <t>Springhill Suites Las Vegas Convention Center</t>
  </si>
  <si>
    <t xml:space="preserve">2989 Paradise Road </t>
  </si>
  <si>
    <t xml:space="preserve">Melissa Diette </t>
  </si>
  <si>
    <t>+1 (702) 433-5880</t>
  </si>
  <si>
    <t>SpringHill Suites Lehi at Thanksgiving Point</t>
  </si>
  <si>
    <t xml:space="preserve">2447 West Executive Parkway </t>
  </si>
  <si>
    <t>Ket Khountham</t>
  </si>
  <si>
    <t>+1 (801) 341-6970</t>
  </si>
  <si>
    <t>Springhill Suites Lewisville</t>
  </si>
  <si>
    <t xml:space="preserve">720 East Vista Ridge Mall Drive </t>
  </si>
  <si>
    <t>Ginger Smith</t>
  </si>
  <si>
    <t>+1 (972) 221-2999</t>
  </si>
  <si>
    <t>Springhill Suites Lexington Downtown</t>
  </si>
  <si>
    <t xml:space="preserve">863 South Broadway </t>
  </si>
  <si>
    <t>George Arthur</t>
  </si>
  <si>
    <t>+1 (859) 225-1500</t>
  </si>
  <si>
    <t>SpringHill Suites Long Island Carle Place</t>
  </si>
  <si>
    <t xml:space="preserve">20 Westbury Avenue </t>
  </si>
  <si>
    <t>Stevie Kaye</t>
  </si>
  <si>
    <t>Nilton Lopez</t>
  </si>
  <si>
    <t>+1 (516) 880-1000</t>
  </si>
  <si>
    <t>SpringHill Suites Los Angeles Burbank</t>
  </si>
  <si>
    <t xml:space="preserve">549 San Fernando Blvd </t>
  </si>
  <si>
    <t>+1 (818) 524-2730</t>
  </si>
  <si>
    <t xml:space="preserve">Louisville S Hurstbourne Opco LLC (Falcon Group) </t>
  </si>
  <si>
    <t>SpringHill Suites Louisville - Hurstbourne North</t>
  </si>
  <si>
    <t xml:space="preserve">10101 Forest Green Boulevard </t>
  </si>
  <si>
    <t>Neianlys Menendez</t>
  </si>
  <si>
    <t>+ (502) 326-3895</t>
  </si>
  <si>
    <t>SpringHill Suites Macon</t>
  </si>
  <si>
    <t xml:space="preserve">4630 Sheraton Drive </t>
  </si>
  <si>
    <t>Chervon Screen</t>
  </si>
  <si>
    <t>+1 (478) 803-9100</t>
  </si>
  <si>
    <t>SpringHill Suites Manhattan Beach</t>
  </si>
  <si>
    <t xml:space="preserve">14620 Aviation Boulevard </t>
  </si>
  <si>
    <t>Loreal Scott</t>
  </si>
  <si>
    <t>(310) 727-9595</t>
  </si>
  <si>
    <t>Springhill Suites McAllen</t>
  </si>
  <si>
    <t xml:space="preserve">1800 S. Ware Road </t>
  </si>
  <si>
    <t>Gerardo Esparza</t>
  </si>
  <si>
    <t>+1 (956) 682-6336</t>
  </si>
  <si>
    <t>SpringHill Suites Medford</t>
  </si>
  <si>
    <t xml:space="preserve">1389 Center Drive </t>
  </si>
  <si>
    <t>Jennifer Barnes</t>
  </si>
  <si>
    <t>+1 (541) 842-8080</t>
  </si>
  <si>
    <t>SpringHill Suites Miami Doral</t>
  </si>
  <si>
    <t xml:space="preserve">3895 NW 107th Avenue </t>
  </si>
  <si>
    <t>Greycy Lopez</t>
  </si>
  <si>
    <t>Veronica Cardenas</t>
  </si>
  <si>
    <t>+1 (305) 477-5580</t>
  </si>
  <si>
    <t>SpringHill Suites Milwaukee</t>
  </si>
  <si>
    <t xml:space="preserve">744 North 4th Street </t>
  </si>
  <si>
    <t>Ryan Niketh</t>
  </si>
  <si>
    <t>+1(414) 273-9811</t>
  </si>
  <si>
    <t>Springhill Suites Moab</t>
  </si>
  <si>
    <t xml:space="preserve">1865 North Highway 191 </t>
  </si>
  <si>
    <t>+1 (435) 355-0042</t>
  </si>
  <si>
    <t>SpringHill Suites Mobile</t>
  </si>
  <si>
    <t xml:space="preserve">3655 Springhill Memorial Drive North </t>
  </si>
  <si>
    <t>Tiffany Griffin</t>
  </si>
  <si>
    <t>Diana Moorer</t>
  </si>
  <si>
    <t>+1 (251) 378-3800</t>
  </si>
  <si>
    <t>SpringHill Suites Modesto</t>
  </si>
  <si>
    <t xml:space="preserve">1901 West Orangeburg Avenue </t>
  </si>
  <si>
    <t>Hollie Huson</t>
  </si>
  <si>
    <t>+1 (209) 526-2155</t>
  </si>
  <si>
    <t>SpringHill Suites Montgomery Downtown</t>
  </si>
  <si>
    <t xml:space="preserve">152 Coosa Street </t>
  </si>
  <si>
    <t>Debbie Bozeman</t>
  </si>
  <si>
    <t>+()334-245-2088</t>
  </si>
  <si>
    <t>Springhill Suites Montgomery Prattville Millbrook</t>
  </si>
  <si>
    <t xml:space="preserve">100 Hospitality Lane </t>
  </si>
  <si>
    <t>Fred Whiting</t>
  </si>
  <si>
    <t>+1 (334) 285-9549</t>
  </si>
  <si>
    <t>Springhill Suites Mount Laurel</t>
  </si>
  <si>
    <t xml:space="preserve">5000 Midlantic Drive </t>
  </si>
  <si>
    <t>Patrick Brogan</t>
  </si>
  <si>
    <t>Annette Harvey</t>
  </si>
  <si>
    <t>+1 (856) 234-2009</t>
  </si>
  <si>
    <t>Springhill Suites Napa</t>
  </si>
  <si>
    <t xml:space="preserve">101 Gateway Road East </t>
  </si>
  <si>
    <t>Brandon Jacobsen</t>
  </si>
  <si>
    <t>Michelle Macaspac</t>
  </si>
  <si>
    <t>+ (707) 253-1900</t>
  </si>
  <si>
    <t>SpringHill Suites Nashville Vanderbilt - West End</t>
  </si>
  <si>
    <t xml:space="preserve">1800 West End Avenue </t>
  </si>
  <si>
    <t>+1 (615) 988-9930</t>
  </si>
  <si>
    <t>SpringHill Suites New York LaGuardia Airport</t>
  </si>
  <si>
    <t xml:space="preserve">112-15 Northern Boulevard </t>
  </si>
  <si>
    <t>+ (718) 651-5000</t>
  </si>
  <si>
    <t>SpringHill Suites New York Midtown Manhattan - Fifth Avenue</t>
  </si>
  <si>
    <t xml:space="preserve">25 West 37th Street </t>
  </si>
  <si>
    <t>Matt Garber</t>
  </si>
  <si>
    <t>+ (212) 391-2255</t>
  </si>
  <si>
    <t>SpringHill Suites New York Queens/Jamaica</t>
  </si>
  <si>
    <t xml:space="preserve">140-35 Queens Boulevard </t>
  </si>
  <si>
    <t>Kevin Chang</t>
  </si>
  <si>
    <t>Afisa Godi</t>
  </si>
  <si>
    <t>+(718)262-8828</t>
  </si>
  <si>
    <t>SpringHill Suites Newark</t>
  </si>
  <si>
    <t xml:space="preserve">402 Ogletown Road </t>
  </si>
  <si>
    <t>Eric Chapman</t>
  </si>
  <si>
    <t>John Dowell</t>
  </si>
  <si>
    <t>+(302)273-1000</t>
  </si>
  <si>
    <t>Springhill Suites Newark CA</t>
  </si>
  <si>
    <t xml:space="preserve">6100 Newpark Mall Road </t>
  </si>
  <si>
    <t>Jenny Rivera</t>
  </si>
  <si>
    <t>+()1 510-745-7944</t>
  </si>
  <si>
    <t>SpringHill Suites North Charleston</t>
  </si>
  <si>
    <t xml:space="preserve">7535 NorthForest Dr. </t>
  </si>
  <si>
    <t>Laquana Johnson</t>
  </si>
  <si>
    <t>+1 (843) 572-8866</t>
  </si>
  <si>
    <t>Springhill Suites Ocala</t>
  </si>
  <si>
    <t xml:space="preserve">4100 Southwest 40th Street </t>
  </si>
  <si>
    <t>Chelewa Springs</t>
  </si>
  <si>
    <t>+1(352)500-0501</t>
  </si>
  <si>
    <t>SpringHill Suites Oceanside</t>
  </si>
  <si>
    <t xml:space="preserve">110 North Myers Street </t>
  </si>
  <si>
    <t>Stormi Posch</t>
  </si>
  <si>
    <t>Kirsten Ulfig</t>
  </si>
  <si>
    <t>+1 (760) 722-1003</t>
  </si>
  <si>
    <t>SpringHill Suites Old Montreal</t>
  </si>
  <si>
    <t xml:space="preserve">445 St. Jean Baptiste </t>
  </si>
  <si>
    <t>Old Montreal</t>
  </si>
  <si>
    <t>H2Y 2Z7</t>
  </si>
  <si>
    <t>Jean-Frederic Fortin</t>
  </si>
  <si>
    <t>Lukas Valletta</t>
  </si>
  <si>
    <t>+1 (514) 875-4333</t>
  </si>
  <si>
    <t>SpringHill Suites Ooltewah</t>
  </si>
  <si>
    <t xml:space="preserve">8876 Old Lee Highway </t>
  </si>
  <si>
    <t>Ooltewah</t>
  </si>
  <si>
    <t>+1 (423) 301-5669</t>
  </si>
  <si>
    <t>SpringHill Suites Orange Beach at The Wharf</t>
  </si>
  <si>
    <t xml:space="preserve">4673 Wharf Parkway West </t>
  </si>
  <si>
    <t>+1 (251) 943-6600</t>
  </si>
  <si>
    <t>Springhill Suites Orlando</t>
  </si>
  <si>
    <t xml:space="preserve">8040 Palm Parkway </t>
  </si>
  <si>
    <t>Mike Fatta</t>
  </si>
  <si>
    <t>James Valle</t>
  </si>
  <si>
    <t>+1(407)239-4005</t>
  </si>
  <si>
    <t>Springhill Suites Orlando Airport</t>
  </si>
  <si>
    <t xml:space="preserve">5828 Hazeltine National Drive </t>
  </si>
  <si>
    <t>Oksana Dolfi</t>
  </si>
  <si>
    <t>Annabelle Rojas</t>
  </si>
  <si>
    <t>+1 (407) 816-5533</t>
  </si>
  <si>
    <t xml:space="preserve">Springhill Suites Orlando at Millenia </t>
  </si>
  <si>
    <t>Craig Murray</t>
  </si>
  <si>
    <t>SpringHill Suites Orlando at SeaWorld</t>
  </si>
  <si>
    <t xml:space="preserve">10801 International Drive </t>
  </si>
  <si>
    <t>Lul Abdullahi</t>
  </si>
  <si>
    <t>+ (407)354-1176</t>
  </si>
  <si>
    <t>SpringHill Suites Orlando Convention Center</t>
  </si>
  <si>
    <t xml:space="preserve">8840 Universal Boulevard </t>
  </si>
  <si>
    <t>Alejandro Blanco</t>
  </si>
  <si>
    <t>William Rodriguez</t>
  </si>
  <si>
    <t>+1 (407) 345-9073</t>
  </si>
  <si>
    <t>SpringHill Suites Orlando Flamingo Crossings</t>
  </si>
  <si>
    <t xml:space="preserve">13279 Flamingo Crossing Boulevard </t>
  </si>
  <si>
    <t>Lisa Williams</t>
  </si>
  <si>
    <t>lori fitzgibbon</t>
  </si>
  <si>
    <t>+1 (407) 507-1200</t>
  </si>
  <si>
    <t>SpringHill Suites Orlando Kissimmee</t>
  </si>
  <si>
    <t xml:space="preserve">4991 Calypso Cay Way </t>
  </si>
  <si>
    <t>Amber Kesely</t>
  </si>
  <si>
    <t>Ken McGowan</t>
  </si>
  <si>
    <t>+1 (407) 997-1300</t>
  </si>
  <si>
    <t>SpringHill Suites Orlando-Lake Buena Vista/In the Village at Little Lake Bryan</t>
  </si>
  <si>
    <t xml:space="preserve">8601 Vineland Avenue </t>
  </si>
  <si>
    <t>Lori Ford</t>
  </si>
  <si>
    <t>Springhill Suites Palm Desert</t>
  </si>
  <si>
    <t xml:space="preserve">72322 Highway 111 </t>
  </si>
  <si>
    <t>Moe Nazeem</t>
  </si>
  <si>
    <t>+1 (760) 341-9100</t>
  </si>
  <si>
    <t>SpringHill Suites Pensacola</t>
  </si>
  <si>
    <t xml:space="preserve">487 Creighton Road </t>
  </si>
  <si>
    <t>Lindse Neville</t>
  </si>
  <si>
    <t>+1 (850) 475-0055</t>
  </si>
  <si>
    <t>SpringHill Suites Pensacola Beach</t>
  </si>
  <si>
    <t xml:space="preserve">24 Via De Luna </t>
  </si>
  <si>
    <t>Pensacola Beach</t>
  </si>
  <si>
    <t>Caroline King</t>
  </si>
  <si>
    <t>+1 (850) 932-6000</t>
  </si>
  <si>
    <t>SpringHill Suites Peoria (PIA)</t>
  </si>
  <si>
    <t xml:space="preserve">2701 West Lake Avenue </t>
  </si>
  <si>
    <t>Amber Bigelow</t>
  </si>
  <si>
    <t>James Novak</t>
  </si>
  <si>
    <t>+ (309) 681-2700</t>
  </si>
  <si>
    <t>SpringHill Suites Philadelphia Valley Forge - King of Prussia</t>
  </si>
  <si>
    <t xml:space="preserve">875 Mancill Mill Road </t>
  </si>
  <si>
    <t>Peter Bhai</t>
  </si>
  <si>
    <t>+1 (610) 783-1400</t>
  </si>
  <si>
    <t>SpringHill Suites Philadelphia-Willow Grove</t>
  </si>
  <si>
    <t xml:space="preserve">3900 Commerce Avenue </t>
  </si>
  <si>
    <t>+(215)657-7800</t>
  </si>
  <si>
    <t>SpringHill Suites Phoenix Downtown</t>
  </si>
  <si>
    <t xml:space="preserve">802 East Van Buren Street </t>
  </si>
  <si>
    <t>Heather Harmon</t>
  </si>
  <si>
    <t>Sharon Zanjani</t>
  </si>
  <si>
    <t>+ (602) 307-9929</t>
  </si>
  <si>
    <t>SpringHill Suites Phoenix/ Glendale/Peoria</t>
  </si>
  <si>
    <t xml:space="preserve">7810 West Bell Road </t>
  </si>
  <si>
    <t>Mina Bermudez</t>
  </si>
  <si>
    <t>+ (623) 878-6666</t>
  </si>
  <si>
    <t>SpringHill Suites Phoenix/Tempe Airport</t>
  </si>
  <si>
    <t xml:space="preserve">1601 West Rio Salado Parkway </t>
  </si>
  <si>
    <t>Kim Bresee</t>
  </si>
  <si>
    <t>+ (480) 968-8222</t>
  </si>
  <si>
    <t>SpringHill Suites Pittsburgh North Shore</t>
  </si>
  <si>
    <t xml:space="preserve">223 Federal Street </t>
  </si>
  <si>
    <t>John Costello</t>
  </si>
  <si>
    <t>John Dempsey</t>
  </si>
  <si>
    <t>+1 (412) 323-9005</t>
  </si>
  <si>
    <t>SpringHill Suites Potomac Mills</t>
  </si>
  <si>
    <t xml:space="preserve">14325 Crossing Place </t>
  </si>
  <si>
    <t>Alex Lopez</t>
  </si>
  <si>
    <t>+1 (703) 576-9000</t>
  </si>
  <si>
    <t>SpringHill Suites Prince Frederick</t>
  </si>
  <si>
    <t xml:space="preserve">75 Sherry Lane </t>
  </si>
  <si>
    <t>Rosa Baleta</t>
  </si>
  <si>
    <t>+1 (443) 968-3000</t>
  </si>
  <si>
    <t>SpringHill Suites Raleigh/ RTP</t>
  </si>
  <si>
    <t xml:space="preserve">920 Slater Road </t>
  </si>
  <si>
    <t>James Wagner</t>
  </si>
  <si>
    <t>Rod Jones</t>
  </si>
  <si>
    <t>(919) 998-9500</t>
  </si>
  <si>
    <t>SpringHill Suites Rexburg</t>
  </si>
  <si>
    <t xml:space="preserve">1177 South Yellowstone Highway </t>
  </si>
  <si>
    <t>Rexburg</t>
  </si>
  <si>
    <t>Heidi Bracamonte</t>
  </si>
  <si>
    <t>+()1 208-356-3003</t>
  </si>
  <si>
    <t>Springhill Suites Richmond Northwest</t>
  </si>
  <si>
    <t xml:space="preserve">9960 Independence Park Drive </t>
  </si>
  <si>
    <t>Danyel Melvin</t>
  </si>
  <si>
    <t>+ () 804/217-7075</t>
  </si>
  <si>
    <t>SpringHill Suites Richmond Virginia Center</t>
  </si>
  <si>
    <t xml:space="preserve">9701 Brook Road </t>
  </si>
  <si>
    <t>Korina Crichigno</t>
  </si>
  <si>
    <t>Seden Atasoy</t>
  </si>
  <si>
    <t>+(804)266-9403</t>
  </si>
  <si>
    <t>SpringHill Suites Ridley Park</t>
  </si>
  <si>
    <t xml:space="preserve">201 Industrial Hwy </t>
  </si>
  <si>
    <t>Ridley Park</t>
  </si>
  <si>
    <t>Jen Lamken</t>
  </si>
  <si>
    <t>+1 (610) 915-6600</t>
  </si>
  <si>
    <t>SpringHill Suites Riverside Ontario Airport</t>
  </si>
  <si>
    <t xml:space="preserve">3595 East Guasti Road </t>
  </si>
  <si>
    <t>Mayra Zepeda</t>
  </si>
  <si>
    <t>+1 (909) 937-5000</t>
  </si>
  <si>
    <t>SpringHill Suites Roanoke</t>
  </si>
  <si>
    <t xml:space="preserve">301 Reserve Avenue SW </t>
  </si>
  <si>
    <t>Neil Ordway</t>
  </si>
  <si>
    <t>+1 (540) 400-6226</t>
  </si>
  <si>
    <t>SpringHill Suites Roseville</t>
  </si>
  <si>
    <t xml:space="preserve">10593 Fairway Drive </t>
  </si>
  <si>
    <t>Aarti Ram</t>
  </si>
  <si>
    <t>+ (916) 782-2989</t>
  </si>
  <si>
    <t>SpringHill Suites Sacramento Airport-Natomas</t>
  </si>
  <si>
    <t xml:space="preserve">2555 Venture Oaks Way </t>
  </si>
  <si>
    <t>Suman Chand</t>
  </si>
  <si>
    <t>+1 (916) 925-2280</t>
  </si>
  <si>
    <t>Springhill Suites Saginaw</t>
  </si>
  <si>
    <t xml:space="preserve">5270 Fashion Square </t>
  </si>
  <si>
    <t>Kaitlynn Okeefe</t>
  </si>
  <si>
    <t>+ () 989-792-2800</t>
  </si>
  <si>
    <t>SpringHill Suites Salt Lake City</t>
  </si>
  <si>
    <t xml:space="preserve">4955 Wiley Post Way </t>
  </si>
  <si>
    <t>Trent Seitz</t>
  </si>
  <si>
    <t>+ (801) 532-6633</t>
  </si>
  <si>
    <t>The Protel Group Limited Partnership</t>
  </si>
  <si>
    <t>SpringHill Suites Salt Lake City Downtown</t>
  </si>
  <si>
    <t xml:space="preserve">625 South 300 West </t>
  </si>
  <si>
    <t>Bonnie Bradshaw</t>
  </si>
  <si>
    <t>+1 (801) 238-3000</t>
  </si>
  <si>
    <t>Springhill Suites Salt Lake City-South Jordan</t>
  </si>
  <si>
    <t xml:space="preserve">11280 South River Heights Drive </t>
  </si>
  <si>
    <t>Teni Kaufusi</t>
  </si>
  <si>
    <t>Bryan Winkel</t>
  </si>
  <si>
    <t>+1 (385) 770-7200</t>
  </si>
  <si>
    <t>SpringHill Suites San Antonio Downtown Alamo Plaza</t>
  </si>
  <si>
    <t xml:space="preserve">411 Bowie Street </t>
  </si>
  <si>
    <t>+1 (210) 222-2121</t>
  </si>
  <si>
    <t>SpringHill Suites San Antonio Northwest</t>
  </si>
  <si>
    <t xml:space="preserve">18119 Talavera Ridge </t>
  </si>
  <si>
    <t>Anthony Butler</t>
  </si>
  <si>
    <t>+1(210) 543-2000</t>
  </si>
  <si>
    <t>SpringHill Suites San Diego Downtown Bayfront</t>
  </si>
  <si>
    <t>Mike Murphy</t>
  </si>
  <si>
    <t>+()1 619-831-0224</t>
  </si>
  <si>
    <t>SpringHill Suites Savannah Airport</t>
  </si>
  <si>
    <t xml:space="preserve">1 Jay R. Turner Drive </t>
  </si>
  <si>
    <t>Melanie Green</t>
  </si>
  <si>
    <t>+1 (912) 330-5555</t>
  </si>
  <si>
    <t>SpringHill Suites Savannah Downtown - Historic District</t>
  </si>
  <si>
    <t xml:space="preserve">150 Montgomery Street </t>
  </si>
  <si>
    <t>Leonard Massey</t>
  </si>
  <si>
    <t>+1 (912) 629-5300</t>
  </si>
  <si>
    <t>SpringHill Suites Scranton</t>
  </si>
  <si>
    <t xml:space="preserve">19 Radcliffe Drive </t>
  </si>
  <si>
    <t>+ (570)207-1212</t>
  </si>
  <si>
    <t>SpringHill Suites Sea World</t>
  </si>
  <si>
    <t xml:space="preserve">138 Richland Hills Dr. </t>
  </si>
  <si>
    <t>Kevin Espitia</t>
  </si>
  <si>
    <t>+1 (210) 520-6655</t>
  </si>
  <si>
    <t>Springhill Suites Shreveport-Bossier City/Louisiana Downs</t>
  </si>
  <si>
    <t xml:space="preserve">8010 East Texas Street </t>
  </si>
  <si>
    <t>Keitha Carmouche</t>
  </si>
  <si>
    <t>Ashley Matthews</t>
  </si>
  <si>
    <t>+1 (318) 747-7772</t>
  </si>
  <si>
    <t>SpringHill Suites Skyport</t>
  </si>
  <si>
    <t>+1 (408) 650-0590</t>
  </si>
  <si>
    <t>South Bend S Mishawaka Opco LLC (Falcon Group)</t>
  </si>
  <si>
    <t>SpringHill Suites South Bend - Mishawaka</t>
  </si>
  <si>
    <t xml:space="preserve">5225 Edison Lakes Parkway </t>
  </si>
  <si>
    <t>+1 (574) 271-0832</t>
  </si>
  <si>
    <t>Springhill Suites South Bend Notre Dame Area</t>
  </si>
  <si>
    <t xml:space="preserve">52721 SR 933 </t>
  </si>
  <si>
    <t>Catherine Bloomburg</t>
  </si>
  <si>
    <t>+1 (574) 440-9195</t>
  </si>
  <si>
    <t>Springhill Suites Spokane Airport</t>
  </si>
  <si>
    <t xml:space="preserve">8967 West Airport Drive </t>
  </si>
  <si>
    <t>Vanessa Polson</t>
  </si>
  <si>
    <t>+1 (509) 838-9540</t>
  </si>
  <si>
    <t>Springhill Suites St. George Washington</t>
  </si>
  <si>
    <t xml:space="preserve">122 North Green Spring Drive </t>
  </si>
  <si>
    <t>Courtney Polifka</t>
  </si>
  <si>
    <t>+1 (435) 628-3900</t>
  </si>
  <si>
    <t>SpringHill Suites St. Louis Airport/Earth City</t>
  </si>
  <si>
    <t xml:space="preserve">3099 S. Rider Trail </t>
  </si>
  <si>
    <t>Mel Van den Bergh</t>
  </si>
  <si>
    <t>Kristina Hess</t>
  </si>
  <si>
    <t>+1 (314) 739-9991</t>
  </si>
  <si>
    <t>SpringHill Suites St. Louis Brentwood</t>
  </si>
  <si>
    <t xml:space="preserve">1231 Strassner Drive </t>
  </si>
  <si>
    <t>Gary Ranchel</t>
  </si>
  <si>
    <t>+1 (314) 647-8400</t>
  </si>
  <si>
    <t>Springhill Suites St. Paul Northwest</t>
  </si>
  <si>
    <t xml:space="preserve">3920 Northwoods Drive </t>
  </si>
  <si>
    <t>Mounds View</t>
  </si>
  <si>
    <t>Melissa Consentino</t>
  </si>
  <si>
    <t>Nathan Lukasavitz</t>
  </si>
  <si>
    <t>+(651)209-7066</t>
  </si>
  <si>
    <t>SpringHill Suites State College</t>
  </si>
  <si>
    <t xml:space="preserve">1935 Waddle Road </t>
  </si>
  <si>
    <t>Felicia Crane</t>
  </si>
  <si>
    <t>Justin Bayly</t>
  </si>
  <si>
    <t>+1 (814) 867-1807</t>
  </si>
  <si>
    <t>SpringHill Suites Statesboro</t>
  </si>
  <si>
    <t xml:space="preserve">105 Springhill Drive </t>
  </si>
  <si>
    <t>Melissa McDuffie</t>
  </si>
  <si>
    <t>+1 (912) 489-0000</t>
  </si>
  <si>
    <t>SpringHill Suites Sugar Land</t>
  </si>
  <si>
    <t xml:space="preserve">13434 Southwest Freeway </t>
  </si>
  <si>
    <t>Caroline Dearman</t>
  </si>
  <si>
    <t>+1 (713) 234-7997</t>
  </si>
  <si>
    <t>SpringHill Suites Syracuse Carrier Circle</t>
  </si>
  <si>
    <t xml:space="preserve">6580 Weighlock Drive </t>
  </si>
  <si>
    <t>Judith Herzig</t>
  </si>
  <si>
    <t>+1 (315) 437-0056</t>
  </si>
  <si>
    <t>Springhill Suites Tampa Clearwater Beach</t>
  </si>
  <si>
    <t>Pat Johnson</t>
  </si>
  <si>
    <t>+1(727)218-1090</t>
  </si>
  <si>
    <t xml:space="preserve">SpringHill Suites Tarrytown Greenburgh </t>
  </si>
  <si>
    <t xml:space="preserve">480 White Plains Road </t>
  </si>
  <si>
    <t>ACCORD</t>
  </si>
  <si>
    <t>+1 (914) 366-4600</t>
  </si>
  <si>
    <t>SpringHill Suites Temecula Valley</t>
  </si>
  <si>
    <t xml:space="preserve">28220 Jefferson Avenue </t>
  </si>
  <si>
    <t>Marie Pranger</t>
  </si>
  <si>
    <t>+1 (951) 699-4477</t>
  </si>
  <si>
    <t>SpringHill Suites Tempe at Arizona Mills Mall</t>
  </si>
  <si>
    <t xml:space="preserve">5211 South Priest Drive </t>
  </si>
  <si>
    <t>Kovada Shipman</t>
  </si>
  <si>
    <t>Mark Perry</t>
  </si>
  <si>
    <t>+1 (480) 752-7979</t>
  </si>
  <si>
    <t>SpringHill Suites Thatcher</t>
  </si>
  <si>
    <t xml:space="preserve">2855 West Highway 70 </t>
  </si>
  <si>
    <t>+1 (928) 428-6900</t>
  </si>
  <si>
    <t>Springhill Suites Tifton</t>
  </si>
  <si>
    <t xml:space="preserve">401 Boo Drive </t>
  </si>
  <si>
    <t>John Alec McKinnon</t>
  </si>
  <si>
    <t>+1 (229) 520-5135</t>
  </si>
  <si>
    <t>SpringHill Suites Toronto Vaughan</t>
  </si>
  <si>
    <t xml:space="preserve">612 Applewood Crescent </t>
  </si>
  <si>
    <t>Zorica Drapic</t>
  </si>
  <si>
    <t>+1(905) 760-9960</t>
  </si>
  <si>
    <t>SpringHill Suites Vernal</t>
  </si>
  <si>
    <t xml:space="preserve">1205 West Hwy. 40 </t>
  </si>
  <si>
    <t>Kayla Melancon</t>
  </si>
  <si>
    <t>Jamie Beede</t>
  </si>
  <si>
    <t>+(435)781-9000</t>
  </si>
  <si>
    <t>Parth&amp;Haley Hospitality LLC</t>
  </si>
  <si>
    <t>SpringHill Suites Victorville Hesperia</t>
  </si>
  <si>
    <t xml:space="preserve">9625 Mariposa Road </t>
  </si>
  <si>
    <t>Eric Leon</t>
  </si>
  <si>
    <t>Wesley Quintanar</t>
  </si>
  <si>
    <t>+1 (760) 948-8982</t>
  </si>
  <si>
    <t>SpringHill Suites Waterford Mystic</t>
  </si>
  <si>
    <t xml:space="preserve">401 North Frontage Road </t>
  </si>
  <si>
    <t>Waterford</t>
  </si>
  <si>
    <t>John Grocki</t>
  </si>
  <si>
    <t>+ (860) 439-0151</t>
  </si>
  <si>
    <t>SpringHill Suites Wichita</t>
  </si>
  <si>
    <t xml:space="preserve">1220 North Greenwich Road </t>
  </si>
  <si>
    <t>Kelly Mayfield</t>
  </si>
  <si>
    <t>+1 (316) 681-1800</t>
  </si>
  <si>
    <t>SpringHill Suites Williamsburg</t>
  </si>
  <si>
    <t xml:space="preserve">1644 Richmond Road </t>
  </si>
  <si>
    <t>Conor Willingham</t>
  </si>
  <si>
    <t>+ (757) 941-3000</t>
  </si>
  <si>
    <t>SpringHill Suites Wisconsin Dells</t>
  </si>
  <si>
    <t xml:space="preserve">461 Wisconsin Dells Parkway </t>
  </si>
  <si>
    <t>+1 (608) 678-2225</t>
  </si>
  <si>
    <t>Springhill Suites Wrentham Plainville (Dual Property)</t>
  </si>
  <si>
    <t xml:space="preserve">65 Ledgeview Way </t>
  </si>
  <si>
    <t>Wrentham</t>
  </si>
  <si>
    <t>Kevin King</t>
  </si>
  <si>
    <t>+(774) 307-4640</t>
  </si>
  <si>
    <t>Springhill SuitesHouston/Pearland</t>
  </si>
  <si>
    <t xml:space="preserve">1820 Country Place </t>
  </si>
  <si>
    <t>+ () 713-436-7377</t>
  </si>
  <si>
    <t>SpringHill Suites-Plymouth Meeting</t>
  </si>
  <si>
    <t xml:space="preserve">430 Plymouth Road </t>
  </si>
  <si>
    <t>Beverly Grazioli</t>
  </si>
  <si>
    <t>+(610)940-0400</t>
  </si>
  <si>
    <t>SS Legacy</t>
  </si>
  <si>
    <t>St. Davids Golf Club Inc.</t>
  </si>
  <si>
    <t>St. David's Golf Club</t>
  </si>
  <si>
    <t xml:space="preserve">845 Radnor Street </t>
  </si>
  <si>
    <t>Bill Phillips</t>
  </si>
  <si>
    <t>Jill Pacholek</t>
  </si>
  <si>
    <t>+ (610) 688-2010</t>
  </si>
  <si>
    <t>St. Kitts Beach Club</t>
  </si>
  <si>
    <t xml:space="preserve">858 Frigate Bay Rd. </t>
  </si>
  <si>
    <t>Frigate Bay</t>
  </si>
  <si>
    <t>Claudia Sanchez</t>
  </si>
  <si>
    <t>+1(869)466-1500</t>
  </si>
  <si>
    <t>St. Louis Art Museum</t>
  </si>
  <si>
    <t xml:space="preserve">1 Fine Arts Drive </t>
  </si>
  <si>
    <t>Joseph Gardner</t>
  </si>
  <si>
    <t>Noel Murphy</t>
  </si>
  <si>
    <t>+1 (214) 762-7191</t>
  </si>
  <si>
    <t>St. Michaels Inn</t>
  </si>
  <si>
    <t xml:space="preserve">1228 South Talbot Street </t>
  </si>
  <si>
    <t>Travis Johnson</t>
  </si>
  <si>
    <t>+1 (410) 745-3333</t>
  </si>
  <si>
    <t xml:space="preserve">St. Petersburg Hilton </t>
  </si>
  <si>
    <t xml:space="preserve">333 1st Street South </t>
  </si>
  <si>
    <t>Sebastian Hansen</t>
  </si>
  <si>
    <t>+1 (727) 894-5000</t>
  </si>
  <si>
    <t>Serenity Investment Holding &amp; Consultancy</t>
  </si>
  <si>
    <t>Stanford Inn &amp; Suites Anaheim</t>
  </si>
  <si>
    <t xml:space="preserve">2171 South Harbor Blvd </t>
  </si>
  <si>
    <t>Ray Reyes</t>
  </si>
  <si>
    <t>+1 (714) 703-1220</t>
  </si>
  <si>
    <t>Stanford Park Hotel</t>
  </si>
  <si>
    <t xml:space="preserve">100 El Camino Real </t>
  </si>
  <si>
    <t>Patrick Lane</t>
  </si>
  <si>
    <t>+ (650) 322-1234</t>
  </si>
  <si>
    <t>Star Suites Vero Beach</t>
  </si>
  <si>
    <t xml:space="preserve">2550 Flight Safety Drive </t>
  </si>
  <si>
    <t>Charlie Howell</t>
  </si>
  <si>
    <t>+1 (772) 410-3700</t>
  </si>
  <si>
    <t>StarLab</t>
  </si>
  <si>
    <t>417 5th Avenue 10th Floor</t>
  </si>
  <si>
    <t>Marriott Div Admin</t>
  </si>
  <si>
    <t>Janise Gamble</t>
  </si>
  <si>
    <t>+1 (212) 380-4000</t>
  </si>
  <si>
    <t>Station House Inn</t>
  </si>
  <si>
    <t xml:space="preserve">901 Park Ave </t>
  </si>
  <si>
    <t>Michael Riley</t>
  </si>
  <si>
    <t>+1 (530) 542-1101</t>
  </si>
  <si>
    <t>Station Mont Tremblant</t>
  </si>
  <si>
    <t xml:space="preserve">1000 Chemin des Voyageurs </t>
  </si>
  <si>
    <t>Mont-tremblant</t>
  </si>
  <si>
    <t>J8E 1T1</t>
  </si>
  <si>
    <t>Carole Bouffard</t>
  </si>
  <si>
    <t>Eric Albert Dube</t>
  </si>
  <si>
    <t>+1 (819) 681-2000</t>
  </si>
  <si>
    <t>Staybridge Sacramento</t>
  </si>
  <si>
    <t xml:space="preserve">140 Promenade Circle </t>
  </si>
  <si>
    <t>Ricardo Peregrina</t>
  </si>
  <si>
    <t>+1 (916) 575-7907</t>
  </si>
  <si>
    <t>Staybridge Suites - Minot</t>
  </si>
  <si>
    <t xml:space="preserve">3009 South Broadway </t>
  </si>
  <si>
    <t>Yvelisse (Eve) Castillo</t>
  </si>
  <si>
    <t>+1 (701) 852-0852</t>
  </si>
  <si>
    <t>Staybridge Suites - Rochester - Commerce DR NW</t>
  </si>
  <si>
    <t xml:space="preserve">2350 Commerce Drive Northwest </t>
  </si>
  <si>
    <t>Steve Otto</t>
  </si>
  <si>
    <t>+1 (507) 280-9000</t>
  </si>
  <si>
    <t>Staybridge Suites Allentown</t>
  </si>
  <si>
    <t xml:space="preserve">1787A Airport Road </t>
  </si>
  <si>
    <t>Fred Thompson</t>
  </si>
  <si>
    <t>+ (610) 443-5000</t>
  </si>
  <si>
    <t>Staybridge Suites Auburn Hills</t>
  </si>
  <si>
    <t xml:space="preserve">917 North Opdyke Road </t>
  </si>
  <si>
    <t>Justin Bacal</t>
  </si>
  <si>
    <t>+1 (248) 236-7006</t>
  </si>
  <si>
    <t>Staybridge Suites Austin Northwest</t>
  </si>
  <si>
    <t xml:space="preserve">13087 Highway 183 North </t>
  </si>
  <si>
    <t>+(512)336-7829</t>
  </si>
  <si>
    <t>Staybridge Suites Boston Quincy</t>
  </si>
  <si>
    <t>No Quincy</t>
  </si>
  <si>
    <t>Derek Andrich</t>
  </si>
  <si>
    <t>Staybridge Suites BWI Airport</t>
  </si>
  <si>
    <t xml:space="preserve">1301 Winterson Rd. </t>
  </si>
  <si>
    <t>Donnamarie Stidum</t>
  </si>
  <si>
    <t>+1 (410) 850-5666</t>
  </si>
  <si>
    <t>Staybridge Suites Chandler</t>
  </si>
  <si>
    <t xml:space="preserve">3990 West Chandler Boulevard </t>
  </si>
  <si>
    <t xml:space="preserve"> Julie Wemmert</t>
  </si>
  <si>
    <t>Deborah Cassel</t>
  </si>
  <si>
    <t>+1 (480) 821-2626</t>
  </si>
  <si>
    <t>Staybridge Suites Columbus - Worthington</t>
  </si>
  <si>
    <t xml:space="preserve">115 Hutchinson Avenue </t>
  </si>
  <si>
    <t>+1 (614) 785-0001</t>
  </si>
  <si>
    <t>Staybridge Suites Columbus Polaris</t>
  </si>
  <si>
    <t xml:space="preserve">9090 Lyra Drive </t>
  </si>
  <si>
    <t>Candice Jackson</t>
  </si>
  <si>
    <t>+1 (614) 880-9080</t>
  </si>
  <si>
    <t>Staybridge Suites Corona South</t>
  </si>
  <si>
    <t xml:space="preserve">2731 Blue Springs Drive </t>
  </si>
  <si>
    <t>Elizabeth Porter</t>
  </si>
  <si>
    <t>+1 (951) 277-9000</t>
  </si>
  <si>
    <t>Staybridge Suites Denver</t>
  </si>
  <si>
    <t xml:space="preserve">8101 Northfield Boulevard </t>
  </si>
  <si>
    <t>Jared Kotwis</t>
  </si>
  <si>
    <t>+1 (303) 227-3000</t>
  </si>
  <si>
    <t>Staybridge Suites Denver North - Thornton</t>
  </si>
  <si>
    <t xml:space="preserve">13719 Lincoln Street </t>
  </si>
  <si>
    <t>Thornton</t>
  </si>
  <si>
    <t>Nick Nelson</t>
  </si>
  <si>
    <t>+(303) 255-6180</t>
  </si>
  <si>
    <t>Staybridge Suites Denver South - Highlands Ranch</t>
  </si>
  <si>
    <t xml:space="preserve">8211 Southpark Circle </t>
  </si>
  <si>
    <t>Brad Yahner</t>
  </si>
  <si>
    <t>+1 (303) 347-9901</t>
  </si>
  <si>
    <t>Staybridge Suites Fairfield Napa Valley</t>
  </si>
  <si>
    <t xml:space="preserve">4775 Business Center Drive </t>
  </si>
  <si>
    <t>Irish Kiocho</t>
  </si>
  <si>
    <t>+1 (707) 863-0900</t>
  </si>
  <si>
    <t>Staybridge Suites Fargo</t>
  </si>
  <si>
    <t xml:space="preserve">4300 20th Avenue South </t>
  </si>
  <si>
    <t>Abby Gunderson</t>
  </si>
  <si>
    <t>Melissa Hiemenz</t>
  </si>
  <si>
    <t>+1 (701) 281-4900</t>
  </si>
  <si>
    <t>Staybridge Suites Folsom</t>
  </si>
  <si>
    <t xml:space="preserve">1745 Cavitt Drive </t>
  </si>
  <si>
    <t>Damien Ramer</t>
  </si>
  <si>
    <t>Garen Zoll</t>
  </si>
  <si>
    <t>+1 (916) 983-7885</t>
  </si>
  <si>
    <t>Staybridge Suites Fort Worth West</t>
  </si>
  <si>
    <t xml:space="preserve">229 Clifford Center Drive </t>
  </si>
  <si>
    <t>Forth Worth</t>
  </si>
  <si>
    <t>Emily Cearly</t>
  </si>
  <si>
    <t>+1 (817) 935-6500</t>
  </si>
  <si>
    <t>Staybridge Suites Franklin</t>
  </si>
  <si>
    <t xml:space="preserve">9575 South 27th Street </t>
  </si>
  <si>
    <t>Vicki Jessen</t>
  </si>
  <si>
    <t>+1 (414) 761-3800</t>
  </si>
  <si>
    <t xml:space="preserve">3601 Mallory Lane </t>
  </si>
  <si>
    <t>Steve Collier</t>
  </si>
  <si>
    <t>Jordan Freed</t>
  </si>
  <si>
    <t>+1 (615) 778-9299</t>
  </si>
  <si>
    <t>Staybridge Suites Gulf Shores</t>
  </si>
  <si>
    <t xml:space="preserve">3947 Gulf Shores Parkway </t>
  </si>
  <si>
    <t>Victoria Walker</t>
  </si>
  <si>
    <t>+1 (251) 975-1030</t>
  </si>
  <si>
    <t>Staybridge Suites Hot Springs</t>
  </si>
  <si>
    <t xml:space="preserve">103 Lookout Circle </t>
  </si>
  <si>
    <t>Hot Springs</t>
  </si>
  <si>
    <t>Crystall Deserisy</t>
  </si>
  <si>
    <t>+1 (501) 525-6500</t>
  </si>
  <si>
    <t>OM Hospitality Inc.</t>
  </si>
  <si>
    <t>Staybridge Suites IAH Airport East</t>
  </si>
  <si>
    <t xml:space="preserve">7195 Will Clayton parkway </t>
  </si>
  <si>
    <t>Donald Thorsen</t>
  </si>
  <si>
    <t>Omprakash Ahuja</t>
  </si>
  <si>
    <t>+1 (832) 995-1000</t>
  </si>
  <si>
    <t>Staybridge Suites Indianapolis - Carmel</t>
  </si>
  <si>
    <t xml:space="preserve">10675 North Pennsylvania Street </t>
  </si>
  <si>
    <t>Jesse Stauffer</t>
  </si>
  <si>
    <t>+1 (317) 582-1500</t>
  </si>
  <si>
    <t>Staybridge Suites Kalamazoo</t>
  </si>
  <si>
    <t xml:space="preserve">2001 Seneca Lane </t>
  </si>
  <si>
    <t>Joy Underwood</t>
  </si>
  <si>
    <t>+1 (269) 372-8000</t>
  </si>
  <si>
    <t>Staybridge Suites Lansing - Okemos</t>
  </si>
  <si>
    <t xml:space="preserve">3553 Meridian Crossing </t>
  </si>
  <si>
    <t>+1 (517) 347-3044</t>
  </si>
  <si>
    <t>Staybridge Suites Largo</t>
  </si>
  <si>
    <t xml:space="preserve">9401 Lottsford Road Upper Marlboro </t>
  </si>
  <si>
    <t>+(301) 883-4500</t>
  </si>
  <si>
    <t>Staybridge Suites Las Vegas</t>
  </si>
  <si>
    <t xml:space="preserve">5735 Dean Martin Drive </t>
  </si>
  <si>
    <t>Craig Moore</t>
  </si>
  <si>
    <t>Scott Tommela</t>
  </si>
  <si>
    <t>+1 (702) 259-2663</t>
  </si>
  <si>
    <t>Staybridge Suites Lexington</t>
  </si>
  <si>
    <t xml:space="preserve">125 Louie Place </t>
  </si>
  <si>
    <t>Kevin Robinson</t>
  </si>
  <si>
    <t>+1(859)233-2300</t>
  </si>
  <si>
    <t>Staybridge Suites Madison- East</t>
  </si>
  <si>
    <t xml:space="preserve">3301 City View Drive </t>
  </si>
  <si>
    <t>Paul Harms</t>
  </si>
  <si>
    <t>Rachael Umhoefer</t>
  </si>
  <si>
    <t>+1 (608) 241-2300</t>
  </si>
  <si>
    <t>Staybridge Suites Miami Doral</t>
  </si>
  <si>
    <t xml:space="preserve">3265 NW 87th Avenue </t>
  </si>
  <si>
    <t>+1 (305) 500-9100</t>
  </si>
  <si>
    <t>Staybridge Suites Middleton Madison-West</t>
  </si>
  <si>
    <t xml:space="preserve">7790 Elmwood Avenue </t>
  </si>
  <si>
    <t>+1 (608) 664-5888</t>
  </si>
  <si>
    <t>Staybridge Suites Montgomery - Downtown</t>
  </si>
  <si>
    <t xml:space="preserve">275 Lee Street </t>
  </si>
  <si>
    <t>Sarita Smith</t>
  </si>
  <si>
    <t>+()3345320700</t>
  </si>
  <si>
    <t>Staybridge Suites North Charleston</t>
  </si>
  <si>
    <t xml:space="preserve">7329 Mazyck Road </t>
  </si>
  <si>
    <t>Lekecia Harris</t>
  </si>
  <si>
    <t>+ (843) 377-4600</t>
  </si>
  <si>
    <t>Staybridge Suites Odessa</t>
  </si>
  <si>
    <t xml:space="preserve">810 South John Ben Shepperd Parkway </t>
  </si>
  <si>
    <t>Larry Goodwin</t>
  </si>
  <si>
    <t>+()1-432-2310-4565</t>
  </si>
  <si>
    <t>Staybridge Suites Overland Park</t>
  </si>
  <si>
    <t xml:space="preserve">7020 West 108th Street </t>
  </si>
  <si>
    <t>Cynthia Zimmerman</t>
  </si>
  <si>
    <t>Katie O’Connor</t>
  </si>
  <si>
    <t>+(913)341-6000</t>
  </si>
  <si>
    <t>Staybridge Suites Philadelphia-Mt. Laurel</t>
  </si>
  <si>
    <t xml:space="preserve">4115 Church Road </t>
  </si>
  <si>
    <t>Andrew Tocci</t>
  </si>
  <si>
    <t>+1 (856) 722-1900</t>
  </si>
  <si>
    <t>Staybridge Suites Revere (Dual Property)</t>
  </si>
  <si>
    <t>Staybridge Suites San Antonio Airport</t>
  </si>
  <si>
    <t xml:space="preserve">66 Interstate 410 Loop </t>
  </si>
  <si>
    <t>+1 (210) 341-3220</t>
  </si>
  <si>
    <t>Staybridge Suites Scottsdale</t>
  </si>
  <si>
    <t xml:space="preserve">9141 E Hummingbird Lane </t>
  </si>
  <si>
    <t>Marissa Carrera</t>
  </si>
  <si>
    <t>Micah Yazzie</t>
  </si>
  <si>
    <t>+(480) 291-5175</t>
  </si>
  <si>
    <t>Staybridge Suites Seattle North-Everett</t>
  </si>
  <si>
    <t xml:space="preserve">9600 Harbour Place </t>
  </si>
  <si>
    <t>Mukilteo</t>
  </si>
  <si>
    <t>Lily Sorensen</t>
  </si>
  <si>
    <t>+1(425)493-9500</t>
  </si>
  <si>
    <t xml:space="preserve">Staybridge Suites South Bend </t>
  </si>
  <si>
    <t xml:space="preserve">52860 State Road 933 </t>
  </si>
  <si>
    <t>Melinda Kristof</t>
  </si>
  <si>
    <t>Sara Penter</t>
  </si>
  <si>
    <t>+1 (574) 968-7440</t>
  </si>
  <si>
    <t>Staybridge Suites Toronto Vaughan South</t>
  </si>
  <si>
    <t xml:space="preserve">3600 Steeles Avenue West </t>
  </si>
  <si>
    <t>L4L 8P5</t>
  </si>
  <si>
    <t>Adam Dannawi</t>
  </si>
  <si>
    <t>Divya Gandhi</t>
  </si>
  <si>
    <t>905-856-9600</t>
  </si>
  <si>
    <t>Staybridge Suites Tysons McLean</t>
  </si>
  <si>
    <t xml:space="preserve">6845 Old Dominion Drive </t>
  </si>
  <si>
    <t>McLean</t>
  </si>
  <si>
    <t>Hazel Cummings</t>
  </si>
  <si>
    <t>+1 (703) 448-5400</t>
  </si>
  <si>
    <t>Staybridge Suites West Edmonton</t>
  </si>
  <si>
    <t xml:space="preserve">16929 109th Avenue Northwest </t>
  </si>
  <si>
    <t>T5P 4P6</t>
  </si>
  <si>
    <t>+1 (780) 484-6223</t>
  </si>
  <si>
    <t>Staybridge Suites Wilmington - Wrightsville BCH</t>
  </si>
  <si>
    <t xml:space="preserve">5010 New Centre Drive </t>
  </si>
  <si>
    <t>Josh McClellan</t>
  </si>
  <si>
    <t>+1 (910) 202-8500</t>
  </si>
  <si>
    <t>Staybridge Suites: Grand Forks</t>
  </si>
  <si>
    <t xml:space="preserve">1175 42nd Street South </t>
  </si>
  <si>
    <t>Grand Forks</t>
  </si>
  <si>
    <t>Jodi Miller</t>
  </si>
  <si>
    <t>+1 (701) 772-9000</t>
  </si>
  <si>
    <t>Steamboat Ski &amp; Resort</t>
  </si>
  <si>
    <t xml:space="preserve">2305 Mount Werner Circle </t>
  </si>
  <si>
    <t>Rob Spence</t>
  </si>
  <si>
    <t>Sarah Newman</t>
  </si>
  <si>
    <t>+1 (970) 879-6111</t>
  </si>
  <si>
    <t>Stephanie Inn</t>
  </si>
  <si>
    <t xml:space="preserve">2740 South Pacific </t>
  </si>
  <si>
    <t>+1 (855) 977-2444</t>
  </si>
  <si>
    <t>Stockman's Casino</t>
  </si>
  <si>
    <t xml:space="preserve">1560 West Williams Avenue </t>
  </si>
  <si>
    <t>Jeff Jorgenson</t>
  </si>
  <si>
    <t>+1 (775) 423-2117</t>
  </si>
  <si>
    <t>FHM Properties LLC d/b/a Stone Harbor Golf Club</t>
  </si>
  <si>
    <t>Stone Harbor Golf Club</t>
  </si>
  <si>
    <t xml:space="preserve">905 Route 9 North </t>
  </si>
  <si>
    <t>Cape May Court House</t>
  </si>
  <si>
    <t>Joan Boyle</t>
  </si>
  <si>
    <t>Joseph Goellner</t>
  </si>
  <si>
    <t>+ (609) 465-9270</t>
  </si>
  <si>
    <t>Stone Mountain Park Golf Course</t>
  </si>
  <si>
    <t>1145 Stonewall Jackson Drive Box 1363</t>
  </si>
  <si>
    <t>St Mtn</t>
  </si>
  <si>
    <t>Scott Eibling</t>
  </si>
  <si>
    <t>+ (770) 498-5600</t>
  </si>
  <si>
    <t>Stonebriar Country Club</t>
  </si>
  <si>
    <t xml:space="preserve">5050 Country Club DR </t>
  </si>
  <si>
    <t>Gemma Brady</t>
  </si>
  <si>
    <t>+ (972) 625-5050</t>
  </si>
  <si>
    <t>Stonebridge Country Club Dye Course</t>
  </si>
  <si>
    <t xml:space="preserve">7003 Beacon Hill Road </t>
  </si>
  <si>
    <t>+ (972) 540-2000</t>
  </si>
  <si>
    <t>Stonebridge Ranch Country Club</t>
  </si>
  <si>
    <t xml:space="preserve">5901 Glen Oaks </t>
  </si>
  <si>
    <t>Craig Sundell</t>
  </si>
  <si>
    <t>+ (972) 529-5993</t>
  </si>
  <si>
    <t>Stonecreek Golf Club</t>
  </si>
  <si>
    <t xml:space="preserve">4435 East Paradise Village Parkway S </t>
  </si>
  <si>
    <t>Brandon Dougherty</t>
  </si>
  <si>
    <t>Jeff Matthies</t>
  </si>
  <si>
    <t>+1 (602) 953-9111</t>
  </si>
  <si>
    <t>Stonehenge Golf &amp; Country Club</t>
  </si>
  <si>
    <t xml:space="preserve">1000 Farnham DR </t>
  </si>
  <si>
    <t>Robert Kidder</t>
  </si>
  <si>
    <t>+ (804) 378-7841</t>
  </si>
  <si>
    <t>Stratton Mountain Resort</t>
  </si>
  <si>
    <t>5 Village Lodge Road R.R. No. 1 Box 145</t>
  </si>
  <si>
    <t>Stratton Mountain</t>
  </si>
  <si>
    <t>Matt Chesser</t>
  </si>
  <si>
    <t>Dan Black</t>
  </si>
  <si>
    <t>+1 (802) 297-2200</t>
  </si>
  <si>
    <t>Streamside at Vail</t>
  </si>
  <si>
    <t xml:space="preserve">2284 South Frontage Road </t>
  </si>
  <si>
    <t>David Mcdaniel</t>
  </si>
  <si>
    <t>Deborah Rudell</t>
  </si>
  <si>
    <t>+ (970) 476-6000</t>
  </si>
  <si>
    <t>Suburban Extended Stay - Warner Robins</t>
  </si>
  <si>
    <t xml:space="preserve">2727 Watson Boulevard </t>
  </si>
  <si>
    <t>Suburban Extended Stay</t>
  </si>
  <si>
    <t>+1 (478) 953-5100</t>
  </si>
  <si>
    <t>SuburbanExtended Stay Triadelphia</t>
  </si>
  <si>
    <t xml:space="preserve">40 Robinson Drive </t>
  </si>
  <si>
    <t>Robert Maxwell</t>
  </si>
  <si>
    <t>+1 (304) 547-1037</t>
  </si>
  <si>
    <t>Sumatanga Camp &amp; Conference Center</t>
  </si>
  <si>
    <t xml:space="preserve">3616 Sumatanga Road </t>
  </si>
  <si>
    <t>Gallant</t>
  </si>
  <si>
    <t>tony jones</t>
  </si>
  <si>
    <t>+1 (256) 538-9860</t>
  </si>
  <si>
    <t>SummerPlace</t>
  </si>
  <si>
    <t xml:space="preserve">14047 Emerald Coast Pkwy Hwy 98 </t>
  </si>
  <si>
    <t>Maxwell Imm</t>
  </si>
  <si>
    <t>+1 (850) 650-8003</t>
  </si>
  <si>
    <t>Summit Watch</t>
  </si>
  <si>
    <t>780 Main Street PO Box 4109</t>
  </si>
  <si>
    <t>Wendy Carney</t>
  </si>
  <si>
    <t>Freddy Arellano</t>
  </si>
  <si>
    <t>+1 (435) 647-4100</t>
  </si>
  <si>
    <t>Sun Valley Resort</t>
  </si>
  <si>
    <t xml:space="preserve">1 Sun Valley Road </t>
  </si>
  <si>
    <t>Claudia Aulum</t>
  </si>
  <si>
    <t>Tim Silva</t>
  </si>
  <si>
    <t>+ (208) 622-4111</t>
  </si>
  <si>
    <t>SunCoast Park Hotel Anaheim</t>
  </si>
  <si>
    <t xml:space="preserve">1640 South Clementine Street </t>
  </si>
  <si>
    <t>David Gutierrez</t>
  </si>
  <si>
    <t>+1 (714) 598-0600</t>
  </si>
  <si>
    <t>Sundeck</t>
  </si>
  <si>
    <t>Sunriver Resort LP</t>
  </si>
  <si>
    <t>Sunriver Resort</t>
  </si>
  <si>
    <t xml:space="preserve">17600 Center Drive </t>
  </si>
  <si>
    <t>Sunriver</t>
  </si>
  <si>
    <t>Tom O'Shea</t>
  </si>
  <si>
    <t>Alan Eames</t>
  </si>
  <si>
    <t>+1 (541) 593-1000</t>
  </si>
  <si>
    <t>Alta Loma LLC</t>
  </si>
  <si>
    <t>Sunset Marquis Hotel</t>
  </si>
  <si>
    <t xml:space="preserve">1200 North Alta Loma Road </t>
  </si>
  <si>
    <t>Rod Gruendyke</t>
  </si>
  <si>
    <t>Christopher Thullen</t>
  </si>
  <si>
    <t>+ (310) 358-3719</t>
  </si>
  <si>
    <t>Sunset Pointe</t>
  </si>
  <si>
    <t>Michael Best</t>
  </si>
  <si>
    <t>+ (843) 686-7070</t>
  </si>
  <si>
    <t>Sunshine Suites Resort</t>
  </si>
  <si>
    <t xml:space="preserve">1465 Esterly Tibbets Highway </t>
  </si>
  <si>
    <t>Gorgetown</t>
  </si>
  <si>
    <t>KY1-1201</t>
  </si>
  <si>
    <t>Jessica Kozaily</t>
  </si>
  <si>
    <t>+1 (345)949-3000</t>
  </si>
  <si>
    <t>Super 8 - St. John's</t>
  </si>
  <si>
    <t xml:space="preserve">175 Higgins Line </t>
  </si>
  <si>
    <t>A1B 4N4</t>
  </si>
  <si>
    <t>Colleen Maynard</t>
  </si>
  <si>
    <t>+1 (709) 739-8888</t>
  </si>
  <si>
    <t>Super 8 Allentown</t>
  </si>
  <si>
    <t xml:space="preserve">1033 Airport Road </t>
  </si>
  <si>
    <t>Victor Mehta</t>
  </si>
  <si>
    <t>+1 (610) 434-9550</t>
  </si>
  <si>
    <t>InnVenture Group of Hotels Inc. dba Super 8 Barrie</t>
  </si>
  <si>
    <t>Super 8 Barrie</t>
  </si>
  <si>
    <t xml:space="preserve">441 Bryne Drive </t>
  </si>
  <si>
    <t>L4N 6C8</t>
  </si>
  <si>
    <t>Mick Ahluwalia</t>
  </si>
  <si>
    <t>+1 (705) 814-8888</t>
  </si>
  <si>
    <t>Super 8 Bedford</t>
  </si>
  <si>
    <t xml:space="preserve">842 Sword Beach Lane </t>
  </si>
  <si>
    <t>Sherry Pounds</t>
  </si>
  <si>
    <t>+(540)587-0100</t>
  </si>
  <si>
    <t>Super 8 Brockton</t>
  </si>
  <si>
    <t xml:space="preserve">385 Westgate Drive </t>
  </si>
  <si>
    <t>+ (508) 588-8887</t>
  </si>
  <si>
    <t>Super 8 by Wyndham Dania-Fort Lauderdale Arpt</t>
  </si>
  <si>
    <t xml:space="preserve">333 South Federal Highway </t>
  </si>
  <si>
    <t xml:space="preserve">Dania </t>
  </si>
  <si>
    <t>Joshua Lodhi</t>
  </si>
  <si>
    <t>+1 (954) 998-5064</t>
  </si>
  <si>
    <t>Super 8 by Wyndham Duluth</t>
  </si>
  <si>
    <t xml:space="preserve">4100 West Superior Street </t>
  </si>
  <si>
    <t>Jodi Chambers</t>
  </si>
  <si>
    <t>+1 (218) 628-2241</t>
  </si>
  <si>
    <t>Super 8 by Wyndham Irving-DFW Apt-North</t>
  </si>
  <si>
    <t xml:space="preserve">4770 West John Carpenter Freeway </t>
  </si>
  <si>
    <t>Vijay Desai</t>
  </si>
  <si>
    <t>+()1-214-441-9000</t>
  </si>
  <si>
    <t>Super 8 Camp Springs</t>
  </si>
  <si>
    <t>+1(301)899-7700</t>
  </si>
  <si>
    <t xml:space="preserve">Super 8 College Park </t>
  </si>
  <si>
    <t xml:space="preserve">9150 Baltimore Ave. </t>
  </si>
  <si>
    <t>Jackie Sage</t>
  </si>
  <si>
    <t>+ (301) 474-0894</t>
  </si>
  <si>
    <t>Super 8 Columbus West</t>
  </si>
  <si>
    <t xml:space="preserve">5655 Feder Road </t>
  </si>
  <si>
    <t>+1 (614) 851-1745</t>
  </si>
  <si>
    <t>Super 8 Cookeville</t>
  </si>
  <si>
    <t xml:space="preserve">440 Neal Street </t>
  </si>
  <si>
    <t>Algood</t>
  </si>
  <si>
    <t>Shiv Patel</t>
  </si>
  <si>
    <t>+()1-931-854-9790</t>
  </si>
  <si>
    <t>Super 8 Crawfordsville</t>
  </si>
  <si>
    <t xml:space="preserve">1025 Corey Blvd </t>
  </si>
  <si>
    <t>+ (765) 364-9999</t>
  </si>
  <si>
    <t>Super 8 Decatur-Lithonia-Atlanta Area</t>
  </si>
  <si>
    <t xml:space="preserve">5354 Snapfinger Park Drive </t>
  </si>
  <si>
    <t>Minal Patel</t>
  </si>
  <si>
    <t>Arpit Patel</t>
  </si>
  <si>
    <t>+1 (770) 987-5128</t>
  </si>
  <si>
    <t>Super 8 Drayton Valley</t>
  </si>
  <si>
    <t xml:space="preserve">3727 50th Street </t>
  </si>
  <si>
    <t>Drayton Valley</t>
  </si>
  <si>
    <t>T7A 1S4</t>
  </si>
  <si>
    <t>Ray Teresa Labossiere</t>
  </si>
  <si>
    <t>+1 (780) 542-9122</t>
  </si>
  <si>
    <t>Super 8 Fort Nelson</t>
  </si>
  <si>
    <t xml:space="preserve">4503-50th Avenue South </t>
  </si>
  <si>
    <t>Fort Nelson</t>
  </si>
  <si>
    <t>V0C 1R0</t>
  </si>
  <si>
    <t>Tak Campbell</t>
  </si>
  <si>
    <t>+1 (250)233-5025</t>
  </si>
  <si>
    <t>Super 8 Fort St. John</t>
  </si>
  <si>
    <t xml:space="preserve">9500 Alaska Way </t>
  </si>
  <si>
    <t>V1J 6S7</t>
  </si>
  <si>
    <t>+1 (250)785-7588</t>
  </si>
  <si>
    <t>Super 8 Grande Prairie</t>
  </si>
  <si>
    <t xml:space="preserve">10050 116th Avenue </t>
  </si>
  <si>
    <t>T8V 4K5</t>
  </si>
  <si>
    <t>Lourdes Nair</t>
  </si>
  <si>
    <t>+1 (780)532-8288</t>
  </si>
  <si>
    <t xml:space="preserve">Super 8 Hotel - St Jerome </t>
  </si>
  <si>
    <t xml:space="preserve">3 JF Kennedy Road </t>
  </si>
  <si>
    <t>Saint-Jerome</t>
  </si>
  <si>
    <t>J7Y 4B4</t>
  </si>
  <si>
    <t>Fanny Charbonneau</t>
  </si>
  <si>
    <t>+1 (450) 438-4388</t>
  </si>
  <si>
    <t>Super 8 Hotel Lacheinaie</t>
  </si>
  <si>
    <t xml:space="preserve">1155 Yves Blais </t>
  </si>
  <si>
    <t>Terrebonne</t>
  </si>
  <si>
    <t>J6V 0A9</t>
  </si>
  <si>
    <t>Lyne Malenfant</t>
  </si>
  <si>
    <t>Martine Desjardins</t>
  </si>
  <si>
    <t>+1 (450) 582-8288</t>
  </si>
  <si>
    <t>Super 8 Hotel Sainte Agathe</t>
  </si>
  <si>
    <t xml:space="preserve">500 Rue Leonard </t>
  </si>
  <si>
    <t>Sainte-agathe-des-monts</t>
  </si>
  <si>
    <t>J8C 0A3</t>
  </si>
  <si>
    <t>Kim Buffet</t>
  </si>
  <si>
    <t>+1 (819) 324-8880</t>
  </si>
  <si>
    <t>Super 8 Jacksonville</t>
  </si>
  <si>
    <t xml:space="preserve">5959 Youngerman Circle E </t>
  </si>
  <si>
    <t>Tina Doshi</t>
  </si>
  <si>
    <t>+1 (904) 777-0160</t>
  </si>
  <si>
    <t>Super 8 Kingman</t>
  </si>
  <si>
    <t xml:space="preserve">3401 East Andy Devine </t>
  </si>
  <si>
    <t>Christina Wolf</t>
  </si>
  <si>
    <t>Sunil Patel</t>
  </si>
  <si>
    <t>+1 (928) 757-4808</t>
  </si>
  <si>
    <t>Super 8 Marysville</t>
  </si>
  <si>
    <t xml:space="preserve">16510 Square Drive US 36 </t>
  </si>
  <si>
    <t>Marysville</t>
  </si>
  <si>
    <t>Julie Creamans</t>
  </si>
  <si>
    <t>+1 (937) 644-8821</t>
  </si>
  <si>
    <t>Super 8 Midland</t>
  </si>
  <si>
    <t xml:space="preserve">309 East Interstate 20 </t>
  </si>
  <si>
    <t>Lorie Munoz</t>
  </si>
  <si>
    <t>+1 (432) 704-5199</t>
  </si>
  <si>
    <t>Super 8 Motel Sainte Foy</t>
  </si>
  <si>
    <t xml:space="preserve">7286 Boulevard Wilfrid Hamel </t>
  </si>
  <si>
    <t>Sainte Foy</t>
  </si>
  <si>
    <t>G2G 1C1</t>
  </si>
  <si>
    <t>Alain Richard</t>
  </si>
  <si>
    <t>+1 (418) 877-6888</t>
  </si>
  <si>
    <t>Super 8 Motel Trois Rivieres</t>
  </si>
  <si>
    <t xml:space="preserve">3185 Boulevard Sainte-Jean </t>
  </si>
  <si>
    <t>G9B 2M4</t>
  </si>
  <si>
    <t>Suzanne Berthiaume</t>
  </si>
  <si>
    <t>+1 (819) 377-5881</t>
  </si>
  <si>
    <t>Super 8 O'Hare Airport</t>
  </si>
  <si>
    <t xml:space="preserve">2951 Touhy Avenue </t>
  </si>
  <si>
    <t>Elk Grove village</t>
  </si>
  <si>
    <t>Amy Trivedi</t>
  </si>
  <si>
    <t>+1 (847) 827-3133</t>
  </si>
  <si>
    <t>Super 8 Pennsville</t>
  </si>
  <si>
    <t xml:space="preserve">413 North Broadway </t>
  </si>
  <si>
    <t>Pennsville</t>
  </si>
  <si>
    <t>Vivek Patel</t>
  </si>
  <si>
    <t>+1 (856) 517-0505</t>
  </si>
  <si>
    <t>Nilam Investments LLC</t>
  </si>
  <si>
    <t>Super 8 San Bruno</t>
  </si>
  <si>
    <t xml:space="preserve">421 El Camino Real </t>
  </si>
  <si>
    <t>+1 (650) 624-0999</t>
  </si>
  <si>
    <t>Super 8 Slave Lake</t>
  </si>
  <si>
    <t>101 14th Avenue Southwest Box 1455</t>
  </si>
  <si>
    <t>Karen Socha</t>
  </si>
  <si>
    <t>+1 (780)805-3100</t>
  </si>
  <si>
    <t>Auburn Hospitality Inc.</t>
  </si>
  <si>
    <t>Super 8 Sturbridge</t>
  </si>
  <si>
    <t xml:space="preserve">358 Main Street </t>
  </si>
  <si>
    <t>Smita Patel</t>
  </si>
  <si>
    <t>+1 (508) 347-9000</t>
  </si>
  <si>
    <t>Super 8 Waukesha</t>
  </si>
  <si>
    <t xml:space="preserve">2510 Plaza Court </t>
  </si>
  <si>
    <t>+ (262) 786-6015</t>
  </si>
  <si>
    <t>Super 8 West Plains</t>
  </si>
  <si>
    <t xml:space="preserve">1210 Porter Wagoner Boulevard </t>
  </si>
  <si>
    <t>West Plains</t>
  </si>
  <si>
    <t>Ian Patel</t>
  </si>
  <si>
    <t>+1 (417) 256-8088</t>
  </si>
  <si>
    <t>Super 8 Whitecourt</t>
  </si>
  <si>
    <t xml:space="preserve">4121 Kepler Street </t>
  </si>
  <si>
    <t>T7S 0A3</t>
  </si>
  <si>
    <t>Jennifer E</t>
  </si>
  <si>
    <t>+1 (780)778-8908</t>
  </si>
  <si>
    <t>Meera Thriving Inc.</t>
  </si>
  <si>
    <t>Super 8 Windsor</t>
  </si>
  <si>
    <t>63 Cole Drive Box 2700</t>
  </si>
  <si>
    <t>B0N 2T0</t>
  </si>
  <si>
    <t xml:space="preserve">Glenn Dowling </t>
  </si>
  <si>
    <t>+1 (902) 792-8888</t>
  </si>
  <si>
    <t>Super 8 Yellowknife</t>
  </si>
  <si>
    <t xml:space="preserve">308 Old Airport Road </t>
  </si>
  <si>
    <t>X1A 3T3</t>
  </si>
  <si>
    <t>Catherine Travis</t>
  </si>
  <si>
    <t>+1 (867) 669-8888</t>
  </si>
  <si>
    <t>Super 8 Zanesville</t>
  </si>
  <si>
    <t xml:space="preserve">2440 National Road </t>
  </si>
  <si>
    <t xml:space="preserve"> Zanesville</t>
  </si>
  <si>
    <t>Christie Hayhurst</t>
  </si>
  <si>
    <t>+1 (740) 455-3124</t>
  </si>
  <si>
    <t>Superlodge</t>
  </si>
  <si>
    <t xml:space="preserve">1213 West Ave. </t>
  </si>
  <si>
    <t>Haroon Khan</t>
  </si>
  <si>
    <t>+ (302) 654-5544</t>
  </si>
  <si>
    <t>Superstition Springs Golf Club</t>
  </si>
  <si>
    <t xml:space="preserve">6542 East Baseline Road </t>
  </si>
  <si>
    <t>Jeremy Strauss</t>
  </si>
  <si>
    <t>Kyle Jones</t>
  </si>
  <si>
    <t>+1 (480) 985-5622</t>
  </si>
  <si>
    <t>Sure Stay by Best Western</t>
  </si>
  <si>
    <t xml:space="preserve">1004 Waccamaw Drive </t>
  </si>
  <si>
    <t>Rajan Patel</t>
  </si>
  <si>
    <t>+1 (843) 234-1678</t>
  </si>
  <si>
    <t>NewStream Hotel Partners ABQ LP</t>
  </si>
  <si>
    <t>Sure Stay Plus by Best Western Albuquerque</t>
  </si>
  <si>
    <t xml:space="preserve">10330 Hotel Avenue Northeast </t>
  </si>
  <si>
    <t>Julie Najar</t>
  </si>
  <si>
    <t>+1 (505) 275-8900</t>
  </si>
  <si>
    <t>SureStay Plus Hotel Best Western Ottumwa</t>
  </si>
  <si>
    <t xml:space="preserve">2813 North Court Road </t>
  </si>
  <si>
    <t>Ottumwa</t>
  </si>
  <si>
    <t>Minnette Baxter</t>
  </si>
  <si>
    <t>Scott Wonderling</t>
  </si>
  <si>
    <t>+ (641) 682-0000</t>
  </si>
  <si>
    <t>Hoshino Resorts Hawaii LLC</t>
  </si>
  <si>
    <t>Surfjack Hotel &amp; Swim Club</t>
  </si>
  <si>
    <t xml:space="preserve">412 Lewers Street </t>
  </si>
  <si>
    <t>Lynette Eastman</t>
  </si>
  <si>
    <t>+1 (808) 923-8882</t>
  </si>
  <si>
    <t>Surfsand</t>
  </si>
  <si>
    <t xml:space="preserve">148 West Gower </t>
  </si>
  <si>
    <t>+1 (503) 436-2002</t>
  </si>
  <si>
    <t>Surfside Beach Resort</t>
  </si>
  <si>
    <t xml:space="preserve">15 South Ocean Boulevard </t>
  </si>
  <si>
    <t>Kathy Harbaugh</t>
  </si>
  <si>
    <t>Phil Vassar</t>
  </si>
  <si>
    <t>+1 (843) 238-4444</t>
  </si>
  <si>
    <t>Surfside Inn</t>
  </si>
  <si>
    <t xml:space="preserve">543 Commercial Street </t>
  </si>
  <si>
    <t>Cindy Ladd</t>
  </si>
  <si>
    <t>Jacqui Frost</t>
  </si>
  <si>
    <t>+ (508) 487-1726</t>
  </si>
  <si>
    <t>Surfwatch</t>
  </si>
  <si>
    <t xml:space="preserve">10 Fifth Street </t>
  </si>
  <si>
    <t>Case Spencer</t>
  </si>
  <si>
    <t>Kevin Martin</t>
  </si>
  <si>
    <t>+1 (843) 363-3400</t>
  </si>
  <si>
    <t>Sweetwater Country Club</t>
  </si>
  <si>
    <t xml:space="preserve">4400 Palm Royale BLVD </t>
  </si>
  <si>
    <t>Gary Ray</t>
  </si>
  <si>
    <t>+ (281) 980-4100</t>
  </si>
  <si>
    <t>Swissotel Chicago</t>
  </si>
  <si>
    <t xml:space="preserve">323 East Upper Wacker Drive </t>
  </si>
  <si>
    <t>Swissotel</t>
  </si>
  <si>
    <t>Ted Selogie</t>
  </si>
  <si>
    <t>+ (312) 565-0565</t>
  </si>
  <si>
    <t>Talisker Club</t>
  </si>
  <si>
    <t xml:space="preserve">9861 North Tuhaye Drive </t>
  </si>
  <si>
    <t>Tuhaye</t>
  </si>
  <si>
    <t>John Neil</t>
  </si>
  <si>
    <t>Lenny Whitney</t>
  </si>
  <si>
    <t>+1 (435) 572-4808</t>
  </si>
  <si>
    <t>Tamarack Golf Club</t>
  </si>
  <si>
    <t xml:space="preserve">24032 Royal Worlington Drive </t>
  </si>
  <si>
    <t>Luke Covey</t>
  </si>
  <si>
    <t>+1 (630) 904-4000</t>
  </si>
  <si>
    <t>Tamarack Resort</t>
  </si>
  <si>
    <t>311 Village Drive Canoe Grill</t>
  </si>
  <si>
    <t>Tamarack</t>
  </si>
  <si>
    <t>Mike Rambo</t>
  </si>
  <si>
    <t>+1 (208) 325-1000</t>
  </si>
  <si>
    <t>Tamarind Autograph Collection Barbados</t>
  </si>
  <si>
    <t xml:space="preserve">Payne's Bay </t>
  </si>
  <si>
    <t>Adrian Grant</t>
  </si>
  <si>
    <t>+1 (246) 432-1332</t>
  </si>
  <si>
    <t>Tampa Club</t>
  </si>
  <si>
    <t>101 East Kennedy Boulevard Ste 4200</t>
  </si>
  <si>
    <t>Tim Jarrett</t>
  </si>
  <si>
    <t>+1 (813) 229-6028</t>
  </si>
  <si>
    <t>Tampa Marriott Water Street</t>
  </si>
  <si>
    <t xml:space="preserve">700 South Florida Ave </t>
  </si>
  <si>
    <t>Jeff Bremer</t>
  </si>
  <si>
    <t>(813) 221-4900</t>
  </si>
  <si>
    <t>Tampa Palms Golf &amp; Country Club</t>
  </si>
  <si>
    <t xml:space="preserve">5811 Tampa Palms BLVD </t>
  </si>
  <si>
    <t>David DiRenzo</t>
  </si>
  <si>
    <t>+ (813) 972-1991</t>
  </si>
  <si>
    <t xml:space="preserve">Tapatio Springs Resort &amp; Spa </t>
  </si>
  <si>
    <t xml:space="preserve">1 Resort Way </t>
  </si>
  <si>
    <t>Boerne</t>
  </si>
  <si>
    <t>Caleb DuBose</t>
  </si>
  <si>
    <t>Arash Kalantari</t>
  </si>
  <si>
    <t>+1 (830) 537-4611</t>
  </si>
  <si>
    <t>Tartan Fields Golf Club</t>
  </si>
  <si>
    <t xml:space="preserve">8070 Tartan Fields DR </t>
  </si>
  <si>
    <t>Damon Aswad</t>
  </si>
  <si>
    <t>+ (614) 792-0900</t>
  </si>
  <si>
    <t>Tatum Ranch Golf Club</t>
  </si>
  <si>
    <t xml:space="preserve">29888 North Tatum Ranch Drive </t>
  </si>
  <si>
    <t>Cave Creek</t>
  </si>
  <si>
    <t>Frank Gonzalez-Granillo</t>
  </si>
  <si>
    <t>+1 (480) 585-2399</t>
  </si>
  <si>
    <t>Teal Bend Golf Club</t>
  </si>
  <si>
    <t xml:space="preserve">7200 Garden Hwy </t>
  </si>
  <si>
    <t>Robert Ferreira</t>
  </si>
  <si>
    <t>+ (916) 922-5209</t>
  </si>
  <si>
    <t>Teaneck Marriott at Glenpointe</t>
  </si>
  <si>
    <t xml:space="preserve">100 Frank W Burr Boulevard </t>
  </si>
  <si>
    <t>Andrew Duymovic</t>
  </si>
  <si>
    <t>Richard Mortellaro</t>
  </si>
  <si>
    <t>(201) 836-0600</t>
  </si>
  <si>
    <t>Tempe Mission Palms Hotel and Conference Center</t>
  </si>
  <si>
    <t xml:space="preserve">60 E 5th Street </t>
  </si>
  <si>
    <t>Eric Sather</t>
  </si>
  <si>
    <t>David Fuller</t>
  </si>
  <si>
    <t>+1 (480) 894-1400</t>
  </si>
  <si>
    <t>Temple Hills Country Club</t>
  </si>
  <si>
    <t xml:space="preserve">6376 Temple Road </t>
  </si>
  <si>
    <t>Kenneth Young</t>
  </si>
  <si>
    <t>Zina Gann</t>
  </si>
  <si>
    <t>+1 (615) 646-4785</t>
  </si>
  <si>
    <t>Texas Tech Club</t>
  </si>
  <si>
    <t xml:space="preserve">2508 6th Street @ Jones AT&amp;T Stadium </t>
  </si>
  <si>
    <t>Stefan Sperlich</t>
  </si>
  <si>
    <t>Tana Lynn</t>
  </si>
  <si>
    <t>+1 (877) 696 0858</t>
  </si>
  <si>
    <t>The 1912 Club LLC</t>
  </si>
  <si>
    <t>The 1912 Club</t>
  </si>
  <si>
    <t xml:space="preserve">888 Plymouth Road </t>
  </si>
  <si>
    <t>Chris Hanson</t>
  </si>
  <si>
    <t>Jennifer Weisbrod</t>
  </si>
  <si>
    <t>+ (610) 272-4050</t>
  </si>
  <si>
    <t>The Abernathy Hotel</t>
  </si>
  <si>
    <t xml:space="preserve">157 Old Greenville Highway </t>
  </si>
  <si>
    <t>Barbara Shehan</t>
  </si>
  <si>
    <t>+1 (864) 654-5299</t>
  </si>
  <si>
    <t>The Admiral Fell Inn</t>
  </si>
  <si>
    <t xml:space="preserve">888 South Broadway </t>
  </si>
  <si>
    <t>Admiral Benbow</t>
  </si>
  <si>
    <t>Jonathan Holland</t>
  </si>
  <si>
    <t>+1 (410) 522-7380</t>
  </si>
  <si>
    <t>The Admiral Hotel</t>
  </si>
  <si>
    <t xml:space="preserve">251 Government Street </t>
  </si>
  <si>
    <t xml:space="preserve">Adam Devaney </t>
  </si>
  <si>
    <t>+1 (251) 432-8000</t>
  </si>
  <si>
    <t>The Adolphus Autograph Collection</t>
  </si>
  <si>
    <t xml:space="preserve">1321 Commerce Street </t>
  </si>
  <si>
    <t>Michael Bridges</t>
  </si>
  <si>
    <t>Sam Tucker</t>
  </si>
  <si>
    <t>+1 (214) 742-8200</t>
  </si>
  <si>
    <t>The Alexandrian Autograph Collection</t>
  </si>
  <si>
    <t xml:space="preserve">480 King Street </t>
  </si>
  <si>
    <t>+1 (703) 549-6080</t>
  </si>
  <si>
    <t>The Alida Savannah a Tribute Portfolio Hotel</t>
  </si>
  <si>
    <t xml:space="preserve">412 Williamson Street </t>
  </si>
  <si>
    <t>+1 (912) 715-7000</t>
  </si>
  <si>
    <t>The Ambrose</t>
  </si>
  <si>
    <t xml:space="preserve">1255 20th Street </t>
  </si>
  <si>
    <t>Erik Kreft</t>
  </si>
  <si>
    <t>+1 (310) 315-1555</t>
  </si>
  <si>
    <t>The Anaheim Hotel</t>
  </si>
  <si>
    <t xml:space="preserve">1700 Harbor Boulevard </t>
  </si>
  <si>
    <t>Nathan Fitzgerald</t>
  </si>
  <si>
    <t>+1 (714) 772-5900</t>
  </si>
  <si>
    <t>The Arlington Resort Hotel &amp; Spa</t>
  </si>
  <si>
    <t xml:space="preserve">239 Central Avenue </t>
  </si>
  <si>
    <t>Alan Sims</t>
  </si>
  <si>
    <t xml:space="preserve">Gaye Hardin </t>
  </si>
  <si>
    <t>+1 (501) 623-7771</t>
  </si>
  <si>
    <t>The Armstrong Hotel</t>
  </si>
  <si>
    <t xml:space="preserve">259 South College Ave </t>
  </si>
  <si>
    <t>George Prine</t>
  </si>
  <si>
    <t>Troy Erickson</t>
  </si>
  <si>
    <t>+1(970) 484-3883</t>
  </si>
  <si>
    <t>The Art Hotel Denver A Curio Collection by Hilton</t>
  </si>
  <si>
    <t xml:space="preserve">1201 North Broadway </t>
  </si>
  <si>
    <t>Aaron Bajorek</t>
  </si>
  <si>
    <t>Jacob Staffin</t>
  </si>
  <si>
    <t>+1 (303) 572-8000</t>
  </si>
  <si>
    <t>The Aspen Mountain Residences</t>
  </si>
  <si>
    <t xml:space="preserve">415 East Dean Street </t>
  </si>
  <si>
    <t>Susan Dampier</t>
  </si>
  <si>
    <t>+1 (970) 429-9100</t>
  </si>
  <si>
    <t>The Atlantic Hotel Group Assets LLC</t>
  </si>
  <si>
    <t>The Atlantic Hotel &amp; Spa</t>
  </si>
  <si>
    <t xml:space="preserve">601 North Fort Lauderdale Beach Boulevard </t>
  </si>
  <si>
    <t>Andrew Jarrett</t>
  </si>
  <si>
    <t>Christopher Gould</t>
  </si>
  <si>
    <t>+1 (954) 567-8038</t>
  </si>
  <si>
    <t>The Auberge Residences at Esperanza</t>
  </si>
  <si>
    <t xml:space="preserve">Carretera Transpeninsular KM 6 Punta Ballena </t>
  </si>
  <si>
    <t>Marc Rodriguez</t>
  </si>
  <si>
    <t>The Bacara Ritz-Carlton Santa Barbara</t>
  </si>
  <si>
    <t xml:space="preserve">8301 Hollister Avenue </t>
  </si>
  <si>
    <t>Ashley Webster</t>
  </si>
  <si>
    <t>Brian Sepanik</t>
  </si>
  <si>
    <t>+1 (805) 968-0100</t>
  </si>
  <si>
    <t>The Barfield Autograph Collection</t>
  </si>
  <si>
    <t xml:space="preserve">600 South Polk Street </t>
  </si>
  <si>
    <t>Jeff Kramer</t>
  </si>
  <si>
    <t>Patrick Dougherty</t>
  </si>
  <si>
    <t>+1 (806) 414-2200</t>
  </si>
  <si>
    <t>The Barrington Hotel</t>
  </si>
  <si>
    <t xml:space="preserve">1875 Barrington Street </t>
  </si>
  <si>
    <t>B3J 3L6</t>
  </si>
  <si>
    <t>+1 (902) 429-7410</t>
  </si>
  <si>
    <t>The Battle House Renaissance Mobile Hotel &amp; Spa</t>
  </si>
  <si>
    <t xml:space="preserve">26 North Royal Street </t>
  </si>
  <si>
    <t>Margo Gilbert</t>
  </si>
  <si>
    <t>+1 (251) 415-3086</t>
  </si>
  <si>
    <t>Buzzard's Bay Golf Properties</t>
  </si>
  <si>
    <t>The Bay Club at Mattapoisett</t>
  </si>
  <si>
    <t xml:space="preserve">63 Country Rd </t>
  </si>
  <si>
    <t>Mattapoisett</t>
  </si>
  <si>
    <t>Greg Yeomans</t>
  </si>
  <si>
    <t>+1 (508) 758-9806</t>
  </si>
  <si>
    <t>The Beach Club</t>
  </si>
  <si>
    <t xml:space="preserve">925 Beach Club Trail </t>
  </si>
  <si>
    <t>marie Fulmer</t>
  </si>
  <si>
    <t>Tony Marzullo</t>
  </si>
  <si>
    <t>+1 (866) 966-6451</t>
  </si>
  <si>
    <t>The Beach House</t>
  </si>
  <si>
    <t xml:space="preserve">1 South Forest Beach Drive </t>
  </si>
  <si>
    <t>Jeff Elseser</t>
  </si>
  <si>
    <t>Michelle Rosenberg Jakubowski</t>
  </si>
  <si>
    <t>+1 (843) 785-5126</t>
  </si>
  <si>
    <t>The Beekman Hotel A Thompson Hotel</t>
  </si>
  <si>
    <t xml:space="preserve">115 Nassau Street </t>
  </si>
  <si>
    <t>Justin Kellerman</t>
  </si>
  <si>
    <t>Scott Case</t>
  </si>
  <si>
    <t>+1 (212) 233-2300</t>
  </si>
  <si>
    <t xml:space="preserve">The Bellevue Hotel </t>
  </si>
  <si>
    <t xml:space="preserve">200 South Broad Street </t>
  </si>
  <si>
    <t>Brian Lang</t>
  </si>
  <si>
    <t>Trinise Avery</t>
  </si>
  <si>
    <t>+ (215) 893-1234</t>
  </si>
  <si>
    <t>The Berkeley Hotel</t>
  </si>
  <si>
    <t xml:space="preserve">1200 East Cary Street </t>
  </si>
  <si>
    <t>Kevin Miller</t>
  </si>
  <si>
    <t>Lee Sutton</t>
  </si>
  <si>
    <t>+1 (804) 780-1300</t>
  </si>
  <si>
    <t>The Bethesdan Hotel Tapestry Collection</t>
  </si>
  <si>
    <t xml:space="preserve">8120 Wisconsin Avenue </t>
  </si>
  <si>
    <t>Steve Wieder</t>
  </si>
  <si>
    <t>+1 (301)-652-2000</t>
  </si>
  <si>
    <t>The Betsy Inc.</t>
  </si>
  <si>
    <t xml:space="preserve">The Betsy South Beach </t>
  </si>
  <si>
    <t xml:space="preserve">1440 Ocean Drive </t>
  </si>
  <si>
    <t>Jonathan Plutzik</t>
  </si>
  <si>
    <t>+1 (305) 531-3934</t>
  </si>
  <si>
    <t>The Black Fox Lodge Pigeon Forge</t>
  </si>
  <si>
    <t xml:space="preserve">3171 Parkway </t>
  </si>
  <si>
    <t>John Patterson</t>
  </si>
  <si>
    <t>Sarah Crisp</t>
  </si>
  <si>
    <t>+1(865)774-4000</t>
  </si>
  <si>
    <t>The Blackstone Hotel Autograph Collection</t>
  </si>
  <si>
    <t xml:space="preserve">636 South Michigan Ave. </t>
  </si>
  <si>
    <t xml:space="preserve">Pierre-Louis Giacotto </t>
  </si>
  <si>
    <t>+1 (312) 765-0568</t>
  </si>
  <si>
    <t>The Blue Moon Hotel</t>
  </si>
  <si>
    <t xml:space="preserve">944 Collins Avenue </t>
  </si>
  <si>
    <t>+1 (305) 673-2262</t>
  </si>
  <si>
    <t>The Bluff</t>
  </si>
  <si>
    <t xml:space="preserve">630 West Bay Street </t>
  </si>
  <si>
    <t>Ron Jean</t>
  </si>
  <si>
    <t>+1 (912) 629-2001</t>
  </si>
  <si>
    <t>The Boxer</t>
  </si>
  <si>
    <t xml:space="preserve">107 Merrimac Street </t>
  </si>
  <si>
    <t>Cathy O’Brien</t>
  </si>
  <si>
    <t>+1 (617) 624-0202</t>
  </si>
  <si>
    <t>The Bozeman Rialto</t>
  </si>
  <si>
    <t xml:space="preserve">10 West Main Street </t>
  </si>
  <si>
    <t>Matthew Beehler</t>
  </si>
  <si>
    <t>+1(406)-404-7911</t>
  </si>
  <si>
    <t>The Brazilian Court Hotel and Condominium</t>
  </si>
  <si>
    <t xml:space="preserve">301 Australian Avenue </t>
  </si>
  <si>
    <t>Angie Pena</t>
  </si>
  <si>
    <t>Leticia Bilotta</t>
  </si>
  <si>
    <t>+1 (561) 655-7740</t>
  </si>
  <si>
    <t>The Breakers Resort</t>
  </si>
  <si>
    <t>2006 N. Ocean Blvd. PO Box 485</t>
  </si>
  <si>
    <t>Amanda Warren</t>
  </si>
  <si>
    <t>Corey Shaw</t>
  </si>
  <si>
    <t>+1 (843) 626-5000</t>
  </si>
  <si>
    <t>The Bristol Hotel</t>
  </si>
  <si>
    <t xml:space="preserve">1055 First Avenue </t>
  </si>
  <si>
    <t>Rick Crowder</t>
  </si>
  <si>
    <t>+1 (619) 232.6141</t>
  </si>
  <si>
    <t xml:space="preserve">The Bristol Hotel </t>
  </si>
  <si>
    <t xml:space="preserve">510 Birthplace of Country Music Way </t>
  </si>
  <si>
    <t>Sean Copley</t>
  </si>
  <si>
    <t>Rhonda Richardson</t>
  </si>
  <si>
    <t>+1 (276) 696-3535</t>
  </si>
  <si>
    <t>The Broadview Hotel</t>
  </si>
  <si>
    <t xml:space="preserve">106 Broadview Avenue </t>
  </si>
  <si>
    <t>M4M 1G9</t>
  </si>
  <si>
    <t>Kieran Roberts</t>
  </si>
  <si>
    <t>+1 (416) 362-8439</t>
  </si>
  <si>
    <t>The Brown Hotel</t>
  </si>
  <si>
    <t xml:space="preserve">335 W Broadway </t>
  </si>
  <si>
    <t>Brad Walker</t>
  </si>
  <si>
    <t>Jennifer Hutchins</t>
  </si>
  <si>
    <t>+1 (502) 583-1234</t>
  </si>
  <si>
    <t>The Brown Palace Hotel and Spa Autograph Collection</t>
  </si>
  <si>
    <t xml:space="preserve">321 17th Street </t>
  </si>
  <si>
    <t>Austin Fredregill</t>
  </si>
  <si>
    <t>+ (303) 297-3111</t>
  </si>
  <si>
    <t>The Brownwood Hotel &amp; Spa</t>
  </si>
  <si>
    <t xml:space="preserve">3003 Brownwood Boulevard </t>
  </si>
  <si>
    <t>Gilles Cassiani</t>
  </si>
  <si>
    <t>+1 (352) 626-1246</t>
  </si>
  <si>
    <t>The Bungalow - The Union League</t>
  </si>
  <si>
    <t xml:space="preserve">222 81st Street </t>
  </si>
  <si>
    <t>+1 (267) 226-6231</t>
  </si>
  <si>
    <t>The Cadence</t>
  </si>
  <si>
    <t xml:space="preserve">200 Rainbow Boulevard </t>
  </si>
  <si>
    <t>Jessica Daigler</t>
  </si>
  <si>
    <t>+1(716)285-7316</t>
  </si>
  <si>
    <t>The Camby Autograph Collection</t>
  </si>
  <si>
    <t xml:space="preserve">2401 East Camelback Road </t>
  </si>
  <si>
    <t>Christine Menzel</t>
  </si>
  <si>
    <t>Adrian Duran</t>
  </si>
  <si>
    <t>+1 (602) 468-0700</t>
  </si>
  <si>
    <t>The Cape A Thompson Hotel</t>
  </si>
  <si>
    <t xml:space="preserve">5.5 Transpeninsular Highway El Paraje </t>
  </si>
  <si>
    <t>Angeles Islas</t>
  </si>
  <si>
    <t>+1 (877) 793-8527</t>
  </si>
  <si>
    <t>The Carlyle</t>
  </si>
  <si>
    <t xml:space="preserve">35 East 76th Street </t>
  </si>
  <si>
    <t>Andrew Archibald</t>
  </si>
  <si>
    <t>Anthony McHale</t>
  </si>
  <si>
    <t>+1 (212) 744-1600</t>
  </si>
  <si>
    <t>The Carolina Inn</t>
  </si>
  <si>
    <t xml:space="preserve">211 Pittsboro Street </t>
  </si>
  <si>
    <t>Mark Sherburne</t>
  </si>
  <si>
    <t>+ (919) 933-2001</t>
  </si>
  <si>
    <t>The Carriage Inn</t>
  </si>
  <si>
    <t xml:space="preserve">140 7th Street </t>
  </si>
  <si>
    <t>+1 (415) 552-8600</t>
  </si>
  <si>
    <t>The Casablanca Hotel</t>
  </si>
  <si>
    <t xml:space="preserve">4 Windward Drive </t>
  </si>
  <si>
    <t>Grimsby</t>
  </si>
  <si>
    <t>L3M 4E8</t>
  </si>
  <si>
    <t>Paul Sutton</t>
  </si>
  <si>
    <t>+1 (905) 309-7171</t>
  </si>
  <si>
    <t>The Cassara Carlsbad Tapestry Collection</t>
  </si>
  <si>
    <t xml:space="preserve">5805 Armada Drive </t>
  </si>
  <si>
    <t>Paul Stearns</t>
  </si>
  <si>
    <t>Samantha Beszeditz</t>
  </si>
  <si>
    <t>+1 (760) 827-3232</t>
  </si>
  <si>
    <t>The Castle Hotel Autograph Collection</t>
  </si>
  <si>
    <t xml:space="preserve">8629 International DR </t>
  </si>
  <si>
    <t>+ (407) 345-1511</t>
  </si>
  <si>
    <t>The Celeste Hotel</t>
  </si>
  <si>
    <t xml:space="preserve">4105 North Alafaya Trail </t>
  </si>
  <si>
    <t>+1 (407) 207-4700</t>
  </si>
  <si>
    <t>The Center Hotel</t>
  </si>
  <si>
    <t xml:space="preserve">7736 Adrienne Drive </t>
  </si>
  <si>
    <t>Denise Maiatico</t>
  </si>
  <si>
    <t>+1 (610) 391-1000</t>
  </si>
  <si>
    <t>The Chambers Hotel</t>
  </si>
  <si>
    <t xml:space="preserve">901 Hennepin Ave </t>
  </si>
  <si>
    <t xml:space="preserve">Peter Zellmer </t>
  </si>
  <si>
    <t>+1(612)767-6900</t>
  </si>
  <si>
    <t>The Chattanoogan</t>
  </si>
  <si>
    <t xml:space="preserve">1201 South Broad Street </t>
  </si>
  <si>
    <t>Patricia Martinez</t>
  </si>
  <si>
    <t>+1 (423) 756-3400</t>
  </si>
  <si>
    <t>The Churchill Hotel</t>
  </si>
  <si>
    <t xml:space="preserve">1914 Connecticut Ave. N.W. </t>
  </si>
  <si>
    <t>John Whippen</t>
  </si>
  <si>
    <t>+1 (202) 797-2000</t>
  </si>
  <si>
    <t>The Clancy an Autograph Collection Hotel</t>
  </si>
  <si>
    <t xml:space="preserve">299 Second Street </t>
  </si>
  <si>
    <t>Jim Bess</t>
  </si>
  <si>
    <t>+1 (415) 947-0700</t>
  </si>
  <si>
    <t>The Clement Monterey</t>
  </si>
  <si>
    <t xml:space="preserve">750 Cannery Row </t>
  </si>
  <si>
    <t>John Turner</t>
  </si>
  <si>
    <t>+1 (831) 375-4500</t>
  </si>
  <si>
    <t>The Clement Palo Alto</t>
  </si>
  <si>
    <t xml:space="preserve">711 El Camino Real </t>
  </si>
  <si>
    <t>Sebastian Stacey</t>
  </si>
  <si>
    <t>+1 (650) 322-7111</t>
  </si>
  <si>
    <t>The Cleveland Skating Club</t>
  </si>
  <si>
    <t xml:space="preserve">2500 Kemper Road </t>
  </si>
  <si>
    <t>Alan Feuerman</t>
  </si>
  <si>
    <t>Hamed Jento</t>
  </si>
  <si>
    <t>+1 (216) 791-2800</t>
  </si>
  <si>
    <t>The Cliff House at Pikes Peak</t>
  </si>
  <si>
    <t xml:space="preserve">306 Canon Avenue </t>
  </si>
  <si>
    <t>Manitou Springs</t>
  </si>
  <si>
    <t>Patrick Wilson</t>
  </si>
  <si>
    <t>Emily Swain</t>
  </si>
  <si>
    <t>+1 (719) 685-3000</t>
  </si>
  <si>
    <t>The Clift Royal Sonesta Hotel</t>
  </si>
  <si>
    <t xml:space="preserve">495 Geary Street </t>
  </si>
  <si>
    <t>Christy Chan</t>
  </si>
  <si>
    <t>Benjamin Duverge</t>
  </si>
  <si>
    <t>+1 (415) 775-4700</t>
  </si>
  <si>
    <t>The Clock Tower New York Edition</t>
  </si>
  <si>
    <t xml:space="preserve">5 Madison Avenue </t>
  </si>
  <si>
    <t>William Rentschler</t>
  </si>
  <si>
    <t>Angela DeLasalas</t>
  </si>
  <si>
    <t>+1 (212) 413-4200</t>
  </si>
  <si>
    <t>The Club at MCO Airside 1</t>
  </si>
  <si>
    <t xml:space="preserve">9102 Jeff Fuqua Boulevard </t>
  </si>
  <si>
    <t>Ariana Pastrana</t>
  </si>
  <si>
    <t>The Club at Pelican Bay Inc.</t>
  </si>
  <si>
    <t xml:space="preserve">707 Gulf Park Drive </t>
  </si>
  <si>
    <t>David Mangan</t>
  </si>
  <si>
    <t>Sue Davenport</t>
  </si>
  <si>
    <t>+1 (239) 597-1183</t>
  </si>
  <si>
    <t>The Club at Pradera</t>
  </si>
  <si>
    <t xml:space="preserve">5225 Raintree Drive </t>
  </si>
  <si>
    <t>Danny Flanagan</t>
  </si>
  <si>
    <t>+1 (303) 607-5672</t>
  </si>
  <si>
    <t>The Club at Savannah Harbor</t>
  </si>
  <si>
    <t>+1 (912) 201-2055</t>
  </si>
  <si>
    <t>The Club at Snoqualmie Ridge</t>
  </si>
  <si>
    <t xml:space="preserve">36005 Southeast Ridge Street </t>
  </si>
  <si>
    <t>Snoqualmie</t>
  </si>
  <si>
    <t>James Hochrine</t>
  </si>
  <si>
    <t>Leslie Ludlow</t>
  </si>
  <si>
    <t>+1 (425) 396-6000</t>
  </si>
  <si>
    <t>The Club at Sonterra</t>
  </si>
  <si>
    <t xml:space="preserve">901 Sonterra Boulevard </t>
  </si>
  <si>
    <t>Hagen Cleek</t>
  </si>
  <si>
    <t>+ (210) 496-1560</t>
  </si>
  <si>
    <t>The Club LAS T-1 D</t>
  </si>
  <si>
    <t xml:space="preserve">5757 Wayne Newton Boulevard </t>
  </si>
  <si>
    <t>Maria Allen</t>
  </si>
  <si>
    <t>+1 (702) 241-8686</t>
  </si>
  <si>
    <t>The Collective Seattle</t>
  </si>
  <si>
    <t xml:space="preserve">400 Dexter Avenue North </t>
  </si>
  <si>
    <t>Juan Garcia</t>
  </si>
  <si>
    <t>+1(206)853.7600</t>
  </si>
  <si>
    <t>The Collector Luxury Inn &amp; Garden</t>
  </si>
  <si>
    <t xml:space="preserve">149 Cordova Street </t>
  </si>
  <si>
    <t>Charlie Robles</t>
  </si>
  <si>
    <t>+1 (904) 209-5800</t>
  </si>
  <si>
    <t>Fargo Colonial LLC</t>
  </si>
  <si>
    <t>The Colonial Terrace</t>
  </si>
  <si>
    <t>13th &amp; San Antonio Avenue P.O. Box 1375</t>
  </si>
  <si>
    <t>Kim Avant</t>
  </si>
  <si>
    <t>+1 (831) 624-2741</t>
  </si>
  <si>
    <t>The Commodore Perry Estate</t>
  </si>
  <si>
    <t xml:space="preserve">4100 Red River Street </t>
  </si>
  <si>
    <t>Marco Bustamante</t>
  </si>
  <si>
    <t>Ana Aguilar</t>
  </si>
  <si>
    <t>+1 (512) 364-1034</t>
  </si>
  <si>
    <t>The Confidante</t>
  </si>
  <si>
    <t xml:space="preserve">4041 Collins Avenue </t>
  </si>
  <si>
    <t>Amy Johnson</t>
  </si>
  <si>
    <t>Kemp Dowdy</t>
  </si>
  <si>
    <t>+1 (786) 605-4041</t>
  </si>
  <si>
    <t>The Cornhusker Hotel A Marriott Hotel</t>
  </si>
  <si>
    <t xml:space="preserve">333 South 13th Street </t>
  </si>
  <si>
    <t>Susan Madsen</t>
  </si>
  <si>
    <t>+1 (402) 474-7474</t>
  </si>
  <si>
    <t>The Courses at Forest Park</t>
  </si>
  <si>
    <t xml:space="preserve">6141 Lagoon Drive </t>
  </si>
  <si>
    <t>Matt Kaiser</t>
  </si>
  <si>
    <t>+1 (314) 367-1337</t>
  </si>
  <si>
    <t>The Crawford Hotel</t>
  </si>
  <si>
    <t xml:space="preserve">1701 Wynkoop Street </t>
  </si>
  <si>
    <t>Laura Palese</t>
  </si>
  <si>
    <t>Audrey Melville</t>
  </si>
  <si>
    <t>+1(702)460-3700</t>
  </si>
  <si>
    <t>The Crockett Hotel</t>
  </si>
  <si>
    <t xml:space="preserve">320 Bonham </t>
  </si>
  <si>
    <t>Bill Brendel</t>
  </si>
  <si>
    <t>Margarita Malabanan</t>
  </si>
  <si>
    <t>+1 (210) 225-6500</t>
  </si>
  <si>
    <t>The Current Hotel Autograph Collection</t>
  </si>
  <si>
    <t xml:space="preserve">2545 North Rocky Point Drive </t>
  </si>
  <si>
    <t>Andrew Nielson</t>
  </si>
  <si>
    <t>+1(813)281-2545</t>
  </si>
  <si>
    <t>The Curtis - A Doubletree Hotel</t>
  </si>
  <si>
    <t xml:space="preserve">1405 Curtis Street </t>
  </si>
  <si>
    <t>Lizzie Raudenbush</t>
  </si>
  <si>
    <t>Brian Weiss</t>
  </si>
  <si>
    <t>+1 (303) 571-0300</t>
  </si>
  <si>
    <t>The Davenport Grand</t>
  </si>
  <si>
    <t xml:space="preserve">333 West Spokane Falls Boulevard </t>
  </si>
  <si>
    <t>+1 (509) 789-6820</t>
  </si>
  <si>
    <t>The Davenport Tower Autograph Collection</t>
  </si>
  <si>
    <t xml:space="preserve">111 South Post Street </t>
  </si>
  <si>
    <t>Dan Zimmerer</t>
  </si>
  <si>
    <t>+1(509) 455-8888</t>
  </si>
  <si>
    <t>The Daytona Autograph Collection</t>
  </si>
  <si>
    <t xml:space="preserve">1870 Victory Circle </t>
  </si>
  <si>
    <t>Matt Karow</t>
  </si>
  <si>
    <t>+1 (386) 323-9777</t>
  </si>
  <si>
    <t xml:space="preserve">The Delta Hotel Orlando Lake Buena Vista </t>
  </si>
  <si>
    <t xml:space="preserve">12490 South Apopka Vineland Road </t>
  </si>
  <si>
    <t>Darin Rasmus</t>
  </si>
  <si>
    <t>Will White</t>
  </si>
  <si>
    <t>+1 (407) 387-9999</t>
  </si>
  <si>
    <t>246 Spring Street (NY) LLC</t>
  </si>
  <si>
    <t>The Dominick</t>
  </si>
  <si>
    <t xml:space="preserve">246 Spring Street </t>
  </si>
  <si>
    <t xml:space="preserve">Justine McCleery </t>
  </si>
  <si>
    <t>Adil Essalih</t>
  </si>
  <si>
    <t>+1 (212) 842-5500</t>
  </si>
  <si>
    <t>The Dominion Country Club</t>
  </si>
  <si>
    <t xml:space="preserve">1 Dominion Drive </t>
  </si>
  <si>
    <t>Franck Mannechez</t>
  </si>
  <si>
    <t>Justin Jafarian</t>
  </si>
  <si>
    <t>+1 (210) 698-1146</t>
  </si>
  <si>
    <t>The Doubletree Austin Hotel</t>
  </si>
  <si>
    <t xml:space="preserve">6505 North Interstate 35 </t>
  </si>
  <si>
    <t>James Prendeville</t>
  </si>
  <si>
    <t>Melissa Daniel</t>
  </si>
  <si>
    <t>+ 1 (512) 454-3737</t>
  </si>
  <si>
    <t>The Douglas Vancouver Autograph Collection</t>
  </si>
  <si>
    <t xml:space="preserve">45 Smithe Street </t>
  </si>
  <si>
    <t>V6B 1C2</t>
  </si>
  <si>
    <t>+1(604) 566-8808</t>
  </si>
  <si>
    <t>The Draftsman Autograph Collection</t>
  </si>
  <si>
    <t>Walter Burton</t>
  </si>
  <si>
    <t>+1 (434) 244-7902</t>
  </si>
  <si>
    <t>The Drake Oak Brook Autograph Collection (OBD)</t>
  </si>
  <si>
    <t xml:space="preserve">2301 York Road </t>
  </si>
  <si>
    <t>Carlos Moctezuma</t>
  </si>
  <si>
    <t>Lee Hoener</t>
  </si>
  <si>
    <t>+1(630)545-5500</t>
  </si>
  <si>
    <t>The Driskill</t>
  </si>
  <si>
    <t xml:space="preserve">604 Brazos Street </t>
  </si>
  <si>
    <t>+ (512) 474-5911</t>
  </si>
  <si>
    <t>KNR Hospitality Group LLC</t>
  </si>
  <si>
    <t>The Dutch Miami Beach</t>
  </si>
  <si>
    <t xml:space="preserve">2201 Collins Avenue </t>
  </si>
  <si>
    <t xml:space="preserve">Joe Weis </t>
  </si>
  <si>
    <t xml:space="preserve">Jose Dubon </t>
  </si>
  <si>
    <t>+1 (305) 938-3140</t>
  </si>
  <si>
    <t>Nittany Trails LLC</t>
  </si>
  <si>
    <t>The Eagles Golf Club</t>
  </si>
  <si>
    <t xml:space="preserve">16101 Nine Eagles Drive </t>
  </si>
  <si>
    <t>John Russell</t>
  </si>
  <si>
    <t>Brian Richter</t>
  </si>
  <si>
    <t>+1 (813) 920-6681</t>
  </si>
  <si>
    <t>The Edwin Hotel Autograph Collection</t>
  </si>
  <si>
    <t xml:space="preserve">102 Walnut Street </t>
  </si>
  <si>
    <t>Bill Simmons</t>
  </si>
  <si>
    <t>+1(423)713-5900</t>
  </si>
  <si>
    <t>The El Paso Club</t>
  </si>
  <si>
    <t xml:space="preserve">30 East Platte Avenue </t>
  </si>
  <si>
    <t>Co Spgs</t>
  </si>
  <si>
    <t>Thomas Hardin</t>
  </si>
  <si>
    <t>Dion Samsel</t>
  </si>
  <si>
    <t>+1(719)634-1564</t>
  </si>
  <si>
    <t>The Elizabeth Hotel Autograph Collection</t>
  </si>
  <si>
    <t xml:space="preserve">111 Chestnut St </t>
  </si>
  <si>
    <t>Ft Collins</t>
  </si>
  <si>
    <t>Dragan Andrejic</t>
  </si>
  <si>
    <t>The Ellery</t>
  </si>
  <si>
    <t>+1 (413) 584-7660</t>
  </si>
  <si>
    <t xml:space="preserve">The Elms Resort &amp; Spa </t>
  </si>
  <si>
    <t xml:space="preserve">401 Regent Street </t>
  </si>
  <si>
    <t>Excelsior Springs</t>
  </si>
  <si>
    <t>John Mormino</t>
  </si>
  <si>
    <t>+1 (816) 630-5500</t>
  </si>
  <si>
    <t>The Emily Morgan San Antonio a Doubletree by Hilton</t>
  </si>
  <si>
    <t xml:space="preserve">705 East Houston Street </t>
  </si>
  <si>
    <t>Kole Siefken</t>
  </si>
  <si>
    <t>+1 (210) 225-5100</t>
  </si>
  <si>
    <t>The Envoy Hotel</t>
  </si>
  <si>
    <t xml:space="preserve">70 Sleeper Street </t>
  </si>
  <si>
    <t>Joe Mellia</t>
  </si>
  <si>
    <t>Joshua Glover</t>
  </si>
  <si>
    <t>+1 (617) 338-3030</t>
  </si>
  <si>
    <t>The Fairmont Banff Springs</t>
  </si>
  <si>
    <t>405 Spray Ave P.O. Box 960</t>
  </si>
  <si>
    <t>T1L 1J4</t>
  </si>
  <si>
    <t>Chris Mummery</t>
  </si>
  <si>
    <t>David Garcelon</t>
  </si>
  <si>
    <t>+ (403) 762-2211</t>
  </si>
  <si>
    <t>The Fairmont Chateau Lake Louise</t>
  </si>
  <si>
    <t xml:space="preserve">111 Lake Louise Dr </t>
  </si>
  <si>
    <t>Lake Louise</t>
  </si>
  <si>
    <t>T0L 1E0</t>
  </si>
  <si>
    <t>Tracy Lowe</t>
  </si>
  <si>
    <t>+ (403) 522-3511</t>
  </si>
  <si>
    <t>The Fairmont Chateau Whistler</t>
  </si>
  <si>
    <t xml:space="preserve">4599 Chateau Blvd </t>
  </si>
  <si>
    <t>Norm Mastalir</t>
  </si>
  <si>
    <t>+ (604) 938-8000</t>
  </si>
  <si>
    <t>The Fairmont Copley Plaza Boston</t>
  </si>
  <si>
    <t xml:space="preserve">138 St. James Avenue </t>
  </si>
  <si>
    <t>George Terpilowski</t>
  </si>
  <si>
    <t>Reto Nigg</t>
  </si>
  <si>
    <t>+ (617) 267-5300</t>
  </si>
  <si>
    <t>The Fairmont Dallas</t>
  </si>
  <si>
    <t xml:space="preserve">1717 N. Akard Street </t>
  </si>
  <si>
    <t>Sven Richter</t>
  </si>
  <si>
    <t>Ken Royer</t>
  </si>
  <si>
    <t>+ (214) 720-2020</t>
  </si>
  <si>
    <t>The Fairmont Empress</t>
  </si>
  <si>
    <t xml:space="preserve">721 Government St </t>
  </si>
  <si>
    <t>V8W 1W5</t>
  </si>
  <si>
    <t>Dan McGowan</t>
  </si>
  <si>
    <t>Ryan Arquette</t>
  </si>
  <si>
    <t>+ (250) 384-8111</t>
  </si>
  <si>
    <t>The Fairmont Hamilton Princess</t>
  </si>
  <si>
    <t xml:space="preserve">76 Pitts Bay Rt </t>
  </si>
  <si>
    <t>Tim Morrison</t>
  </si>
  <si>
    <t>Allan Trew</t>
  </si>
  <si>
    <t>+1 (441) 295-3000</t>
  </si>
  <si>
    <t>The Fairmont Hotel Vancouver</t>
  </si>
  <si>
    <t xml:space="preserve">900 W Georgia St </t>
  </si>
  <si>
    <t>V6C 2W6</t>
  </si>
  <si>
    <t>Adam Laker</t>
  </si>
  <si>
    <t>+ (604) 684-3131</t>
  </si>
  <si>
    <t>The Fairmont Jasper Park Lodge</t>
  </si>
  <si>
    <t>1 Old Lodge Road PO Box 40</t>
  </si>
  <si>
    <t>Jasper</t>
  </si>
  <si>
    <t>T0E 1E0</t>
  </si>
  <si>
    <t>Marc Wawrin</t>
  </si>
  <si>
    <t>Wayne Hnatyshin</t>
  </si>
  <si>
    <t>+ (780) 852-3301</t>
  </si>
  <si>
    <t>The Fairmont Kea Lani Maui</t>
  </si>
  <si>
    <t>4100 Wailea Alanui Drive Maui</t>
  </si>
  <si>
    <t>Thomas (Tom) Houston</t>
  </si>
  <si>
    <t>+ (808) 875-4100</t>
  </si>
  <si>
    <t>The Fairmont Macdonald</t>
  </si>
  <si>
    <t xml:space="preserve">10065-100 St </t>
  </si>
  <si>
    <t>T5J 0N6</t>
  </si>
  <si>
    <t>Garrett Turta</t>
  </si>
  <si>
    <t>+ (780) 424-5181</t>
  </si>
  <si>
    <t>The Fairmont Mayakoba</t>
  </si>
  <si>
    <t>Carretera Federal Playa Cancun Km 298 Playa del Carmen Solidaridad</t>
  </si>
  <si>
    <t>Robert Woltering</t>
  </si>
  <si>
    <t>Gilles Paquet</t>
  </si>
  <si>
    <t>+52 (984) 873 4900</t>
  </si>
  <si>
    <t>The Fairmont Miramar Hotel Santa Monica</t>
  </si>
  <si>
    <t xml:space="preserve">101 Wilshire Boulevard </t>
  </si>
  <si>
    <t>Denise Martin</t>
  </si>
  <si>
    <t>j mess</t>
  </si>
  <si>
    <t>+ (310) 576-7777</t>
  </si>
  <si>
    <t>The Fairmont Olympic Hotel Seattle</t>
  </si>
  <si>
    <t xml:space="preserve">411 University Street </t>
  </si>
  <si>
    <t>Sunny Joseph</t>
  </si>
  <si>
    <t>Jesse Messitte</t>
  </si>
  <si>
    <t>+ (206) 621-1700</t>
  </si>
  <si>
    <t>The Fairmont Orchid Hawaii</t>
  </si>
  <si>
    <t xml:space="preserve">1 N Kaniku Drive </t>
  </si>
  <si>
    <t>Kohala Coast</t>
  </si>
  <si>
    <t>Tenille Ah Choy</t>
  </si>
  <si>
    <t>James Lucas</t>
  </si>
  <si>
    <t>+1 (808) 885-2000</t>
  </si>
  <si>
    <t>The Fairmont Palliser</t>
  </si>
  <si>
    <t xml:space="preserve">133-9th Ave SW </t>
  </si>
  <si>
    <t>T2P 2M3</t>
  </si>
  <si>
    <t>Ken Flores</t>
  </si>
  <si>
    <t>Fred Lai</t>
  </si>
  <si>
    <t>+ (403) 262-1234</t>
  </si>
  <si>
    <t>The Fairmont Royal Pavilion</t>
  </si>
  <si>
    <t xml:space="preserve">Porter </t>
  </si>
  <si>
    <t>Saint James</t>
  </si>
  <si>
    <t>Lloyda Springer</t>
  </si>
  <si>
    <t>Ryan Rearden</t>
  </si>
  <si>
    <t>+ (246) 422-5555</t>
  </si>
  <si>
    <t>The Fairmont Royal York</t>
  </si>
  <si>
    <t xml:space="preserve">100 Front Street West </t>
  </si>
  <si>
    <t>M5J 1E3</t>
  </si>
  <si>
    <t>Edwin Frizzell</t>
  </si>
  <si>
    <t>+ (416) 368-2511</t>
  </si>
  <si>
    <t>The Fairmont Sonoma Mission Inn &amp; Spa</t>
  </si>
  <si>
    <t xml:space="preserve">100 Boyes Blvd </t>
  </si>
  <si>
    <t>Boyes Hot Springs</t>
  </si>
  <si>
    <t>Edward Roe</t>
  </si>
  <si>
    <t>+1 (707) 938-9000</t>
  </si>
  <si>
    <t>The Fairmont Vancouver Airport</t>
  </si>
  <si>
    <t>3111 Grant McConachie Way P.O. Box 23798</t>
  </si>
  <si>
    <t>V7B 1X9</t>
  </si>
  <si>
    <t>Angela Plummer</t>
  </si>
  <si>
    <t>+ (604) 207-5200</t>
  </si>
  <si>
    <t>The Fairmont Waterfront</t>
  </si>
  <si>
    <t xml:space="preserve">900 Canada Place Way </t>
  </si>
  <si>
    <t>V6C 3L5</t>
  </si>
  <si>
    <t>Jean-Francois Vary</t>
  </si>
  <si>
    <t>+ (604) 691-1991</t>
  </si>
  <si>
    <t>The Fairmont Winnipeg</t>
  </si>
  <si>
    <t xml:space="preserve">2 Lombard PL </t>
  </si>
  <si>
    <t>R3B 0Y3</t>
  </si>
  <si>
    <t>Jacco Van Teeffelen</t>
  </si>
  <si>
    <t>Martin Milton</t>
  </si>
  <si>
    <t>+ (204) 957-1350</t>
  </si>
  <si>
    <t>Rancho Santa Fe Farms Golf Club Inc.</t>
  </si>
  <si>
    <t>The Farms Golf Club</t>
  </si>
  <si>
    <t xml:space="preserve">8500 St. Andrews Road </t>
  </si>
  <si>
    <t>Karissa Murdock</t>
  </si>
  <si>
    <t>Scott Heyn</t>
  </si>
  <si>
    <t>+ (858) 756-5585</t>
  </si>
  <si>
    <t>The Finch Walla Walla</t>
  </si>
  <si>
    <t xml:space="preserve">325 East Main street </t>
  </si>
  <si>
    <t>Heather Arns</t>
  </si>
  <si>
    <t>+1 (509) 956-4994</t>
  </si>
  <si>
    <t>The Florida Hotel and Conference Center - Company</t>
  </si>
  <si>
    <t>The Florida Hotel and Conference Center</t>
  </si>
  <si>
    <t xml:space="preserve">1500 Sand Lake Road </t>
  </si>
  <si>
    <t>Angella Barrett</t>
  </si>
  <si>
    <t>John Lamont</t>
  </si>
  <si>
    <t>+ (407) 859-1500</t>
  </si>
  <si>
    <t>The Fontaine Country Club Plaza</t>
  </si>
  <si>
    <t xml:space="preserve">901 West 48th Place </t>
  </si>
  <si>
    <t>Zac Alft</t>
  </si>
  <si>
    <t>+1 (816) 753-8800</t>
  </si>
  <si>
    <t>The Fort Worth Club of Fort Worth Texas</t>
  </si>
  <si>
    <t>The Fort Worth Club</t>
  </si>
  <si>
    <t xml:space="preserve">306 West 7th Street </t>
  </si>
  <si>
    <t>Michael Thackerson</t>
  </si>
  <si>
    <t>+1(817)632-0690</t>
  </si>
  <si>
    <t xml:space="preserve">MM HOTEL MANAGEMENT </t>
  </si>
  <si>
    <t>The Garden City Hotel</t>
  </si>
  <si>
    <t xml:space="preserve">45 Seventh Street </t>
  </si>
  <si>
    <t>Grady Colin</t>
  </si>
  <si>
    <t>Rocio Jimenez</t>
  </si>
  <si>
    <t>+1 (800) 547-0400</t>
  </si>
  <si>
    <t>The Garland</t>
  </si>
  <si>
    <t xml:space="preserve">4222 Vineland Avenue </t>
  </si>
  <si>
    <t>Scott Mills</t>
  </si>
  <si>
    <t>Branco Ramos</t>
  </si>
  <si>
    <t>+ (818) 980-8000</t>
  </si>
  <si>
    <t>The Germantown Cricket Club - Company</t>
  </si>
  <si>
    <t>The Germantown Cricket Club</t>
  </si>
  <si>
    <t xml:space="preserve">411 West Manheim Street </t>
  </si>
  <si>
    <t>Jeremy Einhorn</t>
  </si>
  <si>
    <t>+1 (215) 438-9900</t>
  </si>
  <si>
    <t>The Gladstone Hotel Toronto</t>
  </si>
  <si>
    <t xml:space="preserve">1214 Queen Street West </t>
  </si>
  <si>
    <t>M6J 1J6</t>
  </si>
  <si>
    <t>+1(416) 531-4635</t>
  </si>
  <si>
    <t>The Glenmark Glendale a Tribute Portfolio</t>
  </si>
  <si>
    <t xml:space="preserve">1100 North Brand Boulevard </t>
  </si>
  <si>
    <t>Kevin Briggs</t>
  </si>
  <si>
    <t>+1 (818) 900-2701</t>
  </si>
  <si>
    <t>The Godfrey Hotel</t>
  </si>
  <si>
    <t xml:space="preserve">127 West Huron </t>
  </si>
  <si>
    <t>Shardae Powell</t>
  </si>
  <si>
    <t>Todd Vanwinkle</t>
  </si>
  <si>
    <t>+1(312)649-2000</t>
  </si>
  <si>
    <t>The Godfrey Hotel &amp; Cabanas Tampa</t>
  </si>
  <si>
    <t xml:space="preserve">7700 West Courtney Campbell Causeway </t>
  </si>
  <si>
    <t>Shaun Kwiatkowski</t>
  </si>
  <si>
    <t>Joshua Hughes</t>
  </si>
  <si>
    <t>+1 (813) 281-8900</t>
  </si>
  <si>
    <t>The Golf Club At Fossil Creek</t>
  </si>
  <si>
    <t xml:space="preserve">3401 Club Gate Drive </t>
  </si>
  <si>
    <t>76137-2919</t>
  </si>
  <si>
    <t>Nic Edwards</t>
  </si>
  <si>
    <t>+1 (817) 847-1900</t>
  </si>
  <si>
    <t>The Golf Club at Twin Creeks</t>
  </si>
  <si>
    <t xml:space="preserve">501 Twin Creeks Drive </t>
  </si>
  <si>
    <t>75013-5476</t>
  </si>
  <si>
    <t>Zack Torres</t>
  </si>
  <si>
    <t>+1 (972) 390-8888</t>
  </si>
  <si>
    <t>The Good Hotel</t>
  </si>
  <si>
    <t xml:space="preserve">112 7th Street </t>
  </si>
  <si>
    <t>+1 (415) 621-7001</t>
  </si>
  <si>
    <t>The Grafton on Sunset</t>
  </si>
  <si>
    <t xml:space="preserve">8462 Sunset Boulevard </t>
  </si>
  <si>
    <t>Jason Jackson</t>
  </si>
  <si>
    <t>+1 (323) 654-4600</t>
  </si>
  <si>
    <t>The Grand America Hotel-Salt Lake City</t>
  </si>
  <si>
    <t xml:space="preserve">555 South Main Street </t>
  </si>
  <si>
    <t>Chris Erickson</t>
  </si>
  <si>
    <t>Fernando Soberanis</t>
  </si>
  <si>
    <t>+1 (801) 258-6000</t>
  </si>
  <si>
    <t>The Grand Hotel Golf Resort &amp; Spa Autograph Collection</t>
  </si>
  <si>
    <t>One Grand Boulevard P.O. Box 639</t>
  </si>
  <si>
    <t>Point Clear</t>
  </si>
  <si>
    <t>Scott Tripoli</t>
  </si>
  <si>
    <t>Thiago Sobral</t>
  </si>
  <si>
    <t>+ (251) 928-9201</t>
  </si>
  <si>
    <t>The Grande Colonial Hotel</t>
  </si>
  <si>
    <t xml:space="preserve">910 Prospect Street </t>
  </si>
  <si>
    <t>Ryan Dodd</t>
  </si>
  <si>
    <t>+1 (858) 454-2181</t>
  </si>
  <si>
    <t>The Guest House at Graceland</t>
  </si>
  <si>
    <t xml:space="preserve">3600 Elvis Presley Boulevard </t>
  </si>
  <si>
    <t>Mem</t>
  </si>
  <si>
    <t xml:space="preserve">Greg Lindner </t>
  </si>
  <si>
    <t>+1(901)443-3000</t>
  </si>
  <si>
    <t>The Guild Hotel San Diego a Tribute Portfolio Hotel</t>
  </si>
  <si>
    <t xml:space="preserve">500 West Broadway </t>
  </si>
  <si>
    <t>Onal Kucuk</t>
  </si>
  <si>
    <t>+1(619) 795-6000</t>
  </si>
  <si>
    <t>The Hanover Inn @ Dartmouth College</t>
  </si>
  <si>
    <t xml:space="preserve">2 East Wheelock St. </t>
  </si>
  <si>
    <t xml:space="preserve">Brian Hunt </t>
  </si>
  <si>
    <t>Kirk Rodgers</t>
  </si>
  <si>
    <t>+1 (603) 643-4300</t>
  </si>
  <si>
    <t>The Harpeth Hotel A Hilton Curio Hotel</t>
  </si>
  <si>
    <t xml:space="preserve">130 2nd Avenue </t>
  </si>
  <si>
    <t>Justin Foster</t>
  </si>
  <si>
    <t>+1 (615) 206-7510</t>
  </si>
  <si>
    <t>The Hawaii Prince Hotel Waikiki Corp</t>
  </si>
  <si>
    <t xml:space="preserve">100 Holomoana Street </t>
  </si>
  <si>
    <t>PRINCE HOTELS</t>
  </si>
  <si>
    <t>+1 (808) 956-1111</t>
  </si>
  <si>
    <t>The Henry Hotel</t>
  </si>
  <si>
    <t>300 Town Center Drive Fairlane Plaza</t>
  </si>
  <si>
    <t>Alan Osborne</t>
  </si>
  <si>
    <t>+ (313) 441-2000</t>
  </si>
  <si>
    <t>The High Line Hotel</t>
  </si>
  <si>
    <t xml:space="preserve">180 Tenth Avenue </t>
  </si>
  <si>
    <t>Michael Hodgkins</t>
  </si>
  <si>
    <t>+1 (212) 929-3888</t>
  </si>
  <si>
    <t>The Hi-Lo Autograph Collection</t>
  </si>
  <si>
    <t xml:space="preserve">320 South West Stark Street </t>
  </si>
  <si>
    <t>Peter Diorio</t>
  </si>
  <si>
    <t>Preston Lickey</t>
  </si>
  <si>
    <t>+1(650)424-1400</t>
  </si>
  <si>
    <t>The Historic Davenport Hotel</t>
  </si>
  <si>
    <t xml:space="preserve">10 South Post Street </t>
  </si>
  <si>
    <t>+1 (509) 455-8888</t>
  </si>
  <si>
    <t>The Historic Menger Hotel</t>
  </si>
  <si>
    <t xml:space="preserve">204 Alamo Plaza </t>
  </si>
  <si>
    <t>Garvin O’Neil</t>
  </si>
  <si>
    <t>Luciano Albakri</t>
  </si>
  <si>
    <t>+1 (210) 223-4361</t>
  </si>
  <si>
    <t>Ithaka Hospitality Partners-Auburn-Operating LLC</t>
  </si>
  <si>
    <t>The Hotel at Auburn University and Dixon Conference Center</t>
  </si>
  <si>
    <t xml:space="preserve">241 South College Street </t>
  </si>
  <si>
    <t>Hans van der Reijden</t>
  </si>
  <si>
    <t xml:space="preserve">Paul Reggio </t>
  </si>
  <si>
    <t>+1 (334) 821-8200</t>
  </si>
  <si>
    <t>The Hotel at Avalon Autograph Collection</t>
  </si>
  <si>
    <t xml:space="preserve">9000 Avalon Boulevard </t>
  </si>
  <si>
    <t>Emile Blau</t>
  </si>
  <si>
    <t>Heather Willett</t>
  </si>
  <si>
    <t>+1(470)588-1075</t>
  </si>
  <si>
    <t>The Hotel Hershey</t>
  </si>
  <si>
    <t>100 Hotel Road P.O. Box 400</t>
  </si>
  <si>
    <t>Bill Hendrix</t>
  </si>
  <si>
    <t>Christine Johns</t>
  </si>
  <si>
    <t>+1 (717) 533-2171</t>
  </si>
  <si>
    <t>The Hotel Lusso</t>
  </si>
  <si>
    <t xml:space="preserve">808 West Sprague Street </t>
  </si>
  <si>
    <t>The Hotel Nia at Menlo Park</t>
  </si>
  <si>
    <t xml:space="preserve">200 Independence Street </t>
  </si>
  <si>
    <t>Tim Flodin</t>
  </si>
  <si>
    <t>+1(650) 900-3434</t>
  </si>
  <si>
    <t>The Hotel Saskatchewan Autograph Collection</t>
  </si>
  <si>
    <t xml:space="preserve">2125 Victoria Avenue </t>
  </si>
  <si>
    <t>S4P 0S3</t>
  </si>
  <si>
    <t>Tara Gerald</t>
  </si>
  <si>
    <t>Candace Jewitt</t>
  </si>
  <si>
    <t>+1 (306) 522-7691</t>
  </si>
  <si>
    <t>The Hotel Zags</t>
  </si>
  <si>
    <t xml:space="preserve">515 Southwest Clay Street </t>
  </si>
  <si>
    <t>Jean-Marc Jalbert</t>
  </si>
  <si>
    <t>+1 (503) 308-1637</t>
  </si>
  <si>
    <t>The House Autograph Collection Barbados</t>
  </si>
  <si>
    <t>Sandra Parris</t>
  </si>
  <si>
    <t>+1 (246) 432-5525</t>
  </si>
  <si>
    <t>The Hutton Hotel</t>
  </si>
  <si>
    <t xml:space="preserve">1808 West End Avenue </t>
  </si>
  <si>
    <t>Dale McCarty</t>
  </si>
  <si>
    <t>Angelo Ferrante</t>
  </si>
  <si>
    <t>+1 (615) 340-9333</t>
  </si>
  <si>
    <t>The Industrialist Hotel Pittsburgh Autograph Collection</t>
  </si>
  <si>
    <t xml:space="preserve">405 Wood Street </t>
  </si>
  <si>
    <t>Robert Brashler</t>
  </si>
  <si>
    <t>+(412)430-4444</t>
  </si>
  <si>
    <t>The Inn at Elon</t>
  </si>
  <si>
    <t xml:space="preserve">605 North O'Kelly Avenue </t>
  </si>
  <si>
    <t>Elon</t>
  </si>
  <si>
    <t>Francine Boissonneault</t>
  </si>
  <si>
    <t>+1 (336) 586-0329</t>
  </si>
  <si>
    <t>The Inn at Henderson's Wharf</t>
  </si>
  <si>
    <t xml:space="preserve">1000 Fell Street </t>
  </si>
  <si>
    <t>Candice Thornton</t>
  </si>
  <si>
    <t>Raymond Hart</t>
  </si>
  <si>
    <t>+1 (410) 522-7777</t>
  </si>
  <si>
    <t>The Inn at Middletown</t>
  </si>
  <si>
    <t xml:space="preserve">70 Main Street Middletown </t>
  </si>
  <si>
    <t>Gary Nagler</t>
  </si>
  <si>
    <t>+1(860) 854-6300</t>
  </si>
  <si>
    <t>The Inn at Rancho Santa Fe A Tribute Portfolio Hotel</t>
  </si>
  <si>
    <t xml:space="preserve">5951 Linea Del Cielo </t>
  </si>
  <si>
    <t>Michelle Yanagi</t>
  </si>
  <si>
    <t>+1 (858) 756-1131</t>
  </si>
  <si>
    <t>The Inn at Union Square</t>
  </si>
  <si>
    <t xml:space="preserve">440 Post Street </t>
  </si>
  <si>
    <t>+1 (415) 397-3510</t>
  </si>
  <si>
    <t>The Inn at WinStar</t>
  </si>
  <si>
    <t xml:space="preserve">21943 Red River Road </t>
  </si>
  <si>
    <t>Kim Burgess</t>
  </si>
  <si>
    <t>+1 (580) 276-4487</t>
  </si>
  <si>
    <t>The Jacquard Autograph Collection</t>
  </si>
  <si>
    <t xml:space="preserve">222 Milwaukee Street </t>
  </si>
  <si>
    <t>Jason Dorfman</t>
  </si>
  <si>
    <t>Chris Pascoe</t>
  </si>
  <si>
    <t>+1(303)515-2000</t>
  </si>
  <si>
    <t>DC Cap Hotelier LLC</t>
  </si>
  <si>
    <t>The Jefferson Hotel</t>
  </si>
  <si>
    <t xml:space="preserve">1200 16th Street Northwest </t>
  </si>
  <si>
    <t>David Bueno</t>
  </si>
  <si>
    <t>David Fascitelli</t>
  </si>
  <si>
    <t>+1 (202) 347-2200</t>
  </si>
  <si>
    <t>The Joseph A Luxury Hotel Nashville</t>
  </si>
  <si>
    <t xml:space="preserve">401 Korean Veteran's Boulevard </t>
  </si>
  <si>
    <t>Brianne Giambagno</t>
  </si>
  <si>
    <t>Mark Yanke</t>
  </si>
  <si>
    <t>+1 (615) 709-2313</t>
  </si>
  <si>
    <t>The Julia</t>
  </si>
  <si>
    <t xml:space="preserve">336 Collins Avenue </t>
  </si>
  <si>
    <t>Ethan Silvia</t>
  </si>
  <si>
    <t>ResortTrust Hawaii LLC</t>
  </si>
  <si>
    <t>The Kahala Hotel &amp; Resort</t>
  </si>
  <si>
    <t xml:space="preserve">5000 Kahala Ave </t>
  </si>
  <si>
    <t>Dexter Sonomura</t>
  </si>
  <si>
    <t>Melissa Rocha</t>
  </si>
  <si>
    <t>+(808) 739-8888</t>
  </si>
  <si>
    <t>The King George Hotel</t>
  </si>
  <si>
    <t xml:space="preserve">334 Mason Street </t>
  </si>
  <si>
    <t>Marc Horodas</t>
  </si>
  <si>
    <t>+1 (415) 781-5050</t>
  </si>
  <si>
    <t>Kitano Arms Corporation</t>
  </si>
  <si>
    <t>The Kitano Hotel New York</t>
  </si>
  <si>
    <t xml:space="preserve">66 Park Avenue </t>
  </si>
  <si>
    <t>Jimmy Nieves</t>
  </si>
  <si>
    <t>Zack Zahran</t>
  </si>
  <si>
    <t>+1 (212) 885-7000</t>
  </si>
  <si>
    <t>The Knickerbocker</t>
  </si>
  <si>
    <t xml:space="preserve">6 Times Square </t>
  </si>
  <si>
    <t>Jeff Dziak</t>
  </si>
  <si>
    <t>Mino Habib</t>
  </si>
  <si>
    <t>Shen Zhen New World I LLC</t>
  </si>
  <si>
    <t>The L.A. Grand Hotel Downtown</t>
  </si>
  <si>
    <t xml:space="preserve">333 South Figueroa Street </t>
  </si>
  <si>
    <t>Tom Beedon</t>
  </si>
  <si>
    <t>+1 (213) 617-1133</t>
  </si>
  <si>
    <t>The Lafayette Hotel</t>
  </si>
  <si>
    <t xml:space="preserve">2223 El Cajon Bloulevard </t>
  </si>
  <si>
    <t>Dieter Hissin</t>
  </si>
  <si>
    <t>+1 (619) 296-2101</t>
  </si>
  <si>
    <t>The Langham Huntington Pasadena Los Angeles</t>
  </si>
  <si>
    <t xml:space="preserve">1401 South Oak Knoll Avenue </t>
  </si>
  <si>
    <t>Paul Lecrerc</t>
  </si>
  <si>
    <t>+1 (626) 568-3900</t>
  </si>
  <si>
    <t>The Langham New York Fifth Avenue</t>
  </si>
  <si>
    <t xml:space="preserve">400 5th Avenue </t>
  </si>
  <si>
    <t>Richard Bussiere</t>
  </si>
  <si>
    <t>Aitona Cuka</t>
  </si>
  <si>
    <t>+()212-695-8400</t>
  </si>
  <si>
    <t>The Langham Boston</t>
  </si>
  <si>
    <t xml:space="preserve">250 Franklin Street </t>
  </si>
  <si>
    <t>Michele Grosso</t>
  </si>
  <si>
    <t>Haruko Murphy</t>
  </si>
  <si>
    <t>+1 (617) 451-1900</t>
  </si>
  <si>
    <t>The Langham Chicago</t>
  </si>
  <si>
    <t xml:space="preserve">330 North Wabash Street </t>
  </si>
  <si>
    <t>Edward Shapard</t>
  </si>
  <si>
    <t>+1(312)923-9988</t>
  </si>
  <si>
    <t>The Laurel Inn</t>
  </si>
  <si>
    <t xml:space="preserve">444 Presidio Avenue </t>
  </si>
  <si>
    <t>Gill Eklof</t>
  </si>
  <si>
    <t>+1 (415) 567-8467</t>
  </si>
  <si>
    <t>The Laylow</t>
  </si>
  <si>
    <t xml:space="preserve">2299 Kuhio Avenue </t>
  </si>
  <si>
    <t>Andrea Novak</t>
  </si>
  <si>
    <t>Benjamin Buckley</t>
  </si>
  <si>
    <t>+1 (808) 922-1262</t>
  </si>
  <si>
    <t>The Legend at Arrowhead</t>
  </si>
  <si>
    <t xml:space="preserve">21027 North 67th Avenue </t>
  </si>
  <si>
    <t>Dustin Graf</t>
  </si>
  <si>
    <t>Chad Bakke</t>
  </si>
  <si>
    <t>+1 (623) 561-1902</t>
  </si>
  <si>
    <t>The Liberty a Luxury Collection Hotel Boston</t>
  </si>
  <si>
    <t xml:space="preserve">215 Charles Street </t>
  </si>
  <si>
    <t>Adam Butner-Burroughs</t>
  </si>
  <si>
    <t>Shahram Khan</t>
  </si>
  <si>
    <t>+1 (617) 224-4000</t>
  </si>
  <si>
    <t>Sydell Group</t>
  </si>
  <si>
    <t>The LINE ATX</t>
  </si>
  <si>
    <t xml:space="preserve">111 East Cesar Chavez Street </t>
  </si>
  <si>
    <t>The Line</t>
  </si>
  <si>
    <t>Davida Bourland</t>
  </si>
  <si>
    <t>+1 (512) 478-9611</t>
  </si>
  <si>
    <t>The LINE Los Angeles</t>
  </si>
  <si>
    <t xml:space="preserve">3515 Wilshire Boulevard </t>
  </si>
  <si>
    <t>Derek Haug</t>
  </si>
  <si>
    <t>Ian Ford</t>
  </si>
  <si>
    <t>+1 (213) 381-7411</t>
  </si>
  <si>
    <t>The Link</t>
  </si>
  <si>
    <t xml:space="preserve">1055 North Federal Highway </t>
  </si>
  <si>
    <t>Peter Pappas</t>
  </si>
  <si>
    <t>+1 (754) 701-1450</t>
  </si>
  <si>
    <t>The Lodge at Big Sky</t>
  </si>
  <si>
    <t>75 Sitting Bull Road P. O. Box 160938</t>
  </si>
  <si>
    <t>Shivam Patel</t>
  </si>
  <si>
    <t>+1 (406) 995-7858</t>
  </si>
  <si>
    <t>The Lodge at Blue Sky</t>
  </si>
  <si>
    <t xml:space="preserve">27649 Old Lincoln Highway </t>
  </si>
  <si>
    <t>Wanship</t>
  </si>
  <si>
    <t>Joe Ogdie</t>
  </si>
  <si>
    <t>+1 (435) 292-7526</t>
  </si>
  <si>
    <t>The Lodge at Gulf State Park a Hilton hotel</t>
  </si>
  <si>
    <t xml:space="preserve">21196 East Beach Boulevard </t>
  </si>
  <si>
    <t>Bill Bennett</t>
  </si>
  <si>
    <t>+1 (251) 540-4000</t>
  </si>
  <si>
    <t>The Lodge at Jackson Hole</t>
  </si>
  <si>
    <t xml:space="preserve">80 Scott Lane </t>
  </si>
  <si>
    <t>Abby Swallow</t>
  </si>
  <si>
    <t>+ (307) 739-9703</t>
  </si>
  <si>
    <t>The Lodge at Spruce Peak</t>
  </si>
  <si>
    <t xml:space="preserve">7412 Mountain Road </t>
  </si>
  <si>
    <t>Scott Huntsman</t>
  </si>
  <si>
    <t>Dan Rich</t>
  </si>
  <si>
    <t>+1 (802) 253-3560</t>
  </si>
  <si>
    <t>The Logan</t>
  </si>
  <si>
    <t xml:space="preserve">1 Logan Square </t>
  </si>
  <si>
    <t>JoAnn Wrenn</t>
  </si>
  <si>
    <t>Kevin Penater</t>
  </si>
  <si>
    <t>+1 (215) 963-1500</t>
  </si>
  <si>
    <t>The Los Angeles Country Club</t>
  </si>
  <si>
    <t xml:space="preserve">10101 Wilshire Boulevard </t>
  </si>
  <si>
    <t>Michael Beam</t>
  </si>
  <si>
    <t>Jaime Flores</t>
  </si>
  <si>
    <t>+ (310) 860-3204</t>
  </si>
  <si>
    <t>The Lumen Dallas</t>
  </si>
  <si>
    <t xml:space="preserve">6101 Hillcrest Avenue </t>
  </si>
  <si>
    <t>Liza Diaz</t>
  </si>
  <si>
    <t>Bailey Johnson</t>
  </si>
  <si>
    <t>+1 (214) 219-2400</t>
  </si>
  <si>
    <t>The Lytle Park Hotel</t>
  </si>
  <si>
    <t xml:space="preserve">311 Pike Street </t>
  </si>
  <si>
    <t>Brett Woods</t>
  </si>
  <si>
    <t>Derek Roorda</t>
  </si>
  <si>
    <t>The Timbers Inc.</t>
  </si>
  <si>
    <t>The Madison Hotel</t>
  </si>
  <si>
    <t xml:space="preserve">1 Convent Road </t>
  </si>
  <si>
    <t>Megan Van Miert</t>
  </si>
  <si>
    <t>Scott McArthur</t>
  </si>
  <si>
    <t>+1 (973) 539-6666</t>
  </si>
  <si>
    <t>The Majestic Hotel</t>
  </si>
  <si>
    <t xml:space="preserve">528 West Brompton Avenue </t>
  </si>
  <si>
    <t>Maria Lipin</t>
  </si>
  <si>
    <t>+1 (773) 404-3499</t>
  </si>
  <si>
    <t>Apple Inns Inc.</t>
  </si>
  <si>
    <t>The Marina Inn on San Francisco Bay</t>
  </si>
  <si>
    <t xml:space="preserve">68 Monarch Bay Drive </t>
  </si>
  <si>
    <t>San Leandro</t>
  </si>
  <si>
    <t>Khushil Naik</t>
  </si>
  <si>
    <t>+1 (510) 895-1311</t>
  </si>
  <si>
    <t>The Marker a San Francisco Hotel</t>
  </si>
  <si>
    <t xml:space="preserve">501 Geary Street </t>
  </si>
  <si>
    <t>J Serrano</t>
  </si>
  <si>
    <t>+1 (415) 292-0100</t>
  </si>
  <si>
    <t>The Matrix Hotel</t>
  </si>
  <si>
    <t xml:space="preserve">10640 100 Avenue </t>
  </si>
  <si>
    <t>T5J 3N8</t>
  </si>
  <si>
    <t>+1(780)429-2861</t>
  </si>
  <si>
    <t>The Maven Hotel</t>
  </si>
  <si>
    <t xml:space="preserve">1850 Wazee Street </t>
  </si>
  <si>
    <t xml:space="preserve">Tiffany Owen </t>
  </si>
  <si>
    <t>Cesar Tamariz</t>
  </si>
  <si>
    <t>The Mayflower Autograph Collection</t>
  </si>
  <si>
    <t xml:space="preserve">1127 Connecticut Avenue NW </t>
  </si>
  <si>
    <t>Lea Ann Salyer</t>
  </si>
  <si>
    <t>(202) 347-3000</t>
  </si>
  <si>
    <t>The MC Autograph Collection</t>
  </si>
  <si>
    <t xml:space="preserve">690 Bloomfield Avenue </t>
  </si>
  <si>
    <t>Montclair</t>
  </si>
  <si>
    <t xml:space="preserve">Ioana Spiridonov </t>
  </si>
  <si>
    <t>Oscar Fontana</t>
  </si>
  <si>
    <t>+1(844)624-6835</t>
  </si>
  <si>
    <t>The Melrose Hotel Washington</t>
  </si>
  <si>
    <t xml:space="preserve">2430 Pennsylvania AVE NW </t>
  </si>
  <si>
    <t>Modi Ahmed</t>
  </si>
  <si>
    <t>Olena Fedorenko</t>
  </si>
  <si>
    <t>+ (202) 955-6400</t>
  </si>
  <si>
    <t>The Meritage Resort &amp; Spa</t>
  </si>
  <si>
    <t xml:space="preserve">875 Bordeaux Way </t>
  </si>
  <si>
    <t>Boris Banda</t>
  </si>
  <si>
    <t>Joe Leinacker</t>
  </si>
  <si>
    <t>+1 (707) 259 0633</t>
  </si>
  <si>
    <t>The Merrill Hotel Muscatine a Tribute Portfolio Hotel</t>
  </si>
  <si>
    <t xml:space="preserve">119 West Mississippi Drive </t>
  </si>
  <si>
    <t xml:space="preserve">Lee Belfield </t>
  </si>
  <si>
    <t>+1(563)263-2600</t>
  </si>
  <si>
    <t>The Metropolitan at the Nine</t>
  </si>
  <si>
    <t xml:space="preserve">2017 East 9th Street </t>
  </si>
  <si>
    <t>John Bukovsky</t>
  </si>
  <si>
    <t>+1 (216) 239-1200</t>
  </si>
  <si>
    <t>The Miami Beach EDITION</t>
  </si>
  <si>
    <t xml:space="preserve">2901 Collins Avenue </t>
  </si>
  <si>
    <t>John Sullivan</t>
  </si>
  <si>
    <t>+1 (800) 466-9695</t>
  </si>
  <si>
    <t>The Midtown Hotel</t>
  </si>
  <si>
    <t xml:space="preserve">220 Huntington Avenue </t>
  </si>
  <si>
    <t>+1 (617) 262-1000</t>
  </si>
  <si>
    <t>The Moment Hotel</t>
  </si>
  <si>
    <t xml:space="preserve">7370 Sunset Boulevard </t>
  </si>
  <si>
    <t>Jay Saucedo</t>
  </si>
  <si>
    <t>+1 (323) 822-5030</t>
  </si>
  <si>
    <t>The Moran at CityCentre</t>
  </si>
  <si>
    <t xml:space="preserve">800 Sorella Court </t>
  </si>
  <si>
    <t>+1 (713) 973-1600</t>
  </si>
  <si>
    <t>New National LLC</t>
  </si>
  <si>
    <t>The National Hotel Miami Beach</t>
  </si>
  <si>
    <t xml:space="preserve">1677 Collins Avenue </t>
  </si>
  <si>
    <t>Yaser Mohamad</t>
  </si>
  <si>
    <t>Lisa Vaughan</t>
  </si>
  <si>
    <t>+1 (786) 999-6052</t>
  </si>
  <si>
    <t>The Nest Palo Alto</t>
  </si>
  <si>
    <t xml:space="preserve">3901 El Camino Real </t>
  </si>
  <si>
    <t>Ben Robledo</t>
  </si>
  <si>
    <t>Sarah Romero</t>
  </si>
  <si>
    <t>+1 (650) 493-2760</t>
  </si>
  <si>
    <t>The New Orleans Marriott</t>
  </si>
  <si>
    <t xml:space="preserve">555 Canal Street </t>
  </si>
  <si>
    <t>Frank Zumbo</t>
  </si>
  <si>
    <t>James Brucken</t>
  </si>
  <si>
    <t>(504) 581-1000</t>
  </si>
  <si>
    <t>The New York Marriott at the Brooklyn Bridge</t>
  </si>
  <si>
    <t xml:space="preserve">333 Adams Street </t>
  </si>
  <si>
    <t>Sam Ibrahim</t>
  </si>
  <si>
    <t>Michael Boothby</t>
  </si>
  <si>
    <t>(718) 246-7000</t>
  </si>
  <si>
    <t>The New Yorker Hotel</t>
  </si>
  <si>
    <t xml:space="preserve">481 8th Avenue </t>
  </si>
  <si>
    <t>Ann Peterson</t>
  </si>
  <si>
    <t>Barry Rauch</t>
  </si>
  <si>
    <t>+1 (212) 760-0651</t>
  </si>
  <si>
    <t>The Nines</t>
  </si>
  <si>
    <t xml:space="preserve">525 SW Morrison Street </t>
  </si>
  <si>
    <t>Elise Anderson</t>
  </si>
  <si>
    <t>+1 (404) 814 9160</t>
  </si>
  <si>
    <t>The NoMad Hotel Los Angeles</t>
  </si>
  <si>
    <t xml:space="preserve">649 South Olive Street </t>
  </si>
  <si>
    <t>Carolyn Schneider</t>
  </si>
  <si>
    <t>Jonathan Wolfe</t>
  </si>
  <si>
    <t>+1 (917) 892-3546</t>
  </si>
  <si>
    <t>The Notary Hotel Autograph Collection</t>
  </si>
  <si>
    <t>21 Juniper Street @ Filbert Street at City Hall</t>
  </si>
  <si>
    <t>Jim McSwigan</t>
  </si>
  <si>
    <t>Maxine Tsang</t>
  </si>
  <si>
    <t>(215) 496-3200</t>
  </si>
  <si>
    <t>The Nu Hotel</t>
  </si>
  <si>
    <t xml:space="preserve">85 Smith Street </t>
  </si>
  <si>
    <t>Gary Desoiza</t>
  </si>
  <si>
    <t>+1 (718) 852-8585</t>
  </si>
  <si>
    <t>The Oaks Club at Valencia</t>
  </si>
  <si>
    <t xml:space="preserve">26550 Heritage View Lane </t>
  </si>
  <si>
    <t>Tyson Adams</t>
  </si>
  <si>
    <t>+1 (661) 288-1995</t>
  </si>
  <si>
    <t>The Oceanfront Litchfield Inn</t>
  </si>
  <si>
    <t xml:space="preserve">1 Norris Drive </t>
  </si>
  <si>
    <t>Dorothy Vinot</t>
  </si>
  <si>
    <t>Chris Styles</t>
  </si>
  <si>
    <t>+1 (843) 237-4211</t>
  </si>
  <si>
    <t>The Oliver Hotel</t>
  </si>
  <si>
    <t xml:space="preserve">407 Union Avenue </t>
  </si>
  <si>
    <t>Sondra Richardson</t>
  </si>
  <si>
    <t>AJ Dave</t>
  </si>
  <si>
    <t>+1 (865) 521-0050</t>
  </si>
  <si>
    <t>The Opus Westchester</t>
  </si>
  <si>
    <t xml:space="preserve">3 Renaissance Square </t>
  </si>
  <si>
    <t>Elizabeth Andrews</t>
  </si>
  <si>
    <t>Alberto Perez</t>
  </si>
  <si>
    <t>+1 (914) 946-5500</t>
  </si>
  <si>
    <t>The Orchard Garden Hotel</t>
  </si>
  <si>
    <t xml:space="preserve">466 Bush Street </t>
  </si>
  <si>
    <t>+1 (415) 399-9807</t>
  </si>
  <si>
    <t>The Orchards Golf Club</t>
  </si>
  <si>
    <t xml:space="preserve">18 Silverwood Terrace </t>
  </si>
  <si>
    <t>South Hadley</t>
  </si>
  <si>
    <t>Chris Tallman</t>
  </si>
  <si>
    <t>+1 (413) 535-2582</t>
  </si>
  <si>
    <t>The Oxford Club and Spa</t>
  </si>
  <si>
    <t xml:space="preserve">1616 17th Street </t>
  </si>
  <si>
    <t>Andrew Hall</t>
  </si>
  <si>
    <t>+1 (303) 628-5435</t>
  </si>
  <si>
    <t>The Paradise Inn</t>
  </si>
  <si>
    <t xml:space="preserve">819 Simonton Street </t>
  </si>
  <si>
    <t xml:space="preserve">The Park Vista Gatlinburg - a Doubletree Hotel </t>
  </si>
  <si>
    <t xml:space="preserve">705 Cherokee Orchard Road </t>
  </si>
  <si>
    <t>Jackelyn Schafer</t>
  </si>
  <si>
    <t>Controller Park Vista</t>
  </si>
  <si>
    <t>+ (865) 436-9211</t>
  </si>
  <si>
    <t>The Pendry San Diego Hotel</t>
  </si>
  <si>
    <t xml:space="preserve">550 J Street </t>
  </si>
  <si>
    <t>Victorio Gonzalez</t>
  </si>
  <si>
    <t>+1 (619) 738-7000</t>
  </si>
  <si>
    <t>The Perry Lane Hotel a Luxury Collection Hotel Savannah</t>
  </si>
  <si>
    <t xml:space="preserve">256 East Perry Street </t>
  </si>
  <si>
    <t>Matthew Douzuk</t>
  </si>
  <si>
    <t>+1 (912) 415-9000</t>
  </si>
  <si>
    <t>The Pfister Hotel</t>
  </si>
  <si>
    <t xml:space="preserve">424 East Wisconsin Avenue </t>
  </si>
  <si>
    <t>Juan Rodriguez</t>
  </si>
  <si>
    <t>Tim Smith</t>
  </si>
  <si>
    <t>+1 (414) 273-8222</t>
  </si>
  <si>
    <t>The Phillips Club Management Company Inc.</t>
  </si>
  <si>
    <t>The Phillips Club</t>
  </si>
  <si>
    <t xml:space="preserve">155 West 66th Street </t>
  </si>
  <si>
    <t>Debbie Riga</t>
  </si>
  <si>
    <t>+1 (212) 835-8820</t>
  </si>
  <si>
    <t>The Phoenician a Luxury Collection Resort</t>
  </si>
  <si>
    <t xml:space="preserve">6000 East Camelback Road </t>
  </si>
  <si>
    <t>Mark Vinciguerra</t>
  </si>
  <si>
    <t>Bernadette McComb</t>
  </si>
  <si>
    <t>+1 (480) 941-8200</t>
  </si>
  <si>
    <t>The Pinery Country Club</t>
  </si>
  <si>
    <t xml:space="preserve">6900 East Pinery Parkway </t>
  </si>
  <si>
    <t>Steve Whiting</t>
  </si>
  <si>
    <t>+1 (303) 841-2060</t>
  </si>
  <si>
    <t>The Platinum Hotel</t>
  </si>
  <si>
    <t xml:space="preserve">211 East Flamingo Road </t>
  </si>
  <si>
    <t>Mark Fenton</t>
  </si>
  <si>
    <t>+1 (702) 365-5000</t>
  </si>
  <si>
    <t>The Plaza Hotel El Paso - Pioneer Park</t>
  </si>
  <si>
    <t xml:space="preserve">106 West Mills Avenue </t>
  </si>
  <si>
    <t>Adrian Gonzalez</t>
  </si>
  <si>
    <t>JR Rodriguez</t>
  </si>
  <si>
    <t>The Plaza A Fairmont Managed Hotel</t>
  </si>
  <si>
    <t xml:space="preserve">768 Fifth Avenue </t>
  </si>
  <si>
    <t>George Cozonis</t>
  </si>
  <si>
    <t>Karen Wenger</t>
  </si>
  <si>
    <t>+ (212) 759-3000</t>
  </si>
  <si>
    <t>The Pod 39 Hotel</t>
  </si>
  <si>
    <t xml:space="preserve">145 East 39th Street </t>
  </si>
  <si>
    <t>Richard Kim</t>
  </si>
  <si>
    <t>Andrew Alvalles</t>
  </si>
  <si>
    <t>+1 (212) 865-5700</t>
  </si>
  <si>
    <t>Maine Historic Hotels</t>
  </si>
  <si>
    <t>The Portland Regency Hotel &amp; Spa</t>
  </si>
  <si>
    <t xml:space="preserve">20 Milk Street </t>
  </si>
  <si>
    <t>David Tamulevich</t>
  </si>
  <si>
    <t>Debbie Vargo</t>
  </si>
  <si>
    <t>+1 (207) 774-4200</t>
  </si>
  <si>
    <t>Culinaria Restaurant Group Inc.</t>
  </si>
  <si>
    <t>The Pour House Italian Kitchen &amp; Bar</t>
  </si>
  <si>
    <t xml:space="preserve">700 Office Road </t>
  </si>
  <si>
    <t>RESTAURANT: Commercial</t>
  </si>
  <si>
    <t>Morris Levy</t>
  </si>
  <si>
    <t>+1 (310) 906-5509</t>
  </si>
  <si>
    <t>The Q Hotel &amp; Suites</t>
  </si>
  <si>
    <t xml:space="preserve">1117 East St. Louis </t>
  </si>
  <si>
    <t>Michael Bloom</t>
  </si>
  <si>
    <t>+1 (417) 862-0070</t>
  </si>
  <si>
    <t>The Racquet Club of Philadelphia Inc.</t>
  </si>
  <si>
    <t xml:space="preserve">216 So. Sydenham St. </t>
  </si>
  <si>
    <t>Derik Comalli</t>
  </si>
  <si>
    <t>+1 (215) 735-1525</t>
  </si>
  <si>
    <t>Epic Hospitality Inc</t>
  </si>
  <si>
    <t>The Redwood Riverwalk Hotel</t>
  </si>
  <si>
    <t xml:space="preserve">1859 Alamar Way </t>
  </si>
  <si>
    <t>Alicia Thompson</t>
  </si>
  <si>
    <t>+1 (707) 725-5500</t>
  </si>
  <si>
    <t>The Residences at The Ritz-Carlton Boston Common North Tower</t>
  </si>
  <si>
    <t xml:space="preserve">1 Avery Street </t>
  </si>
  <si>
    <t>Michael Haynes</t>
  </si>
  <si>
    <t>+1(617) 574-7194</t>
  </si>
  <si>
    <t>The Residences at The Ritz-Carlton Boston Common South Tower</t>
  </si>
  <si>
    <t xml:space="preserve">2 Avery Street </t>
  </si>
  <si>
    <t>Laura Brennan</t>
  </si>
  <si>
    <t>+1 (617) 574-7136</t>
  </si>
  <si>
    <t>The Residences at The Ritz-Carlton New York Battery Park</t>
  </si>
  <si>
    <t xml:space="preserve">10 West Street </t>
  </si>
  <si>
    <t>Darryll Adams</t>
  </si>
  <si>
    <t>+1(917)790-2574</t>
  </si>
  <si>
    <t>The Residences at the Ritz-Carlton Philadelphia</t>
  </si>
  <si>
    <t xml:space="preserve">1414 South Penn Square </t>
  </si>
  <si>
    <t>Aubree Manning</t>
  </si>
  <si>
    <t>Jennifer Reh</t>
  </si>
  <si>
    <t xml:space="preserve">+ (215)523-8228 </t>
  </si>
  <si>
    <t>The Resort at Pelican Hill</t>
  </si>
  <si>
    <t xml:space="preserve">22701 Pelican Hill Road South </t>
  </si>
  <si>
    <t xml:space="preserve">Gerard Widder </t>
  </si>
  <si>
    <t>Kyung Carroll</t>
  </si>
  <si>
    <t>+1 (888) 802-1777</t>
  </si>
  <si>
    <t>The Restoration Hotel</t>
  </si>
  <si>
    <t xml:space="preserve">75 Wentworth Street </t>
  </si>
  <si>
    <t>Chesea Nightengale</t>
  </si>
  <si>
    <t>+1 (513) 241-5800</t>
  </si>
  <si>
    <t>The Ridges Resort</t>
  </si>
  <si>
    <t xml:space="preserve">3499 Highway 76 </t>
  </si>
  <si>
    <t>Hiawassee</t>
  </si>
  <si>
    <t xml:space="preserve">Kristin Hogsed </t>
  </si>
  <si>
    <t>+1 (706) 896-2262</t>
  </si>
  <si>
    <t>The Rittenhouse Hotel</t>
  </si>
  <si>
    <t xml:space="preserve">210 W. Rittenhouse Square </t>
  </si>
  <si>
    <t>Benjy Satlow</t>
  </si>
  <si>
    <t>Reginald Archambault</t>
  </si>
  <si>
    <t>+ (215) 546-9000</t>
  </si>
  <si>
    <t>The Ritz-Carlton Bal Harbour</t>
  </si>
  <si>
    <t xml:space="preserve">10295 Collins Avenue </t>
  </si>
  <si>
    <t>Jacqueline Volkart</t>
  </si>
  <si>
    <t>Joseph Fisher</t>
  </si>
  <si>
    <t>+1 (305) 455-5400</t>
  </si>
  <si>
    <t>The Ritz-Carlton Club &amp; Residences Vail</t>
  </si>
  <si>
    <t xml:space="preserve">728 West Lionshead Circle </t>
  </si>
  <si>
    <t>Dan Miller</t>
  </si>
  <si>
    <t>+1 (970) 477-3700</t>
  </si>
  <si>
    <t>The Ritz-Carlton Club Aspen Highlands</t>
  </si>
  <si>
    <t xml:space="preserve">75 Prospector Road </t>
  </si>
  <si>
    <t>Donn Williams</t>
  </si>
  <si>
    <t>Federica Pacati</t>
  </si>
  <si>
    <t>+1 (970) 925-0000</t>
  </si>
  <si>
    <t>The Ritz-Carlton Club Lake Tahoe</t>
  </si>
  <si>
    <t xml:space="preserve">13051Ritz-Carlton Highlands Drive </t>
  </si>
  <si>
    <t>Samuel Kimball</t>
  </si>
  <si>
    <t>Craig Sacco</t>
  </si>
  <si>
    <t>+ (530) 562-3110</t>
  </si>
  <si>
    <t>The Ritz-Carlton Club San Francisco</t>
  </si>
  <si>
    <t xml:space="preserve">690 Market Street </t>
  </si>
  <si>
    <t>Noah Unger</t>
  </si>
  <si>
    <t>Gino Alimario</t>
  </si>
  <si>
    <t>+(415) 781-9000</t>
  </si>
  <si>
    <t>The Ritz-Carlton Club St.Thomas</t>
  </si>
  <si>
    <t xml:space="preserve">6910 Great Bay </t>
  </si>
  <si>
    <t>Cara Golding</t>
  </si>
  <si>
    <t>+(340)715-9042</t>
  </si>
  <si>
    <t>The Ritz-Carlton Denver</t>
  </si>
  <si>
    <t xml:space="preserve">1881 Curtis Street </t>
  </si>
  <si>
    <t>Brad Mills</t>
  </si>
  <si>
    <t>Emily Shapiro</t>
  </si>
  <si>
    <t>+1 (303) 312-3800</t>
  </si>
  <si>
    <t>The Ritz-Carlton Georgetown</t>
  </si>
  <si>
    <t xml:space="preserve">3100 South Street Northwest </t>
  </si>
  <si>
    <t>Tod Morrow</t>
  </si>
  <si>
    <t>+1 (202) 912-4100</t>
  </si>
  <si>
    <t>The Ritz-Carlton Golf Resort Naples</t>
  </si>
  <si>
    <t xml:space="preserve">2600 Tiburon Drive </t>
  </si>
  <si>
    <t>Christine Wagner</t>
  </si>
  <si>
    <t>Jenny Piccione</t>
  </si>
  <si>
    <t>+1 (239) 593-2000</t>
  </si>
  <si>
    <t>The Ritz-Carlton Orlando Grande Lakes</t>
  </si>
  <si>
    <t xml:space="preserve">4012 Central Florida Pkwy </t>
  </si>
  <si>
    <t>Greg Durrer</t>
  </si>
  <si>
    <t>Jon McGavin</t>
  </si>
  <si>
    <t>+1 (407) 206 -2400</t>
  </si>
  <si>
    <t>The Ritz-Carlton Pentagon City</t>
  </si>
  <si>
    <t xml:space="preserve">1250 South Hayes Street </t>
  </si>
  <si>
    <t>Matt Felix</t>
  </si>
  <si>
    <t>+ (703) 415-5000</t>
  </si>
  <si>
    <t>The Ritz-Carlton Residences Atlanta</t>
  </si>
  <si>
    <t xml:space="preserve">3630 Peachtree Road NE </t>
  </si>
  <si>
    <t>Jean-Baptiste Queguiner</t>
  </si>
  <si>
    <t>+1 (404) 869-3551</t>
  </si>
  <si>
    <t>The Ritz-Carlton Residences Baltimore</t>
  </si>
  <si>
    <t xml:space="preserve">801 Key Highway </t>
  </si>
  <si>
    <t>Paul Beers</t>
  </si>
  <si>
    <t>Joe Heafy</t>
  </si>
  <si>
    <t>+1 (410) 685-6380</t>
  </si>
  <si>
    <t>The Ritz-Carlton Residences North Hills</t>
  </si>
  <si>
    <t xml:space="preserve">6000 Royal Court </t>
  </si>
  <si>
    <t>North Hills</t>
  </si>
  <si>
    <t>Chris Sullivan</t>
  </si>
  <si>
    <t>+1 (516) 365-4200</t>
  </si>
  <si>
    <t>The Ritz-Carlton Residences Singer Island</t>
  </si>
  <si>
    <t xml:space="preserve">2700 North Ocean Drive </t>
  </si>
  <si>
    <t>Dirk Schavemaker</t>
  </si>
  <si>
    <t>+1 (561) 427-8305</t>
  </si>
  <si>
    <t>The Ritz-Carlton Residences Sunny Isles</t>
  </si>
  <si>
    <t xml:space="preserve">15701 Collins Avenue </t>
  </si>
  <si>
    <t>North Miami beach</t>
  </si>
  <si>
    <t>Nathalie Rader</t>
  </si>
  <si>
    <t>+1 (305) 503-5811</t>
  </si>
  <si>
    <t>The Ritz-Carlton Residences Waikiki Beach</t>
  </si>
  <si>
    <t xml:space="preserve">383 Kalaimoku Street </t>
  </si>
  <si>
    <t>Douglas Chang</t>
  </si>
  <si>
    <t>+1 (808) 359-1396</t>
  </si>
  <si>
    <t>The Ritz-Carlton Residences Westchester</t>
  </si>
  <si>
    <t xml:space="preserve">1 Renaissance Square </t>
  </si>
  <si>
    <t>Catherine Walsh</t>
  </si>
  <si>
    <t>David Horowitz</t>
  </si>
  <si>
    <t>+1 (914) 467-5775</t>
  </si>
  <si>
    <t>The Ritz-Carlton Reynolds Lake Oconee</t>
  </si>
  <si>
    <t xml:space="preserve">1 Lake Oconee Trail </t>
  </si>
  <si>
    <t>Ralph Vick</t>
  </si>
  <si>
    <t>AR Contact</t>
  </si>
  <si>
    <t>+ (706) 467-0600</t>
  </si>
  <si>
    <t>The Ritz-Carlton Tysons Corner</t>
  </si>
  <si>
    <t xml:space="preserve">1700 Tysons Boulevard </t>
  </si>
  <si>
    <t>+ (703) 506-4300</t>
  </si>
  <si>
    <t>The Ritz-Carlton Washington DC</t>
  </si>
  <si>
    <t xml:space="preserve">1150 22nd Street NW </t>
  </si>
  <si>
    <t>Bradley Cance</t>
  </si>
  <si>
    <t>+ (202) 835-0500</t>
  </si>
  <si>
    <t>The Ritz-Carlton Amelia Island</t>
  </si>
  <si>
    <t xml:space="preserve">4750 Amelia Island Pkwy </t>
  </si>
  <si>
    <t>Greg Cook</t>
  </si>
  <si>
    <t>Ronald Willis</t>
  </si>
  <si>
    <t>+ (904) 277-1100</t>
  </si>
  <si>
    <t>The Ritz-Carlton Atlanta</t>
  </si>
  <si>
    <t xml:space="preserve">181 Peachtree Street Northeast </t>
  </si>
  <si>
    <t>Erwin Schinnerl</t>
  </si>
  <si>
    <t>+ (404) 659-0400</t>
  </si>
  <si>
    <t>The Ritz-Carlton Bachelor Gulch</t>
  </si>
  <si>
    <t xml:space="preserve">130 Daybreak Ridge Rd. </t>
  </si>
  <si>
    <t>Brenda Sapp</t>
  </si>
  <si>
    <t>Dan Dickhart</t>
  </si>
  <si>
    <t>+1 (970) 748-6200</t>
  </si>
  <si>
    <t>The Ritz-Carlton Boston Common</t>
  </si>
  <si>
    <t xml:space="preserve">10 Avery Street </t>
  </si>
  <si>
    <t>William Bunce</t>
  </si>
  <si>
    <t>David Wheeler</t>
  </si>
  <si>
    <t>+ (617) 574-7100</t>
  </si>
  <si>
    <t>The Ritz-Carlton Cancun</t>
  </si>
  <si>
    <t>Retorno del Rey #36 Zona Hotelera</t>
  </si>
  <si>
    <t>Edgar Niebla</t>
  </si>
  <si>
    <t>Victor Sanchez</t>
  </si>
  <si>
    <t>+52 (998) 881-0808</t>
  </si>
  <si>
    <t>The Ritz-Carlton Charlotte</t>
  </si>
  <si>
    <t xml:space="preserve">201 East Trade St </t>
  </si>
  <si>
    <t>Jon Farace</t>
  </si>
  <si>
    <t>Tiffany Zito</t>
  </si>
  <si>
    <t>+1 (704) 547-2244</t>
  </si>
  <si>
    <t>The Ritz-Carlton Chicago Downtown</t>
  </si>
  <si>
    <t xml:space="preserve">160 East Pearson Street </t>
  </si>
  <si>
    <t>Peter Simoncelli</t>
  </si>
  <si>
    <t>+1 (312) 266-1000</t>
  </si>
  <si>
    <t>The Ritz-Carlton Cleveland</t>
  </si>
  <si>
    <t xml:space="preserve">1515 West Third Street </t>
  </si>
  <si>
    <t>+ (216) 623-1300</t>
  </si>
  <si>
    <t>The Ritz-Carlton Coconut Grove</t>
  </si>
  <si>
    <t xml:space="preserve">3300 Southwest 27th Avenue </t>
  </si>
  <si>
    <t>Derek Flint</t>
  </si>
  <si>
    <t>+1 (305) 644-4680</t>
  </si>
  <si>
    <t>The Ritz-Carlton Dallas</t>
  </si>
  <si>
    <t>2121 McKinney Avenue The Ritz Carlton Dallas</t>
  </si>
  <si>
    <t>Andrew Davidson</t>
  </si>
  <si>
    <t>George Daye</t>
  </si>
  <si>
    <t>+ (214) 922-0200</t>
  </si>
  <si>
    <t>The Ritz-Carlton Dove Mountain</t>
  </si>
  <si>
    <t xml:space="preserve">15000 N Secret Springs Dr </t>
  </si>
  <si>
    <t>MARANA</t>
  </si>
  <si>
    <t>Andy Gatica</t>
  </si>
  <si>
    <t>Devin Pinto</t>
  </si>
  <si>
    <t>+1 (520) 572-3000</t>
  </si>
  <si>
    <t>The Ritz-Carlton Dove Mountain Golf Club</t>
  </si>
  <si>
    <t xml:space="preserve">6501 Boulder Bridge Pass </t>
  </si>
  <si>
    <t>+1 (520) 572-3500</t>
  </si>
  <si>
    <t>The Ritz-Carlton Fort Lauderdale</t>
  </si>
  <si>
    <t xml:space="preserve">1 Fort Lauderdale Beach Blvd. </t>
  </si>
  <si>
    <t>Bosther Kusich</t>
  </si>
  <si>
    <t>Alina Garcia</t>
  </si>
  <si>
    <t>+1 (954) 465-2300</t>
  </si>
  <si>
    <t>The Ritz-Carlton Grand Cayman</t>
  </si>
  <si>
    <t xml:space="preserve">PO Box 32319 KY1-1209 Seven Mile Beach </t>
  </si>
  <si>
    <t>Hermes Cuello</t>
  </si>
  <si>
    <t>Marc Langevin</t>
  </si>
  <si>
    <t>+1 (345) 943-9000</t>
  </si>
  <si>
    <t>The Ritz-Carlton Kapalua</t>
  </si>
  <si>
    <t>One Ritz-Carlton Drive Maui</t>
  </si>
  <si>
    <t>Kapalua</t>
  </si>
  <si>
    <t>Andrew Rogers</t>
  </si>
  <si>
    <t>Kevin Peterson</t>
  </si>
  <si>
    <t>+ (808) 669-6200</t>
  </si>
  <si>
    <t>The Ritz-Carlton Key Biscayne</t>
  </si>
  <si>
    <t xml:space="preserve">455 Grand Bay Drive </t>
  </si>
  <si>
    <t>Enmaibet Alvarez</t>
  </si>
  <si>
    <t>+1 (305) 365-4500</t>
  </si>
  <si>
    <t>The Ritz-Carlton Lake Tahoe</t>
  </si>
  <si>
    <t xml:space="preserve">13031 Ritz-Carlton Highlands Court </t>
  </si>
  <si>
    <t>Colin Perry</t>
  </si>
  <si>
    <t>Keeghan Sebahar</t>
  </si>
  <si>
    <t>+ (530) 562-3000</t>
  </si>
  <si>
    <t>The Ritz-Carlton Los Angeles</t>
  </si>
  <si>
    <t>Merrian Torres</t>
  </si>
  <si>
    <t>+1 (213) 743-8800</t>
  </si>
  <si>
    <t>The Ritz-Carlton Marina del Rey</t>
  </si>
  <si>
    <t xml:space="preserve">4375 Admiralty Way </t>
  </si>
  <si>
    <t>Tony Mira</t>
  </si>
  <si>
    <t>+ (310) 823-1700</t>
  </si>
  <si>
    <t>The Ritz-Carlton Naples</t>
  </si>
  <si>
    <t xml:space="preserve">280 Vanderbilt Beach Road </t>
  </si>
  <si>
    <t>Satish Yeramilli</t>
  </si>
  <si>
    <t>+ (239) 598-3300</t>
  </si>
  <si>
    <t>The Ritz-Carlton New Orleans</t>
  </si>
  <si>
    <t xml:space="preserve">921 Canal St </t>
  </si>
  <si>
    <t>Jim Oliver</t>
  </si>
  <si>
    <t>Anne Marie Cantrell</t>
  </si>
  <si>
    <t>+ (504) 524-1331</t>
  </si>
  <si>
    <t>The Ritz-Carlton Philadelphia</t>
  </si>
  <si>
    <t xml:space="preserve">10 Avenue Of The Arts </t>
  </si>
  <si>
    <t>Jordan Kaley</t>
  </si>
  <si>
    <t>Leonard Buckley</t>
  </si>
  <si>
    <t>+1 (215) 523-8000</t>
  </si>
  <si>
    <t>The Ritz-Carlton Rancho Mirage</t>
  </si>
  <si>
    <t xml:space="preserve">68-900 Frank Sinatra Drive </t>
  </si>
  <si>
    <t xml:space="preserve">Kelly Steward </t>
  </si>
  <si>
    <t>Mike Barnett</t>
  </si>
  <si>
    <t>+ (760) 321-8282</t>
  </si>
  <si>
    <t>The Ritz-Carlton San Francisco</t>
  </si>
  <si>
    <t xml:space="preserve">600 Stockton at California St </t>
  </si>
  <si>
    <t>Stephen Power</t>
  </si>
  <si>
    <t>Diego Gentili</t>
  </si>
  <si>
    <t>+ (415) 296-7465</t>
  </si>
  <si>
    <t>The Ritz-Carlton San Juan</t>
  </si>
  <si>
    <t>6961 Avenue of the Governors Isla Verde</t>
  </si>
  <si>
    <t>+ (787) 253-1700</t>
  </si>
  <si>
    <t>The Ritz-Carlton Sarasota</t>
  </si>
  <si>
    <t xml:space="preserve">1111 Ritz Carlton Dr </t>
  </si>
  <si>
    <t>Michael Seaman</t>
  </si>
  <si>
    <t>Dawn Moore</t>
  </si>
  <si>
    <t>+ (941) 309-2000</t>
  </si>
  <si>
    <t>The Ritz-Carlton South Beach</t>
  </si>
  <si>
    <t xml:space="preserve">One Lincoln Road </t>
  </si>
  <si>
    <t>Jackie Volkart</t>
  </si>
  <si>
    <t>+1 (786) 276-4000</t>
  </si>
  <si>
    <t>The Ritz-Carlton St. Louis</t>
  </si>
  <si>
    <t xml:space="preserve">100 Carondelet Plaza </t>
  </si>
  <si>
    <t>ST. Louis</t>
  </si>
  <si>
    <t>Amanda Joiner</t>
  </si>
  <si>
    <t xml:space="preserve">Jane Leving </t>
  </si>
  <si>
    <t>+ (314) 863-6300</t>
  </si>
  <si>
    <t>The Ritz-Carlton St. Thomas</t>
  </si>
  <si>
    <t xml:space="preserve">6900 Great Bay </t>
  </si>
  <si>
    <t>ST. THOMAS</t>
  </si>
  <si>
    <t>Joan Floyd</t>
  </si>
  <si>
    <t>+1 (340) 775-3333</t>
  </si>
  <si>
    <t>The Ritz-Carlton Toronto</t>
  </si>
  <si>
    <t xml:space="preserve">181 Wellington Street West </t>
  </si>
  <si>
    <t>M5V 3G7</t>
  </si>
  <si>
    <t>Guillaume Benezech</t>
  </si>
  <si>
    <t>+1 (416) 585-2500</t>
  </si>
  <si>
    <t>The River Inn Hotel</t>
  </si>
  <si>
    <t xml:space="preserve">924 25th St NW </t>
  </si>
  <si>
    <t>John Paul Wood</t>
  </si>
  <si>
    <t>Ashlee Harper</t>
  </si>
  <si>
    <t>+1 (202) 337-7600</t>
  </si>
  <si>
    <t>The Riverton Country Club Corp</t>
  </si>
  <si>
    <t>The Riverton Country Club</t>
  </si>
  <si>
    <t xml:space="preserve">1416 Highland Avenue </t>
  </si>
  <si>
    <t>Joe Mendez</t>
  </si>
  <si>
    <t>+1 (856) 829-5500</t>
  </si>
  <si>
    <t>The Robey Hotel</t>
  </si>
  <si>
    <t xml:space="preserve">2018 West North Avenue </t>
  </si>
  <si>
    <t>Celia Marrero</t>
  </si>
  <si>
    <t>Miguel Soto</t>
  </si>
  <si>
    <t>+1 (872) 315-3050</t>
  </si>
  <si>
    <t>The Rose Hotel</t>
  </si>
  <si>
    <t xml:space="preserve">5200 Pearl Street </t>
  </si>
  <si>
    <t>Micaela Haas</t>
  </si>
  <si>
    <t>Matthew Greenberg</t>
  </si>
  <si>
    <t>+1+(847)260-4770</t>
  </si>
  <si>
    <t>The Row Autograph Collection</t>
  </si>
  <si>
    <t xml:space="preserve">360 Foley Street </t>
  </si>
  <si>
    <t>Somerville</t>
  </si>
  <si>
    <t>Christopher Werth</t>
  </si>
  <si>
    <t>Kimberly Reed</t>
  </si>
  <si>
    <t>+1 (617) 628-1300</t>
  </si>
  <si>
    <t>The Royal Hawaiian Waikiki</t>
  </si>
  <si>
    <t xml:space="preserve">2259 Kalakaua Avenue </t>
  </si>
  <si>
    <t>+1(808)923-7311</t>
  </si>
  <si>
    <t>The Royal Palm Miami-South Beach</t>
  </si>
  <si>
    <t xml:space="preserve">1545 Collins Avenue </t>
  </si>
  <si>
    <t>Jenna Mendell</t>
  </si>
  <si>
    <t>Jose Espinosa</t>
  </si>
  <si>
    <t>+ (305) 604-5700</t>
  </si>
  <si>
    <t>The Ryder Hotel</t>
  </si>
  <si>
    <t xml:space="preserve">237 Meeting Street </t>
  </si>
  <si>
    <t>+1 (843) 723-7451</t>
  </si>
  <si>
    <t>The Safe House</t>
  </si>
  <si>
    <t xml:space="preserve">779 North Front </t>
  </si>
  <si>
    <t>Nick Dillon</t>
  </si>
  <si>
    <t>Jeff Bishop</t>
  </si>
  <si>
    <t>+1 (441) 271-2007</t>
  </si>
  <si>
    <t>The Safehouse Chicago</t>
  </si>
  <si>
    <t>Tim Baker</t>
  </si>
  <si>
    <t>The Sagamore Pendry Baltimore</t>
  </si>
  <si>
    <t xml:space="preserve">1715 Thames Street </t>
  </si>
  <si>
    <t>+1(443)552-1400</t>
  </si>
  <si>
    <t>The Saguaro Palm Springs</t>
  </si>
  <si>
    <t xml:space="preserve">1800 East Palm Canyon Drive </t>
  </si>
  <si>
    <t>Curtis Pandes</t>
  </si>
  <si>
    <t>+1 (760) 323-1711</t>
  </si>
  <si>
    <t>The Saguaro Scottsdale</t>
  </si>
  <si>
    <t xml:space="preserve">4000 North Drinkwater Boulevard </t>
  </si>
  <si>
    <t>Joe Iturri</t>
  </si>
  <si>
    <t>Richard Castricone</t>
  </si>
  <si>
    <t>+1 (480) 308-1100</t>
  </si>
  <si>
    <t>The Sanctuary Beach Resort</t>
  </si>
  <si>
    <t xml:space="preserve">3295 Dunes Road </t>
  </si>
  <si>
    <t>MARINA</t>
  </si>
  <si>
    <t>Jonathan Macioce</t>
  </si>
  <si>
    <t>+1 (831) 883-9478</t>
  </si>
  <si>
    <t>The Santaluz Club</t>
  </si>
  <si>
    <t xml:space="preserve">8170 Caminito Santaluz East </t>
  </si>
  <si>
    <t>Randi Marsden</t>
  </si>
  <si>
    <t>Scott Julien</t>
  </si>
  <si>
    <t>+1 (858) 759-3131</t>
  </si>
  <si>
    <t>The Sarasota Modern a Tribute Portfolio Hotel</t>
  </si>
  <si>
    <t xml:space="preserve">1290 Boulevard of the Arts </t>
  </si>
  <si>
    <t>Amy Castrello</t>
  </si>
  <si>
    <t>+1 (941) 906-1290</t>
  </si>
  <si>
    <t>The Settlers Inn</t>
  </si>
  <si>
    <t xml:space="preserve">4 Main Avenue </t>
  </si>
  <si>
    <t>The Shoal La Jolla Beach</t>
  </si>
  <si>
    <t xml:space="preserve">6750 La Jolla Boulevard </t>
  </si>
  <si>
    <t>Tricia Banks</t>
  </si>
  <si>
    <t>+1 (858) 454-0716</t>
  </si>
  <si>
    <t>The Shoals</t>
  </si>
  <si>
    <t xml:space="preserve">990 Sunbelt Parkway </t>
  </si>
  <si>
    <t>Muscle Shoals</t>
  </si>
  <si>
    <t>Melissa King</t>
  </si>
  <si>
    <t>+1 (256) 446-5111</t>
  </si>
  <si>
    <t>The Shores Resort &amp; Spa</t>
  </si>
  <si>
    <t xml:space="preserve">2637 South Atlantic Avenue </t>
  </si>
  <si>
    <t>Rob Burnetti</t>
  </si>
  <si>
    <t>+1 (386) 767-7350</t>
  </si>
  <si>
    <t>The Siena Hotel Autograph Collection</t>
  </si>
  <si>
    <t xml:space="preserve">1505 East Franklin Street </t>
  </si>
  <si>
    <t>Anthony Carey</t>
  </si>
  <si>
    <t>Sean Singhi</t>
  </si>
  <si>
    <t>+ (919) 918-2553</t>
  </si>
  <si>
    <t>The Silversmith Hotel</t>
  </si>
  <si>
    <t xml:space="preserve">10 S Wabash Ave </t>
  </si>
  <si>
    <t>Frank Leone</t>
  </si>
  <si>
    <t>+ (312) 372-7696</t>
  </si>
  <si>
    <t>The Skirvin Hilton Oklahoma City</t>
  </si>
  <si>
    <t>Skip Harless</t>
  </si>
  <si>
    <t>+1 (405) 272-3040</t>
  </si>
  <si>
    <t>Somerset HT Property LLC</t>
  </si>
  <si>
    <t>The Somerset Hills Hotel</t>
  </si>
  <si>
    <t xml:space="preserve">200 Liberty Corner Road </t>
  </si>
  <si>
    <t>+1 (908) 647-6700</t>
  </si>
  <si>
    <t>The Southernmost Inn</t>
  </si>
  <si>
    <t xml:space="preserve">525 United Street </t>
  </si>
  <si>
    <t>Daniel Bar</t>
  </si>
  <si>
    <t>The Spectator</t>
  </si>
  <si>
    <t xml:space="preserve">67 State Street </t>
  </si>
  <si>
    <t>Julia Sauer</t>
  </si>
  <si>
    <t>+1 (843) 724-4326</t>
  </si>
  <si>
    <t>The Springhaven Club Inc.</t>
  </si>
  <si>
    <t xml:space="preserve">The Springhaven Club </t>
  </si>
  <si>
    <t xml:space="preserve">600 S Providence Rd. </t>
  </si>
  <si>
    <t>Wallingford</t>
  </si>
  <si>
    <t>T.J. Diagne</t>
  </si>
  <si>
    <t>+ (610) 876-8187</t>
  </si>
  <si>
    <t>The St. Regis Aspen Resort</t>
  </si>
  <si>
    <t xml:space="preserve">315 East Dean Street </t>
  </si>
  <si>
    <t>Heather Steenge-Hart</t>
  </si>
  <si>
    <t>Miguel Sanchez</t>
  </si>
  <si>
    <t>+1(970) 920-3300</t>
  </si>
  <si>
    <t>The St. Regis Atlanta Hotel &amp; Residences</t>
  </si>
  <si>
    <t xml:space="preserve">88 West Paces Ferry Rd NW </t>
  </si>
  <si>
    <t>Amy Uraine</t>
  </si>
  <si>
    <t>Guntram Merl</t>
  </si>
  <si>
    <t>+(404)563-7900</t>
  </si>
  <si>
    <t>The St. Regis Bahia Beach Resort Puerto Rico</t>
  </si>
  <si>
    <t xml:space="preserve">State Road 187 kilometer 4.2 </t>
  </si>
  <si>
    <t>Alt Rio grande</t>
  </si>
  <si>
    <t>Jailina Rivera</t>
  </si>
  <si>
    <t>+(787) 809-8000</t>
  </si>
  <si>
    <t>The St. Regis Bal Harbour Resort</t>
  </si>
  <si>
    <t xml:space="preserve">9703 Collins Ave </t>
  </si>
  <si>
    <t>Bal Harbour</t>
  </si>
  <si>
    <t>Anastasia Veselova</t>
  </si>
  <si>
    <t>+1(305)993-3300</t>
  </si>
  <si>
    <t>The St. Regis Deer Valley</t>
  </si>
  <si>
    <t xml:space="preserve">2300 Deer Valley Drive East </t>
  </si>
  <si>
    <t>Tyler Mugford</t>
  </si>
  <si>
    <t>Alejandro Abad</t>
  </si>
  <si>
    <t>+1(435)940-5700</t>
  </si>
  <si>
    <t>The St. Regis Houston</t>
  </si>
  <si>
    <t xml:space="preserve">1919 Briar Oaks Lane </t>
  </si>
  <si>
    <t>Nicholas McDermott</t>
  </si>
  <si>
    <t>+1 (713) 840-7600</t>
  </si>
  <si>
    <t>The St. Regis Mexico City</t>
  </si>
  <si>
    <t xml:space="preserve">Paseo de la Reforma 439 Colonia Cuauhtemoc </t>
  </si>
  <si>
    <t>Thomas Jecklin</t>
  </si>
  <si>
    <t>Omar Espinosa De Los Monteros</t>
  </si>
  <si>
    <t>+(52)(55) 5228 1818</t>
  </si>
  <si>
    <t>The St. Regis New York</t>
  </si>
  <si>
    <t xml:space="preserve">2 East 55th Street </t>
  </si>
  <si>
    <t>Daniel Ritacco</t>
  </si>
  <si>
    <t>Ilona Manka</t>
  </si>
  <si>
    <t>+1(212)753-4500</t>
  </si>
  <si>
    <t>The St. Regis Punta Mita</t>
  </si>
  <si>
    <t>Lote H-4 Carretera Federal 200 km 19.5 PROMOTORA HOTELERA PUNTA MITA S DE RL DE CV</t>
  </si>
  <si>
    <t>Punta Mita</t>
  </si>
  <si>
    <t>James Hughes</t>
  </si>
  <si>
    <t>+()52 329 291 5800</t>
  </si>
  <si>
    <t>The St. Regis San Francisco</t>
  </si>
  <si>
    <t xml:space="preserve">125 3rd St </t>
  </si>
  <si>
    <t>Kevin ONeill</t>
  </si>
  <si>
    <t>Roger Huldi</t>
  </si>
  <si>
    <t>+(415)284-4000</t>
  </si>
  <si>
    <t>The St. Regis Toronto</t>
  </si>
  <si>
    <t xml:space="preserve">325 Bay Street </t>
  </si>
  <si>
    <t>M5H 4G3</t>
  </si>
  <si>
    <t>Tim Terceira</t>
  </si>
  <si>
    <t>Dennis Sorensen</t>
  </si>
  <si>
    <t>+1 (416) 306-5800</t>
  </si>
  <si>
    <t>The St. Regis Washington D.C.</t>
  </si>
  <si>
    <t xml:space="preserve">923 16th Street North West </t>
  </si>
  <si>
    <t>Winfred VanWorkum</t>
  </si>
  <si>
    <t>+1(202)638-2626</t>
  </si>
  <si>
    <t>The State Hotel</t>
  </si>
  <si>
    <t xml:space="preserve">1501 2nd Avenue </t>
  </si>
  <si>
    <t>Rob Nichols</t>
  </si>
  <si>
    <t>+1 (206) 239-1800</t>
  </si>
  <si>
    <t>The StateView Hotel</t>
  </si>
  <si>
    <t xml:space="preserve">2451 Alumni Drive </t>
  </si>
  <si>
    <t>Jiquan Williams</t>
  </si>
  <si>
    <t>Richard Nelson</t>
  </si>
  <si>
    <t>+1 (919) 743-0055</t>
  </si>
  <si>
    <t>The Sternwheeler Hotel &amp; Conference Centre</t>
  </si>
  <si>
    <t xml:space="preserve">201 Wood Street </t>
  </si>
  <si>
    <t>Y1A 2E4</t>
  </si>
  <si>
    <t>Louis Gagnon</t>
  </si>
  <si>
    <t>+ (867) 393-9700</t>
  </si>
  <si>
    <t>The Stowehof</t>
  </si>
  <si>
    <t xml:space="preserve">434 Edson Hill Road </t>
  </si>
  <si>
    <t>Ryan Krukar</t>
  </si>
  <si>
    <t>+1 (802) 253-9722</t>
  </si>
  <si>
    <t>The Times Square EDITION - JFR</t>
  </si>
  <si>
    <t xml:space="preserve">701 7th Avenue </t>
  </si>
  <si>
    <t>Chris Teitel</t>
  </si>
  <si>
    <t>TJ Richardson</t>
  </si>
  <si>
    <t>+1 (347) 831-8890</t>
  </si>
  <si>
    <t>The Tower Residences Condo Association</t>
  </si>
  <si>
    <t xml:space="preserve">35 WATERGATE DR </t>
  </si>
  <si>
    <t>Jaro Gutknecht</t>
  </si>
  <si>
    <t xml:space="preserve">+ (941) 309-2123 </t>
  </si>
  <si>
    <t>The TWA Hotel</t>
  </si>
  <si>
    <t xml:space="preserve">JFK International Airport Building 60 </t>
  </si>
  <si>
    <t>Justin Vining</t>
  </si>
  <si>
    <t>Milton Concepcion</t>
  </si>
  <si>
    <t>+1 (518) 763-9870</t>
  </si>
  <si>
    <t>The Umstead Hotel and Spa</t>
  </si>
  <si>
    <t xml:space="preserve">100 Woodland Pond </t>
  </si>
  <si>
    <t>Jim Beley</t>
  </si>
  <si>
    <t>+ 1 (919) 447-4000</t>
  </si>
  <si>
    <t>The Union League Guard House</t>
  </si>
  <si>
    <t xml:space="preserve">953 Youngsford Road </t>
  </si>
  <si>
    <t>Joshua Cormier</t>
  </si>
  <si>
    <t>+1 (610) 649-9708</t>
  </si>
  <si>
    <t>The Union League of Philadelphia</t>
  </si>
  <si>
    <t xml:space="preserve">140 South Broad Street </t>
  </si>
  <si>
    <t>Jeffrey McFadden</t>
  </si>
  <si>
    <t>Maggie Petrucci</t>
  </si>
  <si>
    <t>+1 (215) 563 6500</t>
  </si>
  <si>
    <t>University Club of Washington DC</t>
  </si>
  <si>
    <t>The University Club of Washington DC</t>
  </si>
  <si>
    <t xml:space="preserve">1135 16th Street Northwest </t>
  </si>
  <si>
    <t>Brian Donohoe</t>
  </si>
  <si>
    <t>David Conroy</t>
  </si>
  <si>
    <t>+1 (202) 862-8800</t>
  </si>
  <si>
    <t>The University Inn at Emory</t>
  </si>
  <si>
    <t xml:space="preserve">1767 North Decatur Road Northeast </t>
  </si>
  <si>
    <t>Darren Aylward</t>
  </si>
  <si>
    <t>Shirley Kunz</t>
  </si>
  <si>
    <t>+1 (404) 634-7327</t>
  </si>
  <si>
    <t>The US Grant San Diego</t>
  </si>
  <si>
    <t xml:space="preserve">326 Broadway </t>
  </si>
  <si>
    <t>Douglas Korn</t>
  </si>
  <si>
    <t>+1(619)232-3121</t>
  </si>
  <si>
    <t>The Varscona Hotel</t>
  </si>
  <si>
    <t xml:space="preserve">10612 82nd Avenue </t>
  </si>
  <si>
    <t>T6E 2A7</t>
  </si>
  <si>
    <t>+1 (780) 434-6111</t>
  </si>
  <si>
    <t>The Ven at Embassy Row Washington D.C. a Tribute Portfolio Hotel</t>
  </si>
  <si>
    <t xml:space="preserve">2015 Massachusetts Avenue NW </t>
  </si>
  <si>
    <t>Jennifer Goodman</t>
  </si>
  <si>
    <t>+1 (202) 265-1600</t>
  </si>
  <si>
    <t>246 Spring Street (NY) LLC - Vestry</t>
  </si>
  <si>
    <t>The Vestry</t>
  </si>
  <si>
    <t>Arthur Pizza</t>
  </si>
  <si>
    <t>+1 (702) 719-5415</t>
  </si>
  <si>
    <t>The Villages Golf &amp; Country Club</t>
  </si>
  <si>
    <t xml:space="preserve">5000 Cribari Lane </t>
  </si>
  <si>
    <t>Tim Sutherland</t>
  </si>
  <si>
    <t>John Yu</t>
  </si>
  <si>
    <t>+1 (408) 274-4400</t>
  </si>
  <si>
    <t>The Villas at Rancho Valencia</t>
  </si>
  <si>
    <t>Connie Thornburgh</t>
  </si>
  <si>
    <t>The Wall Street Hotel</t>
  </si>
  <si>
    <t xml:space="preserve">88 Wall Street </t>
  </si>
  <si>
    <t>Betty Lau</t>
  </si>
  <si>
    <t>Mike Raffinello</t>
  </si>
  <si>
    <t>+1 (702) 701-4352</t>
  </si>
  <si>
    <t>Watergate Hotel Lessee LLC</t>
  </si>
  <si>
    <t>The Watergate Hotel</t>
  </si>
  <si>
    <t xml:space="preserve">2650 Virginia Avenue NW </t>
  </si>
  <si>
    <t>+(202)827-1600</t>
  </si>
  <si>
    <t>The Wayfinder Hotel</t>
  </si>
  <si>
    <t xml:space="preserve">151 Admiral Kalbfus Road </t>
  </si>
  <si>
    <t>Matt Cunningham</t>
  </si>
  <si>
    <t>+1 (401) 849-9880</t>
  </si>
  <si>
    <t>The Westgate Hotel</t>
  </si>
  <si>
    <t xml:space="preserve">1055 Second Avenue </t>
  </si>
  <si>
    <t xml:space="preserve">Annie Fitzgerald </t>
  </si>
  <si>
    <t>Cindy Talstrom</t>
  </si>
  <si>
    <t>+ (619) 238-1818</t>
  </si>
  <si>
    <t xml:space="preserve">The Westin Austin at The Domain </t>
  </si>
  <si>
    <t xml:space="preserve">11301 Domain Drive </t>
  </si>
  <si>
    <t>Trinity Otto</t>
  </si>
  <si>
    <t>+ (512) 832-4197</t>
  </si>
  <si>
    <t>The Westin Bayshore Vancouver</t>
  </si>
  <si>
    <t xml:space="preserve">1601 Bayshore Drive </t>
  </si>
  <si>
    <t xml:space="preserve">Vancouver </t>
  </si>
  <si>
    <t>V6G 2V4</t>
  </si>
  <si>
    <t>Paul Cannings</t>
  </si>
  <si>
    <t>Sarah Woodgate</t>
  </si>
  <si>
    <t>+1(604)682-3377</t>
  </si>
  <si>
    <t>The Westin Bellevue</t>
  </si>
  <si>
    <t xml:space="preserve">600 Bellevue Way North East </t>
  </si>
  <si>
    <t>Mike Barrett</t>
  </si>
  <si>
    <t>Richard Hill</t>
  </si>
  <si>
    <t>+1(425)638-1000</t>
  </si>
  <si>
    <t>The Westin Birmingham</t>
  </si>
  <si>
    <t xml:space="preserve">2221 Richard Arrington Jr Blvd N </t>
  </si>
  <si>
    <t>+1(205)307-3600</t>
  </si>
  <si>
    <t>The Westin Book Cadillac Detroit</t>
  </si>
  <si>
    <t xml:space="preserve">1114 Washington Blvd </t>
  </si>
  <si>
    <t>Deb Schultz</t>
  </si>
  <si>
    <t>+1(313)442-1600</t>
  </si>
  <si>
    <t>The Westin Buckhead Atlanta</t>
  </si>
  <si>
    <t xml:space="preserve">3391 Peachtree Road North East </t>
  </si>
  <si>
    <t>Jeff Charlton</t>
  </si>
  <si>
    <t>+1(404)365-0065</t>
  </si>
  <si>
    <t>The Westin Calgary</t>
  </si>
  <si>
    <t xml:space="preserve">320 4 Ave SW </t>
  </si>
  <si>
    <t>T2P 2S6</t>
  </si>
  <si>
    <t>+1(403)266-1611</t>
  </si>
  <si>
    <t>The Westin Calgary Airport</t>
  </si>
  <si>
    <t xml:space="preserve">671 Aero Drive Northeast </t>
  </si>
  <si>
    <t>T2E 8Z9</t>
  </si>
  <si>
    <t>Jeet Arora</t>
  </si>
  <si>
    <t>Dessiree Zaragoza</t>
  </si>
  <si>
    <t>+1 (403) 452-5406</t>
  </si>
  <si>
    <t>The Westin Cape Coral Resort at Marina Village</t>
  </si>
  <si>
    <t xml:space="preserve">5951 Silver King Blvd </t>
  </si>
  <si>
    <t>+1(239)541-5000</t>
  </si>
  <si>
    <t>The Westin Charlotte</t>
  </si>
  <si>
    <t xml:space="preserve">601 S College St </t>
  </si>
  <si>
    <t>geoffrey cousineau</t>
  </si>
  <si>
    <t>+1(704)375.2600</t>
  </si>
  <si>
    <t>The Westin Chicago Northwest</t>
  </si>
  <si>
    <t xml:space="preserve">400 Park Boulevard </t>
  </si>
  <si>
    <t>Hasan Ali</t>
  </si>
  <si>
    <t>+1 (630) 773-4000</t>
  </si>
  <si>
    <t>The Westin Chicago River North</t>
  </si>
  <si>
    <t xml:space="preserve">320 North Dearborn Street </t>
  </si>
  <si>
    <t>Chad Rigsby</t>
  </si>
  <si>
    <t>John Lampa</t>
  </si>
  <si>
    <t>+1 (312) 744-1900</t>
  </si>
  <si>
    <t>The Westin Cincinnati</t>
  </si>
  <si>
    <t xml:space="preserve">21 East 5th Street </t>
  </si>
  <si>
    <t>Jon Coleman</t>
  </si>
  <si>
    <t>Patricia Hakes</t>
  </si>
  <si>
    <t>+1 (513) 621-7700</t>
  </si>
  <si>
    <t>The Westin Cleveland Downtown</t>
  </si>
  <si>
    <t xml:space="preserve">777 Saint Clair Avenue NE </t>
  </si>
  <si>
    <t>Tim Meyer</t>
  </si>
  <si>
    <t>+ (216) 771-7700</t>
  </si>
  <si>
    <t>The Westin Convention Center Pittsburgh</t>
  </si>
  <si>
    <t xml:space="preserve">1000 Penn Ave </t>
  </si>
  <si>
    <t>Tom Martini</t>
  </si>
  <si>
    <t>+(412)281-3700</t>
  </si>
  <si>
    <t>The Westin Copley Place</t>
  </si>
  <si>
    <t xml:space="preserve">10 Huntington Ave </t>
  </si>
  <si>
    <t>Glenn Ralfs</t>
  </si>
  <si>
    <t>Leslie Blood</t>
  </si>
  <si>
    <t>+1(617)262-9600</t>
  </si>
  <si>
    <t>The Westin Crystal City</t>
  </si>
  <si>
    <t xml:space="preserve">1800 Richmond Highway </t>
  </si>
  <si>
    <t>Michael Breitenbach</t>
  </si>
  <si>
    <t>+1 (703) 486-1111</t>
  </si>
  <si>
    <t>The Westin Dallas Downtown</t>
  </si>
  <si>
    <t xml:space="preserve">1201 Main St </t>
  </si>
  <si>
    <t>Matt Tronsdal</t>
  </si>
  <si>
    <t>Amanda Escobedo</t>
  </si>
  <si>
    <t>+1(972)584-6650</t>
  </si>
  <si>
    <t>The Westin Dallas Fort Worth Airport</t>
  </si>
  <si>
    <t xml:space="preserve">4545 West John Carpenter Freeway </t>
  </si>
  <si>
    <t>Brittany Kingery</t>
  </si>
  <si>
    <t>Jessica Ferrer</t>
  </si>
  <si>
    <t>+1 (972) 929-4500</t>
  </si>
  <si>
    <t>The Westin Dallas Park Central</t>
  </si>
  <si>
    <t xml:space="preserve">12720 Merit Drive </t>
  </si>
  <si>
    <t>John Studds</t>
  </si>
  <si>
    <t>Shawn Nayyar</t>
  </si>
  <si>
    <t>+1 (972) 385-3000</t>
  </si>
  <si>
    <t>The Westin Denver Downtown</t>
  </si>
  <si>
    <t xml:space="preserve">1672 Lawrence Street </t>
  </si>
  <si>
    <t>Jerry Caliguire</t>
  </si>
  <si>
    <t>Adam Peiffer</t>
  </si>
  <si>
    <t>+1(303)572-9100</t>
  </si>
  <si>
    <t>The Westin Denver International Airport</t>
  </si>
  <si>
    <t xml:space="preserve">8300 Pena Boulevard </t>
  </si>
  <si>
    <t>Laura Lojas</t>
  </si>
  <si>
    <t>Aaron Burris</t>
  </si>
  <si>
    <t>+1(303)317-1800</t>
  </si>
  <si>
    <t>The Westin Edmonton</t>
  </si>
  <si>
    <t xml:space="preserve">10135 100 St NW </t>
  </si>
  <si>
    <t>T5J 0N7</t>
  </si>
  <si>
    <t>Joumana Ghandour</t>
  </si>
  <si>
    <t>+1(780)426-3636</t>
  </si>
  <si>
    <t>The Westin Galleria Dallas</t>
  </si>
  <si>
    <t xml:space="preserve">13340 Dallas Pkwy </t>
  </si>
  <si>
    <t>Greg White</t>
  </si>
  <si>
    <t>Natosha Morris</t>
  </si>
  <si>
    <t>+1(972)934-9494</t>
  </si>
  <si>
    <t>The Westin Galleria Houston</t>
  </si>
  <si>
    <t xml:space="preserve">5060 W Alabama St </t>
  </si>
  <si>
    <t>Mark Weatherill</t>
  </si>
  <si>
    <t>Peter Mihalakis</t>
  </si>
  <si>
    <t>+1(713)960-8100</t>
  </si>
  <si>
    <t>The Westin Georgetown Washington D.C.</t>
  </si>
  <si>
    <t xml:space="preserve">2350 M St NW </t>
  </si>
  <si>
    <t>+1(202)429-0100</t>
  </si>
  <si>
    <t>The Westin Guadalajara</t>
  </si>
  <si>
    <t xml:space="preserve">Avenida de las Rosas 2911 </t>
  </si>
  <si>
    <t>Fernando Wallis</t>
  </si>
  <si>
    <t>+(52)(33) 3880 2700</t>
  </si>
  <si>
    <t>The Westin Hapuna Beach Resort</t>
  </si>
  <si>
    <t xml:space="preserve">62-100 Kauna'Oa Drive </t>
  </si>
  <si>
    <t>Tom Cross</t>
  </si>
  <si>
    <t>+1(808) 880-1111</t>
  </si>
  <si>
    <t>The Westin Harbour Castle Toronto</t>
  </si>
  <si>
    <t xml:space="preserve">One Harbour Square </t>
  </si>
  <si>
    <t>M5J 1A6</t>
  </si>
  <si>
    <t>Harmeet Chugh</t>
  </si>
  <si>
    <t>Peter Gillis</t>
  </si>
  <si>
    <t>+1(416)869-1600</t>
  </si>
  <si>
    <t>The Westin Hilton Head Island Resort &amp; Spa</t>
  </si>
  <si>
    <t xml:space="preserve">2 Grasslawn Ave </t>
  </si>
  <si>
    <t>michael tighe</t>
  </si>
  <si>
    <t>+1(843)681-4000</t>
  </si>
  <si>
    <t>The Westin Houston Medical Center</t>
  </si>
  <si>
    <t xml:space="preserve">1709 Dryden Road </t>
  </si>
  <si>
    <t>Barry Sondern</t>
  </si>
  <si>
    <t>Luong Lee</t>
  </si>
  <si>
    <t>+1(713)730-2404</t>
  </si>
  <si>
    <t>The Westin Houston Memorial City</t>
  </si>
  <si>
    <t xml:space="preserve">945 Gessner Rd </t>
  </si>
  <si>
    <t>Kerry Ringham</t>
  </si>
  <si>
    <t>+1(281)501-4300</t>
  </si>
  <si>
    <t>The Westin Irving Convention Center at Las Colinas</t>
  </si>
  <si>
    <t xml:space="preserve">400 West Las Colinas Boulevard </t>
  </si>
  <si>
    <t>Todd Winch</t>
  </si>
  <si>
    <t>Werner Mostert</t>
  </si>
  <si>
    <t>+1 (468) 647-9692</t>
  </si>
  <si>
    <t>The Westin Jackson</t>
  </si>
  <si>
    <t xml:space="preserve">407 South Congress Street </t>
  </si>
  <si>
    <t>Mike Burton</t>
  </si>
  <si>
    <t>+1 (601) 968-8200</t>
  </si>
  <si>
    <t>The Westin Kansas City at Crown Center</t>
  </si>
  <si>
    <t xml:space="preserve">1 East Pershing Road </t>
  </si>
  <si>
    <t>+1(816)474-4400</t>
  </si>
  <si>
    <t>The Westin La Paloma Resort &amp; Spa</t>
  </si>
  <si>
    <t xml:space="preserve">3800 East Sunrise Drive </t>
  </si>
  <si>
    <t>Trevor Curran</t>
  </si>
  <si>
    <t>Zach Dadoush</t>
  </si>
  <si>
    <t>+1 (520) 742-6000</t>
  </si>
  <si>
    <t>The Westin Lombard Yorktown Center</t>
  </si>
  <si>
    <t xml:space="preserve">70 Yorktown Center </t>
  </si>
  <si>
    <t>Kym Myers</t>
  </si>
  <si>
    <t>+()630-719-8000</t>
  </si>
  <si>
    <t>The Westin Los Angeles Airport</t>
  </si>
  <si>
    <t xml:space="preserve">5400 W Century Blvd </t>
  </si>
  <si>
    <t>Mark Goldrup</t>
  </si>
  <si>
    <t>+1(310)216-5858</t>
  </si>
  <si>
    <t>The Westin Maui Resort &amp; Spa</t>
  </si>
  <si>
    <t xml:space="preserve">2365 Kaanapali Pkwy </t>
  </si>
  <si>
    <t>ANNA MARIE KANAHA</t>
  </si>
  <si>
    <t>Daisylyn Yadao</t>
  </si>
  <si>
    <t>+1(808)667-2525</t>
  </si>
  <si>
    <t>Senate Hotel Memphis SPE LLC</t>
  </si>
  <si>
    <t>The Westin Memphis Beale Street</t>
  </si>
  <si>
    <t xml:space="preserve">170 Lt. George W. Lee Avenue </t>
  </si>
  <si>
    <t>Kelli Speed</t>
  </si>
  <si>
    <t>Kim Murray</t>
  </si>
  <si>
    <t>+()1 901-334-5900</t>
  </si>
  <si>
    <t>The Westin Michigan Avenue Chicago</t>
  </si>
  <si>
    <t xml:space="preserve">909 N Michigan Avenue </t>
  </si>
  <si>
    <t>Didier Luneau</t>
  </si>
  <si>
    <t>Janice DeLaCruz</t>
  </si>
  <si>
    <t>+()312-943-7200</t>
  </si>
  <si>
    <t>The Westin Milwaukee</t>
  </si>
  <si>
    <t xml:space="preserve">550 North Buren Street </t>
  </si>
  <si>
    <t>+1 (414) 224-5224</t>
  </si>
  <si>
    <t>The Westin Minneapolis</t>
  </si>
  <si>
    <t xml:space="preserve">88 South 6th Street </t>
  </si>
  <si>
    <t>55402 - 1114</t>
  </si>
  <si>
    <t>Andrew Aldrich</t>
  </si>
  <si>
    <t>+1 (612) 333-4006</t>
  </si>
  <si>
    <t>The Westin Mission Hills Resort &amp; Villas</t>
  </si>
  <si>
    <t xml:space="preserve">71777 Dinah Shore Drive </t>
  </si>
  <si>
    <t>Westin (LMS)</t>
  </si>
  <si>
    <t>Brandon Elliott</t>
  </si>
  <si>
    <t>Patty Mundo</t>
  </si>
  <si>
    <t>+1 (760) 328-5955</t>
  </si>
  <si>
    <t>The Westin New York at Times Square</t>
  </si>
  <si>
    <t xml:space="preserve">270 W 43rd St </t>
  </si>
  <si>
    <t>Michael Wlodkowski</t>
  </si>
  <si>
    <t>Annette Gillis</t>
  </si>
  <si>
    <t>+1(212)201-2700</t>
  </si>
  <si>
    <t xml:space="preserve">The Westin New York Grand Central </t>
  </si>
  <si>
    <t xml:space="preserve">212 E 42nd St </t>
  </si>
  <si>
    <t>John Sinclair</t>
  </si>
  <si>
    <t>Candice Baynes</t>
  </si>
  <si>
    <t>+1(212)490-8900</t>
  </si>
  <si>
    <t>The Westin Oaks Houston at the Galleria</t>
  </si>
  <si>
    <t xml:space="preserve">5011 Westheimer Rd </t>
  </si>
  <si>
    <t>The Westin O'Hare</t>
  </si>
  <si>
    <t xml:space="preserve">6100 N River Rd </t>
  </si>
  <si>
    <t>+(847) 698-6000</t>
  </si>
  <si>
    <t>The Westin Ottawa</t>
  </si>
  <si>
    <t xml:space="preserve">11 Colonel By Drive </t>
  </si>
  <si>
    <t>K1N 9H4</t>
  </si>
  <si>
    <t>Elia Villamayor</t>
  </si>
  <si>
    <t>Ross Meredith</t>
  </si>
  <si>
    <t>+1(613)560-7000</t>
  </si>
  <si>
    <t>The Westin Peachtree Plaza</t>
  </si>
  <si>
    <t xml:space="preserve">210 Peachtree Street NW </t>
  </si>
  <si>
    <t>Ron Tarson</t>
  </si>
  <si>
    <t>Woody Gray</t>
  </si>
  <si>
    <t>+1 (404) 659-1400</t>
  </si>
  <si>
    <t>The Westin Philadelphia</t>
  </si>
  <si>
    <t>99 South 17th Street at Liberty Place</t>
  </si>
  <si>
    <t>Irfan Qureshi</t>
  </si>
  <si>
    <t>Justin Hersker</t>
  </si>
  <si>
    <t>+1 (215) 563-1600</t>
  </si>
  <si>
    <t>The Westin Phoenix Downtown</t>
  </si>
  <si>
    <t xml:space="preserve">333 N Central Ave </t>
  </si>
  <si>
    <t>Donalei Smith</t>
  </si>
  <si>
    <t>Andrew Kreis</t>
  </si>
  <si>
    <t>+1(602)429-3500</t>
  </si>
  <si>
    <t>The Westin Playa Conchal &amp; W Reserva Conchal</t>
  </si>
  <si>
    <t xml:space="preserve">Playa Conchal Costa Rica </t>
  </si>
  <si>
    <t>Hector Ladeveze</t>
  </si>
  <si>
    <t>Hernan Binaghi</t>
  </si>
  <si>
    <t>+()506 2654 3500</t>
  </si>
  <si>
    <t>The Westin Princeton @ Forrestal Village</t>
  </si>
  <si>
    <t xml:space="preserve">201 Village Blvd. </t>
  </si>
  <si>
    <t>Emma Azizova</t>
  </si>
  <si>
    <t>+1 (609) 452-7900</t>
  </si>
  <si>
    <t>The Westin Resort &amp; Spa Cancun</t>
  </si>
  <si>
    <t xml:space="preserve">Boulevard Kukulcan KM 20 </t>
  </si>
  <si>
    <t>Martin Silva</t>
  </si>
  <si>
    <t>Pedro Groschopp</t>
  </si>
  <si>
    <t>+()52 998 848 7400</t>
  </si>
  <si>
    <t>The Westin Resort &amp; Spa Los Cabos</t>
  </si>
  <si>
    <t xml:space="preserve">Carretera Transpeninsular KM 22.5 </t>
  </si>
  <si>
    <t>Los Cabos</t>
  </si>
  <si>
    <t>Manuel Oviedo</t>
  </si>
  <si>
    <t>Efrain Cantopadilla</t>
  </si>
  <si>
    <t>+()52 624 142 9000</t>
  </si>
  <si>
    <t>The Westin Resort &amp; Spa Puerto Vallarta</t>
  </si>
  <si>
    <t xml:space="preserve">Paseo de La Marina Sur 205 Marina Vallarta </t>
  </si>
  <si>
    <t>+()52 322 226 1100</t>
  </si>
  <si>
    <t>OHR Whistler Management Ltd.</t>
  </si>
  <si>
    <t>The Westin Resort &amp; Spa Whistler</t>
  </si>
  <si>
    <t xml:space="preserve">4090 Whistler Way </t>
  </si>
  <si>
    <t>V8E 1J3</t>
  </si>
  <si>
    <t>Murray Lowe</t>
  </si>
  <si>
    <t>+1 (604) 905-5000</t>
  </si>
  <si>
    <t>The Westin Riverfront Mountain Villas</t>
  </si>
  <si>
    <t xml:space="preserve">218 Riverfront Lane </t>
  </si>
  <si>
    <t>+1 (970) 790-3000</t>
  </si>
  <si>
    <t>The Westin Riverwalk San Antonio</t>
  </si>
  <si>
    <t xml:space="preserve">420 W Market St </t>
  </si>
  <si>
    <t>Maria Martinez</t>
  </si>
  <si>
    <t>+ (866) 716-8137</t>
  </si>
  <si>
    <t>The Westin San Diego Gaslamp Quarter</t>
  </si>
  <si>
    <t xml:space="preserve">910 Broadway Circle </t>
  </si>
  <si>
    <t>John Ford</t>
  </si>
  <si>
    <t>Janice Gallagher</t>
  </si>
  <si>
    <t>+1(619)239-2200</t>
  </si>
  <si>
    <t>The Westin Sarasota</t>
  </si>
  <si>
    <t xml:space="preserve">100 Marina View Drive </t>
  </si>
  <si>
    <t>Gil Reyes</t>
  </si>
  <si>
    <t>Jim Howlett</t>
  </si>
  <si>
    <t>+()1 (941) 217-4777</t>
  </si>
  <si>
    <t>The Westin Savannah Harbor Golf Resort &amp; Spa</t>
  </si>
  <si>
    <t xml:space="preserve">1 Resort Dr </t>
  </si>
  <si>
    <t>Stuart Robinson</t>
  </si>
  <si>
    <t>+1(912)201-2000</t>
  </si>
  <si>
    <t>The Westin Seattle</t>
  </si>
  <si>
    <t xml:space="preserve">1900 5th Ave </t>
  </si>
  <si>
    <t>Diane Holliday</t>
  </si>
  <si>
    <t>+1(206)728-1000</t>
  </si>
  <si>
    <t>The Westin South Coast Plaza Costa Mesa</t>
  </si>
  <si>
    <t xml:space="preserve">686 Anton Blvd </t>
  </si>
  <si>
    <t>Betzabel Cortes</t>
  </si>
  <si>
    <t>Gregg Gerden</t>
  </si>
  <si>
    <t>+1(714)540-2500</t>
  </si>
  <si>
    <t>The Westin Stonebriar Hotel &amp; Golf Club</t>
  </si>
  <si>
    <t xml:space="preserve">1549 Legacy Dr </t>
  </si>
  <si>
    <t>James Montgomery</t>
  </si>
  <si>
    <t>+1(972)668-8000</t>
  </si>
  <si>
    <t xml:space="preserve">The Westin Toronto Airport </t>
  </si>
  <si>
    <t xml:space="preserve">950 Dixon Road </t>
  </si>
  <si>
    <t>M9W 5N4</t>
  </si>
  <si>
    <t>Tony Tamburro</t>
  </si>
  <si>
    <t>+1 (416) 675-9444</t>
  </si>
  <si>
    <t>The Westin Waltham Boston</t>
  </si>
  <si>
    <t xml:space="preserve">70 3rd Ave </t>
  </si>
  <si>
    <t>+(781)290-5600</t>
  </si>
  <si>
    <t>The Westin Washington Dulles Airport</t>
  </si>
  <si>
    <t xml:space="preserve">2520 Wasser Terrace </t>
  </si>
  <si>
    <t>Joel Fuller</t>
  </si>
  <si>
    <t>+ (703) 793-3366</t>
  </si>
  <si>
    <t>The Westshore Grand</t>
  </si>
  <si>
    <t xml:space="preserve">4860 West Kennedy Blvd </t>
  </si>
  <si>
    <t>David Rowland</t>
  </si>
  <si>
    <t>+ (813) 286-4400</t>
  </si>
  <si>
    <t xml:space="preserve">The Whiteface Lodge </t>
  </si>
  <si>
    <t xml:space="preserve">7 Whiteface Inn Lane </t>
  </si>
  <si>
    <t>Garrett Vermette</t>
  </si>
  <si>
    <t>Padraig Power</t>
  </si>
  <si>
    <t>+ (518) 523-0500</t>
  </si>
  <si>
    <t>The Whitley A Luxury Collection Hotel</t>
  </si>
  <si>
    <t xml:space="preserve">3434 Peachtree RD NE </t>
  </si>
  <si>
    <t>Shonda Peaks-Heath</t>
  </si>
  <si>
    <t>+ (404) 237-2700</t>
  </si>
  <si>
    <t>The Whitney</t>
  </si>
  <si>
    <t xml:space="preserve">14 David G. Mugar Way </t>
  </si>
  <si>
    <t>Agnes Hayes</t>
  </si>
  <si>
    <t>Marina Aslanidou</t>
  </si>
  <si>
    <t>+1 (617) 367-1866</t>
  </si>
  <si>
    <t>The Wigwam Golf Resort &amp; Spa</t>
  </si>
  <si>
    <t xml:space="preserve">300 Wigwam Boulevard </t>
  </si>
  <si>
    <t>Litchfield Park</t>
  </si>
  <si>
    <t>85340-4400</t>
  </si>
  <si>
    <t>Katy Powers</t>
  </si>
  <si>
    <t>Kirsten Seltzer</t>
  </si>
  <si>
    <t>+1 (623) 935-3811</t>
  </si>
  <si>
    <t>The Windsor Suites</t>
  </si>
  <si>
    <t xml:space="preserve">1700 Benjamin Franklin Parkway </t>
  </si>
  <si>
    <t>Michael Roberts</t>
  </si>
  <si>
    <t>Lisa Jeffers</t>
  </si>
  <si>
    <t>+1 (215) 981-5678</t>
  </si>
  <si>
    <t>The Winter Haven Hotel</t>
  </si>
  <si>
    <t xml:space="preserve">1400 Ocean Drive </t>
  </si>
  <si>
    <t>+1 (305) 531-5571</t>
  </si>
  <si>
    <t>Residensea</t>
  </si>
  <si>
    <t>The World</t>
  </si>
  <si>
    <t>1551 Sawgrass Corporate Parkway Suite 200</t>
  </si>
  <si>
    <t>+ (954) 538-8400</t>
  </si>
  <si>
    <t>The Yale Club of New York City Corp</t>
  </si>
  <si>
    <t>The Yale Club of New York City</t>
  </si>
  <si>
    <t xml:space="preserve">49 East 44th Street </t>
  </si>
  <si>
    <t>Amber Read</t>
  </si>
  <si>
    <t>Al Latif</t>
  </si>
  <si>
    <t>+1 (212) 716-2100</t>
  </si>
  <si>
    <t>Thesis Hotel Miami</t>
  </si>
  <si>
    <t xml:space="preserve">1350 South Dixie Highway </t>
  </si>
  <si>
    <t>Michael Chin</t>
  </si>
  <si>
    <t>+1 (305) 667-5611</t>
  </si>
  <si>
    <t>Thompson Central Park – New York</t>
  </si>
  <si>
    <t xml:space="preserve">119 West 56th Street </t>
  </si>
  <si>
    <t>Jeff Yong</t>
  </si>
  <si>
    <t>+1 (212) 245-5000</t>
  </si>
  <si>
    <t>Thompson Chicago</t>
  </si>
  <si>
    <t xml:space="preserve">21 East Bellevue Place </t>
  </si>
  <si>
    <t>Stefanie Hrejsa</t>
  </si>
  <si>
    <t>+1 (312) 266-2100</t>
  </si>
  <si>
    <t>Thompson DC the Yards</t>
  </si>
  <si>
    <t xml:space="preserve">221 Tingey Street SE </t>
  </si>
  <si>
    <t>Sherry Abedi</t>
  </si>
  <si>
    <t>+1 (202) 916-5200</t>
  </si>
  <si>
    <t>Thompson Playa Del Carmen</t>
  </si>
  <si>
    <t xml:space="preserve">5ta Av entre 12 y 14 </t>
  </si>
  <si>
    <t>Jorge Gonzalez</t>
  </si>
  <si>
    <t>Ricardo Espadas</t>
  </si>
  <si>
    <t>+1 (52) 9848032242</t>
  </si>
  <si>
    <t>Thompson Seattle</t>
  </si>
  <si>
    <t xml:space="preserve">110 Stewart Street </t>
  </si>
  <si>
    <t>Whitney Brown</t>
  </si>
  <si>
    <t>Ivy Zhou</t>
  </si>
  <si>
    <t>+1 (206) 623-4600</t>
  </si>
  <si>
    <t>Thompson Zihuatanejo</t>
  </si>
  <si>
    <t xml:space="preserve">Carretera Ecenica Playa La Ropa SN Zihuatanejo </t>
  </si>
  <si>
    <t>Zihuatanejo</t>
  </si>
  <si>
    <t xml:space="preserve">Manuel Jesus Villalobos </t>
  </si>
  <si>
    <t>Felicia Juarez</t>
  </si>
  <si>
    <t>+52 (755) 555-5500</t>
  </si>
  <si>
    <t>Thorntree Country Club</t>
  </si>
  <si>
    <t xml:space="preserve">825 West Wintergreen Rd </t>
  </si>
  <si>
    <t>Desoto</t>
  </si>
  <si>
    <t>Carlene Pagliara</t>
  </si>
  <si>
    <t>James Krupa</t>
  </si>
  <si>
    <t>+ (972) 296-2146</t>
  </si>
  <si>
    <t>Tides Inn &amp; Suites</t>
  </si>
  <si>
    <t xml:space="preserve">1807 Water Street </t>
  </si>
  <si>
    <t>Adelma Beach</t>
  </si>
  <si>
    <t>Charles Lee</t>
  </si>
  <si>
    <t>Jennifer Overstreet</t>
  </si>
  <si>
    <t>+1 (360) 385-0595</t>
  </si>
  <si>
    <t>Tierra Rejada Golf Club</t>
  </si>
  <si>
    <t xml:space="preserve">15187 Tierra Rejada Road </t>
  </si>
  <si>
    <t>Moorpark</t>
  </si>
  <si>
    <t>Kris Dennis</t>
  </si>
  <si>
    <t>+1 (805) 531-9300</t>
  </si>
  <si>
    <t>Tilt Universal Hollywood</t>
  </si>
  <si>
    <t xml:space="preserve">3241 Cahuenga Boulevard </t>
  </si>
  <si>
    <t>+1 (562) 761-1275</t>
  </si>
  <si>
    <t>Timarron Country Club</t>
  </si>
  <si>
    <t xml:space="preserve">1400 Byron Nelson PKWY </t>
  </si>
  <si>
    <t>Matthew Zuckerman</t>
  </si>
  <si>
    <t>+ (817) 481-7529</t>
  </si>
  <si>
    <t>Timber Cove Resort</t>
  </si>
  <si>
    <t xml:space="preserve">21780 North Coast Highway 1 </t>
  </si>
  <si>
    <t>Fort Ross</t>
  </si>
  <si>
    <t>+1 (707) 847-3231</t>
  </si>
  <si>
    <t>Timber Lodge</t>
  </si>
  <si>
    <t xml:space="preserve">4100 Lake Tahoe Boulevard </t>
  </si>
  <si>
    <t>Jennifer Jenkins</t>
  </si>
  <si>
    <t>Jodie Guttrich</t>
  </si>
  <si>
    <t>+1 (530) 542-6600</t>
  </si>
  <si>
    <t>Timber Ridge Lodge &amp; Waterpark</t>
  </si>
  <si>
    <t xml:space="preserve">7020 Grand Geneva Way </t>
  </si>
  <si>
    <t>Jesse Kearns</t>
  </si>
  <si>
    <t>Lisa Steagall</t>
  </si>
  <si>
    <t>+1 (262) 249-3400</t>
  </si>
  <si>
    <t>Tobin Center for the Performing Arts</t>
  </si>
  <si>
    <t xml:space="preserve">115 Auditorium Circle </t>
  </si>
  <si>
    <t>Toftrees Resort &amp; Golf Course</t>
  </si>
  <si>
    <t xml:space="preserve">1 Country Club LN </t>
  </si>
  <si>
    <t>Stefan Cherinka</t>
  </si>
  <si>
    <t>+ (814) 238-7600</t>
  </si>
  <si>
    <t>Toledo Staybridge Suites</t>
  </si>
  <si>
    <t xml:space="preserve">2300 Village Drive Building 1800 </t>
  </si>
  <si>
    <t>Holly Brown</t>
  </si>
  <si>
    <t>Mark Walsh</t>
  </si>
  <si>
    <t>+1 (419) 878-8999</t>
  </si>
  <si>
    <t>Topnotch Resort</t>
  </si>
  <si>
    <t xml:space="preserve">3800 Mountain Road </t>
  </si>
  <si>
    <t>Matthew Wheeler</t>
  </si>
  <si>
    <t>Paul Martin</t>
  </si>
  <si>
    <t>+1 (802) 760-6330</t>
  </si>
  <si>
    <t>Toronto Marriott Markham</t>
  </si>
  <si>
    <t xml:space="preserve">170 Enterprise Boulevard </t>
  </si>
  <si>
    <t>L6G 0E6</t>
  </si>
  <si>
    <t>Hiren Prabhakar</t>
  </si>
  <si>
    <t>+1(905)489-1400</t>
  </si>
  <si>
    <t>Capital Mexicano S.A. De C.V.</t>
  </si>
  <si>
    <t>Torreon Marriott Hotel</t>
  </si>
  <si>
    <t xml:space="preserve">Boulevard Independencia 100 PTE </t>
  </si>
  <si>
    <t>Aristides Papadopulos</t>
  </si>
  <si>
    <t>Nicolas Papadopulos</t>
  </si>
  <si>
    <t>+ (52) 871-8950000</t>
  </si>
  <si>
    <t>Torresdale Frankford Country Club</t>
  </si>
  <si>
    <t xml:space="preserve">3801 Grant Avenue </t>
  </si>
  <si>
    <t>Sandee Cataldi</t>
  </si>
  <si>
    <t>+1 (215) 637-7500</t>
  </si>
  <si>
    <t>Tour 18 Houston</t>
  </si>
  <si>
    <t xml:space="preserve">3102 FM 1960 East </t>
  </si>
  <si>
    <t>Darren Busker</t>
  </si>
  <si>
    <t>+1 (281) 540-1818</t>
  </si>
  <si>
    <t>Tower at Empire Pass</t>
  </si>
  <si>
    <t xml:space="preserve">8680 Empire Club Dr </t>
  </si>
  <si>
    <t>Roger Laws</t>
  </si>
  <si>
    <t>+1 (435) 333-6260</t>
  </si>
  <si>
    <t>Tower Club Dallas</t>
  </si>
  <si>
    <t>1601 Elm Street Thanksgiving Tower 48th Floor</t>
  </si>
  <si>
    <t>BB Jorjadze</t>
  </si>
  <si>
    <t>+ (214) 220-0403</t>
  </si>
  <si>
    <t>Tower Club Fort Lauderdale</t>
  </si>
  <si>
    <t>100 SE Third Avenue 1 Financial Plaza Regions Bank Building - 28th Floor</t>
  </si>
  <si>
    <t>+ (954) 764-8550</t>
  </si>
  <si>
    <t>Tower Club Tysons Corner</t>
  </si>
  <si>
    <t>8000 Towers Crescent Dr Tyson Tower Suite 1700</t>
  </si>
  <si>
    <t>Kara Mayle</t>
  </si>
  <si>
    <t>+ (703) 761-4250</t>
  </si>
  <si>
    <t>Town Point Club</t>
  </si>
  <si>
    <t>101 West Main Street Suit Wachovia Bank Building</t>
  </si>
  <si>
    <t>Sujoy Brahma</t>
  </si>
  <si>
    <t>+ (757) 625-6606</t>
  </si>
  <si>
    <t>TownePlace Suite by Marriott Frederick</t>
  </si>
  <si>
    <t xml:space="preserve">5050 Westview Drive </t>
  </si>
  <si>
    <t>Casie Beam</t>
  </si>
  <si>
    <t>Stan Martin</t>
  </si>
  <si>
    <t>+ () 301-624-0050</t>
  </si>
  <si>
    <t>TownePlace Suites - LAX/Manhattan Beach</t>
  </si>
  <si>
    <t xml:space="preserve">14400 Aviation Boulevard </t>
  </si>
  <si>
    <t>(310) 725-9696</t>
  </si>
  <si>
    <t>TownePlace Suites - Lombard</t>
  </si>
  <si>
    <t xml:space="preserve">455 E. 22nd Street </t>
  </si>
  <si>
    <t>Ashley Libbe</t>
  </si>
  <si>
    <t>(630) 932-4400</t>
  </si>
  <si>
    <t>TownePlace Suites - The Villages</t>
  </si>
  <si>
    <t xml:space="preserve">1141 Alonzo Avenue </t>
  </si>
  <si>
    <t>Christy Kitt</t>
  </si>
  <si>
    <t>+1 (352) 753-8686</t>
  </si>
  <si>
    <t>TownePlace Suites Abilene Northeast</t>
  </si>
  <si>
    <t>Towneplace Suites Aiken</t>
  </si>
  <si>
    <t xml:space="preserve">1008 Monterey Drive </t>
  </si>
  <si>
    <t>Owillinda Brooker</t>
  </si>
  <si>
    <t>+()803-641-7373</t>
  </si>
  <si>
    <t>TownePlace Suites Albany</t>
  </si>
  <si>
    <t xml:space="preserve">3014 Kensington Court </t>
  </si>
  <si>
    <t>Ray Smith</t>
  </si>
  <si>
    <t>+1 (229) 352-9300</t>
  </si>
  <si>
    <t>TownePlace Suites Albuquerque North</t>
  </si>
  <si>
    <t xml:space="preserve">5511 Office Boulevard Northeast </t>
  </si>
  <si>
    <t>Charlene Perez</t>
  </si>
  <si>
    <t>+1 (505) 345-3131</t>
  </si>
  <si>
    <t>TownePlace Suites Alexandria</t>
  </si>
  <si>
    <t xml:space="preserve">8632 Woodlawn Court </t>
  </si>
  <si>
    <t>Christmas Cockrell</t>
  </si>
  <si>
    <t>+1 (703) 619-6060</t>
  </si>
  <si>
    <t xml:space="preserve">3810 Alexandria Mall Drive </t>
  </si>
  <si>
    <t>Elvi Scriber</t>
  </si>
  <si>
    <t>+1(318) 619-8420</t>
  </si>
  <si>
    <t>TownePlace Suites Altamonte Springs</t>
  </si>
  <si>
    <t xml:space="preserve">151 Douglas Avenue </t>
  </si>
  <si>
    <t>+1 (321) 316-1111</t>
  </si>
  <si>
    <t>TownePlace Suites Altoona</t>
  </si>
  <si>
    <t xml:space="preserve">2915 Pleasant Valley Blvd. </t>
  </si>
  <si>
    <t>Katie Millward</t>
  </si>
  <si>
    <t>+1 (814) 946-0424</t>
  </si>
  <si>
    <t>TownePlace Suites Anchorage</t>
  </si>
  <si>
    <t xml:space="preserve">600 East 32nd Avenue </t>
  </si>
  <si>
    <t>Dennis Van Leeuwen</t>
  </si>
  <si>
    <t>Lisa Michaelson</t>
  </si>
  <si>
    <t>+1 (907) 334-8000</t>
  </si>
  <si>
    <t>TownePlace Suites Auburn</t>
  </si>
  <si>
    <t xml:space="preserve">1117 South College Street Auburn </t>
  </si>
  <si>
    <t>Kevin Brown</t>
  </si>
  <si>
    <t>+1 (334) 466-8390</t>
  </si>
  <si>
    <t>TownePlace Suites Austin North - Lakeline</t>
  </si>
  <si>
    <t xml:space="preserve">13501 Lyndhurst Street </t>
  </si>
  <si>
    <t>Christine Newell</t>
  </si>
  <si>
    <t>Travis Perkins</t>
  </si>
  <si>
    <t>+1 (512) 257-0600</t>
  </si>
  <si>
    <t>TownePlace Suites Baltimore/ Fort Meade</t>
  </si>
  <si>
    <t xml:space="preserve">120 National Business Parkway </t>
  </si>
  <si>
    <t>Senayda Hernandez</t>
  </si>
  <si>
    <t>+ (301) 498-7477</t>
  </si>
  <si>
    <t>TownePlace Suites Baton Rouge Gonzales</t>
  </si>
  <si>
    <t xml:space="preserve">2823 South Outfitter Drive </t>
  </si>
  <si>
    <t>+1 (225) 450-3400</t>
  </si>
  <si>
    <t>TownePlace Suites Baton Rouge Port Allen</t>
  </si>
  <si>
    <t xml:space="preserve">2665 Office Park Drive </t>
  </si>
  <si>
    <t>+(225) 205-9574</t>
  </si>
  <si>
    <t>TownePlace Suites Baton Rouge South</t>
  </si>
  <si>
    <t xml:space="preserve">8735 Summa Avenue </t>
  </si>
  <si>
    <t>G. Hassan</t>
  </si>
  <si>
    <t>+1 (225) 819-2112</t>
  </si>
  <si>
    <t>TownePlace Suites Bellingham</t>
  </si>
  <si>
    <t xml:space="preserve">4050 Northwest Avenue </t>
  </si>
  <si>
    <t>Randi Andrews</t>
  </si>
  <si>
    <t>+1 (360) 714-9700</t>
  </si>
  <si>
    <t>TownePlace Suites Bend Near Mt. Bachelor</t>
  </si>
  <si>
    <t xml:space="preserve">755 SW 13th Place </t>
  </si>
  <si>
    <t>+1 (541) 382-5006</t>
  </si>
  <si>
    <t xml:space="preserve">TownePlace Suites Bentonville Rogers </t>
  </si>
  <si>
    <t xml:space="preserve">3100 Southeast 14th Street </t>
  </si>
  <si>
    <t>Brent Hageman</t>
  </si>
  <si>
    <t>+1 (479) 621-0202</t>
  </si>
  <si>
    <t>TownePlace Suites Billings</t>
  </si>
  <si>
    <t xml:space="preserve">2480 Grant Road </t>
  </si>
  <si>
    <t>Jordan Clayton</t>
  </si>
  <si>
    <t>+1 (406) 652-7106</t>
  </si>
  <si>
    <t>TownePlace Suites Bloomington</t>
  </si>
  <si>
    <t xml:space="preserve">105 South Franklin </t>
  </si>
  <si>
    <t>Zackary Richardson</t>
  </si>
  <si>
    <t>+ (812) 334-1234</t>
  </si>
  <si>
    <t>TownePlace Suites Boston Tewksbury</t>
  </si>
  <si>
    <t xml:space="preserve">20 International Place </t>
  </si>
  <si>
    <t>Tewksbury</t>
  </si>
  <si>
    <t>Tiara Francis</t>
  </si>
  <si>
    <t>+1 (978)863-9800</t>
  </si>
  <si>
    <t>TownePlace Suites Bowling Green</t>
  </si>
  <si>
    <t xml:space="preserve">1818 Cave Mill Road </t>
  </si>
  <si>
    <t>Alisha Dalrymple</t>
  </si>
  <si>
    <t>+1 (270) 782-4714</t>
  </si>
  <si>
    <t>TownePlace Suites Bridgeport</t>
  </si>
  <si>
    <t xml:space="preserve">101 Platinum Dr. </t>
  </si>
  <si>
    <t>+ (301) 345-8700</t>
  </si>
  <si>
    <t>TownePlace Suites by Marriott</t>
  </si>
  <si>
    <t xml:space="preserve">2625 East Jennings Way </t>
  </si>
  <si>
    <t>Jolene Stone</t>
  </si>
  <si>
    <t>Chris Pruessing</t>
  </si>
  <si>
    <t>+ (775) 738-9900</t>
  </si>
  <si>
    <t>TownePlace Suites by Marriott Bowie</t>
  </si>
  <si>
    <t xml:space="preserve">3700 Town Center Blvd. </t>
  </si>
  <si>
    <t>Rebecca Delphin</t>
  </si>
  <si>
    <t>+1 (301) 262-8045</t>
  </si>
  <si>
    <t>TownePlace Suites by Marriott Lafayette</t>
  </si>
  <si>
    <t xml:space="preserve">163 Frontage Road </t>
  </si>
  <si>
    <t>+1 (765) 446-8668</t>
  </si>
  <si>
    <t>TownePlace Suites by Marriott Omaha</t>
  </si>
  <si>
    <t xml:space="preserve">10865 West Dodge Rd </t>
  </si>
  <si>
    <t>Bill Ammermann</t>
  </si>
  <si>
    <t>Deanna Keithley</t>
  </si>
  <si>
    <t>+1 (402) 590-2800</t>
  </si>
  <si>
    <t>TownePlace Suites by Marriott Smyrna</t>
  </si>
  <si>
    <t xml:space="preserve">990 Colonnade Drive </t>
  </si>
  <si>
    <t>Kristi Smith</t>
  </si>
  <si>
    <t>Phonh Sutton</t>
  </si>
  <si>
    <t>+1 (615) 459-2017</t>
  </si>
  <si>
    <t>TownePlace Suites By Marriott Thousand Oaks Agoura Hills</t>
  </si>
  <si>
    <t>+(747)263-2348</t>
  </si>
  <si>
    <t>Lotus Hotels - Campbell LLC</t>
  </si>
  <si>
    <t>TownePlace Suites Campbell</t>
  </si>
  <si>
    <t xml:space="preserve">700 E. Campbell Ave. </t>
  </si>
  <si>
    <t>Lisa Andradi</t>
  </si>
  <si>
    <t>+1 (408) 370-4510</t>
  </si>
  <si>
    <t>Towneplace Suites Charleston Airport Convention Center</t>
  </si>
  <si>
    <t xml:space="preserve">5001 Fashion Avenue </t>
  </si>
  <si>
    <t>Julia Scheffsky</t>
  </si>
  <si>
    <t>Voquon Carter</t>
  </si>
  <si>
    <t>+1(843)990-7777</t>
  </si>
  <si>
    <t>TownePlace Suites Charleston-North Charleston</t>
  </si>
  <si>
    <t xml:space="preserve">7535 Northside Drive </t>
  </si>
  <si>
    <t>Christopher Wernham</t>
  </si>
  <si>
    <t>Mindy Stock</t>
  </si>
  <si>
    <t>+1(843) 990-5710</t>
  </si>
  <si>
    <t>TownePlace Suites Charlotte Arrowood</t>
  </si>
  <si>
    <t xml:space="preserve">7805 Forest Point Boulevard </t>
  </si>
  <si>
    <t>Lesa Allen</t>
  </si>
  <si>
    <t>+1 (704) 227-2000</t>
  </si>
  <si>
    <t>TownePlace Suites Charlotte Fort Mill</t>
  </si>
  <si>
    <t xml:space="preserve">1047 Red Ventures Drive </t>
  </si>
  <si>
    <t>+1 (803) 547-5001</t>
  </si>
  <si>
    <t>TownePlace Suites Charlotte-Univ Research</t>
  </si>
  <si>
    <t xml:space="preserve">8710 Research Drive </t>
  </si>
  <si>
    <t>+ (704) 548-0388</t>
  </si>
  <si>
    <t>TownePlace Suites Chicago Schaumburg</t>
  </si>
  <si>
    <t xml:space="preserve">750 National Parkway </t>
  </si>
  <si>
    <t>+1 (847) 541-3347</t>
  </si>
  <si>
    <t>TownePlace Suites Clarksville</t>
  </si>
  <si>
    <t xml:space="preserve">120 Fair Brook Place </t>
  </si>
  <si>
    <t>Michael Wiszowaty</t>
  </si>
  <si>
    <t>+()1 931-896-2005</t>
  </si>
  <si>
    <t>TownePlace Suites Cleveland Westlake</t>
  </si>
  <si>
    <t xml:space="preserve">25052 Sperry Drive </t>
  </si>
  <si>
    <t>(440) 892-4275</t>
  </si>
  <si>
    <t>TownePlace Suites Clinton</t>
  </si>
  <si>
    <t xml:space="preserve">1638 Hwy 31 North </t>
  </si>
  <si>
    <t>Justin Young</t>
  </si>
  <si>
    <t>+1 (908) 323-2621</t>
  </si>
  <si>
    <t>TownePlace Suites Clovis</t>
  </si>
  <si>
    <t xml:space="preserve">4612 North Prince Street </t>
  </si>
  <si>
    <t>Chelsie Cordova</t>
  </si>
  <si>
    <t>Jess Reyes</t>
  </si>
  <si>
    <t>+1(575) 265-7400</t>
  </si>
  <si>
    <t>TownePlace Suites College Park</t>
  </si>
  <si>
    <t xml:space="preserve">9620 Baltimore Avenue </t>
  </si>
  <si>
    <t>Bob Russel</t>
  </si>
  <si>
    <t>+1(301)220-9000</t>
  </si>
  <si>
    <t>TownePlace Suites Colorado Springs</t>
  </si>
  <si>
    <t xml:space="preserve">4760 Centennial Boulevard </t>
  </si>
  <si>
    <t>Alex Llamas</t>
  </si>
  <si>
    <t>Julio Gevara</t>
  </si>
  <si>
    <t>+ (719) 594-4447</t>
  </si>
  <si>
    <t>TownePlace Suites Columbia</t>
  </si>
  <si>
    <t xml:space="preserve">4400 Nocona Parkway </t>
  </si>
  <si>
    <t>Jennifer Cobb</t>
  </si>
  <si>
    <t>Nick Herrenbruck</t>
  </si>
  <si>
    <t>+1 (573) 817-0012</t>
  </si>
  <si>
    <t xml:space="preserve">250 East Exchange Boulevard </t>
  </si>
  <si>
    <t>Joseph Stewart</t>
  </si>
  <si>
    <t xml:space="preserve">+ (803) 695-0062 </t>
  </si>
  <si>
    <t>TownePlace Suites Columbus Hilliard</t>
  </si>
  <si>
    <t xml:space="preserve">4079 Lyman Drive </t>
  </si>
  <si>
    <t>Rosa Cummings</t>
  </si>
  <si>
    <t>+1 (614) 541-9309</t>
  </si>
  <si>
    <t>TownePlace Suites Columbus North</t>
  </si>
  <si>
    <t xml:space="preserve">1640 West Lane Avenue </t>
  </si>
  <si>
    <t>Upper Arlington</t>
  </si>
  <si>
    <t>Frederic Thomas</t>
  </si>
  <si>
    <t>Tammy Delucia</t>
  </si>
  <si>
    <t>+1 (614) 486-5433</t>
  </si>
  <si>
    <t>TownePlace Suites Cookeville</t>
  </si>
  <si>
    <t xml:space="preserve">1250 Sams Street </t>
  </si>
  <si>
    <t>+1 (931) 548-0950</t>
  </si>
  <si>
    <t>TownePlace Suites Corpus Christi</t>
  </si>
  <si>
    <t xml:space="preserve">6701 South Padre Island Drive </t>
  </si>
  <si>
    <t>Richard Wright</t>
  </si>
  <si>
    <t>Nicole Bankhead</t>
  </si>
  <si>
    <t>+1 (361) 991-2011</t>
  </si>
  <si>
    <t>TownePlace Suites Corpus Christi Portland</t>
  </si>
  <si>
    <t xml:space="preserve">109 Esplanade Drive </t>
  </si>
  <si>
    <t xml:space="preserve">Priscilla Chavez </t>
  </si>
  <si>
    <t>Thomas Perez</t>
  </si>
  <si>
    <t>+1 (361) 777-2003</t>
  </si>
  <si>
    <t>TownePlace Suites Dallas DFW Airport North - Irving</t>
  </si>
  <si>
    <t xml:space="preserve">4800 Plaza Drive </t>
  </si>
  <si>
    <t>J.R. Blaniar</t>
  </si>
  <si>
    <t>Michael Cole</t>
  </si>
  <si>
    <t>+(972)374-3600</t>
  </si>
  <si>
    <t>TownePlace Suites Dallas Plano South</t>
  </si>
  <si>
    <t xml:space="preserve">545 K Avenue </t>
  </si>
  <si>
    <t>Patrick Nagele</t>
  </si>
  <si>
    <t>Claudia Castro</t>
  </si>
  <si>
    <t>+1 (972) 423-3300</t>
  </si>
  <si>
    <t>TownePlace Suites Denver South Lone Tree</t>
  </si>
  <si>
    <t xml:space="preserve">10664 Cabela Drive </t>
  </si>
  <si>
    <t>Donna Burrack</t>
  </si>
  <si>
    <t>Wesley Bean</t>
  </si>
  <si>
    <t>+1 (303) 708-9664</t>
  </si>
  <si>
    <t>TownePlace Suites Denver SW Littleton</t>
  </si>
  <si>
    <t xml:space="preserve">10902 West Toller Drive </t>
  </si>
  <si>
    <t>Nebi Tokergil</t>
  </si>
  <si>
    <t>+ (303) 972-0555</t>
  </si>
  <si>
    <t>TownePlace Suites Des Moines Urbandale (DMT)</t>
  </si>
  <si>
    <t xml:space="preserve">8800 NorthPark Drive </t>
  </si>
  <si>
    <t>Johnston</t>
  </si>
  <si>
    <t>Andy Hughes</t>
  </si>
  <si>
    <t>+1 (515) 727-4066</t>
  </si>
  <si>
    <t>TownePlace Suites Detroit Auburn Hills</t>
  </si>
  <si>
    <t xml:space="preserve">3900 Baldwin Road </t>
  </si>
  <si>
    <t>Andy Ibrahim</t>
  </si>
  <si>
    <t>+1 (248) 454-0650</t>
  </si>
  <si>
    <t>TownePlace Suites Dickinson</t>
  </si>
  <si>
    <t xml:space="preserve">240 29th Street West </t>
  </si>
  <si>
    <t>Nickie Steckler</t>
  </si>
  <si>
    <t>+1(701) 483-4724</t>
  </si>
  <si>
    <t>TownePlace Suites Dothan</t>
  </si>
  <si>
    <t xml:space="preserve">201 Retail Drive </t>
  </si>
  <si>
    <t>+1 (706) 660-5626</t>
  </si>
  <si>
    <t>TownePlace Suites East Lansing</t>
  </si>
  <si>
    <t xml:space="preserve">2855 Hannah Boulevard </t>
  </si>
  <si>
    <t>Amanda Nitz</t>
  </si>
  <si>
    <t>Nadine Zweiback</t>
  </si>
  <si>
    <t>+ (517) 203-1000</t>
  </si>
  <si>
    <t>TownePlace Suites Edmonton Sherwood Park</t>
  </si>
  <si>
    <t xml:space="preserve">1001 Provincial Avenue </t>
  </si>
  <si>
    <t>Jaspreet Bhatia</t>
  </si>
  <si>
    <t>+1 (780) 570-0285</t>
  </si>
  <si>
    <t>TownePlace Suites El Centro</t>
  </si>
  <si>
    <t xml:space="preserve">3003 South Dogwood Ave </t>
  </si>
  <si>
    <t>Miriam Guerrero</t>
  </si>
  <si>
    <t>+1 (760) 370-3800</t>
  </si>
  <si>
    <t>TownePlace Suites El Paso Airport</t>
  </si>
  <si>
    <t xml:space="preserve">6601 Edgemere Road </t>
  </si>
  <si>
    <t>Kimmery Gums</t>
  </si>
  <si>
    <t>+1 (915) 493-6781</t>
  </si>
  <si>
    <t>TownePlace Suites El Paso East</t>
  </si>
  <si>
    <t xml:space="preserve">11521 Gateway Boulevard West </t>
  </si>
  <si>
    <t>Gregory Wiles</t>
  </si>
  <si>
    <t>+()1 915-444-7500</t>
  </si>
  <si>
    <t>TownePlace Suites Fayetteville</t>
  </si>
  <si>
    <t xml:space="preserve">1464 Skibo Rd. </t>
  </si>
  <si>
    <t xml:space="preserve"> Dawn Hall</t>
  </si>
  <si>
    <t>+1 (910) 764-1100</t>
  </si>
  <si>
    <t>TownePlace Suites Fenton</t>
  </si>
  <si>
    <t xml:space="preserve">1662 Fenton Business Park Court </t>
  </si>
  <si>
    <t>Rich Johnston</t>
  </si>
  <si>
    <t>+ (636) 305-7000</t>
  </si>
  <si>
    <t>Towneplace Suites Findlay</t>
  </si>
  <si>
    <t xml:space="preserve">2501 Tiffin Avenue </t>
  </si>
  <si>
    <t>Findlay</t>
  </si>
  <si>
    <t>Lori Bowling</t>
  </si>
  <si>
    <t>(419) 425-9545</t>
  </si>
  <si>
    <t>Towneplace Suites Foley</t>
  </si>
  <si>
    <t xml:space="preserve">1070 North OWA Boulevard </t>
  </si>
  <si>
    <t>Randy Brown</t>
  </si>
  <si>
    <t>Tana Dishon</t>
  </si>
  <si>
    <t>+1 (251) 581-9222</t>
  </si>
  <si>
    <t>TownePlace Suites Fort Myers Estero</t>
  </si>
  <si>
    <t xml:space="preserve">23161 Via Coconut Point </t>
  </si>
  <si>
    <t>Jennifer Kudray</t>
  </si>
  <si>
    <t>+()239-317-3200</t>
  </si>
  <si>
    <t>TownePlace Suites Fort Walton Beach</t>
  </si>
  <si>
    <t xml:space="preserve">843 Eglin Parkway </t>
  </si>
  <si>
    <t>Ft Walton beach</t>
  </si>
  <si>
    <t>Rowen Smith</t>
  </si>
  <si>
    <t>+1 (850) 315-6000</t>
  </si>
  <si>
    <t>TownePlace Suites Fort Worth Downtown</t>
  </si>
  <si>
    <t xml:space="preserve">805 East Belknap Street </t>
  </si>
  <si>
    <t>Debbie Diaz</t>
  </si>
  <si>
    <t>Katina Pesina</t>
  </si>
  <si>
    <t>+1 (817) 332-6300</t>
  </si>
  <si>
    <t>Towneplace Suites Fort Worth West University Area</t>
  </si>
  <si>
    <t xml:space="preserve">3450 West Vickery Boulevard </t>
  </si>
  <si>
    <t>Ling O'Neil</t>
  </si>
  <si>
    <t>+1 (817) 632-0800</t>
  </si>
  <si>
    <t>TownePlace Suites Franklin Cool Springs</t>
  </si>
  <si>
    <t xml:space="preserve">7153 South Springs Drive </t>
  </si>
  <si>
    <t>Leslie Watkins</t>
  </si>
  <si>
    <t>+1 (615) 861-1111</t>
  </si>
  <si>
    <t>TownePlace Suites Gainesville</t>
  </si>
  <si>
    <t xml:space="preserve">1745 Browns Bridge Road </t>
  </si>
  <si>
    <t>+1(404)886-0500</t>
  </si>
  <si>
    <t>TownePlace Suites Gainesville Northwest</t>
  </si>
  <si>
    <t xml:space="preserve">7451 West Newberry Road </t>
  </si>
  <si>
    <t>Michael Bednar</t>
  </si>
  <si>
    <t>Rita Aldrich</t>
  </si>
  <si>
    <t>+1 (352) 415-1111</t>
  </si>
  <si>
    <t>TownePlace Suites Goldsboro</t>
  </si>
  <si>
    <t xml:space="preserve">2603 North Park Drive </t>
  </si>
  <si>
    <t>Tammy Cannon</t>
  </si>
  <si>
    <t>+1 (919) 429-4530</t>
  </si>
  <si>
    <t>TownePlace Suites Greensboro Coliseum Area</t>
  </si>
  <si>
    <t xml:space="preserve">3304 Isler Street </t>
  </si>
  <si>
    <t>+1(336)763-8900</t>
  </si>
  <si>
    <t>TownePlace Suites Grove City</t>
  </si>
  <si>
    <t xml:space="preserve">231 Westside Square Drive </t>
  </si>
  <si>
    <t>Mercer</t>
  </si>
  <si>
    <t>Tammy Schaum</t>
  </si>
  <si>
    <t>+1 (724) 748-6322</t>
  </si>
  <si>
    <t>TownePlace Suites Harrisburg</t>
  </si>
  <si>
    <t xml:space="preserve">450 Friendship Road </t>
  </si>
  <si>
    <t>Claudia Stemler</t>
  </si>
  <si>
    <t>Samantha Stanton</t>
  </si>
  <si>
    <t>+()1 717-558-0200</t>
  </si>
  <si>
    <t>TownePlace Suites Harrisburg West Mechanicsburg</t>
  </si>
  <si>
    <t xml:space="preserve">4915 Ritter Road </t>
  </si>
  <si>
    <t>Williams Grv</t>
  </si>
  <si>
    <t>+1 (717) 691-1400</t>
  </si>
  <si>
    <t>TownePlace Suites Hattiesburg</t>
  </si>
  <si>
    <t xml:space="preserve">235 Thornhill Drive </t>
  </si>
  <si>
    <t>Emika Franklin</t>
  </si>
  <si>
    <t>+(601) 582-2030</t>
  </si>
  <si>
    <t>TownePlace Suites Hawthorne LAX</t>
  </si>
  <si>
    <t xml:space="preserve">4427 El Segunda </t>
  </si>
  <si>
    <t>Mike Hernandez</t>
  </si>
  <si>
    <t>+1 (310) 263-1112</t>
  </si>
  <si>
    <t>TownePlace Suites Hays</t>
  </si>
  <si>
    <t xml:space="preserve">4001 General Hays Rd </t>
  </si>
  <si>
    <t>Marjorie Dansel</t>
  </si>
  <si>
    <t>+1(785) 261-9630</t>
  </si>
  <si>
    <t xml:space="preserve">TownePlace Suites Houston Galleria </t>
  </si>
  <si>
    <t xml:space="preserve">5315 South Rice Avenue </t>
  </si>
  <si>
    <t>Marisol Gallardo</t>
  </si>
  <si>
    <t>+1 (713)664-7494</t>
  </si>
  <si>
    <t>TownePlace Suites Houston Intercontinental Airport</t>
  </si>
  <si>
    <t xml:space="preserve">4015 Interwood North Parkway </t>
  </si>
  <si>
    <t>Dania Torres</t>
  </si>
  <si>
    <t>Gabriel Salgado</t>
  </si>
  <si>
    <t>+1 (281) 227-2464</t>
  </si>
  <si>
    <t>TownePlace Suites Houston The Woodlands</t>
  </si>
  <si>
    <t xml:space="preserve">107 Vision Park Boulevard </t>
  </si>
  <si>
    <t>Maria Puente</t>
  </si>
  <si>
    <t>+1 (936) 273-7772</t>
  </si>
  <si>
    <t>TownePlace Suites Huntsville</t>
  </si>
  <si>
    <t xml:space="preserve">1125 McMurtrie Drive </t>
  </si>
  <si>
    <t>Janet Duke</t>
  </si>
  <si>
    <t>Neesya Goodman</t>
  </si>
  <si>
    <t>+1 (256) 971-5277</t>
  </si>
  <si>
    <t>TownePlace Suites Huntsville West</t>
  </si>
  <si>
    <t xml:space="preserve">6500 Redstone Gateway Southwest </t>
  </si>
  <si>
    <t>+(256) 895-3300</t>
  </si>
  <si>
    <t>TownePlace Suites Irvine Lake Forest</t>
  </si>
  <si>
    <t xml:space="preserve">23150 Lake Center Drive </t>
  </si>
  <si>
    <t>Michael Ruiz</t>
  </si>
  <si>
    <t>+1 (949) 461-0470</t>
  </si>
  <si>
    <t>TownePlace Suites Jackson Airport - Flowood</t>
  </si>
  <si>
    <t xml:space="preserve">160 East Metro Parkway </t>
  </si>
  <si>
    <t>Chiquita Trigg</t>
  </si>
  <si>
    <t>Shenetia Henderson</t>
  </si>
  <si>
    <t>+1 (601) 882-9800</t>
  </si>
  <si>
    <t>TownePlace Suites Jacksonville</t>
  </si>
  <si>
    <t xml:space="preserve">400 Northwest Drive </t>
  </si>
  <si>
    <t>Christopher Cox</t>
  </si>
  <si>
    <t>+1 (910) 478-9795</t>
  </si>
  <si>
    <t>Towneplace Suites Kansas City</t>
  </si>
  <si>
    <t xml:space="preserve">11812 Northwest Plaza Circle </t>
  </si>
  <si>
    <t>+1 (816) 464-0525</t>
  </si>
  <si>
    <t>TownePlace Suites Kansas City North - Briarcliff</t>
  </si>
  <si>
    <t xml:space="preserve">3950 North Mulberry Drive </t>
  </si>
  <si>
    <t>Armando Moran</t>
  </si>
  <si>
    <t>+1(816)587-4600</t>
  </si>
  <si>
    <t>TownePlace Suites Kill Devil Hills</t>
  </si>
  <si>
    <t xml:space="preserve">2028 South Virginia Dare Trail </t>
  </si>
  <si>
    <t>Kill Devil Hills</t>
  </si>
  <si>
    <t>Mandy Phillips</t>
  </si>
  <si>
    <t>Dhruv Patel</t>
  </si>
  <si>
    <t>+(252) 457-2190</t>
  </si>
  <si>
    <t>TownePlace Suites Knoxville Cedar Bluff</t>
  </si>
  <si>
    <t xml:space="preserve">205 Langley Place </t>
  </si>
  <si>
    <t>+1 (865) 693-5216</t>
  </si>
  <si>
    <t>TownePlace Suites Knoxville Oak Ridge</t>
  </si>
  <si>
    <t xml:space="preserve">300 Rutgers Avenue </t>
  </si>
  <si>
    <t>Oak Ridge</t>
  </si>
  <si>
    <t>Micaelyn Middleton</t>
  </si>
  <si>
    <t>+1(865)409-5059</t>
  </si>
  <si>
    <t>TownePlace Suites Lake Charles</t>
  </si>
  <si>
    <t xml:space="preserve">2985 L'Auberge Boulevard </t>
  </si>
  <si>
    <t>+1 (337) 477-5824</t>
  </si>
  <si>
    <t>TownePlace Suites Lakeland</t>
  </si>
  <si>
    <t xml:space="preserve">3370 North Road 98 </t>
  </si>
  <si>
    <t>Christopher C</t>
  </si>
  <si>
    <t>+1 (863) 680-1115</t>
  </si>
  <si>
    <t>TownePlace Suites Lakewood</t>
  </si>
  <si>
    <t xml:space="preserve">11725 Pacific Highway Southwest </t>
  </si>
  <si>
    <t>Carrie Wells</t>
  </si>
  <si>
    <t>Luke Martin</t>
  </si>
  <si>
    <t>+1 (253) 582-1055</t>
  </si>
  <si>
    <t>TownePlace Suites Lancaster</t>
  </si>
  <si>
    <t xml:space="preserve">2024 West Avenue J-8 </t>
  </si>
  <si>
    <t>Randy Rasmussen</t>
  </si>
  <si>
    <t>+1 (661) 723-6709</t>
  </si>
  <si>
    <t>TownePlace Suites Laredo</t>
  </si>
  <si>
    <t xml:space="preserve">6519 Arena Boulevard </t>
  </si>
  <si>
    <t>Jayson Mitchell</t>
  </si>
  <si>
    <t>Jerry Palizo</t>
  </si>
  <si>
    <t>+1 (956) 791-0860</t>
  </si>
  <si>
    <t>TownePlace Suites Las Vegas Airport South (Dual Property)</t>
  </si>
  <si>
    <t>+1 (702) 916-2100</t>
  </si>
  <si>
    <t>Towneplace Suites Las Vegas City Center</t>
  </si>
  <si>
    <t xml:space="preserve">4920 Dean Martin Drive </t>
  </si>
  <si>
    <t>Krystee Barnett</t>
  </si>
  <si>
    <t>+()1 702-895-9979</t>
  </si>
  <si>
    <t>TownePlace Suites Lawrence Downtown</t>
  </si>
  <si>
    <t xml:space="preserve">900 New Hampshire Street </t>
  </si>
  <si>
    <t>Tabi Sesor</t>
  </si>
  <si>
    <t>+1 (785) 842-8800</t>
  </si>
  <si>
    <t>TownePlace Suites Leavenworth</t>
  </si>
  <si>
    <t xml:space="preserve">1001 North 4th Street </t>
  </si>
  <si>
    <t>+1(913) 758-9303</t>
  </si>
  <si>
    <t>Towneplace Suites Lexington Park</t>
  </si>
  <si>
    <t xml:space="preserve">22520 Threenotch Road </t>
  </si>
  <si>
    <t>Felicia West</t>
  </si>
  <si>
    <t>Jennifer Misner</t>
  </si>
  <si>
    <t>+ (301) 863-1111</t>
  </si>
  <si>
    <t>TownePlace Suites Lexington South Hamburg Place</t>
  </si>
  <si>
    <t xml:space="preserve">1790 Vendor Way </t>
  </si>
  <si>
    <t>Karen Lewis</t>
  </si>
  <si>
    <t>Bert Mullins</t>
  </si>
  <si>
    <t>+1 (859) 263-0018</t>
  </si>
  <si>
    <t>TownePlace Suites Lincoln North</t>
  </si>
  <si>
    <t xml:space="preserve">7353 Husker Circle Lincoln </t>
  </si>
  <si>
    <t>Amber Thompson</t>
  </si>
  <si>
    <t>+1 (402) 323-2000</t>
  </si>
  <si>
    <t>TownePlace Suites Little Rock West</t>
  </si>
  <si>
    <t xml:space="preserve">12 Crossings Court </t>
  </si>
  <si>
    <t>Kristine Todd</t>
  </si>
  <si>
    <t>Jennifer Lawson</t>
  </si>
  <si>
    <t>+1 (501) 225-6700</t>
  </si>
  <si>
    <t>TownePlace Suites Louisville Airport</t>
  </si>
  <si>
    <t xml:space="preserve">6601 Paramount Park Drive </t>
  </si>
  <si>
    <t>Shanna Harrod</t>
  </si>
  <si>
    <t>+1 (502) 749-6634</t>
  </si>
  <si>
    <t>TownePlace Suites Louisville Northeast</t>
  </si>
  <si>
    <t>+1(502)339-5410</t>
  </si>
  <si>
    <t>TownePlace Suites Medford</t>
  </si>
  <si>
    <t xml:space="preserve">1395 Center Drive </t>
  </si>
  <si>
    <t>Ryan Torres</t>
  </si>
  <si>
    <t>Becky Lester</t>
  </si>
  <si>
    <t>+1 (541) 842-5757</t>
  </si>
  <si>
    <t>TownePlace Suites Memphis Olive Branch</t>
  </si>
  <si>
    <t xml:space="preserve">7840 Craft Goodman Frontage </t>
  </si>
  <si>
    <t xml:space="preserve"> Sharon hayes</t>
  </si>
  <si>
    <t>+()1 662-772-7101</t>
  </si>
  <si>
    <t>TownePlace Suites Memphis Southaven</t>
  </si>
  <si>
    <t xml:space="preserve">7191 Sleepy Hollow Drive </t>
  </si>
  <si>
    <t>Gerald Peralta</t>
  </si>
  <si>
    <t>Melvin Campbell</t>
  </si>
  <si>
    <t>+1 (662) 548-3100</t>
  </si>
  <si>
    <t>TownePlace Suites Meridian</t>
  </si>
  <si>
    <t xml:space="preserve">1415 South Eagle Road </t>
  </si>
  <si>
    <t>Brad Tarter</t>
  </si>
  <si>
    <t>+1 (208) 884-8550</t>
  </si>
  <si>
    <t>TownePlace Suites Miami Airport South</t>
  </si>
  <si>
    <t xml:space="preserve">4021 NW 11th Street </t>
  </si>
  <si>
    <t>Blue Lagoon</t>
  </si>
  <si>
    <t>Yni Fernandez</t>
  </si>
  <si>
    <t>+()305-779-0900</t>
  </si>
  <si>
    <t>TownePlace Suites Miami Homestead</t>
  </si>
  <si>
    <t xml:space="preserve">935 Northeast 30th Terrace </t>
  </si>
  <si>
    <t>Sylvia Recalde</t>
  </si>
  <si>
    <t>+1 (305) 248-2001</t>
  </si>
  <si>
    <t>TownePlace Suites Midland</t>
  </si>
  <si>
    <t xml:space="preserve">5508 Deauville Boulevard </t>
  </si>
  <si>
    <t>Jorge Rivero</t>
  </si>
  <si>
    <t>Shannon Frizzell</t>
  </si>
  <si>
    <t>+1 (432) 694-6000</t>
  </si>
  <si>
    <t>TownePlace Suites Milpitas</t>
  </si>
  <si>
    <t xml:space="preserve">1428 Falcon Drive </t>
  </si>
  <si>
    <t>+(408)719-1959</t>
  </si>
  <si>
    <t>TownePlace Suites Minneapolis Mall of America</t>
  </si>
  <si>
    <t xml:space="preserve">2500 Lindau Lane </t>
  </si>
  <si>
    <t>Joseph Krohn</t>
  </si>
  <si>
    <t>Mariden Peterson</t>
  </si>
  <si>
    <t>+1 (952) 540-4000</t>
  </si>
  <si>
    <t>Montlimar Hospitality LLC</t>
  </si>
  <si>
    <t>TownePlace Suites Mobile</t>
  </si>
  <si>
    <t xml:space="preserve">1075 Montlimar Drive </t>
  </si>
  <si>
    <t>Gwynn Pitman</t>
  </si>
  <si>
    <t>+1 (251) 345-9588</t>
  </si>
  <si>
    <t>TownePlace Suites Mobile Saraland</t>
  </si>
  <si>
    <t xml:space="preserve">2954 Township Boulevard </t>
  </si>
  <si>
    <t>Kelly Snider</t>
  </si>
  <si>
    <t>Robert Spencer</t>
  </si>
  <si>
    <t>+1(251) 333-1103</t>
  </si>
  <si>
    <t xml:space="preserve">4919 Pecanland Mall Drive </t>
  </si>
  <si>
    <t>Trey Leoty</t>
  </si>
  <si>
    <t>+1 (318) 387-7277</t>
  </si>
  <si>
    <t>TownePlace Suites Montgomery</t>
  </si>
  <si>
    <t xml:space="preserve">2845 EastChase Lane </t>
  </si>
  <si>
    <t>Ethel Tarver</t>
  </si>
  <si>
    <t>Rebecca Thomas</t>
  </si>
  <si>
    <t>+(334) 239-7110</t>
  </si>
  <si>
    <t>TownePlace Suites Nashville</t>
  </si>
  <si>
    <t xml:space="preserve">2700 ELM HILL PIKE </t>
  </si>
  <si>
    <t>Shree Wikoff</t>
  </si>
  <si>
    <t xml:space="preserve">+ (615) 232-3830 </t>
  </si>
  <si>
    <t>TownePlace Suites Nashville Downtown</t>
  </si>
  <si>
    <t xml:space="preserve">310 Gay Street </t>
  </si>
  <si>
    <t xml:space="preserve"> Laura Bartholomew</t>
  </si>
  <si>
    <t>+1(615)551-8880</t>
  </si>
  <si>
    <t>TownePlace Suites Nashville Goodlettsville</t>
  </si>
  <si>
    <t xml:space="preserve">830 Conference Drive </t>
  </si>
  <si>
    <t>Brian Bisoni</t>
  </si>
  <si>
    <t>Chris Young</t>
  </si>
  <si>
    <t>+1(615) 859-5050</t>
  </si>
  <si>
    <t>TownePlace Suites Newburgh</t>
  </si>
  <si>
    <t xml:space="preserve">9922 Pointe View Drive </t>
  </si>
  <si>
    <t>Andrea Woolsey</t>
  </si>
  <si>
    <t>+1 (812) 853-0199</t>
  </si>
  <si>
    <t>TownePlace Suites Orlando</t>
  </si>
  <si>
    <t>Michael Fatta</t>
  </si>
  <si>
    <t>TownePlace Suites Orlando Downtown</t>
  </si>
  <si>
    <t xml:space="preserve">51 Columbia Street </t>
  </si>
  <si>
    <t>Desiree Andersen</t>
  </si>
  <si>
    <t>Ramon Lima</t>
  </si>
  <si>
    <t>+1 (407) 601-5100</t>
  </si>
  <si>
    <t>TownePlace Suites Orlando Flamingo Crossings</t>
  </si>
  <si>
    <t xml:space="preserve">13295 Flamingo Crossing Boulevard </t>
  </si>
  <si>
    <t>Dorian Myles</t>
  </si>
  <si>
    <t>Lori Fitzgibbon</t>
  </si>
  <si>
    <t>+1 (407) 507-1300</t>
  </si>
  <si>
    <t>TownePlace Suites Orlando-East/UCF</t>
  </si>
  <si>
    <t xml:space="preserve">11801 High Tech Avenue </t>
  </si>
  <si>
    <t>David Ortiz</t>
  </si>
  <si>
    <t>+1 (407) 243-6100</t>
  </si>
  <si>
    <t>TownePlace Suites Panama City</t>
  </si>
  <si>
    <t xml:space="preserve">903 East 23rd St. </t>
  </si>
  <si>
    <t>Jenny Sanchez</t>
  </si>
  <si>
    <t>+1 (850) 747-0609</t>
  </si>
  <si>
    <t>TownePlace Suites Panama City Beach</t>
  </si>
  <si>
    <t xml:space="preserve">16000 Panama City Beach Parkway </t>
  </si>
  <si>
    <t>Clay Walker</t>
  </si>
  <si>
    <t>+1 (850) 233-2311</t>
  </si>
  <si>
    <t>TownePlace Suites Pensacola</t>
  </si>
  <si>
    <t xml:space="preserve">481 Creighton Road </t>
  </si>
  <si>
    <t>Gigi Cassedy</t>
  </si>
  <si>
    <t>Melanie Pipes</t>
  </si>
  <si>
    <t>+1 (850) 484-7022</t>
  </si>
  <si>
    <t>TownePlace Suites Phoenix Chandler</t>
  </si>
  <si>
    <t xml:space="preserve">3635 West Chandler Boulevard </t>
  </si>
  <si>
    <t>RaSheedah Tate</t>
  </si>
  <si>
    <t>Raymundo Perez</t>
  </si>
  <si>
    <t>+1 (480) 525-8898</t>
  </si>
  <si>
    <t>TownePlace Suites Phoenix Goodyear</t>
  </si>
  <si>
    <t xml:space="preserve">13971 Celebrate Life Way </t>
  </si>
  <si>
    <t>Goodyear</t>
  </si>
  <si>
    <t>Lisa Reyes</t>
  </si>
  <si>
    <t>+1 (623) 535-5009</t>
  </si>
  <si>
    <t>TownePlace Suites Pittsburgh Cranberry Township</t>
  </si>
  <si>
    <t xml:space="preserve">2020 Cool Springs Drive </t>
  </si>
  <si>
    <t>John Sherman</t>
  </si>
  <si>
    <t>+(724)779-7500</t>
  </si>
  <si>
    <t>TownePlace Suites Providence North Kingstown</t>
  </si>
  <si>
    <t xml:space="preserve">55 Gate Road </t>
  </si>
  <si>
    <t>Wickford</t>
  </si>
  <si>
    <t>Patrick Brown</t>
  </si>
  <si>
    <t>Tonya MacDonald</t>
  </si>
  <si>
    <t>+1 (401) 667-7500</t>
  </si>
  <si>
    <t>TownePlace Suites Provo Orem</t>
  </si>
  <si>
    <t xml:space="preserve">873 North 1200 West </t>
  </si>
  <si>
    <t>Bonnie</t>
  </si>
  <si>
    <t>+1 (801) 225-4477</t>
  </si>
  <si>
    <t>TownePlace Suites Raleigh Weston Cary</t>
  </si>
  <si>
    <t xml:space="preserve">120 Sage Commons Way </t>
  </si>
  <si>
    <t>Branden Perry</t>
  </si>
  <si>
    <t>+ (919) 678-0005</t>
  </si>
  <si>
    <t>TownePlace Suites Redding</t>
  </si>
  <si>
    <t xml:space="preserve">2180 Larkspur Lane </t>
  </si>
  <si>
    <t>Dave Creager</t>
  </si>
  <si>
    <t>+ (530) 223-0690</t>
  </si>
  <si>
    <t>TownePlace Suites Richland</t>
  </si>
  <si>
    <t xml:space="preserve">591 Columbia Point Drive </t>
  </si>
  <si>
    <t>Richland</t>
  </si>
  <si>
    <t>Serena Rocha</t>
  </si>
  <si>
    <t>+ (509) 943-9800</t>
  </si>
  <si>
    <t>TownePlace Suites Ridgeland</t>
  </si>
  <si>
    <t xml:space="preserve">310 Southlake Avenue </t>
  </si>
  <si>
    <t>michael Blum</t>
  </si>
  <si>
    <t>+1 (601)898-9880</t>
  </si>
  <si>
    <t>TownePlace Suites Riverwalk</t>
  </si>
  <si>
    <t xml:space="preserve">409 E. Houston St. </t>
  </si>
  <si>
    <t>+1 (210) 271-3444</t>
  </si>
  <si>
    <t>TownePlace Suites Roseville</t>
  </si>
  <si>
    <t xml:space="preserve">10569 Fairway Drive </t>
  </si>
  <si>
    <t>Amber Pappageorge</t>
  </si>
  <si>
    <t>+ (916) 782-2232</t>
  </si>
  <si>
    <t>TownePlace Suites Sacramento Airport Natomas</t>
  </si>
  <si>
    <t xml:space="preserve">4090 E. Commerce Way </t>
  </si>
  <si>
    <t>Sean Dunn</t>
  </si>
  <si>
    <t>+1 (916) 419-8811</t>
  </si>
  <si>
    <t>TownePlace Suites Saginaw</t>
  </si>
  <si>
    <t xml:space="preserve">5368 Fashion Square Boulevard </t>
  </si>
  <si>
    <t>Lyle Davis III</t>
  </si>
  <si>
    <t>+(989)792-2200</t>
  </si>
  <si>
    <t>TownePlace Suites San Antonio Airport</t>
  </si>
  <si>
    <t xml:space="preserve">214 NE Loop 410 </t>
  </si>
  <si>
    <t>Enrique Guadarrama</t>
  </si>
  <si>
    <t>+1 (210) 308-5510</t>
  </si>
  <si>
    <t>TownePlace Suites San Antonio Northwest</t>
  </si>
  <si>
    <t xml:space="preserve">5014 Prue Road </t>
  </si>
  <si>
    <t>+1 (210) 694-5100</t>
  </si>
  <si>
    <t>Satesh Limited Inc</t>
  </si>
  <si>
    <t>TownePlace Suites San Antonio Northwest Outer Loop</t>
  </si>
  <si>
    <t xml:space="preserve">17934 La Cantera Parkway </t>
  </si>
  <si>
    <t>Angela Cox</t>
  </si>
  <si>
    <t>TownePlace Suites San Antonio Westover Hills</t>
  </si>
  <si>
    <t xml:space="preserve">10015 Westover Hills Boulevard </t>
  </si>
  <si>
    <t>Daniel Escobar</t>
  </si>
  <si>
    <t>+1(210)520-0441</t>
  </si>
  <si>
    <t>TownePlace Suites San Diego Airport - Liberty Station</t>
  </si>
  <si>
    <t xml:space="preserve">2311 Lee Court </t>
  </si>
  <si>
    <t>Noreen McGillion</t>
  </si>
  <si>
    <t>Stephanie Somboon</t>
  </si>
  <si>
    <t>+1 (619) 881-4100</t>
  </si>
  <si>
    <t>TownePlace Suites San Jose Santa Clara</t>
  </si>
  <si>
    <t xml:space="preserve">2877 Lakeside Drive </t>
  </si>
  <si>
    <t>+1 (408) 969-9900</t>
  </si>
  <si>
    <t>TownePlace Suites San Jose/Cupertino</t>
  </si>
  <si>
    <t xml:space="preserve">440 Saratoga Avenue </t>
  </si>
  <si>
    <t>Norma Ruiz</t>
  </si>
  <si>
    <t>+ (408) 984-5903</t>
  </si>
  <si>
    <t>Fullwel International Group Inc.</t>
  </si>
  <si>
    <t>TownePlace Suites San Mateo Foster City</t>
  </si>
  <si>
    <t xml:space="preserve">1299 Chess Drive </t>
  </si>
  <si>
    <t>Martin Uiberlacker</t>
  </si>
  <si>
    <t>Marina Fashchenko</t>
  </si>
  <si>
    <t>+1 (650) 539-4600</t>
  </si>
  <si>
    <t>TownePlace Suites Savannah Airport</t>
  </si>
  <si>
    <t xml:space="preserve">4 Jay R. Turner Dr. </t>
  </si>
  <si>
    <t>Savanah</t>
  </si>
  <si>
    <t xml:space="preserve"> Tim Schaadt</t>
  </si>
  <si>
    <t>Eleanor Haggray</t>
  </si>
  <si>
    <t>+1 (912) 629-7775</t>
  </si>
  <si>
    <t>TownePlace Suites Savannah Midtown</t>
  </si>
  <si>
    <t xml:space="preserve">11309 Abercorn Street </t>
  </si>
  <si>
    <t>Joanna Harber</t>
  </si>
  <si>
    <t>Bill Wade</t>
  </si>
  <si>
    <t>+ (912) 920-9080</t>
  </si>
  <si>
    <t xml:space="preserve">TownePlace Suites Scranton </t>
  </si>
  <si>
    <t xml:space="preserve">26 Radcliffe Drive </t>
  </si>
  <si>
    <t>+ (570)207-8500</t>
  </si>
  <si>
    <t>TownePlace Suites Seguin</t>
  </si>
  <si>
    <t xml:space="preserve">2732 Jay Road </t>
  </si>
  <si>
    <t>Seguin</t>
  </si>
  <si>
    <t>Ysabel Huerta</t>
  </si>
  <si>
    <t>+1 (830) 379-2400</t>
  </si>
  <si>
    <t>TownePlace Suites Shreveport - Bossier City</t>
  </si>
  <si>
    <t xml:space="preserve">1009 Gould Drive </t>
  </si>
  <si>
    <t>Tamika Miles</t>
  </si>
  <si>
    <t>Yashica Finley</t>
  </si>
  <si>
    <t>+1 (318) 741-9090</t>
  </si>
  <si>
    <t>TownePlace Suites Sierra Vista</t>
  </si>
  <si>
    <t xml:space="preserve">3399 Rodeo Drive </t>
  </si>
  <si>
    <t>SIERRA VISTA</t>
  </si>
  <si>
    <t xml:space="preserve">Sonia Sandiford </t>
  </si>
  <si>
    <t>+1 (520) 515-9900</t>
  </si>
  <si>
    <t>TownePlace Suites Slidell</t>
  </si>
  <si>
    <t xml:space="preserve">1840 Lindberg Drive </t>
  </si>
  <si>
    <t>Angel Hayes</t>
  </si>
  <si>
    <t>+1 (985) 641-2060</t>
  </si>
  <si>
    <t>TownePlace Suites St Charles</t>
  </si>
  <si>
    <t xml:space="preserve">1800 Zumbehl Road </t>
  </si>
  <si>
    <t>Brandi Jawher</t>
  </si>
  <si>
    <t>+ (636) 949-6800</t>
  </si>
  <si>
    <t>TownePlace Suites St Petersburg/ Clearwater</t>
  </si>
  <si>
    <t xml:space="preserve">13200 49th Street North </t>
  </si>
  <si>
    <t>Ken Philipsen</t>
  </si>
  <si>
    <t>+ (727) 299-9229</t>
  </si>
  <si>
    <t>TownePlace Suites St. Louis O'Fallon</t>
  </si>
  <si>
    <t xml:space="preserve">445 Regency Park </t>
  </si>
  <si>
    <t>Allyson Otey</t>
  </si>
  <si>
    <t>+1 (618) 624-4900</t>
  </si>
  <si>
    <t>TownePlace Suites Suffolk Chesapeake</t>
  </si>
  <si>
    <t xml:space="preserve">8050 Harbour View Dr. </t>
  </si>
  <si>
    <t>Kevon Martin</t>
  </si>
  <si>
    <t>TownePlace Suites Sunnyvale-Mountain View</t>
  </si>
  <si>
    <t xml:space="preserve">606 S. Bernardo Ave </t>
  </si>
  <si>
    <t>+1 (408) 733-4200</t>
  </si>
  <si>
    <t>TownePlace Suites Swedesboro</t>
  </si>
  <si>
    <t xml:space="preserve">3 Pureland Drive </t>
  </si>
  <si>
    <t xml:space="preserve">Angelo J. Candes </t>
  </si>
  <si>
    <t>Yazan Barqawi</t>
  </si>
  <si>
    <t>+1(856)241-9900</t>
  </si>
  <si>
    <t>TownePlace Suites Tampa Avion Park</t>
  </si>
  <si>
    <t xml:space="preserve">5302 Avion Park Drive </t>
  </si>
  <si>
    <t>Joe McQuillen</t>
  </si>
  <si>
    <t>Phoummaly Reed</t>
  </si>
  <si>
    <t>+1 (813) 282-1081</t>
  </si>
  <si>
    <t>TownePlace Suites Tempe at Arizona Mills Mall</t>
  </si>
  <si>
    <t xml:space="preserve">5223 South Priest Drive </t>
  </si>
  <si>
    <t>Ronald Byland</t>
  </si>
  <si>
    <t>+1 (480) 345-7889</t>
  </si>
  <si>
    <t>TownePlace Suites Thunder Bay</t>
  </si>
  <si>
    <t xml:space="preserve">550 Harbour Expressway </t>
  </si>
  <si>
    <t>THUNDER BAY</t>
  </si>
  <si>
    <t>Greg Holden</t>
  </si>
  <si>
    <t>+1 (807) 346-9000</t>
  </si>
  <si>
    <t>TownePlace Suites Titusville</t>
  </si>
  <si>
    <t xml:space="preserve">4815 Helen Hauser Boulevard </t>
  </si>
  <si>
    <t>Chelsea Hewitt</t>
  </si>
  <si>
    <t>+1 (352) 867-1347</t>
  </si>
  <si>
    <t>TownePlace Suites Tucson Airport</t>
  </si>
  <si>
    <t xml:space="preserve">6595 South Bay Colony Drive </t>
  </si>
  <si>
    <t>Jeremy Conley</t>
  </si>
  <si>
    <t>+1 (520) 294-6677</t>
  </si>
  <si>
    <t>TownePlace Suites Tucson Williams Centre</t>
  </si>
  <si>
    <t xml:space="preserve">384 South Williams Boulevard </t>
  </si>
  <si>
    <t>Jasmine Johnson</t>
  </si>
  <si>
    <t>Shantell Moreno</t>
  </si>
  <si>
    <t>+1 (520) 747-0720</t>
  </si>
  <si>
    <t>TownePlace Suites Tulsa Broken Arrow</t>
  </si>
  <si>
    <t xml:space="preserve">2251 North Stone Wood Circle </t>
  </si>
  <si>
    <t>Lisa Francis</t>
  </si>
  <si>
    <t>+1 (918) 355-9600</t>
  </si>
  <si>
    <t>TownePlace Suites Tuscaloosa</t>
  </si>
  <si>
    <t xml:space="preserve">2816 McFarland Boulevard East </t>
  </si>
  <si>
    <t>Haley McBride</t>
  </si>
  <si>
    <t>+1 (205) 462-8800</t>
  </si>
  <si>
    <t>TownePlace Suites Twin Falls</t>
  </si>
  <si>
    <t xml:space="preserve">175 Pole Line Road </t>
  </si>
  <si>
    <t>+1(208)734-8440</t>
  </si>
  <si>
    <t>TownePlace Suites West Des Moines</t>
  </si>
  <si>
    <t xml:space="preserve">125 South 68th Street </t>
  </si>
  <si>
    <t>Casey Price</t>
  </si>
  <si>
    <t>+1(515) 223-8015</t>
  </si>
  <si>
    <t>TownePlace Suites Westchase</t>
  </si>
  <si>
    <t xml:space="preserve">10610 WestPark Drive </t>
  </si>
  <si>
    <t>+1 (713) 266-2210</t>
  </si>
  <si>
    <t>TownePlace Suites Winchester</t>
  </si>
  <si>
    <t xml:space="preserve">170 Getty Lane </t>
  </si>
  <si>
    <t>Maggie Charles</t>
  </si>
  <si>
    <t>+1 (540) 722-2722</t>
  </si>
  <si>
    <t>TownePlace Suites Wrentham Plainville (Dual Property)</t>
  </si>
  <si>
    <t>Jessica Medina</t>
  </si>
  <si>
    <t>TownePlace Suites York</t>
  </si>
  <si>
    <t xml:space="preserve">2789 Concord Road </t>
  </si>
  <si>
    <t>+1 (717) 840-1180</t>
  </si>
  <si>
    <t>TownPlace Suite San Diego Downtown</t>
  </si>
  <si>
    <t xml:space="preserve">1445 6th Avenue </t>
  </si>
  <si>
    <t>+1 (619) 782-6400</t>
  </si>
  <si>
    <t>TPC at Piper Glen</t>
  </si>
  <si>
    <t xml:space="preserve">4300 Piper Glen Drive </t>
  </si>
  <si>
    <t>Denise Calia</t>
  </si>
  <si>
    <t>Ron Wonderling</t>
  </si>
  <si>
    <t>+ (704) 846-1212</t>
  </si>
  <si>
    <t>TPC Craig Ranch</t>
  </si>
  <si>
    <t xml:space="preserve">8000 Collin McKinney Parkway </t>
  </si>
  <si>
    <t>Greg Kinney</t>
  </si>
  <si>
    <t>+1 (972) 747-9005</t>
  </si>
  <si>
    <t>TPC Michigan</t>
  </si>
  <si>
    <t xml:space="preserve">One Nicklaus Drive </t>
  </si>
  <si>
    <t>Joe Obrien</t>
  </si>
  <si>
    <t>+ (313) 436-3100</t>
  </si>
  <si>
    <t>Gulf Hospitality Management LLC</t>
  </si>
  <si>
    <t>TradeWinds Island Grand Resort</t>
  </si>
  <si>
    <t xml:space="preserve">5500 Gulf Boulevard </t>
  </si>
  <si>
    <t>Bob LaCasse</t>
  </si>
  <si>
    <t>+1 (727) 367-6461</t>
  </si>
  <si>
    <t>Tratto Restaurant in The Marker</t>
  </si>
  <si>
    <t>Cynthia Tran</t>
  </si>
  <si>
    <t>+()415-292-8151</t>
  </si>
  <si>
    <t>Bayfield Hospitality Inc. dba Travelodge Barrie</t>
  </si>
  <si>
    <t>Travelodge - Barrie on Bayfield</t>
  </si>
  <si>
    <t xml:space="preserve">300 Bayfield Street </t>
  </si>
  <si>
    <t>L4M 3B9</t>
  </si>
  <si>
    <t>Susan Muir</t>
  </si>
  <si>
    <t>+1 (705) 722-4466</t>
  </si>
  <si>
    <t>Travelodge - Deer Lodge Montana</t>
  </si>
  <si>
    <t xml:space="preserve">1150 North Main Street </t>
  </si>
  <si>
    <t>Galen</t>
  </si>
  <si>
    <t xml:space="preserve">Dona Schlueter </t>
  </si>
  <si>
    <t>+1 (406) 846-2370</t>
  </si>
  <si>
    <t>Travelodge - Thunder Bay</t>
  </si>
  <si>
    <t xml:space="preserve">450 Memorial Avenue </t>
  </si>
  <si>
    <t>P7B 3Y7</t>
  </si>
  <si>
    <t>+1 (807) 345-2343</t>
  </si>
  <si>
    <t>Travelodge by Wyndham Sydney</t>
  </si>
  <si>
    <t xml:space="preserve">480 Kings Road </t>
  </si>
  <si>
    <t>Gloria LeForte</t>
  </si>
  <si>
    <t>+1 (902) 539-6750</t>
  </si>
  <si>
    <t>Travelodge Hotel &amp; Convention Centre- Ottawa West</t>
  </si>
  <si>
    <t xml:space="preserve">1376 Carling Avenue </t>
  </si>
  <si>
    <t>K1Z 7L5</t>
  </si>
  <si>
    <t>Jean Whistler</t>
  </si>
  <si>
    <t>+1 (613) 722-7600</t>
  </si>
  <si>
    <t>Travelodge Hotel by Wyndham Sudbury</t>
  </si>
  <si>
    <t xml:space="preserve">1401 Paris Street </t>
  </si>
  <si>
    <t>P3E 3B6</t>
  </si>
  <si>
    <t>Larry Martin</t>
  </si>
  <si>
    <t>+1 (705) 522-1100</t>
  </si>
  <si>
    <t>Vihar Hospitality Inc.</t>
  </si>
  <si>
    <t>Travelodge Hotel Montreal Airport</t>
  </si>
  <si>
    <t xml:space="preserve">7300 Cote de Liesse </t>
  </si>
  <si>
    <t>Saint Laurent</t>
  </si>
  <si>
    <t>H4T 1E7</t>
  </si>
  <si>
    <t>Ramesh Vala</t>
  </si>
  <si>
    <t>+1 (514) 733-8818</t>
  </si>
  <si>
    <t>Travelodge Suites by Wyndham Halifax Dartmouth</t>
  </si>
  <si>
    <t xml:space="preserve">101 Yorkshire Avenue Extension </t>
  </si>
  <si>
    <t>B3A 0C5</t>
  </si>
  <si>
    <t>April Barnes</t>
  </si>
  <si>
    <t>+1 (902) 465-4000</t>
  </si>
  <si>
    <t>Travelodge Suites by Wyndham Moncton</t>
  </si>
  <si>
    <t xml:space="preserve">2475 Mountain Road </t>
  </si>
  <si>
    <t>E1G 2J5</t>
  </si>
  <si>
    <t>+1 (506) 852-7000</t>
  </si>
  <si>
    <t>Travelodge Suites by Wyndham New Glasgow</t>
  </si>
  <si>
    <t xml:space="preserve">700 Westville Road </t>
  </si>
  <si>
    <t>Erika McCluskey</t>
  </si>
  <si>
    <t>+1 (902) 928-1333</t>
  </si>
  <si>
    <t>Travelodge Tucson Airport</t>
  </si>
  <si>
    <t xml:space="preserve">5251 South Julian Drive </t>
  </si>
  <si>
    <t>Elizabeth Chacon</t>
  </si>
  <si>
    <t>Gail Marquez</t>
  </si>
  <si>
    <t>+1 (520) 294-5250</t>
  </si>
  <si>
    <t>Treasure Beach Autograph Collection Barbados</t>
  </si>
  <si>
    <t>Lisa Batson</t>
  </si>
  <si>
    <t>+1 (246) 419-4200</t>
  </si>
  <si>
    <t>Tree House</t>
  </si>
  <si>
    <t xml:space="preserve">97 Lower Mall </t>
  </si>
  <si>
    <t>Treesdale Golf &amp; Country Club</t>
  </si>
  <si>
    <t xml:space="preserve">1 Arnold Palmer Drive </t>
  </si>
  <si>
    <t>Gibsonia</t>
  </si>
  <si>
    <t>Dennis Wuyscik</t>
  </si>
  <si>
    <t>+ (724) 625-2220</t>
  </si>
  <si>
    <t>Tres Rios Golf Club</t>
  </si>
  <si>
    <t xml:space="preserve">15205 West Vineyard Avenue </t>
  </si>
  <si>
    <t>Laurie Atsedes</t>
  </si>
  <si>
    <t>+1 (623) 932-3714</t>
  </si>
  <si>
    <t>Tri Delta Place (at St. Jude Children’s Research Hospital)</t>
  </si>
  <si>
    <t xml:space="preserve">350 North Third Street </t>
  </si>
  <si>
    <t>Cayce Starr</t>
  </si>
  <si>
    <t>+1 (901) 595-8200</t>
  </si>
  <si>
    <t>Triada Palm Springs Resort</t>
  </si>
  <si>
    <t xml:space="preserve">640 Indian Canyon Drive </t>
  </si>
  <si>
    <t>+1 (760) 844-7000</t>
  </si>
  <si>
    <t>Trophy Club of Dallas</t>
  </si>
  <si>
    <t xml:space="preserve">500 Trophy Club DR </t>
  </si>
  <si>
    <t>Trophy Club</t>
  </si>
  <si>
    <t>Tim Rowe</t>
  </si>
  <si>
    <t>+ (817) 837-1900</t>
  </si>
  <si>
    <t>TRU Atlanta Kennesaw</t>
  </si>
  <si>
    <t xml:space="preserve">Natasha Dodd </t>
  </si>
  <si>
    <t>+(470)648-0560</t>
  </si>
  <si>
    <t>TRU Bowling Green</t>
  </si>
  <si>
    <t xml:space="preserve">2600 Chandler Drive </t>
  </si>
  <si>
    <t>+1 (678) 794-0478</t>
  </si>
  <si>
    <t>TRU by Hilton - Sebring</t>
  </si>
  <si>
    <t xml:space="preserve">1775 US Highway 27 South </t>
  </si>
  <si>
    <t>Kacey Mee</t>
  </si>
  <si>
    <t>+()863-471-0000</t>
  </si>
  <si>
    <t>Tru Charlotte Airport (Dual Property)</t>
  </si>
  <si>
    <t>+1 (980) 312-5600</t>
  </si>
  <si>
    <t>Tru Chattanooga Hamilton Place</t>
  </si>
  <si>
    <t xml:space="preserve">7008 Shallowford Road </t>
  </si>
  <si>
    <t>Matt Patel</t>
  </si>
  <si>
    <t>+1 (423) 702-2600</t>
  </si>
  <si>
    <t>Tru Cleveland Midtown</t>
  </si>
  <si>
    <t xml:space="preserve">6955 Euclid Avenue </t>
  </si>
  <si>
    <t>Timothy Owens</t>
  </si>
  <si>
    <t>+1 (216) 361-1004</t>
  </si>
  <si>
    <t>Tru Denver (Dual Property)</t>
  </si>
  <si>
    <t>+1 (303) 753-1201</t>
  </si>
  <si>
    <t>TRU Denver International Airport</t>
  </si>
  <si>
    <t>+ (303) 307-9500</t>
  </si>
  <si>
    <t>Tru Fayetteville I 95</t>
  </si>
  <si>
    <t xml:space="preserve">2055 Cedar Creek </t>
  </si>
  <si>
    <t>Byron McNeilll</t>
  </si>
  <si>
    <t>Ashley Alexander</t>
  </si>
  <si>
    <t>+1 (910) 475-1570</t>
  </si>
  <si>
    <t>Tru Huber Heights Dayton</t>
  </si>
  <si>
    <t xml:space="preserve">7000 Executive Boulevard </t>
  </si>
  <si>
    <t>Samantha Dean</t>
  </si>
  <si>
    <t>+1 (937) 660-9001</t>
  </si>
  <si>
    <t>Tru Lubbock</t>
  </si>
  <si>
    <t xml:space="preserve">6407 62nd Street </t>
  </si>
  <si>
    <t>Maribel Mendoza</t>
  </si>
  <si>
    <t>+()1-806-701-4888</t>
  </si>
  <si>
    <t xml:space="preserve">Tru Milwaukee Downtown (Dual Property) </t>
  </si>
  <si>
    <t>Nicholas Searle</t>
  </si>
  <si>
    <t>TRU Minneapolis</t>
  </si>
  <si>
    <t>Tru Mt. Pleasant Charleston</t>
  </si>
  <si>
    <t xml:space="preserve">1651 Midtown Avenue </t>
  </si>
  <si>
    <t>Anthony Smith</t>
  </si>
  <si>
    <t>+1 (843) 936-5900</t>
  </si>
  <si>
    <t>Tru North Charleston</t>
  </si>
  <si>
    <t xml:space="preserve">2475 Prospect Road </t>
  </si>
  <si>
    <t>Frankie Moore</t>
  </si>
  <si>
    <t>+1 (843) 990-7950</t>
  </si>
  <si>
    <t>TRU Orangeburg</t>
  </si>
  <si>
    <t xml:space="preserve">739 Citadel Road </t>
  </si>
  <si>
    <t>Crystal Gwin</t>
  </si>
  <si>
    <t>Sierra Ryant</t>
  </si>
  <si>
    <t>+1 (803) 813-8000</t>
  </si>
  <si>
    <t>Tru San Antonio Downtown Riverwalk</t>
  </si>
  <si>
    <t xml:space="preserve">901 East Houston Street </t>
  </si>
  <si>
    <t>Brittany Hipolito</t>
  </si>
  <si>
    <t>+1 (210) 348-2924</t>
  </si>
  <si>
    <t>Tru San Antonio Lackland Seaworld (Dual Property)</t>
  </si>
  <si>
    <t>+()1-210-673-5525</t>
  </si>
  <si>
    <t>Trump International Hotel &amp; Tower Chicago</t>
  </si>
  <si>
    <t xml:space="preserve">401 N. Wabash Avenue </t>
  </si>
  <si>
    <t>Gabi Soanca</t>
  </si>
  <si>
    <t>Gabriel Constantin</t>
  </si>
  <si>
    <t>+1 (312) 588-8000</t>
  </si>
  <si>
    <t>Trump International Hotel Las Vegas</t>
  </si>
  <si>
    <t xml:space="preserve">2000 Fashion Show Drive </t>
  </si>
  <si>
    <t>Orbick Adame</t>
  </si>
  <si>
    <t>+1 (702) 982-0000</t>
  </si>
  <si>
    <t>Trump International Hotel Waikiki Beach Walk</t>
  </si>
  <si>
    <t xml:space="preserve">223 Saratoga Road </t>
  </si>
  <si>
    <t>Scott Ingwers</t>
  </si>
  <si>
    <t>Akiko Tsuji</t>
  </si>
  <si>
    <t>+1 (808) 683-7777</t>
  </si>
  <si>
    <t>Trump International Hotel Washington DC</t>
  </si>
  <si>
    <t xml:space="preserve">1100 Pennsylvania Avenue Northwest </t>
  </si>
  <si>
    <t>Mickael Damelincourt</t>
  </si>
  <si>
    <t>+1(202)695-1100</t>
  </si>
  <si>
    <t>Trump National Doral Miami</t>
  </si>
  <si>
    <t xml:space="preserve">4400 N.W. 87th Avenue </t>
  </si>
  <si>
    <t>Allison Dlugatz</t>
  </si>
  <si>
    <t>Hany Gabriel</t>
  </si>
  <si>
    <t>+ (305) 592-2000</t>
  </si>
  <si>
    <t>Trump National Golf Club - NJ (Bedminster)</t>
  </si>
  <si>
    <t>567 Lamington Road PO Box 175</t>
  </si>
  <si>
    <t>Bedminster</t>
  </si>
  <si>
    <t>David Schutzenhofer</t>
  </si>
  <si>
    <t>Jackie DeCamara</t>
  </si>
  <si>
    <t>+1 (908) 470-4400</t>
  </si>
  <si>
    <t>Trump National Golf Club - NY (Westchester)</t>
  </si>
  <si>
    <t xml:space="preserve">339 Pine Road </t>
  </si>
  <si>
    <t>Briarcliff Manor</t>
  </si>
  <si>
    <t>Joe Piantedosi</t>
  </si>
  <si>
    <t>Maria Barajas</t>
  </si>
  <si>
    <t>+1 (914) 944-0900</t>
  </si>
  <si>
    <t>Trump National Golf Club Colts Neck</t>
  </si>
  <si>
    <t xml:space="preserve">One Trump Boulevard </t>
  </si>
  <si>
    <t>Colts Neck</t>
  </si>
  <si>
    <t>Andrew Kiser</t>
  </si>
  <si>
    <t>Brian Curry</t>
  </si>
  <si>
    <t>+ (732) 625-9244</t>
  </si>
  <si>
    <t>Trump National Golf Club Jupiter</t>
  </si>
  <si>
    <t xml:space="preserve">115 Eagle Tree Terrace </t>
  </si>
  <si>
    <t>Tony Servideo</t>
  </si>
  <si>
    <t>Sean Hicks</t>
  </si>
  <si>
    <t>+(561)691-8700</t>
  </si>
  <si>
    <t>Trump National Golf Club Philadelphia</t>
  </si>
  <si>
    <t xml:space="preserve">500 West Branch Avenue </t>
  </si>
  <si>
    <t>Pine Hill</t>
  </si>
  <si>
    <t>Eric Quinn</t>
  </si>
  <si>
    <t>+1 (856) 435-3100</t>
  </si>
  <si>
    <t>Trump National Golf Club Charlotte</t>
  </si>
  <si>
    <t xml:space="preserve">120 Trump Square </t>
  </si>
  <si>
    <t>Gavin Arsenault</t>
  </si>
  <si>
    <t>Josh Wagoner</t>
  </si>
  <si>
    <t>+1 (704) 799-7300</t>
  </si>
  <si>
    <t>Trump Winery</t>
  </si>
  <si>
    <t xml:space="preserve">3550 Blenheim Road </t>
  </si>
  <si>
    <t xml:space="preserve">Kerry Woolard </t>
  </si>
  <si>
    <t>+1 (434) 977-3895</t>
  </si>
  <si>
    <t>Tryp Wyndham</t>
  </si>
  <si>
    <t xml:space="preserve">320 Montgomery Street </t>
  </si>
  <si>
    <t>Soraya Johnson</t>
  </si>
  <si>
    <t>+1 (912) 921-2300</t>
  </si>
  <si>
    <t>Tufts University</t>
  </si>
  <si>
    <t>Tufts University Medford Campus</t>
  </si>
  <si>
    <t xml:space="preserve">89-91 Curtis Street </t>
  </si>
  <si>
    <t>Connie Leccese</t>
  </si>
  <si>
    <t>Patti Klos</t>
  </si>
  <si>
    <t>+1 (617) 627-3596</t>
  </si>
  <si>
    <t>Tufts University SMFA</t>
  </si>
  <si>
    <t xml:space="preserve">230 The Fenway </t>
  </si>
  <si>
    <t>Melody Vuong</t>
  </si>
  <si>
    <t>Turkey Creek Golf Club</t>
  </si>
  <si>
    <t xml:space="preserve">1525 Hwy 193 </t>
  </si>
  <si>
    <t>Chris Wilson</t>
  </si>
  <si>
    <t>+ (916) 434-9363</t>
  </si>
  <si>
    <t>Turquoise Place</t>
  </si>
  <si>
    <t xml:space="preserve">26302 Perdido Beach Boulevard </t>
  </si>
  <si>
    <t>+1 (855) 741-7984</t>
  </si>
  <si>
    <t>Turtle Beach Autograph Collection Barbados</t>
  </si>
  <si>
    <t xml:space="preserve">Dover </t>
  </si>
  <si>
    <t>Christ Church</t>
  </si>
  <si>
    <t>Joe-Ann Grant</t>
  </si>
  <si>
    <t>+1 (246) 428-7131</t>
  </si>
  <si>
    <t>Tuscana Resort Orlando</t>
  </si>
  <si>
    <t xml:space="preserve">1395 Tuscana Lane </t>
  </si>
  <si>
    <t>Champions Gate</t>
  </si>
  <si>
    <t>Duane Dickson</t>
  </si>
  <si>
    <t>+1 (407) 787-4800</t>
  </si>
  <si>
    <t>Twelve Downtown Autograph Collection</t>
  </si>
  <si>
    <t xml:space="preserve">400 West Peachtree Street </t>
  </si>
  <si>
    <t>Shon Johnson</t>
  </si>
  <si>
    <t>+1 (404) 418-1212</t>
  </si>
  <si>
    <t>Twelve Midtown Autograph Collection</t>
  </si>
  <si>
    <t xml:space="preserve">361 17th Street Northwest </t>
  </si>
  <si>
    <t>Elizabeth Flamini</t>
  </si>
  <si>
    <t>+1 (404) 961-1212</t>
  </si>
  <si>
    <t>Twin Creeks Country Club</t>
  </si>
  <si>
    <t xml:space="preserve">3201 Twin Creeks Club Drive </t>
  </si>
  <si>
    <t>Kyle O'Brien</t>
  </si>
  <si>
    <t>William Gall</t>
  </si>
  <si>
    <t>+1 (513) 331-5900</t>
  </si>
  <si>
    <t>Two Creeks</t>
  </si>
  <si>
    <t xml:space="preserve">31 Slopeside Drive </t>
  </si>
  <si>
    <t>UCLA - Recreation</t>
  </si>
  <si>
    <t xml:space="preserve">403 Charles E Young Drive West </t>
  </si>
  <si>
    <t>Julia Rhoton</t>
  </si>
  <si>
    <t>+1 (310) 825-4549</t>
  </si>
  <si>
    <t>UCLA Athletic Department</t>
  </si>
  <si>
    <t xml:space="preserve">325 Westwood Plaza </t>
  </si>
  <si>
    <t>Lauren Papanos</t>
  </si>
  <si>
    <t>+1 (310) 206-4011</t>
  </si>
  <si>
    <t>UCLA Catering</t>
  </si>
  <si>
    <t xml:space="preserve">417 Charles E. Young Drive West </t>
  </si>
  <si>
    <t>+1 (310) 825-8770</t>
  </si>
  <si>
    <t>UCLA Dining Services</t>
  </si>
  <si>
    <t xml:space="preserve">320 Charles Young Drive North </t>
  </si>
  <si>
    <t>Al Ferrone</t>
  </si>
  <si>
    <t>+1 (310) 206-0365</t>
  </si>
  <si>
    <t>UCLA Geffen Academy</t>
  </si>
  <si>
    <t xml:space="preserve">1100 Kinross Avenue </t>
  </si>
  <si>
    <t>Chad Garcia</t>
  </si>
  <si>
    <t>+1 (310) 794-9877</t>
  </si>
  <si>
    <t>UCLA Guest House</t>
  </si>
  <si>
    <t xml:space="preserve">330 Charles E. Young Drive East </t>
  </si>
  <si>
    <t>Richard McPhee</t>
  </si>
  <si>
    <t>+(310) 825-2923</t>
  </si>
  <si>
    <t>UCLA Lake Arrowhead Conference Center</t>
  </si>
  <si>
    <t xml:space="preserve">850 Willow Creek Road </t>
  </si>
  <si>
    <t>92352-0160</t>
  </si>
  <si>
    <t>Brian Good</t>
  </si>
  <si>
    <t>+1 (909) 336-7041</t>
  </si>
  <si>
    <t>UCLA Luskin Conference Center</t>
  </si>
  <si>
    <t xml:space="preserve">425 Westwood Plaza </t>
  </si>
  <si>
    <t>Les Utley</t>
  </si>
  <si>
    <t>+1 (310) 825-4941</t>
  </si>
  <si>
    <t>Ullrhof Restaurant</t>
  </si>
  <si>
    <t xml:space="preserve">Union Club Hotel Purdue University Autograph Collection </t>
  </si>
  <si>
    <t xml:space="preserve">201 North Grant Street </t>
  </si>
  <si>
    <t>West Lafayette</t>
  </si>
  <si>
    <t>Victoria Wicks</t>
  </si>
  <si>
    <t>Don Sawa</t>
  </si>
  <si>
    <t>+1 (765) 494-8922</t>
  </si>
  <si>
    <t>Union League National Golf Club</t>
  </si>
  <si>
    <t xml:space="preserve">1765 Route 9 North </t>
  </si>
  <si>
    <t>Swainton</t>
  </si>
  <si>
    <t>Jacob Hoffer</t>
  </si>
  <si>
    <t>+1 (609) 465-3555</t>
  </si>
  <si>
    <t>Universal's Aventura Hotel</t>
  </si>
  <si>
    <t xml:space="preserve">6725 Adventure Way </t>
  </si>
  <si>
    <t>Jonathan Barisano</t>
  </si>
  <si>
    <t>+1 (407) 503-6000</t>
  </si>
  <si>
    <t>Universal's Endless Summer Resort Dockside Inn &amp; Suites</t>
  </si>
  <si>
    <t xml:space="preserve">7125 Universal Boulevard </t>
  </si>
  <si>
    <t>Leonard Kong</t>
  </si>
  <si>
    <t>Universals Endless Summer Resort Surfside Inn &amp; Suites</t>
  </si>
  <si>
    <t xml:space="preserve">7000 Universal Boulevard </t>
  </si>
  <si>
    <t>University and Whist Club of Wilmington</t>
  </si>
  <si>
    <t>University and Whist Club</t>
  </si>
  <si>
    <t xml:space="preserve">805 North Broom Street </t>
  </si>
  <si>
    <t>Michael Crispin</t>
  </si>
  <si>
    <t>+1 (302) 249-9964</t>
  </si>
  <si>
    <t>University Club Atop Symphony Towers</t>
  </si>
  <si>
    <t>750 B St Ste 3400</t>
  </si>
  <si>
    <t>Kat Bacud</t>
  </si>
  <si>
    <t>Lauren Scobel</t>
  </si>
  <si>
    <t>+ (619) 234-5200</t>
  </si>
  <si>
    <t>University Club of San Francisco Inc.</t>
  </si>
  <si>
    <t>University Club San Francisco Inc.</t>
  </si>
  <si>
    <t xml:space="preserve">800 Powell Street </t>
  </si>
  <si>
    <t>Elizabeth Sturton</t>
  </si>
  <si>
    <t>+1 (415) 781-0900</t>
  </si>
  <si>
    <t>University of Delaware Courtyard</t>
  </si>
  <si>
    <t xml:space="preserve">400 David Hollowell Road </t>
  </si>
  <si>
    <t>Bill Sullivan</t>
  </si>
  <si>
    <t>Dawn Ackerman</t>
  </si>
  <si>
    <t>+1 (302) 737-0900</t>
  </si>
  <si>
    <t>University of Puget Sound</t>
  </si>
  <si>
    <t xml:space="preserve">1500 North Warner Street </t>
  </si>
  <si>
    <t>Terry Halvorson</t>
  </si>
  <si>
    <t>+1 (253) 879-3627</t>
  </si>
  <si>
    <t>University of Texas Club</t>
  </si>
  <si>
    <t xml:space="preserve">2108 Robert Dedman Drive </t>
  </si>
  <si>
    <t>Owen Wright</t>
  </si>
  <si>
    <t>George Tucci</t>
  </si>
  <si>
    <t>+ (512) 477-5800</t>
  </si>
  <si>
    <t>University Plaza Hotel</t>
  </si>
  <si>
    <t xml:space="preserve">333 South Hammons Parkway </t>
  </si>
  <si>
    <t xml:space="preserve">Thys Jones </t>
  </si>
  <si>
    <t>+1 (417) 864-7333</t>
  </si>
  <si>
    <t>Up for Pizza</t>
  </si>
  <si>
    <t>Valencia Country Club</t>
  </si>
  <si>
    <t xml:space="preserve">27330 North Tourney Road </t>
  </si>
  <si>
    <t>Ricky Potts</t>
  </si>
  <si>
    <t>+1 (661) 254-4401</t>
  </si>
  <si>
    <t>Vancouver Marriott Pinnacle Hotel</t>
  </si>
  <si>
    <t xml:space="preserve">1128 West Hastings Street </t>
  </si>
  <si>
    <t>V6E 4R5</t>
  </si>
  <si>
    <t>David Stevenson-Moore</t>
  </si>
  <si>
    <t>Ben Mattman</t>
  </si>
  <si>
    <t>(604) 684-1128</t>
  </si>
  <si>
    <t>Vanderbilt Grace</t>
  </si>
  <si>
    <t xml:space="preserve">41 Mary Street </t>
  </si>
  <si>
    <t>Massimiliano Puglisi</t>
  </si>
  <si>
    <t>Allison Schumann</t>
  </si>
  <si>
    <t>+1 (401) 846-6200</t>
  </si>
  <si>
    <t>Venice Restaurant Inc.</t>
  </si>
  <si>
    <t>Venice Restaurant</t>
  </si>
  <si>
    <t xml:space="preserve">165 Shore Road </t>
  </si>
  <si>
    <t>Westerly</t>
  </si>
  <si>
    <t>Joseph Di Marco</t>
  </si>
  <si>
    <t>Nunzio Di Marco</t>
  </si>
  <si>
    <t>+1 (401) 348-0055</t>
  </si>
  <si>
    <t>Ventana Big Sur</t>
  </si>
  <si>
    <t xml:space="preserve">48123 Californian 1 </t>
  </si>
  <si>
    <t>Big Sur</t>
  </si>
  <si>
    <t>Anthony Duggan</t>
  </si>
  <si>
    <t>+1 (831) 667-2331</t>
  </si>
  <si>
    <t>Flagship Resort Properties S.E.</t>
  </si>
  <si>
    <t>Verdanza Hotel</t>
  </si>
  <si>
    <t xml:space="preserve">8020 Tartak Street </t>
  </si>
  <si>
    <t>Ricky Newman</t>
  </si>
  <si>
    <t>Laurie Davila</t>
  </si>
  <si>
    <t>+1 (787) 791-2332</t>
  </si>
  <si>
    <t xml:space="preserve">1805 US Highway 82 West </t>
  </si>
  <si>
    <t xml:space="preserve">+1 (301) </t>
  </si>
  <si>
    <t>Vermilion Pomeroy Inn &amp; Suites</t>
  </si>
  <si>
    <t xml:space="preserve">4111 - 51st Street </t>
  </si>
  <si>
    <t>Vermilion</t>
  </si>
  <si>
    <t>T9X 1J5</t>
  </si>
  <si>
    <t>Mikhail GM</t>
  </si>
  <si>
    <t>+1 (780) 853-3066</t>
  </si>
  <si>
    <t>Viceroy Chicago</t>
  </si>
  <si>
    <t xml:space="preserve">1118 North State Street </t>
  </si>
  <si>
    <t>NIENKE OOSTING</t>
  </si>
  <si>
    <t>+()312-586-2000</t>
  </si>
  <si>
    <t>Viceroy Los Cabos</t>
  </si>
  <si>
    <t xml:space="preserve">Paseo Malecon San Jose Lote 8 Zona Hotelera </t>
  </si>
  <si>
    <t>Viceroy Icon Collection</t>
  </si>
  <si>
    <t>Jorge Picazo</t>
  </si>
  <si>
    <t>+1 (52) 624 104 9999</t>
  </si>
  <si>
    <t>Viceroy Riviera Maya</t>
  </si>
  <si>
    <t xml:space="preserve">Xcalacoco Frac 7 Quintana Roo </t>
  </si>
  <si>
    <t>Pedro Lara</t>
  </si>
  <si>
    <t>Manuel Miss</t>
  </si>
  <si>
    <t>+52 (984) 877-3000</t>
  </si>
  <si>
    <t>Viceroy Santa Monica</t>
  </si>
  <si>
    <t xml:space="preserve">1819 Ocean Avenue </t>
  </si>
  <si>
    <t>+ (310) 260-7500</t>
  </si>
  <si>
    <t>Viceroy Snowmass</t>
  </si>
  <si>
    <t xml:space="preserve">130 Wood Road </t>
  </si>
  <si>
    <t>Kelley Brocket</t>
  </si>
  <si>
    <t>Robert Purdy</t>
  </si>
  <si>
    <t>+1 (970) 923-8000</t>
  </si>
  <si>
    <t>Viceroy Sugar Beach</t>
  </si>
  <si>
    <t xml:space="preserve">Val des Pitons Forbidden Beach La Baie de Silence P.O. Box 251 </t>
  </si>
  <si>
    <t>Soufriere</t>
  </si>
  <si>
    <t>SL</t>
  </si>
  <si>
    <t>Saint Lucia</t>
  </si>
  <si>
    <t>Mark Sterner</t>
  </si>
  <si>
    <t>Jonathan Powell</t>
  </si>
  <si>
    <t>+1 (758) 456-8000</t>
  </si>
  <si>
    <t>Viceroy Washington DC</t>
  </si>
  <si>
    <t xml:space="preserve">1430 Rhode Island Avenue NW </t>
  </si>
  <si>
    <t>+1 (202) 742-3100</t>
  </si>
  <si>
    <t>Victoria Palms Inn &amp; Suites</t>
  </si>
  <si>
    <t xml:space="preserve">602 North Victoria Road </t>
  </si>
  <si>
    <t>Cyndi Flues</t>
  </si>
  <si>
    <t>+1 (956) 782-3200</t>
  </si>
  <si>
    <t>Victorian Inn</t>
  </si>
  <si>
    <t xml:space="preserve">487 Foam Street </t>
  </si>
  <si>
    <t>Alyssa Cullen</t>
  </si>
  <si>
    <t>+1 (831) 373-8000</t>
  </si>
  <si>
    <t>Viewline Resort Snowmass</t>
  </si>
  <si>
    <t xml:space="preserve">100 Elbert Lane </t>
  </si>
  <si>
    <t>Jeffery Burrell</t>
  </si>
  <si>
    <t>Cindy Crosbie</t>
  </si>
  <si>
    <t>+1 (970) 923-8200</t>
  </si>
  <si>
    <t>Villa Florence Hotel</t>
  </si>
  <si>
    <t xml:space="preserve">225 Powell Street </t>
  </si>
  <si>
    <t>Cindy Bedan</t>
  </si>
  <si>
    <t>+1 (415) 397-7700</t>
  </si>
  <si>
    <t>Villas at Doral</t>
  </si>
  <si>
    <t xml:space="preserve">4101 NW 87th Avenue </t>
  </si>
  <si>
    <t>Juliet Barnett</t>
  </si>
  <si>
    <t>Julio Picasso</t>
  </si>
  <si>
    <t>+ (305) 629-3400</t>
  </si>
  <si>
    <t>Villas at Doral Sales Office</t>
  </si>
  <si>
    <t xml:space="preserve">1601 Washington Avenue </t>
  </si>
  <si>
    <t>Michelle Quintero</t>
  </si>
  <si>
    <t>+1 (786) 857-5822</t>
  </si>
  <si>
    <t>Villas CE S de RL de CV</t>
  </si>
  <si>
    <t>+1(52)624-1446013</t>
  </si>
  <si>
    <t>Villas Del Mar</t>
  </si>
  <si>
    <t>Carretera Transpeninsular Km 27.5 Fracc. Palmilla</t>
  </si>
  <si>
    <t>Alejandro Guerrero</t>
  </si>
  <si>
    <t>+1 (52) 624 144 5291</t>
  </si>
  <si>
    <t>Vinoy Renaissance St. Petersburg Resort &amp; Golf Club</t>
  </si>
  <si>
    <t xml:space="preserve">501 Fifth Avenue NE </t>
  </si>
  <si>
    <t>Tabish Siddiquie</t>
  </si>
  <si>
    <t>Milko Milkov</t>
  </si>
  <si>
    <t>+1(727)894-1000</t>
  </si>
  <si>
    <t>Visalia Marriott at the Convention Center</t>
  </si>
  <si>
    <t xml:space="preserve">300 South Court Street </t>
  </si>
  <si>
    <t>Visalia</t>
  </si>
  <si>
    <t>Carrie Groover</t>
  </si>
  <si>
    <t>+1 (559) 636-1111</t>
  </si>
  <si>
    <t>Vista Collina Resort</t>
  </si>
  <si>
    <t xml:space="preserve">850 Bordeaux Way </t>
  </si>
  <si>
    <t>+()888-965-7090</t>
  </si>
  <si>
    <t>Vista Vallarta</t>
  </si>
  <si>
    <t>Circuito Universidad 653 Col. San Nicolas</t>
  </si>
  <si>
    <t>+011 (52) 322-29-0-00-30</t>
  </si>
  <si>
    <t>Vistana Beach Club</t>
  </si>
  <si>
    <t xml:space="preserve">10740 South Ocean Drive </t>
  </si>
  <si>
    <t>Jensen Beach</t>
  </si>
  <si>
    <t xml:space="preserve">Vistana </t>
  </si>
  <si>
    <t>Daniel Cahill</t>
  </si>
  <si>
    <t>Karl Cimino</t>
  </si>
  <si>
    <t>Voco/Holiday Inn Downtown Chicago</t>
  </si>
  <si>
    <t xml:space="preserve">350 West Mart Center Drive </t>
  </si>
  <si>
    <t>Dale McFarland</t>
  </si>
  <si>
    <t>+ (312) 836-5000</t>
  </si>
  <si>
    <t>W Aspen</t>
  </si>
  <si>
    <t xml:space="preserve">550 South Spring Street </t>
  </si>
  <si>
    <t>Justin Todd</t>
  </si>
  <si>
    <t>Derek Tueller</t>
  </si>
  <si>
    <t>+1 (301) 272-7528</t>
  </si>
  <si>
    <t>W Atlanta - Downtown</t>
  </si>
  <si>
    <t xml:space="preserve">45 Ivan Allen Jr Blvd NW </t>
  </si>
  <si>
    <t>Christopher Cannon</t>
  </si>
  <si>
    <t>Tori Hilliard</t>
  </si>
  <si>
    <t>+1(404)582-5800</t>
  </si>
  <si>
    <t>W Austin</t>
  </si>
  <si>
    <t xml:space="preserve">200 Lavaca St </t>
  </si>
  <si>
    <t>Joanna McCreary</t>
  </si>
  <si>
    <t>+1(512)542-3600</t>
  </si>
  <si>
    <t>W Bellevue</t>
  </si>
  <si>
    <t xml:space="preserve">10455 Northeast 5th Place </t>
  </si>
  <si>
    <t>Sarah Christie Rydell</t>
  </si>
  <si>
    <t>+1(425) 709-9000</t>
  </si>
  <si>
    <t>W Boston</t>
  </si>
  <si>
    <t xml:space="preserve">100 Stuart St </t>
  </si>
  <si>
    <t>Gurki Singh</t>
  </si>
  <si>
    <t>+1(617)261-8700</t>
  </si>
  <si>
    <t>W Chicago - City Center</t>
  </si>
  <si>
    <t xml:space="preserve">172 W Adams St </t>
  </si>
  <si>
    <t>Manuel Deisen</t>
  </si>
  <si>
    <t>Amanda Kirchoff</t>
  </si>
  <si>
    <t>+(312)332-1200</t>
  </si>
  <si>
    <t>W Chicago - Lakeshore</t>
  </si>
  <si>
    <t xml:space="preserve">644 N Lake Shore Dr </t>
  </si>
  <si>
    <t>+(312) 943-9200</t>
  </si>
  <si>
    <t>W Dallas - Victory</t>
  </si>
  <si>
    <t xml:space="preserve">2440 Victory Park Lane </t>
  </si>
  <si>
    <t>Cassandra Scott</t>
  </si>
  <si>
    <t>Elva De Avila</t>
  </si>
  <si>
    <t>+1(214)397-4100</t>
  </si>
  <si>
    <t>W Fort Lauderdale</t>
  </si>
  <si>
    <t xml:space="preserve">401 N Fort Lauderdale Beach Blvd </t>
  </si>
  <si>
    <t>Anna MacDiarmid</t>
  </si>
  <si>
    <t>Erick Mendez</t>
  </si>
  <si>
    <t>+(954)414-8200</t>
  </si>
  <si>
    <t>W Hoboken</t>
  </si>
  <si>
    <t xml:space="preserve">225 River St </t>
  </si>
  <si>
    <t>Joanna Sanchez</t>
  </si>
  <si>
    <t>Raina Rose Fernandes</t>
  </si>
  <si>
    <t>+1(201)253-2400</t>
  </si>
  <si>
    <t>W Los Angeles - West Beverly Hills</t>
  </si>
  <si>
    <t xml:space="preserve">930 Hilgard Ave </t>
  </si>
  <si>
    <t>Damien Hirsch Damien Hirsch</t>
  </si>
  <si>
    <t>+1(310)208-8765</t>
  </si>
  <si>
    <t>W Mexico City</t>
  </si>
  <si>
    <t xml:space="preserve">Campos Eliseos 252 </t>
  </si>
  <si>
    <t>Netzer Fajardo</t>
  </si>
  <si>
    <t>+()52 55 9138 1800</t>
  </si>
  <si>
    <t>W Miami - Downtown</t>
  </si>
  <si>
    <t xml:space="preserve">485 Brickell Avenue </t>
  </si>
  <si>
    <t>Gregory Polino</t>
  </si>
  <si>
    <t>+ (305) 503 4400</t>
  </si>
  <si>
    <t>W Minneapolis - The Foshay</t>
  </si>
  <si>
    <t xml:space="preserve">821 Marquette Avenue South </t>
  </si>
  <si>
    <t>Christy Loy</t>
  </si>
  <si>
    <t>+1(612)215-3700</t>
  </si>
  <si>
    <t>W Montreal</t>
  </si>
  <si>
    <t xml:space="preserve">901 Rue du Square-Victoria </t>
  </si>
  <si>
    <t>H2Z 1R1</t>
  </si>
  <si>
    <t>Francis Huot</t>
  </si>
  <si>
    <t>+1(514)395-3100</t>
  </si>
  <si>
    <t>W New Orleans - French Quarter</t>
  </si>
  <si>
    <t xml:space="preserve">316 Chartres St </t>
  </si>
  <si>
    <t>Parag Athavale</t>
  </si>
  <si>
    <t>+1 (504) 581-1200</t>
  </si>
  <si>
    <t>W New York - Times Square</t>
  </si>
  <si>
    <t xml:space="preserve">1567 Broadway </t>
  </si>
  <si>
    <t>John Jordan</t>
  </si>
  <si>
    <t>+1(212)930-7400</t>
  </si>
  <si>
    <t>W New York - Union Square</t>
  </si>
  <si>
    <t xml:space="preserve">201 Park Avenue South </t>
  </si>
  <si>
    <t>Christina Poon</t>
  </si>
  <si>
    <t>+()917-534-5825</t>
  </si>
  <si>
    <t>W Panama</t>
  </si>
  <si>
    <t xml:space="preserve">Calle 50 corner of Alquilino de la Guardia Street </t>
  </si>
  <si>
    <t>+1(507) 309-7550</t>
  </si>
  <si>
    <t>W Philadelphia</t>
  </si>
  <si>
    <t>+(215)709-8000</t>
  </si>
  <si>
    <t>W Punta de Mita</t>
  </si>
  <si>
    <t xml:space="preserve">Km 8.5 Carretera Punta de Mita Desarrollo Costa B </t>
  </si>
  <si>
    <t>David Gauna</t>
  </si>
  <si>
    <t>+52(329)226 8333</t>
  </si>
  <si>
    <t>W San Francisco</t>
  </si>
  <si>
    <t xml:space="preserve">181 3rd St </t>
  </si>
  <si>
    <t>Amy Arbuckle</t>
  </si>
  <si>
    <t>Claudia Nuta</t>
  </si>
  <si>
    <t>+(415)777-5300</t>
  </si>
  <si>
    <t>W Scottsdale</t>
  </si>
  <si>
    <t xml:space="preserve">7277 E Camelback Rd </t>
  </si>
  <si>
    <t>Dawn Wesley</t>
  </si>
  <si>
    <t>Todd Iacono</t>
  </si>
  <si>
    <t>+1(480)970-2100</t>
  </si>
  <si>
    <t>W Seattle</t>
  </si>
  <si>
    <t xml:space="preserve">1112 4th Ave </t>
  </si>
  <si>
    <t>Wade Hashimoto</t>
  </si>
  <si>
    <t>+1(206)264-6000</t>
  </si>
  <si>
    <t>W South Beach</t>
  </si>
  <si>
    <t xml:space="preserve">Rick Ueno </t>
  </si>
  <si>
    <t xml:space="preserve">Joann Kersey </t>
  </si>
  <si>
    <t>+1(305)938-3000</t>
  </si>
  <si>
    <t>W Toronto</t>
  </si>
  <si>
    <t xml:space="preserve">90 Bloor Street East </t>
  </si>
  <si>
    <t>M4W 1A7</t>
  </si>
  <si>
    <t>Craig Reaume</t>
  </si>
  <si>
    <t>Rita Yao</t>
  </si>
  <si>
    <t>+1(416) 961-8000</t>
  </si>
  <si>
    <t>Wachesaw Plantation Club Inc</t>
  </si>
  <si>
    <t>Wachesaw Plantation Club</t>
  </si>
  <si>
    <t xml:space="preserve">1930 Governors Landing </t>
  </si>
  <si>
    <t>Murrells Inlet</t>
  </si>
  <si>
    <t>Scott Fretz</t>
  </si>
  <si>
    <t>Dean Abell Abell</t>
  </si>
  <si>
    <t>+ (843) 357-1500</t>
  </si>
  <si>
    <t>Waikiki Resort Hotel Inc</t>
  </si>
  <si>
    <t>Waikiki Resort Hotel</t>
  </si>
  <si>
    <t xml:space="preserve">2460 Koa Ave </t>
  </si>
  <si>
    <t>Glenn Vergara</t>
  </si>
  <si>
    <t>Benny Choi</t>
  </si>
  <si>
    <t>+(808)922-4911</t>
  </si>
  <si>
    <t>Waikoloa Beach Marriott Resort &amp; Spa</t>
  </si>
  <si>
    <t xml:space="preserve">69-275 Waikoloa Beach Dr </t>
  </si>
  <si>
    <t>Jeff Nisenoff</t>
  </si>
  <si>
    <t>Steve Yannarell</t>
  </si>
  <si>
    <t>+ (808) 886-6789</t>
  </si>
  <si>
    <t>Waikoloa Beach Sales and Marketing</t>
  </si>
  <si>
    <t>+1 (808) 883-8023</t>
  </si>
  <si>
    <t>Wailea Marriott</t>
  </si>
  <si>
    <t xml:space="preserve">3700 Wailea Alanui Drive </t>
  </si>
  <si>
    <t>+1 (808) 879-1922</t>
  </si>
  <si>
    <t>Waiohai Beach Club</t>
  </si>
  <si>
    <t xml:space="preserve">2249 Poipu Road </t>
  </si>
  <si>
    <t>KOLOA</t>
  </si>
  <si>
    <t>Beres Wall</t>
  </si>
  <si>
    <t>+1 (808) 742-4400</t>
  </si>
  <si>
    <t>Walden on Lake Houston</t>
  </si>
  <si>
    <t xml:space="preserve">18100 Walden Forest DR </t>
  </si>
  <si>
    <t>Tanna Shelton</t>
  </si>
  <si>
    <t>+ (281) 852-3551</t>
  </si>
  <si>
    <t>Walker Hotel Greenwich Village</t>
  </si>
  <si>
    <t xml:space="preserve">52 West 13th Street </t>
  </si>
  <si>
    <t>Peter Young</t>
  </si>
  <si>
    <t>+1 (212) 375-1300</t>
  </si>
  <si>
    <t>Wall Miami Beach</t>
  </si>
  <si>
    <t>Joe Weiss</t>
  </si>
  <si>
    <t>Wallingford Courtyard</t>
  </si>
  <si>
    <t xml:space="preserve">600 Northrop Road </t>
  </si>
  <si>
    <t>Saudin Camdzic</t>
  </si>
  <si>
    <t>(203) 284-9400</t>
  </si>
  <si>
    <t>Walnut Creek Country Club</t>
  </si>
  <si>
    <t xml:space="preserve">1151 Country Club DR </t>
  </si>
  <si>
    <t>Chris Schwartz</t>
  </si>
  <si>
    <t>Earl Snowden</t>
  </si>
  <si>
    <t>+ (817) 473-6111</t>
  </si>
  <si>
    <t>Walnut Creek Embassy Suites</t>
  </si>
  <si>
    <t xml:space="preserve">1345 Treat Boulevard </t>
  </si>
  <si>
    <t>Wahid Mohammadi</t>
  </si>
  <si>
    <t>+ () 925-934-2500</t>
  </si>
  <si>
    <t>Walper Hotel</t>
  </si>
  <si>
    <t xml:space="preserve">20 Queen Street South </t>
  </si>
  <si>
    <t>N2G 1V6</t>
  </si>
  <si>
    <t>Rick Knapp</t>
  </si>
  <si>
    <t>+1 (519) 745-4321</t>
  </si>
  <si>
    <t>Walt Disney World Dolphin</t>
  </si>
  <si>
    <t xml:space="preserve">1500 Epcot Resort Blvd </t>
  </si>
  <si>
    <t>Eric Opron</t>
  </si>
  <si>
    <t>Fred Sawyers</t>
  </si>
  <si>
    <t>+1(407)934-4000</t>
  </si>
  <si>
    <t>Walt Disney World Swan</t>
  </si>
  <si>
    <t xml:space="preserve">1200 Epcot Resorts Blvd </t>
  </si>
  <si>
    <t>+1(407)934-3000</t>
  </si>
  <si>
    <t>Walter's Soul Food Cafe</t>
  </si>
  <si>
    <t xml:space="preserve">394 Cleveland Avenue SW A </t>
  </si>
  <si>
    <t>+1 (404) 761-0001</t>
  </si>
  <si>
    <t>Warner Center Marriott Woodland Hills</t>
  </si>
  <si>
    <t xml:space="preserve">21850 Oxnard Street </t>
  </si>
  <si>
    <t>Claudia Perez</t>
  </si>
  <si>
    <t>+1 (818) 887-4800</t>
  </si>
  <si>
    <t>Warwick International Hotels</t>
  </si>
  <si>
    <t>Warwick Allerton-Chicago</t>
  </si>
  <si>
    <t xml:space="preserve">701 North Michigan Avenue </t>
  </si>
  <si>
    <t>Niek Mestdagh</t>
  </si>
  <si>
    <t>+1 (312) 440-1500</t>
  </si>
  <si>
    <t>Warwick Denver</t>
  </si>
  <si>
    <t xml:space="preserve">1776 Grant Street </t>
  </si>
  <si>
    <t>Derek Ovall</t>
  </si>
  <si>
    <t>Kevin Savoy</t>
  </si>
  <si>
    <t>+1 (303) 861-2000</t>
  </si>
  <si>
    <t>Warwick Melrose-Dallas</t>
  </si>
  <si>
    <t xml:space="preserve">3015 Oak Lawn Avenue </t>
  </si>
  <si>
    <t>+1 (214) 521-5151</t>
  </si>
  <si>
    <t>Warwick New York</t>
  </si>
  <si>
    <t xml:space="preserve">65 West 54th Street </t>
  </si>
  <si>
    <t>10019-5488</t>
  </si>
  <si>
    <t>Carmen Velez</t>
  </si>
  <si>
    <t>Chi Ho</t>
  </si>
  <si>
    <t>+1 (212) 247-2700</t>
  </si>
  <si>
    <t>Warwick San Francisco</t>
  </si>
  <si>
    <t xml:space="preserve">490 Geary Street </t>
  </si>
  <si>
    <t>Terrence Kelso</t>
  </si>
  <si>
    <t>+1 (415) 928-7900</t>
  </si>
  <si>
    <t>Washington Dulles Marriott Suites</t>
  </si>
  <si>
    <t xml:space="preserve">13101 Worldgate Drive </t>
  </si>
  <si>
    <t>(703) 709-0400</t>
  </si>
  <si>
    <t>Washington Marriott</t>
  </si>
  <si>
    <t xml:space="preserve">1221 22nd Street NW </t>
  </si>
  <si>
    <t>Shelly Dimeglio</t>
  </si>
  <si>
    <t>(202) 872-1500</t>
  </si>
  <si>
    <t>WSHM Management LLC</t>
  </si>
  <si>
    <t>Water Street Hotel &amp; Marina</t>
  </si>
  <si>
    <t xml:space="preserve">329 Water Street </t>
  </si>
  <si>
    <t>Leigh Coble</t>
  </si>
  <si>
    <t>+1 (850) 653-3700</t>
  </si>
  <si>
    <t>Waterfront Hotel</t>
  </si>
  <si>
    <t xml:space="preserve">10 Washington Street </t>
  </si>
  <si>
    <t>Shannon McIsaac</t>
  </si>
  <si>
    <t>Joe Harris</t>
  </si>
  <si>
    <t>+1 (510) 836-3800</t>
  </si>
  <si>
    <t>Waterfront Inn</t>
  </si>
  <si>
    <t xml:space="preserve">1105 Lake Shore Drive </t>
  </si>
  <si>
    <t>Jeff Johnsen</t>
  </si>
  <si>
    <t>+ (352) 753-7535</t>
  </si>
  <si>
    <t>Wave Street Inn</t>
  </si>
  <si>
    <t xml:space="preserve">571 Wave Street </t>
  </si>
  <si>
    <t>Del Rey oaks</t>
  </si>
  <si>
    <t>93940-1437</t>
  </si>
  <si>
    <t>+1 (831) 375-2299</t>
  </si>
  <si>
    <t>Waves Autograph Collection Barbados</t>
  </si>
  <si>
    <t xml:space="preserve">Prospect </t>
  </si>
  <si>
    <t>Kim Griffith-Lewis</t>
  </si>
  <si>
    <t>+1 (246) 424) 7571</t>
  </si>
  <si>
    <t>Wayfarer Restaurant</t>
  </si>
  <si>
    <t xml:space="preserve">1190 Pacific Drive </t>
  </si>
  <si>
    <t>+1 (503) 436-1108</t>
  </si>
  <si>
    <t>Waynesborough Country Club</t>
  </si>
  <si>
    <t xml:space="preserve">440 Darby Paoli Road </t>
  </si>
  <si>
    <t>Paoli</t>
  </si>
  <si>
    <t>Ben Kovacs</t>
  </si>
  <si>
    <t>Joseph Furko</t>
  </si>
  <si>
    <t>+1 (610) 296-2122</t>
  </si>
  <si>
    <t>West Hollywood EDITION</t>
  </si>
  <si>
    <t xml:space="preserve">9040 West Sunset Boulevard </t>
  </si>
  <si>
    <t>Tijs Klerx</t>
  </si>
  <si>
    <t>Jennifer Tran</t>
  </si>
  <si>
    <t>+1(310)953-9899</t>
  </si>
  <si>
    <t>West Inn &amp; Suites Carlsbad</t>
  </si>
  <si>
    <t xml:space="preserve">4970 Avenida Encincas </t>
  </si>
  <si>
    <t>Vikki Armonio</t>
  </si>
  <si>
    <t>+1 (760) 448-4500</t>
  </si>
  <si>
    <t>Westchester Country Club Inc.</t>
  </si>
  <si>
    <t>Westchester Country Club Beach Club</t>
  </si>
  <si>
    <t>#1 Van Rensselaer Road Manursing Island</t>
  </si>
  <si>
    <t>Rob Sanders</t>
  </si>
  <si>
    <t>+1 (914) 798-5280</t>
  </si>
  <si>
    <t>Westchester Country Club Main Club</t>
  </si>
  <si>
    <t xml:space="preserve">99 Biltmore Avenue </t>
  </si>
  <si>
    <t>Tom Nevin</t>
  </si>
  <si>
    <t>Ed Byrne</t>
  </si>
  <si>
    <t>+1 (914) 967-6000</t>
  </si>
  <si>
    <t>Westchester Marriott</t>
  </si>
  <si>
    <t xml:space="preserve">670 White Plains Road </t>
  </si>
  <si>
    <t>Terry McAneney</t>
  </si>
  <si>
    <t>Alexandria Bhola</t>
  </si>
  <si>
    <t>(914) 631-2200</t>
  </si>
  <si>
    <t>WestDrift Manhattan Beach An Autograph Collection</t>
  </si>
  <si>
    <t xml:space="preserve">1400 Parkview Avenue </t>
  </si>
  <si>
    <t>Manhattan Beach</t>
  </si>
  <si>
    <t>90266-3714</t>
  </si>
  <si>
    <t>James Wroblewski</t>
  </si>
  <si>
    <t>(310) 546-7511</t>
  </si>
  <si>
    <t>Western Skies Golf Club</t>
  </si>
  <si>
    <t xml:space="preserve">1245 East Warner Street </t>
  </si>
  <si>
    <t>Tyler Broderick</t>
  </si>
  <si>
    <t>Scott Jacques</t>
  </si>
  <si>
    <t>+1 (480) 545-8542</t>
  </si>
  <si>
    <t xml:space="preserve">219 Littleton Road </t>
  </si>
  <si>
    <t>Forge Village</t>
  </si>
  <si>
    <t>+1 (978) 692-8200</t>
  </si>
  <si>
    <t>Westin Anaheim Resort</t>
  </si>
  <si>
    <t xml:space="preserve">1030 West Katella Avenue </t>
  </si>
  <si>
    <t>Carmine Iommazzo</t>
  </si>
  <si>
    <t>+1 (714) 618-9788</t>
  </si>
  <si>
    <t>Westin Annapolis</t>
  </si>
  <si>
    <t xml:space="preserve">100 West Gate Circle </t>
  </si>
  <si>
    <t>Sandra Menjivar</t>
  </si>
  <si>
    <t>+ (410) 972-4300</t>
  </si>
  <si>
    <t>Westin Atlanta Perimeter North</t>
  </si>
  <si>
    <t xml:space="preserve">7 Concourse Parkway </t>
  </si>
  <si>
    <t>Kotel King</t>
  </si>
  <si>
    <t>Thierry Grodet</t>
  </si>
  <si>
    <t>+1 (770) 395-3900</t>
  </si>
  <si>
    <t>Westin Austin Downtown</t>
  </si>
  <si>
    <t xml:space="preserve">310 East 5th Street </t>
  </si>
  <si>
    <t>+1(512) 3912333</t>
  </si>
  <si>
    <t>Westin Carlsbad Resort &amp; Spa</t>
  </si>
  <si>
    <t>+1 (760) 827-2427</t>
  </si>
  <si>
    <t>Westin Columbus</t>
  </si>
  <si>
    <t xml:space="preserve">310 South High Street </t>
  </si>
  <si>
    <t>Aaron Humphrey</t>
  </si>
  <si>
    <t>+1 (614) 228-3800</t>
  </si>
  <si>
    <t>Westin Desert Willow</t>
  </si>
  <si>
    <t xml:space="preserve">75 Willow Ridge </t>
  </si>
  <si>
    <t>Nihad Kattan</t>
  </si>
  <si>
    <t>+1 (760) 636-7030</t>
  </si>
  <si>
    <t>Westin Detroit Metropolitan Airport</t>
  </si>
  <si>
    <t xml:space="preserve">2501 Worldgateway Place </t>
  </si>
  <si>
    <t>John Reed</t>
  </si>
  <si>
    <t>Jason McPherson</t>
  </si>
  <si>
    <t>+(734)942-6500</t>
  </si>
  <si>
    <t>Westin Grand Cayman</t>
  </si>
  <si>
    <t xml:space="preserve">West Bay Road 7 Mile Beach </t>
  </si>
  <si>
    <t>Jim Mauer</t>
  </si>
  <si>
    <t>Carl Goldner</t>
  </si>
  <si>
    <t>+1 (345) 945-3800</t>
  </si>
  <si>
    <t>Westin Huntsville</t>
  </si>
  <si>
    <t xml:space="preserve">6800 Governors West </t>
  </si>
  <si>
    <t>Andrew Dorough</t>
  </si>
  <si>
    <t>Lee Owenbey</t>
  </si>
  <si>
    <t>+1 (256) 428-5428</t>
  </si>
  <si>
    <t>Westin Indianapolis</t>
  </si>
  <si>
    <t xml:space="preserve">241 West Washington Street </t>
  </si>
  <si>
    <t>Andy Seal</t>
  </si>
  <si>
    <t>+1 (317)262-8100</t>
  </si>
  <si>
    <t>Westin Jersey City Newport</t>
  </si>
  <si>
    <t xml:space="preserve">479 Washington Blvd </t>
  </si>
  <si>
    <t>Angel Cueto</t>
  </si>
  <si>
    <t>Chris Stieh</t>
  </si>
  <si>
    <t>+1(201)626-2900</t>
  </si>
  <si>
    <t>Westin Ka'anapali Ocean Resort</t>
  </si>
  <si>
    <t xml:space="preserve">6 Kai Ala Drive </t>
  </si>
  <si>
    <t>Ryan Nobriga</t>
  </si>
  <si>
    <t>+1 (808) 667-3200</t>
  </si>
  <si>
    <t>Westin Kierland Resort</t>
  </si>
  <si>
    <t xml:space="preserve">6902 E Greenway Pkwy </t>
  </si>
  <si>
    <t>Derek Ellis</t>
  </si>
  <si>
    <t>Amy Givens</t>
  </si>
  <si>
    <t>+1(480)624-1000</t>
  </si>
  <si>
    <t>Westin Kierland Villas</t>
  </si>
  <si>
    <t xml:space="preserve">15620 North Clubgate Drive </t>
  </si>
  <si>
    <t>Brigitte Tueros</t>
  </si>
  <si>
    <t>Scott Caldwell</t>
  </si>
  <si>
    <t>+1 (480) 624-1700</t>
  </si>
  <si>
    <t>Westin Lagunamar Ocean Resort Villas</t>
  </si>
  <si>
    <t xml:space="preserve">Boulevard Kukulcan KM 12.5 Lote 18 Fraccion II </t>
  </si>
  <si>
    <t>Alberto Ocariz</t>
  </si>
  <si>
    <t>+52(998)891-4200</t>
  </si>
  <si>
    <t>Westin Lake Las Vegas</t>
  </si>
  <si>
    <t xml:space="preserve">101 MonteLago Boulevard </t>
  </si>
  <si>
    <t>Jeff Wood</t>
  </si>
  <si>
    <t>Candice Dagnillo</t>
  </si>
  <si>
    <t>+1 (702) 567-6110</t>
  </si>
  <si>
    <t>Westin Mt. Laurel</t>
  </si>
  <si>
    <t xml:space="preserve">555 Fellowship Road </t>
  </si>
  <si>
    <t>Rancocas Woods</t>
  </si>
  <si>
    <t>Aneesh Sodhi</t>
  </si>
  <si>
    <t>John Lodi</t>
  </si>
  <si>
    <t>+1 (856) 778-7300</t>
  </si>
  <si>
    <t>Westin Nanea Ocean Villas</t>
  </si>
  <si>
    <t xml:space="preserve">45 Kai Malina Parkway </t>
  </si>
  <si>
    <t>Angela Nolan</t>
  </si>
  <si>
    <t>Chris Rabang</t>
  </si>
  <si>
    <t>+1 (808) 667-3218</t>
  </si>
  <si>
    <t>Westin National Harbor</t>
  </si>
  <si>
    <t xml:space="preserve">171 Water Front St. </t>
  </si>
  <si>
    <t>Jadranka Belajic</t>
  </si>
  <si>
    <t>+1 (301) 567-3999</t>
  </si>
  <si>
    <t>Westin Palo Alto</t>
  </si>
  <si>
    <t xml:space="preserve">675 El Camino Real </t>
  </si>
  <si>
    <t>+ (650) 321-4422</t>
  </si>
  <si>
    <t>Westin Pasadena</t>
  </si>
  <si>
    <t xml:space="preserve">191 North Los Robles </t>
  </si>
  <si>
    <t xml:space="preserve">Siamak Nassirpour </t>
  </si>
  <si>
    <t>William Macgregor</t>
  </si>
  <si>
    <t xml:space="preserve">+ (626) 792-2727 </t>
  </si>
  <si>
    <t>Westin Princeville Ocean Resort</t>
  </si>
  <si>
    <t xml:space="preserve">3838 Wyllie Road </t>
  </si>
  <si>
    <t>Kauai</t>
  </si>
  <si>
    <t>Denise Wardlow</t>
  </si>
  <si>
    <t>Julie Pavao</t>
  </si>
  <si>
    <t>+1 (808) 827-8700</t>
  </si>
  <si>
    <t>Westin Reston Heights</t>
  </si>
  <si>
    <t xml:space="preserve">11750 Sunrise Valley Drive </t>
  </si>
  <si>
    <t>+ (703) 391-9000</t>
  </si>
  <si>
    <t>Westin Riverfront Resort &amp; Spa at Beaver Creek Mountain</t>
  </si>
  <si>
    <t>126 Riverfront Lane P.O. Box 9690</t>
  </si>
  <si>
    <t>Brian Harrier</t>
  </si>
  <si>
    <t>Kristen Pryor</t>
  </si>
  <si>
    <t>+1 (970) 790-2035</t>
  </si>
  <si>
    <t>Westin Santa Fe</t>
  </si>
  <si>
    <t xml:space="preserve">Javier Barros Sierra 540 Alvaro Obregon </t>
  </si>
  <si>
    <t>Nicolas Orget</t>
  </si>
  <si>
    <t>+()52 55 5089 8000</t>
  </si>
  <si>
    <t>Westin Southfield Detroit</t>
  </si>
  <si>
    <t xml:space="preserve">1500 Town Center </t>
  </si>
  <si>
    <t>Doug Davis</t>
  </si>
  <si>
    <t>Lance Misner</t>
  </si>
  <si>
    <t>+1 (248) 827-4000</t>
  </si>
  <si>
    <t>Westin St. John Resort &amp; Villas</t>
  </si>
  <si>
    <t xml:space="preserve">300A Chocolate Hole </t>
  </si>
  <si>
    <t>St. John</t>
  </si>
  <si>
    <t>Carvelle Rogers</t>
  </si>
  <si>
    <t>Eugene Martin</t>
  </si>
  <si>
    <t>+1 (340) 714-6096</t>
  </si>
  <si>
    <t>Westin St. Louis</t>
  </si>
  <si>
    <t xml:space="preserve">811 Spruce Street </t>
  </si>
  <si>
    <t xml:space="preserve">Charles James </t>
  </si>
  <si>
    <t>Rosemary Daube</t>
  </si>
  <si>
    <t>+1 (314) 621-2000</t>
  </si>
  <si>
    <t>Westin Tampa Harbour Island</t>
  </si>
  <si>
    <t xml:space="preserve">725 South Harbour Island Boulevard </t>
  </si>
  <si>
    <t>Brian Schneider</t>
  </si>
  <si>
    <t>+1 (813) 229-5000</t>
  </si>
  <si>
    <t>Westin Virginia Beach Town Center</t>
  </si>
  <si>
    <t xml:space="preserve">4535 Commerce Street </t>
  </si>
  <si>
    <t>Christine Geist</t>
  </si>
  <si>
    <t>+ (757) 557-0550</t>
  </si>
  <si>
    <t>Westin Westminster</t>
  </si>
  <si>
    <t xml:space="preserve">10600 Westminster Blvd </t>
  </si>
  <si>
    <t>Genarro Moten</t>
  </si>
  <si>
    <t>Deborah Shupe</t>
  </si>
  <si>
    <t>+1 (303) 410 5000</t>
  </si>
  <si>
    <t>Weston Hills Country Club</t>
  </si>
  <si>
    <t xml:space="preserve">2600 Country Club Way </t>
  </si>
  <si>
    <t>33332-1831</t>
  </si>
  <si>
    <t>Eric Von Hofen</t>
  </si>
  <si>
    <t>Alfonso alsonso</t>
  </si>
  <si>
    <t>+1 (954) 384-4600</t>
  </si>
  <si>
    <t>Westwood Country Club Corp</t>
  </si>
  <si>
    <t>Westwood Country Club</t>
  </si>
  <si>
    <t xml:space="preserve">800 Maple Avenue East </t>
  </si>
  <si>
    <t>Amir Radfar</t>
  </si>
  <si>
    <t>Bryan Stone</t>
  </si>
  <si>
    <t>+1 (703) 938-2593</t>
  </si>
  <si>
    <t>WET Bar &amp; Grill</t>
  </si>
  <si>
    <t>Weymouth Country Club</t>
  </si>
  <si>
    <t xml:space="preserve">3946 Weymouth Road </t>
  </si>
  <si>
    <t>Autumn Keller</t>
  </si>
  <si>
    <t>+1 (330) 725-6297</t>
  </si>
  <si>
    <t>White Barn Inn</t>
  </si>
  <si>
    <t xml:space="preserve">37 Beach Avenue </t>
  </si>
  <si>
    <t>Albert Black</t>
  </si>
  <si>
    <t>Daniel Braun</t>
  </si>
  <si>
    <t>+1 (207) 967-2321</t>
  </si>
  <si>
    <t>White Bluff Resort</t>
  </si>
  <si>
    <t xml:space="preserve">20022 Misty Valley Circle </t>
  </si>
  <si>
    <t>Whitney</t>
  </si>
  <si>
    <t>Mike Hicks</t>
  </si>
  <si>
    <t>Matt Stephens</t>
  </si>
  <si>
    <t>+1 (254) 694-9276</t>
  </si>
  <si>
    <t>White Columns Country Club</t>
  </si>
  <si>
    <t xml:space="preserve">300 Clubhouse Drive </t>
  </si>
  <si>
    <t>30004-3063</t>
  </si>
  <si>
    <t>+ (770) 343-9025</t>
  </si>
  <si>
    <t>White Lodging Services</t>
  </si>
  <si>
    <t xml:space="preserve">701 E 83rd Avenue </t>
  </si>
  <si>
    <t>MERRILLVILLE</t>
  </si>
  <si>
    <t>46410-5644</t>
  </si>
  <si>
    <t>Carl Meyers</t>
  </si>
  <si>
    <t>Steve Ransone</t>
  </si>
  <si>
    <t>+1 (219) 472-2900</t>
  </si>
  <si>
    <t>White Oak Golf Course</t>
  </si>
  <si>
    <t xml:space="preserve">141 Clubview Drive </t>
  </si>
  <si>
    <t>+1 (770) 251-6700</t>
  </si>
  <si>
    <t>White River Inn &amp; Suites</t>
  </si>
  <si>
    <t xml:space="preserve">91 Ballardvale Drive </t>
  </si>
  <si>
    <t>White River Junction</t>
  </si>
  <si>
    <t>+1 (802) 295-3015</t>
  </si>
  <si>
    <t>Whitemarsh Valley Country Club</t>
  </si>
  <si>
    <t xml:space="preserve">815 Thomas Rd </t>
  </si>
  <si>
    <t>Ashly Ryan</t>
  </si>
  <si>
    <t>Mike Piper</t>
  </si>
  <si>
    <t>+ (215) 233-3901</t>
  </si>
  <si>
    <t>Whitewater Creek Country Club</t>
  </si>
  <si>
    <t xml:space="preserve">175 Birkdale Drive </t>
  </si>
  <si>
    <t>Rick Baumgartner</t>
  </si>
  <si>
    <t>+1 (770) 460-0877</t>
  </si>
  <si>
    <t>Wild Dunes Resort</t>
  </si>
  <si>
    <t xml:space="preserve">5757 Palm Blvd </t>
  </si>
  <si>
    <t>Isle Of Palms</t>
  </si>
  <si>
    <t>+ (843) 886-6000</t>
  </si>
  <si>
    <t>Wild Eagle Saloon</t>
  </si>
  <si>
    <t xml:space="preserve">921 Huron Road </t>
  </si>
  <si>
    <t>+1 (216) 331-6295</t>
  </si>
  <si>
    <t>Wild Eagle Steak &amp; Saloon</t>
  </si>
  <si>
    <t xml:space="preserve">5001 East Royalton Road </t>
  </si>
  <si>
    <t>Broadview Heights</t>
  </si>
  <si>
    <t>Steve Hatszegi</t>
  </si>
  <si>
    <t>+1 (216) 978-9884</t>
  </si>
  <si>
    <t>Wild Palms Hotel</t>
  </si>
  <si>
    <t xml:space="preserve">910 East Fremont Avenue </t>
  </si>
  <si>
    <t>+1 (408) 738-0500</t>
  </si>
  <si>
    <t>Wilderness Adventurer</t>
  </si>
  <si>
    <t>Wilderness Discoverer</t>
  </si>
  <si>
    <t>Wilderness Explorer</t>
  </si>
  <si>
    <t>Wildflower Country Club</t>
  </si>
  <si>
    <t xml:space="preserve">4902 Wildflower LN </t>
  </si>
  <si>
    <t>Charles Belson</t>
  </si>
  <si>
    <t>+ (254) 771-1177</t>
  </si>
  <si>
    <t>Wildhorse Saloon</t>
  </si>
  <si>
    <t xml:space="preserve">120 2nd Ave N </t>
  </si>
  <si>
    <t>+(615)902-8200</t>
  </si>
  <si>
    <t>Wildwood Snowmass Lodge</t>
  </si>
  <si>
    <t xml:space="preserve">40 Elbert Lane </t>
  </si>
  <si>
    <t>Willow Creek Golf &amp; Country Club (NY)</t>
  </si>
  <si>
    <t>Mount Sinai</t>
  </si>
  <si>
    <t>Matthew Sim</t>
  </si>
  <si>
    <t>Athena Mulder</t>
  </si>
  <si>
    <t>+1(631)474.9200</t>
  </si>
  <si>
    <t>Willow Creek Golf Club (TX)</t>
  </si>
  <si>
    <t xml:space="preserve">24525 Northcrest DR </t>
  </si>
  <si>
    <t>Bob Kirkelie</t>
  </si>
  <si>
    <t>Jessica Castro</t>
  </si>
  <si>
    <t>+ (281) 376-1501</t>
  </si>
  <si>
    <t>Willow Fork Country Club</t>
  </si>
  <si>
    <t xml:space="preserve">21055 Westheimer PKWY </t>
  </si>
  <si>
    <t>+ (281) 579-6262</t>
  </si>
  <si>
    <t>Willow Ridge Lodge</t>
  </si>
  <si>
    <t xml:space="preserve">2929 Green Mountain Drive </t>
  </si>
  <si>
    <t>Lea Simmons</t>
  </si>
  <si>
    <t>Rand Woods</t>
  </si>
  <si>
    <t>+1 (417) 348-3000</t>
  </si>
  <si>
    <t>Willows Hotel</t>
  </si>
  <si>
    <t xml:space="preserve">555 West Surf Street </t>
  </si>
  <si>
    <t>Juan Monroig</t>
  </si>
  <si>
    <t>+1 (773) 528-8400</t>
  </si>
  <si>
    <t xml:space="preserve">Wind Watch Golf &amp; Country Club </t>
  </si>
  <si>
    <t xml:space="preserve">1715 Motor Parkway </t>
  </si>
  <si>
    <t>Anthony Trentini</t>
  </si>
  <si>
    <t>Jessie Walker</t>
  </si>
  <si>
    <t>+(631)232-9850</t>
  </si>
  <si>
    <t xml:space="preserve">Windermere Golf Club </t>
  </si>
  <si>
    <t xml:space="preserve">5000 Davis Love Drive </t>
  </si>
  <si>
    <t>Brant Ruckert</t>
  </si>
  <si>
    <t>+1 (678) 513-1000</t>
  </si>
  <si>
    <t>Wingate by Wyndham Bismarck</t>
  </si>
  <si>
    <t xml:space="preserve">1421 Skyline Boulevard </t>
  </si>
  <si>
    <t>Kelly Christopherson</t>
  </si>
  <si>
    <t>+1 (701) 751-2373</t>
  </si>
  <si>
    <t>Wingate by Wyndham Miami Airport</t>
  </si>
  <si>
    <t xml:space="preserve">3755 Northwest 78th Avenue </t>
  </si>
  <si>
    <t>Ling Moy</t>
  </si>
  <si>
    <t>+1 (786) 703-4804</t>
  </si>
  <si>
    <t>Wingate by Wyndham Mobile</t>
  </si>
  <si>
    <t xml:space="preserve">516 Springhill Plaza Court </t>
  </si>
  <si>
    <t>Deep Patel</t>
  </si>
  <si>
    <t>Sheila Sargent</t>
  </si>
  <si>
    <t>+1 (251) 441-1979</t>
  </si>
  <si>
    <t xml:space="preserve">Wingate by Wyndham Savannah Airport </t>
  </si>
  <si>
    <t xml:space="preserve">50 Sylvester C. Formey Drive </t>
  </si>
  <si>
    <t>Rashon Willis</t>
  </si>
  <si>
    <t>+1 (912)544-1180</t>
  </si>
  <si>
    <t>Wingate Inn Mechanicsburg</t>
  </si>
  <si>
    <t xml:space="preserve">385 Cumberland Parkway </t>
  </si>
  <si>
    <t>Carolyn Heckert</t>
  </si>
  <si>
    <t>+ (717) 766-2710</t>
  </si>
  <si>
    <t>Wingate Kamloops</t>
  </si>
  <si>
    <t xml:space="preserve">1180 Rogers Way </t>
  </si>
  <si>
    <t>V1S 1N5</t>
  </si>
  <si>
    <t>Kathy Wishnevski</t>
  </si>
  <si>
    <t>+1 (778) 471-7706</t>
  </si>
  <si>
    <t>Wingate Richardson Dallas</t>
  </si>
  <si>
    <t xml:space="preserve">1577 Gateway Boulevard </t>
  </si>
  <si>
    <t>Joseph Mahop</t>
  </si>
  <si>
    <t>+1 (972) 234-5400</t>
  </si>
  <si>
    <t>Wingate Shreveport</t>
  </si>
  <si>
    <t xml:space="preserve">6245 Westport Avenue </t>
  </si>
  <si>
    <t>+1 (318) 686-0102</t>
  </si>
  <si>
    <t>Winnapaug Inn Inc.</t>
  </si>
  <si>
    <t>Winnapaug Inn</t>
  </si>
  <si>
    <t xml:space="preserve">169 Shore Road </t>
  </si>
  <si>
    <t>+1 (401) 348-8350</t>
  </si>
  <si>
    <t>3701 National Drive Ste 120</t>
  </si>
  <si>
    <t>+1 (800) na</t>
  </si>
  <si>
    <t>Winston-Salem Marriott</t>
  </si>
  <si>
    <t xml:space="preserve">425 North Cherry Street </t>
  </si>
  <si>
    <t>Brian Hall</t>
  </si>
  <si>
    <t>Kolby Huffman</t>
  </si>
  <si>
    <t>+1 (336) 725-3500</t>
  </si>
  <si>
    <t>Winter Park Resort</t>
  </si>
  <si>
    <t xml:space="preserve">85 Parsenn Road </t>
  </si>
  <si>
    <t>Winter Park</t>
  </si>
  <si>
    <t>Mike Rector</t>
  </si>
  <si>
    <t>Abby Gallagher</t>
  </si>
  <si>
    <t>+1 (970) 726-1564</t>
  </si>
  <si>
    <t>Winter the Dolphin's Beach Club</t>
  </si>
  <si>
    <t xml:space="preserve">655 South Gulfview Street Boulevard </t>
  </si>
  <si>
    <t>Nadia Lundgren</t>
  </si>
  <si>
    <t>+1 (520) 257-3070</t>
  </si>
  <si>
    <t>Woodland Hills Country Club</t>
  </si>
  <si>
    <t xml:space="preserve">21150 Dumetz Road </t>
  </si>
  <si>
    <t>+1 (818) 347-1511</t>
  </si>
  <si>
    <t>Woodlands Country Club (Palmer Player Tennis Tournament)</t>
  </si>
  <si>
    <t xml:space="preserve">100 Grand Fairway </t>
  </si>
  <si>
    <t>Paul Earnest</t>
  </si>
  <si>
    <t>+1 (281) 863-1400</t>
  </si>
  <si>
    <t>Woodruff Art Center</t>
  </si>
  <si>
    <t xml:space="preserve">1280 Peachtree Street </t>
  </si>
  <si>
    <t>+1 (407) 832-6594</t>
  </si>
  <si>
    <t>Woodside Country Club</t>
  </si>
  <si>
    <t xml:space="preserve">1000 Woodside Plantation DR </t>
  </si>
  <si>
    <t>Tom Carter</t>
  </si>
  <si>
    <t>+ (803) 649-3383</t>
  </si>
  <si>
    <t>Woodsprings Suites Fort Benning Building 1</t>
  </si>
  <si>
    <t xml:space="preserve">1801 Victory Drive </t>
  </si>
  <si>
    <t>+1 (706) 649-6599</t>
  </si>
  <si>
    <t>Woodsprings Suites Fort Benning Building 2</t>
  </si>
  <si>
    <t xml:space="preserve">1804 Blanchard Boulevard </t>
  </si>
  <si>
    <t>+1 (706) 317-9973</t>
  </si>
  <si>
    <t>Woolley's Classic Suites Denver Airport</t>
  </si>
  <si>
    <t xml:space="preserve">16450 East 40th Circle </t>
  </si>
  <si>
    <t>Margo Wheatly</t>
  </si>
  <si>
    <t>Noi Puakpaibool</t>
  </si>
  <si>
    <t>480-717-0489</t>
  </si>
  <si>
    <t>Wooly McDuff's Neighborhood Grille</t>
  </si>
  <si>
    <t xml:space="preserve">1704 Hwy 401 South Bypass </t>
  </si>
  <si>
    <t>Laurinburg</t>
  </si>
  <si>
    <t>David McLamb</t>
  </si>
  <si>
    <t>+1 (910) 276-6632</t>
  </si>
  <si>
    <t>World Quest Resort</t>
  </si>
  <si>
    <t xml:space="preserve">8849 World Quest Blvd. </t>
  </si>
  <si>
    <t>Tim Gross</t>
  </si>
  <si>
    <t>Mike Thompson</t>
  </si>
  <si>
    <t>+ (407) 387-3800</t>
  </si>
  <si>
    <t>World Trade Center Boston</t>
  </si>
  <si>
    <t xml:space="preserve">200 Seaport Blvd </t>
  </si>
  <si>
    <t>+1 (617) 385-4601</t>
  </si>
  <si>
    <t>Worthington Master Association Inc.</t>
  </si>
  <si>
    <t>Worthington Country Club</t>
  </si>
  <si>
    <t xml:space="preserve">13500 Worthington Way </t>
  </si>
  <si>
    <t>Carol Ann Carney</t>
  </si>
  <si>
    <t>Alex Mason</t>
  </si>
  <si>
    <t>+1 (239) 495-2278</t>
  </si>
  <si>
    <t>Endicott College</t>
  </si>
  <si>
    <t>Wylie Conference Center and Inn at Endicott College</t>
  </si>
  <si>
    <t xml:space="preserve">295 Hale Street </t>
  </si>
  <si>
    <t>Beverly</t>
  </si>
  <si>
    <t>John Zimmerman</t>
  </si>
  <si>
    <t>Megan Brown</t>
  </si>
  <si>
    <t>+1 (978) 867-1961</t>
  </si>
  <si>
    <t>Wyndham Avon</t>
  </si>
  <si>
    <t xml:space="preserve">35600 Detroit Road </t>
  </si>
  <si>
    <t>Schana Board</t>
  </si>
  <si>
    <t>+1 (440) 695-1270</t>
  </si>
  <si>
    <t>Wyndham College Park</t>
  </si>
  <si>
    <t xml:space="preserve">4095 Powder Mill Road </t>
  </si>
  <si>
    <t>+1 (301) 937-4422</t>
  </si>
  <si>
    <t>Wyndham Fort Smith</t>
  </si>
  <si>
    <t xml:space="preserve">700 Rogers Avenue </t>
  </si>
  <si>
    <t xml:space="preserve">Duke Welsh </t>
  </si>
  <si>
    <t>+1 (479) 783-1000</t>
  </si>
  <si>
    <t>Wyndham Garden Inn Fresno Airport</t>
  </si>
  <si>
    <t xml:space="preserve">5090 East Clinton Way </t>
  </si>
  <si>
    <t>Kyung Yoon</t>
  </si>
  <si>
    <t>William Gutierrez</t>
  </si>
  <si>
    <t>+1 (559) 494-4992</t>
  </si>
  <si>
    <t>Wyndham Garden Newark Airport</t>
  </si>
  <si>
    <t xml:space="preserve">550 Routes 1 &amp; 9 South </t>
  </si>
  <si>
    <t>Dwayne Cronce</t>
  </si>
  <si>
    <t>+1 (973) 824-4000</t>
  </si>
  <si>
    <t>Wyndham Garden Orlando</t>
  </si>
  <si>
    <t xml:space="preserve">5855 American Way </t>
  </si>
  <si>
    <t>Rebecca Villar</t>
  </si>
  <si>
    <t>+1 (407) 917-4464</t>
  </si>
  <si>
    <t>Wyndham Grand Oklahoma City</t>
  </si>
  <si>
    <t xml:space="preserve">10 North Broadway </t>
  </si>
  <si>
    <t>Rex Amsler</t>
  </si>
  <si>
    <t>+1 (405) 228-8000</t>
  </si>
  <si>
    <t>Wyndham Noblesville</t>
  </si>
  <si>
    <t xml:space="preserve">13500 Tegler Drive </t>
  </si>
  <si>
    <t>Jeremy Geisendorff</t>
  </si>
  <si>
    <t>+1 (317) 773-4970</t>
  </si>
  <si>
    <t>Wyndham Springfield City Centre</t>
  </si>
  <si>
    <t xml:space="preserve">700 E Adams Street </t>
  </si>
  <si>
    <t>+1 (217) 789-1530</t>
  </si>
  <si>
    <t>Wyndham Tulsa</t>
  </si>
  <si>
    <t xml:space="preserve">10918 E 41st St </t>
  </si>
  <si>
    <t>Luis Nazario</t>
  </si>
  <si>
    <t>+1 (918) 627-5000</t>
  </si>
  <si>
    <t>Wyndham Westfield</t>
  </si>
  <si>
    <t xml:space="preserve">18592 Carousel Lane </t>
  </si>
  <si>
    <t>Westfield</t>
  </si>
  <si>
    <t>Jenny Voorhees</t>
  </si>
  <si>
    <t>+1 (317) 896-3000</t>
  </si>
  <si>
    <t>Y.O. Ranch Resort &amp; Conference Center</t>
  </si>
  <si>
    <t xml:space="preserve">2033 Sidney Baker Street </t>
  </si>
  <si>
    <t>John Helm</t>
  </si>
  <si>
    <t>+1 (830) 257-4440</t>
  </si>
  <si>
    <t>Yacht Chandlers Inc.</t>
  </si>
  <si>
    <t xml:space="preserve">750 West Sunrise Boulevard </t>
  </si>
  <si>
    <t>Pat Webster</t>
  </si>
  <si>
    <t>Ali Smith</t>
  </si>
  <si>
    <t>+1 (954) 761-3463</t>
  </si>
  <si>
    <t>Yacht Club of Sea Isle</t>
  </si>
  <si>
    <t xml:space="preserve">4487 Venicean Road </t>
  </si>
  <si>
    <t>Sea Isle City</t>
  </si>
  <si>
    <t>Jim Collins</t>
  </si>
  <si>
    <t>+(609)231-6134</t>
  </si>
  <si>
    <t>Yaupon Country Club</t>
  </si>
  <si>
    <t>+ (512) 261-7172</t>
  </si>
  <si>
    <t>Yedla - Westin Lake Mary</t>
  </si>
  <si>
    <t>Don Dougherty</t>
  </si>
  <si>
    <t>+1 (321) 249-8030</t>
  </si>
  <si>
    <t>Yucatan Country</t>
  </si>
  <si>
    <t>Carr. Merida Progreso Km.15.5 Desviacion a Dzibilchaltun</t>
  </si>
  <si>
    <t>+52 (55) 9998004000</t>
  </si>
  <si>
    <t>Zadun A Ritz-Carlton Reserve Los Cabos</t>
  </si>
  <si>
    <t>Hotel Zadun A Ritz Carlton Reserve Los Cabos Puerto Los Cabos</t>
  </si>
  <si>
    <t>Sandra Estornell</t>
  </si>
  <si>
    <t>Flavio Reyna</t>
  </si>
  <si>
    <t>+1 (624) 178-4477</t>
  </si>
  <si>
    <t>Homewood Suites Albuquerque Uptown</t>
  </si>
  <si>
    <t xml:space="preserve">7101 Arvada Avenue NE </t>
  </si>
  <si>
    <t>Molly Gallegos</t>
  </si>
  <si>
    <t>+1 (505)881-7300</t>
  </si>
  <si>
    <t>Graduate Evanston</t>
  </si>
  <si>
    <t xml:space="preserve">1625 Hinman Avenue </t>
  </si>
  <si>
    <t>Lockwood Hotel</t>
  </si>
  <si>
    <t xml:space="preserve">9 Main Street </t>
  </si>
  <si>
    <t>Waterville</t>
  </si>
  <si>
    <t>Jordan Rowan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</si>
</sst>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39997558519241921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6">
    <xf numFmtId="0" fontId="0" fillId="0" borderId="0" xfId="0"/>
    <xf numFmtId="14" fontId="0" fillId="0" borderId="0" xfId="0" applyNumberFormat="1"/>
    <xf numFmtId="0" fontId="18" fillId="33" borderId="10" xfId="0" applyFont="1" applyFill="1" applyBorder="1"/>
    <xf numFmtId="0" fontId="18" fillId="0" borderId="10" xfId="0" applyFont="1" applyBorder="1"/>
    <xf numFmtId="0" fontId="18" fillId="0" borderId="0" xfId="0" applyFont="1" applyBorder="1"/>
    <xf numFmtId="0" fontId="0" fillId="0" borderId="10" xfId="0" applyBorder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AC23046"/>
  <sheetViews>
    <sheetView tabSelected="1" topLeftCell="D23035" workbookViewId="0">
      <selection activeCell="J1" sqref="J1:J1048576"/>
    </sheetView>
  </sheetViews>
  <sheetFormatPr defaultRowHeight="15.75" x14ac:dyDescent="0.25"/>
  <cols>
    <col min="1" max="1" width="23.140625" style="3" hidden="1" customWidth="1"/>
    <col min="2" max="2" width="43.85546875" style="3" hidden="1" customWidth="1"/>
    <col min="3" max="3" width="11.85546875" style="3" hidden="1" customWidth="1"/>
    <col min="4" max="4" width="46.7109375" style="3" customWidth="1"/>
    <col min="5" max="5" width="34.85546875" style="3" customWidth="1"/>
    <col min="6" max="6" width="30" style="3" bestFit="1" customWidth="1"/>
    <col min="7" max="7" width="6.42578125" style="3" bestFit="1" customWidth="1"/>
    <col min="8" max="8" width="11.7109375" style="3" bestFit="1" customWidth="1"/>
    <col min="9" max="9" width="32.5703125" style="3" bestFit="1" customWidth="1"/>
    <col min="10" max="10" width="35.85546875" style="3" bestFit="1" customWidth="1"/>
    <col min="11" max="11" width="37.28515625" style="3" hidden="1" customWidth="1"/>
    <col min="12" max="12" width="16" style="3" hidden="1" customWidth="1"/>
    <col min="13" max="13" width="15" style="3" hidden="1" customWidth="1"/>
    <col min="14" max="14" width="33.85546875" style="3" hidden="1" customWidth="1"/>
    <col min="15" max="15" width="32.140625" style="3" hidden="1" customWidth="1"/>
    <col min="16" max="16" width="18.28515625" style="3" hidden="1" customWidth="1"/>
    <col min="17" max="17" width="14" style="3" hidden="1" customWidth="1"/>
    <col min="18" max="18" width="7" style="3" hidden="1" customWidth="1"/>
    <col min="19" max="19" width="17.42578125" style="3" hidden="1" customWidth="1"/>
    <col min="20" max="20" width="22.5703125" style="3" bestFit="1" customWidth="1"/>
    <col min="21" max="21" width="15" style="3" hidden="1" customWidth="1"/>
    <col min="22" max="23" width="17.42578125" style="3" hidden="1" customWidth="1"/>
    <col min="24" max="24" width="18.5703125" style="3" hidden="1" customWidth="1"/>
    <col min="25" max="25" width="27.7109375" style="3" hidden="1" customWidth="1"/>
    <col min="26" max="16384" width="9.140625" style="3"/>
  </cols>
  <sheetData>
    <row r="1" spans="1:25" s="2" customFormat="1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12</v>
      </c>
      <c r="V1" s="2" t="s">
        <v>20</v>
      </c>
      <c r="W1" s="2" t="s">
        <v>21</v>
      </c>
      <c r="X1" s="2" t="s">
        <v>22</v>
      </c>
      <c r="Y1" s="2" t="s">
        <v>23</v>
      </c>
    </row>
    <row r="2" spans="1:25" customFormat="1" ht="15" x14ac:dyDescent="0.25">
      <c r="A2" t="s">
        <v>24</v>
      </c>
      <c r="B2" t="s">
        <v>25</v>
      </c>
      <c r="C2" t="str">
        <f>"432MY"</f>
        <v>432MY</v>
      </c>
      <c r="D2" t="s">
        <v>26</v>
      </c>
      <c r="E2" t="s">
        <v>27</v>
      </c>
      <c r="F2" t="s">
        <v>28</v>
      </c>
      <c r="G2" t="s">
        <v>29</v>
      </c>
      <c r="H2">
        <v>20151</v>
      </c>
      <c r="I2" t="s">
        <v>30</v>
      </c>
      <c r="J2" t="s">
        <v>31</v>
      </c>
      <c r="K2" t="s">
        <v>32</v>
      </c>
      <c r="N2" t="s">
        <v>33</v>
      </c>
      <c r="Q2">
        <v>0</v>
      </c>
      <c r="R2">
        <v>84</v>
      </c>
      <c r="S2">
        <v>0</v>
      </c>
      <c r="T2" t="s">
        <v>34</v>
      </c>
    </row>
    <row r="3" spans="1:25" customFormat="1" ht="15" x14ac:dyDescent="0.25">
      <c r="A3" t="s">
        <v>35</v>
      </c>
      <c r="B3" t="s">
        <v>36</v>
      </c>
      <c r="C3" t="str">
        <f>"A0193993"</f>
        <v>A0193993</v>
      </c>
      <c r="D3" t="s">
        <v>37</v>
      </c>
      <c r="E3" t="s">
        <v>38</v>
      </c>
      <c r="F3" t="s">
        <v>39</v>
      </c>
      <c r="G3" t="s">
        <v>40</v>
      </c>
      <c r="H3">
        <v>74363</v>
      </c>
      <c r="I3" t="s">
        <v>30</v>
      </c>
      <c r="J3" t="s">
        <v>41</v>
      </c>
      <c r="K3" t="s">
        <v>42</v>
      </c>
      <c r="Q3">
        <v>0</v>
      </c>
      <c r="R3">
        <v>0</v>
      </c>
      <c r="S3">
        <v>0</v>
      </c>
      <c r="T3" t="s">
        <v>43</v>
      </c>
    </row>
    <row r="4" spans="1:25" customFormat="1" ht="15" x14ac:dyDescent="0.25">
      <c r="A4" t="s">
        <v>35</v>
      </c>
      <c r="B4" t="s">
        <v>36</v>
      </c>
      <c r="C4" t="str">
        <f>"A0193992"</f>
        <v>A0193992</v>
      </c>
      <c r="D4" t="s">
        <v>44</v>
      </c>
      <c r="E4" t="s">
        <v>45</v>
      </c>
      <c r="F4" t="s">
        <v>46</v>
      </c>
      <c r="G4" t="s">
        <v>47</v>
      </c>
      <c r="H4">
        <v>97470</v>
      </c>
      <c r="I4" t="s">
        <v>30</v>
      </c>
      <c r="J4" t="s">
        <v>41</v>
      </c>
      <c r="K4" t="s">
        <v>42</v>
      </c>
      <c r="Q4">
        <v>0</v>
      </c>
      <c r="R4">
        <v>0</v>
      </c>
      <c r="S4">
        <v>0</v>
      </c>
      <c r="T4" t="s">
        <v>48</v>
      </c>
    </row>
    <row r="5" spans="1:25" customFormat="1" ht="15" x14ac:dyDescent="0.25">
      <c r="A5" t="s">
        <v>35</v>
      </c>
      <c r="B5" t="s">
        <v>36</v>
      </c>
      <c r="C5" t="str">
        <f>"A0193991"</f>
        <v>A0193991</v>
      </c>
      <c r="D5" t="s">
        <v>49</v>
      </c>
      <c r="E5" t="s">
        <v>50</v>
      </c>
      <c r="F5" t="s">
        <v>51</v>
      </c>
      <c r="G5" t="s">
        <v>52</v>
      </c>
      <c r="H5">
        <v>77536</v>
      </c>
      <c r="I5" t="s">
        <v>30</v>
      </c>
      <c r="J5" t="s">
        <v>41</v>
      </c>
      <c r="K5" t="s">
        <v>42</v>
      </c>
      <c r="Q5">
        <v>0</v>
      </c>
      <c r="R5">
        <v>0</v>
      </c>
      <c r="S5">
        <v>0</v>
      </c>
      <c r="T5" t="s">
        <v>53</v>
      </c>
    </row>
    <row r="6" spans="1:25" customFormat="1" ht="15" x14ac:dyDescent="0.25">
      <c r="A6" t="s">
        <v>35</v>
      </c>
      <c r="B6" t="s">
        <v>54</v>
      </c>
      <c r="C6" t="str">
        <f>"A0193990"</f>
        <v>A0193990</v>
      </c>
      <c r="D6" t="s">
        <v>55</v>
      </c>
      <c r="E6" t="s">
        <v>56</v>
      </c>
      <c r="F6" t="s">
        <v>57</v>
      </c>
      <c r="G6" t="s">
        <v>58</v>
      </c>
      <c r="H6">
        <v>29801</v>
      </c>
      <c r="I6" t="s">
        <v>30</v>
      </c>
      <c r="J6" t="s">
        <v>41</v>
      </c>
      <c r="K6" t="s">
        <v>59</v>
      </c>
      <c r="Q6">
        <v>0</v>
      </c>
      <c r="R6">
        <v>0</v>
      </c>
      <c r="S6">
        <v>0</v>
      </c>
      <c r="T6" t="s">
        <v>60</v>
      </c>
    </row>
    <row r="7" spans="1:25" customFormat="1" ht="15" x14ac:dyDescent="0.25">
      <c r="A7" t="s">
        <v>35</v>
      </c>
      <c r="B7" t="s">
        <v>61</v>
      </c>
      <c r="C7" t="str">
        <f>"A0193989"</f>
        <v>A0193989</v>
      </c>
      <c r="D7" t="s">
        <v>62</v>
      </c>
      <c r="E7" t="s">
        <v>63</v>
      </c>
      <c r="F7" t="s">
        <v>64</v>
      </c>
      <c r="G7" t="s">
        <v>65</v>
      </c>
      <c r="H7">
        <v>43207</v>
      </c>
      <c r="I7" t="s">
        <v>30</v>
      </c>
      <c r="J7" t="s">
        <v>41</v>
      </c>
      <c r="K7" t="s">
        <v>66</v>
      </c>
      <c r="Q7">
        <v>0</v>
      </c>
      <c r="R7">
        <v>0</v>
      </c>
      <c r="S7">
        <v>20</v>
      </c>
      <c r="T7" t="s">
        <v>67</v>
      </c>
    </row>
    <row r="8" spans="1:25" customFormat="1" ht="15" x14ac:dyDescent="0.25">
      <c r="A8" t="s">
        <v>35</v>
      </c>
      <c r="B8" t="s">
        <v>61</v>
      </c>
      <c r="C8" t="str">
        <f>"A0193988"</f>
        <v>A0193988</v>
      </c>
      <c r="D8" t="s">
        <v>68</v>
      </c>
      <c r="E8" t="s">
        <v>69</v>
      </c>
      <c r="F8" t="s">
        <v>70</v>
      </c>
      <c r="G8" t="s">
        <v>71</v>
      </c>
      <c r="H8">
        <v>54020</v>
      </c>
      <c r="I8" t="s">
        <v>30</v>
      </c>
      <c r="J8" t="s">
        <v>41</v>
      </c>
      <c r="K8" t="s">
        <v>59</v>
      </c>
      <c r="Q8">
        <v>0</v>
      </c>
      <c r="R8">
        <v>0</v>
      </c>
      <c r="S8">
        <v>0</v>
      </c>
      <c r="T8" t="s">
        <v>72</v>
      </c>
    </row>
    <row r="9" spans="1:25" customFormat="1" ht="15" x14ac:dyDescent="0.25">
      <c r="A9" t="s">
        <v>35</v>
      </c>
      <c r="B9" t="s">
        <v>61</v>
      </c>
      <c r="C9" t="str">
        <f>"A0193987"</f>
        <v>A0193987</v>
      </c>
      <c r="D9" t="s">
        <v>73</v>
      </c>
      <c r="E9" t="s">
        <v>74</v>
      </c>
      <c r="F9" t="s">
        <v>75</v>
      </c>
      <c r="G9" t="s">
        <v>76</v>
      </c>
      <c r="H9">
        <v>99202</v>
      </c>
      <c r="I9" t="s">
        <v>30</v>
      </c>
      <c r="J9" t="s">
        <v>41</v>
      </c>
      <c r="K9" t="s">
        <v>59</v>
      </c>
      <c r="Q9">
        <v>0</v>
      </c>
      <c r="R9">
        <v>0</v>
      </c>
      <c r="S9">
        <v>102</v>
      </c>
      <c r="T9" t="s">
        <v>77</v>
      </c>
    </row>
    <row r="10" spans="1:25" customFormat="1" ht="15" x14ac:dyDescent="0.25">
      <c r="A10" t="s">
        <v>35</v>
      </c>
      <c r="B10" t="s">
        <v>61</v>
      </c>
      <c r="C10" t="str">
        <f>"A0193986"</f>
        <v>A0193986</v>
      </c>
      <c r="D10" t="s">
        <v>78</v>
      </c>
      <c r="E10" t="s">
        <v>79</v>
      </c>
      <c r="F10" t="s">
        <v>80</v>
      </c>
      <c r="G10" t="s">
        <v>81</v>
      </c>
      <c r="H10">
        <v>32424</v>
      </c>
      <c r="I10" t="s">
        <v>30</v>
      </c>
      <c r="J10" t="s">
        <v>41</v>
      </c>
      <c r="K10" t="s">
        <v>59</v>
      </c>
      <c r="Q10">
        <v>0</v>
      </c>
      <c r="R10">
        <v>0</v>
      </c>
      <c r="S10">
        <v>0</v>
      </c>
      <c r="T10" t="s">
        <v>72</v>
      </c>
    </row>
    <row r="11" spans="1:25" customFormat="1" ht="15" x14ac:dyDescent="0.25">
      <c r="A11" t="s">
        <v>35</v>
      </c>
      <c r="B11" t="s">
        <v>61</v>
      </c>
      <c r="C11" t="str">
        <f>"A0193985"</f>
        <v>A0193985</v>
      </c>
      <c r="D11" t="s">
        <v>82</v>
      </c>
      <c r="E11" t="s">
        <v>83</v>
      </c>
      <c r="F11" t="s">
        <v>84</v>
      </c>
      <c r="G11" t="s">
        <v>85</v>
      </c>
      <c r="H11">
        <v>71909</v>
      </c>
      <c r="I11" t="s">
        <v>30</v>
      </c>
      <c r="J11" t="s">
        <v>41</v>
      </c>
      <c r="K11" t="s">
        <v>59</v>
      </c>
      <c r="Q11">
        <v>0</v>
      </c>
      <c r="R11">
        <v>0</v>
      </c>
      <c r="S11">
        <v>75</v>
      </c>
      <c r="T11" t="s">
        <v>86</v>
      </c>
    </row>
    <row r="12" spans="1:25" customFormat="1" ht="15" x14ac:dyDescent="0.25">
      <c r="A12" t="s">
        <v>35</v>
      </c>
      <c r="B12" t="s">
        <v>61</v>
      </c>
      <c r="C12" t="str">
        <f>"A0193984"</f>
        <v>A0193984</v>
      </c>
      <c r="D12" t="s">
        <v>87</v>
      </c>
      <c r="E12" t="s">
        <v>88</v>
      </c>
      <c r="F12" t="s">
        <v>89</v>
      </c>
      <c r="G12" t="s">
        <v>90</v>
      </c>
      <c r="H12">
        <v>2886</v>
      </c>
      <c r="I12" t="s">
        <v>30</v>
      </c>
      <c r="J12" t="s">
        <v>41</v>
      </c>
      <c r="K12" t="s">
        <v>59</v>
      </c>
      <c r="Q12">
        <v>0</v>
      </c>
      <c r="R12">
        <v>0</v>
      </c>
      <c r="S12">
        <v>0</v>
      </c>
      <c r="T12" t="s">
        <v>72</v>
      </c>
    </row>
    <row r="13" spans="1:25" customFormat="1" ht="15" x14ac:dyDescent="0.25">
      <c r="A13" t="s">
        <v>35</v>
      </c>
      <c r="B13" t="s">
        <v>61</v>
      </c>
      <c r="C13" t="str">
        <f>"A0193983"</f>
        <v>A0193983</v>
      </c>
      <c r="D13" t="s">
        <v>91</v>
      </c>
      <c r="E13" t="s">
        <v>92</v>
      </c>
      <c r="F13" t="s">
        <v>93</v>
      </c>
      <c r="G13" t="s">
        <v>90</v>
      </c>
      <c r="H13">
        <v>34203</v>
      </c>
      <c r="I13" t="s">
        <v>30</v>
      </c>
      <c r="J13" t="s">
        <v>41</v>
      </c>
      <c r="K13" t="s">
        <v>59</v>
      </c>
      <c r="Q13">
        <v>0</v>
      </c>
      <c r="R13">
        <v>0</v>
      </c>
      <c r="S13">
        <v>0</v>
      </c>
      <c r="T13" t="s">
        <v>72</v>
      </c>
    </row>
    <row r="14" spans="1:25" customFormat="1" ht="15" x14ac:dyDescent="0.25">
      <c r="A14" t="s">
        <v>35</v>
      </c>
      <c r="B14" t="s">
        <v>61</v>
      </c>
      <c r="C14" t="str">
        <f>"A0193982"</f>
        <v>A0193982</v>
      </c>
      <c r="D14" t="s">
        <v>94</v>
      </c>
      <c r="E14" t="s">
        <v>95</v>
      </c>
      <c r="F14" t="s">
        <v>89</v>
      </c>
      <c r="G14" t="s">
        <v>90</v>
      </c>
      <c r="H14">
        <v>2886</v>
      </c>
      <c r="I14" t="s">
        <v>30</v>
      </c>
      <c r="J14" t="s">
        <v>41</v>
      </c>
      <c r="K14" t="s">
        <v>59</v>
      </c>
      <c r="Q14">
        <v>0</v>
      </c>
      <c r="R14">
        <v>0</v>
      </c>
      <c r="S14">
        <v>0</v>
      </c>
      <c r="T14" t="s">
        <v>72</v>
      </c>
    </row>
    <row r="15" spans="1:25" customFormat="1" ht="15" x14ac:dyDescent="0.25">
      <c r="A15" t="s">
        <v>35</v>
      </c>
      <c r="B15" t="s">
        <v>61</v>
      </c>
      <c r="C15" t="str">
        <f>"A0193981"</f>
        <v>A0193981</v>
      </c>
      <c r="D15" t="s">
        <v>96</v>
      </c>
      <c r="E15" t="s">
        <v>97</v>
      </c>
      <c r="F15" t="s">
        <v>98</v>
      </c>
      <c r="G15" t="s">
        <v>99</v>
      </c>
      <c r="H15">
        <v>13662</v>
      </c>
      <c r="I15" t="s">
        <v>30</v>
      </c>
      <c r="J15" t="s">
        <v>41</v>
      </c>
      <c r="K15" t="s">
        <v>59</v>
      </c>
      <c r="Q15">
        <v>0</v>
      </c>
      <c r="R15">
        <v>0</v>
      </c>
      <c r="S15">
        <v>0</v>
      </c>
      <c r="T15" t="s">
        <v>72</v>
      </c>
    </row>
    <row r="16" spans="1:25" customFormat="1" ht="15" x14ac:dyDescent="0.25">
      <c r="A16" t="s">
        <v>35</v>
      </c>
      <c r="B16" t="s">
        <v>61</v>
      </c>
      <c r="C16" t="str">
        <f>"A0193980"</f>
        <v>A0193980</v>
      </c>
      <c r="D16" t="s">
        <v>100</v>
      </c>
      <c r="E16" t="s">
        <v>101</v>
      </c>
      <c r="F16" t="s">
        <v>102</v>
      </c>
      <c r="G16" t="s">
        <v>103</v>
      </c>
      <c r="H16">
        <v>15213</v>
      </c>
      <c r="I16" t="s">
        <v>30</v>
      </c>
      <c r="J16" t="s">
        <v>41</v>
      </c>
      <c r="K16" t="s">
        <v>104</v>
      </c>
      <c r="Q16">
        <v>0</v>
      </c>
      <c r="R16">
        <v>0</v>
      </c>
      <c r="S16">
        <v>0</v>
      </c>
      <c r="T16" t="s">
        <v>105</v>
      </c>
    </row>
    <row r="17" spans="1:25" customFormat="1" ht="15" x14ac:dyDescent="0.25">
      <c r="A17" t="s">
        <v>35</v>
      </c>
      <c r="B17" t="s">
        <v>106</v>
      </c>
      <c r="C17" t="str">
        <f>"A0193979"</f>
        <v>A0193979</v>
      </c>
      <c r="D17" t="s">
        <v>107</v>
      </c>
      <c r="E17" t="s">
        <v>108</v>
      </c>
      <c r="F17" t="s">
        <v>109</v>
      </c>
      <c r="G17" t="s">
        <v>110</v>
      </c>
      <c r="H17">
        <v>91910</v>
      </c>
      <c r="I17" t="s">
        <v>30</v>
      </c>
      <c r="J17" t="s">
        <v>111</v>
      </c>
      <c r="K17" t="s">
        <v>112</v>
      </c>
      <c r="Q17">
        <v>0</v>
      </c>
      <c r="R17">
        <v>0</v>
      </c>
      <c r="S17">
        <v>0</v>
      </c>
      <c r="T17" t="s">
        <v>113</v>
      </c>
    </row>
    <row r="18" spans="1:25" customFormat="1" ht="15" x14ac:dyDescent="0.25">
      <c r="A18" t="s">
        <v>35</v>
      </c>
      <c r="B18" t="s">
        <v>106</v>
      </c>
      <c r="C18" t="str">
        <f>"A0193978"</f>
        <v>A0193978</v>
      </c>
      <c r="D18" t="s">
        <v>114</v>
      </c>
      <c r="E18" t="s">
        <v>115</v>
      </c>
      <c r="F18" t="s">
        <v>116</v>
      </c>
      <c r="G18" t="s">
        <v>117</v>
      </c>
      <c r="H18">
        <v>48197</v>
      </c>
      <c r="I18" t="s">
        <v>30</v>
      </c>
      <c r="J18" t="s">
        <v>111</v>
      </c>
      <c r="K18" t="s">
        <v>112</v>
      </c>
      <c r="Q18">
        <v>0</v>
      </c>
      <c r="R18">
        <v>0</v>
      </c>
      <c r="S18">
        <v>0</v>
      </c>
      <c r="T18" t="s">
        <v>118</v>
      </c>
    </row>
    <row r="19" spans="1:25" customFormat="1" ht="15" x14ac:dyDescent="0.25">
      <c r="A19" t="s">
        <v>35</v>
      </c>
      <c r="B19" t="s">
        <v>119</v>
      </c>
      <c r="C19" t="str">
        <f>"A0193977"</f>
        <v>A0193977</v>
      </c>
      <c r="D19" t="s">
        <v>120</v>
      </c>
      <c r="E19" t="s">
        <v>121</v>
      </c>
      <c r="F19" t="s">
        <v>122</v>
      </c>
      <c r="G19" t="s">
        <v>123</v>
      </c>
      <c r="H19">
        <v>20603</v>
      </c>
      <c r="I19" t="s">
        <v>30</v>
      </c>
      <c r="J19" t="s">
        <v>41</v>
      </c>
      <c r="K19" t="s">
        <v>59</v>
      </c>
      <c r="Q19">
        <v>0</v>
      </c>
      <c r="R19">
        <v>0</v>
      </c>
      <c r="S19">
        <v>182</v>
      </c>
      <c r="T19" t="s">
        <v>124</v>
      </c>
    </row>
    <row r="20" spans="1:25" customFormat="1" ht="15" x14ac:dyDescent="0.25">
      <c r="A20" t="s">
        <v>35</v>
      </c>
      <c r="B20" t="s">
        <v>119</v>
      </c>
      <c r="C20" t="str">
        <f>"A0193976"</f>
        <v>A0193976</v>
      </c>
      <c r="D20" t="s">
        <v>125</v>
      </c>
      <c r="E20" t="s">
        <v>121</v>
      </c>
      <c r="F20" t="s">
        <v>122</v>
      </c>
      <c r="G20" t="s">
        <v>123</v>
      </c>
      <c r="H20">
        <v>20603</v>
      </c>
      <c r="I20" t="s">
        <v>30</v>
      </c>
      <c r="J20" t="s">
        <v>41</v>
      </c>
      <c r="K20" t="s">
        <v>59</v>
      </c>
      <c r="Q20">
        <v>0</v>
      </c>
      <c r="R20">
        <v>0</v>
      </c>
      <c r="S20">
        <v>180</v>
      </c>
      <c r="T20" t="s">
        <v>126</v>
      </c>
    </row>
    <row r="21" spans="1:25" customFormat="1" ht="15" x14ac:dyDescent="0.25">
      <c r="A21" t="s">
        <v>35</v>
      </c>
      <c r="B21" t="s">
        <v>127</v>
      </c>
      <c r="C21" t="str">
        <f>"A0193975"</f>
        <v>A0193975</v>
      </c>
      <c r="D21" t="s">
        <v>128</v>
      </c>
      <c r="E21" t="s">
        <v>129</v>
      </c>
      <c r="F21" t="s">
        <v>130</v>
      </c>
      <c r="G21" t="s">
        <v>40</v>
      </c>
      <c r="H21">
        <v>73703</v>
      </c>
      <c r="I21" t="s">
        <v>30</v>
      </c>
      <c r="J21" t="s">
        <v>41</v>
      </c>
      <c r="K21" t="s">
        <v>131</v>
      </c>
      <c r="Q21">
        <v>0</v>
      </c>
      <c r="R21">
        <v>0</v>
      </c>
      <c r="S21">
        <v>0</v>
      </c>
      <c r="T21" t="s">
        <v>132</v>
      </c>
    </row>
    <row r="22" spans="1:25" customFormat="1" ht="15" x14ac:dyDescent="0.25">
      <c r="A22" t="s">
        <v>35</v>
      </c>
      <c r="B22" t="s">
        <v>133</v>
      </c>
      <c r="C22" t="str">
        <f>"A0193974"</f>
        <v>A0193974</v>
      </c>
      <c r="D22" t="s">
        <v>134</v>
      </c>
      <c r="E22" t="s">
        <v>135</v>
      </c>
      <c r="F22" t="s">
        <v>136</v>
      </c>
      <c r="G22" t="s">
        <v>137</v>
      </c>
      <c r="H22">
        <v>64720</v>
      </c>
      <c r="I22" t="s">
        <v>30</v>
      </c>
      <c r="J22" t="s">
        <v>41</v>
      </c>
      <c r="K22" t="s">
        <v>59</v>
      </c>
      <c r="Q22">
        <v>0</v>
      </c>
      <c r="R22">
        <v>0</v>
      </c>
      <c r="S22">
        <v>0</v>
      </c>
      <c r="T22" t="s">
        <v>72</v>
      </c>
    </row>
    <row r="23" spans="1:25" customFormat="1" ht="15" x14ac:dyDescent="0.25">
      <c r="A23" t="s">
        <v>35</v>
      </c>
      <c r="B23" t="s">
        <v>133</v>
      </c>
      <c r="C23" t="str">
        <f>"A0193973"</f>
        <v>A0193973</v>
      </c>
      <c r="D23" t="s">
        <v>138</v>
      </c>
      <c r="E23" t="s">
        <v>139</v>
      </c>
      <c r="F23" t="s">
        <v>136</v>
      </c>
      <c r="G23" t="s">
        <v>137</v>
      </c>
      <c r="H23">
        <v>64720</v>
      </c>
      <c r="I23" t="s">
        <v>30</v>
      </c>
      <c r="J23" t="s">
        <v>41</v>
      </c>
      <c r="K23" t="s">
        <v>59</v>
      </c>
      <c r="Q23">
        <v>0</v>
      </c>
      <c r="R23">
        <v>0</v>
      </c>
      <c r="S23">
        <v>0</v>
      </c>
      <c r="T23" t="s">
        <v>72</v>
      </c>
    </row>
    <row r="24" spans="1:25" customFormat="1" ht="15" x14ac:dyDescent="0.25">
      <c r="A24" t="s">
        <v>24</v>
      </c>
      <c r="B24" t="s">
        <v>140</v>
      </c>
      <c r="C24" t="str">
        <f>"A0190804"</f>
        <v>A0190804</v>
      </c>
      <c r="D24" t="s">
        <v>141</v>
      </c>
      <c r="E24" t="s">
        <v>142</v>
      </c>
      <c r="F24" t="s">
        <v>143</v>
      </c>
      <c r="G24" t="s">
        <v>144</v>
      </c>
      <c r="H24">
        <v>58701</v>
      </c>
      <c r="I24" t="s">
        <v>30</v>
      </c>
      <c r="J24" t="s">
        <v>145</v>
      </c>
      <c r="K24" t="s">
        <v>146</v>
      </c>
      <c r="N24" t="s">
        <v>147</v>
      </c>
      <c r="Q24">
        <v>0</v>
      </c>
      <c r="R24">
        <v>66</v>
      </c>
      <c r="S24">
        <v>0</v>
      </c>
      <c r="T24" t="s">
        <v>148</v>
      </c>
    </row>
    <row r="25" spans="1:25" customFormat="1" ht="15" x14ac:dyDescent="0.25">
      <c r="A25" t="s">
        <v>24</v>
      </c>
      <c r="B25" t="s">
        <v>149</v>
      </c>
      <c r="C25" t="str">
        <f>"A0193950"</f>
        <v>A0193950</v>
      </c>
      <c r="D25" t="s">
        <v>150</v>
      </c>
      <c r="E25" t="s">
        <v>151</v>
      </c>
      <c r="F25" t="s">
        <v>152</v>
      </c>
      <c r="G25" t="s">
        <v>153</v>
      </c>
      <c r="H25">
        <v>84532</v>
      </c>
      <c r="I25" t="s">
        <v>30</v>
      </c>
      <c r="J25" t="s">
        <v>145</v>
      </c>
      <c r="K25" t="s">
        <v>154</v>
      </c>
      <c r="N25" t="s">
        <v>155</v>
      </c>
      <c r="Q25">
        <v>0</v>
      </c>
      <c r="R25">
        <v>66</v>
      </c>
      <c r="S25">
        <v>0</v>
      </c>
      <c r="T25" t="s">
        <v>156</v>
      </c>
    </row>
    <row r="26" spans="1:25" customFormat="1" ht="15" x14ac:dyDescent="0.25">
      <c r="A26" t="s">
        <v>24</v>
      </c>
      <c r="B26" t="s">
        <v>157</v>
      </c>
      <c r="C26" t="str">
        <f>"A0110911"</f>
        <v>A0110911</v>
      </c>
      <c r="D26" t="s">
        <v>158</v>
      </c>
      <c r="E26" t="s">
        <v>159</v>
      </c>
      <c r="F26" t="s">
        <v>160</v>
      </c>
      <c r="G26" t="s">
        <v>161</v>
      </c>
      <c r="H26">
        <v>56468</v>
      </c>
      <c r="I26" t="s">
        <v>30</v>
      </c>
      <c r="J26" t="s">
        <v>162</v>
      </c>
      <c r="K26" t="s">
        <v>163</v>
      </c>
      <c r="N26" t="s">
        <v>164</v>
      </c>
      <c r="O26" t="s">
        <v>165</v>
      </c>
      <c r="Q26">
        <v>0</v>
      </c>
      <c r="R26">
        <v>169</v>
      </c>
      <c r="S26">
        <v>0</v>
      </c>
      <c r="T26" t="s">
        <v>166</v>
      </c>
    </row>
    <row r="27" spans="1:25" customFormat="1" ht="15" x14ac:dyDescent="0.25">
      <c r="A27" t="s">
        <v>24</v>
      </c>
      <c r="B27" t="s">
        <v>193</v>
      </c>
      <c r="C27" t="str">
        <f>"A0189009"</f>
        <v>A0189009</v>
      </c>
      <c r="D27" t="s">
        <v>240</v>
      </c>
      <c r="E27" t="s">
        <v>241</v>
      </c>
      <c r="F27" t="s">
        <v>242</v>
      </c>
      <c r="G27" t="s">
        <v>214</v>
      </c>
      <c r="H27">
        <v>28217</v>
      </c>
      <c r="I27" t="s">
        <v>30</v>
      </c>
      <c r="J27" t="s">
        <v>162</v>
      </c>
      <c r="K27" t="s">
        <v>243</v>
      </c>
      <c r="N27" t="s">
        <v>244</v>
      </c>
      <c r="Q27">
        <v>0</v>
      </c>
      <c r="R27">
        <v>102</v>
      </c>
      <c r="S27">
        <v>0</v>
      </c>
      <c r="T27" t="s">
        <v>245</v>
      </c>
    </row>
    <row r="28" spans="1:25" customFormat="1" ht="15" x14ac:dyDescent="0.25">
      <c r="A28" t="s">
        <v>24</v>
      </c>
      <c r="B28" t="s">
        <v>174</v>
      </c>
      <c r="C28" t="str">
        <f>"A0087802"</f>
        <v>A0087802</v>
      </c>
      <c r="D28" t="s">
        <v>175</v>
      </c>
      <c r="E28" t="s">
        <v>176</v>
      </c>
      <c r="F28" t="s">
        <v>177</v>
      </c>
      <c r="G28" t="s">
        <v>81</v>
      </c>
      <c r="H28">
        <v>33913</v>
      </c>
      <c r="I28" t="s">
        <v>30</v>
      </c>
      <c r="J28" t="s">
        <v>178</v>
      </c>
      <c r="K28" t="s">
        <v>179</v>
      </c>
      <c r="N28" t="s">
        <v>180</v>
      </c>
      <c r="Q28">
        <v>3</v>
      </c>
      <c r="R28">
        <v>0</v>
      </c>
      <c r="S28">
        <v>0</v>
      </c>
      <c r="T28" t="s">
        <v>181</v>
      </c>
    </row>
    <row r="29" spans="1:25" customFormat="1" ht="15" x14ac:dyDescent="0.25">
      <c r="A29" t="s">
        <v>24</v>
      </c>
      <c r="B29" t="s">
        <v>174</v>
      </c>
      <c r="C29" t="str">
        <f>"A0087804"</f>
        <v>A0087804</v>
      </c>
      <c r="D29" t="s">
        <v>182</v>
      </c>
      <c r="E29" t="s">
        <v>183</v>
      </c>
      <c r="F29" t="s">
        <v>184</v>
      </c>
      <c r="G29" t="s">
        <v>81</v>
      </c>
      <c r="H29">
        <v>34275</v>
      </c>
      <c r="I29" t="s">
        <v>30</v>
      </c>
      <c r="J29" t="s">
        <v>178</v>
      </c>
      <c r="K29" t="s">
        <v>179</v>
      </c>
      <c r="Q29">
        <v>1</v>
      </c>
      <c r="R29">
        <v>0</v>
      </c>
      <c r="S29">
        <v>0</v>
      </c>
      <c r="T29" t="s">
        <v>185</v>
      </c>
    </row>
    <row r="30" spans="1:25" customFormat="1" ht="15" x14ac:dyDescent="0.25">
      <c r="A30" t="s">
        <v>24</v>
      </c>
      <c r="B30" t="s">
        <v>186</v>
      </c>
      <c r="C30" t="str">
        <f>"A0193945"</f>
        <v>A0193945</v>
      </c>
      <c r="D30" t="s">
        <v>187</v>
      </c>
      <c r="E30" t="s">
        <v>188</v>
      </c>
      <c r="F30" t="s">
        <v>189</v>
      </c>
      <c r="G30" t="s">
        <v>190</v>
      </c>
      <c r="H30">
        <v>81611</v>
      </c>
      <c r="I30" t="s">
        <v>30</v>
      </c>
      <c r="J30" t="s">
        <v>191</v>
      </c>
      <c r="K30" t="s">
        <v>163</v>
      </c>
      <c r="Q30">
        <v>0</v>
      </c>
      <c r="R30">
        <v>0</v>
      </c>
      <c r="S30">
        <v>0</v>
      </c>
      <c r="T30" t="s">
        <v>192</v>
      </c>
    </row>
    <row r="31" spans="1:25" customFormat="1" ht="15" x14ac:dyDescent="0.25">
      <c r="A31" t="s">
        <v>24</v>
      </c>
      <c r="B31" t="s">
        <v>193</v>
      </c>
      <c r="C31" t="str">
        <f>"A0058144"</f>
        <v>A0058144</v>
      </c>
      <c r="D31" t="s">
        <v>194</v>
      </c>
      <c r="E31" t="s">
        <v>195</v>
      </c>
      <c r="F31" t="s">
        <v>196</v>
      </c>
      <c r="G31" t="s">
        <v>197</v>
      </c>
      <c r="H31">
        <v>85008</v>
      </c>
      <c r="I31" t="s">
        <v>30</v>
      </c>
      <c r="J31" t="s">
        <v>31</v>
      </c>
      <c r="K31" t="s">
        <v>198</v>
      </c>
      <c r="N31" t="s">
        <v>199</v>
      </c>
      <c r="O31" t="s">
        <v>200</v>
      </c>
      <c r="Q31">
        <v>0</v>
      </c>
      <c r="R31">
        <v>106</v>
      </c>
      <c r="S31">
        <v>0</v>
      </c>
      <c r="T31" t="s">
        <v>201</v>
      </c>
    </row>
    <row r="32" spans="1:25" x14ac:dyDescent="0.25">
      <c r="A32" s="5" t="s">
        <v>24</v>
      </c>
      <c r="B32" s="5" t="s">
        <v>193</v>
      </c>
      <c r="C32" s="5" t="str">
        <f>"A0189010"</f>
        <v>A0189010</v>
      </c>
      <c r="D32" s="5" t="s">
        <v>250</v>
      </c>
      <c r="E32" s="5" t="s">
        <v>247</v>
      </c>
      <c r="F32" s="5" t="s">
        <v>242</v>
      </c>
      <c r="G32" s="5" t="s">
        <v>214</v>
      </c>
      <c r="H32" s="5">
        <v>28217</v>
      </c>
      <c r="I32" s="5" t="s">
        <v>30</v>
      </c>
      <c r="J32" s="5" t="s">
        <v>162</v>
      </c>
      <c r="K32" s="5" t="s">
        <v>251</v>
      </c>
      <c r="L32" s="5"/>
      <c r="M32" s="5"/>
      <c r="N32" s="5" t="s">
        <v>244</v>
      </c>
      <c r="O32" s="5"/>
      <c r="P32" s="5"/>
      <c r="Q32" s="5">
        <v>0</v>
      </c>
      <c r="R32" s="5">
        <v>91</v>
      </c>
      <c r="S32" s="5">
        <v>0</v>
      </c>
      <c r="T32" s="5" t="s">
        <v>249</v>
      </c>
      <c r="U32" s="5"/>
      <c r="V32" s="5"/>
      <c r="W32" s="5"/>
      <c r="X32" s="5"/>
      <c r="Y32" s="5"/>
    </row>
    <row r="33" spans="1:20" customFormat="1" ht="15" x14ac:dyDescent="0.25">
      <c r="A33" t="s">
        <v>24</v>
      </c>
      <c r="B33" t="s">
        <v>210</v>
      </c>
      <c r="C33" t="str">
        <f>"A0193936"</f>
        <v>A0193936</v>
      </c>
      <c r="D33" t="s">
        <v>211</v>
      </c>
      <c r="E33" t="s">
        <v>212</v>
      </c>
      <c r="F33" t="s">
        <v>213</v>
      </c>
      <c r="G33" t="s">
        <v>214</v>
      </c>
      <c r="H33">
        <v>28786</v>
      </c>
      <c r="I33" t="s">
        <v>30</v>
      </c>
      <c r="J33" t="s">
        <v>215</v>
      </c>
      <c r="K33" t="s">
        <v>163</v>
      </c>
      <c r="Q33">
        <v>0</v>
      </c>
      <c r="R33">
        <v>0</v>
      </c>
      <c r="S33">
        <v>0</v>
      </c>
      <c r="T33" t="s">
        <v>216</v>
      </c>
    </row>
    <row r="34" spans="1:20" customFormat="1" ht="15" x14ac:dyDescent="0.25">
      <c r="A34" t="s">
        <v>24</v>
      </c>
      <c r="B34" t="s">
        <v>217</v>
      </c>
      <c r="C34" t="str">
        <f>"A0189902"</f>
        <v>A0189902</v>
      </c>
      <c r="D34" t="s">
        <v>218</v>
      </c>
      <c r="E34" t="s">
        <v>219</v>
      </c>
      <c r="F34" t="s">
        <v>220</v>
      </c>
      <c r="G34" t="s">
        <v>221</v>
      </c>
      <c r="H34">
        <v>89081</v>
      </c>
      <c r="I34" t="s">
        <v>30</v>
      </c>
      <c r="J34" t="s">
        <v>31</v>
      </c>
      <c r="K34" t="s">
        <v>222</v>
      </c>
      <c r="N34" t="s">
        <v>223</v>
      </c>
      <c r="Q34">
        <v>0</v>
      </c>
      <c r="R34">
        <v>120</v>
      </c>
      <c r="S34">
        <v>0</v>
      </c>
      <c r="T34" t="s">
        <v>224</v>
      </c>
    </row>
    <row r="35" spans="1:20" customFormat="1" ht="15" x14ac:dyDescent="0.25">
      <c r="A35" t="s">
        <v>35</v>
      </c>
      <c r="B35" t="s">
        <v>225</v>
      </c>
      <c r="C35" t="str">
        <f>"A0126831"</f>
        <v>A0126831</v>
      </c>
      <c r="D35" t="s">
        <v>226</v>
      </c>
      <c r="E35" t="s">
        <v>227</v>
      </c>
      <c r="F35" t="s">
        <v>228</v>
      </c>
      <c r="G35" t="s">
        <v>103</v>
      </c>
      <c r="H35">
        <v>17845</v>
      </c>
      <c r="I35" t="s">
        <v>30</v>
      </c>
      <c r="J35" t="s">
        <v>41</v>
      </c>
      <c r="K35" t="s">
        <v>229</v>
      </c>
      <c r="Q35">
        <v>0</v>
      </c>
      <c r="R35">
        <v>57</v>
      </c>
      <c r="S35">
        <v>57</v>
      </c>
      <c r="T35" t="s">
        <v>230</v>
      </c>
    </row>
    <row r="36" spans="1:20" customFormat="1" ht="15" x14ac:dyDescent="0.25">
      <c r="A36" t="s">
        <v>35</v>
      </c>
      <c r="B36" t="s">
        <v>231</v>
      </c>
      <c r="C36" t="str">
        <f>"A0121428"</f>
        <v>A0121428</v>
      </c>
      <c r="D36" t="s">
        <v>232</v>
      </c>
      <c r="E36" t="s">
        <v>233</v>
      </c>
      <c r="F36" t="s">
        <v>234</v>
      </c>
      <c r="G36" t="s">
        <v>110</v>
      </c>
      <c r="H36">
        <v>95987</v>
      </c>
      <c r="I36" t="s">
        <v>30</v>
      </c>
      <c r="J36" t="s">
        <v>41</v>
      </c>
      <c r="K36" t="s">
        <v>229</v>
      </c>
      <c r="Q36">
        <v>0</v>
      </c>
      <c r="R36">
        <v>99</v>
      </c>
      <c r="S36">
        <v>99</v>
      </c>
      <c r="T36" t="s">
        <v>235</v>
      </c>
    </row>
    <row r="37" spans="1:20" customFormat="1" ht="15" x14ac:dyDescent="0.25">
      <c r="A37" t="s">
        <v>35</v>
      </c>
      <c r="B37" t="s">
        <v>225</v>
      </c>
      <c r="C37" t="str">
        <f>"A0126823"</f>
        <v>A0126823</v>
      </c>
      <c r="D37" t="s">
        <v>236</v>
      </c>
      <c r="E37" t="s">
        <v>237</v>
      </c>
      <c r="F37" t="s">
        <v>238</v>
      </c>
      <c r="G37" t="s">
        <v>103</v>
      </c>
      <c r="H37">
        <v>18337</v>
      </c>
      <c r="I37" t="s">
        <v>30</v>
      </c>
      <c r="J37" t="s">
        <v>41</v>
      </c>
      <c r="K37" t="s">
        <v>229</v>
      </c>
      <c r="Q37">
        <v>0</v>
      </c>
      <c r="R37">
        <v>80</v>
      </c>
      <c r="S37">
        <v>80</v>
      </c>
      <c r="T37" t="s">
        <v>239</v>
      </c>
    </row>
    <row r="38" spans="1:20" customFormat="1" ht="15" x14ac:dyDescent="0.25">
      <c r="A38" t="s">
        <v>24</v>
      </c>
      <c r="B38" t="s">
        <v>193</v>
      </c>
      <c r="C38" t="str">
        <f>"34204"</f>
        <v>34204</v>
      </c>
      <c r="D38" t="s">
        <v>263</v>
      </c>
      <c r="E38" t="s">
        <v>264</v>
      </c>
      <c r="F38" t="s">
        <v>265</v>
      </c>
      <c r="G38" t="s">
        <v>103</v>
      </c>
      <c r="H38">
        <v>19087</v>
      </c>
      <c r="I38" t="s">
        <v>30</v>
      </c>
      <c r="J38" t="s">
        <v>162</v>
      </c>
      <c r="K38" t="s">
        <v>266</v>
      </c>
      <c r="N38" t="s">
        <v>267</v>
      </c>
      <c r="Q38">
        <v>0</v>
      </c>
      <c r="R38">
        <v>229</v>
      </c>
      <c r="S38">
        <v>0</v>
      </c>
      <c r="T38" t="s">
        <v>268</v>
      </c>
    </row>
    <row r="39" spans="1:20" customFormat="1" ht="15" x14ac:dyDescent="0.25">
      <c r="A39" t="s">
        <v>24</v>
      </c>
      <c r="B39" t="s">
        <v>740</v>
      </c>
      <c r="C39" t="str">
        <f>"A0191025"</f>
        <v>A0191025</v>
      </c>
      <c r="D39" t="s">
        <v>741</v>
      </c>
      <c r="E39" t="s">
        <v>742</v>
      </c>
      <c r="F39" t="s">
        <v>743</v>
      </c>
      <c r="G39" t="s">
        <v>103</v>
      </c>
      <c r="H39">
        <v>19038</v>
      </c>
      <c r="I39" t="s">
        <v>30</v>
      </c>
      <c r="J39" t="s">
        <v>162</v>
      </c>
      <c r="K39" t="s">
        <v>163</v>
      </c>
      <c r="Q39">
        <v>0</v>
      </c>
      <c r="R39">
        <v>0</v>
      </c>
      <c r="S39">
        <v>0</v>
      </c>
      <c r="T39" t="s">
        <v>744</v>
      </c>
    </row>
    <row r="40" spans="1:20" customFormat="1" ht="15" x14ac:dyDescent="0.25">
      <c r="A40" t="s">
        <v>24</v>
      </c>
      <c r="B40" t="s">
        <v>193</v>
      </c>
      <c r="C40" t="str">
        <f>"A0074576"</f>
        <v>A0074576</v>
      </c>
      <c r="D40" t="s">
        <v>756</v>
      </c>
      <c r="E40" t="s">
        <v>757</v>
      </c>
      <c r="F40" t="s">
        <v>758</v>
      </c>
      <c r="G40" t="s">
        <v>103</v>
      </c>
      <c r="H40">
        <v>15146</v>
      </c>
      <c r="I40" t="s">
        <v>30</v>
      </c>
      <c r="J40" t="s">
        <v>162</v>
      </c>
      <c r="K40" t="s">
        <v>759</v>
      </c>
      <c r="N40" t="s">
        <v>760</v>
      </c>
      <c r="Q40">
        <v>0</v>
      </c>
      <c r="R40">
        <v>191</v>
      </c>
      <c r="S40">
        <v>0</v>
      </c>
      <c r="T40" t="s">
        <v>761</v>
      </c>
    </row>
    <row r="41" spans="1:20" customFormat="1" ht="15" x14ac:dyDescent="0.25">
      <c r="A41" t="s">
        <v>24</v>
      </c>
      <c r="B41" t="s">
        <v>252</v>
      </c>
      <c r="C41" t="str">
        <f>"A0189007"</f>
        <v>A0189007</v>
      </c>
      <c r="D41" t="s">
        <v>253</v>
      </c>
      <c r="E41" t="s">
        <v>254</v>
      </c>
      <c r="F41" t="s">
        <v>242</v>
      </c>
      <c r="G41" t="s">
        <v>214</v>
      </c>
      <c r="H41">
        <v>28208</v>
      </c>
      <c r="I41" t="s">
        <v>30</v>
      </c>
      <c r="J41" t="s">
        <v>31</v>
      </c>
      <c r="K41" t="s">
        <v>255</v>
      </c>
      <c r="N41" t="s">
        <v>256</v>
      </c>
      <c r="Q41">
        <v>0</v>
      </c>
      <c r="R41">
        <v>126</v>
      </c>
      <c r="S41">
        <v>0</v>
      </c>
      <c r="T41" t="s">
        <v>249</v>
      </c>
    </row>
    <row r="42" spans="1:20" customFormat="1" ht="15" x14ac:dyDescent="0.25">
      <c r="A42" t="s">
        <v>24</v>
      </c>
      <c r="B42" t="s">
        <v>257</v>
      </c>
      <c r="C42" t="str">
        <f>"A0098420"</f>
        <v>A0098420</v>
      </c>
      <c r="D42" t="s">
        <v>258</v>
      </c>
      <c r="E42" t="s">
        <v>259</v>
      </c>
      <c r="F42" t="s">
        <v>260</v>
      </c>
      <c r="G42" t="s">
        <v>47</v>
      </c>
      <c r="H42">
        <v>97401</v>
      </c>
      <c r="I42" t="s">
        <v>30</v>
      </c>
      <c r="J42" t="s">
        <v>31</v>
      </c>
      <c r="K42" t="s">
        <v>261</v>
      </c>
      <c r="Q42">
        <v>0</v>
      </c>
      <c r="R42">
        <v>120</v>
      </c>
      <c r="S42">
        <v>0</v>
      </c>
      <c r="T42" t="s">
        <v>262</v>
      </c>
    </row>
    <row r="43" spans="1:20" customFormat="1" ht="15" x14ac:dyDescent="0.25">
      <c r="A43" t="s">
        <v>24</v>
      </c>
      <c r="B43" t="s">
        <v>814</v>
      </c>
      <c r="C43" t="str">
        <f>"A0092561"</f>
        <v>A0092561</v>
      </c>
      <c r="D43" t="s">
        <v>820</v>
      </c>
      <c r="E43" t="s">
        <v>821</v>
      </c>
      <c r="F43" t="s">
        <v>817</v>
      </c>
      <c r="G43" t="s">
        <v>110</v>
      </c>
      <c r="H43">
        <v>94030</v>
      </c>
      <c r="I43" t="s">
        <v>30</v>
      </c>
      <c r="J43" t="s">
        <v>162</v>
      </c>
      <c r="K43" t="s">
        <v>822</v>
      </c>
      <c r="N43" t="s">
        <v>818</v>
      </c>
      <c r="Q43">
        <v>0</v>
      </c>
      <c r="R43">
        <v>418</v>
      </c>
      <c r="S43">
        <v>0</v>
      </c>
      <c r="T43" t="s">
        <v>823</v>
      </c>
    </row>
    <row r="44" spans="1:20" customFormat="1" ht="15" x14ac:dyDescent="0.25">
      <c r="A44" t="s">
        <v>24</v>
      </c>
      <c r="B44" t="s">
        <v>257</v>
      </c>
      <c r="C44" t="str">
        <f>"A0098421"</f>
        <v>A0098421</v>
      </c>
      <c r="D44" t="s">
        <v>269</v>
      </c>
      <c r="E44" t="s">
        <v>270</v>
      </c>
      <c r="F44" t="s">
        <v>271</v>
      </c>
      <c r="G44" t="s">
        <v>103</v>
      </c>
      <c r="H44">
        <v>15237</v>
      </c>
      <c r="I44" t="s">
        <v>30</v>
      </c>
      <c r="J44" t="s">
        <v>31</v>
      </c>
      <c r="K44" t="s">
        <v>261</v>
      </c>
      <c r="N44" t="s">
        <v>272</v>
      </c>
      <c r="Q44">
        <v>0</v>
      </c>
      <c r="R44">
        <v>119</v>
      </c>
      <c r="S44">
        <v>0</v>
      </c>
      <c r="T44" t="s">
        <v>273</v>
      </c>
    </row>
    <row r="45" spans="1:20" customFormat="1" ht="15" x14ac:dyDescent="0.25">
      <c r="A45" t="s">
        <v>24</v>
      </c>
      <c r="B45" t="s">
        <v>257</v>
      </c>
      <c r="C45" t="str">
        <f>"A0098415"</f>
        <v>A0098415</v>
      </c>
      <c r="D45" t="s">
        <v>274</v>
      </c>
      <c r="E45" t="s">
        <v>275</v>
      </c>
      <c r="F45" t="s">
        <v>276</v>
      </c>
      <c r="G45" t="s">
        <v>47</v>
      </c>
      <c r="H45">
        <v>97006</v>
      </c>
      <c r="I45" t="s">
        <v>30</v>
      </c>
      <c r="J45" t="s">
        <v>31</v>
      </c>
      <c r="K45" t="s">
        <v>277</v>
      </c>
      <c r="N45" t="s">
        <v>272</v>
      </c>
      <c r="Q45">
        <v>0</v>
      </c>
      <c r="R45">
        <v>137</v>
      </c>
      <c r="S45">
        <v>0</v>
      </c>
      <c r="T45" t="s">
        <v>278</v>
      </c>
    </row>
    <row r="46" spans="1:20" customFormat="1" ht="15" x14ac:dyDescent="0.25">
      <c r="A46" t="s">
        <v>24</v>
      </c>
      <c r="B46" t="s">
        <v>25</v>
      </c>
      <c r="C46" t="str">
        <f>"A0073306"</f>
        <v>A0073306</v>
      </c>
      <c r="D46" t="s">
        <v>279</v>
      </c>
      <c r="E46" t="s">
        <v>280</v>
      </c>
      <c r="F46" t="s">
        <v>281</v>
      </c>
      <c r="G46" t="s">
        <v>123</v>
      </c>
      <c r="H46">
        <v>21401</v>
      </c>
      <c r="I46" t="s">
        <v>30</v>
      </c>
      <c r="J46" t="s">
        <v>31</v>
      </c>
      <c r="K46" t="s">
        <v>282</v>
      </c>
      <c r="N46" t="s">
        <v>283</v>
      </c>
      <c r="Q46">
        <v>0</v>
      </c>
      <c r="R46">
        <v>79</v>
      </c>
      <c r="S46">
        <v>0</v>
      </c>
      <c r="T46" t="s">
        <v>284</v>
      </c>
    </row>
    <row r="47" spans="1:20" customFormat="1" ht="15" x14ac:dyDescent="0.25">
      <c r="A47" t="s">
        <v>35</v>
      </c>
      <c r="B47" t="s">
        <v>285</v>
      </c>
      <c r="C47" t="str">
        <f>"A0117999"</f>
        <v>A0117999</v>
      </c>
      <c r="D47" t="s">
        <v>286</v>
      </c>
      <c r="E47" t="s">
        <v>287</v>
      </c>
      <c r="F47" t="s">
        <v>288</v>
      </c>
      <c r="G47" t="s">
        <v>289</v>
      </c>
      <c r="H47">
        <v>60606</v>
      </c>
      <c r="I47" t="s">
        <v>30</v>
      </c>
      <c r="J47" t="s">
        <v>41</v>
      </c>
      <c r="K47" t="s">
        <v>290</v>
      </c>
      <c r="Q47">
        <v>0</v>
      </c>
      <c r="R47">
        <v>60</v>
      </c>
      <c r="S47">
        <v>60</v>
      </c>
      <c r="T47" t="s">
        <v>291</v>
      </c>
    </row>
    <row r="48" spans="1:20" customFormat="1" ht="15" x14ac:dyDescent="0.25">
      <c r="A48" t="s">
        <v>24</v>
      </c>
      <c r="B48" t="s">
        <v>292</v>
      </c>
      <c r="C48" t="str">
        <f>"A0193733"</f>
        <v>A0193733</v>
      </c>
      <c r="D48" t="s">
        <v>293</v>
      </c>
      <c r="E48" t="s">
        <v>294</v>
      </c>
      <c r="F48" t="s">
        <v>295</v>
      </c>
      <c r="G48" t="s">
        <v>90</v>
      </c>
      <c r="H48">
        <v>2893</v>
      </c>
      <c r="I48" t="s">
        <v>30</v>
      </c>
      <c r="J48" t="s">
        <v>31</v>
      </c>
      <c r="K48" t="s">
        <v>296</v>
      </c>
      <c r="N48" t="s">
        <v>297</v>
      </c>
      <c r="Q48">
        <v>0</v>
      </c>
      <c r="R48">
        <v>88</v>
      </c>
      <c r="S48">
        <v>0</v>
      </c>
      <c r="T48" t="s">
        <v>298</v>
      </c>
    </row>
    <row r="49" spans="1:20" customFormat="1" ht="15" x14ac:dyDescent="0.25">
      <c r="A49" t="s">
        <v>24</v>
      </c>
      <c r="B49" t="s">
        <v>292</v>
      </c>
      <c r="C49" t="str">
        <f>"A0193732"</f>
        <v>A0193732</v>
      </c>
      <c r="D49" t="s">
        <v>299</v>
      </c>
      <c r="E49" t="s">
        <v>300</v>
      </c>
      <c r="F49" t="s">
        <v>301</v>
      </c>
      <c r="G49" t="s">
        <v>123</v>
      </c>
      <c r="H49">
        <v>21202</v>
      </c>
      <c r="I49" t="s">
        <v>30</v>
      </c>
      <c r="J49" t="s">
        <v>145</v>
      </c>
      <c r="K49" t="s">
        <v>302</v>
      </c>
      <c r="N49" t="s">
        <v>303</v>
      </c>
      <c r="Q49">
        <v>0</v>
      </c>
      <c r="R49">
        <v>62</v>
      </c>
      <c r="S49">
        <v>0</v>
      </c>
      <c r="T49" t="s">
        <v>304</v>
      </c>
    </row>
    <row r="50" spans="1:20" customFormat="1" ht="15" x14ac:dyDescent="0.25">
      <c r="A50" t="s">
        <v>24</v>
      </c>
      <c r="B50" t="s">
        <v>814</v>
      </c>
      <c r="C50" t="str">
        <f>"A0098646"</f>
        <v>A0098646</v>
      </c>
      <c r="D50" t="s">
        <v>843</v>
      </c>
      <c r="E50" t="s">
        <v>844</v>
      </c>
      <c r="F50" t="s">
        <v>845</v>
      </c>
      <c r="G50" t="s">
        <v>846</v>
      </c>
      <c r="H50">
        <v>30346</v>
      </c>
      <c r="I50" t="s">
        <v>30</v>
      </c>
      <c r="J50" t="s">
        <v>162</v>
      </c>
      <c r="K50" t="s">
        <v>847</v>
      </c>
      <c r="N50" t="s">
        <v>848</v>
      </c>
      <c r="Q50">
        <v>0</v>
      </c>
      <c r="R50">
        <v>300</v>
      </c>
      <c r="S50">
        <v>0</v>
      </c>
      <c r="T50" t="s">
        <v>849</v>
      </c>
    </row>
    <row r="51" spans="1:20" customFormat="1" ht="15" x14ac:dyDescent="0.25">
      <c r="A51" t="s">
        <v>24</v>
      </c>
      <c r="B51" t="s">
        <v>850</v>
      </c>
      <c r="C51" t="str">
        <f>"SF02162"</f>
        <v>SF02162</v>
      </c>
      <c r="D51" t="s">
        <v>851</v>
      </c>
      <c r="E51" t="s">
        <v>852</v>
      </c>
      <c r="F51" t="s">
        <v>853</v>
      </c>
      <c r="G51" t="s">
        <v>52</v>
      </c>
      <c r="H51">
        <v>76134</v>
      </c>
      <c r="I51" t="s">
        <v>30</v>
      </c>
      <c r="J51" t="s">
        <v>162</v>
      </c>
      <c r="K51" t="s">
        <v>854</v>
      </c>
      <c r="N51" t="s">
        <v>855</v>
      </c>
      <c r="O51" t="s">
        <v>856</v>
      </c>
      <c r="Q51">
        <v>0</v>
      </c>
      <c r="R51">
        <v>253</v>
      </c>
      <c r="S51">
        <v>0</v>
      </c>
      <c r="T51" t="s">
        <v>857</v>
      </c>
    </row>
    <row r="52" spans="1:20" customFormat="1" ht="15" x14ac:dyDescent="0.25">
      <c r="A52" t="s">
        <v>24</v>
      </c>
      <c r="B52" t="s">
        <v>292</v>
      </c>
      <c r="C52" t="str">
        <f>"4323N"</f>
        <v>4323N</v>
      </c>
      <c r="D52" t="s">
        <v>318</v>
      </c>
      <c r="E52" t="s">
        <v>319</v>
      </c>
      <c r="F52" t="s">
        <v>320</v>
      </c>
      <c r="G52" t="s">
        <v>123</v>
      </c>
      <c r="H52">
        <v>20794</v>
      </c>
      <c r="I52" t="s">
        <v>30</v>
      </c>
      <c r="J52" t="s">
        <v>31</v>
      </c>
      <c r="K52" t="s">
        <v>321</v>
      </c>
      <c r="N52" t="s">
        <v>322</v>
      </c>
      <c r="Q52">
        <v>0</v>
      </c>
      <c r="R52">
        <v>100</v>
      </c>
      <c r="S52">
        <v>0</v>
      </c>
      <c r="T52" t="s">
        <v>323</v>
      </c>
    </row>
    <row r="53" spans="1:20" customFormat="1" ht="15" x14ac:dyDescent="0.25">
      <c r="A53" t="s">
        <v>24</v>
      </c>
      <c r="B53" t="s">
        <v>292</v>
      </c>
      <c r="C53" t="str">
        <f>"432EO"</f>
        <v>432EO</v>
      </c>
      <c r="D53" t="s">
        <v>324</v>
      </c>
      <c r="E53" t="s">
        <v>325</v>
      </c>
      <c r="F53" t="s">
        <v>326</v>
      </c>
      <c r="G53" t="s">
        <v>123</v>
      </c>
      <c r="H53">
        <v>20705</v>
      </c>
      <c r="I53" t="s">
        <v>30</v>
      </c>
      <c r="J53" t="s">
        <v>31</v>
      </c>
      <c r="K53" t="s">
        <v>296</v>
      </c>
      <c r="N53" t="s">
        <v>327</v>
      </c>
      <c r="Q53">
        <v>0</v>
      </c>
      <c r="R53">
        <v>169</v>
      </c>
      <c r="S53">
        <v>0</v>
      </c>
      <c r="T53" t="s">
        <v>328</v>
      </c>
    </row>
    <row r="54" spans="1:20" customFormat="1" ht="15" x14ac:dyDescent="0.25">
      <c r="A54" t="s">
        <v>24</v>
      </c>
      <c r="B54" t="s">
        <v>292</v>
      </c>
      <c r="C54" t="str">
        <f>"A0068091"</f>
        <v>A0068091</v>
      </c>
      <c r="D54" t="s">
        <v>329</v>
      </c>
      <c r="E54" t="s">
        <v>330</v>
      </c>
      <c r="F54" t="s">
        <v>331</v>
      </c>
      <c r="G54" t="s">
        <v>123</v>
      </c>
      <c r="H54">
        <v>20735</v>
      </c>
      <c r="I54" t="s">
        <v>30</v>
      </c>
      <c r="J54" t="s">
        <v>31</v>
      </c>
      <c r="K54" t="s">
        <v>296</v>
      </c>
      <c r="N54" t="s">
        <v>332</v>
      </c>
      <c r="Q54">
        <v>0</v>
      </c>
      <c r="R54">
        <v>92</v>
      </c>
      <c r="S54">
        <v>0</v>
      </c>
      <c r="T54" t="s">
        <v>333</v>
      </c>
    </row>
    <row r="55" spans="1:20" customFormat="1" ht="15" x14ac:dyDescent="0.25">
      <c r="A55" t="s">
        <v>24</v>
      </c>
      <c r="B55" t="s">
        <v>334</v>
      </c>
      <c r="C55" t="str">
        <f>"A0153500"</f>
        <v>A0153500</v>
      </c>
      <c r="D55" t="s">
        <v>335</v>
      </c>
      <c r="E55" t="s">
        <v>336</v>
      </c>
      <c r="F55" t="s">
        <v>337</v>
      </c>
      <c r="G55" t="s">
        <v>338</v>
      </c>
      <c r="H55">
        <v>7305</v>
      </c>
      <c r="I55" t="s">
        <v>30</v>
      </c>
      <c r="J55" t="s">
        <v>178</v>
      </c>
      <c r="K55" t="s">
        <v>179</v>
      </c>
      <c r="N55" t="s">
        <v>339</v>
      </c>
      <c r="O55" t="s">
        <v>340</v>
      </c>
      <c r="Q55">
        <v>0</v>
      </c>
      <c r="R55">
        <v>18</v>
      </c>
      <c r="S55">
        <v>0</v>
      </c>
      <c r="T55" t="s">
        <v>341</v>
      </c>
    </row>
    <row r="56" spans="1:20" customFormat="1" ht="15" x14ac:dyDescent="0.25">
      <c r="A56" t="s">
        <v>24</v>
      </c>
      <c r="B56" t="s">
        <v>342</v>
      </c>
      <c r="C56" t="str">
        <f>"A0193921"</f>
        <v>A0193921</v>
      </c>
      <c r="D56" t="s">
        <v>343</v>
      </c>
      <c r="E56" t="s">
        <v>344</v>
      </c>
      <c r="F56" t="s">
        <v>345</v>
      </c>
      <c r="G56" t="s">
        <v>81</v>
      </c>
      <c r="H56">
        <v>34785</v>
      </c>
      <c r="I56" t="s">
        <v>30</v>
      </c>
      <c r="J56" t="s">
        <v>31</v>
      </c>
      <c r="K56" t="s">
        <v>261</v>
      </c>
      <c r="N56" t="s">
        <v>346</v>
      </c>
      <c r="Q56">
        <v>0</v>
      </c>
      <c r="R56">
        <v>96</v>
      </c>
      <c r="S56">
        <v>0</v>
      </c>
      <c r="T56" t="s">
        <v>347</v>
      </c>
    </row>
    <row r="57" spans="1:20" customFormat="1" ht="15" x14ac:dyDescent="0.25">
      <c r="A57" t="s">
        <v>24</v>
      </c>
      <c r="B57" t="s">
        <v>348</v>
      </c>
      <c r="C57" t="str">
        <f>"A0193800"</f>
        <v>A0193800</v>
      </c>
      <c r="D57" t="s">
        <v>349</v>
      </c>
      <c r="E57" t="s">
        <v>350</v>
      </c>
      <c r="F57" t="s">
        <v>351</v>
      </c>
      <c r="G57" t="s">
        <v>52</v>
      </c>
      <c r="H57">
        <v>78373</v>
      </c>
      <c r="I57" t="s">
        <v>30</v>
      </c>
      <c r="J57" t="s">
        <v>145</v>
      </c>
      <c r="K57" t="s">
        <v>163</v>
      </c>
      <c r="N57" t="s">
        <v>352</v>
      </c>
      <c r="Q57">
        <v>0</v>
      </c>
      <c r="R57">
        <v>52</v>
      </c>
      <c r="S57">
        <v>0</v>
      </c>
      <c r="T57" t="s">
        <v>353</v>
      </c>
    </row>
    <row r="58" spans="1:20" customFormat="1" ht="15" x14ac:dyDescent="0.25">
      <c r="A58" t="s">
        <v>24</v>
      </c>
      <c r="B58" t="s">
        <v>348</v>
      </c>
      <c r="C58" t="str">
        <f>"A0193799"</f>
        <v>A0193799</v>
      </c>
      <c r="D58" t="s">
        <v>354</v>
      </c>
      <c r="E58" t="s">
        <v>355</v>
      </c>
      <c r="F58" t="s">
        <v>356</v>
      </c>
      <c r="G58" t="s">
        <v>52</v>
      </c>
      <c r="H58">
        <v>78244</v>
      </c>
      <c r="I58" t="s">
        <v>30</v>
      </c>
      <c r="J58" t="s">
        <v>145</v>
      </c>
      <c r="K58" t="s">
        <v>154</v>
      </c>
      <c r="N58" t="s">
        <v>352</v>
      </c>
      <c r="Q58">
        <v>0</v>
      </c>
      <c r="R58">
        <v>75</v>
      </c>
      <c r="S58">
        <v>0</v>
      </c>
      <c r="T58" t="s">
        <v>357</v>
      </c>
    </row>
    <row r="59" spans="1:20" customFormat="1" ht="15" x14ac:dyDescent="0.25">
      <c r="A59" t="s">
        <v>24</v>
      </c>
      <c r="B59" t="s">
        <v>348</v>
      </c>
      <c r="C59" t="str">
        <f>"A0193798"</f>
        <v>A0193798</v>
      </c>
      <c r="D59" t="s">
        <v>358</v>
      </c>
      <c r="E59" t="s">
        <v>359</v>
      </c>
      <c r="F59" t="s">
        <v>360</v>
      </c>
      <c r="G59" t="s">
        <v>52</v>
      </c>
      <c r="H59">
        <v>78613</v>
      </c>
      <c r="I59" t="s">
        <v>30</v>
      </c>
      <c r="J59" t="s">
        <v>145</v>
      </c>
      <c r="K59" t="s">
        <v>154</v>
      </c>
      <c r="N59" t="s">
        <v>352</v>
      </c>
      <c r="Q59">
        <v>0</v>
      </c>
      <c r="R59">
        <v>80</v>
      </c>
      <c r="S59">
        <v>0</v>
      </c>
      <c r="T59" t="s">
        <v>361</v>
      </c>
    </row>
    <row r="60" spans="1:20" customFormat="1" ht="15" x14ac:dyDescent="0.25">
      <c r="A60" t="s">
        <v>24</v>
      </c>
      <c r="B60" t="s">
        <v>348</v>
      </c>
      <c r="C60" t="str">
        <f>"A0193797"</f>
        <v>A0193797</v>
      </c>
      <c r="D60" t="s">
        <v>362</v>
      </c>
      <c r="E60" t="s">
        <v>363</v>
      </c>
      <c r="F60" t="s">
        <v>364</v>
      </c>
      <c r="G60" t="s">
        <v>52</v>
      </c>
      <c r="H60">
        <v>78654</v>
      </c>
      <c r="I60" t="s">
        <v>30</v>
      </c>
      <c r="J60" t="s">
        <v>145</v>
      </c>
      <c r="K60" t="s">
        <v>154</v>
      </c>
      <c r="N60" t="s">
        <v>352</v>
      </c>
      <c r="Q60">
        <v>0</v>
      </c>
      <c r="R60">
        <v>83</v>
      </c>
      <c r="S60">
        <v>0</v>
      </c>
      <c r="T60" t="s">
        <v>365</v>
      </c>
    </row>
    <row r="61" spans="1:20" customFormat="1" ht="15" x14ac:dyDescent="0.25">
      <c r="A61" t="s">
        <v>24</v>
      </c>
      <c r="B61" t="s">
        <v>976</v>
      </c>
      <c r="C61" t="str">
        <f>"SC005"</f>
        <v>SC005</v>
      </c>
      <c r="D61" t="s">
        <v>977</v>
      </c>
      <c r="E61" t="s">
        <v>978</v>
      </c>
      <c r="F61" t="s">
        <v>979</v>
      </c>
      <c r="G61" t="s">
        <v>110</v>
      </c>
      <c r="H61">
        <v>93117</v>
      </c>
      <c r="I61" t="s">
        <v>30</v>
      </c>
      <c r="J61" t="s">
        <v>162</v>
      </c>
      <c r="K61" t="s">
        <v>163</v>
      </c>
      <c r="N61" t="s">
        <v>980</v>
      </c>
      <c r="Q61">
        <v>0</v>
      </c>
      <c r="R61">
        <v>160</v>
      </c>
      <c r="S61">
        <v>0</v>
      </c>
      <c r="T61" t="s">
        <v>981</v>
      </c>
    </row>
    <row r="62" spans="1:20" customFormat="1" ht="15" x14ac:dyDescent="0.25">
      <c r="A62" t="s">
        <v>24</v>
      </c>
      <c r="B62" t="s">
        <v>348</v>
      </c>
      <c r="C62" t="str">
        <f>"A0193790"</f>
        <v>A0193790</v>
      </c>
      <c r="D62" t="s">
        <v>370</v>
      </c>
      <c r="E62" t="s">
        <v>371</v>
      </c>
      <c r="F62" t="s">
        <v>372</v>
      </c>
      <c r="G62" t="s">
        <v>52</v>
      </c>
      <c r="H62">
        <v>78750</v>
      </c>
      <c r="I62" t="s">
        <v>30</v>
      </c>
      <c r="J62" t="s">
        <v>31</v>
      </c>
      <c r="K62" t="s">
        <v>296</v>
      </c>
      <c r="N62" t="s">
        <v>352</v>
      </c>
      <c r="Q62">
        <v>0</v>
      </c>
      <c r="R62">
        <v>65</v>
      </c>
      <c r="S62">
        <v>0</v>
      </c>
      <c r="T62" t="s">
        <v>373</v>
      </c>
    </row>
    <row r="63" spans="1:20" customFormat="1" ht="15" x14ac:dyDescent="0.25">
      <c r="A63" t="s">
        <v>24</v>
      </c>
      <c r="B63" t="s">
        <v>348</v>
      </c>
      <c r="C63" t="str">
        <f>"A0058574"</f>
        <v>A0058574</v>
      </c>
      <c r="D63" t="s">
        <v>374</v>
      </c>
      <c r="E63" t="s">
        <v>375</v>
      </c>
      <c r="F63" t="s">
        <v>356</v>
      </c>
      <c r="G63" t="s">
        <v>52</v>
      </c>
      <c r="H63">
        <v>78201</v>
      </c>
      <c r="I63" t="s">
        <v>30</v>
      </c>
      <c r="J63" t="s">
        <v>31</v>
      </c>
      <c r="K63" t="s">
        <v>255</v>
      </c>
      <c r="N63" t="s">
        <v>376</v>
      </c>
      <c r="Q63">
        <v>0</v>
      </c>
      <c r="R63">
        <v>112</v>
      </c>
      <c r="S63">
        <v>0</v>
      </c>
      <c r="T63" t="s">
        <v>377</v>
      </c>
    </row>
    <row r="64" spans="1:20" customFormat="1" ht="15" x14ac:dyDescent="0.25">
      <c r="A64" t="s">
        <v>35</v>
      </c>
      <c r="B64" t="s">
        <v>36</v>
      </c>
      <c r="C64" t="str">
        <f>"A0193908"</f>
        <v>A0193908</v>
      </c>
      <c r="D64" t="s">
        <v>378</v>
      </c>
      <c r="E64" t="s">
        <v>379</v>
      </c>
      <c r="F64" t="s">
        <v>380</v>
      </c>
      <c r="G64" t="s">
        <v>381</v>
      </c>
      <c r="H64">
        <v>46176</v>
      </c>
      <c r="I64" t="s">
        <v>30</v>
      </c>
      <c r="J64" t="s">
        <v>41</v>
      </c>
      <c r="K64" t="s">
        <v>42</v>
      </c>
      <c r="Q64">
        <v>0</v>
      </c>
      <c r="R64">
        <v>0</v>
      </c>
      <c r="S64">
        <v>0</v>
      </c>
      <c r="T64" t="s">
        <v>382</v>
      </c>
    </row>
    <row r="65" spans="1:20" customFormat="1" ht="15" x14ac:dyDescent="0.25">
      <c r="A65" t="s">
        <v>35</v>
      </c>
      <c r="B65" t="s">
        <v>36</v>
      </c>
      <c r="C65" t="str">
        <f>"A0193907"</f>
        <v>A0193907</v>
      </c>
      <c r="D65" t="s">
        <v>383</v>
      </c>
      <c r="E65" t="s">
        <v>384</v>
      </c>
      <c r="F65" t="s">
        <v>385</v>
      </c>
      <c r="G65" t="s">
        <v>161</v>
      </c>
      <c r="H65">
        <v>56474</v>
      </c>
      <c r="I65" t="s">
        <v>30</v>
      </c>
      <c r="J65" t="s">
        <v>41</v>
      </c>
      <c r="K65" t="s">
        <v>42</v>
      </c>
      <c r="Q65">
        <v>0</v>
      </c>
      <c r="R65">
        <v>0</v>
      </c>
      <c r="S65">
        <v>0</v>
      </c>
      <c r="T65" t="s">
        <v>386</v>
      </c>
    </row>
    <row r="66" spans="1:20" customFormat="1" ht="15" x14ac:dyDescent="0.25">
      <c r="A66" t="s">
        <v>35</v>
      </c>
      <c r="B66" t="s">
        <v>387</v>
      </c>
      <c r="C66" t="str">
        <f>"A0193906"</f>
        <v>A0193906</v>
      </c>
      <c r="D66" t="s">
        <v>388</v>
      </c>
      <c r="E66" t="s">
        <v>389</v>
      </c>
      <c r="F66" t="s">
        <v>390</v>
      </c>
      <c r="G66" t="s">
        <v>110</v>
      </c>
      <c r="H66">
        <v>92020</v>
      </c>
      <c r="I66" t="s">
        <v>30</v>
      </c>
      <c r="J66" t="s">
        <v>41</v>
      </c>
      <c r="K66" t="s">
        <v>391</v>
      </c>
      <c r="Q66">
        <v>0</v>
      </c>
      <c r="R66">
        <v>0</v>
      </c>
      <c r="S66">
        <v>0</v>
      </c>
      <c r="T66" t="s">
        <v>392</v>
      </c>
    </row>
    <row r="67" spans="1:20" customFormat="1" ht="15" x14ac:dyDescent="0.25">
      <c r="A67" t="s">
        <v>35</v>
      </c>
      <c r="B67" t="s">
        <v>387</v>
      </c>
      <c r="C67" t="str">
        <f>"A0193905"</f>
        <v>A0193905</v>
      </c>
      <c r="D67" t="s">
        <v>393</v>
      </c>
      <c r="E67" t="s">
        <v>394</v>
      </c>
      <c r="F67" t="s">
        <v>395</v>
      </c>
      <c r="G67" t="s">
        <v>110</v>
      </c>
      <c r="H67">
        <v>92083</v>
      </c>
      <c r="I67" t="s">
        <v>30</v>
      </c>
      <c r="J67" t="s">
        <v>41</v>
      </c>
      <c r="K67" t="s">
        <v>391</v>
      </c>
      <c r="Q67">
        <v>0</v>
      </c>
      <c r="R67">
        <v>0</v>
      </c>
      <c r="S67">
        <v>0</v>
      </c>
      <c r="T67" t="s">
        <v>392</v>
      </c>
    </row>
    <row r="68" spans="1:20" customFormat="1" ht="15" x14ac:dyDescent="0.25">
      <c r="A68" t="s">
        <v>35</v>
      </c>
      <c r="B68" t="s">
        <v>396</v>
      </c>
      <c r="C68" t="str">
        <f>"A0193904"</f>
        <v>A0193904</v>
      </c>
      <c r="D68" t="s">
        <v>397</v>
      </c>
      <c r="E68" t="s">
        <v>398</v>
      </c>
      <c r="F68" t="s">
        <v>399</v>
      </c>
      <c r="G68" t="s">
        <v>153</v>
      </c>
      <c r="H68">
        <v>84604</v>
      </c>
      <c r="I68" t="s">
        <v>30</v>
      </c>
      <c r="J68" t="s">
        <v>41</v>
      </c>
      <c r="K68" t="s">
        <v>59</v>
      </c>
      <c r="Q68">
        <v>0</v>
      </c>
      <c r="R68">
        <v>0</v>
      </c>
      <c r="S68">
        <v>40</v>
      </c>
      <c r="T68" t="s">
        <v>400</v>
      </c>
    </row>
    <row r="69" spans="1:20" customFormat="1" ht="15" x14ac:dyDescent="0.25">
      <c r="A69" t="s">
        <v>35</v>
      </c>
      <c r="B69" t="s">
        <v>401</v>
      </c>
      <c r="C69" t="str">
        <f>"A0193903"</f>
        <v>A0193903</v>
      </c>
      <c r="D69" t="s">
        <v>402</v>
      </c>
      <c r="E69" t="s">
        <v>403</v>
      </c>
      <c r="F69" t="s">
        <v>404</v>
      </c>
      <c r="G69" t="s">
        <v>65</v>
      </c>
      <c r="H69">
        <v>44136</v>
      </c>
      <c r="I69" t="s">
        <v>30</v>
      </c>
      <c r="J69" t="s">
        <v>41</v>
      </c>
      <c r="K69" t="s">
        <v>391</v>
      </c>
      <c r="Q69">
        <v>0</v>
      </c>
      <c r="R69">
        <v>0</v>
      </c>
      <c r="S69">
        <v>0</v>
      </c>
      <c r="T69" t="s">
        <v>405</v>
      </c>
    </row>
    <row r="70" spans="1:20" customFormat="1" ht="15" x14ac:dyDescent="0.25">
      <c r="A70" t="s">
        <v>35</v>
      </c>
      <c r="B70" t="s">
        <v>401</v>
      </c>
      <c r="C70" t="str">
        <f>"A0193902"</f>
        <v>A0193902</v>
      </c>
      <c r="D70" t="s">
        <v>406</v>
      </c>
      <c r="E70" t="s">
        <v>407</v>
      </c>
      <c r="F70" t="s">
        <v>408</v>
      </c>
      <c r="G70" t="s">
        <v>65</v>
      </c>
      <c r="H70">
        <v>44130</v>
      </c>
      <c r="I70" t="s">
        <v>30</v>
      </c>
      <c r="J70" t="s">
        <v>41</v>
      </c>
      <c r="K70" t="s">
        <v>391</v>
      </c>
      <c r="Q70">
        <v>0</v>
      </c>
      <c r="R70">
        <v>0</v>
      </c>
      <c r="S70">
        <v>0</v>
      </c>
      <c r="T70" t="s">
        <v>409</v>
      </c>
    </row>
    <row r="71" spans="1:20" customFormat="1" ht="15" x14ac:dyDescent="0.25">
      <c r="A71" t="s">
        <v>35</v>
      </c>
      <c r="B71" t="s">
        <v>401</v>
      </c>
      <c r="C71" t="str">
        <f>"A0193901"</f>
        <v>A0193901</v>
      </c>
      <c r="D71" t="s">
        <v>410</v>
      </c>
      <c r="E71" t="s">
        <v>411</v>
      </c>
      <c r="F71" t="s">
        <v>412</v>
      </c>
      <c r="G71" t="s">
        <v>65</v>
      </c>
      <c r="H71">
        <v>44138</v>
      </c>
      <c r="I71" t="s">
        <v>30</v>
      </c>
      <c r="J71" t="s">
        <v>41</v>
      </c>
      <c r="K71" t="s">
        <v>391</v>
      </c>
      <c r="Q71">
        <v>0</v>
      </c>
      <c r="R71">
        <v>0</v>
      </c>
      <c r="S71">
        <v>0</v>
      </c>
      <c r="T71" t="s">
        <v>413</v>
      </c>
    </row>
    <row r="72" spans="1:20" customFormat="1" ht="15" x14ac:dyDescent="0.25">
      <c r="A72" t="s">
        <v>35</v>
      </c>
      <c r="B72" t="s">
        <v>414</v>
      </c>
      <c r="C72" t="str">
        <f>"A0193900"</f>
        <v>A0193900</v>
      </c>
      <c r="D72" t="s">
        <v>415</v>
      </c>
      <c r="E72" t="s">
        <v>416</v>
      </c>
      <c r="F72" t="s">
        <v>417</v>
      </c>
      <c r="G72" t="s">
        <v>190</v>
      </c>
      <c r="H72">
        <v>80525</v>
      </c>
      <c r="I72" t="s">
        <v>30</v>
      </c>
      <c r="J72" t="s">
        <v>41</v>
      </c>
      <c r="K72" t="s">
        <v>418</v>
      </c>
      <c r="Q72">
        <v>0</v>
      </c>
      <c r="R72">
        <v>0</v>
      </c>
      <c r="S72">
        <v>0</v>
      </c>
      <c r="T72" t="s">
        <v>72</v>
      </c>
    </row>
    <row r="73" spans="1:20" customFormat="1" ht="15" x14ac:dyDescent="0.25">
      <c r="A73" t="s">
        <v>35</v>
      </c>
      <c r="B73" t="s">
        <v>414</v>
      </c>
      <c r="C73" t="str">
        <f>"A0193899"</f>
        <v>A0193899</v>
      </c>
      <c r="D73" t="s">
        <v>419</v>
      </c>
      <c r="E73" t="s">
        <v>420</v>
      </c>
      <c r="F73" t="s">
        <v>421</v>
      </c>
      <c r="G73" t="s">
        <v>190</v>
      </c>
      <c r="H73">
        <v>80538</v>
      </c>
      <c r="I73" t="s">
        <v>30</v>
      </c>
      <c r="J73" t="s">
        <v>41</v>
      </c>
      <c r="K73" t="s">
        <v>418</v>
      </c>
      <c r="Q73">
        <v>0</v>
      </c>
      <c r="R73">
        <v>0</v>
      </c>
      <c r="S73">
        <v>0</v>
      </c>
      <c r="T73" t="s">
        <v>72</v>
      </c>
    </row>
    <row r="74" spans="1:20" customFormat="1" ht="15" x14ac:dyDescent="0.25">
      <c r="A74" t="s">
        <v>35</v>
      </c>
      <c r="B74" t="s">
        <v>414</v>
      </c>
      <c r="C74" t="str">
        <f>"A0193898"</f>
        <v>A0193898</v>
      </c>
      <c r="D74" t="s">
        <v>422</v>
      </c>
      <c r="E74" t="s">
        <v>423</v>
      </c>
      <c r="F74" t="s">
        <v>421</v>
      </c>
      <c r="G74" t="s">
        <v>190</v>
      </c>
      <c r="H74">
        <v>80538</v>
      </c>
      <c r="I74" t="s">
        <v>30</v>
      </c>
      <c r="J74" t="s">
        <v>41</v>
      </c>
      <c r="K74" t="s">
        <v>418</v>
      </c>
      <c r="Q74">
        <v>0</v>
      </c>
      <c r="R74">
        <v>0</v>
      </c>
      <c r="S74">
        <v>0</v>
      </c>
      <c r="T74" t="s">
        <v>72</v>
      </c>
    </row>
    <row r="75" spans="1:20" customFormat="1" ht="15" x14ac:dyDescent="0.25">
      <c r="A75" t="s">
        <v>35</v>
      </c>
      <c r="B75" t="s">
        <v>414</v>
      </c>
      <c r="C75" t="str">
        <f>"A0193897"</f>
        <v>A0193897</v>
      </c>
      <c r="D75" t="s">
        <v>424</v>
      </c>
      <c r="E75" t="s">
        <v>425</v>
      </c>
      <c r="F75" t="s">
        <v>426</v>
      </c>
      <c r="G75" t="s">
        <v>427</v>
      </c>
      <c r="H75">
        <v>68124</v>
      </c>
      <c r="I75" t="s">
        <v>30</v>
      </c>
      <c r="J75" t="s">
        <v>41</v>
      </c>
      <c r="K75" t="s">
        <v>418</v>
      </c>
      <c r="Q75">
        <v>0</v>
      </c>
      <c r="R75">
        <v>0</v>
      </c>
      <c r="S75">
        <v>0</v>
      </c>
      <c r="T75" t="s">
        <v>72</v>
      </c>
    </row>
    <row r="76" spans="1:20" customFormat="1" ht="15" x14ac:dyDescent="0.25">
      <c r="A76" t="s">
        <v>35</v>
      </c>
      <c r="B76" t="s">
        <v>414</v>
      </c>
      <c r="C76" t="str">
        <f>"A0193896"</f>
        <v>A0193896</v>
      </c>
      <c r="D76" t="s">
        <v>428</v>
      </c>
      <c r="E76" t="s">
        <v>429</v>
      </c>
      <c r="F76" t="s">
        <v>426</v>
      </c>
      <c r="G76" t="s">
        <v>427</v>
      </c>
      <c r="H76">
        <v>68124</v>
      </c>
      <c r="I76" t="s">
        <v>30</v>
      </c>
      <c r="J76" t="s">
        <v>41</v>
      </c>
      <c r="K76" t="s">
        <v>418</v>
      </c>
      <c r="Q76">
        <v>0</v>
      </c>
      <c r="R76">
        <v>0</v>
      </c>
      <c r="S76">
        <v>0</v>
      </c>
      <c r="T76" t="s">
        <v>72</v>
      </c>
    </row>
    <row r="77" spans="1:20" customFormat="1" ht="15" x14ac:dyDescent="0.25">
      <c r="A77" t="s">
        <v>35</v>
      </c>
      <c r="B77" t="s">
        <v>414</v>
      </c>
      <c r="C77" t="str">
        <f>"A0193895"</f>
        <v>A0193895</v>
      </c>
      <c r="D77" t="s">
        <v>430</v>
      </c>
      <c r="E77" t="s">
        <v>431</v>
      </c>
      <c r="F77" t="s">
        <v>432</v>
      </c>
      <c r="G77" t="s">
        <v>433</v>
      </c>
      <c r="H77">
        <v>83704</v>
      </c>
      <c r="I77" t="s">
        <v>30</v>
      </c>
      <c r="J77" t="s">
        <v>41</v>
      </c>
      <c r="K77" t="s">
        <v>418</v>
      </c>
      <c r="Q77">
        <v>0</v>
      </c>
      <c r="R77">
        <v>0</v>
      </c>
      <c r="S77">
        <v>0</v>
      </c>
      <c r="T77" t="s">
        <v>72</v>
      </c>
    </row>
    <row r="78" spans="1:20" customFormat="1" ht="15" x14ac:dyDescent="0.25">
      <c r="A78" t="s">
        <v>35</v>
      </c>
      <c r="B78" t="s">
        <v>414</v>
      </c>
      <c r="C78" t="str">
        <f>"A0193894"</f>
        <v>A0193894</v>
      </c>
      <c r="D78" t="s">
        <v>434</v>
      </c>
      <c r="E78" t="s">
        <v>435</v>
      </c>
      <c r="F78" t="s">
        <v>436</v>
      </c>
      <c r="G78" t="s">
        <v>433</v>
      </c>
      <c r="H78">
        <v>83709</v>
      </c>
      <c r="I78" t="s">
        <v>30</v>
      </c>
      <c r="J78" t="s">
        <v>41</v>
      </c>
      <c r="K78" t="s">
        <v>418</v>
      </c>
      <c r="Q78">
        <v>0</v>
      </c>
      <c r="R78">
        <v>0</v>
      </c>
      <c r="S78">
        <v>0</v>
      </c>
      <c r="T78" t="s">
        <v>72</v>
      </c>
    </row>
    <row r="79" spans="1:20" customFormat="1" ht="15" x14ac:dyDescent="0.25">
      <c r="A79" t="s">
        <v>35</v>
      </c>
      <c r="B79" t="s">
        <v>437</v>
      </c>
      <c r="C79" t="str">
        <f>"A0193893"</f>
        <v>A0193893</v>
      </c>
      <c r="D79" t="s">
        <v>438</v>
      </c>
      <c r="E79" t="s">
        <v>439</v>
      </c>
      <c r="F79" t="s">
        <v>440</v>
      </c>
      <c r="G79" t="s">
        <v>214</v>
      </c>
      <c r="H79">
        <v>28713</v>
      </c>
      <c r="I79" t="s">
        <v>30</v>
      </c>
      <c r="J79" t="s">
        <v>441</v>
      </c>
      <c r="K79" t="s">
        <v>442</v>
      </c>
      <c r="Q79">
        <v>0</v>
      </c>
      <c r="R79">
        <v>0</v>
      </c>
      <c r="S79">
        <v>0</v>
      </c>
      <c r="T79" t="s">
        <v>443</v>
      </c>
    </row>
    <row r="80" spans="1:20" customFormat="1" ht="15" x14ac:dyDescent="0.25">
      <c r="A80" t="s">
        <v>35</v>
      </c>
      <c r="B80" t="s">
        <v>61</v>
      </c>
      <c r="C80" t="str">
        <f>"A0193892"</f>
        <v>A0193892</v>
      </c>
      <c r="D80" t="s">
        <v>444</v>
      </c>
      <c r="E80" t="s">
        <v>445</v>
      </c>
      <c r="F80" t="s">
        <v>446</v>
      </c>
      <c r="G80" t="s">
        <v>123</v>
      </c>
      <c r="H80">
        <v>21401</v>
      </c>
      <c r="I80" t="s">
        <v>30</v>
      </c>
      <c r="J80" t="s">
        <v>41</v>
      </c>
      <c r="K80" t="s">
        <v>447</v>
      </c>
      <c r="Q80">
        <v>0</v>
      </c>
      <c r="R80">
        <v>0</v>
      </c>
      <c r="S80">
        <v>0</v>
      </c>
      <c r="T80" t="s">
        <v>448</v>
      </c>
    </row>
    <row r="81" spans="1:20" customFormat="1" ht="15" x14ac:dyDescent="0.25">
      <c r="A81" t="s">
        <v>35</v>
      </c>
      <c r="B81" t="s">
        <v>61</v>
      </c>
      <c r="C81" t="str">
        <f>"A0193891"</f>
        <v>A0193891</v>
      </c>
      <c r="D81" t="s">
        <v>449</v>
      </c>
      <c r="E81" t="s">
        <v>450</v>
      </c>
      <c r="F81" t="s">
        <v>451</v>
      </c>
      <c r="G81" t="s">
        <v>117</v>
      </c>
      <c r="H81">
        <v>48104</v>
      </c>
      <c r="I81" t="s">
        <v>30</v>
      </c>
      <c r="J81" t="s">
        <v>41</v>
      </c>
      <c r="K81" t="s">
        <v>104</v>
      </c>
      <c r="Q81">
        <v>0</v>
      </c>
      <c r="R81">
        <v>0</v>
      </c>
      <c r="S81">
        <v>0</v>
      </c>
      <c r="T81" t="s">
        <v>452</v>
      </c>
    </row>
    <row r="82" spans="1:20" customFormat="1" ht="15" x14ac:dyDescent="0.25">
      <c r="A82" t="s">
        <v>35</v>
      </c>
      <c r="B82" t="s">
        <v>61</v>
      </c>
      <c r="C82" t="str">
        <f>"A0193890"</f>
        <v>A0193890</v>
      </c>
      <c r="D82" t="s">
        <v>453</v>
      </c>
      <c r="E82" t="s">
        <v>454</v>
      </c>
      <c r="F82" t="s">
        <v>455</v>
      </c>
      <c r="G82" t="s">
        <v>433</v>
      </c>
      <c r="H82">
        <v>83642</v>
      </c>
      <c r="I82" t="s">
        <v>30</v>
      </c>
      <c r="J82" t="s">
        <v>41</v>
      </c>
      <c r="K82" t="s">
        <v>456</v>
      </c>
      <c r="Q82">
        <v>0</v>
      </c>
      <c r="R82">
        <v>0</v>
      </c>
      <c r="S82">
        <v>0</v>
      </c>
      <c r="T82" t="s">
        <v>457</v>
      </c>
    </row>
    <row r="83" spans="1:20" customFormat="1" ht="15" x14ac:dyDescent="0.25">
      <c r="A83" t="s">
        <v>35</v>
      </c>
      <c r="B83" t="s">
        <v>61</v>
      </c>
      <c r="C83" t="str">
        <f>"A0193889"</f>
        <v>A0193889</v>
      </c>
      <c r="D83" t="s">
        <v>458</v>
      </c>
      <c r="E83" t="s">
        <v>459</v>
      </c>
      <c r="F83" t="s">
        <v>460</v>
      </c>
      <c r="G83" t="s">
        <v>65</v>
      </c>
      <c r="H83">
        <v>44485</v>
      </c>
      <c r="I83" t="s">
        <v>30</v>
      </c>
      <c r="J83" t="s">
        <v>41</v>
      </c>
      <c r="K83" t="s">
        <v>461</v>
      </c>
      <c r="Q83">
        <v>0</v>
      </c>
      <c r="R83">
        <v>0</v>
      </c>
      <c r="S83">
        <v>0</v>
      </c>
      <c r="T83" t="s">
        <v>462</v>
      </c>
    </row>
    <row r="84" spans="1:20" customFormat="1" ht="15" x14ac:dyDescent="0.25">
      <c r="A84" t="s">
        <v>35</v>
      </c>
      <c r="B84" t="s">
        <v>61</v>
      </c>
      <c r="C84" t="str">
        <f>"A0193888"</f>
        <v>A0193888</v>
      </c>
      <c r="D84" t="s">
        <v>463</v>
      </c>
      <c r="E84" t="s">
        <v>464</v>
      </c>
      <c r="F84" t="s">
        <v>465</v>
      </c>
      <c r="G84" t="s">
        <v>29</v>
      </c>
      <c r="H84">
        <v>22030</v>
      </c>
      <c r="I84" t="s">
        <v>30</v>
      </c>
      <c r="J84" t="s">
        <v>41</v>
      </c>
      <c r="K84" t="s">
        <v>391</v>
      </c>
      <c r="Q84">
        <v>0</v>
      </c>
      <c r="R84">
        <v>0</v>
      </c>
      <c r="S84">
        <v>0</v>
      </c>
      <c r="T84" t="s">
        <v>466</v>
      </c>
    </row>
    <row r="85" spans="1:20" customFormat="1" ht="15" x14ac:dyDescent="0.25">
      <c r="A85" t="s">
        <v>35</v>
      </c>
      <c r="B85" t="s">
        <v>61</v>
      </c>
      <c r="C85" t="str">
        <f>"A0193887"</f>
        <v>A0193887</v>
      </c>
      <c r="D85" t="s">
        <v>467</v>
      </c>
      <c r="E85" t="s">
        <v>468</v>
      </c>
      <c r="F85" t="s">
        <v>469</v>
      </c>
      <c r="G85" t="s">
        <v>103</v>
      </c>
      <c r="H85">
        <v>18661</v>
      </c>
      <c r="I85" t="s">
        <v>30</v>
      </c>
      <c r="J85" t="s">
        <v>41</v>
      </c>
      <c r="K85" t="s">
        <v>42</v>
      </c>
      <c r="Q85">
        <v>0</v>
      </c>
      <c r="R85">
        <v>0</v>
      </c>
      <c r="S85">
        <v>0</v>
      </c>
      <c r="T85" t="s">
        <v>72</v>
      </c>
    </row>
    <row r="86" spans="1:20" customFormat="1" ht="15" x14ac:dyDescent="0.25">
      <c r="A86" t="s">
        <v>35</v>
      </c>
      <c r="B86" t="s">
        <v>61</v>
      </c>
      <c r="C86" t="str">
        <f>"A0193886"</f>
        <v>A0193886</v>
      </c>
      <c r="D86" t="s">
        <v>470</v>
      </c>
      <c r="E86" t="s">
        <v>471</v>
      </c>
      <c r="F86" t="s">
        <v>472</v>
      </c>
      <c r="G86" t="s">
        <v>214</v>
      </c>
      <c r="H86">
        <v>27167</v>
      </c>
      <c r="I86" t="s">
        <v>30</v>
      </c>
      <c r="J86" t="s">
        <v>41</v>
      </c>
      <c r="K86" t="s">
        <v>59</v>
      </c>
      <c r="Q86">
        <v>0</v>
      </c>
      <c r="R86">
        <v>0</v>
      </c>
      <c r="S86">
        <v>0</v>
      </c>
      <c r="T86" t="s">
        <v>72</v>
      </c>
    </row>
    <row r="87" spans="1:20" customFormat="1" ht="15" x14ac:dyDescent="0.25">
      <c r="A87" t="s">
        <v>35</v>
      </c>
      <c r="B87" t="s">
        <v>119</v>
      </c>
      <c r="C87" t="str">
        <f>"A0193885"</f>
        <v>A0193885</v>
      </c>
      <c r="D87" t="s">
        <v>473</v>
      </c>
      <c r="E87" t="s">
        <v>474</v>
      </c>
      <c r="F87" t="s">
        <v>475</v>
      </c>
      <c r="G87" t="s">
        <v>381</v>
      </c>
      <c r="H87">
        <v>46514</v>
      </c>
      <c r="I87" t="s">
        <v>30</v>
      </c>
      <c r="J87" t="s">
        <v>41</v>
      </c>
      <c r="K87" t="s">
        <v>59</v>
      </c>
      <c r="Q87">
        <v>0</v>
      </c>
      <c r="R87">
        <v>0</v>
      </c>
      <c r="S87">
        <v>200</v>
      </c>
      <c r="T87" t="s">
        <v>72</v>
      </c>
    </row>
    <row r="88" spans="1:20" customFormat="1" ht="15" x14ac:dyDescent="0.25">
      <c r="A88" t="s">
        <v>35</v>
      </c>
      <c r="B88" t="s">
        <v>119</v>
      </c>
      <c r="C88" t="str">
        <f>"A0193884"</f>
        <v>A0193884</v>
      </c>
      <c r="D88" t="s">
        <v>476</v>
      </c>
      <c r="E88" t="s">
        <v>474</v>
      </c>
      <c r="F88" t="s">
        <v>475</v>
      </c>
      <c r="G88" t="s">
        <v>381</v>
      </c>
      <c r="H88">
        <v>46514</v>
      </c>
      <c r="I88" t="s">
        <v>30</v>
      </c>
      <c r="J88" t="s">
        <v>41</v>
      </c>
      <c r="K88" t="s">
        <v>59</v>
      </c>
      <c r="Q88">
        <v>0</v>
      </c>
      <c r="R88">
        <v>0</v>
      </c>
      <c r="S88">
        <v>200</v>
      </c>
      <c r="T88" t="s">
        <v>477</v>
      </c>
    </row>
    <row r="89" spans="1:20" customFormat="1" ht="15" x14ac:dyDescent="0.25">
      <c r="A89" t="s">
        <v>35</v>
      </c>
      <c r="B89" t="s">
        <v>478</v>
      </c>
      <c r="C89" t="str">
        <f>"A0193883"</f>
        <v>A0193883</v>
      </c>
      <c r="D89" t="s">
        <v>479</v>
      </c>
      <c r="E89" t="s">
        <v>480</v>
      </c>
      <c r="F89" t="s">
        <v>481</v>
      </c>
      <c r="G89" t="s">
        <v>338</v>
      </c>
      <c r="H89">
        <v>8204</v>
      </c>
      <c r="I89" t="s">
        <v>30</v>
      </c>
      <c r="J89" t="s">
        <v>41</v>
      </c>
      <c r="K89" t="s">
        <v>482</v>
      </c>
      <c r="Q89">
        <v>0</v>
      </c>
      <c r="R89">
        <v>0</v>
      </c>
      <c r="S89">
        <v>0</v>
      </c>
      <c r="T89" t="s">
        <v>72</v>
      </c>
    </row>
    <row r="90" spans="1:20" customFormat="1" ht="15" x14ac:dyDescent="0.25">
      <c r="A90" t="s">
        <v>35</v>
      </c>
      <c r="B90" t="s">
        <v>478</v>
      </c>
      <c r="C90" t="str">
        <f>"A0193882"</f>
        <v>A0193882</v>
      </c>
      <c r="D90" t="s">
        <v>483</v>
      </c>
      <c r="E90" t="s">
        <v>484</v>
      </c>
      <c r="F90" t="s">
        <v>485</v>
      </c>
      <c r="G90" t="s">
        <v>338</v>
      </c>
      <c r="H90">
        <v>8757</v>
      </c>
      <c r="I90" t="s">
        <v>30</v>
      </c>
      <c r="J90" t="s">
        <v>41</v>
      </c>
      <c r="K90" t="s">
        <v>482</v>
      </c>
      <c r="Q90">
        <v>0</v>
      </c>
      <c r="R90">
        <v>0</v>
      </c>
      <c r="S90">
        <v>0</v>
      </c>
      <c r="T90" t="s">
        <v>72</v>
      </c>
    </row>
    <row r="91" spans="1:20" customFormat="1" ht="15" x14ac:dyDescent="0.25">
      <c r="A91" t="s">
        <v>35</v>
      </c>
      <c r="B91" t="s">
        <v>478</v>
      </c>
      <c r="C91" t="str">
        <f>"A0193881"</f>
        <v>A0193881</v>
      </c>
      <c r="D91" t="s">
        <v>486</v>
      </c>
      <c r="E91" t="s">
        <v>487</v>
      </c>
      <c r="F91" t="s">
        <v>488</v>
      </c>
      <c r="G91" t="s">
        <v>103</v>
      </c>
      <c r="H91">
        <v>19606</v>
      </c>
      <c r="I91" t="s">
        <v>30</v>
      </c>
      <c r="J91" t="s">
        <v>41</v>
      </c>
      <c r="K91" t="s">
        <v>229</v>
      </c>
      <c r="Q91">
        <v>0</v>
      </c>
      <c r="R91">
        <v>0</v>
      </c>
      <c r="S91">
        <v>0</v>
      </c>
      <c r="T91" t="s">
        <v>72</v>
      </c>
    </row>
    <row r="92" spans="1:20" customFormat="1" ht="15" x14ac:dyDescent="0.25">
      <c r="A92" t="s">
        <v>35</v>
      </c>
      <c r="B92" t="s">
        <v>478</v>
      </c>
      <c r="C92" t="str">
        <f>"A0193880"</f>
        <v>A0193880</v>
      </c>
      <c r="D92" t="s">
        <v>489</v>
      </c>
      <c r="E92" t="s">
        <v>490</v>
      </c>
      <c r="F92" t="s">
        <v>491</v>
      </c>
      <c r="G92" t="s">
        <v>103</v>
      </c>
      <c r="H92">
        <v>19031</v>
      </c>
      <c r="I92" t="s">
        <v>30</v>
      </c>
      <c r="J92" t="s">
        <v>41</v>
      </c>
      <c r="K92" t="s">
        <v>229</v>
      </c>
      <c r="Q92">
        <v>0</v>
      </c>
      <c r="R92">
        <v>0</v>
      </c>
      <c r="S92">
        <v>0</v>
      </c>
      <c r="T92" t="s">
        <v>72</v>
      </c>
    </row>
    <row r="93" spans="1:20" customFormat="1" ht="15" x14ac:dyDescent="0.25">
      <c r="A93" t="s">
        <v>35</v>
      </c>
      <c r="B93" t="s">
        <v>478</v>
      </c>
      <c r="C93" t="str">
        <f>"A0193879"</f>
        <v>A0193879</v>
      </c>
      <c r="D93" t="s">
        <v>492</v>
      </c>
      <c r="E93" t="s">
        <v>493</v>
      </c>
      <c r="F93" t="s">
        <v>288</v>
      </c>
      <c r="G93" t="s">
        <v>289</v>
      </c>
      <c r="H93">
        <v>60644</v>
      </c>
      <c r="I93" t="s">
        <v>30</v>
      </c>
      <c r="J93" t="s">
        <v>41</v>
      </c>
      <c r="K93" t="s">
        <v>229</v>
      </c>
      <c r="Q93">
        <v>0</v>
      </c>
      <c r="R93">
        <v>0</v>
      </c>
      <c r="S93">
        <v>0</v>
      </c>
      <c r="T93" t="s">
        <v>72</v>
      </c>
    </row>
    <row r="94" spans="1:20" customFormat="1" ht="15" x14ac:dyDescent="0.25">
      <c r="A94" t="s">
        <v>35</v>
      </c>
      <c r="B94" t="s">
        <v>478</v>
      </c>
      <c r="C94" t="str">
        <f>"A0193878"</f>
        <v>A0193878</v>
      </c>
      <c r="D94" t="s">
        <v>494</v>
      </c>
      <c r="E94" t="s">
        <v>495</v>
      </c>
      <c r="F94" t="s">
        <v>288</v>
      </c>
      <c r="G94" t="s">
        <v>289</v>
      </c>
      <c r="H94">
        <v>60640</v>
      </c>
      <c r="I94" t="s">
        <v>30</v>
      </c>
      <c r="J94" t="s">
        <v>41</v>
      </c>
      <c r="K94" t="s">
        <v>229</v>
      </c>
      <c r="Q94">
        <v>0</v>
      </c>
      <c r="R94">
        <v>0</v>
      </c>
      <c r="S94">
        <v>0</v>
      </c>
      <c r="T94" t="s">
        <v>72</v>
      </c>
    </row>
    <row r="95" spans="1:20" customFormat="1" ht="15" x14ac:dyDescent="0.25">
      <c r="A95" t="s">
        <v>35</v>
      </c>
      <c r="B95" t="s">
        <v>478</v>
      </c>
      <c r="C95" t="str">
        <f>"A0193877"</f>
        <v>A0193877</v>
      </c>
      <c r="D95" t="s">
        <v>496</v>
      </c>
      <c r="E95" t="s">
        <v>497</v>
      </c>
      <c r="F95" t="s">
        <v>498</v>
      </c>
      <c r="G95" t="s">
        <v>71</v>
      </c>
      <c r="H95">
        <v>53934</v>
      </c>
      <c r="I95" t="s">
        <v>30</v>
      </c>
      <c r="J95" t="s">
        <v>41</v>
      </c>
      <c r="K95" t="s">
        <v>229</v>
      </c>
      <c r="Q95">
        <v>0</v>
      </c>
      <c r="R95">
        <v>0</v>
      </c>
      <c r="S95">
        <v>0</v>
      </c>
      <c r="T95" t="s">
        <v>72</v>
      </c>
    </row>
    <row r="96" spans="1:20" customFormat="1" ht="15" x14ac:dyDescent="0.25">
      <c r="A96" t="s">
        <v>35</v>
      </c>
      <c r="B96" t="s">
        <v>478</v>
      </c>
      <c r="C96" t="str">
        <f>"A0193876"</f>
        <v>A0193876</v>
      </c>
      <c r="D96" t="s">
        <v>499</v>
      </c>
      <c r="E96" t="s">
        <v>500</v>
      </c>
      <c r="F96" t="s">
        <v>501</v>
      </c>
      <c r="G96" t="s">
        <v>71</v>
      </c>
      <c r="H96">
        <v>53209</v>
      </c>
      <c r="I96" t="s">
        <v>30</v>
      </c>
      <c r="J96" t="s">
        <v>41</v>
      </c>
      <c r="K96" t="s">
        <v>229</v>
      </c>
      <c r="Q96">
        <v>0</v>
      </c>
      <c r="R96">
        <v>0</v>
      </c>
      <c r="S96">
        <v>0</v>
      </c>
      <c r="T96" t="s">
        <v>72</v>
      </c>
    </row>
    <row r="97" spans="1:20" customFormat="1" ht="15" x14ac:dyDescent="0.25">
      <c r="A97" t="s">
        <v>35</v>
      </c>
      <c r="B97" t="s">
        <v>478</v>
      </c>
      <c r="C97" t="str">
        <f>"A0193875"</f>
        <v>A0193875</v>
      </c>
      <c r="D97" t="s">
        <v>502</v>
      </c>
      <c r="E97" t="s">
        <v>503</v>
      </c>
      <c r="F97" t="s">
        <v>504</v>
      </c>
      <c r="G97" t="s">
        <v>71</v>
      </c>
      <c r="H97">
        <v>53188</v>
      </c>
      <c r="I97" t="s">
        <v>30</v>
      </c>
      <c r="J97" t="s">
        <v>41</v>
      </c>
      <c r="K97" t="s">
        <v>229</v>
      </c>
      <c r="Q97">
        <v>0</v>
      </c>
      <c r="R97">
        <v>0</v>
      </c>
      <c r="S97">
        <v>0</v>
      </c>
      <c r="T97" t="s">
        <v>72</v>
      </c>
    </row>
    <row r="98" spans="1:20" customFormat="1" ht="15" x14ac:dyDescent="0.25">
      <c r="A98" t="s">
        <v>35</v>
      </c>
      <c r="B98" t="s">
        <v>478</v>
      </c>
      <c r="C98" t="str">
        <f>"A0193874"</f>
        <v>A0193874</v>
      </c>
      <c r="D98">
        <v>212222</v>
      </c>
      <c r="E98" t="s">
        <v>505</v>
      </c>
      <c r="F98" t="s">
        <v>506</v>
      </c>
      <c r="G98" t="s">
        <v>507</v>
      </c>
      <c r="H98">
        <v>26719</v>
      </c>
      <c r="I98" t="s">
        <v>30</v>
      </c>
      <c r="J98" t="s">
        <v>41</v>
      </c>
      <c r="K98" t="s">
        <v>229</v>
      </c>
      <c r="Q98">
        <v>0</v>
      </c>
      <c r="R98">
        <v>0</v>
      </c>
      <c r="S98">
        <v>0</v>
      </c>
      <c r="T98" t="s">
        <v>72</v>
      </c>
    </row>
    <row r="99" spans="1:20" customFormat="1" ht="15" x14ac:dyDescent="0.25">
      <c r="A99" t="s">
        <v>35</v>
      </c>
      <c r="B99" t="s">
        <v>478</v>
      </c>
      <c r="C99" t="str">
        <f>"A0193873"</f>
        <v>A0193873</v>
      </c>
      <c r="D99" t="s">
        <v>508</v>
      </c>
      <c r="E99" t="s">
        <v>509</v>
      </c>
      <c r="F99" t="s">
        <v>510</v>
      </c>
      <c r="G99" t="s">
        <v>507</v>
      </c>
      <c r="H99">
        <v>25311</v>
      </c>
      <c r="I99" t="s">
        <v>30</v>
      </c>
      <c r="J99" t="s">
        <v>41</v>
      </c>
      <c r="K99" t="s">
        <v>229</v>
      </c>
      <c r="Q99">
        <v>0</v>
      </c>
      <c r="R99">
        <v>0</v>
      </c>
      <c r="S99">
        <v>0</v>
      </c>
      <c r="T99" t="s">
        <v>72</v>
      </c>
    </row>
    <row r="100" spans="1:20" customFormat="1" ht="15" x14ac:dyDescent="0.25">
      <c r="A100" t="s">
        <v>35</v>
      </c>
      <c r="B100" t="s">
        <v>478</v>
      </c>
      <c r="C100" t="str">
        <f>"A0193872"</f>
        <v>A0193872</v>
      </c>
      <c r="D100" t="s">
        <v>511</v>
      </c>
      <c r="E100" t="s">
        <v>512</v>
      </c>
      <c r="F100" t="s">
        <v>513</v>
      </c>
      <c r="G100" t="s">
        <v>123</v>
      </c>
      <c r="H100">
        <v>21617</v>
      </c>
      <c r="I100" t="s">
        <v>30</v>
      </c>
      <c r="J100" t="s">
        <v>41</v>
      </c>
      <c r="K100" t="s">
        <v>229</v>
      </c>
      <c r="Q100">
        <v>0</v>
      </c>
      <c r="R100">
        <v>0</v>
      </c>
      <c r="S100">
        <v>0</v>
      </c>
      <c r="T100" t="s">
        <v>72</v>
      </c>
    </row>
    <row r="101" spans="1:20" customFormat="1" ht="15" x14ac:dyDescent="0.25">
      <c r="A101" t="s">
        <v>35</v>
      </c>
      <c r="B101" t="s">
        <v>478</v>
      </c>
      <c r="C101" t="str">
        <f>"A0193871"</f>
        <v>A0193871</v>
      </c>
      <c r="D101" t="s">
        <v>514</v>
      </c>
      <c r="E101" t="s">
        <v>515</v>
      </c>
      <c r="F101" t="s">
        <v>516</v>
      </c>
      <c r="G101" t="s">
        <v>123</v>
      </c>
      <c r="H101">
        <v>21222</v>
      </c>
      <c r="I101" t="s">
        <v>30</v>
      </c>
      <c r="J101" t="s">
        <v>41</v>
      </c>
      <c r="K101" t="s">
        <v>229</v>
      </c>
      <c r="Q101">
        <v>0</v>
      </c>
      <c r="R101">
        <v>0</v>
      </c>
      <c r="S101">
        <v>0</v>
      </c>
      <c r="T101" t="s">
        <v>72</v>
      </c>
    </row>
    <row r="102" spans="1:20" customFormat="1" ht="15" x14ac:dyDescent="0.25">
      <c r="A102" t="s">
        <v>35</v>
      </c>
      <c r="B102" t="s">
        <v>478</v>
      </c>
      <c r="C102" t="str">
        <f>"A0193870"</f>
        <v>A0193870</v>
      </c>
      <c r="D102" t="s">
        <v>517</v>
      </c>
      <c r="E102" t="s">
        <v>518</v>
      </c>
      <c r="F102" t="s">
        <v>519</v>
      </c>
      <c r="G102" t="s">
        <v>123</v>
      </c>
      <c r="H102">
        <v>21204</v>
      </c>
      <c r="I102" t="s">
        <v>30</v>
      </c>
      <c r="J102" t="s">
        <v>41</v>
      </c>
      <c r="K102" t="s">
        <v>229</v>
      </c>
      <c r="Q102">
        <v>0</v>
      </c>
      <c r="R102">
        <v>0</v>
      </c>
      <c r="S102">
        <v>0</v>
      </c>
      <c r="T102" t="s">
        <v>72</v>
      </c>
    </row>
    <row r="103" spans="1:20" customFormat="1" ht="15" x14ac:dyDescent="0.25">
      <c r="A103" t="s">
        <v>35</v>
      </c>
      <c r="B103" t="s">
        <v>478</v>
      </c>
      <c r="C103" t="str">
        <f>"A0193869"</f>
        <v>A0193869</v>
      </c>
      <c r="D103" t="s">
        <v>520</v>
      </c>
      <c r="E103" t="s">
        <v>521</v>
      </c>
      <c r="F103" t="s">
        <v>522</v>
      </c>
      <c r="G103" t="s">
        <v>123</v>
      </c>
      <c r="H103">
        <v>21146</v>
      </c>
      <c r="I103" t="s">
        <v>30</v>
      </c>
      <c r="J103" t="s">
        <v>41</v>
      </c>
      <c r="K103" t="s">
        <v>229</v>
      </c>
      <c r="Q103">
        <v>0</v>
      </c>
      <c r="R103">
        <v>0</v>
      </c>
      <c r="S103">
        <v>0</v>
      </c>
      <c r="T103" t="s">
        <v>72</v>
      </c>
    </row>
    <row r="104" spans="1:20" customFormat="1" ht="15" x14ac:dyDescent="0.25">
      <c r="A104" t="s">
        <v>35</v>
      </c>
      <c r="B104" t="s">
        <v>478</v>
      </c>
      <c r="C104" t="str">
        <f>"A0193868"</f>
        <v>A0193868</v>
      </c>
      <c r="D104" t="s">
        <v>523</v>
      </c>
      <c r="E104" t="s">
        <v>524</v>
      </c>
      <c r="F104" t="s">
        <v>525</v>
      </c>
      <c r="G104" t="s">
        <v>123</v>
      </c>
      <c r="H104">
        <v>20646</v>
      </c>
      <c r="I104" t="s">
        <v>30</v>
      </c>
      <c r="J104" t="s">
        <v>41</v>
      </c>
      <c r="K104" t="s">
        <v>229</v>
      </c>
      <c r="Q104">
        <v>0</v>
      </c>
      <c r="R104">
        <v>0</v>
      </c>
      <c r="S104">
        <v>0</v>
      </c>
      <c r="T104" t="s">
        <v>72</v>
      </c>
    </row>
    <row r="105" spans="1:20" customFormat="1" ht="15" x14ac:dyDescent="0.25">
      <c r="A105" t="s">
        <v>35</v>
      </c>
      <c r="B105" t="s">
        <v>478</v>
      </c>
      <c r="C105" t="str">
        <f>"A0193867"</f>
        <v>A0193867</v>
      </c>
      <c r="D105" t="s">
        <v>526</v>
      </c>
      <c r="E105" t="s">
        <v>527</v>
      </c>
      <c r="F105" t="s">
        <v>238</v>
      </c>
      <c r="G105" t="s">
        <v>528</v>
      </c>
      <c r="H105">
        <v>19963</v>
      </c>
      <c r="I105" t="s">
        <v>30</v>
      </c>
      <c r="J105" t="s">
        <v>41</v>
      </c>
      <c r="K105" t="s">
        <v>229</v>
      </c>
      <c r="Q105">
        <v>0</v>
      </c>
      <c r="R105">
        <v>0</v>
      </c>
      <c r="S105">
        <v>0</v>
      </c>
      <c r="T105" t="s">
        <v>72</v>
      </c>
    </row>
    <row r="106" spans="1:20" customFormat="1" ht="15" x14ac:dyDescent="0.25">
      <c r="A106" t="s">
        <v>35</v>
      </c>
      <c r="B106" t="s">
        <v>478</v>
      </c>
      <c r="C106" t="str">
        <f>"A0193866"</f>
        <v>A0193866</v>
      </c>
      <c r="D106" t="s">
        <v>529</v>
      </c>
      <c r="E106" t="s">
        <v>530</v>
      </c>
      <c r="F106" t="s">
        <v>531</v>
      </c>
      <c r="G106" t="s">
        <v>528</v>
      </c>
      <c r="H106">
        <v>19904</v>
      </c>
      <c r="I106" t="s">
        <v>30</v>
      </c>
      <c r="J106" t="s">
        <v>41</v>
      </c>
      <c r="K106" t="s">
        <v>229</v>
      </c>
      <c r="Q106">
        <v>0</v>
      </c>
      <c r="R106">
        <v>0</v>
      </c>
      <c r="S106">
        <v>0</v>
      </c>
      <c r="T106" t="s">
        <v>72</v>
      </c>
    </row>
    <row r="107" spans="1:20" customFormat="1" ht="15" x14ac:dyDescent="0.25">
      <c r="A107" t="s">
        <v>35</v>
      </c>
      <c r="B107" t="s">
        <v>478</v>
      </c>
      <c r="C107" t="str">
        <f>"A0193865"</f>
        <v>A0193865</v>
      </c>
      <c r="D107" t="s">
        <v>532</v>
      </c>
      <c r="E107" t="s">
        <v>533</v>
      </c>
      <c r="F107" t="s">
        <v>534</v>
      </c>
      <c r="G107" t="s">
        <v>528</v>
      </c>
      <c r="H107">
        <v>19805</v>
      </c>
      <c r="I107" t="s">
        <v>30</v>
      </c>
      <c r="J107" t="s">
        <v>41</v>
      </c>
      <c r="K107" t="s">
        <v>229</v>
      </c>
      <c r="Q107">
        <v>0</v>
      </c>
      <c r="R107">
        <v>0</v>
      </c>
      <c r="S107">
        <v>0</v>
      </c>
      <c r="T107" t="s">
        <v>72</v>
      </c>
    </row>
    <row r="108" spans="1:20" customFormat="1" ht="15" x14ac:dyDescent="0.25">
      <c r="A108" t="s">
        <v>35</v>
      </c>
      <c r="B108" t="s">
        <v>478</v>
      </c>
      <c r="C108" t="str">
        <f>"A0193864"</f>
        <v>A0193864</v>
      </c>
      <c r="D108" t="s">
        <v>535</v>
      </c>
      <c r="E108" t="s">
        <v>536</v>
      </c>
      <c r="F108" t="s">
        <v>537</v>
      </c>
      <c r="G108" t="s">
        <v>528</v>
      </c>
      <c r="H108">
        <v>19707</v>
      </c>
      <c r="I108" t="s">
        <v>30</v>
      </c>
      <c r="J108" t="s">
        <v>41</v>
      </c>
      <c r="K108" t="s">
        <v>229</v>
      </c>
      <c r="Q108">
        <v>0</v>
      </c>
      <c r="R108">
        <v>0</v>
      </c>
      <c r="S108">
        <v>0</v>
      </c>
      <c r="T108" t="s">
        <v>72</v>
      </c>
    </row>
    <row r="109" spans="1:20" customFormat="1" ht="15" x14ac:dyDescent="0.25">
      <c r="A109" t="s">
        <v>35</v>
      </c>
      <c r="B109" t="s">
        <v>478</v>
      </c>
      <c r="C109" t="str">
        <f>"A0193863"</f>
        <v>A0193863</v>
      </c>
      <c r="D109" t="s">
        <v>538</v>
      </c>
      <c r="E109" t="s">
        <v>539</v>
      </c>
      <c r="F109" t="s">
        <v>540</v>
      </c>
      <c r="G109" t="s">
        <v>103</v>
      </c>
      <c r="H109">
        <v>18702</v>
      </c>
      <c r="I109" t="s">
        <v>30</v>
      </c>
      <c r="J109" t="s">
        <v>41</v>
      </c>
      <c r="K109" t="s">
        <v>229</v>
      </c>
      <c r="Q109">
        <v>0</v>
      </c>
      <c r="R109">
        <v>0</v>
      </c>
      <c r="S109">
        <v>0</v>
      </c>
      <c r="T109" t="s">
        <v>72</v>
      </c>
    </row>
    <row r="110" spans="1:20" customFormat="1" ht="15" x14ac:dyDescent="0.25">
      <c r="A110" t="s">
        <v>35</v>
      </c>
      <c r="B110" t="s">
        <v>478</v>
      </c>
      <c r="C110" t="str">
        <f>"A0193862"</f>
        <v>A0193862</v>
      </c>
      <c r="D110" t="s">
        <v>541</v>
      </c>
      <c r="E110" t="s">
        <v>542</v>
      </c>
      <c r="F110" t="s">
        <v>543</v>
      </c>
      <c r="G110" t="s">
        <v>103</v>
      </c>
      <c r="H110">
        <v>18062</v>
      </c>
      <c r="I110" t="s">
        <v>30</v>
      </c>
      <c r="J110" t="s">
        <v>41</v>
      </c>
      <c r="K110" t="s">
        <v>229</v>
      </c>
      <c r="Q110">
        <v>0</v>
      </c>
      <c r="R110">
        <v>0</v>
      </c>
      <c r="S110">
        <v>0</v>
      </c>
      <c r="T110" t="s">
        <v>72</v>
      </c>
    </row>
    <row r="111" spans="1:20" customFormat="1" ht="15" x14ac:dyDescent="0.25">
      <c r="A111" t="s">
        <v>35</v>
      </c>
      <c r="B111" t="s">
        <v>478</v>
      </c>
      <c r="C111" t="str">
        <f>"A0193861"</f>
        <v>A0193861</v>
      </c>
      <c r="D111" t="s">
        <v>544</v>
      </c>
      <c r="E111" t="s">
        <v>545</v>
      </c>
      <c r="F111" t="s">
        <v>546</v>
      </c>
      <c r="G111" t="s">
        <v>338</v>
      </c>
      <c r="H111">
        <v>8873</v>
      </c>
      <c r="I111" t="s">
        <v>30</v>
      </c>
      <c r="J111" t="s">
        <v>41</v>
      </c>
      <c r="K111" t="s">
        <v>229</v>
      </c>
      <c r="Q111">
        <v>0</v>
      </c>
      <c r="R111">
        <v>0</v>
      </c>
      <c r="S111">
        <v>0</v>
      </c>
      <c r="T111" t="s">
        <v>72</v>
      </c>
    </row>
    <row r="112" spans="1:20" customFormat="1" ht="15" x14ac:dyDescent="0.25">
      <c r="A112" t="s">
        <v>35</v>
      </c>
      <c r="B112" t="s">
        <v>478</v>
      </c>
      <c r="C112" t="str">
        <f>"A0193860"</f>
        <v>A0193860</v>
      </c>
      <c r="D112" t="s">
        <v>547</v>
      </c>
      <c r="E112" t="s">
        <v>548</v>
      </c>
      <c r="F112" t="s">
        <v>549</v>
      </c>
      <c r="G112" t="s">
        <v>338</v>
      </c>
      <c r="H112">
        <v>8865</v>
      </c>
      <c r="I112" t="s">
        <v>30</v>
      </c>
      <c r="J112" t="s">
        <v>41</v>
      </c>
      <c r="K112" t="s">
        <v>229</v>
      </c>
      <c r="Q112">
        <v>0</v>
      </c>
      <c r="R112">
        <v>0</v>
      </c>
      <c r="S112">
        <v>0</v>
      </c>
      <c r="T112" t="s">
        <v>72</v>
      </c>
    </row>
    <row r="113" spans="1:20" customFormat="1" ht="15" x14ac:dyDescent="0.25">
      <c r="A113" t="s">
        <v>35</v>
      </c>
      <c r="B113" t="s">
        <v>478</v>
      </c>
      <c r="C113" t="str">
        <f>"A0193859"</f>
        <v>A0193859</v>
      </c>
      <c r="D113" t="s">
        <v>550</v>
      </c>
      <c r="E113" t="s">
        <v>551</v>
      </c>
      <c r="F113" t="s">
        <v>549</v>
      </c>
      <c r="G113" t="s">
        <v>338</v>
      </c>
      <c r="H113">
        <v>8865</v>
      </c>
      <c r="I113" t="s">
        <v>30</v>
      </c>
      <c r="J113" t="s">
        <v>41</v>
      </c>
      <c r="K113" t="s">
        <v>229</v>
      </c>
      <c r="Q113">
        <v>0</v>
      </c>
      <c r="R113">
        <v>0</v>
      </c>
      <c r="S113">
        <v>0</v>
      </c>
      <c r="T113" t="s">
        <v>72</v>
      </c>
    </row>
    <row r="114" spans="1:20" customFormat="1" ht="15" x14ac:dyDescent="0.25">
      <c r="A114" t="s">
        <v>35</v>
      </c>
      <c r="B114" t="s">
        <v>478</v>
      </c>
      <c r="C114" t="str">
        <f>"A0193858"</f>
        <v>A0193858</v>
      </c>
      <c r="D114" t="s">
        <v>552</v>
      </c>
      <c r="E114" t="s">
        <v>553</v>
      </c>
      <c r="F114" t="s">
        <v>554</v>
      </c>
      <c r="G114" t="s">
        <v>338</v>
      </c>
      <c r="H114">
        <v>8857</v>
      </c>
      <c r="I114" t="s">
        <v>30</v>
      </c>
      <c r="J114" t="s">
        <v>41</v>
      </c>
      <c r="K114" t="s">
        <v>229</v>
      </c>
      <c r="Q114">
        <v>0</v>
      </c>
      <c r="R114">
        <v>0</v>
      </c>
      <c r="S114">
        <v>0</v>
      </c>
      <c r="T114" t="s">
        <v>72</v>
      </c>
    </row>
    <row r="115" spans="1:20" customFormat="1" ht="15" x14ac:dyDescent="0.25">
      <c r="A115" t="s">
        <v>35</v>
      </c>
      <c r="B115" t="s">
        <v>478</v>
      </c>
      <c r="C115" t="str">
        <f>"A0193857"</f>
        <v>A0193857</v>
      </c>
      <c r="D115" t="s">
        <v>555</v>
      </c>
      <c r="E115" t="s">
        <v>556</v>
      </c>
      <c r="F115" t="s">
        <v>557</v>
      </c>
      <c r="G115" t="s">
        <v>338</v>
      </c>
      <c r="H115">
        <v>8852</v>
      </c>
      <c r="I115" t="s">
        <v>30</v>
      </c>
      <c r="J115" t="s">
        <v>41</v>
      </c>
      <c r="K115" t="s">
        <v>229</v>
      </c>
      <c r="Q115">
        <v>0</v>
      </c>
      <c r="R115">
        <v>0</v>
      </c>
      <c r="S115">
        <v>0</v>
      </c>
      <c r="T115" t="s">
        <v>72</v>
      </c>
    </row>
    <row r="116" spans="1:20" customFormat="1" ht="15" x14ac:dyDescent="0.25">
      <c r="A116" t="s">
        <v>35</v>
      </c>
      <c r="B116" t="s">
        <v>478</v>
      </c>
      <c r="C116" t="str">
        <f>"A0193856"</f>
        <v>A0193856</v>
      </c>
      <c r="D116" t="s">
        <v>558</v>
      </c>
      <c r="E116" t="s">
        <v>559</v>
      </c>
      <c r="F116" t="s">
        <v>560</v>
      </c>
      <c r="G116" t="s">
        <v>338</v>
      </c>
      <c r="H116">
        <v>8837</v>
      </c>
      <c r="I116" t="s">
        <v>30</v>
      </c>
      <c r="J116" t="s">
        <v>41</v>
      </c>
      <c r="K116" t="s">
        <v>229</v>
      </c>
      <c r="Q116">
        <v>0</v>
      </c>
      <c r="R116">
        <v>0</v>
      </c>
      <c r="S116">
        <v>0</v>
      </c>
      <c r="T116" t="s">
        <v>72</v>
      </c>
    </row>
    <row r="117" spans="1:20" customFormat="1" ht="15" x14ac:dyDescent="0.25">
      <c r="A117" t="s">
        <v>35</v>
      </c>
      <c r="B117" t="s">
        <v>478</v>
      </c>
      <c r="C117" t="str">
        <f>"A0193855"</f>
        <v>A0193855</v>
      </c>
      <c r="D117" t="s">
        <v>561</v>
      </c>
      <c r="E117" t="s">
        <v>562</v>
      </c>
      <c r="F117" t="s">
        <v>563</v>
      </c>
      <c r="G117" t="s">
        <v>338</v>
      </c>
      <c r="H117">
        <v>8807</v>
      </c>
      <c r="I117" t="s">
        <v>30</v>
      </c>
      <c r="J117" t="s">
        <v>41</v>
      </c>
      <c r="K117" t="s">
        <v>229</v>
      </c>
      <c r="Q117">
        <v>0</v>
      </c>
      <c r="R117">
        <v>0</v>
      </c>
      <c r="S117">
        <v>0</v>
      </c>
      <c r="T117" t="s">
        <v>72</v>
      </c>
    </row>
    <row r="118" spans="1:20" customFormat="1" ht="15" x14ac:dyDescent="0.25">
      <c r="A118" t="s">
        <v>35</v>
      </c>
      <c r="B118" t="s">
        <v>478</v>
      </c>
      <c r="C118" t="str">
        <f>"A0193854"</f>
        <v>A0193854</v>
      </c>
      <c r="D118" t="s">
        <v>564</v>
      </c>
      <c r="E118" t="s">
        <v>565</v>
      </c>
      <c r="F118" t="s">
        <v>566</v>
      </c>
      <c r="G118" t="s">
        <v>338</v>
      </c>
      <c r="H118">
        <v>8759</v>
      </c>
      <c r="I118" t="s">
        <v>30</v>
      </c>
      <c r="J118" t="s">
        <v>41</v>
      </c>
      <c r="K118" t="s">
        <v>229</v>
      </c>
      <c r="Q118">
        <v>0</v>
      </c>
      <c r="R118">
        <v>0</v>
      </c>
      <c r="S118">
        <v>0</v>
      </c>
      <c r="T118" t="s">
        <v>72</v>
      </c>
    </row>
    <row r="119" spans="1:20" customFormat="1" ht="15" x14ac:dyDescent="0.25">
      <c r="A119" t="s">
        <v>35</v>
      </c>
      <c r="B119" t="s">
        <v>478</v>
      </c>
      <c r="C119" t="str">
        <f>"A0193853"</f>
        <v>A0193853</v>
      </c>
      <c r="D119" t="s">
        <v>567</v>
      </c>
      <c r="E119" t="s">
        <v>568</v>
      </c>
      <c r="F119" t="s">
        <v>485</v>
      </c>
      <c r="G119" t="s">
        <v>338</v>
      </c>
      <c r="H119">
        <v>8757</v>
      </c>
      <c r="I119" t="s">
        <v>30</v>
      </c>
      <c r="J119" t="s">
        <v>41</v>
      </c>
      <c r="K119" t="s">
        <v>229</v>
      </c>
      <c r="Q119">
        <v>0</v>
      </c>
      <c r="R119">
        <v>0</v>
      </c>
      <c r="S119">
        <v>0</v>
      </c>
      <c r="T119" t="s">
        <v>72</v>
      </c>
    </row>
    <row r="120" spans="1:20" customFormat="1" ht="15" x14ac:dyDescent="0.25">
      <c r="A120" t="s">
        <v>35</v>
      </c>
      <c r="B120" t="s">
        <v>478</v>
      </c>
      <c r="C120" t="str">
        <f>"A0193852"</f>
        <v>A0193852</v>
      </c>
      <c r="D120" t="s">
        <v>569</v>
      </c>
      <c r="E120" t="s">
        <v>570</v>
      </c>
      <c r="F120" t="s">
        <v>485</v>
      </c>
      <c r="G120" t="s">
        <v>338</v>
      </c>
      <c r="H120">
        <v>8757</v>
      </c>
      <c r="I120" t="s">
        <v>30</v>
      </c>
      <c r="J120" t="s">
        <v>41</v>
      </c>
      <c r="K120" t="s">
        <v>229</v>
      </c>
      <c r="Q120">
        <v>0</v>
      </c>
      <c r="R120">
        <v>0</v>
      </c>
      <c r="S120">
        <v>0</v>
      </c>
      <c r="T120" t="s">
        <v>72</v>
      </c>
    </row>
    <row r="121" spans="1:20" customFormat="1" ht="15" x14ac:dyDescent="0.25">
      <c r="A121" t="s">
        <v>35</v>
      </c>
      <c r="B121" t="s">
        <v>478</v>
      </c>
      <c r="C121" t="str">
        <f>"A0193851"</f>
        <v>A0193851</v>
      </c>
      <c r="D121" t="s">
        <v>571</v>
      </c>
      <c r="E121" t="s">
        <v>572</v>
      </c>
      <c r="F121" t="s">
        <v>485</v>
      </c>
      <c r="G121" t="s">
        <v>338</v>
      </c>
      <c r="H121">
        <v>8755</v>
      </c>
      <c r="I121" t="s">
        <v>30</v>
      </c>
      <c r="J121" t="s">
        <v>41</v>
      </c>
      <c r="K121" t="s">
        <v>229</v>
      </c>
      <c r="Q121">
        <v>0</v>
      </c>
      <c r="R121">
        <v>0</v>
      </c>
      <c r="S121">
        <v>0</v>
      </c>
      <c r="T121" t="s">
        <v>72</v>
      </c>
    </row>
    <row r="122" spans="1:20" customFormat="1" ht="15" x14ac:dyDescent="0.25">
      <c r="A122" t="s">
        <v>35</v>
      </c>
      <c r="B122" t="s">
        <v>478</v>
      </c>
      <c r="C122" t="str">
        <f>"A0193850"</f>
        <v>A0193850</v>
      </c>
      <c r="D122" t="s">
        <v>573</v>
      </c>
      <c r="E122" t="s">
        <v>574</v>
      </c>
      <c r="F122" t="s">
        <v>485</v>
      </c>
      <c r="G122" t="s">
        <v>338</v>
      </c>
      <c r="H122">
        <v>9753</v>
      </c>
      <c r="I122" t="s">
        <v>30</v>
      </c>
      <c r="J122" t="s">
        <v>41</v>
      </c>
      <c r="K122" t="s">
        <v>229</v>
      </c>
      <c r="Q122">
        <v>0</v>
      </c>
      <c r="R122">
        <v>0</v>
      </c>
      <c r="S122">
        <v>0</v>
      </c>
      <c r="T122" t="s">
        <v>72</v>
      </c>
    </row>
    <row r="123" spans="1:20" customFormat="1" ht="15" x14ac:dyDescent="0.25">
      <c r="A123" t="s">
        <v>35</v>
      </c>
      <c r="B123" t="s">
        <v>478</v>
      </c>
      <c r="C123" t="str">
        <f>"A0193849"</f>
        <v>A0193849</v>
      </c>
      <c r="D123" t="s">
        <v>575</v>
      </c>
      <c r="E123" t="s">
        <v>576</v>
      </c>
      <c r="F123" t="s">
        <v>577</v>
      </c>
      <c r="G123" t="s">
        <v>338</v>
      </c>
      <c r="H123">
        <v>8724</v>
      </c>
      <c r="I123" t="s">
        <v>30</v>
      </c>
      <c r="J123" t="s">
        <v>41</v>
      </c>
      <c r="K123" t="s">
        <v>229</v>
      </c>
      <c r="Q123">
        <v>0</v>
      </c>
      <c r="R123">
        <v>0</v>
      </c>
      <c r="S123">
        <v>0</v>
      </c>
      <c r="T123" t="s">
        <v>72</v>
      </c>
    </row>
    <row r="124" spans="1:20" customFormat="1" ht="15" x14ac:dyDescent="0.25">
      <c r="A124" t="s">
        <v>35</v>
      </c>
      <c r="B124" t="s">
        <v>478</v>
      </c>
      <c r="C124" t="str">
        <f>"A0193848"</f>
        <v>A0193848</v>
      </c>
      <c r="D124" t="s">
        <v>578</v>
      </c>
      <c r="E124" t="s">
        <v>579</v>
      </c>
      <c r="F124" t="s">
        <v>580</v>
      </c>
      <c r="G124" t="s">
        <v>338</v>
      </c>
      <c r="H124">
        <v>8723</v>
      </c>
      <c r="I124" t="s">
        <v>30</v>
      </c>
      <c r="J124" t="s">
        <v>41</v>
      </c>
      <c r="K124" t="s">
        <v>229</v>
      </c>
      <c r="Q124">
        <v>0</v>
      </c>
      <c r="R124">
        <v>0</v>
      </c>
      <c r="S124">
        <v>0</v>
      </c>
      <c r="T124" t="s">
        <v>72</v>
      </c>
    </row>
    <row r="125" spans="1:20" customFormat="1" ht="15" x14ac:dyDescent="0.25">
      <c r="A125" t="s">
        <v>35</v>
      </c>
      <c r="B125" t="s">
        <v>478</v>
      </c>
      <c r="C125" t="str">
        <f>"A0193847"</f>
        <v>A0193847</v>
      </c>
      <c r="D125" t="s">
        <v>581</v>
      </c>
      <c r="E125" t="s">
        <v>582</v>
      </c>
      <c r="F125" t="s">
        <v>583</v>
      </c>
      <c r="G125" t="s">
        <v>338</v>
      </c>
      <c r="H125">
        <v>8619</v>
      </c>
      <c r="I125" t="s">
        <v>30</v>
      </c>
      <c r="J125" t="s">
        <v>41</v>
      </c>
      <c r="K125" t="s">
        <v>229</v>
      </c>
      <c r="Q125">
        <v>0</v>
      </c>
      <c r="R125">
        <v>0</v>
      </c>
      <c r="S125">
        <v>0</v>
      </c>
      <c r="T125" t="s">
        <v>72</v>
      </c>
    </row>
    <row r="126" spans="1:20" customFormat="1" ht="15" x14ac:dyDescent="0.25">
      <c r="A126" t="s">
        <v>35</v>
      </c>
      <c r="B126" t="s">
        <v>478</v>
      </c>
      <c r="C126" t="str">
        <f>"A0193846"</f>
        <v>A0193846</v>
      </c>
      <c r="D126" t="s">
        <v>584</v>
      </c>
      <c r="E126" t="s">
        <v>585</v>
      </c>
      <c r="F126" t="s">
        <v>586</v>
      </c>
      <c r="G126" t="s">
        <v>338</v>
      </c>
      <c r="H126">
        <v>8221</v>
      </c>
      <c r="I126" t="s">
        <v>30</v>
      </c>
      <c r="J126" t="s">
        <v>41</v>
      </c>
      <c r="K126" t="s">
        <v>229</v>
      </c>
      <c r="Q126">
        <v>0</v>
      </c>
      <c r="R126">
        <v>0</v>
      </c>
      <c r="S126">
        <v>0</v>
      </c>
      <c r="T126" t="s">
        <v>72</v>
      </c>
    </row>
    <row r="127" spans="1:20" customFormat="1" ht="15" x14ac:dyDescent="0.25">
      <c r="A127" t="s">
        <v>35</v>
      </c>
      <c r="B127" t="s">
        <v>478</v>
      </c>
      <c r="C127" t="str">
        <f>"A0193845"</f>
        <v>A0193845</v>
      </c>
      <c r="D127" t="s">
        <v>587</v>
      </c>
      <c r="E127" t="s">
        <v>588</v>
      </c>
      <c r="F127" t="s">
        <v>589</v>
      </c>
      <c r="G127" t="s">
        <v>338</v>
      </c>
      <c r="H127">
        <v>8210</v>
      </c>
      <c r="I127" t="s">
        <v>30</v>
      </c>
      <c r="J127" t="s">
        <v>41</v>
      </c>
      <c r="K127" t="s">
        <v>229</v>
      </c>
      <c r="Q127">
        <v>0</v>
      </c>
      <c r="R127">
        <v>0</v>
      </c>
      <c r="S127">
        <v>0</v>
      </c>
      <c r="T127" t="s">
        <v>72</v>
      </c>
    </row>
    <row r="128" spans="1:20" customFormat="1" ht="15" x14ac:dyDescent="0.25">
      <c r="A128" t="s">
        <v>35</v>
      </c>
      <c r="B128" t="s">
        <v>478</v>
      </c>
      <c r="C128" t="str">
        <f>"A0193844"</f>
        <v>A0193844</v>
      </c>
      <c r="D128" t="s">
        <v>590</v>
      </c>
      <c r="E128" t="s">
        <v>591</v>
      </c>
      <c r="F128" t="s">
        <v>592</v>
      </c>
      <c r="G128" t="s">
        <v>338</v>
      </c>
      <c r="H128">
        <v>7514</v>
      </c>
      <c r="I128" t="s">
        <v>30</v>
      </c>
      <c r="J128" t="s">
        <v>41</v>
      </c>
      <c r="K128" t="s">
        <v>229</v>
      </c>
      <c r="Q128">
        <v>0</v>
      </c>
      <c r="R128">
        <v>0</v>
      </c>
      <c r="S128">
        <v>0</v>
      </c>
      <c r="T128" t="s">
        <v>72</v>
      </c>
    </row>
    <row r="129" spans="1:20" customFormat="1" ht="15" x14ac:dyDescent="0.25">
      <c r="A129" t="s">
        <v>35</v>
      </c>
      <c r="B129" t="s">
        <v>478</v>
      </c>
      <c r="C129" t="str">
        <f>"A0193843"</f>
        <v>A0193843</v>
      </c>
      <c r="D129" t="s">
        <v>593</v>
      </c>
      <c r="E129" t="s">
        <v>594</v>
      </c>
      <c r="F129" t="s">
        <v>595</v>
      </c>
      <c r="G129" t="s">
        <v>338</v>
      </c>
      <c r="H129">
        <v>7090</v>
      </c>
      <c r="I129" t="s">
        <v>30</v>
      </c>
      <c r="J129" t="s">
        <v>41</v>
      </c>
      <c r="K129" t="s">
        <v>229</v>
      </c>
      <c r="Q129">
        <v>0</v>
      </c>
      <c r="R129">
        <v>0</v>
      </c>
      <c r="S129">
        <v>0</v>
      </c>
      <c r="T129" t="s">
        <v>72</v>
      </c>
    </row>
    <row r="130" spans="1:20" customFormat="1" ht="15" x14ac:dyDescent="0.25">
      <c r="A130" t="s">
        <v>35</v>
      </c>
      <c r="B130" t="s">
        <v>478</v>
      </c>
      <c r="C130" t="str">
        <f>"A0193842"</f>
        <v>A0193842</v>
      </c>
      <c r="D130" t="s">
        <v>596</v>
      </c>
      <c r="E130" t="s">
        <v>597</v>
      </c>
      <c r="F130" t="s">
        <v>598</v>
      </c>
      <c r="G130" t="s">
        <v>338</v>
      </c>
      <c r="H130">
        <v>7055</v>
      </c>
      <c r="I130" t="s">
        <v>30</v>
      </c>
      <c r="J130" t="s">
        <v>41</v>
      </c>
      <c r="K130" t="s">
        <v>229</v>
      </c>
      <c r="Q130">
        <v>0</v>
      </c>
      <c r="R130">
        <v>0</v>
      </c>
      <c r="S130">
        <v>0</v>
      </c>
      <c r="T130" t="s">
        <v>72</v>
      </c>
    </row>
    <row r="131" spans="1:20" customFormat="1" ht="15" x14ac:dyDescent="0.25">
      <c r="A131" t="s">
        <v>35</v>
      </c>
      <c r="B131" t="s">
        <v>478</v>
      </c>
      <c r="C131" t="str">
        <f>"A0193841"</f>
        <v>A0193841</v>
      </c>
      <c r="D131" t="s">
        <v>599</v>
      </c>
      <c r="E131" t="s">
        <v>600</v>
      </c>
      <c r="F131" t="s">
        <v>601</v>
      </c>
      <c r="G131" t="s">
        <v>338</v>
      </c>
      <c r="H131">
        <v>7055</v>
      </c>
      <c r="I131" t="s">
        <v>30</v>
      </c>
      <c r="J131" t="s">
        <v>41</v>
      </c>
      <c r="K131" t="s">
        <v>229</v>
      </c>
      <c r="Q131">
        <v>0</v>
      </c>
      <c r="R131">
        <v>0</v>
      </c>
      <c r="S131">
        <v>0</v>
      </c>
      <c r="T131" t="s">
        <v>72</v>
      </c>
    </row>
    <row r="132" spans="1:20" customFormat="1" ht="15" x14ac:dyDescent="0.25">
      <c r="A132" t="s">
        <v>35</v>
      </c>
      <c r="B132" t="s">
        <v>478</v>
      </c>
      <c r="C132" t="str">
        <f>"A0193840"</f>
        <v>A0193840</v>
      </c>
      <c r="D132" t="s">
        <v>602</v>
      </c>
      <c r="E132" t="s">
        <v>603</v>
      </c>
      <c r="F132" t="s">
        <v>601</v>
      </c>
      <c r="G132" t="s">
        <v>338</v>
      </c>
      <c r="H132">
        <v>7055</v>
      </c>
      <c r="I132" t="s">
        <v>30</v>
      </c>
      <c r="J132" t="s">
        <v>41</v>
      </c>
      <c r="K132" t="s">
        <v>229</v>
      </c>
      <c r="Q132">
        <v>0</v>
      </c>
      <c r="R132">
        <v>0</v>
      </c>
      <c r="S132">
        <v>0</v>
      </c>
      <c r="T132" t="s">
        <v>72</v>
      </c>
    </row>
    <row r="133" spans="1:20" customFormat="1" ht="15" x14ac:dyDescent="0.25">
      <c r="A133" t="s">
        <v>35</v>
      </c>
      <c r="B133" t="s">
        <v>478</v>
      </c>
      <c r="C133" t="str">
        <f>"A0193839"</f>
        <v>A0193839</v>
      </c>
      <c r="D133" t="s">
        <v>604</v>
      </c>
      <c r="E133" t="s">
        <v>605</v>
      </c>
      <c r="F133" t="s">
        <v>601</v>
      </c>
      <c r="G133" t="s">
        <v>338</v>
      </c>
      <c r="H133">
        <v>7055</v>
      </c>
      <c r="I133" t="s">
        <v>30</v>
      </c>
      <c r="J133" t="s">
        <v>41</v>
      </c>
      <c r="K133" t="s">
        <v>229</v>
      </c>
      <c r="Q133">
        <v>0</v>
      </c>
      <c r="R133">
        <v>0</v>
      </c>
      <c r="S133">
        <v>0</v>
      </c>
      <c r="T133" t="s">
        <v>72</v>
      </c>
    </row>
    <row r="134" spans="1:20" customFormat="1" ht="15" x14ac:dyDescent="0.25">
      <c r="A134" t="s">
        <v>35</v>
      </c>
      <c r="B134" t="s">
        <v>478</v>
      </c>
      <c r="C134" t="str">
        <f>"A0193838"</f>
        <v>A0193838</v>
      </c>
      <c r="D134" t="s">
        <v>606</v>
      </c>
      <c r="E134" t="s">
        <v>607</v>
      </c>
      <c r="F134" t="s">
        <v>608</v>
      </c>
      <c r="G134" t="s">
        <v>338</v>
      </c>
      <c r="H134">
        <v>8017</v>
      </c>
      <c r="I134" t="s">
        <v>30</v>
      </c>
      <c r="J134" t="s">
        <v>41</v>
      </c>
      <c r="K134" t="s">
        <v>229</v>
      </c>
      <c r="Q134">
        <v>0</v>
      </c>
      <c r="R134">
        <v>0</v>
      </c>
      <c r="S134">
        <v>0</v>
      </c>
      <c r="T134" t="s">
        <v>72</v>
      </c>
    </row>
    <row r="135" spans="1:20" customFormat="1" ht="15" x14ac:dyDescent="0.25">
      <c r="A135" t="s">
        <v>35</v>
      </c>
      <c r="B135" t="s">
        <v>478</v>
      </c>
      <c r="C135" t="str">
        <f>"A0193837"</f>
        <v>A0193837</v>
      </c>
      <c r="D135" t="s">
        <v>609</v>
      </c>
      <c r="E135" t="s">
        <v>610</v>
      </c>
      <c r="F135" t="s">
        <v>611</v>
      </c>
      <c r="G135" t="s">
        <v>338</v>
      </c>
      <c r="H135">
        <v>7009</v>
      </c>
      <c r="I135" t="s">
        <v>30</v>
      </c>
      <c r="J135" t="s">
        <v>41</v>
      </c>
      <c r="K135" t="s">
        <v>229</v>
      </c>
      <c r="Q135">
        <v>0</v>
      </c>
      <c r="R135">
        <v>0</v>
      </c>
      <c r="S135">
        <v>0</v>
      </c>
      <c r="T135" t="s">
        <v>72</v>
      </c>
    </row>
    <row r="136" spans="1:20" customFormat="1" ht="15" x14ac:dyDescent="0.25">
      <c r="A136" t="s">
        <v>35</v>
      </c>
      <c r="B136" t="s">
        <v>478</v>
      </c>
      <c r="C136" t="str">
        <f>"A0193836"</f>
        <v>A0193836</v>
      </c>
      <c r="D136" t="s">
        <v>612</v>
      </c>
      <c r="E136" t="s">
        <v>613</v>
      </c>
      <c r="F136" t="s">
        <v>614</v>
      </c>
      <c r="G136" t="s">
        <v>615</v>
      </c>
      <c r="H136">
        <v>6770</v>
      </c>
      <c r="I136" t="s">
        <v>30</v>
      </c>
      <c r="J136" t="s">
        <v>41</v>
      </c>
      <c r="K136" t="s">
        <v>229</v>
      </c>
      <c r="Q136">
        <v>0</v>
      </c>
      <c r="R136">
        <v>0</v>
      </c>
      <c r="S136">
        <v>0</v>
      </c>
      <c r="T136" t="s">
        <v>72</v>
      </c>
    </row>
    <row r="137" spans="1:20" customFormat="1" ht="15" x14ac:dyDescent="0.25">
      <c r="A137" t="s">
        <v>35</v>
      </c>
      <c r="B137" t="s">
        <v>478</v>
      </c>
      <c r="C137" t="str">
        <f>"A0193835"</f>
        <v>A0193835</v>
      </c>
      <c r="D137" t="s">
        <v>616</v>
      </c>
      <c r="E137" t="s">
        <v>617</v>
      </c>
      <c r="F137" t="s">
        <v>618</v>
      </c>
      <c r="G137" t="s">
        <v>615</v>
      </c>
      <c r="H137">
        <v>6540</v>
      </c>
      <c r="I137" t="s">
        <v>30</v>
      </c>
      <c r="J137" t="s">
        <v>41</v>
      </c>
      <c r="K137" t="s">
        <v>229</v>
      </c>
      <c r="Q137">
        <v>0</v>
      </c>
      <c r="R137">
        <v>0</v>
      </c>
      <c r="S137">
        <v>0</v>
      </c>
      <c r="T137" t="s">
        <v>72</v>
      </c>
    </row>
    <row r="138" spans="1:20" customFormat="1" ht="15" x14ac:dyDescent="0.25">
      <c r="A138" t="s">
        <v>35</v>
      </c>
      <c r="B138" t="s">
        <v>478</v>
      </c>
      <c r="C138" t="str">
        <f>"A0193834"</f>
        <v>A0193834</v>
      </c>
      <c r="D138" t="s">
        <v>619</v>
      </c>
      <c r="E138" t="s">
        <v>620</v>
      </c>
      <c r="F138" t="s">
        <v>621</v>
      </c>
      <c r="G138" t="s">
        <v>615</v>
      </c>
      <c r="H138">
        <v>6415</v>
      </c>
      <c r="I138" t="s">
        <v>30</v>
      </c>
      <c r="J138" t="s">
        <v>41</v>
      </c>
      <c r="K138" t="s">
        <v>229</v>
      </c>
      <c r="Q138">
        <v>0</v>
      </c>
      <c r="R138">
        <v>0</v>
      </c>
      <c r="S138">
        <v>0</v>
      </c>
      <c r="T138" t="s">
        <v>72</v>
      </c>
    </row>
    <row r="139" spans="1:20" customFormat="1" ht="15" x14ac:dyDescent="0.25">
      <c r="A139" t="s">
        <v>35</v>
      </c>
      <c r="B139" t="s">
        <v>478</v>
      </c>
      <c r="C139" t="str">
        <f>"A0193833"</f>
        <v>A0193833</v>
      </c>
      <c r="D139" t="s">
        <v>622</v>
      </c>
      <c r="E139" t="s">
        <v>623</v>
      </c>
      <c r="F139" t="s">
        <v>624</v>
      </c>
      <c r="G139" t="s">
        <v>615</v>
      </c>
      <c r="H139">
        <v>6340</v>
      </c>
      <c r="I139" t="s">
        <v>30</v>
      </c>
      <c r="J139" t="s">
        <v>41</v>
      </c>
      <c r="K139" t="s">
        <v>229</v>
      </c>
      <c r="Q139">
        <v>0</v>
      </c>
      <c r="R139">
        <v>0</v>
      </c>
      <c r="S139">
        <v>0</v>
      </c>
      <c r="T139" t="s">
        <v>72</v>
      </c>
    </row>
    <row r="140" spans="1:20" customFormat="1" ht="15" x14ac:dyDescent="0.25">
      <c r="A140" t="s">
        <v>35</v>
      </c>
      <c r="B140" t="s">
        <v>478</v>
      </c>
      <c r="C140" t="str">
        <f>"A0193832"</f>
        <v>A0193832</v>
      </c>
      <c r="D140" t="s">
        <v>625</v>
      </c>
      <c r="E140" t="s">
        <v>626</v>
      </c>
      <c r="F140" t="s">
        <v>627</v>
      </c>
      <c r="G140" t="s">
        <v>338</v>
      </c>
      <c r="H140">
        <v>8043</v>
      </c>
      <c r="I140" t="s">
        <v>30</v>
      </c>
      <c r="J140" t="s">
        <v>41</v>
      </c>
      <c r="K140" t="s">
        <v>229</v>
      </c>
      <c r="Q140">
        <v>0</v>
      </c>
      <c r="R140">
        <v>0</v>
      </c>
      <c r="S140">
        <v>0</v>
      </c>
      <c r="T140" t="s">
        <v>72</v>
      </c>
    </row>
    <row r="141" spans="1:20" customFormat="1" ht="15" x14ac:dyDescent="0.25">
      <c r="A141" t="s">
        <v>35</v>
      </c>
      <c r="B141" t="s">
        <v>478</v>
      </c>
      <c r="C141" t="str">
        <f>"A0193831"</f>
        <v>A0193831</v>
      </c>
      <c r="D141" t="s">
        <v>628</v>
      </c>
      <c r="E141" t="s">
        <v>629</v>
      </c>
      <c r="F141" t="s">
        <v>627</v>
      </c>
      <c r="G141" t="s">
        <v>338</v>
      </c>
      <c r="H141">
        <v>8043</v>
      </c>
      <c r="I141" t="s">
        <v>30</v>
      </c>
      <c r="J141" t="s">
        <v>41</v>
      </c>
      <c r="K141" t="s">
        <v>229</v>
      </c>
      <c r="Q141">
        <v>0</v>
      </c>
      <c r="R141">
        <v>0</v>
      </c>
      <c r="S141">
        <v>0</v>
      </c>
      <c r="T141" t="s">
        <v>72</v>
      </c>
    </row>
    <row r="142" spans="1:20" customFormat="1" ht="15" x14ac:dyDescent="0.25">
      <c r="A142" t="s">
        <v>35</v>
      </c>
      <c r="B142" t="s">
        <v>478</v>
      </c>
      <c r="C142" t="str">
        <f>"A0193830"</f>
        <v>A0193830</v>
      </c>
      <c r="D142" t="s">
        <v>630</v>
      </c>
      <c r="E142" t="s">
        <v>631</v>
      </c>
      <c r="F142" t="s">
        <v>632</v>
      </c>
      <c r="G142" t="s">
        <v>338</v>
      </c>
      <c r="H142">
        <v>8016</v>
      </c>
      <c r="I142" t="s">
        <v>30</v>
      </c>
      <c r="J142" t="s">
        <v>41</v>
      </c>
      <c r="K142" t="s">
        <v>229</v>
      </c>
      <c r="Q142">
        <v>0</v>
      </c>
      <c r="R142">
        <v>0</v>
      </c>
      <c r="S142">
        <v>0</v>
      </c>
      <c r="T142" t="s">
        <v>72</v>
      </c>
    </row>
    <row r="143" spans="1:20" customFormat="1" ht="15" x14ac:dyDescent="0.25">
      <c r="A143" t="s">
        <v>35</v>
      </c>
      <c r="B143" t="s">
        <v>478</v>
      </c>
      <c r="C143" t="str">
        <f>"A0193829"</f>
        <v>A0193829</v>
      </c>
      <c r="D143" t="s">
        <v>633</v>
      </c>
      <c r="E143" t="s">
        <v>634</v>
      </c>
      <c r="F143" t="s">
        <v>635</v>
      </c>
      <c r="G143" t="s">
        <v>338</v>
      </c>
      <c r="H143">
        <v>8016</v>
      </c>
      <c r="I143" t="s">
        <v>30</v>
      </c>
      <c r="J143" t="s">
        <v>41</v>
      </c>
      <c r="K143" t="s">
        <v>229</v>
      </c>
      <c r="Q143">
        <v>0</v>
      </c>
      <c r="R143">
        <v>0</v>
      </c>
      <c r="S143">
        <v>0</v>
      </c>
      <c r="T143" t="s">
        <v>72</v>
      </c>
    </row>
    <row r="144" spans="1:20" customFormat="1" ht="15" x14ac:dyDescent="0.25">
      <c r="A144" t="s">
        <v>35</v>
      </c>
      <c r="B144" t="s">
        <v>478</v>
      </c>
      <c r="C144" t="str">
        <f>"A0193828"</f>
        <v>A0193828</v>
      </c>
      <c r="D144" t="s">
        <v>636</v>
      </c>
      <c r="E144" t="s">
        <v>637</v>
      </c>
      <c r="F144" t="s">
        <v>638</v>
      </c>
      <c r="G144" t="s">
        <v>338</v>
      </c>
      <c r="H144">
        <v>7860</v>
      </c>
      <c r="I144" t="s">
        <v>30</v>
      </c>
      <c r="J144" t="s">
        <v>41</v>
      </c>
      <c r="K144" t="s">
        <v>229</v>
      </c>
      <c r="Q144">
        <v>0</v>
      </c>
      <c r="R144">
        <v>0</v>
      </c>
      <c r="S144">
        <v>0</v>
      </c>
      <c r="T144" t="s">
        <v>72</v>
      </c>
    </row>
    <row r="145" spans="1:20" customFormat="1" ht="15" x14ac:dyDescent="0.25">
      <c r="A145" t="s">
        <v>35</v>
      </c>
      <c r="B145" t="s">
        <v>478</v>
      </c>
      <c r="C145" t="str">
        <f>"A0193827"</f>
        <v>A0193827</v>
      </c>
      <c r="D145" t="s">
        <v>639</v>
      </c>
      <c r="E145" t="s">
        <v>640</v>
      </c>
      <c r="F145" t="s">
        <v>641</v>
      </c>
      <c r="G145" t="s">
        <v>338</v>
      </c>
      <c r="H145">
        <v>7747</v>
      </c>
      <c r="I145" t="s">
        <v>30</v>
      </c>
      <c r="J145" t="s">
        <v>41</v>
      </c>
      <c r="K145" t="s">
        <v>229</v>
      </c>
      <c r="Q145">
        <v>0</v>
      </c>
      <c r="R145">
        <v>0</v>
      </c>
      <c r="S145">
        <v>0</v>
      </c>
      <c r="T145" t="s">
        <v>72</v>
      </c>
    </row>
    <row r="146" spans="1:20" customFormat="1" ht="15" x14ac:dyDescent="0.25">
      <c r="A146" t="s">
        <v>35</v>
      </c>
      <c r="B146" t="s">
        <v>478</v>
      </c>
      <c r="C146" t="str">
        <f>"A0193826"</f>
        <v>A0193826</v>
      </c>
      <c r="D146" t="s">
        <v>642</v>
      </c>
      <c r="E146" t="s">
        <v>643</v>
      </c>
      <c r="F146" t="s">
        <v>644</v>
      </c>
      <c r="G146" t="s">
        <v>338</v>
      </c>
      <c r="H146">
        <v>7652</v>
      </c>
      <c r="I146" t="s">
        <v>30</v>
      </c>
      <c r="J146" t="s">
        <v>41</v>
      </c>
      <c r="K146" t="s">
        <v>229</v>
      </c>
      <c r="Q146">
        <v>0</v>
      </c>
      <c r="R146">
        <v>0</v>
      </c>
      <c r="S146">
        <v>0</v>
      </c>
      <c r="T146" t="s">
        <v>72</v>
      </c>
    </row>
    <row r="147" spans="1:20" customFormat="1" ht="15" x14ac:dyDescent="0.25">
      <c r="A147" t="s">
        <v>35</v>
      </c>
      <c r="B147" t="s">
        <v>478</v>
      </c>
      <c r="C147" t="str">
        <f>"A0193825"</f>
        <v>A0193825</v>
      </c>
      <c r="D147" t="s">
        <v>645</v>
      </c>
      <c r="E147" t="s">
        <v>646</v>
      </c>
      <c r="F147" t="s">
        <v>647</v>
      </c>
      <c r="G147" t="s">
        <v>338</v>
      </c>
      <c r="H147">
        <v>7631</v>
      </c>
      <c r="I147" t="s">
        <v>30</v>
      </c>
      <c r="J147" t="s">
        <v>41</v>
      </c>
      <c r="K147" t="s">
        <v>648</v>
      </c>
      <c r="Q147">
        <v>0</v>
      </c>
      <c r="R147">
        <v>0</v>
      </c>
      <c r="S147">
        <v>0</v>
      </c>
      <c r="T147" t="s">
        <v>72</v>
      </c>
    </row>
    <row r="148" spans="1:20" customFormat="1" ht="15" x14ac:dyDescent="0.25">
      <c r="A148" t="s">
        <v>24</v>
      </c>
      <c r="B148" t="s">
        <v>1081</v>
      </c>
      <c r="C148" t="str">
        <f>"A0097868"</f>
        <v>A0097868</v>
      </c>
      <c r="D148" t="s">
        <v>1082</v>
      </c>
      <c r="E148" t="s">
        <v>1083</v>
      </c>
      <c r="F148" t="s">
        <v>1084</v>
      </c>
      <c r="G148" t="s">
        <v>81</v>
      </c>
      <c r="H148">
        <v>33040</v>
      </c>
      <c r="I148" t="s">
        <v>30</v>
      </c>
      <c r="J148" t="s">
        <v>162</v>
      </c>
      <c r="K148" t="s">
        <v>163</v>
      </c>
      <c r="N148" t="s">
        <v>1085</v>
      </c>
      <c r="Q148">
        <v>0</v>
      </c>
      <c r="R148">
        <v>100</v>
      </c>
      <c r="S148">
        <v>0</v>
      </c>
      <c r="T148" t="s">
        <v>1086</v>
      </c>
    </row>
    <row r="149" spans="1:20" customFormat="1" ht="15" x14ac:dyDescent="0.25">
      <c r="A149" t="s">
        <v>24</v>
      </c>
      <c r="B149" t="s">
        <v>656</v>
      </c>
      <c r="C149" t="str">
        <f>"A0188338"</f>
        <v>A0188338</v>
      </c>
      <c r="D149" t="s">
        <v>657</v>
      </c>
      <c r="E149" t="s">
        <v>658</v>
      </c>
      <c r="F149" t="s">
        <v>659</v>
      </c>
      <c r="G149" t="s">
        <v>81</v>
      </c>
      <c r="H149">
        <v>32608</v>
      </c>
      <c r="I149" t="s">
        <v>30</v>
      </c>
      <c r="J149" t="s">
        <v>31</v>
      </c>
      <c r="K149" t="s">
        <v>163</v>
      </c>
      <c r="N149" t="s">
        <v>660</v>
      </c>
      <c r="O149" t="s">
        <v>661</v>
      </c>
      <c r="Q149">
        <v>0</v>
      </c>
      <c r="R149">
        <v>197</v>
      </c>
      <c r="S149">
        <v>0</v>
      </c>
      <c r="T149" t="s">
        <v>662</v>
      </c>
    </row>
    <row r="150" spans="1:20" customFormat="1" ht="15" x14ac:dyDescent="0.25">
      <c r="A150" t="s">
        <v>24</v>
      </c>
      <c r="B150" t="s">
        <v>193</v>
      </c>
      <c r="C150" t="str">
        <f>"A0058753"</f>
        <v>A0058753</v>
      </c>
      <c r="D150" t="s">
        <v>663</v>
      </c>
      <c r="E150" t="s">
        <v>664</v>
      </c>
      <c r="F150" t="s">
        <v>665</v>
      </c>
      <c r="G150" t="s">
        <v>65</v>
      </c>
      <c r="H150">
        <v>45356</v>
      </c>
      <c r="I150" t="s">
        <v>30</v>
      </c>
      <c r="J150" t="s">
        <v>31</v>
      </c>
      <c r="K150" t="s">
        <v>296</v>
      </c>
      <c r="N150" t="s">
        <v>666</v>
      </c>
      <c r="Q150">
        <v>0</v>
      </c>
      <c r="R150">
        <v>101</v>
      </c>
      <c r="S150">
        <v>0</v>
      </c>
      <c r="T150" t="s">
        <v>667</v>
      </c>
    </row>
    <row r="151" spans="1:20" customFormat="1" ht="15" x14ac:dyDescent="0.25">
      <c r="A151" t="s">
        <v>24</v>
      </c>
      <c r="B151" t="s">
        <v>668</v>
      </c>
      <c r="C151" t="str">
        <f>"A0090017"</f>
        <v>A0090017</v>
      </c>
      <c r="D151" t="s">
        <v>669</v>
      </c>
      <c r="E151" t="s">
        <v>670</v>
      </c>
      <c r="F151" t="s">
        <v>671</v>
      </c>
      <c r="G151" t="s">
        <v>99</v>
      </c>
      <c r="H151">
        <v>12525</v>
      </c>
      <c r="I151" t="s">
        <v>30</v>
      </c>
      <c r="J151" t="s">
        <v>31</v>
      </c>
      <c r="K151" t="s">
        <v>163</v>
      </c>
      <c r="N151" t="s">
        <v>672</v>
      </c>
      <c r="O151" t="s">
        <v>673</v>
      </c>
      <c r="Q151">
        <v>0</v>
      </c>
      <c r="R151">
        <v>26</v>
      </c>
      <c r="S151">
        <v>0</v>
      </c>
      <c r="T151" t="s">
        <v>674</v>
      </c>
    </row>
    <row r="152" spans="1:20" customFormat="1" ht="15" x14ac:dyDescent="0.25">
      <c r="A152" t="s">
        <v>24</v>
      </c>
      <c r="B152" t="s">
        <v>1098</v>
      </c>
      <c r="C152" t="str">
        <f>"A0094136"</f>
        <v>A0094136</v>
      </c>
      <c r="D152" t="s">
        <v>1099</v>
      </c>
      <c r="E152" t="s">
        <v>1100</v>
      </c>
      <c r="F152" t="s">
        <v>1101</v>
      </c>
      <c r="G152" t="s">
        <v>81</v>
      </c>
      <c r="H152">
        <v>33050</v>
      </c>
      <c r="I152" t="s">
        <v>30</v>
      </c>
      <c r="J152" t="s">
        <v>162</v>
      </c>
      <c r="K152" t="s">
        <v>163</v>
      </c>
      <c r="N152" t="s">
        <v>1102</v>
      </c>
      <c r="O152" t="s">
        <v>1103</v>
      </c>
      <c r="Q152">
        <v>0</v>
      </c>
      <c r="R152">
        <v>125</v>
      </c>
      <c r="S152">
        <v>0</v>
      </c>
      <c r="T152" t="s">
        <v>1104</v>
      </c>
    </row>
    <row r="153" spans="1:20" customFormat="1" ht="15" x14ac:dyDescent="0.25">
      <c r="A153" t="s">
        <v>24</v>
      </c>
      <c r="B153" t="s">
        <v>683</v>
      </c>
      <c r="C153" t="str">
        <f>"A0192265"</f>
        <v>A0192265</v>
      </c>
      <c r="D153" t="s">
        <v>684</v>
      </c>
      <c r="E153" t="s">
        <v>685</v>
      </c>
      <c r="F153" t="s">
        <v>686</v>
      </c>
      <c r="G153" t="s">
        <v>110</v>
      </c>
      <c r="H153">
        <v>91764</v>
      </c>
      <c r="I153" t="s">
        <v>30</v>
      </c>
      <c r="J153" t="s">
        <v>687</v>
      </c>
      <c r="K153" t="s">
        <v>163</v>
      </c>
      <c r="N153" t="s">
        <v>688</v>
      </c>
      <c r="O153" t="s">
        <v>689</v>
      </c>
      <c r="Q153">
        <v>0</v>
      </c>
      <c r="R153">
        <v>0</v>
      </c>
      <c r="S153">
        <v>0</v>
      </c>
      <c r="T153" t="s">
        <v>690</v>
      </c>
    </row>
    <row r="154" spans="1:20" customFormat="1" ht="15" x14ac:dyDescent="0.25">
      <c r="A154" t="s">
        <v>24</v>
      </c>
      <c r="B154" t="s">
        <v>683</v>
      </c>
      <c r="C154" t="str">
        <f>"A0192262"</f>
        <v>A0192262</v>
      </c>
      <c r="D154" t="s">
        <v>691</v>
      </c>
      <c r="E154" t="s">
        <v>692</v>
      </c>
      <c r="F154" t="s">
        <v>693</v>
      </c>
      <c r="G154" t="s">
        <v>110</v>
      </c>
      <c r="H154">
        <v>90802</v>
      </c>
      <c r="I154" t="s">
        <v>30</v>
      </c>
      <c r="J154" t="s">
        <v>687</v>
      </c>
      <c r="K154" t="s">
        <v>163</v>
      </c>
      <c r="N154" t="s">
        <v>689</v>
      </c>
      <c r="O154" t="s">
        <v>694</v>
      </c>
      <c r="Q154">
        <v>0</v>
      </c>
      <c r="R154">
        <v>0</v>
      </c>
      <c r="S154">
        <v>0</v>
      </c>
      <c r="T154" t="s">
        <v>695</v>
      </c>
    </row>
    <row r="155" spans="1:20" customFormat="1" ht="15" x14ac:dyDescent="0.25">
      <c r="A155" t="s">
        <v>24</v>
      </c>
      <c r="B155" t="s">
        <v>683</v>
      </c>
      <c r="C155" t="str">
        <f>"A0192261"</f>
        <v>A0192261</v>
      </c>
      <c r="D155" t="s">
        <v>696</v>
      </c>
      <c r="E155" t="s">
        <v>697</v>
      </c>
      <c r="F155" t="s">
        <v>698</v>
      </c>
      <c r="G155" t="s">
        <v>110</v>
      </c>
      <c r="H155">
        <v>91006</v>
      </c>
      <c r="I155" t="s">
        <v>30</v>
      </c>
      <c r="J155" t="s">
        <v>687</v>
      </c>
      <c r="K155" t="s">
        <v>163</v>
      </c>
      <c r="N155" t="s">
        <v>699</v>
      </c>
      <c r="O155" t="s">
        <v>689</v>
      </c>
      <c r="Q155">
        <v>0</v>
      </c>
      <c r="R155">
        <v>0</v>
      </c>
      <c r="S155">
        <v>0</v>
      </c>
      <c r="T155" t="s">
        <v>700</v>
      </c>
    </row>
    <row r="156" spans="1:20" customFormat="1" ht="15" x14ac:dyDescent="0.25">
      <c r="A156" t="s">
        <v>24</v>
      </c>
      <c r="B156" t="s">
        <v>683</v>
      </c>
      <c r="C156" t="str">
        <f>"A0192263"</f>
        <v>A0192263</v>
      </c>
      <c r="D156" t="s">
        <v>701</v>
      </c>
      <c r="E156" t="s">
        <v>702</v>
      </c>
      <c r="F156" t="s">
        <v>703</v>
      </c>
      <c r="G156" t="s">
        <v>110</v>
      </c>
      <c r="H156">
        <v>91129</v>
      </c>
      <c r="I156" t="s">
        <v>30</v>
      </c>
      <c r="J156" t="s">
        <v>687</v>
      </c>
      <c r="K156" t="s">
        <v>163</v>
      </c>
      <c r="N156" t="s">
        <v>704</v>
      </c>
      <c r="O156" t="s">
        <v>689</v>
      </c>
      <c r="Q156">
        <v>0</v>
      </c>
      <c r="R156">
        <v>0</v>
      </c>
      <c r="S156">
        <v>0</v>
      </c>
      <c r="T156" t="s">
        <v>705</v>
      </c>
    </row>
    <row r="157" spans="1:20" customFormat="1" ht="15" x14ac:dyDescent="0.25">
      <c r="A157" t="s">
        <v>24</v>
      </c>
      <c r="B157" t="s">
        <v>706</v>
      </c>
      <c r="C157" t="str">
        <f>"A0060881"</f>
        <v>A0060881</v>
      </c>
      <c r="D157" t="s">
        <v>707</v>
      </c>
      <c r="E157" t="s">
        <v>708</v>
      </c>
      <c r="F157" t="s">
        <v>709</v>
      </c>
      <c r="G157" t="s">
        <v>81</v>
      </c>
      <c r="H157">
        <v>34239</v>
      </c>
      <c r="I157" t="s">
        <v>30</v>
      </c>
      <c r="J157" t="s">
        <v>31</v>
      </c>
      <c r="K157" t="s">
        <v>710</v>
      </c>
      <c r="N157" t="s">
        <v>711</v>
      </c>
      <c r="Q157">
        <v>0</v>
      </c>
      <c r="R157">
        <v>99</v>
      </c>
      <c r="S157">
        <v>0</v>
      </c>
      <c r="T157" t="s">
        <v>712</v>
      </c>
    </row>
    <row r="158" spans="1:20" customFormat="1" ht="15" x14ac:dyDescent="0.25">
      <c r="A158" t="s">
        <v>24</v>
      </c>
      <c r="B158" t="s">
        <v>713</v>
      </c>
      <c r="C158" t="str">
        <f>"A0193662"</f>
        <v>A0193662</v>
      </c>
      <c r="D158" t="s">
        <v>714</v>
      </c>
      <c r="E158" t="s">
        <v>715</v>
      </c>
      <c r="F158" t="s">
        <v>716</v>
      </c>
      <c r="G158" t="s">
        <v>289</v>
      </c>
      <c r="H158">
        <v>60614</v>
      </c>
      <c r="I158" t="s">
        <v>30</v>
      </c>
      <c r="J158" t="s">
        <v>31</v>
      </c>
      <c r="K158" t="s">
        <v>163</v>
      </c>
      <c r="N158" t="s">
        <v>717</v>
      </c>
      <c r="Q158">
        <v>0</v>
      </c>
      <c r="R158">
        <v>116</v>
      </c>
      <c r="S158">
        <v>0</v>
      </c>
      <c r="T158" t="s">
        <v>718</v>
      </c>
    </row>
    <row r="159" spans="1:20" customFormat="1" ht="15" x14ac:dyDescent="0.25">
      <c r="A159" t="s">
        <v>24</v>
      </c>
      <c r="B159" t="s">
        <v>713</v>
      </c>
      <c r="C159" t="str">
        <f>"A0193661"</f>
        <v>A0193661</v>
      </c>
      <c r="D159" t="s">
        <v>719</v>
      </c>
      <c r="E159" t="s">
        <v>720</v>
      </c>
      <c r="F159" t="s">
        <v>716</v>
      </c>
      <c r="G159" t="s">
        <v>289</v>
      </c>
      <c r="H159">
        <v>60606</v>
      </c>
      <c r="I159" t="s">
        <v>30</v>
      </c>
      <c r="J159" t="s">
        <v>687</v>
      </c>
      <c r="K159" t="s">
        <v>163</v>
      </c>
      <c r="N159" t="s">
        <v>721</v>
      </c>
      <c r="Q159">
        <v>0</v>
      </c>
      <c r="R159">
        <v>0</v>
      </c>
      <c r="S159">
        <v>0</v>
      </c>
      <c r="T159" t="s">
        <v>722</v>
      </c>
    </row>
    <row r="160" spans="1:20" customFormat="1" ht="15" x14ac:dyDescent="0.25">
      <c r="A160" t="s">
        <v>24</v>
      </c>
      <c r="B160" t="s">
        <v>713</v>
      </c>
      <c r="C160" t="str">
        <f>"A0193660"</f>
        <v>A0193660</v>
      </c>
      <c r="D160" t="s">
        <v>723</v>
      </c>
      <c r="E160" t="s">
        <v>724</v>
      </c>
      <c r="F160" t="s">
        <v>716</v>
      </c>
      <c r="G160" t="s">
        <v>289</v>
      </c>
      <c r="H160">
        <v>60607</v>
      </c>
      <c r="I160" t="s">
        <v>30</v>
      </c>
      <c r="J160" t="s">
        <v>687</v>
      </c>
      <c r="K160" t="s">
        <v>163</v>
      </c>
      <c r="N160" t="s">
        <v>725</v>
      </c>
      <c r="Q160">
        <v>0</v>
      </c>
      <c r="R160">
        <v>0</v>
      </c>
      <c r="S160">
        <v>0</v>
      </c>
      <c r="T160" t="s">
        <v>722</v>
      </c>
    </row>
    <row r="161" spans="1:20" customFormat="1" ht="15" x14ac:dyDescent="0.25">
      <c r="A161" t="s">
        <v>24</v>
      </c>
      <c r="B161" t="s">
        <v>726</v>
      </c>
      <c r="C161" t="str">
        <f>"A0189740"</f>
        <v>A0189740</v>
      </c>
      <c r="D161" t="s">
        <v>727</v>
      </c>
      <c r="E161" t="s">
        <v>728</v>
      </c>
      <c r="F161" t="s">
        <v>729</v>
      </c>
      <c r="G161" t="s">
        <v>110</v>
      </c>
      <c r="H161">
        <v>93101</v>
      </c>
      <c r="I161" t="s">
        <v>30</v>
      </c>
      <c r="J161" t="s">
        <v>31</v>
      </c>
      <c r="K161" t="s">
        <v>163</v>
      </c>
      <c r="N161" t="s">
        <v>730</v>
      </c>
      <c r="Q161">
        <v>0</v>
      </c>
      <c r="R161">
        <v>23</v>
      </c>
      <c r="S161">
        <v>0</v>
      </c>
      <c r="T161" t="s">
        <v>731</v>
      </c>
    </row>
    <row r="162" spans="1:20" customFormat="1" ht="15" x14ac:dyDescent="0.25">
      <c r="A162" t="s">
        <v>24</v>
      </c>
      <c r="B162" t="s">
        <v>726</v>
      </c>
      <c r="C162" t="str">
        <f>"A0189741"</f>
        <v>A0189741</v>
      </c>
      <c r="D162" t="s">
        <v>732</v>
      </c>
      <c r="E162" t="s">
        <v>733</v>
      </c>
      <c r="F162" t="s">
        <v>729</v>
      </c>
      <c r="G162" t="s">
        <v>110</v>
      </c>
      <c r="H162">
        <v>93101</v>
      </c>
      <c r="I162" t="s">
        <v>30</v>
      </c>
      <c r="J162" t="s">
        <v>31</v>
      </c>
      <c r="K162" t="s">
        <v>163</v>
      </c>
      <c r="N162" t="s">
        <v>730</v>
      </c>
      <c r="Q162">
        <v>0</v>
      </c>
      <c r="R162">
        <v>43</v>
      </c>
      <c r="S162">
        <v>0</v>
      </c>
      <c r="T162" t="s">
        <v>731</v>
      </c>
    </row>
    <row r="163" spans="1:20" customFormat="1" ht="15" x14ac:dyDescent="0.25">
      <c r="A163" t="s">
        <v>24</v>
      </c>
      <c r="B163" t="s">
        <v>734</v>
      </c>
      <c r="C163" t="str">
        <f>"A0193717"</f>
        <v>A0193717</v>
      </c>
      <c r="D163" t="s">
        <v>735</v>
      </c>
      <c r="E163" t="s">
        <v>736</v>
      </c>
      <c r="F163" t="s">
        <v>737</v>
      </c>
      <c r="G163" t="s">
        <v>221</v>
      </c>
      <c r="H163">
        <v>89027</v>
      </c>
      <c r="I163" t="s">
        <v>30</v>
      </c>
      <c r="J163" t="s">
        <v>31</v>
      </c>
      <c r="K163" t="s">
        <v>282</v>
      </c>
      <c r="N163" t="s">
        <v>738</v>
      </c>
      <c r="Q163">
        <v>0</v>
      </c>
      <c r="R163">
        <v>130</v>
      </c>
      <c r="S163">
        <v>0</v>
      </c>
      <c r="T163" t="s">
        <v>739</v>
      </c>
    </row>
    <row r="164" spans="1:20" customFormat="1" ht="15" x14ac:dyDescent="0.25">
      <c r="A164" t="s">
        <v>24</v>
      </c>
      <c r="B164" t="s">
        <v>1205</v>
      </c>
      <c r="C164" t="str">
        <f>"A0193707"</f>
        <v>A0193707</v>
      </c>
      <c r="D164" t="s">
        <v>1206</v>
      </c>
      <c r="E164" t="s">
        <v>1207</v>
      </c>
      <c r="F164" t="s">
        <v>1208</v>
      </c>
      <c r="G164" t="s">
        <v>899</v>
      </c>
      <c r="H164">
        <v>2109</v>
      </c>
      <c r="I164" t="s">
        <v>30</v>
      </c>
      <c r="J164" t="s">
        <v>162</v>
      </c>
      <c r="K164" t="s">
        <v>1209</v>
      </c>
      <c r="N164" t="s">
        <v>1210</v>
      </c>
      <c r="Q164">
        <v>0</v>
      </c>
      <c r="R164">
        <v>212</v>
      </c>
      <c r="S164">
        <v>0</v>
      </c>
      <c r="T164" t="s">
        <v>1211</v>
      </c>
    </row>
    <row r="165" spans="1:20" customFormat="1" ht="15" x14ac:dyDescent="0.25">
      <c r="A165" t="s">
        <v>24</v>
      </c>
      <c r="B165" t="s">
        <v>1212</v>
      </c>
      <c r="C165" t="str">
        <f>"A0189890"</f>
        <v>A0189890</v>
      </c>
      <c r="D165" t="s">
        <v>1226</v>
      </c>
      <c r="E165" t="s">
        <v>1227</v>
      </c>
      <c r="F165" t="s">
        <v>1228</v>
      </c>
      <c r="G165" t="s">
        <v>381</v>
      </c>
      <c r="H165">
        <v>47129</v>
      </c>
      <c r="I165" t="s">
        <v>30</v>
      </c>
      <c r="J165" t="s">
        <v>162</v>
      </c>
      <c r="K165" t="s">
        <v>251</v>
      </c>
      <c r="N165" t="s">
        <v>1229</v>
      </c>
      <c r="Q165">
        <v>0</v>
      </c>
      <c r="R165">
        <v>353</v>
      </c>
      <c r="S165">
        <v>0</v>
      </c>
      <c r="T165" t="s">
        <v>1230</v>
      </c>
    </row>
    <row r="166" spans="1:20" customFormat="1" ht="15" x14ac:dyDescent="0.25">
      <c r="A166" t="s">
        <v>24</v>
      </c>
      <c r="B166" t="s">
        <v>1212</v>
      </c>
      <c r="C166" t="str">
        <f>"A0094395"</f>
        <v>A0094395</v>
      </c>
      <c r="D166" t="s">
        <v>1251</v>
      </c>
      <c r="E166" t="s">
        <v>1252</v>
      </c>
      <c r="F166" t="s">
        <v>1253</v>
      </c>
      <c r="G166" t="s">
        <v>81</v>
      </c>
      <c r="H166">
        <v>33016</v>
      </c>
      <c r="I166" t="s">
        <v>30</v>
      </c>
      <c r="J166" t="s">
        <v>162</v>
      </c>
      <c r="K166" t="s">
        <v>854</v>
      </c>
      <c r="N166" t="s">
        <v>1254</v>
      </c>
      <c r="Q166">
        <v>0</v>
      </c>
      <c r="R166">
        <v>259</v>
      </c>
      <c r="S166">
        <v>0</v>
      </c>
      <c r="T166" t="s">
        <v>1255</v>
      </c>
    </row>
    <row r="167" spans="1:20" customFormat="1" ht="15" x14ac:dyDescent="0.25">
      <c r="A167" t="s">
        <v>24</v>
      </c>
      <c r="B167" t="s">
        <v>1323</v>
      </c>
      <c r="C167" t="str">
        <f>"A0193702"</f>
        <v>A0193702</v>
      </c>
      <c r="D167" t="s">
        <v>1324</v>
      </c>
      <c r="E167" t="s">
        <v>1325</v>
      </c>
      <c r="F167" t="s">
        <v>1326</v>
      </c>
      <c r="G167" t="s">
        <v>81</v>
      </c>
      <c r="H167">
        <v>34474</v>
      </c>
      <c r="I167" t="s">
        <v>30</v>
      </c>
      <c r="J167" t="s">
        <v>162</v>
      </c>
      <c r="K167" t="s">
        <v>854</v>
      </c>
      <c r="N167" t="s">
        <v>1327</v>
      </c>
      <c r="Q167">
        <v>0</v>
      </c>
      <c r="R167">
        <v>133</v>
      </c>
      <c r="S167">
        <v>0</v>
      </c>
      <c r="T167" t="s">
        <v>1328</v>
      </c>
    </row>
    <row r="168" spans="1:20" customFormat="1" ht="15" x14ac:dyDescent="0.25">
      <c r="A168" t="s">
        <v>24</v>
      </c>
      <c r="B168" t="s">
        <v>762</v>
      </c>
      <c r="C168" t="str">
        <f>"A0058179"</f>
        <v>A0058179</v>
      </c>
      <c r="D168" t="s">
        <v>763</v>
      </c>
      <c r="E168" t="s">
        <v>764</v>
      </c>
      <c r="F168" t="s">
        <v>765</v>
      </c>
      <c r="G168" t="s">
        <v>144</v>
      </c>
      <c r="H168">
        <v>58801</v>
      </c>
      <c r="I168" t="s">
        <v>30</v>
      </c>
      <c r="J168" t="s">
        <v>145</v>
      </c>
      <c r="K168" t="s">
        <v>763</v>
      </c>
      <c r="N168" t="s">
        <v>766</v>
      </c>
      <c r="O168" t="s">
        <v>767</v>
      </c>
      <c r="Q168">
        <v>0</v>
      </c>
      <c r="R168">
        <v>60</v>
      </c>
      <c r="S168">
        <v>0</v>
      </c>
      <c r="T168" t="s">
        <v>768</v>
      </c>
    </row>
    <row r="169" spans="1:20" customFormat="1" ht="15" x14ac:dyDescent="0.25">
      <c r="A169" t="s">
        <v>24</v>
      </c>
      <c r="B169" t="s">
        <v>769</v>
      </c>
      <c r="C169" t="str">
        <f>"A0193647"</f>
        <v>A0193647</v>
      </c>
      <c r="D169" t="s">
        <v>770</v>
      </c>
      <c r="E169" t="s">
        <v>771</v>
      </c>
      <c r="F169" t="s">
        <v>772</v>
      </c>
      <c r="G169" t="s">
        <v>99</v>
      </c>
      <c r="H169">
        <v>12477</v>
      </c>
      <c r="I169" t="s">
        <v>30</v>
      </c>
      <c r="J169" t="s">
        <v>31</v>
      </c>
      <c r="K169" t="s">
        <v>163</v>
      </c>
      <c r="N169" t="s">
        <v>773</v>
      </c>
      <c r="Q169">
        <v>0</v>
      </c>
      <c r="R169">
        <v>95</v>
      </c>
      <c r="S169">
        <v>0</v>
      </c>
      <c r="T169" t="s">
        <v>774</v>
      </c>
    </row>
    <row r="170" spans="1:20" customFormat="1" ht="15" x14ac:dyDescent="0.25">
      <c r="A170" t="s">
        <v>24</v>
      </c>
      <c r="B170" t="s">
        <v>775</v>
      </c>
      <c r="C170" t="str">
        <f>"A0051208"</f>
        <v>A0051208</v>
      </c>
      <c r="D170" t="s">
        <v>776</v>
      </c>
      <c r="E170" t="s">
        <v>777</v>
      </c>
      <c r="F170" t="s">
        <v>778</v>
      </c>
      <c r="G170" t="s">
        <v>110</v>
      </c>
      <c r="H170">
        <v>93108</v>
      </c>
      <c r="I170" t="s">
        <v>30</v>
      </c>
      <c r="J170" t="s">
        <v>178</v>
      </c>
      <c r="K170" t="s">
        <v>179</v>
      </c>
      <c r="N170" t="s">
        <v>779</v>
      </c>
      <c r="Q170">
        <v>0</v>
      </c>
      <c r="R170">
        <v>18</v>
      </c>
      <c r="S170">
        <v>0</v>
      </c>
      <c r="T170" t="s">
        <v>780</v>
      </c>
    </row>
    <row r="171" spans="1:20" customFormat="1" ht="15" x14ac:dyDescent="0.25">
      <c r="A171" t="s">
        <v>24</v>
      </c>
      <c r="B171" t="s">
        <v>781</v>
      </c>
      <c r="C171" t="str">
        <f>"A0050091"</f>
        <v>A0050091</v>
      </c>
      <c r="D171" t="s">
        <v>782</v>
      </c>
      <c r="E171" t="s">
        <v>783</v>
      </c>
      <c r="F171" t="s">
        <v>784</v>
      </c>
      <c r="G171" t="s">
        <v>71</v>
      </c>
      <c r="H171">
        <v>54403</v>
      </c>
      <c r="I171" t="s">
        <v>30</v>
      </c>
      <c r="J171" t="s">
        <v>178</v>
      </c>
      <c r="K171" t="s">
        <v>179</v>
      </c>
      <c r="N171" t="s">
        <v>785</v>
      </c>
      <c r="O171" t="s">
        <v>786</v>
      </c>
      <c r="Q171">
        <v>0</v>
      </c>
      <c r="R171">
        <v>18</v>
      </c>
      <c r="S171">
        <v>0</v>
      </c>
      <c r="T171" t="s">
        <v>787</v>
      </c>
    </row>
    <row r="172" spans="1:20" customFormat="1" ht="15" x14ac:dyDescent="0.25">
      <c r="A172" t="s">
        <v>24</v>
      </c>
      <c r="B172" t="s">
        <v>788</v>
      </c>
      <c r="C172" t="str">
        <f>"A0191981"</f>
        <v>A0191981</v>
      </c>
      <c r="D172" t="s">
        <v>789</v>
      </c>
      <c r="E172" t="s">
        <v>790</v>
      </c>
      <c r="F172" t="s">
        <v>791</v>
      </c>
      <c r="G172" t="s">
        <v>52</v>
      </c>
      <c r="H172">
        <v>76691</v>
      </c>
      <c r="I172" t="s">
        <v>30</v>
      </c>
      <c r="J172" t="s">
        <v>31</v>
      </c>
      <c r="K172" t="s">
        <v>282</v>
      </c>
      <c r="N172" t="s">
        <v>792</v>
      </c>
      <c r="Q172">
        <v>0</v>
      </c>
      <c r="R172">
        <v>70</v>
      </c>
      <c r="S172">
        <v>0</v>
      </c>
      <c r="T172" t="s">
        <v>793</v>
      </c>
    </row>
    <row r="173" spans="1:20" customFormat="1" ht="15" x14ac:dyDescent="0.25">
      <c r="A173" t="s">
        <v>24</v>
      </c>
      <c r="B173" t="s">
        <v>762</v>
      </c>
      <c r="C173" t="str">
        <f>"A0088490"</f>
        <v>A0088490</v>
      </c>
      <c r="D173" t="s">
        <v>794</v>
      </c>
      <c r="E173" t="s">
        <v>795</v>
      </c>
      <c r="F173" t="s">
        <v>796</v>
      </c>
      <c r="G173" t="s">
        <v>197</v>
      </c>
      <c r="H173">
        <v>85711</v>
      </c>
      <c r="I173" t="s">
        <v>30</v>
      </c>
      <c r="J173" t="s">
        <v>31</v>
      </c>
      <c r="K173" t="s">
        <v>198</v>
      </c>
      <c r="N173" t="s">
        <v>797</v>
      </c>
      <c r="Q173">
        <v>0</v>
      </c>
      <c r="R173">
        <v>101</v>
      </c>
      <c r="S173">
        <v>0</v>
      </c>
      <c r="T173" t="s">
        <v>798</v>
      </c>
    </row>
    <row r="174" spans="1:20" customFormat="1" ht="15" x14ac:dyDescent="0.25">
      <c r="A174" t="s">
        <v>24</v>
      </c>
      <c r="B174" t="s">
        <v>1487</v>
      </c>
      <c r="C174" t="str">
        <f>"A0154145"</f>
        <v>A0154145</v>
      </c>
      <c r="D174" t="s">
        <v>1488</v>
      </c>
      <c r="E174" t="s">
        <v>1489</v>
      </c>
      <c r="F174" t="s">
        <v>372</v>
      </c>
      <c r="G174" t="s">
        <v>52</v>
      </c>
      <c r="H174">
        <v>78701</v>
      </c>
      <c r="I174" t="s">
        <v>30</v>
      </c>
      <c r="J174" t="s">
        <v>162</v>
      </c>
      <c r="K174" t="s">
        <v>1490</v>
      </c>
      <c r="N174" t="s">
        <v>1491</v>
      </c>
      <c r="O174" t="s">
        <v>1492</v>
      </c>
      <c r="Q174">
        <v>0</v>
      </c>
      <c r="R174">
        <v>613</v>
      </c>
      <c r="S174">
        <v>0</v>
      </c>
      <c r="T174" t="s">
        <v>1493</v>
      </c>
    </row>
    <row r="175" spans="1:20" customFormat="1" ht="15" x14ac:dyDescent="0.25">
      <c r="A175" t="s">
        <v>24</v>
      </c>
      <c r="B175" t="s">
        <v>814</v>
      </c>
      <c r="C175" t="str">
        <f>"337U3"</f>
        <v>337U3</v>
      </c>
      <c r="D175" t="s">
        <v>1499</v>
      </c>
      <c r="E175" t="s">
        <v>1500</v>
      </c>
      <c r="F175" t="s">
        <v>1501</v>
      </c>
      <c r="G175" t="s">
        <v>880</v>
      </c>
      <c r="H175">
        <v>38103</v>
      </c>
      <c r="I175" t="s">
        <v>30</v>
      </c>
      <c r="J175" t="s">
        <v>162</v>
      </c>
      <c r="K175" t="s">
        <v>1502</v>
      </c>
      <c r="N175" t="s">
        <v>1503</v>
      </c>
      <c r="Q175">
        <v>0</v>
      </c>
      <c r="R175">
        <v>600</v>
      </c>
      <c r="S175">
        <v>0</v>
      </c>
      <c r="T175" t="s">
        <v>1504</v>
      </c>
    </row>
    <row r="176" spans="1:20" customFormat="1" ht="15" x14ac:dyDescent="0.25">
      <c r="A176" t="s">
        <v>24</v>
      </c>
      <c r="B176" t="s">
        <v>799</v>
      </c>
      <c r="C176" t="str">
        <f>"A0193781"</f>
        <v>A0193781</v>
      </c>
      <c r="D176" t="s">
        <v>812</v>
      </c>
      <c r="E176" t="s">
        <v>801</v>
      </c>
      <c r="F176" t="s">
        <v>802</v>
      </c>
      <c r="G176" t="s">
        <v>289</v>
      </c>
      <c r="H176">
        <v>60430</v>
      </c>
      <c r="I176" t="s">
        <v>30</v>
      </c>
      <c r="J176" t="s">
        <v>687</v>
      </c>
      <c r="K176" t="s">
        <v>163</v>
      </c>
      <c r="N176" t="s">
        <v>813</v>
      </c>
      <c r="Q176">
        <v>0</v>
      </c>
      <c r="R176">
        <v>0</v>
      </c>
      <c r="S176">
        <v>0</v>
      </c>
      <c r="T176" t="s">
        <v>804</v>
      </c>
    </row>
    <row r="177" spans="1:20" customFormat="1" ht="15" x14ac:dyDescent="0.25">
      <c r="A177" t="s">
        <v>24</v>
      </c>
      <c r="B177" t="s">
        <v>814</v>
      </c>
      <c r="C177" t="str">
        <f>"A0092584"</f>
        <v>A0092584</v>
      </c>
      <c r="D177" t="s">
        <v>815</v>
      </c>
      <c r="E177" t="s">
        <v>816</v>
      </c>
      <c r="F177" t="s">
        <v>817</v>
      </c>
      <c r="G177" t="s">
        <v>110</v>
      </c>
      <c r="H177">
        <v>94030</v>
      </c>
      <c r="I177" t="s">
        <v>30</v>
      </c>
      <c r="J177" t="s">
        <v>31</v>
      </c>
      <c r="K177" t="s">
        <v>277</v>
      </c>
      <c r="N177" t="s">
        <v>818</v>
      </c>
      <c r="Q177">
        <v>0</v>
      </c>
      <c r="R177">
        <v>298</v>
      </c>
      <c r="S177">
        <v>0</v>
      </c>
      <c r="T177" t="s">
        <v>819</v>
      </c>
    </row>
    <row r="178" spans="1:20" customFormat="1" ht="15" x14ac:dyDescent="0.25">
      <c r="A178" t="s">
        <v>24</v>
      </c>
      <c r="B178" t="s">
        <v>814</v>
      </c>
      <c r="C178" t="str">
        <f>"A0073167"</f>
        <v>A0073167</v>
      </c>
      <c r="D178" t="s">
        <v>1523</v>
      </c>
      <c r="E178" t="s">
        <v>1524</v>
      </c>
      <c r="F178" t="s">
        <v>1525</v>
      </c>
      <c r="G178" t="s">
        <v>65</v>
      </c>
      <c r="H178">
        <v>43215</v>
      </c>
      <c r="I178" t="s">
        <v>30</v>
      </c>
      <c r="J178" t="s">
        <v>162</v>
      </c>
      <c r="K178" t="s">
        <v>759</v>
      </c>
      <c r="N178" t="s">
        <v>1526</v>
      </c>
      <c r="Q178">
        <v>0</v>
      </c>
      <c r="R178">
        <v>194</v>
      </c>
      <c r="S178">
        <v>0</v>
      </c>
      <c r="T178" t="s">
        <v>1527</v>
      </c>
    </row>
    <row r="179" spans="1:20" customFormat="1" ht="15" x14ac:dyDescent="0.25">
      <c r="A179" t="s">
        <v>24</v>
      </c>
      <c r="B179" t="s">
        <v>174</v>
      </c>
      <c r="C179" t="str">
        <f>"A0052374"</f>
        <v>A0052374</v>
      </c>
      <c r="D179" t="s">
        <v>824</v>
      </c>
      <c r="E179" t="s">
        <v>825</v>
      </c>
      <c r="F179" t="s">
        <v>826</v>
      </c>
      <c r="G179" t="s">
        <v>338</v>
      </c>
      <c r="H179">
        <v>7920</v>
      </c>
      <c r="I179" t="s">
        <v>30</v>
      </c>
      <c r="J179" t="s">
        <v>178</v>
      </c>
      <c r="K179" t="s">
        <v>163</v>
      </c>
      <c r="N179" t="s">
        <v>827</v>
      </c>
      <c r="Q179">
        <v>0</v>
      </c>
      <c r="R179">
        <v>0</v>
      </c>
      <c r="S179">
        <v>0</v>
      </c>
      <c r="T179" t="s">
        <v>828</v>
      </c>
    </row>
    <row r="180" spans="1:20" customFormat="1" ht="15" x14ac:dyDescent="0.25">
      <c r="A180" t="s">
        <v>35</v>
      </c>
      <c r="B180" t="s">
        <v>61</v>
      </c>
      <c r="C180" t="str">
        <f>"A0118635"</f>
        <v>A0118635</v>
      </c>
      <c r="D180" t="s">
        <v>829</v>
      </c>
      <c r="E180" t="s">
        <v>830</v>
      </c>
      <c r="F180" t="s">
        <v>831</v>
      </c>
      <c r="G180" t="s">
        <v>110</v>
      </c>
      <c r="H180">
        <v>94030</v>
      </c>
      <c r="I180" t="s">
        <v>30</v>
      </c>
      <c r="J180" t="s">
        <v>41</v>
      </c>
      <c r="K180" t="s">
        <v>59</v>
      </c>
      <c r="Q180">
        <v>0</v>
      </c>
      <c r="R180">
        <v>48</v>
      </c>
      <c r="S180">
        <v>48</v>
      </c>
      <c r="T180" t="s">
        <v>832</v>
      </c>
    </row>
    <row r="181" spans="1:20" customFormat="1" ht="15" x14ac:dyDescent="0.25">
      <c r="A181" t="s">
        <v>35</v>
      </c>
      <c r="B181" t="s">
        <v>61</v>
      </c>
      <c r="C181" t="str">
        <f>"A0184924"</f>
        <v>A0184924</v>
      </c>
      <c r="D181" t="s">
        <v>833</v>
      </c>
      <c r="E181" t="s">
        <v>834</v>
      </c>
      <c r="F181" t="s">
        <v>835</v>
      </c>
      <c r="G181" t="s">
        <v>289</v>
      </c>
      <c r="H181">
        <v>60091</v>
      </c>
      <c r="I181" t="s">
        <v>30</v>
      </c>
      <c r="J181" t="s">
        <v>41</v>
      </c>
      <c r="K181" t="s">
        <v>59</v>
      </c>
      <c r="Q181">
        <v>0</v>
      </c>
      <c r="R181">
        <v>0</v>
      </c>
      <c r="S181">
        <v>0</v>
      </c>
      <c r="T181" t="s">
        <v>836</v>
      </c>
    </row>
    <row r="182" spans="1:20" customFormat="1" ht="15" x14ac:dyDescent="0.25">
      <c r="A182" t="s">
        <v>35</v>
      </c>
      <c r="B182" t="s">
        <v>61</v>
      </c>
      <c r="C182" t="str">
        <f>"A0181596"</f>
        <v>A0181596</v>
      </c>
      <c r="D182" t="s">
        <v>837</v>
      </c>
      <c r="E182" t="s">
        <v>838</v>
      </c>
      <c r="F182" t="s">
        <v>839</v>
      </c>
      <c r="G182" t="s">
        <v>840</v>
      </c>
      <c r="H182" t="s">
        <v>841</v>
      </c>
      <c r="I182" t="s">
        <v>30</v>
      </c>
      <c r="J182" t="s">
        <v>41</v>
      </c>
      <c r="K182" t="s">
        <v>59</v>
      </c>
      <c r="Q182">
        <v>0</v>
      </c>
      <c r="R182">
        <v>0</v>
      </c>
      <c r="S182">
        <v>0</v>
      </c>
      <c r="T182" t="s">
        <v>842</v>
      </c>
    </row>
    <row r="183" spans="1:20" customFormat="1" ht="15" x14ac:dyDescent="0.25">
      <c r="A183" t="s">
        <v>24</v>
      </c>
      <c r="B183" t="s">
        <v>1567</v>
      </c>
      <c r="C183" t="str">
        <f>"A0100800"</f>
        <v>A0100800</v>
      </c>
      <c r="D183" t="s">
        <v>1568</v>
      </c>
      <c r="E183" t="s">
        <v>1569</v>
      </c>
      <c r="F183" t="s">
        <v>1570</v>
      </c>
      <c r="G183" t="s">
        <v>81</v>
      </c>
      <c r="H183">
        <v>33312</v>
      </c>
      <c r="I183" t="s">
        <v>30</v>
      </c>
      <c r="J183" t="s">
        <v>162</v>
      </c>
      <c r="K183" t="s">
        <v>1571</v>
      </c>
      <c r="N183" t="s">
        <v>1572</v>
      </c>
      <c r="Q183">
        <v>0</v>
      </c>
      <c r="R183">
        <v>150</v>
      </c>
      <c r="S183">
        <v>0</v>
      </c>
      <c r="T183" t="s">
        <v>1573</v>
      </c>
    </row>
    <row r="184" spans="1:20" customFormat="1" ht="15" x14ac:dyDescent="0.25">
      <c r="A184" t="s">
        <v>24</v>
      </c>
      <c r="B184" t="s">
        <v>1598</v>
      </c>
      <c r="C184" t="str">
        <f>"A0193621"</f>
        <v>A0193621</v>
      </c>
      <c r="D184" t="s">
        <v>1599</v>
      </c>
      <c r="E184" t="s">
        <v>1600</v>
      </c>
      <c r="F184" t="s">
        <v>1601</v>
      </c>
      <c r="G184" t="s">
        <v>846</v>
      </c>
      <c r="H184">
        <v>31527</v>
      </c>
      <c r="I184" t="s">
        <v>30</v>
      </c>
      <c r="J184" t="s">
        <v>162</v>
      </c>
      <c r="K184" t="s">
        <v>854</v>
      </c>
      <c r="N184" t="s">
        <v>1602</v>
      </c>
      <c r="Q184">
        <v>0</v>
      </c>
      <c r="R184">
        <v>158</v>
      </c>
      <c r="S184">
        <v>0</v>
      </c>
      <c r="T184" t="s">
        <v>1603</v>
      </c>
    </row>
    <row r="185" spans="1:20" customFormat="1" ht="15" x14ac:dyDescent="0.25">
      <c r="A185" t="s">
        <v>24</v>
      </c>
      <c r="B185" t="s">
        <v>174</v>
      </c>
      <c r="C185" t="str">
        <f>"A0153758"</f>
        <v>A0153758</v>
      </c>
      <c r="D185" t="s">
        <v>858</v>
      </c>
      <c r="E185" t="s">
        <v>859</v>
      </c>
      <c r="F185" t="s">
        <v>860</v>
      </c>
      <c r="G185" t="s">
        <v>137</v>
      </c>
      <c r="H185" t="s">
        <v>861</v>
      </c>
      <c r="I185" t="s">
        <v>30</v>
      </c>
      <c r="J185" t="s">
        <v>178</v>
      </c>
      <c r="K185" t="s">
        <v>163</v>
      </c>
      <c r="N185" t="s">
        <v>862</v>
      </c>
      <c r="Q185">
        <v>0</v>
      </c>
      <c r="R185">
        <v>0</v>
      </c>
      <c r="S185">
        <v>0</v>
      </c>
      <c r="T185" t="s">
        <v>863</v>
      </c>
    </row>
    <row r="186" spans="1:20" customFormat="1" ht="15" x14ac:dyDescent="0.25">
      <c r="A186" t="s">
        <v>24</v>
      </c>
      <c r="B186" t="s">
        <v>193</v>
      </c>
      <c r="C186" t="str">
        <f>"A0095533"</f>
        <v>A0095533</v>
      </c>
      <c r="D186" t="s">
        <v>864</v>
      </c>
      <c r="E186" t="s">
        <v>865</v>
      </c>
      <c r="F186" t="s">
        <v>866</v>
      </c>
      <c r="G186" t="s">
        <v>40</v>
      </c>
      <c r="H186">
        <v>73159</v>
      </c>
      <c r="I186" t="s">
        <v>30</v>
      </c>
      <c r="J186" t="s">
        <v>31</v>
      </c>
      <c r="K186" t="s">
        <v>315</v>
      </c>
      <c r="N186" t="s">
        <v>867</v>
      </c>
      <c r="Q186">
        <v>0</v>
      </c>
      <c r="R186">
        <v>117</v>
      </c>
      <c r="S186">
        <v>0</v>
      </c>
      <c r="T186" t="s">
        <v>868</v>
      </c>
    </row>
    <row r="187" spans="1:20" customFormat="1" ht="15" x14ac:dyDescent="0.25">
      <c r="A187" t="s">
        <v>24</v>
      </c>
      <c r="B187" t="s">
        <v>193</v>
      </c>
      <c r="C187" t="str">
        <f>"A0095532"</f>
        <v>A0095532</v>
      </c>
      <c r="D187" t="s">
        <v>869</v>
      </c>
      <c r="E187" t="s">
        <v>870</v>
      </c>
      <c r="F187" t="s">
        <v>871</v>
      </c>
      <c r="G187" t="s">
        <v>110</v>
      </c>
      <c r="H187">
        <v>92243</v>
      </c>
      <c r="I187" t="s">
        <v>30</v>
      </c>
      <c r="J187" t="s">
        <v>31</v>
      </c>
      <c r="K187" t="s">
        <v>315</v>
      </c>
      <c r="Q187">
        <v>0</v>
      </c>
      <c r="R187">
        <v>145</v>
      </c>
      <c r="S187">
        <v>0</v>
      </c>
      <c r="T187" t="s">
        <v>872</v>
      </c>
    </row>
    <row r="188" spans="1:20" customFormat="1" ht="15" x14ac:dyDescent="0.25">
      <c r="A188" t="s">
        <v>35</v>
      </c>
      <c r="B188" t="s">
        <v>36</v>
      </c>
      <c r="C188" t="str">
        <f>"A0193773"</f>
        <v>A0193773</v>
      </c>
      <c r="D188" t="s">
        <v>873</v>
      </c>
      <c r="E188" t="s">
        <v>874</v>
      </c>
      <c r="F188" t="s">
        <v>875</v>
      </c>
      <c r="G188" t="s">
        <v>190</v>
      </c>
      <c r="H188">
        <v>80577</v>
      </c>
      <c r="I188" t="s">
        <v>30</v>
      </c>
      <c r="J188" t="s">
        <v>41</v>
      </c>
      <c r="K188" t="s">
        <v>42</v>
      </c>
      <c r="Q188">
        <v>0</v>
      </c>
      <c r="R188">
        <v>0</v>
      </c>
      <c r="S188">
        <v>0</v>
      </c>
      <c r="T188" t="s">
        <v>876</v>
      </c>
    </row>
    <row r="189" spans="1:20" customFormat="1" ht="15" x14ac:dyDescent="0.25">
      <c r="A189" t="s">
        <v>35</v>
      </c>
      <c r="B189" t="s">
        <v>36</v>
      </c>
      <c r="C189" t="str">
        <f>"A0193772"</f>
        <v>A0193772</v>
      </c>
      <c r="D189" t="s">
        <v>877</v>
      </c>
      <c r="E189" t="s">
        <v>878</v>
      </c>
      <c r="F189" t="s">
        <v>879</v>
      </c>
      <c r="G189" t="s">
        <v>880</v>
      </c>
      <c r="H189">
        <v>37803</v>
      </c>
      <c r="I189" t="s">
        <v>30</v>
      </c>
      <c r="J189" t="s">
        <v>41</v>
      </c>
      <c r="K189" t="s">
        <v>42</v>
      </c>
      <c r="Q189">
        <v>0</v>
      </c>
      <c r="R189">
        <v>0</v>
      </c>
      <c r="S189">
        <v>0</v>
      </c>
      <c r="T189" t="s">
        <v>881</v>
      </c>
    </row>
    <row r="190" spans="1:20" customFormat="1" ht="15" x14ac:dyDescent="0.25">
      <c r="A190" t="s">
        <v>35</v>
      </c>
      <c r="B190" t="s">
        <v>401</v>
      </c>
      <c r="C190" t="str">
        <f>"A0193771"</f>
        <v>A0193771</v>
      </c>
      <c r="D190" t="s">
        <v>882</v>
      </c>
      <c r="E190" t="s">
        <v>883</v>
      </c>
      <c r="F190" t="s">
        <v>288</v>
      </c>
      <c r="G190" t="s">
        <v>289</v>
      </c>
      <c r="H190">
        <v>60603</v>
      </c>
      <c r="I190" t="s">
        <v>30</v>
      </c>
      <c r="J190" t="s">
        <v>41</v>
      </c>
      <c r="K190" t="s">
        <v>391</v>
      </c>
      <c r="Q190">
        <v>0</v>
      </c>
      <c r="R190">
        <v>0</v>
      </c>
      <c r="S190">
        <v>0</v>
      </c>
      <c r="T190" t="s">
        <v>884</v>
      </c>
    </row>
    <row r="191" spans="1:20" customFormat="1" ht="15" x14ac:dyDescent="0.25">
      <c r="A191" t="s">
        <v>35</v>
      </c>
      <c r="B191" t="s">
        <v>401</v>
      </c>
      <c r="C191" t="str">
        <f>"A0193770"</f>
        <v>A0193770</v>
      </c>
      <c r="D191" t="s">
        <v>885</v>
      </c>
      <c r="E191" t="s">
        <v>886</v>
      </c>
      <c r="F191" t="s">
        <v>288</v>
      </c>
      <c r="G191" t="s">
        <v>289</v>
      </c>
      <c r="H191">
        <v>60603</v>
      </c>
      <c r="I191" t="s">
        <v>30</v>
      </c>
      <c r="J191" t="s">
        <v>41</v>
      </c>
      <c r="K191" t="s">
        <v>391</v>
      </c>
      <c r="Q191">
        <v>0</v>
      </c>
      <c r="R191">
        <v>0</v>
      </c>
      <c r="S191">
        <v>0</v>
      </c>
      <c r="T191" t="s">
        <v>884</v>
      </c>
    </row>
    <row r="192" spans="1:20" customFormat="1" ht="15" x14ac:dyDescent="0.25">
      <c r="A192" t="s">
        <v>35</v>
      </c>
      <c r="B192" t="s">
        <v>887</v>
      </c>
      <c r="C192" t="str">
        <f>"A0193769"</f>
        <v>A0193769</v>
      </c>
      <c r="D192" t="s">
        <v>888</v>
      </c>
      <c r="E192" t="s">
        <v>889</v>
      </c>
      <c r="F192" t="s">
        <v>890</v>
      </c>
      <c r="G192" t="s">
        <v>381</v>
      </c>
      <c r="H192">
        <v>46307</v>
      </c>
      <c r="I192" t="s">
        <v>30</v>
      </c>
      <c r="J192" t="s">
        <v>41</v>
      </c>
      <c r="K192" t="s">
        <v>59</v>
      </c>
      <c r="Q192">
        <v>0</v>
      </c>
      <c r="R192">
        <v>0</v>
      </c>
      <c r="S192">
        <v>0</v>
      </c>
      <c r="T192" t="s">
        <v>72</v>
      </c>
    </row>
    <row r="193" spans="1:20" customFormat="1" ht="15" x14ac:dyDescent="0.25">
      <c r="A193" t="s">
        <v>35</v>
      </c>
      <c r="B193" t="s">
        <v>891</v>
      </c>
      <c r="C193" t="str">
        <f>"A0193768"</f>
        <v>A0193768</v>
      </c>
      <c r="D193" t="s">
        <v>892</v>
      </c>
      <c r="E193" t="s">
        <v>893</v>
      </c>
      <c r="F193" t="s">
        <v>894</v>
      </c>
      <c r="G193" t="s">
        <v>117</v>
      </c>
      <c r="H193">
        <v>48331</v>
      </c>
      <c r="I193" t="s">
        <v>30</v>
      </c>
      <c r="J193" t="s">
        <v>41</v>
      </c>
      <c r="K193" t="s">
        <v>290</v>
      </c>
      <c r="Q193">
        <v>0</v>
      </c>
      <c r="R193">
        <v>0</v>
      </c>
      <c r="S193">
        <v>0</v>
      </c>
      <c r="T193" t="s">
        <v>895</v>
      </c>
    </row>
    <row r="194" spans="1:20" customFormat="1" ht="15" x14ac:dyDescent="0.25">
      <c r="A194" t="s">
        <v>35</v>
      </c>
      <c r="B194" t="s">
        <v>61</v>
      </c>
      <c r="C194" t="str">
        <f>"A0193767"</f>
        <v>A0193767</v>
      </c>
      <c r="D194" t="s">
        <v>896</v>
      </c>
      <c r="E194" t="s">
        <v>897</v>
      </c>
      <c r="F194" t="s">
        <v>898</v>
      </c>
      <c r="G194" t="s">
        <v>899</v>
      </c>
      <c r="H194">
        <v>1605</v>
      </c>
      <c r="I194" t="s">
        <v>30</v>
      </c>
      <c r="J194" t="s">
        <v>41</v>
      </c>
      <c r="K194" t="s">
        <v>59</v>
      </c>
      <c r="Q194">
        <v>0</v>
      </c>
      <c r="R194">
        <v>0</v>
      </c>
      <c r="S194">
        <v>0</v>
      </c>
      <c r="T194" t="s">
        <v>72</v>
      </c>
    </row>
    <row r="195" spans="1:20" customFormat="1" ht="15" x14ac:dyDescent="0.25">
      <c r="A195" t="s">
        <v>35</v>
      </c>
      <c r="B195" t="s">
        <v>61</v>
      </c>
      <c r="C195" t="str">
        <f>"A0193766"</f>
        <v>A0193766</v>
      </c>
      <c r="D195" t="s">
        <v>900</v>
      </c>
      <c r="E195" t="s">
        <v>901</v>
      </c>
      <c r="F195" t="s">
        <v>902</v>
      </c>
      <c r="G195" t="s">
        <v>221</v>
      </c>
      <c r="H195">
        <v>89118</v>
      </c>
      <c r="I195" t="s">
        <v>30</v>
      </c>
      <c r="J195" t="s">
        <v>41</v>
      </c>
      <c r="K195" t="s">
        <v>229</v>
      </c>
      <c r="Q195">
        <v>0</v>
      </c>
      <c r="R195">
        <v>0</v>
      </c>
      <c r="S195">
        <v>0</v>
      </c>
      <c r="T195" t="s">
        <v>903</v>
      </c>
    </row>
    <row r="196" spans="1:20" customFormat="1" ht="15" x14ac:dyDescent="0.25">
      <c r="A196" t="s">
        <v>35</v>
      </c>
      <c r="B196" t="s">
        <v>61</v>
      </c>
      <c r="C196" t="str">
        <f>"A0193765"</f>
        <v>A0193765</v>
      </c>
      <c r="D196" t="s">
        <v>904</v>
      </c>
      <c r="E196" t="s">
        <v>905</v>
      </c>
      <c r="F196" t="s">
        <v>906</v>
      </c>
      <c r="G196" t="s">
        <v>221</v>
      </c>
      <c r="H196">
        <v>89509</v>
      </c>
      <c r="I196" t="s">
        <v>30</v>
      </c>
      <c r="J196" t="s">
        <v>41</v>
      </c>
      <c r="K196" t="s">
        <v>229</v>
      </c>
      <c r="Q196">
        <v>0</v>
      </c>
      <c r="R196">
        <v>0</v>
      </c>
      <c r="S196">
        <v>0</v>
      </c>
      <c r="T196" t="s">
        <v>72</v>
      </c>
    </row>
    <row r="197" spans="1:20" customFormat="1" ht="15" x14ac:dyDescent="0.25">
      <c r="A197" t="s">
        <v>35</v>
      </c>
      <c r="B197" t="s">
        <v>61</v>
      </c>
      <c r="C197" t="str">
        <f>"A0193764"</f>
        <v>A0193764</v>
      </c>
      <c r="D197" t="s">
        <v>907</v>
      </c>
      <c r="E197" t="s">
        <v>908</v>
      </c>
      <c r="F197" t="s">
        <v>909</v>
      </c>
      <c r="G197" t="s">
        <v>221</v>
      </c>
      <c r="H197">
        <v>89436</v>
      </c>
      <c r="I197" t="s">
        <v>30</v>
      </c>
      <c r="J197" t="s">
        <v>41</v>
      </c>
      <c r="K197" t="s">
        <v>229</v>
      </c>
      <c r="Q197">
        <v>0</v>
      </c>
      <c r="R197">
        <v>0</v>
      </c>
      <c r="S197">
        <v>0</v>
      </c>
      <c r="T197" t="s">
        <v>72</v>
      </c>
    </row>
    <row r="198" spans="1:20" customFormat="1" ht="15" x14ac:dyDescent="0.25">
      <c r="A198" t="s">
        <v>35</v>
      </c>
      <c r="B198" t="s">
        <v>61</v>
      </c>
      <c r="C198" t="str">
        <f>"A0193763"</f>
        <v>A0193763</v>
      </c>
      <c r="D198" t="s">
        <v>910</v>
      </c>
      <c r="E198" t="s">
        <v>911</v>
      </c>
      <c r="F198" t="s">
        <v>912</v>
      </c>
      <c r="G198" t="s">
        <v>99</v>
      </c>
      <c r="H198">
        <v>11743</v>
      </c>
      <c r="I198" t="s">
        <v>30</v>
      </c>
      <c r="J198" t="s">
        <v>41</v>
      </c>
      <c r="K198" t="s">
        <v>42</v>
      </c>
      <c r="Q198">
        <v>0</v>
      </c>
      <c r="R198">
        <v>0</v>
      </c>
      <c r="S198">
        <v>0</v>
      </c>
      <c r="T198" t="s">
        <v>913</v>
      </c>
    </row>
    <row r="199" spans="1:20" customFormat="1" ht="15" x14ac:dyDescent="0.25">
      <c r="A199" t="s">
        <v>35</v>
      </c>
      <c r="B199" t="s">
        <v>61</v>
      </c>
      <c r="C199" t="str">
        <f>"A0193762"</f>
        <v>A0193762</v>
      </c>
      <c r="D199" t="s">
        <v>914</v>
      </c>
      <c r="E199" t="s">
        <v>915</v>
      </c>
      <c r="F199" t="s">
        <v>916</v>
      </c>
      <c r="G199" t="s">
        <v>65</v>
      </c>
      <c r="H199">
        <v>44077</v>
      </c>
      <c r="I199" t="s">
        <v>30</v>
      </c>
      <c r="J199" t="s">
        <v>41</v>
      </c>
      <c r="K199" t="s">
        <v>59</v>
      </c>
      <c r="Q199">
        <v>0</v>
      </c>
      <c r="R199">
        <v>0</v>
      </c>
      <c r="S199">
        <v>20</v>
      </c>
      <c r="T199" t="s">
        <v>917</v>
      </c>
    </row>
    <row r="200" spans="1:20" customFormat="1" ht="15" x14ac:dyDescent="0.25">
      <c r="A200" t="s">
        <v>35</v>
      </c>
      <c r="B200" t="s">
        <v>918</v>
      </c>
      <c r="C200" t="str">
        <f>"A0193761"</f>
        <v>A0193761</v>
      </c>
      <c r="D200" t="s">
        <v>919</v>
      </c>
      <c r="E200" t="s">
        <v>920</v>
      </c>
      <c r="F200" t="s">
        <v>921</v>
      </c>
      <c r="G200" t="s">
        <v>161</v>
      </c>
      <c r="H200">
        <v>55934</v>
      </c>
      <c r="I200" t="s">
        <v>30</v>
      </c>
      <c r="J200" t="s">
        <v>41</v>
      </c>
      <c r="K200" t="s">
        <v>59</v>
      </c>
      <c r="Q200">
        <v>0</v>
      </c>
      <c r="R200">
        <v>0</v>
      </c>
      <c r="S200">
        <v>34</v>
      </c>
      <c r="T200" t="s">
        <v>72</v>
      </c>
    </row>
    <row r="201" spans="1:20" customFormat="1" ht="15" x14ac:dyDescent="0.25">
      <c r="A201" t="s">
        <v>35</v>
      </c>
      <c r="B201" t="s">
        <v>918</v>
      </c>
      <c r="C201" t="str">
        <f>"A0193760"</f>
        <v>A0193760</v>
      </c>
      <c r="D201" t="s">
        <v>922</v>
      </c>
      <c r="E201" t="s">
        <v>923</v>
      </c>
      <c r="F201" t="s">
        <v>924</v>
      </c>
      <c r="G201" t="s">
        <v>925</v>
      </c>
      <c r="H201">
        <v>52159</v>
      </c>
      <c r="I201" t="s">
        <v>30</v>
      </c>
      <c r="J201" t="s">
        <v>41</v>
      </c>
      <c r="K201" t="s">
        <v>59</v>
      </c>
      <c r="Q201">
        <v>0</v>
      </c>
      <c r="R201">
        <v>0</v>
      </c>
      <c r="S201">
        <v>34</v>
      </c>
      <c r="T201" t="s">
        <v>72</v>
      </c>
    </row>
    <row r="202" spans="1:20" customFormat="1" ht="15" x14ac:dyDescent="0.25">
      <c r="A202" t="s">
        <v>35</v>
      </c>
      <c r="B202" t="s">
        <v>918</v>
      </c>
      <c r="C202" t="str">
        <f>"A0193759"</f>
        <v>A0193759</v>
      </c>
      <c r="D202" t="s">
        <v>926</v>
      </c>
      <c r="E202" t="s">
        <v>927</v>
      </c>
      <c r="F202" t="s">
        <v>928</v>
      </c>
      <c r="G202" t="s">
        <v>161</v>
      </c>
      <c r="H202">
        <v>56026</v>
      </c>
      <c r="I202" t="s">
        <v>30</v>
      </c>
      <c r="J202" t="s">
        <v>41</v>
      </c>
      <c r="K202" t="s">
        <v>59</v>
      </c>
      <c r="Q202">
        <v>0</v>
      </c>
      <c r="R202">
        <v>0</v>
      </c>
      <c r="S202">
        <v>32</v>
      </c>
      <c r="T202" t="s">
        <v>72</v>
      </c>
    </row>
    <row r="203" spans="1:20" customFormat="1" ht="15" x14ac:dyDescent="0.25">
      <c r="A203" t="s">
        <v>35</v>
      </c>
      <c r="B203" t="s">
        <v>918</v>
      </c>
      <c r="C203" t="str">
        <f>"A0193758"</f>
        <v>A0193758</v>
      </c>
      <c r="D203" t="s">
        <v>929</v>
      </c>
      <c r="E203" t="s">
        <v>930</v>
      </c>
      <c r="F203" t="s">
        <v>931</v>
      </c>
      <c r="G203" t="s">
        <v>71</v>
      </c>
      <c r="H203">
        <v>54913</v>
      </c>
      <c r="I203" t="s">
        <v>30</v>
      </c>
      <c r="J203" t="s">
        <v>41</v>
      </c>
      <c r="K203" t="s">
        <v>59</v>
      </c>
      <c r="Q203">
        <v>0</v>
      </c>
      <c r="R203">
        <v>0</v>
      </c>
      <c r="S203">
        <v>24</v>
      </c>
      <c r="T203" t="s">
        <v>72</v>
      </c>
    </row>
    <row r="204" spans="1:20" customFormat="1" ht="15" x14ac:dyDescent="0.25">
      <c r="A204" t="s">
        <v>35</v>
      </c>
      <c r="B204" t="s">
        <v>918</v>
      </c>
      <c r="C204" t="str">
        <f>"A0193757"</f>
        <v>A0193757</v>
      </c>
      <c r="D204" t="s">
        <v>932</v>
      </c>
      <c r="E204" t="s">
        <v>933</v>
      </c>
      <c r="F204" t="s">
        <v>934</v>
      </c>
      <c r="G204" t="s">
        <v>161</v>
      </c>
      <c r="H204">
        <v>55939</v>
      </c>
      <c r="I204" t="s">
        <v>30</v>
      </c>
      <c r="J204" t="s">
        <v>41</v>
      </c>
      <c r="K204" t="s">
        <v>59</v>
      </c>
      <c r="Q204">
        <v>0</v>
      </c>
      <c r="R204">
        <v>0</v>
      </c>
      <c r="S204">
        <v>24</v>
      </c>
      <c r="T204" t="s">
        <v>72</v>
      </c>
    </row>
    <row r="205" spans="1:20" customFormat="1" ht="15" x14ac:dyDescent="0.25">
      <c r="A205" t="s">
        <v>35</v>
      </c>
      <c r="B205" t="s">
        <v>935</v>
      </c>
      <c r="C205" t="str">
        <f>"A0193756"</f>
        <v>A0193756</v>
      </c>
      <c r="D205" t="s">
        <v>936</v>
      </c>
      <c r="E205" t="s">
        <v>937</v>
      </c>
      <c r="F205" t="s">
        <v>938</v>
      </c>
      <c r="G205" t="s">
        <v>76</v>
      </c>
      <c r="H205">
        <v>99111</v>
      </c>
      <c r="I205" t="s">
        <v>30</v>
      </c>
      <c r="J205" t="s">
        <v>41</v>
      </c>
      <c r="K205" t="s">
        <v>229</v>
      </c>
      <c r="Q205">
        <v>0</v>
      </c>
      <c r="R205">
        <v>0</v>
      </c>
      <c r="S205">
        <v>55</v>
      </c>
      <c r="T205" t="s">
        <v>939</v>
      </c>
    </row>
    <row r="206" spans="1:20" customFormat="1" ht="15" x14ac:dyDescent="0.25">
      <c r="A206" t="s">
        <v>35</v>
      </c>
      <c r="B206" t="s">
        <v>935</v>
      </c>
      <c r="C206" t="str">
        <f>"A0193755"</f>
        <v>A0193755</v>
      </c>
      <c r="D206" t="s">
        <v>940</v>
      </c>
      <c r="E206" t="s">
        <v>941</v>
      </c>
      <c r="F206" t="s">
        <v>942</v>
      </c>
      <c r="G206" t="s">
        <v>76</v>
      </c>
      <c r="H206">
        <v>98290</v>
      </c>
      <c r="I206" t="s">
        <v>30</v>
      </c>
      <c r="J206" t="s">
        <v>41</v>
      </c>
      <c r="K206" t="s">
        <v>229</v>
      </c>
      <c r="Q206">
        <v>0</v>
      </c>
      <c r="R206">
        <v>0</v>
      </c>
      <c r="S206">
        <v>91</v>
      </c>
      <c r="T206" t="s">
        <v>943</v>
      </c>
    </row>
    <row r="207" spans="1:20" customFormat="1" ht="15" x14ac:dyDescent="0.25">
      <c r="A207" t="s">
        <v>35</v>
      </c>
      <c r="B207" t="s">
        <v>935</v>
      </c>
      <c r="C207" t="str">
        <f>"A0193754"</f>
        <v>A0193754</v>
      </c>
      <c r="D207" t="s">
        <v>944</v>
      </c>
      <c r="E207" t="s">
        <v>945</v>
      </c>
      <c r="F207" t="s">
        <v>946</v>
      </c>
      <c r="G207" t="s">
        <v>433</v>
      </c>
      <c r="H207">
        <v>83501</v>
      </c>
      <c r="I207" t="s">
        <v>30</v>
      </c>
      <c r="J207" t="s">
        <v>41</v>
      </c>
      <c r="K207" t="s">
        <v>229</v>
      </c>
      <c r="Q207">
        <v>0</v>
      </c>
      <c r="R207">
        <v>0</v>
      </c>
      <c r="S207">
        <v>63</v>
      </c>
      <c r="T207" t="s">
        <v>947</v>
      </c>
    </row>
    <row r="208" spans="1:20" customFormat="1" ht="15" x14ac:dyDescent="0.25">
      <c r="A208" t="s">
        <v>35</v>
      </c>
      <c r="B208" t="s">
        <v>935</v>
      </c>
      <c r="C208" t="str">
        <f>"A0193753"</f>
        <v>A0193753</v>
      </c>
      <c r="D208" t="s">
        <v>948</v>
      </c>
      <c r="E208" t="s">
        <v>949</v>
      </c>
      <c r="F208" t="s">
        <v>950</v>
      </c>
      <c r="G208" t="s">
        <v>76</v>
      </c>
      <c r="H208">
        <v>98229</v>
      </c>
      <c r="I208" t="s">
        <v>30</v>
      </c>
      <c r="J208" t="s">
        <v>41</v>
      </c>
      <c r="K208" t="s">
        <v>229</v>
      </c>
      <c r="Q208">
        <v>0</v>
      </c>
      <c r="R208">
        <v>0</v>
      </c>
      <c r="S208">
        <v>44</v>
      </c>
      <c r="T208" t="s">
        <v>951</v>
      </c>
    </row>
    <row r="209" spans="1:25" customFormat="1" ht="15" x14ac:dyDescent="0.25">
      <c r="A209" t="s">
        <v>35</v>
      </c>
      <c r="B209" t="s">
        <v>935</v>
      </c>
      <c r="C209" t="str">
        <f>"A0193752"</f>
        <v>A0193752</v>
      </c>
      <c r="D209" t="s">
        <v>952</v>
      </c>
      <c r="E209" t="s">
        <v>953</v>
      </c>
      <c r="F209" t="s">
        <v>954</v>
      </c>
      <c r="G209" t="s">
        <v>76</v>
      </c>
      <c r="H209">
        <v>98225</v>
      </c>
      <c r="I209" t="s">
        <v>30</v>
      </c>
      <c r="J209" t="s">
        <v>41</v>
      </c>
      <c r="K209" t="s">
        <v>229</v>
      </c>
      <c r="Q209">
        <v>0</v>
      </c>
      <c r="R209">
        <v>0</v>
      </c>
      <c r="S209">
        <v>102</v>
      </c>
      <c r="T209" t="s">
        <v>955</v>
      </c>
    </row>
    <row r="210" spans="1:25" customFormat="1" ht="15" x14ac:dyDescent="0.25">
      <c r="A210" t="s">
        <v>35</v>
      </c>
      <c r="B210" t="s">
        <v>935</v>
      </c>
      <c r="C210" t="str">
        <f>"A0193751"</f>
        <v>A0193751</v>
      </c>
      <c r="D210" t="s">
        <v>956</v>
      </c>
      <c r="E210" t="s">
        <v>945</v>
      </c>
      <c r="F210" t="s">
        <v>946</v>
      </c>
      <c r="G210" t="s">
        <v>433</v>
      </c>
      <c r="H210">
        <v>83501</v>
      </c>
      <c r="I210" t="s">
        <v>30</v>
      </c>
      <c r="J210" t="s">
        <v>41</v>
      </c>
      <c r="K210" t="s">
        <v>482</v>
      </c>
      <c r="Q210">
        <v>0</v>
      </c>
      <c r="R210">
        <v>0</v>
      </c>
      <c r="S210">
        <v>110</v>
      </c>
      <c r="T210" t="s">
        <v>947</v>
      </c>
    </row>
    <row r="211" spans="1:25" customFormat="1" ht="15" x14ac:dyDescent="0.25">
      <c r="A211" t="s">
        <v>35</v>
      </c>
      <c r="B211" t="s">
        <v>133</v>
      </c>
      <c r="C211" t="str">
        <f>"A0193750"</f>
        <v>A0193750</v>
      </c>
      <c r="D211" t="s">
        <v>957</v>
      </c>
      <c r="E211" t="s">
        <v>958</v>
      </c>
      <c r="F211" t="s">
        <v>959</v>
      </c>
      <c r="G211" t="s">
        <v>137</v>
      </c>
      <c r="H211">
        <v>65721</v>
      </c>
      <c r="I211" t="s">
        <v>30</v>
      </c>
      <c r="J211" t="s">
        <v>41</v>
      </c>
      <c r="K211" t="s">
        <v>59</v>
      </c>
      <c r="Q211">
        <v>0</v>
      </c>
      <c r="R211">
        <v>0</v>
      </c>
      <c r="S211">
        <v>0</v>
      </c>
      <c r="T211" t="s">
        <v>960</v>
      </c>
    </row>
    <row r="212" spans="1:25" customFormat="1" ht="15" x14ac:dyDescent="0.25">
      <c r="A212" t="s">
        <v>35</v>
      </c>
      <c r="B212" t="s">
        <v>133</v>
      </c>
      <c r="C212" t="str">
        <f>"A0193749"</f>
        <v>A0193749</v>
      </c>
      <c r="D212" t="s">
        <v>961</v>
      </c>
      <c r="E212" t="s">
        <v>962</v>
      </c>
      <c r="F212" t="s">
        <v>963</v>
      </c>
      <c r="G212" t="s">
        <v>137</v>
      </c>
      <c r="H212">
        <v>64601</v>
      </c>
      <c r="I212" t="s">
        <v>30</v>
      </c>
      <c r="J212" t="s">
        <v>41</v>
      </c>
      <c r="K212" t="s">
        <v>59</v>
      </c>
      <c r="Q212">
        <v>0</v>
      </c>
      <c r="R212">
        <v>0</v>
      </c>
      <c r="S212">
        <v>0</v>
      </c>
      <c r="T212" t="s">
        <v>964</v>
      </c>
    </row>
    <row r="213" spans="1:25" customFormat="1" ht="15" x14ac:dyDescent="0.25">
      <c r="A213" t="s">
        <v>35</v>
      </c>
      <c r="B213" t="s">
        <v>133</v>
      </c>
      <c r="C213" t="str">
        <f>"A0193748"</f>
        <v>A0193748</v>
      </c>
      <c r="D213" t="s">
        <v>965</v>
      </c>
      <c r="E213" t="s">
        <v>966</v>
      </c>
      <c r="F213" t="s">
        <v>967</v>
      </c>
      <c r="G213" t="s">
        <v>137</v>
      </c>
      <c r="H213">
        <v>65010</v>
      </c>
      <c r="I213" t="s">
        <v>30</v>
      </c>
      <c r="J213" t="s">
        <v>41</v>
      </c>
      <c r="K213" t="s">
        <v>59</v>
      </c>
      <c r="Q213">
        <v>0</v>
      </c>
      <c r="R213">
        <v>0</v>
      </c>
      <c r="S213">
        <v>0</v>
      </c>
      <c r="T213" t="s">
        <v>968</v>
      </c>
    </row>
    <row r="214" spans="1:25" customFormat="1" ht="15" x14ac:dyDescent="0.25">
      <c r="A214" t="s">
        <v>24</v>
      </c>
      <c r="B214" t="s">
        <v>814</v>
      </c>
      <c r="C214" t="str">
        <f>"A0089050"</f>
        <v>A0089050</v>
      </c>
      <c r="D214" t="s">
        <v>1620</v>
      </c>
      <c r="E214" t="s">
        <v>1621</v>
      </c>
      <c r="F214" t="s">
        <v>1622</v>
      </c>
      <c r="G214" t="s">
        <v>29</v>
      </c>
      <c r="H214">
        <v>22314</v>
      </c>
      <c r="I214" t="s">
        <v>30</v>
      </c>
      <c r="J214" t="s">
        <v>162</v>
      </c>
      <c r="K214" t="s">
        <v>163</v>
      </c>
      <c r="N214" t="s">
        <v>1623</v>
      </c>
      <c r="Q214">
        <v>0</v>
      </c>
      <c r="R214">
        <v>107</v>
      </c>
      <c r="S214">
        <v>0</v>
      </c>
      <c r="T214" t="s">
        <v>1624</v>
      </c>
    </row>
    <row r="215" spans="1:25" customFormat="1" ht="15" x14ac:dyDescent="0.25">
      <c r="A215" t="s">
        <v>24</v>
      </c>
      <c r="B215" t="s">
        <v>814</v>
      </c>
      <c r="C215" t="str">
        <f>"HY09761"</f>
        <v>HY09761</v>
      </c>
      <c r="D215" t="s">
        <v>1813</v>
      </c>
      <c r="E215" t="s">
        <v>1814</v>
      </c>
      <c r="F215" t="s">
        <v>1525</v>
      </c>
      <c r="G215" t="s">
        <v>65</v>
      </c>
      <c r="H215">
        <v>43215</v>
      </c>
      <c r="I215" t="s">
        <v>30</v>
      </c>
      <c r="J215" t="s">
        <v>162</v>
      </c>
      <c r="K215" t="s">
        <v>1502</v>
      </c>
      <c r="N215" t="s">
        <v>1815</v>
      </c>
      <c r="Q215">
        <v>0</v>
      </c>
      <c r="R215">
        <v>403</v>
      </c>
      <c r="S215">
        <v>0</v>
      </c>
      <c r="T215" t="s">
        <v>1816</v>
      </c>
    </row>
    <row r="216" spans="1:25" x14ac:dyDescent="0.25">
      <c r="A216" s="5" t="s">
        <v>24</v>
      </c>
      <c r="B216" s="5" t="s">
        <v>1842</v>
      </c>
      <c r="C216" s="5" t="str">
        <f>"A0088331"</f>
        <v>A0088331</v>
      </c>
      <c r="D216" s="5" t="s">
        <v>1843</v>
      </c>
      <c r="E216" s="5" t="s">
        <v>1844</v>
      </c>
      <c r="F216" s="5" t="s">
        <v>997</v>
      </c>
      <c r="G216" s="5" t="s">
        <v>99</v>
      </c>
      <c r="H216" s="5">
        <v>10005</v>
      </c>
      <c r="I216" s="5" t="s">
        <v>30</v>
      </c>
      <c r="J216" s="5" t="s">
        <v>162</v>
      </c>
      <c r="K216" s="5" t="s">
        <v>1845</v>
      </c>
      <c r="L216" s="5"/>
      <c r="M216" s="5"/>
      <c r="N216" s="5" t="s">
        <v>1846</v>
      </c>
      <c r="O216" s="5" t="s">
        <v>1847</v>
      </c>
      <c r="P216" s="5"/>
      <c r="Q216" s="5">
        <v>0</v>
      </c>
      <c r="R216" s="5">
        <v>253</v>
      </c>
      <c r="S216" s="5">
        <v>0</v>
      </c>
      <c r="T216" s="5" t="s">
        <v>1848</v>
      </c>
      <c r="U216" s="5"/>
      <c r="V216" s="5"/>
      <c r="W216" s="5"/>
      <c r="X216" s="5"/>
      <c r="Y216" s="5"/>
    </row>
    <row r="217" spans="1:25" customFormat="1" ht="15" x14ac:dyDescent="0.25">
      <c r="A217" t="s">
        <v>24</v>
      </c>
      <c r="B217" t="s">
        <v>988</v>
      </c>
      <c r="C217" t="str">
        <f>"A0052231"</f>
        <v>A0052231</v>
      </c>
      <c r="D217" t="s">
        <v>988</v>
      </c>
      <c r="E217" t="s">
        <v>989</v>
      </c>
      <c r="F217" t="s">
        <v>990</v>
      </c>
      <c r="G217" t="s">
        <v>110</v>
      </c>
      <c r="H217">
        <v>94618</v>
      </c>
      <c r="I217" t="s">
        <v>30</v>
      </c>
      <c r="J217" t="s">
        <v>178</v>
      </c>
      <c r="K217" t="s">
        <v>179</v>
      </c>
      <c r="N217" t="s">
        <v>991</v>
      </c>
      <c r="P217" t="s">
        <v>992</v>
      </c>
      <c r="Q217">
        <v>1</v>
      </c>
      <c r="R217">
        <v>0</v>
      </c>
      <c r="S217">
        <v>0</v>
      </c>
      <c r="T217" t="s">
        <v>993</v>
      </c>
    </row>
    <row r="218" spans="1:25" customFormat="1" ht="15" x14ac:dyDescent="0.25">
      <c r="A218" t="s">
        <v>24</v>
      </c>
      <c r="B218" t="s">
        <v>994</v>
      </c>
      <c r="C218" t="str">
        <f>"A0165210"</f>
        <v>A0165210</v>
      </c>
      <c r="D218" t="s">
        <v>995</v>
      </c>
      <c r="E218" t="s">
        <v>996</v>
      </c>
      <c r="F218" t="s">
        <v>997</v>
      </c>
      <c r="G218" t="s">
        <v>99</v>
      </c>
      <c r="H218">
        <v>10013</v>
      </c>
      <c r="I218" t="s">
        <v>30</v>
      </c>
      <c r="J218" t="s">
        <v>687</v>
      </c>
      <c r="K218" t="s">
        <v>163</v>
      </c>
      <c r="N218" t="s">
        <v>998</v>
      </c>
      <c r="O218" t="s">
        <v>999</v>
      </c>
      <c r="Q218">
        <v>0</v>
      </c>
      <c r="R218">
        <v>0</v>
      </c>
      <c r="S218">
        <v>0</v>
      </c>
      <c r="T218" t="s">
        <v>1000</v>
      </c>
    </row>
    <row r="219" spans="1:25" customFormat="1" ht="15" x14ac:dyDescent="0.25">
      <c r="A219" t="s">
        <v>24</v>
      </c>
      <c r="B219" t="s">
        <v>994</v>
      </c>
      <c r="C219" t="str">
        <f>"A0165209"</f>
        <v>A0165209</v>
      </c>
      <c r="D219" t="s">
        <v>1001</v>
      </c>
      <c r="E219" t="s">
        <v>1002</v>
      </c>
      <c r="F219" t="s">
        <v>1003</v>
      </c>
      <c r="G219" t="s">
        <v>81</v>
      </c>
      <c r="H219">
        <v>33139</v>
      </c>
      <c r="I219" t="s">
        <v>30</v>
      </c>
      <c r="J219" t="s">
        <v>1004</v>
      </c>
      <c r="K219" t="s">
        <v>163</v>
      </c>
      <c r="N219" t="s">
        <v>1005</v>
      </c>
      <c r="O219" t="s">
        <v>1006</v>
      </c>
      <c r="Q219">
        <v>0</v>
      </c>
      <c r="R219">
        <v>0</v>
      </c>
      <c r="S219">
        <v>0</v>
      </c>
      <c r="T219" t="s">
        <v>1007</v>
      </c>
    </row>
    <row r="220" spans="1:25" customFormat="1" ht="15" x14ac:dyDescent="0.25">
      <c r="A220" t="s">
        <v>24</v>
      </c>
      <c r="B220" t="s">
        <v>1008</v>
      </c>
      <c r="C220" t="str">
        <f>"A0164882"</f>
        <v>A0164882</v>
      </c>
      <c r="D220" t="s">
        <v>1009</v>
      </c>
      <c r="E220" t="s">
        <v>1010</v>
      </c>
      <c r="F220" t="s">
        <v>1011</v>
      </c>
      <c r="G220" t="s">
        <v>338</v>
      </c>
      <c r="H220">
        <v>8205</v>
      </c>
      <c r="I220" t="s">
        <v>30</v>
      </c>
      <c r="J220" t="s">
        <v>31</v>
      </c>
      <c r="K220" t="s">
        <v>32</v>
      </c>
      <c r="N220" t="s">
        <v>1012</v>
      </c>
      <c r="Q220">
        <v>0</v>
      </c>
      <c r="R220">
        <v>126</v>
      </c>
      <c r="S220">
        <v>0</v>
      </c>
      <c r="T220" t="s">
        <v>1013</v>
      </c>
    </row>
    <row r="221" spans="1:25" customFormat="1" ht="15" x14ac:dyDescent="0.25">
      <c r="A221" t="s">
        <v>24</v>
      </c>
      <c r="B221" t="s">
        <v>1862</v>
      </c>
      <c r="C221" t="str">
        <f>"A0089407"</f>
        <v>A0089407</v>
      </c>
      <c r="D221" t="s">
        <v>1863</v>
      </c>
      <c r="E221" t="s">
        <v>1864</v>
      </c>
      <c r="F221" t="s">
        <v>1865</v>
      </c>
      <c r="G221" t="s">
        <v>110</v>
      </c>
      <c r="H221">
        <v>90405</v>
      </c>
      <c r="I221" t="s">
        <v>30</v>
      </c>
      <c r="J221" t="s">
        <v>162</v>
      </c>
      <c r="K221" t="s">
        <v>847</v>
      </c>
      <c r="N221" t="s">
        <v>1866</v>
      </c>
      <c r="O221" t="s">
        <v>1867</v>
      </c>
      <c r="Q221">
        <v>0</v>
      </c>
      <c r="R221">
        <v>347</v>
      </c>
      <c r="S221">
        <v>0</v>
      </c>
      <c r="T221" t="s">
        <v>1868</v>
      </c>
    </row>
    <row r="222" spans="1:25" customFormat="1" ht="15" x14ac:dyDescent="0.25">
      <c r="A222" t="s">
        <v>24</v>
      </c>
      <c r="B222" t="s">
        <v>1894</v>
      </c>
      <c r="C222" t="str">
        <f>"A0095309"</f>
        <v>A0095309</v>
      </c>
      <c r="D222" t="s">
        <v>1895</v>
      </c>
      <c r="E222" t="s">
        <v>1896</v>
      </c>
      <c r="F222" t="s">
        <v>1897</v>
      </c>
      <c r="G222" t="s">
        <v>1898</v>
      </c>
      <c r="H222">
        <v>50010</v>
      </c>
      <c r="I222" t="s">
        <v>30</v>
      </c>
      <c r="J222" t="s">
        <v>162</v>
      </c>
      <c r="K222" t="s">
        <v>854</v>
      </c>
      <c r="N222" t="s">
        <v>1899</v>
      </c>
      <c r="Q222">
        <v>0</v>
      </c>
      <c r="R222">
        <v>75</v>
      </c>
      <c r="S222">
        <v>0</v>
      </c>
      <c r="T222" t="s">
        <v>1900</v>
      </c>
    </row>
    <row r="223" spans="1:25" customFormat="1" ht="15" x14ac:dyDescent="0.25">
      <c r="A223" t="s">
        <v>24</v>
      </c>
      <c r="B223" t="s">
        <v>1020</v>
      </c>
      <c r="C223" t="str">
        <f>"A0192064"</f>
        <v>A0192064</v>
      </c>
      <c r="D223" t="s">
        <v>1026</v>
      </c>
      <c r="E223" t="s">
        <v>1022</v>
      </c>
      <c r="F223" t="s">
        <v>693</v>
      </c>
      <c r="G223" t="s">
        <v>110</v>
      </c>
      <c r="H223">
        <v>90808</v>
      </c>
      <c r="I223" t="s">
        <v>30</v>
      </c>
      <c r="J223" t="s">
        <v>31</v>
      </c>
      <c r="K223" t="s">
        <v>198</v>
      </c>
      <c r="N223" t="s">
        <v>1024</v>
      </c>
      <c r="Q223">
        <v>0</v>
      </c>
      <c r="R223">
        <v>143</v>
      </c>
      <c r="S223">
        <v>0</v>
      </c>
      <c r="T223" t="s">
        <v>1027</v>
      </c>
    </row>
    <row r="224" spans="1:25" customFormat="1" ht="15" x14ac:dyDescent="0.25">
      <c r="A224" t="s">
        <v>35</v>
      </c>
      <c r="B224" t="s">
        <v>1028</v>
      </c>
      <c r="C224" t="str">
        <f>"A0157986"</f>
        <v>A0157986</v>
      </c>
      <c r="D224" t="s">
        <v>1029</v>
      </c>
      <c r="E224" t="s">
        <v>1030</v>
      </c>
      <c r="F224" t="s">
        <v>1031</v>
      </c>
      <c r="G224" t="s">
        <v>76</v>
      </c>
      <c r="H224">
        <v>98023</v>
      </c>
      <c r="I224" t="s">
        <v>30</v>
      </c>
      <c r="J224" t="s">
        <v>41</v>
      </c>
      <c r="K224" t="s">
        <v>1032</v>
      </c>
      <c r="Q224">
        <v>0</v>
      </c>
      <c r="R224">
        <v>60</v>
      </c>
      <c r="S224">
        <v>60</v>
      </c>
      <c r="T224" t="s">
        <v>1033</v>
      </c>
    </row>
    <row r="225" spans="1:20" customFormat="1" ht="15" x14ac:dyDescent="0.25">
      <c r="A225" t="s">
        <v>35</v>
      </c>
      <c r="B225" t="s">
        <v>1028</v>
      </c>
      <c r="C225" t="str">
        <f>"A0153290"</f>
        <v>A0153290</v>
      </c>
      <c r="D225" t="s">
        <v>1034</v>
      </c>
      <c r="E225" t="s">
        <v>1035</v>
      </c>
      <c r="F225" t="s">
        <v>75</v>
      </c>
      <c r="G225" t="s">
        <v>76</v>
      </c>
      <c r="H225">
        <v>99216</v>
      </c>
      <c r="I225" t="s">
        <v>30</v>
      </c>
      <c r="J225" t="s">
        <v>41</v>
      </c>
      <c r="K225" t="s">
        <v>59</v>
      </c>
      <c r="Q225">
        <v>0</v>
      </c>
      <c r="R225">
        <v>100</v>
      </c>
      <c r="S225">
        <v>100</v>
      </c>
      <c r="T225" t="s">
        <v>1036</v>
      </c>
    </row>
    <row r="226" spans="1:20" customFormat="1" ht="15" x14ac:dyDescent="0.25">
      <c r="A226" t="s">
        <v>35</v>
      </c>
      <c r="B226" t="s">
        <v>1028</v>
      </c>
      <c r="C226" t="str">
        <f>"A0123111"</f>
        <v>A0123111</v>
      </c>
      <c r="D226" t="s">
        <v>1037</v>
      </c>
      <c r="E226" t="s">
        <v>1038</v>
      </c>
      <c r="F226" t="s">
        <v>1039</v>
      </c>
      <c r="G226" t="s">
        <v>76</v>
      </c>
      <c r="H226">
        <v>98402</v>
      </c>
      <c r="I226" t="s">
        <v>30</v>
      </c>
      <c r="J226" t="s">
        <v>41</v>
      </c>
      <c r="K226" t="s">
        <v>59</v>
      </c>
      <c r="Q226">
        <v>0</v>
      </c>
      <c r="R226">
        <v>40</v>
      </c>
      <c r="S226">
        <v>40</v>
      </c>
      <c r="T226" t="s">
        <v>1040</v>
      </c>
    </row>
    <row r="227" spans="1:20" customFormat="1" ht="15" x14ac:dyDescent="0.25">
      <c r="A227" t="s">
        <v>35</v>
      </c>
      <c r="B227" t="s">
        <v>1028</v>
      </c>
      <c r="C227" t="str">
        <f>"A0122883"</f>
        <v>A0122883</v>
      </c>
      <c r="D227" t="s">
        <v>1041</v>
      </c>
      <c r="E227" t="s">
        <v>1042</v>
      </c>
      <c r="F227" t="s">
        <v>1043</v>
      </c>
      <c r="G227" t="s">
        <v>76</v>
      </c>
      <c r="H227">
        <v>98390</v>
      </c>
      <c r="I227" t="s">
        <v>30</v>
      </c>
      <c r="J227" t="s">
        <v>41</v>
      </c>
      <c r="K227" t="s">
        <v>1032</v>
      </c>
      <c r="Q227">
        <v>0</v>
      </c>
      <c r="R227">
        <v>50</v>
      </c>
      <c r="S227">
        <v>50</v>
      </c>
      <c r="T227" t="s">
        <v>1044</v>
      </c>
    </row>
    <row r="228" spans="1:20" customFormat="1" ht="15" x14ac:dyDescent="0.25">
      <c r="A228" t="s">
        <v>35</v>
      </c>
      <c r="B228" t="s">
        <v>1028</v>
      </c>
      <c r="C228" t="str">
        <f>"A0122776"</f>
        <v>A0122776</v>
      </c>
      <c r="D228" t="s">
        <v>1045</v>
      </c>
      <c r="E228" t="s">
        <v>1046</v>
      </c>
      <c r="F228" t="s">
        <v>1047</v>
      </c>
      <c r="G228" t="s">
        <v>76</v>
      </c>
      <c r="H228">
        <v>98275</v>
      </c>
      <c r="I228" t="s">
        <v>30</v>
      </c>
      <c r="J228" t="s">
        <v>41</v>
      </c>
      <c r="K228" t="s">
        <v>482</v>
      </c>
      <c r="Q228">
        <v>0</v>
      </c>
      <c r="R228">
        <v>100</v>
      </c>
      <c r="S228">
        <v>100</v>
      </c>
      <c r="T228" t="s">
        <v>1048</v>
      </c>
    </row>
    <row r="229" spans="1:20" customFormat="1" ht="15" x14ac:dyDescent="0.25">
      <c r="A229" t="s">
        <v>35</v>
      </c>
      <c r="B229" t="s">
        <v>1028</v>
      </c>
      <c r="C229" t="str">
        <f>"A0122639"</f>
        <v>A0122639</v>
      </c>
      <c r="D229" t="s">
        <v>1049</v>
      </c>
      <c r="E229" t="s">
        <v>1050</v>
      </c>
      <c r="F229" t="s">
        <v>1039</v>
      </c>
      <c r="G229" t="s">
        <v>76</v>
      </c>
      <c r="H229">
        <v>98445</v>
      </c>
      <c r="I229" t="s">
        <v>30</v>
      </c>
      <c r="J229" t="s">
        <v>41</v>
      </c>
      <c r="K229" t="s">
        <v>59</v>
      </c>
      <c r="Q229">
        <v>0</v>
      </c>
      <c r="R229">
        <v>1</v>
      </c>
      <c r="S229">
        <v>1</v>
      </c>
      <c r="T229" t="s">
        <v>1051</v>
      </c>
    </row>
    <row r="230" spans="1:20" customFormat="1" ht="15" x14ac:dyDescent="0.25">
      <c r="A230" t="s">
        <v>35</v>
      </c>
      <c r="B230" t="s">
        <v>1028</v>
      </c>
      <c r="C230" t="str">
        <f>"A0122614"</f>
        <v>A0122614</v>
      </c>
      <c r="D230" t="s">
        <v>1052</v>
      </c>
      <c r="E230" t="s">
        <v>1053</v>
      </c>
      <c r="F230" t="s">
        <v>1054</v>
      </c>
      <c r="G230" t="s">
        <v>76</v>
      </c>
      <c r="H230">
        <v>98531</v>
      </c>
      <c r="I230" t="s">
        <v>30</v>
      </c>
      <c r="J230" t="s">
        <v>41</v>
      </c>
      <c r="K230" t="s">
        <v>59</v>
      </c>
      <c r="Q230">
        <v>0</v>
      </c>
      <c r="R230">
        <v>74</v>
      </c>
      <c r="S230">
        <v>74</v>
      </c>
      <c r="T230" t="s">
        <v>1055</v>
      </c>
    </row>
    <row r="231" spans="1:20" customFormat="1" ht="15" x14ac:dyDescent="0.25">
      <c r="A231" t="s">
        <v>35</v>
      </c>
      <c r="B231" t="s">
        <v>1028</v>
      </c>
      <c r="C231" t="str">
        <f>"A0122613"</f>
        <v>A0122613</v>
      </c>
      <c r="D231" t="s">
        <v>1056</v>
      </c>
      <c r="E231" t="s">
        <v>1057</v>
      </c>
      <c r="F231" t="s">
        <v>1058</v>
      </c>
      <c r="G231" t="s">
        <v>76</v>
      </c>
      <c r="H231">
        <v>98506</v>
      </c>
      <c r="I231" t="s">
        <v>30</v>
      </c>
      <c r="J231" t="s">
        <v>41</v>
      </c>
      <c r="K231" t="s">
        <v>59</v>
      </c>
      <c r="Q231">
        <v>0</v>
      </c>
      <c r="R231">
        <v>100</v>
      </c>
      <c r="S231">
        <v>100</v>
      </c>
      <c r="T231" t="s">
        <v>1059</v>
      </c>
    </row>
    <row r="232" spans="1:20" customFormat="1" ht="15" x14ac:dyDescent="0.25">
      <c r="A232" t="s">
        <v>35</v>
      </c>
      <c r="B232" t="s">
        <v>1028</v>
      </c>
      <c r="C232" t="str">
        <f>"A0122612"</f>
        <v>A0122612</v>
      </c>
      <c r="D232" t="s">
        <v>1060</v>
      </c>
      <c r="E232" t="s">
        <v>1061</v>
      </c>
      <c r="F232" t="s">
        <v>1062</v>
      </c>
      <c r="G232" t="s">
        <v>76</v>
      </c>
      <c r="H232">
        <v>98284</v>
      </c>
      <c r="I232" t="s">
        <v>30</v>
      </c>
      <c r="J232" t="s">
        <v>41</v>
      </c>
      <c r="K232" t="s">
        <v>1032</v>
      </c>
      <c r="Q232">
        <v>0</v>
      </c>
      <c r="R232">
        <v>60</v>
      </c>
      <c r="S232">
        <v>60</v>
      </c>
      <c r="T232" t="s">
        <v>1063</v>
      </c>
    </row>
    <row r="233" spans="1:20" customFormat="1" ht="15" x14ac:dyDescent="0.25">
      <c r="A233" t="s">
        <v>35</v>
      </c>
      <c r="B233" t="s">
        <v>1028</v>
      </c>
      <c r="C233" t="str">
        <f>"A0122604"</f>
        <v>A0122604</v>
      </c>
      <c r="D233" t="s">
        <v>1028</v>
      </c>
      <c r="E233" t="s">
        <v>1064</v>
      </c>
      <c r="F233" t="s">
        <v>1039</v>
      </c>
      <c r="G233" t="s">
        <v>76</v>
      </c>
      <c r="H233">
        <v>98402</v>
      </c>
      <c r="I233" t="s">
        <v>30</v>
      </c>
      <c r="J233" t="s">
        <v>41</v>
      </c>
      <c r="K233" t="s">
        <v>290</v>
      </c>
      <c r="Q233">
        <v>0</v>
      </c>
      <c r="R233">
        <v>1</v>
      </c>
      <c r="S233">
        <v>1</v>
      </c>
      <c r="T233" t="s">
        <v>1065</v>
      </c>
    </row>
    <row r="234" spans="1:20" customFormat="1" ht="15" x14ac:dyDescent="0.25">
      <c r="A234" t="s">
        <v>35</v>
      </c>
      <c r="B234" t="s">
        <v>1028</v>
      </c>
      <c r="C234" t="str">
        <f>"A0122601"</f>
        <v>A0122601</v>
      </c>
      <c r="D234" t="s">
        <v>1066</v>
      </c>
      <c r="E234" t="s">
        <v>1067</v>
      </c>
      <c r="F234" t="s">
        <v>1068</v>
      </c>
      <c r="G234" t="s">
        <v>76</v>
      </c>
      <c r="H234">
        <v>98382</v>
      </c>
      <c r="I234" t="s">
        <v>30</v>
      </c>
      <c r="J234" t="s">
        <v>41</v>
      </c>
      <c r="K234" t="s">
        <v>1032</v>
      </c>
      <c r="Q234">
        <v>0</v>
      </c>
      <c r="R234">
        <v>60</v>
      </c>
      <c r="S234">
        <v>60</v>
      </c>
      <c r="T234" t="s">
        <v>1069</v>
      </c>
    </row>
    <row r="235" spans="1:20" customFormat="1" ht="15" x14ac:dyDescent="0.25">
      <c r="A235" t="s">
        <v>35</v>
      </c>
      <c r="B235" t="s">
        <v>1028</v>
      </c>
      <c r="C235" t="str">
        <f>"A0122598"</f>
        <v>A0122598</v>
      </c>
      <c r="D235" t="s">
        <v>1070</v>
      </c>
      <c r="E235" t="s">
        <v>1071</v>
      </c>
      <c r="F235" t="s">
        <v>1072</v>
      </c>
      <c r="G235" t="s">
        <v>76</v>
      </c>
      <c r="H235">
        <v>98826</v>
      </c>
      <c r="I235" t="s">
        <v>30</v>
      </c>
      <c r="J235" t="s">
        <v>41</v>
      </c>
      <c r="K235" t="s">
        <v>59</v>
      </c>
      <c r="Q235">
        <v>0</v>
      </c>
      <c r="R235">
        <v>28</v>
      </c>
      <c r="S235">
        <v>28</v>
      </c>
      <c r="T235" t="s">
        <v>1073</v>
      </c>
    </row>
    <row r="236" spans="1:20" customFormat="1" ht="15" x14ac:dyDescent="0.25">
      <c r="A236" t="s">
        <v>35</v>
      </c>
      <c r="B236" t="s">
        <v>1028</v>
      </c>
      <c r="C236" t="str">
        <f>"A0122597"</f>
        <v>A0122597</v>
      </c>
      <c r="D236" t="s">
        <v>1074</v>
      </c>
      <c r="E236" t="s">
        <v>1075</v>
      </c>
      <c r="F236" t="s">
        <v>1039</v>
      </c>
      <c r="G236" t="s">
        <v>76</v>
      </c>
      <c r="H236">
        <v>98466</v>
      </c>
      <c r="I236" t="s">
        <v>30</v>
      </c>
      <c r="J236" t="s">
        <v>41</v>
      </c>
      <c r="K236" t="s">
        <v>59</v>
      </c>
      <c r="Q236">
        <v>0</v>
      </c>
      <c r="R236">
        <v>60</v>
      </c>
      <c r="S236">
        <v>60</v>
      </c>
      <c r="T236" t="s">
        <v>1076</v>
      </c>
    </row>
    <row r="237" spans="1:20" customFormat="1" ht="15" x14ac:dyDescent="0.25">
      <c r="A237" t="s">
        <v>35</v>
      </c>
      <c r="B237" t="s">
        <v>1028</v>
      </c>
      <c r="C237" t="str">
        <f>"A0122565"</f>
        <v>A0122565</v>
      </c>
      <c r="D237" t="s">
        <v>1077</v>
      </c>
      <c r="E237" t="s">
        <v>1078</v>
      </c>
      <c r="F237" t="s">
        <v>1079</v>
      </c>
      <c r="G237" t="s">
        <v>76</v>
      </c>
      <c r="H237">
        <v>98335</v>
      </c>
      <c r="I237" t="s">
        <v>30</v>
      </c>
      <c r="J237" t="s">
        <v>41</v>
      </c>
      <c r="K237" t="s">
        <v>59</v>
      </c>
      <c r="Q237">
        <v>0</v>
      </c>
      <c r="R237">
        <v>100</v>
      </c>
      <c r="S237">
        <v>100</v>
      </c>
      <c r="T237" t="s">
        <v>1080</v>
      </c>
    </row>
    <row r="238" spans="1:20" customFormat="1" ht="15" x14ac:dyDescent="0.25">
      <c r="A238" t="s">
        <v>24</v>
      </c>
      <c r="B238" t="s">
        <v>2011</v>
      </c>
      <c r="C238" t="str">
        <f>"A0054320"</f>
        <v>A0054320</v>
      </c>
      <c r="D238" t="s">
        <v>2012</v>
      </c>
      <c r="E238" t="s">
        <v>2013</v>
      </c>
      <c r="F238" t="s">
        <v>2014</v>
      </c>
      <c r="G238" t="s">
        <v>197</v>
      </c>
      <c r="H238">
        <v>85258</v>
      </c>
      <c r="I238" t="s">
        <v>30</v>
      </c>
      <c r="J238" t="s">
        <v>162</v>
      </c>
      <c r="K238" t="s">
        <v>2015</v>
      </c>
      <c r="N238" t="s">
        <v>2016</v>
      </c>
      <c r="O238" t="s">
        <v>2017</v>
      </c>
      <c r="Q238">
        <v>0</v>
      </c>
      <c r="R238">
        <v>326</v>
      </c>
      <c r="S238">
        <v>0</v>
      </c>
      <c r="T238" t="s">
        <v>2018</v>
      </c>
    </row>
    <row r="239" spans="1:20" customFormat="1" ht="15" x14ac:dyDescent="0.25">
      <c r="A239" t="s">
        <v>24</v>
      </c>
      <c r="B239" t="s">
        <v>193</v>
      </c>
      <c r="C239" t="str">
        <f>"A0185638"</f>
        <v>A0185638</v>
      </c>
      <c r="D239" t="s">
        <v>1087</v>
      </c>
      <c r="E239" t="s">
        <v>1088</v>
      </c>
      <c r="F239" t="s">
        <v>1089</v>
      </c>
      <c r="G239" t="s">
        <v>190</v>
      </c>
      <c r="H239">
        <v>80517</v>
      </c>
      <c r="I239" t="s">
        <v>30</v>
      </c>
      <c r="J239" t="s">
        <v>31</v>
      </c>
      <c r="K239" t="s">
        <v>163</v>
      </c>
      <c r="N239" t="s">
        <v>1090</v>
      </c>
      <c r="Q239">
        <v>0</v>
      </c>
      <c r="R239">
        <v>46</v>
      </c>
      <c r="S239">
        <v>0</v>
      </c>
      <c r="T239" t="s">
        <v>1091</v>
      </c>
    </row>
    <row r="240" spans="1:20" customFormat="1" ht="15" x14ac:dyDescent="0.25">
      <c r="A240" t="s">
        <v>24</v>
      </c>
      <c r="B240" t="s">
        <v>1092</v>
      </c>
      <c r="C240" t="str">
        <f>"A0193723"</f>
        <v>A0193723</v>
      </c>
      <c r="D240" t="s">
        <v>1093</v>
      </c>
      <c r="E240" t="s">
        <v>1094</v>
      </c>
      <c r="F240" t="s">
        <v>1095</v>
      </c>
      <c r="G240" t="s">
        <v>99</v>
      </c>
      <c r="H240">
        <v>12901</v>
      </c>
      <c r="I240" t="s">
        <v>30</v>
      </c>
      <c r="J240" t="s">
        <v>31</v>
      </c>
      <c r="K240" t="s">
        <v>198</v>
      </c>
      <c r="N240" t="s">
        <v>1096</v>
      </c>
      <c r="Q240">
        <v>0</v>
      </c>
      <c r="R240">
        <v>94</v>
      </c>
      <c r="S240">
        <v>0</v>
      </c>
      <c r="T240" t="s">
        <v>1097</v>
      </c>
    </row>
    <row r="241" spans="1:25" customFormat="1" ht="15" x14ac:dyDescent="0.25">
      <c r="A241" t="s">
        <v>24</v>
      </c>
      <c r="B241" t="s">
        <v>140</v>
      </c>
      <c r="C241" t="str">
        <f>"A0096182"</f>
        <v>A0096182</v>
      </c>
      <c r="D241" t="s">
        <v>2061</v>
      </c>
      <c r="E241" t="s">
        <v>2062</v>
      </c>
      <c r="F241" t="s">
        <v>2063</v>
      </c>
      <c r="G241" t="s">
        <v>52</v>
      </c>
      <c r="H241">
        <v>79101</v>
      </c>
      <c r="I241" t="s">
        <v>30</v>
      </c>
      <c r="J241" t="s">
        <v>162</v>
      </c>
      <c r="K241" t="s">
        <v>266</v>
      </c>
      <c r="N241" t="s">
        <v>2064</v>
      </c>
      <c r="O241" t="s">
        <v>2065</v>
      </c>
      <c r="Q241">
        <v>0</v>
      </c>
      <c r="R241">
        <v>226</v>
      </c>
      <c r="S241">
        <v>0</v>
      </c>
      <c r="T241" t="s">
        <v>2066</v>
      </c>
    </row>
    <row r="242" spans="1:25" x14ac:dyDescent="0.25">
      <c r="A242" s="5" t="s">
        <v>24</v>
      </c>
      <c r="B242" s="5" t="s">
        <v>140</v>
      </c>
      <c r="C242" s="5" t="str">
        <f>"A0188341"</f>
        <v>A0188341</v>
      </c>
      <c r="D242" s="5" t="s">
        <v>2140</v>
      </c>
      <c r="E242" s="5" t="s">
        <v>2141</v>
      </c>
      <c r="F242" s="5" t="s">
        <v>2069</v>
      </c>
      <c r="G242" s="5" t="s">
        <v>1170</v>
      </c>
      <c r="H242" s="5">
        <v>70112</v>
      </c>
      <c r="I242" s="5" t="s">
        <v>30</v>
      </c>
      <c r="J242" s="5" t="s">
        <v>162</v>
      </c>
      <c r="K242" s="5" t="s">
        <v>1209</v>
      </c>
      <c r="L242" s="5"/>
      <c r="M242" s="5"/>
      <c r="N242" s="5" t="s">
        <v>2142</v>
      </c>
      <c r="O242" s="5"/>
      <c r="P242" s="5"/>
      <c r="Q242" s="5">
        <v>0</v>
      </c>
      <c r="R242" s="5">
        <v>176</v>
      </c>
      <c r="S242" s="5">
        <v>0</v>
      </c>
      <c r="T242" s="5" t="s">
        <v>2143</v>
      </c>
      <c r="U242" s="5"/>
      <c r="V242" s="5"/>
      <c r="W242" s="5"/>
      <c r="X242" s="5"/>
      <c r="Y242" s="5"/>
    </row>
    <row r="243" spans="1:25" customFormat="1" ht="15" x14ac:dyDescent="0.25">
      <c r="A243" t="s">
        <v>24</v>
      </c>
      <c r="B243" t="s">
        <v>1111</v>
      </c>
      <c r="C243" t="str">
        <f>"A0193657"</f>
        <v>A0193657</v>
      </c>
      <c r="D243" t="s">
        <v>1112</v>
      </c>
      <c r="E243" t="s">
        <v>1113</v>
      </c>
      <c r="F243" t="s">
        <v>1114</v>
      </c>
      <c r="G243" t="s">
        <v>52</v>
      </c>
      <c r="H243">
        <v>75069</v>
      </c>
      <c r="I243" t="s">
        <v>30</v>
      </c>
      <c r="J243" t="s">
        <v>31</v>
      </c>
      <c r="K243" t="s">
        <v>261</v>
      </c>
      <c r="N243" t="s">
        <v>1115</v>
      </c>
      <c r="O243" t="s">
        <v>1116</v>
      </c>
      <c r="Q243">
        <v>0</v>
      </c>
      <c r="R243">
        <v>111</v>
      </c>
      <c r="S243">
        <v>0</v>
      </c>
      <c r="T243" t="s">
        <v>1117</v>
      </c>
    </row>
    <row r="244" spans="1:25" x14ac:dyDescent="0.25">
      <c r="A244" s="5" t="s">
        <v>24</v>
      </c>
      <c r="B244" s="5" t="s">
        <v>140</v>
      </c>
      <c r="C244" s="5" t="str">
        <f>"A0156061"</f>
        <v>A0156061</v>
      </c>
      <c r="D244" s="5" t="s">
        <v>2148</v>
      </c>
      <c r="E244" s="5" t="s">
        <v>2149</v>
      </c>
      <c r="F244" s="5" t="s">
        <v>2083</v>
      </c>
      <c r="G244" s="5" t="s">
        <v>52</v>
      </c>
      <c r="H244" s="5">
        <v>75034</v>
      </c>
      <c r="I244" s="5" t="s">
        <v>30</v>
      </c>
      <c r="J244" s="5" t="s">
        <v>162</v>
      </c>
      <c r="K244" s="5" t="s">
        <v>1209</v>
      </c>
      <c r="L244" s="5"/>
      <c r="M244" s="5"/>
      <c r="N244" s="5" t="s">
        <v>2150</v>
      </c>
      <c r="O244" s="5" t="s">
        <v>2151</v>
      </c>
      <c r="P244" s="5"/>
      <c r="Q244" s="5">
        <v>0</v>
      </c>
      <c r="R244" s="5">
        <v>150</v>
      </c>
      <c r="S244" s="5">
        <v>0</v>
      </c>
      <c r="T244" s="5" t="s">
        <v>2152</v>
      </c>
      <c r="U244" s="5"/>
      <c r="V244" s="5"/>
      <c r="W244" s="5"/>
      <c r="X244" s="5"/>
      <c r="Y244" s="5"/>
    </row>
    <row r="245" spans="1:25" customFormat="1" ht="15" x14ac:dyDescent="0.25">
      <c r="A245" t="s">
        <v>24</v>
      </c>
      <c r="B245" t="s">
        <v>2180</v>
      </c>
      <c r="C245" t="str">
        <f>"A0090023"</f>
        <v>A0090023</v>
      </c>
      <c r="D245" t="s">
        <v>2187</v>
      </c>
      <c r="E245" t="s">
        <v>2188</v>
      </c>
      <c r="F245" t="s">
        <v>2183</v>
      </c>
      <c r="G245" t="s">
        <v>1369</v>
      </c>
      <c r="H245">
        <v>39301</v>
      </c>
      <c r="I245" t="s">
        <v>30</v>
      </c>
      <c r="J245" t="s">
        <v>162</v>
      </c>
      <c r="K245" t="s">
        <v>854</v>
      </c>
      <c r="N245" t="s">
        <v>2189</v>
      </c>
      <c r="O245" t="s">
        <v>2185</v>
      </c>
      <c r="Q245">
        <v>0</v>
      </c>
      <c r="R245">
        <v>121</v>
      </c>
      <c r="S245">
        <v>0</v>
      </c>
      <c r="T245" t="s">
        <v>2190</v>
      </c>
    </row>
    <row r="246" spans="1:25" customFormat="1" ht="15" x14ac:dyDescent="0.25">
      <c r="A246" t="s">
        <v>24</v>
      </c>
      <c r="B246" t="s">
        <v>1111</v>
      </c>
      <c r="C246" t="str">
        <f>"A0193658"</f>
        <v>A0193658</v>
      </c>
      <c r="D246" t="s">
        <v>1129</v>
      </c>
      <c r="E246" t="s">
        <v>1130</v>
      </c>
      <c r="F246" t="s">
        <v>1131</v>
      </c>
      <c r="G246" t="s">
        <v>52</v>
      </c>
      <c r="H246">
        <v>76018</v>
      </c>
      <c r="I246" t="s">
        <v>30</v>
      </c>
      <c r="J246" t="s">
        <v>31</v>
      </c>
      <c r="K246" t="s">
        <v>277</v>
      </c>
      <c r="N246" t="s">
        <v>1132</v>
      </c>
      <c r="O246" t="s">
        <v>1116</v>
      </c>
      <c r="Q246">
        <v>0</v>
      </c>
      <c r="R246">
        <v>124</v>
      </c>
      <c r="S246">
        <v>0</v>
      </c>
      <c r="T246" t="s">
        <v>1133</v>
      </c>
    </row>
    <row r="247" spans="1:25" customFormat="1" ht="15" x14ac:dyDescent="0.25">
      <c r="A247" t="s">
        <v>35</v>
      </c>
      <c r="B247" t="s">
        <v>61</v>
      </c>
      <c r="C247" t="str">
        <f>"A0182987"</f>
        <v>A0182987</v>
      </c>
      <c r="D247" t="s">
        <v>1134</v>
      </c>
      <c r="E247" t="s">
        <v>1135</v>
      </c>
      <c r="F247" t="s">
        <v>1136</v>
      </c>
      <c r="G247" t="s">
        <v>110</v>
      </c>
      <c r="H247">
        <v>943034644</v>
      </c>
      <c r="I247" t="s">
        <v>30</v>
      </c>
      <c r="J247" t="s">
        <v>41</v>
      </c>
      <c r="K247" t="s">
        <v>59</v>
      </c>
      <c r="Q247">
        <v>0</v>
      </c>
      <c r="R247">
        <v>0</v>
      </c>
      <c r="S247">
        <v>0</v>
      </c>
      <c r="T247" t="s">
        <v>1137</v>
      </c>
    </row>
    <row r="248" spans="1:25" customFormat="1" ht="15" x14ac:dyDescent="0.25">
      <c r="A248" t="s">
        <v>24</v>
      </c>
      <c r="B248" t="s">
        <v>1138</v>
      </c>
      <c r="C248" t="str">
        <f>"A0157109"</f>
        <v>A0157109</v>
      </c>
      <c r="D248" t="s">
        <v>1139</v>
      </c>
      <c r="E248" t="s">
        <v>1140</v>
      </c>
      <c r="F248" t="s">
        <v>220</v>
      </c>
      <c r="G248" t="s">
        <v>221</v>
      </c>
      <c r="H248">
        <v>89109</v>
      </c>
      <c r="I248" t="s">
        <v>30</v>
      </c>
      <c r="J248" t="s">
        <v>31</v>
      </c>
      <c r="K248" t="s">
        <v>282</v>
      </c>
      <c r="N248" t="s">
        <v>1141</v>
      </c>
      <c r="O248" t="s">
        <v>1142</v>
      </c>
      <c r="Q248">
        <v>0</v>
      </c>
      <c r="R248">
        <v>121</v>
      </c>
      <c r="S248">
        <v>0</v>
      </c>
      <c r="T248" t="s">
        <v>1143</v>
      </c>
    </row>
    <row r="249" spans="1:25" customFormat="1" ht="15" x14ac:dyDescent="0.25">
      <c r="A249" t="s">
        <v>24</v>
      </c>
      <c r="B249" t="s">
        <v>706</v>
      </c>
      <c r="C249" t="str">
        <f>"A0098393"</f>
        <v>A0098393</v>
      </c>
      <c r="D249" t="s">
        <v>2228</v>
      </c>
      <c r="E249" t="s">
        <v>2229</v>
      </c>
      <c r="F249" t="s">
        <v>2230</v>
      </c>
      <c r="G249" t="s">
        <v>81</v>
      </c>
      <c r="H249">
        <v>33612</v>
      </c>
      <c r="I249" t="s">
        <v>30</v>
      </c>
      <c r="J249" t="s">
        <v>162</v>
      </c>
      <c r="K249" t="s">
        <v>854</v>
      </c>
      <c r="N249" t="s">
        <v>2231</v>
      </c>
      <c r="Q249">
        <v>0</v>
      </c>
      <c r="R249">
        <v>86</v>
      </c>
      <c r="S249">
        <v>0</v>
      </c>
      <c r="T249" t="s">
        <v>2232</v>
      </c>
    </row>
    <row r="250" spans="1:25" customFormat="1" ht="15" x14ac:dyDescent="0.25">
      <c r="A250" t="s">
        <v>24</v>
      </c>
      <c r="B250" t="s">
        <v>1528</v>
      </c>
      <c r="C250" t="str">
        <f>"AE125312"</f>
        <v>AE125312</v>
      </c>
      <c r="D250" t="s">
        <v>2355</v>
      </c>
      <c r="E250" t="s">
        <v>2356</v>
      </c>
      <c r="F250" t="s">
        <v>2357</v>
      </c>
      <c r="G250" t="s">
        <v>76</v>
      </c>
      <c r="H250">
        <v>98245</v>
      </c>
      <c r="I250" t="s">
        <v>30</v>
      </c>
      <c r="J250" t="s">
        <v>162</v>
      </c>
      <c r="K250" t="s">
        <v>163</v>
      </c>
      <c r="N250" t="s">
        <v>2358</v>
      </c>
      <c r="Q250">
        <v>0</v>
      </c>
      <c r="R250">
        <v>40</v>
      </c>
      <c r="S250">
        <v>0</v>
      </c>
      <c r="T250" t="s">
        <v>2359</v>
      </c>
    </row>
    <row r="251" spans="1:25" customFormat="1" ht="15" x14ac:dyDescent="0.25">
      <c r="A251" t="s">
        <v>24</v>
      </c>
      <c r="B251" t="s">
        <v>2373</v>
      </c>
      <c r="C251" t="str">
        <f>"A0096021"</f>
        <v>A0096021</v>
      </c>
      <c r="D251" t="s">
        <v>2374</v>
      </c>
      <c r="E251" t="s">
        <v>2375</v>
      </c>
      <c r="F251" t="s">
        <v>2376</v>
      </c>
      <c r="G251" t="s">
        <v>110</v>
      </c>
      <c r="H251">
        <v>93940</v>
      </c>
      <c r="I251" t="s">
        <v>30</v>
      </c>
      <c r="J251" t="s">
        <v>162</v>
      </c>
      <c r="K251" t="s">
        <v>163</v>
      </c>
      <c r="N251" t="s">
        <v>2377</v>
      </c>
      <c r="O251" t="s">
        <v>2378</v>
      </c>
      <c r="Q251">
        <v>0</v>
      </c>
      <c r="R251">
        <v>196</v>
      </c>
      <c r="S251">
        <v>0</v>
      </c>
      <c r="T251" t="s">
        <v>2379</v>
      </c>
    </row>
    <row r="252" spans="1:25" customFormat="1" ht="15" x14ac:dyDescent="0.25">
      <c r="A252" t="s">
        <v>35</v>
      </c>
      <c r="B252" t="s">
        <v>1162</v>
      </c>
      <c r="C252" t="str">
        <f>"A0127696"</f>
        <v>A0127696</v>
      </c>
      <c r="D252" t="s">
        <v>1163</v>
      </c>
      <c r="E252" t="s">
        <v>1164</v>
      </c>
      <c r="F252" t="s">
        <v>1165</v>
      </c>
      <c r="G252" t="s">
        <v>117</v>
      </c>
      <c r="H252">
        <v>49935</v>
      </c>
      <c r="I252" t="s">
        <v>30</v>
      </c>
      <c r="J252" t="s">
        <v>41</v>
      </c>
      <c r="K252" t="s">
        <v>59</v>
      </c>
      <c r="Q252">
        <v>0</v>
      </c>
      <c r="R252">
        <v>40</v>
      </c>
      <c r="S252">
        <v>40</v>
      </c>
      <c r="T252" t="s">
        <v>1166</v>
      </c>
    </row>
    <row r="253" spans="1:25" customFormat="1" ht="15" x14ac:dyDescent="0.25">
      <c r="A253" t="s">
        <v>35</v>
      </c>
      <c r="B253" t="s">
        <v>61</v>
      </c>
      <c r="C253" t="str">
        <f>"A0124705"</f>
        <v>A0124705</v>
      </c>
      <c r="D253" t="s">
        <v>1167</v>
      </c>
      <c r="E253" t="s">
        <v>1168</v>
      </c>
      <c r="F253" t="s">
        <v>1169</v>
      </c>
      <c r="G253" t="s">
        <v>1170</v>
      </c>
      <c r="H253">
        <v>71254</v>
      </c>
      <c r="I253" t="s">
        <v>30</v>
      </c>
      <c r="J253" t="s">
        <v>41</v>
      </c>
      <c r="K253" t="s">
        <v>229</v>
      </c>
      <c r="Q253">
        <v>0</v>
      </c>
      <c r="R253">
        <v>107</v>
      </c>
      <c r="S253">
        <v>81</v>
      </c>
      <c r="T253" t="s">
        <v>1171</v>
      </c>
    </row>
    <row r="254" spans="1:25" customFormat="1" ht="15" hidden="1" x14ac:dyDescent="0.25">
      <c r="A254" t="s">
        <v>24</v>
      </c>
      <c r="B254" t="s">
        <v>1172</v>
      </c>
      <c r="C254" t="str">
        <f>"A0099245"</f>
        <v>A0099245</v>
      </c>
      <c r="D254" t="s">
        <v>1173</v>
      </c>
      <c r="E254" t="s">
        <v>1174</v>
      </c>
      <c r="F254" t="s">
        <v>1175</v>
      </c>
      <c r="G254" t="s">
        <v>1176</v>
      </c>
      <c r="H254">
        <v>23000</v>
      </c>
      <c r="I254" t="s">
        <v>1177</v>
      </c>
      <c r="J254" t="s">
        <v>162</v>
      </c>
      <c r="K254" t="s">
        <v>822</v>
      </c>
      <c r="N254" t="s">
        <v>1178</v>
      </c>
      <c r="O254" t="s">
        <v>1179</v>
      </c>
      <c r="Q254">
        <v>0</v>
      </c>
      <c r="R254">
        <v>200</v>
      </c>
      <c r="S254">
        <v>0</v>
      </c>
      <c r="T254" t="s">
        <v>1180</v>
      </c>
    </row>
    <row r="255" spans="1:25" customFormat="1" ht="15" x14ac:dyDescent="0.25">
      <c r="A255" t="s">
        <v>24</v>
      </c>
      <c r="B255" t="s">
        <v>193</v>
      </c>
      <c r="C255" t="str">
        <f>"A0166406"</f>
        <v>A0166406</v>
      </c>
      <c r="D255" t="s">
        <v>1181</v>
      </c>
      <c r="E255" t="s">
        <v>1182</v>
      </c>
      <c r="F255" t="s">
        <v>1183</v>
      </c>
      <c r="G255" t="s">
        <v>1184</v>
      </c>
      <c r="H255">
        <v>59601</v>
      </c>
      <c r="I255" t="s">
        <v>30</v>
      </c>
      <c r="J255" t="s">
        <v>145</v>
      </c>
      <c r="K255" t="s">
        <v>1185</v>
      </c>
      <c r="N255" t="s">
        <v>1186</v>
      </c>
      <c r="Q255">
        <v>0</v>
      </c>
      <c r="R255">
        <v>88</v>
      </c>
      <c r="S255">
        <v>0</v>
      </c>
      <c r="T255" t="s">
        <v>1187</v>
      </c>
    </row>
    <row r="256" spans="1:25" customFormat="1" ht="15" x14ac:dyDescent="0.25">
      <c r="A256" t="s">
        <v>24</v>
      </c>
      <c r="B256" t="s">
        <v>1014</v>
      </c>
      <c r="C256" t="str">
        <f>"A0095730"</f>
        <v>A0095730</v>
      </c>
      <c r="D256" t="s">
        <v>1188</v>
      </c>
      <c r="E256" t="s">
        <v>1189</v>
      </c>
      <c r="F256" t="s">
        <v>1190</v>
      </c>
      <c r="G256" t="s">
        <v>52</v>
      </c>
      <c r="H256">
        <v>76210</v>
      </c>
      <c r="I256" t="s">
        <v>30</v>
      </c>
      <c r="J256" t="s">
        <v>31</v>
      </c>
      <c r="K256" t="s">
        <v>296</v>
      </c>
      <c r="N256" t="s">
        <v>1018</v>
      </c>
      <c r="Q256">
        <v>0</v>
      </c>
      <c r="R256">
        <v>56</v>
      </c>
      <c r="S256">
        <v>0</v>
      </c>
      <c r="T256" t="s">
        <v>1191</v>
      </c>
    </row>
    <row r="257" spans="1:20" customFormat="1" ht="15" x14ac:dyDescent="0.25">
      <c r="A257" t="s">
        <v>24</v>
      </c>
      <c r="B257" t="s">
        <v>1192</v>
      </c>
      <c r="C257" t="str">
        <f>"A0193623"</f>
        <v>A0193623</v>
      </c>
      <c r="D257" t="s">
        <v>1193</v>
      </c>
      <c r="E257" t="s">
        <v>1194</v>
      </c>
      <c r="F257" t="s">
        <v>1195</v>
      </c>
      <c r="G257" t="s">
        <v>528</v>
      </c>
      <c r="H257">
        <v>19947</v>
      </c>
      <c r="I257" t="s">
        <v>30</v>
      </c>
      <c r="J257" t="s">
        <v>31</v>
      </c>
      <c r="K257" t="s">
        <v>1196</v>
      </c>
      <c r="N257" t="s">
        <v>1197</v>
      </c>
      <c r="Q257">
        <v>0</v>
      </c>
      <c r="R257">
        <v>90</v>
      </c>
      <c r="S257">
        <v>0</v>
      </c>
      <c r="T257" t="s">
        <v>1198</v>
      </c>
    </row>
    <row r="258" spans="1:20" customFormat="1" ht="15" x14ac:dyDescent="0.25">
      <c r="A258" t="s">
        <v>24</v>
      </c>
      <c r="B258" t="s">
        <v>2380</v>
      </c>
      <c r="C258" t="str">
        <f>"A0088734"</f>
        <v>A0088734</v>
      </c>
      <c r="D258" t="s">
        <v>2381</v>
      </c>
      <c r="E258" t="s">
        <v>2382</v>
      </c>
      <c r="F258" t="s">
        <v>2383</v>
      </c>
      <c r="G258" t="s">
        <v>338</v>
      </c>
      <c r="H258">
        <v>7094</v>
      </c>
      <c r="I258" t="s">
        <v>30</v>
      </c>
      <c r="J258" t="s">
        <v>162</v>
      </c>
      <c r="K258" t="s">
        <v>266</v>
      </c>
      <c r="N258" t="s">
        <v>2384</v>
      </c>
      <c r="O258" t="s">
        <v>2385</v>
      </c>
      <c r="Q258">
        <v>0</v>
      </c>
      <c r="R258">
        <v>261</v>
      </c>
      <c r="S258">
        <v>0</v>
      </c>
      <c r="T258" t="s">
        <v>2386</v>
      </c>
    </row>
    <row r="259" spans="1:20" customFormat="1" ht="15" x14ac:dyDescent="0.25">
      <c r="A259" t="s">
        <v>24</v>
      </c>
      <c r="B259" t="s">
        <v>1849</v>
      </c>
      <c r="C259" t="str">
        <f>"34151"</f>
        <v>34151</v>
      </c>
      <c r="D259" t="s">
        <v>2495</v>
      </c>
      <c r="E259" t="s">
        <v>2496</v>
      </c>
      <c r="F259" t="s">
        <v>1570</v>
      </c>
      <c r="G259" t="s">
        <v>81</v>
      </c>
      <c r="H259">
        <v>33309</v>
      </c>
      <c r="I259" t="s">
        <v>30</v>
      </c>
      <c r="J259" t="s">
        <v>162</v>
      </c>
      <c r="K259" t="s">
        <v>1490</v>
      </c>
      <c r="N259" t="s">
        <v>2497</v>
      </c>
      <c r="Q259">
        <v>0</v>
      </c>
      <c r="R259">
        <v>315</v>
      </c>
      <c r="S259">
        <v>0</v>
      </c>
      <c r="T259" t="s">
        <v>2498</v>
      </c>
    </row>
    <row r="260" spans="1:20" customFormat="1" ht="15" x14ac:dyDescent="0.25">
      <c r="A260" t="s">
        <v>24</v>
      </c>
      <c r="B260" t="s">
        <v>1212</v>
      </c>
      <c r="C260" t="str">
        <f>"A0191785"</f>
        <v>A0191785</v>
      </c>
      <c r="D260" t="s">
        <v>1213</v>
      </c>
      <c r="E260" t="s">
        <v>1214</v>
      </c>
      <c r="F260" t="s">
        <v>1215</v>
      </c>
      <c r="G260" t="s">
        <v>846</v>
      </c>
      <c r="H260">
        <v>30067</v>
      </c>
      <c r="I260" t="s">
        <v>30</v>
      </c>
      <c r="J260" t="s">
        <v>145</v>
      </c>
      <c r="K260" t="s">
        <v>154</v>
      </c>
      <c r="N260" t="s">
        <v>1216</v>
      </c>
      <c r="Q260">
        <v>0</v>
      </c>
      <c r="R260">
        <v>214</v>
      </c>
      <c r="S260">
        <v>0</v>
      </c>
      <c r="T260" t="s">
        <v>1217</v>
      </c>
    </row>
    <row r="261" spans="1:20" customFormat="1" ht="15" x14ac:dyDescent="0.25">
      <c r="A261" t="s">
        <v>24</v>
      </c>
      <c r="B261" t="s">
        <v>1212</v>
      </c>
      <c r="C261" t="str">
        <f>"A0191784"</f>
        <v>A0191784</v>
      </c>
      <c r="D261" t="s">
        <v>1218</v>
      </c>
      <c r="E261" t="s">
        <v>1214</v>
      </c>
      <c r="F261" t="s">
        <v>1215</v>
      </c>
      <c r="G261" t="s">
        <v>846</v>
      </c>
      <c r="H261">
        <v>30067</v>
      </c>
      <c r="I261" t="s">
        <v>30</v>
      </c>
      <c r="J261" t="s">
        <v>145</v>
      </c>
      <c r="K261" t="s">
        <v>1219</v>
      </c>
      <c r="N261" t="s">
        <v>1216</v>
      </c>
      <c r="Q261">
        <v>0</v>
      </c>
      <c r="R261">
        <v>113</v>
      </c>
      <c r="S261">
        <v>0</v>
      </c>
      <c r="T261" t="s">
        <v>1220</v>
      </c>
    </row>
    <row r="262" spans="1:20" customFormat="1" ht="15" x14ac:dyDescent="0.25">
      <c r="A262" t="s">
        <v>24</v>
      </c>
      <c r="B262" t="s">
        <v>1212</v>
      </c>
      <c r="C262" t="str">
        <f>"A0191721"</f>
        <v>A0191721</v>
      </c>
      <c r="D262" t="s">
        <v>1221</v>
      </c>
      <c r="E262" t="s">
        <v>1222</v>
      </c>
      <c r="F262" t="s">
        <v>1223</v>
      </c>
      <c r="G262" t="s">
        <v>846</v>
      </c>
      <c r="H262">
        <v>30093</v>
      </c>
      <c r="I262" t="s">
        <v>30</v>
      </c>
      <c r="J262" t="s">
        <v>31</v>
      </c>
      <c r="K262" t="s">
        <v>163</v>
      </c>
      <c r="N262" t="s">
        <v>1224</v>
      </c>
      <c r="Q262">
        <v>0</v>
      </c>
      <c r="R262">
        <v>124</v>
      </c>
      <c r="S262">
        <v>0</v>
      </c>
      <c r="T262" t="s">
        <v>1225</v>
      </c>
    </row>
    <row r="263" spans="1:20" customFormat="1" ht="15" x14ac:dyDescent="0.25">
      <c r="A263" t="s">
        <v>24</v>
      </c>
      <c r="B263" t="s">
        <v>1583</v>
      </c>
      <c r="C263" t="str">
        <f>"A0134772"</f>
        <v>A0134772</v>
      </c>
      <c r="D263" t="s">
        <v>2547</v>
      </c>
      <c r="E263" t="s">
        <v>2548</v>
      </c>
      <c r="F263" t="s">
        <v>2549</v>
      </c>
      <c r="G263" t="s">
        <v>110</v>
      </c>
      <c r="H263">
        <v>92234</v>
      </c>
      <c r="I263" t="s">
        <v>30</v>
      </c>
      <c r="J263" t="s">
        <v>162</v>
      </c>
      <c r="K263" t="s">
        <v>163</v>
      </c>
      <c r="N263" t="s">
        <v>2550</v>
      </c>
      <c r="O263" t="s">
        <v>2551</v>
      </c>
      <c r="Q263">
        <v>0</v>
      </c>
      <c r="R263">
        <v>162</v>
      </c>
      <c r="S263">
        <v>0</v>
      </c>
      <c r="T263" t="s">
        <v>2023</v>
      </c>
    </row>
    <row r="264" spans="1:20" customFormat="1" ht="15" x14ac:dyDescent="0.25">
      <c r="A264" t="s">
        <v>24</v>
      </c>
      <c r="B264" t="s">
        <v>1212</v>
      </c>
      <c r="C264" t="str">
        <f>"A0189889"</f>
        <v>A0189889</v>
      </c>
      <c r="D264" t="s">
        <v>1231</v>
      </c>
      <c r="E264" t="s">
        <v>1232</v>
      </c>
      <c r="F264" t="s">
        <v>1233</v>
      </c>
      <c r="G264" t="s">
        <v>846</v>
      </c>
      <c r="H264">
        <v>30080</v>
      </c>
      <c r="I264" t="s">
        <v>30</v>
      </c>
      <c r="J264" t="s">
        <v>145</v>
      </c>
      <c r="K264" t="s">
        <v>1234</v>
      </c>
      <c r="N264" t="s">
        <v>1235</v>
      </c>
      <c r="Q264">
        <v>0</v>
      </c>
      <c r="R264">
        <v>114</v>
      </c>
      <c r="S264">
        <v>0</v>
      </c>
      <c r="T264" t="s">
        <v>1236</v>
      </c>
    </row>
    <row r="265" spans="1:20" customFormat="1" ht="15" x14ac:dyDescent="0.25">
      <c r="A265" t="s">
        <v>24</v>
      </c>
      <c r="B265" t="s">
        <v>1212</v>
      </c>
      <c r="C265" t="str">
        <f>"A0189888"</f>
        <v>A0189888</v>
      </c>
      <c r="D265" t="s">
        <v>1237</v>
      </c>
      <c r="E265" t="s">
        <v>1238</v>
      </c>
      <c r="F265" t="s">
        <v>845</v>
      </c>
      <c r="G265" t="s">
        <v>846</v>
      </c>
      <c r="H265">
        <v>30328</v>
      </c>
      <c r="I265" t="s">
        <v>30</v>
      </c>
      <c r="J265" t="s">
        <v>31</v>
      </c>
      <c r="K265" t="s">
        <v>296</v>
      </c>
      <c r="N265" t="s">
        <v>1239</v>
      </c>
      <c r="Q265">
        <v>0</v>
      </c>
      <c r="R265">
        <v>80</v>
      </c>
      <c r="S265">
        <v>0</v>
      </c>
      <c r="T265" t="s">
        <v>1240</v>
      </c>
    </row>
    <row r="266" spans="1:20" customFormat="1" ht="15" x14ac:dyDescent="0.25">
      <c r="A266" t="s">
        <v>24</v>
      </c>
      <c r="B266" t="s">
        <v>1212</v>
      </c>
      <c r="C266" t="str">
        <f>"A0189887"</f>
        <v>A0189887</v>
      </c>
      <c r="D266" t="s">
        <v>1241</v>
      </c>
      <c r="E266" t="s">
        <v>1242</v>
      </c>
      <c r="F266" t="s">
        <v>845</v>
      </c>
      <c r="G266" t="s">
        <v>846</v>
      </c>
      <c r="H266">
        <v>30339</v>
      </c>
      <c r="I266" t="s">
        <v>30</v>
      </c>
      <c r="J266" t="s">
        <v>31</v>
      </c>
      <c r="K266" t="s">
        <v>1243</v>
      </c>
      <c r="N266" t="s">
        <v>1244</v>
      </c>
      <c r="Q266">
        <v>0</v>
      </c>
      <c r="R266">
        <v>103</v>
      </c>
      <c r="S266">
        <v>0</v>
      </c>
      <c r="T266" t="s">
        <v>1245</v>
      </c>
    </row>
    <row r="267" spans="1:20" customFormat="1" ht="15" x14ac:dyDescent="0.25">
      <c r="A267" t="s">
        <v>24</v>
      </c>
      <c r="B267" t="s">
        <v>1212</v>
      </c>
      <c r="C267" t="str">
        <f>"A0101151"</f>
        <v>A0101151</v>
      </c>
      <c r="D267" t="s">
        <v>1246</v>
      </c>
      <c r="E267" t="s">
        <v>1247</v>
      </c>
      <c r="F267" t="s">
        <v>1248</v>
      </c>
      <c r="G267" t="s">
        <v>846</v>
      </c>
      <c r="H267">
        <v>30144</v>
      </c>
      <c r="I267" t="s">
        <v>30</v>
      </c>
      <c r="J267" t="s">
        <v>31</v>
      </c>
      <c r="K267" t="s">
        <v>282</v>
      </c>
      <c r="N267" t="s">
        <v>1249</v>
      </c>
      <c r="Q267">
        <v>0</v>
      </c>
      <c r="R267">
        <v>149</v>
      </c>
      <c r="S267">
        <v>0</v>
      </c>
      <c r="T267" t="s">
        <v>1250</v>
      </c>
    </row>
    <row r="268" spans="1:20" customFormat="1" ht="15" x14ac:dyDescent="0.25">
      <c r="A268" t="s">
        <v>24</v>
      </c>
      <c r="B268" t="s">
        <v>193</v>
      </c>
      <c r="C268" t="str">
        <f>"34194"</f>
        <v>34194</v>
      </c>
      <c r="D268" t="s">
        <v>2552</v>
      </c>
      <c r="E268" t="s">
        <v>2553</v>
      </c>
      <c r="F268" t="s">
        <v>356</v>
      </c>
      <c r="G268" t="s">
        <v>52</v>
      </c>
      <c r="H268">
        <v>78205</v>
      </c>
      <c r="I268" t="s">
        <v>30</v>
      </c>
      <c r="J268" t="s">
        <v>162</v>
      </c>
      <c r="K268" t="s">
        <v>163</v>
      </c>
      <c r="Q268">
        <v>0</v>
      </c>
      <c r="R268">
        <v>251</v>
      </c>
      <c r="S268">
        <v>0</v>
      </c>
      <c r="T268" t="s">
        <v>2554</v>
      </c>
    </row>
    <row r="269" spans="1:20" customFormat="1" ht="15" x14ac:dyDescent="0.25">
      <c r="A269" t="s">
        <v>24</v>
      </c>
      <c r="B269" t="s">
        <v>2601</v>
      </c>
      <c r="C269" t="str">
        <f>"A0056765"</f>
        <v>A0056765</v>
      </c>
      <c r="D269" t="s">
        <v>2796</v>
      </c>
      <c r="E269" t="s">
        <v>2797</v>
      </c>
      <c r="F269" t="s">
        <v>2586</v>
      </c>
      <c r="G269" t="s">
        <v>65</v>
      </c>
      <c r="H269">
        <v>43614</v>
      </c>
      <c r="I269" t="s">
        <v>30</v>
      </c>
      <c r="J269" t="s">
        <v>162</v>
      </c>
      <c r="K269" t="s">
        <v>251</v>
      </c>
      <c r="N269" t="s">
        <v>2798</v>
      </c>
      <c r="O269" t="s">
        <v>2799</v>
      </c>
      <c r="Q269">
        <v>0</v>
      </c>
      <c r="R269">
        <v>212</v>
      </c>
      <c r="S269">
        <v>0</v>
      </c>
      <c r="T269" t="s">
        <v>2800</v>
      </c>
    </row>
    <row r="270" spans="1:20" customFormat="1" ht="15" x14ac:dyDescent="0.25">
      <c r="A270" t="s">
        <v>24</v>
      </c>
      <c r="B270" t="s">
        <v>2601</v>
      </c>
      <c r="C270" t="str">
        <f>"A0058690"</f>
        <v>A0058690</v>
      </c>
      <c r="D270" t="s">
        <v>2806</v>
      </c>
      <c r="E270" t="s">
        <v>2807</v>
      </c>
      <c r="F270" t="s">
        <v>2808</v>
      </c>
      <c r="G270" t="s">
        <v>338</v>
      </c>
      <c r="H270">
        <v>7004</v>
      </c>
      <c r="I270" t="s">
        <v>30</v>
      </c>
      <c r="J270" t="s">
        <v>162</v>
      </c>
      <c r="K270" t="s">
        <v>759</v>
      </c>
      <c r="N270" t="s">
        <v>2809</v>
      </c>
      <c r="O270" t="s">
        <v>2810</v>
      </c>
      <c r="Q270">
        <v>0</v>
      </c>
      <c r="R270">
        <v>204</v>
      </c>
      <c r="S270">
        <v>0</v>
      </c>
      <c r="T270" t="s">
        <v>2811</v>
      </c>
    </row>
    <row r="271" spans="1:20" customFormat="1" ht="15" x14ac:dyDescent="0.25">
      <c r="A271" t="s">
        <v>24</v>
      </c>
      <c r="B271" t="s">
        <v>1268</v>
      </c>
      <c r="C271" t="str">
        <f>"A0088847"</f>
        <v>A0088847</v>
      </c>
      <c r="D271" t="s">
        <v>1269</v>
      </c>
      <c r="E271" t="s">
        <v>1270</v>
      </c>
      <c r="F271" t="s">
        <v>1271</v>
      </c>
      <c r="G271" t="s">
        <v>52</v>
      </c>
      <c r="H271">
        <v>76901</v>
      </c>
      <c r="I271" t="s">
        <v>30</v>
      </c>
      <c r="J271" t="s">
        <v>31</v>
      </c>
      <c r="K271" t="s">
        <v>255</v>
      </c>
      <c r="N271" t="s">
        <v>1272</v>
      </c>
      <c r="Q271">
        <v>0</v>
      </c>
      <c r="R271">
        <v>96</v>
      </c>
      <c r="S271">
        <v>0</v>
      </c>
      <c r="T271" t="s">
        <v>1273</v>
      </c>
    </row>
    <row r="272" spans="1:20" customFormat="1" ht="15" x14ac:dyDescent="0.25">
      <c r="A272" t="s">
        <v>35</v>
      </c>
      <c r="B272" t="s">
        <v>1274</v>
      </c>
      <c r="C272" t="str">
        <f>"A0118324"</f>
        <v>A0118324</v>
      </c>
      <c r="D272" t="s">
        <v>1275</v>
      </c>
      <c r="E272" t="s">
        <v>1276</v>
      </c>
      <c r="F272" t="s">
        <v>1277</v>
      </c>
      <c r="G272" t="s">
        <v>110</v>
      </c>
      <c r="H272">
        <v>92404</v>
      </c>
      <c r="I272" t="s">
        <v>30</v>
      </c>
      <c r="J272" t="s">
        <v>41</v>
      </c>
      <c r="K272" t="s">
        <v>229</v>
      </c>
      <c r="Q272">
        <v>0</v>
      </c>
      <c r="R272">
        <v>120</v>
      </c>
      <c r="S272">
        <v>120</v>
      </c>
      <c r="T272" t="s">
        <v>1278</v>
      </c>
    </row>
    <row r="273" spans="1:20" customFormat="1" ht="15" x14ac:dyDescent="0.25">
      <c r="A273" t="s">
        <v>35</v>
      </c>
      <c r="B273" t="s">
        <v>1274</v>
      </c>
      <c r="C273" t="str">
        <f>"A0118322"</f>
        <v>A0118322</v>
      </c>
      <c r="D273" t="s">
        <v>1279</v>
      </c>
      <c r="E273" t="s">
        <v>1280</v>
      </c>
      <c r="F273" t="s">
        <v>1281</v>
      </c>
      <c r="G273" t="s">
        <v>110</v>
      </c>
      <c r="H273">
        <v>92201</v>
      </c>
      <c r="I273" t="s">
        <v>30</v>
      </c>
      <c r="J273" t="s">
        <v>41</v>
      </c>
      <c r="K273" t="s">
        <v>229</v>
      </c>
      <c r="Q273">
        <v>0</v>
      </c>
      <c r="R273">
        <v>99</v>
      </c>
      <c r="S273">
        <v>99</v>
      </c>
      <c r="T273" t="s">
        <v>1282</v>
      </c>
    </row>
    <row r="274" spans="1:20" customFormat="1" ht="15" x14ac:dyDescent="0.25">
      <c r="A274" t="s">
        <v>24</v>
      </c>
      <c r="B274" t="s">
        <v>1283</v>
      </c>
      <c r="C274" t="str">
        <f>"A0049586"</f>
        <v>A0049586</v>
      </c>
      <c r="D274" t="s">
        <v>1284</v>
      </c>
      <c r="E274" t="s">
        <v>1285</v>
      </c>
      <c r="F274" t="s">
        <v>1286</v>
      </c>
      <c r="G274" t="s">
        <v>110</v>
      </c>
      <c r="H274">
        <v>95776</v>
      </c>
      <c r="I274" t="s">
        <v>30</v>
      </c>
      <c r="J274" t="s">
        <v>178</v>
      </c>
      <c r="K274" t="s">
        <v>179</v>
      </c>
      <c r="Q274">
        <v>0</v>
      </c>
      <c r="R274">
        <v>18</v>
      </c>
      <c r="S274">
        <v>0</v>
      </c>
      <c r="T274" t="s">
        <v>1287</v>
      </c>
    </row>
    <row r="275" spans="1:20" customFormat="1" ht="15" x14ac:dyDescent="0.25">
      <c r="A275" t="s">
        <v>24</v>
      </c>
      <c r="B275" t="s">
        <v>1288</v>
      </c>
      <c r="C275" t="str">
        <f>"4321K"</f>
        <v>4321K</v>
      </c>
      <c r="D275" t="s">
        <v>1289</v>
      </c>
      <c r="E275" t="s">
        <v>1290</v>
      </c>
      <c r="F275" t="s">
        <v>1291</v>
      </c>
      <c r="G275" t="s">
        <v>65</v>
      </c>
      <c r="H275">
        <v>43068</v>
      </c>
      <c r="I275" t="s">
        <v>30</v>
      </c>
      <c r="J275" t="s">
        <v>31</v>
      </c>
      <c r="K275" t="s">
        <v>32</v>
      </c>
      <c r="N275" t="s">
        <v>1292</v>
      </c>
      <c r="O275" t="s">
        <v>1293</v>
      </c>
      <c r="Q275">
        <v>0</v>
      </c>
      <c r="R275">
        <v>83</v>
      </c>
      <c r="S275">
        <v>0</v>
      </c>
      <c r="T275" t="s">
        <v>1294</v>
      </c>
    </row>
    <row r="276" spans="1:20" customFormat="1" ht="15" x14ac:dyDescent="0.25">
      <c r="A276" t="s">
        <v>35</v>
      </c>
      <c r="B276" t="s">
        <v>1295</v>
      </c>
      <c r="C276" t="str">
        <f>"A0165176"</f>
        <v>A0165176</v>
      </c>
      <c r="D276" t="s">
        <v>1296</v>
      </c>
      <c r="E276" t="s">
        <v>1297</v>
      </c>
      <c r="F276" t="s">
        <v>1298</v>
      </c>
      <c r="G276" t="s">
        <v>103</v>
      </c>
      <c r="H276">
        <v>17512</v>
      </c>
      <c r="I276" t="s">
        <v>30</v>
      </c>
      <c r="J276" t="s">
        <v>41</v>
      </c>
      <c r="K276" t="s">
        <v>229</v>
      </c>
      <c r="Q276">
        <v>0</v>
      </c>
      <c r="R276">
        <v>125</v>
      </c>
      <c r="S276">
        <v>173</v>
      </c>
      <c r="T276" t="s">
        <v>1299</v>
      </c>
    </row>
    <row r="277" spans="1:20" customFormat="1" ht="15" x14ac:dyDescent="0.25">
      <c r="A277" t="s">
        <v>35</v>
      </c>
      <c r="B277" t="s">
        <v>1295</v>
      </c>
      <c r="C277" t="str">
        <f>"A0126624"</f>
        <v>A0126624</v>
      </c>
      <c r="D277" t="s">
        <v>1300</v>
      </c>
      <c r="E277" t="s">
        <v>1301</v>
      </c>
      <c r="F277" t="s">
        <v>1302</v>
      </c>
      <c r="G277" t="s">
        <v>103</v>
      </c>
      <c r="H277">
        <v>17202</v>
      </c>
      <c r="I277" t="s">
        <v>30</v>
      </c>
      <c r="J277" t="s">
        <v>41</v>
      </c>
      <c r="K277" t="s">
        <v>229</v>
      </c>
      <c r="Q277">
        <v>0</v>
      </c>
      <c r="R277">
        <v>186</v>
      </c>
      <c r="S277">
        <v>186</v>
      </c>
      <c r="T277" t="s">
        <v>1303</v>
      </c>
    </row>
    <row r="278" spans="1:20" customFormat="1" ht="15" hidden="1" x14ac:dyDescent="0.25">
      <c r="A278" t="s">
        <v>24</v>
      </c>
      <c r="B278" t="s">
        <v>1304</v>
      </c>
      <c r="C278" t="str">
        <f>"A0157901"</f>
        <v>A0157901</v>
      </c>
      <c r="D278" t="s">
        <v>1305</v>
      </c>
      <c r="E278" t="s">
        <v>1306</v>
      </c>
      <c r="F278" t="s">
        <v>1307</v>
      </c>
      <c r="I278" t="s">
        <v>1308</v>
      </c>
      <c r="J278" t="s">
        <v>162</v>
      </c>
      <c r="K278" t="s">
        <v>163</v>
      </c>
      <c r="N278" t="s">
        <v>1309</v>
      </c>
      <c r="Q278">
        <v>0</v>
      </c>
      <c r="R278">
        <v>146</v>
      </c>
      <c r="S278">
        <v>0</v>
      </c>
      <c r="T278" t="s">
        <v>1310</v>
      </c>
    </row>
    <row r="279" spans="1:20" customFormat="1" ht="15" hidden="1" x14ac:dyDescent="0.25">
      <c r="A279" t="s">
        <v>24</v>
      </c>
      <c r="B279" t="s">
        <v>1304</v>
      </c>
      <c r="C279" t="str">
        <f>"A0157900"</f>
        <v>A0157900</v>
      </c>
      <c r="D279" t="s">
        <v>1311</v>
      </c>
      <c r="E279" t="s">
        <v>1312</v>
      </c>
      <c r="F279" t="s">
        <v>1313</v>
      </c>
      <c r="I279" t="s">
        <v>1308</v>
      </c>
      <c r="J279" t="s">
        <v>162</v>
      </c>
      <c r="K279" t="s">
        <v>163</v>
      </c>
      <c r="N279" t="s">
        <v>1314</v>
      </c>
      <c r="Q279">
        <v>0</v>
      </c>
      <c r="R279">
        <v>231</v>
      </c>
      <c r="S279">
        <v>0</v>
      </c>
      <c r="T279" t="s">
        <v>1310</v>
      </c>
    </row>
    <row r="280" spans="1:20" customFormat="1" ht="15" hidden="1" x14ac:dyDescent="0.25">
      <c r="A280" t="s">
        <v>24</v>
      </c>
      <c r="B280" t="s">
        <v>1304</v>
      </c>
      <c r="C280" t="str">
        <f>"A0157899"</f>
        <v>A0157899</v>
      </c>
      <c r="D280" t="s">
        <v>1315</v>
      </c>
      <c r="E280" t="s">
        <v>1306</v>
      </c>
      <c r="F280" t="s">
        <v>1307</v>
      </c>
      <c r="I280" t="s">
        <v>1308</v>
      </c>
      <c r="J280" t="s">
        <v>162</v>
      </c>
      <c r="K280" t="s">
        <v>163</v>
      </c>
      <c r="N280" t="s">
        <v>1314</v>
      </c>
      <c r="Q280">
        <v>0</v>
      </c>
      <c r="R280">
        <v>144</v>
      </c>
      <c r="S280">
        <v>0</v>
      </c>
      <c r="T280" t="s">
        <v>1316</v>
      </c>
    </row>
    <row r="281" spans="1:20" customFormat="1" ht="15" x14ac:dyDescent="0.25">
      <c r="A281" t="s">
        <v>24</v>
      </c>
      <c r="B281" t="s">
        <v>1317</v>
      </c>
      <c r="C281" t="str">
        <f>"A0193704"</f>
        <v>A0193704</v>
      </c>
      <c r="D281" t="s">
        <v>1318</v>
      </c>
      <c r="E281" t="s">
        <v>1319</v>
      </c>
      <c r="F281" t="s">
        <v>1320</v>
      </c>
      <c r="G281" t="s">
        <v>110</v>
      </c>
      <c r="H281">
        <v>93536</v>
      </c>
      <c r="I281" t="s">
        <v>30</v>
      </c>
      <c r="J281" t="s">
        <v>31</v>
      </c>
      <c r="K281" t="s">
        <v>32</v>
      </c>
      <c r="N281" t="s">
        <v>1321</v>
      </c>
      <c r="Q281">
        <v>0</v>
      </c>
      <c r="R281">
        <v>105</v>
      </c>
      <c r="S281">
        <v>0</v>
      </c>
      <c r="T281" t="s">
        <v>1322</v>
      </c>
    </row>
    <row r="282" spans="1:20" customFormat="1" ht="15" x14ac:dyDescent="0.25">
      <c r="A282" t="s">
        <v>24</v>
      </c>
      <c r="B282" t="s">
        <v>140</v>
      </c>
      <c r="C282" t="str">
        <f>"A0086105"</f>
        <v>A0086105</v>
      </c>
      <c r="D282" t="s">
        <v>2817</v>
      </c>
      <c r="E282" t="s">
        <v>2818</v>
      </c>
      <c r="F282" t="s">
        <v>709</v>
      </c>
      <c r="G282" t="s">
        <v>81</v>
      </c>
      <c r="H282">
        <v>34236</v>
      </c>
      <c r="I282" t="s">
        <v>30</v>
      </c>
      <c r="J282" t="s">
        <v>162</v>
      </c>
      <c r="K282" t="s">
        <v>2819</v>
      </c>
      <c r="N282" t="s">
        <v>2820</v>
      </c>
      <c r="O282" t="s">
        <v>2821</v>
      </c>
      <c r="Q282">
        <v>0</v>
      </c>
      <c r="R282">
        <v>95</v>
      </c>
      <c r="S282">
        <v>0</v>
      </c>
      <c r="T282" t="s">
        <v>2822</v>
      </c>
    </row>
    <row r="283" spans="1:20" customFormat="1" ht="15" x14ac:dyDescent="0.25">
      <c r="A283" t="s">
        <v>24</v>
      </c>
      <c r="B283" t="s">
        <v>1561</v>
      </c>
      <c r="C283" t="str">
        <f>"A0191723"</f>
        <v>A0191723</v>
      </c>
      <c r="D283" t="s">
        <v>2928</v>
      </c>
      <c r="E283" t="s">
        <v>2929</v>
      </c>
      <c r="F283" t="s">
        <v>2930</v>
      </c>
      <c r="G283" t="s">
        <v>2391</v>
      </c>
      <c r="H283">
        <v>5672</v>
      </c>
      <c r="I283" t="s">
        <v>30</v>
      </c>
      <c r="J283" t="s">
        <v>162</v>
      </c>
      <c r="K283" t="s">
        <v>163</v>
      </c>
      <c r="N283" t="s">
        <v>2931</v>
      </c>
      <c r="Q283">
        <v>0</v>
      </c>
      <c r="R283">
        <v>117</v>
      </c>
      <c r="S283">
        <v>0</v>
      </c>
      <c r="T283" t="s">
        <v>2932</v>
      </c>
    </row>
    <row r="284" spans="1:20" customFormat="1" ht="15" x14ac:dyDescent="0.25">
      <c r="A284" t="s">
        <v>24</v>
      </c>
      <c r="B284" t="s">
        <v>1323</v>
      </c>
      <c r="C284" t="str">
        <f>"A0193700"</f>
        <v>A0193700</v>
      </c>
      <c r="D284" t="s">
        <v>1334</v>
      </c>
      <c r="E284" t="s">
        <v>1335</v>
      </c>
      <c r="F284" t="s">
        <v>1326</v>
      </c>
      <c r="G284" t="s">
        <v>81</v>
      </c>
      <c r="H284">
        <v>34474</v>
      </c>
      <c r="I284" t="s">
        <v>30</v>
      </c>
      <c r="J284" t="s">
        <v>31</v>
      </c>
      <c r="K284" t="s">
        <v>282</v>
      </c>
      <c r="N284" t="s">
        <v>1336</v>
      </c>
      <c r="Q284">
        <v>0</v>
      </c>
      <c r="R284">
        <v>76</v>
      </c>
      <c r="S284">
        <v>0</v>
      </c>
      <c r="T284" t="s">
        <v>1337</v>
      </c>
    </row>
    <row r="285" spans="1:20" customFormat="1" ht="15" x14ac:dyDescent="0.25">
      <c r="A285" t="s">
        <v>24</v>
      </c>
      <c r="B285" t="s">
        <v>1338</v>
      </c>
      <c r="C285" t="str">
        <f>"A0097028"</f>
        <v>A0097028</v>
      </c>
      <c r="D285" t="s">
        <v>1339</v>
      </c>
      <c r="E285" t="s">
        <v>1340</v>
      </c>
      <c r="F285" t="s">
        <v>1341</v>
      </c>
      <c r="G285" t="s">
        <v>52</v>
      </c>
      <c r="H285">
        <v>78336</v>
      </c>
      <c r="I285" t="s">
        <v>30</v>
      </c>
      <c r="J285" t="s">
        <v>31</v>
      </c>
      <c r="K285" t="s">
        <v>32</v>
      </c>
      <c r="N285" t="s">
        <v>1342</v>
      </c>
      <c r="Q285">
        <v>0</v>
      </c>
      <c r="R285">
        <v>88</v>
      </c>
      <c r="S285">
        <v>0</v>
      </c>
      <c r="T285" t="s">
        <v>1343</v>
      </c>
    </row>
    <row r="286" spans="1:20" customFormat="1" ht="15" x14ac:dyDescent="0.25">
      <c r="A286" t="s">
        <v>24</v>
      </c>
      <c r="B286" t="s">
        <v>2955</v>
      </c>
      <c r="C286" t="str">
        <f>"A0091578"</f>
        <v>A0091578</v>
      </c>
      <c r="D286" t="s">
        <v>2956</v>
      </c>
      <c r="E286" t="s">
        <v>2957</v>
      </c>
      <c r="F286" t="s">
        <v>2958</v>
      </c>
      <c r="G286" t="s">
        <v>29</v>
      </c>
      <c r="H286">
        <v>24061</v>
      </c>
      <c r="I286" t="s">
        <v>30</v>
      </c>
      <c r="J286" t="s">
        <v>162</v>
      </c>
      <c r="K286" t="s">
        <v>163</v>
      </c>
      <c r="N286" t="s">
        <v>2959</v>
      </c>
      <c r="Q286">
        <v>0</v>
      </c>
      <c r="R286">
        <v>147</v>
      </c>
      <c r="S286">
        <v>0</v>
      </c>
      <c r="T286" t="s">
        <v>2960</v>
      </c>
    </row>
    <row r="287" spans="1:20" customFormat="1" ht="15" x14ac:dyDescent="0.25">
      <c r="A287" t="s">
        <v>24</v>
      </c>
      <c r="B287" t="s">
        <v>1349</v>
      </c>
      <c r="C287" t="str">
        <f>"A0193634"</f>
        <v>A0193634</v>
      </c>
      <c r="D287" t="s">
        <v>1350</v>
      </c>
      <c r="E287" t="s">
        <v>1351</v>
      </c>
      <c r="F287" t="s">
        <v>1352</v>
      </c>
      <c r="G287" t="s">
        <v>71</v>
      </c>
      <c r="H287">
        <v>54601</v>
      </c>
      <c r="I287" t="s">
        <v>30</v>
      </c>
      <c r="J287" t="s">
        <v>145</v>
      </c>
      <c r="K287" t="s">
        <v>1353</v>
      </c>
      <c r="N287" t="s">
        <v>1354</v>
      </c>
      <c r="Q287">
        <v>0</v>
      </c>
      <c r="R287">
        <v>53</v>
      </c>
      <c r="S287">
        <v>0</v>
      </c>
      <c r="T287" t="s">
        <v>1355</v>
      </c>
    </row>
    <row r="288" spans="1:20" customFormat="1" ht="15" x14ac:dyDescent="0.25">
      <c r="A288" t="s">
        <v>35</v>
      </c>
      <c r="B288" t="s">
        <v>36</v>
      </c>
      <c r="C288" t="str">
        <f>"A0193699"</f>
        <v>A0193699</v>
      </c>
      <c r="D288" t="s">
        <v>1356</v>
      </c>
      <c r="E288" t="s">
        <v>1357</v>
      </c>
      <c r="F288" t="s">
        <v>1358</v>
      </c>
      <c r="G288" t="s">
        <v>81</v>
      </c>
      <c r="H288">
        <v>33036</v>
      </c>
      <c r="I288" t="s">
        <v>30</v>
      </c>
      <c r="J288" t="s">
        <v>41</v>
      </c>
      <c r="K288" t="s">
        <v>42</v>
      </c>
      <c r="Q288">
        <v>0</v>
      </c>
      <c r="R288">
        <v>0</v>
      </c>
      <c r="S288">
        <v>0</v>
      </c>
      <c r="T288" t="s">
        <v>1359</v>
      </c>
    </row>
    <row r="289" spans="1:20" customFormat="1" ht="15" x14ac:dyDescent="0.25">
      <c r="A289" t="s">
        <v>35</v>
      </c>
      <c r="B289" t="s">
        <v>36</v>
      </c>
      <c r="C289" t="str">
        <f>"A0193698"</f>
        <v>A0193698</v>
      </c>
      <c r="D289" t="s">
        <v>1360</v>
      </c>
      <c r="E289" t="s">
        <v>1361</v>
      </c>
      <c r="F289" t="s">
        <v>1362</v>
      </c>
      <c r="G289" t="s">
        <v>1363</v>
      </c>
      <c r="H289">
        <v>3836</v>
      </c>
      <c r="I289" t="s">
        <v>30</v>
      </c>
      <c r="J289" t="s">
        <v>41</v>
      </c>
      <c r="K289" t="s">
        <v>42</v>
      </c>
      <c r="Q289">
        <v>0</v>
      </c>
      <c r="R289">
        <v>0</v>
      </c>
      <c r="S289">
        <v>0</v>
      </c>
      <c r="T289" t="s">
        <v>1364</v>
      </c>
    </row>
    <row r="290" spans="1:20" customFormat="1" ht="15" x14ac:dyDescent="0.25">
      <c r="A290" t="s">
        <v>35</v>
      </c>
      <c r="B290" t="s">
        <v>1365</v>
      </c>
      <c r="C290" t="str">
        <f>"A0193697"</f>
        <v>A0193697</v>
      </c>
      <c r="D290" t="s">
        <v>1366</v>
      </c>
      <c r="E290" t="s">
        <v>1367</v>
      </c>
      <c r="F290" t="s">
        <v>1368</v>
      </c>
      <c r="G290" t="s">
        <v>1369</v>
      </c>
      <c r="H290">
        <v>39601</v>
      </c>
      <c r="I290" t="s">
        <v>30</v>
      </c>
      <c r="J290" t="s">
        <v>41</v>
      </c>
      <c r="K290" t="s">
        <v>229</v>
      </c>
      <c r="Q290">
        <v>0</v>
      </c>
      <c r="R290">
        <v>0</v>
      </c>
      <c r="S290">
        <v>0</v>
      </c>
      <c r="T290" t="s">
        <v>1370</v>
      </c>
    </row>
    <row r="291" spans="1:20" customFormat="1" ht="15" x14ac:dyDescent="0.25">
      <c r="A291" t="s">
        <v>35</v>
      </c>
      <c r="B291" t="s">
        <v>1365</v>
      </c>
      <c r="C291" t="str">
        <f>"A0193696"</f>
        <v>A0193696</v>
      </c>
      <c r="D291" t="s">
        <v>1371</v>
      </c>
      <c r="E291" t="s">
        <v>1372</v>
      </c>
      <c r="F291" t="s">
        <v>1373</v>
      </c>
      <c r="G291" t="s">
        <v>1369</v>
      </c>
      <c r="H291">
        <v>39110</v>
      </c>
      <c r="I291" t="s">
        <v>30</v>
      </c>
      <c r="J291" t="s">
        <v>41</v>
      </c>
      <c r="K291" t="s">
        <v>229</v>
      </c>
      <c r="Q291">
        <v>0</v>
      </c>
      <c r="R291">
        <v>0</v>
      </c>
      <c r="S291">
        <v>60</v>
      </c>
      <c r="T291" t="s">
        <v>1374</v>
      </c>
    </row>
    <row r="292" spans="1:20" customFormat="1" ht="15" x14ac:dyDescent="0.25">
      <c r="A292" t="s">
        <v>35</v>
      </c>
      <c r="B292" t="s">
        <v>1375</v>
      </c>
      <c r="C292" t="str">
        <f>"A0193695"</f>
        <v>A0193695</v>
      </c>
      <c r="D292" t="s">
        <v>1376</v>
      </c>
      <c r="E292" t="s">
        <v>1377</v>
      </c>
      <c r="F292" t="s">
        <v>1378</v>
      </c>
      <c r="G292" t="s">
        <v>110</v>
      </c>
      <c r="H292">
        <v>91766</v>
      </c>
      <c r="I292" t="s">
        <v>30</v>
      </c>
      <c r="J292" t="s">
        <v>41</v>
      </c>
      <c r="K292" t="s">
        <v>59</v>
      </c>
      <c r="Q292">
        <v>0</v>
      </c>
      <c r="R292">
        <v>0</v>
      </c>
      <c r="S292">
        <v>0</v>
      </c>
      <c r="T292" t="s">
        <v>1379</v>
      </c>
    </row>
    <row r="293" spans="1:20" customFormat="1" ht="15" x14ac:dyDescent="0.25">
      <c r="A293" t="s">
        <v>35</v>
      </c>
      <c r="B293" t="s">
        <v>401</v>
      </c>
      <c r="C293" t="str">
        <f>"A0193694"</f>
        <v>A0193694</v>
      </c>
      <c r="D293" t="s">
        <v>1380</v>
      </c>
      <c r="E293" t="s">
        <v>1381</v>
      </c>
      <c r="F293" t="s">
        <v>1382</v>
      </c>
      <c r="G293" t="s">
        <v>29</v>
      </c>
      <c r="H293">
        <v>23602</v>
      </c>
      <c r="I293" t="s">
        <v>30</v>
      </c>
      <c r="J293" t="s">
        <v>41</v>
      </c>
      <c r="K293" t="s">
        <v>391</v>
      </c>
      <c r="Q293">
        <v>0</v>
      </c>
      <c r="R293">
        <v>0</v>
      </c>
      <c r="S293">
        <v>0</v>
      </c>
      <c r="T293" t="s">
        <v>1383</v>
      </c>
    </row>
    <row r="294" spans="1:20" customFormat="1" ht="15" x14ac:dyDescent="0.25">
      <c r="A294" t="s">
        <v>35</v>
      </c>
      <c r="B294" t="s">
        <v>401</v>
      </c>
      <c r="C294" t="str">
        <f>"A0193693"</f>
        <v>A0193693</v>
      </c>
      <c r="D294" t="s">
        <v>1384</v>
      </c>
      <c r="E294" t="s">
        <v>1385</v>
      </c>
      <c r="F294" t="s">
        <v>1386</v>
      </c>
      <c r="G294" t="s">
        <v>137</v>
      </c>
      <c r="H294">
        <v>64081</v>
      </c>
      <c r="I294" t="s">
        <v>30</v>
      </c>
      <c r="J294" t="s">
        <v>41</v>
      </c>
      <c r="K294" t="s">
        <v>391</v>
      </c>
      <c r="Q294">
        <v>0</v>
      </c>
      <c r="R294">
        <v>0</v>
      </c>
      <c r="S294">
        <v>0</v>
      </c>
      <c r="T294" t="s">
        <v>1383</v>
      </c>
    </row>
    <row r="295" spans="1:20" customFormat="1" ht="15" x14ac:dyDescent="0.25">
      <c r="A295" t="s">
        <v>35</v>
      </c>
      <c r="B295" t="s">
        <v>401</v>
      </c>
      <c r="C295" t="str">
        <f>"A0193692"</f>
        <v>A0193692</v>
      </c>
      <c r="D295" t="s">
        <v>1387</v>
      </c>
      <c r="E295" t="s">
        <v>1388</v>
      </c>
      <c r="F295" t="s">
        <v>1386</v>
      </c>
      <c r="G295" t="s">
        <v>137</v>
      </c>
      <c r="H295">
        <v>64086</v>
      </c>
      <c r="I295" t="s">
        <v>30</v>
      </c>
      <c r="J295" t="s">
        <v>41</v>
      </c>
      <c r="K295" t="s">
        <v>391</v>
      </c>
      <c r="Q295">
        <v>0</v>
      </c>
      <c r="R295">
        <v>0</v>
      </c>
      <c r="S295">
        <v>0</v>
      </c>
      <c r="T295" t="s">
        <v>1383</v>
      </c>
    </row>
    <row r="296" spans="1:20" customFormat="1" ht="15" x14ac:dyDescent="0.25">
      <c r="A296" t="s">
        <v>35</v>
      </c>
      <c r="B296" t="s">
        <v>401</v>
      </c>
      <c r="C296" t="str">
        <f>"A0193691"</f>
        <v>A0193691</v>
      </c>
      <c r="D296" t="s">
        <v>1389</v>
      </c>
      <c r="E296" t="s">
        <v>1390</v>
      </c>
      <c r="F296" t="s">
        <v>1391</v>
      </c>
      <c r="G296" t="s">
        <v>846</v>
      </c>
      <c r="H296">
        <v>30152</v>
      </c>
      <c r="I296" t="s">
        <v>30</v>
      </c>
      <c r="J296" t="s">
        <v>41</v>
      </c>
      <c r="K296" t="s">
        <v>391</v>
      </c>
      <c r="Q296">
        <v>0</v>
      </c>
      <c r="R296">
        <v>0</v>
      </c>
      <c r="S296">
        <v>0</v>
      </c>
      <c r="T296" t="s">
        <v>1383</v>
      </c>
    </row>
    <row r="297" spans="1:20" customFormat="1" ht="15" x14ac:dyDescent="0.25">
      <c r="A297" t="s">
        <v>35</v>
      </c>
      <c r="B297" t="s">
        <v>401</v>
      </c>
      <c r="C297" t="str">
        <f>"A0193690"</f>
        <v>A0193690</v>
      </c>
      <c r="D297" t="s">
        <v>1392</v>
      </c>
      <c r="E297" t="s">
        <v>1393</v>
      </c>
      <c r="F297" t="s">
        <v>1394</v>
      </c>
      <c r="G297" t="s">
        <v>161</v>
      </c>
      <c r="H297">
        <v>55117</v>
      </c>
      <c r="I297" t="s">
        <v>30</v>
      </c>
      <c r="J297" t="s">
        <v>41</v>
      </c>
      <c r="K297" t="s">
        <v>391</v>
      </c>
      <c r="Q297">
        <v>0</v>
      </c>
      <c r="R297">
        <v>0</v>
      </c>
      <c r="S297">
        <v>0</v>
      </c>
      <c r="T297" t="s">
        <v>1383</v>
      </c>
    </row>
    <row r="298" spans="1:20" customFormat="1" ht="15" x14ac:dyDescent="0.25">
      <c r="A298" t="s">
        <v>35</v>
      </c>
      <c r="B298" t="s">
        <v>401</v>
      </c>
      <c r="C298" t="str">
        <f>"A0193689"</f>
        <v>A0193689</v>
      </c>
      <c r="D298" t="s">
        <v>1395</v>
      </c>
      <c r="E298" t="s">
        <v>1396</v>
      </c>
      <c r="F298" t="s">
        <v>1397</v>
      </c>
      <c r="G298" t="s">
        <v>846</v>
      </c>
      <c r="H298">
        <v>30518</v>
      </c>
      <c r="I298" t="s">
        <v>30</v>
      </c>
      <c r="J298" t="s">
        <v>41</v>
      </c>
      <c r="K298" t="s">
        <v>391</v>
      </c>
      <c r="Q298">
        <v>0</v>
      </c>
      <c r="R298">
        <v>0</v>
      </c>
      <c r="S298">
        <v>0</v>
      </c>
      <c r="T298" t="s">
        <v>1383</v>
      </c>
    </row>
    <row r="299" spans="1:20" customFormat="1" ht="15" x14ac:dyDescent="0.25">
      <c r="A299" t="s">
        <v>35</v>
      </c>
      <c r="B299" t="s">
        <v>401</v>
      </c>
      <c r="C299" t="str">
        <f>"A0193688"</f>
        <v>A0193688</v>
      </c>
      <c r="D299" t="s">
        <v>1398</v>
      </c>
      <c r="E299" t="s">
        <v>1399</v>
      </c>
      <c r="F299" t="s">
        <v>1400</v>
      </c>
      <c r="G299" t="s">
        <v>214</v>
      </c>
      <c r="H299">
        <v>27587</v>
      </c>
      <c r="I299" t="s">
        <v>30</v>
      </c>
      <c r="J299" t="s">
        <v>41</v>
      </c>
      <c r="K299" t="s">
        <v>391</v>
      </c>
      <c r="Q299">
        <v>0</v>
      </c>
      <c r="R299">
        <v>0</v>
      </c>
      <c r="S299">
        <v>0</v>
      </c>
      <c r="T299" t="s">
        <v>1383</v>
      </c>
    </row>
    <row r="300" spans="1:20" customFormat="1" ht="15" x14ac:dyDescent="0.25">
      <c r="A300" t="s">
        <v>35</v>
      </c>
      <c r="B300" t="s">
        <v>401</v>
      </c>
      <c r="C300" t="str">
        <f>"A0193687"</f>
        <v>A0193687</v>
      </c>
      <c r="D300" t="s">
        <v>1401</v>
      </c>
      <c r="E300" t="s">
        <v>1402</v>
      </c>
      <c r="F300" t="s">
        <v>1403</v>
      </c>
      <c r="G300" t="s">
        <v>381</v>
      </c>
      <c r="H300">
        <v>46123</v>
      </c>
      <c r="I300" t="s">
        <v>30</v>
      </c>
      <c r="J300" t="s">
        <v>41</v>
      </c>
      <c r="K300" t="s">
        <v>391</v>
      </c>
      <c r="Q300">
        <v>0</v>
      </c>
      <c r="R300">
        <v>0</v>
      </c>
      <c r="S300">
        <v>0</v>
      </c>
      <c r="T300" t="s">
        <v>1404</v>
      </c>
    </row>
    <row r="301" spans="1:20" customFormat="1" ht="15" x14ac:dyDescent="0.25">
      <c r="A301" t="s">
        <v>35</v>
      </c>
      <c r="B301" t="s">
        <v>1405</v>
      </c>
      <c r="C301" t="str">
        <f>"A0193686"</f>
        <v>A0193686</v>
      </c>
      <c r="D301" t="s">
        <v>1406</v>
      </c>
      <c r="E301" t="s">
        <v>1407</v>
      </c>
      <c r="F301" t="s">
        <v>1408</v>
      </c>
      <c r="G301" t="s">
        <v>29</v>
      </c>
      <c r="H301">
        <v>20132</v>
      </c>
      <c r="I301" t="s">
        <v>30</v>
      </c>
      <c r="J301" t="s">
        <v>41</v>
      </c>
      <c r="K301" t="s">
        <v>391</v>
      </c>
      <c r="Q301">
        <v>0</v>
      </c>
      <c r="R301">
        <v>0</v>
      </c>
      <c r="S301">
        <v>0</v>
      </c>
      <c r="T301" t="s">
        <v>1383</v>
      </c>
    </row>
    <row r="302" spans="1:20" customFormat="1" ht="15" x14ac:dyDescent="0.25">
      <c r="A302" t="s">
        <v>35</v>
      </c>
      <c r="B302" t="s">
        <v>1409</v>
      </c>
      <c r="C302" t="str">
        <f>"A0193685"</f>
        <v>A0193685</v>
      </c>
      <c r="D302" t="s">
        <v>1410</v>
      </c>
      <c r="E302" t="s">
        <v>1411</v>
      </c>
      <c r="F302" t="s">
        <v>64</v>
      </c>
      <c r="G302" t="s">
        <v>65</v>
      </c>
      <c r="H302">
        <v>43228</v>
      </c>
      <c r="I302" t="s">
        <v>30</v>
      </c>
      <c r="J302" t="s">
        <v>41</v>
      </c>
      <c r="K302" t="s">
        <v>1412</v>
      </c>
      <c r="Q302">
        <v>0</v>
      </c>
      <c r="R302">
        <v>0</v>
      </c>
      <c r="S302">
        <v>0</v>
      </c>
      <c r="T302" t="s">
        <v>1413</v>
      </c>
    </row>
    <row r="303" spans="1:20" customFormat="1" ht="15" x14ac:dyDescent="0.25">
      <c r="A303" t="s">
        <v>35</v>
      </c>
      <c r="B303" t="s">
        <v>1414</v>
      </c>
      <c r="C303" t="str">
        <f>"A0193684"</f>
        <v>A0193684</v>
      </c>
      <c r="D303" t="s">
        <v>1415</v>
      </c>
      <c r="E303" t="s">
        <v>1416</v>
      </c>
      <c r="F303" t="s">
        <v>1417</v>
      </c>
      <c r="G303" t="s">
        <v>110</v>
      </c>
      <c r="H303">
        <v>26995</v>
      </c>
      <c r="I303" t="s">
        <v>30</v>
      </c>
      <c r="J303" t="s">
        <v>41</v>
      </c>
      <c r="K303" t="s">
        <v>418</v>
      </c>
      <c r="Q303">
        <v>0</v>
      </c>
      <c r="R303">
        <v>0</v>
      </c>
      <c r="S303">
        <v>0</v>
      </c>
      <c r="T303" t="s">
        <v>72</v>
      </c>
    </row>
    <row r="304" spans="1:20" customFormat="1" ht="15" x14ac:dyDescent="0.25">
      <c r="A304" t="s">
        <v>35</v>
      </c>
      <c r="B304" t="s">
        <v>61</v>
      </c>
      <c r="C304" t="str">
        <f>"A0193683"</f>
        <v>A0193683</v>
      </c>
      <c r="D304" t="s">
        <v>1418</v>
      </c>
      <c r="E304" t="s">
        <v>1419</v>
      </c>
      <c r="F304" t="s">
        <v>1420</v>
      </c>
      <c r="G304" t="s">
        <v>880</v>
      </c>
      <c r="H304">
        <v>37214</v>
      </c>
      <c r="I304" t="s">
        <v>30</v>
      </c>
      <c r="J304" t="s">
        <v>41</v>
      </c>
      <c r="K304" t="s">
        <v>59</v>
      </c>
      <c r="Q304">
        <v>0</v>
      </c>
      <c r="R304">
        <v>0</v>
      </c>
      <c r="S304">
        <v>0</v>
      </c>
      <c r="T304" t="s">
        <v>72</v>
      </c>
    </row>
    <row r="305" spans="1:20" customFormat="1" ht="15" x14ac:dyDescent="0.25">
      <c r="A305" t="s">
        <v>35</v>
      </c>
      <c r="B305" t="s">
        <v>61</v>
      </c>
      <c r="C305" t="str">
        <f>"A0193682"</f>
        <v>A0193682</v>
      </c>
      <c r="D305" t="s">
        <v>1421</v>
      </c>
      <c r="E305" t="s">
        <v>1422</v>
      </c>
      <c r="F305" t="s">
        <v>1423</v>
      </c>
      <c r="G305" t="s">
        <v>528</v>
      </c>
      <c r="H305">
        <v>19947</v>
      </c>
      <c r="I305" t="s">
        <v>30</v>
      </c>
      <c r="J305" t="s">
        <v>41</v>
      </c>
      <c r="K305" t="s">
        <v>229</v>
      </c>
      <c r="Q305">
        <v>0</v>
      </c>
      <c r="R305">
        <v>0</v>
      </c>
      <c r="S305">
        <v>139</v>
      </c>
      <c r="T305" t="s">
        <v>1424</v>
      </c>
    </row>
    <row r="306" spans="1:20" customFormat="1" ht="15" x14ac:dyDescent="0.25">
      <c r="A306" t="s">
        <v>35</v>
      </c>
      <c r="B306" t="s">
        <v>106</v>
      </c>
      <c r="C306" t="str">
        <f>"A0193681"</f>
        <v>A0193681</v>
      </c>
      <c r="D306" t="s">
        <v>1425</v>
      </c>
      <c r="E306" t="s">
        <v>1426</v>
      </c>
      <c r="F306" t="s">
        <v>1427</v>
      </c>
      <c r="G306" t="s">
        <v>427</v>
      </c>
      <c r="H306">
        <v>68460</v>
      </c>
      <c r="I306" t="s">
        <v>30</v>
      </c>
      <c r="J306" t="s">
        <v>111</v>
      </c>
      <c r="K306" t="s">
        <v>112</v>
      </c>
      <c r="Q306">
        <v>0</v>
      </c>
      <c r="R306">
        <v>0</v>
      </c>
      <c r="S306">
        <v>0</v>
      </c>
      <c r="T306" t="s">
        <v>1428</v>
      </c>
    </row>
    <row r="307" spans="1:20" customFormat="1" ht="15" x14ac:dyDescent="0.25">
      <c r="A307" t="s">
        <v>35</v>
      </c>
      <c r="B307" t="s">
        <v>1429</v>
      </c>
      <c r="C307" t="str">
        <f>"A0193680"</f>
        <v>A0193680</v>
      </c>
      <c r="D307" t="s">
        <v>1429</v>
      </c>
      <c r="E307" t="s">
        <v>1430</v>
      </c>
      <c r="F307" t="s">
        <v>1431</v>
      </c>
      <c r="G307" t="s">
        <v>47</v>
      </c>
      <c r="H307">
        <v>97224</v>
      </c>
      <c r="I307" t="s">
        <v>30</v>
      </c>
      <c r="J307" t="s">
        <v>41</v>
      </c>
      <c r="K307" t="s">
        <v>290</v>
      </c>
      <c r="Q307">
        <v>0</v>
      </c>
      <c r="R307">
        <v>0</v>
      </c>
      <c r="S307">
        <v>0</v>
      </c>
      <c r="T307" t="s">
        <v>72</v>
      </c>
    </row>
    <row r="308" spans="1:20" customFormat="1" ht="15" x14ac:dyDescent="0.25">
      <c r="A308" t="s">
        <v>35</v>
      </c>
      <c r="B308" t="s">
        <v>1432</v>
      </c>
      <c r="C308" t="str">
        <f>"A0193679"</f>
        <v>A0193679</v>
      </c>
      <c r="D308" t="s">
        <v>1433</v>
      </c>
      <c r="E308" t="s">
        <v>1434</v>
      </c>
      <c r="F308" t="s">
        <v>1435</v>
      </c>
      <c r="G308" t="s">
        <v>1363</v>
      </c>
      <c r="H308">
        <v>3431</v>
      </c>
      <c r="I308" t="s">
        <v>30</v>
      </c>
      <c r="J308" t="s">
        <v>41</v>
      </c>
      <c r="K308" t="s">
        <v>229</v>
      </c>
      <c r="Q308">
        <v>0</v>
      </c>
      <c r="R308">
        <v>0</v>
      </c>
      <c r="S308">
        <v>0</v>
      </c>
      <c r="T308" t="s">
        <v>72</v>
      </c>
    </row>
    <row r="309" spans="1:20" customFormat="1" ht="15" x14ac:dyDescent="0.25">
      <c r="A309" t="s">
        <v>35</v>
      </c>
      <c r="B309" t="s">
        <v>1436</v>
      </c>
      <c r="C309" t="str">
        <f>"A0193678"</f>
        <v>A0193678</v>
      </c>
      <c r="D309" t="s">
        <v>1437</v>
      </c>
      <c r="E309" t="s">
        <v>1438</v>
      </c>
      <c r="F309" t="s">
        <v>1439</v>
      </c>
      <c r="G309" t="s">
        <v>110</v>
      </c>
      <c r="H309">
        <v>92128</v>
      </c>
      <c r="I309" t="s">
        <v>30</v>
      </c>
      <c r="J309" t="s">
        <v>41</v>
      </c>
      <c r="K309" t="s">
        <v>1440</v>
      </c>
      <c r="Q309">
        <v>0</v>
      </c>
      <c r="R309">
        <v>0</v>
      </c>
      <c r="S309">
        <v>0</v>
      </c>
      <c r="T309" t="s">
        <v>72</v>
      </c>
    </row>
    <row r="310" spans="1:20" customFormat="1" ht="15" x14ac:dyDescent="0.25">
      <c r="A310" t="s">
        <v>35</v>
      </c>
      <c r="B310" t="s">
        <v>1441</v>
      </c>
      <c r="C310" t="str">
        <f>"A0193677"</f>
        <v>A0193677</v>
      </c>
      <c r="D310" t="s">
        <v>1442</v>
      </c>
      <c r="E310" t="s">
        <v>1443</v>
      </c>
      <c r="F310" t="s">
        <v>1444</v>
      </c>
      <c r="G310" t="s">
        <v>76</v>
      </c>
      <c r="H310">
        <v>98102</v>
      </c>
      <c r="I310" t="s">
        <v>30</v>
      </c>
      <c r="J310" t="s">
        <v>41</v>
      </c>
      <c r="K310" t="s">
        <v>1032</v>
      </c>
      <c r="Q310">
        <v>0</v>
      </c>
      <c r="R310">
        <v>0</v>
      </c>
      <c r="S310">
        <v>74</v>
      </c>
      <c r="T310" t="s">
        <v>1445</v>
      </c>
    </row>
    <row r="311" spans="1:20" customFormat="1" ht="15" x14ac:dyDescent="0.25">
      <c r="A311" t="s">
        <v>24</v>
      </c>
      <c r="B311" t="s">
        <v>193</v>
      </c>
      <c r="C311" t="str">
        <f>"A0095072"</f>
        <v>A0095072</v>
      </c>
      <c r="D311" t="s">
        <v>2965</v>
      </c>
      <c r="E311" t="s">
        <v>2966</v>
      </c>
      <c r="F311" t="s">
        <v>796</v>
      </c>
      <c r="G311" t="s">
        <v>197</v>
      </c>
      <c r="H311">
        <v>85718</v>
      </c>
      <c r="I311" t="s">
        <v>30</v>
      </c>
      <c r="J311" t="s">
        <v>162</v>
      </c>
      <c r="K311" t="s">
        <v>266</v>
      </c>
      <c r="Q311">
        <v>0</v>
      </c>
      <c r="R311">
        <v>119</v>
      </c>
      <c r="S311">
        <v>0</v>
      </c>
      <c r="T311" t="s">
        <v>2967</v>
      </c>
    </row>
    <row r="312" spans="1:20" customFormat="1" ht="15" hidden="1" x14ac:dyDescent="0.25">
      <c r="A312" t="s">
        <v>24</v>
      </c>
      <c r="B312" t="s">
        <v>1453</v>
      </c>
      <c r="C312" t="str">
        <f>"A0096941"</f>
        <v>A0096941</v>
      </c>
      <c r="D312" t="s">
        <v>1454</v>
      </c>
      <c r="E312" t="s">
        <v>1455</v>
      </c>
      <c r="F312" t="s">
        <v>1456</v>
      </c>
      <c r="G312" t="s">
        <v>1457</v>
      </c>
      <c r="H312" t="s">
        <v>1458</v>
      </c>
      <c r="I312" t="s">
        <v>1459</v>
      </c>
      <c r="J312" t="s">
        <v>171</v>
      </c>
      <c r="K312" t="s">
        <v>163</v>
      </c>
      <c r="N312" t="s">
        <v>1460</v>
      </c>
      <c r="Q312">
        <v>0</v>
      </c>
      <c r="R312">
        <v>62</v>
      </c>
      <c r="S312">
        <v>0</v>
      </c>
      <c r="T312" t="s">
        <v>1461</v>
      </c>
    </row>
    <row r="313" spans="1:20" customFormat="1" ht="15" x14ac:dyDescent="0.25">
      <c r="A313" t="s">
        <v>24</v>
      </c>
      <c r="B313" t="s">
        <v>1462</v>
      </c>
      <c r="C313" t="str">
        <f>"A0057839"</f>
        <v>A0057839</v>
      </c>
      <c r="D313" t="s">
        <v>1463</v>
      </c>
      <c r="E313" t="s">
        <v>1464</v>
      </c>
      <c r="F313" t="s">
        <v>143</v>
      </c>
      <c r="G313" t="s">
        <v>144</v>
      </c>
      <c r="H313">
        <v>58701</v>
      </c>
      <c r="I313" t="s">
        <v>30</v>
      </c>
      <c r="J313" t="s">
        <v>31</v>
      </c>
      <c r="K313" t="s">
        <v>163</v>
      </c>
      <c r="N313" t="s">
        <v>1465</v>
      </c>
      <c r="Q313">
        <v>0</v>
      </c>
      <c r="R313">
        <v>100</v>
      </c>
      <c r="S313">
        <v>0</v>
      </c>
      <c r="T313" t="s">
        <v>1466</v>
      </c>
    </row>
    <row r="314" spans="1:20" customFormat="1" ht="15" x14ac:dyDescent="0.25">
      <c r="A314" t="s">
        <v>24</v>
      </c>
      <c r="B314" t="s">
        <v>1467</v>
      </c>
      <c r="C314" t="str">
        <f>"A0154131"</f>
        <v>A0154131</v>
      </c>
      <c r="D314" t="s">
        <v>1468</v>
      </c>
      <c r="E314" t="s">
        <v>1469</v>
      </c>
      <c r="F314" t="s">
        <v>1470</v>
      </c>
      <c r="G314" t="s">
        <v>899</v>
      </c>
      <c r="H314">
        <v>1702</v>
      </c>
      <c r="I314" t="s">
        <v>30</v>
      </c>
      <c r="J314" t="s">
        <v>31</v>
      </c>
      <c r="K314" t="s">
        <v>277</v>
      </c>
      <c r="N314" t="s">
        <v>1471</v>
      </c>
      <c r="Q314">
        <v>0</v>
      </c>
      <c r="R314">
        <v>148</v>
      </c>
      <c r="S314">
        <v>0</v>
      </c>
      <c r="T314" t="s">
        <v>1472</v>
      </c>
    </row>
    <row r="315" spans="1:20" customFormat="1" ht="15" x14ac:dyDescent="0.25">
      <c r="A315" t="s">
        <v>24</v>
      </c>
      <c r="B315" t="s">
        <v>1473</v>
      </c>
      <c r="C315" t="str">
        <f>"A0058593"</f>
        <v>A0058593</v>
      </c>
      <c r="D315" t="s">
        <v>1474</v>
      </c>
      <c r="E315" t="s">
        <v>1475</v>
      </c>
      <c r="F315" t="s">
        <v>1476</v>
      </c>
      <c r="G315" t="s">
        <v>99</v>
      </c>
      <c r="H315">
        <v>14615</v>
      </c>
      <c r="I315" t="s">
        <v>30</v>
      </c>
      <c r="J315" t="s">
        <v>31</v>
      </c>
      <c r="K315" t="s">
        <v>282</v>
      </c>
      <c r="N315" t="s">
        <v>1477</v>
      </c>
      <c r="O315" t="s">
        <v>1478</v>
      </c>
      <c r="Q315">
        <v>0</v>
      </c>
      <c r="R315">
        <v>86</v>
      </c>
      <c r="S315">
        <v>0</v>
      </c>
      <c r="T315" t="s">
        <v>1479</v>
      </c>
    </row>
    <row r="316" spans="1:20" customFormat="1" ht="15" x14ac:dyDescent="0.25">
      <c r="A316" t="s">
        <v>24</v>
      </c>
      <c r="B316" t="s">
        <v>1480</v>
      </c>
      <c r="C316" t="str">
        <f>"A0051736"</f>
        <v>A0051736</v>
      </c>
      <c r="D316" t="s">
        <v>1481</v>
      </c>
      <c r="E316" t="s">
        <v>1482</v>
      </c>
      <c r="F316" t="s">
        <v>1483</v>
      </c>
      <c r="G316" t="s">
        <v>103</v>
      </c>
      <c r="H316">
        <v>19603</v>
      </c>
      <c r="I316" t="s">
        <v>30</v>
      </c>
      <c r="J316" t="s">
        <v>178</v>
      </c>
      <c r="K316" t="s">
        <v>179</v>
      </c>
      <c r="N316" t="s">
        <v>1484</v>
      </c>
      <c r="O316" t="s">
        <v>1485</v>
      </c>
      <c r="Q316">
        <v>0</v>
      </c>
      <c r="R316">
        <v>18</v>
      </c>
      <c r="S316">
        <v>0</v>
      </c>
      <c r="T316" t="s">
        <v>1486</v>
      </c>
    </row>
    <row r="317" spans="1:20" customFormat="1" ht="15" x14ac:dyDescent="0.25">
      <c r="A317" t="s">
        <v>24</v>
      </c>
      <c r="B317" t="s">
        <v>1561</v>
      </c>
      <c r="C317" t="str">
        <f>"A0092617"</f>
        <v>A0092617</v>
      </c>
      <c r="D317" t="s">
        <v>3022</v>
      </c>
      <c r="E317" t="s">
        <v>3023</v>
      </c>
      <c r="F317" t="s">
        <v>3024</v>
      </c>
      <c r="G317" t="s">
        <v>846</v>
      </c>
      <c r="H317">
        <v>30337</v>
      </c>
      <c r="I317" t="s">
        <v>30</v>
      </c>
      <c r="J317" t="s">
        <v>162</v>
      </c>
      <c r="K317" t="s">
        <v>2819</v>
      </c>
      <c r="N317" t="s">
        <v>3025</v>
      </c>
      <c r="O317" t="s">
        <v>2874</v>
      </c>
      <c r="Q317">
        <v>0</v>
      </c>
      <c r="R317">
        <v>142</v>
      </c>
      <c r="S317">
        <v>0</v>
      </c>
      <c r="T317" t="s">
        <v>3026</v>
      </c>
    </row>
    <row r="318" spans="1:20" customFormat="1" ht="15" x14ac:dyDescent="0.25">
      <c r="A318" t="s">
        <v>35</v>
      </c>
      <c r="B318" t="s">
        <v>1494</v>
      </c>
      <c r="C318" t="str">
        <f>"A0129200"</f>
        <v>A0129200</v>
      </c>
      <c r="D318" t="s">
        <v>1495</v>
      </c>
      <c r="E318" t="s">
        <v>1496</v>
      </c>
      <c r="F318" t="s">
        <v>1497</v>
      </c>
      <c r="G318" t="s">
        <v>289</v>
      </c>
      <c r="H318">
        <v>62454</v>
      </c>
      <c r="I318" t="s">
        <v>30</v>
      </c>
      <c r="J318" t="s">
        <v>41</v>
      </c>
      <c r="K318" t="s">
        <v>229</v>
      </c>
      <c r="Q318">
        <v>0</v>
      </c>
      <c r="R318">
        <v>73</v>
      </c>
      <c r="S318">
        <v>73</v>
      </c>
      <c r="T318" t="s">
        <v>1498</v>
      </c>
    </row>
    <row r="319" spans="1:20" customFormat="1" ht="15" x14ac:dyDescent="0.25">
      <c r="A319" t="s">
        <v>24</v>
      </c>
      <c r="B319" t="s">
        <v>257</v>
      </c>
      <c r="C319" t="str">
        <f>"A0091395"</f>
        <v>A0091395</v>
      </c>
      <c r="D319" t="s">
        <v>3228</v>
      </c>
      <c r="E319" t="s">
        <v>3229</v>
      </c>
      <c r="F319" t="s">
        <v>1248</v>
      </c>
      <c r="G319" t="s">
        <v>846</v>
      </c>
      <c r="H319">
        <v>30144</v>
      </c>
      <c r="I319" t="s">
        <v>30</v>
      </c>
      <c r="J319" t="s">
        <v>162</v>
      </c>
      <c r="K319" t="s">
        <v>266</v>
      </c>
      <c r="N319" t="s">
        <v>3230</v>
      </c>
      <c r="O319" t="s">
        <v>3231</v>
      </c>
      <c r="Q319">
        <v>0</v>
      </c>
      <c r="R319">
        <v>192</v>
      </c>
      <c r="S319">
        <v>0</v>
      </c>
      <c r="T319" t="s">
        <v>3232</v>
      </c>
    </row>
    <row r="320" spans="1:20" customFormat="1" ht="15" x14ac:dyDescent="0.25">
      <c r="A320" t="s">
        <v>24</v>
      </c>
      <c r="B320" t="s">
        <v>3343</v>
      </c>
      <c r="C320" t="str">
        <f>"A0094822"</f>
        <v>A0094822</v>
      </c>
      <c r="D320" t="s">
        <v>3344</v>
      </c>
      <c r="E320" t="s">
        <v>3345</v>
      </c>
      <c r="F320" t="s">
        <v>3346</v>
      </c>
      <c r="G320" t="s">
        <v>289</v>
      </c>
      <c r="H320">
        <v>60062</v>
      </c>
      <c r="I320" t="s">
        <v>30</v>
      </c>
      <c r="J320" t="s">
        <v>162</v>
      </c>
      <c r="K320" t="s">
        <v>1502</v>
      </c>
      <c r="N320" t="s">
        <v>3347</v>
      </c>
      <c r="O320" t="s">
        <v>3348</v>
      </c>
      <c r="Q320">
        <v>0</v>
      </c>
      <c r="R320">
        <v>161</v>
      </c>
      <c r="S320">
        <v>0</v>
      </c>
      <c r="T320" t="s">
        <v>3349</v>
      </c>
    </row>
    <row r="321" spans="1:20" customFormat="1" ht="15" x14ac:dyDescent="0.25">
      <c r="A321" t="s">
        <v>24</v>
      </c>
      <c r="B321" t="s">
        <v>3367</v>
      </c>
      <c r="C321" t="str">
        <f>"A0095526"</f>
        <v>A0095526</v>
      </c>
      <c r="D321" t="s">
        <v>3368</v>
      </c>
      <c r="E321" t="s">
        <v>3369</v>
      </c>
      <c r="F321" t="s">
        <v>271</v>
      </c>
      <c r="G321" t="s">
        <v>103</v>
      </c>
      <c r="H321">
        <v>15219</v>
      </c>
      <c r="I321" t="s">
        <v>30</v>
      </c>
      <c r="J321" t="s">
        <v>162</v>
      </c>
      <c r="K321" t="s">
        <v>163</v>
      </c>
      <c r="N321" t="s">
        <v>3370</v>
      </c>
      <c r="Q321">
        <v>0</v>
      </c>
      <c r="R321">
        <v>248</v>
      </c>
      <c r="S321">
        <v>0</v>
      </c>
      <c r="T321" t="s">
        <v>3371</v>
      </c>
    </row>
    <row r="322" spans="1:20" customFormat="1" ht="15" x14ac:dyDescent="0.25">
      <c r="A322" t="s">
        <v>24</v>
      </c>
      <c r="B322" t="s">
        <v>1516</v>
      </c>
      <c r="C322" t="str">
        <f>"A0188387"</f>
        <v>A0188387</v>
      </c>
      <c r="D322" t="s">
        <v>1517</v>
      </c>
      <c r="E322" t="s">
        <v>1518</v>
      </c>
      <c r="F322" t="s">
        <v>1519</v>
      </c>
      <c r="G322" t="s">
        <v>110</v>
      </c>
      <c r="H322">
        <v>90016</v>
      </c>
      <c r="I322" t="s">
        <v>30</v>
      </c>
      <c r="J322" t="s">
        <v>31</v>
      </c>
      <c r="K322" t="s">
        <v>163</v>
      </c>
      <c r="N322" t="s">
        <v>1520</v>
      </c>
      <c r="O322" t="s">
        <v>1521</v>
      </c>
      <c r="Q322">
        <v>0</v>
      </c>
      <c r="R322">
        <v>48</v>
      </c>
      <c r="S322">
        <v>0</v>
      </c>
      <c r="T322" t="s">
        <v>1522</v>
      </c>
    </row>
    <row r="323" spans="1:20" customFormat="1" ht="15" x14ac:dyDescent="0.25">
      <c r="A323" t="s">
        <v>24</v>
      </c>
      <c r="B323" t="s">
        <v>1583</v>
      </c>
      <c r="C323" t="str">
        <f>"A0191983"</f>
        <v>A0191983</v>
      </c>
      <c r="D323" t="s">
        <v>3409</v>
      </c>
      <c r="E323" t="s">
        <v>3410</v>
      </c>
      <c r="F323" t="s">
        <v>3184</v>
      </c>
      <c r="G323" t="s">
        <v>137</v>
      </c>
      <c r="H323">
        <v>65616</v>
      </c>
      <c r="I323" t="s">
        <v>30</v>
      </c>
      <c r="J323" t="s">
        <v>162</v>
      </c>
      <c r="K323" t="s">
        <v>163</v>
      </c>
      <c r="N323" t="s">
        <v>3185</v>
      </c>
      <c r="O323" t="s">
        <v>3411</v>
      </c>
      <c r="Q323">
        <v>0</v>
      </c>
      <c r="R323">
        <v>159</v>
      </c>
      <c r="S323">
        <v>0</v>
      </c>
      <c r="T323" t="s">
        <v>2023</v>
      </c>
    </row>
    <row r="324" spans="1:20" customFormat="1" ht="15" x14ac:dyDescent="0.25">
      <c r="A324" t="s">
        <v>24</v>
      </c>
      <c r="B324" t="s">
        <v>149</v>
      </c>
      <c r="C324" t="str">
        <f>"A0189052"</f>
        <v>A0189052</v>
      </c>
      <c r="D324" t="s">
        <v>3445</v>
      </c>
      <c r="E324" t="s">
        <v>3446</v>
      </c>
      <c r="F324" t="s">
        <v>220</v>
      </c>
      <c r="G324" t="s">
        <v>221</v>
      </c>
      <c r="H324">
        <v>89101</v>
      </c>
      <c r="I324" t="s">
        <v>30</v>
      </c>
      <c r="J324" t="s">
        <v>162</v>
      </c>
      <c r="K324" t="s">
        <v>3447</v>
      </c>
      <c r="N324" t="s">
        <v>3448</v>
      </c>
      <c r="Q324">
        <v>0</v>
      </c>
      <c r="R324">
        <v>74</v>
      </c>
      <c r="S324">
        <v>0</v>
      </c>
      <c r="T324" t="s">
        <v>192</v>
      </c>
    </row>
    <row r="325" spans="1:20" customFormat="1" ht="15" x14ac:dyDescent="0.25">
      <c r="A325" t="s">
        <v>24</v>
      </c>
      <c r="B325" t="s">
        <v>3459</v>
      </c>
      <c r="C325" t="str">
        <f>"A0084580"</f>
        <v>A0084580</v>
      </c>
      <c r="D325" t="s">
        <v>3460</v>
      </c>
      <c r="E325" t="s">
        <v>3461</v>
      </c>
      <c r="F325" t="s">
        <v>196</v>
      </c>
      <c r="G325" t="s">
        <v>197</v>
      </c>
      <c r="H325">
        <v>85004</v>
      </c>
      <c r="I325" t="s">
        <v>30</v>
      </c>
      <c r="J325" t="s">
        <v>162</v>
      </c>
      <c r="K325" t="s">
        <v>163</v>
      </c>
      <c r="N325" t="s">
        <v>3462</v>
      </c>
      <c r="Q325">
        <v>0</v>
      </c>
      <c r="R325">
        <v>129</v>
      </c>
      <c r="S325">
        <v>0</v>
      </c>
      <c r="T325" t="s">
        <v>3463</v>
      </c>
    </row>
    <row r="326" spans="1:20" customFormat="1" ht="15" x14ac:dyDescent="0.25">
      <c r="A326" t="s">
        <v>24</v>
      </c>
      <c r="B326" t="s">
        <v>1317</v>
      </c>
      <c r="C326" t="str">
        <f>"A0093273"</f>
        <v>A0093273</v>
      </c>
      <c r="D326" t="s">
        <v>1539</v>
      </c>
      <c r="E326" t="s">
        <v>1540</v>
      </c>
      <c r="F326" t="s">
        <v>1541</v>
      </c>
      <c r="G326" t="s">
        <v>427</v>
      </c>
      <c r="H326">
        <v>68154</v>
      </c>
      <c r="I326" t="s">
        <v>30</v>
      </c>
      <c r="J326" t="s">
        <v>31</v>
      </c>
      <c r="K326" t="s">
        <v>198</v>
      </c>
      <c r="N326" t="s">
        <v>1514</v>
      </c>
      <c r="Q326">
        <v>0</v>
      </c>
      <c r="R326">
        <v>110</v>
      </c>
      <c r="S326">
        <v>0</v>
      </c>
      <c r="T326" t="s">
        <v>1542</v>
      </c>
    </row>
    <row r="327" spans="1:20" customFormat="1" ht="15" x14ac:dyDescent="0.25">
      <c r="A327" t="s">
        <v>24</v>
      </c>
      <c r="B327" t="s">
        <v>1543</v>
      </c>
      <c r="C327" t="str">
        <f>"A0075957"</f>
        <v>A0075957</v>
      </c>
      <c r="D327" t="s">
        <v>1544</v>
      </c>
      <c r="E327" t="s">
        <v>1545</v>
      </c>
      <c r="F327" t="s">
        <v>1546</v>
      </c>
      <c r="G327" t="s">
        <v>52</v>
      </c>
      <c r="H327">
        <v>77494</v>
      </c>
      <c r="I327" t="s">
        <v>30</v>
      </c>
      <c r="J327" t="s">
        <v>31</v>
      </c>
      <c r="K327" t="s">
        <v>255</v>
      </c>
      <c r="Q327">
        <v>0</v>
      </c>
      <c r="R327">
        <v>69</v>
      </c>
      <c r="S327">
        <v>0</v>
      </c>
      <c r="T327" t="s">
        <v>1547</v>
      </c>
    </row>
    <row r="328" spans="1:20" customFormat="1" ht="15" x14ac:dyDescent="0.25">
      <c r="A328" t="s">
        <v>24</v>
      </c>
      <c r="B328" t="s">
        <v>1548</v>
      </c>
      <c r="C328" t="str">
        <f>"A0158380"</f>
        <v>A0158380</v>
      </c>
      <c r="D328" t="s">
        <v>1549</v>
      </c>
      <c r="E328" t="s">
        <v>1550</v>
      </c>
      <c r="F328" t="s">
        <v>1551</v>
      </c>
      <c r="G328" t="s">
        <v>289</v>
      </c>
      <c r="H328">
        <v>60018</v>
      </c>
      <c r="I328" t="s">
        <v>30</v>
      </c>
      <c r="J328" t="s">
        <v>31</v>
      </c>
      <c r="K328" t="s">
        <v>32</v>
      </c>
      <c r="N328" t="s">
        <v>1552</v>
      </c>
      <c r="O328" t="s">
        <v>1553</v>
      </c>
      <c r="Q328">
        <v>0</v>
      </c>
      <c r="R328">
        <v>137</v>
      </c>
      <c r="S328">
        <v>0</v>
      </c>
      <c r="T328" t="s">
        <v>1554</v>
      </c>
    </row>
    <row r="329" spans="1:20" customFormat="1" ht="15" x14ac:dyDescent="0.25">
      <c r="A329" t="s">
        <v>24</v>
      </c>
      <c r="B329" t="s">
        <v>1555</v>
      </c>
      <c r="C329" t="str">
        <f>"A0192347"</f>
        <v>A0192347</v>
      </c>
      <c r="D329" t="s">
        <v>1556</v>
      </c>
      <c r="E329" t="s">
        <v>1557</v>
      </c>
      <c r="F329" t="s">
        <v>1558</v>
      </c>
      <c r="G329" t="s">
        <v>880</v>
      </c>
      <c r="H329">
        <v>37660</v>
      </c>
      <c r="I329" t="s">
        <v>30</v>
      </c>
      <c r="J329" t="s">
        <v>31</v>
      </c>
      <c r="K329" t="s">
        <v>32</v>
      </c>
      <c r="N329" t="s">
        <v>1559</v>
      </c>
      <c r="Q329">
        <v>0</v>
      </c>
      <c r="R329">
        <v>80</v>
      </c>
      <c r="S329">
        <v>0</v>
      </c>
      <c r="T329" t="s">
        <v>1560</v>
      </c>
    </row>
    <row r="330" spans="1:20" customFormat="1" ht="15" x14ac:dyDescent="0.25">
      <c r="A330" t="s">
        <v>24</v>
      </c>
      <c r="B330" t="s">
        <v>1561</v>
      </c>
      <c r="C330" t="str">
        <f>"A0097988"</f>
        <v>A0097988</v>
      </c>
      <c r="D330" t="s">
        <v>1562</v>
      </c>
      <c r="E330" t="s">
        <v>1563</v>
      </c>
      <c r="F330" t="s">
        <v>1564</v>
      </c>
      <c r="G330" t="s">
        <v>52</v>
      </c>
      <c r="H330">
        <v>77002</v>
      </c>
      <c r="I330" t="s">
        <v>30</v>
      </c>
      <c r="J330" t="s">
        <v>31</v>
      </c>
      <c r="K330" t="s">
        <v>277</v>
      </c>
      <c r="N330" t="s">
        <v>1565</v>
      </c>
      <c r="Q330">
        <v>0</v>
      </c>
      <c r="R330">
        <v>168</v>
      </c>
      <c r="S330">
        <v>0</v>
      </c>
      <c r="T330" t="s">
        <v>1566</v>
      </c>
    </row>
    <row r="331" spans="1:20" customFormat="1" ht="15" x14ac:dyDescent="0.25">
      <c r="A331" t="s">
        <v>24</v>
      </c>
      <c r="B331" t="s">
        <v>140</v>
      </c>
      <c r="C331" t="str">
        <f>"A0069004"</f>
        <v>A0069004</v>
      </c>
      <c r="D331" t="s">
        <v>3488</v>
      </c>
      <c r="E331" t="s">
        <v>3489</v>
      </c>
      <c r="F331" t="s">
        <v>3490</v>
      </c>
      <c r="G331" t="s">
        <v>899</v>
      </c>
      <c r="H331">
        <v>1923</v>
      </c>
      <c r="I331" t="s">
        <v>30</v>
      </c>
      <c r="J331" t="s">
        <v>162</v>
      </c>
      <c r="K331" t="s">
        <v>759</v>
      </c>
      <c r="N331" t="s">
        <v>3491</v>
      </c>
      <c r="Q331">
        <v>0</v>
      </c>
      <c r="R331">
        <v>363</v>
      </c>
      <c r="S331">
        <v>0</v>
      </c>
      <c r="T331" t="s">
        <v>3492</v>
      </c>
    </row>
    <row r="332" spans="1:20" customFormat="1" ht="15" x14ac:dyDescent="0.25">
      <c r="A332" t="s">
        <v>35</v>
      </c>
      <c r="B332" t="s">
        <v>1365</v>
      </c>
      <c r="C332" t="str">
        <f>"A0124697"</f>
        <v>A0124697</v>
      </c>
      <c r="D332" t="s">
        <v>1574</v>
      </c>
      <c r="E332" t="s">
        <v>1575</v>
      </c>
      <c r="F332" t="s">
        <v>455</v>
      </c>
      <c r="G332" t="s">
        <v>1369</v>
      </c>
      <c r="H332">
        <v>39305</v>
      </c>
      <c r="I332" t="s">
        <v>30</v>
      </c>
      <c r="J332" t="s">
        <v>41</v>
      </c>
      <c r="K332" t="s">
        <v>229</v>
      </c>
      <c r="Q332">
        <v>0</v>
      </c>
      <c r="R332">
        <v>58</v>
      </c>
      <c r="S332">
        <v>58</v>
      </c>
      <c r="T332" t="s">
        <v>1576</v>
      </c>
    </row>
    <row r="333" spans="1:20" customFormat="1" ht="15" x14ac:dyDescent="0.25">
      <c r="A333" t="s">
        <v>24</v>
      </c>
      <c r="B333" t="s">
        <v>1577</v>
      </c>
      <c r="C333" t="str">
        <f>"A0064376"</f>
        <v>A0064376</v>
      </c>
      <c r="D333" t="s">
        <v>1578</v>
      </c>
      <c r="E333" t="s">
        <v>1579</v>
      </c>
      <c r="F333" t="s">
        <v>1580</v>
      </c>
      <c r="G333" t="s">
        <v>1170</v>
      </c>
      <c r="H333">
        <v>70002</v>
      </c>
      <c r="I333" t="s">
        <v>30</v>
      </c>
      <c r="J333" t="s">
        <v>31</v>
      </c>
      <c r="K333" t="s">
        <v>198</v>
      </c>
      <c r="N333" t="s">
        <v>1581</v>
      </c>
      <c r="Q333">
        <v>0</v>
      </c>
      <c r="R333">
        <v>110</v>
      </c>
      <c r="S333">
        <v>0</v>
      </c>
      <c r="T333" t="s">
        <v>1582</v>
      </c>
    </row>
    <row r="334" spans="1:20" customFormat="1" ht="15" x14ac:dyDescent="0.25">
      <c r="A334" t="s">
        <v>24</v>
      </c>
      <c r="B334" t="s">
        <v>762</v>
      </c>
      <c r="C334" t="str">
        <f>"A0191971"</f>
        <v>A0191971</v>
      </c>
      <c r="D334" t="s">
        <v>3496</v>
      </c>
      <c r="E334" t="s">
        <v>3497</v>
      </c>
      <c r="F334" t="s">
        <v>3498</v>
      </c>
      <c r="G334" t="s">
        <v>144</v>
      </c>
      <c r="H334">
        <v>58801</v>
      </c>
      <c r="I334" t="s">
        <v>30</v>
      </c>
      <c r="J334" t="s">
        <v>162</v>
      </c>
      <c r="K334" t="s">
        <v>163</v>
      </c>
      <c r="N334" t="s">
        <v>3499</v>
      </c>
      <c r="O334" t="s">
        <v>3500</v>
      </c>
      <c r="Q334">
        <v>0</v>
      </c>
      <c r="R334">
        <v>92</v>
      </c>
      <c r="S334">
        <v>0</v>
      </c>
      <c r="T334" t="s">
        <v>3501</v>
      </c>
    </row>
    <row r="335" spans="1:20" customFormat="1" ht="15" x14ac:dyDescent="0.25">
      <c r="A335" t="s">
        <v>24</v>
      </c>
      <c r="B335" t="s">
        <v>257</v>
      </c>
      <c r="C335" t="str">
        <f>"A0158290"</f>
        <v>A0158290</v>
      </c>
      <c r="D335" t="s">
        <v>1590</v>
      </c>
      <c r="E335" t="s">
        <v>1591</v>
      </c>
      <c r="F335" t="s">
        <v>1592</v>
      </c>
      <c r="G335" t="s">
        <v>197</v>
      </c>
      <c r="H335">
        <v>85283</v>
      </c>
      <c r="I335" t="s">
        <v>30</v>
      </c>
      <c r="J335" t="s">
        <v>31</v>
      </c>
      <c r="K335" t="s">
        <v>261</v>
      </c>
      <c r="N335" t="s">
        <v>1593</v>
      </c>
      <c r="Q335">
        <v>0</v>
      </c>
      <c r="R335">
        <v>108</v>
      </c>
      <c r="S335">
        <v>0</v>
      </c>
      <c r="T335" t="s">
        <v>1594</v>
      </c>
    </row>
    <row r="336" spans="1:20" customFormat="1" ht="15" x14ac:dyDescent="0.25">
      <c r="A336" t="s">
        <v>24</v>
      </c>
      <c r="B336" t="s">
        <v>3852</v>
      </c>
      <c r="C336" t="str">
        <f>"A0084717"</f>
        <v>A0084717</v>
      </c>
      <c r="D336" t="s">
        <v>3853</v>
      </c>
      <c r="E336" t="s">
        <v>3854</v>
      </c>
      <c r="F336" t="s">
        <v>1541</v>
      </c>
      <c r="G336" t="s">
        <v>427</v>
      </c>
      <c r="H336">
        <v>68102</v>
      </c>
      <c r="I336" t="s">
        <v>30</v>
      </c>
      <c r="J336" t="s">
        <v>162</v>
      </c>
      <c r="K336" t="s">
        <v>3855</v>
      </c>
      <c r="N336" t="s">
        <v>3856</v>
      </c>
      <c r="Q336">
        <v>0</v>
      </c>
      <c r="R336">
        <v>145</v>
      </c>
      <c r="S336">
        <v>0</v>
      </c>
      <c r="T336" t="s">
        <v>3857</v>
      </c>
    </row>
    <row r="337" spans="1:20" customFormat="1" ht="15" x14ac:dyDescent="0.25">
      <c r="A337" t="s">
        <v>24</v>
      </c>
      <c r="B337" t="s">
        <v>3852</v>
      </c>
      <c r="C337" t="str">
        <f>"A0098387"</f>
        <v>A0098387</v>
      </c>
      <c r="D337" t="s">
        <v>3858</v>
      </c>
      <c r="E337" t="s">
        <v>3859</v>
      </c>
      <c r="F337" t="s">
        <v>3860</v>
      </c>
      <c r="G337" t="s">
        <v>137</v>
      </c>
      <c r="H337">
        <v>63101</v>
      </c>
      <c r="I337" t="s">
        <v>30</v>
      </c>
      <c r="J337" t="s">
        <v>162</v>
      </c>
      <c r="K337" t="s">
        <v>3447</v>
      </c>
      <c r="N337" t="s">
        <v>3861</v>
      </c>
      <c r="O337" t="s">
        <v>3862</v>
      </c>
      <c r="Q337">
        <v>0</v>
      </c>
      <c r="R337">
        <v>182</v>
      </c>
      <c r="S337">
        <v>0</v>
      </c>
      <c r="T337" t="s">
        <v>3863</v>
      </c>
    </row>
    <row r="338" spans="1:20" customFormat="1" ht="15" x14ac:dyDescent="0.25">
      <c r="A338" t="s">
        <v>35</v>
      </c>
      <c r="B338" t="s">
        <v>1604</v>
      </c>
      <c r="C338" t="str">
        <f>"A0187178"</f>
        <v>A0187178</v>
      </c>
      <c r="D338" t="s">
        <v>1605</v>
      </c>
      <c r="E338" t="s">
        <v>1606</v>
      </c>
      <c r="F338" t="s">
        <v>1607</v>
      </c>
      <c r="G338" t="s">
        <v>289</v>
      </c>
      <c r="H338">
        <v>60450</v>
      </c>
      <c r="I338" t="s">
        <v>30</v>
      </c>
      <c r="J338" t="s">
        <v>41</v>
      </c>
      <c r="K338" t="s">
        <v>229</v>
      </c>
      <c r="Q338">
        <v>0</v>
      </c>
      <c r="R338">
        <v>0</v>
      </c>
      <c r="S338">
        <v>123</v>
      </c>
      <c r="T338" t="s">
        <v>1608</v>
      </c>
    </row>
    <row r="339" spans="1:20" customFormat="1" ht="15" x14ac:dyDescent="0.25">
      <c r="A339" t="s">
        <v>24</v>
      </c>
      <c r="B339" t="s">
        <v>1609</v>
      </c>
      <c r="C339" t="str">
        <f>"A0147864"</f>
        <v>A0147864</v>
      </c>
      <c r="D339" t="s">
        <v>1610</v>
      </c>
      <c r="E339" t="s">
        <v>1611</v>
      </c>
      <c r="F339" t="s">
        <v>972</v>
      </c>
      <c r="G339" t="s">
        <v>190</v>
      </c>
      <c r="H339">
        <v>80249</v>
      </c>
      <c r="I339" t="s">
        <v>30</v>
      </c>
      <c r="J339" t="s">
        <v>31</v>
      </c>
      <c r="K339" t="s">
        <v>32</v>
      </c>
      <c r="N339" t="s">
        <v>1612</v>
      </c>
      <c r="O339" t="s">
        <v>1613</v>
      </c>
      <c r="Q339">
        <v>0</v>
      </c>
      <c r="R339">
        <v>161</v>
      </c>
      <c r="S339">
        <v>0</v>
      </c>
      <c r="T339" t="s">
        <v>1614</v>
      </c>
    </row>
    <row r="340" spans="1:20" customFormat="1" ht="15" x14ac:dyDescent="0.25">
      <c r="A340" t="s">
        <v>35</v>
      </c>
      <c r="B340" t="s">
        <v>1615</v>
      </c>
      <c r="C340" t="str">
        <f>"A0150565"</f>
        <v>A0150565</v>
      </c>
      <c r="D340" t="s">
        <v>1616</v>
      </c>
      <c r="E340" t="s">
        <v>1617</v>
      </c>
      <c r="F340" t="s">
        <v>1618</v>
      </c>
      <c r="G340" t="s">
        <v>29</v>
      </c>
      <c r="H340">
        <v>22655</v>
      </c>
      <c r="I340" t="s">
        <v>30</v>
      </c>
      <c r="J340" t="s">
        <v>41</v>
      </c>
      <c r="K340" t="s">
        <v>59</v>
      </c>
      <c r="Q340">
        <v>0</v>
      </c>
      <c r="R340">
        <v>35</v>
      </c>
      <c r="S340">
        <v>35</v>
      </c>
      <c r="T340" t="s">
        <v>1619</v>
      </c>
    </row>
    <row r="341" spans="1:20" customFormat="1" ht="15" x14ac:dyDescent="0.25">
      <c r="A341" t="s">
        <v>24</v>
      </c>
      <c r="B341" t="s">
        <v>3852</v>
      </c>
      <c r="C341" t="str">
        <f>"A0084716"</f>
        <v>A0084716</v>
      </c>
      <c r="D341" t="s">
        <v>3864</v>
      </c>
      <c r="E341" t="s">
        <v>3865</v>
      </c>
      <c r="F341" t="s">
        <v>1564</v>
      </c>
      <c r="G341" t="s">
        <v>52</v>
      </c>
      <c r="H341">
        <v>77002</v>
      </c>
      <c r="I341" t="s">
        <v>30</v>
      </c>
      <c r="J341" t="s">
        <v>162</v>
      </c>
      <c r="K341" t="s">
        <v>3447</v>
      </c>
      <c r="N341" t="s">
        <v>3866</v>
      </c>
      <c r="O341" t="s">
        <v>3867</v>
      </c>
      <c r="Q341">
        <v>0</v>
      </c>
      <c r="R341">
        <v>314</v>
      </c>
      <c r="S341">
        <v>0</v>
      </c>
      <c r="T341" t="s">
        <v>3857</v>
      </c>
    </row>
    <row r="342" spans="1:20" customFormat="1" ht="15" x14ac:dyDescent="0.25">
      <c r="A342" t="s">
        <v>35</v>
      </c>
      <c r="B342" t="s">
        <v>1615</v>
      </c>
      <c r="C342" t="str">
        <f>"A0150568"</f>
        <v>A0150568</v>
      </c>
      <c r="D342" t="s">
        <v>1625</v>
      </c>
      <c r="E342" t="s">
        <v>1626</v>
      </c>
      <c r="F342" t="s">
        <v>1627</v>
      </c>
      <c r="G342" t="s">
        <v>29</v>
      </c>
      <c r="H342">
        <v>22630</v>
      </c>
      <c r="I342" t="s">
        <v>30</v>
      </c>
      <c r="J342" t="s">
        <v>41</v>
      </c>
      <c r="K342" t="s">
        <v>59</v>
      </c>
      <c r="Q342">
        <v>0</v>
      </c>
      <c r="R342">
        <v>27</v>
      </c>
      <c r="S342">
        <v>27</v>
      </c>
      <c r="T342" t="s">
        <v>1619</v>
      </c>
    </row>
    <row r="343" spans="1:20" customFormat="1" ht="15" x14ac:dyDescent="0.25">
      <c r="A343" t="s">
        <v>35</v>
      </c>
      <c r="B343" t="s">
        <v>1615</v>
      </c>
      <c r="C343" t="str">
        <f>"A0150567"</f>
        <v>A0150567</v>
      </c>
      <c r="D343" t="s">
        <v>1628</v>
      </c>
      <c r="E343" t="s">
        <v>1629</v>
      </c>
      <c r="F343" t="s">
        <v>1630</v>
      </c>
      <c r="G343" t="s">
        <v>29</v>
      </c>
      <c r="H343">
        <v>20110</v>
      </c>
      <c r="I343" t="s">
        <v>30</v>
      </c>
      <c r="J343" t="s">
        <v>41</v>
      </c>
      <c r="K343" t="s">
        <v>59</v>
      </c>
      <c r="Q343">
        <v>0</v>
      </c>
      <c r="R343">
        <v>21</v>
      </c>
      <c r="S343">
        <v>21</v>
      </c>
      <c r="T343" t="s">
        <v>1631</v>
      </c>
    </row>
    <row r="344" spans="1:20" customFormat="1" ht="15" x14ac:dyDescent="0.25">
      <c r="A344" t="s">
        <v>35</v>
      </c>
      <c r="B344" t="s">
        <v>1615</v>
      </c>
      <c r="C344" t="str">
        <f>"A0150566"</f>
        <v>A0150566</v>
      </c>
      <c r="D344" t="s">
        <v>1632</v>
      </c>
      <c r="E344" t="s">
        <v>1633</v>
      </c>
      <c r="F344" t="s">
        <v>1634</v>
      </c>
      <c r="G344" t="s">
        <v>29</v>
      </c>
      <c r="H344">
        <v>22960</v>
      </c>
      <c r="I344" t="s">
        <v>30</v>
      </c>
      <c r="J344" t="s">
        <v>41</v>
      </c>
      <c r="K344" t="s">
        <v>59</v>
      </c>
      <c r="Q344">
        <v>0</v>
      </c>
      <c r="R344">
        <v>20</v>
      </c>
      <c r="S344">
        <v>20</v>
      </c>
      <c r="T344" t="s">
        <v>1619</v>
      </c>
    </row>
    <row r="345" spans="1:20" customFormat="1" ht="15" x14ac:dyDescent="0.25">
      <c r="A345" t="s">
        <v>35</v>
      </c>
      <c r="B345" t="s">
        <v>61</v>
      </c>
      <c r="C345" t="str">
        <f>"A0127693"</f>
        <v>A0127693</v>
      </c>
      <c r="D345" t="s">
        <v>1635</v>
      </c>
      <c r="E345" t="s">
        <v>1636</v>
      </c>
      <c r="F345" t="s">
        <v>93</v>
      </c>
      <c r="G345" t="s">
        <v>117</v>
      </c>
      <c r="H345">
        <v>488380000</v>
      </c>
      <c r="I345" t="s">
        <v>30</v>
      </c>
      <c r="J345" t="s">
        <v>41</v>
      </c>
      <c r="K345" t="s">
        <v>1032</v>
      </c>
      <c r="Q345">
        <v>0</v>
      </c>
      <c r="R345">
        <v>50</v>
      </c>
      <c r="S345">
        <v>50</v>
      </c>
      <c r="T345" t="s">
        <v>1637</v>
      </c>
    </row>
    <row r="346" spans="1:20" customFormat="1" ht="15" x14ac:dyDescent="0.25">
      <c r="A346" t="s">
        <v>35</v>
      </c>
      <c r="B346" t="s">
        <v>1638</v>
      </c>
      <c r="C346" t="str">
        <f>"A0128133"</f>
        <v>A0128133</v>
      </c>
      <c r="D346" t="s">
        <v>1639</v>
      </c>
      <c r="E346" t="s">
        <v>1640</v>
      </c>
      <c r="F346" t="s">
        <v>1641</v>
      </c>
      <c r="G346" t="s">
        <v>117</v>
      </c>
      <c r="H346">
        <v>49418</v>
      </c>
      <c r="I346" t="s">
        <v>30</v>
      </c>
      <c r="J346" t="s">
        <v>41</v>
      </c>
      <c r="K346" t="s">
        <v>229</v>
      </c>
      <c r="Q346">
        <v>0</v>
      </c>
      <c r="R346">
        <v>150</v>
      </c>
      <c r="S346">
        <v>150</v>
      </c>
      <c r="T346" t="s">
        <v>1642</v>
      </c>
    </row>
    <row r="347" spans="1:20" customFormat="1" ht="15" x14ac:dyDescent="0.25">
      <c r="A347" t="s">
        <v>35</v>
      </c>
      <c r="B347" t="s">
        <v>36</v>
      </c>
      <c r="C347" t="str">
        <f>"A0192695"</f>
        <v>A0192695</v>
      </c>
      <c r="D347" t="s">
        <v>1643</v>
      </c>
      <c r="E347" t="s">
        <v>1644</v>
      </c>
      <c r="F347" t="s">
        <v>1645</v>
      </c>
      <c r="G347" t="s">
        <v>846</v>
      </c>
      <c r="H347">
        <v>30458</v>
      </c>
      <c r="I347" t="s">
        <v>30</v>
      </c>
      <c r="J347" t="s">
        <v>41</v>
      </c>
      <c r="K347" t="s">
        <v>42</v>
      </c>
      <c r="Q347">
        <v>0</v>
      </c>
      <c r="R347">
        <v>0</v>
      </c>
      <c r="S347">
        <v>0</v>
      </c>
      <c r="T347" t="s">
        <v>1646</v>
      </c>
    </row>
    <row r="348" spans="1:20" customFormat="1" ht="15" x14ac:dyDescent="0.25">
      <c r="A348" t="s">
        <v>35</v>
      </c>
      <c r="B348" t="s">
        <v>1647</v>
      </c>
      <c r="C348" t="str">
        <f>"A0192694"</f>
        <v>A0192694</v>
      </c>
      <c r="D348" t="s">
        <v>1648</v>
      </c>
      <c r="E348" t="s">
        <v>1649</v>
      </c>
      <c r="F348" t="s">
        <v>1650</v>
      </c>
      <c r="G348" t="s">
        <v>117</v>
      </c>
      <c r="H348">
        <v>49417</v>
      </c>
      <c r="I348" t="s">
        <v>30</v>
      </c>
      <c r="J348" t="s">
        <v>41</v>
      </c>
      <c r="K348" t="s">
        <v>482</v>
      </c>
      <c r="Q348">
        <v>0</v>
      </c>
      <c r="R348">
        <v>0</v>
      </c>
      <c r="S348">
        <v>60</v>
      </c>
      <c r="T348" t="s">
        <v>1651</v>
      </c>
    </row>
    <row r="349" spans="1:20" customFormat="1" ht="15" x14ac:dyDescent="0.25">
      <c r="A349" t="s">
        <v>35</v>
      </c>
      <c r="B349" t="s">
        <v>1652</v>
      </c>
      <c r="C349" t="str">
        <f>"A0192693"</f>
        <v>A0192693</v>
      </c>
      <c r="D349" t="s">
        <v>1653</v>
      </c>
      <c r="E349" t="s">
        <v>1654</v>
      </c>
      <c r="F349" t="s">
        <v>1655</v>
      </c>
      <c r="G349" t="s">
        <v>137</v>
      </c>
      <c r="H349">
        <v>63146</v>
      </c>
      <c r="I349" t="s">
        <v>30</v>
      </c>
      <c r="J349" t="s">
        <v>41</v>
      </c>
      <c r="K349" t="s">
        <v>59</v>
      </c>
      <c r="Q349">
        <v>0</v>
      </c>
      <c r="R349">
        <v>0</v>
      </c>
      <c r="S349">
        <v>0</v>
      </c>
      <c r="T349" t="s">
        <v>1656</v>
      </c>
    </row>
    <row r="350" spans="1:20" customFormat="1" ht="15" x14ac:dyDescent="0.25">
      <c r="A350" t="s">
        <v>35</v>
      </c>
      <c r="B350" t="s">
        <v>1652</v>
      </c>
      <c r="C350" t="str">
        <f>"A0192692"</f>
        <v>A0192692</v>
      </c>
      <c r="D350" t="s">
        <v>1657</v>
      </c>
      <c r="E350" t="s">
        <v>1658</v>
      </c>
      <c r="F350" t="s">
        <v>93</v>
      </c>
      <c r="G350" t="s">
        <v>289</v>
      </c>
      <c r="H350">
        <v>62246</v>
      </c>
      <c r="I350" t="s">
        <v>30</v>
      </c>
      <c r="J350" t="s">
        <v>41</v>
      </c>
      <c r="K350" t="s">
        <v>59</v>
      </c>
      <c r="Q350">
        <v>0</v>
      </c>
      <c r="R350">
        <v>0</v>
      </c>
      <c r="S350">
        <v>0</v>
      </c>
      <c r="T350" t="s">
        <v>1659</v>
      </c>
    </row>
    <row r="351" spans="1:20" customFormat="1" ht="15" x14ac:dyDescent="0.25">
      <c r="A351" t="s">
        <v>35</v>
      </c>
      <c r="B351" t="s">
        <v>1652</v>
      </c>
      <c r="C351" t="str">
        <f>"A0192691"</f>
        <v>A0192691</v>
      </c>
      <c r="D351" t="s">
        <v>1660</v>
      </c>
      <c r="E351" t="s">
        <v>1661</v>
      </c>
      <c r="F351" t="s">
        <v>1662</v>
      </c>
      <c r="G351" t="s">
        <v>289</v>
      </c>
      <c r="H351">
        <v>62207</v>
      </c>
      <c r="I351" t="s">
        <v>30</v>
      </c>
      <c r="J351" t="s">
        <v>41</v>
      </c>
      <c r="K351" t="s">
        <v>59</v>
      </c>
      <c r="Q351">
        <v>0</v>
      </c>
      <c r="R351">
        <v>0</v>
      </c>
      <c r="S351">
        <v>0</v>
      </c>
      <c r="T351" t="s">
        <v>1663</v>
      </c>
    </row>
    <row r="352" spans="1:20" customFormat="1" ht="15" x14ac:dyDescent="0.25">
      <c r="A352" t="s">
        <v>35</v>
      </c>
      <c r="B352" t="s">
        <v>1652</v>
      </c>
      <c r="C352" t="str">
        <f>"A0192690"</f>
        <v>A0192690</v>
      </c>
      <c r="D352" t="s">
        <v>1664</v>
      </c>
      <c r="E352" t="s">
        <v>1665</v>
      </c>
      <c r="F352" t="s">
        <v>1655</v>
      </c>
      <c r="G352" t="s">
        <v>137</v>
      </c>
      <c r="H352">
        <v>63115</v>
      </c>
      <c r="I352" t="s">
        <v>30</v>
      </c>
      <c r="J352" t="s">
        <v>41</v>
      </c>
      <c r="K352" t="s">
        <v>59</v>
      </c>
      <c r="Q352">
        <v>0</v>
      </c>
      <c r="R352">
        <v>0</v>
      </c>
      <c r="S352">
        <v>0</v>
      </c>
      <c r="T352" t="s">
        <v>1666</v>
      </c>
    </row>
    <row r="353" spans="1:20" customFormat="1" ht="15" x14ac:dyDescent="0.25">
      <c r="A353" t="s">
        <v>35</v>
      </c>
      <c r="B353" t="s">
        <v>1652</v>
      </c>
      <c r="C353" t="str">
        <f>"A0192689"</f>
        <v>A0192689</v>
      </c>
      <c r="D353" t="s">
        <v>1667</v>
      </c>
      <c r="E353" t="s">
        <v>1668</v>
      </c>
      <c r="F353" t="s">
        <v>1669</v>
      </c>
      <c r="G353" t="s">
        <v>137</v>
      </c>
      <c r="H353">
        <v>63025</v>
      </c>
      <c r="I353" t="s">
        <v>30</v>
      </c>
      <c r="J353" t="s">
        <v>41</v>
      </c>
      <c r="K353" t="s">
        <v>59</v>
      </c>
      <c r="Q353">
        <v>0</v>
      </c>
      <c r="R353">
        <v>0</v>
      </c>
      <c r="S353">
        <v>0</v>
      </c>
      <c r="T353" t="s">
        <v>1670</v>
      </c>
    </row>
    <row r="354" spans="1:20" customFormat="1" ht="15" x14ac:dyDescent="0.25">
      <c r="A354" t="s">
        <v>35</v>
      </c>
      <c r="B354" t="s">
        <v>1652</v>
      </c>
      <c r="C354" t="str">
        <f>"A0192688"</f>
        <v>A0192688</v>
      </c>
      <c r="D354" t="s">
        <v>1671</v>
      </c>
      <c r="E354" t="s">
        <v>1672</v>
      </c>
      <c r="F354" t="s">
        <v>1673</v>
      </c>
      <c r="G354" t="s">
        <v>137</v>
      </c>
      <c r="H354">
        <v>63501</v>
      </c>
      <c r="I354" t="s">
        <v>30</v>
      </c>
      <c r="J354" t="s">
        <v>41</v>
      </c>
      <c r="K354" t="s">
        <v>59</v>
      </c>
      <c r="Q354">
        <v>0</v>
      </c>
      <c r="R354">
        <v>0</v>
      </c>
      <c r="S354">
        <v>0</v>
      </c>
      <c r="T354" t="s">
        <v>1674</v>
      </c>
    </row>
    <row r="355" spans="1:20" customFormat="1" ht="15" x14ac:dyDescent="0.25">
      <c r="A355" t="s">
        <v>35</v>
      </c>
      <c r="B355" t="s">
        <v>1652</v>
      </c>
      <c r="C355" t="str">
        <f>"A0192687"</f>
        <v>A0192687</v>
      </c>
      <c r="D355" t="s">
        <v>1675</v>
      </c>
      <c r="E355" t="s">
        <v>1676</v>
      </c>
      <c r="F355" t="s">
        <v>1677</v>
      </c>
      <c r="G355" t="s">
        <v>137</v>
      </c>
      <c r="H355">
        <v>63017</v>
      </c>
      <c r="I355" t="s">
        <v>30</v>
      </c>
      <c r="J355" t="s">
        <v>41</v>
      </c>
      <c r="K355" t="s">
        <v>59</v>
      </c>
      <c r="Q355">
        <v>0</v>
      </c>
      <c r="R355">
        <v>0</v>
      </c>
      <c r="S355">
        <v>0</v>
      </c>
      <c r="T355" t="s">
        <v>1678</v>
      </c>
    </row>
    <row r="356" spans="1:20" customFormat="1" ht="15" x14ac:dyDescent="0.25">
      <c r="A356" t="s">
        <v>35</v>
      </c>
      <c r="B356" t="s">
        <v>1679</v>
      </c>
      <c r="C356" t="str">
        <f>"A0192686"</f>
        <v>A0192686</v>
      </c>
      <c r="D356" t="s">
        <v>1680</v>
      </c>
      <c r="E356" t="s">
        <v>1681</v>
      </c>
      <c r="F356" t="s">
        <v>546</v>
      </c>
      <c r="G356" t="s">
        <v>840</v>
      </c>
      <c r="H356">
        <v>42503</v>
      </c>
      <c r="I356" t="s">
        <v>30</v>
      </c>
      <c r="J356" t="s">
        <v>41</v>
      </c>
      <c r="K356" t="s">
        <v>59</v>
      </c>
      <c r="Q356">
        <v>0</v>
      </c>
      <c r="R356">
        <v>0</v>
      </c>
      <c r="S356">
        <v>0</v>
      </c>
      <c r="T356" t="s">
        <v>1682</v>
      </c>
    </row>
    <row r="357" spans="1:20" customFormat="1" ht="15" x14ac:dyDescent="0.25">
      <c r="A357" t="s">
        <v>35</v>
      </c>
      <c r="B357" t="s">
        <v>1679</v>
      </c>
      <c r="C357" t="str">
        <f>"A0192685"</f>
        <v>A0192685</v>
      </c>
      <c r="D357" t="s">
        <v>1683</v>
      </c>
      <c r="E357" t="s">
        <v>1684</v>
      </c>
      <c r="F357" t="s">
        <v>1685</v>
      </c>
      <c r="G357" t="s">
        <v>840</v>
      </c>
      <c r="H357">
        <v>42003</v>
      </c>
      <c r="I357" t="s">
        <v>30</v>
      </c>
      <c r="J357" t="s">
        <v>41</v>
      </c>
      <c r="K357" t="s">
        <v>59</v>
      </c>
      <c r="Q357">
        <v>0</v>
      </c>
      <c r="R357">
        <v>0</v>
      </c>
      <c r="S357">
        <v>0</v>
      </c>
      <c r="T357" t="s">
        <v>1686</v>
      </c>
    </row>
    <row r="358" spans="1:20" customFormat="1" ht="15" x14ac:dyDescent="0.25">
      <c r="A358" t="s">
        <v>35</v>
      </c>
      <c r="B358" t="s">
        <v>1679</v>
      </c>
      <c r="C358" t="str">
        <f>"A0192684"</f>
        <v>A0192684</v>
      </c>
      <c r="D358" t="s">
        <v>1687</v>
      </c>
      <c r="E358" t="s">
        <v>1688</v>
      </c>
      <c r="F358" t="s">
        <v>1689</v>
      </c>
      <c r="G358" t="s">
        <v>840</v>
      </c>
      <c r="H358">
        <v>40504</v>
      </c>
      <c r="I358" t="s">
        <v>30</v>
      </c>
      <c r="J358" t="s">
        <v>41</v>
      </c>
      <c r="K358" t="s">
        <v>59</v>
      </c>
      <c r="Q358">
        <v>0</v>
      </c>
      <c r="R358">
        <v>0</v>
      </c>
      <c r="S358">
        <v>0</v>
      </c>
      <c r="T358" t="s">
        <v>1690</v>
      </c>
    </row>
    <row r="359" spans="1:20" customFormat="1" ht="15" x14ac:dyDescent="0.25">
      <c r="A359" t="s">
        <v>35</v>
      </c>
      <c r="B359" t="s">
        <v>1679</v>
      </c>
      <c r="C359" t="str">
        <f>"A0192683"</f>
        <v>A0192683</v>
      </c>
      <c r="D359" t="s">
        <v>1691</v>
      </c>
      <c r="E359" t="s">
        <v>1692</v>
      </c>
      <c r="F359" t="s">
        <v>1693</v>
      </c>
      <c r="G359" t="s">
        <v>214</v>
      </c>
      <c r="H359">
        <v>28117</v>
      </c>
      <c r="I359" t="s">
        <v>30</v>
      </c>
      <c r="J359" t="s">
        <v>41</v>
      </c>
      <c r="K359" t="s">
        <v>59</v>
      </c>
      <c r="Q359">
        <v>0</v>
      </c>
      <c r="R359">
        <v>0</v>
      </c>
      <c r="S359">
        <v>0</v>
      </c>
      <c r="T359" t="s">
        <v>1694</v>
      </c>
    </row>
    <row r="360" spans="1:20" customFormat="1" ht="15" x14ac:dyDescent="0.25">
      <c r="A360" t="s">
        <v>35</v>
      </c>
      <c r="B360" t="s">
        <v>1679</v>
      </c>
      <c r="C360" t="str">
        <f>"A0192682"</f>
        <v>A0192682</v>
      </c>
      <c r="D360" t="s">
        <v>1695</v>
      </c>
      <c r="E360" t="s">
        <v>1696</v>
      </c>
      <c r="F360" t="s">
        <v>1697</v>
      </c>
      <c r="G360" t="s">
        <v>214</v>
      </c>
      <c r="H360">
        <v>28086</v>
      </c>
      <c r="I360" t="s">
        <v>30</v>
      </c>
      <c r="J360" t="s">
        <v>41</v>
      </c>
      <c r="K360" t="s">
        <v>59</v>
      </c>
      <c r="Q360">
        <v>0</v>
      </c>
      <c r="R360">
        <v>0</v>
      </c>
      <c r="S360">
        <v>0</v>
      </c>
      <c r="T360" t="s">
        <v>1698</v>
      </c>
    </row>
    <row r="361" spans="1:20" customFormat="1" ht="15" x14ac:dyDescent="0.25">
      <c r="A361" t="s">
        <v>35</v>
      </c>
      <c r="B361" t="s">
        <v>1679</v>
      </c>
      <c r="C361" t="str">
        <f>"A0192681"</f>
        <v>A0192681</v>
      </c>
      <c r="D361" t="s">
        <v>1699</v>
      </c>
      <c r="E361" t="s">
        <v>1700</v>
      </c>
      <c r="F361" t="s">
        <v>1701</v>
      </c>
      <c r="G361" t="s">
        <v>58</v>
      </c>
      <c r="H361">
        <v>29572</v>
      </c>
      <c r="I361" t="s">
        <v>30</v>
      </c>
      <c r="J361" t="s">
        <v>41</v>
      </c>
      <c r="K361" t="s">
        <v>59</v>
      </c>
      <c r="Q361">
        <v>0</v>
      </c>
      <c r="R361">
        <v>0</v>
      </c>
      <c r="S361">
        <v>0</v>
      </c>
      <c r="T361" t="s">
        <v>1702</v>
      </c>
    </row>
    <row r="362" spans="1:20" customFormat="1" ht="15" x14ac:dyDescent="0.25">
      <c r="A362" t="s">
        <v>35</v>
      </c>
      <c r="B362" t="s">
        <v>1679</v>
      </c>
      <c r="C362" t="str">
        <f>"A0192680"</f>
        <v>A0192680</v>
      </c>
      <c r="D362" t="s">
        <v>1703</v>
      </c>
      <c r="E362" t="s">
        <v>1704</v>
      </c>
      <c r="F362" t="s">
        <v>1705</v>
      </c>
      <c r="G362" t="s">
        <v>1706</v>
      </c>
      <c r="H362">
        <v>35244</v>
      </c>
      <c r="I362" t="s">
        <v>30</v>
      </c>
      <c r="J362" t="s">
        <v>41</v>
      </c>
      <c r="K362" t="s">
        <v>59</v>
      </c>
      <c r="Q362">
        <v>0</v>
      </c>
      <c r="R362">
        <v>0</v>
      </c>
      <c r="S362">
        <v>0</v>
      </c>
      <c r="T362" t="s">
        <v>1707</v>
      </c>
    </row>
    <row r="363" spans="1:20" customFormat="1" ht="15" x14ac:dyDescent="0.25">
      <c r="A363" t="s">
        <v>35</v>
      </c>
      <c r="B363" t="s">
        <v>1679</v>
      </c>
      <c r="C363" t="str">
        <f>"A0192679"</f>
        <v>A0192679</v>
      </c>
      <c r="D363" t="s">
        <v>1708</v>
      </c>
      <c r="E363" t="s">
        <v>1709</v>
      </c>
      <c r="F363" t="s">
        <v>1710</v>
      </c>
      <c r="G363" t="s">
        <v>1706</v>
      </c>
      <c r="H363">
        <v>35660</v>
      </c>
      <c r="I363" t="s">
        <v>30</v>
      </c>
      <c r="J363" t="s">
        <v>41</v>
      </c>
      <c r="K363" t="s">
        <v>59</v>
      </c>
      <c r="Q363">
        <v>0</v>
      </c>
      <c r="R363">
        <v>0</v>
      </c>
      <c r="S363">
        <v>0</v>
      </c>
      <c r="T363" t="s">
        <v>1711</v>
      </c>
    </row>
    <row r="364" spans="1:20" customFormat="1" ht="15" x14ac:dyDescent="0.25">
      <c r="A364" t="s">
        <v>35</v>
      </c>
      <c r="B364" t="s">
        <v>1679</v>
      </c>
      <c r="C364" t="str">
        <f>"A0192678"</f>
        <v>A0192678</v>
      </c>
      <c r="D364" t="s">
        <v>1712</v>
      </c>
      <c r="E364" t="s">
        <v>1713</v>
      </c>
      <c r="F364" t="s">
        <v>1714</v>
      </c>
      <c r="G364" t="s">
        <v>1706</v>
      </c>
      <c r="H364">
        <v>35244</v>
      </c>
      <c r="I364" t="s">
        <v>30</v>
      </c>
      <c r="J364" t="s">
        <v>41</v>
      </c>
      <c r="K364" t="s">
        <v>59</v>
      </c>
      <c r="Q364">
        <v>0</v>
      </c>
      <c r="R364">
        <v>0</v>
      </c>
      <c r="S364">
        <v>0</v>
      </c>
      <c r="T364" t="s">
        <v>1715</v>
      </c>
    </row>
    <row r="365" spans="1:20" customFormat="1" ht="15" x14ac:dyDescent="0.25">
      <c r="A365" t="s">
        <v>35</v>
      </c>
      <c r="B365" t="s">
        <v>1679</v>
      </c>
      <c r="C365" t="str">
        <f>"A0192677"</f>
        <v>A0192677</v>
      </c>
      <c r="D365" t="s">
        <v>1716</v>
      </c>
      <c r="E365" t="s">
        <v>1717</v>
      </c>
      <c r="F365" t="s">
        <v>1373</v>
      </c>
      <c r="G365" t="s">
        <v>1706</v>
      </c>
      <c r="H365">
        <v>35758</v>
      </c>
      <c r="I365" t="s">
        <v>30</v>
      </c>
      <c r="J365" t="s">
        <v>41</v>
      </c>
      <c r="K365" t="s">
        <v>59</v>
      </c>
      <c r="Q365">
        <v>0</v>
      </c>
      <c r="R365">
        <v>0</v>
      </c>
      <c r="S365">
        <v>0</v>
      </c>
      <c r="T365" t="s">
        <v>1718</v>
      </c>
    </row>
    <row r="366" spans="1:20" customFormat="1" ht="15" x14ac:dyDescent="0.25">
      <c r="A366" t="s">
        <v>35</v>
      </c>
      <c r="B366" t="s">
        <v>1679</v>
      </c>
      <c r="C366" t="str">
        <f>"A0192676"</f>
        <v>A0192676</v>
      </c>
      <c r="D366" t="s">
        <v>1719</v>
      </c>
      <c r="E366" t="s">
        <v>1720</v>
      </c>
      <c r="F366" t="s">
        <v>1721</v>
      </c>
      <c r="G366" t="s">
        <v>1706</v>
      </c>
      <c r="H366">
        <v>35058</v>
      </c>
      <c r="I366" t="s">
        <v>30</v>
      </c>
      <c r="J366" t="s">
        <v>41</v>
      </c>
      <c r="K366" t="s">
        <v>59</v>
      </c>
      <c r="Q366">
        <v>0</v>
      </c>
      <c r="R366">
        <v>0</v>
      </c>
      <c r="S366">
        <v>0</v>
      </c>
      <c r="T366" t="s">
        <v>1718</v>
      </c>
    </row>
    <row r="367" spans="1:20" customFormat="1" ht="15" x14ac:dyDescent="0.25">
      <c r="A367" t="s">
        <v>35</v>
      </c>
      <c r="B367" t="s">
        <v>1679</v>
      </c>
      <c r="C367" t="str">
        <f>"A0192675"</f>
        <v>A0192675</v>
      </c>
      <c r="D367" t="s">
        <v>1722</v>
      </c>
      <c r="E367" t="s">
        <v>1723</v>
      </c>
      <c r="F367" t="s">
        <v>1724</v>
      </c>
      <c r="G367" t="s">
        <v>1706</v>
      </c>
      <c r="H367">
        <v>36207</v>
      </c>
      <c r="I367" t="s">
        <v>30</v>
      </c>
      <c r="J367" t="s">
        <v>41</v>
      </c>
      <c r="K367" t="s">
        <v>59</v>
      </c>
      <c r="Q367">
        <v>0</v>
      </c>
      <c r="R367">
        <v>0</v>
      </c>
      <c r="S367">
        <v>0</v>
      </c>
      <c r="T367" t="s">
        <v>1725</v>
      </c>
    </row>
    <row r="368" spans="1:20" customFormat="1" ht="15" x14ac:dyDescent="0.25">
      <c r="A368" t="s">
        <v>35</v>
      </c>
      <c r="B368" t="s">
        <v>1679</v>
      </c>
      <c r="C368" t="str">
        <f>"A0192674"</f>
        <v>A0192674</v>
      </c>
      <c r="D368" t="s">
        <v>1726</v>
      </c>
      <c r="E368" t="s">
        <v>1727</v>
      </c>
      <c r="F368" t="s">
        <v>1689</v>
      </c>
      <c r="G368" t="s">
        <v>840</v>
      </c>
      <c r="H368">
        <v>40504</v>
      </c>
      <c r="I368" t="s">
        <v>30</v>
      </c>
      <c r="J368" t="s">
        <v>41</v>
      </c>
      <c r="K368" t="s">
        <v>59</v>
      </c>
      <c r="Q368">
        <v>0</v>
      </c>
      <c r="R368">
        <v>0</v>
      </c>
      <c r="S368">
        <v>0</v>
      </c>
      <c r="T368" t="s">
        <v>1728</v>
      </c>
    </row>
    <row r="369" spans="1:20" customFormat="1" ht="15" x14ac:dyDescent="0.25">
      <c r="A369" t="s">
        <v>35</v>
      </c>
      <c r="B369" t="s">
        <v>1679</v>
      </c>
      <c r="C369" t="str">
        <f>"A0192673"</f>
        <v>A0192673</v>
      </c>
      <c r="D369" t="s">
        <v>1729</v>
      </c>
      <c r="E369" t="s">
        <v>1730</v>
      </c>
      <c r="F369" t="s">
        <v>1731</v>
      </c>
      <c r="G369" t="s">
        <v>846</v>
      </c>
      <c r="H369">
        <v>30132</v>
      </c>
      <c r="I369" t="s">
        <v>30</v>
      </c>
      <c r="J369" t="s">
        <v>41</v>
      </c>
      <c r="K369" t="s">
        <v>59</v>
      </c>
      <c r="Q369">
        <v>0</v>
      </c>
      <c r="R369">
        <v>0</v>
      </c>
      <c r="S369">
        <v>0</v>
      </c>
      <c r="T369" t="s">
        <v>1732</v>
      </c>
    </row>
    <row r="370" spans="1:20" customFormat="1" ht="15" x14ac:dyDescent="0.25">
      <c r="A370" t="s">
        <v>35</v>
      </c>
      <c r="B370" t="s">
        <v>1679</v>
      </c>
      <c r="C370" t="str">
        <f>"A0192672"</f>
        <v>A0192672</v>
      </c>
      <c r="D370" t="s">
        <v>1733</v>
      </c>
      <c r="E370" t="s">
        <v>1734</v>
      </c>
      <c r="F370" t="s">
        <v>1735</v>
      </c>
      <c r="G370" t="s">
        <v>29</v>
      </c>
      <c r="H370">
        <v>22801</v>
      </c>
      <c r="I370" t="s">
        <v>30</v>
      </c>
      <c r="J370" t="s">
        <v>41</v>
      </c>
      <c r="K370" t="s">
        <v>59</v>
      </c>
      <c r="Q370">
        <v>0</v>
      </c>
      <c r="R370">
        <v>0</v>
      </c>
      <c r="S370">
        <v>0</v>
      </c>
      <c r="T370" t="s">
        <v>1736</v>
      </c>
    </row>
    <row r="371" spans="1:20" customFormat="1" ht="15" x14ac:dyDescent="0.25">
      <c r="A371" t="s">
        <v>35</v>
      </c>
      <c r="B371" t="s">
        <v>1679</v>
      </c>
      <c r="C371" t="str">
        <f>"A0192671"</f>
        <v>A0192671</v>
      </c>
      <c r="D371" t="s">
        <v>1737</v>
      </c>
      <c r="E371" t="s">
        <v>1738</v>
      </c>
      <c r="F371" t="s">
        <v>1739</v>
      </c>
      <c r="G371" t="s">
        <v>85</v>
      </c>
      <c r="H371">
        <v>72762</v>
      </c>
      <c r="I371" t="s">
        <v>30</v>
      </c>
      <c r="J371" t="s">
        <v>41</v>
      </c>
      <c r="K371" t="s">
        <v>59</v>
      </c>
      <c r="Q371">
        <v>0</v>
      </c>
      <c r="R371">
        <v>0</v>
      </c>
      <c r="S371">
        <v>0</v>
      </c>
      <c r="T371" t="s">
        <v>1740</v>
      </c>
    </row>
    <row r="372" spans="1:20" customFormat="1" ht="15" x14ac:dyDescent="0.25">
      <c r="A372" t="s">
        <v>35</v>
      </c>
      <c r="B372" t="s">
        <v>1679</v>
      </c>
      <c r="C372" t="str">
        <f>"A0192670"</f>
        <v>A0192670</v>
      </c>
      <c r="D372" t="s">
        <v>1741</v>
      </c>
      <c r="E372" t="s">
        <v>1742</v>
      </c>
      <c r="F372" t="s">
        <v>1743</v>
      </c>
      <c r="G372" t="s">
        <v>85</v>
      </c>
      <c r="H372">
        <v>72404</v>
      </c>
      <c r="I372" t="s">
        <v>30</v>
      </c>
      <c r="J372" t="s">
        <v>41</v>
      </c>
      <c r="K372" t="s">
        <v>59</v>
      </c>
      <c r="Q372">
        <v>0</v>
      </c>
      <c r="R372">
        <v>0</v>
      </c>
      <c r="S372">
        <v>0</v>
      </c>
      <c r="T372" t="s">
        <v>1744</v>
      </c>
    </row>
    <row r="373" spans="1:20" customFormat="1" ht="15" x14ac:dyDescent="0.25">
      <c r="A373" t="s">
        <v>35</v>
      </c>
      <c r="B373" t="s">
        <v>1679</v>
      </c>
      <c r="C373" t="str">
        <f>"A0192669"</f>
        <v>A0192669</v>
      </c>
      <c r="D373" t="s">
        <v>1745</v>
      </c>
      <c r="E373" t="s">
        <v>1746</v>
      </c>
      <c r="F373" t="s">
        <v>1747</v>
      </c>
      <c r="G373" t="s">
        <v>85</v>
      </c>
      <c r="H373">
        <v>72703</v>
      </c>
      <c r="I373" t="s">
        <v>30</v>
      </c>
      <c r="J373" t="s">
        <v>41</v>
      </c>
      <c r="K373" t="s">
        <v>59</v>
      </c>
      <c r="Q373">
        <v>0</v>
      </c>
      <c r="R373">
        <v>0</v>
      </c>
      <c r="S373">
        <v>0</v>
      </c>
      <c r="T373" t="s">
        <v>1748</v>
      </c>
    </row>
    <row r="374" spans="1:20" customFormat="1" ht="15" x14ac:dyDescent="0.25">
      <c r="A374" t="s">
        <v>35</v>
      </c>
      <c r="B374" t="s">
        <v>1679</v>
      </c>
      <c r="C374" t="str">
        <f>"A0192668"</f>
        <v>A0192668</v>
      </c>
      <c r="D374" t="s">
        <v>1749</v>
      </c>
      <c r="E374" t="s">
        <v>1750</v>
      </c>
      <c r="F374" t="s">
        <v>1751</v>
      </c>
      <c r="G374" t="s">
        <v>137</v>
      </c>
      <c r="H374">
        <v>64772</v>
      </c>
      <c r="I374" t="s">
        <v>30</v>
      </c>
      <c r="J374" t="s">
        <v>41</v>
      </c>
      <c r="K374" t="s">
        <v>59</v>
      </c>
      <c r="Q374">
        <v>0</v>
      </c>
      <c r="R374">
        <v>0</v>
      </c>
      <c r="S374">
        <v>0</v>
      </c>
      <c r="T374" t="s">
        <v>1752</v>
      </c>
    </row>
    <row r="375" spans="1:20" customFormat="1" ht="15" x14ac:dyDescent="0.25">
      <c r="A375" t="s">
        <v>35</v>
      </c>
      <c r="B375" t="s">
        <v>1679</v>
      </c>
      <c r="C375" t="str">
        <f>"A0192667"</f>
        <v>A0192667</v>
      </c>
      <c r="D375" t="s">
        <v>1753</v>
      </c>
      <c r="E375" t="s">
        <v>1754</v>
      </c>
      <c r="F375" t="s">
        <v>1755</v>
      </c>
      <c r="G375" t="s">
        <v>137</v>
      </c>
      <c r="H375">
        <v>65809</v>
      </c>
      <c r="I375" t="s">
        <v>30</v>
      </c>
      <c r="J375" t="s">
        <v>41</v>
      </c>
      <c r="K375" t="s">
        <v>59</v>
      </c>
      <c r="Q375">
        <v>0</v>
      </c>
      <c r="R375">
        <v>0</v>
      </c>
      <c r="S375">
        <v>0</v>
      </c>
      <c r="T375" t="s">
        <v>1756</v>
      </c>
    </row>
    <row r="376" spans="1:20" customFormat="1" ht="15" x14ac:dyDescent="0.25">
      <c r="A376" t="s">
        <v>35</v>
      </c>
      <c r="B376" t="s">
        <v>1679</v>
      </c>
      <c r="C376" t="str">
        <f>"A0192666"</f>
        <v>A0192666</v>
      </c>
      <c r="D376" t="s">
        <v>1757</v>
      </c>
      <c r="E376" t="s">
        <v>1758</v>
      </c>
      <c r="F376" t="s">
        <v>1755</v>
      </c>
      <c r="G376" t="s">
        <v>137</v>
      </c>
      <c r="H376">
        <v>65807</v>
      </c>
      <c r="I376" t="s">
        <v>30</v>
      </c>
      <c r="J376" t="s">
        <v>41</v>
      </c>
      <c r="K376" t="s">
        <v>59</v>
      </c>
      <c r="Q376">
        <v>0</v>
      </c>
      <c r="R376">
        <v>0</v>
      </c>
      <c r="S376">
        <v>0</v>
      </c>
      <c r="T376" t="s">
        <v>1759</v>
      </c>
    </row>
    <row r="377" spans="1:20" customFormat="1" ht="15" x14ac:dyDescent="0.25">
      <c r="A377" t="s">
        <v>35</v>
      </c>
      <c r="B377" t="s">
        <v>1679</v>
      </c>
      <c r="C377" t="str">
        <f>"A0192665"</f>
        <v>A0192665</v>
      </c>
      <c r="D377" t="s">
        <v>1760</v>
      </c>
      <c r="E377" t="s">
        <v>1761</v>
      </c>
      <c r="F377" t="s">
        <v>1762</v>
      </c>
      <c r="G377" t="s">
        <v>840</v>
      </c>
      <c r="H377">
        <v>42066</v>
      </c>
      <c r="I377" t="s">
        <v>30</v>
      </c>
      <c r="J377" t="s">
        <v>41</v>
      </c>
      <c r="K377" t="s">
        <v>59</v>
      </c>
      <c r="Q377">
        <v>0</v>
      </c>
      <c r="R377">
        <v>0</v>
      </c>
      <c r="S377">
        <v>0</v>
      </c>
      <c r="T377" t="s">
        <v>1763</v>
      </c>
    </row>
    <row r="378" spans="1:20" customFormat="1" ht="15" x14ac:dyDescent="0.25">
      <c r="A378" t="s">
        <v>35</v>
      </c>
      <c r="B378" t="s">
        <v>1679</v>
      </c>
      <c r="C378" t="str">
        <f>"A0192664"</f>
        <v>A0192664</v>
      </c>
      <c r="D378" t="s">
        <v>1764</v>
      </c>
      <c r="E378" t="s">
        <v>1765</v>
      </c>
      <c r="F378" t="s">
        <v>1766</v>
      </c>
      <c r="G378" t="s">
        <v>840</v>
      </c>
      <c r="H378">
        <v>42066</v>
      </c>
      <c r="I378" t="s">
        <v>30</v>
      </c>
      <c r="J378" t="s">
        <v>41</v>
      </c>
      <c r="K378" t="s">
        <v>59</v>
      </c>
      <c r="Q378">
        <v>0</v>
      </c>
      <c r="R378">
        <v>0</v>
      </c>
      <c r="S378">
        <v>0</v>
      </c>
      <c r="T378" t="s">
        <v>1767</v>
      </c>
    </row>
    <row r="379" spans="1:20" customFormat="1" ht="15" x14ac:dyDescent="0.25">
      <c r="A379" t="s">
        <v>35</v>
      </c>
      <c r="B379" t="s">
        <v>1679</v>
      </c>
      <c r="C379" t="str">
        <f>"A0192663"</f>
        <v>A0192663</v>
      </c>
      <c r="D379" t="s">
        <v>1768</v>
      </c>
      <c r="E379" t="s">
        <v>1769</v>
      </c>
      <c r="F379" t="s">
        <v>1770</v>
      </c>
      <c r="G379" t="s">
        <v>840</v>
      </c>
      <c r="H379">
        <v>42104</v>
      </c>
      <c r="I379" t="s">
        <v>30</v>
      </c>
      <c r="J379" t="s">
        <v>41</v>
      </c>
      <c r="K379" t="s">
        <v>59</v>
      </c>
      <c r="Q379">
        <v>0</v>
      </c>
      <c r="R379">
        <v>0</v>
      </c>
      <c r="S379">
        <v>0</v>
      </c>
      <c r="T379" t="s">
        <v>1771</v>
      </c>
    </row>
    <row r="380" spans="1:20" customFormat="1" ht="15" x14ac:dyDescent="0.25">
      <c r="A380" t="s">
        <v>35</v>
      </c>
      <c r="B380" t="s">
        <v>1772</v>
      </c>
      <c r="C380" t="str">
        <f>"A0192662"</f>
        <v>A0192662</v>
      </c>
      <c r="D380" t="s">
        <v>1773</v>
      </c>
      <c r="E380" t="s">
        <v>1774</v>
      </c>
      <c r="F380" t="s">
        <v>1775</v>
      </c>
      <c r="G380" t="s">
        <v>52</v>
      </c>
      <c r="H380">
        <v>76179</v>
      </c>
      <c r="I380" t="s">
        <v>30</v>
      </c>
      <c r="J380" t="s">
        <v>41</v>
      </c>
      <c r="K380" t="s">
        <v>229</v>
      </c>
      <c r="Q380">
        <v>0</v>
      </c>
      <c r="R380">
        <v>0</v>
      </c>
      <c r="S380">
        <v>105</v>
      </c>
      <c r="T380" t="s">
        <v>1776</v>
      </c>
    </row>
    <row r="381" spans="1:20" customFormat="1" ht="15" x14ac:dyDescent="0.25">
      <c r="A381" t="s">
        <v>35</v>
      </c>
      <c r="B381" t="s">
        <v>1777</v>
      </c>
      <c r="C381" t="str">
        <f>"A0192661"</f>
        <v>A0192661</v>
      </c>
      <c r="D381" t="s">
        <v>1778</v>
      </c>
      <c r="E381" t="s">
        <v>1779</v>
      </c>
      <c r="F381" t="s">
        <v>1298</v>
      </c>
      <c r="G381" t="s">
        <v>58</v>
      </c>
      <c r="H381">
        <v>29229</v>
      </c>
      <c r="I381" t="s">
        <v>30</v>
      </c>
      <c r="J381" t="s">
        <v>41</v>
      </c>
      <c r="K381" t="s">
        <v>1440</v>
      </c>
      <c r="Q381">
        <v>0</v>
      </c>
      <c r="R381">
        <v>0</v>
      </c>
      <c r="S381">
        <v>187</v>
      </c>
      <c r="T381" t="s">
        <v>1780</v>
      </c>
    </row>
    <row r="382" spans="1:20" customFormat="1" ht="15" x14ac:dyDescent="0.25">
      <c r="A382" t="s">
        <v>35</v>
      </c>
      <c r="B382" t="s">
        <v>61</v>
      </c>
      <c r="C382" t="str">
        <f>"A0192660"</f>
        <v>A0192660</v>
      </c>
      <c r="D382" t="s">
        <v>1781</v>
      </c>
      <c r="E382" t="s">
        <v>1782</v>
      </c>
      <c r="F382" t="s">
        <v>1783</v>
      </c>
      <c r="G382" t="s">
        <v>840</v>
      </c>
      <c r="H382">
        <v>42420</v>
      </c>
      <c r="I382" t="s">
        <v>30</v>
      </c>
      <c r="J382" t="s">
        <v>41</v>
      </c>
      <c r="K382" t="s">
        <v>461</v>
      </c>
      <c r="Q382">
        <v>0</v>
      </c>
      <c r="R382">
        <v>0</v>
      </c>
      <c r="S382">
        <v>0</v>
      </c>
      <c r="T382" t="s">
        <v>1784</v>
      </c>
    </row>
    <row r="383" spans="1:20" customFormat="1" ht="15" x14ac:dyDescent="0.25">
      <c r="A383" t="s">
        <v>35</v>
      </c>
      <c r="B383" t="s">
        <v>61</v>
      </c>
      <c r="C383" t="str">
        <f>"A0192659"</f>
        <v>A0192659</v>
      </c>
      <c r="D383" t="s">
        <v>1785</v>
      </c>
      <c r="E383" t="s">
        <v>1786</v>
      </c>
      <c r="F383" t="s">
        <v>1770</v>
      </c>
      <c r="G383" t="s">
        <v>840</v>
      </c>
      <c r="H383">
        <v>42101</v>
      </c>
      <c r="I383" t="s">
        <v>30</v>
      </c>
      <c r="J383" t="s">
        <v>41</v>
      </c>
      <c r="K383" t="s">
        <v>461</v>
      </c>
      <c r="Q383">
        <v>0</v>
      </c>
      <c r="R383">
        <v>0</v>
      </c>
      <c r="S383">
        <v>0</v>
      </c>
      <c r="T383" t="s">
        <v>1787</v>
      </c>
    </row>
    <row r="384" spans="1:20" customFormat="1" ht="15" x14ac:dyDescent="0.25">
      <c r="A384" t="s">
        <v>35</v>
      </c>
      <c r="B384" t="s">
        <v>61</v>
      </c>
      <c r="C384" t="str">
        <f>"A0192658"</f>
        <v>A0192658</v>
      </c>
      <c r="D384" t="s">
        <v>1788</v>
      </c>
      <c r="E384" t="s">
        <v>1789</v>
      </c>
      <c r="F384" t="s">
        <v>1790</v>
      </c>
      <c r="G384" t="s">
        <v>110</v>
      </c>
      <c r="H384">
        <v>91504</v>
      </c>
      <c r="I384" t="s">
        <v>30</v>
      </c>
      <c r="J384" t="s">
        <v>41</v>
      </c>
      <c r="K384" t="s">
        <v>59</v>
      </c>
      <c r="Q384">
        <v>0</v>
      </c>
      <c r="R384">
        <v>0</v>
      </c>
      <c r="S384">
        <v>50</v>
      </c>
      <c r="T384" t="s">
        <v>72</v>
      </c>
    </row>
    <row r="385" spans="1:20" customFormat="1" ht="15" x14ac:dyDescent="0.25">
      <c r="A385" t="s">
        <v>35</v>
      </c>
      <c r="B385" t="s">
        <v>61</v>
      </c>
      <c r="C385" t="str">
        <f>"A0192657"</f>
        <v>A0192657</v>
      </c>
      <c r="D385" t="s">
        <v>1791</v>
      </c>
      <c r="E385" t="s">
        <v>1792</v>
      </c>
      <c r="F385" t="s">
        <v>1790</v>
      </c>
      <c r="G385" t="s">
        <v>110</v>
      </c>
      <c r="H385">
        <v>91504</v>
      </c>
      <c r="I385" t="s">
        <v>30</v>
      </c>
      <c r="J385" t="s">
        <v>41</v>
      </c>
      <c r="K385" t="s">
        <v>59</v>
      </c>
      <c r="Q385">
        <v>0</v>
      </c>
      <c r="R385">
        <v>0</v>
      </c>
      <c r="S385">
        <v>100</v>
      </c>
      <c r="T385" t="s">
        <v>72</v>
      </c>
    </row>
    <row r="386" spans="1:20" customFormat="1" ht="15" x14ac:dyDescent="0.25">
      <c r="A386" t="s">
        <v>35</v>
      </c>
      <c r="B386" t="s">
        <v>61</v>
      </c>
      <c r="C386" t="str">
        <f>"A0192656"</f>
        <v>A0192656</v>
      </c>
      <c r="D386" t="s">
        <v>1793</v>
      </c>
      <c r="E386" t="s">
        <v>1794</v>
      </c>
      <c r="F386" t="s">
        <v>1795</v>
      </c>
      <c r="G386" t="s">
        <v>29</v>
      </c>
      <c r="H386">
        <v>32328</v>
      </c>
      <c r="I386" t="s">
        <v>30</v>
      </c>
      <c r="J386" t="s">
        <v>41</v>
      </c>
      <c r="K386" t="s">
        <v>59</v>
      </c>
      <c r="Q386">
        <v>0</v>
      </c>
      <c r="R386">
        <v>0</v>
      </c>
      <c r="S386">
        <v>120</v>
      </c>
      <c r="T386" t="s">
        <v>1796</v>
      </c>
    </row>
    <row r="387" spans="1:20" customFormat="1" ht="15" x14ac:dyDescent="0.25">
      <c r="A387" t="s">
        <v>35</v>
      </c>
      <c r="B387" t="s">
        <v>1797</v>
      </c>
      <c r="C387" t="str">
        <f>"A0192655"</f>
        <v>A0192655</v>
      </c>
      <c r="D387" t="s">
        <v>1798</v>
      </c>
      <c r="E387" t="s">
        <v>1799</v>
      </c>
      <c r="F387" t="s">
        <v>136</v>
      </c>
      <c r="G387" t="s">
        <v>117</v>
      </c>
      <c r="H387">
        <v>49221</v>
      </c>
      <c r="I387" t="s">
        <v>30</v>
      </c>
      <c r="J387" t="s">
        <v>41</v>
      </c>
      <c r="K387" t="s">
        <v>59</v>
      </c>
      <c r="Q387">
        <v>0</v>
      </c>
      <c r="R387">
        <v>0</v>
      </c>
      <c r="S387">
        <v>100</v>
      </c>
      <c r="T387" t="s">
        <v>1800</v>
      </c>
    </row>
    <row r="388" spans="1:20" customFormat="1" ht="15" x14ac:dyDescent="0.25">
      <c r="A388" t="s">
        <v>24</v>
      </c>
      <c r="B388" t="s">
        <v>3852</v>
      </c>
      <c r="C388" t="str">
        <f>"A0054594"</f>
        <v>A0054594</v>
      </c>
      <c r="D388" t="s">
        <v>3868</v>
      </c>
      <c r="E388" t="s">
        <v>3869</v>
      </c>
      <c r="F388" t="s">
        <v>972</v>
      </c>
      <c r="G388" t="s">
        <v>190</v>
      </c>
      <c r="H388">
        <v>80202</v>
      </c>
      <c r="I388" t="s">
        <v>30</v>
      </c>
      <c r="J388" t="s">
        <v>162</v>
      </c>
      <c r="K388" t="s">
        <v>3447</v>
      </c>
      <c r="N388" t="s">
        <v>3870</v>
      </c>
      <c r="O388" t="s">
        <v>3871</v>
      </c>
      <c r="Q388">
        <v>0</v>
      </c>
      <c r="R388">
        <v>297</v>
      </c>
      <c r="S388">
        <v>0</v>
      </c>
      <c r="T388" t="s">
        <v>3872</v>
      </c>
    </row>
    <row r="389" spans="1:20" customFormat="1" ht="15" x14ac:dyDescent="0.25">
      <c r="A389" t="s">
        <v>24</v>
      </c>
      <c r="B389" t="s">
        <v>1801</v>
      </c>
      <c r="C389" t="str">
        <f>"A0192211"</f>
        <v>A0192211</v>
      </c>
      <c r="D389" t="s">
        <v>1807</v>
      </c>
      <c r="E389" t="s">
        <v>1808</v>
      </c>
      <c r="F389" t="s">
        <v>1809</v>
      </c>
      <c r="G389" t="s">
        <v>65</v>
      </c>
      <c r="H389">
        <v>45822</v>
      </c>
      <c r="I389" t="s">
        <v>30</v>
      </c>
      <c r="J389" t="s">
        <v>31</v>
      </c>
      <c r="K389" t="s">
        <v>296</v>
      </c>
      <c r="N389" t="s">
        <v>1810</v>
      </c>
      <c r="O389" t="s">
        <v>1811</v>
      </c>
      <c r="Q389">
        <v>0</v>
      </c>
      <c r="R389">
        <v>65</v>
      </c>
      <c r="S389">
        <v>0</v>
      </c>
      <c r="T389" t="s">
        <v>1812</v>
      </c>
    </row>
    <row r="390" spans="1:20" customFormat="1" ht="15" x14ac:dyDescent="0.25">
      <c r="A390" t="s">
        <v>24</v>
      </c>
      <c r="B390" t="s">
        <v>2812</v>
      </c>
      <c r="C390" t="str">
        <f>"A0191846"</f>
        <v>A0191846</v>
      </c>
      <c r="D390" t="s">
        <v>3873</v>
      </c>
      <c r="E390" t="s">
        <v>3874</v>
      </c>
      <c r="F390" t="s">
        <v>1883</v>
      </c>
      <c r="G390" t="s">
        <v>846</v>
      </c>
      <c r="H390">
        <v>30004</v>
      </c>
      <c r="I390" t="s">
        <v>30</v>
      </c>
      <c r="J390" t="s">
        <v>162</v>
      </c>
      <c r="K390" t="s">
        <v>759</v>
      </c>
      <c r="N390" t="s">
        <v>3875</v>
      </c>
      <c r="Q390">
        <v>0</v>
      </c>
      <c r="R390">
        <v>80</v>
      </c>
      <c r="S390">
        <v>0</v>
      </c>
      <c r="T390" t="s">
        <v>3876</v>
      </c>
    </row>
    <row r="391" spans="1:20" customFormat="1" ht="15" x14ac:dyDescent="0.25">
      <c r="A391" t="s">
        <v>24</v>
      </c>
      <c r="B391" t="s">
        <v>3894</v>
      </c>
      <c r="C391" t="str">
        <f>"A0059841"</f>
        <v>A0059841</v>
      </c>
      <c r="D391" t="s">
        <v>3895</v>
      </c>
      <c r="E391" t="s">
        <v>3896</v>
      </c>
      <c r="F391" t="s">
        <v>3897</v>
      </c>
      <c r="G391" t="s">
        <v>214</v>
      </c>
      <c r="H391">
        <v>28607</v>
      </c>
      <c r="I391" t="s">
        <v>30</v>
      </c>
      <c r="J391" t="s">
        <v>162</v>
      </c>
      <c r="K391" t="s">
        <v>854</v>
      </c>
      <c r="N391" t="s">
        <v>3898</v>
      </c>
      <c r="Q391">
        <v>0</v>
      </c>
      <c r="R391">
        <v>90</v>
      </c>
      <c r="S391">
        <v>0</v>
      </c>
      <c r="T391" t="s">
        <v>3899</v>
      </c>
    </row>
    <row r="392" spans="1:20" customFormat="1" ht="15" x14ac:dyDescent="0.25">
      <c r="A392" t="s">
        <v>24</v>
      </c>
      <c r="B392" t="s">
        <v>1801</v>
      </c>
      <c r="C392" t="str">
        <f>"A0094983"</f>
        <v>A0094983</v>
      </c>
      <c r="D392" t="s">
        <v>1822</v>
      </c>
      <c r="E392" t="s">
        <v>1823</v>
      </c>
      <c r="F392" t="s">
        <v>1824</v>
      </c>
      <c r="G392" t="s">
        <v>65</v>
      </c>
      <c r="H392">
        <v>45069</v>
      </c>
      <c r="I392" t="s">
        <v>30</v>
      </c>
      <c r="J392" t="s">
        <v>31</v>
      </c>
      <c r="K392" t="s">
        <v>296</v>
      </c>
      <c r="N392" t="s">
        <v>1825</v>
      </c>
      <c r="Q392">
        <v>0</v>
      </c>
      <c r="R392">
        <v>92</v>
      </c>
      <c r="S392">
        <v>0</v>
      </c>
      <c r="T392" t="s">
        <v>1826</v>
      </c>
    </row>
    <row r="393" spans="1:20" customFormat="1" ht="15" x14ac:dyDescent="0.25">
      <c r="A393" t="s">
        <v>24</v>
      </c>
      <c r="B393" t="s">
        <v>799</v>
      </c>
      <c r="C393" t="str">
        <f>"A0191206"</f>
        <v>A0191206</v>
      </c>
      <c r="D393" t="s">
        <v>3945</v>
      </c>
      <c r="E393" t="s">
        <v>3946</v>
      </c>
      <c r="F393" t="s">
        <v>372</v>
      </c>
      <c r="G393" t="s">
        <v>52</v>
      </c>
      <c r="H393">
        <v>78723</v>
      </c>
      <c r="I393" t="s">
        <v>30</v>
      </c>
      <c r="J393" t="s">
        <v>162</v>
      </c>
      <c r="K393" t="s">
        <v>163</v>
      </c>
      <c r="N393" t="s">
        <v>3947</v>
      </c>
      <c r="O393" t="s">
        <v>3948</v>
      </c>
      <c r="Q393">
        <v>0</v>
      </c>
      <c r="R393">
        <v>120</v>
      </c>
      <c r="S393">
        <v>0</v>
      </c>
      <c r="T393" t="s">
        <v>3949</v>
      </c>
    </row>
    <row r="394" spans="1:20" customFormat="1" ht="15" x14ac:dyDescent="0.25">
      <c r="A394" t="s">
        <v>24</v>
      </c>
      <c r="B394" t="s">
        <v>1801</v>
      </c>
      <c r="C394" t="str">
        <f>"A0151289"</f>
        <v>A0151289</v>
      </c>
      <c r="D394" t="s">
        <v>1831</v>
      </c>
      <c r="E394" t="s">
        <v>1832</v>
      </c>
      <c r="F394" t="s">
        <v>1833</v>
      </c>
      <c r="G394" t="s">
        <v>381</v>
      </c>
      <c r="H394">
        <v>47150</v>
      </c>
      <c r="I394" t="s">
        <v>30</v>
      </c>
      <c r="J394" t="s">
        <v>31</v>
      </c>
      <c r="K394" t="s">
        <v>32</v>
      </c>
      <c r="N394" t="s">
        <v>1834</v>
      </c>
      <c r="Q394">
        <v>0</v>
      </c>
      <c r="R394">
        <v>82</v>
      </c>
      <c r="S394">
        <v>0</v>
      </c>
      <c r="T394" t="s">
        <v>1835</v>
      </c>
    </row>
    <row r="395" spans="1:20" customFormat="1" ht="15" x14ac:dyDescent="0.25">
      <c r="A395" t="s">
        <v>24</v>
      </c>
      <c r="B395" t="s">
        <v>1836</v>
      </c>
      <c r="C395" t="str">
        <f>"A0192340"</f>
        <v>A0192340</v>
      </c>
      <c r="D395" t="s">
        <v>1837</v>
      </c>
      <c r="E395" t="s">
        <v>1838</v>
      </c>
      <c r="F395" t="s">
        <v>1839</v>
      </c>
      <c r="G395" t="s">
        <v>1587</v>
      </c>
      <c r="H395">
        <v>88240</v>
      </c>
      <c r="I395" t="s">
        <v>30</v>
      </c>
      <c r="J395" t="s">
        <v>31</v>
      </c>
      <c r="K395" t="s">
        <v>321</v>
      </c>
      <c r="N395" t="s">
        <v>1840</v>
      </c>
      <c r="Q395">
        <v>0</v>
      </c>
      <c r="R395">
        <v>68</v>
      </c>
      <c r="S395">
        <v>0</v>
      </c>
      <c r="T395" t="s">
        <v>1841</v>
      </c>
    </row>
    <row r="396" spans="1:20" customFormat="1" ht="15" x14ac:dyDescent="0.25">
      <c r="A396" t="s">
        <v>24</v>
      </c>
      <c r="B396" t="s">
        <v>2812</v>
      </c>
      <c r="C396" t="str">
        <f>"A0189037"</f>
        <v>A0189037</v>
      </c>
      <c r="D396" t="s">
        <v>3950</v>
      </c>
      <c r="E396" t="s">
        <v>3951</v>
      </c>
      <c r="F396" t="s">
        <v>2971</v>
      </c>
      <c r="G396" t="s">
        <v>880</v>
      </c>
      <c r="H396">
        <v>37203</v>
      </c>
      <c r="I396" t="s">
        <v>30</v>
      </c>
      <c r="J396" t="s">
        <v>162</v>
      </c>
      <c r="K396" t="s">
        <v>266</v>
      </c>
      <c r="N396" t="s">
        <v>2497</v>
      </c>
      <c r="Q396">
        <v>0</v>
      </c>
      <c r="R396">
        <v>506</v>
      </c>
      <c r="S396">
        <v>0</v>
      </c>
      <c r="T396" t="s">
        <v>3952</v>
      </c>
    </row>
    <row r="397" spans="1:20" customFormat="1" ht="15" x14ac:dyDescent="0.25">
      <c r="A397" t="s">
        <v>24</v>
      </c>
      <c r="B397" t="s">
        <v>1849</v>
      </c>
      <c r="C397" t="str">
        <f>"A0191340"</f>
        <v>A0191340</v>
      </c>
      <c r="D397" t="s">
        <v>1850</v>
      </c>
      <c r="E397" t="s">
        <v>1851</v>
      </c>
      <c r="F397" t="s">
        <v>1852</v>
      </c>
      <c r="G397" t="s">
        <v>117</v>
      </c>
      <c r="H397">
        <v>48307</v>
      </c>
      <c r="I397" t="s">
        <v>30</v>
      </c>
      <c r="J397" t="s">
        <v>31</v>
      </c>
      <c r="K397" t="s">
        <v>32</v>
      </c>
      <c r="N397" t="s">
        <v>1853</v>
      </c>
      <c r="Q397">
        <v>0</v>
      </c>
      <c r="R397">
        <v>108</v>
      </c>
      <c r="S397">
        <v>0</v>
      </c>
      <c r="T397" t="s">
        <v>1854</v>
      </c>
    </row>
    <row r="398" spans="1:20" customFormat="1" ht="15" x14ac:dyDescent="0.25">
      <c r="A398" t="s">
        <v>24</v>
      </c>
      <c r="B398" t="s">
        <v>3977</v>
      </c>
      <c r="C398" t="str">
        <f>"A0062950"</f>
        <v>A0062950</v>
      </c>
      <c r="D398" t="s">
        <v>3987</v>
      </c>
      <c r="E398" t="s">
        <v>3988</v>
      </c>
      <c r="F398" t="s">
        <v>3989</v>
      </c>
      <c r="G398" t="s">
        <v>81</v>
      </c>
      <c r="H398">
        <v>33706</v>
      </c>
      <c r="I398" t="s">
        <v>30</v>
      </c>
      <c r="J398" t="s">
        <v>162</v>
      </c>
      <c r="K398" t="s">
        <v>163</v>
      </c>
      <c r="N398" t="s">
        <v>3990</v>
      </c>
      <c r="O398" t="s">
        <v>3991</v>
      </c>
      <c r="Q398">
        <v>0</v>
      </c>
      <c r="R398">
        <v>166</v>
      </c>
      <c r="S398">
        <v>0</v>
      </c>
      <c r="T398" t="s">
        <v>3992</v>
      </c>
    </row>
    <row r="399" spans="1:20" customFormat="1" ht="15" x14ac:dyDescent="0.25">
      <c r="A399" t="s">
        <v>24</v>
      </c>
      <c r="B399" t="s">
        <v>3977</v>
      </c>
      <c r="C399" t="str">
        <f>"A0050592"</f>
        <v>A0050592</v>
      </c>
      <c r="D399" t="s">
        <v>3993</v>
      </c>
      <c r="E399" t="s">
        <v>3994</v>
      </c>
      <c r="F399" t="s">
        <v>3995</v>
      </c>
      <c r="G399" t="s">
        <v>110</v>
      </c>
      <c r="H399">
        <v>92270</v>
      </c>
      <c r="I399" t="s">
        <v>30</v>
      </c>
      <c r="J399" t="s">
        <v>162</v>
      </c>
      <c r="K399" t="s">
        <v>822</v>
      </c>
      <c r="N399" t="s">
        <v>3996</v>
      </c>
      <c r="O399" t="s">
        <v>3997</v>
      </c>
      <c r="P399" t="s">
        <v>3998</v>
      </c>
      <c r="Q399">
        <v>1</v>
      </c>
      <c r="R399">
        <v>512</v>
      </c>
      <c r="S399">
        <v>0</v>
      </c>
      <c r="T399" t="s">
        <v>3999</v>
      </c>
    </row>
    <row r="400" spans="1:20" customFormat="1" ht="15" x14ac:dyDescent="0.25">
      <c r="A400" t="s">
        <v>24</v>
      </c>
      <c r="B400" t="s">
        <v>1567</v>
      </c>
      <c r="C400" t="str">
        <f>"A0192337"</f>
        <v>A0192337</v>
      </c>
      <c r="D400" t="s">
        <v>1869</v>
      </c>
      <c r="E400" t="s">
        <v>1870</v>
      </c>
      <c r="F400" t="s">
        <v>1871</v>
      </c>
      <c r="G400" t="s">
        <v>925</v>
      </c>
      <c r="H400">
        <v>67209</v>
      </c>
      <c r="I400" t="s">
        <v>30</v>
      </c>
      <c r="J400" t="s">
        <v>31</v>
      </c>
      <c r="K400" t="s">
        <v>198</v>
      </c>
      <c r="N400" t="s">
        <v>1872</v>
      </c>
      <c r="Q400">
        <v>0</v>
      </c>
      <c r="R400">
        <v>125</v>
      </c>
      <c r="S400">
        <v>0</v>
      </c>
      <c r="T400" t="s">
        <v>1873</v>
      </c>
    </row>
    <row r="401" spans="1:20" customFormat="1" ht="15" x14ac:dyDescent="0.25">
      <c r="A401" t="s">
        <v>24</v>
      </c>
      <c r="B401" t="s">
        <v>1874</v>
      </c>
      <c r="C401" t="str">
        <f>"A0100524"</f>
        <v>A0100524</v>
      </c>
      <c r="D401" t="s">
        <v>1875</v>
      </c>
      <c r="E401" t="s">
        <v>1876</v>
      </c>
      <c r="F401" t="s">
        <v>1877</v>
      </c>
      <c r="G401" t="s">
        <v>52</v>
      </c>
      <c r="H401">
        <v>75703</v>
      </c>
      <c r="I401" t="s">
        <v>30</v>
      </c>
      <c r="J401" t="s">
        <v>31</v>
      </c>
      <c r="K401" t="s">
        <v>32</v>
      </c>
      <c r="N401" t="s">
        <v>1878</v>
      </c>
      <c r="O401" t="s">
        <v>1879</v>
      </c>
      <c r="Q401">
        <v>0</v>
      </c>
      <c r="R401">
        <v>88</v>
      </c>
      <c r="S401">
        <v>0</v>
      </c>
      <c r="T401" t="s">
        <v>1880</v>
      </c>
    </row>
    <row r="402" spans="1:20" customFormat="1" ht="15" x14ac:dyDescent="0.25">
      <c r="A402" t="s">
        <v>24</v>
      </c>
      <c r="B402" t="s">
        <v>1528</v>
      </c>
      <c r="C402" t="str">
        <f>"A0191792"</f>
        <v>A0191792</v>
      </c>
      <c r="D402" t="s">
        <v>4163</v>
      </c>
      <c r="E402" t="s">
        <v>4158</v>
      </c>
      <c r="F402" t="s">
        <v>4159</v>
      </c>
      <c r="G402" t="s">
        <v>289</v>
      </c>
      <c r="H402">
        <v>61611</v>
      </c>
      <c r="I402" t="s">
        <v>30</v>
      </c>
      <c r="J402" t="s">
        <v>162</v>
      </c>
      <c r="K402" t="s">
        <v>163</v>
      </c>
      <c r="N402" t="s">
        <v>4160</v>
      </c>
      <c r="O402" t="s">
        <v>4164</v>
      </c>
      <c r="Q402">
        <v>0</v>
      </c>
      <c r="R402">
        <v>22</v>
      </c>
      <c r="S402">
        <v>0</v>
      </c>
      <c r="T402" t="s">
        <v>4165</v>
      </c>
    </row>
    <row r="403" spans="1:20" customFormat="1" ht="15" x14ac:dyDescent="0.25">
      <c r="A403" t="s">
        <v>24</v>
      </c>
      <c r="B403" t="s">
        <v>1886</v>
      </c>
      <c r="C403" t="str">
        <f>"A0090140"</f>
        <v>A0090140</v>
      </c>
      <c r="D403" t="s">
        <v>1887</v>
      </c>
      <c r="E403" t="s">
        <v>1888</v>
      </c>
      <c r="F403" t="s">
        <v>1889</v>
      </c>
      <c r="G403" t="s">
        <v>81</v>
      </c>
      <c r="H403">
        <v>33142</v>
      </c>
      <c r="I403" t="s">
        <v>30</v>
      </c>
      <c r="J403" t="s">
        <v>31</v>
      </c>
      <c r="K403" t="s">
        <v>1890</v>
      </c>
      <c r="N403" t="s">
        <v>1891</v>
      </c>
      <c r="O403" t="s">
        <v>1892</v>
      </c>
      <c r="Q403">
        <v>0</v>
      </c>
      <c r="R403">
        <v>209</v>
      </c>
      <c r="S403">
        <v>0</v>
      </c>
      <c r="T403" t="s">
        <v>1893</v>
      </c>
    </row>
    <row r="404" spans="1:20" customFormat="1" ht="15" x14ac:dyDescent="0.25">
      <c r="A404" t="s">
        <v>24</v>
      </c>
      <c r="B404" t="s">
        <v>4366</v>
      </c>
      <c r="C404" t="str">
        <f>"A0191718"</f>
        <v>A0191718</v>
      </c>
      <c r="D404" t="s">
        <v>4367</v>
      </c>
      <c r="E404" t="s">
        <v>4368</v>
      </c>
      <c r="F404" t="s">
        <v>4369</v>
      </c>
      <c r="G404" t="s">
        <v>29</v>
      </c>
      <c r="H404">
        <v>23824</v>
      </c>
      <c r="I404" t="s">
        <v>30</v>
      </c>
      <c r="J404" t="s">
        <v>162</v>
      </c>
      <c r="K404" t="s">
        <v>163</v>
      </c>
      <c r="Q404">
        <v>0</v>
      </c>
      <c r="R404">
        <v>0</v>
      </c>
      <c r="S404">
        <v>0</v>
      </c>
      <c r="T404" t="s">
        <v>4370</v>
      </c>
    </row>
    <row r="405" spans="1:20" customFormat="1" ht="15" x14ac:dyDescent="0.25">
      <c r="A405" t="s">
        <v>35</v>
      </c>
      <c r="B405" t="s">
        <v>1901</v>
      </c>
      <c r="C405" t="str">
        <f>"A0192322"</f>
        <v>A0192322</v>
      </c>
      <c r="D405" t="s">
        <v>1902</v>
      </c>
      <c r="E405" t="s">
        <v>1903</v>
      </c>
      <c r="F405" t="s">
        <v>1904</v>
      </c>
      <c r="G405" t="s">
        <v>880</v>
      </c>
      <c r="H405">
        <v>37421</v>
      </c>
      <c r="I405" t="s">
        <v>30</v>
      </c>
      <c r="J405" t="s">
        <v>41</v>
      </c>
      <c r="K405" t="s">
        <v>229</v>
      </c>
      <c r="Q405">
        <v>0</v>
      </c>
      <c r="R405">
        <v>0</v>
      </c>
      <c r="S405">
        <v>0</v>
      </c>
      <c r="T405" t="s">
        <v>72</v>
      </c>
    </row>
    <row r="406" spans="1:20" customFormat="1" ht="15" x14ac:dyDescent="0.25">
      <c r="A406" t="s">
        <v>35</v>
      </c>
      <c r="B406" t="s">
        <v>1905</v>
      </c>
      <c r="C406" t="str">
        <f>"A0192321"</f>
        <v>A0192321</v>
      </c>
      <c r="D406" t="s">
        <v>1906</v>
      </c>
      <c r="E406" t="s">
        <v>1907</v>
      </c>
      <c r="F406" t="s">
        <v>1908</v>
      </c>
      <c r="G406" t="s">
        <v>117</v>
      </c>
      <c r="H406">
        <v>48167</v>
      </c>
      <c r="I406" t="s">
        <v>30</v>
      </c>
      <c r="J406" t="s">
        <v>41</v>
      </c>
      <c r="K406" t="s">
        <v>59</v>
      </c>
      <c r="Q406">
        <v>0</v>
      </c>
      <c r="R406">
        <v>0</v>
      </c>
      <c r="S406">
        <v>100</v>
      </c>
      <c r="T406" t="s">
        <v>1909</v>
      </c>
    </row>
    <row r="407" spans="1:20" customFormat="1" ht="15" x14ac:dyDescent="0.25">
      <c r="A407" t="s">
        <v>35</v>
      </c>
      <c r="B407" t="s">
        <v>61</v>
      </c>
      <c r="C407" t="str">
        <f>"A0192320"</f>
        <v>A0192320</v>
      </c>
      <c r="D407" t="s">
        <v>1910</v>
      </c>
      <c r="E407" t="s">
        <v>1911</v>
      </c>
      <c r="F407" t="s">
        <v>1912</v>
      </c>
      <c r="G407" t="s">
        <v>29</v>
      </c>
      <c r="H407">
        <v>24368</v>
      </c>
      <c r="I407" t="s">
        <v>30</v>
      </c>
      <c r="J407" t="s">
        <v>41</v>
      </c>
      <c r="K407" t="s">
        <v>59</v>
      </c>
      <c r="Q407">
        <v>0</v>
      </c>
      <c r="R407">
        <v>0</v>
      </c>
      <c r="S407">
        <v>120</v>
      </c>
      <c r="T407" t="s">
        <v>1913</v>
      </c>
    </row>
    <row r="408" spans="1:20" customFormat="1" ht="15" x14ac:dyDescent="0.25">
      <c r="A408" t="s">
        <v>35</v>
      </c>
      <c r="B408" t="s">
        <v>106</v>
      </c>
      <c r="C408" t="str">
        <f>"A0192319"</f>
        <v>A0192319</v>
      </c>
      <c r="D408" t="s">
        <v>1914</v>
      </c>
      <c r="E408" t="s">
        <v>1915</v>
      </c>
      <c r="F408" t="s">
        <v>1916</v>
      </c>
      <c r="G408" t="s">
        <v>90</v>
      </c>
      <c r="H408">
        <v>2809</v>
      </c>
      <c r="I408" t="s">
        <v>30</v>
      </c>
      <c r="J408" t="s">
        <v>111</v>
      </c>
      <c r="K408" t="s">
        <v>112</v>
      </c>
      <c r="Q408">
        <v>0</v>
      </c>
      <c r="R408">
        <v>0</v>
      </c>
      <c r="S408">
        <v>0</v>
      </c>
      <c r="T408" t="s">
        <v>1917</v>
      </c>
    </row>
    <row r="409" spans="1:20" customFormat="1" ht="15" x14ac:dyDescent="0.25">
      <c r="A409" t="s">
        <v>35</v>
      </c>
      <c r="B409" t="s">
        <v>1918</v>
      </c>
      <c r="C409" t="str">
        <f>"A0192318"</f>
        <v>A0192318</v>
      </c>
      <c r="D409" t="s">
        <v>1919</v>
      </c>
      <c r="E409" t="s">
        <v>1920</v>
      </c>
      <c r="F409" t="s">
        <v>1921</v>
      </c>
      <c r="G409" t="s">
        <v>110</v>
      </c>
      <c r="H409">
        <v>91786</v>
      </c>
      <c r="I409" t="s">
        <v>30</v>
      </c>
      <c r="J409" t="s">
        <v>441</v>
      </c>
      <c r="K409" t="s">
        <v>442</v>
      </c>
      <c r="Q409">
        <v>0</v>
      </c>
      <c r="R409">
        <v>0</v>
      </c>
      <c r="S409">
        <v>0</v>
      </c>
      <c r="T409" t="s">
        <v>1922</v>
      </c>
    </row>
    <row r="410" spans="1:20" customFormat="1" ht="15" x14ac:dyDescent="0.25">
      <c r="A410" t="s">
        <v>35</v>
      </c>
      <c r="B410" t="s">
        <v>1923</v>
      </c>
      <c r="C410" t="str">
        <f>"A0192317"</f>
        <v>A0192317</v>
      </c>
      <c r="D410" t="s">
        <v>1924</v>
      </c>
      <c r="E410" t="s">
        <v>1925</v>
      </c>
      <c r="F410" t="s">
        <v>1926</v>
      </c>
      <c r="G410" t="s">
        <v>214</v>
      </c>
      <c r="H410">
        <v>28233</v>
      </c>
      <c r="I410" t="s">
        <v>30</v>
      </c>
      <c r="J410" t="s">
        <v>41</v>
      </c>
      <c r="K410" t="s">
        <v>59</v>
      </c>
      <c r="Q410">
        <v>0</v>
      </c>
      <c r="R410">
        <v>0</v>
      </c>
      <c r="S410">
        <v>130</v>
      </c>
      <c r="T410" t="s">
        <v>1927</v>
      </c>
    </row>
    <row r="411" spans="1:20" customFormat="1" ht="15" x14ac:dyDescent="0.25">
      <c r="A411" t="s">
        <v>35</v>
      </c>
      <c r="B411" t="s">
        <v>1928</v>
      </c>
      <c r="C411" t="str">
        <f>"A0192316"</f>
        <v>A0192316</v>
      </c>
      <c r="D411" t="s">
        <v>1929</v>
      </c>
      <c r="E411" t="s">
        <v>1930</v>
      </c>
      <c r="F411" t="s">
        <v>1931</v>
      </c>
      <c r="G411" t="s">
        <v>338</v>
      </c>
      <c r="H411">
        <v>8234</v>
      </c>
      <c r="I411" t="s">
        <v>30</v>
      </c>
      <c r="J411" t="s">
        <v>41</v>
      </c>
      <c r="K411" t="s">
        <v>229</v>
      </c>
      <c r="Q411">
        <v>0</v>
      </c>
      <c r="R411">
        <v>0</v>
      </c>
      <c r="S411">
        <v>0</v>
      </c>
      <c r="T411" t="s">
        <v>1932</v>
      </c>
    </row>
    <row r="412" spans="1:20" customFormat="1" ht="15" x14ac:dyDescent="0.25">
      <c r="A412" t="s">
        <v>35</v>
      </c>
      <c r="B412" t="s">
        <v>1928</v>
      </c>
      <c r="C412" t="str">
        <f>"A0192315"</f>
        <v>A0192315</v>
      </c>
      <c r="D412" t="s">
        <v>1933</v>
      </c>
      <c r="E412" t="s">
        <v>1934</v>
      </c>
      <c r="F412" t="s">
        <v>1935</v>
      </c>
      <c r="G412" t="s">
        <v>338</v>
      </c>
      <c r="H412">
        <v>8401</v>
      </c>
      <c r="I412" t="s">
        <v>30</v>
      </c>
      <c r="J412" t="s">
        <v>41</v>
      </c>
      <c r="K412" t="s">
        <v>229</v>
      </c>
      <c r="Q412">
        <v>0</v>
      </c>
      <c r="R412">
        <v>0</v>
      </c>
      <c r="S412">
        <v>0</v>
      </c>
      <c r="T412" t="s">
        <v>1936</v>
      </c>
    </row>
    <row r="413" spans="1:20" customFormat="1" ht="15" x14ac:dyDescent="0.25">
      <c r="A413" t="s">
        <v>35</v>
      </c>
      <c r="B413" t="s">
        <v>1928</v>
      </c>
      <c r="C413" t="str">
        <f>"A0192314"</f>
        <v>A0192314</v>
      </c>
      <c r="D413" t="s">
        <v>1937</v>
      </c>
      <c r="E413" t="s">
        <v>1938</v>
      </c>
      <c r="F413" t="s">
        <v>1939</v>
      </c>
      <c r="G413" t="s">
        <v>338</v>
      </c>
      <c r="H413">
        <v>7726</v>
      </c>
      <c r="I413" t="s">
        <v>30</v>
      </c>
      <c r="J413" t="s">
        <v>41</v>
      </c>
      <c r="K413" t="s">
        <v>229</v>
      </c>
      <c r="Q413">
        <v>0</v>
      </c>
      <c r="R413">
        <v>0</v>
      </c>
      <c r="S413">
        <v>0</v>
      </c>
      <c r="T413" t="s">
        <v>1940</v>
      </c>
    </row>
    <row r="414" spans="1:20" customFormat="1" ht="15" x14ac:dyDescent="0.25">
      <c r="A414" t="s">
        <v>35</v>
      </c>
      <c r="B414" t="s">
        <v>1928</v>
      </c>
      <c r="C414" t="str">
        <f>"A0192313"</f>
        <v>A0192313</v>
      </c>
      <c r="D414" t="s">
        <v>1941</v>
      </c>
      <c r="E414" t="s">
        <v>1942</v>
      </c>
      <c r="F414" t="s">
        <v>531</v>
      </c>
      <c r="G414" t="s">
        <v>338</v>
      </c>
      <c r="H414">
        <v>7801</v>
      </c>
      <c r="I414" t="s">
        <v>30</v>
      </c>
      <c r="J414" t="s">
        <v>41</v>
      </c>
      <c r="K414" t="s">
        <v>229</v>
      </c>
      <c r="Q414">
        <v>0</v>
      </c>
      <c r="R414">
        <v>0</v>
      </c>
      <c r="S414">
        <v>0</v>
      </c>
      <c r="T414" t="s">
        <v>1943</v>
      </c>
    </row>
    <row r="415" spans="1:20" customFormat="1" ht="15" x14ac:dyDescent="0.25">
      <c r="A415" t="s">
        <v>35</v>
      </c>
      <c r="B415" t="s">
        <v>1928</v>
      </c>
      <c r="C415" t="str">
        <f>"A0192312"</f>
        <v>A0192312</v>
      </c>
      <c r="D415" t="s">
        <v>1944</v>
      </c>
      <c r="E415" t="s">
        <v>1945</v>
      </c>
      <c r="F415" t="s">
        <v>265</v>
      </c>
      <c r="G415" t="s">
        <v>338</v>
      </c>
      <c r="H415">
        <v>7470</v>
      </c>
      <c r="I415" t="s">
        <v>30</v>
      </c>
      <c r="J415" t="s">
        <v>41</v>
      </c>
      <c r="K415" t="s">
        <v>229</v>
      </c>
      <c r="Q415">
        <v>0</v>
      </c>
      <c r="R415">
        <v>0</v>
      </c>
      <c r="S415">
        <v>0</v>
      </c>
      <c r="T415" t="s">
        <v>1946</v>
      </c>
    </row>
    <row r="416" spans="1:20" customFormat="1" ht="15" x14ac:dyDescent="0.25">
      <c r="A416" t="s">
        <v>35</v>
      </c>
      <c r="B416" t="s">
        <v>1928</v>
      </c>
      <c r="C416" t="str">
        <f>"A0192311"</f>
        <v>A0192311</v>
      </c>
      <c r="D416" t="s">
        <v>1928</v>
      </c>
      <c r="E416" t="s">
        <v>1947</v>
      </c>
      <c r="F416" t="s">
        <v>1948</v>
      </c>
      <c r="G416" t="s">
        <v>338</v>
      </c>
      <c r="H416">
        <v>8701</v>
      </c>
      <c r="I416" t="s">
        <v>30</v>
      </c>
      <c r="J416" t="s">
        <v>41</v>
      </c>
      <c r="K416" t="s">
        <v>290</v>
      </c>
      <c r="Q416">
        <v>0</v>
      </c>
      <c r="R416">
        <v>0</v>
      </c>
      <c r="S416">
        <v>0</v>
      </c>
      <c r="T416" t="s">
        <v>1949</v>
      </c>
    </row>
    <row r="417" spans="1:20" customFormat="1" ht="15" x14ac:dyDescent="0.25">
      <c r="A417" t="s">
        <v>35</v>
      </c>
      <c r="B417" t="s">
        <v>1950</v>
      </c>
      <c r="C417" t="str">
        <f>"A0192310"</f>
        <v>A0192310</v>
      </c>
      <c r="D417" t="s">
        <v>1951</v>
      </c>
      <c r="E417" t="s">
        <v>1952</v>
      </c>
      <c r="F417" t="s">
        <v>1953</v>
      </c>
      <c r="G417" t="s">
        <v>1898</v>
      </c>
      <c r="H417">
        <v>50131</v>
      </c>
      <c r="I417" t="s">
        <v>30</v>
      </c>
      <c r="J417" t="s">
        <v>41</v>
      </c>
      <c r="K417" t="s">
        <v>66</v>
      </c>
      <c r="Q417">
        <v>0</v>
      </c>
      <c r="R417">
        <v>0</v>
      </c>
      <c r="S417">
        <v>0</v>
      </c>
      <c r="T417" t="s">
        <v>1954</v>
      </c>
    </row>
    <row r="418" spans="1:20" customFormat="1" ht="15" x14ac:dyDescent="0.25">
      <c r="A418" t="s">
        <v>35</v>
      </c>
      <c r="B418" t="s">
        <v>1950</v>
      </c>
      <c r="C418" t="str">
        <f>"A0192309"</f>
        <v>A0192309</v>
      </c>
      <c r="D418" t="s">
        <v>1951</v>
      </c>
      <c r="E418" t="s">
        <v>1955</v>
      </c>
      <c r="F418" t="s">
        <v>1953</v>
      </c>
      <c r="G418" t="s">
        <v>1898</v>
      </c>
      <c r="H418">
        <v>50131</v>
      </c>
      <c r="I418" t="s">
        <v>30</v>
      </c>
      <c r="J418" t="s">
        <v>41</v>
      </c>
      <c r="K418" t="s">
        <v>66</v>
      </c>
      <c r="Q418">
        <v>0</v>
      </c>
      <c r="R418">
        <v>0</v>
      </c>
      <c r="S418">
        <v>0</v>
      </c>
      <c r="T418" t="s">
        <v>1954</v>
      </c>
    </row>
    <row r="419" spans="1:20" customFormat="1" ht="15" x14ac:dyDescent="0.25">
      <c r="A419" t="s">
        <v>35</v>
      </c>
      <c r="B419" t="s">
        <v>1956</v>
      </c>
      <c r="C419" t="str">
        <f>"A0192308"</f>
        <v>A0192308</v>
      </c>
      <c r="D419" t="s">
        <v>1957</v>
      </c>
      <c r="E419" t="s">
        <v>1958</v>
      </c>
      <c r="F419" t="s">
        <v>1959</v>
      </c>
      <c r="G419" t="s">
        <v>65</v>
      </c>
      <c r="H419">
        <v>44333</v>
      </c>
      <c r="I419" t="s">
        <v>30</v>
      </c>
      <c r="J419" t="s">
        <v>41</v>
      </c>
      <c r="K419" t="s">
        <v>1032</v>
      </c>
      <c r="Q419">
        <v>0</v>
      </c>
      <c r="R419">
        <v>0</v>
      </c>
      <c r="S419">
        <v>60</v>
      </c>
      <c r="T419" t="s">
        <v>1960</v>
      </c>
    </row>
    <row r="420" spans="1:20" customFormat="1" ht="15" x14ac:dyDescent="0.25">
      <c r="A420" t="s">
        <v>35</v>
      </c>
      <c r="B420" t="s">
        <v>1956</v>
      </c>
      <c r="C420" t="str">
        <f>"A0192307"</f>
        <v>A0192307</v>
      </c>
      <c r="D420" t="s">
        <v>1961</v>
      </c>
      <c r="E420" t="s">
        <v>1962</v>
      </c>
      <c r="F420" t="s">
        <v>1963</v>
      </c>
      <c r="G420" t="s">
        <v>65</v>
      </c>
      <c r="H420">
        <v>45432</v>
      </c>
      <c r="I420" t="s">
        <v>30</v>
      </c>
      <c r="J420" t="s">
        <v>41</v>
      </c>
      <c r="K420" t="s">
        <v>1032</v>
      </c>
      <c r="Q420">
        <v>0</v>
      </c>
      <c r="R420">
        <v>0</v>
      </c>
      <c r="S420">
        <v>60</v>
      </c>
      <c r="T420" t="s">
        <v>1964</v>
      </c>
    </row>
    <row r="421" spans="1:20" customFormat="1" ht="15" x14ac:dyDescent="0.25">
      <c r="A421" t="s">
        <v>35</v>
      </c>
      <c r="B421" t="s">
        <v>1956</v>
      </c>
      <c r="C421" t="str">
        <f>"A0192306"</f>
        <v>A0192306</v>
      </c>
      <c r="D421" t="s">
        <v>1965</v>
      </c>
      <c r="E421" t="s">
        <v>1966</v>
      </c>
      <c r="F421" t="s">
        <v>1963</v>
      </c>
      <c r="G421" t="s">
        <v>65</v>
      </c>
      <c r="H421">
        <v>45432</v>
      </c>
      <c r="I421" t="s">
        <v>30</v>
      </c>
      <c r="J421" t="s">
        <v>41</v>
      </c>
      <c r="K421" t="s">
        <v>1032</v>
      </c>
      <c r="Q421">
        <v>0</v>
      </c>
      <c r="R421">
        <v>0</v>
      </c>
      <c r="S421">
        <v>60</v>
      </c>
      <c r="T421" t="s">
        <v>1964</v>
      </c>
    </row>
    <row r="422" spans="1:20" customFormat="1" ht="15" x14ac:dyDescent="0.25">
      <c r="A422" t="s">
        <v>35</v>
      </c>
      <c r="B422" t="s">
        <v>1956</v>
      </c>
      <c r="C422" t="str">
        <f>"A0192305"</f>
        <v>A0192305</v>
      </c>
      <c r="D422" t="s">
        <v>1967</v>
      </c>
      <c r="E422" t="s">
        <v>1968</v>
      </c>
      <c r="F422" t="s">
        <v>1969</v>
      </c>
      <c r="G422" t="s">
        <v>65</v>
      </c>
      <c r="H422">
        <v>43016</v>
      </c>
      <c r="I422" t="s">
        <v>30</v>
      </c>
      <c r="J422" t="s">
        <v>41</v>
      </c>
      <c r="K422" t="s">
        <v>1032</v>
      </c>
      <c r="Q422">
        <v>0</v>
      </c>
      <c r="R422">
        <v>0</v>
      </c>
      <c r="S422">
        <v>60</v>
      </c>
      <c r="T422" t="s">
        <v>1970</v>
      </c>
    </row>
    <row r="423" spans="1:20" customFormat="1" ht="15" x14ac:dyDescent="0.25">
      <c r="A423" t="s">
        <v>35</v>
      </c>
      <c r="B423" t="s">
        <v>1956</v>
      </c>
      <c r="C423" t="str">
        <f>"A0192304"</f>
        <v>A0192304</v>
      </c>
      <c r="D423" t="s">
        <v>1971</v>
      </c>
      <c r="E423" t="s">
        <v>1972</v>
      </c>
      <c r="F423" t="s">
        <v>1973</v>
      </c>
      <c r="G423" t="s">
        <v>161</v>
      </c>
      <c r="H423">
        <v>55434</v>
      </c>
      <c r="I423" t="s">
        <v>30</v>
      </c>
      <c r="J423" t="s">
        <v>41</v>
      </c>
      <c r="K423" t="s">
        <v>1032</v>
      </c>
      <c r="Q423">
        <v>0</v>
      </c>
      <c r="R423">
        <v>0</v>
      </c>
      <c r="S423">
        <v>60</v>
      </c>
      <c r="T423" t="s">
        <v>1974</v>
      </c>
    </row>
    <row r="424" spans="1:20" customFormat="1" ht="15" x14ac:dyDescent="0.25">
      <c r="A424" t="s">
        <v>35</v>
      </c>
      <c r="B424" t="s">
        <v>1956</v>
      </c>
      <c r="C424" t="str">
        <f>"A0192303"</f>
        <v>A0192303</v>
      </c>
      <c r="D424" t="s">
        <v>1975</v>
      </c>
      <c r="E424" t="s">
        <v>1976</v>
      </c>
      <c r="F424" t="s">
        <v>1977</v>
      </c>
      <c r="G424" t="s">
        <v>161</v>
      </c>
      <c r="H424">
        <v>55109</v>
      </c>
      <c r="I424" t="s">
        <v>30</v>
      </c>
      <c r="J424" t="s">
        <v>41</v>
      </c>
      <c r="K424" t="s">
        <v>1032</v>
      </c>
      <c r="Q424">
        <v>0</v>
      </c>
      <c r="R424">
        <v>0</v>
      </c>
      <c r="S424">
        <v>60</v>
      </c>
      <c r="T424" t="s">
        <v>1978</v>
      </c>
    </row>
    <row r="425" spans="1:20" customFormat="1" ht="15" x14ac:dyDescent="0.25">
      <c r="A425" t="s">
        <v>35</v>
      </c>
      <c r="B425" t="s">
        <v>1956</v>
      </c>
      <c r="C425" t="str">
        <f>"A0192302"</f>
        <v>A0192302</v>
      </c>
      <c r="D425" t="s">
        <v>1979</v>
      </c>
      <c r="E425" t="s">
        <v>1980</v>
      </c>
      <c r="F425" t="s">
        <v>1981</v>
      </c>
      <c r="G425" t="s">
        <v>117</v>
      </c>
      <c r="H425">
        <v>48912</v>
      </c>
      <c r="I425" t="s">
        <v>30</v>
      </c>
      <c r="J425" t="s">
        <v>41</v>
      </c>
      <c r="K425" t="s">
        <v>1032</v>
      </c>
      <c r="Q425">
        <v>0</v>
      </c>
      <c r="R425">
        <v>0</v>
      </c>
      <c r="S425">
        <v>60</v>
      </c>
      <c r="T425" t="s">
        <v>1982</v>
      </c>
    </row>
    <row r="426" spans="1:20" customFormat="1" ht="15" x14ac:dyDescent="0.25">
      <c r="A426" t="s">
        <v>35</v>
      </c>
      <c r="B426" t="s">
        <v>1956</v>
      </c>
      <c r="C426" t="str">
        <f>"A0192301"</f>
        <v>A0192301</v>
      </c>
      <c r="D426" t="s">
        <v>1983</v>
      </c>
      <c r="E426" t="s">
        <v>1984</v>
      </c>
      <c r="F426" t="s">
        <v>1985</v>
      </c>
      <c r="G426" t="s">
        <v>76</v>
      </c>
      <c r="H426">
        <v>98512</v>
      </c>
      <c r="I426" t="s">
        <v>30</v>
      </c>
      <c r="J426" t="s">
        <v>41</v>
      </c>
      <c r="K426" t="s">
        <v>1032</v>
      </c>
      <c r="Q426">
        <v>0</v>
      </c>
      <c r="R426">
        <v>0</v>
      </c>
      <c r="S426">
        <v>100</v>
      </c>
      <c r="T426" t="s">
        <v>1986</v>
      </c>
    </row>
    <row r="427" spans="1:20" customFormat="1" ht="15" x14ac:dyDescent="0.25">
      <c r="A427" t="s">
        <v>35</v>
      </c>
      <c r="B427" t="s">
        <v>1956</v>
      </c>
      <c r="C427" t="str">
        <f>"A0192300"</f>
        <v>A0192300</v>
      </c>
      <c r="D427" t="s">
        <v>1987</v>
      </c>
      <c r="E427" t="s">
        <v>1988</v>
      </c>
      <c r="F427" t="s">
        <v>1989</v>
      </c>
      <c r="G427" t="s">
        <v>153</v>
      </c>
      <c r="H427">
        <v>84095</v>
      </c>
      <c r="I427" t="s">
        <v>30</v>
      </c>
      <c r="J427" t="s">
        <v>41</v>
      </c>
      <c r="K427" t="s">
        <v>1032</v>
      </c>
      <c r="Q427">
        <v>0</v>
      </c>
      <c r="R427">
        <v>0</v>
      </c>
      <c r="S427">
        <v>60</v>
      </c>
      <c r="T427" t="s">
        <v>1990</v>
      </c>
    </row>
    <row r="428" spans="1:20" customFormat="1" ht="15" x14ac:dyDescent="0.25">
      <c r="A428" t="s">
        <v>24</v>
      </c>
      <c r="B428" t="s">
        <v>1991</v>
      </c>
      <c r="C428" t="str">
        <f>"432VT"</f>
        <v>432VT</v>
      </c>
      <c r="D428" t="s">
        <v>1992</v>
      </c>
      <c r="E428" t="s">
        <v>1993</v>
      </c>
      <c r="F428" t="s">
        <v>1994</v>
      </c>
      <c r="G428" t="s">
        <v>528</v>
      </c>
      <c r="H428">
        <v>19901</v>
      </c>
      <c r="I428" t="s">
        <v>30</v>
      </c>
      <c r="J428" t="s">
        <v>31</v>
      </c>
      <c r="K428" t="s">
        <v>32</v>
      </c>
      <c r="N428" t="s">
        <v>1995</v>
      </c>
      <c r="Q428">
        <v>0</v>
      </c>
      <c r="R428">
        <v>77</v>
      </c>
      <c r="S428">
        <v>0</v>
      </c>
      <c r="T428" t="s">
        <v>1996</v>
      </c>
    </row>
    <row r="429" spans="1:20" customFormat="1" ht="15" x14ac:dyDescent="0.25">
      <c r="A429" t="s">
        <v>35</v>
      </c>
      <c r="B429" t="s">
        <v>36</v>
      </c>
      <c r="C429" t="str">
        <f>"A0119996"</f>
        <v>A0119996</v>
      </c>
      <c r="D429" t="s">
        <v>1997</v>
      </c>
      <c r="E429" t="s">
        <v>1998</v>
      </c>
      <c r="F429" t="s">
        <v>1999</v>
      </c>
      <c r="G429" t="s">
        <v>190</v>
      </c>
      <c r="H429">
        <v>80816</v>
      </c>
      <c r="I429" t="s">
        <v>30</v>
      </c>
      <c r="J429" t="s">
        <v>41</v>
      </c>
      <c r="K429" t="s">
        <v>42</v>
      </c>
      <c r="Q429">
        <v>0</v>
      </c>
      <c r="R429">
        <v>1</v>
      </c>
      <c r="S429">
        <v>1</v>
      </c>
      <c r="T429" t="s">
        <v>2000</v>
      </c>
    </row>
    <row r="430" spans="1:20" customFormat="1" ht="15" x14ac:dyDescent="0.25">
      <c r="A430" t="s">
        <v>35</v>
      </c>
      <c r="B430" t="s">
        <v>36</v>
      </c>
      <c r="C430" t="str">
        <f>"A0119911"</f>
        <v>A0119911</v>
      </c>
      <c r="D430" t="s">
        <v>2001</v>
      </c>
      <c r="E430" t="s">
        <v>2002</v>
      </c>
      <c r="F430" t="s">
        <v>2003</v>
      </c>
      <c r="G430" t="s">
        <v>1587</v>
      </c>
      <c r="H430">
        <v>870490000</v>
      </c>
      <c r="I430" t="s">
        <v>30</v>
      </c>
      <c r="J430" t="s">
        <v>41</v>
      </c>
      <c r="K430" t="s">
        <v>42</v>
      </c>
      <c r="Q430">
        <v>0</v>
      </c>
      <c r="R430">
        <v>1</v>
      </c>
      <c r="S430">
        <v>1</v>
      </c>
      <c r="T430" t="s">
        <v>2004</v>
      </c>
    </row>
    <row r="431" spans="1:20" customFormat="1" ht="15" x14ac:dyDescent="0.25">
      <c r="A431" t="s">
        <v>24</v>
      </c>
      <c r="B431" t="s">
        <v>4371</v>
      </c>
      <c r="C431" t="str">
        <f>"A0092129"</f>
        <v>A0092129</v>
      </c>
      <c r="D431" t="s">
        <v>4372</v>
      </c>
      <c r="E431" t="s">
        <v>4373</v>
      </c>
      <c r="F431" t="s">
        <v>4374</v>
      </c>
      <c r="G431" t="s">
        <v>117</v>
      </c>
      <c r="H431">
        <v>49307</v>
      </c>
      <c r="I431" t="s">
        <v>30</v>
      </c>
      <c r="J431" t="s">
        <v>162</v>
      </c>
      <c r="K431" t="s">
        <v>854</v>
      </c>
      <c r="N431" t="s">
        <v>4375</v>
      </c>
      <c r="Q431">
        <v>0</v>
      </c>
      <c r="R431">
        <v>118</v>
      </c>
      <c r="S431">
        <v>0</v>
      </c>
      <c r="T431" t="s">
        <v>4376</v>
      </c>
    </row>
    <row r="432" spans="1:20" customFormat="1" ht="15" x14ac:dyDescent="0.25">
      <c r="A432" t="s">
        <v>24</v>
      </c>
      <c r="B432" t="s">
        <v>3628</v>
      </c>
      <c r="C432" t="str">
        <f>"A0145904"</f>
        <v>A0145904</v>
      </c>
      <c r="D432" t="s">
        <v>4429</v>
      </c>
      <c r="E432" t="s">
        <v>4430</v>
      </c>
      <c r="F432" t="s">
        <v>2839</v>
      </c>
      <c r="G432" t="s">
        <v>846</v>
      </c>
      <c r="H432">
        <v>31401</v>
      </c>
      <c r="I432" t="s">
        <v>30</v>
      </c>
      <c r="J432" t="s">
        <v>162</v>
      </c>
      <c r="K432" t="s">
        <v>2819</v>
      </c>
      <c r="N432" t="s">
        <v>4431</v>
      </c>
      <c r="O432" t="s">
        <v>4432</v>
      </c>
      <c r="Q432">
        <v>0</v>
      </c>
      <c r="R432">
        <v>252</v>
      </c>
      <c r="S432">
        <v>0</v>
      </c>
      <c r="T432" t="s">
        <v>4433</v>
      </c>
    </row>
    <row r="433" spans="1:20" customFormat="1" ht="15" x14ac:dyDescent="0.25">
      <c r="A433" t="s">
        <v>24</v>
      </c>
      <c r="B433" t="s">
        <v>3628</v>
      </c>
      <c r="C433" t="str">
        <f>"A0058862"</f>
        <v>A0058862</v>
      </c>
      <c r="D433" t="s">
        <v>4434</v>
      </c>
      <c r="E433" t="s">
        <v>4435</v>
      </c>
      <c r="F433" t="s">
        <v>2094</v>
      </c>
      <c r="G433" t="s">
        <v>52</v>
      </c>
      <c r="H433">
        <v>75207</v>
      </c>
      <c r="I433" t="s">
        <v>30</v>
      </c>
      <c r="J433" t="s">
        <v>162</v>
      </c>
      <c r="K433" t="s">
        <v>266</v>
      </c>
      <c r="N433" t="s">
        <v>4436</v>
      </c>
      <c r="O433" t="s">
        <v>4437</v>
      </c>
      <c r="Q433">
        <v>0</v>
      </c>
      <c r="R433">
        <v>248</v>
      </c>
      <c r="S433">
        <v>0</v>
      </c>
      <c r="T433" t="s">
        <v>4438</v>
      </c>
    </row>
    <row r="434" spans="1:20" customFormat="1" ht="15" x14ac:dyDescent="0.25">
      <c r="A434" t="s">
        <v>24</v>
      </c>
      <c r="B434" t="s">
        <v>4439</v>
      </c>
      <c r="C434" t="str">
        <f>"SC143"</f>
        <v>SC143</v>
      </c>
      <c r="D434" t="s">
        <v>4440</v>
      </c>
      <c r="E434" t="s">
        <v>4441</v>
      </c>
      <c r="F434" t="s">
        <v>1564</v>
      </c>
      <c r="G434" t="s">
        <v>52</v>
      </c>
      <c r="H434">
        <v>77098</v>
      </c>
      <c r="I434" t="s">
        <v>30</v>
      </c>
      <c r="J434" t="s">
        <v>162</v>
      </c>
      <c r="K434" t="s">
        <v>4442</v>
      </c>
      <c r="N434" t="s">
        <v>4443</v>
      </c>
      <c r="O434" t="s">
        <v>4444</v>
      </c>
      <c r="Q434">
        <v>0</v>
      </c>
      <c r="R434">
        <v>355</v>
      </c>
      <c r="S434">
        <v>0</v>
      </c>
      <c r="T434" t="s">
        <v>4445</v>
      </c>
    </row>
    <row r="435" spans="1:20" customFormat="1" ht="15" x14ac:dyDescent="0.25">
      <c r="A435" t="s">
        <v>24</v>
      </c>
      <c r="B435" t="s">
        <v>2030</v>
      </c>
      <c r="C435" t="str">
        <f>"A0192272"</f>
        <v>A0192272</v>
      </c>
      <c r="D435" t="s">
        <v>2031</v>
      </c>
      <c r="E435" t="s">
        <v>2032</v>
      </c>
      <c r="F435" t="s">
        <v>2033</v>
      </c>
      <c r="G435" t="s">
        <v>846</v>
      </c>
      <c r="H435">
        <v>30114</v>
      </c>
      <c r="I435" t="s">
        <v>30</v>
      </c>
      <c r="J435" t="s">
        <v>31</v>
      </c>
      <c r="K435" t="s">
        <v>282</v>
      </c>
      <c r="N435" t="s">
        <v>2034</v>
      </c>
      <c r="Q435">
        <v>0</v>
      </c>
      <c r="R435">
        <v>83</v>
      </c>
      <c r="S435">
        <v>0</v>
      </c>
      <c r="T435" t="s">
        <v>2035</v>
      </c>
    </row>
    <row r="436" spans="1:20" customFormat="1" ht="15" x14ac:dyDescent="0.25">
      <c r="A436" t="s">
        <v>24</v>
      </c>
      <c r="B436" t="s">
        <v>2036</v>
      </c>
      <c r="C436" t="str">
        <f>"A0165747"</f>
        <v>A0165747</v>
      </c>
      <c r="D436" t="s">
        <v>2037</v>
      </c>
      <c r="E436" t="s">
        <v>2038</v>
      </c>
      <c r="F436" t="s">
        <v>2039</v>
      </c>
      <c r="G436" t="s">
        <v>110</v>
      </c>
      <c r="H436">
        <v>95062</v>
      </c>
      <c r="I436" t="s">
        <v>30</v>
      </c>
      <c r="J436" t="s">
        <v>31</v>
      </c>
      <c r="K436" t="s">
        <v>163</v>
      </c>
      <c r="N436" t="s">
        <v>2040</v>
      </c>
      <c r="Q436">
        <v>0</v>
      </c>
      <c r="R436">
        <v>13</v>
      </c>
      <c r="S436">
        <v>0</v>
      </c>
      <c r="T436" t="s">
        <v>2041</v>
      </c>
    </row>
    <row r="437" spans="1:20" customFormat="1" ht="15" x14ac:dyDescent="0.25">
      <c r="A437" t="s">
        <v>24</v>
      </c>
      <c r="B437" t="s">
        <v>649</v>
      </c>
      <c r="C437" t="str">
        <f>"A0192268"</f>
        <v>A0192268</v>
      </c>
      <c r="D437" t="s">
        <v>2042</v>
      </c>
      <c r="E437" t="s">
        <v>2043</v>
      </c>
      <c r="F437" t="s">
        <v>1858</v>
      </c>
      <c r="G437" t="s">
        <v>190</v>
      </c>
      <c r="H437">
        <v>80903</v>
      </c>
      <c r="I437" t="s">
        <v>30</v>
      </c>
      <c r="J437" t="s">
        <v>31</v>
      </c>
      <c r="K437" t="s">
        <v>1890</v>
      </c>
      <c r="N437" t="s">
        <v>2044</v>
      </c>
      <c r="O437" t="s">
        <v>2045</v>
      </c>
      <c r="Q437">
        <v>0</v>
      </c>
      <c r="R437">
        <v>125</v>
      </c>
      <c r="S437">
        <v>0</v>
      </c>
      <c r="T437" t="s">
        <v>2046</v>
      </c>
    </row>
    <row r="438" spans="1:20" customFormat="1" ht="15" x14ac:dyDescent="0.25">
      <c r="A438" t="s">
        <v>24</v>
      </c>
      <c r="B438" t="s">
        <v>649</v>
      </c>
      <c r="C438" t="str">
        <f>"A0192267"</f>
        <v>A0192267</v>
      </c>
      <c r="D438" t="s">
        <v>2047</v>
      </c>
      <c r="E438" t="s">
        <v>2043</v>
      </c>
      <c r="F438" t="s">
        <v>1858</v>
      </c>
      <c r="G438" t="s">
        <v>190</v>
      </c>
      <c r="H438">
        <v>80903</v>
      </c>
      <c r="I438" t="s">
        <v>30</v>
      </c>
      <c r="J438" t="s">
        <v>31</v>
      </c>
      <c r="K438" t="s">
        <v>255</v>
      </c>
      <c r="N438" t="s">
        <v>2044</v>
      </c>
      <c r="O438" t="s">
        <v>2045</v>
      </c>
      <c r="Q438">
        <v>0</v>
      </c>
      <c r="R438">
        <v>136</v>
      </c>
      <c r="S438">
        <v>0</v>
      </c>
      <c r="T438" t="s">
        <v>2046</v>
      </c>
    </row>
    <row r="439" spans="1:20" customFormat="1" ht="15" x14ac:dyDescent="0.25">
      <c r="A439" t="s">
        <v>24</v>
      </c>
      <c r="B439" t="s">
        <v>3628</v>
      </c>
      <c r="C439" t="str">
        <f>"A0075393"</f>
        <v>A0075393</v>
      </c>
      <c r="D439" t="s">
        <v>4446</v>
      </c>
      <c r="E439" t="s">
        <v>4447</v>
      </c>
      <c r="F439" t="s">
        <v>3887</v>
      </c>
      <c r="G439" t="s">
        <v>65</v>
      </c>
      <c r="H439">
        <v>44122</v>
      </c>
      <c r="I439" t="s">
        <v>30</v>
      </c>
      <c r="J439" t="s">
        <v>162</v>
      </c>
      <c r="K439" t="s">
        <v>266</v>
      </c>
      <c r="N439" t="s">
        <v>4448</v>
      </c>
      <c r="O439" t="s">
        <v>4449</v>
      </c>
      <c r="Q439">
        <v>0</v>
      </c>
      <c r="R439">
        <v>216</v>
      </c>
      <c r="S439">
        <v>0</v>
      </c>
      <c r="T439" t="s">
        <v>4450</v>
      </c>
    </row>
    <row r="440" spans="1:20" customFormat="1" ht="15" x14ac:dyDescent="0.25">
      <c r="A440" t="s">
        <v>24</v>
      </c>
      <c r="B440" t="s">
        <v>193</v>
      </c>
      <c r="C440" t="str">
        <f>"A0099309"</f>
        <v>A0099309</v>
      </c>
      <c r="D440" t="s">
        <v>4807</v>
      </c>
      <c r="E440" t="s">
        <v>4808</v>
      </c>
      <c r="F440" t="s">
        <v>1889</v>
      </c>
      <c r="G440" t="s">
        <v>81</v>
      </c>
      <c r="H440">
        <v>33131</v>
      </c>
      <c r="I440" t="s">
        <v>30</v>
      </c>
      <c r="J440" t="s">
        <v>162</v>
      </c>
      <c r="K440" t="s">
        <v>4809</v>
      </c>
      <c r="N440" t="s">
        <v>4810</v>
      </c>
      <c r="Q440">
        <v>0</v>
      </c>
      <c r="R440">
        <v>260</v>
      </c>
      <c r="S440">
        <v>0</v>
      </c>
      <c r="T440" t="s">
        <v>4811</v>
      </c>
    </row>
    <row r="441" spans="1:20" customFormat="1" ht="15" x14ac:dyDescent="0.25">
      <c r="A441" t="s">
        <v>24</v>
      </c>
      <c r="B441" t="s">
        <v>4912</v>
      </c>
      <c r="C441" t="str">
        <f>"A0191306"</f>
        <v>A0191306</v>
      </c>
      <c r="D441" t="s">
        <v>4977</v>
      </c>
      <c r="E441" t="s">
        <v>4978</v>
      </c>
      <c r="F441" t="s">
        <v>985</v>
      </c>
      <c r="G441" t="s">
        <v>81</v>
      </c>
      <c r="H441">
        <v>32819</v>
      </c>
      <c r="I441" t="s">
        <v>30</v>
      </c>
      <c r="J441" t="s">
        <v>162</v>
      </c>
      <c r="K441" t="s">
        <v>243</v>
      </c>
      <c r="N441" t="s">
        <v>4979</v>
      </c>
      <c r="Q441">
        <v>0</v>
      </c>
      <c r="R441">
        <v>192</v>
      </c>
      <c r="S441">
        <v>0</v>
      </c>
      <c r="T441" t="s">
        <v>4980</v>
      </c>
    </row>
    <row r="442" spans="1:20" customFormat="1" ht="15" x14ac:dyDescent="0.25">
      <c r="A442" t="s">
        <v>24</v>
      </c>
      <c r="B442" t="s">
        <v>140</v>
      </c>
      <c r="C442" t="str">
        <f>"A0098096"</f>
        <v>A0098096</v>
      </c>
      <c r="D442" t="s">
        <v>2067</v>
      </c>
      <c r="E442" t="s">
        <v>2068</v>
      </c>
      <c r="F442" t="s">
        <v>2069</v>
      </c>
      <c r="G442" t="s">
        <v>1170</v>
      </c>
      <c r="H442">
        <v>70112</v>
      </c>
      <c r="I442" t="s">
        <v>30</v>
      </c>
      <c r="J442" t="s">
        <v>31</v>
      </c>
      <c r="K442" t="s">
        <v>222</v>
      </c>
      <c r="N442" t="s">
        <v>2070</v>
      </c>
      <c r="O442" t="s">
        <v>2071</v>
      </c>
      <c r="Q442">
        <v>0</v>
      </c>
      <c r="R442">
        <v>105</v>
      </c>
      <c r="S442">
        <v>0</v>
      </c>
      <c r="T442" t="s">
        <v>2072</v>
      </c>
    </row>
    <row r="443" spans="1:20" customFormat="1" ht="15" x14ac:dyDescent="0.25">
      <c r="A443" t="s">
        <v>24</v>
      </c>
      <c r="B443" t="s">
        <v>140</v>
      </c>
      <c r="C443" t="str">
        <f>"A0097997"</f>
        <v>A0097997</v>
      </c>
      <c r="D443" t="s">
        <v>2073</v>
      </c>
      <c r="E443" t="s">
        <v>2068</v>
      </c>
      <c r="F443" t="s">
        <v>2069</v>
      </c>
      <c r="G443" t="s">
        <v>1170</v>
      </c>
      <c r="H443">
        <v>70112</v>
      </c>
      <c r="I443" t="s">
        <v>30</v>
      </c>
      <c r="J443" t="s">
        <v>31</v>
      </c>
      <c r="K443" t="s">
        <v>255</v>
      </c>
      <c r="N443" t="s">
        <v>2074</v>
      </c>
      <c r="Q443">
        <v>0</v>
      </c>
      <c r="R443">
        <v>80</v>
      </c>
      <c r="S443">
        <v>0</v>
      </c>
      <c r="T443" t="s">
        <v>2072</v>
      </c>
    </row>
    <row r="444" spans="1:20" customFormat="1" ht="15" x14ac:dyDescent="0.25">
      <c r="A444" t="s">
        <v>24</v>
      </c>
      <c r="B444" t="s">
        <v>193</v>
      </c>
      <c r="C444" t="str">
        <f>"A0059804"</f>
        <v>A0059804</v>
      </c>
      <c r="D444" t="s">
        <v>5073</v>
      </c>
      <c r="E444" t="s">
        <v>5074</v>
      </c>
      <c r="F444" t="s">
        <v>5075</v>
      </c>
      <c r="G444" t="s">
        <v>117</v>
      </c>
      <c r="H444">
        <v>48933</v>
      </c>
      <c r="I444" t="s">
        <v>30</v>
      </c>
      <c r="J444" t="s">
        <v>162</v>
      </c>
      <c r="K444" t="s">
        <v>251</v>
      </c>
      <c r="N444" t="s">
        <v>5076</v>
      </c>
      <c r="O444" t="s">
        <v>5077</v>
      </c>
      <c r="Q444">
        <v>0</v>
      </c>
      <c r="R444">
        <v>256</v>
      </c>
      <c r="S444">
        <v>0</v>
      </c>
      <c r="T444" t="s">
        <v>5078</v>
      </c>
    </row>
    <row r="445" spans="1:20" customFormat="1" ht="15" x14ac:dyDescent="0.25">
      <c r="A445" t="s">
        <v>24</v>
      </c>
      <c r="B445" t="s">
        <v>193</v>
      </c>
      <c r="C445" t="str">
        <f>"A0156824"</f>
        <v>A0156824</v>
      </c>
      <c r="D445" t="s">
        <v>5093</v>
      </c>
      <c r="E445" t="s">
        <v>5094</v>
      </c>
      <c r="F445" t="s">
        <v>5095</v>
      </c>
      <c r="G445" t="s">
        <v>289</v>
      </c>
      <c r="H445">
        <v>60056</v>
      </c>
      <c r="I445" t="s">
        <v>30</v>
      </c>
      <c r="J445" t="s">
        <v>162</v>
      </c>
      <c r="K445" t="s">
        <v>854</v>
      </c>
      <c r="N445" t="s">
        <v>5096</v>
      </c>
      <c r="O445" t="s">
        <v>5097</v>
      </c>
      <c r="Q445">
        <v>0</v>
      </c>
      <c r="R445">
        <v>136</v>
      </c>
      <c r="S445">
        <v>0</v>
      </c>
      <c r="T445" t="s">
        <v>5098</v>
      </c>
    </row>
    <row r="446" spans="1:20" customFormat="1" ht="15" x14ac:dyDescent="0.25">
      <c r="A446" t="s">
        <v>24</v>
      </c>
      <c r="B446" t="s">
        <v>5104</v>
      </c>
      <c r="C446" t="str">
        <f>"A0062374"</f>
        <v>A0062374</v>
      </c>
      <c r="D446" t="s">
        <v>5105</v>
      </c>
      <c r="E446" t="s">
        <v>5106</v>
      </c>
      <c r="F446" t="s">
        <v>5107</v>
      </c>
      <c r="G446" t="s">
        <v>137</v>
      </c>
      <c r="H446">
        <v>64112</v>
      </c>
      <c r="I446" t="s">
        <v>30</v>
      </c>
      <c r="J446" t="s">
        <v>162</v>
      </c>
      <c r="K446" t="s">
        <v>1502</v>
      </c>
      <c r="N446" t="s">
        <v>5108</v>
      </c>
      <c r="Q446">
        <v>0</v>
      </c>
      <c r="R446">
        <v>257</v>
      </c>
      <c r="S446">
        <v>0</v>
      </c>
      <c r="T446" t="s">
        <v>5109</v>
      </c>
    </row>
    <row r="447" spans="1:20" customFormat="1" ht="15" x14ac:dyDescent="0.25">
      <c r="A447" t="s">
        <v>24</v>
      </c>
      <c r="B447" t="s">
        <v>5120</v>
      </c>
      <c r="C447" t="str">
        <f>"A0063683"</f>
        <v>A0063683</v>
      </c>
      <c r="D447" t="s">
        <v>5121</v>
      </c>
      <c r="E447" t="s">
        <v>5122</v>
      </c>
      <c r="F447" t="s">
        <v>5123</v>
      </c>
      <c r="G447" t="s">
        <v>110</v>
      </c>
      <c r="H447">
        <v>95054</v>
      </c>
      <c r="I447" t="s">
        <v>30</v>
      </c>
      <c r="J447" t="s">
        <v>162</v>
      </c>
      <c r="K447" t="s">
        <v>1845</v>
      </c>
      <c r="N447" t="s">
        <v>5124</v>
      </c>
      <c r="Q447">
        <v>0</v>
      </c>
      <c r="R447">
        <v>219</v>
      </c>
      <c r="S447">
        <v>0</v>
      </c>
      <c r="T447" t="s">
        <v>5125</v>
      </c>
    </row>
    <row r="448" spans="1:20" customFormat="1" ht="15" x14ac:dyDescent="0.25">
      <c r="A448" t="s">
        <v>24</v>
      </c>
      <c r="B448" t="s">
        <v>140</v>
      </c>
      <c r="C448" t="str">
        <f>"34118"</f>
        <v>34118</v>
      </c>
      <c r="D448" t="s">
        <v>5135</v>
      </c>
      <c r="E448" t="s">
        <v>5136</v>
      </c>
      <c r="F448" t="s">
        <v>5107</v>
      </c>
      <c r="G448" t="s">
        <v>137</v>
      </c>
      <c r="H448">
        <v>64105</v>
      </c>
      <c r="I448" t="s">
        <v>30</v>
      </c>
      <c r="J448" t="s">
        <v>162</v>
      </c>
      <c r="K448" t="s">
        <v>1490</v>
      </c>
      <c r="N448" t="s">
        <v>5137</v>
      </c>
      <c r="O448" t="s">
        <v>5138</v>
      </c>
      <c r="Q448">
        <v>0</v>
      </c>
      <c r="R448">
        <v>970</v>
      </c>
      <c r="S448">
        <v>0</v>
      </c>
      <c r="T448" t="s">
        <v>5139</v>
      </c>
    </row>
    <row r="449" spans="1:20" customFormat="1" ht="15" x14ac:dyDescent="0.25">
      <c r="A449" t="s">
        <v>24</v>
      </c>
      <c r="B449" t="s">
        <v>5149</v>
      </c>
      <c r="C449" t="str">
        <f>"A0190446"</f>
        <v>A0190446</v>
      </c>
      <c r="D449" t="s">
        <v>5150</v>
      </c>
      <c r="E449" t="s">
        <v>5151</v>
      </c>
      <c r="F449" t="s">
        <v>5152</v>
      </c>
      <c r="G449" t="s">
        <v>840</v>
      </c>
      <c r="H449">
        <v>42103</v>
      </c>
      <c r="I449" t="s">
        <v>30</v>
      </c>
      <c r="J449" t="s">
        <v>162</v>
      </c>
      <c r="K449" t="s">
        <v>266</v>
      </c>
      <c r="N449" t="s">
        <v>5153</v>
      </c>
      <c r="Q449">
        <v>0</v>
      </c>
      <c r="R449">
        <v>196</v>
      </c>
      <c r="S449">
        <v>0</v>
      </c>
      <c r="T449" t="s">
        <v>5154</v>
      </c>
    </row>
    <row r="450" spans="1:20" customFormat="1" ht="15" x14ac:dyDescent="0.25">
      <c r="A450" t="s">
        <v>24</v>
      </c>
      <c r="B450" t="s">
        <v>5166</v>
      </c>
      <c r="C450" t="str">
        <f>"A0059974"</f>
        <v>A0059974</v>
      </c>
      <c r="D450" t="s">
        <v>5167</v>
      </c>
      <c r="E450" t="s">
        <v>5168</v>
      </c>
      <c r="F450" t="s">
        <v>313</v>
      </c>
      <c r="G450" t="s">
        <v>314</v>
      </c>
      <c r="H450">
        <v>20005</v>
      </c>
      <c r="I450" t="s">
        <v>30</v>
      </c>
      <c r="J450" t="s">
        <v>162</v>
      </c>
      <c r="K450" t="s">
        <v>822</v>
      </c>
      <c r="N450" t="s">
        <v>5169</v>
      </c>
      <c r="Q450">
        <v>0</v>
      </c>
      <c r="R450">
        <v>406</v>
      </c>
      <c r="S450">
        <v>0</v>
      </c>
      <c r="T450" t="s">
        <v>5170</v>
      </c>
    </row>
    <row r="451" spans="1:20" customFormat="1" ht="15" x14ac:dyDescent="0.25">
      <c r="A451" t="s">
        <v>24</v>
      </c>
      <c r="B451" t="s">
        <v>140</v>
      </c>
      <c r="C451" t="str">
        <f>"A0092165"</f>
        <v>A0092165</v>
      </c>
      <c r="D451" t="s">
        <v>2108</v>
      </c>
      <c r="E451" t="s">
        <v>2109</v>
      </c>
      <c r="F451" t="s">
        <v>2110</v>
      </c>
      <c r="G451" t="s">
        <v>52</v>
      </c>
      <c r="H451">
        <v>76051</v>
      </c>
      <c r="I451" t="s">
        <v>30</v>
      </c>
      <c r="J451" t="s">
        <v>31</v>
      </c>
      <c r="K451" t="s">
        <v>222</v>
      </c>
      <c r="N451" t="s">
        <v>2111</v>
      </c>
      <c r="Q451">
        <v>0</v>
      </c>
      <c r="R451">
        <v>120</v>
      </c>
      <c r="S451">
        <v>0</v>
      </c>
      <c r="T451" t="s">
        <v>2112</v>
      </c>
    </row>
    <row r="452" spans="1:20" customFormat="1" ht="15" x14ac:dyDescent="0.25">
      <c r="A452" t="s">
        <v>24</v>
      </c>
      <c r="B452" t="s">
        <v>257</v>
      </c>
      <c r="C452" t="str">
        <f>"A0191267"</f>
        <v>A0191267</v>
      </c>
      <c r="D452" t="s">
        <v>5171</v>
      </c>
      <c r="E452" t="s">
        <v>5172</v>
      </c>
      <c r="F452" t="s">
        <v>1346</v>
      </c>
      <c r="G452" t="s">
        <v>880</v>
      </c>
      <c r="H452">
        <v>37421</v>
      </c>
      <c r="I452" t="s">
        <v>30</v>
      </c>
      <c r="J452" t="s">
        <v>162</v>
      </c>
      <c r="K452" t="s">
        <v>854</v>
      </c>
      <c r="N452" t="s">
        <v>5173</v>
      </c>
      <c r="Q452">
        <v>0</v>
      </c>
      <c r="R452">
        <v>137</v>
      </c>
      <c r="S452">
        <v>0</v>
      </c>
      <c r="T452" t="s">
        <v>5174</v>
      </c>
    </row>
    <row r="453" spans="1:20" customFormat="1" ht="15" x14ac:dyDescent="0.25">
      <c r="A453" t="s">
        <v>24</v>
      </c>
      <c r="B453" t="s">
        <v>5341</v>
      </c>
      <c r="C453" t="str">
        <f>"SF03346"</f>
        <v>SF03346</v>
      </c>
      <c r="D453" t="s">
        <v>5342</v>
      </c>
      <c r="E453" t="s">
        <v>5343</v>
      </c>
      <c r="F453" t="s">
        <v>5344</v>
      </c>
      <c r="G453" t="s">
        <v>58</v>
      </c>
      <c r="H453">
        <v>29575</v>
      </c>
      <c r="I453" t="s">
        <v>30</v>
      </c>
      <c r="J453" t="s">
        <v>162</v>
      </c>
      <c r="K453" t="s">
        <v>854</v>
      </c>
      <c r="N453" t="s">
        <v>5345</v>
      </c>
      <c r="Q453">
        <v>0</v>
      </c>
      <c r="R453">
        <v>133</v>
      </c>
      <c r="S453">
        <v>0</v>
      </c>
      <c r="T453" t="s">
        <v>5346</v>
      </c>
    </row>
    <row r="454" spans="1:20" customFormat="1" ht="15" x14ac:dyDescent="0.25">
      <c r="A454" t="s">
        <v>24</v>
      </c>
      <c r="B454" t="s">
        <v>5357</v>
      </c>
      <c r="C454" t="str">
        <f>"A0077759"</f>
        <v>A0077759</v>
      </c>
      <c r="D454" t="s">
        <v>5358</v>
      </c>
      <c r="E454" t="s">
        <v>5359</v>
      </c>
      <c r="F454" t="s">
        <v>5360</v>
      </c>
      <c r="G454" t="s">
        <v>71</v>
      </c>
      <c r="H454">
        <v>54449</v>
      </c>
      <c r="I454" t="s">
        <v>30</v>
      </c>
      <c r="J454" t="s">
        <v>162</v>
      </c>
      <c r="K454" t="s">
        <v>854</v>
      </c>
      <c r="N454" t="s">
        <v>5361</v>
      </c>
      <c r="Q454">
        <v>0</v>
      </c>
      <c r="R454">
        <v>91</v>
      </c>
      <c r="S454">
        <v>0</v>
      </c>
      <c r="T454" t="s">
        <v>5362</v>
      </c>
    </row>
    <row r="455" spans="1:20" customFormat="1" ht="15" x14ac:dyDescent="0.25">
      <c r="A455" t="s">
        <v>24</v>
      </c>
      <c r="B455" t="s">
        <v>2011</v>
      </c>
      <c r="C455" t="str">
        <f>"A0187570"</f>
        <v>A0187570</v>
      </c>
      <c r="D455" t="s">
        <v>5363</v>
      </c>
      <c r="E455" t="s">
        <v>5364</v>
      </c>
      <c r="F455" t="s">
        <v>845</v>
      </c>
      <c r="G455" t="s">
        <v>846</v>
      </c>
      <c r="H455">
        <v>30326</v>
      </c>
      <c r="I455" t="s">
        <v>30</v>
      </c>
      <c r="J455" t="s">
        <v>162</v>
      </c>
      <c r="K455" t="s">
        <v>1845</v>
      </c>
      <c r="N455" t="s">
        <v>5365</v>
      </c>
      <c r="Q455">
        <v>0</v>
      </c>
      <c r="R455">
        <v>218</v>
      </c>
      <c r="S455">
        <v>0</v>
      </c>
      <c r="T455" t="s">
        <v>192</v>
      </c>
    </row>
    <row r="456" spans="1:20" customFormat="1" ht="15" x14ac:dyDescent="0.25">
      <c r="A456" t="s">
        <v>24</v>
      </c>
      <c r="B456" t="s">
        <v>5444</v>
      </c>
      <c r="C456" t="str">
        <f>"A0191053"</f>
        <v>A0191053</v>
      </c>
      <c r="D456" t="s">
        <v>5445</v>
      </c>
      <c r="E456" t="s">
        <v>5446</v>
      </c>
      <c r="F456" t="s">
        <v>866</v>
      </c>
      <c r="G456" t="s">
        <v>40</v>
      </c>
      <c r="H456">
        <v>73118</v>
      </c>
      <c r="I456" t="s">
        <v>30</v>
      </c>
      <c r="J456" t="s">
        <v>162</v>
      </c>
      <c r="K456" t="s">
        <v>3447</v>
      </c>
      <c r="N456" t="s">
        <v>5447</v>
      </c>
      <c r="O456" t="s">
        <v>5448</v>
      </c>
      <c r="Q456">
        <v>0</v>
      </c>
      <c r="R456">
        <v>120</v>
      </c>
      <c r="S456">
        <v>0</v>
      </c>
      <c r="T456" t="s">
        <v>5449</v>
      </c>
    </row>
    <row r="457" spans="1:20" customFormat="1" ht="15" x14ac:dyDescent="0.25">
      <c r="A457" t="s">
        <v>24</v>
      </c>
      <c r="B457" t="s">
        <v>5548</v>
      </c>
      <c r="C457" t="str">
        <f>"A0098812"</f>
        <v>A0098812</v>
      </c>
      <c r="D457" t="s">
        <v>5549</v>
      </c>
      <c r="E457" t="s">
        <v>5550</v>
      </c>
      <c r="F457" t="s">
        <v>5551</v>
      </c>
      <c r="G457" t="s">
        <v>110</v>
      </c>
      <c r="H457">
        <v>94515</v>
      </c>
      <c r="I457" t="s">
        <v>30</v>
      </c>
      <c r="J457" t="s">
        <v>162</v>
      </c>
      <c r="K457" t="s">
        <v>163</v>
      </c>
      <c r="N457" t="s">
        <v>5552</v>
      </c>
      <c r="Q457">
        <v>0</v>
      </c>
      <c r="R457">
        <v>115</v>
      </c>
      <c r="S457">
        <v>0</v>
      </c>
      <c r="T457" t="s">
        <v>5553</v>
      </c>
    </row>
    <row r="458" spans="1:20" customFormat="1" ht="15" x14ac:dyDescent="0.25">
      <c r="A458" t="s">
        <v>24</v>
      </c>
      <c r="B458" t="s">
        <v>1548</v>
      </c>
      <c r="C458" t="str">
        <f>"A0087565"</f>
        <v>A0087565</v>
      </c>
      <c r="D458" t="s">
        <v>5618</v>
      </c>
      <c r="E458" t="s">
        <v>5619</v>
      </c>
      <c r="F458" t="s">
        <v>5620</v>
      </c>
      <c r="G458" t="s">
        <v>29</v>
      </c>
      <c r="H458">
        <v>23233</v>
      </c>
      <c r="I458" t="s">
        <v>30</v>
      </c>
      <c r="J458" t="s">
        <v>162</v>
      </c>
      <c r="K458" t="s">
        <v>4809</v>
      </c>
      <c r="N458" t="s">
        <v>5621</v>
      </c>
      <c r="Q458">
        <v>0</v>
      </c>
      <c r="R458">
        <v>254</v>
      </c>
      <c r="S458">
        <v>0</v>
      </c>
      <c r="T458" t="s">
        <v>5622</v>
      </c>
    </row>
    <row r="459" spans="1:20" customFormat="1" ht="15" x14ac:dyDescent="0.25">
      <c r="A459" t="s">
        <v>24</v>
      </c>
      <c r="B459" t="s">
        <v>193</v>
      </c>
      <c r="C459" t="str">
        <f>"A0096879"</f>
        <v>A0096879</v>
      </c>
      <c r="D459" t="s">
        <v>5634</v>
      </c>
      <c r="E459" t="s">
        <v>5635</v>
      </c>
      <c r="F459" t="s">
        <v>5636</v>
      </c>
      <c r="G459" t="s">
        <v>1706</v>
      </c>
      <c r="H459">
        <v>36561</v>
      </c>
      <c r="I459" t="s">
        <v>30</v>
      </c>
      <c r="J459" t="s">
        <v>162</v>
      </c>
      <c r="K459" t="s">
        <v>759</v>
      </c>
      <c r="Q459">
        <v>0</v>
      </c>
      <c r="R459">
        <v>161</v>
      </c>
      <c r="S459">
        <v>0</v>
      </c>
      <c r="T459" t="s">
        <v>5637</v>
      </c>
    </row>
    <row r="460" spans="1:20" customFormat="1" ht="15" x14ac:dyDescent="0.25">
      <c r="A460" t="s">
        <v>24</v>
      </c>
      <c r="B460" t="s">
        <v>193</v>
      </c>
      <c r="C460" t="str">
        <f>"A0189335"</f>
        <v>A0189335</v>
      </c>
      <c r="D460" t="s">
        <v>5700</v>
      </c>
      <c r="E460" t="s">
        <v>5701</v>
      </c>
      <c r="F460" t="s">
        <v>3131</v>
      </c>
      <c r="G460" t="s">
        <v>1706</v>
      </c>
      <c r="H460">
        <v>36703</v>
      </c>
      <c r="I460" t="s">
        <v>30</v>
      </c>
      <c r="J460" t="s">
        <v>162</v>
      </c>
      <c r="K460" t="s">
        <v>2881</v>
      </c>
      <c r="N460" t="s">
        <v>5702</v>
      </c>
      <c r="Q460">
        <v>0</v>
      </c>
      <c r="R460">
        <v>55</v>
      </c>
      <c r="S460">
        <v>0</v>
      </c>
      <c r="T460" t="s">
        <v>5703</v>
      </c>
    </row>
    <row r="461" spans="1:20" customFormat="1" ht="15" x14ac:dyDescent="0.25">
      <c r="A461" t="s">
        <v>24</v>
      </c>
      <c r="B461" t="s">
        <v>140</v>
      </c>
      <c r="C461" t="str">
        <f>"A0094975"</f>
        <v>A0094975</v>
      </c>
      <c r="D461" t="s">
        <v>2153</v>
      </c>
      <c r="E461" t="s">
        <v>2154</v>
      </c>
      <c r="F461" t="s">
        <v>2094</v>
      </c>
      <c r="G461" t="s">
        <v>52</v>
      </c>
      <c r="H461">
        <v>75201</v>
      </c>
      <c r="I461" t="s">
        <v>30</v>
      </c>
      <c r="J461" t="s">
        <v>31</v>
      </c>
      <c r="K461" t="s">
        <v>198</v>
      </c>
      <c r="N461" t="s">
        <v>2155</v>
      </c>
      <c r="Q461">
        <v>0</v>
      </c>
      <c r="R461">
        <v>176</v>
      </c>
      <c r="S461">
        <v>0</v>
      </c>
      <c r="T461" t="s">
        <v>2156</v>
      </c>
    </row>
    <row r="462" spans="1:20" customFormat="1" ht="15" x14ac:dyDescent="0.25">
      <c r="A462" t="s">
        <v>24</v>
      </c>
      <c r="B462" t="s">
        <v>193</v>
      </c>
      <c r="C462" t="str">
        <f>"A0189336"</f>
        <v>A0189336</v>
      </c>
      <c r="D462" t="s">
        <v>5711</v>
      </c>
      <c r="E462" t="s">
        <v>5712</v>
      </c>
      <c r="F462" t="s">
        <v>5706</v>
      </c>
      <c r="G462" t="s">
        <v>1706</v>
      </c>
      <c r="H462">
        <v>35203</v>
      </c>
      <c r="I462" t="s">
        <v>30</v>
      </c>
      <c r="J462" t="s">
        <v>162</v>
      </c>
      <c r="K462" t="s">
        <v>2881</v>
      </c>
      <c r="N462" t="s">
        <v>5708</v>
      </c>
      <c r="Q462">
        <v>0</v>
      </c>
      <c r="R462">
        <v>96</v>
      </c>
      <c r="S462">
        <v>0</v>
      </c>
      <c r="T462" t="s">
        <v>5713</v>
      </c>
    </row>
    <row r="463" spans="1:20" customFormat="1" ht="15" x14ac:dyDescent="0.25">
      <c r="A463" t="s">
        <v>24</v>
      </c>
      <c r="B463" t="s">
        <v>140</v>
      </c>
      <c r="C463" t="str">
        <f>"A0092167"</f>
        <v>A0092167</v>
      </c>
      <c r="D463" t="s">
        <v>2163</v>
      </c>
      <c r="E463" t="s">
        <v>2164</v>
      </c>
      <c r="F463" t="s">
        <v>866</v>
      </c>
      <c r="G463" t="s">
        <v>40</v>
      </c>
      <c r="H463">
        <v>73104</v>
      </c>
      <c r="I463" t="s">
        <v>30</v>
      </c>
      <c r="J463" t="s">
        <v>31</v>
      </c>
      <c r="K463" t="s">
        <v>282</v>
      </c>
      <c r="N463" t="s">
        <v>2165</v>
      </c>
      <c r="Q463">
        <v>0</v>
      </c>
      <c r="R463">
        <v>124</v>
      </c>
      <c r="S463">
        <v>0</v>
      </c>
      <c r="T463" t="s">
        <v>2166</v>
      </c>
    </row>
    <row r="464" spans="1:20" customFormat="1" ht="15" x14ac:dyDescent="0.25">
      <c r="A464" t="s">
        <v>24</v>
      </c>
      <c r="B464" t="s">
        <v>140</v>
      </c>
      <c r="C464" t="str">
        <f>"A0062143"</f>
        <v>A0062143</v>
      </c>
      <c r="D464" t="s">
        <v>2167</v>
      </c>
      <c r="E464" t="s">
        <v>2168</v>
      </c>
      <c r="F464" t="s">
        <v>2110</v>
      </c>
      <c r="G464" t="s">
        <v>52</v>
      </c>
      <c r="H464">
        <v>76051</v>
      </c>
      <c r="I464" t="s">
        <v>30</v>
      </c>
      <c r="J464" t="s">
        <v>31</v>
      </c>
      <c r="K464" t="s">
        <v>282</v>
      </c>
      <c r="N464" t="s">
        <v>2084</v>
      </c>
      <c r="Q464">
        <v>0</v>
      </c>
      <c r="R464">
        <v>95</v>
      </c>
      <c r="S464">
        <v>0</v>
      </c>
      <c r="T464" t="s">
        <v>2169</v>
      </c>
    </row>
    <row r="465" spans="1:25" customFormat="1" ht="15" x14ac:dyDescent="0.25">
      <c r="A465" t="s">
        <v>24</v>
      </c>
      <c r="B465" t="s">
        <v>140</v>
      </c>
      <c r="C465" t="str">
        <f>"A0058507"</f>
        <v>A0058507</v>
      </c>
      <c r="D465" t="s">
        <v>2170</v>
      </c>
      <c r="E465" t="s">
        <v>2171</v>
      </c>
      <c r="F465" t="s">
        <v>2094</v>
      </c>
      <c r="G465" t="s">
        <v>52</v>
      </c>
      <c r="H465">
        <v>75202</v>
      </c>
      <c r="I465" t="s">
        <v>30</v>
      </c>
      <c r="J465" t="s">
        <v>31</v>
      </c>
      <c r="K465" t="s">
        <v>255</v>
      </c>
      <c r="N465" t="s">
        <v>2172</v>
      </c>
      <c r="O465" t="s">
        <v>2173</v>
      </c>
      <c r="Q465">
        <v>0</v>
      </c>
      <c r="R465">
        <v>148</v>
      </c>
      <c r="S465">
        <v>0</v>
      </c>
      <c r="T465" t="s">
        <v>2174</v>
      </c>
    </row>
    <row r="466" spans="1:25" customFormat="1" ht="15" x14ac:dyDescent="0.25">
      <c r="A466" t="s">
        <v>24</v>
      </c>
      <c r="B466" t="s">
        <v>2175</v>
      </c>
      <c r="C466" t="str">
        <f>"A0167118"</f>
        <v>A0167118</v>
      </c>
      <c r="D466" t="s">
        <v>2176</v>
      </c>
      <c r="E466" t="s">
        <v>2177</v>
      </c>
      <c r="F466" t="s">
        <v>2178</v>
      </c>
      <c r="G466" t="s">
        <v>846</v>
      </c>
      <c r="H466">
        <v>30041</v>
      </c>
      <c r="I466" t="s">
        <v>30</v>
      </c>
      <c r="J466" t="s">
        <v>31</v>
      </c>
      <c r="K466" t="s">
        <v>261</v>
      </c>
      <c r="N466" t="s">
        <v>2034</v>
      </c>
      <c r="Q466">
        <v>0</v>
      </c>
      <c r="R466">
        <v>98</v>
      </c>
      <c r="S466">
        <v>0</v>
      </c>
      <c r="T466" t="s">
        <v>2179</v>
      </c>
    </row>
    <row r="467" spans="1:25" customFormat="1" ht="15" x14ac:dyDescent="0.25">
      <c r="A467" t="s">
        <v>24</v>
      </c>
      <c r="B467" t="s">
        <v>5801</v>
      </c>
      <c r="C467" t="str">
        <f>"A0156674"</f>
        <v>A0156674</v>
      </c>
      <c r="D467" t="s">
        <v>5809</v>
      </c>
      <c r="E467" t="s">
        <v>5810</v>
      </c>
      <c r="F467" t="s">
        <v>5811</v>
      </c>
      <c r="G467" t="s">
        <v>76</v>
      </c>
      <c r="H467">
        <v>98424</v>
      </c>
      <c r="I467" t="s">
        <v>30</v>
      </c>
      <c r="J467" t="s">
        <v>162</v>
      </c>
      <c r="K467" t="s">
        <v>163</v>
      </c>
      <c r="N467" t="s">
        <v>5806</v>
      </c>
      <c r="O467" t="s">
        <v>5807</v>
      </c>
      <c r="Q467">
        <v>0</v>
      </c>
      <c r="R467">
        <v>120</v>
      </c>
      <c r="S467">
        <v>0</v>
      </c>
      <c r="T467" t="s">
        <v>5808</v>
      </c>
    </row>
    <row r="468" spans="1:25" customFormat="1" ht="15" x14ac:dyDescent="0.25">
      <c r="A468" t="s">
        <v>24</v>
      </c>
      <c r="B468" t="s">
        <v>5830</v>
      </c>
      <c r="C468" t="str">
        <f>"A0190972"</f>
        <v>A0190972</v>
      </c>
      <c r="D468" t="s">
        <v>5831</v>
      </c>
      <c r="E468" t="s">
        <v>5832</v>
      </c>
      <c r="F468" t="s">
        <v>5833</v>
      </c>
      <c r="G468" t="s">
        <v>1363</v>
      </c>
      <c r="H468">
        <v>3846</v>
      </c>
      <c r="I468" t="s">
        <v>30</v>
      </c>
      <c r="J468" t="s">
        <v>162</v>
      </c>
      <c r="K468" t="s">
        <v>163</v>
      </c>
      <c r="N468" t="s">
        <v>5834</v>
      </c>
      <c r="Q468">
        <v>0</v>
      </c>
      <c r="R468">
        <v>61</v>
      </c>
      <c r="S468">
        <v>0</v>
      </c>
      <c r="T468" t="s">
        <v>5835</v>
      </c>
    </row>
    <row r="469" spans="1:25" customFormat="1" ht="15" x14ac:dyDescent="0.25">
      <c r="A469" t="s">
        <v>24</v>
      </c>
      <c r="B469" t="s">
        <v>2180</v>
      </c>
      <c r="C469" t="str">
        <f>"A0055101"</f>
        <v>A0055101</v>
      </c>
      <c r="D469" t="s">
        <v>2191</v>
      </c>
      <c r="E469" t="s">
        <v>2192</v>
      </c>
      <c r="F469" t="s">
        <v>2183</v>
      </c>
      <c r="G469" t="s">
        <v>1369</v>
      </c>
      <c r="H469">
        <v>39301</v>
      </c>
      <c r="I469" t="s">
        <v>30</v>
      </c>
      <c r="J469" t="s">
        <v>31</v>
      </c>
      <c r="K469" t="s">
        <v>198</v>
      </c>
      <c r="N469" t="s">
        <v>2193</v>
      </c>
      <c r="O469" t="s">
        <v>2194</v>
      </c>
      <c r="Q469">
        <v>0</v>
      </c>
      <c r="R469">
        <v>116</v>
      </c>
      <c r="S469">
        <v>0</v>
      </c>
      <c r="T469" t="s">
        <v>2195</v>
      </c>
    </row>
    <row r="470" spans="1:25" customFormat="1" ht="15" x14ac:dyDescent="0.25">
      <c r="A470" t="s">
        <v>24</v>
      </c>
      <c r="B470" t="s">
        <v>2005</v>
      </c>
      <c r="C470" t="str">
        <f>"A0192259"</f>
        <v>A0192259</v>
      </c>
      <c r="D470" t="s">
        <v>2196</v>
      </c>
      <c r="E470" t="s">
        <v>2197</v>
      </c>
      <c r="F470" t="s">
        <v>2198</v>
      </c>
      <c r="G470" t="s">
        <v>880</v>
      </c>
      <c r="H470">
        <v>38242</v>
      </c>
      <c r="I470" t="s">
        <v>30</v>
      </c>
      <c r="J470" t="s">
        <v>31</v>
      </c>
      <c r="K470" t="s">
        <v>198</v>
      </c>
      <c r="N470" t="s">
        <v>2199</v>
      </c>
      <c r="O470" t="s">
        <v>2200</v>
      </c>
      <c r="Q470">
        <v>0</v>
      </c>
      <c r="R470">
        <v>72</v>
      </c>
      <c r="S470">
        <v>0</v>
      </c>
      <c r="T470" t="s">
        <v>2201</v>
      </c>
    </row>
    <row r="471" spans="1:25" customFormat="1" ht="15" hidden="1" x14ac:dyDescent="0.25">
      <c r="A471" t="s">
        <v>24</v>
      </c>
      <c r="B471" t="s">
        <v>2202</v>
      </c>
      <c r="C471" t="str">
        <f>"A0068862"</f>
        <v>A0068862</v>
      </c>
      <c r="D471" t="s">
        <v>2203</v>
      </c>
      <c r="E471" t="s">
        <v>2204</v>
      </c>
      <c r="F471" t="s">
        <v>2205</v>
      </c>
      <c r="G471" t="s">
        <v>2206</v>
      </c>
      <c r="H471" t="s">
        <v>2207</v>
      </c>
      <c r="I471" t="s">
        <v>1459</v>
      </c>
      <c r="J471" t="s">
        <v>31</v>
      </c>
      <c r="K471" t="s">
        <v>296</v>
      </c>
      <c r="N471" t="s">
        <v>2208</v>
      </c>
      <c r="Q471">
        <v>0</v>
      </c>
      <c r="R471">
        <v>85</v>
      </c>
      <c r="S471">
        <v>0</v>
      </c>
      <c r="T471" t="s">
        <v>2209</v>
      </c>
    </row>
    <row r="472" spans="1:25" customFormat="1" ht="15" x14ac:dyDescent="0.25">
      <c r="A472" t="s">
        <v>24</v>
      </c>
      <c r="B472" t="s">
        <v>2210</v>
      </c>
      <c r="C472" t="str">
        <f>"A0186864"</f>
        <v>A0186864</v>
      </c>
      <c r="D472" t="s">
        <v>2211</v>
      </c>
      <c r="E472" t="s">
        <v>2212</v>
      </c>
      <c r="F472" t="s">
        <v>2213</v>
      </c>
      <c r="G472" t="s">
        <v>103</v>
      </c>
      <c r="H472">
        <v>16701</v>
      </c>
      <c r="I472" t="s">
        <v>30</v>
      </c>
      <c r="J472" t="s">
        <v>145</v>
      </c>
      <c r="K472" t="s">
        <v>763</v>
      </c>
      <c r="N472" t="s">
        <v>2214</v>
      </c>
      <c r="Q472">
        <v>0</v>
      </c>
      <c r="R472">
        <v>48</v>
      </c>
      <c r="S472">
        <v>0</v>
      </c>
      <c r="T472" t="s">
        <v>2215</v>
      </c>
    </row>
    <row r="473" spans="1:25" customFormat="1" ht="15" x14ac:dyDescent="0.25">
      <c r="A473" t="s">
        <v>35</v>
      </c>
      <c r="B473" t="s">
        <v>2216</v>
      </c>
      <c r="C473" t="str">
        <f>"A0129556"</f>
        <v>A0129556</v>
      </c>
      <c r="D473" t="s">
        <v>2217</v>
      </c>
      <c r="E473" t="s">
        <v>2218</v>
      </c>
      <c r="F473" t="s">
        <v>2219</v>
      </c>
      <c r="G473" t="s">
        <v>289</v>
      </c>
      <c r="H473">
        <v>60012</v>
      </c>
      <c r="I473" t="s">
        <v>30</v>
      </c>
      <c r="J473" t="s">
        <v>41</v>
      </c>
      <c r="K473" t="s">
        <v>229</v>
      </c>
      <c r="Q473">
        <v>0</v>
      </c>
      <c r="R473">
        <v>97</v>
      </c>
      <c r="S473">
        <v>97</v>
      </c>
      <c r="T473" t="s">
        <v>2220</v>
      </c>
    </row>
    <row r="474" spans="1:25" customFormat="1" ht="15" x14ac:dyDescent="0.25">
      <c r="A474" t="s">
        <v>24</v>
      </c>
      <c r="B474" t="s">
        <v>2221</v>
      </c>
      <c r="C474" t="str">
        <f>"A0147515"</f>
        <v>A0147515</v>
      </c>
      <c r="D474" t="s">
        <v>2222</v>
      </c>
      <c r="E474" t="s">
        <v>2223</v>
      </c>
      <c r="F474" t="s">
        <v>2224</v>
      </c>
      <c r="G474" t="s">
        <v>52</v>
      </c>
      <c r="H474">
        <v>78738</v>
      </c>
      <c r="I474" t="s">
        <v>30</v>
      </c>
      <c r="J474" t="s">
        <v>31</v>
      </c>
      <c r="K474" t="s">
        <v>255</v>
      </c>
      <c r="N474" t="s">
        <v>2225</v>
      </c>
      <c r="O474" t="s">
        <v>2226</v>
      </c>
      <c r="Q474">
        <v>0</v>
      </c>
      <c r="R474">
        <v>88</v>
      </c>
      <c r="S474">
        <v>0</v>
      </c>
      <c r="T474" t="s">
        <v>2227</v>
      </c>
    </row>
    <row r="475" spans="1:25" customFormat="1" ht="15" x14ac:dyDescent="0.25">
      <c r="A475" t="s">
        <v>24</v>
      </c>
      <c r="B475" t="s">
        <v>193</v>
      </c>
      <c r="C475" t="str">
        <f>"A0180051"</f>
        <v>A0180051</v>
      </c>
      <c r="D475" t="s">
        <v>5957</v>
      </c>
      <c r="E475" t="s">
        <v>5958</v>
      </c>
      <c r="F475" t="s">
        <v>866</v>
      </c>
      <c r="G475" t="s">
        <v>40</v>
      </c>
      <c r="H475">
        <v>73118</v>
      </c>
      <c r="I475" t="s">
        <v>30</v>
      </c>
      <c r="J475" t="s">
        <v>162</v>
      </c>
      <c r="K475" t="s">
        <v>251</v>
      </c>
      <c r="N475" t="s">
        <v>5959</v>
      </c>
      <c r="Q475">
        <v>0</v>
      </c>
      <c r="R475">
        <v>96</v>
      </c>
      <c r="S475">
        <v>0</v>
      </c>
      <c r="T475" t="s">
        <v>5960</v>
      </c>
    </row>
    <row r="476" spans="1:25" customFormat="1" ht="15" x14ac:dyDescent="0.25">
      <c r="A476" t="s">
        <v>24</v>
      </c>
      <c r="B476" t="s">
        <v>1008</v>
      </c>
      <c r="C476" t="str">
        <f>"A0192247"</f>
        <v>A0192247</v>
      </c>
      <c r="D476" t="s">
        <v>2233</v>
      </c>
      <c r="E476" t="s">
        <v>2234</v>
      </c>
      <c r="F476" t="s">
        <v>2235</v>
      </c>
      <c r="G476" t="s">
        <v>338</v>
      </c>
      <c r="H476">
        <v>8226</v>
      </c>
      <c r="I476" t="s">
        <v>30</v>
      </c>
      <c r="J476" t="s">
        <v>145</v>
      </c>
      <c r="K476" t="s">
        <v>163</v>
      </c>
      <c r="N476" t="s">
        <v>2236</v>
      </c>
      <c r="Q476">
        <v>0</v>
      </c>
      <c r="R476">
        <v>69</v>
      </c>
      <c r="S476">
        <v>0</v>
      </c>
      <c r="T476" t="s">
        <v>2237</v>
      </c>
    </row>
    <row r="477" spans="1:25" x14ac:dyDescent="0.25">
      <c r="A477" s="5" t="s">
        <v>24</v>
      </c>
      <c r="B477" s="5" t="s">
        <v>193</v>
      </c>
      <c r="C477" s="5" t="str">
        <f>"SF05411"</f>
        <v>SF05411</v>
      </c>
      <c r="D477" s="5" t="s">
        <v>5961</v>
      </c>
      <c r="E477" s="5" t="s">
        <v>5962</v>
      </c>
      <c r="F477" s="5" t="s">
        <v>5963</v>
      </c>
      <c r="G477" s="5" t="s">
        <v>1898</v>
      </c>
      <c r="H477" s="5">
        <v>51101</v>
      </c>
      <c r="I477" s="5" t="s">
        <v>30</v>
      </c>
      <c r="J477" s="5" t="s">
        <v>162</v>
      </c>
      <c r="K477" s="5" t="s">
        <v>854</v>
      </c>
      <c r="L477" s="5"/>
      <c r="M477" s="5"/>
      <c r="N477" s="5" t="s">
        <v>5964</v>
      </c>
      <c r="O477" s="5" t="s">
        <v>5965</v>
      </c>
      <c r="P477" s="5"/>
      <c r="Q477" s="5">
        <v>0</v>
      </c>
      <c r="R477" s="5">
        <v>114</v>
      </c>
      <c r="S477" s="5">
        <v>0</v>
      </c>
      <c r="T477" s="5" t="s">
        <v>5966</v>
      </c>
      <c r="U477" s="5"/>
      <c r="V477" s="5"/>
      <c r="W477" s="5"/>
      <c r="X477" s="5"/>
      <c r="Y477" s="5"/>
    </row>
    <row r="478" spans="1:25" customFormat="1" ht="15" x14ac:dyDescent="0.25">
      <c r="A478" t="s">
        <v>24</v>
      </c>
      <c r="B478" t="s">
        <v>140</v>
      </c>
      <c r="C478" t="str">
        <f>"A0098527"</f>
        <v>A0098527</v>
      </c>
      <c r="D478" t="s">
        <v>5985</v>
      </c>
      <c r="E478" t="s">
        <v>5986</v>
      </c>
      <c r="F478" t="s">
        <v>3955</v>
      </c>
      <c r="G478" t="s">
        <v>81</v>
      </c>
      <c r="H478">
        <v>33602</v>
      </c>
      <c r="I478" t="s">
        <v>30</v>
      </c>
      <c r="J478" t="s">
        <v>162</v>
      </c>
      <c r="K478" t="s">
        <v>847</v>
      </c>
      <c r="N478" t="s">
        <v>5987</v>
      </c>
      <c r="O478" t="s">
        <v>5988</v>
      </c>
      <c r="Q478">
        <v>0</v>
      </c>
      <c r="R478">
        <v>130</v>
      </c>
      <c r="S478">
        <v>0</v>
      </c>
      <c r="T478" t="s">
        <v>5989</v>
      </c>
    </row>
    <row r="479" spans="1:25" customFormat="1" ht="15" x14ac:dyDescent="0.25">
      <c r="A479" t="s">
        <v>24</v>
      </c>
      <c r="B479" t="s">
        <v>1849</v>
      </c>
      <c r="C479" t="str">
        <f>"A0166088"</f>
        <v>A0166088</v>
      </c>
      <c r="D479" t="s">
        <v>6317</v>
      </c>
      <c r="E479" t="s">
        <v>6318</v>
      </c>
      <c r="F479" t="s">
        <v>6014</v>
      </c>
      <c r="G479" t="s">
        <v>117</v>
      </c>
      <c r="H479">
        <v>48334</v>
      </c>
      <c r="I479" t="s">
        <v>30</v>
      </c>
      <c r="J479" t="s">
        <v>162</v>
      </c>
      <c r="K479" t="s">
        <v>854</v>
      </c>
      <c r="N479" t="s">
        <v>6319</v>
      </c>
      <c r="O479" t="s">
        <v>6320</v>
      </c>
      <c r="Q479">
        <v>0</v>
      </c>
      <c r="R479">
        <v>133</v>
      </c>
      <c r="S479">
        <v>0</v>
      </c>
      <c r="T479" t="s">
        <v>6321</v>
      </c>
    </row>
    <row r="480" spans="1:25" customFormat="1" ht="15" hidden="1" x14ac:dyDescent="0.25">
      <c r="A480" t="s">
        <v>24</v>
      </c>
      <c r="B480" t="s">
        <v>2254</v>
      </c>
      <c r="C480" t="str">
        <f>"A0096028"</f>
        <v>A0096028</v>
      </c>
      <c r="D480" t="s">
        <v>2255</v>
      </c>
      <c r="E480" t="s">
        <v>2256</v>
      </c>
      <c r="F480" t="s">
        <v>2257</v>
      </c>
      <c r="I480" t="s">
        <v>2258</v>
      </c>
      <c r="J480" t="s">
        <v>171</v>
      </c>
      <c r="K480" t="s">
        <v>1202</v>
      </c>
      <c r="N480" t="s">
        <v>2259</v>
      </c>
      <c r="Q480">
        <v>0</v>
      </c>
      <c r="R480">
        <v>140</v>
      </c>
      <c r="S480">
        <v>0</v>
      </c>
      <c r="T480" t="s">
        <v>2260</v>
      </c>
    </row>
    <row r="481" spans="1:20" customFormat="1" ht="15" x14ac:dyDescent="0.25">
      <c r="A481" t="s">
        <v>24</v>
      </c>
      <c r="B481" t="s">
        <v>1548</v>
      </c>
      <c r="C481" t="str">
        <f>"A0068398"</f>
        <v>A0068398</v>
      </c>
      <c r="D481" t="s">
        <v>2261</v>
      </c>
      <c r="E481" t="s">
        <v>2262</v>
      </c>
      <c r="F481" t="s">
        <v>2263</v>
      </c>
      <c r="G481" t="s">
        <v>1898</v>
      </c>
      <c r="H481">
        <v>50266</v>
      </c>
      <c r="I481" t="s">
        <v>30</v>
      </c>
      <c r="J481" t="s">
        <v>31</v>
      </c>
      <c r="K481" t="s">
        <v>1890</v>
      </c>
      <c r="N481" t="s">
        <v>2264</v>
      </c>
      <c r="Q481">
        <v>0</v>
      </c>
      <c r="R481">
        <v>110</v>
      </c>
      <c r="S481">
        <v>0</v>
      </c>
      <c r="T481" t="s">
        <v>2265</v>
      </c>
    </row>
    <row r="482" spans="1:20" customFormat="1" ht="15" hidden="1" x14ac:dyDescent="0.25">
      <c r="A482" t="s">
        <v>24</v>
      </c>
      <c r="B482" t="s">
        <v>2266</v>
      </c>
      <c r="C482" t="str">
        <f>"A0192216"</f>
        <v>A0192216</v>
      </c>
      <c r="D482" t="s">
        <v>2267</v>
      </c>
      <c r="E482" t="s">
        <v>2268</v>
      </c>
      <c r="F482" t="s">
        <v>2269</v>
      </c>
      <c r="G482" t="s">
        <v>2270</v>
      </c>
      <c r="H482" t="s">
        <v>2271</v>
      </c>
      <c r="I482" t="s">
        <v>1459</v>
      </c>
      <c r="J482" t="s">
        <v>2272</v>
      </c>
      <c r="K482" t="s">
        <v>163</v>
      </c>
      <c r="N482" t="s">
        <v>2273</v>
      </c>
      <c r="Q482">
        <v>0</v>
      </c>
      <c r="R482">
        <v>120</v>
      </c>
      <c r="S482">
        <v>0</v>
      </c>
      <c r="T482" t="s">
        <v>2274</v>
      </c>
    </row>
    <row r="483" spans="1:20" customFormat="1" ht="15" x14ac:dyDescent="0.25">
      <c r="A483" t="s">
        <v>35</v>
      </c>
      <c r="B483" t="s">
        <v>36</v>
      </c>
      <c r="C483" t="str">
        <f>"A0192232"</f>
        <v>A0192232</v>
      </c>
      <c r="D483" t="s">
        <v>2275</v>
      </c>
      <c r="E483" t="s">
        <v>2276</v>
      </c>
      <c r="F483" t="s">
        <v>2277</v>
      </c>
      <c r="G483" t="s">
        <v>52</v>
      </c>
      <c r="H483">
        <v>77835</v>
      </c>
      <c r="I483" t="s">
        <v>30</v>
      </c>
      <c r="J483" t="s">
        <v>41</v>
      </c>
      <c r="K483" t="s">
        <v>42</v>
      </c>
      <c r="Q483">
        <v>0</v>
      </c>
      <c r="R483">
        <v>0</v>
      </c>
      <c r="S483">
        <v>0</v>
      </c>
      <c r="T483" t="s">
        <v>2278</v>
      </c>
    </row>
    <row r="484" spans="1:20" customFormat="1" ht="15" x14ac:dyDescent="0.25">
      <c r="A484" t="s">
        <v>35</v>
      </c>
      <c r="B484" t="s">
        <v>36</v>
      </c>
      <c r="C484" t="str">
        <f>"A0192231"</f>
        <v>A0192231</v>
      </c>
      <c r="D484" t="s">
        <v>2279</v>
      </c>
      <c r="E484" t="s">
        <v>2280</v>
      </c>
      <c r="F484" t="s">
        <v>2281</v>
      </c>
      <c r="G484" t="s">
        <v>52</v>
      </c>
      <c r="H484">
        <v>78611</v>
      </c>
      <c r="I484" t="s">
        <v>30</v>
      </c>
      <c r="J484" t="s">
        <v>41</v>
      </c>
      <c r="K484" t="s">
        <v>42</v>
      </c>
      <c r="Q484">
        <v>0</v>
      </c>
      <c r="R484">
        <v>0</v>
      </c>
      <c r="S484">
        <v>0</v>
      </c>
      <c r="T484" t="s">
        <v>2282</v>
      </c>
    </row>
    <row r="485" spans="1:20" customFormat="1" ht="15" x14ac:dyDescent="0.25">
      <c r="A485" t="s">
        <v>35</v>
      </c>
      <c r="B485" t="s">
        <v>2283</v>
      </c>
      <c r="C485" t="str">
        <f>"A0192230"</f>
        <v>A0192230</v>
      </c>
      <c r="D485" t="s">
        <v>2284</v>
      </c>
      <c r="E485" t="s">
        <v>2285</v>
      </c>
      <c r="F485" t="s">
        <v>2286</v>
      </c>
      <c r="G485" t="s">
        <v>103</v>
      </c>
      <c r="H485">
        <v>18411</v>
      </c>
      <c r="I485" t="s">
        <v>30</v>
      </c>
      <c r="J485" t="s">
        <v>41</v>
      </c>
      <c r="K485" t="s">
        <v>59</v>
      </c>
      <c r="Q485">
        <v>0</v>
      </c>
      <c r="R485">
        <v>0</v>
      </c>
      <c r="S485">
        <v>0</v>
      </c>
      <c r="T485" t="s">
        <v>2287</v>
      </c>
    </row>
    <row r="486" spans="1:20" customFormat="1" ht="15" x14ac:dyDescent="0.25">
      <c r="A486" t="s">
        <v>35</v>
      </c>
      <c r="B486" t="s">
        <v>61</v>
      </c>
      <c r="C486" t="str">
        <f>"A0192229"</f>
        <v>A0192229</v>
      </c>
      <c r="D486" t="s">
        <v>2288</v>
      </c>
      <c r="E486" t="s">
        <v>2289</v>
      </c>
      <c r="F486" t="s">
        <v>2290</v>
      </c>
      <c r="G486" t="s">
        <v>58</v>
      </c>
      <c r="H486">
        <v>29376</v>
      </c>
      <c r="I486" t="s">
        <v>30</v>
      </c>
      <c r="J486" t="s">
        <v>41</v>
      </c>
      <c r="K486" t="s">
        <v>104</v>
      </c>
      <c r="Q486">
        <v>0</v>
      </c>
      <c r="R486">
        <v>0</v>
      </c>
      <c r="S486">
        <v>0</v>
      </c>
      <c r="T486" t="s">
        <v>2291</v>
      </c>
    </row>
    <row r="487" spans="1:20" customFormat="1" ht="15" x14ac:dyDescent="0.25">
      <c r="A487" t="s">
        <v>35</v>
      </c>
      <c r="B487" t="s">
        <v>61</v>
      </c>
      <c r="C487" t="str">
        <f>"A0192228"</f>
        <v>A0192228</v>
      </c>
      <c r="D487" t="s">
        <v>2292</v>
      </c>
      <c r="E487" t="s">
        <v>2293</v>
      </c>
      <c r="F487" t="s">
        <v>2294</v>
      </c>
      <c r="G487" t="s">
        <v>110</v>
      </c>
      <c r="H487">
        <v>94533</v>
      </c>
      <c r="I487" t="s">
        <v>30</v>
      </c>
      <c r="J487" t="s">
        <v>41</v>
      </c>
      <c r="K487" t="s">
        <v>59</v>
      </c>
      <c r="Q487">
        <v>0</v>
      </c>
      <c r="R487">
        <v>0</v>
      </c>
      <c r="S487">
        <v>0</v>
      </c>
      <c r="T487" t="s">
        <v>2295</v>
      </c>
    </row>
    <row r="488" spans="1:20" customFormat="1" ht="15" x14ac:dyDescent="0.25">
      <c r="A488" t="s">
        <v>35</v>
      </c>
      <c r="B488" t="s">
        <v>2296</v>
      </c>
      <c r="C488" t="str">
        <f>"A0192227"</f>
        <v>A0192227</v>
      </c>
      <c r="D488" t="s">
        <v>2297</v>
      </c>
      <c r="E488" t="s">
        <v>2298</v>
      </c>
      <c r="F488" t="s">
        <v>2299</v>
      </c>
      <c r="G488" t="s">
        <v>65</v>
      </c>
      <c r="H488">
        <v>43764</v>
      </c>
      <c r="I488" t="s">
        <v>30</v>
      </c>
      <c r="J488" t="s">
        <v>41</v>
      </c>
      <c r="K488" t="s">
        <v>59</v>
      </c>
      <c r="Q488">
        <v>0</v>
      </c>
      <c r="R488">
        <v>0</v>
      </c>
      <c r="S488">
        <v>100</v>
      </c>
      <c r="T488" t="s">
        <v>2300</v>
      </c>
    </row>
    <row r="489" spans="1:20" customFormat="1" ht="15" x14ac:dyDescent="0.25">
      <c r="A489" t="s">
        <v>35</v>
      </c>
      <c r="B489" t="s">
        <v>2296</v>
      </c>
      <c r="C489" t="str">
        <f>"A0192226"</f>
        <v>A0192226</v>
      </c>
      <c r="D489" t="s">
        <v>2301</v>
      </c>
      <c r="E489" t="s">
        <v>2302</v>
      </c>
      <c r="F489" t="s">
        <v>2303</v>
      </c>
      <c r="G489" t="s">
        <v>65</v>
      </c>
      <c r="H489">
        <v>43950</v>
      </c>
      <c r="I489" t="s">
        <v>30</v>
      </c>
      <c r="J489" t="s">
        <v>41</v>
      </c>
      <c r="K489" t="s">
        <v>59</v>
      </c>
      <c r="Q489">
        <v>0</v>
      </c>
      <c r="R489">
        <v>0</v>
      </c>
      <c r="S489">
        <v>72</v>
      </c>
      <c r="T489" t="s">
        <v>2304</v>
      </c>
    </row>
    <row r="490" spans="1:20" customFormat="1" ht="15" x14ac:dyDescent="0.25">
      <c r="A490" t="s">
        <v>35</v>
      </c>
      <c r="B490" t="s">
        <v>2296</v>
      </c>
      <c r="C490" t="str">
        <f>"A0192225"</f>
        <v>A0192225</v>
      </c>
      <c r="D490" t="s">
        <v>2305</v>
      </c>
      <c r="E490" t="s">
        <v>2306</v>
      </c>
      <c r="F490" t="s">
        <v>2307</v>
      </c>
      <c r="G490" t="s">
        <v>65</v>
      </c>
      <c r="H490">
        <v>44128</v>
      </c>
      <c r="I490" t="s">
        <v>30</v>
      </c>
      <c r="J490" t="s">
        <v>41</v>
      </c>
      <c r="K490" t="s">
        <v>59</v>
      </c>
      <c r="Q490">
        <v>0</v>
      </c>
      <c r="R490">
        <v>0</v>
      </c>
      <c r="S490">
        <v>180</v>
      </c>
      <c r="T490" t="s">
        <v>2308</v>
      </c>
    </row>
    <row r="491" spans="1:20" customFormat="1" ht="15" x14ac:dyDescent="0.25">
      <c r="A491" t="s">
        <v>35</v>
      </c>
      <c r="B491" t="s">
        <v>2296</v>
      </c>
      <c r="C491" t="str">
        <f>"A0192224"</f>
        <v>A0192224</v>
      </c>
      <c r="D491" t="s">
        <v>2309</v>
      </c>
      <c r="E491" t="s">
        <v>2310</v>
      </c>
      <c r="F491" t="s">
        <v>2311</v>
      </c>
      <c r="G491" t="s">
        <v>65</v>
      </c>
      <c r="H491">
        <v>43410</v>
      </c>
      <c r="I491" t="s">
        <v>30</v>
      </c>
      <c r="J491" t="s">
        <v>41</v>
      </c>
      <c r="K491" t="s">
        <v>59</v>
      </c>
      <c r="Q491">
        <v>0</v>
      </c>
      <c r="R491">
        <v>0</v>
      </c>
      <c r="S491">
        <v>85</v>
      </c>
      <c r="T491" t="s">
        <v>2312</v>
      </c>
    </row>
    <row r="492" spans="1:20" customFormat="1" ht="15" x14ac:dyDescent="0.25">
      <c r="A492" t="s">
        <v>35</v>
      </c>
      <c r="B492" t="s">
        <v>2296</v>
      </c>
      <c r="C492" t="str">
        <f>"A0192223"</f>
        <v>A0192223</v>
      </c>
      <c r="D492" t="s">
        <v>2313</v>
      </c>
      <c r="E492" t="s">
        <v>2314</v>
      </c>
      <c r="F492" t="s">
        <v>2315</v>
      </c>
      <c r="G492" t="s">
        <v>65</v>
      </c>
      <c r="H492">
        <v>43566</v>
      </c>
      <c r="I492" t="s">
        <v>30</v>
      </c>
      <c r="J492" t="s">
        <v>41</v>
      </c>
      <c r="K492" t="s">
        <v>59</v>
      </c>
      <c r="Q492">
        <v>0</v>
      </c>
      <c r="R492">
        <v>0</v>
      </c>
      <c r="S492">
        <v>90</v>
      </c>
      <c r="T492" t="s">
        <v>2316</v>
      </c>
    </row>
    <row r="493" spans="1:20" customFormat="1" ht="15" x14ac:dyDescent="0.25">
      <c r="A493" t="s">
        <v>35</v>
      </c>
      <c r="B493" t="s">
        <v>2296</v>
      </c>
      <c r="C493" t="str">
        <f>"A0192222"</f>
        <v>A0192222</v>
      </c>
      <c r="D493" t="s">
        <v>2317</v>
      </c>
      <c r="E493" t="s">
        <v>2318</v>
      </c>
      <c r="F493" t="s">
        <v>2307</v>
      </c>
      <c r="G493" t="s">
        <v>65</v>
      </c>
      <c r="H493">
        <v>44103</v>
      </c>
      <c r="I493" t="s">
        <v>30</v>
      </c>
      <c r="J493" t="s">
        <v>41</v>
      </c>
      <c r="K493" t="s">
        <v>59</v>
      </c>
      <c r="Q493">
        <v>0</v>
      </c>
      <c r="R493">
        <v>0</v>
      </c>
      <c r="S493">
        <v>150</v>
      </c>
      <c r="T493" t="s">
        <v>2319</v>
      </c>
    </row>
    <row r="494" spans="1:20" customFormat="1" ht="15" x14ac:dyDescent="0.25">
      <c r="A494" t="s">
        <v>35</v>
      </c>
      <c r="B494" t="s">
        <v>2296</v>
      </c>
      <c r="C494" t="str">
        <f>"A0192221"</f>
        <v>A0192221</v>
      </c>
      <c r="D494" t="s">
        <v>2320</v>
      </c>
      <c r="E494" t="s">
        <v>2321</v>
      </c>
      <c r="F494" t="s">
        <v>2307</v>
      </c>
      <c r="G494" t="s">
        <v>65</v>
      </c>
      <c r="H494">
        <v>44112</v>
      </c>
      <c r="I494" t="s">
        <v>30</v>
      </c>
      <c r="J494" t="s">
        <v>41</v>
      </c>
      <c r="K494" t="s">
        <v>59</v>
      </c>
      <c r="Q494">
        <v>0</v>
      </c>
      <c r="R494">
        <v>0</v>
      </c>
      <c r="S494">
        <v>130</v>
      </c>
      <c r="T494" t="s">
        <v>2322</v>
      </c>
    </row>
    <row r="495" spans="1:20" customFormat="1" ht="15" x14ac:dyDescent="0.25">
      <c r="A495" t="s">
        <v>35</v>
      </c>
      <c r="B495" t="s">
        <v>2296</v>
      </c>
      <c r="C495" t="str">
        <f>"A0192220"</f>
        <v>A0192220</v>
      </c>
      <c r="D495" t="s">
        <v>2323</v>
      </c>
      <c r="E495" t="s">
        <v>2324</v>
      </c>
      <c r="F495" t="s">
        <v>2325</v>
      </c>
      <c r="G495" t="s">
        <v>65</v>
      </c>
      <c r="H495">
        <v>44017</v>
      </c>
      <c r="I495" t="s">
        <v>30</v>
      </c>
      <c r="J495" t="s">
        <v>41</v>
      </c>
      <c r="K495" t="s">
        <v>59</v>
      </c>
      <c r="Q495">
        <v>0</v>
      </c>
      <c r="R495">
        <v>0</v>
      </c>
      <c r="S495">
        <v>165</v>
      </c>
      <c r="T495" t="s">
        <v>2326</v>
      </c>
    </row>
    <row r="496" spans="1:20" customFormat="1" ht="15" x14ac:dyDescent="0.25">
      <c r="A496" t="s">
        <v>35</v>
      </c>
      <c r="B496" t="s">
        <v>2327</v>
      </c>
      <c r="C496" t="str">
        <f>"A0192219"</f>
        <v>A0192219</v>
      </c>
      <c r="D496" t="s">
        <v>2328</v>
      </c>
      <c r="E496" t="s">
        <v>2329</v>
      </c>
      <c r="F496" t="s">
        <v>2330</v>
      </c>
      <c r="G496" t="s">
        <v>81</v>
      </c>
      <c r="H496">
        <v>32176</v>
      </c>
      <c r="I496" t="s">
        <v>30</v>
      </c>
      <c r="J496" t="s">
        <v>41</v>
      </c>
      <c r="K496" t="s">
        <v>59</v>
      </c>
      <c r="Q496">
        <v>0</v>
      </c>
      <c r="R496">
        <v>0</v>
      </c>
      <c r="S496">
        <v>100</v>
      </c>
      <c r="T496" t="s">
        <v>2331</v>
      </c>
    </row>
    <row r="497" spans="1:20" customFormat="1" ht="15" x14ac:dyDescent="0.25">
      <c r="A497" t="s">
        <v>35</v>
      </c>
      <c r="B497" t="s">
        <v>2327</v>
      </c>
      <c r="C497" t="str">
        <f>"A0192218"</f>
        <v>A0192218</v>
      </c>
      <c r="D497" t="s">
        <v>2332</v>
      </c>
      <c r="E497" t="s">
        <v>2333</v>
      </c>
      <c r="F497" t="s">
        <v>2334</v>
      </c>
      <c r="G497" t="s">
        <v>81</v>
      </c>
      <c r="H497">
        <v>34474</v>
      </c>
      <c r="I497" t="s">
        <v>30</v>
      </c>
      <c r="J497" t="s">
        <v>41</v>
      </c>
      <c r="K497" t="s">
        <v>59</v>
      </c>
      <c r="Q497">
        <v>0</v>
      </c>
      <c r="R497">
        <v>0</v>
      </c>
      <c r="S497">
        <v>100</v>
      </c>
      <c r="T497" t="s">
        <v>2335</v>
      </c>
    </row>
    <row r="498" spans="1:20" customFormat="1" ht="15" x14ac:dyDescent="0.25">
      <c r="A498" t="s">
        <v>35</v>
      </c>
      <c r="B498" t="s">
        <v>2327</v>
      </c>
      <c r="C498" t="str">
        <f>"A0192217"</f>
        <v>A0192217</v>
      </c>
      <c r="D498" t="s">
        <v>2336</v>
      </c>
      <c r="E498" t="s">
        <v>2337</v>
      </c>
      <c r="F498" t="s">
        <v>2338</v>
      </c>
      <c r="G498" t="s">
        <v>81</v>
      </c>
      <c r="H498">
        <v>34205</v>
      </c>
      <c r="I498" t="s">
        <v>30</v>
      </c>
      <c r="J498" t="s">
        <v>41</v>
      </c>
      <c r="K498" t="s">
        <v>482</v>
      </c>
      <c r="Q498">
        <v>0</v>
      </c>
      <c r="R498">
        <v>0</v>
      </c>
      <c r="S498">
        <v>76</v>
      </c>
      <c r="T498" t="s">
        <v>2339</v>
      </c>
    </row>
    <row r="499" spans="1:20" customFormat="1" ht="15" x14ac:dyDescent="0.25">
      <c r="A499" t="s">
        <v>24</v>
      </c>
      <c r="B499" t="s">
        <v>2340</v>
      </c>
      <c r="C499" t="str">
        <f>"A0192206"</f>
        <v>A0192206</v>
      </c>
      <c r="D499" t="s">
        <v>2341</v>
      </c>
      <c r="E499" t="s">
        <v>2342</v>
      </c>
      <c r="F499" t="s">
        <v>1320</v>
      </c>
      <c r="G499" t="s">
        <v>103</v>
      </c>
      <c r="H499">
        <v>17603</v>
      </c>
      <c r="I499" t="s">
        <v>30</v>
      </c>
      <c r="J499" t="s">
        <v>145</v>
      </c>
      <c r="K499" t="s">
        <v>163</v>
      </c>
      <c r="N499" t="s">
        <v>2343</v>
      </c>
      <c r="Q499">
        <v>0</v>
      </c>
      <c r="R499">
        <v>38</v>
      </c>
      <c r="S499">
        <v>0</v>
      </c>
      <c r="T499" t="s">
        <v>2344</v>
      </c>
    </row>
    <row r="500" spans="1:20" customFormat="1" ht="15" x14ac:dyDescent="0.25">
      <c r="A500" t="s">
        <v>35</v>
      </c>
      <c r="B500" t="s">
        <v>2345</v>
      </c>
      <c r="C500" t="str">
        <f>"A0125897"</f>
        <v>A0125897</v>
      </c>
      <c r="D500" t="s">
        <v>2346</v>
      </c>
      <c r="E500" t="s">
        <v>2347</v>
      </c>
      <c r="F500" t="s">
        <v>1948</v>
      </c>
      <c r="G500" t="s">
        <v>338</v>
      </c>
      <c r="H500">
        <v>8701</v>
      </c>
      <c r="I500" t="s">
        <v>30</v>
      </c>
      <c r="J500" t="s">
        <v>41</v>
      </c>
      <c r="K500" t="s">
        <v>59</v>
      </c>
      <c r="Q500">
        <v>0</v>
      </c>
      <c r="R500">
        <v>120</v>
      </c>
      <c r="S500">
        <v>120</v>
      </c>
      <c r="T500" t="s">
        <v>2348</v>
      </c>
    </row>
    <row r="501" spans="1:20" customFormat="1" ht="15" x14ac:dyDescent="0.25">
      <c r="A501" t="s">
        <v>24</v>
      </c>
      <c r="B501" t="s">
        <v>2349</v>
      </c>
      <c r="C501" t="str">
        <f>"A0179998"</f>
        <v>A0179998</v>
      </c>
      <c r="D501" t="s">
        <v>2350</v>
      </c>
      <c r="E501" t="s">
        <v>2351</v>
      </c>
      <c r="F501" t="s">
        <v>2352</v>
      </c>
      <c r="G501" t="s">
        <v>840</v>
      </c>
      <c r="H501">
        <v>41042</v>
      </c>
      <c r="I501" t="s">
        <v>30</v>
      </c>
      <c r="J501" t="s">
        <v>31</v>
      </c>
      <c r="K501" t="s">
        <v>32</v>
      </c>
      <c r="N501" t="s">
        <v>2353</v>
      </c>
      <c r="Q501">
        <v>0</v>
      </c>
      <c r="R501">
        <v>93</v>
      </c>
      <c r="S501">
        <v>0</v>
      </c>
      <c r="T501" t="s">
        <v>2354</v>
      </c>
    </row>
    <row r="502" spans="1:20" customFormat="1" ht="15" x14ac:dyDescent="0.25">
      <c r="A502" t="s">
        <v>24</v>
      </c>
      <c r="B502" t="s">
        <v>1849</v>
      </c>
      <c r="C502" t="str">
        <f>"A0166089"</f>
        <v>A0166089</v>
      </c>
      <c r="D502" t="s">
        <v>6341</v>
      </c>
      <c r="E502" t="s">
        <v>6342</v>
      </c>
      <c r="F502" t="s">
        <v>5615</v>
      </c>
      <c r="G502" t="s">
        <v>117</v>
      </c>
      <c r="H502">
        <v>48174</v>
      </c>
      <c r="I502" t="s">
        <v>30</v>
      </c>
      <c r="J502" t="s">
        <v>162</v>
      </c>
      <c r="K502" t="s">
        <v>854</v>
      </c>
      <c r="N502" t="s">
        <v>6343</v>
      </c>
      <c r="O502" t="s">
        <v>6344</v>
      </c>
      <c r="Q502">
        <v>0</v>
      </c>
      <c r="R502">
        <v>143</v>
      </c>
      <c r="S502">
        <v>0</v>
      </c>
      <c r="T502" t="s">
        <v>6345</v>
      </c>
    </row>
    <row r="503" spans="1:20" customFormat="1" ht="15" x14ac:dyDescent="0.25">
      <c r="A503" t="s">
        <v>24</v>
      </c>
      <c r="B503" t="s">
        <v>2360</v>
      </c>
      <c r="C503" t="str">
        <f>"A0052970"</f>
        <v>A0052970</v>
      </c>
      <c r="D503" t="s">
        <v>2361</v>
      </c>
      <c r="E503" t="s">
        <v>2362</v>
      </c>
      <c r="F503" t="s">
        <v>2363</v>
      </c>
      <c r="G503" t="s">
        <v>161</v>
      </c>
      <c r="H503">
        <v>55110</v>
      </c>
      <c r="I503" t="s">
        <v>30</v>
      </c>
      <c r="J503" t="s">
        <v>178</v>
      </c>
      <c r="K503" t="s">
        <v>2364</v>
      </c>
      <c r="N503" t="s">
        <v>2365</v>
      </c>
      <c r="O503" t="s">
        <v>2366</v>
      </c>
      <c r="Q503">
        <v>0</v>
      </c>
      <c r="R503">
        <v>0</v>
      </c>
      <c r="S503">
        <v>0</v>
      </c>
      <c r="T503" t="s">
        <v>2367</v>
      </c>
    </row>
    <row r="504" spans="1:20" customFormat="1" ht="15" x14ac:dyDescent="0.25">
      <c r="A504" t="s">
        <v>24</v>
      </c>
      <c r="B504" t="s">
        <v>2368</v>
      </c>
      <c r="C504" t="str">
        <f>"A0192204"</f>
        <v>A0192204</v>
      </c>
      <c r="D504" t="s">
        <v>2369</v>
      </c>
      <c r="E504" t="s">
        <v>2370</v>
      </c>
      <c r="F504" t="s">
        <v>808</v>
      </c>
      <c r="G504" t="s">
        <v>110</v>
      </c>
      <c r="H504">
        <v>92614</v>
      </c>
      <c r="I504" t="s">
        <v>30</v>
      </c>
      <c r="J504" t="s">
        <v>31</v>
      </c>
      <c r="K504" t="s">
        <v>1890</v>
      </c>
      <c r="N504" t="s">
        <v>2371</v>
      </c>
      <c r="Q504">
        <v>0</v>
      </c>
      <c r="R504">
        <v>124</v>
      </c>
      <c r="S504">
        <v>0</v>
      </c>
      <c r="T504" t="s">
        <v>2372</v>
      </c>
    </row>
    <row r="505" spans="1:20" customFormat="1" ht="15" x14ac:dyDescent="0.25">
      <c r="A505" t="s">
        <v>24</v>
      </c>
      <c r="B505" t="s">
        <v>6363</v>
      </c>
      <c r="C505" t="str">
        <f>"A0186386"</f>
        <v>A0186386</v>
      </c>
      <c r="D505" t="s">
        <v>6364</v>
      </c>
      <c r="E505" t="s">
        <v>6365</v>
      </c>
      <c r="F505" t="s">
        <v>2971</v>
      </c>
      <c r="G505" t="s">
        <v>880</v>
      </c>
      <c r="H505">
        <v>37203</v>
      </c>
      <c r="I505" t="s">
        <v>30</v>
      </c>
      <c r="J505" t="s">
        <v>162</v>
      </c>
      <c r="K505" t="s">
        <v>6366</v>
      </c>
      <c r="N505" t="s">
        <v>6367</v>
      </c>
      <c r="Q505">
        <v>0</v>
      </c>
      <c r="R505">
        <v>234</v>
      </c>
      <c r="S505">
        <v>0</v>
      </c>
      <c r="T505" t="s">
        <v>192</v>
      </c>
    </row>
    <row r="506" spans="1:20" customFormat="1" ht="15" x14ac:dyDescent="0.25">
      <c r="A506" t="s">
        <v>24</v>
      </c>
      <c r="B506" t="s">
        <v>1849</v>
      </c>
      <c r="C506" t="str">
        <f>"A0056718"</f>
        <v>A0056718</v>
      </c>
      <c r="D506" t="s">
        <v>6384</v>
      </c>
      <c r="E506" t="s">
        <v>6385</v>
      </c>
      <c r="F506" t="s">
        <v>6348</v>
      </c>
      <c r="G506" t="s">
        <v>117</v>
      </c>
      <c r="H506">
        <v>48152</v>
      </c>
      <c r="I506" t="s">
        <v>30</v>
      </c>
      <c r="J506" t="s">
        <v>162</v>
      </c>
      <c r="K506" t="s">
        <v>854</v>
      </c>
      <c r="N506" t="s">
        <v>6386</v>
      </c>
      <c r="O506" t="s">
        <v>6339</v>
      </c>
      <c r="Q506">
        <v>0</v>
      </c>
      <c r="R506">
        <v>141</v>
      </c>
      <c r="S506">
        <v>0</v>
      </c>
      <c r="T506" t="s">
        <v>1854</v>
      </c>
    </row>
    <row r="507" spans="1:20" customFormat="1" ht="15" x14ac:dyDescent="0.25">
      <c r="A507" t="s">
        <v>24</v>
      </c>
      <c r="B507" t="s">
        <v>2387</v>
      </c>
      <c r="C507" t="str">
        <f>"A0192000"</f>
        <v>A0192000</v>
      </c>
      <c r="D507" t="s">
        <v>2388</v>
      </c>
      <c r="E507" t="s">
        <v>2389</v>
      </c>
      <c r="F507" t="s">
        <v>2390</v>
      </c>
      <c r="G507" t="s">
        <v>2391</v>
      </c>
      <c r="H507">
        <v>5403</v>
      </c>
      <c r="I507" t="s">
        <v>30</v>
      </c>
      <c r="J507" t="s">
        <v>31</v>
      </c>
      <c r="K507" t="s">
        <v>321</v>
      </c>
      <c r="N507" t="s">
        <v>2392</v>
      </c>
      <c r="Q507">
        <v>0</v>
      </c>
      <c r="R507">
        <v>104</v>
      </c>
      <c r="S507">
        <v>0</v>
      </c>
      <c r="T507" t="s">
        <v>2393</v>
      </c>
    </row>
    <row r="508" spans="1:20" customFormat="1" ht="15" x14ac:dyDescent="0.25">
      <c r="A508" t="s">
        <v>24</v>
      </c>
      <c r="B508" t="s">
        <v>2387</v>
      </c>
      <c r="C508" t="str">
        <f>"A0192001"</f>
        <v>A0192001</v>
      </c>
      <c r="D508" t="s">
        <v>2394</v>
      </c>
      <c r="E508" t="s">
        <v>2395</v>
      </c>
      <c r="F508" t="s">
        <v>2396</v>
      </c>
      <c r="G508" t="s">
        <v>2391</v>
      </c>
      <c r="H508">
        <v>5478</v>
      </c>
      <c r="I508" t="s">
        <v>30</v>
      </c>
      <c r="J508" t="s">
        <v>31</v>
      </c>
      <c r="K508" t="s">
        <v>321</v>
      </c>
      <c r="N508" t="s">
        <v>2397</v>
      </c>
      <c r="Q508">
        <v>0</v>
      </c>
      <c r="R508">
        <v>81</v>
      </c>
      <c r="S508">
        <v>0</v>
      </c>
      <c r="T508" t="s">
        <v>2398</v>
      </c>
    </row>
    <row r="509" spans="1:20" customFormat="1" ht="15" x14ac:dyDescent="0.25">
      <c r="A509" t="s">
        <v>24</v>
      </c>
      <c r="B509" t="s">
        <v>2340</v>
      </c>
      <c r="C509" t="str">
        <f>"A0192198"</f>
        <v>A0192198</v>
      </c>
      <c r="D509" t="s">
        <v>2399</v>
      </c>
      <c r="E509" t="s">
        <v>2400</v>
      </c>
      <c r="F509" t="s">
        <v>2401</v>
      </c>
      <c r="G509" t="s">
        <v>123</v>
      </c>
      <c r="H509">
        <v>20878</v>
      </c>
      <c r="I509" t="s">
        <v>30</v>
      </c>
      <c r="J509" t="s">
        <v>145</v>
      </c>
      <c r="K509" t="s">
        <v>154</v>
      </c>
      <c r="N509" t="s">
        <v>2402</v>
      </c>
      <c r="Q509">
        <v>0</v>
      </c>
      <c r="R509">
        <v>70</v>
      </c>
      <c r="S509">
        <v>0</v>
      </c>
      <c r="T509" t="s">
        <v>2403</v>
      </c>
    </row>
    <row r="510" spans="1:20" hidden="1" x14ac:dyDescent="0.25">
      <c r="A510" s="3" t="s">
        <v>24</v>
      </c>
      <c r="B510" s="3" t="s">
        <v>1583</v>
      </c>
      <c r="C510" s="3" t="str">
        <f>"A0192199"</f>
        <v>A0192199</v>
      </c>
      <c r="D510" s="3" t="s">
        <v>2404</v>
      </c>
      <c r="E510" s="3" t="s">
        <v>2405</v>
      </c>
      <c r="F510" s="3" t="s">
        <v>2406</v>
      </c>
      <c r="G510" s="3" t="s">
        <v>2407</v>
      </c>
      <c r="H510" s="3">
        <v>23410</v>
      </c>
      <c r="I510" s="3" t="s">
        <v>2408</v>
      </c>
      <c r="J510" s="3" t="s">
        <v>206</v>
      </c>
      <c r="K510" s="3" t="s">
        <v>163</v>
      </c>
      <c r="N510" s="3" t="s">
        <v>2409</v>
      </c>
      <c r="Q510" s="3">
        <v>0</v>
      </c>
      <c r="R510" s="3">
        <v>108</v>
      </c>
      <c r="S510" s="3">
        <v>0</v>
      </c>
      <c r="T510" s="3" t="s">
        <v>2410</v>
      </c>
    </row>
    <row r="511" spans="1:20" customFormat="1" ht="15" x14ac:dyDescent="0.25">
      <c r="A511" t="s">
        <v>24</v>
      </c>
      <c r="B511" t="s">
        <v>2411</v>
      </c>
      <c r="C511" t="str">
        <f>"A0049655"</f>
        <v>A0049655</v>
      </c>
      <c r="D511" t="s">
        <v>2412</v>
      </c>
      <c r="E511" t="s">
        <v>2413</v>
      </c>
      <c r="F511" t="s">
        <v>2414</v>
      </c>
      <c r="G511" t="s">
        <v>29</v>
      </c>
      <c r="H511">
        <v>20124</v>
      </c>
      <c r="I511" t="s">
        <v>30</v>
      </c>
      <c r="J511" t="s">
        <v>2415</v>
      </c>
      <c r="K511" t="s">
        <v>179</v>
      </c>
      <c r="N511" t="s">
        <v>2416</v>
      </c>
      <c r="Q511">
        <v>1</v>
      </c>
      <c r="R511">
        <v>0</v>
      </c>
      <c r="S511">
        <v>0</v>
      </c>
      <c r="T511" t="s">
        <v>2417</v>
      </c>
    </row>
    <row r="512" spans="1:20" customFormat="1" ht="15" x14ac:dyDescent="0.25">
      <c r="A512" t="s">
        <v>24</v>
      </c>
      <c r="B512" t="s">
        <v>193</v>
      </c>
      <c r="C512" t="str">
        <f>"A0096003"</f>
        <v>A0096003</v>
      </c>
      <c r="D512" t="s">
        <v>2418</v>
      </c>
      <c r="E512" t="s">
        <v>2419</v>
      </c>
      <c r="F512" t="s">
        <v>2420</v>
      </c>
      <c r="G512" t="s">
        <v>65</v>
      </c>
      <c r="H512">
        <v>44240</v>
      </c>
      <c r="I512" t="s">
        <v>30</v>
      </c>
      <c r="J512" t="s">
        <v>31</v>
      </c>
      <c r="K512" t="s">
        <v>198</v>
      </c>
      <c r="N512" t="s">
        <v>2421</v>
      </c>
      <c r="Q512">
        <v>0</v>
      </c>
      <c r="R512">
        <v>76</v>
      </c>
      <c r="S512">
        <v>0</v>
      </c>
      <c r="T512" t="s">
        <v>2422</v>
      </c>
    </row>
    <row r="513" spans="1:25" customFormat="1" ht="15" x14ac:dyDescent="0.25">
      <c r="A513" t="s">
        <v>35</v>
      </c>
      <c r="B513" t="s">
        <v>61</v>
      </c>
      <c r="C513" t="str">
        <f>"A0125974"</f>
        <v>A0125974</v>
      </c>
      <c r="D513" t="s">
        <v>2423</v>
      </c>
      <c r="E513" t="s">
        <v>2424</v>
      </c>
      <c r="F513" t="s">
        <v>2425</v>
      </c>
      <c r="G513" t="s">
        <v>29</v>
      </c>
      <c r="H513">
        <v>24112</v>
      </c>
      <c r="I513" t="s">
        <v>30</v>
      </c>
      <c r="J513" t="s">
        <v>41</v>
      </c>
      <c r="K513" t="s">
        <v>482</v>
      </c>
      <c r="Q513">
        <v>0</v>
      </c>
      <c r="R513">
        <v>30</v>
      </c>
      <c r="S513">
        <v>30</v>
      </c>
      <c r="T513" t="s">
        <v>2426</v>
      </c>
    </row>
    <row r="514" spans="1:25" customFormat="1" ht="15" x14ac:dyDescent="0.25">
      <c r="A514" t="s">
        <v>35</v>
      </c>
      <c r="B514" t="s">
        <v>61</v>
      </c>
      <c r="C514" t="str">
        <f>"A0123050"</f>
        <v>A0123050</v>
      </c>
      <c r="D514" t="s">
        <v>2427</v>
      </c>
      <c r="E514" t="s">
        <v>2428</v>
      </c>
      <c r="F514" t="s">
        <v>2429</v>
      </c>
      <c r="G514" t="s">
        <v>76</v>
      </c>
      <c r="H514">
        <v>99169</v>
      </c>
      <c r="I514" t="s">
        <v>30</v>
      </c>
      <c r="J514" t="s">
        <v>41</v>
      </c>
      <c r="K514" t="s">
        <v>59</v>
      </c>
      <c r="Q514">
        <v>0</v>
      </c>
      <c r="R514">
        <v>26</v>
      </c>
      <c r="S514">
        <v>26</v>
      </c>
      <c r="T514" t="s">
        <v>2430</v>
      </c>
    </row>
    <row r="515" spans="1:25" customFormat="1" ht="15" x14ac:dyDescent="0.25">
      <c r="A515" t="s">
        <v>35</v>
      </c>
      <c r="B515" t="s">
        <v>61</v>
      </c>
      <c r="C515" t="str">
        <f>"A0130900"</f>
        <v>A0130900</v>
      </c>
      <c r="D515" t="s">
        <v>2431</v>
      </c>
      <c r="E515" t="s">
        <v>2432</v>
      </c>
      <c r="F515" t="s">
        <v>2433</v>
      </c>
      <c r="G515" t="s">
        <v>137</v>
      </c>
      <c r="H515">
        <v>640580000</v>
      </c>
      <c r="I515" t="s">
        <v>30</v>
      </c>
      <c r="J515" t="s">
        <v>41</v>
      </c>
      <c r="K515" t="s">
        <v>59</v>
      </c>
      <c r="Q515">
        <v>0</v>
      </c>
      <c r="R515">
        <v>44</v>
      </c>
      <c r="S515">
        <v>44</v>
      </c>
      <c r="T515" t="s">
        <v>2434</v>
      </c>
    </row>
    <row r="516" spans="1:25" customFormat="1" ht="15" x14ac:dyDescent="0.25">
      <c r="A516" t="s">
        <v>24</v>
      </c>
      <c r="B516" t="s">
        <v>2435</v>
      </c>
      <c r="C516" t="str">
        <f>"A0092212"</f>
        <v>A0092212</v>
      </c>
      <c r="D516" t="s">
        <v>2436</v>
      </c>
      <c r="E516" t="s">
        <v>2437</v>
      </c>
      <c r="F516" t="s">
        <v>2438</v>
      </c>
      <c r="G516" t="s">
        <v>528</v>
      </c>
      <c r="H516">
        <v>19971</v>
      </c>
      <c r="I516" t="s">
        <v>30</v>
      </c>
      <c r="J516" t="s">
        <v>31</v>
      </c>
      <c r="K516" t="s">
        <v>163</v>
      </c>
      <c r="N516" t="s">
        <v>2439</v>
      </c>
      <c r="Q516">
        <v>0</v>
      </c>
      <c r="R516">
        <v>47</v>
      </c>
      <c r="S516">
        <v>0</v>
      </c>
      <c r="T516" t="s">
        <v>2440</v>
      </c>
    </row>
    <row r="517" spans="1:25" customFormat="1" ht="15" x14ac:dyDescent="0.25">
      <c r="A517" t="s">
        <v>24</v>
      </c>
      <c r="B517" t="s">
        <v>140</v>
      </c>
      <c r="C517" t="str">
        <f>"A0087977"</f>
        <v>A0087977</v>
      </c>
      <c r="D517" t="s">
        <v>2441</v>
      </c>
      <c r="E517" t="s">
        <v>2442</v>
      </c>
      <c r="F517" t="s">
        <v>2443</v>
      </c>
      <c r="G517" t="s">
        <v>81</v>
      </c>
      <c r="H517">
        <v>32218</v>
      </c>
      <c r="I517" t="s">
        <v>30</v>
      </c>
      <c r="J517" t="s">
        <v>31</v>
      </c>
      <c r="K517" t="s">
        <v>277</v>
      </c>
      <c r="N517" t="s">
        <v>2444</v>
      </c>
      <c r="O517" t="s">
        <v>2445</v>
      </c>
      <c r="Q517">
        <v>0</v>
      </c>
      <c r="R517">
        <v>136</v>
      </c>
      <c r="S517">
        <v>0</v>
      </c>
      <c r="T517" t="s">
        <v>2446</v>
      </c>
    </row>
    <row r="518" spans="1:25" customFormat="1" ht="15" x14ac:dyDescent="0.25">
      <c r="A518" t="s">
        <v>35</v>
      </c>
      <c r="B518" t="s">
        <v>36</v>
      </c>
      <c r="C518" t="str">
        <f>"A0192194"</f>
        <v>A0192194</v>
      </c>
      <c r="D518" t="s">
        <v>2447</v>
      </c>
      <c r="E518" t="s">
        <v>2448</v>
      </c>
      <c r="F518" t="s">
        <v>2449</v>
      </c>
      <c r="G518" t="s">
        <v>2450</v>
      </c>
      <c r="H518">
        <v>4022</v>
      </c>
      <c r="I518" t="s">
        <v>30</v>
      </c>
      <c r="J518" t="s">
        <v>41</v>
      </c>
      <c r="K518" t="s">
        <v>42</v>
      </c>
      <c r="Q518">
        <v>0</v>
      </c>
      <c r="R518">
        <v>0</v>
      </c>
      <c r="S518">
        <v>0</v>
      </c>
      <c r="T518" t="s">
        <v>2451</v>
      </c>
    </row>
    <row r="519" spans="1:25" customFormat="1" ht="15" x14ac:dyDescent="0.25">
      <c r="A519" t="s">
        <v>35</v>
      </c>
      <c r="B519" t="s">
        <v>2452</v>
      </c>
      <c r="C519" t="str">
        <f>"A0192193"</f>
        <v>A0192193</v>
      </c>
      <c r="D519" t="s">
        <v>2453</v>
      </c>
      <c r="E519" t="s">
        <v>2454</v>
      </c>
      <c r="F519" t="s">
        <v>1977</v>
      </c>
      <c r="G519" t="s">
        <v>161</v>
      </c>
      <c r="H519">
        <v>55117</v>
      </c>
      <c r="I519" t="s">
        <v>30</v>
      </c>
      <c r="J519" t="s">
        <v>41</v>
      </c>
      <c r="K519" t="s">
        <v>131</v>
      </c>
      <c r="Q519">
        <v>0</v>
      </c>
      <c r="R519">
        <v>0</v>
      </c>
      <c r="S519">
        <v>4</v>
      </c>
      <c r="T519" t="s">
        <v>72</v>
      </c>
    </row>
    <row r="520" spans="1:25" customFormat="1" ht="15" x14ac:dyDescent="0.25">
      <c r="A520" t="s">
        <v>35</v>
      </c>
      <c r="B520" t="s">
        <v>437</v>
      </c>
      <c r="C520" t="str">
        <f>"A0192192"</f>
        <v>A0192192</v>
      </c>
      <c r="D520" t="s">
        <v>2455</v>
      </c>
      <c r="E520" t="s">
        <v>2456</v>
      </c>
      <c r="F520" t="s">
        <v>2457</v>
      </c>
      <c r="G520" t="s">
        <v>81</v>
      </c>
      <c r="H520">
        <v>32163</v>
      </c>
      <c r="I520" t="s">
        <v>30</v>
      </c>
      <c r="J520" t="s">
        <v>441</v>
      </c>
      <c r="K520" t="s">
        <v>2458</v>
      </c>
      <c r="Q520">
        <v>0</v>
      </c>
      <c r="R520">
        <v>0</v>
      </c>
      <c r="S520">
        <v>0</v>
      </c>
      <c r="T520" t="s">
        <v>2459</v>
      </c>
    </row>
    <row r="521" spans="1:25" customFormat="1" ht="15" x14ac:dyDescent="0.25">
      <c r="A521" t="s">
        <v>35</v>
      </c>
      <c r="B521" t="s">
        <v>61</v>
      </c>
      <c r="C521" t="str">
        <f>"A0192191"</f>
        <v>A0192191</v>
      </c>
      <c r="D521" t="s">
        <v>2460</v>
      </c>
      <c r="E521" t="s">
        <v>2461</v>
      </c>
      <c r="F521" t="s">
        <v>2462</v>
      </c>
      <c r="G521" t="s">
        <v>103</v>
      </c>
      <c r="H521">
        <v>19018</v>
      </c>
      <c r="I521" t="s">
        <v>30</v>
      </c>
      <c r="J521" t="s">
        <v>41</v>
      </c>
      <c r="K521" t="s">
        <v>2463</v>
      </c>
      <c r="Q521">
        <v>0</v>
      </c>
      <c r="R521">
        <v>0</v>
      </c>
      <c r="S521">
        <v>0</v>
      </c>
      <c r="T521" t="s">
        <v>2464</v>
      </c>
    </row>
    <row r="522" spans="1:25" customFormat="1" ht="15" x14ac:dyDescent="0.25">
      <c r="A522" t="s">
        <v>35</v>
      </c>
      <c r="B522" t="s">
        <v>61</v>
      </c>
      <c r="C522" t="str">
        <f>"A0192190"</f>
        <v>A0192190</v>
      </c>
      <c r="D522" t="s">
        <v>2465</v>
      </c>
      <c r="E522" t="s">
        <v>2466</v>
      </c>
      <c r="F522" t="s">
        <v>2467</v>
      </c>
      <c r="G522" t="s">
        <v>85</v>
      </c>
      <c r="H522">
        <v>71901</v>
      </c>
      <c r="I522" t="s">
        <v>30</v>
      </c>
      <c r="J522" t="s">
        <v>41</v>
      </c>
      <c r="K522" t="s">
        <v>2468</v>
      </c>
      <c r="Q522">
        <v>0</v>
      </c>
      <c r="R522">
        <v>0</v>
      </c>
      <c r="S522">
        <v>53</v>
      </c>
      <c r="T522" t="s">
        <v>2469</v>
      </c>
    </row>
    <row r="523" spans="1:25" customFormat="1" ht="15" x14ac:dyDescent="0.25">
      <c r="A523" t="s">
        <v>35</v>
      </c>
      <c r="B523" t="s">
        <v>1274</v>
      </c>
      <c r="C523" t="str">
        <f>"A0192189"</f>
        <v>A0192189</v>
      </c>
      <c r="D523" t="s">
        <v>2470</v>
      </c>
      <c r="E523" t="s">
        <v>2471</v>
      </c>
      <c r="F523" t="s">
        <v>2472</v>
      </c>
      <c r="G523" t="s">
        <v>197</v>
      </c>
      <c r="H523">
        <v>85323</v>
      </c>
      <c r="I523" t="s">
        <v>30</v>
      </c>
      <c r="J523" t="s">
        <v>41</v>
      </c>
      <c r="K523" t="s">
        <v>229</v>
      </c>
      <c r="Q523">
        <v>0</v>
      </c>
      <c r="R523">
        <v>0</v>
      </c>
      <c r="S523">
        <v>0</v>
      </c>
      <c r="T523" t="s">
        <v>2473</v>
      </c>
    </row>
    <row r="524" spans="1:25" customFormat="1" ht="15" x14ac:dyDescent="0.25">
      <c r="A524" t="s">
        <v>35</v>
      </c>
      <c r="B524" t="s">
        <v>918</v>
      </c>
      <c r="C524" t="str">
        <f>"A0192188"</f>
        <v>A0192188</v>
      </c>
      <c r="D524" t="s">
        <v>2474</v>
      </c>
      <c r="E524" t="s">
        <v>2475</v>
      </c>
      <c r="F524" t="s">
        <v>2476</v>
      </c>
      <c r="G524" t="s">
        <v>161</v>
      </c>
      <c r="H524">
        <v>55021</v>
      </c>
      <c r="I524" t="s">
        <v>30</v>
      </c>
      <c r="J524" t="s">
        <v>41</v>
      </c>
      <c r="K524" t="s">
        <v>2477</v>
      </c>
      <c r="Q524">
        <v>0</v>
      </c>
      <c r="R524">
        <v>0</v>
      </c>
      <c r="S524">
        <v>68</v>
      </c>
      <c r="T524" t="s">
        <v>72</v>
      </c>
    </row>
    <row r="525" spans="1:25" customFormat="1" ht="15" x14ac:dyDescent="0.25">
      <c r="A525" t="s">
        <v>35</v>
      </c>
      <c r="B525" t="s">
        <v>918</v>
      </c>
      <c r="C525" t="str">
        <f>"A0192187"</f>
        <v>A0192187</v>
      </c>
      <c r="D525" t="s">
        <v>2478</v>
      </c>
      <c r="E525" t="s">
        <v>2479</v>
      </c>
      <c r="F525" t="s">
        <v>2480</v>
      </c>
      <c r="G525" t="s">
        <v>161</v>
      </c>
      <c r="H525">
        <v>55021</v>
      </c>
      <c r="I525" t="s">
        <v>30</v>
      </c>
      <c r="J525" t="s">
        <v>41</v>
      </c>
      <c r="K525" t="s">
        <v>2477</v>
      </c>
      <c r="Q525">
        <v>0</v>
      </c>
      <c r="R525">
        <v>0</v>
      </c>
      <c r="S525">
        <v>8</v>
      </c>
      <c r="T525" t="s">
        <v>72</v>
      </c>
    </row>
    <row r="526" spans="1:25" customFormat="1" ht="15" x14ac:dyDescent="0.25">
      <c r="A526" t="s">
        <v>35</v>
      </c>
      <c r="B526" t="s">
        <v>935</v>
      </c>
      <c r="C526" t="str">
        <f>"A0192186"</f>
        <v>A0192186</v>
      </c>
      <c r="D526" t="s">
        <v>2481</v>
      </c>
      <c r="E526" t="s">
        <v>2482</v>
      </c>
      <c r="F526" t="s">
        <v>2483</v>
      </c>
      <c r="G526" t="s">
        <v>433</v>
      </c>
      <c r="H526">
        <v>83403</v>
      </c>
      <c r="I526" t="s">
        <v>30</v>
      </c>
      <c r="J526" t="s">
        <v>41</v>
      </c>
      <c r="K526" t="s">
        <v>229</v>
      </c>
      <c r="Q526">
        <v>0</v>
      </c>
      <c r="R526">
        <v>0</v>
      </c>
      <c r="S526">
        <v>88</v>
      </c>
      <c r="T526" t="s">
        <v>2484</v>
      </c>
    </row>
    <row r="527" spans="1:25" customFormat="1" ht="15" x14ac:dyDescent="0.25">
      <c r="A527" t="s">
        <v>24</v>
      </c>
      <c r="B527" t="s">
        <v>2485</v>
      </c>
      <c r="C527" t="str">
        <f>"A0191404"</f>
        <v>A0191404</v>
      </c>
      <c r="D527" t="s">
        <v>2486</v>
      </c>
      <c r="E527" t="s">
        <v>2487</v>
      </c>
      <c r="F527" t="s">
        <v>2488</v>
      </c>
      <c r="G527" t="s">
        <v>110</v>
      </c>
      <c r="H527">
        <v>95023</v>
      </c>
      <c r="I527" t="s">
        <v>30</v>
      </c>
      <c r="J527" t="s">
        <v>31</v>
      </c>
      <c r="K527" t="s">
        <v>282</v>
      </c>
      <c r="Q527">
        <v>0</v>
      </c>
      <c r="R527">
        <v>93</v>
      </c>
      <c r="S527">
        <v>0</v>
      </c>
      <c r="T527" t="s">
        <v>2489</v>
      </c>
    </row>
    <row r="528" spans="1:25" x14ac:dyDescent="0.25">
      <c r="A528" s="5" t="s">
        <v>24</v>
      </c>
      <c r="B528" s="5" t="s">
        <v>805</v>
      </c>
      <c r="C528" s="5" t="str">
        <f>"A0190811"</f>
        <v>A0190811</v>
      </c>
      <c r="D528" s="5" t="s">
        <v>6402</v>
      </c>
      <c r="E528" s="5" t="s">
        <v>6403</v>
      </c>
      <c r="F528" s="5" t="s">
        <v>6404</v>
      </c>
      <c r="G528" s="5" t="s">
        <v>161</v>
      </c>
      <c r="H528" s="5">
        <v>55402</v>
      </c>
      <c r="I528" s="5" t="s">
        <v>30</v>
      </c>
      <c r="J528" s="5" t="s">
        <v>162</v>
      </c>
      <c r="K528" s="5" t="s">
        <v>6405</v>
      </c>
      <c r="L528" s="5"/>
      <c r="M528" s="5"/>
      <c r="N528" s="5"/>
      <c r="O528" s="5"/>
      <c r="P528" s="5"/>
      <c r="Q528" s="5">
        <v>0</v>
      </c>
      <c r="R528" s="5">
        <v>360</v>
      </c>
      <c r="S528" s="5">
        <v>0</v>
      </c>
      <c r="T528" s="5" t="s">
        <v>6406</v>
      </c>
      <c r="U528" s="5"/>
      <c r="V528" s="5"/>
      <c r="W528" s="5"/>
      <c r="X528" s="5"/>
      <c r="Y528" s="5"/>
    </row>
    <row r="529" spans="1:20" customFormat="1" ht="15" x14ac:dyDescent="0.25">
      <c r="A529" t="s">
        <v>24</v>
      </c>
      <c r="B529" t="s">
        <v>193</v>
      </c>
      <c r="C529" t="str">
        <f>"A0064589"</f>
        <v>A0064589</v>
      </c>
      <c r="D529" t="s">
        <v>6411</v>
      </c>
      <c r="E529" t="s">
        <v>6412</v>
      </c>
      <c r="F529" t="s">
        <v>313</v>
      </c>
      <c r="G529" t="s">
        <v>314</v>
      </c>
      <c r="H529">
        <v>20008</v>
      </c>
      <c r="I529" t="s">
        <v>30</v>
      </c>
      <c r="J529" t="s">
        <v>162</v>
      </c>
      <c r="K529" t="s">
        <v>163</v>
      </c>
      <c r="N529" t="s">
        <v>6413</v>
      </c>
      <c r="O529" t="s">
        <v>6414</v>
      </c>
      <c r="Q529">
        <v>0</v>
      </c>
      <c r="R529">
        <v>1153</v>
      </c>
      <c r="S529">
        <v>0</v>
      </c>
      <c r="T529" t="s">
        <v>6415</v>
      </c>
    </row>
    <row r="530" spans="1:20" customFormat="1" ht="15" x14ac:dyDescent="0.25">
      <c r="A530" t="s">
        <v>24</v>
      </c>
      <c r="B530" t="s">
        <v>6463</v>
      </c>
      <c r="C530" t="str">
        <f>"A0154136"</f>
        <v>A0154136</v>
      </c>
      <c r="D530" t="s">
        <v>6464</v>
      </c>
      <c r="E530" t="s">
        <v>6465</v>
      </c>
      <c r="F530" t="s">
        <v>997</v>
      </c>
      <c r="G530" t="s">
        <v>99</v>
      </c>
      <c r="H530">
        <v>10016</v>
      </c>
      <c r="I530" t="s">
        <v>30</v>
      </c>
      <c r="J530" t="s">
        <v>162</v>
      </c>
      <c r="K530" t="s">
        <v>1845</v>
      </c>
      <c r="N530" t="s">
        <v>6466</v>
      </c>
      <c r="O530" t="s">
        <v>6467</v>
      </c>
      <c r="Q530">
        <v>0</v>
      </c>
      <c r="R530">
        <v>163</v>
      </c>
      <c r="S530">
        <v>0</v>
      </c>
      <c r="T530" t="s">
        <v>6468</v>
      </c>
    </row>
    <row r="531" spans="1:20" customFormat="1" ht="15" x14ac:dyDescent="0.25">
      <c r="A531" t="s">
        <v>24</v>
      </c>
      <c r="B531" t="s">
        <v>1008</v>
      </c>
      <c r="C531" t="str">
        <f>"88HM079"</f>
        <v>88HM079</v>
      </c>
      <c r="D531" t="s">
        <v>2504</v>
      </c>
      <c r="E531" t="s">
        <v>2505</v>
      </c>
      <c r="F531" t="s">
        <v>2506</v>
      </c>
      <c r="G531" t="s">
        <v>338</v>
      </c>
      <c r="H531">
        <v>7054</v>
      </c>
      <c r="I531" t="s">
        <v>30</v>
      </c>
      <c r="J531" t="s">
        <v>31</v>
      </c>
      <c r="K531" t="s">
        <v>32</v>
      </c>
      <c r="N531" t="s">
        <v>2507</v>
      </c>
      <c r="Q531">
        <v>0</v>
      </c>
      <c r="R531">
        <v>108</v>
      </c>
      <c r="S531">
        <v>0</v>
      </c>
      <c r="T531" t="s">
        <v>2508</v>
      </c>
    </row>
    <row r="532" spans="1:20" customFormat="1" ht="15" x14ac:dyDescent="0.25">
      <c r="A532" t="s">
        <v>24</v>
      </c>
      <c r="B532" t="s">
        <v>1008</v>
      </c>
      <c r="C532" t="str">
        <f>"A0187127"</f>
        <v>A0187127</v>
      </c>
      <c r="D532" t="s">
        <v>2509</v>
      </c>
      <c r="E532" t="s">
        <v>2510</v>
      </c>
      <c r="F532" t="s">
        <v>2511</v>
      </c>
      <c r="G532" t="s">
        <v>338</v>
      </c>
      <c r="H532">
        <v>7095</v>
      </c>
      <c r="I532" t="s">
        <v>30</v>
      </c>
      <c r="J532" t="s">
        <v>31</v>
      </c>
      <c r="K532" t="s">
        <v>255</v>
      </c>
      <c r="N532" t="s">
        <v>2512</v>
      </c>
      <c r="Q532">
        <v>0</v>
      </c>
      <c r="R532">
        <v>100</v>
      </c>
      <c r="S532">
        <v>0</v>
      </c>
      <c r="T532" t="s">
        <v>2513</v>
      </c>
    </row>
    <row r="533" spans="1:20" customFormat="1" ht="15" x14ac:dyDescent="0.25">
      <c r="A533" t="s">
        <v>24</v>
      </c>
      <c r="B533" t="s">
        <v>1577</v>
      </c>
      <c r="C533" t="str">
        <f>"A0192179"</f>
        <v>A0192179</v>
      </c>
      <c r="D533" t="s">
        <v>2514</v>
      </c>
      <c r="E533" t="s">
        <v>2515</v>
      </c>
      <c r="F533" t="s">
        <v>2516</v>
      </c>
      <c r="G533" t="s">
        <v>1706</v>
      </c>
      <c r="H533">
        <v>36535</v>
      </c>
      <c r="I533" t="s">
        <v>30</v>
      </c>
      <c r="J533" t="s">
        <v>145</v>
      </c>
      <c r="K533" t="s">
        <v>2517</v>
      </c>
      <c r="N533" t="s">
        <v>2518</v>
      </c>
      <c r="Q533">
        <v>0</v>
      </c>
      <c r="R533">
        <v>84</v>
      </c>
      <c r="S533">
        <v>0</v>
      </c>
      <c r="T533" t="s">
        <v>2519</v>
      </c>
    </row>
    <row r="534" spans="1:20" customFormat="1" ht="15" x14ac:dyDescent="0.25">
      <c r="A534" t="s">
        <v>24</v>
      </c>
      <c r="B534" t="s">
        <v>2520</v>
      </c>
      <c r="C534" t="str">
        <f>"A0062645"</f>
        <v>A0062645</v>
      </c>
      <c r="D534" t="s">
        <v>2521</v>
      </c>
      <c r="E534" t="s">
        <v>2522</v>
      </c>
      <c r="F534" t="s">
        <v>2523</v>
      </c>
      <c r="G534" t="s">
        <v>110</v>
      </c>
      <c r="H534">
        <v>92868</v>
      </c>
      <c r="I534" t="s">
        <v>30</v>
      </c>
      <c r="J534" t="s">
        <v>31</v>
      </c>
      <c r="K534" t="s">
        <v>2524</v>
      </c>
      <c r="N534" t="s">
        <v>2525</v>
      </c>
      <c r="O534" t="s">
        <v>2526</v>
      </c>
      <c r="Q534">
        <v>0</v>
      </c>
      <c r="R534">
        <v>140</v>
      </c>
      <c r="S534">
        <v>0</v>
      </c>
      <c r="T534" t="s">
        <v>2527</v>
      </c>
    </row>
    <row r="535" spans="1:20" customFormat="1" ht="15" x14ac:dyDescent="0.25">
      <c r="A535" t="s">
        <v>24</v>
      </c>
      <c r="B535" t="s">
        <v>2528</v>
      </c>
      <c r="C535" t="str">
        <f>"A0089505"</f>
        <v>A0089505</v>
      </c>
      <c r="D535" t="s">
        <v>2529</v>
      </c>
      <c r="E535" t="s">
        <v>2530</v>
      </c>
      <c r="F535" t="s">
        <v>2531</v>
      </c>
      <c r="G535" t="s">
        <v>123</v>
      </c>
      <c r="H535">
        <v>21090</v>
      </c>
      <c r="I535" t="s">
        <v>30</v>
      </c>
      <c r="J535" t="s">
        <v>31</v>
      </c>
      <c r="K535" t="s">
        <v>277</v>
      </c>
      <c r="Q535">
        <v>0</v>
      </c>
      <c r="R535">
        <v>155</v>
      </c>
      <c r="S535">
        <v>0</v>
      </c>
      <c r="T535" t="s">
        <v>2532</v>
      </c>
    </row>
    <row r="536" spans="1:20" customFormat="1" ht="15" x14ac:dyDescent="0.25">
      <c r="A536" t="s">
        <v>35</v>
      </c>
      <c r="B536" t="s">
        <v>1028</v>
      </c>
      <c r="C536" t="str">
        <f>"A0118630"</f>
        <v>A0118630</v>
      </c>
      <c r="D536" t="s">
        <v>2533</v>
      </c>
      <c r="E536" t="s">
        <v>2534</v>
      </c>
      <c r="F536" t="s">
        <v>2535</v>
      </c>
      <c r="G536" t="s">
        <v>110</v>
      </c>
      <c r="H536">
        <v>92675</v>
      </c>
      <c r="I536" t="s">
        <v>30</v>
      </c>
      <c r="J536" t="s">
        <v>41</v>
      </c>
      <c r="K536" t="s">
        <v>59</v>
      </c>
      <c r="Q536">
        <v>0</v>
      </c>
      <c r="R536">
        <v>55</v>
      </c>
      <c r="S536">
        <v>60</v>
      </c>
      <c r="T536" t="s">
        <v>2536</v>
      </c>
    </row>
    <row r="537" spans="1:20" customFormat="1" ht="15" x14ac:dyDescent="0.25">
      <c r="A537" t="s">
        <v>24</v>
      </c>
      <c r="B537" t="s">
        <v>193</v>
      </c>
      <c r="C537" t="str">
        <f>"A0189025"</f>
        <v>A0189025</v>
      </c>
      <c r="D537" t="s">
        <v>6469</v>
      </c>
      <c r="E537" t="s">
        <v>6470</v>
      </c>
      <c r="F537" t="s">
        <v>6471</v>
      </c>
      <c r="G537" t="s">
        <v>103</v>
      </c>
      <c r="H537">
        <v>15205</v>
      </c>
      <c r="I537" t="s">
        <v>30</v>
      </c>
      <c r="J537" t="s">
        <v>162</v>
      </c>
      <c r="K537" t="s">
        <v>759</v>
      </c>
      <c r="N537" t="s">
        <v>6472</v>
      </c>
      <c r="Q537">
        <v>0</v>
      </c>
      <c r="R537">
        <v>460</v>
      </c>
      <c r="S537">
        <v>0</v>
      </c>
      <c r="T537" t="s">
        <v>6473</v>
      </c>
    </row>
    <row r="538" spans="1:20" customFormat="1" ht="15" x14ac:dyDescent="0.25">
      <c r="A538" t="s">
        <v>24</v>
      </c>
      <c r="B538" t="s">
        <v>1583</v>
      </c>
      <c r="C538" t="str">
        <f>"A0191966"</f>
        <v>A0191966</v>
      </c>
      <c r="D538" t="s">
        <v>2541</v>
      </c>
      <c r="E538" t="s">
        <v>2542</v>
      </c>
      <c r="F538" t="s">
        <v>2543</v>
      </c>
      <c r="G538" t="s">
        <v>190</v>
      </c>
      <c r="H538">
        <v>80424</v>
      </c>
      <c r="I538" t="s">
        <v>30</v>
      </c>
      <c r="J538" t="s">
        <v>2544</v>
      </c>
      <c r="K538" t="s">
        <v>163</v>
      </c>
      <c r="N538" t="s">
        <v>2545</v>
      </c>
      <c r="Q538">
        <v>0</v>
      </c>
      <c r="R538">
        <v>104</v>
      </c>
      <c r="S538">
        <v>0</v>
      </c>
      <c r="T538" t="s">
        <v>2546</v>
      </c>
    </row>
    <row r="539" spans="1:20" customFormat="1" ht="15" x14ac:dyDescent="0.25">
      <c r="A539" t="s">
        <v>24</v>
      </c>
      <c r="B539" t="s">
        <v>193</v>
      </c>
      <c r="C539" t="str">
        <f>"SF02646"</f>
        <v>SF02646</v>
      </c>
      <c r="D539" t="s">
        <v>6479</v>
      </c>
      <c r="E539" t="s">
        <v>6480</v>
      </c>
      <c r="F539" t="s">
        <v>271</v>
      </c>
      <c r="G539" t="s">
        <v>103</v>
      </c>
      <c r="H539">
        <v>15241</v>
      </c>
      <c r="I539" t="s">
        <v>30</v>
      </c>
      <c r="J539" t="s">
        <v>162</v>
      </c>
      <c r="K539" t="s">
        <v>4442</v>
      </c>
      <c r="N539" t="s">
        <v>6481</v>
      </c>
      <c r="Q539">
        <v>0</v>
      </c>
      <c r="R539">
        <v>179</v>
      </c>
      <c r="S539">
        <v>0</v>
      </c>
      <c r="T539" t="s">
        <v>6482</v>
      </c>
    </row>
    <row r="540" spans="1:20" customFormat="1" ht="15" x14ac:dyDescent="0.25">
      <c r="A540" t="s">
        <v>24</v>
      </c>
      <c r="B540" t="s">
        <v>5166</v>
      </c>
      <c r="C540" t="str">
        <f>"SF02671"</f>
        <v>SF02671</v>
      </c>
      <c r="D540" t="s">
        <v>6498</v>
      </c>
      <c r="E540" t="s">
        <v>6499</v>
      </c>
      <c r="F540" t="s">
        <v>1865</v>
      </c>
      <c r="G540" t="s">
        <v>110</v>
      </c>
      <c r="H540">
        <v>90401</v>
      </c>
      <c r="I540" t="s">
        <v>30</v>
      </c>
      <c r="J540" t="s">
        <v>162</v>
      </c>
      <c r="K540" t="s">
        <v>4581</v>
      </c>
      <c r="N540" t="s">
        <v>6500</v>
      </c>
      <c r="O540" t="s">
        <v>6501</v>
      </c>
      <c r="Q540">
        <v>0</v>
      </c>
      <c r="R540">
        <v>132</v>
      </c>
      <c r="S540">
        <v>0</v>
      </c>
      <c r="T540" t="s">
        <v>6502</v>
      </c>
    </row>
    <row r="541" spans="1:20" customFormat="1" ht="15" x14ac:dyDescent="0.25">
      <c r="A541" t="s">
        <v>24</v>
      </c>
      <c r="B541" t="s">
        <v>2411</v>
      </c>
      <c r="C541" t="str">
        <f>"CL0657"</f>
        <v>CL0657</v>
      </c>
      <c r="D541" t="s">
        <v>2555</v>
      </c>
      <c r="E541" t="s">
        <v>2556</v>
      </c>
      <c r="F541" t="s">
        <v>2557</v>
      </c>
      <c r="G541" t="s">
        <v>110</v>
      </c>
      <c r="H541">
        <v>92626</v>
      </c>
      <c r="I541" t="s">
        <v>30</v>
      </c>
      <c r="J541" t="s">
        <v>2558</v>
      </c>
      <c r="K541" t="s">
        <v>163</v>
      </c>
      <c r="N541" t="s">
        <v>2559</v>
      </c>
      <c r="O541" t="s">
        <v>2560</v>
      </c>
      <c r="Q541">
        <v>0</v>
      </c>
      <c r="R541">
        <v>0</v>
      </c>
      <c r="S541">
        <v>0</v>
      </c>
      <c r="T541" t="s">
        <v>2561</v>
      </c>
    </row>
    <row r="542" spans="1:20" customFormat="1" ht="15" x14ac:dyDescent="0.25">
      <c r="A542" t="s">
        <v>24</v>
      </c>
      <c r="B542" t="s">
        <v>2411</v>
      </c>
      <c r="C542" t="str">
        <f>"CL1191"</f>
        <v>CL1191</v>
      </c>
      <c r="D542" t="s">
        <v>2562</v>
      </c>
      <c r="E542" t="s">
        <v>2563</v>
      </c>
      <c r="F542" t="s">
        <v>2564</v>
      </c>
      <c r="G542" t="s">
        <v>81</v>
      </c>
      <c r="H542">
        <v>32306</v>
      </c>
      <c r="I542" t="s">
        <v>30</v>
      </c>
      <c r="J542" t="s">
        <v>2565</v>
      </c>
      <c r="K542" t="s">
        <v>2566</v>
      </c>
      <c r="N542" t="s">
        <v>2567</v>
      </c>
      <c r="O542" t="s">
        <v>2568</v>
      </c>
      <c r="Q542">
        <v>0</v>
      </c>
      <c r="R542">
        <v>0</v>
      </c>
      <c r="S542">
        <v>0</v>
      </c>
      <c r="T542" t="s">
        <v>2569</v>
      </c>
    </row>
    <row r="543" spans="1:20" customFormat="1" ht="15" x14ac:dyDescent="0.25">
      <c r="A543" t="s">
        <v>35</v>
      </c>
      <c r="B543" t="s">
        <v>225</v>
      </c>
      <c r="C543" t="str">
        <f>"A0124986"</f>
        <v>A0124986</v>
      </c>
      <c r="D543" t="s">
        <v>2570</v>
      </c>
      <c r="E543" t="s">
        <v>2571</v>
      </c>
      <c r="F543" t="s">
        <v>2572</v>
      </c>
      <c r="G543" t="s">
        <v>214</v>
      </c>
      <c r="H543">
        <v>28714</v>
      </c>
      <c r="I543" t="s">
        <v>30</v>
      </c>
      <c r="J543" t="s">
        <v>41</v>
      </c>
      <c r="K543" t="s">
        <v>229</v>
      </c>
      <c r="Q543">
        <v>0</v>
      </c>
      <c r="R543">
        <v>140</v>
      </c>
      <c r="S543">
        <v>140</v>
      </c>
      <c r="T543" t="s">
        <v>2573</v>
      </c>
    </row>
    <row r="544" spans="1:20" customFormat="1" ht="15" x14ac:dyDescent="0.25">
      <c r="A544" t="s">
        <v>24</v>
      </c>
      <c r="B544" t="s">
        <v>193</v>
      </c>
      <c r="C544" t="str">
        <f>"A0087035"</f>
        <v>A0087035</v>
      </c>
      <c r="D544" t="s">
        <v>2574</v>
      </c>
      <c r="E544" t="s">
        <v>2575</v>
      </c>
      <c r="F544" t="s">
        <v>2576</v>
      </c>
      <c r="G544" t="s">
        <v>338</v>
      </c>
      <c r="H544">
        <v>8054</v>
      </c>
      <c r="I544" t="s">
        <v>30</v>
      </c>
      <c r="J544" t="s">
        <v>31</v>
      </c>
      <c r="K544" t="s">
        <v>296</v>
      </c>
      <c r="N544" t="s">
        <v>2577</v>
      </c>
      <c r="Q544">
        <v>0</v>
      </c>
      <c r="R544">
        <v>118</v>
      </c>
      <c r="S544">
        <v>0</v>
      </c>
      <c r="T544" t="s">
        <v>2578</v>
      </c>
    </row>
    <row r="545" spans="1:20" customFormat="1" ht="15" x14ac:dyDescent="0.25">
      <c r="A545" t="s">
        <v>35</v>
      </c>
      <c r="B545" t="s">
        <v>225</v>
      </c>
      <c r="C545" t="str">
        <f>"A0124988"</f>
        <v>A0124988</v>
      </c>
      <c r="D545" t="s">
        <v>2579</v>
      </c>
      <c r="E545" t="s">
        <v>2580</v>
      </c>
      <c r="F545" t="s">
        <v>2581</v>
      </c>
      <c r="G545" t="s">
        <v>214</v>
      </c>
      <c r="H545">
        <v>28761</v>
      </c>
      <c r="I545" t="s">
        <v>30</v>
      </c>
      <c r="J545" t="s">
        <v>41</v>
      </c>
      <c r="K545" t="s">
        <v>229</v>
      </c>
      <c r="Q545">
        <v>0</v>
      </c>
      <c r="R545">
        <v>140</v>
      </c>
      <c r="S545">
        <v>140</v>
      </c>
      <c r="T545" t="s">
        <v>2582</v>
      </c>
    </row>
    <row r="546" spans="1:20" customFormat="1" ht="15" x14ac:dyDescent="0.25">
      <c r="A546" t="s">
        <v>24</v>
      </c>
      <c r="B546" t="s">
        <v>140</v>
      </c>
      <c r="C546" t="str">
        <f>"A0096192"</f>
        <v>A0096192</v>
      </c>
      <c r="D546" t="s">
        <v>6503</v>
      </c>
      <c r="E546" t="s">
        <v>6504</v>
      </c>
      <c r="F546" t="s">
        <v>6404</v>
      </c>
      <c r="G546" t="s">
        <v>161</v>
      </c>
      <c r="H546">
        <v>55402</v>
      </c>
      <c r="I546" t="s">
        <v>30</v>
      </c>
      <c r="J546" t="s">
        <v>162</v>
      </c>
      <c r="K546" t="s">
        <v>4809</v>
      </c>
      <c r="N546" t="s">
        <v>6505</v>
      </c>
      <c r="O546" t="s">
        <v>6506</v>
      </c>
      <c r="Q546">
        <v>0</v>
      </c>
      <c r="R546">
        <v>450</v>
      </c>
      <c r="S546">
        <v>0</v>
      </c>
      <c r="T546" t="s">
        <v>6507</v>
      </c>
    </row>
    <row r="547" spans="1:20" customFormat="1" ht="15" x14ac:dyDescent="0.25">
      <c r="A547" t="s">
        <v>24</v>
      </c>
      <c r="B547" t="s">
        <v>2910</v>
      </c>
      <c r="C547" t="str">
        <f>"A0189456"</f>
        <v>A0189456</v>
      </c>
      <c r="D547" t="s">
        <v>6556</v>
      </c>
      <c r="E547" t="s">
        <v>6557</v>
      </c>
      <c r="F547" t="s">
        <v>6558</v>
      </c>
      <c r="G547" t="s">
        <v>615</v>
      </c>
      <c r="H547">
        <v>6511</v>
      </c>
      <c r="I547" t="s">
        <v>30</v>
      </c>
      <c r="J547" t="s">
        <v>162</v>
      </c>
      <c r="K547" t="s">
        <v>163</v>
      </c>
      <c r="N547" t="s">
        <v>6559</v>
      </c>
      <c r="Q547">
        <v>0</v>
      </c>
      <c r="R547">
        <v>165</v>
      </c>
      <c r="S547">
        <v>0</v>
      </c>
      <c r="T547" t="s">
        <v>6560</v>
      </c>
    </row>
    <row r="548" spans="1:20" customFormat="1" ht="15" x14ac:dyDescent="0.25">
      <c r="A548" t="s">
        <v>24</v>
      </c>
      <c r="B548" t="s">
        <v>1849</v>
      </c>
      <c r="C548" t="str">
        <f>"A0059914"</f>
        <v>A0059914</v>
      </c>
      <c r="D548" t="s">
        <v>2589</v>
      </c>
      <c r="E548" t="s">
        <v>2590</v>
      </c>
      <c r="F548" t="s">
        <v>2591</v>
      </c>
      <c r="G548" t="s">
        <v>40</v>
      </c>
      <c r="H548">
        <v>74075</v>
      </c>
      <c r="I548" t="s">
        <v>30</v>
      </c>
      <c r="J548" t="s">
        <v>31</v>
      </c>
      <c r="K548" t="s">
        <v>261</v>
      </c>
      <c r="N548" t="s">
        <v>2592</v>
      </c>
      <c r="O548" t="s">
        <v>2593</v>
      </c>
      <c r="Q548">
        <v>0</v>
      </c>
      <c r="R548">
        <v>109</v>
      </c>
      <c r="S548">
        <v>0</v>
      </c>
      <c r="T548" t="s">
        <v>2594</v>
      </c>
    </row>
    <row r="549" spans="1:20" customFormat="1" ht="15" x14ac:dyDescent="0.25">
      <c r="A549" t="s">
        <v>24</v>
      </c>
      <c r="B549" t="s">
        <v>2595</v>
      </c>
      <c r="C549" t="str">
        <f>"A0186896"</f>
        <v>A0186896</v>
      </c>
      <c r="D549" t="s">
        <v>2596</v>
      </c>
      <c r="E549" t="s">
        <v>2597</v>
      </c>
      <c r="F549" t="s">
        <v>2598</v>
      </c>
      <c r="G549" t="s">
        <v>99</v>
      </c>
      <c r="H549">
        <v>14304</v>
      </c>
      <c r="I549" t="s">
        <v>30</v>
      </c>
      <c r="J549" t="s">
        <v>145</v>
      </c>
      <c r="K549" t="s">
        <v>163</v>
      </c>
      <c r="N549" t="s">
        <v>2599</v>
      </c>
      <c r="Q549">
        <v>0</v>
      </c>
      <c r="R549">
        <v>30</v>
      </c>
      <c r="S549">
        <v>0</v>
      </c>
      <c r="T549" t="s">
        <v>2600</v>
      </c>
    </row>
    <row r="550" spans="1:20" customFormat="1" ht="15" x14ac:dyDescent="0.25">
      <c r="A550" t="s">
        <v>24</v>
      </c>
      <c r="B550" t="s">
        <v>2601</v>
      </c>
      <c r="C550" t="str">
        <f>"A0075020"</f>
        <v>A0075020</v>
      </c>
      <c r="D550" t="s">
        <v>2602</v>
      </c>
      <c r="E550" t="s">
        <v>2603</v>
      </c>
      <c r="F550" t="s">
        <v>2263</v>
      </c>
      <c r="G550" t="s">
        <v>1898</v>
      </c>
      <c r="H550">
        <v>50266</v>
      </c>
      <c r="I550" t="s">
        <v>30</v>
      </c>
      <c r="J550" t="s">
        <v>31</v>
      </c>
      <c r="K550" t="s">
        <v>255</v>
      </c>
      <c r="N550" t="s">
        <v>2604</v>
      </c>
      <c r="Q550">
        <v>0</v>
      </c>
      <c r="R550">
        <v>97</v>
      </c>
      <c r="S550">
        <v>0</v>
      </c>
      <c r="T550" t="s">
        <v>2605</v>
      </c>
    </row>
    <row r="551" spans="1:20" customFormat="1" ht="15" x14ac:dyDescent="0.25">
      <c r="A551" t="s">
        <v>24</v>
      </c>
      <c r="B551" t="s">
        <v>2601</v>
      </c>
      <c r="C551" t="str">
        <f>"A0071861"</f>
        <v>A0071861</v>
      </c>
      <c r="D551" t="s">
        <v>6597</v>
      </c>
      <c r="E551" t="s">
        <v>6598</v>
      </c>
      <c r="F551" t="s">
        <v>1431</v>
      </c>
      <c r="G551" t="s">
        <v>47</v>
      </c>
      <c r="H551">
        <v>97220</v>
      </c>
      <c r="I551" t="s">
        <v>30</v>
      </c>
      <c r="J551" t="s">
        <v>162</v>
      </c>
      <c r="K551" t="s">
        <v>1502</v>
      </c>
      <c r="N551" t="s">
        <v>6599</v>
      </c>
      <c r="O551" t="s">
        <v>6600</v>
      </c>
      <c r="Q551">
        <v>0</v>
      </c>
      <c r="R551">
        <v>212</v>
      </c>
      <c r="S551">
        <v>0</v>
      </c>
      <c r="T551" t="s">
        <v>6601</v>
      </c>
    </row>
    <row r="552" spans="1:20" customFormat="1" ht="15" x14ac:dyDescent="0.25">
      <c r="A552" t="s">
        <v>24</v>
      </c>
      <c r="B552" t="s">
        <v>2601</v>
      </c>
      <c r="C552" t="str">
        <f>"A0066017"</f>
        <v>A0066017</v>
      </c>
      <c r="D552" t="s">
        <v>2612</v>
      </c>
      <c r="E552" t="s">
        <v>2613</v>
      </c>
      <c r="F552" t="s">
        <v>2263</v>
      </c>
      <c r="G552" t="s">
        <v>1898</v>
      </c>
      <c r="H552">
        <v>50266</v>
      </c>
      <c r="I552" t="s">
        <v>30</v>
      </c>
      <c r="J552" t="s">
        <v>31</v>
      </c>
      <c r="K552" t="s">
        <v>32</v>
      </c>
      <c r="N552" t="s">
        <v>2604</v>
      </c>
      <c r="O552" t="s">
        <v>2614</v>
      </c>
      <c r="Q552">
        <v>0</v>
      </c>
      <c r="R552">
        <v>102</v>
      </c>
      <c r="S552">
        <v>0</v>
      </c>
      <c r="T552" t="s">
        <v>2615</v>
      </c>
    </row>
    <row r="553" spans="1:20" customFormat="1" ht="15" x14ac:dyDescent="0.25">
      <c r="A553" t="s">
        <v>24</v>
      </c>
      <c r="B553" t="s">
        <v>675</v>
      </c>
      <c r="C553" t="str">
        <f>"A0189891"</f>
        <v>A0189891</v>
      </c>
      <c r="D553" t="s">
        <v>6607</v>
      </c>
      <c r="E553" t="s">
        <v>6608</v>
      </c>
      <c r="F553" t="s">
        <v>6609</v>
      </c>
      <c r="G553" t="s">
        <v>123</v>
      </c>
      <c r="H553">
        <v>20814</v>
      </c>
      <c r="I553" t="s">
        <v>30</v>
      </c>
      <c r="J553" t="s">
        <v>162</v>
      </c>
      <c r="K553" t="s">
        <v>1490</v>
      </c>
      <c r="N553" t="s">
        <v>6610</v>
      </c>
      <c r="Q553">
        <v>0</v>
      </c>
      <c r="R553">
        <v>245</v>
      </c>
      <c r="S553">
        <v>0</v>
      </c>
      <c r="T553" t="s">
        <v>192</v>
      </c>
    </row>
    <row r="554" spans="1:20" customFormat="1" ht="15" x14ac:dyDescent="0.25">
      <c r="A554" t="s">
        <v>35</v>
      </c>
      <c r="B554" t="s">
        <v>61</v>
      </c>
      <c r="C554" t="str">
        <f>"A0132157"</f>
        <v>A0132157</v>
      </c>
      <c r="D554" t="s">
        <v>2621</v>
      </c>
      <c r="E554" t="s">
        <v>2622</v>
      </c>
      <c r="F554" t="s">
        <v>2623</v>
      </c>
      <c r="G554" t="s">
        <v>65</v>
      </c>
      <c r="H554">
        <v>43050</v>
      </c>
      <c r="I554" t="s">
        <v>30</v>
      </c>
      <c r="J554" t="s">
        <v>41</v>
      </c>
      <c r="K554" t="s">
        <v>2463</v>
      </c>
      <c r="Q554">
        <v>0</v>
      </c>
      <c r="R554">
        <v>0</v>
      </c>
      <c r="S554">
        <v>0</v>
      </c>
      <c r="T554" t="s">
        <v>2624</v>
      </c>
    </row>
    <row r="555" spans="1:20" customFormat="1" ht="15" x14ac:dyDescent="0.25">
      <c r="A555" t="s">
        <v>35</v>
      </c>
      <c r="B555" t="s">
        <v>61</v>
      </c>
      <c r="C555" t="str">
        <f>"A0131960"</f>
        <v>A0131960</v>
      </c>
      <c r="D555" t="s">
        <v>2625</v>
      </c>
      <c r="E555" t="s">
        <v>2626</v>
      </c>
      <c r="F555" t="s">
        <v>2627</v>
      </c>
      <c r="G555" t="s">
        <v>65</v>
      </c>
      <c r="H555">
        <v>458130000</v>
      </c>
      <c r="I555" t="s">
        <v>30</v>
      </c>
      <c r="J555" t="s">
        <v>41</v>
      </c>
      <c r="K555" t="s">
        <v>59</v>
      </c>
      <c r="Q555">
        <v>0</v>
      </c>
      <c r="R555">
        <v>16</v>
      </c>
      <c r="S555">
        <v>16</v>
      </c>
      <c r="T555" t="s">
        <v>2628</v>
      </c>
    </row>
    <row r="556" spans="1:20" customFormat="1" ht="15" x14ac:dyDescent="0.25">
      <c r="A556" t="s">
        <v>35</v>
      </c>
      <c r="B556" t="s">
        <v>2629</v>
      </c>
      <c r="C556" t="str">
        <f>"A0189951"</f>
        <v>A0189951</v>
      </c>
      <c r="D556" t="s">
        <v>2630</v>
      </c>
      <c r="E556" t="s">
        <v>2631</v>
      </c>
      <c r="F556" t="s">
        <v>2632</v>
      </c>
      <c r="G556" t="s">
        <v>925</v>
      </c>
      <c r="H556">
        <v>67526</v>
      </c>
      <c r="I556" t="s">
        <v>30</v>
      </c>
      <c r="J556" t="s">
        <v>41</v>
      </c>
      <c r="K556" t="s">
        <v>229</v>
      </c>
      <c r="Q556">
        <v>0</v>
      </c>
      <c r="R556">
        <v>0</v>
      </c>
      <c r="S556">
        <v>56</v>
      </c>
      <c r="T556" t="s">
        <v>2633</v>
      </c>
    </row>
    <row r="557" spans="1:20" customFormat="1" ht="15" x14ac:dyDescent="0.25">
      <c r="A557" t="s">
        <v>35</v>
      </c>
      <c r="B557" t="s">
        <v>61</v>
      </c>
      <c r="C557" t="str">
        <f>"A0133260"</f>
        <v>A0133260</v>
      </c>
      <c r="D557" t="s">
        <v>2634</v>
      </c>
      <c r="E557" t="s">
        <v>2635</v>
      </c>
      <c r="F557" t="s">
        <v>2636</v>
      </c>
      <c r="G557" t="s">
        <v>52</v>
      </c>
      <c r="H557">
        <v>794100000</v>
      </c>
      <c r="I557" t="s">
        <v>30</v>
      </c>
      <c r="J557" t="s">
        <v>41</v>
      </c>
      <c r="K557" t="s">
        <v>229</v>
      </c>
      <c r="Q557">
        <v>0</v>
      </c>
      <c r="R557">
        <v>42</v>
      </c>
      <c r="S557">
        <v>42</v>
      </c>
      <c r="T557" t="s">
        <v>2637</v>
      </c>
    </row>
    <row r="558" spans="1:20" customFormat="1" ht="15" x14ac:dyDescent="0.25">
      <c r="A558" t="s">
        <v>35</v>
      </c>
      <c r="B558" t="s">
        <v>61</v>
      </c>
      <c r="C558" t="str">
        <f>"A0132265"</f>
        <v>A0132265</v>
      </c>
      <c r="D558" t="s">
        <v>2638</v>
      </c>
      <c r="E558" t="s">
        <v>2639</v>
      </c>
      <c r="F558" t="s">
        <v>2640</v>
      </c>
      <c r="G558" t="s">
        <v>65</v>
      </c>
      <c r="H558">
        <v>45344</v>
      </c>
      <c r="I558" t="s">
        <v>30</v>
      </c>
      <c r="J558" t="s">
        <v>41</v>
      </c>
      <c r="K558" t="s">
        <v>229</v>
      </c>
      <c r="Q558">
        <v>0</v>
      </c>
      <c r="R558">
        <v>110</v>
      </c>
      <c r="S558">
        <v>110</v>
      </c>
      <c r="T558" t="s">
        <v>2641</v>
      </c>
    </row>
    <row r="559" spans="1:20" customFormat="1" ht="15" x14ac:dyDescent="0.25">
      <c r="A559" t="s">
        <v>35</v>
      </c>
      <c r="B559" t="s">
        <v>61</v>
      </c>
      <c r="C559" t="str">
        <f>"A0123731"</f>
        <v>A0123731</v>
      </c>
      <c r="D559" t="s">
        <v>2642</v>
      </c>
      <c r="E559" t="s">
        <v>2643</v>
      </c>
      <c r="F559" t="s">
        <v>2644</v>
      </c>
      <c r="G559" t="s">
        <v>29</v>
      </c>
      <c r="H559">
        <v>24273</v>
      </c>
      <c r="I559" t="s">
        <v>30</v>
      </c>
      <c r="J559" t="s">
        <v>41</v>
      </c>
      <c r="K559" t="s">
        <v>59</v>
      </c>
      <c r="Q559">
        <v>0</v>
      </c>
      <c r="R559">
        <v>1</v>
      </c>
      <c r="S559">
        <v>1</v>
      </c>
      <c r="T559" t="s">
        <v>2645</v>
      </c>
    </row>
    <row r="560" spans="1:20" customFormat="1" ht="15" x14ac:dyDescent="0.25">
      <c r="A560" t="s">
        <v>35</v>
      </c>
      <c r="B560" t="s">
        <v>2646</v>
      </c>
      <c r="C560" t="str">
        <f>"A0192170"</f>
        <v>A0192170</v>
      </c>
      <c r="D560" t="s">
        <v>2646</v>
      </c>
      <c r="E560" t="s">
        <v>2647</v>
      </c>
      <c r="F560" t="s">
        <v>1948</v>
      </c>
      <c r="G560" t="s">
        <v>338</v>
      </c>
      <c r="H560">
        <v>8701</v>
      </c>
      <c r="I560" t="s">
        <v>30</v>
      </c>
      <c r="J560" t="s">
        <v>41</v>
      </c>
      <c r="K560" t="s">
        <v>290</v>
      </c>
      <c r="Q560">
        <v>0</v>
      </c>
      <c r="R560">
        <v>0</v>
      </c>
      <c r="S560">
        <v>0</v>
      </c>
      <c r="T560" t="s">
        <v>72</v>
      </c>
    </row>
    <row r="561" spans="1:20" customFormat="1" ht="15" x14ac:dyDescent="0.25">
      <c r="A561" t="s">
        <v>35</v>
      </c>
      <c r="B561" t="s">
        <v>2648</v>
      </c>
      <c r="C561" t="str">
        <f>"A0192169"</f>
        <v>A0192169</v>
      </c>
      <c r="D561" t="s">
        <v>2649</v>
      </c>
      <c r="E561" t="s">
        <v>2650</v>
      </c>
      <c r="F561" t="s">
        <v>2651</v>
      </c>
      <c r="G561" t="s">
        <v>81</v>
      </c>
      <c r="H561">
        <v>32953</v>
      </c>
      <c r="I561" t="s">
        <v>30</v>
      </c>
      <c r="J561" t="s">
        <v>41</v>
      </c>
      <c r="K561" t="s">
        <v>59</v>
      </c>
      <c r="Q561">
        <v>0</v>
      </c>
      <c r="R561">
        <v>0</v>
      </c>
      <c r="S561">
        <v>148</v>
      </c>
      <c r="T561" t="s">
        <v>72</v>
      </c>
    </row>
    <row r="562" spans="1:20" customFormat="1" ht="15" x14ac:dyDescent="0.25">
      <c r="A562" t="s">
        <v>35</v>
      </c>
      <c r="B562" t="s">
        <v>2648</v>
      </c>
      <c r="C562" t="str">
        <f>"A0192168"</f>
        <v>A0192168</v>
      </c>
      <c r="D562" t="s">
        <v>2652</v>
      </c>
      <c r="E562" t="s">
        <v>2653</v>
      </c>
      <c r="F562" t="s">
        <v>2654</v>
      </c>
      <c r="G562" t="s">
        <v>846</v>
      </c>
      <c r="H562">
        <v>30677</v>
      </c>
      <c r="I562" t="s">
        <v>30</v>
      </c>
      <c r="J562" t="s">
        <v>41</v>
      </c>
      <c r="K562" t="s">
        <v>59</v>
      </c>
      <c r="Q562">
        <v>0</v>
      </c>
      <c r="R562">
        <v>0</v>
      </c>
      <c r="S562">
        <v>160</v>
      </c>
      <c r="T562" t="s">
        <v>72</v>
      </c>
    </row>
    <row r="563" spans="1:20" customFormat="1" ht="15" x14ac:dyDescent="0.25">
      <c r="A563" t="s">
        <v>35</v>
      </c>
      <c r="B563" t="s">
        <v>2648</v>
      </c>
      <c r="C563" t="str">
        <f>"A0192167"</f>
        <v>A0192167</v>
      </c>
      <c r="D563" t="s">
        <v>2655</v>
      </c>
      <c r="E563" t="s">
        <v>2656</v>
      </c>
      <c r="F563" t="s">
        <v>2657</v>
      </c>
      <c r="G563" t="s">
        <v>58</v>
      </c>
      <c r="H563">
        <v>29576</v>
      </c>
      <c r="I563" t="s">
        <v>30</v>
      </c>
      <c r="J563" t="s">
        <v>41</v>
      </c>
      <c r="K563" t="s">
        <v>59</v>
      </c>
      <c r="Q563">
        <v>0</v>
      </c>
      <c r="R563">
        <v>0</v>
      </c>
      <c r="S563">
        <v>284</v>
      </c>
      <c r="T563" t="s">
        <v>72</v>
      </c>
    </row>
    <row r="564" spans="1:20" customFormat="1" ht="15" x14ac:dyDescent="0.25">
      <c r="A564" t="s">
        <v>35</v>
      </c>
      <c r="B564" t="s">
        <v>2648</v>
      </c>
      <c r="C564" t="str">
        <f>"A0192166"</f>
        <v>A0192166</v>
      </c>
      <c r="D564" t="s">
        <v>2658</v>
      </c>
      <c r="E564" t="s">
        <v>2659</v>
      </c>
      <c r="F564" t="s">
        <v>2660</v>
      </c>
      <c r="G564" t="s">
        <v>1706</v>
      </c>
      <c r="H564">
        <v>35769</v>
      </c>
      <c r="I564" t="s">
        <v>30</v>
      </c>
      <c r="J564" t="s">
        <v>41</v>
      </c>
      <c r="K564" t="s">
        <v>59</v>
      </c>
      <c r="Q564">
        <v>0</v>
      </c>
      <c r="R564">
        <v>0</v>
      </c>
      <c r="S564">
        <v>32</v>
      </c>
      <c r="T564" t="s">
        <v>72</v>
      </c>
    </row>
    <row r="565" spans="1:20" customFormat="1" ht="15" x14ac:dyDescent="0.25">
      <c r="A565" t="s">
        <v>35</v>
      </c>
      <c r="B565" t="s">
        <v>2648</v>
      </c>
      <c r="C565" t="str">
        <f>"A0192165"</f>
        <v>A0192165</v>
      </c>
      <c r="D565" t="s">
        <v>2661</v>
      </c>
      <c r="E565" t="s">
        <v>2662</v>
      </c>
      <c r="F565" t="s">
        <v>2663</v>
      </c>
      <c r="G565" t="s">
        <v>880</v>
      </c>
      <c r="H565">
        <v>37343</v>
      </c>
      <c r="I565" t="s">
        <v>30</v>
      </c>
      <c r="J565" t="s">
        <v>41</v>
      </c>
      <c r="K565" t="s">
        <v>59</v>
      </c>
      <c r="Q565">
        <v>0</v>
      </c>
      <c r="R565">
        <v>0</v>
      </c>
      <c r="S565">
        <v>113</v>
      </c>
      <c r="T565" t="s">
        <v>72</v>
      </c>
    </row>
    <row r="566" spans="1:20" customFormat="1" ht="15" x14ac:dyDescent="0.25">
      <c r="A566" t="s">
        <v>35</v>
      </c>
      <c r="B566" t="s">
        <v>2648</v>
      </c>
      <c r="C566" t="str">
        <f>"A0192164"</f>
        <v>A0192164</v>
      </c>
      <c r="D566" t="s">
        <v>2664</v>
      </c>
      <c r="E566" t="s">
        <v>2665</v>
      </c>
      <c r="F566" t="s">
        <v>2666</v>
      </c>
      <c r="G566" t="s">
        <v>1369</v>
      </c>
      <c r="H566">
        <v>38801</v>
      </c>
      <c r="I566" t="s">
        <v>30</v>
      </c>
      <c r="J566" t="s">
        <v>41</v>
      </c>
      <c r="K566" t="s">
        <v>482</v>
      </c>
      <c r="Q566">
        <v>0</v>
      </c>
      <c r="R566">
        <v>0</v>
      </c>
      <c r="S566">
        <v>72</v>
      </c>
      <c r="T566" t="s">
        <v>72</v>
      </c>
    </row>
    <row r="567" spans="1:20" customFormat="1" ht="15" x14ac:dyDescent="0.25">
      <c r="A567" t="s">
        <v>35</v>
      </c>
      <c r="B567" t="s">
        <v>2667</v>
      </c>
      <c r="C567" t="str">
        <f>"A0192163"</f>
        <v>A0192163</v>
      </c>
      <c r="D567" t="s">
        <v>2668</v>
      </c>
      <c r="E567" t="s">
        <v>2669</v>
      </c>
      <c r="F567" t="s">
        <v>2670</v>
      </c>
      <c r="G567" t="s">
        <v>880</v>
      </c>
      <c r="H567">
        <v>37664</v>
      </c>
      <c r="I567" t="s">
        <v>30</v>
      </c>
      <c r="J567" t="s">
        <v>41</v>
      </c>
      <c r="K567" t="s">
        <v>59</v>
      </c>
      <c r="Q567">
        <v>0</v>
      </c>
      <c r="R567">
        <v>0</v>
      </c>
      <c r="S567">
        <v>204</v>
      </c>
      <c r="T567" t="s">
        <v>72</v>
      </c>
    </row>
    <row r="568" spans="1:20" customFormat="1" ht="15" x14ac:dyDescent="0.25">
      <c r="A568" t="s">
        <v>35</v>
      </c>
      <c r="B568" t="s">
        <v>2671</v>
      </c>
      <c r="C568" t="str">
        <f>"A0192162"</f>
        <v>A0192162</v>
      </c>
      <c r="D568" t="s">
        <v>2672</v>
      </c>
      <c r="E568" t="s">
        <v>2673</v>
      </c>
      <c r="F568" t="s">
        <v>2674</v>
      </c>
      <c r="G568" t="s">
        <v>65</v>
      </c>
      <c r="H568">
        <v>43078</v>
      </c>
      <c r="I568" t="s">
        <v>30</v>
      </c>
      <c r="J568" t="s">
        <v>41</v>
      </c>
      <c r="K568" t="s">
        <v>229</v>
      </c>
      <c r="Q568">
        <v>0</v>
      </c>
      <c r="R568">
        <v>0</v>
      </c>
      <c r="S568">
        <v>0</v>
      </c>
      <c r="T568" t="s">
        <v>2675</v>
      </c>
    </row>
    <row r="569" spans="1:20" customFormat="1" ht="15" x14ac:dyDescent="0.25">
      <c r="A569" t="s">
        <v>35</v>
      </c>
      <c r="B569" t="s">
        <v>2671</v>
      </c>
      <c r="C569" t="str">
        <f>"A0192161"</f>
        <v>A0192161</v>
      </c>
      <c r="D569" t="s">
        <v>2676</v>
      </c>
      <c r="E569" t="s">
        <v>2677</v>
      </c>
      <c r="F569" t="s">
        <v>2678</v>
      </c>
      <c r="G569" t="s">
        <v>65</v>
      </c>
      <c r="H569">
        <v>45320</v>
      </c>
      <c r="I569" t="s">
        <v>30</v>
      </c>
      <c r="J569" t="s">
        <v>41</v>
      </c>
      <c r="K569" t="s">
        <v>229</v>
      </c>
      <c r="Q569">
        <v>0</v>
      </c>
      <c r="R569">
        <v>0</v>
      </c>
      <c r="S569">
        <v>0</v>
      </c>
      <c r="T569" t="s">
        <v>2679</v>
      </c>
    </row>
    <row r="570" spans="1:20" customFormat="1" ht="15" x14ac:dyDescent="0.25">
      <c r="A570" t="s">
        <v>35</v>
      </c>
      <c r="B570" t="s">
        <v>2671</v>
      </c>
      <c r="C570" t="str">
        <f>"A0192160"</f>
        <v>A0192160</v>
      </c>
      <c r="D570" t="s">
        <v>2680</v>
      </c>
      <c r="E570" t="s">
        <v>2681</v>
      </c>
      <c r="F570" t="s">
        <v>93</v>
      </c>
      <c r="G570" t="s">
        <v>65</v>
      </c>
      <c r="H570">
        <v>45331</v>
      </c>
      <c r="I570" t="s">
        <v>30</v>
      </c>
      <c r="J570" t="s">
        <v>41</v>
      </c>
      <c r="K570" t="s">
        <v>229</v>
      </c>
      <c r="Q570">
        <v>0</v>
      </c>
      <c r="R570">
        <v>0</v>
      </c>
      <c r="S570">
        <v>0</v>
      </c>
      <c r="T570" t="s">
        <v>2682</v>
      </c>
    </row>
    <row r="571" spans="1:20" customFormat="1" ht="15" x14ac:dyDescent="0.25">
      <c r="A571" t="s">
        <v>35</v>
      </c>
      <c r="B571" t="s">
        <v>2671</v>
      </c>
      <c r="C571" t="str">
        <f>"A0192159"</f>
        <v>A0192159</v>
      </c>
      <c r="D571" t="s">
        <v>2683</v>
      </c>
      <c r="E571" t="s">
        <v>2684</v>
      </c>
      <c r="F571" t="s">
        <v>2685</v>
      </c>
      <c r="G571" t="s">
        <v>65</v>
      </c>
      <c r="H571">
        <v>45891</v>
      </c>
      <c r="I571" t="s">
        <v>30</v>
      </c>
      <c r="J571" t="s">
        <v>41</v>
      </c>
      <c r="K571" t="s">
        <v>229</v>
      </c>
      <c r="Q571">
        <v>0</v>
      </c>
      <c r="R571">
        <v>0</v>
      </c>
      <c r="S571">
        <v>0</v>
      </c>
      <c r="T571" t="s">
        <v>2686</v>
      </c>
    </row>
    <row r="572" spans="1:20" customFormat="1" ht="15" x14ac:dyDescent="0.25">
      <c r="A572" t="s">
        <v>35</v>
      </c>
      <c r="B572" t="s">
        <v>2671</v>
      </c>
      <c r="C572" t="str">
        <f>"A0192158"</f>
        <v>A0192158</v>
      </c>
      <c r="D572" t="s">
        <v>2687</v>
      </c>
      <c r="E572" t="s">
        <v>2688</v>
      </c>
      <c r="F572" t="s">
        <v>2689</v>
      </c>
      <c r="G572" t="s">
        <v>65</v>
      </c>
      <c r="H572">
        <v>45885</v>
      </c>
      <c r="I572" t="s">
        <v>30</v>
      </c>
      <c r="J572" t="s">
        <v>41</v>
      </c>
      <c r="K572" t="s">
        <v>229</v>
      </c>
      <c r="Q572">
        <v>0</v>
      </c>
      <c r="R572">
        <v>0</v>
      </c>
      <c r="S572">
        <v>0</v>
      </c>
      <c r="T572" t="s">
        <v>2690</v>
      </c>
    </row>
    <row r="573" spans="1:20" customFormat="1" ht="15" x14ac:dyDescent="0.25">
      <c r="A573" t="s">
        <v>35</v>
      </c>
      <c r="B573" t="s">
        <v>2671</v>
      </c>
      <c r="C573" t="str">
        <f>"A0192157"</f>
        <v>A0192157</v>
      </c>
      <c r="D573" t="s">
        <v>2691</v>
      </c>
      <c r="E573" t="s">
        <v>2692</v>
      </c>
      <c r="F573" t="s">
        <v>2693</v>
      </c>
      <c r="G573" t="s">
        <v>65</v>
      </c>
      <c r="H573">
        <v>45880</v>
      </c>
      <c r="I573" t="s">
        <v>30</v>
      </c>
      <c r="J573" t="s">
        <v>41</v>
      </c>
      <c r="K573" t="s">
        <v>229</v>
      </c>
      <c r="Q573">
        <v>0</v>
      </c>
      <c r="R573">
        <v>0</v>
      </c>
      <c r="S573">
        <v>0</v>
      </c>
      <c r="T573" t="s">
        <v>2694</v>
      </c>
    </row>
    <row r="574" spans="1:20" customFormat="1" ht="15" x14ac:dyDescent="0.25">
      <c r="A574" t="s">
        <v>35</v>
      </c>
      <c r="B574" t="s">
        <v>2671</v>
      </c>
      <c r="C574" t="str">
        <f>"A0192156"</f>
        <v>A0192156</v>
      </c>
      <c r="D574" t="s">
        <v>2695</v>
      </c>
      <c r="E574" t="s">
        <v>2696</v>
      </c>
      <c r="F574" t="s">
        <v>2697</v>
      </c>
      <c r="G574" t="s">
        <v>65</v>
      </c>
      <c r="H574">
        <v>45880</v>
      </c>
      <c r="I574" t="s">
        <v>30</v>
      </c>
      <c r="J574" t="s">
        <v>41</v>
      </c>
      <c r="K574" t="s">
        <v>229</v>
      </c>
      <c r="Q574">
        <v>0</v>
      </c>
      <c r="R574">
        <v>0</v>
      </c>
      <c r="S574">
        <v>0</v>
      </c>
      <c r="T574" t="s">
        <v>2694</v>
      </c>
    </row>
    <row r="575" spans="1:20" customFormat="1" ht="15" x14ac:dyDescent="0.25">
      <c r="A575" t="s">
        <v>35</v>
      </c>
      <c r="B575" t="s">
        <v>2671</v>
      </c>
      <c r="C575" t="str">
        <f>"A0192155"</f>
        <v>A0192155</v>
      </c>
      <c r="D575" t="s">
        <v>2698</v>
      </c>
      <c r="E575" t="s">
        <v>2699</v>
      </c>
      <c r="F575" t="s">
        <v>2700</v>
      </c>
      <c r="G575" t="s">
        <v>65</v>
      </c>
      <c r="H575">
        <v>45833</v>
      </c>
      <c r="I575" t="s">
        <v>30</v>
      </c>
      <c r="J575" t="s">
        <v>41</v>
      </c>
      <c r="K575" t="s">
        <v>229</v>
      </c>
      <c r="Q575">
        <v>0</v>
      </c>
      <c r="R575">
        <v>0</v>
      </c>
      <c r="S575">
        <v>0</v>
      </c>
      <c r="T575" t="s">
        <v>2701</v>
      </c>
    </row>
    <row r="576" spans="1:20" customFormat="1" ht="15" x14ac:dyDescent="0.25">
      <c r="A576" t="s">
        <v>35</v>
      </c>
      <c r="B576" t="s">
        <v>2671</v>
      </c>
      <c r="C576" t="str">
        <f>"A0192154"</f>
        <v>A0192154</v>
      </c>
      <c r="D576" t="s">
        <v>2702</v>
      </c>
      <c r="E576" t="s">
        <v>2703</v>
      </c>
      <c r="F576" t="s">
        <v>2704</v>
      </c>
      <c r="G576" t="s">
        <v>65</v>
      </c>
      <c r="H576">
        <v>45810</v>
      </c>
      <c r="I576" t="s">
        <v>30</v>
      </c>
      <c r="J576" t="s">
        <v>41</v>
      </c>
      <c r="K576" t="s">
        <v>229</v>
      </c>
      <c r="Q576">
        <v>0</v>
      </c>
      <c r="R576">
        <v>0</v>
      </c>
      <c r="S576">
        <v>0</v>
      </c>
      <c r="T576" t="s">
        <v>2705</v>
      </c>
    </row>
    <row r="577" spans="1:20" customFormat="1" ht="15" x14ac:dyDescent="0.25">
      <c r="A577" t="s">
        <v>35</v>
      </c>
      <c r="B577" t="s">
        <v>2671</v>
      </c>
      <c r="C577" t="str">
        <f>"A0192153"</f>
        <v>A0192153</v>
      </c>
      <c r="D577" t="s">
        <v>2706</v>
      </c>
      <c r="E577" t="s">
        <v>2707</v>
      </c>
      <c r="F577" t="s">
        <v>2640</v>
      </c>
      <c r="G577" t="s">
        <v>65</v>
      </c>
      <c r="H577">
        <v>45334</v>
      </c>
      <c r="I577" t="s">
        <v>30</v>
      </c>
      <c r="J577" t="s">
        <v>41</v>
      </c>
      <c r="K577" t="s">
        <v>229</v>
      </c>
      <c r="Q577">
        <v>0</v>
      </c>
      <c r="R577">
        <v>0</v>
      </c>
      <c r="S577">
        <v>92</v>
      </c>
      <c r="T577" t="s">
        <v>2708</v>
      </c>
    </row>
    <row r="578" spans="1:20" customFormat="1" ht="15" x14ac:dyDescent="0.25">
      <c r="A578" t="s">
        <v>35</v>
      </c>
      <c r="B578" t="s">
        <v>2671</v>
      </c>
      <c r="C578" t="str">
        <f>"A0192152"</f>
        <v>A0192152</v>
      </c>
      <c r="D578" t="s">
        <v>2671</v>
      </c>
      <c r="E578" t="s">
        <v>2709</v>
      </c>
      <c r="F578" t="s">
        <v>2685</v>
      </c>
      <c r="G578" t="s">
        <v>65</v>
      </c>
      <c r="H578">
        <v>45891</v>
      </c>
      <c r="I578" t="s">
        <v>30</v>
      </c>
      <c r="J578" t="s">
        <v>41</v>
      </c>
      <c r="K578" t="s">
        <v>290</v>
      </c>
      <c r="Q578">
        <v>0</v>
      </c>
      <c r="R578">
        <v>0</v>
      </c>
      <c r="S578">
        <v>0</v>
      </c>
      <c r="T578" t="s">
        <v>2710</v>
      </c>
    </row>
    <row r="579" spans="1:20" customFormat="1" ht="15" x14ac:dyDescent="0.25">
      <c r="A579" t="s">
        <v>35</v>
      </c>
      <c r="B579" t="s">
        <v>2711</v>
      </c>
      <c r="C579" t="str">
        <f>"A0192151"</f>
        <v>A0192151</v>
      </c>
      <c r="D579" t="s">
        <v>2712</v>
      </c>
      <c r="E579" t="s">
        <v>2713</v>
      </c>
      <c r="F579" t="s">
        <v>2714</v>
      </c>
      <c r="G579" t="s">
        <v>81</v>
      </c>
      <c r="H579">
        <v>33610</v>
      </c>
      <c r="I579" t="s">
        <v>30</v>
      </c>
      <c r="J579" t="s">
        <v>41</v>
      </c>
      <c r="K579" t="s">
        <v>2715</v>
      </c>
      <c r="Q579">
        <v>0</v>
      </c>
      <c r="R579">
        <v>0</v>
      </c>
      <c r="S579">
        <v>0</v>
      </c>
      <c r="T579" t="s">
        <v>72</v>
      </c>
    </row>
    <row r="580" spans="1:20" customFormat="1" ht="15" x14ac:dyDescent="0.25">
      <c r="A580" t="s">
        <v>35</v>
      </c>
      <c r="B580" t="s">
        <v>2716</v>
      </c>
      <c r="C580" t="str">
        <f>"A0192150"</f>
        <v>A0192150</v>
      </c>
      <c r="D580" t="s">
        <v>2717</v>
      </c>
      <c r="E580" t="s">
        <v>2718</v>
      </c>
      <c r="F580" t="s">
        <v>2719</v>
      </c>
      <c r="G580" t="s">
        <v>190</v>
      </c>
      <c r="H580">
        <v>80220</v>
      </c>
      <c r="I580" t="s">
        <v>30</v>
      </c>
      <c r="J580" t="s">
        <v>41</v>
      </c>
      <c r="K580" t="s">
        <v>59</v>
      </c>
      <c r="Q580">
        <v>0</v>
      </c>
      <c r="R580">
        <v>0</v>
      </c>
      <c r="S580">
        <v>85</v>
      </c>
      <c r="T580" t="s">
        <v>2720</v>
      </c>
    </row>
    <row r="581" spans="1:20" customFormat="1" ht="15" x14ac:dyDescent="0.25">
      <c r="A581" t="s">
        <v>35</v>
      </c>
      <c r="B581" t="s">
        <v>2721</v>
      </c>
      <c r="C581" t="str">
        <f>"A0192149"</f>
        <v>A0192149</v>
      </c>
      <c r="D581" t="s">
        <v>2722</v>
      </c>
      <c r="E581" t="s">
        <v>2723</v>
      </c>
      <c r="F581" t="s">
        <v>2724</v>
      </c>
      <c r="G581" t="s">
        <v>58</v>
      </c>
      <c r="H581">
        <v>29118</v>
      </c>
      <c r="I581" t="s">
        <v>30</v>
      </c>
      <c r="J581" t="s">
        <v>41</v>
      </c>
      <c r="K581" t="s">
        <v>59</v>
      </c>
      <c r="Q581">
        <v>0</v>
      </c>
      <c r="R581">
        <v>0</v>
      </c>
      <c r="S581">
        <v>49</v>
      </c>
      <c r="T581" t="s">
        <v>2725</v>
      </c>
    </row>
    <row r="582" spans="1:20" customFormat="1" ht="15" x14ac:dyDescent="0.25">
      <c r="A582" t="s">
        <v>35</v>
      </c>
      <c r="B582" t="s">
        <v>2721</v>
      </c>
      <c r="C582" t="str">
        <f>"A0192148"</f>
        <v>A0192148</v>
      </c>
      <c r="D582" t="s">
        <v>2726</v>
      </c>
      <c r="E582" t="s">
        <v>2727</v>
      </c>
      <c r="F582" t="s">
        <v>2728</v>
      </c>
      <c r="G582" t="s">
        <v>58</v>
      </c>
      <c r="H582">
        <v>29566</v>
      </c>
      <c r="I582" t="s">
        <v>30</v>
      </c>
      <c r="J582" t="s">
        <v>41</v>
      </c>
      <c r="K582" t="s">
        <v>59</v>
      </c>
      <c r="Q582">
        <v>0</v>
      </c>
      <c r="R582">
        <v>0</v>
      </c>
      <c r="S582">
        <v>80</v>
      </c>
      <c r="T582" t="s">
        <v>2729</v>
      </c>
    </row>
    <row r="583" spans="1:20" customFormat="1" ht="15" x14ac:dyDescent="0.25">
      <c r="A583" t="s">
        <v>35</v>
      </c>
      <c r="B583" t="s">
        <v>2721</v>
      </c>
      <c r="C583" t="str">
        <f>"A0192147"</f>
        <v>A0192147</v>
      </c>
      <c r="D583" t="s">
        <v>2730</v>
      </c>
      <c r="E583" t="s">
        <v>2731</v>
      </c>
      <c r="F583" t="s">
        <v>2732</v>
      </c>
      <c r="G583" t="s">
        <v>880</v>
      </c>
      <c r="H583">
        <v>37355</v>
      </c>
      <c r="I583" t="s">
        <v>30</v>
      </c>
      <c r="J583" t="s">
        <v>41</v>
      </c>
      <c r="K583" t="s">
        <v>59</v>
      </c>
      <c r="Q583">
        <v>0</v>
      </c>
      <c r="R583">
        <v>0</v>
      </c>
      <c r="S583">
        <v>62</v>
      </c>
      <c r="T583" t="s">
        <v>2733</v>
      </c>
    </row>
    <row r="584" spans="1:20" customFormat="1" ht="15" x14ac:dyDescent="0.25">
      <c r="A584" t="s">
        <v>35</v>
      </c>
      <c r="B584" t="s">
        <v>2721</v>
      </c>
      <c r="C584" t="str">
        <f>"A0192146"</f>
        <v>A0192146</v>
      </c>
      <c r="D584" t="s">
        <v>2734</v>
      </c>
      <c r="E584" t="s">
        <v>2735</v>
      </c>
      <c r="F584" t="s">
        <v>1689</v>
      </c>
      <c r="G584" t="s">
        <v>58</v>
      </c>
      <c r="H584">
        <v>29072</v>
      </c>
      <c r="I584" t="s">
        <v>30</v>
      </c>
      <c r="J584" t="s">
        <v>41</v>
      </c>
      <c r="K584" t="s">
        <v>59</v>
      </c>
      <c r="Q584">
        <v>0</v>
      </c>
      <c r="R584">
        <v>0</v>
      </c>
      <c r="S584">
        <v>49</v>
      </c>
      <c r="T584" t="s">
        <v>2736</v>
      </c>
    </row>
    <row r="585" spans="1:20" customFormat="1" ht="15" x14ac:dyDescent="0.25">
      <c r="A585" t="s">
        <v>35</v>
      </c>
      <c r="B585" t="s">
        <v>2721</v>
      </c>
      <c r="C585" t="str">
        <f>"A0192145"</f>
        <v>A0192145</v>
      </c>
      <c r="D585" t="s">
        <v>2737</v>
      </c>
      <c r="E585" t="s">
        <v>2738</v>
      </c>
      <c r="F585" t="s">
        <v>2739</v>
      </c>
      <c r="G585" t="s">
        <v>58</v>
      </c>
      <c r="H585">
        <v>29550</v>
      </c>
      <c r="I585" t="s">
        <v>30</v>
      </c>
      <c r="J585" t="s">
        <v>41</v>
      </c>
      <c r="K585" t="s">
        <v>59</v>
      </c>
      <c r="Q585">
        <v>0</v>
      </c>
      <c r="R585">
        <v>0</v>
      </c>
      <c r="S585">
        <v>54</v>
      </c>
      <c r="T585" t="s">
        <v>2740</v>
      </c>
    </row>
    <row r="586" spans="1:20" customFormat="1" ht="15" x14ac:dyDescent="0.25">
      <c r="A586" t="s">
        <v>35</v>
      </c>
      <c r="B586" t="s">
        <v>2721</v>
      </c>
      <c r="C586" t="str">
        <f>"A0192144"</f>
        <v>A0192144</v>
      </c>
      <c r="D586" t="s">
        <v>2741</v>
      </c>
      <c r="E586" t="s">
        <v>2742</v>
      </c>
      <c r="F586" t="s">
        <v>2743</v>
      </c>
      <c r="G586" t="s">
        <v>58</v>
      </c>
      <c r="H586">
        <v>29020</v>
      </c>
      <c r="I586" t="s">
        <v>30</v>
      </c>
      <c r="J586" t="s">
        <v>41</v>
      </c>
      <c r="K586" t="s">
        <v>59</v>
      </c>
      <c r="Q586">
        <v>0</v>
      </c>
      <c r="R586">
        <v>0</v>
      </c>
      <c r="S586">
        <v>49</v>
      </c>
      <c r="T586" t="s">
        <v>2744</v>
      </c>
    </row>
    <row r="587" spans="1:20" customFormat="1" ht="15" x14ac:dyDescent="0.25">
      <c r="A587" t="s">
        <v>35</v>
      </c>
      <c r="B587" t="s">
        <v>2745</v>
      </c>
      <c r="C587" t="str">
        <f>"A0192143"</f>
        <v>A0192143</v>
      </c>
      <c r="D587" t="s">
        <v>2746</v>
      </c>
      <c r="E587" t="s">
        <v>2747</v>
      </c>
      <c r="F587" t="s">
        <v>2748</v>
      </c>
      <c r="G587" t="s">
        <v>65</v>
      </c>
      <c r="H587">
        <v>43617</v>
      </c>
      <c r="I587" t="s">
        <v>30</v>
      </c>
      <c r="J587" t="s">
        <v>41</v>
      </c>
      <c r="K587" t="s">
        <v>461</v>
      </c>
      <c r="Q587">
        <v>0</v>
      </c>
      <c r="R587">
        <v>0</v>
      </c>
      <c r="S587">
        <v>0</v>
      </c>
      <c r="T587" t="s">
        <v>2749</v>
      </c>
    </row>
    <row r="588" spans="1:20" customFormat="1" ht="15" x14ac:dyDescent="0.25">
      <c r="A588" t="s">
        <v>35</v>
      </c>
      <c r="B588" t="s">
        <v>61</v>
      </c>
      <c r="C588" t="str">
        <f>"A0192142"</f>
        <v>A0192142</v>
      </c>
      <c r="D588" t="s">
        <v>2750</v>
      </c>
      <c r="E588" t="s">
        <v>2751</v>
      </c>
      <c r="F588" t="s">
        <v>2752</v>
      </c>
      <c r="G588" t="s">
        <v>52</v>
      </c>
      <c r="H588">
        <v>75948</v>
      </c>
      <c r="I588" t="s">
        <v>30</v>
      </c>
      <c r="J588" t="s">
        <v>41</v>
      </c>
      <c r="K588" t="s">
        <v>229</v>
      </c>
      <c r="Q588">
        <v>0</v>
      </c>
      <c r="R588">
        <v>0</v>
      </c>
      <c r="S588">
        <v>0</v>
      </c>
      <c r="T588" t="s">
        <v>2753</v>
      </c>
    </row>
    <row r="589" spans="1:20" customFormat="1" ht="15" x14ac:dyDescent="0.25">
      <c r="A589" t="s">
        <v>35</v>
      </c>
      <c r="B589" t="s">
        <v>61</v>
      </c>
      <c r="C589" t="str">
        <f>"A0192141"</f>
        <v>A0192141</v>
      </c>
      <c r="D589" t="s">
        <v>2754</v>
      </c>
      <c r="E589" t="s">
        <v>2755</v>
      </c>
      <c r="F589" t="s">
        <v>2756</v>
      </c>
      <c r="G589" t="s">
        <v>29</v>
      </c>
      <c r="H589">
        <v>20186</v>
      </c>
      <c r="I589" t="s">
        <v>30</v>
      </c>
      <c r="J589" t="s">
        <v>41</v>
      </c>
      <c r="K589" t="s">
        <v>2463</v>
      </c>
      <c r="Q589">
        <v>0</v>
      </c>
      <c r="R589">
        <v>0</v>
      </c>
      <c r="S589">
        <v>0</v>
      </c>
      <c r="T589" t="s">
        <v>2757</v>
      </c>
    </row>
    <row r="590" spans="1:20" customFormat="1" ht="15" x14ac:dyDescent="0.25">
      <c r="A590" t="s">
        <v>35</v>
      </c>
      <c r="B590" t="s">
        <v>61</v>
      </c>
      <c r="C590" t="str">
        <f>"A0192140"</f>
        <v>A0192140</v>
      </c>
      <c r="D590" t="s">
        <v>2758</v>
      </c>
      <c r="E590" t="s">
        <v>2759</v>
      </c>
      <c r="F590" t="s">
        <v>116</v>
      </c>
      <c r="G590" t="s">
        <v>117</v>
      </c>
      <c r="H590">
        <v>48197</v>
      </c>
      <c r="I590" t="s">
        <v>30</v>
      </c>
      <c r="J590" t="s">
        <v>41</v>
      </c>
      <c r="K590" t="s">
        <v>2760</v>
      </c>
      <c r="Q590">
        <v>0</v>
      </c>
      <c r="R590">
        <v>0</v>
      </c>
      <c r="S590">
        <v>0</v>
      </c>
      <c r="T590" t="s">
        <v>2761</v>
      </c>
    </row>
    <row r="591" spans="1:20" customFormat="1" ht="15" x14ac:dyDescent="0.25">
      <c r="A591" t="s">
        <v>35</v>
      </c>
      <c r="B591" t="s">
        <v>61</v>
      </c>
      <c r="C591" t="str">
        <f>"A0192139"</f>
        <v>A0192139</v>
      </c>
      <c r="D591" t="s">
        <v>2762</v>
      </c>
      <c r="E591" t="s">
        <v>2763</v>
      </c>
      <c r="F591" t="s">
        <v>2756</v>
      </c>
      <c r="G591" t="s">
        <v>29</v>
      </c>
      <c r="H591">
        <v>20187</v>
      </c>
      <c r="I591" t="s">
        <v>30</v>
      </c>
      <c r="J591" t="s">
        <v>41</v>
      </c>
      <c r="K591" t="s">
        <v>42</v>
      </c>
      <c r="Q591">
        <v>0</v>
      </c>
      <c r="R591">
        <v>0</v>
      </c>
      <c r="S591">
        <v>0</v>
      </c>
      <c r="T591" t="s">
        <v>72</v>
      </c>
    </row>
    <row r="592" spans="1:20" customFormat="1" ht="15" x14ac:dyDescent="0.25">
      <c r="A592" t="s">
        <v>35</v>
      </c>
      <c r="B592" t="s">
        <v>61</v>
      </c>
      <c r="C592" t="str">
        <f>"A0192138"</f>
        <v>A0192138</v>
      </c>
      <c r="D592" t="s">
        <v>2764</v>
      </c>
      <c r="E592" t="s">
        <v>2765</v>
      </c>
      <c r="F592" t="s">
        <v>2766</v>
      </c>
      <c r="G592" t="s">
        <v>99</v>
      </c>
      <c r="H592">
        <v>14424</v>
      </c>
      <c r="I592" t="s">
        <v>30</v>
      </c>
      <c r="J592" t="s">
        <v>41</v>
      </c>
      <c r="K592" t="s">
        <v>59</v>
      </c>
      <c r="Q592">
        <v>0</v>
      </c>
      <c r="R592">
        <v>0</v>
      </c>
      <c r="S592">
        <v>0</v>
      </c>
      <c r="T592" t="s">
        <v>72</v>
      </c>
    </row>
    <row r="593" spans="1:20" customFormat="1" ht="15" x14ac:dyDescent="0.25">
      <c r="A593" t="s">
        <v>35</v>
      </c>
      <c r="B593" t="s">
        <v>2767</v>
      </c>
      <c r="C593" t="str">
        <f>"A0192137"</f>
        <v>A0192137</v>
      </c>
      <c r="D593" t="s">
        <v>2768</v>
      </c>
      <c r="E593" t="s">
        <v>2769</v>
      </c>
      <c r="F593" t="s">
        <v>2770</v>
      </c>
      <c r="G593" t="s">
        <v>846</v>
      </c>
      <c r="H593">
        <v>30144</v>
      </c>
      <c r="I593" t="s">
        <v>30</v>
      </c>
      <c r="J593" t="s">
        <v>41</v>
      </c>
      <c r="K593" t="s">
        <v>229</v>
      </c>
      <c r="Q593">
        <v>0</v>
      </c>
      <c r="R593">
        <v>0</v>
      </c>
      <c r="S593">
        <v>0</v>
      </c>
      <c r="T593" t="s">
        <v>72</v>
      </c>
    </row>
    <row r="594" spans="1:20" customFormat="1" ht="15" x14ac:dyDescent="0.25">
      <c r="A594" t="s">
        <v>35</v>
      </c>
      <c r="B594" t="s">
        <v>2771</v>
      </c>
      <c r="C594" t="str">
        <f>"A0192136"</f>
        <v>A0192136</v>
      </c>
      <c r="D594" t="s">
        <v>2772</v>
      </c>
      <c r="E594" t="s">
        <v>2773</v>
      </c>
      <c r="F594" t="s">
        <v>2774</v>
      </c>
      <c r="G594" t="s">
        <v>81</v>
      </c>
      <c r="H594">
        <v>33010</v>
      </c>
      <c r="I594" t="s">
        <v>30</v>
      </c>
      <c r="J594" t="s">
        <v>41</v>
      </c>
      <c r="K594" t="s">
        <v>59</v>
      </c>
      <c r="Q594">
        <v>0</v>
      </c>
      <c r="R594">
        <v>0</v>
      </c>
      <c r="S594">
        <v>0</v>
      </c>
      <c r="T594" t="s">
        <v>72</v>
      </c>
    </row>
    <row r="595" spans="1:20" customFormat="1" ht="15" x14ac:dyDescent="0.25">
      <c r="A595" t="s">
        <v>35</v>
      </c>
      <c r="B595" t="s">
        <v>2771</v>
      </c>
      <c r="C595" t="str">
        <f>"A0192135"</f>
        <v>A0192135</v>
      </c>
      <c r="D595" t="s">
        <v>2775</v>
      </c>
      <c r="E595" t="s">
        <v>2776</v>
      </c>
      <c r="F595" t="s">
        <v>2777</v>
      </c>
      <c r="G595" t="s">
        <v>81</v>
      </c>
      <c r="H595">
        <v>33484</v>
      </c>
      <c r="I595" t="s">
        <v>30</v>
      </c>
      <c r="J595" t="s">
        <v>41</v>
      </c>
      <c r="K595" t="s">
        <v>59</v>
      </c>
      <c r="Q595">
        <v>0</v>
      </c>
      <c r="R595">
        <v>0</v>
      </c>
      <c r="S595">
        <v>0</v>
      </c>
      <c r="T595" t="s">
        <v>72</v>
      </c>
    </row>
    <row r="596" spans="1:20" customFormat="1" ht="15" x14ac:dyDescent="0.25">
      <c r="A596" t="s">
        <v>35</v>
      </c>
      <c r="B596" t="s">
        <v>2778</v>
      </c>
      <c r="C596" t="str">
        <f>"A0192134"</f>
        <v>A0192134</v>
      </c>
      <c r="D596" t="s">
        <v>2779</v>
      </c>
      <c r="E596" t="s">
        <v>2780</v>
      </c>
      <c r="F596" t="s">
        <v>57</v>
      </c>
      <c r="G596" t="s">
        <v>58</v>
      </c>
      <c r="H596">
        <v>29801</v>
      </c>
      <c r="I596" t="s">
        <v>30</v>
      </c>
      <c r="J596" t="s">
        <v>41</v>
      </c>
      <c r="K596" t="s">
        <v>2477</v>
      </c>
      <c r="Q596">
        <v>0</v>
      </c>
      <c r="R596">
        <v>0</v>
      </c>
      <c r="S596">
        <v>0</v>
      </c>
      <c r="T596" t="s">
        <v>2781</v>
      </c>
    </row>
    <row r="597" spans="1:20" customFormat="1" ht="15" x14ac:dyDescent="0.25">
      <c r="A597" t="s">
        <v>35</v>
      </c>
      <c r="B597" t="s">
        <v>2629</v>
      </c>
      <c r="C597" t="str">
        <f>"A0192133"</f>
        <v>A0192133</v>
      </c>
      <c r="D597" t="s">
        <v>2782</v>
      </c>
      <c r="E597" t="s">
        <v>2783</v>
      </c>
      <c r="F597" t="s">
        <v>2784</v>
      </c>
      <c r="G597" t="s">
        <v>925</v>
      </c>
      <c r="H597">
        <v>67205</v>
      </c>
      <c r="I597" t="s">
        <v>30</v>
      </c>
      <c r="J597" t="s">
        <v>41</v>
      </c>
      <c r="K597" t="s">
        <v>229</v>
      </c>
      <c r="Q597">
        <v>0</v>
      </c>
      <c r="R597">
        <v>0</v>
      </c>
      <c r="S597">
        <v>70</v>
      </c>
      <c r="T597" t="s">
        <v>2785</v>
      </c>
    </row>
    <row r="598" spans="1:20" customFormat="1" ht="15" x14ac:dyDescent="0.25">
      <c r="A598" t="s">
        <v>35</v>
      </c>
      <c r="B598" t="s">
        <v>2786</v>
      </c>
      <c r="C598" t="str">
        <f>"A0192132"</f>
        <v>A0192132</v>
      </c>
      <c r="D598" t="s">
        <v>2787</v>
      </c>
      <c r="E598" t="s">
        <v>2788</v>
      </c>
      <c r="F598" t="s">
        <v>2789</v>
      </c>
      <c r="G598" t="s">
        <v>123</v>
      </c>
      <c r="H598">
        <v>21601</v>
      </c>
      <c r="I598" t="s">
        <v>30</v>
      </c>
      <c r="J598" t="s">
        <v>41</v>
      </c>
      <c r="K598" t="s">
        <v>59</v>
      </c>
      <c r="Q598">
        <v>0</v>
      </c>
      <c r="R598">
        <v>0</v>
      </c>
      <c r="S598">
        <v>130</v>
      </c>
      <c r="T598" t="s">
        <v>2790</v>
      </c>
    </row>
    <row r="599" spans="1:20" customFormat="1" ht="15" x14ac:dyDescent="0.25">
      <c r="A599" t="s">
        <v>24</v>
      </c>
      <c r="B599" t="s">
        <v>2601</v>
      </c>
      <c r="C599" t="str">
        <f>"A0154255"</f>
        <v>A0154255</v>
      </c>
      <c r="D599" t="s">
        <v>2791</v>
      </c>
      <c r="E599" t="s">
        <v>2792</v>
      </c>
      <c r="F599" t="s">
        <v>2793</v>
      </c>
      <c r="G599" t="s">
        <v>99</v>
      </c>
      <c r="H599">
        <v>11590</v>
      </c>
      <c r="I599" t="s">
        <v>30</v>
      </c>
      <c r="J599" t="s">
        <v>145</v>
      </c>
      <c r="K599" t="s">
        <v>1234</v>
      </c>
      <c r="N599" t="s">
        <v>2794</v>
      </c>
      <c r="Q599">
        <v>0</v>
      </c>
      <c r="R599">
        <v>163</v>
      </c>
      <c r="S599">
        <v>0</v>
      </c>
      <c r="T599" t="s">
        <v>2795</v>
      </c>
    </row>
    <row r="600" spans="1:20" customFormat="1" ht="15" x14ac:dyDescent="0.25">
      <c r="A600" t="s">
        <v>24</v>
      </c>
      <c r="B600" t="s">
        <v>6611</v>
      </c>
      <c r="C600" t="str">
        <f>"A0189337"</f>
        <v>A0189337</v>
      </c>
      <c r="D600" t="s">
        <v>6612</v>
      </c>
      <c r="E600" t="s">
        <v>6613</v>
      </c>
      <c r="F600" t="s">
        <v>2971</v>
      </c>
      <c r="G600" t="s">
        <v>880</v>
      </c>
      <c r="H600">
        <v>37203</v>
      </c>
      <c r="I600" t="s">
        <v>30</v>
      </c>
      <c r="J600" t="s">
        <v>162</v>
      </c>
      <c r="K600" t="s">
        <v>163</v>
      </c>
      <c r="N600" t="s">
        <v>6614</v>
      </c>
      <c r="Q600">
        <v>0</v>
      </c>
      <c r="R600">
        <v>215</v>
      </c>
      <c r="S600">
        <v>0</v>
      </c>
      <c r="T600" t="s">
        <v>6615</v>
      </c>
    </row>
    <row r="601" spans="1:20" customFormat="1" ht="15" x14ac:dyDescent="0.25">
      <c r="A601" t="s">
        <v>24</v>
      </c>
      <c r="B601" t="s">
        <v>2601</v>
      </c>
      <c r="C601" t="str">
        <f>"A0164886"</f>
        <v>A0164886</v>
      </c>
      <c r="D601" t="s">
        <v>2801</v>
      </c>
      <c r="E601" t="s">
        <v>2802</v>
      </c>
      <c r="F601" t="s">
        <v>2803</v>
      </c>
      <c r="G601" t="s">
        <v>2450</v>
      </c>
      <c r="H601">
        <v>4043</v>
      </c>
      <c r="I601" t="s">
        <v>30</v>
      </c>
      <c r="J601" t="s">
        <v>31</v>
      </c>
      <c r="K601" t="s">
        <v>198</v>
      </c>
      <c r="N601" t="s">
        <v>2804</v>
      </c>
      <c r="Q601">
        <v>0</v>
      </c>
      <c r="R601">
        <v>73</v>
      </c>
      <c r="S601">
        <v>0</v>
      </c>
      <c r="T601" t="s">
        <v>2805</v>
      </c>
    </row>
    <row r="602" spans="1:20" customFormat="1" ht="15" x14ac:dyDescent="0.25">
      <c r="A602" t="s">
        <v>24</v>
      </c>
      <c r="B602" t="s">
        <v>6628</v>
      </c>
      <c r="C602" t="str">
        <f>"A0098808"</f>
        <v>A0098808</v>
      </c>
      <c r="D602" t="s">
        <v>6629</v>
      </c>
      <c r="E602" t="s">
        <v>6630</v>
      </c>
      <c r="F602" t="s">
        <v>6631</v>
      </c>
      <c r="G602" t="s">
        <v>338</v>
      </c>
      <c r="H602">
        <v>7419</v>
      </c>
      <c r="I602" t="s">
        <v>30</v>
      </c>
      <c r="J602" t="s">
        <v>162</v>
      </c>
      <c r="K602" t="s">
        <v>163</v>
      </c>
      <c r="N602" t="s">
        <v>6632</v>
      </c>
      <c r="O602" t="s">
        <v>6633</v>
      </c>
      <c r="P602" t="s">
        <v>3998</v>
      </c>
      <c r="Q602">
        <v>6</v>
      </c>
      <c r="R602">
        <v>520</v>
      </c>
      <c r="S602">
        <v>0</v>
      </c>
      <c r="T602" t="s">
        <v>6634</v>
      </c>
    </row>
    <row r="603" spans="1:20" customFormat="1" ht="15" x14ac:dyDescent="0.25">
      <c r="A603" t="s">
        <v>24</v>
      </c>
      <c r="B603" t="s">
        <v>2812</v>
      </c>
      <c r="C603" t="str">
        <f>"SF08325"</f>
        <v>SF08325</v>
      </c>
      <c r="D603" t="s">
        <v>2813</v>
      </c>
      <c r="E603" t="s">
        <v>2814</v>
      </c>
      <c r="F603" t="s">
        <v>985</v>
      </c>
      <c r="G603" t="s">
        <v>81</v>
      </c>
      <c r="H603">
        <v>32819</v>
      </c>
      <c r="I603" t="s">
        <v>30</v>
      </c>
      <c r="J603" t="s">
        <v>31</v>
      </c>
      <c r="K603" t="s">
        <v>32</v>
      </c>
      <c r="N603" t="s">
        <v>2815</v>
      </c>
      <c r="Q603">
        <v>0</v>
      </c>
      <c r="R603">
        <v>150</v>
      </c>
      <c r="S603">
        <v>0</v>
      </c>
      <c r="T603" t="s">
        <v>2816</v>
      </c>
    </row>
    <row r="604" spans="1:20" customFormat="1" ht="15" x14ac:dyDescent="0.25">
      <c r="A604" t="s">
        <v>24</v>
      </c>
      <c r="B604" t="s">
        <v>6647</v>
      </c>
      <c r="C604" t="str">
        <f>"A0189980"</f>
        <v>A0189980</v>
      </c>
      <c r="D604" t="s">
        <v>6648</v>
      </c>
      <c r="E604" t="s">
        <v>6649</v>
      </c>
      <c r="F604" t="s">
        <v>6650</v>
      </c>
      <c r="G604" t="s">
        <v>81</v>
      </c>
      <c r="H604">
        <v>33134</v>
      </c>
      <c r="I604" t="s">
        <v>30</v>
      </c>
      <c r="J604" t="s">
        <v>162</v>
      </c>
      <c r="K604" t="s">
        <v>6651</v>
      </c>
      <c r="N604" t="s">
        <v>6652</v>
      </c>
      <c r="O604" t="s">
        <v>6653</v>
      </c>
      <c r="Q604">
        <v>0</v>
      </c>
      <c r="R604">
        <v>242</v>
      </c>
      <c r="S604">
        <v>0</v>
      </c>
      <c r="T604" t="s">
        <v>6654</v>
      </c>
    </row>
    <row r="605" spans="1:20" customFormat="1" ht="15" x14ac:dyDescent="0.25">
      <c r="A605" t="s">
        <v>24</v>
      </c>
      <c r="B605" t="s">
        <v>2823</v>
      </c>
      <c r="C605" t="str">
        <f>"A0162016"</f>
        <v>A0162016</v>
      </c>
      <c r="D605" t="s">
        <v>2824</v>
      </c>
      <c r="E605" t="s">
        <v>2825</v>
      </c>
      <c r="F605" t="s">
        <v>2511</v>
      </c>
      <c r="G605" t="s">
        <v>29</v>
      </c>
      <c r="H605">
        <v>22192</v>
      </c>
      <c r="I605" t="s">
        <v>30</v>
      </c>
      <c r="J605" t="s">
        <v>31</v>
      </c>
      <c r="K605" t="s">
        <v>222</v>
      </c>
      <c r="N605" t="s">
        <v>2826</v>
      </c>
      <c r="Q605">
        <v>0</v>
      </c>
      <c r="R605">
        <v>91</v>
      </c>
      <c r="S605">
        <v>0</v>
      </c>
      <c r="T605" t="s">
        <v>2827</v>
      </c>
    </row>
    <row r="606" spans="1:20" customFormat="1" ht="15" x14ac:dyDescent="0.25">
      <c r="A606" t="s">
        <v>24</v>
      </c>
      <c r="B606" t="s">
        <v>140</v>
      </c>
      <c r="C606" t="str">
        <f>"A0054167"</f>
        <v>A0054167</v>
      </c>
      <c r="D606" t="s">
        <v>6655</v>
      </c>
      <c r="E606" t="s">
        <v>6656</v>
      </c>
      <c r="F606" t="s">
        <v>716</v>
      </c>
      <c r="G606" t="s">
        <v>289</v>
      </c>
      <c r="H606">
        <v>60611</v>
      </c>
      <c r="I606" t="s">
        <v>30</v>
      </c>
      <c r="J606" t="s">
        <v>162</v>
      </c>
      <c r="K606" t="s">
        <v>6657</v>
      </c>
      <c r="N606" t="s">
        <v>6658</v>
      </c>
      <c r="Q606">
        <v>0</v>
      </c>
      <c r="R606">
        <v>178</v>
      </c>
      <c r="S606">
        <v>0</v>
      </c>
      <c r="T606" t="s">
        <v>6659</v>
      </c>
    </row>
    <row r="607" spans="1:20" customFormat="1" ht="15" x14ac:dyDescent="0.25">
      <c r="A607" t="s">
        <v>24</v>
      </c>
      <c r="B607" t="s">
        <v>3045</v>
      </c>
      <c r="C607" t="str">
        <f>"A0190464"</f>
        <v>A0190464</v>
      </c>
      <c r="D607" t="s">
        <v>6798</v>
      </c>
      <c r="E607" t="s">
        <v>6799</v>
      </c>
      <c r="F607" t="s">
        <v>6800</v>
      </c>
      <c r="G607" t="s">
        <v>3049</v>
      </c>
      <c r="H607">
        <v>99755</v>
      </c>
      <c r="I607" t="s">
        <v>30</v>
      </c>
      <c r="J607" t="s">
        <v>162</v>
      </c>
      <c r="K607" t="s">
        <v>163</v>
      </c>
      <c r="N607" t="s">
        <v>6801</v>
      </c>
      <c r="Q607">
        <v>0</v>
      </c>
      <c r="R607">
        <v>166</v>
      </c>
      <c r="S607">
        <v>0</v>
      </c>
      <c r="T607" t="s">
        <v>6802</v>
      </c>
    </row>
    <row r="608" spans="1:20" customFormat="1" ht="15" x14ac:dyDescent="0.25">
      <c r="A608" t="s">
        <v>24</v>
      </c>
      <c r="B608" t="s">
        <v>2836</v>
      </c>
      <c r="C608" t="str">
        <f>"A0085752"</f>
        <v>A0085752</v>
      </c>
      <c r="D608" t="s">
        <v>2837</v>
      </c>
      <c r="E608" t="s">
        <v>2838</v>
      </c>
      <c r="F608" t="s">
        <v>2839</v>
      </c>
      <c r="G608" t="s">
        <v>846</v>
      </c>
      <c r="H608">
        <v>31401</v>
      </c>
      <c r="I608" t="s">
        <v>30</v>
      </c>
      <c r="J608" t="s">
        <v>31</v>
      </c>
      <c r="K608" t="s">
        <v>282</v>
      </c>
      <c r="N608" t="s">
        <v>2840</v>
      </c>
      <c r="Q608">
        <v>0</v>
      </c>
      <c r="R608">
        <v>143</v>
      </c>
      <c r="S608">
        <v>0</v>
      </c>
      <c r="T608" t="s">
        <v>2841</v>
      </c>
    </row>
    <row r="609" spans="1:25" customFormat="1" ht="15" x14ac:dyDescent="0.25">
      <c r="A609" t="s">
        <v>24</v>
      </c>
      <c r="B609" t="s">
        <v>2836</v>
      </c>
      <c r="C609" t="str">
        <f>"A0192119"</f>
        <v>A0192119</v>
      </c>
      <c r="D609" t="s">
        <v>2842</v>
      </c>
      <c r="E609" t="s">
        <v>2843</v>
      </c>
      <c r="F609" t="s">
        <v>1131</v>
      </c>
      <c r="G609" t="s">
        <v>29</v>
      </c>
      <c r="H609">
        <v>22202</v>
      </c>
      <c r="I609" t="s">
        <v>30</v>
      </c>
      <c r="J609" t="s">
        <v>31</v>
      </c>
      <c r="K609" t="s">
        <v>198</v>
      </c>
      <c r="N609" t="s">
        <v>2844</v>
      </c>
      <c r="Q609">
        <v>0</v>
      </c>
      <c r="R609">
        <v>162</v>
      </c>
      <c r="S609">
        <v>0</v>
      </c>
      <c r="T609" t="s">
        <v>2845</v>
      </c>
    </row>
    <row r="610" spans="1:25" customFormat="1" ht="15" x14ac:dyDescent="0.25">
      <c r="A610" t="s">
        <v>24</v>
      </c>
      <c r="B610" t="s">
        <v>3045</v>
      </c>
      <c r="C610" t="str">
        <f>"A0190458"</f>
        <v>A0190458</v>
      </c>
      <c r="D610" t="s">
        <v>6803</v>
      </c>
      <c r="E610" t="s">
        <v>6804</v>
      </c>
      <c r="F610" t="s">
        <v>6800</v>
      </c>
      <c r="G610" t="s">
        <v>3049</v>
      </c>
      <c r="H610">
        <v>99755</v>
      </c>
      <c r="I610" t="s">
        <v>30</v>
      </c>
      <c r="J610" t="s">
        <v>162</v>
      </c>
      <c r="K610" t="s">
        <v>163</v>
      </c>
      <c r="N610" t="s">
        <v>6801</v>
      </c>
      <c r="Q610">
        <v>0</v>
      </c>
      <c r="R610">
        <v>176</v>
      </c>
      <c r="S610">
        <v>0</v>
      </c>
      <c r="T610" t="s">
        <v>6802</v>
      </c>
    </row>
    <row r="611" spans="1:25" customFormat="1" ht="15" x14ac:dyDescent="0.25">
      <c r="A611" t="s">
        <v>24</v>
      </c>
      <c r="B611" t="s">
        <v>1561</v>
      </c>
      <c r="C611" t="str">
        <f>"A0097697"</f>
        <v>A0097697</v>
      </c>
      <c r="D611" t="s">
        <v>2849</v>
      </c>
      <c r="E611" t="s">
        <v>2850</v>
      </c>
      <c r="F611" t="s">
        <v>372</v>
      </c>
      <c r="G611" t="s">
        <v>52</v>
      </c>
      <c r="H611">
        <v>78753</v>
      </c>
      <c r="I611" t="s">
        <v>30</v>
      </c>
      <c r="J611" t="s">
        <v>31</v>
      </c>
      <c r="K611" t="s">
        <v>222</v>
      </c>
      <c r="N611" t="s">
        <v>2851</v>
      </c>
      <c r="O611" t="s">
        <v>2852</v>
      </c>
      <c r="Q611">
        <v>0</v>
      </c>
      <c r="R611">
        <v>122</v>
      </c>
      <c r="S611">
        <v>0</v>
      </c>
      <c r="T611" t="s">
        <v>2853</v>
      </c>
    </row>
    <row r="612" spans="1:25" customFormat="1" ht="15" x14ac:dyDescent="0.25">
      <c r="A612" t="s">
        <v>24</v>
      </c>
      <c r="B612" t="s">
        <v>1561</v>
      </c>
      <c r="C612" t="str">
        <f>"A0094249"</f>
        <v>A0094249</v>
      </c>
      <c r="D612" t="s">
        <v>2854</v>
      </c>
      <c r="E612" t="s">
        <v>2855</v>
      </c>
      <c r="F612" t="s">
        <v>2856</v>
      </c>
      <c r="G612" t="s">
        <v>52</v>
      </c>
      <c r="H612">
        <v>79925</v>
      </c>
      <c r="I612" t="s">
        <v>30</v>
      </c>
      <c r="J612" t="s">
        <v>31</v>
      </c>
      <c r="K612" t="s">
        <v>32</v>
      </c>
      <c r="N612" t="s">
        <v>2857</v>
      </c>
      <c r="O612" t="s">
        <v>2858</v>
      </c>
      <c r="Q612">
        <v>0</v>
      </c>
      <c r="R612">
        <v>124</v>
      </c>
      <c r="S612">
        <v>0</v>
      </c>
      <c r="T612" t="s">
        <v>2859</v>
      </c>
    </row>
    <row r="613" spans="1:25" customFormat="1" ht="15" x14ac:dyDescent="0.25">
      <c r="A613" t="s">
        <v>24</v>
      </c>
      <c r="B613" t="s">
        <v>4366</v>
      </c>
      <c r="C613" t="str">
        <f>"A0190457"</f>
        <v>A0190457</v>
      </c>
      <c r="D613" t="s">
        <v>6945</v>
      </c>
      <c r="E613" t="s">
        <v>6946</v>
      </c>
      <c r="F613" t="s">
        <v>6947</v>
      </c>
      <c r="G613" t="s">
        <v>52</v>
      </c>
      <c r="H613">
        <v>78046</v>
      </c>
      <c r="I613" t="s">
        <v>30</v>
      </c>
      <c r="J613" t="s">
        <v>162</v>
      </c>
      <c r="K613" t="s">
        <v>163</v>
      </c>
      <c r="Q613">
        <v>0</v>
      </c>
      <c r="R613">
        <v>0</v>
      </c>
      <c r="S613">
        <v>0</v>
      </c>
      <c r="T613" t="s">
        <v>6948</v>
      </c>
    </row>
    <row r="614" spans="1:25" customFormat="1" ht="15" x14ac:dyDescent="0.25">
      <c r="A614" t="s">
        <v>24</v>
      </c>
      <c r="B614" t="s">
        <v>1561</v>
      </c>
      <c r="C614" t="str">
        <f>"A0099206"</f>
        <v>A0099206</v>
      </c>
      <c r="D614" t="s">
        <v>2865</v>
      </c>
      <c r="E614" t="s">
        <v>2866</v>
      </c>
      <c r="F614" t="s">
        <v>2867</v>
      </c>
      <c r="G614" t="s">
        <v>925</v>
      </c>
      <c r="H614">
        <v>66211</v>
      </c>
      <c r="I614" t="s">
        <v>30</v>
      </c>
      <c r="J614" t="s">
        <v>31</v>
      </c>
      <c r="K614" t="s">
        <v>277</v>
      </c>
      <c r="N614" t="s">
        <v>2868</v>
      </c>
      <c r="O614" t="s">
        <v>2869</v>
      </c>
      <c r="Q614">
        <v>0</v>
      </c>
      <c r="R614">
        <v>156</v>
      </c>
      <c r="S614">
        <v>0</v>
      </c>
      <c r="T614" t="s">
        <v>2870</v>
      </c>
    </row>
    <row r="615" spans="1:25" customFormat="1" ht="15" x14ac:dyDescent="0.25">
      <c r="A615" t="s">
        <v>24</v>
      </c>
      <c r="B615" t="s">
        <v>1561</v>
      </c>
      <c r="C615" t="str">
        <f>"A0088574"</f>
        <v>A0088574</v>
      </c>
      <c r="D615" t="s">
        <v>2871</v>
      </c>
      <c r="E615" t="s">
        <v>2872</v>
      </c>
      <c r="F615" t="s">
        <v>845</v>
      </c>
      <c r="G615" t="s">
        <v>846</v>
      </c>
      <c r="H615">
        <v>30308</v>
      </c>
      <c r="I615" t="s">
        <v>30</v>
      </c>
      <c r="J615" t="s">
        <v>31</v>
      </c>
      <c r="K615" t="s">
        <v>277</v>
      </c>
      <c r="N615" t="s">
        <v>2873</v>
      </c>
      <c r="O615" t="s">
        <v>2874</v>
      </c>
      <c r="Q615">
        <v>0</v>
      </c>
      <c r="R615">
        <v>254</v>
      </c>
      <c r="S615">
        <v>0</v>
      </c>
      <c r="T615" t="s">
        <v>2875</v>
      </c>
    </row>
    <row r="616" spans="1:25" customFormat="1" ht="15" hidden="1" x14ac:dyDescent="0.25">
      <c r="A616" t="s">
        <v>24</v>
      </c>
      <c r="B616" t="s">
        <v>2876</v>
      </c>
      <c r="C616" t="str">
        <f>"A0192117"</f>
        <v>A0192117</v>
      </c>
      <c r="D616" t="s">
        <v>2877</v>
      </c>
      <c r="E616" t="s">
        <v>2878</v>
      </c>
      <c r="F616" t="s">
        <v>2879</v>
      </c>
      <c r="G616" t="s">
        <v>2206</v>
      </c>
      <c r="H616" t="s">
        <v>2880</v>
      </c>
      <c r="I616" t="s">
        <v>1459</v>
      </c>
      <c r="J616" t="s">
        <v>162</v>
      </c>
      <c r="K616" t="s">
        <v>2881</v>
      </c>
      <c r="N616" t="s">
        <v>2882</v>
      </c>
      <c r="Q616">
        <v>0</v>
      </c>
      <c r="R616">
        <v>125</v>
      </c>
      <c r="S616">
        <v>0</v>
      </c>
      <c r="T616" t="s">
        <v>2883</v>
      </c>
    </row>
    <row r="617" spans="1:25" customFormat="1" ht="15" x14ac:dyDescent="0.25">
      <c r="A617" t="s">
        <v>24</v>
      </c>
      <c r="B617" t="s">
        <v>1561</v>
      </c>
      <c r="C617" t="str">
        <f>"SF04986"</f>
        <v>SF04986</v>
      </c>
      <c r="D617" t="s">
        <v>2884</v>
      </c>
      <c r="E617" t="s">
        <v>2885</v>
      </c>
      <c r="F617" t="s">
        <v>356</v>
      </c>
      <c r="G617" t="s">
        <v>52</v>
      </c>
      <c r="H617">
        <v>78205</v>
      </c>
      <c r="I617" t="s">
        <v>30</v>
      </c>
      <c r="J617" t="s">
        <v>31</v>
      </c>
      <c r="K617" t="s">
        <v>255</v>
      </c>
      <c r="N617" t="s">
        <v>2886</v>
      </c>
      <c r="O617" t="s">
        <v>2887</v>
      </c>
      <c r="Q617">
        <v>0</v>
      </c>
      <c r="R617">
        <v>116</v>
      </c>
      <c r="S617">
        <v>0</v>
      </c>
      <c r="T617" t="s">
        <v>2888</v>
      </c>
    </row>
    <row r="618" spans="1:25" customFormat="1" ht="15" x14ac:dyDescent="0.25">
      <c r="A618" t="s">
        <v>24</v>
      </c>
      <c r="B618" t="s">
        <v>2011</v>
      </c>
      <c r="C618" t="str">
        <f>"A0185506"</f>
        <v>A0185506</v>
      </c>
      <c r="D618" t="s">
        <v>7010</v>
      </c>
      <c r="E618" t="s">
        <v>7011</v>
      </c>
      <c r="F618" t="s">
        <v>845</v>
      </c>
      <c r="G618" t="s">
        <v>846</v>
      </c>
      <c r="H618">
        <v>30305</v>
      </c>
      <c r="I618" t="s">
        <v>30</v>
      </c>
      <c r="J618" t="s">
        <v>162</v>
      </c>
      <c r="K618" t="s">
        <v>7012</v>
      </c>
      <c r="N618" t="s">
        <v>7013</v>
      </c>
      <c r="Q618">
        <v>0</v>
      </c>
      <c r="R618">
        <v>201</v>
      </c>
      <c r="S618">
        <v>0</v>
      </c>
      <c r="T618" t="s">
        <v>192</v>
      </c>
    </row>
    <row r="619" spans="1:25" customFormat="1" ht="15" x14ac:dyDescent="0.25">
      <c r="A619" t="s">
        <v>24</v>
      </c>
      <c r="B619" t="s">
        <v>2836</v>
      </c>
      <c r="C619" t="str">
        <f>"A0192113"</f>
        <v>A0192113</v>
      </c>
      <c r="D619" t="s">
        <v>2894</v>
      </c>
      <c r="E619" t="s">
        <v>2895</v>
      </c>
      <c r="F619" t="s">
        <v>2839</v>
      </c>
      <c r="G619" t="s">
        <v>846</v>
      </c>
      <c r="H619">
        <v>31401</v>
      </c>
      <c r="I619" t="s">
        <v>30</v>
      </c>
      <c r="J619" t="s">
        <v>31</v>
      </c>
      <c r="K619" t="s">
        <v>198</v>
      </c>
      <c r="N619" t="s">
        <v>2896</v>
      </c>
      <c r="Q619">
        <v>0</v>
      </c>
      <c r="R619">
        <v>147</v>
      </c>
      <c r="S619">
        <v>0</v>
      </c>
      <c r="T619" t="s">
        <v>2897</v>
      </c>
    </row>
    <row r="620" spans="1:25" customFormat="1" ht="15" x14ac:dyDescent="0.25">
      <c r="A620" t="s">
        <v>24</v>
      </c>
      <c r="B620" t="s">
        <v>1528</v>
      </c>
      <c r="C620" t="str">
        <f>"A0192116"</f>
        <v>A0192116</v>
      </c>
      <c r="D620" t="s">
        <v>2898</v>
      </c>
      <c r="E620" t="s">
        <v>2899</v>
      </c>
      <c r="F620" t="s">
        <v>2900</v>
      </c>
      <c r="G620" t="s">
        <v>76</v>
      </c>
      <c r="H620">
        <v>98104</v>
      </c>
      <c r="I620" t="s">
        <v>30</v>
      </c>
      <c r="J620" t="s">
        <v>2272</v>
      </c>
      <c r="K620" t="s">
        <v>163</v>
      </c>
      <c r="N620" t="s">
        <v>2901</v>
      </c>
      <c r="Q620">
        <v>0</v>
      </c>
      <c r="R620">
        <v>0</v>
      </c>
      <c r="S620">
        <v>0</v>
      </c>
      <c r="T620" t="s">
        <v>2902</v>
      </c>
    </row>
    <row r="621" spans="1:25" customFormat="1" ht="15" x14ac:dyDescent="0.25">
      <c r="A621" t="s">
        <v>24</v>
      </c>
      <c r="B621" t="s">
        <v>1528</v>
      </c>
      <c r="C621" t="str">
        <f>"A0192115"</f>
        <v>A0192115</v>
      </c>
      <c r="D621" t="s">
        <v>2903</v>
      </c>
      <c r="E621" t="s">
        <v>2904</v>
      </c>
      <c r="F621" t="s">
        <v>2900</v>
      </c>
      <c r="G621" t="s">
        <v>76</v>
      </c>
      <c r="H621">
        <v>98101</v>
      </c>
      <c r="I621" t="s">
        <v>30</v>
      </c>
      <c r="J621" t="s">
        <v>2272</v>
      </c>
      <c r="K621" t="s">
        <v>163</v>
      </c>
      <c r="N621" t="s">
        <v>2905</v>
      </c>
      <c r="O621" t="s">
        <v>2901</v>
      </c>
      <c r="Q621">
        <v>0</v>
      </c>
      <c r="R621">
        <v>0</v>
      </c>
      <c r="S621">
        <v>0</v>
      </c>
      <c r="T621" t="s">
        <v>2902</v>
      </c>
    </row>
    <row r="622" spans="1:25" x14ac:dyDescent="0.25">
      <c r="A622" s="5" t="s">
        <v>24</v>
      </c>
      <c r="B622" s="5" t="s">
        <v>7014</v>
      </c>
      <c r="C622" s="5" t="str">
        <f>"A0063593"</f>
        <v>A0063593</v>
      </c>
      <c r="D622" s="5" t="s">
        <v>7036</v>
      </c>
      <c r="E622" s="5" t="s">
        <v>7037</v>
      </c>
      <c r="F622" s="5" t="s">
        <v>204</v>
      </c>
      <c r="G622" s="5" t="s">
        <v>110</v>
      </c>
      <c r="H622" s="5">
        <v>90212</v>
      </c>
      <c r="I622" s="5" t="s">
        <v>30</v>
      </c>
      <c r="J622" s="5" t="s">
        <v>162</v>
      </c>
      <c r="K622" s="5" t="s">
        <v>7017</v>
      </c>
      <c r="L622" s="5"/>
      <c r="M622" s="5"/>
      <c r="N622" s="5" t="s">
        <v>7038</v>
      </c>
      <c r="O622" s="5"/>
      <c r="P622" s="5"/>
      <c r="Q622" s="5">
        <v>0</v>
      </c>
      <c r="R622" s="5">
        <v>79</v>
      </c>
      <c r="S622" s="5">
        <v>0</v>
      </c>
      <c r="T622" s="5" t="s">
        <v>7039</v>
      </c>
      <c r="U622" s="5"/>
      <c r="V622" s="5"/>
      <c r="W622" s="5"/>
      <c r="X622" s="5"/>
      <c r="Y622" s="5"/>
    </row>
    <row r="623" spans="1:25" customFormat="1" ht="15" x14ac:dyDescent="0.25">
      <c r="A623" t="s">
        <v>24</v>
      </c>
      <c r="B623" t="s">
        <v>7014</v>
      </c>
      <c r="C623" t="str">
        <f>"A0067986"</f>
        <v>A0067986</v>
      </c>
      <c r="D623" t="s">
        <v>7061</v>
      </c>
      <c r="E623" t="s">
        <v>7062</v>
      </c>
      <c r="F623" t="s">
        <v>7063</v>
      </c>
      <c r="G623" t="s">
        <v>110</v>
      </c>
      <c r="H623">
        <v>92262</v>
      </c>
      <c r="I623" t="s">
        <v>30</v>
      </c>
      <c r="J623" t="s">
        <v>162</v>
      </c>
      <c r="K623" t="s">
        <v>7017</v>
      </c>
      <c r="N623" t="s">
        <v>7064</v>
      </c>
      <c r="Q623">
        <v>0</v>
      </c>
      <c r="R623">
        <v>67</v>
      </c>
      <c r="S623">
        <v>0</v>
      </c>
      <c r="T623" t="s">
        <v>7065</v>
      </c>
    </row>
    <row r="624" spans="1:25" customFormat="1" ht="15" x14ac:dyDescent="0.25">
      <c r="A624" t="s">
        <v>24</v>
      </c>
      <c r="B624" t="s">
        <v>7145</v>
      </c>
      <c r="C624" t="str">
        <f>"A0189910"</f>
        <v>A0189910</v>
      </c>
      <c r="D624" t="s">
        <v>7151</v>
      </c>
      <c r="E624" t="s">
        <v>7152</v>
      </c>
      <c r="F624" t="s">
        <v>7153</v>
      </c>
      <c r="G624" t="s">
        <v>117</v>
      </c>
      <c r="H624">
        <v>48228</v>
      </c>
      <c r="I624" t="s">
        <v>30</v>
      </c>
      <c r="J624" t="s">
        <v>162</v>
      </c>
      <c r="K624" t="s">
        <v>7154</v>
      </c>
      <c r="N624" t="s">
        <v>7155</v>
      </c>
      <c r="O624" t="s">
        <v>7156</v>
      </c>
      <c r="Q624">
        <v>0</v>
      </c>
      <c r="R624">
        <v>347</v>
      </c>
      <c r="S624">
        <v>0</v>
      </c>
      <c r="T624" t="s">
        <v>7157</v>
      </c>
    </row>
    <row r="625" spans="1:20" customFormat="1" ht="15" x14ac:dyDescent="0.25">
      <c r="A625" t="s">
        <v>24</v>
      </c>
      <c r="B625" t="s">
        <v>7145</v>
      </c>
      <c r="C625" t="str">
        <f>"A0084342"</f>
        <v>A0084342</v>
      </c>
      <c r="D625" t="s">
        <v>7158</v>
      </c>
      <c r="E625" t="s">
        <v>7159</v>
      </c>
      <c r="F625" t="s">
        <v>7160</v>
      </c>
      <c r="G625" t="s">
        <v>289</v>
      </c>
      <c r="H625">
        <v>60007</v>
      </c>
      <c r="I625" t="s">
        <v>30</v>
      </c>
      <c r="J625" t="s">
        <v>162</v>
      </c>
      <c r="K625" t="s">
        <v>1502</v>
      </c>
      <c r="N625" t="s">
        <v>7161</v>
      </c>
      <c r="O625" t="s">
        <v>7162</v>
      </c>
      <c r="Q625">
        <v>0</v>
      </c>
      <c r="R625">
        <v>253</v>
      </c>
      <c r="S625">
        <v>0</v>
      </c>
      <c r="T625" t="s">
        <v>7163</v>
      </c>
    </row>
    <row r="626" spans="1:20" customFormat="1" ht="15" x14ac:dyDescent="0.25">
      <c r="A626" t="s">
        <v>24</v>
      </c>
      <c r="B626" t="s">
        <v>7339</v>
      </c>
      <c r="C626" t="str">
        <f>"SC158"</f>
        <v>SC158</v>
      </c>
      <c r="D626" t="s">
        <v>7340</v>
      </c>
      <c r="E626" t="s">
        <v>7341</v>
      </c>
      <c r="F626" t="s">
        <v>356</v>
      </c>
      <c r="G626" t="s">
        <v>52</v>
      </c>
      <c r="H626">
        <v>78216</v>
      </c>
      <c r="I626" t="s">
        <v>30</v>
      </c>
      <c r="J626" t="s">
        <v>162</v>
      </c>
      <c r="K626" t="s">
        <v>1490</v>
      </c>
      <c r="N626" t="s">
        <v>7342</v>
      </c>
      <c r="Q626">
        <v>0</v>
      </c>
      <c r="R626">
        <v>365</v>
      </c>
      <c r="S626">
        <v>0</v>
      </c>
      <c r="T626" t="s">
        <v>7343</v>
      </c>
    </row>
    <row r="627" spans="1:20" customFormat="1" ht="15" x14ac:dyDescent="0.25">
      <c r="A627" t="s">
        <v>24</v>
      </c>
      <c r="B627" t="s">
        <v>7427</v>
      </c>
      <c r="C627" t="str">
        <f>"A0092396"</f>
        <v>A0092396</v>
      </c>
      <c r="D627" t="s">
        <v>7428</v>
      </c>
      <c r="E627" t="s">
        <v>7429</v>
      </c>
      <c r="F627" t="s">
        <v>2856</v>
      </c>
      <c r="G627" t="s">
        <v>52</v>
      </c>
      <c r="H627">
        <v>79925</v>
      </c>
      <c r="I627" t="s">
        <v>30</v>
      </c>
      <c r="J627" t="s">
        <v>162</v>
      </c>
      <c r="K627" t="s">
        <v>854</v>
      </c>
      <c r="N627" t="s">
        <v>7430</v>
      </c>
      <c r="O627" t="s">
        <v>7431</v>
      </c>
      <c r="Q627">
        <v>0</v>
      </c>
      <c r="R627">
        <v>111</v>
      </c>
      <c r="S627">
        <v>0</v>
      </c>
      <c r="T627" t="s">
        <v>7432</v>
      </c>
    </row>
    <row r="628" spans="1:20" customFormat="1" ht="15" x14ac:dyDescent="0.25">
      <c r="A628" t="s">
        <v>24</v>
      </c>
      <c r="B628" t="s">
        <v>2936</v>
      </c>
      <c r="C628" t="str">
        <f>"A0187928"</f>
        <v>A0187928</v>
      </c>
      <c r="D628" t="s">
        <v>2937</v>
      </c>
      <c r="E628" t="s">
        <v>2938</v>
      </c>
      <c r="F628" t="s">
        <v>2939</v>
      </c>
      <c r="G628" t="s">
        <v>110</v>
      </c>
      <c r="H628">
        <v>90221</v>
      </c>
      <c r="I628" t="s">
        <v>30</v>
      </c>
      <c r="J628" t="s">
        <v>145</v>
      </c>
      <c r="K628" t="s">
        <v>163</v>
      </c>
      <c r="N628" t="s">
        <v>2940</v>
      </c>
      <c r="Q628">
        <v>0</v>
      </c>
      <c r="R628">
        <v>30</v>
      </c>
      <c r="S628">
        <v>0</v>
      </c>
      <c r="T628" t="s">
        <v>2941</v>
      </c>
    </row>
    <row r="629" spans="1:20" customFormat="1" ht="15" x14ac:dyDescent="0.25">
      <c r="A629" t="s">
        <v>24</v>
      </c>
      <c r="B629" t="s">
        <v>2936</v>
      </c>
      <c r="C629" t="str">
        <f>"A0187927"</f>
        <v>A0187927</v>
      </c>
      <c r="D629" t="s">
        <v>2942</v>
      </c>
      <c r="E629" t="s">
        <v>2943</v>
      </c>
      <c r="F629" t="s">
        <v>2939</v>
      </c>
      <c r="G629" t="s">
        <v>110</v>
      </c>
      <c r="H629">
        <v>90221</v>
      </c>
      <c r="I629" t="s">
        <v>30</v>
      </c>
      <c r="J629" t="s">
        <v>145</v>
      </c>
      <c r="K629" t="s">
        <v>163</v>
      </c>
      <c r="N629" t="s">
        <v>2944</v>
      </c>
      <c r="Q629">
        <v>0</v>
      </c>
      <c r="R629">
        <v>13</v>
      </c>
      <c r="S629">
        <v>0</v>
      </c>
      <c r="T629" t="s">
        <v>2945</v>
      </c>
    </row>
    <row r="630" spans="1:20" customFormat="1" ht="15" x14ac:dyDescent="0.25">
      <c r="A630" t="s">
        <v>24</v>
      </c>
      <c r="B630" t="s">
        <v>2340</v>
      </c>
      <c r="C630" t="str">
        <f>"A0055983"</f>
        <v>A0055983</v>
      </c>
      <c r="D630" t="s">
        <v>2946</v>
      </c>
      <c r="E630" t="s">
        <v>2947</v>
      </c>
      <c r="F630" t="s">
        <v>1570</v>
      </c>
      <c r="G630" t="s">
        <v>81</v>
      </c>
      <c r="H630">
        <v>33309</v>
      </c>
      <c r="I630" t="s">
        <v>30</v>
      </c>
      <c r="J630" t="s">
        <v>31</v>
      </c>
      <c r="K630" t="s">
        <v>321</v>
      </c>
      <c r="N630" t="s">
        <v>2948</v>
      </c>
      <c r="Q630">
        <v>0</v>
      </c>
      <c r="R630">
        <v>145</v>
      </c>
      <c r="S630">
        <v>0</v>
      </c>
      <c r="T630" t="s">
        <v>2949</v>
      </c>
    </row>
    <row r="631" spans="1:20" customFormat="1" ht="15" x14ac:dyDescent="0.25">
      <c r="A631" t="s">
        <v>24</v>
      </c>
      <c r="B631" t="s">
        <v>2373</v>
      </c>
      <c r="C631" t="str">
        <f>"A0190336"</f>
        <v>A0190336</v>
      </c>
      <c r="D631" t="s">
        <v>7433</v>
      </c>
      <c r="E631" t="s">
        <v>7434</v>
      </c>
      <c r="F631" t="s">
        <v>845</v>
      </c>
      <c r="G631" t="s">
        <v>846</v>
      </c>
      <c r="H631">
        <v>30363</v>
      </c>
      <c r="I631" t="s">
        <v>30</v>
      </c>
      <c r="J631" t="s">
        <v>162</v>
      </c>
      <c r="K631" t="s">
        <v>266</v>
      </c>
      <c r="N631" t="s">
        <v>7435</v>
      </c>
      <c r="Q631">
        <v>0</v>
      </c>
      <c r="R631">
        <v>181</v>
      </c>
      <c r="S631">
        <v>0</v>
      </c>
      <c r="T631" t="s">
        <v>7436</v>
      </c>
    </row>
    <row r="632" spans="1:20" customFormat="1" ht="15" x14ac:dyDescent="0.25">
      <c r="A632" t="s">
        <v>24</v>
      </c>
      <c r="B632" t="s">
        <v>1268</v>
      </c>
      <c r="C632" t="str">
        <f>"A0072002"</f>
        <v>A0072002</v>
      </c>
      <c r="D632" t="s">
        <v>7473</v>
      </c>
      <c r="E632" t="s">
        <v>7474</v>
      </c>
      <c r="F632" t="s">
        <v>7153</v>
      </c>
      <c r="G632" t="s">
        <v>117</v>
      </c>
      <c r="H632">
        <v>48226</v>
      </c>
      <c r="I632" t="s">
        <v>30</v>
      </c>
      <c r="J632" t="s">
        <v>162</v>
      </c>
      <c r="K632" t="s">
        <v>2819</v>
      </c>
      <c r="N632" t="s">
        <v>7475</v>
      </c>
      <c r="Q632">
        <v>0</v>
      </c>
      <c r="R632">
        <v>241</v>
      </c>
      <c r="S632">
        <v>0</v>
      </c>
      <c r="T632" t="s">
        <v>7476</v>
      </c>
    </row>
    <row r="633" spans="1:20" customFormat="1" ht="15" x14ac:dyDescent="0.25">
      <c r="A633" t="s">
        <v>24</v>
      </c>
      <c r="B633" t="s">
        <v>814</v>
      </c>
      <c r="C633" t="str">
        <f>"SC114"</f>
        <v>SC114</v>
      </c>
      <c r="D633" t="s">
        <v>7556</v>
      </c>
      <c r="E633" t="s">
        <v>7557</v>
      </c>
      <c r="F633" t="s">
        <v>5369</v>
      </c>
      <c r="G633" t="s">
        <v>58</v>
      </c>
      <c r="H633">
        <v>29401</v>
      </c>
      <c r="I633" t="s">
        <v>30</v>
      </c>
      <c r="J633" t="s">
        <v>162</v>
      </c>
      <c r="K633" t="s">
        <v>4581</v>
      </c>
      <c r="N633" t="s">
        <v>7558</v>
      </c>
      <c r="Q633">
        <v>0</v>
      </c>
      <c r="R633">
        <v>214</v>
      </c>
      <c r="S633">
        <v>0</v>
      </c>
      <c r="T633" t="s">
        <v>7559</v>
      </c>
    </row>
    <row r="634" spans="1:20" customFormat="1" ht="15" x14ac:dyDescent="0.25">
      <c r="A634" t="s">
        <v>24</v>
      </c>
      <c r="B634" t="s">
        <v>5435</v>
      </c>
      <c r="C634" t="str">
        <f>"A0190213"</f>
        <v>A0190213</v>
      </c>
      <c r="D634" t="s">
        <v>7565</v>
      </c>
      <c r="E634" t="s">
        <v>7566</v>
      </c>
      <c r="F634" t="s">
        <v>7567</v>
      </c>
      <c r="G634" t="s">
        <v>110</v>
      </c>
      <c r="H634">
        <v>95476</v>
      </c>
      <c r="I634" t="s">
        <v>30</v>
      </c>
      <c r="J634" t="s">
        <v>162</v>
      </c>
      <c r="K634" t="s">
        <v>163</v>
      </c>
      <c r="N634" t="s">
        <v>7568</v>
      </c>
      <c r="O634" t="s">
        <v>7569</v>
      </c>
      <c r="Q634">
        <v>0</v>
      </c>
      <c r="R634">
        <v>64</v>
      </c>
      <c r="S634">
        <v>0</v>
      </c>
      <c r="T634" t="s">
        <v>7570</v>
      </c>
    </row>
    <row r="635" spans="1:20" customFormat="1" ht="15" x14ac:dyDescent="0.25">
      <c r="A635" t="s">
        <v>24</v>
      </c>
      <c r="B635" t="s">
        <v>193</v>
      </c>
      <c r="C635" t="str">
        <f>"A0068955"</f>
        <v>A0068955</v>
      </c>
      <c r="D635" t="s">
        <v>7577</v>
      </c>
      <c r="E635" t="s">
        <v>7578</v>
      </c>
      <c r="F635" t="s">
        <v>7579</v>
      </c>
      <c r="G635" t="s">
        <v>40</v>
      </c>
      <c r="H635">
        <v>74136</v>
      </c>
      <c r="I635" t="s">
        <v>30</v>
      </c>
      <c r="J635" t="s">
        <v>162</v>
      </c>
      <c r="K635" t="s">
        <v>759</v>
      </c>
      <c r="N635" t="s">
        <v>7580</v>
      </c>
      <c r="O635" t="s">
        <v>7581</v>
      </c>
      <c r="Q635">
        <v>0</v>
      </c>
      <c r="R635">
        <v>370</v>
      </c>
      <c r="S635">
        <v>0</v>
      </c>
      <c r="T635" t="s">
        <v>7582</v>
      </c>
    </row>
    <row r="636" spans="1:20" customFormat="1" ht="15" x14ac:dyDescent="0.25">
      <c r="A636" t="s">
        <v>24</v>
      </c>
      <c r="B636" t="s">
        <v>2011</v>
      </c>
      <c r="C636" t="str">
        <f>"HY09129"</f>
        <v>HY09129</v>
      </c>
      <c r="D636" t="s">
        <v>7596</v>
      </c>
      <c r="E636" t="s">
        <v>7597</v>
      </c>
      <c r="F636" t="s">
        <v>748</v>
      </c>
      <c r="G636" t="s">
        <v>110</v>
      </c>
      <c r="H636">
        <v>94111</v>
      </c>
      <c r="I636" t="s">
        <v>30</v>
      </c>
      <c r="J636" t="s">
        <v>162</v>
      </c>
      <c r="K636" t="s">
        <v>7598</v>
      </c>
      <c r="N636" t="s">
        <v>7599</v>
      </c>
      <c r="O636" t="s">
        <v>7600</v>
      </c>
      <c r="P636" t="s">
        <v>6426</v>
      </c>
      <c r="Q636">
        <v>0</v>
      </c>
      <c r="R636">
        <v>805</v>
      </c>
      <c r="S636">
        <v>0</v>
      </c>
      <c r="T636" t="s">
        <v>7601</v>
      </c>
    </row>
    <row r="637" spans="1:20" customFormat="1" ht="15" x14ac:dyDescent="0.25">
      <c r="A637" t="s">
        <v>24</v>
      </c>
      <c r="B637" t="s">
        <v>1561</v>
      </c>
      <c r="C637" t="str">
        <f>"A0094051"</f>
        <v>A0094051</v>
      </c>
      <c r="D637" t="s">
        <v>2981</v>
      </c>
      <c r="E637" t="s">
        <v>2982</v>
      </c>
      <c r="F637" t="s">
        <v>2983</v>
      </c>
      <c r="G637" t="s">
        <v>81</v>
      </c>
      <c r="H637">
        <v>32746</v>
      </c>
      <c r="I637" t="s">
        <v>30</v>
      </c>
      <c r="J637" t="s">
        <v>31</v>
      </c>
      <c r="K637" t="s">
        <v>198</v>
      </c>
      <c r="N637" t="s">
        <v>2984</v>
      </c>
      <c r="O637" t="s">
        <v>2985</v>
      </c>
      <c r="Q637">
        <v>0</v>
      </c>
      <c r="R637">
        <v>130</v>
      </c>
      <c r="S637">
        <v>0</v>
      </c>
      <c r="T637" t="s">
        <v>2986</v>
      </c>
    </row>
    <row r="638" spans="1:20" customFormat="1" ht="15" x14ac:dyDescent="0.25">
      <c r="A638" t="s">
        <v>35</v>
      </c>
      <c r="B638" t="s">
        <v>2987</v>
      </c>
      <c r="C638" t="str">
        <f>"A0167379"</f>
        <v>A0167379</v>
      </c>
      <c r="D638" t="s">
        <v>2988</v>
      </c>
      <c r="E638" t="s">
        <v>2989</v>
      </c>
      <c r="F638" t="s">
        <v>2990</v>
      </c>
      <c r="G638" t="s">
        <v>103</v>
      </c>
      <c r="H638">
        <v>17110</v>
      </c>
      <c r="I638" t="s">
        <v>30</v>
      </c>
      <c r="J638" t="s">
        <v>41</v>
      </c>
      <c r="K638" t="s">
        <v>59</v>
      </c>
      <c r="Q638">
        <v>0</v>
      </c>
      <c r="R638">
        <v>50</v>
      </c>
      <c r="S638">
        <v>50</v>
      </c>
      <c r="T638" t="s">
        <v>2991</v>
      </c>
    </row>
    <row r="639" spans="1:20" customFormat="1" ht="15" x14ac:dyDescent="0.25">
      <c r="A639" t="s">
        <v>35</v>
      </c>
      <c r="B639" t="s">
        <v>2987</v>
      </c>
      <c r="C639" t="str">
        <f>"A0127085"</f>
        <v>A0127085</v>
      </c>
      <c r="D639" t="s">
        <v>2992</v>
      </c>
      <c r="E639" t="s">
        <v>2993</v>
      </c>
      <c r="F639" t="s">
        <v>2994</v>
      </c>
      <c r="G639" t="s">
        <v>103</v>
      </c>
      <c r="H639">
        <v>19610</v>
      </c>
      <c r="I639" t="s">
        <v>30</v>
      </c>
      <c r="J639" t="s">
        <v>41</v>
      </c>
      <c r="K639" t="s">
        <v>59</v>
      </c>
      <c r="Q639">
        <v>0</v>
      </c>
      <c r="R639">
        <v>50</v>
      </c>
      <c r="S639">
        <v>50</v>
      </c>
      <c r="T639" t="s">
        <v>2995</v>
      </c>
    </row>
    <row r="640" spans="1:20" customFormat="1" ht="15" x14ac:dyDescent="0.25">
      <c r="A640" t="s">
        <v>35</v>
      </c>
      <c r="B640" t="s">
        <v>2987</v>
      </c>
      <c r="C640" t="str">
        <f>"A0127084"</f>
        <v>A0127084</v>
      </c>
      <c r="D640" t="s">
        <v>2996</v>
      </c>
      <c r="E640" t="s">
        <v>2997</v>
      </c>
      <c r="F640" t="s">
        <v>2998</v>
      </c>
      <c r="G640" t="s">
        <v>103</v>
      </c>
      <c r="H640">
        <v>19426</v>
      </c>
      <c r="I640" t="s">
        <v>30</v>
      </c>
      <c r="J640" t="s">
        <v>41</v>
      </c>
      <c r="K640" t="s">
        <v>59</v>
      </c>
      <c r="Q640">
        <v>0</v>
      </c>
      <c r="R640">
        <v>50</v>
      </c>
      <c r="S640">
        <v>50</v>
      </c>
      <c r="T640" t="s">
        <v>2999</v>
      </c>
    </row>
    <row r="641" spans="1:20" customFormat="1" ht="15" x14ac:dyDescent="0.25">
      <c r="A641" t="s">
        <v>35</v>
      </c>
      <c r="B641" t="s">
        <v>2987</v>
      </c>
      <c r="C641" t="str">
        <f>"A0127083"</f>
        <v>A0127083</v>
      </c>
      <c r="D641" t="s">
        <v>3000</v>
      </c>
      <c r="E641" t="s">
        <v>3001</v>
      </c>
      <c r="F641" t="s">
        <v>3002</v>
      </c>
      <c r="G641" t="s">
        <v>103</v>
      </c>
      <c r="H641">
        <v>17331</v>
      </c>
      <c r="I641" t="s">
        <v>30</v>
      </c>
      <c r="J641" t="s">
        <v>41</v>
      </c>
      <c r="K641" t="s">
        <v>59</v>
      </c>
      <c r="Q641">
        <v>0</v>
      </c>
      <c r="R641">
        <v>48</v>
      </c>
      <c r="S641">
        <v>48</v>
      </c>
      <c r="T641" t="s">
        <v>3003</v>
      </c>
    </row>
    <row r="642" spans="1:20" customFormat="1" ht="15" x14ac:dyDescent="0.25">
      <c r="A642" t="s">
        <v>35</v>
      </c>
      <c r="B642" t="s">
        <v>2987</v>
      </c>
      <c r="C642" t="str">
        <f>"A0127082"</f>
        <v>A0127082</v>
      </c>
      <c r="D642" t="s">
        <v>3004</v>
      </c>
      <c r="E642" t="s">
        <v>3005</v>
      </c>
      <c r="F642" t="s">
        <v>3006</v>
      </c>
      <c r="G642" t="s">
        <v>103</v>
      </c>
      <c r="H642">
        <v>17078</v>
      </c>
      <c r="I642" t="s">
        <v>30</v>
      </c>
      <c r="J642" t="s">
        <v>41</v>
      </c>
      <c r="K642" t="s">
        <v>59</v>
      </c>
      <c r="Q642">
        <v>0</v>
      </c>
      <c r="R642">
        <v>60</v>
      </c>
      <c r="S642">
        <v>60</v>
      </c>
      <c r="T642" t="s">
        <v>3007</v>
      </c>
    </row>
    <row r="643" spans="1:20" customFormat="1" ht="15" x14ac:dyDescent="0.25">
      <c r="A643" t="s">
        <v>35</v>
      </c>
      <c r="B643" t="s">
        <v>2987</v>
      </c>
      <c r="C643" t="str">
        <f>"A0127081"</f>
        <v>A0127081</v>
      </c>
      <c r="D643" t="s">
        <v>2987</v>
      </c>
      <c r="E643" t="s">
        <v>3008</v>
      </c>
      <c r="F643" t="s">
        <v>3009</v>
      </c>
      <c r="G643" t="s">
        <v>103</v>
      </c>
      <c r="H643">
        <v>17604</v>
      </c>
      <c r="I643" t="s">
        <v>30</v>
      </c>
      <c r="J643" t="s">
        <v>41</v>
      </c>
      <c r="K643" t="s">
        <v>290</v>
      </c>
      <c r="Q643">
        <v>0</v>
      </c>
      <c r="R643">
        <v>0</v>
      </c>
      <c r="S643">
        <v>0</v>
      </c>
      <c r="T643" t="s">
        <v>3010</v>
      </c>
    </row>
    <row r="644" spans="1:20" customFormat="1" ht="15" x14ac:dyDescent="0.25">
      <c r="A644" t="s">
        <v>24</v>
      </c>
      <c r="B644" t="s">
        <v>3011</v>
      </c>
      <c r="C644" t="str">
        <f>"202QZ"</f>
        <v>202QZ</v>
      </c>
      <c r="D644" t="s">
        <v>3012</v>
      </c>
      <c r="E644" t="s">
        <v>3013</v>
      </c>
      <c r="F644" t="s">
        <v>3014</v>
      </c>
      <c r="G644" t="s">
        <v>846</v>
      </c>
      <c r="H644">
        <v>30265</v>
      </c>
      <c r="I644" t="s">
        <v>30</v>
      </c>
      <c r="J644" t="s">
        <v>31</v>
      </c>
      <c r="K644" t="s">
        <v>255</v>
      </c>
      <c r="N644" t="s">
        <v>3015</v>
      </c>
      <c r="Q644">
        <v>0</v>
      </c>
      <c r="R644">
        <v>82</v>
      </c>
      <c r="S644">
        <v>0</v>
      </c>
      <c r="T644" t="s">
        <v>3016</v>
      </c>
    </row>
    <row r="645" spans="1:20" customFormat="1" ht="15" x14ac:dyDescent="0.25">
      <c r="A645" t="s">
        <v>24</v>
      </c>
      <c r="B645" t="s">
        <v>1561</v>
      </c>
      <c r="C645" t="str">
        <f>"A0095687"</f>
        <v>A0095687</v>
      </c>
      <c r="D645" t="s">
        <v>3017</v>
      </c>
      <c r="E645" t="s">
        <v>3018</v>
      </c>
      <c r="F645" t="s">
        <v>2564</v>
      </c>
      <c r="G645" t="s">
        <v>81</v>
      </c>
      <c r="H645">
        <v>32301</v>
      </c>
      <c r="I645" t="s">
        <v>30</v>
      </c>
      <c r="J645" t="s">
        <v>31</v>
      </c>
      <c r="K645" t="s">
        <v>261</v>
      </c>
      <c r="N645" t="s">
        <v>3019</v>
      </c>
      <c r="O645" t="s">
        <v>3020</v>
      </c>
      <c r="Q645">
        <v>0</v>
      </c>
      <c r="R645">
        <v>134</v>
      </c>
      <c r="S645">
        <v>0</v>
      </c>
      <c r="T645" t="s">
        <v>3021</v>
      </c>
    </row>
    <row r="646" spans="1:20" customFormat="1" ht="15" x14ac:dyDescent="0.25">
      <c r="A646" t="s">
        <v>24</v>
      </c>
      <c r="B646" t="s">
        <v>7667</v>
      </c>
      <c r="C646" t="str">
        <f>"SF03479"</f>
        <v>SF03479</v>
      </c>
      <c r="D646" t="s">
        <v>7668</v>
      </c>
      <c r="E646" t="s">
        <v>7669</v>
      </c>
      <c r="F646" t="s">
        <v>7670</v>
      </c>
      <c r="G646" t="s">
        <v>99</v>
      </c>
      <c r="H646">
        <v>11436</v>
      </c>
      <c r="I646" t="s">
        <v>30</v>
      </c>
      <c r="J646" t="s">
        <v>162</v>
      </c>
      <c r="K646" t="s">
        <v>4809</v>
      </c>
      <c r="N646" t="s">
        <v>7671</v>
      </c>
      <c r="O646" t="s">
        <v>7672</v>
      </c>
      <c r="Q646">
        <v>0</v>
      </c>
      <c r="R646">
        <v>360</v>
      </c>
      <c r="S646">
        <v>0</v>
      </c>
      <c r="T646" t="s">
        <v>7673</v>
      </c>
    </row>
    <row r="647" spans="1:20" customFormat="1" ht="15" x14ac:dyDescent="0.25">
      <c r="A647" t="s">
        <v>24</v>
      </c>
      <c r="B647" t="s">
        <v>1561</v>
      </c>
      <c r="C647" t="str">
        <f>"A0147538"</f>
        <v>A0147538</v>
      </c>
      <c r="D647" t="s">
        <v>3027</v>
      </c>
      <c r="E647" t="s">
        <v>3028</v>
      </c>
      <c r="F647" t="s">
        <v>3029</v>
      </c>
      <c r="G647" t="s">
        <v>58</v>
      </c>
      <c r="H647">
        <v>29483</v>
      </c>
      <c r="I647" t="s">
        <v>30</v>
      </c>
      <c r="J647" t="s">
        <v>31</v>
      </c>
      <c r="K647" t="s">
        <v>261</v>
      </c>
      <c r="N647" t="s">
        <v>3030</v>
      </c>
      <c r="O647" t="s">
        <v>3031</v>
      </c>
      <c r="Q647">
        <v>0</v>
      </c>
      <c r="R647">
        <v>93</v>
      </c>
      <c r="S647">
        <v>0</v>
      </c>
      <c r="T647" t="s">
        <v>3032</v>
      </c>
    </row>
    <row r="648" spans="1:20" customFormat="1" ht="15" x14ac:dyDescent="0.25">
      <c r="A648" t="s">
        <v>24</v>
      </c>
      <c r="B648" t="s">
        <v>1561</v>
      </c>
      <c r="C648" t="str">
        <f>"A0095743"</f>
        <v>A0095743</v>
      </c>
      <c r="D648" t="s">
        <v>3033</v>
      </c>
      <c r="E648" t="s">
        <v>3034</v>
      </c>
      <c r="F648" t="s">
        <v>3035</v>
      </c>
      <c r="G648" t="s">
        <v>1369</v>
      </c>
      <c r="H648">
        <v>38671</v>
      </c>
      <c r="I648" t="s">
        <v>30</v>
      </c>
      <c r="J648" t="s">
        <v>31</v>
      </c>
      <c r="K648" t="s">
        <v>261</v>
      </c>
      <c r="N648" t="s">
        <v>3036</v>
      </c>
      <c r="O648" t="s">
        <v>3037</v>
      </c>
      <c r="Q648">
        <v>0</v>
      </c>
      <c r="R648">
        <v>105</v>
      </c>
      <c r="S648">
        <v>0</v>
      </c>
      <c r="T648" t="s">
        <v>3038</v>
      </c>
    </row>
    <row r="649" spans="1:20" customFormat="1" ht="15" x14ac:dyDescent="0.25">
      <c r="A649" t="s">
        <v>24</v>
      </c>
      <c r="B649" t="s">
        <v>1561</v>
      </c>
      <c r="C649" t="str">
        <f>"A0095685"</f>
        <v>A0095685</v>
      </c>
      <c r="D649" t="s">
        <v>3039</v>
      </c>
      <c r="E649" t="s">
        <v>3040</v>
      </c>
      <c r="F649" t="s">
        <v>3041</v>
      </c>
      <c r="G649" t="s">
        <v>840</v>
      </c>
      <c r="H649">
        <v>40503</v>
      </c>
      <c r="I649" t="s">
        <v>30</v>
      </c>
      <c r="J649" t="s">
        <v>31</v>
      </c>
      <c r="K649" t="s">
        <v>261</v>
      </c>
      <c r="N649" t="s">
        <v>3042</v>
      </c>
      <c r="O649" t="s">
        <v>3043</v>
      </c>
      <c r="Q649">
        <v>0</v>
      </c>
      <c r="R649">
        <v>108</v>
      </c>
      <c r="S649">
        <v>0</v>
      </c>
      <c r="T649" t="s">
        <v>3044</v>
      </c>
    </row>
    <row r="650" spans="1:20" customFormat="1" ht="15" x14ac:dyDescent="0.25">
      <c r="A650" t="s">
        <v>24</v>
      </c>
      <c r="B650" t="s">
        <v>3045</v>
      </c>
      <c r="C650" t="str">
        <f>"A0191313"</f>
        <v>A0191313</v>
      </c>
      <c r="D650" t="s">
        <v>3046</v>
      </c>
      <c r="E650" t="s">
        <v>3047</v>
      </c>
      <c r="F650" t="s">
        <v>3048</v>
      </c>
      <c r="G650" t="s">
        <v>3049</v>
      </c>
      <c r="H650">
        <v>99503</v>
      </c>
      <c r="I650" t="s">
        <v>30</v>
      </c>
      <c r="J650" t="s">
        <v>31</v>
      </c>
      <c r="K650" t="s">
        <v>277</v>
      </c>
      <c r="N650" t="s">
        <v>3050</v>
      </c>
      <c r="Q650">
        <v>0</v>
      </c>
      <c r="R650">
        <v>146</v>
      </c>
      <c r="S650">
        <v>0</v>
      </c>
      <c r="T650" t="s">
        <v>3051</v>
      </c>
    </row>
    <row r="651" spans="1:20" customFormat="1" ht="15" x14ac:dyDescent="0.25">
      <c r="A651" t="s">
        <v>24</v>
      </c>
      <c r="B651" t="s">
        <v>2812</v>
      </c>
      <c r="C651" t="str">
        <f>"88HI002"</f>
        <v>88HI002</v>
      </c>
      <c r="D651" t="s">
        <v>7688</v>
      </c>
      <c r="E651" t="s">
        <v>7689</v>
      </c>
      <c r="F651" t="s">
        <v>7690</v>
      </c>
      <c r="G651" t="s">
        <v>846</v>
      </c>
      <c r="H651">
        <v>30076</v>
      </c>
      <c r="I651" t="s">
        <v>30</v>
      </c>
      <c r="J651" t="s">
        <v>162</v>
      </c>
      <c r="K651" t="s">
        <v>759</v>
      </c>
      <c r="N651" t="s">
        <v>7691</v>
      </c>
      <c r="Q651">
        <v>0</v>
      </c>
      <c r="R651">
        <v>172</v>
      </c>
      <c r="S651">
        <v>0</v>
      </c>
      <c r="T651" t="s">
        <v>7692</v>
      </c>
    </row>
    <row r="652" spans="1:20" customFormat="1" ht="15" x14ac:dyDescent="0.25">
      <c r="A652" t="s">
        <v>24</v>
      </c>
      <c r="B652" t="s">
        <v>1561</v>
      </c>
      <c r="C652" t="str">
        <f>"A0095686"</f>
        <v>A0095686</v>
      </c>
      <c r="D652" t="s">
        <v>3057</v>
      </c>
      <c r="E652" t="s">
        <v>3058</v>
      </c>
      <c r="F652" t="s">
        <v>3059</v>
      </c>
      <c r="G652" t="s">
        <v>52</v>
      </c>
      <c r="H652">
        <v>78681</v>
      </c>
      <c r="I652" t="s">
        <v>30</v>
      </c>
      <c r="J652" t="s">
        <v>31</v>
      </c>
      <c r="K652" t="s">
        <v>261</v>
      </c>
      <c r="N652" t="s">
        <v>3060</v>
      </c>
      <c r="Q652">
        <v>0</v>
      </c>
      <c r="R652">
        <v>91</v>
      </c>
      <c r="S652">
        <v>0</v>
      </c>
      <c r="T652" t="s">
        <v>3061</v>
      </c>
    </row>
    <row r="653" spans="1:20" customFormat="1" ht="15" x14ac:dyDescent="0.25">
      <c r="A653" t="s">
        <v>24</v>
      </c>
      <c r="B653" t="s">
        <v>5120</v>
      </c>
      <c r="C653" t="str">
        <f>"A0189885"</f>
        <v>A0189885</v>
      </c>
      <c r="D653" t="s">
        <v>7873</v>
      </c>
      <c r="E653" t="s">
        <v>7874</v>
      </c>
      <c r="F653" t="s">
        <v>2241</v>
      </c>
      <c r="G653" t="s">
        <v>110</v>
      </c>
      <c r="H653">
        <v>94558</v>
      </c>
      <c r="I653" t="s">
        <v>30</v>
      </c>
      <c r="J653" t="s">
        <v>162</v>
      </c>
      <c r="K653" t="s">
        <v>2819</v>
      </c>
      <c r="N653" t="s">
        <v>7875</v>
      </c>
      <c r="Q653">
        <v>0</v>
      </c>
      <c r="R653">
        <v>115</v>
      </c>
      <c r="S653">
        <v>0</v>
      </c>
      <c r="T653" t="s">
        <v>7876</v>
      </c>
    </row>
    <row r="654" spans="1:20" customFormat="1" ht="15" hidden="1" x14ac:dyDescent="0.25">
      <c r="A654" t="s">
        <v>24</v>
      </c>
      <c r="B654" t="s">
        <v>675</v>
      </c>
      <c r="C654" t="str">
        <f>"A0157920"</f>
        <v>A0157920</v>
      </c>
      <c r="D654" t="s">
        <v>3068</v>
      </c>
      <c r="E654" t="s">
        <v>3069</v>
      </c>
      <c r="F654" t="s">
        <v>3070</v>
      </c>
      <c r="G654" t="s">
        <v>3071</v>
      </c>
      <c r="H654">
        <v>21254</v>
      </c>
      <c r="I654" t="s">
        <v>2408</v>
      </c>
      <c r="J654" t="s">
        <v>171</v>
      </c>
      <c r="K654" t="s">
        <v>973</v>
      </c>
      <c r="N654" t="s">
        <v>3072</v>
      </c>
      <c r="Q654">
        <v>0</v>
      </c>
      <c r="R654">
        <v>138</v>
      </c>
      <c r="S654">
        <v>0</v>
      </c>
      <c r="T654" t="s">
        <v>3073</v>
      </c>
    </row>
    <row r="655" spans="1:20" customFormat="1" ht="15" x14ac:dyDescent="0.25">
      <c r="A655" t="s">
        <v>35</v>
      </c>
      <c r="B655" t="s">
        <v>3074</v>
      </c>
      <c r="C655" t="str">
        <f>"A0192093"</f>
        <v>A0192093</v>
      </c>
      <c r="D655" t="s">
        <v>3075</v>
      </c>
      <c r="E655" t="s">
        <v>3076</v>
      </c>
      <c r="F655" t="s">
        <v>3077</v>
      </c>
      <c r="G655" t="s">
        <v>1170</v>
      </c>
      <c r="H655">
        <v>70158</v>
      </c>
      <c r="I655" t="s">
        <v>30</v>
      </c>
      <c r="J655" t="s">
        <v>41</v>
      </c>
      <c r="K655" t="s">
        <v>59</v>
      </c>
      <c r="Q655">
        <v>0</v>
      </c>
      <c r="R655">
        <v>0</v>
      </c>
      <c r="S655">
        <v>0</v>
      </c>
      <c r="T655" t="s">
        <v>3078</v>
      </c>
    </row>
    <row r="656" spans="1:20" customFormat="1" ht="15" x14ac:dyDescent="0.25">
      <c r="A656" t="s">
        <v>35</v>
      </c>
      <c r="B656" t="s">
        <v>3074</v>
      </c>
      <c r="C656" t="str">
        <f>"A0192092"</f>
        <v>A0192092</v>
      </c>
      <c r="D656" t="s">
        <v>3079</v>
      </c>
      <c r="E656" t="s">
        <v>3080</v>
      </c>
      <c r="F656" t="s">
        <v>3081</v>
      </c>
      <c r="G656" t="s">
        <v>52</v>
      </c>
      <c r="H656">
        <v>75904</v>
      </c>
      <c r="I656" t="s">
        <v>30</v>
      </c>
      <c r="J656" t="s">
        <v>41</v>
      </c>
      <c r="K656" t="s">
        <v>59</v>
      </c>
      <c r="Q656">
        <v>0</v>
      </c>
      <c r="R656">
        <v>0</v>
      </c>
      <c r="S656">
        <v>0</v>
      </c>
      <c r="T656" t="s">
        <v>3082</v>
      </c>
    </row>
    <row r="657" spans="1:20" customFormat="1" ht="15" x14ac:dyDescent="0.25">
      <c r="A657" t="s">
        <v>35</v>
      </c>
      <c r="B657" t="s">
        <v>3074</v>
      </c>
      <c r="C657" t="str">
        <f>"A0192091"</f>
        <v>A0192091</v>
      </c>
      <c r="D657" t="s">
        <v>3083</v>
      </c>
      <c r="E657" t="s">
        <v>3084</v>
      </c>
      <c r="F657" t="s">
        <v>3085</v>
      </c>
      <c r="G657" t="s">
        <v>1170</v>
      </c>
      <c r="H657">
        <v>70506</v>
      </c>
      <c r="I657" t="s">
        <v>30</v>
      </c>
      <c r="J657" t="s">
        <v>41</v>
      </c>
      <c r="K657" t="s">
        <v>59</v>
      </c>
      <c r="Q657">
        <v>0</v>
      </c>
      <c r="R657">
        <v>0</v>
      </c>
      <c r="S657">
        <v>0</v>
      </c>
      <c r="T657" t="s">
        <v>3086</v>
      </c>
    </row>
    <row r="658" spans="1:20" customFormat="1" ht="15" x14ac:dyDescent="0.25">
      <c r="A658" t="s">
        <v>35</v>
      </c>
      <c r="B658" t="s">
        <v>3087</v>
      </c>
      <c r="C658" t="str">
        <f>"A0192090"</f>
        <v>A0192090</v>
      </c>
      <c r="D658" t="s">
        <v>3088</v>
      </c>
      <c r="E658" t="s">
        <v>3089</v>
      </c>
      <c r="F658" t="s">
        <v>902</v>
      </c>
      <c r="G658" t="s">
        <v>221</v>
      </c>
      <c r="H658">
        <v>89130</v>
      </c>
      <c r="I658" t="s">
        <v>30</v>
      </c>
      <c r="J658" t="s">
        <v>41</v>
      </c>
      <c r="K658" t="s">
        <v>229</v>
      </c>
      <c r="Q658">
        <v>0</v>
      </c>
      <c r="R658">
        <v>0</v>
      </c>
      <c r="S658">
        <v>155</v>
      </c>
      <c r="T658" t="s">
        <v>3090</v>
      </c>
    </row>
    <row r="659" spans="1:20" customFormat="1" ht="15" x14ac:dyDescent="0.25">
      <c r="A659" t="s">
        <v>35</v>
      </c>
      <c r="B659" t="s">
        <v>61</v>
      </c>
      <c r="C659" t="str">
        <f>"A0192089"</f>
        <v>A0192089</v>
      </c>
      <c r="D659" t="s">
        <v>3091</v>
      </c>
      <c r="E659" t="s">
        <v>3092</v>
      </c>
      <c r="F659" t="s">
        <v>3093</v>
      </c>
      <c r="G659" t="s">
        <v>846</v>
      </c>
      <c r="H659">
        <v>30830</v>
      </c>
      <c r="I659" t="s">
        <v>30</v>
      </c>
      <c r="J659" t="s">
        <v>41</v>
      </c>
      <c r="K659" t="s">
        <v>290</v>
      </c>
      <c r="Q659">
        <v>0</v>
      </c>
      <c r="R659">
        <v>0</v>
      </c>
      <c r="S659">
        <v>0</v>
      </c>
      <c r="T659" t="s">
        <v>72</v>
      </c>
    </row>
    <row r="660" spans="1:20" customFormat="1" ht="15" x14ac:dyDescent="0.25">
      <c r="A660" t="s">
        <v>35</v>
      </c>
      <c r="B660" t="s">
        <v>225</v>
      </c>
      <c r="C660" t="str">
        <f>"A0192088"</f>
        <v>A0192088</v>
      </c>
      <c r="D660" t="s">
        <v>3094</v>
      </c>
      <c r="E660" t="s">
        <v>3095</v>
      </c>
      <c r="F660" t="s">
        <v>3096</v>
      </c>
      <c r="G660" t="s">
        <v>1508</v>
      </c>
      <c r="H660">
        <v>82001</v>
      </c>
      <c r="I660" t="s">
        <v>30</v>
      </c>
      <c r="J660" t="s">
        <v>41</v>
      </c>
      <c r="K660" t="s">
        <v>229</v>
      </c>
      <c r="Q660">
        <v>0</v>
      </c>
      <c r="R660">
        <v>0</v>
      </c>
      <c r="S660">
        <v>105</v>
      </c>
      <c r="T660" t="s">
        <v>3097</v>
      </c>
    </row>
    <row r="661" spans="1:20" customFormat="1" ht="15" x14ac:dyDescent="0.25">
      <c r="A661" t="s">
        <v>35</v>
      </c>
      <c r="B661" t="s">
        <v>225</v>
      </c>
      <c r="C661" t="str">
        <f>"A0192087"</f>
        <v>A0192087</v>
      </c>
      <c r="D661" t="s">
        <v>3098</v>
      </c>
      <c r="E661" t="s">
        <v>3099</v>
      </c>
      <c r="F661" t="s">
        <v>3100</v>
      </c>
      <c r="G661" t="s">
        <v>1508</v>
      </c>
      <c r="H661">
        <v>82601</v>
      </c>
      <c r="I661" t="s">
        <v>30</v>
      </c>
      <c r="J661" t="s">
        <v>41</v>
      </c>
      <c r="K661" t="s">
        <v>229</v>
      </c>
      <c r="Q661">
        <v>0</v>
      </c>
      <c r="R661">
        <v>0</v>
      </c>
      <c r="S661">
        <v>120</v>
      </c>
      <c r="T661" t="s">
        <v>3101</v>
      </c>
    </row>
    <row r="662" spans="1:20" customFormat="1" ht="15" x14ac:dyDescent="0.25">
      <c r="A662" t="s">
        <v>35</v>
      </c>
      <c r="B662" t="s">
        <v>225</v>
      </c>
      <c r="C662" t="str">
        <f>"A0192086"</f>
        <v>A0192086</v>
      </c>
      <c r="D662" t="s">
        <v>3102</v>
      </c>
      <c r="E662" t="s">
        <v>3103</v>
      </c>
      <c r="F662" t="s">
        <v>3104</v>
      </c>
      <c r="G662" t="s">
        <v>1508</v>
      </c>
      <c r="H662">
        <v>82801</v>
      </c>
      <c r="I662" t="s">
        <v>30</v>
      </c>
      <c r="J662" t="s">
        <v>41</v>
      </c>
      <c r="K662" t="s">
        <v>229</v>
      </c>
      <c r="Q662">
        <v>0</v>
      </c>
      <c r="R662">
        <v>0</v>
      </c>
      <c r="S662">
        <v>128</v>
      </c>
      <c r="T662" t="s">
        <v>3105</v>
      </c>
    </row>
    <row r="663" spans="1:20" customFormat="1" ht="15" x14ac:dyDescent="0.25">
      <c r="A663" t="s">
        <v>35</v>
      </c>
      <c r="B663" t="s">
        <v>225</v>
      </c>
      <c r="C663" t="str">
        <f>"A0192085"</f>
        <v>A0192085</v>
      </c>
      <c r="D663" t="s">
        <v>3106</v>
      </c>
      <c r="E663" t="s">
        <v>3107</v>
      </c>
      <c r="F663" t="s">
        <v>3108</v>
      </c>
      <c r="G663" t="s">
        <v>103</v>
      </c>
      <c r="H663">
        <v>15217</v>
      </c>
      <c r="I663" t="s">
        <v>30</v>
      </c>
      <c r="J663" t="s">
        <v>41</v>
      </c>
      <c r="K663" t="s">
        <v>229</v>
      </c>
      <c r="Q663">
        <v>0</v>
      </c>
      <c r="R663">
        <v>0</v>
      </c>
      <c r="S663">
        <v>178</v>
      </c>
      <c r="T663" t="s">
        <v>3109</v>
      </c>
    </row>
    <row r="664" spans="1:20" customFormat="1" ht="15" x14ac:dyDescent="0.25">
      <c r="A664" t="s">
        <v>35</v>
      </c>
      <c r="B664" t="s">
        <v>225</v>
      </c>
      <c r="C664" t="str">
        <f>"A0192084"</f>
        <v>A0192084</v>
      </c>
      <c r="D664" t="s">
        <v>3110</v>
      </c>
      <c r="E664" t="s">
        <v>3111</v>
      </c>
      <c r="F664" t="s">
        <v>3108</v>
      </c>
      <c r="G664" t="s">
        <v>103</v>
      </c>
      <c r="H664">
        <v>15212</v>
      </c>
      <c r="I664" t="s">
        <v>30</v>
      </c>
      <c r="J664" t="s">
        <v>41</v>
      </c>
      <c r="K664" t="s">
        <v>229</v>
      </c>
      <c r="Q664">
        <v>0</v>
      </c>
      <c r="R664">
        <v>0</v>
      </c>
      <c r="S664">
        <v>100</v>
      </c>
      <c r="T664" t="s">
        <v>3112</v>
      </c>
    </row>
    <row r="665" spans="1:20" customFormat="1" ht="15" x14ac:dyDescent="0.25">
      <c r="A665" t="s">
        <v>35</v>
      </c>
      <c r="B665" t="s">
        <v>225</v>
      </c>
      <c r="C665" t="str">
        <f>"A0192083"</f>
        <v>A0192083</v>
      </c>
      <c r="D665" t="s">
        <v>3113</v>
      </c>
      <c r="E665" t="s">
        <v>3114</v>
      </c>
      <c r="F665" t="s">
        <v>3115</v>
      </c>
      <c r="G665" t="s">
        <v>899</v>
      </c>
      <c r="H665">
        <v>1966</v>
      </c>
      <c r="I665" t="s">
        <v>30</v>
      </c>
      <c r="J665" t="s">
        <v>41</v>
      </c>
      <c r="K665" t="s">
        <v>229</v>
      </c>
      <c r="Q665">
        <v>0</v>
      </c>
      <c r="R665">
        <v>0</v>
      </c>
      <c r="S665">
        <v>76</v>
      </c>
      <c r="T665" t="s">
        <v>3116</v>
      </c>
    </row>
    <row r="666" spans="1:20" customFormat="1" ht="15" x14ac:dyDescent="0.25">
      <c r="A666" t="s">
        <v>35</v>
      </c>
      <c r="B666" t="s">
        <v>225</v>
      </c>
      <c r="C666" t="str">
        <f>"A0192082"</f>
        <v>A0192082</v>
      </c>
      <c r="D666" t="s">
        <v>3117</v>
      </c>
      <c r="E666" t="s">
        <v>3118</v>
      </c>
      <c r="F666" t="s">
        <v>3119</v>
      </c>
      <c r="G666" t="s">
        <v>899</v>
      </c>
      <c r="H666">
        <v>2302</v>
      </c>
      <c r="I666" t="s">
        <v>30</v>
      </c>
      <c r="J666" t="s">
        <v>41</v>
      </c>
      <c r="K666" t="s">
        <v>229</v>
      </c>
      <c r="Q666">
        <v>0</v>
      </c>
      <c r="R666">
        <v>0</v>
      </c>
      <c r="S666">
        <v>123</v>
      </c>
      <c r="T666" t="s">
        <v>3120</v>
      </c>
    </row>
    <row r="667" spans="1:20" customFormat="1" ht="15" x14ac:dyDescent="0.25">
      <c r="A667" t="s">
        <v>35</v>
      </c>
      <c r="B667" t="s">
        <v>225</v>
      </c>
      <c r="C667" t="str">
        <f>"A0192081"</f>
        <v>A0192081</v>
      </c>
      <c r="D667" t="s">
        <v>3121</v>
      </c>
      <c r="E667" t="s">
        <v>3122</v>
      </c>
      <c r="F667" t="s">
        <v>3123</v>
      </c>
      <c r="G667" t="s">
        <v>1170</v>
      </c>
      <c r="H667">
        <v>70546</v>
      </c>
      <c r="I667" t="s">
        <v>30</v>
      </c>
      <c r="J667" t="s">
        <v>41</v>
      </c>
      <c r="K667" t="s">
        <v>59</v>
      </c>
      <c r="Q667">
        <v>0</v>
      </c>
      <c r="R667">
        <v>0</v>
      </c>
      <c r="S667">
        <v>0</v>
      </c>
      <c r="T667" t="s">
        <v>3124</v>
      </c>
    </row>
    <row r="668" spans="1:20" customFormat="1" ht="15" x14ac:dyDescent="0.25">
      <c r="A668" t="s">
        <v>35</v>
      </c>
      <c r="B668" t="s">
        <v>225</v>
      </c>
      <c r="C668" t="str">
        <f>"A0192080"</f>
        <v>A0192080</v>
      </c>
      <c r="D668" t="s">
        <v>3125</v>
      </c>
      <c r="E668" t="s">
        <v>3126</v>
      </c>
      <c r="F668" t="s">
        <v>3127</v>
      </c>
      <c r="G668" t="s">
        <v>99</v>
      </c>
      <c r="H668">
        <v>11580</v>
      </c>
      <c r="I668" t="s">
        <v>30</v>
      </c>
      <c r="J668" t="s">
        <v>41</v>
      </c>
      <c r="K668" t="s">
        <v>290</v>
      </c>
      <c r="Q668">
        <v>0</v>
      </c>
      <c r="R668">
        <v>0</v>
      </c>
      <c r="S668">
        <v>0</v>
      </c>
      <c r="T668" t="s">
        <v>72</v>
      </c>
    </row>
    <row r="669" spans="1:20" customFormat="1" ht="15" x14ac:dyDescent="0.25">
      <c r="A669" t="s">
        <v>24</v>
      </c>
      <c r="B669" t="s">
        <v>3128</v>
      </c>
      <c r="C669" t="str">
        <f>"A0187490"</f>
        <v>A0187490</v>
      </c>
      <c r="D669" t="s">
        <v>3129</v>
      </c>
      <c r="E669" t="s">
        <v>3130</v>
      </c>
      <c r="F669" t="s">
        <v>3131</v>
      </c>
      <c r="G669" t="s">
        <v>52</v>
      </c>
      <c r="H669">
        <v>78148</v>
      </c>
      <c r="I669" t="s">
        <v>30</v>
      </c>
      <c r="J669" t="s">
        <v>31</v>
      </c>
      <c r="K669" t="s">
        <v>222</v>
      </c>
      <c r="N669" t="s">
        <v>3132</v>
      </c>
      <c r="Q669">
        <v>0</v>
      </c>
      <c r="R669">
        <v>112</v>
      </c>
      <c r="S669">
        <v>0</v>
      </c>
      <c r="T669" t="s">
        <v>3133</v>
      </c>
    </row>
    <row r="670" spans="1:20" customFormat="1" ht="15" x14ac:dyDescent="0.25">
      <c r="A670" t="s">
        <v>35</v>
      </c>
      <c r="B670" t="s">
        <v>3134</v>
      </c>
      <c r="C670" t="str">
        <f>"A0158763"</f>
        <v>A0158763</v>
      </c>
      <c r="D670" t="s">
        <v>3135</v>
      </c>
      <c r="E670" t="s">
        <v>3136</v>
      </c>
      <c r="F670" t="s">
        <v>2777</v>
      </c>
      <c r="G670" t="s">
        <v>81</v>
      </c>
      <c r="H670">
        <v>33484</v>
      </c>
      <c r="I670" t="s">
        <v>30</v>
      </c>
      <c r="J670" t="s">
        <v>41</v>
      </c>
      <c r="K670" t="s">
        <v>2463</v>
      </c>
      <c r="Q670">
        <v>0</v>
      </c>
      <c r="R670">
        <v>0</v>
      </c>
      <c r="S670">
        <v>0</v>
      </c>
      <c r="T670" t="s">
        <v>3137</v>
      </c>
    </row>
    <row r="671" spans="1:20" customFormat="1" ht="15" x14ac:dyDescent="0.25">
      <c r="A671" t="s">
        <v>24</v>
      </c>
      <c r="B671" t="s">
        <v>5120</v>
      </c>
      <c r="C671" t="str">
        <f>"SF01684"</f>
        <v>SF01684</v>
      </c>
      <c r="D671" t="s">
        <v>7887</v>
      </c>
      <c r="E671" t="s">
        <v>7888</v>
      </c>
      <c r="F671" t="s">
        <v>748</v>
      </c>
      <c r="G671" t="s">
        <v>110</v>
      </c>
      <c r="H671">
        <v>94080</v>
      </c>
      <c r="I671" t="s">
        <v>30</v>
      </c>
      <c r="J671" t="s">
        <v>162</v>
      </c>
      <c r="K671" t="s">
        <v>759</v>
      </c>
      <c r="N671" t="s">
        <v>7889</v>
      </c>
      <c r="O671" t="s">
        <v>7879</v>
      </c>
      <c r="Q671">
        <v>0</v>
      </c>
      <c r="R671">
        <v>224</v>
      </c>
      <c r="S671">
        <v>0</v>
      </c>
      <c r="T671" t="s">
        <v>7890</v>
      </c>
    </row>
    <row r="672" spans="1:20" customFormat="1" ht="15" hidden="1" x14ac:dyDescent="0.25">
      <c r="A672" t="s">
        <v>24</v>
      </c>
      <c r="B672" t="s">
        <v>3142</v>
      </c>
      <c r="C672" t="str">
        <f>"A0192070"</f>
        <v>A0192070</v>
      </c>
      <c r="D672" t="s">
        <v>3143</v>
      </c>
      <c r="E672" t="s">
        <v>3144</v>
      </c>
      <c r="F672" t="s">
        <v>3145</v>
      </c>
      <c r="H672" t="s">
        <v>3146</v>
      </c>
      <c r="I672" t="s">
        <v>3147</v>
      </c>
      <c r="J672" t="s">
        <v>31</v>
      </c>
      <c r="K672" t="s">
        <v>1571</v>
      </c>
      <c r="N672" t="s">
        <v>3148</v>
      </c>
      <c r="O672" t="s">
        <v>3149</v>
      </c>
      <c r="Q672">
        <v>0</v>
      </c>
      <c r="R672">
        <v>92</v>
      </c>
      <c r="S672">
        <v>0</v>
      </c>
      <c r="T672" t="s">
        <v>3150</v>
      </c>
    </row>
    <row r="673" spans="1:25" customFormat="1" ht="15" x14ac:dyDescent="0.25">
      <c r="A673" t="s">
        <v>24</v>
      </c>
      <c r="B673" t="s">
        <v>3151</v>
      </c>
      <c r="C673" t="str">
        <f>"A0086295"</f>
        <v>A0086295</v>
      </c>
      <c r="D673" t="s">
        <v>3152</v>
      </c>
      <c r="E673" t="s">
        <v>3153</v>
      </c>
      <c r="F673" t="s">
        <v>3154</v>
      </c>
      <c r="G673" t="s">
        <v>1170</v>
      </c>
      <c r="H673">
        <v>70508</v>
      </c>
      <c r="I673" t="s">
        <v>30</v>
      </c>
      <c r="J673" t="s">
        <v>31</v>
      </c>
      <c r="K673" t="s">
        <v>3155</v>
      </c>
      <c r="N673" t="s">
        <v>3156</v>
      </c>
      <c r="O673" t="s">
        <v>3157</v>
      </c>
      <c r="Q673">
        <v>0</v>
      </c>
      <c r="R673">
        <v>80</v>
      </c>
      <c r="S673">
        <v>0</v>
      </c>
      <c r="T673" t="s">
        <v>3158</v>
      </c>
    </row>
    <row r="674" spans="1:25" customFormat="1" ht="15" x14ac:dyDescent="0.25">
      <c r="A674" t="s">
        <v>24</v>
      </c>
      <c r="B674" t="s">
        <v>3159</v>
      </c>
      <c r="C674" t="str">
        <f>"A0180634"</f>
        <v>A0180634</v>
      </c>
      <c r="D674" t="s">
        <v>3160</v>
      </c>
      <c r="E674" t="s">
        <v>3161</v>
      </c>
      <c r="F674" t="s">
        <v>3162</v>
      </c>
      <c r="G674" t="s">
        <v>58</v>
      </c>
      <c r="H674">
        <v>29902</v>
      </c>
      <c r="I674" t="s">
        <v>30</v>
      </c>
      <c r="J674" t="s">
        <v>31</v>
      </c>
      <c r="K674" t="s">
        <v>255</v>
      </c>
      <c r="N674" t="s">
        <v>3163</v>
      </c>
      <c r="Q674">
        <v>0</v>
      </c>
      <c r="R674">
        <v>111</v>
      </c>
      <c r="S674">
        <v>0</v>
      </c>
      <c r="T674" t="s">
        <v>3164</v>
      </c>
    </row>
    <row r="675" spans="1:25" customFormat="1" ht="15" x14ac:dyDescent="0.25">
      <c r="A675" t="s">
        <v>24</v>
      </c>
      <c r="B675" t="s">
        <v>193</v>
      </c>
      <c r="C675" t="str">
        <f>"A0055845"</f>
        <v>A0055845</v>
      </c>
      <c r="D675" t="s">
        <v>8182</v>
      </c>
      <c r="E675" t="s">
        <v>8183</v>
      </c>
      <c r="F675" t="s">
        <v>3455</v>
      </c>
      <c r="G675" t="s">
        <v>289</v>
      </c>
      <c r="H675">
        <v>61704</v>
      </c>
      <c r="I675" t="s">
        <v>30</v>
      </c>
      <c r="J675" t="s">
        <v>162</v>
      </c>
      <c r="K675" t="s">
        <v>163</v>
      </c>
      <c r="N675" t="s">
        <v>8184</v>
      </c>
      <c r="Q675">
        <v>0</v>
      </c>
      <c r="R675">
        <v>180</v>
      </c>
      <c r="S675">
        <v>0</v>
      </c>
      <c r="T675" t="s">
        <v>8185</v>
      </c>
    </row>
    <row r="676" spans="1:25" customFormat="1" ht="15" x14ac:dyDescent="0.25">
      <c r="A676" t="s">
        <v>24</v>
      </c>
      <c r="B676" t="s">
        <v>3171</v>
      </c>
      <c r="C676" t="str">
        <f>"A0192063"</f>
        <v>A0192063</v>
      </c>
      <c r="D676" t="s">
        <v>3172</v>
      </c>
      <c r="E676" t="s">
        <v>3173</v>
      </c>
      <c r="F676" t="s">
        <v>3174</v>
      </c>
      <c r="G676" t="s">
        <v>110</v>
      </c>
      <c r="H676">
        <v>90024</v>
      </c>
      <c r="I676" t="s">
        <v>30</v>
      </c>
      <c r="J676" t="s">
        <v>3175</v>
      </c>
      <c r="K676" t="s">
        <v>163</v>
      </c>
      <c r="N676" t="s">
        <v>3176</v>
      </c>
      <c r="Q676">
        <v>0</v>
      </c>
      <c r="R676">
        <v>0</v>
      </c>
      <c r="S676">
        <v>0</v>
      </c>
      <c r="T676" t="s">
        <v>3177</v>
      </c>
    </row>
    <row r="677" spans="1:25" customFormat="1" ht="15" x14ac:dyDescent="0.25">
      <c r="A677" t="s">
        <v>35</v>
      </c>
      <c r="B677" t="s">
        <v>437</v>
      </c>
      <c r="C677" t="str">
        <f>"A0134063"</f>
        <v>A0134063</v>
      </c>
      <c r="D677" t="s">
        <v>3178</v>
      </c>
      <c r="E677" t="s">
        <v>3179</v>
      </c>
      <c r="F677" t="s">
        <v>3180</v>
      </c>
      <c r="G677" t="s">
        <v>99</v>
      </c>
      <c r="H677">
        <v>13440</v>
      </c>
      <c r="I677" t="s">
        <v>30</v>
      </c>
      <c r="J677" t="s">
        <v>441</v>
      </c>
      <c r="K677" t="s">
        <v>442</v>
      </c>
      <c r="Q677">
        <v>0</v>
      </c>
      <c r="R677">
        <v>0</v>
      </c>
      <c r="S677">
        <v>0</v>
      </c>
      <c r="T677" t="s">
        <v>3181</v>
      </c>
    </row>
    <row r="678" spans="1:25" x14ac:dyDescent="0.25">
      <c r="A678" s="5" t="s">
        <v>24</v>
      </c>
      <c r="B678" s="5" t="s">
        <v>8296</v>
      </c>
      <c r="C678" s="5" t="str">
        <f>"73R64"</f>
        <v>73R64</v>
      </c>
      <c r="D678" s="5" t="s">
        <v>8309</v>
      </c>
      <c r="E678" s="5" t="s">
        <v>8310</v>
      </c>
      <c r="F678" s="5" t="s">
        <v>3353</v>
      </c>
      <c r="G678" s="5" t="s">
        <v>221</v>
      </c>
      <c r="H678" s="5">
        <v>89011</v>
      </c>
      <c r="I678" s="5" t="s">
        <v>30</v>
      </c>
      <c r="J678" s="5" t="s">
        <v>162</v>
      </c>
      <c r="K678" s="5" t="s">
        <v>4809</v>
      </c>
      <c r="L678" s="5"/>
      <c r="M678" s="5"/>
      <c r="N678" s="5" t="s">
        <v>8311</v>
      </c>
      <c r="O678" s="5"/>
      <c r="P678" s="5"/>
      <c r="Q678" s="5">
        <v>0</v>
      </c>
      <c r="R678" s="5">
        <v>349</v>
      </c>
      <c r="S678" s="5">
        <v>0</v>
      </c>
      <c r="T678" s="5" t="s">
        <v>8312</v>
      </c>
      <c r="U678" s="5"/>
      <c r="V678" s="5"/>
      <c r="W678" s="5"/>
      <c r="X678" s="5"/>
      <c r="Y678" s="5"/>
    </row>
    <row r="679" spans="1:25" customFormat="1" ht="15" x14ac:dyDescent="0.25">
      <c r="A679" t="s">
        <v>35</v>
      </c>
      <c r="B679" t="s">
        <v>3186</v>
      </c>
      <c r="C679" t="str">
        <f>"A0150817"</f>
        <v>A0150817</v>
      </c>
      <c r="D679" t="s">
        <v>3187</v>
      </c>
      <c r="E679" t="s">
        <v>3188</v>
      </c>
      <c r="F679" t="s">
        <v>3189</v>
      </c>
      <c r="G679" t="s">
        <v>58</v>
      </c>
      <c r="H679">
        <v>29306</v>
      </c>
      <c r="I679" t="s">
        <v>30</v>
      </c>
      <c r="J679" t="s">
        <v>41</v>
      </c>
      <c r="K679" t="s">
        <v>59</v>
      </c>
      <c r="Q679">
        <v>0</v>
      </c>
      <c r="R679">
        <v>80</v>
      </c>
      <c r="S679">
        <v>80</v>
      </c>
      <c r="T679" t="s">
        <v>3190</v>
      </c>
    </row>
    <row r="680" spans="1:25" customFormat="1" ht="15" x14ac:dyDescent="0.25">
      <c r="A680" t="s">
        <v>35</v>
      </c>
      <c r="B680" t="s">
        <v>3186</v>
      </c>
      <c r="C680" t="str">
        <f>"A0125080"</f>
        <v>A0125080</v>
      </c>
      <c r="D680" t="s">
        <v>3191</v>
      </c>
      <c r="E680" t="s">
        <v>3192</v>
      </c>
      <c r="F680" t="s">
        <v>3193</v>
      </c>
      <c r="G680" t="s">
        <v>58</v>
      </c>
      <c r="H680">
        <v>29325</v>
      </c>
      <c r="I680" t="s">
        <v>30</v>
      </c>
      <c r="J680" t="s">
        <v>41</v>
      </c>
      <c r="K680" t="s">
        <v>59</v>
      </c>
      <c r="Q680">
        <v>0</v>
      </c>
      <c r="R680">
        <v>80</v>
      </c>
      <c r="S680">
        <v>80</v>
      </c>
      <c r="T680" t="s">
        <v>3194</v>
      </c>
    </row>
    <row r="681" spans="1:25" customFormat="1" ht="15" x14ac:dyDescent="0.25">
      <c r="A681" t="s">
        <v>35</v>
      </c>
      <c r="B681" t="s">
        <v>3186</v>
      </c>
      <c r="C681" t="str">
        <f>"A0124086"</f>
        <v>A0124086</v>
      </c>
      <c r="D681" t="s">
        <v>3195</v>
      </c>
      <c r="E681" t="s">
        <v>3196</v>
      </c>
      <c r="F681" t="s">
        <v>3197</v>
      </c>
      <c r="G681" t="s">
        <v>58</v>
      </c>
      <c r="H681">
        <v>29639</v>
      </c>
      <c r="I681" t="s">
        <v>30</v>
      </c>
      <c r="J681" t="s">
        <v>41</v>
      </c>
      <c r="K681" t="s">
        <v>482</v>
      </c>
      <c r="Q681">
        <v>0</v>
      </c>
      <c r="R681">
        <v>120</v>
      </c>
      <c r="S681">
        <v>120</v>
      </c>
      <c r="T681" t="s">
        <v>3198</v>
      </c>
    </row>
    <row r="682" spans="1:25" customFormat="1" ht="15" x14ac:dyDescent="0.25">
      <c r="A682" t="s">
        <v>35</v>
      </c>
      <c r="B682" t="s">
        <v>3186</v>
      </c>
      <c r="C682" t="str">
        <f>"A0158447"</f>
        <v>A0158447</v>
      </c>
      <c r="D682" t="s">
        <v>3199</v>
      </c>
      <c r="E682" t="s">
        <v>3200</v>
      </c>
      <c r="F682" t="s">
        <v>3201</v>
      </c>
      <c r="G682" t="s">
        <v>214</v>
      </c>
      <c r="H682">
        <v>27006</v>
      </c>
      <c r="I682" t="s">
        <v>30</v>
      </c>
      <c r="J682" t="s">
        <v>41</v>
      </c>
      <c r="K682" t="s">
        <v>1440</v>
      </c>
      <c r="Q682">
        <v>0</v>
      </c>
      <c r="R682">
        <v>100</v>
      </c>
      <c r="S682">
        <v>100</v>
      </c>
      <c r="T682" t="s">
        <v>3202</v>
      </c>
    </row>
    <row r="683" spans="1:25" customFormat="1" ht="15" x14ac:dyDescent="0.25">
      <c r="A683" t="s">
        <v>35</v>
      </c>
      <c r="B683" t="s">
        <v>3186</v>
      </c>
      <c r="C683" t="str">
        <f>"A0150818"</f>
        <v>A0150818</v>
      </c>
      <c r="D683" t="s">
        <v>3203</v>
      </c>
      <c r="E683" t="s">
        <v>3204</v>
      </c>
      <c r="F683" t="s">
        <v>93</v>
      </c>
      <c r="G683" t="s">
        <v>58</v>
      </c>
      <c r="H683">
        <v>29615</v>
      </c>
      <c r="I683" t="s">
        <v>30</v>
      </c>
      <c r="J683" t="s">
        <v>41</v>
      </c>
      <c r="K683" t="s">
        <v>59</v>
      </c>
      <c r="Q683">
        <v>0</v>
      </c>
      <c r="R683">
        <v>80</v>
      </c>
      <c r="S683">
        <v>80</v>
      </c>
      <c r="T683" t="s">
        <v>3190</v>
      </c>
    </row>
    <row r="684" spans="1:25" customFormat="1" ht="15" x14ac:dyDescent="0.25">
      <c r="A684" t="s">
        <v>35</v>
      </c>
      <c r="B684" t="s">
        <v>3186</v>
      </c>
      <c r="C684" t="str">
        <f>"A0124054"</f>
        <v>A0124054</v>
      </c>
      <c r="D684" t="s">
        <v>3205</v>
      </c>
      <c r="E684" t="s">
        <v>3206</v>
      </c>
      <c r="F684" t="s">
        <v>3189</v>
      </c>
      <c r="G684" t="s">
        <v>58</v>
      </c>
      <c r="H684">
        <v>29307</v>
      </c>
      <c r="I684" t="s">
        <v>30</v>
      </c>
      <c r="J684" t="s">
        <v>41</v>
      </c>
      <c r="K684" t="s">
        <v>482</v>
      </c>
      <c r="Q684">
        <v>0</v>
      </c>
      <c r="R684">
        <v>60</v>
      </c>
      <c r="S684">
        <v>60</v>
      </c>
      <c r="T684" t="s">
        <v>3207</v>
      </c>
    </row>
    <row r="685" spans="1:25" customFormat="1" ht="15" x14ac:dyDescent="0.25">
      <c r="A685" t="s">
        <v>35</v>
      </c>
      <c r="B685" t="s">
        <v>3186</v>
      </c>
      <c r="C685" t="str">
        <f>"A0151107"</f>
        <v>A0151107</v>
      </c>
      <c r="D685" t="s">
        <v>3208</v>
      </c>
      <c r="E685" t="s">
        <v>3209</v>
      </c>
      <c r="F685" t="s">
        <v>3210</v>
      </c>
      <c r="G685" t="s">
        <v>58</v>
      </c>
      <c r="H685">
        <v>29566</v>
      </c>
      <c r="I685" t="s">
        <v>30</v>
      </c>
      <c r="J685" t="s">
        <v>41</v>
      </c>
      <c r="K685" t="s">
        <v>59</v>
      </c>
      <c r="Q685">
        <v>0</v>
      </c>
      <c r="R685">
        <v>80</v>
      </c>
      <c r="S685">
        <v>80</v>
      </c>
      <c r="T685" t="s">
        <v>3211</v>
      </c>
    </row>
    <row r="686" spans="1:25" customFormat="1" ht="15" x14ac:dyDescent="0.25">
      <c r="A686" t="s">
        <v>35</v>
      </c>
      <c r="B686" t="s">
        <v>3186</v>
      </c>
      <c r="C686" t="str">
        <f>"A0165144"</f>
        <v>A0165144</v>
      </c>
      <c r="D686" t="s">
        <v>3212</v>
      </c>
      <c r="E686" t="s">
        <v>3213</v>
      </c>
      <c r="F686" t="s">
        <v>3214</v>
      </c>
      <c r="G686" t="s">
        <v>58</v>
      </c>
      <c r="H686">
        <v>29316</v>
      </c>
      <c r="I686" t="s">
        <v>30</v>
      </c>
      <c r="J686" t="s">
        <v>41</v>
      </c>
      <c r="K686" t="s">
        <v>59</v>
      </c>
      <c r="Q686">
        <v>0</v>
      </c>
      <c r="R686">
        <v>80</v>
      </c>
      <c r="S686">
        <v>80</v>
      </c>
      <c r="T686" t="s">
        <v>3215</v>
      </c>
    </row>
    <row r="687" spans="1:25" customFormat="1" ht="15" x14ac:dyDescent="0.25">
      <c r="A687" t="s">
        <v>35</v>
      </c>
      <c r="B687" t="s">
        <v>3186</v>
      </c>
      <c r="C687" t="str">
        <f>"A0125144"</f>
        <v>A0125144</v>
      </c>
      <c r="D687" t="s">
        <v>3216</v>
      </c>
      <c r="E687" t="s">
        <v>3217</v>
      </c>
      <c r="F687" t="s">
        <v>3214</v>
      </c>
      <c r="G687" t="s">
        <v>58</v>
      </c>
      <c r="H687">
        <v>29316</v>
      </c>
      <c r="I687" t="s">
        <v>30</v>
      </c>
      <c r="J687" t="s">
        <v>41</v>
      </c>
      <c r="K687" t="s">
        <v>59</v>
      </c>
      <c r="Q687">
        <v>0</v>
      </c>
      <c r="R687">
        <v>80</v>
      </c>
      <c r="S687">
        <v>80</v>
      </c>
      <c r="T687" t="s">
        <v>3215</v>
      </c>
    </row>
    <row r="688" spans="1:25" customFormat="1" ht="15" x14ac:dyDescent="0.25">
      <c r="A688" t="s">
        <v>35</v>
      </c>
      <c r="B688" t="s">
        <v>3186</v>
      </c>
      <c r="C688" t="str">
        <f>"A0154282"</f>
        <v>A0154282</v>
      </c>
      <c r="D688" t="s">
        <v>3218</v>
      </c>
      <c r="E688" t="s">
        <v>3219</v>
      </c>
      <c r="F688" t="s">
        <v>1689</v>
      </c>
      <c r="G688" t="s">
        <v>58</v>
      </c>
      <c r="H688">
        <v>29072</v>
      </c>
      <c r="I688" t="s">
        <v>30</v>
      </c>
      <c r="J688" t="s">
        <v>41</v>
      </c>
      <c r="K688" t="s">
        <v>59</v>
      </c>
      <c r="Q688">
        <v>0</v>
      </c>
      <c r="R688">
        <v>80</v>
      </c>
      <c r="S688">
        <v>80</v>
      </c>
      <c r="T688" t="s">
        <v>3220</v>
      </c>
    </row>
    <row r="689" spans="1:20" customFormat="1" ht="15" x14ac:dyDescent="0.25">
      <c r="A689" t="s">
        <v>24</v>
      </c>
      <c r="B689" t="s">
        <v>3221</v>
      </c>
      <c r="C689" t="str">
        <f>"A0192002"</f>
        <v>A0192002</v>
      </c>
      <c r="D689" t="s">
        <v>3222</v>
      </c>
      <c r="E689" t="s">
        <v>3223</v>
      </c>
      <c r="F689" t="s">
        <v>3224</v>
      </c>
      <c r="G689" t="s">
        <v>899</v>
      </c>
      <c r="H689">
        <v>2601</v>
      </c>
      <c r="I689" t="s">
        <v>30</v>
      </c>
      <c r="J689" t="s">
        <v>31</v>
      </c>
      <c r="K689" t="s">
        <v>163</v>
      </c>
      <c r="N689" t="s">
        <v>3225</v>
      </c>
      <c r="O689" t="s">
        <v>3226</v>
      </c>
      <c r="Q689">
        <v>0</v>
      </c>
      <c r="R689">
        <v>42</v>
      </c>
      <c r="S689">
        <v>0</v>
      </c>
      <c r="T689" t="s">
        <v>3227</v>
      </c>
    </row>
    <row r="690" spans="1:20" customFormat="1" ht="15" x14ac:dyDescent="0.25">
      <c r="A690" t="s">
        <v>24</v>
      </c>
      <c r="B690" t="s">
        <v>8296</v>
      </c>
      <c r="C690" t="str">
        <f>"A0180587"</f>
        <v>A0180587</v>
      </c>
      <c r="D690" t="s">
        <v>8313</v>
      </c>
      <c r="E690" t="s">
        <v>8314</v>
      </c>
      <c r="F690" t="s">
        <v>5518</v>
      </c>
      <c r="G690" t="s">
        <v>110</v>
      </c>
      <c r="H690">
        <v>91203</v>
      </c>
      <c r="I690" t="s">
        <v>30</v>
      </c>
      <c r="J690" t="s">
        <v>162</v>
      </c>
      <c r="K690" t="s">
        <v>266</v>
      </c>
      <c r="N690" t="s">
        <v>8315</v>
      </c>
      <c r="Q690">
        <v>0</v>
      </c>
      <c r="R690">
        <v>272</v>
      </c>
      <c r="S690">
        <v>0</v>
      </c>
      <c r="T690" t="s">
        <v>8316</v>
      </c>
    </row>
    <row r="691" spans="1:20" customFormat="1" ht="15" x14ac:dyDescent="0.25">
      <c r="A691" t="s">
        <v>24</v>
      </c>
      <c r="B691" t="s">
        <v>8296</v>
      </c>
      <c r="C691" t="str">
        <f>"A0089274"</f>
        <v>A0089274</v>
      </c>
      <c r="D691" t="s">
        <v>8317</v>
      </c>
      <c r="E691" t="s">
        <v>8318</v>
      </c>
      <c r="F691" t="s">
        <v>8319</v>
      </c>
      <c r="G691" t="s">
        <v>110</v>
      </c>
      <c r="H691">
        <v>92840</v>
      </c>
      <c r="I691" t="s">
        <v>30</v>
      </c>
      <c r="J691" t="s">
        <v>162</v>
      </c>
      <c r="K691" t="s">
        <v>1502</v>
      </c>
      <c r="N691" t="s">
        <v>8320</v>
      </c>
      <c r="Q691">
        <v>0</v>
      </c>
      <c r="R691">
        <v>285</v>
      </c>
      <c r="S691">
        <v>0</v>
      </c>
      <c r="T691" t="s">
        <v>8321</v>
      </c>
    </row>
    <row r="692" spans="1:20" customFormat="1" ht="15" x14ac:dyDescent="0.25">
      <c r="A692" t="s">
        <v>24</v>
      </c>
      <c r="B692" t="s">
        <v>788</v>
      </c>
      <c r="C692" t="str">
        <f>"A0191980"</f>
        <v>A0191980</v>
      </c>
      <c r="D692" t="s">
        <v>3239</v>
      </c>
      <c r="E692" t="s">
        <v>3240</v>
      </c>
      <c r="F692" t="s">
        <v>3241</v>
      </c>
      <c r="G692" t="s">
        <v>52</v>
      </c>
      <c r="H692">
        <v>75801</v>
      </c>
      <c r="I692" t="s">
        <v>30</v>
      </c>
      <c r="J692" t="s">
        <v>31</v>
      </c>
      <c r="K692" t="s">
        <v>282</v>
      </c>
      <c r="N692" t="s">
        <v>3242</v>
      </c>
      <c r="Q692">
        <v>0</v>
      </c>
      <c r="R692">
        <v>62</v>
      </c>
      <c r="S692">
        <v>0</v>
      </c>
      <c r="T692" t="s">
        <v>3243</v>
      </c>
    </row>
    <row r="693" spans="1:20" customFormat="1" ht="15" x14ac:dyDescent="0.25">
      <c r="A693" t="s">
        <v>24</v>
      </c>
      <c r="B693" t="s">
        <v>788</v>
      </c>
      <c r="C693" t="str">
        <f>"A0191979"</f>
        <v>A0191979</v>
      </c>
      <c r="D693" t="s">
        <v>3244</v>
      </c>
      <c r="E693" t="s">
        <v>3245</v>
      </c>
      <c r="F693" t="s">
        <v>3246</v>
      </c>
      <c r="G693" t="s">
        <v>3236</v>
      </c>
      <c r="H693">
        <v>57350</v>
      </c>
      <c r="I693" t="s">
        <v>30</v>
      </c>
      <c r="J693" t="s">
        <v>31</v>
      </c>
      <c r="K693" t="s">
        <v>163</v>
      </c>
      <c r="N693" t="s">
        <v>3247</v>
      </c>
      <c r="Q693">
        <v>0</v>
      </c>
      <c r="R693">
        <v>100</v>
      </c>
      <c r="S693">
        <v>0</v>
      </c>
      <c r="T693" t="s">
        <v>3248</v>
      </c>
    </row>
    <row r="694" spans="1:20" customFormat="1" ht="15" x14ac:dyDescent="0.25">
      <c r="A694" t="s">
        <v>24</v>
      </c>
      <c r="B694" t="s">
        <v>5830</v>
      </c>
      <c r="C694" t="str">
        <f>"A0185652"</f>
        <v>A0185652</v>
      </c>
      <c r="D694" t="s">
        <v>8332</v>
      </c>
      <c r="E694" t="s">
        <v>8333</v>
      </c>
      <c r="F694" t="s">
        <v>8334</v>
      </c>
      <c r="G694" t="s">
        <v>99</v>
      </c>
      <c r="H694">
        <v>11354</v>
      </c>
      <c r="I694" t="s">
        <v>30</v>
      </c>
      <c r="J694" t="s">
        <v>162</v>
      </c>
      <c r="K694" t="s">
        <v>8335</v>
      </c>
      <c r="N694" t="s">
        <v>8336</v>
      </c>
      <c r="O694" t="s">
        <v>8337</v>
      </c>
      <c r="Q694">
        <v>0</v>
      </c>
      <c r="R694">
        <v>208</v>
      </c>
      <c r="S694">
        <v>0</v>
      </c>
      <c r="T694" t="s">
        <v>192</v>
      </c>
    </row>
    <row r="695" spans="1:20" customFormat="1" ht="15" x14ac:dyDescent="0.25">
      <c r="A695" t="s">
        <v>24</v>
      </c>
      <c r="B695" t="s">
        <v>788</v>
      </c>
      <c r="C695" t="str">
        <f>"A0191977"</f>
        <v>A0191977</v>
      </c>
      <c r="D695" t="s">
        <v>3251</v>
      </c>
      <c r="E695" t="s">
        <v>3252</v>
      </c>
      <c r="F695" t="s">
        <v>3253</v>
      </c>
      <c r="G695" t="s">
        <v>52</v>
      </c>
      <c r="H695">
        <v>79065</v>
      </c>
      <c r="I695" t="s">
        <v>30</v>
      </c>
      <c r="J695" t="s">
        <v>31</v>
      </c>
      <c r="K695" t="s">
        <v>3254</v>
      </c>
      <c r="N695" t="s">
        <v>3255</v>
      </c>
      <c r="Q695">
        <v>0</v>
      </c>
      <c r="R695">
        <v>52</v>
      </c>
      <c r="S695">
        <v>0</v>
      </c>
      <c r="T695" t="s">
        <v>3256</v>
      </c>
    </row>
    <row r="696" spans="1:20" customFormat="1" ht="15" x14ac:dyDescent="0.25">
      <c r="A696" t="s">
        <v>24</v>
      </c>
      <c r="B696" t="s">
        <v>3257</v>
      </c>
      <c r="C696" t="str">
        <f>"A0051528"</f>
        <v>A0051528</v>
      </c>
      <c r="D696" t="s">
        <v>3258</v>
      </c>
      <c r="E696" t="s">
        <v>3259</v>
      </c>
      <c r="F696" t="s">
        <v>3260</v>
      </c>
      <c r="G696" t="s">
        <v>103</v>
      </c>
      <c r="H696">
        <v>18426</v>
      </c>
      <c r="I696" t="s">
        <v>30</v>
      </c>
      <c r="J696" t="s">
        <v>178</v>
      </c>
      <c r="K696" t="s">
        <v>179</v>
      </c>
      <c r="N696" t="s">
        <v>3261</v>
      </c>
      <c r="O696" t="s">
        <v>3262</v>
      </c>
      <c r="Q696">
        <v>0</v>
      </c>
      <c r="R696">
        <v>18</v>
      </c>
      <c r="S696">
        <v>0</v>
      </c>
      <c r="T696" t="s">
        <v>3263</v>
      </c>
    </row>
    <row r="697" spans="1:20" customFormat="1" ht="15" x14ac:dyDescent="0.25">
      <c r="A697" t="s">
        <v>24</v>
      </c>
      <c r="B697" t="s">
        <v>1561</v>
      </c>
      <c r="C697" t="str">
        <f>"A0191986"</f>
        <v>A0191986</v>
      </c>
      <c r="D697" t="s">
        <v>3264</v>
      </c>
      <c r="E697" t="s">
        <v>3265</v>
      </c>
      <c r="F697" t="s">
        <v>3266</v>
      </c>
      <c r="G697" t="s">
        <v>52</v>
      </c>
      <c r="H697">
        <v>76039</v>
      </c>
      <c r="I697" t="s">
        <v>30</v>
      </c>
      <c r="J697" t="s">
        <v>31</v>
      </c>
      <c r="K697" t="s">
        <v>1196</v>
      </c>
      <c r="N697" t="s">
        <v>3267</v>
      </c>
      <c r="Q697">
        <v>0</v>
      </c>
      <c r="R697">
        <v>79</v>
      </c>
      <c r="S697">
        <v>0</v>
      </c>
      <c r="T697" t="s">
        <v>3268</v>
      </c>
    </row>
    <row r="698" spans="1:20" customFormat="1" ht="15" x14ac:dyDescent="0.25">
      <c r="A698" t="s">
        <v>24</v>
      </c>
      <c r="B698" t="s">
        <v>8466</v>
      </c>
      <c r="C698" t="str">
        <f>"A0189438"</f>
        <v>A0189438</v>
      </c>
      <c r="D698" t="s">
        <v>8467</v>
      </c>
      <c r="E698" t="s">
        <v>8468</v>
      </c>
      <c r="F698" t="s">
        <v>8469</v>
      </c>
      <c r="G698" t="s">
        <v>58</v>
      </c>
      <c r="H698">
        <v>29142</v>
      </c>
      <c r="I698" t="s">
        <v>30</v>
      </c>
      <c r="J698" t="s">
        <v>162</v>
      </c>
      <c r="K698" t="s">
        <v>854</v>
      </c>
      <c r="N698" t="s">
        <v>8470</v>
      </c>
      <c r="O698" t="s">
        <v>8471</v>
      </c>
      <c r="Q698">
        <v>0</v>
      </c>
      <c r="R698">
        <v>84</v>
      </c>
      <c r="S698">
        <v>0</v>
      </c>
      <c r="T698" t="s">
        <v>8472</v>
      </c>
    </row>
    <row r="699" spans="1:20" customFormat="1" ht="15" x14ac:dyDescent="0.25">
      <c r="A699" t="s">
        <v>24</v>
      </c>
      <c r="B699" t="s">
        <v>1561</v>
      </c>
      <c r="C699" t="str">
        <f>"A0191985"</f>
        <v>A0191985</v>
      </c>
      <c r="D699" t="s">
        <v>3276</v>
      </c>
      <c r="E699" t="s">
        <v>3265</v>
      </c>
      <c r="F699" t="s">
        <v>3266</v>
      </c>
      <c r="G699" t="s">
        <v>52</v>
      </c>
      <c r="H699">
        <v>76039</v>
      </c>
      <c r="I699" t="s">
        <v>30</v>
      </c>
      <c r="J699" t="s">
        <v>31</v>
      </c>
      <c r="K699" t="s">
        <v>261</v>
      </c>
      <c r="N699" t="s">
        <v>3267</v>
      </c>
      <c r="Q699">
        <v>0</v>
      </c>
      <c r="R699">
        <v>94</v>
      </c>
      <c r="S699">
        <v>0</v>
      </c>
      <c r="T699" t="s">
        <v>3268</v>
      </c>
    </row>
    <row r="700" spans="1:20" customFormat="1" ht="15" x14ac:dyDescent="0.25">
      <c r="A700" t="s">
        <v>35</v>
      </c>
      <c r="B700" t="s">
        <v>3277</v>
      </c>
      <c r="C700" t="str">
        <f>"A0192049"</f>
        <v>A0192049</v>
      </c>
      <c r="D700" t="s">
        <v>3278</v>
      </c>
      <c r="E700" t="s">
        <v>3279</v>
      </c>
      <c r="F700" t="s">
        <v>3280</v>
      </c>
      <c r="G700" t="s">
        <v>289</v>
      </c>
      <c r="H700">
        <v>60005</v>
      </c>
      <c r="I700" t="s">
        <v>30</v>
      </c>
      <c r="J700" t="s">
        <v>41</v>
      </c>
      <c r="K700" t="s">
        <v>59</v>
      </c>
      <c r="Q700">
        <v>0</v>
      </c>
      <c r="R700">
        <v>0</v>
      </c>
      <c r="S700">
        <v>42</v>
      </c>
      <c r="T700" t="s">
        <v>3281</v>
      </c>
    </row>
    <row r="701" spans="1:20" customFormat="1" ht="15" x14ac:dyDescent="0.25">
      <c r="A701" t="s">
        <v>35</v>
      </c>
      <c r="B701" t="s">
        <v>2667</v>
      </c>
      <c r="C701" t="str">
        <f>"A0192048"</f>
        <v>A0192048</v>
      </c>
      <c r="D701" t="s">
        <v>2667</v>
      </c>
      <c r="E701" t="s">
        <v>3282</v>
      </c>
      <c r="F701" t="s">
        <v>1948</v>
      </c>
      <c r="G701" t="s">
        <v>338</v>
      </c>
      <c r="H701">
        <v>8701</v>
      </c>
      <c r="I701" t="s">
        <v>30</v>
      </c>
      <c r="J701" t="s">
        <v>41</v>
      </c>
      <c r="K701" t="s">
        <v>290</v>
      </c>
      <c r="Q701">
        <v>0</v>
      </c>
      <c r="R701">
        <v>0</v>
      </c>
      <c r="S701">
        <v>0</v>
      </c>
      <c r="T701" t="s">
        <v>72</v>
      </c>
    </row>
    <row r="702" spans="1:20" customFormat="1" ht="15" x14ac:dyDescent="0.25">
      <c r="A702" t="s">
        <v>35</v>
      </c>
      <c r="B702" t="s">
        <v>36</v>
      </c>
      <c r="C702" t="str">
        <f>"A0192047"</f>
        <v>A0192047</v>
      </c>
      <c r="D702" t="s">
        <v>3283</v>
      </c>
      <c r="E702" t="s">
        <v>3284</v>
      </c>
      <c r="F702" t="s">
        <v>3285</v>
      </c>
      <c r="G702" t="s">
        <v>99</v>
      </c>
      <c r="H702">
        <v>12775</v>
      </c>
      <c r="I702" t="s">
        <v>30</v>
      </c>
      <c r="J702" t="s">
        <v>41</v>
      </c>
      <c r="K702" t="s">
        <v>42</v>
      </c>
      <c r="Q702">
        <v>0</v>
      </c>
      <c r="R702">
        <v>0</v>
      </c>
      <c r="S702">
        <v>0</v>
      </c>
      <c r="T702" t="s">
        <v>3286</v>
      </c>
    </row>
    <row r="703" spans="1:20" customFormat="1" ht="15" x14ac:dyDescent="0.25">
      <c r="A703" t="s">
        <v>35</v>
      </c>
      <c r="B703" t="s">
        <v>36</v>
      </c>
      <c r="C703" t="str">
        <f>"A0192046"</f>
        <v>A0192046</v>
      </c>
      <c r="D703" t="s">
        <v>3287</v>
      </c>
      <c r="E703" t="s">
        <v>3288</v>
      </c>
      <c r="F703" t="s">
        <v>3289</v>
      </c>
      <c r="G703" t="s">
        <v>507</v>
      </c>
      <c r="H703">
        <v>53913</v>
      </c>
      <c r="I703" t="s">
        <v>30</v>
      </c>
      <c r="J703" t="s">
        <v>41</v>
      </c>
      <c r="K703" t="s">
        <v>42</v>
      </c>
      <c r="Q703">
        <v>0</v>
      </c>
      <c r="R703">
        <v>0</v>
      </c>
      <c r="S703">
        <v>0</v>
      </c>
      <c r="T703" t="s">
        <v>3290</v>
      </c>
    </row>
    <row r="704" spans="1:20" customFormat="1" ht="15" x14ac:dyDescent="0.25">
      <c r="A704" t="s">
        <v>35</v>
      </c>
      <c r="B704" t="s">
        <v>36</v>
      </c>
      <c r="C704" t="str">
        <f>"A0192045"</f>
        <v>A0192045</v>
      </c>
      <c r="D704" t="s">
        <v>3291</v>
      </c>
      <c r="E704" t="s">
        <v>3292</v>
      </c>
      <c r="F704" t="s">
        <v>3293</v>
      </c>
      <c r="G704" t="s">
        <v>58</v>
      </c>
      <c r="H704">
        <v>29622</v>
      </c>
      <c r="I704" t="s">
        <v>30</v>
      </c>
      <c r="J704" t="s">
        <v>41</v>
      </c>
      <c r="K704" t="s">
        <v>42</v>
      </c>
      <c r="Q704">
        <v>0</v>
      </c>
      <c r="R704">
        <v>0</v>
      </c>
      <c r="S704">
        <v>0</v>
      </c>
      <c r="T704" t="s">
        <v>3294</v>
      </c>
    </row>
    <row r="705" spans="1:20" customFormat="1" ht="15" x14ac:dyDescent="0.25">
      <c r="A705" t="s">
        <v>35</v>
      </c>
      <c r="B705" t="s">
        <v>1295</v>
      </c>
      <c r="C705" t="str">
        <f>"A0192044"</f>
        <v>A0192044</v>
      </c>
      <c r="D705" t="s">
        <v>3295</v>
      </c>
      <c r="E705" t="s">
        <v>3296</v>
      </c>
      <c r="F705" t="s">
        <v>3297</v>
      </c>
      <c r="G705" t="s">
        <v>103</v>
      </c>
      <c r="H705">
        <v>17901</v>
      </c>
      <c r="I705" t="s">
        <v>30</v>
      </c>
      <c r="J705" t="s">
        <v>41</v>
      </c>
      <c r="K705" t="s">
        <v>229</v>
      </c>
      <c r="Q705">
        <v>0</v>
      </c>
      <c r="R705">
        <v>0</v>
      </c>
      <c r="S705">
        <v>190</v>
      </c>
      <c r="T705" t="s">
        <v>3298</v>
      </c>
    </row>
    <row r="706" spans="1:20" customFormat="1" ht="15" x14ac:dyDescent="0.25">
      <c r="A706" t="s">
        <v>35</v>
      </c>
      <c r="B706" t="s">
        <v>1295</v>
      </c>
      <c r="C706" t="str">
        <f>"A0192043"</f>
        <v>A0192043</v>
      </c>
      <c r="D706" t="s">
        <v>3299</v>
      </c>
      <c r="E706" t="s">
        <v>3300</v>
      </c>
      <c r="F706" t="s">
        <v>3301</v>
      </c>
      <c r="G706" t="s">
        <v>103</v>
      </c>
      <c r="H706">
        <v>18702</v>
      </c>
      <c r="I706" t="s">
        <v>30</v>
      </c>
      <c r="J706" t="s">
        <v>41</v>
      </c>
      <c r="K706" t="s">
        <v>229</v>
      </c>
      <c r="Q706">
        <v>0</v>
      </c>
      <c r="R706">
        <v>0</v>
      </c>
      <c r="S706">
        <v>122</v>
      </c>
      <c r="T706" t="s">
        <v>3302</v>
      </c>
    </row>
    <row r="707" spans="1:20" customFormat="1" ht="15" x14ac:dyDescent="0.25">
      <c r="A707" t="s">
        <v>35</v>
      </c>
      <c r="B707" t="s">
        <v>1295</v>
      </c>
      <c r="C707" t="str">
        <f>"A0192042"</f>
        <v>A0192042</v>
      </c>
      <c r="D707" t="s">
        <v>3303</v>
      </c>
      <c r="E707" t="s">
        <v>3304</v>
      </c>
      <c r="F707" t="s">
        <v>3009</v>
      </c>
      <c r="G707" t="s">
        <v>103</v>
      </c>
      <c r="H707">
        <v>17603</v>
      </c>
      <c r="I707" t="s">
        <v>30</v>
      </c>
      <c r="J707" t="s">
        <v>41</v>
      </c>
      <c r="K707" t="s">
        <v>229</v>
      </c>
      <c r="Q707">
        <v>0</v>
      </c>
      <c r="R707">
        <v>0</v>
      </c>
      <c r="S707">
        <v>94</v>
      </c>
      <c r="T707" t="s">
        <v>3305</v>
      </c>
    </row>
    <row r="708" spans="1:20" customFormat="1" ht="15" x14ac:dyDescent="0.25">
      <c r="A708" t="s">
        <v>35</v>
      </c>
      <c r="B708" t="s">
        <v>1295</v>
      </c>
      <c r="C708" t="str">
        <f>"A0192041"</f>
        <v>A0192041</v>
      </c>
      <c r="D708" t="s">
        <v>3306</v>
      </c>
      <c r="E708" t="s">
        <v>3307</v>
      </c>
      <c r="F708" t="s">
        <v>3308</v>
      </c>
      <c r="G708" t="s">
        <v>103</v>
      </c>
      <c r="H708">
        <v>18411</v>
      </c>
      <c r="I708" t="s">
        <v>30</v>
      </c>
      <c r="J708" t="s">
        <v>41</v>
      </c>
      <c r="K708" t="s">
        <v>229</v>
      </c>
      <c r="Q708">
        <v>0</v>
      </c>
      <c r="R708">
        <v>0</v>
      </c>
      <c r="S708">
        <v>119</v>
      </c>
      <c r="T708" t="s">
        <v>3309</v>
      </c>
    </row>
    <row r="709" spans="1:20" customFormat="1" ht="15" x14ac:dyDescent="0.25">
      <c r="A709" t="s">
        <v>35</v>
      </c>
      <c r="B709" t="s">
        <v>1777</v>
      </c>
      <c r="C709" t="str">
        <f>"A0192040"</f>
        <v>A0192040</v>
      </c>
      <c r="D709" t="s">
        <v>3310</v>
      </c>
      <c r="E709" t="s">
        <v>3311</v>
      </c>
      <c r="F709" t="s">
        <v>1926</v>
      </c>
      <c r="G709" t="s">
        <v>214</v>
      </c>
      <c r="H709">
        <v>28210</v>
      </c>
      <c r="I709" t="s">
        <v>30</v>
      </c>
      <c r="J709" t="s">
        <v>41</v>
      </c>
      <c r="K709" t="s">
        <v>229</v>
      </c>
      <c r="Q709">
        <v>0</v>
      </c>
      <c r="R709">
        <v>0</v>
      </c>
      <c r="S709">
        <v>22</v>
      </c>
      <c r="T709" t="s">
        <v>3312</v>
      </c>
    </row>
    <row r="710" spans="1:20" customFormat="1" ht="15" x14ac:dyDescent="0.25">
      <c r="A710" t="s">
        <v>35</v>
      </c>
      <c r="B710" t="s">
        <v>1777</v>
      </c>
      <c r="C710" t="str">
        <f>"A0192039"</f>
        <v>A0192039</v>
      </c>
      <c r="D710" t="s">
        <v>3313</v>
      </c>
      <c r="E710" t="s">
        <v>3314</v>
      </c>
      <c r="F710" t="s">
        <v>3315</v>
      </c>
      <c r="G710" t="s">
        <v>214</v>
      </c>
      <c r="H710">
        <v>27518</v>
      </c>
      <c r="I710" t="s">
        <v>30</v>
      </c>
      <c r="J710" t="s">
        <v>41</v>
      </c>
      <c r="K710" t="s">
        <v>229</v>
      </c>
      <c r="Q710">
        <v>0</v>
      </c>
      <c r="R710">
        <v>0</v>
      </c>
      <c r="S710">
        <v>28</v>
      </c>
      <c r="T710" t="s">
        <v>3316</v>
      </c>
    </row>
    <row r="711" spans="1:20" customFormat="1" ht="15" x14ac:dyDescent="0.25">
      <c r="A711" t="s">
        <v>35</v>
      </c>
      <c r="B711" t="s">
        <v>1777</v>
      </c>
      <c r="C711" t="str">
        <f>"A0192038"</f>
        <v>A0192038</v>
      </c>
      <c r="D711" t="s">
        <v>3317</v>
      </c>
      <c r="E711" t="s">
        <v>3318</v>
      </c>
      <c r="F711" t="s">
        <v>3319</v>
      </c>
      <c r="G711" t="s">
        <v>58</v>
      </c>
      <c r="H711">
        <v>29464</v>
      </c>
      <c r="I711" t="s">
        <v>30</v>
      </c>
      <c r="J711" t="s">
        <v>41</v>
      </c>
      <c r="K711" t="s">
        <v>59</v>
      </c>
      <c r="Q711">
        <v>0</v>
      </c>
      <c r="R711">
        <v>0</v>
      </c>
      <c r="S711">
        <v>40</v>
      </c>
      <c r="T711" t="s">
        <v>3320</v>
      </c>
    </row>
    <row r="712" spans="1:20" customFormat="1" ht="15" x14ac:dyDescent="0.25">
      <c r="A712" t="s">
        <v>35</v>
      </c>
      <c r="B712" t="s">
        <v>1777</v>
      </c>
      <c r="C712" t="str">
        <f>"A0192037"</f>
        <v>A0192037</v>
      </c>
      <c r="D712" t="s">
        <v>3321</v>
      </c>
      <c r="E712" t="s">
        <v>3322</v>
      </c>
      <c r="F712" t="s">
        <v>3323</v>
      </c>
      <c r="G712">
        <v>2</v>
      </c>
      <c r="H712">
        <v>28105</v>
      </c>
      <c r="I712" t="s">
        <v>30</v>
      </c>
      <c r="J712" t="s">
        <v>41</v>
      </c>
      <c r="K712" t="s">
        <v>59</v>
      </c>
      <c r="Q712">
        <v>0</v>
      </c>
      <c r="R712">
        <v>0</v>
      </c>
      <c r="S712">
        <v>201</v>
      </c>
      <c r="T712" t="s">
        <v>3324</v>
      </c>
    </row>
    <row r="713" spans="1:20" customFormat="1" ht="15" x14ac:dyDescent="0.25">
      <c r="A713" t="s">
        <v>35</v>
      </c>
      <c r="B713" t="s">
        <v>1777</v>
      </c>
      <c r="C713" t="str">
        <f>"A0192036"</f>
        <v>A0192036</v>
      </c>
      <c r="D713" t="s">
        <v>3325</v>
      </c>
      <c r="E713" t="s">
        <v>3326</v>
      </c>
      <c r="F713" t="s">
        <v>3327</v>
      </c>
      <c r="G713" t="s">
        <v>214</v>
      </c>
      <c r="H713">
        <v>28403</v>
      </c>
      <c r="I713" t="s">
        <v>30</v>
      </c>
      <c r="J713" t="s">
        <v>41</v>
      </c>
      <c r="K713" t="s">
        <v>59</v>
      </c>
      <c r="Q713">
        <v>0</v>
      </c>
      <c r="R713">
        <v>0</v>
      </c>
      <c r="S713">
        <v>201</v>
      </c>
      <c r="T713" t="s">
        <v>3328</v>
      </c>
    </row>
    <row r="714" spans="1:20" customFormat="1" ht="15" x14ac:dyDescent="0.25">
      <c r="A714" t="s">
        <v>35</v>
      </c>
      <c r="B714" t="s">
        <v>61</v>
      </c>
      <c r="C714" t="str">
        <f>"A0192035"</f>
        <v>A0192035</v>
      </c>
      <c r="D714" t="s">
        <v>3329</v>
      </c>
      <c r="E714" t="s">
        <v>3330</v>
      </c>
      <c r="F714" t="s">
        <v>3331</v>
      </c>
      <c r="G714" t="s">
        <v>123</v>
      </c>
      <c r="H714">
        <v>21014</v>
      </c>
      <c r="I714" t="s">
        <v>30</v>
      </c>
      <c r="J714" t="s">
        <v>41</v>
      </c>
      <c r="K714" t="s">
        <v>112</v>
      </c>
      <c r="Q714">
        <v>0</v>
      </c>
      <c r="R714">
        <v>0</v>
      </c>
      <c r="S714">
        <v>0</v>
      </c>
      <c r="T714" t="s">
        <v>3332</v>
      </c>
    </row>
    <row r="715" spans="1:20" customFormat="1" ht="15" x14ac:dyDescent="0.25">
      <c r="A715" t="s">
        <v>35</v>
      </c>
      <c r="B715" t="s">
        <v>3186</v>
      </c>
      <c r="C715" t="str">
        <f>"A0192034"</f>
        <v>A0192034</v>
      </c>
      <c r="D715" t="s">
        <v>3186</v>
      </c>
      <c r="E715" t="s">
        <v>3333</v>
      </c>
      <c r="F715" t="s">
        <v>1926</v>
      </c>
      <c r="G715" t="s">
        <v>214</v>
      </c>
      <c r="H715">
        <v>28203</v>
      </c>
      <c r="I715" t="s">
        <v>30</v>
      </c>
      <c r="J715" t="s">
        <v>41</v>
      </c>
      <c r="K715" t="s">
        <v>290</v>
      </c>
      <c r="Q715">
        <v>0</v>
      </c>
      <c r="R715">
        <v>0</v>
      </c>
      <c r="S715">
        <v>0</v>
      </c>
      <c r="T715" t="s">
        <v>72</v>
      </c>
    </row>
    <row r="716" spans="1:20" customFormat="1" ht="15" x14ac:dyDescent="0.25">
      <c r="A716" t="s">
        <v>35</v>
      </c>
      <c r="B716" t="s">
        <v>225</v>
      </c>
      <c r="C716" t="str">
        <f>"A0192033"</f>
        <v>A0192033</v>
      </c>
      <c r="D716" t="s">
        <v>3334</v>
      </c>
      <c r="E716" t="s">
        <v>3335</v>
      </c>
      <c r="F716" t="s">
        <v>3336</v>
      </c>
      <c r="G716" t="s">
        <v>899</v>
      </c>
      <c r="H716">
        <v>1301</v>
      </c>
      <c r="I716" t="s">
        <v>30</v>
      </c>
      <c r="J716" t="s">
        <v>41</v>
      </c>
      <c r="K716" t="s">
        <v>229</v>
      </c>
      <c r="Q716">
        <v>0</v>
      </c>
      <c r="R716">
        <v>0</v>
      </c>
      <c r="S716">
        <v>75</v>
      </c>
      <c r="T716" t="s">
        <v>72</v>
      </c>
    </row>
    <row r="717" spans="1:20" customFormat="1" ht="15" x14ac:dyDescent="0.25">
      <c r="A717" t="s">
        <v>35</v>
      </c>
      <c r="B717" t="s">
        <v>225</v>
      </c>
      <c r="C717" t="str">
        <f>"A0192032"</f>
        <v>A0192032</v>
      </c>
      <c r="D717" t="s">
        <v>3337</v>
      </c>
      <c r="E717" t="s">
        <v>3338</v>
      </c>
      <c r="F717" t="s">
        <v>3339</v>
      </c>
      <c r="G717" t="s">
        <v>899</v>
      </c>
      <c r="H717">
        <v>2472</v>
      </c>
      <c r="I717" t="s">
        <v>30</v>
      </c>
      <c r="J717" t="s">
        <v>41</v>
      </c>
      <c r="K717" t="s">
        <v>229</v>
      </c>
      <c r="Q717">
        <v>0</v>
      </c>
      <c r="R717">
        <v>0</v>
      </c>
      <c r="S717">
        <v>75</v>
      </c>
      <c r="T717" t="s">
        <v>72</v>
      </c>
    </row>
    <row r="718" spans="1:20" customFormat="1" ht="15" x14ac:dyDescent="0.25">
      <c r="A718" t="s">
        <v>35</v>
      </c>
      <c r="B718" t="s">
        <v>1441</v>
      </c>
      <c r="C718" t="str">
        <f>"A0192031"</f>
        <v>A0192031</v>
      </c>
      <c r="D718" t="s">
        <v>3340</v>
      </c>
      <c r="E718" t="s">
        <v>3341</v>
      </c>
      <c r="F718" t="s">
        <v>1444</v>
      </c>
      <c r="G718" t="s">
        <v>76</v>
      </c>
      <c r="H718">
        <v>98177</v>
      </c>
      <c r="I718" t="s">
        <v>30</v>
      </c>
      <c r="J718" t="s">
        <v>41</v>
      </c>
      <c r="K718" t="s">
        <v>59</v>
      </c>
      <c r="Q718">
        <v>0</v>
      </c>
      <c r="R718">
        <v>0</v>
      </c>
      <c r="S718">
        <v>50</v>
      </c>
      <c r="T718" t="s">
        <v>3342</v>
      </c>
    </row>
    <row r="719" spans="1:20" customFormat="1" ht="15" x14ac:dyDescent="0.25">
      <c r="A719" t="s">
        <v>24</v>
      </c>
      <c r="B719" t="s">
        <v>1268</v>
      </c>
      <c r="C719" t="str">
        <f>"A0075540"</f>
        <v>A0075540</v>
      </c>
      <c r="D719" t="s">
        <v>8499</v>
      </c>
      <c r="E719" t="s">
        <v>8500</v>
      </c>
      <c r="F719" t="s">
        <v>6972</v>
      </c>
      <c r="G719" t="s">
        <v>81</v>
      </c>
      <c r="H719">
        <v>33487</v>
      </c>
      <c r="I719" t="s">
        <v>30</v>
      </c>
      <c r="J719" t="s">
        <v>162</v>
      </c>
      <c r="K719" t="s">
        <v>854</v>
      </c>
      <c r="N719" t="s">
        <v>8501</v>
      </c>
      <c r="Q719">
        <v>0</v>
      </c>
      <c r="R719">
        <v>180</v>
      </c>
      <c r="S719">
        <v>0</v>
      </c>
      <c r="T719" t="s">
        <v>8502</v>
      </c>
    </row>
    <row r="720" spans="1:20" customFormat="1" ht="15" x14ac:dyDescent="0.25">
      <c r="A720" t="s">
        <v>24</v>
      </c>
      <c r="B720" t="s">
        <v>3350</v>
      </c>
      <c r="C720" t="str">
        <f>"A0049699"</f>
        <v>A0049699</v>
      </c>
      <c r="D720" t="s">
        <v>3351</v>
      </c>
      <c r="E720" t="s">
        <v>3352</v>
      </c>
      <c r="F720" t="s">
        <v>3353</v>
      </c>
      <c r="G720" t="s">
        <v>221</v>
      </c>
      <c r="H720">
        <v>89052</v>
      </c>
      <c r="I720" t="s">
        <v>30</v>
      </c>
      <c r="J720" t="s">
        <v>178</v>
      </c>
      <c r="K720" t="s">
        <v>179</v>
      </c>
      <c r="N720" t="s">
        <v>3354</v>
      </c>
      <c r="Q720">
        <v>0</v>
      </c>
      <c r="R720">
        <v>0</v>
      </c>
      <c r="S720">
        <v>0</v>
      </c>
      <c r="T720" t="s">
        <v>3355</v>
      </c>
    </row>
    <row r="721" spans="1:20" customFormat="1" ht="15" x14ac:dyDescent="0.25">
      <c r="A721" t="s">
        <v>24</v>
      </c>
      <c r="B721" t="s">
        <v>193</v>
      </c>
      <c r="C721" t="str">
        <f>"651XN"</f>
        <v>651XN</v>
      </c>
      <c r="D721" t="s">
        <v>3356</v>
      </c>
      <c r="E721" t="s">
        <v>3357</v>
      </c>
      <c r="F721" t="s">
        <v>3358</v>
      </c>
      <c r="G721" t="s">
        <v>846</v>
      </c>
      <c r="H721">
        <v>30601</v>
      </c>
      <c r="I721" t="s">
        <v>30</v>
      </c>
      <c r="J721" t="s">
        <v>3359</v>
      </c>
      <c r="K721" t="s">
        <v>163</v>
      </c>
      <c r="N721" t="s">
        <v>3360</v>
      </c>
      <c r="Q721">
        <v>0</v>
      </c>
      <c r="R721">
        <v>105</v>
      </c>
      <c r="S721">
        <v>0</v>
      </c>
      <c r="T721" t="s">
        <v>3361</v>
      </c>
    </row>
    <row r="722" spans="1:20" customFormat="1" ht="15" x14ac:dyDescent="0.25">
      <c r="A722" t="s">
        <v>24</v>
      </c>
      <c r="B722" t="s">
        <v>3343</v>
      </c>
      <c r="C722" t="str">
        <f>"A0192011"</f>
        <v>A0192011</v>
      </c>
      <c r="D722" t="s">
        <v>3362</v>
      </c>
      <c r="E722" t="s">
        <v>3363</v>
      </c>
      <c r="F722" t="s">
        <v>3364</v>
      </c>
      <c r="G722" t="s">
        <v>52</v>
      </c>
      <c r="H722">
        <v>77351</v>
      </c>
      <c r="I722" t="s">
        <v>30</v>
      </c>
      <c r="J722" t="s">
        <v>31</v>
      </c>
      <c r="K722" t="s">
        <v>198</v>
      </c>
      <c r="N722" t="s">
        <v>3365</v>
      </c>
      <c r="Q722">
        <v>0</v>
      </c>
      <c r="R722">
        <v>55</v>
      </c>
      <c r="S722">
        <v>0</v>
      </c>
      <c r="T722" t="s">
        <v>3366</v>
      </c>
    </row>
    <row r="723" spans="1:20" customFormat="1" ht="15" x14ac:dyDescent="0.25">
      <c r="A723" t="s">
        <v>24</v>
      </c>
      <c r="B723" t="s">
        <v>8579</v>
      </c>
      <c r="C723" t="str">
        <f>"A0189821"</f>
        <v>A0189821</v>
      </c>
      <c r="D723" t="s">
        <v>8580</v>
      </c>
      <c r="E723" t="s">
        <v>8581</v>
      </c>
      <c r="F723" t="s">
        <v>972</v>
      </c>
      <c r="G723" t="s">
        <v>190</v>
      </c>
      <c r="H723">
        <v>80204</v>
      </c>
      <c r="I723" t="s">
        <v>30</v>
      </c>
      <c r="J723" t="s">
        <v>162</v>
      </c>
      <c r="K723" t="s">
        <v>4809</v>
      </c>
      <c r="N723" t="s">
        <v>8582</v>
      </c>
      <c r="O723" t="s">
        <v>8583</v>
      </c>
      <c r="Q723">
        <v>0</v>
      </c>
      <c r="R723">
        <v>202</v>
      </c>
      <c r="S723">
        <v>0</v>
      </c>
      <c r="T723" t="s">
        <v>8584</v>
      </c>
    </row>
    <row r="724" spans="1:20" customFormat="1" ht="15" x14ac:dyDescent="0.25">
      <c r="A724" t="s">
        <v>24</v>
      </c>
      <c r="B724" t="s">
        <v>8592</v>
      </c>
      <c r="C724" t="str">
        <f>"A0189395"</f>
        <v>A0189395</v>
      </c>
      <c r="D724" t="s">
        <v>8593</v>
      </c>
      <c r="E724" t="s">
        <v>8594</v>
      </c>
      <c r="F724" t="s">
        <v>8595</v>
      </c>
      <c r="G724" t="s">
        <v>190</v>
      </c>
      <c r="H724">
        <v>81620</v>
      </c>
      <c r="I724" t="s">
        <v>30</v>
      </c>
      <c r="J724" t="s">
        <v>162</v>
      </c>
      <c r="K724" t="s">
        <v>163</v>
      </c>
      <c r="N724" t="s">
        <v>8596</v>
      </c>
      <c r="O724" t="s">
        <v>8597</v>
      </c>
      <c r="Q724">
        <v>0</v>
      </c>
      <c r="R724">
        <v>160</v>
      </c>
      <c r="S724">
        <v>0</v>
      </c>
      <c r="T724" t="s">
        <v>8598</v>
      </c>
    </row>
    <row r="725" spans="1:20" customFormat="1" ht="15" x14ac:dyDescent="0.25">
      <c r="A725" t="s">
        <v>24</v>
      </c>
      <c r="B725" t="s">
        <v>1561</v>
      </c>
      <c r="C725" t="str">
        <f>"A0090640"</f>
        <v>A0090640</v>
      </c>
      <c r="D725" t="s">
        <v>8782</v>
      </c>
      <c r="E725" t="s">
        <v>8783</v>
      </c>
      <c r="F725" t="s">
        <v>8475</v>
      </c>
      <c r="G725" t="s">
        <v>1184</v>
      </c>
      <c r="H725">
        <v>59808</v>
      </c>
      <c r="I725" t="s">
        <v>30</v>
      </c>
      <c r="J725" t="s">
        <v>162</v>
      </c>
      <c r="K725" t="s">
        <v>1331</v>
      </c>
      <c r="N725" t="s">
        <v>8784</v>
      </c>
      <c r="O725" t="s">
        <v>8785</v>
      </c>
      <c r="Q725">
        <v>0</v>
      </c>
      <c r="R725">
        <v>146</v>
      </c>
      <c r="S725">
        <v>0</v>
      </c>
      <c r="T725" t="s">
        <v>8786</v>
      </c>
    </row>
    <row r="726" spans="1:20" customFormat="1" ht="15" x14ac:dyDescent="0.25">
      <c r="A726" t="s">
        <v>35</v>
      </c>
      <c r="B726" t="s">
        <v>3381</v>
      </c>
      <c r="C726" t="str">
        <f>"A0126658"</f>
        <v>A0126658</v>
      </c>
      <c r="D726" t="s">
        <v>3382</v>
      </c>
      <c r="E726" t="s">
        <v>3383</v>
      </c>
      <c r="F726" t="s">
        <v>3384</v>
      </c>
      <c r="G726" t="s">
        <v>103</v>
      </c>
      <c r="H726">
        <v>15370</v>
      </c>
      <c r="I726" t="s">
        <v>30</v>
      </c>
      <c r="J726" t="s">
        <v>41</v>
      </c>
      <c r="K726" t="s">
        <v>229</v>
      </c>
      <c r="Q726">
        <v>0</v>
      </c>
      <c r="R726">
        <v>121</v>
      </c>
      <c r="S726">
        <v>121</v>
      </c>
      <c r="T726" t="s">
        <v>3385</v>
      </c>
    </row>
    <row r="727" spans="1:20" customFormat="1" ht="15" x14ac:dyDescent="0.25">
      <c r="A727" t="s">
        <v>35</v>
      </c>
      <c r="B727" t="s">
        <v>61</v>
      </c>
      <c r="C727" t="str">
        <f>"A0125104"</f>
        <v>A0125104</v>
      </c>
      <c r="D727" t="s">
        <v>3386</v>
      </c>
      <c r="E727" t="s">
        <v>3387</v>
      </c>
      <c r="F727" t="s">
        <v>3388</v>
      </c>
      <c r="G727" t="s">
        <v>58</v>
      </c>
      <c r="H727">
        <v>29010</v>
      </c>
      <c r="I727" t="s">
        <v>30</v>
      </c>
      <c r="J727" t="s">
        <v>41</v>
      </c>
      <c r="K727" t="s">
        <v>59</v>
      </c>
      <c r="Q727">
        <v>0</v>
      </c>
      <c r="R727">
        <v>44</v>
      </c>
      <c r="S727">
        <v>44</v>
      </c>
      <c r="T727" t="s">
        <v>3389</v>
      </c>
    </row>
    <row r="728" spans="1:20" customFormat="1" ht="15" x14ac:dyDescent="0.25">
      <c r="A728" t="s">
        <v>24</v>
      </c>
      <c r="B728" t="s">
        <v>3390</v>
      </c>
      <c r="C728" t="str">
        <f>"A0098685"</f>
        <v>A0098685</v>
      </c>
      <c r="D728" t="s">
        <v>3391</v>
      </c>
      <c r="E728" t="s">
        <v>3392</v>
      </c>
      <c r="F728" t="s">
        <v>313</v>
      </c>
      <c r="G728" t="s">
        <v>214</v>
      </c>
      <c r="H728">
        <v>27889</v>
      </c>
      <c r="I728" t="s">
        <v>30</v>
      </c>
      <c r="J728" t="s">
        <v>31</v>
      </c>
      <c r="K728" t="s">
        <v>32</v>
      </c>
      <c r="N728" t="s">
        <v>3393</v>
      </c>
      <c r="Q728">
        <v>0</v>
      </c>
      <c r="R728">
        <v>86</v>
      </c>
      <c r="S728">
        <v>0</v>
      </c>
      <c r="T728" t="s">
        <v>3394</v>
      </c>
    </row>
    <row r="729" spans="1:20" customFormat="1" ht="15" x14ac:dyDescent="0.25">
      <c r="A729" t="s">
        <v>24</v>
      </c>
      <c r="B729" t="s">
        <v>193</v>
      </c>
      <c r="C729" t="str">
        <f>"A0187916"</f>
        <v>A0187916</v>
      </c>
      <c r="D729" t="s">
        <v>8810</v>
      </c>
      <c r="E729" t="s">
        <v>8811</v>
      </c>
      <c r="F729" t="s">
        <v>8812</v>
      </c>
      <c r="G729" t="s">
        <v>99</v>
      </c>
      <c r="H729">
        <v>12414</v>
      </c>
      <c r="I729" t="s">
        <v>30</v>
      </c>
      <c r="J729" t="s">
        <v>162</v>
      </c>
      <c r="K729" t="s">
        <v>163</v>
      </c>
      <c r="N729" t="s">
        <v>8813</v>
      </c>
      <c r="Q729">
        <v>0</v>
      </c>
      <c r="R729">
        <v>24</v>
      </c>
      <c r="S729">
        <v>0</v>
      </c>
      <c r="T729" t="s">
        <v>8814</v>
      </c>
    </row>
    <row r="730" spans="1:20" customFormat="1" ht="15" x14ac:dyDescent="0.25">
      <c r="A730" t="s">
        <v>24</v>
      </c>
      <c r="B730" t="s">
        <v>8328</v>
      </c>
      <c r="C730" t="str">
        <f>"A0063759"</f>
        <v>A0063759</v>
      </c>
      <c r="D730" t="s">
        <v>8832</v>
      </c>
      <c r="E730" t="s">
        <v>8833</v>
      </c>
      <c r="F730" t="s">
        <v>3346</v>
      </c>
      <c r="G730" t="s">
        <v>289</v>
      </c>
      <c r="H730">
        <v>60062</v>
      </c>
      <c r="I730" t="s">
        <v>30</v>
      </c>
      <c r="J730" t="s">
        <v>162</v>
      </c>
      <c r="K730" t="s">
        <v>8834</v>
      </c>
      <c r="N730" t="s">
        <v>8835</v>
      </c>
      <c r="O730" t="s">
        <v>8836</v>
      </c>
      <c r="Q730">
        <v>0</v>
      </c>
      <c r="R730">
        <v>318</v>
      </c>
      <c r="S730">
        <v>0</v>
      </c>
      <c r="T730" t="s">
        <v>8837</v>
      </c>
    </row>
    <row r="731" spans="1:20" customFormat="1" ht="15" x14ac:dyDescent="0.25">
      <c r="A731" t="s">
        <v>24</v>
      </c>
      <c r="B731" t="s">
        <v>2836</v>
      </c>
      <c r="C731" t="str">
        <f>"A0099483"</f>
        <v>A0099483</v>
      </c>
      <c r="D731" t="s">
        <v>3405</v>
      </c>
      <c r="E731" t="s">
        <v>3406</v>
      </c>
      <c r="F731" t="s">
        <v>2564</v>
      </c>
      <c r="G731" t="s">
        <v>81</v>
      </c>
      <c r="H731">
        <v>32310</v>
      </c>
      <c r="I731" t="s">
        <v>30</v>
      </c>
      <c r="J731" t="s">
        <v>31</v>
      </c>
      <c r="K731" t="s">
        <v>198</v>
      </c>
      <c r="N731" t="s">
        <v>3407</v>
      </c>
      <c r="Q731">
        <v>0</v>
      </c>
      <c r="R731">
        <v>124</v>
      </c>
      <c r="S731">
        <v>0</v>
      </c>
      <c r="T731" t="s">
        <v>3408</v>
      </c>
    </row>
    <row r="732" spans="1:20" customFormat="1" ht="15" x14ac:dyDescent="0.25">
      <c r="A732" t="s">
        <v>24</v>
      </c>
      <c r="B732" t="s">
        <v>3852</v>
      </c>
      <c r="C732" t="str">
        <f>"A0073730"</f>
        <v>A0073730</v>
      </c>
      <c r="D732" t="s">
        <v>8855</v>
      </c>
      <c r="E732" t="s">
        <v>8856</v>
      </c>
      <c r="F732" t="s">
        <v>8857</v>
      </c>
      <c r="G732" t="s">
        <v>76</v>
      </c>
      <c r="H732">
        <v>98922</v>
      </c>
      <c r="I732" t="s">
        <v>30</v>
      </c>
      <c r="J732" t="s">
        <v>162</v>
      </c>
      <c r="K732" t="s">
        <v>2015</v>
      </c>
      <c r="N732" t="s">
        <v>8858</v>
      </c>
      <c r="O732" t="s">
        <v>8859</v>
      </c>
      <c r="P732" t="s">
        <v>3998</v>
      </c>
      <c r="Q732">
        <v>3</v>
      </c>
      <c r="R732">
        <v>342</v>
      </c>
      <c r="S732">
        <v>0</v>
      </c>
      <c r="T732" t="s">
        <v>8860</v>
      </c>
    </row>
    <row r="733" spans="1:20" customFormat="1" ht="15" x14ac:dyDescent="0.25">
      <c r="A733" t="s">
        <v>24</v>
      </c>
      <c r="B733" t="s">
        <v>1583</v>
      </c>
      <c r="C733" t="str">
        <f>"A0086864"</f>
        <v>A0086864</v>
      </c>
      <c r="D733" t="s">
        <v>3412</v>
      </c>
      <c r="E733" t="s">
        <v>3413</v>
      </c>
      <c r="F733" t="s">
        <v>3414</v>
      </c>
      <c r="G733" t="s">
        <v>110</v>
      </c>
      <c r="H733">
        <v>96161</v>
      </c>
      <c r="I733" t="s">
        <v>30</v>
      </c>
      <c r="J733" t="s">
        <v>2544</v>
      </c>
      <c r="K733" t="s">
        <v>3415</v>
      </c>
      <c r="N733" t="s">
        <v>2022</v>
      </c>
      <c r="Q733">
        <v>0</v>
      </c>
      <c r="R733">
        <v>190</v>
      </c>
      <c r="S733">
        <v>0</v>
      </c>
      <c r="T733" t="s">
        <v>2023</v>
      </c>
    </row>
    <row r="734" spans="1:20" customFormat="1" ht="15" x14ac:dyDescent="0.25">
      <c r="A734" t="s">
        <v>35</v>
      </c>
      <c r="B734" t="s">
        <v>61</v>
      </c>
      <c r="C734" t="str">
        <f>"A0184420"</f>
        <v>A0184420</v>
      </c>
      <c r="D734" t="s">
        <v>3416</v>
      </c>
      <c r="E734" t="s">
        <v>3417</v>
      </c>
      <c r="F734" t="s">
        <v>3418</v>
      </c>
      <c r="G734" t="s">
        <v>71</v>
      </c>
      <c r="H734" t="s">
        <v>3419</v>
      </c>
      <c r="I734" t="s">
        <v>30</v>
      </c>
      <c r="J734" t="s">
        <v>41</v>
      </c>
      <c r="K734" t="s">
        <v>59</v>
      </c>
      <c r="Q734">
        <v>0</v>
      </c>
      <c r="R734">
        <v>158</v>
      </c>
      <c r="S734">
        <v>158</v>
      </c>
      <c r="T734" t="s">
        <v>3420</v>
      </c>
    </row>
    <row r="735" spans="1:20" customFormat="1" ht="15" x14ac:dyDescent="0.25">
      <c r="A735" t="s">
        <v>35</v>
      </c>
      <c r="B735" t="s">
        <v>61</v>
      </c>
      <c r="C735" t="str">
        <f>"A0184385"</f>
        <v>A0184385</v>
      </c>
      <c r="D735" t="s">
        <v>3421</v>
      </c>
      <c r="E735" t="s">
        <v>3417</v>
      </c>
      <c r="F735" t="s">
        <v>3418</v>
      </c>
      <c r="G735" t="s">
        <v>71</v>
      </c>
      <c r="H735" t="s">
        <v>3419</v>
      </c>
      <c r="I735" t="s">
        <v>30</v>
      </c>
      <c r="J735" t="s">
        <v>41</v>
      </c>
      <c r="K735" t="s">
        <v>59</v>
      </c>
      <c r="Q735">
        <v>0</v>
      </c>
      <c r="R735">
        <v>0</v>
      </c>
      <c r="S735">
        <v>0</v>
      </c>
      <c r="T735" t="s">
        <v>3420</v>
      </c>
    </row>
    <row r="736" spans="1:20" customFormat="1" ht="15" x14ac:dyDescent="0.25">
      <c r="A736" t="s">
        <v>35</v>
      </c>
      <c r="B736" t="s">
        <v>61</v>
      </c>
      <c r="C736" t="str">
        <f>"A0180721"</f>
        <v>A0180721</v>
      </c>
      <c r="D736" t="s">
        <v>3422</v>
      </c>
      <c r="E736" t="s">
        <v>3417</v>
      </c>
      <c r="F736" t="s">
        <v>3418</v>
      </c>
      <c r="G736" t="s">
        <v>71</v>
      </c>
      <c r="H736">
        <v>53589</v>
      </c>
      <c r="I736" t="s">
        <v>30</v>
      </c>
      <c r="J736" t="s">
        <v>41</v>
      </c>
      <c r="K736" t="s">
        <v>482</v>
      </c>
      <c r="Q736">
        <v>0</v>
      </c>
      <c r="R736">
        <v>0</v>
      </c>
      <c r="S736">
        <v>0</v>
      </c>
      <c r="T736" t="s">
        <v>192</v>
      </c>
    </row>
    <row r="737" spans="1:25" customFormat="1" ht="15" x14ac:dyDescent="0.25">
      <c r="A737" t="s">
        <v>35</v>
      </c>
      <c r="B737" t="s">
        <v>61</v>
      </c>
      <c r="C737" t="str">
        <f>"A0184457"</f>
        <v>A0184457</v>
      </c>
      <c r="D737" t="s">
        <v>3423</v>
      </c>
      <c r="E737" t="s">
        <v>3417</v>
      </c>
      <c r="F737" t="s">
        <v>3418</v>
      </c>
      <c r="G737" t="s">
        <v>71</v>
      </c>
      <c r="H737" t="s">
        <v>3419</v>
      </c>
      <c r="I737" t="s">
        <v>30</v>
      </c>
      <c r="J737" t="s">
        <v>41</v>
      </c>
      <c r="K737" t="s">
        <v>59</v>
      </c>
      <c r="Q737">
        <v>0</v>
      </c>
      <c r="R737">
        <v>48</v>
      </c>
      <c r="S737">
        <v>48</v>
      </c>
      <c r="T737" t="s">
        <v>3420</v>
      </c>
    </row>
    <row r="738" spans="1:25" customFormat="1" ht="15" x14ac:dyDescent="0.25">
      <c r="A738" t="s">
        <v>35</v>
      </c>
      <c r="B738" t="s">
        <v>3424</v>
      </c>
      <c r="C738" t="str">
        <f>"A0118190"</f>
        <v>A0118190</v>
      </c>
      <c r="D738" t="s">
        <v>3425</v>
      </c>
      <c r="E738" t="s">
        <v>3426</v>
      </c>
      <c r="F738" t="s">
        <v>3427</v>
      </c>
      <c r="G738" t="s">
        <v>153</v>
      </c>
      <c r="H738">
        <v>840550280</v>
      </c>
      <c r="I738" t="s">
        <v>30</v>
      </c>
      <c r="J738" t="s">
        <v>41</v>
      </c>
      <c r="K738" t="s">
        <v>59</v>
      </c>
      <c r="Q738">
        <v>0</v>
      </c>
      <c r="R738">
        <v>42</v>
      </c>
      <c r="S738">
        <v>42</v>
      </c>
      <c r="T738" t="s">
        <v>3428</v>
      </c>
    </row>
    <row r="739" spans="1:25" x14ac:dyDescent="0.25">
      <c r="A739" s="5" t="s">
        <v>24</v>
      </c>
      <c r="B739" s="5" t="s">
        <v>9065</v>
      </c>
      <c r="C739" s="5" t="str">
        <f>"337P3"</f>
        <v>337P3</v>
      </c>
      <c r="D739" s="5" t="s">
        <v>9066</v>
      </c>
      <c r="E739" s="5" t="s">
        <v>9067</v>
      </c>
      <c r="F739" s="5" t="s">
        <v>9068</v>
      </c>
      <c r="G739" s="5" t="s">
        <v>289</v>
      </c>
      <c r="H739" s="5">
        <v>60018</v>
      </c>
      <c r="I739" s="5" t="s">
        <v>30</v>
      </c>
      <c r="J739" s="5" t="s">
        <v>162</v>
      </c>
      <c r="K739" s="5" t="s">
        <v>1490</v>
      </c>
      <c r="L739" s="5"/>
      <c r="M739" s="5"/>
      <c r="N739" s="5"/>
      <c r="O739" s="5"/>
      <c r="P739" s="5"/>
      <c r="Q739" s="5">
        <v>0</v>
      </c>
      <c r="R739" s="5">
        <v>250</v>
      </c>
      <c r="S739" s="5">
        <v>0</v>
      </c>
      <c r="T739" s="5" t="s">
        <v>9069</v>
      </c>
      <c r="U739" s="5"/>
      <c r="V739" s="5"/>
      <c r="W739" s="5"/>
      <c r="X739" s="5"/>
      <c r="Y739" s="5"/>
    </row>
    <row r="740" spans="1:25" x14ac:dyDescent="0.25">
      <c r="A740" s="5" t="s">
        <v>24</v>
      </c>
      <c r="B740" s="5" t="s">
        <v>9065</v>
      </c>
      <c r="C740" s="5" t="str">
        <f>"A0076796"</f>
        <v>A0076796</v>
      </c>
      <c r="D740" s="5" t="s">
        <v>9070</v>
      </c>
      <c r="E740" s="5" t="s">
        <v>9071</v>
      </c>
      <c r="F740" s="5" t="s">
        <v>9072</v>
      </c>
      <c r="G740" s="5" t="s">
        <v>289</v>
      </c>
      <c r="H740" s="5">
        <v>60523</v>
      </c>
      <c r="I740" s="5" t="s">
        <v>30</v>
      </c>
      <c r="J740" s="5" t="s">
        <v>162</v>
      </c>
      <c r="K740" s="5" t="s">
        <v>759</v>
      </c>
      <c r="L740" s="5"/>
      <c r="M740" s="5"/>
      <c r="N740" s="5" t="s">
        <v>9073</v>
      </c>
      <c r="O740" s="5"/>
      <c r="P740" s="5"/>
      <c r="Q740" s="5">
        <v>0</v>
      </c>
      <c r="R740" s="5">
        <v>428</v>
      </c>
      <c r="S740" s="5">
        <v>0</v>
      </c>
      <c r="T740" s="5" t="s">
        <v>9074</v>
      </c>
      <c r="U740" s="5"/>
      <c r="V740" s="5"/>
      <c r="W740" s="5"/>
      <c r="X740" s="5"/>
      <c r="Y740" s="5"/>
    </row>
    <row r="741" spans="1:25" x14ac:dyDescent="0.25">
      <c r="A741" s="5" t="s">
        <v>24</v>
      </c>
      <c r="B741" s="5" t="s">
        <v>9065</v>
      </c>
      <c r="C741" s="5" t="str">
        <f>"33767"</f>
        <v>33767</v>
      </c>
      <c r="D741" s="5" t="s">
        <v>9075</v>
      </c>
      <c r="E741" s="5" t="s">
        <v>9076</v>
      </c>
      <c r="F741" s="5" t="s">
        <v>9072</v>
      </c>
      <c r="G741" s="5" t="s">
        <v>289</v>
      </c>
      <c r="H741" s="5">
        <v>60523</v>
      </c>
      <c r="I741" s="5" t="s">
        <v>30</v>
      </c>
      <c r="J741" s="5" t="s">
        <v>162</v>
      </c>
      <c r="K741" s="5" t="s">
        <v>1490</v>
      </c>
      <c r="L741" s="5"/>
      <c r="M741" s="5"/>
      <c r="N741" s="5"/>
      <c r="O741" s="5"/>
      <c r="P741" s="5"/>
      <c r="Q741" s="5">
        <v>0</v>
      </c>
      <c r="R741" s="5">
        <v>350</v>
      </c>
      <c r="S741" s="5">
        <v>0</v>
      </c>
      <c r="T741" s="5" t="s">
        <v>9077</v>
      </c>
      <c r="U741" s="5"/>
      <c r="V741" s="5"/>
      <c r="W741" s="5"/>
      <c r="X741" s="5"/>
      <c r="Y741" s="5"/>
    </row>
    <row r="742" spans="1:25" customFormat="1" ht="15" x14ac:dyDescent="0.25">
      <c r="A742" t="s">
        <v>24</v>
      </c>
      <c r="B742" t="s">
        <v>1528</v>
      </c>
      <c r="C742" t="str">
        <f>"A0191998"</f>
        <v>A0191998</v>
      </c>
      <c r="D742" t="s">
        <v>3437</v>
      </c>
      <c r="E742" t="s">
        <v>3438</v>
      </c>
      <c r="F742" t="s">
        <v>3439</v>
      </c>
      <c r="G742" t="s">
        <v>47</v>
      </c>
      <c r="H742">
        <v>97111</v>
      </c>
      <c r="I742" t="s">
        <v>30</v>
      </c>
      <c r="J742" t="s">
        <v>31</v>
      </c>
      <c r="K742" t="s">
        <v>163</v>
      </c>
      <c r="N742" t="s">
        <v>3440</v>
      </c>
      <c r="Q742">
        <v>0</v>
      </c>
      <c r="R742">
        <v>9</v>
      </c>
      <c r="S742">
        <v>0</v>
      </c>
      <c r="T742" t="s">
        <v>3441</v>
      </c>
    </row>
    <row r="743" spans="1:25" customFormat="1" ht="15" x14ac:dyDescent="0.25">
      <c r="A743" t="s">
        <v>24</v>
      </c>
      <c r="B743" t="s">
        <v>1528</v>
      </c>
      <c r="C743" t="str">
        <f>"A0191997"</f>
        <v>A0191997</v>
      </c>
      <c r="D743" t="s">
        <v>3442</v>
      </c>
      <c r="E743" t="s">
        <v>3443</v>
      </c>
      <c r="F743" t="s">
        <v>3444</v>
      </c>
      <c r="G743" t="s">
        <v>47</v>
      </c>
      <c r="H743">
        <v>97128</v>
      </c>
      <c r="I743" t="s">
        <v>30</v>
      </c>
      <c r="J743" t="s">
        <v>687</v>
      </c>
      <c r="K743" t="s">
        <v>163</v>
      </c>
      <c r="N743" t="s">
        <v>3440</v>
      </c>
      <c r="Q743">
        <v>0</v>
      </c>
      <c r="R743">
        <v>0</v>
      </c>
      <c r="S743">
        <v>0</v>
      </c>
      <c r="T743" t="s">
        <v>3441</v>
      </c>
    </row>
    <row r="744" spans="1:25" customFormat="1" ht="15" x14ac:dyDescent="0.25">
      <c r="A744" t="s">
        <v>24</v>
      </c>
      <c r="B744" t="s">
        <v>2812</v>
      </c>
      <c r="C744" t="str">
        <f>"A0145435"</f>
        <v>A0145435</v>
      </c>
      <c r="D744" t="s">
        <v>9102</v>
      </c>
      <c r="E744" t="s">
        <v>9103</v>
      </c>
      <c r="F744" t="s">
        <v>845</v>
      </c>
      <c r="G744" t="s">
        <v>846</v>
      </c>
      <c r="H744">
        <v>30308</v>
      </c>
      <c r="I744" t="s">
        <v>30</v>
      </c>
      <c r="J744" t="s">
        <v>162</v>
      </c>
      <c r="K744" t="s">
        <v>163</v>
      </c>
      <c r="Q744">
        <v>0</v>
      </c>
      <c r="R744">
        <v>111</v>
      </c>
      <c r="S744">
        <v>0</v>
      </c>
      <c r="T744" t="s">
        <v>9104</v>
      </c>
    </row>
    <row r="745" spans="1:25" customFormat="1" ht="15" x14ac:dyDescent="0.25">
      <c r="A745" t="s">
        <v>35</v>
      </c>
      <c r="B745" t="s">
        <v>61</v>
      </c>
      <c r="C745" t="str">
        <f>"A0123639"</f>
        <v>A0123639</v>
      </c>
      <c r="D745" t="s">
        <v>3449</v>
      </c>
      <c r="E745" t="s">
        <v>3450</v>
      </c>
      <c r="F745" t="s">
        <v>3451</v>
      </c>
      <c r="G745" t="s">
        <v>1170</v>
      </c>
      <c r="H745">
        <v>71055</v>
      </c>
      <c r="I745" t="s">
        <v>30</v>
      </c>
      <c r="J745" t="s">
        <v>41</v>
      </c>
      <c r="K745" t="s">
        <v>482</v>
      </c>
      <c r="Q745">
        <v>0</v>
      </c>
      <c r="R745">
        <v>27</v>
      </c>
      <c r="S745">
        <v>27</v>
      </c>
      <c r="T745" t="s">
        <v>3452</v>
      </c>
    </row>
    <row r="746" spans="1:25" customFormat="1" ht="15" x14ac:dyDescent="0.25">
      <c r="A746" t="s">
        <v>24</v>
      </c>
      <c r="B746" t="s">
        <v>850</v>
      </c>
      <c r="C746" t="str">
        <f>"A0086417"</f>
        <v>A0086417</v>
      </c>
      <c r="D746" t="s">
        <v>9323</v>
      </c>
      <c r="E746" t="s">
        <v>9324</v>
      </c>
      <c r="F746" t="s">
        <v>1507</v>
      </c>
      <c r="G746" t="s">
        <v>1508</v>
      </c>
      <c r="H746">
        <v>82609</v>
      </c>
      <c r="I746" t="s">
        <v>30</v>
      </c>
      <c r="J746" t="s">
        <v>162</v>
      </c>
      <c r="K746" t="s">
        <v>854</v>
      </c>
      <c r="N746" t="s">
        <v>9325</v>
      </c>
      <c r="Q746">
        <v>0</v>
      </c>
      <c r="R746">
        <v>119</v>
      </c>
      <c r="S746">
        <v>0</v>
      </c>
      <c r="T746" t="s">
        <v>9326</v>
      </c>
    </row>
    <row r="747" spans="1:25" customFormat="1" ht="15" x14ac:dyDescent="0.25">
      <c r="A747" t="s">
        <v>24</v>
      </c>
      <c r="B747" t="s">
        <v>850</v>
      </c>
      <c r="C747" t="str">
        <f>"A0189435"</f>
        <v>A0189435</v>
      </c>
      <c r="D747" t="s">
        <v>9344</v>
      </c>
      <c r="E747" t="s">
        <v>9345</v>
      </c>
      <c r="F747" t="s">
        <v>9346</v>
      </c>
      <c r="G747" t="s">
        <v>190</v>
      </c>
      <c r="H747">
        <v>81506</v>
      </c>
      <c r="I747" t="s">
        <v>30</v>
      </c>
      <c r="J747" t="s">
        <v>162</v>
      </c>
      <c r="K747" t="s">
        <v>854</v>
      </c>
      <c r="N747" t="s">
        <v>9347</v>
      </c>
      <c r="Q747">
        <v>0</v>
      </c>
      <c r="R747">
        <v>119</v>
      </c>
      <c r="S747">
        <v>0</v>
      </c>
      <c r="T747" t="s">
        <v>9348</v>
      </c>
    </row>
    <row r="748" spans="1:25" customFormat="1" ht="15" x14ac:dyDescent="0.25">
      <c r="A748" t="s">
        <v>24</v>
      </c>
      <c r="B748" t="s">
        <v>193</v>
      </c>
      <c r="C748" t="str">
        <f>"A0069662"</f>
        <v>A0069662</v>
      </c>
      <c r="D748" t="s">
        <v>3464</v>
      </c>
      <c r="E748" t="s">
        <v>3465</v>
      </c>
      <c r="F748" t="s">
        <v>3466</v>
      </c>
      <c r="G748" t="s">
        <v>840</v>
      </c>
      <c r="H748">
        <v>40241</v>
      </c>
      <c r="I748" t="s">
        <v>30</v>
      </c>
      <c r="J748" t="s">
        <v>31</v>
      </c>
      <c r="K748" t="s">
        <v>282</v>
      </c>
      <c r="N748" t="s">
        <v>3467</v>
      </c>
      <c r="Q748">
        <v>0</v>
      </c>
      <c r="R748">
        <v>81</v>
      </c>
      <c r="S748">
        <v>0</v>
      </c>
      <c r="T748" t="s">
        <v>3468</v>
      </c>
    </row>
    <row r="749" spans="1:25" customFormat="1" ht="15" x14ac:dyDescent="0.25">
      <c r="A749" t="s">
        <v>24</v>
      </c>
      <c r="B749" t="s">
        <v>3469</v>
      </c>
      <c r="C749" t="str">
        <f>"A0075789"</f>
        <v>A0075789</v>
      </c>
      <c r="D749" t="s">
        <v>3470</v>
      </c>
      <c r="E749" t="s">
        <v>3471</v>
      </c>
      <c r="F749" t="s">
        <v>3472</v>
      </c>
      <c r="G749" t="s">
        <v>110</v>
      </c>
      <c r="H749">
        <v>92408</v>
      </c>
      <c r="I749" t="s">
        <v>30</v>
      </c>
      <c r="J749" t="s">
        <v>31</v>
      </c>
      <c r="K749" t="s">
        <v>32</v>
      </c>
      <c r="N749" t="s">
        <v>3473</v>
      </c>
      <c r="O749" t="s">
        <v>3474</v>
      </c>
      <c r="Q749">
        <v>0</v>
      </c>
      <c r="R749">
        <v>94</v>
      </c>
      <c r="S749">
        <v>0</v>
      </c>
      <c r="T749" t="s">
        <v>3475</v>
      </c>
    </row>
    <row r="750" spans="1:25" customFormat="1" ht="15" x14ac:dyDescent="0.25">
      <c r="A750" t="s">
        <v>35</v>
      </c>
      <c r="B750" t="s">
        <v>61</v>
      </c>
      <c r="C750" t="str">
        <f>"A0132059"</f>
        <v>A0132059</v>
      </c>
      <c r="D750" t="s">
        <v>3476</v>
      </c>
      <c r="E750" t="s">
        <v>3477</v>
      </c>
      <c r="F750" t="s">
        <v>3478</v>
      </c>
      <c r="G750" t="s">
        <v>65</v>
      </c>
      <c r="H750">
        <v>45415</v>
      </c>
      <c r="I750" t="s">
        <v>30</v>
      </c>
      <c r="J750" t="s">
        <v>41</v>
      </c>
      <c r="K750" t="s">
        <v>229</v>
      </c>
      <c r="Q750">
        <v>0</v>
      </c>
      <c r="R750">
        <v>85</v>
      </c>
      <c r="S750">
        <v>85</v>
      </c>
      <c r="T750" t="s">
        <v>3479</v>
      </c>
    </row>
    <row r="751" spans="1:25" customFormat="1" ht="15" x14ac:dyDescent="0.25">
      <c r="A751" t="s">
        <v>35</v>
      </c>
      <c r="B751" t="s">
        <v>61</v>
      </c>
      <c r="C751" t="str">
        <f>"A0132055"</f>
        <v>A0132055</v>
      </c>
      <c r="D751" t="s">
        <v>3480</v>
      </c>
      <c r="E751" t="s">
        <v>3481</v>
      </c>
      <c r="F751" t="s">
        <v>3482</v>
      </c>
      <c r="G751" t="s">
        <v>65</v>
      </c>
      <c r="H751">
        <v>45426</v>
      </c>
      <c r="I751" t="s">
        <v>30</v>
      </c>
      <c r="J751" t="s">
        <v>41</v>
      </c>
      <c r="K751" t="s">
        <v>229</v>
      </c>
      <c r="Q751">
        <v>0</v>
      </c>
      <c r="R751">
        <v>100</v>
      </c>
      <c r="S751">
        <v>87</v>
      </c>
      <c r="T751" t="s">
        <v>3483</v>
      </c>
    </row>
    <row r="752" spans="1:25" customFormat="1" ht="15" x14ac:dyDescent="0.25">
      <c r="A752" t="s">
        <v>24</v>
      </c>
      <c r="B752" t="s">
        <v>1323</v>
      </c>
      <c r="C752" t="str">
        <f>"A0191962"</f>
        <v>A0191962</v>
      </c>
      <c r="D752" t="s">
        <v>3484</v>
      </c>
      <c r="E752" t="s">
        <v>3485</v>
      </c>
      <c r="F752" t="s">
        <v>1159</v>
      </c>
      <c r="G752" t="s">
        <v>58</v>
      </c>
      <c r="H752">
        <v>29577</v>
      </c>
      <c r="I752" t="s">
        <v>30</v>
      </c>
      <c r="J752" t="s">
        <v>31</v>
      </c>
      <c r="K752" t="s">
        <v>198</v>
      </c>
      <c r="N752" t="s">
        <v>3486</v>
      </c>
      <c r="Q752">
        <v>0</v>
      </c>
      <c r="R752">
        <v>228</v>
      </c>
      <c r="S752">
        <v>0</v>
      </c>
      <c r="T752" t="s">
        <v>3487</v>
      </c>
    </row>
    <row r="753" spans="1:20" customFormat="1" ht="15" x14ac:dyDescent="0.25">
      <c r="A753" t="s">
        <v>24</v>
      </c>
      <c r="B753" t="s">
        <v>4366</v>
      </c>
      <c r="C753" t="str">
        <f>"A0189430"</f>
        <v>A0189430</v>
      </c>
      <c r="D753" t="s">
        <v>9376</v>
      </c>
      <c r="E753" t="s">
        <v>9377</v>
      </c>
      <c r="F753" t="s">
        <v>5833</v>
      </c>
      <c r="G753" t="s">
        <v>1369</v>
      </c>
      <c r="H753">
        <v>39209</v>
      </c>
      <c r="I753" t="s">
        <v>30</v>
      </c>
      <c r="J753" t="s">
        <v>162</v>
      </c>
      <c r="K753" t="s">
        <v>163</v>
      </c>
      <c r="Q753">
        <v>0</v>
      </c>
      <c r="R753">
        <v>0</v>
      </c>
      <c r="S753">
        <v>0</v>
      </c>
      <c r="T753" t="s">
        <v>9378</v>
      </c>
    </row>
    <row r="754" spans="1:20" customFormat="1" ht="15" x14ac:dyDescent="0.25">
      <c r="A754" t="s">
        <v>24</v>
      </c>
      <c r="B754" t="s">
        <v>193</v>
      </c>
      <c r="C754" t="str">
        <f>"A0158635"</f>
        <v>A0158635</v>
      </c>
      <c r="D754" t="s">
        <v>3493</v>
      </c>
      <c r="E754" t="s">
        <v>3494</v>
      </c>
      <c r="F754" t="s">
        <v>2564</v>
      </c>
      <c r="G754" t="s">
        <v>81</v>
      </c>
      <c r="H754">
        <v>32304</v>
      </c>
      <c r="I754" t="s">
        <v>30</v>
      </c>
      <c r="J754" t="s">
        <v>1004</v>
      </c>
      <c r="K754" t="s">
        <v>163</v>
      </c>
      <c r="N754" t="s">
        <v>2568</v>
      </c>
      <c r="Q754">
        <v>0</v>
      </c>
      <c r="R754">
        <v>0</v>
      </c>
      <c r="S754">
        <v>0</v>
      </c>
      <c r="T754" t="s">
        <v>3495</v>
      </c>
    </row>
    <row r="755" spans="1:20" customFormat="1" ht="15" x14ac:dyDescent="0.25">
      <c r="A755" t="s">
        <v>24</v>
      </c>
      <c r="B755" t="s">
        <v>9400</v>
      </c>
      <c r="C755" t="str">
        <f>"A0098665"</f>
        <v>A0098665</v>
      </c>
      <c r="D755" t="s">
        <v>9401</v>
      </c>
      <c r="E755" t="s">
        <v>9402</v>
      </c>
      <c r="F755" t="s">
        <v>9403</v>
      </c>
      <c r="G755" t="s">
        <v>110</v>
      </c>
      <c r="H755">
        <v>93546</v>
      </c>
      <c r="I755" t="s">
        <v>30</v>
      </c>
      <c r="J755" t="s">
        <v>162</v>
      </c>
      <c r="K755" t="s">
        <v>822</v>
      </c>
      <c r="N755" t="s">
        <v>9404</v>
      </c>
      <c r="Q755">
        <v>0</v>
      </c>
      <c r="R755">
        <v>210</v>
      </c>
      <c r="S755">
        <v>0</v>
      </c>
      <c r="T755" t="s">
        <v>9405</v>
      </c>
    </row>
    <row r="756" spans="1:20" customFormat="1" ht="15" x14ac:dyDescent="0.25">
      <c r="A756" t="s">
        <v>24</v>
      </c>
      <c r="B756" t="s">
        <v>9423</v>
      </c>
      <c r="C756" t="str">
        <f>"A0180049"</f>
        <v>A0180049</v>
      </c>
      <c r="D756" t="s">
        <v>9424</v>
      </c>
      <c r="E756" t="s">
        <v>9425</v>
      </c>
      <c r="F756" t="s">
        <v>1003</v>
      </c>
      <c r="G756" t="s">
        <v>81</v>
      </c>
      <c r="H756">
        <v>33139</v>
      </c>
      <c r="I756" t="s">
        <v>30</v>
      </c>
      <c r="J756" t="s">
        <v>162</v>
      </c>
      <c r="K756" t="s">
        <v>163</v>
      </c>
      <c r="N756" t="s">
        <v>9426</v>
      </c>
      <c r="O756" t="s">
        <v>9427</v>
      </c>
      <c r="Q756">
        <v>0</v>
      </c>
      <c r="R756">
        <v>145</v>
      </c>
      <c r="S756">
        <v>0</v>
      </c>
      <c r="T756" t="s">
        <v>9428</v>
      </c>
    </row>
    <row r="757" spans="1:20" customFormat="1" ht="15" x14ac:dyDescent="0.25">
      <c r="A757" t="s">
        <v>24</v>
      </c>
      <c r="B757" t="s">
        <v>762</v>
      </c>
      <c r="C757" t="str">
        <f>"A0191969"</f>
        <v>A0191969</v>
      </c>
      <c r="D757" t="s">
        <v>3509</v>
      </c>
      <c r="E757" t="s">
        <v>3510</v>
      </c>
      <c r="F757" t="s">
        <v>3511</v>
      </c>
      <c r="G757" t="s">
        <v>144</v>
      </c>
      <c r="H757">
        <v>58854</v>
      </c>
      <c r="I757" t="s">
        <v>30</v>
      </c>
      <c r="J757" t="s">
        <v>31</v>
      </c>
      <c r="K757" t="s">
        <v>163</v>
      </c>
      <c r="N757" t="s">
        <v>3512</v>
      </c>
      <c r="Q757">
        <v>0</v>
      </c>
      <c r="R757">
        <v>91</v>
      </c>
      <c r="S757">
        <v>0</v>
      </c>
      <c r="T757" t="s">
        <v>3513</v>
      </c>
    </row>
    <row r="758" spans="1:20" customFormat="1" ht="15" x14ac:dyDescent="0.25">
      <c r="A758" t="s">
        <v>24</v>
      </c>
      <c r="B758" t="s">
        <v>3514</v>
      </c>
      <c r="C758" t="str">
        <f>"A0191729"</f>
        <v>A0191729</v>
      </c>
      <c r="D758" t="s">
        <v>3515</v>
      </c>
      <c r="E758" t="s">
        <v>3516</v>
      </c>
      <c r="F758" t="s">
        <v>3517</v>
      </c>
      <c r="G758" t="s">
        <v>110</v>
      </c>
      <c r="H758">
        <v>95821</v>
      </c>
      <c r="I758" t="s">
        <v>30</v>
      </c>
      <c r="J758" t="s">
        <v>31</v>
      </c>
      <c r="K758" t="s">
        <v>282</v>
      </c>
      <c r="N758" t="s">
        <v>3518</v>
      </c>
      <c r="Q758">
        <v>0</v>
      </c>
      <c r="R758">
        <v>80</v>
      </c>
      <c r="S758">
        <v>0</v>
      </c>
      <c r="T758" t="s">
        <v>3519</v>
      </c>
    </row>
    <row r="759" spans="1:20" customFormat="1" ht="15" x14ac:dyDescent="0.25">
      <c r="A759" t="s">
        <v>24</v>
      </c>
      <c r="B759" t="s">
        <v>3514</v>
      </c>
      <c r="C759" t="str">
        <f>"A0191728"</f>
        <v>A0191728</v>
      </c>
      <c r="D759" t="s">
        <v>3520</v>
      </c>
      <c r="E759" t="s">
        <v>3521</v>
      </c>
      <c r="F759" t="s">
        <v>3517</v>
      </c>
      <c r="G759" t="s">
        <v>110</v>
      </c>
      <c r="H759">
        <v>95821</v>
      </c>
      <c r="I759" t="s">
        <v>30</v>
      </c>
      <c r="J759" t="s">
        <v>31</v>
      </c>
      <c r="K759" t="s">
        <v>198</v>
      </c>
      <c r="N759" t="s">
        <v>3522</v>
      </c>
      <c r="Q759">
        <v>0</v>
      </c>
      <c r="R759">
        <v>70</v>
      </c>
      <c r="S759">
        <v>0</v>
      </c>
      <c r="T759" t="s">
        <v>3523</v>
      </c>
    </row>
    <row r="760" spans="1:20" customFormat="1" ht="15" x14ac:dyDescent="0.25">
      <c r="A760" t="s">
        <v>24</v>
      </c>
      <c r="B760" t="s">
        <v>3514</v>
      </c>
      <c r="C760" t="str">
        <f>"A0147002"</f>
        <v>A0147002</v>
      </c>
      <c r="D760" t="s">
        <v>3524</v>
      </c>
      <c r="E760" t="s">
        <v>3525</v>
      </c>
      <c r="F760" t="s">
        <v>3526</v>
      </c>
      <c r="G760" t="s">
        <v>110</v>
      </c>
      <c r="H760">
        <v>95605</v>
      </c>
      <c r="I760" t="s">
        <v>30</v>
      </c>
      <c r="J760" t="s">
        <v>31</v>
      </c>
      <c r="K760" t="s">
        <v>255</v>
      </c>
      <c r="N760" t="s">
        <v>3527</v>
      </c>
      <c r="Q760">
        <v>0</v>
      </c>
      <c r="R760">
        <v>110</v>
      </c>
      <c r="S760">
        <v>0</v>
      </c>
      <c r="T760" t="s">
        <v>3528</v>
      </c>
    </row>
    <row r="761" spans="1:20" customFormat="1" ht="15" x14ac:dyDescent="0.25">
      <c r="A761" t="s">
        <v>24</v>
      </c>
      <c r="B761" t="s">
        <v>814</v>
      </c>
      <c r="C761" t="str">
        <f>"A0090956"</f>
        <v>A0090956</v>
      </c>
      <c r="D761" t="s">
        <v>9429</v>
      </c>
      <c r="E761" t="s">
        <v>9430</v>
      </c>
      <c r="F761" t="s">
        <v>9431</v>
      </c>
      <c r="G761" t="s">
        <v>381</v>
      </c>
      <c r="H761">
        <v>46204</v>
      </c>
      <c r="I761" t="s">
        <v>30</v>
      </c>
      <c r="J761" t="s">
        <v>162</v>
      </c>
      <c r="K761" t="s">
        <v>9432</v>
      </c>
      <c r="N761" t="s">
        <v>9433</v>
      </c>
      <c r="Q761">
        <v>0</v>
      </c>
      <c r="R761">
        <v>207</v>
      </c>
      <c r="S761">
        <v>0</v>
      </c>
      <c r="T761" t="s">
        <v>9434</v>
      </c>
    </row>
    <row r="762" spans="1:20" customFormat="1" ht="15" x14ac:dyDescent="0.25">
      <c r="A762" t="s">
        <v>24</v>
      </c>
      <c r="B762" t="s">
        <v>1323</v>
      </c>
      <c r="C762" t="str">
        <f>"A0099035"</f>
        <v>A0099035</v>
      </c>
      <c r="D762" t="s">
        <v>3534</v>
      </c>
      <c r="E762" t="s">
        <v>3535</v>
      </c>
      <c r="F762" t="s">
        <v>2443</v>
      </c>
      <c r="G762" t="s">
        <v>214</v>
      </c>
      <c r="H762">
        <v>28546</v>
      </c>
      <c r="I762" t="s">
        <v>30</v>
      </c>
      <c r="J762" t="s">
        <v>31</v>
      </c>
      <c r="K762" t="s">
        <v>261</v>
      </c>
      <c r="N762" t="s">
        <v>3536</v>
      </c>
      <c r="Q762">
        <v>0</v>
      </c>
      <c r="R762">
        <v>105</v>
      </c>
      <c r="S762">
        <v>0</v>
      </c>
      <c r="T762" t="s">
        <v>3537</v>
      </c>
    </row>
    <row r="763" spans="1:20" customFormat="1" ht="15" x14ac:dyDescent="0.25">
      <c r="A763" t="s">
        <v>24</v>
      </c>
      <c r="B763" t="s">
        <v>1323</v>
      </c>
      <c r="C763" t="str">
        <f>"A0099033"</f>
        <v>A0099033</v>
      </c>
      <c r="D763" t="s">
        <v>3538</v>
      </c>
      <c r="E763" t="s">
        <v>3539</v>
      </c>
      <c r="F763" t="s">
        <v>3540</v>
      </c>
      <c r="G763" t="s">
        <v>214</v>
      </c>
      <c r="H763">
        <v>28303</v>
      </c>
      <c r="I763" t="s">
        <v>30</v>
      </c>
      <c r="J763" t="s">
        <v>31</v>
      </c>
      <c r="K763" t="s">
        <v>261</v>
      </c>
      <c r="N763" t="s">
        <v>3541</v>
      </c>
      <c r="Q763">
        <v>0</v>
      </c>
      <c r="R763">
        <v>118</v>
      </c>
      <c r="S763">
        <v>0</v>
      </c>
      <c r="T763" t="s">
        <v>3542</v>
      </c>
    </row>
    <row r="764" spans="1:20" customFormat="1" ht="15" x14ac:dyDescent="0.25">
      <c r="A764" t="s">
        <v>24</v>
      </c>
      <c r="B764" t="s">
        <v>9524</v>
      </c>
      <c r="C764" t="str">
        <f>"A0188989"</f>
        <v>A0188989</v>
      </c>
      <c r="D764" t="s">
        <v>9525</v>
      </c>
      <c r="E764" t="s">
        <v>9526</v>
      </c>
      <c r="F764" t="s">
        <v>9527</v>
      </c>
      <c r="G764" t="s">
        <v>103</v>
      </c>
      <c r="H764">
        <v>18071</v>
      </c>
      <c r="I764" t="s">
        <v>30</v>
      </c>
      <c r="J764" t="s">
        <v>162</v>
      </c>
      <c r="K764" t="s">
        <v>163</v>
      </c>
      <c r="N764" t="s">
        <v>9528</v>
      </c>
      <c r="Q764">
        <v>0</v>
      </c>
      <c r="R764">
        <v>0</v>
      </c>
      <c r="S764">
        <v>0</v>
      </c>
      <c r="T764" t="s">
        <v>9529</v>
      </c>
    </row>
    <row r="765" spans="1:20" customFormat="1" ht="15" x14ac:dyDescent="0.25">
      <c r="A765" t="s">
        <v>24</v>
      </c>
      <c r="B765" t="s">
        <v>1323</v>
      </c>
      <c r="C765" t="str">
        <f>"A0099036"</f>
        <v>A0099036</v>
      </c>
      <c r="D765" t="s">
        <v>3548</v>
      </c>
      <c r="E765" t="s">
        <v>3549</v>
      </c>
      <c r="F765" t="s">
        <v>3550</v>
      </c>
      <c r="G765" t="s">
        <v>58</v>
      </c>
      <c r="H765">
        <v>29418</v>
      </c>
      <c r="I765" t="s">
        <v>30</v>
      </c>
      <c r="J765" t="s">
        <v>31</v>
      </c>
      <c r="K765" t="s">
        <v>261</v>
      </c>
      <c r="N765" t="s">
        <v>3551</v>
      </c>
      <c r="Q765">
        <v>0</v>
      </c>
      <c r="R765">
        <v>122</v>
      </c>
      <c r="S765">
        <v>0</v>
      </c>
      <c r="T765" t="s">
        <v>3552</v>
      </c>
    </row>
    <row r="766" spans="1:20" customFormat="1" ht="15" x14ac:dyDescent="0.25">
      <c r="A766" t="s">
        <v>24</v>
      </c>
      <c r="B766" t="s">
        <v>9530</v>
      </c>
      <c r="C766" t="str">
        <f>"A0095418"</f>
        <v>A0095418</v>
      </c>
      <c r="D766" t="s">
        <v>9534</v>
      </c>
      <c r="E766" t="s">
        <v>9535</v>
      </c>
      <c r="F766" t="s">
        <v>7455</v>
      </c>
      <c r="G766" t="s">
        <v>123</v>
      </c>
      <c r="H766">
        <v>21202</v>
      </c>
      <c r="I766" t="s">
        <v>30</v>
      </c>
      <c r="J766" t="s">
        <v>162</v>
      </c>
      <c r="K766" t="s">
        <v>266</v>
      </c>
      <c r="N766" t="s">
        <v>9536</v>
      </c>
      <c r="Q766">
        <v>0</v>
      </c>
      <c r="R766">
        <v>300</v>
      </c>
      <c r="S766">
        <v>0</v>
      </c>
      <c r="T766" t="s">
        <v>9537</v>
      </c>
    </row>
    <row r="767" spans="1:20" customFormat="1" ht="15" x14ac:dyDescent="0.25">
      <c r="A767" t="s">
        <v>24</v>
      </c>
      <c r="B767" t="s">
        <v>1849</v>
      </c>
      <c r="C767" t="str">
        <f>"A0076784"</f>
        <v>A0076784</v>
      </c>
      <c r="D767" t="s">
        <v>9763</v>
      </c>
      <c r="E767" t="s">
        <v>9764</v>
      </c>
      <c r="F767" t="s">
        <v>2564</v>
      </c>
      <c r="G767" t="s">
        <v>81</v>
      </c>
      <c r="H767">
        <v>32301</v>
      </c>
      <c r="I767" t="s">
        <v>30</v>
      </c>
      <c r="J767" t="s">
        <v>162</v>
      </c>
      <c r="K767" t="s">
        <v>759</v>
      </c>
      <c r="N767" t="s">
        <v>9765</v>
      </c>
      <c r="O767" t="s">
        <v>9766</v>
      </c>
      <c r="Q767">
        <v>0</v>
      </c>
      <c r="R767">
        <v>242</v>
      </c>
      <c r="S767">
        <v>0</v>
      </c>
      <c r="T767" t="s">
        <v>9767</v>
      </c>
    </row>
    <row r="768" spans="1:20" customFormat="1" ht="15" x14ac:dyDescent="0.25">
      <c r="A768" t="s">
        <v>24</v>
      </c>
      <c r="B768" t="s">
        <v>1323</v>
      </c>
      <c r="C768" t="str">
        <f>"A0099029"</f>
        <v>A0099029</v>
      </c>
      <c r="D768" t="s">
        <v>3563</v>
      </c>
      <c r="E768" t="s">
        <v>3564</v>
      </c>
      <c r="F768" t="s">
        <v>3565</v>
      </c>
      <c r="G768" t="s">
        <v>81</v>
      </c>
      <c r="H768">
        <v>32169</v>
      </c>
      <c r="I768" t="s">
        <v>30</v>
      </c>
      <c r="J768" t="s">
        <v>31</v>
      </c>
      <c r="K768" t="s">
        <v>198</v>
      </c>
      <c r="N768" t="s">
        <v>2984</v>
      </c>
      <c r="Q768">
        <v>0</v>
      </c>
      <c r="R768">
        <v>112</v>
      </c>
      <c r="S768">
        <v>0</v>
      </c>
      <c r="T768" t="s">
        <v>3566</v>
      </c>
    </row>
    <row r="769" spans="1:20" customFormat="1" ht="15" x14ac:dyDescent="0.25">
      <c r="A769" t="s">
        <v>24</v>
      </c>
      <c r="B769" t="s">
        <v>1548</v>
      </c>
      <c r="C769" t="str">
        <f>"SF04085"</f>
        <v>SF04085</v>
      </c>
      <c r="D769" t="s">
        <v>9768</v>
      </c>
      <c r="E769" t="s">
        <v>9769</v>
      </c>
      <c r="F769" t="s">
        <v>1622</v>
      </c>
      <c r="G769" t="s">
        <v>29</v>
      </c>
      <c r="H769">
        <v>22314</v>
      </c>
      <c r="I769" t="s">
        <v>30</v>
      </c>
      <c r="J769" t="s">
        <v>162</v>
      </c>
      <c r="K769" t="s">
        <v>854</v>
      </c>
      <c r="N769" t="s">
        <v>9770</v>
      </c>
      <c r="Q769">
        <v>0</v>
      </c>
      <c r="R769">
        <v>207</v>
      </c>
      <c r="S769">
        <v>0</v>
      </c>
      <c r="T769" t="s">
        <v>9771</v>
      </c>
    </row>
    <row r="770" spans="1:20" customFormat="1" ht="15" x14ac:dyDescent="0.25">
      <c r="A770" t="s">
        <v>24</v>
      </c>
      <c r="B770" t="s">
        <v>1323</v>
      </c>
      <c r="C770" t="str">
        <f>"A0094613"</f>
        <v>A0094613</v>
      </c>
      <c r="D770" t="s">
        <v>3572</v>
      </c>
      <c r="E770" t="s">
        <v>3573</v>
      </c>
      <c r="F770" t="s">
        <v>659</v>
      </c>
      <c r="G770" t="s">
        <v>81</v>
      </c>
      <c r="H770">
        <v>32601</v>
      </c>
      <c r="I770" t="s">
        <v>30</v>
      </c>
      <c r="J770" t="s">
        <v>31</v>
      </c>
      <c r="K770" t="s">
        <v>198</v>
      </c>
      <c r="N770" t="s">
        <v>3574</v>
      </c>
      <c r="Q770">
        <v>0</v>
      </c>
      <c r="R770">
        <v>124</v>
      </c>
      <c r="S770">
        <v>0</v>
      </c>
      <c r="T770" t="s">
        <v>3575</v>
      </c>
    </row>
    <row r="771" spans="1:20" customFormat="1" ht="15" x14ac:dyDescent="0.25">
      <c r="A771" t="s">
        <v>24</v>
      </c>
      <c r="B771" t="s">
        <v>1323</v>
      </c>
      <c r="C771" t="str">
        <f>"A0088874"</f>
        <v>A0088874</v>
      </c>
      <c r="D771" t="s">
        <v>3576</v>
      </c>
      <c r="E771" t="s">
        <v>3577</v>
      </c>
      <c r="F771" t="s">
        <v>3145</v>
      </c>
      <c r="G771" t="s">
        <v>81</v>
      </c>
      <c r="H771">
        <v>32413</v>
      </c>
      <c r="I771" t="s">
        <v>30</v>
      </c>
      <c r="J771" t="s">
        <v>31</v>
      </c>
      <c r="K771" t="s">
        <v>198</v>
      </c>
      <c r="N771" t="s">
        <v>3578</v>
      </c>
      <c r="Q771">
        <v>0</v>
      </c>
      <c r="R771">
        <v>95</v>
      </c>
      <c r="S771">
        <v>0</v>
      </c>
      <c r="T771" t="s">
        <v>3579</v>
      </c>
    </row>
    <row r="772" spans="1:20" customFormat="1" ht="15" x14ac:dyDescent="0.25">
      <c r="A772" t="s">
        <v>24</v>
      </c>
      <c r="B772" t="s">
        <v>1323</v>
      </c>
      <c r="C772" t="str">
        <f>"A0099030"</f>
        <v>A0099030</v>
      </c>
      <c r="D772" t="s">
        <v>3580</v>
      </c>
      <c r="E772" t="s">
        <v>3581</v>
      </c>
      <c r="F772" t="s">
        <v>3582</v>
      </c>
      <c r="G772" t="s">
        <v>52</v>
      </c>
      <c r="H772">
        <v>76028</v>
      </c>
      <c r="I772" t="s">
        <v>30</v>
      </c>
      <c r="J772" t="s">
        <v>31</v>
      </c>
      <c r="K772" t="s">
        <v>198</v>
      </c>
      <c r="N772" t="s">
        <v>3583</v>
      </c>
      <c r="Q772">
        <v>0</v>
      </c>
      <c r="R772">
        <v>88</v>
      </c>
      <c r="S772">
        <v>0</v>
      </c>
      <c r="T772" t="s">
        <v>3584</v>
      </c>
    </row>
    <row r="773" spans="1:20" customFormat="1" ht="15" x14ac:dyDescent="0.25">
      <c r="A773" t="s">
        <v>24</v>
      </c>
      <c r="B773" t="s">
        <v>1323</v>
      </c>
      <c r="C773" t="str">
        <f>"A0095817"</f>
        <v>A0095817</v>
      </c>
      <c r="D773" t="s">
        <v>3585</v>
      </c>
      <c r="E773" t="s">
        <v>3586</v>
      </c>
      <c r="F773" t="s">
        <v>3587</v>
      </c>
      <c r="G773" t="s">
        <v>846</v>
      </c>
      <c r="H773">
        <v>30346</v>
      </c>
      <c r="I773" t="s">
        <v>30</v>
      </c>
      <c r="J773" t="s">
        <v>31</v>
      </c>
      <c r="K773" t="s">
        <v>198</v>
      </c>
      <c r="N773" t="s">
        <v>3588</v>
      </c>
      <c r="O773" t="s">
        <v>3589</v>
      </c>
      <c r="Q773">
        <v>0</v>
      </c>
      <c r="R773">
        <v>132</v>
      </c>
      <c r="S773">
        <v>0</v>
      </c>
      <c r="T773" t="s">
        <v>3590</v>
      </c>
    </row>
    <row r="774" spans="1:20" customFormat="1" ht="15" x14ac:dyDescent="0.25">
      <c r="A774" t="s">
        <v>24</v>
      </c>
      <c r="B774" t="s">
        <v>1323</v>
      </c>
      <c r="C774" t="str">
        <f>"A0075750"</f>
        <v>A0075750</v>
      </c>
      <c r="D774" t="s">
        <v>3591</v>
      </c>
      <c r="E774" t="s">
        <v>3592</v>
      </c>
      <c r="F774" t="s">
        <v>3593</v>
      </c>
      <c r="G774" t="s">
        <v>1706</v>
      </c>
      <c r="H774">
        <v>36303</v>
      </c>
      <c r="I774" t="s">
        <v>30</v>
      </c>
      <c r="J774" t="s">
        <v>31</v>
      </c>
      <c r="K774" t="s">
        <v>198</v>
      </c>
      <c r="N774" t="s">
        <v>3594</v>
      </c>
      <c r="Q774">
        <v>0</v>
      </c>
      <c r="R774">
        <v>85</v>
      </c>
      <c r="S774">
        <v>0</v>
      </c>
      <c r="T774" t="s">
        <v>3595</v>
      </c>
    </row>
    <row r="775" spans="1:20" customFormat="1" ht="15" x14ac:dyDescent="0.25">
      <c r="A775" t="s">
        <v>24</v>
      </c>
      <c r="B775" t="s">
        <v>1323</v>
      </c>
      <c r="C775" t="str">
        <f>"A0191154"</f>
        <v>A0191154</v>
      </c>
      <c r="D775" t="s">
        <v>3596</v>
      </c>
      <c r="E775" t="s">
        <v>3597</v>
      </c>
      <c r="F775" t="s">
        <v>985</v>
      </c>
      <c r="G775" t="s">
        <v>81</v>
      </c>
      <c r="H775">
        <v>32812</v>
      </c>
      <c r="I775" t="s">
        <v>30</v>
      </c>
      <c r="J775" t="s">
        <v>31</v>
      </c>
      <c r="K775" t="s">
        <v>261</v>
      </c>
      <c r="N775" t="s">
        <v>3598</v>
      </c>
      <c r="Q775">
        <v>0</v>
      </c>
      <c r="R775">
        <v>108</v>
      </c>
      <c r="S775">
        <v>0</v>
      </c>
      <c r="T775" t="s">
        <v>3599</v>
      </c>
    </row>
    <row r="776" spans="1:20" customFormat="1" ht="15" x14ac:dyDescent="0.25">
      <c r="A776" t="s">
        <v>24</v>
      </c>
      <c r="B776" t="s">
        <v>1323</v>
      </c>
      <c r="C776" t="str">
        <f>"A0191153"</f>
        <v>A0191153</v>
      </c>
      <c r="D776" t="s">
        <v>3600</v>
      </c>
      <c r="E776" t="s">
        <v>3601</v>
      </c>
      <c r="F776" t="s">
        <v>1546</v>
      </c>
      <c r="G776" t="s">
        <v>52</v>
      </c>
      <c r="H776">
        <v>77450</v>
      </c>
      <c r="I776" t="s">
        <v>30</v>
      </c>
      <c r="J776" t="s">
        <v>31</v>
      </c>
      <c r="K776" t="s">
        <v>261</v>
      </c>
      <c r="N776" t="s">
        <v>3602</v>
      </c>
      <c r="Q776">
        <v>0</v>
      </c>
      <c r="R776">
        <v>92</v>
      </c>
      <c r="S776">
        <v>0</v>
      </c>
      <c r="T776" t="s">
        <v>3603</v>
      </c>
    </row>
    <row r="777" spans="1:20" customFormat="1" ht="15" x14ac:dyDescent="0.25">
      <c r="A777" t="s">
        <v>24</v>
      </c>
      <c r="B777" t="s">
        <v>1323</v>
      </c>
      <c r="C777" t="str">
        <f>"A0191152"</f>
        <v>A0191152</v>
      </c>
      <c r="D777" t="s">
        <v>3604</v>
      </c>
      <c r="E777" t="s">
        <v>3605</v>
      </c>
      <c r="F777" t="s">
        <v>3505</v>
      </c>
      <c r="G777" t="s">
        <v>52</v>
      </c>
      <c r="H777">
        <v>76107</v>
      </c>
      <c r="I777" t="s">
        <v>30</v>
      </c>
      <c r="J777" t="s">
        <v>31</v>
      </c>
      <c r="K777" t="s">
        <v>261</v>
      </c>
      <c r="N777" t="s">
        <v>3606</v>
      </c>
      <c r="Q777">
        <v>0</v>
      </c>
      <c r="R777">
        <v>162</v>
      </c>
      <c r="S777">
        <v>0</v>
      </c>
      <c r="T777" t="s">
        <v>3607</v>
      </c>
    </row>
    <row r="778" spans="1:20" customFormat="1" ht="15" x14ac:dyDescent="0.25">
      <c r="A778" t="s">
        <v>24</v>
      </c>
      <c r="B778" t="s">
        <v>1323</v>
      </c>
      <c r="C778" t="str">
        <f>"A0100264"</f>
        <v>A0100264</v>
      </c>
      <c r="D778" t="s">
        <v>3534</v>
      </c>
      <c r="E778" t="s">
        <v>3608</v>
      </c>
      <c r="F778" t="s">
        <v>2443</v>
      </c>
      <c r="G778" t="s">
        <v>81</v>
      </c>
      <c r="H778">
        <v>32218</v>
      </c>
      <c r="I778" t="s">
        <v>30</v>
      </c>
      <c r="J778" t="s">
        <v>31</v>
      </c>
      <c r="K778" t="s">
        <v>261</v>
      </c>
      <c r="N778" t="s">
        <v>3609</v>
      </c>
      <c r="Q778">
        <v>0</v>
      </c>
      <c r="R778">
        <v>106</v>
      </c>
      <c r="S778">
        <v>0</v>
      </c>
      <c r="T778" t="s">
        <v>3610</v>
      </c>
    </row>
    <row r="779" spans="1:20" customFormat="1" ht="15" x14ac:dyDescent="0.25">
      <c r="A779" t="s">
        <v>24</v>
      </c>
      <c r="B779" t="s">
        <v>1323</v>
      </c>
      <c r="C779" t="str">
        <f>"A0096966"</f>
        <v>A0096966</v>
      </c>
      <c r="D779" t="s">
        <v>3611</v>
      </c>
      <c r="E779" t="s">
        <v>3612</v>
      </c>
      <c r="F779" t="s">
        <v>3613</v>
      </c>
      <c r="G779" t="s">
        <v>214</v>
      </c>
      <c r="H779">
        <v>28428</v>
      </c>
      <c r="I779" t="s">
        <v>30</v>
      </c>
      <c r="J779" t="s">
        <v>31</v>
      </c>
      <c r="K779" t="s">
        <v>198</v>
      </c>
      <c r="N779" t="s">
        <v>3614</v>
      </c>
      <c r="Q779">
        <v>0</v>
      </c>
      <c r="R779">
        <v>100</v>
      </c>
      <c r="S779">
        <v>0</v>
      </c>
      <c r="T779" t="s">
        <v>3615</v>
      </c>
    </row>
    <row r="780" spans="1:20" customFormat="1" ht="15" x14ac:dyDescent="0.25">
      <c r="A780" t="s">
        <v>24</v>
      </c>
      <c r="B780" t="s">
        <v>1323</v>
      </c>
      <c r="C780" t="str">
        <f>"A0191150"</f>
        <v>A0191150</v>
      </c>
      <c r="D780" t="s">
        <v>3616</v>
      </c>
      <c r="E780" t="s">
        <v>3617</v>
      </c>
      <c r="F780" t="s">
        <v>3618</v>
      </c>
      <c r="G780" t="s">
        <v>1706</v>
      </c>
      <c r="H780">
        <v>36571</v>
      </c>
      <c r="I780" t="s">
        <v>30</v>
      </c>
      <c r="J780" t="s">
        <v>31</v>
      </c>
      <c r="K780" t="s">
        <v>198</v>
      </c>
      <c r="N780" t="s">
        <v>3619</v>
      </c>
      <c r="Q780">
        <v>0</v>
      </c>
      <c r="R780">
        <v>100</v>
      </c>
      <c r="S780">
        <v>0</v>
      </c>
      <c r="T780" t="s">
        <v>3620</v>
      </c>
    </row>
    <row r="781" spans="1:20" customFormat="1" ht="15" x14ac:dyDescent="0.25">
      <c r="A781" t="s">
        <v>24</v>
      </c>
      <c r="B781" t="s">
        <v>1323</v>
      </c>
      <c r="C781" t="str">
        <f>"A0099034"</f>
        <v>A0099034</v>
      </c>
      <c r="D781" t="s">
        <v>3621</v>
      </c>
      <c r="E781" t="s">
        <v>3622</v>
      </c>
      <c r="F781" t="s">
        <v>3545</v>
      </c>
      <c r="G781" t="s">
        <v>1706</v>
      </c>
      <c r="H781">
        <v>35806</v>
      </c>
      <c r="I781" t="s">
        <v>30</v>
      </c>
      <c r="J781" t="s">
        <v>31</v>
      </c>
      <c r="K781" t="s">
        <v>261</v>
      </c>
      <c r="N781" t="s">
        <v>3623</v>
      </c>
      <c r="Q781">
        <v>0</v>
      </c>
      <c r="R781">
        <v>77</v>
      </c>
      <c r="S781">
        <v>0</v>
      </c>
      <c r="T781" t="s">
        <v>3624</v>
      </c>
    </row>
    <row r="782" spans="1:20" customFormat="1" ht="15" x14ac:dyDescent="0.25">
      <c r="A782" t="s">
        <v>24</v>
      </c>
      <c r="B782" t="s">
        <v>1323</v>
      </c>
      <c r="C782" t="str">
        <f>"A0099028"</f>
        <v>A0099028</v>
      </c>
      <c r="D782" t="s">
        <v>3625</v>
      </c>
      <c r="E782" t="s">
        <v>3626</v>
      </c>
      <c r="F782" t="s">
        <v>3545</v>
      </c>
      <c r="G782" t="s">
        <v>1706</v>
      </c>
      <c r="H782">
        <v>35806</v>
      </c>
      <c r="I782" t="s">
        <v>30</v>
      </c>
      <c r="J782" t="s">
        <v>31</v>
      </c>
      <c r="K782" t="s">
        <v>198</v>
      </c>
      <c r="N782" t="s">
        <v>3623</v>
      </c>
      <c r="Q782">
        <v>0</v>
      </c>
      <c r="R782">
        <v>98</v>
      </c>
      <c r="S782">
        <v>0</v>
      </c>
      <c r="T782" t="s">
        <v>3627</v>
      </c>
    </row>
    <row r="783" spans="1:20" customFormat="1" ht="15" x14ac:dyDescent="0.25">
      <c r="A783" t="s">
        <v>24</v>
      </c>
      <c r="B783" t="s">
        <v>3628</v>
      </c>
      <c r="C783" t="str">
        <f>"A0100621"</f>
        <v>A0100621</v>
      </c>
      <c r="D783" t="s">
        <v>3629</v>
      </c>
      <c r="E783" t="s">
        <v>3630</v>
      </c>
      <c r="F783" t="s">
        <v>3631</v>
      </c>
      <c r="G783" t="s">
        <v>190</v>
      </c>
      <c r="H783">
        <v>80501</v>
      </c>
      <c r="I783" t="s">
        <v>30</v>
      </c>
      <c r="J783" t="s">
        <v>31</v>
      </c>
      <c r="K783" t="s">
        <v>261</v>
      </c>
      <c r="N783" t="s">
        <v>3632</v>
      </c>
      <c r="Q783">
        <v>0</v>
      </c>
      <c r="R783">
        <v>109</v>
      </c>
      <c r="S783">
        <v>0</v>
      </c>
      <c r="T783" t="s">
        <v>3633</v>
      </c>
    </row>
    <row r="784" spans="1:20" customFormat="1" ht="15" x14ac:dyDescent="0.25">
      <c r="A784" t="s">
        <v>24</v>
      </c>
      <c r="B784" t="s">
        <v>257</v>
      </c>
      <c r="C784" t="str">
        <f>"A0100418"</f>
        <v>A0100418</v>
      </c>
      <c r="D784" t="s">
        <v>3634</v>
      </c>
      <c r="E784" t="s">
        <v>3635</v>
      </c>
      <c r="F784" t="s">
        <v>3636</v>
      </c>
      <c r="G784" t="s">
        <v>81</v>
      </c>
      <c r="H784">
        <v>33180</v>
      </c>
      <c r="I784" t="s">
        <v>30</v>
      </c>
      <c r="J784" t="s">
        <v>31</v>
      </c>
      <c r="K784" t="s">
        <v>277</v>
      </c>
      <c r="N784" t="s">
        <v>3637</v>
      </c>
      <c r="O784" t="s">
        <v>3638</v>
      </c>
      <c r="Q784">
        <v>0</v>
      </c>
      <c r="R784">
        <v>207</v>
      </c>
      <c r="S784">
        <v>0</v>
      </c>
      <c r="T784" t="s">
        <v>3639</v>
      </c>
    </row>
    <row r="785" spans="1:20" customFormat="1" ht="15" x14ac:dyDescent="0.25">
      <c r="A785" t="s">
        <v>24</v>
      </c>
      <c r="B785" t="s">
        <v>3159</v>
      </c>
      <c r="C785" t="str">
        <f>"A0098651"</f>
        <v>A0098651</v>
      </c>
      <c r="D785" t="s">
        <v>9852</v>
      </c>
      <c r="E785" t="s">
        <v>9853</v>
      </c>
      <c r="F785" t="s">
        <v>9854</v>
      </c>
      <c r="G785" t="s">
        <v>846</v>
      </c>
      <c r="H785">
        <v>30907</v>
      </c>
      <c r="I785" t="s">
        <v>30</v>
      </c>
      <c r="J785" t="s">
        <v>162</v>
      </c>
      <c r="K785" t="s">
        <v>1502</v>
      </c>
      <c r="N785" t="s">
        <v>9855</v>
      </c>
      <c r="Q785">
        <v>0</v>
      </c>
      <c r="R785">
        <v>152</v>
      </c>
      <c r="S785">
        <v>0</v>
      </c>
      <c r="T785" t="s">
        <v>9856</v>
      </c>
    </row>
    <row r="786" spans="1:20" customFormat="1" ht="15" x14ac:dyDescent="0.25">
      <c r="A786" t="s">
        <v>35</v>
      </c>
      <c r="B786" t="s">
        <v>3277</v>
      </c>
      <c r="C786" t="str">
        <f>"A0191904"</f>
        <v>A0191904</v>
      </c>
      <c r="D786" t="s">
        <v>3277</v>
      </c>
      <c r="E786" t="s">
        <v>3644</v>
      </c>
      <c r="F786" t="s">
        <v>3645</v>
      </c>
      <c r="G786" t="s">
        <v>197</v>
      </c>
      <c r="H786">
        <v>85254</v>
      </c>
      <c r="I786" t="s">
        <v>30</v>
      </c>
      <c r="J786" t="s">
        <v>41</v>
      </c>
      <c r="K786" t="s">
        <v>290</v>
      </c>
      <c r="Q786">
        <v>0</v>
      </c>
      <c r="R786">
        <v>0</v>
      </c>
      <c r="S786">
        <v>0</v>
      </c>
      <c r="T786" t="s">
        <v>72</v>
      </c>
    </row>
    <row r="787" spans="1:20" customFormat="1" ht="15" x14ac:dyDescent="0.25">
      <c r="A787" t="s">
        <v>35</v>
      </c>
      <c r="B787" t="s">
        <v>3646</v>
      </c>
      <c r="C787" t="str">
        <f>"A0191903"</f>
        <v>A0191903</v>
      </c>
      <c r="D787" t="s">
        <v>3647</v>
      </c>
      <c r="E787" t="s">
        <v>3648</v>
      </c>
      <c r="F787" t="s">
        <v>3649</v>
      </c>
      <c r="G787" t="s">
        <v>1898</v>
      </c>
      <c r="H787">
        <v>50428</v>
      </c>
      <c r="I787" t="s">
        <v>30</v>
      </c>
      <c r="J787" t="s">
        <v>41</v>
      </c>
      <c r="K787" t="s">
        <v>59</v>
      </c>
      <c r="Q787">
        <v>0</v>
      </c>
      <c r="R787">
        <v>0</v>
      </c>
      <c r="S787">
        <v>20</v>
      </c>
      <c r="T787" t="s">
        <v>3650</v>
      </c>
    </row>
    <row r="788" spans="1:20" customFormat="1" ht="15" x14ac:dyDescent="0.25">
      <c r="A788" t="s">
        <v>35</v>
      </c>
      <c r="B788" t="s">
        <v>61</v>
      </c>
      <c r="C788" t="str">
        <f>"A0191902"</f>
        <v>A0191902</v>
      </c>
      <c r="D788" t="s">
        <v>3651</v>
      </c>
      <c r="E788" t="s">
        <v>3652</v>
      </c>
      <c r="F788" t="s">
        <v>3653</v>
      </c>
      <c r="G788" t="s">
        <v>81</v>
      </c>
      <c r="H788">
        <v>33716</v>
      </c>
      <c r="I788" t="s">
        <v>30</v>
      </c>
      <c r="J788" t="s">
        <v>41</v>
      </c>
      <c r="K788" t="s">
        <v>229</v>
      </c>
      <c r="Q788">
        <v>0</v>
      </c>
      <c r="R788">
        <v>0</v>
      </c>
      <c r="S788">
        <v>105</v>
      </c>
      <c r="T788" t="s">
        <v>3654</v>
      </c>
    </row>
    <row r="789" spans="1:20" customFormat="1" ht="15" x14ac:dyDescent="0.25">
      <c r="A789" t="s">
        <v>35</v>
      </c>
      <c r="B789" t="s">
        <v>61</v>
      </c>
      <c r="C789" t="str">
        <f>"A0191901"</f>
        <v>A0191901</v>
      </c>
      <c r="D789" t="s">
        <v>3655</v>
      </c>
      <c r="E789" t="s">
        <v>3656</v>
      </c>
      <c r="F789" t="s">
        <v>3657</v>
      </c>
      <c r="G789" t="s">
        <v>880</v>
      </c>
      <c r="H789">
        <v>37917</v>
      </c>
      <c r="I789" t="s">
        <v>30</v>
      </c>
      <c r="J789" t="s">
        <v>41</v>
      </c>
      <c r="K789" t="s">
        <v>648</v>
      </c>
      <c r="Q789">
        <v>0</v>
      </c>
      <c r="R789">
        <v>0</v>
      </c>
      <c r="S789">
        <v>1</v>
      </c>
      <c r="T789" t="s">
        <v>3658</v>
      </c>
    </row>
    <row r="790" spans="1:20" customFormat="1" ht="15" x14ac:dyDescent="0.25">
      <c r="A790" t="s">
        <v>35</v>
      </c>
      <c r="B790" t="s">
        <v>61</v>
      </c>
      <c r="C790" t="str">
        <f>"A0191900"</f>
        <v>A0191900</v>
      </c>
      <c r="D790" t="s">
        <v>3659</v>
      </c>
      <c r="E790" t="s">
        <v>3660</v>
      </c>
      <c r="F790" t="s">
        <v>3661</v>
      </c>
      <c r="G790" t="s">
        <v>65</v>
      </c>
      <c r="H790">
        <v>45238</v>
      </c>
      <c r="I790" t="s">
        <v>30</v>
      </c>
      <c r="J790" t="s">
        <v>41</v>
      </c>
      <c r="K790" t="s">
        <v>229</v>
      </c>
      <c r="Q790">
        <v>0</v>
      </c>
      <c r="R790">
        <v>0</v>
      </c>
      <c r="S790">
        <v>125</v>
      </c>
      <c r="T790" t="s">
        <v>3662</v>
      </c>
    </row>
    <row r="791" spans="1:20" customFormat="1" ht="15" x14ac:dyDescent="0.25">
      <c r="A791" t="s">
        <v>35</v>
      </c>
      <c r="B791" t="s">
        <v>61</v>
      </c>
      <c r="C791" t="str">
        <f>"A0191899"</f>
        <v>A0191899</v>
      </c>
      <c r="D791" t="s">
        <v>3663</v>
      </c>
      <c r="E791" t="s">
        <v>3664</v>
      </c>
      <c r="F791" t="s">
        <v>2674</v>
      </c>
      <c r="G791" t="s">
        <v>65</v>
      </c>
      <c r="H791">
        <v>43078</v>
      </c>
      <c r="I791" t="s">
        <v>30</v>
      </c>
      <c r="J791" t="s">
        <v>41</v>
      </c>
      <c r="K791" t="s">
        <v>229</v>
      </c>
      <c r="Q791">
        <v>0</v>
      </c>
      <c r="R791">
        <v>0</v>
      </c>
      <c r="S791">
        <v>89</v>
      </c>
      <c r="T791" t="s">
        <v>3665</v>
      </c>
    </row>
    <row r="792" spans="1:20" customFormat="1" ht="15" x14ac:dyDescent="0.25">
      <c r="A792" t="s">
        <v>35</v>
      </c>
      <c r="B792" t="s">
        <v>61</v>
      </c>
      <c r="C792" t="str">
        <f>"A0191898"</f>
        <v>A0191898</v>
      </c>
      <c r="D792" t="s">
        <v>3666</v>
      </c>
      <c r="E792" t="s">
        <v>3667</v>
      </c>
      <c r="F792" t="s">
        <v>3668</v>
      </c>
      <c r="G792" t="s">
        <v>123</v>
      </c>
      <c r="H792">
        <v>21208</v>
      </c>
      <c r="I792" t="s">
        <v>30</v>
      </c>
      <c r="J792" t="s">
        <v>41</v>
      </c>
      <c r="K792" t="s">
        <v>229</v>
      </c>
      <c r="Q792">
        <v>0</v>
      </c>
      <c r="R792">
        <v>0</v>
      </c>
      <c r="S792">
        <v>105</v>
      </c>
      <c r="T792" t="s">
        <v>72</v>
      </c>
    </row>
    <row r="793" spans="1:20" customFormat="1" ht="15" x14ac:dyDescent="0.25">
      <c r="A793" t="s">
        <v>35</v>
      </c>
      <c r="B793" t="s">
        <v>61</v>
      </c>
      <c r="C793" t="str">
        <f>"A0191897"</f>
        <v>A0191897</v>
      </c>
      <c r="D793" t="s">
        <v>3669</v>
      </c>
      <c r="E793" t="s">
        <v>3670</v>
      </c>
      <c r="F793" t="s">
        <v>3671</v>
      </c>
      <c r="G793" t="s">
        <v>81</v>
      </c>
      <c r="H793">
        <v>34110</v>
      </c>
      <c r="I793" t="s">
        <v>30</v>
      </c>
      <c r="J793" t="s">
        <v>41</v>
      </c>
      <c r="K793" t="s">
        <v>59</v>
      </c>
      <c r="Q793">
        <v>0</v>
      </c>
      <c r="R793">
        <v>0</v>
      </c>
      <c r="S793">
        <v>0</v>
      </c>
      <c r="T793" t="s">
        <v>72</v>
      </c>
    </row>
    <row r="794" spans="1:20" customFormat="1" ht="15" x14ac:dyDescent="0.25">
      <c r="A794" t="s">
        <v>35</v>
      </c>
      <c r="B794" t="s">
        <v>61</v>
      </c>
      <c r="C794" t="str">
        <f>"A0191896"</f>
        <v>A0191896</v>
      </c>
      <c r="D794" t="s">
        <v>3672</v>
      </c>
      <c r="E794" t="s">
        <v>3673</v>
      </c>
      <c r="F794" t="s">
        <v>3674</v>
      </c>
      <c r="G794" t="s">
        <v>117</v>
      </c>
      <c r="H794">
        <v>48150</v>
      </c>
      <c r="I794" t="s">
        <v>30</v>
      </c>
      <c r="J794" t="s">
        <v>41</v>
      </c>
      <c r="K794" t="s">
        <v>104</v>
      </c>
      <c r="Q794">
        <v>0</v>
      </c>
      <c r="R794">
        <v>0</v>
      </c>
      <c r="S794">
        <v>0</v>
      </c>
      <c r="T794" t="s">
        <v>3675</v>
      </c>
    </row>
    <row r="795" spans="1:20" customFormat="1" ht="15" x14ac:dyDescent="0.25">
      <c r="A795" t="s">
        <v>35</v>
      </c>
      <c r="B795" t="s">
        <v>106</v>
      </c>
      <c r="C795" t="str">
        <f>"A0191895"</f>
        <v>A0191895</v>
      </c>
      <c r="D795" t="s">
        <v>3676</v>
      </c>
      <c r="E795" t="s">
        <v>3677</v>
      </c>
      <c r="F795" t="s">
        <v>2719</v>
      </c>
      <c r="G795" t="s">
        <v>190</v>
      </c>
      <c r="H795">
        <v>80204</v>
      </c>
      <c r="I795" t="s">
        <v>30</v>
      </c>
      <c r="J795" t="s">
        <v>111</v>
      </c>
      <c r="K795" t="s">
        <v>112</v>
      </c>
      <c r="Q795">
        <v>0</v>
      </c>
      <c r="R795">
        <v>0</v>
      </c>
      <c r="S795">
        <v>0</v>
      </c>
      <c r="T795" t="s">
        <v>3678</v>
      </c>
    </row>
    <row r="796" spans="1:20" customFormat="1" ht="15" x14ac:dyDescent="0.25">
      <c r="A796" t="s">
        <v>35</v>
      </c>
      <c r="B796" t="s">
        <v>1918</v>
      </c>
      <c r="C796" t="str">
        <f>"A0191894"</f>
        <v>A0191894</v>
      </c>
      <c r="D796" t="s">
        <v>3679</v>
      </c>
      <c r="E796" t="s">
        <v>3680</v>
      </c>
      <c r="F796" t="s">
        <v>3681</v>
      </c>
      <c r="G796" t="s">
        <v>110</v>
      </c>
      <c r="H796">
        <v>91740</v>
      </c>
      <c r="I796" t="s">
        <v>30</v>
      </c>
      <c r="J796" t="s">
        <v>441</v>
      </c>
      <c r="K796" t="s">
        <v>442</v>
      </c>
      <c r="Q796">
        <v>0</v>
      </c>
      <c r="R796">
        <v>0</v>
      </c>
      <c r="S796">
        <v>0</v>
      </c>
      <c r="T796" t="s">
        <v>3682</v>
      </c>
    </row>
    <row r="797" spans="1:20" customFormat="1" ht="15" x14ac:dyDescent="0.25">
      <c r="A797" t="s">
        <v>35</v>
      </c>
      <c r="B797" t="s">
        <v>119</v>
      </c>
      <c r="C797" t="str">
        <f>"A0191893"</f>
        <v>A0191893</v>
      </c>
      <c r="D797" t="s">
        <v>3683</v>
      </c>
      <c r="E797" t="s">
        <v>3684</v>
      </c>
      <c r="F797" t="s">
        <v>3685</v>
      </c>
      <c r="G797" t="s">
        <v>214</v>
      </c>
      <c r="H797">
        <v>27410</v>
      </c>
      <c r="I797" t="s">
        <v>30</v>
      </c>
      <c r="J797" t="s">
        <v>41</v>
      </c>
      <c r="K797" t="s">
        <v>59</v>
      </c>
      <c r="Q797">
        <v>0</v>
      </c>
      <c r="R797">
        <v>0</v>
      </c>
      <c r="S797">
        <v>150</v>
      </c>
      <c r="T797" t="s">
        <v>3686</v>
      </c>
    </row>
    <row r="798" spans="1:20" customFormat="1" ht="15" x14ac:dyDescent="0.25">
      <c r="A798" t="s">
        <v>35</v>
      </c>
      <c r="B798" t="s">
        <v>119</v>
      </c>
      <c r="C798" t="str">
        <f>"A0191892"</f>
        <v>A0191892</v>
      </c>
      <c r="D798" t="s">
        <v>3687</v>
      </c>
      <c r="E798" t="s">
        <v>3684</v>
      </c>
      <c r="F798" t="s">
        <v>3685</v>
      </c>
      <c r="G798" t="s">
        <v>214</v>
      </c>
      <c r="H798">
        <v>27410</v>
      </c>
      <c r="I798" t="s">
        <v>30</v>
      </c>
      <c r="J798" t="s">
        <v>41</v>
      </c>
      <c r="K798" t="s">
        <v>59</v>
      </c>
      <c r="Q798">
        <v>0</v>
      </c>
      <c r="R798">
        <v>0</v>
      </c>
      <c r="S798">
        <v>150</v>
      </c>
      <c r="T798" t="s">
        <v>3686</v>
      </c>
    </row>
    <row r="799" spans="1:20" customFormat="1" ht="15" x14ac:dyDescent="0.25">
      <c r="A799" t="s">
        <v>35</v>
      </c>
      <c r="B799" t="s">
        <v>3688</v>
      </c>
      <c r="C799" t="str">
        <f>"A0191891"</f>
        <v>A0191891</v>
      </c>
      <c r="D799" t="s">
        <v>3689</v>
      </c>
      <c r="E799" t="s">
        <v>3690</v>
      </c>
      <c r="F799" t="s">
        <v>3691</v>
      </c>
      <c r="G799" t="s">
        <v>615</v>
      </c>
      <c r="H799">
        <v>6890</v>
      </c>
      <c r="I799" t="s">
        <v>30</v>
      </c>
      <c r="J799" t="s">
        <v>41</v>
      </c>
      <c r="K799" t="s">
        <v>229</v>
      </c>
      <c r="Q799">
        <v>0</v>
      </c>
      <c r="R799">
        <v>0</v>
      </c>
      <c r="S799">
        <v>120</v>
      </c>
      <c r="T799" t="s">
        <v>3692</v>
      </c>
    </row>
    <row r="800" spans="1:20" customFormat="1" ht="15" x14ac:dyDescent="0.25">
      <c r="A800" t="s">
        <v>35</v>
      </c>
      <c r="B800" t="s">
        <v>3688</v>
      </c>
      <c r="C800" t="str">
        <f>"A0191890"</f>
        <v>A0191890</v>
      </c>
      <c r="D800" t="s">
        <v>3693</v>
      </c>
      <c r="E800" t="s">
        <v>3694</v>
      </c>
      <c r="F800" t="s">
        <v>3695</v>
      </c>
      <c r="G800" t="s">
        <v>615</v>
      </c>
      <c r="H800">
        <v>6516</v>
      </c>
      <c r="I800" t="s">
        <v>30</v>
      </c>
      <c r="J800" t="s">
        <v>41</v>
      </c>
      <c r="K800" t="s">
        <v>229</v>
      </c>
      <c r="Q800">
        <v>0</v>
      </c>
      <c r="R800">
        <v>0</v>
      </c>
      <c r="S800">
        <v>89</v>
      </c>
      <c r="T800" t="s">
        <v>3696</v>
      </c>
    </row>
    <row r="801" spans="1:20" customFormat="1" ht="15" x14ac:dyDescent="0.25">
      <c r="A801" t="s">
        <v>35</v>
      </c>
      <c r="B801" t="s">
        <v>3688</v>
      </c>
      <c r="C801" t="str">
        <f>"A0191889"</f>
        <v>A0191889</v>
      </c>
      <c r="D801" t="s">
        <v>3697</v>
      </c>
      <c r="E801" t="s">
        <v>3698</v>
      </c>
      <c r="F801" t="s">
        <v>3699</v>
      </c>
      <c r="G801" t="s">
        <v>615</v>
      </c>
      <c r="H801">
        <v>6708</v>
      </c>
      <c r="I801" t="s">
        <v>30</v>
      </c>
      <c r="J801" t="s">
        <v>41</v>
      </c>
      <c r="K801" t="s">
        <v>229</v>
      </c>
      <c r="Q801">
        <v>0</v>
      </c>
      <c r="R801">
        <v>0</v>
      </c>
      <c r="S801">
        <v>93</v>
      </c>
      <c r="T801" t="s">
        <v>3700</v>
      </c>
    </row>
    <row r="802" spans="1:20" customFormat="1" ht="15" x14ac:dyDescent="0.25">
      <c r="A802" t="s">
        <v>35</v>
      </c>
      <c r="B802" t="s">
        <v>3688</v>
      </c>
      <c r="C802" t="str">
        <f>"A0191888"</f>
        <v>A0191888</v>
      </c>
      <c r="D802" t="s">
        <v>3701</v>
      </c>
      <c r="E802" t="s">
        <v>3702</v>
      </c>
      <c r="F802" t="s">
        <v>3703</v>
      </c>
      <c r="G802" t="s">
        <v>615</v>
      </c>
      <c r="H802">
        <v>6790</v>
      </c>
      <c r="I802" t="s">
        <v>30</v>
      </c>
      <c r="J802" t="s">
        <v>41</v>
      </c>
      <c r="K802" t="s">
        <v>229</v>
      </c>
      <c r="Q802">
        <v>0</v>
      </c>
      <c r="R802">
        <v>0</v>
      </c>
      <c r="S802">
        <v>77</v>
      </c>
      <c r="T802" t="s">
        <v>3704</v>
      </c>
    </row>
    <row r="803" spans="1:20" customFormat="1" ht="15" x14ac:dyDescent="0.25">
      <c r="A803" t="s">
        <v>35</v>
      </c>
      <c r="B803" t="s">
        <v>3688</v>
      </c>
      <c r="C803" t="str">
        <f>"A0191887"</f>
        <v>A0191887</v>
      </c>
      <c r="D803" t="s">
        <v>3705</v>
      </c>
      <c r="E803" t="s">
        <v>3706</v>
      </c>
      <c r="F803" t="s">
        <v>3707</v>
      </c>
      <c r="G803" t="s">
        <v>615</v>
      </c>
      <c r="H803">
        <v>6513</v>
      </c>
      <c r="I803" t="s">
        <v>30</v>
      </c>
      <c r="J803" t="s">
        <v>41</v>
      </c>
      <c r="K803" t="s">
        <v>229</v>
      </c>
      <c r="Q803">
        <v>0</v>
      </c>
      <c r="R803">
        <v>0</v>
      </c>
      <c r="S803">
        <v>150</v>
      </c>
      <c r="T803" t="s">
        <v>3708</v>
      </c>
    </row>
    <row r="804" spans="1:20" customFormat="1" ht="15" x14ac:dyDescent="0.25">
      <c r="A804" t="s">
        <v>35</v>
      </c>
      <c r="B804" t="s">
        <v>3688</v>
      </c>
      <c r="C804" t="str">
        <f>"A0191886"</f>
        <v>A0191886</v>
      </c>
      <c r="D804" t="s">
        <v>3688</v>
      </c>
      <c r="E804" t="s">
        <v>3709</v>
      </c>
      <c r="F804" t="s">
        <v>3707</v>
      </c>
      <c r="G804" t="s">
        <v>615</v>
      </c>
      <c r="H804">
        <v>6519</v>
      </c>
      <c r="I804" t="s">
        <v>30</v>
      </c>
      <c r="J804" t="s">
        <v>41</v>
      </c>
      <c r="K804" t="s">
        <v>290</v>
      </c>
      <c r="Q804">
        <v>0</v>
      </c>
      <c r="R804">
        <v>0</v>
      </c>
      <c r="S804">
        <v>0</v>
      </c>
      <c r="T804" t="s">
        <v>72</v>
      </c>
    </row>
    <row r="805" spans="1:20" customFormat="1" ht="15" x14ac:dyDescent="0.25">
      <c r="A805" t="s">
        <v>35</v>
      </c>
      <c r="B805" t="s">
        <v>3710</v>
      </c>
      <c r="C805" t="str">
        <f>"A0191885"</f>
        <v>A0191885</v>
      </c>
      <c r="D805" t="s">
        <v>3711</v>
      </c>
      <c r="E805" t="s">
        <v>3712</v>
      </c>
      <c r="F805" t="s">
        <v>1775</v>
      </c>
      <c r="G805" t="s">
        <v>117</v>
      </c>
      <c r="H805">
        <v>48602</v>
      </c>
      <c r="I805" t="s">
        <v>30</v>
      </c>
      <c r="J805" t="s">
        <v>41</v>
      </c>
      <c r="K805" t="s">
        <v>3713</v>
      </c>
      <c r="Q805">
        <v>0</v>
      </c>
      <c r="R805">
        <v>0</v>
      </c>
      <c r="S805">
        <v>0</v>
      </c>
      <c r="T805" t="s">
        <v>3714</v>
      </c>
    </row>
    <row r="806" spans="1:20" customFormat="1" ht="15" x14ac:dyDescent="0.25">
      <c r="A806" t="s">
        <v>35</v>
      </c>
      <c r="B806" t="s">
        <v>3710</v>
      </c>
      <c r="C806" t="str">
        <f>"A0191884"</f>
        <v>A0191884</v>
      </c>
      <c r="D806" t="s">
        <v>3715</v>
      </c>
      <c r="E806" t="s">
        <v>3716</v>
      </c>
      <c r="F806" t="s">
        <v>1775</v>
      </c>
      <c r="G806" t="s">
        <v>117</v>
      </c>
      <c r="H806">
        <v>48602</v>
      </c>
      <c r="I806" t="s">
        <v>30</v>
      </c>
      <c r="J806" t="s">
        <v>41</v>
      </c>
      <c r="K806" t="s">
        <v>3713</v>
      </c>
      <c r="Q806">
        <v>0</v>
      </c>
      <c r="R806">
        <v>0</v>
      </c>
      <c r="S806">
        <v>0</v>
      </c>
      <c r="T806" t="s">
        <v>3714</v>
      </c>
    </row>
    <row r="807" spans="1:20" customFormat="1" ht="15" x14ac:dyDescent="0.25">
      <c r="A807" t="s">
        <v>35</v>
      </c>
      <c r="B807" t="s">
        <v>3710</v>
      </c>
      <c r="C807" t="str">
        <f>"A0191883"</f>
        <v>A0191883</v>
      </c>
      <c r="D807" t="s">
        <v>3717</v>
      </c>
      <c r="E807" t="s">
        <v>3718</v>
      </c>
      <c r="F807" t="s">
        <v>1775</v>
      </c>
      <c r="G807" t="s">
        <v>117</v>
      </c>
      <c r="H807">
        <v>48602</v>
      </c>
      <c r="I807" t="s">
        <v>30</v>
      </c>
      <c r="J807" t="s">
        <v>41</v>
      </c>
      <c r="K807" t="s">
        <v>3713</v>
      </c>
      <c r="Q807">
        <v>0</v>
      </c>
      <c r="R807">
        <v>0</v>
      </c>
      <c r="S807">
        <v>0</v>
      </c>
      <c r="T807" t="s">
        <v>3719</v>
      </c>
    </row>
    <row r="808" spans="1:20" customFormat="1" ht="15" x14ac:dyDescent="0.25">
      <c r="A808" t="s">
        <v>35</v>
      </c>
      <c r="B808" t="s">
        <v>918</v>
      </c>
      <c r="C808" t="str">
        <f>"A0191882"</f>
        <v>A0191882</v>
      </c>
      <c r="D808" t="s">
        <v>3720</v>
      </c>
      <c r="E808" t="s">
        <v>3721</v>
      </c>
      <c r="F808" t="s">
        <v>3722</v>
      </c>
      <c r="G808" t="s">
        <v>71</v>
      </c>
      <c r="H808">
        <v>54484</v>
      </c>
      <c r="I808" t="s">
        <v>30</v>
      </c>
      <c r="J808" t="s">
        <v>41</v>
      </c>
      <c r="K808" t="s">
        <v>59</v>
      </c>
      <c r="Q808">
        <v>0</v>
      </c>
      <c r="R808">
        <v>0</v>
      </c>
      <c r="S808">
        <v>15</v>
      </c>
      <c r="T808" t="s">
        <v>3723</v>
      </c>
    </row>
    <row r="809" spans="1:20" customFormat="1" ht="15" x14ac:dyDescent="0.25">
      <c r="A809" t="s">
        <v>35</v>
      </c>
      <c r="B809" t="s">
        <v>918</v>
      </c>
      <c r="C809" t="str">
        <f>"A0191881"</f>
        <v>A0191881</v>
      </c>
      <c r="D809" t="s">
        <v>3724</v>
      </c>
      <c r="E809" t="s">
        <v>3725</v>
      </c>
      <c r="F809" t="s">
        <v>3726</v>
      </c>
      <c r="G809" t="s">
        <v>71</v>
      </c>
      <c r="H809">
        <v>54801</v>
      </c>
      <c r="I809" t="s">
        <v>30</v>
      </c>
      <c r="J809" t="s">
        <v>41</v>
      </c>
      <c r="K809" t="s">
        <v>59</v>
      </c>
      <c r="Q809">
        <v>0</v>
      </c>
      <c r="R809">
        <v>0</v>
      </c>
      <c r="S809">
        <v>15</v>
      </c>
      <c r="T809" t="s">
        <v>3727</v>
      </c>
    </row>
    <row r="810" spans="1:20" customFormat="1" ht="15" x14ac:dyDescent="0.25">
      <c r="A810" t="s">
        <v>35</v>
      </c>
      <c r="B810" t="s">
        <v>918</v>
      </c>
      <c r="C810" t="str">
        <f>"A0191880"</f>
        <v>A0191880</v>
      </c>
      <c r="D810" t="s">
        <v>3728</v>
      </c>
      <c r="E810" t="s">
        <v>3729</v>
      </c>
      <c r="F810" t="s">
        <v>3726</v>
      </c>
      <c r="G810" t="s">
        <v>71</v>
      </c>
      <c r="H810">
        <v>54801</v>
      </c>
      <c r="I810" t="s">
        <v>30</v>
      </c>
      <c r="J810" t="s">
        <v>41</v>
      </c>
      <c r="K810" t="s">
        <v>59</v>
      </c>
      <c r="Q810">
        <v>0</v>
      </c>
      <c r="R810">
        <v>0</v>
      </c>
      <c r="S810">
        <v>18</v>
      </c>
      <c r="T810" t="s">
        <v>3730</v>
      </c>
    </row>
    <row r="811" spans="1:20" customFormat="1" ht="15" x14ac:dyDescent="0.25">
      <c r="A811" t="s">
        <v>35</v>
      </c>
      <c r="B811" t="s">
        <v>918</v>
      </c>
      <c r="C811" t="str">
        <f>"A0191879"</f>
        <v>A0191879</v>
      </c>
      <c r="D811" t="s">
        <v>3731</v>
      </c>
      <c r="E811" t="s">
        <v>3732</v>
      </c>
      <c r="F811" t="s">
        <v>3733</v>
      </c>
      <c r="G811" t="s">
        <v>71</v>
      </c>
      <c r="H811">
        <v>54868</v>
      </c>
      <c r="I811" t="s">
        <v>30</v>
      </c>
      <c r="J811" t="s">
        <v>41</v>
      </c>
      <c r="K811" t="s">
        <v>59</v>
      </c>
      <c r="Q811">
        <v>0</v>
      </c>
      <c r="R811">
        <v>0</v>
      </c>
      <c r="S811">
        <v>20</v>
      </c>
      <c r="T811" t="s">
        <v>3734</v>
      </c>
    </row>
    <row r="812" spans="1:20" customFormat="1" ht="15" x14ac:dyDescent="0.25">
      <c r="A812" t="s">
        <v>35</v>
      </c>
      <c r="B812" t="s">
        <v>918</v>
      </c>
      <c r="C812" t="str">
        <f>"A0191878"</f>
        <v>A0191878</v>
      </c>
      <c r="D812" t="s">
        <v>3735</v>
      </c>
      <c r="E812" t="s">
        <v>3736</v>
      </c>
      <c r="F812" t="s">
        <v>3733</v>
      </c>
      <c r="G812" t="s">
        <v>71</v>
      </c>
      <c r="H812">
        <v>54868</v>
      </c>
      <c r="I812" t="s">
        <v>30</v>
      </c>
      <c r="J812" t="s">
        <v>41</v>
      </c>
      <c r="K812" t="s">
        <v>59</v>
      </c>
      <c r="Q812">
        <v>0</v>
      </c>
      <c r="R812">
        <v>0</v>
      </c>
      <c r="S812">
        <v>16</v>
      </c>
      <c r="T812" t="s">
        <v>3737</v>
      </c>
    </row>
    <row r="813" spans="1:20" customFormat="1" ht="15" x14ac:dyDescent="0.25">
      <c r="A813" t="s">
        <v>35</v>
      </c>
      <c r="B813" t="s">
        <v>918</v>
      </c>
      <c r="C813" t="str">
        <f>"A0191877"</f>
        <v>A0191877</v>
      </c>
      <c r="D813" t="s">
        <v>3738</v>
      </c>
      <c r="E813" t="s">
        <v>3739</v>
      </c>
      <c r="F813" t="s">
        <v>3740</v>
      </c>
      <c r="G813" t="s">
        <v>71</v>
      </c>
      <c r="H813">
        <v>54751</v>
      </c>
      <c r="I813" t="s">
        <v>30</v>
      </c>
      <c r="J813" t="s">
        <v>41</v>
      </c>
      <c r="K813" t="s">
        <v>59</v>
      </c>
      <c r="Q813">
        <v>0</v>
      </c>
      <c r="R813">
        <v>0</v>
      </c>
      <c r="S813">
        <v>16</v>
      </c>
      <c r="T813" t="s">
        <v>3741</v>
      </c>
    </row>
    <row r="814" spans="1:20" customFormat="1" ht="15" x14ac:dyDescent="0.25">
      <c r="A814" t="s">
        <v>35</v>
      </c>
      <c r="B814" t="s">
        <v>918</v>
      </c>
      <c r="C814" t="str">
        <f>"A0191876"</f>
        <v>A0191876</v>
      </c>
      <c r="D814" t="s">
        <v>3742</v>
      </c>
      <c r="E814" t="s">
        <v>3743</v>
      </c>
      <c r="F814" t="s">
        <v>3744</v>
      </c>
      <c r="G814" t="s">
        <v>71</v>
      </c>
      <c r="H814">
        <v>54451</v>
      </c>
      <c r="I814" t="s">
        <v>30</v>
      </c>
      <c r="J814" t="s">
        <v>41</v>
      </c>
      <c r="K814" t="s">
        <v>59</v>
      </c>
      <c r="Q814">
        <v>0</v>
      </c>
      <c r="R814">
        <v>0</v>
      </c>
      <c r="S814">
        <v>18</v>
      </c>
      <c r="T814" t="s">
        <v>3745</v>
      </c>
    </row>
    <row r="815" spans="1:20" customFormat="1" ht="15" x14ac:dyDescent="0.25">
      <c r="A815" t="s">
        <v>35</v>
      </c>
      <c r="B815" t="s">
        <v>918</v>
      </c>
      <c r="C815" t="str">
        <f>"A0191875"</f>
        <v>A0191875</v>
      </c>
      <c r="D815" t="s">
        <v>3746</v>
      </c>
      <c r="E815" t="s">
        <v>3747</v>
      </c>
      <c r="F815" t="s">
        <v>3748</v>
      </c>
      <c r="G815" t="s">
        <v>71</v>
      </c>
      <c r="H815">
        <v>54848</v>
      </c>
      <c r="I815" t="s">
        <v>30</v>
      </c>
      <c r="J815" t="s">
        <v>41</v>
      </c>
      <c r="K815" t="s">
        <v>59</v>
      </c>
      <c r="Q815">
        <v>0</v>
      </c>
      <c r="R815">
        <v>0</v>
      </c>
      <c r="S815">
        <v>16</v>
      </c>
      <c r="T815" t="s">
        <v>3749</v>
      </c>
    </row>
    <row r="816" spans="1:20" customFormat="1" ht="15" x14ac:dyDescent="0.25">
      <c r="A816" t="s">
        <v>35</v>
      </c>
      <c r="B816" t="s">
        <v>918</v>
      </c>
      <c r="C816" t="str">
        <f>"A0191874"</f>
        <v>A0191874</v>
      </c>
      <c r="D816" t="s">
        <v>3750</v>
      </c>
      <c r="E816" t="s">
        <v>3751</v>
      </c>
      <c r="F816" t="s">
        <v>3748</v>
      </c>
      <c r="G816" t="s">
        <v>71</v>
      </c>
      <c r="H816">
        <v>54848</v>
      </c>
      <c r="I816" t="s">
        <v>30</v>
      </c>
      <c r="J816" t="s">
        <v>41</v>
      </c>
      <c r="K816" t="s">
        <v>59</v>
      </c>
      <c r="Q816">
        <v>0</v>
      </c>
      <c r="R816">
        <v>0</v>
      </c>
      <c r="S816">
        <v>16</v>
      </c>
      <c r="T816" t="s">
        <v>3752</v>
      </c>
    </row>
    <row r="817" spans="1:20" customFormat="1" ht="15" x14ac:dyDescent="0.25">
      <c r="A817" t="s">
        <v>35</v>
      </c>
      <c r="B817" t="s">
        <v>918</v>
      </c>
      <c r="C817" t="str">
        <f>"A0191873"</f>
        <v>A0191873</v>
      </c>
      <c r="D817" t="s">
        <v>3753</v>
      </c>
      <c r="E817" t="s">
        <v>3754</v>
      </c>
      <c r="F817" t="s">
        <v>3755</v>
      </c>
      <c r="G817" t="s">
        <v>71</v>
      </c>
      <c r="H817">
        <v>54843</v>
      </c>
      <c r="I817" t="s">
        <v>30</v>
      </c>
      <c r="J817" t="s">
        <v>41</v>
      </c>
      <c r="K817" t="s">
        <v>59</v>
      </c>
      <c r="Q817">
        <v>0</v>
      </c>
      <c r="R817">
        <v>0</v>
      </c>
      <c r="S817">
        <v>13</v>
      </c>
      <c r="T817" t="s">
        <v>3756</v>
      </c>
    </row>
    <row r="818" spans="1:20" customFormat="1" ht="15" x14ac:dyDescent="0.25">
      <c r="A818" t="s">
        <v>35</v>
      </c>
      <c r="B818" t="s">
        <v>918</v>
      </c>
      <c r="C818" t="str">
        <f>"A0191872"</f>
        <v>A0191872</v>
      </c>
      <c r="D818" t="s">
        <v>3757</v>
      </c>
      <c r="E818" t="s">
        <v>3758</v>
      </c>
      <c r="F818" t="s">
        <v>3755</v>
      </c>
      <c r="G818" t="s">
        <v>71</v>
      </c>
      <c r="H818">
        <v>54843</v>
      </c>
      <c r="I818" t="s">
        <v>30</v>
      </c>
      <c r="J818" t="s">
        <v>41</v>
      </c>
      <c r="K818" t="s">
        <v>59</v>
      </c>
      <c r="Q818">
        <v>0</v>
      </c>
      <c r="R818">
        <v>0</v>
      </c>
      <c r="S818">
        <v>16</v>
      </c>
      <c r="T818" t="s">
        <v>3759</v>
      </c>
    </row>
    <row r="819" spans="1:20" customFormat="1" ht="15" x14ac:dyDescent="0.25">
      <c r="A819" t="s">
        <v>35</v>
      </c>
      <c r="B819" t="s">
        <v>918</v>
      </c>
      <c r="C819" t="str">
        <f>"A0191871"</f>
        <v>A0191871</v>
      </c>
      <c r="D819" t="s">
        <v>3760</v>
      </c>
      <c r="E819" t="s">
        <v>3761</v>
      </c>
      <c r="F819" t="s">
        <v>3762</v>
      </c>
      <c r="G819" t="s">
        <v>71</v>
      </c>
      <c r="H819">
        <v>54724</v>
      </c>
      <c r="I819" t="s">
        <v>30</v>
      </c>
      <c r="J819" t="s">
        <v>41</v>
      </c>
      <c r="K819" t="s">
        <v>59</v>
      </c>
      <c r="Q819">
        <v>0</v>
      </c>
      <c r="R819">
        <v>0</v>
      </c>
      <c r="S819">
        <v>17</v>
      </c>
      <c r="T819" t="s">
        <v>3763</v>
      </c>
    </row>
    <row r="820" spans="1:20" customFormat="1" ht="15" x14ac:dyDescent="0.25">
      <c r="A820" t="s">
        <v>35</v>
      </c>
      <c r="B820" t="s">
        <v>918</v>
      </c>
      <c r="C820" t="str">
        <f>"A0191870"</f>
        <v>A0191870</v>
      </c>
      <c r="D820" t="s">
        <v>3764</v>
      </c>
      <c r="E820" t="s">
        <v>3765</v>
      </c>
      <c r="F820" t="s">
        <v>3762</v>
      </c>
      <c r="G820" t="s">
        <v>71</v>
      </c>
      <c r="H820">
        <v>54724</v>
      </c>
      <c r="I820" t="s">
        <v>30</v>
      </c>
      <c r="J820" t="s">
        <v>41</v>
      </c>
      <c r="K820" t="s">
        <v>59</v>
      </c>
      <c r="Q820">
        <v>0</v>
      </c>
      <c r="R820">
        <v>0</v>
      </c>
      <c r="S820">
        <v>16</v>
      </c>
      <c r="T820" t="s">
        <v>3763</v>
      </c>
    </row>
    <row r="821" spans="1:20" customFormat="1" ht="15" x14ac:dyDescent="0.25">
      <c r="A821" t="s">
        <v>35</v>
      </c>
      <c r="B821" t="s">
        <v>918</v>
      </c>
      <c r="C821" t="str">
        <f>"A0191869"</f>
        <v>A0191869</v>
      </c>
      <c r="D821" t="s">
        <v>3766</v>
      </c>
      <c r="E821" t="s">
        <v>3767</v>
      </c>
      <c r="F821" t="s">
        <v>3768</v>
      </c>
      <c r="G821" t="s">
        <v>71</v>
      </c>
      <c r="H821">
        <v>54405</v>
      </c>
      <c r="I821" t="s">
        <v>30</v>
      </c>
      <c r="J821" t="s">
        <v>41</v>
      </c>
      <c r="K821" t="s">
        <v>59</v>
      </c>
      <c r="Q821">
        <v>0</v>
      </c>
      <c r="R821">
        <v>0</v>
      </c>
      <c r="S821">
        <v>16</v>
      </c>
      <c r="T821" t="s">
        <v>3769</v>
      </c>
    </row>
    <row r="822" spans="1:20" customFormat="1" ht="15" x14ac:dyDescent="0.25">
      <c r="A822" t="s">
        <v>35</v>
      </c>
      <c r="B822" t="s">
        <v>918</v>
      </c>
      <c r="C822" t="str">
        <f>"A0191868"</f>
        <v>A0191868</v>
      </c>
      <c r="D822" t="s">
        <v>3770</v>
      </c>
      <c r="E822" t="s">
        <v>3771</v>
      </c>
      <c r="F822" t="s">
        <v>3740</v>
      </c>
      <c r="G822" t="s">
        <v>71</v>
      </c>
      <c r="H822">
        <v>54751</v>
      </c>
      <c r="I822" t="s">
        <v>30</v>
      </c>
      <c r="J822" t="s">
        <v>41</v>
      </c>
      <c r="K822" t="s">
        <v>59</v>
      </c>
      <c r="Q822">
        <v>0</v>
      </c>
      <c r="R822">
        <v>0</v>
      </c>
      <c r="S822">
        <v>16</v>
      </c>
      <c r="T822" t="s">
        <v>3772</v>
      </c>
    </row>
    <row r="823" spans="1:20" customFormat="1" ht="15" x14ac:dyDescent="0.25">
      <c r="A823" t="s">
        <v>35</v>
      </c>
      <c r="B823" t="s">
        <v>2296</v>
      </c>
      <c r="C823" t="str">
        <f>"A0191867"</f>
        <v>A0191867</v>
      </c>
      <c r="D823" t="s">
        <v>3773</v>
      </c>
      <c r="E823" t="s">
        <v>3774</v>
      </c>
      <c r="F823" t="s">
        <v>2748</v>
      </c>
      <c r="G823" t="s">
        <v>65</v>
      </c>
      <c r="H823">
        <v>43611</v>
      </c>
      <c r="I823" t="s">
        <v>30</v>
      </c>
      <c r="J823" t="s">
        <v>41</v>
      </c>
      <c r="K823" t="s">
        <v>229</v>
      </c>
      <c r="Q823">
        <v>0</v>
      </c>
      <c r="R823">
        <v>0</v>
      </c>
      <c r="S823">
        <v>100</v>
      </c>
      <c r="T823" t="s">
        <v>3775</v>
      </c>
    </row>
    <row r="824" spans="1:20" customFormat="1" ht="15" x14ac:dyDescent="0.25">
      <c r="A824" t="s">
        <v>35</v>
      </c>
      <c r="B824" t="s">
        <v>2296</v>
      </c>
      <c r="C824" t="str">
        <f>"A0191866"</f>
        <v>A0191866</v>
      </c>
      <c r="D824" t="s">
        <v>3776</v>
      </c>
      <c r="E824" t="s">
        <v>3777</v>
      </c>
      <c r="F824" t="s">
        <v>3778</v>
      </c>
      <c r="G824" t="s">
        <v>65</v>
      </c>
      <c r="H824">
        <v>43551</v>
      </c>
      <c r="I824" t="s">
        <v>30</v>
      </c>
      <c r="J824" t="s">
        <v>41</v>
      </c>
      <c r="K824" t="s">
        <v>229</v>
      </c>
      <c r="Q824">
        <v>0</v>
      </c>
      <c r="R824">
        <v>0</v>
      </c>
      <c r="S824">
        <v>100</v>
      </c>
      <c r="T824" t="s">
        <v>3779</v>
      </c>
    </row>
    <row r="825" spans="1:20" customFormat="1" ht="15" x14ac:dyDescent="0.25">
      <c r="A825" t="s">
        <v>35</v>
      </c>
      <c r="B825" t="s">
        <v>2296</v>
      </c>
      <c r="C825" t="str">
        <f>"A0191865"</f>
        <v>A0191865</v>
      </c>
      <c r="D825" t="s">
        <v>3780</v>
      </c>
      <c r="E825" t="s">
        <v>3781</v>
      </c>
      <c r="F825" t="s">
        <v>3782</v>
      </c>
      <c r="G825" t="s">
        <v>65</v>
      </c>
      <c r="H825">
        <v>43512</v>
      </c>
      <c r="I825" t="s">
        <v>30</v>
      </c>
      <c r="J825" t="s">
        <v>41</v>
      </c>
      <c r="K825" t="s">
        <v>229</v>
      </c>
      <c r="Q825">
        <v>0</v>
      </c>
      <c r="R825">
        <v>0</v>
      </c>
      <c r="S825">
        <v>100</v>
      </c>
      <c r="T825" t="s">
        <v>3783</v>
      </c>
    </row>
    <row r="826" spans="1:20" customFormat="1" ht="15" x14ac:dyDescent="0.25">
      <c r="A826" t="s">
        <v>35</v>
      </c>
      <c r="B826" t="s">
        <v>2296</v>
      </c>
      <c r="C826" t="str">
        <f>"A0191864"</f>
        <v>A0191864</v>
      </c>
      <c r="D826" t="s">
        <v>3784</v>
      </c>
      <c r="E826" t="s">
        <v>3785</v>
      </c>
      <c r="F826" t="s">
        <v>3786</v>
      </c>
      <c r="G826" t="s">
        <v>65</v>
      </c>
      <c r="H826">
        <v>43506</v>
      </c>
      <c r="I826" t="s">
        <v>30</v>
      </c>
      <c r="J826" t="s">
        <v>41</v>
      </c>
      <c r="K826" t="s">
        <v>229</v>
      </c>
      <c r="Q826">
        <v>0</v>
      </c>
      <c r="R826">
        <v>0</v>
      </c>
      <c r="S826">
        <v>100</v>
      </c>
      <c r="T826" t="s">
        <v>3787</v>
      </c>
    </row>
    <row r="827" spans="1:20" customFormat="1" ht="15" x14ac:dyDescent="0.25">
      <c r="A827" t="s">
        <v>35</v>
      </c>
      <c r="B827" t="s">
        <v>2296</v>
      </c>
      <c r="C827" t="str">
        <f>"A0191863"</f>
        <v>A0191863</v>
      </c>
      <c r="D827" t="s">
        <v>2296</v>
      </c>
      <c r="E827" t="s">
        <v>2306</v>
      </c>
      <c r="F827" t="s">
        <v>2307</v>
      </c>
      <c r="G827" t="s">
        <v>65</v>
      </c>
      <c r="H827">
        <v>44128</v>
      </c>
      <c r="I827" t="s">
        <v>30</v>
      </c>
      <c r="J827" t="s">
        <v>41</v>
      </c>
      <c r="K827" t="s">
        <v>290</v>
      </c>
      <c r="Q827">
        <v>0</v>
      </c>
      <c r="R827">
        <v>0</v>
      </c>
      <c r="S827">
        <v>0</v>
      </c>
      <c r="T827" t="s">
        <v>3788</v>
      </c>
    </row>
    <row r="828" spans="1:20" customFormat="1" ht="15" x14ac:dyDescent="0.25">
      <c r="A828" t="s">
        <v>24</v>
      </c>
      <c r="B828" t="s">
        <v>3789</v>
      </c>
      <c r="C828" t="str">
        <f>"A0190402"</f>
        <v>A0190402</v>
      </c>
      <c r="D828" t="s">
        <v>3790</v>
      </c>
      <c r="E828" t="s">
        <v>3791</v>
      </c>
      <c r="F828" t="s">
        <v>3792</v>
      </c>
      <c r="G828" t="s">
        <v>52</v>
      </c>
      <c r="H828">
        <v>75771</v>
      </c>
      <c r="I828" t="s">
        <v>30</v>
      </c>
      <c r="J828" t="s">
        <v>31</v>
      </c>
      <c r="K828" t="s">
        <v>255</v>
      </c>
      <c r="N828" t="s">
        <v>3793</v>
      </c>
      <c r="Q828">
        <v>0</v>
      </c>
      <c r="R828">
        <v>89</v>
      </c>
      <c r="S828">
        <v>0</v>
      </c>
      <c r="T828" t="s">
        <v>3794</v>
      </c>
    </row>
    <row r="829" spans="1:20" customFormat="1" ht="15" x14ac:dyDescent="0.25">
      <c r="A829" t="s">
        <v>24</v>
      </c>
      <c r="B829" t="s">
        <v>1323</v>
      </c>
      <c r="C829" t="str">
        <f>"A0191149"</f>
        <v>A0191149</v>
      </c>
      <c r="D829" t="s">
        <v>3795</v>
      </c>
      <c r="E829" t="s">
        <v>3796</v>
      </c>
      <c r="F829" t="s">
        <v>3531</v>
      </c>
      <c r="G829" t="s">
        <v>81</v>
      </c>
      <c r="H829">
        <v>32920</v>
      </c>
      <c r="I829" t="s">
        <v>30</v>
      </c>
      <c r="J829" t="s">
        <v>31</v>
      </c>
      <c r="K829" t="s">
        <v>261</v>
      </c>
      <c r="N829" t="s">
        <v>3797</v>
      </c>
      <c r="Q829">
        <v>0</v>
      </c>
      <c r="R829">
        <v>108</v>
      </c>
      <c r="S829">
        <v>0</v>
      </c>
      <c r="T829" t="s">
        <v>3798</v>
      </c>
    </row>
    <row r="830" spans="1:20" customFormat="1" ht="15" x14ac:dyDescent="0.25">
      <c r="A830" t="s">
        <v>24</v>
      </c>
      <c r="B830" t="s">
        <v>3799</v>
      </c>
      <c r="C830" t="str">
        <f>"A0100246"</f>
        <v>A0100246</v>
      </c>
      <c r="D830" t="s">
        <v>3800</v>
      </c>
      <c r="E830" t="s">
        <v>3801</v>
      </c>
      <c r="F830" t="s">
        <v>3802</v>
      </c>
      <c r="G830" t="s">
        <v>47</v>
      </c>
      <c r="H830">
        <v>97005</v>
      </c>
      <c r="I830" t="s">
        <v>30</v>
      </c>
      <c r="J830" t="s">
        <v>31</v>
      </c>
      <c r="K830" t="s">
        <v>222</v>
      </c>
      <c r="N830" t="s">
        <v>3803</v>
      </c>
      <c r="Q830">
        <v>0</v>
      </c>
      <c r="R830">
        <v>112</v>
      </c>
      <c r="S830">
        <v>0</v>
      </c>
      <c r="T830" t="s">
        <v>3804</v>
      </c>
    </row>
    <row r="831" spans="1:20" customFormat="1" ht="15" x14ac:dyDescent="0.25">
      <c r="A831" t="s">
        <v>24</v>
      </c>
      <c r="B831" t="s">
        <v>3799</v>
      </c>
      <c r="C831" t="str">
        <f>"A0093233"</f>
        <v>A0093233</v>
      </c>
      <c r="D831" t="s">
        <v>3805</v>
      </c>
      <c r="E831" t="s">
        <v>3806</v>
      </c>
      <c r="F831" t="s">
        <v>3807</v>
      </c>
      <c r="G831" t="s">
        <v>47</v>
      </c>
      <c r="H831">
        <v>97058</v>
      </c>
      <c r="I831" t="s">
        <v>30</v>
      </c>
      <c r="J831" t="s">
        <v>31</v>
      </c>
      <c r="K831" t="s">
        <v>32</v>
      </c>
      <c r="N831" t="s">
        <v>3808</v>
      </c>
      <c r="Q831">
        <v>0</v>
      </c>
      <c r="R831">
        <v>80</v>
      </c>
      <c r="S831">
        <v>0</v>
      </c>
      <c r="T831" t="s">
        <v>3809</v>
      </c>
    </row>
    <row r="832" spans="1:20" customFormat="1" ht="15" x14ac:dyDescent="0.25">
      <c r="A832" t="s">
        <v>24</v>
      </c>
      <c r="B832" t="s">
        <v>3810</v>
      </c>
      <c r="C832" t="str">
        <f>"A0191720"</f>
        <v>A0191720</v>
      </c>
      <c r="D832" t="s">
        <v>3811</v>
      </c>
      <c r="E832" t="s">
        <v>3812</v>
      </c>
      <c r="F832" t="s">
        <v>3813</v>
      </c>
      <c r="G832" t="s">
        <v>137</v>
      </c>
      <c r="H832">
        <v>63028</v>
      </c>
      <c r="I832" t="s">
        <v>30</v>
      </c>
      <c r="J832" t="s">
        <v>31</v>
      </c>
      <c r="K832" t="s">
        <v>296</v>
      </c>
      <c r="N832" t="s">
        <v>3814</v>
      </c>
      <c r="Q832">
        <v>0</v>
      </c>
      <c r="R832">
        <v>90</v>
      </c>
      <c r="S832">
        <v>0</v>
      </c>
      <c r="T832" t="s">
        <v>3815</v>
      </c>
    </row>
    <row r="833" spans="1:20" customFormat="1" ht="15" x14ac:dyDescent="0.25">
      <c r="A833" t="s">
        <v>24</v>
      </c>
      <c r="B833" t="s">
        <v>3810</v>
      </c>
      <c r="C833" t="str">
        <f>"A0191716"</f>
        <v>A0191716</v>
      </c>
      <c r="D833" t="s">
        <v>3816</v>
      </c>
      <c r="E833" t="s">
        <v>3817</v>
      </c>
      <c r="F833" t="s">
        <v>3818</v>
      </c>
      <c r="G833" t="s">
        <v>289</v>
      </c>
      <c r="H833">
        <v>60005</v>
      </c>
      <c r="I833" t="s">
        <v>30</v>
      </c>
      <c r="J833" t="s">
        <v>145</v>
      </c>
      <c r="K833" t="s">
        <v>1234</v>
      </c>
      <c r="N833" t="s">
        <v>3819</v>
      </c>
      <c r="Q833">
        <v>0</v>
      </c>
      <c r="R833">
        <v>136</v>
      </c>
      <c r="S833">
        <v>0</v>
      </c>
      <c r="T833" t="s">
        <v>3820</v>
      </c>
    </row>
    <row r="834" spans="1:20" customFormat="1" ht="15" x14ac:dyDescent="0.25">
      <c r="A834" t="s">
        <v>24</v>
      </c>
      <c r="B834" t="s">
        <v>3810</v>
      </c>
      <c r="C834" t="str">
        <f>"A0191715"</f>
        <v>A0191715</v>
      </c>
      <c r="D834" t="s">
        <v>3821</v>
      </c>
      <c r="E834" t="s">
        <v>3822</v>
      </c>
      <c r="F834" t="s">
        <v>3823</v>
      </c>
      <c r="G834" t="s">
        <v>289</v>
      </c>
      <c r="H834">
        <v>60527</v>
      </c>
      <c r="I834" t="s">
        <v>30</v>
      </c>
      <c r="J834" t="s">
        <v>145</v>
      </c>
      <c r="K834" t="s">
        <v>1234</v>
      </c>
      <c r="N834" t="s">
        <v>3824</v>
      </c>
      <c r="Q834">
        <v>0</v>
      </c>
      <c r="R834">
        <v>109</v>
      </c>
      <c r="S834">
        <v>0</v>
      </c>
      <c r="T834" t="s">
        <v>3825</v>
      </c>
    </row>
    <row r="835" spans="1:20" customFormat="1" ht="15" x14ac:dyDescent="0.25">
      <c r="A835" t="s">
        <v>24</v>
      </c>
      <c r="B835" t="s">
        <v>3810</v>
      </c>
      <c r="C835" t="str">
        <f>"A0191714"</f>
        <v>A0191714</v>
      </c>
      <c r="D835" t="s">
        <v>3826</v>
      </c>
      <c r="E835" t="s">
        <v>3827</v>
      </c>
      <c r="F835" t="s">
        <v>3828</v>
      </c>
      <c r="G835" t="s">
        <v>71</v>
      </c>
      <c r="H835">
        <v>53154</v>
      </c>
      <c r="I835" t="s">
        <v>30</v>
      </c>
      <c r="J835" t="s">
        <v>31</v>
      </c>
      <c r="K835" t="s">
        <v>321</v>
      </c>
      <c r="N835" t="s">
        <v>3829</v>
      </c>
      <c r="Q835">
        <v>0</v>
      </c>
      <c r="R835">
        <v>99</v>
      </c>
      <c r="S835">
        <v>0</v>
      </c>
      <c r="T835" t="s">
        <v>3830</v>
      </c>
    </row>
    <row r="836" spans="1:20" customFormat="1" ht="15" x14ac:dyDescent="0.25">
      <c r="A836" t="s">
        <v>24</v>
      </c>
      <c r="B836" t="s">
        <v>3810</v>
      </c>
      <c r="C836" t="str">
        <f>"A0060388"</f>
        <v>A0060388</v>
      </c>
      <c r="D836" t="s">
        <v>3831</v>
      </c>
      <c r="E836" t="s">
        <v>3832</v>
      </c>
      <c r="F836" t="s">
        <v>3823</v>
      </c>
      <c r="G836" t="s">
        <v>289</v>
      </c>
      <c r="H836">
        <v>60527</v>
      </c>
      <c r="I836" t="s">
        <v>30</v>
      </c>
      <c r="J836" t="s">
        <v>31</v>
      </c>
      <c r="K836" t="s">
        <v>321</v>
      </c>
      <c r="N836" t="s">
        <v>3833</v>
      </c>
      <c r="Q836">
        <v>0</v>
      </c>
      <c r="R836">
        <v>130</v>
      </c>
      <c r="S836">
        <v>0</v>
      </c>
      <c r="T836" t="s">
        <v>3834</v>
      </c>
    </row>
    <row r="837" spans="1:20" customFormat="1" ht="15" x14ac:dyDescent="0.25">
      <c r="A837" t="s">
        <v>24</v>
      </c>
      <c r="B837" t="s">
        <v>3810</v>
      </c>
      <c r="C837" t="str">
        <f>"A0191717"</f>
        <v>A0191717</v>
      </c>
      <c r="D837" t="s">
        <v>3835</v>
      </c>
      <c r="E837" t="s">
        <v>3836</v>
      </c>
      <c r="F837" t="s">
        <v>3837</v>
      </c>
      <c r="G837" t="s">
        <v>289</v>
      </c>
      <c r="H837">
        <v>62703</v>
      </c>
      <c r="I837" t="s">
        <v>30</v>
      </c>
      <c r="J837" t="s">
        <v>31</v>
      </c>
      <c r="K837" t="s">
        <v>710</v>
      </c>
      <c r="N837" t="s">
        <v>3838</v>
      </c>
      <c r="Q837">
        <v>0</v>
      </c>
      <c r="R837">
        <v>76</v>
      </c>
      <c r="S837">
        <v>0</v>
      </c>
      <c r="T837" t="s">
        <v>3839</v>
      </c>
    </row>
    <row r="838" spans="1:20" customFormat="1" ht="15" hidden="1" x14ac:dyDescent="0.25">
      <c r="A838" t="s">
        <v>24</v>
      </c>
      <c r="B838" t="s">
        <v>3840</v>
      </c>
      <c r="C838" t="str">
        <f>"A0191851"</f>
        <v>A0191851</v>
      </c>
      <c r="D838" t="s">
        <v>3841</v>
      </c>
      <c r="E838" t="s">
        <v>3842</v>
      </c>
      <c r="F838" t="s">
        <v>2408</v>
      </c>
      <c r="G838" t="s">
        <v>3843</v>
      </c>
      <c r="H838">
        <v>3600</v>
      </c>
      <c r="I838" t="s">
        <v>2408</v>
      </c>
      <c r="J838" t="s">
        <v>687</v>
      </c>
      <c r="K838" t="s">
        <v>163</v>
      </c>
      <c r="N838" t="s">
        <v>3844</v>
      </c>
      <c r="Q838">
        <v>0</v>
      </c>
      <c r="R838">
        <v>0</v>
      </c>
      <c r="S838">
        <v>0</v>
      </c>
      <c r="T838" t="s">
        <v>3845</v>
      </c>
    </row>
    <row r="839" spans="1:20" customFormat="1" ht="15" x14ac:dyDescent="0.25">
      <c r="A839" t="s">
        <v>24</v>
      </c>
      <c r="B839" t="s">
        <v>1323</v>
      </c>
      <c r="C839" t="str">
        <f>"A0191148"</f>
        <v>A0191148</v>
      </c>
      <c r="D839" t="s">
        <v>3846</v>
      </c>
      <c r="E839" t="s">
        <v>3796</v>
      </c>
      <c r="F839" t="s">
        <v>3531</v>
      </c>
      <c r="G839" t="s">
        <v>81</v>
      </c>
      <c r="H839">
        <v>32920</v>
      </c>
      <c r="I839" t="s">
        <v>30</v>
      </c>
      <c r="J839" t="s">
        <v>31</v>
      </c>
      <c r="K839" t="s">
        <v>198</v>
      </c>
      <c r="N839" t="s">
        <v>3797</v>
      </c>
      <c r="Q839">
        <v>0</v>
      </c>
      <c r="R839">
        <v>116</v>
      </c>
      <c r="S839">
        <v>0</v>
      </c>
      <c r="T839" t="s">
        <v>3847</v>
      </c>
    </row>
    <row r="840" spans="1:20" customFormat="1" ht="15" x14ac:dyDescent="0.25">
      <c r="A840" t="s">
        <v>24</v>
      </c>
      <c r="B840" t="s">
        <v>1323</v>
      </c>
      <c r="C840" t="str">
        <f>"A0085882"</f>
        <v>A0085882</v>
      </c>
      <c r="D840" t="s">
        <v>3848</v>
      </c>
      <c r="E840" t="s">
        <v>3849</v>
      </c>
      <c r="F840" t="s">
        <v>845</v>
      </c>
      <c r="G840" t="s">
        <v>846</v>
      </c>
      <c r="H840">
        <v>30344</v>
      </c>
      <c r="I840" t="s">
        <v>30</v>
      </c>
      <c r="J840" t="s">
        <v>31</v>
      </c>
      <c r="K840" t="s">
        <v>198</v>
      </c>
      <c r="N840" t="s">
        <v>3850</v>
      </c>
      <c r="Q840">
        <v>0</v>
      </c>
      <c r="R840">
        <v>119</v>
      </c>
      <c r="S840">
        <v>0</v>
      </c>
      <c r="T840" t="s">
        <v>3851</v>
      </c>
    </row>
    <row r="841" spans="1:20" customFormat="1" ht="15" x14ac:dyDescent="0.25">
      <c r="A841" t="s">
        <v>24</v>
      </c>
      <c r="B841" t="s">
        <v>1548</v>
      </c>
      <c r="C841" t="str">
        <f>"A0189049"</f>
        <v>A0189049</v>
      </c>
      <c r="D841" t="s">
        <v>9857</v>
      </c>
      <c r="E841" t="s">
        <v>9858</v>
      </c>
      <c r="F841" t="s">
        <v>1564</v>
      </c>
      <c r="G841" t="s">
        <v>52</v>
      </c>
      <c r="H841">
        <v>77024</v>
      </c>
      <c r="I841" t="s">
        <v>30</v>
      </c>
      <c r="J841" t="s">
        <v>162</v>
      </c>
      <c r="K841" t="s">
        <v>4442</v>
      </c>
      <c r="N841" t="s">
        <v>9859</v>
      </c>
      <c r="Q841">
        <v>0</v>
      </c>
      <c r="R841">
        <v>207</v>
      </c>
      <c r="S841">
        <v>0</v>
      </c>
      <c r="T841" t="s">
        <v>9860</v>
      </c>
    </row>
    <row r="842" spans="1:20" customFormat="1" ht="15" x14ac:dyDescent="0.25">
      <c r="A842" t="s">
        <v>24</v>
      </c>
      <c r="B842" t="s">
        <v>9975</v>
      </c>
      <c r="C842" t="str">
        <f>"A0188617"</f>
        <v>A0188617</v>
      </c>
      <c r="D842" t="s">
        <v>9976</v>
      </c>
      <c r="E842" t="s">
        <v>9977</v>
      </c>
      <c r="F842" t="s">
        <v>9431</v>
      </c>
      <c r="G842" t="s">
        <v>381</v>
      </c>
      <c r="H842">
        <v>46204</v>
      </c>
      <c r="I842" t="s">
        <v>30</v>
      </c>
      <c r="J842" t="s">
        <v>162</v>
      </c>
      <c r="K842" t="s">
        <v>3447</v>
      </c>
      <c r="N842" t="s">
        <v>9978</v>
      </c>
      <c r="Q842">
        <v>0</v>
      </c>
      <c r="R842">
        <v>90</v>
      </c>
      <c r="S842">
        <v>0</v>
      </c>
      <c r="T842" t="s">
        <v>192</v>
      </c>
    </row>
    <row r="843" spans="1:20" customFormat="1" ht="15" x14ac:dyDescent="0.25">
      <c r="A843" t="s">
        <v>24</v>
      </c>
      <c r="B843" t="s">
        <v>814</v>
      </c>
      <c r="C843" t="str">
        <f>"A0072514"</f>
        <v>A0072514</v>
      </c>
      <c r="D843" t="s">
        <v>10017</v>
      </c>
      <c r="E843" t="s">
        <v>10018</v>
      </c>
      <c r="F843" t="s">
        <v>1358</v>
      </c>
      <c r="G843" t="s">
        <v>81</v>
      </c>
      <c r="H843">
        <v>33036</v>
      </c>
      <c r="I843" t="s">
        <v>30</v>
      </c>
      <c r="J843" t="s">
        <v>162</v>
      </c>
      <c r="K843" t="s">
        <v>163</v>
      </c>
      <c r="N843" t="s">
        <v>10019</v>
      </c>
      <c r="Q843">
        <v>0</v>
      </c>
      <c r="R843">
        <v>151</v>
      </c>
      <c r="S843">
        <v>0</v>
      </c>
      <c r="T843" t="s">
        <v>10020</v>
      </c>
    </row>
    <row r="844" spans="1:20" customFormat="1" ht="15" x14ac:dyDescent="0.25">
      <c r="A844" t="s">
        <v>24</v>
      </c>
      <c r="B844" t="s">
        <v>814</v>
      </c>
      <c r="C844" t="str">
        <f>"A0189030"</f>
        <v>A0189030</v>
      </c>
      <c r="D844" t="s">
        <v>10021</v>
      </c>
      <c r="E844" t="s">
        <v>10022</v>
      </c>
      <c r="F844" t="s">
        <v>10023</v>
      </c>
      <c r="G844" t="s">
        <v>81</v>
      </c>
      <c r="H844">
        <v>33036</v>
      </c>
      <c r="I844" t="s">
        <v>30</v>
      </c>
      <c r="J844" t="s">
        <v>162</v>
      </c>
      <c r="K844" t="s">
        <v>163</v>
      </c>
      <c r="N844" t="s">
        <v>10024</v>
      </c>
      <c r="O844" t="s">
        <v>10025</v>
      </c>
      <c r="Q844">
        <v>0</v>
      </c>
      <c r="R844">
        <v>110</v>
      </c>
      <c r="S844">
        <v>0</v>
      </c>
      <c r="T844" t="s">
        <v>10026</v>
      </c>
    </row>
    <row r="845" spans="1:20" customFormat="1" ht="15" x14ac:dyDescent="0.25">
      <c r="A845" t="s">
        <v>24</v>
      </c>
      <c r="B845" t="s">
        <v>814</v>
      </c>
      <c r="C845" t="str">
        <f>"A0189029"</f>
        <v>A0189029</v>
      </c>
      <c r="D845" t="s">
        <v>10027</v>
      </c>
      <c r="E845" t="s">
        <v>10028</v>
      </c>
      <c r="F845" t="s">
        <v>5855</v>
      </c>
      <c r="G845" t="s">
        <v>81</v>
      </c>
      <c r="H845">
        <v>33036</v>
      </c>
      <c r="I845" t="s">
        <v>30</v>
      </c>
      <c r="J845" t="s">
        <v>162</v>
      </c>
      <c r="K845" t="s">
        <v>163</v>
      </c>
      <c r="N845" t="s">
        <v>10019</v>
      </c>
      <c r="O845" t="s">
        <v>10025</v>
      </c>
      <c r="Q845">
        <v>0</v>
      </c>
      <c r="R845">
        <v>63</v>
      </c>
      <c r="S845">
        <v>0</v>
      </c>
      <c r="T845" t="s">
        <v>10029</v>
      </c>
    </row>
    <row r="846" spans="1:20" customFormat="1" ht="15" x14ac:dyDescent="0.25">
      <c r="A846" t="s">
        <v>24</v>
      </c>
      <c r="B846" t="s">
        <v>3877</v>
      </c>
      <c r="C846" t="str">
        <f>"A0190456"</f>
        <v>A0190456</v>
      </c>
      <c r="D846" t="s">
        <v>3878</v>
      </c>
      <c r="E846" t="s">
        <v>3879</v>
      </c>
      <c r="F846" t="s">
        <v>3880</v>
      </c>
      <c r="G846" t="s">
        <v>99</v>
      </c>
      <c r="H846">
        <v>10018</v>
      </c>
      <c r="I846" t="s">
        <v>30</v>
      </c>
      <c r="J846" t="s">
        <v>3881</v>
      </c>
      <c r="K846" t="s">
        <v>163</v>
      </c>
      <c r="N846" t="s">
        <v>3882</v>
      </c>
      <c r="O846" t="s">
        <v>3883</v>
      </c>
      <c r="Q846">
        <v>0</v>
      </c>
      <c r="R846">
        <v>0</v>
      </c>
      <c r="S846">
        <v>0</v>
      </c>
      <c r="T846" t="s">
        <v>3884</v>
      </c>
    </row>
    <row r="847" spans="1:20" customFormat="1" ht="15" x14ac:dyDescent="0.25">
      <c r="A847" t="s">
        <v>24</v>
      </c>
      <c r="B847" t="s">
        <v>814</v>
      </c>
      <c r="C847" t="str">
        <f>"A0090059"</f>
        <v>A0090059</v>
      </c>
      <c r="D847" t="s">
        <v>10030</v>
      </c>
      <c r="E847" t="s">
        <v>10031</v>
      </c>
      <c r="F847" t="s">
        <v>5855</v>
      </c>
      <c r="G847" t="s">
        <v>81</v>
      </c>
      <c r="H847">
        <v>33036</v>
      </c>
      <c r="I847" t="s">
        <v>30</v>
      </c>
      <c r="J847" t="s">
        <v>162</v>
      </c>
      <c r="K847" t="s">
        <v>163</v>
      </c>
      <c r="N847" t="s">
        <v>10032</v>
      </c>
      <c r="O847" t="s">
        <v>10025</v>
      </c>
      <c r="Q847">
        <v>0</v>
      </c>
      <c r="R847">
        <v>55</v>
      </c>
      <c r="S847">
        <v>0</v>
      </c>
      <c r="T847" t="s">
        <v>10033</v>
      </c>
    </row>
    <row r="848" spans="1:20" customFormat="1" ht="15" x14ac:dyDescent="0.25">
      <c r="A848" t="s">
        <v>24</v>
      </c>
      <c r="B848" t="s">
        <v>4366</v>
      </c>
      <c r="C848" t="str">
        <f>"A0188998"</f>
        <v>A0188998</v>
      </c>
      <c r="D848" t="s">
        <v>10108</v>
      </c>
      <c r="E848" t="s">
        <v>10109</v>
      </c>
      <c r="F848" t="s">
        <v>10110</v>
      </c>
      <c r="G848" t="s">
        <v>52</v>
      </c>
      <c r="H848">
        <v>76544</v>
      </c>
      <c r="I848" t="s">
        <v>30</v>
      </c>
      <c r="J848" t="s">
        <v>162</v>
      </c>
      <c r="K848" t="s">
        <v>163</v>
      </c>
      <c r="Q848">
        <v>0</v>
      </c>
      <c r="R848">
        <v>0</v>
      </c>
      <c r="S848">
        <v>0</v>
      </c>
      <c r="T848" t="s">
        <v>9378</v>
      </c>
    </row>
    <row r="849" spans="1:25" customFormat="1" ht="15" x14ac:dyDescent="0.25">
      <c r="A849" t="s">
        <v>24</v>
      </c>
      <c r="B849" t="s">
        <v>4990</v>
      </c>
      <c r="C849" t="str">
        <f>"A0086974"</f>
        <v>A0086974</v>
      </c>
      <c r="D849" t="s">
        <v>10124</v>
      </c>
      <c r="E849" t="s">
        <v>10125</v>
      </c>
      <c r="F849" t="s">
        <v>10126</v>
      </c>
      <c r="G849" t="s">
        <v>1898</v>
      </c>
      <c r="H849">
        <v>52240</v>
      </c>
      <c r="I849" t="s">
        <v>30</v>
      </c>
      <c r="J849" t="s">
        <v>162</v>
      </c>
      <c r="K849" t="s">
        <v>2881</v>
      </c>
      <c r="N849" t="s">
        <v>10127</v>
      </c>
      <c r="Q849">
        <v>0</v>
      </c>
      <c r="R849">
        <v>56</v>
      </c>
      <c r="S849">
        <v>0</v>
      </c>
      <c r="T849" t="s">
        <v>10128</v>
      </c>
    </row>
    <row r="850" spans="1:25" customFormat="1" ht="15" x14ac:dyDescent="0.25">
      <c r="A850" t="s">
        <v>24</v>
      </c>
      <c r="B850" t="s">
        <v>2340</v>
      </c>
      <c r="C850" t="str">
        <f>"A0060330"</f>
        <v>A0060330</v>
      </c>
      <c r="D850" t="s">
        <v>3900</v>
      </c>
      <c r="E850" t="s">
        <v>3901</v>
      </c>
      <c r="F850" t="s">
        <v>1889</v>
      </c>
      <c r="G850" t="s">
        <v>81</v>
      </c>
      <c r="H850">
        <v>33189</v>
      </c>
      <c r="I850" t="s">
        <v>30</v>
      </c>
      <c r="J850" t="s">
        <v>31</v>
      </c>
      <c r="K850" t="s">
        <v>321</v>
      </c>
      <c r="N850" t="s">
        <v>3902</v>
      </c>
      <c r="O850" t="s">
        <v>3903</v>
      </c>
      <c r="Q850">
        <v>0</v>
      </c>
      <c r="R850">
        <v>107</v>
      </c>
      <c r="S850">
        <v>0</v>
      </c>
      <c r="T850" t="s">
        <v>3904</v>
      </c>
    </row>
    <row r="851" spans="1:25" x14ac:dyDescent="0.25">
      <c r="A851" s="5" t="s">
        <v>24</v>
      </c>
      <c r="B851" s="5" t="s">
        <v>10129</v>
      </c>
      <c r="C851" s="5" t="str">
        <f>"SF02631"</f>
        <v>SF02631</v>
      </c>
      <c r="D851" s="5" t="s">
        <v>10130</v>
      </c>
      <c r="E851" s="5" t="s">
        <v>10131</v>
      </c>
      <c r="F851" s="5" t="s">
        <v>10132</v>
      </c>
      <c r="G851" s="5" t="s">
        <v>289</v>
      </c>
      <c r="H851" s="5">
        <v>60436</v>
      </c>
      <c r="I851" s="5" t="s">
        <v>30</v>
      </c>
      <c r="J851" s="5" t="s">
        <v>162</v>
      </c>
      <c r="K851" s="5" t="s">
        <v>243</v>
      </c>
      <c r="L851" s="5"/>
      <c r="M851" s="5"/>
      <c r="N851" s="5" t="s">
        <v>10133</v>
      </c>
      <c r="O851" s="5"/>
      <c r="P851" s="5"/>
      <c r="Q851" s="5">
        <v>0</v>
      </c>
      <c r="R851" s="5">
        <v>200</v>
      </c>
      <c r="S851" s="5">
        <v>0</v>
      </c>
      <c r="T851" s="5" t="s">
        <v>10134</v>
      </c>
      <c r="U851" s="5"/>
      <c r="V851" s="5"/>
      <c r="W851" s="5"/>
      <c r="X851" s="5"/>
      <c r="Y851" s="5"/>
    </row>
    <row r="852" spans="1:25" customFormat="1" ht="15" x14ac:dyDescent="0.25">
      <c r="A852" t="s">
        <v>24</v>
      </c>
      <c r="B852" t="s">
        <v>1014</v>
      </c>
      <c r="C852" t="str">
        <f>"A0157427"</f>
        <v>A0157427</v>
      </c>
      <c r="D852" t="s">
        <v>3910</v>
      </c>
      <c r="E852" t="s">
        <v>3911</v>
      </c>
      <c r="F852" t="s">
        <v>2128</v>
      </c>
      <c r="G852" t="s">
        <v>52</v>
      </c>
      <c r="H852">
        <v>75074</v>
      </c>
      <c r="I852" t="s">
        <v>30</v>
      </c>
      <c r="J852" t="s">
        <v>31</v>
      </c>
      <c r="K852" t="s">
        <v>296</v>
      </c>
      <c r="N852" t="s">
        <v>3912</v>
      </c>
      <c r="Q852">
        <v>0</v>
      </c>
      <c r="R852">
        <v>76</v>
      </c>
      <c r="S852">
        <v>0</v>
      </c>
      <c r="T852" t="s">
        <v>3913</v>
      </c>
    </row>
    <row r="853" spans="1:25" customFormat="1" ht="15" x14ac:dyDescent="0.25">
      <c r="A853" t="s">
        <v>24</v>
      </c>
      <c r="B853" t="s">
        <v>1020</v>
      </c>
      <c r="C853" t="str">
        <f>"A0051808"</f>
        <v>A0051808</v>
      </c>
      <c r="D853" t="s">
        <v>10142</v>
      </c>
      <c r="E853" t="s">
        <v>10143</v>
      </c>
      <c r="F853" t="s">
        <v>3517</v>
      </c>
      <c r="G853" t="s">
        <v>110</v>
      </c>
      <c r="H853">
        <v>95822</v>
      </c>
      <c r="I853" t="s">
        <v>30</v>
      </c>
      <c r="J853" t="s">
        <v>162</v>
      </c>
      <c r="K853" t="s">
        <v>822</v>
      </c>
      <c r="N853" t="s">
        <v>10144</v>
      </c>
      <c r="P853" t="s">
        <v>992</v>
      </c>
      <c r="Q853">
        <v>1</v>
      </c>
      <c r="R853">
        <v>100</v>
      </c>
      <c r="S853">
        <v>0</v>
      </c>
      <c r="T853" t="s">
        <v>10145</v>
      </c>
    </row>
    <row r="854" spans="1:25" customFormat="1" ht="15" x14ac:dyDescent="0.25">
      <c r="A854" t="s">
        <v>24</v>
      </c>
      <c r="B854" t="s">
        <v>3628</v>
      </c>
      <c r="C854" t="str">
        <f>"A0065458"</f>
        <v>A0065458</v>
      </c>
      <c r="D854" t="s">
        <v>3919</v>
      </c>
      <c r="E854" t="s">
        <v>3920</v>
      </c>
      <c r="F854" t="s">
        <v>1439</v>
      </c>
      <c r="G854" t="s">
        <v>110</v>
      </c>
      <c r="H854">
        <v>92131</v>
      </c>
      <c r="I854" t="s">
        <v>30</v>
      </c>
      <c r="J854" t="s">
        <v>31</v>
      </c>
      <c r="K854" t="s">
        <v>255</v>
      </c>
      <c r="N854" t="s">
        <v>3916</v>
      </c>
      <c r="O854" t="s">
        <v>3917</v>
      </c>
      <c r="Q854">
        <v>0</v>
      </c>
      <c r="R854">
        <v>137</v>
      </c>
      <c r="S854">
        <v>0</v>
      </c>
      <c r="T854" t="s">
        <v>3921</v>
      </c>
    </row>
    <row r="855" spans="1:25" customFormat="1" ht="15" x14ac:dyDescent="0.25">
      <c r="A855" t="s">
        <v>35</v>
      </c>
      <c r="B855" t="s">
        <v>3922</v>
      </c>
      <c r="C855" t="str">
        <f>"A0180185"</f>
        <v>A0180185</v>
      </c>
      <c r="D855" t="s">
        <v>3923</v>
      </c>
      <c r="E855" t="s">
        <v>3924</v>
      </c>
      <c r="F855" t="s">
        <v>3925</v>
      </c>
      <c r="G855" t="s">
        <v>1898</v>
      </c>
      <c r="H855">
        <v>51334</v>
      </c>
      <c r="I855" t="s">
        <v>30</v>
      </c>
      <c r="J855" t="s">
        <v>41</v>
      </c>
      <c r="K855" t="s">
        <v>66</v>
      </c>
      <c r="Q855">
        <v>0</v>
      </c>
      <c r="R855">
        <v>50</v>
      </c>
      <c r="S855">
        <v>50</v>
      </c>
      <c r="T855" t="s">
        <v>3926</v>
      </c>
    </row>
    <row r="856" spans="1:25" customFormat="1" ht="15" x14ac:dyDescent="0.25">
      <c r="A856" t="s">
        <v>35</v>
      </c>
      <c r="B856" t="s">
        <v>61</v>
      </c>
      <c r="C856" t="str">
        <f>"A0130322"</f>
        <v>A0130322</v>
      </c>
      <c r="D856" t="s">
        <v>3922</v>
      </c>
      <c r="E856" t="s">
        <v>3927</v>
      </c>
      <c r="F856" t="s">
        <v>3925</v>
      </c>
      <c r="G856" t="s">
        <v>1898</v>
      </c>
      <c r="H856">
        <v>51334</v>
      </c>
      <c r="I856" t="s">
        <v>30</v>
      </c>
      <c r="J856" t="s">
        <v>41</v>
      </c>
      <c r="K856" t="s">
        <v>131</v>
      </c>
      <c r="Q856">
        <v>0</v>
      </c>
      <c r="R856">
        <v>70</v>
      </c>
      <c r="S856">
        <v>70</v>
      </c>
      <c r="T856" t="s">
        <v>3928</v>
      </c>
    </row>
    <row r="857" spans="1:25" customFormat="1" ht="15" x14ac:dyDescent="0.25">
      <c r="A857" t="s">
        <v>24</v>
      </c>
      <c r="B857" t="s">
        <v>3929</v>
      </c>
      <c r="C857" t="str">
        <f>"A0191783"</f>
        <v>A0191783</v>
      </c>
      <c r="D857" t="s">
        <v>3930</v>
      </c>
      <c r="E857" t="s">
        <v>3931</v>
      </c>
      <c r="F857" t="s">
        <v>3932</v>
      </c>
      <c r="G857" t="s">
        <v>117</v>
      </c>
      <c r="H857">
        <v>49503</v>
      </c>
      <c r="I857" t="s">
        <v>30</v>
      </c>
      <c r="J857" t="s">
        <v>2558</v>
      </c>
      <c r="K857" t="s">
        <v>163</v>
      </c>
      <c r="N857" t="s">
        <v>3933</v>
      </c>
      <c r="Q857">
        <v>0</v>
      </c>
      <c r="R857">
        <v>0</v>
      </c>
      <c r="S857">
        <v>0</v>
      </c>
      <c r="T857" t="s">
        <v>3934</v>
      </c>
    </row>
    <row r="858" spans="1:25" customFormat="1" ht="15" x14ac:dyDescent="0.25">
      <c r="A858" t="s">
        <v>24</v>
      </c>
      <c r="B858" t="s">
        <v>3935</v>
      </c>
      <c r="C858" t="str">
        <f>"432VS"</f>
        <v>432VS</v>
      </c>
      <c r="D858" t="s">
        <v>3936</v>
      </c>
      <c r="E858" t="s">
        <v>3937</v>
      </c>
      <c r="F858" t="s">
        <v>3938</v>
      </c>
      <c r="G858" t="s">
        <v>85</v>
      </c>
      <c r="H858">
        <v>72802</v>
      </c>
      <c r="I858" t="s">
        <v>30</v>
      </c>
      <c r="J858" t="s">
        <v>31</v>
      </c>
      <c r="K858" t="s">
        <v>32</v>
      </c>
      <c r="N858" t="s">
        <v>3939</v>
      </c>
      <c r="Q858">
        <v>0</v>
      </c>
      <c r="R858">
        <v>73</v>
      </c>
      <c r="S858">
        <v>0</v>
      </c>
      <c r="T858" t="s">
        <v>3940</v>
      </c>
    </row>
    <row r="859" spans="1:25" customFormat="1" ht="15" x14ac:dyDescent="0.25">
      <c r="A859" t="s">
        <v>35</v>
      </c>
      <c r="B859" t="s">
        <v>3941</v>
      </c>
      <c r="C859" t="str">
        <f>"A0128483"</f>
        <v>A0128483</v>
      </c>
      <c r="D859" t="s">
        <v>3942</v>
      </c>
      <c r="E859" t="s">
        <v>3943</v>
      </c>
      <c r="F859" t="s">
        <v>1382</v>
      </c>
      <c r="G859" t="s">
        <v>29</v>
      </c>
      <c r="H859">
        <v>23601</v>
      </c>
      <c r="I859" t="s">
        <v>30</v>
      </c>
      <c r="J859" t="s">
        <v>41</v>
      </c>
      <c r="K859" t="s">
        <v>1440</v>
      </c>
      <c r="Q859">
        <v>0</v>
      </c>
      <c r="R859">
        <v>310</v>
      </c>
      <c r="S859">
        <v>310</v>
      </c>
      <c r="T859" t="s">
        <v>3944</v>
      </c>
    </row>
    <row r="860" spans="1:25" customFormat="1" ht="15" x14ac:dyDescent="0.25">
      <c r="A860" t="s">
        <v>24</v>
      </c>
      <c r="B860" t="s">
        <v>1020</v>
      </c>
      <c r="C860" t="str">
        <f>"88HI031"</f>
        <v>88HI031</v>
      </c>
      <c r="D860" t="s">
        <v>10146</v>
      </c>
      <c r="E860" t="s">
        <v>10147</v>
      </c>
      <c r="F860" t="s">
        <v>703</v>
      </c>
      <c r="G860" t="s">
        <v>110</v>
      </c>
      <c r="H860">
        <v>91101</v>
      </c>
      <c r="I860" t="s">
        <v>30</v>
      </c>
      <c r="J860" t="s">
        <v>162</v>
      </c>
      <c r="K860" t="s">
        <v>1502</v>
      </c>
      <c r="N860" t="s">
        <v>10148</v>
      </c>
      <c r="Q860">
        <v>0</v>
      </c>
      <c r="R860">
        <v>311</v>
      </c>
      <c r="S860">
        <v>0</v>
      </c>
      <c r="T860" t="s">
        <v>10149</v>
      </c>
    </row>
    <row r="861" spans="1:25" customFormat="1" ht="15" x14ac:dyDescent="0.25">
      <c r="A861" t="s">
        <v>24</v>
      </c>
      <c r="B861" t="s">
        <v>1020</v>
      </c>
      <c r="C861" t="str">
        <f>"A0084202"</f>
        <v>A0084202</v>
      </c>
      <c r="D861" t="s">
        <v>10150</v>
      </c>
      <c r="E861" t="s">
        <v>10151</v>
      </c>
      <c r="F861" t="s">
        <v>10152</v>
      </c>
      <c r="G861" t="s">
        <v>110</v>
      </c>
      <c r="H861">
        <v>92260</v>
      </c>
      <c r="I861" t="s">
        <v>30</v>
      </c>
      <c r="J861" t="s">
        <v>162</v>
      </c>
      <c r="K861" t="s">
        <v>266</v>
      </c>
      <c r="N861" t="s">
        <v>10153</v>
      </c>
      <c r="Q861">
        <v>0</v>
      </c>
      <c r="R861">
        <v>198</v>
      </c>
      <c r="S861">
        <v>0</v>
      </c>
      <c r="T861" t="s">
        <v>10154</v>
      </c>
    </row>
    <row r="862" spans="1:25" x14ac:dyDescent="0.25">
      <c r="A862" s="5" t="s">
        <v>24</v>
      </c>
      <c r="B862" s="5" t="s">
        <v>1020</v>
      </c>
      <c r="C862" s="5" t="str">
        <f>"SF09558"</f>
        <v>SF09558</v>
      </c>
      <c r="D862" s="5" t="s">
        <v>10155</v>
      </c>
      <c r="E862" s="5" t="s">
        <v>10156</v>
      </c>
      <c r="F862" s="5" t="s">
        <v>10157</v>
      </c>
      <c r="G862" s="5" t="s">
        <v>110</v>
      </c>
      <c r="H862" s="5">
        <v>94401</v>
      </c>
      <c r="I862" s="5" t="s">
        <v>30</v>
      </c>
      <c r="J862" s="5" t="s">
        <v>162</v>
      </c>
      <c r="K862" s="5" t="s">
        <v>854</v>
      </c>
      <c r="L862" s="5"/>
      <c r="M862" s="5"/>
      <c r="N862" s="5" t="s">
        <v>10158</v>
      </c>
      <c r="O862" s="5" t="s">
        <v>10159</v>
      </c>
      <c r="P862" s="5"/>
      <c r="Q862" s="5">
        <v>0</v>
      </c>
      <c r="R862" s="5">
        <v>172</v>
      </c>
      <c r="S862" s="5">
        <v>0</v>
      </c>
      <c r="T862" s="5" t="s">
        <v>10160</v>
      </c>
      <c r="U862" s="5"/>
      <c r="V862" s="5"/>
      <c r="W862" s="5"/>
      <c r="X862" s="5"/>
      <c r="Y862" s="5"/>
    </row>
    <row r="863" spans="1:25" customFormat="1" ht="15" x14ac:dyDescent="0.25">
      <c r="A863" t="s">
        <v>24</v>
      </c>
      <c r="B863" t="s">
        <v>3958</v>
      </c>
      <c r="C863" t="str">
        <f>"432R7"</f>
        <v>432R7</v>
      </c>
      <c r="D863" t="s">
        <v>3959</v>
      </c>
      <c r="E863" t="s">
        <v>3960</v>
      </c>
      <c r="F863" t="s">
        <v>3961</v>
      </c>
      <c r="G863" t="s">
        <v>3236</v>
      </c>
      <c r="H863">
        <v>57783</v>
      </c>
      <c r="I863" t="s">
        <v>30</v>
      </c>
      <c r="J863" t="s">
        <v>31</v>
      </c>
      <c r="K863" t="s">
        <v>32</v>
      </c>
      <c r="N863" t="s">
        <v>3962</v>
      </c>
      <c r="O863" t="s">
        <v>3963</v>
      </c>
      <c r="Q863">
        <v>0</v>
      </c>
      <c r="R863">
        <v>57</v>
      </c>
      <c r="S863">
        <v>0</v>
      </c>
      <c r="T863" t="s">
        <v>3964</v>
      </c>
    </row>
    <row r="864" spans="1:25" customFormat="1" ht="15" x14ac:dyDescent="0.25">
      <c r="A864" t="s">
        <v>24</v>
      </c>
      <c r="B864" t="s">
        <v>3958</v>
      </c>
      <c r="C864" t="str">
        <f>"A0091952"</f>
        <v>A0091952</v>
      </c>
      <c r="D864" t="s">
        <v>3965</v>
      </c>
      <c r="E864" t="s">
        <v>3966</v>
      </c>
      <c r="F864" t="s">
        <v>3967</v>
      </c>
      <c r="G864" t="s">
        <v>3236</v>
      </c>
      <c r="H864">
        <v>57401</v>
      </c>
      <c r="I864" t="s">
        <v>30</v>
      </c>
      <c r="J864" t="s">
        <v>31</v>
      </c>
      <c r="K864" t="s">
        <v>222</v>
      </c>
      <c r="N864" t="s">
        <v>3968</v>
      </c>
      <c r="Q864">
        <v>0</v>
      </c>
      <c r="R864">
        <v>56</v>
      </c>
      <c r="S864">
        <v>0</v>
      </c>
      <c r="T864" t="s">
        <v>3969</v>
      </c>
    </row>
    <row r="865" spans="1:25" customFormat="1" ht="15" x14ac:dyDescent="0.25">
      <c r="A865" t="s">
        <v>24</v>
      </c>
      <c r="B865" t="s">
        <v>3970</v>
      </c>
      <c r="C865" t="str">
        <f>"A0072221"</f>
        <v>A0072221</v>
      </c>
      <c r="D865" t="s">
        <v>3971</v>
      </c>
      <c r="E865" t="s">
        <v>3972</v>
      </c>
      <c r="F865" t="s">
        <v>3973</v>
      </c>
      <c r="G865" t="s">
        <v>52</v>
      </c>
      <c r="H865">
        <v>75455</v>
      </c>
      <c r="I865" t="s">
        <v>30</v>
      </c>
      <c r="J865" t="s">
        <v>31</v>
      </c>
      <c r="K865" t="s">
        <v>282</v>
      </c>
      <c r="N865" t="s">
        <v>3974</v>
      </c>
      <c r="O865" t="s">
        <v>3975</v>
      </c>
      <c r="Q865">
        <v>0</v>
      </c>
      <c r="R865">
        <v>71</v>
      </c>
      <c r="S865">
        <v>0</v>
      </c>
      <c r="T865" t="s">
        <v>3976</v>
      </c>
    </row>
    <row r="866" spans="1:25" customFormat="1" ht="15" x14ac:dyDescent="0.25">
      <c r="A866" t="s">
        <v>24</v>
      </c>
      <c r="B866" t="s">
        <v>1020</v>
      </c>
      <c r="C866" t="str">
        <f>"SF07120"</f>
        <v>SF07120</v>
      </c>
      <c r="D866" t="s">
        <v>10161</v>
      </c>
      <c r="E866" t="s">
        <v>10162</v>
      </c>
      <c r="F866" t="s">
        <v>5651</v>
      </c>
      <c r="G866" t="s">
        <v>110</v>
      </c>
      <c r="H866">
        <v>92802</v>
      </c>
      <c r="I866" t="s">
        <v>30</v>
      </c>
      <c r="J866" t="s">
        <v>162</v>
      </c>
      <c r="K866" t="s">
        <v>854</v>
      </c>
      <c r="N866" t="s">
        <v>10163</v>
      </c>
      <c r="Q866">
        <v>0</v>
      </c>
      <c r="R866">
        <v>255</v>
      </c>
      <c r="S866">
        <v>0</v>
      </c>
      <c r="T866" t="s">
        <v>10164</v>
      </c>
    </row>
    <row r="867" spans="1:25" customFormat="1" ht="15" x14ac:dyDescent="0.25">
      <c r="A867" t="s">
        <v>24</v>
      </c>
      <c r="B867" t="s">
        <v>3977</v>
      </c>
      <c r="C867" t="str">
        <f>"A0070018"</f>
        <v>A0070018</v>
      </c>
      <c r="D867" t="s">
        <v>3983</v>
      </c>
      <c r="E867" t="s">
        <v>3984</v>
      </c>
      <c r="F867" t="s">
        <v>1439</v>
      </c>
      <c r="G867" t="s">
        <v>110</v>
      </c>
      <c r="H867">
        <v>92110</v>
      </c>
      <c r="I867" t="s">
        <v>30</v>
      </c>
      <c r="J867" t="s">
        <v>31</v>
      </c>
      <c r="K867" t="s">
        <v>32</v>
      </c>
      <c r="N867" t="s">
        <v>3980</v>
      </c>
      <c r="O867" t="s">
        <v>3985</v>
      </c>
      <c r="Q867">
        <v>0</v>
      </c>
      <c r="R867">
        <v>123</v>
      </c>
      <c r="S867">
        <v>0</v>
      </c>
      <c r="T867" t="s">
        <v>3986</v>
      </c>
    </row>
    <row r="868" spans="1:25" customFormat="1" ht="15" x14ac:dyDescent="0.25">
      <c r="A868" t="s">
        <v>24</v>
      </c>
      <c r="B868" t="s">
        <v>2011</v>
      </c>
      <c r="C868" t="str">
        <f>"A0185504"</f>
        <v>A0185504</v>
      </c>
      <c r="D868" t="s">
        <v>10316</v>
      </c>
      <c r="E868" t="s">
        <v>10317</v>
      </c>
      <c r="F868" t="s">
        <v>972</v>
      </c>
      <c r="G868" t="s">
        <v>190</v>
      </c>
      <c r="H868">
        <v>80202</v>
      </c>
      <c r="I868" t="s">
        <v>30</v>
      </c>
      <c r="J868" t="s">
        <v>162</v>
      </c>
      <c r="K868" t="s">
        <v>7012</v>
      </c>
      <c r="N868" t="s">
        <v>10318</v>
      </c>
      <c r="O868" t="s">
        <v>10319</v>
      </c>
      <c r="Q868">
        <v>0</v>
      </c>
      <c r="R868">
        <v>220</v>
      </c>
      <c r="S868">
        <v>0</v>
      </c>
      <c r="T868" t="s">
        <v>10320</v>
      </c>
    </row>
    <row r="869" spans="1:25" customFormat="1" ht="15" x14ac:dyDescent="0.25">
      <c r="A869" t="s">
        <v>24</v>
      </c>
      <c r="B869" t="s">
        <v>4400</v>
      </c>
      <c r="C869" t="str">
        <f>"A0062616"</f>
        <v>A0062616</v>
      </c>
      <c r="D869" t="s">
        <v>10371</v>
      </c>
      <c r="E869" t="s">
        <v>10372</v>
      </c>
      <c r="F869" t="s">
        <v>10373</v>
      </c>
      <c r="G869" t="s">
        <v>289</v>
      </c>
      <c r="H869">
        <v>61820</v>
      </c>
      <c r="I869" t="s">
        <v>30</v>
      </c>
      <c r="J869" t="s">
        <v>162</v>
      </c>
      <c r="K869" t="s">
        <v>854</v>
      </c>
      <c r="N869" t="s">
        <v>10374</v>
      </c>
      <c r="Q869">
        <v>0</v>
      </c>
      <c r="R869">
        <v>187</v>
      </c>
      <c r="S869">
        <v>0</v>
      </c>
      <c r="T869" t="s">
        <v>10375</v>
      </c>
    </row>
    <row r="870" spans="1:25" customFormat="1" ht="15" x14ac:dyDescent="0.25">
      <c r="A870" t="s">
        <v>24</v>
      </c>
      <c r="B870" t="s">
        <v>4000</v>
      </c>
      <c r="C870" t="str">
        <f>"A0096836"</f>
        <v>A0096836</v>
      </c>
      <c r="D870" t="s">
        <v>4001</v>
      </c>
      <c r="E870" t="s">
        <v>4002</v>
      </c>
      <c r="F870" t="s">
        <v>4003</v>
      </c>
      <c r="G870" t="s">
        <v>289</v>
      </c>
      <c r="H870">
        <v>60173</v>
      </c>
      <c r="I870" t="s">
        <v>30</v>
      </c>
      <c r="J870" t="s">
        <v>31</v>
      </c>
      <c r="K870" t="s">
        <v>32</v>
      </c>
      <c r="N870" t="s">
        <v>4004</v>
      </c>
      <c r="O870" t="s">
        <v>4005</v>
      </c>
      <c r="Q870">
        <v>0</v>
      </c>
      <c r="R870">
        <v>81</v>
      </c>
      <c r="S870">
        <v>0</v>
      </c>
      <c r="T870" t="s">
        <v>4006</v>
      </c>
    </row>
    <row r="871" spans="1:25" x14ac:dyDescent="0.25">
      <c r="A871" s="5" t="s">
        <v>24</v>
      </c>
      <c r="B871" s="5" t="s">
        <v>10376</v>
      </c>
      <c r="C871" s="5" t="str">
        <f>"A0188917"</f>
        <v>A0188917</v>
      </c>
      <c r="D871" s="5" t="s">
        <v>10377</v>
      </c>
      <c r="E871" s="5" t="s">
        <v>10378</v>
      </c>
      <c r="F871" s="5" t="s">
        <v>10379</v>
      </c>
      <c r="G871" s="5" t="s">
        <v>81</v>
      </c>
      <c r="H871" s="5">
        <v>34102</v>
      </c>
      <c r="I871" s="5" t="s">
        <v>30</v>
      </c>
      <c r="J871" s="5" t="s">
        <v>162</v>
      </c>
      <c r="K871" s="5" t="s">
        <v>163</v>
      </c>
      <c r="L871" s="5"/>
      <c r="M871" s="5"/>
      <c r="N871" s="5" t="s">
        <v>10380</v>
      </c>
      <c r="O871" s="5" t="s">
        <v>10381</v>
      </c>
      <c r="P871" s="5"/>
      <c r="Q871" s="5">
        <v>0</v>
      </c>
      <c r="R871" s="5">
        <v>85</v>
      </c>
      <c r="S871" s="5">
        <v>0</v>
      </c>
      <c r="T871" s="5" t="s">
        <v>10382</v>
      </c>
      <c r="U871" s="5"/>
      <c r="V871" s="5"/>
      <c r="W871" s="5"/>
      <c r="X871" s="5"/>
      <c r="Y871" s="5"/>
    </row>
    <row r="872" spans="1:25" customFormat="1" ht="15" x14ac:dyDescent="0.25">
      <c r="A872" t="s">
        <v>35</v>
      </c>
      <c r="B872" t="s">
        <v>2711</v>
      </c>
      <c r="C872" t="str">
        <f>"A0191836"</f>
        <v>A0191836</v>
      </c>
      <c r="D872" t="s">
        <v>4013</v>
      </c>
      <c r="E872" t="s">
        <v>4014</v>
      </c>
      <c r="F872" t="s">
        <v>4015</v>
      </c>
      <c r="G872" t="s">
        <v>81</v>
      </c>
      <c r="H872">
        <v>33830</v>
      </c>
      <c r="I872" t="s">
        <v>30</v>
      </c>
      <c r="J872" t="s">
        <v>41</v>
      </c>
      <c r="K872" t="s">
        <v>2715</v>
      </c>
      <c r="Q872">
        <v>0</v>
      </c>
      <c r="R872">
        <v>0</v>
      </c>
      <c r="S872">
        <v>0</v>
      </c>
      <c r="T872" t="s">
        <v>4016</v>
      </c>
    </row>
    <row r="873" spans="1:25" customFormat="1" ht="15" x14ac:dyDescent="0.25">
      <c r="A873" t="s">
        <v>35</v>
      </c>
      <c r="B873" t="s">
        <v>2452</v>
      </c>
      <c r="C873" t="str">
        <f>"A0191835"</f>
        <v>A0191835</v>
      </c>
      <c r="D873" t="s">
        <v>4017</v>
      </c>
      <c r="E873" t="s">
        <v>4018</v>
      </c>
      <c r="F873" t="s">
        <v>4019</v>
      </c>
      <c r="G873" t="s">
        <v>103</v>
      </c>
      <c r="H873">
        <v>18032</v>
      </c>
      <c r="I873" t="s">
        <v>30</v>
      </c>
      <c r="J873" t="s">
        <v>41</v>
      </c>
      <c r="K873" t="s">
        <v>4020</v>
      </c>
      <c r="Q873">
        <v>0</v>
      </c>
      <c r="R873">
        <v>0</v>
      </c>
      <c r="S873">
        <v>0</v>
      </c>
      <c r="T873" t="s">
        <v>72</v>
      </c>
    </row>
    <row r="874" spans="1:25" customFormat="1" ht="15" x14ac:dyDescent="0.25">
      <c r="A874" t="s">
        <v>35</v>
      </c>
      <c r="B874" t="s">
        <v>2452</v>
      </c>
      <c r="C874" t="str">
        <f>"A0191834"</f>
        <v>A0191834</v>
      </c>
      <c r="D874" t="s">
        <v>4021</v>
      </c>
      <c r="E874" t="s">
        <v>4022</v>
      </c>
      <c r="F874" t="s">
        <v>4023</v>
      </c>
      <c r="G874" t="s">
        <v>338</v>
      </c>
      <c r="H874">
        <v>8096</v>
      </c>
      <c r="I874" t="s">
        <v>30</v>
      </c>
      <c r="J874" t="s">
        <v>41</v>
      </c>
      <c r="K874" t="s">
        <v>4020</v>
      </c>
      <c r="Q874">
        <v>0</v>
      </c>
      <c r="R874">
        <v>0</v>
      </c>
      <c r="S874">
        <v>0</v>
      </c>
      <c r="T874" t="s">
        <v>72</v>
      </c>
    </row>
    <row r="875" spans="1:25" customFormat="1" ht="15" x14ac:dyDescent="0.25">
      <c r="A875" t="s">
        <v>35</v>
      </c>
      <c r="B875" t="s">
        <v>4024</v>
      </c>
      <c r="C875" t="str">
        <f>"A0191833"</f>
        <v>A0191833</v>
      </c>
      <c r="D875" t="s">
        <v>4025</v>
      </c>
      <c r="E875" t="s">
        <v>4026</v>
      </c>
      <c r="F875" t="s">
        <v>4027</v>
      </c>
      <c r="G875" t="s">
        <v>81</v>
      </c>
      <c r="H875">
        <v>32940</v>
      </c>
      <c r="I875" t="s">
        <v>30</v>
      </c>
      <c r="J875" t="s">
        <v>41</v>
      </c>
      <c r="K875" t="s">
        <v>59</v>
      </c>
      <c r="Q875">
        <v>0</v>
      </c>
      <c r="R875">
        <v>0</v>
      </c>
      <c r="S875">
        <v>0</v>
      </c>
      <c r="T875" t="s">
        <v>4028</v>
      </c>
    </row>
    <row r="876" spans="1:25" customFormat="1" ht="15" x14ac:dyDescent="0.25">
      <c r="A876" t="s">
        <v>35</v>
      </c>
      <c r="B876" t="s">
        <v>4029</v>
      </c>
      <c r="C876" t="str">
        <f>"A0191832"</f>
        <v>A0191832</v>
      </c>
      <c r="D876" t="s">
        <v>4030</v>
      </c>
      <c r="E876" t="s">
        <v>4031</v>
      </c>
      <c r="F876" t="s">
        <v>4032</v>
      </c>
      <c r="G876" t="s">
        <v>110</v>
      </c>
      <c r="H876">
        <v>93105</v>
      </c>
      <c r="I876" t="s">
        <v>30</v>
      </c>
      <c r="J876" t="s">
        <v>41</v>
      </c>
      <c r="K876" t="s">
        <v>59</v>
      </c>
      <c r="Q876">
        <v>0</v>
      </c>
      <c r="R876">
        <v>0</v>
      </c>
      <c r="S876">
        <v>80</v>
      </c>
      <c r="T876" t="s">
        <v>4033</v>
      </c>
    </row>
    <row r="877" spans="1:25" customFormat="1" ht="15" x14ac:dyDescent="0.25">
      <c r="A877" t="s">
        <v>35</v>
      </c>
      <c r="B877" t="s">
        <v>4034</v>
      </c>
      <c r="C877" t="str">
        <f>"A0191831"</f>
        <v>A0191831</v>
      </c>
      <c r="D877" t="s">
        <v>4035</v>
      </c>
      <c r="E877" t="s">
        <v>4036</v>
      </c>
      <c r="F877" t="s">
        <v>4037</v>
      </c>
      <c r="G877" t="s">
        <v>40</v>
      </c>
      <c r="H877">
        <v>73104</v>
      </c>
      <c r="I877" t="s">
        <v>30</v>
      </c>
      <c r="J877" t="s">
        <v>441</v>
      </c>
      <c r="K877" t="s">
        <v>442</v>
      </c>
      <c r="Q877">
        <v>0</v>
      </c>
      <c r="R877">
        <v>0</v>
      </c>
      <c r="S877">
        <v>0</v>
      </c>
      <c r="T877" t="s">
        <v>4038</v>
      </c>
    </row>
    <row r="878" spans="1:25" customFormat="1" ht="15" x14ac:dyDescent="0.25">
      <c r="A878" t="s">
        <v>35</v>
      </c>
      <c r="B878" t="s">
        <v>4039</v>
      </c>
      <c r="C878" t="str">
        <f>"A0191830"</f>
        <v>A0191830</v>
      </c>
      <c r="D878" t="s">
        <v>4039</v>
      </c>
      <c r="E878" t="s">
        <v>4040</v>
      </c>
      <c r="F878" t="s">
        <v>1775</v>
      </c>
      <c r="G878" t="s">
        <v>117</v>
      </c>
      <c r="H878">
        <v>48603</v>
      </c>
      <c r="I878" t="s">
        <v>30</v>
      </c>
      <c r="J878" t="s">
        <v>41</v>
      </c>
      <c r="K878" t="s">
        <v>59</v>
      </c>
      <c r="Q878">
        <v>0</v>
      </c>
      <c r="R878">
        <v>0</v>
      </c>
      <c r="S878">
        <v>80</v>
      </c>
      <c r="T878" t="s">
        <v>4041</v>
      </c>
    </row>
    <row r="879" spans="1:25" customFormat="1" ht="15" x14ac:dyDescent="0.25">
      <c r="A879" t="s">
        <v>35</v>
      </c>
      <c r="B879" t="s">
        <v>4042</v>
      </c>
      <c r="C879" t="str">
        <f>"A0191829"</f>
        <v>A0191829</v>
      </c>
      <c r="D879" t="s">
        <v>4043</v>
      </c>
      <c r="E879" t="s">
        <v>4044</v>
      </c>
      <c r="F879" t="s">
        <v>3657</v>
      </c>
      <c r="G879" t="s">
        <v>880</v>
      </c>
      <c r="H879">
        <v>37919</v>
      </c>
      <c r="I879" t="s">
        <v>30</v>
      </c>
      <c r="J879" t="s">
        <v>41</v>
      </c>
      <c r="K879" t="s">
        <v>461</v>
      </c>
      <c r="Q879">
        <v>0</v>
      </c>
      <c r="R879">
        <v>0</v>
      </c>
      <c r="S879">
        <v>1</v>
      </c>
      <c r="T879" t="s">
        <v>72</v>
      </c>
    </row>
    <row r="880" spans="1:25" customFormat="1" ht="15" x14ac:dyDescent="0.25">
      <c r="A880" t="s">
        <v>35</v>
      </c>
      <c r="B880" t="s">
        <v>4042</v>
      </c>
      <c r="C880" t="str">
        <f>"A0191828"</f>
        <v>A0191828</v>
      </c>
      <c r="D880" t="s">
        <v>4045</v>
      </c>
      <c r="E880" t="s">
        <v>4046</v>
      </c>
      <c r="F880" t="s">
        <v>1685</v>
      </c>
      <c r="G880" t="s">
        <v>840</v>
      </c>
      <c r="H880">
        <v>42001</v>
      </c>
      <c r="I880" t="s">
        <v>30</v>
      </c>
      <c r="J880" t="s">
        <v>41</v>
      </c>
      <c r="K880" t="s">
        <v>461</v>
      </c>
      <c r="Q880">
        <v>0</v>
      </c>
      <c r="R880">
        <v>0</v>
      </c>
      <c r="S880">
        <v>1</v>
      </c>
      <c r="T880" t="s">
        <v>72</v>
      </c>
    </row>
    <row r="881" spans="1:20" customFormat="1" ht="15" x14ac:dyDescent="0.25">
      <c r="A881" t="s">
        <v>35</v>
      </c>
      <c r="B881" t="s">
        <v>4042</v>
      </c>
      <c r="C881" t="str">
        <f>"A0191827"</f>
        <v>A0191827</v>
      </c>
      <c r="D881" t="s">
        <v>4047</v>
      </c>
      <c r="E881" t="s">
        <v>4048</v>
      </c>
      <c r="F881" t="s">
        <v>4049</v>
      </c>
      <c r="G881" t="s">
        <v>880</v>
      </c>
      <c r="H881">
        <v>37828</v>
      </c>
      <c r="I881" t="s">
        <v>30</v>
      </c>
      <c r="J881" t="s">
        <v>41</v>
      </c>
      <c r="K881" t="s">
        <v>461</v>
      </c>
      <c r="Q881">
        <v>0</v>
      </c>
      <c r="R881">
        <v>0</v>
      </c>
      <c r="S881">
        <v>1</v>
      </c>
      <c r="T881" t="s">
        <v>72</v>
      </c>
    </row>
    <row r="882" spans="1:20" customFormat="1" ht="15" x14ac:dyDescent="0.25">
      <c r="A882" t="s">
        <v>35</v>
      </c>
      <c r="B882" t="s">
        <v>4042</v>
      </c>
      <c r="C882" t="str">
        <f>"A0191826"</f>
        <v>A0191826</v>
      </c>
      <c r="D882" t="s">
        <v>4050</v>
      </c>
      <c r="E882" t="s">
        <v>4051</v>
      </c>
      <c r="F882" t="s">
        <v>1420</v>
      </c>
      <c r="G882" t="s">
        <v>880</v>
      </c>
      <c r="H882">
        <v>37212</v>
      </c>
      <c r="I882" t="s">
        <v>30</v>
      </c>
      <c r="J882" t="s">
        <v>41</v>
      </c>
      <c r="K882" t="s">
        <v>461</v>
      </c>
      <c r="Q882">
        <v>0</v>
      </c>
      <c r="R882">
        <v>0</v>
      </c>
      <c r="S882">
        <v>1</v>
      </c>
      <c r="T882" t="s">
        <v>72</v>
      </c>
    </row>
    <row r="883" spans="1:20" customFormat="1" ht="15" x14ac:dyDescent="0.25">
      <c r="A883" t="s">
        <v>35</v>
      </c>
      <c r="B883" t="s">
        <v>4042</v>
      </c>
      <c r="C883" t="str">
        <f>"A0191825"</f>
        <v>A0191825</v>
      </c>
      <c r="D883" t="s">
        <v>4052</v>
      </c>
      <c r="E883" t="s">
        <v>4053</v>
      </c>
      <c r="F883" t="s">
        <v>4054</v>
      </c>
      <c r="G883" t="s">
        <v>880</v>
      </c>
      <c r="H883">
        <v>37129</v>
      </c>
      <c r="I883" t="s">
        <v>30</v>
      </c>
      <c r="J883" t="s">
        <v>41</v>
      </c>
      <c r="K883" t="s">
        <v>461</v>
      </c>
      <c r="Q883">
        <v>0</v>
      </c>
      <c r="R883">
        <v>0</v>
      </c>
      <c r="S883">
        <v>1</v>
      </c>
      <c r="T883" t="s">
        <v>72</v>
      </c>
    </row>
    <row r="884" spans="1:20" customFormat="1" ht="15" x14ac:dyDescent="0.25">
      <c r="A884" t="s">
        <v>35</v>
      </c>
      <c r="B884" t="s">
        <v>4042</v>
      </c>
      <c r="C884" t="str">
        <f>"A0191824"</f>
        <v>A0191824</v>
      </c>
      <c r="D884" t="s">
        <v>4055</v>
      </c>
      <c r="E884" t="s">
        <v>4056</v>
      </c>
      <c r="F884" t="s">
        <v>4057</v>
      </c>
      <c r="G884" t="s">
        <v>81</v>
      </c>
      <c r="H884">
        <v>32901</v>
      </c>
      <c r="I884" t="s">
        <v>30</v>
      </c>
      <c r="J884" t="s">
        <v>41</v>
      </c>
      <c r="K884" t="s">
        <v>461</v>
      </c>
      <c r="Q884">
        <v>0</v>
      </c>
      <c r="R884">
        <v>0</v>
      </c>
      <c r="S884">
        <v>1</v>
      </c>
      <c r="T884" t="s">
        <v>72</v>
      </c>
    </row>
    <row r="885" spans="1:20" customFormat="1" ht="15" x14ac:dyDescent="0.25">
      <c r="A885" t="s">
        <v>35</v>
      </c>
      <c r="B885" t="s">
        <v>4042</v>
      </c>
      <c r="C885" t="str">
        <f>"A0191823"</f>
        <v>A0191823</v>
      </c>
      <c r="D885" t="s">
        <v>4058</v>
      </c>
      <c r="E885" t="s">
        <v>4059</v>
      </c>
      <c r="F885" t="s">
        <v>839</v>
      </c>
      <c r="G885" t="s">
        <v>840</v>
      </c>
      <c r="H885">
        <v>40218</v>
      </c>
      <c r="I885" t="s">
        <v>30</v>
      </c>
      <c r="J885" t="s">
        <v>41</v>
      </c>
      <c r="K885" t="s">
        <v>461</v>
      </c>
      <c r="Q885">
        <v>0</v>
      </c>
      <c r="R885">
        <v>0</v>
      </c>
      <c r="S885">
        <v>1</v>
      </c>
      <c r="T885" t="s">
        <v>72</v>
      </c>
    </row>
    <row r="886" spans="1:20" customFormat="1" ht="15" x14ac:dyDescent="0.25">
      <c r="A886" t="s">
        <v>35</v>
      </c>
      <c r="B886" t="s">
        <v>4042</v>
      </c>
      <c r="C886" t="str">
        <f>"A0191822"</f>
        <v>A0191822</v>
      </c>
      <c r="D886" t="s">
        <v>4060</v>
      </c>
      <c r="E886" t="s">
        <v>4061</v>
      </c>
      <c r="F886" t="s">
        <v>1689</v>
      </c>
      <c r="G886" t="s">
        <v>840</v>
      </c>
      <c r="H886">
        <v>40503</v>
      </c>
      <c r="I886" t="s">
        <v>30</v>
      </c>
      <c r="J886" t="s">
        <v>41</v>
      </c>
      <c r="K886" t="s">
        <v>461</v>
      </c>
      <c r="Q886">
        <v>0</v>
      </c>
      <c r="R886">
        <v>0</v>
      </c>
      <c r="S886">
        <v>1</v>
      </c>
      <c r="T886" t="s">
        <v>72</v>
      </c>
    </row>
    <row r="887" spans="1:20" customFormat="1" ht="15" x14ac:dyDescent="0.25">
      <c r="A887" t="s">
        <v>35</v>
      </c>
      <c r="B887" t="s">
        <v>4042</v>
      </c>
      <c r="C887" t="str">
        <f>"A0191821"</f>
        <v>A0191821</v>
      </c>
      <c r="D887" t="s">
        <v>4062</v>
      </c>
      <c r="E887" t="s">
        <v>4063</v>
      </c>
      <c r="F887" t="s">
        <v>3657</v>
      </c>
      <c r="G887" t="s">
        <v>880</v>
      </c>
      <c r="H887">
        <v>37920</v>
      </c>
      <c r="I887" t="s">
        <v>30</v>
      </c>
      <c r="J887" t="s">
        <v>41</v>
      </c>
      <c r="K887" t="s">
        <v>461</v>
      </c>
      <c r="Q887">
        <v>0</v>
      </c>
      <c r="R887">
        <v>0</v>
      </c>
      <c r="S887">
        <v>1</v>
      </c>
      <c r="T887" t="s">
        <v>72</v>
      </c>
    </row>
    <row r="888" spans="1:20" customFormat="1" ht="15" x14ac:dyDescent="0.25">
      <c r="A888" t="s">
        <v>35</v>
      </c>
      <c r="B888" t="s">
        <v>4042</v>
      </c>
      <c r="C888" t="str">
        <f>"A0191820"</f>
        <v>A0191820</v>
      </c>
      <c r="D888" t="s">
        <v>4064</v>
      </c>
      <c r="E888" t="s">
        <v>4065</v>
      </c>
      <c r="F888" t="s">
        <v>4066</v>
      </c>
      <c r="G888" t="s">
        <v>81</v>
      </c>
      <c r="H888">
        <v>32548</v>
      </c>
      <c r="I888" t="s">
        <v>30</v>
      </c>
      <c r="J888" t="s">
        <v>41</v>
      </c>
      <c r="K888" t="s">
        <v>461</v>
      </c>
      <c r="Q888">
        <v>0</v>
      </c>
      <c r="R888">
        <v>0</v>
      </c>
      <c r="S888">
        <v>1</v>
      </c>
      <c r="T888" t="s">
        <v>72</v>
      </c>
    </row>
    <row r="889" spans="1:20" customFormat="1" ht="15" x14ac:dyDescent="0.25">
      <c r="A889" t="s">
        <v>35</v>
      </c>
      <c r="B889" t="s">
        <v>4042</v>
      </c>
      <c r="C889" t="str">
        <f>"A0191819"</f>
        <v>A0191819</v>
      </c>
      <c r="D889" t="s">
        <v>4067</v>
      </c>
      <c r="E889" t="s">
        <v>4068</v>
      </c>
      <c r="F889" t="s">
        <v>4069</v>
      </c>
      <c r="G889" t="s">
        <v>840</v>
      </c>
      <c r="H889">
        <v>42701</v>
      </c>
      <c r="I889" t="s">
        <v>30</v>
      </c>
      <c r="J889" t="s">
        <v>41</v>
      </c>
      <c r="K889" t="s">
        <v>461</v>
      </c>
      <c r="Q889">
        <v>0</v>
      </c>
      <c r="R889">
        <v>0</v>
      </c>
      <c r="S889">
        <v>1</v>
      </c>
      <c r="T889" t="s">
        <v>72</v>
      </c>
    </row>
    <row r="890" spans="1:20" customFormat="1" ht="15" x14ac:dyDescent="0.25">
      <c r="A890" t="s">
        <v>35</v>
      </c>
      <c r="B890" t="s">
        <v>4042</v>
      </c>
      <c r="C890" t="str">
        <f>"A0191818"</f>
        <v>A0191818</v>
      </c>
      <c r="D890" t="s">
        <v>4070</v>
      </c>
      <c r="E890" t="s">
        <v>4071</v>
      </c>
      <c r="F890" t="s">
        <v>1770</v>
      </c>
      <c r="G890" t="s">
        <v>840</v>
      </c>
      <c r="H890">
        <v>42101</v>
      </c>
      <c r="I890" t="s">
        <v>30</v>
      </c>
      <c r="J890" t="s">
        <v>41</v>
      </c>
      <c r="K890" t="s">
        <v>461</v>
      </c>
      <c r="Q890">
        <v>0</v>
      </c>
      <c r="R890">
        <v>0</v>
      </c>
      <c r="S890">
        <v>1</v>
      </c>
      <c r="T890" t="s">
        <v>72</v>
      </c>
    </row>
    <row r="891" spans="1:20" customFormat="1" ht="15" x14ac:dyDescent="0.25">
      <c r="A891" t="s">
        <v>35</v>
      </c>
      <c r="B891" t="s">
        <v>4042</v>
      </c>
      <c r="C891" t="str">
        <f>"A0191817"</f>
        <v>A0191817</v>
      </c>
      <c r="D891" t="s">
        <v>4072</v>
      </c>
      <c r="E891" t="s">
        <v>4073</v>
      </c>
      <c r="F891" t="s">
        <v>1770</v>
      </c>
      <c r="G891" t="s">
        <v>840</v>
      </c>
      <c r="H891">
        <v>42104</v>
      </c>
      <c r="I891" t="s">
        <v>30</v>
      </c>
      <c r="J891" t="s">
        <v>41</v>
      </c>
      <c r="K891" t="s">
        <v>461</v>
      </c>
      <c r="Q891">
        <v>0</v>
      </c>
      <c r="R891">
        <v>0</v>
      </c>
      <c r="S891">
        <v>1</v>
      </c>
      <c r="T891" t="s">
        <v>72</v>
      </c>
    </row>
    <row r="892" spans="1:20" customFormat="1" ht="15" x14ac:dyDescent="0.25">
      <c r="A892" t="s">
        <v>35</v>
      </c>
      <c r="B892" t="s">
        <v>4042</v>
      </c>
      <c r="C892" t="str">
        <f>"A0191816"</f>
        <v>A0191816</v>
      </c>
      <c r="D892" t="s">
        <v>4042</v>
      </c>
      <c r="E892" t="s">
        <v>4074</v>
      </c>
      <c r="F892" t="s">
        <v>4075</v>
      </c>
      <c r="G892" t="s">
        <v>880</v>
      </c>
      <c r="H892">
        <v>37027</v>
      </c>
      <c r="I892" t="s">
        <v>30</v>
      </c>
      <c r="J892" t="s">
        <v>41</v>
      </c>
      <c r="K892" t="s">
        <v>290</v>
      </c>
      <c r="Q892">
        <v>0</v>
      </c>
      <c r="R892">
        <v>0</v>
      </c>
      <c r="S892">
        <v>0</v>
      </c>
      <c r="T892" t="s">
        <v>72</v>
      </c>
    </row>
    <row r="893" spans="1:20" customFormat="1" ht="15" x14ac:dyDescent="0.25">
      <c r="A893" t="s">
        <v>35</v>
      </c>
      <c r="B893" t="s">
        <v>61</v>
      </c>
      <c r="C893" t="str">
        <f>"A0191815"</f>
        <v>A0191815</v>
      </c>
      <c r="D893" t="s">
        <v>4076</v>
      </c>
      <c r="E893" t="s">
        <v>4077</v>
      </c>
      <c r="F893" t="s">
        <v>4078</v>
      </c>
      <c r="G893" t="s">
        <v>65</v>
      </c>
      <c r="H893">
        <v>44125</v>
      </c>
      <c r="I893" t="s">
        <v>30</v>
      </c>
      <c r="J893" t="s">
        <v>41</v>
      </c>
      <c r="K893" t="s">
        <v>59</v>
      </c>
      <c r="Q893">
        <v>0</v>
      </c>
      <c r="R893">
        <v>0</v>
      </c>
      <c r="S893">
        <v>0</v>
      </c>
      <c r="T893" t="s">
        <v>4079</v>
      </c>
    </row>
    <row r="894" spans="1:20" customFormat="1" ht="15" x14ac:dyDescent="0.25">
      <c r="A894" t="s">
        <v>35</v>
      </c>
      <c r="B894" t="s">
        <v>61</v>
      </c>
      <c r="C894" t="str">
        <f>"A0191814"</f>
        <v>A0191814</v>
      </c>
      <c r="D894" t="s">
        <v>4080</v>
      </c>
      <c r="E894" t="s">
        <v>4081</v>
      </c>
      <c r="F894" t="s">
        <v>4082</v>
      </c>
      <c r="G894" t="s">
        <v>123</v>
      </c>
      <c r="H894">
        <v>21210</v>
      </c>
      <c r="I894" t="s">
        <v>30</v>
      </c>
      <c r="J894" t="s">
        <v>41</v>
      </c>
      <c r="K894" t="s">
        <v>112</v>
      </c>
      <c r="Q894">
        <v>0</v>
      </c>
      <c r="R894">
        <v>0</v>
      </c>
      <c r="S894">
        <v>0</v>
      </c>
      <c r="T894" t="s">
        <v>4083</v>
      </c>
    </row>
    <row r="895" spans="1:20" customFormat="1" ht="15" x14ac:dyDescent="0.25">
      <c r="A895" t="s">
        <v>35</v>
      </c>
      <c r="B895" t="s">
        <v>61</v>
      </c>
      <c r="C895" t="str">
        <f>"A0191813"</f>
        <v>A0191813</v>
      </c>
      <c r="D895" t="s">
        <v>4084</v>
      </c>
      <c r="E895" t="s">
        <v>4085</v>
      </c>
      <c r="F895" t="s">
        <v>4086</v>
      </c>
      <c r="G895" t="s">
        <v>29</v>
      </c>
      <c r="H895">
        <v>20151</v>
      </c>
      <c r="I895" t="s">
        <v>30</v>
      </c>
      <c r="J895" t="s">
        <v>41</v>
      </c>
      <c r="K895" t="s">
        <v>42</v>
      </c>
      <c r="Q895">
        <v>0</v>
      </c>
      <c r="R895">
        <v>0</v>
      </c>
      <c r="S895">
        <v>0</v>
      </c>
      <c r="T895" t="s">
        <v>4087</v>
      </c>
    </row>
    <row r="896" spans="1:20" customFormat="1" ht="15" x14ac:dyDescent="0.25">
      <c r="A896" t="s">
        <v>35</v>
      </c>
      <c r="B896" t="s">
        <v>106</v>
      </c>
      <c r="C896" t="str">
        <f>"A0191812"</f>
        <v>A0191812</v>
      </c>
      <c r="D896" t="s">
        <v>4088</v>
      </c>
      <c r="E896" t="s">
        <v>4089</v>
      </c>
      <c r="F896" t="s">
        <v>4090</v>
      </c>
      <c r="G896" t="s">
        <v>117</v>
      </c>
      <c r="H896">
        <v>49913</v>
      </c>
      <c r="I896" t="s">
        <v>30</v>
      </c>
      <c r="J896" t="s">
        <v>111</v>
      </c>
      <c r="K896" t="s">
        <v>112</v>
      </c>
      <c r="Q896">
        <v>0</v>
      </c>
      <c r="R896">
        <v>0</v>
      </c>
      <c r="S896">
        <v>0</v>
      </c>
      <c r="T896" t="s">
        <v>4091</v>
      </c>
    </row>
    <row r="897" spans="1:20" customFormat="1" ht="15" x14ac:dyDescent="0.25">
      <c r="A897" t="s">
        <v>35</v>
      </c>
      <c r="B897" t="s">
        <v>106</v>
      </c>
      <c r="C897" t="str">
        <f>"A0191811"</f>
        <v>A0191811</v>
      </c>
      <c r="D897" t="s">
        <v>4092</v>
      </c>
      <c r="E897" t="s">
        <v>4093</v>
      </c>
      <c r="F897" t="s">
        <v>4094</v>
      </c>
      <c r="G897" t="s">
        <v>52</v>
      </c>
      <c r="H897">
        <v>78624</v>
      </c>
      <c r="I897" t="s">
        <v>30</v>
      </c>
      <c r="J897" t="s">
        <v>111</v>
      </c>
      <c r="K897" t="s">
        <v>112</v>
      </c>
      <c r="Q897">
        <v>0</v>
      </c>
      <c r="R897">
        <v>0</v>
      </c>
      <c r="S897">
        <v>0</v>
      </c>
      <c r="T897" t="s">
        <v>4095</v>
      </c>
    </row>
    <row r="898" spans="1:20" customFormat="1" ht="15" x14ac:dyDescent="0.25">
      <c r="A898" t="s">
        <v>35</v>
      </c>
      <c r="B898" t="s">
        <v>106</v>
      </c>
      <c r="C898" t="str">
        <f>"A0191810"</f>
        <v>A0191810</v>
      </c>
      <c r="D898" t="s">
        <v>4096</v>
      </c>
      <c r="E898" t="s">
        <v>4097</v>
      </c>
      <c r="F898" t="s">
        <v>4098</v>
      </c>
      <c r="G898" t="s">
        <v>29</v>
      </c>
      <c r="H898">
        <v>22664</v>
      </c>
      <c r="I898" t="s">
        <v>30</v>
      </c>
      <c r="J898" t="s">
        <v>111</v>
      </c>
      <c r="K898" t="s">
        <v>112</v>
      </c>
      <c r="Q898">
        <v>0</v>
      </c>
      <c r="R898">
        <v>0</v>
      </c>
      <c r="S898">
        <v>0</v>
      </c>
      <c r="T898" t="s">
        <v>4099</v>
      </c>
    </row>
    <row r="899" spans="1:20" customFormat="1" ht="15" x14ac:dyDescent="0.25">
      <c r="A899" t="s">
        <v>35</v>
      </c>
      <c r="B899" t="s">
        <v>119</v>
      </c>
      <c r="C899" t="str">
        <f>"A0191809"</f>
        <v>A0191809</v>
      </c>
      <c r="D899" t="s">
        <v>4100</v>
      </c>
      <c r="E899" t="s">
        <v>4101</v>
      </c>
      <c r="F899" t="s">
        <v>510</v>
      </c>
      <c r="G899" t="s">
        <v>507</v>
      </c>
      <c r="H899">
        <v>25304</v>
      </c>
      <c r="I899" t="s">
        <v>30</v>
      </c>
      <c r="J899" t="s">
        <v>41</v>
      </c>
      <c r="K899" t="s">
        <v>59</v>
      </c>
      <c r="Q899">
        <v>0</v>
      </c>
      <c r="R899">
        <v>0</v>
      </c>
      <c r="S899">
        <v>196</v>
      </c>
      <c r="T899" t="s">
        <v>124</v>
      </c>
    </row>
    <row r="900" spans="1:20" customFormat="1" ht="15" x14ac:dyDescent="0.25">
      <c r="A900" t="s">
        <v>35</v>
      </c>
      <c r="B900" t="s">
        <v>119</v>
      </c>
      <c r="C900" t="str">
        <f>"A0191808"</f>
        <v>A0191808</v>
      </c>
      <c r="D900" t="s">
        <v>4102</v>
      </c>
      <c r="E900" t="s">
        <v>4103</v>
      </c>
      <c r="F900" t="s">
        <v>4104</v>
      </c>
      <c r="G900" t="s">
        <v>103</v>
      </c>
      <c r="H900">
        <v>15661</v>
      </c>
      <c r="I900" t="s">
        <v>30</v>
      </c>
      <c r="J900" t="s">
        <v>41</v>
      </c>
      <c r="K900" t="s">
        <v>59</v>
      </c>
      <c r="Q900">
        <v>0</v>
      </c>
      <c r="R900">
        <v>0</v>
      </c>
      <c r="S900">
        <v>193</v>
      </c>
      <c r="T900" t="s">
        <v>4105</v>
      </c>
    </row>
    <row r="901" spans="1:20" customFormat="1" ht="15" x14ac:dyDescent="0.25">
      <c r="A901" t="s">
        <v>35</v>
      </c>
      <c r="B901" t="s">
        <v>119</v>
      </c>
      <c r="C901" t="str">
        <f>"A0191807"</f>
        <v>A0191807</v>
      </c>
      <c r="D901" t="s">
        <v>4106</v>
      </c>
      <c r="E901" t="s">
        <v>4107</v>
      </c>
      <c r="F901" t="s">
        <v>4108</v>
      </c>
      <c r="G901" t="s">
        <v>29</v>
      </c>
      <c r="H901">
        <v>24014</v>
      </c>
      <c r="I901" t="s">
        <v>30</v>
      </c>
      <c r="J901" t="s">
        <v>41</v>
      </c>
      <c r="K901" t="s">
        <v>59</v>
      </c>
      <c r="Q901">
        <v>0</v>
      </c>
      <c r="R901">
        <v>0</v>
      </c>
      <c r="S901">
        <v>0</v>
      </c>
      <c r="T901" t="s">
        <v>124</v>
      </c>
    </row>
    <row r="902" spans="1:20" customFormat="1" ht="15" x14ac:dyDescent="0.25">
      <c r="A902" t="s">
        <v>35</v>
      </c>
      <c r="B902" t="s">
        <v>4109</v>
      </c>
      <c r="C902" t="str">
        <f>"A0191806"</f>
        <v>A0191806</v>
      </c>
      <c r="D902" t="s">
        <v>4110</v>
      </c>
      <c r="E902" t="s">
        <v>4111</v>
      </c>
      <c r="F902" t="s">
        <v>4112</v>
      </c>
      <c r="G902" t="s">
        <v>71</v>
      </c>
      <c r="H902" t="s">
        <v>4112</v>
      </c>
      <c r="I902" t="s">
        <v>30</v>
      </c>
      <c r="J902" t="s">
        <v>41</v>
      </c>
      <c r="K902" t="s">
        <v>4020</v>
      </c>
      <c r="Q902">
        <v>0</v>
      </c>
      <c r="R902">
        <v>0</v>
      </c>
      <c r="S902">
        <v>0</v>
      </c>
      <c r="T902" t="s">
        <v>72</v>
      </c>
    </row>
    <row r="903" spans="1:20" customFormat="1" ht="15" x14ac:dyDescent="0.25">
      <c r="A903" t="s">
        <v>35</v>
      </c>
      <c r="B903" t="s">
        <v>4109</v>
      </c>
      <c r="C903" t="str">
        <f>"A0191805"</f>
        <v>A0191805</v>
      </c>
      <c r="D903" t="s">
        <v>4113</v>
      </c>
      <c r="E903" t="s">
        <v>4111</v>
      </c>
      <c r="F903" t="s">
        <v>4112</v>
      </c>
      <c r="G903" t="s">
        <v>71</v>
      </c>
      <c r="H903">
        <v>53202</v>
      </c>
      <c r="I903" t="s">
        <v>30</v>
      </c>
      <c r="J903" t="s">
        <v>41</v>
      </c>
      <c r="K903" t="s">
        <v>418</v>
      </c>
      <c r="Q903">
        <v>0</v>
      </c>
      <c r="R903">
        <v>0</v>
      </c>
      <c r="S903">
        <v>0</v>
      </c>
      <c r="T903" t="s">
        <v>72</v>
      </c>
    </row>
    <row r="904" spans="1:20" customFormat="1" ht="15" x14ac:dyDescent="0.25">
      <c r="A904" t="s">
        <v>35</v>
      </c>
      <c r="B904" t="s">
        <v>4109</v>
      </c>
      <c r="C904" t="str">
        <f>"A0191804"</f>
        <v>A0191804</v>
      </c>
      <c r="D904" t="s">
        <v>4114</v>
      </c>
      <c r="E904" t="s">
        <v>4115</v>
      </c>
      <c r="F904" t="s">
        <v>4116</v>
      </c>
      <c r="G904" t="s">
        <v>615</v>
      </c>
      <c r="H904">
        <v>6905</v>
      </c>
      <c r="I904" t="s">
        <v>30</v>
      </c>
      <c r="J904" t="s">
        <v>41</v>
      </c>
      <c r="K904" t="s">
        <v>418</v>
      </c>
      <c r="Q904">
        <v>0</v>
      </c>
      <c r="R904">
        <v>0</v>
      </c>
      <c r="S904">
        <v>12</v>
      </c>
      <c r="T904" t="s">
        <v>72</v>
      </c>
    </row>
    <row r="905" spans="1:20" customFormat="1" ht="15" x14ac:dyDescent="0.25">
      <c r="A905" t="s">
        <v>35</v>
      </c>
      <c r="B905" t="s">
        <v>4109</v>
      </c>
      <c r="C905" t="str">
        <f>"A0191803"</f>
        <v>A0191803</v>
      </c>
      <c r="D905" t="s">
        <v>4117</v>
      </c>
      <c r="E905" t="s">
        <v>4118</v>
      </c>
      <c r="F905" t="s">
        <v>4119</v>
      </c>
      <c r="G905" t="s">
        <v>52</v>
      </c>
      <c r="H905">
        <v>78620</v>
      </c>
      <c r="I905" t="s">
        <v>30</v>
      </c>
      <c r="J905" t="s">
        <v>41</v>
      </c>
      <c r="K905" t="s">
        <v>418</v>
      </c>
      <c r="Q905">
        <v>0</v>
      </c>
      <c r="R905">
        <v>0</v>
      </c>
      <c r="S905">
        <v>14</v>
      </c>
      <c r="T905" t="s">
        <v>72</v>
      </c>
    </row>
    <row r="906" spans="1:20" customFormat="1" ht="15" x14ac:dyDescent="0.25">
      <c r="A906" t="s">
        <v>35</v>
      </c>
      <c r="B906" t="s">
        <v>4120</v>
      </c>
      <c r="C906" t="str">
        <f>"A0191802"</f>
        <v>A0191802</v>
      </c>
      <c r="D906" t="s">
        <v>4121</v>
      </c>
      <c r="E906" t="s">
        <v>4122</v>
      </c>
      <c r="F906" t="s">
        <v>4123</v>
      </c>
      <c r="G906" t="s">
        <v>81</v>
      </c>
      <c r="H906">
        <v>33549</v>
      </c>
      <c r="I906" t="s">
        <v>30</v>
      </c>
      <c r="J906" t="s">
        <v>41</v>
      </c>
      <c r="K906" t="s">
        <v>59</v>
      </c>
      <c r="Q906">
        <v>0</v>
      </c>
      <c r="R906">
        <v>0</v>
      </c>
      <c r="S906">
        <v>0</v>
      </c>
      <c r="T906" t="s">
        <v>4124</v>
      </c>
    </row>
    <row r="907" spans="1:20" customFormat="1" ht="15" x14ac:dyDescent="0.25">
      <c r="A907" t="s">
        <v>24</v>
      </c>
      <c r="B907" t="s">
        <v>4125</v>
      </c>
      <c r="C907" t="str">
        <f>"A0155885"</f>
        <v>A0155885</v>
      </c>
      <c r="D907" t="s">
        <v>4126</v>
      </c>
      <c r="E907" t="s">
        <v>4127</v>
      </c>
      <c r="F907" t="s">
        <v>4128</v>
      </c>
      <c r="G907" t="s">
        <v>85</v>
      </c>
      <c r="H907">
        <v>71923</v>
      </c>
      <c r="I907" t="s">
        <v>30</v>
      </c>
      <c r="J907" t="s">
        <v>31</v>
      </c>
      <c r="K907" t="s">
        <v>32</v>
      </c>
      <c r="N907" t="s">
        <v>4129</v>
      </c>
      <c r="Q907">
        <v>0</v>
      </c>
      <c r="R907">
        <v>83</v>
      </c>
      <c r="S907">
        <v>0</v>
      </c>
      <c r="T907" t="s">
        <v>4130</v>
      </c>
    </row>
    <row r="908" spans="1:20" customFormat="1" ht="15" x14ac:dyDescent="0.25">
      <c r="A908" t="s">
        <v>35</v>
      </c>
      <c r="B908" t="s">
        <v>106</v>
      </c>
      <c r="C908" t="str">
        <f>"A0136572"</f>
        <v>A0136572</v>
      </c>
      <c r="D908" t="s">
        <v>4131</v>
      </c>
      <c r="E908" t="s">
        <v>4132</v>
      </c>
      <c r="F908" t="s">
        <v>4133</v>
      </c>
      <c r="G908" t="s">
        <v>52</v>
      </c>
      <c r="H908">
        <v>78737</v>
      </c>
      <c r="I908" t="s">
        <v>30</v>
      </c>
      <c r="J908" t="s">
        <v>111</v>
      </c>
      <c r="K908" t="s">
        <v>112</v>
      </c>
      <c r="Q908">
        <v>0</v>
      </c>
      <c r="R908">
        <v>0</v>
      </c>
      <c r="S908">
        <v>0</v>
      </c>
      <c r="T908" t="s">
        <v>4134</v>
      </c>
    </row>
    <row r="909" spans="1:20" customFormat="1" ht="15" x14ac:dyDescent="0.25">
      <c r="A909" t="s">
        <v>35</v>
      </c>
      <c r="B909" t="s">
        <v>4135</v>
      </c>
      <c r="C909" t="str">
        <f>"A0117707"</f>
        <v>A0117707</v>
      </c>
      <c r="D909" t="s">
        <v>4136</v>
      </c>
      <c r="E909" t="s">
        <v>4137</v>
      </c>
      <c r="F909" t="s">
        <v>4138</v>
      </c>
      <c r="G909" t="s">
        <v>197</v>
      </c>
      <c r="H909">
        <v>85364</v>
      </c>
      <c r="I909" t="s">
        <v>30</v>
      </c>
      <c r="J909" t="s">
        <v>41</v>
      </c>
      <c r="K909" t="s">
        <v>418</v>
      </c>
      <c r="Q909">
        <v>0</v>
      </c>
      <c r="R909">
        <v>143</v>
      </c>
      <c r="S909">
        <v>143</v>
      </c>
      <c r="T909" t="s">
        <v>4139</v>
      </c>
    </row>
    <row r="910" spans="1:20" hidden="1" x14ac:dyDescent="0.25">
      <c r="A910" s="3" t="s">
        <v>24</v>
      </c>
      <c r="B910" s="3" t="s">
        <v>4140</v>
      </c>
      <c r="C910" s="3" t="str">
        <f>"A0191796"</f>
        <v>A0191796</v>
      </c>
      <c r="D910" s="3" t="s">
        <v>4141</v>
      </c>
      <c r="E910" s="3" t="s">
        <v>4142</v>
      </c>
      <c r="F910" s="3" t="s">
        <v>4143</v>
      </c>
      <c r="H910" s="3">
        <v>2640</v>
      </c>
      <c r="I910" s="3" t="s">
        <v>4144</v>
      </c>
      <c r="J910" s="3" t="s">
        <v>206</v>
      </c>
      <c r="K910" s="3" t="s">
        <v>163</v>
      </c>
      <c r="N910" s="3" t="s">
        <v>4145</v>
      </c>
      <c r="Q910" s="3">
        <v>0</v>
      </c>
      <c r="R910" s="3">
        <v>98</v>
      </c>
      <c r="S910" s="3">
        <v>0</v>
      </c>
      <c r="T910" s="3" t="s">
        <v>4146</v>
      </c>
    </row>
    <row r="911" spans="1:20" customFormat="1" ht="15" x14ac:dyDescent="0.25">
      <c r="A911" t="s">
        <v>24</v>
      </c>
      <c r="B911" t="s">
        <v>10383</v>
      </c>
      <c r="C911" t="str">
        <f>"A0085495"</f>
        <v>A0085495</v>
      </c>
      <c r="D911" t="s">
        <v>10384</v>
      </c>
      <c r="E911" t="s">
        <v>10385</v>
      </c>
      <c r="F911" t="s">
        <v>853</v>
      </c>
      <c r="G911" t="s">
        <v>52</v>
      </c>
      <c r="H911">
        <v>76177</v>
      </c>
      <c r="I911" t="s">
        <v>30</v>
      </c>
      <c r="J911" t="s">
        <v>162</v>
      </c>
      <c r="K911" t="s">
        <v>1490</v>
      </c>
      <c r="N911" t="s">
        <v>10386</v>
      </c>
      <c r="P911" t="s">
        <v>3998</v>
      </c>
      <c r="Q911">
        <v>0</v>
      </c>
      <c r="R911">
        <v>286</v>
      </c>
      <c r="S911">
        <v>0</v>
      </c>
      <c r="T911" t="s">
        <v>10387</v>
      </c>
    </row>
    <row r="912" spans="1:20" customFormat="1" ht="15" x14ac:dyDescent="0.25">
      <c r="A912" t="s">
        <v>24</v>
      </c>
      <c r="B912" t="s">
        <v>193</v>
      </c>
      <c r="C912" t="str">
        <f>"A0096931"</f>
        <v>A0096931</v>
      </c>
      <c r="D912" t="s">
        <v>4152</v>
      </c>
      <c r="E912" t="s">
        <v>4153</v>
      </c>
      <c r="F912" t="s">
        <v>4154</v>
      </c>
      <c r="G912" t="s">
        <v>99</v>
      </c>
      <c r="H912">
        <v>12065</v>
      </c>
      <c r="I912" t="s">
        <v>30</v>
      </c>
      <c r="J912" t="s">
        <v>145</v>
      </c>
      <c r="K912" t="s">
        <v>1234</v>
      </c>
      <c r="N912" t="s">
        <v>4155</v>
      </c>
      <c r="Q912">
        <v>0</v>
      </c>
      <c r="R912">
        <v>61</v>
      </c>
      <c r="S912">
        <v>0</v>
      </c>
      <c r="T912" t="s">
        <v>4156</v>
      </c>
    </row>
    <row r="913" spans="1:20" customFormat="1" ht="15" x14ac:dyDescent="0.25">
      <c r="A913" t="s">
        <v>24</v>
      </c>
      <c r="B913" t="s">
        <v>1528</v>
      </c>
      <c r="C913" t="str">
        <f>"A0191793"</f>
        <v>A0191793</v>
      </c>
      <c r="D913" t="s">
        <v>4157</v>
      </c>
      <c r="E913" t="s">
        <v>4158</v>
      </c>
      <c r="F913" t="s">
        <v>4159</v>
      </c>
      <c r="G913" t="s">
        <v>289</v>
      </c>
      <c r="H913">
        <v>61611</v>
      </c>
      <c r="I913" t="s">
        <v>30</v>
      </c>
      <c r="J913" t="s">
        <v>1004</v>
      </c>
      <c r="K913" t="s">
        <v>163</v>
      </c>
      <c r="N913" t="s">
        <v>4160</v>
      </c>
      <c r="O913" t="s">
        <v>4161</v>
      </c>
      <c r="Q913">
        <v>0</v>
      </c>
      <c r="R913">
        <v>0</v>
      </c>
      <c r="S913">
        <v>0</v>
      </c>
      <c r="T913" t="s">
        <v>4162</v>
      </c>
    </row>
    <row r="914" spans="1:20" customFormat="1" ht="15" x14ac:dyDescent="0.25">
      <c r="A914" t="s">
        <v>24</v>
      </c>
      <c r="B914" t="s">
        <v>1548</v>
      </c>
      <c r="C914" t="str">
        <f>"A0085727"</f>
        <v>A0085727</v>
      </c>
      <c r="D914" t="s">
        <v>10388</v>
      </c>
      <c r="E914" t="s">
        <v>10389</v>
      </c>
      <c r="F914" t="s">
        <v>10390</v>
      </c>
      <c r="G914" t="s">
        <v>190</v>
      </c>
      <c r="H914">
        <v>80112</v>
      </c>
      <c r="I914" t="s">
        <v>30</v>
      </c>
      <c r="J914" t="s">
        <v>162</v>
      </c>
      <c r="K914" t="s">
        <v>1502</v>
      </c>
      <c r="N914" t="s">
        <v>10391</v>
      </c>
      <c r="O914" t="s">
        <v>10392</v>
      </c>
      <c r="Q914">
        <v>0</v>
      </c>
      <c r="R914">
        <v>263</v>
      </c>
      <c r="S914">
        <v>0</v>
      </c>
      <c r="T914" t="s">
        <v>10393</v>
      </c>
    </row>
    <row r="915" spans="1:20" customFormat="1" ht="15" x14ac:dyDescent="0.25">
      <c r="A915" t="s">
        <v>24</v>
      </c>
      <c r="B915" t="s">
        <v>1528</v>
      </c>
      <c r="C915" t="str">
        <f>"A0191791"</f>
        <v>A0191791</v>
      </c>
      <c r="D915" t="s">
        <v>4166</v>
      </c>
      <c r="E915" t="s">
        <v>4167</v>
      </c>
      <c r="F915" t="s">
        <v>4168</v>
      </c>
      <c r="G915" t="s">
        <v>76</v>
      </c>
      <c r="H915">
        <v>98595</v>
      </c>
      <c r="I915" t="s">
        <v>30</v>
      </c>
      <c r="J915" t="s">
        <v>31</v>
      </c>
      <c r="K915" t="s">
        <v>163</v>
      </c>
      <c r="N915" t="s">
        <v>4169</v>
      </c>
      <c r="Q915">
        <v>0</v>
      </c>
      <c r="R915">
        <v>43</v>
      </c>
      <c r="S915">
        <v>0</v>
      </c>
      <c r="T915" t="s">
        <v>4170</v>
      </c>
    </row>
    <row r="916" spans="1:20" customFormat="1" ht="15" x14ac:dyDescent="0.25">
      <c r="A916" t="s">
        <v>24</v>
      </c>
      <c r="B916" t="s">
        <v>1528</v>
      </c>
      <c r="C916" t="str">
        <f>"A0191790"</f>
        <v>A0191790</v>
      </c>
      <c r="D916" t="s">
        <v>4171</v>
      </c>
      <c r="E916" t="s">
        <v>4172</v>
      </c>
      <c r="F916" t="s">
        <v>4173</v>
      </c>
      <c r="G916" t="s">
        <v>76</v>
      </c>
      <c r="H916">
        <v>98826</v>
      </c>
      <c r="I916" t="s">
        <v>30</v>
      </c>
      <c r="J916" t="s">
        <v>31</v>
      </c>
      <c r="K916" t="s">
        <v>163</v>
      </c>
      <c r="N916" t="s">
        <v>4174</v>
      </c>
      <c r="Q916">
        <v>0</v>
      </c>
      <c r="R916">
        <v>26</v>
      </c>
      <c r="S916">
        <v>0</v>
      </c>
      <c r="T916" t="s">
        <v>4175</v>
      </c>
    </row>
    <row r="917" spans="1:20" customFormat="1" ht="15" x14ac:dyDescent="0.25">
      <c r="A917" t="s">
        <v>24</v>
      </c>
      <c r="B917" t="s">
        <v>1528</v>
      </c>
      <c r="C917" t="str">
        <f>"A0191789"</f>
        <v>A0191789</v>
      </c>
      <c r="D917" t="s">
        <v>4176</v>
      </c>
      <c r="E917" t="s">
        <v>4177</v>
      </c>
      <c r="F917" t="s">
        <v>4178</v>
      </c>
      <c r="G917" t="s">
        <v>110</v>
      </c>
      <c r="H917">
        <v>96067</v>
      </c>
      <c r="I917" t="s">
        <v>30</v>
      </c>
      <c r="J917" t="s">
        <v>31</v>
      </c>
      <c r="K917" t="s">
        <v>163</v>
      </c>
      <c r="N917" t="s">
        <v>4179</v>
      </c>
      <c r="Q917">
        <v>0</v>
      </c>
      <c r="R917">
        <v>29</v>
      </c>
      <c r="S917">
        <v>0</v>
      </c>
      <c r="T917" t="s">
        <v>4180</v>
      </c>
    </row>
    <row r="918" spans="1:20" customFormat="1" ht="15" x14ac:dyDescent="0.25">
      <c r="A918" t="s">
        <v>24</v>
      </c>
      <c r="B918" t="s">
        <v>1528</v>
      </c>
      <c r="C918" t="str">
        <f>"A0191788"</f>
        <v>A0191788</v>
      </c>
      <c r="D918" t="s">
        <v>4181</v>
      </c>
      <c r="E918" t="s">
        <v>4182</v>
      </c>
      <c r="F918" t="s">
        <v>4173</v>
      </c>
      <c r="G918" t="s">
        <v>76</v>
      </c>
      <c r="H918">
        <v>98826</v>
      </c>
      <c r="I918" t="s">
        <v>30</v>
      </c>
      <c r="J918" t="s">
        <v>31</v>
      </c>
      <c r="K918" t="s">
        <v>163</v>
      </c>
      <c r="N918" t="s">
        <v>4174</v>
      </c>
      <c r="Q918">
        <v>0</v>
      </c>
      <c r="R918">
        <v>8</v>
      </c>
      <c r="S918">
        <v>0</v>
      </c>
      <c r="T918" t="s">
        <v>4183</v>
      </c>
    </row>
    <row r="919" spans="1:20" customFormat="1" ht="15" x14ac:dyDescent="0.25">
      <c r="A919" t="s">
        <v>35</v>
      </c>
      <c r="B919" t="s">
        <v>1414</v>
      </c>
      <c r="C919" t="str">
        <f>"A0119001"</f>
        <v>A0119001</v>
      </c>
      <c r="D919" t="s">
        <v>4184</v>
      </c>
      <c r="E919" t="s">
        <v>4185</v>
      </c>
      <c r="F919" t="s">
        <v>1281</v>
      </c>
      <c r="G919" t="s">
        <v>110</v>
      </c>
      <c r="H919">
        <v>92201</v>
      </c>
      <c r="I919" t="s">
        <v>30</v>
      </c>
      <c r="J919" t="s">
        <v>41</v>
      </c>
      <c r="K919" t="s">
        <v>418</v>
      </c>
      <c r="Q919">
        <v>0</v>
      </c>
      <c r="R919">
        <v>56</v>
      </c>
      <c r="S919">
        <v>49</v>
      </c>
      <c r="T919" t="s">
        <v>4186</v>
      </c>
    </row>
    <row r="920" spans="1:20" customFormat="1" ht="15" x14ac:dyDescent="0.25">
      <c r="A920" t="s">
        <v>24</v>
      </c>
      <c r="B920" t="s">
        <v>1528</v>
      </c>
      <c r="C920" t="str">
        <f>"A0191787"</f>
        <v>A0191787</v>
      </c>
      <c r="D920" t="s">
        <v>4187</v>
      </c>
      <c r="E920" t="s">
        <v>4188</v>
      </c>
      <c r="F920" t="s">
        <v>4189</v>
      </c>
      <c r="G920" t="s">
        <v>47</v>
      </c>
      <c r="H920">
        <v>97702</v>
      </c>
      <c r="I920" t="s">
        <v>30</v>
      </c>
      <c r="J920" t="s">
        <v>31</v>
      </c>
      <c r="K920" t="s">
        <v>163</v>
      </c>
      <c r="N920" t="s">
        <v>4190</v>
      </c>
      <c r="Q920">
        <v>0</v>
      </c>
      <c r="R920">
        <v>79</v>
      </c>
      <c r="S920">
        <v>0</v>
      </c>
      <c r="T920" t="s">
        <v>4191</v>
      </c>
    </row>
    <row r="921" spans="1:20" customFormat="1" ht="15" x14ac:dyDescent="0.25">
      <c r="A921" t="s">
        <v>24</v>
      </c>
      <c r="B921" t="s">
        <v>1528</v>
      </c>
      <c r="C921" t="str">
        <f>"A0191786"</f>
        <v>A0191786</v>
      </c>
      <c r="D921" t="s">
        <v>4192</v>
      </c>
      <c r="E921" t="s">
        <v>4193</v>
      </c>
      <c r="F921" t="s">
        <v>2543</v>
      </c>
      <c r="G921" t="s">
        <v>190</v>
      </c>
      <c r="H921">
        <v>80424</v>
      </c>
      <c r="I921" t="s">
        <v>30</v>
      </c>
      <c r="J921" t="s">
        <v>31</v>
      </c>
      <c r="K921" t="s">
        <v>163</v>
      </c>
      <c r="N921" t="s">
        <v>4194</v>
      </c>
      <c r="Q921">
        <v>0</v>
      </c>
      <c r="R921">
        <v>38</v>
      </c>
      <c r="S921">
        <v>0</v>
      </c>
      <c r="T921" t="s">
        <v>4195</v>
      </c>
    </row>
    <row r="922" spans="1:20" customFormat="1" ht="15" x14ac:dyDescent="0.25">
      <c r="A922" t="s">
        <v>24</v>
      </c>
      <c r="B922" t="s">
        <v>193</v>
      </c>
      <c r="C922" t="str">
        <f>"645AJ"</f>
        <v>645AJ</v>
      </c>
      <c r="D922" t="s">
        <v>4196</v>
      </c>
      <c r="E922" t="s">
        <v>4197</v>
      </c>
      <c r="F922" t="s">
        <v>3272</v>
      </c>
      <c r="G922" t="s">
        <v>65</v>
      </c>
      <c r="H922">
        <v>44130</v>
      </c>
      <c r="I922" t="s">
        <v>30</v>
      </c>
      <c r="J922" t="s">
        <v>31</v>
      </c>
      <c r="K922" t="s">
        <v>4198</v>
      </c>
      <c r="N922" t="s">
        <v>3273</v>
      </c>
      <c r="O922" t="s">
        <v>3274</v>
      </c>
      <c r="Q922">
        <v>0</v>
      </c>
      <c r="R922">
        <v>95</v>
      </c>
      <c r="S922">
        <v>0</v>
      </c>
      <c r="T922" t="s">
        <v>4199</v>
      </c>
    </row>
    <row r="923" spans="1:20" customFormat="1" ht="15" x14ac:dyDescent="0.25">
      <c r="A923" t="s">
        <v>35</v>
      </c>
      <c r="B923" t="s">
        <v>4200</v>
      </c>
      <c r="C923" t="str">
        <f>"A0191771"</f>
        <v>A0191771</v>
      </c>
      <c r="D923" t="s">
        <v>4201</v>
      </c>
      <c r="E923" t="s">
        <v>4202</v>
      </c>
      <c r="F923" t="s">
        <v>4203</v>
      </c>
      <c r="G923" t="s">
        <v>99</v>
      </c>
      <c r="H923">
        <v>10305</v>
      </c>
      <c r="I923" t="s">
        <v>30</v>
      </c>
      <c r="J923" t="s">
        <v>41</v>
      </c>
      <c r="K923" t="s">
        <v>229</v>
      </c>
      <c r="Q923">
        <v>0</v>
      </c>
      <c r="R923">
        <v>0</v>
      </c>
      <c r="S923">
        <v>200</v>
      </c>
      <c r="T923" t="s">
        <v>4204</v>
      </c>
    </row>
    <row r="924" spans="1:20" customFormat="1" ht="15" x14ac:dyDescent="0.25">
      <c r="A924" t="s">
        <v>35</v>
      </c>
      <c r="B924" t="s">
        <v>4200</v>
      </c>
      <c r="C924" t="str">
        <f>"A0191770"</f>
        <v>A0191770</v>
      </c>
      <c r="D924" t="s">
        <v>4205</v>
      </c>
      <c r="E924" t="s">
        <v>4206</v>
      </c>
      <c r="F924" t="s">
        <v>4207</v>
      </c>
      <c r="G924" t="s">
        <v>99</v>
      </c>
      <c r="H924">
        <v>12302</v>
      </c>
      <c r="I924" t="s">
        <v>30</v>
      </c>
      <c r="J924" t="s">
        <v>41</v>
      </c>
      <c r="K924" t="s">
        <v>229</v>
      </c>
      <c r="Q924">
        <v>0</v>
      </c>
      <c r="R924">
        <v>0</v>
      </c>
      <c r="S924">
        <v>48</v>
      </c>
      <c r="T924" t="s">
        <v>4208</v>
      </c>
    </row>
    <row r="925" spans="1:20" customFormat="1" ht="15" x14ac:dyDescent="0.25">
      <c r="A925" t="s">
        <v>35</v>
      </c>
      <c r="B925" t="s">
        <v>4200</v>
      </c>
      <c r="C925" t="str">
        <f>"A0191769"</f>
        <v>A0191769</v>
      </c>
      <c r="D925" t="s">
        <v>4209</v>
      </c>
      <c r="E925" t="s">
        <v>4210</v>
      </c>
      <c r="F925" t="s">
        <v>4211</v>
      </c>
      <c r="G925" t="s">
        <v>99</v>
      </c>
      <c r="H925">
        <v>12883</v>
      </c>
      <c r="I925" t="s">
        <v>30</v>
      </c>
      <c r="J925" t="s">
        <v>41</v>
      </c>
      <c r="K925" t="s">
        <v>229</v>
      </c>
      <c r="Q925">
        <v>0</v>
      </c>
      <c r="R925">
        <v>0</v>
      </c>
      <c r="S925">
        <v>40</v>
      </c>
      <c r="T925" t="s">
        <v>4212</v>
      </c>
    </row>
    <row r="926" spans="1:20" customFormat="1" ht="15" x14ac:dyDescent="0.25">
      <c r="A926" t="s">
        <v>35</v>
      </c>
      <c r="B926" t="s">
        <v>4200</v>
      </c>
      <c r="C926" t="str">
        <f>"A0191768"</f>
        <v>A0191768</v>
      </c>
      <c r="D926" t="s">
        <v>4213</v>
      </c>
      <c r="E926" t="s">
        <v>4214</v>
      </c>
      <c r="F926" t="s">
        <v>4215</v>
      </c>
      <c r="G926" t="s">
        <v>99</v>
      </c>
      <c r="H926">
        <v>10467</v>
      </c>
      <c r="I926" t="s">
        <v>30</v>
      </c>
      <c r="J926" t="s">
        <v>41</v>
      </c>
      <c r="K926" t="s">
        <v>229</v>
      </c>
      <c r="Q926">
        <v>0</v>
      </c>
      <c r="R926">
        <v>0</v>
      </c>
      <c r="S926">
        <v>1</v>
      </c>
      <c r="T926" t="s">
        <v>4216</v>
      </c>
    </row>
    <row r="927" spans="1:20" customFormat="1" ht="15" x14ac:dyDescent="0.25">
      <c r="A927" t="s">
        <v>35</v>
      </c>
      <c r="B927" t="s">
        <v>4200</v>
      </c>
      <c r="C927" t="str">
        <f>"A0191767"</f>
        <v>A0191767</v>
      </c>
      <c r="D927" t="s">
        <v>4217</v>
      </c>
      <c r="E927" t="s">
        <v>4218</v>
      </c>
      <c r="F927" t="s">
        <v>4219</v>
      </c>
      <c r="G927" t="s">
        <v>99</v>
      </c>
      <c r="H927">
        <v>10471</v>
      </c>
      <c r="I927" t="s">
        <v>30</v>
      </c>
      <c r="J927" t="s">
        <v>41</v>
      </c>
      <c r="K927" t="s">
        <v>229</v>
      </c>
      <c r="Q927">
        <v>0</v>
      </c>
      <c r="R927">
        <v>0</v>
      </c>
      <c r="S927">
        <v>256</v>
      </c>
      <c r="T927" t="s">
        <v>4220</v>
      </c>
    </row>
    <row r="928" spans="1:20" customFormat="1" ht="15" x14ac:dyDescent="0.25">
      <c r="A928" t="s">
        <v>35</v>
      </c>
      <c r="B928" t="s">
        <v>4200</v>
      </c>
      <c r="C928" t="str">
        <f>"A0191766"</f>
        <v>A0191766</v>
      </c>
      <c r="D928" t="s">
        <v>4221</v>
      </c>
      <c r="E928" t="s">
        <v>4222</v>
      </c>
      <c r="F928" t="s">
        <v>4223</v>
      </c>
      <c r="G928" t="s">
        <v>99</v>
      </c>
      <c r="H928">
        <v>11702</v>
      </c>
      <c r="I928" t="s">
        <v>30</v>
      </c>
      <c r="J928" t="s">
        <v>41</v>
      </c>
      <c r="K928" t="s">
        <v>229</v>
      </c>
      <c r="Q928">
        <v>0</v>
      </c>
      <c r="R928">
        <v>0</v>
      </c>
      <c r="S928">
        <v>75</v>
      </c>
      <c r="T928" t="s">
        <v>4224</v>
      </c>
    </row>
    <row r="929" spans="1:20" customFormat="1" ht="15" x14ac:dyDescent="0.25">
      <c r="A929" t="s">
        <v>35</v>
      </c>
      <c r="B929" t="s">
        <v>4200</v>
      </c>
      <c r="C929" t="str">
        <f>"A0191765"</f>
        <v>A0191765</v>
      </c>
      <c r="D929" t="s">
        <v>4225</v>
      </c>
      <c r="E929" t="s">
        <v>4226</v>
      </c>
      <c r="F929" t="s">
        <v>4227</v>
      </c>
      <c r="G929" t="s">
        <v>99</v>
      </c>
      <c r="H929">
        <v>12015</v>
      </c>
      <c r="I929" t="s">
        <v>30</v>
      </c>
      <c r="J929" t="s">
        <v>41</v>
      </c>
      <c r="K929" t="s">
        <v>229</v>
      </c>
      <c r="Q929">
        <v>0</v>
      </c>
      <c r="R929">
        <v>0</v>
      </c>
      <c r="S929">
        <v>60</v>
      </c>
      <c r="T929" t="s">
        <v>4228</v>
      </c>
    </row>
    <row r="930" spans="1:20" customFormat="1" ht="15" x14ac:dyDescent="0.25">
      <c r="A930" t="s">
        <v>35</v>
      </c>
      <c r="B930" t="s">
        <v>4200</v>
      </c>
      <c r="C930" t="str">
        <f>"A0191764"</f>
        <v>A0191764</v>
      </c>
      <c r="D930" t="s">
        <v>4229</v>
      </c>
      <c r="E930" t="s">
        <v>4230</v>
      </c>
      <c r="F930" t="s">
        <v>4231</v>
      </c>
      <c r="G930" t="s">
        <v>99</v>
      </c>
      <c r="H930">
        <v>12748</v>
      </c>
      <c r="I930" t="s">
        <v>30</v>
      </c>
      <c r="J930" t="s">
        <v>41</v>
      </c>
      <c r="K930" t="s">
        <v>229</v>
      </c>
      <c r="Q930">
        <v>0</v>
      </c>
      <c r="R930">
        <v>0</v>
      </c>
      <c r="S930">
        <v>11</v>
      </c>
      <c r="T930" t="s">
        <v>4232</v>
      </c>
    </row>
    <row r="931" spans="1:20" customFormat="1" ht="15" x14ac:dyDescent="0.25">
      <c r="A931" t="s">
        <v>35</v>
      </c>
      <c r="B931" t="s">
        <v>4200</v>
      </c>
      <c r="C931" t="str">
        <f>"A0191763"</f>
        <v>A0191763</v>
      </c>
      <c r="D931" t="s">
        <v>4233</v>
      </c>
      <c r="E931" t="s">
        <v>4234</v>
      </c>
      <c r="F931" t="s">
        <v>4231</v>
      </c>
      <c r="G931" t="s">
        <v>99</v>
      </c>
      <c r="H931">
        <v>12748</v>
      </c>
      <c r="I931" t="s">
        <v>30</v>
      </c>
      <c r="J931" t="s">
        <v>41</v>
      </c>
      <c r="K931" t="s">
        <v>229</v>
      </c>
      <c r="Q931">
        <v>0</v>
      </c>
      <c r="R931">
        <v>0</v>
      </c>
      <c r="S931">
        <v>49</v>
      </c>
      <c r="T931" t="s">
        <v>4232</v>
      </c>
    </row>
    <row r="932" spans="1:20" customFormat="1" ht="15" x14ac:dyDescent="0.25">
      <c r="A932" t="s">
        <v>35</v>
      </c>
      <c r="B932" t="s">
        <v>4200</v>
      </c>
      <c r="C932" t="str">
        <f>"A0191762"</f>
        <v>A0191762</v>
      </c>
      <c r="D932" t="s">
        <v>4235</v>
      </c>
      <c r="E932" t="s">
        <v>4236</v>
      </c>
      <c r="F932" t="s">
        <v>4237</v>
      </c>
      <c r="G932" t="s">
        <v>99</v>
      </c>
      <c r="H932">
        <v>11355</v>
      </c>
      <c r="I932" t="s">
        <v>30</v>
      </c>
      <c r="J932" t="s">
        <v>41</v>
      </c>
      <c r="K932" t="s">
        <v>229</v>
      </c>
      <c r="Q932">
        <v>0</v>
      </c>
      <c r="R932">
        <v>0</v>
      </c>
      <c r="S932">
        <v>200</v>
      </c>
      <c r="T932" t="s">
        <v>4238</v>
      </c>
    </row>
    <row r="933" spans="1:20" customFormat="1" ht="15" x14ac:dyDescent="0.25">
      <c r="A933" t="s">
        <v>35</v>
      </c>
      <c r="B933" t="s">
        <v>4200</v>
      </c>
      <c r="C933" t="str">
        <f>"A0191761"</f>
        <v>A0191761</v>
      </c>
      <c r="D933" t="s">
        <v>4239</v>
      </c>
      <c r="E933" t="s">
        <v>4240</v>
      </c>
      <c r="F933" t="s">
        <v>4241</v>
      </c>
      <c r="G933" t="s">
        <v>99</v>
      </c>
      <c r="H933">
        <v>11691</v>
      </c>
      <c r="I933" t="s">
        <v>30</v>
      </c>
      <c r="J933" t="s">
        <v>41</v>
      </c>
      <c r="K933" t="s">
        <v>229</v>
      </c>
      <c r="Q933">
        <v>0</v>
      </c>
      <c r="R933">
        <v>0</v>
      </c>
      <c r="S933">
        <v>123</v>
      </c>
      <c r="T933" t="s">
        <v>4242</v>
      </c>
    </row>
    <row r="934" spans="1:20" customFormat="1" ht="15" x14ac:dyDescent="0.25">
      <c r="A934" t="s">
        <v>35</v>
      </c>
      <c r="B934" t="s">
        <v>4200</v>
      </c>
      <c r="C934" t="str">
        <f>"A0191760"</f>
        <v>A0191760</v>
      </c>
      <c r="D934" t="s">
        <v>4243</v>
      </c>
      <c r="E934" t="s">
        <v>4244</v>
      </c>
      <c r="F934" t="s">
        <v>4245</v>
      </c>
      <c r="G934" t="s">
        <v>99</v>
      </c>
      <c r="H934">
        <v>12414</v>
      </c>
      <c r="I934" t="s">
        <v>30</v>
      </c>
      <c r="J934" t="s">
        <v>41</v>
      </c>
      <c r="K934" t="s">
        <v>229</v>
      </c>
      <c r="Q934">
        <v>0</v>
      </c>
      <c r="R934">
        <v>0</v>
      </c>
      <c r="S934">
        <v>24</v>
      </c>
      <c r="T934" t="s">
        <v>4246</v>
      </c>
    </row>
    <row r="935" spans="1:20" customFormat="1" ht="15" x14ac:dyDescent="0.25">
      <c r="A935" t="s">
        <v>35</v>
      </c>
      <c r="B935" t="s">
        <v>4200</v>
      </c>
      <c r="C935" t="str">
        <f>"A0191759"</f>
        <v>A0191759</v>
      </c>
      <c r="D935" t="s">
        <v>4247</v>
      </c>
      <c r="E935" t="s">
        <v>4248</v>
      </c>
      <c r="F935" t="s">
        <v>2743</v>
      </c>
      <c r="G935" t="s">
        <v>99</v>
      </c>
      <c r="H935">
        <v>11316</v>
      </c>
      <c r="I935" t="s">
        <v>30</v>
      </c>
      <c r="J935" t="s">
        <v>41</v>
      </c>
      <c r="K935" t="s">
        <v>229</v>
      </c>
      <c r="Q935">
        <v>0</v>
      </c>
      <c r="R935">
        <v>0</v>
      </c>
      <c r="S935">
        <v>40</v>
      </c>
      <c r="T935" t="s">
        <v>4249</v>
      </c>
    </row>
    <row r="936" spans="1:20" customFormat="1" ht="15" x14ac:dyDescent="0.25">
      <c r="A936" t="s">
        <v>35</v>
      </c>
      <c r="B936" t="s">
        <v>4200</v>
      </c>
      <c r="C936" t="str">
        <f>"A0191758"</f>
        <v>A0191758</v>
      </c>
      <c r="D936" t="s">
        <v>4250</v>
      </c>
      <c r="E936" t="s">
        <v>4251</v>
      </c>
      <c r="F936" t="s">
        <v>4252</v>
      </c>
      <c r="G936" t="s">
        <v>99</v>
      </c>
      <c r="H936">
        <v>11771</v>
      </c>
      <c r="I936" t="s">
        <v>30</v>
      </c>
      <c r="J936" t="s">
        <v>41</v>
      </c>
      <c r="K936" t="s">
        <v>482</v>
      </c>
      <c r="Q936">
        <v>0</v>
      </c>
      <c r="R936">
        <v>0</v>
      </c>
      <c r="S936">
        <v>0</v>
      </c>
      <c r="T936" t="s">
        <v>4253</v>
      </c>
    </row>
    <row r="937" spans="1:20" customFormat="1" ht="15" x14ac:dyDescent="0.25">
      <c r="A937" t="s">
        <v>35</v>
      </c>
      <c r="B937" t="s">
        <v>4200</v>
      </c>
      <c r="C937" t="str">
        <f>"A0191757"</f>
        <v>A0191757</v>
      </c>
      <c r="D937" t="s">
        <v>4254</v>
      </c>
      <c r="E937" t="s">
        <v>4255</v>
      </c>
      <c r="F937" t="s">
        <v>4252</v>
      </c>
      <c r="G937" t="s">
        <v>99</v>
      </c>
      <c r="H937">
        <v>11771</v>
      </c>
      <c r="I937" t="s">
        <v>30</v>
      </c>
      <c r="J937" t="s">
        <v>41</v>
      </c>
      <c r="K937" t="s">
        <v>482</v>
      </c>
      <c r="Q937">
        <v>0</v>
      </c>
      <c r="R937">
        <v>0</v>
      </c>
      <c r="S937">
        <v>0</v>
      </c>
      <c r="T937" t="s">
        <v>4256</v>
      </c>
    </row>
    <row r="938" spans="1:20" customFormat="1" ht="15" x14ac:dyDescent="0.25">
      <c r="A938" t="s">
        <v>35</v>
      </c>
      <c r="B938" t="s">
        <v>4200</v>
      </c>
      <c r="C938" t="str">
        <f>"A0191756"</f>
        <v>A0191756</v>
      </c>
      <c r="D938" t="s">
        <v>4257</v>
      </c>
      <c r="E938" t="s">
        <v>4258</v>
      </c>
      <c r="F938" t="s">
        <v>4259</v>
      </c>
      <c r="G938" t="s">
        <v>99</v>
      </c>
      <c r="H938">
        <v>12804</v>
      </c>
      <c r="I938" t="s">
        <v>30</v>
      </c>
      <c r="J938" t="s">
        <v>41</v>
      </c>
      <c r="K938" t="s">
        <v>482</v>
      </c>
      <c r="Q938">
        <v>0</v>
      </c>
      <c r="R938">
        <v>0</v>
      </c>
      <c r="S938">
        <v>60</v>
      </c>
      <c r="T938" t="s">
        <v>4260</v>
      </c>
    </row>
    <row r="939" spans="1:20" customFormat="1" ht="15" x14ac:dyDescent="0.25">
      <c r="A939" t="s">
        <v>35</v>
      </c>
      <c r="B939" t="s">
        <v>4200</v>
      </c>
      <c r="C939" t="str">
        <f>"A0191755"</f>
        <v>A0191755</v>
      </c>
      <c r="D939" t="s">
        <v>4261</v>
      </c>
      <c r="E939" t="s">
        <v>4262</v>
      </c>
      <c r="F939" t="s">
        <v>4215</v>
      </c>
      <c r="G939" t="s">
        <v>99</v>
      </c>
      <c r="H939">
        <v>10467</v>
      </c>
      <c r="I939" t="s">
        <v>30</v>
      </c>
      <c r="J939" t="s">
        <v>41</v>
      </c>
      <c r="K939" t="s">
        <v>482</v>
      </c>
      <c r="Q939">
        <v>0</v>
      </c>
      <c r="R939">
        <v>0</v>
      </c>
      <c r="S939">
        <v>0</v>
      </c>
      <c r="T939" t="s">
        <v>4263</v>
      </c>
    </row>
    <row r="940" spans="1:20" customFormat="1" ht="15" x14ac:dyDescent="0.25">
      <c r="A940" t="s">
        <v>35</v>
      </c>
      <c r="B940" t="s">
        <v>4200</v>
      </c>
      <c r="C940" t="str">
        <f>"A0191754"</f>
        <v>A0191754</v>
      </c>
      <c r="D940" t="s">
        <v>4264</v>
      </c>
      <c r="E940" t="s">
        <v>4265</v>
      </c>
      <c r="F940" t="s">
        <v>4266</v>
      </c>
      <c r="G940" t="s">
        <v>99</v>
      </c>
      <c r="H940">
        <v>11694</v>
      </c>
      <c r="I940" t="s">
        <v>30</v>
      </c>
      <c r="J940" t="s">
        <v>41</v>
      </c>
      <c r="K940" t="s">
        <v>391</v>
      </c>
      <c r="Q940">
        <v>0</v>
      </c>
      <c r="R940">
        <v>0</v>
      </c>
      <c r="S940">
        <v>270</v>
      </c>
      <c r="T940" t="s">
        <v>4267</v>
      </c>
    </row>
    <row r="941" spans="1:20" customFormat="1" ht="15" x14ac:dyDescent="0.25">
      <c r="A941" t="s">
        <v>35</v>
      </c>
      <c r="B941" t="s">
        <v>4200</v>
      </c>
      <c r="C941" t="str">
        <f>"A0191753"</f>
        <v>A0191753</v>
      </c>
      <c r="D941" t="s">
        <v>4200</v>
      </c>
      <c r="E941" t="s">
        <v>4268</v>
      </c>
      <c r="F941" t="s">
        <v>4269</v>
      </c>
      <c r="G941" t="s">
        <v>99</v>
      </c>
      <c r="H941">
        <v>11204</v>
      </c>
      <c r="I941" t="s">
        <v>30</v>
      </c>
      <c r="J941" t="s">
        <v>41</v>
      </c>
      <c r="K941" t="s">
        <v>290</v>
      </c>
      <c r="Q941">
        <v>0</v>
      </c>
      <c r="R941">
        <v>0</v>
      </c>
      <c r="S941">
        <v>0</v>
      </c>
      <c r="T941" t="s">
        <v>72</v>
      </c>
    </row>
    <row r="942" spans="1:20" customFormat="1" ht="15" x14ac:dyDescent="0.25">
      <c r="A942" t="s">
        <v>35</v>
      </c>
      <c r="B942" t="s">
        <v>4200</v>
      </c>
      <c r="C942" t="str">
        <f>"A0191752"</f>
        <v>A0191752</v>
      </c>
      <c r="D942" t="s">
        <v>4270</v>
      </c>
      <c r="E942" t="s">
        <v>4271</v>
      </c>
      <c r="F942" t="s">
        <v>4269</v>
      </c>
      <c r="G942" t="s">
        <v>99</v>
      </c>
      <c r="H942">
        <v>11236</v>
      </c>
      <c r="I942" t="s">
        <v>30</v>
      </c>
      <c r="J942" t="s">
        <v>41</v>
      </c>
      <c r="K942" t="s">
        <v>4272</v>
      </c>
      <c r="Q942">
        <v>0</v>
      </c>
      <c r="R942">
        <v>0</v>
      </c>
      <c r="S942">
        <v>70</v>
      </c>
      <c r="T942" t="s">
        <v>4273</v>
      </c>
    </row>
    <row r="943" spans="1:20" customFormat="1" ht="15" x14ac:dyDescent="0.25">
      <c r="A943" t="s">
        <v>35</v>
      </c>
      <c r="B943" t="s">
        <v>4200</v>
      </c>
      <c r="C943" t="str">
        <f>"A0191751"</f>
        <v>A0191751</v>
      </c>
      <c r="D943" t="s">
        <v>4274</v>
      </c>
      <c r="E943" t="s">
        <v>4275</v>
      </c>
      <c r="F943" t="s">
        <v>4276</v>
      </c>
      <c r="G943" t="s">
        <v>99</v>
      </c>
      <c r="H943">
        <v>12804</v>
      </c>
      <c r="I943" t="s">
        <v>30</v>
      </c>
      <c r="J943" t="s">
        <v>41</v>
      </c>
      <c r="K943" t="s">
        <v>229</v>
      </c>
      <c r="Q943">
        <v>0</v>
      </c>
      <c r="R943">
        <v>0</v>
      </c>
      <c r="S943">
        <v>60</v>
      </c>
      <c r="T943" t="s">
        <v>4277</v>
      </c>
    </row>
    <row r="944" spans="1:20" customFormat="1" ht="15" x14ac:dyDescent="0.25">
      <c r="A944" t="s">
        <v>35</v>
      </c>
      <c r="B944" t="s">
        <v>4200</v>
      </c>
      <c r="C944" t="str">
        <f>"A0191750"</f>
        <v>A0191750</v>
      </c>
      <c r="D944" t="s">
        <v>4278</v>
      </c>
      <c r="E944" t="s">
        <v>4279</v>
      </c>
      <c r="F944" t="s">
        <v>4280</v>
      </c>
      <c r="G944" t="s">
        <v>99</v>
      </c>
      <c r="H944">
        <v>11776</v>
      </c>
      <c r="I944" t="s">
        <v>30</v>
      </c>
      <c r="J944" t="s">
        <v>41</v>
      </c>
      <c r="K944" t="s">
        <v>229</v>
      </c>
      <c r="Q944">
        <v>0</v>
      </c>
      <c r="R944">
        <v>0</v>
      </c>
      <c r="S944">
        <v>143</v>
      </c>
      <c r="T944" t="s">
        <v>4281</v>
      </c>
    </row>
    <row r="945" spans="1:20" customFormat="1" ht="15" x14ac:dyDescent="0.25">
      <c r="A945" t="s">
        <v>35</v>
      </c>
      <c r="B945" t="s">
        <v>4200</v>
      </c>
      <c r="C945" t="str">
        <f>"A0191749"</f>
        <v>A0191749</v>
      </c>
      <c r="D945" t="s">
        <v>4282</v>
      </c>
      <c r="E945" t="s">
        <v>4283</v>
      </c>
      <c r="F945" t="s">
        <v>4284</v>
      </c>
      <c r="G945" t="s">
        <v>99</v>
      </c>
      <c r="H945">
        <v>12972</v>
      </c>
      <c r="I945" t="s">
        <v>30</v>
      </c>
      <c r="J945" t="s">
        <v>41</v>
      </c>
      <c r="K945" t="s">
        <v>229</v>
      </c>
      <c r="Q945">
        <v>0</v>
      </c>
      <c r="R945">
        <v>0</v>
      </c>
      <c r="S945">
        <v>40</v>
      </c>
      <c r="T945" t="s">
        <v>4285</v>
      </c>
    </row>
    <row r="946" spans="1:20" customFormat="1" ht="15" x14ac:dyDescent="0.25">
      <c r="A946" t="s">
        <v>35</v>
      </c>
      <c r="B946" t="s">
        <v>1414</v>
      </c>
      <c r="C946" t="str">
        <f>"A0191748"</f>
        <v>A0191748</v>
      </c>
      <c r="D946" t="s">
        <v>4286</v>
      </c>
      <c r="E946" t="s">
        <v>4287</v>
      </c>
      <c r="F946" t="s">
        <v>4288</v>
      </c>
      <c r="G946" t="s">
        <v>110</v>
      </c>
      <c r="H946">
        <v>92501</v>
      </c>
      <c r="I946" t="s">
        <v>30</v>
      </c>
      <c r="J946" t="s">
        <v>41</v>
      </c>
      <c r="K946" t="s">
        <v>418</v>
      </c>
      <c r="Q946">
        <v>0</v>
      </c>
      <c r="R946">
        <v>0</v>
      </c>
      <c r="S946">
        <v>0</v>
      </c>
      <c r="T946" t="s">
        <v>72</v>
      </c>
    </row>
    <row r="947" spans="1:20" customFormat="1" ht="15" x14ac:dyDescent="0.25">
      <c r="A947" t="s">
        <v>35</v>
      </c>
      <c r="B947" t="s">
        <v>1414</v>
      </c>
      <c r="C947" t="str">
        <f>"A0191747"</f>
        <v>A0191747</v>
      </c>
      <c r="D947" t="s">
        <v>4289</v>
      </c>
      <c r="E947" t="s">
        <v>4290</v>
      </c>
      <c r="F947" t="s">
        <v>4291</v>
      </c>
      <c r="G947" t="s">
        <v>110</v>
      </c>
      <c r="H947">
        <v>92583</v>
      </c>
      <c r="I947" t="s">
        <v>30</v>
      </c>
      <c r="J947" t="s">
        <v>41</v>
      </c>
      <c r="K947" t="s">
        <v>418</v>
      </c>
      <c r="Q947">
        <v>0</v>
      </c>
      <c r="R947">
        <v>0</v>
      </c>
      <c r="S947">
        <v>0</v>
      </c>
      <c r="T947" t="s">
        <v>72</v>
      </c>
    </row>
    <row r="948" spans="1:20" customFormat="1" ht="15" x14ac:dyDescent="0.25">
      <c r="A948" t="s">
        <v>35</v>
      </c>
      <c r="B948" t="s">
        <v>1414</v>
      </c>
      <c r="C948" t="str">
        <f>"A0191746"</f>
        <v>A0191746</v>
      </c>
      <c r="D948" t="s">
        <v>4292</v>
      </c>
      <c r="E948" t="s">
        <v>4293</v>
      </c>
      <c r="F948" t="s">
        <v>4288</v>
      </c>
      <c r="G948" t="s">
        <v>110</v>
      </c>
      <c r="H948">
        <v>92508</v>
      </c>
      <c r="I948" t="s">
        <v>30</v>
      </c>
      <c r="J948" t="s">
        <v>41</v>
      </c>
      <c r="K948" t="s">
        <v>418</v>
      </c>
      <c r="Q948">
        <v>0</v>
      </c>
      <c r="R948">
        <v>0</v>
      </c>
      <c r="S948">
        <v>0</v>
      </c>
      <c r="T948" t="s">
        <v>72</v>
      </c>
    </row>
    <row r="949" spans="1:20" customFormat="1" ht="15" x14ac:dyDescent="0.25">
      <c r="A949" t="s">
        <v>35</v>
      </c>
      <c r="B949" t="s">
        <v>1414</v>
      </c>
      <c r="C949" t="str">
        <f>"A0191745"</f>
        <v>A0191745</v>
      </c>
      <c r="D949" t="s">
        <v>4294</v>
      </c>
      <c r="E949" t="s">
        <v>4295</v>
      </c>
      <c r="F949" t="s">
        <v>4288</v>
      </c>
      <c r="G949" t="s">
        <v>110</v>
      </c>
      <c r="H949">
        <v>92501</v>
      </c>
      <c r="I949" t="s">
        <v>30</v>
      </c>
      <c r="J949" t="s">
        <v>41</v>
      </c>
      <c r="K949" t="s">
        <v>418</v>
      </c>
      <c r="Q949">
        <v>0</v>
      </c>
      <c r="R949">
        <v>0</v>
      </c>
      <c r="S949">
        <v>0</v>
      </c>
      <c r="T949" t="s">
        <v>72</v>
      </c>
    </row>
    <row r="950" spans="1:20" customFormat="1" ht="15" x14ac:dyDescent="0.25">
      <c r="A950" t="s">
        <v>35</v>
      </c>
      <c r="B950" t="s">
        <v>1414</v>
      </c>
      <c r="C950" t="str">
        <f>"A0191744"</f>
        <v>A0191744</v>
      </c>
      <c r="D950" t="s">
        <v>4296</v>
      </c>
      <c r="E950" t="s">
        <v>4297</v>
      </c>
      <c r="F950" t="s">
        <v>4288</v>
      </c>
      <c r="G950" t="s">
        <v>110</v>
      </c>
      <c r="H950">
        <v>92503</v>
      </c>
      <c r="I950" t="s">
        <v>30</v>
      </c>
      <c r="J950" t="s">
        <v>41</v>
      </c>
      <c r="K950" t="s">
        <v>418</v>
      </c>
      <c r="Q950">
        <v>0</v>
      </c>
      <c r="R950">
        <v>0</v>
      </c>
      <c r="S950">
        <v>0</v>
      </c>
      <c r="T950" t="s">
        <v>72</v>
      </c>
    </row>
    <row r="951" spans="1:20" customFormat="1" ht="15" x14ac:dyDescent="0.25">
      <c r="A951" t="s">
        <v>35</v>
      </c>
      <c r="B951" t="s">
        <v>1414</v>
      </c>
      <c r="C951" t="str">
        <f>"A0191743"</f>
        <v>A0191743</v>
      </c>
      <c r="D951" t="s">
        <v>4298</v>
      </c>
      <c r="E951" t="s">
        <v>4299</v>
      </c>
      <c r="F951" t="s">
        <v>4300</v>
      </c>
      <c r="G951" t="s">
        <v>110</v>
      </c>
      <c r="H951">
        <v>92262</v>
      </c>
      <c r="I951" t="s">
        <v>30</v>
      </c>
      <c r="J951" t="s">
        <v>41</v>
      </c>
      <c r="K951" t="s">
        <v>418</v>
      </c>
      <c r="Q951">
        <v>0</v>
      </c>
      <c r="R951">
        <v>0</v>
      </c>
      <c r="S951">
        <v>0</v>
      </c>
      <c r="T951" t="s">
        <v>72</v>
      </c>
    </row>
    <row r="952" spans="1:20" customFormat="1" ht="15" x14ac:dyDescent="0.25">
      <c r="A952" t="s">
        <v>35</v>
      </c>
      <c r="B952" t="s">
        <v>1414</v>
      </c>
      <c r="C952" t="str">
        <f>"A0191742"</f>
        <v>A0191742</v>
      </c>
      <c r="D952" t="s">
        <v>4301</v>
      </c>
      <c r="E952" t="s">
        <v>4302</v>
      </c>
      <c r="F952" t="s">
        <v>4300</v>
      </c>
      <c r="G952" t="s">
        <v>110</v>
      </c>
      <c r="H952">
        <v>92262</v>
      </c>
      <c r="I952" t="s">
        <v>30</v>
      </c>
      <c r="J952" t="s">
        <v>41</v>
      </c>
      <c r="K952" t="s">
        <v>418</v>
      </c>
      <c r="Q952">
        <v>0</v>
      </c>
      <c r="R952">
        <v>0</v>
      </c>
      <c r="S952">
        <v>0</v>
      </c>
      <c r="T952" t="s">
        <v>72</v>
      </c>
    </row>
    <row r="953" spans="1:20" customFormat="1" ht="15" x14ac:dyDescent="0.25">
      <c r="A953" t="s">
        <v>35</v>
      </c>
      <c r="B953" t="s">
        <v>1414</v>
      </c>
      <c r="C953" t="str">
        <f>"A0191741"</f>
        <v>A0191741</v>
      </c>
      <c r="D953" t="s">
        <v>1414</v>
      </c>
      <c r="E953" t="s">
        <v>4303</v>
      </c>
      <c r="F953" t="s">
        <v>4288</v>
      </c>
      <c r="G953" t="s">
        <v>110</v>
      </c>
      <c r="H953">
        <v>92504</v>
      </c>
      <c r="I953" t="s">
        <v>30</v>
      </c>
      <c r="J953" t="s">
        <v>41</v>
      </c>
      <c r="K953" t="s">
        <v>290</v>
      </c>
      <c r="Q953">
        <v>0</v>
      </c>
      <c r="R953">
        <v>0</v>
      </c>
      <c r="S953">
        <v>0</v>
      </c>
      <c r="T953" t="s">
        <v>72</v>
      </c>
    </row>
    <row r="954" spans="1:20" customFormat="1" ht="15" x14ac:dyDescent="0.25">
      <c r="A954" t="s">
        <v>35</v>
      </c>
      <c r="B954" t="s">
        <v>4304</v>
      </c>
      <c r="C954" t="str">
        <f>"A0191740"</f>
        <v>A0191740</v>
      </c>
      <c r="D954" t="s">
        <v>4305</v>
      </c>
      <c r="E954" t="s">
        <v>4306</v>
      </c>
      <c r="F954" t="s">
        <v>4112</v>
      </c>
      <c r="G954" t="s">
        <v>47</v>
      </c>
      <c r="H954">
        <v>92722</v>
      </c>
      <c r="I954" t="s">
        <v>30</v>
      </c>
      <c r="J954" t="s">
        <v>41</v>
      </c>
      <c r="K954" t="s">
        <v>59</v>
      </c>
      <c r="Q954">
        <v>0</v>
      </c>
      <c r="R954">
        <v>0</v>
      </c>
      <c r="S954">
        <v>0</v>
      </c>
      <c r="T954" t="s">
        <v>4307</v>
      </c>
    </row>
    <row r="955" spans="1:20" customFormat="1" ht="15" x14ac:dyDescent="0.25">
      <c r="A955" t="s">
        <v>35</v>
      </c>
      <c r="B955" t="s">
        <v>61</v>
      </c>
      <c r="C955" t="str">
        <f>"A0191739"</f>
        <v>A0191739</v>
      </c>
      <c r="D955" t="s">
        <v>4308</v>
      </c>
      <c r="E955" t="s">
        <v>4309</v>
      </c>
      <c r="F955" t="s">
        <v>4310</v>
      </c>
      <c r="G955" t="s">
        <v>29</v>
      </c>
      <c r="H955">
        <v>22602</v>
      </c>
      <c r="I955" t="s">
        <v>30</v>
      </c>
      <c r="J955" t="s">
        <v>41</v>
      </c>
      <c r="K955" t="s">
        <v>42</v>
      </c>
      <c r="Q955">
        <v>0</v>
      </c>
      <c r="R955">
        <v>0</v>
      </c>
      <c r="S955">
        <v>0</v>
      </c>
      <c r="T955" t="s">
        <v>4311</v>
      </c>
    </row>
    <row r="956" spans="1:20" customFormat="1" ht="15" x14ac:dyDescent="0.25">
      <c r="A956" t="s">
        <v>35</v>
      </c>
      <c r="B956" t="s">
        <v>3710</v>
      </c>
      <c r="C956" t="str">
        <f>"A0191738"</f>
        <v>A0191738</v>
      </c>
      <c r="D956" t="s">
        <v>3710</v>
      </c>
      <c r="E956" t="s">
        <v>4312</v>
      </c>
      <c r="F956" t="s">
        <v>1775</v>
      </c>
      <c r="G956" t="s">
        <v>117</v>
      </c>
      <c r="H956">
        <v>48638</v>
      </c>
      <c r="I956" t="s">
        <v>30</v>
      </c>
      <c r="J956" t="s">
        <v>41</v>
      </c>
      <c r="K956" t="s">
        <v>3713</v>
      </c>
      <c r="Q956">
        <v>0</v>
      </c>
      <c r="R956">
        <v>0</v>
      </c>
      <c r="S956">
        <v>0</v>
      </c>
      <c r="T956" t="s">
        <v>4313</v>
      </c>
    </row>
    <row r="957" spans="1:20" customFormat="1" ht="15" x14ac:dyDescent="0.25">
      <c r="A957" t="s">
        <v>35</v>
      </c>
      <c r="B957" t="s">
        <v>61</v>
      </c>
      <c r="C957" t="str">
        <f>"A0191737"</f>
        <v>A0191737</v>
      </c>
      <c r="D957" t="s">
        <v>4314</v>
      </c>
      <c r="E957" t="s">
        <v>4315</v>
      </c>
      <c r="F957" t="s">
        <v>4316</v>
      </c>
      <c r="G957" t="s">
        <v>117</v>
      </c>
      <c r="H957">
        <v>49931</v>
      </c>
      <c r="I957" t="s">
        <v>30</v>
      </c>
      <c r="J957" t="s">
        <v>41</v>
      </c>
      <c r="K957" t="s">
        <v>4317</v>
      </c>
      <c r="Q957">
        <v>0</v>
      </c>
      <c r="R957">
        <v>0</v>
      </c>
      <c r="S957">
        <v>0</v>
      </c>
      <c r="T957" t="s">
        <v>4318</v>
      </c>
    </row>
    <row r="958" spans="1:20" customFormat="1" ht="15" x14ac:dyDescent="0.25">
      <c r="A958" t="s">
        <v>35</v>
      </c>
      <c r="B958" t="s">
        <v>225</v>
      </c>
      <c r="C958" t="str">
        <f>"A0191736"</f>
        <v>A0191736</v>
      </c>
      <c r="D958" t="s">
        <v>4319</v>
      </c>
      <c r="E958" t="s">
        <v>4320</v>
      </c>
      <c r="F958" t="s">
        <v>4227</v>
      </c>
      <c r="G958" t="s">
        <v>103</v>
      </c>
      <c r="H958">
        <v>18810</v>
      </c>
      <c r="I958" t="s">
        <v>30</v>
      </c>
      <c r="J958" t="s">
        <v>41</v>
      </c>
      <c r="K958" t="s">
        <v>229</v>
      </c>
      <c r="Q958">
        <v>0</v>
      </c>
      <c r="R958">
        <v>0</v>
      </c>
      <c r="S958">
        <v>90</v>
      </c>
      <c r="T958" t="s">
        <v>4321</v>
      </c>
    </row>
    <row r="959" spans="1:20" customFormat="1" ht="15" x14ac:dyDescent="0.25">
      <c r="A959" t="s">
        <v>35</v>
      </c>
      <c r="B959" t="s">
        <v>4322</v>
      </c>
      <c r="C959" t="str">
        <f>"A0191735"</f>
        <v>A0191735</v>
      </c>
      <c r="D959" t="s">
        <v>4323</v>
      </c>
      <c r="E959" t="s">
        <v>4324</v>
      </c>
      <c r="F959" t="s">
        <v>4325</v>
      </c>
      <c r="G959" t="s">
        <v>381</v>
      </c>
      <c r="H959">
        <v>46060</v>
      </c>
      <c r="I959" t="s">
        <v>30</v>
      </c>
      <c r="J959" t="s">
        <v>41</v>
      </c>
      <c r="K959" t="s">
        <v>461</v>
      </c>
      <c r="Q959">
        <v>0</v>
      </c>
      <c r="R959">
        <v>0</v>
      </c>
      <c r="S959">
        <v>0</v>
      </c>
      <c r="T959" t="s">
        <v>4326</v>
      </c>
    </row>
    <row r="960" spans="1:20" customFormat="1" ht="15" x14ac:dyDescent="0.25">
      <c r="A960" t="s">
        <v>24</v>
      </c>
      <c r="B960" t="s">
        <v>3628</v>
      </c>
      <c r="C960" t="str">
        <f>"A0074439"</f>
        <v>A0074439</v>
      </c>
      <c r="D960" t="s">
        <v>4327</v>
      </c>
      <c r="E960" t="s">
        <v>4328</v>
      </c>
      <c r="F960" t="s">
        <v>1889</v>
      </c>
      <c r="G960" t="s">
        <v>81</v>
      </c>
      <c r="H960">
        <v>33126</v>
      </c>
      <c r="I960" t="s">
        <v>30</v>
      </c>
      <c r="J960" t="s">
        <v>31</v>
      </c>
      <c r="K960" t="s">
        <v>255</v>
      </c>
      <c r="N960" t="s">
        <v>4329</v>
      </c>
      <c r="O960" t="s">
        <v>4330</v>
      </c>
      <c r="Q960">
        <v>0</v>
      </c>
      <c r="R960">
        <v>151</v>
      </c>
      <c r="S960">
        <v>0</v>
      </c>
      <c r="T960" t="s">
        <v>4331</v>
      </c>
    </row>
    <row r="961" spans="1:20" customFormat="1" ht="15" x14ac:dyDescent="0.25">
      <c r="A961" t="s">
        <v>24</v>
      </c>
      <c r="B961" t="s">
        <v>1288</v>
      </c>
      <c r="C961" t="str">
        <f>"A0088225"</f>
        <v>A0088225</v>
      </c>
      <c r="D961" t="s">
        <v>4332</v>
      </c>
      <c r="E961" t="s">
        <v>4333</v>
      </c>
      <c r="F961" t="s">
        <v>4334</v>
      </c>
      <c r="G961" t="s">
        <v>85</v>
      </c>
      <c r="H961">
        <v>72201</v>
      </c>
      <c r="I961" t="s">
        <v>30</v>
      </c>
      <c r="J961" t="s">
        <v>31</v>
      </c>
      <c r="K961" t="s">
        <v>198</v>
      </c>
      <c r="N961" t="s">
        <v>4335</v>
      </c>
      <c r="Q961">
        <v>0</v>
      </c>
      <c r="R961">
        <v>119</v>
      </c>
      <c r="S961">
        <v>0</v>
      </c>
      <c r="T961" t="s">
        <v>4336</v>
      </c>
    </row>
    <row r="962" spans="1:20" customFormat="1" ht="15" x14ac:dyDescent="0.25">
      <c r="A962" t="s">
        <v>24</v>
      </c>
      <c r="B962" t="s">
        <v>706</v>
      </c>
      <c r="C962" t="str">
        <f>"SF01414"</f>
        <v>SF01414</v>
      </c>
      <c r="D962" t="s">
        <v>4337</v>
      </c>
      <c r="E962" t="s">
        <v>4338</v>
      </c>
      <c r="F962" t="s">
        <v>4339</v>
      </c>
      <c r="G962" t="s">
        <v>81</v>
      </c>
      <c r="H962">
        <v>33510</v>
      </c>
      <c r="I962" t="s">
        <v>30</v>
      </c>
      <c r="J962" t="s">
        <v>31</v>
      </c>
      <c r="K962" t="s">
        <v>282</v>
      </c>
      <c r="N962" t="s">
        <v>711</v>
      </c>
      <c r="Q962">
        <v>0</v>
      </c>
      <c r="R962">
        <v>119</v>
      </c>
      <c r="S962">
        <v>0</v>
      </c>
      <c r="T962" t="s">
        <v>4340</v>
      </c>
    </row>
    <row r="963" spans="1:20" customFormat="1" ht="15" x14ac:dyDescent="0.25">
      <c r="A963" t="s">
        <v>24</v>
      </c>
      <c r="B963" t="s">
        <v>4341</v>
      </c>
      <c r="C963" t="str">
        <f>"A0096429"</f>
        <v>A0096429</v>
      </c>
      <c r="D963" t="s">
        <v>4342</v>
      </c>
      <c r="E963" t="s">
        <v>4343</v>
      </c>
      <c r="F963" t="s">
        <v>1622</v>
      </c>
      <c r="G963" t="s">
        <v>161</v>
      </c>
      <c r="H963">
        <v>56308</v>
      </c>
      <c r="I963" t="s">
        <v>30</v>
      </c>
      <c r="J963" t="s">
        <v>31</v>
      </c>
      <c r="K963" t="s">
        <v>32</v>
      </c>
      <c r="N963" t="s">
        <v>4344</v>
      </c>
      <c r="Q963">
        <v>0</v>
      </c>
      <c r="R963">
        <v>77</v>
      </c>
      <c r="S963">
        <v>0</v>
      </c>
      <c r="T963" t="s">
        <v>4345</v>
      </c>
    </row>
    <row r="964" spans="1:20" customFormat="1" ht="15" x14ac:dyDescent="0.25">
      <c r="A964" t="s">
        <v>24</v>
      </c>
      <c r="B964" t="s">
        <v>649</v>
      </c>
      <c r="C964" t="str">
        <f>"A0084765"</f>
        <v>A0084765</v>
      </c>
      <c r="D964" t="s">
        <v>4346</v>
      </c>
      <c r="E964" t="s">
        <v>4347</v>
      </c>
      <c r="F964" t="s">
        <v>4348</v>
      </c>
      <c r="G964" t="s">
        <v>846</v>
      </c>
      <c r="H964">
        <v>30253</v>
      </c>
      <c r="I964" t="s">
        <v>30</v>
      </c>
      <c r="J964" t="s">
        <v>31</v>
      </c>
      <c r="K964" t="s">
        <v>32</v>
      </c>
      <c r="N964" t="s">
        <v>4349</v>
      </c>
      <c r="O964" t="s">
        <v>4350</v>
      </c>
      <c r="Q964">
        <v>0</v>
      </c>
      <c r="R964">
        <v>79</v>
      </c>
      <c r="S964">
        <v>0</v>
      </c>
      <c r="T964" t="s">
        <v>4351</v>
      </c>
    </row>
    <row r="965" spans="1:20" customFormat="1" ht="15" x14ac:dyDescent="0.25">
      <c r="A965" t="s">
        <v>35</v>
      </c>
      <c r="B965" t="s">
        <v>225</v>
      </c>
      <c r="C965" t="str">
        <f>"A0127141"</f>
        <v>A0127141</v>
      </c>
      <c r="D965" t="s">
        <v>4352</v>
      </c>
      <c r="E965" t="s">
        <v>4353</v>
      </c>
      <c r="F965" t="s">
        <v>4354</v>
      </c>
      <c r="G965" t="s">
        <v>103</v>
      </c>
      <c r="H965">
        <v>16509</v>
      </c>
      <c r="I965" t="s">
        <v>30</v>
      </c>
      <c r="J965" t="s">
        <v>41</v>
      </c>
      <c r="K965" t="s">
        <v>229</v>
      </c>
      <c r="Q965">
        <v>0</v>
      </c>
      <c r="R965">
        <v>80</v>
      </c>
      <c r="S965">
        <v>80</v>
      </c>
      <c r="T965" t="s">
        <v>4355</v>
      </c>
    </row>
    <row r="966" spans="1:20" customFormat="1" ht="15" x14ac:dyDescent="0.25">
      <c r="A966" t="s">
        <v>35</v>
      </c>
      <c r="B966" t="s">
        <v>1918</v>
      </c>
      <c r="C966" t="str">
        <f>"A0135125"</f>
        <v>A0135125</v>
      </c>
      <c r="D966" t="s">
        <v>4356</v>
      </c>
      <c r="E966" t="s">
        <v>4357</v>
      </c>
      <c r="F966" t="s">
        <v>4358</v>
      </c>
      <c r="G966" t="s">
        <v>81</v>
      </c>
      <c r="H966">
        <v>32102</v>
      </c>
      <c r="I966" t="s">
        <v>30</v>
      </c>
      <c r="J966" t="s">
        <v>441</v>
      </c>
      <c r="K966" t="s">
        <v>442</v>
      </c>
      <c r="Q966">
        <v>0</v>
      </c>
      <c r="R966">
        <v>0</v>
      </c>
      <c r="S966">
        <v>0</v>
      </c>
      <c r="T966" t="s">
        <v>4359</v>
      </c>
    </row>
    <row r="967" spans="1:20" customFormat="1" ht="15" x14ac:dyDescent="0.25">
      <c r="A967" t="s">
        <v>24</v>
      </c>
      <c r="B967" t="s">
        <v>193</v>
      </c>
      <c r="C967" t="str">
        <f>"A0050215"</f>
        <v>A0050215</v>
      </c>
      <c r="D967" t="s">
        <v>4360</v>
      </c>
      <c r="E967" t="s">
        <v>4361</v>
      </c>
      <c r="F967" t="s">
        <v>4362</v>
      </c>
      <c r="G967" t="s">
        <v>214</v>
      </c>
      <c r="H967">
        <v>28036</v>
      </c>
      <c r="I967" t="s">
        <v>30</v>
      </c>
      <c r="J967" t="s">
        <v>178</v>
      </c>
      <c r="K967" t="s">
        <v>179</v>
      </c>
      <c r="N967" t="s">
        <v>4363</v>
      </c>
      <c r="O967" t="s">
        <v>4364</v>
      </c>
      <c r="Q967">
        <v>1</v>
      </c>
      <c r="R967">
        <v>0</v>
      </c>
      <c r="S967">
        <v>0</v>
      </c>
      <c r="T967" t="s">
        <v>4365</v>
      </c>
    </row>
    <row r="968" spans="1:20" customFormat="1" ht="15" x14ac:dyDescent="0.25">
      <c r="A968" t="s">
        <v>24</v>
      </c>
      <c r="B968" t="s">
        <v>10398</v>
      </c>
      <c r="C968" t="str">
        <f>"A0089256"</f>
        <v>A0089256</v>
      </c>
      <c r="D968" t="s">
        <v>10404</v>
      </c>
      <c r="E968" t="s">
        <v>10405</v>
      </c>
      <c r="F968" t="s">
        <v>1519</v>
      </c>
      <c r="G968" t="s">
        <v>110</v>
      </c>
      <c r="H968">
        <v>90045</v>
      </c>
      <c r="I968" t="s">
        <v>30</v>
      </c>
      <c r="J968" t="s">
        <v>162</v>
      </c>
      <c r="K968" t="s">
        <v>266</v>
      </c>
      <c r="N968" t="s">
        <v>10406</v>
      </c>
      <c r="O968" t="s">
        <v>10407</v>
      </c>
      <c r="Q968">
        <v>0</v>
      </c>
      <c r="R968">
        <v>222</v>
      </c>
      <c r="S968">
        <v>0</v>
      </c>
      <c r="T968" t="s">
        <v>10408</v>
      </c>
    </row>
    <row r="969" spans="1:20" customFormat="1" ht="15" x14ac:dyDescent="0.25">
      <c r="A969" t="s">
        <v>24</v>
      </c>
      <c r="B969" t="s">
        <v>1548</v>
      </c>
      <c r="C969" t="str">
        <f>"A0188632"</f>
        <v>A0188632</v>
      </c>
      <c r="D969" t="s">
        <v>10483</v>
      </c>
      <c r="E969" t="s">
        <v>10484</v>
      </c>
      <c r="F969" t="s">
        <v>6593</v>
      </c>
      <c r="G969" t="s">
        <v>47</v>
      </c>
      <c r="H969">
        <v>97201</v>
      </c>
      <c r="I969" t="s">
        <v>30</v>
      </c>
      <c r="J969" t="s">
        <v>162</v>
      </c>
      <c r="K969" t="s">
        <v>3447</v>
      </c>
      <c r="N969" t="s">
        <v>10485</v>
      </c>
      <c r="Q969">
        <v>0</v>
      </c>
      <c r="R969">
        <v>180</v>
      </c>
      <c r="S969">
        <v>0</v>
      </c>
      <c r="T969" t="s">
        <v>10486</v>
      </c>
    </row>
    <row r="970" spans="1:20" customFormat="1" ht="15" x14ac:dyDescent="0.25">
      <c r="A970" t="s">
        <v>24</v>
      </c>
      <c r="B970" t="s">
        <v>10487</v>
      </c>
      <c r="C970" t="str">
        <f>"A0188698"</f>
        <v>A0188698</v>
      </c>
      <c r="D970" t="s">
        <v>10488</v>
      </c>
      <c r="E970" t="s">
        <v>10489</v>
      </c>
      <c r="F970" t="s">
        <v>10490</v>
      </c>
      <c r="G970" t="s">
        <v>289</v>
      </c>
      <c r="H970">
        <v>60532</v>
      </c>
      <c r="I970" t="s">
        <v>30</v>
      </c>
      <c r="J970" t="s">
        <v>162</v>
      </c>
      <c r="K970" t="s">
        <v>759</v>
      </c>
      <c r="N970" t="s">
        <v>10491</v>
      </c>
      <c r="Q970">
        <v>0</v>
      </c>
      <c r="R970">
        <v>309</v>
      </c>
      <c r="S970">
        <v>0</v>
      </c>
      <c r="T970" t="s">
        <v>10492</v>
      </c>
    </row>
    <row r="971" spans="1:20" customFormat="1" ht="15" x14ac:dyDescent="0.25">
      <c r="A971" t="s">
        <v>24</v>
      </c>
      <c r="B971" t="s">
        <v>5435</v>
      </c>
      <c r="C971" t="str">
        <f>"A0188697"</f>
        <v>A0188697</v>
      </c>
      <c r="D971" t="s">
        <v>10493</v>
      </c>
      <c r="E971" t="s">
        <v>10494</v>
      </c>
      <c r="F971" t="s">
        <v>9097</v>
      </c>
      <c r="G971" t="s">
        <v>1184</v>
      </c>
      <c r="H971">
        <v>59716</v>
      </c>
      <c r="I971" t="s">
        <v>30</v>
      </c>
      <c r="J971" t="s">
        <v>162</v>
      </c>
      <c r="K971" t="s">
        <v>163</v>
      </c>
      <c r="N971" t="s">
        <v>10495</v>
      </c>
      <c r="O971" t="s">
        <v>10496</v>
      </c>
      <c r="Q971">
        <v>0</v>
      </c>
      <c r="R971">
        <v>72</v>
      </c>
      <c r="S971">
        <v>0</v>
      </c>
      <c r="T971" t="s">
        <v>10497</v>
      </c>
    </row>
    <row r="972" spans="1:20" customFormat="1" ht="15" x14ac:dyDescent="0.25">
      <c r="A972" t="s">
        <v>24</v>
      </c>
      <c r="B972" t="s">
        <v>976</v>
      </c>
      <c r="C972" t="str">
        <f>"A0186721"</f>
        <v>A0186721</v>
      </c>
      <c r="D972" t="s">
        <v>10656</v>
      </c>
      <c r="E972" t="s">
        <v>10657</v>
      </c>
      <c r="F972" t="s">
        <v>2523</v>
      </c>
      <c r="G972" t="s">
        <v>110</v>
      </c>
      <c r="H972">
        <v>92868</v>
      </c>
      <c r="I972" t="s">
        <v>30</v>
      </c>
      <c r="J972" t="s">
        <v>162</v>
      </c>
      <c r="K972" t="s">
        <v>759</v>
      </c>
      <c r="N972" t="s">
        <v>10658</v>
      </c>
      <c r="O972" t="s">
        <v>10659</v>
      </c>
      <c r="Q972">
        <v>0</v>
      </c>
      <c r="R972">
        <v>461</v>
      </c>
      <c r="S972">
        <v>0</v>
      </c>
      <c r="T972" t="s">
        <v>10660</v>
      </c>
    </row>
    <row r="973" spans="1:20" customFormat="1" ht="15" x14ac:dyDescent="0.25">
      <c r="A973" t="s">
        <v>24</v>
      </c>
      <c r="B973" t="s">
        <v>10661</v>
      </c>
      <c r="C973" t="str">
        <f>"A0063875"</f>
        <v>A0063875</v>
      </c>
      <c r="D973" t="s">
        <v>10661</v>
      </c>
      <c r="E973" t="s">
        <v>10662</v>
      </c>
      <c r="F973" t="s">
        <v>10663</v>
      </c>
      <c r="G973" t="s">
        <v>99</v>
      </c>
      <c r="H973">
        <v>14853</v>
      </c>
      <c r="I973" t="s">
        <v>30</v>
      </c>
      <c r="J973" t="s">
        <v>162</v>
      </c>
      <c r="K973" t="s">
        <v>163</v>
      </c>
      <c r="N973" t="s">
        <v>10664</v>
      </c>
      <c r="O973" t="s">
        <v>10665</v>
      </c>
      <c r="Q973">
        <v>0</v>
      </c>
      <c r="R973">
        <v>150</v>
      </c>
      <c r="S973">
        <v>0</v>
      </c>
      <c r="T973" t="s">
        <v>10666</v>
      </c>
    </row>
    <row r="974" spans="1:20" customFormat="1" ht="15" x14ac:dyDescent="0.25">
      <c r="A974" t="s">
        <v>24</v>
      </c>
      <c r="B974" t="s">
        <v>4400</v>
      </c>
      <c r="C974" t="str">
        <f>"A0191482"</f>
        <v>A0191482</v>
      </c>
      <c r="D974" t="s">
        <v>4401</v>
      </c>
      <c r="E974" t="s">
        <v>4402</v>
      </c>
      <c r="F974" t="s">
        <v>4403</v>
      </c>
      <c r="G974" t="s">
        <v>65</v>
      </c>
      <c r="H974">
        <v>43551</v>
      </c>
      <c r="I974" t="s">
        <v>30</v>
      </c>
      <c r="J974" t="s">
        <v>31</v>
      </c>
      <c r="K974" t="s">
        <v>261</v>
      </c>
      <c r="N974" t="s">
        <v>4404</v>
      </c>
      <c r="Q974">
        <v>0</v>
      </c>
      <c r="R974">
        <v>105</v>
      </c>
      <c r="S974">
        <v>0</v>
      </c>
      <c r="T974" t="s">
        <v>4405</v>
      </c>
    </row>
    <row r="975" spans="1:20" customFormat="1" ht="15" x14ac:dyDescent="0.25">
      <c r="A975" t="s">
        <v>24</v>
      </c>
      <c r="B975" t="s">
        <v>10672</v>
      </c>
      <c r="C975" t="str">
        <f>"A0076944"</f>
        <v>A0076944</v>
      </c>
      <c r="D975" t="s">
        <v>10673</v>
      </c>
      <c r="E975" t="s">
        <v>10674</v>
      </c>
      <c r="F975" t="s">
        <v>748</v>
      </c>
      <c r="G975" t="s">
        <v>110</v>
      </c>
      <c r="H975">
        <v>94108</v>
      </c>
      <c r="I975" t="s">
        <v>30</v>
      </c>
      <c r="J975" t="s">
        <v>162</v>
      </c>
      <c r="K975" t="s">
        <v>163</v>
      </c>
      <c r="N975" t="s">
        <v>10675</v>
      </c>
      <c r="Q975">
        <v>0</v>
      </c>
      <c r="R975">
        <v>26</v>
      </c>
      <c r="S975">
        <v>0</v>
      </c>
      <c r="T975" t="s">
        <v>10676</v>
      </c>
    </row>
    <row r="976" spans="1:20" customFormat="1" ht="15" x14ac:dyDescent="0.25">
      <c r="A976" t="s">
        <v>24</v>
      </c>
      <c r="B976" t="s">
        <v>4410</v>
      </c>
      <c r="C976" t="str">
        <f>"A0098927"</f>
        <v>A0098927</v>
      </c>
      <c r="D976" t="s">
        <v>4411</v>
      </c>
      <c r="E976" t="s">
        <v>4412</v>
      </c>
      <c r="F976" t="s">
        <v>1871</v>
      </c>
      <c r="G976" t="s">
        <v>925</v>
      </c>
      <c r="H976">
        <v>67220</v>
      </c>
      <c r="I976" t="s">
        <v>30</v>
      </c>
      <c r="J976" t="s">
        <v>31</v>
      </c>
      <c r="K976" t="s">
        <v>277</v>
      </c>
      <c r="N976" t="s">
        <v>4413</v>
      </c>
      <c r="Q976">
        <v>0</v>
      </c>
      <c r="R976">
        <v>126</v>
      </c>
      <c r="S976">
        <v>0</v>
      </c>
      <c r="T976" t="s">
        <v>4414</v>
      </c>
    </row>
    <row r="977" spans="1:20" customFormat="1" ht="15" x14ac:dyDescent="0.25">
      <c r="A977" t="s">
        <v>24</v>
      </c>
      <c r="B977" t="s">
        <v>10672</v>
      </c>
      <c r="C977" t="str">
        <f>"A0076943"</f>
        <v>A0076943</v>
      </c>
      <c r="D977" t="s">
        <v>10677</v>
      </c>
      <c r="E977" t="s">
        <v>10678</v>
      </c>
      <c r="F977" t="s">
        <v>748</v>
      </c>
      <c r="G977" t="s">
        <v>110</v>
      </c>
      <c r="H977">
        <v>94108</v>
      </c>
      <c r="I977" t="s">
        <v>30</v>
      </c>
      <c r="J977" t="s">
        <v>162</v>
      </c>
      <c r="K977" t="s">
        <v>163</v>
      </c>
      <c r="N977" t="s">
        <v>10675</v>
      </c>
      <c r="Q977">
        <v>0</v>
      </c>
      <c r="R977">
        <v>26</v>
      </c>
      <c r="S977">
        <v>0</v>
      </c>
      <c r="T977" t="s">
        <v>10679</v>
      </c>
    </row>
    <row r="978" spans="1:20" customFormat="1" ht="15" x14ac:dyDescent="0.25">
      <c r="A978" t="s">
        <v>24</v>
      </c>
      <c r="B978" t="s">
        <v>1020</v>
      </c>
      <c r="C978" t="str">
        <f>"SF08480"</f>
        <v>SF08480</v>
      </c>
      <c r="D978" t="s">
        <v>10680</v>
      </c>
      <c r="E978" t="s">
        <v>10681</v>
      </c>
      <c r="F978" t="s">
        <v>985</v>
      </c>
      <c r="G978" t="s">
        <v>81</v>
      </c>
      <c r="H978">
        <v>32821</v>
      </c>
      <c r="I978" t="s">
        <v>30</v>
      </c>
      <c r="J978" t="s">
        <v>162</v>
      </c>
      <c r="K978" t="s">
        <v>854</v>
      </c>
      <c r="N978" t="s">
        <v>10682</v>
      </c>
      <c r="O978" t="s">
        <v>10683</v>
      </c>
      <c r="Q978">
        <v>0</v>
      </c>
      <c r="R978">
        <v>777</v>
      </c>
      <c r="S978">
        <v>0</v>
      </c>
      <c r="T978" t="s">
        <v>10684</v>
      </c>
    </row>
    <row r="979" spans="1:20" customFormat="1" ht="15" x14ac:dyDescent="0.25">
      <c r="A979" t="s">
        <v>24</v>
      </c>
      <c r="B979" t="s">
        <v>1020</v>
      </c>
      <c r="C979" t="str">
        <f>"A0078410"</f>
        <v>A0078410</v>
      </c>
      <c r="D979" t="s">
        <v>10685</v>
      </c>
      <c r="E979" t="s">
        <v>10686</v>
      </c>
      <c r="F979" t="s">
        <v>972</v>
      </c>
      <c r="G979" t="s">
        <v>190</v>
      </c>
      <c r="H979">
        <v>80207</v>
      </c>
      <c r="I979" t="s">
        <v>30</v>
      </c>
      <c r="J979" t="s">
        <v>162</v>
      </c>
      <c r="K979" t="s">
        <v>8335</v>
      </c>
      <c r="N979" t="s">
        <v>10687</v>
      </c>
      <c r="O979" t="s">
        <v>10688</v>
      </c>
      <c r="Q979">
        <v>0</v>
      </c>
      <c r="R979">
        <v>400</v>
      </c>
      <c r="S979">
        <v>0</v>
      </c>
      <c r="T979" t="s">
        <v>10689</v>
      </c>
    </row>
    <row r="980" spans="1:20" customFormat="1" ht="15" x14ac:dyDescent="0.25">
      <c r="A980" t="s">
        <v>24</v>
      </c>
      <c r="B980" t="s">
        <v>10690</v>
      </c>
      <c r="C980" t="str">
        <f>"A0095208"</f>
        <v>A0095208</v>
      </c>
      <c r="D980" t="s">
        <v>10714</v>
      </c>
      <c r="E980" t="s">
        <v>10715</v>
      </c>
      <c r="F980" t="s">
        <v>6927</v>
      </c>
      <c r="G980" t="s">
        <v>214</v>
      </c>
      <c r="H980">
        <v>27518</v>
      </c>
      <c r="I980" t="s">
        <v>30</v>
      </c>
      <c r="J980" t="s">
        <v>162</v>
      </c>
      <c r="K980" t="s">
        <v>759</v>
      </c>
      <c r="N980" t="s">
        <v>10716</v>
      </c>
      <c r="O980" t="s">
        <v>10717</v>
      </c>
      <c r="Q980">
        <v>0</v>
      </c>
      <c r="R980">
        <v>129</v>
      </c>
      <c r="S980">
        <v>0</v>
      </c>
      <c r="T980" t="s">
        <v>10718</v>
      </c>
    </row>
    <row r="981" spans="1:20" customFormat="1" ht="15" x14ac:dyDescent="0.25">
      <c r="A981" t="s">
        <v>24</v>
      </c>
      <c r="B981" t="s">
        <v>10734</v>
      </c>
      <c r="C981" t="str">
        <f>"A0061487"</f>
        <v>A0061487</v>
      </c>
      <c r="D981" t="s">
        <v>10735</v>
      </c>
      <c r="E981" t="s">
        <v>10736</v>
      </c>
      <c r="F981" t="s">
        <v>997</v>
      </c>
      <c r="G981" t="s">
        <v>99</v>
      </c>
      <c r="H981">
        <v>10016</v>
      </c>
      <c r="I981" t="s">
        <v>30</v>
      </c>
      <c r="J981" t="s">
        <v>162</v>
      </c>
      <c r="K981" t="s">
        <v>163</v>
      </c>
      <c r="N981" t="s">
        <v>10737</v>
      </c>
      <c r="O981" t="s">
        <v>10738</v>
      </c>
      <c r="Q981">
        <v>0</v>
      </c>
      <c r="R981">
        <v>194</v>
      </c>
      <c r="S981">
        <v>0</v>
      </c>
      <c r="T981" t="s">
        <v>10739</v>
      </c>
    </row>
    <row r="982" spans="1:20" customFormat="1" ht="15" x14ac:dyDescent="0.25">
      <c r="A982" t="s">
        <v>24</v>
      </c>
      <c r="B982" t="s">
        <v>10740</v>
      </c>
      <c r="C982" t="str">
        <f>"A0186899"</f>
        <v>A0186899</v>
      </c>
      <c r="D982" t="s">
        <v>10741</v>
      </c>
      <c r="E982" t="s">
        <v>10742</v>
      </c>
      <c r="F982" t="s">
        <v>1308</v>
      </c>
      <c r="G982" t="s">
        <v>99</v>
      </c>
      <c r="H982">
        <v>11420</v>
      </c>
      <c r="I982" t="s">
        <v>30</v>
      </c>
      <c r="J982" t="s">
        <v>162</v>
      </c>
      <c r="K982" t="s">
        <v>7598</v>
      </c>
      <c r="N982" t="s">
        <v>10743</v>
      </c>
      <c r="O982" t="s">
        <v>10744</v>
      </c>
      <c r="Q982">
        <v>0</v>
      </c>
      <c r="R982">
        <v>400</v>
      </c>
      <c r="S982">
        <v>0</v>
      </c>
      <c r="T982" t="s">
        <v>10745</v>
      </c>
    </row>
    <row r="983" spans="1:20" customFormat="1" ht="15" x14ac:dyDescent="0.25">
      <c r="A983" t="s">
        <v>24</v>
      </c>
      <c r="B983" t="s">
        <v>1020</v>
      </c>
      <c r="C983" t="str">
        <f>"A0065421"</f>
        <v>A0065421</v>
      </c>
      <c r="D983" t="s">
        <v>10746</v>
      </c>
      <c r="E983" t="s">
        <v>10747</v>
      </c>
      <c r="F983" t="s">
        <v>10748</v>
      </c>
      <c r="G983" t="s">
        <v>190</v>
      </c>
      <c r="H983">
        <v>80207</v>
      </c>
      <c r="I983" t="s">
        <v>30</v>
      </c>
      <c r="J983" t="s">
        <v>162</v>
      </c>
      <c r="K983" t="s">
        <v>854</v>
      </c>
      <c r="N983" t="s">
        <v>10749</v>
      </c>
      <c r="O983" t="s">
        <v>10750</v>
      </c>
      <c r="Q983">
        <v>0</v>
      </c>
      <c r="R983">
        <v>299</v>
      </c>
      <c r="S983">
        <v>0</v>
      </c>
      <c r="T983" t="s">
        <v>10751</v>
      </c>
    </row>
    <row r="984" spans="1:20" customFormat="1" ht="15" x14ac:dyDescent="0.25">
      <c r="A984" t="s">
        <v>24</v>
      </c>
      <c r="B984" t="s">
        <v>4410</v>
      </c>
      <c r="C984" t="str">
        <f>"A0191481"</f>
        <v>A0191481</v>
      </c>
      <c r="D984" t="s">
        <v>4451</v>
      </c>
      <c r="E984" t="s">
        <v>4452</v>
      </c>
      <c r="F984" t="s">
        <v>1858</v>
      </c>
      <c r="G984" t="s">
        <v>190</v>
      </c>
      <c r="H984">
        <v>80916</v>
      </c>
      <c r="I984" t="s">
        <v>30</v>
      </c>
      <c r="J984" t="s">
        <v>31</v>
      </c>
      <c r="K984" t="s">
        <v>163</v>
      </c>
      <c r="N984" t="s">
        <v>4453</v>
      </c>
      <c r="O984" t="s">
        <v>4454</v>
      </c>
      <c r="Q984">
        <v>0</v>
      </c>
      <c r="R984">
        <v>104</v>
      </c>
      <c r="S984">
        <v>0</v>
      </c>
      <c r="T984" t="s">
        <v>192</v>
      </c>
    </row>
    <row r="985" spans="1:20" customFormat="1" ht="15" x14ac:dyDescent="0.25">
      <c r="A985" t="s">
        <v>24</v>
      </c>
      <c r="B985" t="s">
        <v>4410</v>
      </c>
      <c r="C985" t="str">
        <f>"SF04083"</f>
        <v>SF04083</v>
      </c>
      <c r="D985" t="s">
        <v>4455</v>
      </c>
      <c r="E985" t="s">
        <v>4456</v>
      </c>
      <c r="F985" t="s">
        <v>4457</v>
      </c>
      <c r="G985" t="s">
        <v>190</v>
      </c>
      <c r="H985">
        <v>80916</v>
      </c>
      <c r="I985" t="s">
        <v>30</v>
      </c>
      <c r="J985" t="s">
        <v>31</v>
      </c>
      <c r="K985" t="s">
        <v>282</v>
      </c>
      <c r="N985" t="s">
        <v>4453</v>
      </c>
      <c r="Q985">
        <v>0</v>
      </c>
      <c r="R985">
        <v>94</v>
      </c>
      <c r="S985">
        <v>0</v>
      </c>
      <c r="T985" t="s">
        <v>4458</v>
      </c>
    </row>
    <row r="986" spans="1:20" customFormat="1" ht="15" x14ac:dyDescent="0.25">
      <c r="A986" t="s">
        <v>24</v>
      </c>
      <c r="B986" t="s">
        <v>4459</v>
      </c>
      <c r="C986" t="str">
        <f>"A0191477"</f>
        <v>A0191477</v>
      </c>
      <c r="D986" t="s">
        <v>4460</v>
      </c>
      <c r="E986" t="s">
        <v>4461</v>
      </c>
      <c r="F986" t="s">
        <v>2183</v>
      </c>
      <c r="G986" t="s">
        <v>433</v>
      </c>
      <c r="H986">
        <v>83642</v>
      </c>
      <c r="I986" t="s">
        <v>30</v>
      </c>
      <c r="J986" t="s">
        <v>145</v>
      </c>
      <c r="K986" t="s">
        <v>4462</v>
      </c>
      <c r="N986" t="s">
        <v>4463</v>
      </c>
      <c r="Q986">
        <v>0</v>
      </c>
      <c r="R986">
        <v>85</v>
      </c>
      <c r="S986">
        <v>0</v>
      </c>
      <c r="T986" t="s">
        <v>4464</v>
      </c>
    </row>
    <row r="987" spans="1:20" customFormat="1" ht="15" x14ac:dyDescent="0.25">
      <c r="A987" t="s">
        <v>24</v>
      </c>
      <c r="B987" t="s">
        <v>649</v>
      </c>
      <c r="C987" t="str">
        <f>"A0059890"</f>
        <v>A0059890</v>
      </c>
      <c r="D987" t="s">
        <v>10752</v>
      </c>
      <c r="E987" t="s">
        <v>10753</v>
      </c>
      <c r="F987" t="s">
        <v>8225</v>
      </c>
      <c r="G987" t="s">
        <v>65</v>
      </c>
      <c r="H987">
        <v>43017</v>
      </c>
      <c r="I987" t="s">
        <v>30</v>
      </c>
      <c r="J987" t="s">
        <v>162</v>
      </c>
      <c r="K987" t="s">
        <v>759</v>
      </c>
      <c r="N987" t="s">
        <v>10754</v>
      </c>
      <c r="Q987">
        <v>0</v>
      </c>
      <c r="R987">
        <v>174</v>
      </c>
      <c r="S987">
        <v>0</v>
      </c>
      <c r="T987" t="s">
        <v>10755</v>
      </c>
    </row>
    <row r="988" spans="1:20" customFormat="1" ht="15" x14ac:dyDescent="0.25">
      <c r="A988" t="s">
        <v>35</v>
      </c>
      <c r="B988" t="s">
        <v>3381</v>
      </c>
      <c r="C988" t="str">
        <f>"A0127108"</f>
        <v>A0127108</v>
      </c>
      <c r="D988" t="s">
        <v>4470</v>
      </c>
      <c r="E988" t="s">
        <v>4471</v>
      </c>
      <c r="F988" t="s">
        <v>488</v>
      </c>
      <c r="G988" t="s">
        <v>103</v>
      </c>
      <c r="H988">
        <v>19611</v>
      </c>
      <c r="I988" t="s">
        <v>30</v>
      </c>
      <c r="J988" t="s">
        <v>41</v>
      </c>
      <c r="K988" t="s">
        <v>229</v>
      </c>
      <c r="Q988">
        <v>0</v>
      </c>
      <c r="R988">
        <v>103</v>
      </c>
      <c r="S988">
        <v>103</v>
      </c>
      <c r="T988" t="s">
        <v>4472</v>
      </c>
    </row>
    <row r="989" spans="1:20" customFormat="1" ht="15" x14ac:dyDescent="0.25">
      <c r="A989" t="s">
        <v>35</v>
      </c>
      <c r="B989" t="s">
        <v>3381</v>
      </c>
      <c r="C989" t="str">
        <f>"A0127109"</f>
        <v>A0127109</v>
      </c>
      <c r="D989" t="s">
        <v>4473</v>
      </c>
      <c r="E989" t="s">
        <v>4474</v>
      </c>
      <c r="F989" t="s">
        <v>4475</v>
      </c>
      <c r="G989" t="s">
        <v>103</v>
      </c>
      <c r="H989">
        <v>17972</v>
      </c>
      <c r="I989" t="s">
        <v>30</v>
      </c>
      <c r="J989" t="s">
        <v>41</v>
      </c>
      <c r="K989" t="s">
        <v>229</v>
      </c>
      <c r="Q989">
        <v>0</v>
      </c>
      <c r="R989">
        <v>142</v>
      </c>
      <c r="S989">
        <v>142</v>
      </c>
      <c r="T989" t="s">
        <v>4476</v>
      </c>
    </row>
    <row r="990" spans="1:20" customFormat="1" ht="15" hidden="1" x14ac:dyDescent="0.25">
      <c r="A990" t="s">
        <v>24</v>
      </c>
      <c r="B990" t="s">
        <v>4477</v>
      </c>
      <c r="C990" t="str">
        <f>"A0191480"</f>
        <v>A0191480</v>
      </c>
      <c r="D990" t="s">
        <v>4478</v>
      </c>
      <c r="E990" t="s">
        <v>4479</v>
      </c>
      <c r="F990" t="s">
        <v>4480</v>
      </c>
      <c r="G990" t="s">
        <v>4481</v>
      </c>
      <c r="H990">
        <v>45693</v>
      </c>
      <c r="I990" t="s">
        <v>2408</v>
      </c>
      <c r="J990" t="s">
        <v>171</v>
      </c>
      <c r="K990" t="s">
        <v>248</v>
      </c>
      <c r="N990" t="s">
        <v>4482</v>
      </c>
      <c r="O990" t="s">
        <v>4483</v>
      </c>
      <c r="Q990">
        <v>0</v>
      </c>
      <c r="R990">
        <v>137</v>
      </c>
      <c r="S990">
        <v>0</v>
      </c>
      <c r="T990" t="s">
        <v>192</v>
      </c>
    </row>
    <row r="991" spans="1:20" customFormat="1" ht="15" hidden="1" x14ac:dyDescent="0.25">
      <c r="A991" t="s">
        <v>24</v>
      </c>
      <c r="B991" t="s">
        <v>4477</v>
      </c>
      <c r="C991" t="str">
        <f>"A0191479"</f>
        <v>A0191479</v>
      </c>
      <c r="D991" t="s">
        <v>4484</v>
      </c>
      <c r="E991" t="s">
        <v>4485</v>
      </c>
      <c r="F991" t="s">
        <v>4486</v>
      </c>
      <c r="G991" t="s">
        <v>4487</v>
      </c>
      <c r="H991">
        <v>78394</v>
      </c>
      <c r="I991" t="s">
        <v>2408</v>
      </c>
      <c r="J991" t="s">
        <v>171</v>
      </c>
      <c r="K991" t="s">
        <v>248</v>
      </c>
      <c r="N991" t="s">
        <v>4488</v>
      </c>
      <c r="O991" t="s">
        <v>4483</v>
      </c>
      <c r="Q991">
        <v>0</v>
      </c>
      <c r="R991">
        <v>138</v>
      </c>
      <c r="S991">
        <v>0</v>
      </c>
      <c r="T991" t="s">
        <v>4489</v>
      </c>
    </row>
    <row r="992" spans="1:20" customFormat="1" ht="15" hidden="1" x14ac:dyDescent="0.25">
      <c r="A992" t="s">
        <v>24</v>
      </c>
      <c r="B992" t="s">
        <v>4477</v>
      </c>
      <c r="C992" t="str">
        <f>"A0191478"</f>
        <v>A0191478</v>
      </c>
      <c r="D992" t="s">
        <v>4490</v>
      </c>
      <c r="E992" t="s">
        <v>4491</v>
      </c>
      <c r="F992" t="s">
        <v>4492</v>
      </c>
      <c r="G992" t="s">
        <v>4493</v>
      </c>
      <c r="H992">
        <v>76230</v>
      </c>
      <c r="I992" t="s">
        <v>2408</v>
      </c>
      <c r="J992" t="s">
        <v>171</v>
      </c>
      <c r="K992" t="s">
        <v>248</v>
      </c>
      <c r="N992" t="s">
        <v>4494</v>
      </c>
      <c r="O992" t="s">
        <v>4483</v>
      </c>
      <c r="Q992">
        <v>0</v>
      </c>
      <c r="R992">
        <v>138</v>
      </c>
      <c r="S992">
        <v>0</v>
      </c>
      <c r="T992" t="s">
        <v>4495</v>
      </c>
    </row>
    <row r="993" spans="1:20" customFormat="1" ht="15" hidden="1" x14ac:dyDescent="0.25">
      <c r="A993" t="s">
        <v>24</v>
      </c>
      <c r="B993" t="s">
        <v>4477</v>
      </c>
      <c r="C993" t="str">
        <f>"A0191476"</f>
        <v>A0191476</v>
      </c>
      <c r="D993" t="s">
        <v>4496</v>
      </c>
      <c r="E993" t="s">
        <v>4497</v>
      </c>
      <c r="F993" t="s">
        <v>4498</v>
      </c>
      <c r="G993" t="s">
        <v>4499</v>
      </c>
      <c r="H993">
        <v>72680</v>
      </c>
      <c r="I993" t="s">
        <v>2408</v>
      </c>
      <c r="J993" t="s">
        <v>171</v>
      </c>
      <c r="K993" t="s">
        <v>248</v>
      </c>
      <c r="N993" t="s">
        <v>4500</v>
      </c>
      <c r="O993" t="s">
        <v>4483</v>
      </c>
      <c r="Q993">
        <v>0</v>
      </c>
      <c r="R993">
        <v>138</v>
      </c>
      <c r="S993">
        <v>0</v>
      </c>
      <c r="T993" t="s">
        <v>4501</v>
      </c>
    </row>
    <row r="994" spans="1:20" customFormat="1" ht="15" hidden="1" x14ac:dyDescent="0.25">
      <c r="A994" t="s">
        <v>24</v>
      </c>
      <c r="B994" t="s">
        <v>4477</v>
      </c>
      <c r="C994" t="str">
        <f>"A0191475"</f>
        <v>A0191475</v>
      </c>
      <c r="D994" t="s">
        <v>4502</v>
      </c>
      <c r="E994" t="s">
        <v>4503</v>
      </c>
      <c r="F994" t="s">
        <v>4504</v>
      </c>
      <c r="G994" t="s">
        <v>4505</v>
      </c>
      <c r="H994">
        <v>66600</v>
      </c>
      <c r="I994" t="s">
        <v>2408</v>
      </c>
      <c r="J994" t="s">
        <v>171</v>
      </c>
      <c r="K994" t="s">
        <v>248</v>
      </c>
      <c r="N994" t="s">
        <v>4482</v>
      </c>
      <c r="Q994">
        <v>0</v>
      </c>
      <c r="R994">
        <v>148</v>
      </c>
      <c r="S994">
        <v>0</v>
      </c>
      <c r="T994" t="s">
        <v>4506</v>
      </c>
    </row>
    <row r="995" spans="1:20" customFormat="1" ht="15" hidden="1" x14ac:dyDescent="0.25">
      <c r="A995" t="s">
        <v>24</v>
      </c>
      <c r="B995" t="s">
        <v>4477</v>
      </c>
      <c r="C995" t="str">
        <f>"A0191474"</f>
        <v>A0191474</v>
      </c>
      <c r="D995" t="s">
        <v>4507</v>
      </c>
      <c r="E995" t="s">
        <v>4508</v>
      </c>
      <c r="F995" t="s">
        <v>4509</v>
      </c>
      <c r="G995" t="s">
        <v>4481</v>
      </c>
      <c r="H995">
        <v>45645</v>
      </c>
      <c r="I995" t="s">
        <v>2408</v>
      </c>
      <c r="J995" t="s">
        <v>171</v>
      </c>
      <c r="K995" t="s">
        <v>248</v>
      </c>
      <c r="N995" t="s">
        <v>4510</v>
      </c>
      <c r="O995" t="s">
        <v>4483</v>
      </c>
      <c r="Q995">
        <v>0</v>
      </c>
      <c r="R995">
        <v>137</v>
      </c>
      <c r="S995">
        <v>0</v>
      </c>
      <c r="T995" t="s">
        <v>4511</v>
      </c>
    </row>
    <row r="996" spans="1:20" customFormat="1" ht="15" hidden="1" x14ac:dyDescent="0.25">
      <c r="A996" t="s">
        <v>24</v>
      </c>
      <c r="B996" t="s">
        <v>4477</v>
      </c>
      <c r="C996" t="str">
        <f>"A0191473"</f>
        <v>A0191473</v>
      </c>
      <c r="D996" t="s">
        <v>4512</v>
      </c>
      <c r="E996" t="s">
        <v>4513</v>
      </c>
      <c r="F996" t="s">
        <v>4514</v>
      </c>
      <c r="G996" t="s">
        <v>4515</v>
      </c>
      <c r="H996">
        <v>20280</v>
      </c>
      <c r="I996" t="s">
        <v>2408</v>
      </c>
      <c r="J996" t="s">
        <v>171</v>
      </c>
      <c r="K996" t="s">
        <v>248</v>
      </c>
      <c r="N996" t="s">
        <v>4516</v>
      </c>
      <c r="O996" t="s">
        <v>4483</v>
      </c>
      <c r="Q996">
        <v>0</v>
      </c>
      <c r="R996">
        <v>138</v>
      </c>
      <c r="S996">
        <v>0</v>
      </c>
      <c r="T996" t="s">
        <v>4517</v>
      </c>
    </row>
    <row r="997" spans="1:20" customFormat="1" ht="15" hidden="1" x14ac:dyDescent="0.25">
      <c r="A997" t="s">
        <v>24</v>
      </c>
      <c r="B997" t="s">
        <v>4477</v>
      </c>
      <c r="C997" t="str">
        <f>"A0191472"</f>
        <v>A0191472</v>
      </c>
      <c r="D997" t="s">
        <v>4518</v>
      </c>
      <c r="E997" t="s">
        <v>4519</v>
      </c>
      <c r="F997" t="s">
        <v>4509</v>
      </c>
      <c r="G997" t="s">
        <v>4481</v>
      </c>
      <c r="H997">
        <v>45645</v>
      </c>
      <c r="I997" t="s">
        <v>2408</v>
      </c>
      <c r="J997" t="s">
        <v>145</v>
      </c>
      <c r="K997" t="s">
        <v>4520</v>
      </c>
      <c r="N997" t="s">
        <v>4510</v>
      </c>
      <c r="O997" t="s">
        <v>4483</v>
      </c>
      <c r="Q997">
        <v>0</v>
      </c>
      <c r="R997">
        <v>0</v>
      </c>
      <c r="S997">
        <v>0</v>
      </c>
      <c r="T997" t="s">
        <v>4521</v>
      </c>
    </row>
    <row r="998" spans="1:20" customFormat="1" ht="15" hidden="1" x14ac:dyDescent="0.25">
      <c r="A998" t="s">
        <v>24</v>
      </c>
      <c r="B998" t="s">
        <v>4477</v>
      </c>
      <c r="C998" t="str">
        <f>"A0191471"</f>
        <v>A0191471</v>
      </c>
      <c r="D998" t="s">
        <v>4522</v>
      </c>
      <c r="E998" t="s">
        <v>4523</v>
      </c>
      <c r="F998" t="s">
        <v>4486</v>
      </c>
      <c r="G998" t="s">
        <v>4487</v>
      </c>
      <c r="H998">
        <v>78394</v>
      </c>
      <c r="I998" t="s">
        <v>2408</v>
      </c>
      <c r="J998" t="s">
        <v>145</v>
      </c>
      <c r="K998" t="s">
        <v>4520</v>
      </c>
      <c r="N998" t="s">
        <v>4488</v>
      </c>
      <c r="O998" t="s">
        <v>4483</v>
      </c>
      <c r="Q998">
        <v>0</v>
      </c>
      <c r="R998">
        <v>120</v>
      </c>
      <c r="S998">
        <v>0</v>
      </c>
      <c r="T998" t="s">
        <v>4524</v>
      </c>
    </row>
    <row r="999" spans="1:20" customFormat="1" ht="15" hidden="1" x14ac:dyDescent="0.25">
      <c r="A999" t="s">
        <v>24</v>
      </c>
      <c r="B999" t="s">
        <v>4477</v>
      </c>
      <c r="C999" t="str">
        <f>"A0191470"</f>
        <v>A0191470</v>
      </c>
      <c r="D999" t="s">
        <v>4525</v>
      </c>
      <c r="E999" t="s">
        <v>4526</v>
      </c>
      <c r="F999" t="s">
        <v>4527</v>
      </c>
      <c r="G999" t="s">
        <v>4528</v>
      </c>
      <c r="H999">
        <v>36625</v>
      </c>
      <c r="I999" t="s">
        <v>2408</v>
      </c>
      <c r="J999" t="s">
        <v>145</v>
      </c>
      <c r="K999" t="s">
        <v>4520</v>
      </c>
      <c r="N999" t="s">
        <v>4482</v>
      </c>
      <c r="O999" t="s">
        <v>4483</v>
      </c>
      <c r="Q999">
        <v>0</v>
      </c>
      <c r="R999">
        <v>120</v>
      </c>
      <c r="S999">
        <v>0</v>
      </c>
      <c r="T999" t="s">
        <v>4529</v>
      </c>
    </row>
    <row r="1000" spans="1:20" customFormat="1" ht="15" x14ac:dyDescent="0.25">
      <c r="A1000" t="s">
        <v>24</v>
      </c>
      <c r="B1000" t="s">
        <v>140</v>
      </c>
      <c r="C1000" t="str">
        <f>"88CP002"</f>
        <v>88CP002</v>
      </c>
      <c r="D1000" t="s">
        <v>10756</v>
      </c>
      <c r="E1000" t="s">
        <v>10757</v>
      </c>
      <c r="F1000" t="s">
        <v>2971</v>
      </c>
      <c r="G1000" t="s">
        <v>880</v>
      </c>
      <c r="H1000">
        <v>37219</v>
      </c>
      <c r="I1000" t="s">
        <v>30</v>
      </c>
      <c r="J1000" t="s">
        <v>162</v>
      </c>
      <c r="K1000" t="s">
        <v>1502</v>
      </c>
      <c r="N1000" t="s">
        <v>10758</v>
      </c>
      <c r="O1000" t="s">
        <v>10759</v>
      </c>
      <c r="Q1000">
        <v>0</v>
      </c>
      <c r="R1000">
        <v>477</v>
      </c>
      <c r="S1000">
        <v>0</v>
      </c>
      <c r="T1000" t="s">
        <v>10760</v>
      </c>
    </row>
    <row r="1001" spans="1:20" customFormat="1" ht="15" x14ac:dyDescent="0.25">
      <c r="A1001" t="s">
        <v>24</v>
      </c>
      <c r="B1001" t="s">
        <v>1020</v>
      </c>
      <c r="C1001" t="str">
        <f>"A0088715"</f>
        <v>A0088715</v>
      </c>
      <c r="D1001" t="s">
        <v>10773</v>
      </c>
      <c r="E1001" t="s">
        <v>10774</v>
      </c>
      <c r="F1001" t="s">
        <v>5651</v>
      </c>
      <c r="G1001" t="s">
        <v>110</v>
      </c>
      <c r="H1001">
        <v>92806</v>
      </c>
      <c r="I1001" t="s">
        <v>30</v>
      </c>
      <c r="J1001" t="s">
        <v>162</v>
      </c>
      <c r="K1001" t="s">
        <v>266</v>
      </c>
      <c r="N1001" t="s">
        <v>10775</v>
      </c>
      <c r="Q1001">
        <v>0</v>
      </c>
      <c r="R1001">
        <v>222</v>
      </c>
      <c r="S1001">
        <v>0</v>
      </c>
      <c r="T1001" t="s">
        <v>10776</v>
      </c>
    </row>
    <row r="1002" spans="1:20" customFormat="1" ht="15" x14ac:dyDescent="0.25">
      <c r="A1002" t="s">
        <v>24</v>
      </c>
      <c r="B1002" t="s">
        <v>2836</v>
      </c>
      <c r="C1002" t="str">
        <f>"A0076315"</f>
        <v>A0076315</v>
      </c>
      <c r="D1002" t="s">
        <v>4539</v>
      </c>
      <c r="E1002" t="s">
        <v>4540</v>
      </c>
      <c r="F1002" t="s">
        <v>4541</v>
      </c>
      <c r="G1002" t="s">
        <v>153</v>
      </c>
      <c r="H1002">
        <v>84101</v>
      </c>
      <c r="I1002" t="s">
        <v>30</v>
      </c>
      <c r="J1002" t="s">
        <v>31</v>
      </c>
      <c r="K1002" t="s">
        <v>1023</v>
      </c>
      <c r="N1002" t="s">
        <v>4542</v>
      </c>
      <c r="Q1002">
        <v>0</v>
      </c>
      <c r="R1002">
        <v>137</v>
      </c>
      <c r="S1002">
        <v>0</v>
      </c>
      <c r="T1002" t="s">
        <v>4543</v>
      </c>
    </row>
    <row r="1003" spans="1:20" customFormat="1" ht="15" x14ac:dyDescent="0.25">
      <c r="A1003" t="s">
        <v>24</v>
      </c>
      <c r="B1003" t="s">
        <v>4544</v>
      </c>
      <c r="C1003" t="str">
        <f>"A0191395"</f>
        <v>A0191395</v>
      </c>
      <c r="D1003" t="s">
        <v>4545</v>
      </c>
      <c r="E1003" t="s">
        <v>4546</v>
      </c>
      <c r="F1003" t="s">
        <v>972</v>
      </c>
      <c r="G1003" t="s">
        <v>190</v>
      </c>
      <c r="H1003">
        <v>80014</v>
      </c>
      <c r="I1003" t="s">
        <v>30</v>
      </c>
      <c r="J1003" t="s">
        <v>31</v>
      </c>
      <c r="K1003" t="s">
        <v>198</v>
      </c>
      <c r="N1003" t="s">
        <v>4547</v>
      </c>
      <c r="Q1003">
        <v>0</v>
      </c>
      <c r="R1003">
        <v>112</v>
      </c>
      <c r="S1003">
        <v>0</v>
      </c>
      <c r="T1003" t="s">
        <v>4548</v>
      </c>
    </row>
    <row r="1004" spans="1:20" customFormat="1" ht="15" x14ac:dyDescent="0.25">
      <c r="A1004" t="s">
        <v>24</v>
      </c>
      <c r="B1004" t="s">
        <v>4544</v>
      </c>
      <c r="C1004" t="str">
        <f>"A0167189"</f>
        <v>A0167189</v>
      </c>
      <c r="D1004" t="s">
        <v>4549</v>
      </c>
      <c r="E1004" t="s">
        <v>4550</v>
      </c>
      <c r="F1004" t="s">
        <v>4551</v>
      </c>
      <c r="G1004" t="s">
        <v>71</v>
      </c>
      <c r="H1004">
        <v>53142</v>
      </c>
      <c r="I1004" t="s">
        <v>30</v>
      </c>
      <c r="J1004" t="s">
        <v>31</v>
      </c>
      <c r="K1004" t="s">
        <v>255</v>
      </c>
      <c r="N1004" t="s">
        <v>4552</v>
      </c>
      <c r="Q1004">
        <v>0</v>
      </c>
      <c r="R1004">
        <v>94</v>
      </c>
      <c r="S1004">
        <v>0</v>
      </c>
      <c r="T1004" t="s">
        <v>4553</v>
      </c>
    </row>
    <row r="1005" spans="1:20" customFormat="1" ht="15" x14ac:dyDescent="0.25">
      <c r="A1005" t="s">
        <v>24</v>
      </c>
      <c r="B1005" t="s">
        <v>4544</v>
      </c>
      <c r="C1005" t="str">
        <f>"SF09098"</f>
        <v>SF09098</v>
      </c>
      <c r="D1005" t="s">
        <v>4554</v>
      </c>
      <c r="E1005" t="s">
        <v>4555</v>
      </c>
      <c r="F1005" t="s">
        <v>1153</v>
      </c>
      <c r="G1005" t="s">
        <v>110</v>
      </c>
      <c r="H1005">
        <v>94560</v>
      </c>
      <c r="I1005" t="s">
        <v>30</v>
      </c>
      <c r="J1005" t="s">
        <v>31</v>
      </c>
      <c r="K1005" t="s">
        <v>296</v>
      </c>
      <c r="N1005" t="s">
        <v>4556</v>
      </c>
      <c r="Q1005">
        <v>0</v>
      </c>
      <c r="R1005">
        <v>98</v>
      </c>
      <c r="S1005">
        <v>0</v>
      </c>
      <c r="T1005" t="s">
        <v>4557</v>
      </c>
    </row>
    <row r="1006" spans="1:20" customFormat="1" ht="15" x14ac:dyDescent="0.25">
      <c r="A1006" t="s">
        <v>24</v>
      </c>
      <c r="B1006" t="s">
        <v>4544</v>
      </c>
      <c r="C1006" t="str">
        <f>"A0191394"</f>
        <v>A0191394</v>
      </c>
      <c r="D1006" t="s">
        <v>4558</v>
      </c>
      <c r="E1006" t="s">
        <v>4559</v>
      </c>
      <c r="F1006" t="s">
        <v>4560</v>
      </c>
      <c r="G1006" t="s">
        <v>925</v>
      </c>
      <c r="H1006">
        <v>67501</v>
      </c>
      <c r="I1006" t="s">
        <v>30</v>
      </c>
      <c r="J1006" t="s">
        <v>31</v>
      </c>
      <c r="K1006" t="s">
        <v>198</v>
      </c>
      <c r="N1006" t="s">
        <v>4561</v>
      </c>
      <c r="Q1006">
        <v>0</v>
      </c>
      <c r="R1006">
        <v>70</v>
      </c>
      <c r="S1006">
        <v>0</v>
      </c>
      <c r="T1006" t="s">
        <v>4562</v>
      </c>
    </row>
    <row r="1007" spans="1:20" customFormat="1" ht="15" x14ac:dyDescent="0.25">
      <c r="A1007" t="s">
        <v>24</v>
      </c>
      <c r="B1007" t="s">
        <v>4544</v>
      </c>
      <c r="C1007" t="str">
        <f>"A0191026"</f>
        <v>A0191026</v>
      </c>
      <c r="D1007" t="s">
        <v>4563</v>
      </c>
      <c r="E1007" t="s">
        <v>4564</v>
      </c>
      <c r="F1007" t="s">
        <v>4565</v>
      </c>
      <c r="G1007" t="s">
        <v>925</v>
      </c>
      <c r="H1007">
        <v>67601</v>
      </c>
      <c r="I1007" t="s">
        <v>30</v>
      </c>
      <c r="J1007" t="s">
        <v>31</v>
      </c>
      <c r="K1007" t="s">
        <v>198</v>
      </c>
      <c r="N1007" t="s">
        <v>4566</v>
      </c>
      <c r="Q1007">
        <v>0</v>
      </c>
      <c r="R1007">
        <v>80</v>
      </c>
      <c r="S1007">
        <v>0</v>
      </c>
      <c r="T1007" t="s">
        <v>4567</v>
      </c>
    </row>
    <row r="1008" spans="1:20" customFormat="1" ht="15" x14ac:dyDescent="0.25">
      <c r="A1008" t="s">
        <v>24</v>
      </c>
      <c r="B1008" t="s">
        <v>4544</v>
      </c>
      <c r="C1008" t="str">
        <f>"A0086988"</f>
        <v>A0086988</v>
      </c>
      <c r="D1008" t="s">
        <v>4568</v>
      </c>
      <c r="E1008" t="s">
        <v>4569</v>
      </c>
      <c r="F1008" t="s">
        <v>4570</v>
      </c>
      <c r="G1008" t="s">
        <v>925</v>
      </c>
      <c r="H1008">
        <v>67846</v>
      </c>
      <c r="I1008" t="s">
        <v>30</v>
      </c>
      <c r="J1008" t="s">
        <v>31</v>
      </c>
      <c r="K1008" t="s">
        <v>198</v>
      </c>
      <c r="N1008" t="s">
        <v>4571</v>
      </c>
      <c r="Q1008">
        <v>0</v>
      </c>
      <c r="R1008">
        <v>80</v>
      </c>
      <c r="S1008">
        <v>0</v>
      </c>
      <c r="T1008" t="s">
        <v>4562</v>
      </c>
    </row>
    <row r="1009" spans="1:20" customFormat="1" ht="15" x14ac:dyDescent="0.25">
      <c r="A1009" t="s">
        <v>24</v>
      </c>
      <c r="B1009" t="s">
        <v>4544</v>
      </c>
      <c r="C1009" t="str">
        <f>"SF03783"</f>
        <v>SF03783</v>
      </c>
      <c r="D1009" t="s">
        <v>4572</v>
      </c>
      <c r="E1009" t="s">
        <v>4573</v>
      </c>
      <c r="F1009" t="s">
        <v>4560</v>
      </c>
      <c r="G1009" t="s">
        <v>925</v>
      </c>
      <c r="H1009">
        <v>67501</v>
      </c>
      <c r="I1009" t="s">
        <v>30</v>
      </c>
      <c r="J1009" t="s">
        <v>31</v>
      </c>
      <c r="K1009" t="s">
        <v>296</v>
      </c>
      <c r="N1009" t="s">
        <v>4574</v>
      </c>
      <c r="Q1009">
        <v>0</v>
      </c>
      <c r="R1009">
        <v>70</v>
      </c>
      <c r="S1009">
        <v>0</v>
      </c>
      <c r="T1009" t="s">
        <v>4575</v>
      </c>
    </row>
    <row r="1010" spans="1:20" customFormat="1" ht="15" hidden="1" x14ac:dyDescent="0.25">
      <c r="A1010" t="s">
        <v>24</v>
      </c>
      <c r="B1010" t="s">
        <v>4576</v>
      </c>
      <c r="C1010" t="str">
        <f>"A0191406"</f>
        <v>A0191406</v>
      </c>
      <c r="D1010" t="s">
        <v>4577</v>
      </c>
      <c r="E1010" t="s">
        <v>4578</v>
      </c>
      <c r="F1010" t="s">
        <v>4579</v>
      </c>
      <c r="G1010" t="s">
        <v>4580</v>
      </c>
      <c r="H1010">
        <v>97000</v>
      </c>
      <c r="I1010" t="s">
        <v>2408</v>
      </c>
      <c r="J1010" t="s">
        <v>162</v>
      </c>
      <c r="K1010" t="s">
        <v>4581</v>
      </c>
      <c r="N1010" t="s">
        <v>4582</v>
      </c>
      <c r="Q1010">
        <v>0</v>
      </c>
      <c r="R1010">
        <v>100</v>
      </c>
      <c r="S1010">
        <v>0</v>
      </c>
      <c r="T1010" t="s">
        <v>4583</v>
      </c>
    </row>
    <row r="1011" spans="1:20" customFormat="1" ht="15" x14ac:dyDescent="0.25">
      <c r="A1011" t="s">
        <v>35</v>
      </c>
      <c r="B1011" t="s">
        <v>3424</v>
      </c>
      <c r="C1011" t="str">
        <f>"A0191469"</f>
        <v>A0191469</v>
      </c>
      <c r="D1011" t="s">
        <v>4584</v>
      </c>
      <c r="E1011" t="s">
        <v>4585</v>
      </c>
      <c r="F1011" t="s">
        <v>4586</v>
      </c>
      <c r="G1011" t="s">
        <v>153</v>
      </c>
      <c r="H1011">
        <v>84065</v>
      </c>
      <c r="I1011" t="s">
        <v>30</v>
      </c>
      <c r="J1011" t="s">
        <v>41</v>
      </c>
      <c r="K1011" t="s">
        <v>59</v>
      </c>
      <c r="Q1011">
        <v>0</v>
      </c>
      <c r="R1011">
        <v>0</v>
      </c>
      <c r="S1011">
        <v>45</v>
      </c>
      <c r="T1011" t="s">
        <v>4587</v>
      </c>
    </row>
    <row r="1012" spans="1:20" customFormat="1" ht="15" x14ac:dyDescent="0.25">
      <c r="A1012" t="s">
        <v>35</v>
      </c>
      <c r="B1012" t="s">
        <v>4588</v>
      </c>
      <c r="C1012" t="str">
        <f>"A0191468"</f>
        <v>A0191468</v>
      </c>
      <c r="D1012" t="s">
        <v>4589</v>
      </c>
      <c r="E1012" t="s">
        <v>4590</v>
      </c>
      <c r="F1012" t="s">
        <v>4591</v>
      </c>
      <c r="G1012" t="s">
        <v>65</v>
      </c>
      <c r="H1012">
        <v>43302</v>
      </c>
      <c r="I1012" t="s">
        <v>30</v>
      </c>
      <c r="J1012" t="s">
        <v>41</v>
      </c>
      <c r="K1012" t="s">
        <v>104</v>
      </c>
      <c r="Q1012">
        <v>0</v>
      </c>
      <c r="R1012">
        <v>0</v>
      </c>
      <c r="S1012">
        <v>0</v>
      </c>
      <c r="T1012" t="s">
        <v>4592</v>
      </c>
    </row>
    <row r="1013" spans="1:20" customFormat="1" ht="15" x14ac:dyDescent="0.25">
      <c r="A1013" t="s">
        <v>35</v>
      </c>
      <c r="B1013" t="s">
        <v>4588</v>
      </c>
      <c r="C1013" t="str">
        <f>"A0191467"</f>
        <v>A0191467</v>
      </c>
      <c r="D1013" t="s">
        <v>4593</v>
      </c>
      <c r="E1013" t="s">
        <v>4594</v>
      </c>
      <c r="F1013" t="s">
        <v>64</v>
      </c>
      <c r="G1013" t="s">
        <v>65</v>
      </c>
      <c r="H1013">
        <v>43203</v>
      </c>
      <c r="I1013" t="s">
        <v>30</v>
      </c>
      <c r="J1013" t="s">
        <v>41</v>
      </c>
      <c r="K1013" t="s">
        <v>104</v>
      </c>
      <c r="Q1013">
        <v>0</v>
      </c>
      <c r="R1013">
        <v>0</v>
      </c>
      <c r="S1013">
        <v>0</v>
      </c>
      <c r="T1013" t="s">
        <v>4595</v>
      </c>
    </row>
    <row r="1014" spans="1:20" customFormat="1" ht="15" x14ac:dyDescent="0.25">
      <c r="A1014" t="s">
        <v>35</v>
      </c>
      <c r="B1014" t="s">
        <v>4596</v>
      </c>
      <c r="C1014" t="str">
        <f>"A0191466"</f>
        <v>A0191466</v>
      </c>
      <c r="D1014" t="s">
        <v>4597</v>
      </c>
      <c r="E1014" t="s">
        <v>4598</v>
      </c>
      <c r="F1014" t="s">
        <v>4599</v>
      </c>
      <c r="G1014" t="s">
        <v>65</v>
      </c>
      <c r="H1014">
        <v>43420</v>
      </c>
      <c r="I1014" t="s">
        <v>30</v>
      </c>
      <c r="J1014" t="s">
        <v>41</v>
      </c>
      <c r="K1014" t="s">
        <v>482</v>
      </c>
      <c r="Q1014">
        <v>0</v>
      </c>
      <c r="R1014">
        <v>0</v>
      </c>
      <c r="S1014">
        <v>39</v>
      </c>
      <c r="T1014" t="s">
        <v>4600</v>
      </c>
    </row>
    <row r="1015" spans="1:20" customFormat="1" ht="15" x14ac:dyDescent="0.25">
      <c r="A1015" t="s">
        <v>35</v>
      </c>
      <c r="B1015" t="s">
        <v>4596</v>
      </c>
      <c r="C1015" t="str">
        <f>"A0191465"</f>
        <v>A0191465</v>
      </c>
      <c r="D1015" t="s">
        <v>4601</v>
      </c>
      <c r="E1015" t="s">
        <v>4602</v>
      </c>
      <c r="F1015" t="s">
        <v>4603</v>
      </c>
      <c r="G1015" t="s">
        <v>65</v>
      </c>
      <c r="H1015">
        <v>45694</v>
      </c>
      <c r="I1015" t="s">
        <v>30</v>
      </c>
      <c r="J1015" t="s">
        <v>41</v>
      </c>
      <c r="K1015" t="s">
        <v>482</v>
      </c>
      <c r="Q1015">
        <v>0</v>
      </c>
      <c r="R1015">
        <v>0</v>
      </c>
      <c r="S1015">
        <v>39</v>
      </c>
      <c r="T1015" t="s">
        <v>4604</v>
      </c>
    </row>
    <row r="1016" spans="1:20" customFormat="1" ht="15" x14ac:dyDescent="0.25">
      <c r="A1016" t="s">
        <v>35</v>
      </c>
      <c r="B1016" t="s">
        <v>4596</v>
      </c>
      <c r="C1016" t="str">
        <f>"A0191464"</f>
        <v>A0191464</v>
      </c>
      <c r="D1016" t="s">
        <v>4605</v>
      </c>
      <c r="E1016" t="s">
        <v>4606</v>
      </c>
      <c r="F1016" t="s">
        <v>4607</v>
      </c>
      <c r="G1016" t="s">
        <v>65</v>
      </c>
      <c r="H1016">
        <v>45383</v>
      </c>
      <c r="I1016" t="s">
        <v>30</v>
      </c>
      <c r="J1016" t="s">
        <v>41</v>
      </c>
      <c r="K1016" t="s">
        <v>482</v>
      </c>
      <c r="Q1016">
        <v>0</v>
      </c>
      <c r="R1016">
        <v>0</v>
      </c>
      <c r="S1016">
        <v>39</v>
      </c>
      <c r="T1016" t="s">
        <v>4608</v>
      </c>
    </row>
    <row r="1017" spans="1:20" customFormat="1" ht="15" x14ac:dyDescent="0.25">
      <c r="A1017" t="s">
        <v>35</v>
      </c>
      <c r="B1017" t="s">
        <v>4596</v>
      </c>
      <c r="C1017" t="str">
        <f>"A0191463"</f>
        <v>A0191463</v>
      </c>
      <c r="D1017" t="s">
        <v>4609</v>
      </c>
      <c r="E1017" t="s">
        <v>4610</v>
      </c>
      <c r="F1017" t="s">
        <v>4611</v>
      </c>
      <c r="G1017" t="s">
        <v>65</v>
      </c>
      <c r="H1017">
        <v>45373</v>
      </c>
      <c r="I1017" t="s">
        <v>30</v>
      </c>
      <c r="J1017" t="s">
        <v>41</v>
      </c>
      <c r="K1017" t="s">
        <v>482</v>
      </c>
      <c r="Q1017">
        <v>0</v>
      </c>
      <c r="R1017">
        <v>0</v>
      </c>
      <c r="S1017">
        <v>39</v>
      </c>
      <c r="T1017" t="s">
        <v>4612</v>
      </c>
    </row>
    <row r="1018" spans="1:20" customFormat="1" ht="15" x14ac:dyDescent="0.25">
      <c r="A1018" t="s">
        <v>35</v>
      </c>
      <c r="B1018" t="s">
        <v>4596</v>
      </c>
      <c r="C1018" t="str">
        <f>"A0191462"</f>
        <v>A0191462</v>
      </c>
      <c r="D1018" t="s">
        <v>4613</v>
      </c>
      <c r="E1018" t="s">
        <v>4614</v>
      </c>
      <c r="F1018" t="s">
        <v>4615</v>
      </c>
      <c r="G1018" t="s">
        <v>65</v>
      </c>
      <c r="H1018">
        <v>43055</v>
      </c>
      <c r="I1018" t="s">
        <v>30</v>
      </c>
      <c r="J1018" t="s">
        <v>41</v>
      </c>
      <c r="K1018" t="s">
        <v>482</v>
      </c>
      <c r="Q1018">
        <v>0</v>
      </c>
      <c r="R1018">
        <v>0</v>
      </c>
      <c r="S1018">
        <v>39</v>
      </c>
      <c r="T1018" t="s">
        <v>4616</v>
      </c>
    </row>
    <row r="1019" spans="1:20" customFormat="1" ht="15" x14ac:dyDescent="0.25">
      <c r="A1019" t="s">
        <v>35</v>
      </c>
      <c r="B1019" t="s">
        <v>4596</v>
      </c>
      <c r="C1019" t="str">
        <f>"A0191461"</f>
        <v>A0191461</v>
      </c>
      <c r="D1019" t="s">
        <v>4617</v>
      </c>
      <c r="E1019" t="s">
        <v>4618</v>
      </c>
      <c r="F1019" t="s">
        <v>4619</v>
      </c>
      <c r="G1019" t="s">
        <v>117</v>
      </c>
      <c r="H1019">
        <v>48116</v>
      </c>
      <c r="I1019" t="s">
        <v>30</v>
      </c>
      <c r="J1019" t="s">
        <v>41</v>
      </c>
      <c r="K1019" t="s">
        <v>59</v>
      </c>
      <c r="Q1019">
        <v>0</v>
      </c>
      <c r="R1019">
        <v>0</v>
      </c>
      <c r="S1019">
        <v>80</v>
      </c>
      <c r="T1019" t="s">
        <v>72</v>
      </c>
    </row>
    <row r="1020" spans="1:20" customFormat="1" ht="15" x14ac:dyDescent="0.25">
      <c r="A1020" t="s">
        <v>35</v>
      </c>
      <c r="B1020" t="s">
        <v>3381</v>
      </c>
      <c r="C1020" t="str">
        <f>"A0191460"</f>
        <v>A0191460</v>
      </c>
      <c r="D1020" t="s">
        <v>4620</v>
      </c>
      <c r="E1020" t="s">
        <v>4621</v>
      </c>
      <c r="F1020" t="s">
        <v>4622</v>
      </c>
      <c r="G1020" t="s">
        <v>899</v>
      </c>
      <c r="H1020">
        <v>2038</v>
      </c>
      <c r="I1020" t="s">
        <v>30</v>
      </c>
      <c r="J1020" t="s">
        <v>41</v>
      </c>
      <c r="K1020" t="s">
        <v>229</v>
      </c>
      <c r="Q1020">
        <v>0</v>
      </c>
      <c r="R1020">
        <v>0</v>
      </c>
      <c r="S1020">
        <v>120</v>
      </c>
      <c r="T1020" t="s">
        <v>4623</v>
      </c>
    </row>
    <row r="1021" spans="1:20" customFormat="1" ht="15" x14ac:dyDescent="0.25">
      <c r="A1021" t="s">
        <v>35</v>
      </c>
      <c r="B1021" t="s">
        <v>3381</v>
      </c>
      <c r="C1021" t="str">
        <f>"A0191459"</f>
        <v>A0191459</v>
      </c>
      <c r="D1021" t="s">
        <v>4624</v>
      </c>
      <c r="E1021" t="s">
        <v>4625</v>
      </c>
      <c r="F1021" t="s">
        <v>4245</v>
      </c>
      <c r="G1021" t="s">
        <v>99</v>
      </c>
      <c r="H1021">
        <v>12414</v>
      </c>
      <c r="I1021" t="s">
        <v>30</v>
      </c>
      <c r="J1021" t="s">
        <v>41</v>
      </c>
      <c r="K1021" t="s">
        <v>229</v>
      </c>
      <c r="Q1021">
        <v>0</v>
      </c>
      <c r="R1021">
        <v>0</v>
      </c>
      <c r="S1021">
        <v>120</v>
      </c>
      <c r="T1021" t="s">
        <v>4626</v>
      </c>
    </row>
    <row r="1022" spans="1:20" customFormat="1" ht="15" x14ac:dyDescent="0.25">
      <c r="A1022" t="s">
        <v>35</v>
      </c>
      <c r="B1022" t="s">
        <v>3381</v>
      </c>
      <c r="C1022" t="str">
        <f>"A0191458"</f>
        <v>A0191458</v>
      </c>
      <c r="D1022" t="s">
        <v>4627</v>
      </c>
      <c r="E1022" t="s">
        <v>4628</v>
      </c>
      <c r="F1022" t="s">
        <v>4629</v>
      </c>
      <c r="G1022" t="s">
        <v>103</v>
      </c>
      <c r="H1022">
        <v>19128</v>
      </c>
      <c r="I1022" t="s">
        <v>30</v>
      </c>
      <c r="J1022" t="s">
        <v>41</v>
      </c>
      <c r="K1022" t="s">
        <v>229</v>
      </c>
      <c r="Q1022">
        <v>0</v>
      </c>
      <c r="R1022">
        <v>0</v>
      </c>
      <c r="S1022">
        <v>244</v>
      </c>
      <c r="T1022" t="s">
        <v>4630</v>
      </c>
    </row>
    <row r="1023" spans="1:20" customFormat="1" ht="15" x14ac:dyDescent="0.25">
      <c r="A1023" t="s">
        <v>35</v>
      </c>
      <c r="B1023" t="s">
        <v>3381</v>
      </c>
      <c r="C1023" t="str">
        <f>"A0191457"</f>
        <v>A0191457</v>
      </c>
      <c r="D1023" t="s">
        <v>4631</v>
      </c>
      <c r="E1023" t="s">
        <v>4632</v>
      </c>
      <c r="F1023" t="s">
        <v>4633</v>
      </c>
      <c r="G1023" t="s">
        <v>899</v>
      </c>
      <c r="H1023">
        <v>2720</v>
      </c>
      <c r="I1023" t="s">
        <v>30</v>
      </c>
      <c r="J1023" t="s">
        <v>41</v>
      </c>
      <c r="K1023" t="s">
        <v>229</v>
      </c>
      <c r="Q1023">
        <v>0</v>
      </c>
      <c r="R1023">
        <v>0</v>
      </c>
      <c r="S1023">
        <v>124</v>
      </c>
      <c r="T1023" t="s">
        <v>4634</v>
      </c>
    </row>
    <row r="1024" spans="1:20" customFormat="1" ht="15" x14ac:dyDescent="0.25">
      <c r="A1024" t="s">
        <v>35</v>
      </c>
      <c r="B1024" t="s">
        <v>3381</v>
      </c>
      <c r="C1024" t="str">
        <f>"A0191456"</f>
        <v>A0191456</v>
      </c>
      <c r="D1024" t="s">
        <v>4635</v>
      </c>
      <c r="E1024" t="s">
        <v>4636</v>
      </c>
      <c r="F1024" t="s">
        <v>4637</v>
      </c>
      <c r="G1024" t="s">
        <v>899</v>
      </c>
      <c r="H1024">
        <v>1702</v>
      </c>
      <c r="I1024" t="s">
        <v>30</v>
      </c>
      <c r="J1024" t="s">
        <v>41</v>
      </c>
      <c r="K1024" t="s">
        <v>229</v>
      </c>
      <c r="Q1024">
        <v>0</v>
      </c>
      <c r="R1024">
        <v>0</v>
      </c>
      <c r="S1024">
        <v>124</v>
      </c>
      <c r="T1024" t="s">
        <v>4638</v>
      </c>
    </row>
    <row r="1025" spans="1:20" customFormat="1" ht="15" x14ac:dyDescent="0.25">
      <c r="A1025" t="s">
        <v>35</v>
      </c>
      <c r="B1025" t="s">
        <v>3381</v>
      </c>
      <c r="C1025" t="str">
        <f>"A0191455"</f>
        <v>A0191455</v>
      </c>
      <c r="D1025" t="s">
        <v>4639</v>
      </c>
      <c r="E1025" t="s">
        <v>4640</v>
      </c>
      <c r="F1025" t="s">
        <v>4641</v>
      </c>
      <c r="G1025" t="s">
        <v>81</v>
      </c>
      <c r="H1025">
        <v>33907</v>
      </c>
      <c r="I1025" t="s">
        <v>30</v>
      </c>
      <c r="J1025" t="s">
        <v>41</v>
      </c>
      <c r="K1025" t="s">
        <v>229</v>
      </c>
      <c r="Q1025">
        <v>0</v>
      </c>
      <c r="R1025">
        <v>0</v>
      </c>
      <c r="S1025">
        <v>180</v>
      </c>
      <c r="T1025" t="s">
        <v>4642</v>
      </c>
    </row>
    <row r="1026" spans="1:20" customFormat="1" ht="15" x14ac:dyDescent="0.25">
      <c r="A1026" t="s">
        <v>35</v>
      </c>
      <c r="B1026" t="s">
        <v>3381</v>
      </c>
      <c r="C1026" t="str">
        <f>"A0191454"</f>
        <v>A0191454</v>
      </c>
      <c r="D1026" t="s">
        <v>4643</v>
      </c>
      <c r="E1026" t="s">
        <v>4644</v>
      </c>
      <c r="F1026" t="s">
        <v>4645</v>
      </c>
      <c r="G1026" t="s">
        <v>81</v>
      </c>
      <c r="H1026">
        <v>32225</v>
      </c>
      <c r="I1026" t="s">
        <v>30</v>
      </c>
      <c r="J1026" t="s">
        <v>41</v>
      </c>
      <c r="K1026" t="s">
        <v>229</v>
      </c>
      <c r="Q1026">
        <v>0</v>
      </c>
      <c r="R1026">
        <v>0</v>
      </c>
      <c r="S1026">
        <v>180</v>
      </c>
      <c r="T1026" t="s">
        <v>4646</v>
      </c>
    </row>
    <row r="1027" spans="1:20" customFormat="1" ht="15" x14ac:dyDescent="0.25">
      <c r="A1027" t="s">
        <v>35</v>
      </c>
      <c r="B1027" t="s">
        <v>3381</v>
      </c>
      <c r="C1027" t="str">
        <f>"A0191453"</f>
        <v>A0191453</v>
      </c>
      <c r="D1027" t="s">
        <v>4647</v>
      </c>
      <c r="E1027" t="s">
        <v>4648</v>
      </c>
      <c r="F1027" t="s">
        <v>4629</v>
      </c>
      <c r="G1027" t="s">
        <v>103</v>
      </c>
      <c r="H1027">
        <v>19144</v>
      </c>
      <c r="I1027" t="s">
        <v>30</v>
      </c>
      <c r="J1027" t="s">
        <v>41</v>
      </c>
      <c r="K1027" t="s">
        <v>229</v>
      </c>
      <c r="Q1027">
        <v>0</v>
      </c>
      <c r="R1027">
        <v>0</v>
      </c>
      <c r="S1027">
        <v>180</v>
      </c>
      <c r="T1027" t="s">
        <v>4649</v>
      </c>
    </row>
    <row r="1028" spans="1:20" customFormat="1" ht="15" x14ac:dyDescent="0.25">
      <c r="A1028" t="s">
        <v>35</v>
      </c>
      <c r="B1028" t="s">
        <v>3381</v>
      </c>
      <c r="C1028" t="str">
        <f>"A0191452"</f>
        <v>A0191452</v>
      </c>
      <c r="D1028" t="s">
        <v>4650</v>
      </c>
      <c r="E1028" t="s">
        <v>4651</v>
      </c>
      <c r="F1028" t="s">
        <v>2623</v>
      </c>
      <c r="G1028" t="s">
        <v>99</v>
      </c>
      <c r="H1028">
        <v>10550</v>
      </c>
      <c r="I1028" t="s">
        <v>30</v>
      </c>
      <c r="J1028" t="s">
        <v>41</v>
      </c>
      <c r="K1028" t="s">
        <v>229</v>
      </c>
      <c r="Q1028">
        <v>0</v>
      </c>
      <c r="R1028">
        <v>0</v>
      </c>
      <c r="S1028">
        <v>240</v>
      </c>
      <c r="T1028" t="s">
        <v>4652</v>
      </c>
    </row>
    <row r="1029" spans="1:20" customFormat="1" ht="15" x14ac:dyDescent="0.25">
      <c r="A1029" t="s">
        <v>35</v>
      </c>
      <c r="B1029" t="s">
        <v>3381</v>
      </c>
      <c r="C1029" t="str">
        <f>"A0191451"</f>
        <v>A0191451</v>
      </c>
      <c r="D1029" t="s">
        <v>4653</v>
      </c>
      <c r="E1029" t="s">
        <v>4654</v>
      </c>
      <c r="F1029" t="s">
        <v>4655</v>
      </c>
      <c r="G1029" t="s">
        <v>899</v>
      </c>
      <c r="H1029">
        <v>2062</v>
      </c>
      <c r="I1029" t="s">
        <v>30</v>
      </c>
      <c r="J1029" t="s">
        <v>41</v>
      </c>
      <c r="K1029" t="s">
        <v>229</v>
      </c>
      <c r="Q1029">
        <v>0</v>
      </c>
      <c r="R1029">
        <v>0</v>
      </c>
      <c r="S1029">
        <v>124</v>
      </c>
      <c r="T1029" t="s">
        <v>4656</v>
      </c>
    </row>
    <row r="1030" spans="1:20" customFormat="1" ht="15" x14ac:dyDescent="0.25">
      <c r="A1030" t="s">
        <v>35</v>
      </c>
      <c r="B1030" t="s">
        <v>3381</v>
      </c>
      <c r="C1030" t="str">
        <f>"A0191450"</f>
        <v>A0191450</v>
      </c>
      <c r="D1030" t="s">
        <v>4657</v>
      </c>
      <c r="E1030" t="s">
        <v>4658</v>
      </c>
      <c r="F1030" t="s">
        <v>4633</v>
      </c>
      <c r="G1030" t="s">
        <v>899</v>
      </c>
      <c r="H1030">
        <v>2723</v>
      </c>
      <c r="I1030" t="s">
        <v>30</v>
      </c>
      <c r="J1030" t="s">
        <v>41</v>
      </c>
      <c r="K1030" t="s">
        <v>229</v>
      </c>
      <c r="Q1030">
        <v>0</v>
      </c>
      <c r="R1030">
        <v>0</v>
      </c>
      <c r="S1030">
        <v>112</v>
      </c>
      <c r="T1030" t="s">
        <v>4659</v>
      </c>
    </row>
    <row r="1031" spans="1:20" customFormat="1" ht="15" x14ac:dyDescent="0.25">
      <c r="A1031" t="s">
        <v>35</v>
      </c>
      <c r="B1031" t="s">
        <v>3381</v>
      </c>
      <c r="C1031" t="str">
        <f>"A0191449"</f>
        <v>A0191449</v>
      </c>
      <c r="D1031" t="s">
        <v>4660</v>
      </c>
      <c r="E1031" t="s">
        <v>4661</v>
      </c>
      <c r="F1031" t="s">
        <v>4662</v>
      </c>
      <c r="G1031" t="s">
        <v>899</v>
      </c>
      <c r="H1031">
        <v>2777</v>
      </c>
      <c r="I1031" t="s">
        <v>30</v>
      </c>
      <c r="J1031" t="s">
        <v>41</v>
      </c>
      <c r="K1031" t="s">
        <v>229</v>
      </c>
      <c r="Q1031">
        <v>0</v>
      </c>
      <c r="R1031">
        <v>0</v>
      </c>
      <c r="S1031">
        <v>86</v>
      </c>
      <c r="T1031" t="s">
        <v>4663</v>
      </c>
    </row>
    <row r="1032" spans="1:20" customFormat="1" ht="15" x14ac:dyDescent="0.25">
      <c r="A1032" t="s">
        <v>35</v>
      </c>
      <c r="B1032" t="s">
        <v>3381</v>
      </c>
      <c r="C1032" t="str">
        <f>"A0191448"</f>
        <v>A0191448</v>
      </c>
      <c r="D1032" t="s">
        <v>4664</v>
      </c>
      <c r="E1032" t="s">
        <v>4665</v>
      </c>
      <c r="F1032" t="s">
        <v>4666</v>
      </c>
      <c r="G1032" t="s">
        <v>99</v>
      </c>
      <c r="H1032">
        <v>14482</v>
      </c>
      <c r="I1032" t="s">
        <v>30</v>
      </c>
      <c r="J1032" t="s">
        <v>41</v>
      </c>
      <c r="K1032" t="s">
        <v>229</v>
      </c>
      <c r="Q1032">
        <v>0</v>
      </c>
      <c r="R1032">
        <v>0</v>
      </c>
      <c r="S1032">
        <v>140</v>
      </c>
      <c r="T1032" t="s">
        <v>4667</v>
      </c>
    </row>
    <row r="1033" spans="1:20" customFormat="1" ht="15" x14ac:dyDescent="0.25">
      <c r="A1033" t="s">
        <v>35</v>
      </c>
      <c r="B1033" t="s">
        <v>3381</v>
      </c>
      <c r="C1033" t="str">
        <f>"A0191447"</f>
        <v>A0191447</v>
      </c>
      <c r="D1033" t="s">
        <v>4668</v>
      </c>
      <c r="E1033" t="s">
        <v>4669</v>
      </c>
      <c r="F1033" t="s">
        <v>4670</v>
      </c>
      <c r="G1033" t="s">
        <v>103</v>
      </c>
      <c r="H1033">
        <v>19038</v>
      </c>
      <c r="I1033" t="s">
        <v>30</v>
      </c>
      <c r="J1033" t="s">
        <v>41</v>
      </c>
      <c r="K1033" t="s">
        <v>229</v>
      </c>
      <c r="Q1033">
        <v>0</v>
      </c>
      <c r="R1033">
        <v>0</v>
      </c>
      <c r="S1033">
        <v>181</v>
      </c>
      <c r="T1033" t="s">
        <v>4671</v>
      </c>
    </row>
    <row r="1034" spans="1:20" customFormat="1" ht="15" x14ac:dyDescent="0.25">
      <c r="A1034" t="s">
        <v>35</v>
      </c>
      <c r="B1034" t="s">
        <v>3381</v>
      </c>
      <c r="C1034" t="str">
        <f>"A0191446"</f>
        <v>A0191446</v>
      </c>
      <c r="D1034" t="s">
        <v>4672</v>
      </c>
      <c r="E1034" t="s">
        <v>4673</v>
      </c>
      <c r="F1034" t="s">
        <v>4674</v>
      </c>
      <c r="G1034" t="s">
        <v>103</v>
      </c>
      <c r="H1034">
        <v>15301</v>
      </c>
      <c r="I1034" t="s">
        <v>30</v>
      </c>
      <c r="J1034" t="s">
        <v>41</v>
      </c>
      <c r="K1034" t="s">
        <v>229</v>
      </c>
      <c r="Q1034">
        <v>0</v>
      </c>
      <c r="R1034">
        <v>0</v>
      </c>
      <c r="S1034">
        <v>288</v>
      </c>
      <c r="T1034" t="s">
        <v>4675</v>
      </c>
    </row>
    <row r="1035" spans="1:20" customFormat="1" ht="15" x14ac:dyDescent="0.25">
      <c r="A1035" t="s">
        <v>35</v>
      </c>
      <c r="B1035" t="s">
        <v>3381</v>
      </c>
      <c r="C1035" t="str">
        <f>"A0191445"</f>
        <v>A0191445</v>
      </c>
      <c r="D1035" t="s">
        <v>4676</v>
      </c>
      <c r="E1035" t="s">
        <v>4677</v>
      </c>
      <c r="F1035" t="s">
        <v>3119</v>
      </c>
      <c r="G1035" t="s">
        <v>899</v>
      </c>
      <c r="H1035">
        <v>2302</v>
      </c>
      <c r="I1035" t="s">
        <v>30</v>
      </c>
      <c r="J1035" t="s">
        <v>41</v>
      </c>
      <c r="K1035" t="s">
        <v>229</v>
      </c>
      <c r="Q1035">
        <v>0</v>
      </c>
      <c r="R1035">
        <v>0</v>
      </c>
      <c r="S1035">
        <v>123</v>
      </c>
      <c r="T1035" t="s">
        <v>4678</v>
      </c>
    </row>
    <row r="1036" spans="1:20" customFormat="1" ht="15" x14ac:dyDescent="0.25">
      <c r="A1036" t="s">
        <v>35</v>
      </c>
      <c r="B1036" t="s">
        <v>3381</v>
      </c>
      <c r="C1036" t="str">
        <f>"A0191444"</f>
        <v>A0191444</v>
      </c>
      <c r="D1036" t="s">
        <v>4679</v>
      </c>
      <c r="E1036" t="s">
        <v>4680</v>
      </c>
      <c r="F1036" t="s">
        <v>4681</v>
      </c>
      <c r="G1036" t="s">
        <v>899</v>
      </c>
      <c r="H1036">
        <v>1950</v>
      </c>
      <c r="I1036" t="s">
        <v>30</v>
      </c>
      <c r="J1036" t="s">
        <v>41</v>
      </c>
      <c r="K1036" t="s">
        <v>229</v>
      </c>
      <c r="Q1036">
        <v>0</v>
      </c>
      <c r="R1036">
        <v>0</v>
      </c>
      <c r="S1036">
        <v>64</v>
      </c>
      <c r="T1036" t="s">
        <v>4682</v>
      </c>
    </row>
    <row r="1037" spans="1:20" customFormat="1" ht="15" x14ac:dyDescent="0.25">
      <c r="A1037" t="s">
        <v>35</v>
      </c>
      <c r="B1037" t="s">
        <v>3381</v>
      </c>
      <c r="C1037" t="str">
        <f>"A0191443"</f>
        <v>A0191443</v>
      </c>
      <c r="D1037" t="s">
        <v>4683</v>
      </c>
      <c r="E1037" t="s">
        <v>4684</v>
      </c>
      <c r="F1037" t="s">
        <v>4685</v>
      </c>
      <c r="G1037" t="s">
        <v>99</v>
      </c>
      <c r="H1037">
        <v>12565</v>
      </c>
      <c r="I1037" t="s">
        <v>30</v>
      </c>
      <c r="J1037" t="s">
        <v>41</v>
      </c>
      <c r="K1037" t="s">
        <v>229</v>
      </c>
      <c r="Q1037">
        <v>0</v>
      </c>
      <c r="R1037">
        <v>0</v>
      </c>
      <c r="S1037">
        <v>120</v>
      </c>
      <c r="T1037" t="s">
        <v>4686</v>
      </c>
    </row>
    <row r="1038" spans="1:20" customFormat="1" ht="15" x14ac:dyDescent="0.25">
      <c r="A1038" t="s">
        <v>35</v>
      </c>
      <c r="B1038" t="s">
        <v>3381</v>
      </c>
      <c r="C1038" t="str">
        <f>"A0191442"</f>
        <v>A0191442</v>
      </c>
      <c r="D1038" t="s">
        <v>4687</v>
      </c>
      <c r="E1038" t="s">
        <v>4688</v>
      </c>
      <c r="F1038" t="s">
        <v>4689</v>
      </c>
      <c r="G1038" t="s">
        <v>103</v>
      </c>
      <c r="H1038">
        <v>2072</v>
      </c>
      <c r="I1038" t="s">
        <v>30</v>
      </c>
      <c r="J1038" t="s">
        <v>41</v>
      </c>
      <c r="K1038" t="s">
        <v>229</v>
      </c>
      <c r="Q1038">
        <v>0</v>
      </c>
      <c r="R1038">
        <v>0</v>
      </c>
      <c r="S1038">
        <v>92</v>
      </c>
      <c r="T1038" t="s">
        <v>4690</v>
      </c>
    </row>
    <row r="1039" spans="1:20" customFormat="1" ht="15" x14ac:dyDescent="0.25">
      <c r="A1039" t="s">
        <v>35</v>
      </c>
      <c r="B1039" t="s">
        <v>3381</v>
      </c>
      <c r="C1039" t="str">
        <f>"A0191441"</f>
        <v>A0191441</v>
      </c>
      <c r="D1039" t="s">
        <v>4691</v>
      </c>
      <c r="E1039" t="s">
        <v>4692</v>
      </c>
      <c r="F1039" t="s">
        <v>4693</v>
      </c>
      <c r="G1039" t="s">
        <v>103</v>
      </c>
      <c r="H1039">
        <v>16001</v>
      </c>
      <c r="I1039" t="s">
        <v>30</v>
      </c>
      <c r="J1039" t="s">
        <v>41</v>
      </c>
      <c r="K1039" t="s">
        <v>229</v>
      </c>
      <c r="Q1039">
        <v>0</v>
      </c>
      <c r="R1039">
        <v>0</v>
      </c>
      <c r="S1039">
        <v>220</v>
      </c>
      <c r="T1039" t="s">
        <v>4694</v>
      </c>
    </row>
    <row r="1040" spans="1:20" customFormat="1" ht="15" x14ac:dyDescent="0.25">
      <c r="A1040" t="s">
        <v>35</v>
      </c>
      <c r="B1040" t="s">
        <v>3381</v>
      </c>
      <c r="C1040" t="str">
        <f>"A0191440"</f>
        <v>A0191440</v>
      </c>
      <c r="D1040" t="s">
        <v>4695</v>
      </c>
      <c r="E1040" t="s">
        <v>4696</v>
      </c>
      <c r="F1040" t="s">
        <v>3002</v>
      </c>
      <c r="G1040" t="s">
        <v>1363</v>
      </c>
      <c r="H1040">
        <v>3755</v>
      </c>
      <c r="I1040" t="s">
        <v>30</v>
      </c>
      <c r="J1040" t="s">
        <v>41</v>
      </c>
      <c r="K1040" t="s">
        <v>229</v>
      </c>
      <c r="Q1040">
        <v>0</v>
      </c>
      <c r="R1040">
        <v>0</v>
      </c>
      <c r="S1040">
        <v>100</v>
      </c>
      <c r="T1040" t="s">
        <v>4697</v>
      </c>
    </row>
    <row r="1041" spans="1:20" customFormat="1" ht="15" x14ac:dyDescent="0.25">
      <c r="A1041" t="s">
        <v>35</v>
      </c>
      <c r="B1041" t="s">
        <v>3381</v>
      </c>
      <c r="C1041" t="str">
        <f>"A0191439"</f>
        <v>A0191439</v>
      </c>
      <c r="D1041" t="s">
        <v>4698</v>
      </c>
      <c r="E1041" t="s">
        <v>4699</v>
      </c>
      <c r="F1041" t="s">
        <v>4700</v>
      </c>
      <c r="G1041" t="s">
        <v>99</v>
      </c>
      <c r="H1041">
        <v>11021</v>
      </c>
      <c r="I1041" t="s">
        <v>30</v>
      </c>
      <c r="J1041" t="s">
        <v>41</v>
      </c>
      <c r="K1041" t="s">
        <v>229</v>
      </c>
      <c r="Q1041">
        <v>0</v>
      </c>
      <c r="R1041">
        <v>0</v>
      </c>
      <c r="S1041">
        <v>200</v>
      </c>
      <c r="T1041" t="s">
        <v>4701</v>
      </c>
    </row>
    <row r="1042" spans="1:20" customFormat="1" ht="15" x14ac:dyDescent="0.25">
      <c r="A1042" t="s">
        <v>35</v>
      </c>
      <c r="B1042" t="s">
        <v>3381</v>
      </c>
      <c r="C1042" t="str">
        <f>"A0191438"</f>
        <v>A0191438</v>
      </c>
      <c r="D1042" t="s">
        <v>4702</v>
      </c>
      <c r="E1042" t="s">
        <v>4703</v>
      </c>
      <c r="F1042" t="s">
        <v>4704</v>
      </c>
      <c r="G1042" t="s">
        <v>99</v>
      </c>
      <c r="H1042">
        <v>14020</v>
      </c>
      <c r="I1042" t="s">
        <v>30</v>
      </c>
      <c r="J1042" t="s">
        <v>41</v>
      </c>
      <c r="K1042" t="s">
        <v>229</v>
      </c>
      <c r="Q1042">
        <v>0</v>
      </c>
      <c r="R1042">
        <v>0</v>
      </c>
      <c r="S1042">
        <v>160</v>
      </c>
      <c r="T1042" t="s">
        <v>4705</v>
      </c>
    </row>
    <row r="1043" spans="1:20" customFormat="1" ht="15" x14ac:dyDescent="0.25">
      <c r="A1043" t="s">
        <v>35</v>
      </c>
      <c r="B1043" t="s">
        <v>3381</v>
      </c>
      <c r="C1043" t="str">
        <f>"A0191437"</f>
        <v>A0191437</v>
      </c>
      <c r="D1043" t="s">
        <v>4706</v>
      </c>
      <c r="E1043" t="s">
        <v>4707</v>
      </c>
      <c r="F1043" t="s">
        <v>1948</v>
      </c>
      <c r="G1043" t="s">
        <v>338</v>
      </c>
      <c r="H1043">
        <v>11021</v>
      </c>
      <c r="I1043" t="s">
        <v>30</v>
      </c>
      <c r="J1043" t="s">
        <v>41</v>
      </c>
      <c r="K1043" t="s">
        <v>290</v>
      </c>
      <c r="Q1043">
        <v>0</v>
      </c>
      <c r="R1043">
        <v>0</v>
      </c>
      <c r="S1043">
        <v>0</v>
      </c>
      <c r="T1043" t="s">
        <v>72</v>
      </c>
    </row>
    <row r="1044" spans="1:20" customFormat="1" ht="15" x14ac:dyDescent="0.25">
      <c r="A1044" t="s">
        <v>35</v>
      </c>
      <c r="B1044" t="s">
        <v>61</v>
      </c>
      <c r="C1044" t="str">
        <f>"A0191436"</f>
        <v>A0191436</v>
      </c>
      <c r="D1044" t="s">
        <v>4708</v>
      </c>
      <c r="E1044" t="s">
        <v>4709</v>
      </c>
      <c r="F1044" t="s">
        <v>4112</v>
      </c>
      <c r="G1044" t="s">
        <v>71</v>
      </c>
      <c r="H1044">
        <v>53212</v>
      </c>
      <c r="I1044" t="s">
        <v>30</v>
      </c>
      <c r="J1044" t="s">
        <v>41</v>
      </c>
      <c r="K1044" t="s">
        <v>104</v>
      </c>
      <c r="Q1044">
        <v>0</v>
      </c>
      <c r="R1044">
        <v>0</v>
      </c>
      <c r="S1044">
        <v>0</v>
      </c>
      <c r="T1044" t="s">
        <v>4710</v>
      </c>
    </row>
    <row r="1045" spans="1:20" customFormat="1" ht="15" x14ac:dyDescent="0.25">
      <c r="A1045" t="s">
        <v>35</v>
      </c>
      <c r="B1045" t="s">
        <v>61</v>
      </c>
      <c r="C1045" t="str">
        <f>"A0191435"</f>
        <v>A0191435</v>
      </c>
      <c r="D1045" t="s">
        <v>4711</v>
      </c>
      <c r="E1045" t="s">
        <v>4712</v>
      </c>
      <c r="F1045" t="s">
        <v>122</v>
      </c>
      <c r="G1045" t="s">
        <v>123</v>
      </c>
      <c r="H1045">
        <v>20602</v>
      </c>
      <c r="I1045" t="s">
        <v>30</v>
      </c>
      <c r="J1045" t="s">
        <v>41</v>
      </c>
      <c r="K1045" t="s">
        <v>42</v>
      </c>
      <c r="Q1045">
        <v>0</v>
      </c>
      <c r="R1045">
        <v>0</v>
      </c>
      <c r="S1045">
        <v>0</v>
      </c>
      <c r="T1045" t="s">
        <v>4713</v>
      </c>
    </row>
    <row r="1046" spans="1:20" customFormat="1" ht="15" x14ac:dyDescent="0.25">
      <c r="A1046" t="s">
        <v>35</v>
      </c>
      <c r="B1046" t="s">
        <v>61</v>
      </c>
      <c r="C1046" t="str">
        <f>"A0191434"</f>
        <v>A0191434</v>
      </c>
      <c r="D1046" t="s">
        <v>4714</v>
      </c>
      <c r="E1046" t="s">
        <v>4715</v>
      </c>
      <c r="F1046" t="s">
        <v>1607</v>
      </c>
      <c r="G1046" t="s">
        <v>161</v>
      </c>
      <c r="H1046">
        <v>56267</v>
      </c>
      <c r="I1046" t="s">
        <v>30</v>
      </c>
      <c r="J1046" t="s">
        <v>41</v>
      </c>
      <c r="K1046" t="s">
        <v>482</v>
      </c>
      <c r="Q1046">
        <v>0</v>
      </c>
      <c r="R1046">
        <v>0</v>
      </c>
      <c r="S1046">
        <v>5</v>
      </c>
      <c r="T1046" t="s">
        <v>4716</v>
      </c>
    </row>
    <row r="1047" spans="1:20" customFormat="1" ht="15" x14ac:dyDescent="0.25">
      <c r="A1047" t="s">
        <v>35</v>
      </c>
      <c r="B1047" t="s">
        <v>61</v>
      </c>
      <c r="C1047" t="str">
        <f>"A0191433"</f>
        <v>A0191433</v>
      </c>
      <c r="D1047" t="s">
        <v>4717</v>
      </c>
      <c r="E1047" t="s">
        <v>4718</v>
      </c>
      <c r="F1047" t="s">
        <v>4719</v>
      </c>
      <c r="G1047" t="s">
        <v>153</v>
      </c>
      <c r="H1047">
        <v>84032</v>
      </c>
      <c r="I1047" t="s">
        <v>30</v>
      </c>
      <c r="J1047" t="s">
        <v>41</v>
      </c>
      <c r="K1047" t="s">
        <v>59</v>
      </c>
      <c r="Q1047">
        <v>0</v>
      </c>
      <c r="R1047">
        <v>0</v>
      </c>
      <c r="S1047">
        <v>16</v>
      </c>
      <c r="T1047" t="s">
        <v>4720</v>
      </c>
    </row>
    <row r="1048" spans="1:20" customFormat="1" ht="15" x14ac:dyDescent="0.25">
      <c r="A1048" t="s">
        <v>35</v>
      </c>
      <c r="B1048" t="s">
        <v>61</v>
      </c>
      <c r="C1048" t="str">
        <f>"A0191432"</f>
        <v>A0191432</v>
      </c>
      <c r="D1048" t="s">
        <v>4721</v>
      </c>
      <c r="E1048" t="s">
        <v>4722</v>
      </c>
      <c r="F1048" t="s">
        <v>4723</v>
      </c>
      <c r="G1048" t="s">
        <v>65</v>
      </c>
      <c r="H1048">
        <v>43537</v>
      </c>
      <c r="I1048" t="s">
        <v>30</v>
      </c>
      <c r="J1048" t="s">
        <v>41</v>
      </c>
      <c r="K1048" t="s">
        <v>1412</v>
      </c>
      <c r="Q1048">
        <v>0</v>
      </c>
      <c r="R1048">
        <v>0</v>
      </c>
      <c r="S1048">
        <v>0</v>
      </c>
      <c r="T1048" t="s">
        <v>4724</v>
      </c>
    </row>
    <row r="1049" spans="1:20" customFormat="1" ht="15" x14ac:dyDescent="0.25">
      <c r="A1049" t="s">
        <v>35</v>
      </c>
      <c r="B1049" t="s">
        <v>4725</v>
      </c>
      <c r="C1049" t="str">
        <f>"A0191431"</f>
        <v>A0191431</v>
      </c>
      <c r="D1049" t="s">
        <v>4726</v>
      </c>
      <c r="E1049" t="s">
        <v>4727</v>
      </c>
      <c r="F1049" t="s">
        <v>64</v>
      </c>
      <c r="G1049" t="s">
        <v>65</v>
      </c>
      <c r="H1049">
        <v>43223</v>
      </c>
      <c r="I1049" t="s">
        <v>30</v>
      </c>
      <c r="J1049" t="s">
        <v>41</v>
      </c>
      <c r="K1049" t="s">
        <v>229</v>
      </c>
      <c r="Q1049">
        <v>0</v>
      </c>
      <c r="R1049">
        <v>0</v>
      </c>
      <c r="S1049">
        <v>95</v>
      </c>
      <c r="T1049" t="s">
        <v>4728</v>
      </c>
    </row>
    <row r="1050" spans="1:20" customFormat="1" ht="15" x14ac:dyDescent="0.25">
      <c r="A1050" t="s">
        <v>35</v>
      </c>
      <c r="B1050" t="s">
        <v>4725</v>
      </c>
      <c r="C1050" t="str">
        <f>"A0191430"</f>
        <v>A0191430</v>
      </c>
      <c r="D1050" t="s">
        <v>4729</v>
      </c>
      <c r="E1050" t="s">
        <v>4730</v>
      </c>
      <c r="F1050" t="s">
        <v>4731</v>
      </c>
      <c r="G1050" t="s">
        <v>65</v>
      </c>
      <c r="H1050">
        <v>43110</v>
      </c>
      <c r="I1050" t="s">
        <v>30</v>
      </c>
      <c r="J1050" t="s">
        <v>41</v>
      </c>
      <c r="K1050" t="s">
        <v>229</v>
      </c>
      <c r="Q1050">
        <v>0</v>
      </c>
      <c r="R1050">
        <v>0</v>
      </c>
      <c r="S1050">
        <v>176</v>
      </c>
      <c r="T1050" t="s">
        <v>4732</v>
      </c>
    </row>
    <row r="1051" spans="1:20" customFormat="1" ht="15" x14ac:dyDescent="0.25">
      <c r="A1051" t="s">
        <v>35</v>
      </c>
      <c r="B1051" t="s">
        <v>4725</v>
      </c>
      <c r="C1051" t="str">
        <f>"A0191429"</f>
        <v>A0191429</v>
      </c>
      <c r="D1051" t="s">
        <v>4733</v>
      </c>
      <c r="E1051" t="s">
        <v>4734</v>
      </c>
      <c r="F1051" t="s">
        <v>4735</v>
      </c>
      <c r="G1051" t="s">
        <v>65</v>
      </c>
      <c r="H1051">
        <v>43147</v>
      </c>
      <c r="I1051" t="s">
        <v>30</v>
      </c>
      <c r="J1051" t="s">
        <v>41</v>
      </c>
      <c r="K1051" t="s">
        <v>229</v>
      </c>
      <c r="Q1051">
        <v>0</v>
      </c>
      <c r="R1051">
        <v>0</v>
      </c>
      <c r="S1051">
        <v>89</v>
      </c>
      <c r="T1051" t="s">
        <v>4736</v>
      </c>
    </row>
    <row r="1052" spans="1:20" customFormat="1" ht="15" x14ac:dyDescent="0.25">
      <c r="A1052" t="s">
        <v>35</v>
      </c>
      <c r="B1052" t="s">
        <v>4725</v>
      </c>
      <c r="C1052" t="str">
        <f>"A0191428"</f>
        <v>A0191428</v>
      </c>
      <c r="D1052" t="s">
        <v>4737</v>
      </c>
      <c r="E1052" t="s">
        <v>4738</v>
      </c>
      <c r="F1052" t="s">
        <v>4615</v>
      </c>
      <c r="G1052" t="s">
        <v>65</v>
      </c>
      <c r="H1052">
        <v>43055</v>
      </c>
      <c r="I1052" t="s">
        <v>30</v>
      </c>
      <c r="J1052" t="s">
        <v>41</v>
      </c>
      <c r="K1052" t="s">
        <v>229</v>
      </c>
      <c r="Q1052">
        <v>0</v>
      </c>
      <c r="R1052">
        <v>0</v>
      </c>
      <c r="S1052">
        <v>173</v>
      </c>
      <c r="T1052" t="s">
        <v>4739</v>
      </c>
    </row>
    <row r="1053" spans="1:20" customFormat="1" ht="15" x14ac:dyDescent="0.25">
      <c r="A1053" t="s">
        <v>35</v>
      </c>
      <c r="B1053" t="s">
        <v>4725</v>
      </c>
      <c r="C1053" t="str">
        <f>"A0191427"</f>
        <v>A0191427</v>
      </c>
      <c r="D1053" t="s">
        <v>4740</v>
      </c>
      <c r="E1053" t="s">
        <v>4741</v>
      </c>
      <c r="F1053" t="s">
        <v>4742</v>
      </c>
      <c r="G1053" t="s">
        <v>65</v>
      </c>
      <c r="H1053">
        <v>43138</v>
      </c>
      <c r="I1053" t="s">
        <v>30</v>
      </c>
      <c r="J1053" t="s">
        <v>41</v>
      </c>
      <c r="K1053" t="s">
        <v>229</v>
      </c>
      <c r="Q1053">
        <v>0</v>
      </c>
      <c r="R1053">
        <v>0</v>
      </c>
      <c r="S1053">
        <v>135</v>
      </c>
      <c r="T1053" t="s">
        <v>4743</v>
      </c>
    </row>
    <row r="1054" spans="1:20" customFormat="1" ht="15" x14ac:dyDescent="0.25">
      <c r="A1054" t="s">
        <v>35</v>
      </c>
      <c r="B1054" t="s">
        <v>4725</v>
      </c>
      <c r="C1054" t="str">
        <f>"A0191426"</f>
        <v>A0191426</v>
      </c>
      <c r="D1054" t="s">
        <v>4744</v>
      </c>
      <c r="E1054" t="s">
        <v>4745</v>
      </c>
      <c r="F1054" t="s">
        <v>4746</v>
      </c>
      <c r="G1054" t="s">
        <v>65</v>
      </c>
      <c r="H1054">
        <v>45036</v>
      </c>
      <c r="I1054" t="s">
        <v>30</v>
      </c>
      <c r="J1054" t="s">
        <v>41</v>
      </c>
      <c r="K1054" t="s">
        <v>229</v>
      </c>
      <c r="Q1054">
        <v>0</v>
      </c>
      <c r="R1054">
        <v>0</v>
      </c>
      <c r="S1054">
        <v>79</v>
      </c>
      <c r="T1054" t="s">
        <v>4747</v>
      </c>
    </row>
    <row r="1055" spans="1:20" customFormat="1" ht="15" x14ac:dyDescent="0.25">
      <c r="A1055" t="s">
        <v>35</v>
      </c>
      <c r="B1055" t="s">
        <v>4725</v>
      </c>
      <c r="C1055" t="str">
        <f>"A0191425"</f>
        <v>A0191425</v>
      </c>
      <c r="D1055" t="s">
        <v>4748</v>
      </c>
      <c r="E1055" t="s">
        <v>4749</v>
      </c>
      <c r="F1055" t="s">
        <v>4591</v>
      </c>
      <c r="G1055" t="s">
        <v>65</v>
      </c>
      <c r="H1055">
        <v>43302</v>
      </c>
      <c r="I1055" t="s">
        <v>30</v>
      </c>
      <c r="J1055" t="s">
        <v>41</v>
      </c>
      <c r="K1055" t="s">
        <v>229</v>
      </c>
      <c r="Q1055">
        <v>0</v>
      </c>
      <c r="R1055">
        <v>0</v>
      </c>
      <c r="S1055">
        <v>99</v>
      </c>
      <c r="T1055" t="s">
        <v>4750</v>
      </c>
    </row>
    <row r="1056" spans="1:20" customFormat="1" ht="15" x14ac:dyDescent="0.25">
      <c r="A1056" t="s">
        <v>35</v>
      </c>
      <c r="B1056" t="s">
        <v>4725</v>
      </c>
      <c r="C1056" t="str">
        <f>"A0191424"</f>
        <v>A0191424</v>
      </c>
      <c r="D1056" t="s">
        <v>4751</v>
      </c>
      <c r="E1056" t="s">
        <v>4752</v>
      </c>
      <c r="F1056" t="s">
        <v>4753</v>
      </c>
      <c r="G1056" t="s">
        <v>65</v>
      </c>
      <c r="H1056">
        <v>44119</v>
      </c>
      <c r="I1056" t="s">
        <v>30</v>
      </c>
      <c r="J1056" t="s">
        <v>41</v>
      </c>
      <c r="K1056" t="s">
        <v>59</v>
      </c>
      <c r="Q1056">
        <v>0</v>
      </c>
      <c r="R1056">
        <v>0</v>
      </c>
      <c r="S1056">
        <v>93</v>
      </c>
      <c r="T1056" t="s">
        <v>4754</v>
      </c>
    </row>
    <row r="1057" spans="1:20" customFormat="1" ht="15" x14ac:dyDescent="0.25">
      <c r="A1057" t="s">
        <v>35</v>
      </c>
      <c r="B1057" t="s">
        <v>4725</v>
      </c>
      <c r="C1057" t="str">
        <f>"A0191423"</f>
        <v>A0191423</v>
      </c>
      <c r="D1057" t="s">
        <v>4755</v>
      </c>
      <c r="E1057" t="s">
        <v>4756</v>
      </c>
      <c r="F1057" t="s">
        <v>4757</v>
      </c>
      <c r="G1057" t="s">
        <v>65</v>
      </c>
      <c r="H1057">
        <v>44116</v>
      </c>
      <c r="I1057" t="s">
        <v>30</v>
      </c>
      <c r="J1057" t="s">
        <v>41</v>
      </c>
      <c r="K1057" t="s">
        <v>59</v>
      </c>
      <c r="Q1057">
        <v>0</v>
      </c>
      <c r="R1057">
        <v>0</v>
      </c>
      <c r="S1057">
        <v>134</v>
      </c>
      <c r="T1057" t="s">
        <v>4758</v>
      </c>
    </row>
    <row r="1058" spans="1:20" customFormat="1" ht="15" x14ac:dyDescent="0.25">
      <c r="A1058" t="s">
        <v>35</v>
      </c>
      <c r="B1058" t="s">
        <v>4725</v>
      </c>
      <c r="C1058" t="str">
        <f>"A0191422"</f>
        <v>A0191422</v>
      </c>
      <c r="D1058" t="s">
        <v>4759</v>
      </c>
      <c r="E1058" t="s">
        <v>4760</v>
      </c>
      <c r="F1058" t="s">
        <v>4761</v>
      </c>
      <c r="G1058" t="s">
        <v>65</v>
      </c>
      <c r="H1058">
        <v>44224</v>
      </c>
      <c r="I1058" t="s">
        <v>30</v>
      </c>
      <c r="J1058" t="s">
        <v>41</v>
      </c>
      <c r="K1058" t="s">
        <v>59</v>
      </c>
      <c r="Q1058">
        <v>0</v>
      </c>
      <c r="R1058">
        <v>0</v>
      </c>
      <c r="S1058">
        <v>50</v>
      </c>
      <c r="T1058" t="s">
        <v>4762</v>
      </c>
    </row>
    <row r="1059" spans="1:20" customFormat="1" ht="15" x14ac:dyDescent="0.25">
      <c r="A1059" t="s">
        <v>35</v>
      </c>
      <c r="B1059" t="s">
        <v>4725</v>
      </c>
      <c r="C1059" t="str">
        <f>"A0191421"</f>
        <v>A0191421</v>
      </c>
      <c r="D1059" t="s">
        <v>4763</v>
      </c>
      <c r="E1059" t="s">
        <v>4764</v>
      </c>
      <c r="F1059" t="s">
        <v>4765</v>
      </c>
      <c r="G1059" t="s">
        <v>65</v>
      </c>
      <c r="H1059">
        <v>44124</v>
      </c>
      <c r="I1059" t="s">
        <v>30</v>
      </c>
      <c r="J1059" t="s">
        <v>41</v>
      </c>
      <c r="K1059" t="s">
        <v>59</v>
      </c>
      <c r="Q1059">
        <v>0</v>
      </c>
      <c r="R1059">
        <v>0</v>
      </c>
      <c r="S1059">
        <v>190</v>
      </c>
      <c r="T1059" t="s">
        <v>4766</v>
      </c>
    </row>
    <row r="1060" spans="1:20" customFormat="1" ht="15" x14ac:dyDescent="0.25">
      <c r="A1060" t="s">
        <v>35</v>
      </c>
      <c r="B1060" t="s">
        <v>4767</v>
      </c>
      <c r="C1060" t="str">
        <f>"A0191420"</f>
        <v>A0191420</v>
      </c>
      <c r="D1060" t="s">
        <v>4768</v>
      </c>
      <c r="E1060" t="s">
        <v>4769</v>
      </c>
      <c r="F1060" t="s">
        <v>4770</v>
      </c>
      <c r="G1060" t="s">
        <v>338</v>
      </c>
      <c r="H1060">
        <v>12180</v>
      </c>
      <c r="I1060" t="s">
        <v>30</v>
      </c>
      <c r="J1060" t="s">
        <v>41</v>
      </c>
      <c r="K1060" t="s">
        <v>59</v>
      </c>
      <c r="Q1060">
        <v>0</v>
      </c>
      <c r="R1060">
        <v>0</v>
      </c>
      <c r="S1060">
        <v>155</v>
      </c>
      <c r="T1060" t="s">
        <v>72</v>
      </c>
    </row>
    <row r="1061" spans="1:20" customFormat="1" ht="15" x14ac:dyDescent="0.25">
      <c r="A1061" t="s">
        <v>35</v>
      </c>
      <c r="B1061" t="s">
        <v>4771</v>
      </c>
      <c r="C1061" t="str">
        <f>"A0191419"</f>
        <v>A0191419</v>
      </c>
      <c r="D1061" t="s">
        <v>4772</v>
      </c>
      <c r="E1061" t="s">
        <v>4773</v>
      </c>
      <c r="F1061" t="s">
        <v>4774</v>
      </c>
      <c r="G1061" t="s">
        <v>52</v>
      </c>
      <c r="H1061">
        <v>77380</v>
      </c>
      <c r="I1061" t="s">
        <v>30</v>
      </c>
      <c r="J1061" t="s">
        <v>41</v>
      </c>
      <c r="K1061" t="s">
        <v>456</v>
      </c>
      <c r="Q1061">
        <v>0</v>
      </c>
      <c r="R1061">
        <v>0</v>
      </c>
      <c r="S1061">
        <v>0</v>
      </c>
      <c r="T1061" t="s">
        <v>72</v>
      </c>
    </row>
    <row r="1062" spans="1:20" customFormat="1" ht="15" x14ac:dyDescent="0.25">
      <c r="A1062" t="s">
        <v>35</v>
      </c>
      <c r="B1062" t="s">
        <v>4771</v>
      </c>
      <c r="C1062" t="str">
        <f>"A0191418"</f>
        <v>A0191418</v>
      </c>
      <c r="D1062" t="s">
        <v>4775</v>
      </c>
      <c r="E1062" t="s">
        <v>4776</v>
      </c>
      <c r="F1062" t="s">
        <v>4777</v>
      </c>
      <c r="G1062" t="s">
        <v>110</v>
      </c>
      <c r="H1062">
        <v>93312</v>
      </c>
      <c r="I1062" t="s">
        <v>30</v>
      </c>
      <c r="J1062" t="s">
        <v>41</v>
      </c>
      <c r="K1062" t="s">
        <v>456</v>
      </c>
      <c r="Q1062">
        <v>0</v>
      </c>
      <c r="R1062">
        <v>0</v>
      </c>
      <c r="S1062">
        <v>0</v>
      </c>
      <c r="T1062" t="s">
        <v>72</v>
      </c>
    </row>
    <row r="1063" spans="1:20" customFormat="1" ht="15" x14ac:dyDescent="0.25">
      <c r="A1063" t="s">
        <v>35</v>
      </c>
      <c r="B1063" t="s">
        <v>4771</v>
      </c>
      <c r="C1063" t="str">
        <f>"A0191417"</f>
        <v>A0191417</v>
      </c>
      <c r="D1063" t="s">
        <v>4778</v>
      </c>
      <c r="E1063" t="s">
        <v>4779</v>
      </c>
      <c r="F1063" t="s">
        <v>4780</v>
      </c>
      <c r="G1063" t="s">
        <v>110</v>
      </c>
      <c r="H1063">
        <v>93240</v>
      </c>
      <c r="I1063" t="s">
        <v>30</v>
      </c>
      <c r="J1063" t="s">
        <v>41</v>
      </c>
      <c r="K1063" t="s">
        <v>456</v>
      </c>
      <c r="Q1063">
        <v>0</v>
      </c>
      <c r="R1063">
        <v>0</v>
      </c>
      <c r="S1063">
        <v>0</v>
      </c>
      <c r="T1063" t="s">
        <v>72</v>
      </c>
    </row>
    <row r="1064" spans="1:20" customFormat="1" ht="15" x14ac:dyDescent="0.25">
      <c r="A1064" t="s">
        <v>35</v>
      </c>
      <c r="B1064" t="s">
        <v>4771</v>
      </c>
      <c r="C1064" t="str">
        <f>"A0191416"</f>
        <v>A0191416</v>
      </c>
      <c r="D1064" t="s">
        <v>4781</v>
      </c>
      <c r="E1064" t="s">
        <v>4782</v>
      </c>
      <c r="F1064" t="s">
        <v>4783</v>
      </c>
      <c r="G1064" t="s">
        <v>190</v>
      </c>
      <c r="H1064">
        <v>80415</v>
      </c>
      <c r="I1064" t="s">
        <v>30</v>
      </c>
      <c r="J1064" t="s">
        <v>41</v>
      </c>
      <c r="K1064" t="s">
        <v>456</v>
      </c>
      <c r="Q1064">
        <v>0</v>
      </c>
      <c r="R1064">
        <v>0</v>
      </c>
      <c r="S1064">
        <v>0</v>
      </c>
      <c r="T1064" t="s">
        <v>72</v>
      </c>
    </row>
    <row r="1065" spans="1:20" customFormat="1" ht="15" x14ac:dyDescent="0.25">
      <c r="A1065" t="s">
        <v>35</v>
      </c>
      <c r="B1065" t="s">
        <v>4771</v>
      </c>
      <c r="C1065" t="str">
        <f>"A0191415"</f>
        <v>A0191415</v>
      </c>
      <c r="D1065" t="s">
        <v>4784</v>
      </c>
      <c r="E1065" t="s">
        <v>4785</v>
      </c>
      <c r="F1065" t="s">
        <v>4786</v>
      </c>
      <c r="G1065" t="s">
        <v>925</v>
      </c>
      <c r="H1065">
        <v>67502</v>
      </c>
      <c r="I1065" t="s">
        <v>30</v>
      </c>
      <c r="J1065" t="s">
        <v>41</v>
      </c>
      <c r="K1065" t="s">
        <v>456</v>
      </c>
      <c r="Q1065">
        <v>0</v>
      </c>
      <c r="R1065">
        <v>0</v>
      </c>
      <c r="S1065">
        <v>0</v>
      </c>
      <c r="T1065" t="s">
        <v>72</v>
      </c>
    </row>
    <row r="1066" spans="1:20" customFormat="1" ht="15" x14ac:dyDescent="0.25">
      <c r="A1066" t="s">
        <v>35</v>
      </c>
      <c r="B1066" t="s">
        <v>4771</v>
      </c>
      <c r="C1066" t="str">
        <f>"A0191414"</f>
        <v>A0191414</v>
      </c>
      <c r="D1066" t="s">
        <v>4787</v>
      </c>
      <c r="E1066" t="s">
        <v>4788</v>
      </c>
      <c r="F1066" t="s">
        <v>4789</v>
      </c>
      <c r="G1066" t="s">
        <v>137</v>
      </c>
      <c r="H1066">
        <v>63628</v>
      </c>
      <c r="I1066" t="s">
        <v>30</v>
      </c>
      <c r="J1066" t="s">
        <v>41</v>
      </c>
      <c r="K1066" t="s">
        <v>456</v>
      </c>
      <c r="Q1066">
        <v>0</v>
      </c>
      <c r="R1066">
        <v>0</v>
      </c>
      <c r="S1066">
        <v>0</v>
      </c>
      <c r="T1066" t="s">
        <v>72</v>
      </c>
    </row>
    <row r="1067" spans="1:20" customFormat="1" ht="15" x14ac:dyDescent="0.25">
      <c r="A1067" t="s">
        <v>35</v>
      </c>
      <c r="B1067" t="s">
        <v>4771</v>
      </c>
      <c r="C1067" t="str">
        <f>"A0191413"</f>
        <v>A0191413</v>
      </c>
      <c r="D1067" t="s">
        <v>4790</v>
      </c>
      <c r="E1067" t="s">
        <v>4791</v>
      </c>
      <c r="F1067" t="s">
        <v>4792</v>
      </c>
      <c r="G1067" t="s">
        <v>29</v>
      </c>
      <c r="H1067">
        <v>23237</v>
      </c>
      <c r="I1067" t="s">
        <v>30</v>
      </c>
      <c r="J1067" t="s">
        <v>41</v>
      </c>
      <c r="K1067" t="s">
        <v>456</v>
      </c>
      <c r="Q1067">
        <v>0</v>
      </c>
      <c r="R1067">
        <v>0</v>
      </c>
      <c r="S1067">
        <v>0</v>
      </c>
      <c r="T1067" t="s">
        <v>72</v>
      </c>
    </row>
    <row r="1068" spans="1:20" customFormat="1" ht="15" x14ac:dyDescent="0.25">
      <c r="A1068" t="s">
        <v>35</v>
      </c>
      <c r="B1068" t="s">
        <v>4771</v>
      </c>
      <c r="C1068" t="str">
        <f>"A0191412"</f>
        <v>A0191412</v>
      </c>
      <c r="D1068" t="s">
        <v>4793</v>
      </c>
      <c r="E1068" t="s">
        <v>4794</v>
      </c>
      <c r="F1068" t="s">
        <v>2654</v>
      </c>
      <c r="G1068" t="s">
        <v>846</v>
      </c>
      <c r="H1068">
        <v>30677</v>
      </c>
      <c r="I1068" t="s">
        <v>30</v>
      </c>
      <c r="J1068" t="s">
        <v>41</v>
      </c>
      <c r="K1068" t="s">
        <v>456</v>
      </c>
      <c r="Q1068">
        <v>0</v>
      </c>
      <c r="R1068">
        <v>0</v>
      </c>
      <c r="S1068">
        <v>0</v>
      </c>
      <c r="T1068" t="s">
        <v>72</v>
      </c>
    </row>
    <row r="1069" spans="1:20" customFormat="1" ht="15" x14ac:dyDescent="0.25">
      <c r="A1069" t="s">
        <v>35</v>
      </c>
      <c r="B1069" t="s">
        <v>225</v>
      </c>
      <c r="C1069" t="str">
        <f>"A0191411"</f>
        <v>A0191411</v>
      </c>
      <c r="D1069" t="s">
        <v>4795</v>
      </c>
      <c r="E1069" t="s">
        <v>4796</v>
      </c>
      <c r="F1069" t="s">
        <v>4797</v>
      </c>
      <c r="G1069" t="s">
        <v>99</v>
      </c>
      <c r="H1069">
        <v>11375</v>
      </c>
      <c r="I1069" t="s">
        <v>30</v>
      </c>
      <c r="J1069" t="s">
        <v>41</v>
      </c>
      <c r="K1069" t="s">
        <v>229</v>
      </c>
      <c r="Q1069">
        <v>0</v>
      </c>
      <c r="R1069">
        <v>0</v>
      </c>
      <c r="S1069">
        <v>100</v>
      </c>
      <c r="T1069" t="s">
        <v>4798</v>
      </c>
    </row>
    <row r="1070" spans="1:20" customFormat="1" ht="15" hidden="1" x14ac:dyDescent="0.25">
      <c r="A1070" t="s">
        <v>24</v>
      </c>
      <c r="B1070" t="s">
        <v>4799</v>
      </c>
      <c r="C1070" t="str">
        <f>"A0099217"</f>
        <v>A0099217</v>
      </c>
      <c r="D1070" t="s">
        <v>4800</v>
      </c>
      <c r="E1070" t="s">
        <v>4801</v>
      </c>
      <c r="F1070" t="s">
        <v>4802</v>
      </c>
      <c r="I1070" t="s">
        <v>4803</v>
      </c>
      <c r="J1070" t="s">
        <v>31</v>
      </c>
      <c r="K1070" t="s">
        <v>277</v>
      </c>
      <c r="N1070" t="s">
        <v>4804</v>
      </c>
      <c r="O1070" t="s">
        <v>4805</v>
      </c>
      <c r="Q1070">
        <v>0</v>
      </c>
      <c r="R1070">
        <v>150</v>
      </c>
      <c r="S1070">
        <v>0</v>
      </c>
      <c r="T1070" t="s">
        <v>4806</v>
      </c>
    </row>
    <row r="1071" spans="1:20" customFormat="1" ht="15" x14ac:dyDescent="0.25">
      <c r="A1071" t="s">
        <v>24</v>
      </c>
      <c r="B1071" t="s">
        <v>193</v>
      </c>
      <c r="C1071" t="str">
        <f>"A0057281"</f>
        <v>A0057281</v>
      </c>
      <c r="D1071" t="s">
        <v>10931</v>
      </c>
      <c r="E1071" t="s">
        <v>10932</v>
      </c>
      <c r="F1071" t="s">
        <v>2069</v>
      </c>
      <c r="G1071" t="s">
        <v>1170</v>
      </c>
      <c r="H1071">
        <v>70130</v>
      </c>
      <c r="I1071" t="s">
        <v>30</v>
      </c>
      <c r="J1071" t="s">
        <v>162</v>
      </c>
      <c r="K1071" t="s">
        <v>3855</v>
      </c>
      <c r="N1071" t="s">
        <v>10933</v>
      </c>
      <c r="O1071" t="s">
        <v>10934</v>
      </c>
      <c r="Q1071">
        <v>0</v>
      </c>
      <c r="R1071">
        <v>100</v>
      </c>
      <c r="S1071">
        <v>0</v>
      </c>
      <c r="T1071" t="s">
        <v>10935</v>
      </c>
    </row>
    <row r="1072" spans="1:20" customFormat="1" ht="15" x14ac:dyDescent="0.25">
      <c r="A1072" t="s">
        <v>35</v>
      </c>
      <c r="B1072" t="s">
        <v>36</v>
      </c>
      <c r="C1072" t="str">
        <f>"A0120779"</f>
        <v>A0120779</v>
      </c>
      <c r="D1072" t="s">
        <v>4812</v>
      </c>
      <c r="E1072" t="s">
        <v>4813</v>
      </c>
      <c r="F1072" t="s">
        <v>4814</v>
      </c>
      <c r="G1072" t="s">
        <v>4815</v>
      </c>
      <c r="H1072">
        <v>96712</v>
      </c>
      <c r="I1072" t="s">
        <v>30</v>
      </c>
      <c r="J1072" t="s">
        <v>41</v>
      </c>
      <c r="K1072" t="s">
        <v>42</v>
      </c>
      <c r="Q1072">
        <v>0</v>
      </c>
      <c r="R1072">
        <v>0</v>
      </c>
      <c r="S1072">
        <v>0</v>
      </c>
      <c r="T1072" t="s">
        <v>4816</v>
      </c>
    </row>
    <row r="1073" spans="1:20" customFormat="1" ht="15" x14ac:dyDescent="0.25">
      <c r="A1073" t="s">
        <v>35</v>
      </c>
      <c r="B1073" t="s">
        <v>4817</v>
      </c>
      <c r="C1073" t="str">
        <f>"A0118260"</f>
        <v>A0118260</v>
      </c>
      <c r="D1073" t="s">
        <v>4818</v>
      </c>
      <c r="E1073" t="s">
        <v>4819</v>
      </c>
      <c r="F1073" t="s">
        <v>4820</v>
      </c>
      <c r="G1073" t="s">
        <v>433</v>
      </c>
      <c r="H1073">
        <v>83202</v>
      </c>
      <c r="I1073" t="s">
        <v>30</v>
      </c>
      <c r="J1073" t="s">
        <v>41</v>
      </c>
      <c r="K1073" t="s">
        <v>229</v>
      </c>
      <c r="Q1073">
        <v>0</v>
      </c>
      <c r="R1073">
        <v>41</v>
      </c>
      <c r="S1073">
        <v>41</v>
      </c>
      <c r="T1073" t="s">
        <v>4821</v>
      </c>
    </row>
    <row r="1074" spans="1:20" customFormat="1" ht="15" x14ac:dyDescent="0.25">
      <c r="A1074" t="s">
        <v>35</v>
      </c>
      <c r="B1074" t="s">
        <v>4822</v>
      </c>
      <c r="C1074" t="str">
        <f>"A0118304"</f>
        <v>A0118304</v>
      </c>
      <c r="D1074" t="s">
        <v>4823</v>
      </c>
      <c r="E1074" t="s">
        <v>4824</v>
      </c>
      <c r="F1074" t="s">
        <v>4814</v>
      </c>
      <c r="G1074" t="s">
        <v>4815</v>
      </c>
      <c r="H1074">
        <v>968220000</v>
      </c>
      <c r="I1074" t="s">
        <v>30</v>
      </c>
      <c r="J1074" t="s">
        <v>41</v>
      </c>
      <c r="K1074" t="s">
        <v>2477</v>
      </c>
      <c r="Q1074">
        <v>0</v>
      </c>
      <c r="R1074">
        <v>1</v>
      </c>
      <c r="S1074">
        <v>1</v>
      </c>
      <c r="T1074" t="s">
        <v>4825</v>
      </c>
    </row>
    <row r="1075" spans="1:20" customFormat="1" ht="15" x14ac:dyDescent="0.25">
      <c r="A1075" t="s">
        <v>24</v>
      </c>
      <c r="B1075" t="s">
        <v>4826</v>
      </c>
      <c r="C1075" t="str">
        <f>"A0191303"</f>
        <v>A0191303</v>
      </c>
      <c r="D1075" t="s">
        <v>4827</v>
      </c>
      <c r="E1075" t="s">
        <v>4828</v>
      </c>
      <c r="F1075" t="s">
        <v>4829</v>
      </c>
      <c r="G1075" t="s">
        <v>52</v>
      </c>
      <c r="H1075">
        <v>75062</v>
      </c>
      <c r="I1075" t="s">
        <v>30</v>
      </c>
      <c r="J1075" t="s">
        <v>145</v>
      </c>
      <c r="K1075" t="s">
        <v>1185</v>
      </c>
      <c r="N1075" t="s">
        <v>4830</v>
      </c>
      <c r="Q1075">
        <v>0</v>
      </c>
      <c r="R1075">
        <v>168</v>
      </c>
      <c r="S1075">
        <v>0</v>
      </c>
      <c r="T1075" t="s">
        <v>4831</v>
      </c>
    </row>
    <row r="1076" spans="1:20" customFormat="1" ht="15" x14ac:dyDescent="0.25">
      <c r="A1076" t="s">
        <v>35</v>
      </c>
      <c r="B1076" t="s">
        <v>4822</v>
      </c>
      <c r="C1076" t="str">
        <f>"A0118303"</f>
        <v>A0118303</v>
      </c>
      <c r="D1076" t="s">
        <v>4832</v>
      </c>
      <c r="E1076" t="s">
        <v>4833</v>
      </c>
      <c r="F1076" t="s">
        <v>4834</v>
      </c>
      <c r="G1076" t="s">
        <v>4815</v>
      </c>
      <c r="H1076">
        <v>967010000</v>
      </c>
      <c r="I1076" t="s">
        <v>30</v>
      </c>
      <c r="J1076" t="s">
        <v>41</v>
      </c>
      <c r="K1076" t="s">
        <v>2477</v>
      </c>
      <c r="Q1076">
        <v>0</v>
      </c>
      <c r="R1076">
        <v>1</v>
      </c>
      <c r="S1076">
        <v>1</v>
      </c>
      <c r="T1076" t="s">
        <v>4835</v>
      </c>
    </row>
    <row r="1077" spans="1:20" customFormat="1" ht="15" hidden="1" x14ac:dyDescent="0.25">
      <c r="A1077" t="s">
        <v>24</v>
      </c>
      <c r="B1077" t="s">
        <v>4799</v>
      </c>
      <c r="C1077" t="str">
        <f>"A0191405"</f>
        <v>A0191405</v>
      </c>
      <c r="D1077" t="s">
        <v>4836</v>
      </c>
      <c r="E1077" t="s">
        <v>4837</v>
      </c>
      <c r="F1077" t="s">
        <v>4838</v>
      </c>
      <c r="I1077" t="s">
        <v>3147</v>
      </c>
      <c r="J1077" t="s">
        <v>162</v>
      </c>
      <c r="K1077" t="s">
        <v>4839</v>
      </c>
      <c r="N1077" t="s">
        <v>4840</v>
      </c>
      <c r="O1077" t="s">
        <v>4841</v>
      </c>
      <c r="Q1077">
        <v>0</v>
      </c>
      <c r="R1077">
        <v>852</v>
      </c>
      <c r="S1077">
        <v>0</v>
      </c>
      <c r="T1077" t="s">
        <v>4842</v>
      </c>
    </row>
    <row r="1078" spans="1:20" customFormat="1" ht="15" x14ac:dyDescent="0.25">
      <c r="A1078" t="s">
        <v>24</v>
      </c>
      <c r="B1078" t="s">
        <v>10936</v>
      </c>
      <c r="C1078" t="str">
        <f>"A0179572"</f>
        <v>A0179572</v>
      </c>
      <c r="D1078" t="s">
        <v>10937</v>
      </c>
      <c r="E1078" t="s">
        <v>10938</v>
      </c>
      <c r="F1078" t="s">
        <v>10939</v>
      </c>
      <c r="G1078" t="s">
        <v>52</v>
      </c>
      <c r="H1078">
        <v>76092</v>
      </c>
      <c r="I1078" t="s">
        <v>30</v>
      </c>
      <c r="J1078" t="s">
        <v>162</v>
      </c>
      <c r="K1078" t="s">
        <v>822</v>
      </c>
      <c r="N1078" t="s">
        <v>10940</v>
      </c>
      <c r="Q1078">
        <v>0</v>
      </c>
      <c r="R1078">
        <v>261</v>
      </c>
      <c r="S1078">
        <v>0</v>
      </c>
      <c r="T1078" t="s">
        <v>10941</v>
      </c>
    </row>
    <row r="1079" spans="1:20" customFormat="1" ht="15" hidden="1" x14ac:dyDescent="0.25">
      <c r="A1079" t="s">
        <v>24</v>
      </c>
      <c r="B1079" t="s">
        <v>4848</v>
      </c>
      <c r="C1079" t="str">
        <f>"A0191401"</f>
        <v>A0191401</v>
      </c>
      <c r="D1079" t="s">
        <v>4849</v>
      </c>
      <c r="E1079" t="s">
        <v>4850</v>
      </c>
      <c r="F1079" t="s">
        <v>4851</v>
      </c>
      <c r="G1079" t="s">
        <v>2206</v>
      </c>
      <c r="H1079" t="s">
        <v>4852</v>
      </c>
      <c r="I1079" t="s">
        <v>1459</v>
      </c>
      <c r="J1079" t="s">
        <v>162</v>
      </c>
      <c r="K1079" t="s">
        <v>243</v>
      </c>
      <c r="N1079" t="s">
        <v>4853</v>
      </c>
      <c r="Q1079">
        <v>0</v>
      </c>
      <c r="R1079">
        <v>103</v>
      </c>
      <c r="S1079">
        <v>0</v>
      </c>
      <c r="T1079" t="s">
        <v>4854</v>
      </c>
    </row>
    <row r="1080" spans="1:20" customFormat="1" ht="15" x14ac:dyDescent="0.25">
      <c r="A1080" t="s">
        <v>24</v>
      </c>
      <c r="B1080" t="s">
        <v>4855</v>
      </c>
      <c r="C1080" t="str">
        <f>"A0191400"</f>
        <v>A0191400</v>
      </c>
      <c r="D1080" t="s">
        <v>4856</v>
      </c>
      <c r="E1080" t="s">
        <v>4857</v>
      </c>
      <c r="F1080" t="s">
        <v>4858</v>
      </c>
      <c r="G1080" t="s">
        <v>99</v>
      </c>
      <c r="H1080">
        <v>12866</v>
      </c>
      <c r="I1080" t="s">
        <v>30</v>
      </c>
      <c r="J1080" t="s">
        <v>31</v>
      </c>
      <c r="K1080" t="s">
        <v>296</v>
      </c>
      <c r="N1080" t="s">
        <v>4859</v>
      </c>
      <c r="Q1080">
        <v>0</v>
      </c>
      <c r="R1080">
        <v>85</v>
      </c>
      <c r="S1080">
        <v>0</v>
      </c>
      <c r="T1080" t="s">
        <v>4860</v>
      </c>
    </row>
    <row r="1081" spans="1:20" customFormat="1" ht="15" x14ac:dyDescent="0.25">
      <c r="A1081" t="s">
        <v>35</v>
      </c>
      <c r="B1081" t="s">
        <v>437</v>
      </c>
      <c r="C1081" t="str">
        <f>"A0135124"</f>
        <v>A0135124</v>
      </c>
      <c r="D1081" t="s">
        <v>4861</v>
      </c>
      <c r="E1081" t="s">
        <v>4862</v>
      </c>
      <c r="F1081" t="s">
        <v>4863</v>
      </c>
      <c r="G1081" t="s">
        <v>99</v>
      </c>
      <c r="H1081">
        <v>13624</v>
      </c>
      <c r="I1081" t="s">
        <v>30</v>
      </c>
      <c r="J1081" t="s">
        <v>441</v>
      </c>
      <c r="K1081" t="s">
        <v>442</v>
      </c>
      <c r="Q1081">
        <v>0</v>
      </c>
      <c r="R1081">
        <v>0</v>
      </c>
      <c r="S1081">
        <v>0</v>
      </c>
      <c r="T1081" t="s">
        <v>4864</v>
      </c>
    </row>
    <row r="1082" spans="1:20" customFormat="1" ht="15" hidden="1" x14ac:dyDescent="0.25">
      <c r="A1082" t="s">
        <v>24</v>
      </c>
      <c r="B1082" t="s">
        <v>4865</v>
      </c>
      <c r="C1082" t="str">
        <f>"A0191388"</f>
        <v>A0191388</v>
      </c>
      <c r="D1082" t="s">
        <v>4866</v>
      </c>
      <c r="E1082" t="s">
        <v>4867</v>
      </c>
      <c r="F1082" t="s">
        <v>2406</v>
      </c>
      <c r="G1082" t="s">
        <v>2407</v>
      </c>
      <c r="H1082">
        <v>23450</v>
      </c>
      <c r="I1082" t="s">
        <v>2408</v>
      </c>
      <c r="J1082" t="s">
        <v>162</v>
      </c>
      <c r="K1082" t="s">
        <v>163</v>
      </c>
      <c r="N1082" t="s">
        <v>4868</v>
      </c>
      <c r="Q1082">
        <v>0</v>
      </c>
      <c r="R1082">
        <v>72</v>
      </c>
      <c r="S1082">
        <v>0</v>
      </c>
      <c r="T1082" t="s">
        <v>4869</v>
      </c>
    </row>
    <row r="1083" spans="1:20" customFormat="1" ht="15" hidden="1" x14ac:dyDescent="0.25">
      <c r="A1083" t="s">
        <v>24</v>
      </c>
      <c r="B1083" t="s">
        <v>4865</v>
      </c>
      <c r="C1083" t="str">
        <f>"A0191387"</f>
        <v>A0191387</v>
      </c>
      <c r="D1083" t="s">
        <v>4870</v>
      </c>
      <c r="E1083" t="s">
        <v>4871</v>
      </c>
      <c r="F1083" t="s">
        <v>2406</v>
      </c>
      <c r="G1083" t="s">
        <v>2407</v>
      </c>
      <c r="H1083">
        <v>23450</v>
      </c>
      <c r="I1083" t="s">
        <v>2408</v>
      </c>
      <c r="J1083" t="s">
        <v>162</v>
      </c>
      <c r="K1083" t="s">
        <v>163</v>
      </c>
      <c r="N1083" t="s">
        <v>4868</v>
      </c>
      <c r="Q1083">
        <v>0</v>
      </c>
      <c r="R1083">
        <v>100</v>
      </c>
      <c r="S1083">
        <v>0</v>
      </c>
      <c r="T1083" t="s">
        <v>4872</v>
      </c>
    </row>
    <row r="1084" spans="1:20" customFormat="1" ht="15" hidden="1" x14ac:dyDescent="0.25">
      <c r="A1084" t="s">
        <v>24</v>
      </c>
      <c r="B1084" t="s">
        <v>4865</v>
      </c>
      <c r="C1084" t="str">
        <f>"A0191386"</f>
        <v>A0191386</v>
      </c>
      <c r="D1084" t="s">
        <v>4873</v>
      </c>
      <c r="E1084" t="s">
        <v>4874</v>
      </c>
      <c r="F1084" t="s">
        <v>2406</v>
      </c>
      <c r="G1084" t="s">
        <v>2407</v>
      </c>
      <c r="H1084">
        <v>23450</v>
      </c>
      <c r="I1084" t="s">
        <v>2408</v>
      </c>
      <c r="J1084" t="s">
        <v>162</v>
      </c>
      <c r="K1084" t="s">
        <v>163</v>
      </c>
      <c r="N1084" t="s">
        <v>4868</v>
      </c>
      <c r="Q1084">
        <v>0</v>
      </c>
      <c r="R1084">
        <v>260</v>
      </c>
      <c r="S1084">
        <v>0</v>
      </c>
      <c r="T1084" t="s">
        <v>4875</v>
      </c>
    </row>
    <row r="1085" spans="1:20" customFormat="1" ht="15" hidden="1" x14ac:dyDescent="0.25">
      <c r="A1085" t="s">
        <v>24</v>
      </c>
      <c r="B1085" t="s">
        <v>4865</v>
      </c>
      <c r="C1085" t="str">
        <f>"A0191385"</f>
        <v>A0191385</v>
      </c>
      <c r="D1085" t="s">
        <v>4876</v>
      </c>
      <c r="E1085" t="s">
        <v>4874</v>
      </c>
      <c r="F1085" t="s">
        <v>2406</v>
      </c>
      <c r="G1085" t="s">
        <v>2407</v>
      </c>
      <c r="H1085">
        <v>23450</v>
      </c>
      <c r="I1085" t="s">
        <v>2408</v>
      </c>
      <c r="J1085" t="s">
        <v>162</v>
      </c>
      <c r="K1085" t="s">
        <v>163</v>
      </c>
      <c r="N1085" t="s">
        <v>4868</v>
      </c>
      <c r="Q1085">
        <v>0</v>
      </c>
      <c r="R1085">
        <v>98</v>
      </c>
      <c r="S1085">
        <v>0</v>
      </c>
      <c r="T1085" t="s">
        <v>4877</v>
      </c>
    </row>
    <row r="1086" spans="1:20" customFormat="1" ht="15" hidden="1" x14ac:dyDescent="0.25">
      <c r="A1086" t="s">
        <v>24</v>
      </c>
      <c r="B1086" t="s">
        <v>4865</v>
      </c>
      <c r="C1086" t="str">
        <f>"A0191384"</f>
        <v>A0191384</v>
      </c>
      <c r="D1086" t="s">
        <v>4878</v>
      </c>
      <c r="E1086" t="s">
        <v>4879</v>
      </c>
      <c r="F1086" t="s">
        <v>2406</v>
      </c>
      <c r="G1086" t="s">
        <v>2407</v>
      </c>
      <c r="H1086">
        <v>23473</v>
      </c>
      <c r="I1086" t="s">
        <v>2408</v>
      </c>
      <c r="J1086" t="s">
        <v>679</v>
      </c>
      <c r="K1086" t="s">
        <v>163</v>
      </c>
      <c r="N1086" t="s">
        <v>4868</v>
      </c>
      <c r="Q1086">
        <v>0</v>
      </c>
      <c r="R1086">
        <v>0</v>
      </c>
      <c r="S1086">
        <v>0</v>
      </c>
      <c r="T1086" t="s">
        <v>4880</v>
      </c>
    </row>
    <row r="1087" spans="1:20" customFormat="1" ht="15" hidden="1" x14ac:dyDescent="0.25">
      <c r="A1087" t="s">
        <v>24</v>
      </c>
      <c r="B1087" t="s">
        <v>4865</v>
      </c>
      <c r="C1087" t="str">
        <f>"A0191383"</f>
        <v>A0191383</v>
      </c>
      <c r="D1087" t="s">
        <v>4881</v>
      </c>
      <c r="E1087" t="s">
        <v>4882</v>
      </c>
      <c r="F1087" t="s">
        <v>2406</v>
      </c>
      <c r="G1087" t="s">
        <v>2407</v>
      </c>
      <c r="H1087">
        <v>23473</v>
      </c>
      <c r="I1087" t="s">
        <v>2408</v>
      </c>
      <c r="J1087" t="s">
        <v>162</v>
      </c>
      <c r="K1087" t="s">
        <v>163</v>
      </c>
      <c r="N1087" t="s">
        <v>4868</v>
      </c>
      <c r="Q1087">
        <v>0</v>
      </c>
      <c r="R1087">
        <v>70</v>
      </c>
      <c r="S1087">
        <v>0</v>
      </c>
      <c r="T1087" t="s">
        <v>4883</v>
      </c>
    </row>
    <row r="1088" spans="1:20" customFormat="1" ht="15" hidden="1" x14ac:dyDescent="0.25">
      <c r="A1088" t="s">
        <v>24</v>
      </c>
      <c r="B1088" t="s">
        <v>4865</v>
      </c>
      <c r="C1088" t="str">
        <f>"A0191382"</f>
        <v>A0191382</v>
      </c>
      <c r="D1088" t="s">
        <v>4884</v>
      </c>
      <c r="E1088" t="s">
        <v>4885</v>
      </c>
      <c r="F1088" t="s">
        <v>2406</v>
      </c>
      <c r="G1088" t="s">
        <v>2407</v>
      </c>
      <c r="H1088">
        <v>23450</v>
      </c>
      <c r="I1088" t="s">
        <v>2408</v>
      </c>
      <c r="J1088" t="s">
        <v>162</v>
      </c>
      <c r="K1088" t="s">
        <v>163</v>
      </c>
      <c r="N1088" t="s">
        <v>4868</v>
      </c>
      <c r="Q1088">
        <v>0</v>
      </c>
      <c r="R1088">
        <v>246</v>
      </c>
      <c r="S1088">
        <v>0</v>
      </c>
      <c r="T1088" t="s">
        <v>4886</v>
      </c>
    </row>
    <row r="1089" spans="1:20" customFormat="1" ht="15" x14ac:dyDescent="0.25">
      <c r="A1089" t="s">
        <v>24</v>
      </c>
      <c r="B1089" t="s">
        <v>4366</v>
      </c>
      <c r="C1089" t="str">
        <f>"A0188537"</f>
        <v>A0188537</v>
      </c>
      <c r="D1089" t="s">
        <v>10977</v>
      </c>
      <c r="E1089" t="s">
        <v>10978</v>
      </c>
      <c r="F1089" t="s">
        <v>10979</v>
      </c>
      <c r="G1089" t="s">
        <v>85</v>
      </c>
      <c r="H1089">
        <v>72923</v>
      </c>
      <c r="I1089" t="s">
        <v>30</v>
      </c>
      <c r="J1089" t="s">
        <v>162</v>
      </c>
      <c r="K1089" t="s">
        <v>163</v>
      </c>
      <c r="Q1089">
        <v>0</v>
      </c>
      <c r="R1089">
        <v>0</v>
      </c>
      <c r="S1089">
        <v>0</v>
      </c>
      <c r="T1089" t="s">
        <v>9378</v>
      </c>
    </row>
    <row r="1090" spans="1:20" customFormat="1" ht="15" x14ac:dyDescent="0.25">
      <c r="A1090" t="s">
        <v>24</v>
      </c>
      <c r="B1090" t="s">
        <v>4439</v>
      </c>
      <c r="C1090" t="str">
        <f>"A0098659"</f>
        <v>A0098659</v>
      </c>
      <c r="D1090" t="s">
        <v>10996</v>
      </c>
      <c r="E1090" t="s">
        <v>10997</v>
      </c>
      <c r="F1090" t="s">
        <v>10998</v>
      </c>
      <c r="G1090" t="s">
        <v>338</v>
      </c>
      <c r="H1090">
        <v>7086</v>
      </c>
      <c r="I1090" t="s">
        <v>30</v>
      </c>
      <c r="J1090" t="s">
        <v>162</v>
      </c>
      <c r="K1090" t="s">
        <v>1502</v>
      </c>
      <c r="N1090" t="s">
        <v>10999</v>
      </c>
      <c r="Q1090">
        <v>0</v>
      </c>
      <c r="R1090">
        <v>358</v>
      </c>
      <c r="S1090">
        <v>0</v>
      </c>
      <c r="T1090" t="s">
        <v>11000</v>
      </c>
    </row>
    <row r="1091" spans="1:20" customFormat="1" ht="15" x14ac:dyDescent="0.25">
      <c r="A1091" t="s">
        <v>24</v>
      </c>
      <c r="B1091" t="s">
        <v>2180</v>
      </c>
      <c r="C1091" t="str">
        <f>"A0191399"</f>
        <v>A0191399</v>
      </c>
      <c r="D1091" t="s">
        <v>4892</v>
      </c>
      <c r="E1091" t="s">
        <v>4893</v>
      </c>
      <c r="F1091" t="s">
        <v>4894</v>
      </c>
      <c r="G1091" t="s">
        <v>1369</v>
      </c>
      <c r="H1091">
        <v>38804</v>
      </c>
      <c r="I1091" t="s">
        <v>30</v>
      </c>
      <c r="J1091" t="s">
        <v>31</v>
      </c>
      <c r="K1091" t="s">
        <v>261</v>
      </c>
      <c r="N1091" t="s">
        <v>4895</v>
      </c>
      <c r="Q1091">
        <v>0</v>
      </c>
      <c r="R1091">
        <v>89</v>
      </c>
      <c r="S1091">
        <v>0</v>
      </c>
      <c r="T1091" t="s">
        <v>4896</v>
      </c>
    </row>
    <row r="1092" spans="1:20" customFormat="1" ht="15" x14ac:dyDescent="0.25">
      <c r="A1092" t="s">
        <v>24</v>
      </c>
      <c r="B1092" t="s">
        <v>193</v>
      </c>
      <c r="C1092" t="str">
        <f>"432MI"</f>
        <v>432MI</v>
      </c>
      <c r="D1092" t="s">
        <v>4897</v>
      </c>
      <c r="E1092" t="s">
        <v>4898</v>
      </c>
      <c r="F1092" t="s">
        <v>4899</v>
      </c>
      <c r="G1092" t="s">
        <v>1898</v>
      </c>
      <c r="H1092">
        <v>52632</v>
      </c>
      <c r="I1092" t="s">
        <v>30</v>
      </c>
      <c r="J1092" t="s">
        <v>31</v>
      </c>
      <c r="K1092" t="s">
        <v>315</v>
      </c>
      <c r="N1092" t="s">
        <v>4900</v>
      </c>
      <c r="Q1092">
        <v>0</v>
      </c>
      <c r="R1092">
        <v>61</v>
      </c>
      <c r="S1092">
        <v>0</v>
      </c>
      <c r="T1092" t="s">
        <v>4901</v>
      </c>
    </row>
    <row r="1093" spans="1:20" customFormat="1" ht="15" x14ac:dyDescent="0.25">
      <c r="A1093" t="s">
        <v>24</v>
      </c>
      <c r="B1093" t="s">
        <v>2485</v>
      </c>
      <c r="C1093" t="str">
        <f>"A0191370"</f>
        <v>A0191370</v>
      </c>
      <c r="D1093" t="s">
        <v>4902</v>
      </c>
      <c r="E1093" t="s">
        <v>4903</v>
      </c>
      <c r="F1093" t="s">
        <v>4904</v>
      </c>
      <c r="G1093" t="s">
        <v>110</v>
      </c>
      <c r="H1093">
        <v>95330</v>
      </c>
      <c r="I1093" t="s">
        <v>30</v>
      </c>
      <c r="J1093" t="s">
        <v>31</v>
      </c>
      <c r="K1093" t="s">
        <v>282</v>
      </c>
      <c r="N1093" t="s">
        <v>4905</v>
      </c>
      <c r="Q1093">
        <v>0</v>
      </c>
      <c r="R1093">
        <v>0</v>
      </c>
      <c r="S1093">
        <v>0</v>
      </c>
      <c r="T1093" t="s">
        <v>4906</v>
      </c>
    </row>
    <row r="1094" spans="1:20" customFormat="1" ht="15" x14ac:dyDescent="0.25">
      <c r="A1094" t="s">
        <v>24</v>
      </c>
      <c r="B1094" t="s">
        <v>1842</v>
      </c>
      <c r="C1094" t="str">
        <f>"A0086952"</f>
        <v>A0086952</v>
      </c>
      <c r="D1094" t="s">
        <v>4907</v>
      </c>
      <c r="E1094" t="s">
        <v>4908</v>
      </c>
      <c r="F1094" t="s">
        <v>4909</v>
      </c>
      <c r="G1094" t="s">
        <v>137</v>
      </c>
      <c r="H1094">
        <v>65202</v>
      </c>
      <c r="I1094" t="s">
        <v>30</v>
      </c>
      <c r="J1094" t="s">
        <v>31</v>
      </c>
      <c r="K1094" t="s">
        <v>32</v>
      </c>
      <c r="N1094" t="s">
        <v>4910</v>
      </c>
      <c r="O1094" t="s">
        <v>3486</v>
      </c>
      <c r="Q1094">
        <v>0</v>
      </c>
      <c r="R1094">
        <v>91</v>
      </c>
      <c r="S1094">
        <v>0</v>
      </c>
      <c r="T1094" t="s">
        <v>4911</v>
      </c>
    </row>
    <row r="1095" spans="1:20" customFormat="1" ht="15" x14ac:dyDescent="0.25">
      <c r="A1095" t="s">
        <v>24</v>
      </c>
      <c r="B1095" t="s">
        <v>5843</v>
      </c>
      <c r="C1095" t="str">
        <f>"A0188457"</f>
        <v>A0188457</v>
      </c>
      <c r="D1095" t="s">
        <v>11007</v>
      </c>
      <c r="E1095" t="s">
        <v>11008</v>
      </c>
      <c r="F1095" t="s">
        <v>11003</v>
      </c>
      <c r="G1095" t="s">
        <v>110</v>
      </c>
      <c r="H1095">
        <v>92009</v>
      </c>
      <c r="I1095" t="s">
        <v>30</v>
      </c>
      <c r="J1095" t="s">
        <v>162</v>
      </c>
      <c r="K1095" t="s">
        <v>854</v>
      </c>
      <c r="N1095" t="s">
        <v>11004</v>
      </c>
      <c r="O1095" t="s">
        <v>11005</v>
      </c>
      <c r="Q1095">
        <v>0</v>
      </c>
      <c r="R1095">
        <v>133</v>
      </c>
      <c r="S1095">
        <v>0</v>
      </c>
      <c r="T1095" t="s">
        <v>11009</v>
      </c>
    </row>
    <row r="1096" spans="1:20" customFormat="1" ht="15" x14ac:dyDescent="0.25">
      <c r="A1096" t="s">
        <v>24</v>
      </c>
      <c r="B1096" t="s">
        <v>2485</v>
      </c>
      <c r="C1096" t="str">
        <f>"A0191377"</f>
        <v>A0191377</v>
      </c>
      <c r="D1096" t="s">
        <v>4917</v>
      </c>
      <c r="E1096" t="s">
        <v>4918</v>
      </c>
      <c r="F1096" t="s">
        <v>4919</v>
      </c>
      <c r="G1096" t="s">
        <v>110</v>
      </c>
      <c r="H1096">
        <v>95926</v>
      </c>
      <c r="I1096" t="s">
        <v>30</v>
      </c>
      <c r="J1096" t="s">
        <v>31</v>
      </c>
      <c r="K1096" t="s">
        <v>282</v>
      </c>
      <c r="N1096" t="s">
        <v>4920</v>
      </c>
      <c r="Q1096">
        <v>0</v>
      </c>
      <c r="R1096">
        <v>78</v>
      </c>
      <c r="S1096">
        <v>0</v>
      </c>
      <c r="T1096" t="s">
        <v>4921</v>
      </c>
    </row>
    <row r="1097" spans="1:20" customFormat="1" ht="15" x14ac:dyDescent="0.25">
      <c r="A1097" t="s">
        <v>24</v>
      </c>
      <c r="B1097" t="s">
        <v>4400</v>
      </c>
      <c r="C1097" t="str">
        <f>"SC120"</f>
        <v>SC120</v>
      </c>
      <c r="D1097" t="s">
        <v>11075</v>
      </c>
      <c r="E1097" t="s">
        <v>11076</v>
      </c>
      <c r="F1097" t="s">
        <v>2971</v>
      </c>
      <c r="G1097" t="s">
        <v>880</v>
      </c>
      <c r="H1097">
        <v>37214</v>
      </c>
      <c r="I1097" t="s">
        <v>30</v>
      </c>
      <c r="J1097" t="s">
        <v>162</v>
      </c>
      <c r="K1097" t="s">
        <v>4809</v>
      </c>
      <c r="N1097" t="s">
        <v>11077</v>
      </c>
      <c r="Q1097">
        <v>0</v>
      </c>
      <c r="R1097">
        <v>382</v>
      </c>
      <c r="S1097">
        <v>0</v>
      </c>
      <c r="T1097" t="s">
        <v>11078</v>
      </c>
    </row>
    <row r="1098" spans="1:20" customFormat="1" ht="15" x14ac:dyDescent="0.25">
      <c r="A1098" t="s">
        <v>24</v>
      </c>
      <c r="B1098" t="s">
        <v>2373</v>
      </c>
      <c r="C1098" t="str">
        <f>"A0101194"</f>
        <v>A0101194</v>
      </c>
      <c r="D1098" t="s">
        <v>11128</v>
      </c>
      <c r="E1098" t="s">
        <v>11129</v>
      </c>
      <c r="F1098" t="s">
        <v>11130</v>
      </c>
      <c r="G1098" t="s">
        <v>99</v>
      </c>
      <c r="H1098">
        <v>12701</v>
      </c>
      <c r="I1098" t="s">
        <v>30</v>
      </c>
      <c r="J1098" t="s">
        <v>162</v>
      </c>
      <c r="K1098" t="s">
        <v>163</v>
      </c>
      <c r="N1098" t="s">
        <v>11131</v>
      </c>
      <c r="O1098" t="s">
        <v>11132</v>
      </c>
      <c r="Q1098">
        <v>0</v>
      </c>
      <c r="R1098">
        <v>324</v>
      </c>
      <c r="S1098">
        <v>0</v>
      </c>
      <c r="T1098" t="s">
        <v>11133</v>
      </c>
    </row>
    <row r="1099" spans="1:20" customFormat="1" ht="15" x14ac:dyDescent="0.25">
      <c r="A1099" t="s">
        <v>24</v>
      </c>
      <c r="B1099" t="s">
        <v>2485</v>
      </c>
      <c r="C1099" t="str">
        <f>"SF09169"</f>
        <v>SF09169</v>
      </c>
      <c r="D1099" t="s">
        <v>4931</v>
      </c>
      <c r="E1099" t="s">
        <v>4932</v>
      </c>
      <c r="F1099" t="s">
        <v>4933</v>
      </c>
      <c r="G1099" t="s">
        <v>110</v>
      </c>
      <c r="H1099">
        <v>95076</v>
      </c>
      <c r="I1099" t="s">
        <v>30</v>
      </c>
      <c r="J1099" t="s">
        <v>31</v>
      </c>
      <c r="K1099" t="s">
        <v>282</v>
      </c>
      <c r="N1099" t="s">
        <v>4934</v>
      </c>
      <c r="Q1099">
        <v>0</v>
      </c>
      <c r="R1099">
        <v>65</v>
      </c>
      <c r="S1099">
        <v>0</v>
      </c>
      <c r="T1099" t="s">
        <v>4935</v>
      </c>
    </row>
    <row r="1100" spans="1:20" customFormat="1" ht="15" x14ac:dyDescent="0.25">
      <c r="A1100" t="s">
        <v>24</v>
      </c>
      <c r="B1100" t="s">
        <v>2485</v>
      </c>
      <c r="C1100" t="str">
        <f>"A0191350"</f>
        <v>A0191350</v>
      </c>
      <c r="D1100" t="s">
        <v>4936</v>
      </c>
      <c r="E1100" t="s">
        <v>4937</v>
      </c>
      <c r="F1100" t="s">
        <v>4938</v>
      </c>
      <c r="G1100" t="s">
        <v>110</v>
      </c>
      <c r="H1100">
        <v>95965</v>
      </c>
      <c r="I1100" t="s">
        <v>30</v>
      </c>
      <c r="J1100" t="s">
        <v>31</v>
      </c>
      <c r="K1100" t="s">
        <v>282</v>
      </c>
      <c r="N1100" t="s">
        <v>4939</v>
      </c>
      <c r="Q1100">
        <v>0</v>
      </c>
      <c r="R1100">
        <v>93</v>
      </c>
      <c r="S1100">
        <v>0</v>
      </c>
      <c r="T1100" t="s">
        <v>4940</v>
      </c>
    </row>
    <row r="1101" spans="1:20" customFormat="1" ht="15" x14ac:dyDescent="0.25">
      <c r="A1101" t="s">
        <v>24</v>
      </c>
      <c r="B1101" t="s">
        <v>2485</v>
      </c>
      <c r="C1101" t="str">
        <f>"A0097676"</f>
        <v>A0097676</v>
      </c>
      <c r="D1101" t="s">
        <v>4941</v>
      </c>
      <c r="E1101" t="s">
        <v>4942</v>
      </c>
      <c r="F1101" t="s">
        <v>2488</v>
      </c>
      <c r="G1101" t="s">
        <v>110</v>
      </c>
      <c r="H1101">
        <v>95023</v>
      </c>
      <c r="I1101" t="s">
        <v>30</v>
      </c>
      <c r="J1101" t="s">
        <v>31</v>
      </c>
      <c r="K1101" t="s">
        <v>32</v>
      </c>
      <c r="N1101" t="s">
        <v>4943</v>
      </c>
      <c r="Q1101">
        <v>0</v>
      </c>
      <c r="R1101">
        <v>77</v>
      </c>
      <c r="S1101">
        <v>0</v>
      </c>
      <c r="T1101" t="s">
        <v>4944</v>
      </c>
    </row>
    <row r="1102" spans="1:20" customFormat="1" ht="15" x14ac:dyDescent="0.25">
      <c r="A1102" t="s">
        <v>24</v>
      </c>
      <c r="B1102" t="s">
        <v>2485</v>
      </c>
      <c r="C1102" t="str">
        <f>"A0094835"</f>
        <v>A0094835</v>
      </c>
      <c r="D1102" t="s">
        <v>4945</v>
      </c>
      <c r="E1102" t="s">
        <v>4946</v>
      </c>
      <c r="F1102" t="s">
        <v>2039</v>
      </c>
      <c r="G1102" t="s">
        <v>110</v>
      </c>
      <c r="H1102">
        <v>95060</v>
      </c>
      <c r="I1102" t="s">
        <v>30</v>
      </c>
      <c r="J1102" t="s">
        <v>31</v>
      </c>
      <c r="K1102" t="s">
        <v>32</v>
      </c>
      <c r="N1102" t="s">
        <v>4947</v>
      </c>
      <c r="O1102" t="s">
        <v>4948</v>
      </c>
      <c r="Q1102">
        <v>0</v>
      </c>
      <c r="R1102">
        <v>86</v>
      </c>
      <c r="S1102">
        <v>0</v>
      </c>
      <c r="T1102" t="s">
        <v>4949</v>
      </c>
    </row>
    <row r="1103" spans="1:20" customFormat="1" ht="15" x14ac:dyDescent="0.25">
      <c r="A1103" t="s">
        <v>24</v>
      </c>
      <c r="B1103" t="s">
        <v>2485</v>
      </c>
      <c r="C1103" t="str">
        <f>"A0088385"</f>
        <v>A0088385</v>
      </c>
      <c r="D1103" t="s">
        <v>4950</v>
      </c>
      <c r="E1103" t="s">
        <v>4951</v>
      </c>
      <c r="F1103" t="s">
        <v>4952</v>
      </c>
      <c r="G1103" t="s">
        <v>110</v>
      </c>
      <c r="H1103">
        <v>93454</v>
      </c>
      <c r="I1103" t="s">
        <v>30</v>
      </c>
      <c r="J1103" t="s">
        <v>31</v>
      </c>
      <c r="K1103" t="s">
        <v>32</v>
      </c>
      <c r="N1103" t="s">
        <v>4953</v>
      </c>
      <c r="Q1103">
        <v>0</v>
      </c>
      <c r="R1103">
        <v>89</v>
      </c>
      <c r="S1103">
        <v>0</v>
      </c>
      <c r="T1103" t="s">
        <v>4954</v>
      </c>
    </row>
    <row r="1104" spans="1:20" customFormat="1" ht="15" x14ac:dyDescent="0.25">
      <c r="A1104" t="s">
        <v>24</v>
      </c>
      <c r="B1104" t="s">
        <v>2955</v>
      </c>
      <c r="C1104" t="str">
        <f>"A0073389"</f>
        <v>A0073389</v>
      </c>
      <c r="D1104" t="s">
        <v>11147</v>
      </c>
      <c r="E1104" t="s">
        <v>11148</v>
      </c>
      <c r="F1104" t="s">
        <v>11149</v>
      </c>
      <c r="G1104" t="s">
        <v>846</v>
      </c>
      <c r="H1104">
        <v>30092</v>
      </c>
      <c r="I1104" t="s">
        <v>30</v>
      </c>
      <c r="J1104" t="s">
        <v>162</v>
      </c>
      <c r="K1104" t="s">
        <v>4809</v>
      </c>
      <c r="N1104" t="s">
        <v>11150</v>
      </c>
      <c r="Q1104">
        <v>0</v>
      </c>
      <c r="R1104">
        <v>271</v>
      </c>
      <c r="S1104">
        <v>0</v>
      </c>
      <c r="T1104" t="s">
        <v>11151</v>
      </c>
    </row>
    <row r="1105" spans="1:20" customFormat="1" ht="15" x14ac:dyDescent="0.25">
      <c r="A1105" t="s">
        <v>24</v>
      </c>
      <c r="B1105" t="s">
        <v>2485</v>
      </c>
      <c r="C1105" t="str">
        <f>"A0087417"</f>
        <v>A0087417</v>
      </c>
      <c r="D1105" t="s">
        <v>4958</v>
      </c>
      <c r="E1105" t="s">
        <v>4959</v>
      </c>
      <c r="F1105" t="s">
        <v>4960</v>
      </c>
      <c r="G1105" t="s">
        <v>47</v>
      </c>
      <c r="H1105">
        <v>97601</v>
      </c>
      <c r="I1105" t="s">
        <v>30</v>
      </c>
      <c r="J1105" t="s">
        <v>31</v>
      </c>
      <c r="K1105" t="s">
        <v>282</v>
      </c>
      <c r="N1105" t="s">
        <v>4961</v>
      </c>
      <c r="Q1105">
        <v>0</v>
      </c>
      <c r="R1105">
        <v>85</v>
      </c>
      <c r="S1105">
        <v>0</v>
      </c>
      <c r="T1105" t="s">
        <v>4962</v>
      </c>
    </row>
    <row r="1106" spans="1:20" customFormat="1" ht="15" x14ac:dyDescent="0.25">
      <c r="A1106" t="s">
        <v>24</v>
      </c>
      <c r="B1106" t="s">
        <v>4912</v>
      </c>
      <c r="C1106" t="str">
        <f>"A0091628"</f>
        <v>A0091628</v>
      </c>
      <c r="D1106" t="s">
        <v>4963</v>
      </c>
      <c r="E1106" t="s">
        <v>4964</v>
      </c>
      <c r="F1106" t="s">
        <v>4965</v>
      </c>
      <c r="G1106" t="s">
        <v>153</v>
      </c>
      <c r="H1106">
        <v>84078</v>
      </c>
      <c r="I1106" t="s">
        <v>30</v>
      </c>
      <c r="J1106" t="s">
        <v>31</v>
      </c>
      <c r="K1106" t="s">
        <v>222</v>
      </c>
      <c r="N1106" t="s">
        <v>4966</v>
      </c>
      <c r="Q1106">
        <v>0</v>
      </c>
      <c r="R1106">
        <v>85</v>
      </c>
      <c r="S1106">
        <v>0</v>
      </c>
      <c r="T1106" t="s">
        <v>4967</v>
      </c>
    </row>
    <row r="1107" spans="1:20" customFormat="1" ht="15" x14ac:dyDescent="0.25">
      <c r="A1107" t="s">
        <v>24</v>
      </c>
      <c r="B1107" t="s">
        <v>4912</v>
      </c>
      <c r="C1107" t="str">
        <f>"432EM"</f>
        <v>432EM</v>
      </c>
      <c r="D1107" t="s">
        <v>4968</v>
      </c>
      <c r="E1107" t="s">
        <v>4969</v>
      </c>
      <c r="F1107" t="s">
        <v>4970</v>
      </c>
      <c r="G1107" t="s">
        <v>880</v>
      </c>
      <c r="H1107">
        <v>38138</v>
      </c>
      <c r="I1107" t="s">
        <v>30</v>
      </c>
      <c r="J1107" t="s">
        <v>31</v>
      </c>
      <c r="K1107" t="s">
        <v>32</v>
      </c>
      <c r="N1107" t="s">
        <v>4971</v>
      </c>
      <c r="Q1107">
        <v>0</v>
      </c>
      <c r="R1107">
        <v>80</v>
      </c>
      <c r="S1107">
        <v>0</v>
      </c>
      <c r="T1107" t="s">
        <v>4972</v>
      </c>
    </row>
    <row r="1108" spans="1:20" customFormat="1" ht="15" x14ac:dyDescent="0.25">
      <c r="A1108" t="s">
        <v>24</v>
      </c>
      <c r="B1108" t="s">
        <v>1288</v>
      </c>
      <c r="C1108" t="str">
        <f>"A0055771"</f>
        <v>A0055771</v>
      </c>
      <c r="D1108" t="s">
        <v>11316</v>
      </c>
      <c r="E1108" t="s">
        <v>11317</v>
      </c>
      <c r="F1108" t="s">
        <v>11318</v>
      </c>
      <c r="G1108" t="s">
        <v>925</v>
      </c>
      <c r="H1108">
        <v>66612</v>
      </c>
      <c r="I1108" t="s">
        <v>30</v>
      </c>
      <c r="J1108" t="s">
        <v>162</v>
      </c>
      <c r="K1108" t="s">
        <v>163</v>
      </c>
      <c r="N1108" t="s">
        <v>11319</v>
      </c>
      <c r="O1108" t="s">
        <v>11320</v>
      </c>
      <c r="Q1108">
        <v>0</v>
      </c>
      <c r="R1108">
        <v>224</v>
      </c>
      <c r="S1108">
        <v>0</v>
      </c>
      <c r="T1108" t="s">
        <v>11321</v>
      </c>
    </row>
    <row r="1109" spans="1:20" customFormat="1" ht="15" x14ac:dyDescent="0.25">
      <c r="A1109" t="s">
        <v>24</v>
      </c>
      <c r="B1109" t="s">
        <v>193</v>
      </c>
      <c r="C1109" t="str">
        <f>"A0090820"</f>
        <v>A0090820</v>
      </c>
      <c r="D1109" t="s">
        <v>11326</v>
      </c>
      <c r="E1109" t="s">
        <v>11327</v>
      </c>
      <c r="F1109" t="s">
        <v>1108</v>
      </c>
      <c r="G1109" t="s">
        <v>76</v>
      </c>
      <c r="H1109">
        <v>98104</v>
      </c>
      <c r="I1109" t="s">
        <v>30</v>
      </c>
      <c r="J1109" t="s">
        <v>162</v>
      </c>
      <c r="K1109" t="s">
        <v>163</v>
      </c>
      <c r="N1109" t="s">
        <v>11328</v>
      </c>
      <c r="Q1109">
        <v>0</v>
      </c>
      <c r="R1109">
        <v>120</v>
      </c>
      <c r="S1109">
        <v>0</v>
      </c>
      <c r="T1109" t="s">
        <v>11329</v>
      </c>
    </row>
    <row r="1110" spans="1:20" customFormat="1" ht="15" x14ac:dyDescent="0.25">
      <c r="A1110" t="s">
        <v>24</v>
      </c>
      <c r="B1110" t="s">
        <v>257</v>
      </c>
      <c r="C1110" t="str">
        <f>"A0191353"</f>
        <v>A0191353</v>
      </c>
      <c r="D1110" t="s">
        <v>4981</v>
      </c>
      <c r="E1110" t="s">
        <v>4982</v>
      </c>
      <c r="F1110" t="s">
        <v>4983</v>
      </c>
      <c r="G1110" t="s">
        <v>110</v>
      </c>
      <c r="H1110">
        <v>93446</v>
      </c>
      <c r="I1110" t="s">
        <v>30</v>
      </c>
      <c r="J1110" t="s">
        <v>31</v>
      </c>
      <c r="K1110" t="s">
        <v>198</v>
      </c>
      <c r="N1110" t="s">
        <v>4984</v>
      </c>
      <c r="Q1110">
        <v>0</v>
      </c>
      <c r="R1110">
        <v>81</v>
      </c>
      <c r="S1110">
        <v>0</v>
      </c>
      <c r="T1110" t="s">
        <v>4985</v>
      </c>
    </row>
    <row r="1111" spans="1:20" customFormat="1" ht="15" x14ac:dyDescent="0.25">
      <c r="A1111" t="s">
        <v>24</v>
      </c>
      <c r="B1111" t="s">
        <v>149</v>
      </c>
      <c r="C1111" t="str">
        <f>"A0190946"</f>
        <v>A0190946</v>
      </c>
      <c r="D1111" t="s">
        <v>4986</v>
      </c>
      <c r="E1111" t="s">
        <v>4987</v>
      </c>
      <c r="F1111" t="s">
        <v>4541</v>
      </c>
      <c r="G1111" t="s">
        <v>153</v>
      </c>
      <c r="H1111">
        <v>84101</v>
      </c>
      <c r="I1111" t="s">
        <v>30</v>
      </c>
      <c r="J1111" t="s">
        <v>31</v>
      </c>
      <c r="K1111" t="s">
        <v>163</v>
      </c>
      <c r="N1111" t="s">
        <v>4988</v>
      </c>
      <c r="O1111" t="s">
        <v>4989</v>
      </c>
      <c r="Q1111">
        <v>0</v>
      </c>
      <c r="R1111">
        <v>50</v>
      </c>
      <c r="S1111">
        <v>0</v>
      </c>
      <c r="T1111" t="s">
        <v>192</v>
      </c>
    </row>
    <row r="1112" spans="1:20" customFormat="1" ht="15" x14ac:dyDescent="0.25">
      <c r="A1112" t="s">
        <v>24</v>
      </c>
      <c r="B1112" t="s">
        <v>4990</v>
      </c>
      <c r="C1112" t="str">
        <f>"A0059912"</f>
        <v>A0059912</v>
      </c>
      <c r="D1112" t="s">
        <v>4991</v>
      </c>
      <c r="E1112" t="s">
        <v>4992</v>
      </c>
      <c r="F1112" t="s">
        <v>2383</v>
      </c>
      <c r="G1112" t="s">
        <v>338</v>
      </c>
      <c r="H1112">
        <v>7094</v>
      </c>
      <c r="I1112" t="s">
        <v>30</v>
      </c>
      <c r="J1112" t="s">
        <v>31</v>
      </c>
      <c r="K1112" t="s">
        <v>163</v>
      </c>
      <c r="N1112" t="s">
        <v>4993</v>
      </c>
      <c r="O1112" t="s">
        <v>4994</v>
      </c>
      <c r="Q1112">
        <v>0</v>
      </c>
      <c r="R1112">
        <v>150</v>
      </c>
      <c r="S1112">
        <v>0</v>
      </c>
      <c r="T1112" t="s">
        <v>4995</v>
      </c>
    </row>
    <row r="1113" spans="1:20" customFormat="1" ht="15" x14ac:dyDescent="0.25">
      <c r="A1113" t="s">
        <v>24</v>
      </c>
      <c r="B1113" t="s">
        <v>649</v>
      </c>
      <c r="C1113" t="str">
        <f>"A0191202"</f>
        <v>A0191202</v>
      </c>
      <c r="D1113" t="s">
        <v>4996</v>
      </c>
      <c r="E1113" t="s">
        <v>4997</v>
      </c>
      <c r="F1113" t="s">
        <v>4998</v>
      </c>
      <c r="G1113" t="s">
        <v>110</v>
      </c>
      <c r="H1113">
        <v>93561</v>
      </c>
      <c r="I1113" t="s">
        <v>30</v>
      </c>
      <c r="J1113" t="s">
        <v>31</v>
      </c>
      <c r="K1113" t="s">
        <v>222</v>
      </c>
      <c r="N1113" t="s">
        <v>4999</v>
      </c>
      <c r="Q1113">
        <v>0</v>
      </c>
      <c r="R1113">
        <v>82</v>
      </c>
      <c r="S1113">
        <v>0</v>
      </c>
      <c r="T1113" t="s">
        <v>5000</v>
      </c>
    </row>
    <row r="1114" spans="1:20" customFormat="1" ht="15" x14ac:dyDescent="0.25">
      <c r="A1114" t="s">
        <v>24</v>
      </c>
      <c r="B1114" t="s">
        <v>5001</v>
      </c>
      <c r="C1114" t="str">
        <f>"A0063765"</f>
        <v>A0063765</v>
      </c>
      <c r="D1114" t="s">
        <v>5002</v>
      </c>
      <c r="E1114" t="s">
        <v>5003</v>
      </c>
      <c r="F1114" t="s">
        <v>3466</v>
      </c>
      <c r="G1114" t="s">
        <v>840</v>
      </c>
      <c r="H1114">
        <v>40208</v>
      </c>
      <c r="I1114" t="s">
        <v>30</v>
      </c>
      <c r="J1114" t="s">
        <v>2558</v>
      </c>
      <c r="K1114" t="s">
        <v>179</v>
      </c>
      <c r="N1114" t="s">
        <v>5004</v>
      </c>
      <c r="Q1114">
        <v>0</v>
      </c>
      <c r="R1114">
        <v>0</v>
      </c>
      <c r="S1114">
        <v>0</v>
      </c>
      <c r="T1114" t="s">
        <v>5005</v>
      </c>
    </row>
    <row r="1115" spans="1:20" customFormat="1" ht="15" x14ac:dyDescent="0.25">
      <c r="A1115" t="s">
        <v>24</v>
      </c>
      <c r="B1115" t="s">
        <v>2583</v>
      </c>
      <c r="C1115" t="str">
        <f>"A0185505"</f>
        <v>A0185505</v>
      </c>
      <c r="D1115" t="s">
        <v>5006</v>
      </c>
      <c r="E1115" t="s">
        <v>5007</v>
      </c>
      <c r="F1115" t="s">
        <v>5008</v>
      </c>
      <c r="G1115" t="s">
        <v>1898</v>
      </c>
      <c r="H1115">
        <v>50309</v>
      </c>
      <c r="I1115" t="s">
        <v>30</v>
      </c>
      <c r="J1115" t="s">
        <v>1004</v>
      </c>
      <c r="K1115" t="s">
        <v>163</v>
      </c>
      <c r="N1115" t="s">
        <v>5009</v>
      </c>
      <c r="Q1115">
        <v>0</v>
      </c>
      <c r="R1115">
        <v>0</v>
      </c>
      <c r="S1115">
        <v>0</v>
      </c>
      <c r="T1115" t="s">
        <v>192</v>
      </c>
    </row>
    <row r="1116" spans="1:20" customFormat="1" ht="15" x14ac:dyDescent="0.25">
      <c r="A1116" t="s">
        <v>24</v>
      </c>
      <c r="B1116" t="s">
        <v>10672</v>
      </c>
      <c r="C1116" t="str">
        <f>"A0188456"</f>
        <v>A0188456</v>
      </c>
      <c r="D1116" t="s">
        <v>11334</v>
      </c>
      <c r="E1116" t="s">
        <v>11335</v>
      </c>
      <c r="F1116" t="s">
        <v>5551</v>
      </c>
      <c r="G1116" t="s">
        <v>110</v>
      </c>
      <c r="H1116">
        <v>94515</v>
      </c>
      <c r="I1116" t="s">
        <v>30</v>
      </c>
      <c r="J1116" t="s">
        <v>162</v>
      </c>
      <c r="K1116" t="s">
        <v>163</v>
      </c>
      <c r="N1116" t="s">
        <v>11336</v>
      </c>
      <c r="Q1116">
        <v>0</v>
      </c>
      <c r="R1116">
        <v>50</v>
      </c>
      <c r="S1116">
        <v>0</v>
      </c>
      <c r="T1116" t="s">
        <v>11337</v>
      </c>
    </row>
    <row r="1117" spans="1:20" customFormat="1" ht="15" x14ac:dyDescent="0.25">
      <c r="A1117" t="s">
        <v>35</v>
      </c>
      <c r="B1117" t="s">
        <v>2648</v>
      </c>
      <c r="C1117" t="str">
        <f>"A0191334"</f>
        <v>A0191334</v>
      </c>
      <c r="D1117" t="s">
        <v>5016</v>
      </c>
      <c r="E1117" t="s">
        <v>5017</v>
      </c>
      <c r="F1117" t="s">
        <v>1501</v>
      </c>
      <c r="G1117" t="s">
        <v>880</v>
      </c>
      <c r="H1117">
        <v>38112</v>
      </c>
      <c r="I1117" t="s">
        <v>30</v>
      </c>
      <c r="J1117" t="s">
        <v>41</v>
      </c>
      <c r="K1117" t="s">
        <v>59</v>
      </c>
      <c r="Q1117">
        <v>0</v>
      </c>
      <c r="R1117">
        <v>0</v>
      </c>
      <c r="S1117">
        <v>100</v>
      </c>
      <c r="T1117" t="s">
        <v>5018</v>
      </c>
    </row>
    <row r="1118" spans="1:20" customFormat="1" ht="15" x14ac:dyDescent="0.25">
      <c r="A1118" t="s">
        <v>35</v>
      </c>
      <c r="B1118" t="s">
        <v>36</v>
      </c>
      <c r="C1118" t="str">
        <f>"A0191333"</f>
        <v>A0191333</v>
      </c>
      <c r="D1118" t="s">
        <v>5019</v>
      </c>
      <c r="E1118" t="s">
        <v>5020</v>
      </c>
      <c r="F1118" t="s">
        <v>1420</v>
      </c>
      <c r="G1118" t="s">
        <v>880</v>
      </c>
      <c r="H1118">
        <v>37204</v>
      </c>
      <c r="I1118" t="s">
        <v>30</v>
      </c>
      <c r="J1118" t="s">
        <v>41</v>
      </c>
      <c r="K1118" t="s">
        <v>42</v>
      </c>
      <c r="Q1118">
        <v>0</v>
      </c>
      <c r="R1118">
        <v>0</v>
      </c>
      <c r="S1118">
        <v>0</v>
      </c>
      <c r="T1118" t="s">
        <v>5021</v>
      </c>
    </row>
    <row r="1119" spans="1:20" customFormat="1" ht="15" x14ac:dyDescent="0.25">
      <c r="A1119" t="s">
        <v>35</v>
      </c>
      <c r="B1119" t="s">
        <v>36</v>
      </c>
      <c r="C1119" t="str">
        <f>"A0191332"</f>
        <v>A0191332</v>
      </c>
      <c r="D1119" t="s">
        <v>5022</v>
      </c>
      <c r="E1119" t="s">
        <v>5023</v>
      </c>
      <c r="F1119" t="s">
        <v>1420</v>
      </c>
      <c r="G1119" t="s">
        <v>880</v>
      </c>
      <c r="H1119">
        <v>37204</v>
      </c>
      <c r="I1119" t="s">
        <v>30</v>
      </c>
      <c r="J1119" t="s">
        <v>41</v>
      </c>
      <c r="K1119" t="s">
        <v>42</v>
      </c>
      <c r="Q1119">
        <v>0</v>
      </c>
      <c r="R1119">
        <v>0</v>
      </c>
      <c r="S1119">
        <v>0</v>
      </c>
      <c r="T1119" t="s">
        <v>5021</v>
      </c>
    </row>
    <row r="1120" spans="1:20" customFormat="1" ht="15" x14ac:dyDescent="0.25">
      <c r="A1120" t="s">
        <v>35</v>
      </c>
      <c r="B1120" t="s">
        <v>36</v>
      </c>
      <c r="C1120" t="str">
        <f>"A0191331"</f>
        <v>A0191331</v>
      </c>
      <c r="D1120" t="s">
        <v>5024</v>
      </c>
      <c r="E1120" t="s">
        <v>5025</v>
      </c>
      <c r="F1120" t="s">
        <v>1731</v>
      </c>
      <c r="G1120" t="s">
        <v>52</v>
      </c>
      <c r="H1120">
        <v>75204</v>
      </c>
      <c r="I1120" t="s">
        <v>30</v>
      </c>
      <c r="J1120" t="s">
        <v>41</v>
      </c>
      <c r="K1120" t="s">
        <v>42</v>
      </c>
      <c r="Q1120">
        <v>0</v>
      </c>
      <c r="R1120">
        <v>0</v>
      </c>
      <c r="S1120">
        <v>0</v>
      </c>
      <c r="T1120" t="s">
        <v>5026</v>
      </c>
    </row>
    <row r="1121" spans="1:20" customFormat="1" ht="15" x14ac:dyDescent="0.25">
      <c r="A1121" t="s">
        <v>35</v>
      </c>
      <c r="B1121" t="s">
        <v>36</v>
      </c>
      <c r="C1121" t="str">
        <f>"A0191330"</f>
        <v>A0191330</v>
      </c>
      <c r="D1121" t="s">
        <v>5027</v>
      </c>
      <c r="E1121" t="s">
        <v>5028</v>
      </c>
      <c r="F1121" t="s">
        <v>5029</v>
      </c>
      <c r="G1121" t="s">
        <v>52</v>
      </c>
      <c r="H1121">
        <v>75435</v>
      </c>
      <c r="I1121" t="s">
        <v>30</v>
      </c>
      <c r="J1121" t="s">
        <v>41</v>
      </c>
      <c r="K1121" t="s">
        <v>42</v>
      </c>
      <c r="Q1121">
        <v>0</v>
      </c>
      <c r="R1121">
        <v>0</v>
      </c>
      <c r="S1121">
        <v>0</v>
      </c>
      <c r="T1121" t="s">
        <v>5030</v>
      </c>
    </row>
    <row r="1122" spans="1:20" customFormat="1" ht="15" x14ac:dyDescent="0.25">
      <c r="A1122" t="s">
        <v>35</v>
      </c>
      <c r="B1122" t="s">
        <v>2452</v>
      </c>
      <c r="C1122" t="str">
        <f>"A0191329"</f>
        <v>A0191329</v>
      </c>
      <c r="D1122" t="s">
        <v>5031</v>
      </c>
      <c r="E1122" t="s">
        <v>5032</v>
      </c>
      <c r="F1122" t="s">
        <v>5033</v>
      </c>
      <c r="G1122" t="s">
        <v>338</v>
      </c>
      <c r="H1122">
        <v>8088</v>
      </c>
      <c r="I1122" t="s">
        <v>30</v>
      </c>
      <c r="J1122" t="s">
        <v>41</v>
      </c>
      <c r="K1122" t="s">
        <v>131</v>
      </c>
      <c r="Q1122">
        <v>0</v>
      </c>
      <c r="R1122">
        <v>0</v>
      </c>
      <c r="S1122">
        <v>0</v>
      </c>
      <c r="T1122" t="s">
        <v>72</v>
      </c>
    </row>
    <row r="1123" spans="1:20" customFormat="1" ht="15" x14ac:dyDescent="0.25">
      <c r="A1123" t="s">
        <v>35</v>
      </c>
      <c r="B1123" t="s">
        <v>2452</v>
      </c>
      <c r="C1123" t="str">
        <f>"A0191328"</f>
        <v>A0191328</v>
      </c>
      <c r="D1123" t="s">
        <v>5034</v>
      </c>
      <c r="E1123" t="s">
        <v>5035</v>
      </c>
      <c r="F1123" t="s">
        <v>5036</v>
      </c>
      <c r="G1123" t="s">
        <v>338</v>
      </c>
      <c r="H1123">
        <v>8054</v>
      </c>
      <c r="I1123" t="s">
        <v>30</v>
      </c>
      <c r="J1123" t="s">
        <v>41</v>
      </c>
      <c r="K1123" t="s">
        <v>131</v>
      </c>
      <c r="Q1123">
        <v>0</v>
      </c>
      <c r="R1123">
        <v>0</v>
      </c>
      <c r="S1123">
        <v>0</v>
      </c>
      <c r="T1123" t="s">
        <v>72</v>
      </c>
    </row>
    <row r="1124" spans="1:20" customFormat="1" ht="15" x14ac:dyDescent="0.25">
      <c r="A1124" t="s">
        <v>35</v>
      </c>
      <c r="B1124" t="s">
        <v>5037</v>
      </c>
      <c r="C1124" t="str">
        <f>"A0191327"</f>
        <v>A0191327</v>
      </c>
      <c r="D1124" t="s">
        <v>5038</v>
      </c>
      <c r="E1124" t="s">
        <v>5039</v>
      </c>
      <c r="F1124" t="s">
        <v>4227</v>
      </c>
      <c r="G1124" t="s">
        <v>846</v>
      </c>
      <c r="H1124">
        <v>30606</v>
      </c>
      <c r="I1124" t="s">
        <v>30</v>
      </c>
      <c r="J1124" t="s">
        <v>41</v>
      </c>
      <c r="K1124" t="s">
        <v>1440</v>
      </c>
      <c r="Q1124">
        <v>0</v>
      </c>
      <c r="R1124">
        <v>0</v>
      </c>
      <c r="S1124">
        <v>0</v>
      </c>
      <c r="T1124" t="s">
        <v>5040</v>
      </c>
    </row>
    <row r="1125" spans="1:20" customFormat="1" ht="15" x14ac:dyDescent="0.25">
      <c r="A1125" t="s">
        <v>35</v>
      </c>
      <c r="B1125" t="s">
        <v>5041</v>
      </c>
      <c r="C1125" t="str">
        <f>"A0191326"</f>
        <v>A0191326</v>
      </c>
      <c r="D1125" t="s">
        <v>5042</v>
      </c>
      <c r="E1125" t="s">
        <v>5043</v>
      </c>
      <c r="F1125" t="s">
        <v>5044</v>
      </c>
      <c r="G1125" t="s">
        <v>880</v>
      </c>
      <c r="H1125">
        <v>38201</v>
      </c>
      <c r="I1125" t="s">
        <v>30</v>
      </c>
      <c r="J1125" t="s">
        <v>41</v>
      </c>
      <c r="K1125" t="s">
        <v>131</v>
      </c>
      <c r="Q1125">
        <v>0</v>
      </c>
      <c r="R1125">
        <v>0</v>
      </c>
      <c r="S1125">
        <v>10</v>
      </c>
      <c r="T1125" t="s">
        <v>5045</v>
      </c>
    </row>
    <row r="1126" spans="1:20" customFormat="1" ht="15" x14ac:dyDescent="0.25">
      <c r="A1126" t="s">
        <v>35</v>
      </c>
      <c r="B1126" t="s">
        <v>61</v>
      </c>
      <c r="C1126" t="str">
        <f>"A0191325"</f>
        <v>A0191325</v>
      </c>
      <c r="D1126" t="s">
        <v>5046</v>
      </c>
      <c r="E1126" t="s">
        <v>5047</v>
      </c>
      <c r="F1126" t="s">
        <v>2307</v>
      </c>
      <c r="G1126" t="s">
        <v>65</v>
      </c>
      <c r="H1126">
        <v>44104</v>
      </c>
      <c r="I1126" t="s">
        <v>30</v>
      </c>
      <c r="J1126" t="s">
        <v>41</v>
      </c>
      <c r="K1126" t="s">
        <v>112</v>
      </c>
      <c r="Q1126">
        <v>0</v>
      </c>
      <c r="R1126">
        <v>0</v>
      </c>
      <c r="S1126">
        <v>0</v>
      </c>
      <c r="T1126" t="s">
        <v>72</v>
      </c>
    </row>
    <row r="1127" spans="1:20" customFormat="1" ht="15" x14ac:dyDescent="0.25">
      <c r="A1127" t="s">
        <v>35</v>
      </c>
      <c r="B1127" t="s">
        <v>61</v>
      </c>
      <c r="C1127" t="str">
        <f>"A0191324"</f>
        <v>A0191324</v>
      </c>
      <c r="D1127" t="s">
        <v>5048</v>
      </c>
      <c r="E1127" t="s">
        <v>5049</v>
      </c>
      <c r="F1127" t="s">
        <v>5050</v>
      </c>
      <c r="G1127" t="s">
        <v>161</v>
      </c>
      <c r="H1127">
        <v>55447</v>
      </c>
      <c r="I1127" t="s">
        <v>30</v>
      </c>
      <c r="J1127" t="s">
        <v>41</v>
      </c>
      <c r="K1127" t="s">
        <v>5051</v>
      </c>
      <c r="Q1127">
        <v>0</v>
      </c>
      <c r="R1127">
        <v>0</v>
      </c>
      <c r="S1127">
        <v>0</v>
      </c>
      <c r="T1127" t="s">
        <v>5052</v>
      </c>
    </row>
    <row r="1128" spans="1:20" customFormat="1" ht="15" x14ac:dyDescent="0.25">
      <c r="A1128" t="s">
        <v>35</v>
      </c>
      <c r="B1128" t="s">
        <v>61</v>
      </c>
      <c r="C1128" t="str">
        <f>"A0191323"</f>
        <v>A0191323</v>
      </c>
      <c r="D1128" t="s">
        <v>5053</v>
      </c>
      <c r="E1128" t="s">
        <v>5054</v>
      </c>
      <c r="F1128" t="s">
        <v>5055</v>
      </c>
      <c r="G1128" t="s">
        <v>846</v>
      </c>
      <c r="H1128">
        <v>39840</v>
      </c>
      <c r="I1128" t="s">
        <v>30</v>
      </c>
      <c r="J1128" t="s">
        <v>41</v>
      </c>
      <c r="K1128" t="s">
        <v>59</v>
      </c>
      <c r="Q1128">
        <v>0</v>
      </c>
      <c r="R1128">
        <v>0</v>
      </c>
      <c r="S1128">
        <v>50</v>
      </c>
      <c r="T1128" t="s">
        <v>5056</v>
      </c>
    </row>
    <row r="1129" spans="1:20" customFormat="1" ht="15" x14ac:dyDescent="0.25">
      <c r="A1129" t="s">
        <v>35</v>
      </c>
      <c r="B1129" t="s">
        <v>61</v>
      </c>
      <c r="C1129" t="str">
        <f>"A0191322"</f>
        <v>A0191322</v>
      </c>
      <c r="D1129" t="s">
        <v>5057</v>
      </c>
      <c r="E1129" t="s">
        <v>5058</v>
      </c>
      <c r="F1129" t="s">
        <v>3002</v>
      </c>
      <c r="G1129" t="s">
        <v>161</v>
      </c>
      <c r="H1129">
        <v>55341</v>
      </c>
      <c r="I1129" t="s">
        <v>30</v>
      </c>
      <c r="J1129" t="s">
        <v>41</v>
      </c>
      <c r="K1129" t="s">
        <v>59</v>
      </c>
      <c r="Q1129">
        <v>0</v>
      </c>
      <c r="R1129">
        <v>0</v>
      </c>
      <c r="S1129">
        <v>24</v>
      </c>
      <c r="T1129" t="s">
        <v>72</v>
      </c>
    </row>
    <row r="1130" spans="1:20" customFormat="1" ht="15" x14ac:dyDescent="0.25">
      <c r="A1130" t="s">
        <v>35</v>
      </c>
      <c r="B1130" t="s">
        <v>61</v>
      </c>
      <c r="C1130" t="str">
        <f>"A0191321"</f>
        <v>A0191321</v>
      </c>
      <c r="D1130" t="s">
        <v>5059</v>
      </c>
      <c r="E1130" t="s">
        <v>5060</v>
      </c>
      <c r="F1130" t="s">
        <v>5061</v>
      </c>
      <c r="G1130" t="s">
        <v>880</v>
      </c>
      <c r="H1130">
        <v>37083</v>
      </c>
      <c r="I1130" t="s">
        <v>30</v>
      </c>
      <c r="J1130" t="s">
        <v>41</v>
      </c>
      <c r="K1130" t="s">
        <v>59</v>
      </c>
      <c r="Q1130">
        <v>0</v>
      </c>
      <c r="R1130">
        <v>0</v>
      </c>
      <c r="S1130">
        <v>50</v>
      </c>
      <c r="T1130" t="s">
        <v>5062</v>
      </c>
    </row>
    <row r="1131" spans="1:20" customFormat="1" ht="15" x14ac:dyDescent="0.25">
      <c r="A1131" t="s">
        <v>35</v>
      </c>
      <c r="B1131" t="s">
        <v>61</v>
      </c>
      <c r="C1131" t="str">
        <f>"A0191320"</f>
        <v>A0191320</v>
      </c>
      <c r="D1131" t="s">
        <v>5063</v>
      </c>
      <c r="E1131" t="s">
        <v>5064</v>
      </c>
      <c r="F1131" t="s">
        <v>5065</v>
      </c>
      <c r="G1131" t="s">
        <v>52</v>
      </c>
      <c r="H1131">
        <v>78643</v>
      </c>
      <c r="I1131" t="s">
        <v>30</v>
      </c>
      <c r="J1131" t="s">
        <v>41</v>
      </c>
      <c r="K1131" t="s">
        <v>418</v>
      </c>
      <c r="Q1131">
        <v>0</v>
      </c>
      <c r="R1131">
        <v>0</v>
      </c>
      <c r="S1131">
        <v>0</v>
      </c>
      <c r="T1131" t="s">
        <v>5066</v>
      </c>
    </row>
    <row r="1132" spans="1:20" customFormat="1" ht="15" x14ac:dyDescent="0.25">
      <c r="A1132" t="s">
        <v>35</v>
      </c>
      <c r="B1132" t="s">
        <v>5067</v>
      </c>
      <c r="C1132" t="str">
        <f>"A0191319"</f>
        <v>A0191319</v>
      </c>
      <c r="D1132" t="s">
        <v>5068</v>
      </c>
      <c r="E1132" t="s">
        <v>5069</v>
      </c>
      <c r="F1132" t="s">
        <v>64</v>
      </c>
      <c r="G1132" t="s">
        <v>846</v>
      </c>
      <c r="H1132">
        <v>31904</v>
      </c>
      <c r="I1132" t="s">
        <v>30</v>
      </c>
      <c r="J1132" t="s">
        <v>41</v>
      </c>
      <c r="K1132" t="s">
        <v>2463</v>
      </c>
      <c r="Q1132">
        <v>0</v>
      </c>
      <c r="R1132">
        <v>0</v>
      </c>
      <c r="S1132">
        <v>0</v>
      </c>
      <c r="T1132" t="s">
        <v>5070</v>
      </c>
    </row>
    <row r="1133" spans="1:20" customFormat="1" ht="15" x14ac:dyDescent="0.25">
      <c r="A1133" t="s">
        <v>35</v>
      </c>
      <c r="B1133" t="s">
        <v>2452</v>
      </c>
      <c r="C1133" t="str">
        <f>"A0191260"</f>
        <v>A0191260</v>
      </c>
      <c r="D1133" t="s">
        <v>5071</v>
      </c>
      <c r="E1133" t="s">
        <v>5072</v>
      </c>
      <c r="F1133" t="s">
        <v>1775</v>
      </c>
      <c r="G1133" t="s">
        <v>161</v>
      </c>
      <c r="H1133">
        <v>55779</v>
      </c>
      <c r="I1133" t="s">
        <v>30</v>
      </c>
      <c r="J1133" t="s">
        <v>41</v>
      </c>
      <c r="K1133" t="s">
        <v>131</v>
      </c>
      <c r="Q1133">
        <v>0</v>
      </c>
      <c r="R1133">
        <v>0</v>
      </c>
      <c r="S1133">
        <v>20</v>
      </c>
      <c r="T1133" t="s">
        <v>72</v>
      </c>
    </row>
    <row r="1134" spans="1:20" customFormat="1" ht="15" x14ac:dyDescent="0.25">
      <c r="A1134" t="s">
        <v>24</v>
      </c>
      <c r="B1134" t="s">
        <v>10672</v>
      </c>
      <c r="C1134" t="str">
        <f>"A0188455"</f>
        <v>A0188455</v>
      </c>
      <c r="D1134" t="s">
        <v>11338</v>
      </c>
      <c r="E1134" t="s">
        <v>11339</v>
      </c>
      <c r="F1134" t="s">
        <v>11340</v>
      </c>
      <c r="G1134" t="s">
        <v>4815</v>
      </c>
      <c r="H1134">
        <v>96768</v>
      </c>
      <c r="I1134" t="s">
        <v>30</v>
      </c>
      <c r="J1134" t="s">
        <v>162</v>
      </c>
      <c r="K1134" t="s">
        <v>163</v>
      </c>
      <c r="N1134" t="s">
        <v>11341</v>
      </c>
      <c r="O1134" t="s">
        <v>11342</v>
      </c>
      <c r="Q1134">
        <v>0</v>
      </c>
      <c r="R1134">
        <v>24</v>
      </c>
      <c r="S1134">
        <v>0</v>
      </c>
      <c r="T1134" t="s">
        <v>11343</v>
      </c>
    </row>
    <row r="1135" spans="1:20" customFormat="1" ht="15" x14ac:dyDescent="0.25">
      <c r="A1135" t="s">
        <v>24</v>
      </c>
      <c r="B1135" t="s">
        <v>5079</v>
      </c>
      <c r="C1135" t="str">
        <f>"A0191307"</f>
        <v>A0191307</v>
      </c>
      <c r="D1135" t="s">
        <v>5080</v>
      </c>
      <c r="E1135" t="s">
        <v>5081</v>
      </c>
      <c r="F1135" t="s">
        <v>4858</v>
      </c>
      <c r="G1135" t="s">
        <v>99</v>
      </c>
      <c r="H1135">
        <v>12866</v>
      </c>
      <c r="I1135" t="s">
        <v>30</v>
      </c>
      <c r="J1135" t="s">
        <v>31</v>
      </c>
      <c r="K1135" t="s">
        <v>198</v>
      </c>
      <c r="N1135" t="s">
        <v>5082</v>
      </c>
      <c r="Q1135">
        <v>0</v>
      </c>
      <c r="R1135">
        <v>123</v>
      </c>
      <c r="S1135">
        <v>0</v>
      </c>
      <c r="T1135" t="s">
        <v>5083</v>
      </c>
    </row>
    <row r="1136" spans="1:20" customFormat="1" ht="15" x14ac:dyDescent="0.25">
      <c r="A1136" t="s">
        <v>24</v>
      </c>
      <c r="B1136" t="s">
        <v>2520</v>
      </c>
      <c r="C1136" t="str">
        <f>"A0101026"</f>
        <v>A0101026</v>
      </c>
      <c r="D1136" t="s">
        <v>5084</v>
      </c>
      <c r="E1136" t="s">
        <v>5085</v>
      </c>
      <c r="F1136" t="s">
        <v>5086</v>
      </c>
      <c r="G1136" t="s">
        <v>110</v>
      </c>
      <c r="H1136">
        <v>90035</v>
      </c>
      <c r="I1136" t="s">
        <v>30</v>
      </c>
      <c r="J1136" t="s">
        <v>31</v>
      </c>
      <c r="K1136" t="s">
        <v>163</v>
      </c>
      <c r="N1136" t="s">
        <v>5087</v>
      </c>
      <c r="Q1136">
        <v>0</v>
      </c>
      <c r="R1136">
        <v>32</v>
      </c>
      <c r="S1136">
        <v>0</v>
      </c>
      <c r="T1136" t="s">
        <v>5088</v>
      </c>
    </row>
    <row r="1137" spans="1:25" customFormat="1" ht="15" x14ac:dyDescent="0.25">
      <c r="A1137" t="s">
        <v>35</v>
      </c>
      <c r="B1137" t="s">
        <v>61</v>
      </c>
      <c r="C1137" t="str">
        <f>"A0164595"</f>
        <v>A0164595</v>
      </c>
      <c r="D1137" t="s">
        <v>5089</v>
      </c>
      <c r="E1137" t="s">
        <v>5090</v>
      </c>
      <c r="F1137" t="s">
        <v>5091</v>
      </c>
      <c r="G1137" t="s">
        <v>289</v>
      </c>
      <c r="H1137">
        <v>60156</v>
      </c>
      <c r="I1137" t="s">
        <v>30</v>
      </c>
      <c r="J1137" t="s">
        <v>41</v>
      </c>
      <c r="K1137" t="s">
        <v>59</v>
      </c>
      <c r="Q1137">
        <v>0</v>
      </c>
      <c r="R1137">
        <v>75</v>
      </c>
      <c r="S1137">
        <v>75</v>
      </c>
      <c r="T1137" t="s">
        <v>5092</v>
      </c>
    </row>
    <row r="1138" spans="1:25" customFormat="1" ht="15" x14ac:dyDescent="0.25">
      <c r="A1138" t="s">
        <v>24</v>
      </c>
      <c r="B1138" t="s">
        <v>1849</v>
      </c>
      <c r="C1138" t="str">
        <f>"A0089347"</f>
        <v>A0089347</v>
      </c>
      <c r="D1138" t="s">
        <v>11349</v>
      </c>
      <c r="E1138" t="s">
        <v>11350</v>
      </c>
      <c r="F1138" t="s">
        <v>997</v>
      </c>
      <c r="G1138" t="s">
        <v>99</v>
      </c>
      <c r="H1138">
        <v>10004</v>
      </c>
      <c r="I1138" t="s">
        <v>30</v>
      </c>
      <c r="J1138" t="s">
        <v>162</v>
      </c>
      <c r="K1138" t="s">
        <v>759</v>
      </c>
      <c r="N1138" t="s">
        <v>11351</v>
      </c>
      <c r="O1138" t="s">
        <v>11352</v>
      </c>
      <c r="Q1138">
        <v>0</v>
      </c>
      <c r="R1138">
        <v>399</v>
      </c>
      <c r="S1138">
        <v>0</v>
      </c>
      <c r="T1138" t="s">
        <v>11353</v>
      </c>
    </row>
    <row r="1139" spans="1:25" customFormat="1" ht="15" x14ac:dyDescent="0.25">
      <c r="A1139" t="s">
        <v>24</v>
      </c>
      <c r="B1139" t="s">
        <v>1014</v>
      </c>
      <c r="C1139" t="str">
        <f>"A0095542"</f>
        <v>A0095542</v>
      </c>
      <c r="D1139" t="s">
        <v>5099</v>
      </c>
      <c r="E1139" t="s">
        <v>5100</v>
      </c>
      <c r="F1139" t="s">
        <v>5101</v>
      </c>
      <c r="G1139" t="s">
        <v>52</v>
      </c>
      <c r="H1139">
        <v>75052</v>
      </c>
      <c r="I1139" t="s">
        <v>30</v>
      </c>
      <c r="J1139" t="s">
        <v>31</v>
      </c>
      <c r="K1139" t="s">
        <v>321</v>
      </c>
      <c r="N1139" t="s">
        <v>5102</v>
      </c>
      <c r="O1139" t="s">
        <v>3912</v>
      </c>
      <c r="Q1139">
        <v>0</v>
      </c>
      <c r="R1139">
        <v>73</v>
      </c>
      <c r="S1139">
        <v>0</v>
      </c>
      <c r="T1139" t="s">
        <v>5103</v>
      </c>
    </row>
    <row r="1140" spans="1:25" customFormat="1" ht="15" x14ac:dyDescent="0.25">
      <c r="A1140" t="s">
        <v>24</v>
      </c>
      <c r="B1140" t="s">
        <v>1862</v>
      </c>
      <c r="C1140" t="str">
        <f>"A0058730"</f>
        <v>A0058730</v>
      </c>
      <c r="D1140" t="s">
        <v>11358</v>
      </c>
      <c r="E1140" t="s">
        <v>11359</v>
      </c>
      <c r="F1140" t="s">
        <v>8081</v>
      </c>
      <c r="G1140" t="s">
        <v>110</v>
      </c>
      <c r="H1140">
        <v>94102</v>
      </c>
      <c r="I1140" t="s">
        <v>30</v>
      </c>
      <c r="J1140" t="s">
        <v>162</v>
      </c>
      <c r="K1140" t="s">
        <v>163</v>
      </c>
      <c r="N1140" t="s">
        <v>11360</v>
      </c>
      <c r="Q1140">
        <v>0</v>
      </c>
      <c r="R1140">
        <v>94</v>
      </c>
      <c r="S1140">
        <v>0</v>
      </c>
      <c r="T1140" t="s">
        <v>11361</v>
      </c>
    </row>
    <row r="1141" spans="1:25" customFormat="1" ht="15" x14ac:dyDescent="0.25">
      <c r="A1141" t="s">
        <v>24</v>
      </c>
      <c r="B1141" t="s">
        <v>5110</v>
      </c>
      <c r="C1141" t="str">
        <f>"A0191193"</f>
        <v>A0191193</v>
      </c>
      <c r="D1141" t="s">
        <v>5111</v>
      </c>
      <c r="E1141" t="s">
        <v>5112</v>
      </c>
      <c r="F1141" t="s">
        <v>1159</v>
      </c>
      <c r="G1141" t="s">
        <v>58</v>
      </c>
      <c r="H1141">
        <v>29572</v>
      </c>
      <c r="I1141" t="s">
        <v>30</v>
      </c>
      <c r="J1141" t="s">
        <v>687</v>
      </c>
      <c r="K1141" t="s">
        <v>163</v>
      </c>
      <c r="N1141" t="s">
        <v>5113</v>
      </c>
      <c r="Q1141">
        <v>0</v>
      </c>
      <c r="R1141">
        <v>0</v>
      </c>
      <c r="S1141">
        <v>0</v>
      </c>
      <c r="T1141" t="s">
        <v>5114</v>
      </c>
    </row>
    <row r="1142" spans="1:25" customFormat="1" ht="15" x14ac:dyDescent="0.25">
      <c r="A1142" t="s">
        <v>35</v>
      </c>
      <c r="B1142" t="s">
        <v>5115</v>
      </c>
      <c r="C1142" t="str">
        <f>"A0128194"</f>
        <v>A0128194</v>
      </c>
      <c r="D1142" t="s">
        <v>5116</v>
      </c>
      <c r="E1142" t="s">
        <v>5117</v>
      </c>
      <c r="F1142" t="s">
        <v>5118</v>
      </c>
      <c r="G1142" t="s">
        <v>117</v>
      </c>
      <c r="H1142">
        <v>48240</v>
      </c>
      <c r="I1142" t="s">
        <v>30</v>
      </c>
      <c r="J1142" t="s">
        <v>41</v>
      </c>
      <c r="K1142" t="s">
        <v>229</v>
      </c>
      <c r="Q1142">
        <v>0</v>
      </c>
      <c r="R1142">
        <v>144</v>
      </c>
      <c r="S1142">
        <v>144</v>
      </c>
      <c r="T1142" t="s">
        <v>5119</v>
      </c>
    </row>
    <row r="1143" spans="1:25" customFormat="1" ht="15" x14ac:dyDescent="0.25">
      <c r="A1143" t="s">
        <v>24</v>
      </c>
      <c r="B1143" t="s">
        <v>2968</v>
      </c>
      <c r="C1143" t="str">
        <f>"A0145341"</f>
        <v>A0145341</v>
      </c>
      <c r="D1143" t="s">
        <v>11490</v>
      </c>
      <c r="E1143" t="s">
        <v>11491</v>
      </c>
      <c r="F1143" t="s">
        <v>1159</v>
      </c>
      <c r="G1143" t="s">
        <v>58</v>
      </c>
      <c r="H1143">
        <v>29577</v>
      </c>
      <c r="I1143" t="s">
        <v>30</v>
      </c>
      <c r="J1143" t="s">
        <v>162</v>
      </c>
      <c r="K1143" t="s">
        <v>163</v>
      </c>
      <c r="N1143" t="s">
        <v>11492</v>
      </c>
      <c r="Q1143">
        <v>0</v>
      </c>
      <c r="R1143">
        <v>242</v>
      </c>
      <c r="S1143">
        <v>0</v>
      </c>
      <c r="T1143" t="s">
        <v>11493</v>
      </c>
    </row>
    <row r="1144" spans="1:25" x14ac:dyDescent="0.25">
      <c r="A1144" s="5" t="s">
        <v>24</v>
      </c>
      <c r="B1144" s="5" t="s">
        <v>8742</v>
      </c>
      <c r="C1144" s="5" t="str">
        <f>"A0162142"</f>
        <v>A0162142</v>
      </c>
      <c r="D1144" s="5" t="s">
        <v>11504</v>
      </c>
      <c r="E1144" s="5" t="s">
        <v>11505</v>
      </c>
      <c r="F1144" s="5" t="s">
        <v>2183</v>
      </c>
      <c r="G1144" s="5" t="s">
        <v>1369</v>
      </c>
      <c r="H1144" s="5">
        <v>39301</v>
      </c>
      <c r="I1144" s="5" t="s">
        <v>30</v>
      </c>
      <c r="J1144" s="5" t="s">
        <v>162</v>
      </c>
      <c r="K1144" s="5" t="s">
        <v>3447</v>
      </c>
      <c r="L1144" s="5"/>
      <c r="M1144" s="5"/>
      <c r="N1144" s="5"/>
      <c r="O1144" s="5"/>
      <c r="P1144" s="5"/>
      <c r="Q1144" s="5">
        <v>0</v>
      </c>
      <c r="R1144" s="5">
        <v>131</v>
      </c>
      <c r="S1144" s="5">
        <v>0</v>
      </c>
      <c r="T1144" s="5" t="s">
        <v>4521</v>
      </c>
      <c r="U1144" s="5"/>
      <c r="V1144" s="5"/>
      <c r="W1144" s="5"/>
      <c r="X1144" s="5"/>
      <c r="Y1144" s="5"/>
    </row>
    <row r="1145" spans="1:25" customFormat="1" ht="15" x14ac:dyDescent="0.25">
      <c r="A1145" t="s">
        <v>35</v>
      </c>
      <c r="B1145" t="s">
        <v>5130</v>
      </c>
      <c r="C1145" t="str">
        <f>"A0132948"</f>
        <v>A0132948</v>
      </c>
      <c r="D1145" t="s">
        <v>5131</v>
      </c>
      <c r="E1145" t="s">
        <v>5132</v>
      </c>
      <c r="F1145" t="s">
        <v>5133</v>
      </c>
      <c r="G1145" t="s">
        <v>52</v>
      </c>
      <c r="H1145">
        <v>79705</v>
      </c>
      <c r="I1145" t="s">
        <v>30</v>
      </c>
      <c r="J1145" t="s">
        <v>41</v>
      </c>
      <c r="K1145" t="s">
        <v>229</v>
      </c>
      <c r="Q1145">
        <v>0</v>
      </c>
      <c r="R1145">
        <v>95</v>
      </c>
      <c r="S1145">
        <v>95</v>
      </c>
      <c r="T1145" t="s">
        <v>5134</v>
      </c>
    </row>
    <row r="1146" spans="1:25" customFormat="1" ht="15" x14ac:dyDescent="0.25">
      <c r="A1146" t="s">
        <v>24</v>
      </c>
      <c r="B1146" t="s">
        <v>11506</v>
      </c>
      <c r="C1146" t="str">
        <f>"A0095699"</f>
        <v>A0095699</v>
      </c>
      <c r="D1146" t="s">
        <v>11507</v>
      </c>
      <c r="E1146" t="s">
        <v>11508</v>
      </c>
      <c r="F1146" t="s">
        <v>1483</v>
      </c>
      <c r="G1146" t="s">
        <v>103</v>
      </c>
      <c r="H1146">
        <v>19610</v>
      </c>
      <c r="I1146" t="s">
        <v>30</v>
      </c>
      <c r="J1146" t="s">
        <v>162</v>
      </c>
      <c r="K1146" t="s">
        <v>4442</v>
      </c>
      <c r="N1146" t="s">
        <v>11509</v>
      </c>
      <c r="Q1146">
        <v>0</v>
      </c>
      <c r="R1146">
        <v>260</v>
      </c>
      <c r="S1146">
        <v>0</v>
      </c>
      <c r="T1146" t="s">
        <v>11510</v>
      </c>
    </row>
    <row r="1147" spans="1:25" customFormat="1" ht="15" hidden="1" x14ac:dyDescent="0.25">
      <c r="A1147" t="s">
        <v>24</v>
      </c>
      <c r="B1147" t="s">
        <v>193</v>
      </c>
      <c r="C1147" t="str">
        <f>"A0093842"</f>
        <v>A0093842</v>
      </c>
      <c r="D1147" t="s">
        <v>5140</v>
      </c>
      <c r="E1147" t="s">
        <v>5141</v>
      </c>
      <c r="F1147" t="s">
        <v>5142</v>
      </c>
      <c r="G1147" t="s">
        <v>5143</v>
      </c>
      <c r="H1147" t="s">
        <v>5144</v>
      </c>
      <c r="I1147" t="s">
        <v>5145</v>
      </c>
      <c r="J1147" t="s">
        <v>162</v>
      </c>
      <c r="K1147" t="s">
        <v>5146</v>
      </c>
      <c r="N1147" t="s">
        <v>5147</v>
      </c>
      <c r="Q1147">
        <v>0</v>
      </c>
      <c r="R1147">
        <v>694</v>
      </c>
      <c r="S1147">
        <v>0</v>
      </c>
      <c r="T1147" t="s">
        <v>5148</v>
      </c>
    </row>
    <row r="1148" spans="1:25" customFormat="1" ht="15" x14ac:dyDescent="0.25">
      <c r="A1148" t="s">
        <v>24</v>
      </c>
      <c r="B1148" t="s">
        <v>11528</v>
      </c>
      <c r="C1148" t="str">
        <f>"71F05"</f>
        <v>71F05</v>
      </c>
      <c r="D1148" t="s">
        <v>11529</v>
      </c>
      <c r="E1148" t="s">
        <v>11530</v>
      </c>
      <c r="F1148" t="s">
        <v>2900</v>
      </c>
      <c r="G1148" t="s">
        <v>76</v>
      </c>
      <c r="H1148">
        <v>98104</v>
      </c>
      <c r="I1148" t="s">
        <v>30</v>
      </c>
      <c r="J1148" t="s">
        <v>162</v>
      </c>
      <c r="K1148" t="s">
        <v>8335</v>
      </c>
      <c r="N1148" t="s">
        <v>11531</v>
      </c>
      <c r="Q1148">
        <v>0</v>
      </c>
      <c r="R1148">
        <v>553</v>
      </c>
      <c r="S1148">
        <v>0</v>
      </c>
      <c r="T1148" t="s">
        <v>11532</v>
      </c>
    </row>
    <row r="1149" spans="1:25" customFormat="1" ht="15" x14ac:dyDescent="0.25">
      <c r="A1149" t="s">
        <v>24</v>
      </c>
      <c r="B1149" t="s">
        <v>193</v>
      </c>
      <c r="C1149" t="str">
        <f>"A0068049"</f>
        <v>A0068049</v>
      </c>
      <c r="D1149" t="s">
        <v>5155</v>
      </c>
      <c r="E1149" t="s">
        <v>5156</v>
      </c>
      <c r="F1149" t="s">
        <v>3517</v>
      </c>
      <c r="G1149" t="s">
        <v>110</v>
      </c>
      <c r="H1149">
        <v>95814</v>
      </c>
      <c r="I1149" t="s">
        <v>30</v>
      </c>
      <c r="J1149" t="s">
        <v>31</v>
      </c>
      <c r="K1149" t="s">
        <v>282</v>
      </c>
      <c r="N1149" t="s">
        <v>3518</v>
      </c>
      <c r="Q1149">
        <v>0</v>
      </c>
      <c r="R1149">
        <v>132</v>
      </c>
      <c r="S1149">
        <v>0</v>
      </c>
      <c r="T1149" t="s">
        <v>5157</v>
      </c>
    </row>
    <row r="1150" spans="1:25" customFormat="1" ht="15" x14ac:dyDescent="0.25">
      <c r="A1150" t="s">
        <v>24</v>
      </c>
      <c r="B1150" t="s">
        <v>193</v>
      </c>
      <c r="C1150" t="str">
        <f>"A0049007"</f>
        <v>A0049007</v>
      </c>
      <c r="D1150" t="s">
        <v>5158</v>
      </c>
      <c r="E1150" t="s">
        <v>5159</v>
      </c>
      <c r="F1150" t="s">
        <v>2564</v>
      </c>
      <c r="G1150" t="s">
        <v>81</v>
      </c>
      <c r="H1150">
        <v>32310</v>
      </c>
      <c r="I1150" t="s">
        <v>30</v>
      </c>
      <c r="J1150" t="s">
        <v>178</v>
      </c>
      <c r="K1150" t="s">
        <v>179</v>
      </c>
      <c r="N1150" t="s">
        <v>5160</v>
      </c>
      <c r="O1150" t="s">
        <v>5161</v>
      </c>
      <c r="Q1150">
        <v>1</v>
      </c>
      <c r="R1150">
        <v>0</v>
      </c>
      <c r="S1150">
        <v>0</v>
      </c>
      <c r="T1150" t="s">
        <v>5162</v>
      </c>
    </row>
    <row r="1151" spans="1:25" customFormat="1" ht="15" x14ac:dyDescent="0.25">
      <c r="A1151" t="s">
        <v>35</v>
      </c>
      <c r="B1151" t="s">
        <v>61</v>
      </c>
      <c r="C1151" t="str">
        <f>"A0128456"</f>
        <v>A0128456</v>
      </c>
      <c r="D1151" t="s">
        <v>5163</v>
      </c>
      <c r="E1151" t="s">
        <v>5164</v>
      </c>
      <c r="F1151" t="s">
        <v>4783</v>
      </c>
      <c r="G1151" t="s">
        <v>190</v>
      </c>
      <c r="H1151">
        <v>80401</v>
      </c>
      <c r="I1151" t="s">
        <v>30</v>
      </c>
      <c r="J1151" t="s">
        <v>41</v>
      </c>
      <c r="K1151" t="s">
        <v>229</v>
      </c>
      <c r="Q1151">
        <v>0</v>
      </c>
      <c r="R1151">
        <v>120</v>
      </c>
      <c r="S1151">
        <v>120</v>
      </c>
      <c r="T1151" t="s">
        <v>5165</v>
      </c>
    </row>
    <row r="1152" spans="1:25" customFormat="1" ht="15" x14ac:dyDescent="0.25">
      <c r="A1152" t="s">
        <v>24</v>
      </c>
      <c r="B1152" t="s">
        <v>11539</v>
      </c>
      <c r="C1152" t="str">
        <f>"A0076865"</f>
        <v>A0076865</v>
      </c>
      <c r="D1152" t="s">
        <v>11540</v>
      </c>
      <c r="E1152" t="s">
        <v>11541</v>
      </c>
      <c r="F1152" t="s">
        <v>1541</v>
      </c>
      <c r="G1152" t="s">
        <v>427</v>
      </c>
      <c r="H1152">
        <v>68102</v>
      </c>
      <c r="I1152" t="s">
        <v>30</v>
      </c>
      <c r="J1152" t="s">
        <v>162</v>
      </c>
      <c r="K1152" t="s">
        <v>163</v>
      </c>
      <c r="Q1152">
        <v>0</v>
      </c>
      <c r="R1152">
        <v>89</v>
      </c>
      <c r="S1152">
        <v>0</v>
      </c>
      <c r="T1152" t="s">
        <v>11542</v>
      </c>
    </row>
    <row r="1153" spans="1:20" customFormat="1" ht="15" x14ac:dyDescent="0.25">
      <c r="A1153" t="s">
        <v>24</v>
      </c>
      <c r="B1153" t="s">
        <v>4366</v>
      </c>
      <c r="C1153" t="str">
        <f>"A0188360"</f>
        <v>A0188360</v>
      </c>
      <c r="D1153" t="s">
        <v>11543</v>
      </c>
      <c r="E1153" t="s">
        <v>11544</v>
      </c>
      <c r="F1153" t="s">
        <v>11545</v>
      </c>
      <c r="G1153" t="s">
        <v>52</v>
      </c>
      <c r="H1153">
        <v>78577</v>
      </c>
      <c r="I1153" t="s">
        <v>30</v>
      </c>
      <c r="J1153" t="s">
        <v>162</v>
      </c>
      <c r="K1153" t="s">
        <v>163</v>
      </c>
      <c r="Q1153">
        <v>0</v>
      </c>
      <c r="R1153">
        <v>0</v>
      </c>
      <c r="S1153">
        <v>0</v>
      </c>
      <c r="T1153" t="s">
        <v>9378</v>
      </c>
    </row>
    <row r="1154" spans="1:20" customFormat="1" ht="15" x14ac:dyDescent="0.25">
      <c r="A1154" t="s">
        <v>24</v>
      </c>
      <c r="B1154" t="s">
        <v>4366</v>
      </c>
      <c r="C1154" t="str">
        <f>"A0188359"</f>
        <v>A0188359</v>
      </c>
      <c r="D1154" t="s">
        <v>11546</v>
      </c>
      <c r="E1154" t="s">
        <v>11547</v>
      </c>
      <c r="F1154" t="s">
        <v>11548</v>
      </c>
      <c r="G1154" t="s">
        <v>52</v>
      </c>
      <c r="H1154">
        <v>78520</v>
      </c>
      <c r="I1154" t="s">
        <v>30</v>
      </c>
      <c r="J1154" t="s">
        <v>162</v>
      </c>
      <c r="K1154" t="s">
        <v>163</v>
      </c>
      <c r="Q1154">
        <v>0</v>
      </c>
      <c r="R1154">
        <v>0</v>
      </c>
      <c r="S1154">
        <v>0</v>
      </c>
      <c r="T1154" t="s">
        <v>9378</v>
      </c>
    </row>
    <row r="1155" spans="1:20" customFormat="1" ht="15" x14ac:dyDescent="0.25">
      <c r="A1155" t="s">
        <v>24</v>
      </c>
      <c r="B1155" t="s">
        <v>4366</v>
      </c>
      <c r="C1155" t="str">
        <f>"A0188358"</f>
        <v>A0188358</v>
      </c>
      <c r="D1155" t="s">
        <v>11549</v>
      </c>
      <c r="E1155" t="s">
        <v>11550</v>
      </c>
      <c r="F1155" t="s">
        <v>11551</v>
      </c>
      <c r="G1155" t="s">
        <v>52</v>
      </c>
      <c r="H1155">
        <v>78501</v>
      </c>
      <c r="I1155" t="s">
        <v>30</v>
      </c>
      <c r="J1155" t="s">
        <v>162</v>
      </c>
      <c r="K1155" t="s">
        <v>163</v>
      </c>
      <c r="Q1155">
        <v>0</v>
      </c>
      <c r="R1155">
        <v>0</v>
      </c>
      <c r="S1155">
        <v>0</v>
      </c>
      <c r="T1155" t="s">
        <v>9378</v>
      </c>
    </row>
    <row r="1156" spans="1:20" customFormat="1" ht="15" x14ac:dyDescent="0.25">
      <c r="A1156" t="s">
        <v>35</v>
      </c>
      <c r="B1156" t="s">
        <v>5115</v>
      </c>
      <c r="C1156" t="str">
        <f>"A0191263"</f>
        <v>A0191263</v>
      </c>
      <c r="D1156" t="s">
        <v>5115</v>
      </c>
      <c r="E1156" t="s">
        <v>5183</v>
      </c>
      <c r="F1156" t="s">
        <v>5184</v>
      </c>
      <c r="G1156" t="s">
        <v>289</v>
      </c>
      <c r="H1156">
        <v>60085</v>
      </c>
      <c r="I1156" t="s">
        <v>30</v>
      </c>
      <c r="J1156" t="s">
        <v>41</v>
      </c>
      <c r="K1156" t="s">
        <v>290</v>
      </c>
      <c r="Q1156">
        <v>0</v>
      </c>
      <c r="R1156">
        <v>0</v>
      </c>
      <c r="S1156">
        <v>0</v>
      </c>
      <c r="T1156" t="s">
        <v>72</v>
      </c>
    </row>
    <row r="1157" spans="1:20" customFormat="1" ht="15" x14ac:dyDescent="0.25">
      <c r="A1157" t="s">
        <v>35</v>
      </c>
      <c r="B1157" t="s">
        <v>5185</v>
      </c>
      <c r="C1157" t="str">
        <f>"A0191262"</f>
        <v>A0191262</v>
      </c>
      <c r="D1157" t="s">
        <v>5186</v>
      </c>
      <c r="E1157" t="s">
        <v>5187</v>
      </c>
      <c r="F1157" t="s">
        <v>5188</v>
      </c>
      <c r="G1157" t="s">
        <v>65</v>
      </c>
      <c r="H1157">
        <v>44903</v>
      </c>
      <c r="I1157" t="s">
        <v>30</v>
      </c>
      <c r="J1157" t="s">
        <v>41</v>
      </c>
      <c r="K1157" t="s">
        <v>461</v>
      </c>
      <c r="Q1157">
        <v>0</v>
      </c>
      <c r="R1157">
        <v>0</v>
      </c>
      <c r="S1157">
        <v>20</v>
      </c>
      <c r="T1157" t="s">
        <v>5189</v>
      </c>
    </row>
    <row r="1158" spans="1:20" customFormat="1" ht="15" x14ac:dyDescent="0.25">
      <c r="A1158" t="s">
        <v>35</v>
      </c>
      <c r="B1158" t="s">
        <v>2711</v>
      </c>
      <c r="C1158" t="str">
        <f>"A0191261"</f>
        <v>A0191261</v>
      </c>
      <c r="D1158" t="s">
        <v>5190</v>
      </c>
      <c r="E1158" t="s">
        <v>5191</v>
      </c>
      <c r="F1158" t="s">
        <v>5192</v>
      </c>
      <c r="G1158" t="s">
        <v>81</v>
      </c>
      <c r="H1158">
        <v>33157</v>
      </c>
      <c r="I1158" t="s">
        <v>30</v>
      </c>
      <c r="J1158" t="s">
        <v>41</v>
      </c>
      <c r="K1158" t="s">
        <v>2715</v>
      </c>
      <c r="Q1158">
        <v>0</v>
      </c>
      <c r="R1158">
        <v>0</v>
      </c>
      <c r="S1158">
        <v>0</v>
      </c>
      <c r="T1158" t="s">
        <v>5193</v>
      </c>
    </row>
    <row r="1159" spans="1:20" customFormat="1" ht="15" x14ac:dyDescent="0.25">
      <c r="A1159" t="s">
        <v>35</v>
      </c>
      <c r="B1159" t="s">
        <v>2452</v>
      </c>
      <c r="C1159" t="str">
        <f>"A0191259"</f>
        <v>A0191259</v>
      </c>
      <c r="D1159" t="s">
        <v>5194</v>
      </c>
      <c r="E1159" t="s">
        <v>5195</v>
      </c>
      <c r="F1159" t="s">
        <v>5196</v>
      </c>
      <c r="G1159" t="s">
        <v>161</v>
      </c>
      <c r="H1159">
        <v>55806</v>
      </c>
      <c r="I1159" t="s">
        <v>30</v>
      </c>
      <c r="J1159" t="s">
        <v>41</v>
      </c>
      <c r="K1159" t="s">
        <v>131</v>
      </c>
      <c r="Q1159">
        <v>0</v>
      </c>
      <c r="R1159">
        <v>0</v>
      </c>
      <c r="S1159">
        <v>20</v>
      </c>
      <c r="T1159" t="s">
        <v>72</v>
      </c>
    </row>
    <row r="1160" spans="1:20" customFormat="1" ht="15" x14ac:dyDescent="0.25">
      <c r="A1160" t="s">
        <v>35</v>
      </c>
      <c r="B1160" t="s">
        <v>2452</v>
      </c>
      <c r="C1160" t="str">
        <f>"A0191258"</f>
        <v>A0191258</v>
      </c>
      <c r="D1160" t="s">
        <v>5197</v>
      </c>
      <c r="E1160" t="s">
        <v>5198</v>
      </c>
      <c r="F1160" t="s">
        <v>2770</v>
      </c>
      <c r="G1160" t="s">
        <v>899</v>
      </c>
      <c r="H1160">
        <v>1886</v>
      </c>
      <c r="I1160" t="s">
        <v>30</v>
      </c>
      <c r="J1160" t="s">
        <v>41</v>
      </c>
      <c r="K1160" t="s">
        <v>131</v>
      </c>
      <c r="Q1160">
        <v>0</v>
      </c>
      <c r="R1160">
        <v>0</v>
      </c>
      <c r="S1160">
        <v>0</v>
      </c>
      <c r="T1160" t="s">
        <v>72</v>
      </c>
    </row>
    <row r="1161" spans="1:20" customFormat="1" ht="15" x14ac:dyDescent="0.25">
      <c r="A1161" t="s">
        <v>35</v>
      </c>
      <c r="B1161" t="s">
        <v>5199</v>
      </c>
      <c r="C1161" t="str">
        <f>"A0191257"</f>
        <v>A0191257</v>
      </c>
      <c r="D1161" t="s">
        <v>5199</v>
      </c>
      <c r="E1161" t="s">
        <v>5200</v>
      </c>
      <c r="F1161" t="s">
        <v>5201</v>
      </c>
      <c r="G1161" t="s">
        <v>338</v>
      </c>
      <c r="H1161">
        <v>7331</v>
      </c>
      <c r="I1161" t="s">
        <v>30</v>
      </c>
      <c r="J1161" t="s">
        <v>41</v>
      </c>
      <c r="K1161" t="s">
        <v>290</v>
      </c>
      <c r="Q1161">
        <v>0</v>
      </c>
      <c r="R1161">
        <v>0</v>
      </c>
      <c r="S1161">
        <v>0</v>
      </c>
      <c r="T1161" t="s">
        <v>72</v>
      </c>
    </row>
    <row r="1162" spans="1:20" customFormat="1" ht="15" x14ac:dyDescent="0.25">
      <c r="A1162" t="s">
        <v>35</v>
      </c>
      <c r="B1162" t="s">
        <v>4596</v>
      </c>
      <c r="C1162" t="str">
        <f>"A0191256"</f>
        <v>A0191256</v>
      </c>
      <c r="D1162" t="s">
        <v>5202</v>
      </c>
      <c r="E1162" t="s">
        <v>5203</v>
      </c>
      <c r="F1162" t="s">
        <v>5204</v>
      </c>
      <c r="G1162" t="s">
        <v>65</v>
      </c>
      <c r="H1162">
        <v>44883</v>
      </c>
      <c r="I1162" t="s">
        <v>30</v>
      </c>
      <c r="J1162" t="s">
        <v>41</v>
      </c>
      <c r="K1162" t="s">
        <v>59</v>
      </c>
      <c r="Q1162">
        <v>0</v>
      </c>
      <c r="R1162">
        <v>0</v>
      </c>
      <c r="S1162">
        <v>34</v>
      </c>
      <c r="T1162" t="s">
        <v>5205</v>
      </c>
    </row>
    <row r="1163" spans="1:20" customFormat="1" ht="15" x14ac:dyDescent="0.25">
      <c r="A1163" t="s">
        <v>35</v>
      </c>
      <c r="B1163" t="s">
        <v>1295</v>
      </c>
      <c r="C1163" t="str">
        <f>"A0191255"</f>
        <v>A0191255</v>
      </c>
      <c r="D1163" t="s">
        <v>1295</v>
      </c>
      <c r="E1163" t="s">
        <v>5206</v>
      </c>
      <c r="F1163" t="s">
        <v>4269</v>
      </c>
      <c r="G1163" t="s">
        <v>99</v>
      </c>
      <c r="H1163">
        <v>11229</v>
      </c>
      <c r="I1163" t="s">
        <v>30</v>
      </c>
      <c r="J1163" t="s">
        <v>41</v>
      </c>
      <c r="K1163" t="s">
        <v>290</v>
      </c>
      <c r="Q1163">
        <v>0</v>
      </c>
      <c r="R1163">
        <v>0</v>
      </c>
      <c r="S1163">
        <v>0</v>
      </c>
      <c r="T1163" t="s">
        <v>72</v>
      </c>
    </row>
    <row r="1164" spans="1:20" customFormat="1" ht="15" x14ac:dyDescent="0.25">
      <c r="A1164" t="s">
        <v>35</v>
      </c>
      <c r="B1164" t="s">
        <v>1295</v>
      </c>
      <c r="C1164" t="str">
        <f>"A0191254"</f>
        <v>A0191254</v>
      </c>
      <c r="D1164" t="s">
        <v>1295</v>
      </c>
      <c r="E1164" t="s">
        <v>5207</v>
      </c>
      <c r="F1164" t="s">
        <v>5208</v>
      </c>
      <c r="G1164" t="s">
        <v>103</v>
      </c>
      <c r="H1164">
        <v>16801</v>
      </c>
      <c r="I1164" t="s">
        <v>30</v>
      </c>
      <c r="J1164" t="s">
        <v>41</v>
      </c>
      <c r="K1164" t="s">
        <v>290</v>
      </c>
      <c r="Q1164">
        <v>0</v>
      </c>
      <c r="R1164">
        <v>0</v>
      </c>
      <c r="S1164">
        <v>0</v>
      </c>
      <c r="T1164" t="s">
        <v>72</v>
      </c>
    </row>
    <row r="1165" spans="1:20" customFormat="1" ht="15" x14ac:dyDescent="0.25">
      <c r="A1165" t="s">
        <v>35</v>
      </c>
      <c r="B1165" t="s">
        <v>5209</v>
      </c>
      <c r="C1165" t="str">
        <f>"A0191253"</f>
        <v>A0191253</v>
      </c>
      <c r="D1165" t="s">
        <v>5210</v>
      </c>
      <c r="E1165" t="s">
        <v>5211</v>
      </c>
      <c r="F1165" t="s">
        <v>5212</v>
      </c>
      <c r="G1165" t="s">
        <v>65</v>
      </c>
      <c r="H1165">
        <v>44130</v>
      </c>
      <c r="I1165" t="s">
        <v>30</v>
      </c>
      <c r="J1165" t="s">
        <v>41</v>
      </c>
      <c r="K1165" t="s">
        <v>229</v>
      </c>
      <c r="Q1165">
        <v>0</v>
      </c>
      <c r="R1165">
        <v>0</v>
      </c>
      <c r="S1165">
        <v>82</v>
      </c>
      <c r="T1165" t="s">
        <v>5213</v>
      </c>
    </row>
    <row r="1166" spans="1:20" customFormat="1" ht="15" x14ac:dyDescent="0.25">
      <c r="A1166" t="s">
        <v>35</v>
      </c>
      <c r="B1166" t="s">
        <v>5214</v>
      </c>
      <c r="C1166" t="str">
        <f>"A0191252"</f>
        <v>A0191252</v>
      </c>
      <c r="D1166" t="s">
        <v>5215</v>
      </c>
      <c r="E1166" t="s">
        <v>5216</v>
      </c>
      <c r="F1166" t="s">
        <v>5217</v>
      </c>
      <c r="G1166" t="s">
        <v>52</v>
      </c>
      <c r="H1166">
        <v>75703</v>
      </c>
      <c r="I1166" t="s">
        <v>30</v>
      </c>
      <c r="J1166" t="s">
        <v>41</v>
      </c>
      <c r="K1166" t="s">
        <v>131</v>
      </c>
      <c r="Q1166">
        <v>0</v>
      </c>
      <c r="R1166">
        <v>0</v>
      </c>
      <c r="S1166">
        <v>0</v>
      </c>
      <c r="T1166" t="s">
        <v>5218</v>
      </c>
    </row>
    <row r="1167" spans="1:20" customFormat="1" ht="15" x14ac:dyDescent="0.25">
      <c r="A1167" t="s">
        <v>35</v>
      </c>
      <c r="B1167" t="s">
        <v>1638</v>
      </c>
      <c r="C1167" t="str">
        <f>"A0191251"</f>
        <v>A0191251</v>
      </c>
      <c r="D1167" t="s">
        <v>5219</v>
      </c>
      <c r="E1167" t="s">
        <v>5220</v>
      </c>
      <c r="F1167" t="s">
        <v>5221</v>
      </c>
      <c r="G1167" t="s">
        <v>117</v>
      </c>
      <c r="H1167">
        <v>48071</v>
      </c>
      <c r="I1167" t="s">
        <v>30</v>
      </c>
      <c r="J1167" t="s">
        <v>41</v>
      </c>
      <c r="K1167" t="s">
        <v>59</v>
      </c>
      <c r="Q1167">
        <v>0</v>
      </c>
      <c r="R1167">
        <v>0</v>
      </c>
      <c r="S1167">
        <v>0</v>
      </c>
      <c r="T1167" t="s">
        <v>5222</v>
      </c>
    </row>
    <row r="1168" spans="1:20" customFormat="1" ht="15" x14ac:dyDescent="0.25">
      <c r="A1168" t="s">
        <v>35</v>
      </c>
      <c r="B1168" t="s">
        <v>1638</v>
      </c>
      <c r="C1168" t="str">
        <f>"A0191250"</f>
        <v>A0191250</v>
      </c>
      <c r="D1168" t="s">
        <v>5223</v>
      </c>
      <c r="E1168" t="s">
        <v>5224</v>
      </c>
      <c r="F1168" t="s">
        <v>5225</v>
      </c>
      <c r="G1168" t="s">
        <v>117</v>
      </c>
      <c r="H1168">
        <v>48198</v>
      </c>
      <c r="I1168" t="s">
        <v>30</v>
      </c>
      <c r="J1168" t="s">
        <v>41</v>
      </c>
      <c r="K1168" t="s">
        <v>59</v>
      </c>
      <c r="Q1168">
        <v>0</v>
      </c>
      <c r="R1168">
        <v>0</v>
      </c>
      <c r="S1168">
        <v>100</v>
      </c>
      <c r="T1168" t="s">
        <v>5226</v>
      </c>
    </row>
    <row r="1169" spans="1:20" customFormat="1" ht="15" x14ac:dyDescent="0.25">
      <c r="A1169" t="s">
        <v>35</v>
      </c>
      <c r="B1169" t="s">
        <v>1638</v>
      </c>
      <c r="C1169" t="str">
        <f>"A0191249"</f>
        <v>A0191249</v>
      </c>
      <c r="D1169" t="s">
        <v>5227</v>
      </c>
      <c r="E1169" t="s">
        <v>5228</v>
      </c>
      <c r="F1169" t="s">
        <v>5229</v>
      </c>
      <c r="G1169" t="s">
        <v>117</v>
      </c>
      <c r="H1169">
        <v>48025</v>
      </c>
      <c r="I1169" t="s">
        <v>30</v>
      </c>
      <c r="J1169" t="s">
        <v>41</v>
      </c>
      <c r="K1169" t="s">
        <v>59</v>
      </c>
      <c r="Q1169">
        <v>0</v>
      </c>
      <c r="R1169">
        <v>0</v>
      </c>
      <c r="S1169">
        <v>100</v>
      </c>
      <c r="T1169" t="s">
        <v>5230</v>
      </c>
    </row>
    <row r="1170" spans="1:20" customFormat="1" ht="15" x14ac:dyDescent="0.25">
      <c r="A1170" t="s">
        <v>35</v>
      </c>
      <c r="B1170" t="s">
        <v>5231</v>
      </c>
      <c r="C1170" t="str">
        <f>"A0191248"</f>
        <v>A0191248</v>
      </c>
      <c r="D1170" t="s">
        <v>5232</v>
      </c>
      <c r="E1170" t="s">
        <v>5233</v>
      </c>
      <c r="F1170" t="s">
        <v>1731</v>
      </c>
      <c r="G1170" t="s">
        <v>52</v>
      </c>
      <c r="H1170">
        <v>75230</v>
      </c>
      <c r="I1170" t="s">
        <v>30</v>
      </c>
      <c r="J1170" t="s">
        <v>41</v>
      </c>
      <c r="K1170" t="s">
        <v>482</v>
      </c>
      <c r="Q1170">
        <v>0</v>
      </c>
      <c r="R1170">
        <v>0</v>
      </c>
      <c r="S1170">
        <v>0</v>
      </c>
      <c r="T1170" t="s">
        <v>5234</v>
      </c>
    </row>
    <row r="1171" spans="1:20" customFormat="1" ht="15" x14ac:dyDescent="0.25">
      <c r="A1171" t="s">
        <v>35</v>
      </c>
      <c r="B1171" t="s">
        <v>5231</v>
      </c>
      <c r="C1171" t="str">
        <f>"A0191247"</f>
        <v>A0191247</v>
      </c>
      <c r="D1171" t="s">
        <v>5235</v>
      </c>
      <c r="E1171" t="s">
        <v>5236</v>
      </c>
      <c r="F1171" t="s">
        <v>4133</v>
      </c>
      <c r="G1171" t="s">
        <v>52</v>
      </c>
      <c r="H1171">
        <v>78759</v>
      </c>
      <c r="I1171" t="s">
        <v>30</v>
      </c>
      <c r="J1171" t="s">
        <v>41</v>
      </c>
      <c r="K1171" t="s">
        <v>482</v>
      </c>
      <c r="Q1171">
        <v>0</v>
      </c>
      <c r="R1171">
        <v>0</v>
      </c>
      <c r="S1171">
        <v>46</v>
      </c>
      <c r="T1171" t="s">
        <v>5237</v>
      </c>
    </row>
    <row r="1172" spans="1:20" customFormat="1" ht="15" x14ac:dyDescent="0.25">
      <c r="A1172" t="s">
        <v>35</v>
      </c>
      <c r="B1172" t="s">
        <v>5231</v>
      </c>
      <c r="C1172" t="str">
        <f>"A0191246"</f>
        <v>A0191246</v>
      </c>
      <c r="D1172" t="s">
        <v>5238</v>
      </c>
      <c r="E1172" t="s">
        <v>5239</v>
      </c>
      <c r="F1172" t="s">
        <v>5240</v>
      </c>
      <c r="G1172" t="s">
        <v>52</v>
      </c>
      <c r="H1172">
        <v>78209</v>
      </c>
      <c r="I1172" t="s">
        <v>30</v>
      </c>
      <c r="J1172" t="s">
        <v>41</v>
      </c>
      <c r="K1172" t="s">
        <v>482</v>
      </c>
      <c r="Q1172">
        <v>0</v>
      </c>
      <c r="R1172">
        <v>0</v>
      </c>
      <c r="S1172">
        <v>96</v>
      </c>
      <c r="T1172" t="s">
        <v>5241</v>
      </c>
    </row>
    <row r="1173" spans="1:20" customFormat="1" ht="15" x14ac:dyDescent="0.25">
      <c r="A1173" t="s">
        <v>35</v>
      </c>
      <c r="B1173" t="s">
        <v>5231</v>
      </c>
      <c r="C1173" t="str">
        <f>"A0191245"</f>
        <v>A0191245</v>
      </c>
      <c r="D1173" t="s">
        <v>5242</v>
      </c>
      <c r="E1173" t="s">
        <v>5243</v>
      </c>
      <c r="F1173" t="s">
        <v>5244</v>
      </c>
      <c r="G1173" t="s">
        <v>52</v>
      </c>
      <c r="H1173">
        <v>78028</v>
      </c>
      <c r="I1173" t="s">
        <v>30</v>
      </c>
      <c r="J1173" t="s">
        <v>41</v>
      </c>
      <c r="K1173" t="s">
        <v>59</v>
      </c>
      <c r="Q1173">
        <v>0</v>
      </c>
      <c r="R1173">
        <v>0</v>
      </c>
      <c r="S1173">
        <v>38</v>
      </c>
      <c r="T1173" t="s">
        <v>5245</v>
      </c>
    </row>
    <row r="1174" spans="1:20" customFormat="1" ht="15" x14ac:dyDescent="0.25">
      <c r="A1174" t="s">
        <v>35</v>
      </c>
      <c r="B1174" t="s">
        <v>5246</v>
      </c>
      <c r="C1174" t="str">
        <f>"A0191244"</f>
        <v>A0191244</v>
      </c>
      <c r="D1174" t="s">
        <v>5247</v>
      </c>
      <c r="E1174" t="s">
        <v>5248</v>
      </c>
      <c r="F1174" t="s">
        <v>5249</v>
      </c>
      <c r="G1174" t="s">
        <v>81</v>
      </c>
      <c r="H1174">
        <v>34461</v>
      </c>
      <c r="I1174" t="s">
        <v>30</v>
      </c>
      <c r="J1174" t="s">
        <v>41</v>
      </c>
      <c r="K1174" t="s">
        <v>59</v>
      </c>
      <c r="Q1174">
        <v>0</v>
      </c>
      <c r="R1174">
        <v>0</v>
      </c>
      <c r="S1174">
        <v>100</v>
      </c>
      <c r="T1174" t="s">
        <v>5250</v>
      </c>
    </row>
    <row r="1175" spans="1:20" customFormat="1" ht="15" x14ac:dyDescent="0.25">
      <c r="A1175" t="s">
        <v>35</v>
      </c>
      <c r="B1175" t="s">
        <v>437</v>
      </c>
      <c r="C1175" t="str">
        <f>"A0191243"</f>
        <v>A0191243</v>
      </c>
      <c r="D1175" t="s">
        <v>5251</v>
      </c>
      <c r="E1175" t="s">
        <v>5252</v>
      </c>
      <c r="F1175" t="s">
        <v>5253</v>
      </c>
      <c r="G1175" t="s">
        <v>110</v>
      </c>
      <c r="H1175">
        <v>90265</v>
      </c>
      <c r="I1175" t="s">
        <v>30</v>
      </c>
      <c r="J1175" t="s">
        <v>441</v>
      </c>
      <c r="K1175" t="s">
        <v>442</v>
      </c>
      <c r="Q1175">
        <v>0</v>
      </c>
      <c r="R1175">
        <v>0</v>
      </c>
      <c r="S1175">
        <v>0</v>
      </c>
      <c r="T1175" t="s">
        <v>5254</v>
      </c>
    </row>
    <row r="1176" spans="1:20" customFormat="1" ht="15" x14ac:dyDescent="0.25">
      <c r="A1176" t="s">
        <v>35</v>
      </c>
      <c r="B1176" t="s">
        <v>61</v>
      </c>
      <c r="C1176" t="str">
        <f>"A0191242"</f>
        <v>A0191242</v>
      </c>
      <c r="D1176" t="s">
        <v>5255</v>
      </c>
      <c r="E1176" t="s">
        <v>5256</v>
      </c>
      <c r="F1176" t="s">
        <v>5257</v>
      </c>
      <c r="G1176" t="s">
        <v>52</v>
      </c>
      <c r="H1176">
        <v>77026</v>
      </c>
      <c r="I1176" t="s">
        <v>30</v>
      </c>
      <c r="J1176" t="s">
        <v>41</v>
      </c>
      <c r="K1176" t="s">
        <v>3713</v>
      </c>
      <c r="Q1176">
        <v>0</v>
      </c>
      <c r="R1176">
        <v>0</v>
      </c>
      <c r="S1176">
        <v>332</v>
      </c>
      <c r="T1176" t="s">
        <v>5258</v>
      </c>
    </row>
    <row r="1177" spans="1:20" customFormat="1" ht="15" x14ac:dyDescent="0.25">
      <c r="A1177" t="s">
        <v>35</v>
      </c>
      <c r="B1177" t="s">
        <v>61</v>
      </c>
      <c r="C1177" t="str">
        <f>"A0191241"</f>
        <v>A0191241</v>
      </c>
      <c r="D1177" t="s">
        <v>5259</v>
      </c>
      <c r="E1177" t="s">
        <v>5260</v>
      </c>
      <c r="F1177" t="s">
        <v>5261</v>
      </c>
      <c r="G1177" t="s">
        <v>52</v>
      </c>
      <c r="H1177">
        <v>77401</v>
      </c>
      <c r="I1177" t="s">
        <v>30</v>
      </c>
      <c r="J1177" t="s">
        <v>41</v>
      </c>
      <c r="K1177" t="s">
        <v>3713</v>
      </c>
      <c r="Q1177">
        <v>0</v>
      </c>
      <c r="R1177">
        <v>0</v>
      </c>
      <c r="S1177">
        <v>74</v>
      </c>
      <c r="T1177" t="s">
        <v>5262</v>
      </c>
    </row>
    <row r="1178" spans="1:20" customFormat="1" ht="15" x14ac:dyDescent="0.25">
      <c r="A1178" t="s">
        <v>35</v>
      </c>
      <c r="B1178" t="s">
        <v>61</v>
      </c>
      <c r="C1178" t="str">
        <f>"A0191240"</f>
        <v>A0191240</v>
      </c>
      <c r="D1178" t="s">
        <v>5263</v>
      </c>
      <c r="E1178" t="s">
        <v>5264</v>
      </c>
      <c r="F1178" t="s">
        <v>5257</v>
      </c>
      <c r="G1178" t="s">
        <v>52</v>
      </c>
      <c r="H1178">
        <v>77030</v>
      </c>
      <c r="I1178" t="s">
        <v>30</v>
      </c>
      <c r="J1178" t="s">
        <v>41</v>
      </c>
      <c r="K1178" t="s">
        <v>3713</v>
      </c>
      <c r="Q1178">
        <v>0</v>
      </c>
      <c r="R1178">
        <v>0</v>
      </c>
      <c r="S1178">
        <v>402</v>
      </c>
      <c r="T1178" t="s">
        <v>5265</v>
      </c>
    </row>
    <row r="1179" spans="1:20" customFormat="1" ht="15" x14ac:dyDescent="0.25">
      <c r="A1179" t="s">
        <v>35</v>
      </c>
      <c r="B1179" t="s">
        <v>61</v>
      </c>
      <c r="C1179" t="str">
        <f>"A0191239"</f>
        <v>A0191239</v>
      </c>
      <c r="D1179" t="s">
        <v>5266</v>
      </c>
      <c r="E1179" t="s">
        <v>5267</v>
      </c>
      <c r="F1179" t="s">
        <v>5268</v>
      </c>
      <c r="G1179" t="s">
        <v>52</v>
      </c>
      <c r="H1179">
        <v>77437</v>
      </c>
      <c r="I1179" t="s">
        <v>30</v>
      </c>
      <c r="J1179" t="s">
        <v>41</v>
      </c>
      <c r="K1179" t="s">
        <v>3713</v>
      </c>
      <c r="Q1179">
        <v>0</v>
      </c>
      <c r="R1179">
        <v>0</v>
      </c>
      <c r="S1179">
        <v>55</v>
      </c>
      <c r="T1179" t="s">
        <v>5269</v>
      </c>
    </row>
    <row r="1180" spans="1:20" customFormat="1" ht="15" x14ac:dyDescent="0.25">
      <c r="A1180" t="s">
        <v>35</v>
      </c>
      <c r="B1180" t="s">
        <v>61</v>
      </c>
      <c r="C1180" t="str">
        <f>"A0191238"</f>
        <v>A0191238</v>
      </c>
      <c r="D1180" t="s">
        <v>5270</v>
      </c>
      <c r="E1180" t="s">
        <v>5271</v>
      </c>
      <c r="F1180" t="s">
        <v>5272</v>
      </c>
      <c r="G1180" t="s">
        <v>289</v>
      </c>
      <c r="H1180">
        <v>60559</v>
      </c>
      <c r="I1180" t="s">
        <v>30</v>
      </c>
      <c r="J1180" t="s">
        <v>41</v>
      </c>
      <c r="K1180" t="s">
        <v>229</v>
      </c>
      <c r="Q1180">
        <v>0</v>
      </c>
      <c r="R1180">
        <v>0</v>
      </c>
      <c r="S1180">
        <v>0</v>
      </c>
      <c r="T1180" t="s">
        <v>72</v>
      </c>
    </row>
    <row r="1181" spans="1:20" customFormat="1" ht="15" x14ac:dyDescent="0.25">
      <c r="A1181" t="s">
        <v>35</v>
      </c>
      <c r="B1181" t="s">
        <v>61</v>
      </c>
      <c r="C1181" t="str">
        <f>"A0191237"</f>
        <v>A0191237</v>
      </c>
      <c r="D1181" t="s">
        <v>5273</v>
      </c>
      <c r="E1181" t="s">
        <v>5274</v>
      </c>
      <c r="F1181" t="s">
        <v>4133</v>
      </c>
      <c r="G1181" t="s">
        <v>52</v>
      </c>
      <c r="H1181">
        <v>78759</v>
      </c>
      <c r="I1181" t="s">
        <v>30</v>
      </c>
      <c r="J1181" t="s">
        <v>41</v>
      </c>
      <c r="K1181" t="s">
        <v>418</v>
      </c>
      <c r="Q1181">
        <v>0</v>
      </c>
      <c r="R1181">
        <v>0</v>
      </c>
      <c r="S1181">
        <v>0</v>
      </c>
      <c r="T1181" t="s">
        <v>5275</v>
      </c>
    </row>
    <row r="1182" spans="1:20" customFormat="1" ht="15" x14ac:dyDescent="0.25">
      <c r="A1182" t="s">
        <v>35</v>
      </c>
      <c r="B1182" t="s">
        <v>106</v>
      </c>
      <c r="C1182" t="str">
        <f>"A0191236"</f>
        <v>A0191236</v>
      </c>
      <c r="D1182" t="s">
        <v>5276</v>
      </c>
      <c r="E1182" t="s">
        <v>5277</v>
      </c>
      <c r="F1182" t="s">
        <v>4291</v>
      </c>
      <c r="G1182" t="s">
        <v>110</v>
      </c>
      <c r="H1182">
        <v>92583</v>
      </c>
      <c r="I1182" t="s">
        <v>30</v>
      </c>
      <c r="J1182" t="s">
        <v>111</v>
      </c>
      <c r="K1182" t="s">
        <v>112</v>
      </c>
      <c r="Q1182">
        <v>0</v>
      </c>
      <c r="R1182">
        <v>0</v>
      </c>
      <c r="S1182">
        <v>0</v>
      </c>
      <c r="T1182" t="s">
        <v>5278</v>
      </c>
    </row>
    <row r="1183" spans="1:20" customFormat="1" ht="15" x14ac:dyDescent="0.25">
      <c r="A1183" t="s">
        <v>35</v>
      </c>
      <c r="B1183" t="s">
        <v>106</v>
      </c>
      <c r="C1183" t="str">
        <f>"A0191235"</f>
        <v>A0191235</v>
      </c>
      <c r="D1183" t="s">
        <v>5279</v>
      </c>
      <c r="E1183" t="s">
        <v>5280</v>
      </c>
      <c r="F1183" t="s">
        <v>5281</v>
      </c>
      <c r="G1183" t="s">
        <v>110</v>
      </c>
      <c r="H1183">
        <v>92584</v>
      </c>
      <c r="I1183" t="s">
        <v>30</v>
      </c>
      <c r="J1183" t="s">
        <v>111</v>
      </c>
      <c r="K1183" t="s">
        <v>112</v>
      </c>
      <c r="Q1183">
        <v>0</v>
      </c>
      <c r="R1183">
        <v>0</v>
      </c>
      <c r="S1183">
        <v>0</v>
      </c>
      <c r="T1183" t="s">
        <v>5282</v>
      </c>
    </row>
    <row r="1184" spans="1:20" customFormat="1" ht="15" x14ac:dyDescent="0.25">
      <c r="A1184" t="s">
        <v>35</v>
      </c>
      <c r="B1184" t="s">
        <v>106</v>
      </c>
      <c r="C1184" t="str">
        <f>"A0191234"</f>
        <v>A0191234</v>
      </c>
      <c r="D1184" t="s">
        <v>5283</v>
      </c>
      <c r="E1184" t="s">
        <v>5277</v>
      </c>
      <c r="F1184" t="s">
        <v>5284</v>
      </c>
      <c r="G1184" t="s">
        <v>110</v>
      </c>
      <c r="H1184">
        <v>92583</v>
      </c>
      <c r="I1184" t="s">
        <v>30</v>
      </c>
      <c r="J1184" t="s">
        <v>111</v>
      </c>
      <c r="K1184" t="s">
        <v>112</v>
      </c>
      <c r="Q1184">
        <v>0</v>
      </c>
      <c r="R1184">
        <v>0</v>
      </c>
      <c r="S1184">
        <v>0</v>
      </c>
      <c r="T1184" t="s">
        <v>5282</v>
      </c>
    </row>
    <row r="1185" spans="1:25" customFormat="1" ht="15" x14ac:dyDescent="0.25">
      <c r="A1185" t="s">
        <v>35</v>
      </c>
      <c r="B1185" t="s">
        <v>5285</v>
      </c>
      <c r="C1185" t="str">
        <f>"A0191233"</f>
        <v>A0191233</v>
      </c>
      <c r="D1185" t="s">
        <v>5286</v>
      </c>
      <c r="E1185" t="s">
        <v>5287</v>
      </c>
      <c r="F1185" t="s">
        <v>5288</v>
      </c>
      <c r="G1185" t="s">
        <v>103</v>
      </c>
      <c r="H1185">
        <v>16146</v>
      </c>
      <c r="I1185" t="s">
        <v>30</v>
      </c>
      <c r="J1185" t="s">
        <v>41</v>
      </c>
      <c r="K1185" t="s">
        <v>461</v>
      </c>
      <c r="Q1185">
        <v>0</v>
      </c>
      <c r="R1185">
        <v>0</v>
      </c>
      <c r="S1185">
        <v>0</v>
      </c>
      <c r="T1185" t="s">
        <v>72</v>
      </c>
    </row>
    <row r="1186" spans="1:25" customFormat="1" ht="15" x14ac:dyDescent="0.25">
      <c r="A1186" t="s">
        <v>35</v>
      </c>
      <c r="B1186" t="s">
        <v>5289</v>
      </c>
      <c r="C1186" t="str">
        <f>"A0191232"</f>
        <v>A0191232</v>
      </c>
      <c r="D1186" t="s">
        <v>5290</v>
      </c>
      <c r="E1186" t="s">
        <v>5291</v>
      </c>
      <c r="F1186" t="s">
        <v>5292</v>
      </c>
      <c r="G1186" t="s">
        <v>427</v>
      </c>
      <c r="H1186">
        <v>68516</v>
      </c>
      <c r="I1186" t="s">
        <v>30</v>
      </c>
      <c r="J1186" t="s">
        <v>41</v>
      </c>
      <c r="K1186" t="s">
        <v>229</v>
      </c>
      <c r="Q1186">
        <v>0</v>
      </c>
      <c r="R1186">
        <v>0</v>
      </c>
      <c r="S1186">
        <v>0</v>
      </c>
      <c r="T1186" t="s">
        <v>72</v>
      </c>
    </row>
    <row r="1187" spans="1:25" customFormat="1" ht="15" x14ac:dyDescent="0.25">
      <c r="A1187" t="s">
        <v>35</v>
      </c>
      <c r="B1187" t="s">
        <v>5289</v>
      </c>
      <c r="C1187" t="str">
        <f>"A0191231"</f>
        <v>A0191231</v>
      </c>
      <c r="D1187" t="s">
        <v>5293</v>
      </c>
      <c r="E1187" t="s">
        <v>5294</v>
      </c>
      <c r="F1187" t="s">
        <v>426</v>
      </c>
      <c r="G1187" t="s">
        <v>427</v>
      </c>
      <c r="H1187">
        <v>68112</v>
      </c>
      <c r="I1187" t="s">
        <v>30</v>
      </c>
      <c r="J1187" t="s">
        <v>41</v>
      </c>
      <c r="K1187" t="s">
        <v>229</v>
      </c>
      <c r="Q1187">
        <v>0</v>
      </c>
      <c r="R1187">
        <v>0</v>
      </c>
      <c r="S1187">
        <v>0</v>
      </c>
      <c r="T1187" t="s">
        <v>72</v>
      </c>
    </row>
    <row r="1188" spans="1:25" customFormat="1" ht="15" x14ac:dyDescent="0.25">
      <c r="A1188" t="s">
        <v>35</v>
      </c>
      <c r="B1188" t="s">
        <v>5289</v>
      </c>
      <c r="C1188" t="str">
        <f>"A0191230"</f>
        <v>A0191230</v>
      </c>
      <c r="D1188" t="s">
        <v>5295</v>
      </c>
      <c r="E1188" t="s">
        <v>5296</v>
      </c>
      <c r="F1188" t="s">
        <v>5292</v>
      </c>
      <c r="G1188" t="s">
        <v>427</v>
      </c>
      <c r="H1188">
        <v>68502</v>
      </c>
      <c r="I1188" t="s">
        <v>30</v>
      </c>
      <c r="J1188" t="s">
        <v>41</v>
      </c>
      <c r="K1188" t="s">
        <v>229</v>
      </c>
      <c r="Q1188">
        <v>0</v>
      </c>
      <c r="R1188">
        <v>0</v>
      </c>
      <c r="S1188">
        <v>0</v>
      </c>
      <c r="T1188" t="s">
        <v>72</v>
      </c>
    </row>
    <row r="1189" spans="1:25" customFormat="1" ht="15" x14ac:dyDescent="0.25">
      <c r="A1189" t="s">
        <v>35</v>
      </c>
      <c r="B1189" t="s">
        <v>4725</v>
      </c>
      <c r="C1189" t="str">
        <f>"A0191229"</f>
        <v>A0191229</v>
      </c>
      <c r="D1189" t="s">
        <v>5297</v>
      </c>
      <c r="E1189" t="s">
        <v>5298</v>
      </c>
      <c r="F1189" t="s">
        <v>5299</v>
      </c>
      <c r="G1189" t="s">
        <v>103</v>
      </c>
      <c r="H1189">
        <v>16335</v>
      </c>
      <c r="I1189" t="s">
        <v>30</v>
      </c>
      <c r="J1189" t="s">
        <v>41</v>
      </c>
      <c r="K1189" t="s">
        <v>229</v>
      </c>
      <c r="Q1189">
        <v>0</v>
      </c>
      <c r="R1189">
        <v>0</v>
      </c>
      <c r="S1189">
        <v>100</v>
      </c>
      <c r="T1189" t="s">
        <v>72</v>
      </c>
    </row>
    <row r="1190" spans="1:25" customFormat="1" ht="15" x14ac:dyDescent="0.25">
      <c r="A1190" t="s">
        <v>35</v>
      </c>
      <c r="B1190" t="s">
        <v>4725</v>
      </c>
      <c r="C1190" t="str">
        <f>"A0191228"</f>
        <v>A0191228</v>
      </c>
      <c r="D1190" t="s">
        <v>5300</v>
      </c>
      <c r="E1190" t="s">
        <v>5301</v>
      </c>
      <c r="F1190" t="s">
        <v>4629</v>
      </c>
      <c r="G1190" t="s">
        <v>103</v>
      </c>
      <c r="H1190">
        <v>19150</v>
      </c>
      <c r="I1190" t="s">
        <v>30</v>
      </c>
      <c r="J1190" t="s">
        <v>41</v>
      </c>
      <c r="K1190" t="s">
        <v>131</v>
      </c>
      <c r="Q1190">
        <v>0</v>
      </c>
      <c r="R1190">
        <v>0</v>
      </c>
      <c r="S1190">
        <v>145</v>
      </c>
      <c r="T1190" t="s">
        <v>72</v>
      </c>
    </row>
    <row r="1191" spans="1:25" customFormat="1" ht="15" x14ac:dyDescent="0.25">
      <c r="A1191" t="s">
        <v>35</v>
      </c>
      <c r="B1191" t="s">
        <v>5302</v>
      </c>
      <c r="C1191" t="str">
        <f>"A0191227"</f>
        <v>A0191227</v>
      </c>
      <c r="D1191" t="s">
        <v>5302</v>
      </c>
      <c r="E1191" t="s">
        <v>5303</v>
      </c>
      <c r="F1191" t="s">
        <v>5304</v>
      </c>
      <c r="G1191" t="s">
        <v>52</v>
      </c>
      <c r="H1191">
        <v>75063</v>
      </c>
      <c r="I1191" t="s">
        <v>30</v>
      </c>
      <c r="J1191" t="s">
        <v>41</v>
      </c>
      <c r="K1191" t="s">
        <v>131</v>
      </c>
      <c r="Q1191">
        <v>0</v>
      </c>
      <c r="R1191">
        <v>0</v>
      </c>
      <c r="S1191">
        <v>0</v>
      </c>
      <c r="T1191" t="s">
        <v>5305</v>
      </c>
    </row>
    <row r="1192" spans="1:25" customFormat="1" ht="15" x14ac:dyDescent="0.25">
      <c r="A1192" t="s">
        <v>35</v>
      </c>
      <c r="B1192" t="s">
        <v>5306</v>
      </c>
      <c r="C1192" t="str">
        <f>"A0191226"</f>
        <v>A0191226</v>
      </c>
      <c r="D1192" t="s">
        <v>5307</v>
      </c>
      <c r="E1192" t="s">
        <v>5308</v>
      </c>
      <c r="F1192" t="s">
        <v>5309</v>
      </c>
      <c r="G1192" t="s">
        <v>289</v>
      </c>
      <c r="H1192">
        <v>60188</v>
      </c>
      <c r="I1192" t="s">
        <v>30</v>
      </c>
      <c r="J1192" t="s">
        <v>41</v>
      </c>
      <c r="K1192" t="s">
        <v>112</v>
      </c>
      <c r="Q1192">
        <v>0</v>
      </c>
      <c r="R1192">
        <v>0</v>
      </c>
      <c r="S1192">
        <v>0</v>
      </c>
      <c r="T1192" t="s">
        <v>5310</v>
      </c>
    </row>
    <row r="1193" spans="1:25" customFormat="1" ht="15" x14ac:dyDescent="0.25">
      <c r="A1193" t="s">
        <v>35</v>
      </c>
      <c r="B1193" t="s">
        <v>5311</v>
      </c>
      <c r="C1193" t="str">
        <f>"A0191225"</f>
        <v>A0191225</v>
      </c>
      <c r="D1193" t="s">
        <v>5312</v>
      </c>
      <c r="E1193" t="s">
        <v>5313</v>
      </c>
      <c r="F1193" t="s">
        <v>5314</v>
      </c>
      <c r="G1193" t="s">
        <v>71</v>
      </c>
      <c r="H1193">
        <v>54115</v>
      </c>
      <c r="I1193" t="s">
        <v>30</v>
      </c>
      <c r="J1193" t="s">
        <v>41</v>
      </c>
      <c r="K1193" t="s">
        <v>290</v>
      </c>
      <c r="Q1193">
        <v>0</v>
      </c>
      <c r="R1193">
        <v>0</v>
      </c>
      <c r="S1193">
        <v>0</v>
      </c>
      <c r="T1193" t="s">
        <v>72</v>
      </c>
    </row>
    <row r="1194" spans="1:25" customFormat="1" ht="15" x14ac:dyDescent="0.25">
      <c r="A1194" t="s">
        <v>35</v>
      </c>
      <c r="B1194" t="s">
        <v>1604</v>
      </c>
      <c r="C1194" t="str">
        <f>"A0191224"</f>
        <v>A0191224</v>
      </c>
      <c r="D1194" t="s">
        <v>5315</v>
      </c>
      <c r="E1194" t="s">
        <v>5316</v>
      </c>
      <c r="F1194" t="s">
        <v>5317</v>
      </c>
      <c r="G1194" t="s">
        <v>289</v>
      </c>
      <c r="H1194">
        <v>62615</v>
      </c>
      <c r="I1194" t="s">
        <v>30</v>
      </c>
      <c r="J1194" t="s">
        <v>41</v>
      </c>
      <c r="K1194" t="s">
        <v>229</v>
      </c>
      <c r="Q1194">
        <v>0</v>
      </c>
      <c r="R1194">
        <v>0</v>
      </c>
      <c r="S1194">
        <v>70</v>
      </c>
      <c r="T1194" t="s">
        <v>5318</v>
      </c>
    </row>
    <row r="1195" spans="1:25" customFormat="1" ht="15" x14ac:dyDescent="0.25">
      <c r="A1195" t="s">
        <v>35</v>
      </c>
      <c r="B1195" t="s">
        <v>5319</v>
      </c>
      <c r="C1195" t="str">
        <f>"A0191223"</f>
        <v>A0191223</v>
      </c>
      <c r="D1195" t="s">
        <v>5320</v>
      </c>
      <c r="E1195" t="s">
        <v>5321</v>
      </c>
      <c r="F1195" t="s">
        <v>5322</v>
      </c>
      <c r="G1195" t="s">
        <v>161</v>
      </c>
      <c r="H1195">
        <v>56379</v>
      </c>
      <c r="I1195" t="s">
        <v>30</v>
      </c>
      <c r="J1195" t="s">
        <v>41</v>
      </c>
      <c r="K1195" t="s">
        <v>59</v>
      </c>
      <c r="Q1195">
        <v>0</v>
      </c>
      <c r="R1195">
        <v>0</v>
      </c>
      <c r="S1195">
        <v>24</v>
      </c>
      <c r="T1195" t="s">
        <v>72</v>
      </c>
    </row>
    <row r="1196" spans="1:25" customFormat="1" ht="15" x14ac:dyDescent="0.25">
      <c r="A1196" t="s">
        <v>35</v>
      </c>
      <c r="B1196" t="s">
        <v>5319</v>
      </c>
      <c r="C1196" t="str">
        <f>"A0191222"</f>
        <v>A0191222</v>
      </c>
      <c r="D1196" t="s">
        <v>5323</v>
      </c>
      <c r="E1196" t="s">
        <v>5324</v>
      </c>
      <c r="F1196" t="s">
        <v>5325</v>
      </c>
      <c r="G1196" t="s">
        <v>161</v>
      </c>
      <c r="H1196">
        <v>56175</v>
      </c>
      <c r="I1196" t="s">
        <v>30</v>
      </c>
      <c r="J1196" t="s">
        <v>41</v>
      </c>
      <c r="K1196" t="s">
        <v>59</v>
      </c>
      <c r="Q1196">
        <v>0</v>
      </c>
      <c r="R1196">
        <v>0</v>
      </c>
      <c r="S1196">
        <v>24</v>
      </c>
      <c r="T1196" t="s">
        <v>72</v>
      </c>
    </row>
    <row r="1197" spans="1:25" customFormat="1" ht="15" x14ac:dyDescent="0.25">
      <c r="A1197" t="s">
        <v>35</v>
      </c>
      <c r="B1197" t="s">
        <v>5319</v>
      </c>
      <c r="C1197" t="str">
        <f>"A0191221"</f>
        <v>A0191221</v>
      </c>
      <c r="D1197" t="s">
        <v>5326</v>
      </c>
      <c r="E1197" t="s">
        <v>5327</v>
      </c>
      <c r="F1197" t="s">
        <v>5328</v>
      </c>
      <c r="G1197" t="s">
        <v>161</v>
      </c>
      <c r="H1197">
        <v>55954</v>
      </c>
      <c r="I1197" t="s">
        <v>30</v>
      </c>
      <c r="J1197" t="s">
        <v>41</v>
      </c>
      <c r="K1197" t="s">
        <v>59</v>
      </c>
      <c r="Q1197">
        <v>0</v>
      </c>
      <c r="R1197">
        <v>0</v>
      </c>
      <c r="S1197">
        <v>24</v>
      </c>
      <c r="T1197" t="s">
        <v>72</v>
      </c>
    </row>
    <row r="1198" spans="1:25" hidden="1" x14ac:dyDescent="0.25">
      <c r="A1198" s="3" t="s">
        <v>24</v>
      </c>
      <c r="B1198" s="3" t="s">
        <v>5329</v>
      </c>
      <c r="C1198" s="3" t="str">
        <f>"A0076810"</f>
        <v>A0076810</v>
      </c>
      <c r="D1198" s="3" t="s">
        <v>5330</v>
      </c>
      <c r="E1198" s="3" t="s">
        <v>5331</v>
      </c>
      <c r="F1198" s="3" t="s">
        <v>5332</v>
      </c>
      <c r="G1198" s="3" t="s">
        <v>2407</v>
      </c>
      <c r="H1198" s="3">
        <v>23400</v>
      </c>
      <c r="I1198" s="3" t="s">
        <v>2408</v>
      </c>
      <c r="J1198" s="3" t="s">
        <v>206</v>
      </c>
      <c r="K1198" s="3" t="s">
        <v>163</v>
      </c>
      <c r="N1198" s="3" t="s">
        <v>5333</v>
      </c>
      <c r="O1198" s="3" t="s">
        <v>5334</v>
      </c>
      <c r="Q1198" s="3">
        <v>0</v>
      </c>
      <c r="R1198" s="3">
        <v>50</v>
      </c>
      <c r="S1198" s="3">
        <v>0</v>
      </c>
      <c r="T1198" s="3" t="s">
        <v>5335</v>
      </c>
    </row>
    <row r="1199" spans="1:25" x14ac:dyDescent="0.25">
      <c r="A1199" s="5" t="s">
        <v>24</v>
      </c>
      <c r="B1199" s="5" t="s">
        <v>4366</v>
      </c>
      <c r="C1199" s="5" t="str">
        <f>"A0188357"</f>
        <v>A0188357</v>
      </c>
      <c r="D1199" s="5" t="s">
        <v>11552</v>
      </c>
      <c r="E1199" s="5" t="s">
        <v>11553</v>
      </c>
      <c r="F1199" s="5" t="s">
        <v>6947</v>
      </c>
      <c r="G1199" s="5" t="s">
        <v>52</v>
      </c>
      <c r="H1199" s="5">
        <v>78040</v>
      </c>
      <c r="I1199" s="5" t="s">
        <v>30</v>
      </c>
      <c r="J1199" s="5" t="s">
        <v>162</v>
      </c>
      <c r="K1199" s="5" t="s">
        <v>163</v>
      </c>
      <c r="L1199" s="5"/>
      <c r="M1199" s="5"/>
      <c r="N1199" s="5"/>
      <c r="O1199" s="5"/>
      <c r="P1199" s="5"/>
      <c r="Q1199" s="5">
        <v>0</v>
      </c>
      <c r="R1199" s="5">
        <v>0</v>
      </c>
      <c r="S1199" s="5">
        <v>0</v>
      </c>
      <c r="T1199" s="5" t="s">
        <v>9378</v>
      </c>
      <c r="U1199" s="5"/>
      <c r="V1199" s="5"/>
      <c r="W1199" s="5"/>
      <c r="X1199" s="5"/>
      <c r="Y1199" s="5"/>
    </row>
    <row r="1200" spans="1:25" customFormat="1" ht="15" x14ac:dyDescent="0.25">
      <c r="A1200" t="s">
        <v>24</v>
      </c>
      <c r="B1200" t="s">
        <v>4366</v>
      </c>
      <c r="C1200" t="str">
        <f>"A0187937"</f>
        <v>A0187937</v>
      </c>
      <c r="D1200" t="s">
        <v>11554</v>
      </c>
      <c r="E1200" t="s">
        <v>11555</v>
      </c>
      <c r="F1200" t="s">
        <v>11556</v>
      </c>
      <c r="G1200" t="s">
        <v>52</v>
      </c>
      <c r="H1200">
        <v>78852</v>
      </c>
      <c r="I1200" t="s">
        <v>30</v>
      </c>
      <c r="J1200" t="s">
        <v>162</v>
      </c>
      <c r="K1200" t="s">
        <v>163</v>
      </c>
      <c r="N1200" t="s">
        <v>11557</v>
      </c>
      <c r="Q1200">
        <v>0</v>
      </c>
      <c r="R1200">
        <v>0</v>
      </c>
      <c r="S1200">
        <v>0</v>
      </c>
      <c r="T1200" t="s">
        <v>9378</v>
      </c>
    </row>
    <row r="1201" spans="1:25" customFormat="1" ht="15" x14ac:dyDescent="0.25">
      <c r="A1201" t="s">
        <v>24</v>
      </c>
      <c r="B1201" t="s">
        <v>1092</v>
      </c>
      <c r="C1201" t="str">
        <f>"A0060106"</f>
        <v>A0060106</v>
      </c>
      <c r="D1201" t="s">
        <v>5347</v>
      </c>
      <c r="E1201" t="s">
        <v>5348</v>
      </c>
      <c r="F1201" t="s">
        <v>985</v>
      </c>
      <c r="G1201" t="s">
        <v>81</v>
      </c>
      <c r="H1201">
        <v>32836</v>
      </c>
      <c r="I1201" t="s">
        <v>30</v>
      </c>
      <c r="J1201" t="s">
        <v>31</v>
      </c>
      <c r="K1201" t="s">
        <v>198</v>
      </c>
      <c r="N1201" t="s">
        <v>5349</v>
      </c>
      <c r="Q1201">
        <v>0</v>
      </c>
      <c r="R1201">
        <v>147</v>
      </c>
      <c r="S1201">
        <v>0</v>
      </c>
      <c r="T1201" t="s">
        <v>5350</v>
      </c>
    </row>
    <row r="1202" spans="1:25" customFormat="1" ht="15" x14ac:dyDescent="0.25">
      <c r="A1202" t="s">
        <v>24</v>
      </c>
      <c r="B1202" t="s">
        <v>4366</v>
      </c>
      <c r="C1202" t="str">
        <f>"A0187936"</f>
        <v>A0187936</v>
      </c>
      <c r="D1202" t="s">
        <v>11558</v>
      </c>
      <c r="E1202" t="s">
        <v>11559</v>
      </c>
      <c r="F1202" t="s">
        <v>11560</v>
      </c>
      <c r="G1202" t="s">
        <v>52</v>
      </c>
      <c r="H1202">
        <v>78537</v>
      </c>
      <c r="I1202" t="s">
        <v>30</v>
      </c>
      <c r="J1202" t="s">
        <v>162</v>
      </c>
      <c r="K1202" t="s">
        <v>163</v>
      </c>
      <c r="N1202" t="s">
        <v>11557</v>
      </c>
      <c r="Q1202">
        <v>0</v>
      </c>
      <c r="R1202">
        <v>1500</v>
      </c>
      <c r="S1202">
        <v>0</v>
      </c>
      <c r="T1202" t="s">
        <v>9378</v>
      </c>
    </row>
    <row r="1203" spans="1:25" customFormat="1" ht="15" x14ac:dyDescent="0.25">
      <c r="A1203" t="s">
        <v>24</v>
      </c>
      <c r="B1203" t="s">
        <v>4366</v>
      </c>
      <c r="C1203" t="str">
        <f>"A0187439"</f>
        <v>A0187439</v>
      </c>
      <c r="D1203" t="s">
        <v>11561</v>
      </c>
      <c r="E1203" t="s">
        <v>11562</v>
      </c>
      <c r="F1203" t="s">
        <v>11563</v>
      </c>
      <c r="G1203" t="s">
        <v>52</v>
      </c>
      <c r="H1203">
        <v>78834</v>
      </c>
      <c r="I1203" t="s">
        <v>30</v>
      </c>
      <c r="J1203" t="s">
        <v>162</v>
      </c>
      <c r="K1203" t="s">
        <v>163</v>
      </c>
      <c r="N1203" t="s">
        <v>11557</v>
      </c>
      <c r="Q1203">
        <v>0</v>
      </c>
      <c r="R1203">
        <v>2000</v>
      </c>
      <c r="S1203">
        <v>0</v>
      </c>
      <c r="T1203" t="s">
        <v>11564</v>
      </c>
    </row>
    <row r="1204" spans="1:25" customFormat="1" ht="15" x14ac:dyDescent="0.25">
      <c r="A1204" t="s">
        <v>24</v>
      </c>
      <c r="B1204" t="s">
        <v>4366</v>
      </c>
      <c r="C1204" t="str">
        <f>"A0187438"</f>
        <v>A0187438</v>
      </c>
      <c r="D1204" t="s">
        <v>11565</v>
      </c>
      <c r="E1204" t="s">
        <v>11566</v>
      </c>
      <c r="F1204" t="s">
        <v>11560</v>
      </c>
      <c r="G1204" t="s">
        <v>52</v>
      </c>
      <c r="H1204">
        <v>78537</v>
      </c>
      <c r="I1204" t="s">
        <v>30</v>
      </c>
      <c r="J1204" t="s">
        <v>162</v>
      </c>
      <c r="K1204" t="s">
        <v>163</v>
      </c>
      <c r="N1204" t="s">
        <v>11557</v>
      </c>
      <c r="Q1204">
        <v>0</v>
      </c>
      <c r="R1204">
        <v>1500</v>
      </c>
      <c r="S1204">
        <v>0</v>
      </c>
      <c r="T1204" t="s">
        <v>11564</v>
      </c>
    </row>
    <row r="1205" spans="1:25" customFormat="1" ht="15" x14ac:dyDescent="0.25">
      <c r="A1205" t="s">
        <v>24</v>
      </c>
      <c r="B1205" t="s">
        <v>5366</v>
      </c>
      <c r="C1205" t="str">
        <f>"A0088079"</f>
        <v>A0088079</v>
      </c>
      <c r="D1205" t="s">
        <v>5367</v>
      </c>
      <c r="E1205" t="s">
        <v>5368</v>
      </c>
      <c r="F1205" t="s">
        <v>5369</v>
      </c>
      <c r="G1205" t="s">
        <v>58</v>
      </c>
      <c r="H1205">
        <v>29420</v>
      </c>
      <c r="I1205" t="s">
        <v>30</v>
      </c>
      <c r="J1205" t="s">
        <v>31</v>
      </c>
      <c r="K1205" t="s">
        <v>302</v>
      </c>
      <c r="N1205" t="s">
        <v>5370</v>
      </c>
      <c r="Q1205">
        <v>0</v>
      </c>
      <c r="R1205">
        <v>68</v>
      </c>
      <c r="S1205">
        <v>0</v>
      </c>
      <c r="T1205" t="s">
        <v>5371</v>
      </c>
    </row>
    <row r="1206" spans="1:25" x14ac:dyDescent="0.25">
      <c r="A1206" s="5" t="s">
        <v>24</v>
      </c>
      <c r="B1206" s="5" t="s">
        <v>3045</v>
      </c>
      <c r="C1206" s="5" t="str">
        <f>"A0188383"</f>
        <v>A0188383</v>
      </c>
      <c r="D1206" s="5" t="s">
        <v>11567</v>
      </c>
      <c r="E1206" s="5" t="s">
        <v>11568</v>
      </c>
      <c r="F1206" s="5" t="s">
        <v>11569</v>
      </c>
      <c r="G1206" s="5" t="s">
        <v>3049</v>
      </c>
      <c r="H1206" s="5">
        <v>99835</v>
      </c>
      <c r="I1206" s="5" t="s">
        <v>30</v>
      </c>
      <c r="J1206" s="5" t="s">
        <v>162</v>
      </c>
      <c r="K1206" s="5" t="s">
        <v>163</v>
      </c>
      <c r="L1206" s="5"/>
      <c r="M1206" s="5"/>
      <c r="N1206" s="5" t="s">
        <v>11570</v>
      </c>
      <c r="O1206" s="5"/>
      <c r="P1206" s="5"/>
      <c r="Q1206" s="5">
        <v>0</v>
      </c>
      <c r="R1206" s="5">
        <v>67</v>
      </c>
      <c r="S1206" s="5">
        <v>0</v>
      </c>
      <c r="T1206" s="5" t="s">
        <v>11571</v>
      </c>
      <c r="U1206" s="5"/>
      <c r="V1206" s="5"/>
      <c r="W1206" s="5"/>
      <c r="X1206" s="5"/>
      <c r="Y1206" s="5"/>
    </row>
    <row r="1207" spans="1:25" customFormat="1" ht="15" x14ac:dyDescent="0.25">
      <c r="A1207" t="s">
        <v>24</v>
      </c>
      <c r="B1207" t="s">
        <v>193</v>
      </c>
      <c r="C1207" t="str">
        <f>"A0084949"</f>
        <v>A0084949</v>
      </c>
      <c r="D1207" t="s">
        <v>5378</v>
      </c>
      <c r="E1207" t="s">
        <v>5379</v>
      </c>
      <c r="F1207" t="s">
        <v>5380</v>
      </c>
      <c r="G1207" t="s">
        <v>52</v>
      </c>
      <c r="H1207">
        <v>75034</v>
      </c>
      <c r="I1207" t="s">
        <v>30</v>
      </c>
      <c r="J1207" t="s">
        <v>31</v>
      </c>
      <c r="K1207" t="s">
        <v>198</v>
      </c>
      <c r="N1207" t="s">
        <v>5381</v>
      </c>
      <c r="O1207" t="s">
        <v>5382</v>
      </c>
      <c r="Q1207">
        <v>0</v>
      </c>
      <c r="R1207">
        <v>105</v>
      </c>
      <c r="S1207">
        <v>0</v>
      </c>
      <c r="T1207" t="s">
        <v>5383</v>
      </c>
    </row>
    <row r="1208" spans="1:25" x14ac:dyDescent="0.25">
      <c r="A1208" s="5" t="s">
        <v>24</v>
      </c>
      <c r="B1208" s="5" t="s">
        <v>4366</v>
      </c>
      <c r="C1208" s="5" t="str">
        <f>"A0188386"</f>
        <v>A0188386</v>
      </c>
      <c r="D1208" s="5" t="s">
        <v>11572</v>
      </c>
      <c r="E1208" s="5" t="s">
        <v>11573</v>
      </c>
      <c r="F1208" s="5" t="s">
        <v>11574</v>
      </c>
      <c r="G1208" s="5" t="s">
        <v>110</v>
      </c>
      <c r="H1208" s="5">
        <v>93928</v>
      </c>
      <c r="I1208" s="5" t="s">
        <v>30</v>
      </c>
      <c r="J1208" s="5" t="s">
        <v>162</v>
      </c>
      <c r="K1208" s="5" t="s">
        <v>163</v>
      </c>
      <c r="L1208" s="5"/>
      <c r="M1208" s="5"/>
      <c r="N1208" s="5"/>
      <c r="O1208" s="5"/>
      <c r="P1208" s="5"/>
      <c r="Q1208" s="5">
        <v>0</v>
      </c>
      <c r="R1208" s="5">
        <v>0</v>
      </c>
      <c r="S1208" s="5">
        <v>0</v>
      </c>
      <c r="T1208" s="5" t="s">
        <v>9378</v>
      </c>
      <c r="U1208" s="5"/>
      <c r="V1208" s="5"/>
      <c r="W1208" s="5"/>
      <c r="X1208" s="5"/>
      <c r="Y1208" s="5"/>
    </row>
    <row r="1209" spans="1:25" customFormat="1" ht="15" hidden="1" x14ac:dyDescent="0.25">
      <c r="A1209" t="s">
        <v>24</v>
      </c>
      <c r="B1209" t="s">
        <v>3840</v>
      </c>
      <c r="C1209" t="str">
        <f>"A0191128"</f>
        <v>A0191128</v>
      </c>
      <c r="D1209" t="s">
        <v>5390</v>
      </c>
      <c r="E1209" t="s">
        <v>5391</v>
      </c>
      <c r="F1209" t="s">
        <v>2408</v>
      </c>
      <c r="G1209" t="s">
        <v>3843</v>
      </c>
      <c r="H1209">
        <v>11000</v>
      </c>
      <c r="I1209" t="s">
        <v>2408</v>
      </c>
      <c r="J1209" t="s">
        <v>687</v>
      </c>
      <c r="K1209" t="s">
        <v>163</v>
      </c>
      <c r="N1209" t="s">
        <v>3844</v>
      </c>
      <c r="Q1209">
        <v>0</v>
      </c>
      <c r="R1209">
        <v>0</v>
      </c>
      <c r="S1209">
        <v>0</v>
      </c>
      <c r="T1209" t="s">
        <v>3845</v>
      </c>
    </row>
    <row r="1210" spans="1:25" customFormat="1" ht="15" hidden="1" x14ac:dyDescent="0.25">
      <c r="A1210" t="s">
        <v>24</v>
      </c>
      <c r="B1210" t="s">
        <v>3840</v>
      </c>
      <c r="C1210" t="str">
        <f>"A0191122"</f>
        <v>A0191122</v>
      </c>
      <c r="D1210" t="s">
        <v>5392</v>
      </c>
      <c r="E1210" t="s">
        <v>5393</v>
      </c>
      <c r="F1210" t="s">
        <v>5394</v>
      </c>
      <c r="G1210" t="s">
        <v>3843</v>
      </c>
      <c r="H1210">
        <v>5160</v>
      </c>
      <c r="I1210" t="s">
        <v>2408</v>
      </c>
      <c r="J1210" t="s">
        <v>687</v>
      </c>
      <c r="K1210" t="s">
        <v>163</v>
      </c>
      <c r="N1210" t="s">
        <v>3844</v>
      </c>
      <c r="Q1210">
        <v>0</v>
      </c>
      <c r="R1210">
        <v>0</v>
      </c>
      <c r="S1210">
        <v>0</v>
      </c>
      <c r="T1210" t="s">
        <v>3845</v>
      </c>
    </row>
    <row r="1211" spans="1:25" customFormat="1" ht="15" hidden="1" x14ac:dyDescent="0.25">
      <c r="A1211" t="s">
        <v>24</v>
      </c>
      <c r="B1211" t="s">
        <v>3840</v>
      </c>
      <c r="C1211" t="str">
        <f>"A0191121"</f>
        <v>A0191121</v>
      </c>
      <c r="D1211" t="s">
        <v>5395</v>
      </c>
      <c r="E1211" t="s">
        <v>5396</v>
      </c>
      <c r="F1211" t="s">
        <v>2408</v>
      </c>
      <c r="G1211" t="s">
        <v>3843</v>
      </c>
      <c r="H1211">
        <v>11530</v>
      </c>
      <c r="I1211" t="s">
        <v>2408</v>
      </c>
      <c r="J1211" t="s">
        <v>687</v>
      </c>
      <c r="K1211" t="s">
        <v>163</v>
      </c>
      <c r="N1211" t="s">
        <v>3844</v>
      </c>
      <c r="Q1211">
        <v>0</v>
      </c>
      <c r="R1211">
        <v>0</v>
      </c>
      <c r="S1211">
        <v>0</v>
      </c>
      <c r="T1211" t="s">
        <v>5397</v>
      </c>
    </row>
    <row r="1212" spans="1:25" customFormat="1" ht="15" hidden="1" x14ac:dyDescent="0.25">
      <c r="A1212" t="s">
        <v>24</v>
      </c>
      <c r="B1212" t="s">
        <v>3840</v>
      </c>
      <c r="C1212" t="str">
        <f>"A0191120"</f>
        <v>A0191120</v>
      </c>
      <c r="D1212" t="s">
        <v>5398</v>
      </c>
      <c r="E1212" t="s">
        <v>5399</v>
      </c>
      <c r="F1212" t="s">
        <v>2408</v>
      </c>
      <c r="G1212" t="s">
        <v>3843</v>
      </c>
      <c r="H1212">
        <v>6100</v>
      </c>
      <c r="I1212" t="s">
        <v>2408</v>
      </c>
      <c r="J1212" t="s">
        <v>687</v>
      </c>
      <c r="K1212" t="s">
        <v>163</v>
      </c>
      <c r="N1212" t="s">
        <v>3844</v>
      </c>
      <c r="Q1212">
        <v>0</v>
      </c>
      <c r="R1212">
        <v>0</v>
      </c>
      <c r="S1212">
        <v>0</v>
      </c>
      <c r="T1212" t="s">
        <v>5400</v>
      </c>
    </row>
    <row r="1213" spans="1:25" customFormat="1" ht="15" hidden="1" x14ac:dyDescent="0.25">
      <c r="A1213" t="s">
        <v>24</v>
      </c>
      <c r="B1213" t="s">
        <v>3840</v>
      </c>
      <c r="C1213" t="str">
        <f>"A0191119"</f>
        <v>A0191119</v>
      </c>
      <c r="D1213" t="s">
        <v>5401</v>
      </c>
      <c r="E1213" t="s">
        <v>5402</v>
      </c>
      <c r="F1213" t="s">
        <v>2408</v>
      </c>
      <c r="G1213" t="s">
        <v>3843</v>
      </c>
      <c r="H1213">
        <v>1040</v>
      </c>
      <c r="I1213" t="s">
        <v>2408</v>
      </c>
      <c r="J1213" t="s">
        <v>687</v>
      </c>
      <c r="K1213" t="s">
        <v>163</v>
      </c>
      <c r="N1213" t="s">
        <v>3844</v>
      </c>
      <c r="Q1213">
        <v>0</v>
      </c>
      <c r="R1213">
        <v>0</v>
      </c>
      <c r="S1213">
        <v>0</v>
      </c>
      <c r="T1213" t="s">
        <v>5403</v>
      </c>
    </row>
    <row r="1214" spans="1:25" customFormat="1" ht="15" hidden="1" x14ac:dyDescent="0.25">
      <c r="A1214" t="s">
        <v>24</v>
      </c>
      <c r="B1214" t="s">
        <v>3840</v>
      </c>
      <c r="C1214" t="str">
        <f>"A0191118"</f>
        <v>A0191118</v>
      </c>
      <c r="D1214" t="s">
        <v>5404</v>
      </c>
      <c r="E1214" t="s">
        <v>5405</v>
      </c>
      <c r="F1214" t="s">
        <v>2408</v>
      </c>
      <c r="G1214" t="s">
        <v>3843</v>
      </c>
      <c r="H1214">
        <v>6700</v>
      </c>
      <c r="I1214" t="s">
        <v>2408</v>
      </c>
      <c r="J1214" t="s">
        <v>687</v>
      </c>
      <c r="K1214" t="s">
        <v>163</v>
      </c>
      <c r="N1214" t="s">
        <v>3844</v>
      </c>
      <c r="Q1214">
        <v>0</v>
      </c>
      <c r="R1214">
        <v>0</v>
      </c>
      <c r="S1214">
        <v>0</v>
      </c>
      <c r="T1214" t="s">
        <v>5406</v>
      </c>
    </row>
    <row r="1215" spans="1:25" customFormat="1" ht="15" hidden="1" x14ac:dyDescent="0.25">
      <c r="A1215" t="s">
        <v>24</v>
      </c>
      <c r="B1215" t="s">
        <v>3840</v>
      </c>
      <c r="C1215" t="str">
        <f>"A0191117"</f>
        <v>A0191117</v>
      </c>
      <c r="D1215" t="s">
        <v>5407</v>
      </c>
      <c r="E1215" t="s">
        <v>5408</v>
      </c>
      <c r="F1215" t="s">
        <v>2408</v>
      </c>
      <c r="G1215" t="s">
        <v>3843</v>
      </c>
      <c r="H1215">
        <v>6700</v>
      </c>
      <c r="I1215" t="s">
        <v>2408</v>
      </c>
      <c r="J1215" t="s">
        <v>687</v>
      </c>
      <c r="K1215" t="s">
        <v>163</v>
      </c>
      <c r="N1215" t="s">
        <v>3844</v>
      </c>
      <c r="Q1215">
        <v>0</v>
      </c>
      <c r="R1215">
        <v>0</v>
      </c>
      <c r="S1215">
        <v>0</v>
      </c>
      <c r="T1215" t="s">
        <v>5409</v>
      </c>
    </row>
    <row r="1216" spans="1:25" customFormat="1" ht="15" hidden="1" x14ac:dyDescent="0.25">
      <c r="A1216" t="s">
        <v>24</v>
      </c>
      <c r="B1216" t="s">
        <v>3840</v>
      </c>
      <c r="C1216" t="str">
        <f>"A0191116"</f>
        <v>A0191116</v>
      </c>
      <c r="D1216" t="s">
        <v>5410</v>
      </c>
      <c r="E1216" t="s">
        <v>5411</v>
      </c>
      <c r="F1216" t="s">
        <v>2408</v>
      </c>
      <c r="G1216" t="s">
        <v>3843</v>
      </c>
      <c r="H1216">
        <v>6700</v>
      </c>
      <c r="I1216" t="s">
        <v>2408</v>
      </c>
      <c r="J1216" t="s">
        <v>687</v>
      </c>
      <c r="K1216" t="s">
        <v>163</v>
      </c>
      <c r="N1216" t="s">
        <v>3844</v>
      </c>
      <c r="Q1216">
        <v>0</v>
      </c>
      <c r="R1216">
        <v>0</v>
      </c>
      <c r="S1216">
        <v>0</v>
      </c>
      <c r="T1216" t="s">
        <v>5412</v>
      </c>
    </row>
    <row r="1217" spans="1:20" customFormat="1" ht="15" hidden="1" x14ac:dyDescent="0.25">
      <c r="A1217" t="s">
        <v>24</v>
      </c>
      <c r="B1217" t="s">
        <v>3840</v>
      </c>
      <c r="C1217" t="str">
        <f>"A0191115"</f>
        <v>A0191115</v>
      </c>
      <c r="D1217" t="s">
        <v>5413</v>
      </c>
      <c r="E1217" t="s">
        <v>5402</v>
      </c>
      <c r="F1217" t="s">
        <v>2408</v>
      </c>
      <c r="G1217" t="s">
        <v>3843</v>
      </c>
      <c r="H1217">
        <v>1040</v>
      </c>
      <c r="I1217" t="s">
        <v>2408</v>
      </c>
      <c r="J1217" t="s">
        <v>687</v>
      </c>
      <c r="K1217" t="s">
        <v>163</v>
      </c>
      <c r="N1217" t="s">
        <v>3844</v>
      </c>
      <c r="Q1217">
        <v>0</v>
      </c>
      <c r="R1217">
        <v>0</v>
      </c>
      <c r="S1217">
        <v>0</v>
      </c>
      <c r="T1217" t="s">
        <v>5414</v>
      </c>
    </row>
    <row r="1218" spans="1:20" customFormat="1" ht="15" hidden="1" x14ac:dyDescent="0.25">
      <c r="A1218" t="s">
        <v>24</v>
      </c>
      <c r="B1218" t="s">
        <v>3840</v>
      </c>
      <c r="C1218" t="str">
        <f>"A0191114"</f>
        <v>A0191114</v>
      </c>
      <c r="D1218" t="s">
        <v>5415</v>
      </c>
      <c r="E1218" t="s">
        <v>5416</v>
      </c>
      <c r="F1218" t="s">
        <v>2408</v>
      </c>
      <c r="G1218" t="s">
        <v>3843</v>
      </c>
      <c r="H1218">
        <v>6700</v>
      </c>
      <c r="I1218" t="s">
        <v>2408</v>
      </c>
      <c r="J1218" t="s">
        <v>687</v>
      </c>
      <c r="K1218" t="s">
        <v>163</v>
      </c>
      <c r="N1218" t="s">
        <v>3844</v>
      </c>
      <c r="Q1218">
        <v>0</v>
      </c>
      <c r="R1218">
        <v>0</v>
      </c>
      <c r="S1218">
        <v>0</v>
      </c>
      <c r="T1218" t="s">
        <v>5417</v>
      </c>
    </row>
    <row r="1219" spans="1:20" customFormat="1" ht="15" hidden="1" x14ac:dyDescent="0.25">
      <c r="A1219" t="s">
        <v>24</v>
      </c>
      <c r="B1219" t="s">
        <v>3840</v>
      </c>
      <c r="C1219" t="str">
        <f>"A0191113"</f>
        <v>A0191113</v>
      </c>
      <c r="D1219" t="s">
        <v>5418</v>
      </c>
      <c r="E1219" t="s">
        <v>5419</v>
      </c>
      <c r="F1219" t="s">
        <v>2408</v>
      </c>
      <c r="G1219" t="s">
        <v>3843</v>
      </c>
      <c r="H1219">
        <v>6700</v>
      </c>
      <c r="I1219" t="s">
        <v>2408</v>
      </c>
      <c r="J1219" t="s">
        <v>687</v>
      </c>
      <c r="K1219" t="s">
        <v>163</v>
      </c>
      <c r="N1219" t="s">
        <v>3844</v>
      </c>
      <c r="Q1219">
        <v>0</v>
      </c>
      <c r="R1219">
        <v>0</v>
      </c>
      <c r="S1219">
        <v>0</v>
      </c>
      <c r="T1219" t="s">
        <v>5420</v>
      </c>
    </row>
    <row r="1220" spans="1:20" customFormat="1" ht="15" hidden="1" x14ac:dyDescent="0.25">
      <c r="A1220" t="s">
        <v>24</v>
      </c>
      <c r="B1220" t="s">
        <v>3840</v>
      </c>
      <c r="C1220" t="str">
        <f>"A0191112"</f>
        <v>A0191112</v>
      </c>
      <c r="D1220" t="s">
        <v>5421</v>
      </c>
      <c r="E1220" t="s">
        <v>5422</v>
      </c>
      <c r="F1220" t="s">
        <v>5423</v>
      </c>
      <c r="G1220" t="s">
        <v>5424</v>
      </c>
      <c r="H1220">
        <v>77533</v>
      </c>
      <c r="I1220" t="s">
        <v>2408</v>
      </c>
      <c r="J1220" t="s">
        <v>687</v>
      </c>
      <c r="K1220" t="s">
        <v>163</v>
      </c>
      <c r="N1220" t="s">
        <v>3844</v>
      </c>
      <c r="Q1220">
        <v>0</v>
      </c>
      <c r="R1220">
        <v>0</v>
      </c>
      <c r="S1220">
        <v>0</v>
      </c>
      <c r="T1220" t="s">
        <v>5425</v>
      </c>
    </row>
    <row r="1221" spans="1:20" customFormat="1" ht="15" x14ac:dyDescent="0.25">
      <c r="A1221" t="s">
        <v>35</v>
      </c>
      <c r="B1221" t="s">
        <v>5426</v>
      </c>
      <c r="C1221" t="str">
        <f>"A0187990"</f>
        <v>A0187990</v>
      </c>
      <c r="D1221" t="s">
        <v>5427</v>
      </c>
      <c r="E1221" t="s">
        <v>5428</v>
      </c>
      <c r="F1221" t="s">
        <v>4269</v>
      </c>
      <c r="G1221" t="s">
        <v>99</v>
      </c>
      <c r="H1221">
        <v>11212</v>
      </c>
      <c r="I1221" t="s">
        <v>30</v>
      </c>
      <c r="J1221" t="s">
        <v>41</v>
      </c>
      <c r="K1221" t="s">
        <v>112</v>
      </c>
      <c r="Q1221">
        <v>0</v>
      </c>
      <c r="R1221">
        <v>0</v>
      </c>
      <c r="S1221">
        <v>0</v>
      </c>
      <c r="T1221" t="s">
        <v>72</v>
      </c>
    </row>
    <row r="1222" spans="1:20" customFormat="1" ht="15" x14ac:dyDescent="0.25">
      <c r="A1222" t="s">
        <v>24</v>
      </c>
      <c r="B1222" t="s">
        <v>5429</v>
      </c>
      <c r="C1222" t="str">
        <f>"A0059916"</f>
        <v>A0059916</v>
      </c>
      <c r="D1222" t="s">
        <v>5430</v>
      </c>
      <c r="E1222" t="s">
        <v>5431</v>
      </c>
      <c r="F1222" t="s">
        <v>356</v>
      </c>
      <c r="G1222" t="s">
        <v>52</v>
      </c>
      <c r="H1222">
        <v>78230</v>
      </c>
      <c r="I1222" t="s">
        <v>30</v>
      </c>
      <c r="J1222" t="s">
        <v>31</v>
      </c>
      <c r="K1222" t="s">
        <v>282</v>
      </c>
      <c r="N1222" t="s">
        <v>5432</v>
      </c>
      <c r="O1222" t="s">
        <v>5433</v>
      </c>
      <c r="Q1222">
        <v>0</v>
      </c>
      <c r="R1222">
        <v>122</v>
      </c>
      <c r="S1222">
        <v>0</v>
      </c>
      <c r="T1222" t="s">
        <v>5434</v>
      </c>
    </row>
    <row r="1223" spans="1:20" customFormat="1" ht="15" hidden="1" x14ac:dyDescent="0.25">
      <c r="A1223" t="s">
        <v>24</v>
      </c>
      <c r="B1223" t="s">
        <v>5435</v>
      </c>
      <c r="C1223" t="str">
        <f>"A0191099"</f>
        <v>A0191099</v>
      </c>
      <c r="D1223" t="s">
        <v>5436</v>
      </c>
      <c r="E1223" t="s">
        <v>5437</v>
      </c>
      <c r="F1223" t="s">
        <v>5438</v>
      </c>
      <c r="G1223" t="s">
        <v>5439</v>
      </c>
      <c r="H1223" t="s">
        <v>5440</v>
      </c>
      <c r="I1223" t="s">
        <v>1459</v>
      </c>
      <c r="J1223" t="s">
        <v>31</v>
      </c>
      <c r="K1223" t="s">
        <v>198</v>
      </c>
      <c r="N1223" t="s">
        <v>5441</v>
      </c>
      <c r="O1223" t="s">
        <v>5442</v>
      </c>
      <c r="Q1223">
        <v>0</v>
      </c>
      <c r="R1223">
        <v>256</v>
      </c>
      <c r="S1223">
        <v>0</v>
      </c>
      <c r="T1223" t="s">
        <v>5443</v>
      </c>
    </row>
    <row r="1224" spans="1:20" customFormat="1" ht="15" x14ac:dyDescent="0.25">
      <c r="A1224" t="s">
        <v>24</v>
      </c>
      <c r="B1224" t="s">
        <v>4366</v>
      </c>
      <c r="C1224" t="str">
        <f>"A0187939"</f>
        <v>A0187939</v>
      </c>
      <c r="D1224" t="s">
        <v>11575</v>
      </c>
      <c r="E1224" t="s">
        <v>11576</v>
      </c>
      <c r="F1224" t="s">
        <v>796</v>
      </c>
      <c r="G1224" t="s">
        <v>197</v>
      </c>
      <c r="H1224">
        <v>85711</v>
      </c>
      <c r="I1224" t="s">
        <v>30</v>
      </c>
      <c r="J1224" t="s">
        <v>162</v>
      </c>
      <c r="K1224" t="s">
        <v>163</v>
      </c>
      <c r="N1224" t="s">
        <v>11557</v>
      </c>
      <c r="Q1224">
        <v>0</v>
      </c>
      <c r="R1224">
        <v>800</v>
      </c>
      <c r="S1224">
        <v>0</v>
      </c>
      <c r="T1224" t="s">
        <v>9378</v>
      </c>
    </row>
    <row r="1225" spans="1:20" customFormat="1" ht="15" x14ac:dyDescent="0.25">
      <c r="A1225" t="s">
        <v>35</v>
      </c>
      <c r="B1225" t="s">
        <v>2711</v>
      </c>
      <c r="C1225" t="str">
        <f>"A0191098"</f>
        <v>A0191098</v>
      </c>
      <c r="D1225" t="s">
        <v>5450</v>
      </c>
      <c r="E1225" t="s">
        <v>5451</v>
      </c>
      <c r="F1225" t="s">
        <v>5452</v>
      </c>
      <c r="G1225" t="s">
        <v>507</v>
      </c>
      <c r="H1225">
        <v>26452</v>
      </c>
      <c r="I1225" t="s">
        <v>30</v>
      </c>
      <c r="J1225" t="s">
        <v>41</v>
      </c>
      <c r="K1225" t="s">
        <v>2715</v>
      </c>
      <c r="Q1225">
        <v>0</v>
      </c>
      <c r="R1225">
        <v>0</v>
      </c>
      <c r="S1225">
        <v>0</v>
      </c>
      <c r="T1225" t="s">
        <v>72</v>
      </c>
    </row>
    <row r="1226" spans="1:20" customFormat="1" ht="15" x14ac:dyDescent="0.25">
      <c r="A1226" t="s">
        <v>35</v>
      </c>
      <c r="B1226" t="s">
        <v>2711</v>
      </c>
      <c r="C1226" t="str">
        <f>"A0191097"</f>
        <v>A0191097</v>
      </c>
      <c r="D1226" t="s">
        <v>5453</v>
      </c>
      <c r="E1226" t="s">
        <v>5454</v>
      </c>
      <c r="F1226" t="s">
        <v>898</v>
      </c>
      <c r="G1226" t="s">
        <v>899</v>
      </c>
      <c r="H1226">
        <v>1608</v>
      </c>
      <c r="I1226" t="s">
        <v>30</v>
      </c>
      <c r="J1226" t="s">
        <v>41</v>
      </c>
      <c r="K1226" t="s">
        <v>2715</v>
      </c>
      <c r="Q1226">
        <v>0</v>
      </c>
      <c r="R1226">
        <v>0</v>
      </c>
      <c r="S1226">
        <v>0</v>
      </c>
      <c r="T1226" t="s">
        <v>5455</v>
      </c>
    </row>
    <row r="1227" spans="1:20" customFormat="1" ht="15" x14ac:dyDescent="0.25">
      <c r="A1227" t="s">
        <v>35</v>
      </c>
      <c r="B1227" t="s">
        <v>5456</v>
      </c>
      <c r="C1227" t="str">
        <f>"A0191096"</f>
        <v>A0191096</v>
      </c>
      <c r="D1227" t="s">
        <v>5457</v>
      </c>
      <c r="E1227" t="s">
        <v>5458</v>
      </c>
      <c r="F1227" t="s">
        <v>5459</v>
      </c>
      <c r="G1227" t="s">
        <v>110</v>
      </c>
      <c r="H1227">
        <v>95605</v>
      </c>
      <c r="I1227" t="s">
        <v>30</v>
      </c>
      <c r="J1227" t="s">
        <v>41</v>
      </c>
      <c r="K1227" t="s">
        <v>2468</v>
      </c>
      <c r="Q1227">
        <v>0</v>
      </c>
      <c r="R1227">
        <v>0</v>
      </c>
      <c r="S1227">
        <v>30</v>
      </c>
      <c r="T1227" t="s">
        <v>5460</v>
      </c>
    </row>
    <row r="1228" spans="1:20" customFormat="1" ht="15" x14ac:dyDescent="0.25">
      <c r="A1228" t="s">
        <v>35</v>
      </c>
      <c r="B1228" t="s">
        <v>5456</v>
      </c>
      <c r="C1228" t="str">
        <f>"A0191095"</f>
        <v>A0191095</v>
      </c>
      <c r="D1228" t="s">
        <v>5461</v>
      </c>
      <c r="E1228" t="s">
        <v>5462</v>
      </c>
      <c r="F1228" t="s">
        <v>5463</v>
      </c>
      <c r="G1228" t="s">
        <v>110</v>
      </c>
      <c r="H1228">
        <v>95901</v>
      </c>
      <c r="I1228" t="s">
        <v>30</v>
      </c>
      <c r="J1228" t="s">
        <v>41</v>
      </c>
      <c r="K1228" t="s">
        <v>2468</v>
      </c>
      <c r="Q1228">
        <v>0</v>
      </c>
      <c r="R1228">
        <v>0</v>
      </c>
      <c r="S1228">
        <v>30</v>
      </c>
      <c r="T1228" t="s">
        <v>5464</v>
      </c>
    </row>
    <row r="1229" spans="1:20" customFormat="1" ht="15" x14ac:dyDescent="0.25">
      <c r="A1229" t="s">
        <v>35</v>
      </c>
      <c r="B1229" t="s">
        <v>5456</v>
      </c>
      <c r="C1229" t="str">
        <f>"A0191094"</f>
        <v>A0191094</v>
      </c>
      <c r="D1229" t="s">
        <v>5465</v>
      </c>
      <c r="E1229" t="s">
        <v>5466</v>
      </c>
      <c r="F1229" t="s">
        <v>5467</v>
      </c>
      <c r="G1229" t="s">
        <v>110</v>
      </c>
      <c r="H1229">
        <v>95991</v>
      </c>
      <c r="I1229" t="s">
        <v>30</v>
      </c>
      <c r="J1229" t="s">
        <v>41</v>
      </c>
      <c r="K1229" t="s">
        <v>2468</v>
      </c>
      <c r="Q1229">
        <v>0</v>
      </c>
      <c r="R1229">
        <v>0</v>
      </c>
      <c r="S1229">
        <v>30</v>
      </c>
      <c r="T1229" t="s">
        <v>5468</v>
      </c>
    </row>
    <row r="1230" spans="1:20" customFormat="1" ht="15" x14ac:dyDescent="0.25">
      <c r="A1230" t="s">
        <v>35</v>
      </c>
      <c r="B1230" t="s">
        <v>5469</v>
      </c>
      <c r="C1230" t="str">
        <f>"A0191093"</f>
        <v>A0191093</v>
      </c>
      <c r="D1230" t="s">
        <v>5470</v>
      </c>
      <c r="E1230" t="s">
        <v>5471</v>
      </c>
      <c r="F1230" t="s">
        <v>5472</v>
      </c>
      <c r="G1230" t="s">
        <v>52</v>
      </c>
      <c r="H1230">
        <v>76450</v>
      </c>
      <c r="I1230" t="s">
        <v>30</v>
      </c>
      <c r="J1230" t="s">
        <v>41</v>
      </c>
      <c r="K1230" t="s">
        <v>482</v>
      </c>
      <c r="Q1230">
        <v>0</v>
      </c>
      <c r="R1230">
        <v>0</v>
      </c>
      <c r="S1230">
        <v>0</v>
      </c>
      <c r="T1230" t="s">
        <v>5473</v>
      </c>
    </row>
    <row r="1231" spans="1:20" customFormat="1" ht="15" x14ac:dyDescent="0.25">
      <c r="A1231" t="s">
        <v>35</v>
      </c>
      <c r="B1231" t="s">
        <v>5469</v>
      </c>
      <c r="C1231" t="str">
        <f>"A0191092"</f>
        <v>A0191092</v>
      </c>
      <c r="D1231" t="s">
        <v>5474</v>
      </c>
      <c r="E1231" t="s">
        <v>5475</v>
      </c>
      <c r="F1231" t="s">
        <v>5476</v>
      </c>
      <c r="G1231" t="s">
        <v>52</v>
      </c>
      <c r="H1231">
        <v>76310</v>
      </c>
      <c r="I1231" t="s">
        <v>30</v>
      </c>
      <c r="J1231" t="s">
        <v>41</v>
      </c>
      <c r="K1231" t="s">
        <v>482</v>
      </c>
      <c r="Q1231">
        <v>0</v>
      </c>
      <c r="R1231">
        <v>0</v>
      </c>
      <c r="S1231">
        <v>0</v>
      </c>
      <c r="T1231" t="s">
        <v>5477</v>
      </c>
    </row>
    <row r="1232" spans="1:20" customFormat="1" ht="15" x14ac:dyDescent="0.25">
      <c r="A1232" t="s">
        <v>35</v>
      </c>
      <c r="B1232" t="s">
        <v>5469</v>
      </c>
      <c r="C1232" t="str">
        <f>"A0191091"</f>
        <v>A0191091</v>
      </c>
      <c r="D1232" t="s">
        <v>5478</v>
      </c>
      <c r="E1232" t="s">
        <v>5479</v>
      </c>
      <c r="F1232" t="s">
        <v>5480</v>
      </c>
      <c r="G1232" t="s">
        <v>144</v>
      </c>
      <c r="H1232">
        <v>58701</v>
      </c>
      <c r="I1232" t="s">
        <v>30</v>
      </c>
      <c r="J1232" t="s">
        <v>41</v>
      </c>
      <c r="K1232" t="s">
        <v>482</v>
      </c>
      <c r="Q1232">
        <v>0</v>
      </c>
      <c r="R1232">
        <v>0</v>
      </c>
      <c r="S1232">
        <v>0</v>
      </c>
      <c r="T1232" t="s">
        <v>5481</v>
      </c>
    </row>
    <row r="1233" spans="1:20" customFormat="1" ht="15" x14ac:dyDescent="0.25">
      <c r="A1233" t="s">
        <v>35</v>
      </c>
      <c r="B1233" t="s">
        <v>5469</v>
      </c>
      <c r="C1233" t="str">
        <f>"A0191090"</f>
        <v>A0191090</v>
      </c>
      <c r="D1233" t="s">
        <v>5482</v>
      </c>
      <c r="E1233" t="s">
        <v>5483</v>
      </c>
      <c r="F1233" t="s">
        <v>5484</v>
      </c>
      <c r="G1233" t="s">
        <v>99</v>
      </c>
      <c r="H1233">
        <v>14127</v>
      </c>
      <c r="I1233" t="s">
        <v>30</v>
      </c>
      <c r="J1233" t="s">
        <v>41</v>
      </c>
      <c r="K1233" t="s">
        <v>482</v>
      </c>
      <c r="Q1233">
        <v>0</v>
      </c>
      <c r="R1233">
        <v>0</v>
      </c>
      <c r="S1233">
        <v>0</v>
      </c>
      <c r="T1233" t="s">
        <v>5485</v>
      </c>
    </row>
    <row r="1234" spans="1:20" customFormat="1" ht="15" x14ac:dyDescent="0.25">
      <c r="A1234" t="s">
        <v>35</v>
      </c>
      <c r="B1234" t="s">
        <v>5469</v>
      </c>
      <c r="C1234" t="str">
        <f>"A0191089"</f>
        <v>A0191089</v>
      </c>
      <c r="D1234" t="s">
        <v>5486</v>
      </c>
      <c r="E1234" t="s">
        <v>5487</v>
      </c>
      <c r="F1234" t="s">
        <v>5488</v>
      </c>
      <c r="G1234" t="s">
        <v>81</v>
      </c>
      <c r="H1234">
        <v>34292</v>
      </c>
      <c r="I1234" t="s">
        <v>30</v>
      </c>
      <c r="J1234" t="s">
        <v>41</v>
      </c>
      <c r="K1234" t="s">
        <v>482</v>
      </c>
      <c r="Q1234">
        <v>0</v>
      </c>
      <c r="R1234">
        <v>0</v>
      </c>
      <c r="S1234">
        <v>0</v>
      </c>
      <c r="T1234" t="s">
        <v>5481</v>
      </c>
    </row>
    <row r="1235" spans="1:20" customFormat="1" ht="15" x14ac:dyDescent="0.25">
      <c r="A1235" t="s">
        <v>35</v>
      </c>
      <c r="B1235" t="s">
        <v>5469</v>
      </c>
      <c r="C1235" t="str">
        <f>"A0191088"</f>
        <v>A0191088</v>
      </c>
      <c r="D1235" t="s">
        <v>5489</v>
      </c>
      <c r="E1235" t="s">
        <v>5490</v>
      </c>
      <c r="F1235" t="s">
        <v>5491</v>
      </c>
      <c r="G1235" t="s">
        <v>507</v>
      </c>
      <c r="H1235">
        <v>26330</v>
      </c>
      <c r="I1235" t="s">
        <v>30</v>
      </c>
      <c r="J1235" t="s">
        <v>41</v>
      </c>
      <c r="K1235" t="s">
        <v>482</v>
      </c>
      <c r="Q1235">
        <v>0</v>
      </c>
      <c r="R1235">
        <v>0</v>
      </c>
      <c r="S1235">
        <v>0</v>
      </c>
      <c r="T1235" t="s">
        <v>5492</v>
      </c>
    </row>
    <row r="1236" spans="1:20" customFormat="1" ht="15" x14ac:dyDescent="0.25">
      <c r="A1236" t="s">
        <v>35</v>
      </c>
      <c r="B1236" t="s">
        <v>5469</v>
      </c>
      <c r="C1236" t="str">
        <f>"A0191087"</f>
        <v>A0191087</v>
      </c>
      <c r="D1236" t="s">
        <v>5493</v>
      </c>
      <c r="E1236" t="s">
        <v>5494</v>
      </c>
      <c r="F1236" t="s">
        <v>4037</v>
      </c>
      <c r="G1236" t="s">
        <v>40</v>
      </c>
      <c r="H1236">
        <v>73120</v>
      </c>
      <c r="I1236" t="s">
        <v>30</v>
      </c>
      <c r="J1236" t="s">
        <v>41</v>
      </c>
      <c r="K1236" t="s">
        <v>482</v>
      </c>
      <c r="Q1236">
        <v>0</v>
      </c>
      <c r="R1236">
        <v>0</v>
      </c>
      <c r="S1236">
        <v>0</v>
      </c>
      <c r="T1236" t="s">
        <v>5495</v>
      </c>
    </row>
    <row r="1237" spans="1:20" customFormat="1" ht="15" x14ac:dyDescent="0.25">
      <c r="A1237" t="s">
        <v>35</v>
      </c>
      <c r="B1237" t="s">
        <v>5469</v>
      </c>
      <c r="C1237" t="str">
        <f>"A0191086"</f>
        <v>A0191086</v>
      </c>
      <c r="D1237" t="s">
        <v>5496</v>
      </c>
      <c r="E1237" t="s">
        <v>5497</v>
      </c>
      <c r="F1237" t="s">
        <v>5498</v>
      </c>
      <c r="G1237" t="s">
        <v>81</v>
      </c>
      <c r="H1237">
        <v>33467</v>
      </c>
      <c r="I1237" t="s">
        <v>30</v>
      </c>
      <c r="J1237" t="s">
        <v>41</v>
      </c>
      <c r="K1237" t="s">
        <v>482</v>
      </c>
      <c r="Q1237">
        <v>0</v>
      </c>
      <c r="R1237">
        <v>0</v>
      </c>
      <c r="S1237">
        <v>0</v>
      </c>
      <c r="T1237" t="s">
        <v>5499</v>
      </c>
    </row>
    <row r="1238" spans="1:20" customFormat="1" ht="15" x14ac:dyDescent="0.25">
      <c r="A1238" t="s">
        <v>35</v>
      </c>
      <c r="B1238" t="s">
        <v>5469</v>
      </c>
      <c r="C1238" t="str">
        <f>"A0191085"</f>
        <v>A0191085</v>
      </c>
      <c r="D1238" t="s">
        <v>5500</v>
      </c>
      <c r="E1238" t="s">
        <v>5501</v>
      </c>
      <c r="F1238" t="s">
        <v>5502</v>
      </c>
      <c r="G1238" t="s">
        <v>81</v>
      </c>
      <c r="H1238">
        <v>33770</v>
      </c>
      <c r="I1238" t="s">
        <v>30</v>
      </c>
      <c r="J1238" t="s">
        <v>41</v>
      </c>
      <c r="K1238" t="s">
        <v>482</v>
      </c>
      <c r="Q1238">
        <v>0</v>
      </c>
      <c r="R1238">
        <v>0</v>
      </c>
      <c r="S1238">
        <v>0</v>
      </c>
      <c r="T1238" t="s">
        <v>5503</v>
      </c>
    </row>
    <row r="1239" spans="1:20" customFormat="1" ht="15" x14ac:dyDescent="0.25">
      <c r="A1239" t="s">
        <v>35</v>
      </c>
      <c r="B1239" t="s">
        <v>5469</v>
      </c>
      <c r="C1239" t="str">
        <f>"A0191084"</f>
        <v>A0191084</v>
      </c>
      <c r="D1239" t="s">
        <v>5504</v>
      </c>
      <c r="E1239" t="s">
        <v>5505</v>
      </c>
      <c r="F1239" t="s">
        <v>5506</v>
      </c>
      <c r="G1239" t="s">
        <v>289</v>
      </c>
      <c r="H1239">
        <v>60714</v>
      </c>
      <c r="I1239" t="s">
        <v>30</v>
      </c>
      <c r="J1239" t="s">
        <v>41</v>
      </c>
      <c r="K1239" t="s">
        <v>482</v>
      </c>
      <c r="Q1239">
        <v>0</v>
      </c>
      <c r="R1239">
        <v>0</v>
      </c>
      <c r="S1239">
        <v>0</v>
      </c>
      <c r="T1239" t="s">
        <v>5507</v>
      </c>
    </row>
    <row r="1240" spans="1:20" customFormat="1" ht="15" x14ac:dyDescent="0.25">
      <c r="A1240" t="s">
        <v>35</v>
      </c>
      <c r="B1240" t="s">
        <v>61</v>
      </c>
      <c r="C1240" t="str">
        <f>"A0191083"</f>
        <v>A0191083</v>
      </c>
      <c r="D1240" t="s">
        <v>5508</v>
      </c>
      <c r="E1240" t="s">
        <v>5509</v>
      </c>
      <c r="F1240" t="s">
        <v>5510</v>
      </c>
      <c r="G1240" t="s">
        <v>338</v>
      </c>
      <c r="H1240">
        <v>8089</v>
      </c>
      <c r="I1240" t="s">
        <v>30</v>
      </c>
      <c r="J1240" t="s">
        <v>41</v>
      </c>
      <c r="K1240" t="s">
        <v>59</v>
      </c>
      <c r="Q1240">
        <v>0</v>
      </c>
      <c r="R1240">
        <v>0</v>
      </c>
      <c r="S1240">
        <v>0</v>
      </c>
      <c r="T1240" t="s">
        <v>72</v>
      </c>
    </row>
    <row r="1241" spans="1:20" customFormat="1" ht="15" x14ac:dyDescent="0.25">
      <c r="A1241" t="s">
        <v>35</v>
      </c>
      <c r="B1241" t="s">
        <v>5511</v>
      </c>
      <c r="C1241" t="str">
        <f>"A0191082"</f>
        <v>A0191082</v>
      </c>
      <c r="D1241" t="s">
        <v>5512</v>
      </c>
      <c r="E1241" t="s">
        <v>5513</v>
      </c>
      <c r="F1241" t="s">
        <v>5514</v>
      </c>
      <c r="G1241" t="s">
        <v>433</v>
      </c>
      <c r="H1241">
        <v>83689</v>
      </c>
      <c r="I1241" t="s">
        <v>30</v>
      </c>
      <c r="J1241" t="s">
        <v>41</v>
      </c>
      <c r="K1241" t="s">
        <v>59</v>
      </c>
      <c r="Q1241">
        <v>0</v>
      </c>
      <c r="R1241">
        <v>0</v>
      </c>
      <c r="S1241">
        <v>100</v>
      </c>
      <c r="T1241" t="s">
        <v>5515</v>
      </c>
    </row>
    <row r="1242" spans="1:20" customFormat="1" ht="15" x14ac:dyDescent="0.25">
      <c r="A1242" t="s">
        <v>24</v>
      </c>
      <c r="B1242" t="s">
        <v>1317</v>
      </c>
      <c r="C1242" t="str">
        <f>"A0190326"</f>
        <v>A0190326</v>
      </c>
      <c r="D1242" t="s">
        <v>5516</v>
      </c>
      <c r="E1242" t="s">
        <v>5517</v>
      </c>
      <c r="F1242" t="s">
        <v>5518</v>
      </c>
      <c r="G1242" t="s">
        <v>110</v>
      </c>
      <c r="H1242">
        <v>91205</v>
      </c>
      <c r="I1242" t="s">
        <v>30</v>
      </c>
      <c r="J1242" t="s">
        <v>31</v>
      </c>
      <c r="K1242" t="s">
        <v>282</v>
      </c>
      <c r="N1242" t="s">
        <v>5519</v>
      </c>
      <c r="O1242" t="s">
        <v>1514</v>
      </c>
      <c r="Q1242">
        <v>0</v>
      </c>
      <c r="R1242">
        <v>134</v>
      </c>
      <c r="S1242">
        <v>0</v>
      </c>
      <c r="T1242" t="s">
        <v>4521</v>
      </c>
    </row>
    <row r="1243" spans="1:20" customFormat="1" ht="15" hidden="1" x14ac:dyDescent="0.25">
      <c r="A1243" t="s">
        <v>24</v>
      </c>
      <c r="B1243" t="s">
        <v>193</v>
      </c>
      <c r="C1243" t="str">
        <f>"A0076143"</f>
        <v>A0076143</v>
      </c>
      <c r="D1243" t="s">
        <v>5520</v>
      </c>
      <c r="E1243" t="s">
        <v>5521</v>
      </c>
      <c r="F1243" t="s">
        <v>5522</v>
      </c>
      <c r="G1243" t="s">
        <v>5424</v>
      </c>
      <c r="H1243">
        <v>77710</v>
      </c>
      <c r="I1243" t="s">
        <v>2408</v>
      </c>
      <c r="J1243" t="s">
        <v>178</v>
      </c>
      <c r="K1243" t="s">
        <v>179</v>
      </c>
      <c r="N1243" t="s">
        <v>5523</v>
      </c>
      <c r="P1243" t="s">
        <v>992</v>
      </c>
      <c r="Q1243">
        <v>1</v>
      </c>
      <c r="R1243">
        <v>0</v>
      </c>
      <c r="S1243">
        <v>0</v>
      </c>
      <c r="T1243" t="s">
        <v>5524</v>
      </c>
    </row>
    <row r="1244" spans="1:20" customFormat="1" ht="15" x14ac:dyDescent="0.25">
      <c r="A1244" t="s">
        <v>24</v>
      </c>
      <c r="B1244" t="s">
        <v>193</v>
      </c>
      <c r="C1244" t="str">
        <f>"A0155852"</f>
        <v>A0155852</v>
      </c>
      <c r="D1244" t="s">
        <v>5525</v>
      </c>
      <c r="E1244" t="s">
        <v>5526</v>
      </c>
      <c r="F1244" t="s">
        <v>5527</v>
      </c>
      <c r="G1244" t="s">
        <v>110</v>
      </c>
      <c r="H1244">
        <v>94585</v>
      </c>
      <c r="I1244" t="s">
        <v>30</v>
      </c>
      <c r="J1244" t="s">
        <v>31</v>
      </c>
      <c r="K1244" t="s">
        <v>198</v>
      </c>
      <c r="N1244" t="s">
        <v>5528</v>
      </c>
      <c r="Q1244">
        <v>0</v>
      </c>
      <c r="R1244">
        <v>102</v>
      </c>
      <c r="S1244">
        <v>0</v>
      </c>
      <c r="T1244" t="s">
        <v>5529</v>
      </c>
    </row>
    <row r="1245" spans="1:20" customFormat="1" ht="15" x14ac:dyDescent="0.25">
      <c r="A1245" t="s">
        <v>24</v>
      </c>
      <c r="B1245" t="s">
        <v>5530</v>
      </c>
      <c r="C1245" t="str">
        <f>"A0073613"</f>
        <v>A0073613</v>
      </c>
      <c r="D1245" t="s">
        <v>5531</v>
      </c>
      <c r="E1245" t="s">
        <v>5532</v>
      </c>
      <c r="F1245" t="s">
        <v>5533</v>
      </c>
      <c r="G1245" t="s">
        <v>846</v>
      </c>
      <c r="H1245">
        <v>31794</v>
      </c>
      <c r="I1245" t="s">
        <v>30</v>
      </c>
      <c r="J1245" t="s">
        <v>31</v>
      </c>
      <c r="K1245" t="s">
        <v>32</v>
      </c>
      <c r="N1245" t="s">
        <v>5534</v>
      </c>
      <c r="O1245" t="s">
        <v>5535</v>
      </c>
      <c r="Q1245">
        <v>0</v>
      </c>
      <c r="R1245">
        <v>81</v>
      </c>
      <c r="S1245">
        <v>0</v>
      </c>
      <c r="T1245" t="s">
        <v>5536</v>
      </c>
    </row>
    <row r="1246" spans="1:20" customFormat="1" ht="15" x14ac:dyDescent="0.25">
      <c r="A1246" t="s">
        <v>24</v>
      </c>
      <c r="B1246" t="s">
        <v>4366</v>
      </c>
      <c r="C1246" t="str">
        <f>"A0187938"</f>
        <v>A0187938</v>
      </c>
      <c r="D1246" t="s">
        <v>11577</v>
      </c>
      <c r="E1246" t="s">
        <v>11578</v>
      </c>
      <c r="F1246" t="s">
        <v>7449</v>
      </c>
      <c r="G1246" t="s">
        <v>197</v>
      </c>
      <c r="H1246">
        <v>85365</v>
      </c>
      <c r="I1246" t="s">
        <v>30</v>
      </c>
      <c r="J1246" t="s">
        <v>162</v>
      </c>
      <c r="K1246" t="s">
        <v>163</v>
      </c>
      <c r="N1246" t="s">
        <v>11557</v>
      </c>
      <c r="Q1246">
        <v>0</v>
      </c>
      <c r="R1246">
        <v>1000</v>
      </c>
      <c r="S1246">
        <v>0</v>
      </c>
      <c r="T1246" t="s">
        <v>9378</v>
      </c>
    </row>
    <row r="1247" spans="1:20" customFormat="1" ht="15" x14ac:dyDescent="0.25">
      <c r="A1247" t="s">
        <v>24</v>
      </c>
      <c r="B1247" t="s">
        <v>193</v>
      </c>
      <c r="C1247" t="str">
        <f>"A0067115"</f>
        <v>A0067115</v>
      </c>
      <c r="D1247" t="s">
        <v>11624</v>
      </c>
      <c r="E1247" t="s">
        <v>11625</v>
      </c>
      <c r="F1247" t="s">
        <v>1201</v>
      </c>
      <c r="G1247" t="s">
        <v>214</v>
      </c>
      <c r="H1247">
        <v>28405</v>
      </c>
      <c r="I1247" t="s">
        <v>30</v>
      </c>
      <c r="J1247" t="s">
        <v>162</v>
      </c>
      <c r="K1247" t="s">
        <v>854</v>
      </c>
      <c r="N1247" t="s">
        <v>11626</v>
      </c>
      <c r="Q1247">
        <v>0</v>
      </c>
      <c r="R1247">
        <v>124</v>
      </c>
      <c r="S1247">
        <v>0</v>
      </c>
      <c r="T1247" t="s">
        <v>11627</v>
      </c>
    </row>
    <row r="1248" spans="1:20" customFormat="1" ht="15" x14ac:dyDescent="0.25">
      <c r="A1248" t="s">
        <v>24</v>
      </c>
      <c r="B1248" t="s">
        <v>5104</v>
      </c>
      <c r="C1248" t="str">
        <f>"A0148602"</f>
        <v>A0148602</v>
      </c>
      <c r="D1248" t="s">
        <v>11635</v>
      </c>
      <c r="E1248" t="s">
        <v>11636</v>
      </c>
      <c r="F1248" t="s">
        <v>1622</v>
      </c>
      <c r="G1248" t="s">
        <v>29</v>
      </c>
      <c r="H1248">
        <v>22314</v>
      </c>
      <c r="I1248" t="s">
        <v>30</v>
      </c>
      <c r="J1248" t="s">
        <v>162</v>
      </c>
      <c r="K1248" t="s">
        <v>1845</v>
      </c>
      <c r="N1248" t="s">
        <v>11637</v>
      </c>
      <c r="O1248" t="s">
        <v>11638</v>
      </c>
      <c r="Q1248">
        <v>0</v>
      </c>
      <c r="R1248">
        <v>124</v>
      </c>
      <c r="S1248">
        <v>0</v>
      </c>
      <c r="T1248" t="s">
        <v>11639</v>
      </c>
    </row>
    <row r="1249" spans="1:25" customFormat="1" ht="15" x14ac:dyDescent="0.25">
      <c r="A1249" t="s">
        <v>35</v>
      </c>
      <c r="B1249" t="s">
        <v>61</v>
      </c>
      <c r="C1249" t="str">
        <f>"A0123790"</f>
        <v>A0123790</v>
      </c>
      <c r="D1249" t="s">
        <v>5554</v>
      </c>
      <c r="E1249" t="s">
        <v>5555</v>
      </c>
      <c r="F1249" t="s">
        <v>5556</v>
      </c>
      <c r="G1249" t="s">
        <v>214</v>
      </c>
      <c r="H1249">
        <v>27370</v>
      </c>
      <c r="I1249" t="s">
        <v>30</v>
      </c>
      <c r="J1249" t="s">
        <v>41</v>
      </c>
      <c r="K1249" t="s">
        <v>482</v>
      </c>
      <c r="Q1249">
        <v>0</v>
      </c>
      <c r="R1249">
        <v>55</v>
      </c>
      <c r="S1249">
        <v>55</v>
      </c>
      <c r="T1249" t="s">
        <v>5557</v>
      </c>
    </row>
    <row r="1250" spans="1:25" customFormat="1" ht="15" x14ac:dyDescent="0.25">
      <c r="A1250" t="s">
        <v>24</v>
      </c>
      <c r="B1250" t="s">
        <v>5558</v>
      </c>
      <c r="C1250" t="str">
        <f>"A0190401"</f>
        <v>A0190401</v>
      </c>
      <c r="D1250" t="s">
        <v>5559</v>
      </c>
      <c r="E1250" t="s">
        <v>5560</v>
      </c>
      <c r="F1250" t="s">
        <v>5561</v>
      </c>
      <c r="G1250" t="s">
        <v>197</v>
      </c>
      <c r="H1250">
        <v>86326</v>
      </c>
      <c r="I1250" t="s">
        <v>30</v>
      </c>
      <c r="J1250" t="s">
        <v>31</v>
      </c>
      <c r="K1250" t="s">
        <v>255</v>
      </c>
      <c r="N1250" t="s">
        <v>5562</v>
      </c>
      <c r="Q1250">
        <v>0</v>
      </c>
      <c r="R1250">
        <v>85</v>
      </c>
      <c r="S1250">
        <v>0</v>
      </c>
      <c r="T1250" t="s">
        <v>5563</v>
      </c>
    </row>
    <row r="1251" spans="1:25" customFormat="1" ht="15" x14ac:dyDescent="0.25">
      <c r="A1251" t="s">
        <v>24</v>
      </c>
      <c r="B1251" t="s">
        <v>1548</v>
      </c>
      <c r="C1251" t="str">
        <f>"337L4"</f>
        <v>337L4</v>
      </c>
      <c r="D1251" t="s">
        <v>12096</v>
      </c>
      <c r="E1251" t="s">
        <v>12097</v>
      </c>
      <c r="F1251" t="s">
        <v>12098</v>
      </c>
      <c r="G1251" t="s">
        <v>81</v>
      </c>
      <c r="H1251">
        <v>34996</v>
      </c>
      <c r="I1251" t="s">
        <v>30</v>
      </c>
      <c r="J1251" t="s">
        <v>162</v>
      </c>
      <c r="K1251" t="s">
        <v>1490</v>
      </c>
      <c r="N1251" t="s">
        <v>12099</v>
      </c>
      <c r="P1251" t="s">
        <v>3998</v>
      </c>
      <c r="Q1251">
        <v>1</v>
      </c>
      <c r="R1251">
        <v>299</v>
      </c>
      <c r="S1251">
        <v>0</v>
      </c>
      <c r="T1251" t="s">
        <v>12100</v>
      </c>
    </row>
    <row r="1252" spans="1:25" customFormat="1" ht="15" x14ac:dyDescent="0.25">
      <c r="A1252" t="s">
        <v>24</v>
      </c>
      <c r="B1252" t="s">
        <v>193</v>
      </c>
      <c r="C1252" t="str">
        <f>"A0058184"</f>
        <v>A0058184</v>
      </c>
      <c r="D1252" t="s">
        <v>5570</v>
      </c>
      <c r="E1252" t="s">
        <v>5571</v>
      </c>
      <c r="F1252" t="s">
        <v>5572</v>
      </c>
      <c r="G1252" t="s">
        <v>71</v>
      </c>
      <c r="H1252">
        <v>53545</v>
      </c>
      <c r="I1252" t="s">
        <v>30</v>
      </c>
      <c r="J1252" t="s">
        <v>145</v>
      </c>
      <c r="K1252" t="s">
        <v>763</v>
      </c>
      <c r="N1252" t="s">
        <v>5573</v>
      </c>
      <c r="Q1252">
        <v>0</v>
      </c>
      <c r="R1252">
        <v>50</v>
      </c>
      <c r="S1252">
        <v>0</v>
      </c>
      <c r="T1252" t="s">
        <v>5574</v>
      </c>
    </row>
    <row r="1253" spans="1:25" customFormat="1" ht="15" x14ac:dyDescent="0.25">
      <c r="A1253" t="s">
        <v>24</v>
      </c>
      <c r="B1253" t="s">
        <v>193</v>
      </c>
      <c r="C1253" t="str">
        <f>"A0055451"</f>
        <v>A0055451</v>
      </c>
      <c r="D1253" t="s">
        <v>5575</v>
      </c>
      <c r="E1253" t="s">
        <v>5576</v>
      </c>
      <c r="F1253" t="s">
        <v>5369</v>
      </c>
      <c r="G1253" t="s">
        <v>58</v>
      </c>
      <c r="H1253">
        <v>29401</v>
      </c>
      <c r="I1253" t="s">
        <v>30</v>
      </c>
      <c r="J1253" t="s">
        <v>145</v>
      </c>
      <c r="K1253" t="s">
        <v>1185</v>
      </c>
      <c r="N1253" t="s">
        <v>5577</v>
      </c>
      <c r="Q1253">
        <v>0</v>
      </c>
      <c r="R1253">
        <v>124</v>
      </c>
      <c r="S1253">
        <v>0</v>
      </c>
      <c r="T1253" t="s">
        <v>5578</v>
      </c>
    </row>
    <row r="1254" spans="1:25" x14ac:dyDescent="0.25">
      <c r="A1254" s="5" t="s">
        <v>24</v>
      </c>
      <c r="B1254" s="5" t="s">
        <v>1849</v>
      </c>
      <c r="C1254" s="5" t="str">
        <f>"34165"</f>
        <v>34165</v>
      </c>
      <c r="D1254" s="5" t="s">
        <v>12170</v>
      </c>
      <c r="E1254" s="5" t="s">
        <v>12171</v>
      </c>
      <c r="F1254" s="5" t="s">
        <v>12172</v>
      </c>
      <c r="G1254" s="5" t="s">
        <v>338</v>
      </c>
      <c r="H1254" s="5">
        <v>7663</v>
      </c>
      <c r="I1254" s="5" t="s">
        <v>30</v>
      </c>
      <c r="J1254" s="5" t="s">
        <v>162</v>
      </c>
      <c r="K1254" s="5" t="s">
        <v>1490</v>
      </c>
      <c r="L1254" s="5"/>
      <c r="M1254" s="5"/>
      <c r="N1254" s="5" t="s">
        <v>12173</v>
      </c>
      <c r="O1254" s="5" t="s">
        <v>12174</v>
      </c>
      <c r="P1254" s="5"/>
      <c r="Q1254" s="5">
        <v>0</v>
      </c>
      <c r="R1254" s="5">
        <v>221</v>
      </c>
      <c r="S1254" s="5">
        <v>0</v>
      </c>
      <c r="T1254" s="5" t="s">
        <v>12175</v>
      </c>
      <c r="U1254" s="5"/>
      <c r="V1254" s="5"/>
      <c r="W1254" s="5"/>
      <c r="X1254" s="5"/>
      <c r="Y1254" s="5"/>
    </row>
    <row r="1255" spans="1:25" customFormat="1" ht="15" x14ac:dyDescent="0.25">
      <c r="A1255" t="s">
        <v>24</v>
      </c>
      <c r="B1255" t="s">
        <v>7928</v>
      </c>
      <c r="C1255" t="str">
        <f>"A0095300"</f>
        <v>A0095300</v>
      </c>
      <c r="D1255" t="s">
        <v>12352</v>
      </c>
      <c r="E1255" t="s">
        <v>12353</v>
      </c>
      <c r="F1255" t="s">
        <v>2576</v>
      </c>
      <c r="G1255" t="s">
        <v>338</v>
      </c>
      <c r="H1255">
        <v>8054</v>
      </c>
      <c r="I1255" t="s">
        <v>30</v>
      </c>
      <c r="J1255" t="s">
        <v>162</v>
      </c>
      <c r="K1255" t="s">
        <v>759</v>
      </c>
      <c r="N1255" t="s">
        <v>12354</v>
      </c>
      <c r="Q1255">
        <v>0</v>
      </c>
      <c r="R1255">
        <v>204</v>
      </c>
      <c r="S1255">
        <v>0</v>
      </c>
      <c r="T1255" t="s">
        <v>12355</v>
      </c>
    </row>
    <row r="1256" spans="1:25" customFormat="1" ht="15" x14ac:dyDescent="0.25">
      <c r="A1256" t="s">
        <v>24</v>
      </c>
      <c r="B1256" t="s">
        <v>5589</v>
      </c>
      <c r="C1256" t="str">
        <f>"A0151638"</f>
        <v>A0151638</v>
      </c>
      <c r="D1256" t="s">
        <v>5590</v>
      </c>
      <c r="E1256" t="s">
        <v>5591</v>
      </c>
      <c r="F1256" t="s">
        <v>2014</v>
      </c>
      <c r="G1256" t="s">
        <v>197</v>
      </c>
      <c r="H1256">
        <v>85257</v>
      </c>
      <c r="I1256" t="s">
        <v>30</v>
      </c>
      <c r="J1256" t="s">
        <v>31</v>
      </c>
      <c r="K1256" t="s">
        <v>1890</v>
      </c>
      <c r="N1256" t="s">
        <v>5592</v>
      </c>
      <c r="O1256" t="s">
        <v>5593</v>
      </c>
      <c r="Q1256">
        <v>0</v>
      </c>
      <c r="R1256">
        <v>157</v>
      </c>
      <c r="S1256">
        <v>0</v>
      </c>
      <c r="T1256" t="s">
        <v>5594</v>
      </c>
    </row>
    <row r="1257" spans="1:25" customFormat="1" ht="15" x14ac:dyDescent="0.25">
      <c r="A1257" t="s">
        <v>24</v>
      </c>
      <c r="B1257" t="s">
        <v>193</v>
      </c>
      <c r="C1257" t="str">
        <f>"A0136998"</f>
        <v>A0136998</v>
      </c>
      <c r="D1257" t="s">
        <v>12519</v>
      </c>
      <c r="E1257" t="s">
        <v>12520</v>
      </c>
      <c r="F1257" t="s">
        <v>8169</v>
      </c>
      <c r="G1257" t="s">
        <v>110</v>
      </c>
      <c r="H1257">
        <v>94025</v>
      </c>
      <c r="I1257" t="s">
        <v>30</v>
      </c>
      <c r="J1257" t="s">
        <v>162</v>
      </c>
      <c r="K1257" t="s">
        <v>163</v>
      </c>
      <c r="Q1257">
        <v>0</v>
      </c>
      <c r="R1257">
        <v>61</v>
      </c>
      <c r="S1257">
        <v>0</v>
      </c>
      <c r="T1257" t="s">
        <v>12521</v>
      </c>
    </row>
    <row r="1258" spans="1:25" customFormat="1" ht="15" x14ac:dyDescent="0.25">
      <c r="A1258" t="s">
        <v>24</v>
      </c>
      <c r="B1258" t="s">
        <v>193</v>
      </c>
      <c r="C1258" t="str">
        <f>"A0062410"</f>
        <v>A0062410</v>
      </c>
      <c r="D1258" t="s">
        <v>12567</v>
      </c>
      <c r="E1258" t="s">
        <v>12568</v>
      </c>
      <c r="F1258" t="s">
        <v>12569</v>
      </c>
      <c r="G1258" t="s">
        <v>99</v>
      </c>
      <c r="H1258">
        <v>10591</v>
      </c>
      <c r="I1258" t="s">
        <v>30</v>
      </c>
      <c r="J1258" t="s">
        <v>162</v>
      </c>
      <c r="K1258" t="s">
        <v>163</v>
      </c>
      <c r="N1258" t="s">
        <v>12570</v>
      </c>
      <c r="O1258" t="s">
        <v>12571</v>
      </c>
      <c r="Q1258">
        <v>0</v>
      </c>
      <c r="R1258">
        <v>212</v>
      </c>
      <c r="S1258">
        <v>0</v>
      </c>
      <c r="T1258" t="s">
        <v>12572</v>
      </c>
    </row>
    <row r="1259" spans="1:25" customFormat="1" ht="15" x14ac:dyDescent="0.25">
      <c r="A1259" t="s">
        <v>24</v>
      </c>
      <c r="B1259" t="s">
        <v>5166</v>
      </c>
      <c r="C1259" t="str">
        <f>"A0187930"</f>
        <v>A0187930</v>
      </c>
      <c r="D1259" t="s">
        <v>12611</v>
      </c>
      <c r="E1259" t="s">
        <v>12612</v>
      </c>
      <c r="F1259" t="s">
        <v>12609</v>
      </c>
      <c r="G1259" t="s">
        <v>338</v>
      </c>
      <c r="H1259">
        <v>7712</v>
      </c>
      <c r="I1259" t="s">
        <v>30</v>
      </c>
      <c r="J1259" t="s">
        <v>162</v>
      </c>
      <c r="K1259" t="s">
        <v>163</v>
      </c>
      <c r="N1259" t="s">
        <v>12613</v>
      </c>
      <c r="Q1259">
        <v>0</v>
      </c>
      <c r="R1259">
        <v>55</v>
      </c>
      <c r="S1259">
        <v>0</v>
      </c>
      <c r="T1259" t="s">
        <v>12614</v>
      </c>
    </row>
    <row r="1260" spans="1:25" customFormat="1" ht="15" x14ac:dyDescent="0.25">
      <c r="A1260" t="s">
        <v>24</v>
      </c>
      <c r="B1260" t="s">
        <v>1317</v>
      </c>
      <c r="C1260" t="str">
        <f>"A0191019"</f>
        <v>A0191019</v>
      </c>
      <c r="D1260" t="s">
        <v>5608</v>
      </c>
      <c r="E1260" t="s">
        <v>5609</v>
      </c>
      <c r="F1260" t="s">
        <v>5610</v>
      </c>
      <c r="G1260" t="s">
        <v>117</v>
      </c>
      <c r="H1260">
        <v>48162</v>
      </c>
      <c r="I1260" t="s">
        <v>30</v>
      </c>
      <c r="J1260" t="s">
        <v>31</v>
      </c>
      <c r="K1260" t="s">
        <v>198</v>
      </c>
      <c r="N1260" t="s">
        <v>5611</v>
      </c>
      <c r="Q1260">
        <v>0</v>
      </c>
      <c r="R1260">
        <v>74</v>
      </c>
      <c r="S1260">
        <v>0</v>
      </c>
      <c r="T1260" t="s">
        <v>5612</v>
      </c>
    </row>
    <row r="1261" spans="1:25" customFormat="1" ht="15" x14ac:dyDescent="0.25">
      <c r="A1261" t="s">
        <v>24</v>
      </c>
      <c r="B1261" t="s">
        <v>1849</v>
      </c>
      <c r="C1261" t="str">
        <f>"A0166092"</f>
        <v>A0166092</v>
      </c>
      <c r="D1261" t="s">
        <v>5613</v>
      </c>
      <c r="E1261" t="s">
        <v>5614</v>
      </c>
      <c r="F1261" t="s">
        <v>5615</v>
      </c>
      <c r="G1261" t="s">
        <v>117</v>
      </c>
      <c r="H1261">
        <v>48174</v>
      </c>
      <c r="I1261" t="s">
        <v>30</v>
      </c>
      <c r="J1261" t="s">
        <v>31</v>
      </c>
      <c r="K1261" t="s">
        <v>321</v>
      </c>
      <c r="N1261" t="s">
        <v>5616</v>
      </c>
      <c r="Q1261">
        <v>0</v>
      </c>
      <c r="R1261">
        <v>128</v>
      </c>
      <c r="S1261">
        <v>0</v>
      </c>
      <c r="T1261" t="s">
        <v>5617</v>
      </c>
    </row>
    <row r="1262" spans="1:25" customFormat="1" ht="15" x14ac:dyDescent="0.25">
      <c r="A1262" t="s">
        <v>24</v>
      </c>
      <c r="B1262" t="s">
        <v>5166</v>
      </c>
      <c r="C1262" t="str">
        <f>"A0149476"</f>
        <v>A0149476</v>
      </c>
      <c r="D1262" t="s">
        <v>12615</v>
      </c>
      <c r="E1262" t="s">
        <v>12616</v>
      </c>
      <c r="F1262" t="s">
        <v>12609</v>
      </c>
      <c r="G1262" t="s">
        <v>338</v>
      </c>
      <c r="H1262">
        <v>7712</v>
      </c>
      <c r="I1262" t="s">
        <v>30</v>
      </c>
      <c r="J1262" t="s">
        <v>162</v>
      </c>
      <c r="K1262" t="s">
        <v>163</v>
      </c>
      <c r="Q1262">
        <v>0</v>
      </c>
      <c r="R1262">
        <v>110</v>
      </c>
      <c r="S1262">
        <v>0</v>
      </c>
      <c r="T1262" t="s">
        <v>12610</v>
      </c>
    </row>
    <row r="1263" spans="1:25" customFormat="1" ht="15" x14ac:dyDescent="0.25">
      <c r="A1263" t="s">
        <v>35</v>
      </c>
      <c r="B1263" t="s">
        <v>225</v>
      </c>
      <c r="C1263" t="str">
        <f>"A0187251"</f>
        <v>A0187251</v>
      </c>
      <c r="D1263" t="s">
        <v>5623</v>
      </c>
      <c r="E1263" t="s">
        <v>5624</v>
      </c>
      <c r="F1263" t="s">
        <v>3009</v>
      </c>
      <c r="G1263" t="s">
        <v>103</v>
      </c>
      <c r="H1263">
        <v>17601</v>
      </c>
      <c r="I1263" t="s">
        <v>30</v>
      </c>
      <c r="J1263" t="s">
        <v>41</v>
      </c>
      <c r="K1263" t="s">
        <v>229</v>
      </c>
      <c r="Q1263">
        <v>0</v>
      </c>
      <c r="R1263">
        <v>0</v>
      </c>
      <c r="S1263">
        <v>240</v>
      </c>
      <c r="T1263" t="s">
        <v>5625</v>
      </c>
    </row>
    <row r="1264" spans="1:25" customFormat="1" ht="15" x14ac:dyDescent="0.25">
      <c r="A1264" t="s">
        <v>35</v>
      </c>
      <c r="B1264" t="s">
        <v>225</v>
      </c>
      <c r="C1264" t="str">
        <f>"A0187250"</f>
        <v>A0187250</v>
      </c>
      <c r="D1264" t="s">
        <v>5626</v>
      </c>
      <c r="E1264" t="s">
        <v>5627</v>
      </c>
      <c r="F1264" t="s">
        <v>3002</v>
      </c>
      <c r="G1264" t="s">
        <v>103</v>
      </c>
      <c r="H1264">
        <v>17331</v>
      </c>
      <c r="I1264" t="s">
        <v>30</v>
      </c>
      <c r="J1264" t="s">
        <v>41</v>
      </c>
      <c r="K1264" t="s">
        <v>229</v>
      </c>
      <c r="Q1264">
        <v>0</v>
      </c>
      <c r="R1264">
        <v>0</v>
      </c>
      <c r="S1264">
        <v>152</v>
      </c>
      <c r="T1264" t="s">
        <v>5628</v>
      </c>
    </row>
    <row r="1265" spans="1:25" customFormat="1" ht="15" x14ac:dyDescent="0.25">
      <c r="A1265" t="s">
        <v>24</v>
      </c>
      <c r="B1265" t="s">
        <v>12732</v>
      </c>
      <c r="C1265" t="str">
        <f>"A0187898"</f>
        <v>A0187898</v>
      </c>
      <c r="D1265" t="s">
        <v>12733</v>
      </c>
      <c r="E1265" t="s">
        <v>12734</v>
      </c>
      <c r="F1265" t="s">
        <v>11631</v>
      </c>
      <c r="G1265" t="s">
        <v>110</v>
      </c>
      <c r="H1265">
        <v>94043</v>
      </c>
      <c r="I1265" t="s">
        <v>30</v>
      </c>
      <c r="J1265" t="s">
        <v>162</v>
      </c>
      <c r="K1265" t="s">
        <v>163</v>
      </c>
      <c r="N1265" t="s">
        <v>12735</v>
      </c>
      <c r="Q1265">
        <v>0</v>
      </c>
      <c r="R1265">
        <v>200</v>
      </c>
      <c r="S1265">
        <v>0</v>
      </c>
      <c r="T1265" t="s">
        <v>12736</v>
      </c>
    </row>
    <row r="1266" spans="1:25" customFormat="1" ht="15" x14ac:dyDescent="0.25">
      <c r="A1266" t="s">
        <v>24</v>
      </c>
      <c r="B1266" t="s">
        <v>2812</v>
      </c>
      <c r="C1266" t="str">
        <f>"A0187594"</f>
        <v>A0187594</v>
      </c>
      <c r="D1266" t="s">
        <v>12762</v>
      </c>
      <c r="E1266" t="s">
        <v>12763</v>
      </c>
      <c r="F1266" t="s">
        <v>3041</v>
      </c>
      <c r="G1266" t="s">
        <v>840</v>
      </c>
      <c r="H1266">
        <v>40509</v>
      </c>
      <c r="I1266" t="s">
        <v>30</v>
      </c>
      <c r="J1266" t="s">
        <v>162</v>
      </c>
      <c r="K1266" t="s">
        <v>163</v>
      </c>
      <c r="N1266" t="s">
        <v>12764</v>
      </c>
      <c r="Q1266">
        <v>0</v>
      </c>
      <c r="R1266">
        <v>62</v>
      </c>
      <c r="S1266">
        <v>0</v>
      </c>
      <c r="T1266" t="s">
        <v>12765</v>
      </c>
    </row>
    <row r="1267" spans="1:25" customFormat="1" ht="15" x14ac:dyDescent="0.25">
      <c r="A1267" t="s">
        <v>35</v>
      </c>
      <c r="B1267" t="s">
        <v>61</v>
      </c>
      <c r="C1267" t="str">
        <f>"A0119085"</f>
        <v>A0119085</v>
      </c>
      <c r="D1267" t="s">
        <v>5638</v>
      </c>
      <c r="E1267" t="s">
        <v>5639</v>
      </c>
      <c r="F1267" t="s">
        <v>4288</v>
      </c>
      <c r="G1267" t="s">
        <v>110</v>
      </c>
      <c r="H1267">
        <v>92518</v>
      </c>
      <c r="I1267" t="s">
        <v>30</v>
      </c>
      <c r="J1267" t="s">
        <v>41</v>
      </c>
      <c r="K1267" t="s">
        <v>229</v>
      </c>
      <c r="Q1267">
        <v>0</v>
      </c>
      <c r="R1267">
        <v>59</v>
      </c>
      <c r="S1267">
        <v>59</v>
      </c>
      <c r="T1267" t="s">
        <v>72</v>
      </c>
    </row>
    <row r="1268" spans="1:25" customFormat="1" ht="15" x14ac:dyDescent="0.25">
      <c r="A1268" t="s">
        <v>35</v>
      </c>
      <c r="B1268" t="s">
        <v>5640</v>
      </c>
      <c r="C1268" t="str">
        <f>"A0156902"</f>
        <v>A0156902</v>
      </c>
      <c r="D1268" t="s">
        <v>5641</v>
      </c>
      <c r="E1268" t="s">
        <v>5642</v>
      </c>
      <c r="F1268" t="s">
        <v>4108</v>
      </c>
      <c r="G1268" t="s">
        <v>29</v>
      </c>
      <c r="H1268">
        <v>24018</v>
      </c>
      <c r="I1268" t="s">
        <v>30</v>
      </c>
      <c r="J1268" t="s">
        <v>41</v>
      </c>
      <c r="K1268" t="s">
        <v>229</v>
      </c>
      <c r="Q1268">
        <v>0</v>
      </c>
      <c r="R1268">
        <v>0</v>
      </c>
      <c r="S1268">
        <v>0</v>
      </c>
      <c r="T1268" t="s">
        <v>5643</v>
      </c>
    </row>
    <row r="1269" spans="1:25" customFormat="1" ht="15" x14ac:dyDescent="0.25">
      <c r="A1269" t="s">
        <v>35</v>
      </c>
      <c r="B1269" t="s">
        <v>61</v>
      </c>
      <c r="C1269" t="str">
        <f>"A0127023"</f>
        <v>A0127023</v>
      </c>
      <c r="D1269" t="s">
        <v>5644</v>
      </c>
      <c r="E1269" t="s">
        <v>5645</v>
      </c>
      <c r="F1269" t="s">
        <v>5646</v>
      </c>
      <c r="G1269" t="s">
        <v>71</v>
      </c>
      <c r="H1269">
        <v>53811</v>
      </c>
      <c r="I1269" t="s">
        <v>30</v>
      </c>
      <c r="J1269" t="s">
        <v>41</v>
      </c>
      <c r="K1269" t="s">
        <v>229</v>
      </c>
      <c r="Q1269">
        <v>0</v>
      </c>
      <c r="R1269">
        <v>62</v>
      </c>
      <c r="S1269">
        <v>62</v>
      </c>
      <c r="T1269" t="s">
        <v>5647</v>
      </c>
    </row>
    <row r="1270" spans="1:25" x14ac:dyDescent="0.25">
      <c r="A1270" s="5" t="s">
        <v>24</v>
      </c>
      <c r="B1270" s="5" t="s">
        <v>8815</v>
      </c>
      <c r="C1270" s="5" t="str">
        <f>"HY09582"</f>
        <v>HY09582</v>
      </c>
      <c r="D1270" s="5" t="s">
        <v>12809</v>
      </c>
      <c r="E1270" s="5" t="s">
        <v>12810</v>
      </c>
      <c r="F1270" s="5" t="s">
        <v>12811</v>
      </c>
      <c r="G1270" s="5" t="s">
        <v>29</v>
      </c>
      <c r="H1270" s="5">
        <v>22033</v>
      </c>
      <c r="I1270" s="5" t="s">
        <v>30</v>
      </c>
      <c r="J1270" s="5" t="s">
        <v>162</v>
      </c>
      <c r="K1270" s="5" t="s">
        <v>4809</v>
      </c>
      <c r="L1270" s="5"/>
      <c r="M1270" s="5"/>
      <c r="N1270" s="5" t="s">
        <v>12812</v>
      </c>
      <c r="O1270" s="5"/>
      <c r="P1270" s="5"/>
      <c r="Q1270" s="5">
        <v>0</v>
      </c>
      <c r="R1270" s="5">
        <v>316</v>
      </c>
      <c r="S1270" s="5">
        <v>0</v>
      </c>
      <c r="T1270" s="5" t="s">
        <v>12813</v>
      </c>
      <c r="U1270" s="5"/>
      <c r="V1270" s="5"/>
      <c r="W1270" s="5"/>
      <c r="X1270" s="5"/>
      <c r="Y1270" s="5"/>
    </row>
    <row r="1271" spans="1:25" x14ac:dyDescent="0.25">
      <c r="A1271" s="5" t="s">
        <v>24</v>
      </c>
      <c r="B1271" s="5" t="s">
        <v>1288</v>
      </c>
      <c r="C1271" s="5" t="str">
        <f>"A0073390"</f>
        <v>A0073390</v>
      </c>
      <c r="D1271" s="5" t="s">
        <v>12832</v>
      </c>
      <c r="E1271" s="5" t="s">
        <v>12833</v>
      </c>
      <c r="F1271" s="5" t="s">
        <v>1564</v>
      </c>
      <c r="G1271" s="5" t="s">
        <v>52</v>
      </c>
      <c r="H1271" s="5">
        <v>77032</v>
      </c>
      <c r="I1271" s="5" t="s">
        <v>30</v>
      </c>
      <c r="J1271" s="5" t="s">
        <v>162</v>
      </c>
      <c r="K1271" s="5" t="s">
        <v>1502</v>
      </c>
      <c r="L1271" s="5"/>
      <c r="M1271" s="5"/>
      <c r="N1271" s="5"/>
      <c r="O1271" s="5"/>
      <c r="P1271" s="5"/>
      <c r="Q1271" s="5">
        <v>0</v>
      </c>
      <c r="R1271" s="5">
        <v>420</v>
      </c>
      <c r="S1271" s="5">
        <v>0</v>
      </c>
      <c r="T1271" s="5" t="s">
        <v>12834</v>
      </c>
      <c r="U1271" s="5"/>
      <c r="V1271" s="5"/>
      <c r="W1271" s="5"/>
      <c r="X1271" s="5"/>
      <c r="Y1271" s="5"/>
    </row>
    <row r="1272" spans="1:25" customFormat="1" ht="15" x14ac:dyDescent="0.25">
      <c r="A1272" t="s">
        <v>24</v>
      </c>
      <c r="B1272" t="s">
        <v>3151</v>
      </c>
      <c r="C1272" t="str">
        <f>"A0099043"</f>
        <v>A0099043</v>
      </c>
      <c r="D1272" t="s">
        <v>5661</v>
      </c>
      <c r="E1272" t="s">
        <v>5662</v>
      </c>
      <c r="F1272" t="s">
        <v>5663</v>
      </c>
      <c r="G1272" t="s">
        <v>52</v>
      </c>
      <c r="H1272">
        <v>77521</v>
      </c>
      <c r="I1272" t="s">
        <v>30</v>
      </c>
      <c r="J1272" t="s">
        <v>31</v>
      </c>
      <c r="K1272" t="s">
        <v>261</v>
      </c>
      <c r="N1272" t="s">
        <v>5664</v>
      </c>
      <c r="Q1272">
        <v>0</v>
      </c>
      <c r="R1272">
        <v>96</v>
      </c>
      <c r="S1272">
        <v>0</v>
      </c>
      <c r="T1272" t="s">
        <v>5665</v>
      </c>
    </row>
    <row r="1273" spans="1:25" customFormat="1" ht="15" x14ac:dyDescent="0.25">
      <c r="A1273" t="s">
        <v>35</v>
      </c>
      <c r="B1273" t="s">
        <v>5666</v>
      </c>
      <c r="C1273" t="str">
        <f>"A0128204"</f>
        <v>A0128204</v>
      </c>
      <c r="D1273" t="s">
        <v>5667</v>
      </c>
      <c r="E1273" t="s">
        <v>5668</v>
      </c>
      <c r="F1273" t="s">
        <v>5669</v>
      </c>
      <c r="G1273" t="s">
        <v>117</v>
      </c>
      <c r="H1273">
        <v>48126</v>
      </c>
      <c r="I1273" t="s">
        <v>30</v>
      </c>
      <c r="J1273" t="s">
        <v>41</v>
      </c>
      <c r="K1273" t="s">
        <v>229</v>
      </c>
      <c r="Q1273">
        <v>0</v>
      </c>
      <c r="R1273">
        <v>200</v>
      </c>
      <c r="S1273">
        <v>200</v>
      </c>
      <c r="T1273" t="s">
        <v>5670</v>
      </c>
    </row>
    <row r="1274" spans="1:25" customFormat="1" ht="15" x14ac:dyDescent="0.25">
      <c r="A1274" t="s">
        <v>35</v>
      </c>
      <c r="B1274" t="s">
        <v>5666</v>
      </c>
      <c r="C1274" t="str">
        <f>"A0128205"</f>
        <v>A0128205</v>
      </c>
      <c r="D1274" t="s">
        <v>5671</v>
      </c>
      <c r="E1274" t="s">
        <v>5668</v>
      </c>
      <c r="F1274" t="s">
        <v>5669</v>
      </c>
      <c r="G1274" t="s">
        <v>117</v>
      </c>
      <c r="H1274">
        <v>48126</v>
      </c>
      <c r="I1274" t="s">
        <v>30</v>
      </c>
      <c r="J1274" t="s">
        <v>41</v>
      </c>
      <c r="K1274" t="s">
        <v>59</v>
      </c>
      <c r="Q1274">
        <v>0</v>
      </c>
      <c r="R1274">
        <v>350</v>
      </c>
      <c r="S1274">
        <v>350</v>
      </c>
      <c r="T1274" t="s">
        <v>5670</v>
      </c>
    </row>
    <row r="1275" spans="1:25" customFormat="1" ht="15" x14ac:dyDescent="0.25">
      <c r="A1275" t="s">
        <v>35</v>
      </c>
      <c r="B1275" t="s">
        <v>61</v>
      </c>
      <c r="C1275" t="str">
        <f>"A0132665"</f>
        <v>A0132665</v>
      </c>
      <c r="D1275" t="s">
        <v>5672</v>
      </c>
      <c r="E1275" t="s">
        <v>5673</v>
      </c>
      <c r="F1275" t="s">
        <v>2307</v>
      </c>
      <c r="G1275" t="s">
        <v>65</v>
      </c>
      <c r="H1275">
        <v>44112</v>
      </c>
      <c r="I1275" t="s">
        <v>30</v>
      </c>
      <c r="J1275" t="s">
        <v>41</v>
      </c>
      <c r="K1275" t="s">
        <v>229</v>
      </c>
      <c r="Q1275">
        <v>0</v>
      </c>
      <c r="R1275">
        <v>149</v>
      </c>
      <c r="S1275">
        <v>149</v>
      </c>
      <c r="T1275" t="s">
        <v>5674</v>
      </c>
    </row>
    <row r="1276" spans="1:25" customFormat="1" ht="15" x14ac:dyDescent="0.25">
      <c r="A1276" t="s">
        <v>35</v>
      </c>
      <c r="B1276" t="s">
        <v>5666</v>
      </c>
      <c r="C1276" t="str">
        <f>"A0128206"</f>
        <v>A0128206</v>
      </c>
      <c r="D1276" t="s">
        <v>5675</v>
      </c>
      <c r="E1276" t="s">
        <v>5668</v>
      </c>
      <c r="F1276" t="s">
        <v>5669</v>
      </c>
      <c r="G1276" t="s">
        <v>117</v>
      </c>
      <c r="H1276">
        <v>48126</v>
      </c>
      <c r="I1276" t="s">
        <v>30</v>
      </c>
      <c r="J1276" t="s">
        <v>41</v>
      </c>
      <c r="K1276" t="s">
        <v>59</v>
      </c>
      <c r="Q1276">
        <v>0</v>
      </c>
      <c r="R1276">
        <v>500</v>
      </c>
      <c r="S1276">
        <v>500</v>
      </c>
      <c r="T1276" t="s">
        <v>5670</v>
      </c>
    </row>
    <row r="1277" spans="1:25" customFormat="1" ht="15" x14ac:dyDescent="0.25">
      <c r="A1277" t="s">
        <v>35</v>
      </c>
      <c r="B1277" t="s">
        <v>5676</v>
      </c>
      <c r="C1277" t="str">
        <f>"A0129159"</f>
        <v>A0129159</v>
      </c>
      <c r="D1277" t="s">
        <v>5677</v>
      </c>
      <c r="E1277" t="s">
        <v>5678</v>
      </c>
      <c r="F1277" t="s">
        <v>5679</v>
      </c>
      <c r="G1277" t="s">
        <v>289</v>
      </c>
      <c r="H1277">
        <v>60115</v>
      </c>
      <c r="I1277" t="s">
        <v>30</v>
      </c>
      <c r="J1277" t="s">
        <v>41</v>
      </c>
      <c r="K1277" t="s">
        <v>229</v>
      </c>
      <c r="Q1277">
        <v>0</v>
      </c>
      <c r="R1277">
        <v>124</v>
      </c>
      <c r="S1277">
        <v>124</v>
      </c>
      <c r="T1277" t="s">
        <v>5680</v>
      </c>
    </row>
    <row r="1278" spans="1:25" customFormat="1" ht="15" x14ac:dyDescent="0.25">
      <c r="A1278" t="s">
        <v>35</v>
      </c>
      <c r="B1278" t="s">
        <v>5681</v>
      </c>
      <c r="C1278" t="str">
        <f>"A0118636"</f>
        <v>A0118636</v>
      </c>
      <c r="D1278" t="s">
        <v>5682</v>
      </c>
      <c r="E1278" t="s">
        <v>5683</v>
      </c>
      <c r="F1278" t="s">
        <v>5684</v>
      </c>
      <c r="G1278" t="s">
        <v>110</v>
      </c>
      <c r="H1278">
        <v>92870</v>
      </c>
      <c r="I1278" t="s">
        <v>30</v>
      </c>
      <c r="J1278" t="s">
        <v>41</v>
      </c>
      <c r="K1278" t="s">
        <v>59</v>
      </c>
      <c r="Q1278">
        <v>0</v>
      </c>
      <c r="R1278">
        <v>58</v>
      </c>
      <c r="S1278">
        <v>58</v>
      </c>
      <c r="T1278" t="s">
        <v>5685</v>
      </c>
    </row>
    <row r="1279" spans="1:25" customFormat="1" ht="15" x14ac:dyDescent="0.25">
      <c r="A1279" t="s">
        <v>35</v>
      </c>
      <c r="B1279" t="s">
        <v>5469</v>
      </c>
      <c r="C1279" t="str">
        <f>"A0132007"</f>
        <v>A0132007</v>
      </c>
      <c r="D1279" t="s">
        <v>5686</v>
      </c>
      <c r="E1279" t="s">
        <v>5687</v>
      </c>
      <c r="F1279" t="s">
        <v>5688</v>
      </c>
      <c r="G1279" t="s">
        <v>65</v>
      </c>
      <c r="H1279">
        <v>45750</v>
      </c>
      <c r="I1279" t="s">
        <v>30</v>
      </c>
      <c r="J1279" t="s">
        <v>41</v>
      </c>
      <c r="K1279" t="s">
        <v>59</v>
      </c>
      <c r="Q1279">
        <v>0</v>
      </c>
      <c r="R1279">
        <v>99</v>
      </c>
      <c r="S1279">
        <v>99</v>
      </c>
      <c r="T1279" t="s">
        <v>5689</v>
      </c>
    </row>
    <row r="1280" spans="1:25" customFormat="1" ht="15" x14ac:dyDescent="0.25">
      <c r="A1280" t="s">
        <v>35</v>
      </c>
      <c r="B1280" t="s">
        <v>5690</v>
      </c>
      <c r="C1280" t="str">
        <f>"A0126247"</f>
        <v>A0126247</v>
      </c>
      <c r="D1280" t="s">
        <v>5691</v>
      </c>
      <c r="E1280" t="s">
        <v>5692</v>
      </c>
      <c r="F1280" t="s">
        <v>5693</v>
      </c>
      <c r="G1280" t="s">
        <v>81</v>
      </c>
      <c r="H1280">
        <v>32114</v>
      </c>
      <c r="I1280" t="s">
        <v>30</v>
      </c>
      <c r="J1280" t="s">
        <v>41</v>
      </c>
      <c r="K1280" t="s">
        <v>229</v>
      </c>
      <c r="Q1280">
        <v>0</v>
      </c>
      <c r="R1280">
        <v>212</v>
      </c>
      <c r="S1280">
        <v>173</v>
      </c>
      <c r="T1280" t="s">
        <v>5694</v>
      </c>
    </row>
    <row r="1281" spans="1:25" customFormat="1" ht="15" x14ac:dyDescent="0.25">
      <c r="A1281" t="s">
        <v>35</v>
      </c>
      <c r="B1281" t="s">
        <v>5695</v>
      </c>
      <c r="C1281" t="str">
        <f>"A0117770"</f>
        <v>A0117770</v>
      </c>
      <c r="D1281" t="s">
        <v>5696</v>
      </c>
      <c r="E1281" t="s">
        <v>5697</v>
      </c>
      <c r="F1281" t="s">
        <v>5698</v>
      </c>
      <c r="G1281" t="s">
        <v>880</v>
      </c>
      <c r="H1281">
        <v>38063</v>
      </c>
      <c r="I1281" t="s">
        <v>30</v>
      </c>
      <c r="J1281" t="s">
        <v>41</v>
      </c>
      <c r="K1281" t="s">
        <v>229</v>
      </c>
      <c r="Q1281">
        <v>0</v>
      </c>
      <c r="R1281">
        <v>144</v>
      </c>
      <c r="S1281">
        <v>144</v>
      </c>
      <c r="T1281" t="s">
        <v>5699</v>
      </c>
    </row>
    <row r="1282" spans="1:25" customFormat="1" ht="15" x14ac:dyDescent="0.25">
      <c r="A1282" t="s">
        <v>24</v>
      </c>
      <c r="B1282" t="s">
        <v>1020</v>
      </c>
      <c r="C1282" t="str">
        <f>"A0068252"</f>
        <v>A0068252</v>
      </c>
      <c r="D1282" t="s">
        <v>12861</v>
      </c>
      <c r="E1282" t="s">
        <v>12862</v>
      </c>
      <c r="F1282" t="s">
        <v>985</v>
      </c>
      <c r="G1282" t="s">
        <v>81</v>
      </c>
      <c r="H1282">
        <v>32819</v>
      </c>
      <c r="I1282" t="s">
        <v>30</v>
      </c>
      <c r="J1282" t="s">
        <v>162</v>
      </c>
      <c r="K1282" t="s">
        <v>4442</v>
      </c>
      <c r="N1282" t="s">
        <v>12863</v>
      </c>
      <c r="Q1282">
        <v>0</v>
      </c>
      <c r="R1282">
        <v>400</v>
      </c>
      <c r="S1282">
        <v>0</v>
      </c>
      <c r="T1282" t="s">
        <v>12864</v>
      </c>
    </row>
    <row r="1283" spans="1:25" x14ac:dyDescent="0.25">
      <c r="A1283" s="5" t="s">
        <v>24</v>
      </c>
      <c r="B1283" s="5" t="s">
        <v>2528</v>
      </c>
      <c r="C1283" s="5" t="str">
        <f>"A0074201"</f>
        <v>A0074201</v>
      </c>
      <c r="D1283" s="5" t="s">
        <v>12891</v>
      </c>
      <c r="E1283" s="5" t="s">
        <v>12892</v>
      </c>
      <c r="F1283" s="5" t="s">
        <v>12888</v>
      </c>
      <c r="G1283" s="5" t="s">
        <v>29</v>
      </c>
      <c r="H1283" s="5">
        <v>20147</v>
      </c>
      <c r="I1283" s="5" t="s">
        <v>30</v>
      </c>
      <c r="J1283" s="5" t="s">
        <v>162</v>
      </c>
      <c r="K1283" s="5" t="s">
        <v>266</v>
      </c>
      <c r="L1283" s="5"/>
      <c r="M1283" s="5"/>
      <c r="N1283" s="5" t="s">
        <v>12889</v>
      </c>
      <c r="O1283" s="5"/>
      <c r="P1283" s="5"/>
      <c r="Q1283" s="5">
        <v>0</v>
      </c>
      <c r="R1283" s="5">
        <v>154</v>
      </c>
      <c r="S1283" s="5">
        <v>0</v>
      </c>
      <c r="T1283" s="5" t="s">
        <v>12893</v>
      </c>
      <c r="U1283" s="5"/>
      <c r="V1283" s="5"/>
      <c r="W1283" s="5"/>
      <c r="X1283" s="5"/>
      <c r="Y1283" s="5"/>
    </row>
    <row r="1284" spans="1:25" customFormat="1" ht="15" x14ac:dyDescent="0.25">
      <c r="A1284" t="s">
        <v>24</v>
      </c>
      <c r="B1284" t="s">
        <v>12894</v>
      </c>
      <c r="C1284" t="str">
        <f>"A0069147"</f>
        <v>A0069147</v>
      </c>
      <c r="D1284" t="s">
        <v>12895</v>
      </c>
      <c r="E1284" t="s">
        <v>12896</v>
      </c>
      <c r="F1284" t="s">
        <v>12897</v>
      </c>
      <c r="G1284" t="s">
        <v>4815</v>
      </c>
      <c r="H1284">
        <v>96766</v>
      </c>
      <c r="I1284" t="s">
        <v>30</v>
      </c>
      <c r="J1284" t="s">
        <v>162</v>
      </c>
      <c r="K1284" t="s">
        <v>163</v>
      </c>
      <c r="N1284" t="s">
        <v>12898</v>
      </c>
      <c r="O1284" t="s">
        <v>12899</v>
      </c>
      <c r="Q1284">
        <v>0</v>
      </c>
      <c r="R1284">
        <v>350</v>
      </c>
      <c r="S1284">
        <v>0</v>
      </c>
      <c r="T1284" t="s">
        <v>12900</v>
      </c>
    </row>
    <row r="1285" spans="1:25" customFormat="1" ht="15" x14ac:dyDescent="0.25">
      <c r="A1285" t="s">
        <v>35</v>
      </c>
      <c r="B1285" t="s">
        <v>5714</v>
      </c>
      <c r="C1285" t="str">
        <f>"A0191016"</f>
        <v>A0191016</v>
      </c>
      <c r="D1285" t="s">
        <v>5715</v>
      </c>
      <c r="E1285" t="s">
        <v>5716</v>
      </c>
      <c r="F1285" t="s">
        <v>5717</v>
      </c>
      <c r="G1285" t="s">
        <v>103</v>
      </c>
      <c r="H1285">
        <v>15136</v>
      </c>
      <c r="I1285" t="s">
        <v>30</v>
      </c>
      <c r="J1285" t="s">
        <v>41</v>
      </c>
      <c r="K1285" t="s">
        <v>59</v>
      </c>
      <c r="Q1285">
        <v>0</v>
      </c>
      <c r="R1285">
        <v>0</v>
      </c>
      <c r="S1285">
        <v>33</v>
      </c>
      <c r="T1285" t="s">
        <v>72</v>
      </c>
    </row>
    <row r="1286" spans="1:25" customFormat="1" ht="15" x14ac:dyDescent="0.25">
      <c r="A1286" t="s">
        <v>35</v>
      </c>
      <c r="B1286" t="s">
        <v>5714</v>
      </c>
      <c r="C1286" t="str">
        <f>"A0191015"</f>
        <v>A0191015</v>
      </c>
      <c r="D1286" t="s">
        <v>5718</v>
      </c>
      <c r="E1286" t="s">
        <v>5719</v>
      </c>
      <c r="F1286" t="s">
        <v>5720</v>
      </c>
      <c r="G1286" t="s">
        <v>103</v>
      </c>
      <c r="H1286">
        <v>15003</v>
      </c>
      <c r="I1286" t="s">
        <v>30</v>
      </c>
      <c r="J1286" t="s">
        <v>41</v>
      </c>
      <c r="K1286" t="s">
        <v>59</v>
      </c>
      <c r="Q1286">
        <v>0</v>
      </c>
      <c r="R1286">
        <v>0</v>
      </c>
      <c r="S1286">
        <v>37</v>
      </c>
      <c r="T1286" t="s">
        <v>5721</v>
      </c>
    </row>
    <row r="1287" spans="1:25" customFormat="1" ht="15" x14ac:dyDescent="0.25">
      <c r="A1287" t="s">
        <v>35</v>
      </c>
      <c r="B1287" t="s">
        <v>5714</v>
      </c>
      <c r="C1287" t="str">
        <f>"A0191014"</f>
        <v>A0191014</v>
      </c>
      <c r="D1287" t="s">
        <v>5714</v>
      </c>
      <c r="E1287" t="s">
        <v>5722</v>
      </c>
      <c r="F1287" t="s">
        <v>5723</v>
      </c>
      <c r="G1287" t="s">
        <v>103</v>
      </c>
      <c r="H1287">
        <v>18966</v>
      </c>
      <c r="I1287" t="s">
        <v>30</v>
      </c>
      <c r="J1287" t="s">
        <v>41</v>
      </c>
      <c r="K1287" t="s">
        <v>290</v>
      </c>
      <c r="Q1287">
        <v>0</v>
      </c>
      <c r="R1287">
        <v>0</v>
      </c>
      <c r="S1287">
        <v>0</v>
      </c>
      <c r="T1287" t="s">
        <v>72</v>
      </c>
    </row>
    <row r="1288" spans="1:25" customFormat="1" ht="15" x14ac:dyDescent="0.25">
      <c r="A1288" t="s">
        <v>35</v>
      </c>
      <c r="B1288" t="s">
        <v>1638</v>
      </c>
      <c r="C1288" t="str">
        <f>"A0191013"</f>
        <v>A0191013</v>
      </c>
      <c r="D1288" t="s">
        <v>5724</v>
      </c>
      <c r="E1288" t="s">
        <v>5725</v>
      </c>
      <c r="F1288" t="s">
        <v>5726</v>
      </c>
      <c r="G1288" t="s">
        <v>117</v>
      </c>
      <c r="H1288">
        <v>48532</v>
      </c>
      <c r="I1288" t="s">
        <v>30</v>
      </c>
      <c r="J1288" t="s">
        <v>41</v>
      </c>
      <c r="K1288" t="s">
        <v>229</v>
      </c>
      <c r="Q1288">
        <v>0</v>
      </c>
      <c r="R1288">
        <v>0</v>
      </c>
      <c r="S1288">
        <v>100</v>
      </c>
      <c r="T1288" t="s">
        <v>5727</v>
      </c>
    </row>
    <row r="1289" spans="1:25" customFormat="1" ht="15" x14ac:dyDescent="0.25">
      <c r="A1289" t="s">
        <v>35</v>
      </c>
      <c r="B1289" t="s">
        <v>1638</v>
      </c>
      <c r="C1289" t="str">
        <f>"A0191012"</f>
        <v>A0191012</v>
      </c>
      <c r="D1289" t="s">
        <v>5728</v>
      </c>
      <c r="E1289" t="s">
        <v>5729</v>
      </c>
      <c r="F1289" t="s">
        <v>5730</v>
      </c>
      <c r="G1289" t="s">
        <v>117</v>
      </c>
      <c r="H1289">
        <v>48346</v>
      </c>
      <c r="I1289" t="s">
        <v>30</v>
      </c>
      <c r="J1289" t="s">
        <v>41</v>
      </c>
      <c r="K1289" t="s">
        <v>229</v>
      </c>
      <c r="Q1289">
        <v>0</v>
      </c>
      <c r="R1289">
        <v>0</v>
      </c>
      <c r="S1289">
        <v>100</v>
      </c>
      <c r="T1289" t="s">
        <v>5731</v>
      </c>
    </row>
    <row r="1290" spans="1:25" customFormat="1" ht="15" x14ac:dyDescent="0.25">
      <c r="A1290" t="s">
        <v>35</v>
      </c>
      <c r="B1290" t="s">
        <v>61</v>
      </c>
      <c r="C1290" t="str">
        <f>"A0191011"</f>
        <v>A0191011</v>
      </c>
      <c r="D1290" t="s">
        <v>5732</v>
      </c>
      <c r="E1290" t="s">
        <v>5733</v>
      </c>
      <c r="F1290" t="s">
        <v>5734</v>
      </c>
      <c r="G1290" t="s">
        <v>52</v>
      </c>
      <c r="H1290">
        <v>79912</v>
      </c>
      <c r="I1290" t="s">
        <v>30</v>
      </c>
      <c r="J1290" t="s">
        <v>41</v>
      </c>
      <c r="K1290" t="s">
        <v>229</v>
      </c>
      <c r="Q1290">
        <v>0</v>
      </c>
      <c r="R1290">
        <v>0</v>
      </c>
      <c r="S1290">
        <v>58</v>
      </c>
      <c r="T1290" t="s">
        <v>5735</v>
      </c>
    </row>
    <row r="1291" spans="1:25" customFormat="1" ht="15" x14ac:dyDescent="0.25">
      <c r="A1291" t="s">
        <v>35</v>
      </c>
      <c r="B1291" t="s">
        <v>61</v>
      </c>
      <c r="C1291" t="str">
        <f>"A0191010"</f>
        <v>A0191010</v>
      </c>
      <c r="D1291" t="s">
        <v>5736</v>
      </c>
      <c r="E1291" t="s">
        <v>5737</v>
      </c>
      <c r="F1291" t="s">
        <v>1783</v>
      </c>
      <c r="G1291" t="s">
        <v>840</v>
      </c>
      <c r="H1291">
        <v>42420</v>
      </c>
      <c r="I1291" t="s">
        <v>30</v>
      </c>
      <c r="J1291" t="s">
        <v>41</v>
      </c>
      <c r="K1291" t="s">
        <v>59</v>
      </c>
      <c r="Q1291">
        <v>0</v>
      </c>
      <c r="R1291">
        <v>0</v>
      </c>
      <c r="S1291">
        <v>0</v>
      </c>
      <c r="T1291" t="s">
        <v>5738</v>
      </c>
    </row>
    <row r="1292" spans="1:25" customFormat="1" ht="15" x14ac:dyDescent="0.25">
      <c r="A1292" t="s">
        <v>35</v>
      </c>
      <c r="B1292" t="s">
        <v>61</v>
      </c>
      <c r="C1292" t="str">
        <f>"A0191009"</f>
        <v>A0191009</v>
      </c>
      <c r="D1292" t="s">
        <v>5739</v>
      </c>
      <c r="E1292" t="s">
        <v>5740</v>
      </c>
      <c r="F1292" t="s">
        <v>853</v>
      </c>
      <c r="G1292" t="s">
        <v>52</v>
      </c>
      <c r="H1292">
        <v>76132</v>
      </c>
      <c r="I1292" t="s">
        <v>30</v>
      </c>
      <c r="J1292" t="s">
        <v>41</v>
      </c>
      <c r="K1292" t="s">
        <v>59</v>
      </c>
      <c r="Q1292">
        <v>0</v>
      </c>
      <c r="R1292">
        <v>0</v>
      </c>
      <c r="S1292">
        <v>0</v>
      </c>
      <c r="T1292" t="s">
        <v>72</v>
      </c>
    </row>
    <row r="1293" spans="1:25" customFormat="1" ht="15" x14ac:dyDescent="0.25">
      <c r="A1293" t="s">
        <v>35</v>
      </c>
      <c r="B1293" t="s">
        <v>4109</v>
      </c>
      <c r="C1293" t="str">
        <f>"A0191008"</f>
        <v>A0191008</v>
      </c>
      <c r="D1293" t="s">
        <v>4110</v>
      </c>
      <c r="E1293" t="s">
        <v>5741</v>
      </c>
      <c r="F1293" t="s">
        <v>5742</v>
      </c>
      <c r="G1293" t="s">
        <v>110</v>
      </c>
      <c r="H1293">
        <v>95815</v>
      </c>
      <c r="I1293" t="s">
        <v>30</v>
      </c>
      <c r="J1293" t="s">
        <v>41</v>
      </c>
      <c r="K1293" t="s">
        <v>418</v>
      </c>
      <c r="Q1293">
        <v>0</v>
      </c>
      <c r="R1293">
        <v>0</v>
      </c>
      <c r="S1293">
        <v>0</v>
      </c>
      <c r="T1293" t="s">
        <v>72</v>
      </c>
    </row>
    <row r="1294" spans="1:25" customFormat="1" ht="15" x14ac:dyDescent="0.25">
      <c r="A1294" t="s">
        <v>35</v>
      </c>
      <c r="B1294" t="s">
        <v>4109</v>
      </c>
      <c r="C1294" t="str">
        <f>"A0191007"</f>
        <v>A0191007</v>
      </c>
      <c r="D1294" t="s">
        <v>4110</v>
      </c>
      <c r="E1294" t="s">
        <v>5743</v>
      </c>
      <c r="F1294" t="s">
        <v>2294</v>
      </c>
      <c r="G1294" t="s">
        <v>615</v>
      </c>
      <c r="H1294">
        <v>6824</v>
      </c>
      <c r="I1294" t="s">
        <v>30</v>
      </c>
      <c r="J1294" t="s">
        <v>41</v>
      </c>
      <c r="K1294" t="s">
        <v>418</v>
      </c>
      <c r="Q1294">
        <v>0</v>
      </c>
      <c r="R1294">
        <v>0</v>
      </c>
      <c r="S1294">
        <v>0</v>
      </c>
      <c r="T1294" t="s">
        <v>72</v>
      </c>
    </row>
    <row r="1295" spans="1:25" customFormat="1" ht="15" x14ac:dyDescent="0.25">
      <c r="A1295" t="s">
        <v>35</v>
      </c>
      <c r="B1295" t="s">
        <v>4109</v>
      </c>
      <c r="C1295" t="str">
        <f>"A0191006"</f>
        <v>A0191006</v>
      </c>
      <c r="D1295" t="s">
        <v>4110</v>
      </c>
      <c r="E1295" t="s">
        <v>5744</v>
      </c>
      <c r="F1295" t="s">
        <v>5745</v>
      </c>
      <c r="G1295" t="s">
        <v>76</v>
      </c>
      <c r="H1295">
        <v>98022</v>
      </c>
      <c r="I1295" t="s">
        <v>30</v>
      </c>
      <c r="J1295" t="s">
        <v>41</v>
      </c>
      <c r="K1295" t="s">
        <v>418</v>
      </c>
      <c r="Q1295">
        <v>0</v>
      </c>
      <c r="R1295">
        <v>0</v>
      </c>
      <c r="S1295">
        <v>0</v>
      </c>
      <c r="T1295" t="s">
        <v>72</v>
      </c>
    </row>
    <row r="1296" spans="1:25" customFormat="1" ht="15" x14ac:dyDescent="0.25">
      <c r="A1296" t="s">
        <v>35</v>
      </c>
      <c r="B1296" t="s">
        <v>4109</v>
      </c>
      <c r="C1296" t="str">
        <f>"A0191005"</f>
        <v>A0191005</v>
      </c>
      <c r="D1296" t="s">
        <v>4110</v>
      </c>
      <c r="E1296" t="s">
        <v>5746</v>
      </c>
      <c r="F1296" t="s">
        <v>5747</v>
      </c>
      <c r="G1296" t="s">
        <v>123</v>
      </c>
      <c r="H1296">
        <v>21032</v>
      </c>
      <c r="I1296" t="s">
        <v>30</v>
      </c>
      <c r="J1296" t="s">
        <v>41</v>
      </c>
      <c r="K1296" t="s">
        <v>418</v>
      </c>
      <c r="Q1296">
        <v>0</v>
      </c>
      <c r="R1296">
        <v>0</v>
      </c>
      <c r="S1296">
        <v>0</v>
      </c>
      <c r="T1296" t="s">
        <v>72</v>
      </c>
    </row>
    <row r="1297" spans="1:20" customFormat="1" ht="15" x14ac:dyDescent="0.25">
      <c r="A1297" t="s">
        <v>35</v>
      </c>
      <c r="B1297" t="s">
        <v>4109</v>
      </c>
      <c r="C1297" t="str">
        <f>"A0191004"</f>
        <v>A0191004</v>
      </c>
      <c r="D1297" t="s">
        <v>4110</v>
      </c>
      <c r="E1297" t="s">
        <v>5748</v>
      </c>
      <c r="F1297" t="s">
        <v>5747</v>
      </c>
      <c r="G1297" t="s">
        <v>123</v>
      </c>
      <c r="H1297">
        <v>21032</v>
      </c>
      <c r="I1297" t="s">
        <v>30</v>
      </c>
      <c r="J1297" t="s">
        <v>41</v>
      </c>
      <c r="K1297" t="s">
        <v>418</v>
      </c>
      <c r="Q1297">
        <v>0</v>
      </c>
      <c r="R1297">
        <v>0</v>
      </c>
      <c r="S1297">
        <v>0</v>
      </c>
      <c r="T1297" t="s">
        <v>72</v>
      </c>
    </row>
    <row r="1298" spans="1:20" customFormat="1" ht="15" x14ac:dyDescent="0.25">
      <c r="A1298" t="s">
        <v>35</v>
      </c>
      <c r="B1298" t="s">
        <v>4109</v>
      </c>
      <c r="C1298" t="str">
        <f>"A0191003"</f>
        <v>A0191003</v>
      </c>
      <c r="D1298" t="s">
        <v>4110</v>
      </c>
      <c r="E1298" t="s">
        <v>5749</v>
      </c>
      <c r="F1298" t="s">
        <v>1298</v>
      </c>
      <c r="G1298" t="s">
        <v>123</v>
      </c>
      <c r="H1298">
        <v>21044</v>
      </c>
      <c r="I1298" t="s">
        <v>30</v>
      </c>
      <c r="J1298" t="s">
        <v>41</v>
      </c>
      <c r="K1298" t="s">
        <v>418</v>
      </c>
      <c r="Q1298">
        <v>0</v>
      </c>
      <c r="R1298">
        <v>0</v>
      </c>
      <c r="S1298">
        <v>0</v>
      </c>
      <c r="T1298" t="s">
        <v>72</v>
      </c>
    </row>
    <row r="1299" spans="1:20" customFormat="1" ht="15" x14ac:dyDescent="0.25">
      <c r="A1299" t="s">
        <v>35</v>
      </c>
      <c r="B1299" t="s">
        <v>4109</v>
      </c>
      <c r="C1299" t="str">
        <f>"A0191002"</f>
        <v>A0191002</v>
      </c>
      <c r="D1299" t="s">
        <v>5750</v>
      </c>
      <c r="E1299" t="s">
        <v>5751</v>
      </c>
      <c r="F1299" t="s">
        <v>5752</v>
      </c>
      <c r="G1299" t="s">
        <v>76</v>
      </c>
      <c r="H1299">
        <v>98004</v>
      </c>
      <c r="I1299" t="s">
        <v>30</v>
      </c>
      <c r="J1299" t="s">
        <v>41</v>
      </c>
      <c r="K1299" t="s">
        <v>418</v>
      </c>
      <c r="Q1299">
        <v>0</v>
      </c>
      <c r="R1299">
        <v>0</v>
      </c>
      <c r="S1299">
        <v>0</v>
      </c>
      <c r="T1299" t="s">
        <v>72</v>
      </c>
    </row>
    <row r="1300" spans="1:20" customFormat="1" ht="15" x14ac:dyDescent="0.25">
      <c r="A1300" t="s">
        <v>35</v>
      </c>
      <c r="B1300" t="s">
        <v>4109</v>
      </c>
      <c r="C1300" t="str">
        <f>"A0191001"</f>
        <v>A0191001</v>
      </c>
      <c r="D1300" t="s">
        <v>4110</v>
      </c>
      <c r="E1300" t="s">
        <v>5753</v>
      </c>
      <c r="F1300" t="s">
        <v>5754</v>
      </c>
      <c r="G1300" t="s">
        <v>47</v>
      </c>
      <c r="H1300">
        <v>97004</v>
      </c>
      <c r="I1300" t="s">
        <v>30</v>
      </c>
      <c r="J1300" t="s">
        <v>41</v>
      </c>
      <c r="K1300" t="s">
        <v>418</v>
      </c>
      <c r="Q1300">
        <v>0</v>
      </c>
      <c r="R1300">
        <v>0</v>
      </c>
      <c r="S1300">
        <v>0</v>
      </c>
      <c r="T1300" t="s">
        <v>72</v>
      </c>
    </row>
    <row r="1301" spans="1:20" customFormat="1" ht="15" x14ac:dyDescent="0.25">
      <c r="A1301" t="s">
        <v>35</v>
      </c>
      <c r="B1301" t="s">
        <v>918</v>
      </c>
      <c r="C1301" t="str">
        <f>"A0191000"</f>
        <v>A0191000</v>
      </c>
      <c r="D1301" t="s">
        <v>5755</v>
      </c>
      <c r="E1301" t="s">
        <v>5756</v>
      </c>
      <c r="F1301" t="s">
        <v>5757</v>
      </c>
      <c r="G1301" t="s">
        <v>190</v>
      </c>
      <c r="H1301">
        <v>81301</v>
      </c>
      <c r="I1301" t="s">
        <v>30</v>
      </c>
      <c r="J1301" t="s">
        <v>41</v>
      </c>
      <c r="K1301" t="s">
        <v>59</v>
      </c>
      <c r="Q1301">
        <v>0</v>
      </c>
      <c r="R1301">
        <v>0</v>
      </c>
      <c r="S1301">
        <v>70</v>
      </c>
      <c r="T1301" t="s">
        <v>72</v>
      </c>
    </row>
    <row r="1302" spans="1:20" customFormat="1" ht="15" x14ac:dyDescent="0.25">
      <c r="A1302" t="s">
        <v>35</v>
      </c>
      <c r="B1302" t="s">
        <v>918</v>
      </c>
      <c r="C1302" t="str">
        <f>"A0190999"</f>
        <v>A0190999</v>
      </c>
      <c r="D1302" t="s">
        <v>5758</v>
      </c>
      <c r="E1302" t="s">
        <v>5759</v>
      </c>
      <c r="F1302" t="s">
        <v>5760</v>
      </c>
      <c r="G1302" t="s">
        <v>161</v>
      </c>
      <c r="H1302">
        <v>55965</v>
      </c>
      <c r="I1302" t="s">
        <v>30</v>
      </c>
      <c r="J1302" t="s">
        <v>41</v>
      </c>
      <c r="K1302" t="s">
        <v>59</v>
      </c>
      <c r="Q1302">
        <v>0</v>
      </c>
      <c r="R1302">
        <v>0</v>
      </c>
      <c r="S1302">
        <v>24</v>
      </c>
      <c r="T1302" t="s">
        <v>72</v>
      </c>
    </row>
    <row r="1303" spans="1:20" customFormat="1" ht="15" x14ac:dyDescent="0.25">
      <c r="A1303" t="s">
        <v>35</v>
      </c>
      <c r="B1303" t="s">
        <v>918</v>
      </c>
      <c r="C1303" t="str">
        <f>"A0190998"</f>
        <v>A0190998</v>
      </c>
      <c r="D1303" t="s">
        <v>5761</v>
      </c>
      <c r="E1303" t="s">
        <v>5762</v>
      </c>
      <c r="F1303" t="s">
        <v>5763</v>
      </c>
      <c r="G1303" t="s">
        <v>161</v>
      </c>
      <c r="H1303">
        <v>55947</v>
      </c>
      <c r="I1303" t="s">
        <v>30</v>
      </c>
      <c r="J1303" t="s">
        <v>41</v>
      </c>
      <c r="K1303" t="s">
        <v>59</v>
      </c>
      <c r="Q1303">
        <v>0</v>
      </c>
      <c r="R1303">
        <v>0</v>
      </c>
      <c r="S1303">
        <v>24</v>
      </c>
      <c r="T1303" t="s">
        <v>72</v>
      </c>
    </row>
    <row r="1304" spans="1:20" customFormat="1" ht="15" x14ac:dyDescent="0.25">
      <c r="A1304" t="s">
        <v>35</v>
      </c>
      <c r="B1304" t="s">
        <v>918</v>
      </c>
      <c r="C1304" t="str">
        <f>"A0190997"</f>
        <v>A0190997</v>
      </c>
      <c r="D1304" t="s">
        <v>5764</v>
      </c>
      <c r="E1304" t="s">
        <v>5765</v>
      </c>
      <c r="F1304" t="s">
        <v>5766</v>
      </c>
      <c r="G1304" t="s">
        <v>71</v>
      </c>
      <c r="H1304">
        <v>53901</v>
      </c>
      <c r="I1304" t="s">
        <v>30</v>
      </c>
      <c r="J1304" t="s">
        <v>41</v>
      </c>
      <c r="K1304" t="s">
        <v>59</v>
      </c>
      <c r="Q1304">
        <v>0</v>
      </c>
      <c r="R1304">
        <v>0</v>
      </c>
      <c r="S1304">
        <v>15</v>
      </c>
      <c r="T1304" t="s">
        <v>72</v>
      </c>
    </row>
    <row r="1305" spans="1:20" customFormat="1" ht="15" x14ac:dyDescent="0.25">
      <c r="A1305" t="s">
        <v>35</v>
      </c>
      <c r="B1305" t="s">
        <v>918</v>
      </c>
      <c r="C1305" t="str">
        <f>"A0190996"</f>
        <v>A0190996</v>
      </c>
      <c r="D1305" t="s">
        <v>5767</v>
      </c>
      <c r="E1305" t="s">
        <v>5768</v>
      </c>
      <c r="F1305" t="s">
        <v>5766</v>
      </c>
      <c r="G1305" t="s">
        <v>71</v>
      </c>
      <c r="H1305">
        <v>53901</v>
      </c>
      <c r="I1305" t="s">
        <v>30</v>
      </c>
      <c r="J1305" t="s">
        <v>41</v>
      </c>
      <c r="K1305" t="s">
        <v>59</v>
      </c>
      <c r="Q1305">
        <v>0</v>
      </c>
      <c r="R1305">
        <v>0</v>
      </c>
      <c r="S1305">
        <v>15</v>
      </c>
      <c r="T1305" t="s">
        <v>72</v>
      </c>
    </row>
    <row r="1306" spans="1:20" customFormat="1" ht="15" x14ac:dyDescent="0.25">
      <c r="A1306" t="s">
        <v>35</v>
      </c>
      <c r="B1306" t="s">
        <v>918</v>
      </c>
      <c r="C1306" t="str">
        <f>"A0190995"</f>
        <v>A0190995</v>
      </c>
      <c r="D1306" t="s">
        <v>5769</v>
      </c>
      <c r="E1306" t="s">
        <v>5770</v>
      </c>
      <c r="F1306" t="s">
        <v>5322</v>
      </c>
      <c r="G1306" t="s">
        <v>161</v>
      </c>
      <c r="H1306">
        <v>56379</v>
      </c>
      <c r="I1306" t="s">
        <v>30</v>
      </c>
      <c r="J1306" t="s">
        <v>41</v>
      </c>
      <c r="K1306" t="s">
        <v>59</v>
      </c>
      <c r="Q1306">
        <v>0</v>
      </c>
      <c r="R1306">
        <v>0</v>
      </c>
      <c r="S1306">
        <v>30</v>
      </c>
      <c r="T1306" t="s">
        <v>72</v>
      </c>
    </row>
    <row r="1307" spans="1:20" customFormat="1" ht="15" x14ac:dyDescent="0.25">
      <c r="A1307" t="s">
        <v>35</v>
      </c>
      <c r="B1307" t="s">
        <v>918</v>
      </c>
      <c r="C1307" t="str">
        <f>"A0190994"</f>
        <v>A0190994</v>
      </c>
      <c r="D1307" t="s">
        <v>918</v>
      </c>
      <c r="E1307" t="s">
        <v>5771</v>
      </c>
      <c r="F1307" t="s">
        <v>5772</v>
      </c>
      <c r="G1307" t="s">
        <v>161</v>
      </c>
      <c r="H1307">
        <v>55904</v>
      </c>
      <c r="I1307" t="s">
        <v>30</v>
      </c>
      <c r="J1307" t="s">
        <v>41</v>
      </c>
      <c r="K1307" t="s">
        <v>290</v>
      </c>
      <c r="Q1307">
        <v>0</v>
      </c>
      <c r="R1307">
        <v>0</v>
      </c>
      <c r="S1307">
        <v>0</v>
      </c>
      <c r="T1307" t="s">
        <v>72</v>
      </c>
    </row>
    <row r="1308" spans="1:20" customFormat="1" ht="15" x14ac:dyDescent="0.25">
      <c r="A1308" t="s">
        <v>35</v>
      </c>
      <c r="B1308" t="s">
        <v>4771</v>
      </c>
      <c r="C1308" t="str">
        <f>"A0190993"</f>
        <v>A0190993</v>
      </c>
      <c r="D1308" t="s">
        <v>5773</v>
      </c>
      <c r="E1308" t="s">
        <v>5774</v>
      </c>
      <c r="F1308" t="s">
        <v>5775</v>
      </c>
      <c r="G1308" t="s">
        <v>76</v>
      </c>
      <c r="H1308">
        <v>98204</v>
      </c>
      <c r="I1308" t="s">
        <v>30</v>
      </c>
      <c r="J1308" t="s">
        <v>41</v>
      </c>
      <c r="K1308" t="s">
        <v>456</v>
      </c>
      <c r="Q1308">
        <v>0</v>
      </c>
      <c r="R1308">
        <v>0</v>
      </c>
      <c r="S1308">
        <v>0</v>
      </c>
      <c r="T1308" t="s">
        <v>72</v>
      </c>
    </row>
    <row r="1309" spans="1:20" customFormat="1" ht="15" x14ac:dyDescent="0.25">
      <c r="A1309" t="s">
        <v>35</v>
      </c>
      <c r="B1309" t="s">
        <v>5776</v>
      </c>
      <c r="C1309" t="str">
        <f>"A0190992"</f>
        <v>A0190992</v>
      </c>
      <c r="D1309" t="s">
        <v>5776</v>
      </c>
      <c r="E1309" t="s">
        <v>5777</v>
      </c>
      <c r="F1309" t="s">
        <v>5778</v>
      </c>
      <c r="G1309" t="s">
        <v>289</v>
      </c>
      <c r="H1309">
        <v>60301</v>
      </c>
      <c r="I1309" t="s">
        <v>30</v>
      </c>
      <c r="J1309" t="s">
        <v>41</v>
      </c>
      <c r="K1309" t="s">
        <v>290</v>
      </c>
      <c r="Q1309">
        <v>0</v>
      </c>
      <c r="R1309">
        <v>0</v>
      </c>
      <c r="S1309">
        <v>0</v>
      </c>
      <c r="T1309" t="s">
        <v>72</v>
      </c>
    </row>
    <row r="1310" spans="1:20" customFormat="1" ht="15" x14ac:dyDescent="0.25">
      <c r="A1310" t="s">
        <v>35</v>
      </c>
      <c r="B1310" t="s">
        <v>225</v>
      </c>
      <c r="C1310" t="str">
        <f>"A0190991"</f>
        <v>A0190991</v>
      </c>
      <c r="D1310" t="s">
        <v>5779</v>
      </c>
      <c r="E1310" t="s">
        <v>5780</v>
      </c>
      <c r="F1310" t="s">
        <v>5781</v>
      </c>
      <c r="G1310" t="s">
        <v>103</v>
      </c>
      <c r="H1310">
        <v>17403</v>
      </c>
      <c r="I1310" t="s">
        <v>30</v>
      </c>
      <c r="J1310" t="s">
        <v>41</v>
      </c>
      <c r="K1310" t="s">
        <v>229</v>
      </c>
      <c r="Q1310">
        <v>0</v>
      </c>
      <c r="R1310">
        <v>0</v>
      </c>
      <c r="S1310">
        <v>269</v>
      </c>
      <c r="T1310" t="s">
        <v>5782</v>
      </c>
    </row>
    <row r="1311" spans="1:20" customFormat="1" ht="15" x14ac:dyDescent="0.25">
      <c r="A1311" t="s">
        <v>35</v>
      </c>
      <c r="B1311" t="s">
        <v>5783</v>
      </c>
      <c r="C1311" t="str">
        <f>"A0190990"</f>
        <v>A0190990</v>
      </c>
      <c r="D1311" t="s">
        <v>5784</v>
      </c>
      <c r="E1311" t="s">
        <v>5785</v>
      </c>
      <c r="F1311" t="s">
        <v>5786</v>
      </c>
      <c r="G1311" t="s">
        <v>1898</v>
      </c>
      <c r="H1311">
        <v>52632</v>
      </c>
      <c r="I1311" t="s">
        <v>30</v>
      </c>
      <c r="J1311" t="s">
        <v>41</v>
      </c>
      <c r="K1311" t="s">
        <v>2463</v>
      </c>
      <c r="Q1311">
        <v>0</v>
      </c>
      <c r="R1311">
        <v>0</v>
      </c>
      <c r="S1311">
        <v>0</v>
      </c>
      <c r="T1311" t="s">
        <v>5787</v>
      </c>
    </row>
    <row r="1312" spans="1:20" customFormat="1" ht="15" x14ac:dyDescent="0.25">
      <c r="A1312" t="s">
        <v>24</v>
      </c>
      <c r="B1312" t="s">
        <v>5788</v>
      </c>
      <c r="C1312" t="str">
        <f>"A0189745"</f>
        <v>A0189745</v>
      </c>
      <c r="D1312" t="s">
        <v>5789</v>
      </c>
      <c r="E1312" t="s">
        <v>5790</v>
      </c>
      <c r="F1312" t="s">
        <v>5791</v>
      </c>
      <c r="G1312" t="s">
        <v>65</v>
      </c>
      <c r="H1312">
        <v>43420</v>
      </c>
      <c r="I1312" t="s">
        <v>30</v>
      </c>
      <c r="J1312" t="s">
        <v>145</v>
      </c>
      <c r="K1312" t="s">
        <v>1185</v>
      </c>
      <c r="N1312" t="s">
        <v>5792</v>
      </c>
      <c r="Q1312">
        <v>0</v>
      </c>
      <c r="R1312">
        <v>105</v>
      </c>
      <c r="S1312">
        <v>0</v>
      </c>
      <c r="T1312" t="s">
        <v>5793</v>
      </c>
    </row>
    <row r="1313" spans="1:20" customFormat="1" ht="15" x14ac:dyDescent="0.25">
      <c r="A1313" t="s">
        <v>24</v>
      </c>
      <c r="B1313" t="s">
        <v>5788</v>
      </c>
      <c r="C1313" t="str">
        <f>"A0189743"</f>
        <v>A0189743</v>
      </c>
      <c r="D1313" t="s">
        <v>5794</v>
      </c>
      <c r="E1313" t="s">
        <v>5795</v>
      </c>
      <c r="F1313" t="s">
        <v>5796</v>
      </c>
      <c r="G1313" t="s">
        <v>65</v>
      </c>
      <c r="H1313">
        <v>44846</v>
      </c>
      <c r="I1313" t="s">
        <v>30</v>
      </c>
      <c r="J1313" t="s">
        <v>145</v>
      </c>
      <c r="K1313" t="s">
        <v>1234</v>
      </c>
      <c r="N1313" t="s">
        <v>5792</v>
      </c>
      <c r="Q1313">
        <v>0</v>
      </c>
      <c r="R1313">
        <v>56</v>
      </c>
      <c r="S1313">
        <v>0</v>
      </c>
      <c r="T1313" t="s">
        <v>5797</v>
      </c>
    </row>
    <row r="1314" spans="1:20" customFormat="1" ht="15" x14ac:dyDescent="0.25">
      <c r="A1314" t="s">
        <v>24</v>
      </c>
      <c r="B1314" t="s">
        <v>5788</v>
      </c>
      <c r="C1314" t="str">
        <f>"A0189742"</f>
        <v>A0189742</v>
      </c>
      <c r="D1314" t="s">
        <v>5798</v>
      </c>
      <c r="E1314" t="s">
        <v>5799</v>
      </c>
      <c r="F1314" t="s">
        <v>5796</v>
      </c>
      <c r="G1314" t="s">
        <v>65</v>
      </c>
      <c r="H1314">
        <v>44846</v>
      </c>
      <c r="I1314" t="s">
        <v>30</v>
      </c>
      <c r="J1314" t="s">
        <v>31</v>
      </c>
      <c r="K1314" t="s">
        <v>282</v>
      </c>
      <c r="N1314" t="s">
        <v>5792</v>
      </c>
      <c r="Q1314">
        <v>0</v>
      </c>
      <c r="R1314">
        <v>90</v>
      </c>
      <c r="S1314">
        <v>0</v>
      </c>
      <c r="T1314" t="s">
        <v>5800</v>
      </c>
    </row>
    <row r="1315" spans="1:20" customFormat="1" ht="15" x14ac:dyDescent="0.25">
      <c r="A1315" t="s">
        <v>24</v>
      </c>
      <c r="B1315" t="s">
        <v>5801</v>
      </c>
      <c r="C1315" t="str">
        <f>"A0156675"</f>
        <v>A0156675</v>
      </c>
      <c r="D1315" t="s">
        <v>5802</v>
      </c>
      <c r="E1315" t="s">
        <v>5803</v>
      </c>
      <c r="F1315" t="s">
        <v>5804</v>
      </c>
      <c r="G1315" t="s">
        <v>76</v>
      </c>
      <c r="H1315">
        <v>98404</v>
      </c>
      <c r="I1315" t="s">
        <v>30</v>
      </c>
      <c r="J1315" t="s">
        <v>5805</v>
      </c>
      <c r="K1315" t="s">
        <v>163</v>
      </c>
      <c r="N1315" t="s">
        <v>5806</v>
      </c>
      <c r="O1315" t="s">
        <v>5807</v>
      </c>
      <c r="Q1315">
        <v>0</v>
      </c>
      <c r="R1315">
        <v>0</v>
      </c>
      <c r="S1315">
        <v>0</v>
      </c>
      <c r="T1315" t="s">
        <v>5808</v>
      </c>
    </row>
    <row r="1316" spans="1:20" customFormat="1" ht="15" x14ac:dyDescent="0.25">
      <c r="A1316" t="s">
        <v>24</v>
      </c>
      <c r="B1316" t="s">
        <v>12901</v>
      </c>
      <c r="C1316" t="str">
        <f>"SC075"</f>
        <v>SC075</v>
      </c>
      <c r="D1316" t="s">
        <v>12902</v>
      </c>
      <c r="E1316" t="s">
        <v>12903</v>
      </c>
      <c r="F1316" t="s">
        <v>3041</v>
      </c>
      <c r="G1316" t="s">
        <v>840</v>
      </c>
      <c r="H1316">
        <v>40511</v>
      </c>
      <c r="I1316" t="s">
        <v>30</v>
      </c>
      <c r="J1316" t="s">
        <v>162</v>
      </c>
      <c r="K1316" t="s">
        <v>243</v>
      </c>
      <c r="N1316" t="s">
        <v>12904</v>
      </c>
      <c r="O1316" t="s">
        <v>12905</v>
      </c>
      <c r="Q1316">
        <v>0</v>
      </c>
      <c r="R1316">
        <v>302</v>
      </c>
      <c r="S1316">
        <v>0</v>
      </c>
      <c r="T1316" t="s">
        <v>12906</v>
      </c>
    </row>
    <row r="1317" spans="1:20" customFormat="1" ht="15" x14ac:dyDescent="0.25">
      <c r="A1317" t="s">
        <v>24</v>
      </c>
      <c r="B1317" t="s">
        <v>5788</v>
      </c>
      <c r="C1317" t="str">
        <f>"A0189746"</f>
        <v>A0189746</v>
      </c>
      <c r="D1317" t="s">
        <v>5812</v>
      </c>
      <c r="E1317" t="s">
        <v>5813</v>
      </c>
      <c r="F1317" t="s">
        <v>5814</v>
      </c>
      <c r="G1317" t="s">
        <v>65</v>
      </c>
      <c r="H1317">
        <v>43410</v>
      </c>
      <c r="I1317" t="s">
        <v>30</v>
      </c>
      <c r="J1317" t="s">
        <v>145</v>
      </c>
      <c r="K1317" t="s">
        <v>1234</v>
      </c>
      <c r="N1317" t="s">
        <v>5792</v>
      </c>
      <c r="Q1317">
        <v>0</v>
      </c>
      <c r="R1317">
        <v>68</v>
      </c>
      <c r="S1317">
        <v>0</v>
      </c>
      <c r="T1317" t="s">
        <v>5815</v>
      </c>
    </row>
    <row r="1318" spans="1:20" customFormat="1" ht="15" x14ac:dyDescent="0.25">
      <c r="A1318" t="s">
        <v>24</v>
      </c>
      <c r="B1318" t="s">
        <v>13014</v>
      </c>
      <c r="C1318" t="str">
        <f>"SC041"</f>
        <v>SC041</v>
      </c>
      <c r="D1318" t="s">
        <v>13015</v>
      </c>
      <c r="E1318" t="s">
        <v>13016</v>
      </c>
      <c r="F1318" t="s">
        <v>985</v>
      </c>
      <c r="G1318" t="s">
        <v>81</v>
      </c>
      <c r="H1318">
        <v>32822</v>
      </c>
      <c r="I1318" t="s">
        <v>30</v>
      </c>
      <c r="J1318" t="s">
        <v>162</v>
      </c>
      <c r="K1318" t="s">
        <v>854</v>
      </c>
      <c r="N1318" t="s">
        <v>13017</v>
      </c>
      <c r="Q1318">
        <v>0</v>
      </c>
      <c r="R1318">
        <v>288</v>
      </c>
      <c r="S1318">
        <v>0</v>
      </c>
      <c r="T1318" t="s">
        <v>13018</v>
      </c>
    </row>
    <row r="1319" spans="1:20" customFormat="1" ht="15" x14ac:dyDescent="0.25">
      <c r="A1319" t="s">
        <v>24</v>
      </c>
      <c r="B1319" t="s">
        <v>193</v>
      </c>
      <c r="C1319" t="str">
        <f>"A0094301"</f>
        <v>A0094301</v>
      </c>
      <c r="D1319" t="s">
        <v>5820</v>
      </c>
      <c r="E1319" t="s">
        <v>5821</v>
      </c>
      <c r="F1319" t="s">
        <v>5822</v>
      </c>
      <c r="G1319" t="s">
        <v>29</v>
      </c>
      <c r="H1319">
        <v>22968</v>
      </c>
      <c r="I1319" t="s">
        <v>30</v>
      </c>
      <c r="J1319" t="s">
        <v>31</v>
      </c>
      <c r="K1319" t="s">
        <v>282</v>
      </c>
      <c r="N1319" t="s">
        <v>5823</v>
      </c>
      <c r="Q1319">
        <v>0</v>
      </c>
      <c r="R1319">
        <v>0</v>
      </c>
      <c r="S1319">
        <v>0</v>
      </c>
      <c r="T1319" t="s">
        <v>5824</v>
      </c>
    </row>
    <row r="1320" spans="1:20" customFormat="1" ht="15" x14ac:dyDescent="0.25">
      <c r="A1320" t="s">
        <v>24</v>
      </c>
      <c r="B1320" t="s">
        <v>994</v>
      </c>
      <c r="C1320" t="str">
        <f>"A0165211"</f>
        <v>A0165211</v>
      </c>
      <c r="D1320" t="s">
        <v>5825</v>
      </c>
      <c r="E1320" t="s">
        <v>5826</v>
      </c>
      <c r="F1320" t="s">
        <v>3880</v>
      </c>
      <c r="G1320" t="s">
        <v>99</v>
      </c>
      <c r="H1320">
        <v>10016</v>
      </c>
      <c r="I1320" t="s">
        <v>30</v>
      </c>
      <c r="J1320" t="s">
        <v>1004</v>
      </c>
      <c r="K1320" t="s">
        <v>163</v>
      </c>
      <c r="N1320" t="s">
        <v>5827</v>
      </c>
      <c r="O1320" t="s">
        <v>5828</v>
      </c>
      <c r="Q1320">
        <v>0</v>
      </c>
      <c r="R1320">
        <v>0</v>
      </c>
      <c r="S1320">
        <v>0</v>
      </c>
      <c r="T1320" t="s">
        <v>5829</v>
      </c>
    </row>
    <row r="1321" spans="1:20" customFormat="1" ht="15" x14ac:dyDescent="0.25">
      <c r="A1321" t="s">
        <v>24</v>
      </c>
      <c r="B1321" t="s">
        <v>13039</v>
      </c>
      <c r="C1321" t="str">
        <f>"A0086048"</f>
        <v>A0086048</v>
      </c>
      <c r="D1321" t="s">
        <v>13040</v>
      </c>
      <c r="E1321" t="s">
        <v>13041</v>
      </c>
      <c r="F1321" t="s">
        <v>5518</v>
      </c>
      <c r="G1321" t="s">
        <v>110</v>
      </c>
      <c r="H1321">
        <v>91202</v>
      </c>
      <c r="I1321" t="s">
        <v>30</v>
      </c>
      <c r="J1321" t="s">
        <v>162</v>
      </c>
      <c r="K1321" t="s">
        <v>4809</v>
      </c>
      <c r="N1321" t="s">
        <v>13042</v>
      </c>
      <c r="O1321" t="s">
        <v>13043</v>
      </c>
      <c r="Q1321">
        <v>0</v>
      </c>
      <c r="R1321">
        <v>351</v>
      </c>
      <c r="S1321">
        <v>0</v>
      </c>
      <c r="T1321" t="s">
        <v>13044</v>
      </c>
    </row>
    <row r="1322" spans="1:20" customFormat="1" ht="15" hidden="1" x14ac:dyDescent="0.25">
      <c r="A1322" t="s">
        <v>24</v>
      </c>
      <c r="B1322" t="s">
        <v>5836</v>
      </c>
      <c r="C1322" t="str">
        <f>"A0190516"</f>
        <v>A0190516</v>
      </c>
      <c r="D1322" t="s">
        <v>5837</v>
      </c>
      <c r="E1322" t="s">
        <v>5838</v>
      </c>
      <c r="F1322" t="s">
        <v>5839</v>
      </c>
      <c r="G1322" t="s">
        <v>5840</v>
      </c>
      <c r="H1322">
        <v>94299</v>
      </c>
      <c r="I1322" t="s">
        <v>2408</v>
      </c>
      <c r="J1322" t="s">
        <v>162</v>
      </c>
      <c r="K1322" t="s">
        <v>248</v>
      </c>
      <c r="N1322" t="s">
        <v>5841</v>
      </c>
      <c r="Q1322">
        <v>0</v>
      </c>
      <c r="R1322">
        <v>141</v>
      </c>
      <c r="S1322">
        <v>0</v>
      </c>
      <c r="T1322" t="s">
        <v>5842</v>
      </c>
    </row>
    <row r="1323" spans="1:20" customFormat="1" ht="15" x14ac:dyDescent="0.25">
      <c r="A1323" t="s">
        <v>24</v>
      </c>
      <c r="B1323" t="s">
        <v>5843</v>
      </c>
      <c r="C1323" t="str">
        <f>"A0190970"</f>
        <v>A0190970</v>
      </c>
      <c r="D1323" t="s">
        <v>5844</v>
      </c>
      <c r="E1323" t="s">
        <v>5845</v>
      </c>
      <c r="F1323" t="s">
        <v>1101</v>
      </c>
      <c r="G1323" t="s">
        <v>81</v>
      </c>
      <c r="H1323">
        <v>33050</v>
      </c>
      <c r="I1323" t="s">
        <v>30</v>
      </c>
      <c r="J1323" t="s">
        <v>31</v>
      </c>
      <c r="K1323" t="s">
        <v>163</v>
      </c>
      <c r="N1323" t="s">
        <v>5846</v>
      </c>
      <c r="Q1323">
        <v>0</v>
      </c>
      <c r="R1323">
        <v>23</v>
      </c>
      <c r="S1323">
        <v>0</v>
      </c>
      <c r="T1323" t="s">
        <v>5847</v>
      </c>
    </row>
    <row r="1324" spans="1:20" customFormat="1" ht="15" x14ac:dyDescent="0.25">
      <c r="A1324" t="s">
        <v>24</v>
      </c>
      <c r="B1324" t="s">
        <v>5843</v>
      </c>
      <c r="C1324" t="str">
        <f>"A0190969"</f>
        <v>A0190969</v>
      </c>
      <c r="D1324" t="s">
        <v>5848</v>
      </c>
      <c r="E1324" t="s">
        <v>5849</v>
      </c>
      <c r="F1324" t="s">
        <v>5850</v>
      </c>
      <c r="G1324" t="s">
        <v>81</v>
      </c>
      <c r="H1324">
        <v>33037</v>
      </c>
      <c r="I1324" t="s">
        <v>30</v>
      </c>
      <c r="J1324" t="s">
        <v>31</v>
      </c>
      <c r="K1324" t="s">
        <v>163</v>
      </c>
      <c r="N1324" t="s">
        <v>5851</v>
      </c>
      <c r="Q1324">
        <v>0</v>
      </c>
      <c r="R1324">
        <v>40</v>
      </c>
      <c r="S1324">
        <v>0</v>
      </c>
      <c r="T1324" t="s">
        <v>5852</v>
      </c>
    </row>
    <row r="1325" spans="1:20" customFormat="1" ht="15" x14ac:dyDescent="0.25">
      <c r="A1325" t="s">
        <v>24</v>
      </c>
      <c r="B1325" t="s">
        <v>5843</v>
      </c>
      <c r="C1325" t="str">
        <f>"A0061046"</f>
        <v>A0061046</v>
      </c>
      <c r="D1325" t="s">
        <v>5853</v>
      </c>
      <c r="E1325" t="s">
        <v>5854</v>
      </c>
      <c r="F1325" t="s">
        <v>5855</v>
      </c>
      <c r="G1325" t="s">
        <v>81</v>
      </c>
      <c r="H1325">
        <v>33036</v>
      </c>
      <c r="I1325" t="s">
        <v>30</v>
      </c>
      <c r="J1325" t="s">
        <v>31</v>
      </c>
      <c r="K1325" t="s">
        <v>163</v>
      </c>
      <c r="N1325" t="s">
        <v>5856</v>
      </c>
      <c r="Q1325">
        <v>0</v>
      </c>
      <c r="R1325">
        <v>65</v>
      </c>
      <c r="S1325">
        <v>0</v>
      </c>
      <c r="T1325" t="s">
        <v>5857</v>
      </c>
    </row>
    <row r="1326" spans="1:20" hidden="1" x14ac:dyDescent="0.25">
      <c r="A1326" s="3" t="s">
        <v>24</v>
      </c>
      <c r="B1326" s="3" t="s">
        <v>5858</v>
      </c>
      <c r="C1326" s="3" t="str">
        <f>"A0190964"</f>
        <v>A0190964</v>
      </c>
      <c r="D1326" s="3" t="s">
        <v>5859</v>
      </c>
      <c r="E1326" s="3" t="s">
        <v>5860</v>
      </c>
      <c r="F1326" s="3" t="s">
        <v>5861</v>
      </c>
      <c r="G1326" s="3" t="s">
        <v>5862</v>
      </c>
      <c r="H1326" s="3">
        <v>63734</v>
      </c>
      <c r="I1326" s="3" t="s">
        <v>2408</v>
      </c>
      <c r="J1326" s="3" t="s">
        <v>206</v>
      </c>
      <c r="K1326" s="3" t="s">
        <v>163</v>
      </c>
      <c r="N1326" s="3" t="s">
        <v>5863</v>
      </c>
      <c r="Q1326" s="3">
        <v>0</v>
      </c>
      <c r="R1326" s="3">
        <v>59</v>
      </c>
      <c r="S1326" s="3">
        <v>0</v>
      </c>
      <c r="T1326" s="3" t="s">
        <v>5864</v>
      </c>
    </row>
    <row r="1327" spans="1:20" customFormat="1" ht="15" x14ac:dyDescent="0.25">
      <c r="A1327" t="s">
        <v>24</v>
      </c>
      <c r="B1327" t="s">
        <v>5865</v>
      </c>
      <c r="C1327" t="str">
        <f>"A0190959"</f>
        <v>A0190959</v>
      </c>
      <c r="D1327" t="s">
        <v>5866</v>
      </c>
      <c r="E1327" t="s">
        <v>5867</v>
      </c>
      <c r="F1327" t="s">
        <v>5868</v>
      </c>
      <c r="G1327" t="s">
        <v>103</v>
      </c>
      <c r="H1327">
        <v>15857</v>
      </c>
      <c r="I1327" t="s">
        <v>30</v>
      </c>
      <c r="J1327" t="s">
        <v>31</v>
      </c>
      <c r="K1327" t="s">
        <v>5869</v>
      </c>
      <c r="N1327" t="s">
        <v>5870</v>
      </c>
      <c r="Q1327">
        <v>0</v>
      </c>
      <c r="R1327">
        <v>69</v>
      </c>
      <c r="S1327">
        <v>0</v>
      </c>
      <c r="T1327" t="s">
        <v>5871</v>
      </c>
    </row>
    <row r="1328" spans="1:20" hidden="1" x14ac:dyDescent="0.25">
      <c r="A1328" s="3" t="s">
        <v>24</v>
      </c>
      <c r="B1328" s="3" t="s">
        <v>675</v>
      </c>
      <c r="C1328" s="3" t="str">
        <f>"A0149037"</f>
        <v>A0149037</v>
      </c>
      <c r="D1328" s="3" t="s">
        <v>5872</v>
      </c>
      <c r="E1328" s="3" t="s">
        <v>5873</v>
      </c>
      <c r="F1328" s="3" t="s">
        <v>5874</v>
      </c>
      <c r="G1328" s="3" t="s">
        <v>3843</v>
      </c>
      <c r="H1328" s="3">
        <v>6500</v>
      </c>
      <c r="I1328" s="3" t="s">
        <v>2408</v>
      </c>
      <c r="J1328" s="3" t="s">
        <v>206</v>
      </c>
      <c r="K1328" s="3" t="s">
        <v>680</v>
      </c>
      <c r="N1328" s="3" t="s">
        <v>5875</v>
      </c>
      <c r="O1328" s="3" t="s">
        <v>5876</v>
      </c>
      <c r="Q1328" s="3">
        <v>0</v>
      </c>
      <c r="R1328" s="3">
        <v>153</v>
      </c>
      <c r="S1328" s="3">
        <v>0</v>
      </c>
      <c r="T1328" s="3" t="s">
        <v>3073</v>
      </c>
    </row>
    <row r="1329" spans="1:20" customFormat="1" ht="15" x14ac:dyDescent="0.25">
      <c r="A1329" t="s">
        <v>24</v>
      </c>
      <c r="B1329" t="s">
        <v>5865</v>
      </c>
      <c r="C1329" t="str">
        <f>"A0178588"</f>
        <v>A0178588</v>
      </c>
      <c r="D1329" t="s">
        <v>5877</v>
      </c>
      <c r="E1329" t="s">
        <v>5878</v>
      </c>
      <c r="F1329" t="s">
        <v>5879</v>
      </c>
      <c r="G1329" t="s">
        <v>381</v>
      </c>
      <c r="H1329">
        <v>47012</v>
      </c>
      <c r="I1329" t="s">
        <v>30</v>
      </c>
      <c r="J1329" t="s">
        <v>31</v>
      </c>
      <c r="K1329" t="s">
        <v>5869</v>
      </c>
      <c r="N1329" t="s">
        <v>5880</v>
      </c>
      <c r="Q1329">
        <v>0</v>
      </c>
      <c r="R1329">
        <v>45</v>
      </c>
      <c r="S1329">
        <v>0</v>
      </c>
      <c r="T1329" t="s">
        <v>5881</v>
      </c>
    </row>
    <row r="1330" spans="1:20" customFormat="1" ht="15" x14ac:dyDescent="0.25">
      <c r="A1330" t="s">
        <v>24</v>
      </c>
      <c r="B1330" t="s">
        <v>5865</v>
      </c>
      <c r="C1330" t="str">
        <f>"A0165569"</f>
        <v>A0165569</v>
      </c>
      <c r="D1330" t="s">
        <v>5882</v>
      </c>
      <c r="E1330" t="s">
        <v>5883</v>
      </c>
      <c r="F1330" t="s">
        <v>5884</v>
      </c>
      <c r="G1330" t="s">
        <v>65</v>
      </c>
      <c r="H1330">
        <v>43078</v>
      </c>
      <c r="I1330" t="s">
        <v>30</v>
      </c>
      <c r="J1330" t="s">
        <v>31</v>
      </c>
      <c r="K1330" t="s">
        <v>5885</v>
      </c>
      <c r="N1330" t="s">
        <v>5886</v>
      </c>
      <c r="Q1330">
        <v>0</v>
      </c>
      <c r="R1330">
        <v>54</v>
      </c>
      <c r="S1330">
        <v>0</v>
      </c>
      <c r="T1330" t="s">
        <v>5887</v>
      </c>
    </row>
    <row r="1331" spans="1:20" customFormat="1" ht="15" x14ac:dyDescent="0.25">
      <c r="A1331" t="s">
        <v>24</v>
      </c>
      <c r="B1331" t="s">
        <v>5865</v>
      </c>
      <c r="C1331" t="str">
        <f>"A0100267"</f>
        <v>A0100267</v>
      </c>
      <c r="D1331" t="s">
        <v>5888</v>
      </c>
      <c r="E1331" t="s">
        <v>5889</v>
      </c>
      <c r="F1331" t="s">
        <v>5890</v>
      </c>
      <c r="G1331" t="s">
        <v>1170</v>
      </c>
      <c r="H1331">
        <v>70668</v>
      </c>
      <c r="I1331" t="s">
        <v>30</v>
      </c>
      <c r="J1331" t="s">
        <v>31</v>
      </c>
      <c r="K1331" t="s">
        <v>5885</v>
      </c>
      <c r="N1331" t="s">
        <v>5891</v>
      </c>
      <c r="Q1331">
        <v>0</v>
      </c>
      <c r="R1331">
        <v>45</v>
      </c>
      <c r="S1331">
        <v>0</v>
      </c>
      <c r="T1331" t="s">
        <v>5892</v>
      </c>
    </row>
    <row r="1332" spans="1:20" customFormat="1" ht="15" x14ac:dyDescent="0.25">
      <c r="A1332" t="s">
        <v>24</v>
      </c>
      <c r="B1332" t="s">
        <v>5865</v>
      </c>
      <c r="C1332" t="str">
        <f>"A0099390"</f>
        <v>A0099390</v>
      </c>
      <c r="D1332" t="s">
        <v>5893</v>
      </c>
      <c r="E1332" t="s">
        <v>5894</v>
      </c>
      <c r="F1332" t="s">
        <v>5895</v>
      </c>
      <c r="G1332" t="s">
        <v>289</v>
      </c>
      <c r="H1332">
        <v>60957</v>
      </c>
      <c r="I1332" t="s">
        <v>30</v>
      </c>
      <c r="J1332" t="s">
        <v>31</v>
      </c>
      <c r="K1332" t="s">
        <v>5885</v>
      </c>
      <c r="N1332" t="s">
        <v>5896</v>
      </c>
      <c r="Q1332">
        <v>0</v>
      </c>
      <c r="R1332">
        <v>41</v>
      </c>
      <c r="S1332">
        <v>0</v>
      </c>
      <c r="T1332" t="s">
        <v>5897</v>
      </c>
    </row>
    <row r="1333" spans="1:20" customFormat="1" ht="15" x14ac:dyDescent="0.25">
      <c r="A1333" t="s">
        <v>24</v>
      </c>
      <c r="B1333" t="s">
        <v>5865</v>
      </c>
      <c r="C1333" t="str">
        <f>"A0098581"</f>
        <v>A0098581</v>
      </c>
      <c r="D1333" t="s">
        <v>5898</v>
      </c>
      <c r="E1333" t="s">
        <v>5899</v>
      </c>
      <c r="F1333" t="s">
        <v>5900</v>
      </c>
      <c r="G1333" t="s">
        <v>65</v>
      </c>
      <c r="H1333">
        <v>44667</v>
      </c>
      <c r="I1333" t="s">
        <v>30</v>
      </c>
      <c r="J1333" t="s">
        <v>31</v>
      </c>
      <c r="K1333" t="s">
        <v>5885</v>
      </c>
      <c r="N1333" t="s">
        <v>5901</v>
      </c>
      <c r="Q1333">
        <v>0</v>
      </c>
      <c r="R1333">
        <v>54</v>
      </c>
      <c r="S1333">
        <v>0</v>
      </c>
      <c r="T1333" t="s">
        <v>5902</v>
      </c>
    </row>
    <row r="1334" spans="1:20" customFormat="1" ht="15" x14ac:dyDescent="0.25">
      <c r="A1334" t="s">
        <v>24</v>
      </c>
      <c r="B1334" t="s">
        <v>5865</v>
      </c>
      <c r="C1334" t="str">
        <f>"A0096533"</f>
        <v>A0096533</v>
      </c>
      <c r="D1334" t="s">
        <v>5903</v>
      </c>
      <c r="E1334" t="s">
        <v>5904</v>
      </c>
      <c r="F1334" t="s">
        <v>5905</v>
      </c>
      <c r="G1334" t="s">
        <v>103</v>
      </c>
      <c r="H1334">
        <v>16125</v>
      </c>
      <c r="I1334" t="s">
        <v>30</v>
      </c>
      <c r="J1334" t="s">
        <v>31</v>
      </c>
      <c r="K1334" t="s">
        <v>5885</v>
      </c>
      <c r="N1334" t="s">
        <v>5906</v>
      </c>
      <c r="Q1334">
        <v>0</v>
      </c>
      <c r="R1334">
        <v>54</v>
      </c>
      <c r="S1334">
        <v>0</v>
      </c>
      <c r="T1334" t="s">
        <v>5907</v>
      </c>
    </row>
    <row r="1335" spans="1:20" customFormat="1" ht="15" x14ac:dyDescent="0.25">
      <c r="A1335" t="s">
        <v>24</v>
      </c>
      <c r="B1335" t="s">
        <v>5865</v>
      </c>
      <c r="C1335" t="str">
        <f>"A0094753"</f>
        <v>A0094753</v>
      </c>
      <c r="D1335" t="s">
        <v>5908</v>
      </c>
      <c r="E1335" t="s">
        <v>5909</v>
      </c>
      <c r="F1335" t="s">
        <v>5910</v>
      </c>
      <c r="G1335" t="s">
        <v>103</v>
      </c>
      <c r="H1335">
        <v>16421</v>
      </c>
      <c r="I1335" t="s">
        <v>30</v>
      </c>
      <c r="J1335" t="s">
        <v>31</v>
      </c>
      <c r="K1335" t="s">
        <v>5885</v>
      </c>
      <c r="N1335" t="s">
        <v>5911</v>
      </c>
      <c r="Q1335">
        <v>0</v>
      </c>
      <c r="R1335">
        <v>44</v>
      </c>
      <c r="S1335">
        <v>0</v>
      </c>
      <c r="T1335" t="s">
        <v>5912</v>
      </c>
    </row>
    <row r="1336" spans="1:20" customFormat="1" ht="15" x14ac:dyDescent="0.25">
      <c r="A1336" t="s">
        <v>24</v>
      </c>
      <c r="B1336" t="s">
        <v>5865</v>
      </c>
      <c r="C1336" t="str">
        <f>"A0094747"</f>
        <v>A0094747</v>
      </c>
      <c r="D1336" t="s">
        <v>5913</v>
      </c>
      <c r="E1336" t="s">
        <v>5914</v>
      </c>
      <c r="F1336" t="s">
        <v>5915</v>
      </c>
      <c r="G1336" t="s">
        <v>103</v>
      </c>
      <c r="H1336">
        <v>16501</v>
      </c>
      <c r="I1336" t="s">
        <v>30</v>
      </c>
      <c r="J1336" t="s">
        <v>31</v>
      </c>
      <c r="K1336" t="s">
        <v>5885</v>
      </c>
      <c r="N1336" t="s">
        <v>5916</v>
      </c>
      <c r="Q1336">
        <v>0</v>
      </c>
      <c r="R1336">
        <v>55</v>
      </c>
      <c r="S1336">
        <v>0</v>
      </c>
      <c r="T1336" t="s">
        <v>5917</v>
      </c>
    </row>
    <row r="1337" spans="1:20" customFormat="1" ht="15" x14ac:dyDescent="0.25">
      <c r="A1337" t="s">
        <v>24</v>
      </c>
      <c r="B1337" t="s">
        <v>5865</v>
      </c>
      <c r="C1337" t="str">
        <f>"A0094219"</f>
        <v>A0094219</v>
      </c>
      <c r="D1337" t="s">
        <v>5918</v>
      </c>
      <c r="E1337" t="s">
        <v>5919</v>
      </c>
      <c r="F1337" t="s">
        <v>5920</v>
      </c>
      <c r="G1337" t="s">
        <v>103</v>
      </c>
      <c r="H1337">
        <v>17268</v>
      </c>
      <c r="I1337" t="s">
        <v>30</v>
      </c>
      <c r="J1337" t="s">
        <v>31</v>
      </c>
      <c r="K1337" t="s">
        <v>5885</v>
      </c>
      <c r="N1337" t="s">
        <v>5921</v>
      </c>
      <c r="Q1337">
        <v>0</v>
      </c>
      <c r="R1337">
        <v>36</v>
      </c>
      <c r="S1337">
        <v>0</v>
      </c>
      <c r="T1337" t="s">
        <v>5922</v>
      </c>
    </row>
    <row r="1338" spans="1:20" customFormat="1" ht="15" x14ac:dyDescent="0.25">
      <c r="A1338" t="s">
        <v>24</v>
      </c>
      <c r="B1338" t="s">
        <v>5865</v>
      </c>
      <c r="C1338" t="str">
        <f>"A0094217"</f>
        <v>A0094217</v>
      </c>
      <c r="D1338" t="s">
        <v>5923</v>
      </c>
      <c r="E1338" t="s">
        <v>5924</v>
      </c>
      <c r="F1338" t="s">
        <v>5925</v>
      </c>
      <c r="G1338" t="s">
        <v>103</v>
      </c>
      <c r="H1338">
        <v>16407</v>
      </c>
      <c r="I1338" t="s">
        <v>30</v>
      </c>
      <c r="J1338" t="s">
        <v>31</v>
      </c>
      <c r="K1338" t="s">
        <v>5869</v>
      </c>
      <c r="N1338" t="s">
        <v>5926</v>
      </c>
      <c r="Q1338">
        <v>0</v>
      </c>
      <c r="R1338">
        <v>37</v>
      </c>
      <c r="S1338">
        <v>0</v>
      </c>
      <c r="T1338" t="s">
        <v>5927</v>
      </c>
    </row>
    <row r="1339" spans="1:20" customFormat="1" ht="15" x14ac:dyDescent="0.25">
      <c r="A1339" t="s">
        <v>24</v>
      </c>
      <c r="B1339" t="s">
        <v>5865</v>
      </c>
      <c r="C1339" t="str">
        <f>"A0094214"</f>
        <v>A0094214</v>
      </c>
      <c r="D1339" t="s">
        <v>5928</v>
      </c>
      <c r="E1339" t="s">
        <v>5929</v>
      </c>
      <c r="F1339" t="s">
        <v>5930</v>
      </c>
      <c r="G1339" t="s">
        <v>381</v>
      </c>
      <c r="H1339">
        <v>47111</v>
      </c>
      <c r="I1339" t="s">
        <v>30</v>
      </c>
      <c r="J1339" t="s">
        <v>31</v>
      </c>
      <c r="K1339" t="s">
        <v>5885</v>
      </c>
      <c r="N1339" t="s">
        <v>5931</v>
      </c>
      <c r="Q1339">
        <v>0</v>
      </c>
      <c r="R1339">
        <v>44</v>
      </c>
      <c r="S1339">
        <v>0</v>
      </c>
      <c r="T1339" t="s">
        <v>5932</v>
      </c>
    </row>
    <row r="1340" spans="1:20" customFormat="1" ht="15" x14ac:dyDescent="0.25">
      <c r="A1340" t="s">
        <v>24</v>
      </c>
      <c r="B1340" t="s">
        <v>5865</v>
      </c>
      <c r="C1340" t="str">
        <f>"A0094194"</f>
        <v>A0094194</v>
      </c>
      <c r="D1340" t="s">
        <v>5933</v>
      </c>
      <c r="E1340" t="s">
        <v>5934</v>
      </c>
      <c r="F1340" t="s">
        <v>5935</v>
      </c>
      <c r="G1340" t="s">
        <v>381</v>
      </c>
      <c r="H1340">
        <v>47167</v>
      </c>
      <c r="I1340" t="s">
        <v>30</v>
      </c>
      <c r="J1340" t="s">
        <v>31</v>
      </c>
      <c r="K1340" t="s">
        <v>5885</v>
      </c>
      <c r="N1340" t="s">
        <v>5936</v>
      </c>
      <c r="Q1340">
        <v>0</v>
      </c>
      <c r="R1340">
        <v>44</v>
      </c>
      <c r="S1340">
        <v>0</v>
      </c>
      <c r="T1340" t="s">
        <v>5937</v>
      </c>
    </row>
    <row r="1341" spans="1:20" customFormat="1" ht="15" x14ac:dyDescent="0.25">
      <c r="A1341" t="s">
        <v>24</v>
      </c>
      <c r="B1341" t="s">
        <v>5865</v>
      </c>
      <c r="C1341" t="str">
        <f>"A0158000"</f>
        <v>A0158000</v>
      </c>
      <c r="D1341" t="s">
        <v>5938</v>
      </c>
      <c r="E1341" t="s">
        <v>5939</v>
      </c>
      <c r="F1341" t="s">
        <v>5940</v>
      </c>
      <c r="G1341" t="s">
        <v>65</v>
      </c>
      <c r="H1341">
        <v>44052</v>
      </c>
      <c r="I1341" t="s">
        <v>30</v>
      </c>
      <c r="J1341" t="s">
        <v>31</v>
      </c>
      <c r="K1341" t="s">
        <v>5885</v>
      </c>
      <c r="N1341" t="s">
        <v>5941</v>
      </c>
      <c r="O1341" t="s">
        <v>5926</v>
      </c>
      <c r="Q1341">
        <v>0</v>
      </c>
      <c r="R1341">
        <v>58</v>
      </c>
      <c r="S1341">
        <v>0</v>
      </c>
      <c r="T1341" t="s">
        <v>5942</v>
      </c>
    </row>
    <row r="1342" spans="1:20" customFormat="1" ht="15" x14ac:dyDescent="0.25">
      <c r="A1342" t="s">
        <v>24</v>
      </c>
      <c r="B1342" t="s">
        <v>5943</v>
      </c>
      <c r="C1342" t="str">
        <f>"A0165483"</f>
        <v>A0165483</v>
      </c>
      <c r="D1342" t="s">
        <v>5944</v>
      </c>
      <c r="E1342" t="s">
        <v>5945</v>
      </c>
      <c r="F1342" t="s">
        <v>5946</v>
      </c>
      <c r="G1342" t="s">
        <v>110</v>
      </c>
      <c r="H1342">
        <v>90505</v>
      </c>
      <c r="I1342" t="s">
        <v>30</v>
      </c>
      <c r="J1342" t="s">
        <v>31</v>
      </c>
      <c r="K1342" t="s">
        <v>163</v>
      </c>
      <c r="N1342" t="s">
        <v>5947</v>
      </c>
      <c r="O1342" t="s">
        <v>5948</v>
      </c>
      <c r="Q1342">
        <v>0</v>
      </c>
      <c r="R1342">
        <v>92</v>
      </c>
      <c r="S1342">
        <v>0</v>
      </c>
      <c r="T1342" t="s">
        <v>5949</v>
      </c>
    </row>
    <row r="1343" spans="1:20" customFormat="1" ht="15" x14ac:dyDescent="0.25">
      <c r="A1343" t="s">
        <v>24</v>
      </c>
      <c r="B1343" t="s">
        <v>969</v>
      </c>
      <c r="C1343" t="str">
        <f>"A0157428"</f>
        <v>A0157428</v>
      </c>
      <c r="D1343" t="s">
        <v>5950</v>
      </c>
      <c r="E1343" t="s">
        <v>5951</v>
      </c>
      <c r="F1343" t="s">
        <v>972</v>
      </c>
      <c r="G1343" t="s">
        <v>190</v>
      </c>
      <c r="H1343">
        <v>80249</v>
      </c>
      <c r="I1343" t="s">
        <v>30</v>
      </c>
      <c r="J1343" t="s">
        <v>31</v>
      </c>
      <c r="K1343" t="s">
        <v>1890</v>
      </c>
      <c r="N1343" t="s">
        <v>5952</v>
      </c>
      <c r="Q1343">
        <v>0</v>
      </c>
      <c r="R1343">
        <v>123</v>
      </c>
      <c r="S1343">
        <v>0</v>
      </c>
      <c r="T1343" t="s">
        <v>5953</v>
      </c>
    </row>
    <row r="1344" spans="1:20" customFormat="1" ht="15" x14ac:dyDescent="0.25">
      <c r="A1344" t="s">
        <v>24</v>
      </c>
      <c r="B1344" t="s">
        <v>969</v>
      </c>
      <c r="C1344" t="str">
        <f>"A0147021"</f>
        <v>A0147021</v>
      </c>
      <c r="D1344" t="s">
        <v>5954</v>
      </c>
      <c r="E1344" t="s">
        <v>5955</v>
      </c>
      <c r="F1344" t="s">
        <v>972</v>
      </c>
      <c r="G1344" t="s">
        <v>190</v>
      </c>
      <c r="H1344">
        <v>80204</v>
      </c>
      <c r="I1344" t="s">
        <v>30</v>
      </c>
      <c r="J1344" t="s">
        <v>31</v>
      </c>
      <c r="K1344" t="s">
        <v>1890</v>
      </c>
      <c r="Q1344">
        <v>0</v>
      </c>
      <c r="R1344">
        <v>150</v>
      </c>
      <c r="S1344">
        <v>0</v>
      </c>
      <c r="T1344" t="s">
        <v>5956</v>
      </c>
    </row>
    <row r="1345" spans="1:25" customFormat="1" ht="15" x14ac:dyDescent="0.25">
      <c r="A1345" t="s">
        <v>24</v>
      </c>
      <c r="B1345" t="s">
        <v>13045</v>
      </c>
      <c r="C1345" t="str">
        <f>"A0056843"</f>
        <v>A0056843</v>
      </c>
      <c r="D1345" t="s">
        <v>13046</v>
      </c>
      <c r="E1345" t="s">
        <v>13047</v>
      </c>
      <c r="F1345" t="s">
        <v>13048</v>
      </c>
      <c r="G1345" t="s">
        <v>289</v>
      </c>
      <c r="H1345">
        <v>60143</v>
      </c>
      <c r="I1345" t="s">
        <v>30</v>
      </c>
      <c r="J1345" t="s">
        <v>162</v>
      </c>
      <c r="K1345" t="s">
        <v>163</v>
      </c>
      <c r="N1345" t="s">
        <v>13049</v>
      </c>
      <c r="O1345" t="s">
        <v>13050</v>
      </c>
      <c r="Q1345">
        <v>1</v>
      </c>
      <c r="R1345">
        <v>295</v>
      </c>
      <c r="S1345">
        <v>0</v>
      </c>
      <c r="T1345" t="s">
        <v>13051</v>
      </c>
    </row>
    <row r="1346" spans="1:25" customFormat="1" ht="15" x14ac:dyDescent="0.25">
      <c r="A1346" t="s">
        <v>24</v>
      </c>
      <c r="B1346" t="s">
        <v>2011</v>
      </c>
      <c r="C1346" t="str">
        <f>"A0185502"</f>
        <v>A0185502</v>
      </c>
      <c r="D1346" t="s">
        <v>13181</v>
      </c>
      <c r="E1346" t="s">
        <v>13182</v>
      </c>
      <c r="F1346" t="s">
        <v>2971</v>
      </c>
      <c r="G1346" t="s">
        <v>880</v>
      </c>
      <c r="H1346">
        <v>37201</v>
      </c>
      <c r="I1346" t="s">
        <v>30</v>
      </c>
      <c r="J1346" t="s">
        <v>162</v>
      </c>
      <c r="K1346" t="s">
        <v>1845</v>
      </c>
      <c r="N1346" t="s">
        <v>13183</v>
      </c>
      <c r="Q1346">
        <v>0</v>
      </c>
      <c r="R1346">
        <v>252</v>
      </c>
      <c r="S1346">
        <v>0</v>
      </c>
      <c r="T1346" t="s">
        <v>13184</v>
      </c>
    </row>
    <row r="1347" spans="1:25" customFormat="1" ht="15" x14ac:dyDescent="0.25">
      <c r="A1347" t="s">
        <v>24</v>
      </c>
      <c r="B1347" t="s">
        <v>193</v>
      </c>
      <c r="C1347" t="str">
        <f>"SF05077"</f>
        <v>SF05077</v>
      </c>
      <c r="D1347" t="s">
        <v>13189</v>
      </c>
      <c r="E1347" t="s">
        <v>13190</v>
      </c>
      <c r="F1347" t="s">
        <v>4094</v>
      </c>
      <c r="G1347" t="s">
        <v>29</v>
      </c>
      <c r="H1347">
        <v>22401</v>
      </c>
      <c r="I1347" t="s">
        <v>30</v>
      </c>
      <c r="J1347" t="s">
        <v>162</v>
      </c>
      <c r="K1347" t="s">
        <v>243</v>
      </c>
      <c r="N1347" t="s">
        <v>13191</v>
      </c>
      <c r="O1347" t="s">
        <v>13192</v>
      </c>
      <c r="Q1347">
        <v>0</v>
      </c>
      <c r="R1347">
        <v>196</v>
      </c>
      <c r="S1347">
        <v>0</v>
      </c>
      <c r="T1347" t="s">
        <v>13193</v>
      </c>
    </row>
    <row r="1348" spans="1:25" customFormat="1" ht="15" x14ac:dyDescent="0.25">
      <c r="A1348" t="s">
        <v>24</v>
      </c>
      <c r="B1348" t="s">
        <v>140</v>
      </c>
      <c r="C1348" t="str">
        <f>"A0057451"</f>
        <v>A0057451</v>
      </c>
      <c r="D1348" t="s">
        <v>13329</v>
      </c>
      <c r="E1348" t="s">
        <v>13330</v>
      </c>
      <c r="F1348" t="s">
        <v>5693</v>
      </c>
      <c r="G1348" t="s">
        <v>81</v>
      </c>
      <c r="H1348">
        <v>32118</v>
      </c>
      <c r="I1348" t="s">
        <v>30</v>
      </c>
      <c r="J1348" t="s">
        <v>162</v>
      </c>
      <c r="K1348" t="s">
        <v>163</v>
      </c>
      <c r="N1348" t="s">
        <v>13331</v>
      </c>
      <c r="O1348" t="s">
        <v>13332</v>
      </c>
      <c r="Q1348">
        <v>0</v>
      </c>
      <c r="R1348">
        <v>323</v>
      </c>
      <c r="S1348">
        <v>0</v>
      </c>
      <c r="T1348" t="s">
        <v>13333</v>
      </c>
    </row>
    <row r="1349" spans="1:25" customFormat="1" ht="15" hidden="1" x14ac:dyDescent="0.25">
      <c r="A1349" t="s">
        <v>24</v>
      </c>
      <c r="B1349" t="s">
        <v>5976</v>
      </c>
      <c r="C1349" t="str">
        <f>"A0190951"</f>
        <v>A0190951</v>
      </c>
      <c r="D1349" t="s">
        <v>5977</v>
      </c>
      <c r="E1349" t="s">
        <v>5978</v>
      </c>
      <c r="F1349" t="s">
        <v>2408</v>
      </c>
      <c r="G1349" t="s">
        <v>3843</v>
      </c>
      <c r="H1349">
        <v>3810</v>
      </c>
      <c r="I1349" t="s">
        <v>2408</v>
      </c>
      <c r="J1349" t="s">
        <v>162</v>
      </c>
      <c r="K1349" t="s">
        <v>5979</v>
      </c>
      <c r="N1349" t="s">
        <v>5980</v>
      </c>
      <c r="O1349" t="s">
        <v>5981</v>
      </c>
      <c r="Q1349">
        <v>0</v>
      </c>
      <c r="R1349">
        <v>310</v>
      </c>
      <c r="S1349">
        <v>0</v>
      </c>
      <c r="T1349" t="s">
        <v>5982</v>
      </c>
    </row>
    <row r="1350" spans="1:25" customFormat="1" ht="15" hidden="1" x14ac:dyDescent="0.25">
      <c r="A1350" t="s">
        <v>24</v>
      </c>
      <c r="B1350" t="s">
        <v>5976</v>
      </c>
      <c r="C1350" t="str">
        <f>"A0190954"</f>
        <v>A0190954</v>
      </c>
      <c r="D1350" t="s">
        <v>5983</v>
      </c>
      <c r="E1350" t="s">
        <v>5978</v>
      </c>
      <c r="F1350" t="s">
        <v>2408</v>
      </c>
      <c r="G1350" t="s">
        <v>3843</v>
      </c>
      <c r="H1350">
        <v>3810</v>
      </c>
      <c r="I1350" t="s">
        <v>2408</v>
      </c>
      <c r="J1350" t="s">
        <v>171</v>
      </c>
      <c r="K1350" t="s">
        <v>5979</v>
      </c>
      <c r="N1350" t="s">
        <v>5980</v>
      </c>
      <c r="Q1350">
        <v>0</v>
      </c>
      <c r="R1350">
        <v>217</v>
      </c>
      <c r="S1350">
        <v>0</v>
      </c>
      <c r="T1350" t="s">
        <v>5984</v>
      </c>
    </row>
    <row r="1351" spans="1:25" customFormat="1" ht="15" x14ac:dyDescent="0.25">
      <c r="A1351" t="s">
        <v>24</v>
      </c>
      <c r="B1351" t="s">
        <v>1548</v>
      </c>
      <c r="C1351" t="str">
        <f>"A0166918"</f>
        <v>A0166918</v>
      </c>
      <c r="D1351" t="s">
        <v>13455</v>
      </c>
      <c r="E1351" t="s">
        <v>13456</v>
      </c>
      <c r="F1351" t="s">
        <v>1592</v>
      </c>
      <c r="G1351" t="s">
        <v>197</v>
      </c>
      <c r="H1351">
        <v>85281</v>
      </c>
      <c r="I1351" t="s">
        <v>30</v>
      </c>
      <c r="J1351" t="s">
        <v>162</v>
      </c>
      <c r="K1351" t="s">
        <v>822</v>
      </c>
      <c r="N1351" t="s">
        <v>13457</v>
      </c>
      <c r="Q1351">
        <v>0</v>
      </c>
      <c r="R1351">
        <v>290</v>
      </c>
      <c r="S1351">
        <v>0</v>
      </c>
      <c r="T1351" t="s">
        <v>13458</v>
      </c>
    </row>
    <row r="1352" spans="1:25" customFormat="1" ht="15" x14ac:dyDescent="0.25">
      <c r="A1352" t="s">
        <v>35</v>
      </c>
      <c r="B1352" t="s">
        <v>61</v>
      </c>
      <c r="C1352" t="str">
        <f>"A0166668"</f>
        <v>A0166668</v>
      </c>
      <c r="D1352" t="s">
        <v>5990</v>
      </c>
      <c r="E1352" t="s">
        <v>5991</v>
      </c>
      <c r="F1352" t="s">
        <v>5061</v>
      </c>
      <c r="G1352" t="s">
        <v>190</v>
      </c>
      <c r="H1352">
        <v>80026</v>
      </c>
      <c r="I1352" t="s">
        <v>30</v>
      </c>
      <c r="J1352" t="s">
        <v>41</v>
      </c>
      <c r="K1352" t="s">
        <v>59</v>
      </c>
      <c r="Q1352">
        <v>0</v>
      </c>
      <c r="R1352">
        <v>70</v>
      </c>
      <c r="S1352">
        <v>70</v>
      </c>
      <c r="T1352" t="s">
        <v>5992</v>
      </c>
    </row>
    <row r="1353" spans="1:25" customFormat="1" ht="15" x14ac:dyDescent="0.25">
      <c r="A1353" t="s">
        <v>24</v>
      </c>
      <c r="B1353" t="s">
        <v>1849</v>
      </c>
      <c r="C1353" t="str">
        <f>"A0087017"</f>
        <v>A0087017</v>
      </c>
      <c r="D1353" t="s">
        <v>5993</v>
      </c>
      <c r="E1353" t="s">
        <v>5994</v>
      </c>
      <c r="F1353" t="s">
        <v>5615</v>
      </c>
      <c r="G1353" t="s">
        <v>117</v>
      </c>
      <c r="H1353">
        <v>48174</v>
      </c>
      <c r="I1353" t="s">
        <v>30</v>
      </c>
      <c r="J1353" t="s">
        <v>31</v>
      </c>
      <c r="K1353" t="s">
        <v>255</v>
      </c>
      <c r="N1353" t="s">
        <v>5995</v>
      </c>
      <c r="Q1353">
        <v>0</v>
      </c>
      <c r="R1353">
        <v>118</v>
      </c>
      <c r="S1353">
        <v>0</v>
      </c>
      <c r="T1353" t="s">
        <v>5996</v>
      </c>
    </row>
    <row r="1354" spans="1:25" customFormat="1" ht="15" x14ac:dyDescent="0.25">
      <c r="A1354" t="s">
        <v>24</v>
      </c>
      <c r="B1354" t="s">
        <v>3343</v>
      </c>
      <c r="C1354" t="str">
        <f>"A0190795"</f>
        <v>A0190795</v>
      </c>
      <c r="D1354" t="s">
        <v>5997</v>
      </c>
      <c r="E1354" t="s">
        <v>5998</v>
      </c>
      <c r="F1354" t="s">
        <v>5999</v>
      </c>
      <c r="G1354" t="s">
        <v>71</v>
      </c>
      <c r="H1354">
        <v>53224</v>
      </c>
      <c r="I1354" t="s">
        <v>30</v>
      </c>
      <c r="J1354" t="s">
        <v>31</v>
      </c>
      <c r="K1354" t="s">
        <v>282</v>
      </c>
      <c r="N1354" t="s">
        <v>6000</v>
      </c>
      <c r="Q1354">
        <v>0</v>
      </c>
      <c r="R1354">
        <v>120</v>
      </c>
      <c r="S1354">
        <v>0</v>
      </c>
      <c r="T1354" t="s">
        <v>6001</v>
      </c>
    </row>
    <row r="1355" spans="1:25" x14ac:dyDescent="0.25">
      <c r="A1355" s="5" t="s">
        <v>24</v>
      </c>
      <c r="B1355" s="5" t="s">
        <v>3159</v>
      </c>
      <c r="C1355" s="5" t="str">
        <f>"337N1"</f>
        <v>337N1</v>
      </c>
      <c r="D1355" s="5" t="s">
        <v>13484</v>
      </c>
      <c r="E1355" s="5" t="s">
        <v>13485</v>
      </c>
      <c r="F1355" s="5" t="s">
        <v>13486</v>
      </c>
      <c r="G1355" s="5" t="s">
        <v>615</v>
      </c>
      <c r="H1355" s="5">
        <v>6067</v>
      </c>
      <c r="I1355" s="5" t="s">
        <v>30</v>
      </c>
      <c r="J1355" s="5" t="s">
        <v>162</v>
      </c>
      <c r="K1355" s="5" t="s">
        <v>1502</v>
      </c>
      <c r="L1355" s="5"/>
      <c r="M1355" s="5"/>
      <c r="N1355" s="5" t="s">
        <v>13487</v>
      </c>
      <c r="O1355" s="5"/>
      <c r="P1355" s="5"/>
      <c r="Q1355" s="5">
        <v>0</v>
      </c>
      <c r="R1355" s="5">
        <v>250</v>
      </c>
      <c r="S1355" s="5">
        <v>0</v>
      </c>
      <c r="T1355" s="5" t="s">
        <v>13488</v>
      </c>
      <c r="U1355" s="5"/>
      <c r="V1355" s="5"/>
      <c r="W1355" s="5"/>
      <c r="X1355" s="5"/>
      <c r="Y1355" s="5"/>
    </row>
    <row r="1356" spans="1:25" x14ac:dyDescent="0.25">
      <c r="A1356" s="5" t="s">
        <v>24</v>
      </c>
      <c r="B1356" s="5" t="s">
        <v>1020</v>
      </c>
      <c r="C1356" s="5" t="str">
        <f>"A0187074"</f>
        <v>A0187074</v>
      </c>
      <c r="D1356" s="5" t="s">
        <v>13599</v>
      </c>
      <c r="E1356" s="5" t="s">
        <v>13600</v>
      </c>
      <c r="F1356" s="5" t="s">
        <v>3880</v>
      </c>
      <c r="G1356" s="5" t="s">
        <v>99</v>
      </c>
      <c r="H1356" s="5">
        <v>10016</v>
      </c>
      <c r="I1356" s="5" t="s">
        <v>30</v>
      </c>
      <c r="J1356" s="5" t="s">
        <v>162</v>
      </c>
      <c r="K1356" s="5" t="s">
        <v>163</v>
      </c>
      <c r="L1356" s="5"/>
      <c r="M1356" s="5"/>
      <c r="N1356" s="5" t="s">
        <v>13601</v>
      </c>
      <c r="O1356" s="5"/>
      <c r="P1356" s="5"/>
      <c r="Q1356" s="5">
        <v>0</v>
      </c>
      <c r="R1356" s="5">
        <v>154</v>
      </c>
      <c r="S1356" s="5">
        <v>0</v>
      </c>
      <c r="T1356" s="5" t="s">
        <v>192</v>
      </c>
      <c r="U1356" s="5"/>
      <c r="V1356" s="5"/>
      <c r="W1356" s="5"/>
      <c r="X1356" s="5"/>
      <c r="Y1356" s="5"/>
    </row>
    <row r="1357" spans="1:25" customFormat="1" ht="15" x14ac:dyDescent="0.25">
      <c r="A1357" t="s">
        <v>24</v>
      </c>
      <c r="B1357" t="s">
        <v>1548</v>
      </c>
      <c r="C1357" t="str">
        <f>"A0059800"</f>
        <v>A0059800</v>
      </c>
      <c r="D1357" t="s">
        <v>13647</v>
      </c>
      <c r="E1357" t="s">
        <v>13648</v>
      </c>
      <c r="F1357" t="s">
        <v>4802</v>
      </c>
      <c r="G1357" t="s">
        <v>110</v>
      </c>
      <c r="H1357">
        <v>95112</v>
      </c>
      <c r="I1357" t="s">
        <v>30</v>
      </c>
      <c r="J1357" t="s">
        <v>162</v>
      </c>
      <c r="K1357" t="s">
        <v>854</v>
      </c>
      <c r="N1357" t="s">
        <v>13649</v>
      </c>
      <c r="Q1357">
        <v>0</v>
      </c>
      <c r="R1357">
        <v>354</v>
      </c>
      <c r="S1357">
        <v>0</v>
      </c>
      <c r="T1357" t="s">
        <v>13650</v>
      </c>
    </row>
    <row r="1358" spans="1:25" customFormat="1" ht="15" x14ac:dyDescent="0.25">
      <c r="A1358" t="s">
        <v>35</v>
      </c>
      <c r="B1358" t="s">
        <v>2711</v>
      </c>
      <c r="C1358" t="str">
        <f>"A0190943"</f>
        <v>A0190943</v>
      </c>
      <c r="D1358" t="s">
        <v>6017</v>
      </c>
      <c r="E1358" t="s">
        <v>6018</v>
      </c>
      <c r="F1358" t="s">
        <v>6019</v>
      </c>
      <c r="G1358" t="s">
        <v>899</v>
      </c>
      <c r="H1358">
        <v>1075</v>
      </c>
      <c r="I1358" t="s">
        <v>30</v>
      </c>
      <c r="J1358" t="s">
        <v>41</v>
      </c>
      <c r="K1358" t="s">
        <v>2715</v>
      </c>
      <c r="Q1358">
        <v>0</v>
      </c>
      <c r="R1358">
        <v>0</v>
      </c>
      <c r="S1358">
        <v>0</v>
      </c>
      <c r="T1358" t="s">
        <v>72</v>
      </c>
    </row>
    <row r="1359" spans="1:25" customFormat="1" ht="15" x14ac:dyDescent="0.25">
      <c r="A1359" t="s">
        <v>35</v>
      </c>
      <c r="B1359" t="s">
        <v>2711</v>
      </c>
      <c r="C1359" t="str">
        <f>"A0190942"</f>
        <v>A0190942</v>
      </c>
      <c r="D1359" t="s">
        <v>6020</v>
      </c>
      <c r="E1359" t="s">
        <v>6021</v>
      </c>
      <c r="F1359" t="s">
        <v>6022</v>
      </c>
      <c r="G1359" t="s">
        <v>899</v>
      </c>
      <c r="H1359">
        <v>1040</v>
      </c>
      <c r="I1359" t="s">
        <v>30</v>
      </c>
      <c r="J1359" t="s">
        <v>41</v>
      </c>
      <c r="K1359" t="s">
        <v>2715</v>
      </c>
      <c r="Q1359">
        <v>0</v>
      </c>
      <c r="R1359">
        <v>0</v>
      </c>
      <c r="S1359">
        <v>0</v>
      </c>
      <c r="T1359" t="s">
        <v>72</v>
      </c>
    </row>
    <row r="1360" spans="1:25" customFormat="1" ht="15" x14ac:dyDescent="0.25">
      <c r="A1360" t="s">
        <v>35</v>
      </c>
      <c r="B1360" t="s">
        <v>36</v>
      </c>
      <c r="C1360" t="str">
        <f>"A0190941"</f>
        <v>A0190941</v>
      </c>
      <c r="D1360" t="s">
        <v>6023</v>
      </c>
      <c r="E1360" t="s">
        <v>6024</v>
      </c>
      <c r="F1360" t="s">
        <v>6025</v>
      </c>
      <c r="G1360" t="s">
        <v>840</v>
      </c>
      <c r="H1360">
        <v>41314</v>
      </c>
      <c r="I1360" t="s">
        <v>30</v>
      </c>
      <c r="J1360" t="s">
        <v>41</v>
      </c>
      <c r="K1360" t="s">
        <v>6026</v>
      </c>
      <c r="Q1360">
        <v>0</v>
      </c>
      <c r="R1360">
        <v>0</v>
      </c>
      <c r="S1360">
        <v>0</v>
      </c>
      <c r="T1360" t="s">
        <v>6027</v>
      </c>
    </row>
    <row r="1361" spans="1:20" customFormat="1" ht="15" x14ac:dyDescent="0.25">
      <c r="A1361" t="s">
        <v>35</v>
      </c>
      <c r="B1361" t="s">
        <v>36</v>
      </c>
      <c r="C1361" t="str">
        <f>"A0190940"</f>
        <v>A0190940</v>
      </c>
      <c r="D1361" t="s">
        <v>6028</v>
      </c>
      <c r="E1361" t="s">
        <v>6029</v>
      </c>
      <c r="F1361" t="s">
        <v>6030</v>
      </c>
      <c r="G1361" t="s">
        <v>52</v>
      </c>
      <c r="H1361">
        <v>78024</v>
      </c>
      <c r="I1361" t="s">
        <v>30</v>
      </c>
      <c r="J1361" t="s">
        <v>41</v>
      </c>
      <c r="K1361" t="s">
        <v>42</v>
      </c>
      <c r="Q1361">
        <v>0</v>
      </c>
      <c r="R1361">
        <v>0</v>
      </c>
      <c r="S1361">
        <v>0</v>
      </c>
      <c r="T1361" t="s">
        <v>6031</v>
      </c>
    </row>
    <row r="1362" spans="1:20" customFormat="1" ht="15" x14ac:dyDescent="0.25">
      <c r="A1362" t="s">
        <v>35</v>
      </c>
      <c r="B1362" t="s">
        <v>2452</v>
      </c>
      <c r="C1362" t="str">
        <f>"A0190939"</f>
        <v>A0190939</v>
      </c>
      <c r="D1362" t="s">
        <v>6032</v>
      </c>
      <c r="E1362" t="s">
        <v>6033</v>
      </c>
      <c r="F1362" t="s">
        <v>1755</v>
      </c>
      <c r="G1362" t="s">
        <v>899</v>
      </c>
      <c r="H1362">
        <v>1104</v>
      </c>
      <c r="I1362" t="s">
        <v>30</v>
      </c>
      <c r="J1362" t="s">
        <v>41</v>
      </c>
      <c r="K1362" t="s">
        <v>391</v>
      </c>
      <c r="Q1362">
        <v>0</v>
      </c>
      <c r="R1362">
        <v>0</v>
      </c>
      <c r="S1362">
        <v>0</v>
      </c>
      <c r="T1362" t="s">
        <v>6034</v>
      </c>
    </row>
    <row r="1363" spans="1:20" customFormat="1" ht="15" x14ac:dyDescent="0.25">
      <c r="A1363" t="s">
        <v>35</v>
      </c>
      <c r="B1363" t="s">
        <v>6035</v>
      </c>
      <c r="C1363" t="str">
        <f>"A0190938"</f>
        <v>A0190938</v>
      </c>
      <c r="D1363" t="s">
        <v>6036</v>
      </c>
      <c r="E1363" t="s">
        <v>6037</v>
      </c>
      <c r="F1363" t="s">
        <v>5688</v>
      </c>
      <c r="G1363" t="s">
        <v>103</v>
      </c>
      <c r="H1363">
        <v>17547</v>
      </c>
      <c r="I1363" t="s">
        <v>30</v>
      </c>
      <c r="J1363" t="s">
        <v>41</v>
      </c>
      <c r="K1363" t="s">
        <v>461</v>
      </c>
      <c r="Q1363">
        <v>0</v>
      </c>
      <c r="R1363">
        <v>0</v>
      </c>
      <c r="S1363">
        <v>25</v>
      </c>
      <c r="T1363" t="s">
        <v>6038</v>
      </c>
    </row>
    <row r="1364" spans="1:20" customFormat="1" ht="15" x14ac:dyDescent="0.25">
      <c r="A1364" t="s">
        <v>35</v>
      </c>
      <c r="B1364" t="s">
        <v>6039</v>
      </c>
      <c r="C1364" t="str">
        <f>"A0190937"</f>
        <v>A0190937</v>
      </c>
      <c r="D1364" t="s">
        <v>6040</v>
      </c>
      <c r="E1364" t="s">
        <v>6041</v>
      </c>
      <c r="F1364" t="s">
        <v>4674</v>
      </c>
      <c r="G1364" t="s">
        <v>314</v>
      </c>
      <c r="H1364">
        <v>20032</v>
      </c>
      <c r="I1364" t="s">
        <v>30</v>
      </c>
      <c r="J1364" t="s">
        <v>41</v>
      </c>
      <c r="K1364" t="s">
        <v>59</v>
      </c>
      <c r="Q1364">
        <v>0</v>
      </c>
      <c r="R1364">
        <v>0</v>
      </c>
      <c r="S1364">
        <v>0</v>
      </c>
      <c r="T1364" t="s">
        <v>6042</v>
      </c>
    </row>
    <row r="1365" spans="1:20" customFormat="1" ht="15" x14ac:dyDescent="0.25">
      <c r="A1365" t="s">
        <v>35</v>
      </c>
      <c r="B1365" t="s">
        <v>6039</v>
      </c>
      <c r="C1365" t="str">
        <f>"A0190936"</f>
        <v>A0190936</v>
      </c>
      <c r="D1365" t="s">
        <v>6043</v>
      </c>
      <c r="E1365" t="s">
        <v>6044</v>
      </c>
      <c r="F1365" t="s">
        <v>6045</v>
      </c>
      <c r="G1365" t="s">
        <v>123</v>
      </c>
      <c r="H1365">
        <v>20912</v>
      </c>
      <c r="I1365" t="s">
        <v>30</v>
      </c>
      <c r="J1365" t="s">
        <v>41</v>
      </c>
      <c r="K1365" t="s">
        <v>59</v>
      </c>
      <c r="Q1365">
        <v>0</v>
      </c>
      <c r="R1365">
        <v>0</v>
      </c>
      <c r="S1365">
        <v>0</v>
      </c>
      <c r="T1365" t="s">
        <v>6046</v>
      </c>
    </row>
    <row r="1366" spans="1:20" customFormat="1" ht="15" x14ac:dyDescent="0.25">
      <c r="A1366" t="s">
        <v>35</v>
      </c>
      <c r="B1366" t="s">
        <v>6039</v>
      </c>
      <c r="C1366" t="str">
        <f>"A0190935"</f>
        <v>A0190935</v>
      </c>
      <c r="D1366" t="s">
        <v>6047</v>
      </c>
      <c r="E1366" t="s">
        <v>6048</v>
      </c>
      <c r="F1366" t="s">
        <v>6049</v>
      </c>
      <c r="G1366" t="s">
        <v>123</v>
      </c>
      <c r="H1366">
        <v>20877</v>
      </c>
      <c r="I1366" t="s">
        <v>30</v>
      </c>
      <c r="J1366" t="s">
        <v>41</v>
      </c>
      <c r="K1366" t="s">
        <v>59</v>
      </c>
      <c r="Q1366">
        <v>0</v>
      </c>
      <c r="R1366">
        <v>0</v>
      </c>
      <c r="S1366">
        <v>0</v>
      </c>
      <c r="T1366" t="s">
        <v>6050</v>
      </c>
    </row>
    <row r="1367" spans="1:20" customFormat="1" ht="15" x14ac:dyDescent="0.25">
      <c r="A1367" t="s">
        <v>35</v>
      </c>
      <c r="B1367" t="s">
        <v>6039</v>
      </c>
      <c r="C1367" t="str">
        <f>"A0190934"</f>
        <v>A0190934</v>
      </c>
      <c r="D1367" t="s">
        <v>6051</v>
      </c>
      <c r="E1367" t="s">
        <v>6052</v>
      </c>
      <c r="F1367" t="s">
        <v>6053</v>
      </c>
      <c r="G1367" t="s">
        <v>123</v>
      </c>
      <c r="H1367">
        <v>20782</v>
      </c>
      <c r="I1367" t="s">
        <v>30</v>
      </c>
      <c r="J1367" t="s">
        <v>41</v>
      </c>
      <c r="K1367" t="s">
        <v>59</v>
      </c>
      <c r="Q1367">
        <v>0</v>
      </c>
      <c r="R1367">
        <v>0</v>
      </c>
      <c r="S1367">
        <v>0</v>
      </c>
      <c r="T1367" t="s">
        <v>6054</v>
      </c>
    </row>
    <row r="1368" spans="1:20" customFormat="1" ht="15" x14ac:dyDescent="0.25">
      <c r="A1368" t="s">
        <v>35</v>
      </c>
      <c r="B1368" t="s">
        <v>6039</v>
      </c>
      <c r="C1368" t="str">
        <f>"A0190933"</f>
        <v>A0190933</v>
      </c>
      <c r="D1368" t="s">
        <v>6055</v>
      </c>
      <c r="E1368" t="s">
        <v>6056</v>
      </c>
      <c r="F1368" t="s">
        <v>6045</v>
      </c>
      <c r="G1368" t="s">
        <v>123</v>
      </c>
      <c r="H1368">
        <v>20912</v>
      </c>
      <c r="I1368" t="s">
        <v>30</v>
      </c>
      <c r="J1368" t="s">
        <v>41</v>
      </c>
      <c r="K1368" t="s">
        <v>59</v>
      </c>
      <c r="Q1368">
        <v>0</v>
      </c>
      <c r="R1368">
        <v>0</v>
      </c>
      <c r="S1368">
        <v>0</v>
      </c>
      <c r="T1368" t="s">
        <v>6057</v>
      </c>
    </row>
    <row r="1369" spans="1:20" customFormat="1" ht="15" x14ac:dyDescent="0.25">
      <c r="A1369" t="s">
        <v>35</v>
      </c>
      <c r="B1369" t="s">
        <v>6039</v>
      </c>
      <c r="C1369" t="str">
        <f>"A0190932"</f>
        <v>A0190932</v>
      </c>
      <c r="D1369" t="s">
        <v>6058</v>
      </c>
      <c r="E1369" t="s">
        <v>6059</v>
      </c>
      <c r="F1369" t="s">
        <v>4082</v>
      </c>
      <c r="G1369" t="s">
        <v>123</v>
      </c>
      <c r="H1369">
        <v>21211</v>
      </c>
      <c r="I1369" t="s">
        <v>30</v>
      </c>
      <c r="J1369" t="s">
        <v>41</v>
      </c>
      <c r="K1369" t="s">
        <v>59</v>
      </c>
      <c r="Q1369">
        <v>0</v>
      </c>
      <c r="R1369">
        <v>0</v>
      </c>
      <c r="S1369">
        <v>0</v>
      </c>
      <c r="T1369" t="s">
        <v>6060</v>
      </c>
    </row>
    <row r="1370" spans="1:20" customFormat="1" ht="15" x14ac:dyDescent="0.25">
      <c r="A1370" t="s">
        <v>35</v>
      </c>
      <c r="B1370" t="s">
        <v>6039</v>
      </c>
      <c r="C1370" t="str">
        <f>"A0190931"</f>
        <v>A0190931</v>
      </c>
      <c r="D1370" t="s">
        <v>6061</v>
      </c>
      <c r="E1370" t="s">
        <v>6062</v>
      </c>
      <c r="F1370" t="s">
        <v>4082</v>
      </c>
      <c r="G1370" t="s">
        <v>123</v>
      </c>
      <c r="H1370">
        <v>21223</v>
      </c>
      <c r="I1370" t="s">
        <v>30</v>
      </c>
      <c r="J1370" t="s">
        <v>41</v>
      </c>
      <c r="K1370" t="s">
        <v>59</v>
      </c>
      <c r="Q1370">
        <v>0</v>
      </c>
      <c r="R1370">
        <v>0</v>
      </c>
      <c r="S1370">
        <v>0</v>
      </c>
      <c r="T1370" t="s">
        <v>6063</v>
      </c>
    </row>
    <row r="1371" spans="1:20" customFormat="1" ht="15" x14ac:dyDescent="0.25">
      <c r="A1371" t="s">
        <v>35</v>
      </c>
      <c r="B1371" t="s">
        <v>6039</v>
      </c>
      <c r="C1371" t="str">
        <f>"A0190930"</f>
        <v>A0190930</v>
      </c>
      <c r="D1371" t="s">
        <v>6064</v>
      </c>
      <c r="E1371" t="s">
        <v>6065</v>
      </c>
      <c r="F1371" t="s">
        <v>4082</v>
      </c>
      <c r="G1371" t="s">
        <v>123</v>
      </c>
      <c r="H1371">
        <v>21201</v>
      </c>
      <c r="I1371" t="s">
        <v>30</v>
      </c>
      <c r="J1371" t="s">
        <v>41</v>
      </c>
      <c r="K1371" t="s">
        <v>59</v>
      </c>
      <c r="Q1371">
        <v>0</v>
      </c>
      <c r="R1371">
        <v>0</v>
      </c>
      <c r="S1371">
        <v>0</v>
      </c>
      <c r="T1371" t="s">
        <v>6066</v>
      </c>
    </row>
    <row r="1372" spans="1:20" customFormat="1" ht="15" x14ac:dyDescent="0.25">
      <c r="A1372" t="s">
        <v>35</v>
      </c>
      <c r="B1372" t="s">
        <v>6039</v>
      </c>
      <c r="C1372" t="str">
        <f>"A0190929"</f>
        <v>A0190929</v>
      </c>
      <c r="D1372" t="s">
        <v>6067</v>
      </c>
      <c r="E1372" t="s">
        <v>6068</v>
      </c>
      <c r="F1372" t="s">
        <v>4082</v>
      </c>
      <c r="G1372" t="s">
        <v>123</v>
      </c>
      <c r="H1372">
        <v>21229</v>
      </c>
      <c r="I1372" t="s">
        <v>30</v>
      </c>
      <c r="J1372" t="s">
        <v>41</v>
      </c>
      <c r="K1372" t="s">
        <v>59</v>
      </c>
      <c r="Q1372">
        <v>0</v>
      </c>
      <c r="R1372">
        <v>0</v>
      </c>
      <c r="S1372">
        <v>0</v>
      </c>
      <c r="T1372" t="s">
        <v>6069</v>
      </c>
    </row>
    <row r="1373" spans="1:20" customFormat="1" ht="15" x14ac:dyDescent="0.25">
      <c r="A1373" t="s">
        <v>35</v>
      </c>
      <c r="B1373" t="s">
        <v>6039</v>
      </c>
      <c r="C1373" t="str">
        <f>"A0190928"</f>
        <v>A0190928</v>
      </c>
      <c r="D1373" t="s">
        <v>6070</v>
      </c>
      <c r="E1373" t="s">
        <v>6071</v>
      </c>
      <c r="F1373" t="s">
        <v>4674</v>
      </c>
      <c r="G1373" t="s">
        <v>314</v>
      </c>
      <c r="H1373">
        <v>20011</v>
      </c>
      <c r="I1373" t="s">
        <v>30</v>
      </c>
      <c r="J1373" t="s">
        <v>41</v>
      </c>
      <c r="K1373" t="s">
        <v>59</v>
      </c>
      <c r="Q1373">
        <v>0</v>
      </c>
      <c r="R1373">
        <v>0</v>
      </c>
      <c r="S1373">
        <v>0</v>
      </c>
      <c r="T1373" t="s">
        <v>6072</v>
      </c>
    </row>
    <row r="1374" spans="1:20" customFormat="1" ht="15" x14ac:dyDescent="0.25">
      <c r="A1374" t="s">
        <v>35</v>
      </c>
      <c r="B1374" t="s">
        <v>6039</v>
      </c>
      <c r="C1374" t="str">
        <f>"A0190927"</f>
        <v>A0190927</v>
      </c>
      <c r="D1374" t="s">
        <v>6073</v>
      </c>
      <c r="E1374" t="s">
        <v>6074</v>
      </c>
      <c r="F1374" t="s">
        <v>6075</v>
      </c>
      <c r="G1374" t="s">
        <v>123</v>
      </c>
      <c r="H1374">
        <v>20744</v>
      </c>
      <c r="I1374" t="s">
        <v>30</v>
      </c>
      <c r="J1374" t="s">
        <v>41</v>
      </c>
      <c r="K1374" t="s">
        <v>59</v>
      </c>
      <c r="Q1374">
        <v>0</v>
      </c>
      <c r="R1374">
        <v>0</v>
      </c>
      <c r="S1374">
        <v>0</v>
      </c>
      <c r="T1374" t="s">
        <v>6076</v>
      </c>
    </row>
    <row r="1375" spans="1:20" customFormat="1" ht="15" x14ac:dyDescent="0.25">
      <c r="A1375" t="s">
        <v>35</v>
      </c>
      <c r="B1375" t="s">
        <v>6039</v>
      </c>
      <c r="C1375" t="str">
        <f>"A0190926"</f>
        <v>A0190926</v>
      </c>
      <c r="D1375" t="s">
        <v>6077</v>
      </c>
      <c r="E1375" t="s">
        <v>6078</v>
      </c>
      <c r="F1375" t="s">
        <v>4082</v>
      </c>
      <c r="G1375" t="s">
        <v>123</v>
      </c>
      <c r="H1375">
        <v>21205</v>
      </c>
      <c r="I1375" t="s">
        <v>30</v>
      </c>
      <c r="J1375" t="s">
        <v>41</v>
      </c>
      <c r="K1375" t="s">
        <v>59</v>
      </c>
      <c r="Q1375">
        <v>0</v>
      </c>
      <c r="R1375">
        <v>0</v>
      </c>
      <c r="S1375">
        <v>0</v>
      </c>
      <c r="T1375" t="s">
        <v>6079</v>
      </c>
    </row>
    <row r="1376" spans="1:20" customFormat="1" ht="15" x14ac:dyDescent="0.25">
      <c r="A1376" t="s">
        <v>35</v>
      </c>
      <c r="B1376" t="s">
        <v>6039</v>
      </c>
      <c r="C1376" t="str">
        <f>"A0190925"</f>
        <v>A0190925</v>
      </c>
      <c r="D1376" t="s">
        <v>6080</v>
      </c>
      <c r="E1376" t="s">
        <v>6081</v>
      </c>
      <c r="F1376" t="s">
        <v>4082</v>
      </c>
      <c r="G1376" t="s">
        <v>123</v>
      </c>
      <c r="H1376">
        <v>21201</v>
      </c>
      <c r="I1376" t="s">
        <v>30</v>
      </c>
      <c r="J1376" t="s">
        <v>41</v>
      </c>
      <c r="K1376" t="s">
        <v>59</v>
      </c>
      <c r="Q1376">
        <v>0</v>
      </c>
      <c r="R1376">
        <v>0</v>
      </c>
      <c r="S1376">
        <v>0</v>
      </c>
      <c r="T1376" t="s">
        <v>6082</v>
      </c>
    </row>
    <row r="1377" spans="1:20" customFormat="1" ht="15" x14ac:dyDescent="0.25">
      <c r="A1377" t="s">
        <v>35</v>
      </c>
      <c r="B1377" t="s">
        <v>6039</v>
      </c>
      <c r="C1377" t="str">
        <f>"A0190924"</f>
        <v>A0190924</v>
      </c>
      <c r="D1377" t="s">
        <v>6083</v>
      </c>
      <c r="E1377" t="s">
        <v>6084</v>
      </c>
      <c r="F1377" t="s">
        <v>6085</v>
      </c>
      <c r="G1377" t="s">
        <v>123</v>
      </c>
      <c r="H1377">
        <v>21701</v>
      </c>
      <c r="I1377" t="s">
        <v>30</v>
      </c>
      <c r="J1377" t="s">
        <v>41</v>
      </c>
      <c r="K1377" t="s">
        <v>59</v>
      </c>
      <c r="Q1377">
        <v>0</v>
      </c>
      <c r="R1377">
        <v>0</v>
      </c>
      <c r="S1377">
        <v>0</v>
      </c>
      <c r="T1377" t="s">
        <v>6086</v>
      </c>
    </row>
    <row r="1378" spans="1:20" customFormat="1" ht="15" x14ac:dyDescent="0.25">
      <c r="A1378" t="s">
        <v>35</v>
      </c>
      <c r="B1378" t="s">
        <v>6039</v>
      </c>
      <c r="C1378" t="str">
        <f>"A0190923"</f>
        <v>A0190923</v>
      </c>
      <c r="D1378" t="s">
        <v>6087</v>
      </c>
      <c r="E1378" t="s">
        <v>6088</v>
      </c>
      <c r="F1378" t="s">
        <v>6089</v>
      </c>
      <c r="G1378" t="s">
        <v>123</v>
      </c>
      <c r="H1378">
        <v>20746</v>
      </c>
      <c r="I1378" t="s">
        <v>30</v>
      </c>
      <c r="J1378" t="s">
        <v>41</v>
      </c>
      <c r="K1378" t="s">
        <v>59</v>
      </c>
      <c r="Q1378">
        <v>0</v>
      </c>
      <c r="R1378">
        <v>0</v>
      </c>
      <c r="S1378">
        <v>0</v>
      </c>
      <c r="T1378" t="s">
        <v>6090</v>
      </c>
    </row>
    <row r="1379" spans="1:20" customFormat="1" ht="15" x14ac:dyDescent="0.25">
      <c r="A1379" t="s">
        <v>35</v>
      </c>
      <c r="B1379" t="s">
        <v>6039</v>
      </c>
      <c r="C1379" t="str">
        <f>"A0190922"</f>
        <v>A0190922</v>
      </c>
      <c r="D1379" t="s">
        <v>6091</v>
      </c>
      <c r="E1379" t="s">
        <v>6092</v>
      </c>
      <c r="F1379" t="s">
        <v>4674</v>
      </c>
      <c r="G1379" t="s">
        <v>314</v>
      </c>
      <c r="H1379">
        <v>20032</v>
      </c>
      <c r="I1379" t="s">
        <v>30</v>
      </c>
      <c r="J1379" t="s">
        <v>41</v>
      </c>
      <c r="K1379" t="s">
        <v>59</v>
      </c>
      <c r="Q1379">
        <v>0</v>
      </c>
      <c r="R1379">
        <v>0</v>
      </c>
      <c r="S1379">
        <v>0</v>
      </c>
      <c r="T1379" t="s">
        <v>6093</v>
      </c>
    </row>
    <row r="1380" spans="1:20" customFormat="1" ht="15" x14ac:dyDescent="0.25">
      <c r="A1380" t="s">
        <v>35</v>
      </c>
      <c r="B1380" t="s">
        <v>6039</v>
      </c>
      <c r="C1380" t="str">
        <f>"A0190921"</f>
        <v>A0190921</v>
      </c>
      <c r="D1380" t="s">
        <v>6094</v>
      </c>
      <c r="E1380" t="s">
        <v>6095</v>
      </c>
      <c r="F1380" t="s">
        <v>4674</v>
      </c>
      <c r="G1380" t="s">
        <v>528</v>
      </c>
      <c r="H1380">
        <v>20032</v>
      </c>
      <c r="I1380" t="s">
        <v>30</v>
      </c>
      <c r="J1380" t="s">
        <v>41</v>
      </c>
      <c r="K1380" t="s">
        <v>59</v>
      </c>
      <c r="Q1380">
        <v>0</v>
      </c>
      <c r="R1380">
        <v>0</v>
      </c>
      <c r="S1380">
        <v>0</v>
      </c>
      <c r="T1380" t="s">
        <v>6096</v>
      </c>
    </row>
    <row r="1381" spans="1:20" customFormat="1" ht="15" x14ac:dyDescent="0.25">
      <c r="A1381" t="s">
        <v>35</v>
      </c>
      <c r="B1381" t="s">
        <v>6039</v>
      </c>
      <c r="C1381" t="str">
        <f>"A0190920"</f>
        <v>A0190920</v>
      </c>
      <c r="D1381" t="s">
        <v>6097</v>
      </c>
      <c r="E1381" t="s">
        <v>6098</v>
      </c>
      <c r="F1381" t="s">
        <v>6099</v>
      </c>
      <c r="G1381" t="s">
        <v>123</v>
      </c>
      <c r="H1381">
        <v>20712</v>
      </c>
      <c r="I1381" t="s">
        <v>30</v>
      </c>
      <c r="J1381" t="s">
        <v>41</v>
      </c>
      <c r="K1381" t="s">
        <v>59</v>
      </c>
      <c r="Q1381">
        <v>0</v>
      </c>
      <c r="R1381">
        <v>0</v>
      </c>
      <c r="S1381">
        <v>0</v>
      </c>
      <c r="T1381" t="s">
        <v>6100</v>
      </c>
    </row>
    <row r="1382" spans="1:20" customFormat="1" ht="15" x14ac:dyDescent="0.25">
      <c r="A1382" t="s">
        <v>35</v>
      </c>
      <c r="B1382" t="s">
        <v>6039</v>
      </c>
      <c r="C1382" t="str">
        <f>"A0190919"</f>
        <v>A0190919</v>
      </c>
      <c r="D1382" t="s">
        <v>6101</v>
      </c>
      <c r="E1382" t="s">
        <v>6102</v>
      </c>
      <c r="F1382" t="s">
        <v>6053</v>
      </c>
      <c r="G1382" t="s">
        <v>123</v>
      </c>
      <c r="H1382">
        <v>20783</v>
      </c>
      <c r="I1382" t="s">
        <v>30</v>
      </c>
      <c r="J1382" t="s">
        <v>41</v>
      </c>
      <c r="K1382" t="s">
        <v>59</v>
      </c>
      <c r="Q1382">
        <v>0</v>
      </c>
      <c r="R1382">
        <v>0</v>
      </c>
      <c r="S1382">
        <v>0</v>
      </c>
      <c r="T1382" t="s">
        <v>6103</v>
      </c>
    </row>
    <row r="1383" spans="1:20" customFormat="1" ht="15" x14ac:dyDescent="0.25">
      <c r="A1383" t="s">
        <v>35</v>
      </c>
      <c r="B1383" t="s">
        <v>6039</v>
      </c>
      <c r="C1383" t="str">
        <f>"A0190918"</f>
        <v>A0190918</v>
      </c>
      <c r="D1383" t="s">
        <v>6104</v>
      </c>
      <c r="E1383" t="s">
        <v>6105</v>
      </c>
      <c r="F1383" t="s">
        <v>6106</v>
      </c>
      <c r="G1383" t="s">
        <v>123</v>
      </c>
      <c r="H1383">
        <v>20748</v>
      </c>
      <c r="I1383" t="s">
        <v>30</v>
      </c>
      <c r="J1383" t="s">
        <v>41</v>
      </c>
      <c r="K1383" t="s">
        <v>59</v>
      </c>
      <c r="Q1383">
        <v>0</v>
      </c>
      <c r="R1383">
        <v>0</v>
      </c>
      <c r="S1383">
        <v>0</v>
      </c>
      <c r="T1383" t="s">
        <v>6103</v>
      </c>
    </row>
    <row r="1384" spans="1:20" customFormat="1" ht="15" x14ac:dyDescent="0.25">
      <c r="A1384" t="s">
        <v>35</v>
      </c>
      <c r="B1384" t="s">
        <v>6039</v>
      </c>
      <c r="C1384" t="str">
        <f>"A0190917"</f>
        <v>A0190917</v>
      </c>
      <c r="D1384" t="s">
        <v>6107</v>
      </c>
      <c r="E1384" t="s">
        <v>6108</v>
      </c>
      <c r="F1384" t="s">
        <v>1735</v>
      </c>
      <c r="G1384" t="s">
        <v>29</v>
      </c>
      <c r="H1384">
        <v>22801</v>
      </c>
      <c r="I1384" t="s">
        <v>30</v>
      </c>
      <c r="J1384" t="s">
        <v>41</v>
      </c>
      <c r="K1384" t="s">
        <v>59</v>
      </c>
      <c r="Q1384">
        <v>0</v>
      </c>
      <c r="R1384">
        <v>0</v>
      </c>
      <c r="S1384">
        <v>0</v>
      </c>
      <c r="T1384" t="s">
        <v>6109</v>
      </c>
    </row>
    <row r="1385" spans="1:20" customFormat="1" ht="15" x14ac:dyDescent="0.25">
      <c r="A1385" t="s">
        <v>35</v>
      </c>
      <c r="B1385" t="s">
        <v>6039</v>
      </c>
      <c r="C1385" t="str">
        <f>"A0190916"</f>
        <v>A0190916</v>
      </c>
      <c r="D1385" t="s">
        <v>6110</v>
      </c>
      <c r="E1385" t="s">
        <v>6111</v>
      </c>
      <c r="F1385" t="s">
        <v>4094</v>
      </c>
      <c r="G1385" t="s">
        <v>29</v>
      </c>
      <c r="H1385">
        <v>22401</v>
      </c>
      <c r="I1385" t="s">
        <v>30</v>
      </c>
      <c r="J1385" t="s">
        <v>41</v>
      </c>
      <c r="K1385" t="s">
        <v>59</v>
      </c>
      <c r="Q1385">
        <v>0</v>
      </c>
      <c r="R1385">
        <v>0</v>
      </c>
      <c r="S1385">
        <v>0</v>
      </c>
      <c r="T1385" t="s">
        <v>6112</v>
      </c>
    </row>
    <row r="1386" spans="1:20" customFormat="1" ht="15" x14ac:dyDescent="0.25">
      <c r="A1386" t="s">
        <v>35</v>
      </c>
      <c r="B1386" t="s">
        <v>6039</v>
      </c>
      <c r="C1386" t="str">
        <f>"A0190915"</f>
        <v>A0190915</v>
      </c>
      <c r="D1386" t="s">
        <v>6113</v>
      </c>
      <c r="E1386" t="s">
        <v>6114</v>
      </c>
      <c r="F1386" t="s">
        <v>6115</v>
      </c>
      <c r="G1386" t="s">
        <v>29</v>
      </c>
      <c r="H1386">
        <v>20175</v>
      </c>
      <c r="I1386" t="s">
        <v>30</v>
      </c>
      <c r="J1386" t="s">
        <v>41</v>
      </c>
      <c r="K1386" t="s">
        <v>59</v>
      </c>
      <c r="Q1386">
        <v>0</v>
      </c>
      <c r="R1386">
        <v>0</v>
      </c>
      <c r="S1386">
        <v>0</v>
      </c>
      <c r="T1386" t="s">
        <v>6116</v>
      </c>
    </row>
    <row r="1387" spans="1:20" customFormat="1" ht="15" x14ac:dyDescent="0.25">
      <c r="A1387" t="s">
        <v>35</v>
      </c>
      <c r="B1387" t="s">
        <v>6039</v>
      </c>
      <c r="C1387" t="str">
        <f>"A0190914"</f>
        <v>A0190914</v>
      </c>
      <c r="D1387" t="s">
        <v>6117</v>
      </c>
      <c r="E1387" t="s">
        <v>6118</v>
      </c>
      <c r="F1387" t="s">
        <v>6119</v>
      </c>
      <c r="G1387" t="s">
        <v>123</v>
      </c>
      <c r="H1387">
        <v>20707</v>
      </c>
      <c r="I1387" t="s">
        <v>30</v>
      </c>
      <c r="J1387" t="s">
        <v>41</v>
      </c>
      <c r="K1387" t="s">
        <v>59</v>
      </c>
      <c r="Q1387">
        <v>0</v>
      </c>
      <c r="R1387">
        <v>0</v>
      </c>
      <c r="S1387">
        <v>0</v>
      </c>
      <c r="T1387" t="s">
        <v>6120</v>
      </c>
    </row>
    <row r="1388" spans="1:20" customFormat="1" ht="15" x14ac:dyDescent="0.25">
      <c r="A1388" t="s">
        <v>35</v>
      </c>
      <c r="B1388" t="s">
        <v>6039</v>
      </c>
      <c r="C1388" t="str">
        <f>"A0190913"</f>
        <v>A0190913</v>
      </c>
      <c r="D1388" t="s">
        <v>6121</v>
      </c>
      <c r="E1388" t="s">
        <v>6122</v>
      </c>
      <c r="F1388" t="s">
        <v>4082</v>
      </c>
      <c r="G1388" t="s">
        <v>123</v>
      </c>
      <c r="H1388">
        <v>21213</v>
      </c>
      <c r="I1388" t="s">
        <v>30</v>
      </c>
      <c r="J1388" t="s">
        <v>41</v>
      </c>
      <c r="K1388" t="s">
        <v>59</v>
      </c>
      <c r="Q1388">
        <v>0</v>
      </c>
      <c r="R1388">
        <v>0</v>
      </c>
      <c r="S1388">
        <v>0</v>
      </c>
      <c r="T1388" t="s">
        <v>6123</v>
      </c>
    </row>
    <row r="1389" spans="1:20" customFormat="1" ht="15" x14ac:dyDescent="0.25">
      <c r="A1389" t="s">
        <v>35</v>
      </c>
      <c r="B1389" t="s">
        <v>6039</v>
      </c>
      <c r="C1389" t="str">
        <f>"A0190912"</f>
        <v>A0190912</v>
      </c>
      <c r="D1389" t="s">
        <v>6124</v>
      </c>
      <c r="E1389" t="s">
        <v>6125</v>
      </c>
      <c r="F1389" t="s">
        <v>6126</v>
      </c>
      <c r="G1389" t="s">
        <v>123</v>
      </c>
      <c r="H1389">
        <v>20905</v>
      </c>
      <c r="I1389" t="s">
        <v>30</v>
      </c>
      <c r="J1389" t="s">
        <v>41</v>
      </c>
      <c r="K1389" t="s">
        <v>59</v>
      </c>
      <c r="Q1389">
        <v>0</v>
      </c>
      <c r="R1389">
        <v>0</v>
      </c>
      <c r="S1389">
        <v>0</v>
      </c>
      <c r="T1389" t="s">
        <v>6127</v>
      </c>
    </row>
    <row r="1390" spans="1:20" customFormat="1" ht="15" x14ac:dyDescent="0.25">
      <c r="A1390" t="s">
        <v>35</v>
      </c>
      <c r="B1390" t="s">
        <v>6039</v>
      </c>
      <c r="C1390" t="str">
        <f>"A0190911"</f>
        <v>A0190911</v>
      </c>
      <c r="D1390" t="s">
        <v>6128</v>
      </c>
      <c r="E1390" t="s">
        <v>6129</v>
      </c>
      <c r="F1390" t="s">
        <v>6045</v>
      </c>
      <c r="G1390" t="s">
        <v>123</v>
      </c>
      <c r="H1390">
        <v>20912</v>
      </c>
      <c r="I1390" t="s">
        <v>30</v>
      </c>
      <c r="J1390" t="s">
        <v>41</v>
      </c>
      <c r="K1390" t="s">
        <v>59</v>
      </c>
      <c r="Q1390">
        <v>0</v>
      </c>
      <c r="R1390">
        <v>0</v>
      </c>
      <c r="S1390">
        <v>0</v>
      </c>
      <c r="T1390" t="s">
        <v>6057</v>
      </c>
    </row>
    <row r="1391" spans="1:20" customFormat="1" ht="15" x14ac:dyDescent="0.25">
      <c r="A1391" t="s">
        <v>35</v>
      </c>
      <c r="B1391" t="s">
        <v>6039</v>
      </c>
      <c r="C1391" t="str">
        <f>"A0190910"</f>
        <v>A0190910</v>
      </c>
      <c r="D1391" t="s">
        <v>6130</v>
      </c>
      <c r="E1391" t="s">
        <v>6084</v>
      </c>
      <c r="F1391" t="s">
        <v>6085</v>
      </c>
      <c r="G1391" t="s">
        <v>123</v>
      </c>
      <c r="H1391">
        <v>21701</v>
      </c>
      <c r="I1391" t="s">
        <v>30</v>
      </c>
      <c r="J1391" t="s">
        <v>41</v>
      </c>
      <c r="K1391" t="s">
        <v>59</v>
      </c>
      <c r="Q1391">
        <v>0</v>
      </c>
      <c r="R1391">
        <v>0</v>
      </c>
      <c r="S1391">
        <v>0</v>
      </c>
      <c r="T1391" t="s">
        <v>6131</v>
      </c>
    </row>
    <row r="1392" spans="1:20" customFormat="1" ht="15" x14ac:dyDescent="0.25">
      <c r="A1392" t="s">
        <v>35</v>
      </c>
      <c r="B1392" t="s">
        <v>6039</v>
      </c>
      <c r="C1392" t="str">
        <f>"A0190909"</f>
        <v>A0190909</v>
      </c>
      <c r="D1392" t="s">
        <v>6132</v>
      </c>
      <c r="E1392" t="s">
        <v>6133</v>
      </c>
      <c r="F1392" t="s">
        <v>6045</v>
      </c>
      <c r="G1392" t="s">
        <v>123</v>
      </c>
      <c r="H1392">
        <v>20912</v>
      </c>
      <c r="I1392" t="s">
        <v>30</v>
      </c>
      <c r="J1392" t="s">
        <v>41</v>
      </c>
      <c r="K1392" t="s">
        <v>59</v>
      </c>
      <c r="Q1392">
        <v>0</v>
      </c>
      <c r="R1392">
        <v>0</v>
      </c>
      <c r="S1392">
        <v>0</v>
      </c>
      <c r="T1392" t="s">
        <v>6134</v>
      </c>
    </row>
    <row r="1393" spans="1:20" customFormat="1" ht="15" x14ac:dyDescent="0.25">
      <c r="A1393" t="s">
        <v>35</v>
      </c>
      <c r="B1393" t="s">
        <v>6039</v>
      </c>
      <c r="C1393" t="str">
        <f>"A0190908"</f>
        <v>A0190908</v>
      </c>
      <c r="D1393" t="s">
        <v>6135</v>
      </c>
      <c r="E1393" t="s">
        <v>6136</v>
      </c>
      <c r="F1393" t="s">
        <v>6137</v>
      </c>
      <c r="G1393" t="s">
        <v>123</v>
      </c>
      <c r="H1393">
        <v>20904</v>
      </c>
      <c r="I1393" t="s">
        <v>30</v>
      </c>
      <c r="J1393" t="s">
        <v>41</v>
      </c>
      <c r="K1393" t="s">
        <v>59</v>
      </c>
      <c r="Q1393">
        <v>0</v>
      </c>
      <c r="R1393">
        <v>0</v>
      </c>
      <c r="S1393">
        <v>0</v>
      </c>
      <c r="T1393" t="s">
        <v>6138</v>
      </c>
    </row>
    <row r="1394" spans="1:20" customFormat="1" ht="15" x14ac:dyDescent="0.25">
      <c r="A1394" t="s">
        <v>35</v>
      </c>
      <c r="B1394" t="s">
        <v>6039</v>
      </c>
      <c r="C1394" t="str">
        <f>"A0190907"</f>
        <v>A0190907</v>
      </c>
      <c r="D1394" t="s">
        <v>6139</v>
      </c>
      <c r="E1394" t="s">
        <v>6140</v>
      </c>
      <c r="F1394" t="s">
        <v>4082</v>
      </c>
      <c r="G1394" t="s">
        <v>123</v>
      </c>
      <c r="H1394">
        <v>21201</v>
      </c>
      <c r="I1394" t="s">
        <v>30</v>
      </c>
      <c r="J1394" t="s">
        <v>41</v>
      </c>
      <c r="K1394" t="s">
        <v>59</v>
      </c>
      <c r="Q1394">
        <v>0</v>
      </c>
      <c r="R1394">
        <v>0</v>
      </c>
      <c r="S1394">
        <v>0</v>
      </c>
      <c r="T1394" t="s">
        <v>6141</v>
      </c>
    </row>
    <row r="1395" spans="1:20" customFormat="1" ht="15" x14ac:dyDescent="0.25">
      <c r="A1395" t="s">
        <v>35</v>
      </c>
      <c r="B1395" t="s">
        <v>6039</v>
      </c>
      <c r="C1395" t="str">
        <f>"A0190906"</f>
        <v>A0190906</v>
      </c>
      <c r="D1395" t="s">
        <v>6142</v>
      </c>
      <c r="E1395" t="s">
        <v>6143</v>
      </c>
      <c r="F1395" t="s">
        <v>3193</v>
      </c>
      <c r="G1395" t="s">
        <v>123</v>
      </c>
      <c r="H1395">
        <v>20735</v>
      </c>
      <c r="I1395" t="s">
        <v>30</v>
      </c>
      <c r="J1395" t="s">
        <v>41</v>
      </c>
      <c r="K1395" t="s">
        <v>59</v>
      </c>
      <c r="Q1395">
        <v>0</v>
      </c>
      <c r="R1395">
        <v>0</v>
      </c>
      <c r="S1395">
        <v>0</v>
      </c>
      <c r="T1395" t="s">
        <v>6144</v>
      </c>
    </row>
    <row r="1396" spans="1:20" customFormat="1" ht="15" x14ac:dyDescent="0.25">
      <c r="A1396" t="s">
        <v>35</v>
      </c>
      <c r="B1396" t="s">
        <v>6039</v>
      </c>
      <c r="C1396" t="str">
        <f>"A0190905"</f>
        <v>A0190905</v>
      </c>
      <c r="D1396" t="s">
        <v>6145</v>
      </c>
      <c r="E1396" t="s">
        <v>6146</v>
      </c>
      <c r="F1396" t="s">
        <v>6137</v>
      </c>
      <c r="G1396" t="s">
        <v>123</v>
      </c>
      <c r="H1396">
        <v>20903</v>
      </c>
      <c r="I1396" t="s">
        <v>30</v>
      </c>
      <c r="J1396" t="s">
        <v>41</v>
      </c>
      <c r="K1396" t="s">
        <v>59</v>
      </c>
      <c r="Q1396">
        <v>0</v>
      </c>
      <c r="R1396">
        <v>0</v>
      </c>
      <c r="S1396">
        <v>0</v>
      </c>
      <c r="T1396" t="s">
        <v>6147</v>
      </c>
    </row>
    <row r="1397" spans="1:20" customFormat="1" ht="15" x14ac:dyDescent="0.25">
      <c r="A1397" t="s">
        <v>35</v>
      </c>
      <c r="B1397" t="s">
        <v>6039</v>
      </c>
      <c r="C1397" t="str">
        <f>"A0190904"</f>
        <v>A0190904</v>
      </c>
      <c r="D1397" t="s">
        <v>6148</v>
      </c>
      <c r="E1397" t="s">
        <v>6149</v>
      </c>
      <c r="F1397" t="s">
        <v>6045</v>
      </c>
      <c r="G1397" t="s">
        <v>123</v>
      </c>
      <c r="H1397">
        <v>20912</v>
      </c>
      <c r="I1397" t="s">
        <v>30</v>
      </c>
      <c r="J1397" t="s">
        <v>41</v>
      </c>
      <c r="K1397" t="s">
        <v>59</v>
      </c>
      <c r="Q1397">
        <v>0</v>
      </c>
      <c r="R1397">
        <v>0</v>
      </c>
      <c r="S1397">
        <v>0</v>
      </c>
      <c r="T1397" t="s">
        <v>6134</v>
      </c>
    </row>
    <row r="1398" spans="1:20" customFormat="1" ht="15" x14ac:dyDescent="0.25">
      <c r="A1398" t="s">
        <v>35</v>
      </c>
      <c r="B1398" t="s">
        <v>6039</v>
      </c>
      <c r="C1398" t="str">
        <f>"A0190903"</f>
        <v>A0190903</v>
      </c>
      <c r="D1398" t="s">
        <v>6150</v>
      </c>
      <c r="E1398" t="s">
        <v>6151</v>
      </c>
      <c r="F1398" t="s">
        <v>6152</v>
      </c>
      <c r="G1398" t="s">
        <v>123</v>
      </c>
      <c r="H1398">
        <v>20850</v>
      </c>
      <c r="I1398" t="s">
        <v>30</v>
      </c>
      <c r="J1398" t="s">
        <v>41</v>
      </c>
      <c r="K1398" t="s">
        <v>59</v>
      </c>
      <c r="Q1398">
        <v>0</v>
      </c>
      <c r="R1398">
        <v>0</v>
      </c>
      <c r="S1398">
        <v>0</v>
      </c>
      <c r="T1398" t="s">
        <v>6153</v>
      </c>
    </row>
    <row r="1399" spans="1:20" customFormat="1" ht="15" x14ac:dyDescent="0.25">
      <c r="A1399" t="s">
        <v>35</v>
      </c>
      <c r="B1399" t="s">
        <v>6039</v>
      </c>
      <c r="C1399" t="str">
        <f>"A0190902"</f>
        <v>A0190902</v>
      </c>
      <c r="D1399" t="s">
        <v>6154</v>
      </c>
      <c r="E1399" t="s">
        <v>6155</v>
      </c>
      <c r="F1399" t="s">
        <v>6156</v>
      </c>
      <c r="G1399" t="s">
        <v>123</v>
      </c>
      <c r="H1399">
        <v>20737</v>
      </c>
      <c r="I1399" t="s">
        <v>30</v>
      </c>
      <c r="J1399" t="s">
        <v>41</v>
      </c>
      <c r="K1399" t="s">
        <v>59</v>
      </c>
      <c r="Q1399">
        <v>0</v>
      </c>
      <c r="R1399">
        <v>0</v>
      </c>
      <c r="S1399">
        <v>0</v>
      </c>
      <c r="T1399" t="s">
        <v>6157</v>
      </c>
    </row>
    <row r="1400" spans="1:20" customFormat="1" ht="15" x14ac:dyDescent="0.25">
      <c r="A1400" t="s">
        <v>35</v>
      </c>
      <c r="B1400" t="s">
        <v>6039</v>
      </c>
      <c r="C1400" t="str">
        <f>"A0190901"</f>
        <v>A0190901</v>
      </c>
      <c r="D1400" t="s">
        <v>6158</v>
      </c>
      <c r="E1400" t="s">
        <v>6159</v>
      </c>
      <c r="F1400" t="s">
        <v>6160</v>
      </c>
      <c r="G1400" t="s">
        <v>123</v>
      </c>
      <c r="H1400">
        <v>20902</v>
      </c>
      <c r="I1400" t="s">
        <v>30</v>
      </c>
      <c r="J1400" t="s">
        <v>41</v>
      </c>
      <c r="K1400" t="s">
        <v>59</v>
      </c>
      <c r="Q1400">
        <v>0</v>
      </c>
      <c r="R1400">
        <v>0</v>
      </c>
      <c r="S1400">
        <v>0</v>
      </c>
      <c r="T1400" t="s">
        <v>6161</v>
      </c>
    </row>
    <row r="1401" spans="1:20" customFormat="1" ht="15" x14ac:dyDescent="0.25">
      <c r="A1401" t="s">
        <v>35</v>
      </c>
      <c r="B1401" t="s">
        <v>6039</v>
      </c>
      <c r="C1401" t="str">
        <f>"A0190900"</f>
        <v>A0190900</v>
      </c>
      <c r="D1401" t="s">
        <v>6162</v>
      </c>
      <c r="E1401" t="s">
        <v>6163</v>
      </c>
      <c r="F1401" t="s">
        <v>6160</v>
      </c>
      <c r="G1401" t="s">
        <v>123</v>
      </c>
      <c r="H1401">
        <v>20902</v>
      </c>
      <c r="I1401" t="s">
        <v>30</v>
      </c>
      <c r="J1401" t="s">
        <v>41</v>
      </c>
      <c r="K1401" t="s">
        <v>59</v>
      </c>
      <c r="Q1401">
        <v>0</v>
      </c>
      <c r="R1401">
        <v>0</v>
      </c>
      <c r="S1401">
        <v>0</v>
      </c>
      <c r="T1401" t="s">
        <v>6161</v>
      </c>
    </row>
    <row r="1402" spans="1:20" customFormat="1" ht="15" x14ac:dyDescent="0.25">
      <c r="A1402" t="s">
        <v>35</v>
      </c>
      <c r="B1402" t="s">
        <v>6039</v>
      </c>
      <c r="C1402" t="str">
        <f>"A0190899"</f>
        <v>A0190899</v>
      </c>
      <c r="D1402" t="s">
        <v>6164</v>
      </c>
      <c r="E1402" t="s">
        <v>6165</v>
      </c>
      <c r="F1402" t="s">
        <v>6166</v>
      </c>
      <c r="G1402" t="s">
        <v>123</v>
      </c>
      <c r="H1402">
        <v>20815</v>
      </c>
      <c r="I1402" t="s">
        <v>30</v>
      </c>
      <c r="J1402" t="s">
        <v>41</v>
      </c>
      <c r="K1402" t="s">
        <v>59</v>
      </c>
      <c r="Q1402">
        <v>0</v>
      </c>
      <c r="R1402">
        <v>0</v>
      </c>
      <c r="S1402">
        <v>0</v>
      </c>
      <c r="T1402" t="s">
        <v>6167</v>
      </c>
    </row>
    <row r="1403" spans="1:20" customFormat="1" ht="15" x14ac:dyDescent="0.25">
      <c r="A1403" t="s">
        <v>35</v>
      </c>
      <c r="B1403" t="s">
        <v>6039</v>
      </c>
      <c r="C1403" t="str">
        <f>"A0190898"</f>
        <v>A0190898</v>
      </c>
      <c r="D1403" t="s">
        <v>6168</v>
      </c>
      <c r="E1403" t="s">
        <v>6169</v>
      </c>
      <c r="F1403" t="s">
        <v>4082</v>
      </c>
      <c r="G1403" t="s">
        <v>123</v>
      </c>
      <c r="H1403">
        <v>21217</v>
      </c>
      <c r="I1403" t="s">
        <v>30</v>
      </c>
      <c r="J1403" t="s">
        <v>41</v>
      </c>
      <c r="K1403" t="s">
        <v>59</v>
      </c>
      <c r="Q1403">
        <v>0</v>
      </c>
      <c r="R1403">
        <v>0</v>
      </c>
      <c r="S1403">
        <v>0</v>
      </c>
      <c r="T1403" t="s">
        <v>6170</v>
      </c>
    </row>
    <row r="1404" spans="1:20" customFormat="1" ht="15" x14ac:dyDescent="0.25">
      <c r="A1404" t="s">
        <v>35</v>
      </c>
      <c r="B1404" t="s">
        <v>6039</v>
      </c>
      <c r="C1404" t="str">
        <f>"A0190897"</f>
        <v>A0190897</v>
      </c>
      <c r="D1404" t="s">
        <v>6171</v>
      </c>
      <c r="E1404" t="s">
        <v>6172</v>
      </c>
      <c r="F1404" t="s">
        <v>4674</v>
      </c>
      <c r="G1404" t="s">
        <v>314</v>
      </c>
      <c r="H1404">
        <v>20019</v>
      </c>
      <c r="I1404" t="s">
        <v>30</v>
      </c>
      <c r="J1404" t="s">
        <v>41</v>
      </c>
      <c r="K1404" t="s">
        <v>59</v>
      </c>
      <c r="Q1404">
        <v>0</v>
      </c>
      <c r="R1404">
        <v>0</v>
      </c>
      <c r="S1404">
        <v>0</v>
      </c>
      <c r="T1404" t="s">
        <v>6173</v>
      </c>
    </row>
    <row r="1405" spans="1:20" customFormat="1" ht="15" x14ac:dyDescent="0.25">
      <c r="A1405" t="s">
        <v>35</v>
      </c>
      <c r="B1405" t="s">
        <v>6039</v>
      </c>
      <c r="C1405" t="str">
        <f>"A0190896"</f>
        <v>A0190896</v>
      </c>
      <c r="D1405" t="s">
        <v>6174</v>
      </c>
      <c r="E1405" t="s">
        <v>6175</v>
      </c>
      <c r="F1405" t="s">
        <v>4082</v>
      </c>
      <c r="G1405" t="s">
        <v>123</v>
      </c>
      <c r="H1405">
        <v>21202</v>
      </c>
      <c r="I1405" t="s">
        <v>30</v>
      </c>
      <c r="J1405" t="s">
        <v>41</v>
      </c>
      <c r="K1405" t="s">
        <v>59</v>
      </c>
      <c r="Q1405">
        <v>0</v>
      </c>
      <c r="R1405">
        <v>0</v>
      </c>
      <c r="S1405">
        <v>0</v>
      </c>
      <c r="T1405" t="s">
        <v>6176</v>
      </c>
    </row>
    <row r="1406" spans="1:20" customFormat="1" ht="15" x14ac:dyDescent="0.25">
      <c r="A1406" t="s">
        <v>35</v>
      </c>
      <c r="B1406" t="s">
        <v>6039</v>
      </c>
      <c r="C1406" t="str">
        <f>"A0190895"</f>
        <v>A0190895</v>
      </c>
      <c r="D1406" t="s">
        <v>6177</v>
      </c>
      <c r="E1406" t="s">
        <v>6178</v>
      </c>
      <c r="F1406" t="s">
        <v>4082</v>
      </c>
      <c r="G1406" t="s">
        <v>123</v>
      </c>
      <c r="H1406">
        <v>21217</v>
      </c>
      <c r="I1406" t="s">
        <v>30</v>
      </c>
      <c r="J1406" t="s">
        <v>41</v>
      </c>
      <c r="K1406" t="s">
        <v>59</v>
      </c>
      <c r="Q1406">
        <v>0</v>
      </c>
      <c r="R1406">
        <v>0</v>
      </c>
      <c r="S1406">
        <v>0</v>
      </c>
      <c r="T1406" t="s">
        <v>6179</v>
      </c>
    </row>
    <row r="1407" spans="1:20" customFormat="1" ht="15" x14ac:dyDescent="0.25">
      <c r="A1407" t="s">
        <v>35</v>
      </c>
      <c r="B1407" t="s">
        <v>6039</v>
      </c>
      <c r="C1407" t="str">
        <f>"A0190894"</f>
        <v>A0190894</v>
      </c>
      <c r="D1407" t="s">
        <v>6180</v>
      </c>
      <c r="E1407" t="s">
        <v>6181</v>
      </c>
      <c r="F1407" t="s">
        <v>516</v>
      </c>
      <c r="G1407" t="s">
        <v>123</v>
      </c>
      <c r="H1407">
        <v>21205</v>
      </c>
      <c r="I1407" t="s">
        <v>30</v>
      </c>
      <c r="J1407" t="s">
        <v>41</v>
      </c>
      <c r="K1407" t="s">
        <v>59</v>
      </c>
      <c r="Q1407">
        <v>0</v>
      </c>
      <c r="R1407">
        <v>0</v>
      </c>
      <c r="S1407">
        <v>0</v>
      </c>
      <c r="T1407" t="s">
        <v>6182</v>
      </c>
    </row>
    <row r="1408" spans="1:20" customFormat="1" ht="15" x14ac:dyDescent="0.25">
      <c r="A1408" t="s">
        <v>35</v>
      </c>
      <c r="B1408" t="s">
        <v>6039</v>
      </c>
      <c r="C1408" t="str">
        <f>"A0190893"</f>
        <v>A0190893</v>
      </c>
      <c r="D1408" t="s">
        <v>6183</v>
      </c>
      <c r="E1408" t="s">
        <v>6184</v>
      </c>
      <c r="F1408" t="s">
        <v>6185</v>
      </c>
      <c r="G1408" t="s">
        <v>123</v>
      </c>
      <c r="H1408">
        <v>21207</v>
      </c>
      <c r="I1408" t="s">
        <v>30</v>
      </c>
      <c r="J1408" t="s">
        <v>41</v>
      </c>
      <c r="K1408" t="s">
        <v>59</v>
      </c>
      <c r="Q1408">
        <v>0</v>
      </c>
      <c r="R1408">
        <v>0</v>
      </c>
      <c r="S1408">
        <v>0</v>
      </c>
      <c r="T1408" t="s">
        <v>6186</v>
      </c>
    </row>
    <row r="1409" spans="1:20" customFormat="1" ht="15" x14ac:dyDescent="0.25">
      <c r="A1409" t="s">
        <v>35</v>
      </c>
      <c r="B1409" t="s">
        <v>6039</v>
      </c>
      <c r="C1409" t="str">
        <f>"A0190892"</f>
        <v>A0190892</v>
      </c>
      <c r="D1409" t="s">
        <v>6187</v>
      </c>
      <c r="E1409" t="s">
        <v>6188</v>
      </c>
      <c r="F1409" t="s">
        <v>6137</v>
      </c>
      <c r="G1409" t="s">
        <v>123</v>
      </c>
      <c r="H1409">
        <v>20903</v>
      </c>
      <c r="I1409" t="s">
        <v>30</v>
      </c>
      <c r="J1409" t="s">
        <v>41</v>
      </c>
      <c r="K1409" t="s">
        <v>59</v>
      </c>
      <c r="Q1409">
        <v>0</v>
      </c>
      <c r="R1409">
        <v>0</v>
      </c>
      <c r="S1409">
        <v>0</v>
      </c>
      <c r="T1409" t="s">
        <v>6189</v>
      </c>
    </row>
    <row r="1410" spans="1:20" customFormat="1" ht="15" x14ac:dyDescent="0.25">
      <c r="A1410" t="s">
        <v>35</v>
      </c>
      <c r="B1410" t="s">
        <v>6039</v>
      </c>
      <c r="C1410" t="str">
        <f>"A0190891"</f>
        <v>A0190891</v>
      </c>
      <c r="D1410" t="s">
        <v>6190</v>
      </c>
      <c r="E1410" t="s">
        <v>6191</v>
      </c>
      <c r="F1410" t="s">
        <v>4674</v>
      </c>
      <c r="G1410" t="s">
        <v>314</v>
      </c>
      <c r="H1410">
        <v>20020</v>
      </c>
      <c r="I1410" t="s">
        <v>30</v>
      </c>
      <c r="J1410" t="s">
        <v>41</v>
      </c>
      <c r="K1410" t="s">
        <v>59</v>
      </c>
      <c r="Q1410">
        <v>0</v>
      </c>
      <c r="R1410">
        <v>0</v>
      </c>
      <c r="S1410">
        <v>0</v>
      </c>
      <c r="T1410" t="s">
        <v>6192</v>
      </c>
    </row>
    <row r="1411" spans="1:20" customFormat="1" ht="15" x14ac:dyDescent="0.25">
      <c r="A1411" t="s">
        <v>35</v>
      </c>
      <c r="B1411" t="s">
        <v>6039</v>
      </c>
      <c r="C1411" t="str">
        <f>"A0190890"</f>
        <v>A0190890</v>
      </c>
      <c r="D1411" t="s">
        <v>6193</v>
      </c>
      <c r="E1411" t="s">
        <v>6194</v>
      </c>
      <c r="F1411" t="s">
        <v>525</v>
      </c>
      <c r="G1411" t="s">
        <v>123</v>
      </c>
      <c r="H1411">
        <v>20646</v>
      </c>
      <c r="I1411" t="s">
        <v>30</v>
      </c>
      <c r="J1411" t="s">
        <v>41</v>
      </c>
      <c r="K1411" t="s">
        <v>59</v>
      </c>
      <c r="Q1411">
        <v>0</v>
      </c>
      <c r="R1411">
        <v>0</v>
      </c>
      <c r="S1411">
        <v>0</v>
      </c>
      <c r="T1411" t="s">
        <v>6195</v>
      </c>
    </row>
    <row r="1412" spans="1:20" customFormat="1" ht="15" x14ac:dyDescent="0.25">
      <c r="A1412" t="s">
        <v>35</v>
      </c>
      <c r="B1412" t="s">
        <v>6039</v>
      </c>
      <c r="C1412" t="str">
        <f>"A0190889"</f>
        <v>A0190889</v>
      </c>
      <c r="D1412" t="s">
        <v>6196</v>
      </c>
      <c r="E1412" t="s">
        <v>6197</v>
      </c>
      <c r="F1412" t="s">
        <v>6198</v>
      </c>
      <c r="G1412" t="s">
        <v>123</v>
      </c>
      <c r="H1412">
        <v>20794</v>
      </c>
      <c r="I1412" t="s">
        <v>30</v>
      </c>
      <c r="J1412" t="s">
        <v>41</v>
      </c>
      <c r="K1412" t="s">
        <v>59</v>
      </c>
      <c r="Q1412">
        <v>0</v>
      </c>
      <c r="R1412">
        <v>0</v>
      </c>
      <c r="S1412">
        <v>0</v>
      </c>
      <c r="T1412" t="s">
        <v>6199</v>
      </c>
    </row>
    <row r="1413" spans="1:20" customFormat="1" ht="15" x14ac:dyDescent="0.25">
      <c r="A1413" t="s">
        <v>35</v>
      </c>
      <c r="B1413" t="s">
        <v>6039</v>
      </c>
      <c r="C1413" t="str">
        <f>"A0190888"</f>
        <v>A0190888</v>
      </c>
      <c r="D1413" t="s">
        <v>6200</v>
      </c>
      <c r="E1413" t="s">
        <v>6201</v>
      </c>
      <c r="F1413" t="s">
        <v>6045</v>
      </c>
      <c r="G1413" t="s">
        <v>123</v>
      </c>
      <c r="H1413">
        <v>20912</v>
      </c>
      <c r="I1413" t="s">
        <v>30</v>
      </c>
      <c r="J1413" t="s">
        <v>41</v>
      </c>
      <c r="K1413" t="s">
        <v>59</v>
      </c>
      <c r="Q1413">
        <v>0</v>
      </c>
      <c r="R1413">
        <v>0</v>
      </c>
      <c r="S1413">
        <v>0</v>
      </c>
      <c r="T1413" t="s">
        <v>6046</v>
      </c>
    </row>
    <row r="1414" spans="1:20" customFormat="1" ht="15" x14ac:dyDescent="0.25">
      <c r="A1414" t="s">
        <v>35</v>
      </c>
      <c r="B1414" t="s">
        <v>6039</v>
      </c>
      <c r="C1414" t="str">
        <f>"A0190887"</f>
        <v>A0190887</v>
      </c>
      <c r="D1414" t="s">
        <v>6202</v>
      </c>
      <c r="E1414" t="s">
        <v>6203</v>
      </c>
      <c r="F1414" t="s">
        <v>6049</v>
      </c>
      <c r="G1414" t="s">
        <v>123</v>
      </c>
      <c r="H1414">
        <v>20878</v>
      </c>
      <c r="I1414" t="s">
        <v>30</v>
      </c>
      <c r="J1414" t="s">
        <v>41</v>
      </c>
      <c r="K1414" t="s">
        <v>59</v>
      </c>
      <c r="Q1414">
        <v>0</v>
      </c>
      <c r="R1414">
        <v>0</v>
      </c>
      <c r="S1414">
        <v>0</v>
      </c>
      <c r="T1414" t="s">
        <v>6204</v>
      </c>
    </row>
    <row r="1415" spans="1:20" customFormat="1" ht="15" x14ac:dyDescent="0.25">
      <c r="A1415" t="s">
        <v>35</v>
      </c>
      <c r="B1415" t="s">
        <v>6039</v>
      </c>
      <c r="C1415" t="str">
        <f>"A0190886"</f>
        <v>A0190886</v>
      </c>
      <c r="D1415" t="s">
        <v>6205</v>
      </c>
      <c r="E1415" t="s">
        <v>6206</v>
      </c>
      <c r="F1415" t="s">
        <v>6207</v>
      </c>
      <c r="G1415" t="s">
        <v>123</v>
      </c>
      <c r="H1415">
        <v>20705</v>
      </c>
      <c r="I1415" t="s">
        <v>30</v>
      </c>
      <c r="J1415" t="s">
        <v>41</v>
      </c>
      <c r="K1415" t="s">
        <v>59</v>
      </c>
      <c r="Q1415">
        <v>0</v>
      </c>
      <c r="R1415">
        <v>0</v>
      </c>
      <c r="S1415">
        <v>0</v>
      </c>
      <c r="T1415" t="s">
        <v>6208</v>
      </c>
    </row>
    <row r="1416" spans="1:20" customFormat="1" ht="15" x14ac:dyDescent="0.25">
      <c r="A1416" t="s">
        <v>35</v>
      </c>
      <c r="B1416" t="s">
        <v>6039</v>
      </c>
      <c r="C1416" t="str">
        <f>"A0190885"</f>
        <v>A0190885</v>
      </c>
      <c r="D1416" t="s">
        <v>6209</v>
      </c>
      <c r="E1416" t="s">
        <v>6210</v>
      </c>
      <c r="F1416" t="s">
        <v>4082</v>
      </c>
      <c r="G1416" t="s">
        <v>123</v>
      </c>
      <c r="H1416">
        <v>21212</v>
      </c>
      <c r="I1416" t="s">
        <v>30</v>
      </c>
      <c r="J1416" t="s">
        <v>41</v>
      </c>
      <c r="K1416" t="s">
        <v>59</v>
      </c>
      <c r="Q1416">
        <v>0</v>
      </c>
      <c r="R1416">
        <v>0</v>
      </c>
      <c r="S1416">
        <v>0</v>
      </c>
      <c r="T1416" t="s">
        <v>6211</v>
      </c>
    </row>
    <row r="1417" spans="1:20" customFormat="1" ht="15" x14ac:dyDescent="0.25">
      <c r="A1417" t="s">
        <v>35</v>
      </c>
      <c r="B1417" t="s">
        <v>6039</v>
      </c>
      <c r="C1417" t="str">
        <f>"A0190884"</f>
        <v>A0190884</v>
      </c>
      <c r="D1417" t="s">
        <v>6212</v>
      </c>
      <c r="E1417" t="s">
        <v>6213</v>
      </c>
      <c r="F1417" t="s">
        <v>6137</v>
      </c>
      <c r="G1417" t="s">
        <v>123</v>
      </c>
      <c r="H1417">
        <v>20903</v>
      </c>
      <c r="I1417" t="s">
        <v>30</v>
      </c>
      <c r="J1417" t="s">
        <v>41</v>
      </c>
      <c r="K1417" t="s">
        <v>59</v>
      </c>
      <c r="Q1417">
        <v>0</v>
      </c>
      <c r="R1417">
        <v>0</v>
      </c>
      <c r="S1417">
        <v>0</v>
      </c>
      <c r="T1417" t="s">
        <v>6214</v>
      </c>
    </row>
    <row r="1418" spans="1:20" customFormat="1" ht="15" x14ac:dyDescent="0.25">
      <c r="A1418" t="s">
        <v>35</v>
      </c>
      <c r="B1418" t="s">
        <v>6039</v>
      </c>
      <c r="C1418" t="str">
        <f>"A0190883"</f>
        <v>A0190883</v>
      </c>
      <c r="D1418" t="s">
        <v>6215</v>
      </c>
      <c r="E1418" t="s">
        <v>6216</v>
      </c>
      <c r="F1418" t="s">
        <v>1298</v>
      </c>
      <c r="G1418" t="s">
        <v>123</v>
      </c>
      <c r="H1418">
        <v>21046</v>
      </c>
      <c r="I1418" t="s">
        <v>30</v>
      </c>
      <c r="J1418" t="s">
        <v>41</v>
      </c>
      <c r="K1418" t="s">
        <v>290</v>
      </c>
      <c r="Q1418">
        <v>0</v>
      </c>
      <c r="R1418">
        <v>0</v>
      </c>
      <c r="S1418">
        <v>0</v>
      </c>
      <c r="T1418" t="s">
        <v>6217</v>
      </c>
    </row>
    <row r="1419" spans="1:20" customFormat="1" ht="15" x14ac:dyDescent="0.25">
      <c r="A1419" t="s">
        <v>35</v>
      </c>
      <c r="B1419" t="s">
        <v>54</v>
      </c>
      <c r="C1419" t="str">
        <f>"A0190882"</f>
        <v>A0190882</v>
      </c>
      <c r="D1419" t="s">
        <v>6218</v>
      </c>
      <c r="E1419" t="s">
        <v>6219</v>
      </c>
      <c r="F1419" t="s">
        <v>6220</v>
      </c>
      <c r="G1419" t="s">
        <v>85</v>
      </c>
      <c r="H1419">
        <v>71857</v>
      </c>
      <c r="I1419" t="s">
        <v>30</v>
      </c>
      <c r="J1419" t="s">
        <v>41</v>
      </c>
      <c r="K1419" t="s">
        <v>229</v>
      </c>
      <c r="Q1419">
        <v>0</v>
      </c>
      <c r="R1419">
        <v>0</v>
      </c>
      <c r="S1419">
        <v>90</v>
      </c>
      <c r="T1419" t="s">
        <v>6221</v>
      </c>
    </row>
    <row r="1420" spans="1:20" customFormat="1" ht="15" x14ac:dyDescent="0.25">
      <c r="A1420" t="s">
        <v>35</v>
      </c>
      <c r="B1420" t="s">
        <v>5681</v>
      </c>
      <c r="C1420" t="str">
        <f>"A0190881"</f>
        <v>A0190881</v>
      </c>
      <c r="D1420" t="s">
        <v>6222</v>
      </c>
      <c r="E1420" t="s">
        <v>6223</v>
      </c>
      <c r="F1420" t="s">
        <v>6224</v>
      </c>
      <c r="G1420" t="s">
        <v>110</v>
      </c>
      <c r="H1420">
        <v>92260</v>
      </c>
      <c r="I1420" t="s">
        <v>30</v>
      </c>
      <c r="J1420" t="s">
        <v>41</v>
      </c>
      <c r="K1420" t="s">
        <v>59</v>
      </c>
      <c r="Q1420">
        <v>0</v>
      </c>
      <c r="R1420">
        <v>0</v>
      </c>
      <c r="S1420">
        <v>0</v>
      </c>
      <c r="T1420" t="s">
        <v>72</v>
      </c>
    </row>
    <row r="1421" spans="1:20" customFormat="1" ht="15" x14ac:dyDescent="0.25">
      <c r="A1421" t="s">
        <v>35</v>
      </c>
      <c r="B1421" t="s">
        <v>6225</v>
      </c>
      <c r="C1421" t="str">
        <f>"A0190880"</f>
        <v>A0190880</v>
      </c>
      <c r="D1421" t="s">
        <v>6226</v>
      </c>
      <c r="E1421" t="s">
        <v>6227</v>
      </c>
      <c r="F1421" t="s">
        <v>6228</v>
      </c>
      <c r="G1421" t="s">
        <v>381</v>
      </c>
      <c r="H1421">
        <v>56526</v>
      </c>
      <c r="I1421" t="s">
        <v>30</v>
      </c>
      <c r="J1421" t="s">
        <v>41</v>
      </c>
      <c r="K1421" t="s">
        <v>59</v>
      </c>
      <c r="Q1421">
        <v>0</v>
      </c>
      <c r="R1421">
        <v>0</v>
      </c>
      <c r="S1421">
        <v>48</v>
      </c>
      <c r="T1421" t="s">
        <v>6229</v>
      </c>
    </row>
    <row r="1422" spans="1:20" customFormat="1" ht="15" x14ac:dyDescent="0.25">
      <c r="A1422" t="s">
        <v>35</v>
      </c>
      <c r="B1422" t="s">
        <v>5231</v>
      </c>
      <c r="C1422" t="str">
        <f>"A0190879"</f>
        <v>A0190879</v>
      </c>
      <c r="D1422" t="s">
        <v>6230</v>
      </c>
      <c r="E1422" t="s">
        <v>6231</v>
      </c>
      <c r="F1422" t="s">
        <v>6232</v>
      </c>
      <c r="G1422" t="s">
        <v>103</v>
      </c>
      <c r="H1422">
        <v>15146</v>
      </c>
      <c r="I1422" t="s">
        <v>30</v>
      </c>
      <c r="J1422" t="s">
        <v>41</v>
      </c>
      <c r="K1422" t="s">
        <v>59</v>
      </c>
      <c r="Q1422">
        <v>0</v>
      </c>
      <c r="R1422">
        <v>0</v>
      </c>
      <c r="S1422">
        <v>85</v>
      </c>
      <c r="T1422" t="s">
        <v>6233</v>
      </c>
    </row>
    <row r="1423" spans="1:20" customFormat="1" ht="15" x14ac:dyDescent="0.25">
      <c r="A1423" t="s">
        <v>35</v>
      </c>
      <c r="B1423" t="s">
        <v>61</v>
      </c>
      <c r="C1423" t="str">
        <f>"A0190878"</f>
        <v>A0190878</v>
      </c>
      <c r="D1423" t="s">
        <v>6234</v>
      </c>
      <c r="E1423" t="s">
        <v>6235</v>
      </c>
      <c r="F1423" t="s">
        <v>6236</v>
      </c>
      <c r="G1423" t="s">
        <v>289</v>
      </c>
      <c r="H1423">
        <v>62304</v>
      </c>
      <c r="I1423" t="s">
        <v>30</v>
      </c>
      <c r="J1423" t="s">
        <v>41</v>
      </c>
      <c r="K1423" t="s">
        <v>59</v>
      </c>
      <c r="Q1423">
        <v>0</v>
      </c>
      <c r="R1423">
        <v>0</v>
      </c>
      <c r="S1423">
        <v>50</v>
      </c>
      <c r="T1423" t="s">
        <v>6237</v>
      </c>
    </row>
    <row r="1424" spans="1:20" customFormat="1" ht="15" x14ac:dyDescent="0.25">
      <c r="A1424" t="s">
        <v>35</v>
      </c>
      <c r="B1424" t="s">
        <v>61</v>
      </c>
      <c r="C1424" t="str">
        <f>"A0190877"</f>
        <v>A0190877</v>
      </c>
      <c r="D1424" t="s">
        <v>6238</v>
      </c>
      <c r="E1424" t="s">
        <v>6239</v>
      </c>
      <c r="F1424" t="s">
        <v>6240</v>
      </c>
      <c r="G1424" t="s">
        <v>381</v>
      </c>
      <c r="H1424">
        <v>46845</v>
      </c>
      <c r="I1424" t="s">
        <v>30</v>
      </c>
      <c r="J1424" t="s">
        <v>41</v>
      </c>
      <c r="K1424" t="s">
        <v>59</v>
      </c>
      <c r="Q1424">
        <v>0</v>
      </c>
      <c r="R1424">
        <v>0</v>
      </c>
      <c r="S1424">
        <v>80</v>
      </c>
      <c r="T1424" t="s">
        <v>6241</v>
      </c>
    </row>
    <row r="1425" spans="1:20" customFormat="1" ht="15" x14ac:dyDescent="0.25">
      <c r="A1425" t="s">
        <v>35</v>
      </c>
      <c r="B1425" t="s">
        <v>61</v>
      </c>
      <c r="C1425" t="str">
        <f>"A0190876"</f>
        <v>A0190876</v>
      </c>
      <c r="D1425" t="s">
        <v>6242</v>
      </c>
      <c r="E1425" t="s">
        <v>6243</v>
      </c>
      <c r="F1425" t="s">
        <v>6244</v>
      </c>
      <c r="G1425" t="s">
        <v>110</v>
      </c>
      <c r="H1425">
        <v>93727</v>
      </c>
      <c r="I1425" t="s">
        <v>30</v>
      </c>
      <c r="J1425" t="s">
        <v>41</v>
      </c>
      <c r="K1425" t="s">
        <v>1032</v>
      </c>
      <c r="Q1425">
        <v>0</v>
      </c>
      <c r="R1425">
        <v>0</v>
      </c>
      <c r="S1425">
        <v>50</v>
      </c>
      <c r="T1425" t="s">
        <v>6245</v>
      </c>
    </row>
    <row r="1426" spans="1:20" customFormat="1" ht="15" x14ac:dyDescent="0.25">
      <c r="A1426" t="s">
        <v>35</v>
      </c>
      <c r="B1426" t="s">
        <v>61</v>
      </c>
      <c r="C1426" t="str">
        <f>"A0190875"</f>
        <v>A0190875</v>
      </c>
      <c r="D1426" t="s">
        <v>5046</v>
      </c>
      <c r="E1426" t="s">
        <v>6246</v>
      </c>
      <c r="F1426" t="s">
        <v>2748</v>
      </c>
      <c r="G1426" t="s">
        <v>65</v>
      </c>
      <c r="H1426">
        <v>43604</v>
      </c>
      <c r="I1426" t="s">
        <v>30</v>
      </c>
      <c r="J1426" t="s">
        <v>41</v>
      </c>
      <c r="K1426" t="s">
        <v>391</v>
      </c>
      <c r="Q1426">
        <v>0</v>
      </c>
      <c r="R1426">
        <v>0</v>
      </c>
      <c r="S1426">
        <v>0</v>
      </c>
      <c r="T1426" t="s">
        <v>72</v>
      </c>
    </row>
    <row r="1427" spans="1:20" customFormat="1" ht="15" x14ac:dyDescent="0.25">
      <c r="A1427" t="s">
        <v>35</v>
      </c>
      <c r="B1427" t="s">
        <v>61</v>
      </c>
      <c r="C1427" t="str">
        <f>"A0190874"</f>
        <v>A0190874</v>
      </c>
      <c r="D1427" t="s">
        <v>5046</v>
      </c>
      <c r="E1427" t="s">
        <v>6247</v>
      </c>
      <c r="F1427" t="s">
        <v>1959</v>
      </c>
      <c r="G1427" t="s">
        <v>65</v>
      </c>
      <c r="H1427">
        <v>44306</v>
      </c>
      <c r="I1427" t="s">
        <v>30</v>
      </c>
      <c r="J1427" t="s">
        <v>41</v>
      </c>
      <c r="K1427" t="s">
        <v>391</v>
      </c>
      <c r="Q1427">
        <v>0</v>
      </c>
      <c r="R1427">
        <v>0</v>
      </c>
      <c r="S1427">
        <v>0</v>
      </c>
      <c r="T1427" t="s">
        <v>72</v>
      </c>
    </row>
    <row r="1428" spans="1:20" customFormat="1" ht="15" x14ac:dyDescent="0.25">
      <c r="A1428" t="s">
        <v>35</v>
      </c>
      <c r="B1428" t="s">
        <v>61</v>
      </c>
      <c r="C1428" t="str">
        <f>"A0190873"</f>
        <v>A0190873</v>
      </c>
      <c r="D1428" t="s">
        <v>5046</v>
      </c>
      <c r="E1428" t="s">
        <v>6248</v>
      </c>
      <c r="F1428" t="s">
        <v>1959</v>
      </c>
      <c r="G1428" t="s">
        <v>65</v>
      </c>
      <c r="H1428">
        <v>44320</v>
      </c>
      <c r="I1428" t="s">
        <v>30</v>
      </c>
      <c r="J1428" t="s">
        <v>41</v>
      </c>
      <c r="K1428" t="s">
        <v>391</v>
      </c>
      <c r="Q1428">
        <v>0</v>
      </c>
      <c r="R1428">
        <v>0</v>
      </c>
      <c r="S1428">
        <v>0</v>
      </c>
      <c r="T1428" t="s">
        <v>72</v>
      </c>
    </row>
    <row r="1429" spans="1:20" customFormat="1" ht="15" x14ac:dyDescent="0.25">
      <c r="A1429" t="s">
        <v>35</v>
      </c>
      <c r="B1429" t="s">
        <v>61</v>
      </c>
      <c r="C1429" t="str">
        <f>"A0190872"</f>
        <v>A0190872</v>
      </c>
      <c r="D1429" t="s">
        <v>5046</v>
      </c>
      <c r="E1429" t="s">
        <v>6249</v>
      </c>
      <c r="F1429" t="s">
        <v>64</v>
      </c>
      <c r="G1429" t="s">
        <v>65</v>
      </c>
      <c r="H1429">
        <v>43223</v>
      </c>
      <c r="I1429" t="s">
        <v>30</v>
      </c>
      <c r="J1429" t="s">
        <v>41</v>
      </c>
      <c r="K1429" t="s">
        <v>391</v>
      </c>
      <c r="Q1429">
        <v>0</v>
      </c>
      <c r="R1429">
        <v>0</v>
      </c>
      <c r="S1429">
        <v>0</v>
      </c>
      <c r="T1429" t="s">
        <v>72</v>
      </c>
    </row>
    <row r="1430" spans="1:20" customFormat="1" ht="15" x14ac:dyDescent="0.25">
      <c r="A1430" t="s">
        <v>35</v>
      </c>
      <c r="B1430" t="s">
        <v>61</v>
      </c>
      <c r="C1430" t="str">
        <f>"A0190871"</f>
        <v>A0190871</v>
      </c>
      <c r="D1430" t="s">
        <v>5046</v>
      </c>
      <c r="E1430" t="s">
        <v>6250</v>
      </c>
      <c r="F1430" t="s">
        <v>64</v>
      </c>
      <c r="G1430" t="s">
        <v>65</v>
      </c>
      <c r="H1430">
        <v>43223</v>
      </c>
      <c r="I1430" t="s">
        <v>30</v>
      </c>
      <c r="J1430" t="s">
        <v>41</v>
      </c>
      <c r="K1430" t="s">
        <v>391</v>
      </c>
      <c r="Q1430">
        <v>0</v>
      </c>
      <c r="R1430">
        <v>0</v>
      </c>
      <c r="S1430">
        <v>0</v>
      </c>
      <c r="T1430" t="s">
        <v>72</v>
      </c>
    </row>
    <row r="1431" spans="1:20" customFormat="1" ht="15" x14ac:dyDescent="0.25">
      <c r="A1431" t="s">
        <v>35</v>
      </c>
      <c r="B1431" t="s">
        <v>61</v>
      </c>
      <c r="C1431" t="str">
        <f>"A0190870"</f>
        <v>A0190870</v>
      </c>
      <c r="D1431" t="s">
        <v>5046</v>
      </c>
      <c r="E1431" t="s">
        <v>6251</v>
      </c>
      <c r="F1431" t="s">
        <v>2307</v>
      </c>
      <c r="G1431" t="s">
        <v>65</v>
      </c>
      <c r="H1431">
        <v>44108</v>
      </c>
      <c r="I1431" t="s">
        <v>30</v>
      </c>
      <c r="J1431" t="s">
        <v>41</v>
      </c>
      <c r="K1431" t="s">
        <v>391</v>
      </c>
      <c r="Q1431">
        <v>0</v>
      </c>
      <c r="R1431">
        <v>0</v>
      </c>
      <c r="S1431">
        <v>0</v>
      </c>
      <c r="T1431" t="s">
        <v>72</v>
      </c>
    </row>
    <row r="1432" spans="1:20" customFormat="1" ht="15" x14ac:dyDescent="0.25">
      <c r="A1432" t="s">
        <v>35</v>
      </c>
      <c r="B1432" t="s">
        <v>61</v>
      </c>
      <c r="C1432" t="str">
        <f>"A0190869"</f>
        <v>A0190869</v>
      </c>
      <c r="D1432" t="s">
        <v>6252</v>
      </c>
      <c r="E1432" t="s">
        <v>6243</v>
      </c>
      <c r="F1432" t="s">
        <v>6244</v>
      </c>
      <c r="G1432" t="s">
        <v>110</v>
      </c>
      <c r="H1432">
        <v>93727</v>
      </c>
      <c r="I1432" t="s">
        <v>30</v>
      </c>
      <c r="J1432" t="s">
        <v>41</v>
      </c>
      <c r="K1432" t="s">
        <v>482</v>
      </c>
      <c r="Q1432">
        <v>0</v>
      </c>
      <c r="R1432">
        <v>0</v>
      </c>
      <c r="S1432">
        <v>60</v>
      </c>
      <c r="T1432" t="s">
        <v>6245</v>
      </c>
    </row>
    <row r="1433" spans="1:20" customFormat="1" ht="15" x14ac:dyDescent="0.25">
      <c r="A1433" t="s">
        <v>35</v>
      </c>
      <c r="B1433" t="s">
        <v>61</v>
      </c>
      <c r="C1433" t="str">
        <f>"A0190868"</f>
        <v>A0190868</v>
      </c>
      <c r="D1433" t="s">
        <v>6253</v>
      </c>
      <c r="E1433" t="s">
        <v>6254</v>
      </c>
      <c r="F1433" t="s">
        <v>2756</v>
      </c>
      <c r="G1433" t="s">
        <v>29</v>
      </c>
      <c r="H1433">
        <v>20186</v>
      </c>
      <c r="I1433" t="s">
        <v>30</v>
      </c>
      <c r="J1433" t="s">
        <v>41</v>
      </c>
      <c r="K1433" t="s">
        <v>112</v>
      </c>
      <c r="Q1433">
        <v>0</v>
      </c>
      <c r="R1433">
        <v>0</v>
      </c>
      <c r="S1433">
        <v>0</v>
      </c>
      <c r="T1433" t="s">
        <v>6255</v>
      </c>
    </row>
    <row r="1434" spans="1:20" customFormat="1" ht="15" x14ac:dyDescent="0.25">
      <c r="A1434" t="s">
        <v>35</v>
      </c>
      <c r="B1434" t="s">
        <v>61</v>
      </c>
      <c r="C1434" t="str">
        <f>"A0190867"</f>
        <v>A0190867</v>
      </c>
      <c r="D1434" t="s">
        <v>6256</v>
      </c>
      <c r="E1434" t="s">
        <v>6257</v>
      </c>
      <c r="F1434" t="s">
        <v>4082</v>
      </c>
      <c r="G1434" t="s">
        <v>123</v>
      </c>
      <c r="H1434">
        <v>21215</v>
      </c>
      <c r="I1434" t="s">
        <v>30</v>
      </c>
      <c r="J1434" t="s">
        <v>41</v>
      </c>
      <c r="K1434" t="s">
        <v>229</v>
      </c>
      <c r="Q1434">
        <v>0</v>
      </c>
      <c r="R1434">
        <v>0</v>
      </c>
      <c r="S1434">
        <v>172</v>
      </c>
      <c r="T1434" t="s">
        <v>72</v>
      </c>
    </row>
    <row r="1435" spans="1:20" customFormat="1" ht="15" x14ac:dyDescent="0.25">
      <c r="A1435" t="s">
        <v>35</v>
      </c>
      <c r="B1435" t="s">
        <v>61</v>
      </c>
      <c r="C1435" t="str">
        <f>"A0190866"</f>
        <v>A0190866</v>
      </c>
      <c r="D1435" t="s">
        <v>6258</v>
      </c>
      <c r="E1435" t="s">
        <v>6259</v>
      </c>
      <c r="F1435" t="s">
        <v>6260</v>
      </c>
      <c r="G1435" t="s">
        <v>103</v>
      </c>
      <c r="H1435">
        <v>18452</v>
      </c>
      <c r="I1435" t="s">
        <v>30</v>
      </c>
      <c r="J1435" t="s">
        <v>41</v>
      </c>
      <c r="K1435" t="s">
        <v>229</v>
      </c>
      <c r="Q1435">
        <v>0</v>
      </c>
      <c r="R1435">
        <v>0</v>
      </c>
      <c r="S1435">
        <v>272</v>
      </c>
      <c r="T1435" t="s">
        <v>6261</v>
      </c>
    </row>
    <row r="1436" spans="1:20" customFormat="1" ht="15" x14ac:dyDescent="0.25">
      <c r="A1436" t="s">
        <v>35</v>
      </c>
      <c r="B1436" t="s">
        <v>61</v>
      </c>
      <c r="C1436" t="str">
        <f>"A0190865"</f>
        <v>A0190865</v>
      </c>
      <c r="D1436" t="s">
        <v>6262</v>
      </c>
      <c r="E1436" t="s">
        <v>6263</v>
      </c>
      <c r="F1436" t="s">
        <v>6264</v>
      </c>
      <c r="G1436" t="s">
        <v>190</v>
      </c>
      <c r="H1436">
        <v>81063</v>
      </c>
      <c r="I1436" t="s">
        <v>30</v>
      </c>
      <c r="J1436" t="s">
        <v>41</v>
      </c>
      <c r="K1436" t="s">
        <v>229</v>
      </c>
      <c r="Q1436">
        <v>0</v>
      </c>
      <c r="R1436">
        <v>0</v>
      </c>
      <c r="S1436">
        <v>35</v>
      </c>
      <c r="T1436" t="s">
        <v>6265</v>
      </c>
    </row>
    <row r="1437" spans="1:20" customFormat="1" ht="15" x14ac:dyDescent="0.25">
      <c r="A1437" t="s">
        <v>35</v>
      </c>
      <c r="B1437" t="s">
        <v>61</v>
      </c>
      <c r="C1437" t="str">
        <f>"A0190864"</f>
        <v>A0190864</v>
      </c>
      <c r="D1437" t="s">
        <v>5783</v>
      </c>
      <c r="E1437" t="s">
        <v>6266</v>
      </c>
      <c r="F1437" t="s">
        <v>5786</v>
      </c>
      <c r="G1437" t="s">
        <v>1898</v>
      </c>
      <c r="H1437">
        <v>52632</v>
      </c>
      <c r="I1437" t="s">
        <v>30</v>
      </c>
      <c r="J1437" t="s">
        <v>41</v>
      </c>
      <c r="K1437" t="s">
        <v>2463</v>
      </c>
      <c r="Q1437">
        <v>0</v>
      </c>
      <c r="R1437">
        <v>0</v>
      </c>
      <c r="S1437">
        <v>0</v>
      </c>
      <c r="T1437" t="s">
        <v>6267</v>
      </c>
    </row>
    <row r="1438" spans="1:20" customFormat="1" ht="15" x14ac:dyDescent="0.25">
      <c r="A1438" t="s">
        <v>35</v>
      </c>
      <c r="B1438" t="s">
        <v>106</v>
      </c>
      <c r="C1438" t="str">
        <f>"A0190863"</f>
        <v>A0190863</v>
      </c>
      <c r="D1438" t="s">
        <v>6268</v>
      </c>
      <c r="E1438" t="s">
        <v>6269</v>
      </c>
      <c r="F1438" t="s">
        <v>6270</v>
      </c>
      <c r="G1438" t="s">
        <v>71</v>
      </c>
      <c r="H1438">
        <v>53403</v>
      </c>
      <c r="I1438" t="s">
        <v>30</v>
      </c>
      <c r="J1438" t="s">
        <v>111</v>
      </c>
      <c r="K1438" t="s">
        <v>112</v>
      </c>
      <c r="Q1438">
        <v>0</v>
      </c>
      <c r="R1438">
        <v>0</v>
      </c>
      <c r="S1438">
        <v>0</v>
      </c>
      <c r="T1438" t="s">
        <v>6271</v>
      </c>
    </row>
    <row r="1439" spans="1:20" customFormat="1" ht="15" x14ac:dyDescent="0.25">
      <c r="A1439" t="s">
        <v>35</v>
      </c>
      <c r="B1439" t="s">
        <v>6272</v>
      </c>
      <c r="C1439" t="str">
        <f>"A0190862"</f>
        <v>A0190862</v>
      </c>
      <c r="D1439" t="s">
        <v>6273</v>
      </c>
      <c r="E1439" t="s">
        <v>6274</v>
      </c>
      <c r="F1439" t="s">
        <v>5284</v>
      </c>
      <c r="G1439" t="s">
        <v>110</v>
      </c>
      <c r="H1439">
        <v>92592</v>
      </c>
      <c r="I1439" t="s">
        <v>30</v>
      </c>
      <c r="J1439" t="s">
        <v>41</v>
      </c>
      <c r="K1439" t="s">
        <v>1032</v>
      </c>
      <c r="Q1439">
        <v>0</v>
      </c>
      <c r="R1439">
        <v>0</v>
      </c>
      <c r="S1439">
        <v>60</v>
      </c>
      <c r="T1439" t="s">
        <v>6275</v>
      </c>
    </row>
    <row r="1440" spans="1:20" customFormat="1" ht="15" x14ac:dyDescent="0.25">
      <c r="A1440" t="s">
        <v>35</v>
      </c>
      <c r="B1440" t="s">
        <v>4725</v>
      </c>
      <c r="C1440" t="str">
        <f>"A0190861"</f>
        <v>A0190861</v>
      </c>
      <c r="D1440" t="s">
        <v>6276</v>
      </c>
      <c r="E1440" t="s">
        <v>6277</v>
      </c>
      <c r="F1440" t="s">
        <v>6278</v>
      </c>
      <c r="G1440" t="s">
        <v>103</v>
      </c>
      <c r="H1440">
        <v>16652</v>
      </c>
      <c r="I1440" t="s">
        <v>30</v>
      </c>
      <c r="J1440" t="s">
        <v>41</v>
      </c>
      <c r="K1440" t="s">
        <v>229</v>
      </c>
      <c r="Q1440">
        <v>0</v>
      </c>
      <c r="R1440">
        <v>0</v>
      </c>
      <c r="S1440">
        <v>93</v>
      </c>
      <c r="T1440" t="s">
        <v>6279</v>
      </c>
    </row>
    <row r="1441" spans="1:20" customFormat="1" ht="15" x14ac:dyDescent="0.25">
      <c r="A1441" t="s">
        <v>35</v>
      </c>
      <c r="B1441" t="s">
        <v>4725</v>
      </c>
      <c r="C1441" t="str">
        <f>"A0190860"</f>
        <v>A0190860</v>
      </c>
      <c r="D1441" t="s">
        <v>6280</v>
      </c>
      <c r="E1441" t="s">
        <v>6281</v>
      </c>
      <c r="F1441" t="s">
        <v>5208</v>
      </c>
      <c r="G1441" t="s">
        <v>103</v>
      </c>
      <c r="H1441">
        <v>16801</v>
      </c>
      <c r="I1441" t="s">
        <v>30</v>
      </c>
      <c r="J1441" t="s">
        <v>41</v>
      </c>
      <c r="K1441" t="s">
        <v>229</v>
      </c>
      <c r="Q1441">
        <v>0</v>
      </c>
      <c r="R1441">
        <v>0</v>
      </c>
      <c r="S1441">
        <v>157</v>
      </c>
      <c r="T1441" t="s">
        <v>6282</v>
      </c>
    </row>
    <row r="1442" spans="1:20" customFormat="1" ht="15" x14ac:dyDescent="0.25">
      <c r="A1442" t="s">
        <v>35</v>
      </c>
      <c r="B1442" t="s">
        <v>4725</v>
      </c>
      <c r="C1442" t="str">
        <f>"A0190859"</f>
        <v>A0190859</v>
      </c>
      <c r="D1442" t="s">
        <v>6283</v>
      </c>
      <c r="E1442" t="s">
        <v>6284</v>
      </c>
      <c r="F1442" t="s">
        <v>6285</v>
      </c>
      <c r="G1442" t="s">
        <v>103</v>
      </c>
      <c r="H1442">
        <v>15746</v>
      </c>
      <c r="I1442" t="s">
        <v>30</v>
      </c>
      <c r="J1442" t="s">
        <v>41</v>
      </c>
      <c r="K1442" t="s">
        <v>229</v>
      </c>
      <c r="Q1442">
        <v>0</v>
      </c>
      <c r="R1442">
        <v>0</v>
      </c>
      <c r="S1442">
        <v>74</v>
      </c>
      <c r="T1442" t="s">
        <v>6286</v>
      </c>
    </row>
    <row r="1443" spans="1:20" customFormat="1" ht="15" x14ac:dyDescent="0.25">
      <c r="A1443" t="s">
        <v>35</v>
      </c>
      <c r="B1443" t="s">
        <v>6287</v>
      </c>
      <c r="C1443" t="str">
        <f>"A0190858"</f>
        <v>A0190858</v>
      </c>
      <c r="D1443" t="s">
        <v>6288</v>
      </c>
      <c r="E1443" t="s">
        <v>6289</v>
      </c>
      <c r="F1443" t="s">
        <v>6290</v>
      </c>
      <c r="G1443" t="s">
        <v>81</v>
      </c>
      <c r="H1443">
        <v>32606</v>
      </c>
      <c r="I1443" t="s">
        <v>30</v>
      </c>
      <c r="J1443" t="s">
        <v>41</v>
      </c>
      <c r="K1443" t="s">
        <v>229</v>
      </c>
      <c r="Q1443">
        <v>0</v>
      </c>
      <c r="R1443">
        <v>0</v>
      </c>
      <c r="S1443">
        <v>148</v>
      </c>
      <c r="T1443" t="s">
        <v>6291</v>
      </c>
    </row>
    <row r="1444" spans="1:20" customFormat="1" ht="15" x14ac:dyDescent="0.25">
      <c r="A1444" t="s">
        <v>35</v>
      </c>
      <c r="B1444" t="s">
        <v>6287</v>
      </c>
      <c r="C1444" t="str">
        <f>"A0190857"</f>
        <v>A0190857</v>
      </c>
      <c r="D1444" t="s">
        <v>6292</v>
      </c>
      <c r="E1444" t="s">
        <v>6293</v>
      </c>
      <c r="F1444" t="s">
        <v>6294</v>
      </c>
      <c r="G1444" t="s">
        <v>81</v>
      </c>
      <c r="H1444">
        <v>32720</v>
      </c>
      <c r="I1444" t="s">
        <v>30</v>
      </c>
      <c r="J1444" t="s">
        <v>41</v>
      </c>
      <c r="K1444" t="s">
        <v>229</v>
      </c>
      <c r="Q1444">
        <v>0</v>
      </c>
      <c r="R1444">
        <v>0</v>
      </c>
      <c r="S1444">
        <v>130</v>
      </c>
      <c r="T1444" t="s">
        <v>6295</v>
      </c>
    </row>
    <row r="1445" spans="1:20" customFormat="1" ht="15" x14ac:dyDescent="0.25">
      <c r="A1445" t="s">
        <v>35</v>
      </c>
      <c r="B1445" t="s">
        <v>6296</v>
      </c>
      <c r="C1445" t="str">
        <f>"A0190856"</f>
        <v>A0190856</v>
      </c>
      <c r="D1445" t="s">
        <v>6297</v>
      </c>
      <c r="E1445" t="s">
        <v>6298</v>
      </c>
      <c r="F1445" t="s">
        <v>6299</v>
      </c>
      <c r="G1445" t="s">
        <v>117</v>
      </c>
      <c r="H1445">
        <v>49720</v>
      </c>
      <c r="I1445" t="s">
        <v>30</v>
      </c>
      <c r="J1445" t="s">
        <v>41</v>
      </c>
      <c r="K1445" t="s">
        <v>6300</v>
      </c>
      <c r="Q1445">
        <v>0</v>
      </c>
      <c r="R1445">
        <v>0</v>
      </c>
      <c r="S1445">
        <v>0</v>
      </c>
      <c r="T1445" t="s">
        <v>6301</v>
      </c>
    </row>
    <row r="1446" spans="1:20" customFormat="1" ht="15" x14ac:dyDescent="0.25">
      <c r="A1446" t="s">
        <v>35</v>
      </c>
      <c r="B1446" t="s">
        <v>6302</v>
      </c>
      <c r="C1446" t="str">
        <f>"A0190855"</f>
        <v>A0190855</v>
      </c>
      <c r="D1446" t="s">
        <v>6303</v>
      </c>
      <c r="E1446" t="s">
        <v>6304</v>
      </c>
      <c r="F1446" t="s">
        <v>6305</v>
      </c>
      <c r="G1446" t="s">
        <v>338</v>
      </c>
      <c r="H1446">
        <v>7035</v>
      </c>
      <c r="I1446" t="s">
        <v>30</v>
      </c>
      <c r="J1446" t="s">
        <v>41</v>
      </c>
      <c r="K1446" t="s">
        <v>229</v>
      </c>
      <c r="Q1446">
        <v>0</v>
      </c>
      <c r="R1446">
        <v>0</v>
      </c>
      <c r="S1446">
        <v>0</v>
      </c>
      <c r="T1446" t="s">
        <v>72</v>
      </c>
    </row>
    <row r="1447" spans="1:20" customFormat="1" ht="15" x14ac:dyDescent="0.25">
      <c r="A1447" t="s">
        <v>35</v>
      </c>
      <c r="B1447" t="s">
        <v>6302</v>
      </c>
      <c r="C1447" t="str">
        <f>"A0190854"</f>
        <v>A0190854</v>
      </c>
      <c r="D1447" t="s">
        <v>6306</v>
      </c>
      <c r="E1447" t="s">
        <v>6304</v>
      </c>
      <c r="F1447" t="s">
        <v>6305</v>
      </c>
      <c r="G1447" t="s">
        <v>338</v>
      </c>
      <c r="H1447">
        <v>7035</v>
      </c>
      <c r="I1447" t="s">
        <v>30</v>
      </c>
      <c r="J1447" t="s">
        <v>41</v>
      </c>
      <c r="K1447" t="s">
        <v>229</v>
      </c>
      <c r="Q1447">
        <v>0</v>
      </c>
      <c r="R1447">
        <v>0</v>
      </c>
      <c r="S1447">
        <v>0</v>
      </c>
      <c r="T1447" t="s">
        <v>72</v>
      </c>
    </row>
    <row r="1448" spans="1:20" customFormat="1" ht="15" x14ac:dyDescent="0.25">
      <c r="A1448" t="s">
        <v>35</v>
      </c>
      <c r="B1448" t="s">
        <v>6307</v>
      </c>
      <c r="C1448" t="str">
        <f>"A0190853"</f>
        <v>A0190853</v>
      </c>
      <c r="D1448" t="s">
        <v>6308</v>
      </c>
      <c r="E1448" t="s">
        <v>6309</v>
      </c>
      <c r="F1448" t="s">
        <v>6310</v>
      </c>
      <c r="G1448" t="s">
        <v>90</v>
      </c>
      <c r="H1448">
        <v>2861</v>
      </c>
      <c r="I1448" t="s">
        <v>30</v>
      </c>
      <c r="J1448" t="s">
        <v>41</v>
      </c>
      <c r="K1448" t="s">
        <v>229</v>
      </c>
      <c r="Q1448">
        <v>0</v>
      </c>
      <c r="R1448">
        <v>0</v>
      </c>
      <c r="S1448">
        <v>154</v>
      </c>
      <c r="T1448" t="s">
        <v>6311</v>
      </c>
    </row>
    <row r="1449" spans="1:20" customFormat="1" ht="15" x14ac:dyDescent="0.25">
      <c r="A1449" t="s">
        <v>24</v>
      </c>
      <c r="B1449" t="s">
        <v>1849</v>
      </c>
      <c r="C1449" t="str">
        <f>"A0190789"</f>
        <v>A0190789</v>
      </c>
      <c r="D1449" t="s">
        <v>6312</v>
      </c>
      <c r="E1449" t="s">
        <v>6313</v>
      </c>
      <c r="F1449" t="s">
        <v>6314</v>
      </c>
      <c r="G1449" t="s">
        <v>117</v>
      </c>
      <c r="H1449">
        <v>48084</v>
      </c>
      <c r="I1449" t="s">
        <v>30</v>
      </c>
      <c r="J1449" t="s">
        <v>31</v>
      </c>
      <c r="K1449" t="s">
        <v>261</v>
      </c>
      <c r="N1449" t="s">
        <v>6315</v>
      </c>
      <c r="Q1449">
        <v>0</v>
      </c>
      <c r="R1449">
        <v>107</v>
      </c>
      <c r="S1449">
        <v>0</v>
      </c>
      <c r="T1449" t="s">
        <v>6316</v>
      </c>
    </row>
    <row r="1450" spans="1:20" customFormat="1" ht="15" x14ac:dyDescent="0.25">
      <c r="A1450" t="s">
        <v>24</v>
      </c>
      <c r="B1450" t="s">
        <v>2005</v>
      </c>
      <c r="C1450" t="str">
        <f>"A0186909"</f>
        <v>A0186909</v>
      </c>
      <c r="D1450" t="s">
        <v>13663</v>
      </c>
      <c r="E1450" t="s">
        <v>13664</v>
      </c>
      <c r="F1450" t="s">
        <v>13665</v>
      </c>
      <c r="G1450" t="s">
        <v>880</v>
      </c>
      <c r="H1450">
        <v>38501</v>
      </c>
      <c r="I1450" t="s">
        <v>30</v>
      </c>
      <c r="J1450" t="s">
        <v>162</v>
      </c>
      <c r="K1450" t="s">
        <v>854</v>
      </c>
      <c r="N1450" t="s">
        <v>13666</v>
      </c>
      <c r="O1450" t="s">
        <v>13667</v>
      </c>
      <c r="Q1450">
        <v>0</v>
      </c>
      <c r="R1450">
        <v>96</v>
      </c>
      <c r="S1450">
        <v>0</v>
      </c>
      <c r="T1450" t="s">
        <v>13668</v>
      </c>
    </row>
    <row r="1451" spans="1:20" customFormat="1" ht="15" x14ac:dyDescent="0.25">
      <c r="A1451" t="s">
        <v>24</v>
      </c>
      <c r="B1451" t="s">
        <v>2011</v>
      </c>
      <c r="C1451" t="str">
        <f>"A0180564"</f>
        <v>A0180564</v>
      </c>
      <c r="D1451" t="s">
        <v>13669</v>
      </c>
      <c r="E1451" t="s">
        <v>13670</v>
      </c>
      <c r="F1451" t="s">
        <v>372</v>
      </c>
      <c r="G1451" t="s">
        <v>52</v>
      </c>
      <c r="H1451">
        <v>78701</v>
      </c>
      <c r="I1451" t="s">
        <v>30</v>
      </c>
      <c r="J1451" t="s">
        <v>162</v>
      </c>
      <c r="K1451" t="s">
        <v>13671</v>
      </c>
      <c r="Q1451">
        <v>0</v>
      </c>
      <c r="R1451">
        <v>193</v>
      </c>
      <c r="S1451">
        <v>0</v>
      </c>
      <c r="T1451" t="s">
        <v>192</v>
      </c>
    </row>
    <row r="1452" spans="1:20" customFormat="1" ht="15" x14ac:dyDescent="0.25">
      <c r="A1452" t="s">
        <v>24</v>
      </c>
      <c r="B1452" t="s">
        <v>2011</v>
      </c>
      <c r="C1452" t="str">
        <f>"A0180544"</f>
        <v>A0180544</v>
      </c>
      <c r="D1452" t="s">
        <v>13672</v>
      </c>
      <c r="E1452" t="s">
        <v>13670</v>
      </c>
      <c r="F1452" t="s">
        <v>372</v>
      </c>
      <c r="G1452" t="s">
        <v>52</v>
      </c>
      <c r="H1452">
        <v>78701</v>
      </c>
      <c r="I1452" t="s">
        <v>30</v>
      </c>
      <c r="J1452" t="s">
        <v>162</v>
      </c>
      <c r="K1452" t="s">
        <v>7012</v>
      </c>
      <c r="N1452" t="s">
        <v>13673</v>
      </c>
      <c r="Q1452">
        <v>0</v>
      </c>
      <c r="R1452">
        <v>229</v>
      </c>
      <c r="S1452">
        <v>0</v>
      </c>
      <c r="T1452" t="s">
        <v>13674</v>
      </c>
    </row>
    <row r="1453" spans="1:20" customFormat="1" ht="15" x14ac:dyDescent="0.25">
      <c r="A1453" t="s">
        <v>24</v>
      </c>
      <c r="B1453" t="s">
        <v>1849</v>
      </c>
      <c r="C1453" t="str">
        <f>"A0083980"</f>
        <v>A0083980</v>
      </c>
      <c r="D1453" t="s">
        <v>6332</v>
      </c>
      <c r="E1453" t="s">
        <v>6333</v>
      </c>
      <c r="F1453" t="s">
        <v>5615</v>
      </c>
      <c r="G1453" t="s">
        <v>117</v>
      </c>
      <c r="H1453">
        <v>48174</v>
      </c>
      <c r="I1453" t="s">
        <v>30</v>
      </c>
      <c r="J1453" t="s">
        <v>31</v>
      </c>
      <c r="K1453" t="s">
        <v>32</v>
      </c>
      <c r="N1453" t="s">
        <v>6334</v>
      </c>
      <c r="Q1453">
        <v>0</v>
      </c>
      <c r="R1453">
        <v>110</v>
      </c>
      <c r="S1453">
        <v>0</v>
      </c>
      <c r="T1453" t="s">
        <v>6335</v>
      </c>
    </row>
    <row r="1454" spans="1:20" customFormat="1" ht="15" x14ac:dyDescent="0.25">
      <c r="A1454" t="s">
        <v>24</v>
      </c>
      <c r="B1454" t="s">
        <v>1849</v>
      </c>
      <c r="C1454" t="str">
        <f>"A0166090"</f>
        <v>A0166090</v>
      </c>
      <c r="D1454" t="s">
        <v>6336</v>
      </c>
      <c r="E1454" t="s">
        <v>6337</v>
      </c>
      <c r="F1454" t="s">
        <v>5615</v>
      </c>
      <c r="G1454" t="s">
        <v>117</v>
      </c>
      <c r="H1454">
        <v>48174</v>
      </c>
      <c r="I1454" t="s">
        <v>30</v>
      </c>
      <c r="J1454" t="s">
        <v>31</v>
      </c>
      <c r="K1454" t="s">
        <v>282</v>
      </c>
      <c r="N1454" t="s">
        <v>6338</v>
      </c>
      <c r="O1454" t="s">
        <v>6339</v>
      </c>
      <c r="Q1454">
        <v>0</v>
      </c>
      <c r="R1454">
        <v>110</v>
      </c>
      <c r="S1454">
        <v>0</v>
      </c>
      <c r="T1454" t="s">
        <v>6340</v>
      </c>
    </row>
    <row r="1455" spans="1:20" customFormat="1" ht="15" x14ac:dyDescent="0.25">
      <c r="A1455" t="s">
        <v>24</v>
      </c>
      <c r="B1455" t="s">
        <v>13684</v>
      </c>
      <c r="C1455" t="str">
        <f>"A0154327"</f>
        <v>A0154327</v>
      </c>
      <c r="D1455" t="s">
        <v>13689</v>
      </c>
      <c r="E1455" t="s">
        <v>13690</v>
      </c>
      <c r="F1455" t="s">
        <v>8562</v>
      </c>
      <c r="G1455" t="s">
        <v>52</v>
      </c>
      <c r="H1455">
        <v>77356</v>
      </c>
      <c r="I1455" t="s">
        <v>30</v>
      </c>
      <c r="J1455" t="s">
        <v>162</v>
      </c>
      <c r="K1455" t="s">
        <v>163</v>
      </c>
      <c r="N1455" t="s">
        <v>13691</v>
      </c>
      <c r="O1455" t="s">
        <v>13692</v>
      </c>
      <c r="Q1455">
        <v>0</v>
      </c>
      <c r="R1455">
        <v>335</v>
      </c>
      <c r="S1455">
        <v>0</v>
      </c>
      <c r="T1455" t="s">
        <v>13693</v>
      </c>
    </row>
    <row r="1456" spans="1:20" customFormat="1" ht="15" x14ac:dyDescent="0.25">
      <c r="A1456" t="s">
        <v>24</v>
      </c>
      <c r="B1456" t="s">
        <v>1849</v>
      </c>
      <c r="C1456" t="str">
        <f>"A0166083"</f>
        <v>A0166083</v>
      </c>
      <c r="D1456" t="s">
        <v>6346</v>
      </c>
      <c r="E1456" t="s">
        <v>6347</v>
      </c>
      <c r="F1456" t="s">
        <v>6348</v>
      </c>
      <c r="G1456" t="s">
        <v>117</v>
      </c>
      <c r="H1456">
        <v>48150</v>
      </c>
      <c r="I1456" t="s">
        <v>30</v>
      </c>
      <c r="J1456" t="s">
        <v>31</v>
      </c>
      <c r="K1456" t="s">
        <v>198</v>
      </c>
      <c r="N1456" t="s">
        <v>6349</v>
      </c>
      <c r="O1456" t="s">
        <v>6350</v>
      </c>
      <c r="Q1456">
        <v>0</v>
      </c>
      <c r="R1456">
        <v>110</v>
      </c>
      <c r="S1456">
        <v>0</v>
      </c>
      <c r="T1456" t="s">
        <v>6351</v>
      </c>
    </row>
    <row r="1457" spans="1:20" customFormat="1" ht="15" hidden="1" x14ac:dyDescent="0.25">
      <c r="A1457" t="s">
        <v>24</v>
      </c>
      <c r="B1457" t="s">
        <v>6352</v>
      </c>
      <c r="C1457" t="str">
        <f>"A0190514"</f>
        <v>A0190514</v>
      </c>
      <c r="D1457" t="s">
        <v>6353</v>
      </c>
      <c r="E1457" t="s">
        <v>6354</v>
      </c>
      <c r="F1457" t="s">
        <v>6355</v>
      </c>
      <c r="G1457" t="s">
        <v>6356</v>
      </c>
      <c r="I1457" t="s">
        <v>4803</v>
      </c>
      <c r="J1457" t="s">
        <v>162</v>
      </c>
      <c r="K1457" t="s">
        <v>4581</v>
      </c>
      <c r="N1457" t="s">
        <v>6357</v>
      </c>
      <c r="Q1457">
        <v>0</v>
      </c>
      <c r="R1457">
        <v>104</v>
      </c>
      <c r="S1457">
        <v>0</v>
      </c>
      <c r="T1457" t="s">
        <v>6358</v>
      </c>
    </row>
    <row r="1458" spans="1:20" customFormat="1" ht="15" x14ac:dyDescent="0.25">
      <c r="A1458" t="s">
        <v>24</v>
      </c>
      <c r="B1458" t="s">
        <v>762</v>
      </c>
      <c r="C1458" t="str">
        <f>"A0083707"</f>
        <v>A0083707</v>
      </c>
      <c r="D1458" t="s">
        <v>6359</v>
      </c>
      <c r="E1458" t="s">
        <v>6360</v>
      </c>
      <c r="F1458" t="s">
        <v>2586</v>
      </c>
      <c r="G1458" t="s">
        <v>65</v>
      </c>
      <c r="H1458">
        <v>43612</v>
      </c>
      <c r="I1458" t="s">
        <v>30</v>
      </c>
      <c r="J1458" t="s">
        <v>31</v>
      </c>
      <c r="K1458" t="s">
        <v>32</v>
      </c>
      <c r="N1458" t="s">
        <v>6361</v>
      </c>
      <c r="Q1458">
        <v>0</v>
      </c>
      <c r="R1458">
        <v>84</v>
      </c>
      <c r="S1458">
        <v>0</v>
      </c>
      <c r="T1458" t="s">
        <v>6362</v>
      </c>
    </row>
    <row r="1459" spans="1:20" customFormat="1" ht="15" x14ac:dyDescent="0.25">
      <c r="A1459" t="s">
        <v>24</v>
      </c>
      <c r="B1459" t="s">
        <v>13684</v>
      </c>
      <c r="C1459" t="str">
        <f>"A0087247"</f>
        <v>A0087247</v>
      </c>
      <c r="D1459" t="s">
        <v>13701</v>
      </c>
      <c r="E1459" t="s">
        <v>13702</v>
      </c>
      <c r="F1459" t="s">
        <v>826</v>
      </c>
      <c r="G1459" t="s">
        <v>338</v>
      </c>
      <c r="H1459">
        <v>7920</v>
      </c>
      <c r="I1459" t="s">
        <v>30</v>
      </c>
      <c r="J1459" t="s">
        <v>162</v>
      </c>
      <c r="K1459" t="s">
        <v>163</v>
      </c>
      <c r="N1459" t="s">
        <v>13703</v>
      </c>
      <c r="O1459" t="s">
        <v>13704</v>
      </c>
      <c r="Q1459">
        <v>0</v>
      </c>
      <c r="R1459">
        <v>200</v>
      </c>
      <c r="S1459">
        <v>0</v>
      </c>
      <c r="T1459" t="s">
        <v>13705</v>
      </c>
    </row>
    <row r="1460" spans="1:20" customFormat="1" ht="15" x14ac:dyDescent="0.25">
      <c r="A1460" t="s">
        <v>24</v>
      </c>
      <c r="B1460" t="s">
        <v>1849</v>
      </c>
      <c r="C1460" t="str">
        <f>"A0190212"</f>
        <v>A0190212</v>
      </c>
      <c r="D1460" t="s">
        <v>6368</v>
      </c>
      <c r="E1460" t="s">
        <v>6369</v>
      </c>
      <c r="F1460" t="s">
        <v>6314</v>
      </c>
      <c r="G1460" t="s">
        <v>117</v>
      </c>
      <c r="H1460">
        <v>48083</v>
      </c>
      <c r="I1460" t="s">
        <v>30</v>
      </c>
      <c r="J1460" t="s">
        <v>31</v>
      </c>
      <c r="K1460" t="s">
        <v>1196</v>
      </c>
      <c r="N1460" t="s">
        <v>6370</v>
      </c>
      <c r="Q1460">
        <v>0</v>
      </c>
      <c r="R1460">
        <v>124</v>
      </c>
      <c r="S1460">
        <v>0</v>
      </c>
      <c r="T1460" t="s">
        <v>6371</v>
      </c>
    </row>
    <row r="1461" spans="1:20" customFormat="1" ht="15" x14ac:dyDescent="0.25">
      <c r="A1461" t="s">
        <v>24</v>
      </c>
      <c r="B1461" t="s">
        <v>1548</v>
      </c>
      <c r="C1461" t="str">
        <f>"A0061382"</f>
        <v>A0061382</v>
      </c>
      <c r="D1461" t="s">
        <v>13714</v>
      </c>
      <c r="E1461" t="s">
        <v>13715</v>
      </c>
      <c r="F1461" t="s">
        <v>13716</v>
      </c>
      <c r="G1461" t="s">
        <v>65</v>
      </c>
      <c r="H1461">
        <v>45202</v>
      </c>
      <c r="I1461" t="s">
        <v>30</v>
      </c>
      <c r="J1461" t="s">
        <v>162</v>
      </c>
      <c r="K1461" t="s">
        <v>4809</v>
      </c>
      <c r="N1461" t="s">
        <v>13717</v>
      </c>
      <c r="O1461" t="s">
        <v>13718</v>
      </c>
      <c r="Q1461">
        <v>0</v>
      </c>
      <c r="R1461">
        <v>561</v>
      </c>
      <c r="S1461">
        <v>0</v>
      </c>
      <c r="T1461" t="s">
        <v>13719</v>
      </c>
    </row>
    <row r="1462" spans="1:20" customFormat="1" ht="15" x14ac:dyDescent="0.25">
      <c r="A1462" t="s">
        <v>24</v>
      </c>
      <c r="B1462" t="s">
        <v>1849</v>
      </c>
      <c r="C1462" t="str">
        <f>"A0166082"</f>
        <v>A0166082</v>
      </c>
      <c r="D1462" t="s">
        <v>6376</v>
      </c>
      <c r="E1462" t="s">
        <v>6377</v>
      </c>
      <c r="F1462" t="s">
        <v>6314</v>
      </c>
      <c r="G1462" t="s">
        <v>117</v>
      </c>
      <c r="H1462">
        <v>48084</v>
      </c>
      <c r="I1462" t="s">
        <v>30</v>
      </c>
      <c r="J1462" t="s">
        <v>31</v>
      </c>
      <c r="K1462" t="s">
        <v>198</v>
      </c>
      <c r="N1462" t="s">
        <v>6378</v>
      </c>
      <c r="Q1462">
        <v>0</v>
      </c>
      <c r="R1462">
        <v>111</v>
      </c>
      <c r="S1462">
        <v>0</v>
      </c>
      <c r="T1462" t="s">
        <v>6379</v>
      </c>
    </row>
    <row r="1463" spans="1:20" customFormat="1" ht="15" x14ac:dyDescent="0.25">
      <c r="A1463" t="s">
        <v>24</v>
      </c>
      <c r="B1463" t="s">
        <v>1849</v>
      </c>
      <c r="C1463" t="str">
        <f>"A0060259"</f>
        <v>A0060259</v>
      </c>
      <c r="D1463" t="s">
        <v>6380</v>
      </c>
      <c r="E1463" t="s">
        <v>6381</v>
      </c>
      <c r="F1463" t="s">
        <v>5615</v>
      </c>
      <c r="G1463" t="s">
        <v>117</v>
      </c>
      <c r="H1463">
        <v>48174</v>
      </c>
      <c r="I1463" t="s">
        <v>30</v>
      </c>
      <c r="J1463" t="s">
        <v>31</v>
      </c>
      <c r="K1463" t="s">
        <v>710</v>
      </c>
      <c r="N1463" t="s">
        <v>6382</v>
      </c>
      <c r="Q1463">
        <v>0</v>
      </c>
      <c r="R1463">
        <v>100</v>
      </c>
      <c r="S1463">
        <v>0</v>
      </c>
      <c r="T1463" t="s">
        <v>6383</v>
      </c>
    </row>
    <row r="1464" spans="1:20" customFormat="1" ht="15" x14ac:dyDescent="0.25">
      <c r="A1464" t="s">
        <v>24</v>
      </c>
      <c r="B1464" t="s">
        <v>13730</v>
      </c>
      <c r="C1464" t="str">
        <f>"HY09764"</f>
        <v>HY09764</v>
      </c>
      <c r="D1464" t="s">
        <v>13731</v>
      </c>
      <c r="E1464" t="s">
        <v>13732</v>
      </c>
      <c r="F1464" t="s">
        <v>972</v>
      </c>
      <c r="G1464" t="s">
        <v>190</v>
      </c>
      <c r="H1464">
        <v>80237</v>
      </c>
      <c r="I1464" t="s">
        <v>30</v>
      </c>
      <c r="J1464" t="s">
        <v>162</v>
      </c>
      <c r="K1464" t="s">
        <v>7598</v>
      </c>
      <c r="N1464" t="s">
        <v>13733</v>
      </c>
      <c r="O1464" t="s">
        <v>13734</v>
      </c>
      <c r="Q1464">
        <v>0</v>
      </c>
      <c r="R1464">
        <v>451</v>
      </c>
      <c r="S1464">
        <v>0</v>
      </c>
      <c r="T1464" t="s">
        <v>13735</v>
      </c>
    </row>
    <row r="1465" spans="1:20" customFormat="1" ht="15" x14ac:dyDescent="0.25">
      <c r="A1465" t="s">
        <v>24</v>
      </c>
      <c r="B1465" t="s">
        <v>13684</v>
      </c>
      <c r="C1465" t="str">
        <f>"A0062434"</f>
        <v>A0062434</v>
      </c>
      <c r="D1465" t="s">
        <v>13751</v>
      </c>
      <c r="E1465" t="s">
        <v>13752</v>
      </c>
      <c r="F1465" t="s">
        <v>1858</v>
      </c>
      <c r="G1465" t="s">
        <v>190</v>
      </c>
      <c r="H1465">
        <v>80904</v>
      </c>
      <c r="I1465" t="s">
        <v>30</v>
      </c>
      <c r="J1465" t="s">
        <v>162</v>
      </c>
      <c r="K1465" t="s">
        <v>163</v>
      </c>
      <c r="N1465" t="s">
        <v>13753</v>
      </c>
      <c r="O1465" t="s">
        <v>13754</v>
      </c>
      <c r="P1465" t="s">
        <v>992</v>
      </c>
      <c r="Q1465">
        <v>3</v>
      </c>
      <c r="R1465">
        <v>69</v>
      </c>
      <c r="S1465">
        <v>0</v>
      </c>
      <c r="T1465" t="s">
        <v>13755</v>
      </c>
    </row>
    <row r="1466" spans="1:20" customFormat="1" ht="15" x14ac:dyDescent="0.25">
      <c r="A1466" t="s">
        <v>24</v>
      </c>
      <c r="B1466" t="s">
        <v>193</v>
      </c>
      <c r="C1466" t="str">
        <f>"SC094"</f>
        <v>SC094</v>
      </c>
      <c r="D1466" t="s">
        <v>13776</v>
      </c>
      <c r="E1466" t="s">
        <v>13777</v>
      </c>
      <c r="F1466" t="s">
        <v>1541</v>
      </c>
      <c r="G1466" t="s">
        <v>427</v>
      </c>
      <c r="H1466">
        <v>68154</v>
      </c>
      <c r="I1466" t="s">
        <v>30</v>
      </c>
      <c r="J1466" t="s">
        <v>162</v>
      </c>
      <c r="K1466" t="s">
        <v>163</v>
      </c>
      <c r="Q1466">
        <v>0</v>
      </c>
      <c r="R1466">
        <v>221</v>
      </c>
      <c r="S1466">
        <v>0</v>
      </c>
      <c r="T1466" t="s">
        <v>13778</v>
      </c>
    </row>
    <row r="1467" spans="1:20" customFormat="1" ht="15" x14ac:dyDescent="0.25">
      <c r="A1467" t="s">
        <v>24</v>
      </c>
      <c r="B1467" t="s">
        <v>6387</v>
      </c>
      <c r="C1467" t="str">
        <f>"SF07954"</f>
        <v>SF07954</v>
      </c>
      <c r="D1467" t="s">
        <v>6398</v>
      </c>
      <c r="E1467" t="s">
        <v>6399</v>
      </c>
      <c r="F1467" t="s">
        <v>6390</v>
      </c>
      <c r="G1467" t="s">
        <v>29</v>
      </c>
      <c r="H1467">
        <v>22801</v>
      </c>
      <c r="I1467" t="s">
        <v>30</v>
      </c>
      <c r="J1467" t="s">
        <v>31</v>
      </c>
      <c r="K1467" t="s">
        <v>2524</v>
      </c>
      <c r="N1467" t="s">
        <v>6400</v>
      </c>
      <c r="Q1467">
        <v>0</v>
      </c>
      <c r="R1467">
        <v>72</v>
      </c>
      <c r="S1467">
        <v>0</v>
      </c>
      <c r="T1467" t="s">
        <v>6401</v>
      </c>
    </row>
    <row r="1468" spans="1:20" customFormat="1" ht="15" x14ac:dyDescent="0.25">
      <c r="A1468" t="s">
        <v>24</v>
      </c>
      <c r="B1468" t="s">
        <v>193</v>
      </c>
      <c r="C1468" t="str">
        <f>"A0096186"</f>
        <v>A0096186</v>
      </c>
      <c r="D1468" t="s">
        <v>14319</v>
      </c>
      <c r="E1468" t="s">
        <v>14320</v>
      </c>
      <c r="F1468" t="s">
        <v>1159</v>
      </c>
      <c r="G1468" t="s">
        <v>58</v>
      </c>
      <c r="H1468">
        <v>29577</v>
      </c>
      <c r="I1468" t="s">
        <v>30</v>
      </c>
      <c r="J1468" t="s">
        <v>162</v>
      </c>
      <c r="K1468" t="s">
        <v>163</v>
      </c>
      <c r="N1468" t="s">
        <v>14321</v>
      </c>
      <c r="O1468" t="s">
        <v>14322</v>
      </c>
      <c r="Q1468">
        <v>0</v>
      </c>
      <c r="R1468">
        <v>337</v>
      </c>
      <c r="S1468">
        <v>0</v>
      </c>
      <c r="T1468" t="s">
        <v>14323</v>
      </c>
    </row>
    <row r="1469" spans="1:20" customFormat="1" ht="15" x14ac:dyDescent="0.25">
      <c r="A1469" t="s">
        <v>35</v>
      </c>
      <c r="B1469" t="s">
        <v>61</v>
      </c>
      <c r="C1469" t="str">
        <f>"A0121440"</f>
        <v>A0121440</v>
      </c>
      <c r="D1469" t="s">
        <v>6407</v>
      </c>
      <c r="E1469" t="s">
        <v>6408</v>
      </c>
      <c r="F1469" t="s">
        <v>6409</v>
      </c>
      <c r="G1469" t="s">
        <v>110</v>
      </c>
      <c r="H1469">
        <v>94546</v>
      </c>
      <c r="I1469" t="s">
        <v>30</v>
      </c>
      <c r="J1469" t="s">
        <v>41</v>
      </c>
      <c r="K1469" t="s">
        <v>59</v>
      </c>
      <c r="Q1469">
        <v>0</v>
      </c>
      <c r="R1469">
        <v>60</v>
      </c>
      <c r="S1469">
        <v>60</v>
      </c>
      <c r="T1469" t="s">
        <v>6410</v>
      </c>
    </row>
    <row r="1470" spans="1:20" customFormat="1" ht="15" x14ac:dyDescent="0.25">
      <c r="A1470" t="s">
        <v>24</v>
      </c>
      <c r="B1470" t="s">
        <v>3628</v>
      </c>
      <c r="C1470" t="str">
        <f>"A0056750"</f>
        <v>A0056750</v>
      </c>
      <c r="D1470" t="s">
        <v>14434</v>
      </c>
      <c r="E1470" t="s">
        <v>14435</v>
      </c>
      <c r="F1470" t="s">
        <v>14436</v>
      </c>
      <c r="G1470" t="s">
        <v>338</v>
      </c>
      <c r="H1470">
        <v>7960</v>
      </c>
      <c r="I1470" t="s">
        <v>30</v>
      </c>
      <c r="J1470" t="s">
        <v>162</v>
      </c>
      <c r="K1470" t="s">
        <v>822</v>
      </c>
      <c r="N1470" t="s">
        <v>14437</v>
      </c>
      <c r="O1470" t="s">
        <v>14438</v>
      </c>
      <c r="Q1470">
        <v>0</v>
      </c>
      <c r="R1470">
        <v>224</v>
      </c>
      <c r="S1470">
        <v>0</v>
      </c>
      <c r="T1470" t="s">
        <v>14439</v>
      </c>
    </row>
    <row r="1471" spans="1:20" customFormat="1" ht="15" x14ac:dyDescent="0.25">
      <c r="A1471" t="s">
        <v>24</v>
      </c>
      <c r="B1471" t="s">
        <v>3628</v>
      </c>
      <c r="C1471" t="str">
        <f>"A0083035"</f>
        <v>A0083035</v>
      </c>
      <c r="D1471" t="s">
        <v>14445</v>
      </c>
      <c r="E1471" t="s">
        <v>14446</v>
      </c>
      <c r="F1471" t="s">
        <v>4397</v>
      </c>
      <c r="G1471" t="s">
        <v>123</v>
      </c>
      <c r="H1471">
        <v>20850</v>
      </c>
      <c r="I1471" t="s">
        <v>30</v>
      </c>
      <c r="J1471" t="s">
        <v>162</v>
      </c>
      <c r="K1471" t="s">
        <v>1502</v>
      </c>
      <c r="N1471" t="s">
        <v>14447</v>
      </c>
      <c r="Q1471">
        <v>0</v>
      </c>
      <c r="R1471">
        <v>155</v>
      </c>
      <c r="S1471">
        <v>0</v>
      </c>
      <c r="T1471" t="s">
        <v>14448</v>
      </c>
    </row>
    <row r="1472" spans="1:20" customFormat="1" ht="15" x14ac:dyDescent="0.25">
      <c r="A1472" t="s">
        <v>24</v>
      </c>
      <c r="B1472" t="s">
        <v>6421</v>
      </c>
      <c r="C1472" t="str">
        <f>"A0076513"</f>
        <v>A0076513</v>
      </c>
      <c r="D1472" t="s">
        <v>6422</v>
      </c>
      <c r="E1472" t="s">
        <v>6423</v>
      </c>
      <c r="F1472" t="s">
        <v>6424</v>
      </c>
      <c r="G1472" t="s">
        <v>1898</v>
      </c>
      <c r="H1472">
        <v>52241</v>
      </c>
      <c r="I1472" t="s">
        <v>30</v>
      </c>
      <c r="J1472" t="s">
        <v>2558</v>
      </c>
      <c r="K1472" t="s">
        <v>179</v>
      </c>
      <c r="N1472" t="s">
        <v>6425</v>
      </c>
      <c r="P1472" t="s">
        <v>6426</v>
      </c>
      <c r="Q1472">
        <v>0</v>
      </c>
      <c r="R1472">
        <v>0</v>
      </c>
      <c r="S1472">
        <v>0</v>
      </c>
      <c r="T1472" t="s">
        <v>6427</v>
      </c>
    </row>
    <row r="1473" spans="1:25" customFormat="1" ht="15" x14ac:dyDescent="0.25">
      <c r="A1473" t="s">
        <v>24</v>
      </c>
      <c r="B1473" t="s">
        <v>1548</v>
      </c>
      <c r="C1473" t="str">
        <f>"A0058917"</f>
        <v>A0058917</v>
      </c>
      <c r="D1473" t="s">
        <v>14914</v>
      </c>
      <c r="E1473" t="s">
        <v>14915</v>
      </c>
      <c r="F1473" t="s">
        <v>14916</v>
      </c>
      <c r="G1473" t="s">
        <v>117</v>
      </c>
      <c r="H1473">
        <v>48304</v>
      </c>
      <c r="I1473" t="s">
        <v>30</v>
      </c>
      <c r="J1473" t="s">
        <v>162</v>
      </c>
      <c r="K1473" t="s">
        <v>759</v>
      </c>
      <c r="N1473" t="s">
        <v>14917</v>
      </c>
      <c r="Q1473">
        <v>0</v>
      </c>
      <c r="R1473">
        <v>144</v>
      </c>
      <c r="S1473">
        <v>0</v>
      </c>
      <c r="T1473" t="s">
        <v>14918</v>
      </c>
    </row>
    <row r="1474" spans="1:25" customFormat="1" ht="15" x14ac:dyDescent="0.25">
      <c r="A1474" t="s">
        <v>35</v>
      </c>
      <c r="B1474" t="s">
        <v>61</v>
      </c>
      <c r="C1474" t="str">
        <f>"A0126202"</f>
        <v>A0126202</v>
      </c>
      <c r="D1474" t="s">
        <v>6433</v>
      </c>
      <c r="E1474" t="s">
        <v>6434</v>
      </c>
      <c r="F1474" t="s">
        <v>6435</v>
      </c>
      <c r="G1474" t="s">
        <v>197</v>
      </c>
      <c r="H1474">
        <v>85204</v>
      </c>
      <c r="I1474" t="s">
        <v>30</v>
      </c>
      <c r="J1474" t="s">
        <v>41</v>
      </c>
      <c r="K1474" t="s">
        <v>229</v>
      </c>
      <c r="Q1474">
        <v>0</v>
      </c>
      <c r="R1474">
        <v>120</v>
      </c>
      <c r="S1474">
        <v>120</v>
      </c>
      <c r="T1474" t="s">
        <v>6436</v>
      </c>
    </row>
    <row r="1475" spans="1:25" customFormat="1" ht="15" hidden="1" x14ac:dyDescent="0.25">
      <c r="A1475" t="s">
        <v>24</v>
      </c>
      <c r="B1475" t="s">
        <v>4848</v>
      </c>
      <c r="C1475" t="str">
        <f>"A0190794"</f>
        <v>A0190794</v>
      </c>
      <c r="D1475" t="s">
        <v>6437</v>
      </c>
      <c r="E1475" t="s">
        <v>6438</v>
      </c>
      <c r="F1475" t="s">
        <v>6439</v>
      </c>
      <c r="G1475" t="s">
        <v>2206</v>
      </c>
      <c r="H1475" t="s">
        <v>6440</v>
      </c>
      <c r="I1475" t="s">
        <v>1459</v>
      </c>
      <c r="J1475" t="s">
        <v>31</v>
      </c>
      <c r="K1475" t="s">
        <v>2524</v>
      </c>
      <c r="N1475" t="s">
        <v>6441</v>
      </c>
      <c r="Q1475">
        <v>0</v>
      </c>
      <c r="R1475">
        <v>171</v>
      </c>
      <c r="S1475">
        <v>0</v>
      </c>
      <c r="T1475" t="s">
        <v>6442</v>
      </c>
    </row>
    <row r="1476" spans="1:25" customFormat="1" ht="15" x14ac:dyDescent="0.25">
      <c r="A1476" t="s">
        <v>24</v>
      </c>
      <c r="B1476" t="s">
        <v>140</v>
      </c>
      <c r="C1476" t="str">
        <f>"A0147989"</f>
        <v>A0147989</v>
      </c>
      <c r="D1476" t="s">
        <v>6443</v>
      </c>
      <c r="E1476" t="s">
        <v>6444</v>
      </c>
      <c r="F1476" t="s">
        <v>709</v>
      </c>
      <c r="G1476" t="s">
        <v>81</v>
      </c>
      <c r="H1476">
        <v>34243</v>
      </c>
      <c r="I1476" t="s">
        <v>30</v>
      </c>
      <c r="J1476" t="s">
        <v>31</v>
      </c>
      <c r="K1476" t="s">
        <v>261</v>
      </c>
      <c r="N1476" t="s">
        <v>6445</v>
      </c>
      <c r="O1476" t="s">
        <v>6446</v>
      </c>
      <c r="Q1476">
        <v>0</v>
      </c>
      <c r="R1476">
        <v>109</v>
      </c>
      <c r="S1476">
        <v>0</v>
      </c>
      <c r="T1476" t="s">
        <v>6447</v>
      </c>
    </row>
    <row r="1477" spans="1:25" customFormat="1" ht="15" x14ac:dyDescent="0.25">
      <c r="A1477" t="s">
        <v>24</v>
      </c>
      <c r="B1477" t="s">
        <v>814</v>
      </c>
      <c r="C1477" t="str">
        <f>"A0185494"</f>
        <v>A0185494</v>
      </c>
      <c r="D1477" t="s">
        <v>14936</v>
      </c>
      <c r="E1477" t="s">
        <v>14937</v>
      </c>
      <c r="F1477" t="s">
        <v>845</v>
      </c>
      <c r="G1477" t="s">
        <v>846</v>
      </c>
      <c r="H1477">
        <v>30318</v>
      </c>
      <c r="I1477" t="s">
        <v>30</v>
      </c>
      <c r="J1477" t="s">
        <v>162</v>
      </c>
      <c r="K1477" t="s">
        <v>3447</v>
      </c>
      <c r="N1477" t="s">
        <v>14938</v>
      </c>
      <c r="Q1477">
        <v>0</v>
      </c>
      <c r="R1477">
        <v>161</v>
      </c>
      <c r="S1477">
        <v>0</v>
      </c>
      <c r="T1477" t="s">
        <v>14939</v>
      </c>
    </row>
    <row r="1478" spans="1:25" customFormat="1" ht="15" x14ac:dyDescent="0.25">
      <c r="A1478" t="s">
        <v>24</v>
      </c>
      <c r="B1478" t="s">
        <v>140</v>
      </c>
      <c r="C1478" t="str">
        <f>"A0147990"</f>
        <v>A0147990</v>
      </c>
      <c r="D1478" t="s">
        <v>6451</v>
      </c>
      <c r="E1478" t="s">
        <v>6452</v>
      </c>
      <c r="F1478" t="s">
        <v>709</v>
      </c>
      <c r="G1478" t="s">
        <v>81</v>
      </c>
      <c r="H1478">
        <v>34232</v>
      </c>
      <c r="I1478" t="s">
        <v>30</v>
      </c>
      <c r="J1478" t="s">
        <v>31</v>
      </c>
      <c r="K1478" t="s">
        <v>198</v>
      </c>
      <c r="N1478" t="s">
        <v>6453</v>
      </c>
      <c r="O1478" t="s">
        <v>6454</v>
      </c>
      <c r="Q1478">
        <v>0</v>
      </c>
      <c r="R1478">
        <v>121</v>
      </c>
      <c r="S1478">
        <v>0</v>
      </c>
      <c r="T1478" t="s">
        <v>6455</v>
      </c>
    </row>
    <row r="1479" spans="1:25" x14ac:dyDescent="0.25">
      <c r="A1479" s="5" t="s">
        <v>24</v>
      </c>
      <c r="B1479" s="5" t="s">
        <v>14948</v>
      </c>
      <c r="C1479" s="5" t="str">
        <f>"A0059208"</f>
        <v>A0059208</v>
      </c>
      <c r="D1479" s="5" t="s">
        <v>14961</v>
      </c>
      <c r="E1479" s="5" t="s">
        <v>14962</v>
      </c>
      <c r="F1479" s="5" t="s">
        <v>1183</v>
      </c>
      <c r="G1479" s="5" t="s">
        <v>1184</v>
      </c>
      <c r="H1479" s="5">
        <v>59601</v>
      </c>
      <c r="I1479" s="5" t="s">
        <v>30</v>
      </c>
      <c r="J1479" s="5" t="s">
        <v>162</v>
      </c>
      <c r="K1479" s="5" t="s">
        <v>8834</v>
      </c>
      <c r="L1479" s="5"/>
      <c r="M1479" s="5"/>
      <c r="N1479" s="5" t="s">
        <v>14963</v>
      </c>
      <c r="O1479" s="5" t="s">
        <v>14964</v>
      </c>
      <c r="P1479" s="5"/>
      <c r="Q1479" s="5">
        <v>0</v>
      </c>
      <c r="R1479" s="5">
        <v>150</v>
      </c>
      <c r="S1479" s="5">
        <v>0</v>
      </c>
      <c r="T1479" s="5" t="s">
        <v>14965</v>
      </c>
      <c r="U1479" s="5"/>
      <c r="V1479" s="5"/>
      <c r="W1479" s="5"/>
      <c r="X1479" s="5"/>
      <c r="Y1479" s="5"/>
    </row>
    <row r="1480" spans="1:25" customFormat="1" ht="15" x14ac:dyDescent="0.25">
      <c r="A1480" t="s">
        <v>24</v>
      </c>
      <c r="B1480" t="s">
        <v>193</v>
      </c>
      <c r="C1480" t="str">
        <f>"CL1068"</f>
        <v>CL1068</v>
      </c>
      <c r="D1480" t="s">
        <v>15026</v>
      </c>
      <c r="E1480" t="s">
        <v>15027</v>
      </c>
      <c r="F1480" t="s">
        <v>15028</v>
      </c>
      <c r="G1480" t="s">
        <v>52</v>
      </c>
      <c r="H1480">
        <v>78418</v>
      </c>
      <c r="I1480" t="s">
        <v>30</v>
      </c>
      <c r="J1480" t="s">
        <v>162</v>
      </c>
      <c r="K1480" t="s">
        <v>163</v>
      </c>
      <c r="N1480" t="s">
        <v>15029</v>
      </c>
      <c r="O1480" t="s">
        <v>15030</v>
      </c>
      <c r="Q1480">
        <v>0</v>
      </c>
      <c r="R1480">
        <v>90</v>
      </c>
      <c r="S1480">
        <v>0</v>
      </c>
      <c r="T1480" t="s">
        <v>15031</v>
      </c>
    </row>
    <row r="1481" spans="1:25" customFormat="1" ht="15" x14ac:dyDescent="0.25">
      <c r="A1481" t="s">
        <v>24</v>
      </c>
      <c r="B1481" t="s">
        <v>13684</v>
      </c>
      <c r="C1481" t="str">
        <f>"A0071936"</f>
        <v>A0071936</v>
      </c>
      <c r="D1481" t="s">
        <v>15100</v>
      </c>
      <c r="E1481" t="s">
        <v>15101</v>
      </c>
      <c r="F1481" t="s">
        <v>15102</v>
      </c>
      <c r="G1481" t="s">
        <v>81</v>
      </c>
      <c r="H1481">
        <v>33706</v>
      </c>
      <c r="I1481" t="s">
        <v>30</v>
      </c>
      <c r="J1481" t="s">
        <v>162</v>
      </c>
      <c r="K1481" t="s">
        <v>163</v>
      </c>
      <c r="Q1481">
        <v>0</v>
      </c>
      <c r="R1481">
        <v>102</v>
      </c>
      <c r="S1481">
        <v>0</v>
      </c>
      <c r="T1481" t="s">
        <v>15103</v>
      </c>
    </row>
    <row r="1482" spans="1:25" customFormat="1" ht="15" x14ac:dyDescent="0.25">
      <c r="A1482" t="s">
        <v>24</v>
      </c>
      <c r="B1482" t="s">
        <v>193</v>
      </c>
      <c r="C1482" t="str">
        <f>"A0094107"</f>
        <v>A0094107</v>
      </c>
      <c r="D1482" t="s">
        <v>6474</v>
      </c>
      <c r="E1482" t="s">
        <v>6475</v>
      </c>
      <c r="F1482" t="s">
        <v>2900</v>
      </c>
      <c r="G1482" t="s">
        <v>76</v>
      </c>
      <c r="H1482">
        <v>98109</v>
      </c>
      <c r="I1482" t="s">
        <v>30</v>
      </c>
      <c r="J1482" t="s">
        <v>31</v>
      </c>
      <c r="K1482" t="s">
        <v>315</v>
      </c>
      <c r="N1482" t="s">
        <v>6476</v>
      </c>
      <c r="O1482" t="s">
        <v>6477</v>
      </c>
      <c r="Q1482">
        <v>0</v>
      </c>
      <c r="R1482">
        <v>159</v>
      </c>
      <c r="S1482">
        <v>0</v>
      </c>
      <c r="T1482" t="s">
        <v>6478</v>
      </c>
    </row>
    <row r="1483" spans="1:25" customFormat="1" ht="15" x14ac:dyDescent="0.25">
      <c r="A1483" t="s">
        <v>24</v>
      </c>
      <c r="B1483" t="s">
        <v>13684</v>
      </c>
      <c r="C1483" t="str">
        <f>"A0151262"</f>
        <v>A0151262</v>
      </c>
      <c r="D1483" t="s">
        <v>15104</v>
      </c>
      <c r="E1483" t="s">
        <v>15105</v>
      </c>
      <c r="F1483" t="s">
        <v>15106</v>
      </c>
      <c r="G1483" t="s">
        <v>2450</v>
      </c>
      <c r="H1483">
        <v>4538</v>
      </c>
      <c r="I1483" t="s">
        <v>30</v>
      </c>
      <c r="J1483" t="s">
        <v>162</v>
      </c>
      <c r="K1483" t="s">
        <v>163</v>
      </c>
      <c r="N1483" t="s">
        <v>15107</v>
      </c>
      <c r="Q1483">
        <v>0</v>
      </c>
      <c r="R1483">
        <v>81</v>
      </c>
      <c r="S1483">
        <v>0</v>
      </c>
      <c r="T1483" t="s">
        <v>15108</v>
      </c>
    </row>
    <row r="1484" spans="1:25" customFormat="1" ht="15" x14ac:dyDescent="0.25">
      <c r="A1484" t="s">
        <v>24</v>
      </c>
      <c r="B1484" t="s">
        <v>734</v>
      </c>
      <c r="C1484" t="str">
        <f>"A0190786"</f>
        <v>A0190786</v>
      </c>
      <c r="D1484" t="s">
        <v>6483</v>
      </c>
      <c r="E1484" t="s">
        <v>6484</v>
      </c>
      <c r="F1484" t="s">
        <v>4802</v>
      </c>
      <c r="G1484" t="s">
        <v>110</v>
      </c>
      <c r="H1484">
        <v>95112</v>
      </c>
      <c r="I1484" t="s">
        <v>30</v>
      </c>
      <c r="J1484" t="s">
        <v>31</v>
      </c>
      <c r="K1484" t="s">
        <v>6485</v>
      </c>
      <c r="N1484" t="s">
        <v>867</v>
      </c>
      <c r="Q1484">
        <v>0</v>
      </c>
      <c r="R1484">
        <v>81</v>
      </c>
      <c r="S1484">
        <v>0</v>
      </c>
      <c r="T1484" t="s">
        <v>6486</v>
      </c>
    </row>
    <row r="1485" spans="1:25" customFormat="1" ht="15" x14ac:dyDescent="0.25">
      <c r="A1485" t="s">
        <v>24</v>
      </c>
      <c r="B1485" t="s">
        <v>734</v>
      </c>
      <c r="C1485" t="str">
        <f>"A0190785"</f>
        <v>A0190785</v>
      </c>
      <c r="D1485" t="s">
        <v>6487</v>
      </c>
      <c r="E1485" t="s">
        <v>6488</v>
      </c>
      <c r="F1485" t="s">
        <v>2978</v>
      </c>
      <c r="G1485" t="s">
        <v>110</v>
      </c>
      <c r="H1485">
        <v>92108</v>
      </c>
      <c r="I1485" t="s">
        <v>30</v>
      </c>
      <c r="J1485" t="s">
        <v>145</v>
      </c>
      <c r="K1485" t="s">
        <v>1353</v>
      </c>
      <c r="N1485" t="s">
        <v>6489</v>
      </c>
      <c r="Q1485">
        <v>0</v>
      </c>
      <c r="R1485">
        <v>144</v>
      </c>
      <c r="S1485">
        <v>0</v>
      </c>
      <c r="T1485" t="s">
        <v>6490</v>
      </c>
    </row>
    <row r="1486" spans="1:25" customFormat="1" ht="15" x14ac:dyDescent="0.25">
      <c r="A1486" t="s">
        <v>24</v>
      </c>
      <c r="B1486" t="s">
        <v>734</v>
      </c>
      <c r="C1486" t="str">
        <f>"A0062647"</f>
        <v>A0062647</v>
      </c>
      <c r="D1486" t="s">
        <v>6491</v>
      </c>
      <c r="E1486" t="s">
        <v>6492</v>
      </c>
      <c r="F1486" t="s">
        <v>2978</v>
      </c>
      <c r="G1486" t="s">
        <v>110</v>
      </c>
      <c r="H1486">
        <v>92108</v>
      </c>
      <c r="I1486" t="s">
        <v>30</v>
      </c>
      <c r="J1486" t="s">
        <v>31</v>
      </c>
      <c r="K1486" t="s">
        <v>3155</v>
      </c>
      <c r="N1486" t="s">
        <v>6493</v>
      </c>
      <c r="Q1486">
        <v>0</v>
      </c>
      <c r="R1486">
        <v>50</v>
      </c>
      <c r="S1486">
        <v>0</v>
      </c>
      <c r="T1486" t="s">
        <v>6494</v>
      </c>
    </row>
    <row r="1487" spans="1:25" customFormat="1" ht="15" x14ac:dyDescent="0.25">
      <c r="A1487" t="s">
        <v>24</v>
      </c>
      <c r="B1487" t="s">
        <v>734</v>
      </c>
      <c r="C1487" t="str">
        <f>"A0190781"</f>
        <v>A0190781</v>
      </c>
      <c r="D1487" t="s">
        <v>6495</v>
      </c>
      <c r="E1487" t="s">
        <v>6496</v>
      </c>
      <c r="F1487" t="s">
        <v>2978</v>
      </c>
      <c r="G1487" t="s">
        <v>110</v>
      </c>
      <c r="H1487">
        <v>92120</v>
      </c>
      <c r="I1487" t="s">
        <v>30</v>
      </c>
      <c r="J1487" t="s">
        <v>145</v>
      </c>
      <c r="K1487" t="s">
        <v>1185</v>
      </c>
      <c r="N1487" t="s">
        <v>6489</v>
      </c>
      <c r="Q1487">
        <v>0</v>
      </c>
      <c r="R1487">
        <v>96</v>
      </c>
      <c r="S1487">
        <v>0</v>
      </c>
      <c r="T1487" t="s">
        <v>6497</v>
      </c>
    </row>
    <row r="1488" spans="1:25" customFormat="1" ht="15" x14ac:dyDescent="0.25">
      <c r="A1488" t="s">
        <v>24</v>
      </c>
      <c r="B1488" t="s">
        <v>13684</v>
      </c>
      <c r="C1488" t="str">
        <f>"SF03588"</f>
        <v>SF03588</v>
      </c>
      <c r="D1488" t="s">
        <v>15115</v>
      </c>
      <c r="E1488" t="s">
        <v>15116</v>
      </c>
      <c r="F1488" t="s">
        <v>15102</v>
      </c>
      <c r="G1488" t="s">
        <v>81</v>
      </c>
      <c r="H1488">
        <v>33706</v>
      </c>
      <c r="I1488" t="s">
        <v>30</v>
      </c>
      <c r="J1488" t="s">
        <v>162</v>
      </c>
      <c r="K1488" t="s">
        <v>163</v>
      </c>
      <c r="N1488" t="s">
        <v>15117</v>
      </c>
      <c r="O1488" t="s">
        <v>15118</v>
      </c>
      <c r="Q1488">
        <v>0</v>
      </c>
      <c r="R1488">
        <v>152</v>
      </c>
      <c r="S1488">
        <v>0</v>
      </c>
      <c r="T1488" t="s">
        <v>15119</v>
      </c>
    </row>
    <row r="1489" spans="1:20" customFormat="1" ht="15" x14ac:dyDescent="0.25">
      <c r="A1489" t="s">
        <v>24</v>
      </c>
      <c r="B1489" t="s">
        <v>13684</v>
      </c>
      <c r="C1489" t="str">
        <f>"A0091941"</f>
        <v>A0091941</v>
      </c>
      <c r="D1489" t="s">
        <v>15135</v>
      </c>
      <c r="E1489" t="s">
        <v>15136</v>
      </c>
      <c r="F1489" t="s">
        <v>15137</v>
      </c>
      <c r="G1489" t="s">
        <v>1508</v>
      </c>
      <c r="H1489">
        <v>83001</v>
      </c>
      <c r="I1489" t="s">
        <v>30</v>
      </c>
      <c r="J1489" t="s">
        <v>162</v>
      </c>
      <c r="K1489" t="s">
        <v>163</v>
      </c>
      <c r="N1489" t="s">
        <v>15138</v>
      </c>
      <c r="Q1489">
        <v>0</v>
      </c>
      <c r="R1489">
        <v>357</v>
      </c>
      <c r="S1489">
        <v>0</v>
      </c>
      <c r="T1489" t="s">
        <v>15139</v>
      </c>
    </row>
    <row r="1490" spans="1:20" hidden="1" x14ac:dyDescent="0.25">
      <c r="A1490" s="3" t="s">
        <v>24</v>
      </c>
      <c r="B1490" s="3" t="s">
        <v>2238</v>
      </c>
      <c r="C1490" s="3" t="str">
        <f>"A0145941"</f>
        <v>A0145941</v>
      </c>
      <c r="D1490" s="3" t="s">
        <v>6508</v>
      </c>
      <c r="E1490" s="3" t="s">
        <v>6509</v>
      </c>
      <c r="F1490" s="3" t="s">
        <v>6510</v>
      </c>
      <c r="G1490" s="3" t="s">
        <v>2270</v>
      </c>
      <c r="H1490" s="3" t="s">
        <v>6511</v>
      </c>
      <c r="I1490" s="3" t="s">
        <v>1459</v>
      </c>
      <c r="J1490" s="3" t="s">
        <v>206</v>
      </c>
      <c r="K1490" s="3" t="s">
        <v>6459</v>
      </c>
      <c r="N1490" s="3" t="s">
        <v>6512</v>
      </c>
      <c r="O1490" s="3" t="s">
        <v>6513</v>
      </c>
      <c r="Q1490" s="3">
        <v>0</v>
      </c>
      <c r="R1490" s="3">
        <v>106</v>
      </c>
      <c r="S1490" s="3">
        <v>0</v>
      </c>
      <c r="T1490" s="3" t="s">
        <v>6514</v>
      </c>
    </row>
    <row r="1491" spans="1:20" customFormat="1" ht="15" x14ac:dyDescent="0.25">
      <c r="A1491" t="s">
        <v>24</v>
      </c>
      <c r="B1491" t="s">
        <v>6515</v>
      </c>
      <c r="C1491" t="str">
        <f>"A0190780"</f>
        <v>A0190780</v>
      </c>
      <c r="D1491" t="s">
        <v>6516</v>
      </c>
      <c r="E1491" t="s">
        <v>6517</v>
      </c>
      <c r="F1491" t="s">
        <v>1320</v>
      </c>
      <c r="G1491" t="s">
        <v>103</v>
      </c>
      <c r="H1491">
        <v>17602</v>
      </c>
      <c r="I1491" t="s">
        <v>30</v>
      </c>
      <c r="J1491" t="s">
        <v>31</v>
      </c>
      <c r="K1491" t="s">
        <v>1196</v>
      </c>
      <c r="N1491" t="s">
        <v>6518</v>
      </c>
      <c r="Q1491">
        <v>0</v>
      </c>
      <c r="R1491">
        <v>112</v>
      </c>
      <c r="S1491">
        <v>0</v>
      </c>
      <c r="T1491" t="s">
        <v>6519</v>
      </c>
    </row>
    <row r="1492" spans="1:20" customFormat="1" ht="15" x14ac:dyDescent="0.25">
      <c r="A1492" t="s">
        <v>35</v>
      </c>
      <c r="B1492" t="s">
        <v>36</v>
      </c>
      <c r="C1492" t="str">
        <f>"A0190779"</f>
        <v>A0190779</v>
      </c>
      <c r="D1492" t="s">
        <v>6520</v>
      </c>
      <c r="E1492" t="s">
        <v>6521</v>
      </c>
      <c r="F1492" t="s">
        <v>6522</v>
      </c>
      <c r="G1492" t="s">
        <v>507</v>
      </c>
      <c r="H1492">
        <v>26679</v>
      </c>
      <c r="I1492" t="s">
        <v>30</v>
      </c>
      <c r="J1492" t="s">
        <v>41</v>
      </c>
      <c r="K1492" t="s">
        <v>42</v>
      </c>
      <c r="Q1492">
        <v>0</v>
      </c>
      <c r="R1492">
        <v>0</v>
      </c>
      <c r="S1492">
        <v>0</v>
      </c>
      <c r="T1492" t="s">
        <v>6523</v>
      </c>
    </row>
    <row r="1493" spans="1:20" customFormat="1" ht="15" x14ac:dyDescent="0.25">
      <c r="A1493" t="s">
        <v>35</v>
      </c>
      <c r="B1493" t="s">
        <v>36</v>
      </c>
      <c r="C1493" t="str">
        <f>"A0190778"</f>
        <v>A0190778</v>
      </c>
      <c r="D1493" t="s">
        <v>6524</v>
      </c>
      <c r="E1493" t="s">
        <v>6525</v>
      </c>
      <c r="F1493" t="s">
        <v>6526</v>
      </c>
      <c r="G1493" t="s">
        <v>52</v>
      </c>
      <c r="H1493">
        <v>75093</v>
      </c>
      <c r="I1493" t="s">
        <v>30</v>
      </c>
      <c r="J1493" t="s">
        <v>41</v>
      </c>
      <c r="K1493" t="s">
        <v>42</v>
      </c>
      <c r="Q1493">
        <v>0</v>
      </c>
      <c r="R1493">
        <v>0</v>
      </c>
      <c r="S1493">
        <v>0</v>
      </c>
      <c r="T1493" t="s">
        <v>6527</v>
      </c>
    </row>
    <row r="1494" spans="1:20" customFormat="1" ht="15" x14ac:dyDescent="0.25">
      <c r="A1494" t="s">
        <v>35</v>
      </c>
      <c r="B1494" t="s">
        <v>36</v>
      </c>
      <c r="C1494" t="str">
        <f>"A0190777"</f>
        <v>A0190777</v>
      </c>
      <c r="D1494" t="s">
        <v>6528</v>
      </c>
      <c r="E1494" t="s">
        <v>6529</v>
      </c>
      <c r="F1494" t="s">
        <v>6530</v>
      </c>
      <c r="G1494" t="s">
        <v>76</v>
      </c>
      <c r="H1494">
        <v>98802</v>
      </c>
      <c r="I1494" t="s">
        <v>30</v>
      </c>
      <c r="J1494" t="s">
        <v>41</v>
      </c>
      <c r="K1494" t="s">
        <v>42</v>
      </c>
      <c r="Q1494">
        <v>0</v>
      </c>
      <c r="R1494">
        <v>0</v>
      </c>
      <c r="S1494">
        <v>0</v>
      </c>
      <c r="T1494" t="s">
        <v>6531</v>
      </c>
    </row>
    <row r="1495" spans="1:20" customFormat="1" ht="15" x14ac:dyDescent="0.25">
      <c r="A1495" t="s">
        <v>35</v>
      </c>
      <c r="B1495" t="s">
        <v>231</v>
      </c>
      <c r="C1495" t="str">
        <f>"A0190776"</f>
        <v>A0190776</v>
      </c>
      <c r="D1495" t="s">
        <v>6532</v>
      </c>
      <c r="E1495" t="s">
        <v>6533</v>
      </c>
      <c r="F1495" t="s">
        <v>6534</v>
      </c>
      <c r="G1495" t="s">
        <v>110</v>
      </c>
      <c r="H1495">
        <v>91606</v>
      </c>
      <c r="I1495" t="s">
        <v>30</v>
      </c>
      <c r="J1495" t="s">
        <v>41</v>
      </c>
      <c r="K1495" t="s">
        <v>229</v>
      </c>
      <c r="Q1495">
        <v>0</v>
      </c>
      <c r="R1495">
        <v>0</v>
      </c>
      <c r="S1495">
        <v>99</v>
      </c>
      <c r="T1495" t="s">
        <v>6535</v>
      </c>
    </row>
    <row r="1496" spans="1:20" customFormat="1" ht="15" x14ac:dyDescent="0.25">
      <c r="A1496" t="s">
        <v>35</v>
      </c>
      <c r="B1496" t="s">
        <v>1777</v>
      </c>
      <c r="C1496" t="str">
        <f>"A0190775"</f>
        <v>A0190775</v>
      </c>
      <c r="D1496" t="s">
        <v>6536</v>
      </c>
      <c r="E1496" t="s">
        <v>6537</v>
      </c>
      <c r="F1496" t="s">
        <v>6538</v>
      </c>
      <c r="G1496" t="s">
        <v>214</v>
      </c>
      <c r="H1496">
        <v>27105</v>
      </c>
      <c r="I1496" t="s">
        <v>30</v>
      </c>
      <c r="J1496" t="s">
        <v>41</v>
      </c>
      <c r="K1496" t="s">
        <v>1440</v>
      </c>
      <c r="Q1496">
        <v>0</v>
      </c>
      <c r="R1496">
        <v>0</v>
      </c>
      <c r="S1496">
        <v>170</v>
      </c>
      <c r="T1496" t="s">
        <v>6539</v>
      </c>
    </row>
    <row r="1497" spans="1:20" customFormat="1" ht="15" x14ac:dyDescent="0.25">
      <c r="A1497" t="s">
        <v>35</v>
      </c>
      <c r="B1497" t="s">
        <v>61</v>
      </c>
      <c r="C1497" t="str">
        <f>"A0190774"</f>
        <v>A0190774</v>
      </c>
      <c r="D1497" t="s">
        <v>6540</v>
      </c>
      <c r="E1497" t="s">
        <v>6541</v>
      </c>
      <c r="F1497" t="s">
        <v>6542</v>
      </c>
      <c r="G1497" t="s">
        <v>81</v>
      </c>
      <c r="H1497">
        <v>33904</v>
      </c>
      <c r="I1497" t="s">
        <v>30</v>
      </c>
      <c r="J1497" t="s">
        <v>41</v>
      </c>
      <c r="K1497" t="s">
        <v>59</v>
      </c>
      <c r="Q1497">
        <v>0</v>
      </c>
      <c r="R1497">
        <v>0</v>
      </c>
      <c r="S1497">
        <v>0</v>
      </c>
      <c r="T1497" t="s">
        <v>72</v>
      </c>
    </row>
    <row r="1498" spans="1:20" customFormat="1" ht="15" x14ac:dyDescent="0.25">
      <c r="A1498" t="s">
        <v>35</v>
      </c>
      <c r="B1498" t="s">
        <v>106</v>
      </c>
      <c r="C1498" t="str">
        <f>"A0190773"</f>
        <v>A0190773</v>
      </c>
      <c r="D1498" t="s">
        <v>6543</v>
      </c>
      <c r="E1498" t="s">
        <v>6544</v>
      </c>
      <c r="F1498" t="s">
        <v>6545</v>
      </c>
      <c r="G1498" t="s">
        <v>52</v>
      </c>
      <c r="H1498">
        <v>77484</v>
      </c>
      <c r="I1498" t="s">
        <v>30</v>
      </c>
      <c r="J1498" t="s">
        <v>111</v>
      </c>
      <c r="K1498" t="s">
        <v>112</v>
      </c>
      <c r="Q1498">
        <v>0</v>
      </c>
      <c r="R1498">
        <v>0</v>
      </c>
      <c r="S1498">
        <v>0</v>
      </c>
      <c r="T1498" t="s">
        <v>6546</v>
      </c>
    </row>
    <row r="1499" spans="1:20" customFormat="1" ht="15" x14ac:dyDescent="0.25">
      <c r="A1499" t="s">
        <v>35</v>
      </c>
      <c r="B1499" t="s">
        <v>6547</v>
      </c>
      <c r="C1499" t="str">
        <f>"A0190772"</f>
        <v>A0190772</v>
      </c>
      <c r="D1499" t="s">
        <v>6548</v>
      </c>
      <c r="E1499" t="s">
        <v>6549</v>
      </c>
      <c r="F1499" t="s">
        <v>6550</v>
      </c>
      <c r="G1499" t="s">
        <v>110</v>
      </c>
      <c r="H1499">
        <v>93023</v>
      </c>
      <c r="I1499" t="s">
        <v>30</v>
      </c>
      <c r="J1499" t="s">
        <v>41</v>
      </c>
      <c r="K1499" t="s">
        <v>59</v>
      </c>
      <c r="Q1499">
        <v>0</v>
      </c>
      <c r="R1499">
        <v>0</v>
      </c>
      <c r="S1499">
        <v>60</v>
      </c>
      <c r="T1499" t="s">
        <v>6551</v>
      </c>
    </row>
    <row r="1500" spans="1:20" customFormat="1" ht="15" x14ac:dyDescent="0.25">
      <c r="A1500" t="s">
        <v>35</v>
      </c>
      <c r="B1500" t="s">
        <v>2778</v>
      </c>
      <c r="C1500" t="str">
        <f>"A0190771"</f>
        <v>A0190771</v>
      </c>
      <c r="D1500" t="s">
        <v>6552</v>
      </c>
      <c r="E1500" t="s">
        <v>6553</v>
      </c>
      <c r="F1500" t="s">
        <v>6554</v>
      </c>
      <c r="G1500" t="s">
        <v>58</v>
      </c>
      <c r="H1500">
        <v>29671</v>
      </c>
      <c r="I1500" t="s">
        <v>30</v>
      </c>
      <c r="J1500" t="s">
        <v>41</v>
      </c>
      <c r="K1500" t="s">
        <v>2477</v>
      </c>
      <c r="Q1500">
        <v>0</v>
      </c>
      <c r="R1500">
        <v>0</v>
      </c>
      <c r="S1500">
        <v>0</v>
      </c>
      <c r="T1500" t="s">
        <v>6555</v>
      </c>
    </row>
    <row r="1501" spans="1:20" customFormat="1" ht="15" x14ac:dyDescent="0.25">
      <c r="A1501" t="s">
        <v>24</v>
      </c>
      <c r="B1501" t="s">
        <v>13684</v>
      </c>
      <c r="C1501" t="str">
        <f>"A0090819"</f>
        <v>A0090819</v>
      </c>
      <c r="D1501" t="s">
        <v>15145</v>
      </c>
      <c r="E1501" t="s">
        <v>15146</v>
      </c>
      <c r="F1501" t="s">
        <v>15147</v>
      </c>
      <c r="G1501" t="s">
        <v>338</v>
      </c>
      <c r="H1501">
        <v>8901</v>
      </c>
      <c r="I1501" t="s">
        <v>30</v>
      </c>
      <c r="J1501" t="s">
        <v>162</v>
      </c>
      <c r="K1501" t="s">
        <v>163</v>
      </c>
      <c r="N1501" t="s">
        <v>15148</v>
      </c>
      <c r="O1501" t="s">
        <v>15149</v>
      </c>
      <c r="Q1501">
        <v>0</v>
      </c>
      <c r="R1501">
        <v>249</v>
      </c>
      <c r="S1501">
        <v>0</v>
      </c>
      <c r="T1501" t="s">
        <v>15150</v>
      </c>
    </row>
    <row r="1502" spans="1:20" customFormat="1" ht="15" x14ac:dyDescent="0.25">
      <c r="A1502" t="s">
        <v>24</v>
      </c>
      <c r="B1502" t="s">
        <v>799</v>
      </c>
      <c r="C1502" t="str">
        <f>"A0186549"</f>
        <v>A0186549</v>
      </c>
      <c r="D1502" t="s">
        <v>15228</v>
      </c>
      <c r="E1502" t="s">
        <v>15229</v>
      </c>
      <c r="F1502" t="s">
        <v>15230</v>
      </c>
      <c r="G1502" t="s">
        <v>214</v>
      </c>
      <c r="H1502">
        <v>28739</v>
      </c>
      <c r="I1502" t="s">
        <v>30</v>
      </c>
      <c r="J1502" t="s">
        <v>162</v>
      </c>
      <c r="K1502" t="s">
        <v>163</v>
      </c>
      <c r="N1502" t="s">
        <v>15231</v>
      </c>
      <c r="Q1502">
        <v>0</v>
      </c>
      <c r="R1502">
        <v>110</v>
      </c>
      <c r="S1502">
        <v>0</v>
      </c>
      <c r="T1502" t="s">
        <v>15232</v>
      </c>
    </row>
    <row r="1503" spans="1:20" customFormat="1" ht="15" x14ac:dyDescent="0.25">
      <c r="A1503" t="s">
        <v>24</v>
      </c>
      <c r="B1503" t="s">
        <v>6565</v>
      </c>
      <c r="C1503" t="str">
        <f>"A0179916"</f>
        <v>A0179916</v>
      </c>
      <c r="D1503" t="s">
        <v>6566</v>
      </c>
      <c r="E1503" t="s">
        <v>6567</v>
      </c>
      <c r="F1503" t="s">
        <v>372</v>
      </c>
      <c r="G1503" t="s">
        <v>52</v>
      </c>
      <c r="H1503">
        <v>78701</v>
      </c>
      <c r="I1503" t="s">
        <v>30</v>
      </c>
      <c r="J1503" t="s">
        <v>2558</v>
      </c>
      <c r="K1503" t="s">
        <v>163</v>
      </c>
      <c r="N1503" t="s">
        <v>6568</v>
      </c>
      <c r="Q1503">
        <v>0</v>
      </c>
      <c r="R1503">
        <v>0</v>
      </c>
      <c r="S1503">
        <v>0</v>
      </c>
      <c r="T1503" t="s">
        <v>6569</v>
      </c>
    </row>
    <row r="1504" spans="1:20" customFormat="1" ht="15" x14ac:dyDescent="0.25">
      <c r="A1504" t="s">
        <v>24</v>
      </c>
      <c r="B1504" t="s">
        <v>1849</v>
      </c>
      <c r="C1504" t="str">
        <f>"A0063019"</f>
        <v>A0063019</v>
      </c>
      <c r="D1504" t="s">
        <v>15237</v>
      </c>
      <c r="E1504" t="s">
        <v>15238</v>
      </c>
      <c r="F1504" t="s">
        <v>15239</v>
      </c>
      <c r="G1504" t="s">
        <v>190</v>
      </c>
      <c r="H1504">
        <v>80228</v>
      </c>
      <c r="I1504" t="s">
        <v>30</v>
      </c>
      <c r="J1504" t="s">
        <v>162</v>
      </c>
      <c r="K1504" t="s">
        <v>1502</v>
      </c>
      <c r="N1504" t="s">
        <v>15240</v>
      </c>
      <c r="O1504" t="s">
        <v>15241</v>
      </c>
      <c r="Q1504">
        <v>0</v>
      </c>
      <c r="R1504">
        <v>242</v>
      </c>
      <c r="S1504">
        <v>0</v>
      </c>
      <c r="T1504" t="s">
        <v>15242</v>
      </c>
    </row>
    <row r="1505" spans="1:25" customFormat="1" ht="15" x14ac:dyDescent="0.25">
      <c r="A1505" t="s">
        <v>24</v>
      </c>
      <c r="B1505" t="s">
        <v>1317</v>
      </c>
      <c r="C1505" t="str">
        <f>"202VS"</f>
        <v>202VS</v>
      </c>
      <c r="D1505" t="s">
        <v>6575</v>
      </c>
      <c r="E1505" t="s">
        <v>6576</v>
      </c>
      <c r="F1505" t="s">
        <v>4334</v>
      </c>
      <c r="G1505" t="s">
        <v>85</v>
      </c>
      <c r="H1505">
        <v>72205</v>
      </c>
      <c r="I1505" t="s">
        <v>30</v>
      </c>
      <c r="J1505" t="s">
        <v>31</v>
      </c>
      <c r="K1505" t="s">
        <v>255</v>
      </c>
      <c r="N1505" t="s">
        <v>6577</v>
      </c>
      <c r="O1505" t="s">
        <v>6578</v>
      </c>
      <c r="Q1505">
        <v>0</v>
      </c>
      <c r="R1505">
        <v>78</v>
      </c>
      <c r="S1505">
        <v>0</v>
      </c>
      <c r="T1505" t="s">
        <v>6579</v>
      </c>
    </row>
    <row r="1506" spans="1:25" customFormat="1" ht="15" x14ac:dyDescent="0.25">
      <c r="A1506" t="s">
        <v>24</v>
      </c>
      <c r="B1506" t="s">
        <v>6580</v>
      </c>
      <c r="C1506" t="str">
        <f>"A0052086"</f>
        <v>A0052086</v>
      </c>
      <c r="D1506" t="s">
        <v>6581</v>
      </c>
      <c r="E1506" t="s">
        <v>6582</v>
      </c>
      <c r="F1506" t="s">
        <v>6583</v>
      </c>
      <c r="G1506" t="s">
        <v>110</v>
      </c>
      <c r="H1506">
        <v>92210</v>
      </c>
      <c r="I1506" t="s">
        <v>30</v>
      </c>
      <c r="J1506" t="s">
        <v>178</v>
      </c>
      <c r="K1506" t="s">
        <v>179</v>
      </c>
      <c r="N1506" t="s">
        <v>6584</v>
      </c>
      <c r="Q1506">
        <v>0</v>
      </c>
      <c r="R1506">
        <v>18</v>
      </c>
      <c r="S1506">
        <v>0</v>
      </c>
      <c r="T1506" t="s">
        <v>6585</v>
      </c>
    </row>
    <row r="1507" spans="1:25" customFormat="1" ht="15" hidden="1" x14ac:dyDescent="0.25">
      <c r="A1507" t="s">
        <v>24</v>
      </c>
      <c r="B1507" t="s">
        <v>193</v>
      </c>
      <c r="C1507" t="str">
        <f>"SF01472"</f>
        <v>SF01472</v>
      </c>
      <c r="D1507" t="s">
        <v>6586</v>
      </c>
      <c r="E1507" t="s">
        <v>6587</v>
      </c>
      <c r="F1507" t="s">
        <v>2390</v>
      </c>
      <c r="G1507" t="s">
        <v>2206</v>
      </c>
      <c r="H1507" t="s">
        <v>6588</v>
      </c>
      <c r="I1507" t="s">
        <v>1459</v>
      </c>
      <c r="J1507" t="s">
        <v>162</v>
      </c>
      <c r="K1507" t="s">
        <v>854</v>
      </c>
      <c r="N1507" t="s">
        <v>6589</v>
      </c>
      <c r="Q1507">
        <v>0</v>
      </c>
      <c r="R1507">
        <v>237</v>
      </c>
      <c r="S1507">
        <v>0</v>
      </c>
      <c r="T1507" t="s">
        <v>6590</v>
      </c>
    </row>
    <row r="1508" spans="1:25" customFormat="1" ht="15" x14ac:dyDescent="0.25">
      <c r="A1508" t="s">
        <v>24</v>
      </c>
      <c r="B1508" t="s">
        <v>2601</v>
      </c>
      <c r="C1508" t="str">
        <f>"A0098503"</f>
        <v>A0098503</v>
      </c>
      <c r="D1508" t="s">
        <v>6591</v>
      </c>
      <c r="E1508" t="s">
        <v>6592</v>
      </c>
      <c r="F1508" t="s">
        <v>6593</v>
      </c>
      <c r="G1508" t="s">
        <v>47</v>
      </c>
      <c r="H1508">
        <v>97220</v>
      </c>
      <c r="I1508" t="s">
        <v>30</v>
      </c>
      <c r="J1508" t="s">
        <v>31</v>
      </c>
      <c r="K1508" t="s">
        <v>277</v>
      </c>
      <c r="N1508" t="s">
        <v>6594</v>
      </c>
      <c r="O1508" t="s">
        <v>6595</v>
      </c>
      <c r="Q1508">
        <v>0</v>
      </c>
      <c r="R1508">
        <v>136</v>
      </c>
      <c r="S1508">
        <v>0</v>
      </c>
      <c r="T1508" t="s">
        <v>6596</v>
      </c>
    </row>
    <row r="1509" spans="1:25" customFormat="1" ht="15" x14ac:dyDescent="0.25">
      <c r="A1509" t="s">
        <v>24</v>
      </c>
      <c r="B1509" t="s">
        <v>5801</v>
      </c>
      <c r="C1509" t="str">
        <f>"A0180575"</f>
        <v>A0180575</v>
      </c>
      <c r="D1509" t="s">
        <v>15252</v>
      </c>
      <c r="E1509" t="s">
        <v>15253</v>
      </c>
      <c r="F1509" t="s">
        <v>5804</v>
      </c>
      <c r="G1509" t="s">
        <v>76</v>
      </c>
      <c r="H1509">
        <v>98404</v>
      </c>
      <c r="I1509" t="s">
        <v>30</v>
      </c>
      <c r="J1509" t="s">
        <v>162</v>
      </c>
      <c r="K1509" t="s">
        <v>163</v>
      </c>
      <c r="N1509" t="s">
        <v>5806</v>
      </c>
      <c r="Q1509">
        <v>0</v>
      </c>
      <c r="R1509">
        <v>135</v>
      </c>
      <c r="S1509">
        <v>0</v>
      </c>
      <c r="T1509" t="s">
        <v>5808</v>
      </c>
    </row>
    <row r="1510" spans="1:25" customFormat="1" ht="15" x14ac:dyDescent="0.25">
      <c r="A1510" t="s">
        <v>24</v>
      </c>
      <c r="B1510" t="s">
        <v>4400</v>
      </c>
      <c r="C1510" t="str">
        <f>"A0059796"</f>
        <v>A0059796</v>
      </c>
      <c r="D1510" t="s">
        <v>6602</v>
      </c>
      <c r="E1510" t="s">
        <v>6603</v>
      </c>
      <c r="F1510" t="s">
        <v>2051</v>
      </c>
      <c r="G1510" t="s">
        <v>846</v>
      </c>
      <c r="H1510">
        <v>30096</v>
      </c>
      <c r="I1510" t="s">
        <v>30</v>
      </c>
      <c r="J1510" t="s">
        <v>31</v>
      </c>
      <c r="K1510" t="s">
        <v>198</v>
      </c>
      <c r="N1510" t="s">
        <v>6604</v>
      </c>
      <c r="O1510" t="s">
        <v>6605</v>
      </c>
      <c r="Q1510">
        <v>0</v>
      </c>
      <c r="R1510">
        <v>136</v>
      </c>
      <c r="S1510">
        <v>0</v>
      </c>
      <c r="T1510" t="s">
        <v>6606</v>
      </c>
    </row>
    <row r="1511" spans="1:25" customFormat="1" ht="15" x14ac:dyDescent="0.25">
      <c r="A1511" t="s">
        <v>24</v>
      </c>
      <c r="B1511" t="s">
        <v>2011</v>
      </c>
      <c r="C1511" t="str">
        <f>"A0180643"</f>
        <v>A0180643</v>
      </c>
      <c r="D1511" t="s">
        <v>15274</v>
      </c>
      <c r="E1511" t="s">
        <v>15275</v>
      </c>
      <c r="F1511" t="s">
        <v>2839</v>
      </c>
      <c r="G1511" t="s">
        <v>846</v>
      </c>
      <c r="H1511">
        <v>31401</v>
      </c>
      <c r="I1511" t="s">
        <v>30</v>
      </c>
      <c r="J1511" t="s">
        <v>162</v>
      </c>
      <c r="K1511" t="s">
        <v>7012</v>
      </c>
      <c r="N1511" t="s">
        <v>15276</v>
      </c>
      <c r="Q1511">
        <v>0</v>
      </c>
      <c r="R1511">
        <v>193</v>
      </c>
      <c r="S1511">
        <v>0</v>
      </c>
      <c r="T1511" t="s">
        <v>15277</v>
      </c>
    </row>
    <row r="1512" spans="1:25" customFormat="1" ht="15" x14ac:dyDescent="0.25">
      <c r="A1512" t="s">
        <v>24</v>
      </c>
      <c r="B1512" t="s">
        <v>13684</v>
      </c>
      <c r="C1512" t="str">
        <f>"A0165184"</f>
        <v>A0165184</v>
      </c>
      <c r="D1512" t="s">
        <v>15376</v>
      </c>
      <c r="E1512" t="s">
        <v>15377</v>
      </c>
      <c r="F1512" t="s">
        <v>2014</v>
      </c>
      <c r="G1512" t="s">
        <v>197</v>
      </c>
      <c r="H1512">
        <v>85251</v>
      </c>
      <c r="I1512" t="s">
        <v>30</v>
      </c>
      <c r="J1512" t="s">
        <v>162</v>
      </c>
      <c r="K1512" t="s">
        <v>163</v>
      </c>
      <c r="N1512" t="s">
        <v>15378</v>
      </c>
      <c r="O1512" t="s">
        <v>15379</v>
      </c>
      <c r="Q1512">
        <v>0</v>
      </c>
      <c r="R1512">
        <v>241</v>
      </c>
      <c r="S1512">
        <v>0</v>
      </c>
      <c r="T1512" t="s">
        <v>15380</v>
      </c>
    </row>
    <row r="1513" spans="1:25" x14ac:dyDescent="0.25">
      <c r="A1513" s="5" t="s">
        <v>24</v>
      </c>
      <c r="B1513" s="5" t="s">
        <v>762</v>
      </c>
      <c r="C1513" s="5" t="str">
        <f>"34592"</f>
        <v>34592</v>
      </c>
      <c r="D1513" s="5" t="s">
        <v>15706</v>
      </c>
      <c r="E1513" s="5" t="s">
        <v>15707</v>
      </c>
      <c r="F1513" s="5" t="s">
        <v>1564</v>
      </c>
      <c r="G1513" s="5" t="s">
        <v>52</v>
      </c>
      <c r="H1513" s="5">
        <v>77079</v>
      </c>
      <c r="I1513" s="5" t="s">
        <v>30</v>
      </c>
      <c r="J1513" s="5" t="s">
        <v>162</v>
      </c>
      <c r="K1513" s="5" t="s">
        <v>7598</v>
      </c>
      <c r="L1513" s="5"/>
      <c r="M1513" s="5"/>
      <c r="N1513" s="5" t="s">
        <v>15708</v>
      </c>
      <c r="O1513" s="5"/>
      <c r="P1513" s="5"/>
      <c r="Q1513" s="5">
        <v>0</v>
      </c>
      <c r="R1513" s="5">
        <v>400</v>
      </c>
      <c r="S1513" s="5">
        <v>0</v>
      </c>
      <c r="T1513" s="5" t="s">
        <v>15709</v>
      </c>
      <c r="U1513" s="5"/>
      <c r="V1513" s="5"/>
      <c r="W1513" s="5"/>
      <c r="X1513" s="5"/>
      <c r="Y1513" s="5"/>
    </row>
    <row r="1514" spans="1:25" customFormat="1" ht="15" x14ac:dyDescent="0.25">
      <c r="A1514" t="s">
        <v>24</v>
      </c>
      <c r="B1514" t="s">
        <v>2360</v>
      </c>
      <c r="C1514" t="str">
        <f>"A0049532"</f>
        <v>A0049532</v>
      </c>
      <c r="D1514" t="s">
        <v>6621</v>
      </c>
      <c r="E1514" t="s">
        <v>6622</v>
      </c>
      <c r="F1514" t="s">
        <v>5107</v>
      </c>
      <c r="G1514" t="s">
        <v>137</v>
      </c>
      <c r="H1514">
        <v>64152</v>
      </c>
      <c r="I1514" t="s">
        <v>30</v>
      </c>
      <c r="J1514" t="s">
        <v>178</v>
      </c>
      <c r="K1514" t="s">
        <v>179</v>
      </c>
      <c r="N1514" t="s">
        <v>2185</v>
      </c>
      <c r="O1514" t="s">
        <v>6623</v>
      </c>
      <c r="Q1514">
        <v>1</v>
      </c>
      <c r="R1514">
        <v>0</v>
      </c>
      <c r="S1514">
        <v>0</v>
      </c>
      <c r="T1514" t="s">
        <v>6624</v>
      </c>
    </row>
    <row r="1515" spans="1:25" customFormat="1" ht="15" x14ac:dyDescent="0.25">
      <c r="A1515" t="s">
        <v>24</v>
      </c>
      <c r="B1515" t="s">
        <v>2360</v>
      </c>
      <c r="C1515" t="str">
        <f>"A0190509"</f>
        <v>A0190509</v>
      </c>
      <c r="D1515" t="s">
        <v>6625</v>
      </c>
      <c r="E1515" t="s">
        <v>6626</v>
      </c>
      <c r="F1515" t="s">
        <v>5107</v>
      </c>
      <c r="G1515" t="s">
        <v>137</v>
      </c>
      <c r="H1515">
        <v>64152</v>
      </c>
      <c r="I1515" t="s">
        <v>30</v>
      </c>
      <c r="J1515" t="s">
        <v>178</v>
      </c>
      <c r="K1515" t="s">
        <v>179</v>
      </c>
      <c r="N1515" t="s">
        <v>2185</v>
      </c>
      <c r="Q1515">
        <v>0</v>
      </c>
      <c r="R1515">
        <v>0</v>
      </c>
      <c r="S1515">
        <v>0</v>
      </c>
      <c r="T1515" t="s">
        <v>6627</v>
      </c>
    </row>
    <row r="1516" spans="1:25" customFormat="1" ht="15" x14ac:dyDescent="0.25">
      <c r="A1516" t="s">
        <v>24</v>
      </c>
      <c r="B1516" t="s">
        <v>762</v>
      </c>
      <c r="C1516" t="str">
        <f>"A0057294"</f>
        <v>A0057294</v>
      </c>
      <c r="D1516" t="s">
        <v>15710</v>
      </c>
      <c r="E1516" t="s">
        <v>15711</v>
      </c>
      <c r="F1516" t="s">
        <v>2094</v>
      </c>
      <c r="G1516" t="s">
        <v>52</v>
      </c>
      <c r="H1516">
        <v>75234</v>
      </c>
      <c r="I1516" t="s">
        <v>30</v>
      </c>
      <c r="J1516" t="s">
        <v>162</v>
      </c>
      <c r="K1516" t="s">
        <v>8335</v>
      </c>
      <c r="N1516" t="s">
        <v>15712</v>
      </c>
      <c r="Q1516">
        <v>0</v>
      </c>
      <c r="R1516">
        <v>337</v>
      </c>
      <c r="S1516">
        <v>0</v>
      </c>
      <c r="T1516" t="s">
        <v>15713</v>
      </c>
    </row>
    <row r="1517" spans="1:25" hidden="1" x14ac:dyDescent="0.25">
      <c r="A1517" s="3" t="s">
        <v>24</v>
      </c>
      <c r="B1517" s="3" t="s">
        <v>6635</v>
      </c>
      <c r="C1517" s="3" t="str">
        <f>"A0187139"</f>
        <v>A0187139</v>
      </c>
      <c r="D1517" s="3" t="s">
        <v>6636</v>
      </c>
      <c r="E1517" s="3" t="s">
        <v>6637</v>
      </c>
      <c r="F1517" s="3" t="s">
        <v>6638</v>
      </c>
      <c r="G1517" s="3" t="s">
        <v>6639</v>
      </c>
      <c r="I1517" s="3" t="s">
        <v>6640</v>
      </c>
      <c r="J1517" s="3" t="s">
        <v>206</v>
      </c>
      <c r="K1517" s="3" t="s">
        <v>6641</v>
      </c>
      <c r="Q1517" s="3">
        <v>0</v>
      </c>
      <c r="R1517" s="3">
        <v>66</v>
      </c>
      <c r="S1517" s="3">
        <v>0</v>
      </c>
      <c r="T1517" s="3" t="s">
        <v>6642</v>
      </c>
    </row>
    <row r="1518" spans="1:25" customFormat="1" ht="15" x14ac:dyDescent="0.25">
      <c r="A1518" t="s">
        <v>35</v>
      </c>
      <c r="B1518" t="s">
        <v>61</v>
      </c>
      <c r="C1518" t="str">
        <f>"A0126354"</f>
        <v>A0126354</v>
      </c>
      <c r="D1518" t="s">
        <v>6643</v>
      </c>
      <c r="E1518" t="s">
        <v>6644</v>
      </c>
      <c r="F1518" t="s">
        <v>6645</v>
      </c>
      <c r="G1518" t="s">
        <v>81</v>
      </c>
      <c r="H1518">
        <v>32177</v>
      </c>
      <c r="I1518" t="s">
        <v>30</v>
      </c>
      <c r="J1518" t="s">
        <v>41</v>
      </c>
      <c r="K1518" t="s">
        <v>229</v>
      </c>
      <c r="Q1518">
        <v>0</v>
      </c>
      <c r="R1518">
        <v>65</v>
      </c>
      <c r="S1518">
        <v>65</v>
      </c>
      <c r="T1518" t="s">
        <v>6646</v>
      </c>
    </row>
    <row r="1519" spans="1:25" customFormat="1" ht="15" x14ac:dyDescent="0.25">
      <c r="A1519" t="s">
        <v>24</v>
      </c>
      <c r="B1519" t="s">
        <v>1849</v>
      </c>
      <c r="C1519" t="str">
        <f>"A0057410"</f>
        <v>A0057410</v>
      </c>
      <c r="D1519" t="s">
        <v>15717</v>
      </c>
      <c r="E1519" t="s">
        <v>15718</v>
      </c>
      <c r="F1519" t="s">
        <v>15719</v>
      </c>
      <c r="G1519" t="s">
        <v>338</v>
      </c>
      <c r="H1519">
        <v>7677</v>
      </c>
      <c r="I1519" t="s">
        <v>30</v>
      </c>
      <c r="J1519" t="s">
        <v>162</v>
      </c>
      <c r="K1519" t="s">
        <v>4809</v>
      </c>
      <c r="N1519" t="s">
        <v>15720</v>
      </c>
      <c r="O1519" t="s">
        <v>15721</v>
      </c>
      <c r="Q1519">
        <v>0</v>
      </c>
      <c r="R1519">
        <v>338</v>
      </c>
      <c r="S1519">
        <v>0</v>
      </c>
      <c r="T1519" t="s">
        <v>15722</v>
      </c>
    </row>
    <row r="1520" spans="1:25" customFormat="1" ht="15" x14ac:dyDescent="0.25">
      <c r="A1520" t="s">
        <v>24</v>
      </c>
      <c r="B1520" t="s">
        <v>762</v>
      </c>
      <c r="C1520" t="str">
        <f>"A0057323"</f>
        <v>A0057323</v>
      </c>
      <c r="D1520" t="s">
        <v>15797</v>
      </c>
      <c r="E1520" t="s">
        <v>15798</v>
      </c>
      <c r="F1520" t="s">
        <v>2443</v>
      </c>
      <c r="G1520" t="s">
        <v>81</v>
      </c>
      <c r="H1520">
        <v>32202</v>
      </c>
      <c r="I1520" t="s">
        <v>30</v>
      </c>
      <c r="J1520" t="s">
        <v>162</v>
      </c>
      <c r="K1520" t="s">
        <v>1490</v>
      </c>
      <c r="Q1520">
        <v>0</v>
      </c>
      <c r="R1520">
        <v>301</v>
      </c>
      <c r="S1520">
        <v>0</v>
      </c>
      <c r="T1520" t="s">
        <v>15799</v>
      </c>
    </row>
    <row r="1521" spans="1:25" customFormat="1" ht="15" x14ac:dyDescent="0.25">
      <c r="A1521" t="s">
        <v>24</v>
      </c>
      <c r="B1521" t="s">
        <v>6660</v>
      </c>
      <c r="C1521" t="str">
        <f>"A0190518"</f>
        <v>A0190518</v>
      </c>
      <c r="D1521" t="s">
        <v>6661</v>
      </c>
      <c r="E1521" t="s">
        <v>6662</v>
      </c>
      <c r="F1521" t="s">
        <v>6663</v>
      </c>
      <c r="G1521" t="s">
        <v>110</v>
      </c>
      <c r="H1521">
        <v>92651</v>
      </c>
      <c r="I1521" t="s">
        <v>30</v>
      </c>
      <c r="J1521" t="s">
        <v>31</v>
      </c>
      <c r="K1521" t="s">
        <v>163</v>
      </c>
      <c r="N1521" t="s">
        <v>6664</v>
      </c>
      <c r="O1521" t="s">
        <v>6665</v>
      </c>
      <c r="Q1521">
        <v>0</v>
      </c>
      <c r="R1521">
        <v>41</v>
      </c>
      <c r="S1521">
        <v>0</v>
      </c>
      <c r="T1521" t="s">
        <v>6666</v>
      </c>
    </row>
    <row r="1522" spans="1:25" customFormat="1" ht="15" x14ac:dyDescent="0.25">
      <c r="A1522" t="s">
        <v>24</v>
      </c>
      <c r="B1522" t="s">
        <v>6667</v>
      </c>
      <c r="C1522" t="str">
        <f>"A0153696"</f>
        <v>A0153696</v>
      </c>
      <c r="D1522" t="s">
        <v>6668</v>
      </c>
      <c r="E1522" t="s">
        <v>6669</v>
      </c>
      <c r="F1522" t="s">
        <v>6670</v>
      </c>
      <c r="G1522" t="s">
        <v>52</v>
      </c>
      <c r="H1522">
        <v>75078</v>
      </c>
      <c r="I1522" t="s">
        <v>30</v>
      </c>
      <c r="J1522" t="s">
        <v>178</v>
      </c>
      <c r="K1522" t="s">
        <v>179</v>
      </c>
      <c r="N1522" t="s">
        <v>6671</v>
      </c>
      <c r="Q1522">
        <v>0</v>
      </c>
      <c r="R1522">
        <v>0</v>
      </c>
      <c r="S1522">
        <v>0</v>
      </c>
      <c r="T1522" t="s">
        <v>6672</v>
      </c>
    </row>
    <row r="1523" spans="1:25" customFormat="1" ht="15" x14ac:dyDescent="0.25">
      <c r="A1523" t="s">
        <v>24</v>
      </c>
      <c r="B1523" t="s">
        <v>6673</v>
      </c>
      <c r="C1523" t="str">
        <f>"A0066090"</f>
        <v>A0066090</v>
      </c>
      <c r="D1523" t="s">
        <v>6674</v>
      </c>
      <c r="E1523" t="s">
        <v>6675</v>
      </c>
      <c r="F1523" t="s">
        <v>845</v>
      </c>
      <c r="G1523" t="s">
        <v>846</v>
      </c>
      <c r="H1523">
        <v>30344</v>
      </c>
      <c r="I1523" t="s">
        <v>30</v>
      </c>
      <c r="J1523" t="s">
        <v>31</v>
      </c>
      <c r="K1523" t="s">
        <v>32</v>
      </c>
      <c r="N1523" t="s">
        <v>6676</v>
      </c>
      <c r="Q1523">
        <v>0</v>
      </c>
      <c r="R1523">
        <v>85</v>
      </c>
      <c r="S1523">
        <v>0</v>
      </c>
      <c r="T1523" t="s">
        <v>6677</v>
      </c>
    </row>
    <row r="1524" spans="1:25" customFormat="1" ht="15" x14ac:dyDescent="0.25">
      <c r="A1524" t="s">
        <v>24</v>
      </c>
      <c r="B1524" t="s">
        <v>6673</v>
      </c>
      <c r="C1524" t="str">
        <f>"A0190466"</f>
        <v>A0190466</v>
      </c>
      <c r="D1524" t="s">
        <v>6678</v>
      </c>
      <c r="E1524" t="s">
        <v>6679</v>
      </c>
      <c r="F1524" t="s">
        <v>6680</v>
      </c>
      <c r="G1524" t="s">
        <v>58</v>
      </c>
      <c r="H1524">
        <v>29650</v>
      </c>
      <c r="I1524" t="s">
        <v>30</v>
      </c>
      <c r="J1524" t="s">
        <v>31</v>
      </c>
      <c r="K1524" t="s">
        <v>296</v>
      </c>
      <c r="N1524" t="s">
        <v>6681</v>
      </c>
      <c r="Q1524">
        <v>0</v>
      </c>
      <c r="R1524">
        <v>63</v>
      </c>
      <c r="S1524">
        <v>0</v>
      </c>
      <c r="T1524" t="s">
        <v>6682</v>
      </c>
    </row>
    <row r="1525" spans="1:25" customFormat="1" ht="15" x14ac:dyDescent="0.25">
      <c r="A1525" t="s">
        <v>24</v>
      </c>
      <c r="B1525" t="s">
        <v>6683</v>
      </c>
      <c r="C1525" t="str">
        <f>"A0190507"</f>
        <v>A0190507</v>
      </c>
      <c r="D1525" t="s">
        <v>6684</v>
      </c>
      <c r="E1525" t="s">
        <v>6685</v>
      </c>
      <c r="F1525" t="s">
        <v>6686</v>
      </c>
      <c r="G1525" t="s">
        <v>110</v>
      </c>
      <c r="H1525">
        <v>93401</v>
      </c>
      <c r="I1525" t="s">
        <v>30</v>
      </c>
      <c r="J1525" t="s">
        <v>145</v>
      </c>
      <c r="K1525" t="s">
        <v>163</v>
      </c>
      <c r="N1525" t="s">
        <v>6687</v>
      </c>
      <c r="O1525" t="s">
        <v>6688</v>
      </c>
      <c r="Q1525">
        <v>0</v>
      </c>
      <c r="R1525">
        <v>50</v>
      </c>
      <c r="S1525">
        <v>0</v>
      </c>
      <c r="T1525" t="s">
        <v>6689</v>
      </c>
    </row>
    <row r="1526" spans="1:25" customFormat="1" ht="15" x14ac:dyDescent="0.25">
      <c r="A1526" t="s">
        <v>24</v>
      </c>
      <c r="B1526" t="s">
        <v>6690</v>
      </c>
      <c r="C1526" t="str">
        <f>"A0190503"</f>
        <v>A0190503</v>
      </c>
      <c r="D1526" t="s">
        <v>6691</v>
      </c>
      <c r="E1526" t="s">
        <v>6692</v>
      </c>
      <c r="F1526" t="s">
        <v>4983</v>
      </c>
      <c r="G1526" t="s">
        <v>110</v>
      </c>
      <c r="H1526">
        <v>93446</v>
      </c>
      <c r="I1526" t="s">
        <v>30</v>
      </c>
      <c r="J1526" t="s">
        <v>145</v>
      </c>
      <c r="K1526" t="s">
        <v>163</v>
      </c>
      <c r="N1526" t="s">
        <v>6693</v>
      </c>
      <c r="O1526" t="s">
        <v>6688</v>
      </c>
      <c r="Q1526">
        <v>0</v>
      </c>
      <c r="R1526">
        <v>38</v>
      </c>
      <c r="S1526">
        <v>0</v>
      </c>
      <c r="T1526" t="s">
        <v>6694</v>
      </c>
    </row>
    <row r="1527" spans="1:25" customFormat="1" ht="15" x14ac:dyDescent="0.25">
      <c r="A1527" t="s">
        <v>24</v>
      </c>
      <c r="B1527" t="s">
        <v>6695</v>
      </c>
      <c r="C1527" t="str">
        <f>"A0067795"</f>
        <v>A0067795</v>
      </c>
      <c r="D1527" t="s">
        <v>6696</v>
      </c>
      <c r="E1527" t="s">
        <v>6697</v>
      </c>
      <c r="F1527" t="s">
        <v>6698</v>
      </c>
      <c r="G1527" t="s">
        <v>289</v>
      </c>
      <c r="H1527">
        <v>60148</v>
      </c>
      <c r="I1527" t="s">
        <v>30</v>
      </c>
      <c r="J1527" t="s">
        <v>31</v>
      </c>
      <c r="K1527" t="s">
        <v>32</v>
      </c>
      <c r="N1527" t="s">
        <v>6699</v>
      </c>
      <c r="O1527" t="s">
        <v>6700</v>
      </c>
      <c r="Q1527">
        <v>0</v>
      </c>
      <c r="R1527">
        <v>111</v>
      </c>
      <c r="S1527">
        <v>0</v>
      </c>
      <c r="T1527" t="s">
        <v>6701</v>
      </c>
    </row>
    <row r="1528" spans="1:25" customFormat="1" ht="15" x14ac:dyDescent="0.25">
      <c r="A1528" t="s">
        <v>35</v>
      </c>
      <c r="B1528" t="s">
        <v>61</v>
      </c>
      <c r="C1528" t="str">
        <f>"A0130349"</f>
        <v>A0130349</v>
      </c>
      <c r="D1528" t="s">
        <v>6702</v>
      </c>
      <c r="E1528" t="s">
        <v>6703</v>
      </c>
      <c r="F1528" t="s">
        <v>6704</v>
      </c>
      <c r="G1528" t="s">
        <v>1898</v>
      </c>
      <c r="H1528">
        <v>51454</v>
      </c>
      <c r="I1528" t="s">
        <v>30</v>
      </c>
      <c r="J1528" t="s">
        <v>41</v>
      </c>
      <c r="K1528" t="s">
        <v>229</v>
      </c>
      <c r="Q1528">
        <v>0</v>
      </c>
      <c r="R1528">
        <v>47</v>
      </c>
      <c r="S1528">
        <v>47</v>
      </c>
      <c r="T1528" t="s">
        <v>6705</v>
      </c>
    </row>
    <row r="1529" spans="1:25" customFormat="1" ht="15" x14ac:dyDescent="0.25">
      <c r="A1529" t="s">
        <v>24</v>
      </c>
      <c r="B1529" t="s">
        <v>149</v>
      </c>
      <c r="C1529" t="str">
        <f>"A0190497"</f>
        <v>A0190497</v>
      </c>
      <c r="D1529" t="s">
        <v>6706</v>
      </c>
      <c r="E1529" t="s">
        <v>6707</v>
      </c>
      <c r="F1529" t="s">
        <v>6708</v>
      </c>
      <c r="G1529" t="s">
        <v>99</v>
      </c>
      <c r="H1529">
        <v>11944</v>
      </c>
      <c r="I1529" t="s">
        <v>30</v>
      </c>
      <c r="J1529" t="s">
        <v>31</v>
      </c>
      <c r="K1529" t="s">
        <v>163</v>
      </c>
      <c r="N1529" t="s">
        <v>6709</v>
      </c>
      <c r="Q1529">
        <v>0</v>
      </c>
      <c r="R1529">
        <v>37</v>
      </c>
      <c r="S1529">
        <v>0</v>
      </c>
      <c r="T1529" t="s">
        <v>6710</v>
      </c>
    </row>
    <row r="1530" spans="1:25" x14ac:dyDescent="0.25">
      <c r="A1530" s="5" t="s">
        <v>24</v>
      </c>
      <c r="B1530" s="5" t="s">
        <v>762</v>
      </c>
      <c r="C1530" s="5" t="str">
        <f>"A0057299"</f>
        <v>A0057299</v>
      </c>
      <c r="D1530" s="5" t="s">
        <v>15800</v>
      </c>
      <c r="E1530" s="5" t="s">
        <v>15801</v>
      </c>
      <c r="F1530" s="5" t="s">
        <v>356</v>
      </c>
      <c r="G1530" s="5" t="s">
        <v>52</v>
      </c>
      <c r="H1530" s="5">
        <v>78230</v>
      </c>
      <c r="I1530" s="5" t="s">
        <v>30</v>
      </c>
      <c r="J1530" s="5" t="s">
        <v>162</v>
      </c>
      <c r="K1530" s="5" t="s">
        <v>822</v>
      </c>
      <c r="L1530" s="5"/>
      <c r="M1530" s="5"/>
      <c r="N1530" s="5" t="s">
        <v>15802</v>
      </c>
      <c r="O1530" s="5"/>
      <c r="P1530" s="5"/>
      <c r="Q1530" s="5">
        <v>0</v>
      </c>
      <c r="R1530" s="5">
        <v>326</v>
      </c>
      <c r="S1530" s="5">
        <v>0</v>
      </c>
      <c r="T1530" s="5" t="s">
        <v>15803</v>
      </c>
      <c r="U1530" s="5"/>
      <c r="V1530" s="5"/>
      <c r="W1530" s="5"/>
      <c r="X1530" s="5"/>
      <c r="Y1530" s="5"/>
    </row>
    <row r="1531" spans="1:25" customFormat="1" ht="15" x14ac:dyDescent="0.25">
      <c r="A1531" t="s">
        <v>35</v>
      </c>
      <c r="B1531" t="s">
        <v>6716</v>
      </c>
      <c r="C1531" t="str">
        <f>"A0190495"</f>
        <v>A0190495</v>
      </c>
      <c r="D1531" t="s">
        <v>6717</v>
      </c>
      <c r="E1531" t="s">
        <v>6718</v>
      </c>
      <c r="F1531" t="s">
        <v>6719</v>
      </c>
      <c r="G1531" t="s">
        <v>65</v>
      </c>
      <c r="H1531">
        <v>43623</v>
      </c>
      <c r="I1531" t="s">
        <v>30</v>
      </c>
      <c r="J1531" t="s">
        <v>41</v>
      </c>
      <c r="K1531" t="s">
        <v>59</v>
      </c>
      <c r="Q1531">
        <v>0</v>
      </c>
      <c r="R1531">
        <v>0</v>
      </c>
      <c r="S1531">
        <v>50</v>
      </c>
      <c r="T1531" t="s">
        <v>6720</v>
      </c>
    </row>
    <row r="1532" spans="1:25" customFormat="1" ht="15" x14ac:dyDescent="0.25">
      <c r="A1532" t="s">
        <v>35</v>
      </c>
      <c r="B1532" t="s">
        <v>2711</v>
      </c>
      <c r="C1532" t="str">
        <f>"A0190494"</f>
        <v>A0190494</v>
      </c>
      <c r="D1532" t="s">
        <v>6721</v>
      </c>
      <c r="E1532" t="s">
        <v>6722</v>
      </c>
      <c r="F1532" t="s">
        <v>6723</v>
      </c>
      <c r="G1532" t="s">
        <v>81</v>
      </c>
      <c r="H1532">
        <v>32351</v>
      </c>
      <c r="I1532" t="s">
        <v>30</v>
      </c>
      <c r="J1532" t="s">
        <v>41</v>
      </c>
      <c r="K1532" t="s">
        <v>2715</v>
      </c>
      <c r="Q1532">
        <v>0</v>
      </c>
      <c r="R1532">
        <v>0</v>
      </c>
      <c r="S1532">
        <v>0</v>
      </c>
      <c r="T1532" t="s">
        <v>72</v>
      </c>
    </row>
    <row r="1533" spans="1:25" customFormat="1" ht="15" x14ac:dyDescent="0.25">
      <c r="A1533" t="s">
        <v>35</v>
      </c>
      <c r="B1533" t="s">
        <v>2711</v>
      </c>
      <c r="C1533" t="str">
        <f>"A0190493"</f>
        <v>A0190493</v>
      </c>
      <c r="D1533" t="s">
        <v>6724</v>
      </c>
      <c r="E1533" t="s">
        <v>6725</v>
      </c>
      <c r="F1533" t="s">
        <v>6726</v>
      </c>
      <c r="G1533" t="s">
        <v>81</v>
      </c>
      <c r="H1533">
        <v>33837</v>
      </c>
      <c r="I1533" t="s">
        <v>30</v>
      </c>
      <c r="J1533" t="s">
        <v>41</v>
      </c>
      <c r="K1533" t="s">
        <v>2715</v>
      </c>
      <c r="Q1533">
        <v>0</v>
      </c>
      <c r="R1533">
        <v>0</v>
      </c>
      <c r="S1533">
        <v>0</v>
      </c>
      <c r="T1533" t="s">
        <v>72</v>
      </c>
    </row>
    <row r="1534" spans="1:25" customFormat="1" ht="15" x14ac:dyDescent="0.25">
      <c r="A1534" t="s">
        <v>35</v>
      </c>
      <c r="B1534" t="s">
        <v>2711</v>
      </c>
      <c r="C1534" t="str">
        <f>"A0190492"</f>
        <v>A0190492</v>
      </c>
      <c r="D1534" t="s">
        <v>6727</v>
      </c>
      <c r="E1534" t="s">
        <v>6728</v>
      </c>
      <c r="F1534" t="s">
        <v>6729</v>
      </c>
      <c r="G1534" t="s">
        <v>81</v>
      </c>
      <c r="H1534">
        <v>32344</v>
      </c>
      <c r="I1534" t="s">
        <v>30</v>
      </c>
      <c r="J1534" t="s">
        <v>41</v>
      </c>
      <c r="K1534" t="s">
        <v>2715</v>
      </c>
      <c r="Q1534">
        <v>0</v>
      </c>
      <c r="R1534">
        <v>0</v>
      </c>
      <c r="S1534">
        <v>0</v>
      </c>
      <c r="T1534" t="s">
        <v>72</v>
      </c>
    </row>
    <row r="1535" spans="1:25" customFormat="1" ht="15" x14ac:dyDescent="0.25">
      <c r="A1535" t="s">
        <v>35</v>
      </c>
      <c r="B1535" t="s">
        <v>2711</v>
      </c>
      <c r="C1535" t="str">
        <f>"A0190491"</f>
        <v>A0190491</v>
      </c>
      <c r="D1535" t="s">
        <v>6730</v>
      </c>
      <c r="E1535" t="s">
        <v>6731</v>
      </c>
      <c r="F1535" t="s">
        <v>6732</v>
      </c>
      <c r="G1535" t="s">
        <v>81</v>
      </c>
      <c r="H1535">
        <v>34491</v>
      </c>
      <c r="I1535" t="s">
        <v>30</v>
      </c>
      <c r="J1535" t="s">
        <v>41</v>
      </c>
      <c r="K1535" t="s">
        <v>2715</v>
      </c>
      <c r="Q1535">
        <v>0</v>
      </c>
      <c r="R1535">
        <v>0</v>
      </c>
      <c r="S1535">
        <v>0</v>
      </c>
      <c r="T1535" t="s">
        <v>72</v>
      </c>
    </row>
    <row r="1536" spans="1:25" customFormat="1" ht="15" x14ac:dyDescent="0.25">
      <c r="A1536" t="s">
        <v>35</v>
      </c>
      <c r="B1536" t="s">
        <v>2711</v>
      </c>
      <c r="C1536" t="str">
        <f>"A0190490"</f>
        <v>A0190490</v>
      </c>
      <c r="D1536" t="s">
        <v>6733</v>
      </c>
      <c r="E1536" t="s">
        <v>6734</v>
      </c>
      <c r="F1536" t="s">
        <v>6735</v>
      </c>
      <c r="G1536" t="s">
        <v>81</v>
      </c>
      <c r="H1536">
        <v>32127</v>
      </c>
      <c r="I1536" t="s">
        <v>30</v>
      </c>
      <c r="J1536" t="s">
        <v>41</v>
      </c>
      <c r="K1536" t="s">
        <v>2715</v>
      </c>
      <c r="Q1536">
        <v>0</v>
      </c>
      <c r="R1536">
        <v>0</v>
      </c>
      <c r="S1536">
        <v>0</v>
      </c>
      <c r="T1536" t="s">
        <v>72</v>
      </c>
    </row>
    <row r="1537" spans="1:20" customFormat="1" ht="15" x14ac:dyDescent="0.25">
      <c r="A1537" t="s">
        <v>35</v>
      </c>
      <c r="B1537" t="s">
        <v>2711</v>
      </c>
      <c r="C1537" t="str">
        <f>"A0190489"</f>
        <v>A0190489</v>
      </c>
      <c r="D1537" t="s">
        <v>6736</v>
      </c>
      <c r="E1537" t="s">
        <v>6737</v>
      </c>
      <c r="F1537" t="s">
        <v>6738</v>
      </c>
      <c r="G1537" t="s">
        <v>81</v>
      </c>
      <c r="H1537">
        <v>34429</v>
      </c>
      <c r="I1537" t="s">
        <v>30</v>
      </c>
      <c r="J1537" t="s">
        <v>41</v>
      </c>
      <c r="K1537" t="s">
        <v>2715</v>
      </c>
      <c r="Q1537">
        <v>0</v>
      </c>
      <c r="R1537">
        <v>0</v>
      </c>
      <c r="S1537">
        <v>0</v>
      </c>
      <c r="T1537" t="s">
        <v>72</v>
      </c>
    </row>
    <row r="1538" spans="1:20" customFormat="1" ht="15" x14ac:dyDescent="0.25">
      <c r="A1538" t="s">
        <v>35</v>
      </c>
      <c r="B1538" t="s">
        <v>2711</v>
      </c>
      <c r="C1538" t="str">
        <f>"A0190488"</f>
        <v>A0190488</v>
      </c>
      <c r="D1538" t="s">
        <v>6739</v>
      </c>
      <c r="E1538" t="s">
        <v>6740</v>
      </c>
      <c r="F1538" t="s">
        <v>6115</v>
      </c>
      <c r="G1538" t="s">
        <v>81</v>
      </c>
      <c r="H1538">
        <v>34748</v>
      </c>
      <c r="I1538" t="s">
        <v>30</v>
      </c>
      <c r="J1538" t="s">
        <v>41</v>
      </c>
      <c r="K1538" t="s">
        <v>2715</v>
      </c>
      <c r="Q1538">
        <v>0</v>
      </c>
      <c r="R1538">
        <v>0</v>
      </c>
      <c r="S1538">
        <v>0</v>
      </c>
      <c r="T1538" t="s">
        <v>72</v>
      </c>
    </row>
    <row r="1539" spans="1:20" customFormat="1" ht="15" x14ac:dyDescent="0.25">
      <c r="A1539" t="s">
        <v>35</v>
      </c>
      <c r="B1539" t="s">
        <v>2711</v>
      </c>
      <c r="C1539" t="str">
        <f>"A0190487"</f>
        <v>A0190487</v>
      </c>
      <c r="D1539" t="s">
        <v>6741</v>
      </c>
      <c r="E1539" t="s">
        <v>6742</v>
      </c>
      <c r="F1539" t="s">
        <v>6743</v>
      </c>
      <c r="G1539" t="s">
        <v>507</v>
      </c>
      <c r="H1539">
        <v>25537</v>
      </c>
      <c r="I1539" t="s">
        <v>30</v>
      </c>
      <c r="J1539" t="s">
        <v>41</v>
      </c>
      <c r="K1539" t="s">
        <v>2715</v>
      </c>
      <c r="Q1539">
        <v>0</v>
      </c>
      <c r="R1539">
        <v>0</v>
      </c>
      <c r="S1539">
        <v>0</v>
      </c>
      <c r="T1539" t="s">
        <v>72</v>
      </c>
    </row>
    <row r="1540" spans="1:20" customFormat="1" ht="15" x14ac:dyDescent="0.25">
      <c r="A1540" t="s">
        <v>35</v>
      </c>
      <c r="B1540" t="s">
        <v>2711</v>
      </c>
      <c r="C1540" t="str">
        <f>"A0190486"</f>
        <v>A0190486</v>
      </c>
      <c r="D1540" t="s">
        <v>6744</v>
      </c>
      <c r="E1540" t="s">
        <v>6745</v>
      </c>
      <c r="F1540" t="s">
        <v>6746</v>
      </c>
      <c r="G1540" t="s">
        <v>81</v>
      </c>
      <c r="H1540">
        <v>32059</v>
      </c>
      <c r="I1540" t="s">
        <v>30</v>
      </c>
      <c r="J1540" t="s">
        <v>41</v>
      </c>
      <c r="K1540" t="s">
        <v>2715</v>
      </c>
      <c r="Q1540">
        <v>0</v>
      </c>
      <c r="R1540">
        <v>0</v>
      </c>
      <c r="S1540">
        <v>0</v>
      </c>
      <c r="T1540" t="s">
        <v>72</v>
      </c>
    </row>
    <row r="1541" spans="1:20" customFormat="1" ht="15" x14ac:dyDescent="0.25">
      <c r="A1541" t="s">
        <v>35</v>
      </c>
      <c r="B1541" t="s">
        <v>6747</v>
      </c>
      <c r="C1541" t="str">
        <f>"A0190485"</f>
        <v>A0190485</v>
      </c>
      <c r="D1541" t="s">
        <v>6748</v>
      </c>
      <c r="E1541" t="s">
        <v>6749</v>
      </c>
      <c r="F1541" t="s">
        <v>6750</v>
      </c>
      <c r="G1541" t="s">
        <v>81</v>
      </c>
      <c r="H1541">
        <v>32405</v>
      </c>
      <c r="I1541" t="s">
        <v>30</v>
      </c>
      <c r="J1541" t="s">
        <v>41</v>
      </c>
      <c r="K1541" t="s">
        <v>229</v>
      </c>
      <c r="Q1541">
        <v>0</v>
      </c>
      <c r="R1541">
        <v>0</v>
      </c>
      <c r="S1541">
        <v>0</v>
      </c>
      <c r="T1541" t="s">
        <v>6751</v>
      </c>
    </row>
    <row r="1542" spans="1:20" customFormat="1" ht="15" x14ac:dyDescent="0.25">
      <c r="A1542" t="s">
        <v>35</v>
      </c>
      <c r="B1542" t="s">
        <v>6747</v>
      </c>
      <c r="C1542" t="str">
        <f>"A0190484"</f>
        <v>A0190484</v>
      </c>
      <c r="D1542" t="s">
        <v>6752</v>
      </c>
      <c r="E1542" t="s">
        <v>6753</v>
      </c>
      <c r="F1542" t="s">
        <v>6754</v>
      </c>
      <c r="G1542" t="s">
        <v>338</v>
      </c>
      <c r="H1542">
        <v>7660</v>
      </c>
      <c r="I1542" t="s">
        <v>30</v>
      </c>
      <c r="J1542" t="s">
        <v>41</v>
      </c>
      <c r="K1542" t="s">
        <v>290</v>
      </c>
      <c r="Q1542">
        <v>0</v>
      </c>
      <c r="R1542">
        <v>0</v>
      </c>
      <c r="S1542">
        <v>0</v>
      </c>
      <c r="T1542" t="s">
        <v>72</v>
      </c>
    </row>
    <row r="1543" spans="1:20" customFormat="1" ht="15" x14ac:dyDescent="0.25">
      <c r="A1543" t="s">
        <v>35</v>
      </c>
      <c r="B1543" t="s">
        <v>6755</v>
      </c>
      <c r="C1543" t="str">
        <f>"A0190483"</f>
        <v>A0190483</v>
      </c>
      <c r="D1543" t="s">
        <v>6756</v>
      </c>
      <c r="E1543" t="s">
        <v>6757</v>
      </c>
      <c r="F1543" t="s">
        <v>6758</v>
      </c>
      <c r="G1543" t="s">
        <v>1170</v>
      </c>
      <c r="H1543">
        <v>70605</v>
      </c>
      <c r="I1543" t="s">
        <v>30</v>
      </c>
      <c r="J1543" t="s">
        <v>41</v>
      </c>
      <c r="K1543" t="s">
        <v>59</v>
      </c>
      <c r="Q1543">
        <v>0</v>
      </c>
      <c r="R1543">
        <v>0</v>
      </c>
      <c r="S1543">
        <v>0</v>
      </c>
      <c r="T1543" t="s">
        <v>6759</v>
      </c>
    </row>
    <row r="1544" spans="1:20" customFormat="1" ht="15" x14ac:dyDescent="0.25">
      <c r="A1544" t="s">
        <v>35</v>
      </c>
      <c r="B1544" t="s">
        <v>3074</v>
      </c>
      <c r="C1544" t="str">
        <f>"A0190482"</f>
        <v>A0190482</v>
      </c>
      <c r="D1544" t="s">
        <v>3074</v>
      </c>
      <c r="E1544" t="s">
        <v>6760</v>
      </c>
      <c r="F1544" t="s">
        <v>1731</v>
      </c>
      <c r="G1544" t="s">
        <v>52</v>
      </c>
      <c r="H1544">
        <v>75219</v>
      </c>
      <c r="I1544" t="s">
        <v>30</v>
      </c>
      <c r="J1544" t="s">
        <v>41</v>
      </c>
      <c r="K1544" t="s">
        <v>290</v>
      </c>
      <c r="Q1544">
        <v>0</v>
      </c>
      <c r="R1544">
        <v>0</v>
      </c>
      <c r="S1544">
        <v>0</v>
      </c>
      <c r="T1544" t="s">
        <v>6761</v>
      </c>
    </row>
    <row r="1545" spans="1:20" customFormat="1" ht="15" x14ac:dyDescent="0.25">
      <c r="A1545" t="s">
        <v>35</v>
      </c>
      <c r="B1545" t="s">
        <v>3381</v>
      </c>
      <c r="C1545" t="str">
        <f>"A0190481"</f>
        <v>A0190481</v>
      </c>
      <c r="D1545" t="s">
        <v>6762</v>
      </c>
      <c r="E1545" t="s">
        <v>6763</v>
      </c>
      <c r="F1545" t="s">
        <v>6764</v>
      </c>
      <c r="G1545" t="s">
        <v>81</v>
      </c>
      <c r="H1545">
        <v>33907</v>
      </c>
      <c r="I1545" t="s">
        <v>30</v>
      </c>
      <c r="J1545" t="s">
        <v>41</v>
      </c>
      <c r="K1545" t="s">
        <v>229</v>
      </c>
      <c r="Q1545">
        <v>0</v>
      </c>
      <c r="R1545">
        <v>0</v>
      </c>
      <c r="S1545">
        <v>120</v>
      </c>
      <c r="T1545" t="s">
        <v>4642</v>
      </c>
    </row>
    <row r="1546" spans="1:20" customFormat="1" ht="15" x14ac:dyDescent="0.25">
      <c r="A1546" t="s">
        <v>35</v>
      </c>
      <c r="B1546" t="s">
        <v>6765</v>
      </c>
      <c r="C1546" t="str">
        <f>"A0190480"</f>
        <v>A0190480</v>
      </c>
      <c r="D1546" t="s">
        <v>6766</v>
      </c>
      <c r="E1546" t="s">
        <v>6767</v>
      </c>
      <c r="F1546" t="s">
        <v>6768</v>
      </c>
      <c r="G1546" t="s">
        <v>29</v>
      </c>
      <c r="H1546">
        <v>24502</v>
      </c>
      <c r="I1546" t="s">
        <v>30</v>
      </c>
      <c r="J1546" t="s">
        <v>41</v>
      </c>
      <c r="K1546" t="s">
        <v>1440</v>
      </c>
      <c r="Q1546">
        <v>0</v>
      </c>
      <c r="R1546">
        <v>0</v>
      </c>
      <c r="S1546">
        <v>120</v>
      </c>
      <c r="T1546" t="s">
        <v>6769</v>
      </c>
    </row>
    <row r="1547" spans="1:20" customFormat="1" ht="15" x14ac:dyDescent="0.25">
      <c r="A1547" t="s">
        <v>35</v>
      </c>
      <c r="B1547" t="s">
        <v>61</v>
      </c>
      <c r="C1547" t="str">
        <f>"A0190479"</f>
        <v>A0190479</v>
      </c>
      <c r="D1547" t="s">
        <v>6770</v>
      </c>
      <c r="E1547" t="s">
        <v>6771</v>
      </c>
      <c r="F1547" t="s">
        <v>6772</v>
      </c>
      <c r="G1547" t="s">
        <v>381</v>
      </c>
      <c r="H1547">
        <v>47246</v>
      </c>
      <c r="I1547" t="s">
        <v>30</v>
      </c>
      <c r="J1547" t="s">
        <v>41</v>
      </c>
      <c r="K1547" t="s">
        <v>391</v>
      </c>
      <c r="Q1547">
        <v>0</v>
      </c>
      <c r="R1547">
        <v>0</v>
      </c>
      <c r="S1547">
        <v>0</v>
      </c>
      <c r="T1547" t="s">
        <v>6773</v>
      </c>
    </row>
    <row r="1548" spans="1:20" customFormat="1" ht="15" x14ac:dyDescent="0.25">
      <c r="A1548" t="s">
        <v>35</v>
      </c>
      <c r="B1548" t="s">
        <v>61</v>
      </c>
      <c r="C1548" t="str">
        <f>"A0190478"</f>
        <v>A0190478</v>
      </c>
      <c r="D1548" t="s">
        <v>6774</v>
      </c>
      <c r="E1548" t="s">
        <v>6775</v>
      </c>
      <c r="F1548" t="s">
        <v>5322</v>
      </c>
      <c r="G1548" t="s">
        <v>161</v>
      </c>
      <c r="H1548">
        <v>56379</v>
      </c>
      <c r="I1548" t="s">
        <v>30</v>
      </c>
      <c r="J1548" t="s">
        <v>41</v>
      </c>
      <c r="K1548" t="s">
        <v>229</v>
      </c>
      <c r="Q1548">
        <v>0</v>
      </c>
      <c r="R1548">
        <v>0</v>
      </c>
      <c r="S1548">
        <v>34</v>
      </c>
      <c r="T1548" t="s">
        <v>6776</v>
      </c>
    </row>
    <row r="1549" spans="1:20" customFormat="1" ht="15" x14ac:dyDescent="0.25">
      <c r="A1549" t="s">
        <v>35</v>
      </c>
      <c r="B1549" t="s">
        <v>61</v>
      </c>
      <c r="C1549" t="str">
        <f>"A0190477"</f>
        <v>A0190477</v>
      </c>
      <c r="D1549" t="s">
        <v>6777</v>
      </c>
      <c r="E1549" t="s">
        <v>6778</v>
      </c>
      <c r="F1549" t="s">
        <v>5322</v>
      </c>
      <c r="G1549" t="s">
        <v>161</v>
      </c>
      <c r="H1549">
        <v>56379</v>
      </c>
      <c r="I1549" t="s">
        <v>30</v>
      </c>
      <c r="J1549" t="s">
        <v>41</v>
      </c>
      <c r="K1549" t="s">
        <v>229</v>
      </c>
      <c r="Q1549">
        <v>0</v>
      </c>
      <c r="R1549">
        <v>0</v>
      </c>
      <c r="S1549">
        <v>50</v>
      </c>
      <c r="T1549" t="s">
        <v>6776</v>
      </c>
    </row>
    <row r="1550" spans="1:20" customFormat="1" ht="15" x14ac:dyDescent="0.25">
      <c r="A1550" t="s">
        <v>35</v>
      </c>
      <c r="B1550" t="s">
        <v>61</v>
      </c>
      <c r="C1550" t="str">
        <f>"A0190476"</f>
        <v>A0190476</v>
      </c>
      <c r="D1550" t="s">
        <v>6779</v>
      </c>
      <c r="E1550" t="s">
        <v>6780</v>
      </c>
      <c r="F1550" t="s">
        <v>6781</v>
      </c>
      <c r="G1550" t="s">
        <v>103</v>
      </c>
      <c r="H1550">
        <v>15215</v>
      </c>
      <c r="I1550" t="s">
        <v>30</v>
      </c>
      <c r="J1550" t="s">
        <v>41</v>
      </c>
      <c r="K1550" t="s">
        <v>59</v>
      </c>
      <c r="Q1550">
        <v>0</v>
      </c>
      <c r="R1550">
        <v>0</v>
      </c>
      <c r="S1550">
        <v>25</v>
      </c>
      <c r="T1550" t="s">
        <v>6782</v>
      </c>
    </row>
    <row r="1551" spans="1:20" customFormat="1" ht="15" x14ac:dyDescent="0.25">
      <c r="A1551" t="s">
        <v>35</v>
      </c>
      <c r="B1551" t="s">
        <v>61</v>
      </c>
      <c r="C1551" t="str">
        <f>"A0190475"</f>
        <v>A0190475</v>
      </c>
      <c r="D1551" t="s">
        <v>6783</v>
      </c>
      <c r="E1551" t="s">
        <v>6784</v>
      </c>
      <c r="F1551" t="s">
        <v>6785</v>
      </c>
      <c r="G1551" t="s">
        <v>338</v>
      </c>
      <c r="H1551">
        <v>7726</v>
      </c>
      <c r="I1551" t="s">
        <v>30</v>
      </c>
      <c r="J1551" t="s">
        <v>41</v>
      </c>
      <c r="K1551" t="s">
        <v>59</v>
      </c>
      <c r="Q1551">
        <v>0</v>
      </c>
      <c r="R1551">
        <v>0</v>
      </c>
      <c r="S1551">
        <v>0</v>
      </c>
      <c r="T1551" t="s">
        <v>72</v>
      </c>
    </row>
    <row r="1552" spans="1:20" customFormat="1" ht="15" x14ac:dyDescent="0.25">
      <c r="A1552" t="s">
        <v>35</v>
      </c>
      <c r="B1552" t="s">
        <v>61</v>
      </c>
      <c r="C1552" t="str">
        <f>"A0190474"</f>
        <v>A0190474</v>
      </c>
      <c r="D1552" t="s">
        <v>6786</v>
      </c>
      <c r="E1552" t="s">
        <v>6787</v>
      </c>
      <c r="F1552" t="s">
        <v>2307</v>
      </c>
      <c r="G1552" t="s">
        <v>65</v>
      </c>
      <c r="H1552">
        <v>44110</v>
      </c>
      <c r="I1552" t="s">
        <v>30</v>
      </c>
      <c r="J1552" t="s">
        <v>41</v>
      </c>
      <c r="K1552" t="s">
        <v>104</v>
      </c>
      <c r="Q1552">
        <v>0</v>
      </c>
      <c r="R1552">
        <v>0</v>
      </c>
      <c r="S1552">
        <v>0</v>
      </c>
      <c r="T1552" t="s">
        <v>6788</v>
      </c>
    </row>
    <row r="1553" spans="1:20" customFormat="1" ht="15" x14ac:dyDescent="0.25">
      <c r="A1553" t="s">
        <v>35</v>
      </c>
      <c r="B1553" t="s">
        <v>1918</v>
      </c>
      <c r="C1553" t="str">
        <f>"A0190473"</f>
        <v>A0190473</v>
      </c>
      <c r="D1553" t="s">
        <v>6789</v>
      </c>
      <c r="E1553" t="s">
        <v>6790</v>
      </c>
      <c r="F1553" t="s">
        <v>6791</v>
      </c>
      <c r="G1553" t="s">
        <v>81</v>
      </c>
      <c r="H1553">
        <v>34747</v>
      </c>
      <c r="I1553" t="s">
        <v>30</v>
      </c>
      <c r="J1553" t="s">
        <v>441</v>
      </c>
      <c r="K1553" t="s">
        <v>442</v>
      </c>
      <c r="Q1553">
        <v>0</v>
      </c>
      <c r="R1553">
        <v>0</v>
      </c>
      <c r="S1553">
        <v>0</v>
      </c>
      <c r="T1553" t="s">
        <v>6792</v>
      </c>
    </row>
    <row r="1554" spans="1:20" customFormat="1" ht="15" x14ac:dyDescent="0.25">
      <c r="A1554" t="s">
        <v>35</v>
      </c>
      <c r="B1554" t="s">
        <v>4771</v>
      </c>
      <c r="C1554" t="str">
        <f>"A0190472"</f>
        <v>A0190472</v>
      </c>
      <c r="D1554" t="s">
        <v>6793</v>
      </c>
      <c r="E1554" t="s">
        <v>6794</v>
      </c>
      <c r="F1554" t="s">
        <v>638</v>
      </c>
      <c r="G1554" t="s">
        <v>899</v>
      </c>
      <c r="H1554">
        <v>2464</v>
      </c>
      <c r="I1554" t="s">
        <v>30</v>
      </c>
      <c r="J1554" t="s">
        <v>41</v>
      </c>
      <c r="K1554" t="s">
        <v>456</v>
      </c>
      <c r="Q1554">
        <v>0</v>
      </c>
      <c r="R1554">
        <v>0</v>
      </c>
      <c r="S1554">
        <v>0</v>
      </c>
      <c r="T1554" t="s">
        <v>72</v>
      </c>
    </row>
    <row r="1555" spans="1:20" customFormat="1" ht="15" x14ac:dyDescent="0.25">
      <c r="A1555" t="s">
        <v>35</v>
      </c>
      <c r="B1555" t="s">
        <v>6795</v>
      </c>
      <c r="C1555" t="str">
        <f>"A0190471"</f>
        <v>A0190471</v>
      </c>
      <c r="D1555" t="s">
        <v>6795</v>
      </c>
      <c r="E1555" t="s">
        <v>6796</v>
      </c>
      <c r="F1555" t="s">
        <v>501</v>
      </c>
      <c r="G1555" t="s">
        <v>110</v>
      </c>
      <c r="H1555">
        <v>92103</v>
      </c>
      <c r="I1555" t="s">
        <v>30</v>
      </c>
      <c r="J1555" t="s">
        <v>41</v>
      </c>
      <c r="K1555" t="s">
        <v>290</v>
      </c>
      <c r="Q1555">
        <v>0</v>
      </c>
      <c r="R1555">
        <v>0</v>
      </c>
      <c r="S1555">
        <v>0</v>
      </c>
      <c r="T1555" t="s">
        <v>6797</v>
      </c>
    </row>
    <row r="1556" spans="1:20" customFormat="1" ht="15" x14ac:dyDescent="0.25">
      <c r="A1556" t="s">
        <v>24</v>
      </c>
      <c r="B1556" t="s">
        <v>762</v>
      </c>
      <c r="C1556" t="str">
        <f>"A0057291"</f>
        <v>A0057291</v>
      </c>
      <c r="D1556" t="s">
        <v>15804</v>
      </c>
      <c r="E1556" t="s">
        <v>15805</v>
      </c>
      <c r="F1556" t="s">
        <v>372</v>
      </c>
      <c r="G1556" t="s">
        <v>52</v>
      </c>
      <c r="H1556">
        <v>78744</v>
      </c>
      <c r="I1556" t="s">
        <v>30</v>
      </c>
      <c r="J1556" t="s">
        <v>162</v>
      </c>
      <c r="K1556" t="s">
        <v>6657</v>
      </c>
      <c r="N1556" t="s">
        <v>15806</v>
      </c>
      <c r="Q1556">
        <v>0</v>
      </c>
      <c r="R1556">
        <v>312</v>
      </c>
      <c r="S1556">
        <v>0</v>
      </c>
      <c r="T1556" t="s">
        <v>15807</v>
      </c>
    </row>
    <row r="1557" spans="1:20" customFormat="1" ht="15" x14ac:dyDescent="0.25">
      <c r="A1557" t="s">
        <v>24</v>
      </c>
      <c r="B1557" t="s">
        <v>13684</v>
      </c>
      <c r="C1557" t="str">
        <f>"A0100929"</f>
        <v>A0100929</v>
      </c>
      <c r="D1557" t="s">
        <v>15867</v>
      </c>
      <c r="E1557" t="s">
        <v>15868</v>
      </c>
      <c r="F1557" t="s">
        <v>7940</v>
      </c>
      <c r="G1557" t="s">
        <v>52</v>
      </c>
      <c r="H1557">
        <v>77840</v>
      </c>
      <c r="I1557" t="s">
        <v>30</v>
      </c>
      <c r="J1557" t="s">
        <v>162</v>
      </c>
      <c r="K1557" t="s">
        <v>163</v>
      </c>
      <c r="N1557" t="s">
        <v>15869</v>
      </c>
      <c r="Q1557">
        <v>0</v>
      </c>
      <c r="R1557">
        <v>250</v>
      </c>
      <c r="S1557">
        <v>0</v>
      </c>
      <c r="T1557" t="s">
        <v>15870</v>
      </c>
    </row>
    <row r="1558" spans="1:20" customFormat="1" ht="15" x14ac:dyDescent="0.25">
      <c r="A1558" t="s">
        <v>24</v>
      </c>
      <c r="B1558" t="s">
        <v>6805</v>
      </c>
      <c r="C1558" t="str">
        <f>"A0190453"</f>
        <v>A0190453</v>
      </c>
      <c r="D1558" t="s">
        <v>6806</v>
      </c>
      <c r="E1558" t="s">
        <v>6807</v>
      </c>
      <c r="F1558" t="s">
        <v>6808</v>
      </c>
      <c r="G1558" t="s">
        <v>110</v>
      </c>
      <c r="H1558">
        <v>93428</v>
      </c>
      <c r="I1558" t="s">
        <v>30</v>
      </c>
      <c r="J1558" t="s">
        <v>145</v>
      </c>
      <c r="K1558" t="s">
        <v>6809</v>
      </c>
      <c r="N1558" t="s">
        <v>6693</v>
      </c>
      <c r="Q1558">
        <v>0</v>
      </c>
      <c r="R1558">
        <v>21</v>
      </c>
      <c r="S1558">
        <v>0</v>
      </c>
      <c r="T1558" t="s">
        <v>6810</v>
      </c>
    </row>
    <row r="1559" spans="1:20" customFormat="1" ht="15" x14ac:dyDescent="0.25">
      <c r="A1559" t="s">
        <v>24</v>
      </c>
      <c r="B1559" t="s">
        <v>6811</v>
      </c>
      <c r="C1559" t="str">
        <f>"A0086753"</f>
        <v>A0086753</v>
      </c>
      <c r="D1559" t="s">
        <v>6812</v>
      </c>
      <c r="E1559" t="s">
        <v>6813</v>
      </c>
      <c r="F1559" t="s">
        <v>2443</v>
      </c>
      <c r="G1559" t="s">
        <v>81</v>
      </c>
      <c r="H1559">
        <v>32250</v>
      </c>
      <c r="I1559" t="s">
        <v>30</v>
      </c>
      <c r="J1559" t="s">
        <v>31</v>
      </c>
      <c r="K1559" t="s">
        <v>282</v>
      </c>
      <c r="N1559" t="s">
        <v>6814</v>
      </c>
      <c r="Q1559">
        <v>0</v>
      </c>
      <c r="R1559">
        <v>82</v>
      </c>
      <c r="S1559">
        <v>0</v>
      </c>
      <c r="T1559" t="s">
        <v>6815</v>
      </c>
    </row>
    <row r="1560" spans="1:20" hidden="1" x14ac:dyDescent="0.25">
      <c r="A1560" s="3" t="s">
        <v>24</v>
      </c>
      <c r="B1560" s="3" t="s">
        <v>6816</v>
      </c>
      <c r="C1560" s="3" t="str">
        <f>"A0162152"</f>
        <v>A0162152</v>
      </c>
      <c r="D1560" s="3" t="s">
        <v>6817</v>
      </c>
      <c r="E1560" s="3" t="s">
        <v>6818</v>
      </c>
      <c r="F1560" s="3" t="s">
        <v>6819</v>
      </c>
      <c r="G1560" s="3" t="s">
        <v>6820</v>
      </c>
      <c r="I1560" s="3" t="s">
        <v>6821</v>
      </c>
      <c r="J1560" s="3" t="s">
        <v>206</v>
      </c>
      <c r="K1560" s="3" t="s">
        <v>6459</v>
      </c>
      <c r="N1560" s="3" t="s">
        <v>6822</v>
      </c>
      <c r="O1560" s="3" t="s">
        <v>6823</v>
      </c>
      <c r="Q1560" s="3">
        <v>0</v>
      </c>
      <c r="R1560" s="3">
        <v>163</v>
      </c>
      <c r="S1560" s="3">
        <v>0</v>
      </c>
      <c r="T1560" s="3" t="s">
        <v>4521</v>
      </c>
    </row>
    <row r="1561" spans="1:20" customFormat="1" ht="15" x14ac:dyDescent="0.25">
      <c r="A1561" t="s">
        <v>35</v>
      </c>
      <c r="B1561" t="s">
        <v>61</v>
      </c>
      <c r="C1561" t="str">
        <f>"A0190425"</f>
        <v>A0190425</v>
      </c>
      <c r="D1561" t="s">
        <v>6824</v>
      </c>
      <c r="E1561" t="s">
        <v>6825</v>
      </c>
      <c r="F1561" t="s">
        <v>6826</v>
      </c>
      <c r="G1561" t="s">
        <v>137</v>
      </c>
      <c r="H1561">
        <v>65737</v>
      </c>
      <c r="I1561" t="s">
        <v>30</v>
      </c>
      <c r="J1561" t="s">
        <v>41</v>
      </c>
      <c r="K1561" t="s">
        <v>59</v>
      </c>
      <c r="Q1561">
        <v>0</v>
      </c>
      <c r="R1561">
        <v>0</v>
      </c>
      <c r="S1561">
        <v>24</v>
      </c>
      <c r="T1561" t="s">
        <v>6827</v>
      </c>
    </row>
    <row r="1562" spans="1:20" customFormat="1" ht="15" x14ac:dyDescent="0.25">
      <c r="A1562" t="s">
        <v>24</v>
      </c>
      <c r="B1562" t="s">
        <v>13684</v>
      </c>
      <c r="C1562" t="str">
        <f>"A0093975"</f>
        <v>A0093975</v>
      </c>
      <c r="D1562" t="s">
        <v>15871</v>
      </c>
      <c r="E1562" t="s">
        <v>15872</v>
      </c>
      <c r="F1562" t="s">
        <v>15873</v>
      </c>
      <c r="G1562" t="s">
        <v>214</v>
      </c>
      <c r="H1562">
        <v>27949</v>
      </c>
      <c r="I1562" t="s">
        <v>30</v>
      </c>
      <c r="J1562" t="s">
        <v>162</v>
      </c>
      <c r="K1562" t="s">
        <v>163</v>
      </c>
      <c r="N1562" t="s">
        <v>15874</v>
      </c>
      <c r="Q1562">
        <v>0</v>
      </c>
      <c r="R1562">
        <v>100</v>
      </c>
      <c r="S1562">
        <v>0</v>
      </c>
      <c r="T1562" t="s">
        <v>15875</v>
      </c>
    </row>
    <row r="1563" spans="1:20" customFormat="1" ht="15" x14ac:dyDescent="0.25">
      <c r="A1563" t="s">
        <v>24</v>
      </c>
      <c r="B1563" t="s">
        <v>13684</v>
      </c>
      <c r="C1563" t="str">
        <f>"A0091580"</f>
        <v>A0091580</v>
      </c>
      <c r="D1563" t="s">
        <v>15876</v>
      </c>
      <c r="E1563" t="s">
        <v>15877</v>
      </c>
      <c r="F1563" t="s">
        <v>6830</v>
      </c>
      <c r="G1563" t="s">
        <v>507</v>
      </c>
      <c r="H1563">
        <v>26447</v>
      </c>
      <c r="I1563" t="s">
        <v>30</v>
      </c>
      <c r="J1563" t="s">
        <v>162</v>
      </c>
      <c r="K1563" t="s">
        <v>163</v>
      </c>
      <c r="N1563" t="s">
        <v>15878</v>
      </c>
      <c r="O1563" t="s">
        <v>15879</v>
      </c>
      <c r="Q1563">
        <v>1</v>
      </c>
      <c r="R1563">
        <v>202</v>
      </c>
      <c r="S1563">
        <v>0</v>
      </c>
      <c r="T1563" t="s">
        <v>15880</v>
      </c>
    </row>
    <row r="1564" spans="1:20" customFormat="1" ht="15" x14ac:dyDescent="0.25">
      <c r="A1564" t="s">
        <v>24</v>
      </c>
      <c r="B1564" t="s">
        <v>13684</v>
      </c>
      <c r="C1564" t="str">
        <f>"A0084838"</f>
        <v>A0084838</v>
      </c>
      <c r="D1564" t="s">
        <v>15881</v>
      </c>
      <c r="E1564" t="s">
        <v>15882</v>
      </c>
      <c r="F1564" t="s">
        <v>659</v>
      </c>
      <c r="G1564" t="s">
        <v>81</v>
      </c>
      <c r="H1564">
        <v>32607</v>
      </c>
      <c r="I1564" t="s">
        <v>30</v>
      </c>
      <c r="J1564" t="s">
        <v>162</v>
      </c>
      <c r="K1564" t="s">
        <v>4809</v>
      </c>
      <c r="N1564" t="s">
        <v>15883</v>
      </c>
      <c r="Q1564">
        <v>0</v>
      </c>
      <c r="R1564">
        <v>245</v>
      </c>
      <c r="S1564">
        <v>0</v>
      </c>
      <c r="T1564" t="s">
        <v>15884</v>
      </c>
    </row>
    <row r="1565" spans="1:20" customFormat="1" ht="15" x14ac:dyDescent="0.25">
      <c r="A1565" t="s">
        <v>24</v>
      </c>
      <c r="B1565" t="s">
        <v>4400</v>
      </c>
      <c r="C1565" t="str">
        <f>"A0089144"</f>
        <v>A0089144</v>
      </c>
      <c r="D1565" t="s">
        <v>6843</v>
      </c>
      <c r="E1565" t="s">
        <v>6844</v>
      </c>
      <c r="F1565" t="s">
        <v>6845</v>
      </c>
      <c r="G1565" t="s">
        <v>214</v>
      </c>
      <c r="H1565">
        <v>27517</v>
      </c>
      <c r="I1565" t="s">
        <v>30</v>
      </c>
      <c r="J1565" t="s">
        <v>31</v>
      </c>
      <c r="K1565" t="s">
        <v>277</v>
      </c>
      <c r="N1565" t="s">
        <v>6846</v>
      </c>
      <c r="Q1565">
        <v>0</v>
      </c>
      <c r="R1565">
        <v>130</v>
      </c>
      <c r="S1565">
        <v>0</v>
      </c>
      <c r="T1565" t="s">
        <v>6847</v>
      </c>
    </row>
    <row r="1566" spans="1:20" customFormat="1" ht="15" x14ac:dyDescent="0.25">
      <c r="A1566" t="s">
        <v>24</v>
      </c>
      <c r="B1566" t="s">
        <v>1317</v>
      </c>
      <c r="C1566" t="str">
        <f>"A0149417"</f>
        <v>A0149417</v>
      </c>
      <c r="D1566" t="s">
        <v>16128</v>
      </c>
      <c r="E1566" t="s">
        <v>16129</v>
      </c>
      <c r="F1566" t="s">
        <v>1089</v>
      </c>
      <c r="G1566" t="s">
        <v>190</v>
      </c>
      <c r="H1566">
        <v>80517</v>
      </c>
      <c r="I1566" t="s">
        <v>30</v>
      </c>
      <c r="J1566" t="s">
        <v>162</v>
      </c>
      <c r="K1566" t="s">
        <v>163</v>
      </c>
      <c r="N1566" t="s">
        <v>16130</v>
      </c>
      <c r="Q1566">
        <v>0</v>
      </c>
      <c r="R1566">
        <v>54</v>
      </c>
      <c r="S1566">
        <v>0</v>
      </c>
      <c r="T1566" t="s">
        <v>16131</v>
      </c>
    </row>
    <row r="1567" spans="1:20" customFormat="1" ht="15" x14ac:dyDescent="0.25">
      <c r="A1567" t="s">
        <v>24</v>
      </c>
      <c r="B1567" t="s">
        <v>4400</v>
      </c>
      <c r="C1567" t="str">
        <f>"A0087444"</f>
        <v>A0087444</v>
      </c>
      <c r="D1567" t="s">
        <v>6852</v>
      </c>
      <c r="E1567" t="s">
        <v>6853</v>
      </c>
      <c r="F1567" t="s">
        <v>802</v>
      </c>
      <c r="G1567" t="s">
        <v>1706</v>
      </c>
      <c r="H1567">
        <v>35209</v>
      </c>
      <c r="I1567" t="s">
        <v>30</v>
      </c>
      <c r="J1567" t="s">
        <v>31</v>
      </c>
      <c r="K1567" t="s">
        <v>277</v>
      </c>
      <c r="N1567" t="s">
        <v>6854</v>
      </c>
      <c r="O1567" t="s">
        <v>6855</v>
      </c>
      <c r="Q1567">
        <v>0</v>
      </c>
      <c r="R1567">
        <v>111</v>
      </c>
      <c r="S1567">
        <v>0</v>
      </c>
      <c r="T1567" t="s">
        <v>6856</v>
      </c>
    </row>
    <row r="1568" spans="1:20" customFormat="1" ht="15" x14ac:dyDescent="0.25">
      <c r="A1568" t="s">
        <v>24</v>
      </c>
      <c r="B1568" t="s">
        <v>16136</v>
      </c>
      <c r="C1568" t="str">
        <f>"A0157929"</f>
        <v>A0157929</v>
      </c>
      <c r="D1568" t="s">
        <v>16137</v>
      </c>
      <c r="E1568" t="s">
        <v>16138</v>
      </c>
      <c r="F1568" t="s">
        <v>16139</v>
      </c>
      <c r="G1568" t="s">
        <v>81</v>
      </c>
      <c r="H1568">
        <v>34209</v>
      </c>
      <c r="I1568" t="s">
        <v>30</v>
      </c>
      <c r="J1568" t="s">
        <v>162</v>
      </c>
      <c r="K1568" t="s">
        <v>163</v>
      </c>
      <c r="N1568" t="s">
        <v>16140</v>
      </c>
      <c r="Q1568">
        <v>0</v>
      </c>
      <c r="R1568">
        <v>123</v>
      </c>
      <c r="S1568">
        <v>0</v>
      </c>
      <c r="T1568" t="s">
        <v>16141</v>
      </c>
    </row>
    <row r="1569" spans="1:20" customFormat="1" ht="15" x14ac:dyDescent="0.25">
      <c r="A1569" t="s">
        <v>24</v>
      </c>
      <c r="B1569" t="s">
        <v>6862</v>
      </c>
      <c r="C1569" t="str">
        <f>"A0190455"</f>
        <v>A0190455</v>
      </c>
      <c r="D1569" t="s">
        <v>6863</v>
      </c>
      <c r="E1569" t="s">
        <v>6864</v>
      </c>
      <c r="F1569" t="s">
        <v>6865</v>
      </c>
      <c r="G1569" t="s">
        <v>90</v>
      </c>
      <c r="H1569">
        <v>2903</v>
      </c>
      <c r="I1569" t="s">
        <v>30</v>
      </c>
      <c r="J1569" t="s">
        <v>687</v>
      </c>
      <c r="K1569" t="s">
        <v>6809</v>
      </c>
      <c r="N1569" t="s">
        <v>6866</v>
      </c>
      <c r="Q1569">
        <v>0</v>
      </c>
      <c r="R1569">
        <v>0</v>
      </c>
      <c r="S1569">
        <v>0</v>
      </c>
      <c r="T1569" t="s">
        <v>6867</v>
      </c>
    </row>
    <row r="1570" spans="1:20" customFormat="1" ht="15" x14ac:dyDescent="0.25">
      <c r="A1570" t="s">
        <v>24</v>
      </c>
      <c r="B1570" t="s">
        <v>16155</v>
      </c>
      <c r="C1570" t="str">
        <f>"A0167415"</f>
        <v>A0167415</v>
      </c>
      <c r="D1570" t="s">
        <v>16156</v>
      </c>
      <c r="E1570" t="s">
        <v>16157</v>
      </c>
      <c r="F1570" t="s">
        <v>3505</v>
      </c>
      <c r="G1570" t="s">
        <v>52</v>
      </c>
      <c r="H1570">
        <v>76177</v>
      </c>
      <c r="I1570" t="s">
        <v>30</v>
      </c>
      <c r="J1570" t="s">
        <v>162</v>
      </c>
      <c r="K1570" t="s">
        <v>854</v>
      </c>
      <c r="N1570" t="s">
        <v>16158</v>
      </c>
      <c r="Q1570">
        <v>0</v>
      </c>
      <c r="R1570">
        <v>99</v>
      </c>
      <c r="S1570">
        <v>0</v>
      </c>
      <c r="T1570" t="s">
        <v>16159</v>
      </c>
    </row>
    <row r="1571" spans="1:20" customFormat="1" ht="15" x14ac:dyDescent="0.25">
      <c r="A1571" t="s">
        <v>24</v>
      </c>
      <c r="B1571" t="s">
        <v>16155</v>
      </c>
      <c r="C1571" t="str">
        <f>"A0162010"</f>
        <v>A0162010</v>
      </c>
      <c r="D1571" t="s">
        <v>16160</v>
      </c>
      <c r="E1571" t="s">
        <v>16161</v>
      </c>
      <c r="F1571" t="s">
        <v>2235</v>
      </c>
      <c r="G1571" t="s">
        <v>123</v>
      </c>
      <c r="H1571">
        <v>21842</v>
      </c>
      <c r="I1571" t="s">
        <v>30</v>
      </c>
      <c r="J1571" t="s">
        <v>162</v>
      </c>
      <c r="K1571" t="s">
        <v>163</v>
      </c>
      <c r="N1571" t="s">
        <v>16162</v>
      </c>
      <c r="O1571" t="s">
        <v>16163</v>
      </c>
      <c r="Q1571">
        <v>0</v>
      </c>
      <c r="R1571">
        <v>240</v>
      </c>
      <c r="S1571">
        <v>0</v>
      </c>
      <c r="T1571" t="s">
        <v>16164</v>
      </c>
    </row>
    <row r="1572" spans="1:20" customFormat="1" ht="15" x14ac:dyDescent="0.25">
      <c r="A1572" t="s">
        <v>24</v>
      </c>
      <c r="B1572" t="s">
        <v>16155</v>
      </c>
      <c r="C1572" t="str">
        <f>"A0158385"</f>
        <v>A0158385</v>
      </c>
      <c r="D1572" t="s">
        <v>16169</v>
      </c>
      <c r="E1572" t="s">
        <v>16170</v>
      </c>
      <c r="F1572" t="s">
        <v>13138</v>
      </c>
      <c r="G1572" t="s">
        <v>103</v>
      </c>
      <c r="H1572">
        <v>18101</v>
      </c>
      <c r="I1572" t="s">
        <v>30</v>
      </c>
      <c r="J1572" t="s">
        <v>162</v>
      </c>
      <c r="K1572" t="s">
        <v>163</v>
      </c>
      <c r="N1572" t="s">
        <v>16171</v>
      </c>
      <c r="O1572" t="s">
        <v>16172</v>
      </c>
      <c r="Q1572">
        <v>0</v>
      </c>
      <c r="R1572">
        <v>133</v>
      </c>
      <c r="S1572">
        <v>0</v>
      </c>
      <c r="T1572" t="s">
        <v>16173</v>
      </c>
    </row>
    <row r="1573" spans="1:20" customFormat="1" ht="15" x14ac:dyDescent="0.25">
      <c r="A1573" t="s">
        <v>24</v>
      </c>
      <c r="B1573" t="s">
        <v>16155</v>
      </c>
      <c r="C1573" t="str">
        <f>"A0151284"</f>
        <v>A0151284</v>
      </c>
      <c r="D1573" t="s">
        <v>16186</v>
      </c>
      <c r="E1573" t="s">
        <v>16187</v>
      </c>
      <c r="F1573" t="s">
        <v>1564</v>
      </c>
      <c r="G1573" t="s">
        <v>52</v>
      </c>
      <c r="H1573">
        <v>77086</v>
      </c>
      <c r="I1573" t="s">
        <v>30</v>
      </c>
      <c r="J1573" t="s">
        <v>162</v>
      </c>
      <c r="K1573" t="s">
        <v>854</v>
      </c>
      <c r="N1573" t="s">
        <v>16188</v>
      </c>
      <c r="Q1573">
        <v>0</v>
      </c>
      <c r="R1573">
        <v>100</v>
      </c>
      <c r="S1573">
        <v>0</v>
      </c>
      <c r="T1573" t="s">
        <v>16189</v>
      </c>
    </row>
    <row r="1574" spans="1:20" customFormat="1" ht="15" x14ac:dyDescent="0.25">
      <c r="A1574" t="s">
        <v>24</v>
      </c>
      <c r="B1574" t="s">
        <v>16155</v>
      </c>
      <c r="C1574" t="str">
        <f>"A0099877"</f>
        <v>A0099877</v>
      </c>
      <c r="D1574" t="s">
        <v>16216</v>
      </c>
      <c r="E1574" t="s">
        <v>16217</v>
      </c>
      <c r="F1574" t="s">
        <v>16218</v>
      </c>
      <c r="G1574" t="s">
        <v>103</v>
      </c>
      <c r="H1574">
        <v>17602</v>
      </c>
      <c r="I1574" t="s">
        <v>30</v>
      </c>
      <c r="J1574" t="s">
        <v>162</v>
      </c>
      <c r="K1574" t="s">
        <v>854</v>
      </c>
      <c r="N1574" t="s">
        <v>16219</v>
      </c>
      <c r="O1574" t="s">
        <v>16220</v>
      </c>
      <c r="Q1574">
        <v>0</v>
      </c>
      <c r="R1574">
        <v>221</v>
      </c>
      <c r="S1574">
        <v>0</v>
      </c>
      <c r="T1574" t="s">
        <v>16221</v>
      </c>
    </row>
    <row r="1575" spans="1:20" customFormat="1" ht="15" x14ac:dyDescent="0.25">
      <c r="A1575" t="s">
        <v>24</v>
      </c>
      <c r="B1575" t="s">
        <v>16155</v>
      </c>
      <c r="C1575" t="str">
        <f>"A0099214"</f>
        <v>A0099214</v>
      </c>
      <c r="D1575" t="s">
        <v>16236</v>
      </c>
      <c r="E1575" t="s">
        <v>16237</v>
      </c>
      <c r="F1575" t="s">
        <v>16238</v>
      </c>
      <c r="G1575" t="s">
        <v>615</v>
      </c>
      <c r="H1575">
        <v>6488</v>
      </c>
      <c r="I1575" t="s">
        <v>30</v>
      </c>
      <c r="J1575" t="s">
        <v>162</v>
      </c>
      <c r="K1575" t="s">
        <v>163</v>
      </c>
      <c r="N1575" t="s">
        <v>16239</v>
      </c>
      <c r="Q1575">
        <v>0</v>
      </c>
      <c r="R1575">
        <v>163</v>
      </c>
      <c r="S1575">
        <v>0</v>
      </c>
      <c r="T1575" t="s">
        <v>16240</v>
      </c>
    </row>
    <row r="1576" spans="1:20" customFormat="1" ht="15" x14ac:dyDescent="0.25">
      <c r="A1576" t="s">
        <v>24</v>
      </c>
      <c r="B1576" t="s">
        <v>16155</v>
      </c>
      <c r="C1576" t="str">
        <f>"A0098127"</f>
        <v>A0098127</v>
      </c>
      <c r="D1576" t="s">
        <v>16246</v>
      </c>
      <c r="E1576" t="s">
        <v>16247</v>
      </c>
      <c r="F1576" t="s">
        <v>13640</v>
      </c>
      <c r="G1576" t="s">
        <v>99</v>
      </c>
      <c r="H1576">
        <v>13901</v>
      </c>
      <c r="I1576" t="s">
        <v>30</v>
      </c>
      <c r="J1576" t="s">
        <v>162</v>
      </c>
      <c r="K1576" t="s">
        <v>759</v>
      </c>
      <c r="N1576" t="s">
        <v>16248</v>
      </c>
      <c r="O1576" t="s">
        <v>16249</v>
      </c>
      <c r="Q1576">
        <v>0</v>
      </c>
      <c r="R1576">
        <v>207</v>
      </c>
      <c r="S1576">
        <v>0</v>
      </c>
      <c r="T1576" t="s">
        <v>16250</v>
      </c>
    </row>
    <row r="1577" spans="1:20" customFormat="1" ht="15" x14ac:dyDescent="0.25">
      <c r="A1577" t="s">
        <v>24</v>
      </c>
      <c r="B1577" t="s">
        <v>16155</v>
      </c>
      <c r="C1577" t="str">
        <f>"A0088618"</f>
        <v>A0088618</v>
      </c>
      <c r="D1577" t="s">
        <v>16271</v>
      </c>
      <c r="E1577" t="s">
        <v>16272</v>
      </c>
      <c r="F1577" t="s">
        <v>16182</v>
      </c>
      <c r="G1577" t="s">
        <v>29</v>
      </c>
      <c r="H1577">
        <v>22601</v>
      </c>
      <c r="I1577" t="s">
        <v>30</v>
      </c>
      <c r="J1577" t="s">
        <v>162</v>
      </c>
      <c r="K1577" t="s">
        <v>4581</v>
      </c>
      <c r="N1577" t="s">
        <v>16273</v>
      </c>
      <c r="Q1577">
        <v>0</v>
      </c>
      <c r="R1577">
        <v>90</v>
      </c>
      <c r="S1577">
        <v>0</v>
      </c>
      <c r="T1577" t="s">
        <v>16274</v>
      </c>
    </row>
    <row r="1578" spans="1:20" customFormat="1" ht="15" x14ac:dyDescent="0.25">
      <c r="A1578" t="s">
        <v>24</v>
      </c>
      <c r="B1578" t="s">
        <v>16155</v>
      </c>
      <c r="C1578" t="str">
        <f>"A0074416"</f>
        <v>A0074416</v>
      </c>
      <c r="D1578" t="s">
        <v>16293</v>
      </c>
      <c r="E1578" t="s">
        <v>16294</v>
      </c>
      <c r="F1578" t="s">
        <v>16295</v>
      </c>
      <c r="G1578" t="s">
        <v>338</v>
      </c>
      <c r="H1578">
        <v>8816</v>
      </c>
      <c r="I1578" t="s">
        <v>30</v>
      </c>
      <c r="J1578" t="s">
        <v>162</v>
      </c>
      <c r="K1578" t="s">
        <v>4809</v>
      </c>
      <c r="N1578" t="s">
        <v>16296</v>
      </c>
      <c r="O1578" t="s">
        <v>16297</v>
      </c>
      <c r="Q1578">
        <v>0</v>
      </c>
      <c r="R1578">
        <v>405</v>
      </c>
      <c r="S1578">
        <v>0</v>
      </c>
      <c r="T1578" t="s">
        <v>16298</v>
      </c>
    </row>
    <row r="1579" spans="1:20" customFormat="1" ht="15" x14ac:dyDescent="0.25">
      <c r="A1579" t="s">
        <v>24</v>
      </c>
      <c r="B1579" t="s">
        <v>16155</v>
      </c>
      <c r="C1579" t="str">
        <f>"A0063263"</f>
        <v>A0063263</v>
      </c>
      <c r="D1579" t="s">
        <v>16308</v>
      </c>
      <c r="E1579" t="s">
        <v>16309</v>
      </c>
      <c r="F1579" t="s">
        <v>2401</v>
      </c>
      <c r="G1579" t="s">
        <v>123</v>
      </c>
      <c r="H1579">
        <v>20877</v>
      </c>
      <c r="I1579" t="s">
        <v>30</v>
      </c>
      <c r="J1579" t="s">
        <v>162</v>
      </c>
      <c r="K1579" t="s">
        <v>759</v>
      </c>
      <c r="N1579" t="s">
        <v>16310</v>
      </c>
      <c r="Q1579">
        <v>0</v>
      </c>
      <c r="R1579">
        <v>301</v>
      </c>
      <c r="S1579">
        <v>0</v>
      </c>
      <c r="T1579" t="s">
        <v>16311</v>
      </c>
    </row>
    <row r="1580" spans="1:20" customFormat="1" ht="15" x14ac:dyDescent="0.25">
      <c r="A1580" t="s">
        <v>24</v>
      </c>
      <c r="B1580" t="s">
        <v>16155</v>
      </c>
      <c r="C1580" t="str">
        <f>"A0059570"</f>
        <v>A0059570</v>
      </c>
      <c r="D1580" t="s">
        <v>16312</v>
      </c>
      <c r="E1580" t="s">
        <v>16313</v>
      </c>
      <c r="F1580" t="s">
        <v>16314</v>
      </c>
      <c r="G1580" t="s">
        <v>338</v>
      </c>
      <c r="H1580">
        <v>8873</v>
      </c>
      <c r="I1580" t="s">
        <v>30</v>
      </c>
      <c r="J1580" t="s">
        <v>162</v>
      </c>
      <c r="K1580" t="s">
        <v>759</v>
      </c>
      <c r="N1580" t="s">
        <v>16315</v>
      </c>
      <c r="O1580" t="s">
        <v>16316</v>
      </c>
      <c r="Q1580">
        <v>0</v>
      </c>
      <c r="R1580">
        <v>364</v>
      </c>
      <c r="S1580">
        <v>0</v>
      </c>
      <c r="T1580" t="s">
        <v>16317</v>
      </c>
    </row>
    <row r="1581" spans="1:20" customFormat="1" ht="15" x14ac:dyDescent="0.25">
      <c r="A1581" t="s">
        <v>24</v>
      </c>
      <c r="B1581" t="s">
        <v>4400</v>
      </c>
      <c r="C1581" t="str">
        <f>"A0059823"</f>
        <v>A0059823</v>
      </c>
      <c r="D1581" t="s">
        <v>6920</v>
      </c>
      <c r="E1581" t="s">
        <v>6921</v>
      </c>
      <c r="F1581" t="s">
        <v>6922</v>
      </c>
      <c r="G1581" t="s">
        <v>99</v>
      </c>
      <c r="H1581">
        <v>10523</v>
      </c>
      <c r="I1581" t="s">
        <v>30</v>
      </c>
      <c r="J1581" t="s">
        <v>31</v>
      </c>
      <c r="K1581" t="s">
        <v>198</v>
      </c>
      <c r="N1581" t="s">
        <v>6923</v>
      </c>
      <c r="Q1581">
        <v>0</v>
      </c>
      <c r="R1581">
        <v>156</v>
      </c>
      <c r="S1581">
        <v>0</v>
      </c>
      <c r="T1581" t="s">
        <v>6924</v>
      </c>
    </row>
    <row r="1582" spans="1:20" customFormat="1" ht="15" x14ac:dyDescent="0.25">
      <c r="A1582" t="s">
        <v>24</v>
      </c>
      <c r="B1582" t="s">
        <v>16155</v>
      </c>
      <c r="C1582" t="str">
        <f>"A0059094"</f>
        <v>A0059094</v>
      </c>
      <c r="D1582" t="s">
        <v>16318</v>
      </c>
      <c r="E1582" t="s">
        <v>16319</v>
      </c>
      <c r="F1582" t="s">
        <v>16320</v>
      </c>
      <c r="G1582" t="s">
        <v>117</v>
      </c>
      <c r="H1582">
        <v>48334</v>
      </c>
      <c r="I1582" t="s">
        <v>30</v>
      </c>
      <c r="J1582" t="s">
        <v>162</v>
      </c>
      <c r="K1582" t="s">
        <v>251</v>
      </c>
      <c r="N1582" t="s">
        <v>16321</v>
      </c>
      <c r="Q1582">
        <v>0</v>
      </c>
      <c r="R1582">
        <v>201</v>
      </c>
      <c r="S1582">
        <v>0</v>
      </c>
      <c r="T1582" t="s">
        <v>16322</v>
      </c>
    </row>
    <row r="1583" spans="1:20" customFormat="1" ht="15" x14ac:dyDescent="0.25">
      <c r="A1583" t="s">
        <v>24</v>
      </c>
      <c r="B1583" t="s">
        <v>16155</v>
      </c>
      <c r="C1583" t="str">
        <f>"SF02274"</f>
        <v>SF02274</v>
      </c>
      <c r="D1583" t="s">
        <v>16343</v>
      </c>
      <c r="E1583" t="s">
        <v>16344</v>
      </c>
      <c r="F1583" t="s">
        <v>3932</v>
      </c>
      <c r="G1583" t="s">
        <v>117</v>
      </c>
      <c r="H1583">
        <v>49546</v>
      </c>
      <c r="I1583" t="s">
        <v>30</v>
      </c>
      <c r="J1583" t="s">
        <v>162</v>
      </c>
      <c r="K1583" t="s">
        <v>1502</v>
      </c>
      <c r="N1583" t="s">
        <v>16345</v>
      </c>
      <c r="Q1583">
        <v>0</v>
      </c>
      <c r="R1583">
        <v>246</v>
      </c>
      <c r="S1583">
        <v>0</v>
      </c>
      <c r="T1583" t="s">
        <v>16346</v>
      </c>
    </row>
    <row r="1584" spans="1:20" customFormat="1" ht="15" x14ac:dyDescent="0.25">
      <c r="A1584" t="s">
        <v>24</v>
      </c>
      <c r="B1584" t="s">
        <v>16529</v>
      </c>
      <c r="C1584" t="str">
        <f>"A0071836"</f>
        <v>A0071836</v>
      </c>
      <c r="D1584" t="s">
        <v>16530</v>
      </c>
      <c r="E1584" t="s">
        <v>16531</v>
      </c>
      <c r="F1584" t="s">
        <v>10137</v>
      </c>
      <c r="G1584" t="s">
        <v>338</v>
      </c>
      <c r="H1584">
        <v>8837</v>
      </c>
      <c r="I1584" t="s">
        <v>30</v>
      </c>
      <c r="J1584" t="s">
        <v>162</v>
      </c>
      <c r="K1584" t="s">
        <v>1502</v>
      </c>
      <c r="N1584" t="s">
        <v>16532</v>
      </c>
      <c r="Q1584">
        <v>0</v>
      </c>
      <c r="R1584">
        <v>276</v>
      </c>
      <c r="S1584">
        <v>0</v>
      </c>
      <c r="T1584" t="s">
        <v>16533</v>
      </c>
    </row>
    <row r="1585" spans="1:20" customFormat="1" ht="15" x14ac:dyDescent="0.25">
      <c r="A1585" t="s">
        <v>24</v>
      </c>
      <c r="B1585" t="s">
        <v>13684</v>
      </c>
      <c r="C1585" t="str">
        <f>"33780"</f>
        <v>33780</v>
      </c>
      <c r="D1585" t="s">
        <v>16565</v>
      </c>
      <c r="E1585" t="s">
        <v>16566</v>
      </c>
      <c r="F1585" t="s">
        <v>2014</v>
      </c>
      <c r="G1585" t="s">
        <v>197</v>
      </c>
      <c r="H1585">
        <v>85253</v>
      </c>
      <c r="I1585" t="s">
        <v>30</v>
      </c>
      <c r="J1585" t="s">
        <v>162</v>
      </c>
      <c r="K1585" t="s">
        <v>163</v>
      </c>
      <c r="N1585" t="s">
        <v>16567</v>
      </c>
      <c r="P1585" t="s">
        <v>3998</v>
      </c>
      <c r="Q1585">
        <v>1</v>
      </c>
      <c r="R1585">
        <v>337</v>
      </c>
      <c r="S1585">
        <v>0</v>
      </c>
      <c r="T1585" t="s">
        <v>16568</v>
      </c>
    </row>
    <row r="1586" spans="1:20" customFormat="1" ht="15" x14ac:dyDescent="0.25">
      <c r="A1586" t="s">
        <v>24</v>
      </c>
      <c r="B1586" t="s">
        <v>13684</v>
      </c>
      <c r="C1586" t="str">
        <f>"A0092182"</f>
        <v>A0092182</v>
      </c>
      <c r="D1586" t="s">
        <v>16576</v>
      </c>
      <c r="E1586" t="s">
        <v>16577</v>
      </c>
      <c r="F1586" t="s">
        <v>16578</v>
      </c>
      <c r="G1586" t="s">
        <v>197</v>
      </c>
      <c r="H1586">
        <v>86403</v>
      </c>
      <c r="I1586" t="s">
        <v>30</v>
      </c>
      <c r="J1586" t="s">
        <v>162</v>
      </c>
      <c r="K1586" t="s">
        <v>163</v>
      </c>
      <c r="N1586" t="s">
        <v>16579</v>
      </c>
      <c r="O1586" t="s">
        <v>16580</v>
      </c>
      <c r="Q1586">
        <v>0</v>
      </c>
      <c r="R1586">
        <v>139</v>
      </c>
      <c r="S1586">
        <v>0</v>
      </c>
      <c r="T1586" t="s">
        <v>16581</v>
      </c>
    </row>
    <row r="1587" spans="1:20" customFormat="1" ht="15" x14ac:dyDescent="0.25">
      <c r="A1587" t="s">
        <v>24</v>
      </c>
      <c r="B1587" t="s">
        <v>6949</v>
      </c>
      <c r="C1587" t="str">
        <f>"A0099470"</f>
        <v>A0099470</v>
      </c>
      <c r="D1587" t="s">
        <v>6950</v>
      </c>
      <c r="E1587" t="s">
        <v>6951</v>
      </c>
      <c r="F1587" t="s">
        <v>997</v>
      </c>
      <c r="G1587" t="s">
        <v>99</v>
      </c>
      <c r="H1587">
        <v>10006</v>
      </c>
      <c r="I1587" t="s">
        <v>30</v>
      </c>
      <c r="J1587" t="s">
        <v>31</v>
      </c>
      <c r="K1587" t="s">
        <v>32</v>
      </c>
      <c r="N1587" t="s">
        <v>6952</v>
      </c>
      <c r="O1587" t="s">
        <v>6953</v>
      </c>
      <c r="Q1587">
        <v>0</v>
      </c>
      <c r="R1587">
        <v>192</v>
      </c>
      <c r="S1587">
        <v>0</v>
      </c>
      <c r="T1587" t="s">
        <v>6954</v>
      </c>
    </row>
    <row r="1588" spans="1:20" customFormat="1" ht="15" x14ac:dyDescent="0.25">
      <c r="A1588" t="s">
        <v>24</v>
      </c>
      <c r="B1588" t="s">
        <v>6955</v>
      </c>
      <c r="C1588" t="str">
        <f>"A0190445"</f>
        <v>A0190445</v>
      </c>
      <c r="D1588" t="s">
        <v>6956</v>
      </c>
      <c r="E1588" t="s">
        <v>6957</v>
      </c>
      <c r="F1588" t="s">
        <v>6958</v>
      </c>
      <c r="G1588" t="s">
        <v>110</v>
      </c>
      <c r="H1588">
        <v>93442</v>
      </c>
      <c r="I1588" t="s">
        <v>30</v>
      </c>
      <c r="J1588" t="s">
        <v>145</v>
      </c>
      <c r="K1588" t="s">
        <v>163</v>
      </c>
      <c r="N1588" t="s">
        <v>6688</v>
      </c>
      <c r="Q1588">
        <v>0</v>
      </c>
      <c r="R1588">
        <v>22</v>
      </c>
      <c r="S1588">
        <v>0</v>
      </c>
      <c r="T1588" t="s">
        <v>6694</v>
      </c>
    </row>
    <row r="1589" spans="1:20" customFormat="1" ht="15" x14ac:dyDescent="0.25">
      <c r="A1589" t="s">
        <v>24</v>
      </c>
      <c r="B1589" t="s">
        <v>6959</v>
      </c>
      <c r="C1589" t="str">
        <f>"A0190439"</f>
        <v>A0190439</v>
      </c>
      <c r="D1589" t="s">
        <v>6960</v>
      </c>
      <c r="E1589" t="s">
        <v>6961</v>
      </c>
      <c r="F1589" t="s">
        <v>6958</v>
      </c>
      <c r="G1589" t="s">
        <v>110</v>
      </c>
      <c r="H1589">
        <v>93442</v>
      </c>
      <c r="I1589" t="s">
        <v>30</v>
      </c>
      <c r="J1589" t="s">
        <v>145</v>
      </c>
      <c r="K1589" t="s">
        <v>163</v>
      </c>
      <c r="N1589" t="s">
        <v>6962</v>
      </c>
      <c r="Q1589">
        <v>0</v>
      </c>
      <c r="R1589">
        <v>22</v>
      </c>
      <c r="S1589">
        <v>0</v>
      </c>
      <c r="T1589" t="s">
        <v>6963</v>
      </c>
    </row>
    <row r="1590" spans="1:20" customFormat="1" ht="15" x14ac:dyDescent="0.25">
      <c r="A1590" t="s">
        <v>24</v>
      </c>
      <c r="B1590" t="s">
        <v>6667</v>
      </c>
      <c r="C1590" t="str">
        <f>"A0190452"</f>
        <v>A0190452</v>
      </c>
      <c r="D1590" t="s">
        <v>6964</v>
      </c>
      <c r="E1590" t="s">
        <v>6965</v>
      </c>
      <c r="F1590" t="s">
        <v>6966</v>
      </c>
      <c r="G1590" t="s">
        <v>197</v>
      </c>
      <c r="H1590">
        <v>85541</v>
      </c>
      <c r="I1590" t="s">
        <v>30</v>
      </c>
      <c r="J1590" t="s">
        <v>178</v>
      </c>
      <c r="K1590" t="s">
        <v>179</v>
      </c>
      <c r="N1590" t="s">
        <v>6967</v>
      </c>
      <c r="O1590" t="s">
        <v>6968</v>
      </c>
      <c r="Q1590">
        <v>0</v>
      </c>
      <c r="R1590">
        <v>0</v>
      </c>
      <c r="S1590">
        <v>0</v>
      </c>
      <c r="T1590" t="s">
        <v>6969</v>
      </c>
    </row>
    <row r="1591" spans="1:20" customFormat="1" ht="15" x14ac:dyDescent="0.25">
      <c r="A1591" t="s">
        <v>24</v>
      </c>
      <c r="B1591" t="s">
        <v>174</v>
      </c>
      <c r="C1591" t="str">
        <f>"A0049244"</f>
        <v>A0049244</v>
      </c>
      <c r="D1591" t="s">
        <v>6970</v>
      </c>
      <c r="E1591" t="s">
        <v>6971</v>
      </c>
      <c r="F1591" t="s">
        <v>6972</v>
      </c>
      <c r="G1591" t="s">
        <v>81</v>
      </c>
      <c r="H1591">
        <v>33433</v>
      </c>
      <c r="I1591" t="s">
        <v>30</v>
      </c>
      <c r="J1591" t="s">
        <v>178</v>
      </c>
      <c r="K1591" t="s">
        <v>179</v>
      </c>
      <c r="N1591" t="s">
        <v>6973</v>
      </c>
      <c r="O1591" t="s">
        <v>6974</v>
      </c>
      <c r="Q1591">
        <v>0</v>
      </c>
      <c r="R1591">
        <v>0</v>
      </c>
      <c r="S1591">
        <v>0</v>
      </c>
      <c r="T1591" t="s">
        <v>6975</v>
      </c>
    </row>
    <row r="1592" spans="1:20" customFormat="1" ht="15" x14ac:dyDescent="0.25">
      <c r="A1592" t="s">
        <v>24</v>
      </c>
      <c r="B1592" t="s">
        <v>762</v>
      </c>
      <c r="C1592" t="str">
        <f>"A0095424"</f>
        <v>A0095424</v>
      </c>
      <c r="D1592" t="s">
        <v>16609</v>
      </c>
      <c r="E1592" t="s">
        <v>16610</v>
      </c>
      <c r="F1592" t="s">
        <v>985</v>
      </c>
      <c r="G1592" t="s">
        <v>81</v>
      </c>
      <c r="H1592">
        <v>32836</v>
      </c>
      <c r="I1592" t="s">
        <v>30</v>
      </c>
      <c r="J1592" t="s">
        <v>162</v>
      </c>
      <c r="K1592" t="s">
        <v>1502</v>
      </c>
      <c r="N1592" t="s">
        <v>16611</v>
      </c>
      <c r="O1592" t="s">
        <v>16612</v>
      </c>
      <c r="Q1592">
        <v>0</v>
      </c>
      <c r="R1592">
        <v>489</v>
      </c>
      <c r="S1592">
        <v>0</v>
      </c>
      <c r="T1592" t="s">
        <v>16613</v>
      </c>
    </row>
    <row r="1593" spans="1:20" customFormat="1" ht="15" x14ac:dyDescent="0.25">
      <c r="A1593" t="s">
        <v>35</v>
      </c>
      <c r="B1593" t="s">
        <v>61</v>
      </c>
      <c r="C1593" t="str">
        <f>"A0118813"</f>
        <v>A0118813</v>
      </c>
      <c r="D1593" t="s">
        <v>6982</v>
      </c>
      <c r="E1593" t="s">
        <v>6983</v>
      </c>
      <c r="F1593" t="s">
        <v>6984</v>
      </c>
      <c r="G1593" t="s">
        <v>110</v>
      </c>
      <c r="H1593">
        <v>92882</v>
      </c>
      <c r="I1593" t="s">
        <v>30</v>
      </c>
      <c r="J1593" t="s">
        <v>41</v>
      </c>
      <c r="K1593" t="s">
        <v>59</v>
      </c>
      <c r="Q1593">
        <v>0</v>
      </c>
      <c r="R1593">
        <v>49</v>
      </c>
      <c r="S1593">
        <v>49</v>
      </c>
      <c r="T1593" t="s">
        <v>6985</v>
      </c>
    </row>
    <row r="1594" spans="1:20" customFormat="1" ht="15" x14ac:dyDescent="0.25">
      <c r="A1594" t="s">
        <v>35</v>
      </c>
      <c r="B1594" t="s">
        <v>61</v>
      </c>
      <c r="C1594" t="str">
        <f>"A0118812"</f>
        <v>A0118812</v>
      </c>
      <c r="D1594" t="s">
        <v>6986</v>
      </c>
      <c r="E1594" t="s">
        <v>6987</v>
      </c>
      <c r="F1594" t="s">
        <v>6988</v>
      </c>
      <c r="G1594" t="s">
        <v>110</v>
      </c>
      <c r="H1594">
        <v>91007</v>
      </c>
      <c r="I1594" t="s">
        <v>30</v>
      </c>
      <c r="J1594" t="s">
        <v>41</v>
      </c>
      <c r="K1594" t="s">
        <v>59</v>
      </c>
      <c r="Q1594">
        <v>0</v>
      </c>
      <c r="R1594">
        <v>130</v>
      </c>
      <c r="S1594">
        <v>130</v>
      </c>
      <c r="T1594" t="s">
        <v>6989</v>
      </c>
    </row>
    <row r="1595" spans="1:20" customFormat="1" ht="15" x14ac:dyDescent="0.25">
      <c r="A1595" t="s">
        <v>35</v>
      </c>
      <c r="B1595" t="s">
        <v>61</v>
      </c>
      <c r="C1595" t="str">
        <f>"A0118811"</f>
        <v>A0118811</v>
      </c>
      <c r="D1595" t="s">
        <v>6990</v>
      </c>
      <c r="E1595" t="s">
        <v>6991</v>
      </c>
      <c r="F1595" t="s">
        <v>6992</v>
      </c>
      <c r="G1595" t="s">
        <v>110</v>
      </c>
      <c r="H1595">
        <v>92660</v>
      </c>
      <c r="I1595" t="s">
        <v>30</v>
      </c>
      <c r="J1595" t="s">
        <v>41</v>
      </c>
      <c r="K1595" t="s">
        <v>290</v>
      </c>
      <c r="Q1595">
        <v>0</v>
      </c>
      <c r="R1595">
        <v>1</v>
      </c>
      <c r="S1595">
        <v>1</v>
      </c>
      <c r="T1595" t="s">
        <v>6993</v>
      </c>
    </row>
    <row r="1596" spans="1:20" customFormat="1" ht="15" x14ac:dyDescent="0.25">
      <c r="A1596" t="s">
        <v>35</v>
      </c>
      <c r="B1596" t="s">
        <v>61</v>
      </c>
      <c r="C1596" t="str">
        <f>"A0118036"</f>
        <v>A0118036</v>
      </c>
      <c r="D1596" t="s">
        <v>6994</v>
      </c>
      <c r="E1596" t="s">
        <v>6995</v>
      </c>
      <c r="F1596" t="s">
        <v>6996</v>
      </c>
      <c r="G1596" t="s">
        <v>110</v>
      </c>
      <c r="H1596">
        <v>91776</v>
      </c>
      <c r="I1596" t="s">
        <v>30</v>
      </c>
      <c r="J1596" t="s">
        <v>41</v>
      </c>
      <c r="K1596" t="s">
        <v>229</v>
      </c>
      <c r="Q1596">
        <v>0</v>
      </c>
      <c r="R1596">
        <v>95</v>
      </c>
      <c r="S1596">
        <v>95</v>
      </c>
      <c r="T1596" t="s">
        <v>6997</v>
      </c>
    </row>
    <row r="1597" spans="1:20" customFormat="1" ht="15" x14ac:dyDescent="0.25">
      <c r="A1597" t="s">
        <v>35</v>
      </c>
      <c r="B1597" t="s">
        <v>61</v>
      </c>
      <c r="C1597" t="str">
        <f>"A0117974"</f>
        <v>A0117974</v>
      </c>
      <c r="D1597" t="s">
        <v>6998</v>
      </c>
      <c r="E1597" t="s">
        <v>6999</v>
      </c>
      <c r="F1597" t="s">
        <v>7000</v>
      </c>
      <c r="G1597" t="s">
        <v>110</v>
      </c>
      <c r="H1597">
        <v>92270</v>
      </c>
      <c r="I1597" t="s">
        <v>30</v>
      </c>
      <c r="J1597" t="s">
        <v>41</v>
      </c>
      <c r="K1597" t="s">
        <v>1032</v>
      </c>
      <c r="Q1597">
        <v>0</v>
      </c>
      <c r="R1597">
        <v>53</v>
      </c>
      <c r="S1597">
        <v>53</v>
      </c>
      <c r="T1597" t="s">
        <v>7001</v>
      </c>
    </row>
    <row r="1598" spans="1:20" customFormat="1" ht="15" x14ac:dyDescent="0.25">
      <c r="A1598" t="s">
        <v>35</v>
      </c>
      <c r="B1598" t="s">
        <v>61</v>
      </c>
      <c r="C1598" t="str">
        <f>"A0117995"</f>
        <v>A0117995</v>
      </c>
      <c r="D1598" t="s">
        <v>7002</v>
      </c>
      <c r="E1598" t="s">
        <v>7003</v>
      </c>
      <c r="F1598" t="s">
        <v>6996</v>
      </c>
      <c r="G1598" t="s">
        <v>110</v>
      </c>
      <c r="H1598">
        <v>91776</v>
      </c>
      <c r="I1598" t="s">
        <v>30</v>
      </c>
      <c r="J1598" t="s">
        <v>41</v>
      </c>
      <c r="K1598" t="s">
        <v>59</v>
      </c>
      <c r="Q1598">
        <v>0</v>
      </c>
      <c r="R1598">
        <v>80</v>
      </c>
      <c r="S1598">
        <v>80</v>
      </c>
      <c r="T1598" t="s">
        <v>7004</v>
      </c>
    </row>
    <row r="1599" spans="1:20" customFormat="1" ht="15" x14ac:dyDescent="0.25">
      <c r="A1599" t="s">
        <v>24</v>
      </c>
      <c r="B1599" t="s">
        <v>16355</v>
      </c>
      <c r="C1599" t="str">
        <f>"34109"</f>
        <v>34109</v>
      </c>
      <c r="D1599" t="s">
        <v>16664</v>
      </c>
      <c r="E1599" t="s">
        <v>16665</v>
      </c>
      <c r="F1599" t="s">
        <v>14956</v>
      </c>
      <c r="G1599" t="s">
        <v>71</v>
      </c>
      <c r="H1599">
        <v>53406</v>
      </c>
      <c r="I1599" t="s">
        <v>30</v>
      </c>
      <c r="J1599" t="s">
        <v>162</v>
      </c>
      <c r="K1599" t="s">
        <v>8834</v>
      </c>
      <c r="N1599" t="s">
        <v>16666</v>
      </c>
      <c r="Q1599">
        <v>0</v>
      </c>
      <c r="R1599">
        <v>220</v>
      </c>
      <c r="S1599">
        <v>0</v>
      </c>
      <c r="T1599" t="s">
        <v>16667</v>
      </c>
    </row>
    <row r="1600" spans="1:20" customFormat="1" ht="15" x14ac:dyDescent="0.25">
      <c r="A1600" t="s">
        <v>24</v>
      </c>
      <c r="B1600" t="s">
        <v>1020</v>
      </c>
      <c r="C1600" t="str">
        <f>"71F09"</f>
        <v>71F09</v>
      </c>
      <c r="D1600" t="s">
        <v>16697</v>
      </c>
      <c r="E1600" t="s">
        <v>16698</v>
      </c>
      <c r="F1600" t="s">
        <v>9812</v>
      </c>
      <c r="G1600" t="s">
        <v>103</v>
      </c>
      <c r="H1600">
        <v>19113</v>
      </c>
      <c r="I1600" t="s">
        <v>30</v>
      </c>
      <c r="J1600" t="s">
        <v>162</v>
      </c>
      <c r="K1600" t="s">
        <v>8834</v>
      </c>
      <c r="N1600" t="s">
        <v>16699</v>
      </c>
      <c r="Q1600">
        <v>0</v>
      </c>
      <c r="R1600">
        <v>349</v>
      </c>
      <c r="S1600">
        <v>0</v>
      </c>
      <c r="T1600" t="s">
        <v>16700</v>
      </c>
    </row>
    <row r="1601" spans="1:25" x14ac:dyDescent="0.25">
      <c r="A1601" s="5" t="s">
        <v>24</v>
      </c>
      <c r="B1601" s="5" t="s">
        <v>6363</v>
      </c>
      <c r="C1601" s="5" t="str">
        <f>"A0156665"</f>
        <v>A0156665</v>
      </c>
      <c r="D1601" s="5" t="s">
        <v>16711</v>
      </c>
      <c r="E1601" s="5" t="s">
        <v>16712</v>
      </c>
      <c r="F1601" s="5" t="s">
        <v>1308</v>
      </c>
      <c r="G1601" s="5" t="s">
        <v>99</v>
      </c>
      <c r="H1601" s="5">
        <v>11436</v>
      </c>
      <c r="I1601" s="5" t="s">
        <v>30</v>
      </c>
      <c r="J1601" s="5" t="s">
        <v>162</v>
      </c>
      <c r="K1601" s="5" t="s">
        <v>1490</v>
      </c>
      <c r="L1601" s="5"/>
      <c r="M1601" s="5"/>
      <c r="N1601" s="5" t="s">
        <v>16713</v>
      </c>
      <c r="O1601" s="5"/>
      <c r="P1601" s="5"/>
      <c r="Q1601" s="5">
        <v>0</v>
      </c>
      <c r="R1601" s="5">
        <v>360</v>
      </c>
      <c r="S1601" s="5">
        <v>0</v>
      </c>
      <c r="T1601" s="5" t="s">
        <v>16714</v>
      </c>
      <c r="U1601" s="5"/>
      <c r="V1601" s="5"/>
      <c r="W1601" s="5"/>
      <c r="X1601" s="5"/>
      <c r="Y1601" s="5"/>
    </row>
    <row r="1602" spans="1:25" x14ac:dyDescent="0.25">
      <c r="A1602" s="5" t="s">
        <v>24</v>
      </c>
      <c r="B1602" s="5" t="s">
        <v>10936</v>
      </c>
      <c r="C1602" s="5" t="str">
        <f>"A0059867"</f>
        <v>A0059867</v>
      </c>
      <c r="D1602" s="5" t="s">
        <v>16726</v>
      </c>
      <c r="E1602" s="5" t="s">
        <v>16727</v>
      </c>
      <c r="F1602" s="5" t="s">
        <v>16728</v>
      </c>
      <c r="G1602" s="5" t="s">
        <v>52</v>
      </c>
      <c r="H1602" s="5">
        <v>77550</v>
      </c>
      <c r="I1602" s="5" t="s">
        <v>30</v>
      </c>
      <c r="J1602" s="5" t="s">
        <v>162</v>
      </c>
      <c r="K1602" s="5" t="s">
        <v>4581</v>
      </c>
      <c r="L1602" s="5"/>
      <c r="M1602" s="5"/>
      <c r="N1602" s="5"/>
      <c r="O1602" s="5"/>
      <c r="P1602" s="5"/>
      <c r="Q1602" s="5">
        <v>0</v>
      </c>
      <c r="R1602" s="5">
        <v>117</v>
      </c>
      <c r="S1602" s="5">
        <v>0</v>
      </c>
      <c r="T1602" s="5" t="s">
        <v>16729</v>
      </c>
      <c r="U1602" s="5"/>
      <c r="V1602" s="5"/>
      <c r="W1602" s="5"/>
      <c r="X1602" s="5"/>
      <c r="Y1602" s="5"/>
    </row>
    <row r="1603" spans="1:25" customFormat="1" ht="15" x14ac:dyDescent="0.25">
      <c r="A1603" t="s">
        <v>24</v>
      </c>
      <c r="B1603" t="s">
        <v>1528</v>
      </c>
      <c r="C1603" t="str">
        <f>"A0190441"</f>
        <v>A0190441</v>
      </c>
      <c r="D1603" t="s">
        <v>7024</v>
      </c>
      <c r="E1603" t="s">
        <v>7025</v>
      </c>
      <c r="F1603" t="s">
        <v>1536</v>
      </c>
      <c r="G1603" t="s">
        <v>76</v>
      </c>
      <c r="H1603">
        <v>98225</v>
      </c>
      <c r="I1603" t="s">
        <v>30</v>
      </c>
      <c r="J1603" t="s">
        <v>31</v>
      </c>
      <c r="K1603" t="s">
        <v>163</v>
      </c>
      <c r="N1603" t="s">
        <v>7026</v>
      </c>
      <c r="Q1603">
        <v>0</v>
      </c>
      <c r="R1603">
        <v>22</v>
      </c>
      <c r="S1603">
        <v>0</v>
      </c>
      <c r="T1603" t="s">
        <v>7027</v>
      </c>
    </row>
    <row r="1604" spans="1:25" x14ac:dyDescent="0.25">
      <c r="A1604" s="5" t="s">
        <v>24</v>
      </c>
      <c r="B1604" s="5" t="s">
        <v>4990</v>
      </c>
      <c r="C1604" s="5" t="str">
        <f>"A0185466"</f>
        <v>A0185466</v>
      </c>
      <c r="D1604" s="5" t="s">
        <v>16744</v>
      </c>
      <c r="E1604" s="5" t="s">
        <v>16745</v>
      </c>
      <c r="F1604" s="5" t="s">
        <v>5915</v>
      </c>
      <c r="G1604" s="5" t="s">
        <v>103</v>
      </c>
      <c r="H1604" s="5">
        <v>16509</v>
      </c>
      <c r="I1604" s="5" t="s">
        <v>30</v>
      </c>
      <c r="J1604" s="5" t="s">
        <v>162</v>
      </c>
      <c r="K1604" s="5" t="s">
        <v>854</v>
      </c>
      <c r="L1604" s="5"/>
      <c r="M1604" s="5"/>
      <c r="N1604" s="5" t="s">
        <v>16746</v>
      </c>
      <c r="O1604" s="5" t="s">
        <v>16747</v>
      </c>
      <c r="P1604" s="5"/>
      <c r="Q1604" s="5">
        <v>0</v>
      </c>
      <c r="R1604" s="5">
        <v>150</v>
      </c>
      <c r="S1604" s="5">
        <v>0</v>
      </c>
      <c r="T1604" s="5" t="s">
        <v>16748</v>
      </c>
      <c r="U1604" s="5"/>
      <c r="V1604" s="5"/>
      <c r="W1604" s="5"/>
      <c r="X1604" s="5"/>
      <c r="Y1604" s="5"/>
    </row>
    <row r="1605" spans="1:25" x14ac:dyDescent="0.25">
      <c r="A1605" s="5" t="s">
        <v>24</v>
      </c>
      <c r="B1605" s="5" t="s">
        <v>5629</v>
      </c>
      <c r="C1605" s="5" t="str">
        <f>"A0093902"</f>
        <v>A0093902</v>
      </c>
      <c r="D1605" s="5" t="s">
        <v>32939</v>
      </c>
      <c r="E1605" s="5" t="s">
        <v>32940</v>
      </c>
      <c r="F1605" s="5" t="s">
        <v>13138</v>
      </c>
      <c r="G1605" s="5" t="s">
        <v>103</v>
      </c>
      <c r="H1605" s="5">
        <v>18101</v>
      </c>
      <c r="I1605" s="5" t="s">
        <v>30</v>
      </c>
      <c r="J1605" s="5" t="s">
        <v>162</v>
      </c>
      <c r="K1605" s="5" t="s">
        <v>8335</v>
      </c>
      <c r="L1605" s="5"/>
      <c r="M1605" s="5"/>
      <c r="N1605" s="5" t="s">
        <v>32941</v>
      </c>
      <c r="O1605" s="5" t="s">
        <v>32942</v>
      </c>
      <c r="P1605" s="5"/>
      <c r="Q1605" s="5">
        <v>0</v>
      </c>
      <c r="R1605" s="5">
        <v>170</v>
      </c>
      <c r="S1605" s="5">
        <v>0</v>
      </c>
      <c r="T1605" s="5" t="s">
        <v>32943</v>
      </c>
      <c r="U1605" s="5"/>
      <c r="V1605" s="5"/>
      <c r="W1605" s="5"/>
      <c r="X1605" s="5"/>
      <c r="Y1605" s="5"/>
    </row>
    <row r="1606" spans="1:25" customFormat="1" ht="15" x14ac:dyDescent="0.25">
      <c r="A1606" t="s">
        <v>24</v>
      </c>
      <c r="B1606" t="s">
        <v>976</v>
      </c>
      <c r="C1606" t="str">
        <f>"337J1"</f>
        <v>337J1</v>
      </c>
      <c r="D1606" t="s">
        <v>33036</v>
      </c>
      <c r="E1606" t="s">
        <v>33037</v>
      </c>
      <c r="F1606" t="s">
        <v>33038</v>
      </c>
      <c r="G1606" t="s">
        <v>338</v>
      </c>
      <c r="H1606">
        <v>7656</v>
      </c>
      <c r="I1606" t="s">
        <v>30</v>
      </c>
      <c r="J1606" t="s">
        <v>162</v>
      </c>
      <c r="K1606" t="s">
        <v>1490</v>
      </c>
      <c r="N1606" t="s">
        <v>33039</v>
      </c>
      <c r="O1606" t="s">
        <v>33040</v>
      </c>
      <c r="Q1606">
        <v>0</v>
      </c>
      <c r="R1606">
        <v>289</v>
      </c>
      <c r="S1606">
        <v>0</v>
      </c>
      <c r="T1606" t="s">
        <v>33041</v>
      </c>
    </row>
    <row r="1607" spans="1:25" customFormat="1" ht="15" x14ac:dyDescent="0.25">
      <c r="A1607" t="s">
        <v>24</v>
      </c>
      <c r="B1607" t="s">
        <v>7040</v>
      </c>
      <c r="C1607" t="str">
        <f>"202TI"</f>
        <v>202TI</v>
      </c>
      <c r="D1607" t="s">
        <v>7041</v>
      </c>
      <c r="E1607" t="s">
        <v>7042</v>
      </c>
      <c r="F1607" t="s">
        <v>295</v>
      </c>
      <c r="G1607" t="s">
        <v>90</v>
      </c>
      <c r="H1607">
        <v>2893</v>
      </c>
      <c r="I1607" t="s">
        <v>30</v>
      </c>
      <c r="J1607" t="s">
        <v>31</v>
      </c>
      <c r="K1607" t="s">
        <v>255</v>
      </c>
      <c r="N1607" t="s">
        <v>7043</v>
      </c>
      <c r="O1607" t="s">
        <v>7044</v>
      </c>
      <c r="Q1607">
        <v>0</v>
      </c>
      <c r="R1607">
        <v>107</v>
      </c>
      <c r="S1607">
        <v>0</v>
      </c>
      <c r="T1607" t="s">
        <v>7045</v>
      </c>
    </row>
    <row r="1608" spans="1:25" customFormat="1" ht="15" x14ac:dyDescent="0.25">
      <c r="A1608" t="s">
        <v>24</v>
      </c>
      <c r="B1608" t="s">
        <v>762</v>
      </c>
      <c r="C1608" t="str">
        <f>"A0187509"</f>
        <v>A0187509</v>
      </c>
      <c r="D1608" t="s">
        <v>7046</v>
      </c>
      <c r="E1608" t="s">
        <v>7047</v>
      </c>
      <c r="F1608" t="s">
        <v>866</v>
      </c>
      <c r="G1608" t="s">
        <v>40</v>
      </c>
      <c r="H1608">
        <v>73120</v>
      </c>
      <c r="I1608" t="s">
        <v>30</v>
      </c>
      <c r="J1608" t="s">
        <v>31</v>
      </c>
      <c r="K1608" t="s">
        <v>277</v>
      </c>
      <c r="N1608" t="s">
        <v>7048</v>
      </c>
      <c r="O1608" t="s">
        <v>7049</v>
      </c>
      <c r="Q1608">
        <v>0</v>
      </c>
      <c r="R1608">
        <v>104</v>
      </c>
      <c r="S1608">
        <v>0</v>
      </c>
      <c r="T1608" t="s">
        <v>7050</v>
      </c>
    </row>
    <row r="1609" spans="1:25" customFormat="1" ht="15" x14ac:dyDescent="0.25">
      <c r="A1609" t="s">
        <v>24</v>
      </c>
      <c r="B1609" t="s">
        <v>7051</v>
      </c>
      <c r="C1609" t="str">
        <f>"A0098849"</f>
        <v>A0098849</v>
      </c>
      <c r="D1609" t="s">
        <v>7052</v>
      </c>
      <c r="E1609" t="s">
        <v>7053</v>
      </c>
      <c r="F1609" t="s">
        <v>1003</v>
      </c>
      <c r="G1609" t="s">
        <v>81</v>
      </c>
      <c r="H1609">
        <v>33139</v>
      </c>
      <c r="I1609" t="s">
        <v>30</v>
      </c>
      <c r="J1609" t="s">
        <v>31</v>
      </c>
      <c r="K1609" t="s">
        <v>163</v>
      </c>
      <c r="N1609" t="s">
        <v>7054</v>
      </c>
      <c r="O1609" t="s">
        <v>7055</v>
      </c>
      <c r="Q1609">
        <v>0</v>
      </c>
      <c r="R1609">
        <v>69</v>
      </c>
      <c r="S1609">
        <v>0</v>
      </c>
      <c r="T1609" t="s">
        <v>7056</v>
      </c>
    </row>
    <row r="1610" spans="1:25" x14ac:dyDescent="0.25">
      <c r="A1610" s="5" t="s">
        <v>24</v>
      </c>
      <c r="B1610" s="5" t="s">
        <v>1020</v>
      </c>
      <c r="C1610" s="5" t="str">
        <f>"A0180520"</f>
        <v>A0180520</v>
      </c>
      <c r="D1610" s="5" t="s">
        <v>33217</v>
      </c>
      <c r="E1610" s="5" t="s">
        <v>33218</v>
      </c>
      <c r="F1610" s="5" t="s">
        <v>33219</v>
      </c>
      <c r="G1610" s="5" t="s">
        <v>899</v>
      </c>
      <c r="H1610" s="5">
        <v>2556</v>
      </c>
      <c r="I1610" s="5" t="s">
        <v>30</v>
      </c>
      <c r="J1610" s="5" t="s">
        <v>162</v>
      </c>
      <c r="K1610" s="5" t="s">
        <v>163</v>
      </c>
      <c r="L1610" s="5"/>
      <c r="M1610" s="5"/>
      <c r="N1610" s="5" t="s">
        <v>33220</v>
      </c>
      <c r="O1610" s="5"/>
      <c r="P1610" s="5"/>
      <c r="Q1610" s="5">
        <v>0</v>
      </c>
      <c r="R1610" s="5">
        <v>264</v>
      </c>
      <c r="S1610" s="5">
        <v>0</v>
      </c>
      <c r="T1610" s="5" t="s">
        <v>33221</v>
      </c>
      <c r="U1610" s="5"/>
      <c r="V1610" s="5"/>
      <c r="W1610" s="5"/>
      <c r="X1610" s="5"/>
      <c r="Y1610" s="5"/>
    </row>
    <row r="1611" spans="1:25" customFormat="1" ht="15" x14ac:dyDescent="0.25">
      <c r="A1611" t="s">
        <v>24</v>
      </c>
      <c r="B1611" t="s">
        <v>33392</v>
      </c>
      <c r="C1611" t="str">
        <f>"SF08624"</f>
        <v>SF08624</v>
      </c>
      <c r="D1611" t="s">
        <v>33393</v>
      </c>
      <c r="E1611" t="s">
        <v>33394</v>
      </c>
      <c r="F1611" t="s">
        <v>716</v>
      </c>
      <c r="G1611" t="s">
        <v>289</v>
      </c>
      <c r="H1611">
        <v>60607</v>
      </c>
      <c r="I1611" t="s">
        <v>30</v>
      </c>
      <c r="J1611" t="s">
        <v>162</v>
      </c>
      <c r="K1611" t="s">
        <v>854</v>
      </c>
      <c r="N1611" t="s">
        <v>33395</v>
      </c>
      <c r="O1611" t="s">
        <v>33396</v>
      </c>
      <c r="Q1611">
        <v>0</v>
      </c>
      <c r="R1611">
        <v>145</v>
      </c>
      <c r="S1611">
        <v>0</v>
      </c>
      <c r="T1611" t="s">
        <v>33397</v>
      </c>
    </row>
    <row r="1612" spans="1:25" customFormat="1" ht="15" x14ac:dyDescent="0.25">
      <c r="A1612" t="s">
        <v>35</v>
      </c>
      <c r="B1612" t="s">
        <v>7066</v>
      </c>
      <c r="C1612" t="str">
        <f>"A0190438"</f>
        <v>A0190438</v>
      </c>
      <c r="D1612" t="s">
        <v>7067</v>
      </c>
      <c r="E1612" t="s">
        <v>7068</v>
      </c>
      <c r="F1612" t="s">
        <v>1444</v>
      </c>
      <c r="G1612" t="s">
        <v>76</v>
      </c>
      <c r="H1612">
        <v>98104</v>
      </c>
      <c r="I1612" t="s">
        <v>30</v>
      </c>
      <c r="J1612" t="s">
        <v>41</v>
      </c>
      <c r="K1612" t="s">
        <v>59</v>
      </c>
      <c r="Q1612">
        <v>0</v>
      </c>
      <c r="R1612">
        <v>0</v>
      </c>
      <c r="S1612">
        <v>65</v>
      </c>
      <c r="T1612" t="s">
        <v>7069</v>
      </c>
    </row>
    <row r="1613" spans="1:25" customFormat="1" ht="15" x14ac:dyDescent="0.25">
      <c r="A1613" t="s">
        <v>35</v>
      </c>
      <c r="B1613" t="s">
        <v>401</v>
      </c>
      <c r="C1613" t="str">
        <f>"A0190437"</f>
        <v>A0190437</v>
      </c>
      <c r="D1613" t="s">
        <v>401</v>
      </c>
      <c r="E1613" t="s">
        <v>7070</v>
      </c>
      <c r="F1613" t="s">
        <v>288</v>
      </c>
      <c r="G1613" t="s">
        <v>289</v>
      </c>
      <c r="H1613">
        <v>60603</v>
      </c>
      <c r="I1613" t="s">
        <v>30</v>
      </c>
      <c r="J1613" t="s">
        <v>41</v>
      </c>
      <c r="K1613" t="s">
        <v>391</v>
      </c>
      <c r="Q1613">
        <v>0</v>
      </c>
      <c r="R1613">
        <v>0</v>
      </c>
      <c r="S1613">
        <v>0</v>
      </c>
      <c r="T1613" t="s">
        <v>1383</v>
      </c>
    </row>
    <row r="1614" spans="1:25" customFormat="1" ht="15" x14ac:dyDescent="0.25">
      <c r="A1614" t="s">
        <v>35</v>
      </c>
      <c r="B1614" t="s">
        <v>5214</v>
      </c>
      <c r="C1614" t="str">
        <f>"A0190436"</f>
        <v>A0190436</v>
      </c>
      <c r="D1614" t="s">
        <v>7071</v>
      </c>
      <c r="E1614" t="s">
        <v>7072</v>
      </c>
      <c r="F1614" t="s">
        <v>7073</v>
      </c>
      <c r="G1614" t="s">
        <v>85</v>
      </c>
      <c r="H1614">
        <v>72019</v>
      </c>
      <c r="I1614" t="s">
        <v>30</v>
      </c>
      <c r="J1614" t="s">
        <v>41</v>
      </c>
      <c r="K1614" t="s">
        <v>418</v>
      </c>
      <c r="Q1614">
        <v>0</v>
      </c>
      <c r="R1614">
        <v>0</v>
      </c>
      <c r="S1614">
        <v>45</v>
      </c>
      <c r="T1614" t="s">
        <v>7074</v>
      </c>
    </row>
    <row r="1615" spans="1:25" customFormat="1" ht="15" x14ac:dyDescent="0.25">
      <c r="A1615" t="s">
        <v>35</v>
      </c>
      <c r="B1615" t="s">
        <v>1777</v>
      </c>
      <c r="C1615" t="str">
        <f>"A0190435"</f>
        <v>A0190435</v>
      </c>
      <c r="D1615" t="s">
        <v>7075</v>
      </c>
      <c r="E1615" t="s">
        <v>7076</v>
      </c>
      <c r="F1615" t="s">
        <v>7077</v>
      </c>
      <c r="G1615" t="s">
        <v>81</v>
      </c>
      <c r="H1615">
        <v>33414</v>
      </c>
      <c r="I1615" t="s">
        <v>30</v>
      </c>
      <c r="J1615" t="s">
        <v>41</v>
      </c>
      <c r="K1615" t="s">
        <v>1440</v>
      </c>
      <c r="Q1615">
        <v>0</v>
      </c>
      <c r="R1615">
        <v>0</v>
      </c>
      <c r="S1615">
        <v>124</v>
      </c>
      <c r="T1615" t="s">
        <v>7078</v>
      </c>
    </row>
    <row r="1616" spans="1:25" customFormat="1" ht="15" x14ac:dyDescent="0.25">
      <c r="A1616" t="s">
        <v>35</v>
      </c>
      <c r="B1616" t="s">
        <v>1777</v>
      </c>
      <c r="C1616" t="str">
        <f>"A0190434"</f>
        <v>A0190434</v>
      </c>
      <c r="D1616" t="s">
        <v>7079</v>
      </c>
      <c r="E1616" t="s">
        <v>7080</v>
      </c>
      <c r="F1616" t="s">
        <v>1501</v>
      </c>
      <c r="G1616" t="s">
        <v>880</v>
      </c>
      <c r="H1616">
        <v>38119</v>
      </c>
      <c r="I1616" t="s">
        <v>30</v>
      </c>
      <c r="J1616" t="s">
        <v>41</v>
      </c>
      <c r="K1616" t="s">
        <v>1440</v>
      </c>
      <c r="Q1616">
        <v>0</v>
      </c>
      <c r="R1616">
        <v>0</v>
      </c>
      <c r="S1616">
        <v>180</v>
      </c>
      <c r="T1616" t="s">
        <v>72</v>
      </c>
    </row>
    <row r="1617" spans="1:20" customFormat="1" ht="15" x14ac:dyDescent="0.25">
      <c r="A1617" t="s">
        <v>35</v>
      </c>
      <c r="B1617" t="s">
        <v>1777</v>
      </c>
      <c r="C1617" t="str">
        <f>"A0190433"</f>
        <v>A0190433</v>
      </c>
      <c r="D1617" t="s">
        <v>7081</v>
      </c>
      <c r="E1617" t="s">
        <v>7082</v>
      </c>
      <c r="F1617" t="s">
        <v>1926</v>
      </c>
      <c r="G1617" t="s">
        <v>214</v>
      </c>
      <c r="H1617">
        <v>28210</v>
      </c>
      <c r="I1617" t="s">
        <v>30</v>
      </c>
      <c r="J1617" t="s">
        <v>41</v>
      </c>
      <c r="K1617" t="s">
        <v>1440</v>
      </c>
      <c r="Q1617">
        <v>0</v>
      </c>
      <c r="R1617">
        <v>0</v>
      </c>
      <c r="S1617">
        <v>136</v>
      </c>
      <c r="T1617" t="s">
        <v>7083</v>
      </c>
    </row>
    <row r="1618" spans="1:20" customFormat="1" ht="15" x14ac:dyDescent="0.25">
      <c r="A1618" t="s">
        <v>35</v>
      </c>
      <c r="B1618" t="s">
        <v>1777</v>
      </c>
      <c r="C1618" t="str">
        <f>"A0190432"</f>
        <v>A0190432</v>
      </c>
      <c r="D1618" t="s">
        <v>7084</v>
      </c>
      <c r="E1618" t="s">
        <v>7085</v>
      </c>
      <c r="F1618" t="s">
        <v>7086</v>
      </c>
      <c r="G1618" t="s">
        <v>214</v>
      </c>
      <c r="H1618">
        <v>28374</v>
      </c>
      <c r="I1618" t="s">
        <v>30</v>
      </c>
      <c r="J1618" t="s">
        <v>41</v>
      </c>
      <c r="K1618" t="s">
        <v>1440</v>
      </c>
      <c r="Q1618">
        <v>0</v>
      </c>
      <c r="R1618">
        <v>0</v>
      </c>
      <c r="S1618">
        <v>60</v>
      </c>
      <c r="T1618" t="s">
        <v>7087</v>
      </c>
    </row>
    <row r="1619" spans="1:20" customFormat="1" ht="15" x14ac:dyDescent="0.25">
      <c r="A1619" t="s">
        <v>35</v>
      </c>
      <c r="B1619" t="s">
        <v>1777</v>
      </c>
      <c r="C1619" t="str">
        <f>"A0190431"</f>
        <v>A0190431</v>
      </c>
      <c r="D1619" t="s">
        <v>7088</v>
      </c>
      <c r="E1619" t="s">
        <v>7089</v>
      </c>
      <c r="F1619" t="s">
        <v>510</v>
      </c>
      <c r="G1619" t="s">
        <v>58</v>
      </c>
      <c r="H1619">
        <v>29403</v>
      </c>
      <c r="I1619" t="s">
        <v>30</v>
      </c>
      <c r="J1619" t="s">
        <v>41</v>
      </c>
      <c r="K1619" t="s">
        <v>1440</v>
      </c>
      <c r="Q1619">
        <v>0</v>
      </c>
      <c r="R1619">
        <v>0</v>
      </c>
      <c r="S1619">
        <v>92</v>
      </c>
      <c r="T1619" t="s">
        <v>72</v>
      </c>
    </row>
    <row r="1620" spans="1:20" customFormat="1" ht="15" x14ac:dyDescent="0.25">
      <c r="A1620" t="s">
        <v>35</v>
      </c>
      <c r="B1620" t="s">
        <v>1777</v>
      </c>
      <c r="C1620" t="str">
        <f>"A0190430"</f>
        <v>A0190430</v>
      </c>
      <c r="D1620" t="s">
        <v>7090</v>
      </c>
      <c r="E1620" t="s">
        <v>7091</v>
      </c>
      <c r="F1620" t="s">
        <v>472</v>
      </c>
      <c r="G1620" t="s">
        <v>214</v>
      </c>
      <c r="H1620">
        <v>27608</v>
      </c>
      <c r="I1620" t="s">
        <v>30</v>
      </c>
      <c r="J1620" t="s">
        <v>41</v>
      </c>
      <c r="K1620" t="s">
        <v>1440</v>
      </c>
      <c r="Q1620">
        <v>0</v>
      </c>
      <c r="R1620">
        <v>0</v>
      </c>
      <c r="S1620">
        <v>169</v>
      </c>
      <c r="T1620" t="s">
        <v>7092</v>
      </c>
    </row>
    <row r="1621" spans="1:20" customFormat="1" ht="15" x14ac:dyDescent="0.25">
      <c r="A1621" t="s">
        <v>35</v>
      </c>
      <c r="B1621" t="s">
        <v>1777</v>
      </c>
      <c r="C1621" t="str">
        <f>"A0190429"</f>
        <v>A0190429</v>
      </c>
      <c r="D1621" t="s">
        <v>7093</v>
      </c>
      <c r="E1621" t="s">
        <v>7094</v>
      </c>
      <c r="F1621" t="s">
        <v>7095</v>
      </c>
      <c r="G1621" t="s">
        <v>1170</v>
      </c>
      <c r="H1621">
        <v>70118</v>
      </c>
      <c r="I1621" t="s">
        <v>30</v>
      </c>
      <c r="J1621" t="s">
        <v>41</v>
      </c>
      <c r="K1621" t="s">
        <v>1440</v>
      </c>
      <c r="Q1621">
        <v>0</v>
      </c>
      <c r="R1621">
        <v>0</v>
      </c>
      <c r="S1621">
        <v>93</v>
      </c>
      <c r="T1621" t="s">
        <v>72</v>
      </c>
    </row>
    <row r="1622" spans="1:20" customFormat="1" ht="15" x14ac:dyDescent="0.25">
      <c r="A1622" t="s">
        <v>35</v>
      </c>
      <c r="B1622" t="s">
        <v>1777</v>
      </c>
      <c r="C1622" t="str">
        <f>"A0190428"</f>
        <v>A0190428</v>
      </c>
      <c r="D1622" t="s">
        <v>7096</v>
      </c>
      <c r="E1622" t="s">
        <v>7097</v>
      </c>
      <c r="F1622" t="s">
        <v>1701</v>
      </c>
      <c r="G1622" t="s">
        <v>58</v>
      </c>
      <c r="H1622">
        <v>29577</v>
      </c>
      <c r="I1622" t="s">
        <v>30</v>
      </c>
      <c r="J1622" t="s">
        <v>41</v>
      </c>
      <c r="K1622" t="s">
        <v>59</v>
      </c>
      <c r="Q1622">
        <v>0</v>
      </c>
      <c r="R1622">
        <v>0</v>
      </c>
      <c r="S1622">
        <v>0</v>
      </c>
      <c r="T1622" t="s">
        <v>7098</v>
      </c>
    </row>
    <row r="1623" spans="1:20" customFormat="1" ht="15" x14ac:dyDescent="0.25">
      <c r="A1623" t="s">
        <v>35</v>
      </c>
      <c r="B1623" t="s">
        <v>1777</v>
      </c>
      <c r="C1623" t="str">
        <f>"A0190427"</f>
        <v>A0190427</v>
      </c>
      <c r="D1623" t="s">
        <v>7099</v>
      </c>
      <c r="E1623" t="s">
        <v>7100</v>
      </c>
      <c r="F1623" t="s">
        <v>3327</v>
      </c>
      <c r="G1623" t="s">
        <v>214</v>
      </c>
      <c r="H1623">
        <v>28403</v>
      </c>
      <c r="I1623" t="s">
        <v>30</v>
      </c>
      <c r="J1623" t="s">
        <v>41</v>
      </c>
      <c r="K1623" t="s">
        <v>229</v>
      </c>
      <c r="Q1623">
        <v>0</v>
      </c>
      <c r="R1623">
        <v>0</v>
      </c>
      <c r="S1623">
        <v>30</v>
      </c>
      <c r="T1623" t="s">
        <v>7101</v>
      </c>
    </row>
    <row r="1624" spans="1:20" customFormat="1" ht="15" x14ac:dyDescent="0.25">
      <c r="A1624" t="s">
        <v>35</v>
      </c>
      <c r="B1624" t="s">
        <v>61</v>
      </c>
      <c r="C1624" t="str">
        <f>"A0190426"</f>
        <v>A0190426</v>
      </c>
      <c r="D1624" t="s">
        <v>7102</v>
      </c>
      <c r="E1624" t="s">
        <v>7103</v>
      </c>
      <c r="F1624" t="s">
        <v>7104</v>
      </c>
      <c r="G1624" t="s">
        <v>381</v>
      </c>
      <c r="H1624">
        <v>46634</v>
      </c>
      <c r="I1624" t="s">
        <v>30</v>
      </c>
      <c r="J1624" t="s">
        <v>41</v>
      </c>
      <c r="K1624" t="s">
        <v>2760</v>
      </c>
      <c r="Q1624">
        <v>0</v>
      </c>
      <c r="R1624">
        <v>0</v>
      </c>
      <c r="S1624">
        <v>0</v>
      </c>
      <c r="T1624" t="s">
        <v>7105</v>
      </c>
    </row>
    <row r="1625" spans="1:20" customFormat="1" ht="15" x14ac:dyDescent="0.25">
      <c r="A1625" t="s">
        <v>35</v>
      </c>
      <c r="B1625" t="s">
        <v>61</v>
      </c>
      <c r="C1625" t="str">
        <f>"A0190424"</f>
        <v>A0190424</v>
      </c>
      <c r="D1625" t="s">
        <v>7106</v>
      </c>
      <c r="E1625" t="s">
        <v>7107</v>
      </c>
      <c r="F1625" t="s">
        <v>7108</v>
      </c>
      <c r="G1625" t="s">
        <v>153</v>
      </c>
      <c r="H1625">
        <v>84310</v>
      </c>
      <c r="I1625" t="s">
        <v>30</v>
      </c>
      <c r="J1625" t="s">
        <v>41</v>
      </c>
      <c r="K1625" t="s">
        <v>59</v>
      </c>
      <c r="Q1625">
        <v>0</v>
      </c>
      <c r="R1625">
        <v>0</v>
      </c>
      <c r="S1625">
        <v>30</v>
      </c>
      <c r="T1625" t="s">
        <v>7109</v>
      </c>
    </row>
    <row r="1626" spans="1:20" customFormat="1" ht="15" x14ac:dyDescent="0.25">
      <c r="A1626" t="s">
        <v>35</v>
      </c>
      <c r="B1626" t="s">
        <v>106</v>
      </c>
      <c r="C1626" t="str">
        <f>"A0190423"</f>
        <v>A0190423</v>
      </c>
      <c r="D1626" t="s">
        <v>7110</v>
      </c>
      <c r="E1626" t="s">
        <v>7111</v>
      </c>
      <c r="F1626" t="s">
        <v>7112</v>
      </c>
      <c r="G1626" t="s">
        <v>899</v>
      </c>
      <c r="H1626">
        <v>2138</v>
      </c>
      <c r="I1626" t="s">
        <v>30</v>
      </c>
      <c r="J1626" t="s">
        <v>111</v>
      </c>
      <c r="K1626" t="s">
        <v>112</v>
      </c>
      <c r="Q1626">
        <v>0</v>
      </c>
      <c r="R1626">
        <v>0</v>
      </c>
      <c r="S1626">
        <v>0</v>
      </c>
      <c r="T1626" t="s">
        <v>7113</v>
      </c>
    </row>
    <row r="1627" spans="1:20" customFormat="1" ht="15" x14ac:dyDescent="0.25">
      <c r="A1627" t="s">
        <v>35</v>
      </c>
      <c r="B1627" t="s">
        <v>106</v>
      </c>
      <c r="C1627" t="str">
        <f>"A0190422"</f>
        <v>A0190422</v>
      </c>
      <c r="D1627" t="s">
        <v>7114</v>
      </c>
      <c r="E1627" t="s">
        <v>7115</v>
      </c>
      <c r="F1627" t="s">
        <v>7116</v>
      </c>
      <c r="G1627" t="s">
        <v>899</v>
      </c>
      <c r="H1627">
        <v>2134</v>
      </c>
      <c r="I1627" t="s">
        <v>30</v>
      </c>
      <c r="J1627" t="s">
        <v>111</v>
      </c>
      <c r="K1627" t="s">
        <v>112</v>
      </c>
      <c r="Q1627">
        <v>0</v>
      </c>
      <c r="R1627">
        <v>0</v>
      </c>
      <c r="S1627">
        <v>0</v>
      </c>
      <c r="T1627" t="s">
        <v>7117</v>
      </c>
    </row>
    <row r="1628" spans="1:20" customFormat="1" ht="15" x14ac:dyDescent="0.25">
      <c r="A1628" t="s">
        <v>35</v>
      </c>
      <c r="B1628" t="s">
        <v>106</v>
      </c>
      <c r="C1628" t="str">
        <f>"A0190421"</f>
        <v>A0190421</v>
      </c>
      <c r="D1628" t="s">
        <v>7118</v>
      </c>
      <c r="E1628" t="s">
        <v>7119</v>
      </c>
      <c r="F1628" t="s">
        <v>7112</v>
      </c>
      <c r="G1628" t="s">
        <v>899</v>
      </c>
      <c r="H1628">
        <v>2138</v>
      </c>
      <c r="I1628" t="s">
        <v>30</v>
      </c>
      <c r="J1628" t="s">
        <v>111</v>
      </c>
      <c r="K1628" t="s">
        <v>112</v>
      </c>
      <c r="Q1628">
        <v>0</v>
      </c>
      <c r="R1628">
        <v>0</v>
      </c>
      <c r="S1628">
        <v>0</v>
      </c>
      <c r="T1628" t="s">
        <v>7117</v>
      </c>
    </row>
    <row r="1629" spans="1:20" customFormat="1" ht="15" x14ac:dyDescent="0.25">
      <c r="A1629" t="s">
        <v>35</v>
      </c>
      <c r="B1629" t="s">
        <v>106</v>
      </c>
      <c r="C1629" t="str">
        <f>"A0190420"</f>
        <v>A0190420</v>
      </c>
      <c r="D1629" t="s">
        <v>7120</v>
      </c>
      <c r="E1629" t="s">
        <v>7121</v>
      </c>
      <c r="F1629" t="s">
        <v>7112</v>
      </c>
      <c r="G1629" t="s">
        <v>899</v>
      </c>
      <c r="H1629">
        <v>2138</v>
      </c>
      <c r="I1629" t="s">
        <v>30</v>
      </c>
      <c r="J1629" t="s">
        <v>111</v>
      </c>
      <c r="K1629" t="s">
        <v>112</v>
      </c>
      <c r="Q1629">
        <v>0</v>
      </c>
      <c r="R1629">
        <v>0</v>
      </c>
      <c r="S1629">
        <v>0</v>
      </c>
      <c r="T1629" t="s">
        <v>7117</v>
      </c>
    </row>
    <row r="1630" spans="1:20" customFormat="1" ht="15" x14ac:dyDescent="0.25">
      <c r="A1630" t="s">
        <v>35</v>
      </c>
      <c r="B1630" t="s">
        <v>119</v>
      </c>
      <c r="C1630" t="str">
        <f>"A0190419"</f>
        <v>A0190419</v>
      </c>
      <c r="D1630" t="s">
        <v>7122</v>
      </c>
      <c r="E1630" t="s">
        <v>7123</v>
      </c>
      <c r="F1630" t="s">
        <v>3661</v>
      </c>
      <c r="G1630" t="s">
        <v>65</v>
      </c>
      <c r="H1630">
        <v>45244</v>
      </c>
      <c r="I1630" t="s">
        <v>30</v>
      </c>
      <c r="J1630" t="s">
        <v>41</v>
      </c>
      <c r="K1630" t="s">
        <v>59</v>
      </c>
      <c r="Q1630">
        <v>0</v>
      </c>
      <c r="R1630">
        <v>0</v>
      </c>
      <c r="S1630">
        <v>127</v>
      </c>
      <c r="T1630" t="s">
        <v>126</v>
      </c>
    </row>
    <row r="1631" spans="1:20" customFormat="1" ht="15" x14ac:dyDescent="0.25">
      <c r="A1631" t="s">
        <v>35</v>
      </c>
      <c r="B1631" t="s">
        <v>6272</v>
      </c>
      <c r="C1631" t="str">
        <f>"A0190418"</f>
        <v>A0190418</v>
      </c>
      <c r="D1631" t="s">
        <v>7124</v>
      </c>
      <c r="E1631" t="s">
        <v>7125</v>
      </c>
      <c r="F1631" t="s">
        <v>7126</v>
      </c>
      <c r="G1631" t="s">
        <v>110</v>
      </c>
      <c r="H1631">
        <v>91773</v>
      </c>
      <c r="I1631" t="s">
        <v>30</v>
      </c>
      <c r="J1631" t="s">
        <v>41</v>
      </c>
      <c r="K1631" t="s">
        <v>482</v>
      </c>
      <c r="Q1631">
        <v>0</v>
      </c>
      <c r="R1631">
        <v>0</v>
      </c>
      <c r="S1631">
        <v>62</v>
      </c>
      <c r="T1631" t="s">
        <v>7127</v>
      </c>
    </row>
    <row r="1632" spans="1:20" customFormat="1" ht="15" x14ac:dyDescent="0.25">
      <c r="A1632" t="s">
        <v>35</v>
      </c>
      <c r="B1632" t="s">
        <v>2778</v>
      </c>
      <c r="C1632" t="str">
        <f>"A0190417"</f>
        <v>A0190417</v>
      </c>
      <c r="D1632" t="s">
        <v>7128</v>
      </c>
      <c r="E1632" t="s">
        <v>7129</v>
      </c>
      <c r="F1632" t="s">
        <v>7130</v>
      </c>
      <c r="G1632" t="s">
        <v>58</v>
      </c>
      <c r="H1632">
        <v>29620</v>
      </c>
      <c r="I1632" t="s">
        <v>30</v>
      </c>
      <c r="J1632" t="s">
        <v>41</v>
      </c>
      <c r="K1632" t="s">
        <v>2477</v>
      </c>
      <c r="Q1632">
        <v>0</v>
      </c>
      <c r="R1632">
        <v>0</v>
      </c>
      <c r="S1632">
        <v>0</v>
      </c>
      <c r="T1632" t="s">
        <v>72</v>
      </c>
    </row>
    <row r="1633" spans="1:20" customFormat="1" ht="15" x14ac:dyDescent="0.25">
      <c r="A1633" t="s">
        <v>35</v>
      </c>
      <c r="B1633" t="s">
        <v>2778</v>
      </c>
      <c r="C1633" t="str">
        <f>"A0190416"</f>
        <v>A0190416</v>
      </c>
      <c r="D1633" t="s">
        <v>7131</v>
      </c>
      <c r="E1633" t="s">
        <v>7132</v>
      </c>
      <c r="F1633" t="s">
        <v>7133</v>
      </c>
      <c r="G1633" t="s">
        <v>58</v>
      </c>
      <c r="H1633">
        <v>29841</v>
      </c>
      <c r="I1633" t="s">
        <v>30</v>
      </c>
      <c r="J1633" t="s">
        <v>41</v>
      </c>
      <c r="K1633" t="s">
        <v>2477</v>
      </c>
      <c r="Q1633">
        <v>0</v>
      </c>
      <c r="R1633">
        <v>0</v>
      </c>
      <c r="S1633">
        <v>0</v>
      </c>
      <c r="T1633" t="s">
        <v>7134</v>
      </c>
    </row>
    <row r="1634" spans="1:20" customFormat="1" ht="15" x14ac:dyDescent="0.25">
      <c r="A1634" t="s">
        <v>24</v>
      </c>
      <c r="B1634" t="s">
        <v>140</v>
      </c>
      <c r="C1634" t="str">
        <f>"A0068193"</f>
        <v>A0068193</v>
      </c>
      <c r="D1634" t="s">
        <v>7135</v>
      </c>
      <c r="E1634" t="s">
        <v>7136</v>
      </c>
      <c r="F1634" t="s">
        <v>1420</v>
      </c>
      <c r="G1634" t="s">
        <v>880</v>
      </c>
      <c r="H1634">
        <v>37203</v>
      </c>
      <c r="I1634" t="s">
        <v>30</v>
      </c>
      <c r="J1634" t="s">
        <v>31</v>
      </c>
      <c r="K1634" t="s">
        <v>198</v>
      </c>
      <c r="N1634" t="s">
        <v>7137</v>
      </c>
      <c r="O1634" t="s">
        <v>7138</v>
      </c>
      <c r="Q1634">
        <v>0</v>
      </c>
      <c r="R1634">
        <v>157</v>
      </c>
      <c r="S1634">
        <v>0</v>
      </c>
      <c r="T1634" t="s">
        <v>7139</v>
      </c>
    </row>
    <row r="1635" spans="1:20" customFormat="1" ht="15" x14ac:dyDescent="0.25">
      <c r="A1635" t="s">
        <v>24</v>
      </c>
      <c r="B1635" t="s">
        <v>140</v>
      </c>
      <c r="C1635" t="str">
        <f>"A0058976"</f>
        <v>A0058976</v>
      </c>
      <c r="D1635" t="s">
        <v>7140</v>
      </c>
      <c r="E1635" t="s">
        <v>7141</v>
      </c>
      <c r="F1635" t="s">
        <v>2971</v>
      </c>
      <c r="G1635" t="s">
        <v>880</v>
      </c>
      <c r="H1635">
        <v>37203</v>
      </c>
      <c r="I1635" t="s">
        <v>30</v>
      </c>
      <c r="J1635" t="s">
        <v>31</v>
      </c>
      <c r="K1635" t="s">
        <v>198</v>
      </c>
      <c r="N1635" t="s">
        <v>7142</v>
      </c>
      <c r="O1635" t="s">
        <v>7143</v>
      </c>
      <c r="Q1635">
        <v>0</v>
      </c>
      <c r="R1635">
        <v>171</v>
      </c>
      <c r="S1635">
        <v>0</v>
      </c>
      <c r="T1635" t="s">
        <v>7144</v>
      </c>
    </row>
    <row r="1636" spans="1:20" customFormat="1" ht="15" x14ac:dyDescent="0.25">
      <c r="A1636" t="s">
        <v>24</v>
      </c>
      <c r="B1636" t="s">
        <v>7145</v>
      </c>
      <c r="C1636" t="str">
        <f>"A0189911"</f>
        <v>A0189911</v>
      </c>
      <c r="D1636" t="s">
        <v>7146</v>
      </c>
      <c r="E1636" t="s">
        <v>7147</v>
      </c>
      <c r="F1636" t="s">
        <v>7148</v>
      </c>
      <c r="G1636" t="s">
        <v>925</v>
      </c>
      <c r="H1636">
        <v>66441</v>
      </c>
      <c r="I1636" t="s">
        <v>30</v>
      </c>
      <c r="J1636" t="s">
        <v>31</v>
      </c>
      <c r="K1636" t="s">
        <v>198</v>
      </c>
      <c r="N1636" t="s">
        <v>7149</v>
      </c>
      <c r="Q1636">
        <v>0</v>
      </c>
      <c r="R1636">
        <v>82</v>
      </c>
      <c r="S1636">
        <v>0</v>
      </c>
      <c r="T1636" t="s">
        <v>7150</v>
      </c>
    </row>
    <row r="1637" spans="1:20" customFormat="1" ht="15" x14ac:dyDescent="0.25">
      <c r="A1637" t="s">
        <v>24</v>
      </c>
      <c r="B1637" t="s">
        <v>33426</v>
      </c>
      <c r="C1637" t="str">
        <f>"A0085954"</f>
        <v>A0085954</v>
      </c>
      <c r="D1637" t="s">
        <v>33427</v>
      </c>
      <c r="E1637" t="s">
        <v>33428</v>
      </c>
      <c r="F1637" t="s">
        <v>1564</v>
      </c>
      <c r="G1637" t="s">
        <v>52</v>
      </c>
      <c r="H1637">
        <v>77027</v>
      </c>
      <c r="I1637" t="s">
        <v>30</v>
      </c>
      <c r="J1637" t="s">
        <v>162</v>
      </c>
      <c r="K1637" t="s">
        <v>1502</v>
      </c>
      <c r="Q1637">
        <v>0</v>
      </c>
      <c r="R1637">
        <v>283</v>
      </c>
      <c r="S1637">
        <v>0</v>
      </c>
      <c r="T1637" t="s">
        <v>33429</v>
      </c>
    </row>
    <row r="1638" spans="1:20" customFormat="1" ht="15" x14ac:dyDescent="0.25">
      <c r="A1638" t="s">
        <v>24</v>
      </c>
      <c r="B1638" t="s">
        <v>4400</v>
      </c>
      <c r="C1638" t="str">
        <f>"A0180468"</f>
        <v>A0180468</v>
      </c>
      <c r="D1638" t="s">
        <v>33430</v>
      </c>
      <c r="E1638" t="s">
        <v>33431</v>
      </c>
      <c r="F1638" t="s">
        <v>33432</v>
      </c>
      <c r="G1638" t="s">
        <v>117</v>
      </c>
      <c r="H1638">
        <v>48823</v>
      </c>
      <c r="I1638" t="s">
        <v>30</v>
      </c>
      <c r="J1638" t="s">
        <v>162</v>
      </c>
      <c r="K1638" t="s">
        <v>33433</v>
      </c>
      <c r="N1638" t="s">
        <v>33434</v>
      </c>
      <c r="O1638" t="s">
        <v>33435</v>
      </c>
      <c r="Q1638">
        <v>0</v>
      </c>
      <c r="R1638">
        <v>194</v>
      </c>
      <c r="S1638">
        <v>0</v>
      </c>
      <c r="T1638" t="s">
        <v>33436</v>
      </c>
    </row>
    <row r="1639" spans="1:20" customFormat="1" ht="15" x14ac:dyDescent="0.25">
      <c r="A1639" t="s">
        <v>24</v>
      </c>
      <c r="B1639" t="s">
        <v>4855</v>
      </c>
      <c r="C1639" t="str">
        <f>"A0180466"</f>
        <v>A0180466</v>
      </c>
      <c r="D1639" t="s">
        <v>33442</v>
      </c>
      <c r="E1639" t="s">
        <v>33443</v>
      </c>
      <c r="F1639" t="s">
        <v>8319</v>
      </c>
      <c r="G1639" t="s">
        <v>110</v>
      </c>
      <c r="H1639">
        <v>92840</v>
      </c>
      <c r="I1639" t="s">
        <v>30</v>
      </c>
      <c r="J1639" t="s">
        <v>162</v>
      </c>
      <c r="K1639" t="s">
        <v>266</v>
      </c>
      <c r="N1639" t="s">
        <v>33444</v>
      </c>
      <c r="Q1639">
        <v>0</v>
      </c>
      <c r="R1639">
        <v>375</v>
      </c>
      <c r="S1639">
        <v>0</v>
      </c>
      <c r="T1639" t="s">
        <v>33445</v>
      </c>
    </row>
    <row r="1640" spans="1:20" customFormat="1" ht="15" x14ac:dyDescent="0.25">
      <c r="A1640" t="s">
        <v>24</v>
      </c>
      <c r="B1640" t="s">
        <v>7170</v>
      </c>
      <c r="C1640" t="str">
        <f>"A0190296"</f>
        <v>A0190296</v>
      </c>
      <c r="D1640" t="s">
        <v>7171</v>
      </c>
      <c r="E1640" t="s">
        <v>7172</v>
      </c>
      <c r="F1640" t="s">
        <v>2900</v>
      </c>
      <c r="G1640" t="s">
        <v>76</v>
      </c>
      <c r="H1640">
        <v>98109</v>
      </c>
      <c r="I1640" t="s">
        <v>30</v>
      </c>
      <c r="J1640" t="s">
        <v>2272</v>
      </c>
      <c r="K1640" t="s">
        <v>163</v>
      </c>
      <c r="N1640" t="s">
        <v>7173</v>
      </c>
      <c r="Q1640">
        <v>0</v>
      </c>
      <c r="R1640">
        <v>1097</v>
      </c>
      <c r="S1640">
        <v>0</v>
      </c>
      <c r="T1640" t="s">
        <v>7174</v>
      </c>
    </row>
    <row r="1641" spans="1:20" customFormat="1" ht="15" x14ac:dyDescent="0.25">
      <c r="A1641" t="s">
        <v>24</v>
      </c>
      <c r="B1641" t="s">
        <v>7170</v>
      </c>
      <c r="C1641" t="str">
        <f>"A0190295"</f>
        <v>A0190295</v>
      </c>
      <c r="D1641" t="s">
        <v>7175</v>
      </c>
      <c r="E1641" t="s">
        <v>7176</v>
      </c>
      <c r="F1641" t="s">
        <v>1519</v>
      </c>
      <c r="G1641" t="s">
        <v>110</v>
      </c>
      <c r="H1641">
        <v>90015</v>
      </c>
      <c r="I1641" t="s">
        <v>30</v>
      </c>
      <c r="J1641" t="s">
        <v>2272</v>
      </c>
      <c r="K1641" t="s">
        <v>163</v>
      </c>
      <c r="N1641" t="s">
        <v>7173</v>
      </c>
      <c r="Q1641">
        <v>0</v>
      </c>
      <c r="R1641">
        <v>666</v>
      </c>
      <c r="S1641">
        <v>0</v>
      </c>
      <c r="T1641" t="s">
        <v>7177</v>
      </c>
    </row>
    <row r="1642" spans="1:20" customFormat="1" ht="15" x14ac:dyDescent="0.25">
      <c r="A1642" t="s">
        <v>24</v>
      </c>
      <c r="B1642" t="s">
        <v>7170</v>
      </c>
      <c r="C1642" t="str">
        <f>"A0190294"</f>
        <v>A0190294</v>
      </c>
      <c r="D1642" t="s">
        <v>7178</v>
      </c>
      <c r="E1642" t="s">
        <v>7179</v>
      </c>
      <c r="F1642" t="s">
        <v>1519</v>
      </c>
      <c r="G1642" t="s">
        <v>110</v>
      </c>
      <c r="H1642">
        <v>90014</v>
      </c>
      <c r="I1642" t="s">
        <v>30</v>
      </c>
      <c r="J1642" t="s">
        <v>2272</v>
      </c>
      <c r="K1642" t="s">
        <v>163</v>
      </c>
      <c r="N1642" t="s">
        <v>7173</v>
      </c>
      <c r="Q1642">
        <v>0</v>
      </c>
      <c r="R1642">
        <v>698</v>
      </c>
      <c r="S1642">
        <v>0</v>
      </c>
      <c r="T1642" t="s">
        <v>7180</v>
      </c>
    </row>
    <row r="1643" spans="1:20" customFormat="1" ht="15" x14ac:dyDescent="0.25">
      <c r="A1643" t="s">
        <v>24</v>
      </c>
      <c r="B1643" t="s">
        <v>7170</v>
      </c>
      <c r="C1643" t="str">
        <f>"A0190292"</f>
        <v>A0190292</v>
      </c>
      <c r="D1643" t="s">
        <v>7181</v>
      </c>
      <c r="E1643" t="s">
        <v>7182</v>
      </c>
      <c r="F1643" t="s">
        <v>716</v>
      </c>
      <c r="G1643" t="s">
        <v>289</v>
      </c>
      <c r="H1643">
        <v>60610</v>
      </c>
      <c r="I1643" t="s">
        <v>30</v>
      </c>
      <c r="J1643" t="s">
        <v>2272</v>
      </c>
      <c r="K1643" t="s">
        <v>163</v>
      </c>
      <c r="N1643" t="s">
        <v>7173</v>
      </c>
      <c r="Q1643">
        <v>0</v>
      </c>
      <c r="R1643">
        <v>456</v>
      </c>
      <c r="S1643">
        <v>0</v>
      </c>
      <c r="T1643" t="s">
        <v>7183</v>
      </c>
    </row>
    <row r="1644" spans="1:20" customFormat="1" ht="15" x14ac:dyDescent="0.25">
      <c r="A1644" t="s">
        <v>24</v>
      </c>
      <c r="B1644" t="s">
        <v>7170</v>
      </c>
      <c r="C1644" t="str">
        <f>"A0190291"</f>
        <v>A0190291</v>
      </c>
      <c r="D1644" t="s">
        <v>7184</v>
      </c>
      <c r="E1644" t="s">
        <v>7185</v>
      </c>
      <c r="F1644" t="s">
        <v>716</v>
      </c>
      <c r="G1644" t="s">
        <v>289</v>
      </c>
      <c r="H1644">
        <v>60610</v>
      </c>
      <c r="I1644" t="s">
        <v>30</v>
      </c>
      <c r="J1644" t="s">
        <v>2272</v>
      </c>
      <c r="K1644" t="s">
        <v>163</v>
      </c>
      <c r="N1644" t="s">
        <v>7173</v>
      </c>
      <c r="Q1644">
        <v>0</v>
      </c>
      <c r="R1644">
        <v>428</v>
      </c>
      <c r="S1644">
        <v>0</v>
      </c>
      <c r="T1644" t="s">
        <v>7183</v>
      </c>
    </row>
    <row r="1645" spans="1:20" customFormat="1" ht="15" x14ac:dyDescent="0.25">
      <c r="A1645" t="s">
        <v>24</v>
      </c>
      <c r="B1645" t="s">
        <v>7170</v>
      </c>
      <c r="C1645" t="str">
        <f>"A0190289"</f>
        <v>A0190289</v>
      </c>
      <c r="D1645" t="s">
        <v>7186</v>
      </c>
      <c r="E1645" t="s">
        <v>7187</v>
      </c>
      <c r="F1645" t="s">
        <v>716</v>
      </c>
      <c r="G1645" t="s">
        <v>289</v>
      </c>
      <c r="H1645">
        <v>60610</v>
      </c>
      <c r="I1645" t="s">
        <v>30</v>
      </c>
      <c r="J1645" t="s">
        <v>2272</v>
      </c>
      <c r="K1645" t="s">
        <v>163</v>
      </c>
      <c r="N1645" t="s">
        <v>7173</v>
      </c>
      <c r="Q1645">
        <v>0</v>
      </c>
      <c r="R1645">
        <v>370</v>
      </c>
      <c r="S1645">
        <v>0</v>
      </c>
      <c r="T1645" t="s">
        <v>7183</v>
      </c>
    </row>
    <row r="1646" spans="1:20" customFormat="1" ht="15" x14ac:dyDescent="0.25">
      <c r="A1646" t="s">
        <v>24</v>
      </c>
      <c r="B1646" t="s">
        <v>7170</v>
      </c>
      <c r="C1646" t="str">
        <f>"A0190288"</f>
        <v>A0190288</v>
      </c>
      <c r="D1646" t="s">
        <v>7188</v>
      </c>
      <c r="E1646" t="s">
        <v>7189</v>
      </c>
      <c r="F1646" t="s">
        <v>716</v>
      </c>
      <c r="G1646" t="s">
        <v>289</v>
      </c>
      <c r="H1646">
        <v>60654</v>
      </c>
      <c r="I1646" t="s">
        <v>30</v>
      </c>
      <c r="J1646" t="s">
        <v>2272</v>
      </c>
      <c r="K1646" t="s">
        <v>163</v>
      </c>
      <c r="N1646" t="s">
        <v>7173</v>
      </c>
      <c r="Q1646">
        <v>0</v>
      </c>
      <c r="R1646">
        <v>240</v>
      </c>
      <c r="S1646">
        <v>0</v>
      </c>
      <c r="T1646" t="s">
        <v>7190</v>
      </c>
    </row>
    <row r="1647" spans="1:20" customFormat="1" ht="15" x14ac:dyDescent="0.25">
      <c r="A1647" t="s">
        <v>24</v>
      </c>
      <c r="B1647" t="s">
        <v>7170</v>
      </c>
      <c r="C1647" t="str">
        <f>"A0190286"</f>
        <v>A0190286</v>
      </c>
      <c r="D1647" t="s">
        <v>7191</v>
      </c>
      <c r="E1647" t="s">
        <v>7192</v>
      </c>
      <c r="F1647" t="s">
        <v>716</v>
      </c>
      <c r="G1647" t="s">
        <v>289</v>
      </c>
      <c r="H1647">
        <v>60610</v>
      </c>
      <c r="I1647" t="s">
        <v>30</v>
      </c>
      <c r="J1647" t="s">
        <v>2272</v>
      </c>
      <c r="K1647" t="s">
        <v>163</v>
      </c>
      <c r="N1647" t="s">
        <v>7173</v>
      </c>
      <c r="Q1647">
        <v>0</v>
      </c>
      <c r="R1647">
        <v>212</v>
      </c>
      <c r="S1647">
        <v>0</v>
      </c>
      <c r="T1647" t="s">
        <v>7193</v>
      </c>
    </row>
    <row r="1648" spans="1:20" customFormat="1" ht="15" x14ac:dyDescent="0.25">
      <c r="A1648" t="s">
        <v>24</v>
      </c>
      <c r="B1648" t="s">
        <v>7170</v>
      </c>
      <c r="C1648" t="str">
        <f>"A0190285"</f>
        <v>A0190285</v>
      </c>
      <c r="D1648" t="s">
        <v>7194</v>
      </c>
      <c r="E1648" t="s">
        <v>7195</v>
      </c>
      <c r="F1648" t="s">
        <v>1519</v>
      </c>
      <c r="G1648" t="s">
        <v>110</v>
      </c>
      <c r="H1648">
        <v>90015</v>
      </c>
      <c r="I1648" t="s">
        <v>30</v>
      </c>
      <c r="J1648" t="s">
        <v>2272</v>
      </c>
      <c r="K1648" t="s">
        <v>163</v>
      </c>
      <c r="N1648" t="s">
        <v>7173</v>
      </c>
      <c r="Q1648">
        <v>0</v>
      </c>
      <c r="R1648">
        <v>42</v>
      </c>
      <c r="S1648">
        <v>0</v>
      </c>
      <c r="T1648" t="s">
        <v>7196</v>
      </c>
    </row>
    <row r="1649" spans="1:25" customFormat="1" ht="15" x14ac:dyDescent="0.25">
      <c r="A1649" t="s">
        <v>24</v>
      </c>
      <c r="B1649" t="s">
        <v>7170</v>
      </c>
      <c r="C1649" t="str">
        <f>"A0190222"</f>
        <v>A0190222</v>
      </c>
      <c r="D1649" t="s">
        <v>7197</v>
      </c>
      <c r="E1649" t="s">
        <v>7198</v>
      </c>
      <c r="F1649" t="s">
        <v>1519</v>
      </c>
      <c r="G1649" t="s">
        <v>110</v>
      </c>
      <c r="H1649">
        <v>90014</v>
      </c>
      <c r="I1649" t="s">
        <v>30</v>
      </c>
      <c r="J1649" t="s">
        <v>2272</v>
      </c>
      <c r="K1649" t="s">
        <v>163</v>
      </c>
      <c r="N1649" t="s">
        <v>7173</v>
      </c>
      <c r="Q1649">
        <v>0</v>
      </c>
      <c r="R1649">
        <v>92</v>
      </c>
      <c r="S1649">
        <v>0</v>
      </c>
      <c r="T1649" t="s">
        <v>7199</v>
      </c>
    </row>
    <row r="1650" spans="1:25" customFormat="1" ht="15" x14ac:dyDescent="0.25">
      <c r="A1650" t="s">
        <v>24</v>
      </c>
      <c r="B1650" t="s">
        <v>7170</v>
      </c>
      <c r="C1650" t="str">
        <f>"A0190293"</f>
        <v>A0190293</v>
      </c>
      <c r="D1650" t="s">
        <v>7200</v>
      </c>
      <c r="E1650" t="s">
        <v>7201</v>
      </c>
      <c r="F1650" t="s">
        <v>716</v>
      </c>
      <c r="G1650" t="s">
        <v>289</v>
      </c>
      <c r="H1650">
        <v>60654</v>
      </c>
      <c r="I1650" t="s">
        <v>30</v>
      </c>
      <c r="J1650" t="s">
        <v>2272</v>
      </c>
      <c r="K1650" t="s">
        <v>163</v>
      </c>
      <c r="N1650" t="s">
        <v>7173</v>
      </c>
      <c r="Q1650">
        <v>0</v>
      </c>
      <c r="R1650">
        <v>356</v>
      </c>
      <c r="S1650">
        <v>0</v>
      </c>
      <c r="T1650" t="s">
        <v>7202</v>
      </c>
    </row>
    <row r="1651" spans="1:25" customFormat="1" ht="15" x14ac:dyDescent="0.25">
      <c r="A1651" t="s">
        <v>24</v>
      </c>
      <c r="B1651" t="s">
        <v>7170</v>
      </c>
      <c r="C1651" t="str">
        <f>"A0186952"</f>
        <v>A0186952</v>
      </c>
      <c r="D1651" t="s">
        <v>7203</v>
      </c>
      <c r="E1651" t="s">
        <v>7204</v>
      </c>
      <c r="F1651" t="s">
        <v>1519</v>
      </c>
      <c r="G1651" t="s">
        <v>110</v>
      </c>
      <c r="H1651" t="s">
        <v>7205</v>
      </c>
      <c r="I1651" t="s">
        <v>30</v>
      </c>
      <c r="J1651" t="s">
        <v>2272</v>
      </c>
      <c r="K1651" t="s">
        <v>163</v>
      </c>
      <c r="N1651" t="s">
        <v>7173</v>
      </c>
      <c r="Q1651">
        <v>0</v>
      </c>
      <c r="R1651">
        <v>303</v>
      </c>
      <c r="S1651">
        <v>0</v>
      </c>
      <c r="T1651" t="s">
        <v>7206</v>
      </c>
    </row>
    <row r="1652" spans="1:25" customFormat="1" ht="15" hidden="1" x14ac:dyDescent="0.25">
      <c r="A1652" t="s">
        <v>24</v>
      </c>
      <c r="B1652" t="s">
        <v>2266</v>
      </c>
      <c r="C1652" t="str">
        <f>"A0190220"</f>
        <v>A0190220</v>
      </c>
      <c r="D1652" t="s">
        <v>7207</v>
      </c>
      <c r="E1652" t="s">
        <v>7208</v>
      </c>
      <c r="F1652" t="s">
        <v>2269</v>
      </c>
      <c r="G1652" t="s">
        <v>2270</v>
      </c>
      <c r="H1652" t="s">
        <v>7209</v>
      </c>
      <c r="I1652" t="s">
        <v>1459</v>
      </c>
      <c r="J1652" t="s">
        <v>2272</v>
      </c>
      <c r="K1652" t="s">
        <v>163</v>
      </c>
      <c r="N1652" t="s">
        <v>2273</v>
      </c>
      <c r="Q1652">
        <v>0</v>
      </c>
      <c r="R1652">
        <v>133</v>
      </c>
      <c r="S1652">
        <v>0</v>
      </c>
      <c r="T1652" t="s">
        <v>2274</v>
      </c>
    </row>
    <row r="1653" spans="1:25" customFormat="1" ht="15" hidden="1" x14ac:dyDescent="0.25">
      <c r="A1653" t="s">
        <v>24</v>
      </c>
      <c r="B1653" t="s">
        <v>2266</v>
      </c>
      <c r="C1653" t="str">
        <f>"A0190219"</f>
        <v>A0190219</v>
      </c>
      <c r="D1653" t="s">
        <v>7210</v>
      </c>
      <c r="E1653" t="s">
        <v>7211</v>
      </c>
      <c r="F1653" t="s">
        <v>2269</v>
      </c>
      <c r="G1653" t="s">
        <v>2270</v>
      </c>
      <c r="H1653" t="s">
        <v>7212</v>
      </c>
      <c r="I1653" t="s">
        <v>1459</v>
      </c>
      <c r="J1653" t="s">
        <v>162</v>
      </c>
      <c r="K1653" t="s">
        <v>163</v>
      </c>
      <c r="N1653" t="s">
        <v>7213</v>
      </c>
      <c r="Q1653">
        <v>0</v>
      </c>
      <c r="R1653">
        <v>92</v>
      </c>
      <c r="S1653">
        <v>0</v>
      </c>
      <c r="T1653" t="s">
        <v>7214</v>
      </c>
    </row>
    <row r="1654" spans="1:25" customFormat="1" ht="15" hidden="1" x14ac:dyDescent="0.25">
      <c r="A1654" t="s">
        <v>24</v>
      </c>
      <c r="B1654" t="s">
        <v>2266</v>
      </c>
      <c r="C1654" t="str">
        <f>"A0190221"</f>
        <v>A0190221</v>
      </c>
      <c r="D1654" t="s">
        <v>7215</v>
      </c>
      <c r="E1654" t="s">
        <v>7216</v>
      </c>
      <c r="F1654" t="s">
        <v>2269</v>
      </c>
      <c r="G1654" t="s">
        <v>2270</v>
      </c>
      <c r="H1654" t="s">
        <v>7217</v>
      </c>
      <c r="I1654" t="s">
        <v>1459</v>
      </c>
      <c r="J1654" t="s">
        <v>2272</v>
      </c>
      <c r="K1654" t="s">
        <v>163</v>
      </c>
      <c r="N1654" t="s">
        <v>7218</v>
      </c>
      <c r="Q1654">
        <v>0</v>
      </c>
      <c r="R1654">
        <v>188</v>
      </c>
      <c r="S1654">
        <v>0</v>
      </c>
      <c r="T1654" t="s">
        <v>7219</v>
      </c>
    </row>
    <row r="1655" spans="1:25" customFormat="1" ht="15" x14ac:dyDescent="0.25">
      <c r="A1655" t="s">
        <v>24</v>
      </c>
      <c r="B1655" t="s">
        <v>7220</v>
      </c>
      <c r="C1655" t="str">
        <f>"A0190408"</f>
        <v>A0190408</v>
      </c>
      <c r="D1655" t="s">
        <v>7221</v>
      </c>
      <c r="E1655" t="s">
        <v>7222</v>
      </c>
      <c r="F1655" t="s">
        <v>7223</v>
      </c>
      <c r="G1655" t="s">
        <v>71</v>
      </c>
      <c r="H1655">
        <v>54880</v>
      </c>
      <c r="I1655" t="s">
        <v>30</v>
      </c>
      <c r="J1655" t="s">
        <v>31</v>
      </c>
      <c r="K1655" t="s">
        <v>5885</v>
      </c>
      <c r="N1655" t="s">
        <v>7224</v>
      </c>
      <c r="Q1655">
        <v>0</v>
      </c>
      <c r="R1655">
        <v>60</v>
      </c>
      <c r="S1655">
        <v>0</v>
      </c>
      <c r="T1655" t="s">
        <v>7225</v>
      </c>
    </row>
    <row r="1656" spans="1:25" x14ac:dyDescent="0.25">
      <c r="A1656" s="5" t="s">
        <v>24</v>
      </c>
      <c r="B1656" s="5" t="s">
        <v>4855</v>
      </c>
      <c r="C1656" s="5" t="str">
        <f>"337X4"</f>
        <v>337X4</v>
      </c>
      <c r="D1656" s="5" t="s">
        <v>33446</v>
      </c>
      <c r="E1656" s="5" t="s">
        <v>33447</v>
      </c>
      <c r="F1656" s="5" t="s">
        <v>8319</v>
      </c>
      <c r="G1656" s="5" t="s">
        <v>110</v>
      </c>
      <c r="H1656" s="5">
        <v>92840</v>
      </c>
      <c r="I1656" s="5" t="s">
        <v>30</v>
      </c>
      <c r="J1656" s="5" t="s">
        <v>162</v>
      </c>
      <c r="K1656" s="5" t="s">
        <v>1490</v>
      </c>
      <c r="L1656" s="5"/>
      <c r="M1656" s="5"/>
      <c r="N1656" s="5" t="s">
        <v>33448</v>
      </c>
      <c r="O1656" s="5"/>
      <c r="P1656" s="5"/>
      <c r="Q1656" s="5">
        <v>0</v>
      </c>
      <c r="R1656" s="5">
        <v>371</v>
      </c>
      <c r="S1656" s="5">
        <v>0</v>
      </c>
      <c r="T1656" s="5" t="s">
        <v>33449</v>
      </c>
      <c r="U1656" s="5"/>
      <c r="V1656" s="5"/>
      <c r="W1656" s="5"/>
      <c r="X1656" s="5"/>
      <c r="Y1656" s="5"/>
    </row>
    <row r="1657" spans="1:25" hidden="1" x14ac:dyDescent="0.25">
      <c r="A1657" s="3" t="s">
        <v>24</v>
      </c>
      <c r="B1657" s="3" t="s">
        <v>7230</v>
      </c>
      <c r="C1657" s="3" t="str">
        <f>"A0188353"</f>
        <v>A0188353</v>
      </c>
      <c r="D1657" s="3" t="s">
        <v>7231</v>
      </c>
      <c r="E1657" s="3" t="s">
        <v>7232</v>
      </c>
      <c r="F1657" s="3" t="s">
        <v>7233</v>
      </c>
      <c r="G1657" s="3" t="s">
        <v>6356</v>
      </c>
      <c r="I1657" s="3" t="s">
        <v>4803</v>
      </c>
      <c r="J1657" s="3" t="s">
        <v>206</v>
      </c>
      <c r="K1657" s="3" t="s">
        <v>5707</v>
      </c>
      <c r="Q1657" s="3">
        <v>0</v>
      </c>
      <c r="R1657" s="3">
        <v>106</v>
      </c>
      <c r="S1657" s="3">
        <v>0</v>
      </c>
      <c r="T1657" s="3" t="s">
        <v>7234</v>
      </c>
    </row>
    <row r="1658" spans="1:25" customFormat="1" ht="15" x14ac:dyDescent="0.25">
      <c r="A1658" t="s">
        <v>24</v>
      </c>
      <c r="B1658" t="s">
        <v>1528</v>
      </c>
      <c r="C1658" t="str">
        <f>"A0180463"</f>
        <v>A0180463</v>
      </c>
      <c r="D1658" t="s">
        <v>33450</v>
      </c>
      <c r="E1658" t="s">
        <v>33451</v>
      </c>
      <c r="F1658" t="s">
        <v>33452</v>
      </c>
      <c r="G1658" t="s">
        <v>76</v>
      </c>
      <c r="H1658">
        <v>98028</v>
      </c>
      <c r="I1658" t="s">
        <v>30</v>
      </c>
      <c r="J1658" t="s">
        <v>162</v>
      </c>
      <c r="K1658" t="s">
        <v>163</v>
      </c>
      <c r="N1658" t="s">
        <v>33453</v>
      </c>
      <c r="O1658" t="s">
        <v>33454</v>
      </c>
      <c r="Q1658">
        <v>0</v>
      </c>
      <c r="R1658">
        <v>84</v>
      </c>
      <c r="S1658">
        <v>0</v>
      </c>
      <c r="T1658" t="s">
        <v>33455</v>
      </c>
    </row>
    <row r="1659" spans="1:25" customFormat="1" ht="15" x14ac:dyDescent="0.25">
      <c r="A1659" t="s">
        <v>24</v>
      </c>
      <c r="B1659" t="s">
        <v>7239</v>
      </c>
      <c r="C1659" t="str">
        <f>"A0190379"</f>
        <v>A0190379</v>
      </c>
      <c r="D1659" t="s">
        <v>7240</v>
      </c>
      <c r="E1659" t="s">
        <v>7241</v>
      </c>
      <c r="F1659" t="s">
        <v>7242</v>
      </c>
      <c r="G1659" t="s">
        <v>65</v>
      </c>
      <c r="H1659">
        <v>44241</v>
      </c>
      <c r="I1659" t="s">
        <v>30</v>
      </c>
      <c r="J1659" t="s">
        <v>1004</v>
      </c>
      <c r="K1659" t="s">
        <v>6809</v>
      </c>
      <c r="N1659" t="s">
        <v>7243</v>
      </c>
      <c r="Q1659">
        <v>0</v>
      </c>
      <c r="R1659">
        <v>0</v>
      </c>
      <c r="S1659">
        <v>0</v>
      </c>
      <c r="T1659" t="s">
        <v>7244</v>
      </c>
    </row>
    <row r="1660" spans="1:25" customFormat="1" ht="15" x14ac:dyDescent="0.25">
      <c r="A1660" t="s">
        <v>35</v>
      </c>
      <c r="B1660" t="s">
        <v>7245</v>
      </c>
      <c r="C1660" t="str">
        <f>"A0131925"</f>
        <v>A0131925</v>
      </c>
      <c r="D1660" t="s">
        <v>7246</v>
      </c>
      <c r="E1660" t="s">
        <v>7247</v>
      </c>
      <c r="F1660" t="s">
        <v>7248</v>
      </c>
      <c r="G1660" t="s">
        <v>65</v>
      </c>
      <c r="H1660">
        <v>43338</v>
      </c>
      <c r="I1660" t="s">
        <v>30</v>
      </c>
      <c r="J1660" t="s">
        <v>41</v>
      </c>
      <c r="K1660" t="s">
        <v>229</v>
      </c>
      <c r="Q1660">
        <v>0</v>
      </c>
      <c r="R1660">
        <v>100</v>
      </c>
      <c r="S1660">
        <v>75</v>
      </c>
      <c r="T1660" t="s">
        <v>7249</v>
      </c>
    </row>
    <row r="1661" spans="1:25" customFormat="1" ht="15" x14ac:dyDescent="0.25">
      <c r="A1661" t="s">
        <v>35</v>
      </c>
      <c r="B1661" t="s">
        <v>7250</v>
      </c>
      <c r="C1661" t="str">
        <f>"A0130481"</f>
        <v>A0130481</v>
      </c>
      <c r="D1661" t="s">
        <v>7251</v>
      </c>
      <c r="E1661" t="s">
        <v>7252</v>
      </c>
      <c r="F1661" t="s">
        <v>7253</v>
      </c>
      <c r="G1661" t="s">
        <v>1898</v>
      </c>
      <c r="H1661">
        <v>52302</v>
      </c>
      <c r="I1661" t="s">
        <v>30</v>
      </c>
      <c r="J1661" t="s">
        <v>41</v>
      </c>
      <c r="K1661" t="s">
        <v>229</v>
      </c>
      <c r="Q1661">
        <v>0</v>
      </c>
      <c r="R1661">
        <v>91</v>
      </c>
      <c r="S1661">
        <v>91</v>
      </c>
      <c r="T1661" t="s">
        <v>7254</v>
      </c>
    </row>
    <row r="1662" spans="1:25" customFormat="1" ht="15" x14ac:dyDescent="0.25">
      <c r="A1662" t="s">
        <v>35</v>
      </c>
      <c r="B1662" t="s">
        <v>1615</v>
      </c>
      <c r="C1662" t="str">
        <f>"A0117693"</f>
        <v>A0117693</v>
      </c>
      <c r="D1662" t="s">
        <v>7255</v>
      </c>
      <c r="E1662" t="s">
        <v>7256</v>
      </c>
      <c r="F1662" t="s">
        <v>7257</v>
      </c>
      <c r="G1662" t="s">
        <v>29</v>
      </c>
      <c r="H1662">
        <v>23185</v>
      </c>
      <c r="I1662" t="s">
        <v>30</v>
      </c>
      <c r="J1662" t="s">
        <v>41</v>
      </c>
      <c r="K1662" t="s">
        <v>59</v>
      </c>
      <c r="Q1662">
        <v>0</v>
      </c>
      <c r="R1662">
        <v>40</v>
      </c>
      <c r="S1662">
        <v>48</v>
      </c>
      <c r="T1662" t="s">
        <v>7258</v>
      </c>
    </row>
    <row r="1663" spans="1:25" x14ac:dyDescent="0.25">
      <c r="A1663" s="5" t="s">
        <v>24</v>
      </c>
      <c r="B1663" s="5" t="s">
        <v>5166</v>
      </c>
      <c r="C1663" s="5" t="str">
        <f>"A0180403"</f>
        <v>A0180403</v>
      </c>
      <c r="D1663" s="5" t="s">
        <v>33575</v>
      </c>
      <c r="E1663" s="5" t="s">
        <v>33576</v>
      </c>
      <c r="F1663" s="5" t="s">
        <v>33577</v>
      </c>
      <c r="G1663" s="5" t="s">
        <v>123</v>
      </c>
      <c r="H1663" s="5">
        <v>20852</v>
      </c>
      <c r="I1663" s="5" t="s">
        <v>30</v>
      </c>
      <c r="J1663" s="5" t="s">
        <v>162</v>
      </c>
      <c r="K1663" s="5" t="s">
        <v>1209</v>
      </c>
      <c r="L1663" s="5"/>
      <c r="M1663" s="5"/>
      <c r="N1663" s="5" t="s">
        <v>33578</v>
      </c>
      <c r="O1663" s="5" t="s">
        <v>33579</v>
      </c>
      <c r="P1663" s="5"/>
      <c r="Q1663" s="5">
        <v>0</v>
      </c>
      <c r="R1663" s="5">
        <v>177</v>
      </c>
      <c r="S1663" s="5">
        <v>0</v>
      </c>
      <c r="T1663" s="5" t="s">
        <v>33580</v>
      </c>
      <c r="U1663" s="5"/>
      <c r="V1663" s="5"/>
      <c r="W1663" s="5"/>
      <c r="X1663" s="5"/>
      <c r="Y1663" s="5"/>
    </row>
    <row r="1664" spans="1:25" customFormat="1" ht="15" x14ac:dyDescent="0.25">
      <c r="A1664" t="s">
        <v>35</v>
      </c>
      <c r="B1664" t="s">
        <v>7264</v>
      </c>
      <c r="C1664" t="str">
        <f>"A0156784"</f>
        <v>A0156784</v>
      </c>
      <c r="D1664" t="s">
        <v>7265</v>
      </c>
      <c r="E1664" t="s">
        <v>7266</v>
      </c>
      <c r="F1664" t="s">
        <v>7267</v>
      </c>
      <c r="G1664" t="s">
        <v>153</v>
      </c>
      <c r="H1664">
        <v>84102</v>
      </c>
      <c r="I1664" t="s">
        <v>30</v>
      </c>
      <c r="J1664" t="s">
        <v>41</v>
      </c>
      <c r="K1664" t="s">
        <v>229</v>
      </c>
      <c r="Q1664">
        <v>0</v>
      </c>
      <c r="R1664">
        <v>30</v>
      </c>
      <c r="S1664">
        <v>30</v>
      </c>
      <c r="T1664" t="s">
        <v>7268</v>
      </c>
    </row>
    <row r="1665" spans="1:20" customFormat="1" ht="15" x14ac:dyDescent="0.25">
      <c r="A1665" t="s">
        <v>35</v>
      </c>
      <c r="B1665" t="s">
        <v>7269</v>
      </c>
      <c r="C1665" t="str">
        <f>"A0150986"</f>
        <v>A0150986</v>
      </c>
      <c r="D1665" t="s">
        <v>7270</v>
      </c>
      <c r="E1665" t="s">
        <v>7271</v>
      </c>
      <c r="F1665" t="s">
        <v>7272</v>
      </c>
      <c r="G1665" t="s">
        <v>1587</v>
      </c>
      <c r="H1665">
        <v>88011</v>
      </c>
      <c r="I1665" t="s">
        <v>30</v>
      </c>
      <c r="J1665" t="s">
        <v>41</v>
      </c>
      <c r="K1665" t="s">
        <v>229</v>
      </c>
      <c r="Q1665">
        <v>0</v>
      </c>
      <c r="R1665">
        <v>80</v>
      </c>
      <c r="S1665">
        <v>129</v>
      </c>
      <c r="T1665" t="s">
        <v>7273</v>
      </c>
    </row>
    <row r="1666" spans="1:20" customFormat="1" ht="15" x14ac:dyDescent="0.25">
      <c r="A1666" t="s">
        <v>35</v>
      </c>
      <c r="B1666" t="s">
        <v>7269</v>
      </c>
      <c r="C1666" t="str">
        <f>"A0150437"</f>
        <v>A0150437</v>
      </c>
      <c r="D1666" t="s">
        <v>7274</v>
      </c>
      <c r="E1666" t="s">
        <v>7275</v>
      </c>
      <c r="F1666" t="s">
        <v>7276</v>
      </c>
      <c r="G1666" t="s">
        <v>1587</v>
      </c>
      <c r="H1666">
        <v>882101134</v>
      </c>
      <c r="I1666" t="s">
        <v>30</v>
      </c>
      <c r="J1666" t="s">
        <v>41</v>
      </c>
      <c r="K1666" t="s">
        <v>229</v>
      </c>
      <c r="Q1666">
        <v>0</v>
      </c>
      <c r="R1666">
        <v>70</v>
      </c>
      <c r="S1666">
        <v>65</v>
      </c>
      <c r="T1666" t="s">
        <v>7277</v>
      </c>
    </row>
    <row r="1667" spans="1:20" customFormat="1" ht="15" x14ac:dyDescent="0.25">
      <c r="A1667" t="s">
        <v>35</v>
      </c>
      <c r="B1667" t="s">
        <v>3424</v>
      </c>
      <c r="C1667" t="str">
        <f>"A0190398"</f>
        <v>A0190398</v>
      </c>
      <c r="D1667" t="s">
        <v>7278</v>
      </c>
      <c r="E1667" t="s">
        <v>7279</v>
      </c>
      <c r="F1667" t="s">
        <v>7267</v>
      </c>
      <c r="G1667" t="s">
        <v>153</v>
      </c>
      <c r="H1667">
        <v>84121</v>
      </c>
      <c r="I1667" t="s">
        <v>30</v>
      </c>
      <c r="J1667" t="s">
        <v>41</v>
      </c>
      <c r="K1667" t="s">
        <v>59</v>
      </c>
      <c r="Q1667">
        <v>0</v>
      </c>
      <c r="R1667">
        <v>0</v>
      </c>
      <c r="S1667">
        <v>22</v>
      </c>
      <c r="T1667" t="s">
        <v>7280</v>
      </c>
    </row>
    <row r="1668" spans="1:20" customFormat="1" ht="15" x14ac:dyDescent="0.25">
      <c r="A1668" t="s">
        <v>35</v>
      </c>
      <c r="B1668" t="s">
        <v>3424</v>
      </c>
      <c r="C1668" t="str">
        <f>"A0190397"</f>
        <v>A0190397</v>
      </c>
      <c r="D1668" t="s">
        <v>3424</v>
      </c>
      <c r="E1668" t="s">
        <v>7281</v>
      </c>
      <c r="F1668" t="s">
        <v>7282</v>
      </c>
      <c r="G1668" t="s">
        <v>153</v>
      </c>
      <c r="H1668">
        <v>84663</v>
      </c>
      <c r="I1668" t="s">
        <v>30</v>
      </c>
      <c r="J1668" t="s">
        <v>41</v>
      </c>
      <c r="K1668" t="s">
        <v>290</v>
      </c>
      <c r="Q1668">
        <v>0</v>
      </c>
      <c r="R1668">
        <v>0</v>
      </c>
      <c r="S1668">
        <v>0</v>
      </c>
      <c r="T1668" t="s">
        <v>7280</v>
      </c>
    </row>
    <row r="1669" spans="1:20" customFormat="1" ht="15" x14ac:dyDescent="0.25">
      <c r="A1669" t="s">
        <v>35</v>
      </c>
      <c r="B1669" t="s">
        <v>36</v>
      </c>
      <c r="C1669" t="str">
        <f>"A0190396"</f>
        <v>A0190396</v>
      </c>
      <c r="D1669" t="s">
        <v>7283</v>
      </c>
      <c r="E1669" t="s">
        <v>7284</v>
      </c>
      <c r="F1669" t="s">
        <v>853</v>
      </c>
      <c r="G1669" t="s">
        <v>52</v>
      </c>
      <c r="H1669">
        <v>76129</v>
      </c>
      <c r="I1669" t="s">
        <v>30</v>
      </c>
      <c r="J1669" t="s">
        <v>41</v>
      </c>
      <c r="K1669" t="s">
        <v>42</v>
      </c>
      <c r="Q1669">
        <v>0</v>
      </c>
      <c r="R1669">
        <v>0</v>
      </c>
      <c r="S1669">
        <v>0</v>
      </c>
      <c r="T1669" t="s">
        <v>7285</v>
      </c>
    </row>
    <row r="1670" spans="1:20" customFormat="1" ht="15" x14ac:dyDescent="0.25">
      <c r="A1670" t="s">
        <v>35</v>
      </c>
      <c r="B1670" t="s">
        <v>2216</v>
      </c>
      <c r="C1670" t="str">
        <f>"A0190395"</f>
        <v>A0190395</v>
      </c>
      <c r="D1670" t="s">
        <v>7286</v>
      </c>
      <c r="E1670" t="s">
        <v>7287</v>
      </c>
      <c r="F1670" t="s">
        <v>7288</v>
      </c>
      <c r="G1670" t="s">
        <v>289</v>
      </c>
      <c r="H1670">
        <v>60008</v>
      </c>
      <c r="I1670" t="s">
        <v>30</v>
      </c>
      <c r="J1670" t="s">
        <v>41</v>
      </c>
      <c r="K1670" t="s">
        <v>229</v>
      </c>
      <c r="Q1670">
        <v>0</v>
      </c>
      <c r="R1670">
        <v>0</v>
      </c>
      <c r="S1670">
        <v>155</v>
      </c>
      <c r="T1670" t="s">
        <v>7289</v>
      </c>
    </row>
    <row r="1671" spans="1:20" customFormat="1" ht="15" x14ac:dyDescent="0.25">
      <c r="A1671" t="s">
        <v>35</v>
      </c>
      <c r="B1671" t="s">
        <v>2216</v>
      </c>
      <c r="C1671" t="str">
        <f>"A0190394"</f>
        <v>A0190394</v>
      </c>
      <c r="D1671" t="s">
        <v>7290</v>
      </c>
      <c r="E1671" t="s">
        <v>7291</v>
      </c>
      <c r="F1671" t="s">
        <v>7292</v>
      </c>
      <c r="G1671" t="s">
        <v>289</v>
      </c>
      <c r="H1671">
        <v>60540</v>
      </c>
      <c r="I1671" t="s">
        <v>30</v>
      </c>
      <c r="J1671" t="s">
        <v>41</v>
      </c>
      <c r="K1671" t="s">
        <v>229</v>
      </c>
      <c r="Q1671">
        <v>0</v>
      </c>
      <c r="R1671">
        <v>0</v>
      </c>
      <c r="S1671">
        <v>115</v>
      </c>
      <c r="T1671" t="s">
        <v>7293</v>
      </c>
    </row>
    <row r="1672" spans="1:20" customFormat="1" ht="15" x14ac:dyDescent="0.25">
      <c r="A1672" t="s">
        <v>35</v>
      </c>
      <c r="B1672" t="s">
        <v>2216</v>
      </c>
      <c r="C1672" t="str">
        <f>"A0190393"</f>
        <v>A0190393</v>
      </c>
      <c r="D1672" t="s">
        <v>7294</v>
      </c>
      <c r="E1672" t="s">
        <v>7295</v>
      </c>
      <c r="F1672" t="s">
        <v>7296</v>
      </c>
      <c r="G1672" t="s">
        <v>289</v>
      </c>
      <c r="H1672">
        <v>60162</v>
      </c>
      <c r="I1672" t="s">
        <v>30</v>
      </c>
      <c r="J1672" t="s">
        <v>41</v>
      </c>
      <c r="K1672" t="s">
        <v>229</v>
      </c>
      <c r="Q1672">
        <v>0</v>
      </c>
      <c r="R1672">
        <v>0</v>
      </c>
      <c r="S1672">
        <v>198</v>
      </c>
      <c r="T1672" t="s">
        <v>7297</v>
      </c>
    </row>
    <row r="1673" spans="1:20" customFormat="1" ht="15" x14ac:dyDescent="0.25">
      <c r="A1673" t="s">
        <v>35</v>
      </c>
      <c r="B1673" t="s">
        <v>2216</v>
      </c>
      <c r="C1673" t="str">
        <f>"A0190392"</f>
        <v>A0190392</v>
      </c>
      <c r="D1673" t="s">
        <v>2216</v>
      </c>
      <c r="E1673" t="s">
        <v>7298</v>
      </c>
      <c r="F1673" t="s">
        <v>7299</v>
      </c>
      <c r="G1673" t="s">
        <v>289</v>
      </c>
      <c r="H1673">
        <v>60712</v>
      </c>
      <c r="I1673" t="s">
        <v>30</v>
      </c>
      <c r="J1673" t="s">
        <v>41</v>
      </c>
      <c r="K1673" t="s">
        <v>290</v>
      </c>
      <c r="Q1673">
        <v>0</v>
      </c>
      <c r="R1673">
        <v>0</v>
      </c>
      <c r="S1673">
        <v>0</v>
      </c>
      <c r="T1673" t="s">
        <v>7300</v>
      </c>
    </row>
    <row r="1674" spans="1:20" customFormat="1" ht="15" x14ac:dyDescent="0.25">
      <c r="A1674" t="s">
        <v>35</v>
      </c>
      <c r="B1674" t="s">
        <v>2745</v>
      </c>
      <c r="C1674" t="str">
        <f>"A0190391"</f>
        <v>A0190391</v>
      </c>
      <c r="D1674" t="s">
        <v>7301</v>
      </c>
      <c r="E1674" t="s">
        <v>7302</v>
      </c>
      <c r="F1674" t="s">
        <v>7303</v>
      </c>
      <c r="G1674" t="s">
        <v>65</v>
      </c>
      <c r="H1674">
        <v>44515</v>
      </c>
      <c r="I1674" t="s">
        <v>30</v>
      </c>
      <c r="J1674" t="s">
        <v>41</v>
      </c>
      <c r="K1674" t="s">
        <v>461</v>
      </c>
      <c r="Q1674">
        <v>0</v>
      </c>
      <c r="R1674">
        <v>0</v>
      </c>
      <c r="S1674">
        <v>50</v>
      </c>
      <c r="T1674" t="s">
        <v>2749</v>
      </c>
    </row>
    <row r="1675" spans="1:20" customFormat="1" ht="15" x14ac:dyDescent="0.25">
      <c r="A1675" t="s">
        <v>35</v>
      </c>
      <c r="B1675" t="s">
        <v>61</v>
      </c>
      <c r="C1675" t="str">
        <f>"A0190390"</f>
        <v>A0190390</v>
      </c>
      <c r="D1675" t="s">
        <v>7304</v>
      </c>
      <c r="E1675" t="s">
        <v>7305</v>
      </c>
      <c r="F1675" t="s">
        <v>2714</v>
      </c>
      <c r="G1675" t="s">
        <v>81</v>
      </c>
      <c r="H1675">
        <v>33619</v>
      </c>
      <c r="I1675" t="s">
        <v>30</v>
      </c>
      <c r="J1675" t="s">
        <v>41</v>
      </c>
      <c r="K1675" t="s">
        <v>42</v>
      </c>
      <c r="Q1675">
        <v>0</v>
      </c>
      <c r="R1675">
        <v>0</v>
      </c>
      <c r="S1675">
        <v>0</v>
      </c>
      <c r="T1675" t="s">
        <v>7306</v>
      </c>
    </row>
    <row r="1676" spans="1:20" customFormat="1" ht="15" x14ac:dyDescent="0.25">
      <c r="A1676" t="s">
        <v>35</v>
      </c>
      <c r="B1676" t="s">
        <v>61</v>
      </c>
      <c r="C1676" t="str">
        <f>"A0190389"</f>
        <v>A0190389</v>
      </c>
      <c r="D1676" t="s">
        <v>7307</v>
      </c>
      <c r="E1676" t="s">
        <v>7308</v>
      </c>
      <c r="F1676" t="s">
        <v>2303</v>
      </c>
      <c r="G1676" t="s">
        <v>65</v>
      </c>
      <c r="H1676">
        <v>43950</v>
      </c>
      <c r="I1676" t="s">
        <v>30</v>
      </c>
      <c r="J1676" t="s">
        <v>41</v>
      </c>
      <c r="K1676" t="s">
        <v>2760</v>
      </c>
      <c r="Q1676">
        <v>0</v>
      </c>
      <c r="R1676">
        <v>0</v>
      </c>
      <c r="S1676">
        <v>0</v>
      </c>
      <c r="T1676" t="s">
        <v>7309</v>
      </c>
    </row>
    <row r="1677" spans="1:20" customFormat="1" ht="15" x14ac:dyDescent="0.25">
      <c r="A1677" t="s">
        <v>35</v>
      </c>
      <c r="B1677" t="s">
        <v>61</v>
      </c>
      <c r="C1677" t="str">
        <f>"A0190388"</f>
        <v>A0190388</v>
      </c>
      <c r="D1677" t="s">
        <v>7310</v>
      </c>
      <c r="E1677" t="s">
        <v>7311</v>
      </c>
      <c r="F1677" t="s">
        <v>7312</v>
      </c>
      <c r="G1677" t="s">
        <v>65</v>
      </c>
      <c r="H1677">
        <v>44121</v>
      </c>
      <c r="I1677" t="s">
        <v>30</v>
      </c>
      <c r="J1677" t="s">
        <v>41</v>
      </c>
      <c r="K1677" t="s">
        <v>391</v>
      </c>
      <c r="Q1677">
        <v>0</v>
      </c>
      <c r="R1677">
        <v>0</v>
      </c>
      <c r="S1677">
        <v>0</v>
      </c>
      <c r="T1677" t="s">
        <v>7313</v>
      </c>
    </row>
    <row r="1678" spans="1:20" customFormat="1" ht="15" x14ac:dyDescent="0.25">
      <c r="A1678" t="s">
        <v>35</v>
      </c>
      <c r="B1678" t="s">
        <v>7314</v>
      </c>
      <c r="C1678" t="str">
        <f>"A0190387"</f>
        <v>A0190387</v>
      </c>
      <c r="D1678" t="s">
        <v>7315</v>
      </c>
      <c r="E1678" t="s">
        <v>7316</v>
      </c>
      <c r="F1678" t="s">
        <v>7317</v>
      </c>
      <c r="G1678" t="s">
        <v>1898</v>
      </c>
      <c r="H1678">
        <v>50317</v>
      </c>
      <c r="I1678" t="s">
        <v>30</v>
      </c>
      <c r="J1678" t="s">
        <v>41</v>
      </c>
      <c r="K1678" t="s">
        <v>456</v>
      </c>
      <c r="Q1678">
        <v>0</v>
      </c>
      <c r="R1678">
        <v>0</v>
      </c>
      <c r="S1678">
        <v>0</v>
      </c>
      <c r="T1678" t="s">
        <v>7318</v>
      </c>
    </row>
    <row r="1679" spans="1:20" customFormat="1" ht="15" x14ac:dyDescent="0.25">
      <c r="A1679" t="s">
        <v>35</v>
      </c>
      <c r="B1679" t="s">
        <v>7319</v>
      </c>
      <c r="C1679" t="str">
        <f>"A0190386"</f>
        <v>A0190386</v>
      </c>
      <c r="D1679" t="s">
        <v>7320</v>
      </c>
      <c r="E1679" t="s">
        <v>7321</v>
      </c>
      <c r="F1679" t="s">
        <v>7322</v>
      </c>
      <c r="G1679" t="s">
        <v>71</v>
      </c>
      <c r="H1679">
        <v>54984</v>
      </c>
      <c r="I1679" t="s">
        <v>30</v>
      </c>
      <c r="J1679" t="s">
        <v>41</v>
      </c>
      <c r="K1679" t="s">
        <v>59</v>
      </c>
      <c r="Q1679">
        <v>0</v>
      </c>
      <c r="R1679">
        <v>0</v>
      </c>
      <c r="S1679">
        <v>46</v>
      </c>
      <c r="T1679" t="s">
        <v>7323</v>
      </c>
    </row>
    <row r="1680" spans="1:20" customFormat="1" ht="15" x14ac:dyDescent="0.25">
      <c r="A1680" t="s">
        <v>35</v>
      </c>
      <c r="B1680" t="s">
        <v>4771</v>
      </c>
      <c r="C1680" t="str">
        <f>"A0190385"</f>
        <v>A0190385</v>
      </c>
      <c r="D1680" t="s">
        <v>7324</v>
      </c>
      <c r="E1680" t="s">
        <v>7325</v>
      </c>
      <c r="F1680" t="s">
        <v>7326</v>
      </c>
      <c r="G1680" t="s">
        <v>117</v>
      </c>
      <c r="H1680">
        <v>48423</v>
      </c>
      <c r="I1680" t="s">
        <v>30</v>
      </c>
      <c r="J1680" t="s">
        <v>41</v>
      </c>
      <c r="K1680" t="s">
        <v>456</v>
      </c>
      <c r="Q1680">
        <v>0</v>
      </c>
      <c r="R1680">
        <v>0</v>
      </c>
      <c r="S1680">
        <v>0</v>
      </c>
      <c r="T1680" t="s">
        <v>72</v>
      </c>
    </row>
    <row r="1681" spans="1:20" customFormat="1" ht="15" x14ac:dyDescent="0.25">
      <c r="A1681" t="s">
        <v>35</v>
      </c>
      <c r="B1681" t="s">
        <v>4771</v>
      </c>
      <c r="C1681" t="str">
        <f>"A0190384"</f>
        <v>A0190384</v>
      </c>
      <c r="D1681" t="s">
        <v>7327</v>
      </c>
      <c r="E1681" t="s">
        <v>7328</v>
      </c>
      <c r="F1681" t="s">
        <v>7329</v>
      </c>
      <c r="G1681" t="s">
        <v>153</v>
      </c>
      <c r="H1681">
        <v>84070</v>
      </c>
      <c r="I1681" t="s">
        <v>30</v>
      </c>
      <c r="J1681" t="s">
        <v>41</v>
      </c>
      <c r="K1681" t="s">
        <v>456</v>
      </c>
      <c r="Q1681">
        <v>0</v>
      </c>
      <c r="R1681">
        <v>0</v>
      </c>
      <c r="S1681">
        <v>0</v>
      </c>
      <c r="T1681" t="s">
        <v>72</v>
      </c>
    </row>
    <row r="1682" spans="1:20" customFormat="1" ht="15" x14ac:dyDescent="0.25">
      <c r="A1682" t="s">
        <v>35</v>
      </c>
      <c r="B1682" t="s">
        <v>7330</v>
      </c>
      <c r="C1682" t="str">
        <f>"A0190383"</f>
        <v>A0190383</v>
      </c>
      <c r="D1682" t="s">
        <v>7331</v>
      </c>
      <c r="E1682" t="s">
        <v>7332</v>
      </c>
      <c r="F1682" t="s">
        <v>7333</v>
      </c>
      <c r="G1682" t="s">
        <v>65</v>
      </c>
      <c r="H1682">
        <v>45040</v>
      </c>
      <c r="I1682" t="s">
        <v>30</v>
      </c>
      <c r="J1682" t="s">
        <v>41</v>
      </c>
      <c r="K1682" t="s">
        <v>59</v>
      </c>
      <c r="Q1682">
        <v>0</v>
      </c>
      <c r="R1682">
        <v>0</v>
      </c>
      <c r="S1682">
        <v>41</v>
      </c>
      <c r="T1682" t="s">
        <v>7334</v>
      </c>
    </row>
    <row r="1683" spans="1:20" customFormat="1" ht="15" x14ac:dyDescent="0.25">
      <c r="A1683" t="s">
        <v>35</v>
      </c>
      <c r="B1683" t="s">
        <v>7335</v>
      </c>
      <c r="C1683" t="str">
        <f>"A0190382"</f>
        <v>A0190382</v>
      </c>
      <c r="D1683" t="s">
        <v>7336</v>
      </c>
      <c r="E1683" t="s">
        <v>7337</v>
      </c>
      <c r="F1683" t="s">
        <v>455</v>
      </c>
      <c r="G1683" t="s">
        <v>433</v>
      </c>
      <c r="H1683">
        <v>83680</v>
      </c>
      <c r="I1683" t="s">
        <v>30</v>
      </c>
      <c r="J1683" t="s">
        <v>41</v>
      </c>
      <c r="K1683" t="s">
        <v>456</v>
      </c>
      <c r="Q1683">
        <v>0</v>
      </c>
      <c r="R1683">
        <v>0</v>
      </c>
      <c r="S1683">
        <v>0</v>
      </c>
      <c r="T1683" t="s">
        <v>7338</v>
      </c>
    </row>
    <row r="1684" spans="1:20" customFormat="1" ht="15" x14ac:dyDescent="0.25">
      <c r="A1684" t="s">
        <v>24</v>
      </c>
      <c r="B1684" t="s">
        <v>2601</v>
      </c>
      <c r="C1684" t="str">
        <f>"A0095113"</f>
        <v>A0095113</v>
      </c>
      <c r="D1684" t="s">
        <v>33595</v>
      </c>
      <c r="E1684" t="s">
        <v>33596</v>
      </c>
      <c r="F1684" t="s">
        <v>3364</v>
      </c>
      <c r="G1684" t="s">
        <v>338</v>
      </c>
      <c r="H1684">
        <v>7039</v>
      </c>
      <c r="I1684" t="s">
        <v>30</v>
      </c>
      <c r="J1684" t="s">
        <v>162</v>
      </c>
      <c r="K1684" t="s">
        <v>163</v>
      </c>
      <c r="N1684" t="s">
        <v>33597</v>
      </c>
      <c r="O1684" t="s">
        <v>33598</v>
      </c>
      <c r="Q1684">
        <v>0</v>
      </c>
      <c r="R1684">
        <v>185</v>
      </c>
      <c r="S1684">
        <v>0</v>
      </c>
      <c r="T1684" t="s">
        <v>33599</v>
      </c>
    </row>
    <row r="1685" spans="1:20" customFormat="1" ht="15" x14ac:dyDescent="0.25">
      <c r="A1685" t="s">
        <v>24</v>
      </c>
      <c r="B1685" t="s">
        <v>4400</v>
      </c>
      <c r="C1685" t="str">
        <f>"A0096177"</f>
        <v>A0096177</v>
      </c>
      <c r="D1685" t="s">
        <v>33605</v>
      </c>
      <c r="E1685" t="s">
        <v>33606</v>
      </c>
      <c r="F1685" t="s">
        <v>3455</v>
      </c>
      <c r="G1685" t="s">
        <v>161</v>
      </c>
      <c r="H1685">
        <v>55425</v>
      </c>
      <c r="I1685" t="s">
        <v>30</v>
      </c>
      <c r="J1685" t="s">
        <v>162</v>
      </c>
      <c r="K1685" t="s">
        <v>7598</v>
      </c>
      <c r="Q1685">
        <v>0</v>
      </c>
      <c r="R1685">
        <v>303</v>
      </c>
      <c r="S1685">
        <v>0</v>
      </c>
      <c r="T1685" t="s">
        <v>33607</v>
      </c>
    </row>
    <row r="1686" spans="1:20" customFormat="1" ht="15" x14ac:dyDescent="0.25">
      <c r="A1686" t="s">
        <v>24</v>
      </c>
      <c r="B1686" t="s">
        <v>7348</v>
      </c>
      <c r="C1686" t="str">
        <f>"A0190375"</f>
        <v>A0190375</v>
      </c>
      <c r="D1686" t="s">
        <v>7349</v>
      </c>
      <c r="E1686" t="s">
        <v>7350</v>
      </c>
      <c r="F1686" t="s">
        <v>716</v>
      </c>
      <c r="G1686" t="s">
        <v>289</v>
      </c>
      <c r="H1686">
        <v>60603</v>
      </c>
      <c r="I1686" t="s">
        <v>30</v>
      </c>
      <c r="J1686" t="s">
        <v>1004</v>
      </c>
      <c r="K1686" t="s">
        <v>163</v>
      </c>
      <c r="N1686" t="s">
        <v>7351</v>
      </c>
      <c r="Q1686">
        <v>0</v>
      </c>
      <c r="R1686">
        <v>0</v>
      </c>
      <c r="S1686">
        <v>0</v>
      </c>
      <c r="T1686" t="s">
        <v>7352</v>
      </c>
    </row>
    <row r="1687" spans="1:20" customFormat="1" ht="15" x14ac:dyDescent="0.25">
      <c r="A1687" t="s">
        <v>24</v>
      </c>
      <c r="B1687" t="s">
        <v>6667</v>
      </c>
      <c r="C1687" t="str">
        <f>"A0049539"</f>
        <v>A0049539</v>
      </c>
      <c r="D1687" t="s">
        <v>7353</v>
      </c>
      <c r="E1687" t="s">
        <v>7354</v>
      </c>
      <c r="F1687" t="s">
        <v>7355</v>
      </c>
      <c r="G1687" t="s">
        <v>197</v>
      </c>
      <c r="H1687">
        <v>85755</v>
      </c>
      <c r="I1687" t="s">
        <v>30</v>
      </c>
      <c r="J1687" t="s">
        <v>178</v>
      </c>
      <c r="K1687" t="s">
        <v>179</v>
      </c>
      <c r="N1687" t="s">
        <v>7356</v>
      </c>
      <c r="O1687" t="s">
        <v>7357</v>
      </c>
      <c r="Q1687">
        <v>0</v>
      </c>
      <c r="R1687">
        <v>0</v>
      </c>
      <c r="S1687">
        <v>0</v>
      </c>
      <c r="T1687" t="s">
        <v>7358</v>
      </c>
    </row>
    <row r="1688" spans="1:20" customFormat="1" ht="15" x14ac:dyDescent="0.25">
      <c r="A1688" t="s">
        <v>35</v>
      </c>
      <c r="B1688" t="s">
        <v>7359</v>
      </c>
      <c r="C1688" t="str">
        <f>"A0117992"</f>
        <v>A0117992</v>
      </c>
      <c r="D1688" t="s">
        <v>7360</v>
      </c>
      <c r="E1688" t="s">
        <v>7361</v>
      </c>
      <c r="F1688" t="s">
        <v>7362</v>
      </c>
      <c r="G1688" t="s">
        <v>110</v>
      </c>
      <c r="H1688">
        <v>90066</v>
      </c>
      <c r="I1688" t="s">
        <v>30</v>
      </c>
      <c r="J1688" t="s">
        <v>41</v>
      </c>
      <c r="K1688" t="s">
        <v>59</v>
      </c>
      <c r="Q1688">
        <v>0</v>
      </c>
      <c r="R1688">
        <v>60</v>
      </c>
      <c r="S1688">
        <v>70</v>
      </c>
      <c r="T1688" t="s">
        <v>7363</v>
      </c>
    </row>
    <row r="1689" spans="1:20" customFormat="1" ht="15" x14ac:dyDescent="0.25">
      <c r="A1689" t="s">
        <v>24</v>
      </c>
      <c r="B1689" t="s">
        <v>6667</v>
      </c>
      <c r="C1689" t="str">
        <f>"A0069655"</f>
        <v>A0069655</v>
      </c>
      <c r="D1689" t="s">
        <v>7364</v>
      </c>
      <c r="E1689" t="s">
        <v>7365</v>
      </c>
      <c r="F1689" t="s">
        <v>2014</v>
      </c>
      <c r="G1689" t="s">
        <v>197</v>
      </c>
      <c r="H1689">
        <v>85255</v>
      </c>
      <c r="I1689" t="s">
        <v>30</v>
      </c>
      <c r="J1689" t="s">
        <v>2415</v>
      </c>
      <c r="K1689" t="s">
        <v>179</v>
      </c>
      <c r="N1689" t="s">
        <v>7366</v>
      </c>
      <c r="O1689" t="s">
        <v>7367</v>
      </c>
      <c r="P1689" t="s">
        <v>6426</v>
      </c>
      <c r="Q1689">
        <v>1</v>
      </c>
      <c r="R1689">
        <v>0</v>
      </c>
      <c r="S1689">
        <v>0</v>
      </c>
      <c r="T1689" t="s">
        <v>7368</v>
      </c>
    </row>
    <row r="1690" spans="1:20" customFormat="1" ht="15" x14ac:dyDescent="0.25">
      <c r="A1690" t="s">
        <v>24</v>
      </c>
      <c r="B1690" t="s">
        <v>6667</v>
      </c>
      <c r="C1690" t="str">
        <f>"A0049759"</f>
        <v>A0049759</v>
      </c>
      <c r="D1690" t="s">
        <v>7369</v>
      </c>
      <c r="E1690" t="s">
        <v>7370</v>
      </c>
      <c r="F1690" t="s">
        <v>6966</v>
      </c>
      <c r="G1690" t="s">
        <v>197</v>
      </c>
      <c r="H1690">
        <v>85541</v>
      </c>
      <c r="I1690" t="s">
        <v>30</v>
      </c>
      <c r="J1690" t="s">
        <v>178</v>
      </c>
      <c r="K1690" t="s">
        <v>179</v>
      </c>
      <c r="N1690" t="s">
        <v>6968</v>
      </c>
      <c r="O1690" t="s">
        <v>7371</v>
      </c>
      <c r="Q1690">
        <v>0</v>
      </c>
      <c r="R1690">
        <v>0</v>
      </c>
      <c r="S1690">
        <v>0</v>
      </c>
      <c r="T1690" t="s">
        <v>7372</v>
      </c>
    </row>
    <row r="1691" spans="1:20" customFormat="1" ht="15" x14ac:dyDescent="0.25">
      <c r="A1691" t="s">
        <v>24</v>
      </c>
      <c r="B1691" t="s">
        <v>7373</v>
      </c>
      <c r="C1691" t="str">
        <f>"A0190371"</f>
        <v>A0190371</v>
      </c>
      <c r="D1691" t="s">
        <v>7374</v>
      </c>
      <c r="E1691" t="s">
        <v>7375</v>
      </c>
      <c r="F1691" t="s">
        <v>7376</v>
      </c>
      <c r="G1691" t="s">
        <v>52</v>
      </c>
      <c r="H1691">
        <v>76063</v>
      </c>
      <c r="I1691" t="s">
        <v>30</v>
      </c>
      <c r="J1691" t="s">
        <v>31</v>
      </c>
      <c r="K1691" t="s">
        <v>321</v>
      </c>
      <c r="N1691" t="s">
        <v>7377</v>
      </c>
      <c r="Q1691">
        <v>0</v>
      </c>
      <c r="R1691">
        <v>76</v>
      </c>
      <c r="S1691">
        <v>0</v>
      </c>
      <c r="T1691" t="s">
        <v>7378</v>
      </c>
    </row>
    <row r="1692" spans="1:20" customFormat="1" ht="15" x14ac:dyDescent="0.25">
      <c r="A1692" t="s">
        <v>24</v>
      </c>
      <c r="B1692" t="s">
        <v>257</v>
      </c>
      <c r="C1692" t="str">
        <f>"A0084236"</f>
        <v>A0084236</v>
      </c>
      <c r="D1692" t="s">
        <v>7379</v>
      </c>
      <c r="E1692" t="s">
        <v>7380</v>
      </c>
      <c r="F1692" t="s">
        <v>1889</v>
      </c>
      <c r="G1692" t="s">
        <v>81</v>
      </c>
      <c r="H1692">
        <v>33156</v>
      </c>
      <c r="I1692" t="s">
        <v>30</v>
      </c>
      <c r="J1692" t="s">
        <v>31</v>
      </c>
      <c r="K1692" t="s">
        <v>277</v>
      </c>
      <c r="N1692" t="s">
        <v>7381</v>
      </c>
      <c r="Q1692">
        <v>0</v>
      </c>
      <c r="R1692">
        <v>119</v>
      </c>
      <c r="S1692">
        <v>0</v>
      </c>
      <c r="T1692" t="s">
        <v>7382</v>
      </c>
    </row>
    <row r="1693" spans="1:20" customFormat="1" ht="15" x14ac:dyDescent="0.25">
      <c r="A1693" t="s">
        <v>24</v>
      </c>
      <c r="B1693" t="s">
        <v>1487</v>
      </c>
      <c r="C1693" t="str">
        <f>"A0158636"</f>
        <v>A0158636</v>
      </c>
      <c r="D1693" t="s">
        <v>33639</v>
      </c>
      <c r="E1693" t="s">
        <v>33640</v>
      </c>
      <c r="F1693" t="s">
        <v>356</v>
      </c>
      <c r="G1693" t="s">
        <v>52</v>
      </c>
      <c r="H1693">
        <v>78205</v>
      </c>
      <c r="I1693" t="s">
        <v>30</v>
      </c>
      <c r="J1693" t="s">
        <v>162</v>
      </c>
      <c r="K1693" t="s">
        <v>1209</v>
      </c>
      <c r="N1693" t="s">
        <v>33641</v>
      </c>
      <c r="O1693" t="s">
        <v>33642</v>
      </c>
      <c r="Q1693">
        <v>0</v>
      </c>
      <c r="R1693">
        <v>197</v>
      </c>
      <c r="S1693">
        <v>0</v>
      </c>
      <c r="T1693" t="s">
        <v>192</v>
      </c>
    </row>
    <row r="1694" spans="1:20" customFormat="1" ht="15" x14ac:dyDescent="0.25">
      <c r="A1694" t="s">
        <v>24</v>
      </c>
      <c r="B1694" t="s">
        <v>7387</v>
      </c>
      <c r="C1694" t="str">
        <f>"A0058337"</f>
        <v>A0058337</v>
      </c>
      <c r="D1694" t="s">
        <v>7388</v>
      </c>
      <c r="E1694" t="s">
        <v>7389</v>
      </c>
      <c r="F1694" t="s">
        <v>5107</v>
      </c>
      <c r="G1694" t="s">
        <v>137</v>
      </c>
      <c r="H1694">
        <v>64111</v>
      </c>
      <c r="I1694" t="s">
        <v>30</v>
      </c>
      <c r="J1694" t="s">
        <v>31</v>
      </c>
      <c r="K1694" t="s">
        <v>2524</v>
      </c>
      <c r="N1694" t="s">
        <v>7390</v>
      </c>
      <c r="O1694" t="s">
        <v>7391</v>
      </c>
      <c r="Q1694">
        <v>0</v>
      </c>
      <c r="R1694">
        <v>76</v>
      </c>
      <c r="S1694">
        <v>0</v>
      </c>
      <c r="T1694" t="s">
        <v>7392</v>
      </c>
    </row>
    <row r="1695" spans="1:20" customFormat="1" ht="15" x14ac:dyDescent="0.25">
      <c r="A1695" t="s">
        <v>35</v>
      </c>
      <c r="B1695" t="s">
        <v>6765</v>
      </c>
      <c r="C1695" t="str">
        <f>"A0125978"</f>
        <v>A0125978</v>
      </c>
      <c r="D1695" t="s">
        <v>7393</v>
      </c>
      <c r="E1695" t="s">
        <v>7394</v>
      </c>
      <c r="F1695" t="s">
        <v>7395</v>
      </c>
      <c r="G1695" t="s">
        <v>29</v>
      </c>
      <c r="H1695">
        <v>22701</v>
      </c>
      <c r="I1695" t="s">
        <v>30</v>
      </c>
      <c r="J1695" t="s">
        <v>41</v>
      </c>
      <c r="K1695" t="s">
        <v>59</v>
      </c>
      <c r="Q1695">
        <v>0</v>
      </c>
      <c r="R1695">
        <v>40</v>
      </c>
      <c r="S1695">
        <v>40</v>
      </c>
      <c r="T1695" t="s">
        <v>7396</v>
      </c>
    </row>
    <row r="1696" spans="1:20" customFormat="1" ht="15" x14ac:dyDescent="0.25">
      <c r="A1696" t="s">
        <v>24</v>
      </c>
      <c r="B1696" t="s">
        <v>33675</v>
      </c>
      <c r="C1696" t="str">
        <f>"A0179556"</f>
        <v>A0179556</v>
      </c>
      <c r="D1696" t="s">
        <v>33676</v>
      </c>
      <c r="E1696" t="s">
        <v>33677</v>
      </c>
      <c r="F1696" t="s">
        <v>33663</v>
      </c>
      <c r="G1696" t="s">
        <v>110</v>
      </c>
      <c r="H1696">
        <v>90028</v>
      </c>
      <c r="I1696" t="s">
        <v>30</v>
      </c>
      <c r="J1696" t="s">
        <v>162</v>
      </c>
      <c r="K1696" t="s">
        <v>13671</v>
      </c>
      <c r="Q1696">
        <v>0</v>
      </c>
      <c r="R1696">
        <v>212</v>
      </c>
      <c r="S1696">
        <v>0</v>
      </c>
      <c r="T1696" t="s">
        <v>33678</v>
      </c>
    </row>
    <row r="1697" spans="1:25" customFormat="1" ht="15" x14ac:dyDescent="0.25">
      <c r="A1697" t="s">
        <v>24</v>
      </c>
      <c r="B1697" t="s">
        <v>7051</v>
      </c>
      <c r="C1697" t="str">
        <f>"A0158369"</f>
        <v>A0158369</v>
      </c>
      <c r="D1697" t="s">
        <v>33686</v>
      </c>
      <c r="E1697" t="s">
        <v>33687</v>
      </c>
      <c r="F1697" t="s">
        <v>242</v>
      </c>
      <c r="G1697" t="s">
        <v>214</v>
      </c>
      <c r="H1697">
        <v>28211</v>
      </c>
      <c r="I1697" t="s">
        <v>30</v>
      </c>
      <c r="J1697" t="s">
        <v>162</v>
      </c>
      <c r="K1697" t="s">
        <v>1845</v>
      </c>
      <c r="N1697" t="s">
        <v>33688</v>
      </c>
      <c r="O1697" t="s">
        <v>33689</v>
      </c>
      <c r="Q1697">
        <v>0</v>
      </c>
      <c r="R1697">
        <v>175</v>
      </c>
      <c r="S1697">
        <v>0</v>
      </c>
      <c r="T1697" t="s">
        <v>3073</v>
      </c>
    </row>
    <row r="1698" spans="1:25" customFormat="1" ht="15" x14ac:dyDescent="0.25">
      <c r="A1698" t="s">
        <v>24</v>
      </c>
      <c r="B1698" t="s">
        <v>7405</v>
      </c>
      <c r="C1698" t="str">
        <f>"A0166060"</f>
        <v>A0166060</v>
      </c>
      <c r="D1698" t="s">
        <v>7406</v>
      </c>
      <c r="E1698" t="s">
        <v>7407</v>
      </c>
      <c r="F1698" t="s">
        <v>7408</v>
      </c>
      <c r="G1698" t="s">
        <v>899</v>
      </c>
      <c r="H1698">
        <v>2151</v>
      </c>
      <c r="I1698" t="s">
        <v>30</v>
      </c>
      <c r="J1698" t="s">
        <v>31</v>
      </c>
      <c r="K1698" t="s">
        <v>255</v>
      </c>
      <c r="N1698" t="s">
        <v>7409</v>
      </c>
      <c r="Q1698">
        <v>0</v>
      </c>
      <c r="R1698">
        <v>168</v>
      </c>
      <c r="S1698">
        <v>0</v>
      </c>
      <c r="T1698" t="s">
        <v>7410</v>
      </c>
    </row>
    <row r="1699" spans="1:25" customFormat="1" ht="15" x14ac:dyDescent="0.25">
      <c r="A1699" t="s">
        <v>24</v>
      </c>
      <c r="B1699" t="s">
        <v>7411</v>
      </c>
      <c r="C1699" t="str">
        <f>"A0190205"</f>
        <v>A0190205</v>
      </c>
      <c r="D1699" t="s">
        <v>7412</v>
      </c>
      <c r="E1699" t="s">
        <v>7413</v>
      </c>
      <c r="F1699" t="s">
        <v>7414</v>
      </c>
      <c r="G1699" t="s">
        <v>880</v>
      </c>
      <c r="H1699">
        <v>37066</v>
      </c>
      <c r="I1699" t="s">
        <v>30</v>
      </c>
      <c r="J1699" t="s">
        <v>178</v>
      </c>
      <c r="K1699" t="s">
        <v>179</v>
      </c>
      <c r="N1699" t="s">
        <v>7415</v>
      </c>
      <c r="O1699" t="s">
        <v>7416</v>
      </c>
      <c r="Q1699">
        <v>0</v>
      </c>
      <c r="R1699">
        <v>0</v>
      </c>
      <c r="S1699">
        <v>0</v>
      </c>
      <c r="T1699" t="s">
        <v>7417</v>
      </c>
    </row>
    <row r="1700" spans="1:25" customFormat="1" ht="15" x14ac:dyDescent="0.25">
      <c r="A1700" t="s">
        <v>24</v>
      </c>
      <c r="B1700" t="s">
        <v>33690</v>
      </c>
      <c r="C1700" t="str">
        <f>"A0178637"</f>
        <v>A0178637</v>
      </c>
      <c r="D1700" t="s">
        <v>33691</v>
      </c>
      <c r="E1700" t="s">
        <v>33692</v>
      </c>
      <c r="F1700" t="s">
        <v>33693</v>
      </c>
      <c r="G1700" t="s">
        <v>144</v>
      </c>
      <c r="H1700">
        <v>58102</v>
      </c>
      <c r="I1700" t="s">
        <v>30</v>
      </c>
      <c r="J1700" t="s">
        <v>162</v>
      </c>
      <c r="K1700" t="s">
        <v>163</v>
      </c>
      <c r="N1700" t="s">
        <v>33694</v>
      </c>
      <c r="O1700" t="s">
        <v>33695</v>
      </c>
      <c r="Q1700">
        <v>0</v>
      </c>
      <c r="R1700">
        <v>125</v>
      </c>
      <c r="S1700">
        <v>0</v>
      </c>
      <c r="T1700" t="s">
        <v>33696</v>
      </c>
    </row>
    <row r="1701" spans="1:25" customFormat="1" ht="15" x14ac:dyDescent="0.25">
      <c r="A1701" t="s">
        <v>24</v>
      </c>
      <c r="B1701" t="s">
        <v>1323</v>
      </c>
      <c r="C1701" t="str">
        <f>"A0167051"</f>
        <v>A0167051</v>
      </c>
      <c r="D1701" t="s">
        <v>33697</v>
      </c>
      <c r="E1701" t="s">
        <v>33698</v>
      </c>
      <c r="F1701" t="s">
        <v>33699</v>
      </c>
      <c r="G1701" t="s">
        <v>81</v>
      </c>
      <c r="H1701">
        <v>32084</v>
      </c>
      <c r="I1701" t="s">
        <v>30</v>
      </c>
      <c r="J1701" t="s">
        <v>162</v>
      </c>
      <c r="K1701" t="s">
        <v>8335</v>
      </c>
      <c r="N1701" t="s">
        <v>33700</v>
      </c>
      <c r="Q1701">
        <v>0</v>
      </c>
      <c r="R1701">
        <v>89</v>
      </c>
      <c r="S1701">
        <v>0</v>
      </c>
      <c r="T1701" t="s">
        <v>33701</v>
      </c>
    </row>
    <row r="1702" spans="1:25" customFormat="1" ht="15" x14ac:dyDescent="0.25">
      <c r="A1702" t="s">
        <v>24</v>
      </c>
      <c r="B1702" t="s">
        <v>5166</v>
      </c>
      <c r="C1702" t="str">
        <f>"A0166793"</f>
        <v>A0166793</v>
      </c>
      <c r="D1702" t="s">
        <v>33702</v>
      </c>
      <c r="E1702" t="s">
        <v>33703</v>
      </c>
      <c r="F1702" t="s">
        <v>972</v>
      </c>
      <c r="G1702" t="s">
        <v>190</v>
      </c>
      <c r="H1702">
        <v>80205</v>
      </c>
      <c r="I1702" t="s">
        <v>30</v>
      </c>
      <c r="J1702" t="s">
        <v>162</v>
      </c>
      <c r="K1702" t="s">
        <v>163</v>
      </c>
      <c r="N1702" t="s">
        <v>33704</v>
      </c>
      <c r="O1702" t="s">
        <v>33705</v>
      </c>
      <c r="Q1702">
        <v>0</v>
      </c>
      <c r="R1702">
        <v>165</v>
      </c>
      <c r="S1702">
        <v>0</v>
      </c>
      <c r="T1702" t="s">
        <v>192</v>
      </c>
    </row>
    <row r="1703" spans="1:25" customFormat="1" ht="15" x14ac:dyDescent="0.25">
      <c r="A1703" t="s">
        <v>24</v>
      </c>
      <c r="B1703" t="s">
        <v>1487</v>
      </c>
      <c r="C1703" t="str">
        <f>"A0166190"</f>
        <v>A0166190</v>
      </c>
      <c r="D1703" t="s">
        <v>33710</v>
      </c>
      <c r="E1703" t="s">
        <v>33711</v>
      </c>
      <c r="F1703" t="s">
        <v>242</v>
      </c>
      <c r="G1703" t="s">
        <v>214</v>
      </c>
      <c r="H1703">
        <v>28202</v>
      </c>
      <c r="I1703" t="s">
        <v>30</v>
      </c>
      <c r="J1703" t="s">
        <v>162</v>
      </c>
      <c r="K1703" t="s">
        <v>10770</v>
      </c>
      <c r="N1703" t="s">
        <v>33712</v>
      </c>
      <c r="Q1703">
        <v>0</v>
      </c>
      <c r="R1703">
        <v>381</v>
      </c>
      <c r="S1703">
        <v>0</v>
      </c>
      <c r="T1703" t="s">
        <v>33713</v>
      </c>
    </row>
    <row r="1704" spans="1:25" customFormat="1" ht="15" x14ac:dyDescent="0.25">
      <c r="A1704" t="s">
        <v>24</v>
      </c>
      <c r="B1704" t="s">
        <v>193</v>
      </c>
      <c r="C1704" t="str">
        <f>"A0060625"</f>
        <v>A0060625</v>
      </c>
      <c r="D1704" t="s">
        <v>33816</v>
      </c>
      <c r="E1704" t="s">
        <v>33817</v>
      </c>
      <c r="F1704" t="s">
        <v>997</v>
      </c>
      <c r="G1704" t="s">
        <v>99</v>
      </c>
      <c r="H1704">
        <v>10019</v>
      </c>
      <c r="I1704" t="s">
        <v>30</v>
      </c>
      <c r="J1704" t="s">
        <v>162</v>
      </c>
      <c r="K1704" t="s">
        <v>163</v>
      </c>
      <c r="N1704" t="s">
        <v>33818</v>
      </c>
      <c r="O1704" t="s">
        <v>33819</v>
      </c>
      <c r="Q1704">
        <v>0</v>
      </c>
      <c r="R1704">
        <v>479</v>
      </c>
      <c r="S1704">
        <v>0</v>
      </c>
      <c r="T1704" t="s">
        <v>33820</v>
      </c>
    </row>
    <row r="1705" spans="1:25" customFormat="1" ht="15" x14ac:dyDescent="0.25">
      <c r="A1705" t="s">
        <v>24</v>
      </c>
      <c r="B1705" t="s">
        <v>9391</v>
      </c>
      <c r="C1705" t="str">
        <f>"A0180325"</f>
        <v>A0180325</v>
      </c>
      <c r="D1705" t="s">
        <v>33871</v>
      </c>
      <c r="E1705" t="s">
        <v>33872</v>
      </c>
      <c r="F1705" t="s">
        <v>1346</v>
      </c>
      <c r="G1705" t="s">
        <v>880</v>
      </c>
      <c r="H1705">
        <v>37402</v>
      </c>
      <c r="I1705" t="s">
        <v>30</v>
      </c>
      <c r="J1705" t="s">
        <v>162</v>
      </c>
      <c r="K1705" t="s">
        <v>3447</v>
      </c>
      <c r="N1705" t="s">
        <v>33873</v>
      </c>
      <c r="Q1705">
        <v>0</v>
      </c>
      <c r="R1705">
        <v>64</v>
      </c>
      <c r="S1705">
        <v>0</v>
      </c>
      <c r="T1705" t="s">
        <v>33874</v>
      </c>
    </row>
    <row r="1706" spans="1:25" customFormat="1" ht="15" x14ac:dyDescent="0.25">
      <c r="A1706" t="s">
        <v>24</v>
      </c>
      <c r="B1706" t="s">
        <v>7220</v>
      </c>
      <c r="C1706" t="str">
        <f>"A0190330"</f>
        <v>A0190330</v>
      </c>
      <c r="D1706" t="s">
        <v>7447</v>
      </c>
      <c r="E1706" t="s">
        <v>7448</v>
      </c>
      <c r="F1706" t="s">
        <v>7449</v>
      </c>
      <c r="G1706" t="s">
        <v>190</v>
      </c>
      <c r="H1706">
        <v>80759</v>
      </c>
      <c r="I1706" t="s">
        <v>30</v>
      </c>
      <c r="J1706" t="s">
        <v>31</v>
      </c>
      <c r="K1706" t="s">
        <v>5869</v>
      </c>
      <c r="N1706" t="s">
        <v>7450</v>
      </c>
      <c r="Q1706">
        <v>0</v>
      </c>
      <c r="R1706">
        <v>45</v>
      </c>
      <c r="S1706">
        <v>0</v>
      </c>
      <c r="T1706" t="s">
        <v>7451</v>
      </c>
    </row>
    <row r="1707" spans="1:25" customFormat="1" ht="15" x14ac:dyDescent="0.25">
      <c r="A1707" t="s">
        <v>24</v>
      </c>
      <c r="B1707" t="s">
        <v>7452</v>
      </c>
      <c r="C1707" t="str">
        <f>"A0092139"</f>
        <v>A0092139</v>
      </c>
      <c r="D1707" t="s">
        <v>7453</v>
      </c>
      <c r="E1707" t="s">
        <v>7454</v>
      </c>
      <c r="F1707" t="s">
        <v>7455</v>
      </c>
      <c r="G1707" t="s">
        <v>123</v>
      </c>
      <c r="H1707">
        <v>21237</v>
      </c>
      <c r="I1707" t="s">
        <v>30</v>
      </c>
      <c r="J1707" t="s">
        <v>31</v>
      </c>
      <c r="K1707" t="s">
        <v>308</v>
      </c>
      <c r="N1707" t="s">
        <v>7456</v>
      </c>
      <c r="Q1707">
        <v>0</v>
      </c>
      <c r="R1707">
        <v>81</v>
      </c>
      <c r="S1707">
        <v>0</v>
      </c>
      <c r="T1707" t="s">
        <v>7457</v>
      </c>
    </row>
    <row r="1708" spans="1:25" customFormat="1" ht="15" x14ac:dyDescent="0.25">
      <c r="A1708" t="s">
        <v>24</v>
      </c>
      <c r="B1708" t="s">
        <v>1467</v>
      </c>
      <c r="C1708" t="str">
        <f>"A0190328"</f>
        <v>A0190328</v>
      </c>
      <c r="D1708" t="s">
        <v>7458</v>
      </c>
      <c r="E1708" t="s">
        <v>7459</v>
      </c>
      <c r="F1708" t="s">
        <v>7460</v>
      </c>
      <c r="G1708" t="s">
        <v>1363</v>
      </c>
      <c r="H1708">
        <v>3818</v>
      </c>
      <c r="I1708" t="s">
        <v>30</v>
      </c>
      <c r="J1708" t="s">
        <v>31</v>
      </c>
      <c r="K1708" t="s">
        <v>261</v>
      </c>
      <c r="N1708" t="s">
        <v>7461</v>
      </c>
      <c r="Q1708">
        <v>0</v>
      </c>
      <c r="R1708">
        <v>80</v>
      </c>
      <c r="S1708">
        <v>0</v>
      </c>
      <c r="T1708" t="s">
        <v>7462</v>
      </c>
    </row>
    <row r="1709" spans="1:25" x14ac:dyDescent="0.25">
      <c r="A1709" s="5" t="s">
        <v>24</v>
      </c>
      <c r="B1709" s="5" t="s">
        <v>8815</v>
      </c>
      <c r="C1709" s="5" t="str">
        <f>"A0165889"</f>
        <v>A0165889</v>
      </c>
      <c r="D1709" s="5" t="s">
        <v>33901</v>
      </c>
      <c r="E1709" s="5" t="s">
        <v>33902</v>
      </c>
      <c r="F1709" s="5" t="s">
        <v>10939</v>
      </c>
      <c r="G1709" s="5" t="s">
        <v>52</v>
      </c>
      <c r="H1709" s="5">
        <v>76092</v>
      </c>
      <c r="I1709" s="5" t="s">
        <v>30</v>
      </c>
      <c r="J1709" s="5" t="s">
        <v>162</v>
      </c>
      <c r="K1709" s="5" t="s">
        <v>4809</v>
      </c>
      <c r="L1709" s="5"/>
      <c r="M1709" s="5"/>
      <c r="N1709" s="5" t="s">
        <v>33903</v>
      </c>
      <c r="O1709" s="5" t="s">
        <v>33904</v>
      </c>
      <c r="P1709" s="5"/>
      <c r="Q1709" s="5">
        <v>0</v>
      </c>
      <c r="R1709" s="5">
        <v>248</v>
      </c>
      <c r="S1709" s="5">
        <v>0</v>
      </c>
      <c r="T1709" s="5" t="s">
        <v>33905</v>
      </c>
      <c r="U1709" s="5"/>
      <c r="V1709" s="5"/>
      <c r="W1709" s="5"/>
      <c r="X1709" s="5"/>
      <c r="Y1709" s="5"/>
    </row>
    <row r="1710" spans="1:25" customFormat="1" ht="15" x14ac:dyDescent="0.25">
      <c r="A1710" t="s">
        <v>24</v>
      </c>
      <c r="B1710" t="s">
        <v>7468</v>
      </c>
      <c r="C1710" t="str">
        <f>"A0190200"</f>
        <v>A0190200</v>
      </c>
      <c r="D1710" t="s">
        <v>7469</v>
      </c>
      <c r="E1710" t="s">
        <v>7470</v>
      </c>
      <c r="F1710" t="s">
        <v>1258</v>
      </c>
      <c r="G1710" t="s">
        <v>81</v>
      </c>
      <c r="H1710">
        <v>32114</v>
      </c>
      <c r="I1710" t="s">
        <v>30</v>
      </c>
      <c r="J1710" t="s">
        <v>145</v>
      </c>
      <c r="K1710" t="s">
        <v>1353</v>
      </c>
      <c r="N1710" t="s">
        <v>7471</v>
      </c>
      <c r="Q1710">
        <v>0</v>
      </c>
      <c r="R1710">
        <v>45</v>
      </c>
      <c r="S1710">
        <v>0</v>
      </c>
      <c r="T1710" t="s">
        <v>7472</v>
      </c>
    </row>
    <row r="1711" spans="1:25" customFormat="1" ht="15" x14ac:dyDescent="0.25">
      <c r="A1711" t="s">
        <v>24</v>
      </c>
      <c r="B1711" t="s">
        <v>2011</v>
      </c>
      <c r="C1711" t="str">
        <f>"A0179592"</f>
        <v>A0179592</v>
      </c>
      <c r="D1711" t="s">
        <v>33912</v>
      </c>
      <c r="E1711" t="s">
        <v>33913</v>
      </c>
      <c r="F1711" t="s">
        <v>33388</v>
      </c>
      <c r="G1711" t="s">
        <v>110</v>
      </c>
      <c r="H1711">
        <v>92054</v>
      </c>
      <c r="I1711" t="s">
        <v>30</v>
      </c>
      <c r="J1711" t="s">
        <v>162</v>
      </c>
      <c r="K1711" t="s">
        <v>13246</v>
      </c>
      <c r="N1711" t="s">
        <v>33389</v>
      </c>
      <c r="O1711" t="s">
        <v>33390</v>
      </c>
      <c r="Q1711">
        <v>0</v>
      </c>
      <c r="R1711">
        <v>161</v>
      </c>
      <c r="S1711">
        <v>0</v>
      </c>
      <c r="T1711" t="s">
        <v>33914</v>
      </c>
    </row>
    <row r="1712" spans="1:25" customFormat="1" ht="15" x14ac:dyDescent="0.25">
      <c r="A1712" t="s">
        <v>24</v>
      </c>
      <c r="B1712" t="s">
        <v>2238</v>
      </c>
      <c r="C1712" t="str">
        <f>"A0145943"</f>
        <v>A0145943</v>
      </c>
      <c r="D1712" t="s">
        <v>7477</v>
      </c>
      <c r="E1712" t="s">
        <v>7478</v>
      </c>
      <c r="F1712" t="s">
        <v>2241</v>
      </c>
      <c r="G1712" t="s">
        <v>110</v>
      </c>
      <c r="H1712">
        <v>94559</v>
      </c>
      <c r="I1712" t="s">
        <v>30</v>
      </c>
      <c r="J1712" t="s">
        <v>7479</v>
      </c>
      <c r="K1712" t="s">
        <v>163</v>
      </c>
      <c r="N1712" t="s">
        <v>7480</v>
      </c>
      <c r="O1712" t="s">
        <v>2243</v>
      </c>
      <c r="Q1712">
        <v>0</v>
      </c>
      <c r="R1712">
        <v>0</v>
      </c>
      <c r="S1712">
        <v>0</v>
      </c>
      <c r="T1712" t="s">
        <v>7481</v>
      </c>
    </row>
    <row r="1713" spans="1:25" customFormat="1" ht="15" x14ac:dyDescent="0.25">
      <c r="A1713" t="s">
        <v>24</v>
      </c>
      <c r="B1713" t="s">
        <v>7373</v>
      </c>
      <c r="C1713" t="str">
        <f>"A0066194"</f>
        <v>A0066194</v>
      </c>
      <c r="D1713" t="s">
        <v>7482</v>
      </c>
      <c r="E1713" t="s">
        <v>7483</v>
      </c>
      <c r="F1713" t="s">
        <v>7484</v>
      </c>
      <c r="G1713" t="s">
        <v>123</v>
      </c>
      <c r="H1713">
        <v>20785</v>
      </c>
      <c r="I1713" t="s">
        <v>30</v>
      </c>
      <c r="J1713" t="s">
        <v>31</v>
      </c>
      <c r="K1713" t="s">
        <v>296</v>
      </c>
      <c r="N1713" t="s">
        <v>7485</v>
      </c>
      <c r="O1713" t="s">
        <v>7486</v>
      </c>
      <c r="Q1713">
        <v>0</v>
      </c>
      <c r="R1713">
        <v>125</v>
      </c>
      <c r="S1713">
        <v>0</v>
      </c>
      <c r="T1713" t="s">
        <v>7487</v>
      </c>
    </row>
    <row r="1714" spans="1:25" customFormat="1" ht="15" x14ac:dyDescent="0.25">
      <c r="A1714" t="s">
        <v>24</v>
      </c>
      <c r="B1714" t="s">
        <v>5429</v>
      </c>
      <c r="C1714" t="str">
        <f>"A0180004"</f>
        <v>A0180004</v>
      </c>
      <c r="D1714" t="s">
        <v>33915</v>
      </c>
      <c r="E1714" t="s">
        <v>33916</v>
      </c>
      <c r="F1714" t="s">
        <v>372</v>
      </c>
      <c r="G1714" t="s">
        <v>52</v>
      </c>
      <c r="H1714">
        <v>78701</v>
      </c>
      <c r="I1714" t="s">
        <v>30</v>
      </c>
      <c r="J1714" t="s">
        <v>162</v>
      </c>
      <c r="K1714" t="s">
        <v>1209</v>
      </c>
      <c r="N1714" t="s">
        <v>33917</v>
      </c>
      <c r="O1714" t="s">
        <v>33918</v>
      </c>
      <c r="Q1714">
        <v>0</v>
      </c>
      <c r="R1714">
        <v>140</v>
      </c>
      <c r="S1714">
        <v>0</v>
      </c>
      <c r="T1714" t="s">
        <v>33919</v>
      </c>
    </row>
    <row r="1715" spans="1:25" customFormat="1" ht="15" x14ac:dyDescent="0.25">
      <c r="A1715" t="s">
        <v>24</v>
      </c>
      <c r="B1715" t="s">
        <v>762</v>
      </c>
      <c r="C1715" t="str">
        <f>"A0062635"</f>
        <v>A0062635</v>
      </c>
      <c r="D1715" t="s">
        <v>33957</v>
      </c>
      <c r="E1715" t="s">
        <v>33958</v>
      </c>
      <c r="F1715" t="s">
        <v>3048</v>
      </c>
      <c r="G1715" t="s">
        <v>3049</v>
      </c>
      <c r="H1715">
        <v>99501</v>
      </c>
      <c r="I1715" t="s">
        <v>30</v>
      </c>
      <c r="J1715" t="s">
        <v>162</v>
      </c>
      <c r="K1715" t="s">
        <v>243</v>
      </c>
      <c r="Q1715">
        <v>0</v>
      </c>
      <c r="R1715">
        <v>112</v>
      </c>
      <c r="S1715">
        <v>0</v>
      </c>
      <c r="T1715" t="s">
        <v>33959</v>
      </c>
    </row>
    <row r="1716" spans="1:25" customFormat="1" ht="15" x14ac:dyDescent="0.25">
      <c r="A1716" t="s">
        <v>24</v>
      </c>
      <c r="B1716" t="s">
        <v>140</v>
      </c>
      <c r="C1716" t="str">
        <f>"A0060520"</f>
        <v>A0060520</v>
      </c>
      <c r="D1716" t="s">
        <v>34045</v>
      </c>
      <c r="E1716" t="s">
        <v>34046</v>
      </c>
      <c r="F1716" t="s">
        <v>356</v>
      </c>
      <c r="G1716" t="s">
        <v>52</v>
      </c>
      <c r="H1716">
        <v>78205</v>
      </c>
      <c r="I1716" t="s">
        <v>30</v>
      </c>
      <c r="J1716" t="s">
        <v>162</v>
      </c>
      <c r="K1716" t="s">
        <v>1502</v>
      </c>
      <c r="N1716" t="s">
        <v>34047</v>
      </c>
      <c r="Q1716">
        <v>0</v>
      </c>
      <c r="R1716">
        <v>322</v>
      </c>
      <c r="S1716">
        <v>0</v>
      </c>
      <c r="T1716" t="s">
        <v>34048</v>
      </c>
    </row>
    <row r="1717" spans="1:25" customFormat="1" ht="15" x14ac:dyDescent="0.25">
      <c r="A1717" t="s">
        <v>24</v>
      </c>
      <c r="B1717" t="s">
        <v>33690</v>
      </c>
      <c r="C1717" t="str">
        <f>"A0178638"</f>
        <v>A0178638</v>
      </c>
      <c r="D1717" t="s">
        <v>34054</v>
      </c>
      <c r="E1717" t="s">
        <v>34055</v>
      </c>
      <c r="F1717" t="s">
        <v>34056</v>
      </c>
      <c r="G1717" t="s">
        <v>190</v>
      </c>
      <c r="H1717">
        <v>80206</v>
      </c>
      <c r="I1717" t="s">
        <v>30</v>
      </c>
      <c r="J1717" t="s">
        <v>162</v>
      </c>
      <c r="K1717" t="s">
        <v>163</v>
      </c>
      <c r="N1717" t="s">
        <v>34057</v>
      </c>
      <c r="O1717" t="s">
        <v>34058</v>
      </c>
      <c r="Q1717">
        <v>0</v>
      </c>
      <c r="R1717">
        <v>63</v>
      </c>
      <c r="S1717">
        <v>0</v>
      </c>
      <c r="T1717" t="s">
        <v>34059</v>
      </c>
    </row>
    <row r="1718" spans="1:25" x14ac:dyDescent="0.25">
      <c r="A1718" s="5" t="s">
        <v>24</v>
      </c>
      <c r="B1718" s="5" t="s">
        <v>6660</v>
      </c>
      <c r="C1718" s="5" t="str">
        <f>"A0051760"</f>
        <v>A0051760</v>
      </c>
      <c r="D1718" s="5" t="s">
        <v>34062</v>
      </c>
      <c r="E1718" s="5" t="s">
        <v>34063</v>
      </c>
      <c r="F1718" s="5" t="s">
        <v>34064</v>
      </c>
      <c r="G1718" s="5" t="s">
        <v>47</v>
      </c>
      <c r="H1718" s="5">
        <v>97388</v>
      </c>
      <c r="I1718" s="5" t="s">
        <v>30</v>
      </c>
      <c r="J1718" s="5" t="s">
        <v>162</v>
      </c>
      <c r="K1718" s="5" t="s">
        <v>163</v>
      </c>
      <c r="L1718" s="5"/>
      <c r="M1718" s="5"/>
      <c r="N1718" s="5" t="s">
        <v>34065</v>
      </c>
      <c r="O1718" s="5" t="s">
        <v>34066</v>
      </c>
      <c r="P1718" s="5" t="s">
        <v>3998</v>
      </c>
      <c r="Q1718" s="5">
        <v>1</v>
      </c>
      <c r="R1718" s="5">
        <v>204</v>
      </c>
      <c r="S1718" s="5">
        <v>0</v>
      </c>
      <c r="T1718" s="5" t="s">
        <v>34067</v>
      </c>
      <c r="U1718" s="5"/>
      <c r="V1718" s="5"/>
      <c r="W1718" s="5"/>
      <c r="X1718" s="5"/>
      <c r="Y1718" s="5"/>
    </row>
    <row r="1719" spans="1:25" customFormat="1" ht="15" x14ac:dyDescent="0.25">
      <c r="A1719" t="s">
        <v>24</v>
      </c>
      <c r="B1719" t="s">
        <v>193</v>
      </c>
      <c r="C1719" t="str">
        <f>"57139"</f>
        <v>57139</v>
      </c>
      <c r="D1719" t="s">
        <v>7511</v>
      </c>
      <c r="E1719" t="s">
        <v>7512</v>
      </c>
      <c r="F1719" t="s">
        <v>1131</v>
      </c>
      <c r="G1719" t="s">
        <v>29</v>
      </c>
      <c r="H1719">
        <v>22202</v>
      </c>
      <c r="I1719" t="s">
        <v>30</v>
      </c>
      <c r="J1719" t="s">
        <v>215</v>
      </c>
      <c r="K1719" t="s">
        <v>163</v>
      </c>
      <c r="N1719" t="s">
        <v>7513</v>
      </c>
      <c r="O1719" t="s">
        <v>7514</v>
      </c>
      <c r="Q1719">
        <v>0</v>
      </c>
      <c r="R1719">
        <v>299</v>
      </c>
      <c r="S1719">
        <v>0</v>
      </c>
      <c r="T1719" t="s">
        <v>7515</v>
      </c>
    </row>
    <row r="1720" spans="1:25" customFormat="1" ht="15" x14ac:dyDescent="0.25">
      <c r="A1720" t="s">
        <v>35</v>
      </c>
      <c r="B1720" t="s">
        <v>2711</v>
      </c>
      <c r="C1720" t="str">
        <f>"A0190325"</f>
        <v>A0190325</v>
      </c>
      <c r="D1720" t="s">
        <v>7516</v>
      </c>
      <c r="E1720" t="s">
        <v>7517</v>
      </c>
      <c r="F1720" t="s">
        <v>7518</v>
      </c>
      <c r="G1720" t="s">
        <v>81</v>
      </c>
      <c r="H1720">
        <v>33880</v>
      </c>
      <c r="I1720" t="s">
        <v>30</v>
      </c>
      <c r="J1720" t="s">
        <v>41</v>
      </c>
      <c r="K1720" t="s">
        <v>2715</v>
      </c>
      <c r="Q1720">
        <v>0</v>
      </c>
      <c r="R1720">
        <v>0</v>
      </c>
      <c r="S1720">
        <v>0</v>
      </c>
      <c r="T1720" t="s">
        <v>72</v>
      </c>
    </row>
    <row r="1721" spans="1:25" customFormat="1" ht="15" x14ac:dyDescent="0.25">
      <c r="A1721" t="s">
        <v>35</v>
      </c>
      <c r="B1721" t="s">
        <v>5456</v>
      </c>
      <c r="C1721" t="str">
        <f>"A0190324"</f>
        <v>A0190324</v>
      </c>
      <c r="D1721" t="s">
        <v>7519</v>
      </c>
      <c r="E1721" t="s">
        <v>7520</v>
      </c>
      <c r="F1721" t="s">
        <v>1439</v>
      </c>
      <c r="G1721" t="s">
        <v>110</v>
      </c>
      <c r="H1721">
        <v>92108</v>
      </c>
      <c r="I1721" t="s">
        <v>30</v>
      </c>
      <c r="J1721" t="s">
        <v>41</v>
      </c>
      <c r="K1721" t="s">
        <v>2468</v>
      </c>
      <c r="Q1721">
        <v>0</v>
      </c>
      <c r="R1721">
        <v>0</v>
      </c>
      <c r="S1721">
        <v>0</v>
      </c>
      <c r="T1721" t="s">
        <v>72</v>
      </c>
    </row>
    <row r="1722" spans="1:25" customFormat="1" ht="15" x14ac:dyDescent="0.25">
      <c r="A1722" t="s">
        <v>35</v>
      </c>
      <c r="B1722" t="s">
        <v>7359</v>
      </c>
      <c r="C1722" t="str">
        <f>"A0190323"</f>
        <v>A0190323</v>
      </c>
      <c r="D1722" t="s">
        <v>7521</v>
      </c>
      <c r="E1722" t="s">
        <v>7522</v>
      </c>
      <c r="F1722" t="s">
        <v>7523</v>
      </c>
      <c r="G1722" t="s">
        <v>110</v>
      </c>
      <c r="H1722">
        <v>94903</v>
      </c>
      <c r="I1722" t="s">
        <v>30</v>
      </c>
      <c r="J1722" t="s">
        <v>41</v>
      </c>
      <c r="K1722" t="s">
        <v>59</v>
      </c>
      <c r="Q1722">
        <v>0</v>
      </c>
      <c r="R1722">
        <v>0</v>
      </c>
      <c r="S1722">
        <v>60</v>
      </c>
      <c r="T1722" t="s">
        <v>7524</v>
      </c>
    </row>
    <row r="1723" spans="1:25" customFormat="1" ht="15" x14ac:dyDescent="0.25">
      <c r="A1723" t="s">
        <v>35</v>
      </c>
      <c r="B1723" t="s">
        <v>7359</v>
      </c>
      <c r="C1723" t="str">
        <f>"A0190322"</f>
        <v>A0190322</v>
      </c>
      <c r="D1723" t="s">
        <v>7525</v>
      </c>
      <c r="E1723" t="s">
        <v>7526</v>
      </c>
      <c r="F1723" t="s">
        <v>7527</v>
      </c>
      <c r="G1723" t="s">
        <v>110</v>
      </c>
      <c r="H1723">
        <v>93021</v>
      </c>
      <c r="I1723" t="s">
        <v>30</v>
      </c>
      <c r="J1723" t="s">
        <v>41</v>
      </c>
      <c r="K1723" t="s">
        <v>59</v>
      </c>
      <c r="Q1723">
        <v>0</v>
      </c>
      <c r="R1723">
        <v>0</v>
      </c>
      <c r="S1723">
        <v>50</v>
      </c>
      <c r="T1723" t="s">
        <v>7528</v>
      </c>
    </row>
    <row r="1724" spans="1:25" customFormat="1" ht="15" x14ac:dyDescent="0.25">
      <c r="A1724" t="s">
        <v>35</v>
      </c>
      <c r="B1724" t="s">
        <v>7359</v>
      </c>
      <c r="C1724" t="str">
        <f>"A0190321"</f>
        <v>A0190321</v>
      </c>
      <c r="D1724" t="s">
        <v>7529</v>
      </c>
      <c r="E1724" t="s">
        <v>7530</v>
      </c>
      <c r="F1724" t="s">
        <v>7531</v>
      </c>
      <c r="G1724" t="s">
        <v>110</v>
      </c>
      <c r="H1724">
        <v>91724</v>
      </c>
      <c r="I1724" t="s">
        <v>30</v>
      </c>
      <c r="J1724" t="s">
        <v>41</v>
      </c>
      <c r="K1724" t="s">
        <v>59</v>
      </c>
      <c r="Q1724">
        <v>0</v>
      </c>
      <c r="R1724">
        <v>0</v>
      </c>
      <c r="S1724">
        <v>55</v>
      </c>
      <c r="T1724" t="s">
        <v>72</v>
      </c>
    </row>
    <row r="1725" spans="1:25" customFormat="1" ht="15" x14ac:dyDescent="0.25">
      <c r="A1725" t="s">
        <v>35</v>
      </c>
      <c r="B1725" t="s">
        <v>7359</v>
      </c>
      <c r="C1725" t="str">
        <f>"A0190320"</f>
        <v>A0190320</v>
      </c>
      <c r="D1725" t="s">
        <v>7532</v>
      </c>
      <c r="E1725" t="s">
        <v>7533</v>
      </c>
      <c r="F1725" t="s">
        <v>7534</v>
      </c>
      <c r="G1725" t="s">
        <v>110</v>
      </c>
      <c r="H1725">
        <v>92010</v>
      </c>
      <c r="I1725" t="s">
        <v>30</v>
      </c>
      <c r="J1725" t="s">
        <v>41</v>
      </c>
      <c r="K1725" t="s">
        <v>59</v>
      </c>
      <c r="Q1725">
        <v>0</v>
      </c>
      <c r="R1725">
        <v>0</v>
      </c>
      <c r="S1725">
        <v>55</v>
      </c>
      <c r="T1725" t="s">
        <v>72</v>
      </c>
    </row>
    <row r="1726" spans="1:25" customFormat="1" ht="15" x14ac:dyDescent="0.25">
      <c r="A1726" t="s">
        <v>35</v>
      </c>
      <c r="B1726" t="s">
        <v>7269</v>
      </c>
      <c r="C1726" t="str">
        <f>"A0190319"</f>
        <v>A0190319</v>
      </c>
      <c r="D1726" t="s">
        <v>7269</v>
      </c>
      <c r="E1726" t="s">
        <v>7271</v>
      </c>
      <c r="F1726" t="s">
        <v>7272</v>
      </c>
      <c r="G1726" t="s">
        <v>1587</v>
      </c>
      <c r="H1726">
        <v>88011</v>
      </c>
      <c r="I1726" t="s">
        <v>30</v>
      </c>
      <c r="J1726" t="s">
        <v>41</v>
      </c>
      <c r="K1726" t="s">
        <v>290</v>
      </c>
      <c r="Q1726">
        <v>0</v>
      </c>
      <c r="R1726">
        <v>0</v>
      </c>
      <c r="S1726">
        <v>0</v>
      </c>
      <c r="T1726" t="s">
        <v>7535</v>
      </c>
    </row>
    <row r="1727" spans="1:25" customFormat="1" ht="15" x14ac:dyDescent="0.25">
      <c r="A1727" t="s">
        <v>35</v>
      </c>
      <c r="B1727" t="s">
        <v>61</v>
      </c>
      <c r="C1727" t="str">
        <f>"A0190318"</f>
        <v>A0190318</v>
      </c>
      <c r="D1727" t="s">
        <v>7536</v>
      </c>
      <c r="E1727" t="s">
        <v>7537</v>
      </c>
      <c r="F1727" t="s">
        <v>7538</v>
      </c>
      <c r="G1727" t="s">
        <v>110</v>
      </c>
      <c r="H1727">
        <v>93422</v>
      </c>
      <c r="I1727" t="s">
        <v>30</v>
      </c>
      <c r="J1727" t="s">
        <v>41</v>
      </c>
      <c r="K1727" t="s">
        <v>229</v>
      </c>
      <c r="Q1727">
        <v>0</v>
      </c>
      <c r="R1727">
        <v>0</v>
      </c>
      <c r="S1727">
        <v>12</v>
      </c>
      <c r="T1727" t="s">
        <v>7539</v>
      </c>
    </row>
    <row r="1728" spans="1:25" customFormat="1" ht="15" x14ac:dyDescent="0.25">
      <c r="A1728" t="s">
        <v>35</v>
      </c>
      <c r="B1728" t="s">
        <v>61</v>
      </c>
      <c r="C1728" t="str">
        <f>"A0190317"</f>
        <v>A0190317</v>
      </c>
      <c r="D1728" t="s">
        <v>7540</v>
      </c>
      <c r="E1728" t="s">
        <v>7541</v>
      </c>
      <c r="F1728" t="s">
        <v>4615</v>
      </c>
      <c r="G1728" t="s">
        <v>338</v>
      </c>
      <c r="H1728">
        <v>7104</v>
      </c>
      <c r="I1728" t="s">
        <v>30</v>
      </c>
      <c r="J1728" t="s">
        <v>41</v>
      </c>
      <c r="K1728" t="s">
        <v>229</v>
      </c>
      <c r="Q1728">
        <v>0</v>
      </c>
      <c r="R1728">
        <v>0</v>
      </c>
      <c r="S1728">
        <v>340</v>
      </c>
      <c r="T1728" t="s">
        <v>72</v>
      </c>
    </row>
    <row r="1729" spans="1:20" customFormat="1" ht="15" x14ac:dyDescent="0.25">
      <c r="A1729" t="s">
        <v>35</v>
      </c>
      <c r="B1729" t="s">
        <v>106</v>
      </c>
      <c r="C1729" t="str">
        <f>"A0190316"</f>
        <v>A0190316</v>
      </c>
      <c r="D1729" t="s">
        <v>7542</v>
      </c>
      <c r="E1729" t="s">
        <v>7543</v>
      </c>
      <c r="F1729" t="s">
        <v>7544</v>
      </c>
      <c r="G1729" t="s">
        <v>71</v>
      </c>
      <c r="H1729">
        <v>53151</v>
      </c>
      <c r="I1729" t="s">
        <v>30</v>
      </c>
      <c r="J1729" t="s">
        <v>111</v>
      </c>
      <c r="K1729" t="s">
        <v>112</v>
      </c>
      <c r="Q1729">
        <v>0</v>
      </c>
      <c r="R1729">
        <v>0</v>
      </c>
      <c r="S1729">
        <v>0</v>
      </c>
      <c r="T1729" t="s">
        <v>7545</v>
      </c>
    </row>
    <row r="1730" spans="1:20" customFormat="1" ht="15" x14ac:dyDescent="0.25">
      <c r="A1730" t="s">
        <v>35</v>
      </c>
      <c r="B1730" t="s">
        <v>5289</v>
      </c>
      <c r="C1730" t="str">
        <f>"A0190315"</f>
        <v>A0190315</v>
      </c>
      <c r="D1730" t="s">
        <v>7546</v>
      </c>
      <c r="E1730" t="s">
        <v>7547</v>
      </c>
      <c r="F1730" t="s">
        <v>1689</v>
      </c>
      <c r="G1730" t="s">
        <v>840</v>
      </c>
      <c r="H1730">
        <v>40509</v>
      </c>
      <c r="I1730" t="s">
        <v>30</v>
      </c>
      <c r="J1730" t="s">
        <v>41</v>
      </c>
      <c r="K1730" t="s">
        <v>229</v>
      </c>
      <c r="Q1730">
        <v>0</v>
      </c>
      <c r="R1730">
        <v>0</v>
      </c>
      <c r="S1730">
        <v>0</v>
      </c>
      <c r="T1730" t="s">
        <v>72</v>
      </c>
    </row>
    <row r="1731" spans="1:20" customFormat="1" ht="15" x14ac:dyDescent="0.25">
      <c r="A1731" t="s">
        <v>35</v>
      </c>
      <c r="B1731" t="s">
        <v>7245</v>
      </c>
      <c r="C1731" t="str">
        <f>"A0190314"</f>
        <v>A0190314</v>
      </c>
      <c r="D1731" t="s">
        <v>7245</v>
      </c>
      <c r="E1731" t="s">
        <v>7548</v>
      </c>
      <c r="F1731" t="s">
        <v>7549</v>
      </c>
      <c r="G1731" t="s">
        <v>289</v>
      </c>
      <c r="H1731">
        <v>60076</v>
      </c>
      <c r="I1731" t="s">
        <v>30</v>
      </c>
      <c r="J1731" t="s">
        <v>41</v>
      </c>
      <c r="K1731" t="s">
        <v>290</v>
      </c>
      <c r="Q1731">
        <v>0</v>
      </c>
      <c r="R1731">
        <v>0</v>
      </c>
      <c r="S1731">
        <v>0</v>
      </c>
      <c r="T1731" t="s">
        <v>72</v>
      </c>
    </row>
    <row r="1732" spans="1:20" customFormat="1" ht="15" x14ac:dyDescent="0.25">
      <c r="A1732" t="s">
        <v>35</v>
      </c>
      <c r="B1732" t="s">
        <v>5511</v>
      </c>
      <c r="C1732" t="str">
        <f>"A0190313"</f>
        <v>A0190313</v>
      </c>
      <c r="D1732" t="s">
        <v>7550</v>
      </c>
      <c r="E1732" t="s">
        <v>7551</v>
      </c>
      <c r="F1732" t="s">
        <v>4820</v>
      </c>
      <c r="G1732" t="s">
        <v>433</v>
      </c>
      <c r="H1732">
        <v>83201</v>
      </c>
      <c r="I1732" t="s">
        <v>30</v>
      </c>
      <c r="J1732" t="s">
        <v>41</v>
      </c>
      <c r="K1732" t="s">
        <v>290</v>
      </c>
      <c r="Q1732">
        <v>0</v>
      </c>
      <c r="R1732">
        <v>0</v>
      </c>
      <c r="S1732">
        <v>0</v>
      </c>
      <c r="T1732" t="s">
        <v>72</v>
      </c>
    </row>
    <row r="1733" spans="1:20" customFormat="1" ht="15" x14ac:dyDescent="0.25">
      <c r="A1733" t="s">
        <v>35</v>
      </c>
      <c r="B1733" t="s">
        <v>1679</v>
      </c>
      <c r="C1733" t="str">
        <f>"A0165532"</f>
        <v>A0165532</v>
      </c>
      <c r="D1733" t="s">
        <v>7552</v>
      </c>
      <c r="E1733" t="s">
        <v>7553</v>
      </c>
      <c r="F1733" t="s">
        <v>7554</v>
      </c>
      <c r="G1733" t="s">
        <v>58</v>
      </c>
      <c r="H1733">
        <v>29642</v>
      </c>
      <c r="I1733" t="s">
        <v>30</v>
      </c>
      <c r="J1733" t="s">
        <v>41</v>
      </c>
      <c r="K1733" t="s">
        <v>59</v>
      </c>
      <c r="Q1733">
        <v>0</v>
      </c>
      <c r="R1733">
        <v>0</v>
      </c>
      <c r="S1733">
        <v>0</v>
      </c>
      <c r="T1733" t="s">
        <v>7555</v>
      </c>
    </row>
    <row r="1734" spans="1:20" customFormat="1" ht="15" x14ac:dyDescent="0.25">
      <c r="A1734" t="s">
        <v>24</v>
      </c>
      <c r="B1734" t="s">
        <v>193</v>
      </c>
      <c r="C1734" t="str">
        <f>"A0056758"</f>
        <v>A0056758</v>
      </c>
      <c r="D1734" t="s">
        <v>34072</v>
      </c>
      <c r="E1734" t="s">
        <v>34073</v>
      </c>
      <c r="F1734" t="s">
        <v>9812</v>
      </c>
      <c r="G1734" t="s">
        <v>103</v>
      </c>
      <c r="H1734">
        <v>19103</v>
      </c>
      <c r="I1734" t="s">
        <v>30</v>
      </c>
      <c r="J1734" t="s">
        <v>162</v>
      </c>
      <c r="K1734" t="s">
        <v>266</v>
      </c>
      <c r="Q1734">
        <v>0</v>
      </c>
      <c r="R1734">
        <v>288</v>
      </c>
      <c r="S1734">
        <v>0</v>
      </c>
      <c r="T1734" t="s">
        <v>34074</v>
      </c>
    </row>
    <row r="1735" spans="1:20" customFormat="1" ht="15" x14ac:dyDescent="0.25">
      <c r="A1735" t="s">
        <v>24</v>
      </c>
      <c r="B1735" t="s">
        <v>2601</v>
      </c>
      <c r="C1735" t="str">
        <f>"337L5"</f>
        <v>337L5</v>
      </c>
      <c r="D1735" t="s">
        <v>34190</v>
      </c>
      <c r="E1735" t="s">
        <v>34191</v>
      </c>
      <c r="F1735" t="s">
        <v>8882</v>
      </c>
      <c r="G1735" t="s">
        <v>103</v>
      </c>
      <c r="H1735">
        <v>17111</v>
      </c>
      <c r="I1735" t="s">
        <v>30</v>
      </c>
      <c r="J1735" t="s">
        <v>162</v>
      </c>
      <c r="K1735" t="s">
        <v>1502</v>
      </c>
      <c r="N1735" t="s">
        <v>34192</v>
      </c>
      <c r="O1735" t="s">
        <v>34193</v>
      </c>
      <c r="Q1735">
        <v>0</v>
      </c>
      <c r="R1735">
        <v>348</v>
      </c>
      <c r="S1735">
        <v>0</v>
      </c>
      <c r="T1735" t="s">
        <v>34194</v>
      </c>
    </row>
    <row r="1736" spans="1:20" customFormat="1" ht="15" x14ac:dyDescent="0.25">
      <c r="A1736" t="s">
        <v>24</v>
      </c>
      <c r="B1736" t="s">
        <v>1288</v>
      </c>
      <c r="C1736" t="str">
        <f>"A0055517"</f>
        <v>A0055517</v>
      </c>
      <c r="D1736" t="s">
        <v>34195</v>
      </c>
      <c r="E1736" t="s">
        <v>34196</v>
      </c>
      <c r="F1736" t="s">
        <v>34197</v>
      </c>
      <c r="G1736" t="s">
        <v>103</v>
      </c>
      <c r="H1736">
        <v>17011</v>
      </c>
      <c r="I1736" t="s">
        <v>30</v>
      </c>
      <c r="J1736" t="s">
        <v>162</v>
      </c>
      <c r="K1736" t="s">
        <v>251</v>
      </c>
      <c r="N1736" t="s">
        <v>34198</v>
      </c>
      <c r="O1736" t="s">
        <v>34199</v>
      </c>
      <c r="Q1736">
        <v>0</v>
      </c>
      <c r="R1736">
        <v>250</v>
      </c>
      <c r="S1736">
        <v>0</v>
      </c>
      <c r="T1736" t="s">
        <v>34200</v>
      </c>
    </row>
    <row r="1737" spans="1:20" customFormat="1" ht="15" x14ac:dyDescent="0.25">
      <c r="A1737" t="s">
        <v>24</v>
      </c>
      <c r="B1737" t="s">
        <v>193</v>
      </c>
      <c r="C1737" t="str">
        <f>"CL1441"</f>
        <v>CL1441</v>
      </c>
      <c r="D1737" t="s">
        <v>7571</v>
      </c>
      <c r="E1737" t="s">
        <v>7572</v>
      </c>
      <c r="F1737" t="s">
        <v>7573</v>
      </c>
      <c r="G1737" t="s">
        <v>81</v>
      </c>
      <c r="H1737">
        <v>32713</v>
      </c>
      <c r="I1737" t="s">
        <v>30</v>
      </c>
      <c r="J1737" t="s">
        <v>178</v>
      </c>
      <c r="K1737" t="s">
        <v>163</v>
      </c>
      <c r="N1737" t="s">
        <v>7574</v>
      </c>
      <c r="O1737" t="s">
        <v>7575</v>
      </c>
      <c r="P1737" t="s">
        <v>992</v>
      </c>
      <c r="Q1737">
        <v>1</v>
      </c>
      <c r="R1737">
        <v>0</v>
      </c>
      <c r="S1737">
        <v>0</v>
      </c>
      <c r="T1737" t="s">
        <v>7576</v>
      </c>
    </row>
    <row r="1738" spans="1:20" customFormat="1" ht="15" x14ac:dyDescent="0.25">
      <c r="A1738" t="s">
        <v>24</v>
      </c>
      <c r="B1738" t="s">
        <v>675</v>
      </c>
      <c r="C1738" t="str">
        <f>"A0179910"</f>
        <v>A0179910</v>
      </c>
      <c r="D1738" t="s">
        <v>34397</v>
      </c>
      <c r="E1738" t="s">
        <v>34398</v>
      </c>
      <c r="F1738" t="s">
        <v>2094</v>
      </c>
      <c r="G1738" t="s">
        <v>52</v>
      </c>
      <c r="H1738">
        <v>75201</v>
      </c>
      <c r="I1738" t="s">
        <v>30</v>
      </c>
      <c r="J1738" t="s">
        <v>162</v>
      </c>
      <c r="K1738" t="s">
        <v>1490</v>
      </c>
      <c r="N1738" t="s">
        <v>34399</v>
      </c>
      <c r="Q1738">
        <v>0</v>
      </c>
      <c r="R1738">
        <v>225</v>
      </c>
      <c r="S1738">
        <v>0</v>
      </c>
      <c r="T1738" t="s">
        <v>192</v>
      </c>
    </row>
    <row r="1739" spans="1:20" customFormat="1" ht="15" x14ac:dyDescent="0.25">
      <c r="A1739" t="s">
        <v>24</v>
      </c>
      <c r="B1739" t="s">
        <v>7583</v>
      </c>
      <c r="C1739" t="str">
        <f>"A0189933"</f>
        <v>A0189933</v>
      </c>
      <c r="D1739" t="s">
        <v>7584</v>
      </c>
      <c r="E1739" t="s">
        <v>7585</v>
      </c>
      <c r="F1739" t="s">
        <v>1889</v>
      </c>
      <c r="G1739" t="s">
        <v>81</v>
      </c>
      <c r="H1739">
        <v>33126</v>
      </c>
      <c r="I1739" t="s">
        <v>30</v>
      </c>
      <c r="J1739" t="s">
        <v>31</v>
      </c>
      <c r="K1739" t="s">
        <v>163</v>
      </c>
      <c r="N1739" t="s">
        <v>7586</v>
      </c>
      <c r="Q1739">
        <v>0</v>
      </c>
      <c r="R1739">
        <v>176</v>
      </c>
      <c r="S1739">
        <v>0</v>
      </c>
      <c r="T1739" t="s">
        <v>7587</v>
      </c>
    </row>
    <row r="1740" spans="1:20" customFormat="1" ht="15" x14ac:dyDescent="0.25">
      <c r="A1740" t="s">
        <v>24</v>
      </c>
      <c r="B1740" t="s">
        <v>7583</v>
      </c>
      <c r="C1740" t="str">
        <f>"A0098610"</f>
        <v>A0098610</v>
      </c>
      <c r="D1740" t="s">
        <v>7588</v>
      </c>
      <c r="E1740" t="s">
        <v>7589</v>
      </c>
      <c r="F1740" t="s">
        <v>1889</v>
      </c>
      <c r="G1740" t="s">
        <v>81</v>
      </c>
      <c r="H1740">
        <v>33172</v>
      </c>
      <c r="I1740" t="s">
        <v>30</v>
      </c>
      <c r="J1740" t="s">
        <v>31</v>
      </c>
      <c r="K1740" t="s">
        <v>1890</v>
      </c>
      <c r="N1740" t="s">
        <v>7590</v>
      </c>
      <c r="O1740" t="s">
        <v>7591</v>
      </c>
      <c r="Q1740">
        <v>0</v>
      </c>
      <c r="R1740">
        <v>139</v>
      </c>
      <c r="S1740">
        <v>0</v>
      </c>
      <c r="T1740" t="s">
        <v>7592</v>
      </c>
    </row>
    <row r="1741" spans="1:20" customFormat="1" ht="15" x14ac:dyDescent="0.25">
      <c r="A1741" t="s">
        <v>24</v>
      </c>
      <c r="B1741" t="s">
        <v>7583</v>
      </c>
      <c r="C1741" t="str">
        <f>"A0098585"</f>
        <v>A0098585</v>
      </c>
      <c r="D1741" t="s">
        <v>7593</v>
      </c>
      <c r="E1741" t="s">
        <v>7594</v>
      </c>
      <c r="F1741" t="s">
        <v>1889</v>
      </c>
      <c r="G1741" t="s">
        <v>81</v>
      </c>
      <c r="H1741">
        <v>33172</v>
      </c>
      <c r="I1741" t="s">
        <v>30</v>
      </c>
      <c r="J1741" t="s">
        <v>31</v>
      </c>
      <c r="K1741" t="s">
        <v>277</v>
      </c>
      <c r="N1741" t="s">
        <v>7590</v>
      </c>
      <c r="O1741" t="s">
        <v>7591</v>
      </c>
      <c r="Q1741">
        <v>0</v>
      </c>
      <c r="R1741">
        <v>145</v>
      </c>
      <c r="S1741">
        <v>0</v>
      </c>
      <c r="T1741" t="s">
        <v>7595</v>
      </c>
    </row>
    <row r="1742" spans="1:20" customFormat="1" ht="15" x14ac:dyDescent="0.25">
      <c r="A1742" t="s">
        <v>24</v>
      </c>
      <c r="B1742" t="s">
        <v>1528</v>
      </c>
      <c r="C1742" t="str">
        <f>"A0094973"</f>
        <v>A0094973</v>
      </c>
      <c r="D1742" t="s">
        <v>34405</v>
      </c>
      <c r="E1742" t="s">
        <v>34406</v>
      </c>
      <c r="F1742" t="s">
        <v>7063</v>
      </c>
      <c r="G1742" t="s">
        <v>110</v>
      </c>
      <c r="H1742">
        <v>92262</v>
      </c>
      <c r="I1742" t="s">
        <v>30</v>
      </c>
      <c r="J1742" t="s">
        <v>162</v>
      </c>
      <c r="K1742" t="s">
        <v>163</v>
      </c>
      <c r="N1742" t="s">
        <v>34407</v>
      </c>
      <c r="Q1742">
        <v>0</v>
      </c>
      <c r="R1742">
        <v>163</v>
      </c>
      <c r="S1742">
        <v>0</v>
      </c>
      <c r="T1742" t="s">
        <v>34408</v>
      </c>
    </row>
    <row r="1743" spans="1:20" customFormat="1" ht="15" x14ac:dyDescent="0.25">
      <c r="A1743" t="s">
        <v>24</v>
      </c>
      <c r="B1743" t="s">
        <v>7602</v>
      </c>
      <c r="C1743" t="str">
        <f>"A0099310"</f>
        <v>A0099310</v>
      </c>
      <c r="D1743" t="s">
        <v>7603</v>
      </c>
      <c r="E1743" t="s">
        <v>7604</v>
      </c>
      <c r="F1743" t="s">
        <v>1541</v>
      </c>
      <c r="G1743" t="s">
        <v>427</v>
      </c>
      <c r="H1743">
        <v>68108</v>
      </c>
      <c r="I1743" t="s">
        <v>30</v>
      </c>
      <c r="J1743" t="s">
        <v>31</v>
      </c>
      <c r="K1743" t="s">
        <v>296</v>
      </c>
      <c r="N1743" t="s">
        <v>7605</v>
      </c>
      <c r="Q1743">
        <v>0</v>
      </c>
      <c r="R1743">
        <v>72</v>
      </c>
      <c r="S1743">
        <v>0</v>
      </c>
      <c r="T1743" t="s">
        <v>7606</v>
      </c>
    </row>
    <row r="1744" spans="1:20" customFormat="1" ht="15" x14ac:dyDescent="0.25">
      <c r="A1744" t="s">
        <v>24</v>
      </c>
      <c r="B1744" t="s">
        <v>193</v>
      </c>
      <c r="C1744" t="str">
        <f>"A0154247"</f>
        <v>A0154247</v>
      </c>
      <c r="D1744" t="s">
        <v>7607</v>
      </c>
      <c r="E1744" t="s">
        <v>7608</v>
      </c>
      <c r="F1744" t="s">
        <v>7609</v>
      </c>
      <c r="G1744" t="s">
        <v>153</v>
      </c>
      <c r="H1744">
        <v>84043</v>
      </c>
      <c r="I1744" t="s">
        <v>30</v>
      </c>
      <c r="J1744" t="s">
        <v>31</v>
      </c>
      <c r="K1744" t="s">
        <v>1196</v>
      </c>
      <c r="N1744" t="s">
        <v>7610</v>
      </c>
      <c r="Q1744">
        <v>0</v>
      </c>
      <c r="R1744">
        <v>112</v>
      </c>
      <c r="S1744">
        <v>0</v>
      </c>
      <c r="T1744" t="s">
        <v>7611</v>
      </c>
    </row>
    <row r="1745" spans="1:25" customFormat="1" ht="15" x14ac:dyDescent="0.25">
      <c r="A1745" t="s">
        <v>24</v>
      </c>
      <c r="B1745" t="s">
        <v>193</v>
      </c>
      <c r="C1745" t="str">
        <f>"A0146583"</f>
        <v>A0146583</v>
      </c>
      <c r="D1745" t="s">
        <v>7612</v>
      </c>
      <c r="E1745" t="s">
        <v>7613</v>
      </c>
      <c r="F1745" t="s">
        <v>7614</v>
      </c>
      <c r="G1745" t="s">
        <v>153</v>
      </c>
      <c r="H1745">
        <v>84790</v>
      </c>
      <c r="I1745" t="s">
        <v>30</v>
      </c>
      <c r="J1745" t="s">
        <v>31</v>
      </c>
      <c r="K1745" t="s">
        <v>1196</v>
      </c>
      <c r="N1745" t="s">
        <v>7615</v>
      </c>
      <c r="Q1745">
        <v>0</v>
      </c>
      <c r="R1745">
        <v>98</v>
      </c>
      <c r="S1745">
        <v>0</v>
      </c>
      <c r="T1745" t="s">
        <v>7616</v>
      </c>
    </row>
    <row r="1746" spans="1:25" customFormat="1" ht="15" x14ac:dyDescent="0.25">
      <c r="A1746" t="s">
        <v>35</v>
      </c>
      <c r="B1746" t="s">
        <v>61</v>
      </c>
      <c r="C1746" t="str">
        <f>"A0184330"</f>
        <v>A0184330</v>
      </c>
      <c r="D1746" t="s">
        <v>7617</v>
      </c>
      <c r="E1746" t="s">
        <v>7618</v>
      </c>
      <c r="F1746" t="s">
        <v>7619</v>
      </c>
      <c r="G1746" t="s">
        <v>71</v>
      </c>
      <c r="H1746" t="s">
        <v>7620</v>
      </c>
      <c r="I1746" t="s">
        <v>30</v>
      </c>
      <c r="J1746" t="s">
        <v>41</v>
      </c>
      <c r="K1746" t="s">
        <v>59</v>
      </c>
      <c r="Q1746">
        <v>0</v>
      </c>
      <c r="R1746">
        <v>0</v>
      </c>
      <c r="S1746">
        <v>0</v>
      </c>
      <c r="T1746" t="s">
        <v>192</v>
      </c>
    </row>
    <row r="1747" spans="1:25" customFormat="1" ht="15" x14ac:dyDescent="0.25">
      <c r="A1747" t="s">
        <v>35</v>
      </c>
      <c r="B1747" t="s">
        <v>61</v>
      </c>
      <c r="C1747" t="str">
        <f>"A0183555"</f>
        <v>A0183555</v>
      </c>
      <c r="D1747" t="s">
        <v>7621</v>
      </c>
      <c r="E1747" t="s">
        <v>7622</v>
      </c>
      <c r="F1747" t="s">
        <v>7619</v>
      </c>
      <c r="G1747" t="s">
        <v>71</v>
      </c>
      <c r="H1747">
        <v>530665704</v>
      </c>
      <c r="I1747" t="s">
        <v>30</v>
      </c>
      <c r="J1747" t="s">
        <v>41</v>
      </c>
      <c r="K1747" t="s">
        <v>59</v>
      </c>
      <c r="Q1747">
        <v>0</v>
      </c>
      <c r="R1747">
        <v>243</v>
      </c>
      <c r="S1747">
        <v>243</v>
      </c>
      <c r="T1747" t="s">
        <v>7623</v>
      </c>
    </row>
    <row r="1748" spans="1:25" customFormat="1" ht="15" x14ac:dyDescent="0.25">
      <c r="A1748" t="s">
        <v>35</v>
      </c>
      <c r="B1748" t="s">
        <v>7624</v>
      </c>
      <c r="C1748" t="str">
        <f>"A0133683"</f>
        <v>A0133683</v>
      </c>
      <c r="D1748" t="s">
        <v>7625</v>
      </c>
      <c r="E1748" t="s">
        <v>7626</v>
      </c>
      <c r="F1748" t="s">
        <v>7627</v>
      </c>
      <c r="G1748" t="s">
        <v>52</v>
      </c>
      <c r="H1748">
        <v>76550</v>
      </c>
      <c r="I1748" t="s">
        <v>30</v>
      </c>
      <c r="J1748" t="s">
        <v>41</v>
      </c>
      <c r="K1748" t="s">
        <v>229</v>
      </c>
      <c r="Q1748">
        <v>0</v>
      </c>
      <c r="R1748">
        <v>76</v>
      </c>
      <c r="S1748">
        <v>76</v>
      </c>
      <c r="T1748" t="s">
        <v>7628</v>
      </c>
    </row>
    <row r="1749" spans="1:25" customFormat="1" ht="15" x14ac:dyDescent="0.25">
      <c r="A1749" t="s">
        <v>35</v>
      </c>
      <c r="B1749" t="s">
        <v>7624</v>
      </c>
      <c r="C1749" t="str">
        <f>"A0133682"</f>
        <v>A0133682</v>
      </c>
      <c r="D1749" t="s">
        <v>7629</v>
      </c>
      <c r="E1749" t="s">
        <v>7630</v>
      </c>
      <c r="F1749" t="s">
        <v>7631</v>
      </c>
      <c r="G1749" t="s">
        <v>52</v>
      </c>
      <c r="H1749">
        <v>75773</v>
      </c>
      <c r="I1749" t="s">
        <v>30</v>
      </c>
      <c r="J1749" t="s">
        <v>41</v>
      </c>
      <c r="K1749" t="s">
        <v>229</v>
      </c>
      <c r="Q1749">
        <v>0</v>
      </c>
      <c r="R1749">
        <v>82</v>
      </c>
      <c r="S1749">
        <v>82</v>
      </c>
      <c r="T1749" t="s">
        <v>7632</v>
      </c>
    </row>
    <row r="1750" spans="1:25" customFormat="1" ht="15" x14ac:dyDescent="0.25">
      <c r="A1750" t="s">
        <v>35</v>
      </c>
      <c r="B1750" t="s">
        <v>7624</v>
      </c>
      <c r="C1750" t="str">
        <f>"A0133674"</f>
        <v>A0133674</v>
      </c>
      <c r="D1750" t="s">
        <v>7633</v>
      </c>
      <c r="E1750" t="s">
        <v>7634</v>
      </c>
      <c r="F1750" t="s">
        <v>853</v>
      </c>
      <c r="G1750" t="s">
        <v>52</v>
      </c>
      <c r="H1750">
        <v>76108</v>
      </c>
      <c r="I1750" t="s">
        <v>30</v>
      </c>
      <c r="J1750" t="s">
        <v>41</v>
      </c>
      <c r="K1750" t="s">
        <v>229</v>
      </c>
      <c r="Q1750">
        <v>0</v>
      </c>
      <c r="R1750">
        <v>265</v>
      </c>
      <c r="S1750">
        <v>265</v>
      </c>
      <c r="T1750" t="s">
        <v>7635</v>
      </c>
    </row>
    <row r="1751" spans="1:25" customFormat="1" ht="15" x14ac:dyDescent="0.25">
      <c r="A1751" t="s">
        <v>35</v>
      </c>
      <c r="B1751" t="s">
        <v>7624</v>
      </c>
      <c r="C1751" t="str">
        <f>"A0133689"</f>
        <v>A0133689</v>
      </c>
      <c r="D1751" t="s">
        <v>7636</v>
      </c>
      <c r="E1751" t="s">
        <v>7637</v>
      </c>
      <c r="F1751" t="s">
        <v>7638</v>
      </c>
      <c r="G1751" t="s">
        <v>52</v>
      </c>
      <c r="H1751">
        <v>75149</v>
      </c>
      <c r="I1751" t="s">
        <v>30</v>
      </c>
      <c r="J1751" t="s">
        <v>41</v>
      </c>
      <c r="K1751" t="s">
        <v>229</v>
      </c>
      <c r="Q1751">
        <v>0</v>
      </c>
      <c r="R1751">
        <v>98</v>
      </c>
      <c r="S1751">
        <v>98</v>
      </c>
      <c r="T1751" t="s">
        <v>7639</v>
      </c>
    </row>
    <row r="1752" spans="1:25" customFormat="1" ht="15" x14ac:dyDescent="0.25">
      <c r="A1752" t="s">
        <v>35</v>
      </c>
      <c r="B1752" t="s">
        <v>7624</v>
      </c>
      <c r="C1752" t="str">
        <f>"A0133688"</f>
        <v>A0133688</v>
      </c>
      <c r="D1752" t="s">
        <v>7640</v>
      </c>
      <c r="E1752" t="s">
        <v>7641</v>
      </c>
      <c r="F1752" t="s">
        <v>5257</v>
      </c>
      <c r="G1752" t="s">
        <v>52</v>
      </c>
      <c r="H1752">
        <v>77091</v>
      </c>
      <c r="I1752" t="s">
        <v>30</v>
      </c>
      <c r="J1752" t="s">
        <v>41</v>
      </c>
      <c r="K1752" t="s">
        <v>229</v>
      </c>
      <c r="Q1752">
        <v>0</v>
      </c>
      <c r="R1752">
        <v>94</v>
      </c>
      <c r="S1752">
        <v>94</v>
      </c>
      <c r="T1752" t="s">
        <v>7642</v>
      </c>
    </row>
    <row r="1753" spans="1:25" customFormat="1" ht="15" x14ac:dyDescent="0.25">
      <c r="A1753" t="s">
        <v>35</v>
      </c>
      <c r="B1753" t="s">
        <v>7624</v>
      </c>
      <c r="C1753" t="str">
        <f>"A0133390"</f>
        <v>A0133390</v>
      </c>
      <c r="D1753" t="s">
        <v>7643</v>
      </c>
      <c r="E1753" t="s">
        <v>7644</v>
      </c>
      <c r="F1753" t="s">
        <v>7645</v>
      </c>
      <c r="G1753" t="s">
        <v>52</v>
      </c>
      <c r="H1753">
        <v>75783</v>
      </c>
      <c r="I1753" t="s">
        <v>30</v>
      </c>
      <c r="J1753" t="s">
        <v>41</v>
      </c>
      <c r="K1753" t="s">
        <v>229</v>
      </c>
      <c r="Q1753">
        <v>0</v>
      </c>
      <c r="R1753">
        <v>164</v>
      </c>
      <c r="S1753">
        <v>164</v>
      </c>
      <c r="T1753" t="s">
        <v>7646</v>
      </c>
    </row>
    <row r="1754" spans="1:25" customFormat="1" ht="15" x14ac:dyDescent="0.25">
      <c r="A1754" t="s">
        <v>35</v>
      </c>
      <c r="B1754" t="s">
        <v>7624</v>
      </c>
      <c r="C1754" t="str">
        <f>"A0133392"</f>
        <v>A0133392</v>
      </c>
      <c r="D1754" t="s">
        <v>7647</v>
      </c>
      <c r="E1754" t="s">
        <v>7648</v>
      </c>
      <c r="F1754" t="s">
        <v>7649</v>
      </c>
      <c r="G1754" t="s">
        <v>52</v>
      </c>
      <c r="H1754">
        <v>75457</v>
      </c>
      <c r="I1754" t="s">
        <v>30</v>
      </c>
      <c r="J1754" t="s">
        <v>41</v>
      </c>
      <c r="K1754" t="s">
        <v>229</v>
      </c>
      <c r="Q1754">
        <v>0</v>
      </c>
      <c r="R1754">
        <v>101</v>
      </c>
      <c r="S1754">
        <v>101</v>
      </c>
      <c r="T1754" t="s">
        <v>7650</v>
      </c>
    </row>
    <row r="1755" spans="1:25" customFormat="1" ht="15" x14ac:dyDescent="0.25">
      <c r="A1755" t="s">
        <v>24</v>
      </c>
      <c r="B1755" t="s">
        <v>193</v>
      </c>
      <c r="C1755" t="str">
        <f>"SF03428"</f>
        <v>SF03428</v>
      </c>
      <c r="D1755" t="s">
        <v>34461</v>
      </c>
      <c r="E1755" t="s">
        <v>34462</v>
      </c>
      <c r="F1755" t="s">
        <v>693</v>
      </c>
      <c r="G1755" t="s">
        <v>110</v>
      </c>
      <c r="H1755">
        <v>90813</v>
      </c>
      <c r="I1755" t="s">
        <v>30</v>
      </c>
      <c r="J1755" t="s">
        <v>162</v>
      </c>
      <c r="K1755" t="s">
        <v>854</v>
      </c>
      <c r="N1755" t="s">
        <v>34463</v>
      </c>
      <c r="Q1755">
        <v>0</v>
      </c>
      <c r="R1755">
        <v>134</v>
      </c>
      <c r="S1755">
        <v>0</v>
      </c>
      <c r="T1755" t="s">
        <v>34464</v>
      </c>
    </row>
    <row r="1756" spans="1:25" customFormat="1" ht="15" x14ac:dyDescent="0.25">
      <c r="A1756" t="s">
        <v>24</v>
      </c>
      <c r="B1756" t="s">
        <v>4366</v>
      </c>
      <c r="C1756" t="str">
        <f>"A0190158"</f>
        <v>A0190158</v>
      </c>
      <c r="D1756" t="s">
        <v>7655</v>
      </c>
      <c r="E1756" t="s">
        <v>7656</v>
      </c>
      <c r="F1756" t="s">
        <v>1564</v>
      </c>
      <c r="G1756" t="s">
        <v>52</v>
      </c>
      <c r="H1756">
        <v>77066</v>
      </c>
      <c r="I1756" t="s">
        <v>30</v>
      </c>
      <c r="J1756" t="s">
        <v>7657</v>
      </c>
      <c r="K1756" t="s">
        <v>163</v>
      </c>
      <c r="Q1756">
        <v>0</v>
      </c>
      <c r="R1756">
        <v>0</v>
      </c>
      <c r="S1756">
        <v>0</v>
      </c>
      <c r="T1756" t="s">
        <v>7658</v>
      </c>
    </row>
    <row r="1757" spans="1:25" customFormat="1" ht="15" x14ac:dyDescent="0.25">
      <c r="A1757" t="s">
        <v>35</v>
      </c>
      <c r="B1757" t="s">
        <v>437</v>
      </c>
      <c r="C1757" t="str">
        <f>"A0134030"</f>
        <v>A0134030</v>
      </c>
      <c r="D1757" t="s">
        <v>7659</v>
      </c>
      <c r="E1757" t="s">
        <v>7660</v>
      </c>
      <c r="F1757" t="s">
        <v>7661</v>
      </c>
      <c r="G1757" t="s">
        <v>99</v>
      </c>
      <c r="H1757">
        <v>13490</v>
      </c>
      <c r="I1757" t="s">
        <v>30</v>
      </c>
      <c r="J1757" t="s">
        <v>441</v>
      </c>
      <c r="K1757" t="s">
        <v>442</v>
      </c>
      <c r="Q1757">
        <v>0</v>
      </c>
      <c r="R1757">
        <v>0</v>
      </c>
      <c r="S1757">
        <v>0</v>
      </c>
      <c r="T1757" t="s">
        <v>7662</v>
      </c>
    </row>
    <row r="1758" spans="1:25" customFormat="1" ht="15" x14ac:dyDescent="0.25">
      <c r="A1758" t="s">
        <v>24</v>
      </c>
      <c r="B1758" t="s">
        <v>994</v>
      </c>
      <c r="C1758" t="str">
        <f>"A0190207"</f>
        <v>A0190207</v>
      </c>
      <c r="D1758" t="s">
        <v>7663</v>
      </c>
      <c r="E1758" t="s">
        <v>7664</v>
      </c>
      <c r="F1758" t="s">
        <v>845</v>
      </c>
      <c r="G1758" t="s">
        <v>846</v>
      </c>
      <c r="H1758">
        <v>30305</v>
      </c>
      <c r="I1758" t="s">
        <v>30</v>
      </c>
      <c r="J1758" t="s">
        <v>687</v>
      </c>
      <c r="K1758" t="s">
        <v>163</v>
      </c>
      <c r="N1758" t="s">
        <v>7665</v>
      </c>
      <c r="Q1758">
        <v>0</v>
      </c>
      <c r="R1758">
        <v>0</v>
      </c>
      <c r="S1758">
        <v>0</v>
      </c>
      <c r="T1758" t="s">
        <v>7666</v>
      </c>
    </row>
    <row r="1759" spans="1:25" customFormat="1" ht="15" x14ac:dyDescent="0.25">
      <c r="A1759" t="s">
        <v>24</v>
      </c>
      <c r="B1759" t="s">
        <v>8579</v>
      </c>
      <c r="C1759" t="str">
        <f>"A0068421"</f>
        <v>A0068421</v>
      </c>
      <c r="D1759" t="s">
        <v>34481</v>
      </c>
      <c r="E1759" t="s">
        <v>34482</v>
      </c>
      <c r="F1759" t="s">
        <v>2069</v>
      </c>
      <c r="G1759" t="s">
        <v>1170</v>
      </c>
      <c r="H1759">
        <v>70130</v>
      </c>
      <c r="I1759" t="s">
        <v>30</v>
      </c>
      <c r="J1759" t="s">
        <v>162</v>
      </c>
      <c r="K1759" t="s">
        <v>847</v>
      </c>
      <c r="N1759" t="s">
        <v>34483</v>
      </c>
      <c r="Q1759">
        <v>0</v>
      </c>
      <c r="R1759">
        <v>410</v>
      </c>
      <c r="S1759">
        <v>0</v>
      </c>
      <c r="T1759" t="s">
        <v>34484</v>
      </c>
    </row>
    <row r="1760" spans="1:25" x14ac:dyDescent="0.25">
      <c r="A1760" s="5" t="s">
        <v>24</v>
      </c>
      <c r="B1760" s="5" t="s">
        <v>799</v>
      </c>
      <c r="C1760" s="5" t="str">
        <f>"A0180133"</f>
        <v>A0180133</v>
      </c>
      <c r="D1760" s="5" t="s">
        <v>34485</v>
      </c>
      <c r="E1760" s="5" t="s">
        <v>34486</v>
      </c>
      <c r="F1760" s="5" t="s">
        <v>3401</v>
      </c>
      <c r="G1760" s="5" t="s">
        <v>29</v>
      </c>
      <c r="H1760" s="5">
        <v>22903</v>
      </c>
      <c r="I1760" s="5" t="s">
        <v>30</v>
      </c>
      <c r="J1760" s="5" t="s">
        <v>162</v>
      </c>
      <c r="K1760" s="5" t="s">
        <v>163</v>
      </c>
      <c r="L1760" s="5"/>
      <c r="M1760" s="5"/>
      <c r="N1760" s="5" t="s">
        <v>34487</v>
      </c>
      <c r="O1760" s="5" t="s">
        <v>34488</v>
      </c>
      <c r="P1760" s="5"/>
      <c r="Q1760" s="5">
        <v>0</v>
      </c>
      <c r="R1760" s="5">
        <v>35</v>
      </c>
      <c r="S1760" s="5">
        <v>0</v>
      </c>
      <c r="T1760" s="5" t="s">
        <v>34489</v>
      </c>
      <c r="U1760" s="5"/>
      <c r="V1760" s="5"/>
      <c r="W1760" s="5"/>
      <c r="X1760" s="5"/>
      <c r="Y1760" s="5"/>
    </row>
    <row r="1761" spans="1:20" customFormat="1" ht="15" x14ac:dyDescent="0.25">
      <c r="A1761" t="s">
        <v>24</v>
      </c>
      <c r="B1761" t="s">
        <v>7682</v>
      </c>
      <c r="C1761" t="str">
        <f>"CL0264"</f>
        <v>CL0264</v>
      </c>
      <c r="D1761" t="s">
        <v>7683</v>
      </c>
      <c r="E1761" t="s">
        <v>7684</v>
      </c>
      <c r="F1761" t="s">
        <v>7685</v>
      </c>
      <c r="G1761" t="s">
        <v>85</v>
      </c>
      <c r="H1761">
        <v>71909</v>
      </c>
      <c r="I1761" t="s">
        <v>30</v>
      </c>
      <c r="J1761" t="s">
        <v>178</v>
      </c>
      <c r="K1761" t="s">
        <v>163</v>
      </c>
      <c r="N1761" t="s">
        <v>7686</v>
      </c>
      <c r="P1761" t="s">
        <v>992</v>
      </c>
      <c r="Q1761">
        <v>1</v>
      </c>
      <c r="R1761">
        <v>0</v>
      </c>
      <c r="S1761">
        <v>0</v>
      </c>
      <c r="T1761" t="s">
        <v>7687</v>
      </c>
    </row>
    <row r="1762" spans="1:20" customFormat="1" ht="15" x14ac:dyDescent="0.25">
      <c r="A1762" t="s">
        <v>24</v>
      </c>
      <c r="B1762" t="s">
        <v>140</v>
      </c>
      <c r="C1762" t="str">
        <f>"88HI044"</f>
        <v>88HI044</v>
      </c>
      <c r="D1762" t="s">
        <v>34498</v>
      </c>
      <c r="E1762" t="s">
        <v>34499</v>
      </c>
      <c r="F1762" t="s">
        <v>372</v>
      </c>
      <c r="G1762" t="s">
        <v>52</v>
      </c>
      <c r="H1762">
        <v>78759</v>
      </c>
      <c r="I1762" t="s">
        <v>30</v>
      </c>
      <c r="J1762" t="s">
        <v>162</v>
      </c>
      <c r="K1762" t="s">
        <v>759</v>
      </c>
      <c r="N1762" t="s">
        <v>34500</v>
      </c>
      <c r="Q1762">
        <v>0</v>
      </c>
      <c r="R1762">
        <v>194</v>
      </c>
      <c r="S1762">
        <v>0</v>
      </c>
      <c r="T1762" t="s">
        <v>34501</v>
      </c>
    </row>
    <row r="1763" spans="1:20" customFormat="1" ht="15" x14ac:dyDescent="0.25">
      <c r="A1763" t="s">
        <v>24</v>
      </c>
      <c r="B1763" t="s">
        <v>649</v>
      </c>
      <c r="C1763" t="str">
        <f>"A0190206"</f>
        <v>A0190206</v>
      </c>
      <c r="D1763" t="s">
        <v>7693</v>
      </c>
      <c r="E1763" t="s">
        <v>7694</v>
      </c>
      <c r="F1763" t="s">
        <v>5620</v>
      </c>
      <c r="G1763" t="s">
        <v>381</v>
      </c>
      <c r="H1763">
        <v>47374</v>
      </c>
      <c r="I1763" t="s">
        <v>30</v>
      </c>
      <c r="J1763" t="s">
        <v>31</v>
      </c>
      <c r="K1763" t="s">
        <v>261</v>
      </c>
      <c r="N1763" t="s">
        <v>7695</v>
      </c>
      <c r="Q1763">
        <v>0</v>
      </c>
      <c r="R1763">
        <v>100</v>
      </c>
      <c r="S1763">
        <v>0</v>
      </c>
      <c r="T1763" t="s">
        <v>7696</v>
      </c>
    </row>
    <row r="1764" spans="1:20" customFormat="1" ht="15" x14ac:dyDescent="0.25">
      <c r="A1764" t="s">
        <v>24</v>
      </c>
      <c r="B1764" t="s">
        <v>2340</v>
      </c>
      <c r="C1764" t="str">
        <f>"A0055965"</f>
        <v>A0055965</v>
      </c>
      <c r="D1764" t="s">
        <v>7697</v>
      </c>
      <c r="E1764" t="s">
        <v>7698</v>
      </c>
      <c r="F1764" t="s">
        <v>7699</v>
      </c>
      <c r="G1764" t="s">
        <v>81</v>
      </c>
      <c r="H1764">
        <v>33762</v>
      </c>
      <c r="I1764" t="s">
        <v>30</v>
      </c>
      <c r="J1764" t="s">
        <v>31</v>
      </c>
      <c r="K1764" t="s">
        <v>321</v>
      </c>
      <c r="N1764" t="s">
        <v>7700</v>
      </c>
      <c r="Q1764">
        <v>0</v>
      </c>
      <c r="R1764">
        <v>118</v>
      </c>
      <c r="S1764">
        <v>0</v>
      </c>
      <c r="T1764" t="s">
        <v>7701</v>
      </c>
    </row>
    <row r="1765" spans="1:20" customFormat="1" ht="15" x14ac:dyDescent="0.25">
      <c r="A1765" t="s">
        <v>24</v>
      </c>
      <c r="B1765" t="s">
        <v>140</v>
      </c>
      <c r="C1765" t="str">
        <f>"A0078537"</f>
        <v>A0078537</v>
      </c>
      <c r="D1765" t="s">
        <v>34502</v>
      </c>
      <c r="E1765" t="s">
        <v>34503</v>
      </c>
      <c r="F1765" t="s">
        <v>372</v>
      </c>
      <c r="G1765" t="s">
        <v>52</v>
      </c>
      <c r="H1765">
        <v>78702</v>
      </c>
      <c r="I1765" t="s">
        <v>30</v>
      </c>
      <c r="J1765" t="s">
        <v>162</v>
      </c>
      <c r="K1765" t="s">
        <v>759</v>
      </c>
      <c r="N1765" t="s">
        <v>34504</v>
      </c>
      <c r="Q1765">
        <v>0</v>
      </c>
      <c r="R1765">
        <v>149</v>
      </c>
      <c r="S1765">
        <v>0</v>
      </c>
      <c r="T1765" t="s">
        <v>34505</v>
      </c>
    </row>
    <row r="1766" spans="1:20" customFormat="1" ht="15" x14ac:dyDescent="0.25">
      <c r="A1766" t="s">
        <v>24</v>
      </c>
      <c r="B1766" t="s">
        <v>3628</v>
      </c>
      <c r="C1766" t="str">
        <f>"A0151363"</f>
        <v>A0151363</v>
      </c>
      <c r="D1766" t="s">
        <v>7708</v>
      </c>
      <c r="E1766" t="s">
        <v>7709</v>
      </c>
      <c r="F1766" t="s">
        <v>1858</v>
      </c>
      <c r="G1766" t="s">
        <v>190</v>
      </c>
      <c r="H1766">
        <v>80921</v>
      </c>
      <c r="I1766" t="s">
        <v>30</v>
      </c>
      <c r="J1766" t="s">
        <v>31</v>
      </c>
      <c r="K1766" t="s">
        <v>255</v>
      </c>
      <c r="N1766" t="s">
        <v>7710</v>
      </c>
      <c r="Q1766">
        <v>0</v>
      </c>
      <c r="R1766">
        <v>104</v>
      </c>
      <c r="S1766">
        <v>0</v>
      </c>
      <c r="T1766" t="s">
        <v>7711</v>
      </c>
    </row>
    <row r="1767" spans="1:20" customFormat="1" ht="15" x14ac:dyDescent="0.25">
      <c r="A1767" t="s">
        <v>24</v>
      </c>
      <c r="B1767" t="s">
        <v>33920</v>
      </c>
      <c r="C1767" t="str">
        <f>"A0179987"</f>
        <v>A0179987</v>
      </c>
      <c r="D1767" t="s">
        <v>34682</v>
      </c>
      <c r="E1767" t="s">
        <v>34683</v>
      </c>
      <c r="F1767" t="s">
        <v>34684</v>
      </c>
      <c r="G1767" t="s">
        <v>81</v>
      </c>
      <c r="H1767">
        <v>32901</v>
      </c>
      <c r="I1767" t="s">
        <v>30</v>
      </c>
      <c r="J1767" t="s">
        <v>162</v>
      </c>
      <c r="K1767" t="s">
        <v>2881</v>
      </c>
      <c r="N1767" t="s">
        <v>34685</v>
      </c>
      <c r="Q1767">
        <v>0</v>
      </c>
      <c r="R1767">
        <v>156</v>
      </c>
      <c r="S1767">
        <v>0</v>
      </c>
      <c r="T1767" t="s">
        <v>34686</v>
      </c>
    </row>
    <row r="1768" spans="1:20" customFormat="1" ht="15" x14ac:dyDescent="0.25">
      <c r="A1768" t="s">
        <v>24</v>
      </c>
      <c r="B1768" t="s">
        <v>3628</v>
      </c>
      <c r="C1768" t="str">
        <f>"A0066045"</f>
        <v>A0066045</v>
      </c>
      <c r="D1768" t="s">
        <v>7718</v>
      </c>
      <c r="E1768" t="s">
        <v>7719</v>
      </c>
      <c r="F1768" t="s">
        <v>7690</v>
      </c>
      <c r="G1768" t="s">
        <v>1587</v>
      </c>
      <c r="H1768">
        <v>88201</v>
      </c>
      <c r="I1768" t="s">
        <v>30</v>
      </c>
      <c r="J1768" t="s">
        <v>31</v>
      </c>
      <c r="K1768" t="s">
        <v>32</v>
      </c>
      <c r="N1768" t="s">
        <v>7720</v>
      </c>
      <c r="Q1768">
        <v>0</v>
      </c>
      <c r="R1768">
        <v>67</v>
      </c>
      <c r="S1768">
        <v>0</v>
      </c>
      <c r="T1768" t="s">
        <v>7721</v>
      </c>
    </row>
    <row r="1769" spans="1:20" customFormat="1" ht="15" x14ac:dyDescent="0.25">
      <c r="A1769" t="s">
        <v>24</v>
      </c>
      <c r="B1769" t="s">
        <v>3628</v>
      </c>
      <c r="C1769" t="str">
        <f>"A0092323"</f>
        <v>A0092323</v>
      </c>
      <c r="D1769" t="s">
        <v>7722</v>
      </c>
      <c r="E1769" t="s">
        <v>7723</v>
      </c>
      <c r="F1769" t="s">
        <v>7690</v>
      </c>
      <c r="G1769" t="s">
        <v>1587</v>
      </c>
      <c r="H1769">
        <v>88201</v>
      </c>
      <c r="I1769" t="s">
        <v>30</v>
      </c>
      <c r="J1769" t="s">
        <v>31</v>
      </c>
      <c r="K1769" t="s">
        <v>222</v>
      </c>
      <c r="N1769" t="s">
        <v>7724</v>
      </c>
      <c r="O1769" t="s">
        <v>7725</v>
      </c>
      <c r="Q1769">
        <v>0</v>
      </c>
      <c r="R1769">
        <v>71</v>
      </c>
      <c r="S1769">
        <v>0</v>
      </c>
      <c r="T1769" t="s">
        <v>7726</v>
      </c>
    </row>
    <row r="1770" spans="1:20" customFormat="1" ht="15" x14ac:dyDescent="0.25">
      <c r="A1770" t="s">
        <v>24</v>
      </c>
      <c r="B1770" t="s">
        <v>6949</v>
      </c>
      <c r="C1770" t="str">
        <f>"71F28"</f>
        <v>71F28</v>
      </c>
      <c r="D1770" t="s">
        <v>34726</v>
      </c>
      <c r="E1770" t="s">
        <v>34727</v>
      </c>
      <c r="F1770" t="s">
        <v>3346</v>
      </c>
      <c r="G1770" t="s">
        <v>289</v>
      </c>
      <c r="H1770">
        <v>60089</v>
      </c>
      <c r="I1770" t="s">
        <v>30</v>
      </c>
      <c r="J1770" t="s">
        <v>162</v>
      </c>
      <c r="K1770" t="s">
        <v>8335</v>
      </c>
      <c r="N1770" t="s">
        <v>34728</v>
      </c>
      <c r="O1770" t="s">
        <v>34729</v>
      </c>
      <c r="Q1770">
        <v>0</v>
      </c>
      <c r="R1770">
        <v>385</v>
      </c>
      <c r="S1770">
        <v>0</v>
      </c>
      <c r="T1770" t="s">
        <v>34730</v>
      </c>
    </row>
    <row r="1771" spans="1:20" customFormat="1" ht="15" x14ac:dyDescent="0.25">
      <c r="A1771" t="s">
        <v>35</v>
      </c>
      <c r="B1771" t="s">
        <v>61</v>
      </c>
      <c r="C1771" t="str">
        <f>"A0125510"</f>
        <v>A0125510</v>
      </c>
      <c r="D1771" t="s">
        <v>7732</v>
      </c>
      <c r="E1771" t="s">
        <v>7733</v>
      </c>
      <c r="F1771" t="s">
        <v>7734</v>
      </c>
      <c r="G1771" t="s">
        <v>197</v>
      </c>
      <c r="H1771">
        <v>85714</v>
      </c>
      <c r="I1771" t="s">
        <v>30</v>
      </c>
      <c r="J1771" t="s">
        <v>41</v>
      </c>
      <c r="K1771" t="s">
        <v>418</v>
      </c>
      <c r="Q1771">
        <v>0</v>
      </c>
      <c r="R1771">
        <v>212</v>
      </c>
      <c r="S1771">
        <v>212</v>
      </c>
      <c r="T1771" t="s">
        <v>7735</v>
      </c>
    </row>
    <row r="1772" spans="1:20" customFormat="1" ht="15" x14ac:dyDescent="0.25">
      <c r="A1772" t="s">
        <v>24</v>
      </c>
      <c r="B1772" t="s">
        <v>1323</v>
      </c>
      <c r="C1772" t="str">
        <f>"A0190203"</f>
        <v>A0190203</v>
      </c>
      <c r="D1772" t="s">
        <v>7736</v>
      </c>
      <c r="E1772" t="s">
        <v>7737</v>
      </c>
      <c r="F1772" t="s">
        <v>7738</v>
      </c>
      <c r="G1772" t="s">
        <v>81</v>
      </c>
      <c r="H1772">
        <v>33767</v>
      </c>
      <c r="I1772" t="s">
        <v>30</v>
      </c>
      <c r="J1772" t="s">
        <v>31</v>
      </c>
      <c r="K1772" t="s">
        <v>163</v>
      </c>
      <c r="N1772" t="s">
        <v>7739</v>
      </c>
      <c r="O1772" t="s">
        <v>7740</v>
      </c>
      <c r="Q1772">
        <v>0</v>
      </c>
      <c r="R1772">
        <v>64</v>
      </c>
      <c r="S1772">
        <v>0</v>
      </c>
      <c r="T1772" t="s">
        <v>7741</v>
      </c>
    </row>
    <row r="1773" spans="1:20" customFormat="1" ht="15" x14ac:dyDescent="0.25">
      <c r="A1773" t="s">
        <v>24</v>
      </c>
      <c r="B1773" t="s">
        <v>7742</v>
      </c>
      <c r="C1773" t="str">
        <f>"432UB"</f>
        <v>432UB</v>
      </c>
      <c r="D1773" t="s">
        <v>7743</v>
      </c>
      <c r="E1773" t="s">
        <v>7744</v>
      </c>
      <c r="F1773" t="s">
        <v>7745</v>
      </c>
      <c r="G1773" t="s">
        <v>925</v>
      </c>
      <c r="H1773">
        <v>67601</v>
      </c>
      <c r="I1773" t="s">
        <v>30</v>
      </c>
      <c r="J1773" t="s">
        <v>31</v>
      </c>
      <c r="K1773" t="s">
        <v>32</v>
      </c>
      <c r="N1773" t="s">
        <v>7746</v>
      </c>
      <c r="Q1773">
        <v>0</v>
      </c>
      <c r="R1773">
        <v>61</v>
      </c>
      <c r="S1773">
        <v>0</v>
      </c>
      <c r="T1773" t="s">
        <v>7747</v>
      </c>
    </row>
    <row r="1774" spans="1:20" customFormat="1" ht="15" x14ac:dyDescent="0.25">
      <c r="A1774" t="s">
        <v>24</v>
      </c>
      <c r="B1774" t="s">
        <v>7742</v>
      </c>
      <c r="C1774" t="str">
        <f>"A0091373"</f>
        <v>A0091373</v>
      </c>
      <c r="D1774" t="s">
        <v>7748</v>
      </c>
      <c r="E1774" t="s">
        <v>7749</v>
      </c>
      <c r="F1774" t="s">
        <v>4560</v>
      </c>
      <c r="G1774" t="s">
        <v>925</v>
      </c>
      <c r="H1774">
        <v>67501</v>
      </c>
      <c r="I1774" t="s">
        <v>30</v>
      </c>
      <c r="J1774" t="s">
        <v>31</v>
      </c>
      <c r="K1774" t="s">
        <v>32</v>
      </c>
      <c r="N1774" t="s">
        <v>7750</v>
      </c>
      <c r="Q1774">
        <v>0</v>
      </c>
      <c r="R1774">
        <v>89</v>
      </c>
      <c r="S1774">
        <v>0</v>
      </c>
      <c r="T1774" t="s">
        <v>7751</v>
      </c>
    </row>
    <row r="1775" spans="1:20" customFormat="1" ht="15" x14ac:dyDescent="0.25">
      <c r="A1775" t="s">
        <v>35</v>
      </c>
      <c r="B1775" t="s">
        <v>61</v>
      </c>
      <c r="C1775" t="str">
        <f>"A0125526"</f>
        <v>A0125526</v>
      </c>
      <c r="D1775" t="s">
        <v>7752</v>
      </c>
      <c r="E1775" t="s">
        <v>7753</v>
      </c>
      <c r="F1775" t="s">
        <v>7754</v>
      </c>
      <c r="G1775" t="s">
        <v>4815</v>
      </c>
      <c r="H1775">
        <v>96720</v>
      </c>
      <c r="I1775" t="s">
        <v>30</v>
      </c>
      <c r="J1775" t="s">
        <v>41</v>
      </c>
      <c r="K1775" t="s">
        <v>229</v>
      </c>
      <c r="Q1775">
        <v>0</v>
      </c>
      <c r="R1775">
        <v>98</v>
      </c>
      <c r="S1775">
        <v>98</v>
      </c>
      <c r="T1775" t="s">
        <v>7755</v>
      </c>
    </row>
    <row r="1776" spans="1:20" customFormat="1" ht="15" x14ac:dyDescent="0.25">
      <c r="A1776" t="s">
        <v>35</v>
      </c>
      <c r="B1776" t="s">
        <v>61</v>
      </c>
      <c r="C1776" t="str">
        <f>"A0151178"</f>
        <v>A0151178</v>
      </c>
      <c r="D1776" t="s">
        <v>7756</v>
      </c>
      <c r="E1776" t="s">
        <v>7757</v>
      </c>
      <c r="F1776" t="s">
        <v>7758</v>
      </c>
      <c r="G1776" t="s">
        <v>110</v>
      </c>
      <c r="H1776">
        <v>95422</v>
      </c>
      <c r="I1776" t="s">
        <v>30</v>
      </c>
      <c r="J1776" t="s">
        <v>41</v>
      </c>
      <c r="K1776" t="s">
        <v>59</v>
      </c>
      <c r="Q1776">
        <v>0</v>
      </c>
      <c r="R1776">
        <v>55</v>
      </c>
      <c r="S1776">
        <v>55</v>
      </c>
      <c r="T1776" t="s">
        <v>7759</v>
      </c>
    </row>
    <row r="1777" spans="1:20" customFormat="1" ht="15" x14ac:dyDescent="0.25">
      <c r="A1777" t="s">
        <v>35</v>
      </c>
      <c r="B1777" t="s">
        <v>61</v>
      </c>
      <c r="C1777" t="str">
        <f>"A0125534"</f>
        <v>A0125534</v>
      </c>
      <c r="D1777" t="s">
        <v>7760</v>
      </c>
      <c r="E1777" t="s">
        <v>7761</v>
      </c>
      <c r="F1777" t="s">
        <v>4814</v>
      </c>
      <c r="G1777" t="s">
        <v>4815</v>
      </c>
      <c r="H1777">
        <v>96826</v>
      </c>
      <c r="I1777" t="s">
        <v>30</v>
      </c>
      <c r="J1777" t="s">
        <v>41</v>
      </c>
      <c r="K1777" t="s">
        <v>59</v>
      </c>
      <c r="Q1777">
        <v>0</v>
      </c>
      <c r="R1777">
        <v>236</v>
      </c>
      <c r="S1777">
        <v>236</v>
      </c>
      <c r="T1777" t="s">
        <v>7762</v>
      </c>
    </row>
    <row r="1778" spans="1:20" customFormat="1" ht="15" x14ac:dyDescent="0.25">
      <c r="A1778" t="s">
        <v>35</v>
      </c>
      <c r="B1778" t="s">
        <v>61</v>
      </c>
      <c r="C1778" t="str">
        <f>"A0151177"</f>
        <v>A0151177</v>
      </c>
      <c r="D1778" t="s">
        <v>7763</v>
      </c>
      <c r="E1778" t="s">
        <v>7764</v>
      </c>
      <c r="F1778" t="s">
        <v>7765</v>
      </c>
      <c r="G1778" t="s">
        <v>110</v>
      </c>
      <c r="H1778">
        <v>95540</v>
      </c>
      <c r="I1778" t="s">
        <v>30</v>
      </c>
      <c r="J1778" t="s">
        <v>41</v>
      </c>
      <c r="K1778" t="s">
        <v>59</v>
      </c>
      <c r="Q1778">
        <v>0</v>
      </c>
      <c r="R1778">
        <v>60</v>
      </c>
      <c r="S1778">
        <v>60</v>
      </c>
      <c r="T1778" t="s">
        <v>7766</v>
      </c>
    </row>
    <row r="1779" spans="1:20" customFormat="1" ht="15" x14ac:dyDescent="0.25">
      <c r="A1779" t="s">
        <v>35</v>
      </c>
      <c r="B1779" t="s">
        <v>61</v>
      </c>
      <c r="C1779" t="str">
        <f>"A0151176"</f>
        <v>A0151176</v>
      </c>
      <c r="D1779" t="s">
        <v>7767</v>
      </c>
      <c r="E1779" t="s">
        <v>7768</v>
      </c>
      <c r="F1779" t="s">
        <v>7769</v>
      </c>
      <c r="G1779" t="s">
        <v>110</v>
      </c>
      <c r="H1779">
        <v>96097</v>
      </c>
      <c r="I1779" t="s">
        <v>30</v>
      </c>
      <c r="J1779" t="s">
        <v>41</v>
      </c>
      <c r="K1779" t="s">
        <v>59</v>
      </c>
      <c r="Q1779">
        <v>0</v>
      </c>
      <c r="R1779">
        <v>60</v>
      </c>
      <c r="S1779">
        <v>60</v>
      </c>
      <c r="T1779" t="s">
        <v>7770</v>
      </c>
    </row>
    <row r="1780" spans="1:20" customFormat="1" ht="15" x14ac:dyDescent="0.25">
      <c r="A1780" t="s">
        <v>24</v>
      </c>
      <c r="B1780" t="s">
        <v>4366</v>
      </c>
      <c r="C1780" t="str">
        <f>"A0190157"</f>
        <v>A0190157</v>
      </c>
      <c r="D1780" t="s">
        <v>7771</v>
      </c>
      <c r="E1780" t="s">
        <v>7772</v>
      </c>
      <c r="F1780" t="s">
        <v>7773</v>
      </c>
      <c r="G1780" t="s">
        <v>1170</v>
      </c>
      <c r="H1780">
        <v>70123</v>
      </c>
      <c r="I1780" t="s">
        <v>30</v>
      </c>
      <c r="J1780" t="s">
        <v>7657</v>
      </c>
      <c r="K1780" t="s">
        <v>163</v>
      </c>
      <c r="Q1780">
        <v>0</v>
      </c>
      <c r="R1780">
        <v>0</v>
      </c>
      <c r="S1780">
        <v>0</v>
      </c>
      <c r="T1780" t="s">
        <v>7658</v>
      </c>
    </row>
    <row r="1781" spans="1:20" customFormat="1" ht="15" x14ac:dyDescent="0.25">
      <c r="A1781" t="s">
        <v>35</v>
      </c>
      <c r="B1781" t="s">
        <v>7774</v>
      </c>
      <c r="C1781" t="str">
        <f>"A0190198"</f>
        <v>A0190198</v>
      </c>
      <c r="D1781" t="s">
        <v>7775</v>
      </c>
      <c r="E1781" t="s">
        <v>7776</v>
      </c>
      <c r="F1781" t="s">
        <v>7777</v>
      </c>
      <c r="G1781" t="s">
        <v>65</v>
      </c>
      <c r="H1781">
        <v>43026</v>
      </c>
      <c r="I1781" t="s">
        <v>30</v>
      </c>
      <c r="J1781" t="s">
        <v>41</v>
      </c>
      <c r="K1781" t="s">
        <v>59</v>
      </c>
      <c r="Q1781">
        <v>0</v>
      </c>
      <c r="R1781">
        <v>0</v>
      </c>
      <c r="S1781">
        <v>100</v>
      </c>
      <c r="T1781" t="s">
        <v>7778</v>
      </c>
    </row>
    <row r="1782" spans="1:20" customFormat="1" ht="15" x14ac:dyDescent="0.25">
      <c r="A1782" t="s">
        <v>35</v>
      </c>
      <c r="B1782" t="s">
        <v>61</v>
      </c>
      <c r="C1782" t="str">
        <f>"A0190197"</f>
        <v>A0190197</v>
      </c>
      <c r="D1782" t="s">
        <v>7779</v>
      </c>
      <c r="E1782" t="s">
        <v>7780</v>
      </c>
      <c r="F1782" t="s">
        <v>3293</v>
      </c>
      <c r="G1782" t="s">
        <v>381</v>
      </c>
      <c r="H1782">
        <v>46012</v>
      </c>
      <c r="I1782" t="s">
        <v>30</v>
      </c>
      <c r="J1782" t="s">
        <v>41</v>
      </c>
      <c r="K1782" t="s">
        <v>461</v>
      </c>
      <c r="Q1782">
        <v>0</v>
      </c>
      <c r="R1782">
        <v>0</v>
      </c>
      <c r="S1782">
        <v>40</v>
      </c>
      <c r="T1782" t="s">
        <v>7781</v>
      </c>
    </row>
    <row r="1783" spans="1:20" customFormat="1" ht="15" x14ac:dyDescent="0.25">
      <c r="A1783" t="s">
        <v>35</v>
      </c>
      <c r="B1783" t="s">
        <v>61</v>
      </c>
      <c r="C1783" t="str">
        <f>"A0190196"</f>
        <v>A0190196</v>
      </c>
      <c r="D1783" t="s">
        <v>7782</v>
      </c>
      <c r="E1783" t="s">
        <v>7783</v>
      </c>
      <c r="F1783" t="s">
        <v>7784</v>
      </c>
      <c r="G1783" t="s">
        <v>289</v>
      </c>
      <c r="H1783">
        <v>61820</v>
      </c>
      <c r="I1783" t="s">
        <v>30</v>
      </c>
      <c r="J1783" t="s">
        <v>41</v>
      </c>
      <c r="K1783" t="s">
        <v>4317</v>
      </c>
      <c r="Q1783">
        <v>0</v>
      </c>
      <c r="R1783">
        <v>0</v>
      </c>
      <c r="S1783">
        <v>0</v>
      </c>
      <c r="T1783" t="s">
        <v>7785</v>
      </c>
    </row>
    <row r="1784" spans="1:20" customFormat="1" ht="15" x14ac:dyDescent="0.25">
      <c r="A1784" t="s">
        <v>35</v>
      </c>
      <c r="B1784" t="s">
        <v>61</v>
      </c>
      <c r="C1784" t="str">
        <f>"A0190195"</f>
        <v>A0190195</v>
      </c>
      <c r="D1784" t="s">
        <v>7786</v>
      </c>
      <c r="E1784" t="s">
        <v>7787</v>
      </c>
      <c r="F1784" t="s">
        <v>3009</v>
      </c>
      <c r="G1784" t="s">
        <v>110</v>
      </c>
      <c r="H1784">
        <v>93536</v>
      </c>
      <c r="I1784" t="s">
        <v>30</v>
      </c>
      <c r="J1784" t="s">
        <v>41</v>
      </c>
      <c r="K1784" t="s">
        <v>229</v>
      </c>
      <c r="Q1784">
        <v>0</v>
      </c>
      <c r="R1784">
        <v>0</v>
      </c>
      <c r="S1784">
        <v>6</v>
      </c>
      <c r="T1784" t="s">
        <v>7788</v>
      </c>
    </row>
    <row r="1785" spans="1:20" customFormat="1" ht="15" x14ac:dyDescent="0.25">
      <c r="A1785" t="s">
        <v>35</v>
      </c>
      <c r="B1785" t="s">
        <v>61</v>
      </c>
      <c r="C1785" t="str">
        <f>"A0190194"</f>
        <v>A0190194</v>
      </c>
      <c r="D1785" t="s">
        <v>7789</v>
      </c>
      <c r="E1785" t="s">
        <v>7790</v>
      </c>
      <c r="F1785" t="s">
        <v>3009</v>
      </c>
      <c r="G1785" t="s">
        <v>110</v>
      </c>
      <c r="H1785">
        <v>93534</v>
      </c>
      <c r="I1785" t="s">
        <v>30</v>
      </c>
      <c r="J1785" t="s">
        <v>41</v>
      </c>
      <c r="K1785" t="s">
        <v>229</v>
      </c>
      <c r="Q1785">
        <v>0</v>
      </c>
      <c r="R1785">
        <v>0</v>
      </c>
      <c r="S1785">
        <v>6</v>
      </c>
      <c r="T1785" t="s">
        <v>7791</v>
      </c>
    </row>
    <row r="1786" spans="1:20" customFormat="1" ht="15" x14ac:dyDescent="0.25">
      <c r="A1786" t="s">
        <v>35</v>
      </c>
      <c r="B1786" t="s">
        <v>61</v>
      </c>
      <c r="C1786" t="str">
        <f>"A0190193"</f>
        <v>A0190193</v>
      </c>
      <c r="D1786" t="s">
        <v>7792</v>
      </c>
      <c r="E1786" t="s">
        <v>7793</v>
      </c>
      <c r="F1786" t="s">
        <v>7794</v>
      </c>
      <c r="G1786" t="s">
        <v>110</v>
      </c>
      <c r="H1786">
        <v>91352</v>
      </c>
      <c r="I1786" t="s">
        <v>30</v>
      </c>
      <c r="J1786" t="s">
        <v>41</v>
      </c>
      <c r="K1786" t="s">
        <v>229</v>
      </c>
      <c r="Q1786">
        <v>0</v>
      </c>
      <c r="R1786">
        <v>0</v>
      </c>
      <c r="S1786">
        <v>6</v>
      </c>
      <c r="T1786" t="s">
        <v>7795</v>
      </c>
    </row>
    <row r="1787" spans="1:20" customFormat="1" ht="15" x14ac:dyDescent="0.25">
      <c r="A1787" t="s">
        <v>35</v>
      </c>
      <c r="B1787" t="s">
        <v>61</v>
      </c>
      <c r="C1787" t="str">
        <f>"A0190192"</f>
        <v>A0190192</v>
      </c>
      <c r="D1787" t="s">
        <v>7796</v>
      </c>
      <c r="E1787" t="s">
        <v>7797</v>
      </c>
      <c r="F1787" t="s">
        <v>6290</v>
      </c>
      <c r="G1787" t="s">
        <v>81</v>
      </c>
      <c r="H1787">
        <v>32608</v>
      </c>
      <c r="I1787" t="s">
        <v>30</v>
      </c>
      <c r="J1787" t="s">
        <v>41</v>
      </c>
      <c r="K1787" t="s">
        <v>59</v>
      </c>
      <c r="Q1787">
        <v>0</v>
      </c>
      <c r="R1787">
        <v>0</v>
      </c>
      <c r="S1787">
        <v>412</v>
      </c>
      <c r="T1787" t="s">
        <v>7798</v>
      </c>
    </row>
    <row r="1788" spans="1:20" customFormat="1" ht="15" x14ac:dyDescent="0.25">
      <c r="A1788" t="s">
        <v>35</v>
      </c>
      <c r="B1788" t="s">
        <v>119</v>
      </c>
      <c r="C1788" t="str">
        <f>"A0190191"</f>
        <v>A0190191</v>
      </c>
      <c r="D1788" t="s">
        <v>7799</v>
      </c>
      <c r="E1788" t="s">
        <v>7800</v>
      </c>
      <c r="F1788" t="s">
        <v>7801</v>
      </c>
      <c r="G1788" t="s">
        <v>846</v>
      </c>
      <c r="H1788">
        <v>31406</v>
      </c>
      <c r="I1788" t="s">
        <v>30</v>
      </c>
      <c r="J1788" t="s">
        <v>41</v>
      </c>
      <c r="K1788" t="s">
        <v>59</v>
      </c>
      <c r="Q1788">
        <v>0</v>
      </c>
      <c r="R1788">
        <v>0</v>
      </c>
      <c r="S1788">
        <v>100</v>
      </c>
      <c r="T1788" t="s">
        <v>126</v>
      </c>
    </row>
    <row r="1789" spans="1:20" customFormat="1" ht="15" x14ac:dyDescent="0.25">
      <c r="A1789" t="s">
        <v>35</v>
      </c>
      <c r="B1789" t="s">
        <v>119</v>
      </c>
      <c r="C1789" t="str">
        <f>"A0190190"</f>
        <v>A0190190</v>
      </c>
      <c r="D1789" t="s">
        <v>7802</v>
      </c>
      <c r="E1789" t="s">
        <v>7803</v>
      </c>
      <c r="F1789" t="s">
        <v>5491</v>
      </c>
      <c r="G1789" t="s">
        <v>507</v>
      </c>
      <c r="H1789">
        <v>26431</v>
      </c>
      <c r="I1789" t="s">
        <v>30</v>
      </c>
      <c r="J1789" t="s">
        <v>41</v>
      </c>
      <c r="K1789" t="s">
        <v>59</v>
      </c>
      <c r="Q1789">
        <v>0</v>
      </c>
      <c r="R1789">
        <v>0</v>
      </c>
      <c r="S1789">
        <v>112</v>
      </c>
      <c r="T1789" t="s">
        <v>126</v>
      </c>
    </row>
    <row r="1790" spans="1:20" customFormat="1" ht="15" x14ac:dyDescent="0.25">
      <c r="A1790" t="s">
        <v>35</v>
      </c>
      <c r="B1790" t="s">
        <v>7804</v>
      </c>
      <c r="C1790" t="str">
        <f>"A0190189"</f>
        <v>A0190189</v>
      </c>
      <c r="D1790" t="s">
        <v>7804</v>
      </c>
      <c r="E1790" t="s">
        <v>7805</v>
      </c>
      <c r="F1790" t="s">
        <v>7299</v>
      </c>
      <c r="G1790" t="s">
        <v>289</v>
      </c>
      <c r="H1790">
        <v>60712</v>
      </c>
      <c r="I1790" t="s">
        <v>30</v>
      </c>
      <c r="J1790" t="s">
        <v>41</v>
      </c>
      <c r="K1790" t="s">
        <v>290</v>
      </c>
      <c r="Q1790">
        <v>0</v>
      </c>
      <c r="R1790">
        <v>0</v>
      </c>
      <c r="S1790">
        <v>0</v>
      </c>
      <c r="T1790" t="s">
        <v>72</v>
      </c>
    </row>
    <row r="1791" spans="1:20" customFormat="1" ht="15" x14ac:dyDescent="0.25">
      <c r="A1791" t="s">
        <v>35</v>
      </c>
      <c r="B1791" t="s">
        <v>5776</v>
      </c>
      <c r="C1791" t="str">
        <f>"A0190188"</f>
        <v>A0190188</v>
      </c>
      <c r="D1791" t="s">
        <v>7806</v>
      </c>
      <c r="E1791" t="s">
        <v>7807</v>
      </c>
      <c r="F1791" t="s">
        <v>638</v>
      </c>
      <c r="G1791" t="s">
        <v>289</v>
      </c>
      <c r="H1791">
        <v>62448</v>
      </c>
      <c r="I1791" t="s">
        <v>30</v>
      </c>
      <c r="J1791" t="s">
        <v>41</v>
      </c>
      <c r="K1791" t="s">
        <v>229</v>
      </c>
      <c r="Q1791">
        <v>0</v>
      </c>
      <c r="R1791">
        <v>0</v>
      </c>
      <c r="S1791">
        <v>0</v>
      </c>
      <c r="T1791" t="s">
        <v>72</v>
      </c>
    </row>
    <row r="1792" spans="1:20" customFormat="1" ht="15" x14ac:dyDescent="0.25">
      <c r="A1792" t="s">
        <v>35</v>
      </c>
      <c r="B1792" t="s">
        <v>5776</v>
      </c>
      <c r="C1792" t="str">
        <f>"A0190187"</f>
        <v>A0190187</v>
      </c>
      <c r="D1792" t="s">
        <v>7808</v>
      </c>
      <c r="E1792" t="s">
        <v>7809</v>
      </c>
      <c r="F1792" t="s">
        <v>2714</v>
      </c>
      <c r="G1792" t="s">
        <v>81</v>
      </c>
      <c r="H1792">
        <v>33615</v>
      </c>
      <c r="I1792" t="s">
        <v>30</v>
      </c>
      <c r="J1792" t="s">
        <v>41</v>
      </c>
      <c r="K1792" t="s">
        <v>42</v>
      </c>
      <c r="Q1792">
        <v>0</v>
      </c>
      <c r="R1792">
        <v>0</v>
      </c>
      <c r="S1792">
        <v>0</v>
      </c>
      <c r="T1792" t="s">
        <v>7810</v>
      </c>
    </row>
    <row r="1793" spans="1:20" customFormat="1" ht="15" x14ac:dyDescent="0.25">
      <c r="A1793" t="s">
        <v>35</v>
      </c>
      <c r="B1793" t="s">
        <v>4322</v>
      </c>
      <c r="C1793" t="str">
        <f>"A0190186"</f>
        <v>A0190186</v>
      </c>
      <c r="D1793" t="s">
        <v>7811</v>
      </c>
      <c r="E1793" t="s">
        <v>7812</v>
      </c>
      <c r="F1793" t="s">
        <v>4325</v>
      </c>
      <c r="G1793" t="s">
        <v>381</v>
      </c>
      <c r="H1793">
        <v>46060</v>
      </c>
      <c r="I1793" t="s">
        <v>30</v>
      </c>
      <c r="J1793" t="s">
        <v>41</v>
      </c>
      <c r="K1793" t="s">
        <v>461</v>
      </c>
      <c r="Q1793">
        <v>0</v>
      </c>
      <c r="R1793">
        <v>0</v>
      </c>
      <c r="S1793">
        <v>0</v>
      </c>
      <c r="T1793" t="s">
        <v>7813</v>
      </c>
    </row>
    <row r="1794" spans="1:20" customFormat="1" ht="15" x14ac:dyDescent="0.25">
      <c r="A1794" t="s">
        <v>35</v>
      </c>
      <c r="B1794" t="s">
        <v>4322</v>
      </c>
      <c r="C1794" t="str">
        <f>"A0190185"</f>
        <v>A0190185</v>
      </c>
      <c r="D1794" t="s">
        <v>4322</v>
      </c>
      <c r="E1794" t="s">
        <v>7814</v>
      </c>
      <c r="F1794" t="s">
        <v>4325</v>
      </c>
      <c r="G1794" t="s">
        <v>381</v>
      </c>
      <c r="H1794">
        <v>46060</v>
      </c>
      <c r="I1794" t="s">
        <v>30</v>
      </c>
      <c r="J1794" t="s">
        <v>41</v>
      </c>
      <c r="K1794" t="s">
        <v>290</v>
      </c>
      <c r="Q1794">
        <v>0</v>
      </c>
      <c r="R1794">
        <v>0</v>
      </c>
      <c r="S1794">
        <v>0</v>
      </c>
      <c r="T1794" t="s">
        <v>72</v>
      </c>
    </row>
    <row r="1795" spans="1:20" customFormat="1" ht="15" x14ac:dyDescent="0.25">
      <c r="A1795" t="s">
        <v>35</v>
      </c>
      <c r="B1795" t="s">
        <v>5319</v>
      </c>
      <c r="C1795" t="str">
        <f>"A0190184"</f>
        <v>A0190184</v>
      </c>
      <c r="D1795" t="s">
        <v>7815</v>
      </c>
      <c r="E1795" t="s">
        <v>7816</v>
      </c>
      <c r="F1795" t="s">
        <v>7817</v>
      </c>
      <c r="G1795" t="s">
        <v>3236</v>
      </c>
      <c r="H1795">
        <v>57356</v>
      </c>
      <c r="I1795" t="s">
        <v>30</v>
      </c>
      <c r="J1795" t="s">
        <v>41</v>
      </c>
      <c r="K1795" t="s">
        <v>229</v>
      </c>
      <c r="Q1795">
        <v>0</v>
      </c>
      <c r="R1795">
        <v>0</v>
      </c>
      <c r="S1795">
        <v>42</v>
      </c>
      <c r="T1795" t="s">
        <v>7818</v>
      </c>
    </row>
    <row r="1796" spans="1:20" customFormat="1" ht="15" x14ac:dyDescent="0.25">
      <c r="A1796" t="s">
        <v>35</v>
      </c>
      <c r="B1796" t="s">
        <v>5319</v>
      </c>
      <c r="C1796" t="str">
        <f>"A0190183"</f>
        <v>A0190183</v>
      </c>
      <c r="D1796" t="s">
        <v>7819</v>
      </c>
      <c r="E1796" t="s">
        <v>7820</v>
      </c>
      <c r="F1796" t="s">
        <v>7821</v>
      </c>
      <c r="G1796" t="s">
        <v>3236</v>
      </c>
      <c r="H1796">
        <v>57438</v>
      </c>
      <c r="I1796" t="s">
        <v>30</v>
      </c>
      <c r="J1796" t="s">
        <v>41</v>
      </c>
      <c r="K1796" t="s">
        <v>229</v>
      </c>
      <c r="Q1796">
        <v>0</v>
      </c>
      <c r="R1796">
        <v>0</v>
      </c>
      <c r="S1796">
        <v>67</v>
      </c>
      <c r="T1796" t="s">
        <v>7822</v>
      </c>
    </row>
    <row r="1797" spans="1:20" customFormat="1" ht="15" x14ac:dyDescent="0.25">
      <c r="A1797" t="s">
        <v>35</v>
      </c>
      <c r="B1797" t="s">
        <v>5319</v>
      </c>
      <c r="C1797" t="str">
        <f>"A0190182"</f>
        <v>A0190182</v>
      </c>
      <c r="D1797" t="s">
        <v>7823</v>
      </c>
      <c r="E1797" t="s">
        <v>7824</v>
      </c>
      <c r="F1797" t="s">
        <v>7825</v>
      </c>
      <c r="G1797" t="s">
        <v>3236</v>
      </c>
      <c r="H1797">
        <v>57401</v>
      </c>
      <c r="I1797" t="s">
        <v>30</v>
      </c>
      <c r="J1797" t="s">
        <v>41</v>
      </c>
      <c r="K1797" t="s">
        <v>229</v>
      </c>
      <c r="Q1797">
        <v>0</v>
      </c>
      <c r="R1797">
        <v>0</v>
      </c>
      <c r="S1797">
        <v>75</v>
      </c>
      <c r="T1797" t="s">
        <v>7826</v>
      </c>
    </row>
    <row r="1798" spans="1:20" customFormat="1" ht="15" x14ac:dyDescent="0.25">
      <c r="A1798" t="s">
        <v>35</v>
      </c>
      <c r="B1798" t="s">
        <v>5319</v>
      </c>
      <c r="C1798" t="str">
        <f>"A0190181"</f>
        <v>A0190181</v>
      </c>
      <c r="D1798" t="s">
        <v>5326</v>
      </c>
      <c r="E1798" t="s">
        <v>7827</v>
      </c>
      <c r="F1798" t="s">
        <v>5328</v>
      </c>
      <c r="G1798" t="s">
        <v>161</v>
      </c>
      <c r="H1798">
        <v>55954</v>
      </c>
      <c r="I1798" t="s">
        <v>30</v>
      </c>
      <c r="J1798" t="s">
        <v>41</v>
      </c>
      <c r="K1798" t="s">
        <v>229</v>
      </c>
      <c r="Q1798">
        <v>0</v>
      </c>
      <c r="R1798">
        <v>0</v>
      </c>
      <c r="S1798">
        <v>76</v>
      </c>
      <c r="T1798" t="s">
        <v>7828</v>
      </c>
    </row>
    <row r="1799" spans="1:20" customFormat="1" ht="15" x14ac:dyDescent="0.25">
      <c r="A1799" t="s">
        <v>35</v>
      </c>
      <c r="B1799" t="s">
        <v>5319</v>
      </c>
      <c r="C1799" t="str">
        <f>"A0190180"</f>
        <v>A0190180</v>
      </c>
      <c r="D1799" t="s">
        <v>7829</v>
      </c>
      <c r="E1799" t="s">
        <v>7830</v>
      </c>
      <c r="F1799" t="s">
        <v>7831</v>
      </c>
      <c r="G1799" t="s">
        <v>1898</v>
      </c>
      <c r="H1799">
        <v>51601</v>
      </c>
      <c r="I1799" t="s">
        <v>30</v>
      </c>
      <c r="J1799" t="s">
        <v>41</v>
      </c>
      <c r="K1799" t="s">
        <v>229</v>
      </c>
      <c r="Q1799">
        <v>0</v>
      </c>
      <c r="R1799">
        <v>0</v>
      </c>
      <c r="S1799">
        <v>45</v>
      </c>
      <c r="T1799" t="s">
        <v>7832</v>
      </c>
    </row>
    <row r="1800" spans="1:20" customFormat="1" ht="15" x14ac:dyDescent="0.25">
      <c r="A1800" t="s">
        <v>35</v>
      </c>
      <c r="B1800" t="s">
        <v>5319</v>
      </c>
      <c r="C1800" t="str">
        <f>"A0190179"</f>
        <v>A0190179</v>
      </c>
      <c r="D1800" t="s">
        <v>7833</v>
      </c>
      <c r="E1800" t="s">
        <v>7834</v>
      </c>
      <c r="F1800" t="s">
        <v>7835</v>
      </c>
      <c r="G1800" t="s">
        <v>1898</v>
      </c>
      <c r="H1800">
        <v>50670</v>
      </c>
      <c r="I1800" t="s">
        <v>30</v>
      </c>
      <c r="J1800" t="s">
        <v>41</v>
      </c>
      <c r="K1800" t="s">
        <v>229</v>
      </c>
      <c r="Q1800">
        <v>0</v>
      </c>
      <c r="R1800">
        <v>0</v>
      </c>
      <c r="S1800">
        <v>0</v>
      </c>
      <c r="T1800" t="s">
        <v>7836</v>
      </c>
    </row>
    <row r="1801" spans="1:20" customFormat="1" ht="15" x14ac:dyDescent="0.25">
      <c r="A1801" t="s">
        <v>35</v>
      </c>
      <c r="B1801" t="s">
        <v>5319</v>
      </c>
      <c r="C1801" t="str">
        <f>"A0190178"</f>
        <v>A0190178</v>
      </c>
      <c r="D1801" t="s">
        <v>7837</v>
      </c>
      <c r="E1801" t="s">
        <v>7838</v>
      </c>
      <c r="F1801" t="s">
        <v>7839</v>
      </c>
      <c r="G1801" t="s">
        <v>161</v>
      </c>
      <c r="H1801">
        <v>55077</v>
      </c>
      <c r="I1801" t="s">
        <v>30</v>
      </c>
      <c r="J1801" t="s">
        <v>41</v>
      </c>
      <c r="K1801" t="s">
        <v>229</v>
      </c>
      <c r="Q1801">
        <v>0</v>
      </c>
      <c r="R1801">
        <v>0</v>
      </c>
      <c r="S1801">
        <v>79</v>
      </c>
      <c r="T1801" t="s">
        <v>7840</v>
      </c>
    </row>
    <row r="1802" spans="1:20" customFormat="1" ht="15" x14ac:dyDescent="0.25">
      <c r="A1802" t="s">
        <v>35</v>
      </c>
      <c r="B1802" t="s">
        <v>5319</v>
      </c>
      <c r="C1802" t="str">
        <f>"A0190177"</f>
        <v>A0190177</v>
      </c>
      <c r="D1802" t="s">
        <v>7841</v>
      </c>
      <c r="E1802" t="s">
        <v>7842</v>
      </c>
      <c r="F1802" t="s">
        <v>7843</v>
      </c>
      <c r="G1802" t="s">
        <v>161</v>
      </c>
      <c r="H1802">
        <v>56387</v>
      </c>
      <c r="I1802" t="s">
        <v>30</v>
      </c>
      <c r="J1802" t="s">
        <v>41</v>
      </c>
      <c r="K1802" t="s">
        <v>229</v>
      </c>
      <c r="Q1802">
        <v>0</v>
      </c>
      <c r="R1802">
        <v>0</v>
      </c>
      <c r="S1802">
        <v>45</v>
      </c>
      <c r="T1802" t="s">
        <v>7844</v>
      </c>
    </row>
    <row r="1803" spans="1:20" customFormat="1" ht="15" x14ac:dyDescent="0.25">
      <c r="A1803" t="s">
        <v>35</v>
      </c>
      <c r="B1803" t="s">
        <v>5319</v>
      </c>
      <c r="C1803" t="str">
        <f>"A0190176"</f>
        <v>A0190176</v>
      </c>
      <c r="D1803" t="s">
        <v>5320</v>
      </c>
      <c r="E1803" t="s">
        <v>5321</v>
      </c>
      <c r="F1803" t="s">
        <v>7845</v>
      </c>
      <c r="G1803" t="s">
        <v>161</v>
      </c>
      <c r="H1803">
        <v>56379</v>
      </c>
      <c r="I1803" t="s">
        <v>30</v>
      </c>
      <c r="J1803" t="s">
        <v>41</v>
      </c>
      <c r="K1803" t="s">
        <v>59</v>
      </c>
      <c r="Q1803">
        <v>0</v>
      </c>
      <c r="R1803">
        <v>0</v>
      </c>
      <c r="S1803">
        <v>57</v>
      </c>
      <c r="T1803" t="s">
        <v>7846</v>
      </c>
    </row>
    <row r="1804" spans="1:20" customFormat="1" ht="15" x14ac:dyDescent="0.25">
      <c r="A1804" t="s">
        <v>35</v>
      </c>
      <c r="B1804" t="s">
        <v>5319</v>
      </c>
      <c r="C1804" t="str">
        <f>"A0190175"</f>
        <v>A0190175</v>
      </c>
      <c r="D1804" t="s">
        <v>5323</v>
      </c>
      <c r="E1804" t="s">
        <v>7847</v>
      </c>
      <c r="F1804" t="s">
        <v>5325</v>
      </c>
      <c r="G1804" t="s">
        <v>161</v>
      </c>
      <c r="H1804">
        <v>56175</v>
      </c>
      <c r="I1804" t="s">
        <v>30</v>
      </c>
      <c r="J1804" t="s">
        <v>41</v>
      </c>
      <c r="K1804" t="s">
        <v>229</v>
      </c>
      <c r="Q1804">
        <v>0</v>
      </c>
      <c r="R1804">
        <v>0</v>
      </c>
      <c r="S1804">
        <v>43</v>
      </c>
      <c r="T1804" t="s">
        <v>7848</v>
      </c>
    </row>
    <row r="1805" spans="1:20" customFormat="1" ht="15" x14ac:dyDescent="0.25">
      <c r="A1805" t="s">
        <v>35</v>
      </c>
      <c r="B1805" t="s">
        <v>5319</v>
      </c>
      <c r="C1805" t="str">
        <f>"A0190174"</f>
        <v>A0190174</v>
      </c>
      <c r="D1805" t="s">
        <v>7849</v>
      </c>
      <c r="E1805" t="s">
        <v>7850</v>
      </c>
      <c r="F1805" t="s">
        <v>7843</v>
      </c>
      <c r="G1805" t="s">
        <v>161</v>
      </c>
      <c r="H1805">
        <v>56387</v>
      </c>
      <c r="I1805" t="s">
        <v>30</v>
      </c>
      <c r="J1805" t="s">
        <v>41</v>
      </c>
      <c r="K1805" t="s">
        <v>59</v>
      </c>
      <c r="Q1805">
        <v>0</v>
      </c>
      <c r="R1805">
        <v>0</v>
      </c>
      <c r="S1805">
        <v>110</v>
      </c>
      <c r="T1805" t="s">
        <v>7851</v>
      </c>
    </row>
    <row r="1806" spans="1:20" customFormat="1" ht="15" x14ac:dyDescent="0.25">
      <c r="A1806" t="s">
        <v>35</v>
      </c>
      <c r="B1806" t="s">
        <v>5319</v>
      </c>
      <c r="C1806" t="str">
        <f>"A0190173"</f>
        <v>A0190173</v>
      </c>
      <c r="D1806" t="s">
        <v>7852</v>
      </c>
      <c r="E1806" t="s">
        <v>7853</v>
      </c>
      <c r="F1806" t="s">
        <v>7854</v>
      </c>
      <c r="G1806" t="s">
        <v>161</v>
      </c>
      <c r="H1806">
        <v>56732</v>
      </c>
      <c r="I1806" t="s">
        <v>30</v>
      </c>
      <c r="J1806" t="s">
        <v>41</v>
      </c>
      <c r="K1806" t="s">
        <v>229</v>
      </c>
      <c r="Q1806">
        <v>0</v>
      </c>
      <c r="R1806">
        <v>0</v>
      </c>
      <c r="S1806">
        <v>67</v>
      </c>
      <c r="T1806" t="s">
        <v>7855</v>
      </c>
    </row>
    <row r="1807" spans="1:20" customFormat="1" ht="15" x14ac:dyDescent="0.25">
      <c r="A1807" t="s">
        <v>35</v>
      </c>
      <c r="B1807" t="s">
        <v>5319</v>
      </c>
      <c r="C1807" t="str">
        <f>"A0190172"</f>
        <v>A0190172</v>
      </c>
      <c r="D1807" t="s">
        <v>7856</v>
      </c>
      <c r="E1807" t="s">
        <v>7857</v>
      </c>
      <c r="F1807" t="s">
        <v>7858</v>
      </c>
      <c r="G1807" t="s">
        <v>161</v>
      </c>
      <c r="H1807">
        <v>55936</v>
      </c>
      <c r="I1807" t="s">
        <v>30</v>
      </c>
      <c r="J1807" t="s">
        <v>41</v>
      </c>
      <c r="K1807" t="s">
        <v>229</v>
      </c>
      <c r="Q1807">
        <v>0</v>
      </c>
      <c r="R1807">
        <v>0</v>
      </c>
      <c r="S1807">
        <v>54</v>
      </c>
      <c r="T1807" t="s">
        <v>7859</v>
      </c>
    </row>
    <row r="1808" spans="1:20" customFormat="1" ht="15" x14ac:dyDescent="0.25">
      <c r="A1808" t="s">
        <v>35</v>
      </c>
      <c r="B1808" t="s">
        <v>5319</v>
      </c>
      <c r="C1808" t="str">
        <f>"A0190171"</f>
        <v>A0190171</v>
      </c>
      <c r="D1808" t="s">
        <v>7860</v>
      </c>
      <c r="E1808" t="s">
        <v>7861</v>
      </c>
      <c r="F1808" t="s">
        <v>7862</v>
      </c>
      <c r="G1808" t="s">
        <v>427</v>
      </c>
      <c r="H1808">
        <v>68722</v>
      </c>
      <c r="I1808" t="s">
        <v>30</v>
      </c>
      <c r="J1808" t="s">
        <v>41</v>
      </c>
      <c r="K1808" t="s">
        <v>229</v>
      </c>
      <c r="Q1808">
        <v>0</v>
      </c>
      <c r="R1808">
        <v>0</v>
      </c>
      <c r="S1808">
        <v>56</v>
      </c>
      <c r="T1808" t="s">
        <v>7863</v>
      </c>
    </row>
    <row r="1809" spans="1:20" customFormat="1" ht="15" x14ac:dyDescent="0.25">
      <c r="A1809" t="s">
        <v>35</v>
      </c>
      <c r="B1809" t="s">
        <v>7864</v>
      </c>
      <c r="C1809" t="str">
        <f>"A0190170"</f>
        <v>A0190170</v>
      </c>
      <c r="D1809" t="s">
        <v>7865</v>
      </c>
      <c r="E1809" t="s">
        <v>7866</v>
      </c>
      <c r="F1809" t="s">
        <v>7867</v>
      </c>
      <c r="G1809" t="s">
        <v>110</v>
      </c>
      <c r="H1809">
        <v>93550</v>
      </c>
      <c r="I1809" t="s">
        <v>30</v>
      </c>
      <c r="J1809" t="s">
        <v>41</v>
      </c>
      <c r="K1809" t="s">
        <v>229</v>
      </c>
      <c r="Q1809">
        <v>0</v>
      </c>
      <c r="R1809">
        <v>0</v>
      </c>
      <c r="S1809">
        <v>6</v>
      </c>
      <c r="T1809" t="s">
        <v>7868</v>
      </c>
    </row>
    <row r="1810" spans="1:20" customFormat="1" ht="15" x14ac:dyDescent="0.25">
      <c r="A1810" t="s">
        <v>24</v>
      </c>
      <c r="B1810" t="s">
        <v>805</v>
      </c>
      <c r="C1810" t="str">
        <f>"A0084650"</f>
        <v>A0084650</v>
      </c>
      <c r="D1810" t="s">
        <v>35140</v>
      </c>
      <c r="E1810" t="s">
        <v>35141</v>
      </c>
      <c r="F1810" t="s">
        <v>5999</v>
      </c>
      <c r="G1810" t="s">
        <v>71</v>
      </c>
      <c r="H1810">
        <v>53226</v>
      </c>
      <c r="I1810" t="s">
        <v>30</v>
      </c>
      <c r="J1810" t="s">
        <v>162</v>
      </c>
      <c r="K1810" t="s">
        <v>809</v>
      </c>
      <c r="N1810" t="s">
        <v>35142</v>
      </c>
      <c r="Q1810">
        <v>0</v>
      </c>
      <c r="R1810">
        <v>198</v>
      </c>
      <c r="S1810">
        <v>0</v>
      </c>
      <c r="T1810" t="s">
        <v>35143</v>
      </c>
    </row>
    <row r="1811" spans="1:20" customFormat="1" ht="15" x14ac:dyDescent="0.25">
      <c r="A1811" t="s">
        <v>24</v>
      </c>
      <c r="B1811" t="s">
        <v>805</v>
      </c>
      <c r="C1811" t="str">
        <f>"A0055673"</f>
        <v>A0055673</v>
      </c>
      <c r="D1811" t="s">
        <v>35144</v>
      </c>
      <c r="E1811" t="s">
        <v>35145</v>
      </c>
      <c r="F1811" t="s">
        <v>2900</v>
      </c>
      <c r="G1811" t="s">
        <v>76</v>
      </c>
      <c r="H1811">
        <v>98104</v>
      </c>
      <c r="I1811" t="s">
        <v>30</v>
      </c>
      <c r="J1811" t="s">
        <v>162</v>
      </c>
      <c r="K1811" t="s">
        <v>6405</v>
      </c>
      <c r="N1811" t="s">
        <v>35146</v>
      </c>
      <c r="Q1811">
        <v>0</v>
      </c>
      <c r="R1811">
        <v>121</v>
      </c>
      <c r="S1811">
        <v>0</v>
      </c>
      <c r="T1811" t="s">
        <v>35147</v>
      </c>
    </row>
    <row r="1812" spans="1:20" customFormat="1" ht="15" x14ac:dyDescent="0.25">
      <c r="A1812" t="s">
        <v>24</v>
      </c>
      <c r="B1812" t="s">
        <v>5120</v>
      </c>
      <c r="C1812" t="str">
        <f>"A0189884"</f>
        <v>A0189884</v>
      </c>
      <c r="D1812" t="s">
        <v>7877</v>
      </c>
      <c r="E1812" t="s">
        <v>7878</v>
      </c>
      <c r="F1812" t="s">
        <v>748</v>
      </c>
      <c r="G1812" t="s">
        <v>110</v>
      </c>
      <c r="H1812">
        <v>94103</v>
      </c>
      <c r="I1812" t="s">
        <v>30</v>
      </c>
      <c r="J1812" t="s">
        <v>31</v>
      </c>
      <c r="K1812" t="s">
        <v>198</v>
      </c>
      <c r="N1812" t="s">
        <v>7879</v>
      </c>
      <c r="Q1812">
        <v>0</v>
      </c>
      <c r="R1812">
        <v>174</v>
      </c>
      <c r="S1812">
        <v>0</v>
      </c>
      <c r="T1812" t="s">
        <v>7880</v>
      </c>
    </row>
    <row r="1813" spans="1:20" customFormat="1" ht="15" x14ac:dyDescent="0.25">
      <c r="A1813" t="s">
        <v>24</v>
      </c>
      <c r="B1813" t="s">
        <v>805</v>
      </c>
      <c r="C1813" t="str">
        <f>"SC127"</f>
        <v>SC127</v>
      </c>
      <c r="D1813" t="s">
        <v>35148</v>
      </c>
      <c r="E1813" t="s">
        <v>35149</v>
      </c>
      <c r="F1813" t="s">
        <v>372</v>
      </c>
      <c r="G1813" t="s">
        <v>52</v>
      </c>
      <c r="H1813">
        <v>78701</v>
      </c>
      <c r="I1813" t="s">
        <v>30</v>
      </c>
      <c r="J1813" t="s">
        <v>162</v>
      </c>
      <c r="K1813" t="s">
        <v>6405</v>
      </c>
      <c r="N1813" t="s">
        <v>35150</v>
      </c>
      <c r="Q1813">
        <v>0</v>
      </c>
      <c r="R1813">
        <v>190</v>
      </c>
      <c r="S1813">
        <v>0</v>
      </c>
      <c r="T1813" t="s">
        <v>35151</v>
      </c>
    </row>
    <row r="1814" spans="1:20" customFormat="1" ht="15" x14ac:dyDescent="0.25">
      <c r="A1814" t="s">
        <v>24</v>
      </c>
      <c r="B1814" t="s">
        <v>805</v>
      </c>
      <c r="C1814" t="str">
        <f>"A0055670"</f>
        <v>A0055670</v>
      </c>
      <c r="D1814" t="s">
        <v>35157</v>
      </c>
      <c r="E1814" t="s">
        <v>35158</v>
      </c>
      <c r="F1814" t="s">
        <v>6593</v>
      </c>
      <c r="G1814" t="s">
        <v>47</v>
      </c>
      <c r="H1814">
        <v>97204</v>
      </c>
      <c r="I1814" t="s">
        <v>30</v>
      </c>
      <c r="J1814" t="s">
        <v>162</v>
      </c>
      <c r="K1814" t="s">
        <v>6405</v>
      </c>
      <c r="N1814" t="s">
        <v>35159</v>
      </c>
      <c r="O1814" t="s">
        <v>35160</v>
      </c>
      <c r="Q1814">
        <v>0</v>
      </c>
      <c r="R1814">
        <v>221</v>
      </c>
      <c r="S1814">
        <v>0</v>
      </c>
      <c r="T1814" t="s">
        <v>35161</v>
      </c>
    </row>
    <row r="1815" spans="1:20" customFormat="1" ht="15" x14ac:dyDescent="0.25">
      <c r="A1815" t="s">
        <v>24</v>
      </c>
      <c r="B1815" t="s">
        <v>7891</v>
      </c>
      <c r="C1815" t="str">
        <f>"A0049054"</f>
        <v>A0049054</v>
      </c>
      <c r="D1815" t="s">
        <v>7892</v>
      </c>
      <c r="E1815" t="s">
        <v>7893</v>
      </c>
      <c r="F1815" t="s">
        <v>7894</v>
      </c>
      <c r="G1815" t="s">
        <v>81</v>
      </c>
      <c r="H1815">
        <v>33756</v>
      </c>
      <c r="I1815" t="s">
        <v>30</v>
      </c>
      <c r="J1815" t="s">
        <v>178</v>
      </c>
      <c r="K1815" t="s">
        <v>179</v>
      </c>
      <c r="N1815" t="s">
        <v>7895</v>
      </c>
      <c r="O1815" t="s">
        <v>7896</v>
      </c>
      <c r="Q1815">
        <v>1</v>
      </c>
      <c r="R1815">
        <v>0</v>
      </c>
      <c r="S1815">
        <v>0</v>
      </c>
      <c r="T1815" t="s">
        <v>7897</v>
      </c>
    </row>
    <row r="1816" spans="1:20" customFormat="1" ht="15" x14ac:dyDescent="0.25">
      <c r="A1816" t="s">
        <v>24</v>
      </c>
      <c r="B1816" t="s">
        <v>193</v>
      </c>
      <c r="C1816" t="str">
        <f>"A0096256"</f>
        <v>A0096256</v>
      </c>
      <c r="D1816" t="s">
        <v>7898</v>
      </c>
      <c r="E1816" t="s">
        <v>7899</v>
      </c>
      <c r="F1816" t="s">
        <v>7900</v>
      </c>
      <c r="G1816" t="s">
        <v>925</v>
      </c>
      <c r="H1816">
        <v>67749</v>
      </c>
      <c r="I1816" t="s">
        <v>30</v>
      </c>
      <c r="J1816" t="s">
        <v>31</v>
      </c>
      <c r="K1816" t="s">
        <v>5869</v>
      </c>
      <c r="N1816" t="s">
        <v>7901</v>
      </c>
      <c r="Q1816">
        <v>0</v>
      </c>
      <c r="R1816">
        <v>31</v>
      </c>
      <c r="S1816">
        <v>0</v>
      </c>
      <c r="T1816" t="s">
        <v>7902</v>
      </c>
    </row>
    <row r="1817" spans="1:20" customFormat="1" ht="15" x14ac:dyDescent="0.25">
      <c r="A1817" t="s">
        <v>24</v>
      </c>
      <c r="B1817" t="s">
        <v>805</v>
      </c>
      <c r="C1817" t="str">
        <f>"34113"</f>
        <v>34113</v>
      </c>
      <c r="D1817" t="s">
        <v>35162</v>
      </c>
      <c r="E1817" t="s">
        <v>35163</v>
      </c>
      <c r="F1817" t="s">
        <v>242</v>
      </c>
      <c r="G1817" t="s">
        <v>214</v>
      </c>
      <c r="H1817">
        <v>28217</v>
      </c>
      <c r="I1817" t="s">
        <v>30</v>
      </c>
      <c r="J1817" t="s">
        <v>162</v>
      </c>
      <c r="K1817" t="s">
        <v>809</v>
      </c>
      <c r="N1817" t="s">
        <v>35164</v>
      </c>
      <c r="O1817" t="s">
        <v>35165</v>
      </c>
      <c r="Q1817">
        <v>0</v>
      </c>
      <c r="R1817">
        <v>300</v>
      </c>
      <c r="S1817">
        <v>0</v>
      </c>
      <c r="T1817" t="s">
        <v>35166</v>
      </c>
    </row>
    <row r="1818" spans="1:20" customFormat="1" ht="15" x14ac:dyDescent="0.25">
      <c r="A1818" t="s">
        <v>24</v>
      </c>
      <c r="B1818" t="s">
        <v>1338</v>
      </c>
      <c r="C1818" t="str">
        <f>"A0094945"</f>
        <v>A0094945</v>
      </c>
      <c r="D1818" t="s">
        <v>7907</v>
      </c>
      <c r="E1818" t="s">
        <v>7908</v>
      </c>
      <c r="F1818" t="s">
        <v>7495</v>
      </c>
      <c r="G1818" t="s">
        <v>52</v>
      </c>
      <c r="H1818">
        <v>78064</v>
      </c>
      <c r="I1818" t="s">
        <v>30</v>
      </c>
      <c r="J1818" t="s">
        <v>31</v>
      </c>
      <c r="K1818" t="s">
        <v>32</v>
      </c>
      <c r="N1818" t="s">
        <v>7909</v>
      </c>
      <c r="Q1818">
        <v>0</v>
      </c>
      <c r="R1818">
        <v>92</v>
      </c>
      <c r="S1818">
        <v>0</v>
      </c>
      <c r="T1818" t="s">
        <v>7910</v>
      </c>
    </row>
    <row r="1819" spans="1:20" customFormat="1" ht="15" x14ac:dyDescent="0.25">
      <c r="A1819" t="s">
        <v>24</v>
      </c>
      <c r="B1819" t="s">
        <v>1338</v>
      </c>
      <c r="C1819" t="str">
        <f>"A0094602"</f>
        <v>A0094602</v>
      </c>
      <c r="D1819" t="s">
        <v>7911</v>
      </c>
      <c r="E1819" t="s">
        <v>7912</v>
      </c>
      <c r="F1819" t="s">
        <v>7913</v>
      </c>
      <c r="G1819" t="s">
        <v>52</v>
      </c>
      <c r="H1819">
        <v>77954</v>
      </c>
      <c r="I1819" t="s">
        <v>30</v>
      </c>
      <c r="J1819" t="s">
        <v>31</v>
      </c>
      <c r="K1819" t="s">
        <v>32</v>
      </c>
      <c r="N1819" t="s">
        <v>7909</v>
      </c>
      <c r="Q1819">
        <v>0</v>
      </c>
      <c r="R1819">
        <v>81</v>
      </c>
      <c r="S1819">
        <v>0</v>
      </c>
      <c r="T1819" t="s">
        <v>7914</v>
      </c>
    </row>
    <row r="1820" spans="1:20" customFormat="1" ht="15" x14ac:dyDescent="0.25">
      <c r="A1820" t="s">
        <v>24</v>
      </c>
      <c r="B1820" t="s">
        <v>3502</v>
      </c>
      <c r="C1820" t="str">
        <f>"A0189991"</f>
        <v>A0189991</v>
      </c>
      <c r="D1820" t="s">
        <v>7915</v>
      </c>
      <c r="E1820" t="s">
        <v>7916</v>
      </c>
      <c r="F1820" t="s">
        <v>2094</v>
      </c>
      <c r="G1820" t="s">
        <v>52</v>
      </c>
      <c r="H1820">
        <v>75229</v>
      </c>
      <c r="I1820" t="s">
        <v>30</v>
      </c>
      <c r="J1820" t="s">
        <v>145</v>
      </c>
      <c r="K1820" t="s">
        <v>302</v>
      </c>
      <c r="N1820" t="s">
        <v>7917</v>
      </c>
      <c r="Q1820">
        <v>0</v>
      </c>
      <c r="R1820">
        <v>91</v>
      </c>
      <c r="S1820">
        <v>0</v>
      </c>
      <c r="T1820" t="s">
        <v>7918</v>
      </c>
    </row>
    <row r="1821" spans="1:20" customFormat="1" ht="15" x14ac:dyDescent="0.25">
      <c r="A1821" t="s">
        <v>24</v>
      </c>
      <c r="B1821" t="s">
        <v>5149</v>
      </c>
      <c r="C1821" t="str">
        <f>"A0189998"</f>
        <v>A0189998</v>
      </c>
      <c r="D1821" t="s">
        <v>7919</v>
      </c>
      <c r="E1821" t="s">
        <v>7920</v>
      </c>
      <c r="F1821" t="s">
        <v>7921</v>
      </c>
      <c r="G1821" t="s">
        <v>880</v>
      </c>
      <c r="H1821">
        <v>37067</v>
      </c>
      <c r="I1821" t="s">
        <v>30</v>
      </c>
      <c r="J1821" t="s">
        <v>31</v>
      </c>
      <c r="K1821" t="s">
        <v>32</v>
      </c>
      <c r="N1821" t="s">
        <v>7922</v>
      </c>
      <c r="Q1821">
        <v>0</v>
      </c>
      <c r="R1821">
        <v>171</v>
      </c>
      <c r="S1821">
        <v>0</v>
      </c>
      <c r="T1821" t="s">
        <v>7923</v>
      </c>
    </row>
    <row r="1822" spans="1:20" customFormat="1" ht="15" x14ac:dyDescent="0.25">
      <c r="A1822" t="s">
        <v>24</v>
      </c>
      <c r="B1822" t="s">
        <v>193</v>
      </c>
      <c r="C1822" t="str">
        <f>"A0067339"</f>
        <v>A0067339</v>
      </c>
      <c r="D1822" t="s">
        <v>7924</v>
      </c>
      <c r="E1822" t="s">
        <v>7925</v>
      </c>
      <c r="F1822" t="s">
        <v>2094</v>
      </c>
      <c r="G1822" t="s">
        <v>52</v>
      </c>
      <c r="H1822">
        <v>75220</v>
      </c>
      <c r="I1822" t="s">
        <v>30</v>
      </c>
      <c r="J1822" t="s">
        <v>31</v>
      </c>
      <c r="K1822" t="s">
        <v>296</v>
      </c>
      <c r="N1822" t="s">
        <v>7926</v>
      </c>
      <c r="Q1822">
        <v>0</v>
      </c>
      <c r="R1822">
        <v>103</v>
      </c>
      <c r="S1822">
        <v>0</v>
      </c>
      <c r="T1822" t="s">
        <v>7927</v>
      </c>
    </row>
    <row r="1823" spans="1:20" customFormat="1" ht="15" x14ac:dyDescent="0.25">
      <c r="A1823" t="s">
        <v>24</v>
      </c>
      <c r="B1823" t="s">
        <v>805</v>
      </c>
      <c r="C1823" t="str">
        <f>"SC107"</f>
        <v>SC107</v>
      </c>
      <c r="D1823" t="s">
        <v>35173</v>
      </c>
      <c r="E1823" t="s">
        <v>35174</v>
      </c>
      <c r="F1823" t="s">
        <v>35175</v>
      </c>
      <c r="G1823" t="s">
        <v>99</v>
      </c>
      <c r="H1823">
        <v>10601</v>
      </c>
      <c r="I1823" t="s">
        <v>30</v>
      </c>
      <c r="J1823" t="s">
        <v>162</v>
      </c>
      <c r="K1823" t="s">
        <v>809</v>
      </c>
      <c r="N1823" t="s">
        <v>35176</v>
      </c>
      <c r="O1823" t="s">
        <v>35177</v>
      </c>
      <c r="Q1823">
        <v>0</v>
      </c>
      <c r="R1823">
        <v>402</v>
      </c>
      <c r="S1823">
        <v>0</v>
      </c>
      <c r="T1823" t="s">
        <v>35178</v>
      </c>
    </row>
    <row r="1824" spans="1:20" customFormat="1" ht="15" x14ac:dyDescent="0.25">
      <c r="A1824" t="s">
        <v>35</v>
      </c>
      <c r="B1824" t="s">
        <v>7934</v>
      </c>
      <c r="C1824" t="str">
        <f>"A0131368"</f>
        <v>A0131368</v>
      </c>
      <c r="D1824" t="s">
        <v>7935</v>
      </c>
      <c r="E1824" t="s">
        <v>7936</v>
      </c>
      <c r="F1824" t="s">
        <v>2756</v>
      </c>
      <c r="G1824" t="s">
        <v>137</v>
      </c>
      <c r="H1824">
        <v>63383</v>
      </c>
      <c r="I1824" t="s">
        <v>30</v>
      </c>
      <c r="J1824" t="s">
        <v>41</v>
      </c>
      <c r="K1824" t="s">
        <v>59</v>
      </c>
      <c r="Q1824">
        <v>0</v>
      </c>
      <c r="R1824">
        <v>50</v>
      </c>
      <c r="S1824">
        <v>50</v>
      </c>
      <c r="T1824" t="s">
        <v>7937</v>
      </c>
    </row>
    <row r="1825" spans="1:25" customFormat="1" ht="15" x14ac:dyDescent="0.25">
      <c r="A1825" t="s">
        <v>24</v>
      </c>
      <c r="B1825" t="s">
        <v>805</v>
      </c>
      <c r="C1825" t="str">
        <f>"SF06036"</f>
        <v>SF06036</v>
      </c>
      <c r="D1825" t="s">
        <v>35179</v>
      </c>
      <c r="E1825" t="s">
        <v>35180</v>
      </c>
      <c r="F1825" t="s">
        <v>1525</v>
      </c>
      <c r="G1825" t="s">
        <v>65</v>
      </c>
      <c r="H1825">
        <v>43215</v>
      </c>
      <c r="I1825" t="s">
        <v>30</v>
      </c>
      <c r="J1825" t="s">
        <v>162</v>
      </c>
      <c r="K1825" t="s">
        <v>809</v>
      </c>
      <c r="N1825" t="s">
        <v>35181</v>
      </c>
      <c r="Q1825">
        <v>0</v>
      </c>
      <c r="R1825">
        <v>421</v>
      </c>
      <c r="S1825">
        <v>0</v>
      </c>
      <c r="T1825" t="s">
        <v>35182</v>
      </c>
    </row>
    <row r="1826" spans="1:25" customFormat="1" ht="15" x14ac:dyDescent="0.25">
      <c r="A1826" t="s">
        <v>35</v>
      </c>
      <c r="B1826" t="s">
        <v>7943</v>
      </c>
      <c r="C1826" t="str">
        <f>"A0150842"</f>
        <v>A0150842</v>
      </c>
      <c r="D1826" t="s">
        <v>7944</v>
      </c>
      <c r="E1826" t="s">
        <v>7945</v>
      </c>
      <c r="F1826" t="s">
        <v>4082</v>
      </c>
      <c r="G1826" t="s">
        <v>123</v>
      </c>
      <c r="H1826">
        <v>21208</v>
      </c>
      <c r="I1826" t="s">
        <v>30</v>
      </c>
      <c r="J1826" t="s">
        <v>41</v>
      </c>
      <c r="K1826" t="s">
        <v>59</v>
      </c>
      <c r="Q1826">
        <v>0</v>
      </c>
      <c r="R1826">
        <v>68</v>
      </c>
      <c r="S1826">
        <v>68</v>
      </c>
      <c r="T1826" t="s">
        <v>7946</v>
      </c>
    </row>
    <row r="1827" spans="1:25" customFormat="1" ht="15" x14ac:dyDescent="0.25">
      <c r="A1827" t="s">
        <v>24</v>
      </c>
      <c r="B1827" t="s">
        <v>805</v>
      </c>
      <c r="C1827" t="str">
        <f>"A0089057"</f>
        <v>A0089057</v>
      </c>
      <c r="D1827" t="s">
        <v>35183</v>
      </c>
      <c r="E1827" t="s">
        <v>35184</v>
      </c>
      <c r="F1827" t="s">
        <v>716</v>
      </c>
      <c r="G1827" t="s">
        <v>289</v>
      </c>
      <c r="H1827">
        <v>60654</v>
      </c>
      <c r="I1827" t="s">
        <v>30</v>
      </c>
      <c r="J1827" t="s">
        <v>162</v>
      </c>
      <c r="K1827" t="s">
        <v>6405</v>
      </c>
      <c r="N1827" t="s">
        <v>35185</v>
      </c>
      <c r="Q1827">
        <v>0</v>
      </c>
      <c r="R1827">
        <v>261</v>
      </c>
      <c r="S1827">
        <v>0</v>
      </c>
      <c r="T1827" t="s">
        <v>35186</v>
      </c>
    </row>
    <row r="1828" spans="1:25" customFormat="1" ht="15" x14ac:dyDescent="0.25">
      <c r="A1828" t="s">
        <v>35</v>
      </c>
      <c r="B1828" t="s">
        <v>61</v>
      </c>
      <c r="C1828" t="str">
        <f>"A0124370"</f>
        <v>A0124370</v>
      </c>
      <c r="D1828" t="s">
        <v>7951</v>
      </c>
      <c r="E1828" t="s">
        <v>7952</v>
      </c>
      <c r="F1828" t="s">
        <v>4082</v>
      </c>
      <c r="G1828" t="s">
        <v>123</v>
      </c>
      <c r="H1828">
        <v>21208</v>
      </c>
      <c r="I1828" t="s">
        <v>30</v>
      </c>
      <c r="J1828" t="s">
        <v>41</v>
      </c>
      <c r="K1828" t="s">
        <v>482</v>
      </c>
      <c r="Q1828">
        <v>0</v>
      </c>
      <c r="R1828">
        <v>64</v>
      </c>
      <c r="S1828">
        <v>64</v>
      </c>
      <c r="T1828" t="s">
        <v>7946</v>
      </c>
    </row>
    <row r="1829" spans="1:25" x14ac:dyDescent="0.25">
      <c r="A1829" s="5" t="s">
        <v>24</v>
      </c>
      <c r="B1829" s="5" t="s">
        <v>805</v>
      </c>
      <c r="C1829" s="5" t="str">
        <f>"A0055679"</f>
        <v>A0055679</v>
      </c>
      <c r="D1829" s="5" t="s">
        <v>35187</v>
      </c>
      <c r="E1829" s="5" t="s">
        <v>35188</v>
      </c>
      <c r="F1829" s="5" t="s">
        <v>716</v>
      </c>
      <c r="G1829" s="5" t="s">
        <v>289</v>
      </c>
      <c r="H1829" s="5">
        <v>60601</v>
      </c>
      <c r="I1829" s="5" t="s">
        <v>30</v>
      </c>
      <c r="J1829" s="5" t="s">
        <v>162</v>
      </c>
      <c r="K1829" s="5" t="s">
        <v>6405</v>
      </c>
      <c r="L1829" s="5"/>
      <c r="M1829" s="5"/>
      <c r="N1829" s="5" t="s">
        <v>35189</v>
      </c>
      <c r="O1829" s="5" t="s">
        <v>35185</v>
      </c>
      <c r="P1829" s="5"/>
      <c r="Q1829" s="5">
        <v>0</v>
      </c>
      <c r="R1829" s="5">
        <v>483</v>
      </c>
      <c r="S1829" s="5">
        <v>0</v>
      </c>
      <c r="T1829" s="5" t="s">
        <v>35190</v>
      </c>
      <c r="U1829" s="5"/>
      <c r="V1829" s="5"/>
      <c r="W1829" s="5"/>
      <c r="X1829" s="5"/>
      <c r="Y1829" s="5"/>
    </row>
    <row r="1830" spans="1:25" customFormat="1" ht="15" x14ac:dyDescent="0.25">
      <c r="A1830" t="s">
        <v>24</v>
      </c>
      <c r="B1830" t="s">
        <v>805</v>
      </c>
      <c r="C1830" t="str">
        <f>"SC064"</f>
        <v>SC064</v>
      </c>
      <c r="D1830" t="s">
        <v>35191</v>
      </c>
      <c r="E1830" t="s">
        <v>35192</v>
      </c>
      <c r="F1830" t="s">
        <v>9068</v>
      </c>
      <c r="G1830" t="s">
        <v>289</v>
      </c>
      <c r="H1830">
        <v>60018</v>
      </c>
      <c r="I1830" t="s">
        <v>30</v>
      </c>
      <c r="J1830" t="s">
        <v>162</v>
      </c>
      <c r="K1830" t="s">
        <v>809</v>
      </c>
      <c r="N1830" t="s">
        <v>35193</v>
      </c>
      <c r="O1830" t="s">
        <v>35194</v>
      </c>
      <c r="Q1830">
        <v>0</v>
      </c>
      <c r="R1830">
        <v>300</v>
      </c>
      <c r="S1830">
        <v>0</v>
      </c>
      <c r="T1830" t="s">
        <v>35195</v>
      </c>
    </row>
    <row r="1831" spans="1:25" x14ac:dyDescent="0.25">
      <c r="A1831" s="5" t="s">
        <v>24</v>
      </c>
      <c r="B1831" s="5" t="s">
        <v>805</v>
      </c>
      <c r="C1831" s="5" t="str">
        <f>"SC045"</f>
        <v>SC045</v>
      </c>
      <c r="D1831" s="5" t="s">
        <v>35196</v>
      </c>
      <c r="E1831" s="5" t="s">
        <v>35197</v>
      </c>
      <c r="F1831" s="5" t="s">
        <v>845</v>
      </c>
      <c r="G1831" s="5" t="s">
        <v>846</v>
      </c>
      <c r="H1831" s="5">
        <v>30344</v>
      </c>
      <c r="I1831" s="5" t="s">
        <v>30</v>
      </c>
      <c r="J1831" s="5" t="s">
        <v>162</v>
      </c>
      <c r="K1831" s="5" t="s">
        <v>809</v>
      </c>
      <c r="L1831" s="5"/>
      <c r="M1831" s="5"/>
      <c r="N1831" s="5" t="s">
        <v>35198</v>
      </c>
      <c r="O1831" s="5" t="s">
        <v>35199</v>
      </c>
      <c r="P1831" s="5"/>
      <c r="Q1831" s="5">
        <v>0</v>
      </c>
      <c r="R1831" s="5">
        <v>378</v>
      </c>
      <c r="S1831" s="5">
        <v>0</v>
      </c>
      <c r="T1831" s="5" t="s">
        <v>35200</v>
      </c>
      <c r="U1831" s="5"/>
      <c r="V1831" s="5"/>
      <c r="W1831" s="5"/>
      <c r="X1831" s="5"/>
      <c r="Y1831" s="5"/>
    </row>
    <row r="1832" spans="1:25" x14ac:dyDescent="0.25">
      <c r="A1832" s="5" t="s">
        <v>24</v>
      </c>
      <c r="B1832" s="5" t="s">
        <v>805</v>
      </c>
      <c r="C1832" s="5" t="str">
        <f>"SC051"</f>
        <v>SC051</v>
      </c>
      <c r="D1832" s="5" t="s">
        <v>35201</v>
      </c>
      <c r="E1832" s="5" t="s">
        <v>35202</v>
      </c>
      <c r="F1832" s="5" t="s">
        <v>845</v>
      </c>
      <c r="G1832" s="5" t="s">
        <v>846</v>
      </c>
      <c r="H1832" s="5">
        <v>30337</v>
      </c>
      <c r="I1832" s="5" t="s">
        <v>30</v>
      </c>
      <c r="J1832" s="5" t="s">
        <v>162</v>
      </c>
      <c r="K1832" s="5" t="s">
        <v>809</v>
      </c>
      <c r="L1832" s="5"/>
      <c r="M1832" s="5"/>
      <c r="N1832" s="5" t="s">
        <v>35203</v>
      </c>
      <c r="O1832" s="5"/>
      <c r="P1832" s="5"/>
      <c r="Q1832" s="5">
        <v>0</v>
      </c>
      <c r="R1832" s="5">
        <v>190</v>
      </c>
      <c r="S1832" s="5">
        <v>0</v>
      </c>
      <c r="T1832" s="5" t="s">
        <v>35204</v>
      </c>
      <c r="U1832" s="5"/>
      <c r="V1832" s="5"/>
      <c r="W1832" s="5"/>
      <c r="X1832" s="5"/>
      <c r="Y1832" s="5"/>
    </row>
    <row r="1833" spans="1:25" x14ac:dyDescent="0.25">
      <c r="A1833" s="5" t="s">
        <v>24</v>
      </c>
      <c r="B1833" s="5" t="s">
        <v>805</v>
      </c>
      <c r="C1833" s="5" t="str">
        <f>"A0064402"</f>
        <v>A0064402</v>
      </c>
      <c r="D1833" s="5" t="s">
        <v>35205</v>
      </c>
      <c r="E1833" s="5" t="s">
        <v>35206</v>
      </c>
      <c r="F1833" s="5" t="s">
        <v>313</v>
      </c>
      <c r="G1833" s="5" t="s">
        <v>314</v>
      </c>
      <c r="H1833" s="5">
        <v>20037</v>
      </c>
      <c r="I1833" s="5" t="s">
        <v>30</v>
      </c>
      <c r="J1833" s="5" t="s">
        <v>162</v>
      </c>
      <c r="K1833" s="5" t="s">
        <v>6405</v>
      </c>
      <c r="L1833" s="5"/>
      <c r="M1833" s="5"/>
      <c r="N1833" s="5" t="s">
        <v>35207</v>
      </c>
      <c r="O1833" s="5"/>
      <c r="P1833" s="5"/>
      <c r="Q1833" s="5">
        <v>0</v>
      </c>
      <c r="R1833" s="5">
        <v>335</v>
      </c>
      <c r="S1833" s="5">
        <v>0</v>
      </c>
      <c r="T1833" s="5" t="s">
        <v>35208</v>
      </c>
      <c r="U1833" s="5"/>
      <c r="V1833" s="5"/>
      <c r="W1833" s="5"/>
      <c r="X1833" s="5"/>
      <c r="Y1833" s="5"/>
    </row>
    <row r="1834" spans="1:25" x14ac:dyDescent="0.25">
      <c r="A1834" s="5" t="s">
        <v>24</v>
      </c>
      <c r="B1834" s="5" t="s">
        <v>805</v>
      </c>
      <c r="C1834" s="5" t="str">
        <f>"SC008"</f>
        <v>SC008</v>
      </c>
      <c r="D1834" s="5" t="s">
        <v>35209</v>
      </c>
      <c r="E1834" s="5" t="s">
        <v>35210</v>
      </c>
      <c r="F1834" s="5" t="s">
        <v>35211</v>
      </c>
      <c r="G1834" s="5" t="s">
        <v>110</v>
      </c>
      <c r="H1834" s="5">
        <v>95035</v>
      </c>
      <c r="I1834" s="5" t="s">
        <v>30</v>
      </c>
      <c r="J1834" s="5" t="s">
        <v>162</v>
      </c>
      <c r="K1834" s="5" t="s">
        <v>809</v>
      </c>
      <c r="L1834" s="5"/>
      <c r="M1834" s="5"/>
      <c r="N1834" s="5" t="s">
        <v>35212</v>
      </c>
      <c r="O1834" s="5"/>
      <c r="P1834" s="5"/>
      <c r="Q1834" s="5">
        <v>0</v>
      </c>
      <c r="R1834" s="5">
        <v>304</v>
      </c>
      <c r="S1834" s="5">
        <v>0</v>
      </c>
      <c r="T1834" s="5" t="s">
        <v>35213</v>
      </c>
      <c r="U1834" s="5"/>
      <c r="V1834" s="5"/>
      <c r="W1834" s="5"/>
      <c r="X1834" s="5"/>
      <c r="Y1834" s="5"/>
    </row>
    <row r="1835" spans="1:25" x14ac:dyDescent="0.25">
      <c r="A1835" s="5" t="s">
        <v>24</v>
      </c>
      <c r="B1835" s="5" t="s">
        <v>805</v>
      </c>
      <c r="C1835" s="5" t="str">
        <f>"SC038"</f>
        <v>SC038</v>
      </c>
      <c r="D1835" s="5" t="s">
        <v>35214</v>
      </c>
      <c r="E1835" s="5" t="s">
        <v>35215</v>
      </c>
      <c r="F1835" s="5" t="s">
        <v>1889</v>
      </c>
      <c r="G1835" s="5" t="s">
        <v>81</v>
      </c>
      <c r="H1835" s="5">
        <v>33126</v>
      </c>
      <c r="I1835" s="5" t="s">
        <v>30</v>
      </c>
      <c r="J1835" s="5" t="s">
        <v>162</v>
      </c>
      <c r="K1835" s="5" t="s">
        <v>809</v>
      </c>
      <c r="L1835" s="5"/>
      <c r="M1835" s="5"/>
      <c r="N1835" s="5" t="s">
        <v>35154</v>
      </c>
      <c r="O1835" s="5"/>
      <c r="P1835" s="5"/>
      <c r="Q1835" s="5">
        <v>0</v>
      </c>
      <c r="R1835" s="5">
        <v>308</v>
      </c>
      <c r="S1835" s="5">
        <v>0</v>
      </c>
      <c r="T1835" s="5" t="s">
        <v>35216</v>
      </c>
      <c r="U1835" s="5"/>
      <c r="V1835" s="5"/>
      <c r="W1835" s="5"/>
      <c r="X1835" s="5"/>
      <c r="Y1835" s="5"/>
    </row>
    <row r="1836" spans="1:25" customFormat="1" ht="15" x14ac:dyDescent="0.25">
      <c r="A1836" t="s">
        <v>35</v>
      </c>
      <c r="B1836" t="s">
        <v>2629</v>
      </c>
      <c r="C1836" t="str">
        <f>"A0130345"</f>
        <v>A0130345</v>
      </c>
      <c r="D1836" t="s">
        <v>7989</v>
      </c>
      <c r="E1836" t="s">
        <v>7990</v>
      </c>
      <c r="F1836" t="s">
        <v>7991</v>
      </c>
      <c r="G1836" t="s">
        <v>1898</v>
      </c>
      <c r="H1836">
        <v>51579</v>
      </c>
      <c r="I1836" t="s">
        <v>30</v>
      </c>
      <c r="J1836" t="s">
        <v>41</v>
      </c>
      <c r="K1836" t="s">
        <v>229</v>
      </c>
      <c r="Q1836">
        <v>0</v>
      </c>
      <c r="R1836">
        <v>91</v>
      </c>
      <c r="S1836">
        <v>76</v>
      </c>
      <c r="T1836" t="s">
        <v>7992</v>
      </c>
    </row>
    <row r="1837" spans="1:25" customFormat="1" ht="15" x14ac:dyDescent="0.25">
      <c r="A1837" t="s">
        <v>35</v>
      </c>
      <c r="B1837" t="s">
        <v>2629</v>
      </c>
      <c r="C1837" t="str">
        <f>"A0130432"</f>
        <v>A0130432</v>
      </c>
      <c r="D1837" t="s">
        <v>7993</v>
      </c>
      <c r="E1837" t="s">
        <v>7994</v>
      </c>
      <c r="F1837" t="s">
        <v>7995</v>
      </c>
      <c r="G1837" t="s">
        <v>1898</v>
      </c>
      <c r="H1837">
        <v>51555</v>
      </c>
      <c r="I1837" t="s">
        <v>30</v>
      </c>
      <c r="J1837" t="s">
        <v>41</v>
      </c>
      <c r="K1837" t="s">
        <v>229</v>
      </c>
      <c r="Q1837">
        <v>0</v>
      </c>
      <c r="R1837">
        <v>112</v>
      </c>
      <c r="S1837">
        <v>112</v>
      </c>
      <c r="T1837" t="s">
        <v>7996</v>
      </c>
    </row>
    <row r="1838" spans="1:25" customFormat="1" ht="15" x14ac:dyDescent="0.25">
      <c r="A1838" t="s">
        <v>24</v>
      </c>
      <c r="B1838" t="s">
        <v>2528</v>
      </c>
      <c r="C1838" t="str">
        <f>"A0189982"</f>
        <v>A0189982</v>
      </c>
      <c r="D1838" t="s">
        <v>7997</v>
      </c>
      <c r="E1838" t="s">
        <v>7998</v>
      </c>
      <c r="F1838" t="s">
        <v>7999</v>
      </c>
      <c r="G1838" t="s">
        <v>110</v>
      </c>
      <c r="H1838">
        <v>91367</v>
      </c>
      <c r="I1838" t="s">
        <v>30</v>
      </c>
      <c r="J1838" t="s">
        <v>31</v>
      </c>
      <c r="K1838" t="s">
        <v>261</v>
      </c>
      <c r="N1838" t="s">
        <v>8000</v>
      </c>
      <c r="Q1838">
        <v>0</v>
      </c>
      <c r="R1838">
        <v>175</v>
      </c>
      <c r="S1838">
        <v>0</v>
      </c>
      <c r="T1838" t="s">
        <v>192</v>
      </c>
    </row>
    <row r="1839" spans="1:25" customFormat="1" ht="15" x14ac:dyDescent="0.25">
      <c r="A1839" t="s">
        <v>35</v>
      </c>
      <c r="B1839" t="s">
        <v>8001</v>
      </c>
      <c r="C1839" t="str">
        <f>"A0126710"</f>
        <v>A0126710</v>
      </c>
      <c r="D1839" t="s">
        <v>8002</v>
      </c>
      <c r="E1839" t="s">
        <v>8003</v>
      </c>
      <c r="F1839" t="s">
        <v>8004</v>
      </c>
      <c r="G1839" t="s">
        <v>103</v>
      </c>
      <c r="H1839">
        <v>18940</v>
      </c>
      <c r="I1839" t="s">
        <v>30</v>
      </c>
      <c r="J1839" t="s">
        <v>41</v>
      </c>
      <c r="K1839" t="s">
        <v>1440</v>
      </c>
      <c r="Q1839">
        <v>0</v>
      </c>
      <c r="R1839">
        <v>260</v>
      </c>
      <c r="S1839">
        <v>260</v>
      </c>
      <c r="T1839" t="s">
        <v>8005</v>
      </c>
    </row>
    <row r="1840" spans="1:25" customFormat="1" ht="15" x14ac:dyDescent="0.25">
      <c r="A1840" t="s">
        <v>35</v>
      </c>
      <c r="B1840" t="s">
        <v>8001</v>
      </c>
      <c r="C1840" t="str">
        <f>"A0124218"</f>
        <v>A0124218</v>
      </c>
      <c r="D1840" t="s">
        <v>8006</v>
      </c>
      <c r="E1840" t="s">
        <v>8007</v>
      </c>
      <c r="F1840" t="s">
        <v>8008</v>
      </c>
      <c r="G1840" t="s">
        <v>99</v>
      </c>
      <c r="H1840">
        <v>10591</v>
      </c>
      <c r="I1840" t="s">
        <v>30</v>
      </c>
      <c r="J1840" t="s">
        <v>41</v>
      </c>
      <c r="K1840" t="s">
        <v>59</v>
      </c>
      <c r="Q1840">
        <v>0</v>
      </c>
      <c r="R1840">
        <v>288</v>
      </c>
      <c r="S1840">
        <v>288</v>
      </c>
      <c r="T1840" t="s">
        <v>8009</v>
      </c>
    </row>
    <row r="1841" spans="1:20" customFormat="1" ht="15" x14ac:dyDescent="0.25">
      <c r="A1841" t="s">
        <v>24</v>
      </c>
      <c r="B1841" t="s">
        <v>193</v>
      </c>
      <c r="C1841" t="str">
        <f>"CL0105"</f>
        <v>CL0105</v>
      </c>
      <c r="D1841" t="s">
        <v>8010</v>
      </c>
      <c r="E1841" t="s">
        <v>8011</v>
      </c>
      <c r="F1841" t="s">
        <v>8012</v>
      </c>
      <c r="G1841" t="s">
        <v>110</v>
      </c>
      <c r="H1841">
        <v>92506</v>
      </c>
      <c r="I1841" t="s">
        <v>30</v>
      </c>
      <c r="J1841" t="s">
        <v>178</v>
      </c>
      <c r="K1841" t="s">
        <v>8013</v>
      </c>
      <c r="N1841" t="s">
        <v>8014</v>
      </c>
      <c r="O1841" t="s">
        <v>8015</v>
      </c>
      <c r="P1841" t="s">
        <v>992</v>
      </c>
      <c r="Q1841">
        <v>1</v>
      </c>
      <c r="R1841">
        <v>0</v>
      </c>
      <c r="S1841">
        <v>0</v>
      </c>
      <c r="T1841" t="s">
        <v>8016</v>
      </c>
    </row>
    <row r="1842" spans="1:20" customFormat="1" ht="15" x14ac:dyDescent="0.25">
      <c r="A1842" t="s">
        <v>35</v>
      </c>
      <c r="B1842" t="s">
        <v>1028</v>
      </c>
      <c r="C1842" t="str">
        <f>"A0189979"</f>
        <v>A0189979</v>
      </c>
      <c r="D1842" t="s">
        <v>8017</v>
      </c>
      <c r="E1842" t="s">
        <v>8018</v>
      </c>
      <c r="F1842" t="s">
        <v>8019</v>
      </c>
      <c r="G1842" t="s">
        <v>47</v>
      </c>
      <c r="H1842">
        <v>97124</v>
      </c>
      <c r="I1842" t="s">
        <v>30</v>
      </c>
      <c r="J1842" t="s">
        <v>41</v>
      </c>
      <c r="K1842" t="s">
        <v>59</v>
      </c>
      <c r="Q1842">
        <v>0</v>
      </c>
      <c r="R1842">
        <v>0</v>
      </c>
      <c r="S1842">
        <v>92</v>
      </c>
      <c r="T1842" t="s">
        <v>8020</v>
      </c>
    </row>
    <row r="1843" spans="1:20" customFormat="1" ht="15" x14ac:dyDescent="0.25">
      <c r="A1843" t="s">
        <v>35</v>
      </c>
      <c r="B1843" t="s">
        <v>8021</v>
      </c>
      <c r="C1843" t="str">
        <f>"A0189978"</f>
        <v>A0189978</v>
      </c>
      <c r="D1843" t="s">
        <v>8022</v>
      </c>
      <c r="E1843" t="s">
        <v>8023</v>
      </c>
      <c r="F1843" t="s">
        <v>8024</v>
      </c>
      <c r="G1843" t="s">
        <v>153</v>
      </c>
      <c r="H1843">
        <v>84332</v>
      </c>
      <c r="I1843" t="s">
        <v>30</v>
      </c>
      <c r="J1843" t="s">
        <v>41</v>
      </c>
      <c r="K1843" t="s">
        <v>290</v>
      </c>
      <c r="Q1843">
        <v>0</v>
      </c>
      <c r="R1843">
        <v>0</v>
      </c>
      <c r="S1843">
        <v>0</v>
      </c>
      <c r="T1843" t="s">
        <v>8025</v>
      </c>
    </row>
    <row r="1844" spans="1:20" customFormat="1" ht="15" x14ac:dyDescent="0.25">
      <c r="A1844" t="s">
        <v>35</v>
      </c>
      <c r="B1844" t="s">
        <v>5681</v>
      </c>
      <c r="C1844" t="str">
        <f>"A0189977"</f>
        <v>A0189977</v>
      </c>
      <c r="D1844" t="s">
        <v>8026</v>
      </c>
      <c r="E1844" t="s">
        <v>8027</v>
      </c>
      <c r="F1844" t="s">
        <v>8028</v>
      </c>
      <c r="G1844" t="s">
        <v>110</v>
      </c>
      <c r="H1844">
        <v>92024</v>
      </c>
      <c r="I1844" t="s">
        <v>30</v>
      </c>
      <c r="J1844" t="s">
        <v>41</v>
      </c>
      <c r="K1844" t="s">
        <v>59</v>
      </c>
      <c r="Q1844">
        <v>0</v>
      </c>
      <c r="R1844">
        <v>0</v>
      </c>
      <c r="S1844">
        <v>56</v>
      </c>
      <c r="T1844" t="s">
        <v>8029</v>
      </c>
    </row>
    <row r="1845" spans="1:20" customFormat="1" ht="15" x14ac:dyDescent="0.25">
      <c r="A1845" t="s">
        <v>35</v>
      </c>
      <c r="B1845" t="s">
        <v>5681</v>
      </c>
      <c r="C1845" t="str">
        <f>"A0189976"</f>
        <v>A0189976</v>
      </c>
      <c r="D1845" t="s">
        <v>8030</v>
      </c>
      <c r="E1845" t="s">
        <v>8031</v>
      </c>
      <c r="F1845" t="s">
        <v>8032</v>
      </c>
      <c r="G1845" t="s">
        <v>110</v>
      </c>
      <c r="H1845">
        <v>92373</v>
      </c>
      <c r="I1845" t="s">
        <v>30</v>
      </c>
      <c r="J1845" t="s">
        <v>41</v>
      </c>
      <c r="K1845" t="s">
        <v>59</v>
      </c>
      <c r="Q1845">
        <v>0</v>
      </c>
      <c r="R1845">
        <v>0</v>
      </c>
      <c r="S1845">
        <v>56</v>
      </c>
      <c r="T1845" t="s">
        <v>8033</v>
      </c>
    </row>
    <row r="1846" spans="1:20" customFormat="1" ht="15" x14ac:dyDescent="0.25">
      <c r="A1846" t="s">
        <v>35</v>
      </c>
      <c r="B1846" t="s">
        <v>5681</v>
      </c>
      <c r="C1846" t="str">
        <f>"A0189975"</f>
        <v>A0189975</v>
      </c>
      <c r="D1846" t="s">
        <v>8034</v>
      </c>
      <c r="E1846" t="s">
        <v>8035</v>
      </c>
      <c r="F1846" t="s">
        <v>6244</v>
      </c>
      <c r="G1846" t="s">
        <v>110</v>
      </c>
      <c r="H1846">
        <v>93711</v>
      </c>
      <c r="I1846" t="s">
        <v>30</v>
      </c>
      <c r="J1846" t="s">
        <v>41</v>
      </c>
      <c r="K1846" t="s">
        <v>1032</v>
      </c>
      <c r="Q1846">
        <v>0</v>
      </c>
      <c r="R1846">
        <v>0</v>
      </c>
      <c r="S1846">
        <v>56</v>
      </c>
      <c r="T1846" t="s">
        <v>8036</v>
      </c>
    </row>
    <row r="1847" spans="1:20" customFormat="1" ht="15" x14ac:dyDescent="0.25">
      <c r="A1847" t="s">
        <v>35</v>
      </c>
      <c r="B1847" t="s">
        <v>5681</v>
      </c>
      <c r="C1847" t="str">
        <f>"A0189974"</f>
        <v>A0189974</v>
      </c>
      <c r="D1847" t="s">
        <v>8037</v>
      </c>
      <c r="E1847" t="s">
        <v>8038</v>
      </c>
      <c r="F1847" t="s">
        <v>8039</v>
      </c>
      <c r="G1847" t="s">
        <v>110</v>
      </c>
      <c r="H1847">
        <v>95661</v>
      </c>
      <c r="I1847" t="s">
        <v>30</v>
      </c>
      <c r="J1847" t="s">
        <v>41</v>
      </c>
      <c r="K1847" t="s">
        <v>59</v>
      </c>
      <c r="Q1847">
        <v>0</v>
      </c>
      <c r="R1847">
        <v>0</v>
      </c>
      <c r="S1847">
        <v>56</v>
      </c>
      <c r="T1847" t="s">
        <v>8040</v>
      </c>
    </row>
    <row r="1848" spans="1:20" customFormat="1" ht="15" x14ac:dyDescent="0.25">
      <c r="A1848" t="s">
        <v>35</v>
      </c>
      <c r="B1848" t="s">
        <v>5681</v>
      </c>
      <c r="C1848" t="str">
        <f>"A0189973"</f>
        <v>A0189973</v>
      </c>
      <c r="D1848" t="s">
        <v>8041</v>
      </c>
      <c r="E1848" t="s">
        <v>8042</v>
      </c>
      <c r="F1848" t="s">
        <v>8043</v>
      </c>
      <c r="G1848" t="s">
        <v>110</v>
      </c>
      <c r="H1848">
        <v>95219</v>
      </c>
      <c r="I1848" t="s">
        <v>30</v>
      </c>
      <c r="J1848" t="s">
        <v>41</v>
      </c>
      <c r="K1848" t="s">
        <v>59</v>
      </c>
      <c r="Q1848">
        <v>0</v>
      </c>
      <c r="R1848">
        <v>0</v>
      </c>
      <c r="S1848">
        <v>56</v>
      </c>
      <c r="T1848" t="s">
        <v>8044</v>
      </c>
    </row>
    <row r="1849" spans="1:20" customFormat="1" ht="15" x14ac:dyDescent="0.25">
      <c r="A1849" t="s">
        <v>35</v>
      </c>
      <c r="B1849" t="s">
        <v>5681</v>
      </c>
      <c r="C1849" t="str">
        <f>"A0189972"</f>
        <v>A0189972</v>
      </c>
      <c r="D1849" t="s">
        <v>8045</v>
      </c>
      <c r="E1849" t="s">
        <v>8046</v>
      </c>
      <c r="F1849" t="s">
        <v>8047</v>
      </c>
      <c r="G1849" t="s">
        <v>110</v>
      </c>
      <c r="H1849">
        <v>94596</v>
      </c>
      <c r="I1849" t="s">
        <v>30</v>
      </c>
      <c r="J1849" t="s">
        <v>41</v>
      </c>
      <c r="K1849" t="s">
        <v>59</v>
      </c>
      <c r="Q1849">
        <v>0</v>
      </c>
      <c r="R1849">
        <v>0</v>
      </c>
      <c r="S1849">
        <v>57</v>
      </c>
      <c r="T1849" t="s">
        <v>8048</v>
      </c>
    </row>
    <row r="1850" spans="1:20" customFormat="1" ht="15" x14ac:dyDescent="0.25">
      <c r="A1850" t="s">
        <v>35</v>
      </c>
      <c r="B1850" t="s">
        <v>5681</v>
      </c>
      <c r="C1850" t="str">
        <f>"A0189971"</f>
        <v>A0189971</v>
      </c>
      <c r="D1850" t="s">
        <v>8049</v>
      </c>
      <c r="E1850" t="s">
        <v>8050</v>
      </c>
      <c r="F1850" t="s">
        <v>8051</v>
      </c>
      <c r="G1850" t="s">
        <v>197</v>
      </c>
      <c r="H1850">
        <v>85373</v>
      </c>
      <c r="I1850" t="s">
        <v>30</v>
      </c>
      <c r="J1850" t="s">
        <v>41</v>
      </c>
      <c r="K1850" t="s">
        <v>59</v>
      </c>
      <c r="Q1850">
        <v>0</v>
      </c>
      <c r="R1850">
        <v>0</v>
      </c>
      <c r="S1850">
        <v>82</v>
      </c>
      <c r="T1850" t="s">
        <v>8052</v>
      </c>
    </row>
    <row r="1851" spans="1:20" customFormat="1" ht="15" x14ac:dyDescent="0.25">
      <c r="A1851" t="s">
        <v>35</v>
      </c>
      <c r="B1851" t="s">
        <v>2771</v>
      </c>
      <c r="C1851" t="str">
        <f>"A0189970"</f>
        <v>A0189970</v>
      </c>
      <c r="D1851" t="s">
        <v>8053</v>
      </c>
      <c r="E1851" t="s">
        <v>8054</v>
      </c>
      <c r="F1851" t="s">
        <v>8055</v>
      </c>
      <c r="G1851" t="s">
        <v>289</v>
      </c>
      <c r="H1851">
        <v>60478</v>
      </c>
      <c r="I1851" t="s">
        <v>30</v>
      </c>
      <c r="J1851" t="s">
        <v>41</v>
      </c>
      <c r="K1851" t="s">
        <v>229</v>
      </c>
      <c r="Q1851">
        <v>0</v>
      </c>
      <c r="R1851">
        <v>0</v>
      </c>
      <c r="S1851">
        <v>200</v>
      </c>
      <c r="T1851" t="s">
        <v>8056</v>
      </c>
    </row>
    <row r="1852" spans="1:20" customFormat="1" ht="15" x14ac:dyDescent="0.25">
      <c r="A1852" t="s">
        <v>35</v>
      </c>
      <c r="B1852" t="s">
        <v>8057</v>
      </c>
      <c r="C1852" t="str">
        <f>"A0189969"</f>
        <v>A0189969</v>
      </c>
      <c r="D1852" t="s">
        <v>8057</v>
      </c>
      <c r="E1852" t="s">
        <v>8058</v>
      </c>
      <c r="F1852" t="s">
        <v>8059</v>
      </c>
      <c r="G1852" t="s">
        <v>289</v>
      </c>
      <c r="H1852">
        <v>60053</v>
      </c>
      <c r="I1852" t="s">
        <v>30</v>
      </c>
      <c r="J1852" t="s">
        <v>41</v>
      </c>
      <c r="K1852" t="s">
        <v>290</v>
      </c>
      <c r="Q1852">
        <v>0</v>
      </c>
      <c r="R1852">
        <v>0</v>
      </c>
      <c r="S1852">
        <v>0</v>
      </c>
      <c r="T1852" t="s">
        <v>72</v>
      </c>
    </row>
    <row r="1853" spans="1:20" customFormat="1" ht="15" x14ac:dyDescent="0.25">
      <c r="A1853" t="s">
        <v>35</v>
      </c>
      <c r="B1853" t="s">
        <v>61</v>
      </c>
      <c r="C1853" t="str">
        <f>"A0189968"</f>
        <v>A0189968</v>
      </c>
      <c r="D1853" t="s">
        <v>8060</v>
      </c>
      <c r="E1853" t="s">
        <v>8061</v>
      </c>
      <c r="F1853" t="s">
        <v>8062</v>
      </c>
      <c r="G1853" t="s">
        <v>65</v>
      </c>
      <c r="H1853">
        <v>44691</v>
      </c>
      <c r="I1853" t="s">
        <v>30</v>
      </c>
      <c r="J1853" t="s">
        <v>41</v>
      </c>
      <c r="K1853" t="s">
        <v>1412</v>
      </c>
      <c r="Q1853">
        <v>0</v>
      </c>
      <c r="R1853">
        <v>0</v>
      </c>
      <c r="S1853">
        <v>0</v>
      </c>
      <c r="T1853" t="s">
        <v>8063</v>
      </c>
    </row>
    <row r="1854" spans="1:20" customFormat="1" ht="15" x14ac:dyDescent="0.25">
      <c r="A1854" t="s">
        <v>35</v>
      </c>
      <c r="B1854" t="s">
        <v>61</v>
      </c>
      <c r="C1854" t="str">
        <f>"A0189967"</f>
        <v>A0189967</v>
      </c>
      <c r="D1854" t="s">
        <v>8064</v>
      </c>
      <c r="E1854" t="s">
        <v>8065</v>
      </c>
      <c r="F1854" t="s">
        <v>8066</v>
      </c>
      <c r="G1854" t="s">
        <v>65</v>
      </c>
      <c r="H1854">
        <v>43440</v>
      </c>
      <c r="I1854" t="s">
        <v>30</v>
      </c>
      <c r="J1854" t="s">
        <v>41</v>
      </c>
      <c r="K1854" t="s">
        <v>4317</v>
      </c>
      <c r="Q1854">
        <v>0</v>
      </c>
      <c r="R1854">
        <v>0</v>
      </c>
      <c r="S1854">
        <v>0</v>
      </c>
      <c r="T1854" t="s">
        <v>8067</v>
      </c>
    </row>
    <row r="1855" spans="1:20" customFormat="1" ht="15" x14ac:dyDescent="0.25">
      <c r="A1855" t="s">
        <v>35</v>
      </c>
      <c r="B1855" t="s">
        <v>61</v>
      </c>
      <c r="C1855" t="str">
        <f>"A0189966"</f>
        <v>A0189966</v>
      </c>
      <c r="D1855" t="s">
        <v>8068</v>
      </c>
      <c r="E1855" t="s">
        <v>8069</v>
      </c>
      <c r="F1855" t="s">
        <v>8070</v>
      </c>
      <c r="G1855" t="s">
        <v>99</v>
      </c>
      <c r="H1855">
        <v>13753</v>
      </c>
      <c r="I1855" t="s">
        <v>30</v>
      </c>
      <c r="J1855" t="s">
        <v>41</v>
      </c>
      <c r="K1855" t="s">
        <v>229</v>
      </c>
      <c r="Q1855">
        <v>0</v>
      </c>
      <c r="R1855">
        <v>0</v>
      </c>
      <c r="S1855">
        <v>0</v>
      </c>
      <c r="T1855" t="s">
        <v>8071</v>
      </c>
    </row>
    <row r="1856" spans="1:20" customFormat="1" ht="15" x14ac:dyDescent="0.25">
      <c r="A1856" t="s">
        <v>35</v>
      </c>
      <c r="B1856" t="s">
        <v>61</v>
      </c>
      <c r="C1856" t="str">
        <f>"A0189965"</f>
        <v>A0189965</v>
      </c>
      <c r="D1856" t="s">
        <v>8072</v>
      </c>
      <c r="E1856" t="s">
        <v>8073</v>
      </c>
      <c r="F1856" t="s">
        <v>7362</v>
      </c>
      <c r="G1856" t="s">
        <v>110</v>
      </c>
      <c r="H1856">
        <v>90045</v>
      </c>
      <c r="I1856" t="s">
        <v>30</v>
      </c>
      <c r="J1856" t="s">
        <v>41</v>
      </c>
      <c r="K1856" t="s">
        <v>482</v>
      </c>
      <c r="Q1856">
        <v>0</v>
      </c>
      <c r="R1856">
        <v>0</v>
      </c>
      <c r="S1856">
        <v>0</v>
      </c>
      <c r="T1856" t="s">
        <v>8074</v>
      </c>
    </row>
    <row r="1857" spans="1:20" customFormat="1" ht="15" x14ac:dyDescent="0.25">
      <c r="A1857" t="s">
        <v>35</v>
      </c>
      <c r="B1857" t="s">
        <v>935</v>
      </c>
      <c r="C1857" t="str">
        <f>"A0189964"</f>
        <v>A0189964</v>
      </c>
      <c r="D1857" t="s">
        <v>8075</v>
      </c>
      <c r="E1857" t="s">
        <v>8076</v>
      </c>
      <c r="F1857" t="s">
        <v>5730</v>
      </c>
      <c r="G1857" t="s">
        <v>76</v>
      </c>
      <c r="H1857">
        <v>99403</v>
      </c>
      <c r="I1857" t="s">
        <v>30</v>
      </c>
      <c r="J1857" t="s">
        <v>41</v>
      </c>
      <c r="K1857" t="s">
        <v>229</v>
      </c>
      <c r="Q1857">
        <v>0</v>
      </c>
      <c r="R1857">
        <v>0</v>
      </c>
      <c r="S1857">
        <v>50</v>
      </c>
      <c r="T1857" t="s">
        <v>8077</v>
      </c>
    </row>
    <row r="1858" spans="1:20" customFormat="1" ht="15" x14ac:dyDescent="0.25">
      <c r="A1858" t="s">
        <v>35</v>
      </c>
      <c r="B1858" t="s">
        <v>8078</v>
      </c>
      <c r="C1858" t="str">
        <f>"A0189963"</f>
        <v>A0189963</v>
      </c>
      <c r="D1858" t="s">
        <v>8079</v>
      </c>
      <c r="E1858" t="s">
        <v>8080</v>
      </c>
      <c r="F1858" t="s">
        <v>8081</v>
      </c>
      <c r="G1858" t="s">
        <v>110</v>
      </c>
      <c r="H1858">
        <v>94116</v>
      </c>
      <c r="I1858" t="s">
        <v>30</v>
      </c>
      <c r="J1858" t="s">
        <v>41</v>
      </c>
      <c r="K1858" t="s">
        <v>2463</v>
      </c>
      <c r="Q1858">
        <v>0</v>
      </c>
      <c r="R1858">
        <v>0</v>
      </c>
      <c r="S1858">
        <v>0</v>
      </c>
      <c r="T1858" t="s">
        <v>8082</v>
      </c>
    </row>
    <row r="1859" spans="1:20" customFormat="1" ht="15" x14ac:dyDescent="0.25">
      <c r="A1859" t="s">
        <v>35</v>
      </c>
      <c r="B1859" t="s">
        <v>2629</v>
      </c>
      <c r="C1859" t="str">
        <f>"A0189962"</f>
        <v>A0189962</v>
      </c>
      <c r="D1859" t="s">
        <v>8083</v>
      </c>
      <c r="E1859" t="s">
        <v>8084</v>
      </c>
      <c r="F1859" t="s">
        <v>8085</v>
      </c>
      <c r="G1859" t="s">
        <v>427</v>
      </c>
      <c r="H1859">
        <v>68462</v>
      </c>
      <c r="I1859" t="s">
        <v>30</v>
      </c>
      <c r="J1859" t="s">
        <v>41</v>
      </c>
      <c r="K1859" t="s">
        <v>229</v>
      </c>
      <c r="Q1859">
        <v>0</v>
      </c>
      <c r="R1859">
        <v>0</v>
      </c>
      <c r="S1859">
        <v>54</v>
      </c>
      <c r="T1859" t="s">
        <v>8086</v>
      </c>
    </row>
    <row r="1860" spans="1:20" customFormat="1" ht="15" x14ac:dyDescent="0.25">
      <c r="A1860" t="s">
        <v>35</v>
      </c>
      <c r="B1860" t="s">
        <v>2629</v>
      </c>
      <c r="C1860" t="str">
        <f>"A0189961"</f>
        <v>A0189961</v>
      </c>
      <c r="D1860" t="s">
        <v>8087</v>
      </c>
      <c r="E1860" t="s">
        <v>8088</v>
      </c>
      <c r="F1860" t="s">
        <v>8089</v>
      </c>
      <c r="G1860" t="s">
        <v>427</v>
      </c>
      <c r="H1860">
        <v>69165</v>
      </c>
      <c r="I1860" t="s">
        <v>30</v>
      </c>
      <c r="J1860" t="s">
        <v>41</v>
      </c>
      <c r="K1860" t="s">
        <v>229</v>
      </c>
      <c r="Q1860">
        <v>0</v>
      </c>
      <c r="R1860">
        <v>0</v>
      </c>
      <c r="S1860">
        <v>60</v>
      </c>
      <c r="T1860" t="s">
        <v>8090</v>
      </c>
    </row>
    <row r="1861" spans="1:20" customFormat="1" ht="15" x14ac:dyDescent="0.25">
      <c r="A1861" t="s">
        <v>35</v>
      </c>
      <c r="B1861" t="s">
        <v>2629</v>
      </c>
      <c r="C1861" t="str">
        <f>"A0189960"</f>
        <v>A0189960</v>
      </c>
      <c r="D1861" t="s">
        <v>8091</v>
      </c>
      <c r="E1861" t="s">
        <v>8092</v>
      </c>
      <c r="F1861" t="s">
        <v>8093</v>
      </c>
      <c r="G1861" t="s">
        <v>427</v>
      </c>
      <c r="H1861">
        <v>68776</v>
      </c>
      <c r="I1861" t="s">
        <v>30</v>
      </c>
      <c r="J1861" t="s">
        <v>41</v>
      </c>
      <c r="K1861" t="s">
        <v>59</v>
      </c>
      <c r="Q1861">
        <v>0</v>
      </c>
      <c r="R1861">
        <v>0</v>
      </c>
      <c r="S1861">
        <v>72</v>
      </c>
      <c r="T1861" t="s">
        <v>8094</v>
      </c>
    </row>
    <row r="1862" spans="1:20" customFormat="1" ht="15" x14ac:dyDescent="0.25">
      <c r="A1862" t="s">
        <v>35</v>
      </c>
      <c r="B1862" t="s">
        <v>2629</v>
      </c>
      <c r="C1862" t="str">
        <f>"A0189959"</f>
        <v>A0189959</v>
      </c>
      <c r="D1862" t="s">
        <v>8095</v>
      </c>
      <c r="E1862" t="s">
        <v>8096</v>
      </c>
      <c r="F1862" t="s">
        <v>426</v>
      </c>
      <c r="G1862" t="s">
        <v>427</v>
      </c>
      <c r="H1862">
        <v>68144</v>
      </c>
      <c r="I1862" t="s">
        <v>30</v>
      </c>
      <c r="J1862" t="s">
        <v>41</v>
      </c>
      <c r="K1862" t="s">
        <v>229</v>
      </c>
      <c r="Q1862">
        <v>0</v>
      </c>
      <c r="R1862">
        <v>0</v>
      </c>
      <c r="S1862">
        <v>175</v>
      </c>
      <c r="T1862" t="s">
        <v>8097</v>
      </c>
    </row>
    <row r="1863" spans="1:20" customFormat="1" ht="15" x14ac:dyDescent="0.25">
      <c r="A1863" t="s">
        <v>35</v>
      </c>
      <c r="B1863" t="s">
        <v>2629</v>
      </c>
      <c r="C1863" t="str">
        <f>"A0189958"</f>
        <v>A0189958</v>
      </c>
      <c r="D1863" t="s">
        <v>8098</v>
      </c>
      <c r="E1863" t="s">
        <v>8099</v>
      </c>
      <c r="F1863" t="s">
        <v>426</v>
      </c>
      <c r="G1863" t="s">
        <v>427</v>
      </c>
      <c r="H1863">
        <v>68105</v>
      </c>
      <c r="I1863" t="s">
        <v>30</v>
      </c>
      <c r="J1863" t="s">
        <v>41</v>
      </c>
      <c r="K1863" t="s">
        <v>229</v>
      </c>
      <c r="Q1863">
        <v>0</v>
      </c>
      <c r="R1863">
        <v>0</v>
      </c>
      <c r="S1863">
        <v>61</v>
      </c>
      <c r="T1863" t="s">
        <v>8100</v>
      </c>
    </row>
    <row r="1864" spans="1:20" customFormat="1" ht="15" x14ac:dyDescent="0.25">
      <c r="A1864" t="s">
        <v>35</v>
      </c>
      <c r="B1864" t="s">
        <v>2629</v>
      </c>
      <c r="C1864" t="str">
        <f>"A0189957"</f>
        <v>A0189957</v>
      </c>
      <c r="D1864" t="s">
        <v>8101</v>
      </c>
      <c r="E1864" t="s">
        <v>8102</v>
      </c>
      <c r="F1864" t="s">
        <v>8103</v>
      </c>
      <c r="G1864" t="s">
        <v>427</v>
      </c>
      <c r="H1864">
        <v>68028</v>
      </c>
      <c r="I1864" t="s">
        <v>30</v>
      </c>
      <c r="J1864" t="s">
        <v>41</v>
      </c>
      <c r="K1864" t="s">
        <v>229</v>
      </c>
      <c r="Q1864">
        <v>0</v>
      </c>
      <c r="R1864">
        <v>0</v>
      </c>
      <c r="S1864">
        <v>63</v>
      </c>
      <c r="T1864" t="s">
        <v>8104</v>
      </c>
    </row>
    <row r="1865" spans="1:20" customFormat="1" ht="15" x14ac:dyDescent="0.25">
      <c r="A1865" t="s">
        <v>35</v>
      </c>
      <c r="B1865" t="s">
        <v>2629</v>
      </c>
      <c r="C1865" t="str">
        <f>"A0189956"</f>
        <v>A0189956</v>
      </c>
      <c r="D1865" t="s">
        <v>8105</v>
      </c>
      <c r="E1865" t="s">
        <v>8106</v>
      </c>
      <c r="F1865" t="s">
        <v>8107</v>
      </c>
      <c r="G1865" t="s">
        <v>427</v>
      </c>
      <c r="H1865">
        <v>68826</v>
      </c>
      <c r="I1865" t="s">
        <v>30</v>
      </c>
      <c r="J1865" t="s">
        <v>41</v>
      </c>
      <c r="K1865" t="s">
        <v>229</v>
      </c>
      <c r="Q1865">
        <v>0</v>
      </c>
      <c r="R1865">
        <v>0</v>
      </c>
      <c r="S1865">
        <v>63</v>
      </c>
      <c r="T1865" t="s">
        <v>8108</v>
      </c>
    </row>
    <row r="1866" spans="1:20" customFormat="1" ht="15" x14ac:dyDescent="0.25">
      <c r="A1866" t="s">
        <v>35</v>
      </c>
      <c r="B1866" t="s">
        <v>2629</v>
      </c>
      <c r="C1866" t="str">
        <f>"A0189955"</f>
        <v>A0189955</v>
      </c>
      <c r="D1866" t="s">
        <v>8109</v>
      </c>
      <c r="E1866" t="s">
        <v>8110</v>
      </c>
      <c r="F1866" t="s">
        <v>8111</v>
      </c>
      <c r="G1866" t="s">
        <v>427</v>
      </c>
      <c r="H1866">
        <v>69101</v>
      </c>
      <c r="I1866" t="s">
        <v>30</v>
      </c>
      <c r="J1866" t="s">
        <v>41</v>
      </c>
      <c r="K1866" t="s">
        <v>229</v>
      </c>
      <c r="Q1866">
        <v>0</v>
      </c>
      <c r="R1866">
        <v>0</v>
      </c>
      <c r="S1866">
        <v>68</v>
      </c>
      <c r="T1866" t="s">
        <v>8112</v>
      </c>
    </row>
    <row r="1867" spans="1:20" customFormat="1" ht="15" x14ac:dyDescent="0.25">
      <c r="A1867" t="s">
        <v>35</v>
      </c>
      <c r="B1867" t="s">
        <v>2629</v>
      </c>
      <c r="C1867" t="str">
        <f>"A0189954"</f>
        <v>A0189954</v>
      </c>
      <c r="D1867" t="s">
        <v>8113</v>
      </c>
      <c r="E1867" t="s">
        <v>8114</v>
      </c>
      <c r="F1867" t="s">
        <v>8115</v>
      </c>
      <c r="G1867" t="s">
        <v>427</v>
      </c>
      <c r="H1867">
        <v>68803</v>
      </c>
      <c r="I1867" t="s">
        <v>30</v>
      </c>
      <c r="J1867" t="s">
        <v>41</v>
      </c>
      <c r="K1867" t="s">
        <v>229</v>
      </c>
      <c r="Q1867">
        <v>0</v>
      </c>
      <c r="R1867">
        <v>0</v>
      </c>
      <c r="S1867">
        <v>76</v>
      </c>
      <c r="T1867" t="s">
        <v>8116</v>
      </c>
    </row>
    <row r="1868" spans="1:20" customFormat="1" ht="15" x14ac:dyDescent="0.25">
      <c r="A1868" t="s">
        <v>35</v>
      </c>
      <c r="B1868" t="s">
        <v>2629</v>
      </c>
      <c r="C1868" t="str">
        <f>"A0189953"</f>
        <v>A0189953</v>
      </c>
      <c r="D1868" t="s">
        <v>8117</v>
      </c>
      <c r="E1868" t="s">
        <v>8118</v>
      </c>
      <c r="F1868" t="s">
        <v>8119</v>
      </c>
      <c r="G1868" t="s">
        <v>427</v>
      </c>
      <c r="H1868">
        <v>68930</v>
      </c>
      <c r="I1868" t="s">
        <v>30</v>
      </c>
      <c r="J1868" t="s">
        <v>41</v>
      </c>
      <c r="K1868" t="s">
        <v>229</v>
      </c>
      <c r="Q1868">
        <v>0</v>
      </c>
      <c r="R1868">
        <v>0</v>
      </c>
      <c r="S1868">
        <v>62</v>
      </c>
      <c r="T1868" t="s">
        <v>8120</v>
      </c>
    </row>
    <row r="1869" spans="1:20" customFormat="1" ht="15" x14ac:dyDescent="0.25">
      <c r="A1869" t="s">
        <v>35</v>
      </c>
      <c r="B1869" t="s">
        <v>2629</v>
      </c>
      <c r="C1869" t="str">
        <f>"A0189952"</f>
        <v>A0189952</v>
      </c>
      <c r="D1869" t="s">
        <v>8121</v>
      </c>
      <c r="E1869" t="s">
        <v>8122</v>
      </c>
      <c r="F1869" t="s">
        <v>967</v>
      </c>
      <c r="G1869" t="s">
        <v>427</v>
      </c>
      <c r="H1869">
        <v>68003</v>
      </c>
      <c r="I1869" t="s">
        <v>30</v>
      </c>
      <c r="J1869" t="s">
        <v>41</v>
      </c>
      <c r="K1869" t="s">
        <v>229</v>
      </c>
      <c r="Q1869">
        <v>0</v>
      </c>
      <c r="R1869">
        <v>0</v>
      </c>
      <c r="S1869">
        <v>97</v>
      </c>
      <c r="T1869" t="s">
        <v>8123</v>
      </c>
    </row>
    <row r="1870" spans="1:20" customFormat="1" ht="15" x14ac:dyDescent="0.25">
      <c r="A1870" t="s">
        <v>35</v>
      </c>
      <c r="B1870" t="s">
        <v>2629</v>
      </c>
      <c r="C1870" t="str">
        <f>"A0189950"</f>
        <v>A0189950</v>
      </c>
      <c r="D1870" t="s">
        <v>8124</v>
      </c>
      <c r="E1870" t="s">
        <v>8125</v>
      </c>
      <c r="F1870" t="s">
        <v>8126</v>
      </c>
      <c r="G1870" t="s">
        <v>925</v>
      </c>
      <c r="H1870">
        <v>66061</v>
      </c>
      <c r="I1870" t="s">
        <v>30</v>
      </c>
      <c r="J1870" t="s">
        <v>41</v>
      </c>
      <c r="K1870" t="s">
        <v>229</v>
      </c>
      <c r="Q1870">
        <v>0</v>
      </c>
      <c r="R1870">
        <v>0</v>
      </c>
      <c r="S1870">
        <v>140</v>
      </c>
      <c r="T1870" t="s">
        <v>8127</v>
      </c>
    </row>
    <row r="1871" spans="1:20" customFormat="1" ht="15" x14ac:dyDescent="0.25">
      <c r="A1871" t="s">
        <v>35</v>
      </c>
      <c r="B1871" t="s">
        <v>2629</v>
      </c>
      <c r="C1871" t="str">
        <f>"A0189949"</f>
        <v>A0189949</v>
      </c>
      <c r="D1871" t="s">
        <v>8128</v>
      </c>
      <c r="E1871" t="s">
        <v>8129</v>
      </c>
      <c r="F1871" t="s">
        <v>8130</v>
      </c>
      <c r="G1871" t="s">
        <v>925</v>
      </c>
      <c r="H1871">
        <v>67530</v>
      </c>
      <c r="I1871" t="s">
        <v>30</v>
      </c>
      <c r="J1871" t="s">
        <v>41</v>
      </c>
      <c r="K1871" t="s">
        <v>229</v>
      </c>
      <c r="Q1871">
        <v>0</v>
      </c>
      <c r="R1871">
        <v>0</v>
      </c>
      <c r="S1871">
        <v>45</v>
      </c>
      <c r="T1871" t="s">
        <v>8131</v>
      </c>
    </row>
    <row r="1872" spans="1:20" customFormat="1" ht="15" x14ac:dyDescent="0.25">
      <c r="A1872" t="s">
        <v>35</v>
      </c>
      <c r="B1872" t="s">
        <v>2629</v>
      </c>
      <c r="C1872" t="str">
        <f>"A0189948"</f>
        <v>A0189948</v>
      </c>
      <c r="D1872" t="s">
        <v>8132</v>
      </c>
      <c r="E1872" t="s">
        <v>8133</v>
      </c>
      <c r="F1872" t="s">
        <v>8134</v>
      </c>
      <c r="G1872" t="s">
        <v>1898</v>
      </c>
      <c r="H1872">
        <v>50273</v>
      </c>
      <c r="I1872" t="s">
        <v>30</v>
      </c>
      <c r="J1872" t="s">
        <v>41</v>
      </c>
      <c r="K1872" t="s">
        <v>229</v>
      </c>
      <c r="Q1872">
        <v>0</v>
      </c>
      <c r="R1872">
        <v>0</v>
      </c>
      <c r="S1872">
        <v>70</v>
      </c>
      <c r="T1872" t="s">
        <v>8135</v>
      </c>
    </row>
    <row r="1873" spans="1:20" customFormat="1" ht="15" x14ac:dyDescent="0.25">
      <c r="A1873" t="s">
        <v>35</v>
      </c>
      <c r="B1873" t="s">
        <v>2629</v>
      </c>
      <c r="C1873" t="str">
        <f>"A0189947"</f>
        <v>A0189947</v>
      </c>
      <c r="D1873" t="s">
        <v>8136</v>
      </c>
      <c r="E1873" t="s">
        <v>8137</v>
      </c>
      <c r="F1873" t="s">
        <v>8138</v>
      </c>
      <c r="G1873" t="s">
        <v>1898</v>
      </c>
      <c r="H1873">
        <v>52637</v>
      </c>
      <c r="I1873" t="s">
        <v>30</v>
      </c>
      <c r="J1873" t="s">
        <v>41</v>
      </c>
      <c r="K1873" t="s">
        <v>229</v>
      </c>
      <c r="Q1873">
        <v>0</v>
      </c>
      <c r="R1873">
        <v>0</v>
      </c>
      <c r="S1873">
        <v>62</v>
      </c>
      <c r="T1873" t="s">
        <v>8139</v>
      </c>
    </row>
    <row r="1874" spans="1:20" customFormat="1" ht="15" x14ac:dyDescent="0.25">
      <c r="A1874" t="s">
        <v>35</v>
      </c>
      <c r="B1874" t="s">
        <v>2629</v>
      </c>
      <c r="C1874" t="str">
        <f>"A0189946"</f>
        <v>A0189946</v>
      </c>
      <c r="D1874" t="s">
        <v>8140</v>
      </c>
      <c r="E1874" t="s">
        <v>8141</v>
      </c>
      <c r="F1874" t="s">
        <v>7317</v>
      </c>
      <c r="G1874" t="s">
        <v>1898</v>
      </c>
      <c r="H1874">
        <v>50316</v>
      </c>
      <c r="I1874" t="s">
        <v>30</v>
      </c>
      <c r="J1874" t="s">
        <v>41</v>
      </c>
      <c r="K1874" t="s">
        <v>229</v>
      </c>
      <c r="Q1874">
        <v>0</v>
      </c>
      <c r="R1874">
        <v>0</v>
      </c>
      <c r="S1874">
        <v>81</v>
      </c>
      <c r="T1874" t="s">
        <v>8142</v>
      </c>
    </row>
    <row r="1875" spans="1:20" customFormat="1" ht="15" x14ac:dyDescent="0.25">
      <c r="A1875" t="s">
        <v>35</v>
      </c>
      <c r="B1875" t="s">
        <v>2629</v>
      </c>
      <c r="C1875" t="str">
        <f>"A0189945"</f>
        <v>A0189945</v>
      </c>
      <c r="D1875" t="s">
        <v>8143</v>
      </c>
      <c r="E1875" t="s">
        <v>8144</v>
      </c>
      <c r="F1875" t="s">
        <v>8145</v>
      </c>
      <c r="G1875" t="s">
        <v>1898</v>
      </c>
      <c r="H1875">
        <v>51632</v>
      </c>
      <c r="I1875" t="s">
        <v>30</v>
      </c>
      <c r="J1875" t="s">
        <v>41</v>
      </c>
      <c r="K1875" t="s">
        <v>229</v>
      </c>
      <c r="Q1875">
        <v>0</v>
      </c>
      <c r="R1875">
        <v>0</v>
      </c>
      <c r="S1875">
        <v>70</v>
      </c>
      <c r="T1875" t="s">
        <v>8146</v>
      </c>
    </row>
    <row r="1876" spans="1:20" customFormat="1" ht="15" x14ac:dyDescent="0.25">
      <c r="A1876" t="s">
        <v>35</v>
      </c>
      <c r="B1876" t="s">
        <v>2629</v>
      </c>
      <c r="C1876" t="str">
        <f>"A0189944"</f>
        <v>A0189944</v>
      </c>
      <c r="D1876" t="s">
        <v>2629</v>
      </c>
      <c r="E1876" t="s">
        <v>8147</v>
      </c>
      <c r="F1876" t="s">
        <v>1948</v>
      </c>
      <c r="G1876" t="s">
        <v>338</v>
      </c>
      <c r="H1876">
        <v>8701</v>
      </c>
      <c r="I1876" t="s">
        <v>30</v>
      </c>
      <c r="J1876" t="s">
        <v>41</v>
      </c>
      <c r="K1876" t="s">
        <v>290</v>
      </c>
      <c r="Q1876">
        <v>0</v>
      </c>
      <c r="R1876">
        <v>0</v>
      </c>
      <c r="S1876">
        <v>0</v>
      </c>
      <c r="T1876" t="s">
        <v>8148</v>
      </c>
    </row>
    <row r="1877" spans="1:20" customFormat="1" ht="15" x14ac:dyDescent="0.25">
      <c r="A1877" t="s">
        <v>35</v>
      </c>
      <c r="B1877" t="s">
        <v>5776</v>
      </c>
      <c r="C1877" t="str">
        <f>"A0129087"</f>
        <v>A0129087</v>
      </c>
      <c r="D1877" t="s">
        <v>8149</v>
      </c>
      <c r="E1877" t="s">
        <v>8150</v>
      </c>
      <c r="F1877" t="s">
        <v>8151</v>
      </c>
      <c r="G1877" t="s">
        <v>289</v>
      </c>
      <c r="H1877">
        <v>62568</v>
      </c>
      <c r="I1877" t="s">
        <v>30</v>
      </c>
      <c r="J1877" t="s">
        <v>41</v>
      </c>
      <c r="K1877" t="s">
        <v>229</v>
      </c>
      <c r="Q1877">
        <v>0</v>
      </c>
      <c r="R1877">
        <v>49</v>
      </c>
      <c r="S1877">
        <v>49</v>
      </c>
      <c r="T1877" t="s">
        <v>8152</v>
      </c>
    </row>
    <row r="1878" spans="1:20" customFormat="1" ht="15" x14ac:dyDescent="0.25">
      <c r="A1878" t="s">
        <v>35</v>
      </c>
      <c r="B1878" t="s">
        <v>5776</v>
      </c>
      <c r="C1878" t="str">
        <f>"A0129075"</f>
        <v>A0129075</v>
      </c>
      <c r="D1878" t="s">
        <v>8153</v>
      </c>
      <c r="E1878" t="s">
        <v>8154</v>
      </c>
      <c r="F1878" t="s">
        <v>8151</v>
      </c>
      <c r="G1878" t="s">
        <v>289</v>
      </c>
      <c r="H1878">
        <v>62568</v>
      </c>
      <c r="I1878" t="s">
        <v>30</v>
      </c>
      <c r="J1878" t="s">
        <v>41</v>
      </c>
      <c r="K1878" t="s">
        <v>229</v>
      </c>
      <c r="Q1878">
        <v>0</v>
      </c>
      <c r="R1878">
        <v>98</v>
      </c>
      <c r="S1878">
        <v>98</v>
      </c>
      <c r="T1878" t="s">
        <v>8155</v>
      </c>
    </row>
    <row r="1879" spans="1:20" customFormat="1" ht="15" x14ac:dyDescent="0.25">
      <c r="A1879" t="s">
        <v>35</v>
      </c>
      <c r="B1879" t="s">
        <v>5776</v>
      </c>
      <c r="C1879" t="str">
        <f>"A0129086"</f>
        <v>A0129086</v>
      </c>
      <c r="D1879" t="s">
        <v>8156</v>
      </c>
      <c r="E1879" t="s">
        <v>8157</v>
      </c>
      <c r="F1879" t="s">
        <v>7649</v>
      </c>
      <c r="G1879" t="s">
        <v>289</v>
      </c>
      <c r="H1879">
        <v>62864</v>
      </c>
      <c r="I1879" t="s">
        <v>30</v>
      </c>
      <c r="J1879" t="s">
        <v>41</v>
      </c>
      <c r="K1879" t="s">
        <v>229</v>
      </c>
      <c r="Q1879">
        <v>0</v>
      </c>
      <c r="R1879">
        <v>34</v>
      </c>
      <c r="S1879">
        <v>34</v>
      </c>
      <c r="T1879" t="s">
        <v>8158</v>
      </c>
    </row>
    <row r="1880" spans="1:20" customFormat="1" ht="15" x14ac:dyDescent="0.25">
      <c r="A1880" t="s">
        <v>35</v>
      </c>
      <c r="B1880" t="s">
        <v>5776</v>
      </c>
      <c r="C1880" t="str">
        <f>"A0129078"</f>
        <v>A0129078</v>
      </c>
      <c r="D1880" t="s">
        <v>8159</v>
      </c>
      <c r="E1880" t="s">
        <v>8160</v>
      </c>
      <c r="F1880" t="s">
        <v>7649</v>
      </c>
      <c r="G1880" t="s">
        <v>289</v>
      </c>
      <c r="H1880">
        <v>62864</v>
      </c>
      <c r="I1880" t="s">
        <v>30</v>
      </c>
      <c r="J1880" t="s">
        <v>41</v>
      </c>
      <c r="K1880" t="s">
        <v>229</v>
      </c>
      <c r="Q1880">
        <v>0</v>
      </c>
      <c r="R1880">
        <v>95</v>
      </c>
      <c r="S1880">
        <v>95</v>
      </c>
      <c r="T1880" t="s">
        <v>8161</v>
      </c>
    </row>
    <row r="1881" spans="1:20" customFormat="1" ht="15" x14ac:dyDescent="0.25">
      <c r="A1881" t="s">
        <v>35</v>
      </c>
      <c r="B1881" t="s">
        <v>5776</v>
      </c>
      <c r="C1881" t="str">
        <f>"A0129076"</f>
        <v>A0129076</v>
      </c>
      <c r="D1881" t="s">
        <v>8162</v>
      </c>
      <c r="E1881" t="s">
        <v>8163</v>
      </c>
      <c r="F1881" t="s">
        <v>8164</v>
      </c>
      <c r="G1881" t="s">
        <v>289</v>
      </c>
      <c r="H1881">
        <v>62216</v>
      </c>
      <c r="I1881" t="s">
        <v>30</v>
      </c>
      <c r="J1881" t="s">
        <v>41</v>
      </c>
      <c r="K1881" t="s">
        <v>229</v>
      </c>
      <c r="Q1881">
        <v>0</v>
      </c>
      <c r="R1881">
        <v>90</v>
      </c>
      <c r="S1881">
        <v>90</v>
      </c>
      <c r="T1881" t="s">
        <v>8165</v>
      </c>
    </row>
    <row r="1882" spans="1:20" customFormat="1" ht="15" x14ac:dyDescent="0.25">
      <c r="A1882" t="s">
        <v>24</v>
      </c>
      <c r="B1882" t="s">
        <v>8166</v>
      </c>
      <c r="C1882" t="str">
        <f>"A0050242"</f>
        <v>A0050242</v>
      </c>
      <c r="D1882" t="s">
        <v>8167</v>
      </c>
      <c r="E1882" t="s">
        <v>8168</v>
      </c>
      <c r="F1882" t="s">
        <v>8169</v>
      </c>
      <c r="G1882" t="s">
        <v>110</v>
      </c>
      <c r="H1882">
        <v>94025</v>
      </c>
      <c r="I1882" t="s">
        <v>30</v>
      </c>
      <c r="J1882" t="s">
        <v>178</v>
      </c>
      <c r="K1882" t="s">
        <v>179</v>
      </c>
      <c r="N1882" t="s">
        <v>8170</v>
      </c>
      <c r="P1882" t="s">
        <v>992</v>
      </c>
      <c r="Q1882">
        <v>1</v>
      </c>
      <c r="R1882">
        <v>0</v>
      </c>
      <c r="S1882">
        <v>0</v>
      </c>
      <c r="T1882" t="s">
        <v>8171</v>
      </c>
    </row>
    <row r="1883" spans="1:20" customFormat="1" ht="15" x14ac:dyDescent="0.25">
      <c r="A1883" t="s">
        <v>24</v>
      </c>
      <c r="B1883" t="s">
        <v>1092</v>
      </c>
      <c r="C1883" t="str">
        <f>"A0166891"</f>
        <v>A0166891</v>
      </c>
      <c r="D1883" t="s">
        <v>8172</v>
      </c>
      <c r="E1883" t="s">
        <v>8173</v>
      </c>
      <c r="F1883" t="s">
        <v>8174</v>
      </c>
      <c r="G1883" t="s">
        <v>29</v>
      </c>
      <c r="H1883">
        <v>23882</v>
      </c>
      <c r="I1883" t="s">
        <v>30</v>
      </c>
      <c r="J1883" t="s">
        <v>31</v>
      </c>
      <c r="K1883" t="s">
        <v>32</v>
      </c>
      <c r="N1883" t="s">
        <v>8175</v>
      </c>
      <c r="Q1883">
        <v>0</v>
      </c>
      <c r="R1883">
        <v>77</v>
      </c>
      <c r="S1883">
        <v>0</v>
      </c>
      <c r="T1883" t="s">
        <v>8176</v>
      </c>
    </row>
    <row r="1884" spans="1:20" customFormat="1" ht="15" x14ac:dyDescent="0.25">
      <c r="A1884" t="s">
        <v>24</v>
      </c>
      <c r="B1884" t="s">
        <v>8177</v>
      </c>
      <c r="C1884" t="str">
        <f>"A0075783"</f>
        <v>A0075783</v>
      </c>
      <c r="D1884" t="s">
        <v>8177</v>
      </c>
      <c r="E1884" t="s">
        <v>8178</v>
      </c>
      <c r="F1884" t="s">
        <v>8179</v>
      </c>
      <c r="G1884" t="s">
        <v>338</v>
      </c>
      <c r="H1884">
        <v>8247</v>
      </c>
      <c r="I1884" t="s">
        <v>30</v>
      </c>
      <c r="J1884" t="s">
        <v>2558</v>
      </c>
      <c r="K1884" t="s">
        <v>6809</v>
      </c>
      <c r="N1884" t="s">
        <v>8180</v>
      </c>
      <c r="Q1884">
        <v>0</v>
      </c>
      <c r="R1884">
        <v>0</v>
      </c>
      <c r="S1884">
        <v>0</v>
      </c>
      <c r="T1884" t="s">
        <v>8181</v>
      </c>
    </row>
    <row r="1885" spans="1:20" customFormat="1" ht="15" x14ac:dyDescent="0.25">
      <c r="A1885" t="s">
        <v>24</v>
      </c>
      <c r="B1885" t="s">
        <v>805</v>
      </c>
      <c r="C1885" t="str">
        <f>"SF01885"</f>
        <v>SF01885</v>
      </c>
      <c r="D1885" t="s">
        <v>35217</v>
      </c>
      <c r="E1885" t="s">
        <v>35218</v>
      </c>
      <c r="F1885" t="s">
        <v>972</v>
      </c>
      <c r="G1885" t="s">
        <v>190</v>
      </c>
      <c r="H1885">
        <v>80202</v>
      </c>
      <c r="I1885" t="s">
        <v>30</v>
      </c>
      <c r="J1885" t="s">
        <v>162</v>
      </c>
      <c r="K1885" t="s">
        <v>809</v>
      </c>
      <c r="N1885" t="s">
        <v>35219</v>
      </c>
      <c r="O1885" t="s">
        <v>35220</v>
      </c>
      <c r="Q1885">
        <v>0</v>
      </c>
      <c r="R1885">
        <v>380</v>
      </c>
      <c r="S1885">
        <v>0</v>
      </c>
      <c r="T1885" t="s">
        <v>35221</v>
      </c>
    </row>
    <row r="1886" spans="1:20" customFormat="1" ht="15" x14ac:dyDescent="0.25">
      <c r="A1886" t="s">
        <v>24</v>
      </c>
      <c r="B1886" t="s">
        <v>805</v>
      </c>
      <c r="C1886" t="str">
        <f>"SC168"</f>
        <v>SC168</v>
      </c>
      <c r="D1886" t="s">
        <v>35222</v>
      </c>
      <c r="E1886" t="s">
        <v>35223</v>
      </c>
      <c r="F1886" t="s">
        <v>5651</v>
      </c>
      <c r="G1886" t="s">
        <v>110</v>
      </c>
      <c r="H1886">
        <v>92802</v>
      </c>
      <c r="I1886" t="s">
        <v>30</v>
      </c>
      <c r="J1886" t="s">
        <v>162</v>
      </c>
      <c r="K1886" t="s">
        <v>809</v>
      </c>
      <c r="N1886" t="s">
        <v>34638</v>
      </c>
      <c r="O1886" t="s">
        <v>35224</v>
      </c>
      <c r="Q1886">
        <v>0</v>
      </c>
      <c r="R1886">
        <v>264</v>
      </c>
      <c r="S1886">
        <v>0</v>
      </c>
      <c r="T1886" t="s">
        <v>35225</v>
      </c>
    </row>
    <row r="1887" spans="1:20" customFormat="1" ht="15" x14ac:dyDescent="0.25">
      <c r="A1887" t="s">
        <v>35</v>
      </c>
      <c r="B1887" t="s">
        <v>8001</v>
      </c>
      <c r="C1887" t="str">
        <f>"A0164365"</f>
        <v>A0164365</v>
      </c>
      <c r="D1887" t="s">
        <v>8001</v>
      </c>
      <c r="E1887" t="s">
        <v>8190</v>
      </c>
      <c r="F1887" t="s">
        <v>8191</v>
      </c>
      <c r="G1887" t="s">
        <v>103</v>
      </c>
      <c r="H1887">
        <v>19348</v>
      </c>
      <c r="I1887" t="s">
        <v>30</v>
      </c>
      <c r="J1887" t="s">
        <v>41</v>
      </c>
      <c r="K1887" t="s">
        <v>290</v>
      </c>
      <c r="Q1887">
        <v>0</v>
      </c>
      <c r="R1887">
        <v>0</v>
      </c>
      <c r="S1887">
        <v>0</v>
      </c>
      <c r="T1887" t="s">
        <v>8192</v>
      </c>
    </row>
    <row r="1888" spans="1:20" customFormat="1" ht="15" x14ac:dyDescent="0.25">
      <c r="A1888" t="s">
        <v>35</v>
      </c>
      <c r="B1888" t="s">
        <v>887</v>
      </c>
      <c r="C1888" t="str">
        <f>"A0164707"</f>
        <v>A0164707</v>
      </c>
      <c r="D1888" t="s">
        <v>8193</v>
      </c>
      <c r="E1888" t="s">
        <v>8194</v>
      </c>
      <c r="F1888" t="s">
        <v>3280</v>
      </c>
      <c r="G1888" t="s">
        <v>289</v>
      </c>
      <c r="H1888">
        <v>60004</v>
      </c>
      <c r="I1888" t="s">
        <v>30</v>
      </c>
      <c r="J1888" t="s">
        <v>41</v>
      </c>
      <c r="K1888" t="s">
        <v>59</v>
      </c>
      <c r="Q1888">
        <v>0</v>
      </c>
      <c r="R1888">
        <v>480</v>
      </c>
      <c r="S1888">
        <v>480</v>
      </c>
      <c r="T1888" t="s">
        <v>8195</v>
      </c>
    </row>
    <row r="1889" spans="1:20" customFormat="1" ht="15" x14ac:dyDescent="0.25">
      <c r="A1889" t="s">
        <v>35</v>
      </c>
      <c r="B1889" t="s">
        <v>6747</v>
      </c>
      <c r="C1889" t="str">
        <f>"A0123642"</f>
        <v>A0123642</v>
      </c>
      <c r="D1889" t="s">
        <v>8196</v>
      </c>
      <c r="E1889" t="s">
        <v>8197</v>
      </c>
      <c r="F1889" t="s">
        <v>8198</v>
      </c>
      <c r="G1889" t="s">
        <v>214</v>
      </c>
      <c r="H1889">
        <v>288014427</v>
      </c>
      <c r="I1889" t="s">
        <v>30</v>
      </c>
      <c r="J1889" t="s">
        <v>41</v>
      </c>
      <c r="K1889" t="s">
        <v>229</v>
      </c>
      <c r="Q1889">
        <v>0</v>
      </c>
      <c r="R1889">
        <v>120</v>
      </c>
      <c r="S1889">
        <v>120</v>
      </c>
      <c r="T1889" t="s">
        <v>8199</v>
      </c>
    </row>
    <row r="1890" spans="1:20" customFormat="1" ht="15" x14ac:dyDescent="0.25">
      <c r="A1890" t="s">
        <v>24</v>
      </c>
      <c r="B1890" t="s">
        <v>4366</v>
      </c>
      <c r="C1890" t="str">
        <f>"A0189906"</f>
        <v>A0189906</v>
      </c>
      <c r="D1890" t="s">
        <v>8200</v>
      </c>
      <c r="E1890" t="s">
        <v>8201</v>
      </c>
      <c r="F1890" t="s">
        <v>8202</v>
      </c>
      <c r="G1890" t="s">
        <v>846</v>
      </c>
      <c r="H1890">
        <v>30213</v>
      </c>
      <c r="I1890" t="s">
        <v>30</v>
      </c>
      <c r="J1890" t="s">
        <v>7657</v>
      </c>
      <c r="K1890" t="s">
        <v>163</v>
      </c>
      <c r="Q1890">
        <v>0</v>
      </c>
      <c r="R1890">
        <v>0</v>
      </c>
      <c r="S1890">
        <v>0</v>
      </c>
      <c r="T1890" t="s">
        <v>4370</v>
      </c>
    </row>
    <row r="1891" spans="1:20" customFormat="1" ht="15" x14ac:dyDescent="0.25">
      <c r="A1891" t="s">
        <v>24</v>
      </c>
      <c r="B1891" t="s">
        <v>4366</v>
      </c>
      <c r="C1891" t="str">
        <f>"A0189919"</f>
        <v>A0189919</v>
      </c>
      <c r="D1891" t="s">
        <v>8203</v>
      </c>
      <c r="E1891" t="s">
        <v>8204</v>
      </c>
      <c r="F1891" t="s">
        <v>3955</v>
      </c>
      <c r="G1891" t="s">
        <v>81</v>
      </c>
      <c r="H1891">
        <v>33610</v>
      </c>
      <c r="I1891" t="s">
        <v>30</v>
      </c>
      <c r="J1891" t="s">
        <v>7657</v>
      </c>
      <c r="K1891" t="s">
        <v>163</v>
      </c>
      <c r="Q1891">
        <v>0</v>
      </c>
      <c r="R1891">
        <v>0</v>
      </c>
      <c r="S1891">
        <v>0</v>
      </c>
      <c r="T1891" t="s">
        <v>4370</v>
      </c>
    </row>
    <row r="1892" spans="1:20" customFormat="1" ht="15" x14ac:dyDescent="0.25">
      <c r="A1892" t="s">
        <v>24</v>
      </c>
      <c r="B1892" t="s">
        <v>4366</v>
      </c>
      <c r="C1892" t="str">
        <f>"A0189918"</f>
        <v>A0189918</v>
      </c>
      <c r="D1892" t="s">
        <v>8205</v>
      </c>
      <c r="E1892" t="s">
        <v>8206</v>
      </c>
      <c r="F1892" t="s">
        <v>6972</v>
      </c>
      <c r="G1892" t="s">
        <v>81</v>
      </c>
      <c r="H1892">
        <v>33487</v>
      </c>
      <c r="I1892" t="s">
        <v>30</v>
      </c>
      <c r="J1892" t="s">
        <v>7657</v>
      </c>
      <c r="K1892" t="s">
        <v>163</v>
      </c>
      <c r="Q1892">
        <v>0</v>
      </c>
      <c r="R1892">
        <v>0</v>
      </c>
      <c r="S1892">
        <v>0</v>
      </c>
      <c r="T1892" t="s">
        <v>4370</v>
      </c>
    </row>
    <row r="1893" spans="1:20" customFormat="1" ht="15" x14ac:dyDescent="0.25">
      <c r="A1893" t="s">
        <v>24</v>
      </c>
      <c r="B1893" t="s">
        <v>4366</v>
      </c>
      <c r="C1893" t="str">
        <f>"A0189917"</f>
        <v>A0189917</v>
      </c>
      <c r="D1893" t="s">
        <v>8207</v>
      </c>
      <c r="E1893" t="s">
        <v>8208</v>
      </c>
      <c r="F1893" t="s">
        <v>5935</v>
      </c>
      <c r="G1893" t="s">
        <v>29</v>
      </c>
      <c r="H1893">
        <v>24153</v>
      </c>
      <c r="I1893" t="s">
        <v>30</v>
      </c>
      <c r="J1893" t="s">
        <v>7657</v>
      </c>
      <c r="K1893" t="s">
        <v>163</v>
      </c>
      <c r="Q1893">
        <v>0</v>
      </c>
      <c r="R1893">
        <v>0</v>
      </c>
      <c r="S1893">
        <v>0</v>
      </c>
      <c r="T1893" t="s">
        <v>4370</v>
      </c>
    </row>
    <row r="1894" spans="1:20" customFormat="1" ht="15" x14ac:dyDescent="0.25">
      <c r="A1894" t="s">
        <v>24</v>
      </c>
      <c r="B1894" t="s">
        <v>4366</v>
      </c>
      <c r="C1894" t="str">
        <f>"A0189916"</f>
        <v>A0189916</v>
      </c>
      <c r="D1894" t="s">
        <v>8209</v>
      </c>
      <c r="E1894" t="s">
        <v>8210</v>
      </c>
      <c r="F1894" t="s">
        <v>8211</v>
      </c>
      <c r="G1894" t="s">
        <v>214</v>
      </c>
      <c r="H1894">
        <v>27597</v>
      </c>
      <c r="I1894" t="s">
        <v>30</v>
      </c>
      <c r="J1894" t="s">
        <v>7657</v>
      </c>
      <c r="K1894" t="s">
        <v>163</v>
      </c>
      <c r="Q1894">
        <v>0</v>
      </c>
      <c r="R1894">
        <v>0</v>
      </c>
      <c r="S1894">
        <v>0</v>
      </c>
      <c r="T1894" t="s">
        <v>4370</v>
      </c>
    </row>
    <row r="1895" spans="1:20" customFormat="1" ht="15" x14ac:dyDescent="0.25">
      <c r="A1895" t="s">
        <v>24</v>
      </c>
      <c r="B1895" t="s">
        <v>4366</v>
      </c>
      <c r="C1895" t="str">
        <f>"A0189915"</f>
        <v>A0189915</v>
      </c>
      <c r="D1895" t="s">
        <v>8212</v>
      </c>
      <c r="E1895" t="s">
        <v>8213</v>
      </c>
      <c r="F1895" t="s">
        <v>8214</v>
      </c>
      <c r="G1895" t="s">
        <v>81</v>
      </c>
      <c r="H1895">
        <v>32128</v>
      </c>
      <c r="I1895" t="s">
        <v>30</v>
      </c>
      <c r="J1895" t="s">
        <v>7657</v>
      </c>
      <c r="K1895" t="s">
        <v>163</v>
      </c>
      <c r="Q1895">
        <v>0</v>
      </c>
      <c r="R1895">
        <v>0</v>
      </c>
      <c r="S1895">
        <v>0</v>
      </c>
      <c r="T1895" t="s">
        <v>4370</v>
      </c>
    </row>
    <row r="1896" spans="1:20" customFormat="1" ht="15" x14ac:dyDescent="0.25">
      <c r="A1896" t="s">
        <v>24</v>
      </c>
      <c r="B1896" t="s">
        <v>4366</v>
      </c>
      <c r="C1896" t="str">
        <f>"A0189914"</f>
        <v>A0189914</v>
      </c>
      <c r="D1896" t="s">
        <v>8215</v>
      </c>
      <c r="E1896" t="s">
        <v>8216</v>
      </c>
      <c r="F1896" t="s">
        <v>8217</v>
      </c>
      <c r="G1896" t="s">
        <v>29</v>
      </c>
      <c r="H1896">
        <v>20109</v>
      </c>
      <c r="I1896" t="s">
        <v>30</v>
      </c>
      <c r="J1896" t="s">
        <v>7657</v>
      </c>
      <c r="K1896" t="s">
        <v>163</v>
      </c>
      <c r="Q1896">
        <v>0</v>
      </c>
      <c r="R1896">
        <v>0</v>
      </c>
      <c r="S1896">
        <v>0</v>
      </c>
      <c r="T1896" t="s">
        <v>4370</v>
      </c>
    </row>
    <row r="1897" spans="1:20" customFormat="1" ht="15" x14ac:dyDescent="0.25">
      <c r="A1897" t="s">
        <v>24</v>
      </c>
      <c r="B1897" t="s">
        <v>4366</v>
      </c>
      <c r="C1897" t="str">
        <f>"A0189909"</f>
        <v>A0189909</v>
      </c>
      <c r="D1897" t="s">
        <v>8218</v>
      </c>
      <c r="E1897" t="s">
        <v>8219</v>
      </c>
      <c r="F1897" t="s">
        <v>8220</v>
      </c>
      <c r="G1897" t="s">
        <v>58</v>
      </c>
      <c r="H1897">
        <v>29715</v>
      </c>
      <c r="I1897" t="s">
        <v>30</v>
      </c>
      <c r="J1897" t="s">
        <v>7657</v>
      </c>
      <c r="K1897" t="s">
        <v>163</v>
      </c>
      <c r="Q1897">
        <v>0</v>
      </c>
      <c r="R1897">
        <v>0</v>
      </c>
      <c r="S1897">
        <v>0</v>
      </c>
      <c r="T1897" t="s">
        <v>4370</v>
      </c>
    </row>
    <row r="1898" spans="1:20" customFormat="1" ht="15" x14ac:dyDescent="0.25">
      <c r="A1898" t="s">
        <v>24</v>
      </c>
      <c r="B1898" t="s">
        <v>4366</v>
      </c>
      <c r="C1898" t="str">
        <f>"A0189908"</f>
        <v>A0189908</v>
      </c>
      <c r="D1898" t="s">
        <v>8221</v>
      </c>
      <c r="E1898" t="s">
        <v>8222</v>
      </c>
      <c r="F1898" t="s">
        <v>3041</v>
      </c>
      <c r="G1898" t="s">
        <v>58</v>
      </c>
      <c r="H1898">
        <v>29071</v>
      </c>
      <c r="I1898" t="s">
        <v>30</v>
      </c>
      <c r="J1898" t="s">
        <v>7657</v>
      </c>
      <c r="K1898" t="s">
        <v>163</v>
      </c>
      <c r="Q1898">
        <v>0</v>
      </c>
      <c r="R1898">
        <v>0</v>
      </c>
      <c r="S1898">
        <v>0</v>
      </c>
      <c r="T1898" t="s">
        <v>4370</v>
      </c>
    </row>
    <row r="1899" spans="1:20" customFormat="1" ht="15" x14ac:dyDescent="0.25">
      <c r="A1899" t="s">
        <v>24</v>
      </c>
      <c r="B1899" t="s">
        <v>805</v>
      </c>
      <c r="C1899" t="str">
        <f>"SC007"</f>
        <v>SC007</v>
      </c>
      <c r="D1899" t="s">
        <v>35226</v>
      </c>
      <c r="E1899" t="s">
        <v>35227</v>
      </c>
      <c r="F1899" t="s">
        <v>1519</v>
      </c>
      <c r="G1899" t="s">
        <v>110</v>
      </c>
      <c r="H1899">
        <v>90045</v>
      </c>
      <c r="I1899" t="s">
        <v>30</v>
      </c>
      <c r="J1899" t="s">
        <v>162</v>
      </c>
      <c r="K1899" t="s">
        <v>809</v>
      </c>
      <c r="N1899" t="s">
        <v>35228</v>
      </c>
      <c r="O1899" t="s">
        <v>35229</v>
      </c>
      <c r="Q1899">
        <v>0</v>
      </c>
      <c r="R1899">
        <v>613</v>
      </c>
      <c r="S1899">
        <v>0</v>
      </c>
      <c r="T1899" t="s">
        <v>35230</v>
      </c>
    </row>
    <row r="1900" spans="1:20" customFormat="1" ht="15" x14ac:dyDescent="0.25">
      <c r="A1900" t="s">
        <v>24</v>
      </c>
      <c r="B1900" t="s">
        <v>805</v>
      </c>
      <c r="C1900" t="str">
        <f>"SC011"</f>
        <v>SC011</v>
      </c>
      <c r="D1900" t="s">
        <v>35231</v>
      </c>
      <c r="E1900" t="s">
        <v>35232</v>
      </c>
      <c r="F1900" t="s">
        <v>7977</v>
      </c>
      <c r="G1900" t="s">
        <v>110</v>
      </c>
      <c r="H1900">
        <v>90277</v>
      </c>
      <c r="I1900" t="s">
        <v>30</v>
      </c>
      <c r="J1900" t="s">
        <v>162</v>
      </c>
      <c r="K1900" t="s">
        <v>809</v>
      </c>
      <c r="N1900" t="s">
        <v>35233</v>
      </c>
      <c r="Q1900">
        <v>0</v>
      </c>
      <c r="R1900">
        <v>343</v>
      </c>
      <c r="S1900">
        <v>0</v>
      </c>
      <c r="T1900" t="s">
        <v>35234</v>
      </c>
    </row>
    <row r="1901" spans="1:20" customFormat="1" ht="15" x14ac:dyDescent="0.25">
      <c r="A1901" t="s">
        <v>24</v>
      </c>
      <c r="B1901" t="s">
        <v>2011</v>
      </c>
      <c r="C1901" t="str">
        <f>"A0154117"</f>
        <v>A0154117</v>
      </c>
      <c r="D1901" t="s">
        <v>35279</v>
      </c>
      <c r="E1901" t="s">
        <v>35280</v>
      </c>
      <c r="F1901" t="s">
        <v>11700</v>
      </c>
      <c r="G1901" t="s">
        <v>880</v>
      </c>
      <c r="H1901">
        <v>38103</v>
      </c>
      <c r="I1901" t="s">
        <v>30</v>
      </c>
      <c r="J1901" t="s">
        <v>162</v>
      </c>
      <c r="K1901" t="s">
        <v>1845</v>
      </c>
      <c r="N1901" t="s">
        <v>35281</v>
      </c>
      <c r="Q1901">
        <v>0</v>
      </c>
      <c r="R1901">
        <v>227</v>
      </c>
      <c r="S1901">
        <v>0</v>
      </c>
      <c r="T1901" t="s">
        <v>35282</v>
      </c>
    </row>
    <row r="1902" spans="1:20" customFormat="1" ht="15" x14ac:dyDescent="0.25">
      <c r="A1902" t="s">
        <v>24</v>
      </c>
      <c r="B1902" t="s">
        <v>193</v>
      </c>
      <c r="C1902" t="str">
        <f>"A0096893"</f>
        <v>A0096893</v>
      </c>
      <c r="D1902" t="s">
        <v>8238</v>
      </c>
      <c r="E1902" t="s">
        <v>8239</v>
      </c>
      <c r="F1902" t="s">
        <v>242</v>
      </c>
      <c r="G1902" t="s">
        <v>214</v>
      </c>
      <c r="H1902">
        <v>28217</v>
      </c>
      <c r="I1902" t="s">
        <v>30</v>
      </c>
      <c r="J1902" t="s">
        <v>31</v>
      </c>
      <c r="K1902" t="s">
        <v>261</v>
      </c>
      <c r="N1902" t="s">
        <v>8240</v>
      </c>
      <c r="Q1902">
        <v>0</v>
      </c>
      <c r="R1902">
        <v>89</v>
      </c>
      <c r="S1902">
        <v>0</v>
      </c>
      <c r="T1902" t="s">
        <v>8241</v>
      </c>
    </row>
    <row r="1903" spans="1:20" customFormat="1" ht="15" x14ac:dyDescent="0.25">
      <c r="A1903" t="s">
        <v>24</v>
      </c>
      <c r="B1903" t="s">
        <v>7339</v>
      </c>
      <c r="C1903" t="str">
        <f>"A0189912"</f>
        <v>A0189912</v>
      </c>
      <c r="D1903" t="s">
        <v>8242</v>
      </c>
      <c r="E1903" t="s">
        <v>8243</v>
      </c>
      <c r="F1903" t="s">
        <v>8244</v>
      </c>
      <c r="G1903" t="s">
        <v>71</v>
      </c>
      <c r="H1903">
        <v>53913</v>
      </c>
      <c r="I1903" t="s">
        <v>30</v>
      </c>
      <c r="J1903" t="s">
        <v>7657</v>
      </c>
      <c r="K1903" t="s">
        <v>163</v>
      </c>
      <c r="N1903" t="s">
        <v>8245</v>
      </c>
      <c r="Q1903">
        <v>0</v>
      </c>
      <c r="R1903">
        <v>0</v>
      </c>
      <c r="S1903">
        <v>0</v>
      </c>
      <c r="T1903" t="s">
        <v>8246</v>
      </c>
    </row>
    <row r="1904" spans="1:20" customFormat="1" ht="15" x14ac:dyDescent="0.25">
      <c r="A1904" t="s">
        <v>35</v>
      </c>
      <c r="B1904" t="s">
        <v>61</v>
      </c>
      <c r="C1904" t="str">
        <f>"A0184880"</f>
        <v>A0184880</v>
      </c>
      <c r="D1904" t="s">
        <v>8247</v>
      </c>
      <c r="E1904" t="s">
        <v>8248</v>
      </c>
      <c r="F1904" t="s">
        <v>8249</v>
      </c>
      <c r="G1904" t="s">
        <v>880</v>
      </c>
      <c r="H1904" t="s">
        <v>8250</v>
      </c>
      <c r="I1904" t="s">
        <v>30</v>
      </c>
      <c r="J1904" t="s">
        <v>41</v>
      </c>
      <c r="K1904" t="s">
        <v>59</v>
      </c>
      <c r="Q1904">
        <v>0</v>
      </c>
      <c r="R1904">
        <v>0</v>
      </c>
      <c r="S1904">
        <v>0</v>
      </c>
      <c r="T1904" t="s">
        <v>8251</v>
      </c>
    </row>
    <row r="1905" spans="1:20" customFormat="1" ht="15" x14ac:dyDescent="0.25">
      <c r="A1905" t="s">
        <v>35</v>
      </c>
      <c r="B1905" t="s">
        <v>61</v>
      </c>
      <c r="C1905" t="str">
        <f>"A0185083"</f>
        <v>A0185083</v>
      </c>
      <c r="D1905" t="s">
        <v>8252</v>
      </c>
      <c r="E1905" t="s">
        <v>8248</v>
      </c>
      <c r="F1905" t="s">
        <v>8249</v>
      </c>
      <c r="G1905" t="s">
        <v>880</v>
      </c>
      <c r="H1905" t="s">
        <v>8250</v>
      </c>
      <c r="I1905" t="s">
        <v>30</v>
      </c>
      <c r="J1905" t="s">
        <v>41</v>
      </c>
      <c r="K1905" t="s">
        <v>59</v>
      </c>
      <c r="Q1905">
        <v>0</v>
      </c>
      <c r="R1905">
        <v>0</v>
      </c>
      <c r="S1905">
        <v>0</v>
      </c>
      <c r="T1905" t="s">
        <v>8251</v>
      </c>
    </row>
    <row r="1906" spans="1:20" customFormat="1" ht="15" x14ac:dyDescent="0.25">
      <c r="A1906" t="s">
        <v>24</v>
      </c>
      <c r="B1906" t="s">
        <v>8253</v>
      </c>
      <c r="C1906" t="str">
        <f>"A0189747"</f>
        <v>A0189747</v>
      </c>
      <c r="D1906" t="s">
        <v>8254</v>
      </c>
      <c r="E1906" t="s">
        <v>8255</v>
      </c>
      <c r="F1906" t="s">
        <v>729</v>
      </c>
      <c r="G1906" t="s">
        <v>110</v>
      </c>
      <c r="H1906">
        <v>93105</v>
      </c>
      <c r="I1906" t="s">
        <v>30</v>
      </c>
      <c r="J1906" t="s">
        <v>31</v>
      </c>
      <c r="K1906" t="s">
        <v>2524</v>
      </c>
      <c r="N1906" t="s">
        <v>8256</v>
      </c>
      <c r="Q1906">
        <v>0</v>
      </c>
      <c r="R1906">
        <v>122</v>
      </c>
      <c r="S1906">
        <v>0</v>
      </c>
      <c r="T1906" t="s">
        <v>8257</v>
      </c>
    </row>
    <row r="1907" spans="1:20" customFormat="1" ht="15" x14ac:dyDescent="0.25">
      <c r="A1907" t="s">
        <v>35</v>
      </c>
      <c r="B1907" t="s">
        <v>61</v>
      </c>
      <c r="C1907" t="str">
        <f>"A0126320"</f>
        <v>A0126320</v>
      </c>
      <c r="D1907" t="s">
        <v>8258</v>
      </c>
      <c r="E1907" t="s">
        <v>8259</v>
      </c>
      <c r="F1907" t="s">
        <v>3555</v>
      </c>
      <c r="G1907" t="s">
        <v>81</v>
      </c>
      <c r="H1907">
        <v>32308</v>
      </c>
      <c r="I1907" t="s">
        <v>30</v>
      </c>
      <c r="J1907" t="s">
        <v>41</v>
      </c>
      <c r="K1907" t="s">
        <v>59</v>
      </c>
      <c r="Q1907">
        <v>0</v>
      </c>
      <c r="R1907">
        <v>106</v>
      </c>
      <c r="S1907">
        <v>106</v>
      </c>
      <c r="T1907" t="s">
        <v>8260</v>
      </c>
    </row>
    <row r="1908" spans="1:20" customFormat="1" ht="15" x14ac:dyDescent="0.25">
      <c r="A1908" t="s">
        <v>35</v>
      </c>
      <c r="B1908" t="s">
        <v>61</v>
      </c>
      <c r="C1908" t="str">
        <f>"A0126319"</f>
        <v>A0126319</v>
      </c>
      <c r="D1908" t="s">
        <v>8261</v>
      </c>
      <c r="E1908" t="s">
        <v>8262</v>
      </c>
      <c r="F1908" t="s">
        <v>3555</v>
      </c>
      <c r="G1908" t="s">
        <v>81</v>
      </c>
      <c r="H1908">
        <v>32309</v>
      </c>
      <c r="I1908" t="s">
        <v>30</v>
      </c>
      <c r="J1908" t="s">
        <v>41</v>
      </c>
      <c r="K1908" t="s">
        <v>59</v>
      </c>
      <c r="Q1908">
        <v>0</v>
      </c>
      <c r="R1908">
        <v>40</v>
      </c>
      <c r="S1908">
        <v>40</v>
      </c>
      <c r="T1908" t="s">
        <v>8263</v>
      </c>
    </row>
    <row r="1909" spans="1:20" customFormat="1" ht="15" x14ac:dyDescent="0.25">
      <c r="A1909" t="s">
        <v>35</v>
      </c>
      <c r="B1909" t="s">
        <v>61</v>
      </c>
      <c r="C1909" t="str">
        <f>"A0129929"</f>
        <v>A0129929</v>
      </c>
      <c r="D1909" t="s">
        <v>8264</v>
      </c>
      <c r="E1909" t="s">
        <v>8265</v>
      </c>
      <c r="F1909" t="s">
        <v>4054</v>
      </c>
      <c r="G1909" t="s">
        <v>880</v>
      </c>
      <c r="H1909">
        <v>37129</v>
      </c>
      <c r="I1909" t="s">
        <v>30</v>
      </c>
      <c r="J1909" t="s">
        <v>41</v>
      </c>
      <c r="K1909" t="s">
        <v>59</v>
      </c>
      <c r="Q1909">
        <v>0</v>
      </c>
      <c r="R1909">
        <v>60</v>
      </c>
      <c r="S1909">
        <v>60</v>
      </c>
      <c r="T1909" t="s">
        <v>8266</v>
      </c>
    </row>
    <row r="1910" spans="1:20" customFormat="1" ht="15" x14ac:dyDescent="0.25">
      <c r="A1910" t="s">
        <v>35</v>
      </c>
      <c r="B1910" t="s">
        <v>61</v>
      </c>
      <c r="C1910" t="str">
        <f>"A0127491"</f>
        <v>A0127491</v>
      </c>
      <c r="D1910" t="s">
        <v>8267</v>
      </c>
      <c r="E1910" t="s">
        <v>8268</v>
      </c>
      <c r="F1910" t="s">
        <v>8269</v>
      </c>
      <c r="G1910" t="s">
        <v>507</v>
      </c>
      <c r="H1910">
        <v>25526</v>
      </c>
      <c r="I1910" t="s">
        <v>30</v>
      </c>
      <c r="J1910" t="s">
        <v>41</v>
      </c>
      <c r="K1910" t="s">
        <v>59</v>
      </c>
      <c r="Q1910">
        <v>0</v>
      </c>
      <c r="R1910">
        <v>59</v>
      </c>
      <c r="S1910">
        <v>59</v>
      </c>
      <c r="T1910" t="s">
        <v>8270</v>
      </c>
    </row>
    <row r="1911" spans="1:20" customFormat="1" ht="15" x14ac:dyDescent="0.25">
      <c r="A1911" t="s">
        <v>35</v>
      </c>
      <c r="B1911" t="s">
        <v>61</v>
      </c>
      <c r="C1911" t="str">
        <f>"A0126638"</f>
        <v>A0126638</v>
      </c>
      <c r="D1911" t="s">
        <v>8271</v>
      </c>
      <c r="E1911" t="s">
        <v>8272</v>
      </c>
      <c r="F1911" t="s">
        <v>5781</v>
      </c>
      <c r="G1911" t="s">
        <v>103</v>
      </c>
      <c r="H1911">
        <v>17403</v>
      </c>
      <c r="I1911" t="s">
        <v>30</v>
      </c>
      <c r="J1911" t="s">
        <v>41</v>
      </c>
      <c r="K1911" t="s">
        <v>59</v>
      </c>
      <c r="Q1911">
        <v>0</v>
      </c>
      <c r="R1911">
        <v>70</v>
      </c>
      <c r="S1911">
        <v>70</v>
      </c>
      <c r="T1911" t="s">
        <v>8273</v>
      </c>
    </row>
    <row r="1912" spans="1:20" customFormat="1" ht="15" x14ac:dyDescent="0.25">
      <c r="A1912" t="s">
        <v>35</v>
      </c>
      <c r="B1912" t="s">
        <v>61</v>
      </c>
      <c r="C1912" t="str">
        <f>"A0126318"</f>
        <v>A0126318</v>
      </c>
      <c r="D1912" t="s">
        <v>8274</v>
      </c>
      <c r="E1912" t="s">
        <v>8275</v>
      </c>
      <c r="F1912" t="s">
        <v>8276</v>
      </c>
      <c r="G1912" t="s">
        <v>81</v>
      </c>
      <c r="H1912">
        <v>32514</v>
      </c>
      <c r="I1912" t="s">
        <v>30</v>
      </c>
      <c r="J1912" t="s">
        <v>41</v>
      </c>
      <c r="K1912" t="s">
        <v>59</v>
      </c>
      <c r="Q1912">
        <v>0</v>
      </c>
      <c r="R1912">
        <v>60</v>
      </c>
      <c r="S1912">
        <v>60</v>
      </c>
      <c r="T1912" t="s">
        <v>8277</v>
      </c>
    </row>
    <row r="1913" spans="1:20" customFormat="1" ht="15" x14ac:dyDescent="0.25">
      <c r="A1913" t="s">
        <v>35</v>
      </c>
      <c r="B1913" t="s">
        <v>61</v>
      </c>
      <c r="C1913" t="str">
        <f>"A0126637"</f>
        <v>A0126637</v>
      </c>
      <c r="D1913" t="s">
        <v>8278</v>
      </c>
      <c r="E1913" t="s">
        <v>8279</v>
      </c>
      <c r="F1913" t="s">
        <v>8280</v>
      </c>
      <c r="G1913" t="s">
        <v>103</v>
      </c>
      <c r="H1913">
        <v>15017</v>
      </c>
      <c r="I1913" t="s">
        <v>30</v>
      </c>
      <c r="J1913" t="s">
        <v>41</v>
      </c>
      <c r="K1913" t="s">
        <v>59</v>
      </c>
      <c r="Q1913">
        <v>0</v>
      </c>
      <c r="R1913">
        <v>105</v>
      </c>
      <c r="S1913">
        <v>105</v>
      </c>
      <c r="T1913" t="s">
        <v>8281</v>
      </c>
    </row>
    <row r="1914" spans="1:20" customFormat="1" ht="15" x14ac:dyDescent="0.25">
      <c r="A1914" t="s">
        <v>35</v>
      </c>
      <c r="B1914" t="s">
        <v>61</v>
      </c>
      <c r="C1914" t="str">
        <f>"A0129928"</f>
        <v>A0129928</v>
      </c>
      <c r="D1914" t="s">
        <v>8282</v>
      </c>
      <c r="E1914" t="s">
        <v>8283</v>
      </c>
      <c r="F1914" t="s">
        <v>8284</v>
      </c>
      <c r="G1914" t="s">
        <v>880</v>
      </c>
      <c r="H1914">
        <v>37601</v>
      </c>
      <c r="I1914" t="s">
        <v>30</v>
      </c>
      <c r="J1914" t="s">
        <v>41</v>
      </c>
      <c r="K1914" t="s">
        <v>59</v>
      </c>
      <c r="Q1914">
        <v>0</v>
      </c>
      <c r="R1914">
        <v>60</v>
      </c>
      <c r="S1914">
        <v>60</v>
      </c>
      <c r="T1914" t="s">
        <v>8285</v>
      </c>
    </row>
    <row r="1915" spans="1:20" customFormat="1" ht="15" x14ac:dyDescent="0.25">
      <c r="A1915" t="s">
        <v>35</v>
      </c>
      <c r="B1915" t="s">
        <v>61</v>
      </c>
      <c r="C1915" t="str">
        <f>"A0127545"</f>
        <v>A0127545</v>
      </c>
      <c r="D1915" t="s">
        <v>8286</v>
      </c>
      <c r="E1915" t="s">
        <v>8287</v>
      </c>
      <c r="F1915" t="s">
        <v>8288</v>
      </c>
      <c r="G1915" t="s">
        <v>123</v>
      </c>
      <c r="H1915">
        <v>21740</v>
      </c>
      <c r="I1915" t="s">
        <v>30</v>
      </c>
      <c r="J1915" t="s">
        <v>41</v>
      </c>
      <c r="K1915" t="s">
        <v>59</v>
      </c>
      <c r="Q1915">
        <v>0</v>
      </c>
      <c r="R1915">
        <v>59</v>
      </c>
      <c r="S1915">
        <v>59</v>
      </c>
      <c r="T1915" t="s">
        <v>8289</v>
      </c>
    </row>
    <row r="1916" spans="1:20" customFormat="1" ht="15" x14ac:dyDescent="0.25">
      <c r="A1916" t="s">
        <v>35</v>
      </c>
      <c r="B1916" t="s">
        <v>61</v>
      </c>
      <c r="C1916" t="str">
        <f>"A0129927"</f>
        <v>A0129927</v>
      </c>
      <c r="D1916" t="s">
        <v>8290</v>
      </c>
      <c r="E1916" t="s">
        <v>8291</v>
      </c>
      <c r="F1916" t="s">
        <v>1916</v>
      </c>
      <c r="G1916" t="s">
        <v>880</v>
      </c>
      <c r="H1916">
        <v>37620</v>
      </c>
      <c r="I1916" t="s">
        <v>30</v>
      </c>
      <c r="J1916" t="s">
        <v>41</v>
      </c>
      <c r="K1916" t="s">
        <v>59</v>
      </c>
      <c r="Q1916">
        <v>0</v>
      </c>
      <c r="R1916">
        <v>59</v>
      </c>
      <c r="S1916">
        <v>59</v>
      </c>
      <c r="T1916" t="s">
        <v>8292</v>
      </c>
    </row>
    <row r="1917" spans="1:20" customFormat="1" ht="15" x14ac:dyDescent="0.25">
      <c r="A1917" t="s">
        <v>24</v>
      </c>
      <c r="B1917" t="s">
        <v>257</v>
      </c>
      <c r="C1917" t="str">
        <f>"A0180092"</f>
        <v>A0180092</v>
      </c>
      <c r="D1917" t="s">
        <v>8293</v>
      </c>
      <c r="E1917" t="s">
        <v>8294</v>
      </c>
      <c r="F1917" t="s">
        <v>7455</v>
      </c>
      <c r="G1917" t="s">
        <v>123</v>
      </c>
      <c r="H1917">
        <v>21201</v>
      </c>
      <c r="I1917" t="s">
        <v>30</v>
      </c>
      <c r="J1917" t="s">
        <v>31</v>
      </c>
      <c r="K1917" t="s">
        <v>255</v>
      </c>
      <c r="N1917" t="s">
        <v>8295</v>
      </c>
      <c r="Q1917">
        <v>0</v>
      </c>
      <c r="R1917">
        <v>176</v>
      </c>
      <c r="S1917">
        <v>0</v>
      </c>
      <c r="T1917" t="s">
        <v>192</v>
      </c>
    </row>
    <row r="1918" spans="1:20" customFormat="1" ht="15" x14ac:dyDescent="0.25">
      <c r="A1918" t="s">
        <v>24</v>
      </c>
      <c r="B1918" t="s">
        <v>35340</v>
      </c>
      <c r="C1918" t="str">
        <f>"A0167481"</f>
        <v>A0167481</v>
      </c>
      <c r="D1918" t="s">
        <v>35341</v>
      </c>
      <c r="E1918" t="s">
        <v>35342</v>
      </c>
      <c r="F1918" t="s">
        <v>1525</v>
      </c>
      <c r="G1918" t="s">
        <v>846</v>
      </c>
      <c r="H1918">
        <v>31901</v>
      </c>
      <c r="I1918" t="s">
        <v>30</v>
      </c>
      <c r="J1918" t="s">
        <v>162</v>
      </c>
      <c r="K1918" t="s">
        <v>2819</v>
      </c>
      <c r="N1918" t="s">
        <v>35343</v>
      </c>
      <c r="Q1918">
        <v>0</v>
      </c>
      <c r="R1918">
        <v>107</v>
      </c>
      <c r="S1918">
        <v>0</v>
      </c>
      <c r="T1918" t="s">
        <v>35344</v>
      </c>
    </row>
    <row r="1919" spans="1:20" customFormat="1" ht="15" hidden="1" x14ac:dyDescent="0.25">
      <c r="A1919" t="s">
        <v>24</v>
      </c>
      <c r="B1919" t="s">
        <v>193</v>
      </c>
      <c r="C1919" t="str">
        <f>"SF02370"</f>
        <v>SF02370</v>
      </c>
      <c r="D1919" t="s">
        <v>8302</v>
      </c>
      <c r="E1919" t="s">
        <v>8303</v>
      </c>
      <c r="F1919" t="s">
        <v>8304</v>
      </c>
      <c r="G1919" t="s">
        <v>2206</v>
      </c>
      <c r="H1919" t="s">
        <v>8305</v>
      </c>
      <c r="I1919" t="s">
        <v>1459</v>
      </c>
      <c r="J1919" t="s">
        <v>162</v>
      </c>
      <c r="K1919" t="s">
        <v>854</v>
      </c>
      <c r="Q1919">
        <v>0</v>
      </c>
      <c r="R1919">
        <v>137</v>
      </c>
      <c r="S1919">
        <v>0</v>
      </c>
      <c r="T1919" t="s">
        <v>8306</v>
      </c>
    </row>
    <row r="1920" spans="1:20" customFormat="1" ht="15" x14ac:dyDescent="0.25">
      <c r="A1920" t="s">
        <v>24</v>
      </c>
      <c r="B1920" t="s">
        <v>726</v>
      </c>
      <c r="C1920" t="str">
        <f>"A0189739"</f>
        <v>A0189739</v>
      </c>
      <c r="D1920" t="s">
        <v>8307</v>
      </c>
      <c r="E1920" t="s">
        <v>8308</v>
      </c>
      <c r="F1920" t="s">
        <v>729</v>
      </c>
      <c r="G1920" t="s">
        <v>110</v>
      </c>
      <c r="H1920">
        <v>93101</v>
      </c>
      <c r="I1920" t="s">
        <v>30</v>
      </c>
      <c r="J1920" t="s">
        <v>31</v>
      </c>
      <c r="K1920" t="s">
        <v>163</v>
      </c>
      <c r="N1920" t="s">
        <v>730</v>
      </c>
      <c r="Q1920">
        <v>0</v>
      </c>
      <c r="R1920">
        <v>31</v>
      </c>
      <c r="S1920">
        <v>0</v>
      </c>
      <c r="T1920" t="s">
        <v>731</v>
      </c>
    </row>
    <row r="1921" spans="1:20" customFormat="1" ht="15" x14ac:dyDescent="0.25">
      <c r="A1921" t="s">
        <v>24</v>
      </c>
      <c r="B1921" t="s">
        <v>10734</v>
      </c>
      <c r="C1921" t="str">
        <f>"A0054420"</f>
        <v>A0054420</v>
      </c>
      <c r="D1921" t="s">
        <v>35408</v>
      </c>
      <c r="E1921" t="s">
        <v>35409</v>
      </c>
      <c r="F1921" t="s">
        <v>10401</v>
      </c>
      <c r="G1921" t="s">
        <v>110</v>
      </c>
      <c r="H1921">
        <v>90069</v>
      </c>
      <c r="I1921" t="s">
        <v>30</v>
      </c>
      <c r="J1921" t="s">
        <v>162</v>
      </c>
      <c r="K1921" t="s">
        <v>163</v>
      </c>
      <c r="N1921" t="s">
        <v>35410</v>
      </c>
      <c r="Q1921">
        <v>0</v>
      </c>
      <c r="R1921">
        <v>236</v>
      </c>
      <c r="S1921">
        <v>0</v>
      </c>
      <c r="T1921" t="s">
        <v>35411</v>
      </c>
    </row>
    <row r="1922" spans="1:20" customFormat="1" ht="15" x14ac:dyDescent="0.25">
      <c r="A1922" t="s">
        <v>24</v>
      </c>
      <c r="B1922" t="s">
        <v>35433</v>
      </c>
      <c r="C1922" t="str">
        <f>"A0064466"</f>
        <v>A0064466</v>
      </c>
      <c r="D1922" t="s">
        <v>35434</v>
      </c>
      <c r="E1922" t="s">
        <v>35435</v>
      </c>
      <c r="F1922" t="s">
        <v>2120</v>
      </c>
      <c r="G1922" t="s">
        <v>52</v>
      </c>
      <c r="H1922">
        <v>79424</v>
      </c>
      <c r="I1922" t="s">
        <v>30</v>
      </c>
      <c r="J1922" t="s">
        <v>162</v>
      </c>
      <c r="K1922" t="s">
        <v>266</v>
      </c>
      <c r="N1922" t="s">
        <v>35436</v>
      </c>
      <c r="O1922" t="s">
        <v>35437</v>
      </c>
      <c r="Q1922">
        <v>0</v>
      </c>
      <c r="R1922">
        <v>156</v>
      </c>
      <c r="S1922">
        <v>0</v>
      </c>
      <c r="T1922" t="s">
        <v>35438</v>
      </c>
    </row>
    <row r="1923" spans="1:20" customFormat="1" ht="15" x14ac:dyDescent="0.25">
      <c r="A1923" t="s">
        <v>24</v>
      </c>
      <c r="B1923" t="s">
        <v>5166</v>
      </c>
      <c r="C1923" t="str">
        <f>"A0166913"</f>
        <v>A0166913</v>
      </c>
      <c r="D1923" t="s">
        <v>35449</v>
      </c>
      <c r="E1923" t="s">
        <v>35450</v>
      </c>
      <c r="F1923" t="s">
        <v>242</v>
      </c>
      <c r="G1923" t="s">
        <v>214</v>
      </c>
      <c r="H1923">
        <v>28262</v>
      </c>
      <c r="I1923" t="s">
        <v>30</v>
      </c>
      <c r="J1923" t="s">
        <v>162</v>
      </c>
      <c r="K1923" t="s">
        <v>1490</v>
      </c>
      <c r="N1923" t="s">
        <v>35451</v>
      </c>
      <c r="O1923" t="s">
        <v>35452</v>
      </c>
      <c r="Q1923">
        <v>0</v>
      </c>
      <c r="R1923">
        <v>226</v>
      </c>
      <c r="S1923">
        <v>0</v>
      </c>
      <c r="T1923" t="s">
        <v>35453</v>
      </c>
    </row>
    <row r="1924" spans="1:20" customFormat="1" ht="15" x14ac:dyDescent="0.25">
      <c r="A1924" t="s">
        <v>24</v>
      </c>
      <c r="B1924" t="s">
        <v>4855</v>
      </c>
      <c r="C1924" t="str">
        <f>"A0179576"</f>
        <v>A0179576</v>
      </c>
      <c r="D1924" t="s">
        <v>35725</v>
      </c>
      <c r="E1924" t="s">
        <v>35726</v>
      </c>
      <c r="F1924" t="s">
        <v>2978</v>
      </c>
      <c r="G1924" t="s">
        <v>110</v>
      </c>
      <c r="H1924">
        <v>92106</v>
      </c>
      <c r="I1924" t="s">
        <v>30</v>
      </c>
      <c r="J1924" t="s">
        <v>162</v>
      </c>
      <c r="K1924" t="s">
        <v>2881</v>
      </c>
      <c r="N1924" t="s">
        <v>35727</v>
      </c>
      <c r="Q1924">
        <v>0</v>
      </c>
      <c r="R1924">
        <v>92</v>
      </c>
      <c r="S1924">
        <v>0</v>
      </c>
      <c r="T1924" t="s">
        <v>35728</v>
      </c>
    </row>
    <row r="1925" spans="1:20" customFormat="1" ht="15" x14ac:dyDescent="0.25">
      <c r="A1925" t="s">
        <v>24</v>
      </c>
      <c r="B1925" t="s">
        <v>8328</v>
      </c>
      <c r="C1925" t="str">
        <f>"A0154486"</f>
        <v>A0154486</v>
      </c>
      <c r="D1925" t="s">
        <v>8329</v>
      </c>
      <c r="E1925" t="s">
        <v>8330</v>
      </c>
      <c r="F1925" t="s">
        <v>1564</v>
      </c>
      <c r="G1925" t="s">
        <v>52</v>
      </c>
      <c r="H1925">
        <v>77017</v>
      </c>
      <c r="I1925" t="s">
        <v>30</v>
      </c>
      <c r="J1925" t="s">
        <v>31</v>
      </c>
      <c r="K1925" t="s">
        <v>222</v>
      </c>
      <c r="N1925" t="s">
        <v>5664</v>
      </c>
      <c r="Q1925">
        <v>0</v>
      </c>
      <c r="R1925">
        <v>112</v>
      </c>
      <c r="S1925">
        <v>0</v>
      </c>
      <c r="T1925" t="s">
        <v>8331</v>
      </c>
    </row>
    <row r="1926" spans="1:20" customFormat="1" ht="15" x14ac:dyDescent="0.25">
      <c r="A1926" t="s">
        <v>24</v>
      </c>
      <c r="B1926" t="s">
        <v>5166</v>
      </c>
      <c r="C1926" t="str">
        <f>"A0165465"</f>
        <v>A0165465</v>
      </c>
      <c r="D1926" t="s">
        <v>35786</v>
      </c>
      <c r="E1926" t="s">
        <v>35787</v>
      </c>
      <c r="F1926" t="s">
        <v>972</v>
      </c>
      <c r="G1926" t="s">
        <v>190</v>
      </c>
      <c r="H1926">
        <v>80202</v>
      </c>
      <c r="I1926" t="s">
        <v>30</v>
      </c>
      <c r="J1926" t="s">
        <v>162</v>
      </c>
      <c r="K1926" t="s">
        <v>163</v>
      </c>
      <c r="N1926" t="s">
        <v>35788</v>
      </c>
      <c r="O1926" t="s">
        <v>35789</v>
      </c>
      <c r="Q1926">
        <v>0</v>
      </c>
      <c r="R1926">
        <v>176</v>
      </c>
      <c r="S1926">
        <v>0</v>
      </c>
      <c r="T1926" t="s">
        <v>192</v>
      </c>
    </row>
    <row r="1927" spans="1:20" customFormat="1" ht="15" x14ac:dyDescent="0.25">
      <c r="A1927" t="s">
        <v>24</v>
      </c>
      <c r="B1927" t="s">
        <v>35790</v>
      </c>
      <c r="C1927" t="str">
        <f>"A0154010"</f>
        <v>A0154010</v>
      </c>
      <c r="D1927" t="s">
        <v>35791</v>
      </c>
      <c r="E1927" t="s">
        <v>35792</v>
      </c>
      <c r="F1927" t="s">
        <v>35793</v>
      </c>
      <c r="G1927" t="s">
        <v>29</v>
      </c>
      <c r="H1927">
        <v>22102</v>
      </c>
      <c r="I1927" t="s">
        <v>30</v>
      </c>
      <c r="J1927" t="s">
        <v>162</v>
      </c>
      <c r="K1927" t="s">
        <v>35794</v>
      </c>
      <c r="N1927" t="s">
        <v>35795</v>
      </c>
      <c r="Q1927">
        <v>0</v>
      </c>
      <c r="R1927">
        <v>180</v>
      </c>
      <c r="S1927">
        <v>0</v>
      </c>
      <c r="T1927" t="s">
        <v>35796</v>
      </c>
    </row>
    <row r="1928" spans="1:20" customFormat="1" ht="15" x14ac:dyDescent="0.25">
      <c r="A1928" t="s">
        <v>35</v>
      </c>
      <c r="B1928" t="s">
        <v>8342</v>
      </c>
      <c r="C1928" t="str">
        <f>"A0127410"</f>
        <v>A0127410</v>
      </c>
      <c r="D1928" t="s">
        <v>8343</v>
      </c>
      <c r="E1928" t="s">
        <v>8344</v>
      </c>
      <c r="F1928" t="s">
        <v>7130</v>
      </c>
      <c r="G1928" t="s">
        <v>846</v>
      </c>
      <c r="H1928">
        <v>31001</v>
      </c>
      <c r="I1928" t="s">
        <v>30</v>
      </c>
      <c r="J1928" t="s">
        <v>41</v>
      </c>
      <c r="K1928" t="s">
        <v>229</v>
      </c>
      <c r="Q1928">
        <v>0</v>
      </c>
      <c r="R1928">
        <v>101</v>
      </c>
      <c r="S1928">
        <v>101</v>
      </c>
      <c r="T1928" t="s">
        <v>8345</v>
      </c>
    </row>
    <row r="1929" spans="1:20" customFormat="1" ht="15" x14ac:dyDescent="0.25">
      <c r="A1929" t="s">
        <v>35</v>
      </c>
      <c r="B1929" t="s">
        <v>8342</v>
      </c>
      <c r="C1929" t="str">
        <f>"A0125220"</f>
        <v>A0125220</v>
      </c>
      <c r="D1929" t="s">
        <v>8346</v>
      </c>
      <c r="E1929" t="s">
        <v>8347</v>
      </c>
      <c r="F1929" t="s">
        <v>8348</v>
      </c>
      <c r="G1929" t="s">
        <v>40</v>
      </c>
      <c r="H1929">
        <v>74135</v>
      </c>
      <c r="I1929" t="s">
        <v>30</v>
      </c>
      <c r="J1929" t="s">
        <v>41</v>
      </c>
      <c r="K1929" t="s">
        <v>229</v>
      </c>
      <c r="Q1929">
        <v>0</v>
      </c>
      <c r="R1929">
        <v>106</v>
      </c>
      <c r="S1929">
        <v>106</v>
      </c>
      <c r="T1929" t="s">
        <v>8349</v>
      </c>
    </row>
    <row r="1930" spans="1:20" customFormat="1" ht="15" x14ac:dyDescent="0.25">
      <c r="A1930" t="s">
        <v>35</v>
      </c>
      <c r="B1930" t="s">
        <v>8342</v>
      </c>
      <c r="C1930" t="str">
        <f>"A0127409"</f>
        <v>A0127409</v>
      </c>
      <c r="D1930" t="s">
        <v>8350</v>
      </c>
      <c r="E1930" t="s">
        <v>8351</v>
      </c>
      <c r="F1930" t="s">
        <v>8352</v>
      </c>
      <c r="G1930" t="s">
        <v>846</v>
      </c>
      <c r="H1930">
        <v>31023</v>
      </c>
      <c r="I1930" t="s">
        <v>30</v>
      </c>
      <c r="J1930" t="s">
        <v>41</v>
      </c>
      <c r="K1930" t="s">
        <v>229</v>
      </c>
      <c r="Q1930">
        <v>0</v>
      </c>
      <c r="R1930">
        <v>100</v>
      </c>
      <c r="S1930">
        <v>100</v>
      </c>
      <c r="T1930" t="s">
        <v>8353</v>
      </c>
    </row>
    <row r="1931" spans="1:20" customFormat="1" ht="15" x14ac:dyDescent="0.25">
      <c r="A1931" t="s">
        <v>24</v>
      </c>
      <c r="B1931" t="s">
        <v>8354</v>
      </c>
      <c r="C1931" t="str">
        <f>"A0188703"</f>
        <v>A0188703</v>
      </c>
      <c r="D1931" t="s">
        <v>8355</v>
      </c>
      <c r="E1931" t="s">
        <v>8356</v>
      </c>
      <c r="F1931" t="s">
        <v>2900</v>
      </c>
      <c r="G1931" t="s">
        <v>76</v>
      </c>
      <c r="H1931">
        <v>98121</v>
      </c>
      <c r="I1931" t="s">
        <v>30</v>
      </c>
      <c r="J1931" t="s">
        <v>31</v>
      </c>
      <c r="K1931" t="s">
        <v>163</v>
      </c>
      <c r="N1931" t="s">
        <v>8357</v>
      </c>
      <c r="O1931" t="s">
        <v>8358</v>
      </c>
      <c r="Q1931">
        <v>0</v>
      </c>
      <c r="R1931">
        <v>123</v>
      </c>
      <c r="S1931">
        <v>0</v>
      </c>
      <c r="T1931" t="s">
        <v>8359</v>
      </c>
    </row>
    <row r="1932" spans="1:20" customFormat="1" ht="15" x14ac:dyDescent="0.25">
      <c r="A1932" t="s">
        <v>24</v>
      </c>
      <c r="B1932" t="s">
        <v>1855</v>
      </c>
      <c r="C1932" t="str">
        <f>"88HM097"</f>
        <v>88HM097</v>
      </c>
      <c r="D1932" t="s">
        <v>8360</v>
      </c>
      <c r="E1932" t="s">
        <v>8361</v>
      </c>
      <c r="F1932" t="s">
        <v>8362</v>
      </c>
      <c r="G1932" t="s">
        <v>925</v>
      </c>
      <c r="H1932">
        <v>66217</v>
      </c>
      <c r="I1932" t="s">
        <v>30</v>
      </c>
      <c r="J1932" t="s">
        <v>31</v>
      </c>
      <c r="K1932" t="s">
        <v>198</v>
      </c>
      <c r="N1932" t="s">
        <v>8363</v>
      </c>
      <c r="O1932" t="s">
        <v>8364</v>
      </c>
      <c r="Q1932">
        <v>0</v>
      </c>
      <c r="R1932">
        <v>128</v>
      </c>
      <c r="S1932">
        <v>0</v>
      </c>
      <c r="T1932" t="s">
        <v>8365</v>
      </c>
    </row>
    <row r="1933" spans="1:20" customFormat="1" ht="15" x14ac:dyDescent="0.25">
      <c r="A1933" t="s">
        <v>24</v>
      </c>
      <c r="B1933" t="s">
        <v>8366</v>
      </c>
      <c r="C1933" t="str">
        <f>"A0167170"</f>
        <v>A0167170</v>
      </c>
      <c r="D1933" t="s">
        <v>8367</v>
      </c>
      <c r="E1933" t="s">
        <v>8368</v>
      </c>
      <c r="F1933" t="s">
        <v>2094</v>
      </c>
      <c r="G1933" t="s">
        <v>52</v>
      </c>
      <c r="H1933">
        <v>75220</v>
      </c>
      <c r="I1933" t="s">
        <v>30</v>
      </c>
      <c r="J1933" t="s">
        <v>31</v>
      </c>
      <c r="K1933" t="s">
        <v>32</v>
      </c>
      <c r="N1933" t="s">
        <v>8369</v>
      </c>
      <c r="Q1933">
        <v>0</v>
      </c>
      <c r="R1933">
        <v>90</v>
      </c>
      <c r="S1933">
        <v>0</v>
      </c>
      <c r="T1933" t="s">
        <v>8370</v>
      </c>
    </row>
    <row r="1934" spans="1:20" customFormat="1" ht="15" x14ac:dyDescent="0.25">
      <c r="A1934" t="s">
        <v>35</v>
      </c>
      <c r="B1934" t="s">
        <v>5511</v>
      </c>
      <c r="C1934" t="str">
        <f>"A0118505"</f>
        <v>A0118505</v>
      </c>
      <c r="D1934" t="s">
        <v>8371</v>
      </c>
      <c r="E1934" t="s">
        <v>8372</v>
      </c>
      <c r="F1934" t="s">
        <v>8081</v>
      </c>
      <c r="G1934" t="s">
        <v>110</v>
      </c>
      <c r="H1934">
        <v>94115</v>
      </c>
      <c r="I1934" t="s">
        <v>30</v>
      </c>
      <c r="J1934" t="s">
        <v>41</v>
      </c>
      <c r="K1934" t="s">
        <v>2463</v>
      </c>
      <c r="Q1934">
        <v>0</v>
      </c>
      <c r="R1934">
        <v>0</v>
      </c>
      <c r="S1934">
        <v>1</v>
      </c>
      <c r="T1934" t="s">
        <v>8373</v>
      </c>
    </row>
    <row r="1935" spans="1:20" customFormat="1" ht="15" x14ac:dyDescent="0.25">
      <c r="A1935" t="s">
        <v>35</v>
      </c>
      <c r="B1935" t="s">
        <v>225</v>
      </c>
      <c r="C1935" t="str">
        <f>"A0167394"</f>
        <v>A0167394</v>
      </c>
      <c r="D1935" t="s">
        <v>8374</v>
      </c>
      <c r="E1935" t="s">
        <v>8375</v>
      </c>
      <c r="F1935" t="s">
        <v>8376</v>
      </c>
      <c r="G1935" t="s">
        <v>137</v>
      </c>
      <c r="H1935">
        <v>652702478</v>
      </c>
      <c r="I1935" t="s">
        <v>30</v>
      </c>
      <c r="J1935" t="s">
        <v>41</v>
      </c>
      <c r="K1935" t="s">
        <v>229</v>
      </c>
      <c r="Q1935">
        <v>0</v>
      </c>
      <c r="R1935">
        <v>96</v>
      </c>
      <c r="S1935">
        <v>96</v>
      </c>
      <c r="T1935" t="s">
        <v>8377</v>
      </c>
    </row>
    <row r="1936" spans="1:20" customFormat="1" ht="15" x14ac:dyDescent="0.25">
      <c r="A1936" t="s">
        <v>35</v>
      </c>
      <c r="B1936" t="s">
        <v>8378</v>
      </c>
      <c r="C1936" t="str">
        <f>"A0127916"</f>
        <v>A0127916</v>
      </c>
      <c r="D1936" t="s">
        <v>8379</v>
      </c>
      <c r="E1936" t="s">
        <v>8380</v>
      </c>
      <c r="F1936" t="s">
        <v>8381</v>
      </c>
      <c r="G1936" t="s">
        <v>117</v>
      </c>
      <c r="H1936">
        <v>48617</v>
      </c>
      <c r="I1936" t="s">
        <v>30</v>
      </c>
      <c r="J1936" t="s">
        <v>41</v>
      </c>
      <c r="K1936" t="s">
        <v>59</v>
      </c>
      <c r="Q1936">
        <v>0</v>
      </c>
      <c r="R1936">
        <v>40</v>
      </c>
      <c r="S1936">
        <v>40</v>
      </c>
      <c r="T1936" t="s">
        <v>8382</v>
      </c>
    </row>
    <row r="1937" spans="1:20" customFormat="1" ht="15" x14ac:dyDescent="0.25">
      <c r="A1937" t="s">
        <v>24</v>
      </c>
      <c r="B1937" t="s">
        <v>2360</v>
      </c>
      <c r="C1937" t="str">
        <f>"A0188609"</f>
        <v>A0188609</v>
      </c>
      <c r="D1937" t="s">
        <v>8383</v>
      </c>
      <c r="E1937" t="s">
        <v>8384</v>
      </c>
      <c r="F1937" t="s">
        <v>2026</v>
      </c>
      <c r="G1937" t="s">
        <v>52</v>
      </c>
      <c r="H1937">
        <v>77801</v>
      </c>
      <c r="I1937" t="s">
        <v>30</v>
      </c>
      <c r="J1937" t="s">
        <v>2415</v>
      </c>
      <c r="K1937" t="s">
        <v>8385</v>
      </c>
      <c r="N1937" t="s">
        <v>8386</v>
      </c>
      <c r="Q1937">
        <v>0</v>
      </c>
      <c r="R1937">
        <v>0</v>
      </c>
      <c r="S1937">
        <v>0</v>
      </c>
      <c r="T1937" t="s">
        <v>8387</v>
      </c>
    </row>
    <row r="1938" spans="1:20" customFormat="1" ht="15" x14ac:dyDescent="0.25">
      <c r="A1938" t="s">
        <v>24</v>
      </c>
      <c r="B1938" t="s">
        <v>193</v>
      </c>
      <c r="C1938" t="str">
        <f>"A0059425"</f>
        <v>A0059425</v>
      </c>
      <c r="D1938" t="s">
        <v>35809</v>
      </c>
      <c r="E1938" t="s">
        <v>35810</v>
      </c>
      <c r="F1938" t="s">
        <v>2120</v>
      </c>
      <c r="G1938" t="s">
        <v>52</v>
      </c>
      <c r="H1938">
        <v>79401</v>
      </c>
      <c r="I1938" t="s">
        <v>30</v>
      </c>
      <c r="J1938" t="s">
        <v>162</v>
      </c>
      <c r="K1938" t="s">
        <v>759</v>
      </c>
      <c r="N1938" t="s">
        <v>35811</v>
      </c>
      <c r="Q1938">
        <v>0</v>
      </c>
      <c r="R1938">
        <v>140</v>
      </c>
      <c r="S1938">
        <v>0</v>
      </c>
      <c r="T1938" t="s">
        <v>35812</v>
      </c>
    </row>
    <row r="1939" spans="1:20" customFormat="1" ht="15" x14ac:dyDescent="0.25">
      <c r="A1939" t="s">
        <v>24</v>
      </c>
      <c r="B1939" t="s">
        <v>2435</v>
      </c>
      <c r="C1939" t="str">
        <f>"A0095588"</f>
        <v>A0095588</v>
      </c>
      <c r="D1939" t="s">
        <v>8392</v>
      </c>
      <c r="E1939" t="s">
        <v>8393</v>
      </c>
      <c r="F1939" t="s">
        <v>1153</v>
      </c>
      <c r="G1939" t="s">
        <v>528</v>
      </c>
      <c r="H1939">
        <v>19713</v>
      </c>
      <c r="I1939" t="s">
        <v>30</v>
      </c>
      <c r="J1939" t="s">
        <v>31</v>
      </c>
      <c r="K1939" t="s">
        <v>198</v>
      </c>
      <c r="N1939" t="s">
        <v>8394</v>
      </c>
      <c r="O1939" t="s">
        <v>8395</v>
      </c>
      <c r="Q1939">
        <v>0</v>
      </c>
      <c r="R1939">
        <v>136</v>
      </c>
      <c r="S1939">
        <v>0</v>
      </c>
      <c r="T1939" t="s">
        <v>8396</v>
      </c>
    </row>
    <row r="1940" spans="1:20" customFormat="1" ht="15" hidden="1" x14ac:dyDescent="0.25">
      <c r="A1940" t="s">
        <v>24</v>
      </c>
      <c r="B1940" t="s">
        <v>8397</v>
      </c>
      <c r="C1940" t="str">
        <f>"A0158325"</f>
        <v>A0158325</v>
      </c>
      <c r="D1940" t="s">
        <v>8398</v>
      </c>
      <c r="E1940" t="s">
        <v>8399</v>
      </c>
      <c r="F1940" t="s">
        <v>8400</v>
      </c>
      <c r="G1940" t="s">
        <v>5439</v>
      </c>
      <c r="H1940" t="s">
        <v>8401</v>
      </c>
      <c r="I1940" t="s">
        <v>1459</v>
      </c>
      <c r="J1940" t="s">
        <v>31</v>
      </c>
      <c r="K1940" t="s">
        <v>296</v>
      </c>
      <c r="N1940" t="s">
        <v>8402</v>
      </c>
      <c r="O1940" t="s">
        <v>8403</v>
      </c>
      <c r="Q1940">
        <v>0</v>
      </c>
      <c r="R1940">
        <v>71</v>
      </c>
      <c r="S1940">
        <v>0</v>
      </c>
      <c r="T1940" t="s">
        <v>8404</v>
      </c>
    </row>
    <row r="1941" spans="1:20" customFormat="1" ht="15" x14ac:dyDescent="0.25">
      <c r="A1941" t="s">
        <v>24</v>
      </c>
      <c r="B1941" t="s">
        <v>33675</v>
      </c>
      <c r="C1941" t="str">
        <f>"A0155387"</f>
        <v>A0155387</v>
      </c>
      <c r="D1941" t="s">
        <v>35838</v>
      </c>
      <c r="E1941" t="s">
        <v>35839</v>
      </c>
      <c r="F1941" t="s">
        <v>33663</v>
      </c>
      <c r="G1941" t="s">
        <v>110</v>
      </c>
      <c r="H1941">
        <v>90028</v>
      </c>
      <c r="I1941" t="s">
        <v>30</v>
      </c>
      <c r="J1941" t="s">
        <v>162</v>
      </c>
      <c r="K1941" t="s">
        <v>7012</v>
      </c>
      <c r="N1941" t="s">
        <v>35840</v>
      </c>
      <c r="Q1941">
        <v>0</v>
      </c>
      <c r="R1941">
        <v>190</v>
      </c>
      <c r="S1941">
        <v>0</v>
      </c>
      <c r="T1941" t="s">
        <v>35841</v>
      </c>
    </row>
    <row r="1942" spans="1:20" customFormat="1" ht="15" x14ac:dyDescent="0.25">
      <c r="A1942" t="s">
        <v>24</v>
      </c>
      <c r="B1942" t="s">
        <v>193</v>
      </c>
      <c r="C1942" t="str">
        <f>"SC033"</f>
        <v>SC033</v>
      </c>
      <c r="D1942" t="s">
        <v>35858</v>
      </c>
      <c r="E1942" t="s">
        <v>35859</v>
      </c>
      <c r="F1942" t="s">
        <v>35860</v>
      </c>
      <c r="G1942" t="s">
        <v>615</v>
      </c>
      <c r="H1942">
        <v>6901</v>
      </c>
      <c r="I1942" t="s">
        <v>30</v>
      </c>
      <c r="J1942" t="s">
        <v>162</v>
      </c>
      <c r="K1942" t="s">
        <v>163</v>
      </c>
      <c r="N1942" t="s">
        <v>35861</v>
      </c>
      <c r="O1942" t="s">
        <v>35862</v>
      </c>
      <c r="Q1942">
        <v>0</v>
      </c>
      <c r="R1942">
        <v>379</v>
      </c>
      <c r="S1942">
        <v>0</v>
      </c>
      <c r="T1942" t="s">
        <v>35863</v>
      </c>
    </row>
    <row r="1943" spans="1:20" customFormat="1" ht="15" x14ac:dyDescent="0.25">
      <c r="A1943" t="s">
        <v>35</v>
      </c>
      <c r="B1943" t="s">
        <v>8342</v>
      </c>
      <c r="C1943" t="str">
        <f>"A0189878"</f>
        <v>A0189878</v>
      </c>
      <c r="D1943" t="s">
        <v>8415</v>
      </c>
      <c r="E1943" t="s">
        <v>8416</v>
      </c>
      <c r="F1943" t="s">
        <v>8417</v>
      </c>
      <c r="G1943" t="s">
        <v>846</v>
      </c>
      <c r="H1943">
        <v>31087</v>
      </c>
      <c r="I1943" t="s">
        <v>30</v>
      </c>
      <c r="J1943" t="s">
        <v>41</v>
      </c>
      <c r="K1943" t="s">
        <v>229</v>
      </c>
      <c r="Q1943">
        <v>0</v>
      </c>
      <c r="R1943">
        <v>0</v>
      </c>
      <c r="S1943">
        <v>0</v>
      </c>
      <c r="T1943" t="s">
        <v>8418</v>
      </c>
    </row>
    <row r="1944" spans="1:20" customFormat="1" ht="15" x14ac:dyDescent="0.25">
      <c r="A1944" t="s">
        <v>35</v>
      </c>
      <c r="B1944" t="s">
        <v>8342</v>
      </c>
      <c r="C1944" t="str">
        <f>"A0189877"</f>
        <v>A0189877</v>
      </c>
      <c r="D1944" t="s">
        <v>8419</v>
      </c>
      <c r="E1944" t="s">
        <v>8420</v>
      </c>
      <c r="F1944" t="s">
        <v>2756</v>
      </c>
      <c r="G1944" t="s">
        <v>846</v>
      </c>
      <c r="H1944">
        <v>30828</v>
      </c>
      <c r="I1944" t="s">
        <v>30</v>
      </c>
      <c r="J1944" t="s">
        <v>41</v>
      </c>
      <c r="K1944" t="s">
        <v>229</v>
      </c>
      <c r="Q1944">
        <v>0</v>
      </c>
      <c r="R1944">
        <v>0</v>
      </c>
      <c r="S1944">
        <v>0</v>
      </c>
      <c r="T1944" t="s">
        <v>8421</v>
      </c>
    </row>
    <row r="1945" spans="1:20" customFormat="1" ht="15" x14ac:dyDescent="0.25">
      <c r="A1945" t="s">
        <v>35</v>
      </c>
      <c r="B1945" t="s">
        <v>1901</v>
      </c>
      <c r="C1945" t="str">
        <f>"A0189876"</f>
        <v>A0189876</v>
      </c>
      <c r="D1945" t="s">
        <v>8422</v>
      </c>
      <c r="E1945" t="s">
        <v>8423</v>
      </c>
      <c r="F1945" t="s">
        <v>8424</v>
      </c>
      <c r="G1945" t="s">
        <v>880</v>
      </c>
      <c r="H1945">
        <v>37841</v>
      </c>
      <c r="I1945" t="s">
        <v>30</v>
      </c>
      <c r="J1945" t="s">
        <v>41</v>
      </c>
      <c r="K1945" t="s">
        <v>229</v>
      </c>
      <c r="Q1945">
        <v>0</v>
      </c>
      <c r="R1945">
        <v>0</v>
      </c>
      <c r="S1945">
        <v>56</v>
      </c>
      <c r="T1945" t="s">
        <v>8425</v>
      </c>
    </row>
    <row r="1946" spans="1:20" customFormat="1" ht="15" x14ac:dyDescent="0.25">
      <c r="A1946" t="s">
        <v>35</v>
      </c>
      <c r="B1946" t="s">
        <v>1901</v>
      </c>
      <c r="C1946" t="str">
        <f>"A0189875"</f>
        <v>A0189875</v>
      </c>
      <c r="D1946" t="s">
        <v>8426</v>
      </c>
      <c r="E1946" t="s">
        <v>8427</v>
      </c>
      <c r="F1946" t="s">
        <v>8428</v>
      </c>
      <c r="G1946" t="s">
        <v>71</v>
      </c>
      <c r="H1946">
        <v>53575</v>
      </c>
      <c r="I1946" t="s">
        <v>30</v>
      </c>
      <c r="J1946" t="s">
        <v>41</v>
      </c>
      <c r="K1946" t="s">
        <v>229</v>
      </c>
      <c r="Q1946">
        <v>0</v>
      </c>
      <c r="R1946">
        <v>0</v>
      </c>
      <c r="S1946">
        <v>0</v>
      </c>
      <c r="T1946" t="s">
        <v>72</v>
      </c>
    </row>
    <row r="1947" spans="1:20" customFormat="1" ht="15" x14ac:dyDescent="0.25">
      <c r="A1947" t="s">
        <v>35</v>
      </c>
      <c r="B1947" t="s">
        <v>1901</v>
      </c>
      <c r="C1947" t="str">
        <f>"A0189874"</f>
        <v>A0189874</v>
      </c>
      <c r="D1947" t="s">
        <v>8429</v>
      </c>
      <c r="E1947" t="s">
        <v>8430</v>
      </c>
      <c r="F1947" t="s">
        <v>1904</v>
      </c>
      <c r="G1947" t="s">
        <v>880</v>
      </c>
      <c r="H1947">
        <v>37404</v>
      </c>
      <c r="I1947" t="s">
        <v>30</v>
      </c>
      <c r="J1947" t="s">
        <v>41</v>
      </c>
      <c r="K1947" t="s">
        <v>290</v>
      </c>
      <c r="Q1947">
        <v>0</v>
      </c>
      <c r="R1947">
        <v>0</v>
      </c>
      <c r="S1947">
        <v>0</v>
      </c>
      <c r="T1947" t="s">
        <v>72</v>
      </c>
    </row>
    <row r="1948" spans="1:20" customFormat="1" ht="15" x14ac:dyDescent="0.25">
      <c r="A1948" t="s">
        <v>35</v>
      </c>
      <c r="B1948" t="s">
        <v>4109</v>
      </c>
      <c r="C1948" t="str">
        <f>"A0189873"</f>
        <v>A0189873</v>
      </c>
      <c r="D1948" t="s">
        <v>4113</v>
      </c>
      <c r="E1948" t="s">
        <v>8431</v>
      </c>
      <c r="F1948" t="s">
        <v>8432</v>
      </c>
      <c r="G1948" t="s">
        <v>81</v>
      </c>
      <c r="H1948">
        <v>33525</v>
      </c>
      <c r="I1948" t="s">
        <v>30</v>
      </c>
      <c r="J1948" t="s">
        <v>41</v>
      </c>
      <c r="K1948" t="s">
        <v>418</v>
      </c>
      <c r="Q1948">
        <v>0</v>
      </c>
      <c r="R1948">
        <v>0</v>
      </c>
      <c r="S1948">
        <v>24</v>
      </c>
      <c r="T1948" t="s">
        <v>72</v>
      </c>
    </row>
    <row r="1949" spans="1:20" customFormat="1" ht="15" x14ac:dyDescent="0.25">
      <c r="A1949" t="s">
        <v>35</v>
      </c>
      <c r="B1949" t="s">
        <v>1432</v>
      </c>
      <c r="C1949" t="str">
        <f>"A0189872"</f>
        <v>A0189872</v>
      </c>
      <c r="D1949" t="s">
        <v>8433</v>
      </c>
      <c r="E1949" t="s">
        <v>8434</v>
      </c>
      <c r="F1949" t="s">
        <v>8435</v>
      </c>
      <c r="G1949" t="s">
        <v>76</v>
      </c>
      <c r="H1949">
        <v>98040</v>
      </c>
      <c r="I1949" t="s">
        <v>30</v>
      </c>
      <c r="J1949" t="s">
        <v>41</v>
      </c>
      <c r="K1949" t="s">
        <v>59</v>
      </c>
      <c r="Q1949">
        <v>0</v>
      </c>
      <c r="R1949">
        <v>0</v>
      </c>
      <c r="S1949">
        <v>0</v>
      </c>
      <c r="T1949" t="s">
        <v>72</v>
      </c>
    </row>
    <row r="1950" spans="1:20" customFormat="1" ht="15" x14ac:dyDescent="0.25">
      <c r="A1950" t="s">
        <v>35</v>
      </c>
      <c r="B1950" t="s">
        <v>1432</v>
      </c>
      <c r="C1950" t="str">
        <f>"A0189871"</f>
        <v>A0189871</v>
      </c>
      <c r="D1950" t="s">
        <v>8436</v>
      </c>
      <c r="E1950" t="s">
        <v>8437</v>
      </c>
      <c r="F1950" t="s">
        <v>8435</v>
      </c>
      <c r="G1950" t="s">
        <v>76</v>
      </c>
      <c r="H1950">
        <v>98040</v>
      </c>
      <c r="I1950" t="s">
        <v>30</v>
      </c>
      <c r="J1950" t="s">
        <v>41</v>
      </c>
      <c r="K1950" t="s">
        <v>229</v>
      </c>
      <c r="Q1950">
        <v>0</v>
      </c>
      <c r="R1950">
        <v>0</v>
      </c>
      <c r="S1950">
        <v>0</v>
      </c>
      <c r="T1950" t="s">
        <v>72</v>
      </c>
    </row>
    <row r="1951" spans="1:20" customFormat="1" ht="15" x14ac:dyDescent="0.25">
      <c r="A1951" t="s">
        <v>35</v>
      </c>
      <c r="B1951" t="s">
        <v>1432</v>
      </c>
      <c r="C1951" t="str">
        <f>"A0189870"</f>
        <v>A0189870</v>
      </c>
      <c r="D1951" t="s">
        <v>8438</v>
      </c>
      <c r="E1951" t="s">
        <v>8439</v>
      </c>
      <c r="F1951" t="s">
        <v>8440</v>
      </c>
      <c r="G1951" t="s">
        <v>289</v>
      </c>
      <c r="H1951">
        <v>60062</v>
      </c>
      <c r="I1951" t="s">
        <v>30</v>
      </c>
      <c r="J1951" t="s">
        <v>41</v>
      </c>
      <c r="K1951" t="s">
        <v>59</v>
      </c>
      <c r="Q1951">
        <v>0</v>
      </c>
      <c r="R1951">
        <v>0</v>
      </c>
      <c r="S1951">
        <v>0</v>
      </c>
      <c r="T1951" t="s">
        <v>72</v>
      </c>
    </row>
    <row r="1952" spans="1:20" customFormat="1" ht="15" x14ac:dyDescent="0.25">
      <c r="A1952" t="s">
        <v>35</v>
      </c>
      <c r="B1952" t="s">
        <v>1432</v>
      </c>
      <c r="C1952" t="str">
        <f>"A0189869"</f>
        <v>A0189869</v>
      </c>
      <c r="D1952" t="s">
        <v>8441</v>
      </c>
      <c r="E1952" t="s">
        <v>8442</v>
      </c>
      <c r="F1952" t="s">
        <v>8440</v>
      </c>
      <c r="G1952" t="s">
        <v>289</v>
      </c>
      <c r="H1952">
        <v>60062</v>
      </c>
      <c r="I1952" t="s">
        <v>30</v>
      </c>
      <c r="J1952" t="s">
        <v>41</v>
      </c>
      <c r="K1952" t="s">
        <v>229</v>
      </c>
      <c r="Q1952">
        <v>0</v>
      </c>
      <c r="R1952">
        <v>0</v>
      </c>
      <c r="S1952">
        <v>0</v>
      </c>
      <c r="T1952" t="s">
        <v>72</v>
      </c>
    </row>
    <row r="1953" spans="1:20" customFormat="1" ht="15" x14ac:dyDescent="0.25">
      <c r="A1953" t="s">
        <v>35</v>
      </c>
      <c r="B1953" t="s">
        <v>1432</v>
      </c>
      <c r="C1953" t="str">
        <f>"A0189868"</f>
        <v>A0189868</v>
      </c>
      <c r="D1953" t="s">
        <v>8443</v>
      </c>
      <c r="E1953" t="s">
        <v>8444</v>
      </c>
      <c r="F1953" t="s">
        <v>5309</v>
      </c>
      <c r="G1953" t="s">
        <v>289</v>
      </c>
      <c r="H1953">
        <v>60188</v>
      </c>
      <c r="I1953" t="s">
        <v>30</v>
      </c>
      <c r="J1953" t="s">
        <v>41</v>
      </c>
      <c r="K1953" t="s">
        <v>648</v>
      </c>
      <c r="Q1953">
        <v>0</v>
      </c>
      <c r="R1953">
        <v>0</v>
      </c>
      <c r="S1953">
        <v>0</v>
      </c>
      <c r="T1953" t="s">
        <v>72</v>
      </c>
    </row>
    <row r="1954" spans="1:20" customFormat="1" ht="15" x14ac:dyDescent="0.25">
      <c r="A1954" t="s">
        <v>35</v>
      </c>
      <c r="B1954" t="s">
        <v>1432</v>
      </c>
      <c r="C1954" t="str">
        <f>"A0189867"</f>
        <v>A0189867</v>
      </c>
      <c r="D1954" t="s">
        <v>8445</v>
      </c>
      <c r="E1954" t="s">
        <v>8446</v>
      </c>
      <c r="F1954" t="s">
        <v>8447</v>
      </c>
      <c r="G1954" t="s">
        <v>81</v>
      </c>
      <c r="H1954">
        <v>33324</v>
      </c>
      <c r="I1954" t="s">
        <v>30</v>
      </c>
      <c r="J1954" t="s">
        <v>41</v>
      </c>
      <c r="K1954" t="s">
        <v>59</v>
      </c>
      <c r="Q1954">
        <v>0</v>
      </c>
      <c r="R1954">
        <v>0</v>
      </c>
      <c r="S1954">
        <v>0</v>
      </c>
      <c r="T1954" t="s">
        <v>72</v>
      </c>
    </row>
    <row r="1955" spans="1:20" customFormat="1" ht="15" x14ac:dyDescent="0.25">
      <c r="A1955" t="s">
        <v>35</v>
      </c>
      <c r="B1955" t="s">
        <v>1432</v>
      </c>
      <c r="C1955" t="str">
        <f>"A0189866"</f>
        <v>A0189866</v>
      </c>
      <c r="D1955" t="s">
        <v>8448</v>
      </c>
      <c r="E1955" t="s">
        <v>8449</v>
      </c>
      <c r="F1955" t="s">
        <v>8450</v>
      </c>
      <c r="G1955" t="s">
        <v>615</v>
      </c>
      <c r="H1955">
        <v>6416</v>
      </c>
      <c r="I1955" t="s">
        <v>30</v>
      </c>
      <c r="J1955" t="s">
        <v>41</v>
      </c>
      <c r="K1955" t="s">
        <v>59</v>
      </c>
      <c r="Q1955">
        <v>0</v>
      </c>
      <c r="R1955">
        <v>0</v>
      </c>
      <c r="S1955">
        <v>0</v>
      </c>
      <c r="T1955" t="s">
        <v>72</v>
      </c>
    </row>
    <row r="1956" spans="1:20" customFormat="1" ht="15" x14ac:dyDescent="0.25">
      <c r="A1956" t="s">
        <v>35</v>
      </c>
      <c r="B1956" t="s">
        <v>1432</v>
      </c>
      <c r="C1956" t="str">
        <f>"A0189865"</f>
        <v>A0189865</v>
      </c>
      <c r="D1956" t="s">
        <v>8451</v>
      </c>
      <c r="E1956" t="s">
        <v>8452</v>
      </c>
      <c r="F1956" t="s">
        <v>8453</v>
      </c>
      <c r="G1956" t="s">
        <v>190</v>
      </c>
      <c r="H1956">
        <v>80021</v>
      </c>
      <c r="I1956" t="s">
        <v>30</v>
      </c>
      <c r="J1956" t="s">
        <v>41</v>
      </c>
      <c r="K1956" t="s">
        <v>418</v>
      </c>
      <c r="Q1956">
        <v>0</v>
      </c>
      <c r="R1956">
        <v>0</v>
      </c>
      <c r="S1956">
        <v>0</v>
      </c>
      <c r="T1956" t="s">
        <v>72</v>
      </c>
    </row>
    <row r="1957" spans="1:20" customFormat="1" ht="15" hidden="1" x14ac:dyDescent="0.25">
      <c r="A1957" t="s">
        <v>24</v>
      </c>
      <c r="B1957" t="s">
        <v>193</v>
      </c>
      <c r="C1957" t="str">
        <f>"A0068767"</f>
        <v>A0068767</v>
      </c>
      <c r="D1957" t="s">
        <v>8454</v>
      </c>
      <c r="E1957" t="s">
        <v>8455</v>
      </c>
      <c r="F1957" t="s">
        <v>8456</v>
      </c>
      <c r="G1957" t="s">
        <v>1457</v>
      </c>
      <c r="H1957" t="s">
        <v>8457</v>
      </c>
      <c r="I1957" t="s">
        <v>1459</v>
      </c>
      <c r="J1957" t="s">
        <v>162</v>
      </c>
      <c r="K1957" t="s">
        <v>854</v>
      </c>
      <c r="N1957" t="s">
        <v>8458</v>
      </c>
      <c r="Q1957">
        <v>0</v>
      </c>
      <c r="R1957">
        <v>152</v>
      </c>
      <c r="S1957">
        <v>0</v>
      </c>
      <c r="T1957" t="s">
        <v>8459</v>
      </c>
    </row>
    <row r="1958" spans="1:20" customFormat="1" ht="15" x14ac:dyDescent="0.25">
      <c r="A1958" t="s">
        <v>24</v>
      </c>
      <c r="B1958" t="s">
        <v>1268</v>
      </c>
      <c r="C1958" t="str">
        <f>"A0189815"</f>
        <v>A0189815</v>
      </c>
      <c r="D1958" t="s">
        <v>8460</v>
      </c>
      <c r="E1958" t="s">
        <v>8461</v>
      </c>
      <c r="F1958" t="s">
        <v>8462</v>
      </c>
      <c r="G1958" t="s">
        <v>1508</v>
      </c>
      <c r="H1958">
        <v>82001</v>
      </c>
      <c r="I1958" t="s">
        <v>30</v>
      </c>
      <c r="J1958" t="s">
        <v>145</v>
      </c>
      <c r="K1958" t="s">
        <v>4462</v>
      </c>
      <c r="N1958" t="s">
        <v>8463</v>
      </c>
      <c r="O1958" t="s">
        <v>8464</v>
      </c>
      <c r="Q1958">
        <v>0</v>
      </c>
      <c r="R1958">
        <v>64</v>
      </c>
      <c r="S1958">
        <v>0</v>
      </c>
      <c r="T1958" t="s">
        <v>8465</v>
      </c>
    </row>
    <row r="1959" spans="1:20" customFormat="1" ht="15" x14ac:dyDescent="0.25">
      <c r="A1959" t="s">
        <v>24</v>
      </c>
      <c r="B1959" t="s">
        <v>140</v>
      </c>
      <c r="C1959" t="str">
        <f>"A0057298"</f>
        <v>A0057298</v>
      </c>
      <c r="D1959" t="s">
        <v>35882</v>
      </c>
      <c r="E1959" t="s">
        <v>35883</v>
      </c>
      <c r="F1959" t="s">
        <v>10779</v>
      </c>
      <c r="G1959" t="s">
        <v>52</v>
      </c>
      <c r="H1959">
        <v>75081</v>
      </c>
      <c r="I1959" t="s">
        <v>30</v>
      </c>
      <c r="J1959" t="s">
        <v>162</v>
      </c>
      <c r="K1959" t="s">
        <v>7598</v>
      </c>
      <c r="N1959" t="s">
        <v>35884</v>
      </c>
      <c r="Q1959">
        <v>0</v>
      </c>
      <c r="R1959">
        <v>342</v>
      </c>
      <c r="S1959">
        <v>0</v>
      </c>
      <c r="T1959" t="s">
        <v>35885</v>
      </c>
    </row>
    <row r="1960" spans="1:20" customFormat="1" ht="15" x14ac:dyDescent="0.25">
      <c r="A1960" t="s">
        <v>24</v>
      </c>
      <c r="B1960" t="s">
        <v>1268</v>
      </c>
      <c r="C1960" t="str">
        <f>"A0189816"</f>
        <v>A0189816</v>
      </c>
      <c r="D1960" t="s">
        <v>8473</v>
      </c>
      <c r="E1960" t="s">
        <v>8474</v>
      </c>
      <c r="F1960" t="s">
        <v>8475</v>
      </c>
      <c r="G1960" t="s">
        <v>1184</v>
      </c>
      <c r="H1960">
        <v>59808</v>
      </c>
      <c r="I1960" t="s">
        <v>30</v>
      </c>
      <c r="J1960" t="s">
        <v>145</v>
      </c>
      <c r="K1960" t="s">
        <v>4462</v>
      </c>
      <c r="N1960" t="s">
        <v>8476</v>
      </c>
      <c r="Q1960">
        <v>0</v>
      </c>
      <c r="R1960">
        <v>64</v>
      </c>
      <c r="S1960">
        <v>0</v>
      </c>
      <c r="T1960" t="s">
        <v>8477</v>
      </c>
    </row>
    <row r="1961" spans="1:20" customFormat="1" ht="15" x14ac:dyDescent="0.25">
      <c r="A1961" t="s">
        <v>24</v>
      </c>
      <c r="B1961" t="s">
        <v>1268</v>
      </c>
      <c r="C1961" t="str">
        <f>"A0189814"</f>
        <v>A0189814</v>
      </c>
      <c r="D1961" t="s">
        <v>8478</v>
      </c>
      <c r="E1961" t="s">
        <v>8479</v>
      </c>
      <c r="F1961" t="s">
        <v>8480</v>
      </c>
      <c r="G1961" t="s">
        <v>221</v>
      </c>
      <c r="H1961">
        <v>89706</v>
      </c>
      <c r="I1961" t="s">
        <v>30</v>
      </c>
      <c r="J1961" t="s">
        <v>145</v>
      </c>
      <c r="K1961" t="s">
        <v>4462</v>
      </c>
      <c r="N1961" t="s">
        <v>8481</v>
      </c>
      <c r="Q1961">
        <v>0</v>
      </c>
      <c r="R1961">
        <v>64</v>
      </c>
      <c r="S1961">
        <v>0</v>
      </c>
      <c r="T1961" t="s">
        <v>8482</v>
      </c>
    </row>
    <row r="1962" spans="1:20" customFormat="1" ht="15" x14ac:dyDescent="0.25">
      <c r="A1962" t="s">
        <v>24</v>
      </c>
      <c r="B1962" t="s">
        <v>1268</v>
      </c>
      <c r="C1962" t="str">
        <f>"A0189813"</f>
        <v>A0189813</v>
      </c>
      <c r="D1962" t="s">
        <v>8483</v>
      </c>
      <c r="E1962" t="s">
        <v>8484</v>
      </c>
      <c r="F1962" t="s">
        <v>8485</v>
      </c>
      <c r="G1962" t="s">
        <v>190</v>
      </c>
      <c r="H1962">
        <v>80138</v>
      </c>
      <c r="I1962" t="s">
        <v>30</v>
      </c>
      <c r="J1962" t="s">
        <v>31</v>
      </c>
      <c r="K1962" t="s">
        <v>198</v>
      </c>
      <c r="N1962" t="s">
        <v>8486</v>
      </c>
      <c r="O1962" t="s">
        <v>8487</v>
      </c>
      <c r="Q1962">
        <v>0</v>
      </c>
      <c r="R1962">
        <v>84</v>
      </c>
      <c r="S1962">
        <v>0</v>
      </c>
      <c r="T1962" t="s">
        <v>8488</v>
      </c>
    </row>
    <row r="1963" spans="1:20" customFormat="1" ht="15" x14ac:dyDescent="0.25">
      <c r="A1963" t="s">
        <v>24</v>
      </c>
      <c r="B1963" t="s">
        <v>1268</v>
      </c>
      <c r="C1963" t="str">
        <f>"A0189812"</f>
        <v>A0189812</v>
      </c>
      <c r="D1963" t="s">
        <v>8489</v>
      </c>
      <c r="E1963" t="s">
        <v>8490</v>
      </c>
      <c r="F1963" t="s">
        <v>8491</v>
      </c>
      <c r="G1963" t="s">
        <v>289</v>
      </c>
      <c r="H1963">
        <v>61036</v>
      </c>
      <c r="I1963" t="s">
        <v>30</v>
      </c>
      <c r="J1963" t="s">
        <v>31</v>
      </c>
      <c r="K1963" t="s">
        <v>163</v>
      </c>
      <c r="N1963" t="s">
        <v>8492</v>
      </c>
      <c r="Q1963">
        <v>0</v>
      </c>
      <c r="R1963">
        <v>75</v>
      </c>
      <c r="S1963">
        <v>0</v>
      </c>
      <c r="T1963" t="s">
        <v>8493</v>
      </c>
    </row>
    <row r="1964" spans="1:20" customFormat="1" ht="15" x14ac:dyDescent="0.25">
      <c r="A1964" t="s">
        <v>24</v>
      </c>
      <c r="B1964" t="s">
        <v>1268</v>
      </c>
      <c r="C1964" t="str">
        <f>"A0189811"</f>
        <v>A0189811</v>
      </c>
      <c r="D1964" t="s">
        <v>8494</v>
      </c>
      <c r="E1964" t="s">
        <v>8495</v>
      </c>
      <c r="F1964" t="s">
        <v>8496</v>
      </c>
      <c r="G1964" t="s">
        <v>1587</v>
      </c>
      <c r="H1964">
        <v>87544</v>
      </c>
      <c r="I1964" t="s">
        <v>30</v>
      </c>
      <c r="J1964" t="s">
        <v>31</v>
      </c>
      <c r="K1964" t="s">
        <v>282</v>
      </c>
      <c r="N1964" t="s">
        <v>8497</v>
      </c>
      <c r="Q1964">
        <v>0</v>
      </c>
      <c r="R1964">
        <v>86</v>
      </c>
      <c r="S1964">
        <v>0</v>
      </c>
      <c r="T1964" t="s">
        <v>8498</v>
      </c>
    </row>
    <row r="1965" spans="1:20" customFormat="1" ht="15" x14ac:dyDescent="0.25">
      <c r="A1965" t="s">
        <v>24</v>
      </c>
      <c r="B1965" t="s">
        <v>33369</v>
      </c>
      <c r="C1965" t="str">
        <f>"A0086721"</f>
        <v>A0086721</v>
      </c>
      <c r="D1965" t="s">
        <v>35886</v>
      </c>
      <c r="E1965" t="s">
        <v>35887</v>
      </c>
      <c r="F1965" t="s">
        <v>35888</v>
      </c>
      <c r="G1965" t="s">
        <v>40</v>
      </c>
      <c r="H1965">
        <v>73459</v>
      </c>
      <c r="I1965" t="s">
        <v>30</v>
      </c>
      <c r="J1965" t="s">
        <v>162</v>
      </c>
      <c r="K1965" t="s">
        <v>163</v>
      </c>
      <c r="N1965" t="s">
        <v>35889</v>
      </c>
      <c r="O1965" t="s">
        <v>35890</v>
      </c>
      <c r="Q1965">
        <v>0</v>
      </c>
      <c r="R1965">
        <v>1400</v>
      </c>
      <c r="S1965">
        <v>0</v>
      </c>
      <c r="T1965" t="s">
        <v>35891</v>
      </c>
    </row>
    <row r="1966" spans="1:20" customFormat="1" ht="15" x14ac:dyDescent="0.25">
      <c r="A1966" t="s">
        <v>24</v>
      </c>
      <c r="B1966" t="s">
        <v>1268</v>
      </c>
      <c r="C1966" t="str">
        <f>"A0062291"</f>
        <v>A0062291</v>
      </c>
      <c r="D1966" t="s">
        <v>8503</v>
      </c>
      <c r="E1966" t="s">
        <v>8504</v>
      </c>
      <c r="F1966" t="s">
        <v>6888</v>
      </c>
      <c r="G1966" t="s">
        <v>381</v>
      </c>
      <c r="H1966">
        <v>47670</v>
      </c>
      <c r="I1966" t="s">
        <v>30</v>
      </c>
      <c r="J1966" t="s">
        <v>31</v>
      </c>
      <c r="K1966" t="s">
        <v>198</v>
      </c>
      <c r="N1966" t="s">
        <v>8505</v>
      </c>
      <c r="O1966" t="s">
        <v>8506</v>
      </c>
      <c r="Q1966">
        <v>0</v>
      </c>
      <c r="R1966">
        <v>101</v>
      </c>
      <c r="S1966">
        <v>0</v>
      </c>
      <c r="T1966" t="s">
        <v>8507</v>
      </c>
    </row>
    <row r="1967" spans="1:20" customFormat="1" ht="15" x14ac:dyDescent="0.25">
      <c r="A1967" t="s">
        <v>24</v>
      </c>
      <c r="B1967" t="s">
        <v>850</v>
      </c>
      <c r="C1967" t="str">
        <f>"A0100842"</f>
        <v>A0100842</v>
      </c>
      <c r="D1967" t="s">
        <v>40127</v>
      </c>
      <c r="E1967" t="s">
        <v>40128</v>
      </c>
      <c r="F1967" t="s">
        <v>40129</v>
      </c>
      <c r="G1967" t="s">
        <v>99</v>
      </c>
      <c r="H1967">
        <v>10901</v>
      </c>
      <c r="I1967" t="s">
        <v>30</v>
      </c>
      <c r="J1967" t="s">
        <v>162</v>
      </c>
      <c r="K1967" t="s">
        <v>4442</v>
      </c>
      <c r="N1967" t="s">
        <v>40130</v>
      </c>
      <c r="O1967" t="s">
        <v>40131</v>
      </c>
      <c r="Q1967">
        <v>0</v>
      </c>
      <c r="R1967">
        <v>230</v>
      </c>
      <c r="S1967">
        <v>0</v>
      </c>
      <c r="T1967" t="s">
        <v>40132</v>
      </c>
    </row>
    <row r="1968" spans="1:20" customFormat="1" ht="15" x14ac:dyDescent="0.25">
      <c r="A1968" t="s">
        <v>24</v>
      </c>
      <c r="B1968" t="s">
        <v>2011</v>
      </c>
      <c r="C1968" t="str">
        <f>"A0165222"</f>
        <v>A0165222</v>
      </c>
      <c r="D1968" t="s">
        <v>53249</v>
      </c>
      <c r="E1968" t="s">
        <v>53250</v>
      </c>
      <c r="F1968" t="s">
        <v>356</v>
      </c>
      <c r="G1968" t="s">
        <v>52</v>
      </c>
      <c r="H1968">
        <v>78205</v>
      </c>
      <c r="I1968" t="s">
        <v>30</v>
      </c>
      <c r="J1968" t="s">
        <v>162</v>
      </c>
      <c r="K1968" t="s">
        <v>7012</v>
      </c>
      <c r="N1968" t="s">
        <v>53251</v>
      </c>
      <c r="Q1968">
        <v>0</v>
      </c>
      <c r="R1968">
        <v>162</v>
      </c>
      <c r="S1968">
        <v>0</v>
      </c>
      <c r="T1968" t="s">
        <v>3073</v>
      </c>
    </row>
    <row r="1969" spans="1:20" customFormat="1" ht="15" x14ac:dyDescent="0.25">
      <c r="A1969" t="s">
        <v>24</v>
      </c>
      <c r="B1969" t="s">
        <v>1528</v>
      </c>
      <c r="C1969" t="str">
        <f>"A0189828"</f>
        <v>A0189828</v>
      </c>
      <c r="D1969" t="s">
        <v>8518</v>
      </c>
      <c r="E1969" t="s">
        <v>8519</v>
      </c>
      <c r="F1969" t="s">
        <v>8520</v>
      </c>
      <c r="G1969" t="s">
        <v>76</v>
      </c>
      <c r="H1969">
        <v>98022</v>
      </c>
      <c r="I1969" t="s">
        <v>30</v>
      </c>
      <c r="J1969" t="s">
        <v>31</v>
      </c>
      <c r="K1969" t="s">
        <v>163</v>
      </c>
      <c r="N1969" t="s">
        <v>8521</v>
      </c>
      <c r="Q1969">
        <v>0</v>
      </c>
      <c r="R1969">
        <v>28</v>
      </c>
      <c r="S1969">
        <v>0</v>
      </c>
      <c r="T1969" t="s">
        <v>8522</v>
      </c>
    </row>
    <row r="1970" spans="1:20" customFormat="1" ht="15" x14ac:dyDescent="0.25">
      <c r="A1970" t="s">
        <v>24</v>
      </c>
      <c r="B1970" t="s">
        <v>8523</v>
      </c>
      <c r="C1970" t="str">
        <f>"A0189819"</f>
        <v>A0189819</v>
      </c>
      <c r="D1970" t="s">
        <v>8524</v>
      </c>
      <c r="E1970" t="s">
        <v>8525</v>
      </c>
      <c r="F1970" t="s">
        <v>2094</v>
      </c>
      <c r="G1970" t="s">
        <v>52</v>
      </c>
      <c r="H1970">
        <v>75220</v>
      </c>
      <c r="I1970" t="s">
        <v>30</v>
      </c>
      <c r="J1970" t="s">
        <v>191</v>
      </c>
      <c r="K1970" t="s">
        <v>163</v>
      </c>
      <c r="N1970" t="s">
        <v>8526</v>
      </c>
      <c r="Q1970">
        <v>0</v>
      </c>
      <c r="R1970">
        <v>0</v>
      </c>
      <c r="S1970">
        <v>0</v>
      </c>
      <c r="T1970" t="s">
        <v>8527</v>
      </c>
    </row>
    <row r="1971" spans="1:20" customFormat="1" ht="15" x14ac:dyDescent="0.25">
      <c r="A1971" t="s">
        <v>24</v>
      </c>
      <c r="B1971" t="s">
        <v>8528</v>
      </c>
      <c r="C1971" t="str">
        <f>"A0093366"</f>
        <v>A0093366</v>
      </c>
      <c r="D1971" t="s">
        <v>8529</v>
      </c>
      <c r="E1971" t="s">
        <v>8530</v>
      </c>
      <c r="F1971" t="s">
        <v>8531</v>
      </c>
      <c r="G1971" t="s">
        <v>338</v>
      </c>
      <c r="H1971">
        <v>7008</v>
      </c>
      <c r="I1971" t="s">
        <v>30</v>
      </c>
      <c r="J1971" t="s">
        <v>1004</v>
      </c>
      <c r="K1971" t="s">
        <v>163</v>
      </c>
      <c r="N1971" t="s">
        <v>8532</v>
      </c>
      <c r="Q1971">
        <v>0</v>
      </c>
      <c r="R1971">
        <v>0</v>
      </c>
      <c r="S1971">
        <v>0</v>
      </c>
      <c r="T1971" t="s">
        <v>8533</v>
      </c>
    </row>
    <row r="1972" spans="1:20" customFormat="1" ht="15" x14ac:dyDescent="0.25">
      <c r="A1972" t="s">
        <v>24</v>
      </c>
      <c r="B1972" t="s">
        <v>2005</v>
      </c>
      <c r="C1972" t="str">
        <f>"A0189825"</f>
        <v>A0189825</v>
      </c>
      <c r="D1972" t="s">
        <v>8534</v>
      </c>
      <c r="E1972" t="s">
        <v>8535</v>
      </c>
      <c r="F1972" t="s">
        <v>8536</v>
      </c>
      <c r="G1972" t="s">
        <v>840</v>
      </c>
      <c r="H1972">
        <v>40004</v>
      </c>
      <c r="I1972" t="s">
        <v>30</v>
      </c>
      <c r="J1972" t="s">
        <v>31</v>
      </c>
      <c r="K1972" t="s">
        <v>321</v>
      </c>
      <c r="N1972" t="s">
        <v>8537</v>
      </c>
      <c r="O1972" t="s">
        <v>8538</v>
      </c>
      <c r="Q1972">
        <v>0</v>
      </c>
      <c r="R1972">
        <v>81</v>
      </c>
      <c r="S1972">
        <v>0</v>
      </c>
      <c r="T1972" t="s">
        <v>8539</v>
      </c>
    </row>
    <row r="1973" spans="1:20" customFormat="1" ht="15" x14ac:dyDescent="0.25">
      <c r="A1973" t="s">
        <v>24</v>
      </c>
      <c r="B1973" t="s">
        <v>140</v>
      </c>
      <c r="C1973" t="str">
        <f>"A0095254"</f>
        <v>A0095254</v>
      </c>
      <c r="D1973" t="s">
        <v>53256</v>
      </c>
      <c r="E1973" t="s">
        <v>53257</v>
      </c>
      <c r="F1973" t="s">
        <v>53258</v>
      </c>
      <c r="G1973" t="s">
        <v>899</v>
      </c>
      <c r="H1973">
        <v>1801</v>
      </c>
      <c r="I1973" t="s">
        <v>30</v>
      </c>
      <c r="J1973" t="s">
        <v>162</v>
      </c>
      <c r="K1973" t="s">
        <v>4809</v>
      </c>
      <c r="N1973" t="s">
        <v>53259</v>
      </c>
      <c r="O1973" t="s">
        <v>53260</v>
      </c>
      <c r="Q1973">
        <v>0</v>
      </c>
      <c r="R1973">
        <v>344</v>
      </c>
      <c r="S1973">
        <v>0</v>
      </c>
      <c r="T1973" t="s">
        <v>53261</v>
      </c>
    </row>
    <row r="1974" spans="1:20" customFormat="1" ht="15" x14ac:dyDescent="0.25">
      <c r="A1974" t="s">
        <v>24</v>
      </c>
      <c r="B1974" t="s">
        <v>8545</v>
      </c>
      <c r="C1974" t="str">
        <f>"A0052265"</f>
        <v>A0052265</v>
      </c>
      <c r="D1974" t="s">
        <v>8546</v>
      </c>
      <c r="E1974" t="s">
        <v>8547</v>
      </c>
      <c r="F1974" t="s">
        <v>8548</v>
      </c>
      <c r="G1974" t="s">
        <v>99</v>
      </c>
      <c r="H1974">
        <v>10504</v>
      </c>
      <c r="I1974" t="s">
        <v>30</v>
      </c>
      <c r="J1974" t="s">
        <v>178</v>
      </c>
      <c r="K1974" t="s">
        <v>179</v>
      </c>
      <c r="N1974" t="s">
        <v>8549</v>
      </c>
      <c r="O1974" t="s">
        <v>8550</v>
      </c>
      <c r="Q1974">
        <v>0</v>
      </c>
      <c r="R1974">
        <v>18</v>
      </c>
      <c r="S1974">
        <v>0</v>
      </c>
      <c r="T1974" t="s">
        <v>8551</v>
      </c>
    </row>
    <row r="1975" spans="1:20" customFormat="1" ht="15" x14ac:dyDescent="0.25">
      <c r="A1975" t="s">
        <v>24</v>
      </c>
      <c r="B1975" t="s">
        <v>8466</v>
      </c>
      <c r="C1975" t="str">
        <f>"A0188625"</f>
        <v>A0188625</v>
      </c>
      <c r="D1975" t="s">
        <v>8552</v>
      </c>
      <c r="E1975" t="s">
        <v>8553</v>
      </c>
      <c r="F1975" t="s">
        <v>242</v>
      </c>
      <c r="G1975" t="s">
        <v>214</v>
      </c>
      <c r="H1975">
        <v>28214</v>
      </c>
      <c r="I1975" t="s">
        <v>30</v>
      </c>
      <c r="J1975" t="s">
        <v>31</v>
      </c>
      <c r="K1975" t="s">
        <v>1243</v>
      </c>
      <c r="N1975" t="s">
        <v>8554</v>
      </c>
      <c r="Q1975">
        <v>0</v>
      </c>
      <c r="R1975">
        <v>80</v>
      </c>
      <c r="S1975">
        <v>0</v>
      </c>
      <c r="T1975" t="s">
        <v>8555</v>
      </c>
    </row>
    <row r="1976" spans="1:20" customFormat="1" ht="15" x14ac:dyDescent="0.25">
      <c r="A1976" t="s">
        <v>24</v>
      </c>
      <c r="B1976" t="s">
        <v>8466</v>
      </c>
      <c r="C1976" t="str">
        <f>"A0188624"</f>
        <v>A0188624</v>
      </c>
      <c r="D1976" t="s">
        <v>8556</v>
      </c>
      <c r="E1976" t="s">
        <v>8557</v>
      </c>
      <c r="F1976" t="s">
        <v>2390</v>
      </c>
      <c r="G1976" t="s">
        <v>214</v>
      </c>
      <c r="H1976">
        <v>27215</v>
      </c>
      <c r="I1976" t="s">
        <v>30</v>
      </c>
      <c r="J1976" t="s">
        <v>31</v>
      </c>
      <c r="K1976" t="s">
        <v>282</v>
      </c>
      <c r="N1976" t="s">
        <v>8558</v>
      </c>
      <c r="Q1976">
        <v>0</v>
      </c>
      <c r="R1976">
        <v>116</v>
      </c>
      <c r="S1976">
        <v>0</v>
      </c>
      <c r="T1976" t="s">
        <v>8559</v>
      </c>
    </row>
    <row r="1977" spans="1:20" customFormat="1" ht="15" x14ac:dyDescent="0.25">
      <c r="A1977" t="s">
        <v>24</v>
      </c>
      <c r="B1977" t="s">
        <v>8466</v>
      </c>
      <c r="C1977" t="str">
        <f>"A0089216"</f>
        <v>A0089216</v>
      </c>
      <c r="D1977" t="s">
        <v>8560</v>
      </c>
      <c r="E1977" t="s">
        <v>8561</v>
      </c>
      <c r="F1977" t="s">
        <v>8562</v>
      </c>
      <c r="G1977" t="s">
        <v>1706</v>
      </c>
      <c r="H1977">
        <v>36117</v>
      </c>
      <c r="I1977" t="s">
        <v>30</v>
      </c>
      <c r="J1977" t="s">
        <v>31</v>
      </c>
      <c r="K1977" t="s">
        <v>32</v>
      </c>
      <c r="N1977" t="s">
        <v>8563</v>
      </c>
      <c r="Q1977">
        <v>0</v>
      </c>
      <c r="R1977">
        <v>105</v>
      </c>
      <c r="S1977">
        <v>0</v>
      </c>
      <c r="T1977" t="s">
        <v>8564</v>
      </c>
    </row>
    <row r="1978" spans="1:20" customFormat="1" ht="15" x14ac:dyDescent="0.25">
      <c r="A1978" t="s">
        <v>24</v>
      </c>
      <c r="B1978" t="s">
        <v>2011</v>
      </c>
      <c r="C1978" t="str">
        <f>"A0096382"</f>
        <v>A0096382</v>
      </c>
      <c r="D1978" t="s">
        <v>53268</v>
      </c>
      <c r="E1978" t="s">
        <v>53269</v>
      </c>
      <c r="F1978" t="s">
        <v>7063</v>
      </c>
      <c r="G1978" t="s">
        <v>110</v>
      </c>
      <c r="H1978">
        <v>92262</v>
      </c>
      <c r="I1978" t="s">
        <v>30</v>
      </c>
      <c r="J1978" t="s">
        <v>162</v>
      </c>
      <c r="K1978" t="s">
        <v>53270</v>
      </c>
      <c r="Q1978">
        <v>0</v>
      </c>
      <c r="R1978">
        <v>173</v>
      </c>
      <c r="S1978">
        <v>0</v>
      </c>
      <c r="T1978" t="s">
        <v>53271</v>
      </c>
    </row>
    <row r="1979" spans="1:20" customFormat="1" ht="15" x14ac:dyDescent="0.25">
      <c r="A1979" t="s">
        <v>24</v>
      </c>
      <c r="B1979" t="s">
        <v>53326</v>
      </c>
      <c r="C1979" t="str">
        <f>"A0064795"</f>
        <v>A0064795</v>
      </c>
      <c r="D1979" t="s">
        <v>53327</v>
      </c>
      <c r="E1979" t="s">
        <v>53328</v>
      </c>
      <c r="F1979" t="s">
        <v>53329</v>
      </c>
      <c r="G1979" t="s">
        <v>289</v>
      </c>
      <c r="H1979">
        <v>60192</v>
      </c>
      <c r="I1979" t="s">
        <v>30</v>
      </c>
      <c r="J1979" t="s">
        <v>162</v>
      </c>
      <c r="K1979" t="s">
        <v>1490</v>
      </c>
      <c r="N1979" t="s">
        <v>53330</v>
      </c>
      <c r="O1979" t="s">
        <v>53331</v>
      </c>
      <c r="Q1979">
        <v>0</v>
      </c>
      <c r="R1979">
        <v>295</v>
      </c>
      <c r="S1979">
        <v>0</v>
      </c>
      <c r="T1979" t="s">
        <v>53332</v>
      </c>
    </row>
    <row r="1980" spans="1:20" customFormat="1" ht="15" x14ac:dyDescent="0.25">
      <c r="A1980" t="s">
        <v>24</v>
      </c>
      <c r="B1980" t="s">
        <v>2360</v>
      </c>
      <c r="C1980" t="str">
        <f>"A0189822"</f>
        <v>A0189822</v>
      </c>
      <c r="D1980" t="s">
        <v>8574</v>
      </c>
      <c r="E1980" t="s">
        <v>8575</v>
      </c>
      <c r="F1980" t="s">
        <v>8576</v>
      </c>
      <c r="G1980" t="s">
        <v>58</v>
      </c>
      <c r="H1980">
        <v>29927</v>
      </c>
      <c r="I1980" t="s">
        <v>30</v>
      </c>
      <c r="J1980" t="s">
        <v>178</v>
      </c>
      <c r="K1980" t="s">
        <v>2364</v>
      </c>
      <c r="N1980" t="s">
        <v>8577</v>
      </c>
      <c r="Q1980">
        <v>0</v>
      </c>
      <c r="R1980">
        <v>0</v>
      </c>
      <c r="S1980">
        <v>0</v>
      </c>
      <c r="T1980" t="s">
        <v>8578</v>
      </c>
    </row>
    <row r="1981" spans="1:20" customFormat="1" ht="15" x14ac:dyDescent="0.25">
      <c r="A1981" t="s">
        <v>24</v>
      </c>
      <c r="B1981" t="s">
        <v>53343</v>
      </c>
      <c r="C1981" t="str">
        <f>"A0167134"</f>
        <v>A0167134</v>
      </c>
      <c r="D1981" t="s">
        <v>53344</v>
      </c>
      <c r="E1981" t="s">
        <v>53345</v>
      </c>
      <c r="F1981" t="s">
        <v>53346</v>
      </c>
      <c r="G1981" t="s">
        <v>214</v>
      </c>
      <c r="H1981">
        <v>28731</v>
      </c>
      <c r="I1981" t="s">
        <v>30</v>
      </c>
      <c r="J1981" t="s">
        <v>162</v>
      </c>
      <c r="K1981" t="s">
        <v>163</v>
      </c>
      <c r="N1981" t="s">
        <v>53347</v>
      </c>
      <c r="O1981" t="s">
        <v>53348</v>
      </c>
      <c r="Q1981">
        <v>0</v>
      </c>
      <c r="R1981">
        <v>53</v>
      </c>
      <c r="S1981">
        <v>0</v>
      </c>
      <c r="T1981" t="s">
        <v>53349</v>
      </c>
    </row>
    <row r="1982" spans="1:20" customFormat="1" ht="15" x14ac:dyDescent="0.25">
      <c r="A1982" t="s">
        <v>24</v>
      </c>
      <c r="B1982" t="s">
        <v>649</v>
      </c>
      <c r="C1982" t="str">
        <f>"A0189818"</f>
        <v>A0189818</v>
      </c>
      <c r="D1982" t="s">
        <v>8585</v>
      </c>
      <c r="E1982" t="s">
        <v>8586</v>
      </c>
      <c r="F1982" t="s">
        <v>8587</v>
      </c>
      <c r="G1982" t="s">
        <v>846</v>
      </c>
      <c r="H1982">
        <v>30165</v>
      </c>
      <c r="I1982" t="s">
        <v>30</v>
      </c>
      <c r="J1982" t="s">
        <v>31</v>
      </c>
      <c r="K1982" t="s">
        <v>32</v>
      </c>
      <c r="N1982" t="s">
        <v>8588</v>
      </c>
      <c r="Q1982">
        <v>0</v>
      </c>
      <c r="R1982">
        <v>81</v>
      </c>
      <c r="S1982">
        <v>0</v>
      </c>
      <c r="T1982" t="s">
        <v>8589</v>
      </c>
    </row>
    <row r="1983" spans="1:20" customFormat="1" ht="15" x14ac:dyDescent="0.25">
      <c r="A1983" t="s">
        <v>24</v>
      </c>
      <c r="B1983" t="s">
        <v>2349</v>
      </c>
      <c r="C1983" t="str">
        <f>"A0179997"</f>
        <v>A0179997</v>
      </c>
      <c r="D1983" t="s">
        <v>8590</v>
      </c>
      <c r="E1983" t="s">
        <v>8591</v>
      </c>
      <c r="F1983" t="s">
        <v>1824</v>
      </c>
      <c r="G1983" t="s">
        <v>65</v>
      </c>
      <c r="H1983">
        <v>45069</v>
      </c>
      <c r="I1983" t="s">
        <v>30</v>
      </c>
      <c r="J1983" t="s">
        <v>31</v>
      </c>
      <c r="K1983" t="s">
        <v>32</v>
      </c>
      <c r="N1983" t="s">
        <v>2353</v>
      </c>
      <c r="Q1983">
        <v>0</v>
      </c>
      <c r="R1983">
        <v>110</v>
      </c>
      <c r="S1983">
        <v>0</v>
      </c>
      <c r="T1983" t="s">
        <v>2354</v>
      </c>
    </row>
    <row r="1984" spans="1:20" customFormat="1" ht="15" x14ac:dyDescent="0.25">
      <c r="A1984" t="s">
        <v>24</v>
      </c>
      <c r="B1984" t="s">
        <v>7373</v>
      </c>
      <c r="C1984" t="str">
        <f>"SF01768"</f>
        <v>SF01768</v>
      </c>
      <c r="D1984" t="s">
        <v>53350</v>
      </c>
      <c r="E1984" t="s">
        <v>53351</v>
      </c>
      <c r="F1984" t="s">
        <v>23230</v>
      </c>
      <c r="G1984" t="s">
        <v>52</v>
      </c>
      <c r="H1984">
        <v>78408</v>
      </c>
      <c r="I1984" t="s">
        <v>30</v>
      </c>
      <c r="J1984" t="s">
        <v>162</v>
      </c>
      <c r="K1984" t="s">
        <v>854</v>
      </c>
      <c r="N1984" t="s">
        <v>7486</v>
      </c>
      <c r="O1984" t="s">
        <v>53352</v>
      </c>
      <c r="Q1984">
        <v>0</v>
      </c>
      <c r="R1984">
        <v>236</v>
      </c>
      <c r="S1984">
        <v>0</v>
      </c>
      <c r="T1984" t="s">
        <v>53353</v>
      </c>
    </row>
    <row r="1985" spans="1:20" customFormat="1" ht="15" x14ac:dyDescent="0.25">
      <c r="A1985" t="s">
        <v>35</v>
      </c>
      <c r="B1985" t="s">
        <v>36</v>
      </c>
      <c r="C1985" t="str">
        <f>"A0189807"</f>
        <v>A0189807</v>
      </c>
      <c r="D1985" t="s">
        <v>8599</v>
      </c>
      <c r="E1985" t="s">
        <v>8600</v>
      </c>
      <c r="F1985" t="s">
        <v>8601</v>
      </c>
      <c r="G1985" t="s">
        <v>29</v>
      </c>
      <c r="H1985">
        <v>22637</v>
      </c>
      <c r="I1985" t="s">
        <v>30</v>
      </c>
      <c r="J1985" t="s">
        <v>41</v>
      </c>
      <c r="K1985" t="s">
        <v>42</v>
      </c>
      <c r="Q1985">
        <v>0</v>
      </c>
      <c r="R1985">
        <v>0</v>
      </c>
      <c r="S1985">
        <v>0</v>
      </c>
      <c r="T1985" t="s">
        <v>8602</v>
      </c>
    </row>
    <row r="1986" spans="1:20" customFormat="1" ht="15" x14ac:dyDescent="0.25">
      <c r="A1986" t="s">
        <v>35</v>
      </c>
      <c r="B1986" t="s">
        <v>36</v>
      </c>
      <c r="C1986" t="str">
        <f>"A0189806"</f>
        <v>A0189806</v>
      </c>
      <c r="D1986" t="s">
        <v>8603</v>
      </c>
      <c r="E1986" t="s">
        <v>8604</v>
      </c>
      <c r="F1986" t="s">
        <v>1423</v>
      </c>
      <c r="G1986" t="s">
        <v>58</v>
      </c>
      <c r="H1986">
        <v>29440</v>
      </c>
      <c r="I1986" t="s">
        <v>30</v>
      </c>
      <c r="J1986" t="s">
        <v>41</v>
      </c>
      <c r="K1986" t="s">
        <v>42</v>
      </c>
      <c r="Q1986">
        <v>0</v>
      </c>
      <c r="R1986">
        <v>0</v>
      </c>
      <c r="S1986">
        <v>0</v>
      </c>
      <c r="T1986" t="s">
        <v>8605</v>
      </c>
    </row>
    <row r="1987" spans="1:20" customFormat="1" ht="15" x14ac:dyDescent="0.25">
      <c r="A1987" t="s">
        <v>35</v>
      </c>
      <c r="B1987" t="s">
        <v>1028</v>
      </c>
      <c r="C1987" t="str">
        <f>"A0189805"</f>
        <v>A0189805</v>
      </c>
      <c r="D1987" t="s">
        <v>8606</v>
      </c>
      <c r="E1987" t="s">
        <v>8607</v>
      </c>
      <c r="F1987" t="s">
        <v>8608</v>
      </c>
      <c r="G1987" t="s">
        <v>76</v>
      </c>
      <c r="H1987">
        <v>98816</v>
      </c>
      <c r="I1987" t="s">
        <v>30</v>
      </c>
      <c r="J1987" t="s">
        <v>41</v>
      </c>
      <c r="K1987" t="s">
        <v>1032</v>
      </c>
      <c r="Q1987">
        <v>0</v>
      </c>
      <c r="R1987">
        <v>0</v>
      </c>
      <c r="S1987">
        <v>32</v>
      </c>
      <c r="T1987" t="s">
        <v>8609</v>
      </c>
    </row>
    <row r="1988" spans="1:20" customFormat="1" ht="15" x14ac:dyDescent="0.25">
      <c r="A1988" t="s">
        <v>35</v>
      </c>
      <c r="B1988" t="s">
        <v>5469</v>
      </c>
      <c r="C1988" t="str">
        <f>"A0189804"</f>
        <v>A0189804</v>
      </c>
      <c r="D1988" t="s">
        <v>8610</v>
      </c>
      <c r="E1988" t="s">
        <v>8611</v>
      </c>
      <c r="F1988" t="s">
        <v>5257</v>
      </c>
      <c r="G1988" t="s">
        <v>52</v>
      </c>
      <c r="H1988">
        <v>77070</v>
      </c>
      <c r="I1988" t="s">
        <v>30</v>
      </c>
      <c r="J1988" t="s">
        <v>41</v>
      </c>
      <c r="K1988" t="s">
        <v>482</v>
      </c>
      <c r="Q1988">
        <v>0</v>
      </c>
      <c r="R1988">
        <v>0</v>
      </c>
      <c r="S1988">
        <v>80</v>
      </c>
      <c r="T1988" t="s">
        <v>8612</v>
      </c>
    </row>
    <row r="1989" spans="1:20" customFormat="1" ht="15" x14ac:dyDescent="0.25">
      <c r="A1989" t="s">
        <v>35</v>
      </c>
      <c r="B1989" t="s">
        <v>54</v>
      </c>
      <c r="C1989" t="str">
        <f>"A0189803"</f>
        <v>A0189803</v>
      </c>
      <c r="D1989" t="s">
        <v>8613</v>
      </c>
      <c r="E1989" t="s">
        <v>8614</v>
      </c>
      <c r="F1989" t="s">
        <v>3293</v>
      </c>
      <c r="G1989" t="s">
        <v>381</v>
      </c>
      <c r="H1989">
        <v>46012</v>
      </c>
      <c r="I1989" t="s">
        <v>30</v>
      </c>
      <c r="J1989" t="s">
        <v>41</v>
      </c>
      <c r="K1989" t="s">
        <v>229</v>
      </c>
      <c r="Q1989">
        <v>0</v>
      </c>
      <c r="R1989">
        <v>0</v>
      </c>
      <c r="S1989">
        <v>97</v>
      </c>
      <c r="T1989" t="s">
        <v>8615</v>
      </c>
    </row>
    <row r="1990" spans="1:20" customFormat="1" ht="15" x14ac:dyDescent="0.25">
      <c r="A1990" t="s">
        <v>35</v>
      </c>
      <c r="B1990" t="s">
        <v>54</v>
      </c>
      <c r="C1990" t="str">
        <f>"A0189802"</f>
        <v>A0189802</v>
      </c>
      <c r="D1990" t="s">
        <v>8616</v>
      </c>
      <c r="E1990" t="s">
        <v>8617</v>
      </c>
      <c r="F1990" t="s">
        <v>8618</v>
      </c>
      <c r="G1990" t="s">
        <v>381</v>
      </c>
      <c r="H1990">
        <v>46711</v>
      </c>
      <c r="I1990" t="s">
        <v>30</v>
      </c>
      <c r="J1990" t="s">
        <v>41</v>
      </c>
      <c r="K1990" t="s">
        <v>229</v>
      </c>
      <c r="Q1990">
        <v>0</v>
      </c>
      <c r="R1990">
        <v>0</v>
      </c>
      <c r="S1990">
        <v>80</v>
      </c>
      <c r="T1990" t="s">
        <v>8619</v>
      </c>
    </row>
    <row r="1991" spans="1:20" customFormat="1" ht="15" x14ac:dyDescent="0.25">
      <c r="A1991" t="s">
        <v>35</v>
      </c>
      <c r="B1991" t="s">
        <v>54</v>
      </c>
      <c r="C1991" t="str">
        <f>"A0189801"</f>
        <v>A0189801</v>
      </c>
      <c r="D1991" t="s">
        <v>8620</v>
      </c>
      <c r="E1991" t="s">
        <v>8621</v>
      </c>
      <c r="F1991" t="s">
        <v>8622</v>
      </c>
      <c r="G1991" t="s">
        <v>381</v>
      </c>
      <c r="H1991">
        <v>46224</v>
      </c>
      <c r="I1991" t="s">
        <v>30</v>
      </c>
      <c r="J1991" t="s">
        <v>41</v>
      </c>
      <c r="K1991" t="s">
        <v>229</v>
      </c>
      <c r="Q1991">
        <v>0</v>
      </c>
      <c r="R1991">
        <v>0</v>
      </c>
      <c r="S1991">
        <v>184</v>
      </c>
      <c r="T1991" t="s">
        <v>8623</v>
      </c>
    </row>
    <row r="1992" spans="1:20" customFormat="1" ht="15" x14ac:dyDescent="0.25">
      <c r="A1992" t="s">
        <v>35</v>
      </c>
      <c r="B1992" t="s">
        <v>54</v>
      </c>
      <c r="C1992" t="str">
        <f>"A0189800"</f>
        <v>A0189800</v>
      </c>
      <c r="D1992" t="s">
        <v>8624</v>
      </c>
      <c r="E1992" t="s">
        <v>8625</v>
      </c>
      <c r="F1992" t="s">
        <v>912</v>
      </c>
      <c r="G1992" t="s">
        <v>381</v>
      </c>
      <c r="H1992">
        <v>46750</v>
      </c>
      <c r="I1992" t="s">
        <v>30</v>
      </c>
      <c r="J1992" t="s">
        <v>41</v>
      </c>
      <c r="K1992" t="s">
        <v>229</v>
      </c>
      <c r="Q1992">
        <v>0</v>
      </c>
      <c r="R1992">
        <v>0</v>
      </c>
      <c r="S1992">
        <v>55</v>
      </c>
      <c r="T1992" t="s">
        <v>8626</v>
      </c>
    </row>
    <row r="1993" spans="1:20" customFormat="1" ht="15" x14ac:dyDescent="0.25">
      <c r="A1993" t="s">
        <v>35</v>
      </c>
      <c r="B1993" t="s">
        <v>54</v>
      </c>
      <c r="C1993" t="str">
        <f>"A0189799"</f>
        <v>A0189799</v>
      </c>
      <c r="D1993" t="s">
        <v>8627</v>
      </c>
      <c r="E1993" t="s">
        <v>8628</v>
      </c>
      <c r="F1993" t="s">
        <v>8629</v>
      </c>
      <c r="G1993" t="s">
        <v>381</v>
      </c>
      <c r="H1993">
        <v>47025</v>
      </c>
      <c r="I1993" t="s">
        <v>30</v>
      </c>
      <c r="J1993" t="s">
        <v>41</v>
      </c>
      <c r="K1993" t="s">
        <v>229</v>
      </c>
      <c r="Q1993">
        <v>0</v>
      </c>
      <c r="R1993">
        <v>0</v>
      </c>
      <c r="S1993">
        <v>100</v>
      </c>
      <c r="T1993" t="s">
        <v>8630</v>
      </c>
    </row>
    <row r="1994" spans="1:20" customFormat="1" ht="15" x14ac:dyDescent="0.25">
      <c r="A1994" t="s">
        <v>35</v>
      </c>
      <c r="B1994" t="s">
        <v>8631</v>
      </c>
      <c r="C1994" t="str">
        <f>"A0189798"</f>
        <v>A0189798</v>
      </c>
      <c r="D1994" t="s">
        <v>8632</v>
      </c>
      <c r="E1994" t="s">
        <v>8633</v>
      </c>
      <c r="F1994" t="s">
        <v>8634</v>
      </c>
      <c r="G1994" t="s">
        <v>81</v>
      </c>
      <c r="H1994">
        <v>32907</v>
      </c>
      <c r="I1994" t="s">
        <v>30</v>
      </c>
      <c r="J1994" t="s">
        <v>41</v>
      </c>
      <c r="K1994" t="s">
        <v>1032</v>
      </c>
      <c r="Q1994">
        <v>0</v>
      </c>
      <c r="R1994">
        <v>0</v>
      </c>
      <c r="S1994">
        <v>0</v>
      </c>
      <c r="T1994" t="s">
        <v>8635</v>
      </c>
    </row>
    <row r="1995" spans="1:20" customFormat="1" ht="15" x14ac:dyDescent="0.25">
      <c r="A1995" t="s">
        <v>35</v>
      </c>
      <c r="B1995" t="s">
        <v>61</v>
      </c>
      <c r="C1995" t="str">
        <f>"A0189797"</f>
        <v>A0189797</v>
      </c>
      <c r="D1995" t="s">
        <v>8636</v>
      </c>
      <c r="E1995" t="s">
        <v>8637</v>
      </c>
      <c r="F1995" t="s">
        <v>8638</v>
      </c>
      <c r="G1995" t="s">
        <v>117</v>
      </c>
      <c r="H1995">
        <v>48131</v>
      </c>
      <c r="I1995" t="s">
        <v>30</v>
      </c>
      <c r="J1995" t="s">
        <v>41</v>
      </c>
      <c r="K1995" t="s">
        <v>1412</v>
      </c>
      <c r="Q1995">
        <v>0</v>
      </c>
      <c r="R1995">
        <v>0</v>
      </c>
      <c r="S1995">
        <v>0</v>
      </c>
      <c r="T1995" t="s">
        <v>8639</v>
      </c>
    </row>
    <row r="1996" spans="1:20" customFormat="1" ht="15" x14ac:dyDescent="0.25">
      <c r="A1996" t="s">
        <v>35</v>
      </c>
      <c r="B1996" t="s">
        <v>61</v>
      </c>
      <c r="C1996" t="str">
        <f>"A0189796"</f>
        <v>A0189796</v>
      </c>
      <c r="D1996" t="s">
        <v>8640</v>
      </c>
      <c r="E1996" t="s">
        <v>8641</v>
      </c>
      <c r="F1996" t="s">
        <v>8642</v>
      </c>
      <c r="G1996" t="s">
        <v>381</v>
      </c>
      <c r="H1996">
        <v>47421</v>
      </c>
      <c r="I1996" t="s">
        <v>30</v>
      </c>
      <c r="J1996" t="s">
        <v>41</v>
      </c>
      <c r="K1996" t="s">
        <v>8643</v>
      </c>
      <c r="Q1996">
        <v>0</v>
      </c>
      <c r="R1996">
        <v>0</v>
      </c>
      <c r="S1996">
        <v>0</v>
      </c>
      <c r="T1996" t="s">
        <v>8644</v>
      </c>
    </row>
    <row r="1997" spans="1:20" customFormat="1" ht="15" x14ac:dyDescent="0.25">
      <c r="A1997" t="s">
        <v>35</v>
      </c>
      <c r="B1997" t="s">
        <v>61</v>
      </c>
      <c r="C1997" t="str">
        <f>"A0189795"</f>
        <v>A0189795</v>
      </c>
      <c r="D1997" t="s">
        <v>8645</v>
      </c>
      <c r="E1997" t="s">
        <v>8646</v>
      </c>
      <c r="F1997" t="s">
        <v>8647</v>
      </c>
      <c r="G1997" t="s">
        <v>381</v>
      </c>
      <c r="H1997">
        <v>47167</v>
      </c>
      <c r="I1997" t="s">
        <v>30</v>
      </c>
      <c r="J1997" t="s">
        <v>41</v>
      </c>
      <c r="K1997" t="s">
        <v>8643</v>
      </c>
      <c r="Q1997">
        <v>0</v>
      </c>
      <c r="R1997">
        <v>0</v>
      </c>
      <c r="S1997">
        <v>0</v>
      </c>
      <c r="T1997" t="s">
        <v>8648</v>
      </c>
    </row>
    <row r="1998" spans="1:20" customFormat="1" ht="15" x14ac:dyDescent="0.25">
      <c r="A1998" t="s">
        <v>35</v>
      </c>
      <c r="B1998" t="s">
        <v>61</v>
      </c>
      <c r="C1998" t="str">
        <f>"A0189794"</f>
        <v>A0189794</v>
      </c>
      <c r="D1998" t="s">
        <v>8649</v>
      </c>
      <c r="E1998" t="s">
        <v>8650</v>
      </c>
      <c r="F1998" t="s">
        <v>8651</v>
      </c>
      <c r="G1998" t="s">
        <v>381</v>
      </c>
      <c r="H1998">
        <v>46173</v>
      </c>
      <c r="I1998" t="s">
        <v>30</v>
      </c>
      <c r="J1998" t="s">
        <v>41</v>
      </c>
      <c r="K1998" t="s">
        <v>8643</v>
      </c>
      <c r="Q1998">
        <v>0</v>
      </c>
      <c r="R1998">
        <v>0</v>
      </c>
      <c r="S1998">
        <v>0</v>
      </c>
      <c r="T1998" t="s">
        <v>8652</v>
      </c>
    </row>
    <row r="1999" spans="1:20" customFormat="1" ht="15" x14ac:dyDescent="0.25">
      <c r="A1999" t="s">
        <v>35</v>
      </c>
      <c r="B1999" t="s">
        <v>61</v>
      </c>
      <c r="C1999" t="str">
        <f>"A0189793"</f>
        <v>A0189793</v>
      </c>
      <c r="D1999" t="s">
        <v>8653</v>
      </c>
      <c r="E1999" t="s">
        <v>8654</v>
      </c>
      <c r="F1999" t="s">
        <v>8655</v>
      </c>
      <c r="G1999" t="s">
        <v>381</v>
      </c>
      <c r="H1999">
        <v>47112</v>
      </c>
      <c r="I1999" t="s">
        <v>30</v>
      </c>
      <c r="J1999" t="s">
        <v>41</v>
      </c>
      <c r="K1999" t="s">
        <v>8643</v>
      </c>
      <c r="Q1999">
        <v>0</v>
      </c>
      <c r="R1999">
        <v>0</v>
      </c>
      <c r="S1999">
        <v>0</v>
      </c>
      <c r="T1999" t="s">
        <v>8656</v>
      </c>
    </row>
    <row r="2000" spans="1:20" customFormat="1" ht="15" x14ac:dyDescent="0.25">
      <c r="A2000" t="s">
        <v>35</v>
      </c>
      <c r="B2000" t="s">
        <v>61</v>
      </c>
      <c r="C2000" t="str">
        <f>"A0189792"</f>
        <v>A0189792</v>
      </c>
      <c r="D2000" t="s">
        <v>8657</v>
      </c>
      <c r="E2000" t="s">
        <v>8658</v>
      </c>
      <c r="F2000" t="s">
        <v>4622</v>
      </c>
      <c r="G2000" t="s">
        <v>381</v>
      </c>
      <c r="H2000">
        <v>46131</v>
      </c>
      <c r="I2000" t="s">
        <v>30</v>
      </c>
      <c r="J2000" t="s">
        <v>41</v>
      </c>
      <c r="K2000" t="s">
        <v>8643</v>
      </c>
      <c r="Q2000">
        <v>0</v>
      </c>
      <c r="R2000">
        <v>0</v>
      </c>
      <c r="S2000">
        <v>0</v>
      </c>
      <c r="T2000" t="s">
        <v>8659</v>
      </c>
    </row>
    <row r="2001" spans="1:20" customFormat="1" ht="15" x14ac:dyDescent="0.25">
      <c r="A2001" t="s">
        <v>35</v>
      </c>
      <c r="B2001" t="s">
        <v>61</v>
      </c>
      <c r="C2001" t="str">
        <f>"A0189791"</f>
        <v>A0189791</v>
      </c>
      <c r="D2001" t="s">
        <v>8660</v>
      </c>
      <c r="E2001" t="s">
        <v>8661</v>
      </c>
      <c r="F2001" t="s">
        <v>4622</v>
      </c>
      <c r="G2001" t="s">
        <v>381</v>
      </c>
      <c r="H2001">
        <v>46131</v>
      </c>
      <c r="I2001" t="s">
        <v>30</v>
      </c>
      <c r="J2001" t="s">
        <v>41</v>
      </c>
      <c r="K2001" t="s">
        <v>8643</v>
      </c>
      <c r="Q2001">
        <v>0</v>
      </c>
      <c r="R2001">
        <v>0</v>
      </c>
      <c r="S2001">
        <v>0</v>
      </c>
      <c r="T2001" t="s">
        <v>8662</v>
      </c>
    </row>
    <row r="2002" spans="1:20" customFormat="1" ht="15" x14ac:dyDescent="0.25">
      <c r="A2002" t="s">
        <v>35</v>
      </c>
      <c r="B2002" t="s">
        <v>8663</v>
      </c>
      <c r="C2002" t="str">
        <f>"A0189790"</f>
        <v>A0189790</v>
      </c>
      <c r="D2002" t="s">
        <v>8664</v>
      </c>
      <c r="E2002" t="s">
        <v>8665</v>
      </c>
      <c r="F2002" t="s">
        <v>8666</v>
      </c>
      <c r="G2002" t="s">
        <v>1898</v>
      </c>
      <c r="H2002">
        <v>50125</v>
      </c>
      <c r="I2002" t="s">
        <v>30</v>
      </c>
      <c r="J2002" t="s">
        <v>41</v>
      </c>
      <c r="K2002" t="s">
        <v>59</v>
      </c>
      <c r="Q2002">
        <v>0</v>
      </c>
      <c r="R2002">
        <v>0</v>
      </c>
      <c r="S2002">
        <v>0</v>
      </c>
      <c r="T2002" t="s">
        <v>8667</v>
      </c>
    </row>
    <row r="2003" spans="1:20" customFormat="1" ht="15" x14ac:dyDescent="0.25">
      <c r="A2003" t="s">
        <v>35</v>
      </c>
      <c r="B2003" t="s">
        <v>8663</v>
      </c>
      <c r="C2003" t="str">
        <f>"A0189789"</f>
        <v>A0189789</v>
      </c>
      <c r="D2003" t="s">
        <v>8664</v>
      </c>
      <c r="E2003" t="s">
        <v>8668</v>
      </c>
      <c r="F2003" t="s">
        <v>8669</v>
      </c>
      <c r="G2003" t="s">
        <v>1898</v>
      </c>
      <c r="H2003">
        <v>50595</v>
      </c>
      <c r="I2003" t="s">
        <v>30</v>
      </c>
      <c r="J2003" t="s">
        <v>41</v>
      </c>
      <c r="K2003" t="s">
        <v>59</v>
      </c>
      <c r="Q2003">
        <v>0</v>
      </c>
      <c r="R2003">
        <v>0</v>
      </c>
      <c r="S2003">
        <v>0</v>
      </c>
      <c r="T2003" t="s">
        <v>8670</v>
      </c>
    </row>
    <row r="2004" spans="1:20" customFormat="1" ht="15" x14ac:dyDescent="0.25">
      <c r="A2004" t="s">
        <v>35</v>
      </c>
      <c r="B2004" t="s">
        <v>8663</v>
      </c>
      <c r="C2004" t="str">
        <f>"A0189788"</f>
        <v>A0189788</v>
      </c>
      <c r="D2004" t="s">
        <v>8664</v>
      </c>
      <c r="E2004" t="s">
        <v>8671</v>
      </c>
      <c r="F2004" t="s">
        <v>7831</v>
      </c>
      <c r="G2004" t="s">
        <v>1898</v>
      </c>
      <c r="H2004">
        <v>51601</v>
      </c>
      <c r="I2004" t="s">
        <v>30</v>
      </c>
      <c r="J2004" t="s">
        <v>41</v>
      </c>
      <c r="K2004" t="s">
        <v>59</v>
      </c>
      <c r="Q2004">
        <v>0</v>
      </c>
      <c r="R2004">
        <v>0</v>
      </c>
      <c r="S2004">
        <v>0</v>
      </c>
      <c r="T2004" t="s">
        <v>8672</v>
      </c>
    </row>
    <row r="2005" spans="1:20" customFormat="1" ht="15" x14ac:dyDescent="0.25">
      <c r="A2005" t="s">
        <v>35</v>
      </c>
      <c r="B2005" t="s">
        <v>8663</v>
      </c>
      <c r="C2005" t="str">
        <f>"A0189787"</f>
        <v>A0189787</v>
      </c>
      <c r="D2005" t="s">
        <v>8664</v>
      </c>
      <c r="E2005" t="s">
        <v>8673</v>
      </c>
      <c r="F2005" t="s">
        <v>8674</v>
      </c>
      <c r="G2005" t="s">
        <v>1898</v>
      </c>
      <c r="H2005">
        <v>52349</v>
      </c>
      <c r="I2005" t="s">
        <v>30</v>
      </c>
      <c r="J2005" t="s">
        <v>41</v>
      </c>
      <c r="K2005" t="s">
        <v>59</v>
      </c>
      <c r="Q2005">
        <v>0</v>
      </c>
      <c r="R2005">
        <v>0</v>
      </c>
      <c r="S2005">
        <v>0</v>
      </c>
      <c r="T2005" t="s">
        <v>8675</v>
      </c>
    </row>
    <row r="2006" spans="1:20" customFormat="1" ht="15" x14ac:dyDescent="0.25">
      <c r="A2006" t="s">
        <v>35</v>
      </c>
      <c r="B2006" t="s">
        <v>8663</v>
      </c>
      <c r="C2006" t="str">
        <f>"A0189786"</f>
        <v>A0189786</v>
      </c>
      <c r="D2006" t="s">
        <v>8664</v>
      </c>
      <c r="E2006" t="s">
        <v>8676</v>
      </c>
      <c r="F2006" t="s">
        <v>8677</v>
      </c>
      <c r="G2006" t="s">
        <v>289</v>
      </c>
      <c r="H2006">
        <v>61270</v>
      </c>
      <c r="I2006" t="s">
        <v>30</v>
      </c>
      <c r="J2006" t="s">
        <v>41</v>
      </c>
      <c r="K2006" t="s">
        <v>59</v>
      </c>
      <c r="Q2006">
        <v>0</v>
      </c>
      <c r="R2006">
        <v>0</v>
      </c>
      <c r="S2006">
        <v>0</v>
      </c>
      <c r="T2006" t="s">
        <v>8678</v>
      </c>
    </row>
    <row r="2007" spans="1:20" customFormat="1" ht="15" x14ac:dyDescent="0.25">
      <c r="A2007" t="s">
        <v>35</v>
      </c>
      <c r="B2007" t="s">
        <v>8663</v>
      </c>
      <c r="C2007" t="str">
        <f>"A0189785"</f>
        <v>A0189785</v>
      </c>
      <c r="D2007" t="s">
        <v>8664</v>
      </c>
      <c r="E2007" t="s">
        <v>8679</v>
      </c>
      <c r="F2007" t="s">
        <v>8680</v>
      </c>
      <c r="G2007" t="s">
        <v>1898</v>
      </c>
      <c r="H2007">
        <v>50112</v>
      </c>
      <c r="I2007" t="s">
        <v>30</v>
      </c>
      <c r="J2007" t="s">
        <v>41</v>
      </c>
      <c r="K2007" t="s">
        <v>59</v>
      </c>
      <c r="Q2007">
        <v>0</v>
      </c>
      <c r="R2007">
        <v>0</v>
      </c>
      <c r="S2007">
        <v>0</v>
      </c>
      <c r="T2007" t="s">
        <v>8681</v>
      </c>
    </row>
    <row r="2008" spans="1:20" customFormat="1" ht="15" x14ac:dyDescent="0.25">
      <c r="A2008" t="s">
        <v>35</v>
      </c>
      <c r="B2008" t="s">
        <v>8663</v>
      </c>
      <c r="C2008" t="str">
        <f>"A0189784"</f>
        <v>A0189784</v>
      </c>
      <c r="D2008" t="s">
        <v>8664</v>
      </c>
      <c r="E2008" t="s">
        <v>8682</v>
      </c>
      <c r="F2008" t="s">
        <v>1751</v>
      </c>
      <c r="G2008" t="s">
        <v>1898</v>
      </c>
      <c r="H2008">
        <v>50201</v>
      </c>
      <c r="I2008" t="s">
        <v>30</v>
      </c>
      <c r="J2008" t="s">
        <v>41</v>
      </c>
      <c r="K2008" t="s">
        <v>59</v>
      </c>
      <c r="Q2008">
        <v>0</v>
      </c>
      <c r="R2008">
        <v>0</v>
      </c>
      <c r="S2008">
        <v>0</v>
      </c>
      <c r="T2008" t="s">
        <v>8683</v>
      </c>
    </row>
    <row r="2009" spans="1:20" customFormat="1" ht="15" x14ac:dyDescent="0.25">
      <c r="A2009" t="s">
        <v>35</v>
      </c>
      <c r="B2009" t="s">
        <v>8663</v>
      </c>
      <c r="C2009" t="str">
        <f>"A0189783"</f>
        <v>A0189783</v>
      </c>
      <c r="D2009" t="s">
        <v>8664</v>
      </c>
      <c r="E2009" t="s">
        <v>8684</v>
      </c>
      <c r="F2009" t="s">
        <v>8685</v>
      </c>
      <c r="G2009" t="s">
        <v>1898</v>
      </c>
      <c r="H2009">
        <v>50511</v>
      </c>
      <c r="I2009" t="s">
        <v>30</v>
      </c>
      <c r="J2009" t="s">
        <v>41</v>
      </c>
      <c r="K2009" t="s">
        <v>59</v>
      </c>
      <c r="Q2009">
        <v>0</v>
      </c>
      <c r="R2009">
        <v>0</v>
      </c>
      <c r="S2009">
        <v>0</v>
      </c>
      <c r="T2009" t="s">
        <v>8686</v>
      </c>
    </row>
    <row r="2010" spans="1:20" customFormat="1" ht="15" x14ac:dyDescent="0.25">
      <c r="A2010" t="s">
        <v>35</v>
      </c>
      <c r="B2010" t="s">
        <v>8663</v>
      </c>
      <c r="C2010" t="str">
        <f>"A0189782"</f>
        <v>A0189782</v>
      </c>
      <c r="D2010" t="s">
        <v>8664</v>
      </c>
      <c r="E2010" t="s">
        <v>8687</v>
      </c>
      <c r="F2010" t="s">
        <v>3925</v>
      </c>
      <c r="G2010" t="s">
        <v>1898</v>
      </c>
      <c r="H2010">
        <v>51334</v>
      </c>
      <c r="I2010" t="s">
        <v>30</v>
      </c>
      <c r="J2010" t="s">
        <v>41</v>
      </c>
      <c r="K2010" t="s">
        <v>59</v>
      </c>
      <c r="Q2010">
        <v>0</v>
      </c>
      <c r="R2010">
        <v>0</v>
      </c>
      <c r="S2010">
        <v>0</v>
      </c>
      <c r="T2010" t="s">
        <v>8688</v>
      </c>
    </row>
    <row r="2011" spans="1:20" customFormat="1" ht="15" x14ac:dyDescent="0.25">
      <c r="A2011" t="s">
        <v>35</v>
      </c>
      <c r="B2011" t="s">
        <v>8663</v>
      </c>
      <c r="C2011" t="str">
        <f>"A0189781"</f>
        <v>A0189781</v>
      </c>
      <c r="D2011" t="s">
        <v>8689</v>
      </c>
      <c r="E2011" t="s">
        <v>8690</v>
      </c>
      <c r="F2011" t="s">
        <v>265</v>
      </c>
      <c r="G2011" t="s">
        <v>427</v>
      </c>
      <c r="H2011">
        <v>68787</v>
      </c>
      <c r="I2011" t="s">
        <v>30</v>
      </c>
      <c r="J2011" t="s">
        <v>41</v>
      </c>
      <c r="K2011" t="s">
        <v>59</v>
      </c>
      <c r="Q2011">
        <v>0</v>
      </c>
      <c r="R2011">
        <v>0</v>
      </c>
      <c r="S2011">
        <v>0</v>
      </c>
      <c r="T2011" t="s">
        <v>8691</v>
      </c>
    </row>
    <row r="2012" spans="1:20" customFormat="1" ht="15" x14ac:dyDescent="0.25">
      <c r="A2012" t="s">
        <v>35</v>
      </c>
      <c r="B2012" t="s">
        <v>8663</v>
      </c>
      <c r="C2012" t="str">
        <f>"A0189780"</f>
        <v>A0189780</v>
      </c>
      <c r="D2012" t="s">
        <v>8689</v>
      </c>
      <c r="E2012" t="s">
        <v>8692</v>
      </c>
      <c r="F2012" t="s">
        <v>8693</v>
      </c>
      <c r="G2012" t="s">
        <v>427</v>
      </c>
      <c r="H2012">
        <v>68434</v>
      </c>
      <c r="I2012" t="s">
        <v>30</v>
      </c>
      <c r="J2012" t="s">
        <v>41</v>
      </c>
      <c r="K2012" t="s">
        <v>59</v>
      </c>
      <c r="Q2012">
        <v>0</v>
      </c>
      <c r="R2012">
        <v>0</v>
      </c>
      <c r="S2012">
        <v>0</v>
      </c>
      <c r="T2012" t="s">
        <v>8694</v>
      </c>
    </row>
    <row r="2013" spans="1:20" customFormat="1" ht="15" x14ac:dyDescent="0.25">
      <c r="A2013" t="s">
        <v>35</v>
      </c>
      <c r="B2013" t="s">
        <v>8663</v>
      </c>
      <c r="C2013" t="str">
        <f>"A0189779"</f>
        <v>A0189779</v>
      </c>
      <c r="D2013" t="s">
        <v>8689</v>
      </c>
      <c r="E2013" t="s">
        <v>8695</v>
      </c>
      <c r="F2013" t="s">
        <v>8696</v>
      </c>
      <c r="G2013" t="s">
        <v>427</v>
      </c>
      <c r="H2013">
        <v>69001</v>
      </c>
      <c r="I2013" t="s">
        <v>30</v>
      </c>
      <c r="J2013" t="s">
        <v>41</v>
      </c>
      <c r="K2013" t="s">
        <v>59</v>
      </c>
      <c r="Q2013">
        <v>0</v>
      </c>
      <c r="R2013">
        <v>0</v>
      </c>
      <c r="S2013">
        <v>0</v>
      </c>
      <c r="T2013" t="s">
        <v>8697</v>
      </c>
    </row>
    <row r="2014" spans="1:20" customFormat="1" ht="15" x14ac:dyDescent="0.25">
      <c r="A2014" t="s">
        <v>35</v>
      </c>
      <c r="B2014" t="s">
        <v>8663</v>
      </c>
      <c r="C2014" t="str">
        <f>"A0189778"</f>
        <v>A0189778</v>
      </c>
      <c r="D2014" t="s">
        <v>8689</v>
      </c>
      <c r="E2014" t="s">
        <v>8698</v>
      </c>
      <c r="F2014" t="s">
        <v>8699</v>
      </c>
      <c r="G2014" t="s">
        <v>427</v>
      </c>
      <c r="H2014">
        <v>68845</v>
      </c>
      <c r="I2014" t="s">
        <v>30</v>
      </c>
      <c r="J2014" t="s">
        <v>41</v>
      </c>
      <c r="K2014" t="s">
        <v>59</v>
      </c>
      <c r="Q2014">
        <v>0</v>
      </c>
      <c r="R2014">
        <v>0</v>
      </c>
      <c r="S2014">
        <v>0</v>
      </c>
      <c r="T2014" t="s">
        <v>8700</v>
      </c>
    </row>
    <row r="2015" spans="1:20" customFormat="1" ht="15" x14ac:dyDescent="0.25">
      <c r="A2015" t="s">
        <v>35</v>
      </c>
      <c r="B2015" t="s">
        <v>8663</v>
      </c>
      <c r="C2015" t="str">
        <f>"A0189777"</f>
        <v>A0189777</v>
      </c>
      <c r="D2015" t="s">
        <v>8701</v>
      </c>
      <c r="E2015" t="s">
        <v>8702</v>
      </c>
      <c r="F2015" t="s">
        <v>8703</v>
      </c>
      <c r="G2015" t="s">
        <v>925</v>
      </c>
      <c r="H2015">
        <v>66109</v>
      </c>
      <c r="I2015" t="s">
        <v>30</v>
      </c>
      <c r="J2015" t="s">
        <v>41</v>
      </c>
      <c r="K2015" t="s">
        <v>59</v>
      </c>
      <c r="Q2015">
        <v>0</v>
      </c>
      <c r="R2015">
        <v>0</v>
      </c>
      <c r="S2015">
        <v>0</v>
      </c>
      <c r="T2015" t="s">
        <v>8704</v>
      </c>
    </row>
    <row r="2016" spans="1:20" customFormat="1" ht="15" x14ac:dyDescent="0.25">
      <c r="A2016" t="s">
        <v>35</v>
      </c>
      <c r="B2016" t="s">
        <v>8663</v>
      </c>
      <c r="C2016" t="str">
        <f>"A0189776"</f>
        <v>A0189776</v>
      </c>
      <c r="D2016" t="s">
        <v>8705</v>
      </c>
      <c r="E2016" t="s">
        <v>8706</v>
      </c>
      <c r="F2016" t="s">
        <v>8707</v>
      </c>
      <c r="G2016" t="s">
        <v>880</v>
      </c>
      <c r="H2016">
        <v>38133</v>
      </c>
      <c r="I2016" t="s">
        <v>30</v>
      </c>
      <c r="J2016" t="s">
        <v>41</v>
      </c>
      <c r="K2016" t="s">
        <v>59</v>
      </c>
      <c r="Q2016">
        <v>0</v>
      </c>
      <c r="R2016">
        <v>0</v>
      </c>
      <c r="S2016">
        <v>0</v>
      </c>
      <c r="T2016" t="s">
        <v>8708</v>
      </c>
    </row>
    <row r="2017" spans="1:20" customFormat="1" ht="15" x14ac:dyDescent="0.25">
      <c r="A2017" t="s">
        <v>35</v>
      </c>
      <c r="B2017" t="s">
        <v>8663</v>
      </c>
      <c r="C2017" t="str">
        <f>"A0189775"</f>
        <v>A0189775</v>
      </c>
      <c r="D2017" t="s">
        <v>8705</v>
      </c>
      <c r="E2017" t="s">
        <v>8709</v>
      </c>
      <c r="F2017" t="s">
        <v>8710</v>
      </c>
      <c r="G2017" t="s">
        <v>880</v>
      </c>
      <c r="H2017">
        <v>38017</v>
      </c>
      <c r="I2017" t="s">
        <v>30</v>
      </c>
      <c r="J2017" t="s">
        <v>41</v>
      </c>
      <c r="K2017" t="s">
        <v>59</v>
      </c>
      <c r="Q2017">
        <v>0</v>
      </c>
      <c r="R2017">
        <v>0</v>
      </c>
      <c r="S2017">
        <v>0</v>
      </c>
      <c r="T2017" t="s">
        <v>8711</v>
      </c>
    </row>
    <row r="2018" spans="1:20" customFormat="1" ht="15" x14ac:dyDescent="0.25">
      <c r="A2018" t="s">
        <v>35</v>
      </c>
      <c r="B2018" t="s">
        <v>8663</v>
      </c>
      <c r="C2018" t="str">
        <f>"A0189774"</f>
        <v>A0189774</v>
      </c>
      <c r="D2018" t="s">
        <v>8712</v>
      </c>
      <c r="E2018" t="s">
        <v>8713</v>
      </c>
      <c r="F2018" t="s">
        <v>1755</v>
      </c>
      <c r="G2018" t="s">
        <v>137</v>
      </c>
      <c r="H2018">
        <v>65802</v>
      </c>
      <c r="I2018" t="s">
        <v>30</v>
      </c>
      <c r="J2018" t="s">
        <v>41</v>
      </c>
      <c r="K2018" t="s">
        <v>59</v>
      </c>
      <c r="Q2018">
        <v>0</v>
      </c>
      <c r="R2018">
        <v>0</v>
      </c>
      <c r="S2018">
        <v>0</v>
      </c>
      <c r="T2018" t="s">
        <v>8714</v>
      </c>
    </row>
    <row r="2019" spans="1:20" customFormat="1" ht="15" x14ac:dyDescent="0.25">
      <c r="A2019" t="s">
        <v>35</v>
      </c>
      <c r="B2019" t="s">
        <v>8663</v>
      </c>
      <c r="C2019" t="str">
        <f>"A0189773"</f>
        <v>A0189773</v>
      </c>
      <c r="D2019" t="s">
        <v>8715</v>
      </c>
      <c r="E2019" t="s">
        <v>8716</v>
      </c>
      <c r="F2019" t="s">
        <v>4645</v>
      </c>
      <c r="G2019" t="s">
        <v>81</v>
      </c>
      <c r="H2019">
        <v>32250</v>
      </c>
      <c r="I2019" t="s">
        <v>30</v>
      </c>
      <c r="J2019" t="s">
        <v>41</v>
      </c>
      <c r="K2019" t="s">
        <v>59</v>
      </c>
      <c r="Q2019">
        <v>0</v>
      </c>
      <c r="R2019">
        <v>0</v>
      </c>
      <c r="S2019">
        <v>0</v>
      </c>
      <c r="T2019" t="s">
        <v>8717</v>
      </c>
    </row>
    <row r="2020" spans="1:20" customFormat="1" ht="15" x14ac:dyDescent="0.25">
      <c r="A2020" t="s">
        <v>35</v>
      </c>
      <c r="B2020" t="s">
        <v>8663</v>
      </c>
      <c r="C2020" t="str">
        <f>"A0189772"</f>
        <v>A0189772</v>
      </c>
      <c r="D2020" t="s">
        <v>8718</v>
      </c>
      <c r="E2020" t="s">
        <v>8719</v>
      </c>
      <c r="F2020" t="s">
        <v>93</v>
      </c>
      <c r="G2020" t="s">
        <v>58</v>
      </c>
      <c r="H2020">
        <v>29615</v>
      </c>
      <c r="I2020" t="s">
        <v>30</v>
      </c>
      <c r="J2020" t="s">
        <v>41</v>
      </c>
      <c r="K2020" t="s">
        <v>59</v>
      </c>
      <c r="Q2020">
        <v>0</v>
      </c>
      <c r="R2020">
        <v>0</v>
      </c>
      <c r="S2020">
        <v>0</v>
      </c>
      <c r="T2020" t="s">
        <v>8720</v>
      </c>
    </row>
    <row r="2021" spans="1:20" customFormat="1" ht="15" x14ac:dyDescent="0.25">
      <c r="A2021" t="s">
        <v>35</v>
      </c>
      <c r="B2021" t="s">
        <v>8663</v>
      </c>
      <c r="C2021" t="str">
        <f>"A0189771"</f>
        <v>A0189771</v>
      </c>
      <c r="D2021" t="s">
        <v>8663</v>
      </c>
      <c r="E2021" t="s">
        <v>8721</v>
      </c>
      <c r="F2021" t="s">
        <v>1755</v>
      </c>
      <c r="G2021" t="s">
        <v>137</v>
      </c>
      <c r="H2021">
        <v>65804</v>
      </c>
      <c r="I2021" t="s">
        <v>30</v>
      </c>
      <c r="J2021" t="s">
        <v>41</v>
      </c>
      <c r="K2021" t="s">
        <v>290</v>
      </c>
      <c r="Q2021">
        <v>0</v>
      </c>
      <c r="R2021">
        <v>0</v>
      </c>
      <c r="S2021">
        <v>0</v>
      </c>
      <c r="T2021" t="s">
        <v>8722</v>
      </c>
    </row>
    <row r="2022" spans="1:20" customFormat="1" ht="15" x14ac:dyDescent="0.25">
      <c r="A2022" t="s">
        <v>35</v>
      </c>
      <c r="B2022" t="s">
        <v>4109</v>
      </c>
      <c r="C2022" t="str">
        <f>"A0189770"</f>
        <v>A0189770</v>
      </c>
      <c r="D2022" t="s">
        <v>8723</v>
      </c>
      <c r="E2022" t="s">
        <v>8724</v>
      </c>
      <c r="F2022" t="s">
        <v>5253</v>
      </c>
      <c r="G2022" t="s">
        <v>110</v>
      </c>
      <c r="H2022">
        <v>90265</v>
      </c>
      <c r="I2022" t="s">
        <v>30</v>
      </c>
      <c r="J2022" t="s">
        <v>41</v>
      </c>
      <c r="K2022" t="s">
        <v>418</v>
      </c>
      <c r="Q2022">
        <v>0</v>
      </c>
      <c r="R2022">
        <v>0</v>
      </c>
      <c r="S2022">
        <v>0</v>
      </c>
      <c r="T2022" t="s">
        <v>72</v>
      </c>
    </row>
    <row r="2023" spans="1:20" customFormat="1" ht="15" x14ac:dyDescent="0.25">
      <c r="A2023" t="s">
        <v>35</v>
      </c>
      <c r="B2023" t="s">
        <v>4109</v>
      </c>
      <c r="C2023" t="str">
        <f>"A0189769"</f>
        <v>A0189769</v>
      </c>
      <c r="D2023" t="s">
        <v>8725</v>
      </c>
      <c r="E2023" t="s">
        <v>8726</v>
      </c>
      <c r="F2023" t="s">
        <v>6435</v>
      </c>
      <c r="G2023" t="s">
        <v>197</v>
      </c>
      <c r="H2023">
        <v>85206</v>
      </c>
      <c r="I2023" t="s">
        <v>30</v>
      </c>
      <c r="J2023" t="s">
        <v>41</v>
      </c>
      <c r="K2023" t="s">
        <v>418</v>
      </c>
      <c r="Q2023">
        <v>0</v>
      </c>
      <c r="R2023">
        <v>0</v>
      </c>
      <c r="S2023">
        <v>24</v>
      </c>
      <c r="T2023" t="s">
        <v>72</v>
      </c>
    </row>
    <row r="2024" spans="1:20" customFormat="1" ht="15" x14ac:dyDescent="0.25">
      <c r="A2024" t="s">
        <v>35</v>
      </c>
      <c r="B2024" t="s">
        <v>8727</v>
      </c>
      <c r="C2024" t="str">
        <f>"A0189768"</f>
        <v>A0189768</v>
      </c>
      <c r="D2024" t="s">
        <v>8728</v>
      </c>
      <c r="E2024" t="s">
        <v>8729</v>
      </c>
      <c r="F2024" t="s">
        <v>64</v>
      </c>
      <c r="G2024" t="s">
        <v>65</v>
      </c>
      <c r="H2024">
        <v>43230</v>
      </c>
      <c r="I2024" t="s">
        <v>30</v>
      </c>
      <c r="J2024" t="s">
        <v>41</v>
      </c>
      <c r="K2024" t="s">
        <v>391</v>
      </c>
      <c r="Q2024">
        <v>0</v>
      </c>
      <c r="R2024">
        <v>0</v>
      </c>
      <c r="S2024">
        <v>0</v>
      </c>
      <c r="T2024" t="s">
        <v>8730</v>
      </c>
    </row>
    <row r="2025" spans="1:20" customFormat="1" ht="15" x14ac:dyDescent="0.25">
      <c r="A2025" t="s">
        <v>35</v>
      </c>
      <c r="B2025" t="s">
        <v>7864</v>
      </c>
      <c r="C2025" t="str">
        <f>"A0189767"</f>
        <v>A0189767</v>
      </c>
      <c r="D2025" t="s">
        <v>8731</v>
      </c>
      <c r="E2025" t="s">
        <v>8732</v>
      </c>
      <c r="F2025" t="s">
        <v>3661</v>
      </c>
      <c r="G2025" t="s">
        <v>65</v>
      </c>
      <c r="H2025">
        <v>45223</v>
      </c>
      <c r="I2025" t="s">
        <v>30</v>
      </c>
      <c r="J2025" t="s">
        <v>41</v>
      </c>
      <c r="K2025" t="s">
        <v>42</v>
      </c>
      <c r="Q2025">
        <v>0</v>
      </c>
      <c r="R2025">
        <v>0</v>
      </c>
      <c r="S2025">
        <v>0</v>
      </c>
      <c r="T2025" t="s">
        <v>8733</v>
      </c>
    </row>
    <row r="2026" spans="1:20" customFormat="1" ht="15" x14ac:dyDescent="0.25">
      <c r="A2026" t="s">
        <v>35</v>
      </c>
      <c r="B2026" t="s">
        <v>2327</v>
      </c>
      <c r="C2026" t="str">
        <f>"A0189766"</f>
        <v>A0189766</v>
      </c>
      <c r="D2026" t="s">
        <v>8734</v>
      </c>
      <c r="E2026" t="s">
        <v>8735</v>
      </c>
      <c r="F2026" t="s">
        <v>5502</v>
      </c>
      <c r="G2026" t="s">
        <v>81</v>
      </c>
      <c r="H2026">
        <v>33771</v>
      </c>
      <c r="I2026" t="s">
        <v>30</v>
      </c>
      <c r="J2026" t="s">
        <v>41</v>
      </c>
      <c r="K2026" t="s">
        <v>229</v>
      </c>
      <c r="Q2026">
        <v>0</v>
      </c>
      <c r="R2026">
        <v>0</v>
      </c>
      <c r="S2026">
        <v>0</v>
      </c>
      <c r="T2026" t="s">
        <v>72</v>
      </c>
    </row>
    <row r="2027" spans="1:20" customFormat="1" ht="15" x14ac:dyDescent="0.25">
      <c r="A2027" t="s">
        <v>24</v>
      </c>
      <c r="B2027" t="s">
        <v>8736</v>
      </c>
      <c r="C2027" t="str">
        <f>"432UW"</f>
        <v>432UW</v>
      </c>
      <c r="D2027" t="s">
        <v>8737</v>
      </c>
      <c r="E2027" t="s">
        <v>8738</v>
      </c>
      <c r="F2027" t="s">
        <v>2443</v>
      </c>
      <c r="G2027" t="s">
        <v>214</v>
      </c>
      <c r="H2027">
        <v>28546</v>
      </c>
      <c r="I2027" t="s">
        <v>30</v>
      </c>
      <c r="J2027" t="s">
        <v>31</v>
      </c>
      <c r="K2027" t="s">
        <v>32</v>
      </c>
      <c r="N2027" t="s">
        <v>8739</v>
      </c>
      <c r="O2027" t="s">
        <v>8740</v>
      </c>
      <c r="Q2027">
        <v>0</v>
      </c>
      <c r="R2027">
        <v>79</v>
      </c>
      <c r="S2027">
        <v>0</v>
      </c>
      <c r="T2027" t="s">
        <v>8741</v>
      </c>
    </row>
    <row r="2028" spans="1:20" customFormat="1" ht="15" x14ac:dyDescent="0.25">
      <c r="A2028" t="s">
        <v>24</v>
      </c>
      <c r="B2028" t="s">
        <v>8742</v>
      </c>
      <c r="C2028" t="str">
        <f>"A0189455"</f>
        <v>A0189455</v>
      </c>
      <c r="D2028" t="s">
        <v>8743</v>
      </c>
      <c r="E2028" t="s">
        <v>8744</v>
      </c>
      <c r="F2028" t="s">
        <v>8745</v>
      </c>
      <c r="G2028" t="s">
        <v>846</v>
      </c>
      <c r="H2028">
        <v>30720</v>
      </c>
      <c r="I2028" t="s">
        <v>30</v>
      </c>
      <c r="J2028" t="s">
        <v>31</v>
      </c>
      <c r="K2028" t="s">
        <v>32</v>
      </c>
      <c r="N2028" t="s">
        <v>8746</v>
      </c>
      <c r="Q2028">
        <v>0</v>
      </c>
      <c r="R2028">
        <v>90</v>
      </c>
      <c r="S2028">
        <v>0</v>
      </c>
      <c r="T2028" t="s">
        <v>8747</v>
      </c>
    </row>
    <row r="2029" spans="1:20" customFormat="1" ht="15" x14ac:dyDescent="0.25">
      <c r="A2029" t="s">
        <v>24</v>
      </c>
      <c r="B2029" t="s">
        <v>8748</v>
      </c>
      <c r="C2029" t="str">
        <f>"A0185645"</f>
        <v>A0185645</v>
      </c>
      <c r="D2029" t="s">
        <v>8749</v>
      </c>
      <c r="E2029" t="s">
        <v>8750</v>
      </c>
      <c r="F2029" t="s">
        <v>8751</v>
      </c>
      <c r="G2029" t="s">
        <v>880</v>
      </c>
      <c r="H2029">
        <v>37716</v>
      </c>
      <c r="I2029" t="s">
        <v>30</v>
      </c>
      <c r="J2029" t="s">
        <v>31</v>
      </c>
      <c r="K2029" t="s">
        <v>32</v>
      </c>
      <c r="N2029" t="s">
        <v>8752</v>
      </c>
      <c r="O2029" t="s">
        <v>8753</v>
      </c>
      <c r="Q2029">
        <v>0</v>
      </c>
      <c r="R2029">
        <v>80</v>
      </c>
      <c r="S2029">
        <v>0</v>
      </c>
      <c r="T2029" t="s">
        <v>8754</v>
      </c>
    </row>
    <row r="2030" spans="1:20" customFormat="1" ht="15" x14ac:dyDescent="0.25">
      <c r="A2030" t="s">
        <v>35</v>
      </c>
      <c r="B2030" t="s">
        <v>2327</v>
      </c>
      <c r="C2030" t="str">
        <f>"A0126289"</f>
        <v>A0126289</v>
      </c>
      <c r="D2030" t="s">
        <v>8755</v>
      </c>
      <c r="E2030" t="s">
        <v>8756</v>
      </c>
      <c r="F2030" t="s">
        <v>8757</v>
      </c>
      <c r="G2030" t="s">
        <v>81</v>
      </c>
      <c r="H2030">
        <v>33023</v>
      </c>
      <c r="I2030" t="s">
        <v>30</v>
      </c>
      <c r="J2030" t="s">
        <v>41</v>
      </c>
      <c r="K2030" t="s">
        <v>482</v>
      </c>
      <c r="Q2030">
        <v>0</v>
      </c>
      <c r="R2030">
        <v>120</v>
      </c>
      <c r="S2030">
        <v>120</v>
      </c>
      <c r="T2030" t="s">
        <v>8758</v>
      </c>
    </row>
    <row r="2031" spans="1:20" customFormat="1" ht="15" x14ac:dyDescent="0.25">
      <c r="A2031" t="s">
        <v>35</v>
      </c>
      <c r="B2031" t="s">
        <v>2327</v>
      </c>
      <c r="C2031" t="str">
        <f>"A0126327"</f>
        <v>A0126327</v>
      </c>
      <c r="D2031" t="s">
        <v>8759</v>
      </c>
      <c r="E2031" t="s">
        <v>8760</v>
      </c>
      <c r="F2031" t="s">
        <v>8761</v>
      </c>
      <c r="G2031" t="s">
        <v>81</v>
      </c>
      <c r="H2031">
        <v>33021</v>
      </c>
      <c r="I2031" t="s">
        <v>30</v>
      </c>
      <c r="J2031" t="s">
        <v>41</v>
      </c>
      <c r="K2031" t="s">
        <v>59</v>
      </c>
      <c r="Q2031">
        <v>0</v>
      </c>
      <c r="R2031">
        <v>100</v>
      </c>
      <c r="S2031">
        <v>100</v>
      </c>
      <c r="T2031" t="s">
        <v>8762</v>
      </c>
    </row>
    <row r="2032" spans="1:20" customFormat="1" ht="15" x14ac:dyDescent="0.25">
      <c r="A2032" t="s">
        <v>24</v>
      </c>
      <c r="B2032" t="s">
        <v>2910</v>
      </c>
      <c r="C2032" t="str">
        <f>"A0189457"</f>
        <v>A0189457</v>
      </c>
      <c r="D2032" t="s">
        <v>8763</v>
      </c>
      <c r="E2032" t="s">
        <v>8764</v>
      </c>
      <c r="F2032" t="s">
        <v>8765</v>
      </c>
      <c r="G2032" t="s">
        <v>103</v>
      </c>
      <c r="H2032">
        <v>15108</v>
      </c>
      <c r="I2032" t="s">
        <v>30</v>
      </c>
      <c r="J2032" t="s">
        <v>31</v>
      </c>
      <c r="K2032" t="s">
        <v>163</v>
      </c>
      <c r="N2032" t="s">
        <v>2915</v>
      </c>
      <c r="Q2032">
        <v>0</v>
      </c>
      <c r="R2032">
        <v>11</v>
      </c>
      <c r="S2032">
        <v>0</v>
      </c>
      <c r="T2032" t="s">
        <v>8766</v>
      </c>
    </row>
    <row r="2033" spans="1:25" customFormat="1" ht="15" x14ac:dyDescent="0.25">
      <c r="A2033" t="s">
        <v>24</v>
      </c>
      <c r="B2033" t="s">
        <v>1849</v>
      </c>
      <c r="C2033" t="str">
        <f>"A0189686"</f>
        <v>A0189686</v>
      </c>
      <c r="D2033" t="s">
        <v>8767</v>
      </c>
      <c r="E2033" t="s">
        <v>8768</v>
      </c>
      <c r="F2033" t="s">
        <v>1824</v>
      </c>
      <c r="G2033" t="s">
        <v>103</v>
      </c>
      <c r="H2033">
        <v>19382</v>
      </c>
      <c r="I2033" t="s">
        <v>30</v>
      </c>
      <c r="J2033" t="s">
        <v>31</v>
      </c>
      <c r="K2033" t="s">
        <v>282</v>
      </c>
      <c r="N2033" t="s">
        <v>8769</v>
      </c>
      <c r="Q2033">
        <v>0</v>
      </c>
      <c r="R2033">
        <v>75</v>
      </c>
      <c r="S2033">
        <v>0</v>
      </c>
      <c r="T2033" t="s">
        <v>8770</v>
      </c>
    </row>
    <row r="2034" spans="1:25" x14ac:dyDescent="0.25">
      <c r="A2034" s="5" t="s">
        <v>24</v>
      </c>
      <c r="B2034" s="5" t="s">
        <v>649</v>
      </c>
      <c r="C2034" s="5" t="str">
        <f>"A0098165"</f>
        <v>A0098165</v>
      </c>
      <c r="D2034" s="5" t="s">
        <v>53508</v>
      </c>
      <c r="E2034" s="5" t="s">
        <v>53509</v>
      </c>
      <c r="F2034" s="5" t="s">
        <v>5620</v>
      </c>
      <c r="G2034" s="5" t="s">
        <v>381</v>
      </c>
      <c r="H2034" s="5">
        <v>47374</v>
      </c>
      <c r="I2034" s="5" t="s">
        <v>30</v>
      </c>
      <c r="J2034" s="5" t="s">
        <v>162</v>
      </c>
      <c r="K2034" s="5" t="s">
        <v>854</v>
      </c>
      <c r="L2034" s="5"/>
      <c r="M2034" s="5"/>
      <c r="N2034" s="5" t="s">
        <v>53510</v>
      </c>
      <c r="O2034" s="5"/>
      <c r="P2034" s="5"/>
      <c r="Q2034" s="5">
        <v>0</v>
      </c>
      <c r="R2034" s="5">
        <v>99</v>
      </c>
      <c r="S2034" s="5">
        <v>0</v>
      </c>
      <c r="T2034" s="5" t="s">
        <v>53511</v>
      </c>
      <c r="U2034" s="5"/>
      <c r="V2034" s="5"/>
      <c r="W2034" s="5"/>
      <c r="X2034" s="5"/>
      <c r="Y2034" s="5"/>
    </row>
    <row r="2035" spans="1:25" x14ac:dyDescent="0.25">
      <c r="A2035" s="5" t="s">
        <v>24</v>
      </c>
      <c r="B2035" s="5" t="s">
        <v>53539</v>
      </c>
      <c r="C2035" s="5" t="str">
        <f>"A0088390"</f>
        <v>A0088390</v>
      </c>
      <c r="D2035" s="5" t="s">
        <v>53540</v>
      </c>
      <c r="E2035" s="5" t="s">
        <v>53541</v>
      </c>
      <c r="F2035" s="5" t="s">
        <v>11700</v>
      </c>
      <c r="G2035" s="5" t="s">
        <v>880</v>
      </c>
      <c r="H2035" s="5">
        <v>38132</v>
      </c>
      <c r="I2035" s="5" t="s">
        <v>30</v>
      </c>
      <c r="J2035" s="5" t="s">
        <v>162</v>
      </c>
      <c r="K2035" s="5" t="s">
        <v>854</v>
      </c>
      <c r="L2035" s="5"/>
      <c r="M2035" s="5"/>
      <c r="N2035" s="5" t="s">
        <v>53542</v>
      </c>
      <c r="O2035" s="5" t="s">
        <v>53543</v>
      </c>
      <c r="P2035" s="5"/>
      <c r="Q2035" s="5">
        <v>0</v>
      </c>
      <c r="R2035" s="5">
        <v>256</v>
      </c>
      <c r="S2035" s="5">
        <v>0</v>
      </c>
      <c r="T2035" s="5" t="s">
        <v>53544</v>
      </c>
      <c r="U2035" s="5"/>
      <c r="V2035" s="5"/>
      <c r="W2035" s="5"/>
      <c r="X2035" s="5"/>
      <c r="Y2035" s="5"/>
    </row>
    <row r="2036" spans="1:25" customFormat="1" ht="15" x14ac:dyDescent="0.25">
      <c r="A2036" t="s">
        <v>24</v>
      </c>
      <c r="B2036" t="s">
        <v>53599</v>
      </c>
      <c r="C2036" t="str">
        <f>"A0098935"</f>
        <v>A0098935</v>
      </c>
      <c r="D2036" t="s">
        <v>53600</v>
      </c>
      <c r="E2036" t="s">
        <v>53601</v>
      </c>
      <c r="F2036" t="s">
        <v>53602</v>
      </c>
      <c r="G2036" t="s">
        <v>71</v>
      </c>
      <c r="H2036">
        <v>54601</v>
      </c>
      <c r="I2036" t="s">
        <v>30</v>
      </c>
      <c r="J2036" t="s">
        <v>162</v>
      </c>
      <c r="K2036" t="s">
        <v>163</v>
      </c>
      <c r="N2036" t="s">
        <v>53603</v>
      </c>
      <c r="Q2036">
        <v>0</v>
      </c>
      <c r="R2036">
        <v>67</v>
      </c>
      <c r="S2036">
        <v>0</v>
      </c>
      <c r="T2036" t="s">
        <v>53604</v>
      </c>
    </row>
    <row r="2037" spans="1:25" customFormat="1" ht="15" x14ac:dyDescent="0.25">
      <c r="A2037" t="s">
        <v>24</v>
      </c>
      <c r="B2037" t="s">
        <v>1609</v>
      </c>
      <c r="C2037" t="str">
        <f>"A0095030"</f>
        <v>A0095030</v>
      </c>
      <c r="D2037" t="s">
        <v>53674</v>
      </c>
      <c r="E2037" t="s">
        <v>53675</v>
      </c>
      <c r="F2037" t="s">
        <v>53676</v>
      </c>
      <c r="G2037" t="s">
        <v>47</v>
      </c>
      <c r="H2037">
        <v>97124</v>
      </c>
      <c r="I2037" t="s">
        <v>30</v>
      </c>
      <c r="J2037" t="s">
        <v>162</v>
      </c>
      <c r="K2037" t="s">
        <v>854</v>
      </c>
      <c r="N2037" t="s">
        <v>53677</v>
      </c>
      <c r="O2037" t="s">
        <v>53678</v>
      </c>
      <c r="Q2037">
        <v>0</v>
      </c>
      <c r="R2037">
        <v>110</v>
      </c>
      <c r="S2037">
        <v>0</v>
      </c>
      <c r="T2037" t="s">
        <v>53679</v>
      </c>
    </row>
    <row r="2038" spans="1:25" customFormat="1" ht="15" x14ac:dyDescent="0.25">
      <c r="A2038" t="s">
        <v>24</v>
      </c>
      <c r="B2038" t="s">
        <v>850</v>
      </c>
      <c r="C2038" t="str">
        <f>"A0178580"</f>
        <v>A0178580</v>
      </c>
      <c r="D2038" t="s">
        <v>53808</v>
      </c>
      <c r="E2038" t="s">
        <v>53809</v>
      </c>
      <c r="F2038" t="s">
        <v>8485</v>
      </c>
      <c r="G2038" t="s">
        <v>190</v>
      </c>
      <c r="H2038">
        <v>80134</v>
      </c>
      <c r="I2038" t="s">
        <v>30</v>
      </c>
      <c r="J2038" t="s">
        <v>162</v>
      </c>
      <c r="K2038" t="s">
        <v>163</v>
      </c>
      <c r="N2038" t="s">
        <v>3486</v>
      </c>
      <c r="O2038" t="s">
        <v>53810</v>
      </c>
      <c r="Q2038">
        <v>0</v>
      </c>
      <c r="R2038">
        <v>51</v>
      </c>
      <c r="S2038">
        <v>0</v>
      </c>
      <c r="T2038" t="s">
        <v>53811</v>
      </c>
    </row>
    <row r="2039" spans="1:25" customFormat="1" ht="15" x14ac:dyDescent="0.25">
      <c r="A2039" t="s">
        <v>24</v>
      </c>
      <c r="B2039" t="s">
        <v>53831</v>
      </c>
      <c r="C2039" t="str">
        <f>"A0093701"</f>
        <v>A0093701</v>
      </c>
      <c r="D2039" t="s">
        <v>53832</v>
      </c>
      <c r="E2039" t="s">
        <v>53833</v>
      </c>
      <c r="F2039" t="s">
        <v>53834</v>
      </c>
      <c r="G2039" t="s">
        <v>81</v>
      </c>
      <c r="H2039">
        <v>33950</v>
      </c>
      <c r="I2039" t="s">
        <v>30</v>
      </c>
      <c r="J2039" t="s">
        <v>162</v>
      </c>
      <c r="K2039" t="s">
        <v>163</v>
      </c>
      <c r="N2039" t="s">
        <v>53835</v>
      </c>
      <c r="Q2039">
        <v>0</v>
      </c>
      <c r="R2039">
        <v>63</v>
      </c>
      <c r="S2039">
        <v>0</v>
      </c>
      <c r="T2039" t="s">
        <v>53836</v>
      </c>
    </row>
    <row r="2040" spans="1:25" customFormat="1" ht="15" x14ac:dyDescent="0.25">
      <c r="A2040" t="s">
        <v>24</v>
      </c>
      <c r="B2040" t="s">
        <v>8805</v>
      </c>
      <c r="C2040" t="str">
        <f>"A0189674"</f>
        <v>A0189674</v>
      </c>
      <c r="D2040" t="s">
        <v>8806</v>
      </c>
      <c r="E2040" t="s">
        <v>8807</v>
      </c>
      <c r="F2040" t="s">
        <v>6840</v>
      </c>
      <c r="G2040" t="s">
        <v>117</v>
      </c>
      <c r="H2040">
        <v>48103</v>
      </c>
      <c r="I2040" t="s">
        <v>30</v>
      </c>
      <c r="J2040" t="s">
        <v>31</v>
      </c>
      <c r="K2040" t="s">
        <v>282</v>
      </c>
      <c r="N2040" t="s">
        <v>8808</v>
      </c>
      <c r="Q2040">
        <v>0</v>
      </c>
      <c r="R2040">
        <v>109</v>
      </c>
      <c r="S2040">
        <v>0</v>
      </c>
      <c r="T2040" t="s">
        <v>8809</v>
      </c>
    </row>
    <row r="2041" spans="1:25" customFormat="1" ht="15" x14ac:dyDescent="0.25">
      <c r="A2041" t="s">
        <v>24</v>
      </c>
      <c r="B2041" t="s">
        <v>193</v>
      </c>
      <c r="C2041" t="str">
        <f>"A0084760"</f>
        <v>A0084760</v>
      </c>
      <c r="D2041" t="s">
        <v>53886</v>
      </c>
      <c r="E2041" t="s">
        <v>53887</v>
      </c>
      <c r="F2041" t="s">
        <v>16277</v>
      </c>
      <c r="G2041" t="s">
        <v>214</v>
      </c>
      <c r="H2041">
        <v>27101</v>
      </c>
      <c r="I2041" t="s">
        <v>30</v>
      </c>
      <c r="J2041" t="s">
        <v>162</v>
      </c>
      <c r="K2041" t="s">
        <v>266</v>
      </c>
      <c r="N2041" t="s">
        <v>53888</v>
      </c>
      <c r="O2041" t="s">
        <v>53889</v>
      </c>
      <c r="Q2041">
        <v>0</v>
      </c>
      <c r="R2041">
        <v>146</v>
      </c>
      <c r="S2041">
        <v>0</v>
      </c>
      <c r="T2041" t="s">
        <v>53890</v>
      </c>
    </row>
    <row r="2042" spans="1:25" customFormat="1" ht="15" x14ac:dyDescent="0.25">
      <c r="A2042" t="s">
        <v>24</v>
      </c>
      <c r="B2042" t="s">
        <v>799</v>
      </c>
      <c r="C2042" t="str">
        <f>"A0167495"</f>
        <v>A0167495</v>
      </c>
      <c r="D2042" t="s">
        <v>53896</v>
      </c>
      <c r="E2042" t="s">
        <v>53897</v>
      </c>
      <c r="F2042" t="s">
        <v>53898</v>
      </c>
      <c r="G2042" t="s">
        <v>507</v>
      </c>
      <c r="H2042">
        <v>26505</v>
      </c>
      <c r="I2042" t="s">
        <v>30</v>
      </c>
      <c r="J2042" t="s">
        <v>162</v>
      </c>
      <c r="K2042" t="s">
        <v>163</v>
      </c>
      <c r="Q2042">
        <v>0</v>
      </c>
      <c r="R2042">
        <v>85</v>
      </c>
      <c r="S2042">
        <v>0</v>
      </c>
      <c r="T2042" t="s">
        <v>53899</v>
      </c>
    </row>
    <row r="2043" spans="1:25" customFormat="1" ht="15" x14ac:dyDescent="0.25">
      <c r="A2043" t="s">
        <v>24</v>
      </c>
      <c r="B2043" t="s">
        <v>8815</v>
      </c>
      <c r="C2043" t="str">
        <f>"202UT"</f>
        <v>202UT</v>
      </c>
      <c r="D2043" t="s">
        <v>8820</v>
      </c>
      <c r="E2043" t="s">
        <v>8821</v>
      </c>
      <c r="F2043" t="s">
        <v>8822</v>
      </c>
      <c r="G2043" t="s">
        <v>81</v>
      </c>
      <c r="H2043">
        <v>32771</v>
      </c>
      <c r="I2043" t="s">
        <v>30</v>
      </c>
      <c r="J2043" t="s">
        <v>31</v>
      </c>
      <c r="K2043" t="s">
        <v>255</v>
      </c>
      <c r="N2043" t="s">
        <v>8823</v>
      </c>
      <c r="Q2043">
        <v>0</v>
      </c>
      <c r="R2043">
        <v>105</v>
      </c>
      <c r="S2043">
        <v>0</v>
      </c>
      <c r="T2043" t="s">
        <v>8824</v>
      </c>
    </row>
    <row r="2044" spans="1:25" customFormat="1" ht="15" x14ac:dyDescent="0.25">
      <c r="A2044" t="s">
        <v>35</v>
      </c>
      <c r="B2044" t="s">
        <v>6747</v>
      </c>
      <c r="C2044" t="str">
        <f>"A0128559"</f>
        <v>A0128559</v>
      </c>
      <c r="D2044" t="s">
        <v>8825</v>
      </c>
      <c r="E2044" t="s">
        <v>8826</v>
      </c>
      <c r="F2044" t="s">
        <v>3193</v>
      </c>
      <c r="G2044" t="s">
        <v>840</v>
      </c>
      <c r="H2044">
        <v>42031</v>
      </c>
      <c r="I2044" t="s">
        <v>30</v>
      </c>
      <c r="J2044" t="s">
        <v>41</v>
      </c>
      <c r="K2044" t="s">
        <v>229</v>
      </c>
      <c r="Q2044">
        <v>0</v>
      </c>
      <c r="R2044">
        <v>100</v>
      </c>
      <c r="S2044">
        <v>88</v>
      </c>
      <c r="T2044" t="s">
        <v>8827</v>
      </c>
    </row>
    <row r="2045" spans="1:25" customFormat="1" ht="15" x14ac:dyDescent="0.25">
      <c r="A2045" t="s">
        <v>24</v>
      </c>
      <c r="B2045" t="s">
        <v>649</v>
      </c>
      <c r="C2045" t="str">
        <f>"A0088830"</f>
        <v>A0088830</v>
      </c>
      <c r="D2045" t="s">
        <v>8828</v>
      </c>
      <c r="E2045" t="s">
        <v>8829</v>
      </c>
      <c r="F2045" t="s">
        <v>2564</v>
      </c>
      <c r="G2045" t="s">
        <v>81</v>
      </c>
      <c r="H2045">
        <v>32308</v>
      </c>
      <c r="I2045" t="s">
        <v>30</v>
      </c>
      <c r="J2045" t="s">
        <v>31</v>
      </c>
      <c r="K2045" t="s">
        <v>296</v>
      </c>
      <c r="N2045" t="s">
        <v>8830</v>
      </c>
      <c r="Q2045">
        <v>0</v>
      </c>
      <c r="R2045">
        <v>100</v>
      </c>
      <c r="S2045">
        <v>0</v>
      </c>
      <c r="T2045" t="s">
        <v>8831</v>
      </c>
    </row>
    <row r="2046" spans="1:25" customFormat="1" ht="15" x14ac:dyDescent="0.25">
      <c r="A2046" t="s">
        <v>24</v>
      </c>
      <c r="B2046" t="s">
        <v>1548</v>
      </c>
      <c r="C2046" t="str">
        <f>"A0166861"</f>
        <v>A0166861</v>
      </c>
      <c r="D2046" t="s">
        <v>53947</v>
      </c>
      <c r="E2046" t="s">
        <v>53948</v>
      </c>
      <c r="F2046" t="s">
        <v>53949</v>
      </c>
      <c r="G2046" t="s">
        <v>123</v>
      </c>
      <c r="H2046">
        <v>21117</v>
      </c>
      <c r="I2046" t="s">
        <v>30</v>
      </c>
      <c r="J2046" t="s">
        <v>162</v>
      </c>
      <c r="K2046" t="s">
        <v>1490</v>
      </c>
      <c r="N2046" t="s">
        <v>53950</v>
      </c>
      <c r="O2046" t="s">
        <v>53951</v>
      </c>
      <c r="Q2046">
        <v>0</v>
      </c>
      <c r="R2046">
        <v>225</v>
      </c>
      <c r="S2046">
        <v>0</v>
      </c>
      <c r="T2046" t="s">
        <v>53952</v>
      </c>
    </row>
    <row r="2047" spans="1:25" customFormat="1" ht="15" x14ac:dyDescent="0.25">
      <c r="A2047" t="s">
        <v>24</v>
      </c>
      <c r="B2047" t="s">
        <v>193</v>
      </c>
      <c r="C2047" t="str">
        <f>"A0098628"</f>
        <v>A0098628</v>
      </c>
      <c r="D2047" t="s">
        <v>8838</v>
      </c>
      <c r="E2047" t="s">
        <v>8839</v>
      </c>
      <c r="F2047" t="s">
        <v>8840</v>
      </c>
      <c r="G2047" t="s">
        <v>99</v>
      </c>
      <c r="H2047">
        <v>13148</v>
      </c>
      <c r="I2047" t="s">
        <v>30</v>
      </c>
      <c r="J2047" t="s">
        <v>31</v>
      </c>
      <c r="K2047" t="s">
        <v>198</v>
      </c>
      <c r="N2047" t="s">
        <v>8841</v>
      </c>
      <c r="Q2047">
        <v>0</v>
      </c>
      <c r="R2047">
        <v>81</v>
      </c>
      <c r="S2047">
        <v>0</v>
      </c>
      <c r="T2047" t="s">
        <v>8842</v>
      </c>
    </row>
    <row r="2048" spans="1:25" x14ac:dyDescent="0.25">
      <c r="A2048" s="5" t="s">
        <v>24</v>
      </c>
      <c r="B2048" s="5" t="s">
        <v>2238</v>
      </c>
      <c r="C2048" s="5" t="str">
        <f>"A0145938"</f>
        <v>A0145938</v>
      </c>
      <c r="D2048" s="5" t="s">
        <v>54011</v>
      </c>
      <c r="E2048" s="5" t="s">
        <v>54012</v>
      </c>
      <c r="F2048" s="5" t="s">
        <v>2978</v>
      </c>
      <c r="G2048" s="5" t="s">
        <v>110</v>
      </c>
      <c r="H2048" s="5">
        <v>92109</v>
      </c>
      <c r="I2048" s="5" t="s">
        <v>30</v>
      </c>
      <c r="J2048" s="5" t="s">
        <v>162</v>
      </c>
      <c r="K2048" s="5" t="s">
        <v>163</v>
      </c>
      <c r="L2048" s="5"/>
      <c r="M2048" s="5"/>
      <c r="N2048" s="5" t="s">
        <v>54013</v>
      </c>
      <c r="O2048" s="5"/>
      <c r="P2048" s="5"/>
      <c r="Q2048" s="5">
        <v>0</v>
      </c>
      <c r="R2048" s="5">
        <v>357</v>
      </c>
      <c r="S2048" s="5">
        <v>0</v>
      </c>
      <c r="T2048" s="5" t="s">
        <v>54014</v>
      </c>
      <c r="U2048" s="5"/>
      <c r="V2048" s="5"/>
      <c r="W2048" s="5"/>
      <c r="X2048" s="5"/>
      <c r="Y2048" s="5"/>
    </row>
    <row r="2049" spans="1:20" customFormat="1" ht="15" x14ac:dyDescent="0.25">
      <c r="A2049" t="s">
        <v>24</v>
      </c>
      <c r="B2049" t="s">
        <v>8850</v>
      </c>
      <c r="C2049" t="str">
        <f>"A0075916"</f>
        <v>A0075916</v>
      </c>
      <c r="D2049" t="s">
        <v>8851</v>
      </c>
      <c r="E2049" t="s">
        <v>8852</v>
      </c>
      <c r="F2049" t="s">
        <v>7745</v>
      </c>
      <c r="G2049" t="s">
        <v>925</v>
      </c>
      <c r="H2049">
        <v>67601</v>
      </c>
      <c r="I2049" t="s">
        <v>30</v>
      </c>
      <c r="J2049" t="s">
        <v>145</v>
      </c>
      <c r="K2049" t="s">
        <v>1185</v>
      </c>
      <c r="N2049" t="s">
        <v>8853</v>
      </c>
      <c r="Q2049">
        <v>0</v>
      </c>
      <c r="R2049">
        <v>96</v>
      </c>
      <c r="S2049">
        <v>0</v>
      </c>
      <c r="T2049" t="s">
        <v>8854</v>
      </c>
    </row>
    <row r="2050" spans="1:20" customFormat="1" ht="15" x14ac:dyDescent="0.25">
      <c r="A2050" t="s">
        <v>24</v>
      </c>
      <c r="B2050" t="s">
        <v>54059</v>
      </c>
      <c r="C2050" t="str">
        <f>"A0167126"</f>
        <v>A0167126</v>
      </c>
      <c r="D2050" t="s">
        <v>54060</v>
      </c>
      <c r="E2050" t="s">
        <v>54061</v>
      </c>
      <c r="F2050" t="s">
        <v>4909</v>
      </c>
      <c r="G2050" t="s">
        <v>58</v>
      </c>
      <c r="H2050">
        <v>29201</v>
      </c>
      <c r="I2050" t="s">
        <v>30</v>
      </c>
      <c r="J2050" t="s">
        <v>162</v>
      </c>
      <c r="K2050" t="s">
        <v>854</v>
      </c>
      <c r="N2050" t="s">
        <v>54062</v>
      </c>
      <c r="Q2050">
        <v>0</v>
      </c>
      <c r="R2050">
        <v>90</v>
      </c>
      <c r="S2050">
        <v>0</v>
      </c>
      <c r="T2050" t="s">
        <v>54063</v>
      </c>
    </row>
    <row r="2051" spans="1:20" hidden="1" x14ac:dyDescent="0.25">
      <c r="A2051" s="3" t="s">
        <v>24</v>
      </c>
      <c r="B2051" s="3" t="s">
        <v>8771</v>
      </c>
      <c r="C2051" s="3" t="str">
        <f>"A0189673"</f>
        <v>A0189673</v>
      </c>
      <c r="D2051" s="3" t="s">
        <v>8861</v>
      </c>
      <c r="E2051" s="3" t="s">
        <v>8862</v>
      </c>
      <c r="F2051" s="3" t="s">
        <v>8863</v>
      </c>
      <c r="G2051" s="3" t="s">
        <v>8864</v>
      </c>
      <c r="I2051" s="3" t="s">
        <v>3147</v>
      </c>
      <c r="J2051" s="3" t="s">
        <v>206</v>
      </c>
      <c r="K2051" s="3" t="s">
        <v>8865</v>
      </c>
      <c r="N2051" s="3" t="s">
        <v>8866</v>
      </c>
      <c r="Q2051" s="3">
        <v>0</v>
      </c>
      <c r="R2051" s="3">
        <v>159</v>
      </c>
      <c r="S2051" s="3">
        <v>0</v>
      </c>
      <c r="T2051" s="3" t="s">
        <v>8867</v>
      </c>
    </row>
    <row r="2052" spans="1:20" customFormat="1" ht="15" x14ac:dyDescent="0.25">
      <c r="A2052" t="s">
        <v>24</v>
      </c>
      <c r="B2052" t="s">
        <v>8868</v>
      </c>
      <c r="C2052" t="str">
        <f>"A0155874"</f>
        <v>A0155874</v>
      </c>
      <c r="D2052" t="s">
        <v>8869</v>
      </c>
      <c r="E2052" t="s">
        <v>8870</v>
      </c>
      <c r="F2052" t="s">
        <v>7690</v>
      </c>
      <c r="G2052" t="s">
        <v>846</v>
      </c>
      <c r="H2052">
        <v>30076</v>
      </c>
      <c r="I2052" t="s">
        <v>30</v>
      </c>
      <c r="J2052" t="s">
        <v>31</v>
      </c>
      <c r="K2052" t="s">
        <v>255</v>
      </c>
      <c r="N2052" t="s">
        <v>8871</v>
      </c>
      <c r="O2052" t="s">
        <v>8872</v>
      </c>
      <c r="Q2052">
        <v>0</v>
      </c>
      <c r="R2052">
        <v>90</v>
      </c>
      <c r="S2052">
        <v>0</v>
      </c>
      <c r="T2052" t="s">
        <v>8873</v>
      </c>
    </row>
    <row r="2053" spans="1:20" customFormat="1" ht="15" x14ac:dyDescent="0.25">
      <c r="A2053" t="s">
        <v>24</v>
      </c>
      <c r="B2053" t="s">
        <v>8874</v>
      </c>
      <c r="C2053" t="str">
        <f>"A0093907"</f>
        <v>A0093907</v>
      </c>
      <c r="D2053" t="s">
        <v>8875</v>
      </c>
      <c r="E2053" t="s">
        <v>8876</v>
      </c>
      <c r="F2053" t="s">
        <v>8877</v>
      </c>
      <c r="G2053" t="s">
        <v>110</v>
      </c>
      <c r="H2053">
        <v>92324</v>
      </c>
      <c r="I2053" t="s">
        <v>30</v>
      </c>
      <c r="J2053" t="s">
        <v>31</v>
      </c>
      <c r="K2053" t="s">
        <v>2524</v>
      </c>
      <c r="N2053" t="s">
        <v>8878</v>
      </c>
      <c r="Q2053">
        <v>0</v>
      </c>
      <c r="R2053">
        <v>82</v>
      </c>
      <c r="S2053">
        <v>0</v>
      </c>
      <c r="T2053" t="s">
        <v>8879</v>
      </c>
    </row>
    <row r="2054" spans="1:20" customFormat="1" ht="15" x14ac:dyDescent="0.25">
      <c r="A2054" t="s">
        <v>24</v>
      </c>
      <c r="B2054" t="s">
        <v>7040</v>
      </c>
      <c r="C2054" t="str">
        <f>"A0189666"</f>
        <v>A0189666</v>
      </c>
      <c r="D2054" t="s">
        <v>8880</v>
      </c>
      <c r="E2054" t="s">
        <v>8881</v>
      </c>
      <c r="F2054" t="s">
        <v>8882</v>
      </c>
      <c r="G2054" t="s">
        <v>103</v>
      </c>
      <c r="H2054">
        <v>17109</v>
      </c>
      <c r="I2054" t="s">
        <v>30</v>
      </c>
      <c r="J2054" t="s">
        <v>687</v>
      </c>
      <c r="K2054" t="s">
        <v>163</v>
      </c>
      <c r="N2054" t="s">
        <v>8883</v>
      </c>
      <c r="Q2054">
        <v>0</v>
      </c>
      <c r="R2054">
        <v>0</v>
      </c>
      <c r="S2054">
        <v>0</v>
      </c>
      <c r="T2054" t="s">
        <v>8884</v>
      </c>
    </row>
    <row r="2055" spans="1:20" customFormat="1" ht="15" x14ac:dyDescent="0.25">
      <c r="A2055" t="s">
        <v>35</v>
      </c>
      <c r="B2055" t="s">
        <v>61</v>
      </c>
      <c r="C2055" t="str">
        <f>"A0182085"</f>
        <v>A0182085</v>
      </c>
      <c r="D2055" t="s">
        <v>8885</v>
      </c>
      <c r="E2055" t="s">
        <v>8886</v>
      </c>
      <c r="F2055" t="s">
        <v>8887</v>
      </c>
      <c r="G2055" t="s">
        <v>110</v>
      </c>
      <c r="H2055">
        <v>949201127</v>
      </c>
      <c r="I2055" t="s">
        <v>30</v>
      </c>
      <c r="J2055" t="s">
        <v>41</v>
      </c>
      <c r="K2055" t="s">
        <v>59</v>
      </c>
      <c r="Q2055">
        <v>0</v>
      </c>
      <c r="R2055">
        <v>0</v>
      </c>
      <c r="S2055">
        <v>0</v>
      </c>
      <c r="T2055" t="s">
        <v>8888</v>
      </c>
    </row>
    <row r="2056" spans="1:20" customFormat="1" ht="15" x14ac:dyDescent="0.25">
      <c r="A2056" t="s">
        <v>35</v>
      </c>
      <c r="B2056" t="s">
        <v>61</v>
      </c>
      <c r="C2056" t="str">
        <f>"A0118399"</f>
        <v>A0118399</v>
      </c>
      <c r="D2056" t="s">
        <v>8889</v>
      </c>
      <c r="E2056" t="s">
        <v>8890</v>
      </c>
      <c r="F2056" t="s">
        <v>8891</v>
      </c>
      <c r="G2056" t="s">
        <v>110</v>
      </c>
      <c r="H2056">
        <v>94920</v>
      </c>
      <c r="I2056" t="s">
        <v>30</v>
      </c>
      <c r="J2056" t="s">
        <v>41</v>
      </c>
      <c r="K2056" t="s">
        <v>229</v>
      </c>
      <c r="Q2056">
        <v>0</v>
      </c>
      <c r="R2056">
        <v>56</v>
      </c>
      <c r="S2056">
        <v>56</v>
      </c>
      <c r="T2056" t="s">
        <v>8892</v>
      </c>
    </row>
    <row r="2057" spans="1:20" customFormat="1" ht="15" x14ac:dyDescent="0.25">
      <c r="A2057" t="s">
        <v>24</v>
      </c>
      <c r="B2057" t="s">
        <v>8893</v>
      </c>
      <c r="C2057" t="str">
        <f>"A0158232"</f>
        <v>A0158232</v>
      </c>
      <c r="D2057" t="s">
        <v>8894</v>
      </c>
      <c r="E2057" t="s">
        <v>8895</v>
      </c>
      <c r="F2057" t="s">
        <v>321</v>
      </c>
      <c r="G2057" t="s">
        <v>110</v>
      </c>
      <c r="H2057">
        <v>92253</v>
      </c>
      <c r="I2057" t="s">
        <v>30</v>
      </c>
      <c r="J2057" t="s">
        <v>178</v>
      </c>
      <c r="K2057" t="s">
        <v>179</v>
      </c>
      <c r="N2057" t="s">
        <v>8896</v>
      </c>
      <c r="Q2057">
        <v>2</v>
      </c>
      <c r="R2057">
        <v>0</v>
      </c>
      <c r="S2057">
        <v>0</v>
      </c>
      <c r="T2057" t="s">
        <v>8897</v>
      </c>
    </row>
    <row r="2058" spans="1:20" customFormat="1" ht="15" x14ac:dyDescent="0.25">
      <c r="A2058" t="s">
        <v>24</v>
      </c>
      <c r="B2058" t="s">
        <v>8893</v>
      </c>
      <c r="C2058" t="str">
        <f>"A0158231"</f>
        <v>A0158231</v>
      </c>
      <c r="D2058" t="s">
        <v>8898</v>
      </c>
      <c r="E2058" t="s">
        <v>8899</v>
      </c>
      <c r="F2058" t="s">
        <v>321</v>
      </c>
      <c r="G2058" t="s">
        <v>110</v>
      </c>
      <c r="H2058">
        <v>92253</v>
      </c>
      <c r="I2058" t="s">
        <v>30</v>
      </c>
      <c r="J2058" t="s">
        <v>178</v>
      </c>
      <c r="K2058" t="s">
        <v>179</v>
      </c>
      <c r="N2058" t="s">
        <v>8900</v>
      </c>
      <c r="O2058" t="s">
        <v>8896</v>
      </c>
      <c r="Q2058">
        <v>1</v>
      </c>
      <c r="R2058">
        <v>0</v>
      </c>
      <c r="S2058">
        <v>0</v>
      </c>
      <c r="T2058" t="s">
        <v>8901</v>
      </c>
    </row>
    <row r="2059" spans="1:20" customFormat="1" ht="15" x14ac:dyDescent="0.25">
      <c r="A2059" t="s">
        <v>24</v>
      </c>
      <c r="B2059" t="s">
        <v>8893</v>
      </c>
      <c r="C2059" t="str">
        <f>"A0158230"</f>
        <v>A0158230</v>
      </c>
      <c r="D2059" t="s">
        <v>8902</v>
      </c>
      <c r="E2059" t="s">
        <v>8903</v>
      </c>
      <c r="F2059" t="s">
        <v>321</v>
      </c>
      <c r="G2059" t="s">
        <v>110</v>
      </c>
      <c r="H2059">
        <v>92253</v>
      </c>
      <c r="I2059" t="s">
        <v>30</v>
      </c>
      <c r="J2059" t="s">
        <v>178</v>
      </c>
      <c r="K2059" t="s">
        <v>179</v>
      </c>
      <c r="N2059" t="s">
        <v>8896</v>
      </c>
      <c r="O2059" t="s">
        <v>8904</v>
      </c>
      <c r="Q2059">
        <v>2</v>
      </c>
      <c r="R2059">
        <v>0</v>
      </c>
      <c r="S2059">
        <v>0</v>
      </c>
      <c r="T2059" t="s">
        <v>8905</v>
      </c>
    </row>
    <row r="2060" spans="1:20" customFormat="1" ht="15" x14ac:dyDescent="0.25">
      <c r="A2060" t="s">
        <v>24</v>
      </c>
      <c r="B2060" t="s">
        <v>8893</v>
      </c>
      <c r="C2060" t="str">
        <f>"A0153874"</f>
        <v>A0153874</v>
      </c>
      <c r="D2060" t="s">
        <v>8906</v>
      </c>
      <c r="E2060" t="s">
        <v>8907</v>
      </c>
      <c r="F2060" t="s">
        <v>321</v>
      </c>
      <c r="G2060" t="s">
        <v>110</v>
      </c>
      <c r="H2060">
        <v>92253</v>
      </c>
      <c r="I2060" t="s">
        <v>30</v>
      </c>
      <c r="J2060" t="s">
        <v>178</v>
      </c>
      <c r="K2060" t="s">
        <v>179</v>
      </c>
      <c r="N2060" t="s">
        <v>8908</v>
      </c>
      <c r="Q2060">
        <v>1</v>
      </c>
      <c r="R2060">
        <v>0</v>
      </c>
      <c r="S2060">
        <v>0</v>
      </c>
      <c r="T2060" t="s">
        <v>8897</v>
      </c>
    </row>
    <row r="2061" spans="1:20" customFormat="1" ht="15" x14ac:dyDescent="0.25">
      <c r="A2061" t="s">
        <v>24</v>
      </c>
      <c r="B2061" t="s">
        <v>8893</v>
      </c>
      <c r="C2061" t="str">
        <f>"A0153635"</f>
        <v>A0153635</v>
      </c>
      <c r="D2061" t="s">
        <v>8909</v>
      </c>
      <c r="E2061" t="s">
        <v>8910</v>
      </c>
      <c r="F2061" t="s">
        <v>321</v>
      </c>
      <c r="G2061" t="s">
        <v>110</v>
      </c>
      <c r="H2061" t="s">
        <v>8911</v>
      </c>
      <c r="I2061" t="s">
        <v>30</v>
      </c>
      <c r="J2061" t="s">
        <v>178</v>
      </c>
      <c r="K2061" t="s">
        <v>163</v>
      </c>
      <c r="N2061" t="s">
        <v>8912</v>
      </c>
      <c r="Q2061">
        <v>3</v>
      </c>
      <c r="R2061">
        <v>0</v>
      </c>
      <c r="S2061">
        <v>0</v>
      </c>
      <c r="T2061" t="s">
        <v>8913</v>
      </c>
    </row>
    <row r="2062" spans="1:20" customFormat="1" ht="15" x14ac:dyDescent="0.25">
      <c r="A2062" t="s">
        <v>24</v>
      </c>
      <c r="B2062" t="s">
        <v>8893</v>
      </c>
      <c r="C2062" t="str">
        <f>"A0136801"</f>
        <v>A0136801</v>
      </c>
      <c r="D2062" t="s">
        <v>8914</v>
      </c>
      <c r="E2062" t="s">
        <v>8915</v>
      </c>
      <c r="F2062" t="s">
        <v>6845</v>
      </c>
      <c r="G2062" t="s">
        <v>214</v>
      </c>
      <c r="H2062">
        <v>27517</v>
      </c>
      <c r="I2062" t="s">
        <v>30</v>
      </c>
      <c r="J2062" t="s">
        <v>178</v>
      </c>
      <c r="K2062" t="s">
        <v>179</v>
      </c>
      <c r="N2062" t="s">
        <v>8916</v>
      </c>
      <c r="Q2062">
        <v>0</v>
      </c>
      <c r="R2062">
        <v>0</v>
      </c>
      <c r="S2062">
        <v>0</v>
      </c>
      <c r="T2062" t="s">
        <v>8917</v>
      </c>
    </row>
    <row r="2063" spans="1:20" customFormat="1" ht="15" x14ac:dyDescent="0.25">
      <c r="A2063" t="s">
        <v>24</v>
      </c>
      <c r="B2063" t="s">
        <v>8893</v>
      </c>
      <c r="C2063" t="str">
        <f>"A0136800"</f>
        <v>A0136800</v>
      </c>
      <c r="D2063" t="s">
        <v>8918</v>
      </c>
      <c r="E2063" t="s">
        <v>8919</v>
      </c>
      <c r="F2063" t="s">
        <v>8920</v>
      </c>
      <c r="G2063" t="s">
        <v>214</v>
      </c>
      <c r="H2063">
        <v>27587</v>
      </c>
      <c r="I2063" t="s">
        <v>30</v>
      </c>
      <c r="J2063" t="s">
        <v>178</v>
      </c>
      <c r="K2063" t="s">
        <v>179</v>
      </c>
      <c r="N2063" t="s">
        <v>8921</v>
      </c>
      <c r="O2063" t="s">
        <v>8922</v>
      </c>
      <c r="Q2063">
        <v>0</v>
      </c>
      <c r="R2063">
        <v>0</v>
      </c>
      <c r="S2063">
        <v>0</v>
      </c>
      <c r="T2063" t="s">
        <v>8923</v>
      </c>
    </row>
    <row r="2064" spans="1:20" customFormat="1" ht="15" x14ac:dyDescent="0.25">
      <c r="A2064" t="s">
        <v>24</v>
      </c>
      <c r="B2064" t="s">
        <v>8893</v>
      </c>
      <c r="C2064" t="str">
        <f>"A0136799"</f>
        <v>A0136799</v>
      </c>
      <c r="D2064" t="s">
        <v>8924</v>
      </c>
      <c r="E2064" t="s">
        <v>8925</v>
      </c>
      <c r="F2064" t="s">
        <v>8926</v>
      </c>
      <c r="G2064" t="s">
        <v>214</v>
      </c>
      <c r="H2064">
        <v>27312</v>
      </c>
      <c r="I2064" t="s">
        <v>30</v>
      </c>
      <c r="J2064" t="s">
        <v>178</v>
      </c>
      <c r="K2064" t="s">
        <v>179</v>
      </c>
      <c r="N2064" t="s">
        <v>8916</v>
      </c>
      <c r="Q2064">
        <v>0</v>
      </c>
      <c r="R2064">
        <v>0</v>
      </c>
      <c r="S2064">
        <v>0</v>
      </c>
      <c r="T2064" t="s">
        <v>8927</v>
      </c>
    </row>
    <row r="2065" spans="1:20" customFormat="1" ht="15" x14ac:dyDescent="0.25">
      <c r="A2065" t="s">
        <v>24</v>
      </c>
      <c r="B2065" t="s">
        <v>8893</v>
      </c>
      <c r="C2065" t="str">
        <f>"A0136797"</f>
        <v>A0136797</v>
      </c>
      <c r="D2065" t="s">
        <v>8928</v>
      </c>
      <c r="E2065" t="s">
        <v>8929</v>
      </c>
      <c r="F2065" t="s">
        <v>8930</v>
      </c>
      <c r="G2065" t="s">
        <v>214</v>
      </c>
      <c r="H2065">
        <v>28422</v>
      </c>
      <c r="I2065" t="s">
        <v>30</v>
      </c>
      <c r="J2065" t="s">
        <v>178</v>
      </c>
      <c r="K2065" t="s">
        <v>179</v>
      </c>
      <c r="N2065" t="s">
        <v>8931</v>
      </c>
      <c r="Q2065">
        <v>0</v>
      </c>
      <c r="R2065">
        <v>0</v>
      </c>
      <c r="S2065">
        <v>0</v>
      </c>
      <c r="T2065" t="s">
        <v>8932</v>
      </c>
    </row>
    <row r="2066" spans="1:20" customFormat="1" ht="15" x14ac:dyDescent="0.25">
      <c r="A2066" t="s">
        <v>24</v>
      </c>
      <c r="B2066" t="s">
        <v>8893</v>
      </c>
      <c r="C2066" t="str">
        <f>"A0136795"</f>
        <v>A0136795</v>
      </c>
      <c r="D2066" t="s">
        <v>8933</v>
      </c>
      <c r="E2066" t="s">
        <v>8934</v>
      </c>
      <c r="F2066" t="s">
        <v>8935</v>
      </c>
      <c r="G2066" t="s">
        <v>214</v>
      </c>
      <c r="H2066">
        <v>27703</v>
      </c>
      <c r="I2066" t="s">
        <v>30</v>
      </c>
      <c r="J2066" t="s">
        <v>178</v>
      </c>
      <c r="K2066" t="s">
        <v>179</v>
      </c>
      <c r="N2066" t="s">
        <v>8916</v>
      </c>
      <c r="O2066" t="s">
        <v>8936</v>
      </c>
      <c r="Q2066">
        <v>0</v>
      </c>
      <c r="R2066">
        <v>0</v>
      </c>
      <c r="S2066">
        <v>0</v>
      </c>
      <c r="T2066" t="s">
        <v>8937</v>
      </c>
    </row>
    <row r="2067" spans="1:20" customFormat="1" ht="15" x14ac:dyDescent="0.25">
      <c r="A2067" t="s">
        <v>24</v>
      </c>
      <c r="B2067" t="s">
        <v>8893</v>
      </c>
      <c r="C2067" t="str">
        <f>"A0100534"</f>
        <v>A0100534</v>
      </c>
      <c r="D2067" t="s">
        <v>8938</v>
      </c>
      <c r="E2067" t="s">
        <v>8939</v>
      </c>
      <c r="F2067" t="s">
        <v>8940</v>
      </c>
      <c r="G2067" t="s">
        <v>197</v>
      </c>
      <c r="H2067">
        <v>85396</v>
      </c>
      <c r="I2067" t="s">
        <v>30</v>
      </c>
      <c r="J2067" t="s">
        <v>2415</v>
      </c>
      <c r="K2067" t="s">
        <v>179</v>
      </c>
      <c r="N2067" t="s">
        <v>8941</v>
      </c>
      <c r="O2067" t="s">
        <v>8942</v>
      </c>
      <c r="Q2067">
        <v>2</v>
      </c>
      <c r="R2067">
        <v>0</v>
      </c>
      <c r="S2067">
        <v>0</v>
      </c>
      <c r="T2067" t="s">
        <v>8943</v>
      </c>
    </row>
    <row r="2068" spans="1:20" customFormat="1" ht="15" x14ac:dyDescent="0.25">
      <c r="A2068" t="s">
        <v>24</v>
      </c>
      <c r="B2068" t="s">
        <v>8893</v>
      </c>
      <c r="C2068" t="str">
        <f>"A0099999"</f>
        <v>A0099999</v>
      </c>
      <c r="D2068" t="s">
        <v>8944</v>
      </c>
      <c r="E2068" t="s">
        <v>8945</v>
      </c>
      <c r="F2068" t="s">
        <v>8946</v>
      </c>
      <c r="G2068" t="s">
        <v>81</v>
      </c>
      <c r="H2068">
        <v>32830</v>
      </c>
      <c r="I2068" t="s">
        <v>30</v>
      </c>
      <c r="J2068" t="s">
        <v>2415</v>
      </c>
      <c r="K2068" t="s">
        <v>179</v>
      </c>
      <c r="N2068" t="s">
        <v>8947</v>
      </c>
      <c r="Q2068">
        <v>0</v>
      </c>
      <c r="R2068">
        <v>0</v>
      </c>
      <c r="S2068">
        <v>0</v>
      </c>
      <c r="T2068" t="s">
        <v>8948</v>
      </c>
    </row>
    <row r="2069" spans="1:20" customFormat="1" ht="15" x14ac:dyDescent="0.25">
      <c r="A2069" t="s">
        <v>24</v>
      </c>
      <c r="B2069" t="s">
        <v>8893</v>
      </c>
      <c r="C2069" t="str">
        <f>"A0096523"</f>
        <v>A0096523</v>
      </c>
      <c r="D2069" t="s">
        <v>8949</v>
      </c>
      <c r="E2069" t="s">
        <v>8950</v>
      </c>
      <c r="F2069" t="s">
        <v>8951</v>
      </c>
      <c r="G2069" t="s">
        <v>615</v>
      </c>
      <c r="H2069">
        <v>6002</v>
      </c>
      <c r="I2069" t="s">
        <v>30</v>
      </c>
      <c r="J2069" t="s">
        <v>2415</v>
      </c>
      <c r="K2069" t="s">
        <v>179</v>
      </c>
      <c r="N2069" t="s">
        <v>8952</v>
      </c>
      <c r="Q2069">
        <v>0</v>
      </c>
      <c r="R2069">
        <v>0</v>
      </c>
      <c r="S2069">
        <v>0</v>
      </c>
      <c r="T2069" t="s">
        <v>8953</v>
      </c>
    </row>
    <row r="2070" spans="1:20" customFormat="1" ht="15" x14ac:dyDescent="0.25">
      <c r="A2070" t="s">
        <v>24</v>
      </c>
      <c r="B2070" t="s">
        <v>8893</v>
      </c>
      <c r="C2070" t="str">
        <f>"A0093585"</f>
        <v>A0093585</v>
      </c>
      <c r="D2070" t="s">
        <v>8954</v>
      </c>
      <c r="E2070" t="s">
        <v>8955</v>
      </c>
      <c r="F2070" t="s">
        <v>8956</v>
      </c>
      <c r="G2070" t="s">
        <v>81</v>
      </c>
      <c r="H2070">
        <v>32830</v>
      </c>
      <c r="I2070" t="s">
        <v>30</v>
      </c>
      <c r="J2070" t="s">
        <v>178</v>
      </c>
      <c r="K2070" t="s">
        <v>179</v>
      </c>
      <c r="N2070" t="s">
        <v>8947</v>
      </c>
      <c r="O2070" t="s">
        <v>8957</v>
      </c>
      <c r="Q2070">
        <v>1</v>
      </c>
      <c r="R2070">
        <v>0</v>
      </c>
      <c r="S2070">
        <v>0</v>
      </c>
      <c r="T2070" t="s">
        <v>8958</v>
      </c>
    </row>
    <row r="2071" spans="1:20" customFormat="1" ht="15" x14ac:dyDescent="0.25">
      <c r="A2071" t="s">
        <v>24</v>
      </c>
      <c r="B2071" t="s">
        <v>8893</v>
      </c>
      <c r="C2071" t="str">
        <f>"A0093584"</f>
        <v>A0093584</v>
      </c>
      <c r="D2071" t="s">
        <v>8959</v>
      </c>
      <c r="E2071" t="s">
        <v>8960</v>
      </c>
      <c r="F2071" t="s">
        <v>8946</v>
      </c>
      <c r="G2071" t="s">
        <v>81</v>
      </c>
      <c r="H2071">
        <v>32830</v>
      </c>
      <c r="I2071" t="s">
        <v>30</v>
      </c>
      <c r="J2071" t="s">
        <v>178</v>
      </c>
      <c r="K2071" t="s">
        <v>179</v>
      </c>
      <c r="N2071" t="s">
        <v>8961</v>
      </c>
      <c r="Q2071">
        <v>1</v>
      </c>
      <c r="R2071">
        <v>0</v>
      </c>
      <c r="S2071">
        <v>0</v>
      </c>
      <c r="T2071" t="s">
        <v>8962</v>
      </c>
    </row>
    <row r="2072" spans="1:20" customFormat="1" ht="15" x14ac:dyDescent="0.25">
      <c r="A2072" t="s">
        <v>24</v>
      </c>
      <c r="B2072" t="s">
        <v>2360</v>
      </c>
      <c r="C2072" t="str">
        <f>"A0093372"</f>
        <v>A0093372</v>
      </c>
      <c r="D2072" t="s">
        <v>8963</v>
      </c>
      <c r="E2072" t="s">
        <v>8964</v>
      </c>
      <c r="F2072" t="s">
        <v>796</v>
      </c>
      <c r="G2072" t="s">
        <v>197</v>
      </c>
      <c r="H2072">
        <v>85718</v>
      </c>
      <c r="I2072" t="s">
        <v>30</v>
      </c>
      <c r="J2072" t="s">
        <v>178</v>
      </c>
      <c r="K2072" t="s">
        <v>2364</v>
      </c>
      <c r="N2072" t="s">
        <v>8965</v>
      </c>
      <c r="O2072" t="s">
        <v>8966</v>
      </c>
      <c r="Q2072">
        <v>1</v>
      </c>
      <c r="R2072">
        <v>0</v>
      </c>
      <c r="S2072">
        <v>0</v>
      </c>
      <c r="T2072" t="s">
        <v>8967</v>
      </c>
    </row>
    <row r="2073" spans="1:20" customFormat="1" ht="15" x14ac:dyDescent="0.25">
      <c r="A2073" t="s">
        <v>24</v>
      </c>
      <c r="B2073" t="s">
        <v>8893</v>
      </c>
      <c r="C2073" t="str">
        <f>"A0091271"</f>
        <v>A0091271</v>
      </c>
      <c r="D2073" t="s">
        <v>8968</v>
      </c>
      <c r="E2073" t="s">
        <v>8969</v>
      </c>
      <c r="F2073" t="s">
        <v>8970</v>
      </c>
      <c r="G2073" t="s">
        <v>81</v>
      </c>
      <c r="H2073">
        <v>32966</v>
      </c>
      <c r="I2073" t="s">
        <v>30</v>
      </c>
      <c r="J2073" t="s">
        <v>2415</v>
      </c>
      <c r="K2073" t="s">
        <v>179</v>
      </c>
      <c r="N2073" t="s">
        <v>8971</v>
      </c>
      <c r="O2073" t="s">
        <v>8972</v>
      </c>
      <c r="Q2073">
        <v>1</v>
      </c>
      <c r="R2073">
        <v>0</v>
      </c>
      <c r="S2073">
        <v>0</v>
      </c>
      <c r="T2073" t="s">
        <v>8973</v>
      </c>
    </row>
    <row r="2074" spans="1:20" customFormat="1" ht="15" x14ac:dyDescent="0.25">
      <c r="A2074" t="s">
        <v>24</v>
      </c>
      <c r="B2074" t="s">
        <v>8893</v>
      </c>
      <c r="C2074" t="str">
        <f>"A0090073"</f>
        <v>A0090073</v>
      </c>
      <c r="D2074" t="s">
        <v>8974</v>
      </c>
      <c r="E2074" t="s">
        <v>8975</v>
      </c>
      <c r="F2074" t="s">
        <v>220</v>
      </c>
      <c r="G2074" t="s">
        <v>221</v>
      </c>
      <c r="H2074">
        <v>89148</v>
      </c>
      <c r="I2074" t="s">
        <v>30</v>
      </c>
      <c r="J2074" t="s">
        <v>2415</v>
      </c>
      <c r="K2074" t="s">
        <v>179</v>
      </c>
      <c r="N2074" t="s">
        <v>8976</v>
      </c>
      <c r="Q2074">
        <v>1</v>
      </c>
      <c r="R2074">
        <v>0</v>
      </c>
      <c r="S2074">
        <v>0</v>
      </c>
      <c r="T2074" t="s">
        <v>8977</v>
      </c>
    </row>
    <row r="2075" spans="1:20" customFormat="1" ht="15" x14ac:dyDescent="0.25">
      <c r="A2075" t="s">
        <v>24</v>
      </c>
      <c r="B2075" t="s">
        <v>8893</v>
      </c>
      <c r="C2075" t="str">
        <f>"A0090071"</f>
        <v>A0090071</v>
      </c>
      <c r="D2075" t="s">
        <v>8978</v>
      </c>
      <c r="E2075" t="s">
        <v>8979</v>
      </c>
      <c r="F2075" t="s">
        <v>8980</v>
      </c>
      <c r="G2075" t="s">
        <v>65</v>
      </c>
      <c r="H2075">
        <v>43082</v>
      </c>
      <c r="I2075" t="s">
        <v>30</v>
      </c>
      <c r="J2075" t="s">
        <v>178</v>
      </c>
      <c r="K2075" t="s">
        <v>179</v>
      </c>
      <c r="N2075" t="s">
        <v>8981</v>
      </c>
      <c r="Q2075">
        <v>0</v>
      </c>
      <c r="R2075">
        <v>0</v>
      </c>
      <c r="S2075">
        <v>0</v>
      </c>
      <c r="T2075" t="s">
        <v>8982</v>
      </c>
    </row>
    <row r="2076" spans="1:20" customFormat="1" ht="15" x14ac:dyDescent="0.25">
      <c r="A2076" t="s">
        <v>24</v>
      </c>
      <c r="B2076" t="s">
        <v>8893</v>
      </c>
      <c r="C2076" t="str">
        <f>"A0089789"</f>
        <v>A0089789</v>
      </c>
      <c r="D2076" t="s">
        <v>8983</v>
      </c>
      <c r="E2076" t="s">
        <v>8984</v>
      </c>
      <c r="F2076" t="s">
        <v>8985</v>
      </c>
      <c r="G2076" t="s">
        <v>197</v>
      </c>
      <c r="H2076">
        <v>86301</v>
      </c>
      <c r="I2076" t="s">
        <v>30</v>
      </c>
      <c r="J2076" t="s">
        <v>178</v>
      </c>
      <c r="K2076" t="s">
        <v>179</v>
      </c>
      <c r="N2076" t="s">
        <v>8986</v>
      </c>
      <c r="O2076" t="s">
        <v>8987</v>
      </c>
      <c r="Q2076">
        <v>0</v>
      </c>
      <c r="R2076">
        <v>0</v>
      </c>
      <c r="S2076">
        <v>0</v>
      </c>
      <c r="T2076" t="s">
        <v>8988</v>
      </c>
    </row>
    <row r="2077" spans="1:20" customFormat="1" ht="15" x14ac:dyDescent="0.25">
      <c r="A2077" t="s">
        <v>24</v>
      </c>
      <c r="B2077" t="s">
        <v>8893</v>
      </c>
      <c r="C2077" t="str">
        <f>"A0089787"</f>
        <v>A0089787</v>
      </c>
      <c r="D2077" t="s">
        <v>8989</v>
      </c>
      <c r="E2077" t="s">
        <v>8990</v>
      </c>
      <c r="F2077" t="s">
        <v>8991</v>
      </c>
      <c r="G2077" t="s">
        <v>214</v>
      </c>
      <c r="H2077">
        <v>28468</v>
      </c>
      <c r="I2077" t="s">
        <v>30</v>
      </c>
      <c r="J2077" t="s">
        <v>2415</v>
      </c>
      <c r="K2077" t="s">
        <v>179</v>
      </c>
      <c r="N2077" t="s">
        <v>8992</v>
      </c>
      <c r="Q2077">
        <v>0</v>
      </c>
      <c r="R2077">
        <v>0</v>
      </c>
      <c r="S2077">
        <v>0</v>
      </c>
      <c r="T2077" t="s">
        <v>8993</v>
      </c>
    </row>
    <row r="2078" spans="1:20" customFormat="1" ht="15" x14ac:dyDescent="0.25">
      <c r="A2078" t="s">
        <v>24</v>
      </c>
      <c r="B2078" t="s">
        <v>8893</v>
      </c>
      <c r="C2078" t="str">
        <f>"A0089786"</f>
        <v>A0089786</v>
      </c>
      <c r="D2078" t="s">
        <v>8994</v>
      </c>
      <c r="E2078" t="s">
        <v>8995</v>
      </c>
      <c r="F2078" t="s">
        <v>8996</v>
      </c>
      <c r="G2078" t="s">
        <v>58</v>
      </c>
      <c r="H2078">
        <v>29585</v>
      </c>
      <c r="I2078" t="s">
        <v>30</v>
      </c>
      <c r="J2078" t="s">
        <v>2415</v>
      </c>
      <c r="K2078" t="s">
        <v>179</v>
      </c>
      <c r="N2078" t="s">
        <v>8992</v>
      </c>
      <c r="Q2078">
        <v>0</v>
      </c>
      <c r="R2078">
        <v>0</v>
      </c>
      <c r="S2078">
        <v>0</v>
      </c>
      <c r="T2078" t="s">
        <v>8993</v>
      </c>
    </row>
    <row r="2079" spans="1:20" customFormat="1" ht="15" x14ac:dyDescent="0.25">
      <c r="A2079" t="s">
        <v>24</v>
      </c>
      <c r="B2079" t="s">
        <v>8893</v>
      </c>
      <c r="C2079" t="str">
        <f>"A0074159"</f>
        <v>A0074159</v>
      </c>
      <c r="D2079" t="s">
        <v>8997</v>
      </c>
      <c r="E2079" t="s">
        <v>8998</v>
      </c>
      <c r="F2079" t="s">
        <v>8999</v>
      </c>
      <c r="G2079" t="s">
        <v>99</v>
      </c>
      <c r="H2079">
        <v>11050</v>
      </c>
      <c r="I2079" t="s">
        <v>30</v>
      </c>
      <c r="J2079" t="s">
        <v>2415</v>
      </c>
      <c r="K2079" t="s">
        <v>163</v>
      </c>
      <c r="N2079" t="s">
        <v>9000</v>
      </c>
      <c r="O2079" t="s">
        <v>9001</v>
      </c>
      <c r="Q2079">
        <v>1</v>
      </c>
      <c r="R2079">
        <v>0</v>
      </c>
      <c r="S2079">
        <v>0</v>
      </c>
      <c r="T2079" t="s">
        <v>9002</v>
      </c>
    </row>
    <row r="2080" spans="1:20" customFormat="1" ht="15" x14ac:dyDescent="0.25">
      <c r="A2080" t="s">
        <v>24</v>
      </c>
      <c r="B2080" t="s">
        <v>8893</v>
      </c>
      <c r="C2080" t="str">
        <f>"A0069462"</f>
        <v>A0069462</v>
      </c>
      <c r="D2080" t="s">
        <v>9003</v>
      </c>
      <c r="E2080" t="s">
        <v>9004</v>
      </c>
      <c r="F2080" t="s">
        <v>2014</v>
      </c>
      <c r="G2080" t="s">
        <v>197</v>
      </c>
      <c r="H2080" t="s">
        <v>9005</v>
      </c>
      <c r="I2080" t="s">
        <v>30</v>
      </c>
      <c r="J2080" t="s">
        <v>2415</v>
      </c>
      <c r="K2080" t="s">
        <v>179</v>
      </c>
      <c r="N2080" t="s">
        <v>9006</v>
      </c>
      <c r="O2080" t="s">
        <v>9007</v>
      </c>
      <c r="P2080" t="s">
        <v>6426</v>
      </c>
      <c r="Q2080">
        <v>2</v>
      </c>
      <c r="R2080">
        <v>0</v>
      </c>
      <c r="S2080">
        <v>0</v>
      </c>
      <c r="T2080" t="s">
        <v>9008</v>
      </c>
    </row>
    <row r="2081" spans="1:25" customFormat="1" ht="15" x14ac:dyDescent="0.25">
      <c r="A2081" t="s">
        <v>24</v>
      </c>
      <c r="B2081" t="s">
        <v>8893</v>
      </c>
      <c r="C2081" t="str">
        <f>"A0051879"</f>
        <v>A0051879</v>
      </c>
      <c r="D2081" t="s">
        <v>9009</v>
      </c>
      <c r="E2081" t="s">
        <v>9010</v>
      </c>
      <c r="F2081" t="s">
        <v>9011</v>
      </c>
      <c r="G2081" t="s">
        <v>65</v>
      </c>
      <c r="H2081">
        <v>43560</v>
      </c>
      <c r="I2081" t="s">
        <v>30</v>
      </c>
      <c r="J2081" t="s">
        <v>178</v>
      </c>
      <c r="K2081" t="s">
        <v>179</v>
      </c>
      <c r="N2081" t="s">
        <v>9012</v>
      </c>
      <c r="Q2081">
        <v>0</v>
      </c>
      <c r="R2081">
        <v>0</v>
      </c>
      <c r="S2081">
        <v>0</v>
      </c>
      <c r="T2081" t="s">
        <v>9013</v>
      </c>
    </row>
    <row r="2082" spans="1:25" customFormat="1" ht="15" x14ac:dyDescent="0.25">
      <c r="A2082" t="s">
        <v>24</v>
      </c>
      <c r="B2082" t="s">
        <v>8893</v>
      </c>
      <c r="C2082" t="str">
        <f>"A0051245"</f>
        <v>A0051245</v>
      </c>
      <c r="D2082" t="s">
        <v>9014</v>
      </c>
      <c r="E2082" t="s">
        <v>9015</v>
      </c>
      <c r="F2082" t="s">
        <v>372</v>
      </c>
      <c r="G2082" t="s">
        <v>52</v>
      </c>
      <c r="H2082">
        <v>78750</v>
      </c>
      <c r="I2082" t="s">
        <v>30</v>
      </c>
      <c r="J2082" t="s">
        <v>178</v>
      </c>
      <c r="K2082" t="s">
        <v>179</v>
      </c>
      <c r="N2082" t="s">
        <v>9016</v>
      </c>
      <c r="O2082" t="s">
        <v>9017</v>
      </c>
      <c r="Q2082">
        <v>1</v>
      </c>
      <c r="R2082">
        <v>0</v>
      </c>
      <c r="S2082">
        <v>0</v>
      </c>
      <c r="T2082" t="s">
        <v>9018</v>
      </c>
    </row>
    <row r="2083" spans="1:25" customFormat="1" ht="15" x14ac:dyDescent="0.25">
      <c r="A2083" t="s">
        <v>24</v>
      </c>
      <c r="B2083" t="s">
        <v>8893</v>
      </c>
      <c r="C2083" t="str">
        <f>"A0050887"</f>
        <v>A0050887</v>
      </c>
      <c r="D2083" t="s">
        <v>9019</v>
      </c>
      <c r="E2083" t="s">
        <v>9020</v>
      </c>
      <c r="F2083" t="s">
        <v>7063</v>
      </c>
      <c r="G2083" t="s">
        <v>110</v>
      </c>
      <c r="H2083">
        <v>92264</v>
      </c>
      <c r="I2083" t="s">
        <v>30</v>
      </c>
      <c r="J2083" t="s">
        <v>2415</v>
      </c>
      <c r="K2083" t="s">
        <v>179</v>
      </c>
      <c r="N2083" t="s">
        <v>9021</v>
      </c>
      <c r="O2083" t="s">
        <v>9022</v>
      </c>
      <c r="Q2083">
        <v>1</v>
      </c>
      <c r="R2083">
        <v>0</v>
      </c>
      <c r="S2083">
        <v>0</v>
      </c>
      <c r="T2083" t="s">
        <v>9023</v>
      </c>
    </row>
    <row r="2084" spans="1:25" customFormat="1" ht="15" x14ac:dyDescent="0.25">
      <c r="A2084" t="s">
        <v>24</v>
      </c>
      <c r="B2084" t="s">
        <v>8893</v>
      </c>
      <c r="C2084" t="str">
        <f>"A0050475"</f>
        <v>A0050475</v>
      </c>
      <c r="D2084" t="s">
        <v>9024</v>
      </c>
      <c r="E2084" t="s">
        <v>9025</v>
      </c>
      <c r="F2084" t="s">
        <v>9026</v>
      </c>
      <c r="G2084" t="s">
        <v>110</v>
      </c>
      <c r="H2084">
        <v>91775</v>
      </c>
      <c r="I2084" t="s">
        <v>30</v>
      </c>
      <c r="J2084" t="s">
        <v>178</v>
      </c>
      <c r="K2084" t="s">
        <v>179</v>
      </c>
      <c r="N2084" t="s">
        <v>9027</v>
      </c>
      <c r="Q2084">
        <v>1</v>
      </c>
      <c r="R2084">
        <v>0</v>
      </c>
      <c r="S2084">
        <v>0</v>
      </c>
      <c r="T2084" t="s">
        <v>9028</v>
      </c>
    </row>
    <row r="2085" spans="1:25" customFormat="1" ht="15" x14ac:dyDescent="0.25">
      <c r="A2085" t="s">
        <v>24</v>
      </c>
      <c r="B2085" t="s">
        <v>8893</v>
      </c>
      <c r="C2085" t="str">
        <f>"A0050336"</f>
        <v>A0050336</v>
      </c>
      <c r="D2085" t="s">
        <v>9029</v>
      </c>
      <c r="E2085" t="s">
        <v>9030</v>
      </c>
      <c r="F2085" t="s">
        <v>9031</v>
      </c>
      <c r="G2085" t="s">
        <v>289</v>
      </c>
      <c r="H2085">
        <v>60010</v>
      </c>
      <c r="I2085" t="s">
        <v>30</v>
      </c>
      <c r="J2085" t="s">
        <v>178</v>
      </c>
      <c r="K2085" t="s">
        <v>179</v>
      </c>
      <c r="N2085" t="s">
        <v>9032</v>
      </c>
      <c r="Q2085">
        <v>1</v>
      </c>
      <c r="R2085">
        <v>0</v>
      </c>
      <c r="S2085">
        <v>0</v>
      </c>
      <c r="T2085" t="s">
        <v>9033</v>
      </c>
    </row>
    <row r="2086" spans="1:25" customFormat="1" ht="15" x14ac:dyDescent="0.25">
      <c r="A2086" t="s">
        <v>24</v>
      </c>
      <c r="B2086" t="s">
        <v>8893</v>
      </c>
      <c r="C2086" t="str">
        <f>"A0050298"</f>
        <v>A0050298</v>
      </c>
      <c r="D2086" t="s">
        <v>9034</v>
      </c>
      <c r="E2086" t="s">
        <v>9035</v>
      </c>
      <c r="F2086" t="s">
        <v>1159</v>
      </c>
      <c r="G2086" t="s">
        <v>58</v>
      </c>
      <c r="H2086">
        <v>29579</v>
      </c>
      <c r="I2086" t="s">
        <v>30</v>
      </c>
      <c r="J2086" t="s">
        <v>2415</v>
      </c>
      <c r="K2086" t="s">
        <v>179</v>
      </c>
      <c r="N2086" t="s">
        <v>8992</v>
      </c>
      <c r="O2086" t="s">
        <v>9036</v>
      </c>
      <c r="Q2086">
        <v>5</v>
      </c>
      <c r="R2086">
        <v>0</v>
      </c>
      <c r="S2086">
        <v>0</v>
      </c>
      <c r="T2086" t="s">
        <v>8993</v>
      </c>
    </row>
    <row r="2087" spans="1:25" customFormat="1" ht="15" x14ac:dyDescent="0.25">
      <c r="A2087" t="s">
        <v>24</v>
      </c>
      <c r="B2087" t="s">
        <v>8893</v>
      </c>
      <c r="C2087" t="str">
        <f>"A0050241"</f>
        <v>A0050241</v>
      </c>
      <c r="D2087" t="s">
        <v>9037</v>
      </c>
      <c r="E2087" t="s">
        <v>9038</v>
      </c>
      <c r="F2087" t="s">
        <v>4334</v>
      </c>
      <c r="G2087" t="s">
        <v>85</v>
      </c>
      <c r="H2087">
        <v>72223</v>
      </c>
      <c r="I2087" t="s">
        <v>30</v>
      </c>
      <c r="J2087" t="s">
        <v>178</v>
      </c>
      <c r="K2087" t="s">
        <v>179</v>
      </c>
      <c r="N2087" t="s">
        <v>9039</v>
      </c>
      <c r="Q2087">
        <v>0</v>
      </c>
      <c r="R2087">
        <v>0</v>
      </c>
      <c r="S2087">
        <v>0</v>
      </c>
      <c r="T2087" t="s">
        <v>9040</v>
      </c>
    </row>
    <row r="2088" spans="1:25" customFormat="1" ht="15" x14ac:dyDescent="0.25">
      <c r="A2088" t="s">
        <v>24</v>
      </c>
      <c r="B2088" t="s">
        <v>8893</v>
      </c>
      <c r="C2088" t="str">
        <f>"A0049805"</f>
        <v>A0049805</v>
      </c>
      <c r="D2088" t="s">
        <v>9041</v>
      </c>
      <c r="E2088" t="s">
        <v>9042</v>
      </c>
      <c r="F2088" t="s">
        <v>242</v>
      </c>
      <c r="G2088" t="s">
        <v>214</v>
      </c>
      <c r="H2088">
        <v>28277</v>
      </c>
      <c r="I2088" t="s">
        <v>30</v>
      </c>
      <c r="J2088" t="s">
        <v>178</v>
      </c>
      <c r="K2088" t="s">
        <v>179</v>
      </c>
      <c r="N2088" t="s">
        <v>9043</v>
      </c>
      <c r="O2088" t="s">
        <v>9044</v>
      </c>
      <c r="Q2088">
        <v>0</v>
      </c>
      <c r="R2088">
        <v>0</v>
      </c>
      <c r="S2088">
        <v>0</v>
      </c>
      <c r="T2088" t="s">
        <v>9045</v>
      </c>
    </row>
    <row r="2089" spans="1:25" x14ac:dyDescent="0.25">
      <c r="A2089" s="5" t="s">
        <v>24</v>
      </c>
      <c r="B2089" s="5" t="s">
        <v>140</v>
      </c>
      <c r="C2089" s="5" t="str">
        <f>"HY09760"</f>
        <v>HY09760</v>
      </c>
      <c r="D2089" s="5" t="s">
        <v>54073</v>
      </c>
      <c r="E2089" s="5" t="s">
        <v>54074</v>
      </c>
      <c r="F2089" s="5" t="s">
        <v>54075</v>
      </c>
      <c r="G2089" s="5" t="s">
        <v>99</v>
      </c>
      <c r="H2089" s="5">
        <v>14202</v>
      </c>
      <c r="I2089" s="5" t="s">
        <v>30</v>
      </c>
      <c r="J2089" s="5" t="s">
        <v>162</v>
      </c>
      <c r="K2089" s="5" t="s">
        <v>7598</v>
      </c>
      <c r="L2089" s="5"/>
      <c r="M2089" s="5"/>
      <c r="N2089" s="5" t="s">
        <v>54076</v>
      </c>
      <c r="O2089" s="5"/>
      <c r="P2089" s="5"/>
      <c r="Q2089" s="5">
        <v>0</v>
      </c>
      <c r="R2089" s="5">
        <v>395</v>
      </c>
      <c r="S2089" s="5">
        <v>0</v>
      </c>
      <c r="T2089" s="5" t="s">
        <v>54077</v>
      </c>
      <c r="U2089" s="5"/>
      <c r="V2089" s="5"/>
      <c r="W2089" s="5"/>
      <c r="X2089" s="5"/>
      <c r="Y2089" s="5"/>
    </row>
    <row r="2090" spans="1:25" customFormat="1" ht="15" x14ac:dyDescent="0.25">
      <c r="A2090" t="s">
        <v>35</v>
      </c>
      <c r="B2090" t="s">
        <v>36</v>
      </c>
      <c r="C2090" t="str">
        <f>"A0120386"</f>
        <v>A0120386</v>
      </c>
      <c r="D2090" t="s">
        <v>9051</v>
      </c>
      <c r="E2090" t="s">
        <v>9052</v>
      </c>
      <c r="F2090" t="s">
        <v>9053</v>
      </c>
      <c r="G2090" t="s">
        <v>4815</v>
      </c>
      <c r="H2090">
        <v>96791</v>
      </c>
      <c r="I2090" t="s">
        <v>30</v>
      </c>
      <c r="J2090" t="s">
        <v>41</v>
      </c>
      <c r="K2090" t="s">
        <v>42</v>
      </c>
      <c r="Q2090">
        <v>0</v>
      </c>
      <c r="R2090">
        <v>0</v>
      </c>
      <c r="S2090">
        <v>0</v>
      </c>
      <c r="T2090" t="s">
        <v>9054</v>
      </c>
    </row>
    <row r="2091" spans="1:25" customFormat="1" ht="15" x14ac:dyDescent="0.25">
      <c r="A2091" t="s">
        <v>24</v>
      </c>
      <c r="B2091" t="s">
        <v>9055</v>
      </c>
      <c r="C2091" t="str">
        <f>"A0152911"</f>
        <v>A0152911</v>
      </c>
      <c r="D2091" t="s">
        <v>9056</v>
      </c>
      <c r="E2091" t="s">
        <v>9057</v>
      </c>
      <c r="F2091" t="s">
        <v>9058</v>
      </c>
      <c r="G2091" t="s">
        <v>99</v>
      </c>
      <c r="H2091">
        <v>10940</v>
      </c>
      <c r="I2091" t="s">
        <v>30</v>
      </c>
      <c r="J2091" t="s">
        <v>31</v>
      </c>
      <c r="K2091" t="s">
        <v>1196</v>
      </c>
      <c r="N2091" t="s">
        <v>9059</v>
      </c>
      <c r="Q2091">
        <v>0</v>
      </c>
      <c r="R2091">
        <v>100</v>
      </c>
      <c r="S2091">
        <v>0</v>
      </c>
      <c r="T2091" t="s">
        <v>9060</v>
      </c>
    </row>
    <row r="2092" spans="1:25" customFormat="1" ht="15" x14ac:dyDescent="0.25">
      <c r="A2092" t="s">
        <v>24</v>
      </c>
      <c r="B2092" t="s">
        <v>54091</v>
      </c>
      <c r="C2092" t="str">
        <f>"A0166930"</f>
        <v>A0166930</v>
      </c>
      <c r="D2092" t="s">
        <v>54109</v>
      </c>
      <c r="E2092" t="s">
        <v>54110</v>
      </c>
      <c r="F2092" t="s">
        <v>6883</v>
      </c>
      <c r="G2092" t="s">
        <v>65</v>
      </c>
      <c r="H2092">
        <v>44135</v>
      </c>
      <c r="I2092" t="s">
        <v>30</v>
      </c>
      <c r="J2092" t="s">
        <v>162</v>
      </c>
      <c r="K2092" t="s">
        <v>4581</v>
      </c>
      <c r="N2092" t="s">
        <v>54111</v>
      </c>
      <c r="Q2092">
        <v>0</v>
      </c>
      <c r="R2092">
        <v>372</v>
      </c>
      <c r="S2092">
        <v>0</v>
      </c>
      <c r="T2092" t="s">
        <v>54112</v>
      </c>
    </row>
    <row r="2093" spans="1:25" customFormat="1" ht="15" x14ac:dyDescent="0.25">
      <c r="A2093" t="s">
        <v>24</v>
      </c>
      <c r="B2093" t="s">
        <v>54091</v>
      </c>
      <c r="C2093" t="str">
        <f>"A0166922"</f>
        <v>A0166922</v>
      </c>
      <c r="D2093" t="s">
        <v>54129</v>
      </c>
      <c r="E2093" t="s">
        <v>54130</v>
      </c>
      <c r="F2093" t="s">
        <v>4397</v>
      </c>
      <c r="G2093" t="s">
        <v>123</v>
      </c>
      <c r="H2093">
        <v>20850</v>
      </c>
      <c r="I2093" t="s">
        <v>30</v>
      </c>
      <c r="J2093" t="s">
        <v>162</v>
      </c>
      <c r="K2093" t="s">
        <v>251</v>
      </c>
      <c r="N2093" t="s">
        <v>54131</v>
      </c>
      <c r="Q2093">
        <v>0</v>
      </c>
      <c r="R2093">
        <v>150</v>
      </c>
      <c r="S2093">
        <v>0</v>
      </c>
      <c r="T2093" t="s">
        <v>54132</v>
      </c>
    </row>
    <row r="2094" spans="1:25" customFormat="1" ht="15" x14ac:dyDescent="0.25">
      <c r="A2094" t="s">
        <v>24</v>
      </c>
      <c r="B2094" t="s">
        <v>11188</v>
      </c>
      <c r="C2094" t="str">
        <f>"A0099116"</f>
        <v>A0099116</v>
      </c>
      <c r="D2094" t="s">
        <v>54161</v>
      </c>
      <c r="E2094" t="s">
        <v>54162</v>
      </c>
      <c r="F2094" t="s">
        <v>1346</v>
      </c>
      <c r="G2094" t="s">
        <v>880</v>
      </c>
      <c r="H2094">
        <v>37402</v>
      </c>
      <c r="I2094" t="s">
        <v>30</v>
      </c>
      <c r="J2094" t="s">
        <v>162</v>
      </c>
      <c r="K2094" t="s">
        <v>822</v>
      </c>
      <c r="N2094" t="s">
        <v>54163</v>
      </c>
      <c r="Q2094">
        <v>0</v>
      </c>
      <c r="R2094">
        <v>261</v>
      </c>
      <c r="S2094">
        <v>0</v>
      </c>
      <c r="T2094" t="s">
        <v>54164</v>
      </c>
    </row>
    <row r="2095" spans="1:25" customFormat="1" ht="15" x14ac:dyDescent="0.25">
      <c r="A2095" t="s">
        <v>24</v>
      </c>
      <c r="B2095" t="s">
        <v>11188</v>
      </c>
      <c r="C2095" t="str">
        <f>"A0157893"</f>
        <v>A0157893</v>
      </c>
      <c r="D2095" t="s">
        <v>54165</v>
      </c>
      <c r="E2095" t="s">
        <v>54166</v>
      </c>
      <c r="F2095" t="s">
        <v>1346</v>
      </c>
      <c r="G2095" t="s">
        <v>880</v>
      </c>
      <c r="H2095">
        <v>37402</v>
      </c>
      <c r="I2095" t="s">
        <v>30</v>
      </c>
      <c r="J2095" t="s">
        <v>162</v>
      </c>
      <c r="K2095" t="s">
        <v>2819</v>
      </c>
      <c r="N2095" t="s">
        <v>54167</v>
      </c>
      <c r="Q2095">
        <v>0</v>
      </c>
      <c r="R2095">
        <v>117</v>
      </c>
      <c r="S2095">
        <v>0</v>
      </c>
      <c r="T2095" t="s">
        <v>54168</v>
      </c>
    </row>
    <row r="2096" spans="1:25" customFormat="1" ht="15" x14ac:dyDescent="0.25">
      <c r="A2096" t="s">
        <v>24</v>
      </c>
      <c r="B2096" t="s">
        <v>3159</v>
      </c>
      <c r="C2096" t="str">
        <f>"A0189431"</f>
        <v>A0189431</v>
      </c>
      <c r="D2096" t="s">
        <v>9078</v>
      </c>
      <c r="E2096" t="s">
        <v>9079</v>
      </c>
      <c r="F2096" t="s">
        <v>703</v>
      </c>
      <c r="G2096" t="s">
        <v>52</v>
      </c>
      <c r="H2096">
        <v>77505</v>
      </c>
      <c r="I2096" t="s">
        <v>30</v>
      </c>
      <c r="J2096" t="s">
        <v>31</v>
      </c>
      <c r="K2096" t="s">
        <v>3155</v>
      </c>
      <c r="N2096" t="s">
        <v>9080</v>
      </c>
      <c r="Q2096">
        <v>0</v>
      </c>
      <c r="R2096">
        <v>81</v>
      </c>
      <c r="S2096">
        <v>0</v>
      </c>
      <c r="T2096" t="s">
        <v>9081</v>
      </c>
    </row>
    <row r="2097" spans="1:25" customFormat="1" ht="15" x14ac:dyDescent="0.25">
      <c r="A2097" t="s">
        <v>24</v>
      </c>
      <c r="B2097" t="s">
        <v>3159</v>
      </c>
      <c r="C2097" t="str">
        <f>"A0099742"</f>
        <v>A0099742</v>
      </c>
      <c r="D2097" t="s">
        <v>9082</v>
      </c>
      <c r="E2097" t="s">
        <v>9083</v>
      </c>
      <c r="F2097" t="s">
        <v>3540</v>
      </c>
      <c r="G2097" t="s">
        <v>214</v>
      </c>
      <c r="H2097">
        <v>28303</v>
      </c>
      <c r="I2097" t="s">
        <v>30</v>
      </c>
      <c r="J2097" t="s">
        <v>31</v>
      </c>
      <c r="K2097" t="s">
        <v>3155</v>
      </c>
      <c r="N2097" t="s">
        <v>9084</v>
      </c>
      <c r="Q2097">
        <v>0</v>
      </c>
      <c r="R2097">
        <v>114</v>
      </c>
      <c r="S2097">
        <v>0</v>
      </c>
      <c r="T2097" t="s">
        <v>9085</v>
      </c>
    </row>
    <row r="2098" spans="1:25" customFormat="1" ht="15" x14ac:dyDescent="0.25">
      <c r="A2098" t="s">
        <v>24</v>
      </c>
      <c r="B2098" t="s">
        <v>3159</v>
      </c>
      <c r="C2098" t="str">
        <f>"A0078521"</f>
        <v>A0078521</v>
      </c>
      <c r="D2098" t="s">
        <v>9086</v>
      </c>
      <c r="E2098" t="s">
        <v>9087</v>
      </c>
      <c r="F2098" t="s">
        <v>6390</v>
      </c>
      <c r="G2098" t="s">
        <v>29</v>
      </c>
      <c r="H2098">
        <v>22801</v>
      </c>
      <c r="I2098" t="s">
        <v>30</v>
      </c>
      <c r="J2098" t="s">
        <v>31</v>
      </c>
      <c r="K2098" t="s">
        <v>3155</v>
      </c>
      <c r="N2098" t="s">
        <v>9088</v>
      </c>
      <c r="Q2098">
        <v>0</v>
      </c>
      <c r="R2098">
        <v>83</v>
      </c>
      <c r="S2098">
        <v>0</v>
      </c>
      <c r="T2098" t="s">
        <v>9089</v>
      </c>
    </row>
    <row r="2099" spans="1:25" x14ac:dyDescent="0.25">
      <c r="A2099" s="5" t="s">
        <v>24</v>
      </c>
      <c r="B2099" s="5" t="s">
        <v>2955</v>
      </c>
      <c r="C2099" s="5" t="str">
        <f>"A0055192"</f>
        <v>A0055192</v>
      </c>
      <c r="D2099" s="5" t="s">
        <v>54198</v>
      </c>
      <c r="E2099" s="5" t="s">
        <v>54199</v>
      </c>
      <c r="F2099" s="5" t="s">
        <v>2033</v>
      </c>
      <c r="G2099" s="5" t="s">
        <v>65</v>
      </c>
      <c r="H2099" s="5">
        <v>44702</v>
      </c>
      <c r="I2099" s="5" t="s">
        <v>30</v>
      </c>
      <c r="J2099" s="5" t="s">
        <v>162</v>
      </c>
      <c r="K2099" s="5" t="s">
        <v>759</v>
      </c>
      <c r="L2099" s="5"/>
      <c r="M2099" s="5"/>
      <c r="N2099" s="5" t="s">
        <v>54200</v>
      </c>
      <c r="O2099" s="5"/>
      <c r="P2099" s="5"/>
      <c r="Q2099" s="5">
        <v>0</v>
      </c>
      <c r="R2099" s="5">
        <v>167</v>
      </c>
      <c r="S2099" s="5">
        <v>0</v>
      </c>
      <c r="T2099" s="5" t="s">
        <v>54201</v>
      </c>
      <c r="U2099" s="5"/>
      <c r="V2099" s="5"/>
      <c r="W2099" s="5"/>
      <c r="X2099" s="5"/>
      <c r="Y2099" s="5"/>
    </row>
    <row r="2100" spans="1:25" x14ac:dyDescent="0.25">
      <c r="A2100" s="5" t="s">
        <v>24</v>
      </c>
      <c r="B2100" s="5" t="s">
        <v>1288</v>
      </c>
      <c r="C2100" s="5" t="str">
        <f>"SF01651"</f>
        <v>SF01651</v>
      </c>
      <c r="D2100" s="5" t="s">
        <v>54328</v>
      </c>
      <c r="E2100" s="5" t="s">
        <v>54329</v>
      </c>
      <c r="F2100" s="5" t="s">
        <v>3661</v>
      </c>
      <c r="G2100" s="5" t="s">
        <v>65</v>
      </c>
      <c r="H2100" s="5">
        <v>45245</v>
      </c>
      <c r="I2100" s="5" t="s">
        <v>30</v>
      </c>
      <c r="J2100" s="5" t="s">
        <v>162</v>
      </c>
      <c r="K2100" s="5" t="s">
        <v>854</v>
      </c>
      <c r="L2100" s="5"/>
      <c r="M2100" s="5"/>
      <c r="N2100" s="5" t="s">
        <v>54330</v>
      </c>
      <c r="O2100" s="5"/>
      <c r="P2100" s="5"/>
      <c r="Q2100" s="5">
        <v>0</v>
      </c>
      <c r="R2100" s="5">
        <v>212</v>
      </c>
      <c r="S2100" s="5">
        <v>0</v>
      </c>
      <c r="T2100" s="5" t="s">
        <v>54331</v>
      </c>
      <c r="U2100" s="5"/>
      <c r="V2100" s="5"/>
      <c r="W2100" s="5"/>
      <c r="X2100" s="5"/>
      <c r="Y2100" s="5"/>
    </row>
    <row r="2101" spans="1:25" customFormat="1" ht="15" x14ac:dyDescent="0.25">
      <c r="A2101" t="s">
        <v>24</v>
      </c>
      <c r="B2101" t="s">
        <v>2601</v>
      </c>
      <c r="C2101" t="str">
        <f>"CT71M"</f>
        <v>CT71M</v>
      </c>
      <c r="D2101" t="s">
        <v>54366</v>
      </c>
      <c r="E2101" t="s">
        <v>54367</v>
      </c>
      <c r="F2101" t="s">
        <v>7455</v>
      </c>
      <c r="G2101" t="s">
        <v>123</v>
      </c>
      <c r="H2101">
        <v>21202</v>
      </c>
      <c r="I2101" t="s">
        <v>30</v>
      </c>
      <c r="J2101" t="s">
        <v>162</v>
      </c>
      <c r="K2101" t="s">
        <v>8335</v>
      </c>
      <c r="N2101" t="s">
        <v>54368</v>
      </c>
      <c r="O2101" t="s">
        <v>54369</v>
      </c>
      <c r="Q2101">
        <v>0</v>
      </c>
      <c r="R2101">
        <v>622</v>
      </c>
      <c r="S2101">
        <v>0</v>
      </c>
      <c r="T2101" t="s">
        <v>54370</v>
      </c>
    </row>
    <row r="2102" spans="1:25" customFormat="1" ht="15" hidden="1" x14ac:dyDescent="0.25">
      <c r="A2102" t="s">
        <v>24</v>
      </c>
      <c r="B2102" t="s">
        <v>193</v>
      </c>
      <c r="C2102" t="str">
        <f>"A0086844"</f>
        <v>A0086844</v>
      </c>
      <c r="D2102" t="s">
        <v>9105</v>
      </c>
      <c r="E2102" t="s">
        <v>9106</v>
      </c>
      <c r="F2102" t="s">
        <v>9107</v>
      </c>
      <c r="G2102" t="s">
        <v>1457</v>
      </c>
      <c r="H2102" t="s">
        <v>9108</v>
      </c>
      <c r="I2102" t="s">
        <v>1459</v>
      </c>
      <c r="J2102" t="s">
        <v>162</v>
      </c>
      <c r="K2102" t="s">
        <v>163</v>
      </c>
      <c r="N2102" t="s">
        <v>9109</v>
      </c>
      <c r="O2102" t="s">
        <v>9110</v>
      </c>
      <c r="Q2102">
        <v>0</v>
      </c>
      <c r="R2102">
        <v>122</v>
      </c>
      <c r="S2102">
        <v>0</v>
      </c>
      <c r="T2102" t="s">
        <v>9111</v>
      </c>
    </row>
    <row r="2103" spans="1:25" customFormat="1" ht="15" x14ac:dyDescent="0.25">
      <c r="A2103" t="s">
        <v>35</v>
      </c>
      <c r="B2103" t="s">
        <v>9112</v>
      </c>
      <c r="C2103" t="str">
        <f>"A0189645"</f>
        <v>A0189645</v>
      </c>
      <c r="D2103" t="s">
        <v>9113</v>
      </c>
      <c r="E2103" t="s">
        <v>9114</v>
      </c>
      <c r="F2103" t="s">
        <v>9113</v>
      </c>
      <c r="G2103" t="s">
        <v>137</v>
      </c>
      <c r="H2103">
        <v>63368</v>
      </c>
      <c r="I2103" t="s">
        <v>30</v>
      </c>
      <c r="J2103" t="s">
        <v>41</v>
      </c>
      <c r="K2103" t="s">
        <v>59</v>
      </c>
      <c r="Q2103">
        <v>0</v>
      </c>
      <c r="R2103">
        <v>0</v>
      </c>
      <c r="S2103">
        <v>0</v>
      </c>
      <c r="T2103" t="s">
        <v>9115</v>
      </c>
    </row>
    <row r="2104" spans="1:25" customFormat="1" ht="15" x14ac:dyDescent="0.25">
      <c r="A2104" t="s">
        <v>35</v>
      </c>
      <c r="B2104" t="s">
        <v>9112</v>
      </c>
      <c r="C2104" t="str">
        <f>"A0189644"</f>
        <v>A0189644</v>
      </c>
      <c r="D2104" t="s">
        <v>9116</v>
      </c>
      <c r="E2104" t="s">
        <v>9117</v>
      </c>
      <c r="F2104" t="s">
        <v>2433</v>
      </c>
      <c r="G2104" t="s">
        <v>137</v>
      </c>
      <c r="H2104">
        <v>64057</v>
      </c>
      <c r="I2104" t="s">
        <v>30</v>
      </c>
      <c r="J2104" t="s">
        <v>41</v>
      </c>
      <c r="K2104" t="s">
        <v>59</v>
      </c>
      <c r="Q2104">
        <v>0</v>
      </c>
      <c r="R2104">
        <v>0</v>
      </c>
      <c r="S2104">
        <v>0</v>
      </c>
      <c r="T2104" t="s">
        <v>9118</v>
      </c>
    </row>
    <row r="2105" spans="1:25" customFormat="1" ht="15" x14ac:dyDescent="0.25">
      <c r="A2105" t="s">
        <v>35</v>
      </c>
      <c r="B2105" t="s">
        <v>9112</v>
      </c>
      <c r="C2105" t="str">
        <f>"A0189643"</f>
        <v>A0189643</v>
      </c>
      <c r="D2105" t="s">
        <v>9112</v>
      </c>
      <c r="E2105" t="s">
        <v>9119</v>
      </c>
      <c r="F2105" t="s">
        <v>9120</v>
      </c>
      <c r="G2105" t="s">
        <v>433</v>
      </c>
      <c r="H2105">
        <v>83402</v>
      </c>
      <c r="I2105" t="s">
        <v>30</v>
      </c>
      <c r="J2105" t="s">
        <v>41</v>
      </c>
      <c r="K2105" t="s">
        <v>290</v>
      </c>
      <c r="Q2105">
        <v>0</v>
      </c>
      <c r="R2105">
        <v>0</v>
      </c>
      <c r="S2105">
        <v>0</v>
      </c>
      <c r="T2105" t="s">
        <v>9121</v>
      </c>
    </row>
    <row r="2106" spans="1:25" customFormat="1" ht="15" x14ac:dyDescent="0.25">
      <c r="A2106" t="s">
        <v>35</v>
      </c>
      <c r="B2106" t="s">
        <v>231</v>
      </c>
      <c r="C2106" t="str">
        <f>"A0189642"</f>
        <v>A0189642</v>
      </c>
      <c r="D2106" t="s">
        <v>9122</v>
      </c>
      <c r="E2106" t="s">
        <v>9123</v>
      </c>
      <c r="F2106" t="s">
        <v>9124</v>
      </c>
      <c r="G2106" t="s">
        <v>110</v>
      </c>
      <c r="H2106">
        <v>95608</v>
      </c>
      <c r="I2106" t="s">
        <v>30</v>
      </c>
      <c r="J2106" t="s">
        <v>41</v>
      </c>
      <c r="K2106" t="s">
        <v>229</v>
      </c>
      <c r="Q2106">
        <v>0</v>
      </c>
      <c r="R2106">
        <v>0</v>
      </c>
      <c r="S2106">
        <v>135</v>
      </c>
      <c r="T2106" t="s">
        <v>9125</v>
      </c>
    </row>
    <row r="2107" spans="1:25" customFormat="1" ht="15" x14ac:dyDescent="0.25">
      <c r="A2107" t="s">
        <v>35</v>
      </c>
      <c r="B2107" t="s">
        <v>231</v>
      </c>
      <c r="C2107" t="str">
        <f>"A0189615"</f>
        <v>A0189615</v>
      </c>
      <c r="D2107" t="s">
        <v>9126</v>
      </c>
      <c r="E2107" t="s">
        <v>9127</v>
      </c>
      <c r="F2107" t="s">
        <v>9128</v>
      </c>
      <c r="G2107" t="s">
        <v>110</v>
      </c>
      <c r="H2107">
        <v>94619</v>
      </c>
      <c r="I2107" t="s">
        <v>30</v>
      </c>
      <c r="J2107" t="s">
        <v>41</v>
      </c>
      <c r="K2107" t="s">
        <v>229</v>
      </c>
      <c r="Q2107">
        <v>0</v>
      </c>
      <c r="R2107">
        <v>0</v>
      </c>
      <c r="S2107">
        <v>99</v>
      </c>
      <c r="T2107" t="s">
        <v>9129</v>
      </c>
    </row>
    <row r="2108" spans="1:25" customFormat="1" ht="15" x14ac:dyDescent="0.25">
      <c r="A2108" t="s">
        <v>35</v>
      </c>
      <c r="B2108" t="s">
        <v>231</v>
      </c>
      <c r="C2108" t="str">
        <f>"A0189588"</f>
        <v>A0189588</v>
      </c>
      <c r="D2108" t="s">
        <v>9130</v>
      </c>
      <c r="E2108" t="s">
        <v>9131</v>
      </c>
      <c r="F2108" t="s">
        <v>3108</v>
      </c>
      <c r="G2108" t="s">
        <v>110</v>
      </c>
      <c r="H2108">
        <v>94565</v>
      </c>
      <c r="I2108" t="s">
        <v>30</v>
      </c>
      <c r="J2108" t="s">
        <v>41</v>
      </c>
      <c r="K2108" t="s">
        <v>229</v>
      </c>
      <c r="Q2108">
        <v>0</v>
      </c>
      <c r="R2108">
        <v>0</v>
      </c>
      <c r="S2108">
        <v>120</v>
      </c>
      <c r="T2108" t="s">
        <v>9132</v>
      </c>
    </row>
    <row r="2109" spans="1:25" customFormat="1" ht="15" x14ac:dyDescent="0.25">
      <c r="A2109" t="s">
        <v>35</v>
      </c>
      <c r="B2109" t="s">
        <v>231</v>
      </c>
      <c r="C2109" t="str">
        <f>"A0189561"</f>
        <v>A0189561</v>
      </c>
      <c r="D2109" t="s">
        <v>9133</v>
      </c>
      <c r="E2109" t="s">
        <v>9134</v>
      </c>
      <c r="F2109" t="s">
        <v>9135</v>
      </c>
      <c r="G2109" t="s">
        <v>110</v>
      </c>
      <c r="H2109">
        <v>95129</v>
      </c>
      <c r="I2109" t="s">
        <v>30</v>
      </c>
      <c r="J2109" t="s">
        <v>41</v>
      </c>
      <c r="K2109" t="s">
        <v>229</v>
      </c>
      <c r="Q2109">
        <v>0</v>
      </c>
      <c r="R2109">
        <v>0</v>
      </c>
      <c r="S2109">
        <v>76</v>
      </c>
      <c r="T2109" t="s">
        <v>9136</v>
      </c>
    </row>
    <row r="2110" spans="1:25" customFormat="1" ht="15" x14ac:dyDescent="0.25">
      <c r="A2110" t="s">
        <v>35</v>
      </c>
      <c r="B2110" t="s">
        <v>9137</v>
      </c>
      <c r="C2110" t="str">
        <f>"A0189534"</f>
        <v>A0189534</v>
      </c>
      <c r="D2110" t="s">
        <v>9138</v>
      </c>
      <c r="E2110" t="s">
        <v>9139</v>
      </c>
      <c r="F2110" t="s">
        <v>9124</v>
      </c>
      <c r="G2110" t="s">
        <v>110</v>
      </c>
      <c r="H2110">
        <v>95608</v>
      </c>
      <c r="I2110" t="s">
        <v>30</v>
      </c>
      <c r="J2110" t="s">
        <v>41</v>
      </c>
      <c r="K2110" t="s">
        <v>229</v>
      </c>
      <c r="Q2110">
        <v>0</v>
      </c>
      <c r="R2110">
        <v>0</v>
      </c>
      <c r="S2110">
        <v>99</v>
      </c>
      <c r="T2110" t="s">
        <v>9140</v>
      </c>
    </row>
    <row r="2111" spans="1:25" customFormat="1" ht="15" x14ac:dyDescent="0.25">
      <c r="A2111" t="s">
        <v>35</v>
      </c>
      <c r="B2111" t="s">
        <v>61</v>
      </c>
      <c r="C2111" t="str">
        <f>"A0189533"</f>
        <v>A0189533</v>
      </c>
      <c r="D2111" t="s">
        <v>9141</v>
      </c>
      <c r="E2111" t="s">
        <v>9142</v>
      </c>
      <c r="F2111" t="s">
        <v>9143</v>
      </c>
      <c r="G2111" t="s">
        <v>381</v>
      </c>
      <c r="H2111">
        <v>47546</v>
      </c>
      <c r="I2111" t="s">
        <v>30</v>
      </c>
      <c r="J2111" t="s">
        <v>41</v>
      </c>
      <c r="K2111" t="s">
        <v>8643</v>
      </c>
      <c r="Q2111">
        <v>0</v>
      </c>
      <c r="R2111">
        <v>0</v>
      </c>
      <c r="S2111">
        <v>0</v>
      </c>
      <c r="T2111" t="s">
        <v>9144</v>
      </c>
    </row>
    <row r="2112" spans="1:25" customFormat="1" ht="15" x14ac:dyDescent="0.25">
      <c r="A2112" t="s">
        <v>35</v>
      </c>
      <c r="B2112" t="s">
        <v>61</v>
      </c>
      <c r="C2112" t="str">
        <f>"A0189532"</f>
        <v>A0189532</v>
      </c>
      <c r="D2112" t="s">
        <v>9145</v>
      </c>
      <c r="E2112" t="s">
        <v>9146</v>
      </c>
      <c r="F2112" t="s">
        <v>9147</v>
      </c>
      <c r="G2112" t="s">
        <v>381</v>
      </c>
      <c r="H2112">
        <v>47240</v>
      </c>
      <c r="I2112" t="s">
        <v>30</v>
      </c>
      <c r="J2112" t="s">
        <v>41</v>
      </c>
      <c r="K2112" t="s">
        <v>8643</v>
      </c>
      <c r="Q2112">
        <v>0</v>
      </c>
      <c r="R2112">
        <v>0</v>
      </c>
      <c r="S2112">
        <v>0</v>
      </c>
      <c r="T2112" t="s">
        <v>9148</v>
      </c>
    </row>
    <row r="2113" spans="1:20" customFormat="1" ht="15" x14ac:dyDescent="0.25">
      <c r="A2113" t="s">
        <v>35</v>
      </c>
      <c r="B2113" t="s">
        <v>61</v>
      </c>
      <c r="C2113" t="str">
        <f>"A0189531"</f>
        <v>A0189531</v>
      </c>
      <c r="D2113" t="s">
        <v>9149</v>
      </c>
      <c r="E2113" t="s">
        <v>9150</v>
      </c>
      <c r="F2113" t="s">
        <v>9151</v>
      </c>
      <c r="G2113" t="s">
        <v>381</v>
      </c>
      <c r="H2113">
        <v>47424</v>
      </c>
      <c r="I2113" t="s">
        <v>30</v>
      </c>
      <c r="J2113" t="s">
        <v>41</v>
      </c>
      <c r="K2113" t="s">
        <v>8643</v>
      </c>
      <c r="Q2113">
        <v>0</v>
      </c>
      <c r="R2113">
        <v>0</v>
      </c>
      <c r="S2113">
        <v>0</v>
      </c>
      <c r="T2113" t="s">
        <v>9152</v>
      </c>
    </row>
    <row r="2114" spans="1:20" customFormat="1" ht="15" x14ac:dyDescent="0.25">
      <c r="A2114" t="s">
        <v>35</v>
      </c>
      <c r="B2114" t="s">
        <v>61</v>
      </c>
      <c r="C2114" t="str">
        <f>"A0189530"</f>
        <v>A0189530</v>
      </c>
      <c r="D2114" t="s">
        <v>9153</v>
      </c>
      <c r="E2114" t="s">
        <v>9154</v>
      </c>
      <c r="F2114" t="s">
        <v>9155</v>
      </c>
      <c r="G2114" t="s">
        <v>381</v>
      </c>
      <c r="H2114">
        <v>47331</v>
      </c>
      <c r="I2114" t="s">
        <v>30</v>
      </c>
      <c r="J2114" t="s">
        <v>41</v>
      </c>
      <c r="K2114" t="s">
        <v>8643</v>
      </c>
      <c r="Q2114">
        <v>0</v>
      </c>
      <c r="R2114">
        <v>0</v>
      </c>
      <c r="S2114">
        <v>0</v>
      </c>
      <c r="T2114" t="s">
        <v>9156</v>
      </c>
    </row>
    <row r="2115" spans="1:20" customFormat="1" ht="15" x14ac:dyDescent="0.25">
      <c r="A2115" t="s">
        <v>35</v>
      </c>
      <c r="B2115" t="s">
        <v>61</v>
      </c>
      <c r="C2115" t="str">
        <f>"A0189529"</f>
        <v>A0189529</v>
      </c>
      <c r="D2115" t="s">
        <v>9157</v>
      </c>
      <c r="E2115" t="s">
        <v>9158</v>
      </c>
      <c r="F2115" t="s">
        <v>64</v>
      </c>
      <c r="G2115" t="s">
        <v>381</v>
      </c>
      <c r="H2115">
        <v>47201</v>
      </c>
      <c r="I2115" t="s">
        <v>30</v>
      </c>
      <c r="J2115" t="s">
        <v>41</v>
      </c>
      <c r="K2115" t="s">
        <v>8643</v>
      </c>
      <c r="Q2115">
        <v>0</v>
      </c>
      <c r="R2115">
        <v>0</v>
      </c>
      <c r="S2115">
        <v>0</v>
      </c>
      <c r="T2115" t="s">
        <v>9159</v>
      </c>
    </row>
    <row r="2116" spans="1:20" customFormat="1" ht="15" x14ac:dyDescent="0.25">
      <c r="A2116" t="s">
        <v>35</v>
      </c>
      <c r="B2116" t="s">
        <v>61</v>
      </c>
      <c r="C2116" t="str">
        <f>"A0189528"</f>
        <v>A0189528</v>
      </c>
      <c r="D2116" t="s">
        <v>9160</v>
      </c>
      <c r="E2116" t="s">
        <v>9161</v>
      </c>
      <c r="F2116" t="s">
        <v>64</v>
      </c>
      <c r="G2116" t="s">
        <v>381</v>
      </c>
      <c r="H2116">
        <v>47201</v>
      </c>
      <c r="I2116" t="s">
        <v>30</v>
      </c>
      <c r="J2116" t="s">
        <v>41</v>
      </c>
      <c r="K2116" t="s">
        <v>8643</v>
      </c>
      <c r="Q2116">
        <v>0</v>
      </c>
      <c r="R2116">
        <v>0</v>
      </c>
      <c r="S2116">
        <v>0</v>
      </c>
      <c r="T2116" t="s">
        <v>9162</v>
      </c>
    </row>
    <row r="2117" spans="1:20" customFormat="1" ht="15" x14ac:dyDescent="0.25">
      <c r="A2117" t="s">
        <v>35</v>
      </c>
      <c r="B2117" t="s">
        <v>61</v>
      </c>
      <c r="C2117" t="str">
        <f>"A0189527"</f>
        <v>A0189527</v>
      </c>
      <c r="D2117" t="s">
        <v>9163</v>
      </c>
      <c r="E2117" t="s">
        <v>9164</v>
      </c>
      <c r="F2117" t="s">
        <v>9165</v>
      </c>
      <c r="G2117" t="s">
        <v>381</v>
      </c>
      <c r="H2117">
        <v>47282</v>
      </c>
      <c r="I2117" t="s">
        <v>30</v>
      </c>
      <c r="J2117" t="s">
        <v>41</v>
      </c>
      <c r="K2117" t="s">
        <v>8643</v>
      </c>
      <c r="Q2117">
        <v>0</v>
      </c>
      <c r="R2117">
        <v>0</v>
      </c>
      <c r="S2117">
        <v>0</v>
      </c>
      <c r="T2117" t="s">
        <v>9166</v>
      </c>
    </row>
    <row r="2118" spans="1:20" customFormat="1" ht="15" x14ac:dyDescent="0.25">
      <c r="A2118" t="s">
        <v>35</v>
      </c>
      <c r="B2118" t="s">
        <v>61</v>
      </c>
      <c r="C2118" t="str">
        <f>"A0189526"</f>
        <v>A0189526</v>
      </c>
      <c r="D2118" t="s">
        <v>9167</v>
      </c>
      <c r="E2118" t="s">
        <v>9168</v>
      </c>
      <c r="F2118" t="s">
        <v>9169</v>
      </c>
      <c r="G2118" t="s">
        <v>381</v>
      </c>
      <c r="H2118">
        <v>47042</v>
      </c>
      <c r="I2118" t="s">
        <v>30</v>
      </c>
      <c r="J2118" t="s">
        <v>41</v>
      </c>
      <c r="K2118" t="s">
        <v>8643</v>
      </c>
      <c r="Q2118">
        <v>0</v>
      </c>
      <c r="R2118">
        <v>0</v>
      </c>
      <c r="S2118">
        <v>0</v>
      </c>
      <c r="T2118" t="s">
        <v>9170</v>
      </c>
    </row>
    <row r="2119" spans="1:20" customFormat="1" ht="15" x14ac:dyDescent="0.25">
      <c r="A2119" t="s">
        <v>35</v>
      </c>
      <c r="B2119" t="s">
        <v>61</v>
      </c>
      <c r="C2119" t="str">
        <f>"A0189525"</f>
        <v>A0189525</v>
      </c>
      <c r="D2119" t="s">
        <v>9171</v>
      </c>
      <c r="E2119" t="s">
        <v>9172</v>
      </c>
      <c r="F2119" t="s">
        <v>9173</v>
      </c>
      <c r="G2119" t="s">
        <v>381</v>
      </c>
      <c r="H2119">
        <v>47043</v>
      </c>
      <c r="I2119" t="s">
        <v>30</v>
      </c>
      <c r="J2119" t="s">
        <v>41</v>
      </c>
      <c r="K2119" t="s">
        <v>8643</v>
      </c>
      <c r="Q2119">
        <v>0</v>
      </c>
      <c r="R2119">
        <v>0</v>
      </c>
      <c r="S2119">
        <v>0</v>
      </c>
      <c r="T2119" t="s">
        <v>9174</v>
      </c>
    </row>
    <row r="2120" spans="1:20" customFormat="1" ht="15" x14ac:dyDescent="0.25">
      <c r="A2120" t="s">
        <v>35</v>
      </c>
      <c r="B2120" t="s">
        <v>61</v>
      </c>
      <c r="C2120" t="str">
        <f>"A0189524"</f>
        <v>A0189524</v>
      </c>
      <c r="D2120" t="s">
        <v>9175</v>
      </c>
      <c r="E2120" t="s">
        <v>9176</v>
      </c>
      <c r="F2120" t="s">
        <v>380</v>
      </c>
      <c r="G2120" t="s">
        <v>381</v>
      </c>
      <c r="H2120">
        <v>46176</v>
      </c>
      <c r="I2120" t="s">
        <v>30</v>
      </c>
      <c r="J2120" t="s">
        <v>41</v>
      </c>
      <c r="K2120" t="s">
        <v>8643</v>
      </c>
      <c r="Q2120">
        <v>0</v>
      </c>
      <c r="R2120">
        <v>0</v>
      </c>
      <c r="S2120">
        <v>0</v>
      </c>
      <c r="T2120" t="s">
        <v>9177</v>
      </c>
    </row>
    <row r="2121" spans="1:20" customFormat="1" ht="15" x14ac:dyDescent="0.25">
      <c r="A2121" t="s">
        <v>35</v>
      </c>
      <c r="B2121" t="s">
        <v>61</v>
      </c>
      <c r="C2121" t="str">
        <f>"A0189523"</f>
        <v>A0189523</v>
      </c>
      <c r="D2121" t="s">
        <v>9178</v>
      </c>
      <c r="E2121" t="s">
        <v>9179</v>
      </c>
      <c r="F2121" t="s">
        <v>9180</v>
      </c>
      <c r="G2121" t="s">
        <v>81</v>
      </c>
      <c r="H2121">
        <v>33309</v>
      </c>
      <c r="I2121" t="s">
        <v>30</v>
      </c>
      <c r="J2121" t="s">
        <v>41</v>
      </c>
      <c r="K2121" t="s">
        <v>418</v>
      </c>
      <c r="Q2121">
        <v>0</v>
      </c>
      <c r="R2121">
        <v>0</v>
      </c>
      <c r="S2121">
        <v>0</v>
      </c>
      <c r="T2121" t="s">
        <v>9181</v>
      </c>
    </row>
    <row r="2122" spans="1:20" customFormat="1" ht="15" x14ac:dyDescent="0.25">
      <c r="A2122" t="s">
        <v>35</v>
      </c>
      <c r="B2122" t="s">
        <v>61</v>
      </c>
      <c r="C2122" t="str">
        <f>"A0189522"</f>
        <v>A0189522</v>
      </c>
      <c r="D2122" t="s">
        <v>9182</v>
      </c>
      <c r="E2122" t="s">
        <v>9183</v>
      </c>
      <c r="F2122" t="s">
        <v>1795</v>
      </c>
      <c r="G2122" t="s">
        <v>29</v>
      </c>
      <c r="H2122">
        <v>23236</v>
      </c>
      <c r="I2122" t="s">
        <v>30</v>
      </c>
      <c r="J2122" t="s">
        <v>41</v>
      </c>
      <c r="K2122" t="s">
        <v>2463</v>
      </c>
      <c r="Q2122">
        <v>0</v>
      </c>
      <c r="R2122">
        <v>0</v>
      </c>
      <c r="S2122">
        <v>0</v>
      </c>
      <c r="T2122" t="s">
        <v>9184</v>
      </c>
    </row>
    <row r="2123" spans="1:20" customFormat="1" ht="15" x14ac:dyDescent="0.25">
      <c r="A2123" t="s">
        <v>35</v>
      </c>
      <c r="B2123" t="s">
        <v>61</v>
      </c>
      <c r="C2123" t="str">
        <f>"A0189521"</f>
        <v>A0189521</v>
      </c>
      <c r="D2123" t="s">
        <v>9185</v>
      </c>
      <c r="E2123" t="s">
        <v>9186</v>
      </c>
      <c r="F2123" t="s">
        <v>9187</v>
      </c>
      <c r="G2123" t="s">
        <v>161</v>
      </c>
      <c r="H2123">
        <v>55305</v>
      </c>
      <c r="I2123" t="s">
        <v>30</v>
      </c>
      <c r="J2123" t="s">
        <v>41</v>
      </c>
      <c r="K2123" t="s">
        <v>482</v>
      </c>
      <c r="Q2123">
        <v>0</v>
      </c>
      <c r="R2123">
        <v>0</v>
      </c>
      <c r="S2123">
        <v>6</v>
      </c>
      <c r="T2123" t="s">
        <v>9188</v>
      </c>
    </row>
    <row r="2124" spans="1:20" customFormat="1" ht="15" x14ac:dyDescent="0.25">
      <c r="A2124" t="s">
        <v>35</v>
      </c>
      <c r="B2124" t="s">
        <v>61</v>
      </c>
      <c r="C2124" t="str">
        <f>"A0189520"</f>
        <v>A0189520</v>
      </c>
      <c r="D2124" t="s">
        <v>9189</v>
      </c>
      <c r="E2124" t="s">
        <v>9190</v>
      </c>
      <c r="F2124" t="s">
        <v>9191</v>
      </c>
      <c r="G2124" t="s">
        <v>65</v>
      </c>
      <c r="H2124">
        <v>44128</v>
      </c>
      <c r="I2124" t="s">
        <v>30</v>
      </c>
      <c r="J2124" t="s">
        <v>41</v>
      </c>
      <c r="K2124" t="s">
        <v>391</v>
      </c>
      <c r="Q2124">
        <v>0</v>
      </c>
      <c r="R2124">
        <v>0</v>
      </c>
      <c r="S2124">
        <v>0</v>
      </c>
      <c r="T2124" t="s">
        <v>9192</v>
      </c>
    </row>
    <row r="2125" spans="1:20" customFormat="1" ht="15" x14ac:dyDescent="0.25">
      <c r="A2125" t="s">
        <v>35</v>
      </c>
      <c r="B2125" t="s">
        <v>119</v>
      </c>
      <c r="C2125" t="str">
        <f>"A0189519"</f>
        <v>A0189519</v>
      </c>
      <c r="D2125" t="s">
        <v>9193</v>
      </c>
      <c r="E2125" t="s">
        <v>9194</v>
      </c>
      <c r="F2125" t="s">
        <v>1403</v>
      </c>
      <c r="G2125" t="s">
        <v>381</v>
      </c>
      <c r="H2125">
        <v>46123</v>
      </c>
      <c r="I2125" t="s">
        <v>30</v>
      </c>
      <c r="J2125" t="s">
        <v>41</v>
      </c>
      <c r="K2125" t="s">
        <v>59</v>
      </c>
      <c r="Q2125">
        <v>0</v>
      </c>
      <c r="R2125">
        <v>0</v>
      </c>
      <c r="S2125">
        <v>186</v>
      </c>
      <c r="T2125" t="s">
        <v>72</v>
      </c>
    </row>
    <row r="2126" spans="1:20" customFormat="1" ht="15" x14ac:dyDescent="0.25">
      <c r="A2126" t="s">
        <v>35</v>
      </c>
      <c r="B2126" t="s">
        <v>4109</v>
      </c>
      <c r="C2126" t="str">
        <f>"A0189518"</f>
        <v>A0189518</v>
      </c>
      <c r="D2126" t="s">
        <v>9195</v>
      </c>
      <c r="E2126" t="s">
        <v>9196</v>
      </c>
      <c r="F2126" t="s">
        <v>5257</v>
      </c>
      <c r="G2126" t="s">
        <v>52</v>
      </c>
      <c r="H2126">
        <v>77080</v>
      </c>
      <c r="I2126" t="s">
        <v>30</v>
      </c>
      <c r="J2126" t="s">
        <v>41</v>
      </c>
      <c r="K2126" t="s">
        <v>461</v>
      </c>
      <c r="Q2126">
        <v>0</v>
      </c>
      <c r="R2126">
        <v>0</v>
      </c>
      <c r="S2126">
        <v>144</v>
      </c>
      <c r="T2126" t="s">
        <v>9197</v>
      </c>
    </row>
    <row r="2127" spans="1:20" customFormat="1" ht="15" x14ac:dyDescent="0.25">
      <c r="A2127" t="s">
        <v>35</v>
      </c>
      <c r="B2127" t="s">
        <v>9198</v>
      </c>
      <c r="C2127" t="str">
        <f>"A0189517"</f>
        <v>A0189517</v>
      </c>
      <c r="D2127" t="s">
        <v>9199</v>
      </c>
      <c r="E2127" t="s">
        <v>9200</v>
      </c>
      <c r="F2127" t="s">
        <v>7362</v>
      </c>
      <c r="G2127" t="s">
        <v>110</v>
      </c>
      <c r="H2127">
        <v>90036</v>
      </c>
      <c r="I2127" t="s">
        <v>30</v>
      </c>
      <c r="J2127" t="s">
        <v>41</v>
      </c>
      <c r="K2127" t="s">
        <v>290</v>
      </c>
      <c r="Q2127">
        <v>0</v>
      </c>
      <c r="R2127">
        <v>0</v>
      </c>
      <c r="S2127">
        <v>0</v>
      </c>
      <c r="T2127" t="s">
        <v>9201</v>
      </c>
    </row>
    <row r="2128" spans="1:20" customFormat="1" ht="15" x14ac:dyDescent="0.25">
      <c r="A2128" t="s">
        <v>35</v>
      </c>
      <c r="B2128" t="s">
        <v>8378</v>
      </c>
      <c r="C2128" t="str">
        <f>"A0189516"</f>
        <v>A0189516</v>
      </c>
      <c r="D2128" t="s">
        <v>9202</v>
      </c>
      <c r="E2128" t="s">
        <v>9203</v>
      </c>
      <c r="F2128" t="s">
        <v>7326</v>
      </c>
      <c r="G2128" t="s">
        <v>117</v>
      </c>
      <c r="H2128">
        <v>48423</v>
      </c>
      <c r="I2128" t="s">
        <v>30</v>
      </c>
      <c r="J2128" t="s">
        <v>41</v>
      </c>
      <c r="K2128" t="s">
        <v>59</v>
      </c>
      <c r="Q2128">
        <v>0</v>
      </c>
      <c r="R2128">
        <v>0</v>
      </c>
      <c r="S2128">
        <v>32</v>
      </c>
      <c r="T2128" t="s">
        <v>72</v>
      </c>
    </row>
    <row r="2129" spans="1:20" customFormat="1" ht="15" x14ac:dyDescent="0.25">
      <c r="A2129" t="s">
        <v>35</v>
      </c>
      <c r="B2129" t="s">
        <v>8378</v>
      </c>
      <c r="C2129" t="str">
        <f>"A0189515"</f>
        <v>A0189515</v>
      </c>
      <c r="D2129" t="s">
        <v>8378</v>
      </c>
      <c r="E2129" t="s">
        <v>9204</v>
      </c>
      <c r="F2129" t="s">
        <v>9205</v>
      </c>
      <c r="G2129" t="s">
        <v>117</v>
      </c>
      <c r="H2129">
        <v>49341</v>
      </c>
      <c r="I2129" t="s">
        <v>30</v>
      </c>
      <c r="J2129" t="s">
        <v>41</v>
      </c>
      <c r="K2129" t="s">
        <v>290</v>
      </c>
      <c r="Q2129">
        <v>0</v>
      </c>
      <c r="R2129">
        <v>0</v>
      </c>
      <c r="S2129">
        <v>0</v>
      </c>
      <c r="T2129" t="s">
        <v>72</v>
      </c>
    </row>
    <row r="2130" spans="1:20" customFormat="1" ht="15" x14ac:dyDescent="0.25">
      <c r="A2130" t="s">
        <v>35</v>
      </c>
      <c r="B2130" t="s">
        <v>9206</v>
      </c>
      <c r="C2130" t="str">
        <f>"A0189514"</f>
        <v>A0189514</v>
      </c>
      <c r="D2130" t="s">
        <v>9207</v>
      </c>
      <c r="E2130" t="s">
        <v>9208</v>
      </c>
      <c r="F2130" t="s">
        <v>2732</v>
      </c>
      <c r="G2130" t="s">
        <v>1363</v>
      </c>
      <c r="H2130">
        <v>3104</v>
      </c>
      <c r="I2130" t="s">
        <v>30</v>
      </c>
      <c r="J2130" t="s">
        <v>41</v>
      </c>
      <c r="K2130" t="s">
        <v>461</v>
      </c>
      <c r="Q2130">
        <v>0</v>
      </c>
      <c r="R2130">
        <v>0</v>
      </c>
      <c r="S2130">
        <v>0</v>
      </c>
      <c r="T2130" t="s">
        <v>72</v>
      </c>
    </row>
    <row r="2131" spans="1:20" customFormat="1" ht="15" x14ac:dyDescent="0.25">
      <c r="A2131" t="s">
        <v>35</v>
      </c>
      <c r="B2131" t="s">
        <v>9206</v>
      </c>
      <c r="C2131" t="str">
        <f>"A0189513"</f>
        <v>A0189513</v>
      </c>
      <c r="D2131" t="s">
        <v>9209</v>
      </c>
      <c r="E2131" t="s">
        <v>9210</v>
      </c>
      <c r="F2131" t="s">
        <v>9211</v>
      </c>
      <c r="G2131" t="s">
        <v>1363</v>
      </c>
      <c r="H2131">
        <v>3574</v>
      </c>
      <c r="I2131" t="s">
        <v>30</v>
      </c>
      <c r="J2131" t="s">
        <v>41</v>
      </c>
      <c r="K2131" t="s">
        <v>461</v>
      </c>
      <c r="Q2131">
        <v>0</v>
      </c>
      <c r="R2131">
        <v>0</v>
      </c>
      <c r="S2131">
        <v>0</v>
      </c>
      <c r="T2131" t="s">
        <v>72</v>
      </c>
    </row>
    <row r="2132" spans="1:20" customFormat="1" ht="15" x14ac:dyDescent="0.25">
      <c r="A2132" t="s">
        <v>35</v>
      </c>
      <c r="B2132" t="s">
        <v>9212</v>
      </c>
      <c r="C2132" t="str">
        <f>"A0128507"</f>
        <v>A0128507</v>
      </c>
      <c r="D2132" t="s">
        <v>9213</v>
      </c>
      <c r="E2132" t="s">
        <v>9214</v>
      </c>
      <c r="F2132" t="s">
        <v>9215</v>
      </c>
      <c r="G2132" t="s">
        <v>110</v>
      </c>
      <c r="H2132">
        <v>90248</v>
      </c>
      <c r="I2132" t="s">
        <v>30</v>
      </c>
      <c r="J2132" t="s">
        <v>41</v>
      </c>
      <c r="K2132" t="s">
        <v>229</v>
      </c>
      <c r="Q2132">
        <v>0</v>
      </c>
      <c r="R2132">
        <v>89</v>
      </c>
      <c r="S2132">
        <v>89</v>
      </c>
      <c r="T2132" t="s">
        <v>9216</v>
      </c>
    </row>
    <row r="2133" spans="1:20" customFormat="1" ht="15" x14ac:dyDescent="0.25">
      <c r="A2133" t="s">
        <v>35</v>
      </c>
      <c r="B2133" t="s">
        <v>9212</v>
      </c>
      <c r="C2133" t="str">
        <f>"A0119047"</f>
        <v>A0119047</v>
      </c>
      <c r="D2133" t="s">
        <v>9217</v>
      </c>
      <c r="E2133" t="s">
        <v>9218</v>
      </c>
      <c r="F2133" t="s">
        <v>6988</v>
      </c>
      <c r="G2133" t="s">
        <v>110</v>
      </c>
      <c r="H2133">
        <v>91007</v>
      </c>
      <c r="I2133" t="s">
        <v>30</v>
      </c>
      <c r="J2133" t="s">
        <v>41</v>
      </c>
      <c r="K2133" t="s">
        <v>229</v>
      </c>
      <c r="Q2133">
        <v>0</v>
      </c>
      <c r="R2133">
        <v>117</v>
      </c>
      <c r="S2133">
        <v>117</v>
      </c>
      <c r="T2133" t="s">
        <v>9219</v>
      </c>
    </row>
    <row r="2134" spans="1:20" customFormat="1" ht="15" x14ac:dyDescent="0.25">
      <c r="A2134" t="s">
        <v>35</v>
      </c>
      <c r="B2134" t="s">
        <v>61</v>
      </c>
      <c r="C2134" t="str">
        <f>"A0151238"</f>
        <v>A0151238</v>
      </c>
      <c r="D2134" t="s">
        <v>9220</v>
      </c>
      <c r="E2134" t="s">
        <v>9221</v>
      </c>
      <c r="F2134" t="s">
        <v>6542</v>
      </c>
      <c r="G2134" t="s">
        <v>81</v>
      </c>
      <c r="H2134">
        <v>33990</v>
      </c>
      <c r="I2134" t="s">
        <v>30</v>
      </c>
      <c r="J2134" t="s">
        <v>41</v>
      </c>
      <c r="K2134" t="s">
        <v>59</v>
      </c>
      <c r="Q2134">
        <v>0</v>
      </c>
      <c r="R2134">
        <v>148</v>
      </c>
      <c r="S2134">
        <v>148</v>
      </c>
      <c r="T2134" t="s">
        <v>9222</v>
      </c>
    </row>
    <row r="2135" spans="1:20" customFormat="1" ht="15" x14ac:dyDescent="0.25">
      <c r="A2135" t="s">
        <v>35</v>
      </c>
      <c r="B2135" t="s">
        <v>61</v>
      </c>
      <c r="C2135" t="str">
        <f>"A0128414"</f>
        <v>A0128414</v>
      </c>
      <c r="D2135" t="s">
        <v>9223</v>
      </c>
      <c r="E2135" t="s">
        <v>9224</v>
      </c>
      <c r="F2135" t="s">
        <v>4227</v>
      </c>
      <c r="G2135" t="s">
        <v>52</v>
      </c>
      <c r="H2135">
        <v>75751</v>
      </c>
      <c r="I2135" t="s">
        <v>30</v>
      </c>
      <c r="J2135" t="s">
        <v>41</v>
      </c>
      <c r="K2135" t="s">
        <v>229</v>
      </c>
      <c r="Q2135">
        <v>0</v>
      </c>
      <c r="R2135">
        <v>120</v>
      </c>
      <c r="S2135">
        <v>120</v>
      </c>
      <c r="T2135" t="s">
        <v>9225</v>
      </c>
    </row>
    <row r="2136" spans="1:20" customFormat="1" ht="15" x14ac:dyDescent="0.25">
      <c r="A2136" t="s">
        <v>35</v>
      </c>
      <c r="B2136" t="s">
        <v>61</v>
      </c>
      <c r="C2136" t="str">
        <f>"A0127135"</f>
        <v>A0127135</v>
      </c>
      <c r="D2136" t="s">
        <v>9226</v>
      </c>
      <c r="E2136" t="s">
        <v>9227</v>
      </c>
      <c r="F2136" t="s">
        <v>9228</v>
      </c>
      <c r="G2136" t="s">
        <v>81</v>
      </c>
      <c r="H2136">
        <v>33511</v>
      </c>
      <c r="I2136" t="s">
        <v>30</v>
      </c>
      <c r="J2136" t="s">
        <v>41</v>
      </c>
      <c r="K2136" t="s">
        <v>59</v>
      </c>
      <c r="Q2136">
        <v>0</v>
      </c>
      <c r="R2136">
        <v>136</v>
      </c>
      <c r="S2136">
        <v>136</v>
      </c>
      <c r="T2136" t="s">
        <v>9229</v>
      </c>
    </row>
    <row r="2137" spans="1:20" customFormat="1" ht="15" x14ac:dyDescent="0.25">
      <c r="A2137" t="s">
        <v>35</v>
      </c>
      <c r="B2137" t="s">
        <v>61</v>
      </c>
      <c r="C2137" t="str">
        <f>"A0150570"</f>
        <v>A0150570</v>
      </c>
      <c r="D2137" t="s">
        <v>9230</v>
      </c>
      <c r="E2137" t="s">
        <v>9231</v>
      </c>
      <c r="F2137" t="s">
        <v>2714</v>
      </c>
      <c r="G2137" t="s">
        <v>81</v>
      </c>
      <c r="H2137">
        <v>33626</v>
      </c>
      <c r="I2137" t="s">
        <v>30</v>
      </c>
      <c r="J2137" t="s">
        <v>41</v>
      </c>
      <c r="K2137" t="s">
        <v>59</v>
      </c>
      <c r="Q2137">
        <v>0</v>
      </c>
      <c r="R2137">
        <v>85</v>
      </c>
      <c r="S2137">
        <v>85</v>
      </c>
      <c r="T2137" t="s">
        <v>9232</v>
      </c>
    </row>
    <row r="2138" spans="1:20" customFormat="1" ht="15" x14ac:dyDescent="0.25">
      <c r="A2138" t="s">
        <v>35</v>
      </c>
      <c r="B2138" t="s">
        <v>61</v>
      </c>
      <c r="C2138" t="str">
        <f>"A0150839"</f>
        <v>A0150839</v>
      </c>
      <c r="D2138" t="s">
        <v>9233</v>
      </c>
      <c r="E2138" t="s">
        <v>9234</v>
      </c>
      <c r="F2138" t="s">
        <v>9235</v>
      </c>
      <c r="G2138" t="s">
        <v>81</v>
      </c>
      <c r="H2138">
        <v>33928</v>
      </c>
      <c r="I2138" t="s">
        <v>30</v>
      </c>
      <c r="J2138" t="s">
        <v>41</v>
      </c>
      <c r="K2138" t="s">
        <v>59</v>
      </c>
      <c r="Q2138">
        <v>0</v>
      </c>
      <c r="R2138">
        <v>124</v>
      </c>
      <c r="S2138">
        <v>124</v>
      </c>
      <c r="T2138" t="s">
        <v>9236</v>
      </c>
    </row>
    <row r="2139" spans="1:20" customFormat="1" ht="15" x14ac:dyDescent="0.25">
      <c r="A2139" t="s">
        <v>35</v>
      </c>
      <c r="B2139" t="s">
        <v>4120</v>
      </c>
      <c r="C2139" t="str">
        <f>"A0126336"</f>
        <v>A0126336</v>
      </c>
      <c r="D2139" t="s">
        <v>9237</v>
      </c>
      <c r="E2139" t="s">
        <v>9238</v>
      </c>
      <c r="F2139" t="s">
        <v>9239</v>
      </c>
      <c r="G2139" t="s">
        <v>81</v>
      </c>
      <c r="H2139">
        <v>34785</v>
      </c>
      <c r="I2139" t="s">
        <v>30</v>
      </c>
      <c r="J2139" t="s">
        <v>41</v>
      </c>
      <c r="K2139" t="s">
        <v>59</v>
      </c>
      <c r="Q2139">
        <v>0</v>
      </c>
      <c r="R2139">
        <v>173</v>
      </c>
      <c r="S2139">
        <v>173</v>
      </c>
      <c r="T2139" t="s">
        <v>9240</v>
      </c>
    </row>
    <row r="2140" spans="1:20" customFormat="1" ht="15" x14ac:dyDescent="0.25">
      <c r="A2140" t="s">
        <v>24</v>
      </c>
      <c r="B2140" t="s">
        <v>9241</v>
      </c>
      <c r="C2140" t="str">
        <f>"A0189001"</f>
        <v>A0189001</v>
      </c>
      <c r="D2140" t="s">
        <v>9242</v>
      </c>
      <c r="E2140" t="s">
        <v>9243</v>
      </c>
      <c r="F2140" t="s">
        <v>9244</v>
      </c>
      <c r="G2140" t="s">
        <v>925</v>
      </c>
      <c r="H2140">
        <v>66061</v>
      </c>
      <c r="I2140" t="s">
        <v>30</v>
      </c>
      <c r="J2140" t="s">
        <v>178</v>
      </c>
      <c r="K2140" t="s">
        <v>163</v>
      </c>
      <c r="N2140" t="s">
        <v>9245</v>
      </c>
      <c r="Q2140">
        <v>0</v>
      </c>
      <c r="R2140">
        <v>0</v>
      </c>
      <c r="S2140">
        <v>0</v>
      </c>
      <c r="T2140" t="s">
        <v>9246</v>
      </c>
    </row>
    <row r="2141" spans="1:20" customFormat="1" ht="15" x14ac:dyDescent="0.25">
      <c r="A2141" t="s">
        <v>24</v>
      </c>
      <c r="B2141" t="s">
        <v>2812</v>
      </c>
      <c r="C2141" t="str">
        <f>"A0189451"</f>
        <v>A0189451</v>
      </c>
      <c r="D2141" t="s">
        <v>9247</v>
      </c>
      <c r="E2141" t="s">
        <v>9248</v>
      </c>
      <c r="F2141" t="s">
        <v>845</v>
      </c>
      <c r="G2141" t="s">
        <v>846</v>
      </c>
      <c r="H2141">
        <v>30339</v>
      </c>
      <c r="I2141" t="s">
        <v>30</v>
      </c>
      <c r="J2141" t="s">
        <v>31</v>
      </c>
      <c r="K2141" t="s">
        <v>1196</v>
      </c>
      <c r="N2141" t="s">
        <v>9249</v>
      </c>
      <c r="O2141" t="s">
        <v>9250</v>
      </c>
      <c r="Q2141">
        <v>0</v>
      </c>
      <c r="R2141">
        <v>113</v>
      </c>
      <c r="S2141">
        <v>0</v>
      </c>
      <c r="T2141" t="s">
        <v>9251</v>
      </c>
    </row>
    <row r="2142" spans="1:20" customFormat="1" ht="15" x14ac:dyDescent="0.25">
      <c r="A2142" t="s">
        <v>35</v>
      </c>
      <c r="B2142" t="s">
        <v>9252</v>
      </c>
      <c r="C2142" t="str">
        <f>"A0189209"</f>
        <v>A0189209</v>
      </c>
      <c r="D2142" t="s">
        <v>9253</v>
      </c>
      <c r="E2142" t="s">
        <v>9254</v>
      </c>
      <c r="F2142" t="s">
        <v>9255</v>
      </c>
      <c r="G2142" t="s">
        <v>289</v>
      </c>
      <c r="H2142">
        <v>62521</v>
      </c>
      <c r="I2142" t="s">
        <v>30</v>
      </c>
      <c r="J2142" t="s">
        <v>41</v>
      </c>
      <c r="K2142" t="s">
        <v>131</v>
      </c>
      <c r="Q2142">
        <v>0</v>
      </c>
      <c r="R2142">
        <v>0</v>
      </c>
      <c r="S2142">
        <v>6</v>
      </c>
      <c r="T2142" t="s">
        <v>9256</v>
      </c>
    </row>
    <row r="2143" spans="1:20" customFormat="1" ht="15" x14ac:dyDescent="0.25">
      <c r="A2143" t="s">
        <v>35</v>
      </c>
      <c r="B2143" t="s">
        <v>9252</v>
      </c>
      <c r="C2143" t="str">
        <f>"A0189199"</f>
        <v>A0189199</v>
      </c>
      <c r="D2143" t="s">
        <v>9257</v>
      </c>
      <c r="E2143" t="s">
        <v>9258</v>
      </c>
      <c r="F2143" t="s">
        <v>9255</v>
      </c>
      <c r="G2143" t="s">
        <v>289</v>
      </c>
      <c r="H2143">
        <v>65256</v>
      </c>
      <c r="I2143" t="s">
        <v>30</v>
      </c>
      <c r="J2143" t="s">
        <v>41</v>
      </c>
      <c r="K2143" t="s">
        <v>131</v>
      </c>
      <c r="Q2143">
        <v>0</v>
      </c>
      <c r="R2143">
        <v>0</v>
      </c>
      <c r="S2143">
        <v>6</v>
      </c>
      <c r="T2143" t="s">
        <v>9256</v>
      </c>
    </row>
    <row r="2144" spans="1:20" customFormat="1" ht="15" x14ac:dyDescent="0.25">
      <c r="A2144" t="s">
        <v>35</v>
      </c>
      <c r="B2144" t="s">
        <v>9252</v>
      </c>
      <c r="C2144" t="str">
        <f>"A0189219"</f>
        <v>A0189219</v>
      </c>
      <c r="D2144" t="s">
        <v>9259</v>
      </c>
      <c r="E2144" t="s">
        <v>9260</v>
      </c>
      <c r="F2144" t="s">
        <v>9261</v>
      </c>
      <c r="G2144" t="s">
        <v>289</v>
      </c>
      <c r="H2144">
        <v>62549</v>
      </c>
      <c r="I2144" t="s">
        <v>30</v>
      </c>
      <c r="J2144" t="s">
        <v>41</v>
      </c>
      <c r="K2144" t="s">
        <v>131</v>
      </c>
      <c r="Q2144">
        <v>0</v>
      </c>
      <c r="R2144">
        <v>0</v>
      </c>
      <c r="S2144">
        <v>6</v>
      </c>
      <c r="T2144" t="s">
        <v>9262</v>
      </c>
    </row>
    <row r="2145" spans="1:20" customFormat="1" ht="15" x14ac:dyDescent="0.25">
      <c r="A2145" t="s">
        <v>35</v>
      </c>
      <c r="B2145" t="s">
        <v>9252</v>
      </c>
      <c r="C2145" t="str">
        <f>"A0189189"</f>
        <v>A0189189</v>
      </c>
      <c r="D2145" t="s">
        <v>9263</v>
      </c>
      <c r="E2145" t="s">
        <v>9258</v>
      </c>
      <c r="F2145" t="s">
        <v>9255</v>
      </c>
      <c r="G2145" t="s">
        <v>289</v>
      </c>
      <c r="H2145">
        <v>62526</v>
      </c>
      <c r="I2145" t="s">
        <v>30</v>
      </c>
      <c r="J2145" t="s">
        <v>41</v>
      </c>
      <c r="K2145" t="s">
        <v>131</v>
      </c>
      <c r="Q2145">
        <v>0</v>
      </c>
      <c r="R2145">
        <v>0</v>
      </c>
      <c r="S2145">
        <v>6</v>
      </c>
      <c r="T2145" t="s">
        <v>9264</v>
      </c>
    </row>
    <row r="2146" spans="1:20" customFormat="1" ht="15" x14ac:dyDescent="0.25">
      <c r="A2146" t="s">
        <v>35</v>
      </c>
      <c r="B2146" t="s">
        <v>9252</v>
      </c>
      <c r="C2146" t="str">
        <f>"A0189179"</f>
        <v>A0189179</v>
      </c>
      <c r="D2146" t="s">
        <v>9265</v>
      </c>
      <c r="E2146" t="s">
        <v>9266</v>
      </c>
      <c r="F2146" t="s">
        <v>9255</v>
      </c>
      <c r="G2146" t="s">
        <v>289</v>
      </c>
      <c r="H2146">
        <v>62621</v>
      </c>
      <c r="I2146" t="s">
        <v>30</v>
      </c>
      <c r="J2146" t="s">
        <v>41</v>
      </c>
      <c r="K2146" t="s">
        <v>131</v>
      </c>
      <c r="Q2146">
        <v>0</v>
      </c>
      <c r="R2146">
        <v>0</v>
      </c>
      <c r="S2146">
        <v>6</v>
      </c>
      <c r="T2146" t="s">
        <v>9267</v>
      </c>
    </row>
    <row r="2147" spans="1:20" customFormat="1" ht="15" x14ac:dyDescent="0.25">
      <c r="A2147" t="s">
        <v>35</v>
      </c>
      <c r="B2147" t="s">
        <v>9252</v>
      </c>
      <c r="C2147" t="str">
        <f>"A0189169"</f>
        <v>A0189169</v>
      </c>
      <c r="D2147" t="s">
        <v>9268</v>
      </c>
      <c r="E2147" t="s">
        <v>9269</v>
      </c>
      <c r="F2147" t="s">
        <v>9255</v>
      </c>
      <c r="G2147" t="s">
        <v>289</v>
      </c>
      <c r="H2147">
        <v>62621</v>
      </c>
      <c r="I2147" t="s">
        <v>30</v>
      </c>
      <c r="J2147" t="s">
        <v>41</v>
      </c>
      <c r="K2147" t="s">
        <v>131</v>
      </c>
      <c r="Q2147">
        <v>0</v>
      </c>
      <c r="R2147">
        <v>0</v>
      </c>
      <c r="S2147">
        <v>6</v>
      </c>
      <c r="T2147" t="s">
        <v>9270</v>
      </c>
    </row>
    <row r="2148" spans="1:20" customFormat="1" ht="15" x14ac:dyDescent="0.25">
      <c r="A2148" t="s">
        <v>35</v>
      </c>
      <c r="B2148" t="s">
        <v>9271</v>
      </c>
      <c r="C2148" t="str">
        <f>"A0132555"</f>
        <v>A0132555</v>
      </c>
      <c r="D2148" t="s">
        <v>9272</v>
      </c>
      <c r="E2148" t="s">
        <v>9273</v>
      </c>
      <c r="F2148" t="s">
        <v>9274</v>
      </c>
      <c r="G2148" t="s">
        <v>65</v>
      </c>
      <c r="H2148">
        <v>43571</v>
      </c>
      <c r="I2148" t="s">
        <v>30</v>
      </c>
      <c r="J2148" t="s">
        <v>41</v>
      </c>
      <c r="K2148" t="s">
        <v>59</v>
      </c>
      <c r="Q2148">
        <v>0</v>
      </c>
      <c r="R2148">
        <v>88</v>
      </c>
      <c r="S2148">
        <v>88</v>
      </c>
      <c r="T2148" t="s">
        <v>9275</v>
      </c>
    </row>
    <row r="2149" spans="1:20" customFormat="1" ht="15" x14ac:dyDescent="0.25">
      <c r="A2149" t="s">
        <v>35</v>
      </c>
      <c r="B2149" t="s">
        <v>9271</v>
      </c>
      <c r="C2149" t="str">
        <f>"A0131674"</f>
        <v>A0131674</v>
      </c>
      <c r="D2149" t="s">
        <v>9276</v>
      </c>
      <c r="E2149" t="s">
        <v>9277</v>
      </c>
      <c r="F2149" t="s">
        <v>3478</v>
      </c>
      <c r="G2149" t="s">
        <v>65</v>
      </c>
      <c r="H2149">
        <v>45406</v>
      </c>
      <c r="I2149" t="s">
        <v>30</v>
      </c>
      <c r="J2149" t="s">
        <v>41</v>
      </c>
      <c r="K2149" t="s">
        <v>1440</v>
      </c>
      <c r="Q2149">
        <v>0</v>
      </c>
      <c r="R2149">
        <v>120</v>
      </c>
      <c r="S2149">
        <v>120</v>
      </c>
      <c r="T2149" t="s">
        <v>9278</v>
      </c>
    </row>
    <row r="2150" spans="1:20" customFormat="1" ht="15" x14ac:dyDescent="0.25">
      <c r="A2150" t="s">
        <v>35</v>
      </c>
      <c r="B2150" t="s">
        <v>54</v>
      </c>
      <c r="C2150" t="str">
        <f>"A0131228"</f>
        <v>A0131228</v>
      </c>
      <c r="D2150" t="s">
        <v>9279</v>
      </c>
      <c r="E2150" t="s">
        <v>9280</v>
      </c>
      <c r="F2150" t="s">
        <v>9281</v>
      </c>
      <c r="G2150" t="s">
        <v>85</v>
      </c>
      <c r="H2150">
        <v>71602</v>
      </c>
      <c r="I2150" t="s">
        <v>30</v>
      </c>
      <c r="J2150" t="s">
        <v>41</v>
      </c>
      <c r="K2150" t="s">
        <v>3713</v>
      </c>
      <c r="Q2150">
        <v>0</v>
      </c>
      <c r="R2150">
        <v>120</v>
      </c>
      <c r="S2150">
        <v>120</v>
      </c>
      <c r="T2150" t="s">
        <v>9282</v>
      </c>
    </row>
    <row r="2151" spans="1:20" customFormat="1" ht="15" x14ac:dyDescent="0.25">
      <c r="A2151" t="s">
        <v>35</v>
      </c>
      <c r="B2151" t="s">
        <v>54</v>
      </c>
      <c r="C2151" t="str">
        <f>"A0131097"</f>
        <v>A0131097</v>
      </c>
      <c r="D2151" t="s">
        <v>9283</v>
      </c>
      <c r="E2151" t="s">
        <v>9284</v>
      </c>
      <c r="F2151" t="s">
        <v>9285</v>
      </c>
      <c r="G2151" t="s">
        <v>85</v>
      </c>
      <c r="H2151">
        <v>72114</v>
      </c>
      <c r="I2151" t="s">
        <v>30</v>
      </c>
      <c r="J2151" t="s">
        <v>41</v>
      </c>
      <c r="K2151" t="s">
        <v>229</v>
      </c>
      <c r="Q2151">
        <v>0</v>
      </c>
      <c r="R2151">
        <v>224</v>
      </c>
      <c r="S2151">
        <v>140</v>
      </c>
      <c r="T2151" t="s">
        <v>9286</v>
      </c>
    </row>
    <row r="2152" spans="1:20" customFormat="1" ht="15" x14ac:dyDescent="0.25">
      <c r="A2152" t="s">
        <v>35</v>
      </c>
      <c r="B2152" t="s">
        <v>5199</v>
      </c>
      <c r="C2152" t="str">
        <f>"A0131082"</f>
        <v>A0131082</v>
      </c>
      <c r="D2152" t="s">
        <v>9287</v>
      </c>
      <c r="E2152" t="s">
        <v>9288</v>
      </c>
      <c r="F2152" t="s">
        <v>2467</v>
      </c>
      <c r="G2152" t="s">
        <v>85</v>
      </c>
      <c r="H2152">
        <v>71901</v>
      </c>
      <c r="I2152" t="s">
        <v>30</v>
      </c>
      <c r="J2152" t="s">
        <v>41</v>
      </c>
      <c r="K2152" t="s">
        <v>229</v>
      </c>
      <c r="Q2152">
        <v>0</v>
      </c>
      <c r="R2152">
        <v>152</v>
      </c>
      <c r="S2152">
        <v>152</v>
      </c>
      <c r="T2152" t="s">
        <v>9289</v>
      </c>
    </row>
    <row r="2153" spans="1:20" customFormat="1" ht="15" x14ac:dyDescent="0.25">
      <c r="A2153" t="s">
        <v>35</v>
      </c>
      <c r="B2153" t="s">
        <v>61</v>
      </c>
      <c r="C2153" t="str">
        <f>"A0117860"</f>
        <v>A0117860</v>
      </c>
      <c r="D2153" t="s">
        <v>9290</v>
      </c>
      <c r="E2153" t="s">
        <v>9291</v>
      </c>
      <c r="F2153" t="s">
        <v>9292</v>
      </c>
      <c r="G2153" t="s">
        <v>110</v>
      </c>
      <c r="H2153">
        <v>93257</v>
      </c>
      <c r="I2153" t="s">
        <v>30</v>
      </c>
      <c r="J2153" t="s">
        <v>41</v>
      </c>
      <c r="K2153" t="s">
        <v>59</v>
      </c>
      <c r="Q2153">
        <v>0</v>
      </c>
      <c r="R2153">
        <v>6</v>
      </c>
      <c r="S2153">
        <v>6</v>
      </c>
      <c r="T2153" t="s">
        <v>9293</v>
      </c>
    </row>
    <row r="2154" spans="1:20" customFormat="1" ht="15" x14ac:dyDescent="0.25">
      <c r="A2154" t="s">
        <v>35</v>
      </c>
      <c r="B2154" t="s">
        <v>6747</v>
      </c>
      <c r="C2154" t="str">
        <f>"A0186452"</f>
        <v>A0186452</v>
      </c>
      <c r="D2154" t="s">
        <v>8196</v>
      </c>
      <c r="E2154" t="s">
        <v>8197</v>
      </c>
      <c r="F2154" t="s">
        <v>8198</v>
      </c>
      <c r="G2154" t="s">
        <v>214</v>
      </c>
      <c r="H2154">
        <v>28801</v>
      </c>
      <c r="I2154" t="s">
        <v>30</v>
      </c>
      <c r="J2154" t="s">
        <v>41</v>
      </c>
      <c r="K2154" t="s">
        <v>229</v>
      </c>
      <c r="Q2154">
        <v>0</v>
      </c>
      <c r="R2154">
        <v>120</v>
      </c>
      <c r="S2154">
        <v>0</v>
      </c>
      <c r="T2154" t="s">
        <v>8199</v>
      </c>
    </row>
    <row r="2155" spans="1:20" customFormat="1" ht="15" x14ac:dyDescent="0.25">
      <c r="A2155" t="s">
        <v>35</v>
      </c>
      <c r="B2155" t="s">
        <v>8631</v>
      </c>
      <c r="C2155" t="str">
        <f>"A0183525"</f>
        <v>A0183525</v>
      </c>
      <c r="D2155" t="s">
        <v>9294</v>
      </c>
      <c r="E2155" t="s">
        <v>9295</v>
      </c>
      <c r="F2155" t="s">
        <v>5502</v>
      </c>
      <c r="G2155" t="s">
        <v>81</v>
      </c>
      <c r="H2155">
        <v>337741212</v>
      </c>
      <c r="I2155" t="s">
        <v>30</v>
      </c>
      <c r="J2155" t="s">
        <v>41</v>
      </c>
      <c r="K2155" t="s">
        <v>59</v>
      </c>
      <c r="Q2155">
        <v>0</v>
      </c>
      <c r="R2155">
        <v>132</v>
      </c>
      <c r="S2155">
        <v>0</v>
      </c>
      <c r="T2155" t="s">
        <v>9296</v>
      </c>
    </row>
    <row r="2156" spans="1:20" customFormat="1" ht="15" x14ac:dyDescent="0.25">
      <c r="A2156" t="s">
        <v>24</v>
      </c>
      <c r="B2156" t="s">
        <v>9297</v>
      </c>
      <c r="C2156" t="str">
        <f>"88DT001"</f>
        <v>88DT001</v>
      </c>
      <c r="D2156" t="s">
        <v>9298</v>
      </c>
      <c r="E2156" t="s">
        <v>9299</v>
      </c>
      <c r="F2156" t="s">
        <v>313</v>
      </c>
      <c r="G2156" t="s">
        <v>314</v>
      </c>
      <c r="H2156">
        <v>20037</v>
      </c>
      <c r="I2156" t="s">
        <v>30</v>
      </c>
      <c r="J2156" t="s">
        <v>31</v>
      </c>
      <c r="K2156" t="s">
        <v>163</v>
      </c>
      <c r="Q2156">
        <v>0</v>
      </c>
      <c r="R2156">
        <v>124</v>
      </c>
      <c r="S2156">
        <v>0</v>
      </c>
      <c r="T2156" t="s">
        <v>9300</v>
      </c>
    </row>
    <row r="2157" spans="1:20" customFormat="1" ht="15" x14ac:dyDescent="0.25">
      <c r="A2157" t="s">
        <v>24</v>
      </c>
      <c r="B2157" t="s">
        <v>54371</v>
      </c>
      <c r="C2157" t="str">
        <f>"A0089520"</f>
        <v>A0089520</v>
      </c>
      <c r="D2157" t="s">
        <v>54372</v>
      </c>
      <c r="E2157" t="s">
        <v>54373</v>
      </c>
      <c r="F2157" t="s">
        <v>54374</v>
      </c>
      <c r="G2157" t="s">
        <v>65</v>
      </c>
      <c r="H2157">
        <v>43537</v>
      </c>
      <c r="I2157" t="s">
        <v>30</v>
      </c>
      <c r="J2157" t="s">
        <v>162</v>
      </c>
      <c r="K2157" t="s">
        <v>854</v>
      </c>
      <c r="N2157" t="s">
        <v>54375</v>
      </c>
      <c r="Q2157">
        <v>0</v>
      </c>
      <c r="R2157">
        <v>106</v>
      </c>
      <c r="S2157">
        <v>0</v>
      </c>
      <c r="T2157" t="s">
        <v>54376</v>
      </c>
    </row>
    <row r="2158" spans="1:20" customFormat="1" ht="15" x14ac:dyDescent="0.25">
      <c r="A2158" t="s">
        <v>35</v>
      </c>
      <c r="B2158" t="s">
        <v>7250</v>
      </c>
      <c r="C2158" t="str">
        <f>"A0151159"</f>
        <v>A0151159</v>
      </c>
      <c r="D2158" t="s">
        <v>9306</v>
      </c>
      <c r="E2158" t="s">
        <v>9307</v>
      </c>
      <c r="F2158" t="s">
        <v>9308</v>
      </c>
      <c r="G2158" t="s">
        <v>1184</v>
      </c>
      <c r="H2158">
        <v>59722</v>
      </c>
      <c r="I2158" t="s">
        <v>30</v>
      </c>
      <c r="J2158" t="s">
        <v>41</v>
      </c>
      <c r="K2158" t="s">
        <v>229</v>
      </c>
      <c r="Q2158">
        <v>0</v>
      </c>
      <c r="R2158">
        <v>65</v>
      </c>
      <c r="S2158">
        <v>65</v>
      </c>
      <c r="T2158" t="s">
        <v>9309</v>
      </c>
    </row>
    <row r="2159" spans="1:20" customFormat="1" ht="15" x14ac:dyDescent="0.25">
      <c r="A2159" t="s">
        <v>35</v>
      </c>
      <c r="B2159" t="s">
        <v>61</v>
      </c>
      <c r="C2159" t="str">
        <f>"A0124343"</f>
        <v>A0124343</v>
      </c>
      <c r="D2159" t="s">
        <v>9310</v>
      </c>
      <c r="E2159" t="s">
        <v>9311</v>
      </c>
      <c r="F2159" t="s">
        <v>1755</v>
      </c>
      <c r="G2159" t="s">
        <v>289</v>
      </c>
      <c r="H2159">
        <v>62704</v>
      </c>
      <c r="I2159" t="s">
        <v>30</v>
      </c>
      <c r="J2159" t="s">
        <v>41</v>
      </c>
      <c r="K2159" t="s">
        <v>229</v>
      </c>
      <c r="Q2159">
        <v>0</v>
      </c>
      <c r="R2159">
        <v>79</v>
      </c>
      <c r="S2159">
        <v>79</v>
      </c>
      <c r="T2159" t="s">
        <v>9312</v>
      </c>
    </row>
    <row r="2160" spans="1:20" customFormat="1" ht="15" x14ac:dyDescent="0.25">
      <c r="A2160" t="s">
        <v>24</v>
      </c>
      <c r="B2160" t="s">
        <v>850</v>
      </c>
      <c r="C2160" t="str">
        <f>"A0189437"</f>
        <v>A0189437</v>
      </c>
      <c r="D2160" t="s">
        <v>9313</v>
      </c>
      <c r="E2160" t="s">
        <v>9314</v>
      </c>
      <c r="F2160" t="s">
        <v>9315</v>
      </c>
      <c r="G2160" t="s">
        <v>190</v>
      </c>
      <c r="H2160">
        <v>80828</v>
      </c>
      <c r="I2160" t="s">
        <v>30</v>
      </c>
      <c r="J2160" t="s">
        <v>31</v>
      </c>
      <c r="K2160" t="s">
        <v>282</v>
      </c>
      <c r="N2160" t="s">
        <v>9316</v>
      </c>
      <c r="Q2160">
        <v>0</v>
      </c>
      <c r="R2160">
        <v>67</v>
      </c>
      <c r="S2160">
        <v>0</v>
      </c>
      <c r="T2160" t="s">
        <v>9317</v>
      </c>
    </row>
    <row r="2161" spans="1:20" customFormat="1" ht="15" x14ac:dyDescent="0.25">
      <c r="A2161" t="s">
        <v>24</v>
      </c>
      <c r="B2161" t="s">
        <v>850</v>
      </c>
      <c r="C2161" t="str">
        <f>"A0189436"</f>
        <v>A0189436</v>
      </c>
      <c r="D2161" t="s">
        <v>9318</v>
      </c>
      <c r="E2161" t="s">
        <v>9319</v>
      </c>
      <c r="F2161" t="s">
        <v>9320</v>
      </c>
      <c r="G2161" t="s">
        <v>190</v>
      </c>
      <c r="H2161">
        <v>80442</v>
      </c>
      <c r="I2161" t="s">
        <v>30</v>
      </c>
      <c r="J2161" t="s">
        <v>31</v>
      </c>
      <c r="K2161" t="s">
        <v>282</v>
      </c>
      <c r="N2161" t="s">
        <v>9321</v>
      </c>
      <c r="Q2161">
        <v>0</v>
      </c>
      <c r="R2161">
        <v>62</v>
      </c>
      <c r="S2161">
        <v>0</v>
      </c>
      <c r="T2161" t="s">
        <v>9322</v>
      </c>
    </row>
    <row r="2162" spans="1:20" customFormat="1" ht="15" x14ac:dyDescent="0.25">
      <c r="A2162" t="s">
        <v>24</v>
      </c>
      <c r="B2162" t="s">
        <v>140</v>
      </c>
      <c r="C2162" t="str">
        <f>"337W1"</f>
        <v>337W1</v>
      </c>
      <c r="D2162" t="s">
        <v>54377</v>
      </c>
      <c r="E2162" t="s">
        <v>54378</v>
      </c>
      <c r="F2162" t="s">
        <v>1883</v>
      </c>
      <c r="G2162" t="s">
        <v>846</v>
      </c>
      <c r="H2162">
        <v>30005</v>
      </c>
      <c r="I2162" t="s">
        <v>30</v>
      </c>
      <c r="J2162" t="s">
        <v>162</v>
      </c>
      <c r="K2162" t="s">
        <v>1490</v>
      </c>
      <c r="N2162" t="s">
        <v>54379</v>
      </c>
      <c r="O2162" t="s">
        <v>54380</v>
      </c>
      <c r="Q2162">
        <v>0</v>
      </c>
      <c r="R2162">
        <v>316</v>
      </c>
      <c r="S2162">
        <v>0</v>
      </c>
      <c r="T2162" t="s">
        <v>54381</v>
      </c>
    </row>
    <row r="2163" spans="1:20" customFormat="1" ht="15" x14ac:dyDescent="0.25">
      <c r="A2163" t="s">
        <v>24</v>
      </c>
      <c r="B2163" t="s">
        <v>850</v>
      </c>
      <c r="C2163" t="str">
        <f>"A0189434"</f>
        <v>A0189434</v>
      </c>
      <c r="D2163" t="s">
        <v>9327</v>
      </c>
      <c r="E2163" t="s">
        <v>9328</v>
      </c>
      <c r="F2163" t="s">
        <v>9329</v>
      </c>
      <c r="G2163" t="s">
        <v>190</v>
      </c>
      <c r="H2163">
        <v>81625</v>
      </c>
      <c r="I2163" t="s">
        <v>30</v>
      </c>
      <c r="J2163" t="s">
        <v>31</v>
      </c>
      <c r="K2163" t="s">
        <v>3155</v>
      </c>
      <c r="N2163" t="s">
        <v>9330</v>
      </c>
      <c r="Q2163">
        <v>0</v>
      </c>
      <c r="R2163">
        <v>96</v>
      </c>
      <c r="S2163">
        <v>0</v>
      </c>
      <c r="T2163" t="s">
        <v>9331</v>
      </c>
    </row>
    <row r="2164" spans="1:20" customFormat="1" ht="15" x14ac:dyDescent="0.25">
      <c r="A2164" t="s">
        <v>24</v>
      </c>
      <c r="B2164" t="s">
        <v>850</v>
      </c>
      <c r="C2164" t="str">
        <f>"A0187433"</f>
        <v>A0187433</v>
      </c>
      <c r="D2164" t="s">
        <v>9332</v>
      </c>
      <c r="E2164" t="s">
        <v>9333</v>
      </c>
      <c r="F2164" t="s">
        <v>9334</v>
      </c>
      <c r="G2164" t="s">
        <v>190</v>
      </c>
      <c r="H2164">
        <v>81625</v>
      </c>
      <c r="I2164" t="s">
        <v>30</v>
      </c>
      <c r="J2164" t="s">
        <v>31</v>
      </c>
      <c r="K2164" t="s">
        <v>3155</v>
      </c>
      <c r="N2164" t="s">
        <v>9335</v>
      </c>
      <c r="Q2164">
        <v>0</v>
      </c>
      <c r="R2164">
        <v>76</v>
      </c>
      <c r="S2164">
        <v>0</v>
      </c>
      <c r="T2164" t="s">
        <v>9336</v>
      </c>
    </row>
    <row r="2165" spans="1:20" customFormat="1" ht="15" x14ac:dyDescent="0.25">
      <c r="A2165" t="s">
        <v>24</v>
      </c>
      <c r="B2165" t="s">
        <v>9337</v>
      </c>
      <c r="C2165" t="str">
        <f>"A0155884"</f>
        <v>A0155884</v>
      </c>
      <c r="D2165" t="s">
        <v>9338</v>
      </c>
      <c r="E2165" t="s">
        <v>9339</v>
      </c>
      <c r="F2165" t="s">
        <v>9340</v>
      </c>
      <c r="G2165" t="s">
        <v>103</v>
      </c>
      <c r="H2165">
        <v>18507</v>
      </c>
      <c r="I2165" t="s">
        <v>30</v>
      </c>
      <c r="J2165" t="s">
        <v>31</v>
      </c>
      <c r="K2165" t="s">
        <v>32</v>
      </c>
      <c r="N2165" t="s">
        <v>9341</v>
      </c>
      <c r="O2165" t="s">
        <v>9342</v>
      </c>
      <c r="Q2165">
        <v>0</v>
      </c>
      <c r="R2165">
        <v>108</v>
      </c>
      <c r="S2165">
        <v>0</v>
      </c>
      <c r="T2165" t="s">
        <v>9343</v>
      </c>
    </row>
    <row r="2166" spans="1:20" customFormat="1" ht="15" x14ac:dyDescent="0.25">
      <c r="A2166" t="s">
        <v>24</v>
      </c>
      <c r="B2166" t="s">
        <v>54541</v>
      </c>
      <c r="C2166" t="str">
        <f>"A0166941"</f>
        <v>A0166941</v>
      </c>
      <c r="D2166" t="s">
        <v>54542</v>
      </c>
      <c r="E2166" t="s">
        <v>54543</v>
      </c>
      <c r="F2166" t="s">
        <v>2014</v>
      </c>
      <c r="G2166" t="s">
        <v>197</v>
      </c>
      <c r="H2166">
        <v>85251</v>
      </c>
      <c r="I2166" t="s">
        <v>30</v>
      </c>
      <c r="J2166" t="s">
        <v>162</v>
      </c>
      <c r="K2166" t="s">
        <v>4809</v>
      </c>
      <c r="N2166" t="s">
        <v>54544</v>
      </c>
      <c r="Q2166">
        <v>0</v>
      </c>
      <c r="R2166">
        <v>177</v>
      </c>
      <c r="S2166">
        <v>0</v>
      </c>
      <c r="T2166" t="s">
        <v>54545</v>
      </c>
    </row>
    <row r="2167" spans="1:20" customFormat="1" ht="15" x14ac:dyDescent="0.25">
      <c r="A2167" t="s">
        <v>35</v>
      </c>
      <c r="B2167" t="s">
        <v>2711</v>
      </c>
      <c r="C2167" t="str">
        <f>"A0155749"</f>
        <v>A0155749</v>
      </c>
      <c r="D2167" t="s">
        <v>9349</v>
      </c>
      <c r="E2167" t="s">
        <v>9350</v>
      </c>
      <c r="F2167" t="s">
        <v>5502</v>
      </c>
      <c r="G2167" t="s">
        <v>81</v>
      </c>
      <c r="H2167">
        <v>33778</v>
      </c>
      <c r="I2167" t="s">
        <v>30</v>
      </c>
      <c r="J2167" t="s">
        <v>41</v>
      </c>
      <c r="K2167" t="s">
        <v>2715</v>
      </c>
      <c r="Q2167">
        <v>0</v>
      </c>
      <c r="R2167">
        <v>0</v>
      </c>
      <c r="S2167">
        <v>0</v>
      </c>
      <c r="T2167" t="s">
        <v>9351</v>
      </c>
    </row>
    <row r="2168" spans="1:20" customFormat="1" ht="15" x14ac:dyDescent="0.25">
      <c r="A2168" t="s">
        <v>35</v>
      </c>
      <c r="B2168" t="s">
        <v>8001</v>
      </c>
      <c r="C2168" t="str">
        <f>"A0184705"</f>
        <v>A0184705</v>
      </c>
      <c r="D2168" t="s">
        <v>8001</v>
      </c>
      <c r="E2168" t="s">
        <v>9352</v>
      </c>
      <c r="F2168" t="s">
        <v>8191</v>
      </c>
      <c r="G2168" t="s">
        <v>103</v>
      </c>
      <c r="H2168">
        <v>19348</v>
      </c>
      <c r="I2168" t="s">
        <v>30</v>
      </c>
      <c r="J2168" t="s">
        <v>41</v>
      </c>
      <c r="K2168" t="s">
        <v>59</v>
      </c>
      <c r="Q2168">
        <v>0</v>
      </c>
      <c r="R2168">
        <v>0</v>
      </c>
      <c r="S2168">
        <v>0</v>
      </c>
      <c r="T2168" t="s">
        <v>9353</v>
      </c>
    </row>
    <row r="2169" spans="1:20" customFormat="1" ht="15" x14ac:dyDescent="0.25">
      <c r="A2169" t="s">
        <v>35</v>
      </c>
      <c r="B2169" t="s">
        <v>61</v>
      </c>
      <c r="C2169" t="str">
        <f>"A0184266"</f>
        <v>A0184266</v>
      </c>
      <c r="D2169" t="s">
        <v>9354</v>
      </c>
      <c r="E2169" t="s">
        <v>9355</v>
      </c>
      <c r="F2169" t="s">
        <v>3339</v>
      </c>
      <c r="G2169" t="s">
        <v>71</v>
      </c>
      <c r="H2169" t="s">
        <v>9356</v>
      </c>
      <c r="I2169" t="s">
        <v>30</v>
      </c>
      <c r="J2169" t="s">
        <v>41</v>
      </c>
      <c r="K2169" t="s">
        <v>59</v>
      </c>
      <c r="Q2169">
        <v>0</v>
      </c>
      <c r="R2169">
        <v>0</v>
      </c>
      <c r="S2169">
        <v>0</v>
      </c>
      <c r="T2169" t="s">
        <v>192</v>
      </c>
    </row>
    <row r="2170" spans="1:20" customFormat="1" ht="15" x14ac:dyDescent="0.25">
      <c r="A2170" t="s">
        <v>35</v>
      </c>
      <c r="B2170" t="s">
        <v>61</v>
      </c>
      <c r="C2170" t="str">
        <f>"A0184194"</f>
        <v>A0184194</v>
      </c>
      <c r="D2170" t="s">
        <v>9357</v>
      </c>
      <c r="E2170" t="s">
        <v>9358</v>
      </c>
      <c r="F2170" t="s">
        <v>9205</v>
      </c>
      <c r="G2170" t="s">
        <v>289</v>
      </c>
      <c r="H2170" t="s">
        <v>9359</v>
      </c>
      <c r="I2170" t="s">
        <v>30</v>
      </c>
      <c r="J2170" t="s">
        <v>41</v>
      </c>
      <c r="K2170" t="s">
        <v>59</v>
      </c>
      <c r="Q2170">
        <v>0</v>
      </c>
      <c r="R2170">
        <v>0</v>
      </c>
      <c r="S2170">
        <v>0</v>
      </c>
      <c r="T2170" t="s">
        <v>9360</v>
      </c>
    </row>
    <row r="2171" spans="1:20" customFormat="1" ht="15" x14ac:dyDescent="0.25">
      <c r="A2171" t="s">
        <v>35</v>
      </c>
      <c r="B2171" t="s">
        <v>887</v>
      </c>
      <c r="C2171" t="str">
        <f>"A0183855"</f>
        <v>A0183855</v>
      </c>
      <c r="D2171" t="s">
        <v>8193</v>
      </c>
      <c r="E2171" t="s">
        <v>9361</v>
      </c>
      <c r="F2171" t="s">
        <v>3280</v>
      </c>
      <c r="G2171" t="s">
        <v>289</v>
      </c>
      <c r="H2171">
        <v>600044600</v>
      </c>
      <c r="I2171" t="s">
        <v>30</v>
      </c>
      <c r="J2171" t="s">
        <v>41</v>
      </c>
      <c r="K2171" t="s">
        <v>59</v>
      </c>
      <c r="Q2171">
        <v>0</v>
      </c>
      <c r="R2171">
        <v>402</v>
      </c>
      <c r="S2171">
        <v>0</v>
      </c>
      <c r="T2171" t="s">
        <v>9362</v>
      </c>
    </row>
    <row r="2172" spans="1:20" customFormat="1" ht="15" x14ac:dyDescent="0.25">
      <c r="A2172" t="s">
        <v>35</v>
      </c>
      <c r="B2172" t="s">
        <v>61</v>
      </c>
      <c r="C2172" t="str">
        <f>"A0123758"</f>
        <v>A0123758</v>
      </c>
      <c r="D2172" t="s">
        <v>9363</v>
      </c>
      <c r="E2172" t="s">
        <v>9364</v>
      </c>
      <c r="F2172" t="s">
        <v>9365</v>
      </c>
      <c r="G2172" t="s">
        <v>29</v>
      </c>
      <c r="H2172">
        <v>23111</v>
      </c>
      <c r="I2172" t="s">
        <v>30</v>
      </c>
      <c r="J2172" t="s">
        <v>41</v>
      </c>
      <c r="K2172" t="s">
        <v>482</v>
      </c>
      <c r="Q2172">
        <v>0</v>
      </c>
      <c r="R2172">
        <v>60</v>
      </c>
      <c r="S2172">
        <v>60</v>
      </c>
      <c r="T2172" t="s">
        <v>9366</v>
      </c>
    </row>
    <row r="2173" spans="1:20" customFormat="1" ht="15" x14ac:dyDescent="0.25">
      <c r="A2173" t="s">
        <v>24</v>
      </c>
      <c r="B2173" t="s">
        <v>3159</v>
      </c>
      <c r="C2173" t="str">
        <f>"A0189433"</f>
        <v>A0189433</v>
      </c>
      <c r="D2173" t="s">
        <v>9367</v>
      </c>
      <c r="E2173" t="s">
        <v>9368</v>
      </c>
      <c r="F2173" t="s">
        <v>2958</v>
      </c>
      <c r="G2173" t="s">
        <v>29</v>
      </c>
      <c r="H2173">
        <v>24060</v>
      </c>
      <c r="I2173" t="s">
        <v>30</v>
      </c>
      <c r="J2173" t="s">
        <v>31</v>
      </c>
      <c r="K2173" t="s">
        <v>282</v>
      </c>
      <c r="N2173" t="s">
        <v>9369</v>
      </c>
      <c r="Q2173">
        <v>0</v>
      </c>
      <c r="R2173">
        <v>94</v>
      </c>
      <c r="S2173">
        <v>0</v>
      </c>
      <c r="T2173" t="s">
        <v>9370</v>
      </c>
    </row>
    <row r="2174" spans="1:20" customFormat="1" ht="15" x14ac:dyDescent="0.25">
      <c r="A2174" t="s">
        <v>24</v>
      </c>
      <c r="B2174" t="s">
        <v>799</v>
      </c>
      <c r="C2174" t="str">
        <f>"A0166505"</f>
        <v>A0166505</v>
      </c>
      <c r="D2174" t="s">
        <v>54562</v>
      </c>
      <c r="E2174" t="s">
        <v>54563</v>
      </c>
      <c r="F2174" t="s">
        <v>13634</v>
      </c>
      <c r="G2174" t="s">
        <v>190</v>
      </c>
      <c r="H2174">
        <v>80031</v>
      </c>
      <c r="I2174" t="s">
        <v>30</v>
      </c>
      <c r="J2174" t="s">
        <v>162</v>
      </c>
      <c r="K2174" t="s">
        <v>163</v>
      </c>
      <c r="N2174" t="s">
        <v>54564</v>
      </c>
      <c r="O2174" t="s">
        <v>54565</v>
      </c>
      <c r="Q2174">
        <v>0</v>
      </c>
      <c r="R2174">
        <v>126</v>
      </c>
      <c r="S2174">
        <v>0</v>
      </c>
      <c r="T2174" t="s">
        <v>54566</v>
      </c>
    </row>
    <row r="2175" spans="1:20" customFormat="1" ht="15" x14ac:dyDescent="0.25">
      <c r="A2175" t="s">
        <v>24</v>
      </c>
      <c r="B2175" t="s">
        <v>1561</v>
      </c>
      <c r="C2175" t="str">
        <f>"A0095596"</f>
        <v>A0095596</v>
      </c>
      <c r="D2175" t="s">
        <v>54615</v>
      </c>
      <c r="E2175" t="s">
        <v>54616</v>
      </c>
      <c r="F2175" t="s">
        <v>3880</v>
      </c>
      <c r="G2175" t="s">
        <v>99</v>
      </c>
      <c r="H2175">
        <v>10036</v>
      </c>
      <c r="I2175" t="s">
        <v>30</v>
      </c>
      <c r="J2175" t="s">
        <v>162</v>
      </c>
      <c r="K2175" t="s">
        <v>163</v>
      </c>
      <c r="N2175" t="s">
        <v>54617</v>
      </c>
      <c r="O2175" t="s">
        <v>54618</v>
      </c>
      <c r="Q2175">
        <v>0</v>
      </c>
      <c r="R2175">
        <v>168</v>
      </c>
      <c r="S2175">
        <v>0</v>
      </c>
      <c r="T2175" t="s">
        <v>54619</v>
      </c>
    </row>
    <row r="2176" spans="1:20" customFormat="1" ht="15" x14ac:dyDescent="0.25">
      <c r="A2176" t="s">
        <v>35</v>
      </c>
      <c r="B2176" t="s">
        <v>61</v>
      </c>
      <c r="C2176" t="str">
        <f>"A0184915"</f>
        <v>A0184915</v>
      </c>
      <c r="D2176" t="s">
        <v>9379</v>
      </c>
      <c r="E2176" t="s">
        <v>9380</v>
      </c>
      <c r="F2176" t="s">
        <v>4288</v>
      </c>
      <c r="G2176" t="s">
        <v>289</v>
      </c>
      <c r="H2176" t="s">
        <v>9381</v>
      </c>
      <c r="I2176" t="s">
        <v>30</v>
      </c>
      <c r="J2176" t="s">
        <v>41</v>
      </c>
      <c r="K2176" t="s">
        <v>59</v>
      </c>
      <c r="Q2176">
        <v>0</v>
      </c>
      <c r="R2176">
        <v>42</v>
      </c>
      <c r="S2176">
        <v>0</v>
      </c>
      <c r="T2176" t="s">
        <v>9382</v>
      </c>
    </row>
    <row r="2177" spans="1:20" customFormat="1" ht="15" x14ac:dyDescent="0.25">
      <c r="A2177" t="s">
        <v>35</v>
      </c>
      <c r="B2177" t="s">
        <v>2786</v>
      </c>
      <c r="C2177" t="str">
        <f>"A0183043"</f>
        <v>A0183043</v>
      </c>
      <c r="D2177" t="s">
        <v>9383</v>
      </c>
      <c r="E2177" t="s">
        <v>9384</v>
      </c>
      <c r="F2177" t="s">
        <v>9385</v>
      </c>
      <c r="G2177" t="s">
        <v>1706</v>
      </c>
      <c r="H2177">
        <v>36527</v>
      </c>
      <c r="I2177" t="s">
        <v>30</v>
      </c>
      <c r="J2177" t="s">
        <v>41</v>
      </c>
      <c r="K2177" t="s">
        <v>59</v>
      </c>
      <c r="Q2177">
        <v>0</v>
      </c>
      <c r="R2177">
        <v>88</v>
      </c>
      <c r="S2177">
        <v>0</v>
      </c>
      <c r="T2177" t="s">
        <v>9386</v>
      </c>
    </row>
    <row r="2178" spans="1:20" customFormat="1" ht="15" x14ac:dyDescent="0.25">
      <c r="A2178" t="s">
        <v>24</v>
      </c>
      <c r="B2178" t="s">
        <v>1598</v>
      </c>
      <c r="C2178" t="str">
        <f>"A0098103"</f>
        <v>A0098103</v>
      </c>
      <c r="D2178" t="s">
        <v>54620</v>
      </c>
      <c r="E2178" t="s">
        <v>54621</v>
      </c>
      <c r="F2178" t="s">
        <v>3041</v>
      </c>
      <c r="G2178" t="s">
        <v>840</v>
      </c>
      <c r="H2178">
        <v>40507</v>
      </c>
      <c r="I2178" t="s">
        <v>30</v>
      </c>
      <c r="J2178" t="s">
        <v>162</v>
      </c>
      <c r="K2178" t="s">
        <v>4809</v>
      </c>
      <c r="N2178" t="s">
        <v>54622</v>
      </c>
      <c r="Q2178">
        <v>0</v>
      </c>
      <c r="R2178">
        <v>366</v>
      </c>
      <c r="S2178">
        <v>0</v>
      </c>
      <c r="T2178" t="s">
        <v>54623</v>
      </c>
    </row>
    <row r="2179" spans="1:20" customFormat="1" ht="15" x14ac:dyDescent="0.25">
      <c r="A2179" t="s">
        <v>24</v>
      </c>
      <c r="B2179" t="s">
        <v>9391</v>
      </c>
      <c r="C2179" t="str">
        <f>"A0188699"</f>
        <v>A0188699</v>
      </c>
      <c r="D2179" t="s">
        <v>9392</v>
      </c>
      <c r="E2179" t="s">
        <v>9393</v>
      </c>
      <c r="F2179" t="s">
        <v>3545</v>
      </c>
      <c r="G2179" t="s">
        <v>1706</v>
      </c>
      <c r="H2179">
        <v>35801</v>
      </c>
      <c r="I2179" t="s">
        <v>30</v>
      </c>
      <c r="J2179" t="s">
        <v>31</v>
      </c>
      <c r="K2179" t="s">
        <v>198</v>
      </c>
      <c r="N2179" t="s">
        <v>9394</v>
      </c>
      <c r="O2179" t="s">
        <v>9395</v>
      </c>
      <c r="Q2179">
        <v>0</v>
      </c>
      <c r="R2179">
        <v>150</v>
      </c>
      <c r="S2179">
        <v>0</v>
      </c>
      <c r="T2179" t="s">
        <v>192</v>
      </c>
    </row>
    <row r="2180" spans="1:20" customFormat="1" ht="15" x14ac:dyDescent="0.25">
      <c r="A2180" t="s">
        <v>35</v>
      </c>
      <c r="B2180" t="s">
        <v>2767</v>
      </c>
      <c r="C2180" t="str">
        <f>"A0127296"</f>
        <v>A0127296</v>
      </c>
      <c r="D2180" t="s">
        <v>9396</v>
      </c>
      <c r="E2180" t="s">
        <v>9397</v>
      </c>
      <c r="F2180" t="s">
        <v>9398</v>
      </c>
      <c r="G2180" t="s">
        <v>846</v>
      </c>
      <c r="H2180">
        <v>30635</v>
      </c>
      <c r="I2180" t="s">
        <v>30</v>
      </c>
      <c r="J2180" t="s">
        <v>41</v>
      </c>
      <c r="K2180" t="s">
        <v>229</v>
      </c>
      <c r="Q2180">
        <v>0</v>
      </c>
      <c r="R2180">
        <v>67</v>
      </c>
      <c r="S2180">
        <v>144</v>
      </c>
      <c r="T2180" t="s">
        <v>9399</v>
      </c>
    </row>
    <row r="2181" spans="1:20" customFormat="1" ht="15" x14ac:dyDescent="0.25">
      <c r="A2181" t="s">
        <v>24</v>
      </c>
      <c r="B2181" t="s">
        <v>1598</v>
      </c>
      <c r="C2181" t="str">
        <f>"A0166195"</f>
        <v>A0166195</v>
      </c>
      <c r="D2181" t="s">
        <v>54646</v>
      </c>
      <c r="E2181" t="s">
        <v>54647</v>
      </c>
      <c r="F2181" t="s">
        <v>4858</v>
      </c>
      <c r="G2181" t="s">
        <v>99</v>
      </c>
      <c r="H2181">
        <v>12866</v>
      </c>
      <c r="I2181" t="s">
        <v>30</v>
      </c>
      <c r="J2181" t="s">
        <v>162</v>
      </c>
      <c r="K2181" t="s">
        <v>854</v>
      </c>
      <c r="N2181" t="s">
        <v>1602</v>
      </c>
      <c r="Q2181">
        <v>0</v>
      </c>
      <c r="R2181">
        <v>168</v>
      </c>
      <c r="S2181">
        <v>0</v>
      </c>
      <c r="T2181" t="s">
        <v>54648</v>
      </c>
    </row>
    <row r="2182" spans="1:20" customFormat="1" ht="15" x14ac:dyDescent="0.25">
      <c r="A2182" t="s">
        <v>35</v>
      </c>
      <c r="B2182" t="s">
        <v>61</v>
      </c>
      <c r="C2182" t="str">
        <f>"A0150871"</f>
        <v>A0150871</v>
      </c>
      <c r="D2182" t="s">
        <v>9406</v>
      </c>
      <c r="E2182" t="s">
        <v>9407</v>
      </c>
      <c r="F2182" t="s">
        <v>3671</v>
      </c>
      <c r="G2182" t="s">
        <v>81</v>
      </c>
      <c r="H2182">
        <v>34105</v>
      </c>
      <c r="I2182" t="s">
        <v>30</v>
      </c>
      <c r="J2182" t="s">
        <v>41</v>
      </c>
      <c r="K2182" t="s">
        <v>59</v>
      </c>
      <c r="Q2182">
        <v>0</v>
      </c>
      <c r="R2182">
        <v>148</v>
      </c>
      <c r="S2182">
        <v>148</v>
      </c>
      <c r="T2182" t="s">
        <v>9408</v>
      </c>
    </row>
    <row r="2183" spans="1:20" customFormat="1" ht="15" x14ac:dyDescent="0.25">
      <c r="A2183" t="s">
        <v>24</v>
      </c>
      <c r="B2183" t="s">
        <v>7348</v>
      </c>
      <c r="C2183" t="str">
        <f>"A0187941"</f>
        <v>A0187941</v>
      </c>
      <c r="D2183" t="s">
        <v>9409</v>
      </c>
      <c r="E2183" t="s">
        <v>9410</v>
      </c>
      <c r="F2183" t="s">
        <v>716</v>
      </c>
      <c r="G2183" t="s">
        <v>289</v>
      </c>
      <c r="H2183">
        <v>60602</v>
      </c>
      <c r="I2183" t="s">
        <v>30</v>
      </c>
      <c r="J2183" t="s">
        <v>1004</v>
      </c>
      <c r="K2183" t="s">
        <v>163</v>
      </c>
      <c r="N2183" t="s">
        <v>7351</v>
      </c>
      <c r="Q2183">
        <v>0</v>
      </c>
      <c r="R2183">
        <v>0</v>
      </c>
      <c r="S2183">
        <v>0</v>
      </c>
      <c r="T2183" t="s">
        <v>9411</v>
      </c>
    </row>
    <row r="2184" spans="1:20" customFormat="1" ht="15" x14ac:dyDescent="0.25">
      <c r="A2184" t="s">
        <v>24</v>
      </c>
      <c r="B2184" t="s">
        <v>9412</v>
      </c>
      <c r="C2184" t="str">
        <f>"A0189421"</f>
        <v>A0189421</v>
      </c>
      <c r="D2184" t="s">
        <v>9413</v>
      </c>
      <c r="E2184" t="s">
        <v>9414</v>
      </c>
      <c r="F2184" t="s">
        <v>9415</v>
      </c>
      <c r="G2184" t="s">
        <v>71</v>
      </c>
      <c r="H2184">
        <v>54914</v>
      </c>
      <c r="I2184" t="s">
        <v>30</v>
      </c>
      <c r="J2184" t="s">
        <v>31</v>
      </c>
      <c r="K2184" t="s">
        <v>321</v>
      </c>
      <c r="N2184" t="s">
        <v>9416</v>
      </c>
      <c r="Q2184">
        <v>0</v>
      </c>
      <c r="R2184">
        <v>99</v>
      </c>
      <c r="S2184">
        <v>0</v>
      </c>
      <c r="T2184" t="s">
        <v>9417</v>
      </c>
    </row>
    <row r="2185" spans="1:20" customFormat="1" ht="15" x14ac:dyDescent="0.25">
      <c r="A2185" t="s">
        <v>24</v>
      </c>
      <c r="B2185" t="s">
        <v>1598</v>
      </c>
      <c r="C2185" t="str">
        <f>"A0098104"</f>
        <v>A0098104</v>
      </c>
      <c r="D2185" t="s">
        <v>54667</v>
      </c>
      <c r="E2185" t="s">
        <v>54668</v>
      </c>
      <c r="F2185" t="s">
        <v>1601</v>
      </c>
      <c r="G2185" t="s">
        <v>846</v>
      </c>
      <c r="H2185">
        <v>31527</v>
      </c>
      <c r="I2185" t="s">
        <v>30</v>
      </c>
      <c r="J2185" t="s">
        <v>162</v>
      </c>
      <c r="K2185" t="s">
        <v>822</v>
      </c>
      <c r="N2185" t="s">
        <v>54669</v>
      </c>
      <c r="Q2185">
        <v>0</v>
      </c>
      <c r="R2185">
        <v>200</v>
      </c>
      <c r="S2185">
        <v>0</v>
      </c>
      <c r="T2185" t="s">
        <v>54670</v>
      </c>
    </row>
    <row r="2186" spans="1:20" customFormat="1" ht="15" x14ac:dyDescent="0.25">
      <c r="A2186" t="s">
        <v>24</v>
      </c>
      <c r="B2186" t="s">
        <v>54771</v>
      </c>
      <c r="C2186" t="str">
        <f>"A0089461"</f>
        <v>A0089461</v>
      </c>
      <c r="D2186" t="s">
        <v>54772</v>
      </c>
      <c r="E2186" t="s">
        <v>54773</v>
      </c>
      <c r="F2186" t="s">
        <v>2094</v>
      </c>
      <c r="G2186" t="s">
        <v>52</v>
      </c>
      <c r="H2186">
        <v>75240</v>
      </c>
      <c r="I2186" t="s">
        <v>30</v>
      </c>
      <c r="J2186" t="s">
        <v>162</v>
      </c>
      <c r="K2186" t="s">
        <v>847</v>
      </c>
      <c r="N2186" t="s">
        <v>54774</v>
      </c>
      <c r="Q2186">
        <v>0</v>
      </c>
      <c r="R2186">
        <v>258</v>
      </c>
      <c r="S2186">
        <v>0</v>
      </c>
      <c r="T2186" t="s">
        <v>54775</v>
      </c>
    </row>
    <row r="2187" spans="1:20" customFormat="1" ht="15" x14ac:dyDescent="0.25">
      <c r="A2187" t="s">
        <v>24</v>
      </c>
      <c r="B2187" t="s">
        <v>9391</v>
      </c>
      <c r="C2187" t="str">
        <f>"A0155773"</f>
        <v>A0155773</v>
      </c>
      <c r="D2187" t="s">
        <v>54785</v>
      </c>
      <c r="E2187" t="s">
        <v>54786</v>
      </c>
      <c r="F2187" t="s">
        <v>13716</v>
      </c>
      <c r="G2187" t="s">
        <v>65</v>
      </c>
      <c r="H2187">
        <v>45202</v>
      </c>
      <c r="I2187" t="s">
        <v>30</v>
      </c>
      <c r="J2187" t="s">
        <v>162</v>
      </c>
      <c r="K2187" t="s">
        <v>3447</v>
      </c>
      <c r="N2187" t="s">
        <v>54787</v>
      </c>
      <c r="O2187" t="s">
        <v>54788</v>
      </c>
      <c r="Q2187">
        <v>0</v>
      </c>
      <c r="R2187">
        <v>94</v>
      </c>
      <c r="S2187">
        <v>0</v>
      </c>
      <c r="T2187" t="s">
        <v>54789</v>
      </c>
    </row>
    <row r="2188" spans="1:20" customFormat="1" ht="15" x14ac:dyDescent="0.25">
      <c r="A2188" t="s">
        <v>35</v>
      </c>
      <c r="B2188" t="s">
        <v>36</v>
      </c>
      <c r="C2188" t="str">
        <f>"A0189389"</f>
        <v>A0189389</v>
      </c>
      <c r="D2188" t="s">
        <v>9435</v>
      </c>
      <c r="E2188" t="s">
        <v>9436</v>
      </c>
      <c r="F2188" t="s">
        <v>9437</v>
      </c>
      <c r="G2188" t="s">
        <v>161</v>
      </c>
      <c r="H2188">
        <v>55060</v>
      </c>
      <c r="I2188" t="s">
        <v>30</v>
      </c>
      <c r="J2188" t="s">
        <v>41</v>
      </c>
      <c r="K2188" t="s">
        <v>112</v>
      </c>
      <c r="Q2188">
        <v>0</v>
      </c>
      <c r="R2188">
        <v>0</v>
      </c>
      <c r="S2188">
        <v>0</v>
      </c>
      <c r="T2188" t="s">
        <v>9438</v>
      </c>
    </row>
    <row r="2189" spans="1:20" customFormat="1" ht="15" x14ac:dyDescent="0.25">
      <c r="A2189" t="s">
        <v>35</v>
      </c>
      <c r="B2189" t="s">
        <v>8021</v>
      </c>
      <c r="C2189" t="str">
        <f>"A0189388"</f>
        <v>A0189388</v>
      </c>
      <c r="D2189" t="s">
        <v>9439</v>
      </c>
      <c r="E2189" t="s">
        <v>9440</v>
      </c>
      <c r="F2189" t="s">
        <v>9441</v>
      </c>
      <c r="G2189" t="s">
        <v>153</v>
      </c>
      <c r="H2189">
        <v>84720</v>
      </c>
      <c r="I2189" t="s">
        <v>30</v>
      </c>
      <c r="J2189" t="s">
        <v>41</v>
      </c>
      <c r="K2189" t="s">
        <v>59</v>
      </c>
      <c r="Q2189">
        <v>0</v>
      </c>
      <c r="R2189">
        <v>0</v>
      </c>
      <c r="S2189">
        <v>55</v>
      </c>
      <c r="T2189" t="s">
        <v>9442</v>
      </c>
    </row>
    <row r="2190" spans="1:20" customFormat="1" ht="15" x14ac:dyDescent="0.25">
      <c r="A2190" t="s">
        <v>35</v>
      </c>
      <c r="B2190" t="s">
        <v>7250</v>
      </c>
      <c r="C2190" t="str">
        <f>"A0189387"</f>
        <v>A0189387</v>
      </c>
      <c r="D2190" t="s">
        <v>9443</v>
      </c>
      <c r="E2190" t="s">
        <v>9444</v>
      </c>
      <c r="F2190" t="s">
        <v>6726</v>
      </c>
      <c r="G2190" t="s">
        <v>1898</v>
      </c>
      <c r="H2190">
        <v>52803</v>
      </c>
      <c r="I2190" t="s">
        <v>30</v>
      </c>
      <c r="J2190" t="s">
        <v>41</v>
      </c>
      <c r="K2190" t="s">
        <v>229</v>
      </c>
      <c r="Q2190">
        <v>0</v>
      </c>
      <c r="R2190">
        <v>0</v>
      </c>
      <c r="S2190">
        <v>0</v>
      </c>
      <c r="T2190" t="s">
        <v>9445</v>
      </c>
    </row>
    <row r="2191" spans="1:20" customFormat="1" ht="15" x14ac:dyDescent="0.25">
      <c r="A2191" t="s">
        <v>35</v>
      </c>
      <c r="B2191" t="s">
        <v>7250</v>
      </c>
      <c r="C2191" t="str">
        <f>"A0189386"</f>
        <v>A0189386</v>
      </c>
      <c r="D2191" t="s">
        <v>7250</v>
      </c>
      <c r="E2191" t="s">
        <v>9446</v>
      </c>
      <c r="F2191" t="s">
        <v>9447</v>
      </c>
      <c r="G2191" t="s">
        <v>81</v>
      </c>
      <c r="H2191">
        <v>33154</v>
      </c>
      <c r="I2191" t="s">
        <v>30</v>
      </c>
      <c r="J2191" t="s">
        <v>41</v>
      </c>
      <c r="K2191" t="s">
        <v>290</v>
      </c>
      <c r="Q2191">
        <v>0</v>
      </c>
      <c r="R2191">
        <v>0</v>
      </c>
      <c r="S2191">
        <v>0</v>
      </c>
      <c r="T2191" t="s">
        <v>72</v>
      </c>
    </row>
    <row r="2192" spans="1:20" customFormat="1" ht="15" x14ac:dyDescent="0.25">
      <c r="A2192" t="s">
        <v>35</v>
      </c>
      <c r="B2192" t="s">
        <v>7250</v>
      </c>
      <c r="C2192" t="str">
        <f>"A0189385"</f>
        <v>A0189385</v>
      </c>
      <c r="D2192" t="s">
        <v>9448</v>
      </c>
      <c r="E2192" t="s">
        <v>9449</v>
      </c>
      <c r="F2192" t="s">
        <v>9450</v>
      </c>
      <c r="G2192" t="s">
        <v>1184</v>
      </c>
      <c r="H2192">
        <v>59405</v>
      </c>
      <c r="I2192" t="s">
        <v>30</v>
      </c>
      <c r="J2192" t="s">
        <v>41</v>
      </c>
      <c r="K2192" t="s">
        <v>229</v>
      </c>
      <c r="Q2192">
        <v>0</v>
      </c>
      <c r="R2192">
        <v>0</v>
      </c>
      <c r="S2192">
        <v>0</v>
      </c>
      <c r="T2192" t="s">
        <v>9451</v>
      </c>
    </row>
    <row r="2193" spans="1:20" customFormat="1" ht="15" x14ac:dyDescent="0.25">
      <c r="A2193" t="s">
        <v>35</v>
      </c>
      <c r="B2193" t="s">
        <v>61</v>
      </c>
      <c r="C2193" t="str">
        <f>"A0189384"</f>
        <v>A0189384</v>
      </c>
      <c r="D2193" t="s">
        <v>9452</v>
      </c>
      <c r="E2193" t="s">
        <v>9453</v>
      </c>
      <c r="F2193" t="s">
        <v>8417</v>
      </c>
      <c r="G2193" t="s">
        <v>71</v>
      </c>
      <c r="H2193">
        <v>54656</v>
      </c>
      <c r="I2193" t="s">
        <v>30</v>
      </c>
      <c r="J2193" t="s">
        <v>41</v>
      </c>
      <c r="K2193" t="s">
        <v>229</v>
      </c>
      <c r="Q2193">
        <v>0</v>
      </c>
      <c r="R2193">
        <v>0</v>
      </c>
      <c r="S2193">
        <v>88</v>
      </c>
      <c r="T2193" t="s">
        <v>9454</v>
      </c>
    </row>
    <row r="2194" spans="1:20" customFormat="1" ht="15" x14ac:dyDescent="0.25">
      <c r="A2194" t="s">
        <v>35</v>
      </c>
      <c r="B2194" t="s">
        <v>61</v>
      </c>
      <c r="C2194" t="str">
        <f>"A0189383"</f>
        <v>A0189383</v>
      </c>
      <c r="D2194" t="s">
        <v>9455</v>
      </c>
      <c r="E2194" t="s">
        <v>9456</v>
      </c>
      <c r="F2194" t="s">
        <v>1420</v>
      </c>
      <c r="G2194" t="s">
        <v>381</v>
      </c>
      <c r="H2194">
        <v>47448</v>
      </c>
      <c r="I2194" t="s">
        <v>30</v>
      </c>
      <c r="J2194" t="s">
        <v>41</v>
      </c>
      <c r="K2194" t="s">
        <v>8643</v>
      </c>
      <c r="Q2194">
        <v>0</v>
      </c>
      <c r="R2194">
        <v>0</v>
      </c>
      <c r="S2194">
        <v>0</v>
      </c>
      <c r="T2194" t="s">
        <v>9457</v>
      </c>
    </row>
    <row r="2195" spans="1:20" customFormat="1" ht="15" x14ac:dyDescent="0.25">
      <c r="A2195" t="s">
        <v>35</v>
      </c>
      <c r="B2195" t="s">
        <v>61</v>
      </c>
      <c r="C2195" t="str">
        <f>"A0189382"</f>
        <v>A0189382</v>
      </c>
      <c r="D2195" t="s">
        <v>9458</v>
      </c>
      <c r="E2195" t="s">
        <v>9459</v>
      </c>
      <c r="F2195" t="s">
        <v>6240</v>
      </c>
      <c r="G2195" t="s">
        <v>381</v>
      </c>
      <c r="H2195">
        <v>46816</v>
      </c>
      <c r="I2195" t="s">
        <v>30</v>
      </c>
      <c r="J2195" t="s">
        <v>41</v>
      </c>
      <c r="K2195" t="s">
        <v>42</v>
      </c>
      <c r="Q2195">
        <v>0</v>
      </c>
      <c r="R2195">
        <v>0</v>
      </c>
      <c r="S2195">
        <v>0</v>
      </c>
      <c r="T2195" t="s">
        <v>9460</v>
      </c>
    </row>
    <row r="2196" spans="1:20" customFormat="1" ht="15" x14ac:dyDescent="0.25">
      <c r="A2196" t="s">
        <v>35</v>
      </c>
      <c r="B2196" t="s">
        <v>61</v>
      </c>
      <c r="C2196" t="str">
        <f>"A0189381"</f>
        <v>A0189381</v>
      </c>
      <c r="D2196" t="s">
        <v>9461</v>
      </c>
      <c r="E2196" t="s">
        <v>9462</v>
      </c>
      <c r="F2196" t="s">
        <v>9255</v>
      </c>
      <c r="G2196" t="s">
        <v>381</v>
      </c>
      <c r="H2196">
        <v>46733</v>
      </c>
      <c r="I2196" t="s">
        <v>30</v>
      </c>
      <c r="J2196" t="s">
        <v>41</v>
      </c>
      <c r="K2196" t="s">
        <v>9463</v>
      </c>
      <c r="Q2196">
        <v>0</v>
      </c>
      <c r="R2196">
        <v>0</v>
      </c>
      <c r="S2196">
        <v>0</v>
      </c>
      <c r="T2196" t="s">
        <v>9464</v>
      </c>
    </row>
    <row r="2197" spans="1:20" customFormat="1" ht="15" x14ac:dyDescent="0.25">
      <c r="A2197" t="s">
        <v>35</v>
      </c>
      <c r="B2197" t="s">
        <v>61</v>
      </c>
      <c r="C2197" t="str">
        <f>"A0189380"</f>
        <v>A0189380</v>
      </c>
      <c r="D2197" t="s">
        <v>9465</v>
      </c>
      <c r="E2197" t="s">
        <v>9466</v>
      </c>
      <c r="F2197" t="s">
        <v>9467</v>
      </c>
      <c r="G2197" t="s">
        <v>40</v>
      </c>
      <c r="H2197">
        <v>74701</v>
      </c>
      <c r="I2197" t="s">
        <v>30</v>
      </c>
      <c r="J2197" t="s">
        <v>41</v>
      </c>
      <c r="K2197" t="s">
        <v>112</v>
      </c>
      <c r="Q2197">
        <v>0</v>
      </c>
      <c r="R2197">
        <v>0</v>
      </c>
      <c r="S2197">
        <v>0</v>
      </c>
      <c r="T2197" t="s">
        <v>9468</v>
      </c>
    </row>
    <row r="2198" spans="1:20" customFormat="1" ht="15" x14ac:dyDescent="0.25">
      <c r="A2198" t="s">
        <v>35</v>
      </c>
      <c r="B2198" t="s">
        <v>2767</v>
      </c>
      <c r="C2198" t="str">
        <f>"A0189379"</f>
        <v>A0189379</v>
      </c>
      <c r="D2198" t="s">
        <v>9469</v>
      </c>
      <c r="E2198" t="s">
        <v>9470</v>
      </c>
      <c r="F2198" t="s">
        <v>9471</v>
      </c>
      <c r="G2198" t="s">
        <v>81</v>
      </c>
      <c r="H2198">
        <v>32073</v>
      </c>
      <c r="I2198" t="s">
        <v>30</v>
      </c>
      <c r="J2198" t="s">
        <v>41</v>
      </c>
      <c r="K2198" t="s">
        <v>229</v>
      </c>
      <c r="Q2198">
        <v>0</v>
      </c>
      <c r="R2198">
        <v>0</v>
      </c>
      <c r="S2198">
        <v>0</v>
      </c>
      <c r="T2198" t="s">
        <v>9472</v>
      </c>
    </row>
    <row r="2199" spans="1:20" customFormat="1" ht="15" x14ac:dyDescent="0.25">
      <c r="A2199" t="s">
        <v>35</v>
      </c>
      <c r="B2199" t="s">
        <v>2767</v>
      </c>
      <c r="C2199" t="str">
        <f>"A0189378"</f>
        <v>A0189378</v>
      </c>
      <c r="D2199" t="s">
        <v>9473</v>
      </c>
      <c r="E2199" t="s">
        <v>9474</v>
      </c>
      <c r="F2199" t="s">
        <v>4645</v>
      </c>
      <c r="G2199" t="s">
        <v>81</v>
      </c>
      <c r="H2199">
        <v>32221</v>
      </c>
      <c r="I2199" t="s">
        <v>30</v>
      </c>
      <c r="J2199" t="s">
        <v>41</v>
      </c>
      <c r="K2199" t="s">
        <v>229</v>
      </c>
      <c r="Q2199">
        <v>0</v>
      </c>
      <c r="R2199">
        <v>0</v>
      </c>
      <c r="S2199">
        <v>0</v>
      </c>
      <c r="T2199" t="s">
        <v>9472</v>
      </c>
    </row>
    <row r="2200" spans="1:20" customFormat="1" ht="15" x14ac:dyDescent="0.25">
      <c r="A2200" t="s">
        <v>35</v>
      </c>
      <c r="B2200" t="s">
        <v>2767</v>
      </c>
      <c r="C2200" t="str">
        <f>"A0189377"</f>
        <v>A0189377</v>
      </c>
      <c r="D2200" t="s">
        <v>9475</v>
      </c>
      <c r="E2200" t="s">
        <v>9476</v>
      </c>
      <c r="F2200" t="s">
        <v>4645</v>
      </c>
      <c r="G2200" t="s">
        <v>81</v>
      </c>
      <c r="H2200">
        <v>32216</v>
      </c>
      <c r="I2200" t="s">
        <v>30</v>
      </c>
      <c r="J2200" t="s">
        <v>41</v>
      </c>
      <c r="K2200" t="s">
        <v>229</v>
      </c>
      <c r="Q2200">
        <v>0</v>
      </c>
      <c r="R2200">
        <v>0</v>
      </c>
      <c r="S2200">
        <v>0</v>
      </c>
      <c r="T2200" t="s">
        <v>9477</v>
      </c>
    </row>
    <row r="2201" spans="1:20" customFormat="1" ht="15" x14ac:dyDescent="0.25">
      <c r="A2201" t="s">
        <v>35</v>
      </c>
      <c r="B2201" t="s">
        <v>2778</v>
      </c>
      <c r="C2201" t="str">
        <f>"A0189376"</f>
        <v>A0189376</v>
      </c>
      <c r="D2201" t="s">
        <v>9478</v>
      </c>
      <c r="E2201" t="s">
        <v>9479</v>
      </c>
      <c r="F2201" t="s">
        <v>9480</v>
      </c>
      <c r="G2201" t="s">
        <v>58</v>
      </c>
      <c r="H2201">
        <v>29649</v>
      </c>
      <c r="I2201" t="s">
        <v>30</v>
      </c>
      <c r="J2201" t="s">
        <v>41</v>
      </c>
      <c r="K2201" t="s">
        <v>2477</v>
      </c>
      <c r="Q2201">
        <v>0</v>
      </c>
      <c r="R2201">
        <v>0</v>
      </c>
      <c r="S2201">
        <v>0</v>
      </c>
      <c r="T2201" t="s">
        <v>9481</v>
      </c>
    </row>
    <row r="2202" spans="1:20" customFormat="1" ht="15" x14ac:dyDescent="0.25">
      <c r="A2202" t="s">
        <v>35</v>
      </c>
      <c r="B2202" t="s">
        <v>2778</v>
      </c>
      <c r="C2202" t="str">
        <f>"A0189375"</f>
        <v>A0189375</v>
      </c>
      <c r="D2202" t="s">
        <v>9482</v>
      </c>
      <c r="E2202" t="s">
        <v>9483</v>
      </c>
      <c r="F2202" t="s">
        <v>9484</v>
      </c>
      <c r="G2202" t="s">
        <v>58</v>
      </c>
      <c r="H2202">
        <v>29150</v>
      </c>
      <c r="I2202" t="s">
        <v>30</v>
      </c>
      <c r="J2202" t="s">
        <v>41</v>
      </c>
      <c r="K2202" t="s">
        <v>2477</v>
      </c>
      <c r="Q2202">
        <v>0</v>
      </c>
      <c r="R2202">
        <v>0</v>
      </c>
      <c r="S2202">
        <v>0</v>
      </c>
      <c r="T2202" t="s">
        <v>9485</v>
      </c>
    </row>
    <row r="2203" spans="1:20" customFormat="1" ht="15" x14ac:dyDescent="0.25">
      <c r="A2203" t="s">
        <v>35</v>
      </c>
      <c r="B2203" t="s">
        <v>2778</v>
      </c>
      <c r="C2203" t="str">
        <f>"A0189374"</f>
        <v>A0189374</v>
      </c>
      <c r="D2203" t="s">
        <v>9486</v>
      </c>
      <c r="E2203" t="s">
        <v>9487</v>
      </c>
      <c r="F2203" t="s">
        <v>9488</v>
      </c>
      <c r="G2203" t="s">
        <v>58</v>
      </c>
      <c r="H2203">
        <v>29033</v>
      </c>
      <c r="I2203" t="s">
        <v>30</v>
      </c>
      <c r="J2203" t="s">
        <v>41</v>
      </c>
      <c r="K2203" t="s">
        <v>2477</v>
      </c>
      <c r="Q2203">
        <v>0</v>
      </c>
      <c r="R2203">
        <v>0</v>
      </c>
      <c r="S2203">
        <v>0</v>
      </c>
      <c r="T2203" t="s">
        <v>9489</v>
      </c>
    </row>
    <row r="2204" spans="1:20" customFormat="1" ht="15" x14ac:dyDescent="0.25">
      <c r="A2204" t="s">
        <v>24</v>
      </c>
      <c r="B2204" t="s">
        <v>193</v>
      </c>
      <c r="C2204" t="str">
        <f>"337N4"</f>
        <v>337N4</v>
      </c>
      <c r="D2204" t="s">
        <v>54790</v>
      </c>
      <c r="E2204" t="s">
        <v>54791</v>
      </c>
      <c r="F2204" t="s">
        <v>997</v>
      </c>
      <c r="G2204" t="s">
        <v>99</v>
      </c>
      <c r="H2204">
        <v>10017</v>
      </c>
      <c r="I2204" t="s">
        <v>30</v>
      </c>
      <c r="J2204" t="s">
        <v>162</v>
      </c>
      <c r="K2204" t="s">
        <v>163</v>
      </c>
      <c r="N2204" t="s">
        <v>54792</v>
      </c>
      <c r="O2204" t="s">
        <v>54793</v>
      </c>
      <c r="Q2204">
        <v>0</v>
      </c>
      <c r="R2204">
        <v>655</v>
      </c>
      <c r="S2204">
        <v>0</v>
      </c>
      <c r="T2204" t="s">
        <v>54794</v>
      </c>
    </row>
    <row r="2205" spans="1:20" customFormat="1" ht="15" x14ac:dyDescent="0.25">
      <c r="A2205" t="s">
        <v>24</v>
      </c>
      <c r="B2205" t="s">
        <v>2011</v>
      </c>
      <c r="C2205" t="str">
        <f>"A0162007"</f>
        <v>A0162007</v>
      </c>
      <c r="D2205" t="s">
        <v>54795</v>
      </c>
      <c r="E2205" t="s">
        <v>54796</v>
      </c>
      <c r="F2205" t="s">
        <v>2094</v>
      </c>
      <c r="G2205" t="s">
        <v>52</v>
      </c>
      <c r="H2205">
        <v>75201</v>
      </c>
      <c r="I2205" t="s">
        <v>30</v>
      </c>
      <c r="J2205" t="s">
        <v>162</v>
      </c>
      <c r="K2205" t="s">
        <v>7012</v>
      </c>
      <c r="N2205" t="s">
        <v>54797</v>
      </c>
      <c r="Q2205">
        <v>0</v>
      </c>
      <c r="R2205">
        <v>218</v>
      </c>
      <c r="S2205">
        <v>0</v>
      </c>
      <c r="T2205" t="s">
        <v>54798</v>
      </c>
    </row>
    <row r="2206" spans="1:20" customFormat="1" ht="15" x14ac:dyDescent="0.25">
      <c r="A2206" t="s">
        <v>24</v>
      </c>
      <c r="B2206" t="s">
        <v>9490</v>
      </c>
      <c r="C2206" t="str">
        <f>"A0189033"</f>
        <v>A0189033</v>
      </c>
      <c r="D2206" t="s">
        <v>9503</v>
      </c>
      <c r="E2206" t="s">
        <v>9504</v>
      </c>
      <c r="F2206" t="s">
        <v>143</v>
      </c>
      <c r="G2206" t="s">
        <v>144</v>
      </c>
      <c r="H2206">
        <v>58701</v>
      </c>
      <c r="I2206" t="s">
        <v>30</v>
      </c>
      <c r="J2206" t="s">
        <v>145</v>
      </c>
      <c r="K2206" t="s">
        <v>154</v>
      </c>
      <c r="N2206" t="s">
        <v>9505</v>
      </c>
      <c r="Q2206">
        <v>0</v>
      </c>
      <c r="R2206">
        <v>136</v>
      </c>
      <c r="S2206">
        <v>0</v>
      </c>
      <c r="T2206" t="s">
        <v>9506</v>
      </c>
    </row>
    <row r="2207" spans="1:20" customFormat="1" ht="15" x14ac:dyDescent="0.25">
      <c r="A2207" t="s">
        <v>24</v>
      </c>
      <c r="B2207" t="s">
        <v>805</v>
      </c>
      <c r="C2207" t="str">
        <f>"A0062406"</f>
        <v>A0062406</v>
      </c>
      <c r="D2207" t="s">
        <v>54799</v>
      </c>
      <c r="E2207" t="s">
        <v>54800</v>
      </c>
      <c r="F2207" t="s">
        <v>54801</v>
      </c>
      <c r="G2207" t="s">
        <v>338</v>
      </c>
      <c r="H2207">
        <v>7932</v>
      </c>
      <c r="I2207" t="s">
        <v>30</v>
      </c>
      <c r="J2207" t="s">
        <v>162</v>
      </c>
      <c r="K2207" t="s">
        <v>809</v>
      </c>
      <c r="N2207" t="s">
        <v>54802</v>
      </c>
      <c r="O2207" t="s">
        <v>54803</v>
      </c>
      <c r="Q2207">
        <v>0</v>
      </c>
      <c r="R2207">
        <v>219</v>
      </c>
      <c r="S2207">
        <v>0</v>
      </c>
      <c r="T2207" t="s">
        <v>54804</v>
      </c>
    </row>
    <row r="2208" spans="1:20" customFormat="1" ht="15" x14ac:dyDescent="0.25">
      <c r="A2208" t="s">
        <v>24</v>
      </c>
      <c r="B2208" t="s">
        <v>805</v>
      </c>
      <c r="C2208" t="str">
        <f>"SC046"</f>
        <v>SC046</v>
      </c>
      <c r="D2208" t="s">
        <v>54808</v>
      </c>
      <c r="E2208" t="s">
        <v>54809</v>
      </c>
      <c r="F2208" t="s">
        <v>845</v>
      </c>
      <c r="G2208" t="s">
        <v>846</v>
      </c>
      <c r="H2208">
        <v>30339</v>
      </c>
      <c r="I2208" t="s">
        <v>30</v>
      </c>
      <c r="J2208" t="s">
        <v>162</v>
      </c>
      <c r="K2208" t="s">
        <v>809</v>
      </c>
      <c r="N2208" t="s">
        <v>54810</v>
      </c>
      <c r="Q2208">
        <v>0</v>
      </c>
      <c r="R2208">
        <v>296</v>
      </c>
      <c r="S2208">
        <v>0</v>
      </c>
      <c r="T2208" t="s">
        <v>54811</v>
      </c>
    </row>
    <row r="2209" spans="1:20" customFormat="1" ht="15" x14ac:dyDescent="0.25">
      <c r="A2209" t="s">
        <v>24</v>
      </c>
      <c r="B2209" t="s">
        <v>1020</v>
      </c>
      <c r="C2209" t="str">
        <f>"A0165087"</f>
        <v>A0165087</v>
      </c>
      <c r="D2209" t="s">
        <v>54812</v>
      </c>
      <c r="E2209" t="s">
        <v>54813</v>
      </c>
      <c r="F2209" t="s">
        <v>6404</v>
      </c>
      <c r="G2209" t="s">
        <v>161</v>
      </c>
      <c r="H2209">
        <v>55402</v>
      </c>
      <c r="I2209" t="s">
        <v>30</v>
      </c>
      <c r="J2209" t="s">
        <v>162</v>
      </c>
      <c r="K2209" t="s">
        <v>3447</v>
      </c>
      <c r="N2209" t="s">
        <v>54814</v>
      </c>
      <c r="Q2209">
        <v>0</v>
      </c>
      <c r="R2209">
        <v>270</v>
      </c>
      <c r="S2209">
        <v>0</v>
      </c>
      <c r="T2209" t="s">
        <v>54815</v>
      </c>
    </row>
    <row r="2210" spans="1:20" customFormat="1" ht="15" x14ac:dyDescent="0.25">
      <c r="A2210" t="s">
        <v>35</v>
      </c>
      <c r="B2210" t="s">
        <v>285</v>
      </c>
      <c r="C2210" t="str">
        <f>"A0118000"</f>
        <v>A0118000</v>
      </c>
      <c r="D2210" t="s">
        <v>9521</v>
      </c>
      <c r="E2210" t="s">
        <v>9522</v>
      </c>
      <c r="F2210" t="s">
        <v>1439</v>
      </c>
      <c r="G2210" t="s">
        <v>110</v>
      </c>
      <c r="H2210">
        <v>92122</v>
      </c>
      <c r="I2210" t="s">
        <v>30</v>
      </c>
      <c r="J2210" t="s">
        <v>41</v>
      </c>
      <c r="K2210" t="s">
        <v>59</v>
      </c>
      <c r="Q2210">
        <v>0</v>
      </c>
      <c r="R2210">
        <v>235</v>
      </c>
      <c r="S2210">
        <v>235</v>
      </c>
      <c r="T2210" t="s">
        <v>9523</v>
      </c>
    </row>
    <row r="2211" spans="1:20" customFormat="1" ht="15" x14ac:dyDescent="0.25">
      <c r="A2211" t="s">
        <v>24</v>
      </c>
      <c r="B2211" t="s">
        <v>193</v>
      </c>
      <c r="C2211" t="str">
        <f>"A0055431"</f>
        <v>A0055431</v>
      </c>
      <c r="D2211" t="s">
        <v>54822</v>
      </c>
      <c r="E2211" t="s">
        <v>54823</v>
      </c>
      <c r="F2211" t="s">
        <v>54824</v>
      </c>
      <c r="G2211" t="s">
        <v>99</v>
      </c>
      <c r="H2211">
        <v>10573</v>
      </c>
      <c r="I2211" t="s">
        <v>30</v>
      </c>
      <c r="J2211" t="s">
        <v>162</v>
      </c>
      <c r="K2211" t="s">
        <v>163</v>
      </c>
      <c r="N2211" t="s">
        <v>15127</v>
      </c>
      <c r="O2211" t="s">
        <v>54825</v>
      </c>
      <c r="P2211" t="s">
        <v>3998</v>
      </c>
      <c r="Q2211">
        <v>1</v>
      </c>
      <c r="R2211">
        <v>373</v>
      </c>
      <c r="S2211">
        <v>0</v>
      </c>
      <c r="T2211" t="s">
        <v>54826</v>
      </c>
    </row>
    <row r="2212" spans="1:20" customFormat="1" ht="15" x14ac:dyDescent="0.25">
      <c r="A2212" t="s">
        <v>24</v>
      </c>
      <c r="B2212" t="s">
        <v>9530</v>
      </c>
      <c r="C2212" t="str">
        <f>"A0147898"</f>
        <v>A0147898</v>
      </c>
      <c r="D2212" t="s">
        <v>9531</v>
      </c>
      <c r="E2212" t="s">
        <v>9532</v>
      </c>
      <c r="F2212" t="s">
        <v>7455</v>
      </c>
      <c r="G2212" t="s">
        <v>123</v>
      </c>
      <c r="H2212">
        <v>21201</v>
      </c>
      <c r="I2212" t="s">
        <v>30</v>
      </c>
      <c r="J2212" t="s">
        <v>7657</v>
      </c>
      <c r="K2212" t="s">
        <v>163</v>
      </c>
      <c r="Q2212">
        <v>0</v>
      </c>
      <c r="R2212">
        <v>0</v>
      </c>
      <c r="S2212">
        <v>0</v>
      </c>
      <c r="T2212" t="s">
        <v>9533</v>
      </c>
    </row>
    <row r="2213" spans="1:20" customFormat="1" ht="15" x14ac:dyDescent="0.25">
      <c r="A2213" t="s">
        <v>24</v>
      </c>
      <c r="B2213" t="s">
        <v>1098</v>
      </c>
      <c r="C2213" t="str">
        <f>"34025"</f>
        <v>34025</v>
      </c>
      <c r="D2213" t="s">
        <v>54846</v>
      </c>
      <c r="E2213" t="s">
        <v>54847</v>
      </c>
      <c r="F2213" t="s">
        <v>3636</v>
      </c>
      <c r="G2213" t="s">
        <v>81</v>
      </c>
      <c r="H2213">
        <v>33180</v>
      </c>
      <c r="I2213" t="s">
        <v>30</v>
      </c>
      <c r="J2213" t="s">
        <v>162</v>
      </c>
      <c r="K2213" t="s">
        <v>4809</v>
      </c>
      <c r="N2213" t="s">
        <v>54848</v>
      </c>
      <c r="Q2213">
        <v>0</v>
      </c>
      <c r="R2213">
        <v>207</v>
      </c>
      <c r="S2213">
        <v>0</v>
      </c>
      <c r="T2213" t="s">
        <v>54849</v>
      </c>
    </row>
    <row r="2214" spans="1:20" customFormat="1" ht="15" x14ac:dyDescent="0.25">
      <c r="A2214" t="s">
        <v>24</v>
      </c>
      <c r="B2214" t="s">
        <v>9538</v>
      </c>
      <c r="C2214" t="str">
        <f>"A0076858"</f>
        <v>A0076858</v>
      </c>
      <c r="D2214" t="s">
        <v>9538</v>
      </c>
      <c r="E2214" t="s">
        <v>9539</v>
      </c>
      <c r="F2214" t="s">
        <v>9540</v>
      </c>
      <c r="G2214" t="s">
        <v>338</v>
      </c>
      <c r="H2214">
        <v>8202</v>
      </c>
      <c r="I2214" t="s">
        <v>30</v>
      </c>
      <c r="J2214" t="s">
        <v>178</v>
      </c>
      <c r="K2214" t="s">
        <v>163</v>
      </c>
      <c r="N2214" t="s">
        <v>9541</v>
      </c>
      <c r="Q2214">
        <v>0</v>
      </c>
      <c r="R2214">
        <v>0</v>
      </c>
      <c r="S2214">
        <v>0</v>
      </c>
      <c r="T2214" t="s">
        <v>9542</v>
      </c>
    </row>
    <row r="2215" spans="1:20" customFormat="1" ht="15" hidden="1" x14ac:dyDescent="0.25">
      <c r="A2215" t="s">
        <v>24</v>
      </c>
      <c r="B2215" t="s">
        <v>193</v>
      </c>
      <c r="C2215" t="str">
        <f>"A0096854"</f>
        <v>A0096854</v>
      </c>
      <c r="D2215" t="s">
        <v>9543</v>
      </c>
      <c r="E2215" t="s">
        <v>9544</v>
      </c>
      <c r="F2215" t="s">
        <v>5874</v>
      </c>
      <c r="G2215" t="s">
        <v>3843</v>
      </c>
      <c r="H2215">
        <v>1210</v>
      </c>
      <c r="I2215" t="s">
        <v>2408</v>
      </c>
      <c r="J2215" t="s">
        <v>9545</v>
      </c>
      <c r="K2215" t="s">
        <v>163</v>
      </c>
      <c r="N2215" t="s">
        <v>9546</v>
      </c>
      <c r="O2215" t="s">
        <v>9547</v>
      </c>
      <c r="Q2215">
        <v>0</v>
      </c>
      <c r="R2215">
        <v>190</v>
      </c>
      <c r="S2215">
        <v>0</v>
      </c>
      <c r="T2215" t="s">
        <v>9548</v>
      </c>
    </row>
    <row r="2216" spans="1:20" customFormat="1" ht="15" x14ac:dyDescent="0.25">
      <c r="A2216" t="s">
        <v>24</v>
      </c>
      <c r="B2216" t="s">
        <v>9549</v>
      </c>
      <c r="C2216" t="str">
        <f>"A0155463"</f>
        <v>A0155463</v>
      </c>
      <c r="D2216" t="s">
        <v>9550</v>
      </c>
      <c r="E2216" t="s">
        <v>9551</v>
      </c>
      <c r="F2216" t="s">
        <v>242</v>
      </c>
      <c r="G2216" t="s">
        <v>214</v>
      </c>
      <c r="H2216">
        <v>28262</v>
      </c>
      <c r="I2216" t="s">
        <v>30</v>
      </c>
      <c r="J2216" t="s">
        <v>31</v>
      </c>
      <c r="K2216" t="s">
        <v>32</v>
      </c>
      <c r="N2216" t="s">
        <v>9552</v>
      </c>
      <c r="Q2216">
        <v>0</v>
      </c>
      <c r="R2216">
        <v>104</v>
      </c>
      <c r="S2216">
        <v>0</v>
      </c>
      <c r="T2216" t="s">
        <v>9553</v>
      </c>
    </row>
    <row r="2217" spans="1:20" customFormat="1" ht="15" x14ac:dyDescent="0.25">
      <c r="A2217" t="s">
        <v>24</v>
      </c>
      <c r="B2217" t="s">
        <v>9549</v>
      </c>
      <c r="C2217" t="str">
        <f>"A0099835"</f>
        <v>A0099835</v>
      </c>
      <c r="D2217" t="s">
        <v>9554</v>
      </c>
      <c r="E2217" t="s">
        <v>9555</v>
      </c>
      <c r="F2217" t="s">
        <v>9498</v>
      </c>
      <c r="G2217" t="s">
        <v>214</v>
      </c>
      <c r="H2217">
        <v>27409</v>
      </c>
      <c r="I2217" t="s">
        <v>30</v>
      </c>
      <c r="J2217" t="s">
        <v>31</v>
      </c>
      <c r="K2217" t="s">
        <v>255</v>
      </c>
      <c r="N2217" t="s">
        <v>9556</v>
      </c>
      <c r="Q2217">
        <v>0</v>
      </c>
      <c r="R2217">
        <v>103</v>
      </c>
      <c r="S2217">
        <v>0</v>
      </c>
      <c r="T2217" t="s">
        <v>9557</v>
      </c>
    </row>
    <row r="2218" spans="1:20" customFormat="1" ht="15" x14ac:dyDescent="0.25">
      <c r="A2218" t="s">
        <v>24</v>
      </c>
      <c r="B2218" t="s">
        <v>9558</v>
      </c>
      <c r="C2218" t="str">
        <f>"A0189048"</f>
        <v>A0189048</v>
      </c>
      <c r="D2218" t="s">
        <v>9559</v>
      </c>
      <c r="E2218" t="s">
        <v>9560</v>
      </c>
      <c r="F2218" t="s">
        <v>9561</v>
      </c>
      <c r="G2218" t="s">
        <v>899</v>
      </c>
      <c r="H2218">
        <v>2540</v>
      </c>
      <c r="I2218" t="s">
        <v>30</v>
      </c>
      <c r="J2218" t="s">
        <v>145</v>
      </c>
      <c r="K2218" t="s">
        <v>163</v>
      </c>
      <c r="N2218" t="s">
        <v>9562</v>
      </c>
      <c r="Q2218">
        <v>0</v>
      </c>
      <c r="R2218">
        <v>29</v>
      </c>
      <c r="S2218">
        <v>0</v>
      </c>
      <c r="T2218" t="s">
        <v>9563</v>
      </c>
    </row>
    <row r="2219" spans="1:20" customFormat="1" ht="15" x14ac:dyDescent="0.25">
      <c r="A2219" t="s">
        <v>24</v>
      </c>
      <c r="B2219" t="s">
        <v>140</v>
      </c>
      <c r="C2219" t="str">
        <f>"196B2"</f>
        <v>196B2</v>
      </c>
      <c r="D2219" t="s">
        <v>9564</v>
      </c>
      <c r="E2219" t="s">
        <v>9565</v>
      </c>
      <c r="F2219" t="s">
        <v>9566</v>
      </c>
      <c r="G2219" t="s">
        <v>899</v>
      </c>
      <c r="H2219">
        <v>1810</v>
      </c>
      <c r="I2219" t="s">
        <v>30</v>
      </c>
      <c r="J2219" t="s">
        <v>31</v>
      </c>
      <c r="K2219" t="s">
        <v>255</v>
      </c>
      <c r="N2219" t="s">
        <v>9567</v>
      </c>
      <c r="Q2219">
        <v>0</v>
      </c>
      <c r="R2219">
        <v>136</v>
      </c>
      <c r="S2219">
        <v>0</v>
      </c>
      <c r="T2219" t="s">
        <v>9568</v>
      </c>
    </row>
    <row r="2220" spans="1:20" customFormat="1" ht="15" x14ac:dyDescent="0.25">
      <c r="A2220" t="s">
        <v>24</v>
      </c>
      <c r="B2220" t="s">
        <v>1548</v>
      </c>
      <c r="C2220" t="str">
        <f>"A0064368"</f>
        <v>A0064368</v>
      </c>
      <c r="D2220" t="s">
        <v>54850</v>
      </c>
      <c r="E2220" t="s">
        <v>54851</v>
      </c>
      <c r="F2220" t="s">
        <v>1003</v>
      </c>
      <c r="G2220" t="s">
        <v>81</v>
      </c>
      <c r="H2220">
        <v>33140</v>
      </c>
      <c r="I2220" t="s">
        <v>30</v>
      </c>
      <c r="J2220" t="s">
        <v>162</v>
      </c>
      <c r="K2220" t="s">
        <v>854</v>
      </c>
      <c r="Q2220">
        <v>0</v>
      </c>
      <c r="R2220">
        <v>186</v>
      </c>
      <c r="S2220">
        <v>0</v>
      </c>
      <c r="T2220" t="s">
        <v>54852</v>
      </c>
    </row>
    <row r="2221" spans="1:20" customFormat="1" ht="15" x14ac:dyDescent="0.25">
      <c r="A2221" t="s">
        <v>24</v>
      </c>
      <c r="B2221" t="s">
        <v>9574</v>
      </c>
      <c r="C2221" t="str">
        <f>"432QK"</f>
        <v>432QK</v>
      </c>
      <c r="D2221" t="s">
        <v>9575</v>
      </c>
      <c r="E2221" t="s">
        <v>9576</v>
      </c>
      <c r="F2221" t="s">
        <v>972</v>
      </c>
      <c r="G2221" t="s">
        <v>190</v>
      </c>
      <c r="H2221">
        <v>80014</v>
      </c>
      <c r="I2221" t="s">
        <v>30</v>
      </c>
      <c r="J2221" t="s">
        <v>31</v>
      </c>
      <c r="K2221" t="s">
        <v>32</v>
      </c>
      <c r="N2221" t="s">
        <v>9577</v>
      </c>
      <c r="Q2221">
        <v>0</v>
      </c>
      <c r="R2221">
        <v>82</v>
      </c>
      <c r="S2221">
        <v>0</v>
      </c>
      <c r="T2221" t="s">
        <v>9578</v>
      </c>
    </row>
    <row r="2222" spans="1:20" customFormat="1" ht="15" x14ac:dyDescent="0.25">
      <c r="A2222" t="s">
        <v>24</v>
      </c>
      <c r="B2222" t="s">
        <v>193</v>
      </c>
      <c r="C2222" t="str">
        <f>"A0151438"</f>
        <v>A0151438</v>
      </c>
      <c r="D2222" t="s">
        <v>9579</v>
      </c>
      <c r="E2222" t="s">
        <v>9580</v>
      </c>
      <c r="F2222" t="s">
        <v>9581</v>
      </c>
      <c r="G2222" t="s">
        <v>52</v>
      </c>
      <c r="H2222">
        <v>79549</v>
      </c>
      <c r="I2222" t="s">
        <v>30</v>
      </c>
      <c r="J2222" t="s">
        <v>31</v>
      </c>
      <c r="K2222" t="s">
        <v>198</v>
      </c>
      <c r="Q2222">
        <v>0</v>
      </c>
      <c r="R2222">
        <v>80</v>
      </c>
      <c r="S2222">
        <v>0</v>
      </c>
      <c r="T2222" t="s">
        <v>9582</v>
      </c>
    </row>
    <row r="2223" spans="1:20" customFormat="1" ht="15" x14ac:dyDescent="0.25">
      <c r="A2223" t="s">
        <v>24</v>
      </c>
      <c r="B2223" t="s">
        <v>7602</v>
      </c>
      <c r="C2223" t="str">
        <f>"A0099311"</f>
        <v>A0099311</v>
      </c>
      <c r="D2223" t="s">
        <v>9583</v>
      </c>
      <c r="E2223" t="s">
        <v>9584</v>
      </c>
      <c r="F2223" t="s">
        <v>1131</v>
      </c>
      <c r="G2223" t="s">
        <v>52</v>
      </c>
      <c r="H2223">
        <v>76011</v>
      </c>
      <c r="I2223" t="s">
        <v>30</v>
      </c>
      <c r="J2223" t="s">
        <v>145</v>
      </c>
      <c r="K2223" t="s">
        <v>1185</v>
      </c>
      <c r="N2223" t="s">
        <v>9585</v>
      </c>
      <c r="Q2223">
        <v>0</v>
      </c>
      <c r="R2223">
        <v>93</v>
      </c>
      <c r="S2223">
        <v>0</v>
      </c>
      <c r="T2223" t="s">
        <v>9586</v>
      </c>
    </row>
    <row r="2224" spans="1:20" customFormat="1" ht="15" x14ac:dyDescent="0.25">
      <c r="A2224" t="s">
        <v>24</v>
      </c>
      <c r="B2224" t="s">
        <v>9587</v>
      </c>
      <c r="C2224" t="str">
        <f>"A0136807"</f>
        <v>A0136807</v>
      </c>
      <c r="D2224" t="s">
        <v>9588</v>
      </c>
      <c r="E2224" t="s">
        <v>9589</v>
      </c>
      <c r="F2224" t="s">
        <v>2063</v>
      </c>
      <c r="G2224" t="s">
        <v>52</v>
      </c>
      <c r="H2224">
        <v>79124</v>
      </c>
      <c r="I2224" t="s">
        <v>30</v>
      </c>
      <c r="J2224" t="s">
        <v>31</v>
      </c>
      <c r="K2224" t="s">
        <v>1196</v>
      </c>
      <c r="N2224" t="s">
        <v>9590</v>
      </c>
      <c r="O2224" t="s">
        <v>9591</v>
      </c>
      <c r="Q2224">
        <v>0</v>
      </c>
      <c r="R2224">
        <v>90</v>
      </c>
      <c r="S2224">
        <v>0</v>
      </c>
      <c r="T2224" t="s">
        <v>9592</v>
      </c>
    </row>
    <row r="2225" spans="1:20" customFormat="1" ht="15" hidden="1" x14ac:dyDescent="0.25">
      <c r="A2225" t="s">
        <v>24</v>
      </c>
      <c r="B2225" t="s">
        <v>2876</v>
      </c>
      <c r="C2225" t="str">
        <f>"A0189329"</f>
        <v>A0189329</v>
      </c>
      <c r="D2225" t="s">
        <v>9593</v>
      </c>
      <c r="E2225" t="s">
        <v>9594</v>
      </c>
      <c r="F2225" t="s">
        <v>9595</v>
      </c>
      <c r="G2225" t="s">
        <v>2206</v>
      </c>
      <c r="H2225" t="s">
        <v>9596</v>
      </c>
      <c r="I2225" t="s">
        <v>1459</v>
      </c>
      <c r="J2225" t="s">
        <v>1004</v>
      </c>
      <c r="K2225" t="s">
        <v>163</v>
      </c>
      <c r="Q2225">
        <v>0</v>
      </c>
      <c r="R2225">
        <v>0</v>
      </c>
      <c r="S2225">
        <v>0</v>
      </c>
      <c r="T2225" t="s">
        <v>9597</v>
      </c>
    </row>
    <row r="2226" spans="1:20" customFormat="1" ht="15" x14ac:dyDescent="0.25">
      <c r="A2226" t="s">
        <v>24</v>
      </c>
      <c r="B2226" t="s">
        <v>2601</v>
      </c>
      <c r="C2226" t="str">
        <f>"A0077306"</f>
        <v>A0077306</v>
      </c>
      <c r="D2226" t="s">
        <v>54870</v>
      </c>
      <c r="E2226" t="s">
        <v>54871</v>
      </c>
      <c r="F2226" t="s">
        <v>2531</v>
      </c>
      <c r="G2226" t="s">
        <v>123</v>
      </c>
      <c r="H2226">
        <v>21090</v>
      </c>
      <c r="I2226" t="s">
        <v>30</v>
      </c>
      <c r="J2226" t="s">
        <v>162</v>
      </c>
      <c r="K2226" t="s">
        <v>822</v>
      </c>
      <c r="N2226" t="s">
        <v>54872</v>
      </c>
      <c r="Q2226">
        <v>0</v>
      </c>
      <c r="R2226">
        <v>260</v>
      </c>
      <c r="S2226">
        <v>0</v>
      </c>
      <c r="T2226" t="s">
        <v>54873</v>
      </c>
    </row>
    <row r="2227" spans="1:20" customFormat="1" ht="15" x14ac:dyDescent="0.25">
      <c r="A2227" t="s">
        <v>35</v>
      </c>
      <c r="B2227" t="s">
        <v>9604</v>
      </c>
      <c r="C2227" t="str">
        <f>"A0189328"</f>
        <v>A0189328</v>
      </c>
      <c r="D2227" t="s">
        <v>9605</v>
      </c>
      <c r="E2227" t="s">
        <v>9606</v>
      </c>
      <c r="F2227" t="s">
        <v>9607</v>
      </c>
      <c r="G2227" t="s">
        <v>117</v>
      </c>
      <c r="H2227">
        <v>49503</v>
      </c>
      <c r="I2227" t="s">
        <v>30</v>
      </c>
      <c r="J2227" t="s">
        <v>41</v>
      </c>
      <c r="K2227" t="s">
        <v>2463</v>
      </c>
      <c r="Q2227">
        <v>0</v>
      </c>
      <c r="R2227">
        <v>0</v>
      </c>
      <c r="S2227">
        <v>60</v>
      </c>
      <c r="T2227" t="s">
        <v>9608</v>
      </c>
    </row>
    <row r="2228" spans="1:20" customFormat="1" ht="15" x14ac:dyDescent="0.25">
      <c r="A2228" t="s">
        <v>35</v>
      </c>
      <c r="B2228" t="s">
        <v>9604</v>
      </c>
      <c r="C2228" t="str">
        <f>"A0189327"</f>
        <v>A0189327</v>
      </c>
      <c r="D2228" t="s">
        <v>9609</v>
      </c>
      <c r="E2228" t="s">
        <v>9610</v>
      </c>
      <c r="F2228" t="s">
        <v>1981</v>
      </c>
      <c r="G2228" t="s">
        <v>117</v>
      </c>
      <c r="H2228">
        <v>48911</v>
      </c>
      <c r="I2228" t="s">
        <v>30</v>
      </c>
      <c r="J2228" t="s">
        <v>41</v>
      </c>
      <c r="K2228" t="s">
        <v>391</v>
      </c>
      <c r="Q2228">
        <v>0</v>
      </c>
      <c r="R2228">
        <v>0</v>
      </c>
      <c r="S2228">
        <v>60</v>
      </c>
      <c r="T2228" t="s">
        <v>9611</v>
      </c>
    </row>
    <row r="2229" spans="1:20" customFormat="1" ht="15" x14ac:dyDescent="0.25">
      <c r="A2229" t="s">
        <v>35</v>
      </c>
      <c r="B2229" t="s">
        <v>9604</v>
      </c>
      <c r="C2229" t="str">
        <f>"A0189326"</f>
        <v>A0189326</v>
      </c>
      <c r="D2229" t="s">
        <v>9612</v>
      </c>
      <c r="E2229" t="s">
        <v>9613</v>
      </c>
      <c r="F2229" t="s">
        <v>5723</v>
      </c>
      <c r="G2229" t="s">
        <v>117</v>
      </c>
      <c r="H2229">
        <v>49424</v>
      </c>
      <c r="I2229" t="s">
        <v>30</v>
      </c>
      <c r="J2229" t="s">
        <v>41</v>
      </c>
      <c r="K2229" t="s">
        <v>391</v>
      </c>
      <c r="Q2229">
        <v>0</v>
      </c>
      <c r="R2229">
        <v>0</v>
      </c>
      <c r="S2229">
        <v>60</v>
      </c>
      <c r="T2229" t="s">
        <v>9614</v>
      </c>
    </row>
    <row r="2230" spans="1:20" customFormat="1" ht="15" x14ac:dyDescent="0.25">
      <c r="A2230" t="s">
        <v>35</v>
      </c>
      <c r="B2230" t="s">
        <v>9604</v>
      </c>
      <c r="C2230" t="str">
        <f>"A0189325"</f>
        <v>A0189325</v>
      </c>
      <c r="D2230" t="s">
        <v>9615</v>
      </c>
      <c r="E2230" t="s">
        <v>9616</v>
      </c>
      <c r="F2230" t="s">
        <v>9617</v>
      </c>
      <c r="G2230" t="s">
        <v>117</v>
      </c>
      <c r="H2230">
        <v>49444</v>
      </c>
      <c r="I2230" t="s">
        <v>30</v>
      </c>
      <c r="J2230" t="s">
        <v>41</v>
      </c>
      <c r="K2230" t="s">
        <v>391</v>
      </c>
      <c r="Q2230">
        <v>0</v>
      </c>
      <c r="R2230">
        <v>0</v>
      </c>
      <c r="S2230">
        <v>60</v>
      </c>
      <c r="T2230" t="s">
        <v>9618</v>
      </c>
    </row>
    <row r="2231" spans="1:20" customFormat="1" ht="15" x14ac:dyDescent="0.25">
      <c r="A2231" t="s">
        <v>35</v>
      </c>
      <c r="B2231" t="s">
        <v>9604</v>
      </c>
      <c r="C2231" t="str">
        <f>"A0189324"</f>
        <v>A0189324</v>
      </c>
      <c r="D2231" t="s">
        <v>9619</v>
      </c>
      <c r="E2231" t="s">
        <v>9620</v>
      </c>
      <c r="F2231" t="s">
        <v>9621</v>
      </c>
      <c r="G2231" t="s">
        <v>117</v>
      </c>
      <c r="H2231">
        <v>48118</v>
      </c>
      <c r="I2231" t="s">
        <v>30</v>
      </c>
      <c r="J2231" t="s">
        <v>41</v>
      </c>
      <c r="K2231" t="s">
        <v>418</v>
      </c>
      <c r="Q2231">
        <v>0</v>
      </c>
      <c r="R2231">
        <v>0</v>
      </c>
      <c r="S2231">
        <v>47</v>
      </c>
      <c r="T2231" t="s">
        <v>9622</v>
      </c>
    </row>
    <row r="2232" spans="1:20" customFormat="1" ht="15" x14ac:dyDescent="0.25">
      <c r="A2232" t="s">
        <v>35</v>
      </c>
      <c r="B2232" t="s">
        <v>9604</v>
      </c>
      <c r="C2232" t="str">
        <f>"A0189323"</f>
        <v>A0189323</v>
      </c>
      <c r="D2232" t="s">
        <v>9623</v>
      </c>
      <c r="E2232" t="s">
        <v>9624</v>
      </c>
      <c r="F2232" t="s">
        <v>9607</v>
      </c>
      <c r="G2232" t="s">
        <v>117</v>
      </c>
      <c r="H2232">
        <v>49503</v>
      </c>
      <c r="I2232" t="s">
        <v>30</v>
      </c>
      <c r="J2232" t="s">
        <v>41</v>
      </c>
      <c r="K2232" t="s">
        <v>456</v>
      </c>
      <c r="Q2232">
        <v>0</v>
      </c>
      <c r="R2232">
        <v>0</v>
      </c>
      <c r="S2232">
        <v>60</v>
      </c>
      <c r="T2232" t="s">
        <v>9625</v>
      </c>
    </row>
    <row r="2233" spans="1:20" customFormat="1" ht="15" x14ac:dyDescent="0.25">
      <c r="A2233" t="s">
        <v>35</v>
      </c>
      <c r="B2233" t="s">
        <v>36</v>
      </c>
      <c r="C2233" t="str">
        <f>"A0189322"</f>
        <v>A0189322</v>
      </c>
      <c r="D2233" t="s">
        <v>9626</v>
      </c>
      <c r="E2233" t="s">
        <v>9627</v>
      </c>
      <c r="F2233" t="s">
        <v>9628</v>
      </c>
      <c r="G2233" t="s">
        <v>81</v>
      </c>
      <c r="H2233">
        <v>32931</v>
      </c>
      <c r="I2233" t="s">
        <v>30</v>
      </c>
      <c r="J2233" t="s">
        <v>41</v>
      </c>
      <c r="K2233" t="s">
        <v>42</v>
      </c>
      <c r="Q2233">
        <v>0</v>
      </c>
      <c r="R2233">
        <v>0</v>
      </c>
      <c r="S2233">
        <v>0</v>
      </c>
      <c r="T2233" t="s">
        <v>9629</v>
      </c>
    </row>
    <row r="2234" spans="1:20" customFormat="1" ht="15" x14ac:dyDescent="0.25">
      <c r="A2234" t="s">
        <v>35</v>
      </c>
      <c r="B2234" t="s">
        <v>36</v>
      </c>
      <c r="C2234" t="str">
        <f>"A0189321"</f>
        <v>A0189321</v>
      </c>
      <c r="D2234" t="s">
        <v>9630</v>
      </c>
      <c r="E2234" t="s">
        <v>9631</v>
      </c>
      <c r="F2234" t="s">
        <v>475</v>
      </c>
      <c r="G2234" t="s">
        <v>381</v>
      </c>
      <c r="H2234">
        <v>46515</v>
      </c>
      <c r="I2234" t="s">
        <v>30</v>
      </c>
      <c r="J2234" t="s">
        <v>41</v>
      </c>
      <c r="K2234" t="s">
        <v>42</v>
      </c>
      <c r="Q2234">
        <v>0</v>
      </c>
      <c r="R2234">
        <v>0</v>
      </c>
      <c r="S2234">
        <v>0</v>
      </c>
      <c r="T2234" t="s">
        <v>9632</v>
      </c>
    </row>
    <row r="2235" spans="1:20" customFormat="1" ht="15" x14ac:dyDescent="0.25">
      <c r="A2235" t="s">
        <v>35</v>
      </c>
      <c r="B2235" t="s">
        <v>9633</v>
      </c>
      <c r="C2235" t="str">
        <f>"A0189320"</f>
        <v>A0189320</v>
      </c>
      <c r="D2235" t="s">
        <v>9634</v>
      </c>
      <c r="E2235" t="s">
        <v>9635</v>
      </c>
      <c r="F2235" t="s">
        <v>9636</v>
      </c>
      <c r="G2235" t="s">
        <v>76</v>
      </c>
      <c r="H2235">
        <v>99206</v>
      </c>
      <c r="I2235" t="s">
        <v>30</v>
      </c>
      <c r="J2235" t="s">
        <v>41</v>
      </c>
      <c r="K2235" t="s">
        <v>59</v>
      </c>
      <c r="Q2235">
        <v>0</v>
      </c>
      <c r="R2235">
        <v>0</v>
      </c>
      <c r="S2235">
        <v>40</v>
      </c>
      <c r="T2235" t="s">
        <v>9637</v>
      </c>
    </row>
    <row r="2236" spans="1:20" customFormat="1" ht="15" x14ac:dyDescent="0.25">
      <c r="A2236" t="s">
        <v>35</v>
      </c>
      <c r="B2236" t="s">
        <v>9633</v>
      </c>
      <c r="C2236" t="str">
        <f>"A0189319"</f>
        <v>A0189319</v>
      </c>
      <c r="D2236" t="s">
        <v>9638</v>
      </c>
      <c r="E2236" t="s">
        <v>9639</v>
      </c>
      <c r="F2236" t="s">
        <v>9636</v>
      </c>
      <c r="G2236" t="s">
        <v>76</v>
      </c>
      <c r="H2236">
        <v>99206</v>
      </c>
      <c r="I2236" t="s">
        <v>30</v>
      </c>
      <c r="J2236" t="s">
        <v>41</v>
      </c>
      <c r="K2236" t="s">
        <v>2463</v>
      </c>
      <c r="Q2236">
        <v>0</v>
      </c>
      <c r="R2236">
        <v>0</v>
      </c>
      <c r="S2236">
        <v>0</v>
      </c>
      <c r="T2236" t="s">
        <v>9640</v>
      </c>
    </row>
    <row r="2237" spans="1:20" customFormat="1" ht="15" x14ac:dyDescent="0.25">
      <c r="A2237" t="s">
        <v>35</v>
      </c>
      <c r="B2237" t="s">
        <v>9633</v>
      </c>
      <c r="C2237" t="str">
        <f>"A0189318"</f>
        <v>A0189318</v>
      </c>
      <c r="D2237" t="s">
        <v>9641</v>
      </c>
      <c r="E2237" t="s">
        <v>9642</v>
      </c>
      <c r="F2237" t="s">
        <v>9636</v>
      </c>
      <c r="G2237" t="s">
        <v>76</v>
      </c>
      <c r="H2237">
        <v>99206</v>
      </c>
      <c r="I2237" t="s">
        <v>30</v>
      </c>
      <c r="J2237" t="s">
        <v>41</v>
      </c>
      <c r="K2237" t="s">
        <v>59</v>
      </c>
      <c r="Q2237">
        <v>0</v>
      </c>
      <c r="R2237">
        <v>0</v>
      </c>
      <c r="S2237">
        <v>24</v>
      </c>
      <c r="T2237" t="s">
        <v>9643</v>
      </c>
    </row>
    <row r="2238" spans="1:20" customFormat="1" ht="15" x14ac:dyDescent="0.25">
      <c r="A2238" t="s">
        <v>35</v>
      </c>
      <c r="B2238" t="s">
        <v>9644</v>
      </c>
      <c r="C2238" t="str">
        <f>"A0189317"</f>
        <v>A0189317</v>
      </c>
      <c r="D2238" t="s">
        <v>9644</v>
      </c>
      <c r="E2238" t="s">
        <v>9645</v>
      </c>
      <c r="F2238" t="s">
        <v>9646</v>
      </c>
      <c r="G2238" t="s">
        <v>71</v>
      </c>
      <c r="H2238">
        <v>54157</v>
      </c>
      <c r="I2238" t="s">
        <v>30</v>
      </c>
      <c r="J2238" t="s">
        <v>41</v>
      </c>
      <c r="K2238" t="s">
        <v>290</v>
      </c>
      <c r="Q2238">
        <v>0</v>
      </c>
      <c r="R2238">
        <v>0</v>
      </c>
      <c r="S2238">
        <v>0</v>
      </c>
      <c r="T2238" t="s">
        <v>9647</v>
      </c>
    </row>
    <row r="2239" spans="1:20" customFormat="1" ht="15" x14ac:dyDescent="0.25">
      <c r="A2239" t="s">
        <v>35</v>
      </c>
      <c r="B2239" t="s">
        <v>9648</v>
      </c>
      <c r="C2239" t="str">
        <f>"A0189316"</f>
        <v>A0189316</v>
      </c>
      <c r="D2239" t="s">
        <v>9649</v>
      </c>
      <c r="E2239" t="s">
        <v>9650</v>
      </c>
      <c r="F2239" t="s">
        <v>9651</v>
      </c>
      <c r="G2239" t="s">
        <v>65</v>
      </c>
      <c r="H2239">
        <v>44836</v>
      </c>
      <c r="I2239" t="s">
        <v>30</v>
      </c>
      <c r="J2239" t="s">
        <v>41</v>
      </c>
      <c r="K2239" t="s">
        <v>229</v>
      </c>
      <c r="Q2239">
        <v>0</v>
      </c>
      <c r="R2239">
        <v>0</v>
      </c>
      <c r="S2239">
        <v>0</v>
      </c>
      <c r="T2239" t="s">
        <v>72</v>
      </c>
    </row>
    <row r="2240" spans="1:20" customFormat="1" ht="15" x14ac:dyDescent="0.25">
      <c r="A2240" t="s">
        <v>35</v>
      </c>
      <c r="B2240" t="s">
        <v>7359</v>
      </c>
      <c r="C2240" t="str">
        <f>"A0189315"</f>
        <v>A0189315</v>
      </c>
      <c r="D2240" t="s">
        <v>9652</v>
      </c>
      <c r="E2240" t="s">
        <v>9653</v>
      </c>
      <c r="F2240" t="s">
        <v>5684</v>
      </c>
      <c r="G2240" t="s">
        <v>110</v>
      </c>
      <c r="H2240">
        <v>92870</v>
      </c>
      <c r="I2240" t="s">
        <v>30</v>
      </c>
      <c r="J2240" t="s">
        <v>41</v>
      </c>
      <c r="K2240" t="s">
        <v>59</v>
      </c>
      <c r="Q2240">
        <v>0</v>
      </c>
      <c r="R2240">
        <v>0</v>
      </c>
      <c r="S2240">
        <v>55</v>
      </c>
      <c r="T2240" t="s">
        <v>9654</v>
      </c>
    </row>
    <row r="2241" spans="1:20" customFormat="1" ht="15" x14ac:dyDescent="0.25">
      <c r="A2241" t="s">
        <v>35</v>
      </c>
      <c r="B2241" t="s">
        <v>7359</v>
      </c>
      <c r="C2241" t="str">
        <f>"A0189314"</f>
        <v>A0189314</v>
      </c>
      <c r="D2241" t="s">
        <v>9655</v>
      </c>
      <c r="E2241" t="s">
        <v>9656</v>
      </c>
      <c r="F2241" t="s">
        <v>9135</v>
      </c>
      <c r="G2241" t="s">
        <v>110</v>
      </c>
      <c r="H2241">
        <v>95135</v>
      </c>
      <c r="I2241" t="s">
        <v>30</v>
      </c>
      <c r="J2241" t="s">
        <v>41</v>
      </c>
      <c r="K2241" t="s">
        <v>59</v>
      </c>
      <c r="Q2241">
        <v>0</v>
      </c>
      <c r="R2241">
        <v>0</v>
      </c>
      <c r="S2241">
        <v>60</v>
      </c>
      <c r="T2241" t="s">
        <v>9657</v>
      </c>
    </row>
    <row r="2242" spans="1:20" customFormat="1" ht="15" x14ac:dyDescent="0.25">
      <c r="A2242" t="s">
        <v>35</v>
      </c>
      <c r="B2242" t="s">
        <v>7359</v>
      </c>
      <c r="C2242" t="str">
        <f>"A0189313"</f>
        <v>A0189313</v>
      </c>
      <c r="D2242" t="s">
        <v>9658</v>
      </c>
      <c r="E2242" t="s">
        <v>9659</v>
      </c>
      <c r="F2242" t="s">
        <v>9660</v>
      </c>
      <c r="G2242" t="s">
        <v>110</v>
      </c>
      <c r="H2242">
        <v>94583</v>
      </c>
      <c r="I2242" t="s">
        <v>30</v>
      </c>
      <c r="J2242" t="s">
        <v>41</v>
      </c>
      <c r="K2242" t="s">
        <v>59</v>
      </c>
      <c r="Q2242">
        <v>0</v>
      </c>
      <c r="R2242">
        <v>0</v>
      </c>
      <c r="S2242">
        <v>65</v>
      </c>
      <c r="T2242" t="s">
        <v>9661</v>
      </c>
    </row>
    <row r="2243" spans="1:20" customFormat="1" ht="15" x14ac:dyDescent="0.25">
      <c r="A2243" t="s">
        <v>35</v>
      </c>
      <c r="B2243" t="s">
        <v>7359</v>
      </c>
      <c r="C2243" t="str">
        <f>"A0189312"</f>
        <v>A0189312</v>
      </c>
      <c r="D2243" t="s">
        <v>9662</v>
      </c>
      <c r="E2243" t="s">
        <v>9663</v>
      </c>
      <c r="F2243" t="s">
        <v>9664</v>
      </c>
      <c r="G2243" t="s">
        <v>110</v>
      </c>
      <c r="H2243">
        <v>93901</v>
      </c>
      <c r="I2243" t="s">
        <v>30</v>
      </c>
      <c r="J2243" t="s">
        <v>41</v>
      </c>
      <c r="K2243" t="s">
        <v>59</v>
      </c>
      <c r="Q2243">
        <v>0</v>
      </c>
      <c r="R2243">
        <v>0</v>
      </c>
      <c r="S2243">
        <v>55</v>
      </c>
      <c r="T2243" t="s">
        <v>9665</v>
      </c>
    </row>
    <row r="2244" spans="1:20" customFormat="1" ht="15" x14ac:dyDescent="0.25">
      <c r="A2244" t="s">
        <v>35</v>
      </c>
      <c r="B2244" t="s">
        <v>7359</v>
      </c>
      <c r="C2244" t="str">
        <f>"A0189311"</f>
        <v>A0189311</v>
      </c>
      <c r="D2244" t="s">
        <v>9666</v>
      </c>
      <c r="E2244" t="s">
        <v>9667</v>
      </c>
      <c r="F2244" t="s">
        <v>9668</v>
      </c>
      <c r="G2244" t="s">
        <v>110</v>
      </c>
      <c r="H2244">
        <v>95409</v>
      </c>
      <c r="I2244" t="s">
        <v>30</v>
      </c>
      <c r="J2244" t="s">
        <v>41</v>
      </c>
      <c r="K2244" t="s">
        <v>59</v>
      </c>
      <c r="Q2244">
        <v>0</v>
      </c>
      <c r="R2244">
        <v>0</v>
      </c>
      <c r="S2244">
        <v>60</v>
      </c>
      <c r="T2244" t="s">
        <v>9669</v>
      </c>
    </row>
    <row r="2245" spans="1:20" customFormat="1" ht="15" x14ac:dyDescent="0.25">
      <c r="A2245" t="s">
        <v>35</v>
      </c>
      <c r="B2245" t="s">
        <v>9670</v>
      </c>
      <c r="C2245" t="str">
        <f>"A0189310"</f>
        <v>A0189310</v>
      </c>
      <c r="D2245" t="s">
        <v>9671</v>
      </c>
      <c r="E2245" t="s">
        <v>9672</v>
      </c>
      <c r="F2245" t="s">
        <v>7544</v>
      </c>
      <c r="G2245" t="s">
        <v>71</v>
      </c>
      <c r="H2245">
        <v>53151</v>
      </c>
      <c r="I2245" t="s">
        <v>30</v>
      </c>
      <c r="J2245" t="s">
        <v>41</v>
      </c>
      <c r="K2245" t="s">
        <v>59</v>
      </c>
      <c r="Q2245">
        <v>0</v>
      </c>
      <c r="R2245">
        <v>0</v>
      </c>
      <c r="S2245">
        <v>54</v>
      </c>
      <c r="T2245" t="s">
        <v>72</v>
      </c>
    </row>
    <row r="2246" spans="1:20" customFormat="1" ht="15" x14ac:dyDescent="0.25">
      <c r="A2246" t="s">
        <v>35</v>
      </c>
      <c r="B2246" t="s">
        <v>5640</v>
      </c>
      <c r="C2246" t="str">
        <f>"A0189309"</f>
        <v>A0189309</v>
      </c>
      <c r="D2246" t="s">
        <v>9673</v>
      </c>
      <c r="E2246" t="s">
        <v>9674</v>
      </c>
      <c r="F2246" t="s">
        <v>9675</v>
      </c>
      <c r="G2246" t="s">
        <v>29</v>
      </c>
      <c r="H2246">
        <v>23059</v>
      </c>
      <c r="I2246" t="s">
        <v>30</v>
      </c>
      <c r="J2246" t="s">
        <v>41</v>
      </c>
      <c r="K2246" t="s">
        <v>59</v>
      </c>
      <c r="Q2246">
        <v>0</v>
      </c>
      <c r="R2246">
        <v>0</v>
      </c>
      <c r="S2246">
        <v>123</v>
      </c>
      <c r="T2246" t="s">
        <v>9676</v>
      </c>
    </row>
    <row r="2247" spans="1:20" customFormat="1" ht="15" x14ac:dyDescent="0.25">
      <c r="A2247" t="s">
        <v>35</v>
      </c>
      <c r="B2247" t="s">
        <v>61</v>
      </c>
      <c r="C2247" t="str">
        <f>"A0189239"</f>
        <v>A0189239</v>
      </c>
      <c r="D2247" t="s">
        <v>9677</v>
      </c>
      <c r="E2247" t="s">
        <v>9678</v>
      </c>
      <c r="F2247" t="s">
        <v>9679</v>
      </c>
      <c r="G2247" t="s">
        <v>289</v>
      </c>
      <c r="H2247">
        <v>62269</v>
      </c>
      <c r="I2247" t="s">
        <v>30</v>
      </c>
      <c r="J2247" t="s">
        <v>41</v>
      </c>
      <c r="K2247" t="s">
        <v>59</v>
      </c>
      <c r="Q2247">
        <v>0</v>
      </c>
      <c r="R2247">
        <v>0</v>
      </c>
      <c r="S2247">
        <v>124</v>
      </c>
      <c r="T2247" t="s">
        <v>9680</v>
      </c>
    </row>
    <row r="2248" spans="1:20" customFormat="1" ht="15" x14ac:dyDescent="0.25">
      <c r="A2248" t="s">
        <v>35</v>
      </c>
      <c r="B2248" t="s">
        <v>61</v>
      </c>
      <c r="C2248" t="str">
        <f>"A0189238"</f>
        <v>A0189238</v>
      </c>
      <c r="D2248" t="s">
        <v>9681</v>
      </c>
      <c r="E2248" t="s">
        <v>9682</v>
      </c>
      <c r="F2248" t="s">
        <v>9683</v>
      </c>
      <c r="G2248" t="s">
        <v>338</v>
      </c>
      <c r="H2248">
        <v>8234</v>
      </c>
      <c r="I2248" t="s">
        <v>30</v>
      </c>
      <c r="J2248" t="s">
        <v>41</v>
      </c>
      <c r="K2248" t="s">
        <v>59</v>
      </c>
      <c r="Q2248">
        <v>0</v>
      </c>
      <c r="R2248">
        <v>0</v>
      </c>
      <c r="S2248">
        <v>0</v>
      </c>
      <c r="T2248" t="s">
        <v>72</v>
      </c>
    </row>
    <row r="2249" spans="1:20" customFormat="1" ht="15" x14ac:dyDescent="0.25">
      <c r="A2249" t="s">
        <v>35</v>
      </c>
      <c r="B2249" t="s">
        <v>61</v>
      </c>
      <c r="C2249" t="str">
        <f>"A0189237"</f>
        <v>A0189237</v>
      </c>
      <c r="D2249" t="s">
        <v>9684</v>
      </c>
      <c r="E2249" t="s">
        <v>9685</v>
      </c>
      <c r="F2249" t="s">
        <v>9686</v>
      </c>
      <c r="G2249" t="s">
        <v>52</v>
      </c>
      <c r="H2249">
        <v>77864</v>
      </c>
      <c r="I2249" t="s">
        <v>30</v>
      </c>
      <c r="J2249" t="s">
        <v>41</v>
      </c>
      <c r="K2249" t="s">
        <v>229</v>
      </c>
      <c r="Q2249">
        <v>0</v>
      </c>
      <c r="R2249">
        <v>0</v>
      </c>
      <c r="S2249">
        <v>30</v>
      </c>
      <c r="T2249" t="s">
        <v>9687</v>
      </c>
    </row>
    <row r="2250" spans="1:20" customFormat="1" ht="15" x14ac:dyDescent="0.25">
      <c r="A2250" t="s">
        <v>35</v>
      </c>
      <c r="B2250" t="s">
        <v>61</v>
      </c>
      <c r="C2250" t="str">
        <f>"A0189236"</f>
        <v>A0189236</v>
      </c>
      <c r="D2250" t="s">
        <v>9688</v>
      </c>
      <c r="E2250" t="s">
        <v>9689</v>
      </c>
      <c r="F2250" t="s">
        <v>9690</v>
      </c>
      <c r="G2250" t="s">
        <v>65</v>
      </c>
      <c r="H2250">
        <v>45069</v>
      </c>
      <c r="I2250" t="s">
        <v>30</v>
      </c>
      <c r="J2250" t="s">
        <v>41</v>
      </c>
      <c r="K2250" t="s">
        <v>391</v>
      </c>
      <c r="Q2250">
        <v>0</v>
      </c>
      <c r="R2250">
        <v>0</v>
      </c>
      <c r="S2250">
        <v>0</v>
      </c>
      <c r="T2250" t="s">
        <v>9691</v>
      </c>
    </row>
    <row r="2251" spans="1:20" customFormat="1" ht="15" x14ac:dyDescent="0.25">
      <c r="A2251" t="s">
        <v>35</v>
      </c>
      <c r="B2251" t="s">
        <v>61</v>
      </c>
      <c r="C2251" t="str">
        <f>"A0189235"</f>
        <v>A0189235</v>
      </c>
      <c r="D2251" t="s">
        <v>9692</v>
      </c>
      <c r="E2251" t="s">
        <v>9693</v>
      </c>
      <c r="F2251" t="s">
        <v>1431</v>
      </c>
      <c r="G2251" t="s">
        <v>381</v>
      </c>
      <c r="H2251">
        <v>47371</v>
      </c>
      <c r="I2251" t="s">
        <v>30</v>
      </c>
      <c r="J2251" t="s">
        <v>41</v>
      </c>
      <c r="K2251" t="s">
        <v>9463</v>
      </c>
      <c r="Q2251">
        <v>0</v>
      </c>
      <c r="R2251">
        <v>0</v>
      </c>
      <c r="S2251">
        <v>0</v>
      </c>
      <c r="T2251" t="s">
        <v>9694</v>
      </c>
    </row>
    <row r="2252" spans="1:20" customFormat="1" ht="15" x14ac:dyDescent="0.25">
      <c r="A2252" t="s">
        <v>35</v>
      </c>
      <c r="B2252" t="s">
        <v>61</v>
      </c>
      <c r="C2252" t="str">
        <f>"A0189234"</f>
        <v>A0189234</v>
      </c>
      <c r="D2252" t="s">
        <v>9695</v>
      </c>
      <c r="E2252" t="s">
        <v>9696</v>
      </c>
      <c r="F2252" t="s">
        <v>4591</v>
      </c>
      <c r="G2252" t="s">
        <v>381</v>
      </c>
      <c r="H2252">
        <v>46953</v>
      </c>
      <c r="I2252" t="s">
        <v>30</v>
      </c>
      <c r="J2252" t="s">
        <v>41</v>
      </c>
      <c r="K2252" t="s">
        <v>9463</v>
      </c>
      <c r="Q2252">
        <v>0</v>
      </c>
      <c r="R2252">
        <v>0</v>
      </c>
      <c r="S2252">
        <v>0</v>
      </c>
      <c r="T2252" t="s">
        <v>72</v>
      </c>
    </row>
    <row r="2253" spans="1:20" customFormat="1" ht="15" x14ac:dyDescent="0.25">
      <c r="A2253" t="s">
        <v>35</v>
      </c>
      <c r="B2253" t="s">
        <v>7804</v>
      </c>
      <c r="C2253" t="str">
        <f>"A0189233"</f>
        <v>A0189233</v>
      </c>
      <c r="D2253" t="s">
        <v>9697</v>
      </c>
      <c r="E2253" t="s">
        <v>9698</v>
      </c>
      <c r="F2253" t="s">
        <v>9699</v>
      </c>
      <c r="G2253" t="s">
        <v>381</v>
      </c>
      <c r="H2253">
        <v>46410</v>
      </c>
      <c r="I2253" t="s">
        <v>30</v>
      </c>
      <c r="J2253" t="s">
        <v>41</v>
      </c>
      <c r="K2253" t="s">
        <v>482</v>
      </c>
      <c r="Q2253">
        <v>0</v>
      </c>
      <c r="R2253">
        <v>0</v>
      </c>
      <c r="S2253">
        <v>0</v>
      </c>
      <c r="T2253" t="s">
        <v>9700</v>
      </c>
    </row>
    <row r="2254" spans="1:20" customFormat="1" ht="15" x14ac:dyDescent="0.25">
      <c r="A2254" t="s">
        <v>35</v>
      </c>
      <c r="B2254" t="s">
        <v>61</v>
      </c>
      <c r="C2254" t="str">
        <f>"A0189232"</f>
        <v>A0189232</v>
      </c>
      <c r="D2254" t="s">
        <v>9701</v>
      </c>
      <c r="E2254" t="s">
        <v>9702</v>
      </c>
      <c r="F2254" t="s">
        <v>9703</v>
      </c>
      <c r="G2254" t="s">
        <v>85</v>
      </c>
      <c r="H2254">
        <v>72653</v>
      </c>
      <c r="I2254" t="s">
        <v>30</v>
      </c>
      <c r="J2254" t="s">
        <v>41</v>
      </c>
      <c r="K2254" t="s">
        <v>59</v>
      </c>
      <c r="Q2254">
        <v>0</v>
      </c>
      <c r="R2254">
        <v>0</v>
      </c>
      <c r="S2254">
        <v>70</v>
      </c>
      <c r="T2254" t="s">
        <v>9704</v>
      </c>
    </row>
    <row r="2255" spans="1:20" customFormat="1" ht="15" x14ac:dyDescent="0.25">
      <c r="A2255" t="s">
        <v>35</v>
      </c>
      <c r="B2255" t="s">
        <v>61</v>
      </c>
      <c r="C2255" t="str">
        <f>"A0189231"</f>
        <v>A0189231</v>
      </c>
      <c r="D2255" t="s">
        <v>9705</v>
      </c>
      <c r="E2255" t="s">
        <v>9706</v>
      </c>
      <c r="F2255" t="s">
        <v>9707</v>
      </c>
      <c r="G2255" t="s">
        <v>137</v>
      </c>
      <c r="H2255">
        <v>64454</v>
      </c>
      <c r="I2255" t="s">
        <v>30</v>
      </c>
      <c r="J2255" t="s">
        <v>41</v>
      </c>
      <c r="K2255" t="s">
        <v>229</v>
      </c>
      <c r="Q2255">
        <v>0</v>
      </c>
      <c r="R2255">
        <v>0</v>
      </c>
      <c r="S2255">
        <v>81</v>
      </c>
      <c r="T2255" t="s">
        <v>9708</v>
      </c>
    </row>
    <row r="2256" spans="1:20" customFormat="1" ht="15" x14ac:dyDescent="0.25">
      <c r="A2256" t="s">
        <v>35</v>
      </c>
      <c r="B2256" t="s">
        <v>106</v>
      </c>
      <c r="C2256" t="str">
        <f>"A0189230"</f>
        <v>A0189230</v>
      </c>
      <c r="D2256" t="s">
        <v>9709</v>
      </c>
      <c r="E2256" t="s">
        <v>9710</v>
      </c>
      <c r="F2256" t="s">
        <v>9711</v>
      </c>
      <c r="G2256" t="s">
        <v>3236</v>
      </c>
      <c r="H2256">
        <v>57029</v>
      </c>
      <c r="I2256" t="s">
        <v>30</v>
      </c>
      <c r="J2256" t="s">
        <v>111</v>
      </c>
      <c r="K2256" t="s">
        <v>112</v>
      </c>
      <c r="Q2256">
        <v>0</v>
      </c>
      <c r="R2256">
        <v>0</v>
      </c>
      <c r="S2256">
        <v>0</v>
      </c>
      <c r="T2256" t="s">
        <v>9712</v>
      </c>
    </row>
    <row r="2257" spans="1:20" customFormat="1" ht="15" x14ac:dyDescent="0.25">
      <c r="A2257" t="s">
        <v>35</v>
      </c>
      <c r="B2257" t="s">
        <v>1918</v>
      </c>
      <c r="C2257" t="str">
        <f>"A0189229"</f>
        <v>A0189229</v>
      </c>
      <c r="D2257" t="s">
        <v>9713</v>
      </c>
      <c r="E2257" t="s">
        <v>9714</v>
      </c>
      <c r="F2257" t="s">
        <v>9715</v>
      </c>
      <c r="G2257" t="s">
        <v>110</v>
      </c>
      <c r="H2257">
        <v>95677</v>
      </c>
      <c r="I2257" t="s">
        <v>30</v>
      </c>
      <c r="J2257" t="s">
        <v>441</v>
      </c>
      <c r="K2257" t="s">
        <v>442</v>
      </c>
      <c r="Q2257">
        <v>0</v>
      </c>
      <c r="R2257">
        <v>0</v>
      </c>
      <c r="S2257">
        <v>0</v>
      </c>
      <c r="T2257" t="s">
        <v>9716</v>
      </c>
    </row>
    <row r="2258" spans="1:20" customFormat="1" ht="15" x14ac:dyDescent="0.25">
      <c r="A2258" t="s">
        <v>35</v>
      </c>
      <c r="B2258" t="s">
        <v>1918</v>
      </c>
      <c r="C2258" t="str">
        <f>"A0189228"</f>
        <v>A0189228</v>
      </c>
      <c r="D2258" t="s">
        <v>9717</v>
      </c>
      <c r="E2258" t="s">
        <v>9718</v>
      </c>
      <c r="F2258" t="s">
        <v>2457</v>
      </c>
      <c r="G2258" t="s">
        <v>81</v>
      </c>
      <c r="H2258">
        <v>32163</v>
      </c>
      <c r="I2258" t="s">
        <v>30</v>
      </c>
      <c r="J2258" t="s">
        <v>441</v>
      </c>
      <c r="K2258" t="s">
        <v>9719</v>
      </c>
      <c r="Q2258">
        <v>0</v>
      </c>
      <c r="R2258">
        <v>0</v>
      </c>
      <c r="S2258">
        <v>0</v>
      </c>
      <c r="T2258" t="s">
        <v>72</v>
      </c>
    </row>
    <row r="2259" spans="1:20" customFormat="1" ht="15" x14ac:dyDescent="0.25">
      <c r="A2259" t="s">
        <v>35</v>
      </c>
      <c r="B2259" t="s">
        <v>2778</v>
      </c>
      <c r="C2259" t="str">
        <f>"A0189227"</f>
        <v>A0189227</v>
      </c>
      <c r="D2259" t="s">
        <v>2778</v>
      </c>
      <c r="E2259" t="s">
        <v>9720</v>
      </c>
      <c r="F2259" t="s">
        <v>3657</v>
      </c>
      <c r="G2259" t="s">
        <v>880</v>
      </c>
      <c r="H2259">
        <v>37919</v>
      </c>
      <c r="I2259" t="s">
        <v>30</v>
      </c>
      <c r="J2259" t="s">
        <v>41</v>
      </c>
      <c r="K2259" t="s">
        <v>290</v>
      </c>
      <c r="Q2259">
        <v>0</v>
      </c>
      <c r="R2259">
        <v>0</v>
      </c>
      <c r="S2259">
        <v>0</v>
      </c>
      <c r="T2259" t="s">
        <v>72</v>
      </c>
    </row>
    <row r="2260" spans="1:20" customFormat="1" ht="15" x14ac:dyDescent="0.25">
      <c r="A2260" t="s">
        <v>35</v>
      </c>
      <c r="B2260" t="s">
        <v>9721</v>
      </c>
      <c r="C2260" t="str">
        <f>"A0189226"</f>
        <v>A0189226</v>
      </c>
      <c r="D2260" t="s">
        <v>9722</v>
      </c>
      <c r="E2260" t="s">
        <v>9723</v>
      </c>
      <c r="F2260" t="s">
        <v>9724</v>
      </c>
      <c r="G2260" t="s">
        <v>71</v>
      </c>
      <c r="H2260">
        <v>53821</v>
      </c>
      <c r="I2260" t="s">
        <v>30</v>
      </c>
      <c r="J2260" t="s">
        <v>41</v>
      </c>
      <c r="K2260" t="s">
        <v>59</v>
      </c>
      <c r="Q2260">
        <v>0</v>
      </c>
      <c r="R2260">
        <v>0</v>
      </c>
      <c r="S2260">
        <v>0</v>
      </c>
      <c r="T2260" t="s">
        <v>9725</v>
      </c>
    </row>
    <row r="2261" spans="1:20" customFormat="1" ht="15" x14ac:dyDescent="0.25">
      <c r="A2261" t="s">
        <v>35</v>
      </c>
      <c r="B2261" t="s">
        <v>9721</v>
      </c>
      <c r="C2261" t="str">
        <f>"A0189225"</f>
        <v>A0189225</v>
      </c>
      <c r="D2261" t="s">
        <v>9726</v>
      </c>
      <c r="E2261" t="s">
        <v>9727</v>
      </c>
      <c r="F2261" t="s">
        <v>9728</v>
      </c>
      <c r="G2261" t="s">
        <v>71</v>
      </c>
      <c r="H2261">
        <v>53821</v>
      </c>
      <c r="I2261" t="s">
        <v>30</v>
      </c>
      <c r="J2261" t="s">
        <v>41</v>
      </c>
      <c r="K2261" t="s">
        <v>482</v>
      </c>
      <c r="Q2261">
        <v>0</v>
      </c>
      <c r="R2261">
        <v>0</v>
      </c>
      <c r="S2261">
        <v>0</v>
      </c>
      <c r="T2261" t="s">
        <v>9725</v>
      </c>
    </row>
    <row r="2262" spans="1:20" customFormat="1" ht="15" x14ac:dyDescent="0.25">
      <c r="A2262" t="s">
        <v>35</v>
      </c>
      <c r="B2262" t="s">
        <v>935</v>
      </c>
      <c r="C2262" t="str">
        <f>"A0189224"</f>
        <v>A0189224</v>
      </c>
      <c r="D2262" t="s">
        <v>9729</v>
      </c>
      <c r="E2262" t="s">
        <v>9730</v>
      </c>
      <c r="F2262" t="s">
        <v>9731</v>
      </c>
      <c r="G2262" t="s">
        <v>76</v>
      </c>
      <c r="H2262">
        <v>98664</v>
      </c>
      <c r="I2262" t="s">
        <v>30</v>
      </c>
      <c r="J2262" t="s">
        <v>41</v>
      </c>
      <c r="K2262" t="s">
        <v>229</v>
      </c>
      <c r="Q2262">
        <v>0</v>
      </c>
      <c r="R2262">
        <v>0</v>
      </c>
      <c r="S2262">
        <v>84</v>
      </c>
      <c r="T2262" t="s">
        <v>9732</v>
      </c>
    </row>
    <row r="2263" spans="1:20" customFormat="1" ht="15" x14ac:dyDescent="0.25">
      <c r="A2263" t="s">
        <v>35</v>
      </c>
      <c r="B2263" t="s">
        <v>4771</v>
      </c>
      <c r="C2263" t="str">
        <f>"A0189223"</f>
        <v>A0189223</v>
      </c>
      <c r="D2263" t="s">
        <v>9733</v>
      </c>
      <c r="E2263" t="s">
        <v>9734</v>
      </c>
      <c r="F2263" t="s">
        <v>9735</v>
      </c>
      <c r="G2263" t="s">
        <v>71</v>
      </c>
      <c r="H2263">
        <v>54303</v>
      </c>
      <c r="I2263" t="s">
        <v>30</v>
      </c>
      <c r="J2263" t="s">
        <v>41</v>
      </c>
      <c r="K2263" t="s">
        <v>456</v>
      </c>
      <c r="Q2263">
        <v>0</v>
      </c>
      <c r="R2263">
        <v>0</v>
      </c>
      <c r="S2263">
        <v>0</v>
      </c>
      <c r="T2263" t="s">
        <v>72</v>
      </c>
    </row>
    <row r="2264" spans="1:20" customFormat="1" ht="15" x14ac:dyDescent="0.25">
      <c r="A2264" t="s">
        <v>35</v>
      </c>
      <c r="B2264" t="s">
        <v>4771</v>
      </c>
      <c r="C2264" t="str">
        <f>"A0189222"</f>
        <v>A0189222</v>
      </c>
      <c r="D2264" t="s">
        <v>9736</v>
      </c>
      <c r="E2264" t="s">
        <v>9737</v>
      </c>
      <c r="F2264" t="s">
        <v>6244</v>
      </c>
      <c r="G2264" t="s">
        <v>110</v>
      </c>
      <c r="H2264">
        <v>93704</v>
      </c>
      <c r="I2264" t="s">
        <v>30</v>
      </c>
      <c r="J2264" t="s">
        <v>41</v>
      </c>
      <c r="K2264" t="s">
        <v>456</v>
      </c>
      <c r="Q2264">
        <v>0</v>
      </c>
      <c r="R2264">
        <v>0</v>
      </c>
      <c r="S2264">
        <v>0</v>
      </c>
      <c r="T2264" t="s">
        <v>72</v>
      </c>
    </row>
    <row r="2265" spans="1:20" customFormat="1" ht="15" x14ac:dyDescent="0.25">
      <c r="A2265" t="s">
        <v>35</v>
      </c>
      <c r="B2265" t="s">
        <v>4771</v>
      </c>
      <c r="C2265" t="str">
        <f>"A0189221"</f>
        <v>A0189221</v>
      </c>
      <c r="D2265" t="s">
        <v>9738</v>
      </c>
      <c r="E2265" t="s">
        <v>9739</v>
      </c>
      <c r="F2265" t="s">
        <v>1031</v>
      </c>
      <c r="G2265" t="s">
        <v>76</v>
      </c>
      <c r="H2265">
        <v>98003</v>
      </c>
      <c r="I2265" t="s">
        <v>30</v>
      </c>
      <c r="J2265" t="s">
        <v>41</v>
      </c>
      <c r="K2265" t="s">
        <v>2463</v>
      </c>
      <c r="Q2265">
        <v>0</v>
      </c>
      <c r="R2265">
        <v>0</v>
      </c>
      <c r="S2265">
        <v>0</v>
      </c>
      <c r="T2265" t="s">
        <v>72</v>
      </c>
    </row>
    <row r="2266" spans="1:20" customFormat="1" ht="15" x14ac:dyDescent="0.25">
      <c r="A2266" t="s">
        <v>35</v>
      </c>
      <c r="B2266" t="s">
        <v>9740</v>
      </c>
      <c r="C2266" t="str">
        <f>"A0189220"</f>
        <v>A0189220</v>
      </c>
      <c r="D2266" t="s">
        <v>9741</v>
      </c>
      <c r="E2266" t="s">
        <v>9742</v>
      </c>
      <c r="F2266" t="s">
        <v>9743</v>
      </c>
      <c r="G2266" t="s">
        <v>65</v>
      </c>
      <c r="H2266">
        <v>43910</v>
      </c>
      <c r="I2266" t="s">
        <v>30</v>
      </c>
      <c r="J2266" t="s">
        <v>41</v>
      </c>
      <c r="K2266" t="s">
        <v>42</v>
      </c>
      <c r="Q2266">
        <v>0</v>
      </c>
      <c r="R2266">
        <v>0</v>
      </c>
      <c r="S2266">
        <v>0</v>
      </c>
      <c r="T2266" t="s">
        <v>9744</v>
      </c>
    </row>
    <row r="2267" spans="1:20" customFormat="1" ht="15" hidden="1" x14ac:dyDescent="0.25">
      <c r="A2267" t="s">
        <v>24</v>
      </c>
      <c r="B2267" t="s">
        <v>2876</v>
      </c>
      <c r="C2267" t="str">
        <f>"A0063072"</f>
        <v>A0063072</v>
      </c>
      <c r="D2267" t="s">
        <v>9745</v>
      </c>
      <c r="E2267" t="s">
        <v>9594</v>
      </c>
      <c r="F2267" t="s">
        <v>9595</v>
      </c>
      <c r="G2267" t="s">
        <v>2206</v>
      </c>
      <c r="H2267" t="s">
        <v>9596</v>
      </c>
      <c r="I2267" t="s">
        <v>1459</v>
      </c>
      <c r="J2267" t="s">
        <v>162</v>
      </c>
      <c r="K2267" t="s">
        <v>3447</v>
      </c>
      <c r="N2267" t="s">
        <v>9746</v>
      </c>
      <c r="Q2267">
        <v>0</v>
      </c>
      <c r="R2267">
        <v>84</v>
      </c>
      <c r="S2267">
        <v>0</v>
      </c>
      <c r="T2267" t="s">
        <v>9747</v>
      </c>
    </row>
    <row r="2268" spans="1:20" customFormat="1" ht="15" hidden="1" x14ac:dyDescent="0.25">
      <c r="A2268" t="s">
        <v>24</v>
      </c>
      <c r="B2268" t="s">
        <v>3840</v>
      </c>
      <c r="C2268" t="str">
        <f>"A0189138"</f>
        <v>A0189138</v>
      </c>
      <c r="D2268" t="s">
        <v>9748</v>
      </c>
      <c r="E2268" t="s">
        <v>9749</v>
      </c>
      <c r="F2268" t="s">
        <v>2408</v>
      </c>
      <c r="G2268" t="s">
        <v>3843</v>
      </c>
      <c r="H2268">
        <v>3650</v>
      </c>
      <c r="I2268" t="s">
        <v>2408</v>
      </c>
      <c r="J2268" t="s">
        <v>687</v>
      </c>
      <c r="K2268" t="s">
        <v>163</v>
      </c>
      <c r="N2268" t="s">
        <v>3844</v>
      </c>
      <c r="Q2268">
        <v>0</v>
      </c>
      <c r="R2268">
        <v>0</v>
      </c>
      <c r="S2268">
        <v>0</v>
      </c>
      <c r="T2268" t="s">
        <v>9750</v>
      </c>
    </row>
    <row r="2269" spans="1:20" customFormat="1" ht="15" hidden="1" x14ac:dyDescent="0.25">
      <c r="A2269" t="s">
        <v>24</v>
      </c>
      <c r="B2269" t="s">
        <v>3840</v>
      </c>
      <c r="C2269" t="str">
        <f>"A0189137"</f>
        <v>A0189137</v>
      </c>
      <c r="D2269" t="s">
        <v>9751</v>
      </c>
      <c r="E2269" t="s">
        <v>9752</v>
      </c>
      <c r="F2269" t="s">
        <v>2408</v>
      </c>
      <c r="G2269" t="s">
        <v>3843</v>
      </c>
      <c r="H2269">
        <v>6700</v>
      </c>
      <c r="I2269" t="s">
        <v>2408</v>
      </c>
      <c r="J2269" t="s">
        <v>687</v>
      </c>
      <c r="K2269" t="s">
        <v>163</v>
      </c>
      <c r="N2269" t="s">
        <v>3844</v>
      </c>
      <c r="Q2269">
        <v>0</v>
      </c>
      <c r="R2269">
        <v>0</v>
      </c>
      <c r="S2269">
        <v>0</v>
      </c>
      <c r="T2269" t="s">
        <v>9753</v>
      </c>
    </row>
    <row r="2270" spans="1:20" customFormat="1" ht="15" hidden="1" x14ac:dyDescent="0.25">
      <c r="A2270" t="s">
        <v>24</v>
      </c>
      <c r="B2270" t="s">
        <v>3840</v>
      </c>
      <c r="C2270" t="str">
        <f>"A0189136"</f>
        <v>A0189136</v>
      </c>
      <c r="D2270" t="s">
        <v>9754</v>
      </c>
      <c r="E2270" t="s">
        <v>9755</v>
      </c>
      <c r="F2270" t="s">
        <v>2408</v>
      </c>
      <c r="G2270" t="s">
        <v>3843</v>
      </c>
      <c r="H2270">
        <v>11000</v>
      </c>
      <c r="I2270" t="s">
        <v>2408</v>
      </c>
      <c r="J2270" t="s">
        <v>687</v>
      </c>
      <c r="K2270" t="s">
        <v>163</v>
      </c>
      <c r="N2270" t="s">
        <v>3844</v>
      </c>
      <c r="Q2270">
        <v>0</v>
      </c>
      <c r="R2270">
        <v>0</v>
      </c>
      <c r="S2270">
        <v>0</v>
      </c>
      <c r="T2270" t="s">
        <v>9753</v>
      </c>
    </row>
    <row r="2271" spans="1:20" customFormat="1" ht="15" hidden="1" x14ac:dyDescent="0.25">
      <c r="A2271" t="s">
        <v>24</v>
      </c>
      <c r="B2271" t="s">
        <v>3840</v>
      </c>
      <c r="C2271" t="str">
        <f>"A0189135"</f>
        <v>A0189135</v>
      </c>
      <c r="D2271" t="s">
        <v>9756</v>
      </c>
      <c r="E2271" t="s">
        <v>9757</v>
      </c>
      <c r="F2271" t="s">
        <v>2408</v>
      </c>
      <c r="G2271" t="s">
        <v>3843</v>
      </c>
      <c r="H2271">
        <v>3100</v>
      </c>
      <c r="I2271" t="s">
        <v>2408</v>
      </c>
      <c r="J2271" t="s">
        <v>687</v>
      </c>
      <c r="K2271" t="s">
        <v>163</v>
      </c>
      <c r="N2271" t="s">
        <v>3844</v>
      </c>
      <c r="Q2271">
        <v>0</v>
      </c>
      <c r="R2271">
        <v>0</v>
      </c>
      <c r="S2271">
        <v>0</v>
      </c>
      <c r="T2271" t="s">
        <v>9753</v>
      </c>
    </row>
    <row r="2272" spans="1:20" customFormat="1" ht="15" hidden="1" x14ac:dyDescent="0.25">
      <c r="A2272" t="s">
        <v>24</v>
      </c>
      <c r="B2272" t="s">
        <v>675</v>
      </c>
      <c r="C2272" t="str">
        <f>"A0189134"</f>
        <v>A0189134</v>
      </c>
      <c r="D2272" t="s">
        <v>9758</v>
      </c>
      <c r="E2272" t="s">
        <v>9759</v>
      </c>
      <c r="F2272" t="s">
        <v>9760</v>
      </c>
      <c r="G2272" t="s">
        <v>5862</v>
      </c>
      <c r="H2272">
        <v>63734</v>
      </c>
      <c r="I2272" t="s">
        <v>2408</v>
      </c>
      <c r="J2272" t="s">
        <v>162</v>
      </c>
      <c r="K2272" t="s">
        <v>8834</v>
      </c>
      <c r="N2272" t="s">
        <v>9761</v>
      </c>
      <c r="Q2272">
        <v>0</v>
      </c>
      <c r="R2272">
        <v>300</v>
      </c>
      <c r="S2272">
        <v>0</v>
      </c>
      <c r="T2272" t="s">
        <v>9762</v>
      </c>
    </row>
    <row r="2273" spans="1:20" customFormat="1" ht="15" x14ac:dyDescent="0.25">
      <c r="A2273" t="s">
        <v>24</v>
      </c>
      <c r="B2273" t="s">
        <v>2387</v>
      </c>
      <c r="C2273" t="str">
        <f>"A0095613"</f>
        <v>A0095613</v>
      </c>
      <c r="D2273" t="s">
        <v>54898</v>
      </c>
      <c r="E2273" t="s">
        <v>54899</v>
      </c>
      <c r="F2273" t="s">
        <v>845</v>
      </c>
      <c r="G2273" t="s">
        <v>846</v>
      </c>
      <c r="H2273">
        <v>30303</v>
      </c>
      <c r="I2273" t="s">
        <v>30</v>
      </c>
      <c r="J2273" t="s">
        <v>162</v>
      </c>
      <c r="K2273" t="s">
        <v>3447</v>
      </c>
      <c r="N2273" t="s">
        <v>54900</v>
      </c>
      <c r="O2273" t="s">
        <v>54901</v>
      </c>
      <c r="Q2273">
        <v>0</v>
      </c>
      <c r="R2273">
        <v>127</v>
      </c>
      <c r="S2273">
        <v>0</v>
      </c>
      <c r="T2273" t="s">
        <v>54902</v>
      </c>
    </row>
    <row r="2274" spans="1:20" customFormat="1" ht="15" x14ac:dyDescent="0.25">
      <c r="A2274" t="s">
        <v>24</v>
      </c>
      <c r="B2274" t="s">
        <v>193</v>
      </c>
      <c r="C2274" t="str">
        <f>"A0149418"</f>
        <v>A0149418</v>
      </c>
      <c r="D2274" t="s">
        <v>54957</v>
      </c>
      <c r="E2274" t="s">
        <v>54958</v>
      </c>
      <c r="F2274" t="s">
        <v>54959</v>
      </c>
      <c r="G2274" t="s">
        <v>71</v>
      </c>
      <c r="H2274">
        <v>53147</v>
      </c>
      <c r="I2274" t="s">
        <v>30</v>
      </c>
      <c r="J2274" t="s">
        <v>162</v>
      </c>
      <c r="K2274" t="s">
        <v>163</v>
      </c>
      <c r="Q2274">
        <v>0</v>
      </c>
      <c r="R2274">
        <v>222</v>
      </c>
      <c r="S2274">
        <v>0</v>
      </c>
      <c r="T2274" t="s">
        <v>54960</v>
      </c>
    </row>
    <row r="2275" spans="1:20" customFormat="1" ht="15" x14ac:dyDescent="0.25">
      <c r="A2275" t="s">
        <v>35</v>
      </c>
      <c r="B2275" t="s">
        <v>61</v>
      </c>
      <c r="C2275" t="str">
        <f>"A0126849"</f>
        <v>A0126849</v>
      </c>
      <c r="D2275" t="s">
        <v>9772</v>
      </c>
      <c r="E2275" t="s">
        <v>9773</v>
      </c>
      <c r="F2275" t="s">
        <v>102</v>
      </c>
      <c r="G2275" t="s">
        <v>103</v>
      </c>
      <c r="H2275">
        <v>15227</v>
      </c>
      <c r="I2275" t="s">
        <v>30</v>
      </c>
      <c r="J2275" t="s">
        <v>41</v>
      </c>
      <c r="K2275" t="s">
        <v>59</v>
      </c>
      <c r="Q2275">
        <v>0</v>
      </c>
      <c r="R2275">
        <v>65</v>
      </c>
      <c r="S2275">
        <v>65</v>
      </c>
      <c r="T2275" t="s">
        <v>9774</v>
      </c>
    </row>
    <row r="2276" spans="1:20" customFormat="1" ht="15" x14ac:dyDescent="0.25">
      <c r="A2276" t="s">
        <v>35</v>
      </c>
      <c r="B2276" t="s">
        <v>9775</v>
      </c>
      <c r="C2276" t="str">
        <f>"A0125543"</f>
        <v>A0125543</v>
      </c>
      <c r="D2276" t="s">
        <v>9776</v>
      </c>
      <c r="E2276" t="s">
        <v>9777</v>
      </c>
      <c r="F2276" t="s">
        <v>46</v>
      </c>
      <c r="G2276" t="s">
        <v>47</v>
      </c>
      <c r="H2276">
        <v>97471</v>
      </c>
      <c r="I2276" t="s">
        <v>30</v>
      </c>
      <c r="J2276" t="s">
        <v>41</v>
      </c>
      <c r="K2276" t="s">
        <v>229</v>
      </c>
      <c r="Q2276">
        <v>0</v>
      </c>
      <c r="R2276">
        <v>118</v>
      </c>
      <c r="S2276">
        <v>118</v>
      </c>
      <c r="T2276" t="s">
        <v>9778</v>
      </c>
    </row>
    <row r="2277" spans="1:20" customFormat="1" ht="15" x14ac:dyDescent="0.25">
      <c r="A2277" t="s">
        <v>35</v>
      </c>
      <c r="B2277" t="s">
        <v>9775</v>
      </c>
      <c r="C2277" t="str">
        <f>"A0125542"</f>
        <v>A0125542</v>
      </c>
      <c r="D2277" t="s">
        <v>9779</v>
      </c>
      <c r="E2277" t="s">
        <v>9780</v>
      </c>
      <c r="F2277" t="s">
        <v>46</v>
      </c>
      <c r="G2277" t="s">
        <v>47</v>
      </c>
      <c r="H2277">
        <v>97471</v>
      </c>
      <c r="I2277" t="s">
        <v>30</v>
      </c>
      <c r="J2277" t="s">
        <v>41</v>
      </c>
      <c r="K2277" t="s">
        <v>229</v>
      </c>
      <c r="Q2277">
        <v>0</v>
      </c>
      <c r="R2277">
        <v>121</v>
      </c>
      <c r="S2277">
        <v>121</v>
      </c>
      <c r="T2277" t="s">
        <v>9781</v>
      </c>
    </row>
    <row r="2278" spans="1:20" customFormat="1" ht="15" x14ac:dyDescent="0.25">
      <c r="A2278" t="s">
        <v>35</v>
      </c>
      <c r="B2278" t="s">
        <v>9775</v>
      </c>
      <c r="C2278" t="str">
        <f>"A0125541"</f>
        <v>A0125541</v>
      </c>
      <c r="D2278" t="s">
        <v>9782</v>
      </c>
      <c r="E2278" t="s">
        <v>9783</v>
      </c>
      <c r="F2278" t="s">
        <v>3744</v>
      </c>
      <c r="G2278" t="s">
        <v>47</v>
      </c>
      <c r="H2278">
        <v>97504</v>
      </c>
      <c r="I2278" t="s">
        <v>30</v>
      </c>
      <c r="J2278" t="s">
        <v>41</v>
      </c>
      <c r="K2278" t="s">
        <v>229</v>
      </c>
      <c r="Q2278">
        <v>0</v>
      </c>
      <c r="R2278">
        <v>87</v>
      </c>
      <c r="S2278">
        <v>87</v>
      </c>
      <c r="T2278" t="s">
        <v>9784</v>
      </c>
    </row>
    <row r="2279" spans="1:20" customFormat="1" ht="15" x14ac:dyDescent="0.25">
      <c r="A2279" t="s">
        <v>35</v>
      </c>
      <c r="B2279" t="s">
        <v>9775</v>
      </c>
      <c r="C2279" t="str">
        <f>"A0125540"</f>
        <v>A0125540</v>
      </c>
      <c r="D2279" t="s">
        <v>9785</v>
      </c>
      <c r="E2279" t="s">
        <v>9786</v>
      </c>
      <c r="F2279" t="s">
        <v>9787</v>
      </c>
      <c r="G2279" t="s">
        <v>47</v>
      </c>
      <c r="H2279">
        <v>97526</v>
      </c>
      <c r="I2279" t="s">
        <v>30</v>
      </c>
      <c r="J2279" t="s">
        <v>41</v>
      </c>
      <c r="K2279" t="s">
        <v>229</v>
      </c>
      <c r="Q2279">
        <v>0</v>
      </c>
      <c r="R2279">
        <v>145</v>
      </c>
      <c r="S2279">
        <v>145</v>
      </c>
      <c r="T2279" t="s">
        <v>9788</v>
      </c>
    </row>
    <row r="2280" spans="1:20" customFormat="1" ht="15" x14ac:dyDescent="0.25">
      <c r="A2280" t="s">
        <v>35</v>
      </c>
      <c r="B2280" t="s">
        <v>9775</v>
      </c>
      <c r="C2280" t="str">
        <f>"A0125539"</f>
        <v>A0125539</v>
      </c>
      <c r="D2280" t="s">
        <v>9789</v>
      </c>
      <c r="E2280" t="s">
        <v>9790</v>
      </c>
      <c r="F2280" t="s">
        <v>9791</v>
      </c>
      <c r="G2280" t="s">
        <v>47</v>
      </c>
      <c r="H2280">
        <v>97403</v>
      </c>
      <c r="I2280" t="s">
        <v>30</v>
      </c>
      <c r="J2280" t="s">
        <v>41</v>
      </c>
      <c r="K2280" t="s">
        <v>229</v>
      </c>
      <c r="Q2280">
        <v>0</v>
      </c>
      <c r="R2280">
        <v>110</v>
      </c>
      <c r="S2280">
        <v>110</v>
      </c>
      <c r="T2280" t="s">
        <v>9792</v>
      </c>
    </row>
    <row r="2281" spans="1:20" customFormat="1" ht="15" x14ac:dyDescent="0.25">
      <c r="A2281" t="s">
        <v>35</v>
      </c>
      <c r="B2281" t="s">
        <v>9775</v>
      </c>
      <c r="C2281" t="str">
        <f>"A0125538"</f>
        <v>A0125538</v>
      </c>
      <c r="D2281" t="s">
        <v>9793</v>
      </c>
      <c r="E2281" t="s">
        <v>9794</v>
      </c>
      <c r="F2281" t="s">
        <v>9787</v>
      </c>
      <c r="G2281" t="s">
        <v>47</v>
      </c>
      <c r="H2281">
        <v>97526</v>
      </c>
      <c r="I2281" t="s">
        <v>30</v>
      </c>
      <c r="J2281" t="s">
        <v>41</v>
      </c>
      <c r="K2281" t="s">
        <v>229</v>
      </c>
      <c r="Q2281">
        <v>0</v>
      </c>
      <c r="R2281">
        <v>119</v>
      </c>
      <c r="S2281">
        <v>119</v>
      </c>
      <c r="T2281" t="s">
        <v>9795</v>
      </c>
    </row>
    <row r="2282" spans="1:20" customFormat="1" ht="15" x14ac:dyDescent="0.25">
      <c r="A2282" t="s">
        <v>35</v>
      </c>
      <c r="B2282" t="s">
        <v>9775</v>
      </c>
      <c r="C2282" t="str">
        <f>"A0125537"</f>
        <v>A0125537</v>
      </c>
      <c r="D2282" t="s">
        <v>9796</v>
      </c>
      <c r="E2282" t="s">
        <v>9797</v>
      </c>
      <c r="F2282" t="s">
        <v>9791</v>
      </c>
      <c r="G2282" t="s">
        <v>47</v>
      </c>
      <c r="H2282">
        <v>97405</v>
      </c>
      <c r="I2282" t="s">
        <v>30</v>
      </c>
      <c r="J2282" t="s">
        <v>41</v>
      </c>
      <c r="K2282" t="s">
        <v>229</v>
      </c>
      <c r="Q2282">
        <v>0</v>
      </c>
      <c r="R2282">
        <v>83</v>
      </c>
      <c r="S2282">
        <v>83</v>
      </c>
      <c r="T2282" t="s">
        <v>9798</v>
      </c>
    </row>
    <row r="2283" spans="1:20" customFormat="1" ht="15" x14ac:dyDescent="0.25">
      <c r="A2283" t="s">
        <v>35</v>
      </c>
      <c r="B2283" t="s">
        <v>9775</v>
      </c>
      <c r="C2283" t="str">
        <f>"A0125544"</f>
        <v>A0125544</v>
      </c>
      <c r="D2283" t="s">
        <v>9799</v>
      </c>
      <c r="E2283" t="s">
        <v>9800</v>
      </c>
      <c r="F2283" t="s">
        <v>9801</v>
      </c>
      <c r="G2283" t="s">
        <v>47</v>
      </c>
      <c r="H2283">
        <v>97071</v>
      </c>
      <c r="I2283" t="s">
        <v>30</v>
      </c>
      <c r="J2283" t="s">
        <v>41</v>
      </c>
      <c r="K2283" t="s">
        <v>229</v>
      </c>
      <c r="Q2283">
        <v>0</v>
      </c>
      <c r="R2283">
        <v>80</v>
      </c>
      <c r="S2283">
        <v>80</v>
      </c>
      <c r="T2283" t="s">
        <v>9802</v>
      </c>
    </row>
    <row r="2284" spans="1:20" customFormat="1" ht="15" x14ac:dyDescent="0.25">
      <c r="A2284" t="s">
        <v>35</v>
      </c>
      <c r="B2284" t="s">
        <v>9775</v>
      </c>
      <c r="C2284" t="str">
        <f>"A0125536"</f>
        <v>A0125536</v>
      </c>
      <c r="D2284" t="s">
        <v>9803</v>
      </c>
      <c r="E2284" t="s">
        <v>9804</v>
      </c>
      <c r="F2284" t="s">
        <v>9791</v>
      </c>
      <c r="G2284" t="s">
        <v>47</v>
      </c>
      <c r="H2284">
        <v>97401</v>
      </c>
      <c r="I2284" t="s">
        <v>30</v>
      </c>
      <c r="J2284" t="s">
        <v>41</v>
      </c>
      <c r="K2284" t="s">
        <v>229</v>
      </c>
      <c r="Q2284">
        <v>0</v>
      </c>
      <c r="R2284">
        <v>110</v>
      </c>
      <c r="S2284">
        <v>110</v>
      </c>
      <c r="T2284" t="s">
        <v>9805</v>
      </c>
    </row>
    <row r="2285" spans="1:20" customFormat="1" ht="15" x14ac:dyDescent="0.25">
      <c r="A2285" t="s">
        <v>35</v>
      </c>
      <c r="B2285" t="s">
        <v>9775</v>
      </c>
      <c r="C2285" t="str">
        <f>"A0125535"</f>
        <v>A0125535</v>
      </c>
      <c r="D2285" t="s">
        <v>9806</v>
      </c>
      <c r="E2285" t="s">
        <v>9807</v>
      </c>
      <c r="F2285" t="s">
        <v>9808</v>
      </c>
      <c r="G2285" t="s">
        <v>47</v>
      </c>
      <c r="H2285">
        <v>97330</v>
      </c>
      <c r="I2285" t="s">
        <v>30</v>
      </c>
      <c r="J2285" t="s">
        <v>41</v>
      </c>
      <c r="K2285" t="s">
        <v>229</v>
      </c>
      <c r="Q2285">
        <v>0</v>
      </c>
      <c r="R2285">
        <v>135</v>
      </c>
      <c r="S2285">
        <v>135</v>
      </c>
      <c r="T2285" t="s">
        <v>9809</v>
      </c>
    </row>
    <row r="2286" spans="1:20" customFormat="1" ht="15" x14ac:dyDescent="0.25">
      <c r="A2286" t="s">
        <v>24</v>
      </c>
      <c r="B2286" t="s">
        <v>994</v>
      </c>
      <c r="C2286" t="str">
        <f>"A0165212"</f>
        <v>A0165212</v>
      </c>
      <c r="D2286" t="s">
        <v>9810</v>
      </c>
      <c r="E2286" t="s">
        <v>9811</v>
      </c>
      <c r="F2286" t="s">
        <v>9812</v>
      </c>
      <c r="G2286" t="s">
        <v>103</v>
      </c>
      <c r="H2286">
        <v>19102</v>
      </c>
      <c r="I2286" t="s">
        <v>30</v>
      </c>
      <c r="J2286" t="s">
        <v>1004</v>
      </c>
      <c r="K2286" t="s">
        <v>163</v>
      </c>
      <c r="N2286" t="s">
        <v>9813</v>
      </c>
      <c r="Q2286">
        <v>0</v>
      </c>
      <c r="R2286">
        <v>0</v>
      </c>
      <c r="S2286">
        <v>0</v>
      </c>
      <c r="T2286" t="s">
        <v>9814</v>
      </c>
    </row>
    <row r="2287" spans="1:20" customFormat="1" ht="15" x14ac:dyDescent="0.25">
      <c r="A2287" t="s">
        <v>24</v>
      </c>
      <c r="B2287" t="s">
        <v>2340</v>
      </c>
      <c r="C2287" t="str">
        <f>"A0189054"</f>
        <v>A0189054</v>
      </c>
      <c r="D2287" t="s">
        <v>9815</v>
      </c>
      <c r="E2287" t="s">
        <v>9816</v>
      </c>
      <c r="F2287" t="s">
        <v>1889</v>
      </c>
      <c r="G2287" t="s">
        <v>81</v>
      </c>
      <c r="H2287">
        <v>33126</v>
      </c>
      <c r="I2287" t="s">
        <v>30</v>
      </c>
      <c r="J2287" t="s">
        <v>31</v>
      </c>
      <c r="K2287" t="s">
        <v>261</v>
      </c>
      <c r="N2287" t="s">
        <v>9817</v>
      </c>
      <c r="O2287" t="s">
        <v>9818</v>
      </c>
      <c r="Q2287">
        <v>0</v>
      </c>
      <c r="R2287">
        <v>218</v>
      </c>
      <c r="S2287">
        <v>0</v>
      </c>
      <c r="T2287" t="s">
        <v>9819</v>
      </c>
    </row>
    <row r="2288" spans="1:20" customFormat="1" ht="15" x14ac:dyDescent="0.25">
      <c r="A2288" t="s">
        <v>24</v>
      </c>
      <c r="B2288" t="s">
        <v>252</v>
      </c>
      <c r="C2288" t="str">
        <f>"A0055055"</f>
        <v>A0055055</v>
      </c>
      <c r="D2288" t="s">
        <v>9820</v>
      </c>
      <c r="E2288" t="s">
        <v>9821</v>
      </c>
      <c r="F2288" t="s">
        <v>9822</v>
      </c>
      <c r="G2288" t="s">
        <v>58</v>
      </c>
      <c r="H2288">
        <v>29708</v>
      </c>
      <c r="I2288" t="s">
        <v>30</v>
      </c>
      <c r="J2288" t="s">
        <v>145</v>
      </c>
      <c r="K2288" t="s">
        <v>302</v>
      </c>
      <c r="N2288" t="s">
        <v>9823</v>
      </c>
      <c r="Q2288">
        <v>0</v>
      </c>
      <c r="R2288">
        <v>80</v>
      </c>
      <c r="S2288">
        <v>0</v>
      </c>
      <c r="T2288" t="s">
        <v>9824</v>
      </c>
    </row>
    <row r="2289" spans="1:20" customFormat="1" ht="15" x14ac:dyDescent="0.25">
      <c r="A2289" t="s">
        <v>24</v>
      </c>
      <c r="B2289" t="s">
        <v>252</v>
      </c>
      <c r="C2289" t="str">
        <f>"A0189011"</f>
        <v>A0189011</v>
      </c>
      <c r="D2289" t="s">
        <v>9825</v>
      </c>
      <c r="E2289" t="s">
        <v>9826</v>
      </c>
      <c r="F2289" t="s">
        <v>242</v>
      </c>
      <c r="G2289" t="s">
        <v>214</v>
      </c>
      <c r="H2289">
        <v>28262</v>
      </c>
      <c r="I2289" t="s">
        <v>30</v>
      </c>
      <c r="J2289" t="s">
        <v>145</v>
      </c>
      <c r="K2289" t="s">
        <v>4520</v>
      </c>
      <c r="N2289" t="s">
        <v>9827</v>
      </c>
      <c r="Q2289">
        <v>0</v>
      </c>
      <c r="R2289">
        <v>97</v>
      </c>
      <c r="S2289">
        <v>0</v>
      </c>
      <c r="T2289" t="s">
        <v>9828</v>
      </c>
    </row>
    <row r="2290" spans="1:20" customFormat="1" ht="15" x14ac:dyDescent="0.25">
      <c r="A2290" t="s">
        <v>24</v>
      </c>
      <c r="B2290" t="s">
        <v>252</v>
      </c>
      <c r="C2290" t="str">
        <f>"A0071668"</f>
        <v>A0071668</v>
      </c>
      <c r="D2290" t="s">
        <v>9829</v>
      </c>
      <c r="E2290" t="s">
        <v>9830</v>
      </c>
      <c r="F2290" t="s">
        <v>9831</v>
      </c>
      <c r="G2290" t="s">
        <v>214</v>
      </c>
      <c r="H2290">
        <v>28078</v>
      </c>
      <c r="I2290" t="s">
        <v>30</v>
      </c>
      <c r="J2290" t="s">
        <v>31</v>
      </c>
      <c r="K2290" t="s">
        <v>3155</v>
      </c>
      <c r="N2290" t="s">
        <v>9832</v>
      </c>
      <c r="Q2290">
        <v>0</v>
      </c>
      <c r="R2290">
        <v>77</v>
      </c>
      <c r="S2290">
        <v>0</v>
      </c>
      <c r="T2290" t="s">
        <v>9833</v>
      </c>
    </row>
    <row r="2291" spans="1:20" customFormat="1" ht="15" x14ac:dyDescent="0.25">
      <c r="A2291" t="s">
        <v>35</v>
      </c>
      <c r="B2291" t="s">
        <v>437</v>
      </c>
      <c r="C2291" t="str">
        <f>"A0133888"</f>
        <v>A0133888</v>
      </c>
      <c r="D2291" t="s">
        <v>9834</v>
      </c>
      <c r="E2291" t="s">
        <v>9835</v>
      </c>
      <c r="F2291" t="s">
        <v>9836</v>
      </c>
      <c r="G2291" t="s">
        <v>110</v>
      </c>
      <c r="H2291">
        <v>911010000</v>
      </c>
      <c r="I2291" t="s">
        <v>30</v>
      </c>
      <c r="J2291" t="s">
        <v>441</v>
      </c>
      <c r="K2291" t="s">
        <v>442</v>
      </c>
      <c r="Q2291">
        <v>0</v>
      </c>
      <c r="R2291">
        <v>0</v>
      </c>
      <c r="S2291">
        <v>0</v>
      </c>
      <c r="T2291" t="s">
        <v>9837</v>
      </c>
    </row>
    <row r="2292" spans="1:20" hidden="1" x14ac:dyDescent="0.25">
      <c r="A2292" s="3" t="s">
        <v>24</v>
      </c>
      <c r="B2292" s="3" t="s">
        <v>8771</v>
      </c>
      <c r="C2292" s="3" t="str">
        <f>"A0094205"</f>
        <v>A0094205</v>
      </c>
      <c r="D2292" s="3" t="s">
        <v>9838</v>
      </c>
      <c r="E2292" s="3" t="s">
        <v>9839</v>
      </c>
      <c r="F2292" s="3" t="s">
        <v>5142</v>
      </c>
      <c r="G2292" s="3" t="s">
        <v>5143</v>
      </c>
      <c r="I2292" s="3" t="s">
        <v>5145</v>
      </c>
      <c r="J2292" s="3" t="s">
        <v>206</v>
      </c>
      <c r="K2292" s="3" t="s">
        <v>8779</v>
      </c>
      <c r="N2292" s="3" t="s">
        <v>9840</v>
      </c>
      <c r="O2292" s="3" t="s">
        <v>9841</v>
      </c>
      <c r="Q2292" s="3">
        <v>0</v>
      </c>
      <c r="R2292" s="3">
        <v>299</v>
      </c>
      <c r="S2292" s="3">
        <v>0</v>
      </c>
      <c r="T2292" s="3" t="s">
        <v>9842</v>
      </c>
    </row>
    <row r="2293" spans="1:20" customFormat="1" ht="15" x14ac:dyDescent="0.25">
      <c r="A2293" t="s">
        <v>24</v>
      </c>
      <c r="B2293" t="s">
        <v>140</v>
      </c>
      <c r="C2293" t="str">
        <f>"A0100533"</f>
        <v>A0100533</v>
      </c>
      <c r="D2293" t="s">
        <v>54961</v>
      </c>
      <c r="E2293" t="s">
        <v>54962</v>
      </c>
      <c r="F2293" t="s">
        <v>54963</v>
      </c>
      <c r="G2293" t="s">
        <v>110</v>
      </c>
      <c r="H2293">
        <v>95683</v>
      </c>
      <c r="I2293" t="s">
        <v>30</v>
      </c>
      <c r="J2293" t="s">
        <v>162</v>
      </c>
      <c r="K2293" t="s">
        <v>163</v>
      </c>
      <c r="N2293" t="s">
        <v>5124</v>
      </c>
      <c r="Q2293">
        <v>0</v>
      </c>
      <c r="R2293">
        <v>83</v>
      </c>
      <c r="S2293">
        <v>0</v>
      </c>
      <c r="T2293" t="s">
        <v>54964</v>
      </c>
    </row>
    <row r="2294" spans="1:20" customFormat="1" ht="15" x14ac:dyDescent="0.25">
      <c r="A2294" t="s">
        <v>24</v>
      </c>
      <c r="B2294" t="s">
        <v>193</v>
      </c>
      <c r="C2294" t="str">
        <f>"A0091010"</f>
        <v>A0091010</v>
      </c>
      <c r="D2294" t="s">
        <v>9849</v>
      </c>
      <c r="E2294" t="s">
        <v>9850</v>
      </c>
      <c r="F2294" t="s">
        <v>2443</v>
      </c>
      <c r="G2294" t="s">
        <v>52</v>
      </c>
      <c r="H2294">
        <v>75766</v>
      </c>
      <c r="I2294" t="s">
        <v>30</v>
      </c>
      <c r="J2294" t="s">
        <v>31</v>
      </c>
      <c r="K2294" t="s">
        <v>321</v>
      </c>
      <c r="N2294" t="s">
        <v>5573</v>
      </c>
      <c r="Q2294">
        <v>0</v>
      </c>
      <c r="R2294">
        <v>62</v>
      </c>
      <c r="S2294">
        <v>0</v>
      </c>
      <c r="T2294" t="s">
        <v>9851</v>
      </c>
    </row>
    <row r="2295" spans="1:20" customFormat="1" ht="15" x14ac:dyDescent="0.25">
      <c r="A2295" t="s">
        <v>24</v>
      </c>
      <c r="B2295" t="s">
        <v>1020</v>
      </c>
      <c r="C2295" t="str">
        <f>"A0166585"</f>
        <v>A0166585</v>
      </c>
      <c r="D2295" t="s">
        <v>54992</v>
      </c>
      <c r="E2295" t="s">
        <v>54993</v>
      </c>
      <c r="F2295" t="s">
        <v>54994</v>
      </c>
      <c r="G2295" t="s">
        <v>81</v>
      </c>
      <c r="H2295">
        <v>33716</v>
      </c>
      <c r="I2295" t="s">
        <v>30</v>
      </c>
      <c r="J2295" t="s">
        <v>162</v>
      </c>
      <c r="K2295" t="s">
        <v>4809</v>
      </c>
      <c r="N2295" t="s">
        <v>54995</v>
      </c>
      <c r="Q2295">
        <v>0</v>
      </c>
      <c r="R2295">
        <v>227</v>
      </c>
      <c r="S2295">
        <v>0</v>
      </c>
      <c r="T2295" t="s">
        <v>54996</v>
      </c>
    </row>
    <row r="2296" spans="1:20" customFormat="1" ht="15" x14ac:dyDescent="0.25">
      <c r="A2296" t="s">
        <v>24</v>
      </c>
      <c r="B2296" t="s">
        <v>193</v>
      </c>
      <c r="C2296" t="str">
        <f>"34253"</f>
        <v>34253</v>
      </c>
      <c r="D2296" t="s">
        <v>55009</v>
      </c>
      <c r="E2296" t="s">
        <v>55010</v>
      </c>
      <c r="F2296" t="s">
        <v>55011</v>
      </c>
      <c r="G2296" t="s">
        <v>65</v>
      </c>
      <c r="H2296">
        <v>44135</v>
      </c>
      <c r="I2296" t="s">
        <v>30</v>
      </c>
      <c r="J2296" t="s">
        <v>162</v>
      </c>
      <c r="K2296" t="s">
        <v>163</v>
      </c>
      <c r="N2296" t="s">
        <v>55012</v>
      </c>
      <c r="Q2296">
        <v>0</v>
      </c>
      <c r="R2296">
        <v>375</v>
      </c>
      <c r="S2296">
        <v>0</v>
      </c>
      <c r="T2296" t="s">
        <v>55013</v>
      </c>
    </row>
    <row r="2297" spans="1:20" customFormat="1" ht="15" x14ac:dyDescent="0.25">
      <c r="A2297" t="s">
        <v>24</v>
      </c>
      <c r="B2297" t="s">
        <v>3159</v>
      </c>
      <c r="C2297" t="str">
        <f>"A0067073"</f>
        <v>A0067073</v>
      </c>
      <c r="D2297" t="s">
        <v>9861</v>
      </c>
      <c r="E2297" t="s">
        <v>9862</v>
      </c>
      <c r="F2297" t="s">
        <v>8822</v>
      </c>
      <c r="G2297" t="s">
        <v>81</v>
      </c>
      <c r="H2297">
        <v>32771</v>
      </c>
      <c r="I2297" t="s">
        <v>30</v>
      </c>
      <c r="J2297" t="s">
        <v>31</v>
      </c>
      <c r="K2297" t="s">
        <v>296</v>
      </c>
      <c r="N2297" t="s">
        <v>9863</v>
      </c>
      <c r="Q2297">
        <v>0</v>
      </c>
      <c r="R2297">
        <v>107</v>
      </c>
      <c r="S2297">
        <v>0</v>
      </c>
      <c r="T2297" t="s">
        <v>9864</v>
      </c>
    </row>
    <row r="2298" spans="1:20" customFormat="1" ht="15" x14ac:dyDescent="0.25">
      <c r="A2298" t="s">
        <v>35</v>
      </c>
      <c r="B2298" t="s">
        <v>61</v>
      </c>
      <c r="C2298" t="str">
        <f>"A0151205"</f>
        <v>A0151205</v>
      </c>
      <c r="D2298" t="s">
        <v>9865</v>
      </c>
      <c r="E2298" t="s">
        <v>9866</v>
      </c>
      <c r="F2298" t="s">
        <v>9180</v>
      </c>
      <c r="G2298" t="s">
        <v>81</v>
      </c>
      <c r="H2298">
        <v>33304</v>
      </c>
      <c r="I2298" t="s">
        <v>30</v>
      </c>
      <c r="J2298" t="s">
        <v>41</v>
      </c>
      <c r="K2298" t="s">
        <v>229</v>
      </c>
      <c r="Q2298">
        <v>0</v>
      </c>
      <c r="R2298">
        <v>0</v>
      </c>
      <c r="S2298">
        <v>0</v>
      </c>
      <c r="T2298" t="s">
        <v>9867</v>
      </c>
    </row>
    <row r="2299" spans="1:20" customFormat="1" ht="15" x14ac:dyDescent="0.25">
      <c r="A2299" t="s">
        <v>35</v>
      </c>
      <c r="B2299" t="s">
        <v>9212</v>
      </c>
      <c r="C2299" t="str">
        <f>"A0121920"</f>
        <v>A0121920</v>
      </c>
      <c r="D2299" t="s">
        <v>9868</v>
      </c>
      <c r="E2299" t="s">
        <v>9869</v>
      </c>
      <c r="F2299" t="s">
        <v>6244</v>
      </c>
      <c r="G2299" t="s">
        <v>110</v>
      </c>
      <c r="H2299">
        <v>93706</v>
      </c>
      <c r="I2299" t="s">
        <v>30</v>
      </c>
      <c r="J2299" t="s">
        <v>41</v>
      </c>
      <c r="K2299" t="s">
        <v>229</v>
      </c>
      <c r="Q2299">
        <v>0</v>
      </c>
      <c r="R2299">
        <v>59</v>
      </c>
      <c r="S2299">
        <v>58</v>
      </c>
      <c r="T2299" t="s">
        <v>9870</v>
      </c>
    </row>
    <row r="2300" spans="1:20" customFormat="1" ht="15" x14ac:dyDescent="0.25">
      <c r="A2300" t="s">
        <v>35</v>
      </c>
      <c r="B2300" t="s">
        <v>9212</v>
      </c>
      <c r="C2300" t="str">
        <f>"A0121922"</f>
        <v>A0121922</v>
      </c>
      <c r="D2300" t="s">
        <v>9871</v>
      </c>
      <c r="E2300" t="s">
        <v>9872</v>
      </c>
      <c r="F2300" t="s">
        <v>9873</v>
      </c>
      <c r="G2300" t="s">
        <v>110</v>
      </c>
      <c r="H2300">
        <v>93612</v>
      </c>
      <c r="I2300" t="s">
        <v>30</v>
      </c>
      <c r="J2300" t="s">
        <v>41</v>
      </c>
      <c r="K2300" t="s">
        <v>229</v>
      </c>
      <c r="Q2300">
        <v>0</v>
      </c>
      <c r="R2300">
        <v>57</v>
      </c>
      <c r="S2300">
        <v>57</v>
      </c>
      <c r="T2300" t="s">
        <v>9874</v>
      </c>
    </row>
    <row r="2301" spans="1:20" customFormat="1" ht="15" x14ac:dyDescent="0.25">
      <c r="A2301" t="s">
        <v>35</v>
      </c>
      <c r="B2301" t="s">
        <v>9212</v>
      </c>
      <c r="C2301" t="str">
        <f>"A0121921"</f>
        <v>A0121921</v>
      </c>
      <c r="D2301" t="s">
        <v>9875</v>
      </c>
      <c r="E2301" t="s">
        <v>9876</v>
      </c>
      <c r="F2301" t="s">
        <v>9877</v>
      </c>
      <c r="G2301" t="s">
        <v>110</v>
      </c>
      <c r="H2301">
        <v>93625</v>
      </c>
      <c r="I2301" t="s">
        <v>30</v>
      </c>
      <c r="J2301" t="s">
        <v>41</v>
      </c>
      <c r="K2301" t="s">
        <v>229</v>
      </c>
      <c r="Q2301">
        <v>0</v>
      </c>
      <c r="R2301">
        <v>49</v>
      </c>
      <c r="S2301">
        <v>49</v>
      </c>
      <c r="T2301" t="s">
        <v>9878</v>
      </c>
    </row>
    <row r="2302" spans="1:20" customFormat="1" ht="15" x14ac:dyDescent="0.25">
      <c r="A2302" t="s">
        <v>35</v>
      </c>
      <c r="B2302" t="s">
        <v>9212</v>
      </c>
      <c r="C2302" t="str">
        <f>"A0121916"</f>
        <v>A0121916</v>
      </c>
      <c r="D2302" t="s">
        <v>9879</v>
      </c>
      <c r="E2302" t="s">
        <v>9880</v>
      </c>
      <c r="F2302" t="s">
        <v>9881</v>
      </c>
      <c r="G2302" t="s">
        <v>110</v>
      </c>
      <c r="H2302">
        <v>93654</v>
      </c>
      <c r="I2302" t="s">
        <v>30</v>
      </c>
      <c r="J2302" t="s">
        <v>41</v>
      </c>
      <c r="K2302" t="s">
        <v>229</v>
      </c>
      <c r="Q2302">
        <v>0</v>
      </c>
      <c r="R2302">
        <v>56</v>
      </c>
      <c r="S2302">
        <v>56</v>
      </c>
      <c r="T2302" t="s">
        <v>9882</v>
      </c>
    </row>
    <row r="2303" spans="1:20" customFormat="1" ht="15" x14ac:dyDescent="0.25">
      <c r="A2303" t="s">
        <v>35</v>
      </c>
      <c r="B2303" t="s">
        <v>61</v>
      </c>
      <c r="C2303" t="str">
        <f>"A0121909"</f>
        <v>A0121909</v>
      </c>
      <c r="D2303" t="s">
        <v>9883</v>
      </c>
      <c r="E2303" t="s">
        <v>9884</v>
      </c>
      <c r="F2303" t="s">
        <v>6244</v>
      </c>
      <c r="G2303" t="s">
        <v>110</v>
      </c>
      <c r="H2303">
        <v>93721</v>
      </c>
      <c r="I2303" t="s">
        <v>30</v>
      </c>
      <c r="J2303" t="s">
        <v>41</v>
      </c>
      <c r="K2303" t="s">
        <v>229</v>
      </c>
      <c r="Q2303">
        <v>0</v>
      </c>
      <c r="R2303">
        <v>232</v>
      </c>
      <c r="S2303">
        <v>232</v>
      </c>
      <c r="T2303" t="s">
        <v>9885</v>
      </c>
    </row>
    <row r="2304" spans="1:20" customFormat="1" ht="15" x14ac:dyDescent="0.25">
      <c r="A2304" t="s">
        <v>35</v>
      </c>
      <c r="B2304" t="s">
        <v>9212</v>
      </c>
      <c r="C2304" t="str">
        <f>"A0121918"</f>
        <v>A0121918</v>
      </c>
      <c r="D2304" t="s">
        <v>9886</v>
      </c>
      <c r="E2304" t="s">
        <v>9887</v>
      </c>
      <c r="F2304" t="s">
        <v>6244</v>
      </c>
      <c r="G2304" t="s">
        <v>110</v>
      </c>
      <c r="H2304">
        <v>93726</v>
      </c>
      <c r="I2304" t="s">
        <v>30</v>
      </c>
      <c r="J2304" t="s">
        <v>41</v>
      </c>
      <c r="K2304" t="s">
        <v>229</v>
      </c>
      <c r="Q2304">
        <v>0</v>
      </c>
      <c r="R2304">
        <v>121</v>
      </c>
      <c r="S2304">
        <v>121</v>
      </c>
      <c r="T2304" t="s">
        <v>9888</v>
      </c>
    </row>
    <row r="2305" spans="1:25" customFormat="1" ht="15" x14ac:dyDescent="0.25">
      <c r="A2305" t="s">
        <v>35</v>
      </c>
      <c r="B2305" t="s">
        <v>61</v>
      </c>
      <c r="C2305" t="str">
        <f>"A0184322"</f>
        <v>A0184322</v>
      </c>
      <c r="D2305" t="s">
        <v>9889</v>
      </c>
      <c r="E2305" t="s">
        <v>9890</v>
      </c>
      <c r="F2305" t="s">
        <v>9891</v>
      </c>
      <c r="G2305" t="s">
        <v>289</v>
      </c>
      <c r="H2305" t="s">
        <v>9892</v>
      </c>
      <c r="I2305" t="s">
        <v>30</v>
      </c>
      <c r="J2305" t="s">
        <v>41</v>
      </c>
      <c r="K2305" t="s">
        <v>59</v>
      </c>
      <c r="Q2305">
        <v>0</v>
      </c>
      <c r="R2305">
        <v>90</v>
      </c>
      <c r="S2305">
        <v>0</v>
      </c>
      <c r="T2305" t="s">
        <v>9893</v>
      </c>
    </row>
    <row r="2306" spans="1:25" customFormat="1" ht="15" x14ac:dyDescent="0.25">
      <c r="A2306" t="s">
        <v>35</v>
      </c>
      <c r="B2306" t="s">
        <v>9212</v>
      </c>
      <c r="C2306" t="str">
        <f>"A0121914"</f>
        <v>A0121914</v>
      </c>
      <c r="D2306" t="s">
        <v>9894</v>
      </c>
      <c r="E2306" t="s">
        <v>9895</v>
      </c>
      <c r="F2306" t="s">
        <v>9135</v>
      </c>
      <c r="G2306" t="s">
        <v>110</v>
      </c>
      <c r="H2306">
        <v>95127</v>
      </c>
      <c r="I2306" t="s">
        <v>30</v>
      </c>
      <c r="J2306" t="s">
        <v>41</v>
      </c>
      <c r="K2306" t="s">
        <v>229</v>
      </c>
      <c r="Q2306">
        <v>0</v>
      </c>
      <c r="R2306">
        <v>116</v>
      </c>
      <c r="S2306">
        <v>110</v>
      </c>
      <c r="T2306" t="s">
        <v>9896</v>
      </c>
    </row>
    <row r="2307" spans="1:25" customFormat="1" ht="15" hidden="1" x14ac:dyDescent="0.25">
      <c r="A2307" t="s">
        <v>24</v>
      </c>
      <c r="B2307" t="s">
        <v>9897</v>
      </c>
      <c r="C2307" t="str">
        <f>"A0189044"</f>
        <v>A0189044</v>
      </c>
      <c r="D2307" t="s">
        <v>9898</v>
      </c>
      <c r="E2307" t="s">
        <v>9899</v>
      </c>
      <c r="F2307" t="s">
        <v>9900</v>
      </c>
      <c r="G2307" t="s">
        <v>9901</v>
      </c>
      <c r="H2307">
        <v>680</v>
      </c>
      <c r="I2307" t="s">
        <v>9902</v>
      </c>
      <c r="J2307" t="s">
        <v>162</v>
      </c>
      <c r="K2307" t="s">
        <v>4581</v>
      </c>
      <c r="N2307" t="s">
        <v>9903</v>
      </c>
      <c r="Q2307">
        <v>0</v>
      </c>
      <c r="R2307">
        <v>50</v>
      </c>
      <c r="S2307">
        <v>0</v>
      </c>
      <c r="T2307" t="s">
        <v>9904</v>
      </c>
    </row>
    <row r="2308" spans="1:25" customFormat="1" ht="15" x14ac:dyDescent="0.25">
      <c r="A2308" t="s">
        <v>35</v>
      </c>
      <c r="B2308" t="s">
        <v>5130</v>
      </c>
      <c r="C2308" t="str">
        <f>"A0133416"</f>
        <v>A0133416</v>
      </c>
      <c r="D2308" t="s">
        <v>9905</v>
      </c>
      <c r="E2308" t="s">
        <v>9906</v>
      </c>
      <c r="F2308" t="s">
        <v>9907</v>
      </c>
      <c r="G2308" t="s">
        <v>52</v>
      </c>
      <c r="H2308">
        <v>75043</v>
      </c>
      <c r="I2308" t="s">
        <v>30</v>
      </c>
      <c r="J2308" t="s">
        <v>41</v>
      </c>
      <c r="K2308" t="s">
        <v>2463</v>
      </c>
      <c r="Q2308">
        <v>0</v>
      </c>
      <c r="R2308">
        <v>1</v>
      </c>
      <c r="S2308">
        <v>1</v>
      </c>
      <c r="T2308" t="s">
        <v>9908</v>
      </c>
    </row>
    <row r="2309" spans="1:25" customFormat="1" ht="15" x14ac:dyDescent="0.25">
      <c r="A2309" t="s">
        <v>24</v>
      </c>
      <c r="B2309" t="s">
        <v>9909</v>
      </c>
      <c r="C2309" t="str">
        <f>"A0093761"</f>
        <v>A0093761</v>
      </c>
      <c r="D2309" t="s">
        <v>9910</v>
      </c>
      <c r="E2309" t="s">
        <v>9911</v>
      </c>
      <c r="F2309" t="s">
        <v>9912</v>
      </c>
      <c r="G2309" t="s">
        <v>846</v>
      </c>
      <c r="H2309">
        <v>30101</v>
      </c>
      <c r="I2309" t="s">
        <v>30</v>
      </c>
      <c r="J2309" t="s">
        <v>178</v>
      </c>
      <c r="K2309" t="s">
        <v>163</v>
      </c>
      <c r="N2309" t="s">
        <v>9913</v>
      </c>
      <c r="Q2309">
        <v>1</v>
      </c>
      <c r="R2309">
        <v>0</v>
      </c>
      <c r="S2309">
        <v>0</v>
      </c>
      <c r="T2309" t="s">
        <v>9914</v>
      </c>
    </row>
    <row r="2310" spans="1:25" x14ac:dyDescent="0.25">
      <c r="A2310" s="5" t="s">
        <v>24</v>
      </c>
      <c r="B2310" s="5" t="s">
        <v>675</v>
      </c>
      <c r="C2310" s="5" t="str">
        <f>"A0157426"</f>
        <v>A0157426</v>
      </c>
      <c r="D2310" s="5" t="s">
        <v>55025</v>
      </c>
      <c r="E2310" s="5" t="s">
        <v>55026</v>
      </c>
      <c r="F2310" s="5" t="s">
        <v>3955</v>
      </c>
      <c r="G2310" s="5" t="s">
        <v>81</v>
      </c>
      <c r="H2310" s="5">
        <v>33602</v>
      </c>
      <c r="I2310" s="5" t="s">
        <v>30</v>
      </c>
      <c r="J2310" s="5" t="s">
        <v>162</v>
      </c>
      <c r="K2310" s="5" t="s">
        <v>10770</v>
      </c>
      <c r="L2310" s="5"/>
      <c r="M2310" s="5"/>
      <c r="N2310" s="5" t="s">
        <v>55027</v>
      </c>
      <c r="O2310" s="5" t="s">
        <v>55028</v>
      </c>
      <c r="P2310" s="5"/>
      <c r="Q2310" s="5">
        <v>0</v>
      </c>
      <c r="R2310" s="5">
        <v>519</v>
      </c>
      <c r="S2310" s="5">
        <v>0</v>
      </c>
      <c r="T2310" s="5" t="s">
        <v>3073</v>
      </c>
      <c r="U2310" s="5"/>
      <c r="V2310" s="5"/>
      <c r="W2310" s="5"/>
      <c r="X2310" s="5"/>
      <c r="Y2310" s="5"/>
    </row>
    <row r="2311" spans="1:25" customFormat="1" ht="15" x14ac:dyDescent="0.25">
      <c r="A2311" t="s">
        <v>35</v>
      </c>
      <c r="B2311" t="s">
        <v>9920</v>
      </c>
      <c r="C2311" t="str">
        <f>"A0184903"</f>
        <v>A0184903</v>
      </c>
      <c r="D2311" t="s">
        <v>9921</v>
      </c>
      <c r="E2311" t="s">
        <v>9922</v>
      </c>
      <c r="F2311" t="s">
        <v>9923</v>
      </c>
      <c r="G2311" t="s">
        <v>289</v>
      </c>
      <c r="H2311" t="s">
        <v>9924</v>
      </c>
      <c r="I2311" t="s">
        <v>30</v>
      </c>
      <c r="J2311" t="s">
        <v>41</v>
      </c>
      <c r="K2311" t="s">
        <v>59</v>
      </c>
      <c r="Q2311">
        <v>0</v>
      </c>
      <c r="R2311">
        <v>51</v>
      </c>
      <c r="S2311">
        <v>0</v>
      </c>
      <c r="T2311" t="s">
        <v>9925</v>
      </c>
    </row>
    <row r="2312" spans="1:25" customFormat="1" ht="15" x14ac:dyDescent="0.25">
      <c r="A2312" t="s">
        <v>35</v>
      </c>
      <c r="B2312" t="s">
        <v>8001</v>
      </c>
      <c r="C2312" t="str">
        <f>"A0184713"</f>
        <v>A0184713</v>
      </c>
      <c r="D2312" t="s">
        <v>9926</v>
      </c>
      <c r="E2312" t="s">
        <v>8190</v>
      </c>
      <c r="F2312" t="s">
        <v>8191</v>
      </c>
      <c r="G2312" t="s">
        <v>103</v>
      </c>
      <c r="H2312" t="s">
        <v>9927</v>
      </c>
      <c r="I2312" t="s">
        <v>30</v>
      </c>
      <c r="J2312" t="s">
        <v>41</v>
      </c>
      <c r="K2312" t="s">
        <v>59</v>
      </c>
      <c r="Q2312">
        <v>0</v>
      </c>
      <c r="R2312">
        <v>0</v>
      </c>
      <c r="S2312">
        <v>0</v>
      </c>
      <c r="T2312" t="s">
        <v>9353</v>
      </c>
    </row>
    <row r="2313" spans="1:25" customFormat="1" ht="15" x14ac:dyDescent="0.25">
      <c r="A2313" t="s">
        <v>35</v>
      </c>
      <c r="B2313" t="s">
        <v>8001</v>
      </c>
      <c r="C2313" t="str">
        <f>"A0184659"</f>
        <v>A0184659</v>
      </c>
      <c r="D2313" t="s">
        <v>9928</v>
      </c>
      <c r="E2313" t="s">
        <v>9929</v>
      </c>
      <c r="F2313" t="s">
        <v>8191</v>
      </c>
      <c r="G2313" t="s">
        <v>103</v>
      </c>
      <c r="H2313" t="s">
        <v>9930</v>
      </c>
      <c r="I2313" t="s">
        <v>30</v>
      </c>
      <c r="J2313" t="s">
        <v>41</v>
      </c>
      <c r="K2313" t="s">
        <v>59</v>
      </c>
      <c r="Q2313">
        <v>0</v>
      </c>
      <c r="R2313">
        <v>713</v>
      </c>
      <c r="S2313">
        <v>0</v>
      </c>
      <c r="T2313" t="s">
        <v>9931</v>
      </c>
    </row>
    <row r="2314" spans="1:25" customFormat="1" ht="15" x14ac:dyDescent="0.25">
      <c r="A2314" t="s">
        <v>35</v>
      </c>
      <c r="B2314" t="s">
        <v>8001</v>
      </c>
      <c r="C2314" t="str">
        <f>"A0184656"</f>
        <v>A0184656</v>
      </c>
      <c r="D2314" t="s">
        <v>9932</v>
      </c>
      <c r="E2314" t="s">
        <v>9933</v>
      </c>
      <c r="F2314" t="s">
        <v>8191</v>
      </c>
      <c r="G2314" t="s">
        <v>103</v>
      </c>
      <c r="H2314" t="s">
        <v>9927</v>
      </c>
      <c r="I2314" t="s">
        <v>30</v>
      </c>
      <c r="J2314" t="s">
        <v>41</v>
      </c>
      <c r="K2314" t="s">
        <v>59</v>
      </c>
      <c r="Q2314">
        <v>0</v>
      </c>
      <c r="R2314">
        <v>713</v>
      </c>
      <c r="S2314">
        <v>0</v>
      </c>
      <c r="T2314" t="s">
        <v>9931</v>
      </c>
    </row>
    <row r="2315" spans="1:25" customFormat="1" ht="15" x14ac:dyDescent="0.25">
      <c r="A2315" t="s">
        <v>35</v>
      </c>
      <c r="B2315" t="s">
        <v>8001</v>
      </c>
      <c r="C2315" t="str">
        <f>"A0184639"</f>
        <v>A0184639</v>
      </c>
      <c r="D2315" t="s">
        <v>9934</v>
      </c>
      <c r="E2315" t="s">
        <v>9935</v>
      </c>
      <c r="F2315" t="s">
        <v>8191</v>
      </c>
      <c r="G2315" t="s">
        <v>103</v>
      </c>
      <c r="H2315">
        <v>19348</v>
      </c>
      <c r="I2315" t="s">
        <v>30</v>
      </c>
      <c r="J2315" t="s">
        <v>41</v>
      </c>
      <c r="K2315" t="s">
        <v>59</v>
      </c>
      <c r="Q2315">
        <v>0</v>
      </c>
      <c r="R2315">
        <v>103</v>
      </c>
      <c r="S2315">
        <v>0</v>
      </c>
      <c r="T2315" t="s">
        <v>9936</v>
      </c>
    </row>
    <row r="2316" spans="1:25" customFormat="1" ht="15" x14ac:dyDescent="0.25">
      <c r="A2316" t="s">
        <v>35</v>
      </c>
      <c r="B2316" t="s">
        <v>61</v>
      </c>
      <c r="C2316" t="str">
        <f>"A0184375"</f>
        <v>A0184375</v>
      </c>
      <c r="D2316" t="s">
        <v>9937</v>
      </c>
      <c r="E2316" t="s">
        <v>9938</v>
      </c>
      <c r="F2316" t="s">
        <v>9939</v>
      </c>
      <c r="G2316" t="s">
        <v>289</v>
      </c>
      <c r="H2316" t="s">
        <v>9940</v>
      </c>
      <c r="I2316" t="s">
        <v>30</v>
      </c>
      <c r="J2316" t="s">
        <v>41</v>
      </c>
      <c r="K2316" t="s">
        <v>59</v>
      </c>
      <c r="Q2316">
        <v>0</v>
      </c>
      <c r="R2316">
        <v>44</v>
      </c>
      <c r="S2316">
        <v>0</v>
      </c>
      <c r="T2316" t="s">
        <v>9941</v>
      </c>
    </row>
    <row r="2317" spans="1:25" customFormat="1" ht="15" x14ac:dyDescent="0.25">
      <c r="A2317" t="s">
        <v>35</v>
      </c>
      <c r="B2317" t="s">
        <v>61</v>
      </c>
      <c r="C2317" t="str">
        <f>"A0184250"</f>
        <v>A0184250</v>
      </c>
      <c r="D2317" t="s">
        <v>9942</v>
      </c>
      <c r="E2317" t="s">
        <v>9943</v>
      </c>
      <c r="F2317" t="s">
        <v>9205</v>
      </c>
      <c r="G2317" t="s">
        <v>289</v>
      </c>
      <c r="H2317" t="s">
        <v>9944</v>
      </c>
      <c r="I2317" t="s">
        <v>30</v>
      </c>
      <c r="J2317" t="s">
        <v>41</v>
      </c>
      <c r="K2317" t="s">
        <v>59</v>
      </c>
      <c r="Q2317">
        <v>0</v>
      </c>
      <c r="R2317">
        <v>1</v>
      </c>
      <c r="S2317">
        <v>0</v>
      </c>
      <c r="T2317" t="s">
        <v>9945</v>
      </c>
    </row>
    <row r="2318" spans="1:25" customFormat="1" ht="15" x14ac:dyDescent="0.25">
      <c r="A2318" t="s">
        <v>35</v>
      </c>
      <c r="B2318" t="s">
        <v>8001</v>
      </c>
      <c r="C2318" t="str">
        <f>"A0184591"</f>
        <v>A0184591</v>
      </c>
      <c r="D2318" t="s">
        <v>9946</v>
      </c>
      <c r="E2318" t="s">
        <v>9947</v>
      </c>
      <c r="F2318" t="s">
        <v>8191</v>
      </c>
      <c r="G2318" t="s">
        <v>103</v>
      </c>
      <c r="H2318">
        <v>19348</v>
      </c>
      <c r="I2318" t="s">
        <v>30</v>
      </c>
      <c r="J2318" t="s">
        <v>41</v>
      </c>
      <c r="K2318" t="s">
        <v>59</v>
      </c>
      <c r="Q2318">
        <v>0</v>
      </c>
      <c r="R2318">
        <v>0</v>
      </c>
      <c r="S2318">
        <v>0</v>
      </c>
      <c r="T2318" t="s">
        <v>9931</v>
      </c>
    </row>
    <row r="2319" spans="1:25" customFormat="1" ht="15" x14ac:dyDescent="0.25">
      <c r="A2319" t="s">
        <v>35</v>
      </c>
      <c r="B2319" t="s">
        <v>8001</v>
      </c>
      <c r="C2319" t="str">
        <f>"A0184502"</f>
        <v>A0184502</v>
      </c>
      <c r="D2319" t="s">
        <v>9948</v>
      </c>
      <c r="E2319" t="s">
        <v>9935</v>
      </c>
      <c r="F2319" t="s">
        <v>8191</v>
      </c>
      <c r="G2319" t="s">
        <v>103</v>
      </c>
      <c r="H2319">
        <v>19348</v>
      </c>
      <c r="I2319" t="s">
        <v>30</v>
      </c>
      <c r="J2319" t="s">
        <v>41</v>
      </c>
      <c r="K2319" t="s">
        <v>59</v>
      </c>
      <c r="Q2319">
        <v>0</v>
      </c>
      <c r="R2319">
        <v>0</v>
      </c>
      <c r="S2319">
        <v>0</v>
      </c>
      <c r="T2319" t="s">
        <v>9936</v>
      </c>
    </row>
    <row r="2320" spans="1:25" customFormat="1" ht="15" x14ac:dyDescent="0.25">
      <c r="A2320" t="s">
        <v>35</v>
      </c>
      <c r="B2320" t="s">
        <v>8001</v>
      </c>
      <c r="C2320" t="str">
        <f>"A0184365"</f>
        <v>A0184365</v>
      </c>
      <c r="D2320" t="s">
        <v>9949</v>
      </c>
      <c r="E2320" t="s">
        <v>9950</v>
      </c>
      <c r="F2320" t="s">
        <v>288</v>
      </c>
      <c r="G2320" t="s">
        <v>289</v>
      </c>
      <c r="H2320" t="s">
        <v>9951</v>
      </c>
      <c r="I2320" t="s">
        <v>30</v>
      </c>
      <c r="J2320" t="s">
        <v>41</v>
      </c>
      <c r="K2320" t="s">
        <v>59</v>
      </c>
      <c r="Q2320">
        <v>0</v>
      </c>
      <c r="R2320">
        <v>93</v>
      </c>
      <c r="S2320">
        <v>0</v>
      </c>
      <c r="T2320" t="s">
        <v>9952</v>
      </c>
    </row>
    <row r="2321" spans="1:25" customFormat="1" ht="15" x14ac:dyDescent="0.25">
      <c r="A2321" t="s">
        <v>35</v>
      </c>
      <c r="B2321" t="s">
        <v>8001</v>
      </c>
      <c r="C2321" t="str">
        <f>"A0181277"</f>
        <v>A0181277</v>
      </c>
      <c r="D2321" t="s">
        <v>9953</v>
      </c>
      <c r="E2321" t="s">
        <v>9954</v>
      </c>
      <c r="F2321" t="s">
        <v>9690</v>
      </c>
      <c r="G2321" t="s">
        <v>103</v>
      </c>
      <c r="H2321" t="s">
        <v>9955</v>
      </c>
      <c r="I2321" t="s">
        <v>30</v>
      </c>
      <c r="J2321" t="s">
        <v>41</v>
      </c>
      <c r="K2321" t="s">
        <v>9956</v>
      </c>
      <c r="Q2321">
        <v>0</v>
      </c>
      <c r="R2321">
        <v>96</v>
      </c>
      <c r="S2321">
        <v>0</v>
      </c>
      <c r="T2321" t="s">
        <v>9957</v>
      </c>
    </row>
    <row r="2322" spans="1:25" customFormat="1" ht="15" x14ac:dyDescent="0.25">
      <c r="A2322" t="s">
        <v>35</v>
      </c>
      <c r="B2322" t="s">
        <v>61</v>
      </c>
      <c r="C2322" t="str">
        <f>"A0129028"</f>
        <v>A0129028</v>
      </c>
      <c r="D2322" t="s">
        <v>9958</v>
      </c>
      <c r="E2322" t="s">
        <v>9959</v>
      </c>
      <c r="F2322" t="s">
        <v>9960</v>
      </c>
      <c r="G2322" t="s">
        <v>289</v>
      </c>
      <c r="H2322">
        <v>62439</v>
      </c>
      <c r="I2322" t="s">
        <v>30</v>
      </c>
      <c r="J2322" t="s">
        <v>41</v>
      </c>
      <c r="K2322" t="s">
        <v>229</v>
      </c>
      <c r="Q2322">
        <v>0</v>
      </c>
      <c r="R2322">
        <v>280</v>
      </c>
      <c r="S2322">
        <v>280</v>
      </c>
      <c r="T2322" t="s">
        <v>9961</v>
      </c>
    </row>
    <row r="2323" spans="1:25" customFormat="1" ht="15" x14ac:dyDescent="0.25">
      <c r="A2323" t="s">
        <v>35</v>
      </c>
      <c r="B2323" t="s">
        <v>61</v>
      </c>
      <c r="C2323" t="str">
        <f>"A0124235"</f>
        <v>A0124235</v>
      </c>
      <c r="D2323" t="s">
        <v>9962</v>
      </c>
      <c r="E2323" t="s">
        <v>9963</v>
      </c>
      <c r="F2323" t="s">
        <v>9191</v>
      </c>
      <c r="G2323" t="s">
        <v>65</v>
      </c>
      <c r="H2323">
        <v>44137</v>
      </c>
      <c r="I2323" t="s">
        <v>30</v>
      </c>
      <c r="J2323" t="s">
        <v>41</v>
      </c>
      <c r="K2323" t="s">
        <v>229</v>
      </c>
      <c r="Q2323">
        <v>0</v>
      </c>
      <c r="R2323">
        <v>56</v>
      </c>
      <c r="S2323">
        <v>56</v>
      </c>
      <c r="T2323" t="s">
        <v>9964</v>
      </c>
    </row>
    <row r="2324" spans="1:25" customFormat="1" ht="15" x14ac:dyDescent="0.25">
      <c r="A2324" t="s">
        <v>35</v>
      </c>
      <c r="B2324" t="s">
        <v>61</v>
      </c>
      <c r="C2324" t="str">
        <f>"A0132045"</f>
        <v>A0132045</v>
      </c>
      <c r="D2324" t="s">
        <v>9965</v>
      </c>
      <c r="E2324" t="s">
        <v>9966</v>
      </c>
      <c r="F2324" t="s">
        <v>3661</v>
      </c>
      <c r="G2324" t="s">
        <v>65</v>
      </c>
      <c r="H2324">
        <v>45229</v>
      </c>
      <c r="I2324" t="s">
        <v>30</v>
      </c>
      <c r="J2324" t="s">
        <v>41</v>
      </c>
      <c r="K2324" t="s">
        <v>290</v>
      </c>
      <c r="Q2324">
        <v>0</v>
      </c>
      <c r="R2324">
        <v>189</v>
      </c>
      <c r="S2324">
        <v>189</v>
      </c>
      <c r="T2324" t="s">
        <v>9967</v>
      </c>
    </row>
    <row r="2325" spans="1:25" customFormat="1" ht="15" x14ac:dyDescent="0.25">
      <c r="A2325" t="s">
        <v>35</v>
      </c>
      <c r="B2325" t="s">
        <v>61</v>
      </c>
      <c r="C2325" t="str">
        <f>"A0123646"</f>
        <v>A0123646</v>
      </c>
      <c r="D2325" t="s">
        <v>9968</v>
      </c>
      <c r="E2325" t="s">
        <v>9969</v>
      </c>
      <c r="F2325" t="s">
        <v>2425</v>
      </c>
      <c r="G2325" t="s">
        <v>29</v>
      </c>
      <c r="H2325">
        <v>241154904</v>
      </c>
      <c r="I2325" t="s">
        <v>30</v>
      </c>
      <c r="J2325" t="s">
        <v>41</v>
      </c>
      <c r="K2325" t="s">
        <v>229</v>
      </c>
      <c r="Q2325">
        <v>0</v>
      </c>
      <c r="R2325">
        <v>364</v>
      </c>
      <c r="S2325">
        <v>364</v>
      </c>
      <c r="T2325" t="s">
        <v>9970</v>
      </c>
    </row>
    <row r="2326" spans="1:25" customFormat="1" ht="15" x14ac:dyDescent="0.25">
      <c r="A2326" t="s">
        <v>35</v>
      </c>
      <c r="B2326" t="s">
        <v>9212</v>
      </c>
      <c r="C2326" t="str">
        <f>"A0121915"</f>
        <v>A0121915</v>
      </c>
      <c r="D2326" t="s">
        <v>9971</v>
      </c>
      <c r="E2326" t="s">
        <v>9972</v>
      </c>
      <c r="F2326" t="s">
        <v>9973</v>
      </c>
      <c r="G2326" t="s">
        <v>110</v>
      </c>
      <c r="H2326">
        <v>93657</v>
      </c>
      <c r="I2326" t="s">
        <v>30</v>
      </c>
      <c r="J2326" t="s">
        <v>41</v>
      </c>
      <c r="K2326" t="s">
        <v>229</v>
      </c>
      <c r="Q2326">
        <v>0</v>
      </c>
      <c r="R2326">
        <v>99</v>
      </c>
      <c r="S2326">
        <v>99</v>
      </c>
      <c r="T2326" t="s">
        <v>9974</v>
      </c>
    </row>
    <row r="2327" spans="1:25" customFormat="1" ht="15" x14ac:dyDescent="0.25">
      <c r="A2327" t="s">
        <v>24</v>
      </c>
      <c r="B2327" t="s">
        <v>6363</v>
      </c>
      <c r="C2327" t="str">
        <f>"A0165482"</f>
        <v>A0165482</v>
      </c>
      <c r="D2327" t="s">
        <v>55029</v>
      </c>
      <c r="E2327" t="s">
        <v>55030</v>
      </c>
      <c r="F2327" t="s">
        <v>1883</v>
      </c>
      <c r="G2327" t="s">
        <v>846</v>
      </c>
      <c r="H2327">
        <v>30005</v>
      </c>
      <c r="I2327" t="s">
        <v>30</v>
      </c>
      <c r="J2327" t="s">
        <v>162</v>
      </c>
      <c r="K2327" t="s">
        <v>4809</v>
      </c>
      <c r="N2327" t="s">
        <v>55031</v>
      </c>
      <c r="Q2327">
        <v>0</v>
      </c>
      <c r="R2327">
        <v>249</v>
      </c>
      <c r="S2327">
        <v>0</v>
      </c>
      <c r="T2327" t="s">
        <v>55032</v>
      </c>
    </row>
    <row r="2328" spans="1:25" customFormat="1" ht="15" hidden="1" x14ac:dyDescent="0.25">
      <c r="A2328" t="s">
        <v>24</v>
      </c>
      <c r="B2328" t="s">
        <v>5976</v>
      </c>
      <c r="C2328" t="str">
        <f>"A0188271"</f>
        <v>A0188271</v>
      </c>
      <c r="D2328" t="s">
        <v>9979</v>
      </c>
      <c r="E2328" t="s">
        <v>9980</v>
      </c>
      <c r="F2328" t="s">
        <v>5332</v>
      </c>
      <c r="G2328" t="s">
        <v>2407</v>
      </c>
      <c r="H2328">
        <v>23400</v>
      </c>
      <c r="I2328" t="s">
        <v>2408</v>
      </c>
      <c r="J2328" t="s">
        <v>162</v>
      </c>
      <c r="K2328" t="s">
        <v>163</v>
      </c>
      <c r="N2328" t="s">
        <v>9981</v>
      </c>
      <c r="Q2328">
        <v>0</v>
      </c>
      <c r="R2328">
        <v>215</v>
      </c>
      <c r="S2328">
        <v>0</v>
      </c>
      <c r="T2328" t="s">
        <v>9982</v>
      </c>
    </row>
    <row r="2329" spans="1:25" customFormat="1" ht="15" hidden="1" x14ac:dyDescent="0.25">
      <c r="A2329" t="s">
        <v>24</v>
      </c>
      <c r="B2329" t="s">
        <v>5976</v>
      </c>
      <c r="C2329" t="str">
        <f>"A0188270"</f>
        <v>A0188270</v>
      </c>
      <c r="D2329" t="s">
        <v>9983</v>
      </c>
      <c r="E2329" t="s">
        <v>9984</v>
      </c>
      <c r="F2329" t="s">
        <v>9985</v>
      </c>
      <c r="G2329" t="s">
        <v>5862</v>
      </c>
      <c r="H2329">
        <v>63732</v>
      </c>
      <c r="I2329" t="s">
        <v>2408</v>
      </c>
      <c r="J2329" t="s">
        <v>162</v>
      </c>
      <c r="K2329" t="s">
        <v>163</v>
      </c>
      <c r="N2329" t="s">
        <v>9986</v>
      </c>
      <c r="Q2329">
        <v>0</v>
      </c>
      <c r="R2329">
        <v>215</v>
      </c>
      <c r="S2329">
        <v>0</v>
      </c>
      <c r="T2329" t="s">
        <v>9982</v>
      </c>
    </row>
    <row r="2330" spans="1:25" customFormat="1" ht="15" hidden="1" x14ac:dyDescent="0.25">
      <c r="A2330" t="s">
        <v>24</v>
      </c>
      <c r="B2330" t="s">
        <v>5976</v>
      </c>
      <c r="C2330" t="str">
        <f>"A0188266"</f>
        <v>A0188266</v>
      </c>
      <c r="D2330" t="s">
        <v>9987</v>
      </c>
      <c r="E2330" t="s">
        <v>9988</v>
      </c>
      <c r="F2330" t="s">
        <v>9989</v>
      </c>
      <c r="G2330" t="s">
        <v>4481</v>
      </c>
      <c r="H2330">
        <v>45040</v>
      </c>
      <c r="I2330" t="s">
        <v>2408</v>
      </c>
      <c r="J2330" t="s">
        <v>162</v>
      </c>
      <c r="K2330" t="s">
        <v>163</v>
      </c>
      <c r="N2330" t="s">
        <v>9990</v>
      </c>
      <c r="Q2330">
        <v>0</v>
      </c>
      <c r="R2330">
        <v>350</v>
      </c>
      <c r="S2330">
        <v>0</v>
      </c>
      <c r="T2330" t="s">
        <v>9991</v>
      </c>
    </row>
    <row r="2331" spans="1:25" customFormat="1" ht="15" hidden="1" x14ac:dyDescent="0.25">
      <c r="A2331" t="s">
        <v>24</v>
      </c>
      <c r="B2331" t="s">
        <v>5976</v>
      </c>
      <c r="C2331" t="str">
        <f>"A0188265"</f>
        <v>A0188265</v>
      </c>
      <c r="D2331" t="s">
        <v>9992</v>
      </c>
      <c r="E2331" t="s">
        <v>9993</v>
      </c>
      <c r="F2331" t="s">
        <v>5423</v>
      </c>
      <c r="G2331" t="s">
        <v>5424</v>
      </c>
      <c r="H2331">
        <v>77500</v>
      </c>
      <c r="I2331" t="s">
        <v>2408</v>
      </c>
      <c r="J2331" t="s">
        <v>162</v>
      </c>
      <c r="K2331" t="s">
        <v>163</v>
      </c>
      <c r="N2331" t="s">
        <v>9994</v>
      </c>
      <c r="Q2331">
        <v>0</v>
      </c>
      <c r="R2331">
        <v>155</v>
      </c>
      <c r="S2331">
        <v>0</v>
      </c>
      <c r="T2331" t="s">
        <v>9995</v>
      </c>
    </row>
    <row r="2332" spans="1:25" customFormat="1" ht="15" x14ac:dyDescent="0.25">
      <c r="A2332" t="s">
        <v>35</v>
      </c>
      <c r="B2332" t="s">
        <v>61</v>
      </c>
      <c r="C2332" t="str">
        <f>"A0118194"</f>
        <v>A0118194</v>
      </c>
      <c r="D2332" t="s">
        <v>9996</v>
      </c>
      <c r="E2332" t="s">
        <v>9997</v>
      </c>
      <c r="F2332" t="s">
        <v>7267</v>
      </c>
      <c r="G2332" t="s">
        <v>153</v>
      </c>
      <c r="H2332">
        <v>84121</v>
      </c>
      <c r="I2332" t="s">
        <v>30</v>
      </c>
      <c r="J2332" t="s">
        <v>41</v>
      </c>
      <c r="K2332" t="s">
        <v>59</v>
      </c>
      <c r="Q2332">
        <v>0</v>
      </c>
      <c r="R2332">
        <v>57</v>
      </c>
      <c r="S2332">
        <v>57</v>
      </c>
      <c r="T2332" t="s">
        <v>9998</v>
      </c>
    </row>
    <row r="2333" spans="1:25" x14ac:dyDescent="0.25">
      <c r="A2333" s="5" t="s">
        <v>24</v>
      </c>
      <c r="B2333" s="5" t="s">
        <v>1288</v>
      </c>
      <c r="C2333" s="5" t="str">
        <f>"HY09214"</f>
        <v>HY09214</v>
      </c>
      <c r="D2333" s="5" t="s">
        <v>55033</v>
      </c>
      <c r="E2333" s="5" t="s">
        <v>55034</v>
      </c>
      <c r="F2333" s="5" t="s">
        <v>1564</v>
      </c>
      <c r="G2333" s="5" t="s">
        <v>52</v>
      </c>
      <c r="H2333" s="5">
        <v>77032</v>
      </c>
      <c r="I2333" s="5" t="s">
        <v>30</v>
      </c>
      <c r="J2333" s="5" t="s">
        <v>162</v>
      </c>
      <c r="K2333" s="5" t="s">
        <v>759</v>
      </c>
      <c r="L2333" s="5"/>
      <c r="M2333" s="5"/>
      <c r="N2333" s="5"/>
      <c r="O2333" s="5"/>
      <c r="P2333" s="5" t="s">
        <v>6426</v>
      </c>
      <c r="Q2333" s="5">
        <v>0</v>
      </c>
      <c r="R2333" s="5">
        <v>313</v>
      </c>
      <c r="S2333" s="5">
        <v>0</v>
      </c>
      <c r="T2333" s="5" t="s">
        <v>55035</v>
      </c>
      <c r="U2333" s="5"/>
      <c r="V2333" s="5"/>
      <c r="W2333" s="5"/>
      <c r="X2333" s="5"/>
      <c r="Y2333" s="5"/>
    </row>
    <row r="2334" spans="1:25" customFormat="1" ht="15" x14ac:dyDescent="0.25">
      <c r="A2334" t="s">
        <v>35</v>
      </c>
      <c r="B2334" t="s">
        <v>61</v>
      </c>
      <c r="C2334" t="str">
        <f>"A0127777"</f>
        <v>A0127777</v>
      </c>
      <c r="D2334" t="s">
        <v>10003</v>
      </c>
      <c r="E2334" t="s">
        <v>10004</v>
      </c>
      <c r="F2334" t="s">
        <v>4316</v>
      </c>
      <c r="G2334" t="s">
        <v>117</v>
      </c>
      <c r="H2334">
        <v>49931</v>
      </c>
      <c r="I2334" t="s">
        <v>30</v>
      </c>
      <c r="J2334" t="s">
        <v>41</v>
      </c>
      <c r="K2334" t="s">
        <v>59</v>
      </c>
      <c r="Q2334">
        <v>0</v>
      </c>
      <c r="R2334">
        <v>64</v>
      </c>
      <c r="S2334">
        <v>64</v>
      </c>
      <c r="T2334" t="s">
        <v>10005</v>
      </c>
    </row>
    <row r="2335" spans="1:25" customFormat="1" ht="15" x14ac:dyDescent="0.25">
      <c r="A2335" t="s">
        <v>35</v>
      </c>
      <c r="B2335" t="s">
        <v>61</v>
      </c>
      <c r="C2335" t="str">
        <f>"A0126654"</f>
        <v>A0126654</v>
      </c>
      <c r="D2335" t="s">
        <v>10006</v>
      </c>
      <c r="E2335" t="s">
        <v>10007</v>
      </c>
      <c r="F2335" t="s">
        <v>1368</v>
      </c>
      <c r="G2335" t="s">
        <v>99</v>
      </c>
      <c r="H2335">
        <v>11719</v>
      </c>
      <c r="I2335" t="s">
        <v>30</v>
      </c>
      <c r="J2335" t="s">
        <v>41</v>
      </c>
      <c r="K2335" t="s">
        <v>229</v>
      </c>
      <c r="Q2335">
        <v>0</v>
      </c>
      <c r="R2335">
        <v>240</v>
      </c>
      <c r="S2335">
        <v>240</v>
      </c>
      <c r="T2335" t="s">
        <v>10008</v>
      </c>
    </row>
    <row r="2336" spans="1:25" customFormat="1" ht="15" x14ac:dyDescent="0.25">
      <c r="A2336" t="s">
        <v>35</v>
      </c>
      <c r="B2336" t="s">
        <v>106</v>
      </c>
      <c r="C2336" t="str">
        <f>"A0136533"</f>
        <v>A0136533</v>
      </c>
      <c r="D2336" t="s">
        <v>10009</v>
      </c>
      <c r="E2336" t="s">
        <v>10010</v>
      </c>
      <c r="F2336" t="s">
        <v>10011</v>
      </c>
      <c r="G2336" t="s">
        <v>840</v>
      </c>
      <c r="H2336">
        <v>420713356</v>
      </c>
      <c r="I2336" t="s">
        <v>30</v>
      </c>
      <c r="J2336" t="s">
        <v>111</v>
      </c>
      <c r="K2336" t="s">
        <v>10012</v>
      </c>
      <c r="Q2336">
        <v>0</v>
      </c>
      <c r="R2336">
        <v>0</v>
      </c>
      <c r="S2336">
        <v>0</v>
      </c>
      <c r="T2336" t="s">
        <v>10013</v>
      </c>
    </row>
    <row r="2337" spans="1:20" customFormat="1" ht="15" x14ac:dyDescent="0.25">
      <c r="A2337" t="s">
        <v>35</v>
      </c>
      <c r="B2337" t="s">
        <v>106</v>
      </c>
      <c r="C2337" t="str">
        <f>"A0136259"</f>
        <v>A0136259</v>
      </c>
      <c r="D2337" t="s">
        <v>10014</v>
      </c>
      <c r="E2337" t="s">
        <v>10015</v>
      </c>
      <c r="F2337" t="s">
        <v>1298</v>
      </c>
      <c r="G2337" t="s">
        <v>137</v>
      </c>
      <c r="H2337">
        <v>65211</v>
      </c>
      <c r="I2337" t="s">
        <v>30</v>
      </c>
      <c r="J2337" t="s">
        <v>111</v>
      </c>
      <c r="K2337" t="s">
        <v>10012</v>
      </c>
      <c r="Q2337">
        <v>0</v>
      </c>
      <c r="R2337">
        <v>0</v>
      </c>
      <c r="S2337">
        <v>0</v>
      </c>
      <c r="T2337" t="s">
        <v>10016</v>
      </c>
    </row>
    <row r="2338" spans="1:20" customFormat="1" ht="15" x14ac:dyDescent="0.25">
      <c r="A2338" t="s">
        <v>24</v>
      </c>
      <c r="B2338" t="s">
        <v>34154</v>
      </c>
      <c r="C2338" t="str">
        <f>"A0060984"</f>
        <v>A0060984</v>
      </c>
      <c r="D2338" t="s">
        <v>55054</v>
      </c>
      <c r="E2338" t="s">
        <v>55055</v>
      </c>
      <c r="F2338" t="s">
        <v>55056</v>
      </c>
      <c r="G2338" t="s">
        <v>81</v>
      </c>
      <c r="H2338">
        <v>33801</v>
      </c>
      <c r="I2338" t="s">
        <v>30</v>
      </c>
      <c r="J2338" t="s">
        <v>162</v>
      </c>
      <c r="K2338" t="s">
        <v>2881</v>
      </c>
      <c r="N2338" t="s">
        <v>55057</v>
      </c>
      <c r="O2338" t="s">
        <v>55058</v>
      </c>
      <c r="Q2338">
        <v>0</v>
      </c>
      <c r="R2338">
        <v>88</v>
      </c>
      <c r="S2338">
        <v>0</v>
      </c>
      <c r="T2338" t="s">
        <v>55059</v>
      </c>
    </row>
    <row r="2339" spans="1:20" customFormat="1" ht="15" x14ac:dyDescent="0.25">
      <c r="A2339" t="s">
        <v>24</v>
      </c>
      <c r="B2339" t="s">
        <v>9400</v>
      </c>
      <c r="C2339" t="str">
        <f>"A0050821"</f>
        <v>A0050821</v>
      </c>
      <c r="D2339" t="s">
        <v>55064</v>
      </c>
      <c r="E2339" t="s">
        <v>55065</v>
      </c>
      <c r="F2339" t="s">
        <v>34946</v>
      </c>
      <c r="G2339" t="s">
        <v>2391</v>
      </c>
      <c r="H2339">
        <v>5674</v>
      </c>
      <c r="I2339" t="s">
        <v>30</v>
      </c>
      <c r="J2339" t="s">
        <v>162</v>
      </c>
      <c r="K2339" t="s">
        <v>163</v>
      </c>
      <c r="N2339" t="s">
        <v>55066</v>
      </c>
      <c r="Q2339">
        <v>0</v>
      </c>
      <c r="R2339">
        <v>18</v>
      </c>
      <c r="S2339">
        <v>0</v>
      </c>
      <c r="T2339" t="s">
        <v>55067</v>
      </c>
    </row>
    <row r="2340" spans="1:20" customFormat="1" ht="15" x14ac:dyDescent="0.25">
      <c r="A2340" t="s">
        <v>24</v>
      </c>
      <c r="B2340" t="s">
        <v>13771</v>
      </c>
      <c r="C2340" t="str">
        <f>"A0166309"</f>
        <v>A0166309</v>
      </c>
      <c r="D2340" t="s">
        <v>55086</v>
      </c>
      <c r="E2340" t="s">
        <v>55087</v>
      </c>
      <c r="F2340" t="s">
        <v>10461</v>
      </c>
      <c r="G2340" t="s">
        <v>110</v>
      </c>
      <c r="H2340">
        <v>95448</v>
      </c>
      <c r="I2340" t="s">
        <v>30</v>
      </c>
      <c r="J2340" t="s">
        <v>162</v>
      </c>
      <c r="K2340" t="s">
        <v>163</v>
      </c>
      <c r="N2340" t="s">
        <v>55080</v>
      </c>
      <c r="O2340" t="s">
        <v>55084</v>
      </c>
      <c r="Q2340">
        <v>0</v>
      </c>
      <c r="R2340">
        <v>66</v>
      </c>
      <c r="S2340">
        <v>0</v>
      </c>
      <c r="T2340" t="s">
        <v>55088</v>
      </c>
    </row>
    <row r="2341" spans="1:20" customFormat="1" ht="15" x14ac:dyDescent="0.25">
      <c r="A2341" t="s">
        <v>24</v>
      </c>
      <c r="B2341" t="s">
        <v>5104</v>
      </c>
      <c r="C2341" t="str">
        <f>"A0096158"</f>
        <v>A0096158</v>
      </c>
      <c r="D2341" t="s">
        <v>55094</v>
      </c>
      <c r="E2341" t="s">
        <v>55095</v>
      </c>
      <c r="F2341" t="s">
        <v>11700</v>
      </c>
      <c r="G2341" t="s">
        <v>880</v>
      </c>
      <c r="H2341">
        <v>38103</v>
      </c>
      <c r="I2341" t="s">
        <v>30</v>
      </c>
      <c r="J2341" t="s">
        <v>162</v>
      </c>
      <c r="K2341" t="s">
        <v>1209</v>
      </c>
      <c r="N2341" t="s">
        <v>55096</v>
      </c>
      <c r="Q2341">
        <v>0</v>
      </c>
      <c r="R2341">
        <v>170</v>
      </c>
      <c r="S2341">
        <v>0</v>
      </c>
      <c r="T2341" t="s">
        <v>55097</v>
      </c>
    </row>
    <row r="2342" spans="1:20" customFormat="1" ht="15" hidden="1" x14ac:dyDescent="0.25">
      <c r="A2342" t="s">
        <v>24</v>
      </c>
      <c r="B2342" t="s">
        <v>10034</v>
      </c>
      <c r="C2342" t="str">
        <f>"A0189000"</f>
        <v>A0189000</v>
      </c>
      <c r="D2342" t="s">
        <v>10035</v>
      </c>
      <c r="E2342" t="s">
        <v>10036</v>
      </c>
      <c r="F2342" t="s">
        <v>10037</v>
      </c>
      <c r="G2342" t="s">
        <v>10038</v>
      </c>
      <c r="I2342" t="s">
        <v>1308</v>
      </c>
      <c r="J2342" t="s">
        <v>162</v>
      </c>
      <c r="K2342" t="s">
        <v>163</v>
      </c>
      <c r="N2342" t="s">
        <v>10039</v>
      </c>
      <c r="Q2342">
        <v>0</v>
      </c>
      <c r="R2342">
        <v>600</v>
      </c>
      <c r="S2342">
        <v>0</v>
      </c>
      <c r="T2342" t="s">
        <v>10040</v>
      </c>
    </row>
    <row r="2343" spans="1:20" customFormat="1" ht="15" hidden="1" x14ac:dyDescent="0.25">
      <c r="A2343" t="s">
        <v>24</v>
      </c>
      <c r="B2343" t="s">
        <v>10034</v>
      </c>
      <c r="C2343" t="str">
        <f>"A0188999"</f>
        <v>A0188999</v>
      </c>
      <c r="D2343" t="s">
        <v>10041</v>
      </c>
      <c r="E2343" t="s">
        <v>10042</v>
      </c>
      <c r="F2343" t="s">
        <v>1307</v>
      </c>
      <c r="G2343" t="s">
        <v>10038</v>
      </c>
      <c r="I2343" t="s">
        <v>1308</v>
      </c>
      <c r="J2343" t="s">
        <v>162</v>
      </c>
      <c r="K2343" t="s">
        <v>163</v>
      </c>
      <c r="N2343" t="s">
        <v>10043</v>
      </c>
      <c r="Q2343">
        <v>0</v>
      </c>
      <c r="R2343">
        <v>806</v>
      </c>
      <c r="S2343">
        <v>0</v>
      </c>
      <c r="T2343" t="s">
        <v>10040</v>
      </c>
    </row>
    <row r="2344" spans="1:20" customFormat="1" ht="15" hidden="1" x14ac:dyDescent="0.25">
      <c r="A2344" t="s">
        <v>24</v>
      </c>
      <c r="B2344" t="s">
        <v>10034</v>
      </c>
      <c r="C2344" t="str">
        <f>"A0188997"</f>
        <v>A0188997</v>
      </c>
      <c r="D2344" t="s">
        <v>10044</v>
      </c>
      <c r="E2344" t="s">
        <v>10045</v>
      </c>
      <c r="F2344" t="s">
        <v>1307</v>
      </c>
      <c r="G2344" t="s">
        <v>10038</v>
      </c>
      <c r="I2344" t="s">
        <v>1308</v>
      </c>
      <c r="J2344" t="s">
        <v>162</v>
      </c>
      <c r="K2344" t="s">
        <v>163</v>
      </c>
      <c r="N2344" t="s">
        <v>10039</v>
      </c>
      <c r="Q2344">
        <v>0</v>
      </c>
      <c r="R2344">
        <v>288</v>
      </c>
      <c r="S2344">
        <v>0</v>
      </c>
      <c r="T2344" t="s">
        <v>10046</v>
      </c>
    </row>
    <row r="2345" spans="1:20" customFormat="1" ht="15" hidden="1" x14ac:dyDescent="0.25">
      <c r="A2345" t="s">
        <v>24</v>
      </c>
      <c r="B2345" t="s">
        <v>10034</v>
      </c>
      <c r="C2345" t="str">
        <f>"A0188996"</f>
        <v>A0188996</v>
      </c>
      <c r="D2345" t="s">
        <v>10047</v>
      </c>
      <c r="E2345" t="s">
        <v>10048</v>
      </c>
      <c r="F2345" t="s">
        <v>1307</v>
      </c>
      <c r="G2345" t="s">
        <v>10038</v>
      </c>
      <c r="I2345" t="s">
        <v>1308</v>
      </c>
      <c r="J2345" t="s">
        <v>162</v>
      </c>
      <c r="K2345" t="s">
        <v>163</v>
      </c>
      <c r="N2345" t="s">
        <v>10039</v>
      </c>
      <c r="Q2345">
        <v>0</v>
      </c>
      <c r="R2345">
        <v>456</v>
      </c>
      <c r="S2345">
        <v>0</v>
      </c>
      <c r="T2345" t="s">
        <v>10040</v>
      </c>
    </row>
    <row r="2346" spans="1:20" customFormat="1" ht="15" x14ac:dyDescent="0.25">
      <c r="A2346" t="s">
        <v>24</v>
      </c>
      <c r="B2346" t="s">
        <v>193</v>
      </c>
      <c r="C2346" t="str">
        <f>"A0100002"</f>
        <v>A0100002</v>
      </c>
      <c r="D2346" t="s">
        <v>10049</v>
      </c>
      <c r="E2346" t="s">
        <v>10050</v>
      </c>
      <c r="F2346" t="s">
        <v>10051</v>
      </c>
      <c r="G2346" t="s">
        <v>117</v>
      </c>
      <c r="H2346">
        <v>49770</v>
      </c>
      <c r="I2346" t="s">
        <v>30</v>
      </c>
      <c r="J2346" t="s">
        <v>31</v>
      </c>
      <c r="K2346" t="s">
        <v>6809</v>
      </c>
      <c r="N2346" t="s">
        <v>10052</v>
      </c>
      <c r="Q2346">
        <v>0</v>
      </c>
      <c r="R2346">
        <v>58</v>
      </c>
      <c r="S2346">
        <v>0</v>
      </c>
      <c r="T2346" t="s">
        <v>10053</v>
      </c>
    </row>
    <row r="2347" spans="1:20" customFormat="1" ht="15" x14ac:dyDescent="0.25">
      <c r="A2347" t="s">
        <v>24</v>
      </c>
      <c r="B2347" t="s">
        <v>55108</v>
      </c>
      <c r="C2347" t="str">
        <f>"A0095386"</f>
        <v>A0095386</v>
      </c>
      <c r="D2347" t="s">
        <v>55109</v>
      </c>
      <c r="E2347" t="s">
        <v>55110</v>
      </c>
      <c r="F2347" t="s">
        <v>55111</v>
      </c>
      <c r="G2347" t="s">
        <v>214</v>
      </c>
      <c r="H2347">
        <v>28401</v>
      </c>
      <c r="I2347" t="s">
        <v>30</v>
      </c>
      <c r="J2347" t="s">
        <v>162</v>
      </c>
      <c r="K2347" t="s">
        <v>2881</v>
      </c>
      <c r="N2347" t="s">
        <v>55112</v>
      </c>
      <c r="O2347" t="s">
        <v>55113</v>
      </c>
      <c r="Q2347">
        <v>0</v>
      </c>
      <c r="R2347">
        <v>272</v>
      </c>
      <c r="S2347">
        <v>0</v>
      </c>
      <c r="T2347" t="s">
        <v>55114</v>
      </c>
    </row>
    <row r="2348" spans="1:20" customFormat="1" ht="15" hidden="1" x14ac:dyDescent="0.25">
      <c r="A2348" t="s">
        <v>24</v>
      </c>
      <c r="B2348" t="s">
        <v>10059</v>
      </c>
      <c r="C2348" t="str">
        <f>"A0189005"</f>
        <v>A0189005</v>
      </c>
      <c r="D2348" t="s">
        <v>10060</v>
      </c>
      <c r="E2348" t="s">
        <v>10061</v>
      </c>
      <c r="F2348" t="s">
        <v>5142</v>
      </c>
      <c r="G2348" t="s">
        <v>5143</v>
      </c>
      <c r="I2348" t="s">
        <v>5145</v>
      </c>
      <c r="J2348" t="s">
        <v>162</v>
      </c>
      <c r="K2348" t="s">
        <v>163</v>
      </c>
      <c r="N2348" t="s">
        <v>10062</v>
      </c>
      <c r="Q2348">
        <v>0</v>
      </c>
      <c r="R2348">
        <v>379</v>
      </c>
      <c r="S2348">
        <v>0</v>
      </c>
      <c r="T2348" t="s">
        <v>10040</v>
      </c>
    </row>
    <row r="2349" spans="1:20" customFormat="1" ht="15" hidden="1" x14ac:dyDescent="0.25">
      <c r="A2349" t="s">
        <v>24</v>
      </c>
      <c r="B2349" t="s">
        <v>10063</v>
      </c>
      <c r="C2349" t="str">
        <f>"A0189004"</f>
        <v>A0189004</v>
      </c>
      <c r="D2349" t="s">
        <v>10064</v>
      </c>
      <c r="E2349" t="s">
        <v>10065</v>
      </c>
      <c r="F2349" t="s">
        <v>10066</v>
      </c>
      <c r="G2349" t="s">
        <v>10038</v>
      </c>
      <c r="I2349" t="s">
        <v>1308</v>
      </c>
      <c r="J2349" t="s">
        <v>162</v>
      </c>
      <c r="K2349" t="s">
        <v>163</v>
      </c>
      <c r="N2349" t="s">
        <v>10039</v>
      </c>
      <c r="Q2349">
        <v>0</v>
      </c>
      <c r="R2349">
        <v>901</v>
      </c>
      <c r="S2349">
        <v>0</v>
      </c>
      <c r="T2349" t="s">
        <v>10040</v>
      </c>
    </row>
    <row r="2350" spans="1:20" customFormat="1" ht="15" hidden="1" x14ac:dyDescent="0.25">
      <c r="A2350" t="s">
        <v>24</v>
      </c>
      <c r="B2350" t="s">
        <v>10063</v>
      </c>
      <c r="C2350" t="str">
        <f>"A0189003"</f>
        <v>A0189003</v>
      </c>
      <c r="D2350" t="s">
        <v>10067</v>
      </c>
      <c r="E2350" t="s">
        <v>10068</v>
      </c>
      <c r="F2350" t="s">
        <v>10037</v>
      </c>
      <c r="G2350" t="s">
        <v>10038</v>
      </c>
      <c r="I2350" t="s">
        <v>1308</v>
      </c>
      <c r="J2350" t="s">
        <v>162</v>
      </c>
      <c r="K2350" t="s">
        <v>163</v>
      </c>
      <c r="Q2350">
        <v>0</v>
      </c>
      <c r="R2350">
        <v>458</v>
      </c>
      <c r="S2350">
        <v>0</v>
      </c>
      <c r="T2350" t="s">
        <v>10040</v>
      </c>
    </row>
    <row r="2351" spans="1:20" customFormat="1" ht="15" x14ac:dyDescent="0.25">
      <c r="A2351" t="s">
        <v>35</v>
      </c>
      <c r="B2351" t="s">
        <v>8631</v>
      </c>
      <c r="C2351" t="str">
        <f>"A0184350"</f>
        <v>A0184350</v>
      </c>
      <c r="D2351" t="s">
        <v>10069</v>
      </c>
      <c r="E2351" t="s">
        <v>10070</v>
      </c>
      <c r="F2351" t="s">
        <v>2457</v>
      </c>
      <c r="G2351" t="s">
        <v>81</v>
      </c>
      <c r="H2351">
        <v>321629301</v>
      </c>
      <c r="I2351" t="s">
        <v>30</v>
      </c>
      <c r="J2351" t="s">
        <v>41</v>
      </c>
      <c r="K2351" t="s">
        <v>229</v>
      </c>
      <c r="Q2351">
        <v>0</v>
      </c>
      <c r="R2351">
        <v>120</v>
      </c>
      <c r="S2351">
        <v>120</v>
      </c>
      <c r="T2351" t="s">
        <v>10071</v>
      </c>
    </row>
    <row r="2352" spans="1:20" customFormat="1" ht="15" x14ac:dyDescent="0.25">
      <c r="A2352" t="s">
        <v>35</v>
      </c>
      <c r="B2352" t="s">
        <v>887</v>
      </c>
      <c r="C2352" t="str">
        <f>"A0183252"</f>
        <v>A0183252</v>
      </c>
      <c r="D2352" t="s">
        <v>10072</v>
      </c>
      <c r="E2352" t="s">
        <v>10073</v>
      </c>
      <c r="F2352" t="s">
        <v>3671</v>
      </c>
      <c r="G2352" t="s">
        <v>81</v>
      </c>
      <c r="H2352">
        <v>34113</v>
      </c>
      <c r="I2352" t="s">
        <v>30</v>
      </c>
      <c r="J2352" t="s">
        <v>41</v>
      </c>
      <c r="K2352" t="s">
        <v>59</v>
      </c>
      <c r="Q2352">
        <v>0</v>
      </c>
      <c r="R2352">
        <v>0</v>
      </c>
      <c r="S2352">
        <v>0</v>
      </c>
      <c r="T2352" t="s">
        <v>10074</v>
      </c>
    </row>
    <row r="2353" spans="1:25" customFormat="1" ht="15" x14ac:dyDescent="0.25">
      <c r="A2353" t="s">
        <v>35</v>
      </c>
      <c r="B2353" t="s">
        <v>61</v>
      </c>
      <c r="C2353" t="str">
        <f>"A0129452"</f>
        <v>A0129452</v>
      </c>
      <c r="D2353" t="s">
        <v>10075</v>
      </c>
      <c r="E2353" t="s">
        <v>10076</v>
      </c>
      <c r="F2353" t="s">
        <v>9255</v>
      </c>
      <c r="G2353" t="s">
        <v>289</v>
      </c>
      <c r="H2353">
        <v>62521</v>
      </c>
      <c r="I2353" t="s">
        <v>30</v>
      </c>
      <c r="J2353" t="s">
        <v>41</v>
      </c>
      <c r="K2353" t="s">
        <v>131</v>
      </c>
      <c r="Q2353">
        <v>0</v>
      </c>
      <c r="R2353">
        <v>16</v>
      </c>
      <c r="S2353">
        <v>16</v>
      </c>
      <c r="T2353" t="s">
        <v>10077</v>
      </c>
    </row>
    <row r="2354" spans="1:25" customFormat="1" ht="15" x14ac:dyDescent="0.25">
      <c r="A2354" t="s">
        <v>24</v>
      </c>
      <c r="B2354" t="s">
        <v>675</v>
      </c>
      <c r="C2354" t="str">
        <f>"A0180581"</f>
        <v>A0180581</v>
      </c>
      <c r="D2354" t="s">
        <v>10078</v>
      </c>
      <c r="E2354" t="s">
        <v>10079</v>
      </c>
      <c r="F2354" t="s">
        <v>6865</v>
      </c>
      <c r="G2354" t="s">
        <v>90</v>
      </c>
      <c r="H2354">
        <v>2903</v>
      </c>
      <c r="I2354" t="s">
        <v>30</v>
      </c>
      <c r="J2354" t="s">
        <v>31</v>
      </c>
      <c r="K2354" t="s">
        <v>277</v>
      </c>
      <c r="N2354" t="s">
        <v>10080</v>
      </c>
      <c r="Q2354">
        <v>0</v>
      </c>
      <c r="R2354">
        <v>175</v>
      </c>
      <c r="S2354">
        <v>0</v>
      </c>
      <c r="T2354" t="s">
        <v>10081</v>
      </c>
    </row>
    <row r="2355" spans="1:25" customFormat="1" ht="15" x14ac:dyDescent="0.25">
      <c r="A2355" t="s">
        <v>24</v>
      </c>
      <c r="B2355" t="s">
        <v>734</v>
      </c>
      <c r="C2355" t="str">
        <f>"A0189012"</f>
        <v>A0189012</v>
      </c>
      <c r="D2355" t="s">
        <v>10082</v>
      </c>
      <c r="E2355" t="s">
        <v>10083</v>
      </c>
      <c r="F2355" t="s">
        <v>10084</v>
      </c>
      <c r="G2355" t="s">
        <v>110</v>
      </c>
      <c r="H2355">
        <v>94541</v>
      </c>
      <c r="I2355" t="s">
        <v>30</v>
      </c>
      <c r="J2355" t="s">
        <v>31</v>
      </c>
      <c r="K2355" t="s">
        <v>261</v>
      </c>
      <c r="N2355" t="s">
        <v>10085</v>
      </c>
      <c r="Q2355">
        <v>0</v>
      </c>
      <c r="R2355">
        <v>110</v>
      </c>
      <c r="S2355">
        <v>0</v>
      </c>
      <c r="T2355" t="s">
        <v>10086</v>
      </c>
    </row>
    <row r="2356" spans="1:25" hidden="1" x14ac:dyDescent="0.25">
      <c r="A2356" s="3" t="s">
        <v>24</v>
      </c>
      <c r="B2356" s="3" t="s">
        <v>10087</v>
      </c>
      <c r="C2356" s="3" t="str">
        <f>"A0099852"</f>
        <v>A0099852</v>
      </c>
      <c r="D2356" s="3" t="s">
        <v>10088</v>
      </c>
      <c r="E2356" s="3" t="s">
        <v>10089</v>
      </c>
      <c r="F2356" s="3" t="s">
        <v>10090</v>
      </c>
      <c r="G2356" s="3" t="s">
        <v>10091</v>
      </c>
      <c r="I2356" s="3" t="s">
        <v>10092</v>
      </c>
      <c r="J2356" s="3" t="s">
        <v>206</v>
      </c>
      <c r="K2356" s="3" t="s">
        <v>10093</v>
      </c>
      <c r="N2356" s="3" t="s">
        <v>10094</v>
      </c>
      <c r="O2356" s="3" t="s">
        <v>10095</v>
      </c>
      <c r="Q2356" s="3">
        <v>0</v>
      </c>
      <c r="R2356" s="3">
        <v>35</v>
      </c>
      <c r="S2356" s="3">
        <v>0</v>
      </c>
      <c r="T2356" s="3" t="s">
        <v>10096</v>
      </c>
    </row>
    <row r="2357" spans="1:25" customFormat="1" ht="15" x14ac:dyDescent="0.25">
      <c r="A2357" t="s">
        <v>24</v>
      </c>
      <c r="B2357" t="s">
        <v>55108</v>
      </c>
      <c r="C2357" t="str">
        <f>"SF05124"</f>
        <v>SF05124</v>
      </c>
      <c r="D2357" t="s">
        <v>55115</v>
      </c>
      <c r="E2357" t="s">
        <v>55116</v>
      </c>
      <c r="F2357" t="s">
        <v>1564</v>
      </c>
      <c r="G2357" t="s">
        <v>52</v>
      </c>
      <c r="H2357">
        <v>77002</v>
      </c>
      <c r="I2357" t="s">
        <v>30</v>
      </c>
      <c r="J2357" t="s">
        <v>162</v>
      </c>
      <c r="K2357" t="s">
        <v>163</v>
      </c>
      <c r="N2357" t="s">
        <v>55117</v>
      </c>
      <c r="Q2357">
        <v>0</v>
      </c>
      <c r="R2357">
        <v>259</v>
      </c>
      <c r="S2357">
        <v>0</v>
      </c>
      <c r="T2357" t="s">
        <v>55118</v>
      </c>
    </row>
    <row r="2358" spans="1:25" customFormat="1" ht="15" x14ac:dyDescent="0.25">
      <c r="A2358" t="s">
        <v>24</v>
      </c>
      <c r="B2358" t="s">
        <v>257</v>
      </c>
      <c r="C2358" t="str">
        <f>"A0092400"</f>
        <v>A0092400</v>
      </c>
      <c r="D2358" t="s">
        <v>10103</v>
      </c>
      <c r="E2358" t="s">
        <v>10104</v>
      </c>
      <c r="F2358" t="s">
        <v>7921</v>
      </c>
      <c r="G2358" t="s">
        <v>880</v>
      </c>
      <c r="H2358">
        <v>37067</v>
      </c>
      <c r="I2358" t="s">
        <v>30</v>
      </c>
      <c r="J2358" t="s">
        <v>31</v>
      </c>
      <c r="K2358" t="s">
        <v>277</v>
      </c>
      <c r="N2358" t="s">
        <v>10105</v>
      </c>
      <c r="O2358" t="s">
        <v>10106</v>
      </c>
      <c r="Q2358">
        <v>0</v>
      </c>
      <c r="R2358">
        <v>143</v>
      </c>
      <c r="S2358">
        <v>0</v>
      </c>
      <c r="T2358" t="s">
        <v>10107</v>
      </c>
    </row>
    <row r="2359" spans="1:25" customFormat="1" ht="15" x14ac:dyDescent="0.25">
      <c r="A2359" t="s">
        <v>24</v>
      </c>
      <c r="B2359" t="s">
        <v>55108</v>
      </c>
      <c r="C2359" t="str">
        <f>"A0095385"</f>
        <v>A0095385</v>
      </c>
      <c r="D2359" t="s">
        <v>55119</v>
      </c>
      <c r="E2359" t="s">
        <v>55120</v>
      </c>
      <c r="F2359" t="s">
        <v>2839</v>
      </c>
      <c r="G2359" t="s">
        <v>846</v>
      </c>
      <c r="H2359">
        <v>31401</v>
      </c>
      <c r="I2359" t="s">
        <v>30</v>
      </c>
      <c r="J2359" t="s">
        <v>162</v>
      </c>
      <c r="K2359" t="s">
        <v>163</v>
      </c>
      <c r="N2359" t="s">
        <v>55121</v>
      </c>
      <c r="Q2359">
        <v>0</v>
      </c>
      <c r="R2359">
        <v>246</v>
      </c>
      <c r="S2359">
        <v>0</v>
      </c>
      <c r="T2359" t="s">
        <v>55122</v>
      </c>
    </row>
    <row r="2360" spans="1:25" customFormat="1" ht="15" x14ac:dyDescent="0.25">
      <c r="A2360" t="s">
        <v>24</v>
      </c>
      <c r="B2360" t="s">
        <v>4366</v>
      </c>
      <c r="C2360" t="str">
        <f>"A0088790"</f>
        <v>A0088790</v>
      </c>
      <c r="D2360" t="s">
        <v>10111</v>
      </c>
      <c r="E2360" t="s">
        <v>10112</v>
      </c>
      <c r="F2360" t="s">
        <v>10113</v>
      </c>
      <c r="G2360" t="s">
        <v>71</v>
      </c>
      <c r="H2360">
        <v>54656</v>
      </c>
      <c r="I2360" t="s">
        <v>30</v>
      </c>
      <c r="J2360" t="s">
        <v>3881</v>
      </c>
      <c r="K2360" t="s">
        <v>163</v>
      </c>
      <c r="Q2360">
        <v>0</v>
      </c>
      <c r="R2360">
        <v>0</v>
      </c>
      <c r="S2360">
        <v>0</v>
      </c>
      <c r="T2360" t="s">
        <v>9378</v>
      </c>
    </row>
    <row r="2361" spans="1:25" customFormat="1" ht="15" x14ac:dyDescent="0.25">
      <c r="A2361" t="s">
        <v>35</v>
      </c>
      <c r="B2361" t="s">
        <v>10114</v>
      </c>
      <c r="C2361" t="str">
        <f>"A0123836"</f>
        <v>A0123836</v>
      </c>
      <c r="D2361" t="s">
        <v>10115</v>
      </c>
      <c r="E2361" t="s">
        <v>10116</v>
      </c>
      <c r="F2361" t="s">
        <v>1795</v>
      </c>
      <c r="G2361" t="s">
        <v>29</v>
      </c>
      <c r="H2361">
        <v>232296045</v>
      </c>
      <c r="I2361" t="s">
        <v>30</v>
      </c>
      <c r="J2361" t="s">
        <v>41</v>
      </c>
      <c r="K2361" t="s">
        <v>59</v>
      </c>
      <c r="Q2361">
        <v>0</v>
      </c>
      <c r="R2361">
        <v>70</v>
      </c>
      <c r="S2361">
        <v>70</v>
      </c>
      <c r="T2361" t="s">
        <v>10117</v>
      </c>
    </row>
    <row r="2362" spans="1:25" x14ac:dyDescent="0.25">
      <c r="A2362" s="5" t="s">
        <v>24</v>
      </c>
      <c r="B2362" s="5" t="s">
        <v>55108</v>
      </c>
      <c r="C2362" s="5" t="str">
        <f>"A0060989"</f>
        <v>A0060989</v>
      </c>
      <c r="D2362" s="5" t="s">
        <v>55123</v>
      </c>
      <c r="E2362" s="5" t="s">
        <v>55124</v>
      </c>
      <c r="F2362" s="5" t="s">
        <v>845</v>
      </c>
      <c r="G2362" s="5" t="s">
        <v>846</v>
      </c>
      <c r="H2362" s="5">
        <v>30308</v>
      </c>
      <c r="I2362" s="5" t="s">
        <v>30</v>
      </c>
      <c r="J2362" s="5" t="s">
        <v>162</v>
      </c>
      <c r="K2362" s="5" t="s">
        <v>163</v>
      </c>
      <c r="L2362" s="5"/>
      <c r="M2362" s="5"/>
      <c r="N2362" s="5" t="s">
        <v>55125</v>
      </c>
      <c r="O2362" s="5" t="s">
        <v>55126</v>
      </c>
      <c r="P2362" s="5"/>
      <c r="Q2362" s="5">
        <v>0</v>
      </c>
      <c r="R2362" s="5">
        <v>326</v>
      </c>
      <c r="S2362" s="5">
        <v>0</v>
      </c>
      <c r="T2362" s="5" t="s">
        <v>55127</v>
      </c>
      <c r="U2362" s="5"/>
      <c r="V2362" s="5"/>
      <c r="W2362" s="5"/>
      <c r="X2362" s="5"/>
      <c r="Y2362" s="5"/>
    </row>
    <row r="2363" spans="1:25" customFormat="1" ht="15" x14ac:dyDescent="0.25">
      <c r="A2363" t="s">
        <v>24</v>
      </c>
      <c r="B2363" t="s">
        <v>55108</v>
      </c>
      <c r="C2363" t="str">
        <f>"A0095388"</f>
        <v>A0095388</v>
      </c>
      <c r="D2363" t="s">
        <v>55133</v>
      </c>
      <c r="E2363" t="s">
        <v>55134</v>
      </c>
      <c r="F2363" t="s">
        <v>35414</v>
      </c>
      <c r="G2363" t="s">
        <v>381</v>
      </c>
      <c r="H2363">
        <v>47130</v>
      </c>
      <c r="I2363" t="s">
        <v>30</v>
      </c>
      <c r="J2363" t="s">
        <v>162</v>
      </c>
      <c r="K2363" t="s">
        <v>1502</v>
      </c>
      <c r="N2363" t="s">
        <v>55135</v>
      </c>
      <c r="Q2363">
        <v>0</v>
      </c>
      <c r="R2363">
        <v>180</v>
      </c>
      <c r="S2363">
        <v>0</v>
      </c>
      <c r="T2363" t="s">
        <v>55136</v>
      </c>
    </row>
    <row r="2364" spans="1:25" customFormat="1" ht="15" x14ac:dyDescent="0.25">
      <c r="A2364" t="s">
        <v>24</v>
      </c>
      <c r="B2364" t="s">
        <v>55108</v>
      </c>
      <c r="C2364" t="str">
        <f>"A0087772"</f>
        <v>A0087772</v>
      </c>
      <c r="D2364" t="s">
        <v>55137</v>
      </c>
      <c r="E2364" t="s">
        <v>55138</v>
      </c>
      <c r="F2364" t="s">
        <v>3955</v>
      </c>
      <c r="G2364" t="s">
        <v>81</v>
      </c>
      <c r="H2364">
        <v>33609</v>
      </c>
      <c r="I2364" t="s">
        <v>30</v>
      </c>
      <c r="J2364" t="s">
        <v>162</v>
      </c>
      <c r="K2364" t="s">
        <v>2881</v>
      </c>
      <c r="N2364" t="s">
        <v>13278</v>
      </c>
      <c r="Q2364">
        <v>0</v>
      </c>
      <c r="R2364">
        <v>222</v>
      </c>
      <c r="S2364">
        <v>0</v>
      </c>
      <c r="T2364" t="s">
        <v>55139</v>
      </c>
    </row>
    <row r="2365" spans="1:25" customFormat="1" ht="15" x14ac:dyDescent="0.25">
      <c r="A2365" t="s">
        <v>24</v>
      </c>
      <c r="B2365" t="s">
        <v>193</v>
      </c>
      <c r="C2365" t="str">
        <f>"A0076826"</f>
        <v>A0076826</v>
      </c>
      <c r="D2365" t="s">
        <v>10135</v>
      </c>
      <c r="E2365" t="s">
        <v>10136</v>
      </c>
      <c r="F2365" t="s">
        <v>10137</v>
      </c>
      <c r="G2365" t="s">
        <v>338</v>
      </c>
      <c r="H2365" t="s">
        <v>10138</v>
      </c>
      <c r="I2365" t="s">
        <v>30</v>
      </c>
      <c r="J2365" t="s">
        <v>31</v>
      </c>
      <c r="K2365" t="s">
        <v>1331</v>
      </c>
      <c r="N2365" t="s">
        <v>10139</v>
      </c>
      <c r="O2365" t="s">
        <v>10140</v>
      </c>
      <c r="Q2365">
        <v>0</v>
      </c>
      <c r="R2365">
        <v>132</v>
      </c>
      <c r="S2365">
        <v>0</v>
      </c>
      <c r="T2365" t="s">
        <v>10141</v>
      </c>
    </row>
    <row r="2366" spans="1:25" customFormat="1" ht="15" x14ac:dyDescent="0.25">
      <c r="A2366" t="s">
        <v>24</v>
      </c>
      <c r="B2366" t="s">
        <v>55108</v>
      </c>
      <c r="C2366" t="str">
        <f>"A0068522"</f>
        <v>A0068522</v>
      </c>
      <c r="D2366" t="s">
        <v>55140</v>
      </c>
      <c r="E2366" t="s">
        <v>55141</v>
      </c>
      <c r="F2366" t="s">
        <v>472</v>
      </c>
      <c r="G2366" t="s">
        <v>214</v>
      </c>
      <c r="H2366">
        <v>27605</v>
      </c>
      <c r="I2366" t="s">
        <v>30</v>
      </c>
      <c r="J2366" t="s">
        <v>162</v>
      </c>
      <c r="K2366" t="s">
        <v>759</v>
      </c>
      <c r="N2366" t="s">
        <v>55142</v>
      </c>
      <c r="Q2366">
        <v>0</v>
      </c>
      <c r="R2366">
        <v>190</v>
      </c>
      <c r="S2366">
        <v>0</v>
      </c>
      <c r="T2366" t="s">
        <v>55143</v>
      </c>
    </row>
    <row r="2367" spans="1:25" customFormat="1" ht="15" x14ac:dyDescent="0.25">
      <c r="A2367" t="s">
        <v>24</v>
      </c>
      <c r="B2367" t="s">
        <v>55108</v>
      </c>
      <c r="C2367" t="str">
        <f>"A0068176"</f>
        <v>A0068176</v>
      </c>
      <c r="D2367" t="s">
        <v>55144</v>
      </c>
      <c r="E2367" t="s">
        <v>55145</v>
      </c>
      <c r="F2367" t="s">
        <v>55146</v>
      </c>
      <c r="G2367" t="s">
        <v>123</v>
      </c>
      <c r="H2367">
        <v>20707</v>
      </c>
      <c r="I2367" t="s">
        <v>30</v>
      </c>
      <c r="J2367" t="s">
        <v>162</v>
      </c>
      <c r="K2367" t="s">
        <v>759</v>
      </c>
      <c r="N2367" t="s">
        <v>55147</v>
      </c>
      <c r="Q2367">
        <v>0</v>
      </c>
      <c r="R2367">
        <v>208</v>
      </c>
      <c r="S2367">
        <v>0</v>
      </c>
      <c r="T2367" t="s">
        <v>55148</v>
      </c>
    </row>
    <row r="2368" spans="1:25" customFormat="1" ht="15" x14ac:dyDescent="0.25">
      <c r="A2368" t="s">
        <v>24</v>
      </c>
      <c r="B2368" t="s">
        <v>55108</v>
      </c>
      <c r="C2368" t="str">
        <f>"337A4"</f>
        <v>337A4</v>
      </c>
      <c r="D2368" t="s">
        <v>55149</v>
      </c>
      <c r="E2368" t="s">
        <v>55150</v>
      </c>
      <c r="F2368" t="s">
        <v>9812</v>
      </c>
      <c r="G2368" t="s">
        <v>103</v>
      </c>
      <c r="H2368">
        <v>19153</v>
      </c>
      <c r="I2368" t="s">
        <v>30</v>
      </c>
      <c r="J2368" t="s">
        <v>162</v>
      </c>
      <c r="K2368" t="s">
        <v>759</v>
      </c>
      <c r="Q2368">
        <v>0</v>
      </c>
      <c r="R2368">
        <v>331</v>
      </c>
      <c r="S2368">
        <v>0</v>
      </c>
      <c r="T2368" t="s">
        <v>55151</v>
      </c>
    </row>
    <row r="2369" spans="1:20" customFormat="1" ht="15" x14ac:dyDescent="0.25">
      <c r="A2369" t="s">
        <v>24</v>
      </c>
      <c r="B2369" t="s">
        <v>55108</v>
      </c>
      <c r="C2369" t="str">
        <f>"A0083140"</f>
        <v>A0083140</v>
      </c>
      <c r="D2369" t="s">
        <v>55152</v>
      </c>
      <c r="E2369" t="s">
        <v>55153</v>
      </c>
      <c r="F2369" t="s">
        <v>2443</v>
      </c>
      <c r="G2369" t="s">
        <v>81</v>
      </c>
      <c r="H2369">
        <v>32207</v>
      </c>
      <c r="I2369" t="s">
        <v>30</v>
      </c>
      <c r="J2369" t="s">
        <v>162</v>
      </c>
      <c r="K2369" t="s">
        <v>759</v>
      </c>
      <c r="N2369" t="s">
        <v>55154</v>
      </c>
      <c r="Q2369">
        <v>0</v>
      </c>
      <c r="R2369">
        <v>293</v>
      </c>
      <c r="S2369">
        <v>0</v>
      </c>
      <c r="T2369" t="s">
        <v>55155</v>
      </c>
    </row>
    <row r="2370" spans="1:20" customFormat="1" ht="15" x14ac:dyDescent="0.25">
      <c r="A2370" t="s">
        <v>24</v>
      </c>
      <c r="B2370" t="s">
        <v>33690</v>
      </c>
      <c r="C2370" t="str">
        <f>"A0162231"</f>
        <v>A0162231</v>
      </c>
      <c r="D2370" t="s">
        <v>55161</v>
      </c>
      <c r="E2370" t="s">
        <v>55162</v>
      </c>
      <c r="F2370" t="s">
        <v>55163</v>
      </c>
      <c r="G2370" t="s">
        <v>1898</v>
      </c>
      <c r="H2370">
        <v>50309</v>
      </c>
      <c r="I2370" t="s">
        <v>30</v>
      </c>
      <c r="J2370" t="s">
        <v>162</v>
      </c>
      <c r="K2370" t="s">
        <v>163</v>
      </c>
      <c r="N2370" t="s">
        <v>55164</v>
      </c>
      <c r="Q2370">
        <v>0</v>
      </c>
      <c r="R2370">
        <v>138</v>
      </c>
      <c r="S2370">
        <v>0</v>
      </c>
      <c r="T2370" t="s">
        <v>55165</v>
      </c>
    </row>
    <row r="2371" spans="1:20" customFormat="1" ht="15" x14ac:dyDescent="0.25">
      <c r="A2371" t="s">
        <v>35</v>
      </c>
      <c r="B2371" t="s">
        <v>36</v>
      </c>
      <c r="C2371" t="str">
        <f>"A0188987"</f>
        <v>A0188987</v>
      </c>
      <c r="D2371" t="s">
        <v>10165</v>
      </c>
      <c r="E2371" t="s">
        <v>10166</v>
      </c>
      <c r="F2371" t="s">
        <v>8703</v>
      </c>
      <c r="G2371" t="s">
        <v>137</v>
      </c>
      <c r="H2371">
        <v>64109</v>
      </c>
      <c r="I2371" t="s">
        <v>30</v>
      </c>
      <c r="J2371" t="s">
        <v>41</v>
      </c>
      <c r="K2371" t="s">
        <v>42</v>
      </c>
      <c r="Q2371">
        <v>0</v>
      </c>
      <c r="R2371">
        <v>0</v>
      </c>
      <c r="S2371">
        <v>0</v>
      </c>
      <c r="T2371" t="s">
        <v>10167</v>
      </c>
    </row>
    <row r="2372" spans="1:20" customFormat="1" ht="15" x14ac:dyDescent="0.25">
      <c r="A2372" t="s">
        <v>35</v>
      </c>
      <c r="B2372" t="s">
        <v>36</v>
      </c>
      <c r="C2372" t="str">
        <f>"A0188986"</f>
        <v>A0188986</v>
      </c>
      <c r="D2372" t="s">
        <v>10168</v>
      </c>
      <c r="E2372" t="s">
        <v>10169</v>
      </c>
      <c r="F2372" t="s">
        <v>10170</v>
      </c>
      <c r="G2372" t="s">
        <v>2450</v>
      </c>
      <c r="H2372">
        <v>4938</v>
      </c>
      <c r="I2372" t="s">
        <v>30</v>
      </c>
      <c r="J2372" t="s">
        <v>41</v>
      </c>
      <c r="K2372" t="s">
        <v>42</v>
      </c>
      <c r="Q2372">
        <v>0</v>
      </c>
      <c r="R2372">
        <v>0</v>
      </c>
      <c r="S2372">
        <v>0</v>
      </c>
      <c r="T2372" t="s">
        <v>10171</v>
      </c>
    </row>
    <row r="2373" spans="1:20" customFormat="1" ht="15" x14ac:dyDescent="0.25">
      <c r="A2373" t="s">
        <v>35</v>
      </c>
      <c r="B2373" t="s">
        <v>54</v>
      </c>
      <c r="C2373" t="str">
        <f>"A0188985"</f>
        <v>A0188985</v>
      </c>
      <c r="D2373" t="s">
        <v>10172</v>
      </c>
      <c r="E2373" t="s">
        <v>10173</v>
      </c>
      <c r="F2373" t="s">
        <v>10174</v>
      </c>
      <c r="G2373" t="s">
        <v>85</v>
      </c>
      <c r="H2373">
        <v>72211</v>
      </c>
      <c r="I2373" t="s">
        <v>30</v>
      </c>
      <c r="J2373" t="s">
        <v>41</v>
      </c>
      <c r="K2373" t="s">
        <v>229</v>
      </c>
      <c r="Q2373">
        <v>0</v>
      </c>
      <c r="R2373">
        <v>0</v>
      </c>
      <c r="S2373">
        <v>70</v>
      </c>
      <c r="T2373" t="s">
        <v>10175</v>
      </c>
    </row>
    <row r="2374" spans="1:20" customFormat="1" ht="15" x14ac:dyDescent="0.25">
      <c r="A2374" t="s">
        <v>35</v>
      </c>
      <c r="B2374" t="s">
        <v>54</v>
      </c>
      <c r="C2374" t="str">
        <f>"A0188984"</f>
        <v>A0188984</v>
      </c>
      <c r="D2374" t="s">
        <v>10176</v>
      </c>
      <c r="E2374" t="s">
        <v>10177</v>
      </c>
      <c r="F2374" t="s">
        <v>10174</v>
      </c>
      <c r="G2374" t="s">
        <v>85</v>
      </c>
      <c r="H2374">
        <v>72204</v>
      </c>
      <c r="I2374" t="s">
        <v>30</v>
      </c>
      <c r="J2374" t="s">
        <v>41</v>
      </c>
      <c r="K2374" t="s">
        <v>229</v>
      </c>
      <c r="Q2374">
        <v>0</v>
      </c>
      <c r="R2374">
        <v>0</v>
      </c>
      <c r="S2374">
        <v>139</v>
      </c>
      <c r="T2374" t="s">
        <v>10178</v>
      </c>
    </row>
    <row r="2375" spans="1:20" customFormat="1" ht="15" x14ac:dyDescent="0.25">
      <c r="A2375" t="s">
        <v>35</v>
      </c>
      <c r="B2375" t="s">
        <v>10179</v>
      </c>
      <c r="C2375" t="str">
        <f>"A0188983"</f>
        <v>A0188983</v>
      </c>
      <c r="D2375" t="s">
        <v>10180</v>
      </c>
      <c r="E2375" t="s">
        <v>10181</v>
      </c>
      <c r="F2375" t="s">
        <v>10182</v>
      </c>
      <c r="G2375" t="s">
        <v>289</v>
      </c>
      <c r="H2375">
        <v>62411</v>
      </c>
      <c r="I2375" t="s">
        <v>30</v>
      </c>
      <c r="J2375" t="s">
        <v>41</v>
      </c>
      <c r="K2375" t="s">
        <v>391</v>
      </c>
      <c r="Q2375">
        <v>0</v>
      </c>
      <c r="R2375">
        <v>0</v>
      </c>
      <c r="S2375">
        <v>0</v>
      </c>
      <c r="T2375" t="s">
        <v>10183</v>
      </c>
    </row>
    <row r="2376" spans="1:20" customFormat="1" ht="15" x14ac:dyDescent="0.25">
      <c r="A2376" t="s">
        <v>35</v>
      </c>
      <c r="B2376" t="s">
        <v>10184</v>
      </c>
      <c r="C2376" t="str">
        <f>"A0188982"</f>
        <v>A0188982</v>
      </c>
      <c r="D2376" t="s">
        <v>10185</v>
      </c>
      <c r="E2376" t="s">
        <v>10186</v>
      </c>
      <c r="F2376" t="s">
        <v>10187</v>
      </c>
      <c r="G2376" t="s">
        <v>197</v>
      </c>
      <c r="H2376">
        <v>85037</v>
      </c>
      <c r="I2376" t="s">
        <v>30</v>
      </c>
      <c r="J2376" t="s">
        <v>41</v>
      </c>
      <c r="K2376" t="s">
        <v>229</v>
      </c>
      <c r="Q2376">
        <v>0</v>
      </c>
      <c r="R2376">
        <v>0</v>
      </c>
      <c r="S2376">
        <v>108</v>
      </c>
      <c r="T2376" t="s">
        <v>72</v>
      </c>
    </row>
    <row r="2377" spans="1:20" customFormat="1" ht="15" x14ac:dyDescent="0.25">
      <c r="A2377" t="s">
        <v>35</v>
      </c>
      <c r="B2377" t="s">
        <v>9212</v>
      </c>
      <c r="C2377" t="str">
        <f>"A0188981"</f>
        <v>A0188981</v>
      </c>
      <c r="D2377" t="s">
        <v>10188</v>
      </c>
      <c r="E2377" t="s">
        <v>10189</v>
      </c>
      <c r="F2377" t="s">
        <v>10190</v>
      </c>
      <c r="G2377" t="s">
        <v>110</v>
      </c>
      <c r="H2377">
        <v>90505</v>
      </c>
      <c r="I2377" t="s">
        <v>30</v>
      </c>
      <c r="J2377" t="s">
        <v>41</v>
      </c>
      <c r="K2377" t="s">
        <v>229</v>
      </c>
      <c r="Q2377">
        <v>0</v>
      </c>
      <c r="R2377">
        <v>0</v>
      </c>
      <c r="S2377">
        <v>0</v>
      </c>
      <c r="T2377" t="s">
        <v>72</v>
      </c>
    </row>
    <row r="2378" spans="1:20" customFormat="1" ht="15" x14ac:dyDescent="0.25">
      <c r="A2378" t="s">
        <v>35</v>
      </c>
      <c r="B2378" t="s">
        <v>9212</v>
      </c>
      <c r="C2378" t="str">
        <f>"A0188980"</f>
        <v>A0188980</v>
      </c>
      <c r="D2378" t="s">
        <v>10191</v>
      </c>
      <c r="E2378" t="s">
        <v>10192</v>
      </c>
      <c r="F2378" t="s">
        <v>3681</v>
      </c>
      <c r="G2378" t="s">
        <v>110</v>
      </c>
      <c r="H2378">
        <v>91741</v>
      </c>
      <c r="I2378" t="s">
        <v>30</v>
      </c>
      <c r="J2378" t="s">
        <v>41</v>
      </c>
      <c r="K2378" t="s">
        <v>229</v>
      </c>
      <c r="Q2378">
        <v>0</v>
      </c>
      <c r="R2378">
        <v>0</v>
      </c>
      <c r="S2378">
        <v>0</v>
      </c>
      <c r="T2378" t="s">
        <v>72</v>
      </c>
    </row>
    <row r="2379" spans="1:20" customFormat="1" ht="15" x14ac:dyDescent="0.25">
      <c r="A2379" t="s">
        <v>35</v>
      </c>
      <c r="B2379" t="s">
        <v>9212</v>
      </c>
      <c r="C2379" t="str">
        <f>"A0188979"</f>
        <v>A0188979</v>
      </c>
      <c r="D2379" t="s">
        <v>9212</v>
      </c>
      <c r="E2379" t="s">
        <v>10193</v>
      </c>
      <c r="F2379" t="s">
        <v>6534</v>
      </c>
      <c r="G2379" t="s">
        <v>110</v>
      </c>
      <c r="H2379">
        <v>91606</v>
      </c>
      <c r="I2379" t="s">
        <v>30</v>
      </c>
      <c r="J2379" t="s">
        <v>41</v>
      </c>
      <c r="K2379" t="s">
        <v>290</v>
      </c>
      <c r="Q2379">
        <v>0</v>
      </c>
      <c r="R2379">
        <v>0</v>
      </c>
      <c r="S2379">
        <v>0</v>
      </c>
      <c r="T2379" t="s">
        <v>72</v>
      </c>
    </row>
    <row r="2380" spans="1:20" customFormat="1" ht="15" x14ac:dyDescent="0.25">
      <c r="A2380" t="s">
        <v>35</v>
      </c>
      <c r="B2380" t="s">
        <v>9212</v>
      </c>
      <c r="C2380" t="str">
        <f>"A0188978"</f>
        <v>A0188978</v>
      </c>
      <c r="D2380" t="s">
        <v>10194</v>
      </c>
      <c r="E2380" t="s">
        <v>10195</v>
      </c>
      <c r="F2380" t="s">
        <v>10196</v>
      </c>
      <c r="G2380" t="s">
        <v>110</v>
      </c>
      <c r="H2380">
        <v>91780</v>
      </c>
      <c r="I2380" t="s">
        <v>30</v>
      </c>
      <c r="J2380" t="s">
        <v>41</v>
      </c>
      <c r="K2380" t="s">
        <v>229</v>
      </c>
      <c r="Q2380">
        <v>0</v>
      </c>
      <c r="R2380">
        <v>0</v>
      </c>
      <c r="S2380">
        <v>0</v>
      </c>
      <c r="T2380" t="s">
        <v>72</v>
      </c>
    </row>
    <row r="2381" spans="1:20" customFormat="1" ht="15" x14ac:dyDescent="0.25">
      <c r="A2381" t="s">
        <v>35</v>
      </c>
      <c r="B2381" t="s">
        <v>9212</v>
      </c>
      <c r="C2381" t="str">
        <f>"A0188977"</f>
        <v>A0188977</v>
      </c>
      <c r="D2381" t="s">
        <v>10197</v>
      </c>
      <c r="E2381" t="s">
        <v>10198</v>
      </c>
      <c r="F2381" t="s">
        <v>6244</v>
      </c>
      <c r="G2381" t="s">
        <v>110</v>
      </c>
      <c r="H2381">
        <v>93711</v>
      </c>
      <c r="I2381" t="s">
        <v>30</v>
      </c>
      <c r="J2381" t="s">
        <v>41</v>
      </c>
      <c r="K2381" t="s">
        <v>290</v>
      </c>
      <c r="Q2381">
        <v>0</v>
      </c>
      <c r="R2381">
        <v>0</v>
      </c>
      <c r="S2381">
        <v>0</v>
      </c>
      <c r="T2381" t="s">
        <v>72</v>
      </c>
    </row>
    <row r="2382" spans="1:20" customFormat="1" ht="15" x14ac:dyDescent="0.25">
      <c r="A2382" t="s">
        <v>35</v>
      </c>
      <c r="B2382" t="s">
        <v>9644</v>
      </c>
      <c r="C2382" t="str">
        <f>"A0188976"</f>
        <v>A0188976</v>
      </c>
      <c r="D2382" t="s">
        <v>10199</v>
      </c>
      <c r="E2382" t="s">
        <v>10200</v>
      </c>
      <c r="F2382" t="s">
        <v>10201</v>
      </c>
      <c r="G2382" t="s">
        <v>71</v>
      </c>
      <c r="H2382">
        <v>54476</v>
      </c>
      <c r="I2382" t="s">
        <v>30</v>
      </c>
      <c r="J2382" t="s">
        <v>41</v>
      </c>
      <c r="K2382" t="s">
        <v>229</v>
      </c>
      <c r="Q2382">
        <v>0</v>
      </c>
      <c r="R2382">
        <v>0</v>
      </c>
      <c r="S2382">
        <v>84</v>
      </c>
      <c r="T2382" t="s">
        <v>10202</v>
      </c>
    </row>
    <row r="2383" spans="1:20" customFormat="1" ht="15" x14ac:dyDescent="0.25">
      <c r="A2383" t="s">
        <v>35</v>
      </c>
      <c r="B2383" t="s">
        <v>61</v>
      </c>
      <c r="C2383" t="str">
        <f>"A0188975"</f>
        <v>A0188975</v>
      </c>
      <c r="D2383" t="s">
        <v>10203</v>
      </c>
      <c r="E2383" t="s">
        <v>10204</v>
      </c>
      <c r="F2383" t="s">
        <v>10205</v>
      </c>
      <c r="G2383" t="s">
        <v>1898</v>
      </c>
      <c r="H2383">
        <v>50323</v>
      </c>
      <c r="I2383" t="s">
        <v>30</v>
      </c>
      <c r="J2383" t="s">
        <v>41</v>
      </c>
      <c r="K2383" t="s">
        <v>229</v>
      </c>
      <c r="Q2383">
        <v>0</v>
      </c>
      <c r="R2383">
        <v>0</v>
      </c>
      <c r="S2383">
        <v>0</v>
      </c>
      <c r="T2383" t="s">
        <v>72</v>
      </c>
    </row>
    <row r="2384" spans="1:20" customFormat="1" ht="15" x14ac:dyDescent="0.25">
      <c r="A2384" t="s">
        <v>35</v>
      </c>
      <c r="B2384" t="s">
        <v>9644</v>
      </c>
      <c r="C2384" t="str">
        <f>"A0188974"</f>
        <v>A0188974</v>
      </c>
      <c r="D2384" t="s">
        <v>10206</v>
      </c>
      <c r="E2384" t="s">
        <v>10207</v>
      </c>
      <c r="F2384" t="s">
        <v>10208</v>
      </c>
      <c r="G2384" t="s">
        <v>71</v>
      </c>
      <c r="H2384">
        <v>54115</v>
      </c>
      <c r="I2384" t="s">
        <v>30</v>
      </c>
      <c r="J2384" t="s">
        <v>41</v>
      </c>
      <c r="K2384" t="s">
        <v>59</v>
      </c>
      <c r="Q2384">
        <v>0</v>
      </c>
      <c r="R2384">
        <v>0</v>
      </c>
      <c r="S2384">
        <v>75</v>
      </c>
      <c r="T2384" t="s">
        <v>10209</v>
      </c>
    </row>
    <row r="2385" spans="1:20" customFormat="1" ht="15" x14ac:dyDescent="0.25">
      <c r="A2385" t="s">
        <v>35</v>
      </c>
      <c r="B2385" t="s">
        <v>9644</v>
      </c>
      <c r="C2385" t="str">
        <f>"A0188973"</f>
        <v>A0188973</v>
      </c>
      <c r="D2385" t="s">
        <v>10210</v>
      </c>
      <c r="E2385" t="s">
        <v>10211</v>
      </c>
      <c r="F2385" t="s">
        <v>931</v>
      </c>
      <c r="G2385" t="s">
        <v>71</v>
      </c>
      <c r="H2385">
        <v>54911</v>
      </c>
      <c r="I2385" t="s">
        <v>30</v>
      </c>
      <c r="J2385" t="s">
        <v>41</v>
      </c>
      <c r="K2385" t="s">
        <v>59</v>
      </c>
      <c r="Q2385">
        <v>0</v>
      </c>
      <c r="R2385">
        <v>0</v>
      </c>
      <c r="S2385">
        <v>74</v>
      </c>
      <c r="T2385" t="s">
        <v>10212</v>
      </c>
    </row>
    <row r="2386" spans="1:20" customFormat="1" ht="15" x14ac:dyDescent="0.25">
      <c r="A2386" t="s">
        <v>35</v>
      </c>
      <c r="B2386" t="s">
        <v>61</v>
      </c>
      <c r="C2386" t="str">
        <f>"A0188972"</f>
        <v>A0188972</v>
      </c>
      <c r="D2386" t="s">
        <v>10213</v>
      </c>
      <c r="E2386" t="s">
        <v>10214</v>
      </c>
      <c r="F2386" t="s">
        <v>6240</v>
      </c>
      <c r="G2386" t="s">
        <v>381</v>
      </c>
      <c r="H2386">
        <v>46807</v>
      </c>
      <c r="I2386" t="s">
        <v>30</v>
      </c>
      <c r="J2386" t="s">
        <v>41</v>
      </c>
      <c r="K2386" t="s">
        <v>391</v>
      </c>
      <c r="Q2386">
        <v>0</v>
      </c>
      <c r="R2386">
        <v>0</v>
      </c>
      <c r="S2386">
        <v>0</v>
      </c>
      <c r="T2386" t="s">
        <v>10215</v>
      </c>
    </row>
    <row r="2387" spans="1:20" customFormat="1" ht="15" x14ac:dyDescent="0.25">
      <c r="A2387" t="s">
        <v>35</v>
      </c>
      <c r="B2387" t="s">
        <v>61</v>
      </c>
      <c r="C2387" t="str">
        <f>"A0188971"</f>
        <v>A0188971</v>
      </c>
      <c r="D2387" t="s">
        <v>10216</v>
      </c>
      <c r="E2387" t="s">
        <v>10217</v>
      </c>
      <c r="F2387" t="s">
        <v>5240</v>
      </c>
      <c r="G2387" t="s">
        <v>52</v>
      </c>
      <c r="H2387">
        <v>78229</v>
      </c>
      <c r="I2387" t="s">
        <v>30</v>
      </c>
      <c r="J2387" t="s">
        <v>41</v>
      </c>
      <c r="K2387" t="s">
        <v>10218</v>
      </c>
      <c r="Q2387">
        <v>0</v>
      </c>
      <c r="R2387">
        <v>0</v>
      </c>
      <c r="S2387">
        <v>0</v>
      </c>
      <c r="T2387" t="s">
        <v>10219</v>
      </c>
    </row>
    <row r="2388" spans="1:20" customFormat="1" ht="15" x14ac:dyDescent="0.25">
      <c r="A2388" t="s">
        <v>35</v>
      </c>
      <c r="B2388" t="s">
        <v>61</v>
      </c>
      <c r="C2388" t="str">
        <f>"A0188970"</f>
        <v>A0188970</v>
      </c>
      <c r="D2388" t="s">
        <v>10220</v>
      </c>
      <c r="E2388" t="s">
        <v>10221</v>
      </c>
      <c r="F2388" t="s">
        <v>1783</v>
      </c>
      <c r="G2388" t="s">
        <v>840</v>
      </c>
      <c r="H2388">
        <v>42420</v>
      </c>
      <c r="I2388" t="s">
        <v>30</v>
      </c>
      <c r="J2388" t="s">
        <v>41</v>
      </c>
      <c r="K2388" t="s">
        <v>59</v>
      </c>
      <c r="Q2388">
        <v>0</v>
      </c>
      <c r="R2388">
        <v>0</v>
      </c>
      <c r="S2388">
        <v>60</v>
      </c>
      <c r="T2388" t="s">
        <v>10215</v>
      </c>
    </row>
    <row r="2389" spans="1:20" customFormat="1" ht="15" x14ac:dyDescent="0.25">
      <c r="A2389" t="s">
        <v>35</v>
      </c>
      <c r="B2389" t="s">
        <v>61</v>
      </c>
      <c r="C2389" t="str">
        <f>"A0188969"</f>
        <v>A0188969</v>
      </c>
      <c r="D2389" t="s">
        <v>10222</v>
      </c>
      <c r="E2389" t="s">
        <v>10223</v>
      </c>
      <c r="F2389" t="s">
        <v>5292</v>
      </c>
      <c r="G2389" t="s">
        <v>427</v>
      </c>
      <c r="H2389">
        <v>68516</v>
      </c>
      <c r="I2389" t="s">
        <v>30</v>
      </c>
      <c r="J2389" t="s">
        <v>41</v>
      </c>
      <c r="K2389" t="s">
        <v>229</v>
      </c>
      <c r="Q2389">
        <v>0</v>
      </c>
      <c r="R2389">
        <v>0</v>
      </c>
      <c r="S2389">
        <v>0</v>
      </c>
      <c r="T2389" t="s">
        <v>72</v>
      </c>
    </row>
    <row r="2390" spans="1:20" customFormat="1" ht="15" x14ac:dyDescent="0.25">
      <c r="A2390" t="s">
        <v>35</v>
      </c>
      <c r="B2390" t="s">
        <v>61</v>
      </c>
      <c r="C2390" t="str">
        <f>"A0188968"</f>
        <v>A0188968</v>
      </c>
      <c r="D2390" t="s">
        <v>10224</v>
      </c>
      <c r="E2390" t="s">
        <v>10225</v>
      </c>
      <c r="F2390" t="s">
        <v>7073</v>
      </c>
      <c r="G2390" t="s">
        <v>289</v>
      </c>
      <c r="H2390">
        <v>62812</v>
      </c>
      <c r="I2390" t="s">
        <v>30</v>
      </c>
      <c r="J2390" t="s">
        <v>41</v>
      </c>
      <c r="K2390" t="s">
        <v>42</v>
      </c>
      <c r="Q2390">
        <v>0</v>
      </c>
      <c r="R2390">
        <v>0</v>
      </c>
      <c r="S2390">
        <v>0</v>
      </c>
      <c r="T2390" t="s">
        <v>10226</v>
      </c>
    </row>
    <row r="2391" spans="1:20" customFormat="1" ht="15" x14ac:dyDescent="0.25">
      <c r="A2391" t="s">
        <v>35</v>
      </c>
      <c r="B2391" t="s">
        <v>9644</v>
      </c>
      <c r="C2391" t="str">
        <f>"A0188967"</f>
        <v>A0188967</v>
      </c>
      <c r="D2391" t="s">
        <v>10227</v>
      </c>
      <c r="E2391" t="s">
        <v>10228</v>
      </c>
      <c r="F2391" t="s">
        <v>9646</v>
      </c>
      <c r="G2391" t="s">
        <v>71</v>
      </c>
      <c r="H2391">
        <v>54157</v>
      </c>
      <c r="I2391" t="s">
        <v>30</v>
      </c>
      <c r="J2391" t="s">
        <v>41</v>
      </c>
      <c r="K2391" t="s">
        <v>229</v>
      </c>
      <c r="Q2391">
        <v>0</v>
      </c>
      <c r="R2391">
        <v>0</v>
      </c>
      <c r="S2391">
        <v>129</v>
      </c>
      <c r="T2391" t="s">
        <v>10229</v>
      </c>
    </row>
    <row r="2392" spans="1:20" customFormat="1" ht="15" x14ac:dyDescent="0.25">
      <c r="A2392" t="s">
        <v>35</v>
      </c>
      <c r="B2392" t="s">
        <v>9644</v>
      </c>
      <c r="C2392" t="str">
        <f>"A0188966"</f>
        <v>A0188966</v>
      </c>
      <c r="D2392" t="s">
        <v>10230</v>
      </c>
      <c r="E2392" t="s">
        <v>10231</v>
      </c>
      <c r="F2392" t="s">
        <v>10208</v>
      </c>
      <c r="G2392" t="s">
        <v>71</v>
      </c>
      <c r="H2392">
        <v>54115</v>
      </c>
      <c r="I2392" t="s">
        <v>30</v>
      </c>
      <c r="J2392" t="s">
        <v>41</v>
      </c>
      <c r="K2392" t="s">
        <v>229</v>
      </c>
      <c r="Q2392">
        <v>0</v>
      </c>
      <c r="R2392">
        <v>0</v>
      </c>
      <c r="S2392">
        <v>122</v>
      </c>
      <c r="T2392" t="s">
        <v>10232</v>
      </c>
    </row>
    <row r="2393" spans="1:20" customFormat="1" ht="15" x14ac:dyDescent="0.25">
      <c r="A2393" t="s">
        <v>35</v>
      </c>
      <c r="B2393" t="s">
        <v>61</v>
      </c>
      <c r="C2393" t="str">
        <f>"A0188965"</f>
        <v>A0188965</v>
      </c>
      <c r="D2393" t="s">
        <v>10233</v>
      </c>
      <c r="E2393" t="s">
        <v>10234</v>
      </c>
      <c r="F2393" t="s">
        <v>9675</v>
      </c>
      <c r="G2393" t="s">
        <v>29</v>
      </c>
      <c r="H2393">
        <v>23060</v>
      </c>
      <c r="I2393" t="s">
        <v>30</v>
      </c>
      <c r="J2393" t="s">
        <v>41</v>
      </c>
      <c r="K2393" t="s">
        <v>1412</v>
      </c>
      <c r="Q2393">
        <v>0</v>
      </c>
      <c r="R2393">
        <v>0</v>
      </c>
      <c r="S2393">
        <v>0</v>
      </c>
      <c r="T2393" t="s">
        <v>10235</v>
      </c>
    </row>
    <row r="2394" spans="1:20" customFormat="1" ht="15" x14ac:dyDescent="0.25">
      <c r="A2394" t="s">
        <v>35</v>
      </c>
      <c r="B2394" t="s">
        <v>9644</v>
      </c>
      <c r="C2394" t="str">
        <f>"A0188964"</f>
        <v>A0188964</v>
      </c>
      <c r="D2394" t="s">
        <v>10236</v>
      </c>
      <c r="E2394" t="s">
        <v>10237</v>
      </c>
      <c r="F2394" t="s">
        <v>9646</v>
      </c>
      <c r="G2394" t="s">
        <v>71</v>
      </c>
      <c r="H2394">
        <v>54157</v>
      </c>
      <c r="I2394" t="s">
        <v>30</v>
      </c>
      <c r="J2394" t="s">
        <v>41</v>
      </c>
      <c r="K2394" t="s">
        <v>229</v>
      </c>
      <c r="Q2394">
        <v>0</v>
      </c>
      <c r="R2394">
        <v>0</v>
      </c>
      <c r="S2394">
        <v>99</v>
      </c>
      <c r="T2394" t="s">
        <v>10238</v>
      </c>
    </row>
    <row r="2395" spans="1:20" customFormat="1" ht="15" x14ac:dyDescent="0.25">
      <c r="A2395" t="s">
        <v>35</v>
      </c>
      <c r="B2395" t="s">
        <v>9644</v>
      </c>
      <c r="C2395" t="str">
        <f>"A0188963"</f>
        <v>A0188963</v>
      </c>
      <c r="D2395" t="s">
        <v>10239</v>
      </c>
      <c r="E2395" t="s">
        <v>10240</v>
      </c>
      <c r="F2395" t="s">
        <v>10241</v>
      </c>
      <c r="G2395" t="s">
        <v>71</v>
      </c>
      <c r="H2395">
        <v>54501</v>
      </c>
      <c r="I2395" t="s">
        <v>30</v>
      </c>
      <c r="J2395" t="s">
        <v>41</v>
      </c>
      <c r="K2395" t="s">
        <v>229</v>
      </c>
      <c r="Q2395">
        <v>0</v>
      </c>
      <c r="R2395">
        <v>0</v>
      </c>
      <c r="S2395">
        <v>95</v>
      </c>
      <c r="T2395" t="s">
        <v>10242</v>
      </c>
    </row>
    <row r="2396" spans="1:20" customFormat="1" ht="15" x14ac:dyDescent="0.25">
      <c r="A2396" t="s">
        <v>35</v>
      </c>
      <c r="B2396" t="s">
        <v>9644</v>
      </c>
      <c r="C2396" t="str">
        <f>"A0188962"</f>
        <v>A0188962</v>
      </c>
      <c r="D2396" t="s">
        <v>10243</v>
      </c>
      <c r="E2396" t="s">
        <v>10244</v>
      </c>
      <c r="F2396" t="s">
        <v>10245</v>
      </c>
      <c r="G2396" t="s">
        <v>71</v>
      </c>
      <c r="H2396">
        <v>54494</v>
      </c>
      <c r="I2396" t="s">
        <v>30</v>
      </c>
      <c r="J2396" t="s">
        <v>41</v>
      </c>
      <c r="K2396" t="s">
        <v>59</v>
      </c>
      <c r="Q2396">
        <v>0</v>
      </c>
      <c r="R2396">
        <v>0</v>
      </c>
      <c r="S2396">
        <v>79</v>
      </c>
      <c r="T2396" t="s">
        <v>10246</v>
      </c>
    </row>
    <row r="2397" spans="1:20" customFormat="1" ht="15" x14ac:dyDescent="0.25">
      <c r="A2397" t="s">
        <v>35</v>
      </c>
      <c r="B2397" t="s">
        <v>61</v>
      </c>
      <c r="C2397" t="str">
        <f>"A0188961"</f>
        <v>A0188961</v>
      </c>
      <c r="D2397" t="s">
        <v>10247</v>
      </c>
      <c r="E2397" t="s">
        <v>10248</v>
      </c>
      <c r="F2397" t="s">
        <v>64</v>
      </c>
      <c r="G2397" t="s">
        <v>65</v>
      </c>
      <c r="H2397">
        <v>43222</v>
      </c>
      <c r="I2397" t="s">
        <v>30</v>
      </c>
      <c r="J2397" t="s">
        <v>41</v>
      </c>
      <c r="K2397" t="s">
        <v>461</v>
      </c>
      <c r="Q2397">
        <v>0</v>
      </c>
      <c r="R2397">
        <v>0</v>
      </c>
      <c r="S2397">
        <v>28</v>
      </c>
      <c r="T2397" t="s">
        <v>10249</v>
      </c>
    </row>
    <row r="2398" spans="1:20" customFormat="1" ht="15" x14ac:dyDescent="0.25">
      <c r="A2398" t="s">
        <v>35</v>
      </c>
      <c r="B2398" t="s">
        <v>61</v>
      </c>
      <c r="C2398" t="str">
        <f>"A0188960"</f>
        <v>A0188960</v>
      </c>
      <c r="D2398" t="s">
        <v>10250</v>
      </c>
      <c r="E2398" t="s">
        <v>10251</v>
      </c>
      <c r="F2398" t="s">
        <v>10252</v>
      </c>
      <c r="G2398" t="s">
        <v>289</v>
      </c>
      <c r="H2398">
        <v>62629</v>
      </c>
      <c r="I2398" t="s">
        <v>30</v>
      </c>
      <c r="J2398" t="s">
        <v>41</v>
      </c>
      <c r="K2398" t="s">
        <v>42</v>
      </c>
      <c r="Q2398">
        <v>0</v>
      </c>
      <c r="R2398">
        <v>0</v>
      </c>
      <c r="S2398">
        <v>0</v>
      </c>
      <c r="T2398" t="s">
        <v>10253</v>
      </c>
    </row>
    <row r="2399" spans="1:20" customFormat="1" ht="15" x14ac:dyDescent="0.25">
      <c r="A2399" t="s">
        <v>35</v>
      </c>
      <c r="B2399" t="s">
        <v>9644</v>
      </c>
      <c r="C2399" t="str">
        <f>"A0188959"</f>
        <v>A0188959</v>
      </c>
      <c r="D2399" t="s">
        <v>10254</v>
      </c>
      <c r="E2399" t="s">
        <v>10255</v>
      </c>
      <c r="F2399" t="s">
        <v>10208</v>
      </c>
      <c r="G2399" t="s">
        <v>71</v>
      </c>
      <c r="H2399">
        <v>54115</v>
      </c>
      <c r="I2399" t="s">
        <v>30</v>
      </c>
      <c r="J2399" t="s">
        <v>41</v>
      </c>
      <c r="K2399" t="s">
        <v>59</v>
      </c>
      <c r="Q2399">
        <v>0</v>
      </c>
      <c r="R2399">
        <v>0</v>
      </c>
      <c r="S2399">
        <v>26</v>
      </c>
      <c r="T2399" t="s">
        <v>10256</v>
      </c>
    </row>
    <row r="2400" spans="1:20" customFormat="1" ht="15" x14ac:dyDescent="0.25">
      <c r="A2400" t="s">
        <v>35</v>
      </c>
      <c r="B2400" t="s">
        <v>9644</v>
      </c>
      <c r="C2400" t="str">
        <f>"A0188958"</f>
        <v>A0188958</v>
      </c>
      <c r="D2400" t="s">
        <v>10257</v>
      </c>
      <c r="E2400" t="s">
        <v>10258</v>
      </c>
      <c r="F2400" t="s">
        <v>5452</v>
      </c>
      <c r="G2400" t="s">
        <v>71</v>
      </c>
      <c r="H2400">
        <v>54476</v>
      </c>
      <c r="I2400" t="s">
        <v>30</v>
      </c>
      <c r="J2400" t="s">
        <v>41</v>
      </c>
      <c r="K2400" t="s">
        <v>59</v>
      </c>
      <c r="Q2400">
        <v>0</v>
      </c>
      <c r="R2400">
        <v>0</v>
      </c>
      <c r="S2400">
        <v>80</v>
      </c>
      <c r="T2400" t="s">
        <v>10259</v>
      </c>
    </row>
    <row r="2401" spans="1:20" customFormat="1" ht="15" x14ac:dyDescent="0.25">
      <c r="A2401" t="s">
        <v>35</v>
      </c>
      <c r="B2401" t="s">
        <v>9644</v>
      </c>
      <c r="C2401" t="str">
        <f>"A0188957"</f>
        <v>A0188957</v>
      </c>
      <c r="D2401" t="s">
        <v>10260</v>
      </c>
      <c r="E2401" t="s">
        <v>10261</v>
      </c>
      <c r="F2401" t="s">
        <v>10262</v>
      </c>
      <c r="G2401" t="s">
        <v>71</v>
      </c>
      <c r="H2401">
        <v>54143</v>
      </c>
      <c r="I2401" t="s">
        <v>30</v>
      </c>
      <c r="J2401" t="s">
        <v>41</v>
      </c>
      <c r="K2401" t="s">
        <v>59</v>
      </c>
      <c r="Q2401">
        <v>0</v>
      </c>
      <c r="R2401">
        <v>0</v>
      </c>
      <c r="S2401">
        <v>55</v>
      </c>
      <c r="T2401" t="s">
        <v>10263</v>
      </c>
    </row>
    <row r="2402" spans="1:20" customFormat="1" ht="15" x14ac:dyDescent="0.25">
      <c r="A2402" t="s">
        <v>35</v>
      </c>
      <c r="B2402" t="s">
        <v>9644</v>
      </c>
      <c r="C2402" t="str">
        <f>"A0188956"</f>
        <v>A0188956</v>
      </c>
      <c r="D2402" t="s">
        <v>10264</v>
      </c>
      <c r="E2402" t="s">
        <v>10265</v>
      </c>
      <c r="F2402" t="s">
        <v>931</v>
      </c>
      <c r="G2402" t="s">
        <v>71</v>
      </c>
      <c r="H2402">
        <v>54911</v>
      </c>
      <c r="I2402" t="s">
        <v>30</v>
      </c>
      <c r="J2402" t="s">
        <v>41</v>
      </c>
      <c r="K2402" t="s">
        <v>229</v>
      </c>
      <c r="Q2402">
        <v>0</v>
      </c>
      <c r="R2402">
        <v>0</v>
      </c>
      <c r="S2402">
        <v>88</v>
      </c>
      <c r="T2402" t="s">
        <v>10266</v>
      </c>
    </row>
    <row r="2403" spans="1:20" customFormat="1" ht="15" x14ac:dyDescent="0.25">
      <c r="A2403" t="s">
        <v>35</v>
      </c>
      <c r="B2403" t="s">
        <v>5130</v>
      </c>
      <c r="C2403" t="str">
        <f>"A0188955"</f>
        <v>A0188955</v>
      </c>
      <c r="D2403" t="s">
        <v>10267</v>
      </c>
      <c r="E2403" t="s">
        <v>10268</v>
      </c>
      <c r="F2403" t="s">
        <v>7638</v>
      </c>
      <c r="G2403" t="s">
        <v>52</v>
      </c>
      <c r="H2403">
        <v>75149</v>
      </c>
      <c r="I2403" t="s">
        <v>30</v>
      </c>
      <c r="J2403" t="s">
        <v>41</v>
      </c>
      <c r="K2403" t="s">
        <v>229</v>
      </c>
      <c r="Q2403">
        <v>0</v>
      </c>
      <c r="R2403">
        <v>0</v>
      </c>
      <c r="S2403">
        <v>80</v>
      </c>
      <c r="T2403" t="s">
        <v>10269</v>
      </c>
    </row>
    <row r="2404" spans="1:20" customFormat="1" ht="15" x14ac:dyDescent="0.25">
      <c r="A2404" t="s">
        <v>35</v>
      </c>
      <c r="B2404" t="s">
        <v>5130</v>
      </c>
      <c r="C2404" t="str">
        <f>"A0188954"</f>
        <v>A0188954</v>
      </c>
      <c r="D2404" t="s">
        <v>10270</v>
      </c>
      <c r="E2404" t="s">
        <v>10271</v>
      </c>
      <c r="F2404" t="s">
        <v>10272</v>
      </c>
      <c r="G2404" t="s">
        <v>52</v>
      </c>
      <c r="H2404">
        <v>75407</v>
      </c>
      <c r="I2404" t="s">
        <v>30</v>
      </c>
      <c r="J2404" t="s">
        <v>41</v>
      </c>
      <c r="K2404" t="s">
        <v>229</v>
      </c>
      <c r="Q2404">
        <v>0</v>
      </c>
      <c r="R2404">
        <v>0</v>
      </c>
      <c r="S2404">
        <v>0</v>
      </c>
      <c r="T2404" t="s">
        <v>10273</v>
      </c>
    </row>
    <row r="2405" spans="1:20" customFormat="1" ht="15" x14ac:dyDescent="0.25">
      <c r="A2405" t="s">
        <v>35</v>
      </c>
      <c r="B2405" t="s">
        <v>2767</v>
      </c>
      <c r="C2405" t="str">
        <f>"A0188953"</f>
        <v>A0188953</v>
      </c>
      <c r="D2405" t="s">
        <v>10274</v>
      </c>
      <c r="E2405" t="s">
        <v>10275</v>
      </c>
      <c r="F2405" t="s">
        <v>10276</v>
      </c>
      <c r="G2405" t="s">
        <v>846</v>
      </c>
      <c r="H2405">
        <v>30315</v>
      </c>
      <c r="I2405" t="s">
        <v>30</v>
      </c>
      <c r="J2405" t="s">
        <v>41</v>
      </c>
      <c r="K2405" t="s">
        <v>229</v>
      </c>
      <c r="Q2405">
        <v>0</v>
      </c>
      <c r="R2405">
        <v>0</v>
      </c>
      <c r="S2405">
        <v>109</v>
      </c>
      <c r="T2405" t="s">
        <v>10277</v>
      </c>
    </row>
    <row r="2406" spans="1:20" customFormat="1" ht="15" x14ac:dyDescent="0.25">
      <c r="A2406" t="s">
        <v>35</v>
      </c>
      <c r="B2406" t="s">
        <v>2767</v>
      </c>
      <c r="C2406" t="str">
        <f>"A0188952"</f>
        <v>A0188952</v>
      </c>
      <c r="D2406" t="s">
        <v>10278</v>
      </c>
      <c r="E2406" t="s">
        <v>10279</v>
      </c>
      <c r="F2406" t="s">
        <v>6156</v>
      </c>
      <c r="G2406" t="s">
        <v>846</v>
      </c>
      <c r="H2406">
        <v>30274</v>
      </c>
      <c r="I2406" t="s">
        <v>30</v>
      </c>
      <c r="J2406" t="s">
        <v>41</v>
      </c>
      <c r="K2406" t="s">
        <v>229</v>
      </c>
      <c r="Q2406">
        <v>0</v>
      </c>
      <c r="R2406">
        <v>0</v>
      </c>
      <c r="S2406">
        <v>152</v>
      </c>
      <c r="T2406" t="s">
        <v>10280</v>
      </c>
    </row>
    <row r="2407" spans="1:20" customFormat="1" ht="15" x14ac:dyDescent="0.25">
      <c r="A2407" t="s">
        <v>35</v>
      </c>
      <c r="B2407" t="s">
        <v>2767</v>
      </c>
      <c r="C2407" t="str">
        <f>"A0188951"</f>
        <v>A0188951</v>
      </c>
      <c r="D2407" t="s">
        <v>10281</v>
      </c>
      <c r="E2407" t="s">
        <v>10282</v>
      </c>
      <c r="F2407" t="s">
        <v>10283</v>
      </c>
      <c r="G2407" t="s">
        <v>846</v>
      </c>
      <c r="H2407">
        <v>30120</v>
      </c>
      <c r="I2407" t="s">
        <v>30</v>
      </c>
      <c r="J2407" t="s">
        <v>41</v>
      </c>
      <c r="K2407" t="s">
        <v>229</v>
      </c>
      <c r="Q2407">
        <v>0</v>
      </c>
      <c r="R2407">
        <v>0</v>
      </c>
      <c r="S2407">
        <v>118</v>
      </c>
      <c r="T2407" t="s">
        <v>10284</v>
      </c>
    </row>
    <row r="2408" spans="1:20" customFormat="1" ht="15" x14ac:dyDescent="0.25">
      <c r="A2408" t="s">
        <v>35</v>
      </c>
      <c r="B2408" t="s">
        <v>2767</v>
      </c>
      <c r="C2408" t="str">
        <f>"A0188950"</f>
        <v>A0188950</v>
      </c>
      <c r="D2408" t="s">
        <v>10285</v>
      </c>
      <c r="E2408" t="s">
        <v>10286</v>
      </c>
      <c r="F2408" t="s">
        <v>10287</v>
      </c>
      <c r="G2408" t="s">
        <v>81</v>
      </c>
      <c r="H2408">
        <v>34761</v>
      </c>
      <c r="I2408" t="s">
        <v>30</v>
      </c>
      <c r="J2408" t="s">
        <v>41</v>
      </c>
      <c r="K2408" t="s">
        <v>229</v>
      </c>
      <c r="Q2408">
        <v>0</v>
      </c>
      <c r="R2408">
        <v>0</v>
      </c>
      <c r="S2408">
        <v>120</v>
      </c>
      <c r="T2408" t="s">
        <v>10288</v>
      </c>
    </row>
    <row r="2409" spans="1:20" customFormat="1" ht="15" x14ac:dyDescent="0.25">
      <c r="A2409" t="s">
        <v>35</v>
      </c>
      <c r="B2409" t="s">
        <v>2767</v>
      </c>
      <c r="C2409" t="str">
        <f>"A0188949"</f>
        <v>A0188949</v>
      </c>
      <c r="D2409" t="s">
        <v>10289</v>
      </c>
      <c r="E2409" t="s">
        <v>10290</v>
      </c>
      <c r="F2409" t="s">
        <v>10291</v>
      </c>
      <c r="G2409" t="s">
        <v>846</v>
      </c>
      <c r="H2409">
        <v>30224</v>
      </c>
      <c r="I2409" t="s">
        <v>30</v>
      </c>
      <c r="J2409" t="s">
        <v>41</v>
      </c>
      <c r="K2409" t="s">
        <v>229</v>
      </c>
      <c r="Q2409">
        <v>0</v>
      </c>
      <c r="R2409">
        <v>0</v>
      </c>
      <c r="S2409">
        <v>144</v>
      </c>
      <c r="T2409" t="s">
        <v>10292</v>
      </c>
    </row>
    <row r="2410" spans="1:20" customFormat="1" ht="15" x14ac:dyDescent="0.25">
      <c r="A2410" t="s">
        <v>35</v>
      </c>
      <c r="B2410" t="s">
        <v>10293</v>
      </c>
      <c r="C2410" t="str">
        <f>"A0188948"</f>
        <v>A0188948</v>
      </c>
      <c r="D2410" t="s">
        <v>10294</v>
      </c>
      <c r="E2410" t="s">
        <v>10295</v>
      </c>
      <c r="F2410" t="s">
        <v>10296</v>
      </c>
      <c r="G2410" t="s">
        <v>110</v>
      </c>
      <c r="H2410">
        <v>92210</v>
      </c>
      <c r="I2410" t="s">
        <v>30</v>
      </c>
      <c r="J2410" t="s">
        <v>441</v>
      </c>
      <c r="K2410" t="s">
        <v>442</v>
      </c>
      <c r="Q2410">
        <v>0</v>
      </c>
      <c r="R2410">
        <v>0</v>
      </c>
      <c r="S2410">
        <v>0</v>
      </c>
      <c r="T2410" t="s">
        <v>10297</v>
      </c>
    </row>
    <row r="2411" spans="1:20" customFormat="1" ht="15" x14ac:dyDescent="0.25">
      <c r="A2411" t="s">
        <v>35</v>
      </c>
      <c r="B2411" t="s">
        <v>2327</v>
      </c>
      <c r="C2411" t="str">
        <f>"A0188947"</f>
        <v>A0188947</v>
      </c>
      <c r="D2411" t="s">
        <v>10298</v>
      </c>
      <c r="E2411" t="s">
        <v>10299</v>
      </c>
      <c r="F2411" t="s">
        <v>8761</v>
      </c>
      <c r="G2411" t="s">
        <v>81</v>
      </c>
      <c r="H2411">
        <v>33020</v>
      </c>
      <c r="I2411" t="s">
        <v>30</v>
      </c>
      <c r="J2411" t="s">
        <v>41</v>
      </c>
      <c r="K2411" t="s">
        <v>59</v>
      </c>
      <c r="Q2411">
        <v>0</v>
      </c>
      <c r="R2411">
        <v>0</v>
      </c>
      <c r="S2411">
        <v>0</v>
      </c>
      <c r="T2411" t="s">
        <v>72</v>
      </c>
    </row>
    <row r="2412" spans="1:20" customFormat="1" ht="15" x14ac:dyDescent="0.25">
      <c r="A2412" t="s">
        <v>35</v>
      </c>
      <c r="B2412" t="s">
        <v>2327</v>
      </c>
      <c r="C2412" t="str">
        <f>"A0188946"</f>
        <v>A0188946</v>
      </c>
      <c r="D2412" t="s">
        <v>2327</v>
      </c>
      <c r="E2412" t="s">
        <v>10299</v>
      </c>
      <c r="F2412" t="s">
        <v>8761</v>
      </c>
      <c r="G2412" t="s">
        <v>81</v>
      </c>
      <c r="H2412">
        <v>33020</v>
      </c>
      <c r="I2412" t="s">
        <v>30</v>
      </c>
      <c r="J2412" t="s">
        <v>41</v>
      </c>
      <c r="K2412" t="s">
        <v>290</v>
      </c>
      <c r="Q2412">
        <v>0</v>
      </c>
      <c r="R2412">
        <v>0</v>
      </c>
      <c r="S2412">
        <v>0</v>
      </c>
      <c r="T2412" t="s">
        <v>72</v>
      </c>
    </row>
    <row r="2413" spans="1:20" customFormat="1" ht="15" x14ac:dyDescent="0.25">
      <c r="A2413" t="s">
        <v>35</v>
      </c>
      <c r="B2413" t="s">
        <v>2327</v>
      </c>
      <c r="C2413" t="str">
        <f>"A0188945"</f>
        <v>A0188945</v>
      </c>
      <c r="D2413" t="s">
        <v>10300</v>
      </c>
      <c r="E2413" t="s">
        <v>10301</v>
      </c>
      <c r="F2413" t="s">
        <v>8761</v>
      </c>
      <c r="G2413" t="s">
        <v>81</v>
      </c>
      <c r="H2413">
        <v>33020</v>
      </c>
      <c r="I2413" t="s">
        <v>30</v>
      </c>
      <c r="J2413" t="s">
        <v>41</v>
      </c>
      <c r="K2413" t="s">
        <v>229</v>
      </c>
      <c r="Q2413">
        <v>0</v>
      </c>
      <c r="R2413">
        <v>0</v>
      </c>
      <c r="S2413">
        <v>0</v>
      </c>
      <c r="T2413" t="s">
        <v>72</v>
      </c>
    </row>
    <row r="2414" spans="1:20" customFormat="1" ht="15" x14ac:dyDescent="0.25">
      <c r="A2414" t="s">
        <v>35</v>
      </c>
      <c r="B2414" t="s">
        <v>2327</v>
      </c>
      <c r="C2414" t="str">
        <f>"A0188944"</f>
        <v>A0188944</v>
      </c>
      <c r="D2414" t="s">
        <v>10302</v>
      </c>
      <c r="E2414" t="s">
        <v>10303</v>
      </c>
      <c r="F2414" t="s">
        <v>8761</v>
      </c>
      <c r="G2414" t="s">
        <v>81</v>
      </c>
      <c r="H2414">
        <v>33020</v>
      </c>
      <c r="I2414" t="s">
        <v>30</v>
      </c>
      <c r="J2414" t="s">
        <v>41</v>
      </c>
      <c r="K2414" t="s">
        <v>229</v>
      </c>
      <c r="Q2414">
        <v>0</v>
      </c>
      <c r="R2414">
        <v>0</v>
      </c>
      <c r="S2414">
        <v>0</v>
      </c>
      <c r="T2414" t="s">
        <v>72</v>
      </c>
    </row>
    <row r="2415" spans="1:20" customFormat="1" ht="15" x14ac:dyDescent="0.25">
      <c r="A2415" t="s">
        <v>35</v>
      </c>
      <c r="B2415" t="s">
        <v>2327</v>
      </c>
      <c r="C2415" t="str">
        <f>"A0188943"</f>
        <v>A0188943</v>
      </c>
      <c r="D2415" t="s">
        <v>10304</v>
      </c>
      <c r="E2415" t="s">
        <v>10305</v>
      </c>
      <c r="F2415" t="s">
        <v>10306</v>
      </c>
      <c r="G2415" t="s">
        <v>81</v>
      </c>
      <c r="H2415">
        <v>33004</v>
      </c>
      <c r="I2415" t="s">
        <v>30</v>
      </c>
      <c r="J2415" t="s">
        <v>41</v>
      </c>
      <c r="K2415" t="s">
        <v>229</v>
      </c>
      <c r="Q2415">
        <v>0</v>
      </c>
      <c r="R2415">
        <v>0</v>
      </c>
      <c r="S2415">
        <v>0</v>
      </c>
      <c r="T2415" t="s">
        <v>72</v>
      </c>
    </row>
    <row r="2416" spans="1:20" customFormat="1" ht="15" x14ac:dyDescent="0.25">
      <c r="A2416" t="s">
        <v>24</v>
      </c>
      <c r="B2416" t="s">
        <v>3502</v>
      </c>
      <c r="C2416" t="str">
        <f>"A0075021"</f>
        <v>A0075021</v>
      </c>
      <c r="D2416" t="s">
        <v>10307</v>
      </c>
      <c r="E2416" t="s">
        <v>10308</v>
      </c>
      <c r="F2416" t="s">
        <v>4829</v>
      </c>
      <c r="G2416" t="s">
        <v>52</v>
      </c>
      <c r="H2416">
        <v>75063</v>
      </c>
      <c r="I2416" t="s">
        <v>30</v>
      </c>
      <c r="J2416" t="s">
        <v>31</v>
      </c>
      <c r="K2416" t="s">
        <v>296</v>
      </c>
      <c r="N2416" t="s">
        <v>10309</v>
      </c>
      <c r="Q2416">
        <v>0</v>
      </c>
      <c r="R2416">
        <v>101</v>
      </c>
      <c r="S2416">
        <v>0</v>
      </c>
      <c r="T2416" t="s">
        <v>10310</v>
      </c>
    </row>
    <row r="2417" spans="1:25" customFormat="1" ht="15" hidden="1" x14ac:dyDescent="0.25">
      <c r="A2417" t="s">
        <v>24</v>
      </c>
      <c r="B2417" t="s">
        <v>5858</v>
      </c>
      <c r="C2417" t="str">
        <f>"A0188940"</f>
        <v>A0188940</v>
      </c>
      <c r="D2417" t="s">
        <v>10311</v>
      </c>
      <c r="E2417" t="s">
        <v>10312</v>
      </c>
      <c r="F2417" t="s">
        <v>10313</v>
      </c>
      <c r="G2417" t="s">
        <v>5424</v>
      </c>
      <c r="H2417">
        <v>77730</v>
      </c>
      <c r="I2417" t="s">
        <v>2408</v>
      </c>
      <c r="J2417" t="s">
        <v>162</v>
      </c>
      <c r="K2417" t="s">
        <v>163</v>
      </c>
      <c r="N2417" t="s">
        <v>10314</v>
      </c>
      <c r="Q2417">
        <v>0</v>
      </c>
      <c r="R2417">
        <v>75</v>
      </c>
      <c r="S2417">
        <v>0</v>
      </c>
      <c r="T2417" t="s">
        <v>10315</v>
      </c>
    </row>
    <row r="2418" spans="1:25" customFormat="1" ht="15" x14ac:dyDescent="0.25">
      <c r="A2418" t="s">
        <v>24</v>
      </c>
      <c r="B2418" t="s">
        <v>193</v>
      </c>
      <c r="C2418" t="str">
        <f>"A0085434"</f>
        <v>A0085434</v>
      </c>
      <c r="D2418" t="s">
        <v>55233</v>
      </c>
      <c r="E2418" t="s">
        <v>55234</v>
      </c>
      <c r="F2418" t="s">
        <v>1731</v>
      </c>
      <c r="G2418" t="s">
        <v>52</v>
      </c>
      <c r="H2418">
        <v>75219</v>
      </c>
      <c r="I2418" t="s">
        <v>30</v>
      </c>
      <c r="J2418" t="s">
        <v>162</v>
      </c>
      <c r="K2418" t="s">
        <v>854</v>
      </c>
      <c r="N2418" t="s">
        <v>55235</v>
      </c>
      <c r="O2418" t="s">
        <v>55236</v>
      </c>
      <c r="Q2418">
        <v>0</v>
      </c>
      <c r="R2418">
        <v>200</v>
      </c>
      <c r="S2418">
        <v>0</v>
      </c>
      <c r="T2418" t="s">
        <v>55237</v>
      </c>
    </row>
    <row r="2419" spans="1:25" customFormat="1" ht="15" hidden="1" x14ac:dyDescent="0.25">
      <c r="A2419" t="s">
        <v>24</v>
      </c>
      <c r="B2419" t="s">
        <v>193</v>
      </c>
      <c r="C2419" t="str">
        <f>"A0096948"</f>
        <v>A0096948</v>
      </c>
      <c r="D2419" t="s">
        <v>10321</v>
      </c>
      <c r="E2419" t="s">
        <v>10322</v>
      </c>
      <c r="F2419" t="s">
        <v>10323</v>
      </c>
      <c r="G2419" t="s">
        <v>1457</v>
      </c>
      <c r="H2419" t="s">
        <v>10324</v>
      </c>
      <c r="I2419" t="s">
        <v>1459</v>
      </c>
      <c r="J2419" t="s">
        <v>171</v>
      </c>
      <c r="K2419" t="s">
        <v>163</v>
      </c>
      <c r="N2419" t="s">
        <v>10325</v>
      </c>
      <c r="Q2419">
        <v>0</v>
      </c>
      <c r="R2419">
        <v>80</v>
      </c>
      <c r="S2419">
        <v>0</v>
      </c>
      <c r="T2419" t="s">
        <v>10326</v>
      </c>
    </row>
    <row r="2420" spans="1:25" customFormat="1" ht="15" x14ac:dyDescent="0.25">
      <c r="A2420" t="s">
        <v>24</v>
      </c>
      <c r="B2420" t="s">
        <v>769</v>
      </c>
      <c r="C2420" t="str">
        <f>"A0186596"</f>
        <v>A0186596</v>
      </c>
      <c r="D2420" t="s">
        <v>10327</v>
      </c>
      <c r="E2420" t="s">
        <v>10328</v>
      </c>
      <c r="F2420" t="s">
        <v>10329</v>
      </c>
      <c r="G2420" t="s">
        <v>110</v>
      </c>
      <c r="H2420">
        <v>92252</v>
      </c>
      <c r="I2420" t="s">
        <v>30</v>
      </c>
      <c r="J2420" t="s">
        <v>31</v>
      </c>
      <c r="K2420" t="s">
        <v>163</v>
      </c>
      <c r="N2420" t="s">
        <v>10330</v>
      </c>
      <c r="O2420" t="s">
        <v>10331</v>
      </c>
      <c r="Q2420">
        <v>0</v>
      </c>
      <c r="R2420">
        <v>55</v>
      </c>
      <c r="S2420">
        <v>0</v>
      </c>
      <c r="T2420" t="s">
        <v>10332</v>
      </c>
    </row>
    <row r="2421" spans="1:25" customFormat="1" ht="15" x14ac:dyDescent="0.25">
      <c r="A2421" t="s">
        <v>24</v>
      </c>
      <c r="B2421" t="s">
        <v>193</v>
      </c>
      <c r="C2421" t="str">
        <f>"A0059906"</f>
        <v>A0059906</v>
      </c>
      <c r="D2421" t="s">
        <v>10333</v>
      </c>
      <c r="E2421" t="s">
        <v>10334</v>
      </c>
      <c r="F2421" t="s">
        <v>2051</v>
      </c>
      <c r="G2421" t="s">
        <v>161</v>
      </c>
      <c r="H2421">
        <v>55802</v>
      </c>
      <c r="I2421" t="s">
        <v>30</v>
      </c>
      <c r="J2421" t="s">
        <v>145</v>
      </c>
      <c r="K2421" t="s">
        <v>163</v>
      </c>
      <c r="N2421" t="s">
        <v>10335</v>
      </c>
      <c r="Q2421">
        <v>0</v>
      </c>
      <c r="R2421">
        <v>45</v>
      </c>
      <c r="S2421">
        <v>0</v>
      </c>
      <c r="T2421" t="s">
        <v>10336</v>
      </c>
    </row>
    <row r="2422" spans="1:25" x14ac:dyDescent="0.25">
      <c r="A2422" s="5" t="s">
        <v>24</v>
      </c>
      <c r="B2422" s="5" t="s">
        <v>2910</v>
      </c>
      <c r="C2422" s="5" t="str">
        <f>"A0085959"</f>
        <v>A0085959</v>
      </c>
      <c r="D2422" s="5" t="s">
        <v>55244</v>
      </c>
      <c r="E2422" s="5" t="s">
        <v>55245</v>
      </c>
      <c r="F2422" s="5" t="s">
        <v>23011</v>
      </c>
      <c r="G2422" s="5" t="s">
        <v>103</v>
      </c>
      <c r="H2422" s="5">
        <v>17325</v>
      </c>
      <c r="I2422" s="5" t="s">
        <v>30</v>
      </c>
      <c r="J2422" s="5" t="s">
        <v>162</v>
      </c>
      <c r="K2422" s="5" t="s">
        <v>4581</v>
      </c>
      <c r="L2422" s="5"/>
      <c r="M2422" s="5"/>
      <c r="N2422" s="5" t="s">
        <v>55241</v>
      </c>
      <c r="O2422" s="5"/>
      <c r="P2422" s="5"/>
      <c r="Q2422" s="5">
        <v>0</v>
      </c>
      <c r="R2422" s="5">
        <v>248</v>
      </c>
      <c r="S2422" s="5">
        <v>0</v>
      </c>
      <c r="T2422" s="5" t="s">
        <v>55246</v>
      </c>
      <c r="U2422" s="5"/>
      <c r="V2422" s="5"/>
      <c r="W2422" s="5"/>
      <c r="X2422" s="5"/>
      <c r="Y2422" s="5"/>
    </row>
    <row r="2423" spans="1:25" customFormat="1" ht="15" x14ac:dyDescent="0.25">
      <c r="A2423" t="s">
        <v>35</v>
      </c>
      <c r="B2423" t="s">
        <v>61</v>
      </c>
      <c r="C2423" t="str">
        <f>"A0185220"</f>
        <v>A0185220</v>
      </c>
      <c r="D2423" t="s">
        <v>10341</v>
      </c>
      <c r="E2423" t="s">
        <v>10342</v>
      </c>
      <c r="F2423" t="s">
        <v>10187</v>
      </c>
      <c r="G2423" t="s">
        <v>197</v>
      </c>
      <c r="H2423">
        <v>850225166</v>
      </c>
      <c r="I2423" t="s">
        <v>30</v>
      </c>
      <c r="J2423" t="s">
        <v>41</v>
      </c>
      <c r="K2423" t="s">
        <v>59</v>
      </c>
      <c r="Q2423">
        <v>0</v>
      </c>
      <c r="R2423">
        <v>0</v>
      </c>
      <c r="S2423">
        <v>0</v>
      </c>
      <c r="T2423" t="s">
        <v>10343</v>
      </c>
    </row>
    <row r="2424" spans="1:25" customFormat="1" ht="15" x14ac:dyDescent="0.25">
      <c r="A2424" t="s">
        <v>35</v>
      </c>
      <c r="B2424" t="s">
        <v>61</v>
      </c>
      <c r="C2424" t="str">
        <f>"A0184951"</f>
        <v>A0184951</v>
      </c>
      <c r="D2424" t="s">
        <v>10344</v>
      </c>
      <c r="E2424" t="s">
        <v>10345</v>
      </c>
      <c r="F2424" t="s">
        <v>10346</v>
      </c>
      <c r="G2424" t="s">
        <v>197</v>
      </c>
      <c r="H2424">
        <v>863227002</v>
      </c>
      <c r="I2424" t="s">
        <v>30</v>
      </c>
      <c r="J2424" t="s">
        <v>41</v>
      </c>
      <c r="K2424" t="s">
        <v>59</v>
      </c>
      <c r="Q2424">
        <v>0</v>
      </c>
      <c r="R2424">
        <v>0</v>
      </c>
      <c r="S2424">
        <v>0</v>
      </c>
      <c r="T2424" t="s">
        <v>10347</v>
      </c>
    </row>
    <row r="2425" spans="1:25" customFormat="1" ht="15" x14ac:dyDescent="0.25">
      <c r="A2425" t="s">
        <v>35</v>
      </c>
      <c r="B2425" t="s">
        <v>10348</v>
      </c>
      <c r="C2425" t="str">
        <f>"A0183223"</f>
        <v>A0183223</v>
      </c>
      <c r="D2425" t="s">
        <v>10349</v>
      </c>
      <c r="E2425" t="s">
        <v>10350</v>
      </c>
      <c r="F2425" t="s">
        <v>5459</v>
      </c>
      <c r="G2425" t="s">
        <v>110</v>
      </c>
      <c r="H2425">
        <v>956913006</v>
      </c>
      <c r="I2425" t="s">
        <v>30</v>
      </c>
      <c r="J2425" t="s">
        <v>41</v>
      </c>
      <c r="K2425" t="s">
        <v>59</v>
      </c>
      <c r="Q2425">
        <v>0</v>
      </c>
      <c r="R2425">
        <v>54</v>
      </c>
      <c r="S2425">
        <v>54</v>
      </c>
      <c r="T2425" t="s">
        <v>10351</v>
      </c>
    </row>
    <row r="2426" spans="1:25" customFormat="1" ht="15" x14ac:dyDescent="0.25">
      <c r="A2426" t="s">
        <v>35</v>
      </c>
      <c r="B2426" t="s">
        <v>10348</v>
      </c>
      <c r="C2426" t="str">
        <f>"A0183148"</f>
        <v>A0183148</v>
      </c>
      <c r="D2426" t="s">
        <v>10352</v>
      </c>
      <c r="E2426" t="s">
        <v>10353</v>
      </c>
      <c r="F2426" t="s">
        <v>9124</v>
      </c>
      <c r="G2426" t="s">
        <v>110</v>
      </c>
      <c r="H2426">
        <v>956080523</v>
      </c>
      <c r="I2426" t="s">
        <v>30</v>
      </c>
      <c r="J2426" t="s">
        <v>41</v>
      </c>
      <c r="K2426" t="s">
        <v>59</v>
      </c>
      <c r="Q2426">
        <v>0</v>
      </c>
      <c r="R2426">
        <v>0</v>
      </c>
      <c r="S2426">
        <v>0</v>
      </c>
      <c r="T2426" t="s">
        <v>10354</v>
      </c>
    </row>
    <row r="2427" spans="1:25" customFormat="1" ht="15" x14ac:dyDescent="0.25">
      <c r="A2427" t="s">
        <v>35</v>
      </c>
      <c r="B2427" t="s">
        <v>10348</v>
      </c>
      <c r="C2427" t="str">
        <f>"A0183123"</f>
        <v>A0183123</v>
      </c>
      <c r="D2427" t="s">
        <v>10355</v>
      </c>
      <c r="E2427" t="s">
        <v>10356</v>
      </c>
      <c r="F2427" t="s">
        <v>10357</v>
      </c>
      <c r="G2427" t="s">
        <v>110</v>
      </c>
      <c r="H2427">
        <v>96041</v>
      </c>
      <c r="I2427" t="s">
        <v>30</v>
      </c>
      <c r="J2427" t="s">
        <v>41</v>
      </c>
      <c r="K2427" t="s">
        <v>59</v>
      </c>
      <c r="Q2427">
        <v>0</v>
      </c>
      <c r="R2427">
        <v>0</v>
      </c>
      <c r="S2427">
        <v>0</v>
      </c>
      <c r="T2427" t="s">
        <v>192</v>
      </c>
    </row>
    <row r="2428" spans="1:25" customFormat="1" ht="15" x14ac:dyDescent="0.25">
      <c r="A2428" t="s">
        <v>35</v>
      </c>
      <c r="B2428" t="s">
        <v>10348</v>
      </c>
      <c r="C2428" t="str">
        <f>"A0183066"</f>
        <v>A0183066</v>
      </c>
      <c r="D2428" t="s">
        <v>10358</v>
      </c>
      <c r="E2428" t="s">
        <v>10359</v>
      </c>
      <c r="F2428" t="s">
        <v>5742</v>
      </c>
      <c r="G2428" t="s">
        <v>110</v>
      </c>
      <c r="H2428">
        <v>958332410</v>
      </c>
      <c r="I2428" t="s">
        <v>30</v>
      </c>
      <c r="J2428" t="s">
        <v>41</v>
      </c>
      <c r="K2428" t="s">
        <v>59</v>
      </c>
      <c r="Q2428">
        <v>0</v>
      </c>
      <c r="R2428">
        <v>59</v>
      </c>
      <c r="S2428">
        <v>59</v>
      </c>
      <c r="T2428" t="s">
        <v>10360</v>
      </c>
    </row>
    <row r="2429" spans="1:25" customFormat="1" ht="15" x14ac:dyDescent="0.25">
      <c r="A2429" t="s">
        <v>35</v>
      </c>
      <c r="B2429" t="s">
        <v>61</v>
      </c>
      <c r="C2429" t="str">
        <f>"A0130304"</f>
        <v>A0130304</v>
      </c>
      <c r="D2429" t="s">
        <v>10361</v>
      </c>
      <c r="E2429" t="s">
        <v>10362</v>
      </c>
      <c r="F2429" t="s">
        <v>10363</v>
      </c>
      <c r="G2429" t="s">
        <v>1898</v>
      </c>
      <c r="H2429">
        <v>52641</v>
      </c>
      <c r="I2429" t="s">
        <v>30</v>
      </c>
      <c r="J2429" t="s">
        <v>41</v>
      </c>
      <c r="K2429" t="s">
        <v>229</v>
      </c>
      <c r="Q2429">
        <v>0</v>
      </c>
      <c r="R2429">
        <v>62</v>
      </c>
      <c r="S2429">
        <v>62</v>
      </c>
      <c r="T2429" t="s">
        <v>10364</v>
      </c>
    </row>
    <row r="2430" spans="1:25" customFormat="1" ht="15" x14ac:dyDescent="0.25">
      <c r="A2430" t="s">
        <v>24</v>
      </c>
      <c r="B2430" t="s">
        <v>10365</v>
      </c>
      <c r="C2430" t="str">
        <f>"A0052186"</f>
        <v>A0052186</v>
      </c>
      <c r="D2430" t="s">
        <v>10366</v>
      </c>
      <c r="E2430" t="s">
        <v>10367</v>
      </c>
      <c r="F2430" t="s">
        <v>10368</v>
      </c>
      <c r="G2430" t="s">
        <v>110</v>
      </c>
      <c r="H2430">
        <v>93908</v>
      </c>
      <c r="I2430" t="s">
        <v>30</v>
      </c>
      <c r="J2430" t="s">
        <v>178</v>
      </c>
      <c r="K2430" t="s">
        <v>179</v>
      </c>
      <c r="N2430" t="s">
        <v>10369</v>
      </c>
      <c r="Q2430">
        <v>0</v>
      </c>
      <c r="R2430">
        <v>18</v>
      </c>
      <c r="S2430">
        <v>0</v>
      </c>
      <c r="T2430" t="s">
        <v>10370</v>
      </c>
    </row>
    <row r="2431" spans="1:25" customFormat="1" ht="15" x14ac:dyDescent="0.25">
      <c r="A2431" t="s">
        <v>24</v>
      </c>
      <c r="B2431" t="s">
        <v>55285</v>
      </c>
      <c r="C2431" t="str">
        <f>"A0073691"</f>
        <v>A0073691</v>
      </c>
      <c r="D2431" t="s">
        <v>55286</v>
      </c>
      <c r="E2431" t="s">
        <v>55287</v>
      </c>
      <c r="F2431" t="s">
        <v>9068</v>
      </c>
      <c r="G2431" t="s">
        <v>289</v>
      </c>
      <c r="H2431">
        <v>60018</v>
      </c>
      <c r="I2431" t="s">
        <v>30</v>
      </c>
      <c r="J2431" t="s">
        <v>162</v>
      </c>
      <c r="K2431" t="s">
        <v>759</v>
      </c>
      <c r="N2431" t="s">
        <v>55288</v>
      </c>
      <c r="Q2431">
        <v>0</v>
      </c>
      <c r="R2431">
        <v>369</v>
      </c>
      <c r="S2431">
        <v>0</v>
      </c>
      <c r="T2431" t="s">
        <v>55289</v>
      </c>
    </row>
    <row r="2432" spans="1:25" customFormat="1" ht="15" x14ac:dyDescent="0.25">
      <c r="A2432" t="s">
        <v>24</v>
      </c>
      <c r="B2432" t="s">
        <v>55285</v>
      </c>
      <c r="C2432" t="str">
        <f>"A0166398"</f>
        <v>A0166398</v>
      </c>
      <c r="D2432" t="s">
        <v>55290</v>
      </c>
      <c r="E2432" t="s">
        <v>55291</v>
      </c>
      <c r="F2432" t="s">
        <v>9068</v>
      </c>
      <c r="G2432" t="s">
        <v>289</v>
      </c>
      <c r="H2432">
        <v>60018</v>
      </c>
      <c r="I2432" t="s">
        <v>30</v>
      </c>
      <c r="J2432" t="s">
        <v>162</v>
      </c>
      <c r="K2432" t="s">
        <v>266</v>
      </c>
      <c r="Q2432">
        <v>0</v>
      </c>
      <c r="R2432">
        <v>294</v>
      </c>
      <c r="S2432">
        <v>0</v>
      </c>
      <c r="T2432" t="s">
        <v>55292</v>
      </c>
    </row>
    <row r="2433" spans="1:20" customFormat="1" ht="15" x14ac:dyDescent="0.25">
      <c r="A2433" t="s">
        <v>24</v>
      </c>
      <c r="B2433" t="s">
        <v>814</v>
      </c>
      <c r="C2433" t="str">
        <f>"A0156547"</f>
        <v>A0156547</v>
      </c>
      <c r="D2433" t="s">
        <v>55303</v>
      </c>
      <c r="E2433" t="s">
        <v>55304</v>
      </c>
      <c r="F2433" t="s">
        <v>55305</v>
      </c>
      <c r="G2433" t="s">
        <v>117</v>
      </c>
      <c r="H2433">
        <v>49757</v>
      </c>
      <c r="I2433" t="s">
        <v>30</v>
      </c>
      <c r="J2433" t="s">
        <v>162</v>
      </c>
      <c r="K2433" t="s">
        <v>163</v>
      </c>
      <c r="N2433" t="s">
        <v>55306</v>
      </c>
      <c r="O2433" t="s">
        <v>55307</v>
      </c>
      <c r="Q2433">
        <v>0</v>
      </c>
      <c r="R2433">
        <v>397</v>
      </c>
      <c r="S2433">
        <v>0</v>
      </c>
      <c r="T2433" t="s">
        <v>55308</v>
      </c>
    </row>
    <row r="2434" spans="1:20" customFormat="1" ht="15" x14ac:dyDescent="0.25">
      <c r="A2434" t="s">
        <v>24</v>
      </c>
      <c r="B2434" t="s">
        <v>6611</v>
      </c>
      <c r="C2434" t="str">
        <f>"A0100767"</f>
        <v>A0100767</v>
      </c>
      <c r="D2434" t="s">
        <v>55309</v>
      </c>
      <c r="E2434" t="s">
        <v>55310</v>
      </c>
      <c r="F2434" t="s">
        <v>4385</v>
      </c>
      <c r="G2434" t="s">
        <v>99</v>
      </c>
      <c r="H2434">
        <v>11201</v>
      </c>
      <c r="I2434" t="s">
        <v>30</v>
      </c>
      <c r="J2434" t="s">
        <v>162</v>
      </c>
      <c r="K2434" t="s">
        <v>163</v>
      </c>
      <c r="N2434" t="s">
        <v>55311</v>
      </c>
      <c r="O2434" t="s">
        <v>55312</v>
      </c>
      <c r="Q2434">
        <v>0</v>
      </c>
      <c r="R2434">
        <v>194</v>
      </c>
      <c r="S2434">
        <v>0</v>
      </c>
      <c r="T2434" t="s">
        <v>55313</v>
      </c>
    </row>
    <row r="2435" spans="1:20" customFormat="1" ht="15" x14ac:dyDescent="0.25">
      <c r="A2435" t="s">
        <v>24</v>
      </c>
      <c r="B2435" t="s">
        <v>10383</v>
      </c>
      <c r="C2435" t="str">
        <f>"A0093940"</f>
        <v>A0093940</v>
      </c>
      <c r="D2435" t="s">
        <v>10394</v>
      </c>
      <c r="E2435" t="s">
        <v>10395</v>
      </c>
      <c r="F2435" t="s">
        <v>3837</v>
      </c>
      <c r="G2435" t="s">
        <v>137</v>
      </c>
      <c r="H2435">
        <v>65807</v>
      </c>
      <c r="I2435" t="s">
        <v>30</v>
      </c>
      <c r="J2435" t="s">
        <v>31</v>
      </c>
      <c r="K2435" t="s">
        <v>222</v>
      </c>
      <c r="N2435" t="s">
        <v>10396</v>
      </c>
      <c r="Q2435">
        <v>0</v>
      </c>
      <c r="R2435">
        <v>110</v>
      </c>
      <c r="S2435">
        <v>0</v>
      </c>
      <c r="T2435" t="s">
        <v>10397</v>
      </c>
    </row>
    <row r="2436" spans="1:20" customFormat="1" ht="15" x14ac:dyDescent="0.25">
      <c r="A2436" t="s">
        <v>24</v>
      </c>
      <c r="B2436" t="s">
        <v>6611</v>
      </c>
      <c r="C2436" t="str">
        <f>"A0100766"</f>
        <v>A0100766</v>
      </c>
      <c r="D2436" t="s">
        <v>55314</v>
      </c>
      <c r="E2436" t="s">
        <v>55315</v>
      </c>
      <c r="F2436" t="s">
        <v>997</v>
      </c>
      <c r="G2436" t="s">
        <v>99</v>
      </c>
      <c r="H2436">
        <v>10019</v>
      </c>
      <c r="I2436" t="s">
        <v>30</v>
      </c>
      <c r="J2436" t="s">
        <v>162</v>
      </c>
      <c r="K2436" t="s">
        <v>163</v>
      </c>
      <c r="N2436" t="s">
        <v>55316</v>
      </c>
      <c r="O2436" t="s">
        <v>55317</v>
      </c>
      <c r="Q2436">
        <v>0</v>
      </c>
      <c r="R2436">
        <v>229</v>
      </c>
      <c r="S2436">
        <v>0</v>
      </c>
      <c r="T2436" t="s">
        <v>55318</v>
      </c>
    </row>
    <row r="2437" spans="1:20" customFormat="1" ht="15" x14ac:dyDescent="0.25">
      <c r="A2437" t="s">
        <v>24</v>
      </c>
      <c r="B2437" t="s">
        <v>6611</v>
      </c>
      <c r="C2437" t="str">
        <f>"A0099404"</f>
        <v>A0099404</v>
      </c>
      <c r="D2437" t="s">
        <v>55319</v>
      </c>
      <c r="E2437" t="s">
        <v>55320</v>
      </c>
      <c r="F2437" t="s">
        <v>1003</v>
      </c>
      <c r="G2437" t="s">
        <v>81</v>
      </c>
      <c r="H2437">
        <v>33139</v>
      </c>
      <c r="I2437" t="s">
        <v>30</v>
      </c>
      <c r="J2437" t="s">
        <v>162</v>
      </c>
      <c r="K2437" t="s">
        <v>163</v>
      </c>
      <c r="N2437" t="s">
        <v>55321</v>
      </c>
      <c r="O2437" t="s">
        <v>55322</v>
      </c>
      <c r="Q2437">
        <v>0</v>
      </c>
      <c r="R2437">
        <v>426</v>
      </c>
      <c r="S2437">
        <v>0</v>
      </c>
      <c r="T2437" t="s">
        <v>55323</v>
      </c>
    </row>
    <row r="2438" spans="1:20" customFormat="1" ht="15" x14ac:dyDescent="0.25">
      <c r="A2438" t="s">
        <v>24</v>
      </c>
      <c r="B2438" t="s">
        <v>342</v>
      </c>
      <c r="C2438" t="str">
        <f>"A0164880"</f>
        <v>A0164880</v>
      </c>
      <c r="D2438" t="s">
        <v>10409</v>
      </c>
      <c r="E2438" t="s">
        <v>10410</v>
      </c>
      <c r="F2438" t="s">
        <v>845</v>
      </c>
      <c r="G2438" t="s">
        <v>846</v>
      </c>
      <c r="H2438">
        <v>30308</v>
      </c>
      <c r="I2438" t="s">
        <v>30</v>
      </c>
      <c r="J2438" t="s">
        <v>31</v>
      </c>
      <c r="K2438" t="s">
        <v>1890</v>
      </c>
      <c r="N2438" t="s">
        <v>10411</v>
      </c>
      <c r="O2438" t="s">
        <v>10412</v>
      </c>
      <c r="Q2438">
        <v>0</v>
      </c>
      <c r="R2438">
        <v>124</v>
      </c>
      <c r="S2438">
        <v>0</v>
      </c>
      <c r="T2438" t="s">
        <v>3073</v>
      </c>
    </row>
    <row r="2439" spans="1:20" customFormat="1" ht="15" x14ac:dyDescent="0.25">
      <c r="A2439" t="s">
        <v>24</v>
      </c>
      <c r="B2439" t="s">
        <v>13304</v>
      </c>
      <c r="C2439" t="str">
        <f>"A0094940"</f>
        <v>A0094940</v>
      </c>
      <c r="D2439" t="s">
        <v>55352</v>
      </c>
      <c r="E2439" t="s">
        <v>55353</v>
      </c>
      <c r="F2439" t="s">
        <v>3041</v>
      </c>
      <c r="G2439" t="s">
        <v>840</v>
      </c>
      <c r="H2439">
        <v>40507</v>
      </c>
      <c r="I2439" t="s">
        <v>30</v>
      </c>
      <c r="J2439" t="s">
        <v>162</v>
      </c>
      <c r="K2439" t="s">
        <v>55354</v>
      </c>
      <c r="N2439" t="s">
        <v>55355</v>
      </c>
      <c r="Q2439">
        <v>0</v>
      </c>
      <c r="R2439">
        <v>88</v>
      </c>
      <c r="S2439">
        <v>0</v>
      </c>
      <c r="T2439" t="s">
        <v>55356</v>
      </c>
    </row>
    <row r="2440" spans="1:20" customFormat="1" ht="15" x14ac:dyDescent="0.25">
      <c r="A2440" t="s">
        <v>35</v>
      </c>
      <c r="B2440" t="s">
        <v>10414</v>
      </c>
      <c r="C2440" t="str">
        <f>"A0128387"</f>
        <v>A0128387</v>
      </c>
      <c r="D2440" t="s">
        <v>10415</v>
      </c>
      <c r="E2440" t="s">
        <v>10416</v>
      </c>
      <c r="F2440" t="s">
        <v>10417</v>
      </c>
      <c r="G2440" t="s">
        <v>110</v>
      </c>
      <c r="H2440">
        <v>95945</v>
      </c>
      <c r="I2440" t="s">
        <v>30</v>
      </c>
      <c r="J2440" t="s">
        <v>41</v>
      </c>
      <c r="K2440" t="s">
        <v>229</v>
      </c>
      <c r="Q2440">
        <v>0</v>
      </c>
      <c r="R2440">
        <v>59</v>
      </c>
      <c r="S2440">
        <v>59</v>
      </c>
      <c r="T2440" t="s">
        <v>10418</v>
      </c>
    </row>
    <row r="2441" spans="1:20" customFormat="1" ht="15" x14ac:dyDescent="0.25">
      <c r="A2441" t="s">
        <v>24</v>
      </c>
      <c r="B2441" t="s">
        <v>762</v>
      </c>
      <c r="C2441" t="str">
        <f>"A0188706"</f>
        <v>A0188706</v>
      </c>
      <c r="D2441" t="s">
        <v>10419</v>
      </c>
      <c r="E2441" t="s">
        <v>10420</v>
      </c>
      <c r="F2441" t="s">
        <v>10421</v>
      </c>
      <c r="G2441" t="s">
        <v>52</v>
      </c>
      <c r="H2441">
        <v>77642</v>
      </c>
      <c r="I2441" t="s">
        <v>30</v>
      </c>
      <c r="J2441" t="s">
        <v>31</v>
      </c>
      <c r="K2441" t="s">
        <v>198</v>
      </c>
      <c r="N2441" t="s">
        <v>10422</v>
      </c>
      <c r="Q2441">
        <v>0</v>
      </c>
      <c r="R2441">
        <v>72</v>
      </c>
      <c r="S2441">
        <v>0</v>
      </c>
      <c r="T2441" t="s">
        <v>10423</v>
      </c>
    </row>
    <row r="2442" spans="1:20" customFormat="1" ht="15" x14ac:dyDescent="0.25">
      <c r="A2442" t="s">
        <v>35</v>
      </c>
      <c r="B2442" t="s">
        <v>2767</v>
      </c>
      <c r="C2442" t="str">
        <f>"A0179802"</f>
        <v>A0179802</v>
      </c>
      <c r="D2442" t="s">
        <v>10424</v>
      </c>
      <c r="E2442" t="s">
        <v>10425</v>
      </c>
      <c r="F2442" t="s">
        <v>10426</v>
      </c>
      <c r="G2442" t="s">
        <v>81</v>
      </c>
      <c r="H2442">
        <v>34235</v>
      </c>
      <c r="I2442" t="s">
        <v>30</v>
      </c>
      <c r="J2442" t="s">
        <v>41</v>
      </c>
      <c r="K2442" t="s">
        <v>229</v>
      </c>
      <c r="Q2442">
        <v>0</v>
      </c>
      <c r="R2442">
        <v>120</v>
      </c>
      <c r="S2442">
        <v>120</v>
      </c>
      <c r="T2442" t="s">
        <v>10427</v>
      </c>
    </row>
    <row r="2443" spans="1:20" customFormat="1" ht="15" x14ac:dyDescent="0.25">
      <c r="A2443" t="s">
        <v>24</v>
      </c>
      <c r="B2443" t="s">
        <v>13304</v>
      </c>
      <c r="C2443" t="str">
        <f>"A0096274"</f>
        <v>A0096274</v>
      </c>
      <c r="D2443" t="s">
        <v>55357</v>
      </c>
      <c r="E2443" t="s">
        <v>55358</v>
      </c>
      <c r="F2443" t="s">
        <v>866</v>
      </c>
      <c r="G2443" t="s">
        <v>40</v>
      </c>
      <c r="H2443">
        <v>73106</v>
      </c>
      <c r="I2443" t="s">
        <v>30</v>
      </c>
      <c r="J2443" t="s">
        <v>162</v>
      </c>
      <c r="K2443" t="s">
        <v>55354</v>
      </c>
      <c r="Q2443">
        <v>0</v>
      </c>
      <c r="R2443">
        <v>135</v>
      </c>
      <c r="S2443">
        <v>0</v>
      </c>
      <c r="T2443" t="s">
        <v>55359</v>
      </c>
    </row>
    <row r="2444" spans="1:20" customFormat="1" ht="15" x14ac:dyDescent="0.25">
      <c r="A2444" t="s">
        <v>24</v>
      </c>
      <c r="B2444" t="s">
        <v>1473</v>
      </c>
      <c r="C2444" t="str">
        <f>"A0185646"</f>
        <v>A0185646</v>
      </c>
      <c r="D2444" t="s">
        <v>10433</v>
      </c>
      <c r="E2444" t="s">
        <v>10434</v>
      </c>
      <c r="F2444" t="s">
        <v>10435</v>
      </c>
      <c r="G2444" t="s">
        <v>65</v>
      </c>
      <c r="H2444">
        <v>43110</v>
      </c>
      <c r="I2444" t="s">
        <v>30</v>
      </c>
      <c r="J2444" t="s">
        <v>31</v>
      </c>
      <c r="K2444" t="s">
        <v>32</v>
      </c>
      <c r="N2444" t="s">
        <v>7173</v>
      </c>
      <c r="O2444" t="s">
        <v>10436</v>
      </c>
      <c r="Q2444">
        <v>0</v>
      </c>
      <c r="R2444">
        <v>82</v>
      </c>
      <c r="S2444">
        <v>0</v>
      </c>
      <c r="T2444" t="s">
        <v>10437</v>
      </c>
    </row>
    <row r="2445" spans="1:20" customFormat="1" ht="15" x14ac:dyDescent="0.25">
      <c r="A2445" t="s">
        <v>24</v>
      </c>
      <c r="B2445" t="s">
        <v>762</v>
      </c>
      <c r="C2445" t="str">
        <f>"A0188705"</f>
        <v>A0188705</v>
      </c>
      <c r="D2445" t="s">
        <v>10438</v>
      </c>
      <c r="E2445" t="s">
        <v>10439</v>
      </c>
      <c r="F2445" t="s">
        <v>1564</v>
      </c>
      <c r="G2445" t="s">
        <v>52</v>
      </c>
      <c r="H2445">
        <v>77064</v>
      </c>
      <c r="I2445" t="s">
        <v>30</v>
      </c>
      <c r="J2445" t="s">
        <v>31</v>
      </c>
      <c r="K2445" t="s">
        <v>282</v>
      </c>
      <c r="N2445" t="s">
        <v>10440</v>
      </c>
      <c r="Q2445">
        <v>0</v>
      </c>
      <c r="R2445">
        <v>87</v>
      </c>
      <c r="S2445">
        <v>0</v>
      </c>
      <c r="T2445" t="s">
        <v>10441</v>
      </c>
    </row>
    <row r="2446" spans="1:20" customFormat="1" ht="15" x14ac:dyDescent="0.25">
      <c r="A2446" t="s">
        <v>24</v>
      </c>
      <c r="B2446" t="s">
        <v>1849</v>
      </c>
      <c r="C2446" t="str">
        <f>"A0188704"</f>
        <v>A0188704</v>
      </c>
      <c r="D2446" t="s">
        <v>10442</v>
      </c>
      <c r="E2446" t="s">
        <v>10443</v>
      </c>
      <c r="F2446" t="s">
        <v>2591</v>
      </c>
      <c r="G2446" t="s">
        <v>40</v>
      </c>
      <c r="H2446">
        <v>74075</v>
      </c>
      <c r="I2446" t="s">
        <v>30</v>
      </c>
      <c r="J2446" t="s">
        <v>31</v>
      </c>
      <c r="K2446" t="s">
        <v>2524</v>
      </c>
      <c r="N2446" t="s">
        <v>2592</v>
      </c>
      <c r="O2446" t="s">
        <v>2593</v>
      </c>
      <c r="Q2446">
        <v>0</v>
      </c>
      <c r="R2446">
        <v>76</v>
      </c>
      <c r="S2446">
        <v>0</v>
      </c>
      <c r="T2446" t="s">
        <v>10444</v>
      </c>
    </row>
    <row r="2447" spans="1:20" customFormat="1" ht="15" x14ac:dyDescent="0.25">
      <c r="A2447" t="s">
        <v>24</v>
      </c>
      <c r="B2447" t="s">
        <v>13304</v>
      </c>
      <c r="C2447" t="str">
        <f>"A0094515"</f>
        <v>A0094515</v>
      </c>
      <c r="D2447" t="s">
        <v>55360</v>
      </c>
      <c r="E2447" t="s">
        <v>55361</v>
      </c>
      <c r="F2447" t="s">
        <v>55362</v>
      </c>
      <c r="G2447" t="s">
        <v>85</v>
      </c>
      <c r="H2447">
        <v>72712</v>
      </c>
      <c r="I2447" t="s">
        <v>30</v>
      </c>
      <c r="J2447" t="s">
        <v>162</v>
      </c>
      <c r="K2447" t="s">
        <v>55354</v>
      </c>
      <c r="N2447" t="s">
        <v>55363</v>
      </c>
      <c r="Q2447">
        <v>0</v>
      </c>
      <c r="R2447">
        <v>104</v>
      </c>
      <c r="S2447">
        <v>0</v>
      </c>
      <c r="T2447" t="s">
        <v>55364</v>
      </c>
    </row>
    <row r="2448" spans="1:20" customFormat="1" ht="15" x14ac:dyDescent="0.25">
      <c r="A2448" t="s">
        <v>24</v>
      </c>
      <c r="B2448" t="s">
        <v>762</v>
      </c>
      <c r="C2448" t="str">
        <f>"A0072150"</f>
        <v>A0072150</v>
      </c>
      <c r="D2448" t="s">
        <v>10450</v>
      </c>
      <c r="E2448" t="s">
        <v>10451</v>
      </c>
      <c r="F2448" t="s">
        <v>1564</v>
      </c>
      <c r="G2448" t="s">
        <v>52</v>
      </c>
      <c r="H2448">
        <v>77017</v>
      </c>
      <c r="I2448" t="s">
        <v>30</v>
      </c>
      <c r="J2448" t="s">
        <v>31</v>
      </c>
      <c r="K2448" t="s">
        <v>32</v>
      </c>
      <c r="N2448" t="s">
        <v>10452</v>
      </c>
      <c r="Q2448">
        <v>0</v>
      </c>
      <c r="R2448">
        <v>69</v>
      </c>
      <c r="S2448">
        <v>0</v>
      </c>
      <c r="T2448" t="s">
        <v>10453</v>
      </c>
    </row>
    <row r="2449" spans="1:20" customFormat="1" ht="15" x14ac:dyDescent="0.25">
      <c r="A2449" t="s">
        <v>24</v>
      </c>
      <c r="B2449" t="s">
        <v>4400</v>
      </c>
      <c r="C2449" t="str">
        <f>"A0149471"</f>
        <v>A0149471</v>
      </c>
      <c r="D2449" t="s">
        <v>55365</v>
      </c>
      <c r="E2449" t="s">
        <v>55366</v>
      </c>
      <c r="F2449" t="s">
        <v>716</v>
      </c>
      <c r="G2449" t="s">
        <v>289</v>
      </c>
      <c r="H2449">
        <v>60611</v>
      </c>
      <c r="I2449" t="s">
        <v>30</v>
      </c>
      <c r="J2449" t="s">
        <v>162</v>
      </c>
      <c r="K2449" t="s">
        <v>55354</v>
      </c>
      <c r="N2449" t="s">
        <v>55367</v>
      </c>
      <c r="Q2449">
        <v>0</v>
      </c>
      <c r="R2449">
        <v>297</v>
      </c>
      <c r="S2449">
        <v>0</v>
      </c>
      <c r="T2449" t="s">
        <v>55368</v>
      </c>
    </row>
    <row r="2450" spans="1:20" customFormat="1" ht="15" x14ac:dyDescent="0.25">
      <c r="A2450" t="s">
        <v>24</v>
      </c>
      <c r="B2450" t="s">
        <v>13304</v>
      </c>
      <c r="C2450" t="str">
        <f>"A0094513"</f>
        <v>A0094513</v>
      </c>
      <c r="D2450" t="s">
        <v>55369</v>
      </c>
      <c r="E2450" t="s">
        <v>55370</v>
      </c>
      <c r="F2450" t="s">
        <v>13716</v>
      </c>
      <c r="G2450" t="s">
        <v>65</v>
      </c>
      <c r="H2450">
        <v>45215</v>
      </c>
      <c r="I2450" t="s">
        <v>30</v>
      </c>
      <c r="J2450" t="s">
        <v>162</v>
      </c>
      <c r="K2450" t="s">
        <v>55354</v>
      </c>
      <c r="N2450" t="s">
        <v>55371</v>
      </c>
      <c r="Q2450">
        <v>0</v>
      </c>
      <c r="R2450">
        <v>156</v>
      </c>
      <c r="S2450">
        <v>0</v>
      </c>
      <c r="T2450" t="s">
        <v>55372</v>
      </c>
    </row>
    <row r="2451" spans="1:20" customFormat="1" ht="15" x14ac:dyDescent="0.25">
      <c r="A2451" t="s">
        <v>24</v>
      </c>
      <c r="B2451" t="s">
        <v>13304</v>
      </c>
      <c r="C2451" t="str">
        <f>"A0094512"</f>
        <v>A0094512</v>
      </c>
      <c r="D2451" t="s">
        <v>55373</v>
      </c>
      <c r="E2451" t="s">
        <v>55374</v>
      </c>
      <c r="F2451" t="s">
        <v>8935</v>
      </c>
      <c r="G2451" t="s">
        <v>214</v>
      </c>
      <c r="H2451">
        <v>27701</v>
      </c>
      <c r="I2451" t="s">
        <v>30</v>
      </c>
      <c r="J2451" t="s">
        <v>162</v>
      </c>
      <c r="K2451" t="s">
        <v>55354</v>
      </c>
      <c r="Q2451">
        <v>0</v>
      </c>
      <c r="R2451">
        <v>125</v>
      </c>
      <c r="S2451">
        <v>0</v>
      </c>
      <c r="T2451" t="s">
        <v>55375</v>
      </c>
    </row>
    <row r="2452" spans="1:20" customFormat="1" ht="15" x14ac:dyDescent="0.25">
      <c r="A2452" t="s">
        <v>24</v>
      </c>
      <c r="B2452" t="s">
        <v>13304</v>
      </c>
      <c r="C2452" t="str">
        <f>"A0054542"</f>
        <v>A0054542</v>
      </c>
      <c r="D2452" t="s">
        <v>55376</v>
      </c>
      <c r="E2452" t="s">
        <v>55377</v>
      </c>
      <c r="F2452" t="s">
        <v>5107</v>
      </c>
      <c r="G2452" t="s">
        <v>137</v>
      </c>
      <c r="H2452">
        <v>64105</v>
      </c>
      <c r="I2452" t="s">
        <v>30</v>
      </c>
      <c r="J2452" t="s">
        <v>162</v>
      </c>
      <c r="K2452" t="s">
        <v>55354</v>
      </c>
      <c r="N2452" t="s">
        <v>55378</v>
      </c>
      <c r="Q2452">
        <v>0</v>
      </c>
      <c r="R2452">
        <v>120</v>
      </c>
      <c r="S2452">
        <v>0</v>
      </c>
      <c r="T2452" t="s">
        <v>55379</v>
      </c>
    </row>
    <row r="2453" spans="1:20" customFormat="1" ht="15" x14ac:dyDescent="0.25">
      <c r="A2453" t="s">
        <v>24</v>
      </c>
      <c r="B2453" t="s">
        <v>13304</v>
      </c>
      <c r="C2453" t="str">
        <f>"A0076873"</f>
        <v>A0076873</v>
      </c>
      <c r="D2453" t="s">
        <v>55380</v>
      </c>
      <c r="E2453" t="s">
        <v>55381</v>
      </c>
      <c r="F2453" t="s">
        <v>3466</v>
      </c>
      <c r="G2453" t="s">
        <v>840</v>
      </c>
      <c r="H2453">
        <v>40202</v>
      </c>
      <c r="I2453" t="s">
        <v>30</v>
      </c>
      <c r="J2453" t="s">
        <v>162</v>
      </c>
      <c r="K2453" t="s">
        <v>55354</v>
      </c>
      <c r="N2453" t="s">
        <v>55382</v>
      </c>
      <c r="O2453" t="s">
        <v>55383</v>
      </c>
      <c r="Q2453">
        <v>0</v>
      </c>
      <c r="R2453">
        <v>91</v>
      </c>
      <c r="S2453">
        <v>0</v>
      </c>
      <c r="T2453" t="s">
        <v>55384</v>
      </c>
    </row>
    <row r="2454" spans="1:20" customFormat="1" ht="15" x14ac:dyDescent="0.25">
      <c r="A2454" t="s">
        <v>24</v>
      </c>
      <c r="B2454" t="s">
        <v>13304</v>
      </c>
      <c r="C2454" t="str">
        <f>"A0098078"</f>
        <v>A0098078</v>
      </c>
      <c r="D2454" t="s">
        <v>55385</v>
      </c>
      <c r="E2454" t="s">
        <v>55386</v>
      </c>
      <c r="F2454" t="s">
        <v>2971</v>
      </c>
      <c r="G2454" t="s">
        <v>880</v>
      </c>
      <c r="H2454">
        <v>37201</v>
      </c>
      <c r="I2454" t="s">
        <v>30</v>
      </c>
      <c r="J2454" t="s">
        <v>162</v>
      </c>
      <c r="K2454" t="s">
        <v>55354</v>
      </c>
      <c r="N2454" t="s">
        <v>55387</v>
      </c>
      <c r="Q2454">
        <v>0</v>
      </c>
      <c r="R2454">
        <v>124</v>
      </c>
      <c r="S2454">
        <v>0</v>
      </c>
      <c r="T2454" t="s">
        <v>55388</v>
      </c>
    </row>
    <row r="2455" spans="1:20" customFormat="1" ht="15" x14ac:dyDescent="0.25">
      <c r="A2455" t="s">
        <v>24</v>
      </c>
      <c r="B2455" t="s">
        <v>2011</v>
      </c>
      <c r="C2455" t="str">
        <f>"A0095048"</f>
        <v>A0095048</v>
      </c>
      <c r="D2455" t="s">
        <v>55389</v>
      </c>
      <c r="E2455" t="s">
        <v>55390</v>
      </c>
      <c r="F2455" t="s">
        <v>997</v>
      </c>
      <c r="G2455" t="s">
        <v>99</v>
      </c>
      <c r="H2455">
        <v>10013</v>
      </c>
      <c r="I2455" t="s">
        <v>30</v>
      </c>
      <c r="J2455" t="s">
        <v>162</v>
      </c>
      <c r="K2455" t="s">
        <v>13246</v>
      </c>
      <c r="N2455" t="s">
        <v>55391</v>
      </c>
      <c r="O2455" t="s">
        <v>55392</v>
      </c>
      <c r="Q2455">
        <v>0</v>
      </c>
      <c r="R2455">
        <v>229</v>
      </c>
      <c r="S2455">
        <v>0</v>
      </c>
      <c r="T2455" t="s">
        <v>55393</v>
      </c>
    </row>
    <row r="2456" spans="1:20" customFormat="1" ht="15" x14ac:dyDescent="0.25">
      <c r="A2456" t="s">
        <v>24</v>
      </c>
      <c r="B2456" t="s">
        <v>55628</v>
      </c>
      <c r="C2456" t="str">
        <f>"A0076987"</f>
        <v>A0076987</v>
      </c>
      <c r="D2456" t="s">
        <v>55629</v>
      </c>
      <c r="E2456" t="s">
        <v>55630</v>
      </c>
      <c r="F2456" t="s">
        <v>4009</v>
      </c>
      <c r="G2456" t="s">
        <v>81</v>
      </c>
      <c r="H2456">
        <v>33160</v>
      </c>
      <c r="I2456" t="s">
        <v>30</v>
      </c>
      <c r="J2456" t="s">
        <v>162</v>
      </c>
      <c r="K2456" t="s">
        <v>163</v>
      </c>
      <c r="N2456" t="s">
        <v>55631</v>
      </c>
      <c r="Q2456">
        <v>0</v>
      </c>
      <c r="R2456">
        <v>285</v>
      </c>
      <c r="S2456">
        <v>0</v>
      </c>
      <c r="T2456" t="s">
        <v>55632</v>
      </c>
    </row>
    <row r="2457" spans="1:20" customFormat="1" ht="15" x14ac:dyDescent="0.25">
      <c r="A2457" t="s">
        <v>24</v>
      </c>
      <c r="B2457" t="s">
        <v>3221</v>
      </c>
      <c r="C2457" t="str">
        <f>"A0096444"</f>
        <v>A0096444</v>
      </c>
      <c r="D2457" t="s">
        <v>55691</v>
      </c>
      <c r="E2457" t="s">
        <v>55692</v>
      </c>
      <c r="F2457" t="s">
        <v>693</v>
      </c>
      <c r="G2457" t="s">
        <v>99</v>
      </c>
      <c r="H2457">
        <v>11561</v>
      </c>
      <c r="I2457" t="s">
        <v>30</v>
      </c>
      <c r="J2457" t="s">
        <v>162</v>
      </c>
      <c r="K2457" t="s">
        <v>163</v>
      </c>
      <c r="N2457" t="s">
        <v>55693</v>
      </c>
      <c r="O2457" t="s">
        <v>55694</v>
      </c>
      <c r="Q2457">
        <v>0</v>
      </c>
      <c r="R2457">
        <v>143</v>
      </c>
      <c r="S2457">
        <v>0</v>
      </c>
      <c r="T2457" t="s">
        <v>55695</v>
      </c>
    </row>
    <row r="2458" spans="1:20" customFormat="1" ht="15" x14ac:dyDescent="0.25">
      <c r="A2458" t="s">
        <v>24</v>
      </c>
      <c r="B2458" t="s">
        <v>1453</v>
      </c>
      <c r="C2458" t="str">
        <f>"A0151393"</f>
        <v>A0151393</v>
      </c>
      <c r="D2458" t="s">
        <v>55919</v>
      </c>
      <c r="E2458" t="s">
        <v>55920</v>
      </c>
      <c r="F2458" t="s">
        <v>55921</v>
      </c>
      <c r="G2458" t="s">
        <v>3049</v>
      </c>
      <c r="H2458">
        <v>99587</v>
      </c>
      <c r="I2458" t="s">
        <v>30</v>
      </c>
      <c r="J2458" t="s">
        <v>162</v>
      </c>
      <c r="K2458" t="s">
        <v>163</v>
      </c>
      <c r="N2458" t="s">
        <v>55922</v>
      </c>
      <c r="O2458" t="s">
        <v>55923</v>
      </c>
      <c r="Q2458">
        <v>0</v>
      </c>
      <c r="R2458">
        <v>300</v>
      </c>
      <c r="S2458">
        <v>0</v>
      </c>
      <c r="T2458" t="s">
        <v>55924</v>
      </c>
    </row>
    <row r="2459" spans="1:20" customFormat="1" ht="15" x14ac:dyDescent="0.25">
      <c r="A2459" t="s">
        <v>24</v>
      </c>
      <c r="B2459" t="s">
        <v>193</v>
      </c>
      <c r="C2459" t="str">
        <f>"A0096204"</f>
        <v>A0096204</v>
      </c>
      <c r="D2459" t="s">
        <v>10498</v>
      </c>
      <c r="E2459" t="s">
        <v>10499</v>
      </c>
      <c r="F2459" t="s">
        <v>6404</v>
      </c>
      <c r="G2459" t="s">
        <v>161</v>
      </c>
      <c r="H2459">
        <v>55403</v>
      </c>
      <c r="I2459" t="s">
        <v>30</v>
      </c>
      <c r="J2459" t="s">
        <v>1004</v>
      </c>
      <c r="K2459" t="s">
        <v>163</v>
      </c>
      <c r="N2459" t="s">
        <v>10500</v>
      </c>
      <c r="Q2459">
        <v>0</v>
      </c>
      <c r="R2459">
        <v>0</v>
      </c>
      <c r="S2459">
        <v>0</v>
      </c>
      <c r="T2459" t="s">
        <v>10501</v>
      </c>
    </row>
    <row r="2460" spans="1:20" customFormat="1" ht="15" x14ac:dyDescent="0.25">
      <c r="A2460" t="s">
        <v>24</v>
      </c>
      <c r="B2460" t="s">
        <v>10502</v>
      </c>
      <c r="C2460" t="str">
        <f>"A0099611"</f>
        <v>A0099611</v>
      </c>
      <c r="D2460" t="s">
        <v>10503</v>
      </c>
      <c r="E2460" t="s">
        <v>10504</v>
      </c>
      <c r="F2460" t="s">
        <v>10505</v>
      </c>
      <c r="G2460" t="s">
        <v>110</v>
      </c>
      <c r="H2460">
        <v>90232</v>
      </c>
      <c r="I2460" t="s">
        <v>30</v>
      </c>
      <c r="J2460" t="s">
        <v>2272</v>
      </c>
      <c r="K2460" t="s">
        <v>163</v>
      </c>
      <c r="N2460" t="s">
        <v>10506</v>
      </c>
      <c r="O2460" t="s">
        <v>10507</v>
      </c>
      <c r="Q2460">
        <v>0</v>
      </c>
      <c r="R2460">
        <v>170</v>
      </c>
      <c r="S2460">
        <v>0</v>
      </c>
      <c r="T2460" t="s">
        <v>10508</v>
      </c>
    </row>
    <row r="2461" spans="1:20" customFormat="1" ht="15" x14ac:dyDescent="0.25">
      <c r="A2461" t="s">
        <v>24</v>
      </c>
      <c r="B2461" t="s">
        <v>10502</v>
      </c>
      <c r="C2461" t="str">
        <f>"A0099040"</f>
        <v>A0099040</v>
      </c>
      <c r="D2461" t="s">
        <v>10509</v>
      </c>
      <c r="E2461" t="s">
        <v>10510</v>
      </c>
      <c r="F2461" t="s">
        <v>10505</v>
      </c>
      <c r="G2461" t="s">
        <v>110</v>
      </c>
      <c r="H2461">
        <v>90232</v>
      </c>
      <c r="I2461" t="s">
        <v>30</v>
      </c>
      <c r="J2461" t="s">
        <v>2272</v>
      </c>
      <c r="K2461" t="s">
        <v>163</v>
      </c>
      <c r="N2461" t="s">
        <v>10511</v>
      </c>
      <c r="O2461" t="s">
        <v>10512</v>
      </c>
      <c r="Q2461">
        <v>0</v>
      </c>
      <c r="R2461">
        <v>104</v>
      </c>
      <c r="S2461">
        <v>0</v>
      </c>
      <c r="T2461" t="s">
        <v>10513</v>
      </c>
    </row>
    <row r="2462" spans="1:20" customFormat="1" ht="15" x14ac:dyDescent="0.25">
      <c r="A2462" t="s">
        <v>35</v>
      </c>
      <c r="B2462" t="s">
        <v>36</v>
      </c>
      <c r="C2462" t="str">
        <f>"A0188695"</f>
        <v>A0188695</v>
      </c>
      <c r="D2462" t="s">
        <v>10514</v>
      </c>
      <c r="E2462" t="s">
        <v>10515</v>
      </c>
      <c r="F2462" t="s">
        <v>7734</v>
      </c>
      <c r="G2462" t="s">
        <v>197</v>
      </c>
      <c r="H2462">
        <v>85702</v>
      </c>
      <c r="I2462" t="s">
        <v>30</v>
      </c>
      <c r="J2462" t="s">
        <v>41</v>
      </c>
      <c r="K2462" t="s">
        <v>42</v>
      </c>
      <c r="Q2462">
        <v>0</v>
      </c>
      <c r="R2462">
        <v>0</v>
      </c>
      <c r="S2462">
        <v>0</v>
      </c>
      <c r="T2462" t="s">
        <v>10516</v>
      </c>
    </row>
    <row r="2463" spans="1:20" customFormat="1" ht="15" x14ac:dyDescent="0.25">
      <c r="A2463" t="s">
        <v>35</v>
      </c>
      <c r="B2463" t="s">
        <v>36</v>
      </c>
      <c r="C2463" t="str">
        <f>"A0188694"</f>
        <v>A0188694</v>
      </c>
      <c r="D2463" t="s">
        <v>10517</v>
      </c>
      <c r="E2463" t="s">
        <v>10518</v>
      </c>
      <c r="F2463" t="s">
        <v>4591</v>
      </c>
      <c r="G2463" t="s">
        <v>65</v>
      </c>
      <c r="H2463">
        <v>43302</v>
      </c>
      <c r="I2463" t="s">
        <v>30</v>
      </c>
      <c r="J2463" t="s">
        <v>41</v>
      </c>
      <c r="K2463" t="s">
        <v>42</v>
      </c>
      <c r="Q2463">
        <v>0</v>
      </c>
      <c r="R2463">
        <v>0</v>
      </c>
      <c r="S2463">
        <v>0</v>
      </c>
      <c r="T2463" t="s">
        <v>10519</v>
      </c>
    </row>
    <row r="2464" spans="1:20" customFormat="1" ht="15" x14ac:dyDescent="0.25">
      <c r="A2464" t="s">
        <v>35</v>
      </c>
      <c r="B2464" t="s">
        <v>10520</v>
      </c>
      <c r="C2464" t="str">
        <f>"A0188693"</f>
        <v>A0188693</v>
      </c>
      <c r="D2464" t="s">
        <v>10521</v>
      </c>
      <c r="E2464" t="s">
        <v>10522</v>
      </c>
      <c r="F2464" t="s">
        <v>10523</v>
      </c>
      <c r="G2464" t="s">
        <v>81</v>
      </c>
      <c r="H2464">
        <v>34994</v>
      </c>
      <c r="I2464" t="s">
        <v>30</v>
      </c>
      <c r="J2464" t="s">
        <v>41</v>
      </c>
      <c r="K2464" t="s">
        <v>59</v>
      </c>
      <c r="Q2464">
        <v>0</v>
      </c>
      <c r="R2464">
        <v>0</v>
      </c>
      <c r="S2464">
        <v>100</v>
      </c>
      <c r="T2464" t="s">
        <v>10524</v>
      </c>
    </row>
    <row r="2465" spans="1:20" customFormat="1" ht="15" x14ac:dyDescent="0.25">
      <c r="A2465" t="s">
        <v>35</v>
      </c>
      <c r="B2465" t="s">
        <v>10520</v>
      </c>
      <c r="C2465" t="str">
        <f>"A0188692"</f>
        <v>A0188692</v>
      </c>
      <c r="D2465" t="s">
        <v>10525</v>
      </c>
      <c r="E2465" t="s">
        <v>10526</v>
      </c>
      <c r="F2465" t="s">
        <v>8276</v>
      </c>
      <c r="G2465" t="s">
        <v>81</v>
      </c>
      <c r="H2465">
        <v>32514</v>
      </c>
      <c r="I2465" t="s">
        <v>30</v>
      </c>
      <c r="J2465" t="s">
        <v>41</v>
      </c>
      <c r="K2465" t="s">
        <v>229</v>
      </c>
      <c r="Q2465">
        <v>0</v>
      </c>
      <c r="R2465">
        <v>0</v>
      </c>
      <c r="S2465">
        <v>180</v>
      </c>
      <c r="T2465" t="s">
        <v>10527</v>
      </c>
    </row>
    <row r="2466" spans="1:20" customFormat="1" ht="15" x14ac:dyDescent="0.25">
      <c r="A2466" t="s">
        <v>35</v>
      </c>
      <c r="B2466" t="s">
        <v>10520</v>
      </c>
      <c r="C2466" t="str">
        <f>"A0188691"</f>
        <v>A0188691</v>
      </c>
      <c r="D2466" t="s">
        <v>10528</v>
      </c>
      <c r="E2466" t="s">
        <v>10529</v>
      </c>
      <c r="F2466" t="s">
        <v>10530</v>
      </c>
      <c r="G2466" t="s">
        <v>81</v>
      </c>
      <c r="H2466">
        <v>32811</v>
      </c>
      <c r="I2466" t="s">
        <v>30</v>
      </c>
      <c r="J2466" t="s">
        <v>41</v>
      </c>
      <c r="K2466" t="s">
        <v>229</v>
      </c>
      <c r="Q2466">
        <v>0</v>
      </c>
      <c r="R2466">
        <v>0</v>
      </c>
      <c r="S2466">
        <v>120</v>
      </c>
      <c r="T2466" t="s">
        <v>10531</v>
      </c>
    </row>
    <row r="2467" spans="1:20" customFormat="1" ht="15" x14ac:dyDescent="0.25">
      <c r="A2467" t="s">
        <v>35</v>
      </c>
      <c r="B2467" t="s">
        <v>10520</v>
      </c>
      <c r="C2467" t="str">
        <f>"A0188690"</f>
        <v>A0188690</v>
      </c>
      <c r="D2467" t="s">
        <v>10532</v>
      </c>
      <c r="E2467" t="s">
        <v>10533</v>
      </c>
      <c r="F2467" t="s">
        <v>10534</v>
      </c>
      <c r="G2467" t="s">
        <v>81</v>
      </c>
      <c r="H2467">
        <v>32960</v>
      </c>
      <c r="I2467" t="s">
        <v>30</v>
      </c>
      <c r="J2467" t="s">
        <v>41</v>
      </c>
      <c r="K2467" t="s">
        <v>229</v>
      </c>
      <c r="Q2467">
        <v>0</v>
      </c>
      <c r="R2467">
        <v>0</v>
      </c>
      <c r="S2467">
        <v>120</v>
      </c>
      <c r="T2467" t="s">
        <v>10535</v>
      </c>
    </row>
    <row r="2468" spans="1:20" customFormat="1" ht="15" x14ac:dyDescent="0.25">
      <c r="A2468" t="s">
        <v>35</v>
      </c>
      <c r="B2468" t="s">
        <v>10520</v>
      </c>
      <c r="C2468" t="str">
        <f>"A0188689"</f>
        <v>A0188689</v>
      </c>
      <c r="D2468" t="s">
        <v>10536</v>
      </c>
      <c r="E2468" t="s">
        <v>10537</v>
      </c>
      <c r="F2468" t="s">
        <v>10538</v>
      </c>
      <c r="G2468" t="s">
        <v>81</v>
      </c>
      <c r="H2468">
        <v>32055</v>
      </c>
      <c r="I2468" t="s">
        <v>30</v>
      </c>
      <c r="J2468" t="s">
        <v>41</v>
      </c>
      <c r="K2468" t="s">
        <v>229</v>
      </c>
      <c r="Q2468">
        <v>0</v>
      </c>
      <c r="R2468">
        <v>0</v>
      </c>
      <c r="S2468">
        <v>120</v>
      </c>
      <c r="T2468" t="s">
        <v>10539</v>
      </c>
    </row>
    <row r="2469" spans="1:20" customFormat="1" ht="15" x14ac:dyDescent="0.25">
      <c r="A2469" t="s">
        <v>35</v>
      </c>
      <c r="B2469" t="s">
        <v>10520</v>
      </c>
      <c r="C2469" t="str">
        <f>"A0188688"</f>
        <v>A0188688</v>
      </c>
      <c r="D2469" t="s">
        <v>10540</v>
      </c>
      <c r="E2469" t="s">
        <v>10541</v>
      </c>
      <c r="F2469" t="s">
        <v>10542</v>
      </c>
      <c r="G2469" t="s">
        <v>81</v>
      </c>
      <c r="H2469">
        <v>33566</v>
      </c>
      <c r="I2469" t="s">
        <v>30</v>
      </c>
      <c r="J2469" t="s">
        <v>41</v>
      </c>
      <c r="K2469" t="s">
        <v>229</v>
      </c>
      <c r="Q2469">
        <v>0</v>
      </c>
      <c r="R2469">
        <v>0</v>
      </c>
      <c r="S2469">
        <v>180</v>
      </c>
      <c r="T2469" t="s">
        <v>10543</v>
      </c>
    </row>
    <row r="2470" spans="1:20" customFormat="1" ht="15" x14ac:dyDescent="0.25">
      <c r="A2470" t="s">
        <v>35</v>
      </c>
      <c r="B2470" t="s">
        <v>10520</v>
      </c>
      <c r="C2470" t="str">
        <f>"A0188687"</f>
        <v>A0188687</v>
      </c>
      <c r="D2470" t="s">
        <v>10544</v>
      </c>
      <c r="E2470" t="s">
        <v>10545</v>
      </c>
      <c r="F2470" t="s">
        <v>10523</v>
      </c>
      <c r="G2470" t="s">
        <v>81</v>
      </c>
      <c r="H2470">
        <v>34994</v>
      </c>
      <c r="I2470" t="s">
        <v>30</v>
      </c>
      <c r="J2470" t="s">
        <v>41</v>
      </c>
      <c r="K2470" t="s">
        <v>229</v>
      </c>
      <c r="Q2470">
        <v>0</v>
      </c>
      <c r="R2470">
        <v>0</v>
      </c>
      <c r="S2470">
        <v>177</v>
      </c>
      <c r="T2470" t="s">
        <v>10546</v>
      </c>
    </row>
    <row r="2471" spans="1:20" customFormat="1" ht="15" x14ac:dyDescent="0.25">
      <c r="A2471" t="s">
        <v>35</v>
      </c>
      <c r="B2471" t="s">
        <v>10520</v>
      </c>
      <c r="C2471" t="str">
        <f>"A0188686"</f>
        <v>A0188686</v>
      </c>
      <c r="D2471" t="s">
        <v>10547</v>
      </c>
      <c r="E2471" t="s">
        <v>10548</v>
      </c>
      <c r="F2471" t="s">
        <v>3671</v>
      </c>
      <c r="G2471" t="s">
        <v>81</v>
      </c>
      <c r="H2471">
        <v>34109</v>
      </c>
      <c r="I2471" t="s">
        <v>30</v>
      </c>
      <c r="J2471" t="s">
        <v>41</v>
      </c>
      <c r="K2471" t="s">
        <v>229</v>
      </c>
      <c r="Q2471">
        <v>0</v>
      </c>
      <c r="R2471">
        <v>0</v>
      </c>
      <c r="S2471">
        <v>160</v>
      </c>
      <c r="T2471" t="s">
        <v>10549</v>
      </c>
    </row>
    <row r="2472" spans="1:20" customFormat="1" ht="15" x14ac:dyDescent="0.25">
      <c r="A2472" t="s">
        <v>35</v>
      </c>
      <c r="B2472" t="s">
        <v>10520</v>
      </c>
      <c r="C2472" t="str">
        <f>"A0188685"</f>
        <v>A0188685</v>
      </c>
      <c r="D2472" t="s">
        <v>10550</v>
      </c>
      <c r="E2472" t="s">
        <v>10551</v>
      </c>
      <c r="F2472" t="s">
        <v>5693</v>
      </c>
      <c r="G2472" t="s">
        <v>81</v>
      </c>
      <c r="H2472">
        <v>32114</v>
      </c>
      <c r="I2472" t="s">
        <v>30</v>
      </c>
      <c r="J2472" t="s">
        <v>41</v>
      </c>
      <c r="K2472" t="s">
        <v>229</v>
      </c>
      <c r="Q2472">
        <v>0</v>
      </c>
      <c r="R2472">
        <v>0</v>
      </c>
      <c r="S2472">
        <v>120</v>
      </c>
      <c r="T2472" t="s">
        <v>10552</v>
      </c>
    </row>
    <row r="2473" spans="1:20" customFormat="1" ht="15" x14ac:dyDescent="0.25">
      <c r="A2473" t="s">
        <v>35</v>
      </c>
      <c r="B2473" t="s">
        <v>10553</v>
      </c>
      <c r="C2473" t="str">
        <f>"A0188684"</f>
        <v>A0188684</v>
      </c>
      <c r="D2473" t="s">
        <v>10554</v>
      </c>
      <c r="E2473" t="s">
        <v>10555</v>
      </c>
      <c r="F2473" t="s">
        <v>6645</v>
      </c>
      <c r="G2473" t="s">
        <v>81</v>
      </c>
      <c r="H2473">
        <v>32177</v>
      </c>
      <c r="I2473" t="s">
        <v>30</v>
      </c>
      <c r="J2473" t="s">
        <v>41</v>
      </c>
      <c r="K2473" t="s">
        <v>229</v>
      </c>
      <c r="Q2473">
        <v>0</v>
      </c>
      <c r="R2473">
        <v>0</v>
      </c>
      <c r="S2473">
        <v>180</v>
      </c>
      <c r="T2473" t="s">
        <v>10556</v>
      </c>
    </row>
    <row r="2474" spans="1:20" customFormat="1" ht="15" x14ac:dyDescent="0.25">
      <c r="A2474" t="s">
        <v>35</v>
      </c>
      <c r="B2474" t="s">
        <v>10520</v>
      </c>
      <c r="C2474" t="str">
        <f>"A0188683"</f>
        <v>A0188683</v>
      </c>
      <c r="D2474" t="s">
        <v>10557</v>
      </c>
      <c r="E2474" t="s">
        <v>10558</v>
      </c>
      <c r="F2474" t="s">
        <v>2651</v>
      </c>
      <c r="G2474" t="s">
        <v>81</v>
      </c>
      <c r="H2474">
        <v>32953</v>
      </c>
      <c r="I2474" t="s">
        <v>30</v>
      </c>
      <c r="J2474" t="s">
        <v>41</v>
      </c>
      <c r="K2474" t="s">
        <v>59</v>
      </c>
      <c r="Q2474">
        <v>0</v>
      </c>
      <c r="R2474">
        <v>0</v>
      </c>
      <c r="S2474">
        <v>95</v>
      </c>
      <c r="T2474" t="s">
        <v>10559</v>
      </c>
    </row>
    <row r="2475" spans="1:20" customFormat="1" ht="15" x14ac:dyDescent="0.25">
      <c r="A2475" t="s">
        <v>35</v>
      </c>
      <c r="B2475" t="s">
        <v>10520</v>
      </c>
      <c r="C2475" t="str">
        <f>"A0188682"</f>
        <v>A0188682</v>
      </c>
      <c r="D2475" t="s">
        <v>10520</v>
      </c>
      <c r="E2475" t="s">
        <v>10560</v>
      </c>
      <c r="F2475" t="s">
        <v>10561</v>
      </c>
      <c r="G2475" t="s">
        <v>81</v>
      </c>
      <c r="H2475">
        <v>34135</v>
      </c>
      <c r="I2475" t="s">
        <v>30</v>
      </c>
      <c r="J2475" t="s">
        <v>41</v>
      </c>
      <c r="K2475" t="s">
        <v>290</v>
      </c>
      <c r="Q2475">
        <v>0</v>
      </c>
      <c r="R2475">
        <v>0</v>
      </c>
      <c r="S2475">
        <v>0</v>
      </c>
      <c r="T2475" t="s">
        <v>72</v>
      </c>
    </row>
    <row r="2476" spans="1:20" customFormat="1" ht="15" x14ac:dyDescent="0.25">
      <c r="A2476" t="s">
        <v>35</v>
      </c>
      <c r="B2476" t="s">
        <v>10520</v>
      </c>
      <c r="C2476" t="str">
        <f>"A0188681"</f>
        <v>A0188681</v>
      </c>
      <c r="D2476" t="s">
        <v>10562</v>
      </c>
      <c r="E2476" t="s">
        <v>10563</v>
      </c>
      <c r="F2476" t="s">
        <v>10564</v>
      </c>
      <c r="G2476" t="s">
        <v>81</v>
      </c>
      <c r="H2476">
        <v>32960</v>
      </c>
      <c r="I2476" t="s">
        <v>30</v>
      </c>
      <c r="J2476" t="s">
        <v>41</v>
      </c>
      <c r="K2476" t="s">
        <v>59</v>
      </c>
      <c r="Q2476">
        <v>0</v>
      </c>
      <c r="R2476">
        <v>0</v>
      </c>
      <c r="S2476">
        <v>135</v>
      </c>
      <c r="T2476" t="s">
        <v>10565</v>
      </c>
    </row>
    <row r="2477" spans="1:20" customFormat="1" ht="15" x14ac:dyDescent="0.25">
      <c r="A2477" t="s">
        <v>35</v>
      </c>
      <c r="B2477" t="s">
        <v>10520</v>
      </c>
      <c r="C2477" t="str">
        <f>"A0188680"</f>
        <v>A0188680</v>
      </c>
      <c r="D2477" t="s">
        <v>10566</v>
      </c>
      <c r="E2477" t="s">
        <v>10567</v>
      </c>
      <c r="F2477" t="s">
        <v>2651</v>
      </c>
      <c r="G2477" t="s">
        <v>81</v>
      </c>
      <c r="H2477">
        <v>32953</v>
      </c>
      <c r="I2477" t="s">
        <v>30</v>
      </c>
      <c r="J2477" t="s">
        <v>41</v>
      </c>
      <c r="K2477" t="s">
        <v>229</v>
      </c>
      <c r="Q2477">
        <v>0</v>
      </c>
      <c r="R2477">
        <v>0</v>
      </c>
      <c r="S2477">
        <v>120</v>
      </c>
      <c r="T2477" t="s">
        <v>10539</v>
      </c>
    </row>
    <row r="2478" spans="1:20" customFormat="1" ht="15" x14ac:dyDescent="0.25">
      <c r="A2478" t="s">
        <v>35</v>
      </c>
      <c r="B2478" t="s">
        <v>10520</v>
      </c>
      <c r="C2478" t="str">
        <f>"A0188679"</f>
        <v>A0188679</v>
      </c>
      <c r="D2478" t="s">
        <v>10568</v>
      </c>
      <c r="E2478" t="s">
        <v>10569</v>
      </c>
      <c r="F2478" t="s">
        <v>10570</v>
      </c>
      <c r="G2478" t="s">
        <v>81</v>
      </c>
      <c r="H2478">
        <v>33980</v>
      </c>
      <c r="I2478" t="s">
        <v>30</v>
      </c>
      <c r="J2478" t="s">
        <v>41</v>
      </c>
      <c r="K2478" t="s">
        <v>229</v>
      </c>
      <c r="Q2478">
        <v>0</v>
      </c>
      <c r="R2478">
        <v>0</v>
      </c>
      <c r="S2478">
        <v>120</v>
      </c>
      <c r="T2478" t="s">
        <v>10571</v>
      </c>
    </row>
    <row r="2479" spans="1:20" customFormat="1" ht="15" x14ac:dyDescent="0.25">
      <c r="A2479" t="s">
        <v>35</v>
      </c>
      <c r="B2479" t="s">
        <v>10520</v>
      </c>
      <c r="C2479" t="str">
        <f>"A0188678"</f>
        <v>A0188678</v>
      </c>
      <c r="D2479" t="s">
        <v>10572</v>
      </c>
      <c r="E2479" t="s">
        <v>10573</v>
      </c>
      <c r="F2479" t="s">
        <v>3671</v>
      </c>
      <c r="G2479" t="s">
        <v>81</v>
      </c>
      <c r="H2479">
        <v>34110</v>
      </c>
      <c r="I2479" t="s">
        <v>30</v>
      </c>
      <c r="J2479" t="s">
        <v>41</v>
      </c>
      <c r="K2479" t="s">
        <v>229</v>
      </c>
      <c r="Q2479">
        <v>0</v>
      </c>
      <c r="R2479">
        <v>0</v>
      </c>
      <c r="S2479">
        <v>113</v>
      </c>
      <c r="T2479" t="s">
        <v>10574</v>
      </c>
    </row>
    <row r="2480" spans="1:20" customFormat="1" ht="15" x14ac:dyDescent="0.25">
      <c r="A2480" t="s">
        <v>35</v>
      </c>
      <c r="B2480" t="s">
        <v>10520</v>
      </c>
      <c r="C2480" t="str">
        <f>"A0188677"</f>
        <v>A0188677</v>
      </c>
      <c r="D2480" t="s">
        <v>10575</v>
      </c>
      <c r="E2480" t="s">
        <v>10576</v>
      </c>
      <c r="F2480" t="s">
        <v>10577</v>
      </c>
      <c r="G2480" t="s">
        <v>81</v>
      </c>
      <c r="H2480">
        <v>34667</v>
      </c>
      <c r="I2480" t="s">
        <v>30</v>
      </c>
      <c r="J2480" t="s">
        <v>41</v>
      </c>
      <c r="K2480" t="s">
        <v>229</v>
      </c>
      <c r="Q2480">
        <v>0</v>
      </c>
      <c r="R2480">
        <v>0</v>
      </c>
      <c r="S2480">
        <v>180</v>
      </c>
      <c r="T2480" t="s">
        <v>10578</v>
      </c>
    </row>
    <row r="2481" spans="1:20" customFormat="1" ht="15" x14ac:dyDescent="0.25">
      <c r="A2481" t="s">
        <v>35</v>
      </c>
      <c r="B2481" t="s">
        <v>10520</v>
      </c>
      <c r="C2481" t="str">
        <f>"A0188676"</f>
        <v>A0188676</v>
      </c>
      <c r="D2481" t="s">
        <v>10579</v>
      </c>
      <c r="E2481" t="s">
        <v>10580</v>
      </c>
      <c r="F2481" t="s">
        <v>10581</v>
      </c>
      <c r="G2481" t="s">
        <v>81</v>
      </c>
      <c r="H2481">
        <v>39803</v>
      </c>
      <c r="I2481" t="s">
        <v>30</v>
      </c>
      <c r="J2481" t="s">
        <v>41</v>
      </c>
      <c r="K2481" t="s">
        <v>229</v>
      </c>
      <c r="Q2481">
        <v>0</v>
      </c>
      <c r="R2481">
        <v>0</v>
      </c>
      <c r="S2481">
        <v>180</v>
      </c>
      <c r="T2481" t="s">
        <v>10582</v>
      </c>
    </row>
    <row r="2482" spans="1:20" customFormat="1" ht="15" x14ac:dyDescent="0.25">
      <c r="A2482" t="s">
        <v>35</v>
      </c>
      <c r="B2482" t="s">
        <v>10583</v>
      </c>
      <c r="C2482" t="str">
        <f>"A0188675"</f>
        <v>A0188675</v>
      </c>
      <c r="D2482" t="s">
        <v>10584</v>
      </c>
      <c r="E2482" t="s">
        <v>10585</v>
      </c>
      <c r="F2482" t="s">
        <v>10586</v>
      </c>
      <c r="G2482" t="s">
        <v>81</v>
      </c>
      <c r="H2482">
        <v>32137</v>
      </c>
      <c r="I2482" t="s">
        <v>30</v>
      </c>
      <c r="J2482" t="s">
        <v>41</v>
      </c>
      <c r="K2482" t="s">
        <v>229</v>
      </c>
      <c r="Q2482">
        <v>0</v>
      </c>
      <c r="R2482">
        <v>0</v>
      </c>
      <c r="S2482">
        <v>100</v>
      </c>
      <c r="T2482" t="s">
        <v>10587</v>
      </c>
    </row>
    <row r="2483" spans="1:20" customFormat="1" ht="15" x14ac:dyDescent="0.25">
      <c r="A2483" t="s">
        <v>35</v>
      </c>
      <c r="B2483" t="s">
        <v>10583</v>
      </c>
      <c r="C2483" t="str">
        <f>"A0188674"</f>
        <v>A0188674</v>
      </c>
      <c r="D2483" t="s">
        <v>10588</v>
      </c>
      <c r="E2483" t="s">
        <v>10589</v>
      </c>
      <c r="F2483" t="s">
        <v>10590</v>
      </c>
      <c r="G2483" t="s">
        <v>81</v>
      </c>
      <c r="H2483">
        <v>32725</v>
      </c>
      <c r="I2483" t="s">
        <v>30</v>
      </c>
      <c r="J2483" t="s">
        <v>41</v>
      </c>
      <c r="K2483" t="s">
        <v>59</v>
      </c>
      <c r="Q2483">
        <v>0</v>
      </c>
      <c r="R2483">
        <v>0</v>
      </c>
      <c r="S2483">
        <v>96</v>
      </c>
      <c r="T2483" t="s">
        <v>10591</v>
      </c>
    </row>
    <row r="2484" spans="1:20" customFormat="1" ht="15" x14ac:dyDescent="0.25">
      <c r="A2484" t="s">
        <v>35</v>
      </c>
      <c r="B2484" t="s">
        <v>10583</v>
      </c>
      <c r="C2484" t="str">
        <f>"A0188673"</f>
        <v>A0188673</v>
      </c>
      <c r="D2484" t="s">
        <v>10592</v>
      </c>
      <c r="E2484" t="s">
        <v>10593</v>
      </c>
      <c r="F2484" t="s">
        <v>10594</v>
      </c>
      <c r="G2484" t="s">
        <v>81</v>
      </c>
      <c r="H2484">
        <v>32174</v>
      </c>
      <c r="I2484" t="s">
        <v>30</v>
      </c>
      <c r="J2484" t="s">
        <v>41</v>
      </c>
      <c r="K2484" t="s">
        <v>229</v>
      </c>
      <c r="Q2484">
        <v>0</v>
      </c>
      <c r="R2484">
        <v>0</v>
      </c>
      <c r="S2484">
        <v>75</v>
      </c>
      <c r="T2484" t="s">
        <v>10595</v>
      </c>
    </row>
    <row r="2485" spans="1:20" customFormat="1" ht="15" x14ac:dyDescent="0.25">
      <c r="A2485" t="s">
        <v>35</v>
      </c>
      <c r="B2485" t="s">
        <v>10553</v>
      </c>
      <c r="C2485" t="str">
        <f>"A0188672"</f>
        <v>A0188672</v>
      </c>
      <c r="D2485" t="s">
        <v>10596</v>
      </c>
      <c r="E2485" t="s">
        <v>10597</v>
      </c>
      <c r="F2485" t="s">
        <v>10598</v>
      </c>
      <c r="G2485" t="s">
        <v>81</v>
      </c>
      <c r="H2485">
        <v>33813</v>
      </c>
      <c r="I2485" t="s">
        <v>30</v>
      </c>
      <c r="J2485" t="s">
        <v>41</v>
      </c>
      <c r="K2485" t="s">
        <v>59</v>
      </c>
      <c r="Q2485">
        <v>0</v>
      </c>
      <c r="R2485">
        <v>0</v>
      </c>
      <c r="S2485">
        <v>68</v>
      </c>
      <c r="T2485" t="s">
        <v>72</v>
      </c>
    </row>
    <row r="2486" spans="1:20" customFormat="1" ht="15" x14ac:dyDescent="0.25">
      <c r="A2486" t="s">
        <v>35</v>
      </c>
      <c r="B2486" t="s">
        <v>10553</v>
      </c>
      <c r="C2486" t="str">
        <f>"A0188671"</f>
        <v>A0188671</v>
      </c>
      <c r="D2486" t="s">
        <v>10553</v>
      </c>
      <c r="E2486" t="s">
        <v>10599</v>
      </c>
      <c r="F2486" t="s">
        <v>4269</v>
      </c>
      <c r="G2486" t="s">
        <v>99</v>
      </c>
      <c r="H2486">
        <v>11211</v>
      </c>
      <c r="I2486" t="s">
        <v>30</v>
      </c>
      <c r="J2486" t="s">
        <v>41</v>
      </c>
      <c r="K2486" t="s">
        <v>290</v>
      </c>
      <c r="Q2486">
        <v>0</v>
      </c>
      <c r="R2486">
        <v>0</v>
      </c>
      <c r="S2486">
        <v>0</v>
      </c>
      <c r="T2486" t="s">
        <v>72</v>
      </c>
    </row>
    <row r="2487" spans="1:20" customFormat="1" ht="15" x14ac:dyDescent="0.25">
      <c r="A2487" t="s">
        <v>35</v>
      </c>
      <c r="B2487" t="s">
        <v>10553</v>
      </c>
      <c r="C2487" t="str">
        <f>"A0188670"</f>
        <v>A0188670</v>
      </c>
      <c r="D2487" t="s">
        <v>10600</v>
      </c>
      <c r="E2487" t="s">
        <v>10601</v>
      </c>
      <c r="F2487" t="s">
        <v>9228</v>
      </c>
      <c r="G2487" t="s">
        <v>81</v>
      </c>
      <c r="H2487">
        <v>33511</v>
      </c>
      <c r="I2487" t="s">
        <v>30</v>
      </c>
      <c r="J2487" t="s">
        <v>41</v>
      </c>
      <c r="K2487" t="s">
        <v>59</v>
      </c>
      <c r="Q2487">
        <v>0</v>
      </c>
      <c r="R2487">
        <v>0</v>
      </c>
      <c r="S2487">
        <v>132</v>
      </c>
      <c r="T2487" t="s">
        <v>72</v>
      </c>
    </row>
    <row r="2488" spans="1:20" customFormat="1" ht="15" x14ac:dyDescent="0.25">
      <c r="A2488" t="s">
        <v>35</v>
      </c>
      <c r="B2488" t="s">
        <v>10553</v>
      </c>
      <c r="C2488" t="str">
        <f>"A0188669"</f>
        <v>A0188669</v>
      </c>
      <c r="D2488" t="s">
        <v>10602</v>
      </c>
      <c r="E2488" t="s">
        <v>10603</v>
      </c>
      <c r="F2488" t="s">
        <v>10426</v>
      </c>
      <c r="G2488" t="s">
        <v>81</v>
      </c>
      <c r="H2488">
        <v>34235</v>
      </c>
      <c r="I2488" t="s">
        <v>30</v>
      </c>
      <c r="J2488" t="s">
        <v>41</v>
      </c>
      <c r="K2488" t="s">
        <v>59</v>
      </c>
      <c r="Q2488">
        <v>0</v>
      </c>
      <c r="R2488">
        <v>0</v>
      </c>
      <c r="S2488">
        <v>120</v>
      </c>
      <c r="T2488" t="s">
        <v>72</v>
      </c>
    </row>
    <row r="2489" spans="1:20" customFormat="1" ht="15" x14ac:dyDescent="0.25">
      <c r="A2489" t="s">
        <v>35</v>
      </c>
      <c r="B2489" t="s">
        <v>437</v>
      </c>
      <c r="C2489" t="str">
        <f>"A0188668"</f>
        <v>A0188668</v>
      </c>
      <c r="D2489" t="s">
        <v>10604</v>
      </c>
      <c r="E2489" t="s">
        <v>10605</v>
      </c>
      <c r="F2489" t="s">
        <v>10606</v>
      </c>
      <c r="G2489" t="s">
        <v>40</v>
      </c>
      <c r="H2489">
        <v>73738</v>
      </c>
      <c r="I2489" t="s">
        <v>30</v>
      </c>
      <c r="J2489" t="s">
        <v>441</v>
      </c>
      <c r="K2489" t="s">
        <v>10607</v>
      </c>
      <c r="Q2489">
        <v>0</v>
      </c>
      <c r="R2489">
        <v>0</v>
      </c>
      <c r="S2489">
        <v>0</v>
      </c>
      <c r="T2489" t="s">
        <v>10608</v>
      </c>
    </row>
    <row r="2490" spans="1:20" customFormat="1" ht="15" x14ac:dyDescent="0.25">
      <c r="A2490" t="s">
        <v>35</v>
      </c>
      <c r="B2490" t="s">
        <v>61</v>
      </c>
      <c r="C2490" t="str">
        <f>"A0188667"</f>
        <v>A0188667</v>
      </c>
      <c r="D2490" t="s">
        <v>10609</v>
      </c>
      <c r="E2490" t="s">
        <v>10610</v>
      </c>
      <c r="F2490" t="s">
        <v>10611</v>
      </c>
      <c r="G2490" t="s">
        <v>381</v>
      </c>
      <c r="H2490">
        <v>46544</v>
      </c>
      <c r="I2490" t="s">
        <v>30</v>
      </c>
      <c r="J2490" t="s">
        <v>41</v>
      </c>
      <c r="K2490" t="s">
        <v>391</v>
      </c>
      <c r="Q2490">
        <v>0</v>
      </c>
      <c r="R2490">
        <v>0</v>
      </c>
      <c r="S2490">
        <v>0</v>
      </c>
      <c r="T2490" t="s">
        <v>10612</v>
      </c>
    </row>
    <row r="2491" spans="1:20" customFormat="1" ht="15" x14ac:dyDescent="0.25">
      <c r="A2491" t="s">
        <v>35</v>
      </c>
      <c r="B2491" t="s">
        <v>61</v>
      </c>
      <c r="C2491" t="str">
        <f>"A0188666"</f>
        <v>A0188666</v>
      </c>
      <c r="D2491" t="s">
        <v>10613</v>
      </c>
      <c r="E2491" t="s">
        <v>10614</v>
      </c>
      <c r="F2491" t="s">
        <v>10615</v>
      </c>
      <c r="G2491" t="s">
        <v>528</v>
      </c>
      <c r="H2491">
        <v>19973</v>
      </c>
      <c r="I2491" t="s">
        <v>30</v>
      </c>
      <c r="J2491" t="s">
        <v>41</v>
      </c>
      <c r="K2491" t="s">
        <v>3713</v>
      </c>
      <c r="Q2491">
        <v>0</v>
      </c>
      <c r="R2491">
        <v>0</v>
      </c>
      <c r="S2491">
        <v>94</v>
      </c>
      <c r="T2491" t="s">
        <v>10616</v>
      </c>
    </row>
    <row r="2492" spans="1:20" customFormat="1" ht="15" x14ac:dyDescent="0.25">
      <c r="A2492" t="s">
        <v>35</v>
      </c>
      <c r="B2492" t="s">
        <v>61</v>
      </c>
      <c r="C2492" t="str">
        <f>"A0188665"</f>
        <v>A0188665</v>
      </c>
      <c r="D2492" t="s">
        <v>10617</v>
      </c>
      <c r="E2492" t="s">
        <v>10618</v>
      </c>
      <c r="F2492" t="s">
        <v>5050</v>
      </c>
      <c r="G2492" t="s">
        <v>899</v>
      </c>
      <c r="H2492">
        <v>2360</v>
      </c>
      <c r="I2492" t="s">
        <v>30</v>
      </c>
      <c r="J2492" t="s">
        <v>41</v>
      </c>
      <c r="K2492" t="s">
        <v>482</v>
      </c>
      <c r="Q2492">
        <v>0</v>
      </c>
      <c r="R2492">
        <v>0</v>
      </c>
      <c r="S2492">
        <v>36</v>
      </c>
      <c r="T2492" t="s">
        <v>10619</v>
      </c>
    </row>
    <row r="2493" spans="1:20" customFormat="1" ht="15" x14ac:dyDescent="0.25">
      <c r="A2493" t="s">
        <v>35</v>
      </c>
      <c r="B2493" t="s">
        <v>61</v>
      </c>
      <c r="C2493" t="str">
        <f>"A0188664"</f>
        <v>A0188664</v>
      </c>
      <c r="D2493" t="s">
        <v>10620</v>
      </c>
      <c r="E2493" t="s">
        <v>10621</v>
      </c>
      <c r="F2493" t="s">
        <v>10622</v>
      </c>
      <c r="G2493" t="s">
        <v>615</v>
      </c>
      <c r="H2493">
        <v>6084</v>
      </c>
      <c r="I2493" t="s">
        <v>30</v>
      </c>
      <c r="J2493" t="s">
        <v>41</v>
      </c>
      <c r="K2493" t="s">
        <v>229</v>
      </c>
      <c r="Q2493">
        <v>0</v>
      </c>
      <c r="R2493">
        <v>0</v>
      </c>
      <c r="S2493">
        <v>130</v>
      </c>
      <c r="T2493" t="s">
        <v>72</v>
      </c>
    </row>
    <row r="2494" spans="1:20" customFormat="1" ht="15" x14ac:dyDescent="0.25">
      <c r="A2494" t="s">
        <v>35</v>
      </c>
      <c r="B2494" t="s">
        <v>9198</v>
      </c>
      <c r="C2494" t="str">
        <f>"A0188663"</f>
        <v>A0188663</v>
      </c>
      <c r="D2494" t="s">
        <v>10623</v>
      </c>
      <c r="E2494" t="s">
        <v>10624</v>
      </c>
      <c r="F2494" t="s">
        <v>10625</v>
      </c>
      <c r="G2494" t="s">
        <v>123</v>
      </c>
      <c r="H2494">
        <v>21114</v>
      </c>
      <c r="I2494" t="s">
        <v>30</v>
      </c>
      <c r="J2494" t="s">
        <v>41</v>
      </c>
      <c r="K2494" t="s">
        <v>59</v>
      </c>
      <c r="Q2494">
        <v>0</v>
      </c>
      <c r="R2494">
        <v>0</v>
      </c>
      <c r="S2494">
        <v>16</v>
      </c>
      <c r="T2494" t="s">
        <v>10626</v>
      </c>
    </row>
    <row r="2495" spans="1:20" customFormat="1" ht="15" x14ac:dyDescent="0.25">
      <c r="A2495" t="s">
        <v>35</v>
      </c>
      <c r="B2495" t="s">
        <v>9198</v>
      </c>
      <c r="C2495" t="str">
        <f>"A0188662"</f>
        <v>A0188662</v>
      </c>
      <c r="D2495" t="s">
        <v>10627</v>
      </c>
      <c r="E2495" t="s">
        <v>10628</v>
      </c>
      <c r="F2495" t="s">
        <v>10629</v>
      </c>
      <c r="G2495" t="s">
        <v>123</v>
      </c>
      <c r="H2495">
        <v>21146</v>
      </c>
      <c r="I2495" t="s">
        <v>30</v>
      </c>
      <c r="J2495" t="s">
        <v>41</v>
      </c>
      <c r="K2495" t="s">
        <v>59</v>
      </c>
      <c r="Q2495">
        <v>0</v>
      </c>
      <c r="R2495">
        <v>0</v>
      </c>
      <c r="S2495">
        <v>16</v>
      </c>
      <c r="T2495" t="s">
        <v>10630</v>
      </c>
    </row>
    <row r="2496" spans="1:20" customFormat="1" ht="15" x14ac:dyDescent="0.25">
      <c r="A2496" t="s">
        <v>35</v>
      </c>
      <c r="B2496" t="s">
        <v>1615</v>
      </c>
      <c r="C2496" t="str">
        <f>"A0188661"</f>
        <v>A0188661</v>
      </c>
      <c r="D2496" t="s">
        <v>10631</v>
      </c>
      <c r="E2496" t="s">
        <v>10632</v>
      </c>
      <c r="F2496" t="s">
        <v>1689</v>
      </c>
      <c r="G2496" t="s">
        <v>58</v>
      </c>
      <c r="H2496">
        <v>29072</v>
      </c>
      <c r="I2496" t="s">
        <v>30</v>
      </c>
      <c r="J2496" t="s">
        <v>41</v>
      </c>
      <c r="K2496" t="s">
        <v>59</v>
      </c>
      <c r="Q2496">
        <v>0</v>
      </c>
      <c r="R2496">
        <v>0</v>
      </c>
      <c r="S2496">
        <v>80</v>
      </c>
      <c r="T2496" t="s">
        <v>10633</v>
      </c>
    </row>
    <row r="2497" spans="1:20" customFormat="1" ht="15" x14ac:dyDescent="0.25">
      <c r="A2497" t="s">
        <v>35</v>
      </c>
      <c r="B2497" t="s">
        <v>1615</v>
      </c>
      <c r="C2497" t="str">
        <f>"A0188660"</f>
        <v>A0188660</v>
      </c>
      <c r="D2497" t="s">
        <v>10634</v>
      </c>
      <c r="E2497" t="s">
        <v>10635</v>
      </c>
      <c r="F2497" t="s">
        <v>1298</v>
      </c>
      <c r="G2497" t="s">
        <v>58</v>
      </c>
      <c r="H2497">
        <v>29206</v>
      </c>
      <c r="I2497" t="s">
        <v>30</v>
      </c>
      <c r="J2497" t="s">
        <v>41</v>
      </c>
      <c r="K2497" t="s">
        <v>59</v>
      </c>
      <c r="Q2497">
        <v>0</v>
      </c>
      <c r="R2497">
        <v>0</v>
      </c>
      <c r="S2497">
        <v>95</v>
      </c>
      <c r="T2497" t="s">
        <v>10636</v>
      </c>
    </row>
    <row r="2498" spans="1:20" customFormat="1" ht="15" x14ac:dyDescent="0.25">
      <c r="A2498" t="s">
        <v>35</v>
      </c>
      <c r="B2498" t="s">
        <v>1615</v>
      </c>
      <c r="C2498" t="str">
        <f>"A0188659"</f>
        <v>A0188659</v>
      </c>
      <c r="D2498" t="s">
        <v>10637</v>
      </c>
      <c r="E2498" t="s">
        <v>10638</v>
      </c>
      <c r="F2498" t="s">
        <v>5781</v>
      </c>
      <c r="G2498" t="s">
        <v>58</v>
      </c>
      <c r="H2498">
        <v>29745</v>
      </c>
      <c r="I2498" t="s">
        <v>30</v>
      </c>
      <c r="J2498" t="s">
        <v>41</v>
      </c>
      <c r="K2498" t="s">
        <v>59</v>
      </c>
      <c r="Q2498">
        <v>0</v>
      </c>
      <c r="R2498">
        <v>0</v>
      </c>
      <c r="S2498">
        <v>134</v>
      </c>
      <c r="T2498" t="s">
        <v>10633</v>
      </c>
    </row>
    <row r="2499" spans="1:20" customFormat="1" ht="15" x14ac:dyDescent="0.25">
      <c r="A2499" t="s">
        <v>35</v>
      </c>
      <c r="B2499" t="s">
        <v>1615</v>
      </c>
      <c r="C2499" t="str">
        <f>"A0188658"</f>
        <v>A0188658</v>
      </c>
      <c r="D2499" t="s">
        <v>10639</v>
      </c>
      <c r="E2499" t="s">
        <v>10640</v>
      </c>
      <c r="F2499" t="s">
        <v>10641</v>
      </c>
      <c r="G2499" t="s">
        <v>58</v>
      </c>
      <c r="H2499">
        <v>29527</v>
      </c>
      <c r="I2499" t="s">
        <v>30</v>
      </c>
      <c r="J2499" t="s">
        <v>41</v>
      </c>
      <c r="K2499" t="s">
        <v>59</v>
      </c>
      <c r="Q2499">
        <v>0</v>
      </c>
      <c r="R2499">
        <v>0</v>
      </c>
      <c r="S2499">
        <v>85</v>
      </c>
      <c r="T2499" t="s">
        <v>10642</v>
      </c>
    </row>
    <row r="2500" spans="1:20" customFormat="1" ht="15" x14ac:dyDescent="0.25">
      <c r="A2500" t="s">
        <v>35</v>
      </c>
      <c r="B2500" t="s">
        <v>1615</v>
      </c>
      <c r="C2500" t="str">
        <f>"A0188657"</f>
        <v>A0188657</v>
      </c>
      <c r="D2500" t="s">
        <v>10643</v>
      </c>
      <c r="E2500" t="s">
        <v>10644</v>
      </c>
      <c r="F2500" t="s">
        <v>10645</v>
      </c>
      <c r="G2500" t="s">
        <v>58</v>
      </c>
      <c r="H2500">
        <v>29360</v>
      </c>
      <c r="I2500" t="s">
        <v>30</v>
      </c>
      <c r="J2500" t="s">
        <v>41</v>
      </c>
      <c r="K2500" t="s">
        <v>59</v>
      </c>
      <c r="Q2500">
        <v>0</v>
      </c>
      <c r="R2500">
        <v>0</v>
      </c>
      <c r="S2500">
        <v>72</v>
      </c>
      <c r="T2500" t="s">
        <v>10646</v>
      </c>
    </row>
    <row r="2501" spans="1:20" customFormat="1" ht="15" x14ac:dyDescent="0.25">
      <c r="A2501" t="s">
        <v>35</v>
      </c>
      <c r="B2501" t="s">
        <v>10647</v>
      </c>
      <c r="C2501" t="str">
        <f>"A0188656"</f>
        <v>A0188656</v>
      </c>
      <c r="D2501" t="s">
        <v>10648</v>
      </c>
      <c r="E2501" t="s">
        <v>10649</v>
      </c>
      <c r="F2501" t="s">
        <v>3671</v>
      </c>
      <c r="G2501" t="s">
        <v>81</v>
      </c>
      <c r="H2501">
        <v>34104</v>
      </c>
      <c r="I2501" t="s">
        <v>30</v>
      </c>
      <c r="J2501" t="s">
        <v>41</v>
      </c>
      <c r="K2501" t="s">
        <v>59</v>
      </c>
      <c r="Q2501">
        <v>0</v>
      </c>
      <c r="R2501">
        <v>0</v>
      </c>
      <c r="S2501">
        <v>127</v>
      </c>
      <c r="T2501" t="s">
        <v>10650</v>
      </c>
    </row>
    <row r="2502" spans="1:20" customFormat="1" ht="15" x14ac:dyDescent="0.25">
      <c r="A2502" t="s">
        <v>35</v>
      </c>
      <c r="B2502" t="s">
        <v>10651</v>
      </c>
      <c r="C2502" t="str">
        <f>"A0188655"</f>
        <v>A0188655</v>
      </c>
      <c r="D2502" t="s">
        <v>10652</v>
      </c>
      <c r="E2502" t="s">
        <v>10653</v>
      </c>
      <c r="F2502" t="s">
        <v>64</v>
      </c>
      <c r="G2502" t="s">
        <v>65</v>
      </c>
      <c r="H2502">
        <v>43203</v>
      </c>
      <c r="I2502" t="s">
        <v>30</v>
      </c>
      <c r="J2502" t="s">
        <v>41</v>
      </c>
      <c r="K2502" t="s">
        <v>391</v>
      </c>
      <c r="Q2502">
        <v>0</v>
      </c>
      <c r="R2502">
        <v>0</v>
      </c>
      <c r="S2502">
        <v>0</v>
      </c>
      <c r="T2502" t="s">
        <v>10654</v>
      </c>
    </row>
    <row r="2503" spans="1:20" customFormat="1" ht="15" x14ac:dyDescent="0.25">
      <c r="A2503" t="s">
        <v>35</v>
      </c>
      <c r="B2503" t="s">
        <v>10651</v>
      </c>
      <c r="C2503" t="str">
        <f>"A0188654"</f>
        <v>A0188654</v>
      </c>
      <c r="D2503" t="s">
        <v>10651</v>
      </c>
      <c r="E2503" t="s">
        <v>10655</v>
      </c>
      <c r="F2503" t="s">
        <v>64</v>
      </c>
      <c r="G2503" t="s">
        <v>65</v>
      </c>
      <c r="H2503">
        <v>43203</v>
      </c>
      <c r="I2503" t="s">
        <v>30</v>
      </c>
      <c r="J2503" t="s">
        <v>41</v>
      </c>
      <c r="K2503" t="s">
        <v>290</v>
      </c>
      <c r="Q2503">
        <v>0</v>
      </c>
      <c r="R2503">
        <v>0</v>
      </c>
      <c r="S2503">
        <v>0</v>
      </c>
      <c r="T2503" t="s">
        <v>10654</v>
      </c>
    </row>
    <row r="2504" spans="1:20" customFormat="1" ht="15" x14ac:dyDescent="0.25">
      <c r="A2504" t="s">
        <v>24</v>
      </c>
      <c r="B2504" t="s">
        <v>2583</v>
      </c>
      <c r="C2504" t="str">
        <f>"A0057326"</f>
        <v>A0057326</v>
      </c>
      <c r="D2504" t="s">
        <v>55925</v>
      </c>
      <c r="E2504" t="s">
        <v>55926</v>
      </c>
      <c r="F2504" t="s">
        <v>716</v>
      </c>
      <c r="G2504" t="s">
        <v>289</v>
      </c>
      <c r="H2504">
        <v>60610</v>
      </c>
      <c r="I2504" t="s">
        <v>30</v>
      </c>
      <c r="J2504" t="s">
        <v>162</v>
      </c>
      <c r="K2504" t="s">
        <v>13246</v>
      </c>
      <c r="N2504" t="s">
        <v>7956</v>
      </c>
      <c r="Q2504">
        <v>0</v>
      </c>
      <c r="R2504">
        <v>285</v>
      </c>
      <c r="S2504">
        <v>0</v>
      </c>
      <c r="T2504" t="s">
        <v>55927</v>
      </c>
    </row>
    <row r="2505" spans="1:20" customFormat="1" ht="15" x14ac:dyDescent="0.25">
      <c r="A2505" t="s">
        <v>24</v>
      </c>
      <c r="B2505" t="s">
        <v>675</v>
      </c>
      <c r="C2505" t="str">
        <f>"33764"</f>
        <v>33764</v>
      </c>
      <c r="D2505" t="s">
        <v>56013</v>
      </c>
      <c r="E2505" t="s">
        <v>56014</v>
      </c>
      <c r="F2505" t="s">
        <v>5651</v>
      </c>
      <c r="G2505" t="s">
        <v>110</v>
      </c>
      <c r="H2505">
        <v>92802</v>
      </c>
      <c r="I2505" t="s">
        <v>30</v>
      </c>
      <c r="J2505" t="s">
        <v>162</v>
      </c>
      <c r="K2505" t="s">
        <v>1490</v>
      </c>
      <c r="N2505" t="s">
        <v>56015</v>
      </c>
      <c r="O2505" t="s">
        <v>56016</v>
      </c>
      <c r="Q2505">
        <v>0</v>
      </c>
      <c r="R2505">
        <v>1033</v>
      </c>
      <c r="S2505">
        <v>0</v>
      </c>
      <c r="T2505" t="s">
        <v>56017</v>
      </c>
    </row>
    <row r="2506" spans="1:20" customFormat="1" ht="15" x14ac:dyDescent="0.25">
      <c r="A2506" t="s">
        <v>24</v>
      </c>
      <c r="B2506" t="s">
        <v>193</v>
      </c>
      <c r="C2506" t="str">
        <f>"A0088802"</f>
        <v>A0088802</v>
      </c>
      <c r="D2506" t="s">
        <v>10667</v>
      </c>
      <c r="E2506" t="s">
        <v>10668</v>
      </c>
      <c r="F2506" t="s">
        <v>10669</v>
      </c>
      <c r="G2506" t="s">
        <v>65</v>
      </c>
      <c r="H2506">
        <v>45040</v>
      </c>
      <c r="I2506" t="s">
        <v>30</v>
      </c>
      <c r="J2506" t="s">
        <v>31</v>
      </c>
      <c r="K2506" t="s">
        <v>296</v>
      </c>
      <c r="N2506" t="s">
        <v>10670</v>
      </c>
      <c r="Q2506">
        <v>0</v>
      </c>
      <c r="R2506">
        <v>79</v>
      </c>
      <c r="S2506">
        <v>0</v>
      </c>
      <c r="T2506" t="s">
        <v>10671</v>
      </c>
    </row>
    <row r="2507" spans="1:20" customFormat="1" ht="15" x14ac:dyDescent="0.25">
      <c r="A2507" t="s">
        <v>24</v>
      </c>
      <c r="B2507" t="s">
        <v>2011</v>
      </c>
      <c r="C2507" t="str">
        <f>"A0089195"</f>
        <v>A0089195</v>
      </c>
      <c r="D2507" t="s">
        <v>56023</v>
      </c>
      <c r="E2507" t="s">
        <v>56024</v>
      </c>
      <c r="F2507" t="s">
        <v>997</v>
      </c>
      <c r="G2507" t="s">
        <v>99</v>
      </c>
      <c r="H2507">
        <v>10017</v>
      </c>
      <c r="I2507" t="s">
        <v>30</v>
      </c>
      <c r="J2507" t="s">
        <v>162</v>
      </c>
      <c r="K2507" t="s">
        <v>53270</v>
      </c>
      <c r="N2507" t="s">
        <v>56025</v>
      </c>
      <c r="O2507" t="s">
        <v>56026</v>
      </c>
      <c r="Q2507">
        <v>0</v>
      </c>
      <c r="R2507">
        <v>184</v>
      </c>
      <c r="S2507">
        <v>0</v>
      </c>
      <c r="T2507" t="s">
        <v>56027</v>
      </c>
    </row>
    <row r="2508" spans="1:20" customFormat="1" ht="15" x14ac:dyDescent="0.25">
      <c r="A2508" t="s">
        <v>24</v>
      </c>
      <c r="B2508" t="s">
        <v>2011</v>
      </c>
      <c r="C2508" t="str">
        <f>"9773C"</f>
        <v>9773C</v>
      </c>
      <c r="D2508" t="s">
        <v>56028</v>
      </c>
      <c r="E2508" t="s">
        <v>56029</v>
      </c>
      <c r="F2508" t="s">
        <v>35268</v>
      </c>
      <c r="G2508" t="s">
        <v>4815</v>
      </c>
      <c r="H2508">
        <v>96753</v>
      </c>
      <c r="I2508" t="s">
        <v>30</v>
      </c>
      <c r="J2508" t="s">
        <v>162</v>
      </c>
      <c r="K2508" t="s">
        <v>53270</v>
      </c>
      <c r="N2508" t="s">
        <v>56030</v>
      </c>
      <c r="O2508" t="s">
        <v>56031</v>
      </c>
      <c r="Q2508">
        <v>3</v>
      </c>
      <c r="R2508">
        <v>345</v>
      </c>
      <c r="S2508">
        <v>0</v>
      </c>
      <c r="T2508" t="s">
        <v>56032</v>
      </c>
    </row>
    <row r="2509" spans="1:20" customFormat="1" ht="15" x14ac:dyDescent="0.25">
      <c r="A2509" t="s">
        <v>24</v>
      </c>
      <c r="B2509" t="s">
        <v>2011</v>
      </c>
      <c r="C2509" t="str">
        <f>"A0087877"</f>
        <v>A0087877</v>
      </c>
      <c r="D2509" t="s">
        <v>56039</v>
      </c>
      <c r="E2509" t="s">
        <v>56040</v>
      </c>
      <c r="F2509" t="s">
        <v>2241</v>
      </c>
      <c r="G2509" t="s">
        <v>110</v>
      </c>
      <c r="H2509">
        <v>94559</v>
      </c>
      <c r="I2509" t="s">
        <v>30</v>
      </c>
      <c r="J2509" t="s">
        <v>162</v>
      </c>
      <c r="K2509" t="s">
        <v>53270</v>
      </c>
      <c r="N2509" t="s">
        <v>56041</v>
      </c>
      <c r="Q2509">
        <v>0</v>
      </c>
      <c r="R2509">
        <v>141</v>
      </c>
      <c r="S2509">
        <v>0</v>
      </c>
      <c r="T2509" t="s">
        <v>56042</v>
      </c>
    </row>
    <row r="2510" spans="1:20" customFormat="1" ht="15" x14ac:dyDescent="0.25">
      <c r="A2510" t="s">
        <v>24</v>
      </c>
      <c r="B2510" t="s">
        <v>2011</v>
      </c>
      <c r="C2510" t="str">
        <f>"A0088941"</f>
        <v>A0088941</v>
      </c>
      <c r="D2510" t="s">
        <v>56054</v>
      </c>
      <c r="E2510" t="s">
        <v>56055</v>
      </c>
      <c r="F2510" t="s">
        <v>2978</v>
      </c>
      <c r="G2510" t="s">
        <v>110</v>
      </c>
      <c r="H2510">
        <v>92101</v>
      </c>
      <c r="I2510" t="s">
        <v>30</v>
      </c>
      <c r="J2510" t="s">
        <v>162</v>
      </c>
      <c r="K2510" t="s">
        <v>53270</v>
      </c>
      <c r="N2510" t="s">
        <v>56056</v>
      </c>
      <c r="Q2510">
        <v>0</v>
      </c>
      <c r="R2510">
        <v>159</v>
      </c>
      <c r="S2510">
        <v>0</v>
      </c>
      <c r="T2510" t="s">
        <v>56057</v>
      </c>
    </row>
    <row r="2511" spans="1:20" customFormat="1" ht="15" x14ac:dyDescent="0.25">
      <c r="A2511" t="s">
        <v>24</v>
      </c>
      <c r="B2511" t="s">
        <v>10690</v>
      </c>
      <c r="C2511" t="str">
        <f>"A0156816"</f>
        <v>A0156816</v>
      </c>
      <c r="D2511" t="s">
        <v>10691</v>
      </c>
      <c r="E2511" t="s">
        <v>10692</v>
      </c>
      <c r="F2511" t="s">
        <v>4909</v>
      </c>
      <c r="G2511" t="s">
        <v>58</v>
      </c>
      <c r="H2511">
        <v>29210</v>
      </c>
      <c r="I2511" t="s">
        <v>30</v>
      </c>
      <c r="J2511" t="s">
        <v>31</v>
      </c>
      <c r="K2511" t="s">
        <v>1196</v>
      </c>
      <c r="N2511" t="s">
        <v>10693</v>
      </c>
      <c r="Q2511">
        <v>0</v>
      </c>
      <c r="R2511">
        <v>117</v>
      </c>
      <c r="S2511">
        <v>0</v>
      </c>
      <c r="T2511" t="s">
        <v>10694</v>
      </c>
    </row>
    <row r="2512" spans="1:20" customFormat="1" ht="15" x14ac:dyDescent="0.25">
      <c r="A2512" t="s">
        <v>24</v>
      </c>
      <c r="B2512" t="s">
        <v>10690</v>
      </c>
      <c r="C2512" t="str">
        <f>"A0156815"</f>
        <v>A0156815</v>
      </c>
      <c r="D2512" t="s">
        <v>10695</v>
      </c>
      <c r="E2512" t="s">
        <v>10696</v>
      </c>
      <c r="F2512" t="s">
        <v>2390</v>
      </c>
      <c r="G2512" t="s">
        <v>214</v>
      </c>
      <c r="H2512">
        <v>27215</v>
      </c>
      <c r="I2512" t="s">
        <v>30</v>
      </c>
      <c r="J2512" t="s">
        <v>31</v>
      </c>
      <c r="K2512" t="s">
        <v>1196</v>
      </c>
      <c r="N2512" t="s">
        <v>10697</v>
      </c>
      <c r="Q2512">
        <v>0</v>
      </c>
      <c r="R2512">
        <v>101</v>
      </c>
      <c r="S2512">
        <v>0</v>
      </c>
      <c r="T2512" t="s">
        <v>10698</v>
      </c>
    </row>
    <row r="2513" spans="1:20" customFormat="1" ht="15" x14ac:dyDescent="0.25">
      <c r="A2513" t="s">
        <v>24</v>
      </c>
      <c r="B2513" t="s">
        <v>2011</v>
      </c>
      <c r="C2513" t="str">
        <f>"A0086506"</f>
        <v>A0086506</v>
      </c>
      <c r="D2513" t="s">
        <v>56058</v>
      </c>
      <c r="E2513" t="s">
        <v>56059</v>
      </c>
      <c r="F2513" t="s">
        <v>2839</v>
      </c>
      <c r="G2513" t="s">
        <v>846</v>
      </c>
      <c r="H2513">
        <v>31401</v>
      </c>
      <c r="I2513" t="s">
        <v>30</v>
      </c>
      <c r="J2513" t="s">
        <v>162</v>
      </c>
      <c r="K2513" t="s">
        <v>53270</v>
      </c>
      <c r="N2513" t="s">
        <v>56060</v>
      </c>
      <c r="O2513" t="s">
        <v>56061</v>
      </c>
      <c r="Q2513">
        <v>0</v>
      </c>
      <c r="R2513">
        <v>151</v>
      </c>
      <c r="S2513">
        <v>0</v>
      </c>
      <c r="T2513" t="s">
        <v>56062</v>
      </c>
    </row>
    <row r="2514" spans="1:20" customFormat="1" ht="15" x14ac:dyDescent="0.25">
      <c r="A2514" t="s">
        <v>24</v>
      </c>
      <c r="B2514" t="s">
        <v>2011</v>
      </c>
      <c r="C2514" t="str">
        <f>"A0096719"</f>
        <v>A0096719</v>
      </c>
      <c r="D2514" t="s">
        <v>56063</v>
      </c>
      <c r="E2514" t="s">
        <v>56064</v>
      </c>
      <c r="F2514" t="s">
        <v>56065</v>
      </c>
      <c r="G2514" t="s">
        <v>197</v>
      </c>
      <c r="H2514">
        <v>85253</v>
      </c>
      <c r="I2514" t="s">
        <v>30</v>
      </c>
      <c r="J2514" t="s">
        <v>162</v>
      </c>
      <c r="K2514" t="s">
        <v>53270</v>
      </c>
      <c r="N2514" t="s">
        <v>56066</v>
      </c>
      <c r="O2514" t="s">
        <v>56067</v>
      </c>
      <c r="Q2514">
        <v>0</v>
      </c>
      <c r="R2514">
        <v>201</v>
      </c>
      <c r="S2514">
        <v>0</v>
      </c>
      <c r="T2514" t="s">
        <v>56068</v>
      </c>
    </row>
    <row r="2515" spans="1:20" customFormat="1" ht="15" x14ac:dyDescent="0.25">
      <c r="A2515" t="s">
        <v>24</v>
      </c>
      <c r="B2515" t="s">
        <v>10690</v>
      </c>
      <c r="C2515" t="str">
        <f>"A0100779"</f>
        <v>A0100779</v>
      </c>
      <c r="D2515" t="s">
        <v>10709</v>
      </c>
      <c r="E2515" t="s">
        <v>10710</v>
      </c>
      <c r="F2515" t="s">
        <v>6941</v>
      </c>
      <c r="G2515" t="s">
        <v>214</v>
      </c>
      <c r="H2515">
        <v>27560</v>
      </c>
      <c r="I2515" t="s">
        <v>30</v>
      </c>
      <c r="J2515" t="s">
        <v>31</v>
      </c>
      <c r="K2515" t="s">
        <v>1196</v>
      </c>
      <c r="N2515" t="s">
        <v>10711</v>
      </c>
      <c r="O2515" t="s">
        <v>10712</v>
      </c>
      <c r="Q2515">
        <v>0</v>
      </c>
      <c r="R2515">
        <v>106</v>
      </c>
      <c r="S2515">
        <v>0</v>
      </c>
      <c r="T2515" t="s">
        <v>10713</v>
      </c>
    </row>
    <row r="2516" spans="1:20" customFormat="1" ht="15" x14ac:dyDescent="0.25">
      <c r="A2516" t="s">
        <v>24</v>
      </c>
      <c r="B2516" t="s">
        <v>2011</v>
      </c>
      <c r="C2516" t="str">
        <f>"HY09124"</f>
        <v>HY09124</v>
      </c>
      <c r="D2516" t="s">
        <v>56069</v>
      </c>
      <c r="E2516" t="s">
        <v>56070</v>
      </c>
      <c r="F2516" t="s">
        <v>10401</v>
      </c>
      <c r="G2516" t="s">
        <v>110</v>
      </c>
      <c r="H2516">
        <v>90069</v>
      </c>
      <c r="I2516" t="s">
        <v>30</v>
      </c>
      <c r="J2516" t="s">
        <v>162</v>
      </c>
      <c r="K2516" t="s">
        <v>53270</v>
      </c>
      <c r="N2516" t="s">
        <v>56071</v>
      </c>
      <c r="O2516" t="s">
        <v>56072</v>
      </c>
      <c r="Q2516">
        <v>0</v>
      </c>
      <c r="R2516">
        <v>241</v>
      </c>
      <c r="S2516">
        <v>0</v>
      </c>
      <c r="T2516" t="s">
        <v>56073</v>
      </c>
    </row>
    <row r="2517" spans="1:20" customFormat="1" ht="15" x14ac:dyDescent="0.25">
      <c r="A2517" t="s">
        <v>24</v>
      </c>
      <c r="B2517" t="s">
        <v>149</v>
      </c>
      <c r="C2517" t="str">
        <f>"A0154265"</f>
        <v>A0154265</v>
      </c>
      <c r="D2517" t="s">
        <v>56099</v>
      </c>
      <c r="E2517" t="s">
        <v>56100</v>
      </c>
      <c r="F2517" t="s">
        <v>5833</v>
      </c>
      <c r="G2517" t="s">
        <v>1508</v>
      </c>
      <c r="H2517">
        <v>83002</v>
      </c>
      <c r="I2517" t="s">
        <v>30</v>
      </c>
      <c r="J2517" t="s">
        <v>162</v>
      </c>
      <c r="K2517" t="s">
        <v>163</v>
      </c>
      <c r="N2517" t="s">
        <v>56101</v>
      </c>
      <c r="Q2517">
        <v>0</v>
      </c>
      <c r="R2517">
        <v>50</v>
      </c>
      <c r="S2517">
        <v>0</v>
      </c>
      <c r="T2517" t="s">
        <v>56102</v>
      </c>
    </row>
    <row r="2518" spans="1:20" customFormat="1" ht="15" x14ac:dyDescent="0.25">
      <c r="A2518" t="s">
        <v>24</v>
      </c>
      <c r="B2518" t="s">
        <v>10690</v>
      </c>
      <c r="C2518" t="str">
        <f>"A0095206"</f>
        <v>A0095206</v>
      </c>
      <c r="D2518" t="s">
        <v>10724</v>
      </c>
      <c r="E2518" t="s">
        <v>10725</v>
      </c>
      <c r="F2518" t="s">
        <v>2390</v>
      </c>
      <c r="G2518" t="s">
        <v>214</v>
      </c>
      <c r="H2518">
        <v>27215</v>
      </c>
      <c r="I2518" t="s">
        <v>30</v>
      </c>
      <c r="J2518" t="s">
        <v>31</v>
      </c>
      <c r="K2518" t="s">
        <v>198</v>
      </c>
      <c r="N2518" t="s">
        <v>10726</v>
      </c>
      <c r="Q2518">
        <v>0</v>
      </c>
      <c r="R2518">
        <v>92</v>
      </c>
      <c r="S2518">
        <v>0</v>
      </c>
      <c r="T2518" t="s">
        <v>10727</v>
      </c>
    </row>
    <row r="2519" spans="1:20" customFormat="1" ht="15" x14ac:dyDescent="0.25">
      <c r="A2519" t="s">
        <v>24</v>
      </c>
      <c r="B2519" t="s">
        <v>13730</v>
      </c>
      <c r="C2519" t="str">
        <f>"88IN028"</f>
        <v>88IN028</v>
      </c>
      <c r="D2519" t="s">
        <v>56126</v>
      </c>
      <c r="E2519" t="s">
        <v>56127</v>
      </c>
      <c r="F2519" t="s">
        <v>4674</v>
      </c>
      <c r="G2519" t="s">
        <v>314</v>
      </c>
      <c r="H2519">
        <v>20037</v>
      </c>
      <c r="I2519" t="s">
        <v>30</v>
      </c>
      <c r="J2519" t="s">
        <v>162</v>
      </c>
      <c r="K2519" t="s">
        <v>163</v>
      </c>
      <c r="N2519" t="s">
        <v>56128</v>
      </c>
      <c r="Q2519">
        <v>0</v>
      </c>
      <c r="R2519">
        <v>136</v>
      </c>
      <c r="S2519">
        <v>0</v>
      </c>
      <c r="T2519" t="s">
        <v>56129</v>
      </c>
    </row>
    <row r="2520" spans="1:20" customFormat="1" ht="15" x14ac:dyDescent="0.25">
      <c r="A2520" t="s">
        <v>24</v>
      </c>
      <c r="B2520" t="s">
        <v>35790</v>
      </c>
      <c r="C2520" t="str">
        <f>"A0097902"</f>
        <v>A0097902</v>
      </c>
      <c r="D2520" t="s">
        <v>56134</v>
      </c>
      <c r="E2520" t="s">
        <v>56135</v>
      </c>
      <c r="F2520" t="s">
        <v>54801</v>
      </c>
      <c r="G2520" t="s">
        <v>338</v>
      </c>
      <c r="H2520">
        <v>7932</v>
      </c>
      <c r="I2520" t="s">
        <v>30</v>
      </c>
      <c r="J2520" t="s">
        <v>162</v>
      </c>
      <c r="K2520" t="s">
        <v>35794</v>
      </c>
      <c r="N2520" t="s">
        <v>56136</v>
      </c>
      <c r="O2520" t="s">
        <v>56137</v>
      </c>
      <c r="Q2520">
        <v>0</v>
      </c>
      <c r="R2520">
        <v>161</v>
      </c>
      <c r="S2520">
        <v>0</v>
      </c>
      <c r="T2520" t="s">
        <v>56138</v>
      </c>
    </row>
    <row r="2521" spans="1:20" customFormat="1" ht="15" x14ac:dyDescent="0.25">
      <c r="A2521" t="s">
        <v>24</v>
      </c>
      <c r="B2521" t="s">
        <v>35790</v>
      </c>
      <c r="C2521" t="str">
        <f>"A0090304"</f>
        <v>A0090304</v>
      </c>
      <c r="D2521" t="s">
        <v>56144</v>
      </c>
      <c r="E2521" t="s">
        <v>56145</v>
      </c>
      <c r="F2521" t="s">
        <v>12811</v>
      </c>
      <c r="G2521" t="s">
        <v>29</v>
      </c>
      <c r="H2521">
        <v>22031</v>
      </c>
      <c r="I2521" t="s">
        <v>30</v>
      </c>
      <c r="J2521" t="s">
        <v>162</v>
      </c>
      <c r="K2521" t="s">
        <v>35794</v>
      </c>
      <c r="N2521" t="s">
        <v>35795</v>
      </c>
      <c r="O2521" t="s">
        <v>56146</v>
      </c>
      <c r="Q2521">
        <v>0</v>
      </c>
      <c r="R2521">
        <v>148</v>
      </c>
      <c r="S2521">
        <v>0</v>
      </c>
      <c r="T2521" t="s">
        <v>56147</v>
      </c>
    </row>
    <row r="2522" spans="1:20" customFormat="1" ht="15" x14ac:dyDescent="0.25">
      <c r="A2522" t="s">
        <v>24</v>
      </c>
      <c r="B2522" t="s">
        <v>56166</v>
      </c>
      <c r="C2522" t="str">
        <f>"A0059546"</f>
        <v>A0059546</v>
      </c>
      <c r="D2522" t="s">
        <v>56167</v>
      </c>
      <c r="E2522" t="s">
        <v>56168</v>
      </c>
      <c r="F2522" t="s">
        <v>1131</v>
      </c>
      <c r="G2522" t="s">
        <v>29</v>
      </c>
      <c r="H2522">
        <v>22201</v>
      </c>
      <c r="I2522" t="s">
        <v>30</v>
      </c>
      <c r="J2522" t="s">
        <v>162</v>
      </c>
      <c r="K2522" t="s">
        <v>243</v>
      </c>
      <c r="N2522" t="s">
        <v>56169</v>
      </c>
      <c r="O2522" t="s">
        <v>56170</v>
      </c>
      <c r="Q2522">
        <v>0</v>
      </c>
      <c r="R2522">
        <v>187</v>
      </c>
      <c r="S2522">
        <v>0</v>
      </c>
      <c r="T2522" t="s">
        <v>56171</v>
      </c>
    </row>
    <row r="2523" spans="1:20" customFormat="1" ht="15" x14ac:dyDescent="0.25">
      <c r="A2523" t="s">
        <v>24</v>
      </c>
      <c r="B2523" t="s">
        <v>3221</v>
      </c>
      <c r="C2523" t="str">
        <f>"A0076935"</f>
        <v>A0076935</v>
      </c>
      <c r="D2523" t="s">
        <v>56228</v>
      </c>
      <c r="E2523" t="s">
        <v>56229</v>
      </c>
      <c r="F2523" t="s">
        <v>56230</v>
      </c>
      <c r="G2523" t="s">
        <v>1363</v>
      </c>
      <c r="H2523">
        <v>3842</v>
      </c>
      <c r="I2523" t="s">
        <v>30</v>
      </c>
      <c r="J2523" t="s">
        <v>162</v>
      </c>
      <c r="K2523" t="s">
        <v>163</v>
      </c>
      <c r="N2523" t="s">
        <v>56231</v>
      </c>
      <c r="Q2523">
        <v>0</v>
      </c>
      <c r="R2523">
        <v>107</v>
      </c>
      <c r="S2523">
        <v>0</v>
      </c>
      <c r="T2523" t="s">
        <v>56232</v>
      </c>
    </row>
    <row r="2524" spans="1:20" customFormat="1" ht="15" x14ac:dyDescent="0.25">
      <c r="A2524" t="s">
        <v>24</v>
      </c>
      <c r="B2524" t="s">
        <v>1583</v>
      </c>
      <c r="C2524" t="str">
        <f>"A0060040"</f>
        <v>A0060040</v>
      </c>
      <c r="D2524" t="s">
        <v>56249</v>
      </c>
      <c r="E2524" t="s">
        <v>56250</v>
      </c>
      <c r="F2524" t="s">
        <v>35740</v>
      </c>
      <c r="G2524" t="s">
        <v>4815</v>
      </c>
      <c r="H2524">
        <v>96761</v>
      </c>
      <c r="I2524" t="s">
        <v>30</v>
      </c>
      <c r="J2524" t="s">
        <v>162</v>
      </c>
      <c r="K2524" t="s">
        <v>163</v>
      </c>
      <c r="N2524" t="s">
        <v>56251</v>
      </c>
      <c r="Q2524">
        <v>0</v>
      </c>
      <c r="R2524">
        <v>404</v>
      </c>
      <c r="S2524">
        <v>0</v>
      </c>
      <c r="T2524" t="s">
        <v>56252</v>
      </c>
    </row>
    <row r="2525" spans="1:20" customFormat="1" ht="15" hidden="1" x14ac:dyDescent="0.25">
      <c r="A2525" t="s">
        <v>24</v>
      </c>
      <c r="B2525" t="s">
        <v>9400</v>
      </c>
      <c r="C2525" t="str">
        <f>"A0098751"</f>
        <v>A0098751</v>
      </c>
      <c r="D2525" t="s">
        <v>10761</v>
      </c>
      <c r="E2525" t="s">
        <v>10762</v>
      </c>
      <c r="F2525" t="s">
        <v>10763</v>
      </c>
      <c r="G2525" t="s">
        <v>2206</v>
      </c>
      <c r="H2525" t="s">
        <v>10764</v>
      </c>
      <c r="I2525" t="s">
        <v>1459</v>
      </c>
      <c r="J2525" t="s">
        <v>162</v>
      </c>
      <c r="K2525" t="s">
        <v>822</v>
      </c>
      <c r="Q2525">
        <v>0</v>
      </c>
      <c r="R2525">
        <v>226</v>
      </c>
      <c r="S2525">
        <v>0</v>
      </c>
      <c r="T2525" t="s">
        <v>10765</v>
      </c>
    </row>
    <row r="2526" spans="1:20" customFormat="1" ht="15" hidden="1" x14ac:dyDescent="0.25">
      <c r="A2526" t="s">
        <v>24</v>
      </c>
      <c r="B2526" t="s">
        <v>10766</v>
      </c>
      <c r="C2526" t="str">
        <f>"A0188607"</f>
        <v>A0188607</v>
      </c>
      <c r="D2526" t="s">
        <v>10767</v>
      </c>
      <c r="E2526" t="s">
        <v>10768</v>
      </c>
      <c r="F2526" t="s">
        <v>10769</v>
      </c>
      <c r="G2526" t="s">
        <v>4481</v>
      </c>
      <c r="H2526">
        <v>44610</v>
      </c>
      <c r="I2526" t="s">
        <v>2408</v>
      </c>
      <c r="J2526" t="s">
        <v>162</v>
      </c>
      <c r="K2526" t="s">
        <v>10770</v>
      </c>
      <c r="N2526" t="s">
        <v>10771</v>
      </c>
      <c r="Q2526">
        <v>0</v>
      </c>
      <c r="R2526">
        <v>191</v>
      </c>
      <c r="S2526">
        <v>0</v>
      </c>
      <c r="T2526" t="s">
        <v>10772</v>
      </c>
    </row>
    <row r="2527" spans="1:20" customFormat="1" ht="15" x14ac:dyDescent="0.25">
      <c r="A2527" t="s">
        <v>24</v>
      </c>
      <c r="B2527" t="s">
        <v>2373</v>
      </c>
      <c r="C2527" t="str">
        <f>"A0068248"</f>
        <v>A0068248</v>
      </c>
      <c r="D2527" t="s">
        <v>56258</v>
      </c>
      <c r="E2527" t="s">
        <v>56259</v>
      </c>
      <c r="F2527" t="s">
        <v>2069</v>
      </c>
      <c r="G2527" t="s">
        <v>1170</v>
      </c>
      <c r="H2527">
        <v>70130</v>
      </c>
      <c r="I2527" t="s">
        <v>30</v>
      </c>
      <c r="J2527" t="s">
        <v>162</v>
      </c>
      <c r="K2527" t="s">
        <v>4442</v>
      </c>
      <c r="N2527" t="s">
        <v>56260</v>
      </c>
      <c r="Q2527">
        <v>0</v>
      </c>
      <c r="R2527">
        <v>693</v>
      </c>
      <c r="S2527">
        <v>0</v>
      </c>
      <c r="T2527" t="s">
        <v>56261</v>
      </c>
    </row>
    <row r="2528" spans="1:20" customFormat="1" ht="15" x14ac:dyDescent="0.25">
      <c r="A2528" t="s">
        <v>24</v>
      </c>
      <c r="B2528" t="s">
        <v>675</v>
      </c>
      <c r="C2528" t="str">
        <f>"33749"</f>
        <v>33749</v>
      </c>
      <c r="D2528" t="s">
        <v>56267</v>
      </c>
      <c r="E2528" t="s">
        <v>56268</v>
      </c>
      <c r="F2528" t="s">
        <v>3024</v>
      </c>
      <c r="G2528" t="s">
        <v>846</v>
      </c>
      <c r="H2528">
        <v>30337</v>
      </c>
      <c r="I2528" t="s">
        <v>30</v>
      </c>
      <c r="J2528" t="s">
        <v>162</v>
      </c>
      <c r="K2528" t="s">
        <v>1490</v>
      </c>
      <c r="N2528" t="s">
        <v>56269</v>
      </c>
      <c r="O2528" t="s">
        <v>56270</v>
      </c>
      <c r="Q2528">
        <v>0</v>
      </c>
      <c r="R2528">
        <v>638</v>
      </c>
      <c r="S2528">
        <v>0</v>
      </c>
      <c r="T2528" t="s">
        <v>56271</v>
      </c>
    </row>
    <row r="2529" spans="1:20" customFormat="1" ht="15" x14ac:dyDescent="0.25">
      <c r="A2529" t="s">
        <v>35</v>
      </c>
      <c r="B2529" t="s">
        <v>36</v>
      </c>
      <c r="C2529" t="str">
        <f>"A0188601"</f>
        <v>A0188601</v>
      </c>
      <c r="D2529" t="s">
        <v>10782</v>
      </c>
      <c r="E2529" t="s">
        <v>10783</v>
      </c>
      <c r="F2529" t="s">
        <v>10784</v>
      </c>
      <c r="G2529" t="s">
        <v>880</v>
      </c>
      <c r="H2529">
        <v>38240</v>
      </c>
      <c r="I2529" t="s">
        <v>30</v>
      </c>
      <c r="J2529" t="s">
        <v>41</v>
      </c>
      <c r="K2529" t="s">
        <v>42</v>
      </c>
      <c r="Q2529">
        <v>0</v>
      </c>
      <c r="R2529">
        <v>0</v>
      </c>
      <c r="S2529">
        <v>0</v>
      </c>
      <c r="T2529" t="s">
        <v>10785</v>
      </c>
    </row>
    <row r="2530" spans="1:20" customFormat="1" ht="15" x14ac:dyDescent="0.25">
      <c r="A2530" t="s">
        <v>35</v>
      </c>
      <c r="B2530" t="s">
        <v>36</v>
      </c>
      <c r="C2530" t="str">
        <f>"A0188600"</f>
        <v>A0188600</v>
      </c>
      <c r="D2530" t="s">
        <v>10786</v>
      </c>
      <c r="E2530" t="s">
        <v>10787</v>
      </c>
      <c r="F2530" t="s">
        <v>10788</v>
      </c>
      <c r="G2530" t="s">
        <v>840</v>
      </c>
      <c r="H2530">
        <v>41616</v>
      </c>
      <c r="I2530" t="s">
        <v>30</v>
      </c>
      <c r="J2530" t="s">
        <v>41</v>
      </c>
      <c r="K2530" t="s">
        <v>42</v>
      </c>
      <c r="Q2530">
        <v>0</v>
      </c>
      <c r="R2530">
        <v>0</v>
      </c>
      <c r="S2530">
        <v>0</v>
      </c>
      <c r="T2530" t="s">
        <v>10789</v>
      </c>
    </row>
    <row r="2531" spans="1:20" customFormat="1" ht="15" x14ac:dyDescent="0.25">
      <c r="A2531" t="s">
        <v>35</v>
      </c>
      <c r="B2531" t="s">
        <v>36</v>
      </c>
      <c r="C2531" t="str">
        <f>"A0188599"</f>
        <v>A0188599</v>
      </c>
      <c r="D2531" t="s">
        <v>10790</v>
      </c>
      <c r="E2531" t="s">
        <v>10791</v>
      </c>
      <c r="F2531" t="s">
        <v>5257</v>
      </c>
      <c r="G2531" t="s">
        <v>52</v>
      </c>
      <c r="H2531">
        <v>77080</v>
      </c>
      <c r="I2531" t="s">
        <v>30</v>
      </c>
      <c r="J2531" t="s">
        <v>41</v>
      </c>
      <c r="K2531" t="s">
        <v>42</v>
      </c>
      <c r="Q2531">
        <v>0</v>
      </c>
      <c r="R2531">
        <v>0</v>
      </c>
      <c r="S2531">
        <v>0</v>
      </c>
      <c r="T2531" t="s">
        <v>10792</v>
      </c>
    </row>
    <row r="2532" spans="1:20" customFormat="1" ht="15" x14ac:dyDescent="0.25">
      <c r="A2532" t="s">
        <v>35</v>
      </c>
      <c r="B2532" t="s">
        <v>9198</v>
      </c>
      <c r="C2532" t="str">
        <f>"A0188598"</f>
        <v>A0188598</v>
      </c>
      <c r="D2532" t="s">
        <v>4633</v>
      </c>
      <c r="E2532" t="s">
        <v>10793</v>
      </c>
      <c r="F2532" t="s">
        <v>4633</v>
      </c>
      <c r="G2532" t="s">
        <v>899</v>
      </c>
      <c r="H2532">
        <v>2721</v>
      </c>
      <c r="I2532" t="s">
        <v>30</v>
      </c>
      <c r="J2532" t="s">
        <v>41</v>
      </c>
      <c r="K2532" t="s">
        <v>229</v>
      </c>
      <c r="Q2532">
        <v>0</v>
      </c>
      <c r="R2532">
        <v>0</v>
      </c>
      <c r="S2532">
        <v>120</v>
      </c>
      <c r="T2532" t="s">
        <v>10794</v>
      </c>
    </row>
    <row r="2533" spans="1:20" customFormat="1" ht="15" x14ac:dyDescent="0.25">
      <c r="A2533" t="s">
        <v>35</v>
      </c>
      <c r="B2533" t="s">
        <v>9198</v>
      </c>
      <c r="C2533" t="str">
        <f>"A0188597"</f>
        <v>A0188597</v>
      </c>
      <c r="D2533" t="s">
        <v>10795</v>
      </c>
      <c r="E2533" t="s">
        <v>10796</v>
      </c>
      <c r="F2533" t="s">
        <v>10797</v>
      </c>
      <c r="G2533" t="s">
        <v>899</v>
      </c>
      <c r="H2533">
        <v>1089</v>
      </c>
      <c r="I2533" t="s">
        <v>30</v>
      </c>
      <c r="J2533" t="s">
        <v>41</v>
      </c>
      <c r="K2533" t="s">
        <v>229</v>
      </c>
      <c r="Q2533">
        <v>0</v>
      </c>
      <c r="R2533">
        <v>0</v>
      </c>
      <c r="S2533">
        <v>120</v>
      </c>
      <c r="T2533" t="s">
        <v>10798</v>
      </c>
    </row>
    <row r="2534" spans="1:20" customFormat="1" ht="15" x14ac:dyDescent="0.25">
      <c r="A2534" t="s">
        <v>35</v>
      </c>
      <c r="B2534" t="s">
        <v>9198</v>
      </c>
      <c r="C2534" t="str">
        <f>"A0188596"</f>
        <v>A0188596</v>
      </c>
      <c r="D2534" t="s">
        <v>10799</v>
      </c>
      <c r="E2534" t="s">
        <v>10800</v>
      </c>
      <c r="F2534" t="s">
        <v>10801</v>
      </c>
      <c r="G2534" t="s">
        <v>99</v>
      </c>
      <c r="H2534">
        <v>14222</v>
      </c>
      <c r="I2534" t="s">
        <v>30</v>
      </c>
      <c r="J2534" t="s">
        <v>41</v>
      </c>
      <c r="K2534" t="s">
        <v>290</v>
      </c>
      <c r="Q2534">
        <v>0</v>
      </c>
      <c r="R2534">
        <v>0</v>
      </c>
      <c r="S2534">
        <v>0</v>
      </c>
      <c r="T2534" t="s">
        <v>72</v>
      </c>
    </row>
    <row r="2535" spans="1:20" customFormat="1" ht="15" x14ac:dyDescent="0.25">
      <c r="A2535" t="s">
        <v>35</v>
      </c>
      <c r="B2535" t="s">
        <v>5681</v>
      </c>
      <c r="C2535" t="str">
        <f>"A0188595"</f>
        <v>A0188595</v>
      </c>
      <c r="D2535" t="s">
        <v>10802</v>
      </c>
      <c r="E2535" t="s">
        <v>10803</v>
      </c>
      <c r="F2535" t="s">
        <v>7867</v>
      </c>
      <c r="G2535" t="s">
        <v>110</v>
      </c>
      <c r="H2535">
        <v>93551</v>
      </c>
      <c r="I2535" t="s">
        <v>30</v>
      </c>
      <c r="J2535" t="s">
        <v>41</v>
      </c>
      <c r="K2535" t="s">
        <v>59</v>
      </c>
      <c r="Q2535">
        <v>0</v>
      </c>
      <c r="R2535">
        <v>0</v>
      </c>
      <c r="S2535">
        <v>75</v>
      </c>
      <c r="T2535" t="s">
        <v>10804</v>
      </c>
    </row>
    <row r="2536" spans="1:20" customFormat="1" ht="15" x14ac:dyDescent="0.25">
      <c r="A2536" t="s">
        <v>35</v>
      </c>
      <c r="B2536" t="s">
        <v>9670</v>
      </c>
      <c r="C2536" t="str">
        <f>"A0188594"</f>
        <v>A0188594</v>
      </c>
      <c r="D2536" t="s">
        <v>10805</v>
      </c>
      <c r="E2536" t="s">
        <v>10806</v>
      </c>
      <c r="F2536" t="s">
        <v>10807</v>
      </c>
      <c r="G2536" t="s">
        <v>338</v>
      </c>
      <c r="H2536">
        <v>8302</v>
      </c>
      <c r="I2536" t="s">
        <v>30</v>
      </c>
      <c r="J2536" t="s">
        <v>41</v>
      </c>
      <c r="K2536" t="s">
        <v>1032</v>
      </c>
      <c r="Q2536">
        <v>0</v>
      </c>
      <c r="R2536">
        <v>0</v>
      </c>
      <c r="S2536">
        <v>47</v>
      </c>
      <c r="T2536" t="s">
        <v>72</v>
      </c>
    </row>
    <row r="2537" spans="1:20" customFormat="1" ht="15" x14ac:dyDescent="0.25">
      <c r="A2537" t="s">
        <v>35</v>
      </c>
      <c r="B2537" t="s">
        <v>9670</v>
      </c>
      <c r="C2537" t="str">
        <f>"A0188593"</f>
        <v>A0188593</v>
      </c>
      <c r="D2537" t="s">
        <v>10808</v>
      </c>
      <c r="E2537" t="s">
        <v>10809</v>
      </c>
      <c r="F2537" t="s">
        <v>10810</v>
      </c>
      <c r="G2537" t="s">
        <v>338</v>
      </c>
      <c r="H2537">
        <v>8242</v>
      </c>
      <c r="I2537" t="s">
        <v>30</v>
      </c>
      <c r="J2537" t="s">
        <v>41</v>
      </c>
      <c r="K2537" t="s">
        <v>1032</v>
      </c>
      <c r="Q2537">
        <v>0</v>
      </c>
      <c r="R2537">
        <v>0</v>
      </c>
      <c r="S2537">
        <v>47</v>
      </c>
      <c r="T2537" t="s">
        <v>72</v>
      </c>
    </row>
    <row r="2538" spans="1:20" customFormat="1" ht="15" x14ac:dyDescent="0.25">
      <c r="A2538" t="s">
        <v>35</v>
      </c>
      <c r="B2538" t="s">
        <v>9670</v>
      </c>
      <c r="C2538" t="str">
        <f>"A0188592"</f>
        <v>A0188592</v>
      </c>
      <c r="D2538" t="s">
        <v>10811</v>
      </c>
      <c r="E2538" t="s">
        <v>10812</v>
      </c>
      <c r="F2538" t="s">
        <v>10813</v>
      </c>
      <c r="G2538" t="s">
        <v>71</v>
      </c>
      <c r="H2538">
        <v>53005</v>
      </c>
      <c r="I2538" t="s">
        <v>30</v>
      </c>
      <c r="J2538" t="s">
        <v>41</v>
      </c>
      <c r="K2538" t="s">
        <v>1032</v>
      </c>
      <c r="Q2538">
        <v>0</v>
      </c>
      <c r="R2538">
        <v>0</v>
      </c>
      <c r="S2538">
        <v>54</v>
      </c>
      <c r="T2538" t="s">
        <v>72</v>
      </c>
    </row>
    <row r="2539" spans="1:20" customFormat="1" ht="15" x14ac:dyDescent="0.25">
      <c r="A2539" t="s">
        <v>35</v>
      </c>
      <c r="B2539" t="s">
        <v>9670</v>
      </c>
      <c r="C2539" t="str">
        <f>"A0188591"</f>
        <v>A0188591</v>
      </c>
      <c r="D2539" t="s">
        <v>9671</v>
      </c>
      <c r="E2539" t="s">
        <v>9672</v>
      </c>
      <c r="F2539" t="s">
        <v>10814</v>
      </c>
      <c r="G2539" t="s">
        <v>71</v>
      </c>
      <c r="H2539">
        <v>53151</v>
      </c>
      <c r="I2539" t="s">
        <v>30</v>
      </c>
      <c r="J2539" t="s">
        <v>41</v>
      </c>
      <c r="K2539" t="s">
        <v>1032</v>
      </c>
      <c r="Q2539">
        <v>0</v>
      </c>
      <c r="R2539">
        <v>0</v>
      </c>
      <c r="S2539">
        <v>44</v>
      </c>
      <c r="T2539" t="s">
        <v>72</v>
      </c>
    </row>
    <row r="2540" spans="1:20" customFormat="1" ht="15" x14ac:dyDescent="0.25">
      <c r="A2540" t="s">
        <v>35</v>
      </c>
      <c r="B2540" t="s">
        <v>61</v>
      </c>
      <c r="C2540" t="str">
        <f>"A0188590"</f>
        <v>A0188590</v>
      </c>
      <c r="D2540" t="s">
        <v>10815</v>
      </c>
      <c r="E2540" t="s">
        <v>10816</v>
      </c>
      <c r="F2540" t="s">
        <v>10817</v>
      </c>
      <c r="G2540" t="s">
        <v>52</v>
      </c>
      <c r="H2540">
        <v>77550</v>
      </c>
      <c r="I2540" t="s">
        <v>30</v>
      </c>
      <c r="J2540" t="s">
        <v>41</v>
      </c>
      <c r="K2540" t="s">
        <v>104</v>
      </c>
      <c r="Q2540">
        <v>0</v>
      </c>
      <c r="R2540">
        <v>0</v>
      </c>
      <c r="S2540">
        <v>0</v>
      </c>
      <c r="T2540" t="s">
        <v>10818</v>
      </c>
    </row>
    <row r="2541" spans="1:20" customFormat="1" ht="15" x14ac:dyDescent="0.25">
      <c r="A2541" t="s">
        <v>35</v>
      </c>
      <c r="B2541" t="s">
        <v>61</v>
      </c>
      <c r="C2541" t="str">
        <f>"A0188589"</f>
        <v>A0188589</v>
      </c>
      <c r="D2541" t="s">
        <v>10819</v>
      </c>
      <c r="E2541" t="s">
        <v>10820</v>
      </c>
      <c r="F2541" t="s">
        <v>10821</v>
      </c>
      <c r="G2541" t="s">
        <v>117</v>
      </c>
      <c r="H2541">
        <v>49085</v>
      </c>
      <c r="I2541" t="s">
        <v>30</v>
      </c>
      <c r="J2541" t="s">
        <v>41</v>
      </c>
      <c r="K2541" t="s">
        <v>2463</v>
      </c>
      <c r="Q2541">
        <v>0</v>
      </c>
      <c r="R2541">
        <v>0</v>
      </c>
      <c r="S2541">
        <v>0</v>
      </c>
      <c r="T2541" t="s">
        <v>10822</v>
      </c>
    </row>
    <row r="2542" spans="1:20" customFormat="1" ht="15" x14ac:dyDescent="0.25">
      <c r="A2542" t="s">
        <v>35</v>
      </c>
      <c r="B2542" t="s">
        <v>61</v>
      </c>
      <c r="C2542" t="str">
        <f>"A0188588"</f>
        <v>A0188588</v>
      </c>
      <c r="D2542" t="s">
        <v>10823</v>
      </c>
      <c r="E2542" t="s">
        <v>10824</v>
      </c>
      <c r="F2542" t="s">
        <v>4674</v>
      </c>
      <c r="G2542" t="s">
        <v>153</v>
      </c>
      <c r="H2542">
        <v>84780</v>
      </c>
      <c r="I2542" t="s">
        <v>30</v>
      </c>
      <c r="J2542" t="s">
        <v>41</v>
      </c>
      <c r="K2542" t="s">
        <v>59</v>
      </c>
      <c r="Q2542">
        <v>0</v>
      </c>
      <c r="R2542">
        <v>0</v>
      </c>
      <c r="S2542">
        <v>31</v>
      </c>
      <c r="T2542" t="s">
        <v>10825</v>
      </c>
    </row>
    <row r="2543" spans="1:20" customFormat="1" ht="15" x14ac:dyDescent="0.25">
      <c r="A2543" t="s">
        <v>35</v>
      </c>
      <c r="B2543" t="s">
        <v>61</v>
      </c>
      <c r="C2543" t="str">
        <f>"A0188587"</f>
        <v>A0188587</v>
      </c>
      <c r="D2543" t="s">
        <v>10826</v>
      </c>
      <c r="E2543" t="s">
        <v>10827</v>
      </c>
      <c r="F2543" t="s">
        <v>10828</v>
      </c>
      <c r="G2543" t="s">
        <v>289</v>
      </c>
      <c r="H2543">
        <v>61542</v>
      </c>
      <c r="I2543" t="s">
        <v>30</v>
      </c>
      <c r="J2543" t="s">
        <v>41</v>
      </c>
      <c r="K2543" t="s">
        <v>42</v>
      </c>
      <c r="Q2543">
        <v>0</v>
      </c>
      <c r="R2543">
        <v>0</v>
      </c>
      <c r="S2543">
        <v>0</v>
      </c>
      <c r="T2543" t="s">
        <v>10829</v>
      </c>
    </row>
    <row r="2544" spans="1:20" customFormat="1" ht="15" x14ac:dyDescent="0.25">
      <c r="A2544" t="s">
        <v>35</v>
      </c>
      <c r="B2544" t="s">
        <v>61</v>
      </c>
      <c r="C2544" t="str">
        <f>"A0188586"</f>
        <v>A0188586</v>
      </c>
      <c r="D2544" t="s">
        <v>10830</v>
      </c>
      <c r="E2544" t="s">
        <v>10831</v>
      </c>
      <c r="F2544" t="s">
        <v>10832</v>
      </c>
      <c r="G2544" t="s">
        <v>71</v>
      </c>
      <c r="H2544">
        <v>54494</v>
      </c>
      <c r="I2544" t="s">
        <v>30</v>
      </c>
      <c r="J2544" t="s">
        <v>41</v>
      </c>
      <c r="K2544" t="s">
        <v>229</v>
      </c>
      <c r="Q2544">
        <v>0</v>
      </c>
      <c r="R2544">
        <v>0</v>
      </c>
      <c r="S2544">
        <v>0</v>
      </c>
      <c r="T2544" t="s">
        <v>10833</v>
      </c>
    </row>
    <row r="2545" spans="1:20" customFormat="1" ht="15" x14ac:dyDescent="0.25">
      <c r="A2545" t="s">
        <v>35</v>
      </c>
      <c r="B2545" t="s">
        <v>61</v>
      </c>
      <c r="C2545" t="str">
        <f>"A0188585"</f>
        <v>A0188585</v>
      </c>
      <c r="D2545" t="s">
        <v>10834</v>
      </c>
      <c r="E2545" t="s">
        <v>10835</v>
      </c>
      <c r="F2545" t="s">
        <v>3478</v>
      </c>
      <c r="G2545" t="s">
        <v>65</v>
      </c>
      <c r="H2545">
        <v>45406</v>
      </c>
      <c r="I2545" t="s">
        <v>30</v>
      </c>
      <c r="J2545" t="s">
        <v>41</v>
      </c>
      <c r="K2545" t="s">
        <v>391</v>
      </c>
      <c r="Q2545">
        <v>0</v>
      </c>
      <c r="R2545">
        <v>0</v>
      </c>
      <c r="S2545">
        <v>0</v>
      </c>
      <c r="T2545" t="s">
        <v>10836</v>
      </c>
    </row>
    <row r="2546" spans="1:20" customFormat="1" ht="15" x14ac:dyDescent="0.25">
      <c r="A2546" t="s">
        <v>35</v>
      </c>
      <c r="B2546" t="s">
        <v>61</v>
      </c>
      <c r="C2546" t="str">
        <f>"A0188584"</f>
        <v>A0188584</v>
      </c>
      <c r="D2546" t="s">
        <v>10837</v>
      </c>
      <c r="E2546" t="s">
        <v>10838</v>
      </c>
      <c r="F2546" t="s">
        <v>10839</v>
      </c>
      <c r="G2546" t="s">
        <v>117</v>
      </c>
      <c r="H2546">
        <v>48327</v>
      </c>
      <c r="I2546" t="s">
        <v>30</v>
      </c>
      <c r="J2546" t="s">
        <v>41</v>
      </c>
      <c r="K2546" t="s">
        <v>2463</v>
      </c>
      <c r="Q2546">
        <v>0</v>
      </c>
      <c r="R2546">
        <v>0</v>
      </c>
      <c r="S2546">
        <v>0</v>
      </c>
      <c r="T2546" t="s">
        <v>10840</v>
      </c>
    </row>
    <row r="2547" spans="1:20" customFormat="1" ht="15" x14ac:dyDescent="0.25">
      <c r="A2547" t="s">
        <v>35</v>
      </c>
      <c r="B2547" t="s">
        <v>61</v>
      </c>
      <c r="C2547" t="str">
        <f>"A0188583"</f>
        <v>A0188583</v>
      </c>
      <c r="D2547" t="s">
        <v>10841</v>
      </c>
      <c r="E2547" t="s">
        <v>10842</v>
      </c>
      <c r="F2547" t="s">
        <v>10843</v>
      </c>
      <c r="G2547" t="s">
        <v>117</v>
      </c>
      <c r="H2547">
        <v>49418</v>
      </c>
      <c r="I2547" t="s">
        <v>30</v>
      </c>
      <c r="J2547" t="s">
        <v>41</v>
      </c>
      <c r="K2547" t="s">
        <v>59</v>
      </c>
      <c r="Q2547">
        <v>0</v>
      </c>
      <c r="R2547">
        <v>0</v>
      </c>
      <c r="S2547">
        <v>60</v>
      </c>
      <c r="T2547" t="s">
        <v>10844</v>
      </c>
    </row>
    <row r="2548" spans="1:20" customFormat="1" ht="15" x14ac:dyDescent="0.25">
      <c r="A2548" t="s">
        <v>35</v>
      </c>
      <c r="B2548" t="s">
        <v>61</v>
      </c>
      <c r="C2548" t="str">
        <f>"A0188582"</f>
        <v>A0188582</v>
      </c>
      <c r="D2548" t="s">
        <v>10845</v>
      </c>
      <c r="E2548" t="s">
        <v>10846</v>
      </c>
      <c r="F2548" t="s">
        <v>10847</v>
      </c>
      <c r="G2548" t="s">
        <v>289</v>
      </c>
      <c r="H2548">
        <v>60448</v>
      </c>
      <c r="I2548" t="s">
        <v>30</v>
      </c>
      <c r="J2548" t="s">
        <v>41</v>
      </c>
      <c r="K2548" t="s">
        <v>59</v>
      </c>
      <c r="Q2548">
        <v>0</v>
      </c>
      <c r="R2548">
        <v>0</v>
      </c>
      <c r="S2548">
        <v>10</v>
      </c>
      <c r="T2548" t="s">
        <v>10848</v>
      </c>
    </row>
    <row r="2549" spans="1:20" customFormat="1" ht="15" x14ac:dyDescent="0.25">
      <c r="A2549" t="s">
        <v>35</v>
      </c>
      <c r="B2549" t="s">
        <v>61</v>
      </c>
      <c r="C2549" t="str">
        <f>"A0188581"</f>
        <v>A0188581</v>
      </c>
      <c r="D2549" t="s">
        <v>10849</v>
      </c>
      <c r="E2549" t="s">
        <v>10850</v>
      </c>
      <c r="F2549" t="s">
        <v>64</v>
      </c>
      <c r="G2549" t="s">
        <v>381</v>
      </c>
      <c r="H2549">
        <v>47201</v>
      </c>
      <c r="I2549" t="s">
        <v>30</v>
      </c>
      <c r="J2549" t="s">
        <v>41</v>
      </c>
      <c r="K2549" t="s">
        <v>42</v>
      </c>
      <c r="Q2549">
        <v>0</v>
      </c>
      <c r="R2549">
        <v>0</v>
      </c>
      <c r="S2549">
        <v>0</v>
      </c>
      <c r="T2549" t="s">
        <v>10851</v>
      </c>
    </row>
    <row r="2550" spans="1:20" customFormat="1" ht="15" x14ac:dyDescent="0.25">
      <c r="A2550" t="s">
        <v>35</v>
      </c>
      <c r="B2550" t="s">
        <v>61</v>
      </c>
      <c r="C2550" t="str">
        <f>"A0188580"</f>
        <v>A0188580</v>
      </c>
      <c r="D2550" t="s">
        <v>10852</v>
      </c>
      <c r="E2550" t="s">
        <v>10853</v>
      </c>
      <c r="F2550" t="s">
        <v>10854</v>
      </c>
      <c r="G2550" t="s">
        <v>71</v>
      </c>
      <c r="H2550">
        <v>53807</v>
      </c>
      <c r="I2550" t="s">
        <v>30</v>
      </c>
      <c r="J2550" t="s">
        <v>41</v>
      </c>
      <c r="K2550" t="s">
        <v>229</v>
      </c>
      <c r="Q2550">
        <v>0</v>
      </c>
      <c r="R2550">
        <v>0</v>
      </c>
      <c r="S2550">
        <v>0</v>
      </c>
      <c r="T2550" t="s">
        <v>72</v>
      </c>
    </row>
    <row r="2551" spans="1:20" customFormat="1" ht="15" x14ac:dyDescent="0.25">
      <c r="A2551" t="s">
        <v>35</v>
      </c>
      <c r="B2551" t="s">
        <v>61</v>
      </c>
      <c r="C2551" t="str">
        <f>"A0188579"</f>
        <v>A0188579</v>
      </c>
      <c r="D2551" t="s">
        <v>10855</v>
      </c>
      <c r="E2551" t="s">
        <v>10856</v>
      </c>
      <c r="F2551" t="s">
        <v>8043</v>
      </c>
      <c r="G2551" t="s">
        <v>110</v>
      </c>
      <c r="H2551">
        <v>95294</v>
      </c>
      <c r="I2551" t="s">
        <v>30</v>
      </c>
      <c r="J2551" t="s">
        <v>41</v>
      </c>
      <c r="K2551" t="s">
        <v>59</v>
      </c>
      <c r="Q2551">
        <v>0</v>
      </c>
      <c r="R2551">
        <v>0</v>
      </c>
      <c r="S2551">
        <v>0</v>
      </c>
      <c r="T2551" t="s">
        <v>10857</v>
      </c>
    </row>
    <row r="2552" spans="1:20" customFormat="1" ht="15" x14ac:dyDescent="0.25">
      <c r="A2552" t="s">
        <v>35</v>
      </c>
      <c r="B2552" t="s">
        <v>106</v>
      </c>
      <c r="C2552" t="str">
        <f>"A0188578"</f>
        <v>A0188578</v>
      </c>
      <c r="D2552" t="s">
        <v>10858</v>
      </c>
      <c r="E2552" t="s">
        <v>10859</v>
      </c>
      <c r="F2552" t="s">
        <v>4742</v>
      </c>
      <c r="G2552" t="s">
        <v>153</v>
      </c>
      <c r="H2552">
        <v>84323</v>
      </c>
      <c r="I2552" t="s">
        <v>30</v>
      </c>
      <c r="J2552" t="s">
        <v>111</v>
      </c>
      <c r="K2552" t="s">
        <v>112</v>
      </c>
      <c r="Q2552">
        <v>0</v>
      </c>
      <c r="R2552">
        <v>0</v>
      </c>
      <c r="S2552">
        <v>0</v>
      </c>
      <c r="T2552" t="s">
        <v>10860</v>
      </c>
    </row>
    <row r="2553" spans="1:20" customFormat="1" ht="15" x14ac:dyDescent="0.25">
      <c r="A2553" t="s">
        <v>35</v>
      </c>
      <c r="B2553" t="s">
        <v>106</v>
      </c>
      <c r="C2553" t="str">
        <f>"A0188577"</f>
        <v>A0188577</v>
      </c>
      <c r="D2553" t="s">
        <v>10861</v>
      </c>
      <c r="E2553" t="s">
        <v>10862</v>
      </c>
      <c r="F2553" t="s">
        <v>10863</v>
      </c>
      <c r="G2553" t="s">
        <v>81</v>
      </c>
      <c r="H2553">
        <v>32757</v>
      </c>
      <c r="I2553" t="s">
        <v>30</v>
      </c>
      <c r="J2553" t="s">
        <v>111</v>
      </c>
      <c r="K2553" t="s">
        <v>112</v>
      </c>
      <c r="Q2553">
        <v>0</v>
      </c>
      <c r="R2553">
        <v>0</v>
      </c>
      <c r="S2553">
        <v>0</v>
      </c>
      <c r="T2553" t="s">
        <v>10864</v>
      </c>
    </row>
    <row r="2554" spans="1:20" customFormat="1" ht="15" x14ac:dyDescent="0.25">
      <c r="A2554" t="s">
        <v>35</v>
      </c>
      <c r="B2554" t="s">
        <v>1918</v>
      </c>
      <c r="C2554" t="str">
        <f>"A0188576"</f>
        <v>A0188576</v>
      </c>
      <c r="D2554" t="s">
        <v>10865</v>
      </c>
      <c r="E2554" t="s">
        <v>10866</v>
      </c>
      <c r="F2554" t="s">
        <v>10867</v>
      </c>
      <c r="G2554" t="s">
        <v>110</v>
      </c>
      <c r="H2554">
        <v>95354</v>
      </c>
      <c r="I2554" t="s">
        <v>30</v>
      </c>
      <c r="J2554" t="s">
        <v>441</v>
      </c>
      <c r="K2554" t="s">
        <v>442</v>
      </c>
      <c r="Q2554">
        <v>0</v>
      </c>
      <c r="R2554">
        <v>0</v>
      </c>
      <c r="S2554">
        <v>0</v>
      </c>
      <c r="T2554" t="s">
        <v>10868</v>
      </c>
    </row>
    <row r="2555" spans="1:20" customFormat="1" ht="15" x14ac:dyDescent="0.25">
      <c r="A2555" t="s">
        <v>35</v>
      </c>
      <c r="B2555" t="s">
        <v>10647</v>
      </c>
      <c r="C2555" t="str">
        <f>"A0188575"</f>
        <v>A0188575</v>
      </c>
      <c r="D2555" t="s">
        <v>10647</v>
      </c>
      <c r="E2555" t="s">
        <v>10869</v>
      </c>
      <c r="F2555" t="s">
        <v>3671</v>
      </c>
      <c r="G2555" t="s">
        <v>81</v>
      </c>
      <c r="H2555">
        <v>34109</v>
      </c>
      <c r="I2555" t="s">
        <v>30</v>
      </c>
      <c r="J2555" t="s">
        <v>41</v>
      </c>
      <c r="K2555" t="s">
        <v>290</v>
      </c>
      <c r="Q2555">
        <v>0</v>
      </c>
      <c r="R2555">
        <v>0</v>
      </c>
      <c r="S2555">
        <v>0</v>
      </c>
      <c r="T2555" t="s">
        <v>10870</v>
      </c>
    </row>
    <row r="2556" spans="1:20" customFormat="1" ht="15" x14ac:dyDescent="0.25">
      <c r="A2556" t="s">
        <v>35</v>
      </c>
      <c r="B2556" t="s">
        <v>10871</v>
      </c>
      <c r="C2556" t="str">
        <f>"A0188574"</f>
        <v>A0188574</v>
      </c>
      <c r="D2556" t="s">
        <v>10871</v>
      </c>
      <c r="E2556" t="s">
        <v>10872</v>
      </c>
      <c r="F2556" t="s">
        <v>10873</v>
      </c>
      <c r="G2556" t="s">
        <v>81</v>
      </c>
      <c r="H2556">
        <v>32439</v>
      </c>
      <c r="I2556" t="s">
        <v>30</v>
      </c>
      <c r="J2556" t="s">
        <v>41</v>
      </c>
      <c r="K2556" t="s">
        <v>290</v>
      </c>
      <c r="Q2556">
        <v>0</v>
      </c>
      <c r="R2556">
        <v>0</v>
      </c>
      <c r="S2556">
        <v>0</v>
      </c>
      <c r="T2556" t="s">
        <v>10874</v>
      </c>
    </row>
    <row r="2557" spans="1:20" customFormat="1" ht="15" x14ac:dyDescent="0.25">
      <c r="A2557" t="s">
        <v>35</v>
      </c>
      <c r="B2557" t="s">
        <v>10871</v>
      </c>
      <c r="C2557" t="str">
        <f>"A0188573"</f>
        <v>A0188573</v>
      </c>
      <c r="D2557" t="s">
        <v>10875</v>
      </c>
      <c r="E2557" t="s">
        <v>10876</v>
      </c>
      <c r="F2557" t="s">
        <v>6750</v>
      </c>
      <c r="G2557" t="s">
        <v>81</v>
      </c>
      <c r="H2557">
        <v>32404</v>
      </c>
      <c r="I2557" t="s">
        <v>30</v>
      </c>
      <c r="J2557" t="s">
        <v>41</v>
      </c>
      <c r="K2557" t="s">
        <v>229</v>
      </c>
      <c r="Q2557">
        <v>0</v>
      </c>
      <c r="R2557">
        <v>0</v>
      </c>
      <c r="S2557">
        <v>120</v>
      </c>
      <c r="T2557" t="s">
        <v>10877</v>
      </c>
    </row>
    <row r="2558" spans="1:20" customFormat="1" ht="15" x14ac:dyDescent="0.25">
      <c r="A2558" t="s">
        <v>35</v>
      </c>
      <c r="B2558" t="s">
        <v>9198</v>
      </c>
      <c r="C2558" t="str">
        <f>"A0188572"</f>
        <v>A0188572</v>
      </c>
      <c r="D2558" t="s">
        <v>10878</v>
      </c>
      <c r="E2558" t="s">
        <v>10879</v>
      </c>
      <c r="F2558" t="s">
        <v>4591</v>
      </c>
      <c r="G2558" t="s">
        <v>289</v>
      </c>
      <c r="H2558">
        <v>62959</v>
      </c>
      <c r="I2558" t="s">
        <v>30</v>
      </c>
      <c r="J2558" t="s">
        <v>41</v>
      </c>
      <c r="K2558" t="s">
        <v>10880</v>
      </c>
      <c r="Q2558">
        <v>0</v>
      </c>
      <c r="R2558">
        <v>0</v>
      </c>
      <c r="S2558">
        <v>0</v>
      </c>
      <c r="T2558" t="s">
        <v>10881</v>
      </c>
    </row>
    <row r="2559" spans="1:20" customFormat="1" ht="15" x14ac:dyDescent="0.25">
      <c r="A2559" t="s">
        <v>35</v>
      </c>
      <c r="B2559" t="s">
        <v>9198</v>
      </c>
      <c r="C2559" t="str">
        <f>"A0188571"</f>
        <v>A0188571</v>
      </c>
      <c r="D2559" t="s">
        <v>10882</v>
      </c>
      <c r="E2559" t="s">
        <v>10883</v>
      </c>
      <c r="F2559" t="s">
        <v>10884</v>
      </c>
      <c r="G2559" t="s">
        <v>76</v>
      </c>
      <c r="H2559">
        <v>98310</v>
      </c>
      <c r="I2559" t="s">
        <v>30</v>
      </c>
      <c r="J2559" t="s">
        <v>41</v>
      </c>
      <c r="K2559" t="s">
        <v>229</v>
      </c>
      <c r="Q2559">
        <v>0</v>
      </c>
      <c r="R2559">
        <v>0</v>
      </c>
      <c r="S2559">
        <v>125</v>
      </c>
      <c r="T2559" t="s">
        <v>72</v>
      </c>
    </row>
    <row r="2560" spans="1:20" customFormat="1" ht="15" x14ac:dyDescent="0.25">
      <c r="A2560" t="s">
        <v>35</v>
      </c>
      <c r="B2560" t="s">
        <v>9198</v>
      </c>
      <c r="C2560" t="str">
        <f>"A0188570"</f>
        <v>A0188570</v>
      </c>
      <c r="D2560" t="s">
        <v>10885</v>
      </c>
      <c r="E2560" t="s">
        <v>10886</v>
      </c>
      <c r="F2560" t="s">
        <v>1054</v>
      </c>
      <c r="G2560" t="s">
        <v>76</v>
      </c>
      <c r="H2560">
        <v>98531</v>
      </c>
      <c r="I2560" t="s">
        <v>30</v>
      </c>
      <c r="J2560" t="s">
        <v>41</v>
      </c>
      <c r="K2560" t="s">
        <v>229</v>
      </c>
      <c r="Q2560">
        <v>0</v>
      </c>
      <c r="R2560">
        <v>0</v>
      </c>
      <c r="S2560">
        <v>91</v>
      </c>
      <c r="T2560" t="s">
        <v>72</v>
      </c>
    </row>
    <row r="2561" spans="1:20" customFormat="1" ht="15" x14ac:dyDescent="0.25">
      <c r="A2561" t="s">
        <v>35</v>
      </c>
      <c r="B2561" t="s">
        <v>9198</v>
      </c>
      <c r="C2561" t="str">
        <f>"A0188569"</f>
        <v>A0188569</v>
      </c>
      <c r="D2561" t="s">
        <v>10887</v>
      </c>
      <c r="E2561" t="s">
        <v>10888</v>
      </c>
      <c r="F2561" t="s">
        <v>10889</v>
      </c>
      <c r="G2561" t="s">
        <v>76</v>
      </c>
      <c r="H2561">
        <v>98584</v>
      </c>
      <c r="I2561" t="s">
        <v>30</v>
      </c>
      <c r="J2561" t="s">
        <v>41</v>
      </c>
      <c r="K2561" t="s">
        <v>229</v>
      </c>
      <c r="Q2561">
        <v>0</v>
      </c>
      <c r="R2561">
        <v>0</v>
      </c>
      <c r="S2561">
        <v>135</v>
      </c>
      <c r="T2561" t="s">
        <v>72</v>
      </c>
    </row>
    <row r="2562" spans="1:20" customFormat="1" ht="15" x14ac:dyDescent="0.25">
      <c r="A2562" t="s">
        <v>35</v>
      </c>
      <c r="B2562" t="s">
        <v>9198</v>
      </c>
      <c r="C2562" t="str">
        <f>"A0188568"</f>
        <v>A0188568</v>
      </c>
      <c r="D2562" t="s">
        <v>10890</v>
      </c>
      <c r="E2562" t="s">
        <v>10891</v>
      </c>
      <c r="F2562" t="s">
        <v>1068</v>
      </c>
      <c r="G2562" t="s">
        <v>76</v>
      </c>
      <c r="H2562">
        <v>98382</v>
      </c>
      <c r="I2562" t="s">
        <v>30</v>
      </c>
      <c r="J2562" t="s">
        <v>41</v>
      </c>
      <c r="K2562" t="s">
        <v>229</v>
      </c>
      <c r="Q2562">
        <v>0</v>
      </c>
      <c r="R2562">
        <v>0</v>
      </c>
      <c r="S2562">
        <v>100</v>
      </c>
      <c r="T2562" t="s">
        <v>72</v>
      </c>
    </row>
    <row r="2563" spans="1:20" customFormat="1" ht="15" x14ac:dyDescent="0.25">
      <c r="A2563" t="s">
        <v>35</v>
      </c>
      <c r="B2563" t="s">
        <v>9198</v>
      </c>
      <c r="C2563" t="str">
        <f>"A0188567"</f>
        <v>A0188567</v>
      </c>
      <c r="D2563" t="s">
        <v>10892</v>
      </c>
      <c r="E2563" t="s">
        <v>10893</v>
      </c>
      <c r="F2563" t="s">
        <v>10894</v>
      </c>
      <c r="G2563" t="s">
        <v>47</v>
      </c>
      <c r="H2563">
        <v>97051</v>
      </c>
      <c r="I2563" t="s">
        <v>30</v>
      </c>
      <c r="J2563" t="s">
        <v>41</v>
      </c>
      <c r="K2563" t="s">
        <v>229</v>
      </c>
      <c r="Q2563">
        <v>0</v>
      </c>
      <c r="R2563">
        <v>0</v>
      </c>
      <c r="S2563">
        <v>100</v>
      </c>
      <c r="T2563" t="s">
        <v>72</v>
      </c>
    </row>
    <row r="2564" spans="1:20" customFormat="1" ht="15" x14ac:dyDescent="0.25">
      <c r="A2564" t="s">
        <v>35</v>
      </c>
      <c r="B2564" t="s">
        <v>9198</v>
      </c>
      <c r="C2564" t="str">
        <f>"A0188566"</f>
        <v>A0188566</v>
      </c>
      <c r="D2564" t="s">
        <v>10895</v>
      </c>
      <c r="E2564" t="s">
        <v>10896</v>
      </c>
      <c r="F2564" t="s">
        <v>10897</v>
      </c>
      <c r="G2564" t="s">
        <v>433</v>
      </c>
      <c r="H2564">
        <v>83814</v>
      </c>
      <c r="I2564" t="s">
        <v>30</v>
      </c>
      <c r="J2564" t="s">
        <v>41</v>
      </c>
      <c r="K2564" t="s">
        <v>229</v>
      </c>
      <c r="Q2564">
        <v>0</v>
      </c>
      <c r="R2564">
        <v>0</v>
      </c>
      <c r="S2564">
        <v>98</v>
      </c>
      <c r="T2564" t="s">
        <v>72</v>
      </c>
    </row>
    <row r="2565" spans="1:20" customFormat="1" ht="15" x14ac:dyDescent="0.25">
      <c r="A2565" t="s">
        <v>35</v>
      </c>
      <c r="B2565" t="s">
        <v>9198</v>
      </c>
      <c r="C2565" t="str">
        <f>"A0188565"</f>
        <v>A0188565</v>
      </c>
      <c r="D2565" t="s">
        <v>10898</v>
      </c>
      <c r="E2565" t="s">
        <v>10899</v>
      </c>
      <c r="F2565" t="s">
        <v>75</v>
      </c>
      <c r="G2565" t="s">
        <v>76</v>
      </c>
      <c r="H2565">
        <v>99207</v>
      </c>
      <c r="I2565" t="s">
        <v>30</v>
      </c>
      <c r="J2565" t="s">
        <v>41</v>
      </c>
      <c r="K2565" t="s">
        <v>229</v>
      </c>
      <c r="Q2565">
        <v>0</v>
      </c>
      <c r="R2565">
        <v>0</v>
      </c>
      <c r="S2565">
        <v>100</v>
      </c>
      <c r="T2565" t="s">
        <v>72</v>
      </c>
    </row>
    <row r="2566" spans="1:20" customFormat="1" ht="15" x14ac:dyDescent="0.25">
      <c r="A2566" t="s">
        <v>35</v>
      </c>
      <c r="B2566" t="s">
        <v>9198</v>
      </c>
      <c r="C2566" t="str">
        <f>"A0188564"</f>
        <v>A0188564</v>
      </c>
      <c r="D2566" t="s">
        <v>10900</v>
      </c>
      <c r="E2566" t="s">
        <v>10901</v>
      </c>
      <c r="F2566" t="s">
        <v>10902</v>
      </c>
      <c r="G2566" t="s">
        <v>76</v>
      </c>
      <c r="H2566">
        <v>98026</v>
      </c>
      <c r="I2566" t="s">
        <v>30</v>
      </c>
      <c r="J2566" t="s">
        <v>41</v>
      </c>
      <c r="K2566" t="s">
        <v>229</v>
      </c>
      <c r="Q2566">
        <v>0</v>
      </c>
      <c r="R2566">
        <v>0</v>
      </c>
      <c r="S2566">
        <v>128</v>
      </c>
      <c r="T2566" t="s">
        <v>72</v>
      </c>
    </row>
    <row r="2567" spans="1:20" customFormat="1" ht="15" x14ac:dyDescent="0.25">
      <c r="A2567" t="s">
        <v>35</v>
      </c>
      <c r="B2567" t="s">
        <v>9198</v>
      </c>
      <c r="C2567" t="str">
        <f>"A0188563"</f>
        <v>A0188563</v>
      </c>
      <c r="D2567" t="s">
        <v>10903</v>
      </c>
      <c r="E2567" t="s">
        <v>10904</v>
      </c>
      <c r="F2567" t="s">
        <v>1058</v>
      </c>
      <c r="G2567" t="s">
        <v>76</v>
      </c>
      <c r="H2567">
        <v>98502</v>
      </c>
      <c r="I2567" t="s">
        <v>30</v>
      </c>
      <c r="J2567" t="s">
        <v>41</v>
      </c>
      <c r="K2567" t="s">
        <v>229</v>
      </c>
      <c r="Q2567">
        <v>0</v>
      </c>
      <c r="R2567">
        <v>0</v>
      </c>
      <c r="S2567">
        <v>108</v>
      </c>
      <c r="T2567" t="s">
        <v>72</v>
      </c>
    </row>
    <row r="2568" spans="1:20" customFormat="1" ht="15" x14ac:dyDescent="0.25">
      <c r="A2568" t="s">
        <v>35</v>
      </c>
      <c r="B2568" t="s">
        <v>9198</v>
      </c>
      <c r="C2568" t="str">
        <f>"A0188562"</f>
        <v>A0188562</v>
      </c>
      <c r="D2568" t="s">
        <v>10905</v>
      </c>
      <c r="E2568" t="s">
        <v>10906</v>
      </c>
      <c r="F2568" t="s">
        <v>75</v>
      </c>
      <c r="G2568" t="s">
        <v>76</v>
      </c>
      <c r="H2568">
        <v>99207</v>
      </c>
      <c r="I2568" t="s">
        <v>30</v>
      </c>
      <c r="J2568" t="s">
        <v>41</v>
      </c>
      <c r="K2568" t="s">
        <v>229</v>
      </c>
      <c r="Q2568">
        <v>0</v>
      </c>
      <c r="R2568">
        <v>0</v>
      </c>
      <c r="S2568">
        <v>100</v>
      </c>
      <c r="T2568" t="s">
        <v>72</v>
      </c>
    </row>
    <row r="2569" spans="1:20" customFormat="1" ht="15" x14ac:dyDescent="0.25">
      <c r="A2569" t="s">
        <v>35</v>
      </c>
      <c r="B2569" t="s">
        <v>9198</v>
      </c>
      <c r="C2569" t="str">
        <f>"A0188561"</f>
        <v>A0188561</v>
      </c>
      <c r="D2569" t="s">
        <v>10907</v>
      </c>
      <c r="E2569" t="s">
        <v>10908</v>
      </c>
      <c r="F2569" t="s">
        <v>10897</v>
      </c>
      <c r="G2569" t="s">
        <v>433</v>
      </c>
      <c r="H2569">
        <v>83814</v>
      </c>
      <c r="I2569" t="s">
        <v>30</v>
      </c>
      <c r="J2569" t="s">
        <v>41</v>
      </c>
      <c r="K2569" t="s">
        <v>229</v>
      </c>
      <c r="Q2569">
        <v>0</v>
      </c>
      <c r="R2569">
        <v>0</v>
      </c>
      <c r="S2569">
        <v>98</v>
      </c>
      <c r="T2569" t="s">
        <v>72</v>
      </c>
    </row>
    <row r="2570" spans="1:20" customFormat="1" ht="15" x14ac:dyDescent="0.25">
      <c r="A2570" t="s">
        <v>35</v>
      </c>
      <c r="B2570" t="s">
        <v>9198</v>
      </c>
      <c r="C2570" t="str">
        <f>"A0188560"</f>
        <v>A0188560</v>
      </c>
      <c r="D2570" t="s">
        <v>10909</v>
      </c>
      <c r="E2570" t="s">
        <v>10910</v>
      </c>
      <c r="F2570" t="s">
        <v>10884</v>
      </c>
      <c r="G2570" t="s">
        <v>76</v>
      </c>
      <c r="H2570">
        <v>98312</v>
      </c>
      <c r="I2570" t="s">
        <v>30</v>
      </c>
      <c r="J2570" t="s">
        <v>41</v>
      </c>
      <c r="K2570" t="s">
        <v>229</v>
      </c>
      <c r="Q2570">
        <v>0</v>
      </c>
      <c r="R2570">
        <v>0</v>
      </c>
      <c r="S2570">
        <v>98</v>
      </c>
      <c r="T2570" t="s">
        <v>72</v>
      </c>
    </row>
    <row r="2571" spans="1:20" customFormat="1" ht="15" x14ac:dyDescent="0.25">
      <c r="A2571" t="s">
        <v>35</v>
      </c>
      <c r="B2571" t="s">
        <v>9198</v>
      </c>
      <c r="C2571" t="str">
        <f>"A0188559"</f>
        <v>A0188559</v>
      </c>
      <c r="D2571" t="s">
        <v>10911</v>
      </c>
      <c r="E2571" t="s">
        <v>10912</v>
      </c>
      <c r="F2571" t="s">
        <v>5317</v>
      </c>
      <c r="G2571" t="s">
        <v>76</v>
      </c>
      <c r="H2571">
        <v>98002</v>
      </c>
      <c r="I2571" t="s">
        <v>30</v>
      </c>
      <c r="J2571" t="s">
        <v>41</v>
      </c>
      <c r="K2571" t="s">
        <v>229</v>
      </c>
      <c r="Q2571">
        <v>0</v>
      </c>
      <c r="R2571">
        <v>0</v>
      </c>
      <c r="S2571">
        <v>125</v>
      </c>
      <c r="T2571" t="s">
        <v>72</v>
      </c>
    </row>
    <row r="2572" spans="1:20" customFormat="1" ht="15" x14ac:dyDescent="0.25">
      <c r="A2572" t="s">
        <v>35</v>
      </c>
      <c r="B2572" t="s">
        <v>9198</v>
      </c>
      <c r="C2572" t="str">
        <f>"A0188558"</f>
        <v>A0188558</v>
      </c>
      <c r="D2572" t="s">
        <v>10913</v>
      </c>
      <c r="E2572" t="s">
        <v>10914</v>
      </c>
      <c r="F2572" t="s">
        <v>1079</v>
      </c>
      <c r="G2572" t="s">
        <v>76</v>
      </c>
      <c r="H2572">
        <v>98335</v>
      </c>
      <c r="I2572" t="s">
        <v>30</v>
      </c>
      <c r="J2572" t="s">
        <v>41</v>
      </c>
      <c r="K2572" t="s">
        <v>290</v>
      </c>
      <c r="Q2572">
        <v>0</v>
      </c>
      <c r="R2572">
        <v>0</v>
      </c>
      <c r="S2572">
        <v>0</v>
      </c>
      <c r="T2572" t="s">
        <v>9201</v>
      </c>
    </row>
    <row r="2573" spans="1:20" customFormat="1" ht="15" x14ac:dyDescent="0.25">
      <c r="A2573" t="s">
        <v>35</v>
      </c>
      <c r="B2573" t="s">
        <v>9198</v>
      </c>
      <c r="C2573" t="str">
        <f>"A0188557"</f>
        <v>A0188557</v>
      </c>
      <c r="D2573" t="s">
        <v>10915</v>
      </c>
      <c r="E2573" t="s">
        <v>10916</v>
      </c>
      <c r="F2573" t="s">
        <v>75</v>
      </c>
      <c r="G2573" t="s">
        <v>76</v>
      </c>
      <c r="H2573">
        <v>99216</v>
      </c>
      <c r="I2573" t="s">
        <v>30</v>
      </c>
      <c r="J2573" t="s">
        <v>41</v>
      </c>
      <c r="K2573" t="s">
        <v>229</v>
      </c>
      <c r="Q2573">
        <v>0</v>
      </c>
      <c r="R2573">
        <v>0</v>
      </c>
      <c r="S2573">
        <v>124</v>
      </c>
      <c r="T2573" t="s">
        <v>72</v>
      </c>
    </row>
    <row r="2574" spans="1:20" customFormat="1" ht="15" x14ac:dyDescent="0.25">
      <c r="A2574" t="s">
        <v>35</v>
      </c>
      <c r="B2574" t="s">
        <v>9198</v>
      </c>
      <c r="C2574" t="str">
        <f>"A0188556"</f>
        <v>A0188556</v>
      </c>
      <c r="D2574" t="s">
        <v>10917</v>
      </c>
      <c r="E2574" t="s">
        <v>10918</v>
      </c>
      <c r="F2574" t="s">
        <v>10919</v>
      </c>
      <c r="G2574" t="s">
        <v>76</v>
      </c>
      <c r="H2574">
        <v>98362</v>
      </c>
      <c r="I2574" t="s">
        <v>30</v>
      </c>
      <c r="J2574" t="s">
        <v>41</v>
      </c>
      <c r="K2574" t="s">
        <v>229</v>
      </c>
      <c r="Q2574">
        <v>0</v>
      </c>
      <c r="R2574">
        <v>0</v>
      </c>
      <c r="S2574">
        <v>101</v>
      </c>
      <c r="T2574" t="s">
        <v>72</v>
      </c>
    </row>
    <row r="2575" spans="1:20" customFormat="1" ht="15" x14ac:dyDescent="0.25">
      <c r="A2575" t="s">
        <v>35</v>
      </c>
      <c r="B2575" t="s">
        <v>5676</v>
      </c>
      <c r="C2575" t="str">
        <f>"A0188555"</f>
        <v>A0188555</v>
      </c>
      <c r="D2575" t="s">
        <v>10920</v>
      </c>
      <c r="E2575" t="s">
        <v>10921</v>
      </c>
      <c r="F2575" t="s">
        <v>288</v>
      </c>
      <c r="G2575" t="s">
        <v>289</v>
      </c>
      <c r="H2575">
        <v>60626</v>
      </c>
      <c r="I2575" t="s">
        <v>30</v>
      </c>
      <c r="J2575" t="s">
        <v>41</v>
      </c>
      <c r="K2575" t="s">
        <v>229</v>
      </c>
      <c r="Q2575">
        <v>0</v>
      </c>
      <c r="R2575">
        <v>0</v>
      </c>
      <c r="S2575">
        <v>0</v>
      </c>
      <c r="T2575" t="s">
        <v>72</v>
      </c>
    </row>
    <row r="2576" spans="1:20" customFormat="1" ht="15" x14ac:dyDescent="0.25">
      <c r="A2576" t="s">
        <v>35</v>
      </c>
      <c r="B2576" t="s">
        <v>7864</v>
      </c>
      <c r="C2576" t="str">
        <f>"A0188554"</f>
        <v>A0188554</v>
      </c>
      <c r="D2576" t="s">
        <v>10922</v>
      </c>
      <c r="E2576" t="s">
        <v>10923</v>
      </c>
      <c r="F2576" t="s">
        <v>7784</v>
      </c>
      <c r="G2576" t="s">
        <v>289</v>
      </c>
      <c r="H2576">
        <v>61821</v>
      </c>
      <c r="I2576" t="s">
        <v>30</v>
      </c>
      <c r="J2576" t="s">
        <v>41</v>
      </c>
      <c r="K2576" t="s">
        <v>2760</v>
      </c>
      <c r="Q2576">
        <v>0</v>
      </c>
      <c r="R2576">
        <v>0</v>
      </c>
      <c r="S2576">
        <v>0</v>
      </c>
      <c r="T2576" t="s">
        <v>10924</v>
      </c>
    </row>
    <row r="2577" spans="1:20" customFormat="1" ht="15" x14ac:dyDescent="0.25">
      <c r="A2577" t="s">
        <v>35</v>
      </c>
      <c r="B2577" t="s">
        <v>7864</v>
      </c>
      <c r="C2577" t="str">
        <f>"A0188615"</f>
        <v>A0188615</v>
      </c>
      <c r="D2577" t="s">
        <v>10925</v>
      </c>
      <c r="E2577" t="s">
        <v>10926</v>
      </c>
      <c r="F2577" t="s">
        <v>2307</v>
      </c>
      <c r="G2577" t="s">
        <v>65</v>
      </c>
      <c r="H2577">
        <v>44121</v>
      </c>
      <c r="I2577" t="s">
        <v>30</v>
      </c>
      <c r="J2577" t="s">
        <v>41</v>
      </c>
      <c r="K2577" t="s">
        <v>59</v>
      </c>
      <c r="Q2577">
        <v>0</v>
      </c>
      <c r="R2577">
        <v>0</v>
      </c>
      <c r="S2577">
        <v>10</v>
      </c>
      <c r="T2577" t="s">
        <v>10927</v>
      </c>
    </row>
    <row r="2578" spans="1:20" customFormat="1" ht="15" x14ac:dyDescent="0.25">
      <c r="A2578" t="s">
        <v>24</v>
      </c>
      <c r="B2578" t="s">
        <v>7674</v>
      </c>
      <c r="C2578" t="str">
        <f>"A0188540"</f>
        <v>A0188540</v>
      </c>
      <c r="D2578" t="s">
        <v>10928</v>
      </c>
      <c r="E2578" t="s">
        <v>10929</v>
      </c>
      <c r="F2578" t="s">
        <v>10401</v>
      </c>
      <c r="G2578" t="s">
        <v>110</v>
      </c>
      <c r="H2578">
        <v>90069</v>
      </c>
      <c r="I2578" t="s">
        <v>30</v>
      </c>
      <c r="J2578" t="s">
        <v>1004</v>
      </c>
      <c r="K2578" t="s">
        <v>163</v>
      </c>
      <c r="N2578" t="s">
        <v>10930</v>
      </c>
      <c r="Q2578">
        <v>0</v>
      </c>
      <c r="R2578">
        <v>0</v>
      </c>
      <c r="S2578">
        <v>0</v>
      </c>
      <c r="T2578" t="s">
        <v>7681</v>
      </c>
    </row>
    <row r="2579" spans="1:20" customFormat="1" ht="15" x14ac:dyDescent="0.25">
      <c r="A2579" t="s">
        <v>24</v>
      </c>
      <c r="B2579" t="s">
        <v>675</v>
      </c>
      <c r="C2579" t="str">
        <f>"A0063247"</f>
        <v>A0063247</v>
      </c>
      <c r="D2579" t="s">
        <v>56272</v>
      </c>
      <c r="E2579" t="s">
        <v>56273</v>
      </c>
      <c r="F2579" t="s">
        <v>3024</v>
      </c>
      <c r="G2579" t="s">
        <v>846</v>
      </c>
      <c r="H2579">
        <v>30337</v>
      </c>
      <c r="I2579" t="s">
        <v>30</v>
      </c>
      <c r="J2579" t="s">
        <v>162</v>
      </c>
      <c r="K2579" t="s">
        <v>1490</v>
      </c>
      <c r="N2579" t="s">
        <v>56274</v>
      </c>
      <c r="O2579" t="s">
        <v>56275</v>
      </c>
      <c r="Q2579">
        <v>0</v>
      </c>
      <c r="R2579">
        <v>403</v>
      </c>
      <c r="S2579">
        <v>0</v>
      </c>
      <c r="T2579" t="s">
        <v>56276</v>
      </c>
    </row>
    <row r="2580" spans="1:20" customFormat="1" ht="15" x14ac:dyDescent="0.25">
      <c r="A2580" t="s">
        <v>24</v>
      </c>
      <c r="B2580" t="s">
        <v>56277</v>
      </c>
      <c r="C2580" t="str">
        <f>"A0068999"</f>
        <v>A0068999</v>
      </c>
      <c r="D2580" t="s">
        <v>56278</v>
      </c>
      <c r="E2580" t="s">
        <v>56279</v>
      </c>
      <c r="F2580" t="s">
        <v>845</v>
      </c>
      <c r="G2580" t="s">
        <v>846</v>
      </c>
      <c r="H2580">
        <v>30326</v>
      </c>
      <c r="I2580" t="s">
        <v>30</v>
      </c>
      <c r="J2580" t="s">
        <v>162</v>
      </c>
      <c r="K2580" t="s">
        <v>1490</v>
      </c>
      <c r="N2580" t="s">
        <v>56280</v>
      </c>
      <c r="O2580" t="s">
        <v>56281</v>
      </c>
      <c r="Q2580">
        <v>0</v>
      </c>
      <c r="R2580">
        <v>369</v>
      </c>
      <c r="S2580">
        <v>0</v>
      </c>
      <c r="T2580" t="s">
        <v>56282</v>
      </c>
    </row>
    <row r="2581" spans="1:20" customFormat="1" ht="15" hidden="1" x14ac:dyDescent="0.25">
      <c r="A2581" t="s">
        <v>24</v>
      </c>
      <c r="B2581" t="s">
        <v>10942</v>
      </c>
      <c r="C2581" t="str">
        <f>"A0185527"</f>
        <v>A0185527</v>
      </c>
      <c r="D2581" t="s">
        <v>10943</v>
      </c>
      <c r="E2581" t="s">
        <v>10944</v>
      </c>
      <c r="F2581" t="s">
        <v>10945</v>
      </c>
      <c r="G2581" t="s">
        <v>2270</v>
      </c>
      <c r="H2581" t="s">
        <v>10946</v>
      </c>
      <c r="I2581" t="s">
        <v>1459</v>
      </c>
      <c r="J2581" t="s">
        <v>171</v>
      </c>
      <c r="K2581" t="s">
        <v>1259</v>
      </c>
      <c r="N2581" t="s">
        <v>10947</v>
      </c>
      <c r="O2581" t="s">
        <v>10948</v>
      </c>
      <c r="Q2581">
        <v>0</v>
      </c>
      <c r="R2581">
        <v>116</v>
      </c>
      <c r="S2581">
        <v>0</v>
      </c>
      <c r="T2581" t="s">
        <v>10949</v>
      </c>
    </row>
    <row r="2582" spans="1:20" customFormat="1" ht="15" hidden="1" x14ac:dyDescent="0.25">
      <c r="A2582" t="s">
        <v>24</v>
      </c>
      <c r="B2582" t="s">
        <v>10942</v>
      </c>
      <c r="C2582" t="str">
        <f>"A0185524"</f>
        <v>A0185524</v>
      </c>
      <c r="D2582" t="s">
        <v>10950</v>
      </c>
      <c r="E2582" t="s">
        <v>10951</v>
      </c>
      <c r="F2582" t="s">
        <v>10952</v>
      </c>
      <c r="G2582" t="s">
        <v>1457</v>
      </c>
      <c r="H2582" t="s">
        <v>10953</v>
      </c>
      <c r="I2582" t="s">
        <v>1459</v>
      </c>
      <c r="J2582" t="s">
        <v>31</v>
      </c>
      <c r="K2582" t="s">
        <v>2524</v>
      </c>
      <c r="N2582" t="s">
        <v>10954</v>
      </c>
      <c r="Q2582">
        <v>0</v>
      </c>
      <c r="R2582">
        <v>100</v>
      </c>
      <c r="S2582">
        <v>0</v>
      </c>
      <c r="T2582" t="s">
        <v>10955</v>
      </c>
    </row>
    <row r="2583" spans="1:20" customFormat="1" ht="15" hidden="1" x14ac:dyDescent="0.25">
      <c r="A2583" t="s">
        <v>24</v>
      </c>
      <c r="B2583" t="s">
        <v>10942</v>
      </c>
      <c r="C2583" t="str">
        <f>"A0188538"</f>
        <v>A0188538</v>
      </c>
      <c r="D2583" t="s">
        <v>10956</v>
      </c>
      <c r="E2583" t="s">
        <v>10957</v>
      </c>
      <c r="F2583" t="s">
        <v>10945</v>
      </c>
      <c r="G2583" t="s">
        <v>2270</v>
      </c>
      <c r="H2583" t="s">
        <v>10958</v>
      </c>
      <c r="I2583" t="s">
        <v>1459</v>
      </c>
      <c r="J2583" t="s">
        <v>31</v>
      </c>
      <c r="K2583" t="s">
        <v>282</v>
      </c>
      <c r="N2583" t="s">
        <v>10959</v>
      </c>
      <c r="Q2583">
        <v>0</v>
      </c>
      <c r="R2583">
        <v>85</v>
      </c>
      <c r="S2583">
        <v>0</v>
      </c>
      <c r="T2583" t="s">
        <v>10960</v>
      </c>
    </row>
    <row r="2584" spans="1:20" customFormat="1" ht="15" hidden="1" x14ac:dyDescent="0.25">
      <c r="A2584" t="s">
        <v>24</v>
      </c>
      <c r="B2584" t="s">
        <v>10942</v>
      </c>
      <c r="C2584" t="str">
        <f>"A0094465"</f>
        <v>A0094465</v>
      </c>
      <c r="D2584" t="s">
        <v>10961</v>
      </c>
      <c r="E2584" t="s">
        <v>10962</v>
      </c>
      <c r="F2584" t="s">
        <v>10963</v>
      </c>
      <c r="G2584" t="s">
        <v>2270</v>
      </c>
      <c r="H2584" t="s">
        <v>10964</v>
      </c>
      <c r="I2584" t="s">
        <v>1459</v>
      </c>
      <c r="J2584" t="s">
        <v>31</v>
      </c>
      <c r="K2584" t="s">
        <v>32</v>
      </c>
      <c r="N2584" t="s">
        <v>10965</v>
      </c>
      <c r="Q2584">
        <v>0</v>
      </c>
      <c r="R2584">
        <v>114</v>
      </c>
      <c r="S2584">
        <v>0</v>
      </c>
      <c r="T2584" t="s">
        <v>10966</v>
      </c>
    </row>
    <row r="2585" spans="1:20" customFormat="1" ht="15" hidden="1" x14ac:dyDescent="0.25">
      <c r="A2585" t="s">
        <v>24</v>
      </c>
      <c r="B2585" t="s">
        <v>10942</v>
      </c>
      <c r="C2585" t="str">
        <f>"A0185522"</f>
        <v>A0185522</v>
      </c>
      <c r="D2585" t="s">
        <v>10967</v>
      </c>
      <c r="E2585" t="s">
        <v>10968</v>
      </c>
      <c r="F2585" t="s">
        <v>10963</v>
      </c>
      <c r="G2585" t="s">
        <v>2270</v>
      </c>
      <c r="H2585" t="s">
        <v>10969</v>
      </c>
      <c r="I2585" t="s">
        <v>1459</v>
      </c>
      <c r="J2585" t="s">
        <v>31</v>
      </c>
      <c r="K2585" t="s">
        <v>198</v>
      </c>
      <c r="N2585" t="s">
        <v>10970</v>
      </c>
      <c r="Q2585">
        <v>0</v>
      </c>
      <c r="R2585">
        <v>81</v>
      </c>
      <c r="S2585">
        <v>0</v>
      </c>
      <c r="T2585" t="s">
        <v>10971</v>
      </c>
    </row>
    <row r="2586" spans="1:20" customFormat="1" ht="15" x14ac:dyDescent="0.25">
      <c r="A2586" t="s">
        <v>24</v>
      </c>
      <c r="B2586" t="s">
        <v>6949</v>
      </c>
      <c r="C2586" t="str">
        <f>"A0096317"</f>
        <v>A0096317</v>
      </c>
      <c r="D2586" t="s">
        <v>10972</v>
      </c>
      <c r="E2586" t="s">
        <v>10973</v>
      </c>
      <c r="F2586" t="s">
        <v>10974</v>
      </c>
      <c r="G2586" t="s">
        <v>81</v>
      </c>
      <c r="H2586">
        <v>32566</v>
      </c>
      <c r="I2586" t="s">
        <v>30</v>
      </c>
      <c r="J2586" t="s">
        <v>31</v>
      </c>
      <c r="K2586" t="s">
        <v>255</v>
      </c>
      <c r="N2586" t="s">
        <v>10975</v>
      </c>
      <c r="Q2586">
        <v>0</v>
      </c>
      <c r="R2586">
        <v>167</v>
      </c>
      <c r="S2586">
        <v>0</v>
      </c>
      <c r="T2586" t="s">
        <v>10976</v>
      </c>
    </row>
    <row r="2587" spans="1:20" customFormat="1" ht="15" x14ac:dyDescent="0.25">
      <c r="A2587" t="s">
        <v>24</v>
      </c>
      <c r="B2587" t="s">
        <v>2812</v>
      </c>
      <c r="C2587" t="str">
        <f>"337W5"</f>
        <v>337W5</v>
      </c>
      <c r="D2587" t="s">
        <v>56283</v>
      </c>
      <c r="E2587" t="s">
        <v>56284</v>
      </c>
      <c r="F2587" t="s">
        <v>845</v>
      </c>
      <c r="G2587" t="s">
        <v>846</v>
      </c>
      <c r="H2587">
        <v>30345</v>
      </c>
      <c r="I2587" t="s">
        <v>30</v>
      </c>
      <c r="J2587" t="s">
        <v>162</v>
      </c>
      <c r="K2587" t="s">
        <v>1490</v>
      </c>
      <c r="N2587" t="s">
        <v>56285</v>
      </c>
      <c r="O2587" t="s">
        <v>56286</v>
      </c>
      <c r="Q2587">
        <v>0</v>
      </c>
      <c r="R2587">
        <v>294</v>
      </c>
      <c r="S2587">
        <v>0</v>
      </c>
      <c r="T2587" t="s">
        <v>56287</v>
      </c>
    </row>
    <row r="2588" spans="1:20" customFormat="1" ht="15" x14ac:dyDescent="0.25">
      <c r="A2588" t="s">
        <v>24</v>
      </c>
      <c r="B2588" t="s">
        <v>4990</v>
      </c>
      <c r="C2588" t="str">
        <f>"A0083455"</f>
        <v>A0083455</v>
      </c>
      <c r="D2588" t="s">
        <v>10980</v>
      </c>
      <c r="E2588" t="s">
        <v>10981</v>
      </c>
      <c r="F2588" t="s">
        <v>10982</v>
      </c>
      <c r="G2588" t="s">
        <v>289</v>
      </c>
      <c r="H2588">
        <v>60445</v>
      </c>
      <c r="I2588" t="s">
        <v>30</v>
      </c>
      <c r="J2588" t="s">
        <v>31</v>
      </c>
      <c r="K2588" t="s">
        <v>282</v>
      </c>
      <c r="N2588" t="s">
        <v>10983</v>
      </c>
      <c r="O2588" t="s">
        <v>10984</v>
      </c>
      <c r="Q2588">
        <v>0</v>
      </c>
      <c r="R2588">
        <v>123</v>
      </c>
      <c r="S2588">
        <v>0</v>
      </c>
      <c r="T2588" t="s">
        <v>10985</v>
      </c>
    </row>
    <row r="2589" spans="1:20" customFormat="1" ht="15" x14ac:dyDescent="0.25">
      <c r="A2589" t="s">
        <v>24</v>
      </c>
      <c r="B2589" t="s">
        <v>10986</v>
      </c>
      <c r="C2589" t="str">
        <f>"A0117342"</f>
        <v>A0117342</v>
      </c>
      <c r="D2589" t="s">
        <v>10987</v>
      </c>
      <c r="E2589" t="s">
        <v>10988</v>
      </c>
      <c r="F2589" t="s">
        <v>5651</v>
      </c>
      <c r="G2589" t="s">
        <v>110</v>
      </c>
      <c r="H2589">
        <v>92802</v>
      </c>
      <c r="I2589" t="s">
        <v>30</v>
      </c>
      <c r="J2589" t="s">
        <v>31</v>
      </c>
      <c r="K2589" t="s">
        <v>1890</v>
      </c>
      <c r="N2589" t="s">
        <v>10989</v>
      </c>
      <c r="Q2589">
        <v>0</v>
      </c>
      <c r="R2589">
        <v>174</v>
      </c>
      <c r="S2589">
        <v>0</v>
      </c>
      <c r="T2589" t="s">
        <v>10990</v>
      </c>
    </row>
    <row r="2590" spans="1:20" customFormat="1" ht="15" x14ac:dyDescent="0.25">
      <c r="A2590" t="s">
        <v>24</v>
      </c>
      <c r="B2590" t="s">
        <v>8523</v>
      </c>
      <c r="C2590" t="str">
        <f>"A0188488"</f>
        <v>A0188488</v>
      </c>
      <c r="D2590" t="s">
        <v>10991</v>
      </c>
      <c r="E2590" t="s">
        <v>10992</v>
      </c>
      <c r="F2590" t="s">
        <v>10993</v>
      </c>
      <c r="G2590" t="s">
        <v>52</v>
      </c>
      <c r="H2590">
        <v>76054</v>
      </c>
      <c r="I2590" t="s">
        <v>30</v>
      </c>
      <c r="J2590" t="s">
        <v>31</v>
      </c>
      <c r="K2590" t="s">
        <v>198</v>
      </c>
      <c r="N2590" t="s">
        <v>10994</v>
      </c>
      <c r="Q2590">
        <v>0</v>
      </c>
      <c r="R2590">
        <v>96</v>
      </c>
      <c r="S2590">
        <v>0</v>
      </c>
      <c r="T2590" t="s">
        <v>10995</v>
      </c>
    </row>
    <row r="2591" spans="1:20" customFormat="1" ht="15" x14ac:dyDescent="0.25">
      <c r="A2591" t="s">
        <v>24</v>
      </c>
      <c r="B2591" t="s">
        <v>675</v>
      </c>
      <c r="C2591" t="str">
        <f>"33790"</f>
        <v>33790</v>
      </c>
      <c r="D2591" t="s">
        <v>56288</v>
      </c>
      <c r="E2591" t="s">
        <v>56289</v>
      </c>
      <c r="F2591" t="s">
        <v>845</v>
      </c>
      <c r="G2591" t="s">
        <v>846</v>
      </c>
      <c r="H2591">
        <v>30303</v>
      </c>
      <c r="I2591" t="s">
        <v>30</v>
      </c>
      <c r="J2591" t="s">
        <v>162</v>
      </c>
      <c r="K2591" t="s">
        <v>1490</v>
      </c>
      <c r="N2591" t="s">
        <v>56290</v>
      </c>
      <c r="O2591" t="s">
        <v>56291</v>
      </c>
      <c r="Q2591">
        <v>0</v>
      </c>
      <c r="R2591">
        <v>1675</v>
      </c>
      <c r="S2591">
        <v>0</v>
      </c>
      <c r="T2591" t="s">
        <v>56292</v>
      </c>
    </row>
    <row r="2592" spans="1:20" customFormat="1" ht="15" x14ac:dyDescent="0.25">
      <c r="A2592" t="s">
        <v>24</v>
      </c>
      <c r="B2592" t="s">
        <v>2955</v>
      </c>
      <c r="C2592" t="str">
        <f>"337K0"</f>
        <v>337K0</v>
      </c>
      <c r="D2592" t="s">
        <v>56293</v>
      </c>
      <c r="E2592" t="s">
        <v>56294</v>
      </c>
      <c r="F2592" t="s">
        <v>1223</v>
      </c>
      <c r="G2592" t="s">
        <v>846</v>
      </c>
      <c r="H2592">
        <v>30092</v>
      </c>
      <c r="I2592" t="s">
        <v>30</v>
      </c>
      <c r="J2592" t="s">
        <v>162</v>
      </c>
      <c r="K2592" t="s">
        <v>1490</v>
      </c>
      <c r="N2592" t="s">
        <v>56295</v>
      </c>
      <c r="O2592" t="s">
        <v>56296</v>
      </c>
      <c r="Q2592">
        <v>0</v>
      </c>
      <c r="R2592">
        <v>222</v>
      </c>
      <c r="S2592">
        <v>0</v>
      </c>
      <c r="T2592" t="s">
        <v>56297</v>
      </c>
    </row>
    <row r="2593" spans="1:20" customFormat="1" ht="15" x14ac:dyDescent="0.25">
      <c r="A2593" t="s">
        <v>24</v>
      </c>
      <c r="B2593" t="s">
        <v>13679</v>
      </c>
      <c r="C2593" t="str">
        <f>"33745"</f>
        <v>33745</v>
      </c>
      <c r="D2593" t="s">
        <v>56298</v>
      </c>
      <c r="E2593" t="s">
        <v>56299</v>
      </c>
      <c r="F2593" t="s">
        <v>845</v>
      </c>
      <c r="G2593" t="s">
        <v>846</v>
      </c>
      <c r="H2593">
        <v>30339</v>
      </c>
      <c r="I2593" t="s">
        <v>30</v>
      </c>
      <c r="J2593" t="s">
        <v>162</v>
      </c>
      <c r="K2593" t="s">
        <v>1490</v>
      </c>
      <c r="N2593" t="s">
        <v>56300</v>
      </c>
      <c r="O2593" t="s">
        <v>56301</v>
      </c>
      <c r="Q2593">
        <v>0</v>
      </c>
      <c r="R2593">
        <v>401</v>
      </c>
      <c r="S2593">
        <v>0</v>
      </c>
      <c r="T2593" t="s">
        <v>56302</v>
      </c>
    </row>
    <row r="2594" spans="1:20" customFormat="1" ht="15" hidden="1" x14ac:dyDescent="0.25">
      <c r="A2594" t="s">
        <v>24</v>
      </c>
      <c r="B2594" t="s">
        <v>11010</v>
      </c>
      <c r="C2594" t="str">
        <f>"A0188528"</f>
        <v>A0188528</v>
      </c>
      <c r="D2594" t="s">
        <v>11011</v>
      </c>
      <c r="E2594" t="s">
        <v>11012</v>
      </c>
      <c r="F2594" t="s">
        <v>10769</v>
      </c>
      <c r="G2594" t="s">
        <v>4481</v>
      </c>
      <c r="H2594">
        <v>44600</v>
      </c>
      <c r="I2594" t="s">
        <v>2408</v>
      </c>
      <c r="J2594" t="s">
        <v>162</v>
      </c>
      <c r="K2594" t="s">
        <v>11013</v>
      </c>
      <c r="N2594" t="s">
        <v>11014</v>
      </c>
      <c r="Q2594">
        <v>0</v>
      </c>
      <c r="R2594">
        <v>79</v>
      </c>
      <c r="S2594">
        <v>0</v>
      </c>
      <c r="T2594" t="s">
        <v>11015</v>
      </c>
    </row>
    <row r="2595" spans="1:20" customFormat="1" ht="15" x14ac:dyDescent="0.25">
      <c r="A2595" t="s">
        <v>24</v>
      </c>
      <c r="B2595" t="s">
        <v>193</v>
      </c>
      <c r="C2595" t="str">
        <f>"A0147874"</f>
        <v>A0147874</v>
      </c>
      <c r="D2595" t="s">
        <v>11016</v>
      </c>
      <c r="E2595" t="s">
        <v>11017</v>
      </c>
      <c r="F2595" t="s">
        <v>2094</v>
      </c>
      <c r="G2595" t="s">
        <v>52</v>
      </c>
      <c r="H2595">
        <v>75207</v>
      </c>
      <c r="I2595" t="s">
        <v>30</v>
      </c>
      <c r="J2595" t="s">
        <v>31</v>
      </c>
      <c r="K2595" t="s">
        <v>1196</v>
      </c>
      <c r="Q2595">
        <v>0</v>
      </c>
      <c r="R2595">
        <v>152</v>
      </c>
      <c r="S2595">
        <v>0</v>
      </c>
      <c r="T2595" t="s">
        <v>4521</v>
      </c>
    </row>
    <row r="2596" spans="1:20" customFormat="1" ht="15" x14ac:dyDescent="0.25">
      <c r="A2596" t="s">
        <v>24</v>
      </c>
      <c r="B2596" t="s">
        <v>675</v>
      </c>
      <c r="C2596" t="str">
        <f>"337P6"</f>
        <v>337P6</v>
      </c>
      <c r="D2596" t="s">
        <v>56303</v>
      </c>
      <c r="E2596" t="s">
        <v>56304</v>
      </c>
      <c r="F2596" t="s">
        <v>845</v>
      </c>
      <c r="G2596" t="s">
        <v>846</v>
      </c>
      <c r="H2596">
        <v>30309</v>
      </c>
      <c r="I2596" t="s">
        <v>30</v>
      </c>
      <c r="J2596" t="s">
        <v>162</v>
      </c>
      <c r="K2596" t="s">
        <v>1490</v>
      </c>
      <c r="N2596" t="s">
        <v>56305</v>
      </c>
      <c r="O2596" t="s">
        <v>56306</v>
      </c>
      <c r="Q2596">
        <v>0</v>
      </c>
      <c r="R2596">
        <v>254</v>
      </c>
      <c r="S2596">
        <v>0</v>
      </c>
      <c r="T2596" t="s">
        <v>56307</v>
      </c>
    </row>
    <row r="2597" spans="1:20" customFormat="1" ht="15" x14ac:dyDescent="0.25">
      <c r="A2597" t="s">
        <v>24</v>
      </c>
      <c r="B2597" t="s">
        <v>56330</v>
      </c>
      <c r="C2597" t="str">
        <f>"A0064863"</f>
        <v>A0064863</v>
      </c>
      <c r="D2597" t="s">
        <v>56331</v>
      </c>
      <c r="E2597" t="s">
        <v>56332</v>
      </c>
      <c r="F2597" t="s">
        <v>11656</v>
      </c>
      <c r="G2597" t="s">
        <v>1706</v>
      </c>
      <c r="H2597">
        <v>36801</v>
      </c>
      <c r="I2597" t="s">
        <v>30</v>
      </c>
      <c r="J2597" t="s">
        <v>162</v>
      </c>
      <c r="K2597" t="s">
        <v>1490</v>
      </c>
      <c r="N2597" t="s">
        <v>56333</v>
      </c>
      <c r="Q2597">
        <v>0</v>
      </c>
      <c r="R2597">
        <v>221</v>
      </c>
      <c r="S2597">
        <v>0</v>
      </c>
      <c r="T2597" t="s">
        <v>56334</v>
      </c>
    </row>
    <row r="2598" spans="1:20" customFormat="1" ht="15" x14ac:dyDescent="0.25">
      <c r="A2598" t="s">
        <v>24</v>
      </c>
      <c r="B2598" t="s">
        <v>11027</v>
      </c>
      <c r="C2598" t="str">
        <f>"A0096209"</f>
        <v>A0096209</v>
      </c>
      <c r="D2598" t="s">
        <v>11028</v>
      </c>
      <c r="E2598" t="s">
        <v>11029</v>
      </c>
      <c r="F2598" t="s">
        <v>11030</v>
      </c>
      <c r="G2598" t="s">
        <v>214</v>
      </c>
      <c r="H2598">
        <v>28144</v>
      </c>
      <c r="I2598" t="s">
        <v>30</v>
      </c>
      <c r="J2598" t="s">
        <v>31</v>
      </c>
      <c r="K2598" t="s">
        <v>282</v>
      </c>
      <c r="N2598" t="s">
        <v>11031</v>
      </c>
      <c r="Q2598">
        <v>0</v>
      </c>
      <c r="R2598">
        <v>90</v>
      </c>
      <c r="S2598">
        <v>0</v>
      </c>
      <c r="T2598" t="s">
        <v>11032</v>
      </c>
    </row>
    <row r="2599" spans="1:20" customFormat="1" ht="15" x14ac:dyDescent="0.25">
      <c r="A2599" t="s">
        <v>35</v>
      </c>
      <c r="B2599" t="s">
        <v>61</v>
      </c>
      <c r="C2599" t="str">
        <f>"A0183460"</f>
        <v>A0183460</v>
      </c>
      <c r="D2599" t="s">
        <v>11033</v>
      </c>
      <c r="E2599" t="s">
        <v>11034</v>
      </c>
      <c r="F2599" t="s">
        <v>11035</v>
      </c>
      <c r="G2599" t="s">
        <v>71</v>
      </c>
      <c r="H2599" t="s">
        <v>11036</v>
      </c>
      <c r="I2599" t="s">
        <v>30</v>
      </c>
      <c r="J2599" t="s">
        <v>41</v>
      </c>
      <c r="K2599" t="s">
        <v>59</v>
      </c>
      <c r="Q2599">
        <v>0</v>
      </c>
      <c r="R2599">
        <v>32</v>
      </c>
      <c r="S2599">
        <v>32</v>
      </c>
      <c r="T2599" t="s">
        <v>11037</v>
      </c>
    </row>
    <row r="2600" spans="1:20" customFormat="1" ht="15" x14ac:dyDescent="0.25">
      <c r="A2600" t="s">
        <v>35</v>
      </c>
      <c r="B2600" t="s">
        <v>61</v>
      </c>
      <c r="C2600" t="str">
        <f>"A0182114"</f>
        <v>A0182114</v>
      </c>
      <c r="D2600" t="s">
        <v>11038</v>
      </c>
      <c r="E2600" t="s">
        <v>11039</v>
      </c>
      <c r="F2600" t="s">
        <v>3339</v>
      </c>
      <c r="G2600" t="s">
        <v>71</v>
      </c>
      <c r="H2600" t="s">
        <v>11040</v>
      </c>
      <c r="I2600" t="s">
        <v>30</v>
      </c>
      <c r="J2600" t="s">
        <v>41</v>
      </c>
      <c r="K2600" t="s">
        <v>59</v>
      </c>
      <c r="Q2600">
        <v>0</v>
      </c>
      <c r="R2600">
        <v>0</v>
      </c>
      <c r="S2600">
        <v>0</v>
      </c>
      <c r="T2600" t="s">
        <v>11041</v>
      </c>
    </row>
    <row r="2601" spans="1:20" customFormat="1" ht="15" x14ac:dyDescent="0.25">
      <c r="A2601" t="s">
        <v>35</v>
      </c>
      <c r="B2601" t="s">
        <v>61</v>
      </c>
      <c r="C2601" t="str">
        <f>"A0183598"</f>
        <v>A0183598</v>
      </c>
      <c r="D2601" t="s">
        <v>11042</v>
      </c>
      <c r="E2601" t="s">
        <v>9355</v>
      </c>
      <c r="F2601" t="s">
        <v>3339</v>
      </c>
      <c r="G2601" t="s">
        <v>71</v>
      </c>
      <c r="H2601" t="s">
        <v>9356</v>
      </c>
      <c r="I2601" t="s">
        <v>30</v>
      </c>
      <c r="J2601" t="s">
        <v>41</v>
      </c>
      <c r="K2601" t="s">
        <v>59</v>
      </c>
      <c r="Q2601">
        <v>0</v>
      </c>
      <c r="R2601">
        <v>188</v>
      </c>
      <c r="S2601">
        <v>188</v>
      </c>
      <c r="T2601" t="s">
        <v>11043</v>
      </c>
    </row>
    <row r="2602" spans="1:20" customFormat="1" ht="15" x14ac:dyDescent="0.25">
      <c r="A2602" t="s">
        <v>35</v>
      </c>
      <c r="B2602" t="s">
        <v>61</v>
      </c>
      <c r="C2602" t="str">
        <f>"A0183499"</f>
        <v>A0183499</v>
      </c>
      <c r="D2602" t="s">
        <v>11044</v>
      </c>
      <c r="E2602" t="s">
        <v>9355</v>
      </c>
      <c r="F2602" t="s">
        <v>3339</v>
      </c>
      <c r="G2602" t="s">
        <v>71</v>
      </c>
      <c r="H2602" t="s">
        <v>9356</v>
      </c>
      <c r="I2602" t="s">
        <v>30</v>
      </c>
      <c r="J2602" t="s">
        <v>41</v>
      </c>
      <c r="K2602" t="s">
        <v>59</v>
      </c>
      <c r="Q2602">
        <v>0</v>
      </c>
      <c r="R2602">
        <v>188</v>
      </c>
      <c r="S2602">
        <v>188</v>
      </c>
      <c r="T2602" t="s">
        <v>11043</v>
      </c>
    </row>
    <row r="2603" spans="1:20" customFormat="1" ht="15" x14ac:dyDescent="0.25">
      <c r="A2603" t="s">
        <v>35</v>
      </c>
      <c r="B2603" t="s">
        <v>61</v>
      </c>
      <c r="C2603" t="str">
        <f>"A0182094"</f>
        <v>A0182094</v>
      </c>
      <c r="D2603" t="s">
        <v>11045</v>
      </c>
      <c r="E2603" t="s">
        <v>9355</v>
      </c>
      <c r="F2603" t="s">
        <v>3339</v>
      </c>
      <c r="G2603" t="s">
        <v>71</v>
      </c>
      <c r="H2603" t="s">
        <v>9356</v>
      </c>
      <c r="I2603" t="s">
        <v>30</v>
      </c>
      <c r="J2603" t="s">
        <v>41</v>
      </c>
      <c r="K2603" t="s">
        <v>59</v>
      </c>
      <c r="Q2603">
        <v>0</v>
      </c>
      <c r="R2603">
        <v>0</v>
      </c>
      <c r="S2603">
        <v>0</v>
      </c>
      <c r="T2603" t="s">
        <v>11041</v>
      </c>
    </row>
    <row r="2604" spans="1:20" customFormat="1" ht="15" x14ac:dyDescent="0.25">
      <c r="A2604" t="s">
        <v>35</v>
      </c>
      <c r="B2604" t="s">
        <v>61</v>
      </c>
      <c r="C2604" t="str">
        <f>"A0184326"</f>
        <v>A0184326</v>
      </c>
      <c r="D2604" t="s">
        <v>11046</v>
      </c>
      <c r="E2604" t="s">
        <v>9355</v>
      </c>
      <c r="F2604" t="s">
        <v>3339</v>
      </c>
      <c r="G2604" t="s">
        <v>71</v>
      </c>
      <c r="H2604" t="s">
        <v>9356</v>
      </c>
      <c r="I2604" t="s">
        <v>30</v>
      </c>
      <c r="J2604" t="s">
        <v>41</v>
      </c>
      <c r="K2604" t="s">
        <v>59</v>
      </c>
      <c r="Q2604">
        <v>0</v>
      </c>
      <c r="R2604">
        <v>188</v>
      </c>
      <c r="S2604">
        <v>188</v>
      </c>
      <c r="T2604" t="s">
        <v>11043</v>
      </c>
    </row>
    <row r="2605" spans="1:20" customFormat="1" ht="15" x14ac:dyDescent="0.25">
      <c r="A2605" t="s">
        <v>35</v>
      </c>
      <c r="B2605" t="s">
        <v>61</v>
      </c>
      <c r="C2605" t="str">
        <f>"A0184226"</f>
        <v>A0184226</v>
      </c>
      <c r="D2605" t="s">
        <v>11047</v>
      </c>
      <c r="E2605" t="s">
        <v>11048</v>
      </c>
      <c r="F2605" t="s">
        <v>11049</v>
      </c>
      <c r="G2605" t="s">
        <v>103</v>
      </c>
      <c r="H2605" t="s">
        <v>11050</v>
      </c>
      <c r="I2605" t="s">
        <v>30</v>
      </c>
      <c r="J2605" t="s">
        <v>41</v>
      </c>
      <c r="K2605" t="s">
        <v>59</v>
      </c>
      <c r="Q2605">
        <v>0</v>
      </c>
      <c r="R2605">
        <v>46</v>
      </c>
      <c r="S2605">
        <v>46</v>
      </c>
      <c r="T2605" t="s">
        <v>11051</v>
      </c>
    </row>
    <row r="2606" spans="1:20" customFormat="1" ht="15" x14ac:dyDescent="0.25">
      <c r="A2606" t="s">
        <v>35</v>
      </c>
      <c r="B2606" t="s">
        <v>61</v>
      </c>
      <c r="C2606" t="str">
        <f>"A0181188"</f>
        <v>A0181188</v>
      </c>
      <c r="D2606" t="s">
        <v>11052</v>
      </c>
      <c r="E2606" t="s">
        <v>11034</v>
      </c>
      <c r="F2606" t="s">
        <v>11035</v>
      </c>
      <c r="G2606" t="s">
        <v>71</v>
      </c>
      <c r="H2606" t="s">
        <v>11036</v>
      </c>
      <c r="I2606" t="s">
        <v>30</v>
      </c>
      <c r="J2606" t="s">
        <v>41</v>
      </c>
      <c r="K2606" t="s">
        <v>9956</v>
      </c>
      <c r="Q2606">
        <v>0</v>
      </c>
      <c r="R2606">
        <v>0</v>
      </c>
      <c r="S2606">
        <v>0</v>
      </c>
      <c r="T2606" t="s">
        <v>11053</v>
      </c>
    </row>
    <row r="2607" spans="1:20" customFormat="1" ht="15" x14ac:dyDescent="0.25">
      <c r="A2607" t="s">
        <v>35</v>
      </c>
      <c r="B2607" t="s">
        <v>61</v>
      </c>
      <c r="C2607" t="str">
        <f>"A0182479"</f>
        <v>A0182479</v>
      </c>
      <c r="D2607" t="s">
        <v>11054</v>
      </c>
      <c r="E2607" t="s">
        <v>11034</v>
      </c>
      <c r="F2607" t="s">
        <v>11035</v>
      </c>
      <c r="G2607" t="s">
        <v>71</v>
      </c>
      <c r="H2607" t="s">
        <v>11036</v>
      </c>
      <c r="I2607" t="s">
        <v>30</v>
      </c>
      <c r="J2607" t="s">
        <v>41</v>
      </c>
      <c r="K2607" t="s">
        <v>59</v>
      </c>
      <c r="Q2607">
        <v>0</v>
      </c>
      <c r="R2607">
        <v>0</v>
      </c>
      <c r="S2607">
        <v>0</v>
      </c>
      <c r="T2607" t="s">
        <v>11041</v>
      </c>
    </row>
    <row r="2608" spans="1:20" customFormat="1" ht="15" x14ac:dyDescent="0.25">
      <c r="A2608" t="s">
        <v>35</v>
      </c>
      <c r="B2608" t="s">
        <v>437</v>
      </c>
      <c r="C2608" t="str">
        <f>"A0133935"</f>
        <v>A0133935</v>
      </c>
      <c r="D2608" t="s">
        <v>11055</v>
      </c>
      <c r="E2608" t="s">
        <v>11056</v>
      </c>
      <c r="F2608" t="s">
        <v>11057</v>
      </c>
      <c r="G2608" t="s">
        <v>197</v>
      </c>
      <c r="H2608">
        <v>86409</v>
      </c>
      <c r="I2608" t="s">
        <v>30</v>
      </c>
      <c r="J2608" t="s">
        <v>441</v>
      </c>
      <c r="K2608" t="s">
        <v>442</v>
      </c>
      <c r="Q2608">
        <v>0</v>
      </c>
      <c r="R2608">
        <v>0</v>
      </c>
      <c r="S2608">
        <v>0</v>
      </c>
      <c r="T2608" t="s">
        <v>11058</v>
      </c>
    </row>
    <row r="2609" spans="1:20" customFormat="1" ht="15" x14ac:dyDescent="0.25">
      <c r="A2609" t="s">
        <v>35</v>
      </c>
      <c r="B2609" t="s">
        <v>437</v>
      </c>
      <c r="C2609" t="str">
        <f>"A0133846"</f>
        <v>A0133846</v>
      </c>
      <c r="D2609" t="s">
        <v>11059</v>
      </c>
      <c r="E2609" t="s">
        <v>11060</v>
      </c>
      <c r="F2609" t="s">
        <v>1634</v>
      </c>
      <c r="G2609" t="s">
        <v>110</v>
      </c>
      <c r="H2609">
        <v>926660000</v>
      </c>
      <c r="I2609" t="s">
        <v>30</v>
      </c>
      <c r="J2609" t="s">
        <v>441</v>
      </c>
      <c r="K2609" t="s">
        <v>442</v>
      </c>
      <c r="Q2609">
        <v>0</v>
      </c>
      <c r="R2609">
        <v>0</v>
      </c>
      <c r="S2609">
        <v>0</v>
      </c>
      <c r="T2609" t="s">
        <v>11061</v>
      </c>
    </row>
    <row r="2610" spans="1:20" customFormat="1" ht="15" x14ac:dyDescent="0.25">
      <c r="A2610" t="s">
        <v>35</v>
      </c>
      <c r="B2610" t="s">
        <v>61</v>
      </c>
      <c r="C2610" t="str">
        <f>"A0129005"</f>
        <v>A0129005</v>
      </c>
      <c r="D2610" t="s">
        <v>11062</v>
      </c>
      <c r="E2610" t="s">
        <v>11063</v>
      </c>
      <c r="F2610" t="s">
        <v>11064</v>
      </c>
      <c r="G2610" t="s">
        <v>289</v>
      </c>
      <c r="H2610">
        <v>62249</v>
      </c>
      <c r="I2610" t="s">
        <v>30</v>
      </c>
      <c r="J2610" t="s">
        <v>41</v>
      </c>
      <c r="K2610" t="s">
        <v>229</v>
      </c>
      <c r="Q2610">
        <v>0</v>
      </c>
      <c r="R2610">
        <v>65</v>
      </c>
      <c r="S2610">
        <v>65</v>
      </c>
      <c r="T2610" t="s">
        <v>11065</v>
      </c>
    </row>
    <row r="2611" spans="1:20" customFormat="1" ht="15" x14ac:dyDescent="0.25">
      <c r="A2611" t="s">
        <v>35</v>
      </c>
      <c r="B2611" t="s">
        <v>5246</v>
      </c>
      <c r="C2611" t="str">
        <f>"A0126789"</f>
        <v>A0126789</v>
      </c>
      <c r="D2611" t="s">
        <v>11066</v>
      </c>
      <c r="E2611" t="s">
        <v>11067</v>
      </c>
      <c r="F2611" t="s">
        <v>11068</v>
      </c>
      <c r="G2611" t="s">
        <v>103</v>
      </c>
      <c r="H2611">
        <v>18071</v>
      </c>
      <c r="I2611" t="s">
        <v>30</v>
      </c>
      <c r="J2611" t="s">
        <v>41</v>
      </c>
      <c r="K2611" t="s">
        <v>59</v>
      </c>
      <c r="Q2611">
        <v>0</v>
      </c>
      <c r="R2611">
        <v>70</v>
      </c>
      <c r="S2611">
        <v>70</v>
      </c>
      <c r="T2611" t="s">
        <v>11069</v>
      </c>
    </row>
    <row r="2612" spans="1:20" customFormat="1" ht="15" x14ac:dyDescent="0.25">
      <c r="A2612" t="s">
        <v>24</v>
      </c>
      <c r="B2612" t="s">
        <v>2340</v>
      </c>
      <c r="C2612" t="str">
        <f>"4322U"</f>
        <v>4322U</v>
      </c>
      <c r="D2612" t="s">
        <v>11070</v>
      </c>
      <c r="E2612" t="s">
        <v>11071</v>
      </c>
      <c r="F2612" t="s">
        <v>6558</v>
      </c>
      <c r="G2612" t="s">
        <v>615</v>
      </c>
      <c r="H2612">
        <v>6511</v>
      </c>
      <c r="I2612" t="s">
        <v>30</v>
      </c>
      <c r="J2612" t="s">
        <v>31</v>
      </c>
      <c r="K2612" t="s">
        <v>321</v>
      </c>
      <c r="N2612" t="s">
        <v>11072</v>
      </c>
      <c r="O2612" t="s">
        <v>11073</v>
      </c>
      <c r="Q2612">
        <v>0</v>
      </c>
      <c r="R2612">
        <v>152</v>
      </c>
      <c r="S2612">
        <v>0</v>
      </c>
      <c r="T2612" t="s">
        <v>11074</v>
      </c>
    </row>
    <row r="2613" spans="1:20" customFormat="1" ht="15" x14ac:dyDescent="0.25">
      <c r="A2613" t="s">
        <v>24</v>
      </c>
      <c r="B2613" t="s">
        <v>56335</v>
      </c>
      <c r="C2613" t="str">
        <f>"A0076994"</f>
        <v>A0076994</v>
      </c>
      <c r="D2613" t="s">
        <v>56336</v>
      </c>
      <c r="E2613" t="s">
        <v>56337</v>
      </c>
      <c r="F2613" t="s">
        <v>9854</v>
      </c>
      <c r="G2613" t="s">
        <v>846</v>
      </c>
      <c r="H2613">
        <v>30901</v>
      </c>
      <c r="I2613" t="s">
        <v>30</v>
      </c>
      <c r="J2613" t="s">
        <v>162</v>
      </c>
      <c r="K2613" t="s">
        <v>1490</v>
      </c>
      <c r="N2613" t="s">
        <v>56338</v>
      </c>
      <c r="O2613" t="s">
        <v>56339</v>
      </c>
      <c r="Q2613">
        <v>0</v>
      </c>
      <c r="R2613">
        <v>372</v>
      </c>
      <c r="S2613">
        <v>0</v>
      </c>
      <c r="T2613" t="s">
        <v>56340</v>
      </c>
    </row>
    <row r="2614" spans="1:20" customFormat="1" ht="15" x14ac:dyDescent="0.25">
      <c r="A2614" t="s">
        <v>24</v>
      </c>
      <c r="B2614" t="s">
        <v>1855</v>
      </c>
      <c r="C2614" t="str">
        <f>"A0057198"</f>
        <v>A0057198</v>
      </c>
      <c r="D2614" t="s">
        <v>11079</v>
      </c>
      <c r="E2614" t="s">
        <v>11080</v>
      </c>
      <c r="F2614" t="s">
        <v>3880</v>
      </c>
      <c r="G2614" t="s">
        <v>925</v>
      </c>
      <c r="H2614">
        <v>66502</v>
      </c>
      <c r="I2614" t="s">
        <v>30</v>
      </c>
      <c r="J2614" t="s">
        <v>31</v>
      </c>
      <c r="K2614" t="s">
        <v>198</v>
      </c>
      <c r="N2614" t="s">
        <v>11081</v>
      </c>
      <c r="Q2614">
        <v>0</v>
      </c>
      <c r="R2614">
        <v>72</v>
      </c>
      <c r="S2614">
        <v>0</v>
      </c>
      <c r="T2614" t="s">
        <v>11082</v>
      </c>
    </row>
    <row r="2615" spans="1:20" customFormat="1" ht="15" x14ac:dyDescent="0.25">
      <c r="A2615" t="s">
        <v>24</v>
      </c>
      <c r="B2615" t="s">
        <v>11083</v>
      </c>
      <c r="C2615" t="str">
        <f>"A0187893"</f>
        <v>A0187893</v>
      </c>
      <c r="D2615" t="s">
        <v>11083</v>
      </c>
      <c r="E2615" t="s">
        <v>11084</v>
      </c>
      <c r="F2615" t="s">
        <v>11085</v>
      </c>
      <c r="G2615" t="s">
        <v>338</v>
      </c>
      <c r="H2615">
        <v>7922</v>
      </c>
      <c r="I2615" t="s">
        <v>30</v>
      </c>
      <c r="J2615" t="s">
        <v>215</v>
      </c>
      <c r="K2615" t="s">
        <v>163</v>
      </c>
      <c r="N2615" t="s">
        <v>11086</v>
      </c>
      <c r="O2615" t="s">
        <v>11087</v>
      </c>
      <c r="Q2615">
        <v>0</v>
      </c>
      <c r="R2615">
        <v>0</v>
      </c>
      <c r="S2615">
        <v>0</v>
      </c>
      <c r="T2615" t="s">
        <v>11088</v>
      </c>
    </row>
    <row r="2616" spans="1:20" customFormat="1" ht="15" x14ac:dyDescent="0.25">
      <c r="A2616" t="s">
        <v>24</v>
      </c>
      <c r="B2616" t="s">
        <v>1528</v>
      </c>
      <c r="C2616" t="str">
        <f>"A0188495"</f>
        <v>A0188495</v>
      </c>
      <c r="D2616" t="s">
        <v>11089</v>
      </c>
      <c r="E2616" t="s">
        <v>11090</v>
      </c>
      <c r="F2616" t="s">
        <v>8475</v>
      </c>
      <c r="G2616" t="s">
        <v>1184</v>
      </c>
      <c r="H2616">
        <v>59802</v>
      </c>
      <c r="I2616" t="s">
        <v>30</v>
      </c>
      <c r="J2616" t="s">
        <v>31</v>
      </c>
      <c r="K2616" t="s">
        <v>163</v>
      </c>
      <c r="N2616" t="s">
        <v>11091</v>
      </c>
      <c r="Q2616">
        <v>0</v>
      </c>
      <c r="R2616">
        <v>73</v>
      </c>
      <c r="S2616">
        <v>0</v>
      </c>
      <c r="T2616" t="s">
        <v>11092</v>
      </c>
    </row>
    <row r="2617" spans="1:20" customFormat="1" ht="15" x14ac:dyDescent="0.25">
      <c r="A2617" t="s">
        <v>24</v>
      </c>
      <c r="B2617" t="s">
        <v>11093</v>
      </c>
      <c r="C2617" t="str">
        <f>"A0188497"</f>
        <v>A0188497</v>
      </c>
      <c r="D2617" t="s">
        <v>11094</v>
      </c>
      <c r="E2617" t="s">
        <v>11095</v>
      </c>
      <c r="F2617" t="s">
        <v>11096</v>
      </c>
      <c r="G2617" t="s">
        <v>137</v>
      </c>
      <c r="H2617">
        <v>64118</v>
      </c>
      <c r="I2617" t="s">
        <v>30</v>
      </c>
      <c r="J2617" t="s">
        <v>31</v>
      </c>
      <c r="K2617" t="s">
        <v>32</v>
      </c>
      <c r="N2617" t="s">
        <v>11097</v>
      </c>
      <c r="Q2617">
        <v>0</v>
      </c>
      <c r="R2617">
        <v>89</v>
      </c>
      <c r="S2617">
        <v>0</v>
      </c>
      <c r="T2617" t="s">
        <v>11098</v>
      </c>
    </row>
    <row r="2618" spans="1:20" customFormat="1" ht="15" x14ac:dyDescent="0.25">
      <c r="A2618" t="s">
        <v>24</v>
      </c>
      <c r="B2618" t="s">
        <v>11099</v>
      </c>
      <c r="C2618" t="str">
        <f>"A0086165"</f>
        <v>A0086165</v>
      </c>
      <c r="D2618" t="s">
        <v>11100</v>
      </c>
      <c r="E2618" t="s">
        <v>11101</v>
      </c>
      <c r="F2618" t="s">
        <v>11102</v>
      </c>
      <c r="G2618" t="s">
        <v>899</v>
      </c>
      <c r="H2618">
        <v>1752</v>
      </c>
      <c r="I2618" t="s">
        <v>30</v>
      </c>
      <c r="J2618" t="s">
        <v>31</v>
      </c>
      <c r="K2618" t="s">
        <v>315</v>
      </c>
      <c r="N2618" t="s">
        <v>11103</v>
      </c>
      <c r="Q2618">
        <v>0</v>
      </c>
      <c r="R2618">
        <v>65</v>
      </c>
      <c r="S2618">
        <v>0</v>
      </c>
      <c r="T2618" t="s">
        <v>11104</v>
      </c>
    </row>
    <row r="2619" spans="1:20" customFormat="1" ht="15" x14ac:dyDescent="0.25">
      <c r="A2619" t="s">
        <v>24</v>
      </c>
      <c r="B2619" t="s">
        <v>2221</v>
      </c>
      <c r="C2619" t="str">
        <f>"A0073169"</f>
        <v>A0073169</v>
      </c>
      <c r="D2619" t="s">
        <v>56341</v>
      </c>
      <c r="E2619" t="s">
        <v>56342</v>
      </c>
      <c r="F2619" t="s">
        <v>372</v>
      </c>
      <c r="G2619" t="s">
        <v>52</v>
      </c>
      <c r="H2619">
        <v>78759</v>
      </c>
      <c r="I2619" t="s">
        <v>30</v>
      </c>
      <c r="J2619" t="s">
        <v>162</v>
      </c>
      <c r="K2619" t="s">
        <v>266</v>
      </c>
      <c r="N2619" t="s">
        <v>56343</v>
      </c>
      <c r="Q2619">
        <v>0</v>
      </c>
      <c r="R2619">
        <v>150</v>
      </c>
      <c r="S2619">
        <v>0</v>
      </c>
      <c r="T2619" t="s">
        <v>56344</v>
      </c>
    </row>
    <row r="2620" spans="1:20" customFormat="1" ht="15" x14ac:dyDescent="0.25">
      <c r="A2620" t="s">
        <v>24</v>
      </c>
      <c r="B2620" t="s">
        <v>1849</v>
      </c>
      <c r="C2620" t="str">
        <f>"A0059810"</f>
        <v>A0059810</v>
      </c>
      <c r="D2620" t="s">
        <v>56345</v>
      </c>
      <c r="E2620" t="s">
        <v>56346</v>
      </c>
      <c r="F2620" t="s">
        <v>372</v>
      </c>
      <c r="G2620" t="s">
        <v>52</v>
      </c>
      <c r="H2620">
        <v>78681</v>
      </c>
      <c r="I2620" t="s">
        <v>30</v>
      </c>
      <c r="J2620" t="s">
        <v>162</v>
      </c>
      <c r="K2620" t="s">
        <v>1490</v>
      </c>
      <c r="N2620" t="s">
        <v>56347</v>
      </c>
      <c r="Q2620">
        <v>0</v>
      </c>
      <c r="R2620">
        <v>295</v>
      </c>
      <c r="S2620">
        <v>0</v>
      </c>
      <c r="T2620" t="s">
        <v>56348</v>
      </c>
    </row>
    <row r="2621" spans="1:20" customFormat="1" ht="15" x14ac:dyDescent="0.25">
      <c r="A2621" t="s">
        <v>35</v>
      </c>
      <c r="B2621" t="s">
        <v>61</v>
      </c>
      <c r="C2621" t="str">
        <f>"A0118634"</f>
        <v>A0118634</v>
      </c>
      <c r="D2621" t="s">
        <v>11111</v>
      </c>
      <c r="E2621" t="s">
        <v>11112</v>
      </c>
      <c r="F2621" t="s">
        <v>831</v>
      </c>
      <c r="G2621" t="s">
        <v>110</v>
      </c>
      <c r="H2621">
        <v>94030</v>
      </c>
      <c r="I2621" t="s">
        <v>30</v>
      </c>
      <c r="J2621" t="s">
        <v>41</v>
      </c>
      <c r="K2621" t="s">
        <v>229</v>
      </c>
      <c r="Q2621">
        <v>0</v>
      </c>
      <c r="R2621">
        <v>140</v>
      </c>
      <c r="S2621">
        <v>140</v>
      </c>
      <c r="T2621" t="s">
        <v>11113</v>
      </c>
    </row>
    <row r="2622" spans="1:20" customFormat="1" ht="15" hidden="1" x14ac:dyDescent="0.25">
      <c r="A2622" t="s">
        <v>24</v>
      </c>
      <c r="B2622" t="s">
        <v>11114</v>
      </c>
      <c r="C2622" t="str">
        <f>"A0097034"</f>
        <v>A0097034</v>
      </c>
      <c r="D2622" t="s">
        <v>11115</v>
      </c>
      <c r="E2622" t="s">
        <v>11116</v>
      </c>
      <c r="F2622" t="s">
        <v>11117</v>
      </c>
      <c r="G2622" t="s">
        <v>11118</v>
      </c>
      <c r="H2622" t="s">
        <v>11119</v>
      </c>
      <c r="I2622" t="s">
        <v>1459</v>
      </c>
      <c r="J2622" t="s">
        <v>162</v>
      </c>
      <c r="K2622" t="s">
        <v>163</v>
      </c>
      <c r="N2622" t="s">
        <v>11120</v>
      </c>
      <c r="Q2622">
        <v>0</v>
      </c>
      <c r="R2622">
        <v>90</v>
      </c>
      <c r="S2622">
        <v>0</v>
      </c>
      <c r="T2622" t="s">
        <v>11121</v>
      </c>
    </row>
    <row r="2623" spans="1:20" customFormat="1" ht="15" x14ac:dyDescent="0.25">
      <c r="A2623" t="s">
        <v>24</v>
      </c>
      <c r="B2623" t="s">
        <v>56392</v>
      </c>
      <c r="C2623" t="str">
        <f>"A0096831"</f>
        <v>A0096831</v>
      </c>
      <c r="D2623" t="s">
        <v>56393</v>
      </c>
      <c r="E2623" t="s">
        <v>56394</v>
      </c>
      <c r="F2623" t="s">
        <v>1570</v>
      </c>
      <c r="G2623" t="s">
        <v>81</v>
      </c>
      <c r="H2623">
        <v>33316</v>
      </c>
      <c r="I2623" t="s">
        <v>30</v>
      </c>
      <c r="J2623" t="s">
        <v>162</v>
      </c>
      <c r="K2623" t="s">
        <v>163</v>
      </c>
      <c r="N2623" t="s">
        <v>56395</v>
      </c>
      <c r="O2623" t="s">
        <v>56396</v>
      </c>
      <c r="Q2623">
        <v>0</v>
      </c>
      <c r="R2623">
        <v>487</v>
      </c>
      <c r="S2623">
        <v>0</v>
      </c>
      <c r="T2623" t="s">
        <v>56397</v>
      </c>
    </row>
    <row r="2624" spans="1:20" customFormat="1" ht="15" x14ac:dyDescent="0.25">
      <c r="A2624" t="s">
        <v>24</v>
      </c>
      <c r="B2624" t="s">
        <v>56392</v>
      </c>
      <c r="C2624" t="str">
        <f>"88DA020"</f>
        <v>88DA020</v>
      </c>
      <c r="D2624" t="s">
        <v>56398</v>
      </c>
      <c r="E2624" t="s">
        <v>56399</v>
      </c>
      <c r="F2624" t="s">
        <v>56400</v>
      </c>
      <c r="G2624" t="s">
        <v>81</v>
      </c>
      <c r="H2624">
        <v>32830</v>
      </c>
      <c r="I2624" t="s">
        <v>30</v>
      </c>
      <c r="J2624" t="s">
        <v>162</v>
      </c>
      <c r="K2624" t="s">
        <v>163</v>
      </c>
      <c r="N2624" t="s">
        <v>56401</v>
      </c>
      <c r="O2624" t="s">
        <v>56402</v>
      </c>
      <c r="Q2624">
        <v>0</v>
      </c>
      <c r="R2624">
        <v>394</v>
      </c>
      <c r="S2624">
        <v>0</v>
      </c>
      <c r="T2624" t="s">
        <v>56403</v>
      </c>
    </row>
    <row r="2625" spans="1:25" customFormat="1" ht="15" x14ac:dyDescent="0.25">
      <c r="A2625" t="s">
        <v>24</v>
      </c>
      <c r="B2625" t="s">
        <v>11122</v>
      </c>
      <c r="C2625" t="str">
        <f>"A0188463"</f>
        <v>A0188463</v>
      </c>
      <c r="D2625" t="s">
        <v>11134</v>
      </c>
      <c r="E2625" t="s">
        <v>11135</v>
      </c>
      <c r="F2625" t="s">
        <v>11136</v>
      </c>
      <c r="G2625" t="s">
        <v>52</v>
      </c>
      <c r="H2625">
        <v>75181</v>
      </c>
      <c r="I2625" t="s">
        <v>30</v>
      </c>
      <c r="J2625" t="s">
        <v>31</v>
      </c>
      <c r="K2625" t="s">
        <v>296</v>
      </c>
      <c r="N2625" t="s">
        <v>11126</v>
      </c>
      <c r="Q2625">
        <v>0</v>
      </c>
      <c r="R2625">
        <v>70</v>
      </c>
      <c r="S2625">
        <v>0</v>
      </c>
      <c r="T2625" t="s">
        <v>11137</v>
      </c>
    </row>
    <row r="2626" spans="1:25" x14ac:dyDescent="0.25">
      <c r="A2626" s="5" t="s">
        <v>24</v>
      </c>
      <c r="B2626" s="5" t="s">
        <v>56430</v>
      </c>
      <c r="C2626" s="5" t="str">
        <f>"A0049626"</f>
        <v>A0049626</v>
      </c>
      <c r="D2626" s="5" t="s">
        <v>56431</v>
      </c>
      <c r="E2626" s="5" t="s">
        <v>56432</v>
      </c>
      <c r="F2626" s="5" t="s">
        <v>56433</v>
      </c>
      <c r="G2626" s="5" t="s">
        <v>47</v>
      </c>
      <c r="H2626" s="5">
        <v>97411</v>
      </c>
      <c r="I2626" s="5" t="s">
        <v>30</v>
      </c>
      <c r="J2626" s="5" t="s">
        <v>162</v>
      </c>
      <c r="K2626" s="5" t="s">
        <v>179</v>
      </c>
      <c r="L2626" s="5"/>
      <c r="M2626" s="5"/>
      <c r="N2626" s="5" t="s">
        <v>56434</v>
      </c>
      <c r="O2626" s="5" t="s">
        <v>56435</v>
      </c>
      <c r="P2626" s="5" t="s">
        <v>992</v>
      </c>
      <c r="Q2626" s="5">
        <v>4</v>
      </c>
      <c r="R2626" s="5">
        <v>186</v>
      </c>
      <c r="S2626" s="5">
        <v>0</v>
      </c>
      <c r="T2626" s="5" t="s">
        <v>56436</v>
      </c>
      <c r="U2626" s="5"/>
      <c r="V2626" s="5"/>
      <c r="W2626" s="5"/>
      <c r="X2626" s="5"/>
      <c r="Y2626" s="5"/>
    </row>
    <row r="2627" spans="1:25" customFormat="1" ht="15" x14ac:dyDescent="0.25">
      <c r="A2627" t="s">
        <v>24</v>
      </c>
      <c r="B2627" t="s">
        <v>4410</v>
      </c>
      <c r="C2627" t="str">
        <f>"A0188482"</f>
        <v>A0188482</v>
      </c>
      <c r="D2627" t="s">
        <v>11143</v>
      </c>
      <c r="E2627" t="s">
        <v>11144</v>
      </c>
      <c r="F2627" t="s">
        <v>2083</v>
      </c>
      <c r="G2627" t="s">
        <v>190</v>
      </c>
      <c r="H2627">
        <v>80443</v>
      </c>
      <c r="I2627" t="s">
        <v>30</v>
      </c>
      <c r="J2627" t="s">
        <v>31</v>
      </c>
      <c r="K2627" t="s">
        <v>163</v>
      </c>
      <c r="N2627" t="s">
        <v>11145</v>
      </c>
      <c r="Q2627">
        <v>0</v>
      </c>
      <c r="R2627">
        <v>127</v>
      </c>
      <c r="S2627">
        <v>0</v>
      </c>
      <c r="T2627" t="s">
        <v>11146</v>
      </c>
    </row>
    <row r="2628" spans="1:25" customFormat="1" ht="15" x14ac:dyDescent="0.25">
      <c r="A2628" t="s">
        <v>24</v>
      </c>
      <c r="B2628" t="s">
        <v>13679</v>
      </c>
      <c r="C2628" t="str">
        <f>"A0066837"</f>
        <v>A0066837</v>
      </c>
      <c r="D2628" t="s">
        <v>56468</v>
      </c>
      <c r="E2628" t="s">
        <v>56469</v>
      </c>
      <c r="F2628" t="s">
        <v>34979</v>
      </c>
      <c r="G2628" t="s">
        <v>1170</v>
      </c>
      <c r="H2628">
        <v>70808</v>
      </c>
      <c r="I2628" t="s">
        <v>30</v>
      </c>
      <c r="J2628" t="s">
        <v>162</v>
      </c>
      <c r="K2628" t="s">
        <v>1490</v>
      </c>
      <c r="N2628" t="s">
        <v>56470</v>
      </c>
      <c r="O2628" t="s">
        <v>56471</v>
      </c>
      <c r="Q2628">
        <v>0</v>
      </c>
      <c r="R2628">
        <v>299</v>
      </c>
      <c r="S2628">
        <v>0</v>
      </c>
      <c r="T2628" t="s">
        <v>56472</v>
      </c>
    </row>
    <row r="2629" spans="1:25" customFormat="1" ht="15" x14ac:dyDescent="0.25">
      <c r="A2629" t="s">
        <v>24</v>
      </c>
      <c r="B2629" t="s">
        <v>5589</v>
      </c>
      <c r="C2629" t="str">
        <f>"A0090863"</f>
        <v>A0090863</v>
      </c>
      <c r="D2629" t="s">
        <v>11152</v>
      </c>
      <c r="E2629" t="s">
        <v>11153</v>
      </c>
      <c r="F2629" t="s">
        <v>972</v>
      </c>
      <c r="G2629" t="s">
        <v>190</v>
      </c>
      <c r="H2629">
        <v>80239</v>
      </c>
      <c r="I2629" t="s">
        <v>30</v>
      </c>
      <c r="J2629" t="s">
        <v>31</v>
      </c>
      <c r="K2629" t="s">
        <v>222</v>
      </c>
      <c r="N2629" t="s">
        <v>11154</v>
      </c>
      <c r="O2629" t="s">
        <v>11155</v>
      </c>
      <c r="Q2629">
        <v>0</v>
      </c>
      <c r="R2629">
        <v>99</v>
      </c>
      <c r="S2629">
        <v>0</v>
      </c>
      <c r="T2629" t="s">
        <v>11156</v>
      </c>
    </row>
    <row r="2630" spans="1:25" customFormat="1" ht="15" x14ac:dyDescent="0.25">
      <c r="A2630" t="s">
        <v>35</v>
      </c>
      <c r="B2630" t="s">
        <v>5681</v>
      </c>
      <c r="C2630" t="str">
        <f>"A0121708"</f>
        <v>A0121708</v>
      </c>
      <c r="D2630" t="s">
        <v>11157</v>
      </c>
      <c r="E2630" t="s">
        <v>11158</v>
      </c>
      <c r="F2630" t="s">
        <v>11159</v>
      </c>
      <c r="G2630" t="s">
        <v>110</v>
      </c>
      <c r="H2630">
        <v>92026</v>
      </c>
      <c r="I2630" t="s">
        <v>30</v>
      </c>
      <c r="J2630" t="s">
        <v>41</v>
      </c>
      <c r="K2630" t="s">
        <v>59</v>
      </c>
      <c r="N2630" t="s">
        <v>11160</v>
      </c>
      <c r="Q2630">
        <v>0</v>
      </c>
      <c r="R2630">
        <v>146</v>
      </c>
      <c r="S2630">
        <v>146</v>
      </c>
      <c r="T2630" t="s">
        <v>11161</v>
      </c>
    </row>
    <row r="2631" spans="1:25" customFormat="1" ht="15" x14ac:dyDescent="0.25">
      <c r="A2631" t="s">
        <v>24</v>
      </c>
      <c r="B2631" t="s">
        <v>193</v>
      </c>
      <c r="C2631" t="str">
        <f>"A0094452"</f>
        <v>A0094452</v>
      </c>
      <c r="D2631" t="s">
        <v>11162</v>
      </c>
      <c r="E2631" t="s">
        <v>11163</v>
      </c>
      <c r="F2631" t="s">
        <v>1525</v>
      </c>
      <c r="G2631" t="s">
        <v>65</v>
      </c>
      <c r="H2631">
        <v>43232</v>
      </c>
      <c r="I2631" t="s">
        <v>30</v>
      </c>
      <c r="J2631" t="s">
        <v>31</v>
      </c>
      <c r="K2631" t="s">
        <v>296</v>
      </c>
      <c r="Q2631">
        <v>0</v>
      </c>
      <c r="R2631">
        <v>65</v>
      </c>
      <c r="S2631">
        <v>0</v>
      </c>
      <c r="T2631" t="s">
        <v>11164</v>
      </c>
    </row>
    <row r="2632" spans="1:25" customFormat="1" ht="15" x14ac:dyDescent="0.25">
      <c r="A2632" t="s">
        <v>24</v>
      </c>
      <c r="B2632" t="s">
        <v>1020</v>
      </c>
      <c r="C2632" t="str">
        <f>"A0098229"</f>
        <v>A0098229</v>
      </c>
      <c r="D2632" t="s">
        <v>11165</v>
      </c>
      <c r="E2632" t="s">
        <v>11166</v>
      </c>
      <c r="F2632" t="s">
        <v>1889</v>
      </c>
      <c r="G2632" t="s">
        <v>81</v>
      </c>
      <c r="H2632">
        <v>33137</v>
      </c>
      <c r="I2632" t="s">
        <v>30</v>
      </c>
      <c r="J2632" t="s">
        <v>31</v>
      </c>
      <c r="K2632" t="s">
        <v>198</v>
      </c>
      <c r="N2632" t="s">
        <v>11167</v>
      </c>
      <c r="O2632" t="s">
        <v>11168</v>
      </c>
      <c r="Q2632">
        <v>0</v>
      </c>
      <c r="R2632">
        <v>151</v>
      </c>
      <c r="S2632">
        <v>0</v>
      </c>
      <c r="T2632" t="s">
        <v>11169</v>
      </c>
    </row>
    <row r="2633" spans="1:25" customFormat="1" ht="15" x14ac:dyDescent="0.25">
      <c r="A2633" t="s">
        <v>24</v>
      </c>
      <c r="B2633" t="s">
        <v>56564</v>
      </c>
      <c r="C2633" t="str">
        <f>"A0087526"</f>
        <v>A0087526</v>
      </c>
      <c r="D2633" t="s">
        <v>56565</v>
      </c>
      <c r="E2633" t="s">
        <v>56566</v>
      </c>
      <c r="F2633" t="s">
        <v>1159</v>
      </c>
      <c r="G2633" t="s">
        <v>58</v>
      </c>
      <c r="H2633">
        <v>29577</v>
      </c>
      <c r="I2633" t="s">
        <v>30</v>
      </c>
      <c r="J2633" t="s">
        <v>162</v>
      </c>
      <c r="K2633" t="s">
        <v>163</v>
      </c>
      <c r="N2633" t="s">
        <v>56567</v>
      </c>
      <c r="O2633" t="s">
        <v>56568</v>
      </c>
      <c r="Q2633">
        <v>0</v>
      </c>
      <c r="R2633">
        <v>157</v>
      </c>
      <c r="S2633">
        <v>0</v>
      </c>
      <c r="T2633" t="s">
        <v>56569</v>
      </c>
    </row>
    <row r="2634" spans="1:25" customFormat="1" ht="15" x14ac:dyDescent="0.25">
      <c r="A2634" t="s">
        <v>35</v>
      </c>
      <c r="B2634" t="s">
        <v>61</v>
      </c>
      <c r="C2634" t="str">
        <f>"A0181415"</f>
        <v>A0181415</v>
      </c>
      <c r="D2634" t="s">
        <v>11176</v>
      </c>
      <c r="E2634" t="s">
        <v>11177</v>
      </c>
      <c r="F2634" t="s">
        <v>546</v>
      </c>
      <c r="G2634" t="s">
        <v>338</v>
      </c>
      <c r="H2634" t="s">
        <v>11178</v>
      </c>
      <c r="I2634" t="s">
        <v>30</v>
      </c>
      <c r="J2634" t="s">
        <v>41</v>
      </c>
      <c r="K2634" t="s">
        <v>59</v>
      </c>
      <c r="Q2634">
        <v>0</v>
      </c>
      <c r="R2634">
        <v>0</v>
      </c>
      <c r="S2634">
        <v>0</v>
      </c>
      <c r="T2634" t="s">
        <v>11179</v>
      </c>
    </row>
    <row r="2635" spans="1:25" customFormat="1" ht="15" x14ac:dyDescent="0.25">
      <c r="A2635" t="s">
        <v>35</v>
      </c>
      <c r="B2635" t="s">
        <v>61</v>
      </c>
      <c r="C2635" t="str">
        <f>"A0181243"</f>
        <v>A0181243</v>
      </c>
      <c r="D2635" t="s">
        <v>11180</v>
      </c>
      <c r="E2635" t="s">
        <v>11181</v>
      </c>
      <c r="F2635" t="s">
        <v>1755</v>
      </c>
      <c r="G2635" t="s">
        <v>289</v>
      </c>
      <c r="H2635">
        <v>627041680</v>
      </c>
      <c r="I2635" t="s">
        <v>30</v>
      </c>
      <c r="J2635" t="s">
        <v>41</v>
      </c>
      <c r="K2635" t="s">
        <v>9956</v>
      </c>
      <c r="Q2635">
        <v>0</v>
      </c>
      <c r="R2635">
        <v>36</v>
      </c>
      <c r="S2635">
        <v>36</v>
      </c>
      <c r="T2635" t="s">
        <v>11182</v>
      </c>
    </row>
    <row r="2636" spans="1:25" customFormat="1" ht="15" x14ac:dyDescent="0.25">
      <c r="A2636" t="s">
        <v>35</v>
      </c>
      <c r="B2636" t="s">
        <v>11183</v>
      </c>
      <c r="C2636" t="str">
        <f>"A0124118"</f>
        <v>A0124118</v>
      </c>
      <c r="D2636" t="s">
        <v>11184</v>
      </c>
      <c r="E2636" t="s">
        <v>11185</v>
      </c>
      <c r="F2636" t="s">
        <v>11186</v>
      </c>
      <c r="G2636" t="s">
        <v>123</v>
      </c>
      <c r="H2636">
        <v>20688</v>
      </c>
      <c r="I2636" t="s">
        <v>30</v>
      </c>
      <c r="J2636" t="s">
        <v>41</v>
      </c>
      <c r="K2636" t="s">
        <v>1440</v>
      </c>
      <c r="Q2636">
        <v>0</v>
      </c>
      <c r="R2636">
        <v>372</v>
      </c>
      <c r="S2636">
        <v>372</v>
      </c>
      <c r="T2636" t="s">
        <v>11187</v>
      </c>
    </row>
    <row r="2637" spans="1:25" customFormat="1" ht="15" x14ac:dyDescent="0.25">
      <c r="A2637" t="s">
        <v>24</v>
      </c>
      <c r="B2637" t="s">
        <v>11188</v>
      </c>
      <c r="C2637" t="str">
        <f>"A0087682"</f>
        <v>A0087682</v>
      </c>
      <c r="D2637" t="s">
        <v>11189</v>
      </c>
      <c r="E2637" t="s">
        <v>11190</v>
      </c>
      <c r="F2637" t="s">
        <v>1346</v>
      </c>
      <c r="G2637" t="s">
        <v>880</v>
      </c>
      <c r="H2637">
        <v>37402</v>
      </c>
      <c r="I2637" t="s">
        <v>30</v>
      </c>
      <c r="J2637" t="s">
        <v>145</v>
      </c>
      <c r="K2637" t="s">
        <v>1185</v>
      </c>
      <c r="N2637" t="s">
        <v>11191</v>
      </c>
      <c r="Q2637">
        <v>0</v>
      </c>
      <c r="R2637">
        <v>138</v>
      </c>
      <c r="S2637">
        <v>0</v>
      </c>
      <c r="T2637" t="s">
        <v>11192</v>
      </c>
    </row>
    <row r="2638" spans="1:25" customFormat="1" ht="15" hidden="1" x14ac:dyDescent="0.25">
      <c r="A2638" t="s">
        <v>24</v>
      </c>
      <c r="B2638" t="s">
        <v>11193</v>
      </c>
      <c r="C2638" t="str">
        <f>"A0188460"</f>
        <v>A0188460</v>
      </c>
      <c r="D2638" t="s">
        <v>11194</v>
      </c>
      <c r="E2638" t="s">
        <v>11195</v>
      </c>
      <c r="F2638" t="s">
        <v>11196</v>
      </c>
      <c r="G2638" t="s">
        <v>2206</v>
      </c>
      <c r="H2638" t="s">
        <v>11197</v>
      </c>
      <c r="I2638" t="s">
        <v>1459</v>
      </c>
      <c r="J2638" t="s">
        <v>31</v>
      </c>
      <c r="K2638" t="s">
        <v>296</v>
      </c>
      <c r="N2638" t="s">
        <v>11198</v>
      </c>
      <c r="Q2638">
        <v>0</v>
      </c>
      <c r="R2638">
        <v>90</v>
      </c>
      <c r="S2638">
        <v>0</v>
      </c>
      <c r="T2638" t="s">
        <v>11199</v>
      </c>
    </row>
    <row r="2639" spans="1:25" customFormat="1" ht="15" hidden="1" x14ac:dyDescent="0.25">
      <c r="A2639" t="s">
        <v>24</v>
      </c>
      <c r="B2639" t="s">
        <v>11193</v>
      </c>
      <c r="C2639" t="str">
        <f>"A0187590"</f>
        <v>A0187590</v>
      </c>
      <c r="D2639" t="s">
        <v>11200</v>
      </c>
      <c r="E2639" t="s">
        <v>11201</v>
      </c>
      <c r="F2639" t="s">
        <v>11202</v>
      </c>
      <c r="G2639" t="s">
        <v>2206</v>
      </c>
      <c r="H2639" t="s">
        <v>11203</v>
      </c>
      <c r="I2639" t="s">
        <v>1459</v>
      </c>
      <c r="J2639" t="s">
        <v>31</v>
      </c>
      <c r="K2639" t="s">
        <v>198</v>
      </c>
      <c r="N2639" t="s">
        <v>11204</v>
      </c>
      <c r="O2639" t="s">
        <v>11205</v>
      </c>
      <c r="Q2639">
        <v>0</v>
      </c>
      <c r="R2639">
        <v>85</v>
      </c>
      <c r="S2639">
        <v>0</v>
      </c>
      <c r="T2639" t="s">
        <v>11206</v>
      </c>
    </row>
    <row r="2640" spans="1:25" customFormat="1" ht="15" hidden="1" x14ac:dyDescent="0.25">
      <c r="A2640" t="s">
        <v>24</v>
      </c>
      <c r="B2640" t="s">
        <v>11193</v>
      </c>
      <c r="C2640" t="str">
        <f>"A0101167"</f>
        <v>A0101167</v>
      </c>
      <c r="D2640" t="s">
        <v>11207</v>
      </c>
      <c r="E2640" t="s">
        <v>11208</v>
      </c>
      <c r="F2640" t="s">
        <v>11202</v>
      </c>
      <c r="G2640" t="s">
        <v>2206</v>
      </c>
      <c r="H2640" t="s">
        <v>11209</v>
      </c>
      <c r="I2640" t="s">
        <v>1459</v>
      </c>
      <c r="J2640" t="s">
        <v>31</v>
      </c>
      <c r="K2640" t="s">
        <v>222</v>
      </c>
      <c r="N2640" t="s">
        <v>11205</v>
      </c>
      <c r="Q2640">
        <v>0</v>
      </c>
      <c r="R2640">
        <v>100</v>
      </c>
      <c r="S2640">
        <v>0</v>
      </c>
      <c r="T2640" t="s">
        <v>11210</v>
      </c>
    </row>
    <row r="2641" spans="1:20" customFormat="1" ht="15" hidden="1" x14ac:dyDescent="0.25">
      <c r="A2641" t="s">
        <v>24</v>
      </c>
      <c r="B2641" t="s">
        <v>3840</v>
      </c>
      <c r="C2641" t="str">
        <f>"A0166879"</f>
        <v>A0166879</v>
      </c>
      <c r="D2641" t="s">
        <v>11211</v>
      </c>
      <c r="E2641" t="s">
        <v>11212</v>
      </c>
      <c r="F2641" t="s">
        <v>2408</v>
      </c>
      <c r="G2641" t="s">
        <v>3843</v>
      </c>
      <c r="H2641">
        <v>6140</v>
      </c>
      <c r="I2641" t="s">
        <v>2408</v>
      </c>
      <c r="J2641" t="s">
        <v>687</v>
      </c>
      <c r="K2641" t="s">
        <v>163</v>
      </c>
      <c r="Q2641">
        <v>0</v>
      </c>
      <c r="R2641">
        <v>0</v>
      </c>
      <c r="S2641">
        <v>0</v>
      </c>
      <c r="T2641" t="s">
        <v>11213</v>
      </c>
    </row>
    <row r="2642" spans="1:20" customFormat="1" ht="15" hidden="1" x14ac:dyDescent="0.25">
      <c r="A2642" t="s">
        <v>24</v>
      </c>
      <c r="B2642" t="s">
        <v>3840</v>
      </c>
      <c r="C2642" t="str">
        <f>"A0166888"</f>
        <v>A0166888</v>
      </c>
      <c r="D2642" t="s">
        <v>11214</v>
      </c>
      <c r="E2642" t="s">
        <v>11215</v>
      </c>
      <c r="F2642" t="s">
        <v>2408</v>
      </c>
      <c r="G2642" t="s">
        <v>3843</v>
      </c>
      <c r="H2642">
        <v>6700</v>
      </c>
      <c r="I2642" t="s">
        <v>2408</v>
      </c>
      <c r="J2642" t="s">
        <v>687</v>
      </c>
      <c r="K2642" t="s">
        <v>163</v>
      </c>
      <c r="Q2642">
        <v>0</v>
      </c>
      <c r="R2642">
        <v>0</v>
      </c>
      <c r="S2642">
        <v>0</v>
      </c>
      <c r="T2642" t="s">
        <v>11216</v>
      </c>
    </row>
    <row r="2643" spans="1:20" customFormat="1" ht="15" hidden="1" x14ac:dyDescent="0.25">
      <c r="A2643" t="s">
        <v>24</v>
      </c>
      <c r="B2643" t="s">
        <v>3840</v>
      </c>
      <c r="C2643" t="str">
        <f>"A0166886"</f>
        <v>A0166886</v>
      </c>
      <c r="D2643" t="s">
        <v>11217</v>
      </c>
      <c r="E2643" t="s">
        <v>11218</v>
      </c>
      <c r="F2643" t="s">
        <v>2408</v>
      </c>
      <c r="G2643" t="s">
        <v>3843</v>
      </c>
      <c r="H2643">
        <v>6500</v>
      </c>
      <c r="I2643" t="s">
        <v>2408</v>
      </c>
      <c r="J2643" t="s">
        <v>687</v>
      </c>
      <c r="K2643" t="s">
        <v>163</v>
      </c>
      <c r="Q2643">
        <v>0</v>
      </c>
      <c r="R2643">
        <v>0</v>
      </c>
      <c r="S2643">
        <v>0</v>
      </c>
      <c r="T2643" t="s">
        <v>11219</v>
      </c>
    </row>
    <row r="2644" spans="1:20" customFormat="1" ht="15" hidden="1" x14ac:dyDescent="0.25">
      <c r="A2644" t="s">
        <v>24</v>
      </c>
      <c r="B2644" t="s">
        <v>3840</v>
      </c>
      <c r="C2644" t="str">
        <f>"A0166887"</f>
        <v>A0166887</v>
      </c>
      <c r="D2644" t="s">
        <v>11220</v>
      </c>
      <c r="E2644" t="s">
        <v>11221</v>
      </c>
      <c r="F2644" t="s">
        <v>2408</v>
      </c>
      <c r="G2644" t="s">
        <v>3843</v>
      </c>
      <c r="H2644">
        <v>6140</v>
      </c>
      <c r="I2644" t="s">
        <v>2408</v>
      </c>
      <c r="J2644" t="s">
        <v>687</v>
      </c>
      <c r="K2644" t="s">
        <v>163</v>
      </c>
      <c r="Q2644">
        <v>0</v>
      </c>
      <c r="R2644">
        <v>0</v>
      </c>
      <c r="S2644">
        <v>0</v>
      </c>
      <c r="T2644" t="s">
        <v>11222</v>
      </c>
    </row>
    <row r="2645" spans="1:20" customFormat="1" ht="15" hidden="1" x14ac:dyDescent="0.25">
      <c r="A2645" t="s">
        <v>24</v>
      </c>
      <c r="B2645" t="s">
        <v>3840</v>
      </c>
      <c r="C2645" t="str">
        <f>"A0166882"</f>
        <v>A0166882</v>
      </c>
      <c r="D2645" t="s">
        <v>11223</v>
      </c>
      <c r="E2645" t="s">
        <v>11224</v>
      </c>
      <c r="F2645" t="s">
        <v>2408</v>
      </c>
      <c r="G2645" t="s">
        <v>3843</v>
      </c>
      <c r="H2645">
        <v>6100</v>
      </c>
      <c r="I2645" t="s">
        <v>2408</v>
      </c>
      <c r="J2645" t="s">
        <v>687</v>
      </c>
      <c r="K2645" t="s">
        <v>163</v>
      </c>
      <c r="Q2645">
        <v>0</v>
      </c>
      <c r="R2645">
        <v>0</v>
      </c>
      <c r="S2645">
        <v>0</v>
      </c>
      <c r="T2645" t="s">
        <v>11225</v>
      </c>
    </row>
    <row r="2646" spans="1:20" customFormat="1" ht="15" hidden="1" x14ac:dyDescent="0.25">
      <c r="A2646" t="s">
        <v>24</v>
      </c>
      <c r="B2646" t="s">
        <v>193</v>
      </c>
      <c r="C2646" t="str">
        <f>"A0166881"</f>
        <v>A0166881</v>
      </c>
      <c r="D2646" t="s">
        <v>11226</v>
      </c>
      <c r="E2646" t="s">
        <v>11227</v>
      </c>
      <c r="F2646" t="s">
        <v>2408</v>
      </c>
      <c r="G2646" t="s">
        <v>3843</v>
      </c>
      <c r="H2646">
        <v>6500</v>
      </c>
      <c r="I2646" t="s">
        <v>2408</v>
      </c>
      <c r="J2646" t="s">
        <v>687</v>
      </c>
      <c r="K2646" t="s">
        <v>163</v>
      </c>
      <c r="Q2646">
        <v>0</v>
      </c>
      <c r="R2646">
        <v>0</v>
      </c>
      <c r="S2646">
        <v>0</v>
      </c>
      <c r="T2646" t="s">
        <v>11228</v>
      </c>
    </row>
    <row r="2647" spans="1:20" customFormat="1" ht="15" hidden="1" x14ac:dyDescent="0.25">
      <c r="A2647" t="s">
        <v>24</v>
      </c>
      <c r="B2647" t="s">
        <v>3840</v>
      </c>
      <c r="C2647" t="str">
        <f>"A0166878"</f>
        <v>A0166878</v>
      </c>
      <c r="D2647" t="s">
        <v>11229</v>
      </c>
      <c r="E2647" t="s">
        <v>11230</v>
      </c>
      <c r="F2647" t="s">
        <v>2408</v>
      </c>
      <c r="G2647" t="s">
        <v>3843</v>
      </c>
      <c r="H2647">
        <v>6500</v>
      </c>
      <c r="I2647" t="s">
        <v>2408</v>
      </c>
      <c r="J2647" t="s">
        <v>687</v>
      </c>
      <c r="K2647" t="s">
        <v>163</v>
      </c>
      <c r="Q2647">
        <v>0</v>
      </c>
      <c r="R2647">
        <v>0</v>
      </c>
      <c r="S2647">
        <v>0</v>
      </c>
      <c r="T2647" t="s">
        <v>11231</v>
      </c>
    </row>
    <row r="2648" spans="1:20" customFormat="1" ht="15" hidden="1" x14ac:dyDescent="0.25">
      <c r="A2648" t="s">
        <v>24</v>
      </c>
      <c r="B2648" t="s">
        <v>3840</v>
      </c>
      <c r="C2648" t="str">
        <f>"A0166877"</f>
        <v>A0166877</v>
      </c>
      <c r="D2648" t="s">
        <v>11232</v>
      </c>
      <c r="E2648" t="s">
        <v>11233</v>
      </c>
      <c r="F2648" t="s">
        <v>2408</v>
      </c>
      <c r="G2648" t="s">
        <v>3843</v>
      </c>
      <c r="H2648">
        <v>6500</v>
      </c>
      <c r="I2648" t="s">
        <v>2408</v>
      </c>
      <c r="J2648" t="s">
        <v>687</v>
      </c>
      <c r="K2648" t="s">
        <v>163</v>
      </c>
      <c r="Q2648">
        <v>0</v>
      </c>
      <c r="R2648">
        <v>0</v>
      </c>
      <c r="S2648">
        <v>0</v>
      </c>
      <c r="T2648" t="s">
        <v>11234</v>
      </c>
    </row>
    <row r="2649" spans="1:20" customFormat="1" ht="15" hidden="1" x14ac:dyDescent="0.25">
      <c r="A2649" t="s">
        <v>24</v>
      </c>
      <c r="B2649" t="s">
        <v>3840</v>
      </c>
      <c r="C2649" t="str">
        <f>"A0166876"</f>
        <v>A0166876</v>
      </c>
      <c r="D2649" t="s">
        <v>11235</v>
      </c>
      <c r="E2649" t="s">
        <v>11236</v>
      </c>
      <c r="F2649" t="s">
        <v>2408</v>
      </c>
      <c r="G2649" t="s">
        <v>3843</v>
      </c>
      <c r="H2649">
        <v>6500</v>
      </c>
      <c r="I2649" t="s">
        <v>2408</v>
      </c>
      <c r="J2649" t="s">
        <v>687</v>
      </c>
      <c r="K2649" t="s">
        <v>163</v>
      </c>
      <c r="Q2649">
        <v>0</v>
      </c>
      <c r="R2649">
        <v>0</v>
      </c>
      <c r="S2649">
        <v>0</v>
      </c>
      <c r="T2649" t="s">
        <v>11237</v>
      </c>
    </row>
    <row r="2650" spans="1:20" customFormat="1" ht="15" x14ac:dyDescent="0.25">
      <c r="A2650" t="s">
        <v>24</v>
      </c>
      <c r="B2650" t="s">
        <v>6660</v>
      </c>
      <c r="C2650" t="str">
        <f>"A0188475"</f>
        <v>A0188475</v>
      </c>
      <c r="D2650" t="s">
        <v>11238</v>
      </c>
      <c r="E2650" t="s">
        <v>11239</v>
      </c>
      <c r="F2650" t="s">
        <v>11240</v>
      </c>
      <c r="G2650" t="s">
        <v>47</v>
      </c>
      <c r="H2650">
        <v>97341</v>
      </c>
      <c r="I2650" t="s">
        <v>30</v>
      </c>
      <c r="J2650" t="s">
        <v>31</v>
      </c>
      <c r="K2650" t="s">
        <v>163</v>
      </c>
      <c r="N2650" t="s">
        <v>11241</v>
      </c>
      <c r="Q2650">
        <v>0</v>
      </c>
      <c r="R2650">
        <v>13</v>
      </c>
      <c r="S2650">
        <v>0</v>
      </c>
      <c r="T2650" t="s">
        <v>11242</v>
      </c>
    </row>
    <row r="2651" spans="1:20" customFormat="1" ht="15" hidden="1" x14ac:dyDescent="0.25">
      <c r="A2651" t="s">
        <v>24</v>
      </c>
      <c r="B2651" t="s">
        <v>3840</v>
      </c>
      <c r="C2651" t="str">
        <f>"A0166889"</f>
        <v>A0166889</v>
      </c>
      <c r="D2651" t="s">
        <v>11243</v>
      </c>
      <c r="E2651" t="s">
        <v>11244</v>
      </c>
      <c r="F2651" t="s">
        <v>2408</v>
      </c>
      <c r="G2651" t="s">
        <v>3843</v>
      </c>
      <c r="H2651">
        <v>6500</v>
      </c>
      <c r="I2651" t="s">
        <v>2408</v>
      </c>
      <c r="J2651" t="s">
        <v>687</v>
      </c>
      <c r="K2651" t="s">
        <v>163</v>
      </c>
      <c r="Q2651">
        <v>0</v>
      </c>
      <c r="R2651">
        <v>0</v>
      </c>
      <c r="S2651">
        <v>0</v>
      </c>
      <c r="T2651" t="s">
        <v>11245</v>
      </c>
    </row>
    <row r="2652" spans="1:20" customFormat="1" ht="15" hidden="1" x14ac:dyDescent="0.25">
      <c r="A2652" t="s">
        <v>24</v>
      </c>
      <c r="B2652" t="s">
        <v>3840</v>
      </c>
      <c r="C2652" t="str">
        <f>"A0166880"</f>
        <v>A0166880</v>
      </c>
      <c r="D2652" t="s">
        <v>11246</v>
      </c>
      <c r="E2652" t="s">
        <v>11247</v>
      </c>
      <c r="F2652" t="s">
        <v>2408</v>
      </c>
      <c r="G2652" t="s">
        <v>3843</v>
      </c>
      <c r="H2652">
        <v>6700</v>
      </c>
      <c r="I2652" t="s">
        <v>2408</v>
      </c>
      <c r="J2652" t="s">
        <v>687</v>
      </c>
      <c r="K2652" t="s">
        <v>163</v>
      </c>
      <c r="Q2652">
        <v>0</v>
      </c>
      <c r="R2652">
        <v>0</v>
      </c>
      <c r="S2652">
        <v>0</v>
      </c>
      <c r="T2652" t="s">
        <v>11248</v>
      </c>
    </row>
    <row r="2653" spans="1:20" customFormat="1" ht="15" hidden="1" x14ac:dyDescent="0.25">
      <c r="A2653" t="s">
        <v>24</v>
      </c>
      <c r="B2653" t="s">
        <v>3840</v>
      </c>
      <c r="C2653" t="str">
        <f>"A0166883"</f>
        <v>A0166883</v>
      </c>
      <c r="D2653" t="s">
        <v>11249</v>
      </c>
      <c r="E2653" t="s">
        <v>11250</v>
      </c>
      <c r="F2653" t="s">
        <v>2408</v>
      </c>
      <c r="G2653" t="s">
        <v>3843</v>
      </c>
      <c r="H2653">
        <v>6500</v>
      </c>
      <c r="I2653" t="s">
        <v>2408</v>
      </c>
      <c r="J2653" t="s">
        <v>687</v>
      </c>
      <c r="K2653" t="s">
        <v>163</v>
      </c>
      <c r="Q2653">
        <v>0</v>
      </c>
      <c r="R2653">
        <v>0</v>
      </c>
      <c r="S2653">
        <v>0</v>
      </c>
      <c r="T2653" t="s">
        <v>11251</v>
      </c>
    </row>
    <row r="2654" spans="1:20" customFormat="1" ht="15" hidden="1" x14ac:dyDescent="0.25">
      <c r="A2654" t="s">
        <v>24</v>
      </c>
      <c r="B2654" t="s">
        <v>3840</v>
      </c>
      <c r="C2654" t="str">
        <f>"A0166884"</f>
        <v>A0166884</v>
      </c>
      <c r="D2654" t="s">
        <v>11252</v>
      </c>
      <c r="E2654" t="s">
        <v>11253</v>
      </c>
      <c r="F2654" t="s">
        <v>2408</v>
      </c>
      <c r="G2654" t="s">
        <v>3843</v>
      </c>
      <c r="H2654">
        <v>6100</v>
      </c>
      <c r="I2654" t="s">
        <v>2408</v>
      </c>
      <c r="J2654" t="s">
        <v>687</v>
      </c>
      <c r="K2654" t="s">
        <v>163</v>
      </c>
      <c r="Q2654">
        <v>0</v>
      </c>
      <c r="R2654">
        <v>0</v>
      </c>
      <c r="S2654">
        <v>0</v>
      </c>
      <c r="T2654" t="s">
        <v>11254</v>
      </c>
    </row>
    <row r="2655" spans="1:20" customFormat="1" ht="15" x14ac:dyDescent="0.25">
      <c r="A2655" t="s">
        <v>24</v>
      </c>
      <c r="B2655" t="s">
        <v>193</v>
      </c>
      <c r="C2655" t="str">
        <f>"A0098509"</f>
        <v>A0098509</v>
      </c>
      <c r="D2655" t="s">
        <v>11255</v>
      </c>
      <c r="E2655" t="s">
        <v>11256</v>
      </c>
      <c r="F2655" t="s">
        <v>11257</v>
      </c>
      <c r="G2655" t="s">
        <v>29</v>
      </c>
      <c r="H2655">
        <v>23188</v>
      </c>
      <c r="I2655" t="s">
        <v>30</v>
      </c>
      <c r="J2655" t="s">
        <v>31</v>
      </c>
      <c r="K2655" t="s">
        <v>282</v>
      </c>
      <c r="N2655" t="s">
        <v>11258</v>
      </c>
      <c r="Q2655">
        <v>0</v>
      </c>
      <c r="R2655">
        <v>118</v>
      </c>
      <c r="S2655">
        <v>0</v>
      </c>
      <c r="T2655" t="s">
        <v>11259</v>
      </c>
    </row>
    <row r="2656" spans="1:20" customFormat="1" ht="15" x14ac:dyDescent="0.25">
      <c r="A2656" t="s">
        <v>24</v>
      </c>
      <c r="B2656" t="s">
        <v>11260</v>
      </c>
      <c r="C2656" t="str">
        <f>"A0156155"</f>
        <v>A0156155</v>
      </c>
      <c r="D2656" t="s">
        <v>11261</v>
      </c>
      <c r="E2656" t="s">
        <v>11262</v>
      </c>
      <c r="F2656" t="s">
        <v>4385</v>
      </c>
      <c r="G2656" t="s">
        <v>65</v>
      </c>
      <c r="H2656">
        <v>44144</v>
      </c>
      <c r="I2656" t="s">
        <v>30</v>
      </c>
      <c r="J2656" t="s">
        <v>31</v>
      </c>
      <c r="K2656" t="s">
        <v>32</v>
      </c>
      <c r="N2656" t="s">
        <v>11263</v>
      </c>
      <c r="Q2656">
        <v>0</v>
      </c>
      <c r="R2656">
        <v>81</v>
      </c>
      <c r="S2656">
        <v>0</v>
      </c>
      <c r="T2656" t="s">
        <v>11264</v>
      </c>
    </row>
    <row r="2657" spans="1:20" customFormat="1" ht="15" x14ac:dyDescent="0.25">
      <c r="A2657" t="s">
        <v>24</v>
      </c>
      <c r="B2657" t="s">
        <v>11260</v>
      </c>
      <c r="C2657" t="str">
        <f>"A0187562"</f>
        <v>A0187562</v>
      </c>
      <c r="D2657" t="s">
        <v>11265</v>
      </c>
      <c r="E2657" t="s">
        <v>11266</v>
      </c>
      <c r="F2657" t="s">
        <v>11267</v>
      </c>
      <c r="G2657" t="s">
        <v>65</v>
      </c>
      <c r="H2657">
        <v>44077</v>
      </c>
      <c r="I2657" t="s">
        <v>30</v>
      </c>
      <c r="J2657" t="s">
        <v>31</v>
      </c>
      <c r="K2657" t="s">
        <v>282</v>
      </c>
      <c r="N2657" t="s">
        <v>11268</v>
      </c>
      <c r="Q2657">
        <v>0</v>
      </c>
      <c r="R2657">
        <v>84</v>
      </c>
      <c r="S2657">
        <v>0</v>
      </c>
      <c r="T2657" t="s">
        <v>11269</v>
      </c>
    </row>
    <row r="2658" spans="1:20" customFormat="1" ht="15" x14ac:dyDescent="0.25">
      <c r="A2658" t="s">
        <v>24</v>
      </c>
      <c r="B2658" t="s">
        <v>11260</v>
      </c>
      <c r="C2658" t="str">
        <f>"A0187561"</f>
        <v>A0187561</v>
      </c>
      <c r="D2658" t="s">
        <v>11270</v>
      </c>
      <c r="E2658" t="s">
        <v>11271</v>
      </c>
      <c r="F2658" t="s">
        <v>11272</v>
      </c>
      <c r="G2658" t="s">
        <v>103</v>
      </c>
      <c r="H2658">
        <v>16335</v>
      </c>
      <c r="I2658" t="s">
        <v>30</v>
      </c>
      <c r="J2658" t="s">
        <v>31</v>
      </c>
      <c r="K2658" t="s">
        <v>198</v>
      </c>
      <c r="N2658" t="s">
        <v>11273</v>
      </c>
      <c r="Q2658">
        <v>0</v>
      </c>
      <c r="R2658">
        <v>75</v>
      </c>
      <c r="S2658">
        <v>0</v>
      </c>
      <c r="T2658" t="s">
        <v>11274</v>
      </c>
    </row>
    <row r="2659" spans="1:20" customFormat="1" ht="15" x14ac:dyDescent="0.25">
      <c r="A2659" t="s">
        <v>24</v>
      </c>
      <c r="B2659" t="s">
        <v>11260</v>
      </c>
      <c r="C2659" t="str">
        <f>"A0068576"</f>
        <v>A0068576</v>
      </c>
      <c r="D2659" t="s">
        <v>11275</v>
      </c>
      <c r="E2659" t="s">
        <v>11276</v>
      </c>
      <c r="F2659" t="s">
        <v>11277</v>
      </c>
      <c r="G2659" t="s">
        <v>103</v>
      </c>
      <c r="H2659">
        <v>16046</v>
      </c>
      <c r="I2659" t="s">
        <v>30</v>
      </c>
      <c r="J2659" t="s">
        <v>31</v>
      </c>
      <c r="K2659" t="s">
        <v>282</v>
      </c>
      <c r="N2659" t="s">
        <v>11278</v>
      </c>
      <c r="Q2659">
        <v>0</v>
      </c>
      <c r="R2659">
        <v>80</v>
      </c>
      <c r="S2659">
        <v>0</v>
      </c>
      <c r="T2659" t="s">
        <v>11279</v>
      </c>
    </row>
    <row r="2660" spans="1:20" customFormat="1" ht="15" x14ac:dyDescent="0.25">
      <c r="A2660" t="s">
        <v>24</v>
      </c>
      <c r="B2660" t="s">
        <v>11260</v>
      </c>
      <c r="C2660" t="str">
        <f>"A0096370"</f>
        <v>A0096370</v>
      </c>
      <c r="D2660" t="s">
        <v>11280</v>
      </c>
      <c r="E2660" t="s">
        <v>11281</v>
      </c>
      <c r="F2660" t="s">
        <v>3167</v>
      </c>
      <c r="G2660" t="s">
        <v>103</v>
      </c>
      <c r="H2660">
        <v>16066</v>
      </c>
      <c r="I2660" t="s">
        <v>30</v>
      </c>
      <c r="J2660" t="s">
        <v>31</v>
      </c>
      <c r="K2660" t="s">
        <v>3155</v>
      </c>
      <c r="N2660" t="s">
        <v>11282</v>
      </c>
      <c r="Q2660">
        <v>0</v>
      </c>
      <c r="R2660">
        <v>72</v>
      </c>
      <c r="S2660">
        <v>0</v>
      </c>
      <c r="T2660" t="s">
        <v>11283</v>
      </c>
    </row>
    <row r="2661" spans="1:20" customFormat="1" ht="15" x14ac:dyDescent="0.25">
      <c r="A2661" t="s">
        <v>24</v>
      </c>
      <c r="B2661" t="s">
        <v>6949</v>
      </c>
      <c r="C2661" t="str">
        <f>"A0100262"</f>
        <v>A0100262</v>
      </c>
      <c r="D2661" t="s">
        <v>11284</v>
      </c>
      <c r="E2661" t="s">
        <v>11285</v>
      </c>
      <c r="F2661" t="s">
        <v>11286</v>
      </c>
      <c r="G2661" t="s">
        <v>846</v>
      </c>
      <c r="H2661">
        <v>31322</v>
      </c>
      <c r="I2661" t="s">
        <v>30</v>
      </c>
      <c r="J2661" t="s">
        <v>31</v>
      </c>
      <c r="K2661" t="s">
        <v>261</v>
      </c>
      <c r="N2661" t="s">
        <v>11287</v>
      </c>
      <c r="Q2661">
        <v>0</v>
      </c>
      <c r="R2661">
        <v>107</v>
      </c>
      <c r="S2661">
        <v>0</v>
      </c>
      <c r="T2661" t="s">
        <v>11288</v>
      </c>
    </row>
    <row r="2662" spans="1:20" customFormat="1" ht="15" x14ac:dyDescent="0.25">
      <c r="A2662" t="s">
        <v>24</v>
      </c>
      <c r="B2662" t="s">
        <v>1288</v>
      </c>
      <c r="C2662" t="str">
        <f>"A0084234"</f>
        <v>A0084234</v>
      </c>
      <c r="D2662" t="s">
        <v>11289</v>
      </c>
      <c r="E2662" t="s">
        <v>11290</v>
      </c>
      <c r="F2662" t="s">
        <v>8970</v>
      </c>
      <c r="G2662" t="s">
        <v>81</v>
      </c>
      <c r="H2662">
        <v>32966</v>
      </c>
      <c r="I2662" t="s">
        <v>30</v>
      </c>
      <c r="J2662" t="s">
        <v>31</v>
      </c>
      <c r="K2662" t="s">
        <v>308</v>
      </c>
      <c r="N2662" t="s">
        <v>11291</v>
      </c>
      <c r="Q2662">
        <v>0</v>
      </c>
      <c r="R2662">
        <v>65</v>
      </c>
      <c r="S2662">
        <v>0</v>
      </c>
      <c r="T2662" t="s">
        <v>11292</v>
      </c>
    </row>
    <row r="2663" spans="1:20" customFormat="1" ht="15" x14ac:dyDescent="0.25">
      <c r="A2663" t="s">
        <v>24</v>
      </c>
      <c r="B2663" t="s">
        <v>1836</v>
      </c>
      <c r="C2663" t="str">
        <f>"A0074000"</f>
        <v>A0074000</v>
      </c>
      <c r="D2663" t="s">
        <v>11293</v>
      </c>
      <c r="E2663" t="s">
        <v>11294</v>
      </c>
      <c r="F2663" t="s">
        <v>1271</v>
      </c>
      <c r="G2663" t="s">
        <v>52</v>
      </c>
      <c r="H2663">
        <v>76904</v>
      </c>
      <c r="I2663" t="s">
        <v>30</v>
      </c>
      <c r="J2663" t="s">
        <v>31</v>
      </c>
      <c r="K2663" t="s">
        <v>32</v>
      </c>
      <c r="N2663" t="s">
        <v>11295</v>
      </c>
      <c r="O2663" t="s">
        <v>11296</v>
      </c>
      <c r="Q2663">
        <v>0</v>
      </c>
      <c r="R2663">
        <v>73</v>
      </c>
      <c r="S2663">
        <v>0</v>
      </c>
      <c r="T2663" t="s">
        <v>11297</v>
      </c>
    </row>
    <row r="2664" spans="1:20" customFormat="1" ht="15" x14ac:dyDescent="0.25">
      <c r="A2664" t="s">
        <v>24</v>
      </c>
      <c r="B2664" t="s">
        <v>11298</v>
      </c>
      <c r="C2664" t="str">
        <f>"A0151361"</f>
        <v>A0151361</v>
      </c>
      <c r="D2664" t="s">
        <v>11299</v>
      </c>
      <c r="E2664" t="s">
        <v>11300</v>
      </c>
      <c r="F2664" t="s">
        <v>260</v>
      </c>
      <c r="G2664" t="s">
        <v>47</v>
      </c>
      <c r="H2664">
        <v>97403</v>
      </c>
      <c r="I2664" t="s">
        <v>30</v>
      </c>
      <c r="J2664" t="s">
        <v>31</v>
      </c>
      <c r="K2664" t="s">
        <v>296</v>
      </c>
      <c r="N2664" t="s">
        <v>11301</v>
      </c>
      <c r="O2664" t="s">
        <v>11302</v>
      </c>
      <c r="Q2664">
        <v>0</v>
      </c>
      <c r="R2664">
        <v>67</v>
      </c>
      <c r="S2664">
        <v>0</v>
      </c>
      <c r="T2664" t="s">
        <v>11303</v>
      </c>
    </row>
    <row r="2665" spans="1:20" customFormat="1" ht="15" x14ac:dyDescent="0.25">
      <c r="A2665" t="s">
        <v>24</v>
      </c>
      <c r="B2665" t="s">
        <v>11304</v>
      </c>
      <c r="C2665" t="str">
        <f>"A0188365"</f>
        <v>A0188365</v>
      </c>
      <c r="D2665" t="s">
        <v>11305</v>
      </c>
      <c r="E2665" t="s">
        <v>11306</v>
      </c>
      <c r="F2665" t="s">
        <v>7063</v>
      </c>
      <c r="G2665" t="s">
        <v>110</v>
      </c>
      <c r="H2665">
        <v>92262</v>
      </c>
      <c r="I2665" t="s">
        <v>30</v>
      </c>
      <c r="J2665" t="s">
        <v>145</v>
      </c>
      <c r="K2665" t="s">
        <v>1185</v>
      </c>
      <c r="N2665" t="s">
        <v>11307</v>
      </c>
      <c r="Q2665">
        <v>0</v>
      </c>
      <c r="R2665">
        <v>107</v>
      </c>
      <c r="S2665">
        <v>0</v>
      </c>
      <c r="T2665" t="s">
        <v>11308</v>
      </c>
    </row>
    <row r="2666" spans="1:20" customFormat="1" ht="15" x14ac:dyDescent="0.25">
      <c r="A2666" t="s">
        <v>35</v>
      </c>
      <c r="B2666" t="s">
        <v>11309</v>
      </c>
      <c r="C2666" t="str">
        <f>"A0132404"</f>
        <v>A0132404</v>
      </c>
      <c r="D2666" t="s">
        <v>11310</v>
      </c>
      <c r="E2666" t="s">
        <v>11311</v>
      </c>
      <c r="F2666" t="s">
        <v>3661</v>
      </c>
      <c r="G2666" t="s">
        <v>65</v>
      </c>
      <c r="H2666">
        <v>45216</v>
      </c>
      <c r="I2666" t="s">
        <v>30</v>
      </c>
      <c r="J2666" t="s">
        <v>41</v>
      </c>
      <c r="K2666" t="s">
        <v>229</v>
      </c>
      <c r="Q2666">
        <v>0</v>
      </c>
      <c r="R2666">
        <v>93</v>
      </c>
      <c r="S2666">
        <v>93</v>
      </c>
      <c r="T2666" t="s">
        <v>11312</v>
      </c>
    </row>
    <row r="2667" spans="1:20" customFormat="1" ht="15" x14ac:dyDescent="0.25">
      <c r="A2667" t="s">
        <v>35</v>
      </c>
      <c r="B2667" t="s">
        <v>11309</v>
      </c>
      <c r="C2667" t="str">
        <f>"A0132387"</f>
        <v>A0132387</v>
      </c>
      <c r="D2667" t="s">
        <v>11313</v>
      </c>
      <c r="E2667" t="s">
        <v>11314</v>
      </c>
      <c r="F2667" t="s">
        <v>3661</v>
      </c>
      <c r="G2667" t="s">
        <v>65</v>
      </c>
      <c r="H2667">
        <v>45237</v>
      </c>
      <c r="I2667" t="s">
        <v>30</v>
      </c>
      <c r="J2667" t="s">
        <v>41</v>
      </c>
      <c r="K2667" t="s">
        <v>229</v>
      </c>
      <c r="Q2667">
        <v>0</v>
      </c>
      <c r="R2667">
        <v>120</v>
      </c>
      <c r="S2667">
        <v>105</v>
      </c>
      <c r="T2667" t="s">
        <v>11315</v>
      </c>
    </row>
    <row r="2668" spans="1:20" customFormat="1" ht="15" x14ac:dyDescent="0.25">
      <c r="A2668" t="s">
        <v>24</v>
      </c>
      <c r="B2668" t="s">
        <v>56564</v>
      </c>
      <c r="C2668" t="str">
        <f>"A0078436"</f>
        <v>A0078436</v>
      </c>
      <c r="D2668" t="s">
        <v>56570</v>
      </c>
      <c r="E2668" t="s">
        <v>56571</v>
      </c>
      <c r="F2668" t="s">
        <v>56572</v>
      </c>
      <c r="G2668" t="s">
        <v>58</v>
      </c>
      <c r="H2668">
        <v>29582</v>
      </c>
      <c r="I2668" t="s">
        <v>30</v>
      </c>
      <c r="J2668" t="s">
        <v>162</v>
      </c>
      <c r="K2668" t="s">
        <v>163</v>
      </c>
      <c r="N2668" t="s">
        <v>56573</v>
      </c>
      <c r="O2668" t="s">
        <v>56574</v>
      </c>
      <c r="Q2668">
        <v>0</v>
      </c>
      <c r="R2668">
        <v>212</v>
      </c>
      <c r="S2668">
        <v>0</v>
      </c>
      <c r="T2668" t="s">
        <v>56575</v>
      </c>
    </row>
    <row r="2669" spans="1:20" customFormat="1" ht="15" x14ac:dyDescent="0.25">
      <c r="A2669" t="s">
        <v>24</v>
      </c>
      <c r="B2669" t="s">
        <v>3221</v>
      </c>
      <c r="C2669" t="str">
        <f>"A0100757"</f>
        <v>A0100757</v>
      </c>
      <c r="D2669" t="s">
        <v>56576</v>
      </c>
      <c r="E2669" t="s">
        <v>56577</v>
      </c>
      <c r="F2669" t="s">
        <v>12545</v>
      </c>
      <c r="G2669" t="s">
        <v>110</v>
      </c>
      <c r="H2669">
        <v>96150</v>
      </c>
      <c r="I2669" t="s">
        <v>30</v>
      </c>
      <c r="J2669" t="s">
        <v>162</v>
      </c>
      <c r="K2669" t="s">
        <v>163</v>
      </c>
      <c r="N2669" t="s">
        <v>56578</v>
      </c>
      <c r="O2669" t="s">
        <v>3226</v>
      </c>
      <c r="Q2669">
        <v>0</v>
      </c>
      <c r="R2669">
        <v>260</v>
      </c>
      <c r="S2669">
        <v>0</v>
      </c>
      <c r="T2669" t="s">
        <v>56579</v>
      </c>
    </row>
    <row r="2670" spans="1:20" customFormat="1" ht="15" x14ac:dyDescent="0.25">
      <c r="A2670" t="s">
        <v>24</v>
      </c>
      <c r="B2670" t="s">
        <v>814</v>
      </c>
      <c r="C2670" t="str">
        <f>"SC015"</f>
        <v>SC015</v>
      </c>
      <c r="D2670" t="s">
        <v>56620</v>
      </c>
      <c r="E2670" t="s">
        <v>56621</v>
      </c>
      <c r="F2670" t="s">
        <v>748</v>
      </c>
      <c r="G2670" t="s">
        <v>110</v>
      </c>
      <c r="H2670">
        <v>94103</v>
      </c>
      <c r="I2670" t="s">
        <v>30</v>
      </c>
      <c r="J2670" t="s">
        <v>162</v>
      </c>
      <c r="K2670" t="s">
        <v>163</v>
      </c>
      <c r="N2670" t="s">
        <v>56622</v>
      </c>
      <c r="O2670" t="s">
        <v>56623</v>
      </c>
      <c r="Q2670">
        <v>0</v>
      </c>
      <c r="R2670">
        <v>394</v>
      </c>
      <c r="S2670">
        <v>0</v>
      </c>
      <c r="T2670" t="s">
        <v>56624</v>
      </c>
    </row>
    <row r="2671" spans="1:20" customFormat="1" ht="15" x14ac:dyDescent="0.25">
      <c r="A2671" t="s">
        <v>24</v>
      </c>
      <c r="B2671" t="s">
        <v>5104</v>
      </c>
      <c r="C2671" t="str">
        <f>"A0165885"</f>
        <v>A0165885</v>
      </c>
      <c r="D2671" t="s">
        <v>11330</v>
      </c>
      <c r="E2671" t="s">
        <v>11331</v>
      </c>
      <c r="F2671" t="s">
        <v>716</v>
      </c>
      <c r="G2671" t="s">
        <v>289</v>
      </c>
      <c r="H2671">
        <v>60611</v>
      </c>
      <c r="I2671" t="s">
        <v>30</v>
      </c>
      <c r="J2671" t="s">
        <v>145</v>
      </c>
      <c r="K2671" t="s">
        <v>163</v>
      </c>
      <c r="N2671" t="s">
        <v>11332</v>
      </c>
      <c r="Q2671">
        <v>0</v>
      </c>
      <c r="R2671">
        <v>208</v>
      </c>
      <c r="S2671">
        <v>0</v>
      </c>
      <c r="T2671" t="s">
        <v>11333</v>
      </c>
    </row>
    <row r="2672" spans="1:20" customFormat="1" ht="15" x14ac:dyDescent="0.25">
      <c r="A2672" t="s">
        <v>24</v>
      </c>
      <c r="B2672" t="s">
        <v>675</v>
      </c>
      <c r="C2672" t="str">
        <f>"33728"</f>
        <v>33728</v>
      </c>
      <c r="D2672" t="s">
        <v>57181</v>
      </c>
      <c r="E2672" t="s">
        <v>57182</v>
      </c>
      <c r="F2672" t="s">
        <v>6609</v>
      </c>
      <c r="G2672" t="s">
        <v>123</v>
      </c>
      <c r="H2672">
        <v>20814</v>
      </c>
      <c r="I2672" t="s">
        <v>30</v>
      </c>
      <c r="J2672" t="s">
        <v>162</v>
      </c>
      <c r="K2672" t="s">
        <v>1490</v>
      </c>
      <c r="N2672" t="s">
        <v>57183</v>
      </c>
      <c r="O2672" t="s">
        <v>57184</v>
      </c>
      <c r="Q2672">
        <v>0</v>
      </c>
      <c r="R2672">
        <v>407</v>
      </c>
      <c r="S2672">
        <v>0</v>
      </c>
      <c r="T2672" t="s">
        <v>57185</v>
      </c>
    </row>
    <row r="2673" spans="1:20" customFormat="1" ht="15" x14ac:dyDescent="0.25">
      <c r="A2673" t="s">
        <v>24</v>
      </c>
      <c r="B2673" t="s">
        <v>2221</v>
      </c>
      <c r="C2673" t="str">
        <f>"A0073162"</f>
        <v>A0073162</v>
      </c>
      <c r="D2673" t="s">
        <v>57186</v>
      </c>
      <c r="E2673" t="s">
        <v>57187</v>
      </c>
      <c r="F2673" t="s">
        <v>1519</v>
      </c>
      <c r="G2673" t="s">
        <v>110</v>
      </c>
      <c r="H2673">
        <v>90035</v>
      </c>
      <c r="I2673" t="s">
        <v>30</v>
      </c>
      <c r="J2673" t="s">
        <v>162</v>
      </c>
      <c r="K2673" t="s">
        <v>1490</v>
      </c>
      <c r="N2673" t="s">
        <v>57188</v>
      </c>
      <c r="Q2673">
        <v>0</v>
      </c>
      <c r="R2673">
        <v>258</v>
      </c>
      <c r="S2673">
        <v>0</v>
      </c>
      <c r="T2673" t="s">
        <v>57189</v>
      </c>
    </row>
    <row r="2674" spans="1:20" customFormat="1" ht="15" x14ac:dyDescent="0.25">
      <c r="A2674" t="s">
        <v>24</v>
      </c>
      <c r="B2674" t="s">
        <v>8815</v>
      </c>
      <c r="C2674" t="str">
        <f>"SF07999"</f>
        <v>SF07999</v>
      </c>
      <c r="D2674" t="s">
        <v>11344</v>
      </c>
      <c r="E2674" t="s">
        <v>11345</v>
      </c>
      <c r="F2674" t="s">
        <v>11346</v>
      </c>
      <c r="G2674" t="s">
        <v>99</v>
      </c>
      <c r="H2674">
        <v>12601</v>
      </c>
      <c r="I2674" t="s">
        <v>30</v>
      </c>
      <c r="J2674" t="s">
        <v>31</v>
      </c>
      <c r="K2674" t="s">
        <v>282</v>
      </c>
      <c r="N2674" t="s">
        <v>11347</v>
      </c>
      <c r="Q2674">
        <v>0</v>
      </c>
      <c r="R2674">
        <v>121</v>
      </c>
      <c r="S2674">
        <v>0</v>
      </c>
      <c r="T2674" t="s">
        <v>11348</v>
      </c>
    </row>
    <row r="2675" spans="1:20" customFormat="1" ht="15" x14ac:dyDescent="0.25">
      <c r="A2675" t="s">
        <v>24</v>
      </c>
      <c r="B2675" t="s">
        <v>5384</v>
      </c>
      <c r="C2675" t="str">
        <f>"A0061157"</f>
        <v>A0061157</v>
      </c>
      <c r="D2675" t="s">
        <v>57201</v>
      </c>
      <c r="E2675" t="s">
        <v>57202</v>
      </c>
      <c r="F2675" t="s">
        <v>1586</v>
      </c>
      <c r="G2675" t="s">
        <v>1587</v>
      </c>
      <c r="H2675">
        <v>87506</v>
      </c>
      <c r="I2675" t="s">
        <v>30</v>
      </c>
      <c r="J2675" t="s">
        <v>162</v>
      </c>
      <c r="K2675" t="s">
        <v>163</v>
      </c>
      <c r="N2675" t="s">
        <v>57203</v>
      </c>
      <c r="O2675" t="s">
        <v>57204</v>
      </c>
      <c r="Q2675">
        <v>0</v>
      </c>
      <c r="R2675">
        <v>100</v>
      </c>
      <c r="S2675">
        <v>0</v>
      </c>
      <c r="T2675" t="s">
        <v>57205</v>
      </c>
    </row>
    <row r="2676" spans="1:20" customFormat="1" ht="15" x14ac:dyDescent="0.25">
      <c r="A2676" t="s">
        <v>24</v>
      </c>
      <c r="B2676" t="s">
        <v>56277</v>
      </c>
      <c r="C2676" t="str">
        <f>"A0087913"</f>
        <v>A0087913</v>
      </c>
      <c r="D2676" t="s">
        <v>57220</v>
      </c>
      <c r="E2676" t="s">
        <v>57221</v>
      </c>
      <c r="F2676" t="s">
        <v>57222</v>
      </c>
      <c r="G2676" t="s">
        <v>289</v>
      </c>
      <c r="H2676">
        <v>61761</v>
      </c>
      <c r="I2676" t="s">
        <v>30</v>
      </c>
      <c r="J2676" t="s">
        <v>162</v>
      </c>
      <c r="K2676" t="s">
        <v>1490</v>
      </c>
      <c r="N2676" t="s">
        <v>57223</v>
      </c>
      <c r="Q2676">
        <v>0</v>
      </c>
      <c r="R2676">
        <v>220</v>
      </c>
      <c r="S2676">
        <v>0</v>
      </c>
      <c r="T2676" t="s">
        <v>57224</v>
      </c>
    </row>
    <row r="2677" spans="1:20" customFormat="1" ht="15" x14ac:dyDescent="0.25">
      <c r="A2677" t="s">
        <v>24</v>
      </c>
      <c r="B2677" t="s">
        <v>57258</v>
      </c>
      <c r="C2677" t="str">
        <f>"A0059728"</f>
        <v>A0059728</v>
      </c>
      <c r="D2677" t="s">
        <v>57259</v>
      </c>
      <c r="E2677" t="s">
        <v>57260</v>
      </c>
      <c r="F2677" t="s">
        <v>57261</v>
      </c>
      <c r="G2677" t="s">
        <v>110</v>
      </c>
      <c r="H2677">
        <v>94923</v>
      </c>
      <c r="I2677" t="s">
        <v>30</v>
      </c>
      <c r="J2677" t="s">
        <v>162</v>
      </c>
      <c r="K2677" t="s">
        <v>13697</v>
      </c>
      <c r="N2677" t="s">
        <v>57262</v>
      </c>
      <c r="Q2677">
        <v>0</v>
      </c>
      <c r="R2677">
        <v>84</v>
      </c>
      <c r="S2677">
        <v>0</v>
      </c>
      <c r="T2677" t="s">
        <v>57263</v>
      </c>
    </row>
    <row r="2678" spans="1:20" customFormat="1" ht="15" hidden="1" x14ac:dyDescent="0.25">
      <c r="A2678" t="s">
        <v>24</v>
      </c>
      <c r="B2678" t="s">
        <v>11362</v>
      </c>
      <c r="C2678" t="str">
        <f>"A0096312"</f>
        <v>A0096312</v>
      </c>
      <c r="D2678" t="s">
        <v>11363</v>
      </c>
      <c r="E2678" t="s">
        <v>11364</v>
      </c>
      <c r="F2678" t="s">
        <v>11365</v>
      </c>
      <c r="G2678" t="s">
        <v>2270</v>
      </c>
      <c r="H2678" t="s">
        <v>11366</v>
      </c>
      <c r="I2678" t="s">
        <v>1459</v>
      </c>
      <c r="J2678" t="s">
        <v>162</v>
      </c>
      <c r="K2678" t="s">
        <v>6459</v>
      </c>
      <c r="Q2678">
        <v>0</v>
      </c>
      <c r="R2678">
        <v>144</v>
      </c>
      <c r="S2678">
        <v>0</v>
      </c>
      <c r="T2678" t="s">
        <v>11367</v>
      </c>
    </row>
    <row r="2679" spans="1:20" customFormat="1" ht="15" x14ac:dyDescent="0.25">
      <c r="A2679" t="s">
        <v>24</v>
      </c>
      <c r="B2679" t="s">
        <v>11368</v>
      </c>
      <c r="C2679" t="str">
        <f>"A0187129"</f>
        <v>A0187129</v>
      </c>
      <c r="D2679" t="s">
        <v>11369</v>
      </c>
      <c r="E2679" t="s">
        <v>11370</v>
      </c>
      <c r="F2679" t="s">
        <v>9846</v>
      </c>
      <c r="G2679" t="s">
        <v>137</v>
      </c>
      <c r="H2679">
        <v>63144</v>
      </c>
      <c r="I2679" t="s">
        <v>30</v>
      </c>
      <c r="J2679" t="s">
        <v>31</v>
      </c>
      <c r="K2679" t="s">
        <v>222</v>
      </c>
      <c r="N2679" t="s">
        <v>11371</v>
      </c>
      <c r="Q2679">
        <v>0</v>
      </c>
      <c r="R2679">
        <v>128</v>
      </c>
      <c r="S2679">
        <v>0</v>
      </c>
      <c r="T2679" t="s">
        <v>11372</v>
      </c>
    </row>
    <row r="2680" spans="1:20" customFormat="1" ht="15" x14ac:dyDescent="0.25">
      <c r="A2680" t="s">
        <v>24</v>
      </c>
      <c r="B2680" t="s">
        <v>57270</v>
      </c>
      <c r="C2680" t="str">
        <f>"A0078259"</f>
        <v>A0078259</v>
      </c>
      <c r="D2680" t="s">
        <v>57275</v>
      </c>
      <c r="E2680" t="s">
        <v>57276</v>
      </c>
      <c r="F2680" t="s">
        <v>15747</v>
      </c>
      <c r="G2680" t="s">
        <v>81</v>
      </c>
      <c r="H2680">
        <v>33326</v>
      </c>
      <c r="I2680" t="s">
        <v>30</v>
      </c>
      <c r="J2680" t="s">
        <v>162</v>
      </c>
      <c r="K2680" t="s">
        <v>163</v>
      </c>
      <c r="N2680" t="s">
        <v>57273</v>
      </c>
      <c r="O2680" t="s">
        <v>57277</v>
      </c>
      <c r="Q2680">
        <v>0</v>
      </c>
      <c r="R2680">
        <v>501</v>
      </c>
      <c r="S2680">
        <v>0</v>
      </c>
      <c r="T2680" t="s">
        <v>57278</v>
      </c>
    </row>
    <row r="2681" spans="1:20" customFormat="1" ht="15" x14ac:dyDescent="0.25">
      <c r="A2681" t="s">
        <v>24</v>
      </c>
      <c r="B2681" t="s">
        <v>2812</v>
      </c>
      <c r="C2681" t="str">
        <f>"A0049726"</f>
        <v>A0049726</v>
      </c>
      <c r="D2681" t="s">
        <v>57279</v>
      </c>
      <c r="E2681" t="s">
        <v>57280</v>
      </c>
      <c r="F2681" t="s">
        <v>57281</v>
      </c>
      <c r="G2681" t="s">
        <v>110</v>
      </c>
      <c r="H2681">
        <v>92004</v>
      </c>
      <c r="I2681" t="s">
        <v>30</v>
      </c>
      <c r="J2681" t="s">
        <v>162</v>
      </c>
      <c r="K2681" t="s">
        <v>179</v>
      </c>
      <c r="N2681" t="s">
        <v>57282</v>
      </c>
      <c r="P2681" t="s">
        <v>3998</v>
      </c>
      <c r="Q2681">
        <v>1</v>
      </c>
      <c r="R2681">
        <v>100</v>
      </c>
      <c r="S2681">
        <v>0</v>
      </c>
      <c r="T2681" t="s">
        <v>57283</v>
      </c>
    </row>
    <row r="2682" spans="1:20" customFormat="1" ht="15" x14ac:dyDescent="0.25">
      <c r="A2682" t="s">
        <v>24</v>
      </c>
      <c r="B2682" t="s">
        <v>11378</v>
      </c>
      <c r="C2682" t="str">
        <f>"A0165583"</f>
        <v>A0165583</v>
      </c>
      <c r="D2682" t="s">
        <v>11379</v>
      </c>
      <c r="E2682" t="s">
        <v>11380</v>
      </c>
      <c r="F2682" t="s">
        <v>11381</v>
      </c>
      <c r="G2682" t="s">
        <v>846</v>
      </c>
      <c r="H2682">
        <v>30087</v>
      </c>
      <c r="I2682" t="s">
        <v>30</v>
      </c>
      <c r="J2682" t="s">
        <v>31</v>
      </c>
      <c r="K2682" t="s">
        <v>32</v>
      </c>
      <c r="N2682" t="s">
        <v>11382</v>
      </c>
      <c r="Q2682">
        <v>0</v>
      </c>
      <c r="R2682">
        <v>90</v>
      </c>
      <c r="S2682">
        <v>0</v>
      </c>
      <c r="T2682" t="s">
        <v>11383</v>
      </c>
    </row>
    <row r="2683" spans="1:20" customFormat="1" ht="15" x14ac:dyDescent="0.25">
      <c r="A2683" t="s">
        <v>24</v>
      </c>
      <c r="B2683" t="s">
        <v>4990</v>
      </c>
      <c r="C2683" t="str">
        <f>"A0158375"</f>
        <v>A0158375</v>
      </c>
      <c r="D2683" t="s">
        <v>11384</v>
      </c>
      <c r="E2683" t="s">
        <v>11385</v>
      </c>
      <c r="F2683" t="s">
        <v>6404</v>
      </c>
      <c r="G2683" t="s">
        <v>161</v>
      </c>
      <c r="H2683">
        <v>55435</v>
      </c>
      <c r="I2683" t="s">
        <v>30</v>
      </c>
      <c r="J2683" t="s">
        <v>31</v>
      </c>
      <c r="K2683" t="s">
        <v>32</v>
      </c>
      <c r="Q2683">
        <v>0</v>
      </c>
      <c r="R2683">
        <v>125</v>
      </c>
      <c r="S2683">
        <v>0</v>
      </c>
      <c r="T2683" t="s">
        <v>3073</v>
      </c>
    </row>
    <row r="2684" spans="1:20" customFormat="1" ht="15" x14ac:dyDescent="0.25">
      <c r="A2684" t="s">
        <v>35</v>
      </c>
      <c r="B2684" t="s">
        <v>11386</v>
      </c>
      <c r="C2684" t="str">
        <f>"A0188448"</f>
        <v>A0188448</v>
      </c>
      <c r="D2684" t="s">
        <v>11387</v>
      </c>
      <c r="E2684" t="s">
        <v>11388</v>
      </c>
      <c r="F2684" t="s">
        <v>4231</v>
      </c>
      <c r="G2684" t="s">
        <v>381</v>
      </c>
      <c r="H2684">
        <v>47130</v>
      </c>
      <c r="I2684" t="s">
        <v>30</v>
      </c>
      <c r="J2684" t="s">
        <v>41</v>
      </c>
      <c r="K2684" t="s">
        <v>59</v>
      </c>
      <c r="Q2684">
        <v>0</v>
      </c>
      <c r="R2684">
        <v>0</v>
      </c>
      <c r="S2684">
        <v>140</v>
      </c>
      <c r="T2684" t="s">
        <v>11389</v>
      </c>
    </row>
    <row r="2685" spans="1:20" customFormat="1" ht="15" x14ac:dyDescent="0.25">
      <c r="A2685" t="s">
        <v>35</v>
      </c>
      <c r="B2685" t="s">
        <v>36</v>
      </c>
      <c r="C2685" t="str">
        <f>"A0188447"</f>
        <v>A0188447</v>
      </c>
      <c r="D2685" t="s">
        <v>11390</v>
      </c>
      <c r="E2685" t="s">
        <v>11391</v>
      </c>
      <c r="F2685" t="s">
        <v>11392</v>
      </c>
      <c r="G2685" t="s">
        <v>81</v>
      </c>
      <c r="H2685">
        <v>33328</v>
      </c>
      <c r="I2685" t="s">
        <v>30</v>
      </c>
      <c r="J2685" t="s">
        <v>41</v>
      </c>
      <c r="K2685" t="s">
        <v>290</v>
      </c>
      <c r="Q2685">
        <v>0</v>
      </c>
      <c r="R2685">
        <v>0</v>
      </c>
      <c r="S2685">
        <v>0</v>
      </c>
      <c r="T2685" t="s">
        <v>11393</v>
      </c>
    </row>
    <row r="2686" spans="1:20" customFormat="1" ht="15" x14ac:dyDescent="0.25">
      <c r="A2686" t="s">
        <v>35</v>
      </c>
      <c r="B2686" t="s">
        <v>36</v>
      </c>
      <c r="C2686" t="str">
        <f>"A0188446"</f>
        <v>A0188446</v>
      </c>
      <c r="D2686" t="s">
        <v>11394</v>
      </c>
      <c r="E2686" t="s">
        <v>11395</v>
      </c>
      <c r="F2686" t="s">
        <v>11396</v>
      </c>
      <c r="G2686" t="s">
        <v>103</v>
      </c>
      <c r="H2686">
        <v>18058</v>
      </c>
      <c r="I2686" t="s">
        <v>30</v>
      </c>
      <c r="J2686" t="s">
        <v>41</v>
      </c>
      <c r="K2686" t="s">
        <v>42</v>
      </c>
      <c r="Q2686">
        <v>0</v>
      </c>
      <c r="R2686">
        <v>0</v>
      </c>
      <c r="S2686">
        <v>0</v>
      </c>
      <c r="T2686" t="s">
        <v>11397</v>
      </c>
    </row>
    <row r="2687" spans="1:20" customFormat="1" ht="15" x14ac:dyDescent="0.25">
      <c r="A2687" t="s">
        <v>35</v>
      </c>
      <c r="B2687" t="s">
        <v>36</v>
      </c>
      <c r="C2687" t="str">
        <f>"A0188445"</f>
        <v>A0188445</v>
      </c>
      <c r="D2687" t="s">
        <v>11398</v>
      </c>
      <c r="E2687" t="s">
        <v>11399</v>
      </c>
      <c r="F2687" t="s">
        <v>11400</v>
      </c>
      <c r="G2687" t="s">
        <v>29</v>
      </c>
      <c r="H2687">
        <v>23294</v>
      </c>
      <c r="I2687" t="s">
        <v>30</v>
      </c>
      <c r="J2687" t="s">
        <v>41</v>
      </c>
      <c r="K2687" t="s">
        <v>42</v>
      </c>
      <c r="Q2687">
        <v>0</v>
      </c>
      <c r="R2687">
        <v>0</v>
      </c>
      <c r="S2687">
        <v>0</v>
      </c>
      <c r="T2687" t="s">
        <v>11401</v>
      </c>
    </row>
    <row r="2688" spans="1:20" customFormat="1" ht="15" x14ac:dyDescent="0.25">
      <c r="A2688" t="s">
        <v>35</v>
      </c>
      <c r="B2688" t="s">
        <v>36</v>
      </c>
      <c r="C2688" t="str">
        <f>"A0188444"</f>
        <v>A0188444</v>
      </c>
      <c r="D2688" t="s">
        <v>11402</v>
      </c>
      <c r="E2688" t="s">
        <v>11403</v>
      </c>
      <c r="F2688" t="s">
        <v>11404</v>
      </c>
      <c r="G2688" t="s">
        <v>1706</v>
      </c>
      <c r="H2688">
        <v>36106</v>
      </c>
      <c r="I2688" t="s">
        <v>30</v>
      </c>
      <c r="J2688" t="s">
        <v>41</v>
      </c>
      <c r="K2688" t="s">
        <v>42</v>
      </c>
      <c r="Q2688">
        <v>0</v>
      </c>
      <c r="R2688">
        <v>0</v>
      </c>
      <c r="S2688">
        <v>0</v>
      </c>
      <c r="T2688" t="s">
        <v>11405</v>
      </c>
    </row>
    <row r="2689" spans="1:20" customFormat="1" ht="15" x14ac:dyDescent="0.25">
      <c r="A2689" t="s">
        <v>35</v>
      </c>
      <c r="B2689" t="s">
        <v>36</v>
      </c>
      <c r="C2689" t="str">
        <f>"A0188443"</f>
        <v>A0188443</v>
      </c>
      <c r="D2689" t="s">
        <v>11406</v>
      </c>
      <c r="E2689" t="s">
        <v>11407</v>
      </c>
      <c r="F2689" t="s">
        <v>11408</v>
      </c>
      <c r="G2689" t="s">
        <v>507</v>
      </c>
      <c r="H2689">
        <v>24981</v>
      </c>
      <c r="I2689" t="s">
        <v>30</v>
      </c>
      <c r="J2689" t="s">
        <v>41</v>
      </c>
      <c r="K2689" t="s">
        <v>42</v>
      </c>
      <c r="Q2689">
        <v>0</v>
      </c>
      <c r="R2689">
        <v>0</v>
      </c>
      <c r="S2689">
        <v>0</v>
      </c>
      <c r="T2689" t="s">
        <v>11409</v>
      </c>
    </row>
    <row r="2690" spans="1:20" customFormat="1" ht="15" x14ac:dyDescent="0.25">
      <c r="A2690" t="s">
        <v>35</v>
      </c>
      <c r="B2690" t="s">
        <v>11410</v>
      </c>
      <c r="C2690" t="str">
        <f>"A0188442"</f>
        <v>A0188442</v>
      </c>
      <c r="D2690" t="s">
        <v>11411</v>
      </c>
      <c r="E2690" t="s">
        <v>11412</v>
      </c>
      <c r="F2690" t="s">
        <v>7272</v>
      </c>
      <c r="G2690" t="s">
        <v>1587</v>
      </c>
      <c r="H2690">
        <v>88001</v>
      </c>
      <c r="I2690" t="s">
        <v>30</v>
      </c>
      <c r="J2690" t="s">
        <v>41</v>
      </c>
      <c r="K2690" t="s">
        <v>391</v>
      </c>
      <c r="Q2690">
        <v>0</v>
      </c>
      <c r="R2690">
        <v>0</v>
      </c>
      <c r="S2690">
        <v>0</v>
      </c>
      <c r="T2690" t="s">
        <v>11413</v>
      </c>
    </row>
    <row r="2691" spans="1:20" customFormat="1" ht="15" x14ac:dyDescent="0.25">
      <c r="A2691" t="s">
        <v>35</v>
      </c>
      <c r="B2691" t="s">
        <v>11410</v>
      </c>
      <c r="C2691" t="str">
        <f>"A0188441"</f>
        <v>A0188441</v>
      </c>
      <c r="D2691" t="s">
        <v>11414</v>
      </c>
      <c r="E2691" t="s">
        <v>11415</v>
      </c>
      <c r="F2691" t="s">
        <v>7272</v>
      </c>
      <c r="G2691" t="s">
        <v>1587</v>
      </c>
      <c r="H2691">
        <v>88011</v>
      </c>
      <c r="I2691" t="s">
        <v>30</v>
      </c>
      <c r="J2691" t="s">
        <v>41</v>
      </c>
      <c r="K2691" t="s">
        <v>391</v>
      </c>
      <c r="Q2691">
        <v>0</v>
      </c>
      <c r="R2691">
        <v>0</v>
      </c>
      <c r="S2691">
        <v>0</v>
      </c>
      <c r="T2691" t="s">
        <v>11416</v>
      </c>
    </row>
    <row r="2692" spans="1:20" customFormat="1" ht="15" x14ac:dyDescent="0.25">
      <c r="A2692" t="s">
        <v>35</v>
      </c>
      <c r="B2692" t="s">
        <v>11410</v>
      </c>
      <c r="C2692" t="str">
        <f>"A0188440"</f>
        <v>A0188440</v>
      </c>
      <c r="D2692" t="s">
        <v>11410</v>
      </c>
      <c r="E2692" t="s">
        <v>11417</v>
      </c>
      <c r="F2692" t="s">
        <v>7272</v>
      </c>
      <c r="G2692" t="s">
        <v>1587</v>
      </c>
      <c r="H2692">
        <v>88012</v>
      </c>
      <c r="I2692" t="s">
        <v>30</v>
      </c>
      <c r="J2692" t="s">
        <v>41</v>
      </c>
      <c r="K2692" t="s">
        <v>290</v>
      </c>
      <c r="Q2692">
        <v>0</v>
      </c>
      <c r="R2692">
        <v>0</v>
      </c>
      <c r="S2692">
        <v>0</v>
      </c>
      <c r="T2692" t="s">
        <v>11418</v>
      </c>
    </row>
    <row r="2693" spans="1:20" customFormat="1" ht="15" x14ac:dyDescent="0.25">
      <c r="A2693" t="s">
        <v>35</v>
      </c>
      <c r="B2693" t="s">
        <v>11419</v>
      </c>
      <c r="C2693" t="str">
        <f>"A0188439"</f>
        <v>A0188439</v>
      </c>
      <c r="D2693" t="s">
        <v>11419</v>
      </c>
      <c r="E2693" t="s">
        <v>11420</v>
      </c>
      <c r="F2693" t="s">
        <v>11421</v>
      </c>
      <c r="G2693" t="s">
        <v>76</v>
      </c>
      <c r="H2693">
        <v>98034</v>
      </c>
      <c r="I2693" t="s">
        <v>30</v>
      </c>
      <c r="J2693" t="s">
        <v>41</v>
      </c>
      <c r="K2693" t="s">
        <v>418</v>
      </c>
      <c r="Q2693">
        <v>0</v>
      </c>
      <c r="R2693">
        <v>0</v>
      </c>
      <c r="S2693">
        <v>0</v>
      </c>
      <c r="T2693" t="s">
        <v>11422</v>
      </c>
    </row>
    <row r="2694" spans="1:20" customFormat="1" ht="15" x14ac:dyDescent="0.25">
      <c r="A2694" t="s">
        <v>35</v>
      </c>
      <c r="B2694" t="s">
        <v>11423</v>
      </c>
      <c r="C2694" t="str">
        <f>"A0188438"</f>
        <v>A0188438</v>
      </c>
      <c r="D2694" t="s">
        <v>11424</v>
      </c>
      <c r="E2694" t="s">
        <v>11425</v>
      </c>
      <c r="F2694" t="s">
        <v>8622</v>
      </c>
      <c r="G2694" t="s">
        <v>381</v>
      </c>
      <c r="H2694">
        <v>46268</v>
      </c>
      <c r="I2694" t="s">
        <v>30</v>
      </c>
      <c r="J2694" t="s">
        <v>41</v>
      </c>
      <c r="K2694" t="s">
        <v>290</v>
      </c>
      <c r="Q2694">
        <v>0</v>
      </c>
      <c r="R2694">
        <v>0</v>
      </c>
      <c r="S2694">
        <v>0</v>
      </c>
      <c r="T2694" t="s">
        <v>11426</v>
      </c>
    </row>
    <row r="2695" spans="1:20" customFormat="1" ht="15" x14ac:dyDescent="0.25">
      <c r="A2695" t="s">
        <v>35</v>
      </c>
      <c r="B2695" t="s">
        <v>11423</v>
      </c>
      <c r="C2695" t="str">
        <f>"A0188437"</f>
        <v>A0188437</v>
      </c>
      <c r="D2695" t="s">
        <v>11427</v>
      </c>
      <c r="E2695" t="s">
        <v>11428</v>
      </c>
      <c r="F2695" t="s">
        <v>8622</v>
      </c>
      <c r="G2695" t="s">
        <v>381</v>
      </c>
      <c r="H2695">
        <v>46203</v>
      </c>
      <c r="I2695" t="s">
        <v>30</v>
      </c>
      <c r="J2695" t="s">
        <v>41</v>
      </c>
      <c r="K2695" t="s">
        <v>391</v>
      </c>
      <c r="Q2695">
        <v>0</v>
      </c>
      <c r="R2695">
        <v>0</v>
      </c>
      <c r="S2695">
        <v>0</v>
      </c>
      <c r="T2695" t="s">
        <v>11429</v>
      </c>
    </row>
    <row r="2696" spans="1:20" customFormat="1" ht="15" x14ac:dyDescent="0.25">
      <c r="A2696" t="s">
        <v>35</v>
      </c>
      <c r="B2696" t="s">
        <v>11423</v>
      </c>
      <c r="C2696" t="str">
        <f>"A0188436"</f>
        <v>A0188436</v>
      </c>
      <c r="D2696" t="s">
        <v>11430</v>
      </c>
      <c r="E2696" t="s">
        <v>11431</v>
      </c>
      <c r="F2696" t="s">
        <v>11432</v>
      </c>
      <c r="G2696" t="s">
        <v>381</v>
      </c>
      <c r="H2696">
        <v>46038</v>
      </c>
      <c r="I2696" t="s">
        <v>30</v>
      </c>
      <c r="J2696" t="s">
        <v>41</v>
      </c>
      <c r="K2696" t="s">
        <v>391</v>
      </c>
      <c r="Q2696">
        <v>0</v>
      </c>
      <c r="R2696">
        <v>0</v>
      </c>
      <c r="S2696">
        <v>0</v>
      </c>
      <c r="T2696" t="s">
        <v>11433</v>
      </c>
    </row>
    <row r="2697" spans="1:20" customFormat="1" ht="15" x14ac:dyDescent="0.25">
      <c r="A2697" t="s">
        <v>35</v>
      </c>
      <c r="B2697" t="s">
        <v>61</v>
      </c>
      <c r="C2697" t="str">
        <f>"A0188435"</f>
        <v>A0188435</v>
      </c>
      <c r="D2697" t="s">
        <v>11434</v>
      </c>
      <c r="E2697" t="s">
        <v>11435</v>
      </c>
      <c r="F2697" t="s">
        <v>10363</v>
      </c>
      <c r="G2697" t="s">
        <v>1898</v>
      </c>
      <c r="H2697">
        <v>52641</v>
      </c>
      <c r="I2697" t="s">
        <v>30</v>
      </c>
      <c r="J2697" t="s">
        <v>41</v>
      </c>
      <c r="K2697" t="s">
        <v>59</v>
      </c>
      <c r="Q2697">
        <v>0</v>
      </c>
      <c r="R2697">
        <v>0</v>
      </c>
      <c r="S2697">
        <v>19</v>
      </c>
      <c r="T2697" t="s">
        <v>11436</v>
      </c>
    </row>
    <row r="2698" spans="1:20" customFormat="1" ht="15" x14ac:dyDescent="0.25">
      <c r="A2698" t="s">
        <v>35</v>
      </c>
      <c r="B2698" t="s">
        <v>61</v>
      </c>
      <c r="C2698" t="str">
        <f>"A0188434"</f>
        <v>A0188434</v>
      </c>
      <c r="D2698" t="s">
        <v>11437</v>
      </c>
      <c r="E2698" t="s">
        <v>11438</v>
      </c>
      <c r="F2698" t="s">
        <v>3100</v>
      </c>
      <c r="G2698" t="s">
        <v>1508</v>
      </c>
      <c r="H2698">
        <v>82601</v>
      </c>
      <c r="I2698" t="s">
        <v>30</v>
      </c>
      <c r="J2698" t="s">
        <v>41</v>
      </c>
      <c r="K2698" t="s">
        <v>229</v>
      </c>
      <c r="Q2698">
        <v>0</v>
      </c>
      <c r="R2698">
        <v>0</v>
      </c>
      <c r="S2698">
        <v>0</v>
      </c>
      <c r="T2698" t="s">
        <v>72</v>
      </c>
    </row>
    <row r="2699" spans="1:20" customFormat="1" ht="15" x14ac:dyDescent="0.25">
      <c r="A2699" t="s">
        <v>35</v>
      </c>
      <c r="B2699" t="s">
        <v>61</v>
      </c>
      <c r="C2699" t="str">
        <f>"A0188433"</f>
        <v>A0188433</v>
      </c>
      <c r="D2699" t="s">
        <v>11439</v>
      </c>
      <c r="E2699" t="s">
        <v>11440</v>
      </c>
      <c r="F2699" t="s">
        <v>64</v>
      </c>
      <c r="G2699" t="s">
        <v>65</v>
      </c>
      <c r="H2699">
        <v>43214</v>
      </c>
      <c r="I2699" t="s">
        <v>30</v>
      </c>
      <c r="J2699" t="s">
        <v>41</v>
      </c>
      <c r="K2699" t="s">
        <v>1412</v>
      </c>
      <c r="Q2699">
        <v>0</v>
      </c>
      <c r="R2699">
        <v>0</v>
      </c>
      <c r="S2699">
        <v>0</v>
      </c>
      <c r="T2699" t="s">
        <v>11441</v>
      </c>
    </row>
    <row r="2700" spans="1:20" customFormat="1" ht="15" x14ac:dyDescent="0.25">
      <c r="A2700" t="s">
        <v>35</v>
      </c>
      <c r="B2700" t="s">
        <v>61</v>
      </c>
      <c r="C2700" t="str">
        <f>"A0188432"</f>
        <v>A0188432</v>
      </c>
      <c r="D2700" t="s">
        <v>11442</v>
      </c>
      <c r="E2700" t="s">
        <v>11443</v>
      </c>
      <c r="F2700" t="s">
        <v>11444</v>
      </c>
      <c r="G2700" t="s">
        <v>1898</v>
      </c>
      <c r="H2700">
        <v>50029</v>
      </c>
      <c r="I2700" t="s">
        <v>30</v>
      </c>
      <c r="J2700" t="s">
        <v>41</v>
      </c>
      <c r="K2700" t="s">
        <v>461</v>
      </c>
      <c r="Q2700">
        <v>0</v>
      </c>
      <c r="R2700">
        <v>0</v>
      </c>
      <c r="S2700">
        <v>50</v>
      </c>
      <c r="T2700" t="s">
        <v>11445</v>
      </c>
    </row>
    <row r="2701" spans="1:20" customFormat="1" ht="15" x14ac:dyDescent="0.25">
      <c r="A2701" t="s">
        <v>35</v>
      </c>
      <c r="B2701" t="s">
        <v>61</v>
      </c>
      <c r="C2701" t="str">
        <f>"A0188431"</f>
        <v>A0188431</v>
      </c>
      <c r="D2701" t="s">
        <v>11446</v>
      </c>
      <c r="E2701" t="s">
        <v>11447</v>
      </c>
      <c r="F2701" t="s">
        <v>2719</v>
      </c>
      <c r="G2701" t="s">
        <v>190</v>
      </c>
      <c r="H2701">
        <v>80210</v>
      </c>
      <c r="I2701" t="s">
        <v>30</v>
      </c>
      <c r="J2701" t="s">
        <v>41</v>
      </c>
      <c r="K2701" t="s">
        <v>10218</v>
      </c>
      <c r="Q2701">
        <v>0</v>
      </c>
      <c r="R2701">
        <v>0</v>
      </c>
      <c r="S2701">
        <v>0</v>
      </c>
      <c r="T2701" t="s">
        <v>11448</v>
      </c>
    </row>
    <row r="2702" spans="1:20" customFormat="1" ht="15" x14ac:dyDescent="0.25">
      <c r="A2702" t="s">
        <v>35</v>
      </c>
      <c r="B2702" t="s">
        <v>61</v>
      </c>
      <c r="C2702" t="str">
        <f>"A0188430"</f>
        <v>A0188430</v>
      </c>
      <c r="D2702" t="s">
        <v>11449</v>
      </c>
      <c r="E2702" t="s">
        <v>11450</v>
      </c>
      <c r="F2702" t="s">
        <v>11451</v>
      </c>
      <c r="G2702" t="s">
        <v>40</v>
      </c>
      <c r="H2702">
        <v>73075</v>
      </c>
      <c r="I2702" t="s">
        <v>30</v>
      </c>
      <c r="J2702" t="s">
        <v>41</v>
      </c>
      <c r="K2702" t="s">
        <v>3713</v>
      </c>
      <c r="Q2702">
        <v>0</v>
      </c>
      <c r="R2702">
        <v>0</v>
      </c>
      <c r="S2702">
        <v>64</v>
      </c>
      <c r="T2702" t="s">
        <v>11452</v>
      </c>
    </row>
    <row r="2703" spans="1:20" customFormat="1" ht="15" x14ac:dyDescent="0.25">
      <c r="A2703" t="s">
        <v>35</v>
      </c>
      <c r="B2703" t="s">
        <v>61</v>
      </c>
      <c r="C2703" t="str">
        <f>"A0188429"</f>
        <v>A0188429</v>
      </c>
      <c r="D2703" t="s">
        <v>11453</v>
      </c>
      <c r="E2703" t="s">
        <v>11454</v>
      </c>
      <c r="F2703" t="s">
        <v>11455</v>
      </c>
      <c r="G2703" t="s">
        <v>71</v>
      </c>
      <c r="H2703">
        <v>53225</v>
      </c>
      <c r="I2703" t="s">
        <v>30</v>
      </c>
      <c r="J2703" t="s">
        <v>41</v>
      </c>
      <c r="K2703" t="s">
        <v>59</v>
      </c>
      <c r="Q2703">
        <v>0</v>
      </c>
      <c r="R2703">
        <v>0</v>
      </c>
      <c r="S2703">
        <v>0</v>
      </c>
      <c r="T2703" t="s">
        <v>11456</v>
      </c>
    </row>
    <row r="2704" spans="1:20" customFormat="1" ht="15" x14ac:dyDescent="0.25">
      <c r="A2704" t="s">
        <v>35</v>
      </c>
      <c r="B2704" t="s">
        <v>61</v>
      </c>
      <c r="C2704" t="str">
        <f>"A0188428"</f>
        <v>A0188428</v>
      </c>
      <c r="D2704" t="s">
        <v>11457</v>
      </c>
      <c r="E2704" t="s">
        <v>11458</v>
      </c>
      <c r="F2704" t="s">
        <v>11459</v>
      </c>
      <c r="G2704" t="s">
        <v>71</v>
      </c>
      <c r="H2704">
        <v>53092</v>
      </c>
      <c r="I2704" t="s">
        <v>30</v>
      </c>
      <c r="J2704" t="s">
        <v>41</v>
      </c>
      <c r="K2704" t="s">
        <v>112</v>
      </c>
      <c r="Q2704">
        <v>0</v>
      </c>
      <c r="R2704">
        <v>0</v>
      </c>
      <c r="S2704">
        <v>80</v>
      </c>
      <c r="T2704" t="s">
        <v>11460</v>
      </c>
    </row>
    <row r="2705" spans="1:20" customFormat="1" ht="15" x14ac:dyDescent="0.25">
      <c r="A2705" t="s">
        <v>35</v>
      </c>
      <c r="B2705" t="s">
        <v>61</v>
      </c>
      <c r="C2705" t="str">
        <f>"A0188427"</f>
        <v>A0188427</v>
      </c>
      <c r="D2705" t="s">
        <v>11461</v>
      </c>
      <c r="E2705" t="s">
        <v>11462</v>
      </c>
      <c r="F2705" t="s">
        <v>2719</v>
      </c>
      <c r="G2705" t="s">
        <v>190</v>
      </c>
      <c r="H2705">
        <v>80224</v>
      </c>
      <c r="I2705" t="s">
        <v>30</v>
      </c>
      <c r="J2705" t="s">
        <v>41</v>
      </c>
      <c r="K2705" t="s">
        <v>290</v>
      </c>
      <c r="Q2705">
        <v>0</v>
      </c>
      <c r="R2705">
        <v>0</v>
      </c>
      <c r="S2705">
        <v>0</v>
      </c>
      <c r="T2705" t="s">
        <v>72</v>
      </c>
    </row>
    <row r="2706" spans="1:20" customFormat="1" ht="15" x14ac:dyDescent="0.25">
      <c r="A2706" t="s">
        <v>35</v>
      </c>
      <c r="B2706" t="s">
        <v>106</v>
      </c>
      <c r="C2706" t="str">
        <f>"A0188426"</f>
        <v>A0188426</v>
      </c>
      <c r="D2706" t="s">
        <v>11463</v>
      </c>
      <c r="E2706" t="s">
        <v>11464</v>
      </c>
      <c r="F2706" t="s">
        <v>11465</v>
      </c>
      <c r="G2706" t="s">
        <v>81</v>
      </c>
      <c r="H2706">
        <v>32145</v>
      </c>
      <c r="I2706" t="s">
        <v>30</v>
      </c>
      <c r="J2706" t="s">
        <v>111</v>
      </c>
      <c r="K2706" t="s">
        <v>112</v>
      </c>
      <c r="Q2706">
        <v>0</v>
      </c>
      <c r="R2706">
        <v>0</v>
      </c>
      <c r="S2706">
        <v>0</v>
      </c>
      <c r="T2706" t="s">
        <v>72</v>
      </c>
    </row>
    <row r="2707" spans="1:20" customFormat="1" ht="15" x14ac:dyDescent="0.25">
      <c r="A2707" t="s">
        <v>35</v>
      </c>
      <c r="B2707" t="s">
        <v>1918</v>
      </c>
      <c r="C2707" t="str">
        <f>"A0188425"</f>
        <v>A0188425</v>
      </c>
      <c r="D2707" t="s">
        <v>11466</v>
      </c>
      <c r="E2707" t="s">
        <v>11467</v>
      </c>
      <c r="F2707" t="s">
        <v>10530</v>
      </c>
      <c r="G2707" t="s">
        <v>81</v>
      </c>
      <c r="H2707">
        <v>32821</v>
      </c>
      <c r="I2707" t="s">
        <v>30</v>
      </c>
      <c r="J2707" t="s">
        <v>441</v>
      </c>
      <c r="K2707" t="s">
        <v>2458</v>
      </c>
      <c r="Q2707">
        <v>0</v>
      </c>
      <c r="R2707">
        <v>0</v>
      </c>
      <c r="S2707">
        <v>0</v>
      </c>
      <c r="T2707" t="s">
        <v>11468</v>
      </c>
    </row>
    <row r="2708" spans="1:20" customFormat="1" ht="15" x14ac:dyDescent="0.25">
      <c r="A2708" t="s">
        <v>35</v>
      </c>
      <c r="B2708" t="s">
        <v>1918</v>
      </c>
      <c r="C2708" t="str">
        <f>"A0188424"</f>
        <v>A0188424</v>
      </c>
      <c r="D2708" t="s">
        <v>11469</v>
      </c>
      <c r="E2708" t="s">
        <v>11470</v>
      </c>
      <c r="F2708" t="s">
        <v>10530</v>
      </c>
      <c r="G2708" t="s">
        <v>81</v>
      </c>
      <c r="H2708">
        <v>32836</v>
      </c>
      <c r="I2708" t="s">
        <v>30</v>
      </c>
      <c r="J2708" t="s">
        <v>441</v>
      </c>
      <c r="K2708" t="s">
        <v>2458</v>
      </c>
      <c r="Q2708">
        <v>0</v>
      </c>
      <c r="R2708">
        <v>0</v>
      </c>
      <c r="S2708">
        <v>0</v>
      </c>
      <c r="T2708" t="s">
        <v>11468</v>
      </c>
    </row>
    <row r="2709" spans="1:20" customFormat="1" ht="15" x14ac:dyDescent="0.25">
      <c r="A2709" t="s">
        <v>35</v>
      </c>
      <c r="B2709" t="s">
        <v>1918</v>
      </c>
      <c r="C2709" t="str">
        <f>"A0188423"</f>
        <v>A0188423</v>
      </c>
      <c r="D2709" t="s">
        <v>11471</v>
      </c>
      <c r="E2709" t="s">
        <v>11472</v>
      </c>
      <c r="F2709" t="s">
        <v>10530</v>
      </c>
      <c r="G2709" t="s">
        <v>81</v>
      </c>
      <c r="H2709">
        <v>32836</v>
      </c>
      <c r="I2709" t="s">
        <v>30</v>
      </c>
      <c r="J2709" t="s">
        <v>441</v>
      </c>
      <c r="K2709" t="s">
        <v>2458</v>
      </c>
      <c r="Q2709">
        <v>0</v>
      </c>
      <c r="R2709">
        <v>0</v>
      </c>
      <c r="S2709">
        <v>0</v>
      </c>
      <c r="T2709" t="s">
        <v>11468</v>
      </c>
    </row>
    <row r="2710" spans="1:20" customFormat="1" ht="15" x14ac:dyDescent="0.25">
      <c r="A2710" t="s">
        <v>35</v>
      </c>
      <c r="B2710" t="s">
        <v>1918</v>
      </c>
      <c r="C2710" t="str">
        <f>"A0188422"</f>
        <v>A0188422</v>
      </c>
      <c r="D2710" t="s">
        <v>11473</v>
      </c>
      <c r="E2710" t="s">
        <v>11467</v>
      </c>
      <c r="F2710" t="s">
        <v>10530</v>
      </c>
      <c r="G2710" t="s">
        <v>81</v>
      </c>
      <c r="H2710">
        <v>32821</v>
      </c>
      <c r="I2710" t="s">
        <v>30</v>
      </c>
      <c r="J2710" t="s">
        <v>441</v>
      </c>
      <c r="K2710" t="s">
        <v>2458</v>
      </c>
      <c r="Q2710">
        <v>0</v>
      </c>
      <c r="R2710">
        <v>0</v>
      </c>
      <c r="S2710">
        <v>0</v>
      </c>
      <c r="T2710" t="s">
        <v>11468</v>
      </c>
    </row>
    <row r="2711" spans="1:20" customFormat="1" ht="15" x14ac:dyDescent="0.25">
      <c r="A2711" t="s">
        <v>35</v>
      </c>
      <c r="B2711" t="s">
        <v>11309</v>
      </c>
      <c r="C2711" t="str">
        <f>"A0188421"</f>
        <v>A0188421</v>
      </c>
      <c r="D2711" t="s">
        <v>11474</v>
      </c>
      <c r="E2711" t="s">
        <v>11475</v>
      </c>
      <c r="F2711" t="s">
        <v>11476</v>
      </c>
      <c r="G2711" t="s">
        <v>65</v>
      </c>
      <c r="H2711">
        <v>44286</v>
      </c>
      <c r="I2711" t="s">
        <v>30</v>
      </c>
      <c r="J2711" t="s">
        <v>41</v>
      </c>
      <c r="K2711" t="s">
        <v>229</v>
      </c>
      <c r="Q2711">
        <v>0</v>
      </c>
      <c r="R2711">
        <v>0</v>
      </c>
      <c r="S2711">
        <v>92</v>
      </c>
      <c r="T2711" t="s">
        <v>11477</v>
      </c>
    </row>
    <row r="2712" spans="1:20" customFormat="1" ht="15" x14ac:dyDescent="0.25">
      <c r="A2712" t="s">
        <v>35</v>
      </c>
      <c r="B2712" t="s">
        <v>11309</v>
      </c>
      <c r="C2712" t="str">
        <f>"A0188420"</f>
        <v>A0188420</v>
      </c>
      <c r="D2712" t="s">
        <v>11309</v>
      </c>
      <c r="E2712" t="s">
        <v>11478</v>
      </c>
      <c r="F2712" t="s">
        <v>4269</v>
      </c>
      <c r="G2712" t="s">
        <v>99</v>
      </c>
      <c r="H2712">
        <v>11219</v>
      </c>
      <c r="I2712" t="s">
        <v>30</v>
      </c>
      <c r="J2712" t="s">
        <v>41</v>
      </c>
      <c r="K2712" t="s">
        <v>290</v>
      </c>
      <c r="Q2712">
        <v>0</v>
      </c>
      <c r="R2712">
        <v>0</v>
      </c>
      <c r="S2712">
        <v>0</v>
      </c>
      <c r="T2712" t="s">
        <v>72</v>
      </c>
    </row>
    <row r="2713" spans="1:20" customFormat="1" ht="15" x14ac:dyDescent="0.25">
      <c r="A2713" t="s">
        <v>35</v>
      </c>
      <c r="B2713" t="s">
        <v>11479</v>
      </c>
      <c r="C2713" t="str">
        <f>"A0188419"</f>
        <v>A0188419</v>
      </c>
      <c r="D2713" t="s">
        <v>11480</v>
      </c>
      <c r="E2713" t="s">
        <v>11481</v>
      </c>
      <c r="F2713" t="s">
        <v>11482</v>
      </c>
      <c r="G2713" t="s">
        <v>71</v>
      </c>
      <c r="H2713">
        <v>54669</v>
      </c>
      <c r="I2713" t="s">
        <v>30</v>
      </c>
      <c r="J2713" t="s">
        <v>41</v>
      </c>
      <c r="K2713" t="s">
        <v>229</v>
      </c>
      <c r="Q2713">
        <v>0</v>
      </c>
      <c r="R2713">
        <v>0</v>
      </c>
      <c r="S2713">
        <v>0</v>
      </c>
      <c r="T2713" t="s">
        <v>11483</v>
      </c>
    </row>
    <row r="2714" spans="1:20" customFormat="1" ht="15" x14ac:dyDescent="0.25">
      <c r="A2714" t="s">
        <v>24</v>
      </c>
      <c r="B2714" t="s">
        <v>11484</v>
      </c>
      <c r="C2714" t="str">
        <f>"A0098580"</f>
        <v>A0098580</v>
      </c>
      <c r="D2714" t="s">
        <v>11485</v>
      </c>
      <c r="E2714" t="s">
        <v>11486</v>
      </c>
      <c r="F2714" t="s">
        <v>4802</v>
      </c>
      <c r="G2714" t="s">
        <v>110</v>
      </c>
      <c r="H2714">
        <v>95002</v>
      </c>
      <c r="I2714" t="s">
        <v>30</v>
      </c>
      <c r="J2714" t="s">
        <v>31</v>
      </c>
      <c r="K2714" t="s">
        <v>277</v>
      </c>
      <c r="N2714" t="s">
        <v>11487</v>
      </c>
      <c r="O2714" t="s">
        <v>11488</v>
      </c>
      <c r="Q2714">
        <v>0</v>
      </c>
      <c r="R2714">
        <v>175</v>
      </c>
      <c r="S2714">
        <v>0</v>
      </c>
      <c r="T2714" t="s">
        <v>11489</v>
      </c>
    </row>
    <row r="2715" spans="1:20" customFormat="1" ht="15" x14ac:dyDescent="0.25">
      <c r="A2715" t="s">
        <v>24</v>
      </c>
      <c r="B2715" t="s">
        <v>675</v>
      </c>
      <c r="C2715" t="str">
        <f>"337H4"</f>
        <v>337H4</v>
      </c>
      <c r="D2715" t="s">
        <v>57306</v>
      </c>
      <c r="E2715" t="s">
        <v>57307</v>
      </c>
      <c r="F2715" t="s">
        <v>57308</v>
      </c>
      <c r="G2715" t="s">
        <v>899</v>
      </c>
      <c r="H2715">
        <v>2142</v>
      </c>
      <c r="I2715" t="s">
        <v>30</v>
      </c>
      <c r="J2715" t="s">
        <v>162</v>
      </c>
      <c r="K2715" t="s">
        <v>1490</v>
      </c>
      <c r="N2715" t="s">
        <v>57309</v>
      </c>
      <c r="O2715" t="s">
        <v>57310</v>
      </c>
      <c r="Q2715">
        <v>0</v>
      </c>
      <c r="R2715">
        <v>433</v>
      </c>
      <c r="S2715">
        <v>0</v>
      </c>
      <c r="T2715" t="s">
        <v>57311</v>
      </c>
    </row>
    <row r="2716" spans="1:20" customFormat="1" ht="15" x14ac:dyDescent="0.25">
      <c r="A2716" t="s">
        <v>35</v>
      </c>
      <c r="B2716" t="s">
        <v>437</v>
      </c>
      <c r="C2716" t="str">
        <f>"A0134882"</f>
        <v>A0134882</v>
      </c>
      <c r="D2716" t="s">
        <v>11494</v>
      </c>
      <c r="E2716" t="s">
        <v>11495</v>
      </c>
      <c r="F2716" t="s">
        <v>11496</v>
      </c>
      <c r="G2716" t="s">
        <v>99</v>
      </c>
      <c r="H2716">
        <v>13417</v>
      </c>
      <c r="I2716" t="s">
        <v>30</v>
      </c>
      <c r="J2716" t="s">
        <v>441</v>
      </c>
      <c r="K2716" t="s">
        <v>442</v>
      </c>
      <c r="Q2716">
        <v>0</v>
      </c>
      <c r="R2716">
        <v>0</v>
      </c>
      <c r="S2716">
        <v>0</v>
      </c>
      <c r="T2716" t="s">
        <v>11497</v>
      </c>
    </row>
    <row r="2717" spans="1:20" customFormat="1" ht="15" x14ac:dyDescent="0.25">
      <c r="A2717" t="s">
        <v>24</v>
      </c>
      <c r="B2717" t="s">
        <v>11498</v>
      </c>
      <c r="C2717" t="str">
        <f>"432S2"</f>
        <v>432S2</v>
      </c>
      <c r="D2717" t="s">
        <v>11499</v>
      </c>
      <c r="E2717" t="s">
        <v>11500</v>
      </c>
      <c r="F2717" t="s">
        <v>11501</v>
      </c>
      <c r="G2717" t="s">
        <v>1184</v>
      </c>
      <c r="H2717">
        <v>59405</v>
      </c>
      <c r="I2717" t="s">
        <v>30</v>
      </c>
      <c r="J2717" t="s">
        <v>31</v>
      </c>
      <c r="K2717" t="s">
        <v>1243</v>
      </c>
      <c r="N2717" t="s">
        <v>11502</v>
      </c>
      <c r="Q2717">
        <v>0</v>
      </c>
      <c r="R2717">
        <v>62</v>
      </c>
      <c r="S2717">
        <v>0</v>
      </c>
      <c r="T2717" t="s">
        <v>11503</v>
      </c>
    </row>
    <row r="2718" spans="1:20" customFormat="1" ht="15" x14ac:dyDescent="0.25">
      <c r="A2718" t="s">
        <v>24</v>
      </c>
      <c r="B2718" t="s">
        <v>57323</v>
      </c>
      <c r="C2718" t="str">
        <f>"SF03804"</f>
        <v>SF03804</v>
      </c>
      <c r="D2718" t="s">
        <v>57324</v>
      </c>
      <c r="E2718" t="s">
        <v>57325</v>
      </c>
      <c r="F2718" t="s">
        <v>57326</v>
      </c>
      <c r="G2718" t="s">
        <v>899</v>
      </c>
      <c r="H2718">
        <v>1719</v>
      </c>
      <c r="I2718" t="s">
        <v>30</v>
      </c>
      <c r="J2718" t="s">
        <v>162</v>
      </c>
      <c r="K2718" t="s">
        <v>163</v>
      </c>
      <c r="Q2718">
        <v>0</v>
      </c>
      <c r="R2718">
        <v>143</v>
      </c>
      <c r="S2718">
        <v>0</v>
      </c>
      <c r="T2718" t="s">
        <v>57327</v>
      </c>
    </row>
    <row r="2719" spans="1:20" customFormat="1" ht="15" x14ac:dyDescent="0.25">
      <c r="A2719" t="s">
        <v>24</v>
      </c>
      <c r="B2719" t="s">
        <v>13513</v>
      </c>
      <c r="C2719" t="str">
        <f>"A0093976"</f>
        <v>A0093976</v>
      </c>
      <c r="D2719" t="s">
        <v>57339</v>
      </c>
      <c r="E2719" t="s">
        <v>57340</v>
      </c>
      <c r="F2719" t="s">
        <v>57341</v>
      </c>
      <c r="G2719" t="s">
        <v>47</v>
      </c>
      <c r="H2719">
        <v>97753</v>
      </c>
      <c r="I2719" t="s">
        <v>30</v>
      </c>
      <c r="J2719" t="s">
        <v>162</v>
      </c>
      <c r="K2719" t="s">
        <v>163</v>
      </c>
      <c r="N2719" t="s">
        <v>57342</v>
      </c>
      <c r="O2719" t="s">
        <v>57343</v>
      </c>
      <c r="Q2719">
        <v>1</v>
      </c>
      <c r="R2719">
        <v>32</v>
      </c>
      <c r="S2719">
        <v>0</v>
      </c>
      <c r="T2719" t="s">
        <v>57344</v>
      </c>
    </row>
    <row r="2720" spans="1:20" customFormat="1" ht="15" x14ac:dyDescent="0.25">
      <c r="A2720" t="s">
        <v>35</v>
      </c>
      <c r="B2720" t="s">
        <v>5289</v>
      </c>
      <c r="C2720" t="str">
        <f>"A0180192"</f>
        <v>A0180192</v>
      </c>
      <c r="D2720" t="s">
        <v>11511</v>
      </c>
      <c r="E2720" t="s">
        <v>11512</v>
      </c>
      <c r="F2720" t="s">
        <v>638</v>
      </c>
      <c r="G2720" t="s">
        <v>925</v>
      </c>
      <c r="H2720">
        <v>67114</v>
      </c>
      <c r="I2720" t="s">
        <v>30</v>
      </c>
      <c r="J2720" t="s">
        <v>41</v>
      </c>
      <c r="K2720" t="s">
        <v>59</v>
      </c>
      <c r="Q2720">
        <v>0</v>
      </c>
      <c r="R2720">
        <v>206</v>
      </c>
      <c r="S2720">
        <v>206</v>
      </c>
      <c r="T2720" t="s">
        <v>11513</v>
      </c>
    </row>
    <row r="2721" spans="1:20" customFormat="1" ht="15" x14ac:dyDescent="0.25">
      <c r="A2721" t="s">
        <v>35</v>
      </c>
      <c r="B2721" t="s">
        <v>61</v>
      </c>
      <c r="C2721" t="str">
        <f>"A0124091"</f>
        <v>A0124091</v>
      </c>
      <c r="D2721" t="s">
        <v>11514</v>
      </c>
      <c r="E2721" t="s">
        <v>11515</v>
      </c>
      <c r="F2721" t="s">
        <v>11516</v>
      </c>
      <c r="G2721" t="s">
        <v>58</v>
      </c>
      <c r="H2721">
        <v>26919</v>
      </c>
      <c r="I2721" t="s">
        <v>30</v>
      </c>
      <c r="J2721" t="s">
        <v>41</v>
      </c>
      <c r="K2721" t="s">
        <v>59</v>
      </c>
      <c r="Q2721">
        <v>0</v>
      </c>
      <c r="R2721">
        <v>380</v>
      </c>
      <c r="S2721">
        <v>380</v>
      </c>
      <c r="T2721" t="s">
        <v>11517</v>
      </c>
    </row>
    <row r="2722" spans="1:20" customFormat="1" ht="15" x14ac:dyDescent="0.25">
      <c r="A2722" t="s">
        <v>35</v>
      </c>
      <c r="B2722" t="s">
        <v>61</v>
      </c>
      <c r="C2722" t="str">
        <f>"A0123835"</f>
        <v>A0123835</v>
      </c>
      <c r="D2722" t="s">
        <v>11518</v>
      </c>
      <c r="E2722" t="s">
        <v>11519</v>
      </c>
      <c r="F2722" t="s">
        <v>11520</v>
      </c>
      <c r="G2722" t="s">
        <v>846</v>
      </c>
      <c r="H2722">
        <v>31522</v>
      </c>
      <c r="I2722" t="s">
        <v>30</v>
      </c>
      <c r="J2722" t="s">
        <v>41</v>
      </c>
      <c r="K2722" t="s">
        <v>11521</v>
      </c>
      <c r="Q2722">
        <v>0</v>
      </c>
      <c r="R2722">
        <v>0</v>
      </c>
      <c r="S2722">
        <v>0</v>
      </c>
      <c r="T2722" t="s">
        <v>11522</v>
      </c>
    </row>
    <row r="2723" spans="1:20" customFormat="1" ht="15" x14ac:dyDescent="0.25">
      <c r="A2723" t="s">
        <v>24</v>
      </c>
      <c r="B2723" t="s">
        <v>11523</v>
      </c>
      <c r="C2723" t="str">
        <f>"A0188363"</f>
        <v>A0188363</v>
      </c>
      <c r="D2723" t="s">
        <v>11524</v>
      </c>
      <c r="E2723" t="s">
        <v>11525</v>
      </c>
      <c r="F2723" t="s">
        <v>1883</v>
      </c>
      <c r="G2723" t="s">
        <v>846</v>
      </c>
      <c r="H2723">
        <v>30009</v>
      </c>
      <c r="I2723" t="s">
        <v>30</v>
      </c>
      <c r="J2723" t="s">
        <v>31</v>
      </c>
      <c r="K2723" t="s">
        <v>198</v>
      </c>
      <c r="N2723" t="s">
        <v>11526</v>
      </c>
      <c r="Q2723">
        <v>0</v>
      </c>
      <c r="R2723">
        <v>106</v>
      </c>
      <c r="S2723">
        <v>0</v>
      </c>
      <c r="T2723" t="s">
        <v>11527</v>
      </c>
    </row>
    <row r="2724" spans="1:20" customFormat="1" ht="15" x14ac:dyDescent="0.25">
      <c r="A2724" t="s">
        <v>24</v>
      </c>
      <c r="B2724" t="s">
        <v>57095</v>
      </c>
      <c r="C2724" t="str">
        <f>"A0057807"</f>
        <v>A0057807</v>
      </c>
      <c r="D2724" t="s">
        <v>57379</v>
      </c>
      <c r="E2724" t="s">
        <v>57380</v>
      </c>
      <c r="F2724" t="s">
        <v>57381</v>
      </c>
      <c r="G2724" t="s">
        <v>71</v>
      </c>
      <c r="H2724">
        <v>53005</v>
      </c>
      <c r="I2724" t="s">
        <v>30</v>
      </c>
      <c r="J2724" t="s">
        <v>162</v>
      </c>
      <c r="K2724" t="s">
        <v>163</v>
      </c>
      <c r="N2724" t="s">
        <v>57382</v>
      </c>
      <c r="Q2724">
        <v>0</v>
      </c>
      <c r="R2724">
        <v>128</v>
      </c>
      <c r="S2724">
        <v>0</v>
      </c>
      <c r="T2724" t="s">
        <v>57383</v>
      </c>
    </row>
    <row r="2725" spans="1:20" customFormat="1" ht="15" x14ac:dyDescent="0.25">
      <c r="A2725" t="s">
        <v>24</v>
      </c>
      <c r="B2725" t="s">
        <v>1487</v>
      </c>
      <c r="C2725" t="str">
        <f>"A0088231"</f>
        <v>A0088231</v>
      </c>
      <c r="D2725" t="s">
        <v>57399</v>
      </c>
      <c r="E2725" t="s">
        <v>57400</v>
      </c>
      <c r="F2725" t="s">
        <v>57401</v>
      </c>
      <c r="G2725" t="s">
        <v>1508</v>
      </c>
      <c r="H2725">
        <v>82331</v>
      </c>
      <c r="I2725" t="s">
        <v>30</v>
      </c>
      <c r="J2725" t="s">
        <v>162</v>
      </c>
      <c r="K2725" t="s">
        <v>163</v>
      </c>
      <c r="N2725" t="s">
        <v>57402</v>
      </c>
      <c r="O2725" t="s">
        <v>57403</v>
      </c>
      <c r="Q2725">
        <v>0</v>
      </c>
      <c r="R2725">
        <v>39</v>
      </c>
      <c r="S2725">
        <v>0</v>
      </c>
      <c r="T2725" t="s">
        <v>57404</v>
      </c>
    </row>
    <row r="2726" spans="1:20" customFormat="1" ht="15" x14ac:dyDescent="0.25">
      <c r="A2726" t="s">
        <v>24</v>
      </c>
      <c r="B2726" t="s">
        <v>1098</v>
      </c>
      <c r="C2726" t="str">
        <f>"A0094428"</f>
        <v>A0094428</v>
      </c>
      <c r="D2726" t="s">
        <v>57421</v>
      </c>
      <c r="E2726" t="s">
        <v>57422</v>
      </c>
      <c r="F2726" t="s">
        <v>54075</v>
      </c>
      <c r="G2726" t="s">
        <v>99</v>
      </c>
      <c r="H2726">
        <v>14203</v>
      </c>
      <c r="I2726" t="s">
        <v>30</v>
      </c>
      <c r="J2726" t="s">
        <v>162</v>
      </c>
      <c r="K2726" t="s">
        <v>1490</v>
      </c>
      <c r="N2726" t="s">
        <v>57423</v>
      </c>
      <c r="O2726" t="s">
        <v>57424</v>
      </c>
      <c r="Q2726">
        <v>0</v>
      </c>
      <c r="R2726">
        <v>205</v>
      </c>
      <c r="S2726">
        <v>0</v>
      </c>
      <c r="T2726" t="s">
        <v>57425</v>
      </c>
    </row>
    <row r="2727" spans="1:20" customFormat="1" ht="15" x14ac:dyDescent="0.25">
      <c r="A2727" t="s">
        <v>24</v>
      </c>
      <c r="B2727" t="s">
        <v>1849</v>
      </c>
      <c r="C2727" t="str">
        <f>"33796"</f>
        <v>33796</v>
      </c>
      <c r="D2727" t="s">
        <v>57436</v>
      </c>
      <c r="E2727" t="s">
        <v>57437</v>
      </c>
      <c r="F2727" t="s">
        <v>2390</v>
      </c>
      <c r="G2727" t="s">
        <v>899</v>
      </c>
      <c r="H2727">
        <v>1803</v>
      </c>
      <c r="I2727" t="s">
        <v>30</v>
      </c>
      <c r="J2727" t="s">
        <v>162</v>
      </c>
      <c r="K2727" t="s">
        <v>1490</v>
      </c>
      <c r="N2727" t="s">
        <v>57438</v>
      </c>
      <c r="O2727" t="s">
        <v>57439</v>
      </c>
      <c r="Q2727">
        <v>0</v>
      </c>
      <c r="R2727">
        <v>419</v>
      </c>
      <c r="S2727">
        <v>0</v>
      </c>
      <c r="T2727" t="s">
        <v>57440</v>
      </c>
    </row>
    <row r="2728" spans="1:20" customFormat="1" ht="15" x14ac:dyDescent="0.25">
      <c r="A2728" t="s">
        <v>24</v>
      </c>
      <c r="B2728" t="s">
        <v>6647</v>
      </c>
      <c r="C2728" t="str">
        <f>"A0092453"</f>
        <v>A0092453</v>
      </c>
      <c r="D2728" t="s">
        <v>57452</v>
      </c>
      <c r="E2728" t="s">
        <v>57453</v>
      </c>
      <c r="F2728" t="s">
        <v>985</v>
      </c>
      <c r="G2728" t="s">
        <v>81</v>
      </c>
      <c r="H2728">
        <v>32819</v>
      </c>
      <c r="I2728" t="s">
        <v>30</v>
      </c>
      <c r="J2728" t="s">
        <v>162</v>
      </c>
      <c r="K2728" t="s">
        <v>163</v>
      </c>
      <c r="N2728" t="s">
        <v>57454</v>
      </c>
      <c r="O2728" t="s">
        <v>57455</v>
      </c>
      <c r="Q2728">
        <v>0</v>
      </c>
      <c r="R2728">
        <v>2200</v>
      </c>
      <c r="S2728">
        <v>0</v>
      </c>
      <c r="T2728" t="s">
        <v>57456</v>
      </c>
    </row>
    <row r="2729" spans="1:20" customFormat="1" ht="15" x14ac:dyDescent="0.25">
      <c r="A2729" t="s">
        <v>24</v>
      </c>
      <c r="B2729" t="s">
        <v>9524</v>
      </c>
      <c r="C2729" t="str">
        <f>"A0094110"</f>
        <v>A0094110</v>
      </c>
      <c r="D2729" t="s">
        <v>57527</v>
      </c>
      <c r="E2729" t="s">
        <v>57528</v>
      </c>
      <c r="F2729" t="s">
        <v>57529</v>
      </c>
      <c r="G2729" t="s">
        <v>103</v>
      </c>
      <c r="H2729">
        <v>18372</v>
      </c>
      <c r="I2729" t="s">
        <v>30</v>
      </c>
      <c r="J2729" t="s">
        <v>162</v>
      </c>
      <c r="K2729" t="s">
        <v>163</v>
      </c>
      <c r="N2729" t="s">
        <v>57530</v>
      </c>
      <c r="Q2729">
        <v>0</v>
      </c>
      <c r="R2729">
        <v>453</v>
      </c>
      <c r="S2729">
        <v>0</v>
      </c>
      <c r="T2729" t="s">
        <v>57531</v>
      </c>
    </row>
    <row r="2730" spans="1:20" customFormat="1" ht="15" x14ac:dyDescent="0.25">
      <c r="A2730" t="s">
        <v>24</v>
      </c>
      <c r="B2730" t="s">
        <v>57671</v>
      </c>
      <c r="C2730" t="str">
        <f>"A0165078"</f>
        <v>A0165078</v>
      </c>
      <c r="D2730" t="s">
        <v>57672</v>
      </c>
      <c r="E2730" t="s">
        <v>57673</v>
      </c>
      <c r="F2730" t="s">
        <v>242</v>
      </c>
      <c r="G2730" t="s">
        <v>214</v>
      </c>
      <c r="H2730">
        <v>28210</v>
      </c>
      <c r="I2730" t="s">
        <v>30</v>
      </c>
      <c r="J2730" t="s">
        <v>162</v>
      </c>
      <c r="K2730" t="s">
        <v>1209</v>
      </c>
      <c r="N2730" t="s">
        <v>57674</v>
      </c>
      <c r="Q2730">
        <v>0</v>
      </c>
      <c r="R2730">
        <v>150</v>
      </c>
      <c r="S2730">
        <v>0</v>
      </c>
      <c r="T2730" t="s">
        <v>57675</v>
      </c>
    </row>
    <row r="2731" spans="1:20" customFormat="1" ht="15" x14ac:dyDescent="0.25">
      <c r="A2731" t="s">
        <v>24</v>
      </c>
      <c r="B2731" t="s">
        <v>2435</v>
      </c>
      <c r="C2731" t="str">
        <f>"651SU"</f>
        <v>651SU</v>
      </c>
      <c r="D2731" t="s">
        <v>57676</v>
      </c>
      <c r="E2731" t="s">
        <v>57677</v>
      </c>
      <c r="F2731" t="s">
        <v>313</v>
      </c>
      <c r="G2731" t="s">
        <v>314</v>
      </c>
      <c r="H2731">
        <v>20036</v>
      </c>
      <c r="I2731" t="s">
        <v>30</v>
      </c>
      <c r="J2731" t="s">
        <v>162</v>
      </c>
      <c r="K2731" t="s">
        <v>1209</v>
      </c>
      <c r="N2731" t="s">
        <v>57678</v>
      </c>
      <c r="Q2731">
        <v>0</v>
      </c>
      <c r="R2731">
        <v>154</v>
      </c>
      <c r="S2731">
        <v>0</v>
      </c>
      <c r="T2731" t="s">
        <v>57679</v>
      </c>
    </row>
    <row r="2732" spans="1:20" customFormat="1" ht="15" x14ac:dyDescent="0.25">
      <c r="A2732" t="s">
        <v>24</v>
      </c>
      <c r="B2732" t="s">
        <v>10054</v>
      </c>
      <c r="C2732" t="str">
        <f>"A0156556"</f>
        <v>A0156556</v>
      </c>
      <c r="D2732" t="s">
        <v>57680</v>
      </c>
      <c r="E2732" t="s">
        <v>57681</v>
      </c>
      <c r="F2732" t="s">
        <v>7455</v>
      </c>
      <c r="G2732" t="s">
        <v>123</v>
      </c>
      <c r="H2732">
        <v>21231</v>
      </c>
      <c r="I2732" t="s">
        <v>30</v>
      </c>
      <c r="J2732" t="s">
        <v>162</v>
      </c>
      <c r="K2732" t="s">
        <v>1209</v>
      </c>
      <c r="N2732" t="s">
        <v>57682</v>
      </c>
      <c r="Q2732">
        <v>0</v>
      </c>
      <c r="R2732">
        <v>156</v>
      </c>
      <c r="S2732">
        <v>0</v>
      </c>
      <c r="T2732" t="s">
        <v>57683</v>
      </c>
    </row>
    <row r="2733" spans="1:20" customFormat="1" ht="15" x14ac:dyDescent="0.25">
      <c r="A2733" t="s">
        <v>24</v>
      </c>
      <c r="B2733" t="s">
        <v>2340</v>
      </c>
      <c r="C2733" t="str">
        <f>"A0153123"</f>
        <v>A0153123</v>
      </c>
      <c r="D2733" t="s">
        <v>57684</v>
      </c>
      <c r="E2733" t="s">
        <v>57685</v>
      </c>
      <c r="F2733" t="s">
        <v>10663</v>
      </c>
      <c r="G2733" t="s">
        <v>99</v>
      </c>
      <c r="H2733">
        <v>14850</v>
      </c>
      <c r="I2733" t="s">
        <v>30</v>
      </c>
      <c r="J2733" t="s">
        <v>162</v>
      </c>
      <c r="K2733" t="s">
        <v>1209</v>
      </c>
      <c r="N2733" t="s">
        <v>57686</v>
      </c>
      <c r="Q2733">
        <v>0</v>
      </c>
      <c r="R2733">
        <v>131</v>
      </c>
      <c r="S2733">
        <v>0</v>
      </c>
      <c r="T2733" t="s">
        <v>57687</v>
      </c>
    </row>
    <row r="2734" spans="1:20" customFormat="1" ht="15" x14ac:dyDescent="0.25">
      <c r="A2734" t="s">
        <v>24</v>
      </c>
      <c r="B2734" t="s">
        <v>57441</v>
      </c>
      <c r="C2734" t="str">
        <f>"A0158033"</f>
        <v>A0158033</v>
      </c>
      <c r="D2734" t="s">
        <v>57688</v>
      </c>
      <c r="E2734" t="s">
        <v>57689</v>
      </c>
      <c r="F2734" t="s">
        <v>337</v>
      </c>
      <c r="G2734" t="s">
        <v>338</v>
      </c>
      <c r="H2734">
        <v>7302</v>
      </c>
      <c r="I2734" t="s">
        <v>30</v>
      </c>
      <c r="J2734" t="s">
        <v>162</v>
      </c>
      <c r="K2734" t="s">
        <v>1209</v>
      </c>
      <c r="N2734" t="s">
        <v>57690</v>
      </c>
      <c r="O2734" t="s">
        <v>57691</v>
      </c>
      <c r="Q2734">
        <v>0</v>
      </c>
      <c r="R2734">
        <v>211</v>
      </c>
      <c r="S2734">
        <v>0</v>
      </c>
      <c r="T2734" t="s">
        <v>57692</v>
      </c>
    </row>
    <row r="2735" spans="1:20" customFormat="1" ht="15" x14ac:dyDescent="0.25">
      <c r="A2735" t="s">
        <v>24</v>
      </c>
      <c r="B2735" t="s">
        <v>814</v>
      </c>
      <c r="C2735" t="str">
        <f>"A0157501"</f>
        <v>A0157501</v>
      </c>
      <c r="D2735" t="s">
        <v>57693</v>
      </c>
      <c r="E2735" t="s">
        <v>57694</v>
      </c>
      <c r="F2735" t="s">
        <v>9812</v>
      </c>
      <c r="G2735" t="s">
        <v>103</v>
      </c>
      <c r="H2735">
        <v>19107</v>
      </c>
      <c r="I2735" t="s">
        <v>30</v>
      </c>
      <c r="J2735" t="s">
        <v>162</v>
      </c>
      <c r="K2735" t="s">
        <v>1209</v>
      </c>
      <c r="N2735" t="s">
        <v>57695</v>
      </c>
      <c r="Q2735">
        <v>0</v>
      </c>
      <c r="R2735">
        <v>236</v>
      </c>
      <c r="S2735">
        <v>0</v>
      </c>
      <c r="T2735" t="s">
        <v>57696</v>
      </c>
    </row>
    <row r="2736" spans="1:20" customFormat="1" ht="15" x14ac:dyDescent="0.25">
      <c r="A2736" t="s">
        <v>24</v>
      </c>
      <c r="B2736" t="s">
        <v>814</v>
      </c>
      <c r="C2736" t="str">
        <f>"A0096884"</f>
        <v>A0096884</v>
      </c>
      <c r="D2736" t="s">
        <v>57730</v>
      </c>
      <c r="E2736" t="s">
        <v>57731</v>
      </c>
      <c r="F2736" t="s">
        <v>11003</v>
      </c>
      <c r="G2736" t="s">
        <v>110</v>
      </c>
      <c r="H2736">
        <v>92011</v>
      </c>
      <c r="I2736" t="s">
        <v>30</v>
      </c>
      <c r="J2736" t="s">
        <v>162</v>
      </c>
      <c r="K2736" t="s">
        <v>4809</v>
      </c>
      <c r="N2736" t="s">
        <v>57732</v>
      </c>
      <c r="Q2736">
        <v>0</v>
      </c>
      <c r="R2736">
        <v>215</v>
      </c>
      <c r="S2736">
        <v>0</v>
      </c>
      <c r="T2736" t="s">
        <v>57733</v>
      </c>
    </row>
    <row r="2737" spans="1:20" customFormat="1" ht="15" x14ac:dyDescent="0.25">
      <c r="A2737" t="s">
        <v>24</v>
      </c>
      <c r="B2737" t="s">
        <v>56277</v>
      </c>
      <c r="C2737" t="str">
        <f>"A0055774"</f>
        <v>A0055774</v>
      </c>
      <c r="D2737" t="s">
        <v>57750</v>
      </c>
      <c r="E2737" t="s">
        <v>57751</v>
      </c>
      <c r="F2737" t="s">
        <v>57752</v>
      </c>
      <c r="G2737" t="s">
        <v>137</v>
      </c>
      <c r="H2737">
        <v>65101</v>
      </c>
      <c r="I2737" t="s">
        <v>30</v>
      </c>
      <c r="J2737" t="s">
        <v>162</v>
      </c>
      <c r="K2737" t="s">
        <v>163</v>
      </c>
      <c r="N2737" t="s">
        <v>57753</v>
      </c>
      <c r="O2737" t="s">
        <v>57754</v>
      </c>
      <c r="Q2737">
        <v>0</v>
      </c>
      <c r="R2737">
        <v>255</v>
      </c>
      <c r="S2737">
        <v>0</v>
      </c>
      <c r="T2737" t="s">
        <v>57755</v>
      </c>
    </row>
    <row r="2738" spans="1:20" customFormat="1" ht="15" x14ac:dyDescent="0.25">
      <c r="A2738" t="s">
        <v>24</v>
      </c>
      <c r="B2738" t="s">
        <v>56564</v>
      </c>
      <c r="C2738" t="str">
        <f>"A0087529"</f>
        <v>A0087529</v>
      </c>
      <c r="D2738" t="s">
        <v>57756</v>
      </c>
      <c r="E2738" t="s">
        <v>57757</v>
      </c>
      <c r="F2738" t="s">
        <v>1159</v>
      </c>
      <c r="G2738" t="s">
        <v>58</v>
      </c>
      <c r="H2738">
        <v>29578</v>
      </c>
      <c r="I2738" t="s">
        <v>30</v>
      </c>
      <c r="J2738" t="s">
        <v>162</v>
      </c>
      <c r="K2738" t="s">
        <v>163</v>
      </c>
      <c r="N2738" t="s">
        <v>57758</v>
      </c>
      <c r="O2738" t="s">
        <v>57759</v>
      </c>
      <c r="Q2738">
        <v>0</v>
      </c>
      <c r="R2738">
        <v>358</v>
      </c>
      <c r="S2738">
        <v>0</v>
      </c>
      <c r="T2738" t="s">
        <v>57760</v>
      </c>
    </row>
    <row r="2739" spans="1:20" customFormat="1" ht="15" x14ac:dyDescent="0.25">
      <c r="A2739" t="s">
        <v>35</v>
      </c>
      <c r="B2739" t="s">
        <v>61</v>
      </c>
      <c r="C2739" t="str">
        <f>"A0182989"</f>
        <v>A0182989</v>
      </c>
      <c r="D2739" t="s">
        <v>11579</v>
      </c>
      <c r="E2739" t="s">
        <v>11580</v>
      </c>
      <c r="F2739" t="s">
        <v>10426</v>
      </c>
      <c r="G2739" t="s">
        <v>81</v>
      </c>
      <c r="H2739" t="s">
        <v>11581</v>
      </c>
      <c r="I2739" t="s">
        <v>30</v>
      </c>
      <c r="J2739" t="s">
        <v>41</v>
      </c>
      <c r="K2739" t="s">
        <v>59</v>
      </c>
      <c r="Q2739">
        <v>0</v>
      </c>
      <c r="R2739">
        <v>0</v>
      </c>
      <c r="S2739">
        <v>0</v>
      </c>
      <c r="T2739" t="s">
        <v>11582</v>
      </c>
    </row>
    <row r="2740" spans="1:20" customFormat="1" ht="15" x14ac:dyDescent="0.25">
      <c r="A2740" t="s">
        <v>35</v>
      </c>
      <c r="B2740" t="s">
        <v>61</v>
      </c>
      <c r="C2740" t="str">
        <f>"A0117846"</f>
        <v>A0117846</v>
      </c>
      <c r="D2740" t="s">
        <v>11583</v>
      </c>
      <c r="E2740" t="s">
        <v>11584</v>
      </c>
      <c r="F2740" t="s">
        <v>11585</v>
      </c>
      <c r="G2740" t="s">
        <v>110</v>
      </c>
      <c r="H2740">
        <v>95070</v>
      </c>
      <c r="I2740" t="s">
        <v>30</v>
      </c>
      <c r="J2740" t="s">
        <v>41</v>
      </c>
      <c r="K2740" t="s">
        <v>59</v>
      </c>
      <c r="Q2740">
        <v>0</v>
      </c>
      <c r="R2740">
        <v>55</v>
      </c>
      <c r="S2740">
        <v>55</v>
      </c>
      <c r="T2740" t="s">
        <v>11586</v>
      </c>
    </row>
    <row r="2741" spans="1:20" customFormat="1" ht="15" x14ac:dyDescent="0.25">
      <c r="A2741" t="s">
        <v>24</v>
      </c>
      <c r="B2741" t="s">
        <v>11587</v>
      </c>
      <c r="C2741" t="str">
        <f>"A0188349"</f>
        <v>A0188349</v>
      </c>
      <c r="D2741" t="s">
        <v>11588</v>
      </c>
      <c r="E2741" t="s">
        <v>11589</v>
      </c>
      <c r="F2741" t="s">
        <v>2913</v>
      </c>
      <c r="G2741" t="s">
        <v>214</v>
      </c>
      <c r="H2741">
        <v>28786</v>
      </c>
      <c r="I2741" t="s">
        <v>30</v>
      </c>
      <c r="J2741" t="s">
        <v>178</v>
      </c>
      <c r="K2741" t="s">
        <v>163</v>
      </c>
      <c r="N2741" t="s">
        <v>11590</v>
      </c>
      <c r="Q2741">
        <v>0</v>
      </c>
      <c r="R2741">
        <v>69</v>
      </c>
      <c r="S2741">
        <v>0</v>
      </c>
      <c r="T2741" t="s">
        <v>11591</v>
      </c>
    </row>
    <row r="2742" spans="1:20" customFormat="1" ht="15" x14ac:dyDescent="0.25">
      <c r="A2742" t="s">
        <v>35</v>
      </c>
      <c r="B2742" t="s">
        <v>61</v>
      </c>
      <c r="C2742" t="str">
        <f>"A0183197"</f>
        <v>A0183197</v>
      </c>
      <c r="D2742" t="s">
        <v>11592</v>
      </c>
      <c r="E2742" t="s">
        <v>11580</v>
      </c>
      <c r="F2742" t="s">
        <v>10426</v>
      </c>
      <c r="G2742" t="s">
        <v>81</v>
      </c>
      <c r="H2742" t="s">
        <v>11581</v>
      </c>
      <c r="I2742" t="s">
        <v>30</v>
      </c>
      <c r="J2742" t="s">
        <v>41</v>
      </c>
      <c r="K2742" t="s">
        <v>59</v>
      </c>
      <c r="Q2742">
        <v>0</v>
      </c>
      <c r="R2742">
        <v>0</v>
      </c>
      <c r="S2742">
        <v>0</v>
      </c>
      <c r="T2742" t="s">
        <v>11582</v>
      </c>
    </row>
    <row r="2743" spans="1:20" customFormat="1" ht="15" x14ac:dyDescent="0.25">
      <c r="A2743" t="s">
        <v>35</v>
      </c>
      <c r="B2743" t="s">
        <v>61</v>
      </c>
      <c r="C2743" t="str">
        <f>"A0131128"</f>
        <v>A0131128</v>
      </c>
      <c r="D2743" t="s">
        <v>11593</v>
      </c>
      <c r="E2743" t="s">
        <v>11594</v>
      </c>
      <c r="F2743" t="s">
        <v>11595</v>
      </c>
      <c r="G2743" t="s">
        <v>137</v>
      </c>
      <c r="H2743">
        <v>631170000</v>
      </c>
      <c r="I2743" t="s">
        <v>30</v>
      </c>
      <c r="J2743" t="s">
        <v>41</v>
      </c>
      <c r="K2743" t="s">
        <v>229</v>
      </c>
      <c r="Q2743">
        <v>0</v>
      </c>
      <c r="R2743">
        <v>99</v>
      </c>
      <c r="S2743">
        <v>99</v>
      </c>
      <c r="T2743" t="s">
        <v>11596</v>
      </c>
    </row>
    <row r="2744" spans="1:20" customFormat="1" ht="15" x14ac:dyDescent="0.25">
      <c r="A2744" t="s">
        <v>35</v>
      </c>
      <c r="B2744" t="s">
        <v>61</v>
      </c>
      <c r="C2744" t="str">
        <f>"A0124348"</f>
        <v>A0124348</v>
      </c>
      <c r="D2744" t="s">
        <v>11597</v>
      </c>
      <c r="E2744" t="s">
        <v>11598</v>
      </c>
      <c r="F2744" t="s">
        <v>4082</v>
      </c>
      <c r="G2744" t="s">
        <v>123</v>
      </c>
      <c r="H2744">
        <v>21218</v>
      </c>
      <c r="I2744" t="s">
        <v>30</v>
      </c>
      <c r="J2744" t="s">
        <v>41</v>
      </c>
      <c r="K2744" t="s">
        <v>59</v>
      </c>
      <c r="Q2744">
        <v>0</v>
      </c>
      <c r="R2744">
        <v>53</v>
      </c>
      <c r="S2744">
        <v>53</v>
      </c>
      <c r="T2744" t="s">
        <v>11599</v>
      </c>
    </row>
    <row r="2745" spans="1:20" customFormat="1" ht="15" x14ac:dyDescent="0.25">
      <c r="A2745" t="s">
        <v>35</v>
      </c>
      <c r="B2745" t="s">
        <v>61</v>
      </c>
      <c r="C2745" t="str">
        <f>"A0181636"</f>
        <v>A0181636</v>
      </c>
      <c r="D2745" t="s">
        <v>11600</v>
      </c>
      <c r="E2745" t="s">
        <v>11601</v>
      </c>
      <c r="F2745" t="s">
        <v>11602</v>
      </c>
      <c r="G2745" t="s">
        <v>71</v>
      </c>
      <c r="H2745">
        <v>546018037</v>
      </c>
      <c r="I2745" t="s">
        <v>30</v>
      </c>
      <c r="J2745" t="s">
        <v>41</v>
      </c>
      <c r="K2745" t="s">
        <v>59</v>
      </c>
      <c r="Q2745">
        <v>0</v>
      </c>
      <c r="R2745">
        <v>0</v>
      </c>
      <c r="S2745">
        <v>0</v>
      </c>
      <c r="T2745" t="s">
        <v>11603</v>
      </c>
    </row>
    <row r="2746" spans="1:20" customFormat="1" ht="15" x14ac:dyDescent="0.25">
      <c r="A2746" t="s">
        <v>35</v>
      </c>
      <c r="B2746" t="s">
        <v>61</v>
      </c>
      <c r="C2746" t="str">
        <f>"A0181089"</f>
        <v>A0181089</v>
      </c>
      <c r="D2746" t="s">
        <v>11604</v>
      </c>
      <c r="E2746" t="s">
        <v>11601</v>
      </c>
      <c r="F2746" t="s">
        <v>11602</v>
      </c>
      <c r="G2746" t="s">
        <v>71</v>
      </c>
      <c r="H2746" t="s">
        <v>11605</v>
      </c>
      <c r="I2746" t="s">
        <v>30</v>
      </c>
      <c r="J2746" t="s">
        <v>41</v>
      </c>
      <c r="K2746" t="s">
        <v>9956</v>
      </c>
      <c r="Q2746">
        <v>0</v>
      </c>
      <c r="R2746">
        <v>160</v>
      </c>
      <c r="S2746">
        <v>160</v>
      </c>
      <c r="T2746" t="s">
        <v>11606</v>
      </c>
    </row>
    <row r="2747" spans="1:20" customFormat="1" ht="15" x14ac:dyDescent="0.25">
      <c r="A2747" t="s">
        <v>35</v>
      </c>
      <c r="B2747" t="s">
        <v>61</v>
      </c>
      <c r="C2747" t="str">
        <f>"A0124422"</f>
        <v>A0124422</v>
      </c>
      <c r="D2747" t="s">
        <v>11607</v>
      </c>
      <c r="E2747" t="s">
        <v>11608</v>
      </c>
      <c r="F2747" t="s">
        <v>11609</v>
      </c>
      <c r="G2747" t="s">
        <v>214</v>
      </c>
      <c r="H2747">
        <v>28792</v>
      </c>
      <c r="I2747" t="s">
        <v>30</v>
      </c>
      <c r="J2747" t="s">
        <v>41</v>
      </c>
      <c r="K2747" t="s">
        <v>59</v>
      </c>
      <c r="Q2747">
        <v>0</v>
      </c>
      <c r="R2747">
        <v>390</v>
      </c>
      <c r="S2747">
        <v>390</v>
      </c>
      <c r="T2747" t="s">
        <v>11610</v>
      </c>
    </row>
    <row r="2748" spans="1:20" customFormat="1" ht="15" x14ac:dyDescent="0.25">
      <c r="A2748" t="s">
        <v>35</v>
      </c>
      <c r="B2748" t="s">
        <v>61</v>
      </c>
      <c r="C2748" t="str">
        <f>"A0123114"</f>
        <v>A0123114</v>
      </c>
      <c r="D2748" t="s">
        <v>11611</v>
      </c>
      <c r="E2748" t="s">
        <v>11612</v>
      </c>
      <c r="F2748" t="s">
        <v>11613</v>
      </c>
      <c r="G2748" t="s">
        <v>76</v>
      </c>
      <c r="H2748">
        <v>98299</v>
      </c>
      <c r="I2748" t="s">
        <v>30</v>
      </c>
      <c r="J2748" t="s">
        <v>41</v>
      </c>
      <c r="K2748" t="s">
        <v>482</v>
      </c>
      <c r="Q2748">
        <v>0</v>
      </c>
      <c r="R2748">
        <v>0</v>
      </c>
      <c r="S2748">
        <v>0</v>
      </c>
      <c r="T2748" t="s">
        <v>11614</v>
      </c>
    </row>
    <row r="2749" spans="1:20" customFormat="1" ht="15" x14ac:dyDescent="0.25">
      <c r="A2749" t="s">
        <v>35</v>
      </c>
      <c r="B2749" t="s">
        <v>61</v>
      </c>
      <c r="C2749" t="str">
        <f>"A0118748"</f>
        <v>A0118748</v>
      </c>
      <c r="D2749" t="s">
        <v>11615</v>
      </c>
      <c r="E2749" t="s">
        <v>11616</v>
      </c>
      <c r="F2749" t="s">
        <v>5742</v>
      </c>
      <c r="G2749" t="s">
        <v>110</v>
      </c>
      <c r="H2749">
        <v>958140000</v>
      </c>
      <c r="I2749" t="s">
        <v>30</v>
      </c>
      <c r="J2749" t="s">
        <v>41</v>
      </c>
      <c r="K2749" t="s">
        <v>290</v>
      </c>
      <c r="Q2749">
        <v>0</v>
      </c>
      <c r="R2749">
        <v>1</v>
      </c>
      <c r="S2749">
        <v>1</v>
      </c>
      <c r="T2749" t="s">
        <v>11617</v>
      </c>
    </row>
    <row r="2750" spans="1:20" customFormat="1" ht="15" x14ac:dyDescent="0.25">
      <c r="A2750" t="s">
        <v>35</v>
      </c>
      <c r="B2750" t="s">
        <v>11618</v>
      </c>
      <c r="C2750" t="str">
        <f>"A0179951"</f>
        <v>A0179951</v>
      </c>
      <c r="D2750" t="s">
        <v>11619</v>
      </c>
      <c r="E2750" t="s">
        <v>11620</v>
      </c>
      <c r="F2750" t="s">
        <v>2789</v>
      </c>
      <c r="G2750" t="s">
        <v>103</v>
      </c>
      <c r="H2750">
        <v>18042</v>
      </c>
      <c r="I2750" t="s">
        <v>30</v>
      </c>
      <c r="J2750" t="s">
        <v>41</v>
      </c>
      <c r="K2750" t="s">
        <v>1032</v>
      </c>
      <c r="Q2750">
        <v>0</v>
      </c>
      <c r="R2750">
        <v>45</v>
      </c>
      <c r="S2750">
        <v>45</v>
      </c>
      <c r="T2750" t="s">
        <v>11621</v>
      </c>
    </row>
    <row r="2751" spans="1:20" customFormat="1" ht="15" x14ac:dyDescent="0.25">
      <c r="A2751" t="s">
        <v>35</v>
      </c>
      <c r="B2751" t="s">
        <v>11618</v>
      </c>
      <c r="C2751" t="str">
        <f>"A0126779"</f>
        <v>A0126779</v>
      </c>
      <c r="D2751" t="s">
        <v>11622</v>
      </c>
      <c r="E2751" t="s">
        <v>11623</v>
      </c>
      <c r="F2751" t="s">
        <v>2789</v>
      </c>
      <c r="G2751" t="s">
        <v>103</v>
      </c>
      <c r="H2751">
        <v>18042</v>
      </c>
      <c r="I2751" t="s">
        <v>30</v>
      </c>
      <c r="J2751" t="s">
        <v>41</v>
      </c>
      <c r="K2751" t="s">
        <v>59</v>
      </c>
      <c r="Q2751">
        <v>0</v>
      </c>
      <c r="R2751">
        <v>75</v>
      </c>
      <c r="S2751">
        <v>75</v>
      </c>
      <c r="T2751" t="s">
        <v>11621</v>
      </c>
    </row>
    <row r="2752" spans="1:20" customFormat="1" ht="15" x14ac:dyDescent="0.25">
      <c r="A2752" t="s">
        <v>24</v>
      </c>
      <c r="B2752" t="s">
        <v>56564</v>
      </c>
      <c r="C2752" t="str">
        <f>"A0062231"</f>
        <v>A0062231</v>
      </c>
      <c r="D2752" t="s">
        <v>57761</v>
      </c>
      <c r="E2752" t="s">
        <v>57762</v>
      </c>
      <c r="F2752" t="s">
        <v>1159</v>
      </c>
      <c r="G2752" t="s">
        <v>58</v>
      </c>
      <c r="H2752">
        <v>29572</v>
      </c>
      <c r="I2752" t="s">
        <v>30</v>
      </c>
      <c r="J2752" t="s">
        <v>162</v>
      </c>
      <c r="K2752" t="s">
        <v>163</v>
      </c>
      <c r="N2752" t="s">
        <v>57763</v>
      </c>
      <c r="Q2752">
        <v>0</v>
      </c>
      <c r="R2752">
        <v>233</v>
      </c>
      <c r="S2752">
        <v>0</v>
      </c>
      <c r="T2752" t="s">
        <v>57764</v>
      </c>
    </row>
    <row r="2753" spans="1:25" x14ac:dyDescent="0.25">
      <c r="A2753" s="5" t="s">
        <v>24</v>
      </c>
      <c r="B2753" s="5" t="s">
        <v>1156</v>
      </c>
      <c r="C2753" s="5" t="str">
        <f>"A0075274"</f>
        <v>A0075274</v>
      </c>
      <c r="D2753" s="5" t="s">
        <v>57771</v>
      </c>
      <c r="E2753" s="5" t="s">
        <v>57772</v>
      </c>
      <c r="F2753" s="5" t="s">
        <v>1159</v>
      </c>
      <c r="G2753" s="5" t="s">
        <v>58</v>
      </c>
      <c r="H2753" s="5">
        <v>29577</v>
      </c>
      <c r="I2753" s="5" t="s">
        <v>30</v>
      </c>
      <c r="J2753" s="5" t="s">
        <v>162</v>
      </c>
      <c r="K2753" s="5" t="s">
        <v>163</v>
      </c>
      <c r="L2753" s="5"/>
      <c r="M2753" s="5"/>
      <c r="N2753" s="5" t="s">
        <v>57773</v>
      </c>
      <c r="O2753" s="5" t="s">
        <v>57774</v>
      </c>
      <c r="P2753" s="5"/>
      <c r="Q2753" s="5">
        <v>0</v>
      </c>
      <c r="R2753" s="5">
        <v>435</v>
      </c>
      <c r="S2753" s="5">
        <v>0</v>
      </c>
      <c r="T2753" s="5" t="s">
        <v>57775</v>
      </c>
      <c r="U2753" s="5"/>
      <c r="V2753" s="5"/>
      <c r="W2753" s="5"/>
      <c r="X2753" s="5"/>
      <c r="Y2753" s="5"/>
    </row>
    <row r="2754" spans="1:25" customFormat="1" ht="15" x14ac:dyDescent="0.25">
      <c r="A2754" t="s">
        <v>24</v>
      </c>
      <c r="B2754" t="s">
        <v>2011</v>
      </c>
      <c r="C2754" t="str">
        <f>"A0059743"</f>
        <v>A0059743</v>
      </c>
      <c r="D2754" t="s">
        <v>57786</v>
      </c>
      <c r="E2754" t="s">
        <v>57787</v>
      </c>
      <c r="F2754" t="s">
        <v>13589</v>
      </c>
      <c r="G2754" t="s">
        <v>110</v>
      </c>
      <c r="H2754">
        <v>93923</v>
      </c>
      <c r="I2754" t="s">
        <v>30</v>
      </c>
      <c r="J2754" t="s">
        <v>162</v>
      </c>
      <c r="K2754" t="s">
        <v>13246</v>
      </c>
      <c r="N2754" t="s">
        <v>57788</v>
      </c>
      <c r="Q2754">
        <v>0</v>
      </c>
      <c r="R2754">
        <v>140</v>
      </c>
      <c r="S2754">
        <v>0</v>
      </c>
      <c r="T2754" t="s">
        <v>57789</v>
      </c>
    </row>
    <row r="2755" spans="1:25" customFormat="1" ht="15" x14ac:dyDescent="0.25">
      <c r="A2755" t="s">
        <v>24</v>
      </c>
      <c r="B2755" t="s">
        <v>1567</v>
      </c>
      <c r="C2755" t="str">
        <f>"A0063650"</f>
        <v>A0063650</v>
      </c>
      <c r="D2755" t="s">
        <v>57821</v>
      </c>
      <c r="E2755" t="s">
        <v>57822</v>
      </c>
      <c r="F2755" t="s">
        <v>2376</v>
      </c>
      <c r="G2755" t="s">
        <v>110</v>
      </c>
      <c r="H2755">
        <v>93940</v>
      </c>
      <c r="I2755" t="s">
        <v>30</v>
      </c>
      <c r="J2755" t="s">
        <v>162</v>
      </c>
      <c r="K2755" t="s">
        <v>163</v>
      </c>
      <c r="N2755" t="s">
        <v>57823</v>
      </c>
      <c r="O2755" t="s">
        <v>57824</v>
      </c>
      <c r="Q2755">
        <v>0</v>
      </c>
      <c r="R2755">
        <v>163</v>
      </c>
      <c r="S2755">
        <v>0</v>
      </c>
      <c r="T2755" t="s">
        <v>57825</v>
      </c>
    </row>
    <row r="2756" spans="1:25" customFormat="1" ht="15" x14ac:dyDescent="0.25">
      <c r="A2756" t="s">
        <v>24</v>
      </c>
      <c r="B2756" t="s">
        <v>4400</v>
      </c>
      <c r="C2756" t="str">
        <f>"A0188282"</f>
        <v>A0188282</v>
      </c>
      <c r="D2756" t="s">
        <v>11645</v>
      </c>
      <c r="E2756" t="s">
        <v>11646</v>
      </c>
      <c r="F2756" t="s">
        <v>5567</v>
      </c>
      <c r="G2756" t="s">
        <v>1706</v>
      </c>
      <c r="H2756">
        <v>35601</v>
      </c>
      <c r="I2756" t="s">
        <v>30</v>
      </c>
      <c r="J2756" t="s">
        <v>31</v>
      </c>
      <c r="K2756" t="s">
        <v>261</v>
      </c>
      <c r="N2756" t="s">
        <v>11647</v>
      </c>
      <c r="Q2756">
        <v>0</v>
      </c>
      <c r="R2756">
        <v>81</v>
      </c>
      <c r="S2756">
        <v>0</v>
      </c>
      <c r="T2756" t="s">
        <v>11648</v>
      </c>
    </row>
    <row r="2757" spans="1:25" customFormat="1" ht="15" x14ac:dyDescent="0.25">
      <c r="A2757" t="s">
        <v>24</v>
      </c>
      <c r="B2757" t="s">
        <v>2387</v>
      </c>
      <c r="C2757" t="str">
        <f>"A0095632"</f>
        <v>A0095632</v>
      </c>
      <c r="D2757" t="s">
        <v>57826</v>
      </c>
      <c r="E2757" t="s">
        <v>57827</v>
      </c>
      <c r="F2757" t="s">
        <v>57828</v>
      </c>
      <c r="G2757" t="s">
        <v>2391</v>
      </c>
      <c r="H2757">
        <v>5142</v>
      </c>
      <c r="I2757" t="s">
        <v>30</v>
      </c>
      <c r="J2757" t="s">
        <v>162</v>
      </c>
      <c r="K2757" t="s">
        <v>163</v>
      </c>
      <c r="N2757" t="s">
        <v>57829</v>
      </c>
      <c r="Q2757">
        <v>0</v>
      </c>
      <c r="R2757">
        <v>125</v>
      </c>
      <c r="S2757">
        <v>0</v>
      </c>
      <c r="T2757" t="s">
        <v>57830</v>
      </c>
    </row>
    <row r="2758" spans="1:25" customFormat="1" ht="15" x14ac:dyDescent="0.25">
      <c r="A2758" t="s">
        <v>24</v>
      </c>
      <c r="B2758" t="s">
        <v>4400</v>
      </c>
      <c r="C2758" t="str">
        <f>"A0188276"</f>
        <v>A0188276</v>
      </c>
      <c r="D2758" t="s">
        <v>11654</v>
      </c>
      <c r="E2758" t="s">
        <v>11655</v>
      </c>
      <c r="F2758" t="s">
        <v>11656</v>
      </c>
      <c r="G2758" t="s">
        <v>1706</v>
      </c>
      <c r="H2758">
        <v>36804</v>
      </c>
      <c r="I2758" t="s">
        <v>30</v>
      </c>
      <c r="J2758" t="s">
        <v>31</v>
      </c>
      <c r="K2758" t="s">
        <v>261</v>
      </c>
      <c r="N2758" t="s">
        <v>11657</v>
      </c>
      <c r="Q2758">
        <v>0</v>
      </c>
      <c r="R2758">
        <v>81</v>
      </c>
      <c r="S2758">
        <v>0</v>
      </c>
      <c r="T2758" t="s">
        <v>11658</v>
      </c>
    </row>
    <row r="2759" spans="1:25" customFormat="1" ht="15" x14ac:dyDescent="0.25">
      <c r="A2759" t="s">
        <v>24</v>
      </c>
      <c r="B2759" t="s">
        <v>5865</v>
      </c>
      <c r="C2759" t="str">
        <f>"A0188356"</f>
        <v>A0188356</v>
      </c>
      <c r="D2759" t="s">
        <v>11659</v>
      </c>
      <c r="E2759" t="s">
        <v>11660</v>
      </c>
      <c r="F2759" t="s">
        <v>11661</v>
      </c>
      <c r="G2759" t="s">
        <v>1898</v>
      </c>
      <c r="H2759">
        <v>51442</v>
      </c>
      <c r="I2759" t="s">
        <v>30</v>
      </c>
      <c r="J2759" t="s">
        <v>31</v>
      </c>
      <c r="K2759" t="s">
        <v>5869</v>
      </c>
      <c r="N2759" t="s">
        <v>11662</v>
      </c>
      <c r="Q2759">
        <v>0</v>
      </c>
      <c r="R2759">
        <v>32</v>
      </c>
      <c r="S2759">
        <v>0</v>
      </c>
      <c r="T2759" t="s">
        <v>11663</v>
      </c>
    </row>
    <row r="2760" spans="1:25" customFormat="1" ht="15" x14ac:dyDescent="0.25">
      <c r="A2760" t="s">
        <v>24</v>
      </c>
      <c r="B2760" t="s">
        <v>2910</v>
      </c>
      <c r="C2760" t="str">
        <f>"A0188329"</f>
        <v>A0188329</v>
      </c>
      <c r="D2760" t="s">
        <v>11664</v>
      </c>
      <c r="E2760" t="s">
        <v>11665</v>
      </c>
      <c r="F2760" t="s">
        <v>1258</v>
      </c>
      <c r="G2760" t="s">
        <v>81</v>
      </c>
      <c r="H2760">
        <v>32118</v>
      </c>
      <c r="I2760" t="s">
        <v>30</v>
      </c>
      <c r="J2760" t="s">
        <v>31</v>
      </c>
      <c r="K2760" t="s">
        <v>163</v>
      </c>
      <c r="N2760" t="s">
        <v>11666</v>
      </c>
      <c r="Q2760">
        <v>0</v>
      </c>
      <c r="R2760">
        <v>44</v>
      </c>
      <c r="S2760">
        <v>0</v>
      </c>
      <c r="T2760" t="s">
        <v>11667</v>
      </c>
    </row>
    <row r="2761" spans="1:25" customFormat="1" ht="15" x14ac:dyDescent="0.25">
      <c r="A2761" t="s">
        <v>35</v>
      </c>
      <c r="B2761" t="s">
        <v>11668</v>
      </c>
      <c r="C2761" t="str">
        <f>"A0132812"</f>
        <v>A0132812</v>
      </c>
      <c r="D2761" t="s">
        <v>11669</v>
      </c>
      <c r="E2761" t="s">
        <v>11670</v>
      </c>
      <c r="F2761" t="s">
        <v>2770</v>
      </c>
      <c r="G2761" t="s">
        <v>65</v>
      </c>
      <c r="H2761">
        <v>44714</v>
      </c>
      <c r="I2761" t="s">
        <v>30</v>
      </c>
      <c r="J2761" t="s">
        <v>41</v>
      </c>
      <c r="K2761" t="s">
        <v>229</v>
      </c>
      <c r="Q2761">
        <v>0</v>
      </c>
      <c r="R2761">
        <v>200</v>
      </c>
      <c r="S2761">
        <v>200</v>
      </c>
      <c r="T2761" t="s">
        <v>11671</v>
      </c>
    </row>
    <row r="2762" spans="1:25" customFormat="1" ht="15" x14ac:dyDescent="0.25">
      <c r="A2762" t="s">
        <v>24</v>
      </c>
      <c r="B2762" t="s">
        <v>5843</v>
      </c>
      <c r="C2762" t="str">
        <f>"88BW010"</f>
        <v>88BW010</v>
      </c>
      <c r="D2762" t="s">
        <v>57831</v>
      </c>
      <c r="E2762" t="s">
        <v>57832</v>
      </c>
      <c r="F2762" t="s">
        <v>9540</v>
      </c>
      <c r="G2762" t="s">
        <v>110</v>
      </c>
      <c r="H2762">
        <v>90704</v>
      </c>
      <c r="I2762" t="s">
        <v>30</v>
      </c>
      <c r="J2762" t="s">
        <v>162</v>
      </c>
      <c r="K2762" t="s">
        <v>163</v>
      </c>
      <c r="N2762" t="s">
        <v>57833</v>
      </c>
      <c r="Q2762">
        <v>0</v>
      </c>
      <c r="R2762">
        <v>75</v>
      </c>
      <c r="S2762">
        <v>0</v>
      </c>
      <c r="T2762" t="s">
        <v>57834</v>
      </c>
    </row>
    <row r="2763" spans="1:25" hidden="1" x14ac:dyDescent="0.25">
      <c r="A2763" s="3" t="s">
        <v>24</v>
      </c>
      <c r="B2763" s="3" t="s">
        <v>11677</v>
      </c>
      <c r="C2763" s="3" t="str">
        <f>"A0188331"</f>
        <v>A0188331</v>
      </c>
      <c r="D2763" s="3" t="s">
        <v>11678</v>
      </c>
      <c r="E2763" s="3" t="s">
        <v>11679</v>
      </c>
      <c r="F2763" s="3" t="s">
        <v>5861</v>
      </c>
      <c r="G2763" s="3" t="s">
        <v>5862</v>
      </c>
      <c r="H2763" s="3">
        <v>63734</v>
      </c>
      <c r="I2763" s="3" t="s">
        <v>2408</v>
      </c>
      <c r="J2763" s="3" t="s">
        <v>206</v>
      </c>
      <c r="K2763" s="3" t="s">
        <v>11680</v>
      </c>
      <c r="N2763" s="3" t="s">
        <v>11681</v>
      </c>
      <c r="O2763" s="3" t="s">
        <v>11682</v>
      </c>
      <c r="Q2763" s="3">
        <v>0</v>
      </c>
      <c r="R2763" s="3">
        <v>177</v>
      </c>
      <c r="S2763" s="3">
        <v>0</v>
      </c>
      <c r="T2763" s="3" t="s">
        <v>11683</v>
      </c>
    </row>
    <row r="2764" spans="1:25" customFormat="1" ht="15" x14ac:dyDescent="0.25">
      <c r="A2764" t="s">
        <v>35</v>
      </c>
      <c r="B2764" t="s">
        <v>61</v>
      </c>
      <c r="C2764" t="str">
        <f>"A0184973"</f>
        <v>A0184973</v>
      </c>
      <c r="D2764" t="s">
        <v>11684</v>
      </c>
      <c r="E2764" t="s">
        <v>11685</v>
      </c>
      <c r="F2764" t="s">
        <v>11686</v>
      </c>
      <c r="G2764" t="s">
        <v>29</v>
      </c>
      <c r="H2764">
        <v>22801</v>
      </c>
      <c r="I2764" t="s">
        <v>30</v>
      </c>
      <c r="J2764" t="s">
        <v>41</v>
      </c>
      <c r="K2764" t="s">
        <v>59</v>
      </c>
      <c r="Q2764">
        <v>0</v>
      </c>
      <c r="R2764">
        <v>443</v>
      </c>
      <c r="S2764">
        <v>443</v>
      </c>
      <c r="T2764" t="s">
        <v>11687</v>
      </c>
    </row>
    <row r="2765" spans="1:25" customFormat="1" ht="15" x14ac:dyDescent="0.25">
      <c r="A2765" t="s">
        <v>35</v>
      </c>
      <c r="B2765" t="s">
        <v>11688</v>
      </c>
      <c r="C2765" t="str">
        <f>"A0184947"</f>
        <v>A0184947</v>
      </c>
      <c r="D2765" t="s">
        <v>11689</v>
      </c>
      <c r="E2765" t="s">
        <v>11690</v>
      </c>
      <c r="F2765" t="s">
        <v>4108</v>
      </c>
      <c r="G2765" t="s">
        <v>29</v>
      </c>
      <c r="H2765">
        <v>240181477</v>
      </c>
      <c r="I2765" t="s">
        <v>30</v>
      </c>
      <c r="J2765" t="s">
        <v>41</v>
      </c>
      <c r="K2765" t="s">
        <v>59</v>
      </c>
      <c r="Q2765">
        <v>0</v>
      </c>
      <c r="R2765">
        <v>0</v>
      </c>
      <c r="S2765">
        <v>0</v>
      </c>
      <c r="T2765" t="s">
        <v>11691</v>
      </c>
    </row>
    <row r="2766" spans="1:25" customFormat="1" ht="15" x14ac:dyDescent="0.25">
      <c r="A2766" t="s">
        <v>35</v>
      </c>
      <c r="B2766" t="s">
        <v>11692</v>
      </c>
      <c r="C2766" t="str">
        <f>"A0181309"</f>
        <v>A0181309</v>
      </c>
      <c r="D2766" t="s">
        <v>11693</v>
      </c>
      <c r="E2766" t="s">
        <v>11694</v>
      </c>
      <c r="F2766" t="s">
        <v>11695</v>
      </c>
      <c r="G2766" t="s">
        <v>117</v>
      </c>
      <c r="H2766">
        <v>490013795</v>
      </c>
      <c r="I2766" t="s">
        <v>30</v>
      </c>
      <c r="J2766" t="s">
        <v>41</v>
      </c>
      <c r="K2766" t="s">
        <v>9956</v>
      </c>
      <c r="Q2766">
        <v>0</v>
      </c>
      <c r="R2766">
        <v>17</v>
      </c>
      <c r="S2766">
        <v>17</v>
      </c>
      <c r="T2766" t="s">
        <v>192</v>
      </c>
    </row>
    <row r="2767" spans="1:25" customFormat="1" ht="15" x14ac:dyDescent="0.25">
      <c r="A2767" t="s">
        <v>35</v>
      </c>
      <c r="B2767" t="s">
        <v>11692</v>
      </c>
      <c r="C2767" t="str">
        <f>"A0180900"</f>
        <v>A0180900</v>
      </c>
      <c r="D2767" t="s">
        <v>11696</v>
      </c>
      <c r="E2767" t="s">
        <v>11694</v>
      </c>
      <c r="F2767" t="s">
        <v>11695</v>
      </c>
      <c r="G2767" t="s">
        <v>117</v>
      </c>
      <c r="H2767">
        <v>490013795</v>
      </c>
      <c r="I2767" t="s">
        <v>30</v>
      </c>
      <c r="J2767" t="s">
        <v>41</v>
      </c>
      <c r="K2767" t="s">
        <v>482</v>
      </c>
      <c r="Q2767">
        <v>0</v>
      </c>
      <c r="R2767">
        <v>0</v>
      </c>
      <c r="S2767">
        <v>0</v>
      </c>
      <c r="T2767" t="s">
        <v>192</v>
      </c>
    </row>
    <row r="2768" spans="1:25" customFormat="1" ht="15" x14ac:dyDescent="0.25">
      <c r="A2768" t="s">
        <v>24</v>
      </c>
      <c r="B2768" t="s">
        <v>56277</v>
      </c>
      <c r="C2768" t="str">
        <f>"A0055780"</f>
        <v>A0055780</v>
      </c>
      <c r="D2768" t="s">
        <v>57856</v>
      </c>
      <c r="E2768" t="s">
        <v>57857</v>
      </c>
      <c r="F2768" t="s">
        <v>57858</v>
      </c>
      <c r="G2768" t="s">
        <v>1898</v>
      </c>
      <c r="H2768">
        <v>52402</v>
      </c>
      <c r="I2768" t="s">
        <v>30</v>
      </c>
      <c r="J2768" t="s">
        <v>162</v>
      </c>
      <c r="K2768" t="s">
        <v>1490</v>
      </c>
      <c r="N2768" t="s">
        <v>57859</v>
      </c>
      <c r="Q2768">
        <v>0</v>
      </c>
      <c r="R2768">
        <v>220</v>
      </c>
      <c r="S2768">
        <v>0</v>
      </c>
      <c r="T2768" t="s">
        <v>57860</v>
      </c>
    </row>
    <row r="2769" spans="1:20" customFormat="1" ht="15" x14ac:dyDescent="0.25">
      <c r="A2769" t="s">
        <v>24</v>
      </c>
      <c r="B2769" t="s">
        <v>1528</v>
      </c>
      <c r="C2769" t="str">
        <f>"A0088471"</f>
        <v>A0088471</v>
      </c>
      <c r="D2769" t="s">
        <v>57867</v>
      </c>
      <c r="E2769" t="s">
        <v>57868</v>
      </c>
      <c r="F2769" t="s">
        <v>57869</v>
      </c>
      <c r="G2769" t="s">
        <v>76</v>
      </c>
      <c r="H2769">
        <v>98188</v>
      </c>
      <c r="I2769" t="s">
        <v>30</v>
      </c>
      <c r="J2769" t="s">
        <v>162</v>
      </c>
      <c r="K2769" t="s">
        <v>163</v>
      </c>
      <c r="N2769" t="s">
        <v>57870</v>
      </c>
      <c r="O2769" t="s">
        <v>57871</v>
      </c>
      <c r="Q2769">
        <v>0</v>
      </c>
      <c r="R2769">
        <v>167</v>
      </c>
      <c r="S2769">
        <v>0</v>
      </c>
      <c r="T2769" t="s">
        <v>57872</v>
      </c>
    </row>
    <row r="2770" spans="1:20" customFormat="1" ht="15" x14ac:dyDescent="0.25">
      <c r="A2770" t="s">
        <v>35</v>
      </c>
      <c r="B2770" t="s">
        <v>61</v>
      </c>
      <c r="C2770" t="str">
        <f>"A0185430"</f>
        <v>A0185430</v>
      </c>
      <c r="D2770" t="s">
        <v>11709</v>
      </c>
      <c r="E2770" t="s">
        <v>11710</v>
      </c>
      <c r="F2770" t="s">
        <v>8622</v>
      </c>
      <c r="G2770" t="s">
        <v>381</v>
      </c>
      <c r="H2770" t="s">
        <v>11711</v>
      </c>
      <c r="I2770" t="s">
        <v>30</v>
      </c>
      <c r="J2770" t="s">
        <v>41</v>
      </c>
      <c r="K2770" t="s">
        <v>59</v>
      </c>
      <c r="Q2770">
        <v>0</v>
      </c>
      <c r="R2770">
        <v>166</v>
      </c>
      <c r="S2770">
        <v>166</v>
      </c>
      <c r="T2770" t="s">
        <v>11712</v>
      </c>
    </row>
    <row r="2771" spans="1:20" customFormat="1" ht="15" x14ac:dyDescent="0.25">
      <c r="A2771" t="s">
        <v>35</v>
      </c>
      <c r="B2771" t="s">
        <v>61</v>
      </c>
      <c r="C2771" t="str">
        <f>"A0184161"</f>
        <v>A0184161</v>
      </c>
      <c r="D2771" t="s">
        <v>11713</v>
      </c>
      <c r="E2771" t="s">
        <v>11714</v>
      </c>
      <c r="F2771" t="s">
        <v>11715</v>
      </c>
      <c r="G2771" t="s">
        <v>65</v>
      </c>
      <c r="H2771">
        <v>45662</v>
      </c>
      <c r="I2771" t="s">
        <v>30</v>
      </c>
      <c r="J2771" t="s">
        <v>41</v>
      </c>
      <c r="K2771" t="s">
        <v>59</v>
      </c>
      <c r="Q2771">
        <v>0</v>
      </c>
      <c r="R2771">
        <v>72</v>
      </c>
      <c r="S2771">
        <v>72</v>
      </c>
      <c r="T2771" t="s">
        <v>11716</v>
      </c>
    </row>
    <row r="2772" spans="1:20" customFormat="1" ht="15" x14ac:dyDescent="0.25">
      <c r="A2772" t="s">
        <v>35</v>
      </c>
      <c r="B2772" t="s">
        <v>11717</v>
      </c>
      <c r="C2772" t="str">
        <f>"A0183646"</f>
        <v>A0183646</v>
      </c>
      <c r="D2772" t="s">
        <v>11718</v>
      </c>
      <c r="E2772" t="s">
        <v>11719</v>
      </c>
      <c r="F2772" t="s">
        <v>6278</v>
      </c>
      <c r="G2772" t="s">
        <v>103</v>
      </c>
      <c r="H2772">
        <v>166522737</v>
      </c>
      <c r="I2772" t="s">
        <v>30</v>
      </c>
      <c r="J2772" t="s">
        <v>41</v>
      </c>
      <c r="K2772" t="s">
        <v>59</v>
      </c>
      <c r="Q2772">
        <v>0</v>
      </c>
      <c r="R2772">
        <v>64</v>
      </c>
      <c r="S2772">
        <v>64</v>
      </c>
      <c r="T2772" t="s">
        <v>11720</v>
      </c>
    </row>
    <row r="2773" spans="1:20" customFormat="1" ht="15" x14ac:dyDescent="0.25">
      <c r="A2773" t="s">
        <v>35</v>
      </c>
      <c r="B2773" t="s">
        <v>61</v>
      </c>
      <c r="C2773" t="str">
        <f>"A0183595"</f>
        <v>A0183595</v>
      </c>
      <c r="D2773" t="s">
        <v>11721</v>
      </c>
      <c r="E2773" t="s">
        <v>11722</v>
      </c>
      <c r="F2773" t="s">
        <v>11723</v>
      </c>
      <c r="G2773" t="s">
        <v>52</v>
      </c>
      <c r="H2773" t="s">
        <v>11724</v>
      </c>
      <c r="I2773" t="s">
        <v>30</v>
      </c>
      <c r="J2773" t="s">
        <v>41</v>
      </c>
      <c r="K2773" t="s">
        <v>59</v>
      </c>
      <c r="Q2773">
        <v>0</v>
      </c>
      <c r="R2773">
        <v>0</v>
      </c>
      <c r="S2773">
        <v>0</v>
      </c>
      <c r="T2773" t="s">
        <v>11725</v>
      </c>
    </row>
    <row r="2774" spans="1:20" customFormat="1" ht="15" x14ac:dyDescent="0.25">
      <c r="A2774" t="s">
        <v>35</v>
      </c>
      <c r="B2774" t="s">
        <v>11717</v>
      </c>
      <c r="C2774" t="str">
        <f>"A0183403"</f>
        <v>A0183403</v>
      </c>
      <c r="D2774" t="s">
        <v>11726</v>
      </c>
      <c r="E2774" t="s">
        <v>11727</v>
      </c>
      <c r="F2774" t="s">
        <v>11728</v>
      </c>
      <c r="G2774" t="s">
        <v>103</v>
      </c>
      <c r="H2774">
        <v>181092422</v>
      </c>
      <c r="I2774" t="s">
        <v>30</v>
      </c>
      <c r="J2774" t="s">
        <v>41</v>
      </c>
      <c r="K2774" t="s">
        <v>59</v>
      </c>
      <c r="Q2774">
        <v>0</v>
      </c>
      <c r="R2774">
        <v>111</v>
      </c>
      <c r="S2774">
        <v>111</v>
      </c>
      <c r="T2774" t="s">
        <v>11729</v>
      </c>
    </row>
    <row r="2775" spans="1:20" customFormat="1" ht="15" x14ac:dyDescent="0.25">
      <c r="A2775" t="s">
        <v>35</v>
      </c>
      <c r="B2775" t="s">
        <v>61</v>
      </c>
      <c r="C2775" t="str">
        <f>"A0183006"</f>
        <v>A0183006</v>
      </c>
      <c r="D2775" t="s">
        <v>11730</v>
      </c>
      <c r="E2775" t="s">
        <v>11731</v>
      </c>
      <c r="F2775" t="s">
        <v>6758</v>
      </c>
      <c r="G2775" t="s">
        <v>1170</v>
      </c>
      <c r="H2775" t="s">
        <v>11732</v>
      </c>
      <c r="I2775" t="s">
        <v>30</v>
      </c>
      <c r="J2775" t="s">
        <v>41</v>
      </c>
      <c r="K2775" t="s">
        <v>59</v>
      </c>
      <c r="Q2775">
        <v>0</v>
      </c>
      <c r="R2775">
        <v>0</v>
      </c>
      <c r="S2775">
        <v>0</v>
      </c>
      <c r="T2775" t="s">
        <v>192</v>
      </c>
    </row>
    <row r="2776" spans="1:20" customFormat="1" ht="15" x14ac:dyDescent="0.25">
      <c r="A2776" t="s">
        <v>35</v>
      </c>
      <c r="B2776" t="s">
        <v>61</v>
      </c>
      <c r="C2776" t="str">
        <f>"A0182494"</f>
        <v>A0182494</v>
      </c>
      <c r="D2776" t="s">
        <v>11733</v>
      </c>
      <c r="E2776" t="s">
        <v>11734</v>
      </c>
      <c r="F2776" t="s">
        <v>11735</v>
      </c>
      <c r="G2776" t="s">
        <v>65</v>
      </c>
      <c r="H2776" t="s">
        <v>11736</v>
      </c>
      <c r="I2776" t="s">
        <v>30</v>
      </c>
      <c r="J2776" t="s">
        <v>41</v>
      </c>
      <c r="K2776" t="s">
        <v>59</v>
      </c>
      <c r="Q2776">
        <v>0</v>
      </c>
      <c r="R2776">
        <v>24</v>
      </c>
      <c r="S2776">
        <v>24</v>
      </c>
      <c r="T2776" t="s">
        <v>11737</v>
      </c>
    </row>
    <row r="2777" spans="1:20" customFormat="1" ht="15" x14ac:dyDescent="0.25">
      <c r="A2777" t="s">
        <v>35</v>
      </c>
      <c r="B2777" t="s">
        <v>61</v>
      </c>
      <c r="C2777" t="str">
        <f>"A0182384"</f>
        <v>A0182384</v>
      </c>
      <c r="D2777" t="s">
        <v>11738</v>
      </c>
      <c r="E2777" t="s">
        <v>11739</v>
      </c>
      <c r="F2777" t="s">
        <v>11740</v>
      </c>
      <c r="G2777" t="s">
        <v>1898</v>
      </c>
      <c r="H2777" t="s">
        <v>11741</v>
      </c>
      <c r="I2777" t="s">
        <v>30</v>
      </c>
      <c r="J2777" t="s">
        <v>41</v>
      </c>
      <c r="K2777" t="s">
        <v>59</v>
      </c>
      <c r="Q2777">
        <v>0</v>
      </c>
      <c r="R2777">
        <v>39</v>
      </c>
      <c r="S2777">
        <v>39</v>
      </c>
      <c r="T2777" t="s">
        <v>11742</v>
      </c>
    </row>
    <row r="2778" spans="1:20" customFormat="1" ht="15" x14ac:dyDescent="0.25">
      <c r="A2778" t="s">
        <v>35</v>
      </c>
      <c r="B2778" t="s">
        <v>61</v>
      </c>
      <c r="C2778" t="str">
        <f>"A0181297"</f>
        <v>A0181297</v>
      </c>
      <c r="D2778" t="s">
        <v>11743</v>
      </c>
      <c r="E2778" t="s">
        <v>11744</v>
      </c>
      <c r="F2778" t="s">
        <v>1501</v>
      </c>
      <c r="G2778" t="s">
        <v>880</v>
      </c>
      <c r="H2778" t="s">
        <v>11745</v>
      </c>
      <c r="I2778" t="s">
        <v>30</v>
      </c>
      <c r="J2778" t="s">
        <v>41</v>
      </c>
      <c r="K2778" t="s">
        <v>9956</v>
      </c>
      <c r="Q2778">
        <v>0</v>
      </c>
      <c r="R2778">
        <v>180</v>
      </c>
      <c r="S2778">
        <v>180</v>
      </c>
      <c r="T2778" t="s">
        <v>11746</v>
      </c>
    </row>
    <row r="2779" spans="1:20" customFormat="1" ht="15" x14ac:dyDescent="0.25">
      <c r="A2779" t="s">
        <v>35</v>
      </c>
      <c r="B2779" t="s">
        <v>61</v>
      </c>
      <c r="C2779" t="str">
        <f>"A0181187"</f>
        <v>A0181187</v>
      </c>
      <c r="D2779" t="s">
        <v>11747</v>
      </c>
      <c r="E2779" t="s">
        <v>11748</v>
      </c>
      <c r="F2779" t="s">
        <v>11749</v>
      </c>
      <c r="G2779" t="s">
        <v>65</v>
      </c>
      <c r="H2779" t="s">
        <v>11750</v>
      </c>
      <c r="I2779" t="s">
        <v>30</v>
      </c>
      <c r="J2779" t="s">
        <v>41</v>
      </c>
      <c r="K2779" t="s">
        <v>9956</v>
      </c>
      <c r="Q2779">
        <v>0</v>
      </c>
      <c r="R2779">
        <v>56</v>
      </c>
      <c r="S2779">
        <v>56</v>
      </c>
      <c r="T2779" t="s">
        <v>11751</v>
      </c>
    </row>
    <row r="2780" spans="1:20" customFormat="1" ht="15" x14ac:dyDescent="0.25">
      <c r="A2780" t="s">
        <v>35</v>
      </c>
      <c r="B2780" t="s">
        <v>61</v>
      </c>
      <c r="C2780" t="str">
        <f>"A0185412"</f>
        <v>A0185412</v>
      </c>
      <c r="D2780" t="s">
        <v>11752</v>
      </c>
      <c r="E2780" t="s">
        <v>11753</v>
      </c>
      <c r="F2780" t="s">
        <v>8622</v>
      </c>
      <c r="G2780" t="s">
        <v>381</v>
      </c>
      <c r="H2780" t="s">
        <v>11754</v>
      </c>
      <c r="I2780" t="s">
        <v>30</v>
      </c>
      <c r="J2780" t="s">
        <v>41</v>
      </c>
      <c r="K2780" t="s">
        <v>59</v>
      </c>
      <c r="Q2780">
        <v>0</v>
      </c>
      <c r="R2780">
        <v>0</v>
      </c>
      <c r="S2780">
        <v>0</v>
      </c>
      <c r="T2780" t="s">
        <v>11755</v>
      </c>
    </row>
    <row r="2781" spans="1:20" customFormat="1" ht="15" x14ac:dyDescent="0.25">
      <c r="A2781" t="s">
        <v>35</v>
      </c>
      <c r="B2781" t="s">
        <v>887</v>
      </c>
      <c r="C2781" t="str">
        <f>"A0185362"</f>
        <v>A0185362</v>
      </c>
      <c r="D2781" t="s">
        <v>11756</v>
      </c>
      <c r="E2781" t="s">
        <v>11757</v>
      </c>
      <c r="F2781" t="s">
        <v>890</v>
      </c>
      <c r="G2781" t="s">
        <v>381</v>
      </c>
      <c r="H2781">
        <v>463075099</v>
      </c>
      <c r="I2781" t="s">
        <v>30</v>
      </c>
      <c r="J2781" t="s">
        <v>41</v>
      </c>
      <c r="K2781" t="s">
        <v>59</v>
      </c>
      <c r="Q2781">
        <v>0</v>
      </c>
      <c r="R2781">
        <v>141</v>
      </c>
      <c r="S2781">
        <v>141</v>
      </c>
      <c r="T2781" t="s">
        <v>11758</v>
      </c>
    </row>
    <row r="2782" spans="1:20" customFormat="1" ht="15" x14ac:dyDescent="0.25">
      <c r="A2782" t="s">
        <v>35</v>
      </c>
      <c r="B2782" t="s">
        <v>61</v>
      </c>
      <c r="C2782" t="str">
        <f>"A0183986"</f>
        <v>A0183986</v>
      </c>
      <c r="D2782" t="s">
        <v>11759</v>
      </c>
      <c r="E2782" t="s">
        <v>11760</v>
      </c>
      <c r="F2782" t="s">
        <v>4133</v>
      </c>
      <c r="G2782" t="s">
        <v>52</v>
      </c>
      <c r="H2782">
        <v>78736</v>
      </c>
      <c r="I2782" t="s">
        <v>30</v>
      </c>
      <c r="J2782" t="s">
        <v>41</v>
      </c>
      <c r="K2782" t="s">
        <v>59</v>
      </c>
      <c r="Q2782">
        <v>0</v>
      </c>
      <c r="R2782">
        <v>0</v>
      </c>
      <c r="S2782">
        <v>0</v>
      </c>
      <c r="T2782" t="s">
        <v>11761</v>
      </c>
    </row>
    <row r="2783" spans="1:20" customFormat="1" ht="15" x14ac:dyDescent="0.25">
      <c r="A2783" t="s">
        <v>35</v>
      </c>
      <c r="B2783" t="s">
        <v>61</v>
      </c>
      <c r="C2783" t="str">
        <f>"A0183748"</f>
        <v>A0183748</v>
      </c>
      <c r="D2783" t="s">
        <v>11762</v>
      </c>
      <c r="E2783" t="s">
        <v>11763</v>
      </c>
      <c r="F2783" t="s">
        <v>3319</v>
      </c>
      <c r="G2783" t="s">
        <v>1898</v>
      </c>
      <c r="H2783" t="s">
        <v>11764</v>
      </c>
      <c r="I2783" t="s">
        <v>30</v>
      </c>
      <c r="J2783" t="s">
        <v>41</v>
      </c>
      <c r="K2783" t="s">
        <v>59</v>
      </c>
      <c r="Q2783">
        <v>0</v>
      </c>
      <c r="R2783">
        <v>0</v>
      </c>
      <c r="S2783">
        <v>0</v>
      </c>
      <c r="T2783" t="s">
        <v>192</v>
      </c>
    </row>
    <row r="2784" spans="1:20" customFormat="1" ht="15" x14ac:dyDescent="0.25">
      <c r="A2784" t="s">
        <v>35</v>
      </c>
      <c r="B2784" t="s">
        <v>61</v>
      </c>
      <c r="C2784" t="str">
        <f>"A0183516"</f>
        <v>A0183516</v>
      </c>
      <c r="D2784" t="s">
        <v>11765</v>
      </c>
      <c r="E2784" t="s">
        <v>11766</v>
      </c>
      <c r="F2784" t="s">
        <v>11767</v>
      </c>
      <c r="G2784" t="s">
        <v>52</v>
      </c>
      <c r="H2784" t="s">
        <v>11768</v>
      </c>
      <c r="I2784" t="s">
        <v>30</v>
      </c>
      <c r="J2784" t="s">
        <v>41</v>
      </c>
      <c r="K2784" t="s">
        <v>59</v>
      </c>
      <c r="Q2784">
        <v>0</v>
      </c>
      <c r="R2784">
        <v>0</v>
      </c>
      <c r="S2784">
        <v>0</v>
      </c>
      <c r="T2784" t="s">
        <v>11769</v>
      </c>
    </row>
    <row r="2785" spans="1:20" customFormat="1" ht="15" x14ac:dyDescent="0.25">
      <c r="A2785" t="s">
        <v>35</v>
      </c>
      <c r="B2785" t="s">
        <v>61</v>
      </c>
      <c r="C2785" t="str">
        <f>"A0181244"</f>
        <v>A0181244</v>
      </c>
      <c r="D2785" t="s">
        <v>11770</v>
      </c>
      <c r="E2785" t="s">
        <v>11771</v>
      </c>
      <c r="F2785" t="s">
        <v>11772</v>
      </c>
      <c r="G2785" t="s">
        <v>71</v>
      </c>
      <c r="H2785" t="s">
        <v>11773</v>
      </c>
      <c r="I2785" t="s">
        <v>30</v>
      </c>
      <c r="J2785" t="s">
        <v>41</v>
      </c>
      <c r="K2785" t="s">
        <v>9956</v>
      </c>
      <c r="Q2785">
        <v>0</v>
      </c>
      <c r="R2785">
        <v>245</v>
      </c>
      <c r="S2785">
        <v>245</v>
      </c>
      <c r="T2785" t="s">
        <v>11774</v>
      </c>
    </row>
    <row r="2786" spans="1:20" customFormat="1" ht="15" x14ac:dyDescent="0.25">
      <c r="A2786" t="s">
        <v>35</v>
      </c>
      <c r="B2786" t="s">
        <v>61</v>
      </c>
      <c r="C2786" t="str">
        <f>"A0185420"</f>
        <v>A0185420</v>
      </c>
      <c r="D2786" t="s">
        <v>11775</v>
      </c>
      <c r="E2786" t="s">
        <v>11776</v>
      </c>
      <c r="F2786" t="s">
        <v>11777</v>
      </c>
      <c r="G2786" t="s">
        <v>381</v>
      </c>
      <c r="H2786" t="s">
        <v>11778</v>
      </c>
      <c r="I2786" t="s">
        <v>30</v>
      </c>
      <c r="J2786" t="s">
        <v>41</v>
      </c>
      <c r="K2786" t="s">
        <v>59</v>
      </c>
      <c r="Q2786">
        <v>0</v>
      </c>
      <c r="R2786">
        <v>201</v>
      </c>
      <c r="S2786">
        <v>201</v>
      </c>
      <c r="T2786" t="s">
        <v>11779</v>
      </c>
    </row>
    <row r="2787" spans="1:20" customFormat="1" ht="15" x14ac:dyDescent="0.25">
      <c r="A2787" t="s">
        <v>35</v>
      </c>
      <c r="B2787" t="s">
        <v>61</v>
      </c>
      <c r="C2787" t="str">
        <f>"A0184966"</f>
        <v>A0184966</v>
      </c>
      <c r="D2787" t="s">
        <v>11780</v>
      </c>
      <c r="E2787" t="s">
        <v>11781</v>
      </c>
      <c r="F2787" t="s">
        <v>1039</v>
      </c>
      <c r="G2787" t="s">
        <v>76</v>
      </c>
      <c r="H2787" t="s">
        <v>11782</v>
      </c>
      <c r="I2787" t="s">
        <v>30</v>
      </c>
      <c r="J2787" t="s">
        <v>41</v>
      </c>
      <c r="K2787" t="s">
        <v>59</v>
      </c>
      <c r="Q2787">
        <v>0</v>
      </c>
      <c r="R2787">
        <v>0</v>
      </c>
      <c r="S2787">
        <v>0</v>
      </c>
      <c r="T2787" t="s">
        <v>11783</v>
      </c>
    </row>
    <row r="2788" spans="1:20" customFormat="1" ht="15" x14ac:dyDescent="0.25">
      <c r="A2788" t="s">
        <v>35</v>
      </c>
      <c r="B2788" t="s">
        <v>61</v>
      </c>
      <c r="C2788" t="str">
        <f>"A0184893"</f>
        <v>A0184893</v>
      </c>
      <c r="D2788" t="s">
        <v>11784</v>
      </c>
      <c r="E2788" t="s">
        <v>11785</v>
      </c>
      <c r="F2788" t="s">
        <v>1444</v>
      </c>
      <c r="G2788" t="s">
        <v>76</v>
      </c>
      <c r="H2788" t="s">
        <v>11786</v>
      </c>
      <c r="I2788" t="s">
        <v>30</v>
      </c>
      <c r="J2788" t="s">
        <v>41</v>
      </c>
      <c r="K2788" t="s">
        <v>59</v>
      </c>
      <c r="Q2788">
        <v>0</v>
      </c>
      <c r="R2788">
        <v>86</v>
      </c>
      <c r="S2788">
        <v>86</v>
      </c>
      <c r="T2788" t="s">
        <v>11787</v>
      </c>
    </row>
    <row r="2789" spans="1:20" customFormat="1" ht="15" x14ac:dyDescent="0.25">
      <c r="A2789" t="s">
        <v>35</v>
      </c>
      <c r="B2789" t="s">
        <v>61</v>
      </c>
      <c r="C2789" t="str">
        <f>"A0184794"</f>
        <v>A0184794</v>
      </c>
      <c r="D2789" t="s">
        <v>11788</v>
      </c>
      <c r="E2789" t="s">
        <v>11789</v>
      </c>
      <c r="F2789" t="s">
        <v>11790</v>
      </c>
      <c r="G2789" t="s">
        <v>52</v>
      </c>
      <c r="H2789" t="s">
        <v>11791</v>
      </c>
      <c r="I2789" t="s">
        <v>30</v>
      </c>
      <c r="J2789" t="s">
        <v>41</v>
      </c>
      <c r="K2789" t="s">
        <v>59</v>
      </c>
      <c r="Q2789">
        <v>0</v>
      </c>
      <c r="R2789">
        <v>0</v>
      </c>
      <c r="S2789">
        <v>0</v>
      </c>
      <c r="T2789" t="s">
        <v>192</v>
      </c>
    </row>
    <row r="2790" spans="1:20" customFormat="1" ht="15" x14ac:dyDescent="0.25">
      <c r="A2790" t="s">
        <v>35</v>
      </c>
      <c r="B2790" t="s">
        <v>61</v>
      </c>
      <c r="C2790" t="str">
        <f>"A0184533"</f>
        <v>A0184533</v>
      </c>
      <c r="D2790" t="s">
        <v>11792</v>
      </c>
      <c r="E2790" t="s">
        <v>11771</v>
      </c>
      <c r="F2790" t="s">
        <v>11772</v>
      </c>
      <c r="G2790" t="s">
        <v>71</v>
      </c>
      <c r="H2790" t="s">
        <v>11773</v>
      </c>
      <c r="I2790" t="s">
        <v>30</v>
      </c>
      <c r="J2790" t="s">
        <v>41</v>
      </c>
      <c r="K2790" t="s">
        <v>59</v>
      </c>
      <c r="Q2790">
        <v>0</v>
      </c>
      <c r="R2790">
        <v>0</v>
      </c>
      <c r="S2790">
        <v>0</v>
      </c>
      <c r="T2790" t="s">
        <v>11774</v>
      </c>
    </row>
    <row r="2791" spans="1:20" customFormat="1" ht="15" x14ac:dyDescent="0.25">
      <c r="A2791" t="s">
        <v>35</v>
      </c>
      <c r="B2791" t="s">
        <v>61</v>
      </c>
      <c r="C2791" t="str">
        <f>"A0184398"</f>
        <v>A0184398</v>
      </c>
      <c r="D2791" t="s">
        <v>11793</v>
      </c>
      <c r="E2791" t="s">
        <v>11794</v>
      </c>
      <c r="F2791" t="s">
        <v>11795</v>
      </c>
      <c r="G2791" t="s">
        <v>71</v>
      </c>
      <c r="H2791" t="s">
        <v>11796</v>
      </c>
      <c r="I2791" t="s">
        <v>30</v>
      </c>
      <c r="J2791" t="s">
        <v>41</v>
      </c>
      <c r="K2791" t="s">
        <v>59</v>
      </c>
      <c r="Q2791">
        <v>0</v>
      </c>
      <c r="R2791">
        <v>28</v>
      </c>
      <c r="S2791">
        <v>28</v>
      </c>
      <c r="T2791" t="s">
        <v>11797</v>
      </c>
    </row>
    <row r="2792" spans="1:20" customFormat="1" ht="15" x14ac:dyDescent="0.25">
      <c r="A2792" t="s">
        <v>35</v>
      </c>
      <c r="B2792" t="s">
        <v>61</v>
      </c>
      <c r="C2792" t="str">
        <f>"A0184068"</f>
        <v>A0184068</v>
      </c>
      <c r="D2792" t="s">
        <v>11798</v>
      </c>
      <c r="E2792" t="s">
        <v>11799</v>
      </c>
      <c r="F2792" t="s">
        <v>11800</v>
      </c>
      <c r="G2792" t="s">
        <v>52</v>
      </c>
      <c r="H2792">
        <v>775986701</v>
      </c>
      <c r="I2792" t="s">
        <v>30</v>
      </c>
      <c r="J2792" t="s">
        <v>41</v>
      </c>
      <c r="K2792" t="s">
        <v>59</v>
      </c>
      <c r="Q2792">
        <v>0</v>
      </c>
      <c r="R2792">
        <v>0</v>
      </c>
      <c r="S2792">
        <v>0</v>
      </c>
      <c r="T2792" t="s">
        <v>11801</v>
      </c>
    </row>
    <row r="2793" spans="1:20" customFormat="1" ht="15" x14ac:dyDescent="0.25">
      <c r="A2793" t="s">
        <v>35</v>
      </c>
      <c r="B2793" t="s">
        <v>61</v>
      </c>
      <c r="C2793" t="str">
        <f>"A0183849"</f>
        <v>A0183849</v>
      </c>
      <c r="D2793" t="s">
        <v>11802</v>
      </c>
      <c r="E2793" t="s">
        <v>11803</v>
      </c>
      <c r="F2793" t="s">
        <v>11804</v>
      </c>
      <c r="G2793" t="s">
        <v>52</v>
      </c>
      <c r="H2793" t="s">
        <v>11805</v>
      </c>
      <c r="I2793" t="s">
        <v>30</v>
      </c>
      <c r="J2793" t="s">
        <v>41</v>
      </c>
      <c r="K2793" t="s">
        <v>59</v>
      </c>
      <c r="Q2793">
        <v>0</v>
      </c>
      <c r="R2793">
        <v>0</v>
      </c>
      <c r="S2793">
        <v>0</v>
      </c>
      <c r="T2793" t="s">
        <v>11806</v>
      </c>
    </row>
    <row r="2794" spans="1:20" customFormat="1" ht="15" x14ac:dyDescent="0.25">
      <c r="A2794" t="s">
        <v>35</v>
      </c>
      <c r="B2794" t="s">
        <v>61</v>
      </c>
      <c r="C2794" t="str">
        <f>"A0183596"</f>
        <v>A0183596</v>
      </c>
      <c r="D2794" t="s">
        <v>11807</v>
      </c>
      <c r="E2794" t="s">
        <v>11808</v>
      </c>
      <c r="F2794" t="s">
        <v>11809</v>
      </c>
      <c r="G2794" t="s">
        <v>52</v>
      </c>
      <c r="H2794">
        <v>76273</v>
      </c>
      <c r="I2794" t="s">
        <v>30</v>
      </c>
      <c r="J2794" t="s">
        <v>41</v>
      </c>
      <c r="K2794" t="s">
        <v>59</v>
      </c>
      <c r="Q2794">
        <v>0</v>
      </c>
      <c r="R2794">
        <v>0</v>
      </c>
      <c r="S2794">
        <v>0</v>
      </c>
      <c r="T2794" t="s">
        <v>11810</v>
      </c>
    </row>
    <row r="2795" spans="1:20" customFormat="1" ht="15" x14ac:dyDescent="0.25">
      <c r="A2795" t="s">
        <v>35</v>
      </c>
      <c r="B2795" t="s">
        <v>61</v>
      </c>
      <c r="C2795" t="str">
        <f>"A0183212"</f>
        <v>A0183212</v>
      </c>
      <c r="D2795" t="s">
        <v>11811</v>
      </c>
      <c r="E2795" t="s">
        <v>11812</v>
      </c>
      <c r="F2795" t="s">
        <v>9836</v>
      </c>
      <c r="G2795" t="s">
        <v>110</v>
      </c>
      <c r="H2795" t="s">
        <v>11813</v>
      </c>
      <c r="I2795" t="s">
        <v>30</v>
      </c>
      <c r="J2795" t="s">
        <v>41</v>
      </c>
      <c r="K2795" t="s">
        <v>59</v>
      </c>
      <c r="Q2795">
        <v>0</v>
      </c>
      <c r="R2795">
        <v>0</v>
      </c>
      <c r="S2795">
        <v>0</v>
      </c>
      <c r="T2795" t="s">
        <v>11814</v>
      </c>
    </row>
    <row r="2796" spans="1:20" customFormat="1" ht="15" x14ac:dyDescent="0.25">
      <c r="A2796" t="s">
        <v>35</v>
      </c>
      <c r="B2796" t="s">
        <v>11815</v>
      </c>
      <c r="C2796" t="str">
        <f>"A0182784"</f>
        <v>A0182784</v>
      </c>
      <c r="D2796" t="s">
        <v>11815</v>
      </c>
      <c r="E2796" t="s">
        <v>11816</v>
      </c>
      <c r="F2796" t="s">
        <v>11817</v>
      </c>
      <c r="G2796" t="s">
        <v>1898</v>
      </c>
      <c r="H2796" t="s">
        <v>11818</v>
      </c>
      <c r="I2796" t="s">
        <v>30</v>
      </c>
      <c r="J2796" t="s">
        <v>41</v>
      </c>
      <c r="K2796" t="s">
        <v>59</v>
      </c>
      <c r="Q2796">
        <v>0</v>
      </c>
      <c r="R2796">
        <v>155</v>
      </c>
      <c r="S2796">
        <v>155</v>
      </c>
      <c r="T2796" t="s">
        <v>11819</v>
      </c>
    </row>
    <row r="2797" spans="1:20" customFormat="1" ht="15" x14ac:dyDescent="0.25">
      <c r="A2797" t="s">
        <v>35</v>
      </c>
      <c r="B2797" t="s">
        <v>61</v>
      </c>
      <c r="C2797" t="str">
        <f>"A0182287"</f>
        <v>A0182287</v>
      </c>
      <c r="D2797" t="s">
        <v>11820</v>
      </c>
      <c r="E2797" t="s">
        <v>11821</v>
      </c>
      <c r="F2797" t="s">
        <v>7317</v>
      </c>
      <c r="G2797" t="s">
        <v>1898</v>
      </c>
      <c r="H2797" t="s">
        <v>11822</v>
      </c>
      <c r="I2797" t="s">
        <v>30</v>
      </c>
      <c r="J2797" t="s">
        <v>41</v>
      </c>
      <c r="K2797" t="s">
        <v>59</v>
      </c>
      <c r="Q2797">
        <v>0</v>
      </c>
      <c r="R2797">
        <v>0</v>
      </c>
      <c r="S2797">
        <v>0</v>
      </c>
      <c r="T2797" t="s">
        <v>11823</v>
      </c>
    </row>
    <row r="2798" spans="1:20" customFormat="1" ht="15" x14ac:dyDescent="0.25">
      <c r="A2798" t="s">
        <v>35</v>
      </c>
      <c r="B2798" t="s">
        <v>61</v>
      </c>
      <c r="C2798" t="str">
        <f>"A0181941"</f>
        <v>A0181941</v>
      </c>
      <c r="D2798" t="s">
        <v>11824</v>
      </c>
      <c r="E2798" t="s">
        <v>11825</v>
      </c>
      <c r="F2798" t="s">
        <v>4112</v>
      </c>
      <c r="G2798" t="s">
        <v>71</v>
      </c>
      <c r="H2798" t="s">
        <v>11826</v>
      </c>
      <c r="I2798" t="s">
        <v>30</v>
      </c>
      <c r="J2798" t="s">
        <v>41</v>
      </c>
      <c r="K2798" t="s">
        <v>59</v>
      </c>
      <c r="Q2798">
        <v>0</v>
      </c>
      <c r="R2798">
        <v>0</v>
      </c>
      <c r="S2798">
        <v>0</v>
      </c>
      <c r="T2798" t="s">
        <v>11827</v>
      </c>
    </row>
    <row r="2799" spans="1:20" customFormat="1" ht="15" x14ac:dyDescent="0.25">
      <c r="A2799" t="s">
        <v>35</v>
      </c>
      <c r="B2799" t="s">
        <v>11828</v>
      </c>
      <c r="C2799" t="str">
        <f>"A0181157"</f>
        <v>A0181157</v>
      </c>
      <c r="D2799" t="s">
        <v>11829</v>
      </c>
      <c r="E2799" t="s">
        <v>11830</v>
      </c>
      <c r="F2799" t="s">
        <v>11831</v>
      </c>
      <c r="G2799" t="s">
        <v>161</v>
      </c>
      <c r="H2799" t="s">
        <v>11832</v>
      </c>
      <c r="I2799" t="s">
        <v>30</v>
      </c>
      <c r="J2799" t="s">
        <v>41</v>
      </c>
      <c r="K2799" t="s">
        <v>9956</v>
      </c>
      <c r="Q2799">
        <v>0</v>
      </c>
      <c r="R2799">
        <v>105</v>
      </c>
      <c r="S2799">
        <v>105</v>
      </c>
      <c r="T2799" t="s">
        <v>11833</v>
      </c>
    </row>
    <row r="2800" spans="1:20" customFormat="1" ht="15" x14ac:dyDescent="0.25">
      <c r="A2800" t="s">
        <v>35</v>
      </c>
      <c r="B2800" t="s">
        <v>61</v>
      </c>
      <c r="C2800" t="str">
        <f>"A0185355"</f>
        <v>A0185355</v>
      </c>
      <c r="D2800" t="s">
        <v>11834</v>
      </c>
      <c r="E2800" t="s">
        <v>11835</v>
      </c>
      <c r="F2800" t="s">
        <v>3293</v>
      </c>
      <c r="G2800" t="s">
        <v>381</v>
      </c>
      <c r="H2800" t="s">
        <v>11836</v>
      </c>
      <c r="I2800" t="s">
        <v>30</v>
      </c>
      <c r="J2800" t="s">
        <v>41</v>
      </c>
      <c r="K2800" t="s">
        <v>59</v>
      </c>
      <c r="Q2800">
        <v>0</v>
      </c>
      <c r="R2800">
        <v>100</v>
      </c>
      <c r="S2800">
        <v>100</v>
      </c>
      <c r="T2800" t="s">
        <v>11837</v>
      </c>
    </row>
    <row r="2801" spans="1:20" customFormat="1" ht="15" x14ac:dyDescent="0.25">
      <c r="A2801" t="s">
        <v>35</v>
      </c>
      <c r="B2801" t="s">
        <v>11692</v>
      </c>
      <c r="C2801" t="str">
        <f>"A0185194"</f>
        <v>A0185194</v>
      </c>
      <c r="D2801" t="s">
        <v>11838</v>
      </c>
      <c r="E2801" t="s">
        <v>11839</v>
      </c>
      <c r="F2801" t="s">
        <v>11695</v>
      </c>
      <c r="G2801" t="s">
        <v>117</v>
      </c>
      <c r="H2801">
        <v>490013728</v>
      </c>
      <c r="I2801" t="s">
        <v>30</v>
      </c>
      <c r="J2801" t="s">
        <v>41</v>
      </c>
      <c r="K2801" t="s">
        <v>59</v>
      </c>
      <c r="Q2801">
        <v>0</v>
      </c>
      <c r="R2801">
        <v>118</v>
      </c>
      <c r="S2801">
        <v>118</v>
      </c>
      <c r="T2801" t="s">
        <v>192</v>
      </c>
    </row>
    <row r="2802" spans="1:20" customFormat="1" ht="15" x14ac:dyDescent="0.25">
      <c r="A2802" t="s">
        <v>35</v>
      </c>
      <c r="B2802" t="s">
        <v>61</v>
      </c>
      <c r="C2802" t="str">
        <f>"A0183693"</f>
        <v>A0183693</v>
      </c>
      <c r="D2802" t="s">
        <v>11840</v>
      </c>
      <c r="E2802" t="s">
        <v>11841</v>
      </c>
      <c r="F2802" t="s">
        <v>11842</v>
      </c>
      <c r="G2802" t="s">
        <v>81</v>
      </c>
      <c r="H2802" t="s">
        <v>11843</v>
      </c>
      <c r="I2802" t="s">
        <v>30</v>
      </c>
      <c r="J2802" t="s">
        <v>41</v>
      </c>
      <c r="K2802" t="s">
        <v>59</v>
      </c>
      <c r="Q2802">
        <v>0</v>
      </c>
      <c r="R2802">
        <v>0</v>
      </c>
      <c r="S2802">
        <v>0</v>
      </c>
      <c r="T2802" t="s">
        <v>11844</v>
      </c>
    </row>
    <row r="2803" spans="1:20" customFormat="1" ht="15" x14ac:dyDescent="0.25">
      <c r="A2803" t="s">
        <v>35</v>
      </c>
      <c r="B2803" t="s">
        <v>61</v>
      </c>
      <c r="C2803" t="str">
        <f>"A0182890"</f>
        <v>A0182890</v>
      </c>
      <c r="D2803" t="s">
        <v>11845</v>
      </c>
      <c r="E2803" t="s">
        <v>11846</v>
      </c>
      <c r="F2803" t="s">
        <v>11847</v>
      </c>
      <c r="G2803" t="s">
        <v>99</v>
      </c>
      <c r="H2803" t="s">
        <v>11848</v>
      </c>
      <c r="I2803" t="s">
        <v>30</v>
      </c>
      <c r="J2803" t="s">
        <v>41</v>
      </c>
      <c r="K2803" t="s">
        <v>59</v>
      </c>
      <c r="Q2803">
        <v>0</v>
      </c>
      <c r="R2803">
        <v>120</v>
      </c>
      <c r="S2803">
        <v>120</v>
      </c>
    </row>
    <row r="2804" spans="1:20" customFormat="1" ht="15" x14ac:dyDescent="0.25">
      <c r="A2804" t="s">
        <v>35</v>
      </c>
      <c r="B2804" t="s">
        <v>61</v>
      </c>
      <c r="C2804" t="str">
        <f>"A0182487"</f>
        <v>A0182487</v>
      </c>
      <c r="D2804" t="s">
        <v>11849</v>
      </c>
      <c r="E2804" t="s">
        <v>11850</v>
      </c>
      <c r="F2804" t="s">
        <v>11851</v>
      </c>
      <c r="G2804" t="s">
        <v>214</v>
      </c>
      <c r="H2804" t="s">
        <v>11852</v>
      </c>
      <c r="I2804" t="s">
        <v>30</v>
      </c>
      <c r="J2804" t="s">
        <v>41</v>
      </c>
      <c r="K2804" t="s">
        <v>59</v>
      </c>
      <c r="Q2804">
        <v>0</v>
      </c>
      <c r="R2804">
        <v>106</v>
      </c>
      <c r="S2804">
        <v>106</v>
      </c>
      <c r="T2804" t="s">
        <v>11853</v>
      </c>
    </row>
    <row r="2805" spans="1:20" customFormat="1" ht="15" x14ac:dyDescent="0.25">
      <c r="A2805" t="s">
        <v>35</v>
      </c>
      <c r="B2805" t="s">
        <v>61</v>
      </c>
      <c r="C2805" t="str">
        <f>"A0182410"</f>
        <v>A0182410</v>
      </c>
      <c r="D2805" t="s">
        <v>11854</v>
      </c>
      <c r="E2805" t="s">
        <v>11855</v>
      </c>
      <c r="F2805" t="s">
        <v>421</v>
      </c>
      <c r="G2805" t="s">
        <v>190</v>
      </c>
      <c r="H2805" t="s">
        <v>11856</v>
      </c>
      <c r="I2805" t="s">
        <v>30</v>
      </c>
      <c r="J2805" t="s">
        <v>41</v>
      </c>
      <c r="K2805" t="s">
        <v>59</v>
      </c>
      <c r="Q2805">
        <v>0</v>
      </c>
      <c r="R2805">
        <v>0</v>
      </c>
      <c r="S2805">
        <v>0</v>
      </c>
      <c r="T2805" t="s">
        <v>11857</v>
      </c>
    </row>
    <row r="2806" spans="1:20" customFormat="1" ht="15" x14ac:dyDescent="0.25">
      <c r="A2806" t="s">
        <v>35</v>
      </c>
      <c r="B2806" t="s">
        <v>61</v>
      </c>
      <c r="C2806" t="str">
        <f>"A0184870"</f>
        <v>A0184870</v>
      </c>
      <c r="D2806" t="s">
        <v>11858</v>
      </c>
      <c r="E2806" t="s">
        <v>11859</v>
      </c>
      <c r="F2806" t="s">
        <v>11064</v>
      </c>
      <c r="G2806" t="s">
        <v>289</v>
      </c>
      <c r="H2806" t="s">
        <v>11860</v>
      </c>
      <c r="I2806" t="s">
        <v>30</v>
      </c>
      <c r="J2806" t="s">
        <v>41</v>
      </c>
      <c r="K2806" t="s">
        <v>59</v>
      </c>
      <c r="Q2806">
        <v>0</v>
      </c>
      <c r="R2806">
        <v>0</v>
      </c>
      <c r="S2806">
        <v>0</v>
      </c>
      <c r="T2806" t="s">
        <v>11861</v>
      </c>
    </row>
    <row r="2807" spans="1:20" customFormat="1" ht="15" x14ac:dyDescent="0.25">
      <c r="A2807" t="s">
        <v>35</v>
      </c>
      <c r="B2807" t="s">
        <v>61</v>
      </c>
      <c r="C2807" t="str">
        <f>"A0184171"</f>
        <v>A0184171</v>
      </c>
      <c r="D2807" t="s">
        <v>11862</v>
      </c>
      <c r="E2807" t="s">
        <v>11863</v>
      </c>
      <c r="F2807" t="s">
        <v>5292</v>
      </c>
      <c r="G2807" t="s">
        <v>427</v>
      </c>
      <c r="H2807" t="s">
        <v>11864</v>
      </c>
      <c r="I2807" t="s">
        <v>30</v>
      </c>
      <c r="J2807" t="s">
        <v>41</v>
      </c>
      <c r="K2807" t="s">
        <v>59</v>
      </c>
      <c r="Q2807">
        <v>0</v>
      </c>
      <c r="R2807">
        <v>0</v>
      </c>
      <c r="S2807">
        <v>0</v>
      </c>
      <c r="T2807" t="s">
        <v>11865</v>
      </c>
    </row>
    <row r="2808" spans="1:20" customFormat="1" ht="15" x14ac:dyDescent="0.25">
      <c r="A2808" t="s">
        <v>35</v>
      </c>
      <c r="B2808" t="s">
        <v>61</v>
      </c>
      <c r="C2808" t="str">
        <f>"A0183495"</f>
        <v>A0183495</v>
      </c>
      <c r="D2808" t="s">
        <v>11866</v>
      </c>
      <c r="E2808" t="s">
        <v>11867</v>
      </c>
      <c r="F2808" t="s">
        <v>11868</v>
      </c>
      <c r="G2808" t="s">
        <v>214</v>
      </c>
      <c r="H2808" t="s">
        <v>11869</v>
      </c>
      <c r="I2808" t="s">
        <v>30</v>
      </c>
      <c r="J2808" t="s">
        <v>41</v>
      </c>
      <c r="K2808" t="s">
        <v>59</v>
      </c>
      <c r="Q2808">
        <v>0</v>
      </c>
      <c r="R2808">
        <v>0</v>
      </c>
      <c r="S2808">
        <v>0</v>
      </c>
      <c r="T2808" t="s">
        <v>11870</v>
      </c>
    </row>
    <row r="2809" spans="1:20" customFormat="1" ht="15" x14ac:dyDescent="0.25">
      <c r="A2809" t="s">
        <v>35</v>
      </c>
      <c r="B2809" t="s">
        <v>11871</v>
      </c>
      <c r="C2809" t="str">
        <f>"A0181966"</f>
        <v>A0181966</v>
      </c>
      <c r="D2809" t="s">
        <v>11872</v>
      </c>
      <c r="E2809" t="s">
        <v>11873</v>
      </c>
      <c r="F2809" t="s">
        <v>11874</v>
      </c>
      <c r="G2809" t="s">
        <v>1170</v>
      </c>
      <c r="H2809" t="s">
        <v>11875</v>
      </c>
      <c r="I2809" t="s">
        <v>30</v>
      </c>
      <c r="J2809" t="s">
        <v>41</v>
      </c>
      <c r="K2809" t="s">
        <v>59</v>
      </c>
      <c r="Q2809">
        <v>0</v>
      </c>
      <c r="R2809">
        <v>0</v>
      </c>
      <c r="S2809">
        <v>0</v>
      </c>
      <c r="T2809" t="s">
        <v>11876</v>
      </c>
    </row>
    <row r="2810" spans="1:20" customFormat="1" ht="15" x14ac:dyDescent="0.25">
      <c r="A2810" t="s">
        <v>35</v>
      </c>
      <c r="B2810" t="s">
        <v>61</v>
      </c>
      <c r="C2810" t="str">
        <f>"A0181479"</f>
        <v>A0181479</v>
      </c>
      <c r="D2810" t="s">
        <v>11877</v>
      </c>
      <c r="E2810" t="s">
        <v>11878</v>
      </c>
      <c r="F2810" t="s">
        <v>11879</v>
      </c>
      <c r="G2810" t="s">
        <v>615</v>
      </c>
      <c r="H2810" t="s">
        <v>11880</v>
      </c>
      <c r="I2810" t="s">
        <v>30</v>
      </c>
      <c r="J2810" t="s">
        <v>41</v>
      </c>
      <c r="K2810" t="s">
        <v>59</v>
      </c>
      <c r="Q2810">
        <v>0</v>
      </c>
      <c r="R2810">
        <v>0</v>
      </c>
      <c r="S2810">
        <v>0</v>
      </c>
      <c r="T2810" t="s">
        <v>11881</v>
      </c>
    </row>
    <row r="2811" spans="1:20" customFormat="1" ht="15" x14ac:dyDescent="0.25">
      <c r="A2811" t="s">
        <v>35</v>
      </c>
      <c r="B2811" t="s">
        <v>61</v>
      </c>
      <c r="C2811" t="str">
        <f>"A0180774"</f>
        <v>A0180774</v>
      </c>
      <c r="D2811" t="s">
        <v>11882</v>
      </c>
      <c r="E2811" t="s">
        <v>11883</v>
      </c>
      <c r="F2811" t="s">
        <v>11884</v>
      </c>
      <c r="G2811" t="s">
        <v>71</v>
      </c>
      <c r="H2811" t="s">
        <v>11885</v>
      </c>
      <c r="I2811" t="s">
        <v>30</v>
      </c>
      <c r="J2811" t="s">
        <v>41</v>
      </c>
      <c r="K2811" t="s">
        <v>482</v>
      </c>
      <c r="Q2811">
        <v>0</v>
      </c>
      <c r="R2811">
        <v>10</v>
      </c>
      <c r="S2811">
        <v>10</v>
      </c>
      <c r="T2811" t="s">
        <v>11886</v>
      </c>
    </row>
    <row r="2812" spans="1:20" customFormat="1" ht="15" x14ac:dyDescent="0.25">
      <c r="A2812" t="s">
        <v>24</v>
      </c>
      <c r="B2812" t="s">
        <v>1849</v>
      </c>
      <c r="C2812" t="str">
        <f>"A0092211"</f>
        <v>A0092211</v>
      </c>
      <c r="D2812" t="s">
        <v>11887</v>
      </c>
      <c r="E2812" t="s">
        <v>11888</v>
      </c>
      <c r="F2812" t="s">
        <v>2014</v>
      </c>
      <c r="G2812" t="s">
        <v>197</v>
      </c>
      <c r="H2812">
        <v>85253</v>
      </c>
      <c r="I2812" t="s">
        <v>30</v>
      </c>
      <c r="J2812" t="s">
        <v>191</v>
      </c>
      <c r="K2812" t="s">
        <v>11889</v>
      </c>
      <c r="N2812" t="s">
        <v>11890</v>
      </c>
      <c r="Q2812">
        <v>0</v>
      </c>
      <c r="R2812">
        <v>0</v>
      </c>
      <c r="S2812">
        <v>0</v>
      </c>
      <c r="T2812" t="s">
        <v>11891</v>
      </c>
    </row>
    <row r="2813" spans="1:20" customFormat="1" ht="15" x14ac:dyDescent="0.25">
      <c r="A2813" t="s">
        <v>35</v>
      </c>
      <c r="B2813" t="s">
        <v>11892</v>
      </c>
      <c r="C2813" t="str">
        <f>"A0185313"</f>
        <v>A0185313</v>
      </c>
      <c r="D2813" t="s">
        <v>11893</v>
      </c>
      <c r="E2813" t="s">
        <v>11894</v>
      </c>
      <c r="F2813" t="s">
        <v>11895</v>
      </c>
      <c r="G2813" t="s">
        <v>117</v>
      </c>
      <c r="H2813" t="s">
        <v>11896</v>
      </c>
      <c r="I2813" t="s">
        <v>30</v>
      </c>
      <c r="J2813" t="s">
        <v>41</v>
      </c>
      <c r="K2813" t="s">
        <v>59</v>
      </c>
      <c r="Q2813">
        <v>0</v>
      </c>
      <c r="R2813">
        <v>0</v>
      </c>
      <c r="S2813">
        <v>0</v>
      </c>
      <c r="T2813" t="s">
        <v>11897</v>
      </c>
    </row>
    <row r="2814" spans="1:20" customFormat="1" ht="15" x14ac:dyDescent="0.25">
      <c r="A2814" t="s">
        <v>35</v>
      </c>
      <c r="B2814" t="s">
        <v>11898</v>
      </c>
      <c r="C2814" t="str">
        <f>"A0184990"</f>
        <v>A0184990</v>
      </c>
      <c r="D2814" t="s">
        <v>11899</v>
      </c>
      <c r="E2814" t="s">
        <v>11900</v>
      </c>
      <c r="F2814" t="s">
        <v>5778</v>
      </c>
      <c r="G2814" t="s">
        <v>117</v>
      </c>
      <c r="H2814">
        <v>482371427</v>
      </c>
      <c r="I2814" t="s">
        <v>30</v>
      </c>
      <c r="J2814" t="s">
        <v>41</v>
      </c>
      <c r="K2814" t="s">
        <v>59</v>
      </c>
      <c r="Q2814">
        <v>0</v>
      </c>
      <c r="R2814">
        <v>0</v>
      </c>
      <c r="S2814">
        <v>0</v>
      </c>
      <c r="T2814" t="s">
        <v>11901</v>
      </c>
    </row>
    <row r="2815" spans="1:20" customFormat="1" ht="15" x14ac:dyDescent="0.25">
      <c r="A2815" t="s">
        <v>35</v>
      </c>
      <c r="B2815" t="s">
        <v>61</v>
      </c>
      <c r="C2815" t="str">
        <f>"A0184890"</f>
        <v>A0184890</v>
      </c>
      <c r="D2815" t="s">
        <v>11902</v>
      </c>
      <c r="E2815" t="s">
        <v>11903</v>
      </c>
      <c r="F2815" t="s">
        <v>4082</v>
      </c>
      <c r="G2815" t="s">
        <v>123</v>
      </c>
      <c r="H2815" t="s">
        <v>11904</v>
      </c>
      <c r="I2815" t="s">
        <v>30</v>
      </c>
      <c r="J2815" t="s">
        <v>41</v>
      </c>
      <c r="K2815" t="s">
        <v>59</v>
      </c>
      <c r="Q2815">
        <v>0</v>
      </c>
      <c r="R2815">
        <v>111</v>
      </c>
      <c r="S2815">
        <v>111</v>
      </c>
      <c r="T2815" t="s">
        <v>11905</v>
      </c>
    </row>
    <row r="2816" spans="1:20" customFormat="1" ht="15" x14ac:dyDescent="0.25">
      <c r="A2816" t="s">
        <v>35</v>
      </c>
      <c r="B2816" t="s">
        <v>61</v>
      </c>
      <c r="C2816" t="str">
        <f>"A0184097"</f>
        <v>A0184097</v>
      </c>
      <c r="D2816" t="s">
        <v>11906</v>
      </c>
      <c r="E2816" t="s">
        <v>11907</v>
      </c>
      <c r="F2816" t="s">
        <v>2307</v>
      </c>
      <c r="G2816" t="s">
        <v>65</v>
      </c>
      <c r="H2816" t="s">
        <v>11908</v>
      </c>
      <c r="I2816" t="s">
        <v>30</v>
      </c>
      <c r="J2816" t="s">
        <v>41</v>
      </c>
      <c r="K2816" t="s">
        <v>59</v>
      </c>
      <c r="Q2816">
        <v>0</v>
      </c>
      <c r="R2816">
        <v>0</v>
      </c>
      <c r="S2816">
        <v>0</v>
      </c>
      <c r="T2816" t="s">
        <v>11909</v>
      </c>
    </row>
    <row r="2817" spans="1:20" customFormat="1" ht="15" x14ac:dyDescent="0.25">
      <c r="A2817" t="s">
        <v>35</v>
      </c>
      <c r="B2817" t="s">
        <v>11717</v>
      </c>
      <c r="C2817" t="str">
        <f>"A0183386"</f>
        <v>A0183386</v>
      </c>
      <c r="D2817" t="s">
        <v>11910</v>
      </c>
      <c r="E2817" t="s">
        <v>11911</v>
      </c>
      <c r="F2817" t="s">
        <v>6723</v>
      </c>
      <c r="G2817" t="s">
        <v>103</v>
      </c>
      <c r="H2817">
        <v>172470217</v>
      </c>
      <c r="I2817" t="s">
        <v>30</v>
      </c>
      <c r="J2817" t="s">
        <v>41</v>
      </c>
      <c r="K2817" t="s">
        <v>59</v>
      </c>
      <c r="Q2817">
        <v>0</v>
      </c>
      <c r="R2817">
        <v>195</v>
      </c>
      <c r="S2817">
        <v>195</v>
      </c>
      <c r="T2817" t="s">
        <v>11912</v>
      </c>
    </row>
    <row r="2818" spans="1:20" customFormat="1" ht="15" x14ac:dyDescent="0.25">
      <c r="A2818" t="s">
        <v>35</v>
      </c>
      <c r="B2818" t="s">
        <v>61</v>
      </c>
      <c r="C2818" t="str">
        <f>"A0181942"</f>
        <v>A0181942</v>
      </c>
      <c r="D2818" t="s">
        <v>11913</v>
      </c>
      <c r="E2818" t="s">
        <v>11914</v>
      </c>
      <c r="F2818" t="s">
        <v>11772</v>
      </c>
      <c r="G2818" t="s">
        <v>71</v>
      </c>
      <c r="H2818" t="s">
        <v>11915</v>
      </c>
      <c r="I2818" t="s">
        <v>30</v>
      </c>
      <c r="J2818" t="s">
        <v>41</v>
      </c>
      <c r="K2818" t="s">
        <v>59</v>
      </c>
      <c r="Q2818">
        <v>0</v>
      </c>
      <c r="R2818">
        <v>0</v>
      </c>
      <c r="S2818">
        <v>0</v>
      </c>
      <c r="T2818" t="s">
        <v>11916</v>
      </c>
    </row>
    <row r="2819" spans="1:20" customFormat="1" ht="15" x14ac:dyDescent="0.25">
      <c r="A2819" t="s">
        <v>35</v>
      </c>
      <c r="B2819" t="s">
        <v>11717</v>
      </c>
      <c r="C2819" t="str">
        <f>"A0183387"</f>
        <v>A0183387</v>
      </c>
      <c r="D2819" t="s">
        <v>11917</v>
      </c>
      <c r="E2819" t="s">
        <v>11918</v>
      </c>
      <c r="F2819" t="s">
        <v>11919</v>
      </c>
      <c r="G2819" t="s">
        <v>103</v>
      </c>
      <c r="H2819">
        <v>193631354</v>
      </c>
      <c r="I2819" t="s">
        <v>30</v>
      </c>
      <c r="J2819" t="s">
        <v>41</v>
      </c>
      <c r="K2819" t="s">
        <v>59</v>
      </c>
      <c r="Q2819">
        <v>0</v>
      </c>
      <c r="R2819">
        <v>137</v>
      </c>
      <c r="S2819">
        <v>137</v>
      </c>
      <c r="T2819" t="s">
        <v>11920</v>
      </c>
    </row>
    <row r="2820" spans="1:20" customFormat="1" ht="15" x14ac:dyDescent="0.25">
      <c r="A2820" t="s">
        <v>35</v>
      </c>
      <c r="B2820" t="s">
        <v>61</v>
      </c>
      <c r="C2820" t="str">
        <f>"A0180835"</f>
        <v>A0180835</v>
      </c>
      <c r="D2820" t="s">
        <v>11921</v>
      </c>
      <c r="E2820" t="s">
        <v>11922</v>
      </c>
      <c r="F2820" t="s">
        <v>9211</v>
      </c>
      <c r="G2820" t="s">
        <v>103</v>
      </c>
      <c r="H2820" t="s">
        <v>11923</v>
      </c>
      <c r="I2820" t="s">
        <v>30</v>
      </c>
      <c r="J2820" t="s">
        <v>41</v>
      </c>
      <c r="K2820" t="s">
        <v>482</v>
      </c>
      <c r="Q2820">
        <v>0</v>
      </c>
      <c r="R2820">
        <v>0</v>
      </c>
      <c r="S2820">
        <v>0</v>
      </c>
      <c r="T2820" t="s">
        <v>11924</v>
      </c>
    </row>
    <row r="2821" spans="1:20" customFormat="1" ht="15" x14ac:dyDescent="0.25">
      <c r="A2821" t="s">
        <v>35</v>
      </c>
      <c r="B2821" t="s">
        <v>61</v>
      </c>
      <c r="C2821" t="str">
        <f>"A0184447"</f>
        <v>A0184447</v>
      </c>
      <c r="D2821" t="s">
        <v>11925</v>
      </c>
      <c r="E2821" t="s">
        <v>11926</v>
      </c>
      <c r="F2821" t="s">
        <v>8111</v>
      </c>
      <c r="G2821" t="s">
        <v>427</v>
      </c>
      <c r="H2821" t="s">
        <v>11927</v>
      </c>
      <c r="I2821" t="s">
        <v>30</v>
      </c>
      <c r="J2821" t="s">
        <v>41</v>
      </c>
      <c r="K2821" t="s">
        <v>59</v>
      </c>
      <c r="Q2821">
        <v>0</v>
      </c>
      <c r="R2821">
        <v>0</v>
      </c>
      <c r="S2821">
        <v>0</v>
      </c>
      <c r="T2821" t="s">
        <v>11928</v>
      </c>
    </row>
    <row r="2822" spans="1:20" customFormat="1" ht="15" x14ac:dyDescent="0.25">
      <c r="A2822" t="s">
        <v>35</v>
      </c>
      <c r="B2822" t="s">
        <v>61</v>
      </c>
      <c r="C2822" t="str">
        <f>"A0182355"</f>
        <v>A0182355</v>
      </c>
      <c r="D2822" t="s">
        <v>11929</v>
      </c>
      <c r="E2822" t="s">
        <v>11930</v>
      </c>
      <c r="F2822" t="s">
        <v>5778</v>
      </c>
      <c r="G2822" t="s">
        <v>117</v>
      </c>
      <c r="H2822">
        <v>48237</v>
      </c>
      <c r="I2822" t="s">
        <v>30</v>
      </c>
      <c r="J2822" t="s">
        <v>41</v>
      </c>
      <c r="K2822" t="s">
        <v>59</v>
      </c>
      <c r="Q2822">
        <v>0</v>
      </c>
      <c r="R2822">
        <v>0</v>
      </c>
      <c r="S2822">
        <v>0</v>
      </c>
      <c r="T2822" t="s">
        <v>192</v>
      </c>
    </row>
    <row r="2823" spans="1:20" customFormat="1" ht="15" x14ac:dyDescent="0.25">
      <c r="A2823" t="s">
        <v>35</v>
      </c>
      <c r="B2823" t="s">
        <v>11931</v>
      </c>
      <c r="C2823" t="str">
        <f>"A0185225"</f>
        <v>A0185225</v>
      </c>
      <c r="D2823" t="s">
        <v>11931</v>
      </c>
      <c r="E2823" t="s">
        <v>11932</v>
      </c>
      <c r="F2823" t="s">
        <v>11933</v>
      </c>
      <c r="G2823" t="s">
        <v>40</v>
      </c>
      <c r="H2823" t="s">
        <v>11934</v>
      </c>
      <c r="I2823" t="s">
        <v>30</v>
      </c>
      <c r="J2823" t="s">
        <v>41</v>
      </c>
      <c r="K2823" t="s">
        <v>59</v>
      </c>
      <c r="Q2823">
        <v>0</v>
      </c>
      <c r="R2823">
        <v>0</v>
      </c>
      <c r="S2823">
        <v>0</v>
      </c>
      <c r="T2823" t="s">
        <v>11935</v>
      </c>
    </row>
    <row r="2824" spans="1:20" customFormat="1" ht="15" x14ac:dyDescent="0.25">
      <c r="A2824" t="s">
        <v>35</v>
      </c>
      <c r="B2824" t="s">
        <v>61</v>
      </c>
      <c r="C2824" t="str">
        <f>"A0185019"</f>
        <v>A0185019</v>
      </c>
      <c r="D2824" t="s">
        <v>11936</v>
      </c>
      <c r="E2824" t="s">
        <v>11937</v>
      </c>
      <c r="F2824" t="s">
        <v>1444</v>
      </c>
      <c r="G2824" t="s">
        <v>76</v>
      </c>
      <c r="H2824" t="s">
        <v>11938</v>
      </c>
      <c r="I2824" t="s">
        <v>30</v>
      </c>
      <c r="J2824" t="s">
        <v>41</v>
      </c>
      <c r="K2824" t="s">
        <v>59</v>
      </c>
      <c r="Q2824">
        <v>0</v>
      </c>
      <c r="R2824">
        <v>0</v>
      </c>
      <c r="S2824">
        <v>0</v>
      </c>
      <c r="T2824" t="s">
        <v>11939</v>
      </c>
    </row>
    <row r="2825" spans="1:20" customFormat="1" ht="15" x14ac:dyDescent="0.25">
      <c r="A2825" t="s">
        <v>35</v>
      </c>
      <c r="B2825" t="s">
        <v>61</v>
      </c>
      <c r="C2825" t="str">
        <f>"A0184993"</f>
        <v>A0184993</v>
      </c>
      <c r="D2825" t="s">
        <v>11940</v>
      </c>
      <c r="E2825" t="s">
        <v>11941</v>
      </c>
      <c r="F2825" t="s">
        <v>6152</v>
      </c>
      <c r="G2825" t="s">
        <v>123</v>
      </c>
      <c r="H2825" t="s">
        <v>11942</v>
      </c>
      <c r="I2825" t="s">
        <v>30</v>
      </c>
      <c r="J2825" t="s">
        <v>41</v>
      </c>
      <c r="K2825" t="s">
        <v>59</v>
      </c>
      <c r="Q2825">
        <v>0</v>
      </c>
      <c r="R2825">
        <v>0</v>
      </c>
      <c r="S2825">
        <v>0</v>
      </c>
      <c r="T2825" t="s">
        <v>11943</v>
      </c>
    </row>
    <row r="2826" spans="1:20" customFormat="1" ht="15" x14ac:dyDescent="0.25">
      <c r="A2826" t="s">
        <v>35</v>
      </c>
      <c r="B2826" t="s">
        <v>61</v>
      </c>
      <c r="C2826" t="str">
        <f>"A0183951"</f>
        <v>A0183951</v>
      </c>
      <c r="D2826" t="s">
        <v>11944</v>
      </c>
      <c r="E2826" t="s">
        <v>11945</v>
      </c>
      <c r="F2826" t="s">
        <v>11946</v>
      </c>
      <c r="G2826" t="s">
        <v>65</v>
      </c>
      <c r="H2826">
        <v>433579536</v>
      </c>
      <c r="I2826" t="s">
        <v>30</v>
      </c>
      <c r="J2826" t="s">
        <v>41</v>
      </c>
      <c r="K2826" t="s">
        <v>59</v>
      </c>
      <c r="Q2826">
        <v>0</v>
      </c>
      <c r="R2826">
        <v>254</v>
      </c>
      <c r="S2826">
        <v>254</v>
      </c>
      <c r="T2826" t="s">
        <v>11947</v>
      </c>
    </row>
    <row r="2827" spans="1:20" customFormat="1" ht="15" x14ac:dyDescent="0.25">
      <c r="A2827" t="s">
        <v>35</v>
      </c>
      <c r="B2827" t="s">
        <v>61</v>
      </c>
      <c r="C2827" t="str">
        <f>"A0182940"</f>
        <v>A0182940</v>
      </c>
      <c r="D2827" t="s">
        <v>11948</v>
      </c>
      <c r="E2827" t="s">
        <v>11949</v>
      </c>
      <c r="F2827" t="s">
        <v>2719</v>
      </c>
      <c r="G2827" t="s">
        <v>190</v>
      </c>
      <c r="H2827" t="s">
        <v>11950</v>
      </c>
      <c r="I2827" t="s">
        <v>30</v>
      </c>
      <c r="J2827" t="s">
        <v>41</v>
      </c>
      <c r="K2827" t="s">
        <v>59</v>
      </c>
      <c r="Q2827">
        <v>0</v>
      </c>
      <c r="R2827">
        <v>44</v>
      </c>
      <c r="S2827">
        <v>44</v>
      </c>
      <c r="T2827" t="s">
        <v>11951</v>
      </c>
    </row>
    <row r="2828" spans="1:20" customFormat="1" ht="15" x14ac:dyDescent="0.25">
      <c r="A2828" t="s">
        <v>35</v>
      </c>
      <c r="B2828" t="s">
        <v>61</v>
      </c>
      <c r="C2828" t="str">
        <f>"A0182736"</f>
        <v>A0182736</v>
      </c>
      <c r="D2828" t="s">
        <v>11952</v>
      </c>
      <c r="E2828" t="s">
        <v>11953</v>
      </c>
      <c r="F2828" t="s">
        <v>4674</v>
      </c>
      <c r="G2828" t="s">
        <v>314</v>
      </c>
      <c r="H2828" t="s">
        <v>11954</v>
      </c>
      <c r="I2828" t="s">
        <v>30</v>
      </c>
      <c r="J2828" t="s">
        <v>41</v>
      </c>
      <c r="K2828" t="s">
        <v>59</v>
      </c>
      <c r="Q2828">
        <v>0</v>
      </c>
      <c r="R2828">
        <v>0</v>
      </c>
      <c r="S2828">
        <v>0</v>
      </c>
      <c r="T2828" t="s">
        <v>11955</v>
      </c>
    </row>
    <row r="2829" spans="1:20" customFormat="1" ht="15" x14ac:dyDescent="0.25">
      <c r="A2829" t="s">
        <v>35</v>
      </c>
      <c r="B2829" t="s">
        <v>61</v>
      </c>
      <c r="C2829" t="str">
        <f>"A0181817"</f>
        <v>A0181817</v>
      </c>
      <c r="D2829" t="s">
        <v>11956</v>
      </c>
      <c r="E2829" t="s">
        <v>11957</v>
      </c>
      <c r="F2829" t="s">
        <v>11958</v>
      </c>
      <c r="G2829" t="s">
        <v>161</v>
      </c>
      <c r="H2829" t="s">
        <v>11959</v>
      </c>
      <c r="I2829" t="s">
        <v>30</v>
      </c>
      <c r="J2829" t="s">
        <v>41</v>
      </c>
      <c r="K2829" t="s">
        <v>59</v>
      </c>
      <c r="Q2829">
        <v>0</v>
      </c>
      <c r="R2829">
        <v>0</v>
      </c>
      <c r="S2829">
        <v>0</v>
      </c>
      <c r="T2829" t="s">
        <v>11960</v>
      </c>
    </row>
    <row r="2830" spans="1:20" customFormat="1" ht="15" x14ac:dyDescent="0.25">
      <c r="A2830" t="s">
        <v>35</v>
      </c>
      <c r="B2830" t="s">
        <v>61</v>
      </c>
      <c r="C2830" t="str">
        <f>"A0181540"</f>
        <v>A0181540</v>
      </c>
      <c r="D2830" t="s">
        <v>11961</v>
      </c>
      <c r="E2830" t="s">
        <v>11962</v>
      </c>
      <c r="F2830" t="s">
        <v>11963</v>
      </c>
      <c r="G2830" t="s">
        <v>840</v>
      </c>
      <c r="H2830" t="s">
        <v>11964</v>
      </c>
      <c r="I2830" t="s">
        <v>30</v>
      </c>
      <c r="J2830" t="s">
        <v>41</v>
      </c>
      <c r="K2830" t="s">
        <v>59</v>
      </c>
      <c r="Q2830">
        <v>0</v>
      </c>
      <c r="R2830">
        <v>0</v>
      </c>
      <c r="S2830">
        <v>0</v>
      </c>
      <c r="T2830" t="s">
        <v>192</v>
      </c>
    </row>
    <row r="2831" spans="1:20" customFormat="1" ht="15" x14ac:dyDescent="0.25">
      <c r="A2831" t="s">
        <v>35</v>
      </c>
      <c r="B2831" t="s">
        <v>61</v>
      </c>
      <c r="C2831" t="str">
        <f>"A0181330"</f>
        <v>A0181330</v>
      </c>
      <c r="D2831" t="s">
        <v>11965</v>
      </c>
      <c r="E2831" t="s">
        <v>11966</v>
      </c>
      <c r="F2831" t="s">
        <v>11967</v>
      </c>
      <c r="G2831" t="s">
        <v>137</v>
      </c>
      <c r="H2831" t="s">
        <v>11968</v>
      </c>
      <c r="I2831" t="s">
        <v>30</v>
      </c>
      <c r="J2831" t="s">
        <v>41</v>
      </c>
      <c r="K2831" t="s">
        <v>9956</v>
      </c>
      <c r="Q2831">
        <v>0</v>
      </c>
      <c r="R2831">
        <v>60</v>
      </c>
      <c r="S2831">
        <v>60</v>
      </c>
      <c r="T2831" t="s">
        <v>11969</v>
      </c>
    </row>
    <row r="2832" spans="1:20" customFormat="1" ht="15" x14ac:dyDescent="0.25">
      <c r="A2832" t="s">
        <v>35</v>
      </c>
      <c r="B2832" t="s">
        <v>61</v>
      </c>
      <c r="C2832" t="str">
        <f>"A0181267"</f>
        <v>A0181267</v>
      </c>
      <c r="D2832" t="s">
        <v>11970</v>
      </c>
      <c r="E2832" t="s">
        <v>11971</v>
      </c>
      <c r="F2832" t="s">
        <v>11972</v>
      </c>
      <c r="G2832" t="s">
        <v>103</v>
      </c>
      <c r="H2832" t="s">
        <v>11973</v>
      </c>
      <c r="I2832" t="s">
        <v>30</v>
      </c>
      <c r="J2832" t="s">
        <v>41</v>
      </c>
      <c r="K2832" t="s">
        <v>9956</v>
      </c>
      <c r="Q2832">
        <v>0</v>
      </c>
      <c r="R2832">
        <v>50</v>
      </c>
      <c r="S2832">
        <v>50</v>
      </c>
      <c r="T2832" t="s">
        <v>11974</v>
      </c>
    </row>
    <row r="2833" spans="1:20" customFormat="1" ht="15" x14ac:dyDescent="0.25">
      <c r="A2833" t="s">
        <v>35</v>
      </c>
      <c r="B2833" t="s">
        <v>61</v>
      </c>
      <c r="C2833" t="str">
        <f>"A0181137"</f>
        <v>A0181137</v>
      </c>
      <c r="D2833" t="s">
        <v>11975</v>
      </c>
      <c r="E2833" t="s">
        <v>11976</v>
      </c>
      <c r="F2833" t="s">
        <v>11977</v>
      </c>
      <c r="G2833" t="s">
        <v>99</v>
      </c>
      <c r="H2833">
        <v>147601921</v>
      </c>
      <c r="I2833" t="s">
        <v>30</v>
      </c>
      <c r="J2833" t="s">
        <v>41</v>
      </c>
      <c r="K2833" t="s">
        <v>9956</v>
      </c>
      <c r="Q2833">
        <v>0</v>
      </c>
      <c r="R2833">
        <v>120</v>
      </c>
      <c r="S2833">
        <v>120</v>
      </c>
      <c r="T2833" t="s">
        <v>11978</v>
      </c>
    </row>
    <row r="2834" spans="1:20" customFormat="1" ht="15" x14ac:dyDescent="0.25">
      <c r="A2834" t="s">
        <v>35</v>
      </c>
      <c r="B2834" t="s">
        <v>61</v>
      </c>
      <c r="C2834" t="str">
        <f>"A0180717"</f>
        <v>A0180717</v>
      </c>
      <c r="D2834" t="s">
        <v>11979</v>
      </c>
      <c r="E2834" t="s">
        <v>11980</v>
      </c>
      <c r="F2834" t="s">
        <v>11831</v>
      </c>
      <c r="G2834" t="s">
        <v>161</v>
      </c>
      <c r="H2834" t="s">
        <v>11981</v>
      </c>
      <c r="I2834" t="s">
        <v>30</v>
      </c>
      <c r="J2834" t="s">
        <v>41</v>
      </c>
      <c r="K2834" t="s">
        <v>482</v>
      </c>
      <c r="Q2834">
        <v>0</v>
      </c>
      <c r="R2834">
        <v>0</v>
      </c>
      <c r="S2834">
        <v>0</v>
      </c>
      <c r="T2834" t="s">
        <v>11982</v>
      </c>
    </row>
    <row r="2835" spans="1:20" customFormat="1" ht="15" x14ac:dyDescent="0.25">
      <c r="A2835" t="s">
        <v>24</v>
      </c>
      <c r="B2835" t="s">
        <v>193</v>
      </c>
      <c r="C2835" t="str">
        <f>"56809"</f>
        <v>56809</v>
      </c>
      <c r="D2835" t="s">
        <v>11983</v>
      </c>
      <c r="E2835" t="s">
        <v>11984</v>
      </c>
      <c r="F2835" t="s">
        <v>11985</v>
      </c>
      <c r="G2835" t="s">
        <v>99</v>
      </c>
      <c r="H2835">
        <v>14221</v>
      </c>
      <c r="I2835" t="s">
        <v>30</v>
      </c>
      <c r="J2835" t="s">
        <v>2272</v>
      </c>
      <c r="K2835" t="s">
        <v>163</v>
      </c>
      <c r="N2835" t="s">
        <v>11986</v>
      </c>
      <c r="O2835" t="s">
        <v>11987</v>
      </c>
      <c r="Q2835">
        <v>0</v>
      </c>
      <c r="R2835">
        <v>112</v>
      </c>
      <c r="S2835">
        <v>0</v>
      </c>
      <c r="T2835" t="s">
        <v>11988</v>
      </c>
    </row>
    <row r="2836" spans="1:20" customFormat="1" ht="15" x14ac:dyDescent="0.25">
      <c r="A2836" t="s">
        <v>24</v>
      </c>
      <c r="B2836" t="s">
        <v>4400</v>
      </c>
      <c r="C2836" t="str">
        <f>"A0188281"</f>
        <v>A0188281</v>
      </c>
      <c r="D2836" t="s">
        <v>11989</v>
      </c>
      <c r="E2836" t="s">
        <v>11990</v>
      </c>
      <c r="F2836" t="s">
        <v>11991</v>
      </c>
      <c r="G2836" t="s">
        <v>1706</v>
      </c>
      <c r="H2836">
        <v>35758</v>
      </c>
      <c r="I2836" t="s">
        <v>30</v>
      </c>
      <c r="J2836" t="s">
        <v>31</v>
      </c>
      <c r="K2836" t="s">
        <v>261</v>
      </c>
      <c r="N2836" t="s">
        <v>11992</v>
      </c>
      <c r="Q2836">
        <v>0</v>
      </c>
      <c r="R2836">
        <v>97</v>
      </c>
      <c r="S2836">
        <v>0</v>
      </c>
      <c r="T2836" t="s">
        <v>11993</v>
      </c>
    </row>
    <row r="2837" spans="1:20" customFormat="1" ht="15" x14ac:dyDescent="0.25">
      <c r="A2837" t="s">
        <v>35</v>
      </c>
      <c r="B2837" t="s">
        <v>11386</v>
      </c>
      <c r="C2837" t="str">
        <f>"A0188325"</f>
        <v>A0188325</v>
      </c>
      <c r="D2837" t="s">
        <v>11994</v>
      </c>
      <c r="E2837" t="s">
        <v>11995</v>
      </c>
      <c r="F2837" t="s">
        <v>11996</v>
      </c>
      <c r="G2837" t="s">
        <v>381</v>
      </c>
      <c r="H2837">
        <v>47150</v>
      </c>
      <c r="I2837" t="s">
        <v>30</v>
      </c>
      <c r="J2837" t="s">
        <v>41</v>
      </c>
      <c r="K2837" t="s">
        <v>482</v>
      </c>
      <c r="Q2837">
        <v>0</v>
      </c>
      <c r="R2837">
        <v>0</v>
      </c>
      <c r="S2837">
        <v>100</v>
      </c>
      <c r="T2837" t="s">
        <v>11389</v>
      </c>
    </row>
    <row r="2838" spans="1:20" customFormat="1" ht="15" x14ac:dyDescent="0.25">
      <c r="A2838" t="s">
        <v>35</v>
      </c>
      <c r="B2838" t="s">
        <v>36</v>
      </c>
      <c r="C2838" t="str">
        <f>"A0188324"</f>
        <v>A0188324</v>
      </c>
      <c r="D2838" t="s">
        <v>11997</v>
      </c>
      <c r="E2838" t="s">
        <v>11998</v>
      </c>
      <c r="F2838" t="s">
        <v>11999</v>
      </c>
      <c r="G2838" t="s">
        <v>3236</v>
      </c>
      <c r="H2838">
        <v>57328</v>
      </c>
      <c r="I2838" t="s">
        <v>30</v>
      </c>
      <c r="J2838" t="s">
        <v>41</v>
      </c>
      <c r="K2838" t="s">
        <v>112</v>
      </c>
      <c r="Q2838">
        <v>0</v>
      </c>
      <c r="R2838">
        <v>0</v>
      </c>
      <c r="S2838">
        <v>0</v>
      </c>
      <c r="T2838" t="s">
        <v>12000</v>
      </c>
    </row>
    <row r="2839" spans="1:20" customFormat="1" ht="15" x14ac:dyDescent="0.25">
      <c r="A2839" t="s">
        <v>35</v>
      </c>
      <c r="B2839" t="s">
        <v>36</v>
      </c>
      <c r="C2839" t="str">
        <f>"A0188323"</f>
        <v>A0188323</v>
      </c>
      <c r="D2839" t="s">
        <v>12001</v>
      </c>
      <c r="E2839" t="s">
        <v>12002</v>
      </c>
      <c r="F2839" t="s">
        <v>879</v>
      </c>
      <c r="G2839" t="s">
        <v>880</v>
      </c>
      <c r="H2839">
        <v>37801</v>
      </c>
      <c r="I2839" t="s">
        <v>30</v>
      </c>
      <c r="J2839" t="s">
        <v>41</v>
      </c>
      <c r="K2839" t="s">
        <v>42</v>
      </c>
      <c r="Q2839">
        <v>0</v>
      </c>
      <c r="R2839">
        <v>0</v>
      </c>
      <c r="S2839">
        <v>0</v>
      </c>
      <c r="T2839" t="s">
        <v>12003</v>
      </c>
    </row>
    <row r="2840" spans="1:20" customFormat="1" ht="15" x14ac:dyDescent="0.25">
      <c r="A2840" t="s">
        <v>35</v>
      </c>
      <c r="B2840" t="s">
        <v>36</v>
      </c>
      <c r="C2840" t="str">
        <f>"A0188322"</f>
        <v>A0188322</v>
      </c>
      <c r="D2840" t="s">
        <v>12004</v>
      </c>
      <c r="E2840" t="s">
        <v>12005</v>
      </c>
      <c r="F2840" t="s">
        <v>1762</v>
      </c>
      <c r="G2840" t="s">
        <v>840</v>
      </c>
      <c r="H2840">
        <v>42066</v>
      </c>
      <c r="I2840" t="s">
        <v>30</v>
      </c>
      <c r="J2840" t="s">
        <v>41</v>
      </c>
      <c r="K2840" t="s">
        <v>42</v>
      </c>
      <c r="Q2840">
        <v>0</v>
      </c>
      <c r="R2840">
        <v>0</v>
      </c>
      <c r="S2840">
        <v>0</v>
      </c>
      <c r="T2840" t="s">
        <v>12006</v>
      </c>
    </row>
    <row r="2841" spans="1:20" customFormat="1" ht="15" x14ac:dyDescent="0.25">
      <c r="A2841" t="s">
        <v>35</v>
      </c>
      <c r="B2841" t="s">
        <v>36</v>
      </c>
      <c r="C2841" t="str">
        <f>"A0188321"</f>
        <v>A0188321</v>
      </c>
      <c r="D2841" t="s">
        <v>12007</v>
      </c>
      <c r="E2841" t="s">
        <v>12008</v>
      </c>
      <c r="F2841" t="s">
        <v>12009</v>
      </c>
      <c r="G2841" t="s">
        <v>81</v>
      </c>
      <c r="H2841">
        <v>34731</v>
      </c>
      <c r="I2841" t="s">
        <v>30</v>
      </c>
      <c r="J2841" t="s">
        <v>41</v>
      </c>
      <c r="K2841" t="s">
        <v>42</v>
      </c>
      <c r="Q2841">
        <v>0</v>
      </c>
      <c r="R2841">
        <v>0</v>
      </c>
      <c r="S2841">
        <v>0</v>
      </c>
      <c r="T2841" t="s">
        <v>12010</v>
      </c>
    </row>
    <row r="2842" spans="1:20" customFormat="1" ht="15" x14ac:dyDescent="0.25">
      <c r="A2842" t="s">
        <v>35</v>
      </c>
      <c r="B2842" t="s">
        <v>36</v>
      </c>
      <c r="C2842" t="str">
        <f>"A0188320"</f>
        <v>A0188320</v>
      </c>
      <c r="D2842" t="s">
        <v>12011</v>
      </c>
      <c r="E2842" t="s">
        <v>12012</v>
      </c>
      <c r="F2842" t="s">
        <v>12013</v>
      </c>
      <c r="G2842" t="s">
        <v>197</v>
      </c>
      <c r="H2842">
        <v>85338</v>
      </c>
      <c r="I2842" t="s">
        <v>30</v>
      </c>
      <c r="J2842" t="s">
        <v>41</v>
      </c>
      <c r="K2842" t="s">
        <v>42</v>
      </c>
      <c r="Q2842">
        <v>0</v>
      </c>
      <c r="R2842">
        <v>0</v>
      </c>
      <c r="S2842">
        <v>0</v>
      </c>
      <c r="T2842" t="s">
        <v>12014</v>
      </c>
    </row>
    <row r="2843" spans="1:20" customFormat="1" ht="15" x14ac:dyDescent="0.25">
      <c r="A2843" t="s">
        <v>35</v>
      </c>
      <c r="B2843" t="s">
        <v>36</v>
      </c>
      <c r="C2843" t="str">
        <f>"A0188319"</f>
        <v>A0188319</v>
      </c>
      <c r="D2843" t="s">
        <v>12015</v>
      </c>
      <c r="E2843" t="s">
        <v>12016</v>
      </c>
      <c r="F2843" t="s">
        <v>12017</v>
      </c>
      <c r="G2843" t="s">
        <v>81</v>
      </c>
      <c r="H2843">
        <v>32656</v>
      </c>
      <c r="I2843" t="s">
        <v>30</v>
      </c>
      <c r="J2843" t="s">
        <v>41</v>
      </c>
      <c r="K2843" t="s">
        <v>42</v>
      </c>
      <c r="Q2843">
        <v>0</v>
      </c>
      <c r="R2843">
        <v>0</v>
      </c>
      <c r="S2843">
        <v>0</v>
      </c>
      <c r="T2843" t="s">
        <v>12018</v>
      </c>
    </row>
    <row r="2844" spans="1:20" customFormat="1" ht="15" x14ac:dyDescent="0.25">
      <c r="A2844" t="s">
        <v>35</v>
      </c>
      <c r="B2844" t="s">
        <v>12019</v>
      </c>
      <c r="C2844" t="str">
        <f>"A0188318"</f>
        <v>A0188318</v>
      </c>
      <c r="D2844" t="s">
        <v>12020</v>
      </c>
      <c r="E2844" t="s">
        <v>12021</v>
      </c>
      <c r="F2844" t="s">
        <v>8447</v>
      </c>
      <c r="G2844" t="s">
        <v>81</v>
      </c>
      <c r="H2844">
        <v>33324</v>
      </c>
      <c r="I2844" t="s">
        <v>30</v>
      </c>
      <c r="J2844" t="s">
        <v>41</v>
      </c>
      <c r="K2844" t="s">
        <v>42</v>
      </c>
      <c r="Q2844">
        <v>0</v>
      </c>
      <c r="R2844">
        <v>0</v>
      </c>
      <c r="S2844">
        <v>0</v>
      </c>
      <c r="T2844" t="s">
        <v>12022</v>
      </c>
    </row>
    <row r="2845" spans="1:20" customFormat="1" ht="15" x14ac:dyDescent="0.25">
      <c r="A2845" t="s">
        <v>35</v>
      </c>
      <c r="B2845" t="s">
        <v>12023</v>
      </c>
      <c r="C2845" t="str">
        <f>"A0188317"</f>
        <v>A0188317</v>
      </c>
      <c r="D2845" t="s">
        <v>12024</v>
      </c>
      <c r="E2845" t="s">
        <v>12025</v>
      </c>
      <c r="F2845" t="s">
        <v>8647</v>
      </c>
      <c r="G2845" t="s">
        <v>29</v>
      </c>
      <c r="H2845">
        <v>24153</v>
      </c>
      <c r="I2845" t="s">
        <v>30</v>
      </c>
      <c r="J2845" t="s">
        <v>41</v>
      </c>
      <c r="K2845" t="s">
        <v>229</v>
      </c>
      <c r="Q2845">
        <v>0</v>
      </c>
      <c r="R2845">
        <v>0</v>
      </c>
      <c r="S2845">
        <v>65</v>
      </c>
      <c r="T2845" t="s">
        <v>12026</v>
      </c>
    </row>
    <row r="2846" spans="1:20" customFormat="1" ht="15" x14ac:dyDescent="0.25">
      <c r="A2846" t="s">
        <v>35</v>
      </c>
      <c r="B2846" t="s">
        <v>12023</v>
      </c>
      <c r="C2846" t="str">
        <f>"A0188316"</f>
        <v>A0188316</v>
      </c>
      <c r="D2846" t="s">
        <v>12027</v>
      </c>
      <c r="E2846" t="s">
        <v>12028</v>
      </c>
      <c r="F2846" t="s">
        <v>8647</v>
      </c>
      <c r="G2846" t="s">
        <v>29</v>
      </c>
      <c r="H2846">
        <v>24153</v>
      </c>
      <c r="I2846" t="s">
        <v>30</v>
      </c>
      <c r="J2846" t="s">
        <v>41</v>
      </c>
      <c r="K2846" t="s">
        <v>10880</v>
      </c>
      <c r="Q2846">
        <v>0</v>
      </c>
      <c r="R2846">
        <v>0</v>
      </c>
      <c r="S2846">
        <v>0</v>
      </c>
      <c r="T2846" t="s">
        <v>12026</v>
      </c>
    </row>
    <row r="2847" spans="1:20" customFormat="1" ht="15" x14ac:dyDescent="0.25">
      <c r="A2847" t="s">
        <v>35</v>
      </c>
      <c r="B2847" t="s">
        <v>12023</v>
      </c>
      <c r="C2847" t="str">
        <f>"A0188315"</f>
        <v>A0188315</v>
      </c>
      <c r="D2847" t="s">
        <v>12029</v>
      </c>
      <c r="E2847" t="s">
        <v>12030</v>
      </c>
      <c r="F2847" t="s">
        <v>8647</v>
      </c>
      <c r="G2847" t="s">
        <v>29</v>
      </c>
      <c r="H2847">
        <v>24153</v>
      </c>
      <c r="I2847" t="s">
        <v>30</v>
      </c>
      <c r="J2847" t="s">
        <v>41</v>
      </c>
      <c r="K2847" t="s">
        <v>59</v>
      </c>
      <c r="Q2847">
        <v>0</v>
      </c>
      <c r="R2847">
        <v>0</v>
      </c>
      <c r="S2847">
        <v>120</v>
      </c>
      <c r="T2847" t="s">
        <v>12026</v>
      </c>
    </row>
    <row r="2848" spans="1:20" customFormat="1" ht="15" x14ac:dyDescent="0.25">
      <c r="A2848" t="s">
        <v>35</v>
      </c>
      <c r="B2848" t="s">
        <v>12023</v>
      </c>
      <c r="C2848" t="str">
        <f>"A0188314"</f>
        <v>A0188314</v>
      </c>
      <c r="D2848" t="s">
        <v>12031</v>
      </c>
      <c r="E2848" t="s">
        <v>12032</v>
      </c>
      <c r="F2848" t="s">
        <v>8647</v>
      </c>
      <c r="G2848" t="s">
        <v>29</v>
      </c>
      <c r="H2848">
        <v>24153</v>
      </c>
      <c r="I2848" t="s">
        <v>30</v>
      </c>
      <c r="J2848" t="s">
        <v>41</v>
      </c>
      <c r="K2848" t="s">
        <v>229</v>
      </c>
      <c r="Q2848">
        <v>0</v>
      </c>
      <c r="R2848">
        <v>0</v>
      </c>
      <c r="S2848">
        <v>100</v>
      </c>
      <c r="T2848" t="s">
        <v>12026</v>
      </c>
    </row>
    <row r="2849" spans="1:20" customFormat="1" ht="15" x14ac:dyDescent="0.25">
      <c r="A2849" t="s">
        <v>35</v>
      </c>
      <c r="B2849" t="s">
        <v>12023</v>
      </c>
      <c r="C2849" t="str">
        <f>"A0188313"</f>
        <v>A0188313</v>
      </c>
      <c r="D2849" t="s">
        <v>12033</v>
      </c>
      <c r="E2849" t="s">
        <v>12034</v>
      </c>
      <c r="F2849" t="s">
        <v>8647</v>
      </c>
      <c r="G2849" t="s">
        <v>29</v>
      </c>
      <c r="H2849">
        <v>24153</v>
      </c>
      <c r="I2849" t="s">
        <v>30</v>
      </c>
      <c r="J2849" t="s">
        <v>41</v>
      </c>
      <c r="K2849" t="s">
        <v>229</v>
      </c>
      <c r="Q2849">
        <v>0</v>
      </c>
      <c r="R2849">
        <v>0</v>
      </c>
      <c r="S2849">
        <v>120</v>
      </c>
      <c r="T2849" t="s">
        <v>12026</v>
      </c>
    </row>
    <row r="2850" spans="1:20" customFormat="1" ht="15" x14ac:dyDescent="0.25">
      <c r="A2850" t="s">
        <v>35</v>
      </c>
      <c r="B2850" t="s">
        <v>12023</v>
      </c>
      <c r="C2850" t="str">
        <f>"A0188312"</f>
        <v>A0188312</v>
      </c>
      <c r="D2850" t="s">
        <v>12035</v>
      </c>
      <c r="E2850" t="s">
        <v>12036</v>
      </c>
      <c r="F2850" t="s">
        <v>8647</v>
      </c>
      <c r="G2850" t="s">
        <v>29</v>
      </c>
      <c r="H2850">
        <v>24153</v>
      </c>
      <c r="I2850" t="s">
        <v>30</v>
      </c>
      <c r="J2850" t="s">
        <v>41</v>
      </c>
      <c r="K2850" t="s">
        <v>229</v>
      </c>
      <c r="Q2850">
        <v>0</v>
      </c>
      <c r="R2850">
        <v>0</v>
      </c>
      <c r="S2850">
        <v>125</v>
      </c>
      <c r="T2850" t="s">
        <v>12026</v>
      </c>
    </row>
    <row r="2851" spans="1:20" customFormat="1" ht="15" x14ac:dyDescent="0.25">
      <c r="A2851" t="s">
        <v>35</v>
      </c>
      <c r="B2851" t="s">
        <v>12023</v>
      </c>
      <c r="C2851" t="str">
        <f>"A0188311"</f>
        <v>A0188311</v>
      </c>
      <c r="D2851" t="s">
        <v>12037</v>
      </c>
      <c r="E2851" t="s">
        <v>12038</v>
      </c>
      <c r="F2851" t="s">
        <v>4108</v>
      </c>
      <c r="G2851" t="s">
        <v>29</v>
      </c>
      <c r="H2851">
        <v>24012</v>
      </c>
      <c r="I2851" t="s">
        <v>30</v>
      </c>
      <c r="J2851" t="s">
        <v>41</v>
      </c>
      <c r="K2851" t="s">
        <v>229</v>
      </c>
      <c r="Q2851">
        <v>0</v>
      </c>
      <c r="R2851">
        <v>0</v>
      </c>
      <c r="S2851">
        <v>160</v>
      </c>
      <c r="T2851" t="s">
        <v>12026</v>
      </c>
    </row>
    <row r="2852" spans="1:20" customFormat="1" ht="15" x14ac:dyDescent="0.25">
      <c r="A2852" t="s">
        <v>35</v>
      </c>
      <c r="B2852" t="s">
        <v>12023</v>
      </c>
      <c r="C2852" t="str">
        <f>"A0188310"</f>
        <v>A0188310</v>
      </c>
      <c r="D2852" t="s">
        <v>12039</v>
      </c>
      <c r="E2852" t="s">
        <v>12040</v>
      </c>
      <c r="F2852" t="s">
        <v>8647</v>
      </c>
      <c r="G2852" t="s">
        <v>29</v>
      </c>
      <c r="H2852">
        <v>24153</v>
      </c>
      <c r="I2852" t="s">
        <v>30</v>
      </c>
      <c r="J2852" t="s">
        <v>41</v>
      </c>
      <c r="K2852" t="s">
        <v>229</v>
      </c>
      <c r="Q2852">
        <v>0</v>
      </c>
      <c r="R2852">
        <v>0</v>
      </c>
      <c r="S2852">
        <v>60</v>
      </c>
      <c r="T2852" t="s">
        <v>12026</v>
      </c>
    </row>
    <row r="2853" spans="1:20" customFormat="1" ht="15" x14ac:dyDescent="0.25">
      <c r="A2853" t="s">
        <v>35</v>
      </c>
      <c r="B2853" t="s">
        <v>12023</v>
      </c>
      <c r="C2853" t="str">
        <f>"A0188309"</f>
        <v>A0188309</v>
      </c>
      <c r="D2853" t="s">
        <v>12041</v>
      </c>
      <c r="E2853" t="s">
        <v>12034</v>
      </c>
      <c r="F2853" t="s">
        <v>8647</v>
      </c>
      <c r="G2853" t="s">
        <v>29</v>
      </c>
      <c r="H2853">
        <v>24153</v>
      </c>
      <c r="I2853" t="s">
        <v>30</v>
      </c>
      <c r="J2853" t="s">
        <v>41</v>
      </c>
      <c r="K2853" t="s">
        <v>229</v>
      </c>
      <c r="Q2853">
        <v>0</v>
      </c>
      <c r="R2853">
        <v>0</v>
      </c>
      <c r="S2853">
        <v>80</v>
      </c>
      <c r="T2853" t="s">
        <v>12026</v>
      </c>
    </row>
    <row r="2854" spans="1:20" customFormat="1" ht="15" x14ac:dyDescent="0.25">
      <c r="A2854" t="s">
        <v>35</v>
      </c>
      <c r="B2854" t="s">
        <v>12023</v>
      </c>
      <c r="C2854" t="str">
        <f>"A0188308"</f>
        <v>A0188308</v>
      </c>
      <c r="D2854" t="s">
        <v>12042</v>
      </c>
      <c r="E2854" t="s">
        <v>12043</v>
      </c>
      <c r="F2854" t="s">
        <v>8647</v>
      </c>
      <c r="G2854" t="s">
        <v>29</v>
      </c>
      <c r="H2854">
        <v>24153</v>
      </c>
      <c r="I2854" t="s">
        <v>30</v>
      </c>
      <c r="J2854" t="s">
        <v>41</v>
      </c>
      <c r="K2854" t="s">
        <v>59</v>
      </c>
      <c r="Q2854">
        <v>0</v>
      </c>
      <c r="R2854">
        <v>0</v>
      </c>
      <c r="S2854">
        <v>80</v>
      </c>
      <c r="T2854" t="s">
        <v>12026</v>
      </c>
    </row>
    <row r="2855" spans="1:20" customFormat="1" ht="15" x14ac:dyDescent="0.25">
      <c r="A2855" t="s">
        <v>35</v>
      </c>
      <c r="B2855" t="s">
        <v>12023</v>
      </c>
      <c r="C2855" t="str">
        <f>"A0188307"</f>
        <v>A0188307</v>
      </c>
      <c r="D2855" t="s">
        <v>12044</v>
      </c>
      <c r="E2855" t="s">
        <v>12045</v>
      </c>
      <c r="F2855" t="s">
        <v>8647</v>
      </c>
      <c r="G2855" t="s">
        <v>29</v>
      </c>
      <c r="H2855">
        <v>24153</v>
      </c>
      <c r="I2855" t="s">
        <v>30</v>
      </c>
      <c r="J2855" t="s">
        <v>41</v>
      </c>
      <c r="K2855" t="s">
        <v>229</v>
      </c>
      <c r="Q2855">
        <v>0</v>
      </c>
      <c r="R2855">
        <v>0</v>
      </c>
      <c r="S2855">
        <v>250</v>
      </c>
      <c r="T2855" t="s">
        <v>12026</v>
      </c>
    </row>
    <row r="2856" spans="1:20" customFormat="1" ht="15" x14ac:dyDescent="0.25">
      <c r="A2856" t="s">
        <v>35</v>
      </c>
      <c r="B2856" t="s">
        <v>54</v>
      </c>
      <c r="C2856" t="str">
        <f>"A0188306"</f>
        <v>A0188306</v>
      </c>
      <c r="D2856" t="s">
        <v>12046</v>
      </c>
      <c r="E2856" t="s">
        <v>3103</v>
      </c>
      <c r="F2856" t="s">
        <v>3104</v>
      </c>
      <c r="G2856" t="s">
        <v>1508</v>
      </c>
      <c r="H2856">
        <v>82801</v>
      </c>
      <c r="I2856" t="s">
        <v>30</v>
      </c>
      <c r="J2856" t="s">
        <v>41</v>
      </c>
      <c r="K2856" t="s">
        <v>229</v>
      </c>
      <c r="Q2856">
        <v>0</v>
      </c>
      <c r="R2856">
        <v>0</v>
      </c>
      <c r="S2856">
        <v>128</v>
      </c>
      <c r="T2856" t="s">
        <v>3105</v>
      </c>
    </row>
    <row r="2857" spans="1:20" customFormat="1" ht="15" x14ac:dyDescent="0.25">
      <c r="A2857" t="s">
        <v>35</v>
      </c>
      <c r="B2857" t="s">
        <v>54</v>
      </c>
      <c r="C2857" t="str">
        <f>"A0188305"</f>
        <v>A0188305</v>
      </c>
      <c r="D2857" t="s">
        <v>12047</v>
      </c>
      <c r="E2857" t="s">
        <v>12048</v>
      </c>
      <c r="F2857" t="s">
        <v>3096</v>
      </c>
      <c r="G2857" t="s">
        <v>1508</v>
      </c>
      <c r="H2857">
        <v>82001</v>
      </c>
      <c r="I2857" t="s">
        <v>30</v>
      </c>
      <c r="J2857" t="s">
        <v>41</v>
      </c>
      <c r="K2857" t="s">
        <v>229</v>
      </c>
      <c r="Q2857">
        <v>0</v>
      </c>
      <c r="R2857">
        <v>0</v>
      </c>
      <c r="S2857">
        <v>105</v>
      </c>
      <c r="T2857" t="s">
        <v>3097</v>
      </c>
    </row>
    <row r="2858" spans="1:20" customFormat="1" ht="15" x14ac:dyDescent="0.25">
      <c r="A2858" t="s">
        <v>35</v>
      </c>
      <c r="B2858" t="s">
        <v>12049</v>
      </c>
      <c r="C2858" t="str">
        <f>"A0188304"</f>
        <v>A0188304</v>
      </c>
      <c r="D2858" t="s">
        <v>12050</v>
      </c>
      <c r="E2858" t="s">
        <v>12051</v>
      </c>
      <c r="F2858" t="s">
        <v>12052</v>
      </c>
      <c r="G2858" t="s">
        <v>1898</v>
      </c>
      <c r="H2858">
        <v>52577</v>
      </c>
      <c r="I2858" t="s">
        <v>30</v>
      </c>
      <c r="J2858" t="s">
        <v>41</v>
      </c>
      <c r="K2858" t="s">
        <v>131</v>
      </c>
      <c r="Q2858">
        <v>0</v>
      </c>
      <c r="R2858">
        <v>0</v>
      </c>
      <c r="S2858">
        <v>12</v>
      </c>
      <c r="T2858" t="s">
        <v>12053</v>
      </c>
    </row>
    <row r="2859" spans="1:20" customFormat="1" ht="15" x14ac:dyDescent="0.25">
      <c r="A2859" t="s">
        <v>35</v>
      </c>
      <c r="B2859" t="s">
        <v>61</v>
      </c>
      <c r="C2859" t="str">
        <f>"A0188303"</f>
        <v>A0188303</v>
      </c>
      <c r="D2859" t="s">
        <v>12054</v>
      </c>
      <c r="E2859" t="s">
        <v>12055</v>
      </c>
      <c r="F2859" t="s">
        <v>426</v>
      </c>
      <c r="G2859" t="s">
        <v>427</v>
      </c>
      <c r="H2859">
        <v>68114</v>
      </c>
      <c r="I2859" t="s">
        <v>30</v>
      </c>
      <c r="J2859" t="s">
        <v>41</v>
      </c>
      <c r="K2859" t="s">
        <v>59</v>
      </c>
      <c r="Q2859">
        <v>0</v>
      </c>
      <c r="R2859">
        <v>0</v>
      </c>
      <c r="S2859">
        <v>0</v>
      </c>
      <c r="T2859" t="s">
        <v>72</v>
      </c>
    </row>
    <row r="2860" spans="1:20" customFormat="1" ht="15" x14ac:dyDescent="0.25">
      <c r="A2860" t="s">
        <v>35</v>
      </c>
      <c r="B2860" t="s">
        <v>61</v>
      </c>
      <c r="C2860" t="str">
        <f>"A0188302"</f>
        <v>A0188302</v>
      </c>
      <c r="D2860" t="s">
        <v>12056</v>
      </c>
      <c r="E2860" t="s">
        <v>12057</v>
      </c>
      <c r="F2860" t="s">
        <v>11777</v>
      </c>
      <c r="G2860" t="s">
        <v>880</v>
      </c>
      <c r="H2860">
        <v>37043</v>
      </c>
      <c r="I2860" t="s">
        <v>30</v>
      </c>
      <c r="J2860" t="s">
        <v>41</v>
      </c>
      <c r="K2860" t="s">
        <v>59</v>
      </c>
      <c r="Q2860">
        <v>0</v>
      </c>
      <c r="R2860">
        <v>0</v>
      </c>
      <c r="S2860">
        <v>120</v>
      </c>
      <c r="T2860" t="s">
        <v>12058</v>
      </c>
    </row>
    <row r="2861" spans="1:20" customFormat="1" ht="15" x14ac:dyDescent="0.25">
      <c r="A2861" t="s">
        <v>35</v>
      </c>
      <c r="B2861" t="s">
        <v>61</v>
      </c>
      <c r="C2861" t="str">
        <f>"A0188301"</f>
        <v>A0188301</v>
      </c>
      <c r="D2861" t="s">
        <v>12059</v>
      </c>
      <c r="E2861" t="s">
        <v>12060</v>
      </c>
      <c r="F2861" t="s">
        <v>12061</v>
      </c>
      <c r="G2861" t="s">
        <v>427</v>
      </c>
      <c r="H2861">
        <v>68046</v>
      </c>
      <c r="I2861" t="s">
        <v>30</v>
      </c>
      <c r="J2861" t="s">
        <v>41</v>
      </c>
      <c r="K2861" t="s">
        <v>59</v>
      </c>
      <c r="Q2861">
        <v>0</v>
      </c>
      <c r="R2861">
        <v>0</v>
      </c>
      <c r="S2861">
        <v>0</v>
      </c>
      <c r="T2861" t="s">
        <v>72</v>
      </c>
    </row>
    <row r="2862" spans="1:20" customFormat="1" ht="15" x14ac:dyDescent="0.25">
      <c r="A2862" t="s">
        <v>35</v>
      </c>
      <c r="B2862" t="s">
        <v>61</v>
      </c>
      <c r="C2862" t="str">
        <f>"A0188300"</f>
        <v>A0188300</v>
      </c>
      <c r="D2862" t="s">
        <v>12062</v>
      </c>
      <c r="E2862" t="s">
        <v>12063</v>
      </c>
      <c r="F2862" t="s">
        <v>12064</v>
      </c>
      <c r="G2862" t="s">
        <v>1898</v>
      </c>
      <c r="H2862">
        <v>51503</v>
      </c>
      <c r="I2862" t="s">
        <v>30</v>
      </c>
      <c r="J2862" t="s">
        <v>41</v>
      </c>
      <c r="K2862" t="s">
        <v>59</v>
      </c>
      <c r="Q2862">
        <v>0</v>
      </c>
      <c r="R2862">
        <v>0</v>
      </c>
      <c r="S2862">
        <v>0</v>
      </c>
      <c r="T2862" t="s">
        <v>72</v>
      </c>
    </row>
    <row r="2863" spans="1:20" customFormat="1" ht="15" x14ac:dyDescent="0.25">
      <c r="A2863" t="s">
        <v>35</v>
      </c>
      <c r="B2863" t="s">
        <v>61</v>
      </c>
      <c r="C2863" t="str">
        <f>"A0188299"</f>
        <v>A0188299</v>
      </c>
      <c r="D2863" t="s">
        <v>12065</v>
      </c>
      <c r="E2863" t="s">
        <v>12066</v>
      </c>
      <c r="F2863" t="s">
        <v>426</v>
      </c>
      <c r="G2863" t="s">
        <v>427</v>
      </c>
      <c r="H2863">
        <v>68152</v>
      </c>
      <c r="I2863" t="s">
        <v>30</v>
      </c>
      <c r="J2863" t="s">
        <v>41</v>
      </c>
      <c r="K2863" t="s">
        <v>59</v>
      </c>
      <c r="Q2863">
        <v>0</v>
      </c>
      <c r="R2863">
        <v>0</v>
      </c>
      <c r="S2863">
        <v>0</v>
      </c>
      <c r="T2863" t="s">
        <v>72</v>
      </c>
    </row>
    <row r="2864" spans="1:20" customFormat="1" ht="15" x14ac:dyDescent="0.25">
      <c r="A2864" t="s">
        <v>35</v>
      </c>
      <c r="B2864" t="s">
        <v>61</v>
      </c>
      <c r="C2864" t="str">
        <f>"A0188298"</f>
        <v>A0188298</v>
      </c>
      <c r="D2864" t="s">
        <v>12067</v>
      </c>
      <c r="E2864" t="s">
        <v>12068</v>
      </c>
      <c r="F2864" t="s">
        <v>5292</v>
      </c>
      <c r="G2864" t="s">
        <v>427</v>
      </c>
      <c r="H2864">
        <v>68516</v>
      </c>
      <c r="I2864" t="s">
        <v>30</v>
      </c>
      <c r="J2864" t="s">
        <v>41</v>
      </c>
      <c r="K2864" t="s">
        <v>59</v>
      </c>
      <c r="Q2864">
        <v>0</v>
      </c>
      <c r="R2864">
        <v>0</v>
      </c>
      <c r="S2864">
        <v>0</v>
      </c>
      <c r="T2864" t="s">
        <v>72</v>
      </c>
    </row>
    <row r="2865" spans="1:20" customFormat="1" ht="15" x14ac:dyDescent="0.25">
      <c r="A2865" t="s">
        <v>35</v>
      </c>
      <c r="B2865" t="s">
        <v>61</v>
      </c>
      <c r="C2865" t="str">
        <f>"A0188297"</f>
        <v>A0188297</v>
      </c>
      <c r="D2865" t="s">
        <v>12069</v>
      </c>
      <c r="E2865" t="s">
        <v>12070</v>
      </c>
      <c r="F2865" t="s">
        <v>12071</v>
      </c>
      <c r="G2865" t="s">
        <v>381</v>
      </c>
      <c r="H2865">
        <v>47725</v>
      </c>
      <c r="I2865" t="s">
        <v>30</v>
      </c>
      <c r="J2865" t="s">
        <v>41</v>
      </c>
      <c r="K2865" t="s">
        <v>59</v>
      </c>
      <c r="Q2865">
        <v>0</v>
      </c>
      <c r="R2865">
        <v>0</v>
      </c>
      <c r="S2865">
        <v>0</v>
      </c>
      <c r="T2865" t="s">
        <v>12072</v>
      </c>
    </row>
    <row r="2866" spans="1:20" customFormat="1" ht="15" x14ac:dyDescent="0.25">
      <c r="A2866" t="s">
        <v>35</v>
      </c>
      <c r="B2866" t="s">
        <v>61</v>
      </c>
      <c r="C2866" t="str">
        <f>"A0188296"</f>
        <v>A0188296</v>
      </c>
      <c r="D2866" t="s">
        <v>12065</v>
      </c>
      <c r="E2866" t="s">
        <v>12073</v>
      </c>
      <c r="F2866" t="s">
        <v>12074</v>
      </c>
      <c r="G2866" t="s">
        <v>1898</v>
      </c>
      <c r="H2866">
        <v>50324</v>
      </c>
      <c r="I2866" t="s">
        <v>30</v>
      </c>
      <c r="J2866" t="s">
        <v>41</v>
      </c>
      <c r="K2866" t="s">
        <v>59</v>
      </c>
      <c r="Q2866">
        <v>0</v>
      </c>
      <c r="R2866">
        <v>0</v>
      </c>
      <c r="S2866">
        <v>0</v>
      </c>
      <c r="T2866" t="s">
        <v>72</v>
      </c>
    </row>
    <row r="2867" spans="1:20" customFormat="1" ht="15" x14ac:dyDescent="0.25">
      <c r="A2867" t="s">
        <v>35</v>
      </c>
      <c r="B2867" t="s">
        <v>61</v>
      </c>
      <c r="C2867" t="str">
        <f>"A0188295"</f>
        <v>A0188295</v>
      </c>
      <c r="D2867" t="s">
        <v>12075</v>
      </c>
      <c r="E2867" t="s">
        <v>12076</v>
      </c>
      <c r="F2867" t="s">
        <v>426</v>
      </c>
      <c r="G2867" t="s">
        <v>427</v>
      </c>
      <c r="H2867">
        <v>68130</v>
      </c>
      <c r="I2867" t="s">
        <v>30</v>
      </c>
      <c r="J2867" t="s">
        <v>41</v>
      </c>
      <c r="K2867" t="s">
        <v>59</v>
      </c>
      <c r="Q2867">
        <v>0</v>
      </c>
      <c r="R2867">
        <v>0</v>
      </c>
      <c r="S2867">
        <v>0</v>
      </c>
      <c r="T2867" t="s">
        <v>72</v>
      </c>
    </row>
    <row r="2868" spans="1:20" customFormat="1" ht="15" x14ac:dyDescent="0.25">
      <c r="A2868" t="s">
        <v>35</v>
      </c>
      <c r="B2868" t="s">
        <v>61</v>
      </c>
      <c r="C2868" t="str">
        <f>"A0188294"</f>
        <v>A0188294</v>
      </c>
      <c r="D2868" t="s">
        <v>12077</v>
      </c>
      <c r="E2868" t="s">
        <v>12078</v>
      </c>
      <c r="F2868" t="s">
        <v>12079</v>
      </c>
      <c r="G2868" t="s">
        <v>71</v>
      </c>
      <c r="H2868">
        <v>53115</v>
      </c>
      <c r="I2868" t="s">
        <v>30</v>
      </c>
      <c r="J2868" t="s">
        <v>41</v>
      </c>
      <c r="K2868" t="s">
        <v>59</v>
      </c>
      <c r="Q2868">
        <v>0</v>
      </c>
      <c r="R2868">
        <v>0</v>
      </c>
      <c r="S2868">
        <v>70</v>
      </c>
      <c r="T2868" t="s">
        <v>12080</v>
      </c>
    </row>
    <row r="2869" spans="1:20" customFormat="1" ht="15" x14ac:dyDescent="0.25">
      <c r="A2869" t="s">
        <v>35</v>
      </c>
      <c r="B2869" t="s">
        <v>61</v>
      </c>
      <c r="C2869" t="str">
        <f>"A0188293"</f>
        <v>A0188293</v>
      </c>
      <c r="D2869" t="s">
        <v>12081</v>
      </c>
      <c r="E2869" t="s">
        <v>12082</v>
      </c>
      <c r="F2869" t="s">
        <v>426</v>
      </c>
      <c r="G2869" t="s">
        <v>427</v>
      </c>
      <c r="H2869">
        <v>68152</v>
      </c>
      <c r="I2869" t="s">
        <v>30</v>
      </c>
      <c r="J2869" t="s">
        <v>41</v>
      </c>
      <c r="K2869" t="s">
        <v>59</v>
      </c>
      <c r="Q2869">
        <v>0</v>
      </c>
      <c r="R2869">
        <v>0</v>
      </c>
      <c r="S2869">
        <v>0</v>
      </c>
      <c r="T2869" t="s">
        <v>72</v>
      </c>
    </row>
    <row r="2870" spans="1:20" customFormat="1" ht="15" x14ac:dyDescent="0.25">
      <c r="A2870" t="s">
        <v>35</v>
      </c>
      <c r="B2870" t="s">
        <v>61</v>
      </c>
      <c r="C2870" t="str">
        <f>"A0188292"</f>
        <v>A0188292</v>
      </c>
      <c r="D2870" t="s">
        <v>12083</v>
      </c>
      <c r="E2870" t="s">
        <v>12084</v>
      </c>
      <c r="F2870" t="s">
        <v>288</v>
      </c>
      <c r="G2870" t="s">
        <v>289</v>
      </c>
      <c r="H2870">
        <v>60531</v>
      </c>
      <c r="I2870" t="s">
        <v>30</v>
      </c>
      <c r="J2870" t="s">
        <v>41</v>
      </c>
      <c r="K2870" t="s">
        <v>59</v>
      </c>
      <c r="Q2870">
        <v>0</v>
      </c>
      <c r="R2870">
        <v>0</v>
      </c>
      <c r="S2870">
        <v>72</v>
      </c>
      <c r="T2870" t="s">
        <v>12085</v>
      </c>
    </row>
    <row r="2871" spans="1:20" customFormat="1" ht="15" x14ac:dyDescent="0.25">
      <c r="A2871" t="s">
        <v>35</v>
      </c>
      <c r="B2871" t="s">
        <v>1274</v>
      </c>
      <c r="C2871" t="str">
        <f>"A0188291"</f>
        <v>A0188291</v>
      </c>
      <c r="D2871" t="s">
        <v>12086</v>
      </c>
      <c r="E2871" t="s">
        <v>12087</v>
      </c>
      <c r="F2871" t="s">
        <v>12088</v>
      </c>
      <c r="G2871" t="s">
        <v>52</v>
      </c>
      <c r="H2871">
        <v>75160</v>
      </c>
      <c r="I2871" t="s">
        <v>30</v>
      </c>
      <c r="J2871" t="s">
        <v>41</v>
      </c>
      <c r="K2871" t="s">
        <v>229</v>
      </c>
      <c r="Q2871">
        <v>0</v>
      </c>
      <c r="R2871">
        <v>0</v>
      </c>
      <c r="S2871">
        <v>0</v>
      </c>
      <c r="T2871" t="s">
        <v>72</v>
      </c>
    </row>
    <row r="2872" spans="1:20" customFormat="1" ht="15" x14ac:dyDescent="0.25">
      <c r="A2872" t="s">
        <v>35</v>
      </c>
      <c r="B2872" t="s">
        <v>5511</v>
      </c>
      <c r="C2872" t="str">
        <f>"A0188290"</f>
        <v>A0188290</v>
      </c>
      <c r="D2872" t="s">
        <v>12089</v>
      </c>
      <c r="E2872" t="s">
        <v>12090</v>
      </c>
      <c r="F2872" t="s">
        <v>5257</v>
      </c>
      <c r="G2872" t="s">
        <v>52</v>
      </c>
      <c r="H2872">
        <v>77029</v>
      </c>
      <c r="I2872" t="s">
        <v>30</v>
      </c>
      <c r="J2872" t="s">
        <v>41</v>
      </c>
      <c r="K2872" t="s">
        <v>229</v>
      </c>
      <c r="Q2872">
        <v>0</v>
      </c>
      <c r="R2872">
        <v>0</v>
      </c>
      <c r="S2872">
        <v>135</v>
      </c>
      <c r="T2872" t="s">
        <v>12091</v>
      </c>
    </row>
    <row r="2873" spans="1:20" customFormat="1" ht="15" x14ac:dyDescent="0.25">
      <c r="A2873" t="s">
        <v>35</v>
      </c>
      <c r="B2873" t="s">
        <v>7864</v>
      </c>
      <c r="C2873" t="str">
        <f>"A0188289"</f>
        <v>A0188289</v>
      </c>
      <c r="D2873" t="s">
        <v>12092</v>
      </c>
      <c r="E2873" t="s">
        <v>12093</v>
      </c>
      <c r="F2873" t="s">
        <v>12094</v>
      </c>
      <c r="G2873" t="s">
        <v>880</v>
      </c>
      <c r="H2873">
        <v>37072</v>
      </c>
      <c r="I2873" t="s">
        <v>30</v>
      </c>
      <c r="J2873" t="s">
        <v>41</v>
      </c>
      <c r="K2873" t="s">
        <v>59</v>
      </c>
      <c r="Q2873">
        <v>0</v>
      </c>
      <c r="R2873">
        <v>0</v>
      </c>
      <c r="S2873">
        <v>100</v>
      </c>
      <c r="T2873" t="s">
        <v>12095</v>
      </c>
    </row>
    <row r="2874" spans="1:20" customFormat="1" ht="15" x14ac:dyDescent="0.25">
      <c r="A2874" t="s">
        <v>24</v>
      </c>
      <c r="B2874" t="s">
        <v>57873</v>
      </c>
      <c r="C2874" t="str">
        <f>"A0059217"</f>
        <v>A0059217</v>
      </c>
      <c r="D2874" t="s">
        <v>57874</v>
      </c>
      <c r="E2874" t="s">
        <v>57875</v>
      </c>
      <c r="F2874" t="s">
        <v>57876</v>
      </c>
      <c r="G2874" t="s">
        <v>76</v>
      </c>
      <c r="H2874">
        <v>99201</v>
      </c>
      <c r="I2874" t="s">
        <v>30</v>
      </c>
      <c r="J2874" t="s">
        <v>162</v>
      </c>
      <c r="K2874" t="s">
        <v>163</v>
      </c>
      <c r="N2874" t="s">
        <v>57877</v>
      </c>
      <c r="O2874" t="s">
        <v>57878</v>
      </c>
      <c r="Q2874">
        <v>0</v>
      </c>
      <c r="R2874">
        <v>402</v>
      </c>
      <c r="S2874">
        <v>0</v>
      </c>
      <c r="T2874" t="s">
        <v>57879</v>
      </c>
    </row>
    <row r="2875" spans="1:20" customFormat="1" ht="15" x14ac:dyDescent="0.25">
      <c r="A2875" t="s">
        <v>35</v>
      </c>
      <c r="B2875" t="s">
        <v>61</v>
      </c>
      <c r="C2875" t="str">
        <f>"A0183626"</f>
        <v>A0183626</v>
      </c>
      <c r="D2875" t="s">
        <v>12101</v>
      </c>
      <c r="E2875" t="s">
        <v>12102</v>
      </c>
      <c r="F2875" t="s">
        <v>12103</v>
      </c>
      <c r="G2875" t="s">
        <v>52</v>
      </c>
      <c r="H2875" t="s">
        <v>12104</v>
      </c>
      <c r="I2875" t="s">
        <v>30</v>
      </c>
      <c r="J2875" t="s">
        <v>41</v>
      </c>
      <c r="K2875" t="s">
        <v>59</v>
      </c>
      <c r="Q2875">
        <v>0</v>
      </c>
      <c r="R2875">
        <v>0</v>
      </c>
      <c r="S2875">
        <v>0</v>
      </c>
      <c r="T2875" t="s">
        <v>12105</v>
      </c>
    </row>
    <row r="2876" spans="1:20" customFormat="1" ht="15" x14ac:dyDescent="0.25">
      <c r="A2876" t="s">
        <v>35</v>
      </c>
      <c r="B2876" t="s">
        <v>61</v>
      </c>
      <c r="C2876" t="str">
        <f>"A0181229"</f>
        <v>A0181229</v>
      </c>
      <c r="D2876" t="s">
        <v>12106</v>
      </c>
      <c r="E2876" t="s">
        <v>12107</v>
      </c>
      <c r="F2876" t="s">
        <v>64</v>
      </c>
      <c r="G2876" t="s">
        <v>65</v>
      </c>
      <c r="H2876">
        <v>432192602</v>
      </c>
      <c r="I2876" t="s">
        <v>30</v>
      </c>
      <c r="J2876" t="s">
        <v>41</v>
      </c>
      <c r="K2876" t="s">
        <v>9956</v>
      </c>
      <c r="Q2876">
        <v>0</v>
      </c>
      <c r="R2876">
        <v>75</v>
      </c>
      <c r="S2876">
        <v>75</v>
      </c>
      <c r="T2876" t="s">
        <v>12108</v>
      </c>
    </row>
    <row r="2877" spans="1:20" customFormat="1" ht="15" x14ac:dyDescent="0.25">
      <c r="A2877" t="s">
        <v>35</v>
      </c>
      <c r="B2877" t="s">
        <v>61</v>
      </c>
      <c r="C2877" t="str">
        <f>"A0185419"</f>
        <v>A0185419</v>
      </c>
      <c r="D2877" t="s">
        <v>12109</v>
      </c>
      <c r="E2877" t="s">
        <v>12110</v>
      </c>
      <c r="F2877" t="s">
        <v>3293</v>
      </c>
      <c r="G2877" t="s">
        <v>381</v>
      </c>
      <c r="H2877" t="s">
        <v>12111</v>
      </c>
      <c r="I2877" t="s">
        <v>30</v>
      </c>
      <c r="J2877" t="s">
        <v>41</v>
      </c>
      <c r="K2877" t="s">
        <v>59</v>
      </c>
      <c r="Q2877">
        <v>0</v>
      </c>
      <c r="R2877">
        <v>139</v>
      </c>
      <c r="S2877">
        <v>139</v>
      </c>
      <c r="T2877" t="s">
        <v>12112</v>
      </c>
    </row>
    <row r="2878" spans="1:20" customFormat="1" ht="15" x14ac:dyDescent="0.25">
      <c r="A2878" t="s">
        <v>35</v>
      </c>
      <c r="B2878" t="s">
        <v>61</v>
      </c>
      <c r="C2878" t="str">
        <f>"A0184933"</f>
        <v>A0184933</v>
      </c>
      <c r="D2878" t="s">
        <v>12113</v>
      </c>
      <c r="E2878" t="s">
        <v>12114</v>
      </c>
      <c r="F2878" t="s">
        <v>12115</v>
      </c>
      <c r="G2878" t="s">
        <v>76</v>
      </c>
      <c r="H2878" t="s">
        <v>12116</v>
      </c>
      <c r="I2878" t="s">
        <v>30</v>
      </c>
      <c r="J2878" t="s">
        <v>41</v>
      </c>
      <c r="K2878" t="s">
        <v>59</v>
      </c>
      <c r="Q2878">
        <v>0</v>
      </c>
      <c r="R2878">
        <v>117</v>
      </c>
      <c r="S2878">
        <v>117</v>
      </c>
      <c r="T2878" t="s">
        <v>12117</v>
      </c>
    </row>
    <row r="2879" spans="1:20" customFormat="1" ht="15" x14ac:dyDescent="0.25">
      <c r="A2879" t="s">
        <v>35</v>
      </c>
      <c r="B2879" t="s">
        <v>11717</v>
      </c>
      <c r="C2879" t="str">
        <f>"A0183404"</f>
        <v>A0183404</v>
      </c>
      <c r="D2879" t="s">
        <v>12118</v>
      </c>
      <c r="E2879" t="s">
        <v>12119</v>
      </c>
      <c r="F2879" t="s">
        <v>12120</v>
      </c>
      <c r="G2879" t="s">
        <v>103</v>
      </c>
      <c r="H2879">
        <v>168661982</v>
      </c>
      <c r="I2879" t="s">
        <v>30</v>
      </c>
      <c r="J2879" t="s">
        <v>41</v>
      </c>
      <c r="K2879" t="s">
        <v>59</v>
      </c>
      <c r="Q2879">
        <v>0</v>
      </c>
      <c r="R2879">
        <v>120</v>
      </c>
      <c r="S2879">
        <v>120</v>
      </c>
      <c r="T2879" t="s">
        <v>12121</v>
      </c>
    </row>
    <row r="2880" spans="1:20" customFormat="1" ht="15" x14ac:dyDescent="0.25">
      <c r="A2880" t="s">
        <v>35</v>
      </c>
      <c r="B2880" t="s">
        <v>61</v>
      </c>
      <c r="C2880" t="str">
        <f>"A0182481"</f>
        <v>A0182481</v>
      </c>
      <c r="D2880" t="s">
        <v>12122</v>
      </c>
      <c r="E2880" t="s">
        <v>12123</v>
      </c>
      <c r="F2880" t="s">
        <v>4269</v>
      </c>
      <c r="G2880" t="s">
        <v>99</v>
      </c>
      <c r="H2880" t="s">
        <v>12124</v>
      </c>
      <c r="I2880" t="s">
        <v>30</v>
      </c>
      <c r="J2880" t="s">
        <v>41</v>
      </c>
      <c r="K2880" t="s">
        <v>59</v>
      </c>
      <c r="Q2880">
        <v>0</v>
      </c>
      <c r="R2880">
        <v>200</v>
      </c>
      <c r="S2880">
        <v>200</v>
      </c>
      <c r="T2880" t="s">
        <v>12125</v>
      </c>
    </row>
    <row r="2881" spans="1:20" customFormat="1" ht="15" x14ac:dyDescent="0.25">
      <c r="A2881" t="s">
        <v>35</v>
      </c>
      <c r="B2881" t="s">
        <v>12126</v>
      </c>
      <c r="C2881" t="str">
        <f>"A0182460"</f>
        <v>A0182460</v>
      </c>
      <c r="D2881" t="s">
        <v>12127</v>
      </c>
      <c r="E2881" t="s">
        <v>12128</v>
      </c>
      <c r="F2881" t="s">
        <v>3685</v>
      </c>
      <c r="G2881" t="s">
        <v>214</v>
      </c>
      <c r="H2881" t="s">
        <v>12129</v>
      </c>
      <c r="I2881" t="s">
        <v>30</v>
      </c>
      <c r="J2881" t="s">
        <v>41</v>
      </c>
      <c r="K2881" t="s">
        <v>59</v>
      </c>
      <c r="Q2881">
        <v>0</v>
      </c>
      <c r="R2881">
        <v>40</v>
      </c>
      <c r="S2881">
        <v>40</v>
      </c>
      <c r="T2881" t="s">
        <v>12130</v>
      </c>
    </row>
    <row r="2882" spans="1:20" customFormat="1" ht="15" x14ac:dyDescent="0.25">
      <c r="A2882" t="s">
        <v>35</v>
      </c>
      <c r="B2882" t="s">
        <v>61</v>
      </c>
      <c r="C2882" t="str">
        <f>"A0182429"</f>
        <v>A0182429</v>
      </c>
      <c r="D2882" t="s">
        <v>12131</v>
      </c>
      <c r="E2882" t="s">
        <v>12132</v>
      </c>
      <c r="F2882" t="s">
        <v>12133</v>
      </c>
      <c r="G2882" t="s">
        <v>1898</v>
      </c>
      <c r="H2882" t="s">
        <v>12134</v>
      </c>
      <c r="I2882" t="s">
        <v>30</v>
      </c>
      <c r="J2882" t="s">
        <v>41</v>
      </c>
      <c r="K2882" t="s">
        <v>59</v>
      </c>
      <c r="Q2882">
        <v>0</v>
      </c>
      <c r="R2882">
        <v>362</v>
      </c>
      <c r="S2882">
        <v>362</v>
      </c>
      <c r="T2882" t="s">
        <v>12135</v>
      </c>
    </row>
    <row r="2883" spans="1:20" customFormat="1" ht="15" x14ac:dyDescent="0.25">
      <c r="A2883" t="s">
        <v>35</v>
      </c>
      <c r="B2883" t="s">
        <v>61</v>
      </c>
      <c r="C2883" t="str">
        <f>"A0182286"</f>
        <v>A0182286</v>
      </c>
      <c r="D2883" t="s">
        <v>12136</v>
      </c>
      <c r="E2883" t="s">
        <v>12137</v>
      </c>
      <c r="F2883" t="s">
        <v>12138</v>
      </c>
      <c r="G2883" t="s">
        <v>1898</v>
      </c>
      <c r="H2883" t="s">
        <v>12139</v>
      </c>
      <c r="I2883" t="s">
        <v>30</v>
      </c>
      <c r="J2883" t="s">
        <v>41</v>
      </c>
      <c r="K2883" t="s">
        <v>59</v>
      </c>
      <c r="Q2883">
        <v>0</v>
      </c>
      <c r="R2883">
        <v>25</v>
      </c>
      <c r="S2883">
        <v>25</v>
      </c>
      <c r="T2883" t="s">
        <v>12140</v>
      </c>
    </row>
    <row r="2884" spans="1:20" customFormat="1" ht="15" x14ac:dyDescent="0.25">
      <c r="A2884" t="s">
        <v>35</v>
      </c>
      <c r="B2884" t="s">
        <v>11898</v>
      </c>
      <c r="C2884" t="str">
        <f>"A0180888"</f>
        <v>A0180888</v>
      </c>
      <c r="D2884" t="s">
        <v>12141</v>
      </c>
      <c r="E2884" t="s">
        <v>12142</v>
      </c>
      <c r="F2884" t="s">
        <v>12143</v>
      </c>
      <c r="G2884" t="s">
        <v>117</v>
      </c>
      <c r="H2884">
        <v>483223014</v>
      </c>
      <c r="I2884" t="s">
        <v>30</v>
      </c>
      <c r="J2884" t="s">
        <v>41</v>
      </c>
      <c r="K2884" t="s">
        <v>482</v>
      </c>
      <c r="Q2884">
        <v>0</v>
      </c>
      <c r="R2884">
        <v>0</v>
      </c>
      <c r="S2884">
        <v>0</v>
      </c>
      <c r="T2884" t="s">
        <v>12144</v>
      </c>
    </row>
    <row r="2885" spans="1:20" customFormat="1" ht="15" x14ac:dyDescent="0.25">
      <c r="A2885" t="s">
        <v>35</v>
      </c>
      <c r="B2885" t="s">
        <v>12145</v>
      </c>
      <c r="C2885" t="str">
        <f>"A0181307"</f>
        <v>A0181307</v>
      </c>
      <c r="D2885" t="s">
        <v>12146</v>
      </c>
      <c r="E2885" t="s">
        <v>12147</v>
      </c>
      <c r="F2885" t="s">
        <v>12148</v>
      </c>
      <c r="G2885" t="s">
        <v>117</v>
      </c>
      <c r="H2885" t="s">
        <v>12149</v>
      </c>
      <c r="I2885" t="s">
        <v>30</v>
      </c>
      <c r="J2885" t="s">
        <v>41</v>
      </c>
      <c r="K2885" t="s">
        <v>9956</v>
      </c>
      <c r="Q2885">
        <v>0</v>
      </c>
      <c r="R2885">
        <v>144</v>
      </c>
      <c r="S2885">
        <v>144</v>
      </c>
      <c r="T2885" t="s">
        <v>12150</v>
      </c>
    </row>
    <row r="2886" spans="1:20" customFormat="1" ht="15" x14ac:dyDescent="0.25">
      <c r="A2886" t="s">
        <v>35</v>
      </c>
      <c r="B2886" t="s">
        <v>61</v>
      </c>
      <c r="C2886" t="str">
        <f>"A0181226"</f>
        <v>A0181226</v>
      </c>
      <c r="D2886" t="s">
        <v>12151</v>
      </c>
      <c r="E2886" t="s">
        <v>12152</v>
      </c>
      <c r="F2886" t="s">
        <v>5268</v>
      </c>
      <c r="G2886" t="s">
        <v>52</v>
      </c>
      <c r="H2886" t="s">
        <v>12153</v>
      </c>
      <c r="I2886" t="s">
        <v>30</v>
      </c>
      <c r="J2886" t="s">
        <v>41</v>
      </c>
      <c r="K2886" t="s">
        <v>9956</v>
      </c>
      <c r="Q2886">
        <v>0</v>
      </c>
      <c r="R2886">
        <v>59</v>
      </c>
      <c r="S2886">
        <v>59</v>
      </c>
      <c r="T2886" t="s">
        <v>12154</v>
      </c>
    </row>
    <row r="2887" spans="1:20" customFormat="1" ht="15" x14ac:dyDescent="0.25">
      <c r="A2887" t="s">
        <v>35</v>
      </c>
      <c r="B2887" t="s">
        <v>61</v>
      </c>
      <c r="C2887" t="str">
        <f>"A0181208"</f>
        <v>A0181208</v>
      </c>
      <c r="D2887" t="s">
        <v>12155</v>
      </c>
      <c r="E2887" t="s">
        <v>12156</v>
      </c>
      <c r="F2887" t="s">
        <v>12157</v>
      </c>
      <c r="G2887" t="s">
        <v>1898</v>
      </c>
      <c r="H2887" t="s">
        <v>12158</v>
      </c>
      <c r="I2887" t="s">
        <v>30</v>
      </c>
      <c r="J2887" t="s">
        <v>41</v>
      </c>
      <c r="K2887" t="s">
        <v>9956</v>
      </c>
      <c r="Q2887">
        <v>0</v>
      </c>
      <c r="R2887">
        <v>77</v>
      </c>
      <c r="S2887">
        <v>77</v>
      </c>
      <c r="T2887" t="s">
        <v>12159</v>
      </c>
    </row>
    <row r="2888" spans="1:20" customFormat="1" ht="15" x14ac:dyDescent="0.25">
      <c r="A2888" t="s">
        <v>24</v>
      </c>
      <c r="B2888" t="s">
        <v>12160</v>
      </c>
      <c r="C2888" t="str">
        <f>"A0188260"</f>
        <v>A0188260</v>
      </c>
      <c r="D2888" t="s">
        <v>12161</v>
      </c>
      <c r="E2888" t="s">
        <v>12162</v>
      </c>
      <c r="F2888" t="s">
        <v>6958</v>
      </c>
      <c r="G2888" t="s">
        <v>110</v>
      </c>
      <c r="H2888">
        <v>93442</v>
      </c>
      <c r="I2888" t="s">
        <v>30</v>
      </c>
      <c r="J2888" t="s">
        <v>145</v>
      </c>
      <c r="K2888" t="s">
        <v>163</v>
      </c>
      <c r="N2888" t="s">
        <v>12163</v>
      </c>
      <c r="Q2888">
        <v>0</v>
      </c>
      <c r="R2888">
        <v>23</v>
      </c>
      <c r="S2888">
        <v>0</v>
      </c>
      <c r="T2888" t="s">
        <v>12164</v>
      </c>
    </row>
    <row r="2889" spans="1:20" customFormat="1" ht="15" x14ac:dyDescent="0.25">
      <c r="A2889" t="s">
        <v>24</v>
      </c>
      <c r="B2889" t="s">
        <v>12165</v>
      </c>
      <c r="C2889" t="str">
        <f>"A0188261"</f>
        <v>A0188261</v>
      </c>
      <c r="D2889" t="s">
        <v>12166</v>
      </c>
      <c r="E2889" t="s">
        <v>12167</v>
      </c>
      <c r="F2889" t="s">
        <v>6686</v>
      </c>
      <c r="G2889" t="s">
        <v>110</v>
      </c>
      <c r="H2889">
        <v>93405</v>
      </c>
      <c r="I2889" t="s">
        <v>30</v>
      </c>
      <c r="J2889" t="s">
        <v>145</v>
      </c>
      <c r="K2889" t="s">
        <v>163</v>
      </c>
      <c r="N2889" t="s">
        <v>12168</v>
      </c>
      <c r="Q2889">
        <v>0</v>
      </c>
      <c r="R2889">
        <v>60</v>
      </c>
      <c r="S2889">
        <v>0</v>
      </c>
      <c r="T2889" t="s">
        <v>12169</v>
      </c>
    </row>
    <row r="2890" spans="1:20" customFormat="1" ht="15" x14ac:dyDescent="0.25">
      <c r="A2890" t="s">
        <v>24</v>
      </c>
      <c r="B2890" t="s">
        <v>1849</v>
      </c>
      <c r="C2890" t="str">
        <f>"A0148384"</f>
        <v>A0148384</v>
      </c>
      <c r="D2890" t="s">
        <v>57900</v>
      </c>
      <c r="E2890" t="s">
        <v>57901</v>
      </c>
      <c r="F2890" t="s">
        <v>34458</v>
      </c>
      <c r="G2890" t="s">
        <v>197</v>
      </c>
      <c r="H2890">
        <v>85286</v>
      </c>
      <c r="I2890" t="s">
        <v>30</v>
      </c>
      <c r="J2890" t="s">
        <v>162</v>
      </c>
      <c r="K2890" t="s">
        <v>1490</v>
      </c>
      <c r="N2890" t="s">
        <v>57902</v>
      </c>
      <c r="O2890" t="s">
        <v>57903</v>
      </c>
      <c r="Q2890">
        <v>0</v>
      </c>
      <c r="R2890">
        <v>264</v>
      </c>
      <c r="S2890">
        <v>0</v>
      </c>
      <c r="T2890" t="s">
        <v>57904</v>
      </c>
    </row>
    <row r="2891" spans="1:20" customFormat="1" ht="15" x14ac:dyDescent="0.25">
      <c r="A2891" t="s">
        <v>24</v>
      </c>
      <c r="B2891" t="s">
        <v>675</v>
      </c>
      <c r="C2891" t="str">
        <f>"337A5"</f>
        <v>337A5</v>
      </c>
      <c r="D2891" t="s">
        <v>57930</v>
      </c>
      <c r="E2891" t="s">
        <v>57931</v>
      </c>
      <c r="F2891" t="s">
        <v>242</v>
      </c>
      <c r="G2891" t="s">
        <v>214</v>
      </c>
      <c r="H2891">
        <v>28202</v>
      </c>
      <c r="I2891" t="s">
        <v>30</v>
      </c>
      <c r="J2891" t="s">
        <v>162</v>
      </c>
      <c r="K2891" t="s">
        <v>1490</v>
      </c>
      <c r="N2891" t="s">
        <v>57932</v>
      </c>
      <c r="O2891" t="s">
        <v>57933</v>
      </c>
      <c r="Q2891">
        <v>0</v>
      </c>
      <c r="R2891">
        <v>434</v>
      </c>
      <c r="S2891">
        <v>0</v>
      </c>
      <c r="T2891" t="s">
        <v>57934</v>
      </c>
    </row>
    <row r="2892" spans="1:20" customFormat="1" ht="15" x14ac:dyDescent="0.25">
      <c r="A2892" t="s">
        <v>24</v>
      </c>
      <c r="B2892" t="s">
        <v>193</v>
      </c>
      <c r="C2892" t="str">
        <f>"A0094221"</f>
        <v>A0094221</v>
      </c>
      <c r="D2892" t="s">
        <v>12181</v>
      </c>
      <c r="E2892" t="s">
        <v>12182</v>
      </c>
      <c r="F2892" t="s">
        <v>12183</v>
      </c>
      <c r="G2892" t="s">
        <v>190</v>
      </c>
      <c r="H2892">
        <v>80615</v>
      </c>
      <c r="I2892" t="s">
        <v>30</v>
      </c>
      <c r="J2892" t="s">
        <v>31</v>
      </c>
      <c r="K2892" t="s">
        <v>5869</v>
      </c>
      <c r="N2892" t="s">
        <v>12184</v>
      </c>
      <c r="O2892" t="s">
        <v>12185</v>
      </c>
      <c r="Q2892">
        <v>0</v>
      </c>
      <c r="R2892">
        <v>45</v>
      </c>
      <c r="S2892">
        <v>0</v>
      </c>
      <c r="T2892" t="s">
        <v>12186</v>
      </c>
    </row>
    <row r="2893" spans="1:20" customFormat="1" ht="15" x14ac:dyDescent="0.25">
      <c r="A2893" t="s">
        <v>24</v>
      </c>
      <c r="B2893" t="s">
        <v>2955</v>
      </c>
      <c r="C2893" t="str">
        <f>"A0187508"</f>
        <v>A0187508</v>
      </c>
      <c r="D2893" t="s">
        <v>12187</v>
      </c>
      <c r="E2893" t="s">
        <v>12188</v>
      </c>
      <c r="F2893" t="s">
        <v>6593</v>
      </c>
      <c r="G2893" t="s">
        <v>2450</v>
      </c>
      <c r="H2893">
        <v>4101</v>
      </c>
      <c r="I2893" t="s">
        <v>30</v>
      </c>
      <c r="J2893" t="s">
        <v>31</v>
      </c>
      <c r="K2893" t="s">
        <v>277</v>
      </c>
      <c r="N2893" t="s">
        <v>12189</v>
      </c>
      <c r="O2893" t="s">
        <v>12190</v>
      </c>
      <c r="Q2893">
        <v>0</v>
      </c>
      <c r="R2893">
        <v>157</v>
      </c>
      <c r="S2893">
        <v>0</v>
      </c>
      <c r="T2893" t="s">
        <v>12191</v>
      </c>
    </row>
    <row r="2894" spans="1:20" customFormat="1" ht="15" x14ac:dyDescent="0.25">
      <c r="A2894" t="s">
        <v>35</v>
      </c>
      <c r="B2894" t="s">
        <v>61</v>
      </c>
      <c r="C2894" t="str">
        <f>"A0182777"</f>
        <v>A0182777</v>
      </c>
      <c r="D2894" t="s">
        <v>12192</v>
      </c>
      <c r="E2894" t="s">
        <v>12193</v>
      </c>
      <c r="F2894" t="s">
        <v>12194</v>
      </c>
      <c r="G2894" t="s">
        <v>81</v>
      </c>
      <c r="H2894" t="s">
        <v>12195</v>
      </c>
      <c r="I2894" t="s">
        <v>30</v>
      </c>
      <c r="J2894" t="s">
        <v>41</v>
      </c>
      <c r="K2894" t="s">
        <v>59</v>
      </c>
      <c r="Q2894">
        <v>0</v>
      </c>
      <c r="R2894">
        <v>0</v>
      </c>
      <c r="S2894">
        <v>0</v>
      </c>
      <c r="T2894" t="s">
        <v>12196</v>
      </c>
    </row>
    <row r="2895" spans="1:20" customFormat="1" ht="15" x14ac:dyDescent="0.25">
      <c r="A2895" t="s">
        <v>35</v>
      </c>
      <c r="B2895" t="s">
        <v>61</v>
      </c>
      <c r="C2895" t="str">
        <f>"A0185029"</f>
        <v>A0185029</v>
      </c>
      <c r="D2895" t="s">
        <v>12197</v>
      </c>
      <c r="E2895" t="s">
        <v>12198</v>
      </c>
      <c r="F2895" t="s">
        <v>1444</v>
      </c>
      <c r="G2895" t="s">
        <v>76</v>
      </c>
      <c r="H2895" t="s">
        <v>12199</v>
      </c>
      <c r="I2895" t="s">
        <v>30</v>
      </c>
      <c r="J2895" t="s">
        <v>41</v>
      </c>
      <c r="K2895" t="s">
        <v>59</v>
      </c>
      <c r="Q2895">
        <v>0</v>
      </c>
      <c r="R2895">
        <v>95</v>
      </c>
      <c r="S2895">
        <v>95</v>
      </c>
      <c r="T2895" t="s">
        <v>12200</v>
      </c>
    </row>
    <row r="2896" spans="1:20" customFormat="1" ht="15" x14ac:dyDescent="0.25">
      <c r="A2896" t="s">
        <v>35</v>
      </c>
      <c r="B2896" t="s">
        <v>12201</v>
      </c>
      <c r="C2896" t="str">
        <f>"A0184577"</f>
        <v>A0184577</v>
      </c>
      <c r="D2896" t="s">
        <v>12202</v>
      </c>
      <c r="E2896" t="s">
        <v>12203</v>
      </c>
      <c r="F2896" t="s">
        <v>4629</v>
      </c>
      <c r="G2896" t="s">
        <v>103</v>
      </c>
      <c r="H2896">
        <v>191221724</v>
      </c>
      <c r="I2896" t="s">
        <v>30</v>
      </c>
      <c r="J2896" t="s">
        <v>41</v>
      </c>
      <c r="K2896" t="s">
        <v>59</v>
      </c>
      <c r="Q2896">
        <v>0</v>
      </c>
      <c r="R2896">
        <v>0</v>
      </c>
      <c r="S2896">
        <v>0</v>
      </c>
      <c r="T2896" t="s">
        <v>192</v>
      </c>
    </row>
    <row r="2897" spans="1:20" customFormat="1" ht="15" x14ac:dyDescent="0.25">
      <c r="A2897" t="s">
        <v>35</v>
      </c>
      <c r="B2897" t="s">
        <v>61</v>
      </c>
      <c r="C2897" t="str">
        <f>"A0183764"</f>
        <v>A0183764</v>
      </c>
      <c r="D2897" t="s">
        <v>12204</v>
      </c>
      <c r="E2897" t="s">
        <v>12205</v>
      </c>
      <c r="F2897" t="s">
        <v>12206</v>
      </c>
      <c r="G2897" t="s">
        <v>1898</v>
      </c>
      <c r="H2897">
        <v>50111</v>
      </c>
      <c r="I2897" t="s">
        <v>30</v>
      </c>
      <c r="J2897" t="s">
        <v>41</v>
      </c>
      <c r="K2897" t="s">
        <v>59</v>
      </c>
      <c r="Q2897">
        <v>0</v>
      </c>
      <c r="R2897">
        <v>0</v>
      </c>
      <c r="S2897">
        <v>0</v>
      </c>
    </row>
    <row r="2898" spans="1:20" customFormat="1" ht="15" x14ac:dyDescent="0.25">
      <c r="A2898" t="s">
        <v>35</v>
      </c>
      <c r="B2898" t="s">
        <v>61</v>
      </c>
      <c r="C2898" t="str">
        <f>"A0183105"</f>
        <v>A0183105</v>
      </c>
      <c r="D2898" t="s">
        <v>12207</v>
      </c>
      <c r="E2898" t="s">
        <v>12208</v>
      </c>
      <c r="F2898" t="s">
        <v>1378</v>
      </c>
      <c r="G2898" t="s">
        <v>110</v>
      </c>
      <c r="H2898" t="s">
        <v>12209</v>
      </c>
      <c r="I2898" t="s">
        <v>30</v>
      </c>
      <c r="J2898" t="s">
        <v>41</v>
      </c>
      <c r="K2898" t="s">
        <v>59</v>
      </c>
      <c r="Q2898">
        <v>0</v>
      </c>
      <c r="R2898">
        <v>0</v>
      </c>
      <c r="S2898">
        <v>0</v>
      </c>
      <c r="T2898" t="s">
        <v>192</v>
      </c>
    </row>
    <row r="2899" spans="1:20" customFormat="1" ht="15" x14ac:dyDescent="0.25">
      <c r="A2899" t="s">
        <v>35</v>
      </c>
      <c r="B2899" t="s">
        <v>61</v>
      </c>
      <c r="C2899" t="str">
        <f>"A0182411"</f>
        <v>A0182411</v>
      </c>
      <c r="D2899" t="s">
        <v>12210</v>
      </c>
      <c r="E2899" t="s">
        <v>12211</v>
      </c>
      <c r="F2899" t="s">
        <v>12212</v>
      </c>
      <c r="G2899" t="s">
        <v>1898</v>
      </c>
      <c r="H2899" t="s">
        <v>12213</v>
      </c>
      <c r="I2899" t="s">
        <v>30</v>
      </c>
      <c r="J2899" t="s">
        <v>41</v>
      </c>
      <c r="K2899" t="s">
        <v>59</v>
      </c>
      <c r="Q2899">
        <v>0</v>
      </c>
      <c r="R2899">
        <v>0</v>
      </c>
      <c r="S2899">
        <v>0</v>
      </c>
    </row>
    <row r="2900" spans="1:20" customFormat="1" ht="15" x14ac:dyDescent="0.25">
      <c r="A2900" t="s">
        <v>35</v>
      </c>
      <c r="B2900" t="s">
        <v>61</v>
      </c>
      <c r="C2900" t="str">
        <f>"A0182306"</f>
        <v>A0182306</v>
      </c>
      <c r="D2900" t="s">
        <v>12214</v>
      </c>
      <c r="E2900" t="s">
        <v>12215</v>
      </c>
      <c r="F2900" t="s">
        <v>12216</v>
      </c>
      <c r="G2900" t="s">
        <v>1898</v>
      </c>
      <c r="H2900" t="s">
        <v>12217</v>
      </c>
      <c r="I2900" t="s">
        <v>30</v>
      </c>
      <c r="J2900" t="s">
        <v>41</v>
      </c>
      <c r="K2900" t="s">
        <v>59</v>
      </c>
      <c r="Q2900">
        <v>0</v>
      </c>
      <c r="R2900">
        <v>0</v>
      </c>
      <c r="S2900">
        <v>0</v>
      </c>
    </row>
    <row r="2901" spans="1:20" customFormat="1" ht="15" x14ac:dyDescent="0.25">
      <c r="A2901" t="s">
        <v>35</v>
      </c>
      <c r="B2901" t="s">
        <v>61</v>
      </c>
      <c r="C2901" t="str">
        <f>"A0185165"</f>
        <v>A0185165</v>
      </c>
      <c r="D2901" t="s">
        <v>12218</v>
      </c>
      <c r="E2901" t="s">
        <v>12219</v>
      </c>
      <c r="F2901" t="s">
        <v>12220</v>
      </c>
      <c r="G2901" t="s">
        <v>76</v>
      </c>
      <c r="H2901" t="s">
        <v>12221</v>
      </c>
      <c r="I2901" t="s">
        <v>30</v>
      </c>
      <c r="J2901" t="s">
        <v>41</v>
      </c>
      <c r="K2901" t="s">
        <v>59</v>
      </c>
      <c r="Q2901">
        <v>0</v>
      </c>
      <c r="R2901">
        <v>0</v>
      </c>
      <c r="S2901">
        <v>0</v>
      </c>
      <c r="T2901" t="s">
        <v>192</v>
      </c>
    </row>
    <row r="2902" spans="1:20" customFormat="1" ht="15" x14ac:dyDescent="0.25">
      <c r="A2902" t="s">
        <v>35</v>
      </c>
      <c r="B2902" t="s">
        <v>61</v>
      </c>
      <c r="C2902" t="str">
        <f>"A0185071"</f>
        <v>A0185071</v>
      </c>
      <c r="D2902" t="s">
        <v>12222</v>
      </c>
      <c r="E2902" t="s">
        <v>12223</v>
      </c>
      <c r="F2902" t="s">
        <v>1444</v>
      </c>
      <c r="G2902" t="s">
        <v>76</v>
      </c>
      <c r="H2902" t="s">
        <v>12224</v>
      </c>
      <c r="I2902" t="s">
        <v>30</v>
      </c>
      <c r="J2902" t="s">
        <v>41</v>
      </c>
      <c r="K2902" t="s">
        <v>59</v>
      </c>
      <c r="Q2902">
        <v>0</v>
      </c>
      <c r="R2902">
        <v>205</v>
      </c>
      <c r="S2902">
        <v>205</v>
      </c>
      <c r="T2902" t="s">
        <v>12225</v>
      </c>
    </row>
    <row r="2903" spans="1:20" customFormat="1" ht="15" x14ac:dyDescent="0.25">
      <c r="A2903" t="s">
        <v>35</v>
      </c>
      <c r="B2903" t="s">
        <v>61</v>
      </c>
      <c r="C2903" t="str">
        <f>"A0185043"</f>
        <v>A0185043</v>
      </c>
      <c r="D2903" t="s">
        <v>12226</v>
      </c>
      <c r="E2903" t="s">
        <v>12227</v>
      </c>
      <c r="F2903" t="s">
        <v>12228</v>
      </c>
      <c r="G2903" t="s">
        <v>52</v>
      </c>
      <c r="H2903" t="s">
        <v>12229</v>
      </c>
      <c r="I2903" t="s">
        <v>30</v>
      </c>
      <c r="J2903" t="s">
        <v>41</v>
      </c>
      <c r="K2903" t="s">
        <v>59</v>
      </c>
      <c r="Q2903">
        <v>0</v>
      </c>
      <c r="R2903">
        <v>81</v>
      </c>
      <c r="S2903">
        <v>81</v>
      </c>
      <c r="T2903" t="s">
        <v>12230</v>
      </c>
    </row>
    <row r="2904" spans="1:20" customFormat="1" ht="15" x14ac:dyDescent="0.25">
      <c r="A2904" t="s">
        <v>35</v>
      </c>
      <c r="B2904" t="s">
        <v>61</v>
      </c>
      <c r="C2904" t="str">
        <f>"A0184875"</f>
        <v>A0184875</v>
      </c>
      <c r="D2904" t="s">
        <v>12231</v>
      </c>
      <c r="E2904" t="s">
        <v>12232</v>
      </c>
      <c r="F2904" t="s">
        <v>10813</v>
      </c>
      <c r="G2904" t="s">
        <v>289</v>
      </c>
      <c r="H2904" t="s">
        <v>12233</v>
      </c>
      <c r="I2904" t="s">
        <v>30</v>
      </c>
      <c r="J2904" t="s">
        <v>41</v>
      </c>
      <c r="K2904" t="s">
        <v>59</v>
      </c>
      <c r="Q2904">
        <v>0</v>
      </c>
      <c r="R2904">
        <v>146</v>
      </c>
      <c r="S2904">
        <v>146</v>
      </c>
      <c r="T2904" t="s">
        <v>12234</v>
      </c>
    </row>
    <row r="2905" spans="1:20" customFormat="1" ht="15" x14ac:dyDescent="0.25">
      <c r="A2905" t="s">
        <v>35</v>
      </c>
      <c r="B2905" t="s">
        <v>887</v>
      </c>
      <c r="C2905" t="str">
        <f>"A0182974"</f>
        <v>A0182974</v>
      </c>
      <c r="D2905" t="s">
        <v>10072</v>
      </c>
      <c r="E2905" t="s">
        <v>12235</v>
      </c>
      <c r="F2905" t="s">
        <v>3671</v>
      </c>
      <c r="G2905" t="s">
        <v>81</v>
      </c>
      <c r="H2905">
        <v>341133218</v>
      </c>
      <c r="I2905" t="s">
        <v>30</v>
      </c>
      <c r="J2905" t="s">
        <v>41</v>
      </c>
      <c r="K2905" t="s">
        <v>59</v>
      </c>
      <c r="Q2905">
        <v>0</v>
      </c>
      <c r="R2905">
        <v>0</v>
      </c>
      <c r="S2905">
        <v>0</v>
      </c>
      <c r="T2905" t="s">
        <v>10074</v>
      </c>
    </row>
    <row r="2906" spans="1:20" customFormat="1" ht="15" x14ac:dyDescent="0.25">
      <c r="A2906" t="s">
        <v>35</v>
      </c>
      <c r="B2906" t="s">
        <v>61</v>
      </c>
      <c r="C2906" t="str">
        <f>"A0182568"</f>
        <v>A0182568</v>
      </c>
      <c r="D2906" t="s">
        <v>12236</v>
      </c>
      <c r="E2906" t="s">
        <v>12237</v>
      </c>
      <c r="F2906" t="s">
        <v>12238</v>
      </c>
      <c r="G2906" t="s">
        <v>71</v>
      </c>
      <c r="H2906" t="s">
        <v>12239</v>
      </c>
      <c r="I2906" t="s">
        <v>30</v>
      </c>
      <c r="J2906" t="s">
        <v>41</v>
      </c>
      <c r="K2906" t="s">
        <v>59</v>
      </c>
      <c r="Q2906">
        <v>0</v>
      </c>
      <c r="R2906">
        <v>0</v>
      </c>
      <c r="S2906">
        <v>0</v>
      </c>
      <c r="T2906" t="s">
        <v>12240</v>
      </c>
    </row>
    <row r="2907" spans="1:20" customFormat="1" ht="15" x14ac:dyDescent="0.25">
      <c r="A2907" t="s">
        <v>35</v>
      </c>
      <c r="B2907" t="s">
        <v>61</v>
      </c>
      <c r="C2907" t="str">
        <f>"A0181775"</f>
        <v>A0181775</v>
      </c>
      <c r="D2907" t="s">
        <v>12241</v>
      </c>
      <c r="E2907" t="s">
        <v>12242</v>
      </c>
      <c r="F2907" t="s">
        <v>10813</v>
      </c>
      <c r="G2907" t="s">
        <v>71</v>
      </c>
      <c r="H2907" t="s">
        <v>12243</v>
      </c>
      <c r="I2907" t="s">
        <v>30</v>
      </c>
      <c r="J2907" t="s">
        <v>41</v>
      </c>
      <c r="K2907" t="s">
        <v>59</v>
      </c>
      <c r="Q2907">
        <v>0</v>
      </c>
      <c r="R2907">
        <v>0</v>
      </c>
      <c r="S2907">
        <v>0</v>
      </c>
    </row>
    <row r="2908" spans="1:20" customFormat="1" ht="15" x14ac:dyDescent="0.25">
      <c r="A2908" t="s">
        <v>35</v>
      </c>
      <c r="B2908" t="s">
        <v>61</v>
      </c>
      <c r="C2908" t="str">
        <f>"A0181643"</f>
        <v>A0181643</v>
      </c>
      <c r="D2908" t="s">
        <v>12244</v>
      </c>
      <c r="E2908" t="s">
        <v>12245</v>
      </c>
      <c r="F2908" t="s">
        <v>12246</v>
      </c>
      <c r="G2908" t="s">
        <v>161</v>
      </c>
      <c r="H2908">
        <v>56223</v>
      </c>
      <c r="I2908" t="s">
        <v>30</v>
      </c>
      <c r="J2908" t="s">
        <v>41</v>
      </c>
      <c r="K2908" t="s">
        <v>59</v>
      </c>
      <c r="Q2908">
        <v>0</v>
      </c>
      <c r="R2908">
        <v>36</v>
      </c>
      <c r="S2908">
        <v>36</v>
      </c>
      <c r="T2908" t="s">
        <v>12247</v>
      </c>
    </row>
    <row r="2909" spans="1:20" customFormat="1" ht="15" x14ac:dyDescent="0.25">
      <c r="A2909" t="s">
        <v>35</v>
      </c>
      <c r="B2909" t="s">
        <v>61</v>
      </c>
      <c r="C2909" t="str">
        <f>"A0184600"</f>
        <v>A0184600</v>
      </c>
      <c r="D2909" t="s">
        <v>12248</v>
      </c>
      <c r="E2909" t="s">
        <v>12249</v>
      </c>
      <c r="F2909" t="s">
        <v>12250</v>
      </c>
      <c r="G2909" t="s">
        <v>528</v>
      </c>
      <c r="H2909" t="s">
        <v>12251</v>
      </c>
      <c r="I2909" t="s">
        <v>30</v>
      </c>
      <c r="J2909" t="s">
        <v>41</v>
      </c>
      <c r="K2909" t="s">
        <v>59</v>
      </c>
      <c r="Q2909">
        <v>0</v>
      </c>
      <c r="R2909">
        <v>85</v>
      </c>
      <c r="S2909">
        <v>85</v>
      </c>
      <c r="T2909" t="s">
        <v>12252</v>
      </c>
    </row>
    <row r="2910" spans="1:20" customFormat="1" ht="15" x14ac:dyDescent="0.25">
      <c r="A2910" t="s">
        <v>35</v>
      </c>
      <c r="B2910" t="s">
        <v>61</v>
      </c>
      <c r="C2910" t="str">
        <f>"A0183822"</f>
        <v>A0183822</v>
      </c>
      <c r="D2910" t="s">
        <v>12253</v>
      </c>
      <c r="E2910" t="s">
        <v>12254</v>
      </c>
      <c r="F2910" t="s">
        <v>436</v>
      </c>
      <c r="G2910" t="s">
        <v>433</v>
      </c>
      <c r="H2910" t="s">
        <v>12255</v>
      </c>
      <c r="I2910" t="s">
        <v>30</v>
      </c>
      <c r="J2910" t="s">
        <v>41</v>
      </c>
      <c r="K2910" t="s">
        <v>59</v>
      </c>
      <c r="Q2910">
        <v>0</v>
      </c>
      <c r="R2910">
        <v>0</v>
      </c>
      <c r="S2910">
        <v>0</v>
      </c>
      <c r="T2910" t="s">
        <v>12256</v>
      </c>
    </row>
    <row r="2911" spans="1:20" customFormat="1" ht="15" x14ac:dyDescent="0.25">
      <c r="A2911" t="s">
        <v>35</v>
      </c>
      <c r="B2911" t="s">
        <v>12257</v>
      </c>
      <c r="C2911" t="str">
        <f>"A0182857"</f>
        <v>A0182857</v>
      </c>
      <c r="D2911" t="s">
        <v>12258</v>
      </c>
      <c r="E2911" t="s">
        <v>12259</v>
      </c>
      <c r="F2911" t="s">
        <v>6764</v>
      </c>
      <c r="G2911" t="s">
        <v>81</v>
      </c>
      <c r="H2911" t="s">
        <v>12260</v>
      </c>
      <c r="I2911" t="s">
        <v>30</v>
      </c>
      <c r="J2911" t="s">
        <v>41</v>
      </c>
      <c r="K2911" t="s">
        <v>59</v>
      </c>
      <c r="Q2911">
        <v>0</v>
      </c>
      <c r="R2911">
        <v>64</v>
      </c>
      <c r="S2911">
        <v>64</v>
      </c>
      <c r="T2911" t="s">
        <v>12261</v>
      </c>
    </row>
    <row r="2912" spans="1:20" customFormat="1" ht="15" x14ac:dyDescent="0.25">
      <c r="A2912" t="s">
        <v>35</v>
      </c>
      <c r="B2912" t="s">
        <v>61</v>
      </c>
      <c r="C2912" t="str">
        <f>"A0181617"</f>
        <v>A0181617</v>
      </c>
      <c r="D2912" t="s">
        <v>12262</v>
      </c>
      <c r="E2912" t="s">
        <v>12263</v>
      </c>
      <c r="F2912" t="s">
        <v>1689</v>
      </c>
      <c r="G2912" t="s">
        <v>840</v>
      </c>
      <c r="H2912" t="s">
        <v>12264</v>
      </c>
      <c r="I2912" t="s">
        <v>30</v>
      </c>
      <c r="J2912" t="s">
        <v>41</v>
      </c>
      <c r="K2912" t="s">
        <v>59</v>
      </c>
      <c r="Q2912">
        <v>0</v>
      </c>
      <c r="R2912">
        <v>118</v>
      </c>
      <c r="S2912">
        <v>118</v>
      </c>
      <c r="T2912" t="s">
        <v>12265</v>
      </c>
    </row>
    <row r="2913" spans="1:20" customFormat="1" ht="15" x14ac:dyDescent="0.25">
      <c r="A2913" t="s">
        <v>35</v>
      </c>
      <c r="B2913" t="s">
        <v>61</v>
      </c>
      <c r="C2913" t="str">
        <f>"A0180896"</f>
        <v>A0180896</v>
      </c>
      <c r="D2913" t="s">
        <v>12266</v>
      </c>
      <c r="E2913" t="s">
        <v>12267</v>
      </c>
      <c r="F2913" t="s">
        <v>12268</v>
      </c>
      <c r="G2913" t="s">
        <v>880</v>
      </c>
      <c r="H2913" t="s">
        <v>12269</v>
      </c>
      <c r="I2913" t="s">
        <v>30</v>
      </c>
      <c r="J2913" t="s">
        <v>41</v>
      </c>
      <c r="K2913" t="s">
        <v>482</v>
      </c>
      <c r="Q2913">
        <v>0</v>
      </c>
      <c r="R2913">
        <v>0</v>
      </c>
      <c r="S2913">
        <v>0</v>
      </c>
      <c r="T2913" t="s">
        <v>12270</v>
      </c>
    </row>
    <row r="2914" spans="1:20" customFormat="1" ht="15" x14ac:dyDescent="0.25">
      <c r="A2914" t="s">
        <v>35</v>
      </c>
      <c r="B2914" t="s">
        <v>12271</v>
      </c>
      <c r="C2914" t="str">
        <f>"A0180841"</f>
        <v>A0180841</v>
      </c>
      <c r="D2914" t="s">
        <v>12272</v>
      </c>
      <c r="E2914" t="s">
        <v>12273</v>
      </c>
      <c r="F2914" t="s">
        <v>12274</v>
      </c>
      <c r="G2914" t="s">
        <v>846</v>
      </c>
      <c r="H2914">
        <v>300224939</v>
      </c>
      <c r="I2914" t="s">
        <v>30</v>
      </c>
      <c r="J2914" t="s">
        <v>41</v>
      </c>
      <c r="K2914" t="s">
        <v>482</v>
      </c>
      <c r="Q2914">
        <v>0</v>
      </c>
      <c r="R2914">
        <v>20</v>
      </c>
      <c r="S2914">
        <v>20</v>
      </c>
      <c r="T2914" t="s">
        <v>12275</v>
      </c>
    </row>
    <row r="2915" spans="1:20" customFormat="1" ht="15" x14ac:dyDescent="0.25">
      <c r="A2915" t="s">
        <v>35</v>
      </c>
      <c r="B2915" t="s">
        <v>7864</v>
      </c>
      <c r="C2915" t="str">
        <f>"A0183121"</f>
        <v>A0183121</v>
      </c>
      <c r="D2915" t="s">
        <v>12276</v>
      </c>
      <c r="E2915" t="s">
        <v>12277</v>
      </c>
      <c r="F2915" t="s">
        <v>5742</v>
      </c>
      <c r="G2915" t="s">
        <v>110</v>
      </c>
      <c r="H2915">
        <v>958314602</v>
      </c>
      <c r="I2915" t="s">
        <v>30</v>
      </c>
      <c r="J2915" t="s">
        <v>41</v>
      </c>
      <c r="K2915" t="s">
        <v>59</v>
      </c>
      <c r="Q2915">
        <v>0</v>
      </c>
      <c r="R2915">
        <v>1</v>
      </c>
      <c r="S2915">
        <v>1</v>
      </c>
      <c r="T2915" t="s">
        <v>12278</v>
      </c>
    </row>
    <row r="2916" spans="1:20" customFormat="1" ht="15" x14ac:dyDescent="0.25">
      <c r="A2916" t="s">
        <v>35</v>
      </c>
      <c r="B2916" t="s">
        <v>61</v>
      </c>
      <c r="C2916" t="str">
        <f>"A0182939"</f>
        <v>A0182939</v>
      </c>
      <c r="D2916" t="s">
        <v>12279</v>
      </c>
      <c r="E2916" t="s">
        <v>12280</v>
      </c>
      <c r="F2916" t="s">
        <v>12281</v>
      </c>
      <c r="G2916" t="s">
        <v>190</v>
      </c>
      <c r="H2916" t="s">
        <v>12282</v>
      </c>
      <c r="I2916" t="s">
        <v>30</v>
      </c>
      <c r="J2916" t="s">
        <v>41</v>
      </c>
      <c r="K2916" t="s">
        <v>59</v>
      </c>
      <c r="Q2916">
        <v>0</v>
      </c>
      <c r="R2916">
        <v>0</v>
      </c>
      <c r="S2916">
        <v>0</v>
      </c>
      <c r="T2916" t="s">
        <v>12283</v>
      </c>
    </row>
    <row r="2917" spans="1:20" customFormat="1" ht="15" x14ac:dyDescent="0.25">
      <c r="A2917" t="s">
        <v>35</v>
      </c>
      <c r="B2917" t="s">
        <v>61</v>
      </c>
      <c r="C2917" t="str">
        <f>"A0185409"</f>
        <v>A0185409</v>
      </c>
      <c r="D2917" t="s">
        <v>12284</v>
      </c>
      <c r="E2917" t="s">
        <v>12285</v>
      </c>
      <c r="F2917" t="s">
        <v>6240</v>
      </c>
      <c r="G2917" t="s">
        <v>381</v>
      </c>
      <c r="H2917" t="s">
        <v>12286</v>
      </c>
      <c r="I2917" t="s">
        <v>30</v>
      </c>
      <c r="J2917" t="s">
        <v>41</v>
      </c>
      <c r="K2917" t="s">
        <v>59</v>
      </c>
      <c r="Q2917">
        <v>0</v>
      </c>
      <c r="R2917">
        <v>50</v>
      </c>
      <c r="S2917">
        <v>50</v>
      </c>
      <c r="T2917" t="s">
        <v>12287</v>
      </c>
    </row>
    <row r="2918" spans="1:20" customFormat="1" ht="15" x14ac:dyDescent="0.25">
      <c r="A2918" t="s">
        <v>35</v>
      </c>
      <c r="B2918" t="s">
        <v>61</v>
      </c>
      <c r="C2918" t="str">
        <f>"A0185354"</f>
        <v>A0185354</v>
      </c>
      <c r="D2918" t="s">
        <v>12288</v>
      </c>
      <c r="E2918" t="s">
        <v>12289</v>
      </c>
      <c r="F2918" t="s">
        <v>8622</v>
      </c>
      <c r="G2918" t="s">
        <v>381</v>
      </c>
      <c r="H2918" t="s">
        <v>12290</v>
      </c>
      <c r="I2918" t="s">
        <v>30</v>
      </c>
      <c r="J2918" t="s">
        <v>41</v>
      </c>
      <c r="K2918" t="s">
        <v>59</v>
      </c>
      <c r="Q2918">
        <v>0</v>
      </c>
      <c r="R2918">
        <v>50</v>
      </c>
      <c r="S2918">
        <v>50</v>
      </c>
      <c r="T2918" t="s">
        <v>12291</v>
      </c>
    </row>
    <row r="2919" spans="1:20" customFormat="1" ht="15" x14ac:dyDescent="0.25">
      <c r="A2919" t="s">
        <v>35</v>
      </c>
      <c r="B2919" t="s">
        <v>61</v>
      </c>
      <c r="C2919" t="str">
        <f>"A0184386"</f>
        <v>A0184386</v>
      </c>
      <c r="D2919" t="s">
        <v>12292</v>
      </c>
      <c r="E2919" t="s">
        <v>11771</v>
      </c>
      <c r="F2919" t="s">
        <v>11772</v>
      </c>
      <c r="G2919" t="s">
        <v>71</v>
      </c>
      <c r="H2919" t="s">
        <v>11773</v>
      </c>
      <c r="I2919" t="s">
        <v>30</v>
      </c>
      <c r="J2919" t="s">
        <v>41</v>
      </c>
      <c r="K2919" t="s">
        <v>59</v>
      </c>
      <c r="Q2919">
        <v>0</v>
      </c>
      <c r="R2919">
        <v>0</v>
      </c>
      <c r="S2919">
        <v>0</v>
      </c>
      <c r="T2919" t="s">
        <v>11774</v>
      </c>
    </row>
    <row r="2920" spans="1:20" customFormat="1" ht="15" x14ac:dyDescent="0.25">
      <c r="A2920" t="s">
        <v>35</v>
      </c>
      <c r="B2920" t="s">
        <v>61</v>
      </c>
      <c r="C2920" t="str">
        <f>"A0184092"</f>
        <v>A0184092</v>
      </c>
      <c r="D2920" t="s">
        <v>12293</v>
      </c>
      <c r="E2920" t="s">
        <v>12294</v>
      </c>
      <c r="F2920" t="s">
        <v>4288</v>
      </c>
      <c r="G2920" t="s">
        <v>110</v>
      </c>
      <c r="H2920" t="s">
        <v>12295</v>
      </c>
      <c r="I2920" t="s">
        <v>30</v>
      </c>
      <c r="J2920" t="s">
        <v>41</v>
      </c>
      <c r="K2920" t="s">
        <v>59</v>
      </c>
      <c r="Q2920">
        <v>0</v>
      </c>
      <c r="R2920">
        <v>554</v>
      </c>
      <c r="S2920">
        <v>554</v>
      </c>
      <c r="T2920" t="s">
        <v>12296</v>
      </c>
    </row>
    <row r="2921" spans="1:20" customFormat="1" ht="15" x14ac:dyDescent="0.25">
      <c r="A2921" t="s">
        <v>35</v>
      </c>
      <c r="B2921" t="s">
        <v>61</v>
      </c>
      <c r="C2921" t="str">
        <f>"A0185063"</f>
        <v>A0185063</v>
      </c>
      <c r="D2921" t="s">
        <v>12297</v>
      </c>
      <c r="E2921" t="s">
        <v>12298</v>
      </c>
      <c r="F2921" t="s">
        <v>12299</v>
      </c>
      <c r="G2921" t="s">
        <v>47</v>
      </c>
      <c r="H2921" t="s">
        <v>12300</v>
      </c>
      <c r="I2921" t="s">
        <v>30</v>
      </c>
      <c r="J2921" t="s">
        <v>41</v>
      </c>
      <c r="K2921" t="s">
        <v>59</v>
      </c>
      <c r="Q2921">
        <v>0</v>
      </c>
      <c r="R2921">
        <v>0</v>
      </c>
      <c r="S2921">
        <v>0</v>
      </c>
      <c r="T2921" t="s">
        <v>12301</v>
      </c>
    </row>
    <row r="2922" spans="1:20" customFormat="1" ht="15" x14ac:dyDescent="0.25">
      <c r="A2922" t="s">
        <v>24</v>
      </c>
      <c r="B2922" t="s">
        <v>675</v>
      </c>
      <c r="C2922" t="str">
        <f>"A0064216"</f>
        <v>A0064216</v>
      </c>
      <c r="D2922" t="s">
        <v>57935</v>
      </c>
      <c r="E2922" t="s">
        <v>57936</v>
      </c>
      <c r="F2922" t="s">
        <v>242</v>
      </c>
      <c r="G2922" t="s">
        <v>214</v>
      </c>
      <c r="H2922">
        <v>28211</v>
      </c>
      <c r="I2922" t="s">
        <v>30</v>
      </c>
      <c r="J2922" t="s">
        <v>162</v>
      </c>
      <c r="K2922" t="s">
        <v>1490</v>
      </c>
      <c r="N2922" t="s">
        <v>57937</v>
      </c>
      <c r="O2922" t="s">
        <v>57938</v>
      </c>
      <c r="Q2922">
        <v>0</v>
      </c>
      <c r="R2922">
        <v>192</v>
      </c>
      <c r="S2922">
        <v>0</v>
      </c>
      <c r="T2922" t="s">
        <v>57939</v>
      </c>
    </row>
    <row r="2923" spans="1:20" customFormat="1" ht="15" x14ac:dyDescent="0.25">
      <c r="A2923" t="s">
        <v>24</v>
      </c>
      <c r="B2923" t="s">
        <v>805</v>
      </c>
      <c r="C2923" t="str">
        <f>"A0065068"</f>
        <v>A0065068</v>
      </c>
      <c r="D2923" t="s">
        <v>57947</v>
      </c>
      <c r="E2923" t="s">
        <v>57948</v>
      </c>
      <c r="F2923" t="s">
        <v>57949</v>
      </c>
      <c r="G2923" t="s">
        <v>137</v>
      </c>
      <c r="H2923">
        <v>63108</v>
      </c>
      <c r="I2923" t="s">
        <v>30</v>
      </c>
      <c r="J2923" t="s">
        <v>162</v>
      </c>
      <c r="K2923" t="s">
        <v>6405</v>
      </c>
      <c r="N2923" t="s">
        <v>57950</v>
      </c>
      <c r="Q2923">
        <v>0</v>
      </c>
      <c r="R2923">
        <v>338</v>
      </c>
      <c r="S2923">
        <v>0</v>
      </c>
      <c r="T2923" t="s">
        <v>57951</v>
      </c>
    </row>
    <row r="2924" spans="1:20" customFormat="1" ht="15" x14ac:dyDescent="0.25">
      <c r="A2924" t="s">
        <v>24</v>
      </c>
      <c r="B2924" t="s">
        <v>1473</v>
      </c>
      <c r="C2924" t="str">
        <f>"A0188259"</f>
        <v>A0188259</v>
      </c>
      <c r="D2924" t="s">
        <v>12312</v>
      </c>
      <c r="E2924" t="s">
        <v>12313</v>
      </c>
      <c r="F2924" t="s">
        <v>12314</v>
      </c>
      <c r="G2924" t="s">
        <v>338</v>
      </c>
      <c r="H2924">
        <v>8360</v>
      </c>
      <c r="I2924" t="s">
        <v>30</v>
      </c>
      <c r="J2924" t="s">
        <v>145</v>
      </c>
      <c r="K2924" t="s">
        <v>1185</v>
      </c>
      <c r="N2924" t="s">
        <v>12315</v>
      </c>
      <c r="Q2924">
        <v>0</v>
      </c>
      <c r="R2924">
        <v>106</v>
      </c>
      <c r="S2924">
        <v>0</v>
      </c>
      <c r="T2924" t="s">
        <v>12316</v>
      </c>
    </row>
    <row r="2925" spans="1:20" customFormat="1" ht="15" x14ac:dyDescent="0.25">
      <c r="A2925" t="s">
        <v>24</v>
      </c>
      <c r="B2925" t="s">
        <v>1473</v>
      </c>
      <c r="C2925" t="str">
        <f>"A0188258"</f>
        <v>A0188258</v>
      </c>
      <c r="D2925" t="s">
        <v>12317</v>
      </c>
      <c r="E2925" t="s">
        <v>12318</v>
      </c>
      <c r="F2925" t="s">
        <v>12319</v>
      </c>
      <c r="G2925" t="s">
        <v>123</v>
      </c>
      <c r="H2925">
        <v>21228</v>
      </c>
      <c r="I2925" t="s">
        <v>30</v>
      </c>
      <c r="J2925" t="s">
        <v>31</v>
      </c>
      <c r="K2925" t="s">
        <v>282</v>
      </c>
      <c r="N2925" t="s">
        <v>12320</v>
      </c>
      <c r="Q2925">
        <v>0</v>
      </c>
      <c r="R2925">
        <v>135</v>
      </c>
      <c r="S2925">
        <v>0</v>
      </c>
      <c r="T2925" t="s">
        <v>12321</v>
      </c>
    </row>
    <row r="2926" spans="1:20" customFormat="1" ht="15" x14ac:dyDescent="0.25">
      <c r="A2926" t="s">
        <v>24</v>
      </c>
      <c r="B2926" t="s">
        <v>12322</v>
      </c>
      <c r="C2926" t="str">
        <f>"A0180633"</f>
        <v>A0180633</v>
      </c>
      <c r="D2926" t="s">
        <v>12323</v>
      </c>
      <c r="E2926" t="s">
        <v>12324</v>
      </c>
      <c r="F2926" t="s">
        <v>2094</v>
      </c>
      <c r="G2926" t="s">
        <v>52</v>
      </c>
      <c r="H2926">
        <v>75228</v>
      </c>
      <c r="I2926" t="s">
        <v>30</v>
      </c>
      <c r="J2926" t="s">
        <v>31</v>
      </c>
      <c r="K2926" t="s">
        <v>32</v>
      </c>
      <c r="N2926" t="s">
        <v>12325</v>
      </c>
      <c r="Q2926">
        <v>0</v>
      </c>
      <c r="R2926">
        <v>80</v>
      </c>
      <c r="S2926">
        <v>0</v>
      </c>
      <c r="T2926" t="s">
        <v>12326</v>
      </c>
    </row>
    <row r="2927" spans="1:20" customFormat="1" ht="15" x14ac:dyDescent="0.25">
      <c r="A2927" t="s">
        <v>24</v>
      </c>
      <c r="B2927" t="s">
        <v>12327</v>
      </c>
      <c r="C2927" t="str">
        <f>"A0085170"</f>
        <v>A0085170</v>
      </c>
      <c r="D2927" t="s">
        <v>12328</v>
      </c>
      <c r="E2927" t="s">
        <v>12329</v>
      </c>
      <c r="F2927" t="s">
        <v>12330</v>
      </c>
      <c r="G2927" t="s">
        <v>99</v>
      </c>
      <c r="H2927">
        <v>12205</v>
      </c>
      <c r="I2927" t="s">
        <v>30</v>
      </c>
      <c r="J2927" t="s">
        <v>31</v>
      </c>
      <c r="K2927" t="s">
        <v>255</v>
      </c>
      <c r="N2927" t="s">
        <v>12331</v>
      </c>
      <c r="O2927" t="s">
        <v>12332</v>
      </c>
      <c r="Q2927">
        <v>0</v>
      </c>
      <c r="R2927">
        <v>119</v>
      </c>
      <c r="S2927">
        <v>0</v>
      </c>
      <c r="T2927" t="s">
        <v>12333</v>
      </c>
    </row>
    <row r="2928" spans="1:20" customFormat="1" ht="15" x14ac:dyDescent="0.25">
      <c r="A2928" t="s">
        <v>24</v>
      </c>
      <c r="B2928" t="s">
        <v>12334</v>
      </c>
      <c r="C2928" t="str">
        <f>"A0188106"</f>
        <v>A0188106</v>
      </c>
      <c r="D2928" t="s">
        <v>12335</v>
      </c>
      <c r="E2928" t="s">
        <v>12336</v>
      </c>
      <c r="F2928" t="s">
        <v>170</v>
      </c>
      <c r="G2928" t="s">
        <v>110</v>
      </c>
      <c r="H2928">
        <v>93449</v>
      </c>
      <c r="I2928" t="s">
        <v>30</v>
      </c>
      <c r="J2928" t="s">
        <v>145</v>
      </c>
      <c r="K2928" t="s">
        <v>163</v>
      </c>
      <c r="N2928" t="s">
        <v>12337</v>
      </c>
      <c r="Q2928">
        <v>0</v>
      </c>
      <c r="R2928">
        <v>22</v>
      </c>
      <c r="S2928">
        <v>0</v>
      </c>
      <c r="T2928" t="s">
        <v>12338</v>
      </c>
    </row>
    <row r="2929" spans="1:20" customFormat="1" ht="15" x14ac:dyDescent="0.25">
      <c r="A2929" t="s">
        <v>24</v>
      </c>
      <c r="B2929" t="s">
        <v>3789</v>
      </c>
      <c r="C2929" t="str">
        <f>"A0188114"</f>
        <v>A0188114</v>
      </c>
      <c r="D2929" t="s">
        <v>12339</v>
      </c>
      <c r="E2929" t="s">
        <v>12340</v>
      </c>
      <c r="F2929" t="s">
        <v>12341</v>
      </c>
      <c r="G2929" t="s">
        <v>52</v>
      </c>
      <c r="H2929">
        <v>75087</v>
      </c>
      <c r="I2929" t="s">
        <v>30</v>
      </c>
      <c r="J2929" t="s">
        <v>31</v>
      </c>
      <c r="K2929" t="s">
        <v>222</v>
      </c>
      <c r="N2929" t="s">
        <v>12342</v>
      </c>
      <c r="O2929" t="s">
        <v>12343</v>
      </c>
      <c r="Q2929">
        <v>0</v>
      </c>
      <c r="R2929">
        <v>112</v>
      </c>
      <c r="S2929">
        <v>0</v>
      </c>
      <c r="T2929" t="s">
        <v>12344</v>
      </c>
    </row>
    <row r="2930" spans="1:20" customFormat="1" ht="15" x14ac:dyDescent="0.25">
      <c r="A2930" t="s">
        <v>24</v>
      </c>
      <c r="B2930" t="s">
        <v>2373</v>
      </c>
      <c r="C2930" t="str">
        <f>"A0058217"</f>
        <v>A0058217</v>
      </c>
      <c r="D2930" t="s">
        <v>57952</v>
      </c>
      <c r="E2930" t="s">
        <v>57953</v>
      </c>
      <c r="F2930" t="s">
        <v>16330</v>
      </c>
      <c r="G2930" t="s">
        <v>846</v>
      </c>
      <c r="H2930">
        <v>30517</v>
      </c>
      <c r="I2930" t="s">
        <v>30</v>
      </c>
      <c r="J2930" t="s">
        <v>162</v>
      </c>
      <c r="K2930" t="s">
        <v>163</v>
      </c>
      <c r="N2930" t="s">
        <v>57954</v>
      </c>
      <c r="O2930" t="s">
        <v>57955</v>
      </c>
      <c r="P2930" t="s">
        <v>3998</v>
      </c>
      <c r="Q2930">
        <v>3</v>
      </c>
      <c r="R2930">
        <v>306</v>
      </c>
      <c r="S2930">
        <v>0</v>
      </c>
      <c r="T2930" t="s">
        <v>57956</v>
      </c>
    </row>
    <row r="2931" spans="1:20" customFormat="1" ht="15" x14ac:dyDescent="0.25">
      <c r="A2931" t="s">
        <v>24</v>
      </c>
      <c r="B2931" t="s">
        <v>56277</v>
      </c>
      <c r="C2931" t="str">
        <f>"71F13"</f>
        <v>71F13</v>
      </c>
      <c r="D2931" t="s">
        <v>57962</v>
      </c>
      <c r="E2931" t="s">
        <v>57963</v>
      </c>
      <c r="F2931" t="s">
        <v>3184</v>
      </c>
      <c r="G2931" t="s">
        <v>137</v>
      </c>
      <c r="H2931">
        <v>65616</v>
      </c>
      <c r="I2931" t="s">
        <v>30</v>
      </c>
      <c r="J2931" t="s">
        <v>162</v>
      </c>
      <c r="K2931" t="s">
        <v>163</v>
      </c>
      <c r="N2931" t="s">
        <v>57964</v>
      </c>
      <c r="O2931" t="s">
        <v>57965</v>
      </c>
      <c r="Q2931">
        <v>0</v>
      </c>
      <c r="R2931">
        <v>250</v>
      </c>
      <c r="S2931">
        <v>0</v>
      </c>
      <c r="T2931" t="s">
        <v>57966</v>
      </c>
    </row>
    <row r="2932" spans="1:20" customFormat="1" ht="15" x14ac:dyDescent="0.25">
      <c r="A2932" t="s">
        <v>24</v>
      </c>
      <c r="B2932" t="s">
        <v>12356</v>
      </c>
      <c r="C2932" t="str">
        <f>"A0075358"</f>
        <v>A0075358</v>
      </c>
      <c r="D2932" t="s">
        <v>12357</v>
      </c>
      <c r="E2932" t="s">
        <v>12358</v>
      </c>
      <c r="F2932" t="s">
        <v>12359</v>
      </c>
      <c r="G2932" t="s">
        <v>289</v>
      </c>
      <c r="H2932">
        <v>60440</v>
      </c>
      <c r="I2932" t="s">
        <v>30</v>
      </c>
      <c r="J2932" t="s">
        <v>31</v>
      </c>
      <c r="K2932" t="s">
        <v>255</v>
      </c>
      <c r="N2932" t="s">
        <v>12360</v>
      </c>
      <c r="Q2932">
        <v>0</v>
      </c>
      <c r="R2932">
        <v>82</v>
      </c>
      <c r="S2932">
        <v>0</v>
      </c>
      <c r="T2932" t="s">
        <v>12361</v>
      </c>
    </row>
    <row r="2933" spans="1:20" customFormat="1" ht="15" x14ac:dyDescent="0.25">
      <c r="A2933" t="s">
        <v>24</v>
      </c>
      <c r="B2933" t="s">
        <v>140</v>
      </c>
      <c r="C2933" t="str">
        <f>"A0084562"</f>
        <v>A0084562</v>
      </c>
      <c r="D2933" t="s">
        <v>12362</v>
      </c>
      <c r="E2933" t="s">
        <v>12363</v>
      </c>
      <c r="F2933" t="s">
        <v>5518</v>
      </c>
      <c r="G2933" t="s">
        <v>197</v>
      </c>
      <c r="H2933">
        <v>85305</v>
      </c>
      <c r="I2933" t="s">
        <v>30</v>
      </c>
      <c r="J2933" t="s">
        <v>31</v>
      </c>
      <c r="K2933" t="s">
        <v>255</v>
      </c>
      <c r="N2933" t="s">
        <v>12364</v>
      </c>
      <c r="Q2933">
        <v>0</v>
      </c>
      <c r="R2933">
        <v>120</v>
      </c>
      <c r="S2933">
        <v>0</v>
      </c>
      <c r="T2933" t="s">
        <v>12365</v>
      </c>
    </row>
    <row r="2934" spans="1:20" customFormat="1" ht="15" x14ac:dyDescent="0.25">
      <c r="A2934" t="s">
        <v>24</v>
      </c>
      <c r="B2934" t="s">
        <v>12366</v>
      </c>
      <c r="C2934" t="str">
        <f>"A0050077"</f>
        <v>A0050077</v>
      </c>
      <c r="D2934" t="s">
        <v>12367</v>
      </c>
      <c r="E2934" t="s">
        <v>12368</v>
      </c>
      <c r="F2934" t="s">
        <v>1320</v>
      </c>
      <c r="G2934" t="s">
        <v>99</v>
      </c>
      <c r="H2934">
        <v>14086</v>
      </c>
      <c r="I2934" t="s">
        <v>30</v>
      </c>
      <c r="J2934" t="s">
        <v>178</v>
      </c>
      <c r="K2934" t="s">
        <v>179</v>
      </c>
      <c r="N2934" t="s">
        <v>12369</v>
      </c>
      <c r="O2934" t="s">
        <v>12370</v>
      </c>
      <c r="Q2934">
        <v>1</v>
      </c>
      <c r="R2934">
        <v>0</v>
      </c>
      <c r="S2934">
        <v>0</v>
      </c>
      <c r="T2934" t="s">
        <v>12371</v>
      </c>
    </row>
    <row r="2935" spans="1:20" customFormat="1" ht="15" x14ac:dyDescent="0.25">
      <c r="A2935" t="s">
        <v>35</v>
      </c>
      <c r="B2935" t="s">
        <v>12372</v>
      </c>
      <c r="C2935" t="str">
        <f>"A0188016"</f>
        <v>A0188016</v>
      </c>
      <c r="D2935" t="s">
        <v>12373</v>
      </c>
      <c r="E2935" t="s">
        <v>12374</v>
      </c>
      <c r="F2935" t="s">
        <v>12375</v>
      </c>
      <c r="G2935" t="s">
        <v>29</v>
      </c>
      <c r="H2935">
        <v>24060</v>
      </c>
      <c r="I2935" t="s">
        <v>30</v>
      </c>
      <c r="J2935" t="s">
        <v>41</v>
      </c>
      <c r="K2935" t="s">
        <v>2463</v>
      </c>
      <c r="Q2935">
        <v>0</v>
      </c>
      <c r="R2935">
        <v>0</v>
      </c>
      <c r="S2935">
        <v>0</v>
      </c>
      <c r="T2935" t="s">
        <v>72</v>
      </c>
    </row>
    <row r="2936" spans="1:20" customFormat="1" ht="15" x14ac:dyDescent="0.25">
      <c r="A2936" t="s">
        <v>35</v>
      </c>
      <c r="B2936" t="s">
        <v>12372</v>
      </c>
      <c r="C2936" t="str">
        <f>"A0188015"</f>
        <v>A0188015</v>
      </c>
      <c r="D2936" t="s">
        <v>12376</v>
      </c>
      <c r="E2936" t="s">
        <v>12377</v>
      </c>
      <c r="F2936" t="s">
        <v>12375</v>
      </c>
      <c r="G2936" t="s">
        <v>29</v>
      </c>
      <c r="H2936">
        <v>24060</v>
      </c>
      <c r="I2936" t="s">
        <v>30</v>
      </c>
      <c r="J2936" t="s">
        <v>41</v>
      </c>
      <c r="K2936" t="s">
        <v>2463</v>
      </c>
      <c r="Q2936">
        <v>0</v>
      </c>
      <c r="R2936">
        <v>0</v>
      </c>
      <c r="S2936">
        <v>0</v>
      </c>
      <c r="T2936" t="s">
        <v>72</v>
      </c>
    </row>
    <row r="2937" spans="1:20" customFormat="1" ht="15" x14ac:dyDescent="0.25">
      <c r="A2937" t="s">
        <v>35</v>
      </c>
      <c r="B2937" t="s">
        <v>36</v>
      </c>
      <c r="C2937" t="str">
        <f>"A0188014"</f>
        <v>A0188014</v>
      </c>
      <c r="D2937" t="s">
        <v>12378</v>
      </c>
      <c r="E2937" t="s">
        <v>12379</v>
      </c>
      <c r="F2937" t="s">
        <v>12380</v>
      </c>
      <c r="G2937" t="s">
        <v>40</v>
      </c>
      <c r="H2937">
        <v>74957</v>
      </c>
      <c r="I2937" t="s">
        <v>30</v>
      </c>
      <c r="J2937" t="s">
        <v>41</v>
      </c>
      <c r="K2937" t="s">
        <v>42</v>
      </c>
      <c r="Q2937">
        <v>0</v>
      </c>
      <c r="R2937">
        <v>0</v>
      </c>
      <c r="S2937">
        <v>0</v>
      </c>
      <c r="T2937" t="s">
        <v>12381</v>
      </c>
    </row>
    <row r="2938" spans="1:20" customFormat="1" ht="15" x14ac:dyDescent="0.25">
      <c r="A2938" t="s">
        <v>35</v>
      </c>
      <c r="B2938" t="s">
        <v>36</v>
      </c>
      <c r="C2938" t="str">
        <f>"A0188013"</f>
        <v>A0188013</v>
      </c>
      <c r="D2938" t="s">
        <v>12382</v>
      </c>
      <c r="E2938" t="s">
        <v>12383</v>
      </c>
      <c r="F2938" t="s">
        <v>12384</v>
      </c>
      <c r="G2938" t="s">
        <v>190</v>
      </c>
      <c r="H2938">
        <v>80906</v>
      </c>
      <c r="I2938" t="s">
        <v>30</v>
      </c>
      <c r="J2938" t="s">
        <v>41</v>
      </c>
      <c r="K2938" t="s">
        <v>42</v>
      </c>
      <c r="Q2938">
        <v>0</v>
      </c>
      <c r="R2938">
        <v>0</v>
      </c>
      <c r="S2938">
        <v>0</v>
      </c>
      <c r="T2938" t="s">
        <v>12385</v>
      </c>
    </row>
    <row r="2939" spans="1:20" customFormat="1" ht="15" x14ac:dyDescent="0.25">
      <c r="A2939" t="s">
        <v>35</v>
      </c>
      <c r="B2939" t="s">
        <v>36</v>
      </c>
      <c r="C2939" t="str">
        <f>"A0188012"</f>
        <v>A0188012</v>
      </c>
      <c r="D2939" t="s">
        <v>12386</v>
      </c>
      <c r="E2939" t="s">
        <v>12387</v>
      </c>
      <c r="F2939" t="s">
        <v>12388</v>
      </c>
      <c r="G2939" t="s">
        <v>2450</v>
      </c>
      <c r="H2939">
        <v>4009</v>
      </c>
      <c r="I2939" t="s">
        <v>30</v>
      </c>
      <c r="J2939" t="s">
        <v>41</v>
      </c>
      <c r="K2939" t="s">
        <v>42</v>
      </c>
      <c r="Q2939">
        <v>0</v>
      </c>
      <c r="R2939">
        <v>0</v>
      </c>
      <c r="S2939">
        <v>0</v>
      </c>
      <c r="T2939" t="s">
        <v>12389</v>
      </c>
    </row>
    <row r="2940" spans="1:20" customFormat="1" ht="15" x14ac:dyDescent="0.25">
      <c r="A2940" t="s">
        <v>35</v>
      </c>
      <c r="B2940" t="s">
        <v>36</v>
      </c>
      <c r="C2940" t="str">
        <f>"A0188011"</f>
        <v>A0188011</v>
      </c>
      <c r="D2940" t="s">
        <v>12390</v>
      </c>
      <c r="E2940" t="s">
        <v>12391</v>
      </c>
      <c r="F2940" t="s">
        <v>12392</v>
      </c>
      <c r="G2940" t="s">
        <v>52</v>
      </c>
      <c r="H2940">
        <v>77546</v>
      </c>
      <c r="I2940" t="s">
        <v>30</v>
      </c>
      <c r="J2940" t="s">
        <v>41</v>
      </c>
      <c r="K2940" t="s">
        <v>42</v>
      </c>
      <c r="Q2940">
        <v>0</v>
      </c>
      <c r="R2940">
        <v>0</v>
      </c>
      <c r="S2940">
        <v>0</v>
      </c>
      <c r="T2940" t="s">
        <v>72</v>
      </c>
    </row>
    <row r="2941" spans="1:20" customFormat="1" ht="15" x14ac:dyDescent="0.25">
      <c r="A2941" t="s">
        <v>35</v>
      </c>
      <c r="B2941" t="s">
        <v>6747</v>
      </c>
      <c r="C2941" t="str">
        <f>"A0188010"</f>
        <v>A0188010</v>
      </c>
      <c r="D2941" t="s">
        <v>12393</v>
      </c>
      <c r="E2941" t="s">
        <v>12394</v>
      </c>
      <c r="F2941" t="s">
        <v>12395</v>
      </c>
      <c r="G2941" t="s">
        <v>29</v>
      </c>
      <c r="H2941">
        <v>23413</v>
      </c>
      <c r="I2941" t="s">
        <v>30</v>
      </c>
      <c r="J2941" t="s">
        <v>41</v>
      </c>
      <c r="K2941" t="s">
        <v>229</v>
      </c>
      <c r="Q2941">
        <v>0</v>
      </c>
      <c r="R2941">
        <v>0</v>
      </c>
      <c r="S2941">
        <v>145</v>
      </c>
      <c r="T2941" t="s">
        <v>72</v>
      </c>
    </row>
    <row r="2942" spans="1:20" customFormat="1" ht="15" x14ac:dyDescent="0.25">
      <c r="A2942" t="s">
        <v>35</v>
      </c>
      <c r="B2942" t="s">
        <v>12396</v>
      </c>
      <c r="C2942" t="str">
        <f>"A0188009"</f>
        <v>A0188009</v>
      </c>
      <c r="D2942" t="s">
        <v>12397</v>
      </c>
      <c r="E2942" t="s">
        <v>12398</v>
      </c>
      <c r="F2942" t="s">
        <v>12399</v>
      </c>
      <c r="G2942" t="s">
        <v>65</v>
      </c>
      <c r="H2942">
        <v>43113</v>
      </c>
      <c r="I2942" t="s">
        <v>30</v>
      </c>
      <c r="J2942" t="s">
        <v>41</v>
      </c>
      <c r="K2942" t="s">
        <v>461</v>
      </c>
      <c r="Q2942">
        <v>0</v>
      </c>
      <c r="R2942">
        <v>0</v>
      </c>
      <c r="S2942">
        <v>20</v>
      </c>
      <c r="T2942" t="s">
        <v>12400</v>
      </c>
    </row>
    <row r="2943" spans="1:20" customFormat="1" ht="15" x14ac:dyDescent="0.25">
      <c r="A2943" t="s">
        <v>35</v>
      </c>
      <c r="B2943" t="s">
        <v>12396</v>
      </c>
      <c r="C2943" t="str">
        <f>"A0188008"</f>
        <v>A0188008</v>
      </c>
      <c r="D2943" t="s">
        <v>12401</v>
      </c>
      <c r="E2943" t="s">
        <v>12402</v>
      </c>
      <c r="F2943" t="s">
        <v>12403</v>
      </c>
      <c r="G2943" t="s">
        <v>65</v>
      </c>
      <c r="H2943">
        <v>43160</v>
      </c>
      <c r="I2943" t="s">
        <v>30</v>
      </c>
      <c r="J2943" t="s">
        <v>41</v>
      </c>
      <c r="K2943" t="s">
        <v>461</v>
      </c>
      <c r="Q2943">
        <v>0</v>
      </c>
      <c r="R2943">
        <v>0</v>
      </c>
      <c r="S2943">
        <v>20</v>
      </c>
      <c r="T2943" t="s">
        <v>12404</v>
      </c>
    </row>
    <row r="2944" spans="1:20" customFormat="1" ht="15" x14ac:dyDescent="0.25">
      <c r="A2944" t="s">
        <v>35</v>
      </c>
      <c r="B2944" t="s">
        <v>12396</v>
      </c>
      <c r="C2944" t="str">
        <f>"A0188007"</f>
        <v>A0188007</v>
      </c>
      <c r="D2944" t="s">
        <v>12405</v>
      </c>
      <c r="E2944" t="s">
        <v>12406</v>
      </c>
      <c r="F2944" t="s">
        <v>3009</v>
      </c>
      <c r="G2944" t="s">
        <v>65</v>
      </c>
      <c r="H2944">
        <v>43130</v>
      </c>
      <c r="I2944" t="s">
        <v>30</v>
      </c>
      <c r="J2944" t="s">
        <v>41</v>
      </c>
      <c r="K2944" t="s">
        <v>461</v>
      </c>
      <c r="Q2944">
        <v>0</v>
      </c>
      <c r="R2944">
        <v>0</v>
      </c>
      <c r="S2944">
        <v>0</v>
      </c>
      <c r="T2944" t="s">
        <v>12407</v>
      </c>
    </row>
    <row r="2945" spans="1:20" customFormat="1" ht="15" x14ac:dyDescent="0.25">
      <c r="A2945" t="s">
        <v>35</v>
      </c>
      <c r="B2945" t="s">
        <v>12396</v>
      </c>
      <c r="C2945" t="str">
        <f>"A0188006"</f>
        <v>A0188006</v>
      </c>
      <c r="D2945" t="s">
        <v>12408</v>
      </c>
      <c r="E2945" t="s">
        <v>12409</v>
      </c>
      <c r="F2945" t="s">
        <v>12399</v>
      </c>
      <c r="G2945" t="s">
        <v>65</v>
      </c>
      <c r="H2945">
        <v>43113</v>
      </c>
      <c r="I2945" t="s">
        <v>30</v>
      </c>
      <c r="J2945" t="s">
        <v>41</v>
      </c>
      <c r="K2945" t="s">
        <v>290</v>
      </c>
      <c r="Q2945">
        <v>0</v>
      </c>
      <c r="R2945">
        <v>0</v>
      </c>
      <c r="S2945">
        <v>20</v>
      </c>
      <c r="T2945" t="s">
        <v>12400</v>
      </c>
    </row>
    <row r="2946" spans="1:20" customFormat="1" ht="15" x14ac:dyDescent="0.25">
      <c r="A2946" t="s">
        <v>35</v>
      </c>
      <c r="B2946" t="s">
        <v>12396</v>
      </c>
      <c r="C2946" t="str">
        <f>"A0188005"</f>
        <v>A0188005</v>
      </c>
      <c r="D2946" t="s">
        <v>12410</v>
      </c>
      <c r="E2946" t="s">
        <v>12411</v>
      </c>
      <c r="F2946" t="s">
        <v>12412</v>
      </c>
      <c r="G2946" t="s">
        <v>65</v>
      </c>
      <c r="H2946">
        <v>43701</v>
      </c>
      <c r="I2946" t="s">
        <v>30</v>
      </c>
      <c r="J2946" t="s">
        <v>41</v>
      </c>
      <c r="K2946" t="s">
        <v>461</v>
      </c>
      <c r="Q2946">
        <v>0</v>
      </c>
      <c r="R2946">
        <v>0</v>
      </c>
      <c r="S2946">
        <v>20</v>
      </c>
      <c r="T2946" t="s">
        <v>12413</v>
      </c>
    </row>
    <row r="2947" spans="1:20" customFormat="1" ht="15" x14ac:dyDescent="0.25">
      <c r="A2947" t="s">
        <v>35</v>
      </c>
      <c r="B2947" t="s">
        <v>12396</v>
      </c>
      <c r="C2947" t="str">
        <f>"A0188004"</f>
        <v>A0188004</v>
      </c>
      <c r="D2947" t="s">
        <v>12414</v>
      </c>
      <c r="E2947" t="s">
        <v>12415</v>
      </c>
      <c r="F2947" t="s">
        <v>12403</v>
      </c>
      <c r="G2947" t="s">
        <v>65</v>
      </c>
      <c r="H2947">
        <v>43160</v>
      </c>
      <c r="I2947" t="s">
        <v>30</v>
      </c>
      <c r="J2947" t="s">
        <v>41</v>
      </c>
      <c r="K2947" t="s">
        <v>461</v>
      </c>
      <c r="Q2947">
        <v>0</v>
      </c>
      <c r="R2947">
        <v>0</v>
      </c>
      <c r="S2947">
        <v>20</v>
      </c>
      <c r="T2947" t="s">
        <v>12404</v>
      </c>
    </row>
    <row r="2948" spans="1:20" customFormat="1" ht="15" x14ac:dyDescent="0.25">
      <c r="A2948" t="s">
        <v>35</v>
      </c>
      <c r="B2948" t="s">
        <v>12396</v>
      </c>
      <c r="C2948" t="str">
        <f>"A0188003"</f>
        <v>A0188003</v>
      </c>
      <c r="D2948" t="s">
        <v>12416</v>
      </c>
      <c r="E2948" t="s">
        <v>12417</v>
      </c>
      <c r="F2948" t="s">
        <v>12399</v>
      </c>
      <c r="G2948" t="s">
        <v>65</v>
      </c>
      <c r="H2948">
        <v>43113</v>
      </c>
      <c r="I2948" t="s">
        <v>30</v>
      </c>
      <c r="J2948" t="s">
        <v>41</v>
      </c>
      <c r="K2948" t="s">
        <v>461</v>
      </c>
      <c r="Q2948">
        <v>0</v>
      </c>
      <c r="R2948">
        <v>0</v>
      </c>
      <c r="S2948">
        <v>0</v>
      </c>
      <c r="T2948" t="s">
        <v>12400</v>
      </c>
    </row>
    <row r="2949" spans="1:20" customFormat="1" ht="15" x14ac:dyDescent="0.25">
      <c r="A2949" t="s">
        <v>35</v>
      </c>
      <c r="B2949" t="s">
        <v>12396</v>
      </c>
      <c r="C2949" t="str">
        <f>"A0188002"</f>
        <v>A0188002</v>
      </c>
      <c r="D2949" t="s">
        <v>12418</v>
      </c>
      <c r="E2949" t="s">
        <v>12419</v>
      </c>
      <c r="F2949" t="s">
        <v>12399</v>
      </c>
      <c r="G2949" t="s">
        <v>65</v>
      </c>
      <c r="H2949">
        <v>43113</v>
      </c>
      <c r="I2949" t="s">
        <v>30</v>
      </c>
      <c r="J2949" t="s">
        <v>41</v>
      </c>
      <c r="K2949" t="s">
        <v>461</v>
      </c>
      <c r="Q2949">
        <v>0</v>
      </c>
      <c r="R2949">
        <v>0</v>
      </c>
      <c r="S2949">
        <v>0</v>
      </c>
      <c r="T2949" t="s">
        <v>12400</v>
      </c>
    </row>
    <row r="2950" spans="1:20" customFormat="1" ht="15" x14ac:dyDescent="0.25">
      <c r="A2950" t="s">
        <v>35</v>
      </c>
      <c r="B2950" t="s">
        <v>12396</v>
      </c>
      <c r="C2950" t="str">
        <f>"A0188001"</f>
        <v>A0188001</v>
      </c>
      <c r="D2950" t="s">
        <v>12420</v>
      </c>
      <c r="E2950" t="s">
        <v>12421</v>
      </c>
      <c r="F2950" t="s">
        <v>12399</v>
      </c>
      <c r="G2950" t="s">
        <v>65</v>
      </c>
      <c r="H2950">
        <v>43113</v>
      </c>
      <c r="I2950" t="s">
        <v>30</v>
      </c>
      <c r="J2950" t="s">
        <v>41</v>
      </c>
      <c r="K2950" t="s">
        <v>461</v>
      </c>
      <c r="Q2950">
        <v>0</v>
      </c>
      <c r="R2950">
        <v>0</v>
      </c>
      <c r="S2950">
        <v>0</v>
      </c>
      <c r="T2950" t="s">
        <v>12400</v>
      </c>
    </row>
    <row r="2951" spans="1:20" customFormat="1" ht="15" x14ac:dyDescent="0.25">
      <c r="A2951" t="s">
        <v>35</v>
      </c>
      <c r="B2951" t="s">
        <v>12396</v>
      </c>
      <c r="C2951" t="str">
        <f>"A0188000"</f>
        <v>A0188000</v>
      </c>
      <c r="D2951" t="s">
        <v>12422</v>
      </c>
      <c r="E2951" t="s">
        <v>12423</v>
      </c>
      <c r="F2951" t="s">
        <v>12403</v>
      </c>
      <c r="G2951" t="s">
        <v>65</v>
      </c>
      <c r="H2951">
        <v>43160</v>
      </c>
      <c r="I2951" t="s">
        <v>30</v>
      </c>
      <c r="J2951" t="s">
        <v>41</v>
      </c>
      <c r="K2951" t="s">
        <v>461</v>
      </c>
      <c r="Q2951">
        <v>0</v>
      </c>
      <c r="R2951">
        <v>0</v>
      </c>
      <c r="S2951">
        <v>0</v>
      </c>
      <c r="T2951" t="s">
        <v>12404</v>
      </c>
    </row>
    <row r="2952" spans="1:20" customFormat="1" ht="15" x14ac:dyDescent="0.25">
      <c r="A2952" t="s">
        <v>35</v>
      </c>
      <c r="B2952" t="s">
        <v>5426</v>
      </c>
      <c r="C2952" t="str">
        <f>"A0187999"</f>
        <v>A0187999</v>
      </c>
      <c r="D2952" t="s">
        <v>12424</v>
      </c>
      <c r="E2952" t="s">
        <v>12425</v>
      </c>
      <c r="F2952" t="s">
        <v>4215</v>
      </c>
      <c r="G2952" t="s">
        <v>99</v>
      </c>
      <c r="H2952">
        <v>10456</v>
      </c>
      <c r="I2952" t="s">
        <v>30</v>
      </c>
      <c r="J2952" t="s">
        <v>41</v>
      </c>
      <c r="K2952" t="s">
        <v>112</v>
      </c>
      <c r="Q2952">
        <v>0</v>
      </c>
      <c r="R2952">
        <v>0</v>
      </c>
      <c r="S2952">
        <v>0</v>
      </c>
      <c r="T2952" t="s">
        <v>72</v>
      </c>
    </row>
    <row r="2953" spans="1:20" customFormat="1" ht="15" x14ac:dyDescent="0.25">
      <c r="A2953" t="s">
        <v>35</v>
      </c>
      <c r="B2953" t="s">
        <v>5426</v>
      </c>
      <c r="C2953" t="str">
        <f>"A0187998"</f>
        <v>A0187998</v>
      </c>
      <c r="D2953" t="s">
        <v>12426</v>
      </c>
      <c r="E2953" t="s">
        <v>12427</v>
      </c>
      <c r="F2953" t="s">
        <v>4269</v>
      </c>
      <c r="G2953" t="s">
        <v>99</v>
      </c>
      <c r="H2953">
        <v>11221</v>
      </c>
      <c r="I2953" t="s">
        <v>30</v>
      </c>
      <c r="J2953" t="s">
        <v>41</v>
      </c>
      <c r="K2953" t="s">
        <v>112</v>
      </c>
      <c r="Q2953">
        <v>0</v>
      </c>
      <c r="R2953">
        <v>0</v>
      </c>
      <c r="S2953">
        <v>0</v>
      </c>
      <c r="T2953" t="s">
        <v>72</v>
      </c>
    </row>
    <row r="2954" spans="1:20" customFormat="1" ht="15" x14ac:dyDescent="0.25">
      <c r="A2954" t="s">
        <v>35</v>
      </c>
      <c r="B2954" t="s">
        <v>5426</v>
      </c>
      <c r="C2954" t="str">
        <f>"A0187997"</f>
        <v>A0187997</v>
      </c>
      <c r="D2954" t="s">
        <v>12428</v>
      </c>
      <c r="E2954" t="s">
        <v>12429</v>
      </c>
      <c r="F2954" t="s">
        <v>4269</v>
      </c>
      <c r="G2954" t="s">
        <v>99</v>
      </c>
      <c r="H2954">
        <v>11221</v>
      </c>
      <c r="I2954" t="s">
        <v>30</v>
      </c>
      <c r="J2954" t="s">
        <v>41</v>
      </c>
      <c r="K2954" t="s">
        <v>112</v>
      </c>
      <c r="Q2954">
        <v>0</v>
      </c>
      <c r="R2954">
        <v>0</v>
      </c>
      <c r="S2954">
        <v>0</v>
      </c>
      <c r="T2954" t="s">
        <v>72</v>
      </c>
    </row>
    <row r="2955" spans="1:20" customFormat="1" ht="15" x14ac:dyDescent="0.25">
      <c r="A2955" t="s">
        <v>35</v>
      </c>
      <c r="B2955" t="s">
        <v>5426</v>
      </c>
      <c r="C2955" t="str">
        <f>"A0187996"</f>
        <v>A0187996</v>
      </c>
      <c r="D2955" t="s">
        <v>12430</v>
      </c>
      <c r="E2955" t="s">
        <v>12431</v>
      </c>
      <c r="F2955" t="s">
        <v>4215</v>
      </c>
      <c r="G2955" t="s">
        <v>99</v>
      </c>
      <c r="H2955">
        <v>10459</v>
      </c>
      <c r="I2955" t="s">
        <v>30</v>
      </c>
      <c r="J2955" t="s">
        <v>41</v>
      </c>
      <c r="K2955" t="s">
        <v>112</v>
      </c>
      <c r="Q2955">
        <v>0</v>
      </c>
      <c r="R2955">
        <v>0</v>
      </c>
      <c r="S2955">
        <v>0</v>
      </c>
      <c r="T2955" t="s">
        <v>72</v>
      </c>
    </row>
    <row r="2956" spans="1:20" customFormat="1" ht="15" x14ac:dyDescent="0.25">
      <c r="A2956" t="s">
        <v>35</v>
      </c>
      <c r="B2956" t="s">
        <v>5426</v>
      </c>
      <c r="C2956" t="str">
        <f>"A0187995"</f>
        <v>A0187995</v>
      </c>
      <c r="D2956" t="s">
        <v>12432</v>
      </c>
      <c r="E2956" t="s">
        <v>12433</v>
      </c>
      <c r="F2956" t="s">
        <v>12434</v>
      </c>
      <c r="G2956" t="s">
        <v>99</v>
      </c>
      <c r="H2956">
        <v>10314</v>
      </c>
      <c r="I2956" t="s">
        <v>30</v>
      </c>
      <c r="J2956" t="s">
        <v>41</v>
      </c>
      <c r="K2956" t="s">
        <v>112</v>
      </c>
      <c r="Q2956">
        <v>0</v>
      </c>
      <c r="R2956">
        <v>0</v>
      </c>
      <c r="S2956">
        <v>0</v>
      </c>
      <c r="T2956" t="s">
        <v>72</v>
      </c>
    </row>
    <row r="2957" spans="1:20" customFormat="1" ht="15" x14ac:dyDescent="0.25">
      <c r="A2957" t="s">
        <v>35</v>
      </c>
      <c r="B2957" t="s">
        <v>5426</v>
      </c>
      <c r="C2957" t="str">
        <f>"A0187994"</f>
        <v>A0187994</v>
      </c>
      <c r="D2957" t="s">
        <v>12435</v>
      </c>
      <c r="E2957" t="s">
        <v>12436</v>
      </c>
      <c r="F2957" t="s">
        <v>4215</v>
      </c>
      <c r="G2957" t="s">
        <v>99</v>
      </c>
      <c r="H2957">
        <v>10460</v>
      </c>
      <c r="I2957" t="s">
        <v>30</v>
      </c>
      <c r="J2957" t="s">
        <v>41</v>
      </c>
      <c r="K2957" t="s">
        <v>112</v>
      </c>
      <c r="Q2957">
        <v>0</v>
      </c>
      <c r="R2957">
        <v>0</v>
      </c>
      <c r="S2957">
        <v>0</v>
      </c>
      <c r="T2957" t="s">
        <v>72</v>
      </c>
    </row>
    <row r="2958" spans="1:20" customFormat="1" ht="15" x14ac:dyDescent="0.25">
      <c r="A2958" t="s">
        <v>35</v>
      </c>
      <c r="B2958" t="s">
        <v>5426</v>
      </c>
      <c r="C2958" t="str">
        <f>"A0187993"</f>
        <v>A0187993</v>
      </c>
      <c r="D2958" t="s">
        <v>12437</v>
      </c>
      <c r="E2958" t="s">
        <v>12438</v>
      </c>
      <c r="F2958" t="s">
        <v>4215</v>
      </c>
      <c r="G2958" t="s">
        <v>99</v>
      </c>
      <c r="H2958">
        <v>10459</v>
      </c>
      <c r="I2958" t="s">
        <v>30</v>
      </c>
      <c r="J2958" t="s">
        <v>41</v>
      </c>
      <c r="K2958" t="s">
        <v>112</v>
      </c>
      <c r="Q2958">
        <v>0</v>
      </c>
      <c r="R2958">
        <v>0</v>
      </c>
      <c r="S2958">
        <v>0</v>
      </c>
      <c r="T2958" t="s">
        <v>72</v>
      </c>
    </row>
    <row r="2959" spans="1:20" customFormat="1" ht="15" x14ac:dyDescent="0.25">
      <c r="A2959" t="s">
        <v>35</v>
      </c>
      <c r="B2959" t="s">
        <v>5426</v>
      </c>
      <c r="C2959" t="str">
        <f>"A0187992"</f>
        <v>A0187992</v>
      </c>
      <c r="D2959" t="s">
        <v>12439</v>
      </c>
      <c r="E2959" t="s">
        <v>12440</v>
      </c>
      <c r="F2959" t="s">
        <v>4215</v>
      </c>
      <c r="G2959" t="s">
        <v>99</v>
      </c>
      <c r="H2959">
        <v>10452</v>
      </c>
      <c r="I2959" t="s">
        <v>30</v>
      </c>
      <c r="J2959" t="s">
        <v>41</v>
      </c>
      <c r="K2959" t="s">
        <v>112</v>
      </c>
      <c r="Q2959">
        <v>0</v>
      </c>
      <c r="R2959">
        <v>0</v>
      </c>
      <c r="S2959">
        <v>0</v>
      </c>
      <c r="T2959" t="s">
        <v>72</v>
      </c>
    </row>
    <row r="2960" spans="1:20" customFormat="1" ht="15" x14ac:dyDescent="0.25">
      <c r="A2960" t="s">
        <v>35</v>
      </c>
      <c r="B2960" t="s">
        <v>5426</v>
      </c>
      <c r="C2960" t="str">
        <f>"A0187991"</f>
        <v>A0187991</v>
      </c>
      <c r="D2960" t="s">
        <v>12441</v>
      </c>
      <c r="E2960" t="s">
        <v>12442</v>
      </c>
      <c r="F2960" t="s">
        <v>4215</v>
      </c>
      <c r="G2960" t="s">
        <v>99</v>
      </c>
      <c r="H2960">
        <v>10451</v>
      </c>
      <c r="I2960" t="s">
        <v>30</v>
      </c>
      <c r="J2960" t="s">
        <v>41</v>
      </c>
      <c r="K2960" t="s">
        <v>112</v>
      </c>
      <c r="Q2960">
        <v>0</v>
      </c>
      <c r="R2960">
        <v>0</v>
      </c>
      <c r="S2960">
        <v>0</v>
      </c>
      <c r="T2960" t="s">
        <v>72</v>
      </c>
    </row>
    <row r="2961" spans="1:20" customFormat="1" ht="15" x14ac:dyDescent="0.25">
      <c r="A2961" t="s">
        <v>35</v>
      </c>
      <c r="B2961" t="s">
        <v>5426</v>
      </c>
      <c r="C2961" t="str">
        <f>"A0187989"</f>
        <v>A0187989</v>
      </c>
      <c r="D2961" t="s">
        <v>5426</v>
      </c>
      <c r="E2961" t="s">
        <v>12443</v>
      </c>
      <c r="F2961" t="s">
        <v>4269</v>
      </c>
      <c r="G2961" t="s">
        <v>99</v>
      </c>
      <c r="H2961">
        <v>11223</v>
      </c>
      <c r="I2961" t="s">
        <v>30</v>
      </c>
      <c r="J2961" t="s">
        <v>41</v>
      </c>
      <c r="K2961" t="s">
        <v>290</v>
      </c>
      <c r="Q2961">
        <v>0</v>
      </c>
      <c r="R2961">
        <v>0</v>
      </c>
      <c r="S2961">
        <v>0</v>
      </c>
      <c r="T2961" t="s">
        <v>72</v>
      </c>
    </row>
    <row r="2962" spans="1:20" customFormat="1" ht="15" x14ac:dyDescent="0.25">
      <c r="A2962" t="s">
        <v>35</v>
      </c>
      <c r="B2962" t="s">
        <v>5426</v>
      </c>
      <c r="C2962" t="str">
        <f>"A0187988"</f>
        <v>A0187988</v>
      </c>
      <c r="D2962" t="s">
        <v>12444</v>
      </c>
      <c r="E2962" t="s">
        <v>12445</v>
      </c>
      <c r="F2962" t="s">
        <v>4215</v>
      </c>
      <c r="G2962" t="s">
        <v>99</v>
      </c>
      <c r="H2962">
        <v>10459</v>
      </c>
      <c r="I2962" t="s">
        <v>30</v>
      </c>
      <c r="J2962" t="s">
        <v>41</v>
      </c>
      <c r="K2962" t="s">
        <v>112</v>
      </c>
      <c r="Q2962">
        <v>0</v>
      </c>
      <c r="R2962">
        <v>0</v>
      </c>
      <c r="S2962">
        <v>0</v>
      </c>
      <c r="T2962" t="s">
        <v>72</v>
      </c>
    </row>
    <row r="2963" spans="1:20" customFormat="1" ht="15" x14ac:dyDescent="0.25">
      <c r="A2963" t="s">
        <v>35</v>
      </c>
      <c r="B2963" t="s">
        <v>5426</v>
      </c>
      <c r="C2963" t="str">
        <f>"A0187987"</f>
        <v>A0187987</v>
      </c>
      <c r="D2963" t="s">
        <v>12446</v>
      </c>
      <c r="E2963" t="s">
        <v>12447</v>
      </c>
      <c r="F2963" t="s">
        <v>4215</v>
      </c>
      <c r="G2963" t="s">
        <v>99</v>
      </c>
      <c r="H2963">
        <v>10467</v>
      </c>
      <c r="I2963" t="s">
        <v>30</v>
      </c>
      <c r="J2963" t="s">
        <v>41</v>
      </c>
      <c r="K2963" t="s">
        <v>112</v>
      </c>
      <c r="Q2963">
        <v>0</v>
      </c>
      <c r="R2963">
        <v>0</v>
      </c>
      <c r="S2963">
        <v>0</v>
      </c>
      <c r="T2963" t="s">
        <v>72</v>
      </c>
    </row>
    <row r="2964" spans="1:20" customFormat="1" ht="15" x14ac:dyDescent="0.25">
      <c r="A2964" t="s">
        <v>35</v>
      </c>
      <c r="B2964" t="s">
        <v>5426</v>
      </c>
      <c r="C2964" t="str">
        <f>"A0187986"</f>
        <v>A0187986</v>
      </c>
      <c r="D2964" t="s">
        <v>12448</v>
      </c>
      <c r="E2964" t="s">
        <v>12449</v>
      </c>
      <c r="F2964" t="s">
        <v>4215</v>
      </c>
      <c r="G2964" t="s">
        <v>99</v>
      </c>
      <c r="H2964">
        <v>10456</v>
      </c>
      <c r="I2964" t="s">
        <v>30</v>
      </c>
      <c r="J2964" t="s">
        <v>41</v>
      </c>
      <c r="K2964" t="s">
        <v>112</v>
      </c>
      <c r="Q2964">
        <v>0</v>
      </c>
      <c r="R2964">
        <v>0</v>
      </c>
      <c r="S2964">
        <v>0</v>
      </c>
      <c r="T2964" t="s">
        <v>72</v>
      </c>
    </row>
    <row r="2965" spans="1:20" customFormat="1" ht="15" x14ac:dyDescent="0.25">
      <c r="A2965" t="s">
        <v>35</v>
      </c>
      <c r="B2965" t="s">
        <v>5426</v>
      </c>
      <c r="C2965" t="str">
        <f>"A0187985"</f>
        <v>A0187985</v>
      </c>
      <c r="D2965" t="s">
        <v>12450</v>
      </c>
      <c r="E2965" t="s">
        <v>12451</v>
      </c>
      <c r="F2965" t="s">
        <v>4269</v>
      </c>
      <c r="G2965" t="s">
        <v>99</v>
      </c>
      <c r="H2965">
        <v>11207</v>
      </c>
      <c r="I2965" t="s">
        <v>30</v>
      </c>
      <c r="J2965" t="s">
        <v>41</v>
      </c>
      <c r="K2965" t="s">
        <v>112</v>
      </c>
      <c r="Q2965">
        <v>0</v>
      </c>
      <c r="R2965">
        <v>0</v>
      </c>
      <c r="S2965">
        <v>0</v>
      </c>
      <c r="T2965" t="s">
        <v>72</v>
      </c>
    </row>
    <row r="2966" spans="1:20" customFormat="1" ht="15" x14ac:dyDescent="0.25">
      <c r="A2966" t="s">
        <v>35</v>
      </c>
      <c r="B2966" t="s">
        <v>5426</v>
      </c>
      <c r="C2966" t="str">
        <f>"A0187984"</f>
        <v>A0187984</v>
      </c>
      <c r="D2966" t="s">
        <v>12452</v>
      </c>
      <c r="E2966" t="s">
        <v>12453</v>
      </c>
      <c r="F2966" t="s">
        <v>4215</v>
      </c>
      <c r="G2966" t="s">
        <v>99</v>
      </c>
      <c r="H2966">
        <v>10466</v>
      </c>
      <c r="I2966" t="s">
        <v>30</v>
      </c>
      <c r="J2966" t="s">
        <v>41</v>
      </c>
      <c r="K2966" t="s">
        <v>112</v>
      </c>
      <c r="Q2966">
        <v>0</v>
      </c>
      <c r="R2966">
        <v>0</v>
      </c>
      <c r="S2966">
        <v>0</v>
      </c>
      <c r="T2966" t="s">
        <v>72</v>
      </c>
    </row>
    <row r="2967" spans="1:20" customFormat="1" ht="15" x14ac:dyDescent="0.25">
      <c r="A2967" t="s">
        <v>35</v>
      </c>
      <c r="B2967" t="s">
        <v>5681</v>
      </c>
      <c r="C2967" t="str">
        <f>"A0187983"</f>
        <v>A0187983</v>
      </c>
      <c r="D2967" t="s">
        <v>12454</v>
      </c>
      <c r="E2967" t="s">
        <v>12455</v>
      </c>
      <c r="F2967" t="s">
        <v>12456</v>
      </c>
      <c r="G2967" t="s">
        <v>110</v>
      </c>
      <c r="H2967">
        <v>92056</v>
      </c>
      <c r="I2967" t="s">
        <v>30</v>
      </c>
      <c r="J2967" t="s">
        <v>41</v>
      </c>
      <c r="K2967" t="s">
        <v>59</v>
      </c>
      <c r="Q2967">
        <v>0</v>
      </c>
      <c r="R2967">
        <v>0</v>
      </c>
      <c r="S2967">
        <v>0</v>
      </c>
      <c r="T2967" t="s">
        <v>12457</v>
      </c>
    </row>
    <row r="2968" spans="1:20" customFormat="1" ht="15" x14ac:dyDescent="0.25">
      <c r="A2968" t="s">
        <v>35</v>
      </c>
      <c r="B2968" t="s">
        <v>61</v>
      </c>
      <c r="C2968" t="str">
        <f>"A0187982"</f>
        <v>A0187982</v>
      </c>
      <c r="D2968" t="s">
        <v>12458</v>
      </c>
      <c r="E2968" t="s">
        <v>12459</v>
      </c>
      <c r="F2968" t="s">
        <v>12460</v>
      </c>
      <c r="G2968" t="s">
        <v>117</v>
      </c>
      <c r="H2968">
        <v>48444</v>
      </c>
      <c r="I2968" t="s">
        <v>30</v>
      </c>
      <c r="J2968" t="s">
        <v>41</v>
      </c>
      <c r="K2968" t="s">
        <v>59</v>
      </c>
      <c r="Q2968">
        <v>0</v>
      </c>
      <c r="R2968">
        <v>0</v>
      </c>
      <c r="S2968">
        <v>80</v>
      </c>
      <c r="T2968" t="s">
        <v>12461</v>
      </c>
    </row>
    <row r="2969" spans="1:20" customFormat="1" ht="15" x14ac:dyDescent="0.25">
      <c r="A2969" t="s">
        <v>35</v>
      </c>
      <c r="B2969" t="s">
        <v>119</v>
      </c>
      <c r="C2969" t="str">
        <f>"A0187981"</f>
        <v>A0187981</v>
      </c>
      <c r="D2969" t="s">
        <v>12462</v>
      </c>
      <c r="E2969" t="s">
        <v>4103</v>
      </c>
      <c r="F2969" t="s">
        <v>4104</v>
      </c>
      <c r="G2969" t="s">
        <v>103</v>
      </c>
      <c r="H2969">
        <v>15661</v>
      </c>
      <c r="I2969" t="s">
        <v>30</v>
      </c>
      <c r="J2969" t="s">
        <v>41</v>
      </c>
      <c r="K2969" t="s">
        <v>59</v>
      </c>
      <c r="Q2969">
        <v>0</v>
      </c>
      <c r="R2969">
        <v>0</v>
      </c>
      <c r="S2969">
        <v>193</v>
      </c>
      <c r="T2969" t="s">
        <v>4105</v>
      </c>
    </row>
    <row r="2970" spans="1:20" customFormat="1" ht="15" x14ac:dyDescent="0.25">
      <c r="A2970" t="s">
        <v>35</v>
      </c>
      <c r="B2970" t="s">
        <v>2767</v>
      </c>
      <c r="C2970" t="str">
        <f>"A0187980"</f>
        <v>A0187980</v>
      </c>
      <c r="D2970" t="s">
        <v>2767</v>
      </c>
      <c r="E2970" t="s">
        <v>12463</v>
      </c>
      <c r="F2970" t="s">
        <v>4269</v>
      </c>
      <c r="G2970" t="s">
        <v>99</v>
      </c>
      <c r="H2970">
        <v>11218</v>
      </c>
      <c r="I2970" t="s">
        <v>30</v>
      </c>
      <c r="J2970" t="s">
        <v>41</v>
      </c>
      <c r="K2970" t="s">
        <v>290</v>
      </c>
      <c r="Q2970">
        <v>0</v>
      </c>
      <c r="R2970">
        <v>0</v>
      </c>
      <c r="S2970">
        <v>0</v>
      </c>
      <c r="T2970" t="s">
        <v>72</v>
      </c>
    </row>
    <row r="2971" spans="1:20" customFormat="1" ht="15" x14ac:dyDescent="0.25">
      <c r="A2971" t="s">
        <v>35</v>
      </c>
      <c r="B2971" t="s">
        <v>4771</v>
      </c>
      <c r="C2971" t="str">
        <f>"A0187979"</f>
        <v>A0187979</v>
      </c>
      <c r="D2971" t="s">
        <v>12464</v>
      </c>
      <c r="E2971" t="s">
        <v>12465</v>
      </c>
      <c r="F2971" t="s">
        <v>4288</v>
      </c>
      <c r="G2971" t="s">
        <v>110</v>
      </c>
      <c r="H2971">
        <v>92507</v>
      </c>
      <c r="I2971" t="s">
        <v>30</v>
      </c>
      <c r="J2971" t="s">
        <v>41</v>
      </c>
      <c r="K2971" t="s">
        <v>456</v>
      </c>
      <c r="Q2971">
        <v>0</v>
      </c>
      <c r="R2971">
        <v>0</v>
      </c>
      <c r="S2971">
        <v>0</v>
      </c>
      <c r="T2971" t="s">
        <v>72</v>
      </c>
    </row>
    <row r="2972" spans="1:20" customFormat="1" ht="15" x14ac:dyDescent="0.25">
      <c r="A2972" t="s">
        <v>35</v>
      </c>
      <c r="B2972" t="s">
        <v>4771</v>
      </c>
      <c r="C2972" t="str">
        <f>"A0187978"</f>
        <v>A0187978</v>
      </c>
      <c r="D2972" t="s">
        <v>12466</v>
      </c>
      <c r="E2972" t="s">
        <v>12467</v>
      </c>
      <c r="F2972" t="s">
        <v>6244</v>
      </c>
      <c r="G2972" t="s">
        <v>110</v>
      </c>
      <c r="H2972">
        <v>93711</v>
      </c>
      <c r="I2972" t="s">
        <v>30</v>
      </c>
      <c r="J2972" t="s">
        <v>41</v>
      </c>
      <c r="K2972" t="s">
        <v>456</v>
      </c>
      <c r="Q2972">
        <v>0</v>
      </c>
      <c r="R2972">
        <v>0</v>
      </c>
      <c r="S2972">
        <v>0</v>
      </c>
      <c r="T2972" t="s">
        <v>72</v>
      </c>
    </row>
    <row r="2973" spans="1:20" customFormat="1" ht="15" x14ac:dyDescent="0.25">
      <c r="A2973" t="s">
        <v>35</v>
      </c>
      <c r="B2973" t="s">
        <v>4771</v>
      </c>
      <c r="C2973" t="str">
        <f>"A0187977"</f>
        <v>A0187977</v>
      </c>
      <c r="D2973" t="s">
        <v>12468</v>
      </c>
      <c r="E2973" t="s">
        <v>12469</v>
      </c>
      <c r="F2973" t="s">
        <v>2483</v>
      </c>
      <c r="G2973" t="s">
        <v>433</v>
      </c>
      <c r="H2973">
        <v>83402</v>
      </c>
      <c r="I2973" t="s">
        <v>30</v>
      </c>
      <c r="J2973" t="s">
        <v>41</v>
      </c>
      <c r="K2973" t="s">
        <v>456</v>
      </c>
      <c r="Q2973">
        <v>0</v>
      </c>
      <c r="R2973">
        <v>0</v>
      </c>
      <c r="S2973">
        <v>0</v>
      </c>
      <c r="T2973" t="s">
        <v>72</v>
      </c>
    </row>
    <row r="2974" spans="1:20" customFormat="1" ht="15" x14ac:dyDescent="0.25">
      <c r="A2974" t="s">
        <v>35</v>
      </c>
      <c r="B2974" t="s">
        <v>4771</v>
      </c>
      <c r="C2974" t="str">
        <f>"A0187976"</f>
        <v>A0187976</v>
      </c>
      <c r="D2974" t="s">
        <v>12470</v>
      </c>
      <c r="E2974" t="s">
        <v>12471</v>
      </c>
      <c r="F2974" t="s">
        <v>1373</v>
      </c>
      <c r="G2974" t="s">
        <v>71</v>
      </c>
      <c r="H2974">
        <v>53713</v>
      </c>
      <c r="I2974" t="s">
        <v>30</v>
      </c>
      <c r="J2974" t="s">
        <v>41</v>
      </c>
      <c r="K2974" t="s">
        <v>456</v>
      </c>
      <c r="Q2974">
        <v>0</v>
      </c>
      <c r="R2974">
        <v>0</v>
      </c>
      <c r="S2974">
        <v>0</v>
      </c>
      <c r="T2974" t="s">
        <v>72</v>
      </c>
    </row>
    <row r="2975" spans="1:20" customFormat="1" ht="15" x14ac:dyDescent="0.25">
      <c r="A2975" t="s">
        <v>35</v>
      </c>
      <c r="B2975" t="s">
        <v>4771</v>
      </c>
      <c r="C2975" t="str">
        <f>"A0187975"</f>
        <v>A0187975</v>
      </c>
      <c r="D2975" t="s">
        <v>12472</v>
      </c>
      <c r="E2975" t="s">
        <v>12473</v>
      </c>
      <c r="F2975" t="s">
        <v>12474</v>
      </c>
      <c r="G2975" t="s">
        <v>47</v>
      </c>
      <c r="H2975">
        <v>97702</v>
      </c>
      <c r="I2975" t="s">
        <v>30</v>
      </c>
      <c r="J2975" t="s">
        <v>41</v>
      </c>
      <c r="K2975" t="s">
        <v>456</v>
      </c>
      <c r="Q2975">
        <v>0</v>
      </c>
      <c r="R2975">
        <v>0</v>
      </c>
      <c r="S2975">
        <v>0</v>
      </c>
      <c r="T2975" t="s">
        <v>72</v>
      </c>
    </row>
    <row r="2976" spans="1:20" customFormat="1" ht="15" x14ac:dyDescent="0.25">
      <c r="A2976" t="s">
        <v>35</v>
      </c>
      <c r="B2976" t="s">
        <v>4771</v>
      </c>
      <c r="C2976" t="str">
        <f>"A0187974"</f>
        <v>A0187974</v>
      </c>
      <c r="D2976" t="s">
        <v>12475</v>
      </c>
      <c r="E2976" t="s">
        <v>12476</v>
      </c>
      <c r="F2976" t="s">
        <v>9135</v>
      </c>
      <c r="G2976" t="s">
        <v>110</v>
      </c>
      <c r="H2976">
        <v>95131</v>
      </c>
      <c r="I2976" t="s">
        <v>30</v>
      </c>
      <c r="J2976" t="s">
        <v>41</v>
      </c>
      <c r="K2976" t="s">
        <v>456</v>
      </c>
      <c r="Q2976">
        <v>0</v>
      </c>
      <c r="R2976">
        <v>0</v>
      </c>
      <c r="S2976">
        <v>0</v>
      </c>
      <c r="T2976" t="s">
        <v>72</v>
      </c>
    </row>
    <row r="2977" spans="1:20" customFormat="1" ht="15" x14ac:dyDescent="0.25">
      <c r="A2977" t="s">
        <v>35</v>
      </c>
      <c r="B2977" t="s">
        <v>4771</v>
      </c>
      <c r="C2977" t="str">
        <f>"A0187973"</f>
        <v>A0187973</v>
      </c>
      <c r="D2977" t="s">
        <v>12477</v>
      </c>
      <c r="E2977" t="s">
        <v>12478</v>
      </c>
      <c r="F2977" t="s">
        <v>1431</v>
      </c>
      <c r="G2977" t="s">
        <v>47</v>
      </c>
      <c r="H2977">
        <v>97222</v>
      </c>
      <c r="I2977" t="s">
        <v>30</v>
      </c>
      <c r="J2977" t="s">
        <v>41</v>
      </c>
      <c r="K2977" t="s">
        <v>456</v>
      </c>
      <c r="Q2977">
        <v>0</v>
      </c>
      <c r="R2977">
        <v>0</v>
      </c>
      <c r="S2977">
        <v>0</v>
      </c>
      <c r="T2977" t="s">
        <v>72</v>
      </c>
    </row>
    <row r="2978" spans="1:20" customFormat="1" ht="15" x14ac:dyDescent="0.25">
      <c r="A2978" t="s">
        <v>35</v>
      </c>
      <c r="B2978" t="s">
        <v>4771</v>
      </c>
      <c r="C2978" t="str">
        <f>"A0187972"</f>
        <v>A0187972</v>
      </c>
      <c r="D2978" t="s">
        <v>12479</v>
      </c>
      <c r="E2978" t="s">
        <v>12480</v>
      </c>
      <c r="F2978" t="s">
        <v>6085</v>
      </c>
      <c r="G2978" t="s">
        <v>190</v>
      </c>
      <c r="H2978">
        <v>80516</v>
      </c>
      <c r="I2978" t="s">
        <v>30</v>
      </c>
      <c r="J2978" t="s">
        <v>41</v>
      </c>
      <c r="K2978" t="s">
        <v>456</v>
      </c>
      <c r="Q2978">
        <v>0</v>
      </c>
      <c r="R2978">
        <v>0</v>
      </c>
      <c r="S2978">
        <v>0</v>
      </c>
      <c r="T2978" t="s">
        <v>72</v>
      </c>
    </row>
    <row r="2979" spans="1:20" customFormat="1" ht="15" x14ac:dyDescent="0.25">
      <c r="A2979" t="s">
        <v>35</v>
      </c>
      <c r="B2979" t="s">
        <v>4771</v>
      </c>
      <c r="C2979" t="str">
        <f>"A0187971"</f>
        <v>A0187971</v>
      </c>
      <c r="D2979" t="s">
        <v>12481</v>
      </c>
      <c r="E2979" t="s">
        <v>12482</v>
      </c>
      <c r="F2979" t="s">
        <v>9791</v>
      </c>
      <c r="G2979" t="s">
        <v>47</v>
      </c>
      <c r="H2979">
        <v>97402</v>
      </c>
      <c r="I2979" t="s">
        <v>30</v>
      </c>
      <c r="J2979" t="s">
        <v>41</v>
      </c>
      <c r="K2979" t="s">
        <v>456</v>
      </c>
      <c r="Q2979">
        <v>0</v>
      </c>
      <c r="R2979">
        <v>0</v>
      </c>
      <c r="S2979">
        <v>0</v>
      </c>
      <c r="T2979" t="s">
        <v>72</v>
      </c>
    </row>
    <row r="2980" spans="1:20" customFormat="1" ht="15" x14ac:dyDescent="0.25">
      <c r="A2980" t="s">
        <v>35</v>
      </c>
      <c r="B2980" t="s">
        <v>4771</v>
      </c>
      <c r="C2980" t="str">
        <f>"A0187970"</f>
        <v>A0187970</v>
      </c>
      <c r="D2980" t="s">
        <v>12483</v>
      </c>
      <c r="E2980" t="s">
        <v>12484</v>
      </c>
      <c r="F2980" t="s">
        <v>7000</v>
      </c>
      <c r="G2980" t="s">
        <v>110</v>
      </c>
      <c r="H2980">
        <v>92270</v>
      </c>
      <c r="I2980" t="s">
        <v>30</v>
      </c>
      <c r="J2980" t="s">
        <v>41</v>
      </c>
      <c r="K2980" t="s">
        <v>456</v>
      </c>
      <c r="Q2980">
        <v>0</v>
      </c>
      <c r="R2980">
        <v>0</v>
      </c>
      <c r="S2980">
        <v>0</v>
      </c>
      <c r="T2980" t="s">
        <v>72</v>
      </c>
    </row>
    <row r="2981" spans="1:20" customFormat="1" ht="15" x14ac:dyDescent="0.25">
      <c r="A2981" t="s">
        <v>35</v>
      </c>
      <c r="B2981" t="s">
        <v>4771</v>
      </c>
      <c r="C2981" t="str">
        <f>"A0187969"</f>
        <v>A0187969</v>
      </c>
      <c r="D2981" t="s">
        <v>12485</v>
      </c>
      <c r="E2981" t="s">
        <v>12486</v>
      </c>
      <c r="F2981" t="s">
        <v>7267</v>
      </c>
      <c r="G2981" t="s">
        <v>153</v>
      </c>
      <c r="H2981">
        <v>84117</v>
      </c>
      <c r="I2981" t="s">
        <v>30</v>
      </c>
      <c r="J2981" t="s">
        <v>41</v>
      </c>
      <c r="K2981" t="s">
        <v>456</v>
      </c>
      <c r="Q2981">
        <v>0</v>
      </c>
      <c r="R2981">
        <v>0</v>
      </c>
      <c r="S2981">
        <v>0</v>
      </c>
      <c r="T2981" t="s">
        <v>72</v>
      </c>
    </row>
    <row r="2982" spans="1:20" customFormat="1" ht="15" x14ac:dyDescent="0.25">
      <c r="A2982" t="s">
        <v>35</v>
      </c>
      <c r="B2982" t="s">
        <v>4771</v>
      </c>
      <c r="C2982" t="str">
        <f>"A0187968"</f>
        <v>A0187968</v>
      </c>
      <c r="D2982" t="s">
        <v>12487</v>
      </c>
      <c r="E2982" t="s">
        <v>12488</v>
      </c>
      <c r="F2982" t="s">
        <v>12489</v>
      </c>
      <c r="G2982" t="s">
        <v>110</v>
      </c>
      <c r="H2982">
        <v>96002</v>
      </c>
      <c r="I2982" t="s">
        <v>30</v>
      </c>
      <c r="J2982" t="s">
        <v>41</v>
      </c>
      <c r="K2982" t="s">
        <v>456</v>
      </c>
      <c r="Q2982">
        <v>0</v>
      </c>
      <c r="R2982">
        <v>0</v>
      </c>
      <c r="S2982">
        <v>0</v>
      </c>
      <c r="T2982" t="s">
        <v>72</v>
      </c>
    </row>
    <row r="2983" spans="1:20" customFormat="1" ht="15" x14ac:dyDescent="0.25">
      <c r="A2983" t="s">
        <v>35</v>
      </c>
      <c r="B2983" t="s">
        <v>225</v>
      </c>
      <c r="C2983" t="str">
        <f>"A0187967"</f>
        <v>A0187967</v>
      </c>
      <c r="D2983" t="s">
        <v>12490</v>
      </c>
      <c r="E2983" t="s">
        <v>12491</v>
      </c>
      <c r="F2983" t="s">
        <v>5772</v>
      </c>
      <c r="G2983" t="s">
        <v>103</v>
      </c>
      <c r="H2983">
        <v>15074</v>
      </c>
      <c r="I2983" t="s">
        <v>30</v>
      </c>
      <c r="J2983" t="s">
        <v>41</v>
      </c>
      <c r="K2983" t="s">
        <v>229</v>
      </c>
      <c r="Q2983">
        <v>0</v>
      </c>
      <c r="R2983">
        <v>0</v>
      </c>
      <c r="S2983">
        <v>105</v>
      </c>
      <c r="T2983" t="s">
        <v>12492</v>
      </c>
    </row>
    <row r="2984" spans="1:20" customFormat="1" ht="15" x14ac:dyDescent="0.25">
      <c r="A2984" t="s">
        <v>35</v>
      </c>
      <c r="B2984" t="s">
        <v>225</v>
      </c>
      <c r="C2984" t="str">
        <f>"A0187966"</f>
        <v>A0187966</v>
      </c>
      <c r="D2984" t="s">
        <v>12493</v>
      </c>
      <c r="E2984" t="s">
        <v>12491</v>
      </c>
      <c r="F2984" t="s">
        <v>5772</v>
      </c>
      <c r="G2984" t="s">
        <v>103</v>
      </c>
      <c r="H2984">
        <v>15074</v>
      </c>
      <c r="I2984" t="s">
        <v>30</v>
      </c>
      <c r="J2984" t="s">
        <v>41</v>
      </c>
      <c r="K2984" t="s">
        <v>229</v>
      </c>
      <c r="Q2984">
        <v>0</v>
      </c>
      <c r="R2984">
        <v>0</v>
      </c>
      <c r="S2984">
        <v>122</v>
      </c>
      <c r="T2984" t="s">
        <v>12494</v>
      </c>
    </row>
    <row r="2985" spans="1:20" customFormat="1" ht="15" x14ac:dyDescent="0.25">
      <c r="A2985" t="s">
        <v>35</v>
      </c>
      <c r="B2985" t="s">
        <v>12396</v>
      </c>
      <c r="C2985" t="str">
        <f>"A0187965"</f>
        <v>A0187965</v>
      </c>
      <c r="D2985" t="s">
        <v>12495</v>
      </c>
      <c r="E2985" t="s">
        <v>12496</v>
      </c>
      <c r="F2985" t="s">
        <v>12497</v>
      </c>
      <c r="G2985" t="s">
        <v>71</v>
      </c>
      <c r="H2985">
        <v>54313</v>
      </c>
      <c r="I2985" t="s">
        <v>30</v>
      </c>
      <c r="J2985" t="s">
        <v>41</v>
      </c>
      <c r="K2985" t="s">
        <v>59</v>
      </c>
      <c r="Q2985">
        <v>0</v>
      </c>
      <c r="R2985">
        <v>0</v>
      </c>
      <c r="S2985">
        <v>20</v>
      </c>
      <c r="T2985" t="s">
        <v>12498</v>
      </c>
    </row>
    <row r="2986" spans="1:20" customFormat="1" ht="15" x14ac:dyDescent="0.25">
      <c r="A2986" t="s">
        <v>35</v>
      </c>
      <c r="B2986" t="s">
        <v>12396</v>
      </c>
      <c r="C2986" t="str">
        <f>"A0187964"</f>
        <v>A0187964</v>
      </c>
      <c r="D2986" t="s">
        <v>5311</v>
      </c>
      <c r="E2986" t="s">
        <v>12499</v>
      </c>
      <c r="F2986" t="s">
        <v>12497</v>
      </c>
      <c r="G2986" t="s">
        <v>71</v>
      </c>
      <c r="H2986">
        <v>54301</v>
      </c>
      <c r="I2986" t="s">
        <v>30</v>
      </c>
      <c r="J2986" t="s">
        <v>41</v>
      </c>
      <c r="K2986" t="s">
        <v>290</v>
      </c>
      <c r="Q2986">
        <v>0</v>
      </c>
      <c r="R2986">
        <v>0</v>
      </c>
      <c r="S2986">
        <v>0</v>
      </c>
      <c r="T2986" t="s">
        <v>12498</v>
      </c>
    </row>
    <row r="2987" spans="1:20" customFormat="1" ht="15" x14ac:dyDescent="0.25">
      <c r="A2987" t="s">
        <v>35</v>
      </c>
      <c r="B2987" t="s">
        <v>12396</v>
      </c>
      <c r="C2987" t="str">
        <f>"A0187963"</f>
        <v>A0187963</v>
      </c>
      <c r="D2987" t="s">
        <v>12500</v>
      </c>
      <c r="E2987" t="s">
        <v>12501</v>
      </c>
      <c r="F2987" t="s">
        <v>5314</v>
      </c>
      <c r="G2987" t="s">
        <v>71</v>
      </c>
      <c r="H2987">
        <v>54115</v>
      </c>
      <c r="I2987" t="s">
        <v>30</v>
      </c>
      <c r="J2987" t="s">
        <v>41</v>
      </c>
      <c r="K2987" t="s">
        <v>59</v>
      </c>
      <c r="Q2987">
        <v>0</v>
      </c>
      <c r="R2987">
        <v>0</v>
      </c>
      <c r="S2987">
        <v>20</v>
      </c>
      <c r="T2987" t="s">
        <v>12498</v>
      </c>
    </row>
    <row r="2988" spans="1:20" customFormat="1" ht="15" x14ac:dyDescent="0.25">
      <c r="A2988" t="s">
        <v>35</v>
      </c>
      <c r="B2988" t="s">
        <v>12396</v>
      </c>
      <c r="C2988" t="str">
        <f>"A0187962"</f>
        <v>A0187962</v>
      </c>
      <c r="D2988" t="s">
        <v>12502</v>
      </c>
      <c r="E2988" t="s">
        <v>12503</v>
      </c>
      <c r="F2988" t="s">
        <v>12497</v>
      </c>
      <c r="G2988" t="s">
        <v>71</v>
      </c>
      <c r="H2988">
        <v>54311</v>
      </c>
      <c r="I2988" t="s">
        <v>30</v>
      </c>
      <c r="J2988" t="s">
        <v>41</v>
      </c>
      <c r="K2988" t="s">
        <v>59</v>
      </c>
      <c r="Q2988">
        <v>0</v>
      </c>
      <c r="R2988">
        <v>0</v>
      </c>
      <c r="S2988">
        <v>13</v>
      </c>
      <c r="T2988" t="s">
        <v>12498</v>
      </c>
    </row>
    <row r="2989" spans="1:20" customFormat="1" ht="15" x14ac:dyDescent="0.25">
      <c r="A2989" t="s">
        <v>35</v>
      </c>
      <c r="B2989" t="s">
        <v>12396</v>
      </c>
      <c r="C2989" t="str">
        <f>"A0187961"</f>
        <v>A0187961</v>
      </c>
      <c r="D2989" t="s">
        <v>12504</v>
      </c>
      <c r="E2989" t="s">
        <v>12499</v>
      </c>
      <c r="F2989" t="s">
        <v>12497</v>
      </c>
      <c r="G2989" t="s">
        <v>71</v>
      </c>
      <c r="H2989">
        <v>54301</v>
      </c>
      <c r="I2989" t="s">
        <v>30</v>
      </c>
      <c r="J2989" t="s">
        <v>41</v>
      </c>
      <c r="K2989" t="s">
        <v>59</v>
      </c>
      <c r="Q2989">
        <v>0</v>
      </c>
      <c r="R2989">
        <v>0</v>
      </c>
      <c r="S2989">
        <v>55</v>
      </c>
      <c r="T2989" t="s">
        <v>12498</v>
      </c>
    </row>
    <row r="2990" spans="1:20" customFormat="1" ht="15" x14ac:dyDescent="0.25">
      <c r="A2990" t="s">
        <v>35</v>
      </c>
      <c r="B2990" t="s">
        <v>12396</v>
      </c>
      <c r="C2990" t="str">
        <f>"A0187960"</f>
        <v>A0187960</v>
      </c>
      <c r="D2990" t="s">
        <v>12505</v>
      </c>
      <c r="E2990" t="s">
        <v>12506</v>
      </c>
      <c r="F2990" t="s">
        <v>12497</v>
      </c>
      <c r="G2990" t="s">
        <v>71</v>
      </c>
      <c r="H2990">
        <v>54311</v>
      </c>
      <c r="I2990" t="s">
        <v>30</v>
      </c>
      <c r="J2990" t="s">
        <v>41</v>
      </c>
      <c r="K2990" t="s">
        <v>59</v>
      </c>
      <c r="Q2990">
        <v>0</v>
      </c>
      <c r="R2990">
        <v>0</v>
      </c>
      <c r="S2990">
        <v>13</v>
      </c>
      <c r="T2990" t="s">
        <v>12498</v>
      </c>
    </row>
    <row r="2991" spans="1:20" customFormat="1" ht="15" x14ac:dyDescent="0.25">
      <c r="A2991" t="s">
        <v>35</v>
      </c>
      <c r="B2991" t="s">
        <v>12396</v>
      </c>
      <c r="C2991" t="str">
        <f>"A0187959"</f>
        <v>A0187959</v>
      </c>
      <c r="D2991" t="s">
        <v>12507</v>
      </c>
      <c r="E2991" t="s">
        <v>12508</v>
      </c>
      <c r="F2991" t="s">
        <v>12509</v>
      </c>
      <c r="G2991" t="s">
        <v>71</v>
      </c>
      <c r="H2991">
        <v>54110</v>
      </c>
      <c r="I2991" t="s">
        <v>30</v>
      </c>
      <c r="J2991" t="s">
        <v>41</v>
      </c>
      <c r="K2991" t="s">
        <v>59</v>
      </c>
      <c r="Q2991">
        <v>0</v>
      </c>
      <c r="R2991">
        <v>0</v>
      </c>
      <c r="S2991">
        <v>52</v>
      </c>
      <c r="T2991" t="s">
        <v>12498</v>
      </c>
    </row>
    <row r="2992" spans="1:20" customFormat="1" ht="15" x14ac:dyDescent="0.25">
      <c r="A2992" t="s">
        <v>35</v>
      </c>
      <c r="B2992" t="s">
        <v>12396</v>
      </c>
      <c r="C2992" t="str">
        <f>"A0187958"</f>
        <v>A0187958</v>
      </c>
      <c r="D2992" t="s">
        <v>12510</v>
      </c>
      <c r="E2992" t="s">
        <v>12499</v>
      </c>
      <c r="F2992" t="s">
        <v>12497</v>
      </c>
      <c r="G2992" t="s">
        <v>71</v>
      </c>
      <c r="H2992">
        <v>54301</v>
      </c>
      <c r="I2992" t="s">
        <v>30</v>
      </c>
      <c r="J2992" t="s">
        <v>41</v>
      </c>
      <c r="K2992" t="s">
        <v>59</v>
      </c>
      <c r="Q2992">
        <v>0</v>
      </c>
      <c r="R2992">
        <v>0</v>
      </c>
      <c r="S2992">
        <v>52</v>
      </c>
      <c r="T2992" t="s">
        <v>12498</v>
      </c>
    </row>
    <row r="2993" spans="1:20" customFormat="1" ht="15" x14ac:dyDescent="0.25">
      <c r="A2993" t="s">
        <v>35</v>
      </c>
      <c r="B2993" t="s">
        <v>12396</v>
      </c>
      <c r="C2993" t="str">
        <f>"A0187957"</f>
        <v>A0187957</v>
      </c>
      <c r="D2993" t="s">
        <v>12511</v>
      </c>
      <c r="E2993" t="s">
        <v>12496</v>
      </c>
      <c r="F2993" t="s">
        <v>12512</v>
      </c>
      <c r="G2993" t="s">
        <v>71</v>
      </c>
      <c r="H2993">
        <v>54313</v>
      </c>
      <c r="I2993" t="s">
        <v>30</v>
      </c>
      <c r="J2993" t="s">
        <v>41</v>
      </c>
      <c r="K2993" t="s">
        <v>59</v>
      </c>
      <c r="Q2993">
        <v>0</v>
      </c>
      <c r="R2993">
        <v>0</v>
      </c>
      <c r="S2993">
        <v>20</v>
      </c>
      <c r="T2993" t="s">
        <v>12498</v>
      </c>
    </row>
    <row r="2994" spans="1:20" customFormat="1" ht="15" x14ac:dyDescent="0.25">
      <c r="A2994" t="s">
        <v>35</v>
      </c>
      <c r="B2994" t="s">
        <v>12396</v>
      </c>
      <c r="C2994" t="str">
        <f>"A0187956"</f>
        <v>A0187956</v>
      </c>
      <c r="D2994" t="s">
        <v>12513</v>
      </c>
      <c r="E2994" t="s">
        <v>12514</v>
      </c>
      <c r="F2994" t="s">
        <v>1948</v>
      </c>
      <c r="G2994" t="s">
        <v>71</v>
      </c>
      <c r="H2994">
        <v>54138</v>
      </c>
      <c r="I2994" t="s">
        <v>30</v>
      </c>
      <c r="J2994" t="s">
        <v>41</v>
      </c>
      <c r="K2994" t="s">
        <v>59</v>
      </c>
      <c r="Q2994">
        <v>0</v>
      </c>
      <c r="R2994">
        <v>0</v>
      </c>
      <c r="S2994">
        <v>20</v>
      </c>
      <c r="T2994" t="s">
        <v>12498</v>
      </c>
    </row>
    <row r="2995" spans="1:20" customFormat="1" ht="15" x14ac:dyDescent="0.25">
      <c r="A2995" t="s">
        <v>35</v>
      </c>
      <c r="B2995" t="s">
        <v>12396</v>
      </c>
      <c r="C2995" t="str">
        <f>"A0187955"</f>
        <v>A0187955</v>
      </c>
      <c r="D2995" t="s">
        <v>12515</v>
      </c>
      <c r="E2995" t="s">
        <v>12516</v>
      </c>
      <c r="F2995" t="s">
        <v>5314</v>
      </c>
      <c r="G2995" t="s">
        <v>71</v>
      </c>
      <c r="H2995">
        <v>54115</v>
      </c>
      <c r="I2995" t="s">
        <v>30</v>
      </c>
      <c r="J2995" t="s">
        <v>41</v>
      </c>
      <c r="K2995" t="s">
        <v>59</v>
      </c>
      <c r="Q2995">
        <v>0</v>
      </c>
      <c r="R2995">
        <v>0</v>
      </c>
      <c r="S2995">
        <v>20</v>
      </c>
      <c r="T2995" t="s">
        <v>12498</v>
      </c>
    </row>
    <row r="2996" spans="1:20" customFormat="1" ht="15" x14ac:dyDescent="0.25">
      <c r="A2996" t="s">
        <v>35</v>
      </c>
      <c r="B2996" t="s">
        <v>12396</v>
      </c>
      <c r="C2996" t="str">
        <f>"A0187954"</f>
        <v>A0187954</v>
      </c>
      <c r="D2996" t="s">
        <v>12517</v>
      </c>
      <c r="E2996" t="s">
        <v>12518</v>
      </c>
      <c r="F2996" t="s">
        <v>5314</v>
      </c>
      <c r="G2996" t="s">
        <v>71</v>
      </c>
      <c r="H2996">
        <v>54115</v>
      </c>
      <c r="I2996" t="s">
        <v>30</v>
      </c>
      <c r="J2996" t="s">
        <v>41</v>
      </c>
      <c r="K2996" t="s">
        <v>59</v>
      </c>
      <c r="Q2996">
        <v>0</v>
      </c>
      <c r="R2996">
        <v>0</v>
      </c>
      <c r="S2996">
        <v>20</v>
      </c>
      <c r="T2996" t="s">
        <v>12498</v>
      </c>
    </row>
    <row r="2997" spans="1:20" customFormat="1" ht="15" x14ac:dyDescent="0.25">
      <c r="A2997" t="s">
        <v>24</v>
      </c>
      <c r="B2997" t="s">
        <v>34201</v>
      </c>
      <c r="C2997" t="str">
        <f>"SF09586"</f>
        <v>SF09586</v>
      </c>
      <c r="D2997" t="s">
        <v>58007</v>
      </c>
      <c r="E2997" t="s">
        <v>58008</v>
      </c>
      <c r="F2997" t="s">
        <v>7292</v>
      </c>
      <c r="G2997" t="s">
        <v>289</v>
      </c>
      <c r="H2997">
        <v>60563</v>
      </c>
      <c r="I2997" t="s">
        <v>30</v>
      </c>
      <c r="J2997" t="s">
        <v>162</v>
      </c>
      <c r="K2997" t="s">
        <v>1490</v>
      </c>
      <c r="N2997" t="s">
        <v>58009</v>
      </c>
      <c r="Q2997">
        <v>0</v>
      </c>
      <c r="R2997">
        <v>424</v>
      </c>
      <c r="S2997">
        <v>0</v>
      </c>
      <c r="T2997" t="s">
        <v>58010</v>
      </c>
    </row>
    <row r="2998" spans="1:20" customFormat="1" ht="15" x14ac:dyDescent="0.25">
      <c r="A2998" t="s">
        <v>35</v>
      </c>
      <c r="B2998" t="s">
        <v>2767</v>
      </c>
      <c r="C2998" t="str">
        <f>"A0154286"</f>
        <v>A0154286</v>
      </c>
      <c r="D2998" t="s">
        <v>12522</v>
      </c>
      <c r="E2998" t="s">
        <v>12523</v>
      </c>
      <c r="F2998" t="s">
        <v>12524</v>
      </c>
      <c r="G2998" t="s">
        <v>846</v>
      </c>
      <c r="H2998">
        <v>30253</v>
      </c>
      <c r="I2998" t="s">
        <v>30</v>
      </c>
      <c r="J2998" t="s">
        <v>41</v>
      </c>
      <c r="K2998" t="s">
        <v>229</v>
      </c>
      <c r="Q2998">
        <v>0</v>
      </c>
      <c r="R2998">
        <v>210</v>
      </c>
      <c r="S2998">
        <v>210</v>
      </c>
      <c r="T2998" t="s">
        <v>12525</v>
      </c>
    </row>
    <row r="2999" spans="1:20" customFormat="1" ht="15" x14ac:dyDescent="0.25">
      <c r="A2999" t="s">
        <v>35</v>
      </c>
      <c r="B2999" t="s">
        <v>2767</v>
      </c>
      <c r="C2999" t="str">
        <f>"A0154287"</f>
        <v>A0154287</v>
      </c>
      <c r="D2999" t="s">
        <v>12526</v>
      </c>
      <c r="E2999" t="s">
        <v>12527</v>
      </c>
      <c r="F2999" t="s">
        <v>12528</v>
      </c>
      <c r="G2999" t="s">
        <v>846</v>
      </c>
      <c r="H2999">
        <v>30012</v>
      </c>
      <c r="I2999" t="s">
        <v>30</v>
      </c>
      <c r="J2999" t="s">
        <v>41</v>
      </c>
      <c r="K2999" t="s">
        <v>229</v>
      </c>
      <c r="Q2999">
        <v>0</v>
      </c>
      <c r="R2999">
        <v>173</v>
      </c>
      <c r="S2999">
        <v>173</v>
      </c>
      <c r="T2999" t="s">
        <v>12529</v>
      </c>
    </row>
    <row r="3000" spans="1:20" customFormat="1" ht="15" x14ac:dyDescent="0.25">
      <c r="A3000" t="s">
        <v>35</v>
      </c>
      <c r="B3000" t="s">
        <v>2767</v>
      </c>
      <c r="C3000" t="str">
        <f>"A0154285"</f>
        <v>A0154285</v>
      </c>
      <c r="D3000" t="s">
        <v>12530</v>
      </c>
      <c r="E3000" t="s">
        <v>12531</v>
      </c>
      <c r="F3000" t="s">
        <v>12532</v>
      </c>
      <c r="G3000" t="s">
        <v>846</v>
      </c>
      <c r="H3000">
        <v>30233</v>
      </c>
      <c r="I3000" t="s">
        <v>30</v>
      </c>
      <c r="J3000" t="s">
        <v>41</v>
      </c>
      <c r="K3000" t="s">
        <v>229</v>
      </c>
      <c r="Q3000">
        <v>0</v>
      </c>
      <c r="R3000">
        <v>196</v>
      </c>
      <c r="S3000">
        <v>196</v>
      </c>
      <c r="T3000" t="s">
        <v>12533</v>
      </c>
    </row>
    <row r="3001" spans="1:20" customFormat="1" ht="15" x14ac:dyDescent="0.25">
      <c r="A3001" t="s">
        <v>35</v>
      </c>
      <c r="B3001" t="s">
        <v>12534</v>
      </c>
      <c r="C3001" t="str">
        <f>"A0130026"</f>
        <v>A0130026</v>
      </c>
      <c r="D3001" t="s">
        <v>12535</v>
      </c>
      <c r="E3001" t="s">
        <v>12536</v>
      </c>
      <c r="F3001" t="s">
        <v>12537</v>
      </c>
      <c r="G3001" t="s">
        <v>846</v>
      </c>
      <c r="H3001">
        <v>31320</v>
      </c>
      <c r="I3001" t="s">
        <v>30</v>
      </c>
      <c r="J3001" t="s">
        <v>41</v>
      </c>
      <c r="K3001" t="s">
        <v>59</v>
      </c>
      <c r="Q3001">
        <v>0</v>
      </c>
      <c r="R3001">
        <v>169</v>
      </c>
      <c r="S3001">
        <v>136</v>
      </c>
      <c r="T3001" t="s">
        <v>12538</v>
      </c>
    </row>
    <row r="3002" spans="1:20" customFormat="1" ht="15" x14ac:dyDescent="0.25">
      <c r="A3002" t="s">
        <v>24</v>
      </c>
      <c r="B3002" t="s">
        <v>2360</v>
      </c>
      <c r="C3002" t="str">
        <f>"A0187932"</f>
        <v>A0187932</v>
      </c>
      <c r="D3002" t="s">
        <v>12539</v>
      </c>
      <c r="E3002" t="s">
        <v>12540</v>
      </c>
      <c r="F3002" t="s">
        <v>4541</v>
      </c>
      <c r="G3002" t="s">
        <v>153</v>
      </c>
      <c r="H3002">
        <v>84112</v>
      </c>
      <c r="I3002" t="s">
        <v>30</v>
      </c>
      <c r="J3002" t="s">
        <v>7479</v>
      </c>
      <c r="K3002" t="s">
        <v>2566</v>
      </c>
      <c r="Q3002">
        <v>0</v>
      </c>
      <c r="R3002">
        <v>0</v>
      </c>
      <c r="S3002">
        <v>0</v>
      </c>
      <c r="T3002" t="s">
        <v>12541</v>
      </c>
    </row>
    <row r="3003" spans="1:20" customFormat="1" ht="15" x14ac:dyDescent="0.25">
      <c r="A3003" t="s">
        <v>24</v>
      </c>
      <c r="B3003" t="s">
        <v>12542</v>
      </c>
      <c r="C3003" t="str">
        <f>"A0095780"</f>
        <v>A0095780</v>
      </c>
      <c r="D3003" t="s">
        <v>12543</v>
      </c>
      <c r="E3003" t="s">
        <v>12544</v>
      </c>
      <c r="F3003" t="s">
        <v>12545</v>
      </c>
      <c r="G3003" t="s">
        <v>110</v>
      </c>
      <c r="H3003">
        <v>96150</v>
      </c>
      <c r="I3003" t="s">
        <v>30</v>
      </c>
      <c r="J3003" t="s">
        <v>31</v>
      </c>
      <c r="K3003" t="s">
        <v>163</v>
      </c>
      <c r="N3003" t="s">
        <v>12546</v>
      </c>
      <c r="O3003" t="s">
        <v>12547</v>
      </c>
      <c r="Q3003">
        <v>0</v>
      </c>
      <c r="R3003">
        <v>16</v>
      </c>
      <c r="S3003">
        <v>0</v>
      </c>
      <c r="T3003" t="s">
        <v>12548</v>
      </c>
    </row>
    <row r="3004" spans="1:20" customFormat="1" ht="15" x14ac:dyDescent="0.25">
      <c r="A3004" t="s">
        <v>24</v>
      </c>
      <c r="B3004" t="s">
        <v>1548</v>
      </c>
      <c r="C3004" t="str">
        <f>"337T0"</f>
        <v>337T0</v>
      </c>
      <c r="D3004" t="s">
        <v>58011</v>
      </c>
      <c r="E3004" t="s">
        <v>58012</v>
      </c>
      <c r="F3004" t="s">
        <v>58013</v>
      </c>
      <c r="G3004" t="s">
        <v>289</v>
      </c>
      <c r="H3004">
        <v>60015</v>
      </c>
      <c r="I3004" t="s">
        <v>30</v>
      </c>
      <c r="J3004" t="s">
        <v>162</v>
      </c>
      <c r="K3004" t="s">
        <v>1490</v>
      </c>
      <c r="N3004" t="s">
        <v>58014</v>
      </c>
      <c r="O3004" t="s">
        <v>58015</v>
      </c>
      <c r="Q3004">
        <v>0</v>
      </c>
      <c r="R3004">
        <v>248</v>
      </c>
      <c r="S3004">
        <v>0</v>
      </c>
      <c r="T3004" t="s">
        <v>58016</v>
      </c>
    </row>
    <row r="3005" spans="1:20" customFormat="1" ht="15" x14ac:dyDescent="0.25">
      <c r="A3005" t="s">
        <v>24</v>
      </c>
      <c r="B3005" t="s">
        <v>1849</v>
      </c>
      <c r="C3005" t="str">
        <f>"A0091636"</f>
        <v>A0091636</v>
      </c>
      <c r="D3005" t="s">
        <v>12553</v>
      </c>
      <c r="E3005" t="s">
        <v>12554</v>
      </c>
      <c r="F3005" t="s">
        <v>5999</v>
      </c>
      <c r="G3005" t="s">
        <v>71</v>
      </c>
      <c r="H3005">
        <v>53203</v>
      </c>
      <c r="I3005" t="s">
        <v>30</v>
      </c>
      <c r="J3005" t="s">
        <v>31</v>
      </c>
      <c r="K3005" t="s">
        <v>32</v>
      </c>
      <c r="N3005" t="s">
        <v>12555</v>
      </c>
      <c r="O3005" t="s">
        <v>12556</v>
      </c>
      <c r="Q3005">
        <v>0</v>
      </c>
      <c r="R3005">
        <v>103</v>
      </c>
      <c r="S3005">
        <v>0</v>
      </c>
      <c r="T3005" t="s">
        <v>12557</v>
      </c>
    </row>
    <row r="3006" spans="1:20" customFormat="1" ht="15" x14ac:dyDescent="0.25">
      <c r="A3006" t="s">
        <v>24</v>
      </c>
      <c r="B3006" t="s">
        <v>2011</v>
      </c>
      <c r="C3006" t="str">
        <f>"A0148831"</f>
        <v>A0148831</v>
      </c>
      <c r="D3006" t="s">
        <v>58021</v>
      </c>
      <c r="E3006" t="s">
        <v>58022</v>
      </c>
      <c r="F3006" t="s">
        <v>58023</v>
      </c>
      <c r="G3006" t="s">
        <v>190</v>
      </c>
      <c r="H3006">
        <v>81657</v>
      </c>
      <c r="I3006" t="s">
        <v>30</v>
      </c>
      <c r="J3006" t="s">
        <v>162</v>
      </c>
      <c r="K3006" t="s">
        <v>2015</v>
      </c>
      <c r="N3006" t="s">
        <v>58024</v>
      </c>
      <c r="O3006" t="s">
        <v>58025</v>
      </c>
      <c r="Q3006">
        <v>0</v>
      </c>
      <c r="R3006">
        <v>62</v>
      </c>
      <c r="S3006">
        <v>0</v>
      </c>
      <c r="T3006" t="s">
        <v>58026</v>
      </c>
    </row>
    <row r="3007" spans="1:20" customFormat="1" ht="15" x14ac:dyDescent="0.25">
      <c r="A3007" t="s">
        <v>24</v>
      </c>
      <c r="B3007" t="s">
        <v>140</v>
      </c>
      <c r="C3007" t="str">
        <f>"A0083761"</f>
        <v>A0083761</v>
      </c>
      <c r="D3007" t="s">
        <v>12563</v>
      </c>
      <c r="E3007" t="s">
        <v>12564</v>
      </c>
      <c r="F3007" t="s">
        <v>1858</v>
      </c>
      <c r="G3007" t="s">
        <v>190</v>
      </c>
      <c r="H3007">
        <v>80916</v>
      </c>
      <c r="I3007" t="s">
        <v>30</v>
      </c>
      <c r="J3007" t="s">
        <v>31</v>
      </c>
      <c r="K3007" t="s">
        <v>222</v>
      </c>
      <c r="N3007" t="s">
        <v>12565</v>
      </c>
      <c r="Q3007">
        <v>0</v>
      </c>
      <c r="R3007">
        <v>97</v>
      </c>
      <c r="S3007">
        <v>0</v>
      </c>
      <c r="T3007" t="s">
        <v>12566</v>
      </c>
    </row>
    <row r="3008" spans="1:20" customFormat="1" ht="15" x14ac:dyDescent="0.25">
      <c r="A3008" t="s">
        <v>24</v>
      </c>
      <c r="B3008" t="s">
        <v>976</v>
      </c>
      <c r="C3008" t="str">
        <f>"34231"</f>
        <v>34231</v>
      </c>
      <c r="D3008" t="s">
        <v>58027</v>
      </c>
      <c r="E3008" t="s">
        <v>58028</v>
      </c>
      <c r="F3008" t="s">
        <v>53840</v>
      </c>
      <c r="G3008" t="s">
        <v>840</v>
      </c>
      <c r="H3008">
        <v>41011</v>
      </c>
      <c r="I3008" t="s">
        <v>30</v>
      </c>
      <c r="J3008" t="s">
        <v>162</v>
      </c>
      <c r="K3008" t="s">
        <v>1490</v>
      </c>
      <c r="N3008" t="s">
        <v>58029</v>
      </c>
      <c r="O3008" t="s">
        <v>58030</v>
      </c>
      <c r="Q3008">
        <v>0</v>
      </c>
      <c r="R3008">
        <v>321</v>
      </c>
      <c r="S3008">
        <v>0</v>
      </c>
      <c r="T3008" t="s">
        <v>58031</v>
      </c>
    </row>
    <row r="3009" spans="1:20" customFormat="1" ht="15" x14ac:dyDescent="0.25">
      <c r="A3009" t="s">
        <v>24</v>
      </c>
      <c r="B3009" t="s">
        <v>140</v>
      </c>
      <c r="C3009" t="str">
        <f>"A0083760"</f>
        <v>A0083760</v>
      </c>
      <c r="D3009" t="s">
        <v>12573</v>
      </c>
      <c r="E3009" t="s">
        <v>12574</v>
      </c>
      <c r="F3009" t="s">
        <v>1858</v>
      </c>
      <c r="G3009" t="s">
        <v>190</v>
      </c>
      <c r="H3009">
        <v>80916</v>
      </c>
      <c r="I3009" t="s">
        <v>30</v>
      </c>
      <c r="J3009" t="s">
        <v>31</v>
      </c>
      <c r="K3009" t="s">
        <v>255</v>
      </c>
      <c r="N3009" t="s">
        <v>12575</v>
      </c>
      <c r="O3009" t="s">
        <v>12576</v>
      </c>
      <c r="Q3009">
        <v>0</v>
      </c>
      <c r="R3009">
        <v>101</v>
      </c>
      <c r="S3009">
        <v>0</v>
      </c>
      <c r="T3009" t="s">
        <v>12577</v>
      </c>
    </row>
    <row r="3010" spans="1:20" customFormat="1" ht="15" x14ac:dyDescent="0.25">
      <c r="A3010" t="s">
        <v>24</v>
      </c>
      <c r="B3010" t="s">
        <v>56277</v>
      </c>
      <c r="C3010" t="str">
        <f>"SF03711"</f>
        <v>SF03711</v>
      </c>
      <c r="D3010" t="s">
        <v>58032</v>
      </c>
      <c r="E3010" t="s">
        <v>58033</v>
      </c>
      <c r="F3010" t="s">
        <v>58034</v>
      </c>
      <c r="G3010" t="s">
        <v>840</v>
      </c>
      <c r="H3010">
        <v>41011</v>
      </c>
      <c r="I3010" t="s">
        <v>30</v>
      </c>
      <c r="J3010" t="s">
        <v>162</v>
      </c>
      <c r="K3010" t="s">
        <v>854</v>
      </c>
      <c r="N3010" t="s">
        <v>58035</v>
      </c>
      <c r="Q3010">
        <v>0</v>
      </c>
      <c r="R3010">
        <v>155</v>
      </c>
      <c r="S3010">
        <v>0</v>
      </c>
      <c r="T3010" t="s">
        <v>58036</v>
      </c>
    </row>
    <row r="3011" spans="1:20" customFormat="1" ht="15" x14ac:dyDescent="0.25">
      <c r="A3011" t="s">
        <v>24</v>
      </c>
      <c r="B3011" t="s">
        <v>58081</v>
      </c>
      <c r="C3011" t="str">
        <f>"A0085587"</f>
        <v>A0085587</v>
      </c>
      <c r="D3011" t="s">
        <v>58082</v>
      </c>
      <c r="E3011" t="s">
        <v>58083</v>
      </c>
      <c r="F3011" t="s">
        <v>58084</v>
      </c>
      <c r="G3011" t="s">
        <v>338</v>
      </c>
      <c r="H3011">
        <v>8755</v>
      </c>
      <c r="I3011" t="s">
        <v>30</v>
      </c>
      <c r="J3011" t="s">
        <v>162</v>
      </c>
      <c r="K3011" t="s">
        <v>243</v>
      </c>
      <c r="N3011" t="s">
        <v>58085</v>
      </c>
      <c r="O3011" t="s">
        <v>58086</v>
      </c>
      <c r="P3011" t="s">
        <v>992</v>
      </c>
      <c r="Q3011">
        <v>0</v>
      </c>
      <c r="R3011">
        <v>100</v>
      </c>
      <c r="S3011">
        <v>0</v>
      </c>
      <c r="T3011" t="s">
        <v>58087</v>
      </c>
    </row>
    <row r="3012" spans="1:20" customFormat="1" ht="15" x14ac:dyDescent="0.25">
      <c r="A3012" t="s">
        <v>24</v>
      </c>
      <c r="B3012" t="s">
        <v>140</v>
      </c>
      <c r="C3012" t="str">
        <f>"432PV"</f>
        <v>432PV</v>
      </c>
      <c r="D3012" t="s">
        <v>12586</v>
      </c>
      <c r="E3012" t="s">
        <v>12587</v>
      </c>
      <c r="F3012" t="s">
        <v>1858</v>
      </c>
      <c r="G3012" t="s">
        <v>190</v>
      </c>
      <c r="H3012">
        <v>80906</v>
      </c>
      <c r="I3012" t="s">
        <v>30</v>
      </c>
      <c r="J3012" t="s">
        <v>31</v>
      </c>
      <c r="K3012" t="s">
        <v>32</v>
      </c>
      <c r="N3012" t="s">
        <v>12584</v>
      </c>
      <c r="Q3012">
        <v>0</v>
      </c>
      <c r="R3012">
        <v>85</v>
      </c>
      <c r="S3012">
        <v>0</v>
      </c>
      <c r="T3012" t="s">
        <v>12588</v>
      </c>
    </row>
    <row r="3013" spans="1:20" customFormat="1" ht="15" x14ac:dyDescent="0.25">
      <c r="A3013" t="s">
        <v>24</v>
      </c>
      <c r="B3013" t="s">
        <v>56166</v>
      </c>
      <c r="C3013" t="str">
        <f>"A0059619"</f>
        <v>A0059619</v>
      </c>
      <c r="D3013" t="s">
        <v>58088</v>
      </c>
      <c r="E3013" t="s">
        <v>58089</v>
      </c>
      <c r="F3013" t="s">
        <v>5651</v>
      </c>
      <c r="G3013" t="s">
        <v>110</v>
      </c>
      <c r="H3013">
        <v>92802</v>
      </c>
      <c r="I3013" t="s">
        <v>30</v>
      </c>
      <c r="J3013" t="s">
        <v>162</v>
      </c>
      <c r="K3013" t="s">
        <v>243</v>
      </c>
      <c r="N3013" t="s">
        <v>58090</v>
      </c>
      <c r="Q3013">
        <v>0</v>
      </c>
      <c r="R3013">
        <v>284</v>
      </c>
      <c r="S3013">
        <v>0</v>
      </c>
      <c r="T3013" t="s">
        <v>58091</v>
      </c>
    </row>
    <row r="3014" spans="1:20" customFormat="1" ht="15" x14ac:dyDescent="0.25">
      <c r="A3014" t="s">
        <v>24</v>
      </c>
      <c r="B3014" t="s">
        <v>2936</v>
      </c>
      <c r="C3014" t="str">
        <f>"A0187926"</f>
        <v>A0187926</v>
      </c>
      <c r="D3014" t="s">
        <v>12593</v>
      </c>
      <c r="E3014" t="s">
        <v>12594</v>
      </c>
      <c r="F3014" t="s">
        <v>1519</v>
      </c>
      <c r="G3014" t="s">
        <v>110</v>
      </c>
      <c r="H3014">
        <v>90048</v>
      </c>
      <c r="I3014" t="s">
        <v>30</v>
      </c>
      <c r="J3014" t="s">
        <v>31</v>
      </c>
      <c r="K3014" t="s">
        <v>12595</v>
      </c>
      <c r="N3014" t="s">
        <v>12596</v>
      </c>
      <c r="Q3014">
        <v>0</v>
      </c>
      <c r="R3014">
        <v>33</v>
      </c>
      <c r="S3014">
        <v>0</v>
      </c>
      <c r="T3014" t="s">
        <v>12597</v>
      </c>
    </row>
    <row r="3015" spans="1:20" customFormat="1" ht="15" x14ac:dyDescent="0.25">
      <c r="A3015" t="s">
        <v>24</v>
      </c>
      <c r="B3015" t="s">
        <v>2936</v>
      </c>
      <c r="C3015" t="str">
        <f>"A0187925"</f>
        <v>A0187925</v>
      </c>
      <c r="D3015" t="s">
        <v>12598</v>
      </c>
      <c r="E3015" t="s">
        <v>12599</v>
      </c>
      <c r="F3015" t="s">
        <v>12600</v>
      </c>
      <c r="G3015" t="s">
        <v>110</v>
      </c>
      <c r="H3015">
        <v>91606</v>
      </c>
      <c r="I3015" t="s">
        <v>30</v>
      </c>
      <c r="J3015" t="s">
        <v>31</v>
      </c>
      <c r="K3015" t="s">
        <v>296</v>
      </c>
      <c r="N3015" t="s">
        <v>12601</v>
      </c>
      <c r="Q3015">
        <v>0</v>
      </c>
      <c r="R3015">
        <v>60</v>
      </c>
      <c r="S3015">
        <v>0</v>
      </c>
      <c r="T3015" t="s">
        <v>12602</v>
      </c>
    </row>
    <row r="3016" spans="1:20" customFormat="1" ht="15" x14ac:dyDescent="0.25">
      <c r="A3016" t="s">
        <v>24</v>
      </c>
      <c r="B3016" t="s">
        <v>2936</v>
      </c>
      <c r="C3016" t="str">
        <f>"A0187924"</f>
        <v>A0187924</v>
      </c>
      <c r="D3016" t="s">
        <v>12603</v>
      </c>
      <c r="E3016" t="s">
        <v>12604</v>
      </c>
      <c r="F3016" t="s">
        <v>1519</v>
      </c>
      <c r="G3016" t="s">
        <v>110</v>
      </c>
      <c r="H3016">
        <v>90046</v>
      </c>
      <c r="I3016" t="s">
        <v>30</v>
      </c>
      <c r="J3016" t="s">
        <v>31</v>
      </c>
      <c r="K3016" t="s">
        <v>12595</v>
      </c>
      <c r="N3016" t="s">
        <v>12605</v>
      </c>
      <c r="Q3016">
        <v>0</v>
      </c>
      <c r="R3016">
        <v>62</v>
      </c>
      <c r="S3016">
        <v>0</v>
      </c>
      <c r="T3016" t="s">
        <v>12606</v>
      </c>
    </row>
    <row r="3017" spans="1:20" customFormat="1" ht="15" x14ac:dyDescent="0.25">
      <c r="A3017" t="s">
        <v>24</v>
      </c>
      <c r="B3017" t="s">
        <v>5166</v>
      </c>
      <c r="C3017" t="str">
        <f>"A0187931"</f>
        <v>A0187931</v>
      </c>
      <c r="D3017" t="s">
        <v>12607</v>
      </c>
      <c r="E3017" t="s">
        <v>12608</v>
      </c>
      <c r="F3017" t="s">
        <v>12609</v>
      </c>
      <c r="G3017" t="s">
        <v>338</v>
      </c>
      <c r="H3017">
        <v>7712</v>
      </c>
      <c r="I3017" t="s">
        <v>30</v>
      </c>
      <c r="J3017" t="s">
        <v>7479</v>
      </c>
      <c r="K3017" t="s">
        <v>163</v>
      </c>
      <c r="Q3017">
        <v>0</v>
      </c>
      <c r="R3017">
        <v>0</v>
      </c>
      <c r="S3017">
        <v>0</v>
      </c>
      <c r="T3017" t="s">
        <v>12610</v>
      </c>
    </row>
    <row r="3018" spans="1:20" customFormat="1" ht="15" x14ac:dyDescent="0.25">
      <c r="A3018" t="s">
        <v>24</v>
      </c>
      <c r="B3018" t="s">
        <v>58092</v>
      </c>
      <c r="C3018" t="str">
        <f>"A0145865"</f>
        <v>A0145865</v>
      </c>
      <c r="D3018" t="s">
        <v>58093</v>
      </c>
      <c r="E3018" t="s">
        <v>58094</v>
      </c>
      <c r="F3018" t="s">
        <v>58095</v>
      </c>
      <c r="G3018" t="s">
        <v>528</v>
      </c>
      <c r="H3018">
        <v>19720</v>
      </c>
      <c r="I3018" t="s">
        <v>30</v>
      </c>
      <c r="J3018" t="s">
        <v>162</v>
      </c>
      <c r="K3018" t="s">
        <v>243</v>
      </c>
      <c r="N3018" t="s">
        <v>58096</v>
      </c>
      <c r="O3018" t="s">
        <v>58097</v>
      </c>
      <c r="Q3018">
        <v>0</v>
      </c>
      <c r="R3018">
        <v>125</v>
      </c>
      <c r="S3018">
        <v>0</v>
      </c>
      <c r="T3018" t="s">
        <v>58098</v>
      </c>
    </row>
    <row r="3019" spans="1:20" customFormat="1" ht="15" x14ac:dyDescent="0.25">
      <c r="A3019" t="s">
        <v>24</v>
      </c>
      <c r="B3019" t="s">
        <v>58106</v>
      </c>
      <c r="C3019" t="str">
        <f>"SF01189"</f>
        <v>SF01189</v>
      </c>
      <c r="D3019" t="s">
        <v>58107</v>
      </c>
      <c r="E3019" t="s">
        <v>58108</v>
      </c>
      <c r="F3019" t="s">
        <v>57</v>
      </c>
      <c r="G3019" t="s">
        <v>58</v>
      </c>
      <c r="H3019">
        <v>29803</v>
      </c>
      <c r="I3019" t="s">
        <v>30</v>
      </c>
      <c r="J3019" t="s">
        <v>162</v>
      </c>
      <c r="K3019" t="s">
        <v>243</v>
      </c>
      <c r="N3019" t="s">
        <v>57626</v>
      </c>
      <c r="O3019" t="s">
        <v>58109</v>
      </c>
      <c r="Q3019">
        <v>0</v>
      </c>
      <c r="R3019">
        <v>99</v>
      </c>
      <c r="S3019">
        <v>0</v>
      </c>
      <c r="T3019" t="s">
        <v>58110</v>
      </c>
    </row>
    <row r="3020" spans="1:20" customFormat="1" ht="15" x14ac:dyDescent="0.25">
      <c r="A3020" t="s">
        <v>24</v>
      </c>
      <c r="B3020" t="s">
        <v>8850</v>
      </c>
      <c r="C3020" t="str">
        <f>"A0094131"</f>
        <v>A0094131</v>
      </c>
      <c r="D3020" t="s">
        <v>58111</v>
      </c>
      <c r="E3020" t="s">
        <v>58112</v>
      </c>
      <c r="F3020" t="s">
        <v>33923</v>
      </c>
      <c r="G3020" t="s">
        <v>81</v>
      </c>
      <c r="H3020">
        <v>32174</v>
      </c>
      <c r="I3020" t="s">
        <v>30</v>
      </c>
      <c r="J3020" t="s">
        <v>162</v>
      </c>
      <c r="K3020" t="s">
        <v>243</v>
      </c>
      <c r="N3020" t="s">
        <v>58113</v>
      </c>
      <c r="Q3020">
        <v>0</v>
      </c>
      <c r="R3020">
        <v>80</v>
      </c>
      <c r="S3020">
        <v>0</v>
      </c>
      <c r="T3020" t="s">
        <v>58114</v>
      </c>
    </row>
    <row r="3021" spans="1:20" customFormat="1" ht="15" x14ac:dyDescent="0.25">
      <c r="A3021" t="s">
        <v>24</v>
      </c>
      <c r="B3021" t="s">
        <v>6976</v>
      </c>
      <c r="C3021" t="str">
        <f>"SF02769"</f>
        <v>SF02769</v>
      </c>
      <c r="D3021" t="s">
        <v>58115</v>
      </c>
      <c r="E3021" t="s">
        <v>58116</v>
      </c>
      <c r="F3021" t="s">
        <v>3167</v>
      </c>
      <c r="G3021" t="s">
        <v>103</v>
      </c>
      <c r="H3021">
        <v>16066</v>
      </c>
      <c r="I3021" t="s">
        <v>30</v>
      </c>
      <c r="J3021" t="s">
        <v>162</v>
      </c>
      <c r="K3021" t="s">
        <v>243</v>
      </c>
      <c r="N3021" t="s">
        <v>58117</v>
      </c>
      <c r="Q3021">
        <v>0</v>
      </c>
      <c r="R3021">
        <v>102</v>
      </c>
      <c r="S3021">
        <v>0</v>
      </c>
      <c r="T3021" t="s">
        <v>58118</v>
      </c>
    </row>
    <row r="3022" spans="1:20" customFormat="1" ht="15" x14ac:dyDescent="0.25">
      <c r="A3022" t="s">
        <v>35</v>
      </c>
      <c r="B3022" t="s">
        <v>61</v>
      </c>
      <c r="C3022" t="str">
        <f>"A0181206"</f>
        <v>A0181206</v>
      </c>
      <c r="D3022" t="s">
        <v>12627</v>
      </c>
      <c r="E3022" t="s">
        <v>12628</v>
      </c>
      <c r="F3022" t="s">
        <v>12629</v>
      </c>
      <c r="G3022" t="s">
        <v>52</v>
      </c>
      <c r="H3022" t="s">
        <v>12630</v>
      </c>
      <c r="I3022" t="s">
        <v>30</v>
      </c>
      <c r="J3022" t="s">
        <v>41</v>
      </c>
      <c r="K3022" t="s">
        <v>9956</v>
      </c>
      <c r="Q3022">
        <v>0</v>
      </c>
      <c r="R3022">
        <v>215</v>
      </c>
      <c r="S3022">
        <v>215</v>
      </c>
      <c r="T3022" t="s">
        <v>12631</v>
      </c>
    </row>
    <row r="3023" spans="1:20" customFormat="1" ht="15" x14ac:dyDescent="0.25">
      <c r="A3023" t="s">
        <v>35</v>
      </c>
      <c r="B3023" t="s">
        <v>61</v>
      </c>
      <c r="C3023" t="str">
        <f>"A0125381"</f>
        <v>A0125381</v>
      </c>
      <c r="D3023" t="s">
        <v>12632</v>
      </c>
      <c r="E3023" t="s">
        <v>12633</v>
      </c>
      <c r="F3023" t="s">
        <v>8126</v>
      </c>
      <c r="G3023" t="s">
        <v>925</v>
      </c>
      <c r="H3023">
        <v>660620000</v>
      </c>
      <c r="I3023" t="s">
        <v>30</v>
      </c>
      <c r="J3023" t="s">
        <v>41</v>
      </c>
      <c r="K3023" t="s">
        <v>229</v>
      </c>
      <c r="Q3023">
        <v>0</v>
      </c>
      <c r="R3023">
        <v>170</v>
      </c>
      <c r="S3023">
        <v>170</v>
      </c>
      <c r="T3023" t="s">
        <v>12634</v>
      </c>
    </row>
    <row r="3024" spans="1:20" customFormat="1" ht="15" x14ac:dyDescent="0.25">
      <c r="A3024" t="s">
        <v>35</v>
      </c>
      <c r="B3024" t="s">
        <v>61</v>
      </c>
      <c r="C3024" t="str">
        <f>"A0127042"</f>
        <v>A0127042</v>
      </c>
      <c r="D3024" t="s">
        <v>12635</v>
      </c>
      <c r="E3024" t="s">
        <v>12636</v>
      </c>
      <c r="F3024" t="s">
        <v>5781</v>
      </c>
      <c r="G3024" t="s">
        <v>103</v>
      </c>
      <c r="H3024">
        <v>17404</v>
      </c>
      <c r="I3024" t="s">
        <v>30</v>
      </c>
      <c r="J3024" t="s">
        <v>41</v>
      </c>
      <c r="K3024" t="s">
        <v>229</v>
      </c>
      <c r="Q3024">
        <v>0</v>
      </c>
      <c r="R3024">
        <v>82</v>
      </c>
      <c r="S3024">
        <v>82</v>
      </c>
      <c r="T3024" t="s">
        <v>12637</v>
      </c>
    </row>
    <row r="3025" spans="1:20" customFormat="1" ht="15" x14ac:dyDescent="0.25">
      <c r="A3025" t="s">
        <v>24</v>
      </c>
      <c r="B3025" t="s">
        <v>12638</v>
      </c>
      <c r="C3025" t="str">
        <f>"A0154200"</f>
        <v>A0154200</v>
      </c>
      <c r="D3025" t="s">
        <v>12639</v>
      </c>
      <c r="E3025" t="s">
        <v>12640</v>
      </c>
      <c r="F3025" t="s">
        <v>1201</v>
      </c>
      <c r="G3025" t="s">
        <v>214</v>
      </c>
      <c r="H3025">
        <v>28401</v>
      </c>
      <c r="I3025" t="s">
        <v>30</v>
      </c>
      <c r="J3025" t="s">
        <v>31</v>
      </c>
      <c r="K3025" t="s">
        <v>277</v>
      </c>
      <c r="N3025" t="s">
        <v>12641</v>
      </c>
      <c r="O3025" t="s">
        <v>12642</v>
      </c>
      <c r="Q3025">
        <v>0</v>
      </c>
      <c r="R3025">
        <v>125</v>
      </c>
      <c r="S3025">
        <v>0</v>
      </c>
      <c r="T3025" t="s">
        <v>12643</v>
      </c>
    </row>
    <row r="3026" spans="1:20" customFormat="1" ht="15" x14ac:dyDescent="0.25">
      <c r="A3026" t="s">
        <v>35</v>
      </c>
      <c r="B3026" t="s">
        <v>5037</v>
      </c>
      <c r="C3026" t="str">
        <f>"A0184515"</f>
        <v>A0184515</v>
      </c>
      <c r="D3026" t="s">
        <v>12644</v>
      </c>
      <c r="E3026" t="s">
        <v>12645</v>
      </c>
      <c r="F3026" t="s">
        <v>9255</v>
      </c>
      <c r="G3026" t="s">
        <v>846</v>
      </c>
      <c r="H3026" t="s">
        <v>12646</v>
      </c>
      <c r="I3026" t="s">
        <v>30</v>
      </c>
      <c r="J3026" t="s">
        <v>41</v>
      </c>
      <c r="K3026" t="s">
        <v>59</v>
      </c>
      <c r="Q3026">
        <v>0</v>
      </c>
      <c r="R3026">
        <v>0</v>
      </c>
      <c r="S3026">
        <v>0</v>
      </c>
      <c r="T3026" t="s">
        <v>12647</v>
      </c>
    </row>
    <row r="3027" spans="1:20" customFormat="1" ht="15" x14ac:dyDescent="0.25">
      <c r="A3027" t="s">
        <v>35</v>
      </c>
      <c r="B3027" t="s">
        <v>61</v>
      </c>
      <c r="C3027" t="str">
        <f>"A0183634"</f>
        <v>A0183634</v>
      </c>
      <c r="D3027" t="s">
        <v>12648</v>
      </c>
      <c r="E3027" t="s">
        <v>12649</v>
      </c>
      <c r="F3027" t="s">
        <v>12629</v>
      </c>
      <c r="G3027" t="s">
        <v>52</v>
      </c>
      <c r="H3027">
        <v>79606</v>
      </c>
      <c r="I3027" t="s">
        <v>30</v>
      </c>
      <c r="J3027" t="s">
        <v>41</v>
      </c>
      <c r="K3027" t="s">
        <v>59</v>
      </c>
      <c r="Q3027">
        <v>0</v>
      </c>
      <c r="R3027">
        <v>0</v>
      </c>
      <c r="S3027">
        <v>0</v>
      </c>
      <c r="T3027" t="s">
        <v>12650</v>
      </c>
    </row>
    <row r="3028" spans="1:20" customFormat="1" ht="15" x14ac:dyDescent="0.25">
      <c r="A3028" t="s">
        <v>35</v>
      </c>
      <c r="B3028" t="s">
        <v>61</v>
      </c>
      <c r="C3028" t="str">
        <f>"A0183281"</f>
        <v>A0183281</v>
      </c>
      <c r="D3028" t="s">
        <v>12651</v>
      </c>
      <c r="E3028" t="s">
        <v>12652</v>
      </c>
      <c r="F3028" t="s">
        <v>12653</v>
      </c>
      <c r="G3028" t="s">
        <v>110</v>
      </c>
      <c r="H3028" t="s">
        <v>12654</v>
      </c>
      <c r="I3028" t="s">
        <v>30</v>
      </c>
      <c r="J3028" t="s">
        <v>41</v>
      </c>
      <c r="K3028" t="s">
        <v>59</v>
      </c>
      <c r="Q3028">
        <v>0</v>
      </c>
      <c r="R3028">
        <v>0</v>
      </c>
      <c r="S3028">
        <v>0</v>
      </c>
      <c r="T3028" t="s">
        <v>12655</v>
      </c>
    </row>
    <row r="3029" spans="1:20" customFormat="1" ht="15" x14ac:dyDescent="0.25">
      <c r="A3029" t="s">
        <v>35</v>
      </c>
      <c r="B3029" t="s">
        <v>12656</v>
      </c>
      <c r="C3029" t="str">
        <f>"A0118997"</f>
        <v>A0118997</v>
      </c>
      <c r="D3029" t="s">
        <v>12657</v>
      </c>
      <c r="E3029" t="s">
        <v>12658</v>
      </c>
      <c r="F3029" t="s">
        <v>1136</v>
      </c>
      <c r="G3029" t="s">
        <v>110</v>
      </c>
      <c r="H3029">
        <v>94301</v>
      </c>
      <c r="I3029" t="s">
        <v>30</v>
      </c>
      <c r="J3029" t="s">
        <v>41</v>
      </c>
      <c r="K3029" t="s">
        <v>229</v>
      </c>
      <c r="Q3029">
        <v>0</v>
      </c>
      <c r="R3029">
        <v>145</v>
      </c>
      <c r="S3029">
        <v>145</v>
      </c>
      <c r="T3029" t="s">
        <v>12659</v>
      </c>
    </row>
    <row r="3030" spans="1:20" customFormat="1" ht="15" x14ac:dyDescent="0.25">
      <c r="A3030" t="s">
        <v>35</v>
      </c>
      <c r="B3030" t="s">
        <v>12660</v>
      </c>
      <c r="C3030" t="str">
        <f>"A0122711"</f>
        <v>A0122711</v>
      </c>
      <c r="D3030" t="s">
        <v>12661</v>
      </c>
      <c r="E3030" t="s">
        <v>12662</v>
      </c>
      <c r="F3030" t="s">
        <v>1039</v>
      </c>
      <c r="G3030" t="s">
        <v>76</v>
      </c>
      <c r="H3030">
        <v>98402</v>
      </c>
      <c r="I3030" t="s">
        <v>30</v>
      </c>
      <c r="J3030" t="s">
        <v>41</v>
      </c>
      <c r="K3030" t="s">
        <v>59</v>
      </c>
      <c r="Q3030">
        <v>0</v>
      </c>
      <c r="R3030">
        <v>169</v>
      </c>
      <c r="S3030">
        <v>169</v>
      </c>
      <c r="T3030" t="s">
        <v>12663</v>
      </c>
    </row>
    <row r="3031" spans="1:20" customFormat="1" ht="15" x14ac:dyDescent="0.25">
      <c r="A3031" t="s">
        <v>35</v>
      </c>
      <c r="B3031" t="s">
        <v>61</v>
      </c>
      <c r="C3031" t="str">
        <f>"A0184212"</f>
        <v>A0184212</v>
      </c>
      <c r="D3031" t="s">
        <v>12664</v>
      </c>
      <c r="E3031" t="s">
        <v>12665</v>
      </c>
      <c r="F3031" t="s">
        <v>1731</v>
      </c>
      <c r="G3031" t="s">
        <v>52</v>
      </c>
      <c r="H3031" t="s">
        <v>12666</v>
      </c>
      <c r="I3031" t="s">
        <v>30</v>
      </c>
      <c r="J3031" t="s">
        <v>41</v>
      </c>
      <c r="K3031" t="s">
        <v>59</v>
      </c>
      <c r="Q3031">
        <v>0</v>
      </c>
      <c r="R3031">
        <v>160</v>
      </c>
      <c r="S3031">
        <v>160</v>
      </c>
      <c r="T3031" t="s">
        <v>12667</v>
      </c>
    </row>
    <row r="3032" spans="1:20" customFormat="1" ht="15" x14ac:dyDescent="0.25">
      <c r="A3032" t="s">
        <v>35</v>
      </c>
      <c r="B3032" t="s">
        <v>61</v>
      </c>
      <c r="C3032" t="str">
        <f>"A0185300"</f>
        <v>A0185300</v>
      </c>
      <c r="D3032" t="s">
        <v>12668</v>
      </c>
      <c r="E3032" t="s">
        <v>12669</v>
      </c>
      <c r="F3032" t="s">
        <v>11967</v>
      </c>
      <c r="G3032" t="s">
        <v>137</v>
      </c>
      <c r="H3032" t="s">
        <v>12670</v>
      </c>
      <c r="I3032" t="s">
        <v>30</v>
      </c>
      <c r="J3032" t="s">
        <v>41</v>
      </c>
      <c r="K3032" t="s">
        <v>59</v>
      </c>
      <c r="Q3032">
        <v>0</v>
      </c>
      <c r="R3032">
        <v>0</v>
      </c>
      <c r="S3032">
        <v>0</v>
      </c>
      <c r="T3032" t="s">
        <v>12671</v>
      </c>
    </row>
    <row r="3033" spans="1:20" customFormat="1" ht="15" x14ac:dyDescent="0.25">
      <c r="A3033" t="s">
        <v>35</v>
      </c>
      <c r="B3033" t="s">
        <v>61</v>
      </c>
      <c r="C3033" t="str">
        <f>"A0184147"</f>
        <v>A0184147</v>
      </c>
      <c r="D3033" t="s">
        <v>12672</v>
      </c>
      <c r="E3033" t="s">
        <v>12673</v>
      </c>
      <c r="F3033" t="s">
        <v>537</v>
      </c>
      <c r="G3033" t="s">
        <v>528</v>
      </c>
      <c r="H3033" t="s">
        <v>12674</v>
      </c>
      <c r="I3033" t="s">
        <v>30</v>
      </c>
      <c r="J3033" t="s">
        <v>41</v>
      </c>
      <c r="K3033" t="s">
        <v>59</v>
      </c>
      <c r="Q3033">
        <v>0</v>
      </c>
      <c r="R3033">
        <v>0</v>
      </c>
      <c r="S3033">
        <v>0</v>
      </c>
      <c r="T3033" t="s">
        <v>12675</v>
      </c>
    </row>
    <row r="3034" spans="1:20" customFormat="1" ht="15" x14ac:dyDescent="0.25">
      <c r="A3034" t="s">
        <v>35</v>
      </c>
      <c r="B3034" t="s">
        <v>61</v>
      </c>
      <c r="C3034" t="str">
        <f>"A0184712"</f>
        <v>A0184712</v>
      </c>
      <c r="D3034" t="s">
        <v>12676</v>
      </c>
      <c r="E3034" t="s">
        <v>12677</v>
      </c>
      <c r="F3034" t="s">
        <v>7645</v>
      </c>
      <c r="G3034" t="s">
        <v>846</v>
      </c>
      <c r="H3034" t="s">
        <v>12678</v>
      </c>
      <c r="I3034" t="s">
        <v>30</v>
      </c>
      <c r="J3034" t="s">
        <v>41</v>
      </c>
      <c r="K3034" t="s">
        <v>59</v>
      </c>
      <c r="Q3034">
        <v>0</v>
      </c>
      <c r="R3034">
        <v>0</v>
      </c>
      <c r="S3034">
        <v>0</v>
      </c>
      <c r="T3034" t="s">
        <v>192</v>
      </c>
    </row>
    <row r="3035" spans="1:20" customFormat="1" ht="15" x14ac:dyDescent="0.25">
      <c r="A3035" t="s">
        <v>35</v>
      </c>
      <c r="B3035" t="s">
        <v>61</v>
      </c>
      <c r="C3035" t="str">
        <f>"A0127541"</f>
        <v>A0127541</v>
      </c>
      <c r="D3035" t="s">
        <v>12679</v>
      </c>
      <c r="E3035" t="s">
        <v>12680</v>
      </c>
      <c r="F3035" t="s">
        <v>4082</v>
      </c>
      <c r="G3035" t="s">
        <v>123</v>
      </c>
      <c r="H3035">
        <v>21207</v>
      </c>
      <c r="I3035" t="s">
        <v>30</v>
      </c>
      <c r="J3035" t="s">
        <v>41</v>
      </c>
      <c r="K3035" t="s">
        <v>229</v>
      </c>
      <c r="Q3035">
        <v>0</v>
      </c>
      <c r="R3035">
        <v>125</v>
      </c>
      <c r="S3035">
        <v>125</v>
      </c>
      <c r="T3035" t="s">
        <v>12681</v>
      </c>
    </row>
    <row r="3036" spans="1:20" customFormat="1" ht="15" x14ac:dyDescent="0.25">
      <c r="A3036" t="s">
        <v>35</v>
      </c>
      <c r="B3036" t="s">
        <v>61</v>
      </c>
      <c r="C3036" t="str">
        <f>"A0117836"</f>
        <v>A0117836</v>
      </c>
      <c r="D3036" t="s">
        <v>12682</v>
      </c>
      <c r="E3036" t="s">
        <v>12683</v>
      </c>
      <c r="F3036" t="s">
        <v>7276</v>
      </c>
      <c r="G3036" t="s">
        <v>110</v>
      </c>
      <c r="H3036">
        <v>90701</v>
      </c>
      <c r="I3036" t="s">
        <v>30</v>
      </c>
      <c r="J3036" t="s">
        <v>41</v>
      </c>
      <c r="K3036" t="s">
        <v>229</v>
      </c>
      <c r="Q3036">
        <v>0</v>
      </c>
      <c r="R3036">
        <v>97</v>
      </c>
      <c r="S3036">
        <v>97</v>
      </c>
      <c r="T3036" t="s">
        <v>12684</v>
      </c>
    </row>
    <row r="3037" spans="1:20" customFormat="1" ht="15" x14ac:dyDescent="0.25">
      <c r="A3037" t="s">
        <v>35</v>
      </c>
      <c r="B3037" t="s">
        <v>61</v>
      </c>
      <c r="C3037" t="str">
        <f>"A0181279"</f>
        <v>A0181279</v>
      </c>
      <c r="D3037" t="s">
        <v>12685</v>
      </c>
      <c r="E3037" t="s">
        <v>12686</v>
      </c>
      <c r="F3037" t="s">
        <v>3285</v>
      </c>
      <c r="G3037" t="s">
        <v>58</v>
      </c>
      <c r="H3037" t="s">
        <v>12687</v>
      </c>
      <c r="I3037" t="s">
        <v>30</v>
      </c>
      <c r="J3037" t="s">
        <v>41</v>
      </c>
      <c r="K3037" t="s">
        <v>9956</v>
      </c>
      <c r="Q3037">
        <v>0</v>
      </c>
      <c r="R3037">
        <v>0</v>
      </c>
      <c r="S3037">
        <v>0</v>
      </c>
      <c r="T3037" t="s">
        <v>12688</v>
      </c>
    </row>
    <row r="3038" spans="1:20" customFormat="1" ht="15" x14ac:dyDescent="0.25">
      <c r="A3038" t="s">
        <v>24</v>
      </c>
      <c r="B3038" t="s">
        <v>193</v>
      </c>
      <c r="C3038" t="str">
        <f>"A0085886"</f>
        <v>A0085886</v>
      </c>
      <c r="D3038" t="s">
        <v>12689</v>
      </c>
      <c r="E3038" t="s">
        <v>12690</v>
      </c>
      <c r="F3038" t="s">
        <v>12691</v>
      </c>
      <c r="G3038" t="s">
        <v>65</v>
      </c>
      <c r="H3038">
        <v>44145</v>
      </c>
      <c r="I3038" t="s">
        <v>30</v>
      </c>
      <c r="J3038" t="s">
        <v>178</v>
      </c>
      <c r="K3038" t="s">
        <v>6667</v>
      </c>
      <c r="N3038" t="s">
        <v>12692</v>
      </c>
      <c r="Q3038">
        <v>0</v>
      </c>
      <c r="R3038">
        <v>0</v>
      </c>
      <c r="S3038">
        <v>0</v>
      </c>
      <c r="T3038" t="s">
        <v>12693</v>
      </c>
    </row>
    <row r="3039" spans="1:20" customFormat="1" ht="15" x14ac:dyDescent="0.25">
      <c r="A3039" t="s">
        <v>24</v>
      </c>
      <c r="B3039" t="s">
        <v>2387</v>
      </c>
      <c r="C3039" t="str">
        <f>"A0062570"</f>
        <v>A0062570</v>
      </c>
      <c r="D3039" t="s">
        <v>12694</v>
      </c>
      <c r="E3039" t="s">
        <v>12695</v>
      </c>
      <c r="F3039" t="s">
        <v>6593</v>
      </c>
      <c r="G3039" t="s">
        <v>2450</v>
      </c>
      <c r="H3039">
        <v>4101</v>
      </c>
      <c r="I3039" t="s">
        <v>30</v>
      </c>
      <c r="J3039" t="s">
        <v>31</v>
      </c>
      <c r="K3039" t="s">
        <v>163</v>
      </c>
      <c r="N3039" t="s">
        <v>12696</v>
      </c>
      <c r="Q3039">
        <v>0</v>
      </c>
      <c r="R3039">
        <v>97</v>
      </c>
      <c r="S3039">
        <v>0</v>
      </c>
      <c r="T3039" t="s">
        <v>12697</v>
      </c>
    </row>
    <row r="3040" spans="1:20" customFormat="1" ht="15" x14ac:dyDescent="0.25">
      <c r="A3040" t="s">
        <v>35</v>
      </c>
      <c r="B3040" t="s">
        <v>935</v>
      </c>
      <c r="C3040" t="str">
        <f>"A0123009"</f>
        <v>A0123009</v>
      </c>
      <c r="D3040" t="s">
        <v>12698</v>
      </c>
      <c r="E3040" t="s">
        <v>12699</v>
      </c>
      <c r="F3040" t="s">
        <v>436</v>
      </c>
      <c r="G3040" t="s">
        <v>433</v>
      </c>
      <c r="H3040">
        <v>83704</v>
      </c>
      <c r="I3040" t="s">
        <v>30</v>
      </c>
      <c r="J3040" t="s">
        <v>41</v>
      </c>
      <c r="K3040" t="s">
        <v>229</v>
      </c>
      <c r="Q3040">
        <v>0</v>
      </c>
      <c r="R3040">
        <v>99</v>
      </c>
      <c r="S3040">
        <v>99</v>
      </c>
      <c r="T3040" t="s">
        <v>72</v>
      </c>
    </row>
    <row r="3041" spans="1:25" customFormat="1" ht="15" x14ac:dyDescent="0.25">
      <c r="A3041" t="s">
        <v>24</v>
      </c>
      <c r="B3041" t="s">
        <v>3628</v>
      </c>
      <c r="C3041" t="str">
        <f>"685YE"</f>
        <v>685YE</v>
      </c>
      <c r="D3041" t="s">
        <v>12700</v>
      </c>
      <c r="E3041" t="s">
        <v>12701</v>
      </c>
      <c r="F3041" t="s">
        <v>8542</v>
      </c>
      <c r="G3041" t="s">
        <v>1363</v>
      </c>
      <c r="H3041">
        <v>3103</v>
      </c>
      <c r="I3041" t="s">
        <v>30</v>
      </c>
      <c r="J3041" t="s">
        <v>31</v>
      </c>
      <c r="K3041" t="s">
        <v>222</v>
      </c>
      <c r="N3041" t="s">
        <v>12702</v>
      </c>
      <c r="Q3041">
        <v>0</v>
      </c>
      <c r="R3041">
        <v>77</v>
      </c>
      <c r="S3041">
        <v>0</v>
      </c>
      <c r="T3041" t="s">
        <v>12703</v>
      </c>
    </row>
    <row r="3042" spans="1:25" customFormat="1" ht="15" x14ac:dyDescent="0.25">
      <c r="A3042" t="s">
        <v>24</v>
      </c>
      <c r="B3042" t="s">
        <v>3628</v>
      </c>
      <c r="C3042" t="str">
        <f>"A0086128"</f>
        <v>A0086128</v>
      </c>
      <c r="D3042" t="s">
        <v>12704</v>
      </c>
      <c r="E3042" t="s">
        <v>12705</v>
      </c>
      <c r="F3042" t="s">
        <v>3009</v>
      </c>
      <c r="G3042" t="s">
        <v>110</v>
      </c>
      <c r="H3042">
        <v>93536</v>
      </c>
      <c r="I3042" t="s">
        <v>30</v>
      </c>
      <c r="J3042" t="s">
        <v>31</v>
      </c>
      <c r="K3042" t="s">
        <v>198</v>
      </c>
      <c r="N3042" t="s">
        <v>12706</v>
      </c>
      <c r="Q3042">
        <v>0</v>
      </c>
      <c r="R3042">
        <v>85</v>
      </c>
      <c r="S3042">
        <v>0</v>
      </c>
      <c r="T3042" t="s">
        <v>12707</v>
      </c>
    </row>
    <row r="3043" spans="1:25" customFormat="1" ht="15" x14ac:dyDescent="0.25">
      <c r="A3043" t="s">
        <v>24</v>
      </c>
      <c r="B3043" t="s">
        <v>3628</v>
      </c>
      <c r="C3043" t="str">
        <f>"A0089603"</f>
        <v>A0089603</v>
      </c>
      <c r="D3043" t="s">
        <v>12708</v>
      </c>
      <c r="E3043" t="s">
        <v>12709</v>
      </c>
      <c r="F3043" t="s">
        <v>12710</v>
      </c>
      <c r="G3043" t="s">
        <v>52</v>
      </c>
      <c r="H3043">
        <v>76205</v>
      </c>
      <c r="I3043" t="s">
        <v>30</v>
      </c>
      <c r="J3043" t="s">
        <v>31</v>
      </c>
      <c r="K3043" t="s">
        <v>198</v>
      </c>
      <c r="N3043" t="s">
        <v>12711</v>
      </c>
      <c r="Q3043">
        <v>0</v>
      </c>
      <c r="R3043">
        <v>85</v>
      </c>
      <c r="S3043">
        <v>0</v>
      </c>
      <c r="T3043" t="s">
        <v>12712</v>
      </c>
    </row>
    <row r="3044" spans="1:25" customFormat="1" ht="15" x14ac:dyDescent="0.25">
      <c r="A3044" t="s">
        <v>35</v>
      </c>
      <c r="B3044" t="s">
        <v>61</v>
      </c>
      <c r="C3044" t="str">
        <f>"A0126355"</f>
        <v>A0126355</v>
      </c>
      <c r="D3044" t="s">
        <v>12713</v>
      </c>
      <c r="E3044" t="s">
        <v>12714</v>
      </c>
      <c r="F3044" t="s">
        <v>4645</v>
      </c>
      <c r="G3044" t="s">
        <v>81</v>
      </c>
      <c r="H3044">
        <v>32208</v>
      </c>
      <c r="I3044" t="s">
        <v>30</v>
      </c>
      <c r="J3044" t="s">
        <v>41</v>
      </c>
      <c r="K3044" t="s">
        <v>229</v>
      </c>
      <c r="Q3044">
        <v>0</v>
      </c>
      <c r="R3044">
        <v>60</v>
      </c>
      <c r="S3044">
        <v>81</v>
      </c>
      <c r="T3044" t="s">
        <v>12715</v>
      </c>
    </row>
    <row r="3045" spans="1:25" customFormat="1" ht="15" x14ac:dyDescent="0.25">
      <c r="A3045" t="s">
        <v>35</v>
      </c>
      <c r="B3045" t="s">
        <v>61</v>
      </c>
      <c r="C3045" t="str">
        <f>"A0126358"</f>
        <v>A0126358</v>
      </c>
      <c r="D3045" t="s">
        <v>12716</v>
      </c>
      <c r="E3045" t="s">
        <v>12717</v>
      </c>
      <c r="F3045" t="s">
        <v>12718</v>
      </c>
      <c r="G3045" t="s">
        <v>81</v>
      </c>
      <c r="H3045">
        <v>32112</v>
      </c>
      <c r="I3045" t="s">
        <v>30</v>
      </c>
      <c r="J3045" t="s">
        <v>41</v>
      </c>
      <c r="K3045" t="s">
        <v>229</v>
      </c>
      <c r="Q3045">
        <v>0</v>
      </c>
      <c r="R3045">
        <v>92</v>
      </c>
      <c r="S3045">
        <v>92</v>
      </c>
      <c r="T3045" t="s">
        <v>12719</v>
      </c>
    </row>
    <row r="3046" spans="1:25" customFormat="1" ht="15" x14ac:dyDescent="0.25">
      <c r="A3046" t="s">
        <v>35</v>
      </c>
      <c r="B3046" t="s">
        <v>12720</v>
      </c>
      <c r="C3046" t="str">
        <f>"A0122812"</f>
        <v>A0122812</v>
      </c>
      <c r="D3046" t="s">
        <v>12721</v>
      </c>
      <c r="E3046" t="s">
        <v>12722</v>
      </c>
      <c r="F3046" t="s">
        <v>12723</v>
      </c>
      <c r="G3046" t="s">
        <v>76</v>
      </c>
      <c r="H3046">
        <v>98045</v>
      </c>
      <c r="I3046" t="s">
        <v>30</v>
      </c>
      <c r="J3046" t="s">
        <v>41</v>
      </c>
      <c r="K3046" t="s">
        <v>229</v>
      </c>
      <c r="Q3046">
        <v>0</v>
      </c>
      <c r="R3046">
        <v>64</v>
      </c>
      <c r="S3046">
        <v>64</v>
      </c>
      <c r="T3046" t="s">
        <v>12724</v>
      </c>
    </row>
    <row r="3047" spans="1:25" customFormat="1" ht="15" x14ac:dyDescent="0.25">
      <c r="A3047" t="s">
        <v>35</v>
      </c>
      <c r="B3047" t="s">
        <v>225</v>
      </c>
      <c r="C3047" t="str">
        <f>"A0150579"</f>
        <v>A0150579</v>
      </c>
      <c r="D3047" t="s">
        <v>12725</v>
      </c>
      <c r="E3047" t="s">
        <v>12726</v>
      </c>
      <c r="F3047" t="s">
        <v>4354</v>
      </c>
      <c r="G3047" t="s">
        <v>103</v>
      </c>
      <c r="H3047">
        <v>16511</v>
      </c>
      <c r="I3047" t="s">
        <v>30</v>
      </c>
      <c r="J3047" t="s">
        <v>41</v>
      </c>
      <c r="K3047" t="s">
        <v>229</v>
      </c>
      <c r="Q3047">
        <v>0</v>
      </c>
      <c r="R3047">
        <v>120</v>
      </c>
      <c r="S3047">
        <v>120</v>
      </c>
      <c r="T3047" t="s">
        <v>12727</v>
      </c>
    </row>
    <row r="3048" spans="1:25" x14ac:dyDescent="0.25">
      <c r="A3048" s="5" t="s">
        <v>24</v>
      </c>
      <c r="B3048" s="5" t="s">
        <v>1849</v>
      </c>
      <c r="C3048" s="5" t="str">
        <f>"A0059670"</f>
        <v>A0059670</v>
      </c>
      <c r="D3048" s="5" t="s">
        <v>58129</v>
      </c>
      <c r="E3048" s="5" t="s">
        <v>58130</v>
      </c>
      <c r="F3048" s="5" t="s">
        <v>7738</v>
      </c>
      <c r="G3048" s="5" t="s">
        <v>81</v>
      </c>
      <c r="H3048" s="5">
        <v>33767</v>
      </c>
      <c r="I3048" s="5" t="s">
        <v>30</v>
      </c>
      <c r="J3048" s="5" t="s">
        <v>162</v>
      </c>
      <c r="K3048" s="5" t="s">
        <v>1490</v>
      </c>
      <c r="L3048" s="5"/>
      <c r="M3048" s="5"/>
      <c r="N3048" s="5" t="s">
        <v>58131</v>
      </c>
      <c r="O3048" s="5" t="s">
        <v>58132</v>
      </c>
      <c r="P3048" s="5"/>
      <c r="Q3048" s="5">
        <v>0</v>
      </c>
      <c r="R3048" s="5">
        <v>220</v>
      </c>
      <c r="S3048" s="5">
        <v>0</v>
      </c>
      <c r="T3048" s="5" t="s">
        <v>58133</v>
      </c>
      <c r="U3048" s="5"/>
      <c r="V3048" s="5"/>
      <c r="W3048" s="5"/>
      <c r="X3048" s="5"/>
      <c r="Y3048" s="5"/>
    </row>
    <row r="3049" spans="1:25" customFormat="1" ht="15" x14ac:dyDescent="0.25">
      <c r="A3049" t="s">
        <v>24</v>
      </c>
      <c r="B3049" t="s">
        <v>1849</v>
      </c>
      <c r="C3049" t="str">
        <f>"337M9"</f>
        <v>337M9</v>
      </c>
      <c r="D3049" t="s">
        <v>58134</v>
      </c>
      <c r="E3049" t="s">
        <v>58135</v>
      </c>
      <c r="F3049" t="s">
        <v>6883</v>
      </c>
      <c r="G3049" t="s">
        <v>65</v>
      </c>
      <c r="H3049">
        <v>44114</v>
      </c>
      <c r="I3049" t="s">
        <v>30</v>
      </c>
      <c r="J3049" t="s">
        <v>162</v>
      </c>
      <c r="K3049" t="s">
        <v>1490</v>
      </c>
      <c r="N3049" t="s">
        <v>58136</v>
      </c>
      <c r="O3049" t="s">
        <v>58137</v>
      </c>
      <c r="Q3049">
        <v>0</v>
      </c>
      <c r="R3049">
        <v>400</v>
      </c>
      <c r="S3049">
        <v>0</v>
      </c>
      <c r="T3049" t="s">
        <v>58138</v>
      </c>
    </row>
    <row r="3050" spans="1:25" customFormat="1" ht="15" x14ac:dyDescent="0.25">
      <c r="A3050" t="s">
        <v>35</v>
      </c>
      <c r="B3050" t="s">
        <v>225</v>
      </c>
      <c r="C3050" t="str">
        <f>"A0126648"</f>
        <v>A0126648</v>
      </c>
      <c r="D3050" t="s">
        <v>12737</v>
      </c>
      <c r="E3050" t="s">
        <v>12738</v>
      </c>
      <c r="F3050" t="s">
        <v>12739</v>
      </c>
      <c r="G3050" t="s">
        <v>103</v>
      </c>
      <c r="H3050">
        <v>16201</v>
      </c>
      <c r="I3050" t="s">
        <v>30</v>
      </c>
      <c r="J3050" t="s">
        <v>41</v>
      </c>
      <c r="K3050" t="s">
        <v>229</v>
      </c>
      <c r="Q3050">
        <v>0</v>
      </c>
      <c r="R3050">
        <v>115</v>
      </c>
      <c r="S3050">
        <v>115</v>
      </c>
      <c r="T3050" t="s">
        <v>12740</v>
      </c>
    </row>
    <row r="3051" spans="1:25" customFormat="1" ht="15" x14ac:dyDescent="0.25">
      <c r="A3051" t="s">
        <v>24</v>
      </c>
      <c r="B3051" t="s">
        <v>12741</v>
      </c>
      <c r="C3051" t="str">
        <f>"A0052282"</f>
        <v>A0052282</v>
      </c>
      <c r="D3051" t="s">
        <v>12742</v>
      </c>
      <c r="E3051" t="s">
        <v>12743</v>
      </c>
      <c r="F3051" t="s">
        <v>6631</v>
      </c>
      <c r="G3051" t="s">
        <v>99</v>
      </c>
      <c r="H3051">
        <v>14075</v>
      </c>
      <c r="I3051" t="s">
        <v>30</v>
      </c>
      <c r="J3051" t="s">
        <v>178</v>
      </c>
      <c r="K3051" t="s">
        <v>179</v>
      </c>
      <c r="N3051" t="s">
        <v>12744</v>
      </c>
      <c r="Q3051">
        <v>1</v>
      </c>
      <c r="R3051">
        <v>0</v>
      </c>
      <c r="S3051">
        <v>0</v>
      </c>
      <c r="T3051" t="s">
        <v>12745</v>
      </c>
    </row>
    <row r="3052" spans="1:25" customFormat="1" ht="15" x14ac:dyDescent="0.25">
      <c r="A3052" t="s">
        <v>35</v>
      </c>
      <c r="B3052" t="s">
        <v>36</v>
      </c>
      <c r="C3052" t="str">
        <f>"A0187908"</f>
        <v>A0187908</v>
      </c>
      <c r="D3052" t="s">
        <v>12746</v>
      </c>
      <c r="E3052" t="s">
        <v>12747</v>
      </c>
      <c r="F3052" t="s">
        <v>12748</v>
      </c>
      <c r="G3052" t="s">
        <v>144</v>
      </c>
      <c r="H3052">
        <v>58736</v>
      </c>
      <c r="I3052" t="s">
        <v>30</v>
      </c>
      <c r="J3052" t="s">
        <v>41</v>
      </c>
      <c r="K3052" t="s">
        <v>42</v>
      </c>
      <c r="Q3052">
        <v>0</v>
      </c>
      <c r="R3052">
        <v>0</v>
      </c>
      <c r="S3052">
        <v>0</v>
      </c>
      <c r="T3052" t="s">
        <v>12749</v>
      </c>
    </row>
    <row r="3053" spans="1:25" customFormat="1" ht="15" x14ac:dyDescent="0.25">
      <c r="A3053" t="s">
        <v>35</v>
      </c>
      <c r="B3053" t="s">
        <v>36</v>
      </c>
      <c r="C3053" t="str">
        <f>"A0187907"</f>
        <v>A0187907</v>
      </c>
      <c r="D3053" t="s">
        <v>12750</v>
      </c>
      <c r="E3053" t="s">
        <v>12751</v>
      </c>
      <c r="F3053" t="s">
        <v>1394</v>
      </c>
      <c r="G3053" t="s">
        <v>161</v>
      </c>
      <c r="H3053">
        <v>55109</v>
      </c>
      <c r="I3053" t="s">
        <v>30</v>
      </c>
      <c r="J3053" t="s">
        <v>41</v>
      </c>
      <c r="K3053" t="s">
        <v>42</v>
      </c>
      <c r="Q3053">
        <v>0</v>
      </c>
      <c r="R3053">
        <v>0</v>
      </c>
      <c r="S3053">
        <v>0</v>
      </c>
      <c r="T3053" t="s">
        <v>12752</v>
      </c>
    </row>
    <row r="3054" spans="1:25" customFormat="1" ht="15" x14ac:dyDescent="0.25">
      <c r="A3054" t="s">
        <v>35</v>
      </c>
      <c r="B3054" t="s">
        <v>61</v>
      </c>
      <c r="C3054" t="str">
        <f>"A0187906"</f>
        <v>A0187906</v>
      </c>
      <c r="D3054" t="s">
        <v>12753</v>
      </c>
      <c r="E3054" t="s">
        <v>12754</v>
      </c>
      <c r="F3054" t="s">
        <v>4032</v>
      </c>
      <c r="G3054" t="s">
        <v>110</v>
      </c>
      <c r="H3054">
        <v>93103</v>
      </c>
      <c r="I3054" t="s">
        <v>30</v>
      </c>
      <c r="J3054" t="s">
        <v>41</v>
      </c>
      <c r="K3054" t="s">
        <v>2463</v>
      </c>
      <c r="Q3054">
        <v>0</v>
      </c>
      <c r="R3054">
        <v>0</v>
      </c>
      <c r="S3054">
        <v>18</v>
      </c>
      <c r="T3054" t="s">
        <v>12755</v>
      </c>
    </row>
    <row r="3055" spans="1:25" customFormat="1" ht="15" x14ac:dyDescent="0.25">
      <c r="A3055" t="s">
        <v>35</v>
      </c>
      <c r="B3055" t="s">
        <v>9198</v>
      </c>
      <c r="C3055" t="str">
        <f>"A0187905"</f>
        <v>A0187905</v>
      </c>
      <c r="D3055" t="s">
        <v>12756</v>
      </c>
      <c r="E3055" t="s">
        <v>12757</v>
      </c>
      <c r="F3055" t="s">
        <v>4591</v>
      </c>
      <c r="G3055" t="s">
        <v>289</v>
      </c>
      <c r="H3055">
        <v>62959</v>
      </c>
      <c r="I3055" t="s">
        <v>30</v>
      </c>
      <c r="J3055" t="s">
        <v>41</v>
      </c>
      <c r="K3055" t="s">
        <v>290</v>
      </c>
      <c r="Q3055">
        <v>0</v>
      </c>
      <c r="R3055">
        <v>0</v>
      </c>
      <c r="S3055">
        <v>0</v>
      </c>
      <c r="T3055" t="s">
        <v>12758</v>
      </c>
    </row>
    <row r="3056" spans="1:25" customFormat="1" ht="15" x14ac:dyDescent="0.25">
      <c r="A3056" t="s">
        <v>35</v>
      </c>
      <c r="B3056" t="s">
        <v>935</v>
      </c>
      <c r="C3056" t="str">
        <f>"A0187904"</f>
        <v>A0187904</v>
      </c>
      <c r="D3056" t="s">
        <v>12759</v>
      </c>
      <c r="E3056" t="s">
        <v>12760</v>
      </c>
      <c r="F3056" t="s">
        <v>7272</v>
      </c>
      <c r="G3056" t="s">
        <v>1587</v>
      </c>
      <c r="H3056">
        <v>88011</v>
      </c>
      <c r="I3056" t="s">
        <v>30</v>
      </c>
      <c r="J3056" t="s">
        <v>41</v>
      </c>
      <c r="K3056" t="s">
        <v>229</v>
      </c>
      <c r="Q3056">
        <v>0</v>
      </c>
      <c r="R3056">
        <v>0</v>
      </c>
      <c r="S3056">
        <v>50</v>
      </c>
      <c r="T3056" t="s">
        <v>12761</v>
      </c>
    </row>
    <row r="3057" spans="1:25" customFormat="1" ht="15" x14ac:dyDescent="0.25">
      <c r="A3057" t="s">
        <v>24</v>
      </c>
      <c r="B3057" t="s">
        <v>1849</v>
      </c>
      <c r="C3057" t="str">
        <f>"A0089900"</f>
        <v>A0089900</v>
      </c>
      <c r="D3057" t="s">
        <v>58139</v>
      </c>
      <c r="E3057" t="s">
        <v>58140</v>
      </c>
      <c r="F3057" t="s">
        <v>58141</v>
      </c>
      <c r="G3057" t="s">
        <v>65</v>
      </c>
      <c r="H3057">
        <v>44122</v>
      </c>
      <c r="I3057" t="s">
        <v>30</v>
      </c>
      <c r="J3057" t="s">
        <v>162</v>
      </c>
      <c r="K3057" t="s">
        <v>1490</v>
      </c>
      <c r="N3057" t="s">
        <v>58142</v>
      </c>
      <c r="O3057" t="s">
        <v>58143</v>
      </c>
      <c r="Q3057">
        <v>0</v>
      </c>
      <c r="R3057">
        <v>295</v>
      </c>
      <c r="S3057">
        <v>0</v>
      </c>
      <c r="T3057" t="s">
        <v>58144</v>
      </c>
    </row>
    <row r="3058" spans="1:25" customFormat="1" ht="15" x14ac:dyDescent="0.25">
      <c r="A3058" t="s">
        <v>24</v>
      </c>
      <c r="B3058" t="s">
        <v>799</v>
      </c>
      <c r="C3058" t="str">
        <f>"A0187455"</f>
        <v>A0187455</v>
      </c>
      <c r="D3058" t="s">
        <v>12766</v>
      </c>
      <c r="E3058" t="s">
        <v>12767</v>
      </c>
      <c r="F3058" t="s">
        <v>5369</v>
      </c>
      <c r="G3058" t="s">
        <v>58</v>
      </c>
      <c r="H3058">
        <v>29401</v>
      </c>
      <c r="I3058" t="s">
        <v>30</v>
      </c>
      <c r="J3058" t="s">
        <v>31</v>
      </c>
      <c r="K3058" t="s">
        <v>163</v>
      </c>
      <c r="N3058" t="s">
        <v>12768</v>
      </c>
      <c r="Q3058">
        <v>0</v>
      </c>
      <c r="R3058">
        <v>50</v>
      </c>
      <c r="S3058">
        <v>0</v>
      </c>
      <c r="T3058" t="s">
        <v>12769</v>
      </c>
    </row>
    <row r="3059" spans="1:25" customFormat="1" ht="15" x14ac:dyDescent="0.25">
      <c r="A3059" t="s">
        <v>24</v>
      </c>
      <c r="B3059" t="s">
        <v>1317</v>
      </c>
      <c r="C3059" t="str">
        <f>"A0186512"</f>
        <v>A0186512</v>
      </c>
      <c r="D3059" t="s">
        <v>12770</v>
      </c>
      <c r="E3059" t="s">
        <v>12771</v>
      </c>
      <c r="F3059" t="s">
        <v>12772</v>
      </c>
      <c r="G3059" t="s">
        <v>190</v>
      </c>
      <c r="H3059">
        <v>80127</v>
      </c>
      <c r="I3059" t="s">
        <v>30</v>
      </c>
      <c r="J3059" t="s">
        <v>31</v>
      </c>
      <c r="K3059" t="s">
        <v>32</v>
      </c>
      <c r="N3059" t="s">
        <v>12773</v>
      </c>
      <c r="Q3059">
        <v>0</v>
      </c>
      <c r="R3059">
        <v>108</v>
      </c>
      <c r="S3059">
        <v>0</v>
      </c>
      <c r="T3059" t="s">
        <v>12774</v>
      </c>
    </row>
    <row r="3060" spans="1:25" customFormat="1" ht="15" x14ac:dyDescent="0.25">
      <c r="A3060" t="s">
        <v>24</v>
      </c>
      <c r="B3060" t="s">
        <v>193</v>
      </c>
      <c r="C3060" t="str">
        <f>"A0087399"</f>
        <v>A0087399</v>
      </c>
      <c r="D3060" t="s">
        <v>12775</v>
      </c>
      <c r="E3060" t="s">
        <v>12776</v>
      </c>
      <c r="F3060" t="s">
        <v>12777</v>
      </c>
      <c r="G3060" t="s">
        <v>110</v>
      </c>
      <c r="H3060">
        <v>93618</v>
      </c>
      <c r="I3060" t="s">
        <v>30</v>
      </c>
      <c r="J3060" t="s">
        <v>31</v>
      </c>
      <c r="K3060" t="s">
        <v>282</v>
      </c>
      <c r="N3060" t="s">
        <v>12778</v>
      </c>
      <c r="O3060" t="s">
        <v>12779</v>
      </c>
      <c r="Q3060">
        <v>0</v>
      </c>
      <c r="R3060">
        <v>70</v>
      </c>
      <c r="S3060">
        <v>0</v>
      </c>
      <c r="T3060" t="s">
        <v>12780</v>
      </c>
    </row>
    <row r="3061" spans="1:25" customFormat="1" ht="15" x14ac:dyDescent="0.25">
      <c r="A3061" t="s">
        <v>24</v>
      </c>
      <c r="B3061" t="s">
        <v>1317</v>
      </c>
      <c r="C3061" t="str">
        <f>"A0186747"</f>
        <v>A0186747</v>
      </c>
      <c r="D3061" t="s">
        <v>12781</v>
      </c>
      <c r="E3061" t="s">
        <v>12782</v>
      </c>
      <c r="F3061" t="s">
        <v>5610</v>
      </c>
      <c r="G3061" t="s">
        <v>117</v>
      </c>
      <c r="H3061">
        <v>48162</v>
      </c>
      <c r="I3061" t="s">
        <v>30</v>
      </c>
      <c r="J3061" t="s">
        <v>31</v>
      </c>
      <c r="K3061" t="s">
        <v>222</v>
      </c>
      <c r="N3061" t="s">
        <v>5611</v>
      </c>
      <c r="Q3061">
        <v>0</v>
      </c>
      <c r="R3061">
        <v>90</v>
      </c>
      <c r="S3061">
        <v>0</v>
      </c>
      <c r="T3061" t="s">
        <v>192</v>
      </c>
    </row>
    <row r="3062" spans="1:25" hidden="1" x14ac:dyDescent="0.25">
      <c r="A3062" s="3" t="s">
        <v>24</v>
      </c>
      <c r="B3062" s="3" t="s">
        <v>675</v>
      </c>
      <c r="C3062" s="3" t="str">
        <f>"A0186547"</f>
        <v>A0186547</v>
      </c>
      <c r="D3062" s="3" t="s">
        <v>12783</v>
      </c>
      <c r="E3062" s="3" t="s">
        <v>12784</v>
      </c>
      <c r="F3062" s="3" t="s">
        <v>12785</v>
      </c>
      <c r="G3062" s="3" t="s">
        <v>12786</v>
      </c>
      <c r="H3062" s="3" t="s">
        <v>12787</v>
      </c>
      <c r="I3062" s="3" t="s">
        <v>12788</v>
      </c>
      <c r="J3062" s="3" t="s">
        <v>206</v>
      </c>
      <c r="K3062" s="3" t="s">
        <v>680</v>
      </c>
      <c r="Q3062" s="3">
        <v>0</v>
      </c>
      <c r="R3062" s="3">
        <v>155</v>
      </c>
      <c r="S3062" s="3">
        <v>0</v>
      </c>
      <c r="T3062" s="3" t="s">
        <v>12789</v>
      </c>
    </row>
    <row r="3063" spans="1:25" x14ac:dyDescent="0.25">
      <c r="A3063" s="5" t="s">
        <v>24</v>
      </c>
      <c r="B3063" s="5" t="s">
        <v>799</v>
      </c>
      <c r="C3063" s="5" t="str">
        <f>"61AT6"</f>
        <v>61AT6</v>
      </c>
      <c r="D3063" s="5" t="s">
        <v>58471</v>
      </c>
      <c r="E3063" s="5" t="s">
        <v>58472</v>
      </c>
      <c r="F3063" s="5" t="s">
        <v>23599</v>
      </c>
      <c r="G3063" s="5" t="s">
        <v>99</v>
      </c>
      <c r="H3063" s="5">
        <v>13346</v>
      </c>
      <c r="I3063" s="5" t="s">
        <v>30</v>
      </c>
      <c r="J3063" s="5" t="s">
        <v>162</v>
      </c>
      <c r="K3063" s="5" t="s">
        <v>163</v>
      </c>
      <c r="L3063" s="5"/>
      <c r="M3063" s="5"/>
      <c r="N3063" s="5" t="s">
        <v>58473</v>
      </c>
      <c r="O3063" s="5" t="s">
        <v>58474</v>
      </c>
      <c r="P3063" s="5"/>
      <c r="Q3063" s="5">
        <v>0</v>
      </c>
      <c r="R3063" s="5">
        <v>40</v>
      </c>
      <c r="S3063" s="5">
        <v>0</v>
      </c>
      <c r="T3063" s="5" t="s">
        <v>58475</v>
      </c>
      <c r="U3063" s="5"/>
      <c r="V3063" s="5"/>
      <c r="W3063" s="5"/>
      <c r="X3063" s="5"/>
      <c r="Y3063" s="5"/>
    </row>
    <row r="3064" spans="1:25" customFormat="1" ht="15" x14ac:dyDescent="0.25">
      <c r="A3064" t="s">
        <v>24</v>
      </c>
      <c r="B3064" t="s">
        <v>5104</v>
      </c>
      <c r="C3064" t="str">
        <f>"A0180627"</f>
        <v>A0180627</v>
      </c>
      <c r="D3064" t="s">
        <v>12794</v>
      </c>
      <c r="E3064" t="s">
        <v>12795</v>
      </c>
      <c r="F3064" t="s">
        <v>3880</v>
      </c>
      <c r="G3064" t="s">
        <v>99</v>
      </c>
      <c r="H3064">
        <v>10001</v>
      </c>
      <c r="I3064" t="s">
        <v>30</v>
      </c>
      <c r="J3064" t="s">
        <v>31</v>
      </c>
      <c r="K3064" t="s">
        <v>12796</v>
      </c>
      <c r="N3064" t="s">
        <v>12797</v>
      </c>
      <c r="O3064" t="s">
        <v>12798</v>
      </c>
      <c r="Q3064">
        <v>0</v>
      </c>
      <c r="R3064">
        <v>374</v>
      </c>
      <c r="S3064">
        <v>0</v>
      </c>
      <c r="T3064" t="s">
        <v>12799</v>
      </c>
    </row>
    <row r="3065" spans="1:25" customFormat="1" ht="15" x14ac:dyDescent="0.25">
      <c r="A3065" t="s">
        <v>24</v>
      </c>
      <c r="B3065" t="s">
        <v>193</v>
      </c>
      <c r="C3065" t="str">
        <f>"A0088121"</f>
        <v>A0088121</v>
      </c>
      <c r="D3065" t="s">
        <v>12800</v>
      </c>
      <c r="E3065" t="s">
        <v>12801</v>
      </c>
      <c r="F3065" t="s">
        <v>7443</v>
      </c>
      <c r="G3065" t="s">
        <v>123</v>
      </c>
      <c r="H3065">
        <v>21201</v>
      </c>
      <c r="I3065" t="s">
        <v>30</v>
      </c>
      <c r="J3065" t="s">
        <v>31</v>
      </c>
      <c r="K3065" t="s">
        <v>261</v>
      </c>
      <c r="N3065" t="s">
        <v>12802</v>
      </c>
      <c r="Q3065">
        <v>0</v>
      </c>
      <c r="R3065">
        <v>95</v>
      </c>
      <c r="S3065">
        <v>0</v>
      </c>
      <c r="T3065" t="s">
        <v>12803</v>
      </c>
    </row>
    <row r="3066" spans="1:25" customFormat="1" ht="15" x14ac:dyDescent="0.25">
      <c r="A3066" t="s">
        <v>24</v>
      </c>
      <c r="B3066" t="s">
        <v>193</v>
      </c>
      <c r="C3066" t="str">
        <f>"A0093690"</f>
        <v>A0093690</v>
      </c>
      <c r="D3066" t="s">
        <v>12804</v>
      </c>
      <c r="E3066" t="s">
        <v>12805</v>
      </c>
      <c r="F3066" t="s">
        <v>12806</v>
      </c>
      <c r="G3066" t="s">
        <v>880</v>
      </c>
      <c r="H3066">
        <v>37127</v>
      </c>
      <c r="I3066" t="s">
        <v>30</v>
      </c>
      <c r="J3066" t="s">
        <v>31</v>
      </c>
      <c r="K3066" t="s">
        <v>2524</v>
      </c>
      <c r="N3066" t="s">
        <v>12807</v>
      </c>
      <c r="Q3066">
        <v>0</v>
      </c>
      <c r="R3066">
        <v>93</v>
      </c>
      <c r="S3066">
        <v>0</v>
      </c>
      <c r="T3066" t="s">
        <v>12808</v>
      </c>
    </row>
    <row r="3067" spans="1:25" customFormat="1" ht="15" x14ac:dyDescent="0.25">
      <c r="A3067" t="s">
        <v>24</v>
      </c>
      <c r="B3067" t="s">
        <v>1849</v>
      </c>
      <c r="C3067" t="str">
        <f>"34969"</f>
        <v>34969</v>
      </c>
      <c r="D3067" t="s">
        <v>58490</v>
      </c>
      <c r="E3067" t="s">
        <v>58491</v>
      </c>
      <c r="F3067" t="s">
        <v>1858</v>
      </c>
      <c r="G3067" t="s">
        <v>190</v>
      </c>
      <c r="H3067">
        <v>80918</v>
      </c>
      <c r="I3067" t="s">
        <v>30</v>
      </c>
      <c r="J3067" t="s">
        <v>162</v>
      </c>
      <c r="K3067" t="s">
        <v>1490</v>
      </c>
      <c r="N3067" t="s">
        <v>58492</v>
      </c>
      <c r="O3067" t="s">
        <v>58493</v>
      </c>
      <c r="Q3067">
        <v>0</v>
      </c>
      <c r="R3067">
        <v>311</v>
      </c>
      <c r="S3067">
        <v>0</v>
      </c>
      <c r="T3067" t="s">
        <v>58494</v>
      </c>
    </row>
    <row r="3068" spans="1:25" customFormat="1" ht="15" x14ac:dyDescent="0.25">
      <c r="A3068" t="s">
        <v>35</v>
      </c>
      <c r="B3068" t="s">
        <v>12814</v>
      </c>
      <c r="C3068" t="str">
        <f>"A0126146"</f>
        <v>A0126146</v>
      </c>
      <c r="D3068" t="s">
        <v>12815</v>
      </c>
      <c r="E3068" t="s">
        <v>12816</v>
      </c>
      <c r="F3068" t="s">
        <v>7734</v>
      </c>
      <c r="G3068" t="s">
        <v>197</v>
      </c>
      <c r="H3068">
        <v>85741</v>
      </c>
      <c r="I3068" t="s">
        <v>30</v>
      </c>
      <c r="J3068" t="s">
        <v>41</v>
      </c>
      <c r="K3068" t="s">
        <v>59</v>
      </c>
      <c r="Q3068">
        <v>0</v>
      </c>
      <c r="R3068">
        <v>78</v>
      </c>
      <c r="S3068">
        <v>78</v>
      </c>
      <c r="T3068" t="s">
        <v>12817</v>
      </c>
    </row>
    <row r="3069" spans="1:25" customFormat="1" ht="15" x14ac:dyDescent="0.25">
      <c r="A3069" t="s">
        <v>24</v>
      </c>
      <c r="B3069" t="s">
        <v>56277</v>
      </c>
      <c r="C3069" t="str">
        <f>"A0059811"</f>
        <v>A0059811</v>
      </c>
      <c r="D3069" t="s">
        <v>58508</v>
      </c>
      <c r="E3069" t="s">
        <v>58509</v>
      </c>
      <c r="F3069" t="s">
        <v>1525</v>
      </c>
      <c r="G3069" t="s">
        <v>65</v>
      </c>
      <c r="H3069">
        <v>43219</v>
      </c>
      <c r="I3069" t="s">
        <v>30</v>
      </c>
      <c r="J3069" t="s">
        <v>162</v>
      </c>
      <c r="K3069" t="s">
        <v>1490</v>
      </c>
      <c r="N3069" t="s">
        <v>58510</v>
      </c>
      <c r="O3069" t="s">
        <v>58511</v>
      </c>
      <c r="Q3069">
        <v>0</v>
      </c>
      <c r="R3069">
        <v>227</v>
      </c>
      <c r="S3069">
        <v>0</v>
      </c>
      <c r="T3069" t="s">
        <v>58512</v>
      </c>
    </row>
    <row r="3070" spans="1:25" customFormat="1" ht="15" x14ac:dyDescent="0.25">
      <c r="A3070" t="s">
        <v>24</v>
      </c>
      <c r="B3070" t="s">
        <v>6660</v>
      </c>
      <c r="C3070" t="str">
        <f>"A0187888"</f>
        <v>A0187888</v>
      </c>
      <c r="D3070" t="s">
        <v>12822</v>
      </c>
      <c r="E3070" t="s">
        <v>12823</v>
      </c>
      <c r="F3070" t="s">
        <v>12824</v>
      </c>
      <c r="G3070" t="s">
        <v>47</v>
      </c>
      <c r="H3070">
        <v>97756</v>
      </c>
      <c r="I3070" t="s">
        <v>30</v>
      </c>
      <c r="J3070" t="s">
        <v>31</v>
      </c>
      <c r="K3070" t="s">
        <v>163</v>
      </c>
      <c r="N3070" t="s">
        <v>12825</v>
      </c>
      <c r="Q3070">
        <v>0</v>
      </c>
      <c r="R3070">
        <v>49</v>
      </c>
      <c r="S3070">
        <v>0</v>
      </c>
      <c r="T3070" t="s">
        <v>12826</v>
      </c>
    </row>
    <row r="3071" spans="1:25" customFormat="1" ht="15" x14ac:dyDescent="0.25">
      <c r="A3071" t="s">
        <v>24</v>
      </c>
      <c r="B3071" t="s">
        <v>1548</v>
      </c>
      <c r="C3071" t="str">
        <f>"A0055233"</f>
        <v>A0055233</v>
      </c>
      <c r="D3071" t="s">
        <v>59243</v>
      </c>
      <c r="E3071" t="s">
        <v>59244</v>
      </c>
      <c r="F3071" t="s">
        <v>59245</v>
      </c>
      <c r="G3071" t="s">
        <v>110</v>
      </c>
      <c r="H3071">
        <v>90040</v>
      </c>
      <c r="I3071" t="s">
        <v>30</v>
      </c>
      <c r="J3071" t="s">
        <v>162</v>
      </c>
      <c r="K3071" t="s">
        <v>163</v>
      </c>
      <c r="N3071" t="s">
        <v>13835</v>
      </c>
      <c r="Q3071">
        <v>0</v>
      </c>
      <c r="R3071">
        <v>194</v>
      </c>
      <c r="S3071">
        <v>0</v>
      </c>
      <c r="T3071" t="s">
        <v>59246</v>
      </c>
    </row>
    <row r="3072" spans="1:25" customFormat="1" ht="15" x14ac:dyDescent="0.25">
      <c r="A3072" t="s">
        <v>24</v>
      </c>
      <c r="B3072" t="s">
        <v>1156</v>
      </c>
      <c r="C3072" t="str">
        <f>"A0075277"</f>
        <v>A0075277</v>
      </c>
      <c r="D3072" t="s">
        <v>59258</v>
      </c>
      <c r="E3072" t="s">
        <v>59259</v>
      </c>
      <c r="F3072" t="s">
        <v>1159</v>
      </c>
      <c r="G3072" t="s">
        <v>58</v>
      </c>
      <c r="H3072">
        <v>29577</v>
      </c>
      <c r="I3072" t="s">
        <v>30</v>
      </c>
      <c r="J3072" t="s">
        <v>162</v>
      </c>
      <c r="K3072" t="s">
        <v>163</v>
      </c>
      <c r="N3072" t="s">
        <v>59260</v>
      </c>
      <c r="O3072" t="s">
        <v>59261</v>
      </c>
      <c r="Q3072">
        <v>0</v>
      </c>
      <c r="R3072">
        <v>511</v>
      </c>
      <c r="S3072">
        <v>0</v>
      </c>
      <c r="T3072" t="s">
        <v>59262</v>
      </c>
    </row>
    <row r="3073" spans="1:20" customFormat="1" ht="15" x14ac:dyDescent="0.25">
      <c r="A3073" t="s">
        <v>24</v>
      </c>
      <c r="B3073" t="s">
        <v>675</v>
      </c>
      <c r="C3073" t="str">
        <f>"337U6"</f>
        <v>337U6</v>
      </c>
      <c r="D3073" t="s">
        <v>59283</v>
      </c>
      <c r="E3073" t="s">
        <v>59284</v>
      </c>
      <c r="F3073" t="s">
        <v>59285</v>
      </c>
      <c r="G3073" t="s">
        <v>110</v>
      </c>
      <c r="H3073">
        <v>92118</v>
      </c>
      <c r="I3073" t="s">
        <v>30</v>
      </c>
      <c r="J3073" t="s">
        <v>162</v>
      </c>
      <c r="K3073" t="s">
        <v>1490</v>
      </c>
      <c r="N3073" t="s">
        <v>59286</v>
      </c>
      <c r="O3073" t="s">
        <v>59287</v>
      </c>
      <c r="Q3073">
        <v>0</v>
      </c>
      <c r="R3073">
        <v>300</v>
      </c>
      <c r="S3073">
        <v>0</v>
      </c>
      <c r="T3073" t="s">
        <v>59288</v>
      </c>
    </row>
    <row r="3074" spans="1:20" customFormat="1" ht="15" x14ac:dyDescent="0.25">
      <c r="A3074" t="s">
        <v>24</v>
      </c>
      <c r="B3074" t="s">
        <v>2373</v>
      </c>
      <c r="C3074" t="str">
        <f>"337P5"</f>
        <v>337P5</v>
      </c>
      <c r="D3074" t="s">
        <v>59298</v>
      </c>
      <c r="E3074" t="s">
        <v>59299</v>
      </c>
      <c r="F3074" t="s">
        <v>2557</v>
      </c>
      <c r="G3074" t="s">
        <v>110</v>
      </c>
      <c r="H3074">
        <v>92626</v>
      </c>
      <c r="I3074" t="s">
        <v>30</v>
      </c>
      <c r="J3074" t="s">
        <v>162</v>
      </c>
      <c r="K3074" t="s">
        <v>1490</v>
      </c>
      <c r="N3074" t="s">
        <v>59300</v>
      </c>
      <c r="Q3074">
        <v>0</v>
      </c>
      <c r="R3074">
        <v>253</v>
      </c>
      <c r="S3074">
        <v>0</v>
      </c>
      <c r="T3074" t="s">
        <v>59301</v>
      </c>
    </row>
    <row r="3075" spans="1:20" customFormat="1" ht="15" x14ac:dyDescent="0.25">
      <c r="A3075" t="s">
        <v>24</v>
      </c>
      <c r="B3075" t="s">
        <v>6660</v>
      </c>
      <c r="C3075" t="str">
        <f>"A0187880"</f>
        <v>A0187880</v>
      </c>
      <c r="D3075" t="s">
        <v>12842</v>
      </c>
      <c r="E3075" t="s">
        <v>12843</v>
      </c>
      <c r="F3075" t="s">
        <v>12844</v>
      </c>
      <c r="G3075" t="s">
        <v>4815</v>
      </c>
      <c r="H3075">
        <v>96720</v>
      </c>
      <c r="I3075" t="s">
        <v>30</v>
      </c>
      <c r="J3075" t="s">
        <v>31</v>
      </c>
      <c r="K3075" t="s">
        <v>163</v>
      </c>
      <c r="N3075" t="s">
        <v>12845</v>
      </c>
      <c r="O3075" t="s">
        <v>2044</v>
      </c>
      <c r="Q3075">
        <v>0</v>
      </c>
      <c r="R3075">
        <v>138</v>
      </c>
      <c r="S3075">
        <v>0</v>
      </c>
      <c r="T3075" t="s">
        <v>12846</v>
      </c>
    </row>
    <row r="3076" spans="1:20" customFormat="1" ht="15" x14ac:dyDescent="0.25">
      <c r="A3076" t="s">
        <v>35</v>
      </c>
      <c r="B3076" t="s">
        <v>61</v>
      </c>
      <c r="C3076" t="str">
        <f>"A0130448"</f>
        <v>A0130448</v>
      </c>
      <c r="D3076" t="s">
        <v>12847</v>
      </c>
      <c r="E3076" t="s">
        <v>12848</v>
      </c>
      <c r="F3076" t="s">
        <v>11842</v>
      </c>
      <c r="G3076" t="s">
        <v>1898</v>
      </c>
      <c r="H3076">
        <v>510410000</v>
      </c>
      <c r="I3076" t="s">
        <v>30</v>
      </c>
      <c r="J3076" t="s">
        <v>41</v>
      </c>
      <c r="K3076" t="s">
        <v>59</v>
      </c>
      <c r="Q3076">
        <v>0</v>
      </c>
      <c r="R3076">
        <v>32</v>
      </c>
      <c r="S3076">
        <v>32</v>
      </c>
      <c r="T3076" t="s">
        <v>12849</v>
      </c>
    </row>
    <row r="3077" spans="1:20" customFormat="1" ht="15" x14ac:dyDescent="0.25">
      <c r="A3077" t="s">
        <v>35</v>
      </c>
      <c r="B3077" t="s">
        <v>61</v>
      </c>
      <c r="C3077" t="str">
        <f>"A0184189"</f>
        <v>A0184189</v>
      </c>
      <c r="D3077" t="s">
        <v>12850</v>
      </c>
      <c r="E3077" t="s">
        <v>12851</v>
      </c>
      <c r="F3077" t="s">
        <v>12852</v>
      </c>
      <c r="G3077" t="s">
        <v>289</v>
      </c>
      <c r="H3077" t="s">
        <v>12853</v>
      </c>
      <c r="I3077" t="s">
        <v>30</v>
      </c>
      <c r="J3077" t="s">
        <v>41</v>
      </c>
      <c r="K3077" t="s">
        <v>59</v>
      </c>
      <c r="Q3077">
        <v>0</v>
      </c>
      <c r="R3077">
        <v>34</v>
      </c>
      <c r="S3077">
        <v>34</v>
      </c>
      <c r="T3077" t="s">
        <v>12854</v>
      </c>
    </row>
    <row r="3078" spans="1:20" customFormat="1" ht="15" x14ac:dyDescent="0.25">
      <c r="A3078" t="s">
        <v>24</v>
      </c>
      <c r="B3078" t="s">
        <v>59907</v>
      </c>
      <c r="C3078" t="str">
        <f>"A0066061"</f>
        <v>A0066061</v>
      </c>
      <c r="D3078" t="s">
        <v>59908</v>
      </c>
      <c r="E3078" t="s">
        <v>59909</v>
      </c>
      <c r="F3078" t="s">
        <v>59910</v>
      </c>
      <c r="G3078" t="s">
        <v>110</v>
      </c>
      <c r="H3078">
        <v>91403</v>
      </c>
      <c r="I3078" t="s">
        <v>30</v>
      </c>
      <c r="J3078" t="s">
        <v>162</v>
      </c>
      <c r="K3078" t="s">
        <v>973</v>
      </c>
      <c r="N3078" t="s">
        <v>59911</v>
      </c>
      <c r="O3078" t="s">
        <v>59912</v>
      </c>
      <c r="Q3078">
        <v>0</v>
      </c>
      <c r="R3078">
        <v>213</v>
      </c>
      <c r="S3078">
        <v>0</v>
      </c>
      <c r="T3078" t="s">
        <v>59913</v>
      </c>
    </row>
    <row r="3079" spans="1:20" customFormat="1" ht="15" x14ac:dyDescent="0.25">
      <c r="A3079" t="s">
        <v>24</v>
      </c>
      <c r="B3079" t="s">
        <v>1020</v>
      </c>
      <c r="C3079" t="str">
        <f>"A0083392"</f>
        <v>A0083392</v>
      </c>
      <c r="D3079" t="s">
        <v>60820</v>
      </c>
      <c r="E3079" t="s">
        <v>60821</v>
      </c>
      <c r="F3079" t="s">
        <v>10505</v>
      </c>
      <c r="G3079" t="s">
        <v>110</v>
      </c>
      <c r="H3079">
        <v>90230</v>
      </c>
      <c r="I3079" t="s">
        <v>30</v>
      </c>
      <c r="J3079" t="s">
        <v>162</v>
      </c>
      <c r="K3079" t="s">
        <v>973</v>
      </c>
      <c r="N3079" t="s">
        <v>60822</v>
      </c>
      <c r="O3079" t="s">
        <v>60823</v>
      </c>
      <c r="Q3079">
        <v>0</v>
      </c>
      <c r="R3079">
        <v>250</v>
      </c>
      <c r="S3079">
        <v>0</v>
      </c>
      <c r="T3079" t="s">
        <v>60824</v>
      </c>
    </row>
    <row r="3080" spans="1:20" customFormat="1" ht="15" x14ac:dyDescent="0.25">
      <c r="A3080" t="s">
        <v>24</v>
      </c>
      <c r="B3080" t="s">
        <v>193</v>
      </c>
      <c r="C3080" t="str">
        <f>"CL0607"</f>
        <v>CL0607</v>
      </c>
      <c r="D3080" t="s">
        <v>12865</v>
      </c>
      <c r="E3080" t="s">
        <v>12866</v>
      </c>
      <c r="F3080" t="s">
        <v>12348</v>
      </c>
      <c r="G3080" t="s">
        <v>880</v>
      </c>
      <c r="H3080">
        <v>37929</v>
      </c>
      <c r="I3080" t="s">
        <v>30</v>
      </c>
      <c r="J3080" t="s">
        <v>2558</v>
      </c>
      <c r="K3080" t="s">
        <v>163</v>
      </c>
      <c r="N3080" t="s">
        <v>12867</v>
      </c>
      <c r="Q3080">
        <v>0</v>
      </c>
      <c r="R3080">
        <v>0</v>
      </c>
      <c r="S3080">
        <v>0</v>
      </c>
      <c r="T3080" t="s">
        <v>12868</v>
      </c>
    </row>
    <row r="3081" spans="1:20" customFormat="1" ht="15" x14ac:dyDescent="0.25">
      <c r="A3081" t="s">
        <v>24</v>
      </c>
      <c r="B3081" t="s">
        <v>5166</v>
      </c>
      <c r="C3081" t="str">
        <f>"A0087429"</f>
        <v>A0087429</v>
      </c>
      <c r="D3081" t="s">
        <v>61516</v>
      </c>
      <c r="E3081" t="s">
        <v>61517</v>
      </c>
      <c r="F3081" t="s">
        <v>6593</v>
      </c>
      <c r="G3081" t="s">
        <v>47</v>
      </c>
      <c r="H3081">
        <v>97204</v>
      </c>
      <c r="I3081" t="s">
        <v>30</v>
      </c>
      <c r="J3081" t="s">
        <v>162</v>
      </c>
      <c r="K3081" t="s">
        <v>973</v>
      </c>
      <c r="N3081" t="s">
        <v>61518</v>
      </c>
      <c r="Q3081">
        <v>0</v>
      </c>
      <c r="R3081">
        <v>256</v>
      </c>
      <c r="S3081">
        <v>0</v>
      </c>
      <c r="T3081" t="s">
        <v>61519</v>
      </c>
    </row>
    <row r="3082" spans="1:20" customFormat="1" ht="15" x14ac:dyDescent="0.25">
      <c r="A3082" t="s">
        <v>24</v>
      </c>
      <c r="B3082" t="s">
        <v>193</v>
      </c>
      <c r="C3082" t="str">
        <f>"A0153240"</f>
        <v>A0153240</v>
      </c>
      <c r="D3082" t="s">
        <v>12873</v>
      </c>
      <c r="E3082" t="s">
        <v>12874</v>
      </c>
      <c r="F3082" t="s">
        <v>2598</v>
      </c>
      <c r="G3082" t="s">
        <v>99</v>
      </c>
      <c r="H3082">
        <v>14303</v>
      </c>
      <c r="I3082" t="s">
        <v>30</v>
      </c>
      <c r="J3082" t="s">
        <v>1004</v>
      </c>
      <c r="K3082" t="s">
        <v>163</v>
      </c>
      <c r="Q3082">
        <v>0</v>
      </c>
      <c r="R3082">
        <v>0</v>
      </c>
      <c r="S3082">
        <v>0</v>
      </c>
      <c r="T3082" t="s">
        <v>12875</v>
      </c>
    </row>
    <row r="3083" spans="1:20" customFormat="1" ht="15" x14ac:dyDescent="0.25">
      <c r="A3083" t="s">
        <v>24</v>
      </c>
      <c r="B3083" t="s">
        <v>174</v>
      </c>
      <c r="C3083" t="str">
        <f>"A0187870"</f>
        <v>A0187870</v>
      </c>
      <c r="D3083" t="s">
        <v>12876</v>
      </c>
      <c r="E3083" t="s">
        <v>12877</v>
      </c>
      <c r="F3083" t="s">
        <v>12878</v>
      </c>
      <c r="G3083" t="s">
        <v>289</v>
      </c>
      <c r="H3083">
        <v>60061</v>
      </c>
      <c r="I3083" t="s">
        <v>30</v>
      </c>
      <c r="J3083" t="s">
        <v>2415</v>
      </c>
      <c r="K3083" t="s">
        <v>179</v>
      </c>
      <c r="N3083" t="s">
        <v>12879</v>
      </c>
      <c r="Q3083">
        <v>0</v>
      </c>
      <c r="R3083">
        <v>0</v>
      </c>
      <c r="S3083">
        <v>0</v>
      </c>
      <c r="T3083" t="s">
        <v>12880</v>
      </c>
    </row>
    <row r="3084" spans="1:20" customFormat="1" ht="15" x14ac:dyDescent="0.25">
      <c r="A3084" t="s">
        <v>24</v>
      </c>
      <c r="B3084" t="s">
        <v>174</v>
      </c>
      <c r="C3084" t="str">
        <f>"A0187863"</f>
        <v>A0187863</v>
      </c>
      <c r="D3084" t="s">
        <v>12881</v>
      </c>
      <c r="E3084" t="s">
        <v>12882</v>
      </c>
      <c r="F3084" t="s">
        <v>12883</v>
      </c>
      <c r="G3084" t="s">
        <v>29</v>
      </c>
      <c r="H3084">
        <v>20166</v>
      </c>
      <c r="I3084" t="s">
        <v>30</v>
      </c>
      <c r="J3084" t="s">
        <v>178</v>
      </c>
      <c r="K3084" t="s">
        <v>179</v>
      </c>
      <c r="N3084" t="s">
        <v>12884</v>
      </c>
      <c r="Q3084">
        <v>0</v>
      </c>
      <c r="R3084">
        <v>0</v>
      </c>
      <c r="S3084">
        <v>0</v>
      </c>
      <c r="T3084" t="s">
        <v>12885</v>
      </c>
    </row>
    <row r="3085" spans="1:20" customFormat="1" ht="15" x14ac:dyDescent="0.25">
      <c r="A3085" t="s">
        <v>24</v>
      </c>
      <c r="B3085" t="s">
        <v>33690</v>
      </c>
      <c r="C3085" t="str">
        <f>"A0145790"</f>
        <v>A0145790</v>
      </c>
      <c r="D3085" t="s">
        <v>62234</v>
      </c>
      <c r="E3085" t="s">
        <v>62235</v>
      </c>
      <c r="F3085" t="s">
        <v>5107</v>
      </c>
      <c r="G3085" t="s">
        <v>137</v>
      </c>
      <c r="H3085">
        <v>64108</v>
      </c>
      <c r="I3085" t="s">
        <v>30</v>
      </c>
      <c r="J3085" t="s">
        <v>162</v>
      </c>
      <c r="K3085" t="s">
        <v>163</v>
      </c>
      <c r="N3085" t="s">
        <v>62236</v>
      </c>
      <c r="O3085" t="s">
        <v>62237</v>
      </c>
      <c r="Q3085">
        <v>0</v>
      </c>
      <c r="R3085">
        <v>131</v>
      </c>
      <c r="S3085">
        <v>0</v>
      </c>
      <c r="T3085" t="s">
        <v>62238</v>
      </c>
    </row>
    <row r="3086" spans="1:20" customFormat="1" ht="15" x14ac:dyDescent="0.25">
      <c r="A3086" t="s">
        <v>24</v>
      </c>
      <c r="B3086" t="s">
        <v>56564</v>
      </c>
      <c r="C3086" t="str">
        <f>"A0064255"</f>
        <v>A0064255</v>
      </c>
      <c r="D3086" t="s">
        <v>62249</v>
      </c>
      <c r="E3086" t="s">
        <v>62250</v>
      </c>
      <c r="F3086" t="s">
        <v>1159</v>
      </c>
      <c r="G3086" t="s">
        <v>58</v>
      </c>
      <c r="H3086">
        <v>29577</v>
      </c>
      <c r="I3086" t="s">
        <v>30</v>
      </c>
      <c r="J3086" t="s">
        <v>162</v>
      </c>
      <c r="K3086" t="s">
        <v>163</v>
      </c>
      <c r="N3086" t="s">
        <v>62251</v>
      </c>
      <c r="O3086" t="s">
        <v>62252</v>
      </c>
      <c r="Q3086">
        <v>0</v>
      </c>
      <c r="R3086">
        <v>514</v>
      </c>
      <c r="S3086">
        <v>0</v>
      </c>
      <c r="T3086" t="s">
        <v>62253</v>
      </c>
    </row>
    <row r="3087" spans="1:20" customFormat="1" ht="15" x14ac:dyDescent="0.25">
      <c r="A3087" t="s">
        <v>24</v>
      </c>
      <c r="B3087" t="s">
        <v>976</v>
      </c>
      <c r="C3087" t="str">
        <f>"CT71C"</f>
        <v>CT71C</v>
      </c>
      <c r="D3087" t="s">
        <v>62254</v>
      </c>
      <c r="E3087" t="s">
        <v>62255</v>
      </c>
      <c r="F3087" t="s">
        <v>845</v>
      </c>
      <c r="G3087" t="s">
        <v>846</v>
      </c>
      <c r="H3087">
        <v>30308</v>
      </c>
      <c r="I3087" t="s">
        <v>30</v>
      </c>
      <c r="J3087" t="s">
        <v>162</v>
      </c>
      <c r="K3087" t="s">
        <v>4442</v>
      </c>
      <c r="N3087" t="s">
        <v>62256</v>
      </c>
      <c r="Q3087">
        <v>0</v>
      </c>
      <c r="R3087">
        <v>501</v>
      </c>
      <c r="S3087">
        <v>0</v>
      </c>
      <c r="T3087" t="s">
        <v>62257</v>
      </c>
    </row>
    <row r="3088" spans="1:20" customFormat="1" ht="15" x14ac:dyDescent="0.25">
      <c r="A3088" t="s">
        <v>24</v>
      </c>
      <c r="B3088" t="s">
        <v>56702</v>
      </c>
      <c r="C3088" t="str">
        <f>"SC009"</f>
        <v>SC009</v>
      </c>
      <c r="D3088" t="s">
        <v>62258</v>
      </c>
      <c r="E3088" t="s">
        <v>62259</v>
      </c>
      <c r="F3088" t="s">
        <v>5374</v>
      </c>
      <c r="G3088" t="s">
        <v>110</v>
      </c>
      <c r="H3088">
        <v>94306</v>
      </c>
      <c r="I3088" t="s">
        <v>30</v>
      </c>
      <c r="J3088" t="s">
        <v>162</v>
      </c>
      <c r="K3088" t="s">
        <v>4442</v>
      </c>
      <c r="N3088" t="s">
        <v>62260</v>
      </c>
      <c r="Q3088">
        <v>0</v>
      </c>
      <c r="R3088">
        <v>194</v>
      </c>
      <c r="S3088">
        <v>0</v>
      </c>
      <c r="T3088" t="s">
        <v>62261</v>
      </c>
    </row>
    <row r="3089" spans="1:20" customFormat="1" ht="15" x14ac:dyDescent="0.25">
      <c r="A3089" t="s">
        <v>35</v>
      </c>
      <c r="B3089" t="s">
        <v>36</v>
      </c>
      <c r="C3089" t="str">
        <f>"A0187861"</f>
        <v>A0187861</v>
      </c>
      <c r="D3089" t="s">
        <v>12907</v>
      </c>
      <c r="E3089" t="s">
        <v>12908</v>
      </c>
      <c r="F3089" t="s">
        <v>12909</v>
      </c>
      <c r="G3089" t="s">
        <v>190</v>
      </c>
      <c r="H3089">
        <v>80123</v>
      </c>
      <c r="I3089" t="s">
        <v>30</v>
      </c>
      <c r="J3089" t="s">
        <v>41</v>
      </c>
      <c r="K3089" t="s">
        <v>42</v>
      </c>
      <c r="Q3089">
        <v>0</v>
      </c>
      <c r="R3089">
        <v>0</v>
      </c>
      <c r="S3089">
        <v>0</v>
      </c>
      <c r="T3089" t="s">
        <v>12910</v>
      </c>
    </row>
    <row r="3090" spans="1:20" customFormat="1" ht="15" x14ac:dyDescent="0.25">
      <c r="A3090" t="s">
        <v>35</v>
      </c>
      <c r="B3090" t="s">
        <v>36</v>
      </c>
      <c r="C3090" t="str">
        <f>"A0187860"</f>
        <v>A0187860</v>
      </c>
      <c r="D3090" t="s">
        <v>12911</v>
      </c>
      <c r="E3090" t="s">
        <v>12912</v>
      </c>
      <c r="F3090" t="s">
        <v>12913</v>
      </c>
      <c r="G3090" t="s">
        <v>925</v>
      </c>
      <c r="H3090">
        <v>67005</v>
      </c>
      <c r="I3090" t="s">
        <v>30</v>
      </c>
      <c r="J3090" t="s">
        <v>41</v>
      </c>
      <c r="K3090" t="s">
        <v>42</v>
      </c>
      <c r="Q3090">
        <v>0</v>
      </c>
      <c r="R3090">
        <v>0</v>
      </c>
      <c r="S3090">
        <v>0</v>
      </c>
      <c r="T3090" t="s">
        <v>12914</v>
      </c>
    </row>
    <row r="3091" spans="1:20" customFormat="1" ht="15" x14ac:dyDescent="0.25">
      <c r="A3091" t="s">
        <v>35</v>
      </c>
      <c r="B3091" t="s">
        <v>36</v>
      </c>
      <c r="C3091" t="str">
        <f>"A0187859"</f>
        <v>A0187859</v>
      </c>
      <c r="D3091" t="s">
        <v>12915</v>
      </c>
      <c r="E3091" t="s">
        <v>12916</v>
      </c>
      <c r="F3091" t="s">
        <v>4591</v>
      </c>
      <c r="G3091" t="s">
        <v>840</v>
      </c>
      <c r="H3091">
        <v>42064</v>
      </c>
      <c r="I3091" t="s">
        <v>30</v>
      </c>
      <c r="J3091" t="s">
        <v>41</v>
      </c>
      <c r="K3091" t="s">
        <v>42</v>
      </c>
      <c r="Q3091">
        <v>0</v>
      </c>
      <c r="R3091">
        <v>0</v>
      </c>
      <c r="S3091">
        <v>0</v>
      </c>
      <c r="T3091" t="s">
        <v>12917</v>
      </c>
    </row>
    <row r="3092" spans="1:20" customFormat="1" ht="15" x14ac:dyDescent="0.25">
      <c r="A3092" t="s">
        <v>35</v>
      </c>
      <c r="B3092" t="s">
        <v>36</v>
      </c>
      <c r="C3092" t="str">
        <f>"A0187858"</f>
        <v>A0187858</v>
      </c>
      <c r="D3092" t="s">
        <v>12918</v>
      </c>
      <c r="E3092" t="s">
        <v>12919</v>
      </c>
      <c r="F3092" t="s">
        <v>12412</v>
      </c>
      <c r="G3092" t="s">
        <v>381</v>
      </c>
      <c r="H3092">
        <v>46799</v>
      </c>
      <c r="I3092" t="s">
        <v>30</v>
      </c>
      <c r="J3092" t="s">
        <v>41</v>
      </c>
      <c r="K3092" t="s">
        <v>42</v>
      </c>
      <c r="Q3092">
        <v>0</v>
      </c>
      <c r="R3092">
        <v>0</v>
      </c>
      <c r="S3092">
        <v>0</v>
      </c>
      <c r="T3092" t="s">
        <v>12920</v>
      </c>
    </row>
    <row r="3093" spans="1:20" customFormat="1" ht="15" x14ac:dyDescent="0.25">
      <c r="A3093" t="s">
        <v>35</v>
      </c>
      <c r="B3093" t="s">
        <v>12921</v>
      </c>
      <c r="C3093" t="str">
        <f>"A0187857"</f>
        <v>A0187857</v>
      </c>
      <c r="D3093" t="s">
        <v>12921</v>
      </c>
      <c r="E3093" t="s">
        <v>12922</v>
      </c>
      <c r="F3093" t="s">
        <v>12923</v>
      </c>
      <c r="G3093" t="s">
        <v>40</v>
      </c>
      <c r="H3093">
        <v>73013</v>
      </c>
      <c r="I3093" t="s">
        <v>30</v>
      </c>
      <c r="J3093" t="s">
        <v>41</v>
      </c>
      <c r="K3093" t="s">
        <v>59</v>
      </c>
      <c r="Q3093">
        <v>0</v>
      </c>
      <c r="R3093">
        <v>0</v>
      </c>
      <c r="S3093">
        <v>120</v>
      </c>
      <c r="T3093" t="s">
        <v>12924</v>
      </c>
    </row>
    <row r="3094" spans="1:20" customFormat="1" ht="15" x14ac:dyDescent="0.25">
      <c r="A3094" t="s">
        <v>35</v>
      </c>
      <c r="B3094" t="s">
        <v>12019</v>
      </c>
      <c r="C3094" t="str">
        <f>"A0187856"</f>
        <v>A0187856</v>
      </c>
      <c r="D3094" t="s">
        <v>12925</v>
      </c>
      <c r="E3094" t="s">
        <v>12926</v>
      </c>
      <c r="F3094" t="s">
        <v>8447</v>
      </c>
      <c r="G3094" t="s">
        <v>81</v>
      </c>
      <c r="H3094">
        <v>33324</v>
      </c>
      <c r="I3094" t="s">
        <v>30</v>
      </c>
      <c r="J3094" t="s">
        <v>41</v>
      </c>
      <c r="K3094" t="s">
        <v>42</v>
      </c>
      <c r="Q3094">
        <v>0</v>
      </c>
      <c r="R3094">
        <v>0</v>
      </c>
      <c r="S3094">
        <v>0</v>
      </c>
      <c r="T3094" t="s">
        <v>12927</v>
      </c>
    </row>
    <row r="3095" spans="1:20" customFormat="1" ht="15" x14ac:dyDescent="0.25">
      <c r="A3095" t="s">
        <v>35</v>
      </c>
      <c r="B3095" t="s">
        <v>12928</v>
      </c>
      <c r="C3095" t="str">
        <f>"A0187855"</f>
        <v>A0187855</v>
      </c>
      <c r="D3095" t="s">
        <v>12929</v>
      </c>
      <c r="E3095" t="s">
        <v>12930</v>
      </c>
      <c r="F3095" t="s">
        <v>12931</v>
      </c>
      <c r="G3095" t="s">
        <v>81</v>
      </c>
      <c r="H3095">
        <v>33765</v>
      </c>
      <c r="I3095" t="s">
        <v>30</v>
      </c>
      <c r="J3095" t="s">
        <v>41</v>
      </c>
      <c r="K3095" t="s">
        <v>290</v>
      </c>
      <c r="Q3095">
        <v>0</v>
      </c>
      <c r="R3095">
        <v>0</v>
      </c>
      <c r="S3095">
        <v>0</v>
      </c>
      <c r="T3095" t="s">
        <v>72</v>
      </c>
    </row>
    <row r="3096" spans="1:20" customFormat="1" ht="15" x14ac:dyDescent="0.25">
      <c r="A3096" t="s">
        <v>35</v>
      </c>
      <c r="B3096" t="s">
        <v>61</v>
      </c>
      <c r="C3096" t="str">
        <f>"A0187854"</f>
        <v>A0187854</v>
      </c>
      <c r="D3096" t="s">
        <v>12932</v>
      </c>
      <c r="E3096" t="s">
        <v>12933</v>
      </c>
      <c r="F3096" t="s">
        <v>12934</v>
      </c>
      <c r="G3096" t="s">
        <v>381</v>
      </c>
      <c r="H3096">
        <v>47401</v>
      </c>
      <c r="I3096" t="s">
        <v>30</v>
      </c>
      <c r="J3096" t="s">
        <v>41</v>
      </c>
      <c r="K3096" t="s">
        <v>42</v>
      </c>
      <c r="Q3096">
        <v>0</v>
      </c>
      <c r="R3096">
        <v>0</v>
      </c>
      <c r="S3096">
        <v>0</v>
      </c>
      <c r="T3096" t="s">
        <v>12935</v>
      </c>
    </row>
    <row r="3097" spans="1:20" customFormat="1" ht="15" x14ac:dyDescent="0.25">
      <c r="A3097" t="s">
        <v>35</v>
      </c>
      <c r="B3097" t="s">
        <v>61</v>
      </c>
      <c r="C3097" t="str">
        <f>"A0187853"</f>
        <v>A0187853</v>
      </c>
      <c r="D3097" t="s">
        <v>12936</v>
      </c>
      <c r="E3097" t="s">
        <v>12937</v>
      </c>
      <c r="F3097" t="s">
        <v>12938</v>
      </c>
      <c r="G3097" t="s">
        <v>433</v>
      </c>
      <c r="H3097">
        <v>83330</v>
      </c>
      <c r="I3097" t="s">
        <v>30</v>
      </c>
      <c r="J3097" t="s">
        <v>41</v>
      </c>
      <c r="K3097" t="s">
        <v>131</v>
      </c>
      <c r="Q3097">
        <v>0</v>
      </c>
      <c r="R3097">
        <v>0</v>
      </c>
      <c r="S3097">
        <v>70</v>
      </c>
      <c r="T3097" t="s">
        <v>12939</v>
      </c>
    </row>
    <row r="3098" spans="1:20" customFormat="1" ht="15" x14ac:dyDescent="0.25">
      <c r="A3098" t="s">
        <v>35</v>
      </c>
      <c r="B3098" t="s">
        <v>61</v>
      </c>
      <c r="C3098" t="str">
        <f>"A0187852"</f>
        <v>A0187852</v>
      </c>
      <c r="D3098" t="s">
        <v>12940</v>
      </c>
      <c r="E3098" t="s">
        <v>12941</v>
      </c>
      <c r="F3098" t="s">
        <v>390</v>
      </c>
      <c r="G3098" t="s">
        <v>110</v>
      </c>
      <c r="H3098">
        <v>92021</v>
      </c>
      <c r="I3098" t="s">
        <v>30</v>
      </c>
      <c r="J3098" t="s">
        <v>41</v>
      </c>
      <c r="K3098" t="s">
        <v>1412</v>
      </c>
      <c r="Q3098">
        <v>0</v>
      </c>
      <c r="R3098">
        <v>0</v>
      </c>
      <c r="S3098">
        <v>0</v>
      </c>
      <c r="T3098" t="s">
        <v>12942</v>
      </c>
    </row>
    <row r="3099" spans="1:20" customFormat="1" ht="15" x14ac:dyDescent="0.25">
      <c r="A3099" t="s">
        <v>35</v>
      </c>
      <c r="B3099" t="s">
        <v>61</v>
      </c>
      <c r="C3099" t="str">
        <f>"A0187851"</f>
        <v>A0187851</v>
      </c>
      <c r="D3099" t="s">
        <v>12943</v>
      </c>
      <c r="E3099" t="s">
        <v>12944</v>
      </c>
      <c r="F3099" t="s">
        <v>4266</v>
      </c>
      <c r="G3099" t="s">
        <v>99</v>
      </c>
      <c r="H3099">
        <v>11695</v>
      </c>
      <c r="I3099" t="s">
        <v>30</v>
      </c>
      <c r="J3099" t="s">
        <v>41</v>
      </c>
      <c r="K3099" t="s">
        <v>229</v>
      </c>
      <c r="Q3099">
        <v>0</v>
      </c>
      <c r="R3099">
        <v>0</v>
      </c>
      <c r="S3099">
        <v>240</v>
      </c>
      <c r="T3099" t="s">
        <v>72</v>
      </c>
    </row>
    <row r="3100" spans="1:20" customFormat="1" ht="15" x14ac:dyDescent="0.25">
      <c r="A3100" t="s">
        <v>35</v>
      </c>
      <c r="B3100" t="s">
        <v>9206</v>
      </c>
      <c r="C3100" t="str">
        <f>"A0187850"</f>
        <v>A0187850</v>
      </c>
      <c r="D3100" t="s">
        <v>12945</v>
      </c>
      <c r="E3100" t="s">
        <v>12946</v>
      </c>
      <c r="F3100" t="s">
        <v>12947</v>
      </c>
      <c r="G3100" t="s">
        <v>81</v>
      </c>
      <c r="H3100">
        <v>33413</v>
      </c>
      <c r="I3100" t="s">
        <v>30</v>
      </c>
      <c r="J3100" t="s">
        <v>41</v>
      </c>
      <c r="K3100" t="s">
        <v>461</v>
      </c>
      <c r="Q3100">
        <v>0</v>
      </c>
      <c r="R3100">
        <v>0</v>
      </c>
      <c r="S3100">
        <v>17</v>
      </c>
      <c r="T3100" t="s">
        <v>12948</v>
      </c>
    </row>
    <row r="3101" spans="1:20" customFormat="1" ht="15" hidden="1" x14ac:dyDescent="0.25">
      <c r="A3101" t="s">
        <v>24</v>
      </c>
      <c r="B3101" t="s">
        <v>11010</v>
      </c>
      <c r="C3101" t="str">
        <f>"A0187589"</f>
        <v>A0187589</v>
      </c>
      <c r="D3101" t="s">
        <v>12949</v>
      </c>
      <c r="E3101" t="s">
        <v>12950</v>
      </c>
      <c r="F3101" t="s">
        <v>12951</v>
      </c>
      <c r="G3101" t="s">
        <v>6356</v>
      </c>
      <c r="H3101">
        <v>70403</v>
      </c>
      <c r="I3101" t="s">
        <v>4803</v>
      </c>
      <c r="J3101" t="s">
        <v>162</v>
      </c>
      <c r="K3101" t="s">
        <v>11013</v>
      </c>
      <c r="N3101" t="s">
        <v>12952</v>
      </c>
      <c r="Q3101">
        <v>0</v>
      </c>
      <c r="R3101">
        <v>46</v>
      </c>
      <c r="S3101">
        <v>0</v>
      </c>
      <c r="T3101" t="s">
        <v>12953</v>
      </c>
    </row>
    <row r="3102" spans="1:20" customFormat="1" ht="15" hidden="1" x14ac:dyDescent="0.25">
      <c r="A3102" t="s">
        <v>24</v>
      </c>
      <c r="B3102" t="s">
        <v>11010</v>
      </c>
      <c r="C3102" t="str">
        <f>"A0187588"</f>
        <v>A0187588</v>
      </c>
      <c r="D3102" t="s">
        <v>12954</v>
      </c>
      <c r="E3102" t="s">
        <v>12955</v>
      </c>
      <c r="F3102" t="s">
        <v>12956</v>
      </c>
      <c r="G3102" t="s">
        <v>6356</v>
      </c>
      <c r="H3102">
        <v>21007</v>
      </c>
      <c r="I3102" t="s">
        <v>4803</v>
      </c>
      <c r="J3102" t="s">
        <v>162</v>
      </c>
      <c r="K3102" t="s">
        <v>11013</v>
      </c>
      <c r="N3102" t="s">
        <v>12957</v>
      </c>
      <c r="Q3102">
        <v>0</v>
      </c>
      <c r="R3102">
        <v>44</v>
      </c>
      <c r="S3102">
        <v>0</v>
      </c>
      <c r="T3102" t="s">
        <v>12958</v>
      </c>
    </row>
    <row r="3103" spans="1:20" customFormat="1" ht="15" hidden="1" x14ac:dyDescent="0.25">
      <c r="A3103" t="s">
        <v>24</v>
      </c>
      <c r="B3103" t="s">
        <v>11010</v>
      </c>
      <c r="C3103" t="str">
        <f>"A0187587"</f>
        <v>A0187587</v>
      </c>
      <c r="D3103" t="s">
        <v>12959</v>
      </c>
      <c r="E3103" t="s">
        <v>12960</v>
      </c>
      <c r="F3103" t="s">
        <v>12961</v>
      </c>
      <c r="G3103" t="s">
        <v>6356</v>
      </c>
      <c r="H3103">
        <v>60111</v>
      </c>
      <c r="I3103" t="s">
        <v>4803</v>
      </c>
      <c r="J3103" t="s">
        <v>162</v>
      </c>
      <c r="K3103" t="s">
        <v>11013</v>
      </c>
      <c r="N3103" t="s">
        <v>12962</v>
      </c>
      <c r="Q3103">
        <v>0</v>
      </c>
      <c r="R3103">
        <v>40</v>
      </c>
      <c r="S3103">
        <v>0</v>
      </c>
      <c r="T3103" t="s">
        <v>12963</v>
      </c>
    </row>
    <row r="3104" spans="1:20" customFormat="1" ht="15" hidden="1" x14ac:dyDescent="0.25">
      <c r="A3104" t="s">
        <v>24</v>
      </c>
      <c r="B3104" t="s">
        <v>11010</v>
      </c>
      <c r="C3104" t="str">
        <f>"A0187586"</f>
        <v>A0187586</v>
      </c>
      <c r="D3104" t="s">
        <v>12964</v>
      </c>
      <c r="E3104" t="s">
        <v>12965</v>
      </c>
      <c r="F3104" t="s">
        <v>12961</v>
      </c>
      <c r="G3104" t="s">
        <v>6356</v>
      </c>
      <c r="H3104">
        <v>60111</v>
      </c>
      <c r="I3104" t="s">
        <v>4803</v>
      </c>
      <c r="J3104" t="s">
        <v>162</v>
      </c>
      <c r="K3104" t="s">
        <v>11013</v>
      </c>
      <c r="N3104" t="s">
        <v>12962</v>
      </c>
      <c r="Q3104">
        <v>0</v>
      </c>
      <c r="R3104">
        <v>16</v>
      </c>
      <c r="S3104">
        <v>0</v>
      </c>
      <c r="T3104" t="s">
        <v>12966</v>
      </c>
    </row>
    <row r="3105" spans="1:25" customFormat="1" ht="15" hidden="1" x14ac:dyDescent="0.25">
      <c r="A3105" t="s">
        <v>24</v>
      </c>
      <c r="B3105" t="s">
        <v>11010</v>
      </c>
      <c r="C3105" t="str">
        <f>"A0187585"</f>
        <v>A0187585</v>
      </c>
      <c r="D3105" t="s">
        <v>12967</v>
      </c>
      <c r="E3105" t="s">
        <v>12968</v>
      </c>
      <c r="F3105" t="s">
        <v>6355</v>
      </c>
      <c r="G3105" t="s">
        <v>6356</v>
      </c>
      <c r="I3105" t="s">
        <v>4803</v>
      </c>
      <c r="J3105" t="s">
        <v>162</v>
      </c>
      <c r="K3105" t="s">
        <v>11013</v>
      </c>
      <c r="N3105" t="s">
        <v>12969</v>
      </c>
      <c r="Q3105">
        <v>0</v>
      </c>
      <c r="R3105">
        <v>53</v>
      </c>
      <c r="S3105">
        <v>0</v>
      </c>
      <c r="T3105" t="s">
        <v>12970</v>
      </c>
    </row>
    <row r="3106" spans="1:25" customFormat="1" ht="15" hidden="1" x14ac:dyDescent="0.25">
      <c r="A3106" t="s">
        <v>24</v>
      </c>
      <c r="B3106" t="s">
        <v>11010</v>
      </c>
      <c r="C3106" t="str">
        <f>"A0187583"</f>
        <v>A0187583</v>
      </c>
      <c r="D3106" t="s">
        <v>12971</v>
      </c>
      <c r="E3106" t="s">
        <v>12972</v>
      </c>
      <c r="F3106" t="s">
        <v>12973</v>
      </c>
      <c r="G3106" t="s">
        <v>6356</v>
      </c>
      <c r="I3106" t="s">
        <v>4803</v>
      </c>
      <c r="J3106" t="s">
        <v>162</v>
      </c>
      <c r="K3106" t="s">
        <v>11013</v>
      </c>
      <c r="N3106" t="s">
        <v>12974</v>
      </c>
      <c r="Q3106">
        <v>0</v>
      </c>
      <c r="R3106">
        <v>54</v>
      </c>
      <c r="S3106">
        <v>0</v>
      </c>
      <c r="T3106" t="s">
        <v>12975</v>
      </c>
    </row>
    <row r="3107" spans="1:25" customFormat="1" ht="15" hidden="1" x14ac:dyDescent="0.25">
      <c r="A3107" t="s">
        <v>24</v>
      </c>
      <c r="B3107" t="s">
        <v>11010</v>
      </c>
      <c r="C3107" t="str">
        <f>"A0187582"</f>
        <v>A0187582</v>
      </c>
      <c r="D3107" t="s">
        <v>12976</v>
      </c>
      <c r="E3107" t="s">
        <v>12977</v>
      </c>
      <c r="F3107" t="s">
        <v>12978</v>
      </c>
      <c r="G3107" t="s">
        <v>6356</v>
      </c>
      <c r="I3107" t="s">
        <v>4803</v>
      </c>
      <c r="J3107" t="s">
        <v>162</v>
      </c>
      <c r="K3107" t="s">
        <v>11013</v>
      </c>
      <c r="N3107" t="s">
        <v>12979</v>
      </c>
      <c r="Q3107">
        <v>0</v>
      </c>
      <c r="R3107">
        <v>35</v>
      </c>
      <c r="S3107">
        <v>0</v>
      </c>
      <c r="T3107" t="s">
        <v>12980</v>
      </c>
    </row>
    <row r="3108" spans="1:25" customFormat="1" ht="15" hidden="1" x14ac:dyDescent="0.25">
      <c r="A3108" t="s">
        <v>24</v>
      </c>
      <c r="B3108" t="s">
        <v>11010</v>
      </c>
      <c r="C3108" t="str">
        <f>"A0187580"</f>
        <v>A0187580</v>
      </c>
      <c r="D3108" t="s">
        <v>12981</v>
      </c>
      <c r="E3108" t="s">
        <v>12982</v>
      </c>
      <c r="F3108" t="s">
        <v>12983</v>
      </c>
      <c r="G3108" t="s">
        <v>6356</v>
      </c>
      <c r="H3108">
        <v>60109</v>
      </c>
      <c r="I3108" t="s">
        <v>4803</v>
      </c>
      <c r="J3108" t="s">
        <v>162</v>
      </c>
      <c r="K3108" t="s">
        <v>11013</v>
      </c>
      <c r="N3108" t="s">
        <v>12984</v>
      </c>
      <c r="Q3108">
        <v>0</v>
      </c>
      <c r="R3108">
        <v>38</v>
      </c>
      <c r="S3108">
        <v>0</v>
      </c>
      <c r="T3108" t="s">
        <v>12985</v>
      </c>
    </row>
    <row r="3109" spans="1:25" customFormat="1" ht="15" hidden="1" x14ac:dyDescent="0.25">
      <c r="A3109" t="s">
        <v>24</v>
      </c>
      <c r="B3109" t="s">
        <v>11010</v>
      </c>
      <c r="C3109" t="str">
        <f>"A0187579"</f>
        <v>A0187579</v>
      </c>
      <c r="D3109" t="s">
        <v>12986</v>
      </c>
      <c r="E3109" t="s">
        <v>12987</v>
      </c>
      <c r="F3109" t="s">
        <v>12988</v>
      </c>
      <c r="G3109" t="s">
        <v>6356</v>
      </c>
      <c r="I3109" t="s">
        <v>4803</v>
      </c>
      <c r="J3109" t="s">
        <v>162</v>
      </c>
      <c r="K3109" t="s">
        <v>11013</v>
      </c>
      <c r="N3109" t="s">
        <v>12989</v>
      </c>
      <c r="Q3109">
        <v>0</v>
      </c>
      <c r="R3109">
        <v>51</v>
      </c>
      <c r="S3109">
        <v>0</v>
      </c>
      <c r="T3109" t="s">
        <v>12990</v>
      </c>
    </row>
    <row r="3110" spans="1:25" customFormat="1" ht="15" x14ac:dyDescent="0.25">
      <c r="A3110" t="s">
        <v>24</v>
      </c>
      <c r="B3110" t="s">
        <v>12991</v>
      </c>
      <c r="C3110" t="str">
        <f>"A0180323"</f>
        <v>A0180323</v>
      </c>
      <c r="D3110" t="s">
        <v>12992</v>
      </c>
      <c r="E3110" t="s">
        <v>12993</v>
      </c>
      <c r="F3110" t="s">
        <v>6873</v>
      </c>
      <c r="G3110" t="s">
        <v>47</v>
      </c>
      <c r="H3110">
        <v>97501</v>
      </c>
      <c r="I3110" t="s">
        <v>30</v>
      </c>
      <c r="J3110" t="s">
        <v>31</v>
      </c>
      <c r="K3110" t="s">
        <v>32</v>
      </c>
      <c r="N3110" t="s">
        <v>12994</v>
      </c>
      <c r="Q3110">
        <v>0</v>
      </c>
      <c r="R3110">
        <v>92</v>
      </c>
      <c r="S3110">
        <v>0</v>
      </c>
      <c r="T3110" t="s">
        <v>12995</v>
      </c>
    </row>
    <row r="3111" spans="1:25" customFormat="1" ht="15" x14ac:dyDescent="0.25">
      <c r="A3111" t="s">
        <v>24</v>
      </c>
      <c r="B3111" t="s">
        <v>7220</v>
      </c>
      <c r="C3111" t="str">
        <f>"A0094212"</f>
        <v>A0094212</v>
      </c>
      <c r="D3111" t="s">
        <v>12996</v>
      </c>
      <c r="E3111" t="s">
        <v>12997</v>
      </c>
      <c r="F3111" t="s">
        <v>12998</v>
      </c>
      <c r="G3111" t="s">
        <v>71</v>
      </c>
      <c r="H3111">
        <v>54494</v>
      </c>
      <c r="I3111" t="s">
        <v>30</v>
      </c>
      <c r="J3111" t="s">
        <v>145</v>
      </c>
      <c r="K3111" t="s">
        <v>302</v>
      </c>
      <c r="N3111" t="s">
        <v>12999</v>
      </c>
      <c r="Q3111">
        <v>0</v>
      </c>
      <c r="R3111">
        <v>57</v>
      </c>
      <c r="S3111">
        <v>0</v>
      </c>
      <c r="T3111" t="s">
        <v>13000</v>
      </c>
    </row>
    <row r="3112" spans="1:25" x14ac:dyDescent="0.25">
      <c r="A3112" s="5" t="s">
        <v>24</v>
      </c>
      <c r="B3112" s="5" t="s">
        <v>55285</v>
      </c>
      <c r="C3112" s="5" t="str">
        <f>"A0093541"</f>
        <v>A0093541</v>
      </c>
      <c r="D3112" s="5" t="s">
        <v>62262</v>
      </c>
      <c r="E3112" s="5" t="s">
        <v>62263</v>
      </c>
      <c r="F3112" s="5" t="s">
        <v>13824</v>
      </c>
      <c r="G3112" s="5" t="s">
        <v>58</v>
      </c>
      <c r="H3112" s="5">
        <v>29418</v>
      </c>
      <c r="I3112" s="5" t="s">
        <v>30</v>
      </c>
      <c r="J3112" s="5" t="s">
        <v>162</v>
      </c>
      <c r="K3112" s="5" t="s">
        <v>4442</v>
      </c>
      <c r="L3112" s="5"/>
      <c r="M3112" s="5"/>
      <c r="N3112" s="5" t="s">
        <v>62264</v>
      </c>
      <c r="O3112" s="5" t="s">
        <v>62265</v>
      </c>
      <c r="P3112" s="5"/>
      <c r="Q3112" s="5">
        <v>0</v>
      </c>
      <c r="R3112" s="5">
        <v>166</v>
      </c>
      <c r="S3112" s="5">
        <v>0</v>
      </c>
      <c r="T3112" s="5" t="s">
        <v>62266</v>
      </c>
      <c r="U3112" s="5"/>
      <c r="V3112" s="5"/>
      <c r="W3112" s="5"/>
      <c r="X3112" s="5"/>
      <c r="Y3112" s="5"/>
    </row>
    <row r="3113" spans="1:25" customFormat="1" ht="15" x14ac:dyDescent="0.25">
      <c r="A3113" t="s">
        <v>24</v>
      </c>
      <c r="B3113" t="s">
        <v>850</v>
      </c>
      <c r="C3113" t="str">
        <f>"337M5"</f>
        <v>337M5</v>
      </c>
      <c r="D3113" t="s">
        <v>62267</v>
      </c>
      <c r="E3113" t="s">
        <v>62268</v>
      </c>
      <c r="F3113" t="s">
        <v>7443</v>
      </c>
      <c r="G3113" t="s">
        <v>123</v>
      </c>
      <c r="H3113">
        <v>20770</v>
      </c>
      <c r="I3113" t="s">
        <v>30</v>
      </c>
      <c r="J3113" t="s">
        <v>162</v>
      </c>
      <c r="K3113" t="s">
        <v>4442</v>
      </c>
      <c r="N3113" t="s">
        <v>62269</v>
      </c>
      <c r="Q3113">
        <v>0</v>
      </c>
      <c r="R3113">
        <v>291</v>
      </c>
      <c r="S3113">
        <v>0</v>
      </c>
      <c r="T3113" t="s">
        <v>62270</v>
      </c>
    </row>
    <row r="3114" spans="1:25" customFormat="1" ht="15" x14ac:dyDescent="0.25">
      <c r="A3114" t="s">
        <v>24</v>
      </c>
      <c r="B3114" t="s">
        <v>5843</v>
      </c>
      <c r="C3114" t="str">
        <f>"SC131"</f>
        <v>SC131</v>
      </c>
      <c r="D3114" t="s">
        <v>62271</v>
      </c>
      <c r="E3114" t="s">
        <v>62272</v>
      </c>
      <c r="F3114" t="s">
        <v>2094</v>
      </c>
      <c r="G3114" t="s">
        <v>52</v>
      </c>
      <c r="H3114">
        <v>75247</v>
      </c>
      <c r="I3114" t="s">
        <v>30</v>
      </c>
      <c r="J3114" t="s">
        <v>162</v>
      </c>
      <c r="K3114" t="s">
        <v>4442</v>
      </c>
      <c r="N3114" t="s">
        <v>62273</v>
      </c>
      <c r="Q3114">
        <v>0</v>
      </c>
      <c r="R3114">
        <v>354</v>
      </c>
      <c r="S3114">
        <v>0</v>
      </c>
      <c r="T3114" t="s">
        <v>62274</v>
      </c>
    </row>
    <row r="3115" spans="1:25" customFormat="1" ht="15" x14ac:dyDescent="0.25">
      <c r="A3115" t="s">
        <v>24</v>
      </c>
      <c r="B3115" t="s">
        <v>1849</v>
      </c>
      <c r="C3115" t="str">
        <f>"A0057464"</f>
        <v>A0057464</v>
      </c>
      <c r="D3115" t="s">
        <v>13019</v>
      </c>
      <c r="E3115" t="s">
        <v>13020</v>
      </c>
      <c r="F3115" t="s">
        <v>13021</v>
      </c>
      <c r="G3115" t="s">
        <v>71</v>
      </c>
      <c r="H3115">
        <v>54701</v>
      </c>
      <c r="I3115" t="s">
        <v>30</v>
      </c>
      <c r="J3115" t="s">
        <v>31</v>
      </c>
      <c r="K3115" t="s">
        <v>198</v>
      </c>
      <c r="N3115" t="s">
        <v>13022</v>
      </c>
      <c r="Q3115">
        <v>0</v>
      </c>
      <c r="R3115">
        <v>105</v>
      </c>
      <c r="S3115">
        <v>0</v>
      </c>
      <c r="T3115" t="s">
        <v>13023</v>
      </c>
    </row>
    <row r="3116" spans="1:25" customFormat="1" ht="15" x14ac:dyDescent="0.25">
      <c r="A3116" t="s">
        <v>24</v>
      </c>
      <c r="B3116" t="s">
        <v>210</v>
      </c>
      <c r="C3116" t="str">
        <f>"A0180248"</f>
        <v>A0180248</v>
      </c>
      <c r="D3116" t="s">
        <v>13024</v>
      </c>
      <c r="E3116" t="s">
        <v>13025</v>
      </c>
      <c r="F3116" t="s">
        <v>213</v>
      </c>
      <c r="G3116" t="s">
        <v>214</v>
      </c>
      <c r="H3116">
        <v>28786</v>
      </c>
      <c r="I3116" t="s">
        <v>30</v>
      </c>
      <c r="J3116" t="s">
        <v>31</v>
      </c>
      <c r="K3116" t="s">
        <v>198</v>
      </c>
      <c r="N3116" t="s">
        <v>13026</v>
      </c>
      <c r="Q3116">
        <v>0</v>
      </c>
      <c r="R3116">
        <v>65</v>
      </c>
      <c r="S3116">
        <v>0</v>
      </c>
      <c r="T3116" t="s">
        <v>13027</v>
      </c>
    </row>
    <row r="3117" spans="1:25" customFormat="1" ht="15" x14ac:dyDescent="0.25">
      <c r="A3117" t="s">
        <v>24</v>
      </c>
      <c r="B3117" t="s">
        <v>13028</v>
      </c>
      <c r="C3117" t="str">
        <f>"A0117372"</f>
        <v>A0117372</v>
      </c>
      <c r="D3117" t="s">
        <v>13029</v>
      </c>
      <c r="E3117" t="s">
        <v>13030</v>
      </c>
      <c r="F3117" t="s">
        <v>3401</v>
      </c>
      <c r="G3117" t="s">
        <v>29</v>
      </c>
      <c r="H3117">
        <v>22902</v>
      </c>
      <c r="I3117" t="s">
        <v>30</v>
      </c>
      <c r="J3117" t="s">
        <v>1004</v>
      </c>
      <c r="K3117" t="s">
        <v>163</v>
      </c>
      <c r="N3117" t="s">
        <v>13031</v>
      </c>
      <c r="O3117" t="s">
        <v>13032</v>
      </c>
      <c r="Q3117">
        <v>0</v>
      </c>
      <c r="R3117">
        <v>0</v>
      </c>
      <c r="S3117">
        <v>0</v>
      </c>
      <c r="T3117" t="s">
        <v>13033</v>
      </c>
    </row>
    <row r="3118" spans="1:25" customFormat="1" ht="15" x14ac:dyDescent="0.25">
      <c r="A3118" t="s">
        <v>24</v>
      </c>
      <c r="B3118" t="s">
        <v>10986</v>
      </c>
      <c r="C3118" t="str">
        <f>"A0187507"</f>
        <v>A0187507</v>
      </c>
      <c r="D3118" t="s">
        <v>13034</v>
      </c>
      <c r="E3118" t="s">
        <v>13035</v>
      </c>
      <c r="F3118" t="s">
        <v>13036</v>
      </c>
      <c r="G3118" t="s">
        <v>197</v>
      </c>
      <c r="H3118">
        <v>85392</v>
      </c>
      <c r="I3118" t="s">
        <v>30</v>
      </c>
      <c r="J3118" t="s">
        <v>31</v>
      </c>
      <c r="K3118" t="s">
        <v>261</v>
      </c>
      <c r="N3118" t="s">
        <v>13037</v>
      </c>
      <c r="Q3118">
        <v>0</v>
      </c>
      <c r="R3118">
        <v>127</v>
      </c>
      <c r="S3118">
        <v>0</v>
      </c>
      <c r="T3118" t="s">
        <v>13038</v>
      </c>
    </row>
    <row r="3119" spans="1:25" customFormat="1" ht="15" x14ac:dyDescent="0.25">
      <c r="A3119" t="s">
        <v>24</v>
      </c>
      <c r="B3119" t="s">
        <v>56277</v>
      </c>
      <c r="C3119" t="str">
        <f>"SF01155"</f>
        <v>SF01155</v>
      </c>
      <c r="D3119" t="s">
        <v>62275</v>
      </c>
      <c r="E3119" t="s">
        <v>62276</v>
      </c>
      <c r="F3119" t="s">
        <v>2719</v>
      </c>
      <c r="G3119" t="s">
        <v>190</v>
      </c>
      <c r="H3119">
        <v>80239</v>
      </c>
      <c r="I3119" t="s">
        <v>30</v>
      </c>
      <c r="J3119" t="s">
        <v>162</v>
      </c>
      <c r="K3119" t="s">
        <v>4442</v>
      </c>
      <c r="N3119" t="s">
        <v>62277</v>
      </c>
      <c r="O3119" t="s">
        <v>62278</v>
      </c>
      <c r="Q3119">
        <v>0</v>
      </c>
      <c r="R3119">
        <v>255</v>
      </c>
      <c r="S3119">
        <v>0</v>
      </c>
      <c r="T3119" t="s">
        <v>62279</v>
      </c>
    </row>
    <row r="3120" spans="1:25" customFormat="1" ht="15" x14ac:dyDescent="0.25">
      <c r="A3120" t="s">
        <v>24</v>
      </c>
      <c r="B3120" t="s">
        <v>1548</v>
      </c>
      <c r="C3120" t="str">
        <f>"A0077227"</f>
        <v>A0077227</v>
      </c>
      <c r="D3120" t="s">
        <v>62280</v>
      </c>
      <c r="E3120" t="s">
        <v>62281</v>
      </c>
      <c r="F3120" t="s">
        <v>647</v>
      </c>
      <c r="G3120" t="s">
        <v>338</v>
      </c>
      <c r="H3120">
        <v>7631</v>
      </c>
      <c r="I3120" t="s">
        <v>30</v>
      </c>
      <c r="J3120" t="s">
        <v>162</v>
      </c>
      <c r="K3120" t="s">
        <v>4442</v>
      </c>
      <c r="N3120" t="s">
        <v>62282</v>
      </c>
      <c r="O3120" t="s">
        <v>62283</v>
      </c>
      <c r="Q3120">
        <v>0</v>
      </c>
      <c r="R3120">
        <v>194</v>
      </c>
      <c r="S3120">
        <v>0</v>
      </c>
      <c r="T3120" t="s">
        <v>62284</v>
      </c>
    </row>
    <row r="3121" spans="1:20" customFormat="1" ht="15" x14ac:dyDescent="0.25">
      <c r="A3121" t="s">
        <v>24</v>
      </c>
      <c r="B3121" t="s">
        <v>62285</v>
      </c>
      <c r="C3121" t="str">
        <f>"A0068396"</f>
        <v>A0068396</v>
      </c>
      <c r="D3121" t="s">
        <v>62286</v>
      </c>
      <c r="E3121" t="s">
        <v>62287</v>
      </c>
      <c r="F3121" t="s">
        <v>62288</v>
      </c>
      <c r="G3121" t="s">
        <v>110</v>
      </c>
      <c r="H3121">
        <v>94010</v>
      </c>
      <c r="I3121" t="s">
        <v>30</v>
      </c>
      <c r="J3121" t="s">
        <v>162</v>
      </c>
      <c r="K3121" t="s">
        <v>4442</v>
      </c>
      <c r="N3121" t="s">
        <v>62289</v>
      </c>
      <c r="Q3121">
        <v>0</v>
      </c>
      <c r="R3121">
        <v>309</v>
      </c>
      <c r="S3121">
        <v>0</v>
      </c>
      <c r="T3121" t="s">
        <v>62290</v>
      </c>
    </row>
    <row r="3122" spans="1:20" customFormat="1" ht="15" x14ac:dyDescent="0.25">
      <c r="A3122" t="s">
        <v>35</v>
      </c>
      <c r="B3122" t="s">
        <v>13056</v>
      </c>
      <c r="C3122" t="str">
        <f>"A0187487"</f>
        <v>A0187487</v>
      </c>
      <c r="D3122" t="s">
        <v>13057</v>
      </c>
      <c r="E3122" t="s">
        <v>13058</v>
      </c>
      <c r="F3122" t="s">
        <v>13059</v>
      </c>
      <c r="G3122" t="s">
        <v>29</v>
      </c>
      <c r="H3122">
        <v>23692</v>
      </c>
      <c r="I3122" t="s">
        <v>30</v>
      </c>
      <c r="J3122" t="s">
        <v>41</v>
      </c>
      <c r="K3122" t="s">
        <v>482</v>
      </c>
      <c r="Q3122">
        <v>0</v>
      </c>
      <c r="R3122">
        <v>0</v>
      </c>
      <c r="S3122">
        <v>100</v>
      </c>
      <c r="T3122" t="s">
        <v>13060</v>
      </c>
    </row>
    <row r="3123" spans="1:20" customFormat="1" ht="15" x14ac:dyDescent="0.25">
      <c r="A3123" t="s">
        <v>35</v>
      </c>
      <c r="B3123" t="s">
        <v>13056</v>
      </c>
      <c r="C3123" t="str">
        <f>"A0187486"</f>
        <v>A0187486</v>
      </c>
      <c r="D3123" t="s">
        <v>13061</v>
      </c>
      <c r="E3123" t="s">
        <v>13062</v>
      </c>
      <c r="F3123" t="s">
        <v>1382</v>
      </c>
      <c r="G3123" t="s">
        <v>29</v>
      </c>
      <c r="H3123">
        <v>23601</v>
      </c>
      <c r="I3123" t="s">
        <v>30</v>
      </c>
      <c r="J3123" t="s">
        <v>41</v>
      </c>
      <c r="K3123" t="s">
        <v>482</v>
      </c>
      <c r="Q3123">
        <v>0</v>
      </c>
      <c r="R3123">
        <v>0</v>
      </c>
      <c r="S3123">
        <v>120</v>
      </c>
      <c r="T3123" t="s">
        <v>13063</v>
      </c>
    </row>
    <row r="3124" spans="1:20" customFormat="1" ht="15" x14ac:dyDescent="0.25">
      <c r="A3124" t="s">
        <v>35</v>
      </c>
      <c r="B3124" t="s">
        <v>36</v>
      </c>
      <c r="C3124" t="str">
        <f>"A0187485"</f>
        <v>A0187485</v>
      </c>
      <c r="D3124" t="s">
        <v>13064</v>
      </c>
      <c r="E3124" t="s">
        <v>13065</v>
      </c>
      <c r="F3124" t="s">
        <v>7104</v>
      </c>
      <c r="G3124" t="s">
        <v>381</v>
      </c>
      <c r="H3124">
        <v>46628</v>
      </c>
      <c r="I3124" t="s">
        <v>30</v>
      </c>
      <c r="J3124" t="s">
        <v>41</v>
      </c>
      <c r="K3124" t="s">
        <v>42</v>
      </c>
      <c r="Q3124">
        <v>0</v>
      </c>
      <c r="R3124">
        <v>0</v>
      </c>
      <c r="S3124">
        <v>0</v>
      </c>
      <c r="T3124" t="s">
        <v>13066</v>
      </c>
    </row>
    <row r="3125" spans="1:20" customFormat="1" ht="15" x14ac:dyDescent="0.25">
      <c r="A3125" t="s">
        <v>35</v>
      </c>
      <c r="B3125" t="s">
        <v>9648</v>
      </c>
      <c r="C3125" t="str">
        <f>"A0187484"</f>
        <v>A0187484</v>
      </c>
      <c r="D3125" t="s">
        <v>9648</v>
      </c>
      <c r="E3125" t="s">
        <v>13067</v>
      </c>
      <c r="F3125" t="s">
        <v>13068</v>
      </c>
      <c r="G3125" t="s">
        <v>338</v>
      </c>
      <c r="H3125">
        <v>7014</v>
      </c>
      <c r="I3125" t="s">
        <v>30</v>
      </c>
      <c r="J3125" t="s">
        <v>41</v>
      </c>
      <c r="K3125" t="s">
        <v>290</v>
      </c>
      <c r="Q3125">
        <v>0</v>
      </c>
      <c r="R3125">
        <v>0</v>
      </c>
      <c r="S3125">
        <v>0</v>
      </c>
      <c r="T3125" t="s">
        <v>13069</v>
      </c>
    </row>
    <row r="3126" spans="1:20" customFormat="1" ht="15" x14ac:dyDescent="0.25">
      <c r="A3126" t="s">
        <v>35</v>
      </c>
      <c r="B3126" t="s">
        <v>9648</v>
      </c>
      <c r="C3126" t="str">
        <f>"A0187483"</f>
        <v>A0187483</v>
      </c>
      <c r="D3126" t="s">
        <v>13070</v>
      </c>
      <c r="E3126" t="s">
        <v>13071</v>
      </c>
      <c r="F3126" t="s">
        <v>13072</v>
      </c>
      <c r="G3126" t="s">
        <v>71</v>
      </c>
      <c r="H3126">
        <v>53081</v>
      </c>
      <c r="I3126" t="s">
        <v>30</v>
      </c>
      <c r="J3126" t="s">
        <v>41</v>
      </c>
      <c r="K3126" t="s">
        <v>229</v>
      </c>
      <c r="Q3126">
        <v>0</v>
      </c>
      <c r="R3126">
        <v>0</v>
      </c>
      <c r="S3126">
        <v>80</v>
      </c>
      <c r="T3126" t="s">
        <v>13073</v>
      </c>
    </row>
    <row r="3127" spans="1:20" customFormat="1" ht="15" x14ac:dyDescent="0.25">
      <c r="A3127" t="s">
        <v>35</v>
      </c>
      <c r="B3127" t="s">
        <v>61</v>
      </c>
      <c r="C3127" t="str">
        <f>"A0187482"</f>
        <v>A0187482</v>
      </c>
      <c r="D3127" t="s">
        <v>13074</v>
      </c>
      <c r="E3127" t="s">
        <v>13075</v>
      </c>
      <c r="F3127" t="s">
        <v>1705</v>
      </c>
      <c r="G3127" t="s">
        <v>117</v>
      </c>
      <c r="H3127">
        <v>48009</v>
      </c>
      <c r="I3127" t="s">
        <v>30</v>
      </c>
      <c r="J3127" t="s">
        <v>41</v>
      </c>
      <c r="K3127" t="s">
        <v>456</v>
      </c>
      <c r="Q3127">
        <v>0</v>
      </c>
      <c r="R3127">
        <v>0</v>
      </c>
      <c r="S3127">
        <v>0</v>
      </c>
      <c r="T3127" t="s">
        <v>13076</v>
      </c>
    </row>
    <row r="3128" spans="1:20" customFormat="1" ht="15" x14ac:dyDescent="0.25">
      <c r="A3128" t="s">
        <v>35</v>
      </c>
      <c r="B3128" t="s">
        <v>61</v>
      </c>
      <c r="C3128" t="str">
        <f>"A0187481"</f>
        <v>A0187481</v>
      </c>
      <c r="D3128" t="s">
        <v>13077</v>
      </c>
      <c r="E3128" t="s">
        <v>13078</v>
      </c>
      <c r="F3128" t="s">
        <v>12384</v>
      </c>
      <c r="G3128" t="s">
        <v>190</v>
      </c>
      <c r="H3128">
        <v>80918</v>
      </c>
      <c r="I3128" t="s">
        <v>30</v>
      </c>
      <c r="J3128" t="s">
        <v>41</v>
      </c>
      <c r="K3128" t="s">
        <v>9463</v>
      </c>
      <c r="Q3128">
        <v>0</v>
      </c>
      <c r="R3128">
        <v>0</v>
      </c>
      <c r="S3128">
        <v>300</v>
      </c>
      <c r="T3128" t="s">
        <v>13079</v>
      </c>
    </row>
    <row r="3129" spans="1:20" customFormat="1" ht="15" x14ac:dyDescent="0.25">
      <c r="A3129" t="s">
        <v>35</v>
      </c>
      <c r="B3129" t="s">
        <v>1918</v>
      </c>
      <c r="C3129" t="str">
        <f>"A0187480"</f>
        <v>A0187480</v>
      </c>
      <c r="D3129" t="s">
        <v>13080</v>
      </c>
      <c r="E3129" t="s">
        <v>13081</v>
      </c>
      <c r="F3129" t="s">
        <v>13082</v>
      </c>
      <c r="G3129" t="s">
        <v>81</v>
      </c>
      <c r="H3129">
        <v>32746</v>
      </c>
      <c r="I3129" t="s">
        <v>30</v>
      </c>
      <c r="J3129" t="s">
        <v>441</v>
      </c>
      <c r="K3129" t="s">
        <v>442</v>
      </c>
      <c r="Q3129">
        <v>0</v>
      </c>
      <c r="R3129">
        <v>0</v>
      </c>
      <c r="S3129">
        <v>0</v>
      </c>
      <c r="T3129" t="s">
        <v>72</v>
      </c>
    </row>
    <row r="3130" spans="1:20" customFormat="1" ht="15" x14ac:dyDescent="0.25">
      <c r="A3130" t="s">
        <v>35</v>
      </c>
      <c r="B3130" t="s">
        <v>13083</v>
      </c>
      <c r="C3130" t="str">
        <f>"A0187479"</f>
        <v>A0187479</v>
      </c>
      <c r="D3130" t="s">
        <v>13084</v>
      </c>
      <c r="E3130" t="s">
        <v>13085</v>
      </c>
      <c r="F3130" t="s">
        <v>6278</v>
      </c>
      <c r="G3130" t="s">
        <v>103</v>
      </c>
      <c r="H3130">
        <v>16652</v>
      </c>
      <c r="I3130" t="s">
        <v>30</v>
      </c>
      <c r="J3130" t="s">
        <v>41</v>
      </c>
      <c r="K3130" t="s">
        <v>59</v>
      </c>
      <c r="Q3130">
        <v>0</v>
      </c>
      <c r="R3130">
        <v>0</v>
      </c>
      <c r="S3130">
        <v>0</v>
      </c>
      <c r="T3130" t="s">
        <v>13086</v>
      </c>
    </row>
    <row r="3131" spans="1:20" customFormat="1" ht="15" x14ac:dyDescent="0.25">
      <c r="A3131" t="s">
        <v>35</v>
      </c>
      <c r="B3131" t="s">
        <v>4771</v>
      </c>
      <c r="C3131" t="str">
        <f>"A0187478"</f>
        <v>A0187478</v>
      </c>
      <c r="D3131" t="s">
        <v>13087</v>
      </c>
      <c r="E3131" t="s">
        <v>13088</v>
      </c>
      <c r="F3131" t="s">
        <v>13089</v>
      </c>
      <c r="G3131" t="s">
        <v>110</v>
      </c>
      <c r="H3131">
        <v>94588</v>
      </c>
      <c r="I3131" t="s">
        <v>30</v>
      </c>
      <c r="J3131" t="s">
        <v>41</v>
      </c>
      <c r="K3131" t="s">
        <v>456</v>
      </c>
      <c r="Q3131">
        <v>0</v>
      </c>
      <c r="R3131">
        <v>0</v>
      </c>
      <c r="S3131">
        <v>0</v>
      </c>
      <c r="T3131" t="s">
        <v>72</v>
      </c>
    </row>
    <row r="3132" spans="1:20" customFormat="1" ht="15" x14ac:dyDescent="0.25">
      <c r="A3132" t="s">
        <v>35</v>
      </c>
      <c r="B3132" t="s">
        <v>1956</v>
      </c>
      <c r="C3132" t="str">
        <f>"A0187477"</f>
        <v>A0187477</v>
      </c>
      <c r="D3132" t="s">
        <v>13090</v>
      </c>
      <c r="E3132" t="s">
        <v>13091</v>
      </c>
      <c r="F3132" t="s">
        <v>13092</v>
      </c>
      <c r="G3132" t="s">
        <v>289</v>
      </c>
      <c r="H3132">
        <v>60527</v>
      </c>
      <c r="I3132" t="s">
        <v>30</v>
      </c>
      <c r="J3132" t="s">
        <v>41</v>
      </c>
      <c r="K3132" t="s">
        <v>1032</v>
      </c>
      <c r="Q3132">
        <v>0</v>
      </c>
      <c r="R3132">
        <v>0</v>
      </c>
      <c r="S3132">
        <v>76</v>
      </c>
      <c r="T3132" t="s">
        <v>13093</v>
      </c>
    </row>
    <row r="3133" spans="1:20" customFormat="1" ht="15" x14ac:dyDescent="0.25">
      <c r="A3133" t="s">
        <v>35</v>
      </c>
      <c r="B3133" t="s">
        <v>1956</v>
      </c>
      <c r="C3133" t="str">
        <f>"A0187476"</f>
        <v>A0187476</v>
      </c>
      <c r="D3133" t="s">
        <v>13094</v>
      </c>
      <c r="E3133" t="s">
        <v>13095</v>
      </c>
      <c r="F3133" t="s">
        <v>5772</v>
      </c>
      <c r="G3133" t="s">
        <v>161</v>
      </c>
      <c r="H3133">
        <v>55902</v>
      </c>
      <c r="I3133" t="s">
        <v>30</v>
      </c>
      <c r="J3133" t="s">
        <v>41</v>
      </c>
      <c r="K3133" t="s">
        <v>1032</v>
      </c>
      <c r="Q3133">
        <v>0</v>
      </c>
      <c r="R3133">
        <v>0</v>
      </c>
      <c r="S3133">
        <v>0</v>
      </c>
      <c r="T3133" t="s">
        <v>72</v>
      </c>
    </row>
    <row r="3134" spans="1:20" customFormat="1" ht="15" x14ac:dyDescent="0.25">
      <c r="A3134" t="s">
        <v>35</v>
      </c>
      <c r="B3134" t="s">
        <v>1956</v>
      </c>
      <c r="C3134" t="str">
        <f>"A0187475"</f>
        <v>A0187475</v>
      </c>
      <c r="D3134" t="s">
        <v>13096</v>
      </c>
      <c r="E3134" t="s">
        <v>13097</v>
      </c>
      <c r="F3134" t="s">
        <v>12909</v>
      </c>
      <c r="G3134" t="s">
        <v>190</v>
      </c>
      <c r="H3134">
        <v>80122</v>
      </c>
      <c r="I3134" t="s">
        <v>30</v>
      </c>
      <c r="J3134" t="s">
        <v>41</v>
      </c>
      <c r="K3134" t="s">
        <v>1032</v>
      </c>
      <c r="Q3134">
        <v>0</v>
      </c>
      <c r="R3134">
        <v>0</v>
      </c>
      <c r="S3134">
        <v>76</v>
      </c>
      <c r="T3134" t="s">
        <v>13098</v>
      </c>
    </row>
    <row r="3135" spans="1:20" customFormat="1" ht="15" x14ac:dyDescent="0.25">
      <c r="A3135" t="s">
        <v>35</v>
      </c>
      <c r="B3135" t="s">
        <v>1956</v>
      </c>
      <c r="C3135" t="str">
        <f>"A0187474"</f>
        <v>A0187474</v>
      </c>
      <c r="D3135" t="s">
        <v>13099</v>
      </c>
      <c r="E3135" t="s">
        <v>13100</v>
      </c>
      <c r="F3135" t="s">
        <v>13101</v>
      </c>
      <c r="G3135" t="s">
        <v>289</v>
      </c>
      <c r="H3135">
        <v>60025</v>
      </c>
      <c r="I3135" t="s">
        <v>30</v>
      </c>
      <c r="J3135" t="s">
        <v>41</v>
      </c>
      <c r="K3135" t="s">
        <v>1032</v>
      </c>
      <c r="Q3135">
        <v>0</v>
      </c>
      <c r="R3135">
        <v>0</v>
      </c>
      <c r="S3135">
        <v>76</v>
      </c>
      <c r="T3135" t="s">
        <v>13102</v>
      </c>
    </row>
    <row r="3136" spans="1:20" customFormat="1" ht="15" x14ac:dyDescent="0.25">
      <c r="A3136" t="s">
        <v>35</v>
      </c>
      <c r="B3136" t="s">
        <v>1956</v>
      </c>
      <c r="C3136" t="str">
        <f>"A0187473"</f>
        <v>A0187473</v>
      </c>
      <c r="D3136" t="s">
        <v>13103</v>
      </c>
      <c r="E3136" t="s">
        <v>13104</v>
      </c>
      <c r="F3136" t="s">
        <v>13105</v>
      </c>
      <c r="G3136" t="s">
        <v>289</v>
      </c>
      <c r="H3136">
        <v>60477</v>
      </c>
      <c r="I3136" t="s">
        <v>30</v>
      </c>
      <c r="J3136" t="s">
        <v>41</v>
      </c>
      <c r="K3136" t="s">
        <v>1032</v>
      </c>
      <c r="Q3136">
        <v>0</v>
      </c>
      <c r="R3136">
        <v>0</v>
      </c>
      <c r="S3136">
        <v>66</v>
      </c>
      <c r="T3136" t="s">
        <v>13106</v>
      </c>
    </row>
    <row r="3137" spans="1:20" customFormat="1" ht="15" x14ac:dyDescent="0.25">
      <c r="A3137" t="s">
        <v>35</v>
      </c>
      <c r="B3137" t="s">
        <v>1956</v>
      </c>
      <c r="C3137" t="str">
        <f>"A0187472"</f>
        <v>A0187472</v>
      </c>
      <c r="D3137" t="s">
        <v>13107</v>
      </c>
      <c r="E3137" t="s">
        <v>13108</v>
      </c>
      <c r="F3137" t="s">
        <v>13109</v>
      </c>
      <c r="G3137" t="s">
        <v>110</v>
      </c>
      <c r="H3137">
        <v>92562</v>
      </c>
      <c r="I3137" t="s">
        <v>30</v>
      </c>
      <c r="J3137" t="s">
        <v>41</v>
      </c>
      <c r="K3137" t="s">
        <v>1032</v>
      </c>
      <c r="Q3137">
        <v>0</v>
      </c>
      <c r="R3137">
        <v>0</v>
      </c>
      <c r="S3137">
        <v>82</v>
      </c>
      <c r="T3137" t="s">
        <v>13110</v>
      </c>
    </row>
    <row r="3138" spans="1:20" customFormat="1" ht="15" x14ac:dyDescent="0.25">
      <c r="A3138" t="s">
        <v>35</v>
      </c>
      <c r="B3138" t="s">
        <v>1956</v>
      </c>
      <c r="C3138" t="str">
        <f>"A0187471"</f>
        <v>A0187471</v>
      </c>
      <c r="D3138" t="s">
        <v>13111</v>
      </c>
      <c r="E3138" t="s">
        <v>13112</v>
      </c>
      <c r="F3138" t="s">
        <v>13113</v>
      </c>
      <c r="G3138" t="s">
        <v>190</v>
      </c>
      <c r="H3138">
        <v>80015</v>
      </c>
      <c r="I3138" t="s">
        <v>30</v>
      </c>
      <c r="J3138" t="s">
        <v>41</v>
      </c>
      <c r="K3138" t="s">
        <v>1032</v>
      </c>
      <c r="Q3138">
        <v>0</v>
      </c>
      <c r="R3138">
        <v>0</v>
      </c>
      <c r="S3138">
        <v>64</v>
      </c>
      <c r="T3138" t="s">
        <v>13114</v>
      </c>
    </row>
    <row r="3139" spans="1:20" customFormat="1" ht="15" x14ac:dyDescent="0.25">
      <c r="A3139" t="s">
        <v>35</v>
      </c>
      <c r="B3139" t="s">
        <v>1956</v>
      </c>
      <c r="C3139" t="str">
        <f>"A0187470"</f>
        <v>A0187470</v>
      </c>
      <c r="D3139" t="s">
        <v>13115</v>
      </c>
      <c r="E3139" t="s">
        <v>13116</v>
      </c>
      <c r="F3139" t="s">
        <v>8453</v>
      </c>
      <c r="G3139" t="s">
        <v>190</v>
      </c>
      <c r="H3139">
        <v>80021</v>
      </c>
      <c r="I3139" t="s">
        <v>30</v>
      </c>
      <c r="J3139" t="s">
        <v>41</v>
      </c>
      <c r="K3139" t="s">
        <v>1032</v>
      </c>
      <c r="Q3139">
        <v>0</v>
      </c>
      <c r="R3139">
        <v>0</v>
      </c>
      <c r="S3139">
        <v>0</v>
      </c>
      <c r="T3139" t="s">
        <v>13117</v>
      </c>
    </row>
    <row r="3140" spans="1:20" customFormat="1" ht="15" x14ac:dyDescent="0.25">
      <c r="A3140" t="s">
        <v>35</v>
      </c>
      <c r="B3140" t="s">
        <v>1956</v>
      </c>
      <c r="C3140" t="str">
        <f>"A0187469"</f>
        <v>A0187469</v>
      </c>
      <c r="D3140" t="s">
        <v>13118</v>
      </c>
      <c r="E3140" t="s">
        <v>13119</v>
      </c>
      <c r="F3140" t="s">
        <v>13120</v>
      </c>
      <c r="G3140" t="s">
        <v>289</v>
      </c>
      <c r="H3140">
        <v>60453</v>
      </c>
      <c r="I3140" t="s">
        <v>30</v>
      </c>
      <c r="J3140" t="s">
        <v>41</v>
      </c>
      <c r="K3140" t="s">
        <v>1032</v>
      </c>
      <c r="Q3140">
        <v>0</v>
      </c>
      <c r="R3140">
        <v>0</v>
      </c>
      <c r="S3140">
        <v>80</v>
      </c>
      <c r="T3140" t="s">
        <v>13121</v>
      </c>
    </row>
    <row r="3141" spans="1:20" customFormat="1" ht="15" x14ac:dyDescent="0.25">
      <c r="A3141" t="s">
        <v>35</v>
      </c>
      <c r="B3141" t="s">
        <v>1956</v>
      </c>
      <c r="C3141" t="str">
        <f>"A0187468"</f>
        <v>A0187468</v>
      </c>
      <c r="D3141" t="s">
        <v>1956</v>
      </c>
      <c r="E3141" t="s">
        <v>13122</v>
      </c>
      <c r="F3141" t="s">
        <v>13123</v>
      </c>
      <c r="G3141" t="s">
        <v>47</v>
      </c>
      <c r="H3141">
        <v>97035</v>
      </c>
      <c r="I3141" t="s">
        <v>30</v>
      </c>
      <c r="J3141" t="s">
        <v>41</v>
      </c>
      <c r="K3141" t="s">
        <v>290</v>
      </c>
      <c r="Q3141">
        <v>0</v>
      </c>
      <c r="R3141">
        <v>0</v>
      </c>
      <c r="S3141">
        <v>0</v>
      </c>
      <c r="T3141" t="s">
        <v>13124</v>
      </c>
    </row>
    <row r="3142" spans="1:20" customFormat="1" ht="15" x14ac:dyDescent="0.25">
      <c r="A3142" t="s">
        <v>35</v>
      </c>
      <c r="B3142" t="s">
        <v>1956</v>
      </c>
      <c r="C3142" t="str">
        <f>"A0187467"</f>
        <v>A0187467</v>
      </c>
      <c r="D3142" t="s">
        <v>13125</v>
      </c>
      <c r="E3142" t="s">
        <v>13126</v>
      </c>
      <c r="F3142" t="s">
        <v>13127</v>
      </c>
      <c r="G3142" t="s">
        <v>925</v>
      </c>
      <c r="H3142">
        <v>66204</v>
      </c>
      <c r="I3142" t="s">
        <v>30</v>
      </c>
      <c r="J3142" t="s">
        <v>41</v>
      </c>
      <c r="K3142" t="s">
        <v>59</v>
      </c>
      <c r="Q3142">
        <v>0</v>
      </c>
      <c r="R3142">
        <v>0</v>
      </c>
      <c r="S3142">
        <v>66</v>
      </c>
      <c r="T3142" t="s">
        <v>13128</v>
      </c>
    </row>
    <row r="3143" spans="1:20" customFormat="1" ht="15" x14ac:dyDescent="0.25">
      <c r="A3143" t="s">
        <v>35</v>
      </c>
      <c r="B3143" t="s">
        <v>1956</v>
      </c>
      <c r="C3143" t="str">
        <f>"A0187466"</f>
        <v>A0187466</v>
      </c>
      <c r="D3143" t="s">
        <v>13129</v>
      </c>
      <c r="E3143" t="s">
        <v>13130</v>
      </c>
      <c r="F3143" t="s">
        <v>12909</v>
      </c>
      <c r="G3143" t="s">
        <v>190</v>
      </c>
      <c r="H3143">
        <v>80127</v>
      </c>
      <c r="I3143" t="s">
        <v>30</v>
      </c>
      <c r="J3143" t="s">
        <v>41</v>
      </c>
      <c r="K3143" t="s">
        <v>1032</v>
      </c>
      <c r="Q3143">
        <v>0</v>
      </c>
      <c r="R3143">
        <v>0</v>
      </c>
      <c r="S3143">
        <v>76</v>
      </c>
      <c r="T3143" t="s">
        <v>13131</v>
      </c>
    </row>
    <row r="3144" spans="1:20" customFormat="1" ht="15" x14ac:dyDescent="0.25">
      <c r="A3144" t="s">
        <v>35</v>
      </c>
      <c r="B3144" t="s">
        <v>1956</v>
      </c>
      <c r="C3144" t="str">
        <f>"A0187465"</f>
        <v>A0187465</v>
      </c>
      <c r="D3144" t="s">
        <v>13132</v>
      </c>
      <c r="E3144" t="s">
        <v>13133</v>
      </c>
      <c r="F3144" t="s">
        <v>2784</v>
      </c>
      <c r="G3144" t="s">
        <v>925</v>
      </c>
      <c r="H3144">
        <v>67206</v>
      </c>
      <c r="I3144" t="s">
        <v>30</v>
      </c>
      <c r="J3144" t="s">
        <v>41</v>
      </c>
      <c r="K3144" t="s">
        <v>59</v>
      </c>
      <c r="Q3144">
        <v>0</v>
      </c>
      <c r="R3144">
        <v>0</v>
      </c>
      <c r="S3144">
        <v>66</v>
      </c>
      <c r="T3144" t="s">
        <v>13134</v>
      </c>
    </row>
    <row r="3145" spans="1:20" customFormat="1" ht="15" x14ac:dyDescent="0.25">
      <c r="A3145" t="s">
        <v>24</v>
      </c>
      <c r="B3145" t="s">
        <v>2910</v>
      </c>
      <c r="C3145" t="str">
        <f>"SF02592"</f>
        <v>SF02592</v>
      </c>
      <c r="D3145" t="s">
        <v>62291</v>
      </c>
      <c r="E3145" t="s">
        <v>62292</v>
      </c>
      <c r="F3145" t="s">
        <v>4645</v>
      </c>
      <c r="G3145" t="s">
        <v>81</v>
      </c>
      <c r="H3145">
        <v>32218</v>
      </c>
      <c r="I3145" t="s">
        <v>30</v>
      </c>
      <c r="J3145" t="s">
        <v>162</v>
      </c>
      <c r="K3145" t="s">
        <v>4442</v>
      </c>
      <c r="N3145" t="s">
        <v>62293</v>
      </c>
      <c r="O3145" t="s">
        <v>62294</v>
      </c>
      <c r="Q3145">
        <v>0</v>
      </c>
      <c r="R3145">
        <v>317</v>
      </c>
      <c r="S3145">
        <v>0</v>
      </c>
      <c r="T3145" t="s">
        <v>62295</v>
      </c>
    </row>
    <row r="3146" spans="1:20" customFormat="1" ht="15" x14ac:dyDescent="0.25">
      <c r="A3146" t="s">
        <v>35</v>
      </c>
      <c r="B3146" t="s">
        <v>9648</v>
      </c>
      <c r="C3146" t="str">
        <f>"A0132475"</f>
        <v>A0132475</v>
      </c>
      <c r="D3146" t="s">
        <v>13141</v>
      </c>
      <c r="E3146" t="s">
        <v>13142</v>
      </c>
      <c r="F3146" t="s">
        <v>9651</v>
      </c>
      <c r="G3146" t="s">
        <v>65</v>
      </c>
      <c r="H3146">
        <v>44836</v>
      </c>
      <c r="I3146" t="s">
        <v>30</v>
      </c>
      <c r="J3146" t="s">
        <v>41</v>
      </c>
      <c r="K3146" t="s">
        <v>229</v>
      </c>
      <c r="Q3146">
        <v>0</v>
      </c>
      <c r="R3146">
        <v>156</v>
      </c>
      <c r="S3146">
        <v>120</v>
      </c>
      <c r="T3146" t="s">
        <v>13143</v>
      </c>
    </row>
    <row r="3147" spans="1:20" customFormat="1" ht="15" x14ac:dyDescent="0.25">
      <c r="A3147" t="s">
        <v>35</v>
      </c>
      <c r="B3147" t="s">
        <v>9648</v>
      </c>
      <c r="C3147" t="str">
        <f>"A0132473"</f>
        <v>A0132473</v>
      </c>
      <c r="D3147" t="s">
        <v>13144</v>
      </c>
      <c r="E3147" t="s">
        <v>13145</v>
      </c>
      <c r="F3147" t="s">
        <v>9651</v>
      </c>
      <c r="G3147" t="s">
        <v>65</v>
      </c>
      <c r="H3147">
        <v>44836</v>
      </c>
      <c r="I3147" t="s">
        <v>30</v>
      </c>
      <c r="J3147" t="s">
        <v>41</v>
      </c>
      <c r="K3147" t="s">
        <v>229</v>
      </c>
      <c r="Q3147">
        <v>0</v>
      </c>
      <c r="R3147">
        <v>0</v>
      </c>
      <c r="S3147">
        <v>31</v>
      </c>
      <c r="T3147" t="s">
        <v>13146</v>
      </c>
    </row>
    <row r="3148" spans="1:20" customFormat="1" ht="15" x14ac:dyDescent="0.25">
      <c r="A3148" t="s">
        <v>35</v>
      </c>
      <c r="B3148" t="s">
        <v>9648</v>
      </c>
      <c r="C3148" t="str">
        <f>"A0117762"</f>
        <v>A0117762</v>
      </c>
      <c r="D3148" t="s">
        <v>13147</v>
      </c>
      <c r="E3148" t="s">
        <v>13148</v>
      </c>
      <c r="F3148" t="s">
        <v>102</v>
      </c>
      <c r="G3148" t="s">
        <v>103</v>
      </c>
      <c r="H3148">
        <v>15221</v>
      </c>
      <c r="I3148" t="s">
        <v>30</v>
      </c>
      <c r="J3148" t="s">
        <v>41</v>
      </c>
      <c r="K3148" t="s">
        <v>229</v>
      </c>
      <c r="Q3148">
        <v>0</v>
      </c>
      <c r="R3148">
        <v>148</v>
      </c>
      <c r="S3148">
        <v>148</v>
      </c>
      <c r="T3148" t="s">
        <v>13149</v>
      </c>
    </row>
    <row r="3149" spans="1:20" customFormat="1" ht="15" x14ac:dyDescent="0.25">
      <c r="A3149" t="s">
        <v>24</v>
      </c>
      <c r="B3149" t="s">
        <v>35351</v>
      </c>
      <c r="C3149" t="str">
        <f>"A0056675"</f>
        <v>A0056675</v>
      </c>
      <c r="D3149" t="s">
        <v>62296</v>
      </c>
      <c r="E3149" t="s">
        <v>62297</v>
      </c>
      <c r="F3149" t="s">
        <v>5107</v>
      </c>
      <c r="G3149" t="s">
        <v>137</v>
      </c>
      <c r="H3149">
        <v>64105</v>
      </c>
      <c r="I3149" t="s">
        <v>30</v>
      </c>
      <c r="J3149" t="s">
        <v>162</v>
      </c>
      <c r="K3149" t="s">
        <v>4442</v>
      </c>
      <c r="N3149" t="s">
        <v>62298</v>
      </c>
      <c r="O3149" t="s">
        <v>62299</v>
      </c>
      <c r="Q3149">
        <v>0</v>
      </c>
      <c r="R3149">
        <v>385</v>
      </c>
      <c r="S3149">
        <v>0</v>
      </c>
      <c r="T3149" t="s">
        <v>62300</v>
      </c>
    </row>
    <row r="3150" spans="1:20" customFormat="1" ht="15" x14ac:dyDescent="0.25">
      <c r="A3150" t="s">
        <v>24</v>
      </c>
      <c r="B3150" t="s">
        <v>13150</v>
      </c>
      <c r="C3150" t="str">
        <f>"A0086461"</f>
        <v>A0086461</v>
      </c>
      <c r="D3150" t="s">
        <v>13156</v>
      </c>
      <c r="E3150" t="s">
        <v>13157</v>
      </c>
      <c r="F3150" t="s">
        <v>2839</v>
      </c>
      <c r="G3150" t="s">
        <v>846</v>
      </c>
      <c r="H3150">
        <v>31408</v>
      </c>
      <c r="I3150" t="s">
        <v>30</v>
      </c>
      <c r="J3150" t="s">
        <v>31</v>
      </c>
      <c r="K3150" t="s">
        <v>3155</v>
      </c>
      <c r="N3150" t="s">
        <v>13158</v>
      </c>
      <c r="Q3150">
        <v>0</v>
      </c>
      <c r="R3150">
        <v>91</v>
      </c>
      <c r="S3150">
        <v>0</v>
      </c>
      <c r="T3150" t="s">
        <v>13159</v>
      </c>
    </row>
    <row r="3151" spans="1:20" customFormat="1" ht="15" x14ac:dyDescent="0.25">
      <c r="A3151" t="s">
        <v>24</v>
      </c>
      <c r="B3151" t="s">
        <v>9975</v>
      </c>
      <c r="C3151" t="str">
        <f>"A0187452"</f>
        <v>A0187452</v>
      </c>
      <c r="D3151" t="s">
        <v>13160</v>
      </c>
      <c r="E3151" t="s">
        <v>13161</v>
      </c>
      <c r="F3151" t="s">
        <v>2110</v>
      </c>
      <c r="G3151" t="s">
        <v>52</v>
      </c>
      <c r="H3151">
        <v>76051</v>
      </c>
      <c r="I3151" t="s">
        <v>30</v>
      </c>
      <c r="J3151" t="s">
        <v>1004</v>
      </c>
      <c r="K3151" t="s">
        <v>163</v>
      </c>
      <c r="N3151" t="s">
        <v>13162</v>
      </c>
      <c r="Q3151">
        <v>0</v>
      </c>
      <c r="R3151">
        <v>0</v>
      </c>
      <c r="S3151">
        <v>0</v>
      </c>
      <c r="T3151" t="s">
        <v>13163</v>
      </c>
    </row>
    <row r="3152" spans="1:20" customFormat="1" ht="15" x14ac:dyDescent="0.25">
      <c r="A3152" t="s">
        <v>24</v>
      </c>
      <c r="B3152" t="s">
        <v>2910</v>
      </c>
      <c r="C3152" t="str">
        <f>"A0069155"</f>
        <v>A0069155</v>
      </c>
      <c r="D3152" t="s">
        <v>62301</v>
      </c>
      <c r="E3152" t="s">
        <v>62302</v>
      </c>
      <c r="F3152" t="s">
        <v>11700</v>
      </c>
      <c r="G3152" t="s">
        <v>880</v>
      </c>
      <c r="H3152">
        <v>38105</v>
      </c>
      <c r="I3152" t="s">
        <v>30</v>
      </c>
      <c r="J3152" t="s">
        <v>162</v>
      </c>
      <c r="K3152" t="s">
        <v>4442</v>
      </c>
      <c r="N3152" t="s">
        <v>62303</v>
      </c>
      <c r="Q3152">
        <v>0</v>
      </c>
      <c r="R3152">
        <v>230</v>
      </c>
      <c r="S3152">
        <v>0</v>
      </c>
      <c r="T3152" t="s">
        <v>62304</v>
      </c>
    </row>
    <row r="3153" spans="1:25" customFormat="1" ht="15" hidden="1" x14ac:dyDescent="0.25">
      <c r="A3153" t="s">
        <v>24</v>
      </c>
      <c r="B3153" t="s">
        <v>13170</v>
      </c>
      <c r="C3153" t="str">
        <f>"A0187436"</f>
        <v>A0187436</v>
      </c>
      <c r="D3153" t="s">
        <v>13171</v>
      </c>
      <c r="E3153" t="s">
        <v>13172</v>
      </c>
      <c r="F3153" t="s">
        <v>9107</v>
      </c>
      <c r="G3153" t="s">
        <v>1457</v>
      </c>
      <c r="H3153" t="s">
        <v>13173</v>
      </c>
      <c r="I3153" t="s">
        <v>1459</v>
      </c>
      <c r="J3153" t="s">
        <v>162</v>
      </c>
      <c r="K3153" t="s">
        <v>8834</v>
      </c>
      <c r="N3153" t="s">
        <v>13174</v>
      </c>
      <c r="Q3153">
        <v>0</v>
      </c>
      <c r="R3153">
        <v>170</v>
      </c>
      <c r="S3153">
        <v>0</v>
      </c>
      <c r="T3153" t="s">
        <v>13175</v>
      </c>
    </row>
    <row r="3154" spans="1:25" x14ac:dyDescent="0.25">
      <c r="A3154" s="5" t="s">
        <v>24</v>
      </c>
      <c r="B3154" s="5" t="s">
        <v>2910</v>
      </c>
      <c r="C3154" s="5" t="str">
        <f>"A0088702"</f>
        <v>A0088702</v>
      </c>
      <c r="D3154" s="5" t="s">
        <v>62305</v>
      </c>
      <c r="E3154" s="5" t="s">
        <v>62306</v>
      </c>
      <c r="F3154" s="5" t="s">
        <v>5999</v>
      </c>
      <c r="G3154" s="5" t="s">
        <v>71</v>
      </c>
      <c r="H3154" s="5">
        <v>53221</v>
      </c>
      <c r="I3154" s="5" t="s">
        <v>30</v>
      </c>
      <c r="J3154" s="5" t="s">
        <v>162</v>
      </c>
      <c r="K3154" s="5" t="s">
        <v>4442</v>
      </c>
      <c r="L3154" s="5"/>
      <c r="M3154" s="5"/>
      <c r="N3154" s="5" t="s">
        <v>62307</v>
      </c>
      <c r="O3154" s="5"/>
      <c r="P3154" s="5"/>
      <c r="Q3154" s="5">
        <v>0</v>
      </c>
      <c r="R3154" s="5">
        <v>194</v>
      </c>
      <c r="S3154" s="5">
        <v>0</v>
      </c>
      <c r="T3154" s="5" t="s">
        <v>62308</v>
      </c>
      <c r="U3154" s="5"/>
      <c r="V3154" s="5"/>
      <c r="W3154" s="5"/>
      <c r="X3154" s="5"/>
      <c r="Y3154" s="5"/>
    </row>
    <row r="3155" spans="1:25" customFormat="1" ht="15" x14ac:dyDescent="0.25">
      <c r="A3155" t="s">
        <v>24</v>
      </c>
      <c r="B3155" t="s">
        <v>3367</v>
      </c>
      <c r="C3155" t="str">
        <f>"SF02650"</f>
        <v>SF02650</v>
      </c>
      <c r="D3155" t="s">
        <v>62309</v>
      </c>
      <c r="E3155" t="s">
        <v>62310</v>
      </c>
      <c r="F3155" t="s">
        <v>19689</v>
      </c>
      <c r="G3155" t="s">
        <v>161</v>
      </c>
      <c r="H3155">
        <v>55402</v>
      </c>
      <c r="I3155" t="s">
        <v>30</v>
      </c>
      <c r="J3155" t="s">
        <v>162</v>
      </c>
      <c r="K3155" t="s">
        <v>4442</v>
      </c>
      <c r="Q3155">
        <v>0</v>
      </c>
      <c r="R3155">
        <v>222</v>
      </c>
      <c r="S3155">
        <v>0</v>
      </c>
      <c r="T3155" t="s">
        <v>62311</v>
      </c>
    </row>
    <row r="3156" spans="1:25" customFormat="1" ht="15" x14ac:dyDescent="0.25">
      <c r="A3156" t="s">
        <v>24</v>
      </c>
      <c r="B3156" t="s">
        <v>2360</v>
      </c>
      <c r="C3156" t="str">
        <f>"A0187453"</f>
        <v>A0187453</v>
      </c>
      <c r="D3156" t="s">
        <v>13185</v>
      </c>
      <c r="E3156" t="s">
        <v>13186</v>
      </c>
      <c r="F3156" t="s">
        <v>2958</v>
      </c>
      <c r="G3156" t="s">
        <v>29</v>
      </c>
      <c r="H3156">
        <v>24060</v>
      </c>
      <c r="I3156" t="s">
        <v>30</v>
      </c>
      <c r="J3156" t="s">
        <v>2565</v>
      </c>
      <c r="K3156" t="s">
        <v>2566</v>
      </c>
      <c r="N3156" t="s">
        <v>13187</v>
      </c>
      <c r="Q3156">
        <v>0</v>
      </c>
      <c r="R3156">
        <v>0</v>
      </c>
      <c r="S3156">
        <v>0</v>
      </c>
      <c r="T3156" t="s">
        <v>13188</v>
      </c>
    </row>
    <row r="3157" spans="1:25" customFormat="1" ht="15" x14ac:dyDescent="0.25">
      <c r="A3157" t="s">
        <v>24</v>
      </c>
      <c r="B3157" t="s">
        <v>57114</v>
      </c>
      <c r="C3157" t="str">
        <f>"A0146579"</f>
        <v>A0146579</v>
      </c>
      <c r="D3157" t="s">
        <v>62312</v>
      </c>
      <c r="E3157" t="s">
        <v>62313</v>
      </c>
      <c r="F3157" t="s">
        <v>6593</v>
      </c>
      <c r="G3157" t="s">
        <v>47</v>
      </c>
      <c r="H3157">
        <v>97232</v>
      </c>
      <c r="I3157" t="s">
        <v>30</v>
      </c>
      <c r="J3157" t="s">
        <v>162</v>
      </c>
      <c r="K3157" t="s">
        <v>4442</v>
      </c>
      <c r="N3157" t="s">
        <v>62314</v>
      </c>
      <c r="O3157" t="s">
        <v>62315</v>
      </c>
      <c r="Q3157">
        <v>0</v>
      </c>
      <c r="R3157">
        <v>241</v>
      </c>
      <c r="S3157">
        <v>0</v>
      </c>
      <c r="T3157" t="s">
        <v>62316</v>
      </c>
    </row>
    <row r="3158" spans="1:25" customFormat="1" ht="15" hidden="1" x14ac:dyDescent="0.25">
      <c r="A3158" t="s">
        <v>24</v>
      </c>
      <c r="B3158" t="s">
        <v>13194</v>
      </c>
      <c r="C3158" t="str">
        <f>"A0094712"</f>
        <v>A0094712</v>
      </c>
      <c r="D3158" t="s">
        <v>13195</v>
      </c>
      <c r="E3158" t="s">
        <v>13196</v>
      </c>
      <c r="F3158" t="s">
        <v>13197</v>
      </c>
      <c r="G3158" t="s">
        <v>2206</v>
      </c>
      <c r="H3158" t="s">
        <v>13198</v>
      </c>
      <c r="I3158" t="s">
        <v>1459</v>
      </c>
      <c r="J3158" t="s">
        <v>1004</v>
      </c>
      <c r="K3158" t="s">
        <v>163</v>
      </c>
      <c r="N3158" t="s">
        <v>13199</v>
      </c>
      <c r="Q3158">
        <v>0</v>
      </c>
      <c r="R3158">
        <v>0</v>
      </c>
      <c r="S3158">
        <v>0</v>
      </c>
      <c r="T3158" t="s">
        <v>13200</v>
      </c>
    </row>
    <row r="3159" spans="1:25" customFormat="1" ht="15" hidden="1" x14ac:dyDescent="0.25">
      <c r="A3159" t="s">
        <v>24</v>
      </c>
      <c r="B3159" t="s">
        <v>13194</v>
      </c>
      <c r="C3159" t="str">
        <f>"A0093774"</f>
        <v>A0093774</v>
      </c>
      <c r="D3159" t="s">
        <v>13201</v>
      </c>
      <c r="E3159" t="s">
        <v>13202</v>
      </c>
      <c r="F3159" t="s">
        <v>13197</v>
      </c>
      <c r="G3159" t="s">
        <v>2206</v>
      </c>
      <c r="H3159" t="s">
        <v>13203</v>
      </c>
      <c r="I3159" t="s">
        <v>1459</v>
      </c>
      <c r="J3159" t="s">
        <v>31</v>
      </c>
      <c r="K3159" t="s">
        <v>163</v>
      </c>
      <c r="N3159" t="s">
        <v>13204</v>
      </c>
      <c r="Q3159">
        <v>0</v>
      </c>
      <c r="R3159">
        <v>56</v>
      </c>
      <c r="S3159">
        <v>0</v>
      </c>
      <c r="T3159" t="s">
        <v>13205</v>
      </c>
    </row>
    <row r="3160" spans="1:25" customFormat="1" ht="15" hidden="1" x14ac:dyDescent="0.25">
      <c r="A3160" t="s">
        <v>24</v>
      </c>
      <c r="B3160" t="s">
        <v>13194</v>
      </c>
      <c r="C3160" t="str">
        <f>"A0093773"</f>
        <v>A0093773</v>
      </c>
      <c r="D3160" t="s">
        <v>13206</v>
      </c>
      <c r="E3160" t="s">
        <v>13196</v>
      </c>
      <c r="F3160" t="s">
        <v>13197</v>
      </c>
      <c r="G3160" t="s">
        <v>2206</v>
      </c>
      <c r="H3160" t="s">
        <v>13198</v>
      </c>
      <c r="I3160" t="s">
        <v>1459</v>
      </c>
      <c r="J3160" t="s">
        <v>31</v>
      </c>
      <c r="K3160" t="s">
        <v>163</v>
      </c>
      <c r="N3160" t="s">
        <v>13207</v>
      </c>
      <c r="O3160" t="s">
        <v>13208</v>
      </c>
      <c r="Q3160">
        <v>0</v>
      </c>
      <c r="R3160">
        <v>285</v>
      </c>
      <c r="S3160">
        <v>0</v>
      </c>
      <c r="T3160" t="s">
        <v>13209</v>
      </c>
    </row>
    <row r="3161" spans="1:25" customFormat="1" ht="15" hidden="1" x14ac:dyDescent="0.25">
      <c r="A3161" t="s">
        <v>24</v>
      </c>
      <c r="B3161" t="s">
        <v>13194</v>
      </c>
      <c r="C3161" t="str">
        <f>"A0083542"</f>
        <v>A0083542</v>
      </c>
      <c r="D3161" t="s">
        <v>13210</v>
      </c>
      <c r="E3161" t="s">
        <v>13211</v>
      </c>
      <c r="F3161" t="s">
        <v>13212</v>
      </c>
      <c r="G3161" t="s">
        <v>2206</v>
      </c>
      <c r="H3161" t="s">
        <v>13213</v>
      </c>
      <c r="I3161" t="s">
        <v>1459</v>
      </c>
      <c r="J3161" t="s">
        <v>31</v>
      </c>
      <c r="K3161" t="s">
        <v>282</v>
      </c>
      <c r="N3161" t="s">
        <v>13214</v>
      </c>
      <c r="Q3161">
        <v>0</v>
      </c>
      <c r="R3161">
        <v>93</v>
      </c>
      <c r="S3161">
        <v>0</v>
      </c>
      <c r="T3161" t="s">
        <v>13215</v>
      </c>
    </row>
    <row r="3162" spans="1:25" customFormat="1" ht="15" hidden="1" x14ac:dyDescent="0.25">
      <c r="A3162" t="s">
        <v>24</v>
      </c>
      <c r="B3162" t="s">
        <v>13194</v>
      </c>
      <c r="C3162" t="str">
        <f>"A0083540"</f>
        <v>A0083540</v>
      </c>
      <c r="D3162" t="s">
        <v>13216</v>
      </c>
      <c r="E3162" t="s">
        <v>13217</v>
      </c>
      <c r="F3162" t="s">
        <v>13197</v>
      </c>
      <c r="G3162" t="s">
        <v>2206</v>
      </c>
      <c r="H3162" t="s">
        <v>13218</v>
      </c>
      <c r="I3162" t="s">
        <v>1459</v>
      </c>
      <c r="J3162" t="s">
        <v>162</v>
      </c>
      <c r="K3162" t="s">
        <v>251</v>
      </c>
      <c r="N3162" t="s">
        <v>13219</v>
      </c>
      <c r="Q3162">
        <v>0</v>
      </c>
      <c r="R3162">
        <v>157</v>
      </c>
      <c r="S3162">
        <v>0</v>
      </c>
      <c r="T3162" t="s">
        <v>13220</v>
      </c>
    </row>
    <row r="3163" spans="1:25" customFormat="1" ht="15" hidden="1" x14ac:dyDescent="0.25">
      <c r="A3163" t="s">
        <v>24</v>
      </c>
      <c r="B3163" t="s">
        <v>13194</v>
      </c>
      <c r="C3163" t="str">
        <f>"A0083539"</f>
        <v>A0083539</v>
      </c>
      <c r="D3163" t="s">
        <v>13221</v>
      </c>
      <c r="E3163" t="s">
        <v>13222</v>
      </c>
      <c r="F3163" t="s">
        <v>13197</v>
      </c>
      <c r="G3163" t="s">
        <v>2206</v>
      </c>
      <c r="H3163" t="s">
        <v>13223</v>
      </c>
      <c r="I3163" t="s">
        <v>1459</v>
      </c>
      <c r="J3163" t="s">
        <v>162</v>
      </c>
      <c r="K3163" t="s">
        <v>163</v>
      </c>
      <c r="N3163" t="s">
        <v>13208</v>
      </c>
      <c r="Q3163">
        <v>0</v>
      </c>
      <c r="R3163">
        <v>194</v>
      </c>
      <c r="S3163">
        <v>0</v>
      </c>
      <c r="T3163" t="s">
        <v>13224</v>
      </c>
    </row>
    <row r="3164" spans="1:25" customFormat="1" ht="15" hidden="1" x14ac:dyDescent="0.25">
      <c r="A3164" t="s">
        <v>24</v>
      </c>
      <c r="B3164" t="s">
        <v>13194</v>
      </c>
      <c r="C3164" t="str">
        <f>"A0073542"</f>
        <v>A0073542</v>
      </c>
      <c r="D3164" t="s">
        <v>13225</v>
      </c>
      <c r="E3164" t="s">
        <v>13226</v>
      </c>
      <c r="F3164" t="s">
        <v>13227</v>
      </c>
      <c r="G3164" t="s">
        <v>2206</v>
      </c>
      <c r="H3164" t="s">
        <v>13228</v>
      </c>
      <c r="I3164" t="s">
        <v>1459</v>
      </c>
      <c r="J3164" t="s">
        <v>162</v>
      </c>
      <c r="K3164" t="s">
        <v>163</v>
      </c>
      <c r="N3164" t="s">
        <v>13229</v>
      </c>
      <c r="Q3164">
        <v>0</v>
      </c>
      <c r="R3164">
        <v>82</v>
      </c>
      <c r="S3164">
        <v>0</v>
      </c>
      <c r="T3164" t="s">
        <v>13230</v>
      </c>
    </row>
    <row r="3165" spans="1:25" customFormat="1" ht="15" hidden="1" x14ac:dyDescent="0.25">
      <c r="A3165" t="s">
        <v>24</v>
      </c>
      <c r="B3165" t="s">
        <v>13194</v>
      </c>
      <c r="C3165" t="str">
        <f>"A0094518"</f>
        <v>A0094518</v>
      </c>
      <c r="D3165" t="s">
        <v>13231</v>
      </c>
      <c r="E3165" t="s">
        <v>13232</v>
      </c>
      <c r="F3165" t="s">
        <v>13233</v>
      </c>
      <c r="G3165" t="s">
        <v>2206</v>
      </c>
      <c r="H3165" t="s">
        <v>13234</v>
      </c>
      <c r="I3165" t="s">
        <v>1459</v>
      </c>
      <c r="J3165" t="s">
        <v>31</v>
      </c>
      <c r="K3165" t="s">
        <v>222</v>
      </c>
      <c r="N3165" t="s">
        <v>13235</v>
      </c>
      <c r="Q3165">
        <v>0</v>
      </c>
      <c r="R3165">
        <v>116</v>
      </c>
      <c r="S3165">
        <v>0</v>
      </c>
      <c r="T3165" t="s">
        <v>13236</v>
      </c>
    </row>
    <row r="3166" spans="1:25" customFormat="1" ht="15" hidden="1" x14ac:dyDescent="0.25">
      <c r="A3166" t="s">
        <v>24</v>
      </c>
      <c r="B3166" t="s">
        <v>13194</v>
      </c>
      <c r="C3166" t="str">
        <f>"A0091421"</f>
        <v>A0091421</v>
      </c>
      <c r="D3166" t="s">
        <v>13237</v>
      </c>
      <c r="E3166" t="s">
        <v>13238</v>
      </c>
      <c r="F3166" t="s">
        <v>2879</v>
      </c>
      <c r="G3166" t="s">
        <v>2206</v>
      </c>
      <c r="H3166" t="s">
        <v>13239</v>
      </c>
      <c r="I3166" t="s">
        <v>1459</v>
      </c>
      <c r="J3166" t="s">
        <v>31</v>
      </c>
      <c r="K3166" t="s">
        <v>222</v>
      </c>
      <c r="N3166" t="s">
        <v>13240</v>
      </c>
      <c r="O3166" t="s">
        <v>13241</v>
      </c>
      <c r="Q3166">
        <v>0</v>
      </c>
      <c r="R3166">
        <v>173</v>
      </c>
      <c r="S3166">
        <v>0</v>
      </c>
      <c r="T3166" t="s">
        <v>13242</v>
      </c>
    </row>
    <row r="3167" spans="1:25" customFormat="1" ht="15" hidden="1" x14ac:dyDescent="0.25">
      <c r="A3167" t="s">
        <v>24</v>
      </c>
      <c r="B3167" t="s">
        <v>13194</v>
      </c>
      <c r="C3167" t="str">
        <f>"A0083541"</f>
        <v>A0083541</v>
      </c>
      <c r="D3167" t="s">
        <v>13243</v>
      </c>
      <c r="E3167" t="s">
        <v>13244</v>
      </c>
      <c r="F3167" t="s">
        <v>13197</v>
      </c>
      <c r="G3167" t="s">
        <v>2206</v>
      </c>
      <c r="H3167" t="s">
        <v>13245</v>
      </c>
      <c r="I3167" t="s">
        <v>1459</v>
      </c>
      <c r="J3167" t="s">
        <v>162</v>
      </c>
      <c r="K3167" t="s">
        <v>13246</v>
      </c>
      <c r="N3167" t="s">
        <v>13247</v>
      </c>
      <c r="Q3167">
        <v>0</v>
      </c>
      <c r="R3167">
        <v>113</v>
      </c>
      <c r="S3167">
        <v>0</v>
      </c>
      <c r="T3167" t="s">
        <v>13248</v>
      </c>
    </row>
    <row r="3168" spans="1:25" customFormat="1" ht="15" hidden="1" x14ac:dyDescent="0.25">
      <c r="A3168" t="s">
        <v>24</v>
      </c>
      <c r="B3168" t="s">
        <v>13194</v>
      </c>
      <c r="C3168" t="str">
        <f>"A0083535"</f>
        <v>A0083535</v>
      </c>
      <c r="D3168" t="s">
        <v>13249</v>
      </c>
      <c r="E3168" t="s">
        <v>13250</v>
      </c>
      <c r="F3168" t="s">
        <v>13233</v>
      </c>
      <c r="G3168" t="s">
        <v>2206</v>
      </c>
      <c r="H3168" t="s">
        <v>13251</v>
      </c>
      <c r="I3168" t="s">
        <v>1459</v>
      </c>
      <c r="J3168" t="s">
        <v>31</v>
      </c>
      <c r="K3168" t="s">
        <v>32</v>
      </c>
      <c r="N3168" t="s">
        <v>13252</v>
      </c>
      <c r="Q3168">
        <v>0</v>
      </c>
      <c r="R3168">
        <v>98</v>
      </c>
      <c r="S3168">
        <v>0</v>
      </c>
      <c r="T3168" t="s">
        <v>13253</v>
      </c>
    </row>
    <row r="3169" spans="1:25" customFormat="1" ht="15" hidden="1" x14ac:dyDescent="0.25">
      <c r="A3169" t="s">
        <v>24</v>
      </c>
      <c r="B3169" t="s">
        <v>13194</v>
      </c>
      <c r="C3169" t="str">
        <f>"A0074035"</f>
        <v>A0074035</v>
      </c>
      <c r="D3169" t="s">
        <v>13254</v>
      </c>
      <c r="E3169" t="s">
        <v>13255</v>
      </c>
      <c r="F3169" t="s">
        <v>13197</v>
      </c>
      <c r="G3169" t="s">
        <v>2206</v>
      </c>
      <c r="H3169" t="s">
        <v>13256</v>
      </c>
      <c r="I3169" t="s">
        <v>1459</v>
      </c>
      <c r="J3169" t="s">
        <v>162</v>
      </c>
      <c r="K3169" t="s">
        <v>13257</v>
      </c>
      <c r="N3169" t="s">
        <v>13258</v>
      </c>
      <c r="Q3169">
        <v>0</v>
      </c>
      <c r="R3169">
        <v>262</v>
      </c>
      <c r="S3169">
        <v>0</v>
      </c>
      <c r="T3169" t="s">
        <v>13259</v>
      </c>
    </row>
    <row r="3170" spans="1:25" customFormat="1" ht="15" hidden="1" x14ac:dyDescent="0.25">
      <c r="A3170" t="s">
        <v>24</v>
      </c>
      <c r="B3170" t="s">
        <v>13194</v>
      </c>
      <c r="C3170" t="str">
        <f>"A0091177"</f>
        <v>A0091177</v>
      </c>
      <c r="D3170" t="s">
        <v>13260</v>
      </c>
      <c r="E3170" t="s">
        <v>13261</v>
      </c>
      <c r="F3170" t="s">
        <v>13262</v>
      </c>
      <c r="G3170" t="s">
        <v>2206</v>
      </c>
      <c r="H3170" t="s">
        <v>13263</v>
      </c>
      <c r="I3170" t="s">
        <v>1459</v>
      </c>
      <c r="J3170" t="s">
        <v>31</v>
      </c>
      <c r="K3170" t="s">
        <v>277</v>
      </c>
      <c r="N3170" t="s">
        <v>13264</v>
      </c>
      <c r="O3170" t="s">
        <v>13265</v>
      </c>
      <c r="Q3170">
        <v>0</v>
      </c>
      <c r="R3170">
        <v>131</v>
      </c>
      <c r="S3170">
        <v>0</v>
      </c>
      <c r="T3170" t="s">
        <v>13266</v>
      </c>
    </row>
    <row r="3171" spans="1:25" customFormat="1" ht="15" x14ac:dyDescent="0.25">
      <c r="A3171" t="s">
        <v>24</v>
      </c>
      <c r="B3171" t="s">
        <v>13267</v>
      </c>
      <c r="C3171" t="str">
        <f>"A0083813"</f>
        <v>A0083813</v>
      </c>
      <c r="D3171" t="s">
        <v>13268</v>
      </c>
      <c r="E3171" t="s">
        <v>13269</v>
      </c>
      <c r="F3171" t="s">
        <v>13270</v>
      </c>
      <c r="G3171" t="s">
        <v>110</v>
      </c>
      <c r="H3171">
        <v>92589</v>
      </c>
      <c r="I3171" t="s">
        <v>30</v>
      </c>
      <c r="J3171" t="s">
        <v>31</v>
      </c>
      <c r="K3171" t="s">
        <v>32</v>
      </c>
      <c r="N3171" t="s">
        <v>13271</v>
      </c>
      <c r="O3171" t="s">
        <v>13272</v>
      </c>
      <c r="Q3171">
        <v>0</v>
      </c>
      <c r="R3171">
        <v>94</v>
      </c>
      <c r="S3171">
        <v>0</v>
      </c>
      <c r="T3171" t="s">
        <v>13273</v>
      </c>
    </row>
    <row r="3172" spans="1:25" x14ac:dyDescent="0.25">
      <c r="A3172" s="5" t="s">
        <v>24</v>
      </c>
      <c r="B3172" s="5" t="s">
        <v>33398</v>
      </c>
      <c r="C3172" s="5" t="str">
        <f>"A0098838"</f>
        <v>A0098838</v>
      </c>
      <c r="D3172" s="5" t="s">
        <v>62317</v>
      </c>
      <c r="E3172" s="5" t="s">
        <v>62318</v>
      </c>
      <c r="F3172" s="5" t="s">
        <v>10730</v>
      </c>
      <c r="G3172" s="5" t="s">
        <v>214</v>
      </c>
      <c r="H3172" s="5">
        <v>28806</v>
      </c>
      <c r="I3172" s="5" t="s">
        <v>30</v>
      </c>
      <c r="J3172" s="5" t="s">
        <v>162</v>
      </c>
      <c r="K3172" s="5" t="s">
        <v>4442</v>
      </c>
      <c r="L3172" s="5"/>
      <c r="M3172" s="5"/>
      <c r="N3172" s="5" t="s">
        <v>62319</v>
      </c>
      <c r="O3172" s="5"/>
      <c r="P3172" s="5"/>
      <c r="Q3172" s="5">
        <v>0</v>
      </c>
      <c r="R3172" s="5">
        <v>274</v>
      </c>
      <c r="S3172" s="5">
        <v>0</v>
      </c>
      <c r="T3172" s="5" t="s">
        <v>62320</v>
      </c>
      <c r="U3172" s="5"/>
      <c r="V3172" s="5"/>
      <c r="W3172" s="5"/>
      <c r="X3172" s="5"/>
      <c r="Y3172" s="5"/>
    </row>
    <row r="3173" spans="1:25" customFormat="1" ht="15" hidden="1" x14ac:dyDescent="0.25">
      <c r="A3173" t="s">
        <v>24</v>
      </c>
      <c r="B3173" t="s">
        <v>13194</v>
      </c>
      <c r="C3173" t="str">
        <f>"A0087760"</f>
        <v>A0087760</v>
      </c>
      <c r="D3173" t="s">
        <v>13281</v>
      </c>
      <c r="E3173" t="s">
        <v>13282</v>
      </c>
      <c r="F3173" t="s">
        <v>5438</v>
      </c>
      <c r="G3173" t="s">
        <v>5439</v>
      </c>
      <c r="H3173" t="s">
        <v>13283</v>
      </c>
      <c r="I3173" t="s">
        <v>1459</v>
      </c>
      <c r="J3173" t="s">
        <v>31</v>
      </c>
      <c r="K3173" t="s">
        <v>277</v>
      </c>
      <c r="N3173" t="s">
        <v>13284</v>
      </c>
      <c r="Q3173">
        <v>0</v>
      </c>
      <c r="R3173">
        <v>136</v>
      </c>
      <c r="S3173">
        <v>0</v>
      </c>
      <c r="T3173" t="s">
        <v>13285</v>
      </c>
    </row>
    <row r="3174" spans="1:25" customFormat="1" ht="15" x14ac:dyDescent="0.25">
      <c r="A3174" t="s">
        <v>24</v>
      </c>
      <c r="B3174" t="s">
        <v>57114</v>
      </c>
      <c r="C3174" t="str">
        <f>"SF02674"</f>
        <v>SF02674</v>
      </c>
      <c r="D3174" t="s">
        <v>62321</v>
      </c>
      <c r="E3174" t="s">
        <v>62322</v>
      </c>
      <c r="F3174" t="s">
        <v>1444</v>
      </c>
      <c r="G3174" t="s">
        <v>76</v>
      </c>
      <c r="H3174">
        <v>98188</v>
      </c>
      <c r="I3174" t="s">
        <v>30</v>
      </c>
      <c r="J3174" t="s">
        <v>162</v>
      </c>
      <c r="K3174" t="s">
        <v>4442</v>
      </c>
      <c r="N3174" t="s">
        <v>62323</v>
      </c>
      <c r="O3174" t="s">
        <v>62324</v>
      </c>
      <c r="Q3174">
        <v>0</v>
      </c>
      <c r="R3174">
        <v>260</v>
      </c>
      <c r="S3174">
        <v>0</v>
      </c>
      <c r="T3174" t="s">
        <v>62325</v>
      </c>
    </row>
    <row r="3175" spans="1:25" customFormat="1" ht="15" x14ac:dyDescent="0.25">
      <c r="A3175" t="s">
        <v>24</v>
      </c>
      <c r="B3175" t="s">
        <v>3343</v>
      </c>
      <c r="C3175" t="str">
        <f>"A0059538"</f>
        <v>A0059538</v>
      </c>
      <c r="D3175" t="s">
        <v>62326</v>
      </c>
      <c r="E3175" t="s">
        <v>62327</v>
      </c>
      <c r="F3175" t="s">
        <v>16267</v>
      </c>
      <c r="G3175" t="s">
        <v>29</v>
      </c>
      <c r="H3175">
        <v>23462</v>
      </c>
      <c r="I3175" t="s">
        <v>30</v>
      </c>
      <c r="J3175" t="s">
        <v>162</v>
      </c>
      <c r="K3175" t="s">
        <v>4442</v>
      </c>
      <c r="N3175" t="s">
        <v>62328</v>
      </c>
      <c r="O3175" t="s">
        <v>62329</v>
      </c>
      <c r="Q3175">
        <v>0</v>
      </c>
      <c r="R3175">
        <v>149</v>
      </c>
      <c r="S3175">
        <v>0</v>
      </c>
      <c r="T3175" t="s">
        <v>62330</v>
      </c>
    </row>
    <row r="3176" spans="1:25" x14ac:dyDescent="0.25">
      <c r="A3176" s="5" t="s">
        <v>24</v>
      </c>
      <c r="B3176" s="5" t="s">
        <v>5537</v>
      </c>
      <c r="C3176" s="5" t="str">
        <f>"A0148776"</f>
        <v>A0148776</v>
      </c>
      <c r="D3176" s="5" t="s">
        <v>62331</v>
      </c>
      <c r="E3176" s="5" t="s">
        <v>62332</v>
      </c>
      <c r="F3176" s="5" t="s">
        <v>53258</v>
      </c>
      <c r="G3176" s="5" t="s">
        <v>899</v>
      </c>
      <c r="H3176" s="5">
        <v>1801</v>
      </c>
      <c r="I3176" s="5" t="s">
        <v>30</v>
      </c>
      <c r="J3176" s="5" t="s">
        <v>162</v>
      </c>
      <c r="K3176" s="5" t="s">
        <v>4442</v>
      </c>
      <c r="L3176" s="5"/>
      <c r="M3176" s="5"/>
      <c r="N3176" s="5" t="s">
        <v>62333</v>
      </c>
      <c r="O3176" s="5"/>
      <c r="P3176" s="5"/>
      <c r="Q3176" s="5">
        <v>0</v>
      </c>
      <c r="R3176" s="5">
        <v>197</v>
      </c>
      <c r="S3176" s="5">
        <v>0</v>
      </c>
      <c r="T3176" s="5" t="s">
        <v>62334</v>
      </c>
      <c r="U3176" s="5"/>
      <c r="V3176" s="5"/>
      <c r="W3176" s="5"/>
      <c r="X3176" s="5"/>
      <c r="Y3176" s="5"/>
    </row>
    <row r="3177" spans="1:25" customFormat="1" ht="15" x14ac:dyDescent="0.25">
      <c r="A3177" t="s">
        <v>24</v>
      </c>
      <c r="B3177" t="s">
        <v>13299</v>
      </c>
      <c r="C3177" t="str">
        <f>"A0187443"</f>
        <v>A0187443</v>
      </c>
      <c r="D3177" t="s">
        <v>13300</v>
      </c>
      <c r="E3177" t="s">
        <v>13301</v>
      </c>
      <c r="F3177" t="s">
        <v>1889</v>
      </c>
      <c r="G3177" t="s">
        <v>81</v>
      </c>
      <c r="H3177">
        <v>33140</v>
      </c>
      <c r="I3177" t="s">
        <v>30</v>
      </c>
      <c r="J3177" t="s">
        <v>31</v>
      </c>
      <c r="K3177" t="s">
        <v>198</v>
      </c>
      <c r="N3177" t="s">
        <v>13302</v>
      </c>
      <c r="Q3177">
        <v>0</v>
      </c>
      <c r="R3177">
        <v>100</v>
      </c>
      <c r="S3177">
        <v>0</v>
      </c>
      <c r="T3177" t="s">
        <v>13303</v>
      </c>
    </row>
    <row r="3178" spans="1:25" customFormat="1" ht="15" x14ac:dyDescent="0.25">
      <c r="A3178" t="s">
        <v>24</v>
      </c>
      <c r="B3178" t="s">
        <v>13304</v>
      </c>
      <c r="C3178" t="str">
        <f>"A0187446"</f>
        <v>A0187446</v>
      </c>
      <c r="D3178" t="s">
        <v>13305</v>
      </c>
      <c r="E3178" t="s">
        <v>13306</v>
      </c>
      <c r="F3178" t="s">
        <v>1889</v>
      </c>
      <c r="G3178" t="s">
        <v>81</v>
      </c>
      <c r="H3178">
        <v>33140</v>
      </c>
      <c r="I3178" t="s">
        <v>30</v>
      </c>
      <c r="J3178" t="s">
        <v>7479</v>
      </c>
      <c r="K3178" t="s">
        <v>163</v>
      </c>
      <c r="N3178" t="s">
        <v>13307</v>
      </c>
      <c r="Q3178">
        <v>0</v>
      </c>
      <c r="R3178">
        <v>0</v>
      </c>
      <c r="S3178">
        <v>0</v>
      </c>
      <c r="T3178" t="s">
        <v>13308</v>
      </c>
    </row>
    <row r="3179" spans="1:25" x14ac:dyDescent="0.25">
      <c r="A3179" s="5" t="s">
        <v>24</v>
      </c>
      <c r="B3179" s="5" t="s">
        <v>9400</v>
      </c>
      <c r="C3179" s="5" t="str">
        <f>"A0083155"</f>
        <v>A0083155</v>
      </c>
      <c r="D3179" s="5" t="s">
        <v>62349</v>
      </c>
      <c r="E3179" s="5" t="s">
        <v>62350</v>
      </c>
      <c r="F3179" s="5" t="s">
        <v>62351</v>
      </c>
      <c r="G3179" s="5" t="s">
        <v>76</v>
      </c>
      <c r="H3179" s="5">
        <v>98022</v>
      </c>
      <c r="I3179" s="5" t="s">
        <v>30</v>
      </c>
      <c r="J3179" s="5" t="s">
        <v>162</v>
      </c>
      <c r="K3179" s="5" t="s">
        <v>163</v>
      </c>
      <c r="L3179" s="5"/>
      <c r="M3179" s="5"/>
      <c r="N3179" s="5" t="s">
        <v>62352</v>
      </c>
      <c r="O3179" s="5" t="s">
        <v>62353</v>
      </c>
      <c r="P3179" s="5"/>
      <c r="Q3179" s="5">
        <v>0</v>
      </c>
      <c r="R3179" s="5">
        <v>0</v>
      </c>
      <c r="S3179" s="5">
        <v>0</v>
      </c>
      <c r="T3179" s="5" t="s">
        <v>62354</v>
      </c>
      <c r="U3179" s="5"/>
      <c r="V3179" s="5"/>
      <c r="W3179" s="5"/>
      <c r="X3179" s="5"/>
      <c r="Y3179" s="5"/>
    </row>
    <row r="3180" spans="1:25" customFormat="1" ht="15" x14ac:dyDescent="0.25">
      <c r="A3180" t="s">
        <v>24</v>
      </c>
      <c r="B3180" t="s">
        <v>33426</v>
      </c>
      <c r="C3180" t="str">
        <f>"A0088593"</f>
        <v>A0088593</v>
      </c>
      <c r="D3180" t="s">
        <v>62368</v>
      </c>
      <c r="E3180" t="s">
        <v>62369</v>
      </c>
      <c r="F3180" t="s">
        <v>2983</v>
      </c>
      <c r="G3180" t="s">
        <v>81</v>
      </c>
      <c r="H3180">
        <v>32746</v>
      </c>
      <c r="I3180" t="s">
        <v>30</v>
      </c>
      <c r="J3180" t="s">
        <v>162</v>
      </c>
      <c r="K3180" t="s">
        <v>163</v>
      </c>
      <c r="N3180" t="s">
        <v>62370</v>
      </c>
      <c r="Q3180">
        <v>0</v>
      </c>
      <c r="R3180">
        <v>253</v>
      </c>
      <c r="S3180">
        <v>0</v>
      </c>
      <c r="T3180" t="s">
        <v>62371</v>
      </c>
    </row>
    <row r="3181" spans="1:25" customFormat="1" ht="15" x14ac:dyDescent="0.25">
      <c r="A3181" t="s">
        <v>24</v>
      </c>
      <c r="B3181" t="s">
        <v>257</v>
      </c>
      <c r="C3181" t="str">
        <f>"A0098528"</f>
        <v>A0098528</v>
      </c>
      <c r="D3181" t="s">
        <v>62372</v>
      </c>
      <c r="E3181" t="s">
        <v>62373</v>
      </c>
      <c r="F3181" t="s">
        <v>12348</v>
      </c>
      <c r="G3181" t="s">
        <v>880</v>
      </c>
      <c r="H3181">
        <v>37916</v>
      </c>
      <c r="I3181" t="s">
        <v>30</v>
      </c>
      <c r="J3181" t="s">
        <v>162</v>
      </c>
      <c r="K3181" t="s">
        <v>2881</v>
      </c>
      <c r="N3181" t="s">
        <v>62374</v>
      </c>
      <c r="Q3181">
        <v>0</v>
      </c>
      <c r="R3181">
        <v>125</v>
      </c>
      <c r="S3181">
        <v>0</v>
      </c>
      <c r="T3181" t="s">
        <v>62375</v>
      </c>
    </row>
    <row r="3182" spans="1:25" customFormat="1" ht="15" x14ac:dyDescent="0.25">
      <c r="A3182" t="s">
        <v>24</v>
      </c>
      <c r="B3182" t="s">
        <v>9975</v>
      </c>
      <c r="C3182" t="str">
        <f>"A0146908"</f>
        <v>A0146908</v>
      </c>
      <c r="D3182" t="s">
        <v>62402</v>
      </c>
      <c r="E3182" t="s">
        <v>62403</v>
      </c>
      <c r="F3182" t="s">
        <v>11318</v>
      </c>
      <c r="G3182" t="s">
        <v>925</v>
      </c>
      <c r="H3182">
        <v>66612</v>
      </c>
      <c r="I3182" t="s">
        <v>30</v>
      </c>
      <c r="J3182" t="s">
        <v>162</v>
      </c>
      <c r="K3182" t="s">
        <v>3447</v>
      </c>
      <c r="Q3182">
        <v>0</v>
      </c>
      <c r="R3182">
        <v>109</v>
      </c>
      <c r="S3182">
        <v>0</v>
      </c>
      <c r="T3182" t="s">
        <v>62404</v>
      </c>
    </row>
    <row r="3183" spans="1:25" customFormat="1" ht="15" hidden="1" x14ac:dyDescent="0.25">
      <c r="A3183" t="s">
        <v>24</v>
      </c>
      <c r="B3183" t="s">
        <v>11010</v>
      </c>
      <c r="C3183" t="str">
        <f>"A0187434"</f>
        <v>A0187434</v>
      </c>
      <c r="D3183" t="s">
        <v>13322</v>
      </c>
      <c r="E3183" t="s">
        <v>13323</v>
      </c>
      <c r="F3183" t="s">
        <v>4802</v>
      </c>
      <c r="G3183" t="s">
        <v>6356</v>
      </c>
      <c r="H3183">
        <v>10101</v>
      </c>
      <c r="I3183" t="s">
        <v>4803</v>
      </c>
      <c r="J3183" t="s">
        <v>162</v>
      </c>
      <c r="K3183" t="s">
        <v>11013</v>
      </c>
      <c r="N3183" t="s">
        <v>13324</v>
      </c>
      <c r="Q3183">
        <v>0</v>
      </c>
      <c r="R3183">
        <v>45</v>
      </c>
      <c r="S3183">
        <v>0</v>
      </c>
      <c r="T3183" t="s">
        <v>13325</v>
      </c>
    </row>
    <row r="3184" spans="1:25" x14ac:dyDescent="0.25">
      <c r="A3184" s="5" t="s">
        <v>24</v>
      </c>
      <c r="B3184" s="5" t="s">
        <v>2221</v>
      </c>
      <c r="C3184" s="5" t="str">
        <f>"A0073170"</f>
        <v>A0073170</v>
      </c>
      <c r="D3184" s="5" t="s">
        <v>62405</v>
      </c>
      <c r="E3184" s="5" t="s">
        <v>62406</v>
      </c>
      <c r="F3184" s="5" t="s">
        <v>2094</v>
      </c>
      <c r="G3184" s="5" t="s">
        <v>52</v>
      </c>
      <c r="H3184" s="5">
        <v>75240</v>
      </c>
      <c r="I3184" s="5" t="s">
        <v>30</v>
      </c>
      <c r="J3184" s="5" t="s">
        <v>162</v>
      </c>
      <c r="K3184" s="5" t="s">
        <v>266</v>
      </c>
      <c r="L3184" s="5"/>
      <c r="M3184" s="5"/>
      <c r="N3184" s="5" t="s">
        <v>62407</v>
      </c>
      <c r="O3184" s="5" t="s">
        <v>62408</v>
      </c>
      <c r="P3184" s="5"/>
      <c r="Q3184" s="5">
        <v>0</v>
      </c>
      <c r="R3184" s="5">
        <v>150</v>
      </c>
      <c r="S3184" s="5">
        <v>0</v>
      </c>
      <c r="T3184" s="5" t="s">
        <v>62409</v>
      </c>
      <c r="U3184" s="5"/>
      <c r="V3184" s="5"/>
      <c r="W3184" s="5"/>
      <c r="X3184" s="5"/>
      <c r="Y3184" s="5"/>
    </row>
    <row r="3185" spans="1:20" customFormat="1" ht="15" x14ac:dyDescent="0.25">
      <c r="A3185" t="s">
        <v>24</v>
      </c>
      <c r="B3185" t="s">
        <v>675</v>
      </c>
      <c r="C3185" t="str">
        <f>"A0057202"</f>
        <v>A0057202</v>
      </c>
      <c r="D3185" t="s">
        <v>62410</v>
      </c>
      <c r="E3185" t="s">
        <v>62411</v>
      </c>
      <c r="F3185" t="s">
        <v>2094</v>
      </c>
      <c r="G3185" t="s">
        <v>52</v>
      </c>
      <c r="H3185">
        <v>75201</v>
      </c>
      <c r="I3185" t="s">
        <v>30</v>
      </c>
      <c r="J3185" t="s">
        <v>162</v>
      </c>
      <c r="K3185" t="s">
        <v>1490</v>
      </c>
      <c r="N3185" t="s">
        <v>62412</v>
      </c>
      <c r="O3185" t="s">
        <v>62413</v>
      </c>
      <c r="Q3185">
        <v>0</v>
      </c>
      <c r="R3185">
        <v>407</v>
      </c>
      <c r="S3185">
        <v>0</v>
      </c>
      <c r="T3185" t="s">
        <v>62414</v>
      </c>
    </row>
    <row r="3186" spans="1:20" customFormat="1" ht="15" x14ac:dyDescent="0.25">
      <c r="A3186" t="s">
        <v>35</v>
      </c>
      <c r="B3186" t="s">
        <v>61</v>
      </c>
      <c r="C3186" t="str">
        <f>"A0127758"</f>
        <v>A0127758</v>
      </c>
      <c r="D3186" t="s">
        <v>13334</v>
      </c>
      <c r="E3186" t="s">
        <v>13335</v>
      </c>
      <c r="F3186" t="s">
        <v>13336</v>
      </c>
      <c r="G3186" t="s">
        <v>117</v>
      </c>
      <c r="H3186">
        <v>49017</v>
      </c>
      <c r="I3186" t="s">
        <v>30</v>
      </c>
      <c r="J3186" t="s">
        <v>41</v>
      </c>
      <c r="K3186" t="s">
        <v>229</v>
      </c>
      <c r="Q3186">
        <v>0</v>
      </c>
      <c r="R3186">
        <v>81</v>
      </c>
      <c r="S3186">
        <v>81</v>
      </c>
      <c r="T3186" t="s">
        <v>13337</v>
      </c>
    </row>
    <row r="3187" spans="1:20" customFormat="1" ht="15" x14ac:dyDescent="0.25">
      <c r="A3187" t="s">
        <v>24</v>
      </c>
      <c r="B3187" t="s">
        <v>2221</v>
      </c>
      <c r="C3187" t="str">
        <f>"337U9"</f>
        <v>337U9</v>
      </c>
      <c r="D3187" t="s">
        <v>62415</v>
      </c>
      <c r="E3187" t="s">
        <v>62416</v>
      </c>
      <c r="F3187" t="s">
        <v>2094</v>
      </c>
      <c r="G3187" t="s">
        <v>52</v>
      </c>
      <c r="H3187">
        <v>75207</v>
      </c>
      <c r="I3187" t="s">
        <v>30</v>
      </c>
      <c r="J3187" t="s">
        <v>162</v>
      </c>
      <c r="K3187" t="s">
        <v>1490</v>
      </c>
      <c r="N3187" t="s">
        <v>62417</v>
      </c>
      <c r="O3187" t="s">
        <v>62418</v>
      </c>
      <c r="Q3187">
        <v>0</v>
      </c>
      <c r="R3187">
        <v>266</v>
      </c>
      <c r="S3187">
        <v>0</v>
      </c>
      <c r="T3187" t="s">
        <v>62419</v>
      </c>
    </row>
    <row r="3188" spans="1:20" customFormat="1" ht="15" hidden="1" x14ac:dyDescent="0.25">
      <c r="A3188" t="s">
        <v>24</v>
      </c>
      <c r="B3188" t="s">
        <v>13341</v>
      </c>
      <c r="C3188" t="str">
        <f>"A0155781"</f>
        <v>A0155781</v>
      </c>
      <c r="D3188" t="s">
        <v>13342</v>
      </c>
      <c r="E3188" t="s">
        <v>13343</v>
      </c>
      <c r="F3188" t="s">
        <v>13344</v>
      </c>
      <c r="G3188" t="s">
        <v>13345</v>
      </c>
      <c r="H3188">
        <v>53900</v>
      </c>
      <c r="I3188" t="s">
        <v>2408</v>
      </c>
      <c r="J3188" t="s">
        <v>2415</v>
      </c>
      <c r="K3188" t="s">
        <v>179</v>
      </c>
      <c r="Q3188">
        <v>0</v>
      </c>
      <c r="R3188">
        <v>0</v>
      </c>
      <c r="S3188">
        <v>0</v>
      </c>
      <c r="T3188" t="s">
        <v>13346</v>
      </c>
    </row>
    <row r="3189" spans="1:20" customFormat="1" ht="15" x14ac:dyDescent="0.25">
      <c r="A3189" t="s">
        <v>24</v>
      </c>
      <c r="B3189" t="s">
        <v>675</v>
      </c>
      <c r="C3189" t="str">
        <f>"A0067045"</f>
        <v>A0067045</v>
      </c>
      <c r="D3189" t="s">
        <v>62420</v>
      </c>
      <c r="E3189" t="s">
        <v>62421</v>
      </c>
      <c r="F3189" t="s">
        <v>2128</v>
      </c>
      <c r="G3189" t="s">
        <v>52</v>
      </c>
      <c r="H3189">
        <v>75024</v>
      </c>
      <c r="I3189" t="s">
        <v>30</v>
      </c>
      <c r="J3189" t="s">
        <v>162</v>
      </c>
      <c r="K3189" t="s">
        <v>1490</v>
      </c>
      <c r="N3189" t="s">
        <v>62422</v>
      </c>
      <c r="Q3189">
        <v>0</v>
      </c>
      <c r="R3189">
        <v>404</v>
      </c>
      <c r="S3189">
        <v>0</v>
      </c>
      <c r="T3189" t="s">
        <v>62423</v>
      </c>
    </row>
    <row r="3190" spans="1:20" customFormat="1" ht="15" x14ac:dyDescent="0.25">
      <c r="A3190" t="s">
        <v>24</v>
      </c>
      <c r="B3190" t="s">
        <v>13347</v>
      </c>
      <c r="C3190" t="str">
        <f>"A0076323"</f>
        <v>A0076323</v>
      </c>
      <c r="D3190" t="s">
        <v>13353</v>
      </c>
      <c r="E3190" t="s">
        <v>13354</v>
      </c>
      <c r="F3190" t="s">
        <v>13355</v>
      </c>
      <c r="G3190" t="s">
        <v>110</v>
      </c>
      <c r="H3190">
        <v>92653</v>
      </c>
      <c r="I3190" t="s">
        <v>30</v>
      </c>
      <c r="J3190" t="s">
        <v>31</v>
      </c>
      <c r="K3190" t="s">
        <v>163</v>
      </c>
      <c r="N3190" t="s">
        <v>13356</v>
      </c>
      <c r="O3190" t="s">
        <v>13357</v>
      </c>
      <c r="Q3190">
        <v>0</v>
      </c>
      <c r="R3190">
        <v>76</v>
      </c>
      <c r="S3190">
        <v>0</v>
      </c>
      <c r="T3190" t="s">
        <v>13358</v>
      </c>
    </row>
    <row r="3191" spans="1:20" customFormat="1" ht="15" x14ac:dyDescent="0.25">
      <c r="A3191" t="s">
        <v>24</v>
      </c>
      <c r="B3191" t="s">
        <v>10986</v>
      </c>
      <c r="C3191" t="str">
        <f>"A0101107"</f>
        <v>A0101107</v>
      </c>
      <c r="D3191" t="s">
        <v>13359</v>
      </c>
      <c r="E3191" t="s">
        <v>13360</v>
      </c>
      <c r="F3191" t="s">
        <v>13361</v>
      </c>
      <c r="G3191" t="s">
        <v>1184</v>
      </c>
      <c r="H3191">
        <v>59937</v>
      </c>
      <c r="I3191" t="s">
        <v>30</v>
      </c>
      <c r="J3191" t="s">
        <v>31</v>
      </c>
      <c r="K3191" t="s">
        <v>222</v>
      </c>
      <c r="N3191" t="s">
        <v>13362</v>
      </c>
      <c r="Q3191">
        <v>0</v>
      </c>
      <c r="R3191">
        <v>81</v>
      </c>
      <c r="S3191">
        <v>0</v>
      </c>
      <c r="T3191" t="s">
        <v>13363</v>
      </c>
    </row>
    <row r="3192" spans="1:20" customFormat="1" ht="15" x14ac:dyDescent="0.25">
      <c r="A3192" t="s">
        <v>35</v>
      </c>
      <c r="B3192" t="s">
        <v>13364</v>
      </c>
      <c r="C3192" t="str">
        <f>"A0187423"</f>
        <v>A0187423</v>
      </c>
      <c r="D3192" t="s">
        <v>13365</v>
      </c>
      <c r="E3192" t="s">
        <v>13366</v>
      </c>
      <c r="F3192" t="s">
        <v>13367</v>
      </c>
      <c r="G3192" t="s">
        <v>110</v>
      </c>
      <c r="H3192">
        <v>90262</v>
      </c>
      <c r="I3192" t="s">
        <v>30</v>
      </c>
      <c r="J3192" t="s">
        <v>41</v>
      </c>
      <c r="K3192" t="s">
        <v>59</v>
      </c>
      <c r="Q3192">
        <v>0</v>
      </c>
      <c r="R3192">
        <v>0</v>
      </c>
      <c r="S3192">
        <v>172</v>
      </c>
      <c r="T3192" t="s">
        <v>13368</v>
      </c>
    </row>
    <row r="3193" spans="1:20" customFormat="1" ht="15" x14ac:dyDescent="0.25">
      <c r="A3193" t="s">
        <v>35</v>
      </c>
      <c r="B3193" t="s">
        <v>61</v>
      </c>
      <c r="C3193" t="str">
        <f>"A0187422"</f>
        <v>A0187422</v>
      </c>
      <c r="D3193" t="s">
        <v>13369</v>
      </c>
      <c r="E3193" t="s">
        <v>13370</v>
      </c>
      <c r="F3193" t="s">
        <v>102</v>
      </c>
      <c r="G3193" t="s">
        <v>103</v>
      </c>
      <c r="H3193">
        <v>15243</v>
      </c>
      <c r="I3193" t="s">
        <v>30</v>
      </c>
      <c r="J3193" t="s">
        <v>41</v>
      </c>
      <c r="K3193" t="s">
        <v>3713</v>
      </c>
      <c r="Q3193">
        <v>0</v>
      </c>
      <c r="R3193">
        <v>0</v>
      </c>
      <c r="S3193">
        <v>329</v>
      </c>
      <c r="T3193" t="s">
        <v>13371</v>
      </c>
    </row>
    <row r="3194" spans="1:20" customFormat="1" ht="15" x14ac:dyDescent="0.25">
      <c r="A3194" t="s">
        <v>35</v>
      </c>
      <c r="B3194" t="s">
        <v>61</v>
      </c>
      <c r="C3194" t="str">
        <f>"A0187421"</f>
        <v>A0187421</v>
      </c>
      <c r="D3194" t="s">
        <v>13372</v>
      </c>
      <c r="E3194" t="s">
        <v>13373</v>
      </c>
      <c r="F3194" t="s">
        <v>13374</v>
      </c>
      <c r="G3194" t="s">
        <v>65</v>
      </c>
      <c r="H3194">
        <v>43952</v>
      </c>
      <c r="I3194" t="s">
        <v>30</v>
      </c>
      <c r="J3194" t="s">
        <v>41</v>
      </c>
      <c r="K3194" t="s">
        <v>131</v>
      </c>
      <c r="Q3194">
        <v>0</v>
      </c>
      <c r="R3194">
        <v>0</v>
      </c>
      <c r="S3194">
        <v>0</v>
      </c>
      <c r="T3194" t="s">
        <v>13375</v>
      </c>
    </row>
    <row r="3195" spans="1:20" customFormat="1" ht="15" x14ac:dyDescent="0.25">
      <c r="A3195" t="s">
        <v>35</v>
      </c>
      <c r="B3195" t="s">
        <v>106</v>
      </c>
      <c r="C3195" t="str">
        <f>"A0187420"</f>
        <v>A0187420</v>
      </c>
      <c r="D3195" t="s">
        <v>13376</v>
      </c>
      <c r="E3195" t="s">
        <v>13377</v>
      </c>
      <c r="F3195" t="s">
        <v>13378</v>
      </c>
      <c r="G3195" t="s">
        <v>3236</v>
      </c>
      <c r="H3195">
        <v>57069</v>
      </c>
      <c r="I3195" t="s">
        <v>30</v>
      </c>
      <c r="J3195" t="s">
        <v>111</v>
      </c>
      <c r="K3195" t="s">
        <v>112</v>
      </c>
      <c r="Q3195">
        <v>0</v>
      </c>
      <c r="R3195">
        <v>0</v>
      </c>
      <c r="S3195">
        <v>0</v>
      </c>
      <c r="T3195" t="s">
        <v>13379</v>
      </c>
    </row>
    <row r="3196" spans="1:20" customFormat="1" ht="15" x14ac:dyDescent="0.25">
      <c r="A3196" t="s">
        <v>35</v>
      </c>
      <c r="B3196" t="s">
        <v>1918</v>
      </c>
      <c r="C3196" t="str">
        <f>"A0187419"</f>
        <v>A0187419</v>
      </c>
      <c r="D3196" t="s">
        <v>13380</v>
      </c>
      <c r="E3196" t="s">
        <v>13381</v>
      </c>
      <c r="F3196" t="s">
        <v>13382</v>
      </c>
      <c r="G3196" t="s">
        <v>110</v>
      </c>
      <c r="H3196">
        <v>91730</v>
      </c>
      <c r="I3196" t="s">
        <v>30</v>
      </c>
      <c r="J3196" t="s">
        <v>441</v>
      </c>
      <c r="K3196" t="s">
        <v>442</v>
      </c>
      <c r="Q3196">
        <v>0</v>
      </c>
      <c r="R3196">
        <v>0</v>
      </c>
      <c r="S3196">
        <v>0</v>
      </c>
      <c r="T3196" t="s">
        <v>13383</v>
      </c>
    </row>
    <row r="3197" spans="1:20" customFormat="1" ht="15" x14ac:dyDescent="0.25">
      <c r="A3197" t="s">
        <v>35</v>
      </c>
      <c r="B3197" t="s">
        <v>13384</v>
      </c>
      <c r="C3197" t="str">
        <f>"A0187418"</f>
        <v>A0187418</v>
      </c>
      <c r="D3197" t="s">
        <v>13385</v>
      </c>
      <c r="E3197" t="s">
        <v>13386</v>
      </c>
      <c r="F3197" t="s">
        <v>13387</v>
      </c>
      <c r="G3197" t="s">
        <v>40</v>
      </c>
      <c r="H3197">
        <v>73401</v>
      </c>
      <c r="I3197" t="s">
        <v>30</v>
      </c>
      <c r="J3197" t="s">
        <v>41</v>
      </c>
      <c r="K3197" t="s">
        <v>59</v>
      </c>
      <c r="Q3197">
        <v>0</v>
      </c>
      <c r="R3197">
        <v>0</v>
      </c>
      <c r="S3197">
        <v>48</v>
      </c>
      <c r="T3197" t="s">
        <v>13388</v>
      </c>
    </row>
    <row r="3198" spans="1:20" customFormat="1" ht="15" x14ac:dyDescent="0.25">
      <c r="A3198" t="s">
        <v>35</v>
      </c>
      <c r="B3198" t="s">
        <v>12396</v>
      </c>
      <c r="C3198" t="str">
        <f>"A0187417"</f>
        <v>A0187417</v>
      </c>
      <c r="D3198" t="s">
        <v>13389</v>
      </c>
      <c r="E3198" t="s">
        <v>13390</v>
      </c>
      <c r="F3198" t="s">
        <v>5257</v>
      </c>
      <c r="G3198" t="s">
        <v>52</v>
      </c>
      <c r="H3198">
        <v>77071</v>
      </c>
      <c r="I3198" t="s">
        <v>30</v>
      </c>
      <c r="J3198" t="s">
        <v>41</v>
      </c>
      <c r="K3198" t="s">
        <v>290</v>
      </c>
      <c r="Q3198">
        <v>0</v>
      </c>
      <c r="R3198">
        <v>0</v>
      </c>
      <c r="S3198">
        <v>0</v>
      </c>
      <c r="T3198" t="s">
        <v>72</v>
      </c>
    </row>
    <row r="3199" spans="1:20" customFormat="1" ht="15" x14ac:dyDescent="0.25">
      <c r="A3199" t="s">
        <v>35</v>
      </c>
      <c r="B3199" t="s">
        <v>13389</v>
      </c>
      <c r="C3199" t="str">
        <f>"A0187416"</f>
        <v>A0187416</v>
      </c>
      <c r="D3199" t="s">
        <v>13391</v>
      </c>
      <c r="E3199" t="s">
        <v>13392</v>
      </c>
      <c r="F3199" t="s">
        <v>5257</v>
      </c>
      <c r="G3199" t="s">
        <v>52</v>
      </c>
      <c r="H3199">
        <v>77087</v>
      </c>
      <c r="I3199" t="s">
        <v>30</v>
      </c>
      <c r="J3199" t="s">
        <v>41</v>
      </c>
      <c r="K3199" t="s">
        <v>59</v>
      </c>
      <c r="Q3199">
        <v>0</v>
      </c>
      <c r="R3199">
        <v>0</v>
      </c>
      <c r="S3199">
        <v>120</v>
      </c>
      <c r="T3199" t="s">
        <v>72</v>
      </c>
    </row>
    <row r="3200" spans="1:20" customFormat="1" ht="15" x14ac:dyDescent="0.25">
      <c r="A3200" t="s">
        <v>35</v>
      </c>
      <c r="B3200" t="s">
        <v>12396</v>
      </c>
      <c r="C3200" t="str">
        <f>"A0187415"</f>
        <v>A0187415</v>
      </c>
      <c r="D3200" t="s">
        <v>13393</v>
      </c>
      <c r="E3200" t="s">
        <v>13394</v>
      </c>
      <c r="F3200" t="s">
        <v>13395</v>
      </c>
      <c r="G3200" t="s">
        <v>52</v>
      </c>
      <c r="H3200">
        <v>77703</v>
      </c>
      <c r="I3200" t="s">
        <v>30</v>
      </c>
      <c r="J3200" t="s">
        <v>41</v>
      </c>
      <c r="K3200" t="s">
        <v>59</v>
      </c>
      <c r="Q3200">
        <v>0</v>
      </c>
      <c r="R3200">
        <v>0</v>
      </c>
      <c r="S3200">
        <v>0</v>
      </c>
      <c r="T3200" t="s">
        <v>72</v>
      </c>
    </row>
    <row r="3201" spans="1:20" customFormat="1" ht="15" x14ac:dyDescent="0.25">
      <c r="A3201" t="s">
        <v>35</v>
      </c>
      <c r="B3201" t="s">
        <v>9206</v>
      </c>
      <c r="C3201" t="str">
        <f>"A0187414"</f>
        <v>A0187414</v>
      </c>
      <c r="D3201" t="s">
        <v>13396</v>
      </c>
      <c r="E3201" t="s">
        <v>13397</v>
      </c>
      <c r="F3201" t="s">
        <v>4082</v>
      </c>
      <c r="G3201" t="s">
        <v>123</v>
      </c>
      <c r="H3201">
        <v>21209</v>
      </c>
      <c r="I3201" t="s">
        <v>30</v>
      </c>
      <c r="J3201" t="s">
        <v>41</v>
      </c>
      <c r="K3201" t="s">
        <v>461</v>
      </c>
      <c r="Q3201">
        <v>0</v>
      </c>
      <c r="R3201">
        <v>0</v>
      </c>
      <c r="S3201">
        <v>0</v>
      </c>
      <c r="T3201" t="s">
        <v>72</v>
      </c>
    </row>
    <row r="3202" spans="1:20" customFormat="1" ht="15" x14ac:dyDescent="0.25">
      <c r="A3202" t="s">
        <v>35</v>
      </c>
      <c r="B3202" t="s">
        <v>9206</v>
      </c>
      <c r="C3202" t="str">
        <f>"A0187413"</f>
        <v>A0187413</v>
      </c>
      <c r="D3202" t="s">
        <v>13398</v>
      </c>
      <c r="E3202" t="s">
        <v>13399</v>
      </c>
      <c r="F3202" t="s">
        <v>8288</v>
      </c>
      <c r="G3202" t="s">
        <v>123</v>
      </c>
      <c r="H3202">
        <v>21740</v>
      </c>
      <c r="I3202" t="s">
        <v>30</v>
      </c>
      <c r="J3202" t="s">
        <v>41</v>
      </c>
      <c r="K3202" t="s">
        <v>461</v>
      </c>
      <c r="Q3202">
        <v>0</v>
      </c>
      <c r="R3202">
        <v>0</v>
      </c>
      <c r="S3202">
        <v>0</v>
      </c>
      <c r="T3202" t="s">
        <v>72</v>
      </c>
    </row>
    <row r="3203" spans="1:20" customFormat="1" ht="15" x14ac:dyDescent="0.25">
      <c r="A3203" t="s">
        <v>35</v>
      </c>
      <c r="B3203" t="s">
        <v>9206</v>
      </c>
      <c r="C3203" t="str">
        <f>"A0187412"</f>
        <v>A0187412</v>
      </c>
      <c r="D3203" t="s">
        <v>13400</v>
      </c>
      <c r="E3203" t="s">
        <v>13401</v>
      </c>
      <c r="F3203" t="s">
        <v>2732</v>
      </c>
      <c r="G3203" t="s">
        <v>1363</v>
      </c>
      <c r="H3203">
        <v>3102</v>
      </c>
      <c r="I3203" t="s">
        <v>30</v>
      </c>
      <c r="J3203" t="s">
        <v>41</v>
      </c>
      <c r="K3203" t="s">
        <v>461</v>
      </c>
      <c r="Q3203">
        <v>0</v>
      </c>
      <c r="R3203">
        <v>0</v>
      </c>
      <c r="S3203">
        <v>0</v>
      </c>
      <c r="T3203" t="s">
        <v>72</v>
      </c>
    </row>
    <row r="3204" spans="1:20" customFormat="1" ht="15" x14ac:dyDescent="0.25">
      <c r="A3204" t="s">
        <v>35</v>
      </c>
      <c r="B3204" t="s">
        <v>9206</v>
      </c>
      <c r="C3204" t="str">
        <f>"A0187411"</f>
        <v>A0187411</v>
      </c>
      <c r="D3204" t="s">
        <v>13402</v>
      </c>
      <c r="E3204" t="s">
        <v>13403</v>
      </c>
      <c r="F3204" t="s">
        <v>5772</v>
      </c>
      <c r="G3204" t="s">
        <v>1363</v>
      </c>
      <c r="H3204">
        <v>3867</v>
      </c>
      <c r="I3204" t="s">
        <v>30</v>
      </c>
      <c r="J3204" t="s">
        <v>41</v>
      </c>
      <c r="K3204" t="s">
        <v>461</v>
      </c>
      <c r="Q3204">
        <v>0</v>
      </c>
      <c r="R3204">
        <v>0</v>
      </c>
      <c r="S3204">
        <v>0</v>
      </c>
      <c r="T3204" t="s">
        <v>72</v>
      </c>
    </row>
    <row r="3205" spans="1:20" customFormat="1" ht="15" x14ac:dyDescent="0.25">
      <c r="A3205" t="s">
        <v>35</v>
      </c>
      <c r="B3205" t="s">
        <v>9206</v>
      </c>
      <c r="C3205" t="str">
        <f>"A0187410"</f>
        <v>A0187410</v>
      </c>
      <c r="D3205" t="s">
        <v>13404</v>
      </c>
      <c r="E3205" t="s">
        <v>13405</v>
      </c>
      <c r="F3205" t="s">
        <v>5257</v>
      </c>
      <c r="G3205" t="s">
        <v>52</v>
      </c>
      <c r="H3205">
        <v>77071</v>
      </c>
      <c r="I3205" t="s">
        <v>30</v>
      </c>
      <c r="J3205" t="s">
        <v>41</v>
      </c>
      <c r="K3205" t="s">
        <v>461</v>
      </c>
      <c r="Q3205">
        <v>0</v>
      </c>
      <c r="R3205">
        <v>0</v>
      </c>
      <c r="S3205">
        <v>0</v>
      </c>
      <c r="T3205" t="s">
        <v>72</v>
      </c>
    </row>
    <row r="3206" spans="1:20" customFormat="1" ht="15" x14ac:dyDescent="0.25">
      <c r="A3206" t="s">
        <v>35</v>
      </c>
      <c r="B3206" t="s">
        <v>9206</v>
      </c>
      <c r="C3206" t="str">
        <f>"A0187409"</f>
        <v>A0187409</v>
      </c>
      <c r="D3206" t="s">
        <v>13406</v>
      </c>
      <c r="E3206" t="s">
        <v>13407</v>
      </c>
      <c r="F3206" t="s">
        <v>13408</v>
      </c>
      <c r="G3206" t="s">
        <v>1363</v>
      </c>
      <c r="H3206">
        <v>3862</v>
      </c>
      <c r="I3206" t="s">
        <v>30</v>
      </c>
      <c r="J3206" t="s">
        <v>41</v>
      </c>
      <c r="K3206" t="s">
        <v>461</v>
      </c>
      <c r="Q3206">
        <v>0</v>
      </c>
      <c r="R3206">
        <v>0</v>
      </c>
      <c r="S3206">
        <v>0</v>
      </c>
      <c r="T3206" t="s">
        <v>72</v>
      </c>
    </row>
    <row r="3207" spans="1:20" customFormat="1" ht="15" x14ac:dyDescent="0.25">
      <c r="A3207" t="s">
        <v>35</v>
      </c>
      <c r="B3207" t="s">
        <v>9206</v>
      </c>
      <c r="C3207" t="str">
        <f>"A0187428"</f>
        <v>A0187428</v>
      </c>
      <c r="D3207" t="s">
        <v>13409</v>
      </c>
      <c r="E3207" t="s">
        <v>13410</v>
      </c>
      <c r="F3207" t="s">
        <v>6156</v>
      </c>
      <c r="G3207" t="s">
        <v>846</v>
      </c>
      <c r="H3207">
        <v>30274</v>
      </c>
      <c r="I3207" t="s">
        <v>30</v>
      </c>
      <c r="J3207" t="s">
        <v>41</v>
      </c>
      <c r="K3207" t="s">
        <v>461</v>
      </c>
      <c r="Q3207">
        <v>0</v>
      </c>
      <c r="R3207">
        <v>0</v>
      </c>
      <c r="S3207">
        <v>0</v>
      </c>
      <c r="T3207" t="s">
        <v>72</v>
      </c>
    </row>
    <row r="3208" spans="1:20" customFormat="1" ht="15" x14ac:dyDescent="0.25">
      <c r="A3208" t="s">
        <v>24</v>
      </c>
      <c r="B3208" t="s">
        <v>13411</v>
      </c>
      <c r="C3208" t="str">
        <f>"SF03674"</f>
        <v>SF03674</v>
      </c>
      <c r="D3208" t="s">
        <v>13412</v>
      </c>
      <c r="E3208" t="s">
        <v>13413</v>
      </c>
      <c r="F3208" t="s">
        <v>13414</v>
      </c>
      <c r="G3208" t="s">
        <v>925</v>
      </c>
      <c r="H3208">
        <v>66223</v>
      </c>
      <c r="I3208" t="s">
        <v>30</v>
      </c>
      <c r="J3208" t="s">
        <v>31</v>
      </c>
      <c r="K3208" t="s">
        <v>282</v>
      </c>
      <c r="N3208" t="s">
        <v>13415</v>
      </c>
      <c r="Q3208">
        <v>0</v>
      </c>
      <c r="R3208">
        <v>90</v>
      </c>
      <c r="S3208">
        <v>0</v>
      </c>
      <c r="T3208" t="s">
        <v>13416</v>
      </c>
    </row>
    <row r="3209" spans="1:20" customFormat="1" ht="15" x14ac:dyDescent="0.25">
      <c r="A3209" t="s">
        <v>24</v>
      </c>
      <c r="B3209" t="s">
        <v>13417</v>
      </c>
      <c r="C3209" t="str">
        <f>"A0062487"</f>
        <v>A0062487</v>
      </c>
      <c r="D3209" t="s">
        <v>13418</v>
      </c>
      <c r="E3209" t="s">
        <v>13419</v>
      </c>
      <c r="F3209" t="s">
        <v>1476</v>
      </c>
      <c r="G3209" t="s">
        <v>161</v>
      </c>
      <c r="H3209">
        <v>55901</v>
      </c>
      <c r="I3209" t="s">
        <v>30</v>
      </c>
      <c r="J3209" t="s">
        <v>31</v>
      </c>
      <c r="K3209" t="s">
        <v>222</v>
      </c>
      <c r="N3209" t="s">
        <v>13420</v>
      </c>
      <c r="Q3209">
        <v>0</v>
      </c>
      <c r="R3209">
        <v>82</v>
      </c>
      <c r="S3209">
        <v>0</v>
      </c>
      <c r="T3209" t="s">
        <v>13421</v>
      </c>
    </row>
    <row r="3210" spans="1:20" customFormat="1" ht="15" x14ac:dyDescent="0.25">
      <c r="A3210" t="s">
        <v>24</v>
      </c>
      <c r="B3210" t="s">
        <v>62594</v>
      </c>
      <c r="C3210" t="str">
        <f>"A0060898"</f>
        <v>A0060898</v>
      </c>
      <c r="D3210" t="s">
        <v>62595</v>
      </c>
      <c r="E3210" t="s">
        <v>62596</v>
      </c>
      <c r="F3210" t="s">
        <v>33838</v>
      </c>
      <c r="G3210" t="s">
        <v>65</v>
      </c>
      <c r="H3210">
        <v>45402</v>
      </c>
      <c r="I3210" t="s">
        <v>30</v>
      </c>
      <c r="J3210" t="s">
        <v>162</v>
      </c>
      <c r="K3210" t="s">
        <v>163</v>
      </c>
      <c r="N3210" t="s">
        <v>62597</v>
      </c>
      <c r="Q3210">
        <v>0</v>
      </c>
      <c r="R3210">
        <v>184</v>
      </c>
      <c r="S3210">
        <v>0</v>
      </c>
      <c r="T3210" t="s">
        <v>62598</v>
      </c>
    </row>
    <row r="3211" spans="1:20" customFormat="1" ht="15" x14ac:dyDescent="0.25">
      <c r="A3211" t="s">
        <v>24</v>
      </c>
      <c r="B3211" t="s">
        <v>1577</v>
      </c>
      <c r="C3211" t="str">
        <f>"A0187399"</f>
        <v>A0187399</v>
      </c>
      <c r="D3211" t="s">
        <v>13427</v>
      </c>
      <c r="E3211" t="s">
        <v>13428</v>
      </c>
      <c r="F3211" t="s">
        <v>13429</v>
      </c>
      <c r="G3211" t="s">
        <v>1706</v>
      </c>
      <c r="H3211">
        <v>36526</v>
      </c>
      <c r="I3211" t="s">
        <v>30</v>
      </c>
      <c r="J3211" t="s">
        <v>31</v>
      </c>
      <c r="K3211" t="s">
        <v>261</v>
      </c>
      <c r="N3211" t="s">
        <v>13430</v>
      </c>
      <c r="Q3211">
        <v>0</v>
      </c>
      <c r="R3211">
        <v>105</v>
      </c>
      <c r="S3211">
        <v>0</v>
      </c>
      <c r="T3211" t="s">
        <v>13431</v>
      </c>
    </row>
    <row r="3212" spans="1:20" customFormat="1" ht="15" x14ac:dyDescent="0.25">
      <c r="A3212" t="s">
        <v>24</v>
      </c>
      <c r="B3212" t="s">
        <v>193</v>
      </c>
      <c r="C3212" t="str">
        <f>"432ZN"</f>
        <v>432ZN</v>
      </c>
      <c r="D3212" t="s">
        <v>13432</v>
      </c>
      <c r="E3212" t="s">
        <v>13433</v>
      </c>
      <c r="F3212" t="s">
        <v>13434</v>
      </c>
      <c r="G3212" t="s">
        <v>214</v>
      </c>
      <c r="H3212">
        <v>28083</v>
      </c>
      <c r="I3212" t="s">
        <v>30</v>
      </c>
      <c r="J3212" t="s">
        <v>31</v>
      </c>
      <c r="K3212" t="s">
        <v>296</v>
      </c>
      <c r="N3212" t="s">
        <v>13435</v>
      </c>
      <c r="Q3212">
        <v>0</v>
      </c>
      <c r="R3212">
        <v>84</v>
      </c>
      <c r="S3212">
        <v>0</v>
      </c>
      <c r="T3212" t="s">
        <v>13436</v>
      </c>
    </row>
    <row r="3213" spans="1:20" customFormat="1" ht="15" x14ac:dyDescent="0.25">
      <c r="A3213" t="s">
        <v>35</v>
      </c>
      <c r="B3213" t="s">
        <v>61</v>
      </c>
      <c r="C3213" t="str">
        <f>"A0130023"</f>
        <v>A0130023</v>
      </c>
      <c r="D3213" t="s">
        <v>13437</v>
      </c>
      <c r="E3213" t="s">
        <v>13438</v>
      </c>
      <c r="F3213" t="s">
        <v>10174</v>
      </c>
      <c r="G3213" t="s">
        <v>85</v>
      </c>
      <c r="H3213">
        <v>72205</v>
      </c>
      <c r="I3213" t="s">
        <v>30</v>
      </c>
      <c r="J3213" t="s">
        <v>41</v>
      </c>
      <c r="K3213" t="s">
        <v>59</v>
      </c>
      <c r="Q3213">
        <v>0</v>
      </c>
      <c r="R3213">
        <v>143</v>
      </c>
      <c r="S3213">
        <v>143</v>
      </c>
      <c r="T3213" t="s">
        <v>13439</v>
      </c>
    </row>
    <row r="3214" spans="1:20" customFormat="1" ht="15" x14ac:dyDescent="0.25">
      <c r="A3214" t="s">
        <v>35</v>
      </c>
      <c r="B3214" t="s">
        <v>61</v>
      </c>
      <c r="C3214" t="str">
        <f>"A0130024"</f>
        <v>A0130024</v>
      </c>
      <c r="D3214" t="s">
        <v>13440</v>
      </c>
      <c r="E3214" t="s">
        <v>13441</v>
      </c>
      <c r="F3214" t="s">
        <v>10174</v>
      </c>
      <c r="G3214" t="s">
        <v>85</v>
      </c>
      <c r="H3214">
        <v>72223</v>
      </c>
      <c r="I3214" t="s">
        <v>30</v>
      </c>
      <c r="J3214" t="s">
        <v>41</v>
      </c>
      <c r="K3214" t="s">
        <v>59</v>
      </c>
      <c r="Q3214">
        <v>0</v>
      </c>
      <c r="R3214">
        <v>120</v>
      </c>
      <c r="S3214">
        <v>120</v>
      </c>
      <c r="T3214" t="s">
        <v>13442</v>
      </c>
    </row>
    <row r="3215" spans="1:20" customFormat="1" ht="15" x14ac:dyDescent="0.25">
      <c r="A3215" t="s">
        <v>35</v>
      </c>
      <c r="B3215" t="s">
        <v>61</v>
      </c>
      <c r="C3215" t="str">
        <f>"A0130029"</f>
        <v>A0130029</v>
      </c>
      <c r="D3215" t="s">
        <v>13443</v>
      </c>
      <c r="E3215" t="s">
        <v>13444</v>
      </c>
      <c r="F3215" t="s">
        <v>13445</v>
      </c>
      <c r="G3215" t="s">
        <v>85</v>
      </c>
      <c r="H3215">
        <v>72086</v>
      </c>
      <c r="I3215" t="s">
        <v>30</v>
      </c>
      <c r="J3215" t="s">
        <v>41</v>
      </c>
      <c r="K3215" t="s">
        <v>59</v>
      </c>
      <c r="Q3215">
        <v>0</v>
      </c>
      <c r="R3215">
        <v>104</v>
      </c>
      <c r="S3215">
        <v>104</v>
      </c>
      <c r="T3215" t="s">
        <v>13446</v>
      </c>
    </row>
    <row r="3216" spans="1:20" customFormat="1" ht="15" x14ac:dyDescent="0.25">
      <c r="A3216" t="s">
        <v>24</v>
      </c>
      <c r="B3216" t="s">
        <v>1583</v>
      </c>
      <c r="C3216" t="str">
        <f>"38940"</f>
        <v>38940</v>
      </c>
      <c r="D3216" t="s">
        <v>13447</v>
      </c>
      <c r="E3216" t="s">
        <v>13448</v>
      </c>
      <c r="F3216" t="s">
        <v>985</v>
      </c>
      <c r="G3216" t="s">
        <v>81</v>
      </c>
      <c r="H3216">
        <v>32819</v>
      </c>
      <c r="I3216" t="s">
        <v>30</v>
      </c>
      <c r="J3216" t="s">
        <v>191</v>
      </c>
      <c r="K3216" t="s">
        <v>11889</v>
      </c>
      <c r="N3216" t="s">
        <v>13449</v>
      </c>
      <c r="O3216" t="s">
        <v>13450</v>
      </c>
      <c r="Q3216">
        <v>0</v>
      </c>
      <c r="R3216">
        <v>0</v>
      </c>
      <c r="S3216">
        <v>0</v>
      </c>
      <c r="T3216" t="s">
        <v>13451</v>
      </c>
    </row>
    <row r="3217" spans="1:25" customFormat="1" ht="15" x14ac:dyDescent="0.25">
      <c r="A3217" t="s">
        <v>35</v>
      </c>
      <c r="B3217" t="s">
        <v>61</v>
      </c>
      <c r="C3217" t="str">
        <f>"A0130025"</f>
        <v>A0130025</v>
      </c>
      <c r="D3217" t="s">
        <v>13452</v>
      </c>
      <c r="E3217" t="s">
        <v>13453</v>
      </c>
      <c r="F3217" t="s">
        <v>7073</v>
      </c>
      <c r="G3217" t="s">
        <v>85</v>
      </c>
      <c r="H3217">
        <v>72015</v>
      </c>
      <c r="I3217" t="s">
        <v>30</v>
      </c>
      <c r="J3217" t="s">
        <v>41</v>
      </c>
      <c r="K3217" t="s">
        <v>59</v>
      </c>
      <c r="Q3217">
        <v>0</v>
      </c>
      <c r="R3217">
        <v>103</v>
      </c>
      <c r="S3217">
        <v>103</v>
      </c>
      <c r="T3217" t="s">
        <v>13454</v>
      </c>
    </row>
    <row r="3218" spans="1:25" customFormat="1" ht="15" x14ac:dyDescent="0.25">
      <c r="A3218" t="s">
        <v>24</v>
      </c>
      <c r="B3218" t="s">
        <v>9400</v>
      </c>
      <c r="C3218" t="str">
        <f>"A0097944"</f>
        <v>A0097944</v>
      </c>
      <c r="D3218" t="s">
        <v>62612</v>
      </c>
      <c r="E3218" t="s">
        <v>62613</v>
      </c>
      <c r="F3218" t="s">
        <v>7677</v>
      </c>
      <c r="G3218" t="s">
        <v>153</v>
      </c>
      <c r="H3218">
        <v>84060</v>
      </c>
      <c r="I3218" t="s">
        <v>30</v>
      </c>
      <c r="J3218" t="s">
        <v>162</v>
      </c>
      <c r="K3218" t="s">
        <v>163</v>
      </c>
      <c r="N3218" t="s">
        <v>62614</v>
      </c>
      <c r="O3218" t="s">
        <v>62615</v>
      </c>
      <c r="Q3218">
        <v>0</v>
      </c>
      <c r="R3218">
        <v>0</v>
      </c>
      <c r="S3218">
        <v>0</v>
      </c>
      <c r="T3218" t="s">
        <v>62616</v>
      </c>
    </row>
    <row r="3219" spans="1:25" customFormat="1" ht="15" x14ac:dyDescent="0.25">
      <c r="A3219" t="s">
        <v>24</v>
      </c>
      <c r="B3219" t="s">
        <v>1836</v>
      </c>
      <c r="C3219" t="str">
        <f>"A0187391"</f>
        <v>A0187391</v>
      </c>
      <c r="D3219" t="s">
        <v>13459</v>
      </c>
      <c r="E3219" t="s">
        <v>13460</v>
      </c>
      <c r="F3219" t="s">
        <v>2063</v>
      </c>
      <c r="G3219" t="s">
        <v>52</v>
      </c>
      <c r="H3219">
        <v>79109</v>
      </c>
      <c r="I3219" t="s">
        <v>30</v>
      </c>
      <c r="J3219" t="s">
        <v>31</v>
      </c>
      <c r="K3219" t="s">
        <v>163</v>
      </c>
      <c r="N3219" t="s">
        <v>13461</v>
      </c>
      <c r="Q3219">
        <v>0</v>
      </c>
      <c r="R3219">
        <v>105</v>
      </c>
      <c r="S3219">
        <v>0</v>
      </c>
      <c r="T3219" t="s">
        <v>13462</v>
      </c>
    </row>
    <row r="3220" spans="1:25" customFormat="1" ht="15" x14ac:dyDescent="0.25">
      <c r="A3220" t="s">
        <v>24</v>
      </c>
      <c r="B3220" t="s">
        <v>2360</v>
      </c>
      <c r="C3220" t="str">
        <f>"A0187395"</f>
        <v>A0187395</v>
      </c>
      <c r="D3220" t="s">
        <v>13463</v>
      </c>
      <c r="E3220" t="s">
        <v>13464</v>
      </c>
      <c r="F3220" t="s">
        <v>13465</v>
      </c>
      <c r="G3220" t="s">
        <v>110</v>
      </c>
      <c r="H3220">
        <v>94070</v>
      </c>
      <c r="I3220" t="s">
        <v>30</v>
      </c>
      <c r="J3220" t="s">
        <v>215</v>
      </c>
      <c r="K3220" t="s">
        <v>2364</v>
      </c>
      <c r="Q3220">
        <v>0</v>
      </c>
      <c r="R3220">
        <v>0</v>
      </c>
      <c r="S3220">
        <v>0</v>
      </c>
      <c r="T3220" t="s">
        <v>13466</v>
      </c>
    </row>
    <row r="3221" spans="1:25" customFormat="1" ht="15" x14ac:dyDescent="0.25">
      <c r="A3221" t="s">
        <v>35</v>
      </c>
      <c r="B3221" t="s">
        <v>12656</v>
      </c>
      <c r="C3221" t="str">
        <f>"A0118679"</f>
        <v>A0118679</v>
      </c>
      <c r="D3221" t="s">
        <v>13467</v>
      </c>
      <c r="E3221" t="s">
        <v>13468</v>
      </c>
      <c r="F3221" t="s">
        <v>13469</v>
      </c>
      <c r="G3221" t="s">
        <v>110</v>
      </c>
      <c r="H3221">
        <v>93950</v>
      </c>
      <c r="I3221" t="s">
        <v>30</v>
      </c>
      <c r="J3221" t="s">
        <v>41</v>
      </c>
      <c r="K3221" t="s">
        <v>1440</v>
      </c>
      <c r="Q3221">
        <v>0</v>
      </c>
      <c r="R3221">
        <v>90</v>
      </c>
      <c r="S3221">
        <v>90</v>
      </c>
      <c r="T3221" t="s">
        <v>13470</v>
      </c>
    </row>
    <row r="3222" spans="1:25" customFormat="1" ht="15" x14ac:dyDescent="0.25">
      <c r="A3222" t="s">
        <v>24</v>
      </c>
      <c r="B3222" t="s">
        <v>762</v>
      </c>
      <c r="C3222" t="str">
        <f>"A0187138"</f>
        <v>A0187138</v>
      </c>
      <c r="D3222" t="s">
        <v>13471</v>
      </c>
      <c r="E3222" t="s">
        <v>13472</v>
      </c>
      <c r="F3222" t="s">
        <v>13473</v>
      </c>
      <c r="G3222" t="s">
        <v>427</v>
      </c>
      <c r="H3222">
        <v>68516</v>
      </c>
      <c r="I3222" t="s">
        <v>30</v>
      </c>
      <c r="J3222" t="s">
        <v>31</v>
      </c>
      <c r="K3222" t="s">
        <v>198</v>
      </c>
      <c r="N3222" t="s">
        <v>13474</v>
      </c>
      <c r="O3222" t="s">
        <v>13475</v>
      </c>
      <c r="Q3222">
        <v>0</v>
      </c>
      <c r="R3222">
        <v>76</v>
      </c>
      <c r="S3222">
        <v>0</v>
      </c>
      <c r="T3222" t="s">
        <v>13476</v>
      </c>
    </row>
    <row r="3223" spans="1:25" customFormat="1" ht="15" x14ac:dyDescent="0.25">
      <c r="A3223" t="s">
        <v>35</v>
      </c>
      <c r="B3223" t="s">
        <v>61</v>
      </c>
      <c r="C3223" t="str">
        <f>"A0119303"</f>
        <v>A0119303</v>
      </c>
      <c r="D3223" t="s">
        <v>13477</v>
      </c>
      <c r="E3223" t="s">
        <v>13478</v>
      </c>
      <c r="F3223" t="s">
        <v>13479</v>
      </c>
      <c r="G3223" t="s">
        <v>110</v>
      </c>
      <c r="H3223">
        <v>92335</v>
      </c>
      <c r="I3223" t="s">
        <v>30</v>
      </c>
      <c r="J3223" t="s">
        <v>41</v>
      </c>
      <c r="K3223" t="s">
        <v>59</v>
      </c>
      <c r="Q3223">
        <v>0</v>
      </c>
      <c r="R3223">
        <v>100</v>
      </c>
      <c r="S3223">
        <v>100</v>
      </c>
      <c r="T3223" t="s">
        <v>13480</v>
      </c>
    </row>
    <row r="3224" spans="1:25" customFormat="1" ht="15" x14ac:dyDescent="0.25">
      <c r="A3224" t="s">
        <v>35</v>
      </c>
      <c r="B3224" t="s">
        <v>61</v>
      </c>
      <c r="C3224" t="str">
        <f>"A0118684"</f>
        <v>A0118684</v>
      </c>
      <c r="D3224" t="s">
        <v>13481</v>
      </c>
      <c r="E3224" t="s">
        <v>13482</v>
      </c>
      <c r="F3224" t="s">
        <v>9128</v>
      </c>
      <c r="G3224" t="s">
        <v>110</v>
      </c>
      <c r="H3224">
        <v>94607</v>
      </c>
      <c r="I3224" t="s">
        <v>30</v>
      </c>
      <c r="J3224" t="s">
        <v>41</v>
      </c>
      <c r="K3224" t="s">
        <v>2477</v>
      </c>
      <c r="Q3224">
        <v>0</v>
      </c>
      <c r="R3224">
        <v>70</v>
      </c>
      <c r="S3224">
        <v>70</v>
      </c>
      <c r="T3224" t="s">
        <v>13483</v>
      </c>
    </row>
    <row r="3225" spans="1:25" customFormat="1" ht="15" x14ac:dyDescent="0.25">
      <c r="A3225" t="s">
        <v>24</v>
      </c>
      <c r="B3225" t="s">
        <v>33398</v>
      </c>
      <c r="C3225" t="str">
        <f>"A0098840"</f>
        <v>A0098840</v>
      </c>
      <c r="D3225" t="s">
        <v>62643</v>
      </c>
      <c r="E3225" t="s">
        <v>62644</v>
      </c>
      <c r="F3225" t="s">
        <v>62645</v>
      </c>
      <c r="G3225" t="s">
        <v>29</v>
      </c>
      <c r="H3225">
        <v>24202</v>
      </c>
      <c r="I3225" t="s">
        <v>30</v>
      </c>
      <c r="J3225" t="s">
        <v>162</v>
      </c>
      <c r="K3225" t="s">
        <v>8834</v>
      </c>
      <c r="N3225" t="s">
        <v>62646</v>
      </c>
      <c r="Q3225">
        <v>0</v>
      </c>
      <c r="R3225">
        <v>226</v>
      </c>
      <c r="S3225">
        <v>0</v>
      </c>
      <c r="T3225" t="s">
        <v>62647</v>
      </c>
    </row>
    <row r="3226" spans="1:25" customFormat="1" ht="15" x14ac:dyDescent="0.25">
      <c r="A3226" t="s">
        <v>24</v>
      </c>
      <c r="B3226" t="s">
        <v>13489</v>
      </c>
      <c r="C3226" t="str">
        <f>"A0053219"</f>
        <v>A0053219</v>
      </c>
      <c r="D3226" t="s">
        <v>13490</v>
      </c>
      <c r="E3226" t="s">
        <v>13491</v>
      </c>
      <c r="F3226" t="s">
        <v>13492</v>
      </c>
      <c r="G3226" t="s">
        <v>123</v>
      </c>
      <c r="H3226">
        <v>21056</v>
      </c>
      <c r="I3226" t="s">
        <v>30</v>
      </c>
      <c r="J3226" t="s">
        <v>178</v>
      </c>
      <c r="K3226" t="s">
        <v>179</v>
      </c>
      <c r="N3226" t="s">
        <v>13493</v>
      </c>
      <c r="O3226" t="s">
        <v>13494</v>
      </c>
      <c r="Q3226">
        <v>0</v>
      </c>
      <c r="R3226">
        <v>9</v>
      </c>
      <c r="S3226">
        <v>0</v>
      </c>
      <c r="T3226" t="s">
        <v>13495</v>
      </c>
    </row>
    <row r="3227" spans="1:25" customFormat="1" ht="15" x14ac:dyDescent="0.25">
      <c r="A3227" t="s">
        <v>24</v>
      </c>
      <c r="B3227" t="s">
        <v>13496</v>
      </c>
      <c r="C3227" t="str">
        <f>"CL0641"</f>
        <v>CL0641</v>
      </c>
      <c r="D3227" t="s">
        <v>13497</v>
      </c>
      <c r="E3227" t="s">
        <v>13498</v>
      </c>
      <c r="F3227" t="s">
        <v>5905</v>
      </c>
      <c r="G3227" t="s">
        <v>58</v>
      </c>
      <c r="H3227">
        <v>29601</v>
      </c>
      <c r="I3227" t="s">
        <v>30</v>
      </c>
      <c r="J3227" t="s">
        <v>2558</v>
      </c>
      <c r="K3227" t="s">
        <v>163</v>
      </c>
      <c r="N3227" t="s">
        <v>13499</v>
      </c>
      <c r="Q3227">
        <v>0</v>
      </c>
      <c r="R3227">
        <v>0</v>
      </c>
      <c r="S3227">
        <v>0</v>
      </c>
      <c r="T3227" t="s">
        <v>13500</v>
      </c>
    </row>
    <row r="3228" spans="1:25" customFormat="1" ht="15" x14ac:dyDescent="0.25">
      <c r="A3228" t="s">
        <v>24</v>
      </c>
      <c r="B3228" t="s">
        <v>3343</v>
      </c>
      <c r="C3228" t="str">
        <f>"A0065560"</f>
        <v>A0065560</v>
      </c>
      <c r="D3228" t="s">
        <v>62692</v>
      </c>
      <c r="E3228" t="s">
        <v>62693</v>
      </c>
      <c r="F3228" t="s">
        <v>62694</v>
      </c>
      <c r="G3228" t="s">
        <v>71</v>
      </c>
      <c r="H3228">
        <v>54304</v>
      </c>
      <c r="I3228" t="s">
        <v>30</v>
      </c>
      <c r="J3228" t="s">
        <v>162</v>
      </c>
      <c r="K3228" t="s">
        <v>8834</v>
      </c>
      <c r="N3228" t="s">
        <v>62695</v>
      </c>
      <c r="O3228" t="s">
        <v>62696</v>
      </c>
      <c r="Q3228">
        <v>0</v>
      </c>
      <c r="R3228">
        <v>145</v>
      </c>
      <c r="S3228">
        <v>0</v>
      </c>
      <c r="T3228" t="s">
        <v>62697</v>
      </c>
    </row>
    <row r="3229" spans="1:25" x14ac:dyDescent="0.25">
      <c r="A3229" s="5" t="s">
        <v>24</v>
      </c>
      <c r="B3229" s="5" t="s">
        <v>10936</v>
      </c>
      <c r="C3229" s="5" t="str">
        <f>"88IN025"</f>
        <v>88IN025</v>
      </c>
      <c r="D3229" s="5" t="s">
        <v>62704</v>
      </c>
      <c r="E3229" s="5" t="s">
        <v>62705</v>
      </c>
      <c r="F3229" s="5" t="s">
        <v>5123</v>
      </c>
      <c r="G3229" s="5" t="s">
        <v>110</v>
      </c>
      <c r="H3229" s="5">
        <v>95054</v>
      </c>
      <c r="I3229" s="5" t="s">
        <v>30</v>
      </c>
      <c r="J3229" s="5" t="s">
        <v>162</v>
      </c>
      <c r="K3229" s="5" t="s">
        <v>8834</v>
      </c>
      <c r="L3229" s="5"/>
      <c r="M3229" s="5"/>
      <c r="N3229" s="5" t="s">
        <v>62706</v>
      </c>
      <c r="O3229" s="5" t="s">
        <v>62707</v>
      </c>
      <c r="P3229" s="5"/>
      <c r="Q3229" s="5">
        <v>0</v>
      </c>
      <c r="R3229" s="5">
        <v>263</v>
      </c>
      <c r="S3229" s="5">
        <v>0</v>
      </c>
      <c r="T3229" s="5" t="s">
        <v>62708</v>
      </c>
      <c r="U3229" s="5"/>
      <c r="V3229" s="5"/>
      <c r="W3229" s="5"/>
      <c r="X3229" s="5"/>
      <c r="Y3229" s="5"/>
    </row>
    <row r="3230" spans="1:25" x14ac:dyDescent="0.25">
      <c r="A3230" s="5" t="s">
        <v>24</v>
      </c>
      <c r="B3230" s="5" t="s">
        <v>57114</v>
      </c>
      <c r="C3230" s="5" t="str">
        <f>"A0057439"</f>
        <v>A0057439</v>
      </c>
      <c r="D3230" s="5" t="s">
        <v>62709</v>
      </c>
      <c r="E3230" s="5" t="s">
        <v>62710</v>
      </c>
      <c r="F3230" s="5" t="s">
        <v>53667</v>
      </c>
      <c r="G3230" s="5" t="s">
        <v>76</v>
      </c>
      <c r="H3230" s="5">
        <v>98201</v>
      </c>
      <c r="I3230" s="5" t="s">
        <v>30</v>
      </c>
      <c r="J3230" s="5" t="s">
        <v>162</v>
      </c>
      <c r="K3230" s="5" t="s">
        <v>8834</v>
      </c>
      <c r="L3230" s="5"/>
      <c r="M3230" s="5"/>
      <c r="N3230" s="5" t="s">
        <v>62711</v>
      </c>
      <c r="O3230" s="5" t="s">
        <v>62712</v>
      </c>
      <c r="P3230" s="5"/>
      <c r="Q3230" s="5">
        <v>0</v>
      </c>
      <c r="R3230" s="5">
        <v>243</v>
      </c>
      <c r="S3230" s="5">
        <v>0</v>
      </c>
      <c r="T3230" s="5" t="s">
        <v>62713</v>
      </c>
      <c r="U3230" s="5"/>
      <c r="V3230" s="5"/>
      <c r="W3230" s="5"/>
      <c r="X3230" s="5"/>
      <c r="Y3230" s="5"/>
    </row>
    <row r="3231" spans="1:25" customFormat="1" ht="15" x14ac:dyDescent="0.25">
      <c r="A3231" t="s">
        <v>35</v>
      </c>
      <c r="B3231" t="s">
        <v>36</v>
      </c>
      <c r="C3231" t="str">
        <f>"A0187099"</f>
        <v>A0187099</v>
      </c>
      <c r="D3231" t="s">
        <v>13519</v>
      </c>
      <c r="E3231" t="s">
        <v>13520</v>
      </c>
      <c r="F3231" t="s">
        <v>13521</v>
      </c>
      <c r="G3231" t="s">
        <v>3236</v>
      </c>
      <c r="H3231">
        <v>57070</v>
      </c>
      <c r="I3231" t="s">
        <v>30</v>
      </c>
      <c r="J3231" t="s">
        <v>41</v>
      </c>
      <c r="K3231" t="s">
        <v>42</v>
      </c>
      <c r="Q3231">
        <v>0</v>
      </c>
      <c r="R3231">
        <v>0</v>
      </c>
      <c r="S3231">
        <v>0</v>
      </c>
      <c r="T3231" t="s">
        <v>13522</v>
      </c>
    </row>
    <row r="3232" spans="1:25" customFormat="1" ht="15" x14ac:dyDescent="0.25">
      <c r="A3232" t="s">
        <v>35</v>
      </c>
      <c r="B3232" t="s">
        <v>36</v>
      </c>
      <c r="C3232" t="str">
        <f>"A0187098"</f>
        <v>A0187098</v>
      </c>
      <c r="D3232" t="s">
        <v>13523</v>
      </c>
      <c r="E3232" t="s">
        <v>13524</v>
      </c>
      <c r="F3232" t="s">
        <v>10174</v>
      </c>
      <c r="G3232" t="s">
        <v>85</v>
      </c>
      <c r="H3232">
        <v>72210</v>
      </c>
      <c r="I3232" t="s">
        <v>30</v>
      </c>
      <c r="J3232" t="s">
        <v>41</v>
      </c>
      <c r="K3232" t="s">
        <v>42</v>
      </c>
      <c r="Q3232">
        <v>0</v>
      </c>
      <c r="R3232">
        <v>0</v>
      </c>
      <c r="S3232">
        <v>0</v>
      </c>
      <c r="T3232" t="s">
        <v>13525</v>
      </c>
    </row>
    <row r="3233" spans="1:20" customFormat="1" ht="15" x14ac:dyDescent="0.25">
      <c r="A3233" t="s">
        <v>35</v>
      </c>
      <c r="B3233" t="s">
        <v>7943</v>
      </c>
      <c r="C3233" t="str">
        <f>"A0187097"</f>
        <v>A0187097</v>
      </c>
      <c r="D3233" t="s">
        <v>13526</v>
      </c>
      <c r="E3233" t="s">
        <v>13527</v>
      </c>
      <c r="F3233" t="s">
        <v>5693</v>
      </c>
      <c r="G3233" t="s">
        <v>81</v>
      </c>
      <c r="H3233">
        <v>32114</v>
      </c>
      <c r="I3233" t="s">
        <v>30</v>
      </c>
      <c r="J3233" t="s">
        <v>41</v>
      </c>
      <c r="K3233" t="s">
        <v>59</v>
      </c>
      <c r="Q3233">
        <v>0</v>
      </c>
      <c r="R3233">
        <v>0</v>
      </c>
      <c r="S3233">
        <v>97</v>
      </c>
      <c r="T3233" t="s">
        <v>13528</v>
      </c>
    </row>
    <row r="3234" spans="1:20" customFormat="1" ht="15" x14ac:dyDescent="0.25">
      <c r="A3234" t="s">
        <v>35</v>
      </c>
      <c r="B3234" t="s">
        <v>7359</v>
      </c>
      <c r="C3234" t="str">
        <f>"A0187096"</f>
        <v>A0187096</v>
      </c>
      <c r="D3234" t="s">
        <v>13529</v>
      </c>
      <c r="E3234" t="s">
        <v>13530</v>
      </c>
      <c r="F3234" t="s">
        <v>109</v>
      </c>
      <c r="G3234" t="s">
        <v>110</v>
      </c>
      <c r="H3234">
        <v>91913</v>
      </c>
      <c r="I3234" t="s">
        <v>30</v>
      </c>
      <c r="J3234" t="s">
        <v>41</v>
      </c>
      <c r="K3234" t="s">
        <v>59</v>
      </c>
      <c r="Q3234">
        <v>0</v>
      </c>
      <c r="R3234">
        <v>0</v>
      </c>
      <c r="S3234">
        <v>120</v>
      </c>
      <c r="T3234" t="s">
        <v>13531</v>
      </c>
    </row>
    <row r="3235" spans="1:20" customFormat="1" ht="15" x14ac:dyDescent="0.25">
      <c r="A3235" t="s">
        <v>35</v>
      </c>
      <c r="B3235" t="s">
        <v>9670</v>
      </c>
      <c r="C3235" t="str">
        <f>"A0187095"</f>
        <v>A0187095</v>
      </c>
      <c r="D3235" t="s">
        <v>13532</v>
      </c>
      <c r="E3235" t="s">
        <v>13533</v>
      </c>
      <c r="F3235" t="s">
        <v>13534</v>
      </c>
      <c r="G3235" t="s">
        <v>81</v>
      </c>
      <c r="H3235">
        <v>32506</v>
      </c>
      <c r="I3235" t="s">
        <v>30</v>
      </c>
      <c r="J3235" t="s">
        <v>41</v>
      </c>
      <c r="K3235" t="s">
        <v>59</v>
      </c>
      <c r="Q3235">
        <v>0</v>
      </c>
      <c r="R3235">
        <v>0</v>
      </c>
      <c r="S3235">
        <v>66</v>
      </c>
      <c r="T3235" t="s">
        <v>13535</v>
      </c>
    </row>
    <row r="3236" spans="1:20" customFormat="1" ht="15" x14ac:dyDescent="0.25">
      <c r="A3236" t="s">
        <v>35</v>
      </c>
      <c r="B3236" t="s">
        <v>9670</v>
      </c>
      <c r="C3236" t="str">
        <f>"A0187094"</f>
        <v>A0187094</v>
      </c>
      <c r="D3236" t="s">
        <v>13536</v>
      </c>
      <c r="E3236" t="s">
        <v>13537</v>
      </c>
      <c r="F3236" t="s">
        <v>13538</v>
      </c>
      <c r="G3236" t="s">
        <v>81</v>
      </c>
      <c r="H3236">
        <v>34601</v>
      </c>
      <c r="I3236" t="s">
        <v>30</v>
      </c>
      <c r="J3236" t="s">
        <v>41</v>
      </c>
      <c r="K3236" t="s">
        <v>59</v>
      </c>
      <c r="Q3236">
        <v>0</v>
      </c>
      <c r="R3236">
        <v>0</v>
      </c>
      <c r="S3236">
        <v>124</v>
      </c>
      <c r="T3236" t="s">
        <v>13539</v>
      </c>
    </row>
    <row r="3237" spans="1:20" customFormat="1" ht="15" x14ac:dyDescent="0.25">
      <c r="A3237" t="s">
        <v>35</v>
      </c>
      <c r="B3237" t="s">
        <v>9670</v>
      </c>
      <c r="C3237" t="str">
        <f>"A0187093"</f>
        <v>A0187093</v>
      </c>
      <c r="D3237" t="s">
        <v>13540</v>
      </c>
      <c r="E3237" t="s">
        <v>13541</v>
      </c>
      <c r="F3237" t="s">
        <v>13542</v>
      </c>
      <c r="G3237" t="s">
        <v>81</v>
      </c>
      <c r="H3237">
        <v>34653</v>
      </c>
      <c r="I3237" t="s">
        <v>30</v>
      </c>
      <c r="J3237" t="s">
        <v>41</v>
      </c>
      <c r="K3237" t="s">
        <v>59</v>
      </c>
      <c r="Q3237">
        <v>0</v>
      </c>
      <c r="R3237">
        <v>0</v>
      </c>
      <c r="S3237">
        <v>130</v>
      </c>
      <c r="T3237" t="s">
        <v>13543</v>
      </c>
    </row>
    <row r="3238" spans="1:20" customFormat="1" ht="15" x14ac:dyDescent="0.25">
      <c r="A3238" t="s">
        <v>35</v>
      </c>
      <c r="B3238" t="s">
        <v>13544</v>
      </c>
      <c r="C3238" t="str">
        <f>"A0187092"</f>
        <v>A0187092</v>
      </c>
      <c r="D3238" t="s">
        <v>13545</v>
      </c>
      <c r="E3238" t="s">
        <v>13546</v>
      </c>
      <c r="F3238" t="s">
        <v>13547</v>
      </c>
      <c r="G3238" t="s">
        <v>427</v>
      </c>
      <c r="H3238">
        <v>68066</v>
      </c>
      <c r="I3238" t="s">
        <v>30</v>
      </c>
      <c r="J3238" t="s">
        <v>41</v>
      </c>
      <c r="K3238" t="s">
        <v>59</v>
      </c>
      <c r="Q3238">
        <v>0</v>
      </c>
      <c r="R3238">
        <v>0</v>
      </c>
      <c r="S3238">
        <v>95</v>
      </c>
      <c r="T3238" t="s">
        <v>13548</v>
      </c>
    </row>
    <row r="3239" spans="1:20" customFormat="1" ht="15" x14ac:dyDescent="0.25">
      <c r="A3239" t="s">
        <v>35</v>
      </c>
      <c r="B3239" t="s">
        <v>61</v>
      </c>
      <c r="C3239" t="str">
        <f>"A0187091"</f>
        <v>A0187091</v>
      </c>
      <c r="D3239" t="s">
        <v>13549</v>
      </c>
      <c r="E3239" t="s">
        <v>13550</v>
      </c>
      <c r="F3239" t="s">
        <v>13551</v>
      </c>
      <c r="G3239" t="s">
        <v>899</v>
      </c>
      <c r="H3239">
        <v>2645</v>
      </c>
      <c r="I3239" t="s">
        <v>30</v>
      </c>
      <c r="J3239" t="s">
        <v>41</v>
      </c>
      <c r="K3239" t="s">
        <v>59</v>
      </c>
      <c r="Q3239">
        <v>0</v>
      </c>
      <c r="R3239">
        <v>0</v>
      </c>
      <c r="S3239">
        <v>135</v>
      </c>
      <c r="T3239" t="s">
        <v>13552</v>
      </c>
    </row>
    <row r="3240" spans="1:20" customFormat="1" ht="15" x14ac:dyDescent="0.25">
      <c r="A3240" t="s">
        <v>35</v>
      </c>
      <c r="B3240" t="s">
        <v>61</v>
      </c>
      <c r="C3240" t="str">
        <f>"A0187090"</f>
        <v>A0187090</v>
      </c>
      <c r="D3240" t="s">
        <v>13553</v>
      </c>
      <c r="E3240" t="s">
        <v>13554</v>
      </c>
      <c r="F3240" t="s">
        <v>13555</v>
      </c>
      <c r="G3240" t="s">
        <v>197</v>
      </c>
      <c r="H3240">
        <v>85258</v>
      </c>
      <c r="I3240" t="s">
        <v>30</v>
      </c>
      <c r="J3240" t="s">
        <v>41</v>
      </c>
      <c r="K3240" t="s">
        <v>4020</v>
      </c>
      <c r="Q3240">
        <v>0</v>
      </c>
      <c r="R3240">
        <v>0</v>
      </c>
      <c r="S3240">
        <v>0</v>
      </c>
      <c r="T3240" t="s">
        <v>13556</v>
      </c>
    </row>
    <row r="3241" spans="1:20" customFormat="1" ht="15" x14ac:dyDescent="0.25">
      <c r="A3241" t="s">
        <v>35</v>
      </c>
      <c r="B3241" t="s">
        <v>8727</v>
      </c>
      <c r="C3241" t="str">
        <f>"A0187089"</f>
        <v>A0187089</v>
      </c>
      <c r="D3241" t="s">
        <v>13557</v>
      </c>
      <c r="E3241" t="s">
        <v>13558</v>
      </c>
      <c r="F3241" t="s">
        <v>64</v>
      </c>
      <c r="G3241" t="s">
        <v>65</v>
      </c>
      <c r="H3241">
        <v>43231</v>
      </c>
      <c r="I3241" t="s">
        <v>30</v>
      </c>
      <c r="J3241" t="s">
        <v>41</v>
      </c>
      <c r="K3241" t="s">
        <v>391</v>
      </c>
      <c r="Q3241">
        <v>0</v>
      </c>
      <c r="R3241">
        <v>0</v>
      </c>
      <c r="S3241">
        <v>0</v>
      </c>
      <c r="T3241" t="s">
        <v>13559</v>
      </c>
    </row>
    <row r="3242" spans="1:20" customFormat="1" ht="15" x14ac:dyDescent="0.25">
      <c r="A3242" t="s">
        <v>35</v>
      </c>
      <c r="B3242" t="s">
        <v>61</v>
      </c>
      <c r="C3242" t="str">
        <f>"A0187088"</f>
        <v>A0187088</v>
      </c>
      <c r="D3242" t="s">
        <v>13560</v>
      </c>
      <c r="E3242" t="s">
        <v>13561</v>
      </c>
      <c r="F3242" t="s">
        <v>13562</v>
      </c>
      <c r="G3242" t="s">
        <v>123</v>
      </c>
      <c r="H3242">
        <v>20814</v>
      </c>
      <c r="I3242" t="s">
        <v>30</v>
      </c>
      <c r="J3242" t="s">
        <v>41</v>
      </c>
      <c r="K3242" t="s">
        <v>229</v>
      </c>
      <c r="Q3242">
        <v>0</v>
      </c>
      <c r="R3242">
        <v>0</v>
      </c>
      <c r="S3242">
        <v>100</v>
      </c>
      <c r="T3242" t="s">
        <v>13563</v>
      </c>
    </row>
    <row r="3243" spans="1:20" customFormat="1" ht="15" x14ac:dyDescent="0.25">
      <c r="A3243" t="s">
        <v>35</v>
      </c>
      <c r="B3243" t="s">
        <v>1918</v>
      </c>
      <c r="C3243" t="str">
        <f>"A0187087"</f>
        <v>A0187087</v>
      </c>
      <c r="D3243" t="s">
        <v>13564</v>
      </c>
      <c r="E3243" t="s">
        <v>13565</v>
      </c>
      <c r="F3243" t="s">
        <v>9135</v>
      </c>
      <c r="G3243" t="s">
        <v>110</v>
      </c>
      <c r="H3243">
        <v>92125</v>
      </c>
      <c r="I3243" t="s">
        <v>30</v>
      </c>
      <c r="J3243" t="s">
        <v>441</v>
      </c>
      <c r="K3243" t="s">
        <v>442</v>
      </c>
      <c r="Q3243">
        <v>0</v>
      </c>
      <c r="R3243">
        <v>0</v>
      </c>
      <c r="S3243">
        <v>0</v>
      </c>
      <c r="T3243" t="s">
        <v>13566</v>
      </c>
    </row>
    <row r="3244" spans="1:20" customFormat="1" ht="15" x14ac:dyDescent="0.25">
      <c r="A3244" t="s">
        <v>35</v>
      </c>
      <c r="B3244" t="s">
        <v>13567</v>
      </c>
      <c r="C3244" t="str">
        <f>"A0187086"</f>
        <v>A0187086</v>
      </c>
      <c r="D3244" t="s">
        <v>13568</v>
      </c>
      <c r="E3244" t="s">
        <v>13569</v>
      </c>
      <c r="F3244" t="s">
        <v>13570</v>
      </c>
      <c r="G3244" t="s">
        <v>65</v>
      </c>
      <c r="H3244">
        <v>44632</v>
      </c>
      <c r="I3244" t="s">
        <v>30</v>
      </c>
      <c r="J3244" t="s">
        <v>41</v>
      </c>
      <c r="K3244" t="s">
        <v>131</v>
      </c>
      <c r="Q3244">
        <v>0</v>
      </c>
      <c r="R3244">
        <v>0</v>
      </c>
      <c r="S3244">
        <v>0</v>
      </c>
      <c r="T3244" t="s">
        <v>13571</v>
      </c>
    </row>
    <row r="3245" spans="1:20" customFormat="1" ht="15" x14ac:dyDescent="0.25">
      <c r="A3245" t="s">
        <v>35</v>
      </c>
      <c r="B3245" t="s">
        <v>13572</v>
      </c>
      <c r="C3245" t="str">
        <f>"A0187085"</f>
        <v>A0187085</v>
      </c>
      <c r="D3245" t="s">
        <v>13573</v>
      </c>
      <c r="E3245" t="s">
        <v>13574</v>
      </c>
      <c r="F3245" t="s">
        <v>13575</v>
      </c>
      <c r="G3245" t="s">
        <v>840</v>
      </c>
      <c r="H3245">
        <v>41091</v>
      </c>
      <c r="I3245" t="s">
        <v>30</v>
      </c>
      <c r="J3245" t="s">
        <v>41</v>
      </c>
      <c r="K3245" t="s">
        <v>229</v>
      </c>
      <c r="Q3245">
        <v>0</v>
      </c>
      <c r="R3245">
        <v>0</v>
      </c>
      <c r="S3245">
        <v>143</v>
      </c>
      <c r="T3245" t="s">
        <v>13576</v>
      </c>
    </row>
    <row r="3246" spans="1:20" customFormat="1" ht="15" x14ac:dyDescent="0.25">
      <c r="A3246" t="s">
        <v>35</v>
      </c>
      <c r="B3246" t="s">
        <v>13572</v>
      </c>
      <c r="C3246" t="str">
        <f>"A0187084"</f>
        <v>A0187084</v>
      </c>
      <c r="D3246" t="s">
        <v>13577</v>
      </c>
      <c r="E3246" t="s">
        <v>13578</v>
      </c>
      <c r="F3246" t="s">
        <v>1963</v>
      </c>
      <c r="G3246" t="s">
        <v>65</v>
      </c>
      <c r="H3246">
        <v>45342</v>
      </c>
      <c r="I3246" t="s">
        <v>30</v>
      </c>
      <c r="J3246" t="s">
        <v>41</v>
      </c>
      <c r="K3246" t="s">
        <v>229</v>
      </c>
      <c r="Q3246">
        <v>0</v>
      </c>
      <c r="R3246">
        <v>0</v>
      </c>
      <c r="S3246">
        <v>99</v>
      </c>
      <c r="T3246" t="s">
        <v>13579</v>
      </c>
    </row>
    <row r="3247" spans="1:20" customFormat="1" ht="15" x14ac:dyDescent="0.25">
      <c r="A3247" t="s">
        <v>35</v>
      </c>
      <c r="B3247" t="s">
        <v>13580</v>
      </c>
      <c r="C3247" t="str">
        <f>"A0187083"</f>
        <v>A0187083</v>
      </c>
      <c r="D3247" t="s">
        <v>13581</v>
      </c>
      <c r="E3247" t="s">
        <v>13582</v>
      </c>
      <c r="F3247" t="s">
        <v>13583</v>
      </c>
      <c r="G3247" t="s">
        <v>65</v>
      </c>
      <c r="H3247">
        <v>45840</v>
      </c>
      <c r="I3247" t="s">
        <v>30</v>
      </c>
      <c r="J3247" t="s">
        <v>41</v>
      </c>
      <c r="K3247" t="s">
        <v>10218</v>
      </c>
      <c r="Q3247">
        <v>0</v>
      </c>
      <c r="R3247">
        <v>0</v>
      </c>
      <c r="S3247">
        <v>0</v>
      </c>
      <c r="T3247" t="s">
        <v>13584</v>
      </c>
    </row>
    <row r="3248" spans="1:20" customFormat="1" ht="15" x14ac:dyDescent="0.25">
      <c r="A3248" t="s">
        <v>35</v>
      </c>
      <c r="B3248" t="s">
        <v>5185</v>
      </c>
      <c r="C3248" t="str">
        <f>"A0132449"</f>
        <v>A0132449</v>
      </c>
      <c r="D3248" t="s">
        <v>5185</v>
      </c>
      <c r="E3248" t="s">
        <v>13585</v>
      </c>
      <c r="F3248" t="s">
        <v>64</v>
      </c>
      <c r="G3248" t="s">
        <v>65</v>
      </c>
      <c r="H3248">
        <v>43203</v>
      </c>
      <c r="I3248" t="s">
        <v>30</v>
      </c>
      <c r="J3248" t="s">
        <v>41</v>
      </c>
      <c r="K3248" t="s">
        <v>290</v>
      </c>
      <c r="Q3248">
        <v>0</v>
      </c>
      <c r="R3248">
        <v>0</v>
      </c>
      <c r="S3248">
        <v>0</v>
      </c>
      <c r="T3248" t="s">
        <v>13586</v>
      </c>
    </row>
    <row r="3249" spans="1:25" customFormat="1" ht="15" x14ac:dyDescent="0.25">
      <c r="A3249" t="s">
        <v>24</v>
      </c>
      <c r="B3249" t="s">
        <v>193</v>
      </c>
      <c r="C3249" t="str">
        <f>"14195"</f>
        <v>14195</v>
      </c>
      <c r="D3249" t="s">
        <v>13587</v>
      </c>
      <c r="E3249" t="s">
        <v>13588</v>
      </c>
      <c r="F3249" t="s">
        <v>13589</v>
      </c>
      <c r="G3249" t="s">
        <v>381</v>
      </c>
      <c r="H3249">
        <v>46033</v>
      </c>
      <c r="I3249" t="s">
        <v>30</v>
      </c>
      <c r="J3249" t="s">
        <v>31</v>
      </c>
      <c r="K3249" t="s">
        <v>282</v>
      </c>
      <c r="N3249" t="s">
        <v>13590</v>
      </c>
      <c r="Q3249">
        <v>0</v>
      </c>
      <c r="R3249">
        <v>75</v>
      </c>
      <c r="S3249">
        <v>0</v>
      </c>
      <c r="T3249" t="s">
        <v>13591</v>
      </c>
    </row>
    <row r="3250" spans="1:25" customFormat="1" ht="15" x14ac:dyDescent="0.25">
      <c r="A3250" t="s">
        <v>24</v>
      </c>
      <c r="B3250" t="s">
        <v>13592</v>
      </c>
      <c r="C3250" t="str">
        <f>"A0187077"</f>
        <v>A0187077</v>
      </c>
      <c r="D3250" t="s">
        <v>13593</v>
      </c>
      <c r="E3250" t="s">
        <v>13594</v>
      </c>
      <c r="F3250" t="s">
        <v>13595</v>
      </c>
      <c r="G3250" t="s">
        <v>137</v>
      </c>
      <c r="H3250">
        <v>64068</v>
      </c>
      <c r="I3250" t="s">
        <v>30</v>
      </c>
      <c r="J3250" t="s">
        <v>31</v>
      </c>
      <c r="K3250" t="s">
        <v>261</v>
      </c>
      <c r="N3250" t="s">
        <v>13596</v>
      </c>
      <c r="O3250" t="s">
        <v>13597</v>
      </c>
      <c r="Q3250">
        <v>0</v>
      </c>
      <c r="R3250">
        <v>93</v>
      </c>
      <c r="S3250">
        <v>0</v>
      </c>
      <c r="T3250" t="s">
        <v>13598</v>
      </c>
    </row>
    <row r="3251" spans="1:25" customFormat="1" ht="15" x14ac:dyDescent="0.25">
      <c r="A3251" t="s">
        <v>24</v>
      </c>
      <c r="B3251" t="s">
        <v>1323</v>
      </c>
      <c r="C3251" t="str">
        <f>"A0146909"</f>
        <v>A0146909</v>
      </c>
      <c r="D3251" t="s">
        <v>62714</v>
      </c>
      <c r="E3251" t="s">
        <v>62715</v>
      </c>
      <c r="F3251" t="s">
        <v>35806</v>
      </c>
      <c r="G3251" t="s">
        <v>840</v>
      </c>
      <c r="H3251">
        <v>41101</v>
      </c>
      <c r="I3251" t="s">
        <v>30</v>
      </c>
      <c r="J3251" t="s">
        <v>162</v>
      </c>
      <c r="K3251" t="s">
        <v>8834</v>
      </c>
      <c r="N3251" t="s">
        <v>62716</v>
      </c>
      <c r="Q3251">
        <v>0</v>
      </c>
      <c r="R3251">
        <v>152</v>
      </c>
      <c r="S3251">
        <v>0</v>
      </c>
      <c r="T3251" t="s">
        <v>62717</v>
      </c>
    </row>
    <row r="3252" spans="1:25" customFormat="1" ht="15" x14ac:dyDescent="0.25">
      <c r="A3252" t="s">
        <v>24</v>
      </c>
      <c r="B3252" t="s">
        <v>13602</v>
      </c>
      <c r="C3252" t="str">
        <f>"A0187071"</f>
        <v>A0187071</v>
      </c>
      <c r="D3252" t="s">
        <v>13603</v>
      </c>
      <c r="E3252" t="s">
        <v>13604</v>
      </c>
      <c r="F3252" t="s">
        <v>866</v>
      </c>
      <c r="G3252" t="s">
        <v>40</v>
      </c>
      <c r="H3252">
        <v>73099</v>
      </c>
      <c r="I3252" t="s">
        <v>30</v>
      </c>
      <c r="J3252" t="s">
        <v>145</v>
      </c>
      <c r="K3252" t="s">
        <v>302</v>
      </c>
      <c r="N3252" t="s">
        <v>13605</v>
      </c>
      <c r="Q3252">
        <v>0</v>
      </c>
      <c r="R3252">
        <v>82</v>
      </c>
      <c r="S3252">
        <v>0</v>
      </c>
      <c r="T3252" t="s">
        <v>13606</v>
      </c>
    </row>
    <row r="3253" spans="1:25" customFormat="1" ht="15" x14ac:dyDescent="0.25">
      <c r="A3253" t="s">
        <v>24</v>
      </c>
      <c r="B3253" t="s">
        <v>13607</v>
      </c>
      <c r="C3253" t="str">
        <f>"A0100936"</f>
        <v>A0100936</v>
      </c>
      <c r="D3253" t="s">
        <v>13608</v>
      </c>
      <c r="E3253" t="s">
        <v>13609</v>
      </c>
      <c r="F3253" t="s">
        <v>13610</v>
      </c>
      <c r="G3253" t="s">
        <v>40</v>
      </c>
      <c r="H3253">
        <v>73036</v>
      </c>
      <c r="I3253" t="s">
        <v>30</v>
      </c>
      <c r="J3253" t="s">
        <v>31</v>
      </c>
      <c r="K3253" t="s">
        <v>32</v>
      </c>
      <c r="N3253" t="s">
        <v>13611</v>
      </c>
      <c r="Q3253">
        <v>0</v>
      </c>
      <c r="R3253">
        <v>82</v>
      </c>
      <c r="S3253">
        <v>0</v>
      </c>
      <c r="T3253" t="s">
        <v>13612</v>
      </c>
    </row>
    <row r="3254" spans="1:25" customFormat="1" ht="15" x14ac:dyDescent="0.25">
      <c r="A3254" t="s">
        <v>35</v>
      </c>
      <c r="B3254" t="s">
        <v>61</v>
      </c>
      <c r="C3254" t="str">
        <f>"A0129382"</f>
        <v>A0129382</v>
      </c>
      <c r="D3254" t="s">
        <v>13613</v>
      </c>
      <c r="E3254" t="s">
        <v>13614</v>
      </c>
      <c r="F3254" t="s">
        <v>13615</v>
      </c>
      <c r="G3254" t="s">
        <v>289</v>
      </c>
      <c r="H3254">
        <v>60526</v>
      </c>
      <c r="I3254" t="s">
        <v>30</v>
      </c>
      <c r="J3254" t="s">
        <v>41</v>
      </c>
      <c r="K3254" t="s">
        <v>229</v>
      </c>
      <c r="Q3254">
        <v>0</v>
      </c>
      <c r="R3254">
        <v>86</v>
      </c>
      <c r="S3254">
        <v>86</v>
      </c>
      <c r="T3254" t="s">
        <v>13616</v>
      </c>
    </row>
    <row r="3255" spans="1:25" customFormat="1" ht="15" x14ac:dyDescent="0.25">
      <c r="A3255" t="s">
        <v>24</v>
      </c>
      <c r="B3255" t="s">
        <v>13617</v>
      </c>
      <c r="C3255" t="str">
        <f>"A0162096"</f>
        <v>A0162096</v>
      </c>
      <c r="D3255" t="s">
        <v>13618</v>
      </c>
      <c r="E3255" t="s">
        <v>13619</v>
      </c>
      <c r="F3255" t="s">
        <v>13620</v>
      </c>
      <c r="G3255" t="s">
        <v>52</v>
      </c>
      <c r="H3255">
        <v>79756</v>
      </c>
      <c r="I3255" t="s">
        <v>30</v>
      </c>
      <c r="J3255" t="s">
        <v>31</v>
      </c>
      <c r="K3255" t="s">
        <v>32</v>
      </c>
      <c r="N3255" t="s">
        <v>13621</v>
      </c>
      <c r="Q3255">
        <v>0</v>
      </c>
      <c r="R3255">
        <v>95</v>
      </c>
      <c r="S3255">
        <v>0</v>
      </c>
      <c r="T3255" t="s">
        <v>13622</v>
      </c>
    </row>
    <row r="3256" spans="1:25" customFormat="1" ht="15" x14ac:dyDescent="0.25">
      <c r="A3256" t="s">
        <v>35</v>
      </c>
      <c r="B3256" t="s">
        <v>61</v>
      </c>
      <c r="C3256" t="str">
        <f>"A0133566"</f>
        <v>A0133566</v>
      </c>
      <c r="D3256" t="s">
        <v>13623</v>
      </c>
      <c r="E3256" t="s">
        <v>13624</v>
      </c>
      <c r="F3256" t="s">
        <v>11767</v>
      </c>
      <c r="G3256" t="s">
        <v>52</v>
      </c>
      <c r="H3256">
        <v>75032</v>
      </c>
      <c r="I3256" t="s">
        <v>30</v>
      </c>
      <c r="J3256" t="s">
        <v>41</v>
      </c>
      <c r="K3256" t="s">
        <v>9956</v>
      </c>
      <c r="Q3256">
        <v>0</v>
      </c>
      <c r="R3256">
        <v>120</v>
      </c>
      <c r="S3256">
        <v>120</v>
      </c>
      <c r="T3256" t="s">
        <v>13625</v>
      </c>
    </row>
    <row r="3257" spans="1:25" customFormat="1" ht="15" x14ac:dyDescent="0.25">
      <c r="A3257" t="s">
        <v>24</v>
      </c>
      <c r="B3257" t="s">
        <v>13626</v>
      </c>
      <c r="C3257" t="str">
        <f>"A0057621"</f>
        <v>A0057621</v>
      </c>
      <c r="D3257" t="s">
        <v>13627</v>
      </c>
      <c r="E3257" t="s">
        <v>13628</v>
      </c>
      <c r="F3257" t="s">
        <v>5833</v>
      </c>
      <c r="G3257" t="s">
        <v>1508</v>
      </c>
      <c r="H3257">
        <v>83001</v>
      </c>
      <c r="I3257" t="s">
        <v>30</v>
      </c>
      <c r="J3257" t="s">
        <v>2544</v>
      </c>
      <c r="K3257" t="s">
        <v>163</v>
      </c>
      <c r="N3257" t="s">
        <v>13629</v>
      </c>
      <c r="Q3257">
        <v>0</v>
      </c>
      <c r="R3257">
        <v>59</v>
      </c>
      <c r="S3257">
        <v>0</v>
      </c>
      <c r="T3257" t="s">
        <v>13630</v>
      </c>
    </row>
    <row r="3258" spans="1:25" customFormat="1" ht="15" x14ac:dyDescent="0.25">
      <c r="A3258" t="s">
        <v>24</v>
      </c>
      <c r="B3258" t="s">
        <v>1548</v>
      </c>
      <c r="C3258" t="str">
        <f>"34147"</f>
        <v>34147</v>
      </c>
      <c r="D3258" t="s">
        <v>62718</v>
      </c>
      <c r="E3258" t="s">
        <v>62719</v>
      </c>
      <c r="F3258" t="s">
        <v>59680</v>
      </c>
      <c r="G3258" t="s">
        <v>123</v>
      </c>
      <c r="H3258">
        <v>21031</v>
      </c>
      <c r="I3258" t="s">
        <v>30</v>
      </c>
      <c r="J3258" t="s">
        <v>162</v>
      </c>
      <c r="K3258" t="s">
        <v>8834</v>
      </c>
      <c r="N3258" t="s">
        <v>9770</v>
      </c>
      <c r="O3258" t="s">
        <v>62720</v>
      </c>
      <c r="Q3258">
        <v>0</v>
      </c>
      <c r="R3258">
        <v>393</v>
      </c>
      <c r="S3258">
        <v>0</v>
      </c>
      <c r="T3258" t="s">
        <v>62721</v>
      </c>
    </row>
    <row r="3259" spans="1:25" customFormat="1" ht="15" x14ac:dyDescent="0.25">
      <c r="A3259" t="s">
        <v>24</v>
      </c>
      <c r="B3259" t="s">
        <v>13637</v>
      </c>
      <c r="C3259" t="str">
        <f>"A0187064"</f>
        <v>A0187064</v>
      </c>
      <c r="D3259" t="s">
        <v>13638</v>
      </c>
      <c r="E3259" t="s">
        <v>13639</v>
      </c>
      <c r="F3259" t="s">
        <v>13640</v>
      </c>
      <c r="G3259" t="s">
        <v>99</v>
      </c>
      <c r="H3259">
        <v>13905</v>
      </c>
      <c r="I3259" t="s">
        <v>30</v>
      </c>
      <c r="J3259" t="s">
        <v>145</v>
      </c>
      <c r="K3259" t="s">
        <v>1234</v>
      </c>
      <c r="N3259" t="s">
        <v>4552</v>
      </c>
      <c r="Q3259">
        <v>0</v>
      </c>
      <c r="R3259">
        <v>59</v>
      </c>
      <c r="S3259">
        <v>0</v>
      </c>
      <c r="T3259" t="s">
        <v>13641</v>
      </c>
    </row>
    <row r="3260" spans="1:25" x14ac:dyDescent="0.25">
      <c r="A3260" s="5" t="s">
        <v>24</v>
      </c>
      <c r="B3260" s="5" t="s">
        <v>1567</v>
      </c>
      <c r="C3260" s="5" t="str">
        <f>"A0056710"</f>
        <v>A0056710</v>
      </c>
      <c r="D3260" s="5" t="s">
        <v>62722</v>
      </c>
      <c r="E3260" s="5" t="s">
        <v>62723</v>
      </c>
      <c r="F3260" s="5" t="s">
        <v>7455</v>
      </c>
      <c r="G3260" s="5" t="s">
        <v>123</v>
      </c>
      <c r="H3260" s="5">
        <v>21210</v>
      </c>
      <c r="I3260" s="5" t="s">
        <v>30</v>
      </c>
      <c r="J3260" s="5" t="s">
        <v>162</v>
      </c>
      <c r="K3260" s="5" t="s">
        <v>8834</v>
      </c>
      <c r="L3260" s="5"/>
      <c r="M3260" s="5"/>
      <c r="N3260" s="5" t="s">
        <v>62724</v>
      </c>
      <c r="O3260" s="5" t="s">
        <v>62725</v>
      </c>
      <c r="P3260" s="5"/>
      <c r="Q3260" s="5">
        <v>0</v>
      </c>
      <c r="R3260" s="5">
        <v>147</v>
      </c>
      <c r="S3260" s="5">
        <v>0</v>
      </c>
      <c r="T3260" s="5" t="s">
        <v>62726</v>
      </c>
      <c r="U3260" s="5"/>
      <c r="V3260" s="5"/>
      <c r="W3260" s="5"/>
      <c r="X3260" s="5"/>
      <c r="Y3260" s="5"/>
    </row>
    <row r="3261" spans="1:25" customFormat="1" ht="15" x14ac:dyDescent="0.25">
      <c r="A3261" t="s">
        <v>24</v>
      </c>
      <c r="B3261" t="s">
        <v>62727</v>
      </c>
      <c r="C3261" t="str">
        <f>"A0054199"</f>
        <v>A0054199</v>
      </c>
      <c r="D3261" t="s">
        <v>62728</v>
      </c>
      <c r="E3261" t="s">
        <v>62729</v>
      </c>
      <c r="F3261" t="s">
        <v>826</v>
      </c>
      <c r="G3261" t="s">
        <v>338</v>
      </c>
      <c r="H3261">
        <v>7920</v>
      </c>
      <c r="I3261" t="s">
        <v>30</v>
      </c>
      <c r="J3261" t="s">
        <v>162</v>
      </c>
      <c r="K3261" t="s">
        <v>8834</v>
      </c>
      <c r="N3261" t="s">
        <v>62730</v>
      </c>
      <c r="O3261" t="s">
        <v>62731</v>
      </c>
      <c r="Q3261">
        <v>0</v>
      </c>
      <c r="R3261">
        <v>116</v>
      </c>
      <c r="S3261">
        <v>0</v>
      </c>
      <c r="T3261" t="s">
        <v>62732</v>
      </c>
    </row>
    <row r="3262" spans="1:25" customFormat="1" ht="15" x14ac:dyDescent="0.25">
      <c r="A3262" t="s">
        <v>35</v>
      </c>
      <c r="B3262" t="s">
        <v>5676</v>
      </c>
      <c r="C3262" t="str">
        <f>"A0124147"</f>
        <v>A0124147</v>
      </c>
      <c r="D3262" t="s">
        <v>13651</v>
      </c>
      <c r="E3262" t="s">
        <v>13652</v>
      </c>
      <c r="F3262" t="s">
        <v>1755</v>
      </c>
      <c r="G3262" t="s">
        <v>289</v>
      </c>
      <c r="H3262">
        <v>62702</v>
      </c>
      <c r="I3262" t="s">
        <v>30</v>
      </c>
      <c r="J3262" t="s">
        <v>41</v>
      </c>
      <c r="K3262" t="s">
        <v>229</v>
      </c>
      <c r="Q3262">
        <v>0</v>
      </c>
      <c r="R3262">
        <v>251</v>
      </c>
      <c r="S3262">
        <v>251</v>
      </c>
      <c r="T3262" t="s">
        <v>13653</v>
      </c>
    </row>
    <row r="3263" spans="1:25" customFormat="1" ht="15" x14ac:dyDescent="0.25">
      <c r="A3263" t="s">
        <v>24</v>
      </c>
      <c r="B3263" t="s">
        <v>13654</v>
      </c>
      <c r="C3263" t="str">
        <f>"A0049477"</f>
        <v>A0049477</v>
      </c>
      <c r="D3263" t="s">
        <v>13655</v>
      </c>
      <c r="E3263" t="s">
        <v>13656</v>
      </c>
      <c r="F3263" t="s">
        <v>13657</v>
      </c>
      <c r="G3263" t="s">
        <v>110</v>
      </c>
      <c r="H3263">
        <v>95403</v>
      </c>
      <c r="I3263" t="s">
        <v>30</v>
      </c>
      <c r="J3263" t="s">
        <v>178</v>
      </c>
      <c r="K3263" t="s">
        <v>179</v>
      </c>
      <c r="N3263" t="s">
        <v>13658</v>
      </c>
      <c r="P3263" t="s">
        <v>992</v>
      </c>
      <c r="Q3263">
        <v>1</v>
      </c>
      <c r="R3263">
        <v>27</v>
      </c>
      <c r="S3263">
        <v>0</v>
      </c>
      <c r="T3263" t="s">
        <v>13659</v>
      </c>
    </row>
    <row r="3264" spans="1:25" customFormat="1" ht="15" x14ac:dyDescent="0.25">
      <c r="A3264" t="s">
        <v>35</v>
      </c>
      <c r="B3264" t="s">
        <v>61</v>
      </c>
      <c r="C3264" t="str">
        <f>"A0133344"</f>
        <v>A0133344</v>
      </c>
      <c r="D3264" t="s">
        <v>13660</v>
      </c>
      <c r="E3264" t="s">
        <v>13661</v>
      </c>
      <c r="F3264" t="s">
        <v>5734</v>
      </c>
      <c r="G3264" t="s">
        <v>52</v>
      </c>
      <c r="H3264">
        <v>79924</v>
      </c>
      <c r="I3264" t="s">
        <v>30</v>
      </c>
      <c r="J3264" t="s">
        <v>41</v>
      </c>
      <c r="K3264" t="s">
        <v>229</v>
      </c>
      <c r="Q3264">
        <v>0</v>
      </c>
      <c r="R3264">
        <v>160</v>
      </c>
      <c r="S3264">
        <v>160</v>
      </c>
      <c r="T3264" t="s">
        <v>13662</v>
      </c>
    </row>
    <row r="3265" spans="1:25" customFormat="1" ht="15" x14ac:dyDescent="0.25">
      <c r="A3265" t="s">
        <v>24</v>
      </c>
      <c r="B3265" t="s">
        <v>2583</v>
      </c>
      <c r="C3265" t="str">
        <f>"SF01597"</f>
        <v>SF01597</v>
      </c>
      <c r="D3265" t="s">
        <v>62733</v>
      </c>
      <c r="E3265" t="s">
        <v>62734</v>
      </c>
      <c r="F3265" t="s">
        <v>3823</v>
      </c>
      <c r="G3265" t="s">
        <v>289</v>
      </c>
      <c r="H3265">
        <v>60527</v>
      </c>
      <c r="I3265" t="s">
        <v>30</v>
      </c>
      <c r="J3265" t="s">
        <v>162</v>
      </c>
      <c r="K3265" t="s">
        <v>8834</v>
      </c>
      <c r="N3265" t="s">
        <v>60050</v>
      </c>
      <c r="O3265" t="s">
        <v>62735</v>
      </c>
      <c r="Q3265">
        <v>0</v>
      </c>
      <c r="R3265">
        <v>164</v>
      </c>
      <c r="S3265">
        <v>0</v>
      </c>
      <c r="T3265" t="s">
        <v>62736</v>
      </c>
    </row>
    <row r="3266" spans="1:25" customFormat="1" ht="15" x14ac:dyDescent="0.25">
      <c r="A3266" t="s">
        <v>24</v>
      </c>
      <c r="B3266" t="s">
        <v>62737</v>
      </c>
      <c r="C3266" t="str">
        <f>"A0148475"</f>
        <v>A0148475</v>
      </c>
      <c r="D3266" t="s">
        <v>62738</v>
      </c>
      <c r="E3266" t="s">
        <v>62739</v>
      </c>
      <c r="F3266" t="s">
        <v>13716</v>
      </c>
      <c r="G3266" t="s">
        <v>65</v>
      </c>
      <c r="H3266">
        <v>45246</v>
      </c>
      <c r="I3266" t="s">
        <v>30</v>
      </c>
      <c r="J3266" t="s">
        <v>162</v>
      </c>
      <c r="K3266" t="s">
        <v>8834</v>
      </c>
      <c r="N3266" t="s">
        <v>62740</v>
      </c>
      <c r="Q3266">
        <v>0</v>
      </c>
      <c r="R3266">
        <v>230</v>
      </c>
      <c r="S3266">
        <v>0</v>
      </c>
      <c r="T3266" t="s">
        <v>62741</v>
      </c>
    </row>
    <row r="3267" spans="1:25" customFormat="1" ht="15" x14ac:dyDescent="0.25">
      <c r="A3267" t="s">
        <v>24</v>
      </c>
      <c r="B3267" t="s">
        <v>2812</v>
      </c>
      <c r="C3267" t="str">
        <f>"A0057452"</f>
        <v>A0057452</v>
      </c>
      <c r="D3267" t="s">
        <v>62742</v>
      </c>
      <c r="E3267" t="s">
        <v>62743</v>
      </c>
      <c r="F3267" t="s">
        <v>62744</v>
      </c>
      <c r="G3267" t="s">
        <v>81</v>
      </c>
      <c r="H3267">
        <v>32118</v>
      </c>
      <c r="I3267" t="s">
        <v>30</v>
      </c>
      <c r="J3267" t="s">
        <v>162</v>
      </c>
      <c r="K3267" t="s">
        <v>8834</v>
      </c>
      <c r="N3267" t="s">
        <v>33044</v>
      </c>
      <c r="Q3267">
        <v>0</v>
      </c>
      <c r="R3267">
        <v>133</v>
      </c>
      <c r="S3267">
        <v>0</v>
      </c>
      <c r="T3267" t="s">
        <v>62745</v>
      </c>
    </row>
    <row r="3268" spans="1:25" customFormat="1" ht="15" x14ac:dyDescent="0.25">
      <c r="A3268" t="s">
        <v>24</v>
      </c>
      <c r="B3268" t="s">
        <v>2520</v>
      </c>
      <c r="C3268" t="str">
        <f>"A0178585"</f>
        <v>A0178585</v>
      </c>
      <c r="D3268" t="s">
        <v>13675</v>
      </c>
      <c r="E3268" t="s">
        <v>13676</v>
      </c>
      <c r="F3268" t="s">
        <v>13677</v>
      </c>
      <c r="G3268" t="s">
        <v>110</v>
      </c>
      <c r="H3268">
        <v>90241</v>
      </c>
      <c r="I3268" t="s">
        <v>30</v>
      </c>
      <c r="J3268" t="s">
        <v>31</v>
      </c>
      <c r="K3268" t="s">
        <v>255</v>
      </c>
      <c r="N3268" t="s">
        <v>13678</v>
      </c>
      <c r="Q3268">
        <v>0</v>
      </c>
      <c r="R3268">
        <v>140</v>
      </c>
      <c r="S3268">
        <v>0</v>
      </c>
      <c r="T3268" t="s">
        <v>192</v>
      </c>
    </row>
    <row r="3269" spans="1:25" customFormat="1" ht="15" x14ac:dyDescent="0.25">
      <c r="A3269" t="s">
        <v>24</v>
      </c>
      <c r="B3269" t="s">
        <v>13679</v>
      </c>
      <c r="C3269" t="str">
        <f>"A0167498"</f>
        <v>A0167498</v>
      </c>
      <c r="D3269" t="s">
        <v>13680</v>
      </c>
      <c r="E3269" t="s">
        <v>13681</v>
      </c>
      <c r="F3269" t="s">
        <v>845</v>
      </c>
      <c r="G3269" t="s">
        <v>846</v>
      </c>
      <c r="H3269">
        <v>30339</v>
      </c>
      <c r="I3269" t="s">
        <v>30</v>
      </c>
      <c r="J3269" t="s">
        <v>31</v>
      </c>
      <c r="K3269" t="s">
        <v>255</v>
      </c>
      <c r="N3269" t="s">
        <v>13682</v>
      </c>
      <c r="Q3269">
        <v>0</v>
      </c>
      <c r="R3269">
        <v>147</v>
      </c>
      <c r="S3269">
        <v>0</v>
      </c>
      <c r="T3269" t="s">
        <v>13683</v>
      </c>
    </row>
    <row r="3270" spans="1:25" customFormat="1" ht="15" x14ac:dyDescent="0.25">
      <c r="A3270" t="s">
        <v>24</v>
      </c>
      <c r="B3270" t="s">
        <v>13684</v>
      </c>
      <c r="C3270" t="str">
        <f>"A0153209"</f>
        <v>A0153209</v>
      </c>
      <c r="D3270" t="s">
        <v>13685</v>
      </c>
      <c r="E3270" t="s">
        <v>13686</v>
      </c>
      <c r="F3270" t="s">
        <v>997</v>
      </c>
      <c r="G3270" t="s">
        <v>99</v>
      </c>
      <c r="H3270">
        <v>10022</v>
      </c>
      <c r="I3270" t="s">
        <v>30</v>
      </c>
      <c r="J3270" t="s">
        <v>2558</v>
      </c>
      <c r="K3270" t="s">
        <v>163</v>
      </c>
      <c r="N3270" t="s">
        <v>13687</v>
      </c>
      <c r="O3270" t="s">
        <v>13688</v>
      </c>
      <c r="Q3270">
        <v>0</v>
      </c>
      <c r="R3270">
        <v>0</v>
      </c>
      <c r="S3270">
        <v>0</v>
      </c>
      <c r="T3270" t="s">
        <v>192</v>
      </c>
    </row>
    <row r="3271" spans="1:25" customFormat="1" ht="15" x14ac:dyDescent="0.25">
      <c r="A3271" t="s">
        <v>24</v>
      </c>
      <c r="B3271" t="s">
        <v>62746</v>
      </c>
      <c r="C3271" t="str">
        <f>"A0064571"</f>
        <v>A0064571</v>
      </c>
      <c r="D3271" t="s">
        <v>62747</v>
      </c>
      <c r="E3271" t="s">
        <v>62748</v>
      </c>
      <c r="F3271" t="s">
        <v>16320</v>
      </c>
      <c r="G3271" t="s">
        <v>117</v>
      </c>
      <c r="H3271">
        <v>48335</v>
      </c>
      <c r="I3271" t="s">
        <v>30</v>
      </c>
      <c r="J3271" t="s">
        <v>162</v>
      </c>
      <c r="K3271" t="s">
        <v>8834</v>
      </c>
      <c r="N3271" t="s">
        <v>62749</v>
      </c>
      <c r="O3271" t="s">
        <v>62750</v>
      </c>
      <c r="Q3271">
        <v>0</v>
      </c>
      <c r="R3271">
        <v>136</v>
      </c>
      <c r="S3271">
        <v>0</v>
      </c>
      <c r="T3271" t="s">
        <v>62751</v>
      </c>
    </row>
    <row r="3272" spans="1:25" customFormat="1" ht="15" x14ac:dyDescent="0.25">
      <c r="A3272" t="s">
        <v>24</v>
      </c>
      <c r="B3272" t="s">
        <v>3343</v>
      </c>
      <c r="C3272" t="str">
        <f>"A0065559"</f>
        <v>A0065559</v>
      </c>
      <c r="D3272" t="s">
        <v>62752</v>
      </c>
      <c r="E3272" t="s">
        <v>62753</v>
      </c>
      <c r="F3272" t="s">
        <v>33693</v>
      </c>
      <c r="G3272" t="s">
        <v>144</v>
      </c>
      <c r="H3272">
        <v>58103</v>
      </c>
      <c r="I3272" t="s">
        <v>30</v>
      </c>
      <c r="J3272" t="s">
        <v>162</v>
      </c>
      <c r="K3272" t="s">
        <v>8834</v>
      </c>
      <c r="N3272" t="s">
        <v>62754</v>
      </c>
      <c r="O3272" t="s">
        <v>62755</v>
      </c>
      <c r="Q3272">
        <v>0</v>
      </c>
      <c r="R3272">
        <v>185</v>
      </c>
      <c r="S3272">
        <v>0</v>
      </c>
      <c r="T3272" t="s">
        <v>62756</v>
      </c>
    </row>
    <row r="3273" spans="1:25" customFormat="1" ht="15" x14ac:dyDescent="0.25">
      <c r="A3273" t="s">
        <v>24</v>
      </c>
      <c r="B3273" t="s">
        <v>3343</v>
      </c>
      <c r="C3273" t="str">
        <f>"A0062686"</f>
        <v>A0062686</v>
      </c>
      <c r="D3273" t="s">
        <v>62757</v>
      </c>
      <c r="E3273" t="s">
        <v>62758</v>
      </c>
      <c r="F3273" t="s">
        <v>3932</v>
      </c>
      <c r="G3273" t="s">
        <v>117</v>
      </c>
      <c r="H3273">
        <v>49512</v>
      </c>
      <c r="I3273" t="s">
        <v>30</v>
      </c>
      <c r="J3273" t="s">
        <v>162</v>
      </c>
      <c r="K3273" t="s">
        <v>8834</v>
      </c>
      <c r="N3273" t="s">
        <v>62759</v>
      </c>
      <c r="Q3273">
        <v>0</v>
      </c>
      <c r="R3273">
        <v>181</v>
      </c>
      <c r="S3273">
        <v>0</v>
      </c>
      <c r="T3273" t="s">
        <v>62760</v>
      </c>
    </row>
    <row r="3274" spans="1:25" customFormat="1" ht="15" x14ac:dyDescent="0.25">
      <c r="A3274" t="s">
        <v>24</v>
      </c>
      <c r="B3274" t="s">
        <v>13684</v>
      </c>
      <c r="C3274" t="str">
        <f>"A0153210"</f>
        <v>A0153210</v>
      </c>
      <c r="D3274" t="s">
        <v>13706</v>
      </c>
      <c r="E3274" t="s">
        <v>13707</v>
      </c>
      <c r="F3274" t="s">
        <v>997</v>
      </c>
      <c r="G3274" t="s">
        <v>99</v>
      </c>
      <c r="H3274">
        <v>10017</v>
      </c>
      <c r="I3274" t="s">
        <v>30</v>
      </c>
      <c r="J3274" t="s">
        <v>2558</v>
      </c>
      <c r="K3274" t="s">
        <v>163</v>
      </c>
      <c r="N3274" t="s">
        <v>13687</v>
      </c>
      <c r="O3274" t="s">
        <v>13708</v>
      </c>
      <c r="Q3274">
        <v>0</v>
      </c>
      <c r="R3274">
        <v>0</v>
      </c>
      <c r="S3274">
        <v>0</v>
      </c>
      <c r="T3274" t="s">
        <v>192</v>
      </c>
    </row>
    <row r="3275" spans="1:25" customFormat="1" ht="15" x14ac:dyDescent="0.25">
      <c r="A3275" t="s">
        <v>35</v>
      </c>
      <c r="B3275" t="s">
        <v>13709</v>
      </c>
      <c r="C3275" t="str">
        <f>"A0117698"</f>
        <v>A0117698</v>
      </c>
      <c r="D3275" t="s">
        <v>13710</v>
      </c>
      <c r="E3275" t="s">
        <v>13711</v>
      </c>
      <c r="F3275" t="s">
        <v>13712</v>
      </c>
      <c r="G3275" t="s">
        <v>110</v>
      </c>
      <c r="H3275">
        <v>93274</v>
      </c>
      <c r="I3275" t="s">
        <v>30</v>
      </c>
      <c r="J3275" t="s">
        <v>41</v>
      </c>
      <c r="K3275" t="s">
        <v>229</v>
      </c>
      <c r="Q3275">
        <v>0</v>
      </c>
      <c r="R3275">
        <v>97</v>
      </c>
      <c r="S3275">
        <v>97</v>
      </c>
      <c r="T3275" t="s">
        <v>13713</v>
      </c>
    </row>
    <row r="3276" spans="1:25" customFormat="1" ht="15" x14ac:dyDescent="0.25">
      <c r="A3276" t="s">
        <v>24</v>
      </c>
      <c r="B3276" t="s">
        <v>62772</v>
      </c>
      <c r="C3276" t="str">
        <f>"A0100057"</f>
        <v>A0100057</v>
      </c>
      <c r="D3276" t="s">
        <v>62773</v>
      </c>
      <c r="E3276" t="s">
        <v>62774</v>
      </c>
      <c r="F3276" t="s">
        <v>6404</v>
      </c>
      <c r="G3276" t="s">
        <v>161</v>
      </c>
      <c r="H3276">
        <v>55413</v>
      </c>
      <c r="I3276" t="s">
        <v>30</v>
      </c>
      <c r="J3276" t="s">
        <v>162</v>
      </c>
      <c r="K3276" t="s">
        <v>8834</v>
      </c>
      <c r="N3276" t="s">
        <v>62775</v>
      </c>
      <c r="Q3276">
        <v>0</v>
      </c>
      <c r="R3276">
        <v>248</v>
      </c>
      <c r="S3276">
        <v>0</v>
      </c>
      <c r="T3276" t="s">
        <v>62776</v>
      </c>
    </row>
    <row r="3277" spans="1:25" customFormat="1" ht="15" x14ac:dyDescent="0.25">
      <c r="A3277" t="s">
        <v>24</v>
      </c>
      <c r="B3277" t="s">
        <v>2248</v>
      </c>
      <c r="C3277" t="str">
        <f>"A0056806"</f>
        <v>A0056806</v>
      </c>
      <c r="D3277" t="s">
        <v>62777</v>
      </c>
      <c r="E3277" t="s">
        <v>62778</v>
      </c>
      <c r="F3277" t="s">
        <v>7714</v>
      </c>
      <c r="G3277" t="s">
        <v>197</v>
      </c>
      <c r="H3277">
        <v>85201</v>
      </c>
      <c r="I3277" t="s">
        <v>30</v>
      </c>
      <c r="J3277" t="s">
        <v>162</v>
      </c>
      <c r="K3277" t="s">
        <v>8834</v>
      </c>
      <c r="N3277" t="s">
        <v>62779</v>
      </c>
      <c r="O3277" t="s">
        <v>62780</v>
      </c>
      <c r="Q3277">
        <v>0</v>
      </c>
      <c r="R3277">
        <v>274</v>
      </c>
      <c r="S3277">
        <v>0</v>
      </c>
      <c r="T3277" t="s">
        <v>62781</v>
      </c>
    </row>
    <row r="3278" spans="1:25" customFormat="1" ht="15" x14ac:dyDescent="0.25">
      <c r="A3278" t="s">
        <v>35</v>
      </c>
      <c r="B3278" t="s">
        <v>5676</v>
      </c>
      <c r="C3278" t="str">
        <f>"A0179735"</f>
        <v>A0179735</v>
      </c>
      <c r="D3278" t="s">
        <v>13726</v>
      </c>
      <c r="E3278" t="s">
        <v>13727</v>
      </c>
      <c r="F3278" t="s">
        <v>13728</v>
      </c>
      <c r="G3278" t="s">
        <v>289</v>
      </c>
      <c r="H3278">
        <v>62458</v>
      </c>
      <c r="I3278" t="s">
        <v>30</v>
      </c>
      <c r="J3278" t="s">
        <v>41</v>
      </c>
      <c r="K3278" t="s">
        <v>229</v>
      </c>
      <c r="Q3278">
        <v>0</v>
      </c>
      <c r="R3278">
        <v>42</v>
      </c>
      <c r="S3278">
        <v>42</v>
      </c>
      <c r="T3278" t="s">
        <v>13729</v>
      </c>
    </row>
    <row r="3279" spans="1:25" customFormat="1" ht="15" x14ac:dyDescent="0.25">
      <c r="A3279" t="s">
        <v>24</v>
      </c>
      <c r="B3279" t="s">
        <v>7373</v>
      </c>
      <c r="C3279" t="str">
        <f>"A0095462"</f>
        <v>A0095462</v>
      </c>
      <c r="D3279" t="s">
        <v>62787</v>
      </c>
      <c r="E3279" t="s">
        <v>62788</v>
      </c>
      <c r="F3279" t="s">
        <v>16314</v>
      </c>
      <c r="G3279" t="s">
        <v>338</v>
      </c>
      <c r="H3279">
        <v>8873</v>
      </c>
      <c r="I3279" t="s">
        <v>30</v>
      </c>
      <c r="J3279" t="s">
        <v>162</v>
      </c>
      <c r="K3279" t="s">
        <v>8834</v>
      </c>
      <c r="N3279" t="s">
        <v>62789</v>
      </c>
      <c r="Q3279">
        <v>0</v>
      </c>
      <c r="R3279">
        <v>298</v>
      </c>
      <c r="S3279">
        <v>0</v>
      </c>
      <c r="T3279" t="s">
        <v>62790</v>
      </c>
    </row>
    <row r="3280" spans="1:25" x14ac:dyDescent="0.25">
      <c r="A3280" s="5" t="s">
        <v>24</v>
      </c>
      <c r="B3280" s="5" t="s">
        <v>4855</v>
      </c>
      <c r="C3280" s="5" t="str">
        <f>"A0068503"</f>
        <v>A0068503</v>
      </c>
      <c r="D3280" s="5" t="s">
        <v>62808</v>
      </c>
      <c r="E3280" s="5" t="s">
        <v>62809</v>
      </c>
      <c r="F3280" s="5" t="s">
        <v>62810</v>
      </c>
      <c r="G3280" s="5" t="s">
        <v>71</v>
      </c>
      <c r="H3280" s="5">
        <v>53051</v>
      </c>
      <c r="I3280" s="5" t="s">
        <v>30</v>
      </c>
      <c r="J3280" s="5" t="s">
        <v>162</v>
      </c>
      <c r="K3280" s="5" t="s">
        <v>8834</v>
      </c>
      <c r="L3280" s="5"/>
      <c r="M3280" s="5"/>
      <c r="N3280" s="5" t="s">
        <v>62811</v>
      </c>
      <c r="O3280" s="5"/>
      <c r="P3280" s="5"/>
      <c r="Q3280" s="5">
        <v>0</v>
      </c>
      <c r="R3280" s="5">
        <v>134</v>
      </c>
      <c r="S3280" s="5">
        <v>0</v>
      </c>
      <c r="T3280" s="5" t="s">
        <v>62812</v>
      </c>
      <c r="U3280" s="5"/>
      <c r="V3280" s="5"/>
      <c r="W3280" s="5"/>
      <c r="X3280" s="5"/>
      <c r="Y3280" s="5"/>
    </row>
    <row r="3281" spans="1:25" x14ac:dyDescent="0.25">
      <c r="A3281" s="5" t="s">
        <v>24</v>
      </c>
      <c r="B3281" s="5" t="s">
        <v>12901</v>
      </c>
      <c r="C3281" s="5" t="str">
        <f>"A0092117"</f>
        <v>A0092117</v>
      </c>
      <c r="D3281" s="5" t="s">
        <v>62833</v>
      </c>
      <c r="E3281" s="5" t="s">
        <v>62834</v>
      </c>
      <c r="F3281" s="5" t="s">
        <v>8935</v>
      </c>
      <c r="G3281" s="5" t="s">
        <v>214</v>
      </c>
      <c r="H3281" s="5">
        <v>27703</v>
      </c>
      <c r="I3281" s="5" t="s">
        <v>30</v>
      </c>
      <c r="J3281" s="5" t="s">
        <v>162</v>
      </c>
      <c r="K3281" s="5" t="s">
        <v>8834</v>
      </c>
      <c r="L3281" s="5"/>
      <c r="M3281" s="5"/>
      <c r="N3281" s="5" t="s">
        <v>62835</v>
      </c>
      <c r="O3281" s="5"/>
      <c r="P3281" s="5"/>
      <c r="Q3281" s="5">
        <v>0</v>
      </c>
      <c r="R3281" s="5">
        <v>125</v>
      </c>
      <c r="S3281" s="5">
        <v>0</v>
      </c>
      <c r="T3281" s="5" t="s">
        <v>62836</v>
      </c>
      <c r="U3281" s="5"/>
      <c r="V3281" s="5"/>
      <c r="W3281" s="5"/>
      <c r="X3281" s="5"/>
      <c r="Y3281" s="5"/>
    </row>
    <row r="3282" spans="1:25" x14ac:dyDescent="0.25">
      <c r="A3282" s="5" t="s">
        <v>24</v>
      </c>
      <c r="B3282" s="5" t="s">
        <v>62881</v>
      </c>
      <c r="C3282" s="5" t="str">
        <f>"A0054132"</f>
        <v>A0054132</v>
      </c>
      <c r="D3282" s="5" t="s">
        <v>62882</v>
      </c>
      <c r="E3282" s="5" t="s">
        <v>62883</v>
      </c>
      <c r="F3282" s="5" t="s">
        <v>16267</v>
      </c>
      <c r="G3282" s="5" t="s">
        <v>29</v>
      </c>
      <c r="H3282" s="5">
        <v>23451</v>
      </c>
      <c r="I3282" s="5" t="s">
        <v>30</v>
      </c>
      <c r="J3282" s="5" t="s">
        <v>162</v>
      </c>
      <c r="K3282" s="5" t="s">
        <v>8834</v>
      </c>
      <c r="L3282" s="5"/>
      <c r="M3282" s="5"/>
      <c r="N3282" s="5" t="s">
        <v>62884</v>
      </c>
      <c r="O3282" s="5" t="s">
        <v>62885</v>
      </c>
      <c r="P3282" s="5"/>
      <c r="Q3282" s="5">
        <v>0</v>
      </c>
      <c r="R3282" s="5">
        <v>295</v>
      </c>
      <c r="S3282" s="5">
        <v>0</v>
      </c>
      <c r="T3282" s="5" t="s">
        <v>62886</v>
      </c>
      <c r="U3282" s="5"/>
      <c r="V3282" s="5"/>
      <c r="W3282" s="5"/>
      <c r="X3282" s="5"/>
      <c r="Y3282" s="5"/>
    </row>
    <row r="3283" spans="1:25" customFormat="1" ht="15" x14ac:dyDescent="0.25">
      <c r="A3283" t="s">
        <v>24</v>
      </c>
      <c r="B3283" t="s">
        <v>1487</v>
      </c>
      <c r="C3283" t="str">
        <f>"A0092640"</f>
        <v>A0092640</v>
      </c>
      <c r="D3283" t="s">
        <v>62909</v>
      </c>
      <c r="E3283" t="s">
        <v>62910</v>
      </c>
      <c r="F3283" t="s">
        <v>13634</v>
      </c>
      <c r="G3283" t="s">
        <v>190</v>
      </c>
      <c r="H3283">
        <v>80021</v>
      </c>
      <c r="I3283" t="s">
        <v>30</v>
      </c>
      <c r="J3283" t="s">
        <v>162</v>
      </c>
      <c r="K3283" t="s">
        <v>1490</v>
      </c>
      <c r="N3283" t="s">
        <v>62911</v>
      </c>
      <c r="O3283" t="s">
        <v>62912</v>
      </c>
      <c r="Q3283">
        <v>0</v>
      </c>
      <c r="R3283">
        <v>212</v>
      </c>
      <c r="S3283">
        <v>0</v>
      </c>
      <c r="T3283" t="s">
        <v>62913</v>
      </c>
    </row>
    <row r="3284" spans="1:25" customFormat="1" ht="15" x14ac:dyDescent="0.25">
      <c r="A3284" t="s">
        <v>24</v>
      </c>
      <c r="B3284" t="s">
        <v>675</v>
      </c>
      <c r="C3284" t="str">
        <f>"33755"</f>
        <v>33755</v>
      </c>
      <c r="D3284" t="s">
        <v>62922</v>
      </c>
      <c r="E3284" t="s">
        <v>62923</v>
      </c>
      <c r="F3284" t="s">
        <v>5008</v>
      </c>
      <c r="G3284" t="s">
        <v>1898</v>
      </c>
      <c r="H3284">
        <v>50309</v>
      </c>
      <c r="I3284" t="s">
        <v>30</v>
      </c>
      <c r="J3284" t="s">
        <v>162</v>
      </c>
      <c r="K3284" t="s">
        <v>1490</v>
      </c>
      <c r="N3284" t="s">
        <v>62924</v>
      </c>
      <c r="O3284" t="s">
        <v>62925</v>
      </c>
      <c r="Q3284">
        <v>0</v>
      </c>
      <c r="R3284">
        <v>415</v>
      </c>
      <c r="S3284">
        <v>0</v>
      </c>
      <c r="T3284" t="s">
        <v>62926</v>
      </c>
    </row>
    <row r="3285" spans="1:25" customFormat="1" ht="15" x14ac:dyDescent="0.25">
      <c r="A3285" t="s">
        <v>24</v>
      </c>
      <c r="B3285" t="s">
        <v>193</v>
      </c>
      <c r="C3285" t="str">
        <f>"A0083237"</f>
        <v>A0083237</v>
      </c>
      <c r="D3285" t="s">
        <v>13761</v>
      </c>
      <c r="E3285" t="s">
        <v>13762</v>
      </c>
      <c r="F3285" t="s">
        <v>288</v>
      </c>
      <c r="G3285" t="s">
        <v>289</v>
      </c>
      <c r="H3285">
        <v>60611</v>
      </c>
      <c r="I3285" t="s">
        <v>30</v>
      </c>
      <c r="J3285" t="s">
        <v>31</v>
      </c>
      <c r="K3285" t="s">
        <v>282</v>
      </c>
      <c r="N3285" t="s">
        <v>13759</v>
      </c>
      <c r="O3285" t="s">
        <v>13763</v>
      </c>
      <c r="Q3285">
        <v>0</v>
      </c>
      <c r="R3285">
        <v>175</v>
      </c>
      <c r="S3285">
        <v>0</v>
      </c>
      <c r="T3285" t="s">
        <v>13764</v>
      </c>
    </row>
    <row r="3286" spans="1:25" customFormat="1" ht="15" x14ac:dyDescent="0.25">
      <c r="A3286" t="s">
        <v>24</v>
      </c>
      <c r="B3286" t="s">
        <v>193</v>
      </c>
      <c r="C3286" t="str">
        <f>"A0087854"</f>
        <v>A0087854</v>
      </c>
      <c r="D3286" t="s">
        <v>13765</v>
      </c>
      <c r="E3286" t="s">
        <v>13766</v>
      </c>
      <c r="F3286" t="s">
        <v>13767</v>
      </c>
      <c r="G3286" t="s">
        <v>4815</v>
      </c>
      <c r="H3286">
        <v>96815</v>
      </c>
      <c r="I3286" t="s">
        <v>30</v>
      </c>
      <c r="J3286" t="s">
        <v>31</v>
      </c>
      <c r="K3286" t="s">
        <v>282</v>
      </c>
      <c r="N3286" t="s">
        <v>13768</v>
      </c>
      <c r="O3286" t="s">
        <v>13769</v>
      </c>
      <c r="Q3286">
        <v>0</v>
      </c>
      <c r="R3286">
        <v>596</v>
      </c>
      <c r="S3286">
        <v>0</v>
      </c>
      <c r="T3286" t="s">
        <v>13770</v>
      </c>
    </row>
    <row r="3287" spans="1:25" x14ac:dyDescent="0.25">
      <c r="A3287" s="5" t="s">
        <v>24</v>
      </c>
      <c r="B3287" s="5" t="s">
        <v>2011</v>
      </c>
      <c r="C3287" s="5" t="str">
        <f>"A0062436"</f>
        <v>A0062436</v>
      </c>
      <c r="D3287" s="5" t="s">
        <v>62935</v>
      </c>
      <c r="E3287" s="5" t="s">
        <v>62936</v>
      </c>
      <c r="F3287" s="5" t="s">
        <v>34169</v>
      </c>
      <c r="G3287" s="5" t="s">
        <v>190</v>
      </c>
      <c r="H3287" s="5">
        <v>81615</v>
      </c>
      <c r="I3287" s="5" t="s">
        <v>30</v>
      </c>
      <c r="J3287" s="5" t="s">
        <v>162</v>
      </c>
      <c r="K3287" s="5" t="s">
        <v>2015</v>
      </c>
      <c r="L3287" s="5"/>
      <c r="M3287" s="5"/>
      <c r="N3287" s="5" t="s">
        <v>62937</v>
      </c>
      <c r="O3287" s="5" t="s">
        <v>62938</v>
      </c>
      <c r="P3287" s="5"/>
      <c r="Q3287" s="5">
        <v>0</v>
      </c>
      <c r="R3287" s="5">
        <v>380</v>
      </c>
      <c r="S3287" s="5">
        <v>0</v>
      </c>
      <c r="T3287" s="5" t="s">
        <v>62939</v>
      </c>
      <c r="U3287" s="5"/>
      <c r="V3287" s="5"/>
      <c r="W3287" s="5"/>
      <c r="X3287" s="5"/>
      <c r="Y3287" s="5"/>
    </row>
    <row r="3288" spans="1:25" customFormat="1" ht="15" x14ac:dyDescent="0.25">
      <c r="A3288" t="s">
        <v>24</v>
      </c>
      <c r="B3288" t="s">
        <v>33690</v>
      </c>
      <c r="C3288" t="str">
        <f>"A0098936"</f>
        <v>A0098936</v>
      </c>
      <c r="D3288" t="s">
        <v>62940</v>
      </c>
      <c r="E3288" t="s">
        <v>62941</v>
      </c>
      <c r="F3288" t="s">
        <v>7153</v>
      </c>
      <c r="G3288" t="s">
        <v>117</v>
      </c>
      <c r="H3288">
        <v>48226</v>
      </c>
      <c r="I3288" t="s">
        <v>30</v>
      </c>
      <c r="J3288" t="s">
        <v>162</v>
      </c>
      <c r="K3288" t="s">
        <v>163</v>
      </c>
      <c r="N3288" t="s">
        <v>62942</v>
      </c>
      <c r="Q3288">
        <v>0</v>
      </c>
      <c r="R3288">
        <v>100</v>
      </c>
      <c r="S3288">
        <v>0</v>
      </c>
      <c r="T3288" t="s">
        <v>62943</v>
      </c>
    </row>
    <row r="3289" spans="1:25" customFormat="1" ht="15" x14ac:dyDescent="0.25">
      <c r="A3289" t="s">
        <v>24</v>
      </c>
      <c r="B3289" t="s">
        <v>13779</v>
      </c>
      <c r="C3289" t="str">
        <f>"A0094813"</f>
        <v>A0094813</v>
      </c>
      <c r="D3289" t="s">
        <v>13780</v>
      </c>
      <c r="E3289" t="s">
        <v>13781</v>
      </c>
      <c r="F3289" t="s">
        <v>13782</v>
      </c>
      <c r="G3289" t="s">
        <v>846</v>
      </c>
      <c r="H3289">
        <v>31324</v>
      </c>
      <c r="I3289" t="s">
        <v>30</v>
      </c>
      <c r="J3289" t="s">
        <v>31</v>
      </c>
      <c r="K3289" t="s">
        <v>32</v>
      </c>
      <c r="N3289" t="s">
        <v>13783</v>
      </c>
      <c r="Q3289">
        <v>0</v>
      </c>
      <c r="R3289">
        <v>80</v>
      </c>
      <c r="S3289">
        <v>0</v>
      </c>
      <c r="T3289" t="s">
        <v>13784</v>
      </c>
    </row>
    <row r="3290" spans="1:25" customFormat="1" ht="15" x14ac:dyDescent="0.25">
      <c r="A3290" t="s">
        <v>24</v>
      </c>
      <c r="B3290" t="s">
        <v>1548</v>
      </c>
      <c r="C3290" t="str">
        <f>"337K3"</f>
        <v>337K3</v>
      </c>
      <c r="D3290" t="s">
        <v>62947</v>
      </c>
      <c r="E3290" t="s">
        <v>62948</v>
      </c>
      <c r="F3290" t="s">
        <v>34957</v>
      </c>
      <c r="G3290" t="s">
        <v>117</v>
      </c>
      <c r="H3290">
        <v>48034</v>
      </c>
      <c r="I3290" t="s">
        <v>30</v>
      </c>
      <c r="J3290" t="s">
        <v>162</v>
      </c>
      <c r="K3290" t="s">
        <v>1490</v>
      </c>
      <c r="N3290" t="s">
        <v>62949</v>
      </c>
      <c r="Q3290">
        <v>0</v>
      </c>
      <c r="R3290">
        <v>225</v>
      </c>
      <c r="S3290">
        <v>0</v>
      </c>
      <c r="T3290" t="s">
        <v>62950</v>
      </c>
    </row>
    <row r="3291" spans="1:25" customFormat="1" ht="15" x14ac:dyDescent="0.25">
      <c r="A3291" t="s">
        <v>24</v>
      </c>
      <c r="B3291" t="s">
        <v>193</v>
      </c>
      <c r="C3291" t="str">
        <f>"88IN030"</f>
        <v>88IN030</v>
      </c>
      <c r="D3291" t="s">
        <v>13790</v>
      </c>
      <c r="E3291" t="s">
        <v>13791</v>
      </c>
      <c r="F3291" t="s">
        <v>13792</v>
      </c>
      <c r="G3291" t="s">
        <v>29</v>
      </c>
      <c r="H3291">
        <v>22209</v>
      </c>
      <c r="I3291" t="s">
        <v>30</v>
      </c>
      <c r="J3291" t="s">
        <v>31</v>
      </c>
      <c r="K3291" t="s">
        <v>163</v>
      </c>
      <c r="N3291" t="s">
        <v>13793</v>
      </c>
      <c r="O3291" t="s">
        <v>13794</v>
      </c>
      <c r="Q3291">
        <v>0</v>
      </c>
      <c r="R3291">
        <v>261</v>
      </c>
      <c r="S3291">
        <v>0</v>
      </c>
      <c r="T3291" t="s">
        <v>13795</v>
      </c>
    </row>
    <row r="3292" spans="1:25" customFormat="1" ht="15" x14ac:dyDescent="0.25">
      <c r="A3292" t="s">
        <v>24</v>
      </c>
      <c r="B3292" t="s">
        <v>193</v>
      </c>
      <c r="C3292" t="str">
        <f>"A0186532"</f>
        <v>A0186532</v>
      </c>
      <c r="D3292" t="s">
        <v>13796</v>
      </c>
      <c r="E3292" t="s">
        <v>13797</v>
      </c>
      <c r="F3292" t="s">
        <v>3560</v>
      </c>
      <c r="G3292" t="s">
        <v>846</v>
      </c>
      <c r="H3292">
        <v>31210</v>
      </c>
      <c r="I3292" t="s">
        <v>30</v>
      </c>
      <c r="J3292" t="s">
        <v>31</v>
      </c>
      <c r="K3292" t="s">
        <v>710</v>
      </c>
      <c r="N3292" t="s">
        <v>13798</v>
      </c>
      <c r="Q3292">
        <v>0</v>
      </c>
      <c r="R3292">
        <v>95</v>
      </c>
      <c r="S3292">
        <v>0</v>
      </c>
      <c r="T3292" t="s">
        <v>13799</v>
      </c>
    </row>
    <row r="3293" spans="1:25" customFormat="1" ht="15" x14ac:dyDescent="0.25">
      <c r="A3293" t="s">
        <v>24</v>
      </c>
      <c r="B3293" t="s">
        <v>193</v>
      </c>
      <c r="C3293" t="str">
        <f>"A0078644"</f>
        <v>A0078644</v>
      </c>
      <c r="D3293" t="s">
        <v>13800</v>
      </c>
      <c r="E3293" t="s">
        <v>13801</v>
      </c>
      <c r="F3293" t="s">
        <v>3560</v>
      </c>
      <c r="G3293" t="s">
        <v>846</v>
      </c>
      <c r="H3293">
        <v>31210</v>
      </c>
      <c r="I3293" t="s">
        <v>30</v>
      </c>
      <c r="J3293" t="s">
        <v>145</v>
      </c>
      <c r="K3293" t="s">
        <v>1185</v>
      </c>
      <c r="N3293" t="s">
        <v>13798</v>
      </c>
      <c r="Q3293">
        <v>0</v>
      </c>
      <c r="R3293">
        <v>132</v>
      </c>
      <c r="S3293">
        <v>0</v>
      </c>
      <c r="T3293" t="s">
        <v>13799</v>
      </c>
    </row>
    <row r="3294" spans="1:25" customFormat="1" ht="15" x14ac:dyDescent="0.25">
      <c r="A3294" t="s">
        <v>24</v>
      </c>
      <c r="B3294" t="s">
        <v>13802</v>
      </c>
      <c r="C3294" t="str">
        <f>"A0094474"</f>
        <v>A0094474</v>
      </c>
      <c r="D3294" t="s">
        <v>13803</v>
      </c>
      <c r="E3294" t="s">
        <v>13804</v>
      </c>
      <c r="F3294" t="s">
        <v>1564</v>
      </c>
      <c r="G3294" t="s">
        <v>52</v>
      </c>
      <c r="H3294">
        <v>77072</v>
      </c>
      <c r="I3294" t="s">
        <v>30</v>
      </c>
      <c r="J3294" t="s">
        <v>31</v>
      </c>
      <c r="K3294" t="s">
        <v>255</v>
      </c>
      <c r="N3294" t="s">
        <v>13805</v>
      </c>
      <c r="Q3294">
        <v>0</v>
      </c>
      <c r="R3294">
        <v>126</v>
      </c>
      <c r="S3294">
        <v>0</v>
      </c>
      <c r="T3294" t="s">
        <v>13806</v>
      </c>
    </row>
    <row r="3295" spans="1:25" customFormat="1" ht="15" x14ac:dyDescent="0.25">
      <c r="A3295" t="s">
        <v>24</v>
      </c>
      <c r="B3295" t="s">
        <v>14919</v>
      </c>
      <c r="C3295" t="str">
        <f>"A0095146"</f>
        <v>A0095146</v>
      </c>
      <c r="D3295" t="s">
        <v>62956</v>
      </c>
      <c r="E3295" t="s">
        <v>62957</v>
      </c>
      <c r="F3295" t="s">
        <v>14922</v>
      </c>
      <c r="G3295" t="s">
        <v>103</v>
      </c>
      <c r="H3295">
        <v>17033</v>
      </c>
      <c r="I3295" t="s">
        <v>30</v>
      </c>
      <c r="J3295" t="s">
        <v>162</v>
      </c>
      <c r="K3295" t="s">
        <v>163</v>
      </c>
      <c r="N3295" t="s">
        <v>62958</v>
      </c>
      <c r="O3295" t="s">
        <v>62959</v>
      </c>
      <c r="Q3295">
        <v>0</v>
      </c>
      <c r="R3295">
        <v>0</v>
      </c>
      <c r="S3295">
        <v>0</v>
      </c>
      <c r="T3295" t="s">
        <v>62960</v>
      </c>
    </row>
    <row r="3296" spans="1:25" customFormat="1" ht="15" x14ac:dyDescent="0.25">
      <c r="A3296" t="s">
        <v>24</v>
      </c>
      <c r="B3296" t="s">
        <v>814</v>
      </c>
      <c r="C3296" t="str">
        <f>"A0056249"</f>
        <v>A0056249</v>
      </c>
      <c r="D3296" t="s">
        <v>62979</v>
      </c>
      <c r="E3296" t="s">
        <v>62980</v>
      </c>
      <c r="F3296" t="s">
        <v>62981</v>
      </c>
      <c r="G3296" t="s">
        <v>81</v>
      </c>
      <c r="H3296">
        <v>33706</v>
      </c>
      <c r="I3296" t="s">
        <v>30</v>
      </c>
      <c r="J3296" t="s">
        <v>162</v>
      </c>
      <c r="K3296" t="s">
        <v>163</v>
      </c>
      <c r="N3296" t="s">
        <v>62982</v>
      </c>
      <c r="Q3296">
        <v>0</v>
      </c>
      <c r="R3296">
        <v>277</v>
      </c>
      <c r="S3296">
        <v>0</v>
      </c>
      <c r="T3296" t="s">
        <v>62983</v>
      </c>
    </row>
    <row r="3297" spans="1:25" customFormat="1" ht="15" x14ac:dyDescent="0.25">
      <c r="A3297" t="s">
        <v>24</v>
      </c>
      <c r="B3297" t="s">
        <v>13679</v>
      </c>
      <c r="C3297" t="str">
        <f>"A0062446"</f>
        <v>A0062446</v>
      </c>
      <c r="D3297" t="s">
        <v>62996</v>
      </c>
      <c r="E3297" t="s">
        <v>62997</v>
      </c>
      <c r="F3297" t="s">
        <v>1926</v>
      </c>
      <c r="G3297" t="s">
        <v>214</v>
      </c>
      <c r="H3297">
        <v>28211</v>
      </c>
      <c r="I3297" t="s">
        <v>30</v>
      </c>
      <c r="J3297" t="s">
        <v>162</v>
      </c>
      <c r="K3297" t="s">
        <v>759</v>
      </c>
      <c r="N3297" t="s">
        <v>62998</v>
      </c>
      <c r="O3297" t="s">
        <v>62999</v>
      </c>
      <c r="Q3297">
        <v>0</v>
      </c>
      <c r="R3297">
        <v>208</v>
      </c>
      <c r="S3297">
        <v>0</v>
      </c>
      <c r="T3297" t="s">
        <v>63000</v>
      </c>
    </row>
    <row r="3298" spans="1:25" customFormat="1" ht="15" x14ac:dyDescent="0.25">
      <c r="A3298" t="s">
        <v>24</v>
      </c>
      <c r="B3298" t="s">
        <v>8579</v>
      </c>
      <c r="C3298" t="str">
        <f>"A0075419"</f>
        <v>A0075419</v>
      </c>
      <c r="D3298" t="s">
        <v>63001</v>
      </c>
      <c r="E3298" t="s">
        <v>63002</v>
      </c>
      <c r="F3298" t="s">
        <v>10390</v>
      </c>
      <c r="G3298" t="s">
        <v>190</v>
      </c>
      <c r="H3298">
        <v>80111</v>
      </c>
      <c r="I3298" t="s">
        <v>30</v>
      </c>
      <c r="J3298" t="s">
        <v>162</v>
      </c>
      <c r="K3298" t="s">
        <v>759</v>
      </c>
      <c r="N3298" t="s">
        <v>63003</v>
      </c>
      <c r="O3298" t="s">
        <v>63004</v>
      </c>
      <c r="Q3298">
        <v>0</v>
      </c>
      <c r="R3298">
        <v>305</v>
      </c>
      <c r="S3298">
        <v>0</v>
      </c>
      <c r="T3298" t="s">
        <v>63005</v>
      </c>
    </row>
    <row r="3299" spans="1:25" customFormat="1" ht="15" x14ac:dyDescent="0.25">
      <c r="A3299" t="s">
        <v>24</v>
      </c>
      <c r="B3299" t="s">
        <v>1561</v>
      </c>
      <c r="C3299" t="str">
        <f>"A0187057"</f>
        <v>A0187057</v>
      </c>
      <c r="D3299" t="s">
        <v>13827</v>
      </c>
      <c r="E3299" t="s">
        <v>13828</v>
      </c>
      <c r="F3299" t="s">
        <v>13829</v>
      </c>
      <c r="G3299" t="s">
        <v>381</v>
      </c>
      <c r="H3299">
        <v>47715</v>
      </c>
      <c r="I3299" t="s">
        <v>30</v>
      </c>
      <c r="J3299" t="s">
        <v>31</v>
      </c>
      <c r="K3299" t="s">
        <v>261</v>
      </c>
      <c r="N3299" t="s">
        <v>13830</v>
      </c>
      <c r="Q3299">
        <v>0</v>
      </c>
      <c r="R3299">
        <v>102</v>
      </c>
      <c r="S3299">
        <v>0</v>
      </c>
      <c r="T3299" t="s">
        <v>13831</v>
      </c>
    </row>
    <row r="3300" spans="1:25" customFormat="1" ht="15" x14ac:dyDescent="0.25">
      <c r="A3300" t="s">
        <v>24</v>
      </c>
      <c r="B3300" t="s">
        <v>13832</v>
      </c>
      <c r="C3300" t="str">
        <f>"A0186919"</f>
        <v>A0186919</v>
      </c>
      <c r="D3300" t="s">
        <v>13833</v>
      </c>
      <c r="E3300" t="s">
        <v>13834</v>
      </c>
      <c r="F3300" t="s">
        <v>1865</v>
      </c>
      <c r="G3300" t="s">
        <v>110</v>
      </c>
      <c r="H3300">
        <v>90401</v>
      </c>
      <c r="I3300" t="s">
        <v>30</v>
      </c>
      <c r="J3300" t="s">
        <v>31</v>
      </c>
      <c r="K3300" t="s">
        <v>163</v>
      </c>
      <c r="N3300" t="s">
        <v>13835</v>
      </c>
      <c r="Q3300">
        <v>0</v>
      </c>
      <c r="R3300">
        <v>90</v>
      </c>
      <c r="S3300">
        <v>0</v>
      </c>
      <c r="T3300" t="s">
        <v>13836</v>
      </c>
    </row>
    <row r="3301" spans="1:25" customFormat="1" ht="15" x14ac:dyDescent="0.25">
      <c r="A3301" t="s">
        <v>35</v>
      </c>
      <c r="B3301" t="s">
        <v>8342</v>
      </c>
      <c r="C3301" t="str">
        <f>"A0125199"</f>
        <v>A0125199</v>
      </c>
      <c r="D3301" t="s">
        <v>13837</v>
      </c>
      <c r="E3301" t="s">
        <v>13838</v>
      </c>
      <c r="F3301" t="s">
        <v>4037</v>
      </c>
      <c r="G3301" t="s">
        <v>40</v>
      </c>
      <c r="H3301">
        <v>73117</v>
      </c>
      <c r="I3301" t="s">
        <v>30</v>
      </c>
      <c r="J3301" t="s">
        <v>41</v>
      </c>
      <c r="K3301" t="s">
        <v>229</v>
      </c>
      <c r="Q3301">
        <v>0</v>
      </c>
      <c r="R3301">
        <v>106</v>
      </c>
      <c r="S3301">
        <v>106</v>
      </c>
      <c r="T3301" t="s">
        <v>13839</v>
      </c>
    </row>
    <row r="3302" spans="1:25" customFormat="1" ht="15" x14ac:dyDescent="0.25">
      <c r="A3302" t="s">
        <v>35</v>
      </c>
      <c r="B3302" t="s">
        <v>13840</v>
      </c>
      <c r="C3302" t="str">
        <f>"A0129388"</f>
        <v>A0129388</v>
      </c>
      <c r="D3302" t="s">
        <v>13841</v>
      </c>
      <c r="E3302" t="s">
        <v>13842</v>
      </c>
      <c r="F3302" t="s">
        <v>13843</v>
      </c>
      <c r="G3302" t="s">
        <v>289</v>
      </c>
      <c r="H3302">
        <v>61401</v>
      </c>
      <c r="I3302" t="s">
        <v>30</v>
      </c>
      <c r="J3302" t="s">
        <v>41</v>
      </c>
      <c r="K3302" t="s">
        <v>229</v>
      </c>
      <c r="Q3302">
        <v>0</v>
      </c>
      <c r="R3302">
        <v>180</v>
      </c>
      <c r="S3302">
        <v>180</v>
      </c>
      <c r="T3302" t="s">
        <v>13844</v>
      </c>
    </row>
    <row r="3303" spans="1:25" x14ac:dyDescent="0.25">
      <c r="A3303" s="5" t="s">
        <v>24</v>
      </c>
      <c r="B3303" s="5" t="s">
        <v>5104</v>
      </c>
      <c r="C3303" s="5" t="str">
        <f>"A0087818"</f>
        <v>A0087818</v>
      </c>
      <c r="D3303" s="5" t="s">
        <v>63006</v>
      </c>
      <c r="E3303" s="5" t="s">
        <v>63007</v>
      </c>
      <c r="F3303" s="5" t="s">
        <v>997</v>
      </c>
      <c r="G3303" s="5" t="s">
        <v>99</v>
      </c>
      <c r="H3303" s="5">
        <v>10001</v>
      </c>
      <c r="I3303" s="5" t="s">
        <v>30</v>
      </c>
      <c r="J3303" s="5" t="s">
        <v>162</v>
      </c>
      <c r="K3303" s="5" t="s">
        <v>759</v>
      </c>
      <c r="L3303" s="5"/>
      <c r="M3303" s="5"/>
      <c r="N3303" s="5" t="s">
        <v>63008</v>
      </c>
      <c r="O3303" s="5" t="s">
        <v>63009</v>
      </c>
      <c r="P3303" s="5"/>
      <c r="Q3303" s="5">
        <v>0</v>
      </c>
      <c r="R3303" s="5">
        <v>236</v>
      </c>
      <c r="S3303" s="5">
        <v>0</v>
      </c>
      <c r="T3303" s="5" t="s">
        <v>63010</v>
      </c>
      <c r="U3303" s="5"/>
      <c r="V3303" s="5"/>
      <c r="W3303" s="5"/>
      <c r="X3303" s="5"/>
      <c r="Y3303" s="5"/>
    </row>
    <row r="3304" spans="1:25" customFormat="1" ht="15" x14ac:dyDescent="0.25">
      <c r="A3304" t="s">
        <v>24</v>
      </c>
      <c r="B3304" t="s">
        <v>174</v>
      </c>
      <c r="C3304" t="str">
        <f>"A0049972"</f>
        <v>A0049972</v>
      </c>
      <c r="D3304" t="s">
        <v>13849</v>
      </c>
      <c r="E3304" t="s">
        <v>13850</v>
      </c>
      <c r="F3304" t="s">
        <v>13851</v>
      </c>
      <c r="G3304" t="s">
        <v>338</v>
      </c>
      <c r="H3304">
        <v>8889</v>
      </c>
      <c r="I3304" t="s">
        <v>30</v>
      </c>
      <c r="J3304" t="s">
        <v>178</v>
      </c>
      <c r="K3304" t="s">
        <v>179</v>
      </c>
      <c r="N3304" t="s">
        <v>13852</v>
      </c>
      <c r="Q3304">
        <v>0</v>
      </c>
      <c r="R3304">
        <v>0</v>
      </c>
      <c r="S3304">
        <v>0</v>
      </c>
      <c r="T3304" t="s">
        <v>13853</v>
      </c>
    </row>
    <row r="3305" spans="1:25" customFormat="1" ht="15" x14ac:dyDescent="0.25">
      <c r="A3305" t="s">
        <v>24</v>
      </c>
      <c r="B3305" t="s">
        <v>1561</v>
      </c>
      <c r="C3305" t="str">
        <f>"A0186957"</f>
        <v>A0186957</v>
      </c>
      <c r="D3305" t="s">
        <v>13854</v>
      </c>
      <c r="E3305" t="s">
        <v>13855</v>
      </c>
      <c r="F3305" t="s">
        <v>242</v>
      </c>
      <c r="G3305" t="s">
        <v>214</v>
      </c>
      <c r="H3305">
        <v>28278</v>
      </c>
      <c r="I3305" t="s">
        <v>30</v>
      </c>
      <c r="J3305" t="s">
        <v>31</v>
      </c>
      <c r="K3305" t="s">
        <v>198</v>
      </c>
      <c r="N3305" t="s">
        <v>13856</v>
      </c>
      <c r="Q3305">
        <v>0</v>
      </c>
      <c r="R3305">
        <v>132</v>
      </c>
      <c r="S3305">
        <v>0</v>
      </c>
      <c r="T3305" t="s">
        <v>13857</v>
      </c>
    </row>
    <row r="3306" spans="1:25" customFormat="1" ht="15" x14ac:dyDescent="0.25">
      <c r="A3306" t="s">
        <v>24</v>
      </c>
      <c r="B3306" t="s">
        <v>7427</v>
      </c>
      <c r="C3306" t="str">
        <f>"A0186948"</f>
        <v>A0186948</v>
      </c>
      <c r="D3306" t="s">
        <v>13858</v>
      </c>
      <c r="E3306" t="s">
        <v>13859</v>
      </c>
      <c r="F3306" t="s">
        <v>2094</v>
      </c>
      <c r="G3306" t="s">
        <v>52</v>
      </c>
      <c r="H3306">
        <v>75040</v>
      </c>
      <c r="I3306" t="s">
        <v>30</v>
      </c>
      <c r="J3306" t="s">
        <v>31</v>
      </c>
      <c r="K3306" t="s">
        <v>1196</v>
      </c>
      <c r="N3306" t="s">
        <v>13860</v>
      </c>
      <c r="Q3306">
        <v>0</v>
      </c>
      <c r="R3306">
        <v>91</v>
      </c>
      <c r="S3306">
        <v>0</v>
      </c>
      <c r="T3306" t="s">
        <v>13861</v>
      </c>
    </row>
    <row r="3307" spans="1:25" customFormat="1" ht="15" x14ac:dyDescent="0.25">
      <c r="A3307" t="s">
        <v>35</v>
      </c>
      <c r="B3307" t="s">
        <v>36</v>
      </c>
      <c r="C3307" t="str">
        <f>"A0187047"</f>
        <v>A0187047</v>
      </c>
      <c r="D3307" t="s">
        <v>13862</v>
      </c>
      <c r="E3307" t="s">
        <v>13863</v>
      </c>
      <c r="F3307" t="s">
        <v>875</v>
      </c>
      <c r="G3307" t="s">
        <v>190</v>
      </c>
      <c r="H3307">
        <v>80517</v>
      </c>
      <c r="I3307" t="s">
        <v>30</v>
      </c>
      <c r="J3307" t="s">
        <v>41</v>
      </c>
      <c r="K3307" t="s">
        <v>42</v>
      </c>
      <c r="Q3307">
        <v>0</v>
      </c>
      <c r="R3307">
        <v>0</v>
      </c>
      <c r="S3307">
        <v>0</v>
      </c>
      <c r="T3307" t="s">
        <v>13864</v>
      </c>
    </row>
    <row r="3308" spans="1:25" customFormat="1" ht="15" x14ac:dyDescent="0.25">
      <c r="A3308" t="s">
        <v>35</v>
      </c>
      <c r="B3308" t="s">
        <v>6747</v>
      </c>
      <c r="C3308" t="str">
        <f>"A0187046"</f>
        <v>A0187046</v>
      </c>
      <c r="D3308" t="s">
        <v>13865</v>
      </c>
      <c r="E3308" t="s">
        <v>13866</v>
      </c>
      <c r="F3308" t="s">
        <v>13867</v>
      </c>
      <c r="G3308" t="s">
        <v>880</v>
      </c>
      <c r="H3308">
        <v>38019</v>
      </c>
      <c r="I3308" t="s">
        <v>30</v>
      </c>
      <c r="J3308" t="s">
        <v>41</v>
      </c>
      <c r="K3308" t="s">
        <v>229</v>
      </c>
      <c r="Q3308">
        <v>0</v>
      </c>
      <c r="R3308">
        <v>0</v>
      </c>
      <c r="S3308">
        <v>156</v>
      </c>
      <c r="T3308" t="s">
        <v>13868</v>
      </c>
    </row>
    <row r="3309" spans="1:25" customFormat="1" ht="15" x14ac:dyDescent="0.25">
      <c r="A3309" t="s">
        <v>35</v>
      </c>
      <c r="B3309" t="s">
        <v>6747</v>
      </c>
      <c r="C3309" t="str">
        <f>"A0187045"</f>
        <v>A0187045</v>
      </c>
      <c r="D3309" t="s">
        <v>13869</v>
      </c>
      <c r="E3309" t="s">
        <v>13870</v>
      </c>
      <c r="F3309" t="s">
        <v>12931</v>
      </c>
      <c r="G3309" t="s">
        <v>81</v>
      </c>
      <c r="H3309">
        <v>33756</v>
      </c>
      <c r="I3309" t="s">
        <v>30</v>
      </c>
      <c r="J3309" t="s">
        <v>41</v>
      </c>
      <c r="K3309" t="s">
        <v>229</v>
      </c>
      <c r="Q3309">
        <v>0</v>
      </c>
      <c r="R3309">
        <v>0</v>
      </c>
      <c r="S3309">
        <v>76</v>
      </c>
      <c r="T3309" t="s">
        <v>13871</v>
      </c>
    </row>
    <row r="3310" spans="1:25" customFormat="1" ht="15" x14ac:dyDescent="0.25">
      <c r="A3310" t="s">
        <v>35</v>
      </c>
      <c r="B3310" t="s">
        <v>6747</v>
      </c>
      <c r="C3310" t="str">
        <f>"A0187044"</f>
        <v>A0187044</v>
      </c>
      <c r="D3310" t="s">
        <v>13872</v>
      </c>
      <c r="E3310" t="s">
        <v>13873</v>
      </c>
      <c r="F3310" t="s">
        <v>8432</v>
      </c>
      <c r="G3310" t="s">
        <v>81</v>
      </c>
      <c r="H3310">
        <v>33525</v>
      </c>
      <c r="I3310" t="s">
        <v>30</v>
      </c>
      <c r="J3310" t="s">
        <v>41</v>
      </c>
      <c r="K3310" t="s">
        <v>229</v>
      </c>
      <c r="Q3310">
        <v>0</v>
      </c>
      <c r="R3310">
        <v>0</v>
      </c>
      <c r="S3310">
        <v>120</v>
      </c>
      <c r="T3310" t="s">
        <v>13874</v>
      </c>
    </row>
    <row r="3311" spans="1:25" customFormat="1" ht="15" x14ac:dyDescent="0.25">
      <c r="A3311" t="s">
        <v>35</v>
      </c>
      <c r="B3311" t="s">
        <v>6747</v>
      </c>
      <c r="C3311" t="str">
        <f>"A0187043"</f>
        <v>A0187043</v>
      </c>
      <c r="D3311" t="s">
        <v>13875</v>
      </c>
      <c r="E3311" t="s">
        <v>13876</v>
      </c>
      <c r="F3311" t="s">
        <v>12931</v>
      </c>
      <c r="G3311" t="s">
        <v>81</v>
      </c>
      <c r="H3311">
        <v>33765</v>
      </c>
      <c r="I3311" t="s">
        <v>30</v>
      </c>
      <c r="J3311" t="s">
        <v>41</v>
      </c>
      <c r="K3311" t="s">
        <v>229</v>
      </c>
      <c r="Q3311">
        <v>0</v>
      </c>
      <c r="R3311">
        <v>0</v>
      </c>
      <c r="S3311">
        <v>120</v>
      </c>
      <c r="T3311" t="s">
        <v>13877</v>
      </c>
    </row>
    <row r="3312" spans="1:25" customFormat="1" ht="15" x14ac:dyDescent="0.25">
      <c r="A3312" t="s">
        <v>35</v>
      </c>
      <c r="B3312" t="s">
        <v>6747</v>
      </c>
      <c r="C3312" t="str">
        <f>"A0187042"</f>
        <v>A0187042</v>
      </c>
      <c r="D3312" t="s">
        <v>13878</v>
      </c>
      <c r="E3312" t="s">
        <v>13879</v>
      </c>
      <c r="F3312" t="s">
        <v>13880</v>
      </c>
      <c r="G3312" t="s">
        <v>840</v>
      </c>
      <c r="H3312">
        <v>42023</v>
      </c>
      <c r="I3312" t="s">
        <v>30</v>
      </c>
      <c r="J3312" t="s">
        <v>41</v>
      </c>
      <c r="K3312" t="s">
        <v>229</v>
      </c>
      <c r="Q3312">
        <v>0</v>
      </c>
      <c r="R3312">
        <v>0</v>
      </c>
      <c r="S3312">
        <v>53</v>
      </c>
      <c r="T3312" t="s">
        <v>13881</v>
      </c>
    </row>
    <row r="3313" spans="1:20" customFormat="1" ht="15" x14ac:dyDescent="0.25">
      <c r="A3313" t="s">
        <v>35</v>
      </c>
      <c r="B3313" t="s">
        <v>6747</v>
      </c>
      <c r="C3313" t="str">
        <f>"A0187041"</f>
        <v>A0187041</v>
      </c>
      <c r="D3313" t="s">
        <v>13882</v>
      </c>
      <c r="E3313" t="s">
        <v>13883</v>
      </c>
      <c r="F3313" t="s">
        <v>13884</v>
      </c>
      <c r="G3313" t="s">
        <v>81</v>
      </c>
      <c r="H3313">
        <v>32750</v>
      </c>
      <c r="I3313" t="s">
        <v>30</v>
      </c>
      <c r="J3313" t="s">
        <v>41</v>
      </c>
      <c r="K3313" t="s">
        <v>229</v>
      </c>
      <c r="Q3313">
        <v>0</v>
      </c>
      <c r="R3313">
        <v>0</v>
      </c>
      <c r="S3313">
        <v>120</v>
      </c>
      <c r="T3313" t="s">
        <v>13885</v>
      </c>
    </row>
    <row r="3314" spans="1:20" customFormat="1" ht="15" x14ac:dyDescent="0.25">
      <c r="A3314" t="s">
        <v>35</v>
      </c>
      <c r="B3314" t="s">
        <v>6747</v>
      </c>
      <c r="C3314" t="str">
        <f>"A0187040"</f>
        <v>A0187040</v>
      </c>
      <c r="D3314" t="s">
        <v>13886</v>
      </c>
      <c r="E3314" t="s">
        <v>13887</v>
      </c>
      <c r="F3314" t="s">
        <v>10426</v>
      </c>
      <c r="G3314" t="s">
        <v>81</v>
      </c>
      <c r="H3314">
        <v>34234</v>
      </c>
      <c r="I3314" t="s">
        <v>30</v>
      </c>
      <c r="J3314" t="s">
        <v>41</v>
      </c>
      <c r="K3314" t="s">
        <v>229</v>
      </c>
      <c r="Q3314">
        <v>0</v>
      </c>
      <c r="R3314">
        <v>0</v>
      </c>
      <c r="S3314">
        <v>120</v>
      </c>
      <c r="T3314" t="s">
        <v>13888</v>
      </c>
    </row>
    <row r="3315" spans="1:20" customFormat="1" ht="15" x14ac:dyDescent="0.25">
      <c r="A3315" t="s">
        <v>35</v>
      </c>
      <c r="B3315" t="s">
        <v>6747</v>
      </c>
      <c r="C3315" t="str">
        <f>"A0187039"</f>
        <v>A0187039</v>
      </c>
      <c r="D3315" t="s">
        <v>13889</v>
      </c>
      <c r="E3315" t="s">
        <v>13890</v>
      </c>
      <c r="F3315" t="s">
        <v>13891</v>
      </c>
      <c r="G3315" t="s">
        <v>81</v>
      </c>
      <c r="H3315">
        <v>32995</v>
      </c>
      <c r="I3315" t="s">
        <v>30</v>
      </c>
      <c r="J3315" t="s">
        <v>41</v>
      </c>
      <c r="K3315" t="s">
        <v>229</v>
      </c>
      <c r="Q3315">
        <v>0</v>
      </c>
      <c r="R3315">
        <v>0</v>
      </c>
      <c r="S3315">
        <v>100</v>
      </c>
      <c r="T3315" t="s">
        <v>13892</v>
      </c>
    </row>
    <row r="3316" spans="1:20" customFormat="1" ht="15" x14ac:dyDescent="0.25">
      <c r="A3316" t="s">
        <v>35</v>
      </c>
      <c r="B3316" t="s">
        <v>6747</v>
      </c>
      <c r="C3316" t="str">
        <f>"A0187038"</f>
        <v>A0187038</v>
      </c>
      <c r="D3316" t="s">
        <v>13893</v>
      </c>
      <c r="E3316" t="s">
        <v>13894</v>
      </c>
      <c r="F3316" t="s">
        <v>13895</v>
      </c>
      <c r="G3316" t="s">
        <v>81</v>
      </c>
      <c r="H3316">
        <v>33411</v>
      </c>
      <c r="I3316" t="s">
        <v>30</v>
      </c>
      <c r="J3316" t="s">
        <v>41</v>
      </c>
      <c r="K3316" t="s">
        <v>229</v>
      </c>
      <c r="Q3316">
        <v>0</v>
      </c>
      <c r="R3316">
        <v>0</v>
      </c>
      <c r="S3316">
        <v>120</v>
      </c>
      <c r="T3316" t="s">
        <v>13896</v>
      </c>
    </row>
    <row r="3317" spans="1:20" customFormat="1" ht="15" x14ac:dyDescent="0.25">
      <c r="A3317" t="s">
        <v>35</v>
      </c>
      <c r="B3317" t="s">
        <v>6747</v>
      </c>
      <c r="C3317" t="str">
        <f>"A0187037"</f>
        <v>A0187037</v>
      </c>
      <c r="D3317" t="s">
        <v>13897</v>
      </c>
      <c r="E3317" t="s">
        <v>13898</v>
      </c>
      <c r="F3317" t="s">
        <v>13899</v>
      </c>
      <c r="G3317" t="s">
        <v>81</v>
      </c>
      <c r="H3317">
        <v>34684</v>
      </c>
      <c r="I3317" t="s">
        <v>30</v>
      </c>
      <c r="J3317" t="s">
        <v>41</v>
      </c>
      <c r="K3317" t="s">
        <v>229</v>
      </c>
      <c r="Q3317">
        <v>0</v>
      </c>
      <c r="R3317">
        <v>0</v>
      </c>
      <c r="S3317">
        <v>120</v>
      </c>
      <c r="T3317" t="s">
        <v>13900</v>
      </c>
    </row>
    <row r="3318" spans="1:20" customFormat="1" ht="15" x14ac:dyDescent="0.25">
      <c r="A3318" t="s">
        <v>35</v>
      </c>
      <c r="B3318" t="s">
        <v>6747</v>
      </c>
      <c r="C3318" t="str">
        <f>"A0187036"</f>
        <v>A0187036</v>
      </c>
      <c r="D3318" t="s">
        <v>13901</v>
      </c>
      <c r="E3318" t="s">
        <v>13902</v>
      </c>
      <c r="F3318" t="s">
        <v>5693</v>
      </c>
      <c r="G3318" t="s">
        <v>81</v>
      </c>
      <c r="H3318">
        <v>32117</v>
      </c>
      <c r="I3318" t="s">
        <v>30</v>
      </c>
      <c r="J3318" t="s">
        <v>41</v>
      </c>
      <c r="K3318" t="s">
        <v>229</v>
      </c>
      <c r="Q3318">
        <v>0</v>
      </c>
      <c r="R3318">
        <v>0</v>
      </c>
      <c r="S3318">
        <v>120</v>
      </c>
      <c r="T3318" t="s">
        <v>13903</v>
      </c>
    </row>
    <row r="3319" spans="1:20" customFormat="1" ht="15" x14ac:dyDescent="0.25">
      <c r="A3319" t="s">
        <v>35</v>
      </c>
      <c r="B3319" t="s">
        <v>6747</v>
      </c>
      <c r="C3319" t="str">
        <f>"A0187035"</f>
        <v>A0187035</v>
      </c>
      <c r="D3319" t="s">
        <v>13904</v>
      </c>
      <c r="E3319" t="s">
        <v>13905</v>
      </c>
      <c r="F3319" t="s">
        <v>3653</v>
      </c>
      <c r="G3319" t="s">
        <v>81</v>
      </c>
      <c r="H3319">
        <v>33709</v>
      </c>
      <c r="I3319" t="s">
        <v>30</v>
      </c>
      <c r="J3319" t="s">
        <v>41</v>
      </c>
      <c r="K3319" t="s">
        <v>229</v>
      </c>
      <c r="Q3319">
        <v>0</v>
      </c>
      <c r="R3319">
        <v>0</v>
      </c>
      <c r="S3319">
        <v>229</v>
      </c>
      <c r="T3319" t="s">
        <v>13906</v>
      </c>
    </row>
    <row r="3320" spans="1:20" customFormat="1" ht="15" x14ac:dyDescent="0.25">
      <c r="A3320" t="s">
        <v>35</v>
      </c>
      <c r="B3320" t="s">
        <v>6747</v>
      </c>
      <c r="C3320" t="str">
        <f>"A0187034"</f>
        <v>A0187034</v>
      </c>
      <c r="D3320" t="s">
        <v>13907</v>
      </c>
      <c r="E3320" t="s">
        <v>13908</v>
      </c>
      <c r="F3320" t="s">
        <v>6729</v>
      </c>
      <c r="G3320" t="s">
        <v>81</v>
      </c>
      <c r="H3320">
        <v>32344</v>
      </c>
      <c r="I3320" t="s">
        <v>30</v>
      </c>
      <c r="J3320" t="s">
        <v>41</v>
      </c>
      <c r="K3320" t="s">
        <v>229</v>
      </c>
      <c r="Q3320">
        <v>0</v>
      </c>
      <c r="R3320">
        <v>0</v>
      </c>
      <c r="S3320">
        <v>97</v>
      </c>
      <c r="T3320" t="s">
        <v>13909</v>
      </c>
    </row>
    <row r="3321" spans="1:20" customFormat="1" ht="15" x14ac:dyDescent="0.25">
      <c r="A3321" t="s">
        <v>35</v>
      </c>
      <c r="B3321" t="s">
        <v>6747</v>
      </c>
      <c r="C3321" t="str">
        <f>"A0187033"</f>
        <v>A0187033</v>
      </c>
      <c r="D3321" t="s">
        <v>13910</v>
      </c>
      <c r="E3321" t="s">
        <v>13911</v>
      </c>
      <c r="F3321" t="s">
        <v>13912</v>
      </c>
      <c r="G3321" t="s">
        <v>81</v>
      </c>
      <c r="H3321">
        <v>33435</v>
      </c>
      <c r="I3321" t="s">
        <v>30</v>
      </c>
      <c r="J3321" t="s">
        <v>41</v>
      </c>
      <c r="K3321" t="s">
        <v>3713</v>
      </c>
      <c r="Q3321">
        <v>0</v>
      </c>
      <c r="R3321">
        <v>0</v>
      </c>
      <c r="S3321">
        <v>1</v>
      </c>
      <c r="T3321" t="s">
        <v>13913</v>
      </c>
    </row>
    <row r="3322" spans="1:20" customFormat="1" ht="15" x14ac:dyDescent="0.25">
      <c r="A3322" t="s">
        <v>35</v>
      </c>
      <c r="B3322" t="s">
        <v>6747</v>
      </c>
      <c r="C3322" t="str">
        <f>"A0187032"</f>
        <v>A0187032</v>
      </c>
      <c r="D3322" t="s">
        <v>13914</v>
      </c>
      <c r="E3322" t="s">
        <v>13915</v>
      </c>
      <c r="F3322" t="s">
        <v>1762</v>
      </c>
      <c r="G3322" t="s">
        <v>840</v>
      </c>
      <c r="H3322">
        <v>42066</v>
      </c>
      <c r="I3322" t="s">
        <v>30</v>
      </c>
      <c r="J3322" t="s">
        <v>41</v>
      </c>
      <c r="K3322" t="s">
        <v>229</v>
      </c>
      <c r="Q3322">
        <v>0</v>
      </c>
      <c r="R3322">
        <v>0</v>
      </c>
      <c r="S3322">
        <v>60</v>
      </c>
      <c r="T3322" t="s">
        <v>13916</v>
      </c>
    </row>
    <row r="3323" spans="1:20" customFormat="1" ht="15" x14ac:dyDescent="0.25">
      <c r="A3323" t="s">
        <v>35</v>
      </c>
      <c r="B3323" t="s">
        <v>6747</v>
      </c>
      <c r="C3323" t="str">
        <f>"A0187031"</f>
        <v>A0187031</v>
      </c>
      <c r="D3323" t="s">
        <v>13917</v>
      </c>
      <c r="E3323" t="s">
        <v>13918</v>
      </c>
      <c r="F3323" t="s">
        <v>13919</v>
      </c>
      <c r="G3323" t="s">
        <v>81</v>
      </c>
      <c r="H3323">
        <v>34677</v>
      </c>
      <c r="I3323" t="s">
        <v>30</v>
      </c>
      <c r="J3323" t="s">
        <v>41</v>
      </c>
      <c r="K3323" t="s">
        <v>229</v>
      </c>
      <c r="Q3323">
        <v>0</v>
      </c>
      <c r="R3323">
        <v>0</v>
      </c>
      <c r="S3323">
        <v>120</v>
      </c>
      <c r="T3323" t="s">
        <v>13920</v>
      </c>
    </row>
    <row r="3324" spans="1:20" customFormat="1" ht="15" x14ac:dyDescent="0.25">
      <c r="A3324" t="s">
        <v>35</v>
      </c>
      <c r="B3324" t="s">
        <v>6747</v>
      </c>
      <c r="C3324" t="str">
        <f>"A0187030"</f>
        <v>A0187030</v>
      </c>
      <c r="D3324" t="s">
        <v>13921</v>
      </c>
      <c r="E3324" t="s">
        <v>13922</v>
      </c>
      <c r="F3324" t="s">
        <v>13923</v>
      </c>
      <c r="G3324" t="s">
        <v>81</v>
      </c>
      <c r="H3324">
        <v>32607</v>
      </c>
      <c r="I3324" t="s">
        <v>30</v>
      </c>
      <c r="J3324" t="s">
        <v>41</v>
      </c>
      <c r="K3324" t="s">
        <v>229</v>
      </c>
      <c r="Q3324">
        <v>0</v>
      </c>
      <c r="R3324">
        <v>0</v>
      </c>
      <c r="S3324">
        <v>92</v>
      </c>
      <c r="T3324" t="s">
        <v>13924</v>
      </c>
    </row>
    <row r="3325" spans="1:20" customFormat="1" ht="15" x14ac:dyDescent="0.25">
      <c r="A3325" t="s">
        <v>35</v>
      </c>
      <c r="B3325" t="s">
        <v>6747</v>
      </c>
      <c r="C3325" t="str">
        <f>"A0187029"</f>
        <v>A0187029</v>
      </c>
      <c r="D3325" t="s">
        <v>13925</v>
      </c>
      <c r="E3325" t="s">
        <v>13926</v>
      </c>
      <c r="F3325" t="s">
        <v>5693</v>
      </c>
      <c r="G3325" t="s">
        <v>81</v>
      </c>
      <c r="H3325">
        <v>32114</v>
      </c>
      <c r="I3325" t="s">
        <v>30</v>
      </c>
      <c r="J3325" t="s">
        <v>41</v>
      </c>
      <c r="K3325" t="s">
        <v>229</v>
      </c>
      <c r="Q3325">
        <v>0</v>
      </c>
      <c r="R3325">
        <v>0</v>
      </c>
      <c r="S3325">
        <v>192</v>
      </c>
      <c r="T3325" t="s">
        <v>13927</v>
      </c>
    </row>
    <row r="3326" spans="1:20" customFormat="1" ht="15" x14ac:dyDescent="0.25">
      <c r="A3326" t="s">
        <v>35</v>
      </c>
      <c r="B3326" t="s">
        <v>6747</v>
      </c>
      <c r="C3326" t="str">
        <f>"A0187028"</f>
        <v>A0187028</v>
      </c>
      <c r="D3326" t="s">
        <v>13928</v>
      </c>
      <c r="E3326" t="s">
        <v>13929</v>
      </c>
      <c r="F3326" t="s">
        <v>6294</v>
      </c>
      <c r="G3326" t="s">
        <v>81</v>
      </c>
      <c r="H3326">
        <v>32724</v>
      </c>
      <c r="I3326" t="s">
        <v>30</v>
      </c>
      <c r="J3326" t="s">
        <v>41</v>
      </c>
      <c r="K3326" t="s">
        <v>229</v>
      </c>
      <c r="Q3326">
        <v>0</v>
      </c>
      <c r="R3326">
        <v>0</v>
      </c>
      <c r="S3326">
        <v>122</v>
      </c>
      <c r="T3326" t="s">
        <v>13930</v>
      </c>
    </row>
    <row r="3327" spans="1:20" customFormat="1" ht="15" x14ac:dyDescent="0.25">
      <c r="A3327" t="s">
        <v>35</v>
      </c>
      <c r="B3327" t="s">
        <v>6747</v>
      </c>
      <c r="C3327" t="str">
        <f>"A0187027"</f>
        <v>A0187027</v>
      </c>
      <c r="D3327" t="s">
        <v>13931</v>
      </c>
      <c r="E3327" t="s">
        <v>13932</v>
      </c>
      <c r="F3327" t="s">
        <v>13933</v>
      </c>
      <c r="G3327" t="s">
        <v>117</v>
      </c>
      <c r="H3327">
        <v>49093</v>
      </c>
      <c r="I3327" t="s">
        <v>30</v>
      </c>
      <c r="J3327" t="s">
        <v>41</v>
      </c>
      <c r="K3327" t="s">
        <v>229</v>
      </c>
      <c r="Q3327">
        <v>0</v>
      </c>
      <c r="R3327">
        <v>0</v>
      </c>
      <c r="S3327">
        <v>87</v>
      </c>
      <c r="T3327" t="s">
        <v>13934</v>
      </c>
    </row>
    <row r="3328" spans="1:20" customFormat="1" ht="15" x14ac:dyDescent="0.25">
      <c r="A3328" t="s">
        <v>35</v>
      </c>
      <c r="B3328" t="s">
        <v>6747</v>
      </c>
      <c r="C3328" t="str">
        <f>"A0187026"</f>
        <v>A0187026</v>
      </c>
      <c r="D3328" t="s">
        <v>13935</v>
      </c>
      <c r="E3328" t="s">
        <v>13936</v>
      </c>
      <c r="F3328" t="s">
        <v>9686</v>
      </c>
      <c r="G3328" t="s">
        <v>840</v>
      </c>
      <c r="H3328">
        <v>42431</v>
      </c>
      <c r="I3328" t="s">
        <v>30</v>
      </c>
      <c r="J3328" t="s">
        <v>41</v>
      </c>
      <c r="K3328" t="s">
        <v>229</v>
      </c>
      <c r="Q3328">
        <v>0</v>
      </c>
      <c r="R3328">
        <v>0</v>
      </c>
      <c r="S3328">
        <v>94</v>
      </c>
      <c r="T3328" t="s">
        <v>13937</v>
      </c>
    </row>
    <row r="3329" spans="1:20" customFormat="1" ht="15" x14ac:dyDescent="0.25">
      <c r="A3329" t="s">
        <v>35</v>
      </c>
      <c r="B3329" t="s">
        <v>6747</v>
      </c>
      <c r="C3329" t="str">
        <f>"A0187025"</f>
        <v>A0187025</v>
      </c>
      <c r="D3329" t="s">
        <v>13938</v>
      </c>
      <c r="E3329" t="s">
        <v>13939</v>
      </c>
      <c r="F3329" t="s">
        <v>13940</v>
      </c>
      <c r="G3329" t="s">
        <v>81</v>
      </c>
      <c r="H3329">
        <v>32792</v>
      </c>
      <c r="I3329" t="s">
        <v>30</v>
      </c>
      <c r="J3329" t="s">
        <v>41</v>
      </c>
      <c r="K3329" t="s">
        <v>229</v>
      </c>
      <c r="Q3329">
        <v>0</v>
      </c>
      <c r="R3329">
        <v>0</v>
      </c>
      <c r="S3329">
        <v>103</v>
      </c>
      <c r="T3329" t="s">
        <v>13941</v>
      </c>
    </row>
    <row r="3330" spans="1:20" customFormat="1" ht="15" x14ac:dyDescent="0.25">
      <c r="A3330" t="s">
        <v>35</v>
      </c>
      <c r="B3330" t="s">
        <v>6747</v>
      </c>
      <c r="C3330" t="str">
        <f>"A0187024"</f>
        <v>A0187024</v>
      </c>
      <c r="D3330" t="s">
        <v>13942</v>
      </c>
      <c r="E3330" t="s">
        <v>13943</v>
      </c>
      <c r="F3330" t="s">
        <v>8634</v>
      </c>
      <c r="G3330" t="s">
        <v>81</v>
      </c>
      <c r="H3330">
        <v>32905</v>
      </c>
      <c r="I3330" t="s">
        <v>30</v>
      </c>
      <c r="J3330" t="s">
        <v>41</v>
      </c>
      <c r="K3330" t="s">
        <v>229</v>
      </c>
      <c r="Q3330">
        <v>0</v>
      </c>
      <c r="R3330">
        <v>0</v>
      </c>
      <c r="S3330">
        <v>120</v>
      </c>
      <c r="T3330" t="s">
        <v>13944</v>
      </c>
    </row>
    <row r="3331" spans="1:20" customFormat="1" ht="15" x14ac:dyDescent="0.25">
      <c r="A3331" t="s">
        <v>35</v>
      </c>
      <c r="B3331" t="s">
        <v>6747</v>
      </c>
      <c r="C3331" t="str">
        <f>"A0187023"</f>
        <v>A0187023</v>
      </c>
      <c r="D3331" t="s">
        <v>13945</v>
      </c>
      <c r="E3331" t="s">
        <v>13946</v>
      </c>
      <c r="F3331" t="s">
        <v>13947</v>
      </c>
      <c r="G3331" t="s">
        <v>71</v>
      </c>
      <c r="H3331">
        <v>54022</v>
      </c>
      <c r="I3331" t="s">
        <v>30</v>
      </c>
      <c r="J3331" t="s">
        <v>41</v>
      </c>
      <c r="K3331" t="s">
        <v>229</v>
      </c>
      <c r="Q3331">
        <v>0</v>
      </c>
      <c r="R3331">
        <v>0</v>
      </c>
      <c r="S3331">
        <v>68</v>
      </c>
      <c r="T3331" t="s">
        <v>13948</v>
      </c>
    </row>
    <row r="3332" spans="1:20" customFormat="1" ht="15" x14ac:dyDescent="0.25">
      <c r="A3332" t="s">
        <v>35</v>
      </c>
      <c r="B3332" t="s">
        <v>6747</v>
      </c>
      <c r="C3332" t="str">
        <f>"A0187022"</f>
        <v>A0187022</v>
      </c>
      <c r="D3332" t="s">
        <v>13949</v>
      </c>
      <c r="E3332" t="s">
        <v>13950</v>
      </c>
      <c r="F3332" t="s">
        <v>879</v>
      </c>
      <c r="G3332" t="s">
        <v>880</v>
      </c>
      <c r="H3332">
        <v>37802</v>
      </c>
      <c r="I3332" t="s">
        <v>30</v>
      </c>
      <c r="J3332" t="s">
        <v>41</v>
      </c>
      <c r="K3332" t="s">
        <v>229</v>
      </c>
      <c r="Q3332">
        <v>0</v>
      </c>
      <c r="R3332">
        <v>0</v>
      </c>
      <c r="S3332">
        <v>75</v>
      </c>
      <c r="T3332" t="s">
        <v>13951</v>
      </c>
    </row>
    <row r="3333" spans="1:20" customFormat="1" ht="15" x14ac:dyDescent="0.25">
      <c r="A3333" t="s">
        <v>35</v>
      </c>
      <c r="B3333" t="s">
        <v>6747</v>
      </c>
      <c r="C3333" t="str">
        <f>"A0187021"</f>
        <v>A0187021</v>
      </c>
      <c r="D3333" t="s">
        <v>13952</v>
      </c>
      <c r="E3333" t="s">
        <v>13953</v>
      </c>
      <c r="F3333" t="s">
        <v>1762</v>
      </c>
      <c r="G3333" t="s">
        <v>840</v>
      </c>
      <c r="H3333">
        <v>42066</v>
      </c>
      <c r="I3333" t="s">
        <v>30</v>
      </c>
      <c r="J3333" t="s">
        <v>41</v>
      </c>
      <c r="K3333" t="s">
        <v>229</v>
      </c>
      <c r="Q3333">
        <v>0</v>
      </c>
      <c r="R3333">
        <v>0</v>
      </c>
      <c r="S3333">
        <v>98</v>
      </c>
      <c r="T3333" t="s">
        <v>13954</v>
      </c>
    </row>
    <row r="3334" spans="1:20" customFormat="1" ht="15" x14ac:dyDescent="0.25">
      <c r="A3334" t="s">
        <v>35</v>
      </c>
      <c r="B3334" t="s">
        <v>6747</v>
      </c>
      <c r="C3334" t="str">
        <f>"A0187020"</f>
        <v>A0187020</v>
      </c>
      <c r="D3334" t="s">
        <v>13955</v>
      </c>
      <c r="E3334" t="s">
        <v>13956</v>
      </c>
      <c r="F3334" t="s">
        <v>13957</v>
      </c>
      <c r="G3334" t="s">
        <v>840</v>
      </c>
      <c r="H3334">
        <v>42629</v>
      </c>
      <c r="I3334" t="s">
        <v>30</v>
      </c>
      <c r="J3334" t="s">
        <v>41</v>
      </c>
      <c r="K3334" t="s">
        <v>229</v>
      </c>
      <c r="Q3334">
        <v>0</v>
      </c>
      <c r="R3334">
        <v>0</v>
      </c>
      <c r="S3334">
        <v>114</v>
      </c>
      <c r="T3334" t="s">
        <v>13958</v>
      </c>
    </row>
    <row r="3335" spans="1:20" customFormat="1" ht="15" x14ac:dyDescent="0.25">
      <c r="A3335" t="s">
        <v>35</v>
      </c>
      <c r="B3335" t="s">
        <v>6747</v>
      </c>
      <c r="C3335" t="str">
        <f>"A0187019"</f>
        <v>A0187019</v>
      </c>
      <c r="D3335" t="s">
        <v>13959</v>
      </c>
      <c r="E3335" t="s">
        <v>13960</v>
      </c>
      <c r="F3335" t="s">
        <v>1766</v>
      </c>
      <c r="G3335" t="s">
        <v>840</v>
      </c>
      <c r="H3335">
        <v>42240</v>
      </c>
      <c r="I3335" t="s">
        <v>30</v>
      </c>
      <c r="J3335" t="s">
        <v>41</v>
      </c>
      <c r="K3335" t="s">
        <v>229</v>
      </c>
      <c r="Q3335">
        <v>0</v>
      </c>
      <c r="R3335">
        <v>0</v>
      </c>
      <c r="S3335">
        <v>100</v>
      </c>
      <c r="T3335" t="s">
        <v>13961</v>
      </c>
    </row>
    <row r="3336" spans="1:20" customFormat="1" ht="15" x14ac:dyDescent="0.25">
      <c r="A3336" t="s">
        <v>35</v>
      </c>
      <c r="B3336" t="s">
        <v>6747</v>
      </c>
      <c r="C3336" t="str">
        <f>"A0187018"</f>
        <v>A0187018</v>
      </c>
      <c r="D3336" t="s">
        <v>13962</v>
      </c>
      <c r="E3336" t="s">
        <v>13963</v>
      </c>
      <c r="F3336" t="s">
        <v>5506</v>
      </c>
      <c r="G3336" t="s">
        <v>117</v>
      </c>
      <c r="H3336">
        <v>49120</v>
      </c>
      <c r="I3336" t="s">
        <v>30</v>
      </c>
      <c r="J3336" t="s">
        <v>41</v>
      </c>
      <c r="K3336" t="s">
        <v>229</v>
      </c>
      <c r="Q3336">
        <v>0</v>
      </c>
      <c r="R3336">
        <v>0</v>
      </c>
      <c r="S3336">
        <v>84</v>
      </c>
      <c r="T3336" t="s">
        <v>13964</v>
      </c>
    </row>
    <row r="3337" spans="1:20" customFormat="1" ht="15" x14ac:dyDescent="0.25">
      <c r="A3337" t="s">
        <v>35</v>
      </c>
      <c r="B3337" t="s">
        <v>6747</v>
      </c>
      <c r="C3337" t="str">
        <f>"A0187017"</f>
        <v>A0187017</v>
      </c>
      <c r="D3337" t="s">
        <v>13965</v>
      </c>
      <c r="E3337" t="s">
        <v>13966</v>
      </c>
      <c r="F3337" t="s">
        <v>13967</v>
      </c>
      <c r="G3337" t="s">
        <v>81</v>
      </c>
      <c r="H3337">
        <v>32110</v>
      </c>
      <c r="I3337" t="s">
        <v>30</v>
      </c>
      <c r="J3337" t="s">
        <v>41</v>
      </c>
      <c r="K3337" t="s">
        <v>229</v>
      </c>
      <c r="Q3337">
        <v>0</v>
      </c>
      <c r="R3337">
        <v>0</v>
      </c>
      <c r="S3337">
        <v>120</v>
      </c>
      <c r="T3337" t="s">
        <v>13968</v>
      </c>
    </row>
    <row r="3338" spans="1:20" customFormat="1" ht="15" x14ac:dyDescent="0.25">
      <c r="A3338" t="s">
        <v>35</v>
      </c>
      <c r="B3338" t="s">
        <v>6747</v>
      </c>
      <c r="C3338" t="str">
        <f>"A0187016"</f>
        <v>A0187016</v>
      </c>
      <c r="D3338" t="s">
        <v>13969</v>
      </c>
      <c r="E3338" t="s">
        <v>13970</v>
      </c>
      <c r="F3338" t="s">
        <v>5488</v>
      </c>
      <c r="G3338" t="s">
        <v>81</v>
      </c>
      <c r="H3338">
        <v>34285</v>
      </c>
      <c r="I3338" t="s">
        <v>30</v>
      </c>
      <c r="J3338" t="s">
        <v>41</v>
      </c>
      <c r="K3338" t="s">
        <v>229</v>
      </c>
      <c r="Q3338">
        <v>0</v>
      </c>
      <c r="R3338">
        <v>0</v>
      </c>
      <c r="S3338">
        <v>72</v>
      </c>
      <c r="T3338" t="s">
        <v>13971</v>
      </c>
    </row>
    <row r="3339" spans="1:20" customFormat="1" ht="15" x14ac:dyDescent="0.25">
      <c r="A3339" t="s">
        <v>35</v>
      </c>
      <c r="B3339" t="s">
        <v>6747</v>
      </c>
      <c r="C3339" t="str">
        <f>"A0187015"</f>
        <v>A0187015</v>
      </c>
      <c r="D3339" t="s">
        <v>13972</v>
      </c>
      <c r="E3339" t="s">
        <v>13973</v>
      </c>
      <c r="F3339" t="s">
        <v>3671</v>
      </c>
      <c r="G3339" t="s">
        <v>81</v>
      </c>
      <c r="H3339">
        <v>34103</v>
      </c>
      <c r="I3339" t="s">
        <v>30</v>
      </c>
      <c r="J3339" t="s">
        <v>41</v>
      </c>
      <c r="K3339" t="s">
        <v>229</v>
      </c>
      <c r="Q3339">
        <v>0</v>
      </c>
      <c r="R3339">
        <v>0</v>
      </c>
      <c r="S3339">
        <v>120</v>
      </c>
      <c r="T3339" t="s">
        <v>13974</v>
      </c>
    </row>
    <row r="3340" spans="1:20" customFormat="1" ht="15" x14ac:dyDescent="0.25">
      <c r="A3340" t="s">
        <v>35</v>
      </c>
      <c r="B3340" t="s">
        <v>6747</v>
      </c>
      <c r="C3340" t="str">
        <f>"A0187014"</f>
        <v>A0187014</v>
      </c>
      <c r="D3340" t="s">
        <v>13975</v>
      </c>
      <c r="E3340" t="s">
        <v>13976</v>
      </c>
      <c r="F3340" t="s">
        <v>2334</v>
      </c>
      <c r="G3340" t="s">
        <v>81</v>
      </c>
      <c r="H3340">
        <v>34471</v>
      </c>
      <c r="I3340" t="s">
        <v>30</v>
      </c>
      <c r="J3340" t="s">
        <v>41</v>
      </c>
      <c r="K3340" t="s">
        <v>229</v>
      </c>
      <c r="Q3340">
        <v>0</v>
      </c>
      <c r="R3340">
        <v>0</v>
      </c>
      <c r="S3340">
        <v>180</v>
      </c>
      <c r="T3340" t="s">
        <v>13977</v>
      </c>
    </row>
    <row r="3341" spans="1:20" customFormat="1" ht="15" x14ac:dyDescent="0.25">
      <c r="A3341" t="s">
        <v>35</v>
      </c>
      <c r="B3341" t="s">
        <v>6747</v>
      </c>
      <c r="C3341" t="str">
        <f>"A0187013"</f>
        <v>A0187013</v>
      </c>
      <c r="D3341" t="s">
        <v>13978</v>
      </c>
      <c r="E3341" t="s">
        <v>13979</v>
      </c>
      <c r="F3341" t="s">
        <v>93</v>
      </c>
      <c r="G3341" t="s">
        <v>840</v>
      </c>
      <c r="H3341">
        <v>42345</v>
      </c>
      <c r="I3341" t="s">
        <v>30</v>
      </c>
      <c r="J3341" t="s">
        <v>41</v>
      </c>
      <c r="K3341" t="s">
        <v>229</v>
      </c>
      <c r="Q3341">
        <v>0</v>
      </c>
      <c r="R3341">
        <v>0</v>
      </c>
      <c r="S3341">
        <v>97</v>
      </c>
      <c r="T3341" t="s">
        <v>13980</v>
      </c>
    </row>
    <row r="3342" spans="1:20" customFormat="1" ht="15" x14ac:dyDescent="0.25">
      <c r="A3342" t="s">
        <v>35</v>
      </c>
      <c r="B3342" t="s">
        <v>6747</v>
      </c>
      <c r="C3342" t="str">
        <f>"A0187012"</f>
        <v>A0187012</v>
      </c>
      <c r="D3342" t="s">
        <v>13910</v>
      </c>
      <c r="E3342" t="s">
        <v>13981</v>
      </c>
      <c r="F3342" t="s">
        <v>13912</v>
      </c>
      <c r="G3342" t="s">
        <v>81</v>
      </c>
      <c r="H3342">
        <v>33437</v>
      </c>
      <c r="I3342" t="s">
        <v>30</v>
      </c>
      <c r="J3342" t="s">
        <v>41</v>
      </c>
      <c r="K3342" t="s">
        <v>229</v>
      </c>
      <c r="Q3342">
        <v>0</v>
      </c>
      <c r="R3342">
        <v>0</v>
      </c>
      <c r="S3342">
        <v>99</v>
      </c>
      <c r="T3342" t="s">
        <v>13982</v>
      </c>
    </row>
    <row r="3343" spans="1:20" customFormat="1" ht="15" x14ac:dyDescent="0.25">
      <c r="A3343" t="s">
        <v>35</v>
      </c>
      <c r="B3343" t="s">
        <v>6747</v>
      </c>
      <c r="C3343" t="str">
        <f>"A0187011"</f>
        <v>A0187011</v>
      </c>
      <c r="D3343" t="s">
        <v>13983</v>
      </c>
      <c r="E3343" t="s">
        <v>13984</v>
      </c>
      <c r="F3343" t="s">
        <v>8642</v>
      </c>
      <c r="G3343" t="s">
        <v>840</v>
      </c>
      <c r="H3343">
        <v>40006</v>
      </c>
      <c r="I3343" t="s">
        <v>30</v>
      </c>
      <c r="J3343" t="s">
        <v>41</v>
      </c>
      <c r="K3343" t="s">
        <v>229</v>
      </c>
      <c r="Q3343">
        <v>0</v>
      </c>
      <c r="R3343">
        <v>0</v>
      </c>
      <c r="S3343">
        <v>60</v>
      </c>
      <c r="T3343" t="s">
        <v>13985</v>
      </c>
    </row>
    <row r="3344" spans="1:20" customFormat="1" ht="15" x14ac:dyDescent="0.25">
      <c r="A3344" t="s">
        <v>35</v>
      </c>
      <c r="B3344" t="s">
        <v>6747</v>
      </c>
      <c r="C3344" t="str">
        <f>"A0187010"</f>
        <v>A0187010</v>
      </c>
      <c r="D3344" t="s">
        <v>13986</v>
      </c>
      <c r="E3344" t="s">
        <v>13987</v>
      </c>
      <c r="F3344" t="s">
        <v>13988</v>
      </c>
      <c r="G3344" t="s">
        <v>880</v>
      </c>
      <c r="H3344">
        <v>37150</v>
      </c>
      <c r="I3344" t="s">
        <v>30</v>
      </c>
      <c r="J3344" t="s">
        <v>41</v>
      </c>
      <c r="K3344" t="s">
        <v>229</v>
      </c>
      <c r="Q3344">
        <v>0</v>
      </c>
      <c r="R3344">
        <v>0</v>
      </c>
      <c r="S3344">
        <v>119</v>
      </c>
      <c r="T3344" t="s">
        <v>13989</v>
      </c>
    </row>
    <row r="3345" spans="1:20" customFormat="1" ht="15" x14ac:dyDescent="0.25">
      <c r="A3345" t="s">
        <v>35</v>
      </c>
      <c r="B3345" t="s">
        <v>6747</v>
      </c>
      <c r="C3345" t="str">
        <f>"A0187009"</f>
        <v>A0187009</v>
      </c>
      <c r="D3345" t="s">
        <v>13990</v>
      </c>
      <c r="E3345" t="s">
        <v>13991</v>
      </c>
      <c r="F3345" t="s">
        <v>10272</v>
      </c>
      <c r="G3345" t="s">
        <v>840</v>
      </c>
      <c r="H3345">
        <v>42445</v>
      </c>
      <c r="I3345" t="s">
        <v>30</v>
      </c>
      <c r="J3345" t="s">
        <v>41</v>
      </c>
      <c r="K3345" t="s">
        <v>229</v>
      </c>
      <c r="Q3345">
        <v>0</v>
      </c>
      <c r="R3345">
        <v>0</v>
      </c>
      <c r="S3345">
        <v>104</v>
      </c>
      <c r="T3345" t="s">
        <v>13992</v>
      </c>
    </row>
    <row r="3346" spans="1:20" customFormat="1" ht="15" hidden="1" x14ac:dyDescent="0.25">
      <c r="A3346" t="s">
        <v>35</v>
      </c>
      <c r="B3346" t="s">
        <v>6747</v>
      </c>
      <c r="C3346" t="str">
        <f>"A0187008"</f>
        <v>A0187008</v>
      </c>
      <c r="D3346" t="s">
        <v>13993</v>
      </c>
      <c r="E3346" t="s">
        <v>13994</v>
      </c>
      <c r="F3346" t="s">
        <v>10523</v>
      </c>
      <c r="G3346" t="s">
        <v>13995</v>
      </c>
      <c r="H3346">
        <v>34997</v>
      </c>
      <c r="J3346" t="s">
        <v>41</v>
      </c>
      <c r="K3346" t="s">
        <v>229</v>
      </c>
      <c r="Q3346">
        <v>0</v>
      </c>
      <c r="R3346">
        <v>0</v>
      </c>
      <c r="S3346">
        <v>72</v>
      </c>
      <c r="T3346" t="s">
        <v>13996</v>
      </c>
    </row>
    <row r="3347" spans="1:20" customFormat="1" ht="15" x14ac:dyDescent="0.25">
      <c r="A3347" t="s">
        <v>35</v>
      </c>
      <c r="B3347" t="s">
        <v>6747</v>
      </c>
      <c r="C3347" t="str">
        <f>"A0187007"</f>
        <v>A0187007</v>
      </c>
      <c r="D3347" t="s">
        <v>13997</v>
      </c>
      <c r="E3347" t="s">
        <v>13998</v>
      </c>
      <c r="F3347" t="s">
        <v>13999</v>
      </c>
      <c r="G3347" t="s">
        <v>81</v>
      </c>
      <c r="H3347">
        <v>33935</v>
      </c>
      <c r="I3347" t="s">
        <v>30</v>
      </c>
      <c r="J3347" t="s">
        <v>41</v>
      </c>
      <c r="K3347" t="s">
        <v>229</v>
      </c>
      <c r="Q3347">
        <v>0</v>
      </c>
      <c r="R3347">
        <v>0</v>
      </c>
      <c r="S3347">
        <v>93</v>
      </c>
      <c r="T3347" t="s">
        <v>14000</v>
      </c>
    </row>
    <row r="3348" spans="1:20" customFormat="1" ht="15" x14ac:dyDescent="0.25">
      <c r="A3348" t="s">
        <v>35</v>
      </c>
      <c r="B3348" t="s">
        <v>6747</v>
      </c>
      <c r="C3348" t="str">
        <f>"A0187006"</f>
        <v>A0187006</v>
      </c>
      <c r="D3348" t="s">
        <v>14001</v>
      </c>
      <c r="E3348" t="s">
        <v>14002</v>
      </c>
      <c r="F3348" t="s">
        <v>6723</v>
      </c>
      <c r="G3348" t="s">
        <v>81</v>
      </c>
      <c r="H3348">
        <v>32351</v>
      </c>
      <c r="I3348" t="s">
        <v>30</v>
      </c>
      <c r="J3348" t="s">
        <v>41</v>
      </c>
      <c r="K3348" t="s">
        <v>229</v>
      </c>
      <c r="Q3348">
        <v>0</v>
      </c>
      <c r="R3348">
        <v>0</v>
      </c>
      <c r="S3348">
        <v>120</v>
      </c>
      <c r="T3348" t="s">
        <v>13909</v>
      </c>
    </row>
    <row r="3349" spans="1:20" customFormat="1" ht="15" x14ac:dyDescent="0.25">
      <c r="A3349" t="s">
        <v>35</v>
      </c>
      <c r="B3349" t="s">
        <v>6747</v>
      </c>
      <c r="C3349" t="str">
        <f>"A0187005"</f>
        <v>A0187005</v>
      </c>
      <c r="D3349" t="s">
        <v>14003</v>
      </c>
      <c r="E3349" t="s">
        <v>14004</v>
      </c>
      <c r="F3349" t="s">
        <v>3657</v>
      </c>
      <c r="G3349" t="s">
        <v>880</v>
      </c>
      <c r="H3349">
        <v>37917</v>
      </c>
      <c r="I3349" t="s">
        <v>30</v>
      </c>
      <c r="J3349" t="s">
        <v>41</v>
      </c>
      <c r="K3349" t="s">
        <v>229</v>
      </c>
      <c r="Q3349">
        <v>0</v>
      </c>
      <c r="R3349">
        <v>0</v>
      </c>
      <c r="S3349">
        <v>91</v>
      </c>
      <c r="T3349" t="s">
        <v>14005</v>
      </c>
    </row>
    <row r="3350" spans="1:20" customFormat="1" ht="15" x14ac:dyDescent="0.25">
      <c r="A3350" t="s">
        <v>35</v>
      </c>
      <c r="B3350" t="s">
        <v>6747</v>
      </c>
      <c r="C3350" t="str">
        <f>"A0187004"</f>
        <v>A0187004</v>
      </c>
      <c r="D3350" t="s">
        <v>14006</v>
      </c>
      <c r="E3350" t="s">
        <v>14007</v>
      </c>
      <c r="F3350" t="s">
        <v>14008</v>
      </c>
      <c r="G3350" t="s">
        <v>840</v>
      </c>
      <c r="H3350">
        <v>42754</v>
      </c>
      <c r="I3350" t="s">
        <v>30</v>
      </c>
      <c r="J3350" t="s">
        <v>41</v>
      </c>
      <c r="K3350" t="s">
        <v>229</v>
      </c>
      <c r="Q3350">
        <v>0</v>
      </c>
      <c r="R3350">
        <v>0</v>
      </c>
      <c r="S3350">
        <v>71</v>
      </c>
      <c r="T3350" t="s">
        <v>14009</v>
      </c>
    </row>
    <row r="3351" spans="1:20" customFormat="1" ht="15" x14ac:dyDescent="0.25">
      <c r="A3351" t="s">
        <v>35</v>
      </c>
      <c r="B3351" t="s">
        <v>6747</v>
      </c>
      <c r="C3351" t="str">
        <f>"A0187003"</f>
        <v>A0187003</v>
      </c>
      <c r="D3351" t="s">
        <v>14010</v>
      </c>
      <c r="E3351" t="s">
        <v>14011</v>
      </c>
      <c r="F3351" t="s">
        <v>14012</v>
      </c>
      <c r="G3351" t="s">
        <v>880</v>
      </c>
      <c r="H3351">
        <v>37379</v>
      </c>
      <c r="I3351" t="s">
        <v>30</v>
      </c>
      <c r="J3351" t="s">
        <v>41</v>
      </c>
      <c r="K3351" t="s">
        <v>229</v>
      </c>
      <c r="Q3351">
        <v>0</v>
      </c>
      <c r="R3351">
        <v>0</v>
      </c>
      <c r="S3351">
        <v>134</v>
      </c>
      <c r="T3351" t="s">
        <v>14013</v>
      </c>
    </row>
    <row r="3352" spans="1:20" customFormat="1" ht="15" x14ac:dyDescent="0.25">
      <c r="A3352" t="s">
        <v>35</v>
      </c>
      <c r="B3352" t="s">
        <v>6747</v>
      </c>
      <c r="C3352" t="str">
        <f>"A0187002"</f>
        <v>A0187002</v>
      </c>
      <c r="D3352" t="s">
        <v>14014</v>
      </c>
      <c r="E3352" t="s">
        <v>14015</v>
      </c>
      <c r="F3352" t="s">
        <v>1762</v>
      </c>
      <c r="G3352" t="s">
        <v>840</v>
      </c>
      <c r="H3352">
        <v>42066</v>
      </c>
      <c r="I3352" t="s">
        <v>30</v>
      </c>
      <c r="J3352" t="s">
        <v>41</v>
      </c>
      <c r="K3352" t="s">
        <v>229</v>
      </c>
      <c r="Q3352">
        <v>0</v>
      </c>
      <c r="R3352">
        <v>0</v>
      </c>
      <c r="S3352">
        <v>85</v>
      </c>
      <c r="T3352" t="s">
        <v>13916</v>
      </c>
    </row>
    <row r="3353" spans="1:20" customFormat="1" ht="15" x14ac:dyDescent="0.25">
      <c r="A3353" t="s">
        <v>35</v>
      </c>
      <c r="B3353" t="s">
        <v>6747</v>
      </c>
      <c r="C3353" t="str">
        <f>"A0187001"</f>
        <v>A0187001</v>
      </c>
      <c r="D3353" t="s">
        <v>14016</v>
      </c>
      <c r="E3353" t="s">
        <v>14017</v>
      </c>
      <c r="F3353" t="s">
        <v>14018</v>
      </c>
      <c r="G3353" t="s">
        <v>880</v>
      </c>
      <c r="H3353">
        <v>37774</v>
      </c>
      <c r="I3353" t="s">
        <v>30</v>
      </c>
      <c r="J3353" t="s">
        <v>41</v>
      </c>
      <c r="K3353" t="s">
        <v>229</v>
      </c>
      <c r="Q3353">
        <v>0</v>
      </c>
      <c r="R3353">
        <v>0</v>
      </c>
      <c r="S3353">
        <v>180</v>
      </c>
      <c r="T3353" t="s">
        <v>14019</v>
      </c>
    </row>
    <row r="3354" spans="1:20" customFormat="1" ht="15" x14ac:dyDescent="0.25">
      <c r="A3354" t="s">
        <v>35</v>
      </c>
      <c r="B3354" t="s">
        <v>6747</v>
      </c>
      <c r="C3354" t="str">
        <f>"A0187000"</f>
        <v>A0187000</v>
      </c>
      <c r="D3354" t="s">
        <v>14020</v>
      </c>
      <c r="E3354" t="s">
        <v>14021</v>
      </c>
      <c r="F3354" t="s">
        <v>14022</v>
      </c>
      <c r="G3354" t="s">
        <v>880</v>
      </c>
      <c r="H3354">
        <v>38017</v>
      </c>
      <c r="I3354" t="s">
        <v>30</v>
      </c>
      <c r="J3354" t="s">
        <v>41</v>
      </c>
      <c r="K3354" t="s">
        <v>229</v>
      </c>
      <c r="Q3354">
        <v>0</v>
      </c>
      <c r="R3354">
        <v>0</v>
      </c>
      <c r="S3354">
        <v>114</v>
      </c>
      <c r="T3354" t="s">
        <v>14023</v>
      </c>
    </row>
    <row r="3355" spans="1:20" customFormat="1" ht="15" x14ac:dyDescent="0.25">
      <c r="A3355" t="s">
        <v>35</v>
      </c>
      <c r="B3355" t="s">
        <v>6747</v>
      </c>
      <c r="C3355" t="str">
        <f>"A0186999"</f>
        <v>A0186999</v>
      </c>
      <c r="D3355" t="s">
        <v>14024</v>
      </c>
      <c r="E3355" t="s">
        <v>14025</v>
      </c>
      <c r="F3355" t="s">
        <v>14026</v>
      </c>
      <c r="G3355" t="s">
        <v>880</v>
      </c>
      <c r="H3355">
        <v>37030</v>
      </c>
      <c r="I3355" t="s">
        <v>30</v>
      </c>
      <c r="J3355" t="s">
        <v>41</v>
      </c>
      <c r="K3355" t="s">
        <v>229</v>
      </c>
      <c r="Q3355">
        <v>0</v>
      </c>
      <c r="R3355">
        <v>0</v>
      </c>
      <c r="S3355">
        <v>128</v>
      </c>
      <c r="T3355" t="s">
        <v>14027</v>
      </c>
    </row>
    <row r="3356" spans="1:20" customFormat="1" ht="15" x14ac:dyDescent="0.25">
      <c r="A3356" t="s">
        <v>35</v>
      </c>
      <c r="B3356" t="s">
        <v>6747</v>
      </c>
      <c r="C3356" t="str">
        <f>"A0186998"</f>
        <v>A0186998</v>
      </c>
      <c r="D3356" t="s">
        <v>14028</v>
      </c>
      <c r="E3356" t="s">
        <v>14029</v>
      </c>
      <c r="F3356" t="s">
        <v>879</v>
      </c>
      <c r="G3356" t="s">
        <v>880</v>
      </c>
      <c r="H3356">
        <v>37803</v>
      </c>
      <c r="I3356" t="s">
        <v>30</v>
      </c>
      <c r="J3356" t="s">
        <v>41</v>
      </c>
      <c r="K3356" t="s">
        <v>229</v>
      </c>
      <c r="Q3356">
        <v>0</v>
      </c>
      <c r="R3356">
        <v>0</v>
      </c>
      <c r="S3356">
        <v>185</v>
      </c>
      <c r="T3356" t="s">
        <v>14030</v>
      </c>
    </row>
    <row r="3357" spans="1:20" customFormat="1" ht="15" x14ac:dyDescent="0.25">
      <c r="A3357" t="s">
        <v>35</v>
      </c>
      <c r="B3357" t="s">
        <v>6747</v>
      </c>
      <c r="C3357" t="str">
        <f>"A0186997"</f>
        <v>A0186997</v>
      </c>
      <c r="D3357" t="s">
        <v>14031</v>
      </c>
      <c r="E3357" t="s">
        <v>14032</v>
      </c>
      <c r="F3357" t="s">
        <v>13542</v>
      </c>
      <c r="G3357" t="s">
        <v>81</v>
      </c>
      <c r="H3357">
        <v>34653</v>
      </c>
      <c r="I3357" t="s">
        <v>30</v>
      </c>
      <c r="J3357" t="s">
        <v>41</v>
      </c>
      <c r="K3357" t="s">
        <v>229</v>
      </c>
      <c r="Q3357">
        <v>0</v>
      </c>
      <c r="R3357">
        <v>0</v>
      </c>
      <c r="S3357">
        <v>120</v>
      </c>
      <c r="T3357" t="s">
        <v>14033</v>
      </c>
    </row>
    <row r="3358" spans="1:20" customFormat="1" ht="15" x14ac:dyDescent="0.25">
      <c r="A3358" t="s">
        <v>35</v>
      </c>
      <c r="B3358" t="s">
        <v>6747</v>
      </c>
      <c r="C3358" t="str">
        <f>"A0186996"</f>
        <v>A0186996</v>
      </c>
      <c r="D3358" t="s">
        <v>14034</v>
      </c>
      <c r="E3358" t="s">
        <v>14035</v>
      </c>
      <c r="F3358" t="s">
        <v>14036</v>
      </c>
      <c r="G3358" t="s">
        <v>880</v>
      </c>
      <c r="H3358">
        <v>37110</v>
      </c>
      <c r="I3358" t="s">
        <v>30</v>
      </c>
      <c r="J3358" t="s">
        <v>41</v>
      </c>
      <c r="K3358" t="s">
        <v>229</v>
      </c>
      <c r="Q3358">
        <v>0</v>
      </c>
      <c r="R3358">
        <v>0</v>
      </c>
      <c r="S3358">
        <v>140</v>
      </c>
      <c r="T3358" t="s">
        <v>14037</v>
      </c>
    </row>
    <row r="3359" spans="1:20" customFormat="1" ht="15" x14ac:dyDescent="0.25">
      <c r="A3359" t="s">
        <v>35</v>
      </c>
      <c r="B3359" t="s">
        <v>6747</v>
      </c>
      <c r="C3359" t="str">
        <f>"A0186995"</f>
        <v>A0186995</v>
      </c>
      <c r="D3359" t="s">
        <v>14038</v>
      </c>
      <c r="E3359" t="s">
        <v>14039</v>
      </c>
      <c r="F3359" t="s">
        <v>14040</v>
      </c>
      <c r="G3359" t="s">
        <v>117</v>
      </c>
      <c r="H3359">
        <v>49406</v>
      </c>
      <c r="I3359" t="s">
        <v>30</v>
      </c>
      <c r="J3359" t="s">
        <v>41</v>
      </c>
      <c r="K3359" t="s">
        <v>229</v>
      </c>
      <c r="Q3359">
        <v>0</v>
      </c>
      <c r="R3359">
        <v>0</v>
      </c>
      <c r="S3359">
        <v>51</v>
      </c>
      <c r="T3359" t="s">
        <v>14041</v>
      </c>
    </row>
    <row r="3360" spans="1:20" customFormat="1" ht="15" x14ac:dyDescent="0.25">
      <c r="A3360" t="s">
        <v>35</v>
      </c>
      <c r="B3360" t="s">
        <v>6747</v>
      </c>
      <c r="C3360" t="str">
        <f>"A0186994"</f>
        <v>A0186994</v>
      </c>
      <c r="D3360" t="s">
        <v>14042</v>
      </c>
      <c r="E3360" t="s">
        <v>14043</v>
      </c>
      <c r="F3360" t="s">
        <v>14044</v>
      </c>
      <c r="G3360" t="s">
        <v>840</v>
      </c>
      <c r="H3360">
        <v>42276</v>
      </c>
      <c r="I3360" t="s">
        <v>30</v>
      </c>
      <c r="J3360" t="s">
        <v>41</v>
      </c>
      <c r="K3360" t="s">
        <v>229</v>
      </c>
      <c r="Q3360">
        <v>0</v>
      </c>
      <c r="R3360">
        <v>0</v>
      </c>
      <c r="S3360">
        <v>104</v>
      </c>
      <c r="T3360" t="s">
        <v>14045</v>
      </c>
    </row>
    <row r="3361" spans="1:20" customFormat="1" ht="15" x14ac:dyDescent="0.25">
      <c r="A3361" t="s">
        <v>35</v>
      </c>
      <c r="B3361" t="s">
        <v>6747</v>
      </c>
      <c r="C3361" t="str">
        <f>"A0186993"</f>
        <v>A0186993</v>
      </c>
      <c r="D3361" t="s">
        <v>14046</v>
      </c>
      <c r="E3361" t="s">
        <v>14047</v>
      </c>
      <c r="F3361" t="s">
        <v>6791</v>
      </c>
      <c r="G3361" t="s">
        <v>81</v>
      </c>
      <c r="H3361">
        <v>34741</v>
      </c>
      <c r="I3361" t="s">
        <v>30</v>
      </c>
      <c r="J3361" t="s">
        <v>41</v>
      </c>
      <c r="K3361" t="s">
        <v>229</v>
      </c>
      <c r="Q3361">
        <v>0</v>
      </c>
      <c r="R3361">
        <v>0</v>
      </c>
      <c r="S3361">
        <v>76</v>
      </c>
      <c r="T3361" t="s">
        <v>14048</v>
      </c>
    </row>
    <row r="3362" spans="1:20" customFormat="1" ht="15" x14ac:dyDescent="0.25">
      <c r="A3362" t="s">
        <v>35</v>
      </c>
      <c r="B3362" t="s">
        <v>6747</v>
      </c>
      <c r="C3362" t="str">
        <f>"A0186992"</f>
        <v>A0186992</v>
      </c>
      <c r="D3362" t="s">
        <v>14049</v>
      </c>
      <c r="E3362" t="s">
        <v>14050</v>
      </c>
      <c r="F3362" t="s">
        <v>14051</v>
      </c>
      <c r="G3362" t="s">
        <v>81</v>
      </c>
      <c r="H3362">
        <v>32713</v>
      </c>
      <c r="I3362" t="s">
        <v>30</v>
      </c>
      <c r="J3362" t="s">
        <v>41</v>
      </c>
      <c r="K3362" t="s">
        <v>229</v>
      </c>
      <c r="Q3362">
        <v>0</v>
      </c>
      <c r="R3362">
        <v>0</v>
      </c>
      <c r="S3362">
        <v>120</v>
      </c>
      <c r="T3362" t="s">
        <v>14052</v>
      </c>
    </row>
    <row r="3363" spans="1:20" customFormat="1" ht="15" x14ac:dyDescent="0.25">
      <c r="A3363" t="s">
        <v>35</v>
      </c>
      <c r="B3363" t="s">
        <v>6747</v>
      </c>
      <c r="C3363" t="str">
        <f>"A0186991"</f>
        <v>A0186991</v>
      </c>
      <c r="D3363" t="s">
        <v>14053</v>
      </c>
      <c r="E3363" t="s">
        <v>14054</v>
      </c>
      <c r="F3363" t="s">
        <v>14055</v>
      </c>
      <c r="G3363" t="s">
        <v>81</v>
      </c>
      <c r="H3363">
        <v>33852</v>
      </c>
      <c r="I3363" t="s">
        <v>30</v>
      </c>
      <c r="J3363" t="s">
        <v>41</v>
      </c>
      <c r="K3363" t="s">
        <v>229</v>
      </c>
      <c r="Q3363">
        <v>0</v>
      </c>
      <c r="R3363">
        <v>0</v>
      </c>
      <c r="S3363">
        <v>180</v>
      </c>
      <c r="T3363" t="s">
        <v>14056</v>
      </c>
    </row>
    <row r="3364" spans="1:20" customFormat="1" ht="15" x14ac:dyDescent="0.25">
      <c r="A3364" t="s">
        <v>35</v>
      </c>
      <c r="B3364" t="s">
        <v>6747</v>
      </c>
      <c r="C3364" t="str">
        <f>"A0186990"</f>
        <v>A0186990</v>
      </c>
      <c r="D3364" t="s">
        <v>14057</v>
      </c>
      <c r="E3364" t="s">
        <v>13922</v>
      </c>
      <c r="F3364" t="s">
        <v>6290</v>
      </c>
      <c r="G3364" t="s">
        <v>81</v>
      </c>
      <c r="H3364">
        <v>32607</v>
      </c>
      <c r="I3364" t="s">
        <v>30</v>
      </c>
      <c r="J3364" t="s">
        <v>41</v>
      </c>
      <c r="K3364" t="s">
        <v>229</v>
      </c>
      <c r="Q3364">
        <v>0</v>
      </c>
      <c r="R3364">
        <v>0</v>
      </c>
      <c r="S3364">
        <v>120</v>
      </c>
      <c r="T3364" t="s">
        <v>13924</v>
      </c>
    </row>
    <row r="3365" spans="1:20" customFormat="1" ht="15" x14ac:dyDescent="0.25">
      <c r="A3365" t="s">
        <v>35</v>
      </c>
      <c r="B3365" t="s">
        <v>6747</v>
      </c>
      <c r="C3365" t="str">
        <f>"A0186989"</f>
        <v>A0186989</v>
      </c>
      <c r="D3365" t="s">
        <v>14058</v>
      </c>
      <c r="E3365" t="s">
        <v>14059</v>
      </c>
      <c r="F3365" t="s">
        <v>14060</v>
      </c>
      <c r="G3365" t="s">
        <v>81</v>
      </c>
      <c r="H3365">
        <v>32091</v>
      </c>
      <c r="I3365" t="s">
        <v>30</v>
      </c>
      <c r="J3365" t="s">
        <v>41</v>
      </c>
      <c r="K3365" t="s">
        <v>229</v>
      </c>
      <c r="Q3365">
        <v>0</v>
      </c>
      <c r="R3365">
        <v>0</v>
      </c>
      <c r="S3365">
        <v>120</v>
      </c>
      <c r="T3365" t="s">
        <v>14061</v>
      </c>
    </row>
    <row r="3366" spans="1:20" customFormat="1" ht="15" x14ac:dyDescent="0.25">
      <c r="A3366" t="s">
        <v>35</v>
      </c>
      <c r="B3366" t="s">
        <v>54</v>
      </c>
      <c r="C3366" t="str">
        <f>"A0186988"</f>
        <v>A0186988</v>
      </c>
      <c r="D3366" t="s">
        <v>14062</v>
      </c>
      <c r="E3366" t="s">
        <v>14063</v>
      </c>
      <c r="F3366" t="s">
        <v>14064</v>
      </c>
      <c r="G3366" t="s">
        <v>85</v>
      </c>
      <c r="H3366">
        <v>71860</v>
      </c>
      <c r="I3366" t="s">
        <v>30</v>
      </c>
      <c r="J3366" t="s">
        <v>41</v>
      </c>
      <c r="K3366" t="s">
        <v>229</v>
      </c>
      <c r="Q3366">
        <v>0</v>
      </c>
      <c r="R3366">
        <v>0</v>
      </c>
      <c r="S3366">
        <v>94</v>
      </c>
      <c r="T3366" t="s">
        <v>14065</v>
      </c>
    </row>
    <row r="3367" spans="1:20" customFormat="1" ht="15" x14ac:dyDescent="0.25">
      <c r="A3367" t="s">
        <v>35</v>
      </c>
      <c r="B3367" t="s">
        <v>54</v>
      </c>
      <c r="C3367" t="str">
        <f>"A0186987"</f>
        <v>A0186987</v>
      </c>
      <c r="D3367" t="s">
        <v>14066</v>
      </c>
      <c r="E3367" t="s">
        <v>14067</v>
      </c>
      <c r="F3367" t="s">
        <v>14068</v>
      </c>
      <c r="G3367" t="s">
        <v>85</v>
      </c>
      <c r="H3367">
        <v>72560</v>
      </c>
      <c r="I3367" t="s">
        <v>30</v>
      </c>
      <c r="J3367" t="s">
        <v>41</v>
      </c>
      <c r="K3367" t="s">
        <v>229</v>
      </c>
      <c r="Q3367">
        <v>0</v>
      </c>
      <c r="R3367">
        <v>0</v>
      </c>
      <c r="S3367">
        <v>32</v>
      </c>
      <c r="T3367" t="s">
        <v>14069</v>
      </c>
    </row>
    <row r="3368" spans="1:20" customFormat="1" ht="15" x14ac:dyDescent="0.25">
      <c r="A3368" t="s">
        <v>35</v>
      </c>
      <c r="B3368" t="s">
        <v>54</v>
      </c>
      <c r="C3368" t="str">
        <f>"A0186986"</f>
        <v>A0186986</v>
      </c>
      <c r="D3368" t="s">
        <v>14070</v>
      </c>
      <c r="E3368" t="s">
        <v>14071</v>
      </c>
      <c r="F3368" t="s">
        <v>14072</v>
      </c>
      <c r="G3368" t="s">
        <v>85</v>
      </c>
      <c r="H3368">
        <v>72758</v>
      </c>
      <c r="I3368" t="s">
        <v>30</v>
      </c>
      <c r="J3368" t="s">
        <v>41</v>
      </c>
      <c r="K3368" t="s">
        <v>229</v>
      </c>
      <c r="Q3368">
        <v>0</v>
      </c>
      <c r="R3368">
        <v>0</v>
      </c>
      <c r="S3368">
        <v>110</v>
      </c>
      <c r="T3368" t="s">
        <v>14073</v>
      </c>
    </row>
    <row r="3369" spans="1:20" customFormat="1" ht="15" x14ac:dyDescent="0.25">
      <c r="A3369" t="s">
        <v>35</v>
      </c>
      <c r="B3369" t="s">
        <v>54</v>
      </c>
      <c r="C3369" t="str">
        <f>"A0186985"</f>
        <v>A0186985</v>
      </c>
      <c r="D3369" t="s">
        <v>14074</v>
      </c>
      <c r="E3369" t="s">
        <v>14075</v>
      </c>
      <c r="F3369" t="s">
        <v>10174</v>
      </c>
      <c r="G3369" t="s">
        <v>85</v>
      </c>
      <c r="H3369">
        <v>72206</v>
      </c>
      <c r="I3369" t="s">
        <v>30</v>
      </c>
      <c r="J3369" t="s">
        <v>41</v>
      </c>
      <c r="K3369" t="s">
        <v>482</v>
      </c>
      <c r="Q3369">
        <v>0</v>
      </c>
      <c r="R3369">
        <v>0</v>
      </c>
      <c r="S3369">
        <v>32</v>
      </c>
      <c r="T3369" t="s">
        <v>14076</v>
      </c>
    </row>
    <row r="3370" spans="1:20" customFormat="1" ht="15" x14ac:dyDescent="0.25">
      <c r="A3370" t="s">
        <v>35</v>
      </c>
      <c r="B3370" t="s">
        <v>54</v>
      </c>
      <c r="C3370" t="str">
        <f>"A0186984"</f>
        <v>A0186984</v>
      </c>
      <c r="D3370" t="s">
        <v>14077</v>
      </c>
      <c r="E3370" t="s">
        <v>14078</v>
      </c>
      <c r="F3370" t="s">
        <v>10174</v>
      </c>
      <c r="G3370" t="s">
        <v>85</v>
      </c>
      <c r="H3370">
        <v>72205</v>
      </c>
      <c r="I3370" t="s">
        <v>30</v>
      </c>
      <c r="J3370" t="s">
        <v>41</v>
      </c>
      <c r="K3370" t="s">
        <v>229</v>
      </c>
      <c r="Q3370">
        <v>0</v>
      </c>
      <c r="R3370">
        <v>0</v>
      </c>
      <c r="S3370">
        <v>140</v>
      </c>
      <c r="T3370" t="s">
        <v>14079</v>
      </c>
    </row>
    <row r="3371" spans="1:20" customFormat="1" ht="15" x14ac:dyDescent="0.25">
      <c r="A3371" t="s">
        <v>35</v>
      </c>
      <c r="B3371" t="s">
        <v>54</v>
      </c>
      <c r="C3371" t="str">
        <f>"A0186983"</f>
        <v>A0186983</v>
      </c>
      <c r="D3371" t="s">
        <v>14080</v>
      </c>
      <c r="E3371" t="s">
        <v>14081</v>
      </c>
      <c r="F3371" t="s">
        <v>10174</v>
      </c>
      <c r="G3371" t="s">
        <v>85</v>
      </c>
      <c r="H3371">
        <v>72758</v>
      </c>
      <c r="I3371" t="s">
        <v>30</v>
      </c>
      <c r="J3371" t="s">
        <v>41</v>
      </c>
      <c r="K3371" t="s">
        <v>229</v>
      </c>
      <c r="Q3371">
        <v>0</v>
      </c>
      <c r="R3371">
        <v>0</v>
      </c>
      <c r="S3371">
        <v>154</v>
      </c>
      <c r="T3371" t="s">
        <v>14082</v>
      </c>
    </row>
    <row r="3372" spans="1:20" customFormat="1" ht="15" x14ac:dyDescent="0.25">
      <c r="A3372" t="s">
        <v>35</v>
      </c>
      <c r="B3372" t="s">
        <v>54</v>
      </c>
      <c r="C3372" t="str">
        <f>"A0186982"</f>
        <v>A0186982</v>
      </c>
      <c r="D3372" t="s">
        <v>14083</v>
      </c>
      <c r="E3372" t="s">
        <v>14075</v>
      </c>
      <c r="F3372" t="s">
        <v>10174</v>
      </c>
      <c r="G3372" t="s">
        <v>85</v>
      </c>
      <c r="H3372">
        <v>72206</v>
      </c>
      <c r="I3372" t="s">
        <v>30</v>
      </c>
      <c r="J3372" t="s">
        <v>41</v>
      </c>
      <c r="K3372" t="s">
        <v>229</v>
      </c>
      <c r="Q3372">
        <v>0</v>
      </c>
      <c r="R3372">
        <v>0</v>
      </c>
      <c r="S3372">
        <v>140</v>
      </c>
      <c r="T3372" t="s">
        <v>14084</v>
      </c>
    </row>
    <row r="3373" spans="1:20" customFormat="1" ht="15" x14ac:dyDescent="0.25">
      <c r="A3373" t="s">
        <v>35</v>
      </c>
      <c r="B3373" t="s">
        <v>54</v>
      </c>
      <c r="C3373" t="str">
        <f>"A0186981"</f>
        <v>A0186981</v>
      </c>
      <c r="D3373" t="s">
        <v>14085</v>
      </c>
      <c r="E3373" t="s">
        <v>14086</v>
      </c>
      <c r="F3373" t="s">
        <v>10174</v>
      </c>
      <c r="G3373" t="s">
        <v>85</v>
      </c>
      <c r="H3373">
        <v>72202</v>
      </c>
      <c r="I3373" t="s">
        <v>30</v>
      </c>
      <c r="J3373" t="s">
        <v>41</v>
      </c>
      <c r="K3373" t="s">
        <v>229</v>
      </c>
      <c r="Q3373">
        <v>0</v>
      </c>
      <c r="R3373">
        <v>0</v>
      </c>
      <c r="S3373">
        <v>120</v>
      </c>
      <c r="T3373" t="s">
        <v>14087</v>
      </c>
    </row>
    <row r="3374" spans="1:20" customFormat="1" ht="15" x14ac:dyDescent="0.25">
      <c r="A3374" t="s">
        <v>35</v>
      </c>
      <c r="B3374" t="s">
        <v>54</v>
      </c>
      <c r="C3374" t="str">
        <f>"A0186980"</f>
        <v>A0186980</v>
      </c>
      <c r="D3374" t="s">
        <v>14088</v>
      </c>
      <c r="E3374" t="s">
        <v>14089</v>
      </c>
      <c r="F3374" t="s">
        <v>14068</v>
      </c>
      <c r="G3374" t="s">
        <v>85</v>
      </c>
      <c r="H3374">
        <v>72560</v>
      </c>
      <c r="I3374" t="s">
        <v>30</v>
      </c>
      <c r="J3374" t="s">
        <v>41</v>
      </c>
      <c r="K3374" t="s">
        <v>229</v>
      </c>
      <c r="Q3374">
        <v>0</v>
      </c>
      <c r="R3374">
        <v>0</v>
      </c>
      <c r="S3374">
        <v>97</v>
      </c>
      <c r="T3374" t="s">
        <v>14090</v>
      </c>
    </row>
    <row r="3375" spans="1:20" customFormat="1" ht="15" x14ac:dyDescent="0.25">
      <c r="A3375" t="s">
        <v>35</v>
      </c>
      <c r="B3375" t="s">
        <v>54</v>
      </c>
      <c r="C3375" t="str">
        <f>"A0186979"</f>
        <v>A0186979</v>
      </c>
      <c r="D3375" t="s">
        <v>14091</v>
      </c>
      <c r="E3375" t="s">
        <v>14092</v>
      </c>
      <c r="F3375" t="s">
        <v>14093</v>
      </c>
      <c r="G3375" t="s">
        <v>85</v>
      </c>
      <c r="H3375">
        <v>72901</v>
      </c>
      <c r="I3375" t="s">
        <v>30</v>
      </c>
      <c r="J3375" t="s">
        <v>41</v>
      </c>
      <c r="K3375" t="s">
        <v>229</v>
      </c>
      <c r="Q3375">
        <v>0</v>
      </c>
      <c r="R3375">
        <v>0</v>
      </c>
      <c r="S3375">
        <v>117</v>
      </c>
      <c r="T3375" t="s">
        <v>14094</v>
      </c>
    </row>
    <row r="3376" spans="1:20" customFormat="1" ht="15" x14ac:dyDescent="0.25">
      <c r="A3376" t="s">
        <v>35</v>
      </c>
      <c r="B3376" t="s">
        <v>54</v>
      </c>
      <c r="C3376" t="str">
        <f>"A0186978"</f>
        <v>A0186978</v>
      </c>
      <c r="D3376" t="s">
        <v>14095</v>
      </c>
      <c r="E3376" t="s">
        <v>14096</v>
      </c>
      <c r="F3376" t="s">
        <v>14097</v>
      </c>
      <c r="G3376" t="s">
        <v>85</v>
      </c>
      <c r="H3376">
        <v>72112</v>
      </c>
      <c r="I3376" t="s">
        <v>30</v>
      </c>
      <c r="J3376" t="s">
        <v>41</v>
      </c>
      <c r="K3376" t="s">
        <v>229</v>
      </c>
      <c r="Q3376">
        <v>0</v>
      </c>
      <c r="R3376">
        <v>0</v>
      </c>
      <c r="S3376">
        <v>120</v>
      </c>
      <c r="T3376" t="s">
        <v>14098</v>
      </c>
    </row>
    <row r="3377" spans="1:20" customFormat="1" ht="15" x14ac:dyDescent="0.25">
      <c r="A3377" t="s">
        <v>35</v>
      </c>
      <c r="B3377" t="s">
        <v>61</v>
      </c>
      <c r="C3377" t="str">
        <f>"A0186977"</f>
        <v>A0186977</v>
      </c>
      <c r="D3377" t="s">
        <v>14099</v>
      </c>
      <c r="E3377" t="s">
        <v>14100</v>
      </c>
      <c r="F3377" t="s">
        <v>14101</v>
      </c>
      <c r="G3377" t="s">
        <v>925</v>
      </c>
      <c r="H3377">
        <v>67455</v>
      </c>
      <c r="I3377" t="s">
        <v>30</v>
      </c>
      <c r="J3377" t="s">
        <v>41</v>
      </c>
      <c r="K3377" t="s">
        <v>229</v>
      </c>
      <c r="Q3377">
        <v>0</v>
      </c>
      <c r="R3377">
        <v>0</v>
      </c>
      <c r="S3377">
        <v>0</v>
      </c>
      <c r="T3377" t="s">
        <v>14102</v>
      </c>
    </row>
    <row r="3378" spans="1:20" customFormat="1" ht="15" x14ac:dyDescent="0.25">
      <c r="A3378" t="s">
        <v>35</v>
      </c>
      <c r="B3378" t="s">
        <v>61</v>
      </c>
      <c r="C3378" t="str">
        <f>"A0186976"</f>
        <v>A0186976</v>
      </c>
      <c r="D3378" t="s">
        <v>14103</v>
      </c>
      <c r="E3378" t="s">
        <v>14104</v>
      </c>
      <c r="F3378" t="s">
        <v>14105</v>
      </c>
      <c r="G3378" t="s">
        <v>99</v>
      </c>
      <c r="H3378">
        <v>14103</v>
      </c>
      <c r="I3378" t="s">
        <v>30</v>
      </c>
      <c r="J3378" t="s">
        <v>41</v>
      </c>
      <c r="K3378" t="s">
        <v>229</v>
      </c>
      <c r="Q3378">
        <v>0</v>
      </c>
      <c r="R3378">
        <v>0</v>
      </c>
      <c r="S3378">
        <v>160</v>
      </c>
      <c r="T3378" t="s">
        <v>14106</v>
      </c>
    </row>
    <row r="3379" spans="1:20" customFormat="1" ht="15" x14ac:dyDescent="0.25">
      <c r="A3379" t="s">
        <v>35</v>
      </c>
      <c r="B3379" t="s">
        <v>61</v>
      </c>
      <c r="C3379" t="str">
        <f>"A0186975"</f>
        <v>A0186975</v>
      </c>
      <c r="D3379" t="s">
        <v>14107</v>
      </c>
      <c r="E3379" t="s">
        <v>14108</v>
      </c>
      <c r="F3379" t="s">
        <v>14109</v>
      </c>
      <c r="G3379" t="s">
        <v>99</v>
      </c>
      <c r="H3379">
        <v>8335</v>
      </c>
      <c r="I3379" t="s">
        <v>30</v>
      </c>
      <c r="J3379" t="s">
        <v>41</v>
      </c>
      <c r="K3379" t="s">
        <v>229</v>
      </c>
      <c r="Q3379">
        <v>0</v>
      </c>
      <c r="R3379">
        <v>0</v>
      </c>
      <c r="S3379">
        <v>154</v>
      </c>
      <c r="T3379" t="s">
        <v>14110</v>
      </c>
    </row>
    <row r="3380" spans="1:20" customFormat="1" ht="15" x14ac:dyDescent="0.25">
      <c r="A3380" t="s">
        <v>35</v>
      </c>
      <c r="B3380" t="s">
        <v>61</v>
      </c>
      <c r="C3380" t="str">
        <f>"A0186974"</f>
        <v>A0186974</v>
      </c>
      <c r="D3380" t="s">
        <v>14111</v>
      </c>
      <c r="E3380" t="s">
        <v>14112</v>
      </c>
      <c r="F3380" t="s">
        <v>4316</v>
      </c>
      <c r="G3380" t="s">
        <v>99</v>
      </c>
      <c r="H3380">
        <v>14744</v>
      </c>
      <c r="I3380" t="s">
        <v>30</v>
      </c>
      <c r="J3380" t="s">
        <v>41</v>
      </c>
      <c r="K3380" t="s">
        <v>229</v>
      </c>
      <c r="Q3380">
        <v>0</v>
      </c>
      <c r="R3380">
        <v>0</v>
      </c>
      <c r="S3380">
        <v>100</v>
      </c>
      <c r="T3380" t="s">
        <v>14113</v>
      </c>
    </row>
    <row r="3381" spans="1:20" customFormat="1" ht="15" x14ac:dyDescent="0.25">
      <c r="A3381" t="s">
        <v>35</v>
      </c>
      <c r="B3381" t="s">
        <v>61</v>
      </c>
      <c r="C3381" t="str">
        <f>"A0186973"</f>
        <v>A0186973</v>
      </c>
      <c r="D3381" t="s">
        <v>14114</v>
      </c>
      <c r="E3381" t="s">
        <v>14115</v>
      </c>
      <c r="F3381" t="s">
        <v>14116</v>
      </c>
      <c r="G3381" t="s">
        <v>99</v>
      </c>
      <c r="H3381">
        <v>14551</v>
      </c>
      <c r="I3381" t="s">
        <v>30</v>
      </c>
      <c r="J3381" t="s">
        <v>41</v>
      </c>
      <c r="K3381" t="s">
        <v>229</v>
      </c>
      <c r="Q3381">
        <v>0</v>
      </c>
      <c r="R3381">
        <v>0</v>
      </c>
      <c r="S3381">
        <v>130</v>
      </c>
      <c r="T3381" t="s">
        <v>14117</v>
      </c>
    </row>
    <row r="3382" spans="1:20" customFormat="1" ht="15" x14ac:dyDescent="0.25">
      <c r="A3382" t="s">
        <v>35</v>
      </c>
      <c r="B3382" t="s">
        <v>61</v>
      </c>
      <c r="C3382" t="str">
        <f>"A0186972"</f>
        <v>A0186972</v>
      </c>
      <c r="D3382" t="s">
        <v>14118</v>
      </c>
      <c r="E3382" t="s">
        <v>14119</v>
      </c>
      <c r="F3382" t="s">
        <v>5317</v>
      </c>
      <c r="G3382" t="s">
        <v>99</v>
      </c>
      <c r="H3382">
        <v>13021</v>
      </c>
      <c r="I3382" t="s">
        <v>30</v>
      </c>
      <c r="J3382" t="s">
        <v>41</v>
      </c>
      <c r="K3382" t="s">
        <v>229</v>
      </c>
      <c r="Q3382">
        <v>0</v>
      </c>
      <c r="R3382">
        <v>0</v>
      </c>
      <c r="S3382">
        <v>80</v>
      </c>
      <c r="T3382" t="s">
        <v>72</v>
      </c>
    </row>
    <row r="3383" spans="1:20" customFormat="1" ht="15" x14ac:dyDescent="0.25">
      <c r="A3383" t="s">
        <v>35</v>
      </c>
      <c r="B3383" t="s">
        <v>61</v>
      </c>
      <c r="C3383" t="str">
        <f>"A0186971"</f>
        <v>A0186971</v>
      </c>
      <c r="D3383" t="s">
        <v>14120</v>
      </c>
      <c r="E3383" t="s">
        <v>14121</v>
      </c>
      <c r="F3383" t="s">
        <v>510</v>
      </c>
      <c r="G3383" t="s">
        <v>289</v>
      </c>
      <c r="H3383">
        <v>61920</v>
      </c>
      <c r="I3383" t="s">
        <v>30</v>
      </c>
      <c r="J3383" t="s">
        <v>41</v>
      </c>
      <c r="K3383" t="s">
        <v>391</v>
      </c>
      <c r="Q3383">
        <v>0</v>
      </c>
      <c r="R3383">
        <v>0</v>
      </c>
      <c r="S3383">
        <v>0</v>
      </c>
      <c r="T3383" t="s">
        <v>14122</v>
      </c>
    </row>
    <row r="3384" spans="1:20" customFormat="1" ht="15" x14ac:dyDescent="0.25">
      <c r="A3384" t="s">
        <v>35</v>
      </c>
      <c r="B3384" t="s">
        <v>61</v>
      </c>
      <c r="C3384" t="str">
        <f>"A0186970"</f>
        <v>A0186970</v>
      </c>
      <c r="D3384" t="s">
        <v>14123</v>
      </c>
      <c r="E3384" t="s">
        <v>14124</v>
      </c>
      <c r="F3384" t="s">
        <v>7108</v>
      </c>
      <c r="G3384" t="s">
        <v>99</v>
      </c>
      <c r="H3384">
        <v>14057</v>
      </c>
      <c r="I3384" t="s">
        <v>30</v>
      </c>
      <c r="J3384" t="s">
        <v>41</v>
      </c>
      <c r="K3384" t="s">
        <v>229</v>
      </c>
      <c r="Q3384">
        <v>0</v>
      </c>
      <c r="R3384">
        <v>0</v>
      </c>
      <c r="S3384">
        <v>40</v>
      </c>
      <c r="T3384" t="s">
        <v>72</v>
      </c>
    </row>
    <row r="3385" spans="1:20" customFormat="1" ht="15" x14ac:dyDescent="0.25">
      <c r="A3385" t="s">
        <v>35</v>
      </c>
      <c r="B3385" t="s">
        <v>61</v>
      </c>
      <c r="C3385" t="str">
        <f>"A0186969"</f>
        <v>A0186969</v>
      </c>
      <c r="D3385" t="s">
        <v>14125</v>
      </c>
      <c r="E3385" t="s">
        <v>14126</v>
      </c>
      <c r="F3385" t="s">
        <v>14127</v>
      </c>
      <c r="G3385" t="s">
        <v>99</v>
      </c>
      <c r="H3385">
        <v>14070</v>
      </c>
      <c r="I3385" t="s">
        <v>30</v>
      </c>
      <c r="J3385" t="s">
        <v>41</v>
      </c>
      <c r="K3385" t="s">
        <v>229</v>
      </c>
      <c r="Q3385">
        <v>0</v>
      </c>
      <c r="R3385">
        <v>0</v>
      </c>
      <c r="S3385">
        <v>160</v>
      </c>
      <c r="T3385" t="s">
        <v>14128</v>
      </c>
    </row>
    <row r="3386" spans="1:20" customFormat="1" ht="15" x14ac:dyDescent="0.25">
      <c r="A3386" t="s">
        <v>35</v>
      </c>
      <c r="B3386" t="s">
        <v>61</v>
      </c>
      <c r="C3386" t="str">
        <f>"A0186968"</f>
        <v>A0186968</v>
      </c>
      <c r="D3386" t="s">
        <v>14129</v>
      </c>
      <c r="E3386" t="s">
        <v>14130</v>
      </c>
      <c r="F3386" t="s">
        <v>5292</v>
      </c>
      <c r="G3386" t="s">
        <v>925</v>
      </c>
      <c r="H3386">
        <v>67455</v>
      </c>
      <c r="I3386" t="s">
        <v>30</v>
      </c>
      <c r="J3386" t="s">
        <v>41</v>
      </c>
      <c r="K3386" t="s">
        <v>229</v>
      </c>
      <c r="Q3386">
        <v>0</v>
      </c>
      <c r="R3386">
        <v>0</v>
      </c>
      <c r="S3386">
        <v>0</v>
      </c>
      <c r="T3386" t="s">
        <v>14131</v>
      </c>
    </row>
    <row r="3387" spans="1:20" customFormat="1" ht="15" x14ac:dyDescent="0.25">
      <c r="A3387" t="s">
        <v>35</v>
      </c>
      <c r="B3387" t="s">
        <v>61</v>
      </c>
      <c r="C3387" t="str">
        <f>"A0186967"</f>
        <v>A0186967</v>
      </c>
      <c r="D3387" t="s">
        <v>14132</v>
      </c>
      <c r="E3387" t="s">
        <v>14133</v>
      </c>
      <c r="F3387" t="s">
        <v>14134</v>
      </c>
      <c r="G3387" t="s">
        <v>99</v>
      </c>
      <c r="H3387">
        <v>14779</v>
      </c>
      <c r="I3387" t="s">
        <v>30</v>
      </c>
      <c r="J3387" t="s">
        <v>41</v>
      </c>
      <c r="K3387" t="s">
        <v>229</v>
      </c>
      <c r="Q3387">
        <v>0</v>
      </c>
      <c r="R3387">
        <v>0</v>
      </c>
      <c r="S3387">
        <v>120</v>
      </c>
      <c r="T3387" t="s">
        <v>14135</v>
      </c>
    </row>
    <row r="3388" spans="1:20" customFormat="1" ht="15" x14ac:dyDescent="0.25">
      <c r="A3388" t="s">
        <v>35</v>
      </c>
      <c r="B3388" t="s">
        <v>61</v>
      </c>
      <c r="C3388" t="str">
        <f>"A0186966"</f>
        <v>A0186966</v>
      </c>
      <c r="D3388" t="s">
        <v>14136</v>
      </c>
      <c r="E3388" t="s">
        <v>14137</v>
      </c>
      <c r="F3388" t="s">
        <v>14138</v>
      </c>
      <c r="G3388" t="s">
        <v>925</v>
      </c>
      <c r="H3388">
        <v>67876</v>
      </c>
      <c r="I3388" t="s">
        <v>30</v>
      </c>
      <c r="J3388" t="s">
        <v>41</v>
      </c>
      <c r="K3388" t="s">
        <v>229</v>
      </c>
      <c r="Q3388">
        <v>0</v>
      </c>
      <c r="R3388">
        <v>0</v>
      </c>
      <c r="S3388">
        <v>0</v>
      </c>
      <c r="T3388" t="s">
        <v>14139</v>
      </c>
    </row>
    <row r="3389" spans="1:20" customFormat="1" ht="15" x14ac:dyDescent="0.25">
      <c r="A3389" t="s">
        <v>35</v>
      </c>
      <c r="B3389" t="s">
        <v>61</v>
      </c>
      <c r="C3389" t="str">
        <f>"A0186965"</f>
        <v>A0186965</v>
      </c>
      <c r="D3389" t="s">
        <v>14140</v>
      </c>
      <c r="E3389" t="s">
        <v>14141</v>
      </c>
      <c r="F3389" t="s">
        <v>5240</v>
      </c>
      <c r="G3389" t="s">
        <v>52</v>
      </c>
      <c r="H3389">
        <v>78258</v>
      </c>
      <c r="I3389" t="s">
        <v>30</v>
      </c>
      <c r="J3389" t="s">
        <v>41</v>
      </c>
      <c r="K3389" t="s">
        <v>447</v>
      </c>
      <c r="Q3389">
        <v>0</v>
      </c>
      <c r="R3389">
        <v>0</v>
      </c>
      <c r="S3389">
        <v>0</v>
      </c>
      <c r="T3389" t="s">
        <v>14142</v>
      </c>
    </row>
    <row r="3390" spans="1:20" customFormat="1" ht="15" x14ac:dyDescent="0.25">
      <c r="A3390" t="s">
        <v>35</v>
      </c>
      <c r="B3390" t="s">
        <v>61</v>
      </c>
      <c r="C3390" t="str">
        <f>"A0186964"</f>
        <v>A0186964</v>
      </c>
      <c r="D3390" t="s">
        <v>14143</v>
      </c>
      <c r="E3390" t="s">
        <v>14144</v>
      </c>
      <c r="F3390" t="s">
        <v>14145</v>
      </c>
      <c r="G3390" t="s">
        <v>925</v>
      </c>
      <c r="H3390">
        <v>67455</v>
      </c>
      <c r="I3390" t="s">
        <v>30</v>
      </c>
      <c r="J3390" t="s">
        <v>41</v>
      </c>
      <c r="K3390" t="s">
        <v>229</v>
      </c>
      <c r="Q3390">
        <v>0</v>
      </c>
      <c r="R3390">
        <v>0</v>
      </c>
      <c r="S3390">
        <v>0</v>
      </c>
      <c r="T3390" t="s">
        <v>14102</v>
      </c>
    </row>
    <row r="3391" spans="1:20" customFormat="1" ht="15" x14ac:dyDescent="0.25">
      <c r="A3391" t="s">
        <v>35</v>
      </c>
      <c r="B3391" t="s">
        <v>61</v>
      </c>
      <c r="C3391" t="str">
        <f>"A0186963"</f>
        <v>A0186963</v>
      </c>
      <c r="D3391" t="s">
        <v>14146</v>
      </c>
      <c r="E3391" t="s">
        <v>14147</v>
      </c>
      <c r="F3391" t="s">
        <v>14148</v>
      </c>
      <c r="G3391" t="s">
        <v>161</v>
      </c>
      <c r="H3391">
        <v>56093</v>
      </c>
      <c r="I3391" t="s">
        <v>30</v>
      </c>
      <c r="J3391" t="s">
        <v>41</v>
      </c>
      <c r="K3391" t="s">
        <v>229</v>
      </c>
      <c r="Q3391">
        <v>0</v>
      </c>
      <c r="R3391">
        <v>0</v>
      </c>
      <c r="S3391">
        <v>0</v>
      </c>
      <c r="T3391" t="s">
        <v>72</v>
      </c>
    </row>
    <row r="3392" spans="1:20" customFormat="1" ht="15" x14ac:dyDescent="0.25">
      <c r="A3392" t="s">
        <v>35</v>
      </c>
      <c r="B3392" t="s">
        <v>61</v>
      </c>
      <c r="C3392" t="str">
        <f>"A0186962"</f>
        <v>A0186962</v>
      </c>
      <c r="D3392" t="s">
        <v>14149</v>
      </c>
      <c r="E3392" t="s">
        <v>14150</v>
      </c>
      <c r="F3392" t="s">
        <v>14151</v>
      </c>
      <c r="G3392" t="s">
        <v>99</v>
      </c>
      <c r="H3392">
        <v>14048</v>
      </c>
      <c r="I3392" t="s">
        <v>30</v>
      </c>
      <c r="J3392" t="s">
        <v>41</v>
      </c>
      <c r="K3392" t="s">
        <v>229</v>
      </c>
      <c r="Q3392">
        <v>0</v>
      </c>
      <c r="R3392">
        <v>0</v>
      </c>
      <c r="S3392">
        <v>40</v>
      </c>
      <c r="T3392" t="s">
        <v>72</v>
      </c>
    </row>
    <row r="3393" spans="1:20" customFormat="1" ht="15" x14ac:dyDescent="0.25">
      <c r="A3393" t="s">
        <v>35</v>
      </c>
      <c r="B3393" t="s">
        <v>1918</v>
      </c>
      <c r="C3393" t="str">
        <f>"A0186961"</f>
        <v>A0186961</v>
      </c>
      <c r="D3393" t="s">
        <v>14152</v>
      </c>
      <c r="E3393" t="s">
        <v>14153</v>
      </c>
      <c r="F3393" t="s">
        <v>14154</v>
      </c>
      <c r="G3393" t="s">
        <v>110</v>
      </c>
      <c r="H3393">
        <v>92679</v>
      </c>
      <c r="I3393" t="s">
        <v>30</v>
      </c>
      <c r="J3393" t="s">
        <v>441</v>
      </c>
      <c r="K3393" t="s">
        <v>442</v>
      </c>
      <c r="Q3393">
        <v>0</v>
      </c>
      <c r="R3393">
        <v>0</v>
      </c>
      <c r="S3393">
        <v>0</v>
      </c>
      <c r="T3393" t="s">
        <v>14155</v>
      </c>
    </row>
    <row r="3394" spans="1:20" customFormat="1" ht="15" x14ac:dyDescent="0.25">
      <c r="A3394" t="s">
        <v>35</v>
      </c>
      <c r="B3394" t="s">
        <v>14156</v>
      </c>
      <c r="C3394" t="str">
        <f>"A0186960"</f>
        <v>A0186960</v>
      </c>
      <c r="D3394" t="s">
        <v>14157</v>
      </c>
      <c r="E3394" t="s">
        <v>14158</v>
      </c>
      <c r="F3394" t="s">
        <v>10170</v>
      </c>
      <c r="G3394" t="s">
        <v>153</v>
      </c>
      <c r="H3394">
        <v>84025</v>
      </c>
      <c r="I3394" t="s">
        <v>30</v>
      </c>
      <c r="J3394" t="s">
        <v>41</v>
      </c>
      <c r="K3394" t="s">
        <v>59</v>
      </c>
      <c r="Q3394">
        <v>0</v>
      </c>
      <c r="R3394">
        <v>0</v>
      </c>
      <c r="S3394">
        <v>32</v>
      </c>
      <c r="T3394" t="s">
        <v>14159</v>
      </c>
    </row>
    <row r="3395" spans="1:20" customFormat="1" ht="15" x14ac:dyDescent="0.25">
      <c r="A3395" t="s">
        <v>35</v>
      </c>
      <c r="B3395" t="s">
        <v>5676</v>
      </c>
      <c r="C3395" t="str">
        <f>"A0186959"</f>
        <v>A0186959</v>
      </c>
      <c r="D3395" t="s">
        <v>14160</v>
      </c>
      <c r="E3395" t="s">
        <v>14161</v>
      </c>
      <c r="F3395" t="s">
        <v>14162</v>
      </c>
      <c r="G3395" t="s">
        <v>289</v>
      </c>
      <c r="H3395">
        <v>60154</v>
      </c>
      <c r="I3395" t="s">
        <v>30</v>
      </c>
      <c r="J3395" t="s">
        <v>41</v>
      </c>
      <c r="K3395" t="s">
        <v>229</v>
      </c>
      <c r="Q3395">
        <v>0</v>
      </c>
      <c r="R3395">
        <v>0</v>
      </c>
      <c r="S3395">
        <v>0</v>
      </c>
      <c r="T3395" t="s">
        <v>14163</v>
      </c>
    </row>
    <row r="3396" spans="1:20" hidden="1" x14ac:dyDescent="0.25">
      <c r="A3396" s="3" t="s">
        <v>24</v>
      </c>
      <c r="B3396" s="3" t="s">
        <v>14164</v>
      </c>
      <c r="C3396" s="3" t="str">
        <f>"A0095305"</f>
        <v>A0095305</v>
      </c>
      <c r="D3396" s="3" t="s">
        <v>14165</v>
      </c>
      <c r="E3396" s="3" t="s">
        <v>14166</v>
      </c>
      <c r="F3396" s="3" t="s">
        <v>2269</v>
      </c>
      <c r="G3396" s="3" t="s">
        <v>2270</v>
      </c>
      <c r="H3396" s="3" t="s">
        <v>14167</v>
      </c>
      <c r="I3396" s="3" t="s">
        <v>1459</v>
      </c>
      <c r="J3396" s="3" t="s">
        <v>206</v>
      </c>
      <c r="K3396" s="3" t="s">
        <v>163</v>
      </c>
      <c r="N3396" s="3" t="s">
        <v>14168</v>
      </c>
      <c r="Q3396" s="3">
        <v>0</v>
      </c>
      <c r="R3396" s="3">
        <v>147</v>
      </c>
      <c r="S3396" s="3">
        <v>0</v>
      </c>
      <c r="T3396" s="3" t="s">
        <v>14169</v>
      </c>
    </row>
    <row r="3397" spans="1:20" customFormat="1" ht="15" hidden="1" x14ac:dyDescent="0.25">
      <c r="A3397" t="s">
        <v>24</v>
      </c>
      <c r="B3397" t="s">
        <v>14170</v>
      </c>
      <c r="C3397" t="str">
        <f>"A0186384"</f>
        <v>A0186384</v>
      </c>
      <c r="D3397" t="s">
        <v>14171</v>
      </c>
      <c r="E3397" t="s">
        <v>14172</v>
      </c>
      <c r="F3397" t="s">
        <v>14173</v>
      </c>
      <c r="G3397" t="s">
        <v>5424</v>
      </c>
      <c r="H3397">
        <v>77760</v>
      </c>
      <c r="I3397" t="s">
        <v>2408</v>
      </c>
      <c r="J3397" t="s">
        <v>31</v>
      </c>
      <c r="K3397" t="s">
        <v>277</v>
      </c>
      <c r="N3397" t="s">
        <v>14174</v>
      </c>
      <c r="O3397" t="s">
        <v>14175</v>
      </c>
      <c r="Q3397">
        <v>0</v>
      </c>
      <c r="R3397">
        <v>140</v>
      </c>
      <c r="S3397">
        <v>0</v>
      </c>
      <c r="T3397" t="s">
        <v>14176</v>
      </c>
    </row>
    <row r="3398" spans="1:20" customFormat="1" ht="15" hidden="1" x14ac:dyDescent="0.25">
      <c r="A3398" t="s">
        <v>24</v>
      </c>
      <c r="B3398" t="s">
        <v>14177</v>
      </c>
      <c r="C3398" t="str">
        <f>"A0155774"</f>
        <v>A0155774</v>
      </c>
      <c r="D3398" t="s">
        <v>14178</v>
      </c>
      <c r="E3398" t="s">
        <v>14179</v>
      </c>
      <c r="F3398" t="s">
        <v>4514</v>
      </c>
      <c r="G3398" t="s">
        <v>4515</v>
      </c>
      <c r="H3398">
        <v>20296</v>
      </c>
      <c r="I3398" t="s">
        <v>2408</v>
      </c>
      <c r="J3398" t="s">
        <v>171</v>
      </c>
      <c r="K3398" t="s">
        <v>1202</v>
      </c>
      <c r="N3398" t="s">
        <v>14180</v>
      </c>
      <c r="O3398" t="s">
        <v>14181</v>
      </c>
      <c r="Q3398">
        <v>0</v>
      </c>
      <c r="R3398">
        <v>144</v>
      </c>
      <c r="S3398">
        <v>0</v>
      </c>
      <c r="T3398" t="s">
        <v>14182</v>
      </c>
    </row>
    <row r="3399" spans="1:20" hidden="1" x14ac:dyDescent="0.25">
      <c r="A3399" s="3" t="s">
        <v>24</v>
      </c>
      <c r="B3399" s="3" t="s">
        <v>675</v>
      </c>
      <c r="C3399" s="3" t="str">
        <f>"A0098073"</f>
        <v>A0098073</v>
      </c>
      <c r="D3399" s="3" t="s">
        <v>14183</v>
      </c>
      <c r="E3399" s="3" t="s">
        <v>14184</v>
      </c>
      <c r="F3399" s="3" t="s">
        <v>14185</v>
      </c>
      <c r="G3399" s="3" t="s">
        <v>14186</v>
      </c>
      <c r="I3399" s="3" t="s">
        <v>14187</v>
      </c>
      <c r="J3399" s="3" t="s">
        <v>206</v>
      </c>
      <c r="K3399" s="3" t="s">
        <v>5338</v>
      </c>
      <c r="N3399" s="3" t="s">
        <v>14188</v>
      </c>
      <c r="Q3399" s="3">
        <v>0</v>
      </c>
      <c r="R3399" s="3">
        <v>120</v>
      </c>
      <c r="S3399" s="3">
        <v>0</v>
      </c>
      <c r="T3399" s="3" t="s">
        <v>14189</v>
      </c>
    </row>
    <row r="3400" spans="1:20" customFormat="1" ht="15" x14ac:dyDescent="0.25">
      <c r="A3400" t="s">
        <v>35</v>
      </c>
      <c r="B3400" t="s">
        <v>6747</v>
      </c>
      <c r="C3400" t="str">
        <f>"A0130027"</f>
        <v>A0130027</v>
      </c>
      <c r="D3400" t="s">
        <v>14190</v>
      </c>
      <c r="E3400" t="s">
        <v>14191</v>
      </c>
      <c r="F3400" t="s">
        <v>2663</v>
      </c>
      <c r="G3400" t="s">
        <v>880</v>
      </c>
      <c r="H3400">
        <v>37343</v>
      </c>
      <c r="I3400" t="s">
        <v>30</v>
      </c>
      <c r="J3400" t="s">
        <v>41</v>
      </c>
      <c r="K3400" t="s">
        <v>229</v>
      </c>
      <c r="Q3400">
        <v>0</v>
      </c>
      <c r="R3400">
        <v>72</v>
      </c>
      <c r="S3400">
        <v>72</v>
      </c>
      <c r="T3400" t="s">
        <v>14192</v>
      </c>
    </row>
    <row r="3401" spans="1:20" customFormat="1" ht="15" x14ac:dyDescent="0.25">
      <c r="A3401" t="s">
        <v>24</v>
      </c>
      <c r="B3401" t="s">
        <v>57556</v>
      </c>
      <c r="C3401" t="str">
        <f>"SF01069"</f>
        <v>SF01069</v>
      </c>
      <c r="D3401" t="s">
        <v>63011</v>
      </c>
      <c r="E3401" t="s">
        <v>63012</v>
      </c>
      <c r="F3401" t="s">
        <v>9415</v>
      </c>
      <c r="G3401" t="s">
        <v>71</v>
      </c>
      <c r="H3401">
        <v>54914</v>
      </c>
      <c r="I3401" t="s">
        <v>30</v>
      </c>
      <c r="J3401" t="s">
        <v>162</v>
      </c>
      <c r="K3401" t="s">
        <v>759</v>
      </c>
      <c r="N3401" t="s">
        <v>63013</v>
      </c>
      <c r="Q3401">
        <v>0</v>
      </c>
      <c r="R3401">
        <v>226</v>
      </c>
      <c r="S3401">
        <v>0</v>
      </c>
      <c r="T3401" t="s">
        <v>63014</v>
      </c>
    </row>
    <row r="3402" spans="1:20" customFormat="1" ht="15" x14ac:dyDescent="0.25">
      <c r="A3402" t="s">
        <v>24</v>
      </c>
      <c r="B3402" t="s">
        <v>2380</v>
      </c>
      <c r="C3402" t="str">
        <f>"A0088735"</f>
        <v>A0088735</v>
      </c>
      <c r="D3402" t="s">
        <v>63015</v>
      </c>
      <c r="E3402" t="s">
        <v>63016</v>
      </c>
      <c r="F3402" t="s">
        <v>372</v>
      </c>
      <c r="G3402" t="s">
        <v>52</v>
      </c>
      <c r="H3402">
        <v>78701</v>
      </c>
      <c r="I3402" t="s">
        <v>30</v>
      </c>
      <c r="J3402" t="s">
        <v>162</v>
      </c>
      <c r="K3402" t="s">
        <v>759</v>
      </c>
      <c r="N3402" t="s">
        <v>63017</v>
      </c>
      <c r="Q3402">
        <v>0</v>
      </c>
      <c r="R3402">
        <v>189</v>
      </c>
      <c r="S3402">
        <v>0</v>
      </c>
      <c r="T3402" t="s">
        <v>63018</v>
      </c>
    </row>
    <row r="3403" spans="1:20" customFormat="1" ht="15" x14ac:dyDescent="0.25">
      <c r="A3403" t="s">
        <v>24</v>
      </c>
      <c r="B3403" t="s">
        <v>3628</v>
      </c>
      <c r="C3403" t="str">
        <f>"A0088061"</f>
        <v>A0088061</v>
      </c>
      <c r="D3403" t="s">
        <v>14202</v>
      </c>
      <c r="E3403" t="s">
        <v>14203</v>
      </c>
      <c r="F3403" t="s">
        <v>14204</v>
      </c>
      <c r="G3403" t="s">
        <v>110</v>
      </c>
      <c r="H3403">
        <v>92277</v>
      </c>
      <c r="I3403" t="s">
        <v>30</v>
      </c>
      <c r="J3403" t="s">
        <v>31</v>
      </c>
      <c r="K3403" t="s">
        <v>32</v>
      </c>
      <c r="N3403" t="s">
        <v>14205</v>
      </c>
      <c r="Q3403">
        <v>0</v>
      </c>
      <c r="R3403">
        <v>80</v>
      </c>
      <c r="S3403">
        <v>0</v>
      </c>
      <c r="T3403" t="s">
        <v>14206</v>
      </c>
    </row>
    <row r="3404" spans="1:20" customFormat="1" ht="15" x14ac:dyDescent="0.25">
      <c r="A3404" t="s">
        <v>24</v>
      </c>
      <c r="B3404" t="s">
        <v>3628</v>
      </c>
      <c r="C3404" t="str">
        <f>"A0085983"</f>
        <v>A0085983</v>
      </c>
      <c r="D3404" t="s">
        <v>14207</v>
      </c>
      <c r="E3404" t="s">
        <v>14208</v>
      </c>
      <c r="F3404" t="s">
        <v>356</v>
      </c>
      <c r="G3404" t="s">
        <v>52</v>
      </c>
      <c r="H3404">
        <v>78251</v>
      </c>
      <c r="I3404" t="s">
        <v>30</v>
      </c>
      <c r="J3404" t="s">
        <v>31</v>
      </c>
      <c r="K3404" t="s">
        <v>32</v>
      </c>
      <c r="N3404" t="s">
        <v>14209</v>
      </c>
      <c r="Q3404">
        <v>0</v>
      </c>
      <c r="R3404">
        <v>98</v>
      </c>
      <c r="S3404">
        <v>0</v>
      </c>
      <c r="T3404" t="s">
        <v>14210</v>
      </c>
    </row>
    <row r="3405" spans="1:20" customFormat="1" ht="15" x14ac:dyDescent="0.25">
      <c r="A3405" t="s">
        <v>24</v>
      </c>
      <c r="B3405" t="s">
        <v>3628</v>
      </c>
      <c r="C3405" t="str">
        <f>"A0089601"</f>
        <v>A0089601</v>
      </c>
      <c r="D3405" t="s">
        <v>14211</v>
      </c>
      <c r="E3405" t="s">
        <v>14212</v>
      </c>
      <c r="F3405" t="s">
        <v>3154</v>
      </c>
      <c r="G3405" t="s">
        <v>1170</v>
      </c>
      <c r="H3405">
        <v>70508</v>
      </c>
      <c r="I3405" t="s">
        <v>30</v>
      </c>
      <c r="J3405" t="s">
        <v>31</v>
      </c>
      <c r="K3405" t="s">
        <v>32</v>
      </c>
      <c r="N3405" t="s">
        <v>14213</v>
      </c>
      <c r="Q3405">
        <v>0</v>
      </c>
      <c r="R3405">
        <v>81</v>
      </c>
      <c r="S3405">
        <v>0</v>
      </c>
      <c r="T3405" t="s">
        <v>14214</v>
      </c>
    </row>
    <row r="3406" spans="1:20" customFormat="1" ht="15" x14ac:dyDescent="0.25">
      <c r="A3406" t="s">
        <v>24</v>
      </c>
      <c r="B3406" t="s">
        <v>3628</v>
      </c>
      <c r="C3406" t="str">
        <f>"A0088086"</f>
        <v>A0088086</v>
      </c>
      <c r="D3406" t="s">
        <v>14215</v>
      </c>
      <c r="E3406" t="s">
        <v>14216</v>
      </c>
      <c r="F3406" t="s">
        <v>2856</v>
      </c>
      <c r="G3406" t="s">
        <v>52</v>
      </c>
      <c r="H3406">
        <v>79912</v>
      </c>
      <c r="I3406" t="s">
        <v>30</v>
      </c>
      <c r="J3406" t="s">
        <v>31</v>
      </c>
      <c r="K3406" t="s">
        <v>32</v>
      </c>
      <c r="N3406" t="s">
        <v>14195</v>
      </c>
      <c r="Q3406">
        <v>0</v>
      </c>
      <c r="R3406">
        <v>95</v>
      </c>
      <c r="S3406">
        <v>0</v>
      </c>
      <c r="T3406" t="s">
        <v>14217</v>
      </c>
    </row>
    <row r="3407" spans="1:20" customFormat="1" ht="15" x14ac:dyDescent="0.25">
      <c r="A3407" t="s">
        <v>24</v>
      </c>
      <c r="B3407" t="s">
        <v>3628</v>
      </c>
      <c r="C3407" t="str">
        <f>"A0088712"</f>
        <v>A0088712</v>
      </c>
      <c r="D3407" t="s">
        <v>14218</v>
      </c>
      <c r="E3407" t="s">
        <v>14219</v>
      </c>
      <c r="F3407" t="s">
        <v>7376</v>
      </c>
      <c r="G3407" t="s">
        <v>52</v>
      </c>
      <c r="H3407">
        <v>76063</v>
      </c>
      <c r="I3407" t="s">
        <v>30</v>
      </c>
      <c r="J3407" t="s">
        <v>31</v>
      </c>
      <c r="K3407" t="s">
        <v>32</v>
      </c>
      <c r="N3407" t="s">
        <v>14220</v>
      </c>
      <c r="Q3407">
        <v>0</v>
      </c>
      <c r="R3407">
        <v>82</v>
      </c>
      <c r="S3407">
        <v>0</v>
      </c>
      <c r="T3407" t="s">
        <v>14221</v>
      </c>
    </row>
    <row r="3408" spans="1:20" customFormat="1" ht="15" x14ac:dyDescent="0.25">
      <c r="A3408" t="s">
        <v>24</v>
      </c>
      <c r="B3408" t="s">
        <v>1548</v>
      </c>
      <c r="C3408" t="str">
        <f>"88RD005"</f>
        <v>88RD005</v>
      </c>
      <c r="D3408" t="s">
        <v>63019</v>
      </c>
      <c r="E3408" t="s">
        <v>63020</v>
      </c>
      <c r="F3408" t="s">
        <v>16124</v>
      </c>
      <c r="G3408" t="s">
        <v>110</v>
      </c>
      <c r="H3408">
        <v>94710</v>
      </c>
      <c r="I3408" t="s">
        <v>30</v>
      </c>
      <c r="J3408" t="s">
        <v>162</v>
      </c>
      <c r="K3408" t="s">
        <v>759</v>
      </c>
      <c r="N3408" t="s">
        <v>63021</v>
      </c>
      <c r="Q3408">
        <v>0</v>
      </c>
      <c r="R3408">
        <v>378</v>
      </c>
      <c r="S3408">
        <v>0</v>
      </c>
      <c r="T3408" t="s">
        <v>63022</v>
      </c>
    </row>
    <row r="3409" spans="1:25" customFormat="1" ht="15" x14ac:dyDescent="0.25">
      <c r="A3409" t="s">
        <v>24</v>
      </c>
      <c r="B3409" t="s">
        <v>257</v>
      </c>
      <c r="C3409" t="str">
        <f>"A0093476"</f>
        <v>A0093476</v>
      </c>
      <c r="D3409" t="s">
        <v>63023</v>
      </c>
      <c r="E3409" t="s">
        <v>63024</v>
      </c>
      <c r="F3409" t="s">
        <v>63025</v>
      </c>
      <c r="G3409" t="s">
        <v>1369</v>
      </c>
      <c r="H3409">
        <v>39530</v>
      </c>
      <c r="I3409" t="s">
        <v>30</v>
      </c>
      <c r="J3409" t="s">
        <v>162</v>
      </c>
      <c r="K3409" t="s">
        <v>759</v>
      </c>
      <c r="N3409" t="s">
        <v>63026</v>
      </c>
      <c r="Q3409">
        <v>0</v>
      </c>
      <c r="R3409">
        <v>195</v>
      </c>
      <c r="S3409">
        <v>0</v>
      </c>
      <c r="T3409" t="s">
        <v>63027</v>
      </c>
    </row>
    <row r="3410" spans="1:25" customFormat="1" ht="15" x14ac:dyDescent="0.25">
      <c r="A3410" t="s">
        <v>24</v>
      </c>
      <c r="B3410" t="s">
        <v>3628</v>
      </c>
      <c r="C3410" t="str">
        <f>"A0093667"</f>
        <v>A0093667</v>
      </c>
      <c r="D3410" t="s">
        <v>14231</v>
      </c>
      <c r="E3410" t="s">
        <v>14232</v>
      </c>
      <c r="F3410" t="s">
        <v>14233</v>
      </c>
      <c r="G3410" t="s">
        <v>52</v>
      </c>
      <c r="H3410">
        <v>78014</v>
      </c>
      <c r="I3410" t="s">
        <v>30</v>
      </c>
      <c r="J3410" t="s">
        <v>31</v>
      </c>
      <c r="K3410" t="s">
        <v>282</v>
      </c>
      <c r="N3410" t="s">
        <v>14234</v>
      </c>
      <c r="Q3410">
        <v>0</v>
      </c>
      <c r="R3410">
        <v>79</v>
      </c>
      <c r="S3410">
        <v>0</v>
      </c>
      <c r="T3410" t="s">
        <v>14235</v>
      </c>
    </row>
    <row r="3411" spans="1:25" customFormat="1" ht="15" x14ac:dyDescent="0.25">
      <c r="A3411" t="s">
        <v>24</v>
      </c>
      <c r="B3411" t="s">
        <v>3628</v>
      </c>
      <c r="C3411" t="str">
        <f>"A0089605"</f>
        <v>A0089605</v>
      </c>
      <c r="D3411" t="s">
        <v>14236</v>
      </c>
      <c r="E3411" t="s">
        <v>14237</v>
      </c>
      <c r="F3411" t="s">
        <v>14238</v>
      </c>
      <c r="G3411" t="s">
        <v>52</v>
      </c>
      <c r="H3411">
        <v>76063</v>
      </c>
      <c r="I3411" t="s">
        <v>30</v>
      </c>
      <c r="J3411" t="s">
        <v>31</v>
      </c>
      <c r="K3411" t="s">
        <v>198</v>
      </c>
      <c r="N3411" t="s">
        <v>14239</v>
      </c>
      <c r="Q3411">
        <v>0</v>
      </c>
      <c r="R3411">
        <v>88</v>
      </c>
      <c r="S3411">
        <v>0</v>
      </c>
      <c r="T3411" t="s">
        <v>14240</v>
      </c>
    </row>
    <row r="3412" spans="1:25" customFormat="1" ht="15" x14ac:dyDescent="0.25">
      <c r="A3412" t="s">
        <v>24</v>
      </c>
      <c r="B3412" t="s">
        <v>3628</v>
      </c>
      <c r="C3412" t="str">
        <f>"A0089604"</f>
        <v>A0089604</v>
      </c>
      <c r="D3412" t="s">
        <v>14241</v>
      </c>
      <c r="E3412" t="s">
        <v>14242</v>
      </c>
      <c r="F3412" t="s">
        <v>14243</v>
      </c>
      <c r="G3412" t="s">
        <v>110</v>
      </c>
      <c r="H3412">
        <v>93551</v>
      </c>
      <c r="I3412" t="s">
        <v>30</v>
      </c>
      <c r="J3412" t="s">
        <v>31</v>
      </c>
      <c r="K3412" t="s">
        <v>198</v>
      </c>
      <c r="N3412" t="s">
        <v>14244</v>
      </c>
      <c r="Q3412">
        <v>0</v>
      </c>
      <c r="R3412">
        <v>85</v>
      </c>
      <c r="S3412">
        <v>0</v>
      </c>
      <c r="T3412" t="s">
        <v>14245</v>
      </c>
    </row>
    <row r="3413" spans="1:25" customFormat="1" ht="15" x14ac:dyDescent="0.25">
      <c r="A3413" t="s">
        <v>24</v>
      </c>
      <c r="B3413" t="s">
        <v>257</v>
      </c>
      <c r="C3413" t="str">
        <f>"A0058719"</f>
        <v>A0058719</v>
      </c>
      <c r="D3413" t="s">
        <v>63028</v>
      </c>
      <c r="E3413" t="s">
        <v>63029</v>
      </c>
      <c r="F3413" t="s">
        <v>5706</v>
      </c>
      <c r="G3413" t="s">
        <v>1706</v>
      </c>
      <c r="H3413">
        <v>35243</v>
      </c>
      <c r="I3413" t="s">
        <v>30</v>
      </c>
      <c r="J3413" t="s">
        <v>162</v>
      </c>
      <c r="K3413" t="s">
        <v>759</v>
      </c>
      <c r="N3413" t="s">
        <v>6854</v>
      </c>
      <c r="Q3413">
        <v>0</v>
      </c>
      <c r="R3413">
        <v>205</v>
      </c>
      <c r="S3413">
        <v>0</v>
      </c>
      <c r="T3413" t="s">
        <v>63030</v>
      </c>
    </row>
    <row r="3414" spans="1:25" customFormat="1" ht="15" x14ac:dyDescent="0.25">
      <c r="A3414" t="s">
        <v>24</v>
      </c>
      <c r="B3414" t="s">
        <v>3221</v>
      </c>
      <c r="C3414" t="str">
        <f>"34201"</f>
        <v>34201</v>
      </c>
      <c r="D3414" t="s">
        <v>63031</v>
      </c>
      <c r="E3414" t="s">
        <v>63032</v>
      </c>
      <c r="F3414" t="s">
        <v>16802</v>
      </c>
      <c r="G3414" t="s">
        <v>899</v>
      </c>
      <c r="H3414">
        <v>1810</v>
      </c>
      <c r="I3414" t="s">
        <v>30</v>
      </c>
      <c r="J3414" t="s">
        <v>162</v>
      </c>
      <c r="K3414" t="s">
        <v>759</v>
      </c>
      <c r="N3414" t="s">
        <v>63033</v>
      </c>
      <c r="O3414" t="s">
        <v>63034</v>
      </c>
      <c r="Q3414">
        <v>0</v>
      </c>
      <c r="R3414">
        <v>293</v>
      </c>
      <c r="S3414">
        <v>0</v>
      </c>
      <c r="T3414" t="s">
        <v>63035</v>
      </c>
    </row>
    <row r="3415" spans="1:25" customFormat="1" ht="15" x14ac:dyDescent="0.25">
      <c r="A3415" t="s">
        <v>24</v>
      </c>
      <c r="B3415" t="s">
        <v>1849</v>
      </c>
      <c r="C3415" t="str">
        <f>"A0059993"</f>
        <v>A0059993</v>
      </c>
      <c r="D3415" t="s">
        <v>63036</v>
      </c>
      <c r="E3415" t="s">
        <v>63037</v>
      </c>
      <c r="F3415" t="s">
        <v>57969</v>
      </c>
      <c r="G3415" t="s">
        <v>899</v>
      </c>
      <c r="H3415">
        <v>2150</v>
      </c>
      <c r="I3415" t="s">
        <v>30</v>
      </c>
      <c r="J3415" t="s">
        <v>162</v>
      </c>
      <c r="K3415" t="s">
        <v>759</v>
      </c>
      <c r="N3415" t="s">
        <v>63038</v>
      </c>
      <c r="O3415" t="s">
        <v>63039</v>
      </c>
      <c r="Q3415">
        <v>0</v>
      </c>
      <c r="R3415">
        <v>180</v>
      </c>
      <c r="S3415">
        <v>0</v>
      </c>
      <c r="T3415" t="s">
        <v>63040</v>
      </c>
    </row>
    <row r="3416" spans="1:25" customFormat="1" ht="15" x14ac:dyDescent="0.25">
      <c r="A3416" t="s">
        <v>24</v>
      </c>
      <c r="B3416" t="s">
        <v>61008</v>
      </c>
      <c r="C3416" t="str">
        <f>"34107"</f>
        <v>34107</v>
      </c>
      <c r="D3416" t="s">
        <v>63041</v>
      </c>
      <c r="E3416" t="s">
        <v>63042</v>
      </c>
      <c r="F3416" t="s">
        <v>59785</v>
      </c>
      <c r="G3416" t="s">
        <v>899</v>
      </c>
      <c r="H3416">
        <v>1581</v>
      </c>
      <c r="I3416" t="s">
        <v>30</v>
      </c>
      <c r="J3416" t="s">
        <v>162</v>
      </c>
      <c r="K3416" t="s">
        <v>759</v>
      </c>
      <c r="N3416" t="s">
        <v>63043</v>
      </c>
      <c r="O3416" t="s">
        <v>63044</v>
      </c>
      <c r="Q3416">
        <v>0</v>
      </c>
      <c r="R3416">
        <v>225</v>
      </c>
      <c r="S3416">
        <v>0</v>
      </c>
      <c r="T3416" t="s">
        <v>63045</v>
      </c>
    </row>
    <row r="3417" spans="1:25" customFormat="1" ht="15" x14ac:dyDescent="0.25">
      <c r="A3417" t="s">
        <v>24</v>
      </c>
      <c r="B3417" t="s">
        <v>5537</v>
      </c>
      <c r="C3417" t="str">
        <f>"A0090510"</f>
        <v>A0090510</v>
      </c>
      <c r="D3417" t="s">
        <v>63046</v>
      </c>
      <c r="E3417" t="s">
        <v>63047</v>
      </c>
      <c r="F3417" t="s">
        <v>2390</v>
      </c>
      <c r="G3417" t="s">
        <v>2391</v>
      </c>
      <c r="H3417">
        <v>5403</v>
      </c>
      <c r="I3417" t="s">
        <v>30</v>
      </c>
      <c r="J3417" t="s">
        <v>162</v>
      </c>
      <c r="K3417" t="s">
        <v>759</v>
      </c>
      <c r="N3417" t="s">
        <v>63048</v>
      </c>
      <c r="Q3417">
        <v>0</v>
      </c>
      <c r="R3417">
        <v>309</v>
      </c>
      <c r="S3417">
        <v>0</v>
      </c>
      <c r="T3417" t="s">
        <v>63049</v>
      </c>
    </row>
    <row r="3418" spans="1:25" customFormat="1" ht="15" x14ac:dyDescent="0.25">
      <c r="A3418" t="s">
        <v>24</v>
      </c>
      <c r="B3418" t="s">
        <v>1020</v>
      </c>
      <c r="C3418" t="str">
        <f>"A0083375"</f>
        <v>A0083375</v>
      </c>
      <c r="D3418" t="s">
        <v>63050</v>
      </c>
      <c r="E3418" t="s">
        <v>63051</v>
      </c>
      <c r="F3418" t="s">
        <v>10276</v>
      </c>
      <c r="G3418" t="s">
        <v>846</v>
      </c>
      <c r="H3418">
        <v>30344</v>
      </c>
      <c r="I3418" t="s">
        <v>30</v>
      </c>
      <c r="J3418" t="s">
        <v>162</v>
      </c>
      <c r="K3418" t="s">
        <v>759</v>
      </c>
      <c r="N3418" t="s">
        <v>63052</v>
      </c>
      <c r="Q3418">
        <v>0</v>
      </c>
      <c r="R3418">
        <v>220</v>
      </c>
      <c r="S3418">
        <v>0</v>
      </c>
      <c r="T3418" t="s">
        <v>63053</v>
      </c>
    </row>
    <row r="3419" spans="1:25" customFormat="1" ht="15" x14ac:dyDescent="0.25">
      <c r="A3419" t="s">
        <v>24</v>
      </c>
      <c r="B3419" t="s">
        <v>14267</v>
      </c>
      <c r="C3419" t="str">
        <f>"A0100137"</f>
        <v>A0100137</v>
      </c>
      <c r="D3419" t="s">
        <v>14272</v>
      </c>
      <c r="E3419" t="s">
        <v>14273</v>
      </c>
      <c r="F3419" t="s">
        <v>14270</v>
      </c>
      <c r="G3419" t="s">
        <v>99</v>
      </c>
      <c r="H3419">
        <v>13827</v>
      </c>
      <c r="I3419" t="s">
        <v>30</v>
      </c>
      <c r="J3419" t="s">
        <v>31</v>
      </c>
      <c r="K3419" t="s">
        <v>282</v>
      </c>
      <c r="N3419" t="s">
        <v>2599</v>
      </c>
      <c r="Q3419">
        <v>0</v>
      </c>
      <c r="R3419">
        <v>74</v>
      </c>
      <c r="S3419">
        <v>0</v>
      </c>
      <c r="T3419" t="s">
        <v>14274</v>
      </c>
    </row>
    <row r="3420" spans="1:25" x14ac:dyDescent="0.25">
      <c r="A3420" s="5" t="s">
        <v>24</v>
      </c>
      <c r="B3420" s="5" t="s">
        <v>2910</v>
      </c>
      <c r="C3420" s="5" t="str">
        <f>"A0089277"</f>
        <v>A0089277</v>
      </c>
      <c r="D3420" s="5" t="s">
        <v>63054</v>
      </c>
      <c r="E3420" s="5" t="s">
        <v>63055</v>
      </c>
      <c r="F3420" s="5" t="s">
        <v>58859</v>
      </c>
      <c r="G3420" s="5" t="s">
        <v>103</v>
      </c>
      <c r="H3420" s="5">
        <v>16046</v>
      </c>
      <c r="I3420" s="5" t="s">
        <v>30</v>
      </c>
      <c r="J3420" s="5" t="s">
        <v>162</v>
      </c>
      <c r="K3420" s="5" t="s">
        <v>759</v>
      </c>
      <c r="L3420" s="5"/>
      <c r="M3420" s="5"/>
      <c r="N3420" s="5" t="s">
        <v>63056</v>
      </c>
      <c r="O3420" s="5"/>
      <c r="P3420" s="5"/>
      <c r="Q3420" s="5">
        <v>0</v>
      </c>
      <c r="R3420" s="5">
        <v>189</v>
      </c>
      <c r="S3420" s="5">
        <v>0</v>
      </c>
      <c r="T3420" s="5" t="s">
        <v>63057</v>
      </c>
      <c r="U3420" s="5"/>
      <c r="V3420" s="5"/>
      <c r="W3420" s="5"/>
      <c r="X3420" s="5"/>
      <c r="Y3420" s="5"/>
    </row>
    <row r="3421" spans="1:25" customFormat="1" ht="15" x14ac:dyDescent="0.25">
      <c r="A3421" t="s">
        <v>24</v>
      </c>
      <c r="B3421" t="s">
        <v>2910</v>
      </c>
      <c r="C3421" t="str">
        <f>"A0078562"</f>
        <v>A0078562</v>
      </c>
      <c r="D3421" t="s">
        <v>63058</v>
      </c>
      <c r="E3421" t="s">
        <v>63059</v>
      </c>
      <c r="F3421" t="s">
        <v>271</v>
      </c>
      <c r="G3421" t="s">
        <v>103</v>
      </c>
      <c r="H3421">
        <v>15219</v>
      </c>
      <c r="I3421" t="s">
        <v>30</v>
      </c>
      <c r="J3421" t="s">
        <v>162</v>
      </c>
      <c r="K3421" t="s">
        <v>759</v>
      </c>
      <c r="N3421" t="s">
        <v>63060</v>
      </c>
      <c r="O3421" t="s">
        <v>63061</v>
      </c>
      <c r="Q3421">
        <v>0</v>
      </c>
      <c r="R3421">
        <v>333</v>
      </c>
      <c r="S3421">
        <v>0</v>
      </c>
      <c r="T3421" t="s">
        <v>63062</v>
      </c>
    </row>
    <row r="3422" spans="1:25" customFormat="1" ht="15" x14ac:dyDescent="0.25">
      <c r="A3422" t="s">
        <v>24</v>
      </c>
      <c r="B3422" t="s">
        <v>14283</v>
      </c>
      <c r="C3422" t="str">
        <f>"A0100145"</f>
        <v>A0100145</v>
      </c>
      <c r="D3422" t="s">
        <v>14284</v>
      </c>
      <c r="E3422" t="s">
        <v>14285</v>
      </c>
      <c r="F3422" t="s">
        <v>14270</v>
      </c>
      <c r="G3422" t="s">
        <v>99</v>
      </c>
      <c r="H3422">
        <v>13827</v>
      </c>
      <c r="I3422" t="s">
        <v>30</v>
      </c>
      <c r="J3422" t="s">
        <v>31</v>
      </c>
      <c r="K3422" t="s">
        <v>198</v>
      </c>
      <c r="N3422" t="s">
        <v>14286</v>
      </c>
      <c r="O3422" t="s">
        <v>2599</v>
      </c>
      <c r="Q3422">
        <v>0</v>
      </c>
      <c r="R3422">
        <v>66</v>
      </c>
      <c r="S3422">
        <v>0</v>
      </c>
      <c r="T3422" t="s">
        <v>14287</v>
      </c>
    </row>
    <row r="3423" spans="1:25" customFormat="1" ht="15" x14ac:dyDescent="0.25">
      <c r="A3423" t="s">
        <v>35</v>
      </c>
      <c r="B3423" t="s">
        <v>6747</v>
      </c>
      <c r="C3423" t="str">
        <f>"A0126360"</f>
        <v>A0126360</v>
      </c>
      <c r="D3423" t="s">
        <v>14288</v>
      </c>
      <c r="E3423" t="s">
        <v>14289</v>
      </c>
      <c r="F3423" t="s">
        <v>5693</v>
      </c>
      <c r="G3423" t="s">
        <v>81</v>
      </c>
      <c r="H3423">
        <v>32114</v>
      </c>
      <c r="I3423" t="s">
        <v>30</v>
      </c>
      <c r="J3423" t="s">
        <v>41</v>
      </c>
      <c r="K3423" t="s">
        <v>229</v>
      </c>
      <c r="Q3423">
        <v>0</v>
      </c>
      <c r="R3423">
        <v>120</v>
      </c>
      <c r="S3423">
        <v>99</v>
      </c>
      <c r="T3423" t="s">
        <v>14290</v>
      </c>
    </row>
    <row r="3424" spans="1:25" customFormat="1" ht="15" x14ac:dyDescent="0.25">
      <c r="A3424" t="s">
        <v>24</v>
      </c>
      <c r="B3424" t="s">
        <v>1467</v>
      </c>
      <c r="C3424" t="str">
        <f>"A0058847"</f>
        <v>A0058847</v>
      </c>
      <c r="D3424" t="s">
        <v>63063</v>
      </c>
      <c r="E3424" t="s">
        <v>63064</v>
      </c>
      <c r="F3424" t="s">
        <v>63065</v>
      </c>
      <c r="G3424" t="s">
        <v>899</v>
      </c>
      <c r="H3424">
        <v>1757</v>
      </c>
      <c r="I3424" t="s">
        <v>30</v>
      </c>
      <c r="J3424" t="s">
        <v>162</v>
      </c>
      <c r="K3424" t="s">
        <v>759</v>
      </c>
      <c r="N3424" t="s">
        <v>63066</v>
      </c>
      <c r="O3424" t="s">
        <v>63067</v>
      </c>
      <c r="Q3424">
        <v>0</v>
      </c>
      <c r="R3424">
        <v>176</v>
      </c>
      <c r="S3424">
        <v>0</v>
      </c>
      <c r="T3424" t="s">
        <v>63068</v>
      </c>
    </row>
    <row r="3425" spans="1:20" customFormat="1" ht="15" x14ac:dyDescent="0.25">
      <c r="A3425" t="s">
        <v>24</v>
      </c>
      <c r="B3425" t="s">
        <v>1467</v>
      </c>
      <c r="C3425" t="str">
        <f>"A0058848"</f>
        <v>A0058848</v>
      </c>
      <c r="D3425" t="s">
        <v>63069</v>
      </c>
      <c r="E3425" t="s">
        <v>63070</v>
      </c>
      <c r="F3425" t="s">
        <v>57131</v>
      </c>
      <c r="G3425" t="s">
        <v>899</v>
      </c>
      <c r="H3425">
        <v>2370</v>
      </c>
      <c r="I3425" t="s">
        <v>30</v>
      </c>
      <c r="J3425" t="s">
        <v>162</v>
      </c>
      <c r="K3425" t="s">
        <v>759</v>
      </c>
      <c r="N3425" t="s">
        <v>63071</v>
      </c>
      <c r="Q3425">
        <v>0</v>
      </c>
      <c r="R3425">
        <v>127</v>
      </c>
      <c r="S3425">
        <v>0</v>
      </c>
      <c r="T3425" t="s">
        <v>63072</v>
      </c>
    </row>
    <row r="3426" spans="1:20" customFormat="1" ht="15" hidden="1" x14ac:dyDescent="0.25">
      <c r="A3426" t="s">
        <v>24</v>
      </c>
      <c r="B3426" t="s">
        <v>14300</v>
      </c>
      <c r="C3426" t="str">
        <f>"A0186910"</f>
        <v>A0186910</v>
      </c>
      <c r="D3426" t="s">
        <v>14301</v>
      </c>
      <c r="E3426" t="s">
        <v>14302</v>
      </c>
      <c r="F3426" t="s">
        <v>14303</v>
      </c>
      <c r="G3426" t="s">
        <v>9901</v>
      </c>
      <c r="H3426">
        <v>935</v>
      </c>
      <c r="I3426" t="s">
        <v>9902</v>
      </c>
      <c r="J3426" t="s">
        <v>171</v>
      </c>
      <c r="K3426" t="s">
        <v>14304</v>
      </c>
      <c r="N3426" t="s">
        <v>14305</v>
      </c>
      <c r="Q3426">
        <v>0</v>
      </c>
      <c r="R3426">
        <v>30</v>
      </c>
      <c r="S3426">
        <v>0</v>
      </c>
      <c r="T3426" t="s">
        <v>14306</v>
      </c>
    </row>
    <row r="3427" spans="1:20" customFormat="1" ht="15" x14ac:dyDescent="0.25">
      <c r="A3427" t="s">
        <v>24</v>
      </c>
      <c r="B3427" t="s">
        <v>14307</v>
      </c>
      <c r="C3427" t="str">
        <f>"A0186895"</f>
        <v>A0186895</v>
      </c>
      <c r="D3427" t="s">
        <v>14308</v>
      </c>
      <c r="E3427" t="s">
        <v>14309</v>
      </c>
      <c r="F3427" t="s">
        <v>14310</v>
      </c>
      <c r="G3427" t="s">
        <v>338</v>
      </c>
      <c r="H3427">
        <v>7828</v>
      </c>
      <c r="I3427" t="s">
        <v>30</v>
      </c>
      <c r="J3427" t="s">
        <v>145</v>
      </c>
      <c r="K3427" t="s">
        <v>1353</v>
      </c>
      <c r="N3427" t="s">
        <v>14311</v>
      </c>
      <c r="Q3427">
        <v>0</v>
      </c>
      <c r="R3427">
        <v>53</v>
      </c>
      <c r="S3427">
        <v>0</v>
      </c>
      <c r="T3427" t="s">
        <v>14312</v>
      </c>
    </row>
    <row r="3428" spans="1:20" customFormat="1" ht="15" x14ac:dyDescent="0.25">
      <c r="A3428" t="s">
        <v>24</v>
      </c>
      <c r="B3428" t="s">
        <v>2248</v>
      </c>
      <c r="C3428" t="str">
        <f>"A0090769"</f>
        <v>A0090769</v>
      </c>
      <c r="D3428" t="s">
        <v>63073</v>
      </c>
      <c r="E3428" t="s">
        <v>63074</v>
      </c>
      <c r="F3428" t="s">
        <v>63075</v>
      </c>
      <c r="G3428" t="s">
        <v>110</v>
      </c>
      <c r="H3428">
        <v>90745</v>
      </c>
      <c r="I3428" t="s">
        <v>30</v>
      </c>
      <c r="J3428" t="s">
        <v>162</v>
      </c>
      <c r="K3428" t="s">
        <v>759</v>
      </c>
      <c r="N3428" t="s">
        <v>63076</v>
      </c>
      <c r="O3428" t="s">
        <v>2252</v>
      </c>
      <c r="Q3428">
        <v>0</v>
      </c>
      <c r="R3428">
        <v>225</v>
      </c>
      <c r="S3428">
        <v>0</v>
      </c>
      <c r="T3428" t="s">
        <v>63077</v>
      </c>
    </row>
    <row r="3429" spans="1:20" customFormat="1" ht="15" x14ac:dyDescent="0.25">
      <c r="A3429" t="s">
        <v>24</v>
      </c>
      <c r="B3429" t="s">
        <v>976</v>
      </c>
      <c r="C3429" t="str">
        <f>"A0073737"</f>
        <v>A0073737</v>
      </c>
      <c r="D3429" t="s">
        <v>63078</v>
      </c>
      <c r="E3429" t="s">
        <v>63079</v>
      </c>
      <c r="F3429" t="s">
        <v>2971</v>
      </c>
      <c r="G3429" t="s">
        <v>880</v>
      </c>
      <c r="H3429">
        <v>37219</v>
      </c>
      <c r="I3429" t="s">
        <v>30</v>
      </c>
      <c r="J3429" t="s">
        <v>162</v>
      </c>
      <c r="K3429" t="s">
        <v>759</v>
      </c>
      <c r="N3429" t="s">
        <v>63080</v>
      </c>
      <c r="O3429" t="s">
        <v>63081</v>
      </c>
      <c r="Q3429">
        <v>0</v>
      </c>
      <c r="R3429">
        <v>337</v>
      </c>
      <c r="S3429">
        <v>0</v>
      </c>
      <c r="T3429" t="s">
        <v>63082</v>
      </c>
    </row>
    <row r="3430" spans="1:20" customFormat="1" ht="15" x14ac:dyDescent="0.25">
      <c r="A3430" t="s">
        <v>24</v>
      </c>
      <c r="B3430" t="s">
        <v>140</v>
      </c>
      <c r="C3430" t="str">
        <f>"432BC"</f>
        <v>432BC</v>
      </c>
      <c r="D3430" t="s">
        <v>14324</v>
      </c>
      <c r="E3430" t="s">
        <v>14325</v>
      </c>
      <c r="F3430" t="s">
        <v>1564</v>
      </c>
      <c r="G3430" t="s">
        <v>52</v>
      </c>
      <c r="H3430">
        <v>77094</v>
      </c>
      <c r="I3430" t="s">
        <v>30</v>
      </c>
      <c r="J3430" t="s">
        <v>31</v>
      </c>
      <c r="K3430" t="s">
        <v>32</v>
      </c>
      <c r="N3430" t="s">
        <v>14326</v>
      </c>
      <c r="Q3430">
        <v>0</v>
      </c>
      <c r="R3430">
        <v>82</v>
      </c>
      <c r="S3430">
        <v>0</v>
      </c>
      <c r="T3430" t="s">
        <v>14327</v>
      </c>
    </row>
    <row r="3431" spans="1:20" customFormat="1" ht="15" x14ac:dyDescent="0.25">
      <c r="A3431" t="s">
        <v>24</v>
      </c>
      <c r="B3431" t="s">
        <v>14328</v>
      </c>
      <c r="C3431" t="str">
        <f>"A0051691"</f>
        <v>A0051691</v>
      </c>
      <c r="D3431" t="s">
        <v>14329</v>
      </c>
      <c r="E3431" t="s">
        <v>14330</v>
      </c>
      <c r="F3431" t="s">
        <v>14331</v>
      </c>
      <c r="G3431" t="s">
        <v>103</v>
      </c>
      <c r="H3431">
        <v>19444</v>
      </c>
      <c r="I3431" t="s">
        <v>30</v>
      </c>
      <c r="J3431" t="s">
        <v>2415</v>
      </c>
      <c r="K3431" t="s">
        <v>179</v>
      </c>
      <c r="N3431" t="s">
        <v>14332</v>
      </c>
      <c r="Q3431">
        <v>0</v>
      </c>
      <c r="R3431">
        <v>18</v>
      </c>
      <c r="S3431">
        <v>0</v>
      </c>
      <c r="T3431" t="s">
        <v>14333</v>
      </c>
    </row>
    <row r="3432" spans="1:20" customFormat="1" ht="15" x14ac:dyDescent="0.25">
      <c r="A3432" t="s">
        <v>24</v>
      </c>
      <c r="B3432" t="s">
        <v>3628</v>
      </c>
      <c r="C3432" t="str">
        <f>"88HM003"</f>
        <v>88HM003</v>
      </c>
      <c r="D3432" t="s">
        <v>14334</v>
      </c>
      <c r="E3432" t="s">
        <v>14335</v>
      </c>
      <c r="F3432" t="s">
        <v>14336</v>
      </c>
      <c r="G3432" t="s">
        <v>99</v>
      </c>
      <c r="H3432">
        <v>11722</v>
      </c>
      <c r="I3432" t="s">
        <v>30</v>
      </c>
      <c r="J3432" t="s">
        <v>31</v>
      </c>
      <c r="K3432" t="s">
        <v>198</v>
      </c>
      <c r="N3432" t="s">
        <v>14337</v>
      </c>
      <c r="Q3432">
        <v>0</v>
      </c>
      <c r="R3432">
        <v>121</v>
      </c>
      <c r="S3432">
        <v>0</v>
      </c>
      <c r="T3432" t="s">
        <v>14338</v>
      </c>
    </row>
    <row r="3433" spans="1:20" customFormat="1" ht="15" x14ac:dyDescent="0.25">
      <c r="A3433" t="s">
        <v>35</v>
      </c>
      <c r="B3433" t="s">
        <v>61</v>
      </c>
      <c r="C3433" t="str">
        <f>"A0186894"</f>
        <v>A0186894</v>
      </c>
      <c r="D3433" t="s">
        <v>14339</v>
      </c>
      <c r="E3433" t="s">
        <v>14340</v>
      </c>
      <c r="F3433" t="s">
        <v>51</v>
      </c>
      <c r="G3433" t="s">
        <v>65</v>
      </c>
      <c r="H3433">
        <v>45236</v>
      </c>
      <c r="I3433" t="s">
        <v>30</v>
      </c>
      <c r="J3433" t="s">
        <v>41</v>
      </c>
      <c r="K3433" t="s">
        <v>229</v>
      </c>
      <c r="Q3433">
        <v>0</v>
      </c>
      <c r="R3433">
        <v>293</v>
      </c>
      <c r="S3433">
        <v>293</v>
      </c>
      <c r="T3433" t="s">
        <v>14341</v>
      </c>
    </row>
    <row r="3434" spans="1:20" customFormat="1" ht="15" x14ac:dyDescent="0.25">
      <c r="A3434" t="s">
        <v>35</v>
      </c>
      <c r="B3434" t="s">
        <v>14342</v>
      </c>
      <c r="C3434" t="str">
        <f>"A0186893"</f>
        <v>A0186893</v>
      </c>
      <c r="D3434" t="s">
        <v>14343</v>
      </c>
      <c r="E3434" t="s">
        <v>14344</v>
      </c>
      <c r="F3434" t="s">
        <v>853</v>
      </c>
      <c r="G3434" t="s">
        <v>52</v>
      </c>
      <c r="H3434">
        <v>76104</v>
      </c>
      <c r="I3434" t="s">
        <v>30</v>
      </c>
      <c r="J3434" t="s">
        <v>41</v>
      </c>
      <c r="K3434" t="s">
        <v>229</v>
      </c>
      <c r="Q3434">
        <v>0</v>
      </c>
      <c r="R3434">
        <v>0</v>
      </c>
      <c r="S3434">
        <v>0</v>
      </c>
      <c r="T3434" t="s">
        <v>14345</v>
      </c>
    </row>
    <row r="3435" spans="1:20" customFormat="1" ht="15" x14ac:dyDescent="0.25">
      <c r="A3435" t="s">
        <v>35</v>
      </c>
      <c r="B3435" t="s">
        <v>61</v>
      </c>
      <c r="C3435" t="str">
        <f>"A0186892"</f>
        <v>A0186892</v>
      </c>
      <c r="D3435" t="s">
        <v>14346</v>
      </c>
      <c r="E3435" t="s">
        <v>14347</v>
      </c>
      <c r="F3435" t="s">
        <v>1386</v>
      </c>
      <c r="G3435" t="s">
        <v>137</v>
      </c>
      <c r="H3435">
        <v>64081</v>
      </c>
      <c r="I3435" t="s">
        <v>30</v>
      </c>
      <c r="J3435" t="s">
        <v>41</v>
      </c>
      <c r="K3435" t="s">
        <v>59</v>
      </c>
      <c r="Q3435">
        <v>0</v>
      </c>
      <c r="R3435">
        <v>1584</v>
      </c>
      <c r="S3435">
        <v>1584</v>
      </c>
      <c r="T3435" t="s">
        <v>14348</v>
      </c>
    </row>
    <row r="3436" spans="1:20" customFormat="1" ht="15" x14ac:dyDescent="0.25">
      <c r="A3436" t="s">
        <v>35</v>
      </c>
      <c r="B3436" t="s">
        <v>14349</v>
      </c>
      <c r="C3436" t="str">
        <f>"A0186891"</f>
        <v>A0186891</v>
      </c>
      <c r="D3436" t="s">
        <v>14350</v>
      </c>
      <c r="E3436" t="s">
        <v>14351</v>
      </c>
      <c r="F3436" t="s">
        <v>89</v>
      </c>
      <c r="G3436" t="s">
        <v>90</v>
      </c>
      <c r="H3436">
        <v>2889</v>
      </c>
      <c r="I3436" t="s">
        <v>30</v>
      </c>
      <c r="J3436" t="s">
        <v>41</v>
      </c>
      <c r="K3436" t="s">
        <v>59</v>
      </c>
      <c r="Q3436">
        <v>0</v>
      </c>
      <c r="R3436">
        <v>165</v>
      </c>
      <c r="S3436">
        <v>165</v>
      </c>
      <c r="T3436" t="s">
        <v>72</v>
      </c>
    </row>
    <row r="3437" spans="1:20" customFormat="1" ht="15" x14ac:dyDescent="0.25">
      <c r="A3437" t="s">
        <v>35</v>
      </c>
      <c r="B3437" t="s">
        <v>61</v>
      </c>
      <c r="C3437" t="str">
        <f>"A0186890"</f>
        <v>A0186890</v>
      </c>
      <c r="D3437" t="s">
        <v>14352</v>
      </c>
      <c r="E3437" t="s">
        <v>14353</v>
      </c>
      <c r="F3437" t="s">
        <v>14354</v>
      </c>
      <c r="G3437" t="s">
        <v>507</v>
      </c>
      <c r="H3437">
        <v>25508</v>
      </c>
      <c r="I3437" t="s">
        <v>30</v>
      </c>
      <c r="J3437" t="s">
        <v>41</v>
      </c>
      <c r="K3437" t="s">
        <v>456</v>
      </c>
      <c r="Q3437">
        <v>0</v>
      </c>
      <c r="R3437">
        <v>270</v>
      </c>
      <c r="S3437">
        <v>270</v>
      </c>
      <c r="T3437" t="s">
        <v>14355</v>
      </c>
    </row>
    <row r="3438" spans="1:20" customFormat="1" ht="15" x14ac:dyDescent="0.25">
      <c r="A3438" t="s">
        <v>35</v>
      </c>
      <c r="B3438" t="s">
        <v>61</v>
      </c>
      <c r="C3438" t="str">
        <f>"A0186889"</f>
        <v>A0186889</v>
      </c>
      <c r="D3438" t="s">
        <v>14356</v>
      </c>
      <c r="E3438" t="s">
        <v>14357</v>
      </c>
      <c r="F3438" t="s">
        <v>14354</v>
      </c>
      <c r="G3438" t="s">
        <v>507</v>
      </c>
      <c r="H3438">
        <v>25508</v>
      </c>
      <c r="I3438" t="s">
        <v>30</v>
      </c>
      <c r="J3438" t="s">
        <v>41</v>
      </c>
      <c r="K3438" t="s">
        <v>456</v>
      </c>
      <c r="Q3438">
        <v>0</v>
      </c>
      <c r="R3438">
        <v>270</v>
      </c>
      <c r="S3438">
        <v>270</v>
      </c>
      <c r="T3438" t="s">
        <v>14355</v>
      </c>
    </row>
    <row r="3439" spans="1:20" customFormat="1" ht="15" x14ac:dyDescent="0.25">
      <c r="A3439" t="s">
        <v>35</v>
      </c>
      <c r="B3439" t="s">
        <v>61</v>
      </c>
      <c r="C3439" t="str">
        <f>"A0186888"</f>
        <v>A0186888</v>
      </c>
      <c r="D3439" t="s">
        <v>14358</v>
      </c>
      <c r="E3439" t="s">
        <v>14359</v>
      </c>
      <c r="F3439" t="s">
        <v>4475</v>
      </c>
      <c r="G3439" t="s">
        <v>103</v>
      </c>
      <c r="H3439">
        <v>17972</v>
      </c>
      <c r="I3439" t="s">
        <v>30</v>
      </c>
      <c r="J3439" t="s">
        <v>41</v>
      </c>
      <c r="K3439" t="s">
        <v>2463</v>
      </c>
      <c r="Q3439">
        <v>0</v>
      </c>
      <c r="R3439">
        <v>0</v>
      </c>
      <c r="S3439">
        <v>0</v>
      </c>
      <c r="T3439" t="s">
        <v>14360</v>
      </c>
    </row>
    <row r="3440" spans="1:20" customFormat="1" ht="15" x14ac:dyDescent="0.25">
      <c r="A3440" t="s">
        <v>35</v>
      </c>
      <c r="B3440" t="s">
        <v>61</v>
      </c>
      <c r="C3440" t="str">
        <f>"A0186887"</f>
        <v>A0186887</v>
      </c>
      <c r="D3440" t="s">
        <v>14361</v>
      </c>
      <c r="E3440" t="s">
        <v>14362</v>
      </c>
      <c r="F3440" t="s">
        <v>14363</v>
      </c>
      <c r="G3440" t="s">
        <v>110</v>
      </c>
      <c r="H3440">
        <v>91950</v>
      </c>
      <c r="I3440" t="s">
        <v>30</v>
      </c>
      <c r="J3440" t="s">
        <v>41</v>
      </c>
      <c r="K3440" t="s">
        <v>2463</v>
      </c>
      <c r="Q3440">
        <v>0</v>
      </c>
      <c r="R3440">
        <v>0</v>
      </c>
      <c r="S3440">
        <v>0</v>
      </c>
      <c r="T3440" t="s">
        <v>14364</v>
      </c>
    </row>
    <row r="3441" spans="1:20" customFormat="1" ht="15" x14ac:dyDescent="0.25">
      <c r="A3441" t="s">
        <v>35</v>
      </c>
      <c r="B3441" t="s">
        <v>61</v>
      </c>
      <c r="C3441" t="str">
        <f>"A0186886"</f>
        <v>A0186886</v>
      </c>
      <c r="D3441" t="s">
        <v>14365</v>
      </c>
      <c r="E3441" t="s">
        <v>14366</v>
      </c>
      <c r="F3441" t="s">
        <v>595</v>
      </c>
      <c r="G3441" t="s">
        <v>381</v>
      </c>
      <c r="H3441">
        <v>46074</v>
      </c>
      <c r="I3441" t="s">
        <v>30</v>
      </c>
      <c r="J3441" t="s">
        <v>41</v>
      </c>
      <c r="K3441" t="s">
        <v>391</v>
      </c>
      <c r="Q3441">
        <v>0</v>
      </c>
      <c r="R3441">
        <v>0</v>
      </c>
      <c r="S3441">
        <v>0</v>
      </c>
      <c r="T3441" t="s">
        <v>14367</v>
      </c>
    </row>
    <row r="3442" spans="1:20" customFormat="1" ht="15" x14ac:dyDescent="0.25">
      <c r="A3442" t="s">
        <v>35</v>
      </c>
      <c r="B3442" t="s">
        <v>61</v>
      </c>
      <c r="C3442" t="str">
        <f>"A0186885"</f>
        <v>A0186885</v>
      </c>
      <c r="D3442" t="s">
        <v>14368</v>
      </c>
      <c r="E3442" t="s">
        <v>14369</v>
      </c>
      <c r="F3442" t="s">
        <v>3661</v>
      </c>
      <c r="G3442" t="s">
        <v>65</v>
      </c>
      <c r="H3442">
        <v>45202</v>
      </c>
      <c r="I3442" t="s">
        <v>30</v>
      </c>
      <c r="J3442" t="s">
        <v>41</v>
      </c>
      <c r="K3442" t="s">
        <v>391</v>
      </c>
      <c r="Q3442">
        <v>0</v>
      </c>
      <c r="R3442">
        <v>0</v>
      </c>
      <c r="S3442">
        <v>0</v>
      </c>
      <c r="T3442" t="s">
        <v>14370</v>
      </c>
    </row>
    <row r="3443" spans="1:20" customFormat="1" ht="15" x14ac:dyDescent="0.25">
      <c r="A3443" t="s">
        <v>35</v>
      </c>
      <c r="B3443" t="s">
        <v>36</v>
      </c>
      <c r="C3443" t="str">
        <f>"A0186884"</f>
        <v>A0186884</v>
      </c>
      <c r="D3443" t="s">
        <v>14371</v>
      </c>
      <c r="E3443" t="s">
        <v>14372</v>
      </c>
      <c r="F3443" t="s">
        <v>14373</v>
      </c>
      <c r="G3443" t="s">
        <v>161</v>
      </c>
      <c r="H3443">
        <v>56470</v>
      </c>
      <c r="I3443" t="s">
        <v>30</v>
      </c>
      <c r="J3443" t="s">
        <v>41</v>
      </c>
      <c r="K3443" t="s">
        <v>42</v>
      </c>
      <c r="Q3443">
        <v>0</v>
      </c>
      <c r="R3443">
        <v>0</v>
      </c>
      <c r="S3443">
        <v>0</v>
      </c>
      <c r="T3443" t="s">
        <v>14374</v>
      </c>
    </row>
    <row r="3444" spans="1:20" customFormat="1" ht="15" x14ac:dyDescent="0.25">
      <c r="A3444" t="s">
        <v>35</v>
      </c>
      <c r="B3444" t="s">
        <v>36</v>
      </c>
      <c r="C3444" t="str">
        <f>"A0186883"</f>
        <v>A0186883</v>
      </c>
      <c r="D3444" t="s">
        <v>14375</v>
      </c>
      <c r="E3444" t="s">
        <v>14376</v>
      </c>
      <c r="F3444" t="s">
        <v>14377</v>
      </c>
      <c r="G3444" t="s">
        <v>110</v>
      </c>
      <c r="H3444">
        <v>95678</v>
      </c>
      <c r="I3444" t="s">
        <v>30</v>
      </c>
      <c r="J3444" t="s">
        <v>41</v>
      </c>
      <c r="K3444" t="s">
        <v>42</v>
      </c>
      <c r="Q3444">
        <v>0</v>
      </c>
      <c r="R3444">
        <v>0</v>
      </c>
      <c r="S3444">
        <v>0</v>
      </c>
      <c r="T3444" t="s">
        <v>14378</v>
      </c>
    </row>
    <row r="3445" spans="1:20" customFormat="1" ht="15" x14ac:dyDescent="0.25">
      <c r="A3445" t="s">
        <v>35</v>
      </c>
      <c r="B3445" t="s">
        <v>61</v>
      </c>
      <c r="C3445" t="str">
        <f>"A0186882"</f>
        <v>A0186882</v>
      </c>
      <c r="D3445" t="s">
        <v>14379</v>
      </c>
      <c r="E3445" t="s">
        <v>14380</v>
      </c>
      <c r="F3445" t="s">
        <v>14381</v>
      </c>
      <c r="G3445" t="s">
        <v>81</v>
      </c>
      <c r="H3445">
        <v>33060</v>
      </c>
      <c r="I3445" t="s">
        <v>30</v>
      </c>
      <c r="J3445" t="s">
        <v>41</v>
      </c>
      <c r="K3445" t="s">
        <v>482</v>
      </c>
      <c r="Q3445">
        <v>0</v>
      </c>
      <c r="R3445">
        <v>205</v>
      </c>
      <c r="S3445">
        <v>205</v>
      </c>
      <c r="T3445" t="s">
        <v>14382</v>
      </c>
    </row>
    <row r="3446" spans="1:20" customFormat="1" ht="15" x14ac:dyDescent="0.25">
      <c r="A3446" t="s">
        <v>35</v>
      </c>
      <c r="B3446" t="s">
        <v>61</v>
      </c>
      <c r="C3446" t="str">
        <f>"A0186881"</f>
        <v>A0186881</v>
      </c>
      <c r="D3446" t="s">
        <v>14383</v>
      </c>
      <c r="E3446" t="s">
        <v>14384</v>
      </c>
      <c r="F3446" t="s">
        <v>14385</v>
      </c>
      <c r="G3446" t="s">
        <v>197</v>
      </c>
      <c r="H3446">
        <v>85224</v>
      </c>
      <c r="I3446" t="s">
        <v>30</v>
      </c>
      <c r="J3446" t="s">
        <v>41</v>
      </c>
      <c r="K3446" t="s">
        <v>1032</v>
      </c>
      <c r="Q3446">
        <v>0</v>
      </c>
      <c r="R3446">
        <v>0</v>
      </c>
      <c r="S3446">
        <v>0</v>
      </c>
      <c r="T3446" t="s">
        <v>14386</v>
      </c>
    </row>
    <row r="3447" spans="1:20" customFormat="1" ht="15" x14ac:dyDescent="0.25">
      <c r="A3447" t="s">
        <v>35</v>
      </c>
      <c r="B3447" t="s">
        <v>61</v>
      </c>
      <c r="C3447" t="str">
        <f>"A0186880"</f>
        <v>A0186880</v>
      </c>
      <c r="D3447" t="s">
        <v>14387</v>
      </c>
      <c r="E3447" t="s">
        <v>14388</v>
      </c>
      <c r="F3447" t="s">
        <v>10174</v>
      </c>
      <c r="G3447" t="s">
        <v>85</v>
      </c>
      <c r="H3447">
        <v>72223</v>
      </c>
      <c r="I3447" t="s">
        <v>30</v>
      </c>
      <c r="J3447" t="s">
        <v>41</v>
      </c>
      <c r="K3447" t="s">
        <v>1032</v>
      </c>
      <c r="Q3447">
        <v>0</v>
      </c>
      <c r="R3447">
        <v>0</v>
      </c>
      <c r="S3447">
        <v>0</v>
      </c>
      <c r="T3447" t="s">
        <v>14389</v>
      </c>
    </row>
    <row r="3448" spans="1:20" customFormat="1" ht="15" hidden="1" x14ac:dyDescent="0.25">
      <c r="A3448" t="s">
        <v>35</v>
      </c>
      <c r="B3448" t="s">
        <v>61</v>
      </c>
      <c r="C3448" t="str">
        <f>"A0186879"</f>
        <v>A0186879</v>
      </c>
      <c r="D3448" t="s">
        <v>14390</v>
      </c>
      <c r="E3448" t="s">
        <v>14391</v>
      </c>
      <c r="F3448" t="s">
        <v>14392</v>
      </c>
      <c r="G3448" t="s">
        <v>2270</v>
      </c>
      <c r="H3448" t="s">
        <v>14393</v>
      </c>
      <c r="I3448" t="s">
        <v>14394</v>
      </c>
      <c r="J3448" t="s">
        <v>41</v>
      </c>
      <c r="K3448" t="s">
        <v>1032</v>
      </c>
      <c r="Q3448">
        <v>0</v>
      </c>
      <c r="R3448">
        <v>0</v>
      </c>
      <c r="S3448">
        <v>0</v>
      </c>
      <c r="T3448" t="s">
        <v>14395</v>
      </c>
    </row>
    <row r="3449" spans="1:20" customFormat="1" ht="15" x14ac:dyDescent="0.25">
      <c r="A3449" t="s">
        <v>35</v>
      </c>
      <c r="B3449" t="s">
        <v>61</v>
      </c>
      <c r="C3449" t="str">
        <f>"A0186878"</f>
        <v>A0186878</v>
      </c>
      <c r="D3449" t="s">
        <v>14396</v>
      </c>
      <c r="E3449" t="s">
        <v>14397</v>
      </c>
      <c r="F3449" t="s">
        <v>1689</v>
      </c>
      <c r="G3449" t="s">
        <v>58</v>
      </c>
      <c r="H3449">
        <v>29072</v>
      </c>
      <c r="I3449" t="s">
        <v>30</v>
      </c>
      <c r="J3449" t="s">
        <v>41</v>
      </c>
      <c r="K3449" t="s">
        <v>1032</v>
      </c>
      <c r="Q3449">
        <v>0</v>
      </c>
      <c r="R3449">
        <v>0</v>
      </c>
      <c r="S3449">
        <v>0</v>
      </c>
      <c r="T3449" t="s">
        <v>14398</v>
      </c>
    </row>
    <row r="3450" spans="1:20" customFormat="1" ht="15" x14ac:dyDescent="0.25">
      <c r="A3450" t="s">
        <v>35</v>
      </c>
      <c r="B3450" t="s">
        <v>61</v>
      </c>
      <c r="C3450" t="str">
        <f>"A0186877"</f>
        <v>A0186877</v>
      </c>
      <c r="D3450" t="s">
        <v>14399</v>
      </c>
      <c r="E3450" t="s">
        <v>14400</v>
      </c>
      <c r="F3450" t="s">
        <v>902</v>
      </c>
      <c r="G3450" t="s">
        <v>221</v>
      </c>
      <c r="H3450">
        <v>89128</v>
      </c>
      <c r="I3450" t="s">
        <v>30</v>
      </c>
      <c r="J3450" t="s">
        <v>41</v>
      </c>
      <c r="K3450" t="s">
        <v>1032</v>
      </c>
      <c r="Q3450">
        <v>0</v>
      </c>
      <c r="R3450">
        <v>0</v>
      </c>
      <c r="S3450">
        <v>0</v>
      </c>
      <c r="T3450" t="s">
        <v>14401</v>
      </c>
    </row>
    <row r="3451" spans="1:20" customFormat="1" ht="15" x14ac:dyDescent="0.25">
      <c r="A3451" t="s">
        <v>35</v>
      </c>
      <c r="B3451" t="s">
        <v>61</v>
      </c>
      <c r="C3451" t="str">
        <f>"A0186876"</f>
        <v>A0186876</v>
      </c>
      <c r="D3451" t="s">
        <v>14402</v>
      </c>
      <c r="E3451" t="s">
        <v>14403</v>
      </c>
      <c r="F3451" t="s">
        <v>3645</v>
      </c>
      <c r="G3451" t="s">
        <v>197</v>
      </c>
      <c r="H3451">
        <v>85258</v>
      </c>
      <c r="I3451" t="s">
        <v>30</v>
      </c>
      <c r="J3451" t="s">
        <v>41</v>
      </c>
      <c r="K3451" t="s">
        <v>1032</v>
      </c>
      <c r="Q3451">
        <v>0</v>
      </c>
      <c r="R3451">
        <v>0</v>
      </c>
      <c r="S3451">
        <v>0</v>
      </c>
      <c r="T3451" t="s">
        <v>14404</v>
      </c>
    </row>
    <row r="3452" spans="1:20" customFormat="1" ht="15" x14ac:dyDescent="0.25">
      <c r="A3452" t="s">
        <v>35</v>
      </c>
      <c r="B3452" t="s">
        <v>61</v>
      </c>
      <c r="C3452" t="str">
        <f>"A0186875"</f>
        <v>A0186875</v>
      </c>
      <c r="D3452" t="s">
        <v>14405</v>
      </c>
      <c r="E3452" t="s">
        <v>14406</v>
      </c>
      <c r="F3452" t="s">
        <v>3657</v>
      </c>
      <c r="G3452" t="s">
        <v>880</v>
      </c>
      <c r="H3452">
        <v>37934</v>
      </c>
      <c r="I3452" t="s">
        <v>30</v>
      </c>
      <c r="J3452" t="s">
        <v>41</v>
      </c>
      <c r="K3452" t="s">
        <v>1032</v>
      </c>
      <c r="Q3452">
        <v>0</v>
      </c>
      <c r="R3452">
        <v>0</v>
      </c>
      <c r="S3452">
        <v>0</v>
      </c>
      <c r="T3452" t="s">
        <v>14407</v>
      </c>
    </row>
    <row r="3453" spans="1:20" customFormat="1" ht="15" x14ac:dyDescent="0.25">
      <c r="A3453" t="s">
        <v>35</v>
      </c>
      <c r="B3453" t="s">
        <v>61</v>
      </c>
      <c r="C3453" t="str">
        <f>"A0186874"</f>
        <v>A0186874</v>
      </c>
      <c r="D3453" t="s">
        <v>14408</v>
      </c>
      <c r="E3453" t="s">
        <v>14409</v>
      </c>
      <c r="F3453" t="s">
        <v>14410</v>
      </c>
      <c r="G3453" t="s">
        <v>85</v>
      </c>
      <c r="H3453">
        <v>72704</v>
      </c>
      <c r="I3453" t="s">
        <v>30</v>
      </c>
      <c r="J3453" t="s">
        <v>41</v>
      </c>
      <c r="K3453" t="s">
        <v>1032</v>
      </c>
      <c r="Q3453">
        <v>0</v>
      </c>
      <c r="R3453">
        <v>0</v>
      </c>
      <c r="S3453">
        <v>0</v>
      </c>
      <c r="T3453" t="s">
        <v>14411</v>
      </c>
    </row>
    <row r="3454" spans="1:20" customFormat="1" ht="15" x14ac:dyDescent="0.25">
      <c r="A3454" t="s">
        <v>35</v>
      </c>
      <c r="B3454" t="s">
        <v>61</v>
      </c>
      <c r="C3454" t="str">
        <f>"A0186873"</f>
        <v>A0186873</v>
      </c>
      <c r="D3454" t="s">
        <v>14412</v>
      </c>
      <c r="E3454" t="s">
        <v>14413</v>
      </c>
      <c r="F3454" t="s">
        <v>14414</v>
      </c>
      <c r="G3454" t="s">
        <v>197</v>
      </c>
      <c r="H3454">
        <v>85374</v>
      </c>
      <c r="I3454" t="s">
        <v>30</v>
      </c>
      <c r="J3454" t="s">
        <v>41</v>
      </c>
      <c r="K3454" t="s">
        <v>1032</v>
      </c>
      <c r="Q3454">
        <v>0</v>
      </c>
      <c r="R3454">
        <v>0</v>
      </c>
      <c r="S3454">
        <v>0</v>
      </c>
      <c r="T3454" t="s">
        <v>14415</v>
      </c>
    </row>
    <row r="3455" spans="1:20" customFormat="1" ht="15" x14ac:dyDescent="0.25">
      <c r="A3455" t="s">
        <v>35</v>
      </c>
      <c r="B3455" t="s">
        <v>61</v>
      </c>
      <c r="C3455" t="str">
        <f>"A0186872"</f>
        <v>A0186872</v>
      </c>
      <c r="D3455" t="s">
        <v>14416</v>
      </c>
      <c r="E3455" t="s">
        <v>14417</v>
      </c>
      <c r="F3455" t="s">
        <v>57</v>
      </c>
      <c r="G3455" t="s">
        <v>58</v>
      </c>
      <c r="H3455">
        <v>29803</v>
      </c>
      <c r="I3455" t="s">
        <v>30</v>
      </c>
      <c r="J3455" t="s">
        <v>41</v>
      </c>
      <c r="K3455" t="s">
        <v>1032</v>
      </c>
      <c r="Q3455">
        <v>0</v>
      </c>
      <c r="R3455">
        <v>0</v>
      </c>
      <c r="S3455">
        <v>0</v>
      </c>
      <c r="T3455" t="s">
        <v>14418</v>
      </c>
    </row>
    <row r="3456" spans="1:20" customFormat="1" ht="15" x14ac:dyDescent="0.25">
      <c r="A3456" t="s">
        <v>24</v>
      </c>
      <c r="B3456" t="s">
        <v>193</v>
      </c>
      <c r="C3456" t="str">
        <f>"685Z5"</f>
        <v>685Z5</v>
      </c>
      <c r="D3456" t="s">
        <v>14419</v>
      </c>
      <c r="E3456" t="s">
        <v>14420</v>
      </c>
      <c r="F3456" t="s">
        <v>1564</v>
      </c>
      <c r="G3456" t="s">
        <v>52</v>
      </c>
      <c r="H3456">
        <v>77094</v>
      </c>
      <c r="I3456" t="s">
        <v>30</v>
      </c>
      <c r="J3456" t="s">
        <v>31</v>
      </c>
      <c r="K3456" t="s">
        <v>163</v>
      </c>
      <c r="N3456" t="s">
        <v>14421</v>
      </c>
      <c r="Q3456">
        <v>0</v>
      </c>
      <c r="R3456">
        <v>95</v>
      </c>
      <c r="S3456">
        <v>0</v>
      </c>
      <c r="T3456" t="s">
        <v>14422</v>
      </c>
    </row>
    <row r="3457" spans="1:20" customFormat="1" ht="15" x14ac:dyDescent="0.25">
      <c r="A3457" t="s">
        <v>24</v>
      </c>
      <c r="B3457" t="s">
        <v>14423</v>
      </c>
      <c r="C3457" t="str">
        <f>"A0186859"</f>
        <v>A0186859</v>
      </c>
      <c r="D3457" t="s">
        <v>14424</v>
      </c>
      <c r="E3457" t="s">
        <v>14425</v>
      </c>
      <c r="F3457" t="s">
        <v>14426</v>
      </c>
      <c r="G3457" t="s">
        <v>99</v>
      </c>
      <c r="H3457">
        <v>13206</v>
      </c>
      <c r="I3457" t="s">
        <v>30</v>
      </c>
      <c r="J3457" t="s">
        <v>145</v>
      </c>
      <c r="K3457" t="s">
        <v>163</v>
      </c>
      <c r="N3457" t="s">
        <v>2599</v>
      </c>
      <c r="Q3457">
        <v>0</v>
      </c>
      <c r="R3457">
        <v>80</v>
      </c>
      <c r="S3457">
        <v>0</v>
      </c>
      <c r="T3457" t="s">
        <v>14427</v>
      </c>
    </row>
    <row r="3458" spans="1:20" customFormat="1" ht="15" x14ac:dyDescent="0.25">
      <c r="A3458" t="s">
        <v>24</v>
      </c>
      <c r="B3458" t="s">
        <v>193</v>
      </c>
      <c r="C3458" t="str">
        <f>"56635"</f>
        <v>56635</v>
      </c>
      <c r="D3458" t="s">
        <v>14428</v>
      </c>
      <c r="E3458" t="s">
        <v>14429</v>
      </c>
      <c r="F3458" t="s">
        <v>14430</v>
      </c>
      <c r="G3458" t="s">
        <v>81</v>
      </c>
      <c r="H3458">
        <v>33133</v>
      </c>
      <c r="I3458" t="s">
        <v>30</v>
      </c>
      <c r="J3458" t="s">
        <v>2272</v>
      </c>
      <c r="K3458" t="s">
        <v>163</v>
      </c>
      <c r="N3458" t="s">
        <v>14431</v>
      </c>
      <c r="O3458" t="s">
        <v>14432</v>
      </c>
      <c r="Q3458">
        <v>0</v>
      </c>
      <c r="R3458">
        <v>140</v>
      </c>
      <c r="S3458">
        <v>0</v>
      </c>
      <c r="T3458" t="s">
        <v>14433</v>
      </c>
    </row>
    <row r="3459" spans="1:20" customFormat="1" ht="15" x14ac:dyDescent="0.25">
      <c r="A3459" t="s">
        <v>24</v>
      </c>
      <c r="B3459" t="s">
        <v>62881</v>
      </c>
      <c r="C3459" t="str">
        <f>"A0075017"</f>
        <v>A0075017</v>
      </c>
      <c r="D3459" t="s">
        <v>63083</v>
      </c>
      <c r="E3459" t="s">
        <v>63084</v>
      </c>
      <c r="F3459" t="s">
        <v>4391</v>
      </c>
      <c r="G3459" t="s">
        <v>615</v>
      </c>
      <c r="H3459">
        <v>6854</v>
      </c>
      <c r="I3459" t="s">
        <v>30</v>
      </c>
      <c r="J3459" t="s">
        <v>162</v>
      </c>
      <c r="K3459" t="s">
        <v>759</v>
      </c>
      <c r="N3459" t="s">
        <v>63085</v>
      </c>
      <c r="O3459" t="s">
        <v>63086</v>
      </c>
      <c r="Q3459">
        <v>0</v>
      </c>
      <c r="R3459">
        <v>266</v>
      </c>
      <c r="S3459">
        <v>0</v>
      </c>
      <c r="T3459" t="s">
        <v>63087</v>
      </c>
    </row>
    <row r="3460" spans="1:20" customFormat="1" ht="15" x14ac:dyDescent="0.25">
      <c r="A3460" t="s">
        <v>24</v>
      </c>
      <c r="B3460" t="s">
        <v>3628</v>
      </c>
      <c r="C3460" t="str">
        <f>"645AR"</f>
        <v>645AR</v>
      </c>
      <c r="D3460" t="s">
        <v>14440</v>
      </c>
      <c r="E3460" t="s">
        <v>14441</v>
      </c>
      <c r="F3460" t="s">
        <v>14442</v>
      </c>
      <c r="G3460" t="s">
        <v>103</v>
      </c>
      <c r="H3460">
        <v>19044</v>
      </c>
      <c r="I3460" t="s">
        <v>30</v>
      </c>
      <c r="J3460" t="s">
        <v>31</v>
      </c>
      <c r="K3460" t="s">
        <v>222</v>
      </c>
      <c r="N3460" t="s">
        <v>14443</v>
      </c>
      <c r="Q3460">
        <v>0</v>
      </c>
      <c r="R3460">
        <v>95</v>
      </c>
      <c r="S3460">
        <v>0</v>
      </c>
      <c r="T3460" t="s">
        <v>14444</v>
      </c>
    </row>
    <row r="3461" spans="1:20" customFormat="1" ht="15" x14ac:dyDescent="0.25">
      <c r="A3461" t="s">
        <v>24</v>
      </c>
      <c r="B3461" t="s">
        <v>8579</v>
      </c>
      <c r="C3461" t="str">
        <f>"88RD013"</f>
        <v>88RD013</v>
      </c>
      <c r="D3461" t="s">
        <v>63088</v>
      </c>
      <c r="E3461" t="s">
        <v>63089</v>
      </c>
      <c r="F3461" t="s">
        <v>34508</v>
      </c>
      <c r="G3461" t="s">
        <v>110</v>
      </c>
      <c r="H3461">
        <v>94005</v>
      </c>
      <c r="I3461" t="s">
        <v>30</v>
      </c>
      <c r="J3461" t="s">
        <v>162</v>
      </c>
      <c r="K3461" t="s">
        <v>759</v>
      </c>
      <c r="N3461" t="s">
        <v>63090</v>
      </c>
      <c r="Q3461">
        <v>0</v>
      </c>
      <c r="R3461">
        <v>210</v>
      </c>
      <c r="S3461">
        <v>0</v>
      </c>
      <c r="T3461" t="s">
        <v>63091</v>
      </c>
    </row>
    <row r="3462" spans="1:20" customFormat="1" ht="15" x14ac:dyDescent="0.25">
      <c r="A3462" t="s">
        <v>24</v>
      </c>
      <c r="B3462" t="s">
        <v>11170</v>
      </c>
      <c r="C3462" t="str">
        <f>"A0086899"</f>
        <v>A0086899</v>
      </c>
      <c r="D3462" t="s">
        <v>63092</v>
      </c>
      <c r="E3462" t="s">
        <v>63093</v>
      </c>
      <c r="F3462" t="s">
        <v>35086</v>
      </c>
      <c r="G3462" t="s">
        <v>110</v>
      </c>
      <c r="H3462">
        <v>92707</v>
      </c>
      <c r="I3462" t="s">
        <v>30</v>
      </c>
      <c r="J3462" t="s">
        <v>162</v>
      </c>
      <c r="K3462" t="s">
        <v>759</v>
      </c>
      <c r="N3462" t="s">
        <v>63094</v>
      </c>
      <c r="Q3462">
        <v>0</v>
      </c>
      <c r="R3462">
        <v>253</v>
      </c>
      <c r="S3462">
        <v>0</v>
      </c>
      <c r="T3462" t="s">
        <v>63095</v>
      </c>
    </row>
    <row r="3463" spans="1:20" customFormat="1" ht="15" x14ac:dyDescent="0.25">
      <c r="A3463" t="s">
        <v>24</v>
      </c>
      <c r="B3463" t="s">
        <v>174</v>
      </c>
      <c r="C3463" t="str">
        <f>"A0050340"</f>
        <v>A0050340</v>
      </c>
      <c r="D3463" t="s">
        <v>14454</v>
      </c>
      <c r="E3463" t="s">
        <v>14455</v>
      </c>
      <c r="F3463" t="s">
        <v>14456</v>
      </c>
      <c r="G3463" t="s">
        <v>289</v>
      </c>
      <c r="H3463">
        <v>60156</v>
      </c>
      <c r="I3463" t="s">
        <v>30</v>
      </c>
      <c r="J3463" t="s">
        <v>178</v>
      </c>
      <c r="K3463" t="s">
        <v>179</v>
      </c>
      <c r="N3463" t="s">
        <v>14457</v>
      </c>
      <c r="O3463" t="s">
        <v>14458</v>
      </c>
      <c r="Q3463">
        <v>0</v>
      </c>
      <c r="R3463">
        <v>0</v>
      </c>
      <c r="S3463">
        <v>0</v>
      </c>
      <c r="T3463" t="s">
        <v>14459</v>
      </c>
    </row>
    <row r="3464" spans="1:20" customFormat="1" ht="15" x14ac:dyDescent="0.25">
      <c r="A3464" t="s">
        <v>24</v>
      </c>
      <c r="B3464" t="s">
        <v>63096</v>
      </c>
      <c r="C3464" t="str">
        <f>"A0063171"</f>
        <v>A0063171</v>
      </c>
      <c r="D3464" t="s">
        <v>63097</v>
      </c>
      <c r="E3464" t="s">
        <v>63098</v>
      </c>
      <c r="F3464" t="s">
        <v>1564</v>
      </c>
      <c r="G3464" t="s">
        <v>52</v>
      </c>
      <c r="H3464">
        <v>77061</v>
      </c>
      <c r="I3464" t="s">
        <v>30</v>
      </c>
      <c r="J3464" t="s">
        <v>162</v>
      </c>
      <c r="K3464" t="s">
        <v>4809</v>
      </c>
      <c r="N3464" t="s">
        <v>63099</v>
      </c>
      <c r="O3464" t="s">
        <v>63043</v>
      </c>
      <c r="Q3464">
        <v>0</v>
      </c>
      <c r="R3464">
        <v>303</v>
      </c>
      <c r="S3464">
        <v>0</v>
      </c>
      <c r="T3464" t="s">
        <v>63100</v>
      </c>
    </row>
    <row r="3465" spans="1:20" customFormat="1" ht="15" x14ac:dyDescent="0.25">
      <c r="A3465" t="s">
        <v>24</v>
      </c>
      <c r="B3465" t="s">
        <v>11170</v>
      </c>
      <c r="C3465" t="str">
        <f>"A0092481"</f>
        <v>A0092481</v>
      </c>
      <c r="D3465" t="s">
        <v>63101</v>
      </c>
      <c r="E3465" t="s">
        <v>63102</v>
      </c>
      <c r="F3465" t="s">
        <v>808</v>
      </c>
      <c r="G3465" t="s">
        <v>110</v>
      </c>
      <c r="H3465">
        <v>92618</v>
      </c>
      <c r="I3465" t="s">
        <v>30</v>
      </c>
      <c r="J3465" t="s">
        <v>162</v>
      </c>
      <c r="K3465" t="s">
        <v>759</v>
      </c>
      <c r="N3465" t="s">
        <v>63103</v>
      </c>
      <c r="Q3465">
        <v>0</v>
      </c>
      <c r="R3465">
        <v>252</v>
      </c>
      <c r="S3465">
        <v>0</v>
      </c>
      <c r="T3465" t="s">
        <v>63104</v>
      </c>
    </row>
    <row r="3466" spans="1:20" customFormat="1" ht="15" x14ac:dyDescent="0.25">
      <c r="A3466" t="s">
        <v>24</v>
      </c>
      <c r="B3466" t="s">
        <v>33398</v>
      </c>
      <c r="C3466" t="str">
        <f>"A0098842"</f>
        <v>A0098842</v>
      </c>
      <c r="D3466" t="s">
        <v>63105</v>
      </c>
      <c r="E3466" t="s">
        <v>63106</v>
      </c>
      <c r="F3466" t="s">
        <v>63107</v>
      </c>
      <c r="G3466" t="s">
        <v>925</v>
      </c>
      <c r="H3466">
        <v>66044</v>
      </c>
      <c r="I3466" t="s">
        <v>30</v>
      </c>
      <c r="J3466" t="s">
        <v>162</v>
      </c>
      <c r="K3466" t="s">
        <v>759</v>
      </c>
      <c r="N3466" t="s">
        <v>63108</v>
      </c>
      <c r="Q3466">
        <v>0</v>
      </c>
      <c r="R3466">
        <v>192</v>
      </c>
      <c r="S3466">
        <v>0</v>
      </c>
      <c r="T3466" t="s">
        <v>63109</v>
      </c>
    </row>
    <row r="3467" spans="1:20" customFormat="1" ht="15" x14ac:dyDescent="0.25">
      <c r="A3467" t="s">
        <v>24</v>
      </c>
      <c r="B3467" t="s">
        <v>57556</v>
      </c>
      <c r="C3467" t="str">
        <f>"A0148418"</f>
        <v>A0148418</v>
      </c>
      <c r="D3467" t="s">
        <v>63110</v>
      </c>
      <c r="E3467" t="s">
        <v>63111</v>
      </c>
      <c r="F3467" t="s">
        <v>58258</v>
      </c>
      <c r="G3467" t="s">
        <v>71</v>
      </c>
      <c r="H3467">
        <v>54956</v>
      </c>
      <c r="I3467" t="s">
        <v>30</v>
      </c>
      <c r="J3467" t="s">
        <v>162</v>
      </c>
      <c r="K3467" t="s">
        <v>759</v>
      </c>
      <c r="N3467" t="s">
        <v>63112</v>
      </c>
      <c r="O3467" t="s">
        <v>63113</v>
      </c>
      <c r="Q3467">
        <v>0</v>
      </c>
      <c r="R3467">
        <v>107</v>
      </c>
      <c r="S3467">
        <v>0</v>
      </c>
      <c r="T3467" t="s">
        <v>63114</v>
      </c>
    </row>
    <row r="3468" spans="1:20" customFormat="1" ht="15" x14ac:dyDescent="0.25">
      <c r="A3468" t="s">
        <v>24</v>
      </c>
      <c r="B3468" t="s">
        <v>5104</v>
      </c>
      <c r="C3468" t="str">
        <f>"A0090773"</f>
        <v>A0090773</v>
      </c>
      <c r="D3468" t="s">
        <v>63115</v>
      </c>
      <c r="E3468" t="s">
        <v>63116</v>
      </c>
      <c r="F3468" t="s">
        <v>3880</v>
      </c>
      <c r="G3468" t="s">
        <v>99</v>
      </c>
      <c r="H3468">
        <v>10018</v>
      </c>
      <c r="I3468" t="s">
        <v>30</v>
      </c>
      <c r="J3468" t="s">
        <v>162</v>
      </c>
      <c r="K3468" t="s">
        <v>759</v>
      </c>
      <c r="N3468" t="s">
        <v>63117</v>
      </c>
      <c r="O3468" t="s">
        <v>63118</v>
      </c>
      <c r="Q3468">
        <v>0</v>
      </c>
      <c r="R3468">
        <v>224</v>
      </c>
      <c r="S3468">
        <v>0</v>
      </c>
      <c r="T3468" t="s">
        <v>63119</v>
      </c>
    </row>
    <row r="3469" spans="1:20" customFormat="1" ht="15" x14ac:dyDescent="0.25">
      <c r="A3469" t="s">
        <v>24</v>
      </c>
      <c r="B3469" t="s">
        <v>63120</v>
      </c>
      <c r="C3469" t="str">
        <f>"A0068653"</f>
        <v>A0068653</v>
      </c>
      <c r="D3469" t="s">
        <v>63121</v>
      </c>
      <c r="E3469" t="s">
        <v>63122</v>
      </c>
      <c r="F3469" t="s">
        <v>2598</v>
      </c>
      <c r="G3469" t="s">
        <v>99</v>
      </c>
      <c r="H3469">
        <v>14303</v>
      </c>
      <c r="I3469" t="s">
        <v>30</v>
      </c>
      <c r="J3469" t="s">
        <v>162</v>
      </c>
      <c r="K3469" t="s">
        <v>759</v>
      </c>
      <c r="N3469" t="s">
        <v>63123</v>
      </c>
      <c r="O3469" t="s">
        <v>63124</v>
      </c>
      <c r="Q3469">
        <v>0</v>
      </c>
      <c r="R3469">
        <v>191</v>
      </c>
      <c r="S3469">
        <v>0</v>
      </c>
      <c r="T3469" t="s">
        <v>63125</v>
      </c>
    </row>
    <row r="3470" spans="1:20" customFormat="1" ht="15" x14ac:dyDescent="0.25">
      <c r="A3470" t="s">
        <v>24</v>
      </c>
      <c r="B3470" t="s">
        <v>13730</v>
      </c>
      <c r="C3470" t="str">
        <f>"A0093118"</f>
        <v>A0093118</v>
      </c>
      <c r="D3470" t="s">
        <v>63126</v>
      </c>
      <c r="E3470" t="s">
        <v>63127</v>
      </c>
      <c r="F3470" t="s">
        <v>1541</v>
      </c>
      <c r="G3470" t="s">
        <v>427</v>
      </c>
      <c r="H3470">
        <v>68102</v>
      </c>
      <c r="I3470" t="s">
        <v>30</v>
      </c>
      <c r="J3470" t="s">
        <v>162</v>
      </c>
      <c r="K3470" t="s">
        <v>759</v>
      </c>
      <c r="N3470" t="s">
        <v>63128</v>
      </c>
      <c r="Q3470">
        <v>0</v>
      </c>
      <c r="R3470">
        <v>414</v>
      </c>
      <c r="S3470">
        <v>0</v>
      </c>
      <c r="T3470" t="s">
        <v>63129</v>
      </c>
    </row>
    <row r="3471" spans="1:20" customFormat="1" ht="15" x14ac:dyDescent="0.25">
      <c r="A3471" t="s">
        <v>24</v>
      </c>
      <c r="B3471" t="s">
        <v>2583</v>
      </c>
      <c r="C3471" t="str">
        <f>"A0076296"</f>
        <v>A0076296</v>
      </c>
      <c r="D3471" t="s">
        <v>63130</v>
      </c>
      <c r="E3471" t="s">
        <v>63131</v>
      </c>
      <c r="F3471" t="s">
        <v>63132</v>
      </c>
      <c r="G3471" t="s">
        <v>71</v>
      </c>
      <c r="H3471">
        <v>53158</v>
      </c>
      <c r="I3471" t="s">
        <v>30</v>
      </c>
      <c r="J3471" t="s">
        <v>162</v>
      </c>
      <c r="K3471" t="s">
        <v>759</v>
      </c>
      <c r="N3471" t="s">
        <v>63133</v>
      </c>
      <c r="Q3471">
        <v>0</v>
      </c>
      <c r="R3471">
        <v>120</v>
      </c>
      <c r="S3471">
        <v>0</v>
      </c>
      <c r="T3471" t="s">
        <v>63134</v>
      </c>
    </row>
    <row r="3472" spans="1:20" customFormat="1" ht="15" x14ac:dyDescent="0.25">
      <c r="A3472" t="s">
        <v>24</v>
      </c>
      <c r="B3472" t="s">
        <v>13730</v>
      </c>
      <c r="C3472" t="str">
        <f>"A0077859"</f>
        <v>A0077859</v>
      </c>
      <c r="D3472" t="s">
        <v>63135</v>
      </c>
      <c r="E3472" t="s">
        <v>63136</v>
      </c>
      <c r="F3472" t="s">
        <v>1431</v>
      </c>
      <c r="G3472" t="s">
        <v>47</v>
      </c>
      <c r="H3472">
        <v>97232</v>
      </c>
      <c r="I3472" t="s">
        <v>30</v>
      </c>
      <c r="J3472" t="s">
        <v>162</v>
      </c>
      <c r="K3472" t="s">
        <v>759</v>
      </c>
      <c r="N3472" t="s">
        <v>63137</v>
      </c>
      <c r="O3472" t="s">
        <v>63138</v>
      </c>
      <c r="Q3472">
        <v>0</v>
      </c>
      <c r="R3472">
        <v>477</v>
      </c>
      <c r="S3472">
        <v>0</v>
      </c>
      <c r="T3472" t="s">
        <v>63139</v>
      </c>
    </row>
    <row r="3473" spans="1:20" customFormat="1" ht="15" x14ac:dyDescent="0.25">
      <c r="A3473" t="s">
        <v>24</v>
      </c>
      <c r="B3473" t="s">
        <v>3128</v>
      </c>
      <c r="C3473" t="str">
        <f>"A0061442"</f>
        <v>A0061442</v>
      </c>
      <c r="D3473" t="s">
        <v>63147</v>
      </c>
      <c r="E3473" t="s">
        <v>63148</v>
      </c>
      <c r="F3473" t="s">
        <v>356</v>
      </c>
      <c r="G3473" t="s">
        <v>52</v>
      </c>
      <c r="H3473">
        <v>78216</v>
      </c>
      <c r="I3473" t="s">
        <v>30</v>
      </c>
      <c r="J3473" t="s">
        <v>162</v>
      </c>
      <c r="K3473" t="s">
        <v>759</v>
      </c>
      <c r="N3473" t="s">
        <v>63149</v>
      </c>
      <c r="Q3473">
        <v>0</v>
      </c>
      <c r="R3473">
        <v>291</v>
      </c>
      <c r="S3473">
        <v>0</v>
      </c>
      <c r="T3473" t="s">
        <v>63150</v>
      </c>
    </row>
    <row r="3474" spans="1:20" customFormat="1" ht="15" x14ac:dyDescent="0.25">
      <c r="A3474" t="s">
        <v>24</v>
      </c>
      <c r="B3474" t="s">
        <v>2910</v>
      </c>
      <c r="C3474" t="str">
        <f>"34444"</f>
        <v>34444</v>
      </c>
      <c r="D3474" t="s">
        <v>63151</v>
      </c>
      <c r="E3474" t="s">
        <v>63152</v>
      </c>
      <c r="F3474" t="s">
        <v>63153</v>
      </c>
      <c r="G3474" t="s">
        <v>99</v>
      </c>
      <c r="H3474">
        <v>13057</v>
      </c>
      <c r="I3474" t="s">
        <v>30</v>
      </c>
      <c r="J3474" t="s">
        <v>162</v>
      </c>
      <c r="K3474" t="s">
        <v>759</v>
      </c>
      <c r="N3474" t="s">
        <v>63154</v>
      </c>
      <c r="O3474" t="s">
        <v>63155</v>
      </c>
      <c r="Q3474">
        <v>0</v>
      </c>
      <c r="R3474">
        <v>250</v>
      </c>
      <c r="S3474">
        <v>0</v>
      </c>
      <c r="T3474" t="s">
        <v>63156</v>
      </c>
    </row>
    <row r="3475" spans="1:20" customFormat="1" ht="15" x14ac:dyDescent="0.25">
      <c r="A3475" t="s">
        <v>24</v>
      </c>
      <c r="B3475" t="s">
        <v>63161</v>
      </c>
      <c r="C3475" t="str">
        <f>"A0059983"</f>
        <v>A0059983</v>
      </c>
      <c r="D3475" t="s">
        <v>63162</v>
      </c>
      <c r="E3475" t="s">
        <v>63163</v>
      </c>
      <c r="F3475" t="s">
        <v>242</v>
      </c>
      <c r="G3475" t="s">
        <v>214</v>
      </c>
      <c r="H3475">
        <v>28208</v>
      </c>
      <c r="I3475" t="s">
        <v>30</v>
      </c>
      <c r="J3475" t="s">
        <v>162</v>
      </c>
      <c r="K3475" t="s">
        <v>759</v>
      </c>
      <c r="N3475" t="s">
        <v>63164</v>
      </c>
      <c r="O3475" t="s">
        <v>63165</v>
      </c>
      <c r="Q3475">
        <v>0</v>
      </c>
      <c r="R3475">
        <v>174</v>
      </c>
      <c r="S3475">
        <v>0</v>
      </c>
      <c r="T3475" t="s">
        <v>63166</v>
      </c>
    </row>
    <row r="3476" spans="1:20" customFormat="1" ht="15" x14ac:dyDescent="0.25">
      <c r="A3476" t="s">
        <v>24</v>
      </c>
      <c r="B3476" t="s">
        <v>4400</v>
      </c>
      <c r="C3476" t="str">
        <f>"A0087383"</f>
        <v>A0087383</v>
      </c>
      <c r="D3476" t="s">
        <v>63167</v>
      </c>
      <c r="E3476" t="s">
        <v>63168</v>
      </c>
      <c r="F3476" t="s">
        <v>1346</v>
      </c>
      <c r="G3476" t="s">
        <v>880</v>
      </c>
      <c r="H3476">
        <v>37402</v>
      </c>
      <c r="I3476" t="s">
        <v>30</v>
      </c>
      <c r="J3476" t="s">
        <v>162</v>
      </c>
      <c r="K3476" t="s">
        <v>759</v>
      </c>
      <c r="N3476" t="s">
        <v>63169</v>
      </c>
      <c r="O3476" t="s">
        <v>63170</v>
      </c>
      <c r="Q3476">
        <v>0</v>
      </c>
      <c r="R3476">
        <v>186</v>
      </c>
      <c r="S3476">
        <v>0</v>
      </c>
      <c r="T3476" t="s">
        <v>63171</v>
      </c>
    </row>
    <row r="3477" spans="1:20" customFormat="1" ht="15" x14ac:dyDescent="0.25">
      <c r="A3477" t="s">
        <v>24</v>
      </c>
      <c r="B3477" t="s">
        <v>1548</v>
      </c>
      <c r="C3477" t="str">
        <f>"SF01676"</f>
        <v>SF01676</v>
      </c>
      <c r="D3477" t="s">
        <v>63172</v>
      </c>
      <c r="E3477" t="s">
        <v>63173</v>
      </c>
      <c r="F3477" t="s">
        <v>2307</v>
      </c>
      <c r="G3477" t="s">
        <v>65</v>
      </c>
      <c r="H3477">
        <v>44114</v>
      </c>
      <c r="I3477" t="s">
        <v>30</v>
      </c>
      <c r="J3477" t="s">
        <v>162</v>
      </c>
      <c r="K3477" t="s">
        <v>759</v>
      </c>
      <c r="N3477" t="s">
        <v>63174</v>
      </c>
      <c r="Q3477">
        <v>0</v>
      </c>
      <c r="R3477">
        <v>379</v>
      </c>
      <c r="S3477">
        <v>0</v>
      </c>
      <c r="T3477" t="s">
        <v>63175</v>
      </c>
    </row>
    <row r="3478" spans="1:20" customFormat="1" ht="15" x14ac:dyDescent="0.25">
      <c r="A3478" t="s">
        <v>24</v>
      </c>
      <c r="B3478" t="s">
        <v>13679</v>
      </c>
      <c r="C3478" t="str">
        <f>"A0058728"</f>
        <v>A0058728</v>
      </c>
      <c r="D3478" t="s">
        <v>63176</v>
      </c>
      <c r="E3478" t="s">
        <v>63177</v>
      </c>
      <c r="F3478" t="s">
        <v>2978</v>
      </c>
      <c r="G3478" t="s">
        <v>110</v>
      </c>
      <c r="H3478">
        <v>92130</v>
      </c>
      <c r="I3478" t="s">
        <v>30</v>
      </c>
      <c r="J3478" t="s">
        <v>162</v>
      </c>
      <c r="K3478" t="s">
        <v>759</v>
      </c>
      <c r="N3478" t="s">
        <v>63178</v>
      </c>
      <c r="Q3478">
        <v>0</v>
      </c>
      <c r="R3478">
        <v>224</v>
      </c>
      <c r="S3478">
        <v>0</v>
      </c>
      <c r="T3478" t="s">
        <v>63179</v>
      </c>
    </row>
    <row r="3479" spans="1:20" customFormat="1" ht="15" x14ac:dyDescent="0.25">
      <c r="A3479" t="s">
        <v>24</v>
      </c>
      <c r="B3479" t="s">
        <v>8579</v>
      </c>
      <c r="C3479" t="str">
        <f>"A0089699"</f>
        <v>A0089699</v>
      </c>
      <c r="D3479" t="s">
        <v>63180</v>
      </c>
      <c r="E3479" t="s">
        <v>63181</v>
      </c>
      <c r="F3479" t="s">
        <v>972</v>
      </c>
      <c r="G3479" t="s">
        <v>190</v>
      </c>
      <c r="H3479">
        <v>80249</v>
      </c>
      <c r="I3479" t="s">
        <v>30</v>
      </c>
      <c r="J3479" t="s">
        <v>162</v>
      </c>
      <c r="K3479" t="s">
        <v>759</v>
      </c>
      <c r="N3479" t="s">
        <v>63182</v>
      </c>
      <c r="O3479" t="s">
        <v>63183</v>
      </c>
      <c r="Q3479">
        <v>0</v>
      </c>
      <c r="R3479">
        <v>161</v>
      </c>
      <c r="S3479">
        <v>0</v>
      </c>
      <c r="T3479" t="s">
        <v>63184</v>
      </c>
    </row>
    <row r="3480" spans="1:20" customFormat="1" ht="15" x14ac:dyDescent="0.25">
      <c r="A3480" t="s">
        <v>24</v>
      </c>
      <c r="B3480" t="s">
        <v>3367</v>
      </c>
      <c r="C3480" t="str">
        <f>"A0086973"</f>
        <v>A0086973</v>
      </c>
      <c r="D3480" t="s">
        <v>63191</v>
      </c>
      <c r="E3480" t="s">
        <v>63192</v>
      </c>
      <c r="F3480" t="s">
        <v>2856</v>
      </c>
      <c r="G3480" t="s">
        <v>52</v>
      </c>
      <c r="H3480">
        <v>79901</v>
      </c>
      <c r="I3480" t="s">
        <v>30</v>
      </c>
      <c r="J3480" t="s">
        <v>162</v>
      </c>
      <c r="K3480" t="s">
        <v>759</v>
      </c>
      <c r="N3480" t="s">
        <v>63193</v>
      </c>
      <c r="O3480" t="s">
        <v>63194</v>
      </c>
      <c r="Q3480">
        <v>0</v>
      </c>
      <c r="R3480">
        <v>200</v>
      </c>
      <c r="S3480">
        <v>0</v>
      </c>
      <c r="T3480" t="s">
        <v>63195</v>
      </c>
    </row>
    <row r="3481" spans="1:20" customFormat="1" ht="15" x14ac:dyDescent="0.25">
      <c r="A3481" t="s">
        <v>24</v>
      </c>
      <c r="B3481" t="s">
        <v>8579</v>
      </c>
      <c r="C3481" t="str">
        <f>"A0060557"</f>
        <v>A0060557</v>
      </c>
      <c r="D3481" t="s">
        <v>63196</v>
      </c>
      <c r="E3481" t="s">
        <v>63197</v>
      </c>
      <c r="F3481" t="s">
        <v>9346</v>
      </c>
      <c r="G3481" t="s">
        <v>190</v>
      </c>
      <c r="H3481">
        <v>81506</v>
      </c>
      <c r="I3481" t="s">
        <v>30</v>
      </c>
      <c r="J3481" t="s">
        <v>162</v>
      </c>
      <c r="K3481" t="s">
        <v>759</v>
      </c>
      <c r="N3481" t="s">
        <v>63198</v>
      </c>
      <c r="O3481" t="s">
        <v>63199</v>
      </c>
      <c r="Q3481">
        <v>0</v>
      </c>
      <c r="R3481">
        <v>273</v>
      </c>
      <c r="S3481">
        <v>0</v>
      </c>
      <c r="T3481" t="s">
        <v>63200</v>
      </c>
    </row>
    <row r="3482" spans="1:20" customFormat="1" ht="15" x14ac:dyDescent="0.25">
      <c r="A3482" t="s">
        <v>24</v>
      </c>
      <c r="B3482" t="s">
        <v>976</v>
      </c>
      <c r="C3482" t="str">
        <f>"A0056717"</f>
        <v>A0056717</v>
      </c>
      <c r="D3482" t="s">
        <v>63201</v>
      </c>
      <c r="E3482" t="s">
        <v>63202</v>
      </c>
      <c r="F3482" t="s">
        <v>3932</v>
      </c>
      <c r="G3482" t="s">
        <v>117</v>
      </c>
      <c r="H3482">
        <v>49512</v>
      </c>
      <c r="I3482" t="s">
        <v>30</v>
      </c>
      <c r="J3482" t="s">
        <v>162</v>
      </c>
      <c r="K3482" t="s">
        <v>759</v>
      </c>
      <c r="N3482" t="s">
        <v>63203</v>
      </c>
      <c r="Q3482">
        <v>0</v>
      </c>
      <c r="R3482">
        <v>226</v>
      </c>
      <c r="S3482">
        <v>0</v>
      </c>
      <c r="T3482" t="s">
        <v>63204</v>
      </c>
    </row>
    <row r="3483" spans="1:20" customFormat="1" ht="15" x14ac:dyDescent="0.25">
      <c r="A3483" t="s">
        <v>24</v>
      </c>
      <c r="B3483" t="s">
        <v>2917</v>
      </c>
      <c r="C3483" t="str">
        <f>"A0062077"</f>
        <v>A0062077</v>
      </c>
      <c r="D3483" t="s">
        <v>63205</v>
      </c>
      <c r="E3483" t="s">
        <v>63206</v>
      </c>
      <c r="F3483" t="s">
        <v>6390</v>
      </c>
      <c r="G3483" t="s">
        <v>29</v>
      </c>
      <c r="H3483">
        <v>22801</v>
      </c>
      <c r="I3483" t="s">
        <v>30</v>
      </c>
      <c r="J3483" t="s">
        <v>162</v>
      </c>
      <c r="K3483" t="s">
        <v>759</v>
      </c>
      <c r="N3483" t="s">
        <v>63207</v>
      </c>
      <c r="Q3483">
        <v>0</v>
      </c>
      <c r="R3483">
        <v>143</v>
      </c>
      <c r="S3483">
        <v>0</v>
      </c>
      <c r="T3483" t="s">
        <v>63208</v>
      </c>
    </row>
    <row r="3484" spans="1:20" customFormat="1" ht="15" x14ac:dyDescent="0.25">
      <c r="A3484" t="s">
        <v>24</v>
      </c>
      <c r="B3484" t="s">
        <v>4400</v>
      </c>
      <c r="C3484" t="str">
        <f>"A0099093"</f>
        <v>A0099093</v>
      </c>
      <c r="D3484" t="s">
        <v>63209</v>
      </c>
      <c r="E3484" t="s">
        <v>63210</v>
      </c>
      <c r="F3484" t="s">
        <v>35424</v>
      </c>
      <c r="G3484" t="s">
        <v>117</v>
      </c>
      <c r="H3484">
        <v>49423</v>
      </c>
      <c r="I3484" t="s">
        <v>30</v>
      </c>
      <c r="J3484" t="s">
        <v>162</v>
      </c>
      <c r="K3484" t="s">
        <v>759</v>
      </c>
      <c r="N3484" t="s">
        <v>63211</v>
      </c>
      <c r="O3484" t="s">
        <v>63212</v>
      </c>
      <c r="Q3484">
        <v>0</v>
      </c>
      <c r="R3484">
        <v>168</v>
      </c>
      <c r="S3484">
        <v>0</v>
      </c>
      <c r="T3484" t="s">
        <v>63213</v>
      </c>
    </row>
    <row r="3485" spans="1:20" customFormat="1" ht="15" x14ac:dyDescent="0.25">
      <c r="A3485" t="s">
        <v>24</v>
      </c>
      <c r="B3485" t="s">
        <v>976</v>
      </c>
      <c r="C3485" t="str">
        <f>"A0056770"</f>
        <v>A0056770</v>
      </c>
      <c r="D3485" t="s">
        <v>63214</v>
      </c>
      <c r="E3485" t="s">
        <v>63215</v>
      </c>
      <c r="F3485" t="s">
        <v>34900</v>
      </c>
      <c r="G3485" t="s">
        <v>1587</v>
      </c>
      <c r="H3485">
        <v>87102</v>
      </c>
      <c r="I3485" t="s">
        <v>30</v>
      </c>
      <c r="J3485" t="s">
        <v>162</v>
      </c>
      <c r="K3485" t="s">
        <v>759</v>
      </c>
      <c r="N3485" t="s">
        <v>63216</v>
      </c>
      <c r="O3485" t="s">
        <v>63217</v>
      </c>
      <c r="Q3485">
        <v>0</v>
      </c>
      <c r="R3485">
        <v>294</v>
      </c>
      <c r="S3485">
        <v>0</v>
      </c>
      <c r="T3485" t="s">
        <v>63218</v>
      </c>
    </row>
    <row r="3486" spans="1:20" customFormat="1" ht="15" x14ac:dyDescent="0.25">
      <c r="A3486" t="s">
        <v>24</v>
      </c>
      <c r="B3486" t="s">
        <v>976</v>
      </c>
      <c r="C3486" t="str">
        <f>"A0056695"</f>
        <v>A0056695</v>
      </c>
      <c r="D3486" t="s">
        <v>63219</v>
      </c>
      <c r="E3486" t="s">
        <v>63220</v>
      </c>
      <c r="F3486" t="s">
        <v>281</v>
      </c>
      <c r="G3486" t="s">
        <v>123</v>
      </c>
      <c r="H3486">
        <v>21401</v>
      </c>
      <c r="I3486" t="s">
        <v>30</v>
      </c>
      <c r="J3486" t="s">
        <v>162</v>
      </c>
      <c r="K3486" t="s">
        <v>759</v>
      </c>
      <c r="N3486" t="s">
        <v>63221</v>
      </c>
      <c r="O3486" t="s">
        <v>63222</v>
      </c>
      <c r="Q3486">
        <v>0</v>
      </c>
      <c r="R3486">
        <v>219</v>
      </c>
      <c r="S3486">
        <v>0</v>
      </c>
      <c r="T3486" t="s">
        <v>63223</v>
      </c>
    </row>
    <row r="3487" spans="1:20" customFormat="1" ht="15" x14ac:dyDescent="0.25">
      <c r="A3487" t="s">
        <v>24</v>
      </c>
      <c r="B3487" t="s">
        <v>2955</v>
      </c>
      <c r="C3487" t="str">
        <f>"A0085850"</f>
        <v>A0085850</v>
      </c>
      <c r="D3487" t="s">
        <v>63224</v>
      </c>
      <c r="E3487" t="s">
        <v>63225</v>
      </c>
      <c r="F3487" t="s">
        <v>34979</v>
      </c>
      <c r="G3487" t="s">
        <v>1170</v>
      </c>
      <c r="H3487">
        <v>70808</v>
      </c>
      <c r="I3487" t="s">
        <v>30</v>
      </c>
      <c r="J3487" t="s">
        <v>162</v>
      </c>
      <c r="K3487" t="s">
        <v>759</v>
      </c>
      <c r="N3487" t="s">
        <v>63226</v>
      </c>
      <c r="Q3487">
        <v>0</v>
      </c>
      <c r="R3487">
        <v>127</v>
      </c>
      <c r="S3487">
        <v>0</v>
      </c>
      <c r="T3487" t="s">
        <v>63227</v>
      </c>
    </row>
    <row r="3488" spans="1:20" customFormat="1" ht="15" x14ac:dyDescent="0.25">
      <c r="A3488" t="s">
        <v>24</v>
      </c>
      <c r="B3488" t="s">
        <v>1548</v>
      </c>
      <c r="C3488" t="str">
        <f>"A0086854"</f>
        <v>A0086854</v>
      </c>
      <c r="D3488" t="s">
        <v>63228</v>
      </c>
      <c r="E3488" t="s">
        <v>63229</v>
      </c>
      <c r="F3488" t="s">
        <v>13788</v>
      </c>
      <c r="G3488" t="s">
        <v>899</v>
      </c>
      <c r="H3488">
        <v>1730</v>
      </c>
      <c r="I3488" t="s">
        <v>30</v>
      </c>
      <c r="J3488" t="s">
        <v>162</v>
      </c>
      <c r="K3488" t="s">
        <v>759</v>
      </c>
      <c r="Q3488">
        <v>0</v>
      </c>
      <c r="R3488">
        <v>281</v>
      </c>
      <c r="S3488">
        <v>0</v>
      </c>
      <c r="T3488" t="s">
        <v>63230</v>
      </c>
    </row>
    <row r="3489" spans="1:20" customFormat="1" ht="15" x14ac:dyDescent="0.25">
      <c r="A3489" t="s">
        <v>24</v>
      </c>
      <c r="B3489" t="s">
        <v>1567</v>
      </c>
      <c r="C3489" t="str">
        <f>"A0083986"</f>
        <v>A0083986</v>
      </c>
      <c r="D3489" t="s">
        <v>63231</v>
      </c>
      <c r="E3489" t="s">
        <v>63232</v>
      </c>
      <c r="F3489" t="s">
        <v>3401</v>
      </c>
      <c r="G3489" t="s">
        <v>29</v>
      </c>
      <c r="H3489">
        <v>22901</v>
      </c>
      <c r="I3489" t="s">
        <v>30</v>
      </c>
      <c r="J3489" t="s">
        <v>162</v>
      </c>
      <c r="K3489" t="s">
        <v>759</v>
      </c>
      <c r="N3489" t="s">
        <v>63233</v>
      </c>
      <c r="Q3489">
        <v>0</v>
      </c>
      <c r="R3489">
        <v>235</v>
      </c>
      <c r="S3489">
        <v>0</v>
      </c>
      <c r="T3489" t="s">
        <v>63234</v>
      </c>
    </row>
    <row r="3490" spans="1:20" customFormat="1" ht="15" x14ac:dyDescent="0.25">
      <c r="A3490" t="s">
        <v>24</v>
      </c>
      <c r="B3490" t="s">
        <v>2917</v>
      </c>
      <c r="C3490" t="str">
        <f>"A0066853"</f>
        <v>A0066853</v>
      </c>
      <c r="D3490" t="s">
        <v>63235</v>
      </c>
      <c r="E3490" t="s">
        <v>63236</v>
      </c>
      <c r="F3490" t="s">
        <v>13634</v>
      </c>
      <c r="G3490" t="s">
        <v>190</v>
      </c>
      <c r="H3490">
        <v>80031</v>
      </c>
      <c r="I3490" t="s">
        <v>30</v>
      </c>
      <c r="J3490" t="s">
        <v>162</v>
      </c>
      <c r="K3490" t="s">
        <v>759</v>
      </c>
      <c r="N3490" t="s">
        <v>63237</v>
      </c>
      <c r="O3490" t="s">
        <v>63238</v>
      </c>
      <c r="Q3490">
        <v>0</v>
      </c>
      <c r="R3490">
        <v>180</v>
      </c>
      <c r="S3490">
        <v>0</v>
      </c>
      <c r="T3490" t="s">
        <v>63239</v>
      </c>
    </row>
    <row r="3491" spans="1:20" customFormat="1" ht="15" x14ac:dyDescent="0.25">
      <c r="A3491" t="s">
        <v>24</v>
      </c>
      <c r="B3491" t="s">
        <v>2812</v>
      </c>
      <c r="C3491" t="str">
        <f>"A0058644"</f>
        <v>A0058644</v>
      </c>
      <c r="D3491" t="s">
        <v>63240</v>
      </c>
      <c r="E3491" t="s">
        <v>63241</v>
      </c>
      <c r="F3491" t="s">
        <v>63242</v>
      </c>
      <c r="G3491" t="s">
        <v>338</v>
      </c>
      <c r="H3491">
        <v>7430</v>
      </c>
      <c r="I3491" t="s">
        <v>30</v>
      </c>
      <c r="J3491" t="s">
        <v>162</v>
      </c>
      <c r="K3491" t="s">
        <v>759</v>
      </c>
      <c r="N3491" t="s">
        <v>63243</v>
      </c>
      <c r="O3491" t="s">
        <v>63244</v>
      </c>
      <c r="Q3491">
        <v>0</v>
      </c>
      <c r="R3491">
        <v>139</v>
      </c>
      <c r="S3491">
        <v>0</v>
      </c>
      <c r="T3491" t="s">
        <v>63245</v>
      </c>
    </row>
    <row r="3492" spans="1:20" customFormat="1" ht="15" x14ac:dyDescent="0.25">
      <c r="A3492" t="s">
        <v>24</v>
      </c>
      <c r="B3492" t="s">
        <v>13730</v>
      </c>
      <c r="C3492" t="str">
        <f>"A0093119"</f>
        <v>A0093119</v>
      </c>
      <c r="D3492" t="s">
        <v>63246</v>
      </c>
      <c r="E3492" t="s">
        <v>63247</v>
      </c>
      <c r="F3492" t="s">
        <v>33653</v>
      </c>
      <c r="G3492" t="s">
        <v>110</v>
      </c>
      <c r="H3492">
        <v>95354</v>
      </c>
      <c r="I3492" t="s">
        <v>30</v>
      </c>
      <c r="J3492" t="s">
        <v>162</v>
      </c>
      <c r="K3492" t="s">
        <v>759</v>
      </c>
      <c r="N3492" t="s">
        <v>63248</v>
      </c>
      <c r="O3492" t="s">
        <v>63249</v>
      </c>
      <c r="Q3492">
        <v>0</v>
      </c>
      <c r="R3492">
        <v>260</v>
      </c>
      <c r="S3492">
        <v>0</v>
      </c>
      <c r="T3492" t="s">
        <v>63250</v>
      </c>
    </row>
    <row r="3493" spans="1:20" customFormat="1" ht="15" x14ac:dyDescent="0.25">
      <c r="A3493" t="s">
        <v>24</v>
      </c>
      <c r="B3493" t="s">
        <v>8742</v>
      </c>
      <c r="C3493" t="str">
        <f>"A0091264"</f>
        <v>A0091264</v>
      </c>
      <c r="D3493" t="s">
        <v>63251</v>
      </c>
      <c r="E3493" t="s">
        <v>63252</v>
      </c>
      <c r="F3493" t="s">
        <v>63253</v>
      </c>
      <c r="G3493" t="s">
        <v>1706</v>
      </c>
      <c r="H3493">
        <v>36104</v>
      </c>
      <c r="I3493" t="s">
        <v>30</v>
      </c>
      <c r="J3493" t="s">
        <v>162</v>
      </c>
      <c r="K3493" t="s">
        <v>759</v>
      </c>
      <c r="N3493" t="s">
        <v>63254</v>
      </c>
      <c r="O3493" t="s">
        <v>63255</v>
      </c>
      <c r="Q3493">
        <v>0</v>
      </c>
      <c r="R3493">
        <v>131</v>
      </c>
      <c r="S3493">
        <v>0</v>
      </c>
      <c r="T3493" t="s">
        <v>63256</v>
      </c>
    </row>
    <row r="3494" spans="1:20" customFormat="1" ht="15" x14ac:dyDescent="0.25">
      <c r="A3494" t="s">
        <v>24</v>
      </c>
      <c r="B3494" t="s">
        <v>13679</v>
      </c>
      <c r="C3494" t="str">
        <f>"A0066917"</f>
        <v>A0066917</v>
      </c>
      <c r="D3494" t="s">
        <v>63257</v>
      </c>
      <c r="E3494" t="s">
        <v>63258</v>
      </c>
      <c r="F3494" t="s">
        <v>2069</v>
      </c>
      <c r="G3494" t="s">
        <v>1170</v>
      </c>
      <c r="H3494">
        <v>70130</v>
      </c>
      <c r="I3494" t="s">
        <v>30</v>
      </c>
      <c r="J3494" t="s">
        <v>162</v>
      </c>
      <c r="K3494" t="s">
        <v>759</v>
      </c>
      <c r="N3494" t="s">
        <v>63259</v>
      </c>
      <c r="Q3494">
        <v>0</v>
      </c>
      <c r="R3494">
        <v>363</v>
      </c>
      <c r="S3494">
        <v>0</v>
      </c>
      <c r="T3494" t="s">
        <v>63260</v>
      </c>
    </row>
    <row r="3495" spans="1:20" customFormat="1" ht="15" x14ac:dyDescent="0.25">
      <c r="A3495" t="s">
        <v>24</v>
      </c>
      <c r="B3495" t="s">
        <v>10487</v>
      </c>
      <c r="C3495" t="str">
        <f>"SF04524"</f>
        <v>SF04524</v>
      </c>
      <c r="D3495" t="s">
        <v>63261</v>
      </c>
      <c r="E3495" t="s">
        <v>63262</v>
      </c>
      <c r="F3495" t="s">
        <v>17000</v>
      </c>
      <c r="G3495" t="s">
        <v>137</v>
      </c>
      <c r="H3495">
        <v>63134</v>
      </c>
      <c r="I3495" t="s">
        <v>30</v>
      </c>
      <c r="J3495" t="s">
        <v>162</v>
      </c>
      <c r="K3495" t="s">
        <v>759</v>
      </c>
      <c r="N3495" t="s">
        <v>63263</v>
      </c>
      <c r="Q3495">
        <v>0</v>
      </c>
      <c r="R3495">
        <v>158</v>
      </c>
      <c r="S3495">
        <v>0</v>
      </c>
      <c r="T3495" t="s">
        <v>63264</v>
      </c>
    </row>
    <row r="3496" spans="1:20" customFormat="1" ht="15" x14ac:dyDescent="0.25">
      <c r="A3496" t="s">
        <v>24</v>
      </c>
      <c r="B3496" t="s">
        <v>63265</v>
      </c>
      <c r="C3496" t="str">
        <f>"A0076797"</f>
        <v>A0076797</v>
      </c>
      <c r="D3496" t="s">
        <v>63266</v>
      </c>
      <c r="E3496" t="s">
        <v>63267</v>
      </c>
      <c r="F3496" t="s">
        <v>12569</v>
      </c>
      <c r="G3496" t="s">
        <v>99</v>
      </c>
      <c r="H3496">
        <v>10591</v>
      </c>
      <c r="I3496" t="s">
        <v>30</v>
      </c>
      <c r="J3496" t="s">
        <v>162</v>
      </c>
      <c r="K3496" t="s">
        <v>759</v>
      </c>
      <c r="N3496" t="s">
        <v>63268</v>
      </c>
      <c r="O3496" t="s">
        <v>63269</v>
      </c>
      <c r="Q3496">
        <v>0</v>
      </c>
      <c r="R3496">
        <v>242</v>
      </c>
      <c r="S3496">
        <v>0</v>
      </c>
      <c r="T3496" t="s">
        <v>63270</v>
      </c>
    </row>
    <row r="3497" spans="1:20" customFormat="1" ht="15" x14ac:dyDescent="0.25">
      <c r="A3497" t="s">
        <v>24</v>
      </c>
      <c r="B3497" t="s">
        <v>193</v>
      </c>
      <c r="C3497" t="str">
        <f>"A0092137"</f>
        <v>A0092137</v>
      </c>
      <c r="D3497" t="s">
        <v>14612</v>
      </c>
      <c r="E3497" t="s">
        <v>14613</v>
      </c>
      <c r="F3497" t="s">
        <v>14614</v>
      </c>
      <c r="G3497" t="s">
        <v>110</v>
      </c>
      <c r="H3497">
        <v>93703</v>
      </c>
      <c r="I3497" t="s">
        <v>30</v>
      </c>
      <c r="J3497" t="s">
        <v>31</v>
      </c>
      <c r="K3497" t="s">
        <v>2524</v>
      </c>
      <c r="N3497" t="s">
        <v>14615</v>
      </c>
      <c r="Q3497">
        <v>0</v>
      </c>
      <c r="R3497">
        <v>151</v>
      </c>
      <c r="S3497">
        <v>0</v>
      </c>
      <c r="T3497" t="s">
        <v>14616</v>
      </c>
    </row>
    <row r="3498" spans="1:20" customFormat="1" ht="15" x14ac:dyDescent="0.25">
      <c r="A3498" t="s">
        <v>24</v>
      </c>
      <c r="B3498" t="s">
        <v>57556</v>
      </c>
      <c r="C3498" t="str">
        <f>"A0148411"</f>
        <v>A0148411</v>
      </c>
      <c r="D3498" t="s">
        <v>63271</v>
      </c>
      <c r="E3498" t="s">
        <v>63272</v>
      </c>
      <c r="F3498" t="s">
        <v>63273</v>
      </c>
      <c r="G3498" t="s">
        <v>507</v>
      </c>
      <c r="H3498">
        <v>25701</v>
      </c>
      <c r="I3498" t="s">
        <v>30</v>
      </c>
      <c r="J3498" t="s">
        <v>162</v>
      </c>
      <c r="K3498" t="s">
        <v>759</v>
      </c>
      <c r="N3498" t="s">
        <v>63274</v>
      </c>
      <c r="Q3498">
        <v>0</v>
      </c>
      <c r="R3498">
        <v>183</v>
      </c>
      <c r="S3498">
        <v>0</v>
      </c>
      <c r="T3498" t="s">
        <v>63275</v>
      </c>
    </row>
    <row r="3499" spans="1:20" customFormat="1" ht="15" x14ac:dyDescent="0.25">
      <c r="A3499" t="s">
        <v>24</v>
      </c>
      <c r="B3499" t="s">
        <v>1849</v>
      </c>
      <c r="C3499" t="str">
        <f>"A0094152"</f>
        <v>A0094152</v>
      </c>
      <c r="D3499" t="s">
        <v>63276</v>
      </c>
      <c r="E3499" t="s">
        <v>63277</v>
      </c>
      <c r="F3499" t="s">
        <v>2443</v>
      </c>
      <c r="G3499" t="s">
        <v>81</v>
      </c>
      <c r="H3499">
        <v>32218</v>
      </c>
      <c r="I3499" t="s">
        <v>30</v>
      </c>
      <c r="J3499" t="s">
        <v>162</v>
      </c>
      <c r="K3499" t="s">
        <v>759</v>
      </c>
      <c r="N3499" t="s">
        <v>63278</v>
      </c>
      <c r="Q3499">
        <v>0</v>
      </c>
      <c r="R3499">
        <v>201</v>
      </c>
      <c r="S3499">
        <v>0</v>
      </c>
      <c r="T3499" t="s">
        <v>63279</v>
      </c>
    </row>
    <row r="3500" spans="1:20" customFormat="1" ht="15" x14ac:dyDescent="0.25">
      <c r="A3500" t="s">
        <v>24</v>
      </c>
      <c r="B3500" t="s">
        <v>3628</v>
      </c>
      <c r="C3500" t="str">
        <f>"88HM005"</f>
        <v>88HM005</v>
      </c>
      <c r="D3500" t="s">
        <v>14626</v>
      </c>
      <c r="E3500" t="s">
        <v>14627</v>
      </c>
      <c r="F3500" t="s">
        <v>10379</v>
      </c>
      <c r="G3500" t="s">
        <v>81</v>
      </c>
      <c r="H3500">
        <v>34103</v>
      </c>
      <c r="I3500" t="s">
        <v>30</v>
      </c>
      <c r="J3500" t="s">
        <v>31</v>
      </c>
      <c r="K3500" t="s">
        <v>198</v>
      </c>
      <c r="N3500" t="s">
        <v>14628</v>
      </c>
      <c r="Q3500">
        <v>0</v>
      </c>
      <c r="R3500">
        <v>107</v>
      </c>
      <c r="S3500">
        <v>0</v>
      </c>
      <c r="T3500" t="s">
        <v>14629</v>
      </c>
    </row>
    <row r="3501" spans="1:20" customFormat="1" ht="15" x14ac:dyDescent="0.25">
      <c r="A3501" t="s">
        <v>24</v>
      </c>
      <c r="B3501" t="s">
        <v>3628</v>
      </c>
      <c r="C3501" t="str">
        <f>"A0077414"</f>
        <v>A0077414</v>
      </c>
      <c r="D3501" t="s">
        <v>14630</v>
      </c>
      <c r="E3501" t="s">
        <v>14631</v>
      </c>
      <c r="F3501" t="s">
        <v>839</v>
      </c>
      <c r="G3501" t="s">
        <v>840</v>
      </c>
      <c r="H3501">
        <v>40202</v>
      </c>
      <c r="I3501" t="s">
        <v>30</v>
      </c>
      <c r="J3501" t="s">
        <v>31</v>
      </c>
      <c r="K3501" t="s">
        <v>198</v>
      </c>
      <c r="N3501" t="s">
        <v>14632</v>
      </c>
      <c r="Q3501">
        <v>0</v>
      </c>
      <c r="R3501">
        <v>173</v>
      </c>
      <c r="S3501">
        <v>0</v>
      </c>
      <c r="T3501" t="s">
        <v>14633</v>
      </c>
    </row>
    <row r="3502" spans="1:20" customFormat="1" ht="15" x14ac:dyDescent="0.25">
      <c r="A3502" t="s">
        <v>24</v>
      </c>
      <c r="B3502" t="s">
        <v>3628</v>
      </c>
      <c r="C3502" t="str">
        <f>"A0073307"</f>
        <v>A0073307</v>
      </c>
      <c r="D3502" t="s">
        <v>14634</v>
      </c>
      <c r="E3502" t="s">
        <v>14635</v>
      </c>
      <c r="F3502" t="s">
        <v>4909</v>
      </c>
      <c r="G3502" t="s">
        <v>123</v>
      </c>
      <c r="H3502">
        <v>21045</v>
      </c>
      <c r="I3502" t="s">
        <v>30</v>
      </c>
      <c r="J3502" t="s">
        <v>31</v>
      </c>
      <c r="K3502" t="s">
        <v>198</v>
      </c>
      <c r="N3502" t="s">
        <v>14636</v>
      </c>
      <c r="Q3502">
        <v>0</v>
      </c>
      <c r="R3502">
        <v>83</v>
      </c>
      <c r="S3502">
        <v>0</v>
      </c>
      <c r="T3502" t="s">
        <v>14637</v>
      </c>
    </row>
    <row r="3503" spans="1:20" customFormat="1" ht="15" x14ac:dyDescent="0.25">
      <c r="A3503" t="s">
        <v>24</v>
      </c>
      <c r="B3503" t="s">
        <v>6976</v>
      </c>
      <c r="C3503" t="str">
        <f>"A0117568"</f>
        <v>A0117568</v>
      </c>
      <c r="D3503" t="s">
        <v>63280</v>
      </c>
      <c r="E3503" t="s">
        <v>63281</v>
      </c>
      <c r="F3503" t="s">
        <v>63282</v>
      </c>
      <c r="G3503" t="s">
        <v>99</v>
      </c>
      <c r="H3503">
        <v>14701</v>
      </c>
      <c r="I3503" t="s">
        <v>30</v>
      </c>
      <c r="J3503" t="s">
        <v>162</v>
      </c>
      <c r="K3503" t="s">
        <v>759</v>
      </c>
      <c r="N3503" t="s">
        <v>63283</v>
      </c>
      <c r="Q3503">
        <v>0</v>
      </c>
      <c r="R3503">
        <v>147</v>
      </c>
      <c r="S3503">
        <v>0</v>
      </c>
      <c r="T3503" t="s">
        <v>63284</v>
      </c>
    </row>
    <row r="3504" spans="1:20" customFormat="1" ht="15" x14ac:dyDescent="0.25">
      <c r="A3504" t="s">
        <v>24</v>
      </c>
      <c r="B3504" t="s">
        <v>1849</v>
      </c>
      <c r="C3504" t="str">
        <f>"SF03118"</f>
        <v>SF03118</v>
      </c>
      <c r="D3504" t="s">
        <v>63290</v>
      </c>
      <c r="E3504" t="s">
        <v>63291</v>
      </c>
      <c r="F3504" t="s">
        <v>2732</v>
      </c>
      <c r="G3504" t="s">
        <v>1363</v>
      </c>
      <c r="H3504">
        <v>3101</v>
      </c>
      <c r="I3504" t="s">
        <v>30</v>
      </c>
      <c r="J3504" t="s">
        <v>162</v>
      </c>
      <c r="K3504" t="s">
        <v>759</v>
      </c>
      <c r="N3504" t="s">
        <v>63292</v>
      </c>
      <c r="O3504" t="s">
        <v>63293</v>
      </c>
      <c r="Q3504">
        <v>0</v>
      </c>
      <c r="R3504">
        <v>250</v>
      </c>
      <c r="S3504">
        <v>0</v>
      </c>
      <c r="T3504" t="s">
        <v>63294</v>
      </c>
    </row>
    <row r="3505" spans="1:20" customFormat="1" ht="15" x14ac:dyDescent="0.25">
      <c r="A3505" t="s">
        <v>24</v>
      </c>
      <c r="B3505" t="s">
        <v>3221</v>
      </c>
      <c r="C3505" t="str">
        <f>"A0058554"</f>
        <v>A0058554</v>
      </c>
      <c r="D3505" t="s">
        <v>63295</v>
      </c>
      <c r="E3505" t="s">
        <v>63296</v>
      </c>
      <c r="F3505" t="s">
        <v>7714</v>
      </c>
      <c r="G3505" t="s">
        <v>197</v>
      </c>
      <c r="H3505">
        <v>85210</v>
      </c>
      <c r="I3505" t="s">
        <v>30</v>
      </c>
      <c r="J3505" t="s">
        <v>162</v>
      </c>
      <c r="K3505" t="s">
        <v>759</v>
      </c>
      <c r="N3505" t="s">
        <v>63297</v>
      </c>
      <c r="Q3505">
        <v>0</v>
      </c>
      <c r="R3505">
        <v>263</v>
      </c>
      <c r="S3505">
        <v>0</v>
      </c>
      <c r="T3505" t="s">
        <v>63298</v>
      </c>
    </row>
    <row r="3506" spans="1:20" customFormat="1" ht="15" x14ac:dyDescent="0.25">
      <c r="A3506" t="s">
        <v>24</v>
      </c>
      <c r="B3506" t="s">
        <v>2221</v>
      </c>
      <c r="C3506" t="str">
        <f>"A0094368"</f>
        <v>A0094368</v>
      </c>
      <c r="D3506" t="s">
        <v>14650</v>
      </c>
      <c r="E3506" t="s">
        <v>14651</v>
      </c>
      <c r="F3506" t="s">
        <v>14652</v>
      </c>
      <c r="G3506" t="s">
        <v>99</v>
      </c>
      <c r="H3506">
        <v>11436</v>
      </c>
      <c r="I3506" t="s">
        <v>30</v>
      </c>
      <c r="J3506" t="s">
        <v>31</v>
      </c>
      <c r="K3506" t="s">
        <v>198</v>
      </c>
      <c r="N3506" t="s">
        <v>14653</v>
      </c>
      <c r="Q3506">
        <v>0</v>
      </c>
      <c r="R3506">
        <v>216</v>
      </c>
      <c r="S3506">
        <v>0</v>
      </c>
      <c r="T3506" t="s">
        <v>14654</v>
      </c>
    </row>
    <row r="3507" spans="1:20" customFormat="1" ht="15" x14ac:dyDescent="0.25">
      <c r="A3507" t="s">
        <v>35</v>
      </c>
      <c r="B3507" t="s">
        <v>61</v>
      </c>
      <c r="C3507" t="str">
        <f>"A0186851"</f>
        <v>A0186851</v>
      </c>
      <c r="D3507" t="s">
        <v>14655</v>
      </c>
      <c r="E3507" t="s">
        <v>14656</v>
      </c>
      <c r="F3507" t="s">
        <v>14657</v>
      </c>
      <c r="G3507" t="s">
        <v>840</v>
      </c>
      <c r="H3507">
        <v>40741</v>
      </c>
      <c r="I3507" t="s">
        <v>30</v>
      </c>
      <c r="J3507" t="s">
        <v>41</v>
      </c>
      <c r="K3507" t="s">
        <v>229</v>
      </c>
      <c r="Q3507">
        <v>0</v>
      </c>
      <c r="R3507">
        <v>0</v>
      </c>
      <c r="S3507">
        <v>0</v>
      </c>
      <c r="T3507" t="s">
        <v>72</v>
      </c>
    </row>
    <row r="3508" spans="1:20" customFormat="1" ht="15" x14ac:dyDescent="0.25">
      <c r="A3508" t="s">
        <v>35</v>
      </c>
      <c r="B3508" t="s">
        <v>61</v>
      </c>
      <c r="C3508" t="str">
        <f>"A0186850"</f>
        <v>A0186850</v>
      </c>
      <c r="D3508" t="s">
        <v>14658</v>
      </c>
      <c r="E3508" t="s">
        <v>14659</v>
      </c>
      <c r="F3508" t="s">
        <v>14657</v>
      </c>
      <c r="G3508" t="s">
        <v>840</v>
      </c>
      <c r="H3508">
        <v>40741</v>
      </c>
      <c r="I3508" t="s">
        <v>30</v>
      </c>
      <c r="J3508" t="s">
        <v>41</v>
      </c>
      <c r="K3508" t="s">
        <v>229</v>
      </c>
      <c r="Q3508">
        <v>0</v>
      </c>
      <c r="R3508">
        <v>0</v>
      </c>
      <c r="S3508">
        <v>0</v>
      </c>
      <c r="T3508" t="s">
        <v>72</v>
      </c>
    </row>
    <row r="3509" spans="1:20" customFormat="1" ht="15" x14ac:dyDescent="0.25">
      <c r="A3509" t="s">
        <v>35</v>
      </c>
      <c r="B3509" t="s">
        <v>8631</v>
      </c>
      <c r="C3509" t="str">
        <f>"A0186849"</f>
        <v>A0186849</v>
      </c>
      <c r="D3509" t="s">
        <v>14660</v>
      </c>
      <c r="E3509" t="s">
        <v>14661</v>
      </c>
      <c r="F3509" t="s">
        <v>14662</v>
      </c>
      <c r="G3509" t="s">
        <v>81</v>
      </c>
      <c r="H3509">
        <v>33778</v>
      </c>
      <c r="I3509" t="s">
        <v>30</v>
      </c>
      <c r="J3509" t="s">
        <v>41</v>
      </c>
      <c r="K3509" t="s">
        <v>229</v>
      </c>
      <c r="Q3509">
        <v>0</v>
      </c>
      <c r="R3509">
        <v>60</v>
      </c>
      <c r="S3509">
        <v>60</v>
      </c>
      <c r="T3509" t="s">
        <v>14663</v>
      </c>
    </row>
    <row r="3510" spans="1:20" customFormat="1" ht="15" x14ac:dyDescent="0.25">
      <c r="A3510" t="s">
        <v>35</v>
      </c>
      <c r="B3510" t="s">
        <v>8631</v>
      </c>
      <c r="C3510" t="str">
        <f>"A0186848"</f>
        <v>A0186848</v>
      </c>
      <c r="D3510" t="s">
        <v>14664</v>
      </c>
      <c r="E3510" t="s">
        <v>9295</v>
      </c>
      <c r="F3510" t="s">
        <v>5502</v>
      </c>
      <c r="G3510" t="s">
        <v>81</v>
      </c>
      <c r="H3510">
        <v>33774</v>
      </c>
      <c r="I3510" t="s">
        <v>30</v>
      </c>
      <c r="J3510" t="s">
        <v>41</v>
      </c>
      <c r="K3510" t="s">
        <v>229</v>
      </c>
      <c r="Q3510">
        <v>0</v>
      </c>
      <c r="R3510">
        <v>180</v>
      </c>
      <c r="S3510">
        <v>180</v>
      </c>
      <c r="T3510" t="s">
        <v>9296</v>
      </c>
    </row>
    <row r="3511" spans="1:20" customFormat="1" ht="15" x14ac:dyDescent="0.25">
      <c r="A3511" t="s">
        <v>35</v>
      </c>
      <c r="B3511" t="s">
        <v>8631</v>
      </c>
      <c r="C3511" t="str">
        <f>"A0186847"</f>
        <v>A0186847</v>
      </c>
      <c r="D3511" t="s">
        <v>14665</v>
      </c>
      <c r="E3511" t="s">
        <v>14666</v>
      </c>
      <c r="F3511" t="s">
        <v>2457</v>
      </c>
      <c r="G3511" t="s">
        <v>81</v>
      </c>
      <c r="H3511">
        <v>32162</v>
      </c>
      <c r="I3511" t="s">
        <v>30</v>
      </c>
      <c r="J3511" t="s">
        <v>41</v>
      </c>
      <c r="K3511" t="s">
        <v>229</v>
      </c>
      <c r="Q3511">
        <v>0</v>
      </c>
      <c r="R3511">
        <v>120</v>
      </c>
      <c r="S3511">
        <v>120</v>
      </c>
      <c r="T3511" t="s">
        <v>14667</v>
      </c>
    </row>
    <row r="3512" spans="1:20" customFormat="1" ht="15" x14ac:dyDescent="0.25">
      <c r="A3512" t="s">
        <v>35</v>
      </c>
      <c r="B3512" t="s">
        <v>8631</v>
      </c>
      <c r="C3512" t="str">
        <f>"A0186846"</f>
        <v>A0186846</v>
      </c>
      <c r="D3512" t="s">
        <v>14668</v>
      </c>
      <c r="E3512" t="s">
        <v>14669</v>
      </c>
      <c r="F3512" t="s">
        <v>14670</v>
      </c>
      <c r="G3512" t="s">
        <v>81</v>
      </c>
      <c r="H3512">
        <v>33414</v>
      </c>
      <c r="I3512" t="s">
        <v>30</v>
      </c>
      <c r="J3512" t="s">
        <v>41</v>
      </c>
      <c r="K3512" t="s">
        <v>229</v>
      </c>
      <c r="Q3512">
        <v>0</v>
      </c>
      <c r="R3512">
        <v>165</v>
      </c>
      <c r="S3512">
        <v>165</v>
      </c>
      <c r="T3512" t="s">
        <v>14671</v>
      </c>
    </row>
    <row r="3513" spans="1:20" customFormat="1" ht="15" x14ac:dyDescent="0.25">
      <c r="A3513" t="s">
        <v>35</v>
      </c>
      <c r="B3513" t="s">
        <v>8631</v>
      </c>
      <c r="C3513" t="str">
        <f>"A0186845"</f>
        <v>A0186845</v>
      </c>
      <c r="D3513" t="s">
        <v>14672</v>
      </c>
      <c r="E3513" t="s">
        <v>14673</v>
      </c>
      <c r="F3513" t="s">
        <v>2457</v>
      </c>
      <c r="G3513" t="s">
        <v>81</v>
      </c>
      <c r="H3513">
        <v>32162</v>
      </c>
      <c r="I3513" t="s">
        <v>30</v>
      </c>
      <c r="J3513" t="s">
        <v>41</v>
      </c>
      <c r="K3513" t="s">
        <v>229</v>
      </c>
      <c r="Q3513">
        <v>0</v>
      </c>
      <c r="R3513">
        <v>135</v>
      </c>
      <c r="S3513">
        <v>135</v>
      </c>
      <c r="T3513" t="s">
        <v>14674</v>
      </c>
    </row>
    <row r="3514" spans="1:20" customFormat="1" ht="15" x14ac:dyDescent="0.25">
      <c r="A3514" t="s">
        <v>35</v>
      </c>
      <c r="B3514" t="s">
        <v>7359</v>
      </c>
      <c r="C3514" t="str">
        <f>"A0186844"</f>
        <v>A0186844</v>
      </c>
      <c r="D3514" t="s">
        <v>14675</v>
      </c>
      <c r="E3514" t="s">
        <v>14676</v>
      </c>
      <c r="F3514" t="s">
        <v>8039</v>
      </c>
      <c r="G3514" t="s">
        <v>110</v>
      </c>
      <c r="H3514">
        <v>95747</v>
      </c>
      <c r="I3514" t="s">
        <v>30</v>
      </c>
      <c r="J3514" t="s">
        <v>41</v>
      </c>
      <c r="K3514" t="s">
        <v>59</v>
      </c>
      <c r="Q3514">
        <v>0</v>
      </c>
      <c r="R3514">
        <v>78</v>
      </c>
      <c r="S3514">
        <v>78</v>
      </c>
      <c r="T3514" t="s">
        <v>14677</v>
      </c>
    </row>
    <row r="3515" spans="1:20" customFormat="1" ht="15" x14ac:dyDescent="0.25">
      <c r="A3515" t="s">
        <v>35</v>
      </c>
      <c r="B3515" t="s">
        <v>7359</v>
      </c>
      <c r="C3515" t="str">
        <f>"A0186843"</f>
        <v>A0186843</v>
      </c>
      <c r="D3515" t="s">
        <v>14678</v>
      </c>
      <c r="E3515" t="s">
        <v>14679</v>
      </c>
      <c r="F3515" t="s">
        <v>14680</v>
      </c>
      <c r="G3515" t="s">
        <v>110</v>
      </c>
      <c r="H3515">
        <v>95240</v>
      </c>
      <c r="I3515" t="s">
        <v>30</v>
      </c>
      <c r="J3515" t="s">
        <v>41</v>
      </c>
      <c r="K3515" t="s">
        <v>59</v>
      </c>
      <c r="Q3515">
        <v>0</v>
      </c>
      <c r="R3515">
        <v>82</v>
      </c>
      <c r="S3515">
        <v>82</v>
      </c>
      <c r="T3515" t="s">
        <v>72</v>
      </c>
    </row>
    <row r="3516" spans="1:20" customFormat="1" ht="15" x14ac:dyDescent="0.25">
      <c r="A3516" t="s">
        <v>35</v>
      </c>
      <c r="B3516" t="s">
        <v>7359</v>
      </c>
      <c r="C3516" t="str">
        <f>"A0186842"</f>
        <v>A0186842</v>
      </c>
      <c r="D3516" t="s">
        <v>14681</v>
      </c>
      <c r="E3516" t="s">
        <v>14682</v>
      </c>
      <c r="F3516" t="s">
        <v>9135</v>
      </c>
      <c r="G3516" t="s">
        <v>110</v>
      </c>
      <c r="H3516">
        <v>95135</v>
      </c>
      <c r="I3516" t="s">
        <v>30</v>
      </c>
      <c r="J3516" t="s">
        <v>41</v>
      </c>
      <c r="K3516" t="s">
        <v>59</v>
      </c>
      <c r="Q3516">
        <v>0</v>
      </c>
      <c r="R3516">
        <v>94</v>
      </c>
      <c r="S3516">
        <v>94</v>
      </c>
      <c r="T3516" t="s">
        <v>14683</v>
      </c>
    </row>
    <row r="3517" spans="1:20" customFormat="1" ht="15" x14ac:dyDescent="0.25">
      <c r="A3517" t="s">
        <v>35</v>
      </c>
      <c r="B3517" t="s">
        <v>7359</v>
      </c>
      <c r="C3517" t="str">
        <f>"A0186841"</f>
        <v>A0186841</v>
      </c>
      <c r="D3517" t="s">
        <v>14684</v>
      </c>
      <c r="E3517" t="s">
        <v>14685</v>
      </c>
      <c r="F3517" t="s">
        <v>14686</v>
      </c>
      <c r="G3517" t="s">
        <v>110</v>
      </c>
      <c r="H3517">
        <v>91301</v>
      </c>
      <c r="I3517" t="s">
        <v>30</v>
      </c>
      <c r="J3517" t="s">
        <v>41</v>
      </c>
      <c r="K3517" t="s">
        <v>59</v>
      </c>
      <c r="Q3517">
        <v>0</v>
      </c>
      <c r="R3517">
        <v>75</v>
      </c>
      <c r="S3517">
        <v>75</v>
      </c>
      <c r="T3517" t="s">
        <v>72</v>
      </c>
    </row>
    <row r="3518" spans="1:20" customFormat="1" ht="15" x14ac:dyDescent="0.25">
      <c r="A3518" t="s">
        <v>35</v>
      </c>
      <c r="B3518" t="s">
        <v>7359</v>
      </c>
      <c r="C3518" t="str">
        <f>"A0186840"</f>
        <v>A0186840</v>
      </c>
      <c r="D3518" t="s">
        <v>14687</v>
      </c>
      <c r="E3518" t="s">
        <v>14688</v>
      </c>
      <c r="F3518" t="s">
        <v>14689</v>
      </c>
      <c r="G3518" t="s">
        <v>110</v>
      </c>
      <c r="H3518">
        <v>93063</v>
      </c>
      <c r="I3518" t="s">
        <v>30</v>
      </c>
      <c r="J3518" t="s">
        <v>41</v>
      </c>
      <c r="K3518" t="s">
        <v>59</v>
      </c>
      <c r="Q3518">
        <v>0</v>
      </c>
      <c r="R3518">
        <v>81</v>
      </c>
      <c r="S3518">
        <v>81</v>
      </c>
      <c r="T3518" t="s">
        <v>14690</v>
      </c>
    </row>
    <row r="3519" spans="1:20" customFormat="1" ht="15" x14ac:dyDescent="0.25">
      <c r="A3519" t="s">
        <v>35</v>
      </c>
      <c r="B3519" t="s">
        <v>7359</v>
      </c>
      <c r="C3519" t="str">
        <f>"A0186839"</f>
        <v>A0186839</v>
      </c>
      <c r="D3519" t="s">
        <v>14691</v>
      </c>
      <c r="E3519" t="s">
        <v>14692</v>
      </c>
      <c r="F3519" t="s">
        <v>14693</v>
      </c>
      <c r="G3519" t="s">
        <v>110</v>
      </c>
      <c r="H3519">
        <v>92835</v>
      </c>
      <c r="I3519" t="s">
        <v>30</v>
      </c>
      <c r="J3519" t="s">
        <v>41</v>
      </c>
      <c r="K3519" t="s">
        <v>59</v>
      </c>
      <c r="Q3519">
        <v>0</v>
      </c>
      <c r="R3519">
        <v>95</v>
      </c>
      <c r="S3519">
        <v>95</v>
      </c>
      <c r="T3519" t="s">
        <v>14694</v>
      </c>
    </row>
    <row r="3520" spans="1:20" customFormat="1" ht="15" x14ac:dyDescent="0.25">
      <c r="A3520" t="s">
        <v>35</v>
      </c>
      <c r="B3520" t="s">
        <v>7359</v>
      </c>
      <c r="C3520" t="str">
        <f>"A0186838"</f>
        <v>A0186838</v>
      </c>
      <c r="D3520" t="s">
        <v>14695</v>
      </c>
      <c r="E3520" t="s">
        <v>14696</v>
      </c>
      <c r="F3520" t="s">
        <v>14697</v>
      </c>
      <c r="G3520" t="s">
        <v>110</v>
      </c>
      <c r="H3520">
        <v>90605</v>
      </c>
      <c r="I3520" t="s">
        <v>30</v>
      </c>
      <c r="J3520" t="s">
        <v>41</v>
      </c>
      <c r="K3520" t="s">
        <v>59</v>
      </c>
      <c r="Q3520">
        <v>0</v>
      </c>
      <c r="R3520">
        <v>85</v>
      </c>
      <c r="S3520">
        <v>85</v>
      </c>
      <c r="T3520" t="s">
        <v>14698</v>
      </c>
    </row>
    <row r="3521" spans="1:20" customFormat="1" ht="15" x14ac:dyDescent="0.25">
      <c r="A3521" t="s">
        <v>35</v>
      </c>
      <c r="B3521" t="s">
        <v>7359</v>
      </c>
      <c r="C3521" t="str">
        <f>"A0186837"</f>
        <v>A0186837</v>
      </c>
      <c r="D3521" t="s">
        <v>14699</v>
      </c>
      <c r="E3521" t="s">
        <v>14700</v>
      </c>
      <c r="F3521" t="s">
        <v>10190</v>
      </c>
      <c r="G3521" t="s">
        <v>110</v>
      </c>
      <c r="H3521">
        <v>90505</v>
      </c>
      <c r="I3521" t="s">
        <v>30</v>
      </c>
      <c r="J3521" t="s">
        <v>41</v>
      </c>
      <c r="K3521" t="s">
        <v>59</v>
      </c>
      <c r="Q3521">
        <v>0</v>
      </c>
      <c r="R3521">
        <v>83</v>
      </c>
      <c r="S3521">
        <v>83</v>
      </c>
      <c r="T3521" t="s">
        <v>14701</v>
      </c>
    </row>
    <row r="3522" spans="1:20" customFormat="1" ht="15" x14ac:dyDescent="0.25">
      <c r="A3522" t="s">
        <v>35</v>
      </c>
      <c r="B3522" t="s">
        <v>7359</v>
      </c>
      <c r="C3522" t="str">
        <f>"A0186836"</f>
        <v>A0186836</v>
      </c>
      <c r="D3522" t="s">
        <v>14702</v>
      </c>
      <c r="E3522" t="s">
        <v>14703</v>
      </c>
      <c r="F3522" t="s">
        <v>14704</v>
      </c>
      <c r="G3522" t="s">
        <v>110</v>
      </c>
      <c r="H3522">
        <v>91748</v>
      </c>
      <c r="I3522" t="s">
        <v>30</v>
      </c>
      <c r="J3522" t="s">
        <v>41</v>
      </c>
      <c r="K3522" t="s">
        <v>59</v>
      </c>
      <c r="Q3522">
        <v>0</v>
      </c>
      <c r="R3522">
        <v>86</v>
      </c>
      <c r="S3522">
        <v>86</v>
      </c>
      <c r="T3522" t="s">
        <v>14705</v>
      </c>
    </row>
    <row r="3523" spans="1:20" customFormat="1" ht="15" x14ac:dyDescent="0.25">
      <c r="A3523" t="s">
        <v>35</v>
      </c>
      <c r="B3523" t="s">
        <v>7359</v>
      </c>
      <c r="C3523" t="str">
        <f>"A0186835"</f>
        <v>A0186835</v>
      </c>
      <c r="D3523" t="s">
        <v>14706</v>
      </c>
      <c r="E3523" t="s">
        <v>14707</v>
      </c>
      <c r="F3523" t="s">
        <v>1439</v>
      </c>
      <c r="G3523" t="s">
        <v>110</v>
      </c>
      <c r="H3523">
        <v>92109</v>
      </c>
      <c r="I3523" t="s">
        <v>30</v>
      </c>
      <c r="J3523" t="s">
        <v>41</v>
      </c>
      <c r="K3523" t="s">
        <v>59</v>
      </c>
      <c r="Q3523">
        <v>0</v>
      </c>
      <c r="R3523">
        <v>85</v>
      </c>
      <c r="S3523">
        <v>85</v>
      </c>
      <c r="T3523" t="s">
        <v>14708</v>
      </c>
    </row>
    <row r="3524" spans="1:20" customFormat="1" ht="15" x14ac:dyDescent="0.25">
      <c r="A3524" t="s">
        <v>35</v>
      </c>
      <c r="B3524" t="s">
        <v>7359</v>
      </c>
      <c r="C3524" t="str">
        <f>"A0186834"</f>
        <v>A0186834</v>
      </c>
      <c r="D3524" t="s">
        <v>14709</v>
      </c>
      <c r="E3524" t="s">
        <v>14710</v>
      </c>
      <c r="F3524" t="s">
        <v>1634</v>
      </c>
      <c r="G3524" t="s">
        <v>110</v>
      </c>
      <c r="H3524">
        <v>92868</v>
      </c>
      <c r="I3524" t="s">
        <v>30</v>
      </c>
      <c r="J3524" t="s">
        <v>41</v>
      </c>
      <c r="K3524" t="s">
        <v>59</v>
      </c>
      <c r="Q3524">
        <v>0</v>
      </c>
      <c r="R3524">
        <v>98</v>
      </c>
      <c r="S3524">
        <v>98</v>
      </c>
      <c r="T3524" t="s">
        <v>14711</v>
      </c>
    </row>
    <row r="3525" spans="1:20" customFormat="1" ht="15" x14ac:dyDescent="0.25">
      <c r="A3525" t="s">
        <v>35</v>
      </c>
      <c r="B3525" t="s">
        <v>7359</v>
      </c>
      <c r="C3525" t="str">
        <f>"A0186833"</f>
        <v>A0186833</v>
      </c>
      <c r="D3525" t="s">
        <v>14712</v>
      </c>
      <c r="E3525" t="s">
        <v>14713</v>
      </c>
      <c r="F3525" t="s">
        <v>14714</v>
      </c>
      <c r="G3525" t="s">
        <v>110</v>
      </c>
      <c r="H3525">
        <v>92648</v>
      </c>
      <c r="I3525" t="s">
        <v>30</v>
      </c>
      <c r="J3525" t="s">
        <v>41</v>
      </c>
      <c r="K3525" t="s">
        <v>59</v>
      </c>
      <c r="Q3525">
        <v>0</v>
      </c>
      <c r="R3525">
        <v>0</v>
      </c>
      <c r="S3525">
        <v>70</v>
      </c>
      <c r="T3525" t="s">
        <v>14715</v>
      </c>
    </row>
    <row r="3526" spans="1:20" customFormat="1" ht="15" x14ac:dyDescent="0.25">
      <c r="A3526" t="s">
        <v>35</v>
      </c>
      <c r="B3526" t="s">
        <v>7359</v>
      </c>
      <c r="C3526" t="str">
        <f>"A0186832"</f>
        <v>A0186832</v>
      </c>
      <c r="D3526" t="s">
        <v>14716</v>
      </c>
      <c r="E3526" t="s">
        <v>14717</v>
      </c>
      <c r="F3526" t="s">
        <v>14718</v>
      </c>
      <c r="G3526" t="s">
        <v>110</v>
      </c>
      <c r="H3526">
        <v>92823</v>
      </c>
      <c r="I3526" t="s">
        <v>30</v>
      </c>
      <c r="J3526" t="s">
        <v>41</v>
      </c>
      <c r="K3526" t="s">
        <v>59</v>
      </c>
      <c r="Q3526">
        <v>0</v>
      </c>
      <c r="R3526">
        <v>85</v>
      </c>
      <c r="S3526">
        <v>85</v>
      </c>
      <c r="T3526" t="s">
        <v>14719</v>
      </c>
    </row>
    <row r="3527" spans="1:20" customFormat="1" ht="15" x14ac:dyDescent="0.25">
      <c r="A3527" t="s">
        <v>35</v>
      </c>
      <c r="B3527" t="s">
        <v>7359</v>
      </c>
      <c r="C3527" t="str">
        <f>"A0186831"</f>
        <v>A0186831</v>
      </c>
      <c r="D3527" t="s">
        <v>14720</v>
      </c>
      <c r="E3527" t="s">
        <v>14721</v>
      </c>
      <c r="F3527" t="s">
        <v>902</v>
      </c>
      <c r="G3527" t="s">
        <v>221</v>
      </c>
      <c r="H3527">
        <v>89117</v>
      </c>
      <c r="I3527" t="s">
        <v>30</v>
      </c>
      <c r="J3527" t="s">
        <v>41</v>
      </c>
      <c r="K3527" t="s">
        <v>59</v>
      </c>
      <c r="Q3527">
        <v>0</v>
      </c>
      <c r="R3527">
        <v>0</v>
      </c>
      <c r="S3527">
        <v>132</v>
      </c>
      <c r="T3527" t="s">
        <v>14722</v>
      </c>
    </row>
    <row r="3528" spans="1:20" customFormat="1" ht="15" x14ac:dyDescent="0.25">
      <c r="A3528" t="s">
        <v>35</v>
      </c>
      <c r="B3528" t="s">
        <v>7359</v>
      </c>
      <c r="C3528" t="str">
        <f>"A0186830"</f>
        <v>A0186830</v>
      </c>
      <c r="D3528" t="s">
        <v>14723</v>
      </c>
      <c r="E3528" t="s">
        <v>14724</v>
      </c>
      <c r="F3528" t="s">
        <v>14725</v>
      </c>
      <c r="G3528" t="s">
        <v>110</v>
      </c>
      <c r="H3528">
        <v>91354</v>
      </c>
      <c r="I3528" t="s">
        <v>30</v>
      </c>
      <c r="J3528" t="s">
        <v>41</v>
      </c>
      <c r="K3528" t="s">
        <v>59</v>
      </c>
      <c r="Q3528">
        <v>0</v>
      </c>
      <c r="R3528">
        <v>0</v>
      </c>
      <c r="S3528">
        <v>0</v>
      </c>
      <c r="T3528" t="s">
        <v>14726</v>
      </c>
    </row>
    <row r="3529" spans="1:20" customFormat="1" ht="15" x14ac:dyDescent="0.25">
      <c r="A3529" t="s">
        <v>35</v>
      </c>
      <c r="B3529" t="s">
        <v>7359</v>
      </c>
      <c r="C3529" t="str">
        <f>"A0186829"</f>
        <v>A0186829</v>
      </c>
      <c r="D3529" t="s">
        <v>14727</v>
      </c>
      <c r="E3529" t="s">
        <v>14728</v>
      </c>
      <c r="F3529" t="s">
        <v>902</v>
      </c>
      <c r="G3529" t="s">
        <v>221</v>
      </c>
      <c r="H3529">
        <v>89121</v>
      </c>
      <c r="I3529" t="s">
        <v>30</v>
      </c>
      <c r="J3529" t="s">
        <v>41</v>
      </c>
      <c r="K3529" t="s">
        <v>59</v>
      </c>
      <c r="Q3529">
        <v>0</v>
      </c>
      <c r="R3529">
        <v>132</v>
      </c>
      <c r="S3529">
        <v>132</v>
      </c>
      <c r="T3529" t="s">
        <v>14729</v>
      </c>
    </row>
    <row r="3530" spans="1:20" customFormat="1" ht="15" x14ac:dyDescent="0.25">
      <c r="A3530" t="s">
        <v>35</v>
      </c>
      <c r="B3530" t="s">
        <v>7359</v>
      </c>
      <c r="C3530" t="str">
        <f>"A0186828"</f>
        <v>A0186828</v>
      </c>
      <c r="D3530" t="s">
        <v>14730</v>
      </c>
      <c r="E3530" t="s">
        <v>14731</v>
      </c>
      <c r="F3530" t="s">
        <v>14732</v>
      </c>
      <c r="G3530" t="s">
        <v>110</v>
      </c>
      <c r="H3530">
        <v>91355</v>
      </c>
      <c r="I3530" t="s">
        <v>30</v>
      </c>
      <c r="J3530" t="s">
        <v>41</v>
      </c>
      <c r="K3530" t="s">
        <v>59</v>
      </c>
      <c r="Q3530">
        <v>0</v>
      </c>
      <c r="R3530">
        <v>95</v>
      </c>
      <c r="S3530">
        <v>95</v>
      </c>
      <c r="T3530" t="s">
        <v>14733</v>
      </c>
    </row>
    <row r="3531" spans="1:20" customFormat="1" ht="15" x14ac:dyDescent="0.25">
      <c r="A3531" t="s">
        <v>35</v>
      </c>
      <c r="B3531" t="s">
        <v>7359</v>
      </c>
      <c r="C3531" t="str">
        <f>"A0186827"</f>
        <v>A0186827</v>
      </c>
      <c r="D3531" t="s">
        <v>14734</v>
      </c>
      <c r="E3531" t="s">
        <v>14735</v>
      </c>
      <c r="F3531" t="s">
        <v>9135</v>
      </c>
      <c r="G3531" t="s">
        <v>110</v>
      </c>
      <c r="H3531">
        <v>95128</v>
      </c>
      <c r="I3531" t="s">
        <v>30</v>
      </c>
      <c r="J3531" t="s">
        <v>41</v>
      </c>
      <c r="K3531" t="s">
        <v>59</v>
      </c>
      <c r="Q3531">
        <v>0</v>
      </c>
      <c r="R3531">
        <v>80</v>
      </c>
      <c r="S3531">
        <v>80</v>
      </c>
      <c r="T3531" t="s">
        <v>14708</v>
      </c>
    </row>
    <row r="3532" spans="1:20" customFormat="1" ht="15" x14ac:dyDescent="0.25">
      <c r="A3532" t="s">
        <v>35</v>
      </c>
      <c r="B3532" t="s">
        <v>7359</v>
      </c>
      <c r="C3532" t="str">
        <f>"A0186826"</f>
        <v>A0186826</v>
      </c>
      <c r="D3532" t="s">
        <v>14736</v>
      </c>
      <c r="E3532" t="s">
        <v>14737</v>
      </c>
      <c r="F3532" t="s">
        <v>14738</v>
      </c>
      <c r="G3532" t="s">
        <v>110</v>
      </c>
      <c r="H3532">
        <v>93036</v>
      </c>
      <c r="I3532" t="s">
        <v>30</v>
      </c>
      <c r="J3532" t="s">
        <v>41</v>
      </c>
      <c r="K3532" t="s">
        <v>59</v>
      </c>
      <c r="Q3532">
        <v>0</v>
      </c>
      <c r="R3532">
        <v>86</v>
      </c>
      <c r="S3532">
        <v>86</v>
      </c>
      <c r="T3532" t="s">
        <v>14739</v>
      </c>
    </row>
    <row r="3533" spans="1:20" customFormat="1" ht="15" x14ac:dyDescent="0.25">
      <c r="A3533" t="s">
        <v>35</v>
      </c>
      <c r="B3533" t="s">
        <v>7359</v>
      </c>
      <c r="C3533" t="str">
        <f>"A0186825"</f>
        <v>A0186825</v>
      </c>
      <c r="D3533" t="s">
        <v>14740</v>
      </c>
      <c r="E3533" t="s">
        <v>14741</v>
      </c>
      <c r="F3533" t="s">
        <v>6244</v>
      </c>
      <c r="G3533" t="s">
        <v>110</v>
      </c>
      <c r="H3533">
        <v>93772</v>
      </c>
      <c r="I3533" t="s">
        <v>30</v>
      </c>
      <c r="J3533" t="s">
        <v>41</v>
      </c>
      <c r="K3533" t="s">
        <v>59</v>
      </c>
      <c r="Q3533">
        <v>0</v>
      </c>
      <c r="R3533">
        <v>86</v>
      </c>
      <c r="S3533">
        <v>86</v>
      </c>
      <c r="T3533" t="s">
        <v>14742</v>
      </c>
    </row>
    <row r="3534" spans="1:20" customFormat="1" ht="15" x14ac:dyDescent="0.25">
      <c r="A3534" t="s">
        <v>35</v>
      </c>
      <c r="B3534" t="s">
        <v>7359</v>
      </c>
      <c r="C3534" t="str">
        <f>"A0186824"</f>
        <v>A0186824</v>
      </c>
      <c r="D3534" t="s">
        <v>14743</v>
      </c>
      <c r="E3534" t="s">
        <v>14744</v>
      </c>
      <c r="F3534" t="s">
        <v>14745</v>
      </c>
      <c r="G3534" t="s">
        <v>110</v>
      </c>
      <c r="H3534">
        <v>94520</v>
      </c>
      <c r="I3534" t="s">
        <v>30</v>
      </c>
      <c r="J3534" t="s">
        <v>41</v>
      </c>
      <c r="K3534" t="s">
        <v>59</v>
      </c>
      <c r="Q3534">
        <v>0</v>
      </c>
      <c r="R3534">
        <v>86</v>
      </c>
      <c r="S3534">
        <v>86</v>
      </c>
      <c r="T3534" t="s">
        <v>14746</v>
      </c>
    </row>
    <row r="3535" spans="1:20" customFormat="1" ht="15" x14ac:dyDescent="0.25">
      <c r="A3535" t="s">
        <v>35</v>
      </c>
      <c r="B3535" t="s">
        <v>7359</v>
      </c>
      <c r="C3535" t="str">
        <f>"A0186823"</f>
        <v>A0186823</v>
      </c>
      <c r="D3535" t="s">
        <v>14747</v>
      </c>
      <c r="E3535" t="s">
        <v>14748</v>
      </c>
      <c r="F3535" t="s">
        <v>14749</v>
      </c>
      <c r="G3535" t="s">
        <v>110</v>
      </c>
      <c r="H3535">
        <v>93012</v>
      </c>
      <c r="I3535" t="s">
        <v>30</v>
      </c>
      <c r="J3535" t="s">
        <v>41</v>
      </c>
      <c r="K3535" t="s">
        <v>59</v>
      </c>
      <c r="Q3535">
        <v>0</v>
      </c>
      <c r="R3535">
        <v>85</v>
      </c>
      <c r="S3535">
        <v>85</v>
      </c>
      <c r="T3535" t="s">
        <v>14750</v>
      </c>
    </row>
    <row r="3536" spans="1:20" customFormat="1" ht="15" x14ac:dyDescent="0.25">
      <c r="A3536" t="s">
        <v>35</v>
      </c>
      <c r="B3536" t="s">
        <v>7359</v>
      </c>
      <c r="C3536" t="str">
        <f>"A0186822"</f>
        <v>A0186822</v>
      </c>
      <c r="D3536" t="s">
        <v>14751</v>
      </c>
      <c r="E3536" t="s">
        <v>14752</v>
      </c>
      <c r="F3536" t="s">
        <v>9668</v>
      </c>
      <c r="G3536" t="s">
        <v>110</v>
      </c>
      <c r="H3536">
        <v>95403</v>
      </c>
      <c r="I3536" t="s">
        <v>30</v>
      </c>
      <c r="J3536" t="s">
        <v>41</v>
      </c>
      <c r="K3536" t="s">
        <v>59</v>
      </c>
      <c r="Q3536">
        <v>0</v>
      </c>
      <c r="R3536">
        <v>200</v>
      </c>
      <c r="S3536">
        <v>200</v>
      </c>
      <c r="T3536" t="s">
        <v>14753</v>
      </c>
    </row>
    <row r="3537" spans="1:20" customFormat="1" ht="15" x14ac:dyDescent="0.25">
      <c r="A3537" t="s">
        <v>35</v>
      </c>
      <c r="B3537" t="s">
        <v>7359</v>
      </c>
      <c r="C3537" t="str">
        <f>"A0186821"</f>
        <v>A0186821</v>
      </c>
      <c r="D3537" t="s">
        <v>14754</v>
      </c>
      <c r="E3537" t="s">
        <v>14755</v>
      </c>
      <c r="F3537" t="s">
        <v>9668</v>
      </c>
      <c r="G3537" t="s">
        <v>110</v>
      </c>
      <c r="H3537">
        <v>95403</v>
      </c>
      <c r="I3537" t="s">
        <v>30</v>
      </c>
      <c r="J3537" t="s">
        <v>41</v>
      </c>
      <c r="K3537" t="s">
        <v>59</v>
      </c>
      <c r="Q3537">
        <v>0</v>
      </c>
      <c r="R3537">
        <v>72</v>
      </c>
      <c r="S3537">
        <v>72</v>
      </c>
      <c r="T3537" t="s">
        <v>14756</v>
      </c>
    </row>
    <row r="3538" spans="1:20" customFormat="1" ht="15" x14ac:dyDescent="0.25">
      <c r="A3538" t="s">
        <v>35</v>
      </c>
      <c r="B3538" t="s">
        <v>7359</v>
      </c>
      <c r="C3538" t="str">
        <f>"A0186820"</f>
        <v>A0186820</v>
      </c>
      <c r="D3538" t="s">
        <v>14757</v>
      </c>
      <c r="E3538" t="s">
        <v>14758</v>
      </c>
      <c r="F3538" t="s">
        <v>8043</v>
      </c>
      <c r="G3538" t="s">
        <v>110</v>
      </c>
      <c r="H3538">
        <v>95219</v>
      </c>
      <c r="I3538" t="s">
        <v>30</v>
      </c>
      <c r="J3538" t="s">
        <v>41</v>
      </c>
      <c r="K3538" t="s">
        <v>59</v>
      </c>
      <c r="Q3538">
        <v>0</v>
      </c>
      <c r="R3538">
        <v>85</v>
      </c>
      <c r="S3538">
        <v>85</v>
      </c>
      <c r="T3538" t="s">
        <v>14759</v>
      </c>
    </row>
    <row r="3539" spans="1:20" customFormat="1" ht="15" x14ac:dyDescent="0.25">
      <c r="A3539" t="s">
        <v>35</v>
      </c>
      <c r="B3539" t="s">
        <v>7359</v>
      </c>
      <c r="C3539" t="str">
        <f>"A0186819"</f>
        <v>A0186819</v>
      </c>
      <c r="D3539" t="s">
        <v>14760</v>
      </c>
      <c r="E3539" t="s">
        <v>14761</v>
      </c>
      <c r="F3539" t="s">
        <v>12489</v>
      </c>
      <c r="G3539" t="s">
        <v>110</v>
      </c>
      <c r="H3539">
        <v>96002</v>
      </c>
      <c r="I3539" t="s">
        <v>30</v>
      </c>
      <c r="J3539" t="s">
        <v>41</v>
      </c>
      <c r="K3539" t="s">
        <v>59</v>
      </c>
      <c r="Q3539">
        <v>0</v>
      </c>
      <c r="R3539">
        <v>86</v>
      </c>
      <c r="S3539">
        <v>86</v>
      </c>
      <c r="T3539" t="s">
        <v>14762</v>
      </c>
    </row>
    <row r="3540" spans="1:20" customFormat="1" ht="15" x14ac:dyDescent="0.25">
      <c r="A3540" t="s">
        <v>35</v>
      </c>
      <c r="B3540" t="s">
        <v>7359</v>
      </c>
      <c r="C3540" t="str">
        <f>"A0186818"</f>
        <v>A0186818</v>
      </c>
      <c r="D3540" t="s">
        <v>14763</v>
      </c>
      <c r="E3540" t="s">
        <v>14764</v>
      </c>
      <c r="F3540" t="s">
        <v>8039</v>
      </c>
      <c r="G3540" t="s">
        <v>110</v>
      </c>
      <c r="H3540">
        <v>95661</v>
      </c>
      <c r="I3540" t="s">
        <v>30</v>
      </c>
      <c r="J3540" t="s">
        <v>41</v>
      </c>
      <c r="K3540" t="s">
        <v>59</v>
      </c>
      <c r="Q3540">
        <v>0</v>
      </c>
      <c r="R3540">
        <v>86</v>
      </c>
      <c r="S3540">
        <v>86</v>
      </c>
      <c r="T3540" t="s">
        <v>14765</v>
      </c>
    </row>
    <row r="3541" spans="1:20" customFormat="1" ht="15" x14ac:dyDescent="0.25">
      <c r="A3541" t="s">
        <v>35</v>
      </c>
      <c r="B3541" t="s">
        <v>7359</v>
      </c>
      <c r="C3541" t="str">
        <f>"A0186817"</f>
        <v>A0186817</v>
      </c>
      <c r="D3541" t="s">
        <v>14766</v>
      </c>
      <c r="E3541" t="s">
        <v>14767</v>
      </c>
      <c r="F3541" t="s">
        <v>14768</v>
      </c>
      <c r="G3541" t="s">
        <v>110</v>
      </c>
      <c r="H3541">
        <v>94947</v>
      </c>
      <c r="I3541" t="s">
        <v>30</v>
      </c>
      <c r="J3541" t="s">
        <v>41</v>
      </c>
      <c r="K3541" t="s">
        <v>59</v>
      </c>
      <c r="Q3541">
        <v>0</v>
      </c>
      <c r="R3541">
        <v>78</v>
      </c>
      <c r="S3541">
        <v>78</v>
      </c>
      <c r="T3541" t="s">
        <v>14769</v>
      </c>
    </row>
    <row r="3542" spans="1:20" customFormat="1" ht="15" x14ac:dyDescent="0.25">
      <c r="A3542" t="s">
        <v>35</v>
      </c>
      <c r="B3542" t="s">
        <v>7359</v>
      </c>
      <c r="C3542" t="str">
        <f>"A0186816"</f>
        <v>A0186816</v>
      </c>
      <c r="D3542" t="s">
        <v>14770</v>
      </c>
      <c r="E3542" t="s">
        <v>14771</v>
      </c>
      <c r="F3542" t="s">
        <v>9668</v>
      </c>
      <c r="G3542" t="s">
        <v>110</v>
      </c>
      <c r="H3542">
        <v>95403</v>
      </c>
      <c r="I3542" t="s">
        <v>30</v>
      </c>
      <c r="J3542" t="s">
        <v>41</v>
      </c>
      <c r="K3542" t="s">
        <v>59</v>
      </c>
      <c r="Q3542">
        <v>0</v>
      </c>
      <c r="R3542">
        <v>125</v>
      </c>
      <c r="S3542">
        <v>125</v>
      </c>
      <c r="T3542" t="s">
        <v>14772</v>
      </c>
    </row>
    <row r="3543" spans="1:20" customFormat="1" ht="15" x14ac:dyDescent="0.25">
      <c r="A3543" t="s">
        <v>35</v>
      </c>
      <c r="B3543" t="s">
        <v>7359</v>
      </c>
      <c r="C3543" t="str">
        <f>"A0186815"</f>
        <v>A0186815</v>
      </c>
      <c r="D3543" t="s">
        <v>14773</v>
      </c>
      <c r="E3543" t="s">
        <v>14774</v>
      </c>
      <c r="F3543" t="s">
        <v>14775</v>
      </c>
      <c r="G3543" t="s">
        <v>110</v>
      </c>
      <c r="H3543">
        <v>95630</v>
      </c>
      <c r="I3543" t="s">
        <v>30</v>
      </c>
      <c r="J3543" t="s">
        <v>41</v>
      </c>
      <c r="K3543" t="s">
        <v>59</v>
      </c>
      <c r="Q3543">
        <v>0</v>
      </c>
      <c r="R3543">
        <v>75</v>
      </c>
      <c r="S3543">
        <v>75</v>
      </c>
      <c r="T3543" t="s">
        <v>14776</v>
      </c>
    </row>
    <row r="3544" spans="1:20" customFormat="1" ht="15" x14ac:dyDescent="0.25">
      <c r="A3544" t="s">
        <v>35</v>
      </c>
      <c r="B3544" t="s">
        <v>7359</v>
      </c>
      <c r="C3544" t="str">
        <f>"A0186814"</f>
        <v>A0186814</v>
      </c>
      <c r="D3544" t="s">
        <v>14777</v>
      </c>
      <c r="E3544" t="s">
        <v>14778</v>
      </c>
      <c r="F3544" t="s">
        <v>14779</v>
      </c>
      <c r="G3544" t="s">
        <v>110</v>
      </c>
      <c r="H3544">
        <v>95628</v>
      </c>
      <c r="I3544" t="s">
        <v>30</v>
      </c>
      <c r="J3544" t="s">
        <v>41</v>
      </c>
      <c r="K3544" t="s">
        <v>59</v>
      </c>
      <c r="Q3544">
        <v>0</v>
      </c>
      <c r="R3544">
        <v>86</v>
      </c>
      <c r="S3544">
        <v>86</v>
      </c>
      <c r="T3544" t="s">
        <v>14780</v>
      </c>
    </row>
    <row r="3545" spans="1:20" customFormat="1" ht="15" x14ac:dyDescent="0.25">
      <c r="A3545" t="s">
        <v>35</v>
      </c>
      <c r="B3545" t="s">
        <v>7359</v>
      </c>
      <c r="C3545" t="str">
        <f>"A0186813"</f>
        <v>A0186813</v>
      </c>
      <c r="D3545" t="s">
        <v>14781</v>
      </c>
      <c r="E3545" t="s">
        <v>14782</v>
      </c>
      <c r="F3545" t="s">
        <v>14783</v>
      </c>
      <c r="G3545" t="s">
        <v>110</v>
      </c>
      <c r="H3545">
        <v>95762</v>
      </c>
      <c r="I3545" t="s">
        <v>30</v>
      </c>
      <c r="J3545" t="s">
        <v>41</v>
      </c>
      <c r="K3545" t="s">
        <v>59</v>
      </c>
      <c r="Q3545">
        <v>0</v>
      </c>
      <c r="R3545">
        <v>86</v>
      </c>
      <c r="S3545">
        <v>86</v>
      </c>
      <c r="T3545" t="s">
        <v>14784</v>
      </c>
    </row>
    <row r="3546" spans="1:20" customFormat="1" ht="15" x14ac:dyDescent="0.25">
      <c r="A3546" t="s">
        <v>35</v>
      </c>
      <c r="B3546" t="s">
        <v>7359</v>
      </c>
      <c r="C3546" t="str">
        <f>"A0186812"</f>
        <v>A0186812</v>
      </c>
      <c r="D3546" t="s">
        <v>14785</v>
      </c>
      <c r="E3546" t="s">
        <v>14786</v>
      </c>
      <c r="F3546" t="s">
        <v>5742</v>
      </c>
      <c r="G3546" t="s">
        <v>110</v>
      </c>
      <c r="H3546">
        <v>95819</v>
      </c>
      <c r="I3546" t="s">
        <v>30</v>
      </c>
      <c r="J3546" t="s">
        <v>41</v>
      </c>
      <c r="K3546" t="s">
        <v>59</v>
      </c>
      <c r="Q3546">
        <v>0</v>
      </c>
      <c r="R3546">
        <v>135</v>
      </c>
      <c r="S3546">
        <v>135</v>
      </c>
      <c r="T3546" t="s">
        <v>14787</v>
      </c>
    </row>
    <row r="3547" spans="1:20" customFormat="1" ht="15" x14ac:dyDescent="0.25">
      <c r="A3547" t="s">
        <v>35</v>
      </c>
      <c r="B3547" t="s">
        <v>7359</v>
      </c>
      <c r="C3547" t="str">
        <f>"A0186811"</f>
        <v>A0186811</v>
      </c>
      <c r="D3547" t="s">
        <v>14788</v>
      </c>
      <c r="E3547" t="s">
        <v>14789</v>
      </c>
      <c r="F3547" t="s">
        <v>9124</v>
      </c>
      <c r="G3547" t="s">
        <v>110</v>
      </c>
      <c r="H3547">
        <v>95608</v>
      </c>
      <c r="I3547" t="s">
        <v>30</v>
      </c>
      <c r="J3547" t="s">
        <v>41</v>
      </c>
      <c r="K3547" t="s">
        <v>59</v>
      </c>
      <c r="Q3547">
        <v>0</v>
      </c>
      <c r="R3547">
        <v>86</v>
      </c>
      <c r="S3547">
        <v>86</v>
      </c>
      <c r="T3547" t="s">
        <v>14790</v>
      </c>
    </row>
    <row r="3548" spans="1:20" customFormat="1" ht="15" x14ac:dyDescent="0.25">
      <c r="A3548" t="s">
        <v>35</v>
      </c>
      <c r="B3548" t="s">
        <v>61</v>
      </c>
      <c r="C3548" t="str">
        <f>"A0186810"</f>
        <v>A0186810</v>
      </c>
      <c r="D3548" t="s">
        <v>14791</v>
      </c>
      <c r="E3548" t="s">
        <v>14792</v>
      </c>
      <c r="F3548" t="s">
        <v>5257</v>
      </c>
      <c r="G3548" t="s">
        <v>52</v>
      </c>
      <c r="H3548">
        <v>77025</v>
      </c>
      <c r="I3548" t="s">
        <v>30</v>
      </c>
      <c r="J3548" t="s">
        <v>41</v>
      </c>
      <c r="K3548" t="s">
        <v>229</v>
      </c>
      <c r="Q3548">
        <v>0</v>
      </c>
      <c r="R3548">
        <v>60</v>
      </c>
      <c r="S3548">
        <v>60</v>
      </c>
      <c r="T3548" t="s">
        <v>14793</v>
      </c>
    </row>
    <row r="3549" spans="1:20" customFormat="1" ht="15" x14ac:dyDescent="0.25">
      <c r="A3549" t="s">
        <v>35</v>
      </c>
      <c r="B3549" t="s">
        <v>5676</v>
      </c>
      <c r="C3549" t="str">
        <f>"A0186809"</f>
        <v>A0186809</v>
      </c>
      <c r="D3549" t="s">
        <v>14794</v>
      </c>
      <c r="E3549" t="s">
        <v>14795</v>
      </c>
      <c r="F3549" t="s">
        <v>14796</v>
      </c>
      <c r="G3549" t="s">
        <v>289</v>
      </c>
      <c r="H3549">
        <v>62450</v>
      </c>
      <c r="I3549" t="s">
        <v>30</v>
      </c>
      <c r="J3549" t="s">
        <v>41</v>
      </c>
      <c r="K3549" t="s">
        <v>229</v>
      </c>
      <c r="Q3549">
        <v>0</v>
      </c>
      <c r="R3549">
        <v>157</v>
      </c>
      <c r="S3549">
        <v>157</v>
      </c>
      <c r="T3549" t="s">
        <v>14797</v>
      </c>
    </row>
    <row r="3550" spans="1:20" customFormat="1" ht="15" x14ac:dyDescent="0.25">
      <c r="A3550" t="s">
        <v>35</v>
      </c>
      <c r="B3550" t="s">
        <v>61</v>
      </c>
      <c r="C3550" t="str">
        <f>"A0186808"</f>
        <v>A0186808</v>
      </c>
      <c r="D3550" t="s">
        <v>14798</v>
      </c>
      <c r="E3550" t="s">
        <v>14799</v>
      </c>
      <c r="F3550" t="s">
        <v>14800</v>
      </c>
      <c r="G3550" t="s">
        <v>65</v>
      </c>
      <c r="H3550">
        <v>44112</v>
      </c>
      <c r="I3550" t="s">
        <v>30</v>
      </c>
      <c r="J3550" t="s">
        <v>41</v>
      </c>
      <c r="K3550" t="s">
        <v>59</v>
      </c>
      <c r="Q3550">
        <v>0</v>
      </c>
      <c r="R3550">
        <v>0</v>
      </c>
      <c r="S3550">
        <v>0</v>
      </c>
      <c r="T3550" t="s">
        <v>72</v>
      </c>
    </row>
    <row r="3551" spans="1:20" customFormat="1" ht="15" x14ac:dyDescent="0.25">
      <c r="A3551" t="s">
        <v>35</v>
      </c>
      <c r="B3551" t="s">
        <v>2771</v>
      </c>
      <c r="C3551" t="str">
        <f>"A0186807"</f>
        <v>A0186807</v>
      </c>
      <c r="D3551" t="s">
        <v>14801</v>
      </c>
      <c r="E3551" t="s">
        <v>14802</v>
      </c>
      <c r="F3551" t="s">
        <v>5723</v>
      </c>
      <c r="G3551" t="s">
        <v>117</v>
      </c>
      <c r="H3551">
        <v>49423</v>
      </c>
      <c r="I3551" t="s">
        <v>30</v>
      </c>
      <c r="J3551" t="s">
        <v>41</v>
      </c>
      <c r="K3551" t="s">
        <v>59</v>
      </c>
      <c r="Q3551">
        <v>0</v>
      </c>
      <c r="R3551">
        <v>0</v>
      </c>
      <c r="S3551">
        <v>0</v>
      </c>
      <c r="T3551" t="s">
        <v>72</v>
      </c>
    </row>
    <row r="3552" spans="1:20" customFormat="1" ht="15" x14ac:dyDescent="0.25">
      <c r="A3552" t="s">
        <v>35</v>
      </c>
      <c r="B3552" t="s">
        <v>8631</v>
      </c>
      <c r="C3552" t="str">
        <f>"A0186806"</f>
        <v>A0186806</v>
      </c>
      <c r="D3552" t="s">
        <v>14803</v>
      </c>
      <c r="E3552" t="s">
        <v>14804</v>
      </c>
      <c r="F3552" t="s">
        <v>10523</v>
      </c>
      <c r="G3552" t="s">
        <v>81</v>
      </c>
      <c r="H3552">
        <v>34996</v>
      </c>
      <c r="I3552" t="s">
        <v>30</v>
      </c>
      <c r="J3552" t="s">
        <v>41</v>
      </c>
      <c r="K3552" t="s">
        <v>59</v>
      </c>
      <c r="Q3552">
        <v>0</v>
      </c>
      <c r="R3552">
        <v>150</v>
      </c>
      <c r="S3552">
        <v>150</v>
      </c>
      <c r="T3552" t="s">
        <v>14805</v>
      </c>
    </row>
    <row r="3553" spans="1:20" customFormat="1" ht="15" x14ac:dyDescent="0.25">
      <c r="A3553" t="s">
        <v>35</v>
      </c>
      <c r="B3553" t="s">
        <v>8631</v>
      </c>
      <c r="C3553" t="str">
        <f>"A0186805"</f>
        <v>A0186805</v>
      </c>
      <c r="D3553" t="s">
        <v>14806</v>
      </c>
      <c r="E3553" t="s">
        <v>14807</v>
      </c>
      <c r="F3553" t="s">
        <v>14808</v>
      </c>
      <c r="G3553" t="s">
        <v>81</v>
      </c>
      <c r="H3553">
        <v>34688</v>
      </c>
      <c r="I3553" t="s">
        <v>30</v>
      </c>
      <c r="J3553" t="s">
        <v>41</v>
      </c>
      <c r="K3553" t="s">
        <v>59</v>
      </c>
      <c r="Q3553">
        <v>0</v>
      </c>
      <c r="R3553">
        <v>130</v>
      </c>
      <c r="S3553">
        <v>130</v>
      </c>
      <c r="T3553" t="s">
        <v>14809</v>
      </c>
    </row>
    <row r="3554" spans="1:20" customFormat="1" ht="15" x14ac:dyDescent="0.25">
      <c r="A3554" t="s">
        <v>35</v>
      </c>
      <c r="B3554" t="s">
        <v>1797</v>
      </c>
      <c r="C3554" t="str">
        <f>"A0186804"</f>
        <v>A0186804</v>
      </c>
      <c r="D3554" t="s">
        <v>14810</v>
      </c>
      <c r="E3554" t="s">
        <v>14811</v>
      </c>
      <c r="F3554" t="s">
        <v>14812</v>
      </c>
      <c r="G3554" t="s">
        <v>117</v>
      </c>
      <c r="H3554">
        <v>48138</v>
      </c>
      <c r="I3554" t="s">
        <v>30</v>
      </c>
      <c r="J3554" t="s">
        <v>41</v>
      </c>
      <c r="K3554" t="s">
        <v>59</v>
      </c>
      <c r="Q3554">
        <v>0</v>
      </c>
      <c r="R3554">
        <v>80</v>
      </c>
      <c r="S3554">
        <v>80</v>
      </c>
      <c r="T3554" t="s">
        <v>14813</v>
      </c>
    </row>
    <row r="3555" spans="1:20" customFormat="1" ht="15" x14ac:dyDescent="0.25">
      <c r="A3555" t="s">
        <v>35</v>
      </c>
      <c r="B3555" t="s">
        <v>61</v>
      </c>
      <c r="C3555" t="str">
        <f>"A0186803"</f>
        <v>A0186803</v>
      </c>
      <c r="D3555" t="s">
        <v>14814</v>
      </c>
      <c r="E3555" t="s">
        <v>14815</v>
      </c>
      <c r="F3555" t="s">
        <v>635</v>
      </c>
      <c r="G3555" t="s">
        <v>338</v>
      </c>
      <c r="H3555">
        <v>8016</v>
      </c>
      <c r="I3555" t="s">
        <v>30</v>
      </c>
      <c r="J3555" t="s">
        <v>41</v>
      </c>
      <c r="K3555" t="s">
        <v>59</v>
      </c>
      <c r="Q3555">
        <v>0</v>
      </c>
      <c r="R3555">
        <v>0</v>
      </c>
      <c r="S3555">
        <v>0</v>
      </c>
      <c r="T3555" t="s">
        <v>14816</v>
      </c>
    </row>
    <row r="3556" spans="1:20" customFormat="1" ht="15" x14ac:dyDescent="0.25">
      <c r="A3556" t="s">
        <v>35</v>
      </c>
      <c r="B3556" t="s">
        <v>61</v>
      </c>
      <c r="C3556" t="str">
        <f>"A0186802"</f>
        <v>A0186802</v>
      </c>
      <c r="D3556" t="s">
        <v>14817</v>
      </c>
      <c r="E3556" t="s">
        <v>14818</v>
      </c>
      <c r="F3556" t="s">
        <v>4069</v>
      </c>
      <c r="G3556" t="s">
        <v>103</v>
      </c>
      <c r="H3556">
        <v>17022</v>
      </c>
      <c r="I3556" t="s">
        <v>30</v>
      </c>
      <c r="J3556" t="s">
        <v>41</v>
      </c>
      <c r="K3556" t="s">
        <v>59</v>
      </c>
      <c r="Q3556">
        <v>0</v>
      </c>
      <c r="R3556">
        <v>0</v>
      </c>
      <c r="S3556">
        <v>0</v>
      </c>
      <c r="T3556" t="s">
        <v>14819</v>
      </c>
    </row>
    <row r="3557" spans="1:20" customFormat="1" ht="15" x14ac:dyDescent="0.25">
      <c r="A3557" t="s">
        <v>35</v>
      </c>
      <c r="B3557" t="s">
        <v>3134</v>
      </c>
      <c r="C3557" t="str">
        <f>"A0186801"</f>
        <v>A0186801</v>
      </c>
      <c r="D3557" t="s">
        <v>14820</v>
      </c>
      <c r="E3557" t="s">
        <v>14821</v>
      </c>
      <c r="F3557" t="s">
        <v>14822</v>
      </c>
      <c r="G3557" t="s">
        <v>52</v>
      </c>
      <c r="H3557">
        <v>78641</v>
      </c>
      <c r="I3557" t="s">
        <v>30</v>
      </c>
      <c r="J3557" t="s">
        <v>41</v>
      </c>
      <c r="K3557" t="s">
        <v>59</v>
      </c>
      <c r="Q3557">
        <v>0</v>
      </c>
      <c r="R3557">
        <v>158</v>
      </c>
      <c r="S3557">
        <v>158</v>
      </c>
      <c r="T3557" t="s">
        <v>14823</v>
      </c>
    </row>
    <row r="3558" spans="1:20" customFormat="1" ht="15" x14ac:dyDescent="0.25">
      <c r="A3558" t="s">
        <v>35</v>
      </c>
      <c r="B3558" t="s">
        <v>61</v>
      </c>
      <c r="C3558" t="str">
        <f>"A0186800"</f>
        <v>A0186800</v>
      </c>
      <c r="D3558" t="s">
        <v>14824</v>
      </c>
      <c r="E3558" t="s">
        <v>14825</v>
      </c>
      <c r="F3558" t="s">
        <v>4069</v>
      </c>
      <c r="G3558" t="s">
        <v>103</v>
      </c>
      <c r="H3558">
        <v>17022</v>
      </c>
      <c r="I3558" t="s">
        <v>30</v>
      </c>
      <c r="J3558" t="s">
        <v>41</v>
      </c>
      <c r="K3558" t="s">
        <v>59</v>
      </c>
      <c r="Q3558">
        <v>0</v>
      </c>
      <c r="R3558">
        <v>0</v>
      </c>
      <c r="S3558">
        <v>0</v>
      </c>
      <c r="T3558" t="s">
        <v>72</v>
      </c>
    </row>
    <row r="3559" spans="1:20" customFormat="1" ht="15" x14ac:dyDescent="0.25">
      <c r="A3559" t="s">
        <v>35</v>
      </c>
      <c r="B3559" t="s">
        <v>61</v>
      </c>
      <c r="C3559" t="str">
        <f>"A0186799"</f>
        <v>A0186799</v>
      </c>
      <c r="D3559" t="s">
        <v>14826</v>
      </c>
      <c r="E3559" t="s">
        <v>14827</v>
      </c>
      <c r="F3559" t="s">
        <v>4069</v>
      </c>
      <c r="G3559" t="s">
        <v>103</v>
      </c>
      <c r="H3559">
        <v>17022</v>
      </c>
      <c r="I3559" t="s">
        <v>30</v>
      </c>
      <c r="J3559" t="s">
        <v>41</v>
      </c>
      <c r="K3559" t="s">
        <v>59</v>
      </c>
      <c r="Q3559">
        <v>0</v>
      </c>
      <c r="R3559">
        <v>0</v>
      </c>
      <c r="S3559">
        <v>0</v>
      </c>
      <c r="T3559" t="s">
        <v>14819</v>
      </c>
    </row>
    <row r="3560" spans="1:20" customFormat="1" ht="15" x14ac:dyDescent="0.25">
      <c r="A3560" t="s">
        <v>35</v>
      </c>
      <c r="B3560" t="s">
        <v>61</v>
      </c>
      <c r="C3560" t="str">
        <f>"A0186798"</f>
        <v>A0186798</v>
      </c>
      <c r="D3560" t="s">
        <v>14828</v>
      </c>
      <c r="E3560" t="s">
        <v>14829</v>
      </c>
      <c r="F3560" t="s">
        <v>4069</v>
      </c>
      <c r="G3560" t="s">
        <v>103</v>
      </c>
      <c r="H3560">
        <v>17022</v>
      </c>
      <c r="I3560" t="s">
        <v>30</v>
      </c>
      <c r="J3560" t="s">
        <v>41</v>
      </c>
      <c r="K3560" t="s">
        <v>59</v>
      </c>
      <c r="Q3560">
        <v>0</v>
      </c>
      <c r="R3560">
        <v>0</v>
      </c>
      <c r="S3560">
        <v>0</v>
      </c>
      <c r="T3560" t="s">
        <v>72</v>
      </c>
    </row>
    <row r="3561" spans="1:20" customFormat="1" ht="15" x14ac:dyDescent="0.25">
      <c r="A3561" t="s">
        <v>35</v>
      </c>
      <c r="B3561" t="s">
        <v>10184</v>
      </c>
      <c r="C3561" t="str">
        <f>"A0186797"</f>
        <v>A0186797</v>
      </c>
      <c r="D3561" t="s">
        <v>14830</v>
      </c>
      <c r="E3561" t="s">
        <v>14831</v>
      </c>
      <c r="F3561" t="s">
        <v>10276</v>
      </c>
      <c r="G3561" t="s">
        <v>846</v>
      </c>
      <c r="H3561">
        <v>30350</v>
      </c>
      <c r="I3561" t="s">
        <v>30</v>
      </c>
      <c r="J3561" t="s">
        <v>41</v>
      </c>
      <c r="K3561" t="s">
        <v>59</v>
      </c>
      <c r="Q3561">
        <v>0</v>
      </c>
      <c r="R3561">
        <v>52</v>
      </c>
      <c r="S3561">
        <v>52</v>
      </c>
      <c r="T3561" t="s">
        <v>14832</v>
      </c>
    </row>
    <row r="3562" spans="1:20" customFormat="1" ht="15" x14ac:dyDescent="0.25">
      <c r="A3562" t="s">
        <v>35</v>
      </c>
      <c r="B3562" t="s">
        <v>10184</v>
      </c>
      <c r="C3562" t="str">
        <f>"A0186796"</f>
        <v>A0186796</v>
      </c>
      <c r="D3562" t="s">
        <v>14833</v>
      </c>
      <c r="E3562" t="s">
        <v>14834</v>
      </c>
      <c r="F3562" t="s">
        <v>10276</v>
      </c>
      <c r="G3562" t="s">
        <v>846</v>
      </c>
      <c r="H3562">
        <v>30350</v>
      </c>
      <c r="I3562" t="s">
        <v>30</v>
      </c>
      <c r="J3562" t="s">
        <v>41</v>
      </c>
      <c r="K3562" t="s">
        <v>59</v>
      </c>
      <c r="Q3562">
        <v>0</v>
      </c>
      <c r="R3562">
        <v>102</v>
      </c>
      <c r="S3562">
        <v>102</v>
      </c>
      <c r="T3562" t="s">
        <v>14835</v>
      </c>
    </row>
    <row r="3563" spans="1:20" customFormat="1" ht="15" x14ac:dyDescent="0.25">
      <c r="A3563" t="s">
        <v>35</v>
      </c>
      <c r="B3563" t="s">
        <v>7359</v>
      </c>
      <c r="C3563" t="str">
        <f>"A0186795"</f>
        <v>A0186795</v>
      </c>
      <c r="D3563" t="s">
        <v>14836</v>
      </c>
      <c r="E3563" t="s">
        <v>14837</v>
      </c>
      <c r="F3563" t="s">
        <v>11159</v>
      </c>
      <c r="G3563" t="s">
        <v>110</v>
      </c>
      <c r="H3563">
        <v>92052</v>
      </c>
      <c r="I3563" t="s">
        <v>30</v>
      </c>
      <c r="J3563" t="s">
        <v>41</v>
      </c>
      <c r="K3563" t="s">
        <v>59</v>
      </c>
      <c r="Q3563">
        <v>0</v>
      </c>
      <c r="R3563">
        <v>135</v>
      </c>
      <c r="S3563">
        <v>135</v>
      </c>
      <c r="T3563" t="s">
        <v>14838</v>
      </c>
    </row>
    <row r="3564" spans="1:20" customFormat="1" ht="15" x14ac:dyDescent="0.25">
      <c r="A3564" t="s">
        <v>35</v>
      </c>
      <c r="B3564" t="s">
        <v>7359</v>
      </c>
      <c r="C3564" t="str">
        <f>"A0186794"</f>
        <v>A0186794</v>
      </c>
      <c r="D3564" t="s">
        <v>14839</v>
      </c>
      <c r="E3564" t="s">
        <v>14840</v>
      </c>
      <c r="F3564" t="s">
        <v>14745</v>
      </c>
      <c r="G3564" t="s">
        <v>110</v>
      </c>
      <c r="H3564">
        <v>94521</v>
      </c>
      <c r="I3564" t="s">
        <v>30</v>
      </c>
      <c r="J3564" t="s">
        <v>41</v>
      </c>
      <c r="K3564" t="s">
        <v>59</v>
      </c>
      <c r="Q3564">
        <v>0</v>
      </c>
      <c r="R3564">
        <v>132</v>
      </c>
      <c r="S3564">
        <v>132</v>
      </c>
      <c r="T3564" t="s">
        <v>14841</v>
      </c>
    </row>
    <row r="3565" spans="1:20" customFormat="1" ht="15" x14ac:dyDescent="0.25">
      <c r="A3565" t="s">
        <v>35</v>
      </c>
      <c r="B3565" t="s">
        <v>61</v>
      </c>
      <c r="C3565" t="str">
        <f>"A0186793"</f>
        <v>A0186793</v>
      </c>
      <c r="D3565" t="s">
        <v>14842</v>
      </c>
      <c r="E3565" t="s">
        <v>14843</v>
      </c>
      <c r="F3565" t="s">
        <v>14844</v>
      </c>
      <c r="G3565" t="s">
        <v>153</v>
      </c>
      <c r="H3565">
        <v>84098</v>
      </c>
      <c r="I3565" t="s">
        <v>30</v>
      </c>
      <c r="J3565" t="s">
        <v>41</v>
      </c>
      <c r="K3565" t="s">
        <v>461</v>
      </c>
      <c r="Q3565">
        <v>0</v>
      </c>
      <c r="R3565">
        <v>24</v>
      </c>
      <c r="S3565">
        <v>24</v>
      </c>
      <c r="T3565" t="s">
        <v>14845</v>
      </c>
    </row>
    <row r="3566" spans="1:20" customFormat="1" ht="15" x14ac:dyDescent="0.25">
      <c r="A3566" t="s">
        <v>35</v>
      </c>
      <c r="B3566" t="s">
        <v>61</v>
      </c>
      <c r="C3566" t="str">
        <f>"A0186792"</f>
        <v>A0186792</v>
      </c>
      <c r="D3566" t="s">
        <v>14846</v>
      </c>
      <c r="E3566" t="s">
        <v>14847</v>
      </c>
      <c r="F3566" t="s">
        <v>1959</v>
      </c>
      <c r="G3566" t="s">
        <v>65</v>
      </c>
      <c r="H3566">
        <v>44320</v>
      </c>
      <c r="I3566" t="s">
        <v>30</v>
      </c>
      <c r="J3566" t="s">
        <v>41</v>
      </c>
      <c r="K3566" t="s">
        <v>2760</v>
      </c>
      <c r="Q3566">
        <v>0</v>
      </c>
      <c r="R3566">
        <v>0</v>
      </c>
      <c r="S3566">
        <v>0</v>
      </c>
      <c r="T3566" t="s">
        <v>14848</v>
      </c>
    </row>
    <row r="3567" spans="1:20" customFormat="1" ht="15" x14ac:dyDescent="0.25">
      <c r="A3567" t="s">
        <v>35</v>
      </c>
      <c r="B3567" t="s">
        <v>14849</v>
      </c>
      <c r="C3567" t="str">
        <f>"A0186791"</f>
        <v>A0186791</v>
      </c>
      <c r="D3567" t="s">
        <v>14849</v>
      </c>
      <c r="E3567" t="s">
        <v>14850</v>
      </c>
      <c r="F3567" t="s">
        <v>1904</v>
      </c>
      <c r="G3567" t="s">
        <v>880</v>
      </c>
      <c r="H3567">
        <v>37421</v>
      </c>
      <c r="I3567" t="s">
        <v>30</v>
      </c>
      <c r="J3567" t="s">
        <v>41</v>
      </c>
      <c r="K3567" t="s">
        <v>290</v>
      </c>
      <c r="Q3567">
        <v>0</v>
      </c>
      <c r="R3567">
        <v>0</v>
      </c>
      <c r="S3567">
        <v>0</v>
      </c>
      <c r="T3567" t="s">
        <v>14851</v>
      </c>
    </row>
    <row r="3568" spans="1:20" customFormat="1" ht="15" x14ac:dyDescent="0.25">
      <c r="A3568" t="s">
        <v>35</v>
      </c>
      <c r="B3568" t="s">
        <v>8631</v>
      </c>
      <c r="C3568" t="str">
        <f>"A0186790"</f>
        <v>A0186790</v>
      </c>
      <c r="D3568" t="s">
        <v>14852</v>
      </c>
      <c r="E3568" t="s">
        <v>14853</v>
      </c>
      <c r="F3568" t="s">
        <v>5502</v>
      </c>
      <c r="G3568" t="s">
        <v>81</v>
      </c>
      <c r="H3568">
        <v>33770</v>
      </c>
      <c r="I3568" t="s">
        <v>30</v>
      </c>
      <c r="J3568" t="s">
        <v>41</v>
      </c>
      <c r="K3568" t="s">
        <v>290</v>
      </c>
      <c r="Q3568">
        <v>0</v>
      </c>
      <c r="R3568">
        <v>0</v>
      </c>
      <c r="S3568">
        <v>0</v>
      </c>
      <c r="T3568" t="s">
        <v>72</v>
      </c>
    </row>
    <row r="3569" spans="1:20" customFormat="1" ht="15" x14ac:dyDescent="0.25">
      <c r="A3569" t="s">
        <v>35</v>
      </c>
      <c r="B3569" t="s">
        <v>7359</v>
      </c>
      <c r="C3569" t="str">
        <f>"A0186789"</f>
        <v>A0186789</v>
      </c>
      <c r="D3569" t="s">
        <v>14854</v>
      </c>
      <c r="E3569" t="s">
        <v>14855</v>
      </c>
      <c r="F3569" t="s">
        <v>14856</v>
      </c>
      <c r="G3569" t="s">
        <v>110</v>
      </c>
      <c r="H3569">
        <v>92614</v>
      </c>
      <c r="I3569" t="s">
        <v>30</v>
      </c>
      <c r="J3569" t="s">
        <v>41</v>
      </c>
      <c r="K3569" t="s">
        <v>290</v>
      </c>
      <c r="Q3569">
        <v>0</v>
      </c>
      <c r="R3569">
        <v>0</v>
      </c>
      <c r="S3569">
        <v>0</v>
      </c>
      <c r="T3569" t="s">
        <v>72</v>
      </c>
    </row>
    <row r="3570" spans="1:20" customFormat="1" ht="15" x14ac:dyDescent="0.25">
      <c r="A3570" t="s">
        <v>35</v>
      </c>
      <c r="B3570" t="s">
        <v>14857</v>
      </c>
      <c r="C3570" t="str">
        <f>"A0186788"</f>
        <v>A0186788</v>
      </c>
      <c r="D3570" t="s">
        <v>14857</v>
      </c>
      <c r="E3570" t="s">
        <v>14858</v>
      </c>
      <c r="F3570" t="s">
        <v>14859</v>
      </c>
      <c r="G3570" t="s">
        <v>123</v>
      </c>
      <c r="H3570">
        <v>20854</v>
      </c>
      <c r="I3570" t="s">
        <v>30</v>
      </c>
      <c r="J3570" t="s">
        <v>41</v>
      </c>
      <c r="K3570" t="s">
        <v>290</v>
      </c>
      <c r="Q3570">
        <v>0</v>
      </c>
      <c r="R3570">
        <v>0</v>
      </c>
      <c r="S3570">
        <v>0</v>
      </c>
      <c r="T3570" t="s">
        <v>72</v>
      </c>
    </row>
    <row r="3571" spans="1:20" customFormat="1" ht="15" x14ac:dyDescent="0.25">
      <c r="A3571" t="s">
        <v>35</v>
      </c>
      <c r="B3571" t="s">
        <v>61</v>
      </c>
      <c r="C3571" t="str">
        <f>"A0186787"</f>
        <v>A0186787</v>
      </c>
      <c r="D3571" t="s">
        <v>14860</v>
      </c>
      <c r="E3571" t="s">
        <v>14861</v>
      </c>
      <c r="F3571" t="s">
        <v>3555</v>
      </c>
      <c r="G3571" t="s">
        <v>81</v>
      </c>
      <c r="H3571">
        <v>32308</v>
      </c>
      <c r="I3571" t="s">
        <v>30</v>
      </c>
      <c r="J3571" t="s">
        <v>41</v>
      </c>
      <c r="K3571" t="s">
        <v>290</v>
      </c>
      <c r="Q3571">
        <v>0</v>
      </c>
      <c r="R3571">
        <v>0</v>
      </c>
      <c r="S3571">
        <v>0</v>
      </c>
      <c r="T3571" t="s">
        <v>14862</v>
      </c>
    </row>
    <row r="3572" spans="1:20" customFormat="1" ht="15" x14ac:dyDescent="0.25">
      <c r="A3572" t="s">
        <v>35</v>
      </c>
      <c r="B3572" t="s">
        <v>9740</v>
      </c>
      <c r="C3572" t="str">
        <f>"A0186786"</f>
        <v>A0186786</v>
      </c>
      <c r="D3572" t="s">
        <v>9740</v>
      </c>
      <c r="E3572" t="s">
        <v>14863</v>
      </c>
      <c r="F3572" t="s">
        <v>9743</v>
      </c>
      <c r="G3572" t="s">
        <v>65</v>
      </c>
      <c r="H3572">
        <v>43910</v>
      </c>
      <c r="I3572" t="s">
        <v>30</v>
      </c>
      <c r="J3572" t="s">
        <v>41</v>
      </c>
      <c r="K3572" t="s">
        <v>42</v>
      </c>
      <c r="Q3572">
        <v>0</v>
      </c>
      <c r="R3572">
        <v>0</v>
      </c>
      <c r="S3572">
        <v>0</v>
      </c>
      <c r="T3572" t="s">
        <v>9744</v>
      </c>
    </row>
    <row r="3573" spans="1:20" customFormat="1" ht="15" x14ac:dyDescent="0.25">
      <c r="A3573" t="s">
        <v>35</v>
      </c>
      <c r="B3573" t="s">
        <v>36</v>
      </c>
      <c r="C3573" t="str">
        <f>"A0186785"</f>
        <v>A0186785</v>
      </c>
      <c r="D3573" t="s">
        <v>14864</v>
      </c>
      <c r="E3573" t="s">
        <v>14865</v>
      </c>
      <c r="F3573" t="s">
        <v>14866</v>
      </c>
      <c r="G3573" t="s">
        <v>52</v>
      </c>
      <c r="H3573">
        <v>75472</v>
      </c>
      <c r="I3573" t="s">
        <v>30</v>
      </c>
      <c r="J3573" t="s">
        <v>41</v>
      </c>
      <c r="K3573" t="s">
        <v>42</v>
      </c>
      <c r="Q3573">
        <v>0</v>
      </c>
      <c r="R3573">
        <v>0</v>
      </c>
      <c r="S3573">
        <v>0</v>
      </c>
      <c r="T3573" t="s">
        <v>14867</v>
      </c>
    </row>
    <row r="3574" spans="1:20" customFormat="1" ht="15" x14ac:dyDescent="0.25">
      <c r="A3574" t="s">
        <v>35</v>
      </c>
      <c r="B3574" t="s">
        <v>8631</v>
      </c>
      <c r="C3574" t="str">
        <f>"A0186784"</f>
        <v>A0186784</v>
      </c>
      <c r="D3574" t="s">
        <v>14868</v>
      </c>
      <c r="E3574" t="s">
        <v>14869</v>
      </c>
      <c r="F3574" t="s">
        <v>14870</v>
      </c>
      <c r="G3574" t="s">
        <v>81</v>
      </c>
      <c r="H3574">
        <v>34243</v>
      </c>
      <c r="I3574" t="s">
        <v>30</v>
      </c>
      <c r="J3574" t="s">
        <v>41</v>
      </c>
      <c r="K3574" t="s">
        <v>482</v>
      </c>
      <c r="Q3574">
        <v>0</v>
      </c>
      <c r="R3574">
        <v>95</v>
      </c>
      <c r="S3574">
        <v>95</v>
      </c>
      <c r="T3574" t="s">
        <v>14871</v>
      </c>
    </row>
    <row r="3575" spans="1:20" customFormat="1" ht="15" x14ac:dyDescent="0.25">
      <c r="A3575" t="s">
        <v>35</v>
      </c>
      <c r="B3575" t="s">
        <v>8631</v>
      </c>
      <c r="C3575" t="str">
        <f>"A0186783"</f>
        <v>A0186783</v>
      </c>
      <c r="D3575" t="s">
        <v>14872</v>
      </c>
      <c r="E3575" t="s">
        <v>14873</v>
      </c>
      <c r="F3575" t="s">
        <v>14670</v>
      </c>
      <c r="G3575" t="s">
        <v>81</v>
      </c>
      <c r="H3575">
        <v>33414</v>
      </c>
      <c r="I3575" t="s">
        <v>30</v>
      </c>
      <c r="J3575" t="s">
        <v>41</v>
      </c>
      <c r="K3575" t="s">
        <v>482</v>
      </c>
      <c r="Q3575">
        <v>0</v>
      </c>
      <c r="R3575">
        <v>101</v>
      </c>
      <c r="S3575">
        <v>101</v>
      </c>
      <c r="T3575" t="s">
        <v>14671</v>
      </c>
    </row>
    <row r="3576" spans="1:20" customFormat="1" ht="15" x14ac:dyDescent="0.25">
      <c r="A3576" t="s">
        <v>35</v>
      </c>
      <c r="B3576" t="s">
        <v>14857</v>
      </c>
      <c r="C3576" t="str">
        <f>"A0186782"</f>
        <v>A0186782</v>
      </c>
      <c r="D3576" t="s">
        <v>14874</v>
      </c>
      <c r="E3576" t="s">
        <v>14875</v>
      </c>
      <c r="F3576" t="s">
        <v>13562</v>
      </c>
      <c r="G3576" t="s">
        <v>123</v>
      </c>
      <c r="H3576">
        <v>20817</v>
      </c>
      <c r="I3576" t="s">
        <v>30</v>
      </c>
      <c r="J3576" t="s">
        <v>41</v>
      </c>
      <c r="K3576" t="s">
        <v>482</v>
      </c>
      <c r="Q3576">
        <v>0</v>
      </c>
      <c r="R3576">
        <v>8</v>
      </c>
      <c r="S3576">
        <v>8</v>
      </c>
      <c r="T3576" t="s">
        <v>14876</v>
      </c>
    </row>
    <row r="3577" spans="1:20" customFormat="1" ht="15" x14ac:dyDescent="0.25">
      <c r="A3577" t="s">
        <v>35</v>
      </c>
      <c r="B3577" t="s">
        <v>14857</v>
      </c>
      <c r="C3577" t="str">
        <f>"A0186781"</f>
        <v>A0186781</v>
      </c>
      <c r="D3577" t="s">
        <v>14877</v>
      </c>
      <c r="E3577" t="s">
        <v>14878</v>
      </c>
      <c r="F3577" t="s">
        <v>14879</v>
      </c>
      <c r="G3577" t="s">
        <v>29</v>
      </c>
      <c r="H3577">
        <v>22102</v>
      </c>
      <c r="I3577" t="s">
        <v>30</v>
      </c>
      <c r="J3577" t="s">
        <v>41</v>
      </c>
      <c r="K3577" t="s">
        <v>482</v>
      </c>
      <c r="Q3577">
        <v>0</v>
      </c>
      <c r="R3577">
        <v>8</v>
      </c>
      <c r="S3577">
        <v>8</v>
      </c>
      <c r="T3577" t="s">
        <v>14876</v>
      </c>
    </row>
    <row r="3578" spans="1:20" customFormat="1" ht="15" x14ac:dyDescent="0.25">
      <c r="A3578" t="s">
        <v>35</v>
      </c>
      <c r="B3578" t="s">
        <v>14857</v>
      </c>
      <c r="C3578" t="str">
        <f>"A0186780"</f>
        <v>A0186780</v>
      </c>
      <c r="D3578" t="s">
        <v>14880</v>
      </c>
      <c r="E3578" t="s">
        <v>14881</v>
      </c>
      <c r="F3578" t="s">
        <v>14879</v>
      </c>
      <c r="G3578" t="s">
        <v>29</v>
      </c>
      <c r="H3578">
        <v>22102</v>
      </c>
      <c r="I3578" t="s">
        <v>30</v>
      </c>
      <c r="J3578" t="s">
        <v>41</v>
      </c>
      <c r="K3578" t="s">
        <v>482</v>
      </c>
      <c r="Q3578">
        <v>0</v>
      </c>
      <c r="R3578">
        <v>8</v>
      </c>
      <c r="S3578">
        <v>8</v>
      </c>
      <c r="T3578" t="s">
        <v>14876</v>
      </c>
    </row>
    <row r="3579" spans="1:20" customFormat="1" ht="15" x14ac:dyDescent="0.25">
      <c r="A3579" t="s">
        <v>35</v>
      </c>
      <c r="B3579" t="s">
        <v>14857</v>
      </c>
      <c r="C3579" t="str">
        <f>"A0186779"</f>
        <v>A0186779</v>
      </c>
      <c r="D3579" t="s">
        <v>14882</v>
      </c>
      <c r="E3579" t="s">
        <v>14883</v>
      </c>
      <c r="F3579" t="s">
        <v>13562</v>
      </c>
      <c r="G3579" t="s">
        <v>123</v>
      </c>
      <c r="H3579">
        <v>20817</v>
      </c>
      <c r="I3579" t="s">
        <v>30</v>
      </c>
      <c r="J3579" t="s">
        <v>41</v>
      </c>
      <c r="K3579" t="s">
        <v>482</v>
      </c>
      <c r="Q3579">
        <v>0</v>
      </c>
      <c r="R3579">
        <v>8</v>
      </c>
      <c r="S3579">
        <v>8</v>
      </c>
      <c r="T3579" t="s">
        <v>14876</v>
      </c>
    </row>
    <row r="3580" spans="1:20" customFormat="1" ht="15" x14ac:dyDescent="0.25">
      <c r="A3580" t="s">
        <v>35</v>
      </c>
      <c r="B3580" t="s">
        <v>14857</v>
      </c>
      <c r="C3580" t="str">
        <f>"A0186778"</f>
        <v>A0186778</v>
      </c>
      <c r="D3580" t="s">
        <v>14884</v>
      </c>
      <c r="E3580" t="s">
        <v>14885</v>
      </c>
      <c r="F3580" t="s">
        <v>13562</v>
      </c>
      <c r="G3580" t="s">
        <v>123</v>
      </c>
      <c r="H3580">
        <v>20817</v>
      </c>
      <c r="I3580" t="s">
        <v>30</v>
      </c>
      <c r="J3580" t="s">
        <v>41</v>
      </c>
      <c r="K3580" t="s">
        <v>482</v>
      </c>
      <c r="Q3580">
        <v>0</v>
      </c>
      <c r="R3580">
        <v>8</v>
      </c>
      <c r="S3580">
        <v>8</v>
      </c>
      <c r="T3580" t="s">
        <v>14876</v>
      </c>
    </row>
    <row r="3581" spans="1:20" customFormat="1" ht="15" x14ac:dyDescent="0.25">
      <c r="A3581" t="s">
        <v>35</v>
      </c>
      <c r="B3581" t="s">
        <v>14857</v>
      </c>
      <c r="C3581" t="str">
        <f>"A0186777"</f>
        <v>A0186777</v>
      </c>
      <c r="D3581" t="s">
        <v>14886</v>
      </c>
      <c r="E3581" t="s">
        <v>14887</v>
      </c>
      <c r="F3581" t="s">
        <v>13562</v>
      </c>
      <c r="G3581" t="s">
        <v>123</v>
      </c>
      <c r="H3581">
        <v>20817</v>
      </c>
      <c r="I3581" t="s">
        <v>30</v>
      </c>
      <c r="J3581" t="s">
        <v>41</v>
      </c>
      <c r="K3581" t="s">
        <v>482</v>
      </c>
      <c r="Q3581">
        <v>0</v>
      </c>
      <c r="R3581">
        <v>8</v>
      </c>
      <c r="S3581">
        <v>8</v>
      </c>
      <c r="T3581" t="s">
        <v>14876</v>
      </c>
    </row>
    <row r="3582" spans="1:20" customFormat="1" ht="15" x14ac:dyDescent="0.25">
      <c r="A3582" t="s">
        <v>35</v>
      </c>
      <c r="B3582" t="s">
        <v>14857</v>
      </c>
      <c r="C3582" t="str">
        <f>"A0186776"</f>
        <v>A0186776</v>
      </c>
      <c r="D3582" t="s">
        <v>14888</v>
      </c>
      <c r="E3582" t="s">
        <v>14889</v>
      </c>
      <c r="F3582" t="s">
        <v>14879</v>
      </c>
      <c r="G3582" t="s">
        <v>29</v>
      </c>
      <c r="H3582">
        <v>22102</v>
      </c>
      <c r="I3582" t="s">
        <v>30</v>
      </c>
      <c r="J3582" t="s">
        <v>41</v>
      </c>
      <c r="K3582" t="s">
        <v>482</v>
      </c>
      <c r="Q3582">
        <v>0</v>
      </c>
      <c r="R3582">
        <v>8</v>
      </c>
      <c r="S3582">
        <v>8</v>
      </c>
      <c r="T3582" t="s">
        <v>14876</v>
      </c>
    </row>
    <row r="3583" spans="1:20" customFormat="1" ht="15" x14ac:dyDescent="0.25">
      <c r="A3583" t="s">
        <v>35</v>
      </c>
      <c r="B3583" t="s">
        <v>14857</v>
      </c>
      <c r="C3583" t="str">
        <f>"A0186775"</f>
        <v>A0186775</v>
      </c>
      <c r="D3583" t="s">
        <v>14890</v>
      </c>
      <c r="E3583" t="s">
        <v>14891</v>
      </c>
      <c r="F3583" t="s">
        <v>13562</v>
      </c>
      <c r="G3583" t="s">
        <v>123</v>
      </c>
      <c r="H3583">
        <v>20817</v>
      </c>
      <c r="I3583" t="s">
        <v>30</v>
      </c>
      <c r="J3583" t="s">
        <v>41</v>
      </c>
      <c r="K3583" t="s">
        <v>482</v>
      </c>
      <c r="Q3583">
        <v>0</v>
      </c>
      <c r="R3583">
        <v>8</v>
      </c>
      <c r="S3583">
        <v>8</v>
      </c>
      <c r="T3583" t="s">
        <v>14876</v>
      </c>
    </row>
    <row r="3584" spans="1:20" customFormat="1" ht="15" x14ac:dyDescent="0.25">
      <c r="A3584" t="s">
        <v>35</v>
      </c>
      <c r="B3584" t="s">
        <v>14857</v>
      </c>
      <c r="C3584" t="str">
        <f>"A0186774"</f>
        <v>A0186774</v>
      </c>
      <c r="D3584" t="s">
        <v>14892</v>
      </c>
      <c r="E3584" t="s">
        <v>14893</v>
      </c>
      <c r="F3584" t="s">
        <v>13562</v>
      </c>
      <c r="G3584" t="s">
        <v>123</v>
      </c>
      <c r="H3584">
        <v>20814</v>
      </c>
      <c r="I3584" t="s">
        <v>30</v>
      </c>
      <c r="J3584" t="s">
        <v>41</v>
      </c>
      <c r="K3584" t="s">
        <v>482</v>
      </c>
      <c r="Q3584">
        <v>0</v>
      </c>
      <c r="R3584">
        <v>8</v>
      </c>
      <c r="S3584">
        <v>8</v>
      </c>
      <c r="T3584" t="s">
        <v>14876</v>
      </c>
    </row>
    <row r="3585" spans="1:20" customFormat="1" ht="15" x14ac:dyDescent="0.25">
      <c r="A3585" t="s">
        <v>35</v>
      </c>
      <c r="B3585" t="s">
        <v>14894</v>
      </c>
      <c r="C3585" t="str">
        <f>"A0186773"</f>
        <v>A0186773</v>
      </c>
      <c r="D3585" t="s">
        <v>14895</v>
      </c>
      <c r="E3585" t="s">
        <v>14896</v>
      </c>
      <c r="F3585" t="s">
        <v>14897</v>
      </c>
      <c r="G3585" t="s">
        <v>197</v>
      </c>
      <c r="H3585">
        <v>86001</v>
      </c>
      <c r="I3585" t="s">
        <v>30</v>
      </c>
      <c r="J3585" t="s">
        <v>41</v>
      </c>
      <c r="K3585" t="s">
        <v>1032</v>
      </c>
      <c r="Q3585">
        <v>0</v>
      </c>
      <c r="R3585">
        <v>0</v>
      </c>
      <c r="S3585">
        <v>0</v>
      </c>
      <c r="T3585" t="s">
        <v>14898</v>
      </c>
    </row>
    <row r="3586" spans="1:20" customFormat="1" ht="15" hidden="1" x14ac:dyDescent="0.25">
      <c r="A3586" t="s">
        <v>24</v>
      </c>
      <c r="B3586" t="s">
        <v>14899</v>
      </c>
      <c r="C3586" t="str">
        <f>"A0186616"</f>
        <v>A0186616</v>
      </c>
      <c r="D3586" t="s">
        <v>14900</v>
      </c>
      <c r="E3586" t="s">
        <v>14901</v>
      </c>
      <c r="F3586" t="s">
        <v>14902</v>
      </c>
      <c r="G3586" t="s">
        <v>9901</v>
      </c>
      <c r="H3586">
        <v>979</v>
      </c>
      <c r="I3586" t="s">
        <v>9902</v>
      </c>
      <c r="J3586" t="s">
        <v>687</v>
      </c>
      <c r="K3586" t="s">
        <v>163</v>
      </c>
      <c r="N3586" t="s">
        <v>14903</v>
      </c>
      <c r="Q3586">
        <v>0</v>
      </c>
      <c r="R3586">
        <v>0</v>
      </c>
      <c r="S3586">
        <v>0</v>
      </c>
      <c r="T3586" t="s">
        <v>14904</v>
      </c>
    </row>
    <row r="3587" spans="1:20" customFormat="1" ht="15" x14ac:dyDescent="0.25">
      <c r="A3587" t="s">
        <v>24</v>
      </c>
      <c r="B3587" t="s">
        <v>1487</v>
      </c>
      <c r="C3587" t="str">
        <f>"A0086713"</f>
        <v>A0086713</v>
      </c>
      <c r="D3587" t="s">
        <v>63299</v>
      </c>
      <c r="E3587" t="s">
        <v>63300</v>
      </c>
      <c r="F3587" t="s">
        <v>63301</v>
      </c>
      <c r="G3587" t="s">
        <v>289</v>
      </c>
      <c r="H3587">
        <v>60638</v>
      </c>
      <c r="I3587" t="s">
        <v>30</v>
      </c>
      <c r="J3587" t="s">
        <v>162</v>
      </c>
      <c r="K3587" t="s">
        <v>759</v>
      </c>
      <c r="N3587" t="s">
        <v>63302</v>
      </c>
      <c r="Q3587">
        <v>0</v>
      </c>
      <c r="R3587">
        <v>146</v>
      </c>
      <c r="S3587">
        <v>0</v>
      </c>
      <c r="T3587" t="s">
        <v>63303</v>
      </c>
    </row>
    <row r="3588" spans="1:20" customFormat="1" ht="15" x14ac:dyDescent="0.25">
      <c r="A3588" t="s">
        <v>24</v>
      </c>
      <c r="B3588" t="s">
        <v>9975</v>
      </c>
      <c r="C3588" t="str">
        <f>"A0186726"</f>
        <v>A0186726</v>
      </c>
      <c r="D3588" t="s">
        <v>14910</v>
      </c>
      <c r="E3588" t="s">
        <v>14911</v>
      </c>
      <c r="F3588" t="s">
        <v>2110</v>
      </c>
      <c r="G3588" t="s">
        <v>52</v>
      </c>
      <c r="H3588">
        <v>76501</v>
      </c>
      <c r="I3588" t="s">
        <v>30</v>
      </c>
      <c r="J3588" t="s">
        <v>1004</v>
      </c>
      <c r="K3588" t="s">
        <v>163</v>
      </c>
      <c r="N3588" t="s">
        <v>14912</v>
      </c>
      <c r="Q3588">
        <v>0</v>
      </c>
      <c r="R3588">
        <v>0</v>
      </c>
      <c r="S3588">
        <v>0</v>
      </c>
      <c r="T3588" t="s">
        <v>14913</v>
      </c>
    </row>
    <row r="3589" spans="1:20" customFormat="1" ht="15" x14ac:dyDescent="0.25">
      <c r="A3589" t="s">
        <v>24</v>
      </c>
      <c r="B3589" t="s">
        <v>3221</v>
      </c>
      <c r="C3589" t="str">
        <f>"SF03911"</f>
        <v>SF03911</v>
      </c>
      <c r="D3589" t="s">
        <v>63304</v>
      </c>
      <c r="E3589" t="s">
        <v>63305</v>
      </c>
      <c r="F3589" t="s">
        <v>27655</v>
      </c>
      <c r="G3589" t="s">
        <v>1363</v>
      </c>
      <c r="H3589">
        <v>3063</v>
      </c>
      <c r="I3589" t="s">
        <v>30</v>
      </c>
      <c r="J3589" t="s">
        <v>162</v>
      </c>
      <c r="K3589" t="s">
        <v>759</v>
      </c>
      <c r="N3589" t="s">
        <v>34581</v>
      </c>
      <c r="O3589" t="s">
        <v>63306</v>
      </c>
      <c r="Q3589">
        <v>0</v>
      </c>
      <c r="R3589">
        <v>230</v>
      </c>
      <c r="S3589">
        <v>0</v>
      </c>
      <c r="T3589" t="s">
        <v>63307</v>
      </c>
    </row>
    <row r="3590" spans="1:20" customFormat="1" ht="15" x14ac:dyDescent="0.25">
      <c r="A3590" t="s">
        <v>24</v>
      </c>
      <c r="B3590" t="s">
        <v>14919</v>
      </c>
      <c r="C3590" t="str">
        <f>"A0064868"</f>
        <v>A0064868</v>
      </c>
      <c r="D3590" t="s">
        <v>14920</v>
      </c>
      <c r="E3590" t="s">
        <v>14921</v>
      </c>
      <c r="F3590" t="s">
        <v>14922</v>
      </c>
      <c r="G3590" t="s">
        <v>103</v>
      </c>
      <c r="H3590">
        <v>17033</v>
      </c>
      <c r="I3590" t="s">
        <v>30</v>
      </c>
      <c r="J3590" t="s">
        <v>191</v>
      </c>
      <c r="K3590" t="s">
        <v>163</v>
      </c>
      <c r="N3590" t="s">
        <v>14923</v>
      </c>
      <c r="O3590" t="s">
        <v>14924</v>
      </c>
      <c r="Q3590">
        <v>0</v>
      </c>
      <c r="R3590">
        <v>0</v>
      </c>
      <c r="S3590">
        <v>0</v>
      </c>
      <c r="T3590" t="s">
        <v>14925</v>
      </c>
    </row>
    <row r="3591" spans="1:20" customFormat="1" ht="15" x14ac:dyDescent="0.25">
      <c r="A3591" t="s">
        <v>24</v>
      </c>
      <c r="B3591" t="s">
        <v>14926</v>
      </c>
      <c r="C3591" t="str">
        <f>"A0158467"</f>
        <v>A0158467</v>
      </c>
      <c r="D3591" t="s">
        <v>14927</v>
      </c>
      <c r="E3591" t="s">
        <v>14928</v>
      </c>
      <c r="F3591" t="s">
        <v>14436</v>
      </c>
      <c r="G3591" t="s">
        <v>880</v>
      </c>
      <c r="H3591">
        <v>37813</v>
      </c>
      <c r="I3591" t="s">
        <v>30</v>
      </c>
      <c r="J3591" t="s">
        <v>31</v>
      </c>
      <c r="K3591" t="s">
        <v>32</v>
      </c>
      <c r="N3591" t="s">
        <v>8752</v>
      </c>
      <c r="O3591" t="s">
        <v>14929</v>
      </c>
      <c r="Q3591">
        <v>0</v>
      </c>
      <c r="R3591">
        <v>79</v>
      </c>
      <c r="S3591">
        <v>0</v>
      </c>
      <c r="T3591" t="s">
        <v>14930</v>
      </c>
    </row>
    <row r="3592" spans="1:20" customFormat="1" ht="15" x14ac:dyDescent="0.25">
      <c r="A3592" t="s">
        <v>24</v>
      </c>
      <c r="B3592" t="s">
        <v>5104</v>
      </c>
      <c r="C3592" t="str">
        <f>"A0180641"</f>
        <v>A0180641</v>
      </c>
      <c r="D3592" t="s">
        <v>14931</v>
      </c>
      <c r="E3592" t="s">
        <v>14932</v>
      </c>
      <c r="F3592" t="s">
        <v>997</v>
      </c>
      <c r="G3592" t="s">
        <v>99</v>
      </c>
      <c r="H3592">
        <v>10001</v>
      </c>
      <c r="I3592" t="s">
        <v>30</v>
      </c>
      <c r="J3592" t="s">
        <v>31</v>
      </c>
      <c r="K3592" t="s">
        <v>222</v>
      </c>
      <c r="N3592" t="s">
        <v>14933</v>
      </c>
      <c r="O3592" t="s">
        <v>14934</v>
      </c>
      <c r="Q3592">
        <v>0</v>
      </c>
      <c r="R3592">
        <v>531</v>
      </c>
      <c r="S3592">
        <v>0</v>
      </c>
      <c r="T3592" t="s">
        <v>14935</v>
      </c>
    </row>
    <row r="3593" spans="1:20" customFormat="1" ht="15" x14ac:dyDescent="0.25">
      <c r="A3593" t="s">
        <v>24</v>
      </c>
      <c r="B3593" t="s">
        <v>3221</v>
      </c>
      <c r="C3593" t="str">
        <f>"SF01993"</f>
        <v>SF01993</v>
      </c>
      <c r="D3593" t="s">
        <v>63308</v>
      </c>
      <c r="E3593" t="s">
        <v>63309</v>
      </c>
      <c r="F3593" t="s">
        <v>6840</v>
      </c>
      <c r="G3593" t="s">
        <v>117</v>
      </c>
      <c r="H3593">
        <v>48105</v>
      </c>
      <c r="I3593" t="s">
        <v>30</v>
      </c>
      <c r="J3593" t="s">
        <v>162</v>
      </c>
      <c r="K3593" t="s">
        <v>759</v>
      </c>
      <c r="N3593" t="s">
        <v>63310</v>
      </c>
      <c r="Q3593">
        <v>0</v>
      </c>
      <c r="R3593">
        <v>220</v>
      </c>
      <c r="S3593">
        <v>0</v>
      </c>
      <c r="T3593" t="s">
        <v>63311</v>
      </c>
    </row>
    <row r="3594" spans="1:20" customFormat="1" ht="15" x14ac:dyDescent="0.25">
      <c r="A3594" t="s">
        <v>24</v>
      </c>
      <c r="B3594" t="s">
        <v>193</v>
      </c>
      <c r="C3594" t="str">
        <f>"A0117485"</f>
        <v>A0117485</v>
      </c>
      <c r="D3594" t="s">
        <v>14940</v>
      </c>
      <c r="E3594" t="s">
        <v>14941</v>
      </c>
      <c r="F3594" t="s">
        <v>2159</v>
      </c>
      <c r="G3594" t="s">
        <v>52</v>
      </c>
      <c r="H3594">
        <v>75605</v>
      </c>
      <c r="I3594" t="s">
        <v>30</v>
      </c>
      <c r="J3594" t="s">
        <v>145</v>
      </c>
      <c r="K3594" t="s">
        <v>302</v>
      </c>
      <c r="N3594" t="s">
        <v>12551</v>
      </c>
      <c r="Q3594">
        <v>0</v>
      </c>
      <c r="R3594">
        <v>67</v>
      </c>
      <c r="S3594">
        <v>0</v>
      </c>
      <c r="T3594" t="s">
        <v>14942</v>
      </c>
    </row>
    <row r="3595" spans="1:20" customFormat="1" ht="15" x14ac:dyDescent="0.25">
      <c r="A3595" t="s">
        <v>24</v>
      </c>
      <c r="B3595" t="s">
        <v>1548</v>
      </c>
      <c r="C3595" t="str">
        <f>"A0061230"</f>
        <v>A0061230</v>
      </c>
      <c r="D3595" t="s">
        <v>63312</v>
      </c>
      <c r="E3595" t="s">
        <v>63313</v>
      </c>
      <c r="F3595" t="s">
        <v>1153</v>
      </c>
      <c r="G3595" t="s">
        <v>338</v>
      </c>
      <c r="H3595">
        <v>7114</v>
      </c>
      <c r="I3595" t="s">
        <v>30</v>
      </c>
      <c r="J3595" t="s">
        <v>162</v>
      </c>
      <c r="K3595" t="s">
        <v>759</v>
      </c>
      <c r="N3595" t="s">
        <v>63314</v>
      </c>
      <c r="O3595" t="s">
        <v>63315</v>
      </c>
      <c r="Q3595">
        <v>0</v>
      </c>
      <c r="R3595">
        <v>502</v>
      </c>
      <c r="S3595">
        <v>0</v>
      </c>
      <c r="T3595" t="s">
        <v>63316</v>
      </c>
    </row>
    <row r="3596" spans="1:20" customFormat="1" ht="15" x14ac:dyDescent="0.25">
      <c r="A3596" t="s">
        <v>24</v>
      </c>
      <c r="B3596" t="s">
        <v>13730</v>
      </c>
      <c r="C3596" t="str">
        <f>"A0092415"</f>
        <v>A0092415</v>
      </c>
      <c r="D3596" t="s">
        <v>63317</v>
      </c>
      <c r="E3596" t="s">
        <v>63318</v>
      </c>
      <c r="F3596" t="s">
        <v>63319</v>
      </c>
      <c r="G3596" t="s">
        <v>338</v>
      </c>
      <c r="H3596">
        <v>7102</v>
      </c>
      <c r="I3596" t="s">
        <v>30</v>
      </c>
      <c r="J3596" t="s">
        <v>162</v>
      </c>
      <c r="K3596" t="s">
        <v>759</v>
      </c>
      <c r="N3596" t="s">
        <v>63320</v>
      </c>
      <c r="O3596" t="s">
        <v>63321</v>
      </c>
      <c r="Q3596">
        <v>0</v>
      </c>
      <c r="R3596">
        <v>253</v>
      </c>
      <c r="S3596">
        <v>0</v>
      </c>
      <c r="T3596" t="s">
        <v>63322</v>
      </c>
    </row>
    <row r="3597" spans="1:20" customFormat="1" ht="15" x14ac:dyDescent="0.25">
      <c r="A3597" t="s">
        <v>24</v>
      </c>
      <c r="B3597" t="s">
        <v>13684</v>
      </c>
      <c r="C3597" t="str">
        <f>"A0061355"</f>
        <v>A0061355</v>
      </c>
      <c r="D3597" t="s">
        <v>14954</v>
      </c>
      <c r="E3597" t="s">
        <v>14955</v>
      </c>
      <c r="F3597" t="s">
        <v>14956</v>
      </c>
      <c r="G3597" t="s">
        <v>71</v>
      </c>
      <c r="H3597">
        <v>53402</v>
      </c>
      <c r="I3597" t="s">
        <v>30</v>
      </c>
      <c r="J3597" t="s">
        <v>7657</v>
      </c>
      <c r="K3597" t="s">
        <v>14957</v>
      </c>
      <c r="N3597" t="s">
        <v>14958</v>
      </c>
      <c r="O3597" t="s">
        <v>14959</v>
      </c>
      <c r="Q3597">
        <v>0</v>
      </c>
      <c r="R3597">
        <v>42</v>
      </c>
      <c r="S3597">
        <v>0</v>
      </c>
      <c r="T3597" t="s">
        <v>14960</v>
      </c>
    </row>
    <row r="3598" spans="1:20" customFormat="1" ht="15" x14ac:dyDescent="0.25">
      <c r="A3598" t="s">
        <v>24</v>
      </c>
      <c r="B3598" t="s">
        <v>4400</v>
      </c>
      <c r="C3598" t="str">
        <f>"A0059986"</f>
        <v>A0059986</v>
      </c>
      <c r="D3598" t="s">
        <v>63323</v>
      </c>
      <c r="E3598" t="s">
        <v>63324</v>
      </c>
      <c r="F3598" t="s">
        <v>63325</v>
      </c>
      <c r="G3598" t="s">
        <v>117</v>
      </c>
      <c r="H3598">
        <v>48375</v>
      </c>
      <c r="I3598" t="s">
        <v>30</v>
      </c>
      <c r="J3598" t="s">
        <v>162</v>
      </c>
      <c r="K3598" t="s">
        <v>759</v>
      </c>
      <c r="N3598" t="s">
        <v>63211</v>
      </c>
      <c r="O3598" t="s">
        <v>63326</v>
      </c>
      <c r="Q3598">
        <v>0</v>
      </c>
      <c r="R3598">
        <v>151</v>
      </c>
      <c r="S3598">
        <v>0</v>
      </c>
      <c r="T3598" t="s">
        <v>63327</v>
      </c>
    </row>
    <row r="3599" spans="1:20" customFormat="1" ht="15" x14ac:dyDescent="0.25">
      <c r="A3599" t="s">
        <v>24</v>
      </c>
      <c r="B3599" t="s">
        <v>2387</v>
      </c>
      <c r="C3599" t="str">
        <f>"A0185499"</f>
        <v>A0185499</v>
      </c>
      <c r="D3599" t="s">
        <v>14966</v>
      </c>
      <c r="E3599" t="s">
        <v>14967</v>
      </c>
      <c r="F3599" t="s">
        <v>6873</v>
      </c>
      <c r="G3599" t="s">
        <v>899</v>
      </c>
      <c r="H3599">
        <v>2155</v>
      </c>
      <c r="I3599" t="s">
        <v>30</v>
      </c>
      <c r="J3599" t="s">
        <v>31</v>
      </c>
      <c r="K3599" t="s">
        <v>32</v>
      </c>
      <c r="N3599" t="s">
        <v>14968</v>
      </c>
      <c r="O3599" t="s">
        <v>14969</v>
      </c>
      <c r="Q3599">
        <v>0</v>
      </c>
      <c r="R3599">
        <v>156</v>
      </c>
      <c r="S3599">
        <v>0</v>
      </c>
      <c r="T3599" t="s">
        <v>14970</v>
      </c>
    </row>
    <row r="3600" spans="1:20" customFormat="1" ht="15" x14ac:dyDescent="0.25">
      <c r="A3600" t="s">
        <v>24</v>
      </c>
      <c r="B3600" t="s">
        <v>10398</v>
      </c>
      <c r="C3600" t="str">
        <f>"A0093932"</f>
        <v>A0093932</v>
      </c>
      <c r="D3600" t="s">
        <v>14971</v>
      </c>
      <c r="E3600" t="s">
        <v>14972</v>
      </c>
      <c r="F3600" t="s">
        <v>7153</v>
      </c>
      <c r="G3600" t="s">
        <v>117</v>
      </c>
      <c r="H3600">
        <v>48226</v>
      </c>
      <c r="I3600" t="s">
        <v>30</v>
      </c>
      <c r="J3600" t="s">
        <v>31</v>
      </c>
      <c r="K3600" t="s">
        <v>277</v>
      </c>
      <c r="N3600" t="s">
        <v>14973</v>
      </c>
      <c r="Q3600">
        <v>0</v>
      </c>
      <c r="R3600">
        <v>242</v>
      </c>
      <c r="S3600">
        <v>0</v>
      </c>
      <c r="T3600" t="s">
        <v>14974</v>
      </c>
    </row>
    <row r="3601" spans="1:20" customFormat="1" ht="15" x14ac:dyDescent="0.25">
      <c r="A3601" t="s">
        <v>35</v>
      </c>
      <c r="B3601" t="s">
        <v>5676</v>
      </c>
      <c r="C3601" t="str">
        <f>"A0129144"</f>
        <v>A0129144</v>
      </c>
      <c r="D3601" t="s">
        <v>14975</v>
      </c>
      <c r="E3601" t="s">
        <v>14976</v>
      </c>
      <c r="F3601" t="s">
        <v>14977</v>
      </c>
      <c r="G3601" t="s">
        <v>289</v>
      </c>
      <c r="H3601">
        <v>62914</v>
      </c>
      <c r="I3601" t="s">
        <v>30</v>
      </c>
      <c r="J3601" t="s">
        <v>41</v>
      </c>
      <c r="K3601" t="s">
        <v>229</v>
      </c>
      <c r="Q3601">
        <v>0</v>
      </c>
      <c r="R3601">
        <v>83</v>
      </c>
      <c r="S3601">
        <v>83</v>
      </c>
      <c r="T3601" t="s">
        <v>14978</v>
      </c>
    </row>
    <row r="3602" spans="1:20" customFormat="1" ht="15" x14ac:dyDescent="0.25">
      <c r="A3602" t="s">
        <v>24</v>
      </c>
      <c r="B3602" t="s">
        <v>2387</v>
      </c>
      <c r="C3602" t="str">
        <f>"A0095612"</f>
        <v>A0095612</v>
      </c>
      <c r="D3602" t="s">
        <v>63328</v>
      </c>
      <c r="E3602" t="s">
        <v>63329</v>
      </c>
      <c r="F3602" t="s">
        <v>4009</v>
      </c>
      <c r="G3602" t="s">
        <v>81</v>
      </c>
      <c r="H3602">
        <v>33160</v>
      </c>
      <c r="I3602" t="s">
        <v>30</v>
      </c>
      <c r="J3602" t="s">
        <v>162</v>
      </c>
      <c r="K3602" t="s">
        <v>759</v>
      </c>
      <c r="N3602" t="s">
        <v>63330</v>
      </c>
      <c r="Q3602">
        <v>0</v>
      </c>
      <c r="R3602">
        <v>147</v>
      </c>
      <c r="S3602">
        <v>0</v>
      </c>
      <c r="T3602" t="s">
        <v>63331</v>
      </c>
    </row>
    <row r="3603" spans="1:20" customFormat="1" ht="15" x14ac:dyDescent="0.25">
      <c r="A3603" t="s">
        <v>24</v>
      </c>
      <c r="B3603" t="s">
        <v>1548</v>
      </c>
      <c r="C3603" t="str">
        <f>"A0086800"</f>
        <v>A0086800</v>
      </c>
      <c r="D3603" t="s">
        <v>63332</v>
      </c>
      <c r="E3603" t="s">
        <v>63333</v>
      </c>
      <c r="F3603" t="s">
        <v>985</v>
      </c>
      <c r="G3603" t="s">
        <v>81</v>
      </c>
      <c r="H3603">
        <v>32821</v>
      </c>
      <c r="I3603" t="s">
        <v>30</v>
      </c>
      <c r="J3603" t="s">
        <v>162</v>
      </c>
      <c r="K3603" t="s">
        <v>759</v>
      </c>
      <c r="N3603" t="s">
        <v>63334</v>
      </c>
      <c r="O3603" t="s">
        <v>63335</v>
      </c>
      <c r="Q3603">
        <v>0</v>
      </c>
      <c r="R3603">
        <v>1004</v>
      </c>
      <c r="S3603">
        <v>0</v>
      </c>
      <c r="T3603" t="s">
        <v>63336</v>
      </c>
    </row>
    <row r="3604" spans="1:20" customFormat="1" ht="15" x14ac:dyDescent="0.25">
      <c r="A3604" t="s">
        <v>24</v>
      </c>
      <c r="B3604" t="s">
        <v>1849</v>
      </c>
      <c r="C3604" t="str">
        <f>"A0086828"</f>
        <v>A0086828</v>
      </c>
      <c r="D3604" t="s">
        <v>63337</v>
      </c>
      <c r="E3604" t="s">
        <v>63338</v>
      </c>
      <c r="F3604" t="s">
        <v>985</v>
      </c>
      <c r="G3604" t="s">
        <v>81</v>
      </c>
      <c r="H3604">
        <v>32804</v>
      </c>
      <c r="I3604" t="s">
        <v>30</v>
      </c>
      <c r="J3604" t="s">
        <v>162</v>
      </c>
      <c r="K3604" t="s">
        <v>759</v>
      </c>
      <c r="N3604" t="s">
        <v>63339</v>
      </c>
      <c r="Q3604">
        <v>0</v>
      </c>
      <c r="R3604">
        <v>341</v>
      </c>
      <c r="S3604">
        <v>0</v>
      </c>
      <c r="T3604" t="s">
        <v>63340</v>
      </c>
    </row>
    <row r="3605" spans="1:20" customFormat="1" ht="15" x14ac:dyDescent="0.25">
      <c r="A3605" t="s">
        <v>24</v>
      </c>
      <c r="B3605" t="s">
        <v>3628</v>
      </c>
      <c r="C3605" t="str">
        <f>"204W1"</f>
        <v>204W1</v>
      </c>
      <c r="D3605" t="s">
        <v>14997</v>
      </c>
      <c r="E3605" t="s">
        <v>14998</v>
      </c>
      <c r="F3605" t="s">
        <v>8542</v>
      </c>
      <c r="G3605" t="s">
        <v>1363</v>
      </c>
      <c r="H3605">
        <v>3103</v>
      </c>
      <c r="I3605" t="s">
        <v>30</v>
      </c>
      <c r="J3605" t="s">
        <v>31</v>
      </c>
      <c r="K3605" t="s">
        <v>255</v>
      </c>
      <c r="N3605" t="s">
        <v>14999</v>
      </c>
      <c r="Q3605">
        <v>0</v>
      </c>
      <c r="R3605">
        <v>100</v>
      </c>
      <c r="S3605">
        <v>0</v>
      </c>
      <c r="T3605" t="s">
        <v>15000</v>
      </c>
    </row>
    <row r="3606" spans="1:20" customFormat="1" ht="15" x14ac:dyDescent="0.25">
      <c r="A3606" t="s">
        <v>24</v>
      </c>
      <c r="B3606" t="s">
        <v>2380</v>
      </c>
      <c r="C3606" t="str">
        <f>"A0088723"</f>
        <v>A0088723</v>
      </c>
      <c r="D3606" t="s">
        <v>63341</v>
      </c>
      <c r="E3606" t="s">
        <v>63342</v>
      </c>
      <c r="F3606" t="s">
        <v>8946</v>
      </c>
      <c r="G3606" t="s">
        <v>81</v>
      </c>
      <c r="H3606">
        <v>32830</v>
      </c>
      <c r="I3606" t="s">
        <v>30</v>
      </c>
      <c r="J3606" t="s">
        <v>162</v>
      </c>
      <c r="K3606" t="s">
        <v>759</v>
      </c>
      <c r="N3606" t="s">
        <v>63343</v>
      </c>
      <c r="Q3606">
        <v>0</v>
      </c>
      <c r="R3606">
        <v>229</v>
      </c>
      <c r="S3606">
        <v>0</v>
      </c>
      <c r="T3606" t="s">
        <v>63344</v>
      </c>
    </row>
    <row r="3607" spans="1:20" customFormat="1" ht="15" x14ac:dyDescent="0.25">
      <c r="A3607" t="s">
        <v>24</v>
      </c>
      <c r="B3607" t="s">
        <v>1548</v>
      </c>
      <c r="C3607" t="str">
        <f>"A0058967"</f>
        <v>A0058967</v>
      </c>
      <c r="D3607" t="s">
        <v>63345</v>
      </c>
      <c r="E3607" t="s">
        <v>63346</v>
      </c>
      <c r="F3607" t="s">
        <v>61460</v>
      </c>
      <c r="G3607" t="s">
        <v>103</v>
      </c>
      <c r="H3607">
        <v>19462</v>
      </c>
      <c r="I3607" t="s">
        <v>30</v>
      </c>
      <c r="J3607" t="s">
        <v>162</v>
      </c>
      <c r="K3607" t="s">
        <v>759</v>
      </c>
      <c r="N3607" t="s">
        <v>63347</v>
      </c>
      <c r="Q3607">
        <v>0</v>
      </c>
      <c r="R3607">
        <v>253</v>
      </c>
      <c r="S3607">
        <v>0</v>
      </c>
      <c r="T3607" t="s">
        <v>63348</v>
      </c>
    </row>
    <row r="3608" spans="1:20" customFormat="1" ht="15" x14ac:dyDescent="0.25">
      <c r="A3608" t="s">
        <v>24</v>
      </c>
      <c r="B3608" t="s">
        <v>2812</v>
      </c>
      <c r="C3608" t="str">
        <f>"SF05102"</f>
        <v>SF05102</v>
      </c>
      <c r="D3608" t="s">
        <v>63349</v>
      </c>
      <c r="E3608" t="s">
        <v>63350</v>
      </c>
      <c r="F3608" t="s">
        <v>313</v>
      </c>
      <c r="G3608" t="s">
        <v>103</v>
      </c>
      <c r="H3608">
        <v>15301</v>
      </c>
      <c r="I3608" t="s">
        <v>30</v>
      </c>
      <c r="J3608" t="s">
        <v>162</v>
      </c>
      <c r="K3608" t="s">
        <v>759</v>
      </c>
      <c r="N3608" t="s">
        <v>63351</v>
      </c>
      <c r="Q3608">
        <v>0</v>
      </c>
      <c r="R3608">
        <v>138</v>
      </c>
      <c r="S3608">
        <v>0</v>
      </c>
      <c r="T3608" t="s">
        <v>63352</v>
      </c>
    </row>
    <row r="3609" spans="1:20" customFormat="1" ht="15" x14ac:dyDescent="0.25">
      <c r="A3609" t="s">
        <v>24</v>
      </c>
      <c r="B3609" t="s">
        <v>4990</v>
      </c>
      <c r="C3609" t="str">
        <f>"A0055768"</f>
        <v>A0055768</v>
      </c>
      <c r="D3609" t="s">
        <v>63359</v>
      </c>
      <c r="E3609" t="s">
        <v>63360</v>
      </c>
      <c r="F3609" t="s">
        <v>63361</v>
      </c>
      <c r="G3609" t="s">
        <v>1898</v>
      </c>
      <c r="H3609">
        <v>52801</v>
      </c>
      <c r="I3609" t="s">
        <v>30</v>
      </c>
      <c r="J3609" t="s">
        <v>162</v>
      </c>
      <c r="K3609" t="s">
        <v>759</v>
      </c>
      <c r="N3609" t="s">
        <v>63362</v>
      </c>
      <c r="O3609" t="s">
        <v>63363</v>
      </c>
      <c r="Q3609">
        <v>0</v>
      </c>
      <c r="R3609">
        <v>221</v>
      </c>
      <c r="S3609">
        <v>0</v>
      </c>
      <c r="T3609" t="s">
        <v>63364</v>
      </c>
    </row>
    <row r="3610" spans="1:20" customFormat="1" ht="15" x14ac:dyDescent="0.25">
      <c r="A3610" t="s">
        <v>24</v>
      </c>
      <c r="B3610" t="s">
        <v>13679</v>
      </c>
      <c r="C3610" t="str">
        <f>"88HI004"</f>
        <v>88HI004</v>
      </c>
      <c r="D3610" t="s">
        <v>63365</v>
      </c>
      <c r="E3610" t="s">
        <v>63366</v>
      </c>
      <c r="F3610" t="s">
        <v>63367</v>
      </c>
      <c r="G3610" t="s">
        <v>214</v>
      </c>
      <c r="H3610">
        <v>27703</v>
      </c>
      <c r="I3610" t="s">
        <v>30</v>
      </c>
      <c r="J3610" t="s">
        <v>162</v>
      </c>
      <c r="K3610" t="s">
        <v>759</v>
      </c>
      <c r="N3610" t="s">
        <v>63368</v>
      </c>
      <c r="O3610" t="s">
        <v>63369</v>
      </c>
      <c r="Q3610">
        <v>0</v>
      </c>
      <c r="R3610">
        <v>250</v>
      </c>
      <c r="S3610">
        <v>0</v>
      </c>
      <c r="T3610" t="s">
        <v>63370</v>
      </c>
    </row>
    <row r="3611" spans="1:20" customFormat="1" ht="15" x14ac:dyDescent="0.25">
      <c r="A3611" t="s">
        <v>24</v>
      </c>
      <c r="B3611" t="s">
        <v>13679</v>
      </c>
      <c r="C3611" t="str">
        <f>"A0075592"</f>
        <v>A0075592</v>
      </c>
      <c r="D3611" t="s">
        <v>63371</v>
      </c>
      <c r="E3611" t="s">
        <v>63372</v>
      </c>
      <c r="F3611" t="s">
        <v>2014</v>
      </c>
      <c r="G3611" t="s">
        <v>197</v>
      </c>
      <c r="H3611">
        <v>85250</v>
      </c>
      <c r="I3611" t="s">
        <v>30</v>
      </c>
      <c r="J3611" t="s">
        <v>162</v>
      </c>
      <c r="K3611" t="s">
        <v>759</v>
      </c>
      <c r="Q3611">
        <v>0</v>
      </c>
      <c r="R3611">
        <v>378</v>
      </c>
      <c r="S3611">
        <v>0</v>
      </c>
      <c r="T3611" t="s">
        <v>63373</v>
      </c>
    </row>
    <row r="3612" spans="1:20" customFormat="1" ht="15" x14ac:dyDescent="0.25">
      <c r="A3612" t="s">
        <v>24</v>
      </c>
      <c r="B3612" t="s">
        <v>15032</v>
      </c>
      <c r="C3612" t="str">
        <f>"A0052068"</f>
        <v>A0052068</v>
      </c>
      <c r="D3612" t="s">
        <v>15033</v>
      </c>
      <c r="E3612" t="s">
        <v>15034</v>
      </c>
      <c r="F3612" t="s">
        <v>15035</v>
      </c>
      <c r="G3612" t="s">
        <v>99</v>
      </c>
      <c r="H3612">
        <v>14120</v>
      </c>
      <c r="I3612" t="s">
        <v>30</v>
      </c>
      <c r="J3612" t="s">
        <v>178</v>
      </c>
      <c r="K3612" t="s">
        <v>179</v>
      </c>
      <c r="N3612" t="s">
        <v>15036</v>
      </c>
      <c r="O3612" t="s">
        <v>15037</v>
      </c>
      <c r="Q3612">
        <v>1</v>
      </c>
      <c r="R3612">
        <v>0</v>
      </c>
      <c r="S3612">
        <v>0</v>
      </c>
      <c r="T3612" t="s">
        <v>15038</v>
      </c>
    </row>
    <row r="3613" spans="1:20" customFormat="1" ht="15" x14ac:dyDescent="0.25">
      <c r="A3613" t="s">
        <v>24</v>
      </c>
      <c r="B3613" t="s">
        <v>15039</v>
      </c>
      <c r="C3613" t="str">
        <f>"A0154001"</f>
        <v>A0154001</v>
      </c>
      <c r="D3613" t="s">
        <v>15040</v>
      </c>
      <c r="E3613" t="s">
        <v>15041</v>
      </c>
      <c r="F3613" t="s">
        <v>2094</v>
      </c>
      <c r="G3613" t="s">
        <v>52</v>
      </c>
      <c r="H3613">
        <v>75211</v>
      </c>
      <c r="I3613" t="s">
        <v>30</v>
      </c>
      <c r="J3613" t="s">
        <v>31</v>
      </c>
      <c r="K3613" t="s">
        <v>198</v>
      </c>
      <c r="N3613" t="s">
        <v>15042</v>
      </c>
      <c r="Q3613">
        <v>0</v>
      </c>
      <c r="R3613">
        <v>79</v>
      </c>
      <c r="S3613">
        <v>0</v>
      </c>
      <c r="T3613" t="s">
        <v>15043</v>
      </c>
    </row>
    <row r="3614" spans="1:20" customFormat="1" ht="15" x14ac:dyDescent="0.25">
      <c r="A3614" t="s">
        <v>24</v>
      </c>
      <c r="B3614" t="s">
        <v>193</v>
      </c>
      <c r="C3614" t="str">
        <f>"A0064637"</f>
        <v>A0064637</v>
      </c>
      <c r="D3614" t="s">
        <v>15044</v>
      </c>
      <c r="E3614" t="s">
        <v>15045</v>
      </c>
      <c r="F3614" t="s">
        <v>15046</v>
      </c>
      <c r="G3614" t="s">
        <v>110</v>
      </c>
      <c r="H3614">
        <v>94065</v>
      </c>
      <c r="I3614" t="s">
        <v>30</v>
      </c>
      <c r="J3614" t="s">
        <v>15047</v>
      </c>
      <c r="K3614" t="s">
        <v>163</v>
      </c>
      <c r="N3614" t="s">
        <v>15048</v>
      </c>
      <c r="Q3614">
        <v>0</v>
      </c>
      <c r="R3614">
        <v>95</v>
      </c>
      <c r="S3614">
        <v>0</v>
      </c>
      <c r="T3614" t="s">
        <v>15049</v>
      </c>
    </row>
    <row r="3615" spans="1:20" customFormat="1" ht="15" x14ac:dyDescent="0.25">
      <c r="A3615" t="s">
        <v>35</v>
      </c>
      <c r="B3615" t="s">
        <v>8631</v>
      </c>
      <c r="C3615" t="str">
        <f>"A0126375"</f>
        <v>A0126375</v>
      </c>
      <c r="D3615" t="s">
        <v>15050</v>
      </c>
      <c r="E3615" t="s">
        <v>15051</v>
      </c>
      <c r="F3615" t="s">
        <v>15052</v>
      </c>
      <c r="G3615" t="s">
        <v>81</v>
      </c>
      <c r="H3615">
        <v>33578</v>
      </c>
      <c r="I3615" t="s">
        <v>30</v>
      </c>
      <c r="J3615" t="s">
        <v>41</v>
      </c>
      <c r="K3615" t="s">
        <v>59</v>
      </c>
      <c r="Q3615">
        <v>0</v>
      </c>
      <c r="R3615">
        <v>104</v>
      </c>
      <c r="S3615">
        <v>104</v>
      </c>
      <c r="T3615" t="s">
        <v>15053</v>
      </c>
    </row>
    <row r="3616" spans="1:20" customFormat="1" ht="15" x14ac:dyDescent="0.25">
      <c r="A3616" t="s">
        <v>24</v>
      </c>
      <c r="B3616" t="s">
        <v>193</v>
      </c>
      <c r="C3616" t="str">
        <f>"A0059933"</f>
        <v>A0059933</v>
      </c>
      <c r="D3616" t="s">
        <v>15054</v>
      </c>
      <c r="E3616" t="s">
        <v>15055</v>
      </c>
      <c r="F3616" t="s">
        <v>2014</v>
      </c>
      <c r="G3616" t="s">
        <v>197</v>
      </c>
      <c r="H3616">
        <v>85258</v>
      </c>
      <c r="I3616" t="s">
        <v>30</v>
      </c>
      <c r="J3616" t="s">
        <v>145</v>
      </c>
      <c r="K3616" t="s">
        <v>1185</v>
      </c>
      <c r="N3616" t="s">
        <v>15056</v>
      </c>
      <c r="Q3616">
        <v>0</v>
      </c>
      <c r="R3616">
        <v>113</v>
      </c>
      <c r="S3616">
        <v>0</v>
      </c>
      <c r="T3616" t="s">
        <v>15057</v>
      </c>
    </row>
    <row r="3617" spans="1:25" customFormat="1" ht="15" x14ac:dyDescent="0.25">
      <c r="A3617" t="s">
        <v>24</v>
      </c>
      <c r="B3617" t="s">
        <v>58755</v>
      </c>
      <c r="C3617" t="str">
        <f>"A0095514"</f>
        <v>A0095514</v>
      </c>
      <c r="D3617" t="s">
        <v>63374</v>
      </c>
      <c r="E3617" t="s">
        <v>63375</v>
      </c>
      <c r="F3617" t="s">
        <v>2839</v>
      </c>
      <c r="G3617" t="s">
        <v>846</v>
      </c>
      <c r="H3617">
        <v>31408</v>
      </c>
      <c r="I3617" t="s">
        <v>30</v>
      </c>
      <c r="J3617" t="s">
        <v>162</v>
      </c>
      <c r="K3617" t="s">
        <v>759</v>
      </c>
      <c r="N3617" t="s">
        <v>63376</v>
      </c>
      <c r="O3617" t="s">
        <v>63377</v>
      </c>
      <c r="Q3617">
        <v>0</v>
      </c>
      <c r="R3617">
        <v>97</v>
      </c>
      <c r="S3617">
        <v>0</v>
      </c>
      <c r="T3617" t="s">
        <v>63378</v>
      </c>
    </row>
    <row r="3618" spans="1:25" customFormat="1" ht="15" x14ac:dyDescent="0.25">
      <c r="A3618" t="s">
        <v>24</v>
      </c>
      <c r="B3618" t="s">
        <v>4990</v>
      </c>
      <c r="C3618" t="str">
        <f>"A0098601"</f>
        <v>A0098601</v>
      </c>
      <c r="D3618" t="s">
        <v>15061</v>
      </c>
      <c r="E3618" t="s">
        <v>15062</v>
      </c>
      <c r="F3618" t="s">
        <v>866</v>
      </c>
      <c r="G3618" t="s">
        <v>40</v>
      </c>
      <c r="H3618">
        <v>73104</v>
      </c>
      <c r="I3618" t="s">
        <v>30</v>
      </c>
      <c r="J3618" t="s">
        <v>31</v>
      </c>
      <c r="K3618" t="s">
        <v>277</v>
      </c>
      <c r="N3618" t="s">
        <v>15063</v>
      </c>
      <c r="O3618" t="s">
        <v>15064</v>
      </c>
      <c r="Q3618">
        <v>0</v>
      </c>
      <c r="R3618">
        <v>134</v>
      </c>
      <c r="S3618">
        <v>0</v>
      </c>
      <c r="T3618" t="s">
        <v>15065</v>
      </c>
    </row>
    <row r="3619" spans="1:25" x14ac:dyDescent="0.25">
      <c r="A3619" s="5" t="s">
        <v>24</v>
      </c>
      <c r="B3619" s="5" t="s">
        <v>4400</v>
      </c>
      <c r="C3619" s="5" t="str">
        <f>"A0060008"</f>
        <v>A0060008</v>
      </c>
      <c r="D3619" s="5" t="s">
        <v>63379</v>
      </c>
      <c r="E3619" s="5" t="s">
        <v>63380</v>
      </c>
      <c r="F3619" s="5" t="s">
        <v>4003</v>
      </c>
      <c r="G3619" s="5" t="s">
        <v>289</v>
      </c>
      <c r="H3619" s="5">
        <v>60173</v>
      </c>
      <c r="I3619" s="5" t="s">
        <v>30</v>
      </c>
      <c r="J3619" s="5" t="s">
        <v>162</v>
      </c>
      <c r="K3619" s="5" t="s">
        <v>759</v>
      </c>
      <c r="L3619" s="5"/>
      <c r="M3619" s="5"/>
      <c r="N3619" s="5" t="s">
        <v>63381</v>
      </c>
      <c r="O3619" s="5"/>
      <c r="P3619" s="5"/>
      <c r="Q3619" s="5">
        <v>0</v>
      </c>
      <c r="R3619" s="5">
        <v>188</v>
      </c>
      <c r="S3619" s="5">
        <v>0</v>
      </c>
      <c r="T3619" s="5" t="s">
        <v>63382</v>
      </c>
      <c r="U3619" s="5"/>
      <c r="V3619" s="5"/>
      <c r="W3619" s="5"/>
      <c r="X3619" s="5"/>
      <c r="Y3619" s="5"/>
    </row>
    <row r="3620" spans="1:25" customFormat="1" ht="15" x14ac:dyDescent="0.25">
      <c r="A3620" t="s">
        <v>35</v>
      </c>
      <c r="B3620" t="s">
        <v>15071</v>
      </c>
      <c r="C3620" t="str">
        <f>"A0165147"</f>
        <v>A0165147</v>
      </c>
      <c r="D3620" t="s">
        <v>15072</v>
      </c>
      <c r="E3620" t="s">
        <v>15073</v>
      </c>
      <c r="F3620" t="s">
        <v>15074</v>
      </c>
      <c r="G3620" t="s">
        <v>29</v>
      </c>
      <c r="H3620">
        <v>20190</v>
      </c>
      <c r="I3620" t="s">
        <v>30</v>
      </c>
      <c r="J3620" t="s">
        <v>41</v>
      </c>
      <c r="K3620" t="s">
        <v>59</v>
      </c>
      <c r="Q3620">
        <v>0</v>
      </c>
      <c r="R3620">
        <v>200</v>
      </c>
      <c r="S3620">
        <v>200</v>
      </c>
      <c r="T3620" t="s">
        <v>15075</v>
      </c>
    </row>
    <row r="3621" spans="1:25" customFormat="1" ht="15" hidden="1" x14ac:dyDescent="0.25">
      <c r="A3621" t="s">
        <v>24</v>
      </c>
      <c r="B3621" t="s">
        <v>15076</v>
      </c>
      <c r="C3621" t="str">
        <f>"A0186561"</f>
        <v>A0186561</v>
      </c>
      <c r="D3621" t="s">
        <v>15077</v>
      </c>
      <c r="E3621" t="s">
        <v>15078</v>
      </c>
      <c r="F3621" t="s">
        <v>5874</v>
      </c>
      <c r="G3621" t="s">
        <v>3843</v>
      </c>
      <c r="H3621">
        <v>6100</v>
      </c>
      <c r="I3621" t="s">
        <v>2408</v>
      </c>
      <c r="J3621" t="s">
        <v>162</v>
      </c>
      <c r="K3621" t="s">
        <v>15079</v>
      </c>
      <c r="N3621" t="s">
        <v>15080</v>
      </c>
      <c r="O3621" t="s">
        <v>15081</v>
      </c>
      <c r="Q3621">
        <v>0</v>
      </c>
      <c r="R3621">
        <v>112</v>
      </c>
      <c r="S3621">
        <v>0</v>
      </c>
      <c r="T3621" t="s">
        <v>15082</v>
      </c>
    </row>
    <row r="3622" spans="1:25" customFormat="1" ht="15" hidden="1" x14ac:dyDescent="0.25">
      <c r="A3622" t="s">
        <v>24</v>
      </c>
      <c r="B3622" t="s">
        <v>15076</v>
      </c>
      <c r="C3622" t="str">
        <f>"A0186560"</f>
        <v>A0186560</v>
      </c>
      <c r="D3622" t="s">
        <v>15083</v>
      </c>
      <c r="E3622" t="s">
        <v>15084</v>
      </c>
      <c r="F3622" t="s">
        <v>2408</v>
      </c>
      <c r="G3622" t="s">
        <v>3843</v>
      </c>
      <c r="H3622">
        <v>6100</v>
      </c>
      <c r="I3622" t="s">
        <v>2408</v>
      </c>
      <c r="J3622" t="s">
        <v>162</v>
      </c>
      <c r="K3622" t="s">
        <v>15079</v>
      </c>
      <c r="N3622" t="s">
        <v>15080</v>
      </c>
      <c r="O3622" t="s">
        <v>15081</v>
      </c>
      <c r="Q3622">
        <v>0</v>
      </c>
      <c r="R3622">
        <v>296</v>
      </c>
      <c r="S3622">
        <v>0</v>
      </c>
      <c r="T3622" t="s">
        <v>15085</v>
      </c>
    </row>
    <row r="3623" spans="1:25" customFormat="1" ht="15" x14ac:dyDescent="0.25">
      <c r="A3623" t="s">
        <v>35</v>
      </c>
      <c r="B3623" t="s">
        <v>61</v>
      </c>
      <c r="C3623" t="str">
        <f>"A0121877"</f>
        <v>A0121877</v>
      </c>
      <c r="D3623" t="s">
        <v>15086</v>
      </c>
      <c r="E3623" t="s">
        <v>5639</v>
      </c>
      <c r="F3623" t="s">
        <v>4288</v>
      </c>
      <c r="G3623" t="s">
        <v>110</v>
      </c>
      <c r="H3623">
        <v>92518</v>
      </c>
      <c r="I3623" t="s">
        <v>30</v>
      </c>
      <c r="J3623" t="s">
        <v>41</v>
      </c>
      <c r="K3623" t="s">
        <v>1440</v>
      </c>
      <c r="Q3623">
        <v>0</v>
      </c>
      <c r="R3623">
        <v>549</v>
      </c>
      <c r="S3623">
        <v>549</v>
      </c>
      <c r="T3623" t="s">
        <v>15087</v>
      </c>
    </row>
    <row r="3624" spans="1:25" customFormat="1" ht="15" x14ac:dyDescent="0.25">
      <c r="A3624" t="s">
        <v>35</v>
      </c>
      <c r="B3624" t="s">
        <v>15088</v>
      </c>
      <c r="C3624" t="str">
        <f>"A0128450"</f>
        <v>A0128450</v>
      </c>
      <c r="D3624" t="s">
        <v>15089</v>
      </c>
      <c r="E3624" t="s">
        <v>15090</v>
      </c>
      <c r="F3624" t="s">
        <v>5257</v>
      </c>
      <c r="G3624" t="s">
        <v>52</v>
      </c>
      <c r="H3624">
        <v>77014</v>
      </c>
      <c r="I3624" t="s">
        <v>30</v>
      </c>
      <c r="J3624" t="s">
        <v>41</v>
      </c>
      <c r="K3624" t="s">
        <v>1032</v>
      </c>
      <c r="Q3624">
        <v>0</v>
      </c>
      <c r="R3624">
        <v>40</v>
      </c>
      <c r="S3624">
        <v>40</v>
      </c>
      <c r="T3624" t="s">
        <v>15091</v>
      </c>
    </row>
    <row r="3625" spans="1:25" customFormat="1" ht="15" x14ac:dyDescent="0.25">
      <c r="A3625" t="s">
        <v>35</v>
      </c>
      <c r="B3625" t="s">
        <v>61</v>
      </c>
      <c r="C3625" t="str">
        <f>"A0133751"</f>
        <v>A0133751</v>
      </c>
      <c r="D3625" t="s">
        <v>15092</v>
      </c>
      <c r="E3625" t="s">
        <v>15093</v>
      </c>
      <c r="F3625" t="s">
        <v>13792</v>
      </c>
      <c r="G3625" t="s">
        <v>52</v>
      </c>
      <c r="H3625">
        <v>76006</v>
      </c>
      <c r="I3625" t="s">
        <v>30</v>
      </c>
      <c r="J3625" t="s">
        <v>41</v>
      </c>
      <c r="K3625" t="s">
        <v>1032</v>
      </c>
      <c r="Q3625">
        <v>0</v>
      </c>
      <c r="R3625">
        <v>60</v>
      </c>
      <c r="S3625">
        <v>60</v>
      </c>
      <c r="T3625" t="s">
        <v>15094</v>
      </c>
    </row>
    <row r="3626" spans="1:25" customFormat="1" ht="15" x14ac:dyDescent="0.25">
      <c r="A3626" t="s">
        <v>35</v>
      </c>
      <c r="B3626" t="s">
        <v>61</v>
      </c>
      <c r="C3626" t="str">
        <f>"A0131118"</f>
        <v>A0131118</v>
      </c>
      <c r="D3626" t="s">
        <v>13931</v>
      </c>
      <c r="E3626" t="s">
        <v>15095</v>
      </c>
      <c r="F3626" t="s">
        <v>1739</v>
      </c>
      <c r="G3626" t="s">
        <v>85</v>
      </c>
      <c r="H3626">
        <v>72764</v>
      </c>
      <c r="I3626" t="s">
        <v>30</v>
      </c>
      <c r="J3626" t="s">
        <v>41</v>
      </c>
      <c r="K3626" t="s">
        <v>229</v>
      </c>
      <c r="Q3626">
        <v>0</v>
      </c>
      <c r="R3626">
        <v>102</v>
      </c>
      <c r="S3626">
        <v>102</v>
      </c>
      <c r="T3626" t="s">
        <v>15096</v>
      </c>
    </row>
    <row r="3627" spans="1:25" customFormat="1" ht="15" x14ac:dyDescent="0.25">
      <c r="A3627" t="s">
        <v>35</v>
      </c>
      <c r="B3627" t="s">
        <v>54</v>
      </c>
      <c r="C3627" t="str">
        <f>"A0131117"</f>
        <v>A0131117</v>
      </c>
      <c r="D3627" t="s">
        <v>15097</v>
      </c>
      <c r="E3627" t="s">
        <v>15098</v>
      </c>
      <c r="F3627" t="s">
        <v>10174</v>
      </c>
      <c r="G3627" t="s">
        <v>85</v>
      </c>
      <c r="H3627">
        <v>72223</v>
      </c>
      <c r="I3627" t="s">
        <v>30</v>
      </c>
      <c r="J3627" t="s">
        <v>41</v>
      </c>
      <c r="K3627" t="s">
        <v>229</v>
      </c>
      <c r="Q3627">
        <v>0</v>
      </c>
      <c r="R3627">
        <v>90</v>
      </c>
      <c r="S3627">
        <v>90</v>
      </c>
      <c r="T3627" t="s">
        <v>15099</v>
      </c>
    </row>
    <row r="3628" spans="1:25" customFormat="1" ht="15" x14ac:dyDescent="0.25">
      <c r="A3628" t="s">
        <v>24</v>
      </c>
      <c r="B3628" t="s">
        <v>3221</v>
      </c>
      <c r="C3628" t="str">
        <f>"A0057076"</f>
        <v>A0057076</v>
      </c>
      <c r="D3628" t="s">
        <v>63383</v>
      </c>
      <c r="E3628" t="s">
        <v>63384</v>
      </c>
      <c r="F3628" t="s">
        <v>61855</v>
      </c>
      <c r="G3628" t="s">
        <v>123</v>
      </c>
      <c r="H3628">
        <v>20910</v>
      </c>
      <c r="I3628" t="s">
        <v>30</v>
      </c>
      <c r="J3628" t="s">
        <v>162</v>
      </c>
      <c r="K3628" t="s">
        <v>759</v>
      </c>
      <c r="N3628" t="s">
        <v>63385</v>
      </c>
      <c r="Q3628">
        <v>0</v>
      </c>
      <c r="R3628">
        <v>229</v>
      </c>
      <c r="S3628">
        <v>0</v>
      </c>
      <c r="T3628" t="s">
        <v>63386</v>
      </c>
    </row>
    <row r="3629" spans="1:25" customFormat="1" ht="15" x14ac:dyDescent="0.25">
      <c r="A3629" t="s">
        <v>24</v>
      </c>
      <c r="B3629" t="s">
        <v>5104</v>
      </c>
      <c r="C3629" t="str">
        <f>"A0059563"</f>
        <v>A0059563</v>
      </c>
      <c r="D3629" t="s">
        <v>63387</v>
      </c>
      <c r="E3629" t="s">
        <v>63388</v>
      </c>
      <c r="F3629" t="s">
        <v>63389</v>
      </c>
      <c r="G3629" t="s">
        <v>289</v>
      </c>
      <c r="H3629">
        <v>60077</v>
      </c>
      <c r="I3629" t="s">
        <v>30</v>
      </c>
      <c r="J3629" t="s">
        <v>162</v>
      </c>
      <c r="K3629" t="s">
        <v>759</v>
      </c>
      <c r="N3629" t="s">
        <v>63390</v>
      </c>
      <c r="O3629" t="s">
        <v>63391</v>
      </c>
      <c r="Q3629">
        <v>0</v>
      </c>
      <c r="R3629">
        <v>369</v>
      </c>
      <c r="S3629">
        <v>0</v>
      </c>
      <c r="T3629" t="s">
        <v>63392</v>
      </c>
    </row>
    <row r="3630" spans="1:25" x14ac:dyDescent="0.25">
      <c r="A3630" s="5" t="s">
        <v>24</v>
      </c>
      <c r="B3630" s="5" t="s">
        <v>2917</v>
      </c>
      <c r="C3630" s="5" t="str">
        <f>"A0075603"</f>
        <v>A0075603</v>
      </c>
      <c r="D3630" s="5" t="s">
        <v>63393</v>
      </c>
      <c r="E3630" s="5" t="s">
        <v>63394</v>
      </c>
      <c r="F3630" s="5" t="s">
        <v>845</v>
      </c>
      <c r="G3630" s="5" t="s">
        <v>846</v>
      </c>
      <c r="H3630" s="5">
        <v>30339</v>
      </c>
      <c r="I3630" s="5" t="s">
        <v>30</v>
      </c>
      <c r="J3630" s="5" t="s">
        <v>162</v>
      </c>
      <c r="K3630" s="5" t="s">
        <v>759</v>
      </c>
      <c r="L3630" s="5"/>
      <c r="M3630" s="5"/>
      <c r="N3630" s="5" t="s">
        <v>63395</v>
      </c>
      <c r="O3630" s="5" t="s">
        <v>63396</v>
      </c>
      <c r="P3630" s="5"/>
      <c r="Q3630" s="5">
        <v>0</v>
      </c>
      <c r="R3630" s="5">
        <v>154</v>
      </c>
      <c r="S3630" s="5">
        <v>0</v>
      </c>
      <c r="T3630" s="5" t="s">
        <v>63397</v>
      </c>
      <c r="U3630" s="5"/>
      <c r="V3630" s="5"/>
      <c r="W3630" s="5"/>
      <c r="X3630" s="5"/>
      <c r="Y3630" s="5"/>
    </row>
    <row r="3631" spans="1:25" customFormat="1" ht="15" x14ac:dyDescent="0.25">
      <c r="A3631" t="s">
        <v>24</v>
      </c>
      <c r="B3631" t="s">
        <v>9843</v>
      </c>
      <c r="C3631" t="str">
        <f>"A0073530"</f>
        <v>A0073530</v>
      </c>
      <c r="D3631" t="s">
        <v>63398</v>
      </c>
      <c r="E3631" t="s">
        <v>63399</v>
      </c>
      <c r="F3631" t="s">
        <v>3545</v>
      </c>
      <c r="G3631" t="s">
        <v>1706</v>
      </c>
      <c r="H3631">
        <v>35802</v>
      </c>
      <c r="I3631" t="s">
        <v>30</v>
      </c>
      <c r="J3631" t="s">
        <v>162</v>
      </c>
      <c r="K3631" t="s">
        <v>759</v>
      </c>
      <c r="N3631" t="s">
        <v>63400</v>
      </c>
      <c r="Q3631">
        <v>0</v>
      </c>
      <c r="R3631">
        <v>151</v>
      </c>
      <c r="S3631">
        <v>0</v>
      </c>
      <c r="T3631" t="s">
        <v>63401</v>
      </c>
    </row>
    <row r="3632" spans="1:25" customFormat="1" ht="15" x14ac:dyDescent="0.25">
      <c r="A3632" t="s">
        <v>24</v>
      </c>
      <c r="B3632" t="s">
        <v>62746</v>
      </c>
      <c r="C3632" t="str">
        <f>"A0165076"</f>
        <v>A0165076</v>
      </c>
      <c r="D3632" t="s">
        <v>63402</v>
      </c>
      <c r="E3632" t="s">
        <v>63403</v>
      </c>
      <c r="F3632" t="s">
        <v>63404</v>
      </c>
      <c r="G3632" t="s">
        <v>289</v>
      </c>
      <c r="H3632">
        <v>60515</v>
      </c>
      <c r="I3632" t="s">
        <v>30</v>
      </c>
      <c r="J3632" t="s">
        <v>162</v>
      </c>
      <c r="K3632" t="s">
        <v>759</v>
      </c>
      <c r="N3632" t="s">
        <v>63405</v>
      </c>
      <c r="O3632" t="s">
        <v>63406</v>
      </c>
      <c r="Q3632">
        <v>0</v>
      </c>
      <c r="R3632">
        <v>247</v>
      </c>
      <c r="S3632">
        <v>0</v>
      </c>
      <c r="T3632" t="s">
        <v>63407</v>
      </c>
    </row>
    <row r="3633" spans="1:25" customFormat="1" ht="15" x14ac:dyDescent="0.25">
      <c r="A3633" t="s">
        <v>24</v>
      </c>
      <c r="B3633" t="s">
        <v>13684</v>
      </c>
      <c r="C3633" t="str">
        <f>"614KH"</f>
        <v>614KH</v>
      </c>
      <c r="D3633" t="s">
        <v>15124</v>
      </c>
      <c r="E3633" t="s">
        <v>15125</v>
      </c>
      <c r="F3633" t="s">
        <v>15126</v>
      </c>
      <c r="G3633" t="s">
        <v>99</v>
      </c>
      <c r="H3633">
        <v>10510</v>
      </c>
      <c r="I3633" t="s">
        <v>30</v>
      </c>
      <c r="J3633" t="s">
        <v>7657</v>
      </c>
      <c r="K3633" t="s">
        <v>163</v>
      </c>
      <c r="N3633" t="s">
        <v>15127</v>
      </c>
      <c r="O3633" t="s">
        <v>15128</v>
      </c>
      <c r="Q3633">
        <v>0</v>
      </c>
      <c r="R3633">
        <v>58</v>
      </c>
      <c r="S3633">
        <v>0</v>
      </c>
      <c r="T3633" t="s">
        <v>15129</v>
      </c>
    </row>
    <row r="3634" spans="1:25" customFormat="1" ht="15" x14ac:dyDescent="0.25">
      <c r="A3634" t="s">
        <v>24</v>
      </c>
      <c r="B3634" t="s">
        <v>57556</v>
      </c>
      <c r="C3634" t="str">
        <f>"A0148412"</f>
        <v>A0148412</v>
      </c>
      <c r="D3634" t="s">
        <v>63408</v>
      </c>
      <c r="E3634" t="s">
        <v>63409</v>
      </c>
      <c r="F3634" t="s">
        <v>8230</v>
      </c>
      <c r="G3634" t="s">
        <v>65</v>
      </c>
      <c r="H3634">
        <v>45342</v>
      </c>
      <c r="I3634" t="s">
        <v>30</v>
      </c>
      <c r="J3634" t="s">
        <v>162</v>
      </c>
      <c r="K3634" t="s">
        <v>759</v>
      </c>
      <c r="N3634" t="s">
        <v>63410</v>
      </c>
      <c r="Q3634">
        <v>0</v>
      </c>
      <c r="R3634">
        <v>137</v>
      </c>
      <c r="S3634">
        <v>0</v>
      </c>
      <c r="T3634" t="s">
        <v>63411</v>
      </c>
    </row>
    <row r="3635" spans="1:25" customFormat="1" ht="15" x14ac:dyDescent="0.25">
      <c r="A3635" t="s">
        <v>24</v>
      </c>
      <c r="B3635" t="s">
        <v>2812</v>
      </c>
      <c r="C3635" t="str">
        <f>"A0068243"</f>
        <v>A0068243</v>
      </c>
      <c r="D3635" t="s">
        <v>63412</v>
      </c>
      <c r="E3635" t="s">
        <v>63413</v>
      </c>
      <c r="F3635" t="s">
        <v>3041</v>
      </c>
      <c r="G3635" t="s">
        <v>840</v>
      </c>
      <c r="H3635">
        <v>40509</v>
      </c>
      <c r="I3635" t="s">
        <v>30</v>
      </c>
      <c r="J3635" t="s">
        <v>162</v>
      </c>
      <c r="K3635" t="s">
        <v>759</v>
      </c>
      <c r="N3635" t="s">
        <v>63414</v>
      </c>
      <c r="Q3635">
        <v>0</v>
      </c>
      <c r="R3635">
        <v>155</v>
      </c>
      <c r="S3635">
        <v>0</v>
      </c>
      <c r="T3635" t="s">
        <v>63415</v>
      </c>
    </row>
    <row r="3636" spans="1:25" x14ac:dyDescent="0.25">
      <c r="A3636" s="5" t="s">
        <v>24</v>
      </c>
      <c r="B3636" s="5" t="s">
        <v>2812</v>
      </c>
      <c r="C3636" s="5" t="str">
        <f>"A0074069"</f>
        <v>A0074069</v>
      </c>
      <c r="D3636" s="5" t="s">
        <v>63416</v>
      </c>
      <c r="E3636" s="5" t="s">
        <v>63417</v>
      </c>
      <c r="F3636" s="5" t="s">
        <v>2971</v>
      </c>
      <c r="G3636" s="5" t="s">
        <v>880</v>
      </c>
      <c r="H3636" s="5">
        <v>37214</v>
      </c>
      <c r="I3636" s="5" t="s">
        <v>30</v>
      </c>
      <c r="J3636" s="5" t="s">
        <v>162</v>
      </c>
      <c r="K3636" s="5" t="s">
        <v>759</v>
      </c>
      <c r="L3636" s="5"/>
      <c r="M3636" s="5"/>
      <c r="N3636" s="5" t="s">
        <v>63418</v>
      </c>
      <c r="O3636" s="5"/>
      <c r="P3636" s="5"/>
      <c r="Q3636" s="5">
        <v>0</v>
      </c>
      <c r="R3636" s="5">
        <v>138</v>
      </c>
      <c r="S3636" s="5">
        <v>0</v>
      </c>
      <c r="T3636" s="5" t="s">
        <v>63419</v>
      </c>
      <c r="U3636" s="5"/>
      <c r="V3636" s="5"/>
      <c r="W3636" s="5"/>
      <c r="X3636" s="5"/>
      <c r="Y3636" s="5"/>
    </row>
    <row r="3637" spans="1:25" customFormat="1" ht="15" x14ac:dyDescent="0.25">
      <c r="A3637" t="s">
        <v>24</v>
      </c>
      <c r="B3637" t="s">
        <v>11484</v>
      </c>
      <c r="C3637" t="str">
        <f>"A0100576"</f>
        <v>A0100576</v>
      </c>
      <c r="D3637" t="s">
        <v>63420</v>
      </c>
      <c r="E3637" t="s">
        <v>63421</v>
      </c>
      <c r="F3637" t="s">
        <v>4541</v>
      </c>
      <c r="G3637" t="s">
        <v>153</v>
      </c>
      <c r="H3637">
        <v>84101</v>
      </c>
      <c r="I3637" t="s">
        <v>30</v>
      </c>
      <c r="J3637" t="s">
        <v>162</v>
      </c>
      <c r="K3637" t="s">
        <v>759</v>
      </c>
      <c r="N3637" t="s">
        <v>63422</v>
      </c>
      <c r="Q3637">
        <v>0</v>
      </c>
      <c r="R3637">
        <v>241</v>
      </c>
      <c r="S3637">
        <v>0</v>
      </c>
      <c r="T3637" t="s">
        <v>63423</v>
      </c>
    </row>
    <row r="3638" spans="1:25" x14ac:dyDescent="0.25">
      <c r="A3638" s="5" t="s">
        <v>24</v>
      </c>
      <c r="B3638" s="5" t="s">
        <v>1548</v>
      </c>
      <c r="C3638" s="5" t="str">
        <f>"A0083407"</f>
        <v>A0083407</v>
      </c>
      <c r="D3638" s="5" t="s">
        <v>63424</v>
      </c>
      <c r="E3638" s="5" t="s">
        <v>63425</v>
      </c>
      <c r="F3638" s="5" t="s">
        <v>5257</v>
      </c>
      <c r="G3638" s="5" t="s">
        <v>52</v>
      </c>
      <c r="H3638" s="5" t="s">
        <v>63426</v>
      </c>
      <c r="I3638" s="5" t="s">
        <v>30</v>
      </c>
      <c r="J3638" s="5" t="s">
        <v>162</v>
      </c>
      <c r="K3638" s="5" t="s">
        <v>759</v>
      </c>
      <c r="L3638" s="5"/>
      <c r="M3638" s="5"/>
      <c r="N3638" s="5" t="s">
        <v>63427</v>
      </c>
      <c r="O3638" s="5"/>
      <c r="P3638" s="5"/>
      <c r="Q3638" s="5">
        <v>0</v>
      </c>
      <c r="R3638" s="5">
        <v>476</v>
      </c>
      <c r="S3638" s="5">
        <v>0</v>
      </c>
      <c r="T3638" s="5" t="s">
        <v>63428</v>
      </c>
      <c r="U3638" s="5"/>
      <c r="V3638" s="5"/>
      <c r="W3638" s="5"/>
      <c r="X3638" s="5"/>
      <c r="Y3638" s="5"/>
    </row>
    <row r="3639" spans="1:25" customFormat="1" ht="15" x14ac:dyDescent="0.25">
      <c r="A3639" t="s">
        <v>24</v>
      </c>
      <c r="B3639" t="s">
        <v>13730</v>
      </c>
      <c r="C3639" t="str">
        <f>"88QL001"</f>
        <v>88QL001</v>
      </c>
      <c r="D3639" t="s">
        <v>63429</v>
      </c>
      <c r="E3639" t="s">
        <v>63430</v>
      </c>
      <c r="F3639" t="s">
        <v>34684</v>
      </c>
      <c r="G3639" t="s">
        <v>81</v>
      </c>
      <c r="H3639">
        <v>32903</v>
      </c>
      <c r="I3639" t="s">
        <v>30</v>
      </c>
      <c r="J3639" t="s">
        <v>162</v>
      </c>
      <c r="K3639" t="s">
        <v>759</v>
      </c>
      <c r="N3639" t="s">
        <v>63431</v>
      </c>
      <c r="O3639" t="s">
        <v>63432</v>
      </c>
      <c r="Q3639">
        <v>0</v>
      </c>
      <c r="R3639">
        <v>207</v>
      </c>
      <c r="S3639">
        <v>0</v>
      </c>
      <c r="T3639" t="s">
        <v>63433</v>
      </c>
    </row>
    <row r="3640" spans="1:25" customFormat="1" ht="15" x14ac:dyDescent="0.25">
      <c r="A3640" t="s">
        <v>35</v>
      </c>
      <c r="B3640" t="s">
        <v>15162</v>
      </c>
      <c r="C3640" t="str">
        <f>"A0178578"</f>
        <v>A0178578</v>
      </c>
      <c r="D3640" t="s">
        <v>15163</v>
      </c>
      <c r="E3640" t="s">
        <v>15164</v>
      </c>
      <c r="F3640" t="s">
        <v>12194</v>
      </c>
      <c r="G3640" t="s">
        <v>81</v>
      </c>
      <c r="H3640">
        <v>32757</v>
      </c>
      <c r="I3640" t="s">
        <v>30</v>
      </c>
      <c r="J3640" t="s">
        <v>41</v>
      </c>
      <c r="K3640" t="s">
        <v>229</v>
      </c>
      <c r="Q3640">
        <v>0</v>
      </c>
      <c r="R3640">
        <v>150</v>
      </c>
      <c r="S3640">
        <v>150</v>
      </c>
      <c r="T3640" t="s">
        <v>72</v>
      </c>
    </row>
    <row r="3641" spans="1:25" customFormat="1" ht="15" x14ac:dyDescent="0.25">
      <c r="A3641" t="s">
        <v>35</v>
      </c>
      <c r="B3641" t="s">
        <v>15162</v>
      </c>
      <c r="C3641" t="str">
        <f>"A0178570"</f>
        <v>A0178570</v>
      </c>
      <c r="D3641" t="s">
        <v>15165</v>
      </c>
      <c r="E3641" t="s">
        <v>15166</v>
      </c>
      <c r="F3641" t="s">
        <v>8761</v>
      </c>
      <c r="G3641" t="s">
        <v>81</v>
      </c>
      <c r="H3641">
        <v>33319</v>
      </c>
      <c r="I3641" t="s">
        <v>30</v>
      </c>
      <c r="J3641" t="s">
        <v>41</v>
      </c>
      <c r="K3641" t="s">
        <v>482</v>
      </c>
      <c r="Q3641">
        <v>0</v>
      </c>
      <c r="R3641">
        <v>65</v>
      </c>
      <c r="S3641">
        <v>65</v>
      </c>
      <c r="T3641" t="s">
        <v>15167</v>
      </c>
    </row>
    <row r="3642" spans="1:25" customFormat="1" ht="15" x14ac:dyDescent="0.25">
      <c r="A3642" t="s">
        <v>35</v>
      </c>
      <c r="B3642" t="s">
        <v>15162</v>
      </c>
      <c r="C3642" t="str">
        <f>"A0178569"</f>
        <v>A0178569</v>
      </c>
      <c r="D3642" t="s">
        <v>15168</v>
      </c>
      <c r="E3642" t="s">
        <v>15169</v>
      </c>
      <c r="F3642" t="s">
        <v>15170</v>
      </c>
      <c r="G3642" t="s">
        <v>81</v>
      </c>
      <c r="H3642">
        <v>33319</v>
      </c>
      <c r="I3642" t="s">
        <v>30</v>
      </c>
      <c r="J3642" t="s">
        <v>41</v>
      </c>
      <c r="K3642" t="s">
        <v>482</v>
      </c>
      <c r="Q3642">
        <v>0</v>
      </c>
      <c r="R3642">
        <v>127</v>
      </c>
      <c r="S3642">
        <v>127</v>
      </c>
      <c r="T3642" t="s">
        <v>15171</v>
      </c>
    </row>
    <row r="3643" spans="1:25" customFormat="1" ht="15" x14ac:dyDescent="0.25">
      <c r="A3643" t="s">
        <v>35</v>
      </c>
      <c r="B3643" t="s">
        <v>61</v>
      </c>
      <c r="C3643" t="str">
        <f>"A0131571"</f>
        <v>A0131571</v>
      </c>
      <c r="D3643" t="s">
        <v>15172</v>
      </c>
      <c r="E3643" t="s">
        <v>15173</v>
      </c>
      <c r="F3643" t="s">
        <v>4310</v>
      </c>
      <c r="G3643" t="s">
        <v>381</v>
      </c>
      <c r="H3643">
        <v>47394</v>
      </c>
      <c r="I3643" t="s">
        <v>30</v>
      </c>
      <c r="J3643" t="s">
        <v>41</v>
      </c>
      <c r="K3643" t="s">
        <v>59</v>
      </c>
      <c r="Q3643">
        <v>0</v>
      </c>
      <c r="R3643">
        <v>94</v>
      </c>
      <c r="S3643">
        <v>94</v>
      </c>
      <c r="T3643" t="s">
        <v>15174</v>
      </c>
    </row>
    <row r="3644" spans="1:25" customFormat="1" ht="15" x14ac:dyDescent="0.25">
      <c r="A3644" t="s">
        <v>35</v>
      </c>
      <c r="B3644" t="s">
        <v>15175</v>
      </c>
      <c r="C3644" t="str">
        <f>"A0121476"</f>
        <v>A0121476</v>
      </c>
      <c r="D3644" t="s">
        <v>15176</v>
      </c>
      <c r="E3644" t="s">
        <v>15177</v>
      </c>
      <c r="F3644" t="s">
        <v>15178</v>
      </c>
      <c r="G3644" t="s">
        <v>3236</v>
      </c>
      <c r="H3644">
        <v>57709</v>
      </c>
      <c r="I3644" t="s">
        <v>30</v>
      </c>
      <c r="J3644" t="s">
        <v>41</v>
      </c>
      <c r="K3644" t="s">
        <v>59</v>
      </c>
      <c r="Q3644">
        <v>0</v>
      </c>
      <c r="R3644">
        <v>32</v>
      </c>
      <c r="S3644">
        <v>32</v>
      </c>
      <c r="T3644" t="s">
        <v>15179</v>
      </c>
    </row>
    <row r="3645" spans="1:25" customFormat="1" ht="15" x14ac:dyDescent="0.25">
      <c r="A3645" t="s">
        <v>35</v>
      </c>
      <c r="B3645" t="s">
        <v>15175</v>
      </c>
      <c r="C3645" t="str">
        <f>"A0121472"</f>
        <v>A0121472</v>
      </c>
      <c r="D3645" t="s">
        <v>15180</v>
      </c>
      <c r="E3645" t="s">
        <v>15181</v>
      </c>
      <c r="F3645" t="s">
        <v>15178</v>
      </c>
      <c r="G3645" t="s">
        <v>3236</v>
      </c>
      <c r="H3645">
        <v>57709</v>
      </c>
      <c r="I3645" t="s">
        <v>30</v>
      </c>
      <c r="J3645" t="s">
        <v>41</v>
      </c>
      <c r="K3645" t="s">
        <v>59</v>
      </c>
      <c r="Q3645">
        <v>0</v>
      </c>
      <c r="R3645">
        <v>48</v>
      </c>
      <c r="S3645">
        <v>48</v>
      </c>
      <c r="T3645" t="s">
        <v>15182</v>
      </c>
    </row>
    <row r="3646" spans="1:25" customFormat="1" ht="15" x14ac:dyDescent="0.25">
      <c r="A3646" t="s">
        <v>35</v>
      </c>
      <c r="B3646" t="s">
        <v>3074</v>
      </c>
      <c r="C3646" t="str">
        <f>"A0128750"</f>
        <v>A0128750</v>
      </c>
      <c r="D3646" t="s">
        <v>15183</v>
      </c>
      <c r="E3646" t="s">
        <v>15184</v>
      </c>
      <c r="F3646" t="s">
        <v>15185</v>
      </c>
      <c r="G3646" t="s">
        <v>1170</v>
      </c>
      <c r="H3646">
        <v>71118</v>
      </c>
      <c r="I3646" t="s">
        <v>30</v>
      </c>
      <c r="J3646" t="s">
        <v>41</v>
      </c>
      <c r="K3646" t="s">
        <v>229</v>
      </c>
      <c r="Q3646">
        <v>0</v>
      </c>
      <c r="R3646">
        <v>177</v>
      </c>
      <c r="S3646">
        <v>177</v>
      </c>
      <c r="T3646" t="s">
        <v>15186</v>
      </c>
    </row>
    <row r="3647" spans="1:25" customFormat="1" ht="15" x14ac:dyDescent="0.25">
      <c r="A3647" t="s">
        <v>35</v>
      </c>
      <c r="B3647" t="s">
        <v>3074</v>
      </c>
      <c r="C3647" t="str">
        <f>"A0128748"</f>
        <v>A0128748</v>
      </c>
      <c r="D3647" t="s">
        <v>15187</v>
      </c>
      <c r="E3647" t="s">
        <v>15188</v>
      </c>
      <c r="F3647" t="s">
        <v>15185</v>
      </c>
      <c r="G3647" t="s">
        <v>1170</v>
      </c>
      <c r="H3647">
        <v>71118</v>
      </c>
      <c r="I3647" t="s">
        <v>30</v>
      </c>
      <c r="J3647" t="s">
        <v>41</v>
      </c>
      <c r="K3647" t="s">
        <v>229</v>
      </c>
      <c r="Q3647">
        <v>0</v>
      </c>
      <c r="R3647">
        <v>146</v>
      </c>
      <c r="S3647">
        <v>146</v>
      </c>
      <c r="T3647" t="s">
        <v>15189</v>
      </c>
    </row>
    <row r="3648" spans="1:25" customFormat="1" ht="15" x14ac:dyDescent="0.25">
      <c r="A3648" t="s">
        <v>35</v>
      </c>
      <c r="B3648" t="s">
        <v>3074</v>
      </c>
      <c r="C3648" t="str">
        <f>"A0128749"</f>
        <v>A0128749</v>
      </c>
      <c r="D3648" t="s">
        <v>15190</v>
      </c>
      <c r="E3648" t="s">
        <v>15191</v>
      </c>
      <c r="F3648" t="s">
        <v>15185</v>
      </c>
      <c r="G3648" t="s">
        <v>1170</v>
      </c>
      <c r="H3648">
        <v>71106</v>
      </c>
      <c r="I3648" t="s">
        <v>30</v>
      </c>
      <c r="J3648" t="s">
        <v>41</v>
      </c>
      <c r="K3648" t="s">
        <v>229</v>
      </c>
      <c r="Q3648">
        <v>0</v>
      </c>
      <c r="R3648">
        <v>160</v>
      </c>
      <c r="S3648">
        <v>160</v>
      </c>
      <c r="T3648" t="s">
        <v>15192</v>
      </c>
    </row>
    <row r="3649" spans="1:25" customFormat="1" ht="15" x14ac:dyDescent="0.25">
      <c r="A3649" t="s">
        <v>35</v>
      </c>
      <c r="B3649" t="s">
        <v>3074</v>
      </c>
      <c r="C3649" t="str">
        <f>"A0128746"</f>
        <v>A0128746</v>
      </c>
      <c r="D3649" t="s">
        <v>15193</v>
      </c>
      <c r="E3649" t="s">
        <v>15194</v>
      </c>
      <c r="F3649" t="s">
        <v>15185</v>
      </c>
      <c r="G3649" t="s">
        <v>1170</v>
      </c>
      <c r="H3649">
        <v>71103</v>
      </c>
      <c r="I3649" t="s">
        <v>30</v>
      </c>
      <c r="J3649" t="s">
        <v>41</v>
      </c>
      <c r="K3649" t="s">
        <v>229</v>
      </c>
      <c r="Q3649">
        <v>0</v>
      </c>
      <c r="R3649">
        <v>127</v>
      </c>
      <c r="S3649">
        <v>127</v>
      </c>
      <c r="T3649" t="s">
        <v>15195</v>
      </c>
    </row>
    <row r="3650" spans="1:25" customFormat="1" ht="15" x14ac:dyDescent="0.25">
      <c r="A3650" t="s">
        <v>35</v>
      </c>
      <c r="B3650" t="s">
        <v>3074</v>
      </c>
      <c r="C3650" t="str">
        <f>"A0133418"</f>
        <v>A0133418</v>
      </c>
      <c r="D3650" t="s">
        <v>15196</v>
      </c>
      <c r="E3650" t="s">
        <v>15197</v>
      </c>
      <c r="F3650" t="s">
        <v>15198</v>
      </c>
      <c r="G3650" t="s">
        <v>52</v>
      </c>
      <c r="H3650">
        <v>75189</v>
      </c>
      <c r="I3650" t="s">
        <v>30</v>
      </c>
      <c r="J3650" t="s">
        <v>41</v>
      </c>
      <c r="K3650" t="s">
        <v>229</v>
      </c>
      <c r="Q3650">
        <v>0</v>
      </c>
      <c r="R3650">
        <v>100</v>
      </c>
      <c r="S3650">
        <v>100</v>
      </c>
      <c r="T3650" t="s">
        <v>15199</v>
      </c>
    </row>
    <row r="3651" spans="1:25" customFormat="1" ht="15" x14ac:dyDescent="0.25">
      <c r="A3651" t="s">
        <v>35</v>
      </c>
      <c r="B3651" t="s">
        <v>3074</v>
      </c>
      <c r="C3651" t="str">
        <f>"A0128658"</f>
        <v>A0128658</v>
      </c>
      <c r="D3651" t="s">
        <v>15200</v>
      </c>
      <c r="E3651" t="s">
        <v>15201</v>
      </c>
      <c r="F3651" t="s">
        <v>15202</v>
      </c>
      <c r="G3651" t="s">
        <v>1170</v>
      </c>
      <c r="H3651">
        <v>71111</v>
      </c>
      <c r="I3651" t="s">
        <v>30</v>
      </c>
      <c r="J3651" t="s">
        <v>41</v>
      </c>
      <c r="K3651" t="s">
        <v>229</v>
      </c>
      <c r="Q3651">
        <v>0</v>
      </c>
      <c r="R3651">
        <v>179</v>
      </c>
      <c r="S3651">
        <v>179</v>
      </c>
      <c r="T3651" t="s">
        <v>15203</v>
      </c>
    </row>
    <row r="3652" spans="1:25" customFormat="1" ht="15" x14ac:dyDescent="0.25">
      <c r="A3652" t="s">
        <v>35</v>
      </c>
      <c r="B3652" t="s">
        <v>3074</v>
      </c>
      <c r="C3652" t="str">
        <f>"A0133419"</f>
        <v>A0133419</v>
      </c>
      <c r="D3652" t="s">
        <v>15204</v>
      </c>
      <c r="E3652" t="s">
        <v>15205</v>
      </c>
      <c r="F3652" t="s">
        <v>9255</v>
      </c>
      <c r="G3652" t="s">
        <v>52</v>
      </c>
      <c r="H3652">
        <v>76234</v>
      </c>
      <c r="I3652" t="s">
        <v>30</v>
      </c>
      <c r="J3652" t="s">
        <v>41</v>
      </c>
      <c r="K3652" t="s">
        <v>229</v>
      </c>
      <c r="Q3652">
        <v>0</v>
      </c>
      <c r="R3652">
        <v>100</v>
      </c>
      <c r="S3652">
        <v>100</v>
      </c>
      <c r="T3652" t="s">
        <v>15206</v>
      </c>
    </row>
    <row r="3653" spans="1:25" customFormat="1" ht="15" x14ac:dyDescent="0.25">
      <c r="A3653" t="s">
        <v>35</v>
      </c>
      <c r="B3653" t="s">
        <v>3074</v>
      </c>
      <c r="C3653" t="str">
        <f>"A0128745"</f>
        <v>A0128745</v>
      </c>
      <c r="D3653" t="s">
        <v>15207</v>
      </c>
      <c r="E3653" t="s">
        <v>15208</v>
      </c>
      <c r="F3653" t="s">
        <v>15202</v>
      </c>
      <c r="G3653" t="s">
        <v>1170</v>
      </c>
      <c r="H3653">
        <v>71112</v>
      </c>
      <c r="I3653" t="s">
        <v>30</v>
      </c>
      <c r="J3653" t="s">
        <v>41</v>
      </c>
      <c r="K3653" t="s">
        <v>229</v>
      </c>
      <c r="Q3653">
        <v>0</v>
      </c>
      <c r="R3653">
        <v>120</v>
      </c>
      <c r="S3653">
        <v>120</v>
      </c>
      <c r="T3653" t="s">
        <v>15209</v>
      </c>
    </row>
    <row r="3654" spans="1:25" customFormat="1" ht="15" x14ac:dyDescent="0.25">
      <c r="A3654" t="s">
        <v>35</v>
      </c>
      <c r="B3654" t="s">
        <v>3074</v>
      </c>
      <c r="C3654" t="str">
        <f>"A0133424"</f>
        <v>A0133424</v>
      </c>
      <c r="D3654" t="s">
        <v>15210</v>
      </c>
      <c r="E3654" t="s">
        <v>15211</v>
      </c>
      <c r="F3654" t="s">
        <v>11767</v>
      </c>
      <c r="G3654" t="s">
        <v>52</v>
      </c>
      <c r="H3654">
        <v>75032</v>
      </c>
      <c r="I3654" t="s">
        <v>30</v>
      </c>
      <c r="J3654" t="s">
        <v>41</v>
      </c>
      <c r="K3654" t="s">
        <v>229</v>
      </c>
      <c r="Q3654">
        <v>0</v>
      </c>
      <c r="R3654">
        <v>120</v>
      </c>
      <c r="S3654">
        <v>120</v>
      </c>
      <c r="T3654" t="s">
        <v>15212</v>
      </c>
    </row>
    <row r="3655" spans="1:25" customFormat="1" ht="15" x14ac:dyDescent="0.25">
      <c r="A3655" t="s">
        <v>35</v>
      </c>
      <c r="B3655" t="s">
        <v>3074</v>
      </c>
      <c r="C3655" t="str">
        <f>"A0133421"</f>
        <v>A0133421</v>
      </c>
      <c r="D3655" t="s">
        <v>15213</v>
      </c>
      <c r="E3655" t="s">
        <v>15214</v>
      </c>
      <c r="F3655" t="s">
        <v>5491</v>
      </c>
      <c r="G3655" t="s">
        <v>52</v>
      </c>
      <c r="H3655">
        <v>76426</v>
      </c>
      <c r="I3655" t="s">
        <v>30</v>
      </c>
      <c r="J3655" t="s">
        <v>41</v>
      </c>
      <c r="K3655" t="s">
        <v>229</v>
      </c>
      <c r="Q3655">
        <v>0</v>
      </c>
      <c r="R3655">
        <v>100</v>
      </c>
      <c r="S3655">
        <v>100</v>
      </c>
      <c r="T3655" t="s">
        <v>15215</v>
      </c>
    </row>
    <row r="3656" spans="1:25" customFormat="1" ht="15" x14ac:dyDescent="0.25">
      <c r="A3656" t="s">
        <v>35</v>
      </c>
      <c r="B3656" t="s">
        <v>3074</v>
      </c>
      <c r="C3656" t="str">
        <f>"A0128751"</f>
        <v>A0128751</v>
      </c>
      <c r="D3656" t="s">
        <v>904</v>
      </c>
      <c r="E3656" t="s">
        <v>15216</v>
      </c>
      <c r="F3656" t="s">
        <v>15217</v>
      </c>
      <c r="G3656" t="s">
        <v>1170</v>
      </c>
      <c r="H3656">
        <v>71270</v>
      </c>
      <c r="I3656" t="s">
        <v>30</v>
      </c>
      <c r="J3656" t="s">
        <v>41</v>
      </c>
      <c r="K3656" t="s">
        <v>229</v>
      </c>
      <c r="Q3656">
        <v>0</v>
      </c>
      <c r="R3656">
        <v>159</v>
      </c>
      <c r="S3656">
        <v>159</v>
      </c>
      <c r="T3656" t="s">
        <v>15218</v>
      </c>
    </row>
    <row r="3657" spans="1:25" x14ac:dyDescent="0.25">
      <c r="A3657" s="5" t="s">
        <v>24</v>
      </c>
      <c r="B3657" s="5" t="s">
        <v>1849</v>
      </c>
      <c r="C3657" s="5" t="str">
        <f>"A0059789"</f>
        <v>A0059789</v>
      </c>
      <c r="D3657" s="5" t="s">
        <v>63434</v>
      </c>
      <c r="E3657" s="5" t="s">
        <v>63435</v>
      </c>
      <c r="F3657" s="5" t="s">
        <v>63436</v>
      </c>
      <c r="G3657" s="5" t="s">
        <v>65</v>
      </c>
      <c r="H3657" s="5">
        <v>45241</v>
      </c>
      <c r="I3657" s="5" t="s">
        <v>30</v>
      </c>
      <c r="J3657" s="5" t="s">
        <v>162</v>
      </c>
      <c r="K3657" s="5" t="s">
        <v>759</v>
      </c>
      <c r="L3657" s="5"/>
      <c r="M3657" s="5"/>
      <c r="N3657" s="5" t="s">
        <v>63437</v>
      </c>
      <c r="O3657" s="5"/>
      <c r="P3657" s="5"/>
      <c r="Q3657" s="5">
        <v>0</v>
      </c>
      <c r="R3657" s="5">
        <v>152</v>
      </c>
      <c r="S3657" s="5">
        <v>0</v>
      </c>
      <c r="T3657" s="5" t="s">
        <v>63438</v>
      </c>
      <c r="U3657" s="5"/>
      <c r="V3657" s="5"/>
      <c r="W3657" s="5"/>
      <c r="X3657" s="5"/>
      <c r="Y3657" s="5"/>
    </row>
    <row r="3658" spans="1:25" customFormat="1" ht="15" x14ac:dyDescent="0.25">
      <c r="A3658" t="s">
        <v>24</v>
      </c>
      <c r="B3658" t="s">
        <v>2528</v>
      </c>
      <c r="C3658" t="str">
        <f>"A0186555"</f>
        <v>A0186555</v>
      </c>
      <c r="D3658" t="s">
        <v>15223</v>
      </c>
      <c r="E3658" t="s">
        <v>15224</v>
      </c>
      <c r="F3658" t="s">
        <v>372</v>
      </c>
      <c r="G3658" t="s">
        <v>52</v>
      </c>
      <c r="H3658">
        <v>78758</v>
      </c>
      <c r="I3658" t="s">
        <v>30</v>
      </c>
      <c r="J3658" t="s">
        <v>31</v>
      </c>
      <c r="K3658" t="s">
        <v>222</v>
      </c>
      <c r="N3658" t="s">
        <v>15225</v>
      </c>
      <c r="O3658" t="s">
        <v>15226</v>
      </c>
      <c r="Q3658">
        <v>0</v>
      </c>
      <c r="R3658">
        <v>137</v>
      </c>
      <c r="S3658">
        <v>0</v>
      </c>
      <c r="T3658" t="s">
        <v>15227</v>
      </c>
    </row>
    <row r="3659" spans="1:25" customFormat="1" ht="15" x14ac:dyDescent="0.25">
      <c r="A3659" t="s">
        <v>24</v>
      </c>
      <c r="B3659" t="s">
        <v>1561</v>
      </c>
      <c r="C3659" t="str">
        <f>"A0085531"</f>
        <v>A0085531</v>
      </c>
      <c r="D3659" t="s">
        <v>63439</v>
      </c>
      <c r="E3659" t="s">
        <v>63440</v>
      </c>
      <c r="F3659" t="s">
        <v>6404</v>
      </c>
      <c r="G3659" t="s">
        <v>161</v>
      </c>
      <c r="H3659">
        <v>55403</v>
      </c>
      <c r="I3659" t="s">
        <v>30</v>
      </c>
      <c r="J3659" t="s">
        <v>162</v>
      </c>
      <c r="K3659" t="s">
        <v>7154</v>
      </c>
      <c r="N3659" t="s">
        <v>63441</v>
      </c>
      <c r="O3659" t="s">
        <v>63442</v>
      </c>
      <c r="Q3659">
        <v>0</v>
      </c>
      <c r="R3659">
        <v>229</v>
      </c>
      <c r="S3659">
        <v>0</v>
      </c>
      <c r="T3659" t="s">
        <v>63443</v>
      </c>
    </row>
    <row r="3660" spans="1:25" customFormat="1" ht="15" x14ac:dyDescent="0.25">
      <c r="A3660" t="s">
        <v>24</v>
      </c>
      <c r="B3660" t="s">
        <v>3159</v>
      </c>
      <c r="C3660" t="str">
        <f>"A0095740"</f>
        <v>A0095740</v>
      </c>
      <c r="D3660" t="s">
        <v>15233</v>
      </c>
      <c r="E3660" t="s">
        <v>15234</v>
      </c>
      <c r="F3660" t="s">
        <v>5833</v>
      </c>
      <c r="G3660" t="s">
        <v>880</v>
      </c>
      <c r="H3660">
        <v>38305</v>
      </c>
      <c r="I3660" t="s">
        <v>30</v>
      </c>
      <c r="J3660" t="s">
        <v>31</v>
      </c>
      <c r="K3660" t="s">
        <v>198</v>
      </c>
      <c r="N3660" t="s">
        <v>15235</v>
      </c>
      <c r="Q3660">
        <v>0</v>
      </c>
      <c r="R3660">
        <v>85</v>
      </c>
      <c r="S3660">
        <v>0</v>
      </c>
      <c r="T3660" t="s">
        <v>15236</v>
      </c>
    </row>
    <row r="3661" spans="1:25" customFormat="1" ht="15" x14ac:dyDescent="0.25">
      <c r="A3661" t="s">
        <v>24</v>
      </c>
      <c r="B3661" t="s">
        <v>762</v>
      </c>
      <c r="C3661" t="str">
        <f>"A0095608"</f>
        <v>A0095608</v>
      </c>
      <c r="D3661" t="s">
        <v>63444</v>
      </c>
      <c r="E3661" t="s">
        <v>63445</v>
      </c>
      <c r="F3661" t="s">
        <v>796</v>
      </c>
      <c r="G3661" t="s">
        <v>197</v>
      </c>
      <c r="H3661">
        <v>85711</v>
      </c>
      <c r="I3661" t="s">
        <v>30</v>
      </c>
      <c r="J3661" t="s">
        <v>162</v>
      </c>
      <c r="K3661" t="s">
        <v>759</v>
      </c>
      <c r="N3661" t="s">
        <v>63446</v>
      </c>
      <c r="O3661" t="s">
        <v>63447</v>
      </c>
      <c r="Q3661">
        <v>0</v>
      </c>
      <c r="R3661">
        <v>142</v>
      </c>
      <c r="S3661">
        <v>0</v>
      </c>
      <c r="T3661" t="s">
        <v>63448</v>
      </c>
    </row>
    <row r="3662" spans="1:25" customFormat="1" ht="15" x14ac:dyDescent="0.25">
      <c r="A3662" t="s">
        <v>24</v>
      </c>
      <c r="B3662" t="s">
        <v>193</v>
      </c>
      <c r="C3662" t="str">
        <f>"A0096542"</f>
        <v>A0096542</v>
      </c>
      <c r="D3662" t="s">
        <v>15243</v>
      </c>
      <c r="E3662" t="s">
        <v>15244</v>
      </c>
      <c r="F3662" t="s">
        <v>13716</v>
      </c>
      <c r="G3662" t="s">
        <v>65</v>
      </c>
      <c r="H3662">
        <v>45242</v>
      </c>
      <c r="I3662" t="s">
        <v>30</v>
      </c>
      <c r="J3662" t="s">
        <v>191</v>
      </c>
      <c r="K3662" t="s">
        <v>6809</v>
      </c>
      <c r="Q3662">
        <v>0</v>
      </c>
      <c r="R3662">
        <v>0</v>
      </c>
      <c r="S3662">
        <v>0</v>
      </c>
      <c r="T3662" t="s">
        <v>15245</v>
      </c>
    </row>
    <row r="3663" spans="1:25" customFormat="1" ht="15" x14ac:dyDescent="0.25">
      <c r="A3663" t="s">
        <v>24</v>
      </c>
      <c r="B3663" t="s">
        <v>15246</v>
      </c>
      <c r="C3663" t="str">
        <f>"A0186546"</f>
        <v>A0186546</v>
      </c>
      <c r="D3663" t="s">
        <v>15247</v>
      </c>
      <c r="E3663" t="s">
        <v>15248</v>
      </c>
      <c r="F3663" t="s">
        <v>15249</v>
      </c>
      <c r="G3663" t="s">
        <v>110</v>
      </c>
      <c r="H3663">
        <v>95482</v>
      </c>
      <c r="I3663" t="s">
        <v>30</v>
      </c>
      <c r="J3663" t="s">
        <v>31</v>
      </c>
      <c r="K3663" t="s">
        <v>282</v>
      </c>
      <c r="N3663" t="s">
        <v>15250</v>
      </c>
      <c r="Q3663">
        <v>0</v>
      </c>
      <c r="R3663">
        <v>92</v>
      </c>
      <c r="S3663">
        <v>0</v>
      </c>
      <c r="T3663" t="s">
        <v>15251</v>
      </c>
    </row>
    <row r="3664" spans="1:25" customFormat="1" ht="15" x14ac:dyDescent="0.25">
      <c r="A3664" t="s">
        <v>24</v>
      </c>
      <c r="B3664" t="s">
        <v>13679</v>
      </c>
      <c r="C3664" t="str">
        <f>"A0069161"</f>
        <v>A0069161</v>
      </c>
      <c r="D3664" t="s">
        <v>63449</v>
      </c>
      <c r="E3664" t="s">
        <v>63450</v>
      </c>
      <c r="F3664" t="s">
        <v>63451</v>
      </c>
      <c r="G3664" t="s">
        <v>81</v>
      </c>
      <c r="H3664">
        <v>33321</v>
      </c>
      <c r="I3664" t="s">
        <v>30</v>
      </c>
      <c r="J3664" t="s">
        <v>162</v>
      </c>
      <c r="K3664" t="s">
        <v>759</v>
      </c>
      <c r="N3664" t="s">
        <v>63452</v>
      </c>
      <c r="O3664" t="s">
        <v>63453</v>
      </c>
      <c r="Q3664">
        <v>0</v>
      </c>
      <c r="R3664">
        <v>250</v>
      </c>
      <c r="S3664">
        <v>0</v>
      </c>
      <c r="T3664" t="s">
        <v>63454</v>
      </c>
    </row>
    <row r="3665" spans="1:20" customFormat="1" ht="15" x14ac:dyDescent="0.25">
      <c r="A3665" t="s">
        <v>24</v>
      </c>
      <c r="B3665" t="s">
        <v>15254</v>
      </c>
      <c r="C3665" t="str">
        <f>"A0186388"</f>
        <v>A0186388</v>
      </c>
      <c r="D3665" t="s">
        <v>15255</v>
      </c>
      <c r="E3665" t="s">
        <v>15256</v>
      </c>
      <c r="F3665" t="s">
        <v>716</v>
      </c>
      <c r="G3665" t="s">
        <v>289</v>
      </c>
      <c r="H3665">
        <v>60612</v>
      </c>
      <c r="I3665" t="s">
        <v>30</v>
      </c>
      <c r="J3665" t="s">
        <v>3881</v>
      </c>
      <c r="K3665" t="s">
        <v>163</v>
      </c>
      <c r="N3665" t="s">
        <v>15257</v>
      </c>
      <c r="Q3665">
        <v>0</v>
      </c>
      <c r="R3665">
        <v>0</v>
      </c>
      <c r="S3665">
        <v>0</v>
      </c>
      <c r="T3665" t="s">
        <v>15258</v>
      </c>
    </row>
    <row r="3666" spans="1:20" customFormat="1" ht="15" hidden="1" x14ac:dyDescent="0.25">
      <c r="A3666" t="s">
        <v>24</v>
      </c>
      <c r="B3666" t="s">
        <v>2876</v>
      </c>
      <c r="C3666" t="str">
        <f>"A0180631"</f>
        <v>A0180631</v>
      </c>
      <c r="D3666" t="s">
        <v>15259</v>
      </c>
      <c r="E3666" t="s">
        <v>15260</v>
      </c>
      <c r="F3666" t="s">
        <v>15261</v>
      </c>
      <c r="G3666" t="s">
        <v>11118</v>
      </c>
      <c r="H3666" t="s">
        <v>15262</v>
      </c>
      <c r="I3666" t="s">
        <v>1459</v>
      </c>
      <c r="J3666" t="s">
        <v>1004</v>
      </c>
      <c r="K3666" t="s">
        <v>163</v>
      </c>
      <c r="Q3666">
        <v>0</v>
      </c>
      <c r="R3666">
        <v>0</v>
      </c>
      <c r="S3666">
        <v>0</v>
      </c>
      <c r="T3666" t="s">
        <v>15263</v>
      </c>
    </row>
    <row r="3667" spans="1:20" customFormat="1" ht="15" hidden="1" x14ac:dyDescent="0.25">
      <c r="A3667" t="s">
        <v>24</v>
      </c>
      <c r="B3667" t="s">
        <v>2876</v>
      </c>
      <c r="C3667" t="str">
        <f>"A0180276"</f>
        <v>A0180276</v>
      </c>
      <c r="D3667" t="s">
        <v>15264</v>
      </c>
      <c r="E3667" t="s">
        <v>15260</v>
      </c>
      <c r="F3667" t="s">
        <v>15261</v>
      </c>
      <c r="G3667" t="s">
        <v>11118</v>
      </c>
      <c r="H3667" t="s">
        <v>15262</v>
      </c>
      <c r="I3667" t="s">
        <v>1459</v>
      </c>
      <c r="J3667" t="s">
        <v>162</v>
      </c>
      <c r="K3667" t="s">
        <v>4809</v>
      </c>
      <c r="N3667" t="s">
        <v>15265</v>
      </c>
      <c r="Q3667">
        <v>0</v>
      </c>
      <c r="R3667">
        <v>158</v>
      </c>
      <c r="S3667">
        <v>0</v>
      </c>
      <c r="T3667" t="s">
        <v>15266</v>
      </c>
    </row>
    <row r="3668" spans="1:20" customFormat="1" ht="15" hidden="1" x14ac:dyDescent="0.25">
      <c r="A3668" t="s">
        <v>24</v>
      </c>
      <c r="B3668" t="s">
        <v>2876</v>
      </c>
      <c r="C3668" t="str">
        <f>"A0180275"</f>
        <v>A0180275</v>
      </c>
      <c r="D3668" t="s">
        <v>15267</v>
      </c>
      <c r="E3668" t="s">
        <v>15268</v>
      </c>
      <c r="F3668" t="s">
        <v>15269</v>
      </c>
      <c r="G3668" t="s">
        <v>15270</v>
      </c>
      <c r="H3668" t="s">
        <v>15271</v>
      </c>
      <c r="I3668" t="s">
        <v>1459</v>
      </c>
      <c r="J3668" t="s">
        <v>162</v>
      </c>
      <c r="K3668" t="s">
        <v>4809</v>
      </c>
      <c r="N3668" t="s">
        <v>15272</v>
      </c>
      <c r="Q3668">
        <v>0</v>
      </c>
      <c r="R3668">
        <v>97</v>
      </c>
      <c r="S3668">
        <v>0</v>
      </c>
      <c r="T3668" t="s">
        <v>15273</v>
      </c>
    </row>
    <row r="3669" spans="1:20" customFormat="1" ht="15" x14ac:dyDescent="0.25">
      <c r="A3669" t="s">
        <v>24</v>
      </c>
      <c r="B3669" t="s">
        <v>13730</v>
      </c>
      <c r="C3669" t="str">
        <f>"A0074164"</f>
        <v>A0074164</v>
      </c>
      <c r="D3669" t="s">
        <v>63455</v>
      </c>
      <c r="E3669" t="s">
        <v>63456</v>
      </c>
      <c r="F3669" t="s">
        <v>2714</v>
      </c>
      <c r="G3669" t="s">
        <v>81</v>
      </c>
      <c r="H3669">
        <v>33607</v>
      </c>
      <c r="I3669" t="s">
        <v>30</v>
      </c>
      <c r="J3669" t="s">
        <v>162</v>
      </c>
      <c r="K3669" t="s">
        <v>759</v>
      </c>
      <c r="N3669" t="s">
        <v>63457</v>
      </c>
      <c r="O3669" t="s">
        <v>63458</v>
      </c>
      <c r="Q3669">
        <v>0</v>
      </c>
      <c r="R3669">
        <v>291</v>
      </c>
      <c r="S3669">
        <v>0</v>
      </c>
      <c r="T3669" t="s">
        <v>63459</v>
      </c>
    </row>
    <row r="3670" spans="1:20" customFormat="1" ht="15" x14ac:dyDescent="0.25">
      <c r="A3670" t="s">
        <v>24</v>
      </c>
      <c r="B3670" t="s">
        <v>193</v>
      </c>
      <c r="C3670" t="str">
        <f>"A0155661"</f>
        <v>A0155661</v>
      </c>
      <c r="D3670" t="s">
        <v>15278</v>
      </c>
      <c r="E3670" t="s">
        <v>15279</v>
      </c>
      <c r="F3670" t="s">
        <v>15280</v>
      </c>
      <c r="G3670" t="s">
        <v>81</v>
      </c>
      <c r="H3670">
        <v>33440</v>
      </c>
      <c r="I3670" t="s">
        <v>30</v>
      </c>
      <c r="J3670" t="s">
        <v>31</v>
      </c>
      <c r="K3670" t="s">
        <v>198</v>
      </c>
      <c r="Q3670">
        <v>0</v>
      </c>
      <c r="R3670">
        <v>87</v>
      </c>
      <c r="S3670">
        <v>0</v>
      </c>
      <c r="T3670" t="s">
        <v>15281</v>
      </c>
    </row>
    <row r="3671" spans="1:20" customFormat="1" ht="15" x14ac:dyDescent="0.25">
      <c r="A3671" t="s">
        <v>24</v>
      </c>
      <c r="B3671" t="s">
        <v>193</v>
      </c>
      <c r="C3671" t="str">
        <f>"A0154482"</f>
        <v>A0154482</v>
      </c>
      <c r="D3671" t="s">
        <v>15282</v>
      </c>
      <c r="E3671" t="s">
        <v>15283</v>
      </c>
      <c r="F3671" t="s">
        <v>2128</v>
      </c>
      <c r="G3671" t="s">
        <v>52</v>
      </c>
      <c r="H3671">
        <v>75074</v>
      </c>
      <c r="I3671" t="s">
        <v>30</v>
      </c>
      <c r="J3671" t="s">
        <v>31</v>
      </c>
      <c r="K3671" t="s">
        <v>198</v>
      </c>
      <c r="N3671" t="s">
        <v>15284</v>
      </c>
      <c r="Q3671">
        <v>0</v>
      </c>
      <c r="R3671">
        <v>101</v>
      </c>
      <c r="S3671">
        <v>0</v>
      </c>
      <c r="T3671" t="s">
        <v>15285</v>
      </c>
    </row>
    <row r="3672" spans="1:20" customFormat="1" ht="15" x14ac:dyDescent="0.25">
      <c r="A3672" t="s">
        <v>24</v>
      </c>
      <c r="B3672" t="s">
        <v>1849</v>
      </c>
      <c r="C3672" t="str">
        <f>"A0056826"</f>
        <v>A0056826</v>
      </c>
      <c r="D3672" t="s">
        <v>63460</v>
      </c>
      <c r="E3672" t="s">
        <v>63461</v>
      </c>
      <c r="F3672" t="s">
        <v>3955</v>
      </c>
      <c r="G3672" t="s">
        <v>81</v>
      </c>
      <c r="H3672">
        <v>33607</v>
      </c>
      <c r="I3672" t="s">
        <v>30</v>
      </c>
      <c r="J3672" t="s">
        <v>162</v>
      </c>
      <c r="K3672" t="s">
        <v>759</v>
      </c>
      <c r="N3672" t="s">
        <v>63462</v>
      </c>
      <c r="Q3672">
        <v>0</v>
      </c>
      <c r="R3672">
        <v>489</v>
      </c>
      <c r="S3672">
        <v>0</v>
      </c>
      <c r="T3672" t="s">
        <v>63463</v>
      </c>
    </row>
    <row r="3673" spans="1:20" customFormat="1" ht="15" x14ac:dyDescent="0.25">
      <c r="A3673" t="s">
        <v>24</v>
      </c>
      <c r="B3673" t="s">
        <v>15291</v>
      </c>
      <c r="C3673" t="str">
        <f>"A0147923"</f>
        <v>A0147923</v>
      </c>
      <c r="D3673" t="s">
        <v>15292</v>
      </c>
      <c r="E3673" t="s">
        <v>15293</v>
      </c>
      <c r="F3673" t="s">
        <v>15294</v>
      </c>
      <c r="G3673" t="s">
        <v>52</v>
      </c>
      <c r="H3673">
        <v>77459</v>
      </c>
      <c r="I3673" t="s">
        <v>30</v>
      </c>
      <c r="J3673" t="s">
        <v>31</v>
      </c>
      <c r="K3673" t="s">
        <v>32</v>
      </c>
      <c r="N3673" t="s">
        <v>15295</v>
      </c>
      <c r="Q3673">
        <v>0</v>
      </c>
      <c r="R3673">
        <v>75</v>
      </c>
      <c r="S3673">
        <v>0</v>
      </c>
      <c r="T3673" t="s">
        <v>15296</v>
      </c>
    </row>
    <row r="3674" spans="1:20" customFormat="1" ht="15" x14ac:dyDescent="0.25">
      <c r="A3674" t="s">
        <v>35</v>
      </c>
      <c r="B3674" t="s">
        <v>15297</v>
      </c>
      <c r="C3674" t="str">
        <f>"A0151148"</f>
        <v>A0151148</v>
      </c>
      <c r="D3674" t="s">
        <v>15298</v>
      </c>
      <c r="E3674" t="s">
        <v>15299</v>
      </c>
      <c r="F3674" t="s">
        <v>11715</v>
      </c>
      <c r="G3674" t="s">
        <v>65</v>
      </c>
      <c r="H3674">
        <v>45662</v>
      </c>
      <c r="I3674" t="s">
        <v>30</v>
      </c>
      <c r="J3674" t="s">
        <v>41</v>
      </c>
      <c r="K3674" t="s">
        <v>229</v>
      </c>
      <c r="Q3674">
        <v>0</v>
      </c>
      <c r="R3674">
        <v>121</v>
      </c>
      <c r="S3674">
        <v>121</v>
      </c>
      <c r="T3674" t="s">
        <v>15300</v>
      </c>
    </row>
    <row r="3675" spans="1:20" customFormat="1" ht="15" x14ac:dyDescent="0.25">
      <c r="A3675" t="s">
        <v>35</v>
      </c>
      <c r="B3675" t="s">
        <v>15297</v>
      </c>
      <c r="C3675" t="str">
        <f>"A0151147"</f>
        <v>A0151147</v>
      </c>
      <c r="D3675" t="s">
        <v>15301</v>
      </c>
      <c r="E3675" t="s">
        <v>15302</v>
      </c>
      <c r="F3675" t="s">
        <v>15303</v>
      </c>
      <c r="G3675" t="s">
        <v>65</v>
      </c>
      <c r="H3675">
        <v>45356</v>
      </c>
      <c r="I3675" t="s">
        <v>30</v>
      </c>
      <c r="J3675" t="s">
        <v>41</v>
      </c>
      <c r="K3675" t="s">
        <v>229</v>
      </c>
      <c r="Q3675">
        <v>0</v>
      </c>
      <c r="R3675">
        <v>99</v>
      </c>
      <c r="S3675">
        <v>99</v>
      </c>
      <c r="T3675" t="s">
        <v>15304</v>
      </c>
    </row>
    <row r="3676" spans="1:20" customFormat="1" ht="15" x14ac:dyDescent="0.25">
      <c r="A3676" t="s">
        <v>35</v>
      </c>
      <c r="B3676" t="s">
        <v>15297</v>
      </c>
      <c r="C3676" t="str">
        <f>"A0151150"</f>
        <v>A0151150</v>
      </c>
      <c r="D3676" t="s">
        <v>15305</v>
      </c>
      <c r="E3676" t="s">
        <v>15306</v>
      </c>
      <c r="F3676" t="s">
        <v>15307</v>
      </c>
      <c r="G3676" t="s">
        <v>65</v>
      </c>
      <c r="H3676">
        <v>43081</v>
      </c>
      <c r="I3676" t="s">
        <v>30</v>
      </c>
      <c r="J3676" t="s">
        <v>41</v>
      </c>
      <c r="K3676" t="s">
        <v>229</v>
      </c>
      <c r="Q3676">
        <v>0</v>
      </c>
      <c r="R3676">
        <v>174</v>
      </c>
      <c r="S3676">
        <v>174</v>
      </c>
      <c r="T3676" t="s">
        <v>15308</v>
      </c>
    </row>
    <row r="3677" spans="1:20" customFormat="1" ht="15" x14ac:dyDescent="0.25">
      <c r="A3677" t="s">
        <v>35</v>
      </c>
      <c r="B3677" t="s">
        <v>15297</v>
      </c>
      <c r="C3677" t="str">
        <f>"A0151146"</f>
        <v>A0151146</v>
      </c>
      <c r="D3677" t="s">
        <v>15309</v>
      </c>
      <c r="E3677" t="s">
        <v>15310</v>
      </c>
      <c r="F3677" t="s">
        <v>8428</v>
      </c>
      <c r="G3677" t="s">
        <v>65</v>
      </c>
      <c r="H3677">
        <v>43616</v>
      </c>
      <c r="I3677" t="s">
        <v>30</v>
      </c>
      <c r="J3677" t="s">
        <v>41</v>
      </c>
      <c r="K3677" t="s">
        <v>229</v>
      </c>
      <c r="Q3677">
        <v>0</v>
      </c>
      <c r="R3677">
        <v>125</v>
      </c>
      <c r="S3677">
        <v>125</v>
      </c>
      <c r="T3677" t="s">
        <v>15311</v>
      </c>
    </row>
    <row r="3678" spans="1:20" customFormat="1" ht="15" x14ac:dyDescent="0.25">
      <c r="A3678" t="s">
        <v>35</v>
      </c>
      <c r="B3678" t="s">
        <v>15297</v>
      </c>
      <c r="C3678" t="str">
        <f>"A0151143"</f>
        <v>A0151143</v>
      </c>
      <c r="D3678" t="s">
        <v>15312</v>
      </c>
      <c r="E3678" t="s">
        <v>15313</v>
      </c>
      <c r="F3678" t="s">
        <v>15314</v>
      </c>
      <c r="G3678" t="s">
        <v>65</v>
      </c>
      <c r="H3678">
        <v>45243</v>
      </c>
      <c r="I3678" t="s">
        <v>30</v>
      </c>
      <c r="J3678" t="s">
        <v>41</v>
      </c>
      <c r="K3678" t="s">
        <v>229</v>
      </c>
      <c r="Q3678">
        <v>0</v>
      </c>
      <c r="R3678">
        <v>150</v>
      </c>
      <c r="S3678">
        <v>150</v>
      </c>
      <c r="T3678" t="s">
        <v>15315</v>
      </c>
    </row>
    <row r="3679" spans="1:20" customFormat="1" ht="15" x14ac:dyDescent="0.25">
      <c r="A3679" t="s">
        <v>35</v>
      </c>
      <c r="B3679" t="s">
        <v>15297</v>
      </c>
      <c r="C3679" t="str">
        <f>"A0151153"</f>
        <v>A0151153</v>
      </c>
      <c r="D3679" t="s">
        <v>15316</v>
      </c>
      <c r="E3679" t="s">
        <v>15317</v>
      </c>
      <c r="F3679" t="s">
        <v>2294</v>
      </c>
      <c r="G3679" t="s">
        <v>65</v>
      </c>
      <c r="H3679">
        <v>45014</v>
      </c>
      <c r="I3679" t="s">
        <v>30</v>
      </c>
      <c r="J3679" t="s">
        <v>41</v>
      </c>
      <c r="K3679" t="s">
        <v>229</v>
      </c>
      <c r="Q3679">
        <v>0</v>
      </c>
      <c r="R3679">
        <v>112</v>
      </c>
      <c r="S3679">
        <v>112</v>
      </c>
      <c r="T3679" t="s">
        <v>15318</v>
      </c>
    </row>
    <row r="3680" spans="1:20" customFormat="1" ht="15" x14ac:dyDescent="0.25">
      <c r="A3680" t="s">
        <v>35</v>
      </c>
      <c r="B3680" t="s">
        <v>15297</v>
      </c>
      <c r="C3680" t="str">
        <f>"A0151151"</f>
        <v>A0151151</v>
      </c>
      <c r="D3680" t="s">
        <v>15319</v>
      </c>
      <c r="E3680" t="s">
        <v>15320</v>
      </c>
      <c r="F3680" t="s">
        <v>2315</v>
      </c>
      <c r="G3680" t="s">
        <v>65</v>
      </c>
      <c r="H3680">
        <v>43556</v>
      </c>
      <c r="I3680" t="s">
        <v>30</v>
      </c>
      <c r="J3680" t="s">
        <v>41</v>
      </c>
      <c r="K3680" t="s">
        <v>229</v>
      </c>
      <c r="Q3680">
        <v>0</v>
      </c>
      <c r="R3680">
        <v>48</v>
      </c>
      <c r="S3680">
        <v>48</v>
      </c>
      <c r="T3680" t="s">
        <v>15321</v>
      </c>
    </row>
    <row r="3681" spans="1:20" customFormat="1" ht="15" x14ac:dyDescent="0.25">
      <c r="A3681" t="s">
        <v>35</v>
      </c>
      <c r="B3681" t="s">
        <v>15297</v>
      </c>
      <c r="C3681" t="str">
        <f>"A0151144"</f>
        <v>A0151144</v>
      </c>
      <c r="D3681" t="s">
        <v>15322</v>
      </c>
      <c r="E3681" t="s">
        <v>15323</v>
      </c>
      <c r="F3681" t="s">
        <v>15324</v>
      </c>
      <c r="G3681" t="s">
        <v>65</v>
      </c>
      <c r="H3681">
        <v>44124</v>
      </c>
      <c r="I3681" t="s">
        <v>30</v>
      </c>
      <c r="J3681" t="s">
        <v>41</v>
      </c>
      <c r="K3681" t="s">
        <v>229</v>
      </c>
      <c r="Q3681">
        <v>0</v>
      </c>
      <c r="R3681">
        <v>150</v>
      </c>
      <c r="S3681">
        <v>150</v>
      </c>
      <c r="T3681" t="s">
        <v>15325</v>
      </c>
    </row>
    <row r="3682" spans="1:20" customFormat="1" ht="15" x14ac:dyDescent="0.25">
      <c r="A3682" t="s">
        <v>35</v>
      </c>
      <c r="B3682" t="s">
        <v>15297</v>
      </c>
      <c r="C3682" t="str">
        <f>"A0151145"</f>
        <v>A0151145</v>
      </c>
      <c r="D3682" t="s">
        <v>15326</v>
      </c>
      <c r="E3682" t="s">
        <v>15327</v>
      </c>
      <c r="F3682" t="s">
        <v>15328</v>
      </c>
      <c r="G3682" t="s">
        <v>65</v>
      </c>
      <c r="H3682">
        <v>44070</v>
      </c>
      <c r="I3682" t="s">
        <v>30</v>
      </c>
      <c r="J3682" t="s">
        <v>41</v>
      </c>
      <c r="K3682" t="s">
        <v>229</v>
      </c>
      <c r="Q3682">
        <v>0</v>
      </c>
      <c r="R3682">
        <v>80</v>
      </c>
      <c r="S3682">
        <v>80</v>
      </c>
      <c r="T3682" t="s">
        <v>15329</v>
      </c>
    </row>
    <row r="3683" spans="1:20" customFormat="1" ht="15" x14ac:dyDescent="0.25">
      <c r="A3683" t="s">
        <v>35</v>
      </c>
      <c r="B3683" t="s">
        <v>15297</v>
      </c>
      <c r="C3683" t="str">
        <f>"A0151152"</f>
        <v>A0151152</v>
      </c>
      <c r="D3683" t="s">
        <v>15330</v>
      </c>
      <c r="E3683" t="s">
        <v>15331</v>
      </c>
      <c r="F3683" t="s">
        <v>15332</v>
      </c>
      <c r="G3683" t="s">
        <v>65</v>
      </c>
      <c r="H3683">
        <v>43567</v>
      </c>
      <c r="I3683" t="s">
        <v>30</v>
      </c>
      <c r="J3683" t="s">
        <v>41</v>
      </c>
      <c r="K3683" t="s">
        <v>229</v>
      </c>
      <c r="Q3683">
        <v>0</v>
      </c>
      <c r="R3683">
        <v>50</v>
      </c>
      <c r="S3683">
        <v>50</v>
      </c>
      <c r="T3683" t="s">
        <v>15318</v>
      </c>
    </row>
    <row r="3684" spans="1:20" customFormat="1" ht="15" x14ac:dyDescent="0.25">
      <c r="A3684" t="s">
        <v>35</v>
      </c>
      <c r="B3684" t="s">
        <v>15297</v>
      </c>
      <c r="C3684" t="str">
        <f>"A0151137"</f>
        <v>A0151137</v>
      </c>
      <c r="D3684" t="s">
        <v>15333</v>
      </c>
      <c r="E3684" t="s">
        <v>15334</v>
      </c>
      <c r="F3684" t="s">
        <v>1959</v>
      </c>
      <c r="G3684" t="s">
        <v>65</v>
      </c>
      <c r="H3684">
        <v>44313</v>
      </c>
      <c r="I3684" t="s">
        <v>30</v>
      </c>
      <c r="J3684" t="s">
        <v>41</v>
      </c>
      <c r="K3684" t="s">
        <v>229</v>
      </c>
      <c r="Q3684">
        <v>0</v>
      </c>
      <c r="R3684">
        <v>100</v>
      </c>
      <c r="S3684">
        <v>100</v>
      </c>
      <c r="T3684" t="s">
        <v>15335</v>
      </c>
    </row>
    <row r="3685" spans="1:20" customFormat="1" ht="15" x14ac:dyDescent="0.25">
      <c r="A3685" t="s">
        <v>35</v>
      </c>
      <c r="B3685" t="s">
        <v>15297</v>
      </c>
      <c r="C3685" t="str">
        <f>"A0151141"</f>
        <v>A0151141</v>
      </c>
      <c r="D3685" t="s">
        <v>15336</v>
      </c>
      <c r="E3685" t="s">
        <v>15337</v>
      </c>
      <c r="F3685" t="s">
        <v>2748</v>
      </c>
      <c r="G3685" t="s">
        <v>65</v>
      </c>
      <c r="H3685">
        <v>43606</v>
      </c>
      <c r="I3685" t="s">
        <v>30</v>
      </c>
      <c r="J3685" t="s">
        <v>41</v>
      </c>
      <c r="K3685" t="s">
        <v>229</v>
      </c>
      <c r="Q3685">
        <v>0</v>
      </c>
      <c r="R3685">
        <v>98</v>
      </c>
      <c r="S3685">
        <v>98</v>
      </c>
      <c r="T3685" t="s">
        <v>15338</v>
      </c>
    </row>
    <row r="3686" spans="1:20" customFormat="1" ht="15" x14ac:dyDescent="0.25">
      <c r="A3686" t="s">
        <v>35</v>
      </c>
      <c r="B3686" t="s">
        <v>15297</v>
      </c>
      <c r="C3686" t="str">
        <f>"A0151140"</f>
        <v>A0151140</v>
      </c>
      <c r="D3686" t="s">
        <v>15339</v>
      </c>
      <c r="E3686" t="s">
        <v>15340</v>
      </c>
      <c r="F3686" t="s">
        <v>93</v>
      </c>
      <c r="G3686" t="s">
        <v>65</v>
      </c>
      <c r="H3686">
        <v>45331</v>
      </c>
      <c r="I3686" t="s">
        <v>30</v>
      </c>
      <c r="J3686" t="s">
        <v>41</v>
      </c>
      <c r="K3686" t="s">
        <v>229</v>
      </c>
      <c r="Q3686">
        <v>0</v>
      </c>
      <c r="R3686">
        <v>132</v>
      </c>
      <c r="S3686">
        <v>132</v>
      </c>
      <c r="T3686" t="s">
        <v>15341</v>
      </c>
    </row>
    <row r="3687" spans="1:20" customFormat="1" ht="15" x14ac:dyDescent="0.25">
      <c r="A3687" t="s">
        <v>35</v>
      </c>
      <c r="B3687" t="s">
        <v>15297</v>
      </c>
      <c r="C3687" t="str">
        <f>"A0151136"</f>
        <v>A0151136</v>
      </c>
      <c r="D3687" t="s">
        <v>15342</v>
      </c>
      <c r="E3687" t="s">
        <v>15343</v>
      </c>
      <c r="F3687" t="s">
        <v>2307</v>
      </c>
      <c r="G3687" t="s">
        <v>65</v>
      </c>
      <c r="H3687">
        <v>44110</v>
      </c>
      <c r="I3687" t="s">
        <v>30</v>
      </c>
      <c r="J3687" t="s">
        <v>41</v>
      </c>
      <c r="K3687" t="s">
        <v>229</v>
      </c>
      <c r="Q3687">
        <v>0</v>
      </c>
      <c r="R3687">
        <v>149</v>
      </c>
      <c r="S3687">
        <v>149</v>
      </c>
      <c r="T3687" t="s">
        <v>15344</v>
      </c>
    </row>
    <row r="3688" spans="1:20" customFormat="1" ht="15" x14ac:dyDescent="0.25">
      <c r="A3688" t="s">
        <v>35</v>
      </c>
      <c r="B3688" t="s">
        <v>15297</v>
      </c>
      <c r="C3688" t="str">
        <f>"A0151138"</f>
        <v>A0151138</v>
      </c>
      <c r="D3688" t="s">
        <v>15345</v>
      </c>
      <c r="E3688" t="s">
        <v>15346</v>
      </c>
      <c r="F3688" t="s">
        <v>2770</v>
      </c>
      <c r="G3688" t="s">
        <v>65</v>
      </c>
      <c r="H3688">
        <v>44718</v>
      </c>
      <c r="I3688" t="s">
        <v>30</v>
      </c>
      <c r="J3688" t="s">
        <v>41</v>
      </c>
      <c r="K3688" t="s">
        <v>229</v>
      </c>
      <c r="Q3688">
        <v>0</v>
      </c>
      <c r="R3688">
        <v>139</v>
      </c>
      <c r="S3688">
        <v>139</v>
      </c>
      <c r="T3688" t="s">
        <v>72</v>
      </c>
    </row>
    <row r="3689" spans="1:20" customFormat="1" ht="15" x14ac:dyDescent="0.25">
      <c r="A3689" t="s">
        <v>35</v>
      </c>
      <c r="B3689" t="s">
        <v>5676</v>
      </c>
      <c r="C3689" t="str">
        <f>"A0131469"</f>
        <v>A0131469</v>
      </c>
      <c r="D3689" t="s">
        <v>15347</v>
      </c>
      <c r="E3689" t="s">
        <v>15348</v>
      </c>
      <c r="F3689" t="s">
        <v>8703</v>
      </c>
      <c r="G3689" t="s">
        <v>137</v>
      </c>
      <c r="H3689">
        <v>64123</v>
      </c>
      <c r="I3689" t="s">
        <v>30</v>
      </c>
      <c r="J3689" t="s">
        <v>41</v>
      </c>
      <c r="K3689" t="s">
        <v>229</v>
      </c>
      <c r="Q3689">
        <v>0</v>
      </c>
      <c r="R3689">
        <v>120</v>
      </c>
      <c r="S3689">
        <v>120</v>
      </c>
      <c r="T3689" t="s">
        <v>15349</v>
      </c>
    </row>
    <row r="3690" spans="1:20" customFormat="1" ht="15" x14ac:dyDescent="0.25">
      <c r="A3690" t="s">
        <v>35</v>
      </c>
      <c r="B3690" t="s">
        <v>5676</v>
      </c>
      <c r="C3690" t="str">
        <f>"A0127433"</f>
        <v>A0127433</v>
      </c>
      <c r="D3690" t="s">
        <v>15350</v>
      </c>
      <c r="E3690" t="s">
        <v>15351</v>
      </c>
      <c r="F3690" t="s">
        <v>15352</v>
      </c>
      <c r="G3690" t="s">
        <v>925</v>
      </c>
      <c r="H3690">
        <v>66086</v>
      </c>
      <c r="I3690" t="s">
        <v>30</v>
      </c>
      <c r="J3690" t="s">
        <v>41</v>
      </c>
      <c r="K3690" t="s">
        <v>229</v>
      </c>
      <c r="Q3690">
        <v>0</v>
      </c>
      <c r="R3690">
        <v>90</v>
      </c>
      <c r="S3690">
        <v>90</v>
      </c>
      <c r="T3690" t="s">
        <v>15353</v>
      </c>
    </row>
    <row r="3691" spans="1:20" customFormat="1" ht="15" x14ac:dyDescent="0.25">
      <c r="A3691" t="s">
        <v>35</v>
      </c>
      <c r="B3691" t="s">
        <v>15354</v>
      </c>
      <c r="C3691" t="str">
        <f>"A0132390"</f>
        <v>A0132390</v>
      </c>
      <c r="D3691" t="s">
        <v>15355</v>
      </c>
      <c r="E3691" t="s">
        <v>15356</v>
      </c>
      <c r="F3691" t="s">
        <v>3661</v>
      </c>
      <c r="G3691" t="s">
        <v>65</v>
      </c>
      <c r="H3691">
        <v>45236</v>
      </c>
      <c r="I3691" t="s">
        <v>30</v>
      </c>
      <c r="J3691" t="s">
        <v>41</v>
      </c>
      <c r="K3691" t="s">
        <v>59</v>
      </c>
      <c r="Q3691">
        <v>0</v>
      </c>
      <c r="R3691">
        <v>97</v>
      </c>
      <c r="S3691">
        <v>97</v>
      </c>
      <c r="T3691" t="s">
        <v>15357</v>
      </c>
    </row>
    <row r="3692" spans="1:20" customFormat="1" ht="15" x14ac:dyDescent="0.25">
      <c r="A3692" t="s">
        <v>35</v>
      </c>
      <c r="B3692" t="s">
        <v>5676</v>
      </c>
      <c r="C3692" t="str">
        <f>"A0128003"</f>
        <v>A0128003</v>
      </c>
      <c r="D3692" t="s">
        <v>15358</v>
      </c>
      <c r="E3692" t="s">
        <v>15359</v>
      </c>
      <c r="F3692" t="s">
        <v>15360</v>
      </c>
      <c r="G3692" t="s">
        <v>117</v>
      </c>
      <c r="H3692">
        <v>49022</v>
      </c>
      <c r="I3692" t="s">
        <v>30</v>
      </c>
      <c r="J3692" t="s">
        <v>41</v>
      </c>
      <c r="K3692" t="s">
        <v>229</v>
      </c>
      <c r="Q3692">
        <v>0</v>
      </c>
      <c r="R3692">
        <v>95</v>
      </c>
      <c r="S3692">
        <v>95</v>
      </c>
      <c r="T3692" t="s">
        <v>15361</v>
      </c>
    </row>
    <row r="3693" spans="1:20" customFormat="1" ht="15" x14ac:dyDescent="0.25">
      <c r="A3693" t="s">
        <v>35</v>
      </c>
      <c r="B3693" t="s">
        <v>15354</v>
      </c>
      <c r="C3693" t="str">
        <f>"A0132385"</f>
        <v>A0132385</v>
      </c>
      <c r="D3693" t="s">
        <v>15362</v>
      </c>
      <c r="E3693" t="s">
        <v>15363</v>
      </c>
      <c r="F3693" t="s">
        <v>15364</v>
      </c>
      <c r="G3693" t="s">
        <v>65</v>
      </c>
      <c r="H3693">
        <v>45229</v>
      </c>
      <c r="I3693" t="s">
        <v>30</v>
      </c>
      <c r="J3693" t="s">
        <v>41</v>
      </c>
      <c r="K3693" t="s">
        <v>229</v>
      </c>
      <c r="Q3693">
        <v>0</v>
      </c>
      <c r="R3693">
        <v>97</v>
      </c>
      <c r="S3693">
        <v>97</v>
      </c>
      <c r="T3693" t="s">
        <v>15365</v>
      </c>
    </row>
    <row r="3694" spans="1:20" customFormat="1" ht="15" x14ac:dyDescent="0.25">
      <c r="A3694" t="s">
        <v>35</v>
      </c>
      <c r="B3694" t="s">
        <v>5676</v>
      </c>
      <c r="C3694" t="str">
        <f>"A0129161"</f>
        <v>A0129161</v>
      </c>
      <c r="D3694" t="s">
        <v>15366</v>
      </c>
      <c r="E3694" t="s">
        <v>15367</v>
      </c>
      <c r="F3694" t="s">
        <v>15368</v>
      </c>
      <c r="G3694" t="s">
        <v>289</v>
      </c>
      <c r="H3694">
        <v>62285</v>
      </c>
      <c r="I3694" t="s">
        <v>30</v>
      </c>
      <c r="J3694" t="s">
        <v>41</v>
      </c>
      <c r="K3694" t="s">
        <v>229</v>
      </c>
      <c r="Q3694">
        <v>0</v>
      </c>
      <c r="R3694">
        <v>55</v>
      </c>
      <c r="S3694">
        <v>55</v>
      </c>
      <c r="T3694" t="s">
        <v>15369</v>
      </c>
    </row>
    <row r="3695" spans="1:20" customFormat="1" ht="15" x14ac:dyDescent="0.25">
      <c r="A3695" t="s">
        <v>35</v>
      </c>
      <c r="B3695" t="s">
        <v>5676</v>
      </c>
      <c r="C3695" t="str">
        <f>"A0129592"</f>
        <v>A0129592</v>
      </c>
      <c r="D3695" t="s">
        <v>15370</v>
      </c>
      <c r="E3695" t="s">
        <v>15371</v>
      </c>
      <c r="F3695" t="s">
        <v>2294</v>
      </c>
      <c r="G3695" t="s">
        <v>289</v>
      </c>
      <c r="H3695">
        <v>82837</v>
      </c>
      <c r="I3695" t="s">
        <v>30</v>
      </c>
      <c r="J3695" t="s">
        <v>41</v>
      </c>
      <c r="K3695" t="s">
        <v>229</v>
      </c>
      <c r="Q3695">
        <v>0</v>
      </c>
      <c r="R3695">
        <v>104</v>
      </c>
      <c r="S3695">
        <v>104</v>
      </c>
      <c r="T3695" t="s">
        <v>15372</v>
      </c>
    </row>
    <row r="3696" spans="1:20" customFormat="1" ht="15" x14ac:dyDescent="0.25">
      <c r="A3696" t="s">
        <v>24</v>
      </c>
      <c r="B3696" t="s">
        <v>5104</v>
      </c>
      <c r="C3696" t="str">
        <f>"A0151714"</f>
        <v>A0151714</v>
      </c>
      <c r="D3696" t="s">
        <v>63464</v>
      </c>
      <c r="E3696" t="s">
        <v>63465</v>
      </c>
      <c r="F3696" t="s">
        <v>3880</v>
      </c>
      <c r="G3696" t="s">
        <v>99</v>
      </c>
      <c r="H3696">
        <v>10018</v>
      </c>
      <c r="I3696" t="s">
        <v>30</v>
      </c>
      <c r="J3696" t="s">
        <v>162</v>
      </c>
      <c r="K3696" t="s">
        <v>759</v>
      </c>
      <c r="N3696" t="s">
        <v>63466</v>
      </c>
      <c r="O3696" t="s">
        <v>63467</v>
      </c>
      <c r="Q3696">
        <v>0</v>
      </c>
      <c r="R3696">
        <v>320</v>
      </c>
      <c r="S3696">
        <v>0</v>
      </c>
      <c r="T3696" t="s">
        <v>63468</v>
      </c>
    </row>
    <row r="3697" spans="1:25" customFormat="1" ht="15" x14ac:dyDescent="0.25">
      <c r="A3697" t="s">
        <v>24</v>
      </c>
      <c r="B3697" t="s">
        <v>57575</v>
      </c>
      <c r="C3697" t="str">
        <f>"A0094263"</f>
        <v>A0094263</v>
      </c>
      <c r="D3697" t="s">
        <v>63475</v>
      </c>
      <c r="E3697" t="s">
        <v>63476</v>
      </c>
      <c r="F3697" t="s">
        <v>16267</v>
      </c>
      <c r="G3697" t="s">
        <v>29</v>
      </c>
      <c r="H3697">
        <v>23451</v>
      </c>
      <c r="I3697" t="s">
        <v>30</v>
      </c>
      <c r="J3697" t="s">
        <v>162</v>
      </c>
      <c r="K3697" t="s">
        <v>759</v>
      </c>
      <c r="N3697" t="s">
        <v>37163</v>
      </c>
      <c r="O3697" t="s">
        <v>57579</v>
      </c>
      <c r="Q3697">
        <v>0</v>
      </c>
      <c r="R3697">
        <v>167</v>
      </c>
      <c r="S3697">
        <v>0</v>
      </c>
      <c r="T3697" t="s">
        <v>63477</v>
      </c>
    </row>
    <row r="3698" spans="1:25" customFormat="1" ht="15" x14ac:dyDescent="0.25">
      <c r="A3698" t="s">
        <v>24</v>
      </c>
      <c r="B3698" t="s">
        <v>11298</v>
      </c>
      <c r="C3698" t="str">
        <f>"A0154490"</f>
        <v>A0154490</v>
      </c>
      <c r="D3698" t="s">
        <v>15381</v>
      </c>
      <c r="E3698" t="s">
        <v>15382</v>
      </c>
      <c r="F3698" t="s">
        <v>260</v>
      </c>
      <c r="G3698" t="s">
        <v>47</v>
      </c>
      <c r="H3698">
        <v>97403</v>
      </c>
      <c r="I3698" t="s">
        <v>30</v>
      </c>
      <c r="J3698" t="s">
        <v>31</v>
      </c>
      <c r="K3698" t="s">
        <v>1196</v>
      </c>
      <c r="N3698" t="s">
        <v>15383</v>
      </c>
      <c r="Q3698">
        <v>0</v>
      </c>
      <c r="R3698">
        <v>83</v>
      </c>
      <c r="S3698">
        <v>0</v>
      </c>
      <c r="T3698" t="s">
        <v>15384</v>
      </c>
    </row>
    <row r="3699" spans="1:25" customFormat="1" ht="15" x14ac:dyDescent="0.25">
      <c r="A3699" t="s">
        <v>24</v>
      </c>
      <c r="B3699" t="s">
        <v>11298</v>
      </c>
      <c r="C3699" t="str">
        <f>"A0153122"</f>
        <v>A0153122</v>
      </c>
      <c r="D3699" t="s">
        <v>15385</v>
      </c>
      <c r="E3699" t="s">
        <v>15386</v>
      </c>
      <c r="F3699" t="s">
        <v>260</v>
      </c>
      <c r="G3699" t="s">
        <v>47</v>
      </c>
      <c r="H3699">
        <v>97403</v>
      </c>
      <c r="I3699" t="s">
        <v>30</v>
      </c>
      <c r="J3699" t="s">
        <v>31</v>
      </c>
      <c r="K3699" t="s">
        <v>163</v>
      </c>
      <c r="N3699" t="s">
        <v>15387</v>
      </c>
      <c r="O3699" t="s">
        <v>3486</v>
      </c>
      <c r="Q3699">
        <v>0</v>
      </c>
      <c r="R3699">
        <v>46</v>
      </c>
      <c r="S3699">
        <v>0</v>
      </c>
      <c r="T3699" t="s">
        <v>15388</v>
      </c>
    </row>
    <row r="3700" spans="1:25" customFormat="1" ht="15" x14ac:dyDescent="0.25">
      <c r="A3700" t="s">
        <v>24</v>
      </c>
      <c r="B3700" t="s">
        <v>11298</v>
      </c>
      <c r="C3700" t="str">
        <f>"A0151360"</f>
        <v>A0151360</v>
      </c>
      <c r="D3700" t="s">
        <v>15389</v>
      </c>
      <c r="E3700" t="s">
        <v>15390</v>
      </c>
      <c r="F3700" t="s">
        <v>260</v>
      </c>
      <c r="G3700" t="s">
        <v>47</v>
      </c>
      <c r="H3700">
        <v>97403</v>
      </c>
      <c r="I3700" t="s">
        <v>30</v>
      </c>
      <c r="J3700" t="s">
        <v>31</v>
      </c>
      <c r="K3700" t="s">
        <v>3155</v>
      </c>
      <c r="N3700" t="s">
        <v>15391</v>
      </c>
      <c r="Q3700">
        <v>0</v>
      </c>
      <c r="R3700">
        <v>87</v>
      </c>
      <c r="S3700">
        <v>0</v>
      </c>
      <c r="T3700" t="s">
        <v>15392</v>
      </c>
    </row>
    <row r="3701" spans="1:25" x14ac:dyDescent="0.25">
      <c r="A3701" s="5" t="s">
        <v>24</v>
      </c>
      <c r="B3701" s="5" t="s">
        <v>2340</v>
      </c>
      <c r="C3701" s="5" t="str">
        <f>"A0088904"</f>
        <v>A0088904</v>
      </c>
      <c r="D3701" s="5" t="s">
        <v>63478</v>
      </c>
      <c r="E3701" s="5" t="s">
        <v>63479</v>
      </c>
      <c r="F3701" s="5" t="s">
        <v>63480</v>
      </c>
      <c r="G3701" s="5" t="s">
        <v>29</v>
      </c>
      <c r="H3701" s="5">
        <v>20166</v>
      </c>
      <c r="I3701" s="5" t="s">
        <v>30</v>
      </c>
      <c r="J3701" s="5" t="s">
        <v>162</v>
      </c>
      <c r="K3701" s="5" t="s">
        <v>759</v>
      </c>
      <c r="L3701" s="5"/>
      <c r="M3701" s="5"/>
      <c r="N3701" s="5" t="s">
        <v>63481</v>
      </c>
      <c r="O3701" s="5" t="s">
        <v>63482</v>
      </c>
      <c r="P3701" s="5"/>
      <c r="Q3701" s="5">
        <v>0</v>
      </c>
      <c r="R3701" s="5">
        <v>171</v>
      </c>
      <c r="S3701" s="5">
        <v>0</v>
      </c>
      <c r="T3701" s="5" t="s">
        <v>63483</v>
      </c>
      <c r="U3701" s="5"/>
      <c r="V3701" s="5"/>
      <c r="W3701" s="5"/>
      <c r="X3701" s="5"/>
      <c r="Y3701" s="5"/>
    </row>
    <row r="3702" spans="1:25" customFormat="1" ht="15" x14ac:dyDescent="0.25">
      <c r="A3702" t="s">
        <v>24</v>
      </c>
      <c r="B3702" t="s">
        <v>4400</v>
      </c>
      <c r="C3702" t="str">
        <f>"A0059919"</f>
        <v>A0059919</v>
      </c>
      <c r="D3702" t="s">
        <v>63484</v>
      </c>
      <c r="E3702" t="s">
        <v>63485</v>
      </c>
      <c r="F3702" t="s">
        <v>6859</v>
      </c>
      <c r="G3702" t="s">
        <v>81</v>
      </c>
      <c r="H3702">
        <v>33409</v>
      </c>
      <c r="I3702" t="s">
        <v>30</v>
      </c>
      <c r="J3702" t="s">
        <v>162</v>
      </c>
      <c r="K3702" t="s">
        <v>759</v>
      </c>
      <c r="N3702" t="s">
        <v>63486</v>
      </c>
      <c r="O3702" t="s">
        <v>63487</v>
      </c>
      <c r="Q3702">
        <v>0</v>
      </c>
      <c r="R3702">
        <v>175</v>
      </c>
      <c r="S3702">
        <v>0</v>
      </c>
      <c r="T3702" t="s">
        <v>63488</v>
      </c>
    </row>
    <row r="3703" spans="1:25" customFormat="1" ht="15" x14ac:dyDescent="0.25">
      <c r="A3703" t="s">
        <v>35</v>
      </c>
      <c r="B3703" t="s">
        <v>2767</v>
      </c>
      <c r="C3703" t="str">
        <f>"A0186495"</f>
        <v>A0186495</v>
      </c>
      <c r="D3703" t="s">
        <v>15402</v>
      </c>
      <c r="E3703" t="s">
        <v>15403</v>
      </c>
      <c r="F3703" t="s">
        <v>1747</v>
      </c>
      <c r="G3703" t="s">
        <v>846</v>
      </c>
      <c r="H3703">
        <v>30214</v>
      </c>
      <c r="I3703" t="s">
        <v>30</v>
      </c>
      <c r="J3703" t="s">
        <v>41</v>
      </c>
      <c r="K3703" t="s">
        <v>229</v>
      </c>
      <c r="Q3703">
        <v>0</v>
      </c>
      <c r="R3703">
        <v>162</v>
      </c>
      <c r="S3703">
        <v>162</v>
      </c>
      <c r="T3703" t="s">
        <v>15404</v>
      </c>
    </row>
    <row r="3704" spans="1:25" customFormat="1" ht="15" x14ac:dyDescent="0.25">
      <c r="A3704" t="s">
        <v>35</v>
      </c>
      <c r="B3704" t="s">
        <v>15297</v>
      </c>
      <c r="C3704" t="str">
        <f>"A0186494"</f>
        <v>A0186494</v>
      </c>
      <c r="D3704" t="s">
        <v>15405</v>
      </c>
      <c r="E3704" t="s">
        <v>15406</v>
      </c>
      <c r="F3704" t="s">
        <v>10187</v>
      </c>
      <c r="G3704" t="s">
        <v>197</v>
      </c>
      <c r="H3704">
        <v>85006</v>
      </c>
      <c r="I3704" t="s">
        <v>30</v>
      </c>
      <c r="J3704" t="s">
        <v>41</v>
      </c>
      <c r="K3704" t="s">
        <v>229</v>
      </c>
      <c r="Q3704">
        <v>0</v>
      </c>
      <c r="R3704">
        <v>0</v>
      </c>
      <c r="S3704">
        <v>120</v>
      </c>
      <c r="T3704" t="s">
        <v>72</v>
      </c>
    </row>
    <row r="3705" spans="1:25" customFormat="1" ht="15" x14ac:dyDescent="0.25">
      <c r="A3705" t="s">
        <v>35</v>
      </c>
      <c r="B3705" t="s">
        <v>6747</v>
      </c>
      <c r="C3705" t="str">
        <f>"A0186493"</f>
        <v>A0186493</v>
      </c>
      <c r="D3705" t="s">
        <v>15407</v>
      </c>
      <c r="E3705" t="s">
        <v>15408</v>
      </c>
      <c r="F3705" t="s">
        <v>15409</v>
      </c>
      <c r="G3705" t="s">
        <v>29</v>
      </c>
      <c r="H3705">
        <v>23432</v>
      </c>
      <c r="I3705" t="s">
        <v>30</v>
      </c>
      <c r="J3705" t="s">
        <v>41</v>
      </c>
      <c r="K3705" t="s">
        <v>229</v>
      </c>
      <c r="Q3705">
        <v>0</v>
      </c>
      <c r="R3705">
        <v>148</v>
      </c>
      <c r="S3705">
        <v>148</v>
      </c>
      <c r="T3705" t="s">
        <v>15410</v>
      </c>
    </row>
    <row r="3706" spans="1:25" customFormat="1" ht="15" x14ac:dyDescent="0.25">
      <c r="A3706" t="s">
        <v>35</v>
      </c>
      <c r="B3706" t="s">
        <v>5676</v>
      </c>
      <c r="C3706" t="str">
        <f>"A0186492"</f>
        <v>A0186492</v>
      </c>
      <c r="D3706" t="s">
        <v>15411</v>
      </c>
      <c r="E3706" t="s">
        <v>15412</v>
      </c>
      <c r="F3706" t="s">
        <v>1790</v>
      </c>
      <c r="G3706" t="s">
        <v>289</v>
      </c>
      <c r="H3706">
        <v>60459</v>
      </c>
      <c r="I3706" t="s">
        <v>30</v>
      </c>
      <c r="J3706" t="s">
        <v>41</v>
      </c>
      <c r="K3706" t="s">
        <v>229</v>
      </c>
      <c r="Q3706">
        <v>0</v>
      </c>
      <c r="R3706">
        <v>56</v>
      </c>
      <c r="S3706">
        <v>56</v>
      </c>
      <c r="T3706" t="s">
        <v>15413</v>
      </c>
    </row>
    <row r="3707" spans="1:25" customFormat="1" ht="15" x14ac:dyDescent="0.25">
      <c r="A3707" t="s">
        <v>35</v>
      </c>
      <c r="B3707" t="s">
        <v>2771</v>
      </c>
      <c r="C3707" t="str">
        <f>"A0186491"</f>
        <v>A0186491</v>
      </c>
      <c r="D3707" t="s">
        <v>15414</v>
      </c>
      <c r="E3707" t="s">
        <v>15415</v>
      </c>
      <c r="F3707" t="s">
        <v>288</v>
      </c>
      <c r="G3707" t="s">
        <v>289</v>
      </c>
      <c r="H3707">
        <v>60641</v>
      </c>
      <c r="I3707" t="s">
        <v>30</v>
      </c>
      <c r="J3707" t="s">
        <v>41</v>
      </c>
      <c r="K3707" t="s">
        <v>229</v>
      </c>
      <c r="Q3707">
        <v>0</v>
      </c>
      <c r="R3707">
        <v>117</v>
      </c>
      <c r="S3707">
        <v>117</v>
      </c>
      <c r="T3707" t="s">
        <v>72</v>
      </c>
    </row>
    <row r="3708" spans="1:25" customFormat="1" ht="15" x14ac:dyDescent="0.25">
      <c r="A3708" t="s">
        <v>35</v>
      </c>
      <c r="B3708" t="s">
        <v>2771</v>
      </c>
      <c r="C3708" t="str">
        <f>"A0186490"</f>
        <v>A0186490</v>
      </c>
      <c r="D3708" t="s">
        <v>15416</v>
      </c>
      <c r="E3708" t="s">
        <v>15417</v>
      </c>
      <c r="F3708" t="s">
        <v>8440</v>
      </c>
      <c r="G3708" t="s">
        <v>289</v>
      </c>
      <c r="H3708">
        <v>60062</v>
      </c>
      <c r="I3708" t="s">
        <v>30</v>
      </c>
      <c r="J3708" t="s">
        <v>41</v>
      </c>
      <c r="K3708" t="s">
        <v>229</v>
      </c>
      <c r="Q3708">
        <v>0</v>
      </c>
      <c r="R3708">
        <v>298</v>
      </c>
      <c r="S3708">
        <v>298</v>
      </c>
      <c r="T3708" t="s">
        <v>72</v>
      </c>
    </row>
    <row r="3709" spans="1:25" customFormat="1" ht="15" x14ac:dyDescent="0.25">
      <c r="A3709" t="s">
        <v>35</v>
      </c>
      <c r="B3709" t="s">
        <v>5676</v>
      </c>
      <c r="C3709" t="str">
        <f>"A0186489"</f>
        <v>A0186489</v>
      </c>
      <c r="D3709" t="s">
        <v>15418</v>
      </c>
      <c r="E3709" t="s">
        <v>15419</v>
      </c>
      <c r="F3709" t="s">
        <v>4591</v>
      </c>
      <c r="G3709" t="s">
        <v>381</v>
      </c>
      <c r="H3709">
        <v>46593</v>
      </c>
      <c r="I3709" t="s">
        <v>30</v>
      </c>
      <c r="J3709" t="s">
        <v>41</v>
      </c>
      <c r="K3709" t="s">
        <v>229</v>
      </c>
      <c r="Q3709">
        <v>0</v>
      </c>
      <c r="R3709">
        <v>107</v>
      </c>
      <c r="S3709">
        <v>107</v>
      </c>
      <c r="T3709" t="s">
        <v>15420</v>
      </c>
    </row>
    <row r="3710" spans="1:25" customFormat="1" ht="15" x14ac:dyDescent="0.25">
      <c r="A3710" t="s">
        <v>35</v>
      </c>
      <c r="B3710" t="s">
        <v>5676</v>
      </c>
      <c r="C3710" t="str">
        <f>"A0186488"</f>
        <v>A0186488</v>
      </c>
      <c r="D3710" t="s">
        <v>15421</v>
      </c>
      <c r="E3710" t="s">
        <v>15422</v>
      </c>
      <c r="F3710" t="s">
        <v>15423</v>
      </c>
      <c r="G3710" t="s">
        <v>289</v>
      </c>
      <c r="H3710">
        <v>60040</v>
      </c>
      <c r="I3710" t="s">
        <v>30</v>
      </c>
      <c r="J3710" t="s">
        <v>41</v>
      </c>
      <c r="K3710" t="s">
        <v>229</v>
      </c>
      <c r="Q3710">
        <v>0</v>
      </c>
      <c r="R3710">
        <v>104</v>
      </c>
      <c r="S3710">
        <v>104</v>
      </c>
      <c r="T3710" t="s">
        <v>15424</v>
      </c>
    </row>
    <row r="3711" spans="1:25" customFormat="1" ht="15" x14ac:dyDescent="0.25">
      <c r="A3711" t="s">
        <v>35</v>
      </c>
      <c r="B3711" t="s">
        <v>5676</v>
      </c>
      <c r="C3711" t="str">
        <f>"A0186487"</f>
        <v>A0186487</v>
      </c>
      <c r="D3711" t="s">
        <v>15425</v>
      </c>
      <c r="E3711" t="s">
        <v>15426</v>
      </c>
      <c r="F3711" t="s">
        <v>15427</v>
      </c>
      <c r="G3711" t="s">
        <v>289</v>
      </c>
      <c r="H3711">
        <v>60915</v>
      </c>
      <c r="I3711" t="s">
        <v>30</v>
      </c>
      <c r="J3711" t="s">
        <v>41</v>
      </c>
      <c r="K3711" t="s">
        <v>229</v>
      </c>
      <c r="Q3711">
        <v>0</v>
      </c>
      <c r="R3711">
        <v>67</v>
      </c>
      <c r="S3711">
        <v>67</v>
      </c>
      <c r="T3711" t="s">
        <v>15428</v>
      </c>
    </row>
    <row r="3712" spans="1:25" customFormat="1" ht="15" x14ac:dyDescent="0.25">
      <c r="A3712" t="s">
        <v>35</v>
      </c>
      <c r="B3712" t="s">
        <v>1604</v>
      </c>
      <c r="C3712" t="str">
        <f>"A0186486"</f>
        <v>A0186486</v>
      </c>
      <c r="D3712" t="s">
        <v>15429</v>
      </c>
      <c r="E3712" t="s">
        <v>15430</v>
      </c>
      <c r="F3712" t="s">
        <v>15431</v>
      </c>
      <c r="G3712" t="s">
        <v>289</v>
      </c>
      <c r="H3712">
        <v>61832</v>
      </c>
      <c r="I3712" t="s">
        <v>30</v>
      </c>
      <c r="J3712" t="s">
        <v>41</v>
      </c>
      <c r="K3712" t="s">
        <v>229</v>
      </c>
      <c r="Q3712">
        <v>0</v>
      </c>
      <c r="R3712">
        <v>200</v>
      </c>
      <c r="S3712">
        <v>200</v>
      </c>
      <c r="T3712" t="s">
        <v>72</v>
      </c>
    </row>
    <row r="3713" spans="1:20" customFormat="1" ht="15" x14ac:dyDescent="0.25">
      <c r="A3713" t="s">
        <v>35</v>
      </c>
      <c r="B3713" t="s">
        <v>15432</v>
      </c>
      <c r="C3713" t="str">
        <f>"A0186485"</f>
        <v>A0186485</v>
      </c>
      <c r="D3713" t="s">
        <v>15433</v>
      </c>
      <c r="E3713" t="s">
        <v>15434</v>
      </c>
      <c r="F3713" t="s">
        <v>15435</v>
      </c>
      <c r="G3713" t="s">
        <v>289</v>
      </c>
      <c r="H3713">
        <v>61944</v>
      </c>
      <c r="I3713" t="s">
        <v>30</v>
      </c>
      <c r="J3713" t="s">
        <v>41</v>
      </c>
      <c r="K3713" t="s">
        <v>229</v>
      </c>
      <c r="Q3713">
        <v>0</v>
      </c>
      <c r="R3713">
        <v>128</v>
      </c>
      <c r="S3713">
        <v>128</v>
      </c>
      <c r="T3713" t="s">
        <v>72</v>
      </c>
    </row>
    <row r="3714" spans="1:20" customFormat="1" ht="15" x14ac:dyDescent="0.25">
      <c r="A3714" t="s">
        <v>35</v>
      </c>
      <c r="B3714" t="s">
        <v>15354</v>
      </c>
      <c r="C3714" t="str">
        <f>"A0186484"</f>
        <v>A0186484</v>
      </c>
      <c r="D3714" t="s">
        <v>15436</v>
      </c>
      <c r="E3714" t="s">
        <v>15437</v>
      </c>
      <c r="F3714" t="s">
        <v>8669</v>
      </c>
      <c r="G3714" t="s">
        <v>1898</v>
      </c>
      <c r="H3714">
        <v>50595</v>
      </c>
      <c r="I3714" t="s">
        <v>30</v>
      </c>
      <c r="J3714" t="s">
        <v>41</v>
      </c>
      <c r="K3714" t="s">
        <v>229</v>
      </c>
      <c r="Q3714">
        <v>0</v>
      </c>
      <c r="R3714">
        <v>180</v>
      </c>
      <c r="S3714">
        <v>180</v>
      </c>
      <c r="T3714" t="s">
        <v>72</v>
      </c>
    </row>
    <row r="3715" spans="1:20" customFormat="1" ht="15" x14ac:dyDescent="0.25">
      <c r="A3715" t="s">
        <v>35</v>
      </c>
      <c r="B3715" t="s">
        <v>5676</v>
      </c>
      <c r="C3715" t="str">
        <f>"A0186483"</f>
        <v>A0186483</v>
      </c>
      <c r="D3715" t="s">
        <v>15438</v>
      </c>
      <c r="E3715" t="s">
        <v>15439</v>
      </c>
      <c r="F3715" t="s">
        <v>15440</v>
      </c>
      <c r="G3715" t="s">
        <v>381</v>
      </c>
      <c r="H3715">
        <v>46404</v>
      </c>
      <c r="I3715" t="s">
        <v>30</v>
      </c>
      <c r="J3715" t="s">
        <v>41</v>
      </c>
      <c r="K3715" t="s">
        <v>229</v>
      </c>
      <c r="Q3715">
        <v>0</v>
      </c>
      <c r="R3715">
        <v>180</v>
      </c>
      <c r="S3715">
        <v>180</v>
      </c>
      <c r="T3715" t="s">
        <v>15441</v>
      </c>
    </row>
    <row r="3716" spans="1:20" customFormat="1" ht="15" x14ac:dyDescent="0.25">
      <c r="A3716" t="s">
        <v>35</v>
      </c>
      <c r="B3716" t="s">
        <v>5676</v>
      </c>
      <c r="C3716" t="str">
        <f>"A0186482"</f>
        <v>A0186482</v>
      </c>
      <c r="D3716" t="s">
        <v>15442</v>
      </c>
      <c r="E3716" t="s">
        <v>15443</v>
      </c>
      <c r="F3716" t="s">
        <v>15444</v>
      </c>
      <c r="G3716" t="s">
        <v>289</v>
      </c>
      <c r="H3716">
        <v>60130</v>
      </c>
      <c r="I3716" t="s">
        <v>30</v>
      </c>
      <c r="J3716" t="s">
        <v>41</v>
      </c>
      <c r="K3716" t="s">
        <v>229</v>
      </c>
      <c r="Q3716">
        <v>0</v>
      </c>
      <c r="R3716">
        <v>227</v>
      </c>
      <c r="S3716">
        <v>227</v>
      </c>
      <c r="T3716" t="s">
        <v>15445</v>
      </c>
    </row>
    <row r="3717" spans="1:20" customFormat="1" ht="15" x14ac:dyDescent="0.25">
      <c r="A3717" t="s">
        <v>35</v>
      </c>
      <c r="B3717" t="s">
        <v>5676</v>
      </c>
      <c r="C3717" t="str">
        <f>"A0186481"</f>
        <v>A0186481</v>
      </c>
      <c r="D3717" t="s">
        <v>15446</v>
      </c>
      <c r="E3717" t="s">
        <v>15447</v>
      </c>
      <c r="F3717" t="s">
        <v>15448</v>
      </c>
      <c r="G3717" t="s">
        <v>289</v>
      </c>
      <c r="H3717">
        <v>60411</v>
      </c>
      <c r="I3717" t="s">
        <v>30</v>
      </c>
      <c r="J3717" t="s">
        <v>41</v>
      </c>
      <c r="K3717" t="s">
        <v>229</v>
      </c>
      <c r="Q3717">
        <v>0</v>
      </c>
      <c r="R3717">
        <v>155</v>
      </c>
      <c r="S3717">
        <v>155</v>
      </c>
      <c r="T3717" t="s">
        <v>15449</v>
      </c>
    </row>
    <row r="3718" spans="1:20" customFormat="1" ht="15" x14ac:dyDescent="0.25">
      <c r="A3718" t="s">
        <v>35</v>
      </c>
      <c r="B3718" t="s">
        <v>2771</v>
      </c>
      <c r="C3718" t="str">
        <f>"A0186480"</f>
        <v>A0186480</v>
      </c>
      <c r="D3718" t="s">
        <v>15450</v>
      </c>
      <c r="E3718" t="s">
        <v>15451</v>
      </c>
      <c r="F3718" t="s">
        <v>288</v>
      </c>
      <c r="G3718" t="s">
        <v>289</v>
      </c>
      <c r="H3718">
        <v>60645</v>
      </c>
      <c r="I3718" t="s">
        <v>30</v>
      </c>
      <c r="J3718" t="s">
        <v>41</v>
      </c>
      <c r="K3718" t="s">
        <v>229</v>
      </c>
      <c r="Q3718">
        <v>0</v>
      </c>
      <c r="R3718">
        <v>312</v>
      </c>
      <c r="S3718">
        <v>312</v>
      </c>
      <c r="T3718" t="s">
        <v>72</v>
      </c>
    </row>
    <row r="3719" spans="1:20" customFormat="1" ht="15" x14ac:dyDescent="0.25">
      <c r="A3719" t="s">
        <v>35</v>
      </c>
      <c r="B3719" t="s">
        <v>5676</v>
      </c>
      <c r="C3719" t="str">
        <f>"A0186479"</f>
        <v>A0186479</v>
      </c>
      <c r="D3719" t="s">
        <v>15452</v>
      </c>
      <c r="E3719" t="s">
        <v>15453</v>
      </c>
      <c r="F3719" t="s">
        <v>4284</v>
      </c>
      <c r="G3719" t="s">
        <v>381</v>
      </c>
      <c r="H3719">
        <v>46970</v>
      </c>
      <c r="I3719" t="s">
        <v>30</v>
      </c>
      <c r="J3719" t="s">
        <v>41</v>
      </c>
      <c r="K3719" t="s">
        <v>229</v>
      </c>
      <c r="Q3719">
        <v>0</v>
      </c>
      <c r="R3719">
        <v>76</v>
      </c>
      <c r="S3719">
        <v>76</v>
      </c>
      <c r="T3719" t="s">
        <v>15454</v>
      </c>
    </row>
    <row r="3720" spans="1:20" customFormat="1" ht="15" x14ac:dyDescent="0.25">
      <c r="A3720" t="s">
        <v>35</v>
      </c>
      <c r="B3720" t="s">
        <v>7804</v>
      </c>
      <c r="C3720" t="str">
        <f>"A0186478"</f>
        <v>A0186478</v>
      </c>
      <c r="D3720" t="s">
        <v>15455</v>
      </c>
      <c r="E3720" t="s">
        <v>15456</v>
      </c>
      <c r="F3720" t="s">
        <v>15457</v>
      </c>
      <c r="G3720" t="s">
        <v>289</v>
      </c>
      <c r="H3720">
        <v>46312</v>
      </c>
      <c r="I3720" t="s">
        <v>30</v>
      </c>
      <c r="J3720" t="s">
        <v>41</v>
      </c>
      <c r="K3720" t="s">
        <v>229</v>
      </c>
      <c r="Q3720">
        <v>0</v>
      </c>
      <c r="R3720">
        <v>117</v>
      </c>
      <c r="S3720">
        <v>117</v>
      </c>
      <c r="T3720" t="s">
        <v>72</v>
      </c>
    </row>
    <row r="3721" spans="1:20" customFormat="1" ht="15" x14ac:dyDescent="0.25">
      <c r="A3721" t="s">
        <v>35</v>
      </c>
      <c r="B3721" t="s">
        <v>2771</v>
      </c>
      <c r="C3721" t="str">
        <f>"A0186477"</f>
        <v>A0186477</v>
      </c>
      <c r="D3721" t="s">
        <v>15458</v>
      </c>
      <c r="E3721" t="s">
        <v>15459</v>
      </c>
      <c r="F3721" t="s">
        <v>5506</v>
      </c>
      <c r="G3721" t="s">
        <v>289</v>
      </c>
      <c r="H3721">
        <v>60085</v>
      </c>
      <c r="I3721" t="s">
        <v>30</v>
      </c>
      <c r="J3721" t="s">
        <v>41</v>
      </c>
      <c r="K3721" t="s">
        <v>229</v>
      </c>
      <c r="Q3721">
        <v>0</v>
      </c>
      <c r="R3721">
        <v>212</v>
      </c>
      <c r="S3721">
        <v>212</v>
      </c>
      <c r="T3721" t="s">
        <v>72</v>
      </c>
    </row>
    <row r="3722" spans="1:20" customFormat="1" ht="15" x14ac:dyDescent="0.25">
      <c r="A3722" t="s">
        <v>35</v>
      </c>
      <c r="B3722" t="s">
        <v>2771</v>
      </c>
      <c r="C3722" t="str">
        <f>"A0186476"</f>
        <v>A0186476</v>
      </c>
      <c r="D3722" t="s">
        <v>15460</v>
      </c>
      <c r="E3722" t="s">
        <v>15461</v>
      </c>
      <c r="F3722" t="s">
        <v>288</v>
      </c>
      <c r="G3722" t="s">
        <v>289</v>
      </c>
      <c r="H3722">
        <v>60641</v>
      </c>
      <c r="I3722" t="s">
        <v>30</v>
      </c>
      <c r="J3722" t="s">
        <v>41</v>
      </c>
      <c r="K3722" t="s">
        <v>229</v>
      </c>
      <c r="Q3722">
        <v>0</v>
      </c>
      <c r="R3722">
        <v>117</v>
      </c>
      <c r="S3722">
        <v>117</v>
      </c>
      <c r="T3722" t="s">
        <v>72</v>
      </c>
    </row>
    <row r="3723" spans="1:20" customFormat="1" ht="15" x14ac:dyDescent="0.25">
      <c r="A3723" t="s">
        <v>35</v>
      </c>
      <c r="B3723" t="s">
        <v>5676</v>
      </c>
      <c r="C3723" t="str">
        <f>"A0186475"</f>
        <v>A0186475</v>
      </c>
      <c r="D3723" t="s">
        <v>15462</v>
      </c>
      <c r="E3723" t="s">
        <v>15463</v>
      </c>
      <c r="F3723" t="s">
        <v>4284</v>
      </c>
      <c r="G3723" t="s">
        <v>381</v>
      </c>
      <c r="H3723">
        <v>46970</v>
      </c>
      <c r="I3723" t="s">
        <v>30</v>
      </c>
      <c r="J3723" t="s">
        <v>41</v>
      </c>
      <c r="K3723" t="s">
        <v>229</v>
      </c>
      <c r="Q3723">
        <v>0</v>
      </c>
      <c r="R3723">
        <v>92</v>
      </c>
      <c r="S3723">
        <v>92</v>
      </c>
      <c r="T3723" t="s">
        <v>15464</v>
      </c>
    </row>
    <row r="3724" spans="1:20" customFormat="1" ht="15" x14ac:dyDescent="0.25">
      <c r="A3724" t="s">
        <v>35</v>
      </c>
      <c r="B3724" t="s">
        <v>54</v>
      </c>
      <c r="C3724" t="str">
        <f>"A0186474"</f>
        <v>A0186474</v>
      </c>
      <c r="D3724" t="s">
        <v>15465</v>
      </c>
      <c r="E3724" t="s">
        <v>15466</v>
      </c>
      <c r="F3724" t="s">
        <v>1444</v>
      </c>
      <c r="G3724" t="s">
        <v>76</v>
      </c>
      <c r="H3724">
        <v>98144</v>
      </c>
      <c r="I3724" t="s">
        <v>30</v>
      </c>
      <c r="J3724" t="s">
        <v>41</v>
      </c>
      <c r="K3724" t="s">
        <v>229</v>
      </c>
      <c r="Q3724">
        <v>0</v>
      </c>
      <c r="R3724">
        <v>0</v>
      </c>
      <c r="S3724">
        <v>0</v>
      </c>
      <c r="T3724" t="s">
        <v>15467</v>
      </c>
    </row>
    <row r="3725" spans="1:20" customFormat="1" ht="15" x14ac:dyDescent="0.25">
      <c r="A3725" t="s">
        <v>35</v>
      </c>
      <c r="B3725" t="s">
        <v>13840</v>
      </c>
      <c r="C3725" t="str">
        <f>"A0186473"</f>
        <v>A0186473</v>
      </c>
      <c r="D3725" t="s">
        <v>15468</v>
      </c>
      <c r="E3725" t="s">
        <v>15469</v>
      </c>
      <c r="F3725" t="s">
        <v>13843</v>
      </c>
      <c r="G3725" t="s">
        <v>289</v>
      </c>
      <c r="H3725">
        <v>61401</v>
      </c>
      <c r="I3725" t="s">
        <v>30</v>
      </c>
      <c r="J3725" t="s">
        <v>41</v>
      </c>
      <c r="K3725" t="s">
        <v>229</v>
      </c>
      <c r="Q3725">
        <v>0</v>
      </c>
      <c r="R3725">
        <v>108</v>
      </c>
      <c r="S3725">
        <v>108</v>
      </c>
      <c r="T3725" t="s">
        <v>72</v>
      </c>
    </row>
    <row r="3726" spans="1:20" customFormat="1" ht="15" x14ac:dyDescent="0.25">
      <c r="A3726" t="s">
        <v>35</v>
      </c>
      <c r="B3726" t="s">
        <v>1604</v>
      </c>
      <c r="C3726" t="str">
        <f>"A0186472"</f>
        <v>A0186472</v>
      </c>
      <c r="D3726" t="s">
        <v>15470</v>
      </c>
      <c r="E3726" t="s">
        <v>15471</v>
      </c>
      <c r="F3726" t="s">
        <v>13068</v>
      </c>
      <c r="G3726" t="s">
        <v>289</v>
      </c>
      <c r="H3726">
        <v>60927</v>
      </c>
      <c r="I3726" t="s">
        <v>30</v>
      </c>
      <c r="J3726" t="s">
        <v>41</v>
      </c>
      <c r="K3726" t="s">
        <v>229</v>
      </c>
      <c r="Q3726">
        <v>0</v>
      </c>
      <c r="R3726">
        <v>99</v>
      </c>
      <c r="S3726">
        <v>99</v>
      </c>
      <c r="T3726" t="s">
        <v>72</v>
      </c>
    </row>
    <row r="3727" spans="1:20" customFormat="1" ht="15" x14ac:dyDescent="0.25">
      <c r="A3727" t="s">
        <v>35</v>
      </c>
      <c r="B3727" t="s">
        <v>15354</v>
      </c>
      <c r="C3727" t="str">
        <f>"A0186471"</f>
        <v>A0186471</v>
      </c>
      <c r="D3727" t="s">
        <v>15472</v>
      </c>
      <c r="E3727" t="s">
        <v>15473</v>
      </c>
      <c r="F3727" t="s">
        <v>8043</v>
      </c>
      <c r="G3727" t="s">
        <v>289</v>
      </c>
      <c r="H3727">
        <v>61085</v>
      </c>
      <c r="I3727" t="s">
        <v>30</v>
      </c>
      <c r="J3727" t="s">
        <v>41</v>
      </c>
      <c r="K3727" t="s">
        <v>229</v>
      </c>
      <c r="Q3727">
        <v>0</v>
      </c>
      <c r="R3727">
        <v>49</v>
      </c>
      <c r="S3727">
        <v>49</v>
      </c>
      <c r="T3727" t="s">
        <v>72</v>
      </c>
    </row>
    <row r="3728" spans="1:20" customFormat="1" ht="15" x14ac:dyDescent="0.25">
      <c r="A3728" t="s">
        <v>35</v>
      </c>
      <c r="B3728" t="s">
        <v>5676</v>
      </c>
      <c r="C3728" t="str">
        <f>"A0186470"</f>
        <v>A0186470</v>
      </c>
      <c r="D3728" t="s">
        <v>15474</v>
      </c>
      <c r="E3728" t="s">
        <v>15475</v>
      </c>
      <c r="F3728" t="s">
        <v>288</v>
      </c>
      <c r="G3728" t="s">
        <v>289</v>
      </c>
      <c r="H3728">
        <v>60626</v>
      </c>
      <c r="I3728" t="s">
        <v>30</v>
      </c>
      <c r="J3728" t="s">
        <v>41</v>
      </c>
      <c r="K3728" t="s">
        <v>229</v>
      </c>
      <c r="Q3728">
        <v>0</v>
      </c>
      <c r="R3728">
        <v>136</v>
      </c>
      <c r="S3728">
        <v>136</v>
      </c>
      <c r="T3728" t="s">
        <v>15476</v>
      </c>
    </row>
    <row r="3729" spans="1:20" customFormat="1" ht="15" x14ac:dyDescent="0.25">
      <c r="A3729" t="s">
        <v>35</v>
      </c>
      <c r="B3729" t="s">
        <v>7804</v>
      </c>
      <c r="C3729" t="str">
        <f>"A0186469"</f>
        <v>A0186469</v>
      </c>
      <c r="D3729" t="s">
        <v>15477</v>
      </c>
      <c r="E3729" t="s">
        <v>15478</v>
      </c>
      <c r="F3729" t="s">
        <v>15479</v>
      </c>
      <c r="G3729" t="s">
        <v>381</v>
      </c>
      <c r="H3729">
        <v>46342</v>
      </c>
      <c r="I3729" t="s">
        <v>30</v>
      </c>
      <c r="J3729" t="s">
        <v>41</v>
      </c>
      <c r="K3729" t="s">
        <v>229</v>
      </c>
      <c r="Q3729">
        <v>0</v>
      </c>
      <c r="R3729">
        <v>138</v>
      </c>
      <c r="S3729">
        <v>138</v>
      </c>
      <c r="T3729" t="s">
        <v>72</v>
      </c>
    </row>
    <row r="3730" spans="1:20" customFormat="1" ht="15" x14ac:dyDescent="0.25">
      <c r="A3730" t="s">
        <v>35</v>
      </c>
      <c r="B3730" t="s">
        <v>5676</v>
      </c>
      <c r="C3730" t="str">
        <f>"A0186468"</f>
        <v>A0186468</v>
      </c>
      <c r="D3730" t="s">
        <v>15480</v>
      </c>
      <c r="E3730" t="s">
        <v>15481</v>
      </c>
      <c r="F3730" t="s">
        <v>15482</v>
      </c>
      <c r="G3730" t="s">
        <v>381</v>
      </c>
      <c r="H3730">
        <v>46310</v>
      </c>
      <c r="I3730" t="s">
        <v>30</v>
      </c>
      <c r="J3730" t="s">
        <v>41</v>
      </c>
      <c r="K3730" t="s">
        <v>229</v>
      </c>
      <c r="Q3730">
        <v>0</v>
      </c>
      <c r="R3730">
        <v>93</v>
      </c>
      <c r="S3730">
        <v>93</v>
      </c>
      <c r="T3730" t="s">
        <v>15483</v>
      </c>
    </row>
    <row r="3731" spans="1:20" customFormat="1" ht="15" x14ac:dyDescent="0.25">
      <c r="A3731" t="s">
        <v>35</v>
      </c>
      <c r="B3731" t="s">
        <v>5676</v>
      </c>
      <c r="C3731" t="str">
        <f>"A0186467"</f>
        <v>A0186467</v>
      </c>
      <c r="D3731" t="s">
        <v>15484</v>
      </c>
      <c r="E3731" t="s">
        <v>15485</v>
      </c>
      <c r="F3731" t="s">
        <v>288</v>
      </c>
      <c r="G3731" t="s">
        <v>289</v>
      </c>
      <c r="H3731">
        <v>60609</v>
      </c>
      <c r="I3731" t="s">
        <v>30</v>
      </c>
      <c r="J3731" t="s">
        <v>41</v>
      </c>
      <c r="K3731" t="s">
        <v>229</v>
      </c>
      <c r="Q3731">
        <v>0</v>
      </c>
      <c r="R3731">
        <v>218</v>
      </c>
      <c r="S3731">
        <v>218</v>
      </c>
      <c r="T3731" t="s">
        <v>15486</v>
      </c>
    </row>
    <row r="3732" spans="1:20" customFormat="1" ht="15" x14ac:dyDescent="0.25">
      <c r="A3732" t="s">
        <v>35</v>
      </c>
      <c r="B3732" t="s">
        <v>54</v>
      </c>
      <c r="C3732" t="str">
        <f>"A0186466"</f>
        <v>A0186466</v>
      </c>
      <c r="D3732" t="s">
        <v>15487</v>
      </c>
      <c r="E3732" t="s">
        <v>15488</v>
      </c>
      <c r="F3732" t="s">
        <v>15489</v>
      </c>
      <c r="G3732" t="s">
        <v>76</v>
      </c>
      <c r="H3732">
        <v>98404</v>
      </c>
      <c r="I3732" t="s">
        <v>30</v>
      </c>
      <c r="J3732" t="s">
        <v>41</v>
      </c>
      <c r="K3732" t="s">
        <v>229</v>
      </c>
      <c r="Q3732">
        <v>0</v>
      </c>
      <c r="R3732">
        <v>0</v>
      </c>
      <c r="S3732">
        <v>0</v>
      </c>
      <c r="T3732" t="s">
        <v>15490</v>
      </c>
    </row>
    <row r="3733" spans="1:20" customFormat="1" ht="15" x14ac:dyDescent="0.25">
      <c r="A3733" t="s">
        <v>35</v>
      </c>
      <c r="B3733" t="s">
        <v>5676</v>
      </c>
      <c r="C3733" t="str">
        <f>"A0186465"</f>
        <v>A0186465</v>
      </c>
      <c r="D3733" t="s">
        <v>15491</v>
      </c>
      <c r="E3733" t="s">
        <v>15492</v>
      </c>
      <c r="F3733" t="s">
        <v>13120</v>
      </c>
      <c r="G3733" t="s">
        <v>289</v>
      </c>
      <c r="H3733">
        <v>60453</v>
      </c>
      <c r="I3733" t="s">
        <v>30</v>
      </c>
      <c r="J3733" t="s">
        <v>41</v>
      </c>
      <c r="K3733" t="s">
        <v>229</v>
      </c>
      <c r="Q3733">
        <v>0</v>
      </c>
      <c r="R3733">
        <v>134</v>
      </c>
      <c r="S3733">
        <v>134</v>
      </c>
      <c r="T3733" t="s">
        <v>15493</v>
      </c>
    </row>
    <row r="3734" spans="1:20" customFormat="1" ht="15" x14ac:dyDescent="0.25">
      <c r="A3734" t="s">
        <v>35</v>
      </c>
      <c r="B3734" t="s">
        <v>5676</v>
      </c>
      <c r="C3734" t="str">
        <f>"A0186464"</f>
        <v>A0186464</v>
      </c>
      <c r="D3734" t="s">
        <v>15494</v>
      </c>
      <c r="E3734" t="s">
        <v>15495</v>
      </c>
      <c r="F3734" t="s">
        <v>15496</v>
      </c>
      <c r="G3734" t="s">
        <v>289</v>
      </c>
      <c r="H3734">
        <v>60445</v>
      </c>
      <c r="I3734" t="s">
        <v>30</v>
      </c>
      <c r="J3734" t="s">
        <v>41</v>
      </c>
      <c r="K3734" t="s">
        <v>229</v>
      </c>
      <c r="Q3734">
        <v>0</v>
      </c>
      <c r="R3734">
        <v>48</v>
      </c>
      <c r="S3734">
        <v>48</v>
      </c>
      <c r="T3734" t="s">
        <v>15497</v>
      </c>
    </row>
    <row r="3735" spans="1:20" customFormat="1" ht="15" x14ac:dyDescent="0.25">
      <c r="A3735" t="s">
        <v>35</v>
      </c>
      <c r="B3735" t="s">
        <v>5676</v>
      </c>
      <c r="C3735" t="str">
        <f>"A0186463"</f>
        <v>A0186463</v>
      </c>
      <c r="D3735" t="s">
        <v>15498</v>
      </c>
      <c r="E3735" t="s">
        <v>15499</v>
      </c>
      <c r="F3735" t="s">
        <v>15500</v>
      </c>
      <c r="G3735" t="s">
        <v>289</v>
      </c>
      <c r="H3735">
        <v>60425</v>
      </c>
      <c r="I3735" t="s">
        <v>30</v>
      </c>
      <c r="J3735" t="s">
        <v>41</v>
      </c>
      <c r="K3735" t="s">
        <v>229</v>
      </c>
      <c r="Q3735">
        <v>0</v>
      </c>
      <c r="R3735">
        <v>184</v>
      </c>
      <c r="S3735">
        <v>184</v>
      </c>
      <c r="T3735" t="s">
        <v>15501</v>
      </c>
    </row>
    <row r="3736" spans="1:20" customFormat="1" ht="15" x14ac:dyDescent="0.25">
      <c r="A3736" t="s">
        <v>35</v>
      </c>
      <c r="B3736" t="s">
        <v>5676</v>
      </c>
      <c r="C3736" t="str">
        <f>"A0186462"</f>
        <v>A0186462</v>
      </c>
      <c r="D3736" t="s">
        <v>15502</v>
      </c>
      <c r="E3736" t="s">
        <v>15503</v>
      </c>
      <c r="F3736" t="s">
        <v>15504</v>
      </c>
      <c r="G3736" t="s">
        <v>381</v>
      </c>
      <c r="H3736">
        <v>46360</v>
      </c>
      <c r="I3736" t="s">
        <v>30</v>
      </c>
      <c r="J3736" t="s">
        <v>41</v>
      </c>
      <c r="K3736" t="s">
        <v>229</v>
      </c>
      <c r="Q3736">
        <v>0</v>
      </c>
      <c r="R3736">
        <v>180</v>
      </c>
      <c r="S3736">
        <v>180</v>
      </c>
      <c r="T3736" t="s">
        <v>15505</v>
      </c>
    </row>
    <row r="3737" spans="1:20" customFormat="1" ht="15" x14ac:dyDescent="0.25">
      <c r="A3737" t="s">
        <v>35</v>
      </c>
      <c r="B3737" t="s">
        <v>15297</v>
      </c>
      <c r="C3737" t="str">
        <f>"A0186461"</f>
        <v>A0186461</v>
      </c>
      <c r="D3737" t="s">
        <v>15506</v>
      </c>
      <c r="E3737" t="s">
        <v>15507</v>
      </c>
      <c r="F3737" t="s">
        <v>15508</v>
      </c>
      <c r="G3737" t="s">
        <v>65</v>
      </c>
      <c r="H3737">
        <v>43311</v>
      </c>
      <c r="I3737" t="s">
        <v>30</v>
      </c>
      <c r="J3737" t="s">
        <v>41</v>
      </c>
      <c r="K3737" t="s">
        <v>229</v>
      </c>
      <c r="Q3737">
        <v>0</v>
      </c>
      <c r="R3737">
        <v>120</v>
      </c>
      <c r="S3737">
        <v>120</v>
      </c>
      <c r="T3737" t="s">
        <v>72</v>
      </c>
    </row>
    <row r="3738" spans="1:20" customFormat="1" ht="15" x14ac:dyDescent="0.25">
      <c r="A3738" t="s">
        <v>35</v>
      </c>
      <c r="B3738" t="s">
        <v>2771</v>
      </c>
      <c r="C3738" t="str">
        <f>"A0186460"</f>
        <v>A0186460</v>
      </c>
      <c r="D3738" t="s">
        <v>15509</v>
      </c>
      <c r="E3738" t="s">
        <v>15510</v>
      </c>
      <c r="F3738" t="s">
        <v>5184</v>
      </c>
      <c r="G3738" t="s">
        <v>289</v>
      </c>
      <c r="H3738">
        <v>60015</v>
      </c>
      <c r="I3738" t="s">
        <v>30</v>
      </c>
      <c r="J3738" t="s">
        <v>41</v>
      </c>
      <c r="K3738" t="s">
        <v>229</v>
      </c>
      <c r="Q3738">
        <v>0</v>
      </c>
      <c r="R3738">
        <v>265</v>
      </c>
      <c r="S3738">
        <v>265</v>
      </c>
      <c r="T3738" t="s">
        <v>72</v>
      </c>
    </row>
    <row r="3739" spans="1:20" customFormat="1" ht="15" x14ac:dyDescent="0.25">
      <c r="A3739" t="s">
        <v>35</v>
      </c>
      <c r="B3739" t="s">
        <v>13840</v>
      </c>
      <c r="C3739" t="str">
        <f>"A0186459"</f>
        <v>A0186459</v>
      </c>
      <c r="D3739" t="s">
        <v>15511</v>
      </c>
      <c r="E3739" t="s">
        <v>15512</v>
      </c>
      <c r="F3739" t="s">
        <v>15513</v>
      </c>
      <c r="G3739" t="s">
        <v>289</v>
      </c>
      <c r="H3739">
        <v>61244</v>
      </c>
      <c r="I3739" t="s">
        <v>30</v>
      </c>
      <c r="J3739" t="s">
        <v>41</v>
      </c>
      <c r="K3739" t="s">
        <v>229</v>
      </c>
      <c r="Q3739">
        <v>0</v>
      </c>
      <c r="R3739">
        <v>120</v>
      </c>
      <c r="S3739">
        <v>120</v>
      </c>
      <c r="T3739" t="s">
        <v>72</v>
      </c>
    </row>
    <row r="3740" spans="1:20" customFormat="1" ht="15" x14ac:dyDescent="0.25">
      <c r="A3740" t="s">
        <v>35</v>
      </c>
      <c r="B3740" t="s">
        <v>5676</v>
      </c>
      <c r="C3740" t="str">
        <f>"A0186458"</f>
        <v>A0186458</v>
      </c>
      <c r="D3740" t="s">
        <v>15514</v>
      </c>
      <c r="E3740" t="s">
        <v>15515</v>
      </c>
      <c r="F3740" t="s">
        <v>15516</v>
      </c>
      <c r="G3740" t="s">
        <v>289</v>
      </c>
      <c r="H3740">
        <v>61362</v>
      </c>
      <c r="I3740" t="s">
        <v>30</v>
      </c>
      <c r="J3740" t="s">
        <v>41</v>
      </c>
      <c r="K3740" t="s">
        <v>229</v>
      </c>
      <c r="Q3740">
        <v>0</v>
      </c>
      <c r="R3740">
        <v>98</v>
      </c>
      <c r="S3740">
        <v>98</v>
      </c>
      <c r="T3740" t="s">
        <v>15517</v>
      </c>
    </row>
    <row r="3741" spans="1:20" customFormat="1" ht="15" x14ac:dyDescent="0.25">
      <c r="A3741" t="s">
        <v>35</v>
      </c>
      <c r="B3741" t="s">
        <v>5676</v>
      </c>
      <c r="C3741" t="str">
        <f>"A0186457"</f>
        <v>A0186457</v>
      </c>
      <c r="D3741" t="s">
        <v>15518</v>
      </c>
      <c r="E3741" t="s">
        <v>15519</v>
      </c>
      <c r="F3741" t="s">
        <v>15520</v>
      </c>
      <c r="G3741" t="s">
        <v>381</v>
      </c>
      <c r="H3741">
        <v>46902</v>
      </c>
      <c r="I3741" t="s">
        <v>30</v>
      </c>
      <c r="J3741" t="s">
        <v>41</v>
      </c>
      <c r="K3741" t="s">
        <v>229</v>
      </c>
      <c r="Q3741">
        <v>0</v>
      </c>
      <c r="R3741">
        <v>105</v>
      </c>
      <c r="S3741">
        <v>105</v>
      </c>
      <c r="T3741" t="s">
        <v>15521</v>
      </c>
    </row>
    <row r="3742" spans="1:20" customFormat="1" ht="15" x14ac:dyDescent="0.25">
      <c r="A3742" t="s">
        <v>35</v>
      </c>
      <c r="B3742" t="s">
        <v>6747</v>
      </c>
      <c r="C3742" t="str">
        <f>"A0186456"</f>
        <v>A0186456</v>
      </c>
      <c r="D3742" t="s">
        <v>15522</v>
      </c>
      <c r="E3742" t="s">
        <v>15523</v>
      </c>
      <c r="F3742" t="s">
        <v>1693</v>
      </c>
      <c r="G3742" t="s">
        <v>214</v>
      </c>
      <c r="H3742">
        <v>28115</v>
      </c>
      <c r="I3742" t="s">
        <v>30</v>
      </c>
      <c r="J3742" t="s">
        <v>41</v>
      </c>
      <c r="K3742" t="s">
        <v>229</v>
      </c>
      <c r="Q3742">
        <v>0</v>
      </c>
      <c r="R3742">
        <v>130</v>
      </c>
      <c r="S3742">
        <v>130</v>
      </c>
      <c r="T3742" t="s">
        <v>15524</v>
      </c>
    </row>
    <row r="3743" spans="1:20" customFormat="1" ht="15" x14ac:dyDescent="0.25">
      <c r="A3743" t="s">
        <v>35</v>
      </c>
      <c r="B3743" t="s">
        <v>5676</v>
      </c>
      <c r="C3743" t="str">
        <f>"A0186455"</f>
        <v>A0186455</v>
      </c>
      <c r="D3743" t="s">
        <v>15525</v>
      </c>
      <c r="E3743" t="s">
        <v>15526</v>
      </c>
      <c r="F3743" t="s">
        <v>15527</v>
      </c>
      <c r="G3743" t="s">
        <v>289</v>
      </c>
      <c r="H3743">
        <v>60419</v>
      </c>
      <c r="I3743" t="s">
        <v>30</v>
      </c>
      <c r="J3743" t="s">
        <v>41</v>
      </c>
      <c r="K3743" t="s">
        <v>229</v>
      </c>
      <c r="Q3743">
        <v>0</v>
      </c>
      <c r="R3743">
        <v>88</v>
      </c>
      <c r="S3743">
        <v>88</v>
      </c>
      <c r="T3743" t="s">
        <v>15528</v>
      </c>
    </row>
    <row r="3744" spans="1:20" customFormat="1" ht="15" x14ac:dyDescent="0.25">
      <c r="A3744" t="s">
        <v>35</v>
      </c>
      <c r="B3744" t="s">
        <v>6747</v>
      </c>
      <c r="C3744" t="str">
        <f>"A0186454"</f>
        <v>A0186454</v>
      </c>
      <c r="D3744" t="s">
        <v>15529</v>
      </c>
      <c r="E3744" t="s">
        <v>15530</v>
      </c>
      <c r="F3744" t="s">
        <v>15531</v>
      </c>
      <c r="G3744" t="s">
        <v>214</v>
      </c>
      <c r="H3744">
        <v>27704</v>
      </c>
      <c r="I3744" t="s">
        <v>30</v>
      </c>
      <c r="J3744" t="s">
        <v>41</v>
      </c>
      <c r="K3744" t="s">
        <v>229</v>
      </c>
      <c r="Q3744">
        <v>0</v>
      </c>
      <c r="R3744">
        <v>111</v>
      </c>
      <c r="S3744">
        <v>111</v>
      </c>
      <c r="T3744" t="s">
        <v>15532</v>
      </c>
    </row>
    <row r="3745" spans="1:20" customFormat="1" ht="15" x14ac:dyDescent="0.25">
      <c r="A3745" t="s">
        <v>35</v>
      </c>
      <c r="B3745" t="s">
        <v>61</v>
      </c>
      <c r="C3745" t="str">
        <f>"A0186453"</f>
        <v>A0186453</v>
      </c>
      <c r="D3745" t="s">
        <v>15533</v>
      </c>
      <c r="E3745" t="s">
        <v>15534</v>
      </c>
      <c r="F3745" t="s">
        <v>6435</v>
      </c>
      <c r="G3745" t="s">
        <v>197</v>
      </c>
      <c r="H3745">
        <v>85204</v>
      </c>
      <c r="I3745" t="s">
        <v>30</v>
      </c>
      <c r="J3745" t="s">
        <v>41</v>
      </c>
      <c r="K3745" t="s">
        <v>229</v>
      </c>
      <c r="Q3745">
        <v>0</v>
      </c>
      <c r="R3745">
        <v>0</v>
      </c>
      <c r="S3745">
        <v>120</v>
      </c>
      <c r="T3745" t="s">
        <v>15535</v>
      </c>
    </row>
    <row r="3746" spans="1:20" customFormat="1" ht="15" x14ac:dyDescent="0.25">
      <c r="A3746" t="s">
        <v>35</v>
      </c>
      <c r="B3746" t="s">
        <v>15354</v>
      </c>
      <c r="C3746" t="str">
        <f>"A0186451"</f>
        <v>A0186451</v>
      </c>
      <c r="D3746" t="s">
        <v>15536</v>
      </c>
      <c r="E3746" t="s">
        <v>15537</v>
      </c>
      <c r="F3746" t="s">
        <v>15538</v>
      </c>
      <c r="G3746" t="s">
        <v>289</v>
      </c>
      <c r="H3746">
        <v>60104</v>
      </c>
      <c r="I3746" t="s">
        <v>30</v>
      </c>
      <c r="J3746" t="s">
        <v>41</v>
      </c>
      <c r="K3746" t="s">
        <v>229</v>
      </c>
      <c r="Q3746">
        <v>0</v>
      </c>
      <c r="R3746">
        <v>82</v>
      </c>
      <c r="S3746">
        <v>82</v>
      </c>
      <c r="T3746" t="s">
        <v>72</v>
      </c>
    </row>
    <row r="3747" spans="1:20" customFormat="1" ht="15" x14ac:dyDescent="0.25">
      <c r="A3747" t="s">
        <v>35</v>
      </c>
      <c r="B3747" t="s">
        <v>5676</v>
      </c>
      <c r="C3747" t="str">
        <f>"A0186450"</f>
        <v>A0186450</v>
      </c>
      <c r="D3747" t="s">
        <v>15539</v>
      </c>
      <c r="E3747" t="s">
        <v>15540</v>
      </c>
      <c r="F3747" t="s">
        <v>15541</v>
      </c>
      <c r="G3747" t="s">
        <v>289</v>
      </c>
      <c r="H3747">
        <v>61369</v>
      </c>
      <c r="I3747" t="s">
        <v>30</v>
      </c>
      <c r="J3747" t="s">
        <v>41</v>
      </c>
      <c r="K3747" t="s">
        <v>229</v>
      </c>
      <c r="Q3747">
        <v>0</v>
      </c>
      <c r="R3747">
        <v>71</v>
      </c>
      <c r="S3747">
        <v>71</v>
      </c>
      <c r="T3747" t="s">
        <v>15542</v>
      </c>
    </row>
    <row r="3748" spans="1:20" customFormat="1" ht="15" x14ac:dyDescent="0.25">
      <c r="A3748" t="s">
        <v>35</v>
      </c>
      <c r="B3748" t="s">
        <v>5676</v>
      </c>
      <c r="C3748" t="str">
        <f>"A0186449"</f>
        <v>A0186449</v>
      </c>
      <c r="D3748" t="s">
        <v>15543</v>
      </c>
      <c r="E3748" t="s">
        <v>15544</v>
      </c>
      <c r="F3748" t="s">
        <v>15545</v>
      </c>
      <c r="G3748" t="s">
        <v>289</v>
      </c>
      <c r="H3748">
        <v>60067</v>
      </c>
      <c r="I3748" t="s">
        <v>30</v>
      </c>
      <c r="J3748" t="s">
        <v>41</v>
      </c>
      <c r="K3748" t="s">
        <v>229</v>
      </c>
      <c r="Q3748">
        <v>0</v>
      </c>
      <c r="R3748">
        <v>69</v>
      </c>
      <c r="S3748">
        <v>69</v>
      </c>
      <c r="T3748" t="s">
        <v>15546</v>
      </c>
    </row>
    <row r="3749" spans="1:20" customFormat="1" ht="15" x14ac:dyDescent="0.25">
      <c r="A3749" t="s">
        <v>35</v>
      </c>
      <c r="B3749" t="s">
        <v>5676</v>
      </c>
      <c r="C3749" t="str">
        <f>"A0186448"</f>
        <v>A0186448</v>
      </c>
      <c r="D3749" t="s">
        <v>15547</v>
      </c>
      <c r="E3749" t="s">
        <v>15548</v>
      </c>
      <c r="F3749" t="s">
        <v>3327</v>
      </c>
      <c r="G3749" t="s">
        <v>289</v>
      </c>
      <c r="H3749">
        <v>60481</v>
      </c>
      <c r="I3749" t="s">
        <v>30</v>
      </c>
      <c r="J3749" t="s">
        <v>41</v>
      </c>
      <c r="K3749" t="s">
        <v>229</v>
      </c>
      <c r="Q3749">
        <v>0</v>
      </c>
      <c r="R3749">
        <v>171</v>
      </c>
      <c r="S3749">
        <v>171</v>
      </c>
      <c r="T3749" t="s">
        <v>15549</v>
      </c>
    </row>
    <row r="3750" spans="1:20" customFormat="1" ht="15" x14ac:dyDescent="0.25">
      <c r="A3750" t="s">
        <v>35</v>
      </c>
      <c r="B3750" t="s">
        <v>1604</v>
      </c>
      <c r="C3750" t="str">
        <f>"A0186447"</f>
        <v>A0186447</v>
      </c>
      <c r="D3750" t="s">
        <v>15550</v>
      </c>
      <c r="E3750" t="s">
        <v>15551</v>
      </c>
      <c r="F3750" t="s">
        <v>15552</v>
      </c>
      <c r="G3750" t="s">
        <v>289</v>
      </c>
      <c r="H3750">
        <v>62056</v>
      </c>
      <c r="I3750" t="s">
        <v>30</v>
      </c>
      <c r="J3750" t="s">
        <v>41</v>
      </c>
      <c r="K3750" t="s">
        <v>229</v>
      </c>
      <c r="Q3750">
        <v>0</v>
      </c>
      <c r="R3750">
        <v>65</v>
      </c>
      <c r="S3750">
        <v>65</v>
      </c>
      <c r="T3750" t="s">
        <v>15553</v>
      </c>
    </row>
    <row r="3751" spans="1:20" customFormat="1" ht="15" x14ac:dyDescent="0.25">
      <c r="A3751" t="s">
        <v>35</v>
      </c>
      <c r="B3751" t="s">
        <v>5676</v>
      </c>
      <c r="C3751" t="str">
        <f>"A0186446"</f>
        <v>A0186446</v>
      </c>
      <c r="D3751" t="s">
        <v>15554</v>
      </c>
      <c r="E3751" t="s">
        <v>15555</v>
      </c>
      <c r="F3751" t="s">
        <v>15556</v>
      </c>
      <c r="G3751" t="s">
        <v>289</v>
      </c>
      <c r="H3751">
        <v>60201</v>
      </c>
      <c r="I3751" t="s">
        <v>30</v>
      </c>
      <c r="J3751" t="s">
        <v>41</v>
      </c>
      <c r="K3751" t="s">
        <v>229</v>
      </c>
      <c r="Q3751">
        <v>0</v>
      </c>
      <c r="R3751">
        <v>57</v>
      </c>
      <c r="S3751">
        <v>57</v>
      </c>
      <c r="T3751" t="s">
        <v>15557</v>
      </c>
    </row>
    <row r="3752" spans="1:20" customFormat="1" ht="15" x14ac:dyDescent="0.25">
      <c r="A3752" t="s">
        <v>35</v>
      </c>
      <c r="B3752" t="s">
        <v>15297</v>
      </c>
      <c r="C3752" t="str">
        <f>"A0186445"</f>
        <v>A0186445</v>
      </c>
      <c r="D3752" t="s">
        <v>15558</v>
      </c>
      <c r="E3752" t="s">
        <v>15559</v>
      </c>
      <c r="F3752" t="s">
        <v>6435</v>
      </c>
      <c r="G3752" t="s">
        <v>197</v>
      </c>
      <c r="H3752">
        <v>85208</v>
      </c>
      <c r="I3752" t="s">
        <v>30</v>
      </c>
      <c r="J3752" t="s">
        <v>41</v>
      </c>
      <c r="K3752" t="s">
        <v>229</v>
      </c>
      <c r="Q3752">
        <v>0</v>
      </c>
      <c r="R3752">
        <v>0</v>
      </c>
      <c r="S3752">
        <v>0</v>
      </c>
      <c r="T3752" t="s">
        <v>72</v>
      </c>
    </row>
    <row r="3753" spans="1:20" customFormat="1" ht="15" x14ac:dyDescent="0.25">
      <c r="A3753" t="s">
        <v>35</v>
      </c>
      <c r="B3753" t="s">
        <v>7250</v>
      </c>
      <c r="C3753" t="str">
        <f>"A0186444"</f>
        <v>A0186444</v>
      </c>
      <c r="D3753" t="s">
        <v>15560</v>
      </c>
      <c r="E3753" t="s">
        <v>15561</v>
      </c>
      <c r="F3753" t="s">
        <v>3293</v>
      </c>
      <c r="G3753" t="s">
        <v>58</v>
      </c>
      <c r="H3753">
        <v>29624</v>
      </c>
      <c r="I3753" t="s">
        <v>30</v>
      </c>
      <c r="J3753" t="s">
        <v>41</v>
      </c>
      <c r="K3753" t="s">
        <v>229</v>
      </c>
      <c r="Q3753">
        <v>0</v>
      </c>
      <c r="R3753">
        <v>181</v>
      </c>
      <c r="S3753">
        <v>181</v>
      </c>
      <c r="T3753" t="s">
        <v>15562</v>
      </c>
    </row>
    <row r="3754" spans="1:20" customFormat="1" ht="15" x14ac:dyDescent="0.25">
      <c r="A3754" t="s">
        <v>35</v>
      </c>
      <c r="B3754" t="s">
        <v>6747</v>
      </c>
      <c r="C3754" t="str">
        <f>"A0186443"</f>
        <v>A0186443</v>
      </c>
      <c r="D3754" t="s">
        <v>15563</v>
      </c>
      <c r="E3754" t="s">
        <v>15564</v>
      </c>
      <c r="F3754" t="s">
        <v>11868</v>
      </c>
      <c r="G3754" t="s">
        <v>214</v>
      </c>
      <c r="H3754">
        <v>28147</v>
      </c>
      <c r="I3754" t="s">
        <v>30</v>
      </c>
      <c r="J3754" t="s">
        <v>41</v>
      </c>
      <c r="K3754" t="s">
        <v>229</v>
      </c>
      <c r="Q3754">
        <v>0</v>
      </c>
      <c r="R3754">
        <v>160</v>
      </c>
      <c r="S3754">
        <v>160</v>
      </c>
      <c r="T3754" t="s">
        <v>15565</v>
      </c>
    </row>
    <row r="3755" spans="1:20" customFormat="1" ht="15" x14ac:dyDescent="0.25">
      <c r="A3755" t="s">
        <v>35</v>
      </c>
      <c r="B3755" t="s">
        <v>1604</v>
      </c>
      <c r="C3755" t="str">
        <f>"A0186442"</f>
        <v>A0186442</v>
      </c>
      <c r="D3755" t="s">
        <v>15566</v>
      </c>
      <c r="E3755" t="s">
        <v>15567</v>
      </c>
      <c r="F3755" t="s">
        <v>1755</v>
      </c>
      <c r="G3755" t="s">
        <v>289</v>
      </c>
      <c r="H3755">
        <v>62703</v>
      </c>
      <c r="I3755" t="s">
        <v>30</v>
      </c>
      <c r="J3755" t="s">
        <v>41</v>
      </c>
      <c r="K3755" t="s">
        <v>229</v>
      </c>
      <c r="Q3755">
        <v>0</v>
      </c>
      <c r="R3755">
        <v>65</v>
      </c>
      <c r="S3755">
        <v>65</v>
      </c>
      <c r="T3755" t="s">
        <v>15568</v>
      </c>
    </row>
    <row r="3756" spans="1:20" customFormat="1" ht="15" x14ac:dyDescent="0.25">
      <c r="A3756" t="s">
        <v>35</v>
      </c>
      <c r="B3756" t="s">
        <v>1604</v>
      </c>
      <c r="C3756" t="str">
        <f>"A0186441"</f>
        <v>A0186441</v>
      </c>
      <c r="D3756" t="s">
        <v>15569</v>
      </c>
      <c r="E3756" t="s">
        <v>15570</v>
      </c>
      <c r="F3756" t="s">
        <v>4645</v>
      </c>
      <c r="G3756" t="s">
        <v>289</v>
      </c>
      <c r="H3756">
        <v>62650</v>
      </c>
      <c r="I3756" t="s">
        <v>30</v>
      </c>
      <c r="J3756" t="s">
        <v>41</v>
      </c>
      <c r="K3756" t="s">
        <v>229</v>
      </c>
      <c r="Q3756">
        <v>0</v>
      </c>
      <c r="R3756">
        <v>113</v>
      </c>
      <c r="S3756">
        <v>113</v>
      </c>
      <c r="T3756" t="s">
        <v>15571</v>
      </c>
    </row>
    <row r="3757" spans="1:20" customFormat="1" ht="15" x14ac:dyDescent="0.25">
      <c r="A3757" t="s">
        <v>35</v>
      </c>
      <c r="B3757" t="s">
        <v>5676</v>
      </c>
      <c r="C3757" t="str">
        <f>"A0186440"</f>
        <v>A0186440</v>
      </c>
      <c r="D3757" t="s">
        <v>15572</v>
      </c>
      <c r="E3757" t="s">
        <v>15573</v>
      </c>
      <c r="F3757" t="s">
        <v>5491</v>
      </c>
      <c r="G3757" t="s">
        <v>289</v>
      </c>
      <c r="H3757">
        <v>62417</v>
      </c>
      <c r="I3757" t="s">
        <v>30</v>
      </c>
      <c r="J3757" t="s">
        <v>41</v>
      </c>
      <c r="K3757" t="s">
        <v>229</v>
      </c>
      <c r="Q3757">
        <v>0</v>
      </c>
      <c r="R3757">
        <v>99</v>
      </c>
      <c r="S3757">
        <v>99</v>
      </c>
      <c r="T3757" t="s">
        <v>15574</v>
      </c>
    </row>
    <row r="3758" spans="1:20" customFormat="1" ht="15" x14ac:dyDescent="0.25">
      <c r="A3758" t="s">
        <v>35</v>
      </c>
      <c r="B3758" t="s">
        <v>2771</v>
      </c>
      <c r="C3758" t="str">
        <f>"A0186439"</f>
        <v>A0186439</v>
      </c>
      <c r="D3758" t="s">
        <v>15575</v>
      </c>
      <c r="E3758" t="s">
        <v>15576</v>
      </c>
      <c r="F3758" t="s">
        <v>15577</v>
      </c>
      <c r="G3758" t="s">
        <v>289</v>
      </c>
      <c r="H3758">
        <v>60015</v>
      </c>
      <c r="I3758" t="s">
        <v>30</v>
      </c>
      <c r="J3758" t="s">
        <v>41</v>
      </c>
      <c r="K3758" t="s">
        <v>229</v>
      </c>
      <c r="Q3758">
        <v>0</v>
      </c>
      <c r="R3758">
        <v>240</v>
      </c>
      <c r="S3758">
        <v>240</v>
      </c>
      <c r="T3758" t="s">
        <v>15578</v>
      </c>
    </row>
    <row r="3759" spans="1:20" customFormat="1" ht="15" x14ac:dyDescent="0.25">
      <c r="A3759" t="s">
        <v>35</v>
      </c>
      <c r="B3759" t="s">
        <v>1604</v>
      </c>
      <c r="C3759" t="str">
        <f>"A0186438"</f>
        <v>A0186438</v>
      </c>
      <c r="D3759" t="s">
        <v>15579</v>
      </c>
      <c r="E3759" t="s">
        <v>15580</v>
      </c>
      <c r="F3759" t="s">
        <v>12934</v>
      </c>
      <c r="G3759" t="s">
        <v>289</v>
      </c>
      <c r="H3759">
        <v>61701</v>
      </c>
      <c r="I3759" t="s">
        <v>30</v>
      </c>
      <c r="J3759" t="s">
        <v>41</v>
      </c>
      <c r="K3759" t="s">
        <v>229</v>
      </c>
      <c r="Q3759">
        <v>0</v>
      </c>
      <c r="R3759">
        <v>117</v>
      </c>
      <c r="S3759">
        <v>117</v>
      </c>
      <c r="T3759" t="s">
        <v>15581</v>
      </c>
    </row>
    <row r="3760" spans="1:20" customFormat="1" ht="15" x14ac:dyDescent="0.25">
      <c r="A3760" t="s">
        <v>35</v>
      </c>
      <c r="B3760" t="s">
        <v>5676</v>
      </c>
      <c r="C3760" t="str">
        <f>"A0186437"</f>
        <v>A0186437</v>
      </c>
      <c r="D3760" t="s">
        <v>15582</v>
      </c>
      <c r="E3760" t="s">
        <v>15583</v>
      </c>
      <c r="F3760" t="s">
        <v>9923</v>
      </c>
      <c r="G3760" t="s">
        <v>289</v>
      </c>
      <c r="H3760">
        <v>60123</v>
      </c>
      <c r="I3760" t="s">
        <v>30</v>
      </c>
      <c r="J3760" t="s">
        <v>41</v>
      </c>
      <c r="K3760" t="s">
        <v>229</v>
      </c>
      <c r="Q3760">
        <v>0</v>
      </c>
      <c r="R3760">
        <v>101</v>
      </c>
      <c r="S3760">
        <v>101</v>
      </c>
      <c r="T3760" t="s">
        <v>15584</v>
      </c>
    </row>
    <row r="3761" spans="1:20" customFormat="1" ht="15" x14ac:dyDescent="0.25">
      <c r="A3761" t="s">
        <v>35</v>
      </c>
      <c r="B3761" t="s">
        <v>15432</v>
      </c>
      <c r="C3761" t="str">
        <f>"A0186436"</f>
        <v>A0186436</v>
      </c>
      <c r="D3761" t="s">
        <v>15585</v>
      </c>
      <c r="E3761" t="s">
        <v>15586</v>
      </c>
      <c r="F3761" t="s">
        <v>15587</v>
      </c>
      <c r="G3761" t="s">
        <v>289</v>
      </c>
      <c r="H3761">
        <v>62690</v>
      </c>
      <c r="I3761" t="s">
        <v>30</v>
      </c>
      <c r="J3761" t="s">
        <v>41</v>
      </c>
      <c r="K3761" t="s">
        <v>229</v>
      </c>
      <c r="Q3761">
        <v>0</v>
      </c>
      <c r="R3761">
        <v>99</v>
      </c>
      <c r="S3761">
        <v>99</v>
      </c>
      <c r="T3761" t="s">
        <v>15588</v>
      </c>
    </row>
    <row r="3762" spans="1:20" customFormat="1" ht="15" x14ac:dyDescent="0.25">
      <c r="A3762" t="s">
        <v>35</v>
      </c>
      <c r="B3762" t="s">
        <v>15432</v>
      </c>
      <c r="C3762" t="str">
        <f>"A0186435"</f>
        <v>A0186435</v>
      </c>
      <c r="D3762" t="s">
        <v>15589</v>
      </c>
      <c r="E3762" t="s">
        <v>15590</v>
      </c>
      <c r="F3762" t="s">
        <v>8151</v>
      </c>
      <c r="G3762" t="s">
        <v>289</v>
      </c>
      <c r="H3762">
        <v>62568</v>
      </c>
      <c r="I3762" t="s">
        <v>30</v>
      </c>
      <c r="J3762" t="s">
        <v>41</v>
      </c>
      <c r="K3762" t="s">
        <v>229</v>
      </c>
      <c r="Q3762">
        <v>0</v>
      </c>
      <c r="R3762">
        <v>100</v>
      </c>
      <c r="S3762">
        <v>100</v>
      </c>
      <c r="T3762" t="s">
        <v>15591</v>
      </c>
    </row>
    <row r="3763" spans="1:20" customFormat="1" ht="15" x14ac:dyDescent="0.25">
      <c r="A3763" t="s">
        <v>35</v>
      </c>
      <c r="B3763" t="s">
        <v>15432</v>
      </c>
      <c r="C3763" t="str">
        <f>"A0186434"</f>
        <v>A0186434</v>
      </c>
      <c r="D3763" t="s">
        <v>15592</v>
      </c>
      <c r="E3763" t="s">
        <v>15593</v>
      </c>
      <c r="F3763" t="s">
        <v>4645</v>
      </c>
      <c r="G3763" t="s">
        <v>289</v>
      </c>
      <c r="H3763">
        <v>62650</v>
      </c>
      <c r="I3763" t="s">
        <v>30</v>
      </c>
      <c r="J3763" t="s">
        <v>41</v>
      </c>
      <c r="K3763" t="s">
        <v>229</v>
      </c>
      <c r="Q3763">
        <v>0</v>
      </c>
      <c r="R3763">
        <v>120</v>
      </c>
      <c r="S3763">
        <v>120</v>
      </c>
      <c r="T3763" t="s">
        <v>15594</v>
      </c>
    </row>
    <row r="3764" spans="1:20" customFormat="1" ht="15" x14ac:dyDescent="0.25">
      <c r="A3764" t="s">
        <v>35</v>
      </c>
      <c r="B3764" t="s">
        <v>15432</v>
      </c>
      <c r="C3764" t="str">
        <f>"A0186433"</f>
        <v>A0186433</v>
      </c>
      <c r="D3764" t="s">
        <v>15595</v>
      </c>
      <c r="E3764" t="s">
        <v>15596</v>
      </c>
      <c r="F3764" t="s">
        <v>510</v>
      </c>
      <c r="G3764" t="s">
        <v>289</v>
      </c>
      <c r="H3764">
        <v>61920</v>
      </c>
      <c r="I3764" t="s">
        <v>30</v>
      </c>
      <c r="J3764" t="s">
        <v>41</v>
      </c>
      <c r="K3764" t="s">
        <v>229</v>
      </c>
      <c r="Q3764">
        <v>0</v>
      </c>
      <c r="R3764">
        <v>100</v>
      </c>
      <c r="S3764">
        <v>100</v>
      </c>
      <c r="T3764" t="s">
        <v>15597</v>
      </c>
    </row>
    <row r="3765" spans="1:20" customFormat="1" ht="15" x14ac:dyDescent="0.25">
      <c r="A3765" t="s">
        <v>35</v>
      </c>
      <c r="B3765" t="s">
        <v>15598</v>
      </c>
      <c r="C3765" t="str">
        <f>"A0186432"</f>
        <v>A0186432</v>
      </c>
      <c r="D3765" t="s">
        <v>15599</v>
      </c>
      <c r="E3765" t="s">
        <v>15600</v>
      </c>
      <c r="F3765" t="s">
        <v>15601</v>
      </c>
      <c r="G3765" t="s">
        <v>381</v>
      </c>
      <c r="H3765">
        <v>47460</v>
      </c>
      <c r="I3765" t="s">
        <v>30</v>
      </c>
      <c r="J3765" t="s">
        <v>41</v>
      </c>
      <c r="K3765" t="s">
        <v>229</v>
      </c>
      <c r="Q3765">
        <v>0</v>
      </c>
      <c r="R3765">
        <v>87</v>
      </c>
      <c r="S3765">
        <v>87</v>
      </c>
      <c r="T3765" t="s">
        <v>15602</v>
      </c>
    </row>
    <row r="3766" spans="1:20" customFormat="1" ht="15" x14ac:dyDescent="0.25">
      <c r="A3766" t="s">
        <v>35</v>
      </c>
      <c r="B3766" t="s">
        <v>15598</v>
      </c>
      <c r="C3766" t="str">
        <f>"A0186431"</f>
        <v>A0186431</v>
      </c>
      <c r="D3766" t="s">
        <v>15603</v>
      </c>
      <c r="E3766" t="s">
        <v>15604</v>
      </c>
      <c r="F3766" t="s">
        <v>15605</v>
      </c>
      <c r="G3766" t="s">
        <v>381</v>
      </c>
      <c r="H3766">
        <v>46041</v>
      </c>
      <c r="I3766" t="s">
        <v>30</v>
      </c>
      <c r="J3766" t="s">
        <v>41</v>
      </c>
      <c r="K3766" t="s">
        <v>229</v>
      </c>
      <c r="Q3766">
        <v>0</v>
      </c>
      <c r="R3766">
        <v>88</v>
      </c>
      <c r="S3766">
        <v>88</v>
      </c>
      <c r="T3766" t="s">
        <v>15606</v>
      </c>
    </row>
    <row r="3767" spans="1:20" customFormat="1" ht="15" x14ac:dyDescent="0.25">
      <c r="A3767" t="s">
        <v>35</v>
      </c>
      <c r="B3767" t="s">
        <v>15432</v>
      </c>
      <c r="C3767" t="str">
        <f>"A0186430"</f>
        <v>A0186430</v>
      </c>
      <c r="D3767" t="s">
        <v>15607</v>
      </c>
      <c r="E3767" t="s">
        <v>15608</v>
      </c>
      <c r="F3767" t="s">
        <v>4746</v>
      </c>
      <c r="G3767" t="s">
        <v>289</v>
      </c>
      <c r="H3767">
        <v>62254</v>
      </c>
      <c r="I3767" t="s">
        <v>30</v>
      </c>
      <c r="J3767" t="s">
        <v>41</v>
      </c>
      <c r="K3767" t="s">
        <v>229</v>
      </c>
      <c r="Q3767">
        <v>0</v>
      </c>
      <c r="R3767">
        <v>116</v>
      </c>
      <c r="S3767">
        <v>116</v>
      </c>
      <c r="T3767" t="s">
        <v>15609</v>
      </c>
    </row>
    <row r="3768" spans="1:20" customFormat="1" ht="15" x14ac:dyDescent="0.25">
      <c r="A3768" t="s">
        <v>35</v>
      </c>
      <c r="B3768" t="s">
        <v>15432</v>
      </c>
      <c r="C3768" t="str">
        <f>"A0186429"</f>
        <v>A0186429</v>
      </c>
      <c r="D3768" t="s">
        <v>15610</v>
      </c>
      <c r="E3768" t="s">
        <v>15611</v>
      </c>
      <c r="F3768" t="s">
        <v>11064</v>
      </c>
      <c r="G3768" t="s">
        <v>289</v>
      </c>
      <c r="H3768">
        <v>62249</v>
      </c>
      <c r="I3768" t="s">
        <v>30</v>
      </c>
      <c r="J3768" t="s">
        <v>41</v>
      </c>
      <c r="K3768" t="s">
        <v>229</v>
      </c>
      <c r="Q3768">
        <v>0</v>
      </c>
      <c r="R3768">
        <v>128</v>
      </c>
      <c r="S3768">
        <v>128</v>
      </c>
      <c r="T3768" t="s">
        <v>15612</v>
      </c>
    </row>
    <row r="3769" spans="1:20" customFormat="1" ht="15" x14ac:dyDescent="0.25">
      <c r="A3769" t="s">
        <v>35</v>
      </c>
      <c r="B3769" t="s">
        <v>15598</v>
      </c>
      <c r="C3769" t="str">
        <f>"A0186428"</f>
        <v>A0186428</v>
      </c>
      <c r="D3769" t="s">
        <v>15613</v>
      </c>
      <c r="E3769" t="s">
        <v>15614</v>
      </c>
      <c r="F3769" t="s">
        <v>6240</v>
      </c>
      <c r="G3769" t="s">
        <v>381</v>
      </c>
      <c r="H3769">
        <v>46825</v>
      </c>
      <c r="I3769" t="s">
        <v>30</v>
      </c>
      <c r="J3769" t="s">
        <v>41</v>
      </c>
      <c r="K3769" t="s">
        <v>229</v>
      </c>
      <c r="Q3769">
        <v>0</v>
      </c>
      <c r="R3769">
        <v>104</v>
      </c>
      <c r="S3769">
        <v>104</v>
      </c>
      <c r="T3769" t="s">
        <v>15615</v>
      </c>
    </row>
    <row r="3770" spans="1:20" customFormat="1" ht="15" x14ac:dyDescent="0.25">
      <c r="A3770" t="s">
        <v>35</v>
      </c>
      <c r="B3770" t="s">
        <v>15598</v>
      </c>
      <c r="C3770" t="str">
        <f>"A0186427"</f>
        <v>A0186427</v>
      </c>
      <c r="D3770" t="s">
        <v>15616</v>
      </c>
      <c r="E3770" t="s">
        <v>15617</v>
      </c>
      <c r="F3770" t="s">
        <v>15618</v>
      </c>
      <c r="G3770" t="s">
        <v>381</v>
      </c>
      <c r="H3770">
        <v>46703</v>
      </c>
      <c r="I3770" t="s">
        <v>30</v>
      </c>
      <c r="J3770" t="s">
        <v>41</v>
      </c>
      <c r="K3770" t="s">
        <v>229</v>
      </c>
      <c r="Q3770">
        <v>0</v>
      </c>
      <c r="R3770">
        <v>75</v>
      </c>
      <c r="S3770">
        <v>75</v>
      </c>
      <c r="T3770" t="s">
        <v>15619</v>
      </c>
    </row>
    <row r="3771" spans="1:20" customFormat="1" ht="15" x14ac:dyDescent="0.25">
      <c r="A3771" t="s">
        <v>35</v>
      </c>
      <c r="B3771" t="s">
        <v>6747</v>
      </c>
      <c r="C3771" t="str">
        <f>"A0186426"</f>
        <v>A0186426</v>
      </c>
      <c r="D3771" t="s">
        <v>15620</v>
      </c>
      <c r="E3771" t="s">
        <v>15621</v>
      </c>
      <c r="F3771" t="s">
        <v>15622</v>
      </c>
      <c r="G3771" t="s">
        <v>29</v>
      </c>
      <c r="H3771">
        <v>23509</v>
      </c>
      <c r="I3771" t="s">
        <v>30</v>
      </c>
      <c r="J3771" t="s">
        <v>41</v>
      </c>
      <c r="K3771" t="s">
        <v>229</v>
      </c>
      <c r="Q3771">
        <v>0</v>
      </c>
      <c r="R3771">
        <v>60</v>
      </c>
      <c r="S3771">
        <v>60</v>
      </c>
      <c r="T3771" t="s">
        <v>15623</v>
      </c>
    </row>
    <row r="3772" spans="1:20" customFormat="1" ht="15" x14ac:dyDescent="0.25">
      <c r="A3772" t="s">
        <v>35</v>
      </c>
      <c r="B3772" t="s">
        <v>61</v>
      </c>
      <c r="C3772" t="str">
        <f>"A0186425"</f>
        <v>A0186425</v>
      </c>
      <c r="D3772" t="s">
        <v>15624</v>
      </c>
      <c r="E3772" t="s">
        <v>15625</v>
      </c>
      <c r="F3772" t="s">
        <v>15626</v>
      </c>
      <c r="G3772" t="s">
        <v>1706</v>
      </c>
      <c r="H3772">
        <v>36526</v>
      </c>
      <c r="I3772" t="s">
        <v>30</v>
      </c>
      <c r="J3772" t="s">
        <v>41</v>
      </c>
      <c r="K3772" t="s">
        <v>59</v>
      </c>
      <c r="Q3772">
        <v>0</v>
      </c>
      <c r="R3772">
        <v>45</v>
      </c>
      <c r="S3772">
        <v>45</v>
      </c>
      <c r="T3772" t="s">
        <v>15627</v>
      </c>
    </row>
    <row r="3773" spans="1:20" customFormat="1" ht="15" x14ac:dyDescent="0.25">
      <c r="A3773" t="s">
        <v>35</v>
      </c>
      <c r="B3773" t="s">
        <v>61</v>
      </c>
      <c r="C3773" t="str">
        <f>"A0186424"</f>
        <v>A0186424</v>
      </c>
      <c r="D3773" t="s">
        <v>15628</v>
      </c>
      <c r="E3773" t="s">
        <v>15629</v>
      </c>
      <c r="F3773" t="s">
        <v>15630</v>
      </c>
      <c r="G3773" t="s">
        <v>153</v>
      </c>
      <c r="H3773">
        <v>84107</v>
      </c>
      <c r="I3773" t="s">
        <v>30</v>
      </c>
      <c r="J3773" t="s">
        <v>41</v>
      </c>
      <c r="K3773" t="s">
        <v>59</v>
      </c>
      <c r="Q3773">
        <v>0</v>
      </c>
      <c r="R3773">
        <v>100</v>
      </c>
      <c r="S3773">
        <v>100</v>
      </c>
      <c r="T3773" t="s">
        <v>15631</v>
      </c>
    </row>
    <row r="3774" spans="1:20" customFormat="1" ht="15" x14ac:dyDescent="0.25">
      <c r="A3774" t="s">
        <v>35</v>
      </c>
      <c r="B3774" t="s">
        <v>6747</v>
      </c>
      <c r="C3774" t="str">
        <f>"A0186423"</f>
        <v>A0186423</v>
      </c>
      <c r="D3774" t="s">
        <v>15632</v>
      </c>
      <c r="E3774" t="s">
        <v>15408</v>
      </c>
      <c r="F3774" t="s">
        <v>15409</v>
      </c>
      <c r="G3774" t="s">
        <v>29</v>
      </c>
      <c r="H3774">
        <v>23434</v>
      </c>
      <c r="I3774" t="s">
        <v>30</v>
      </c>
      <c r="J3774" t="s">
        <v>41</v>
      </c>
      <c r="K3774" t="s">
        <v>59</v>
      </c>
      <c r="Q3774">
        <v>0</v>
      </c>
      <c r="R3774">
        <v>34</v>
      </c>
      <c r="S3774">
        <v>34</v>
      </c>
      <c r="T3774" t="s">
        <v>15633</v>
      </c>
    </row>
    <row r="3775" spans="1:20" customFormat="1" ht="15" x14ac:dyDescent="0.25">
      <c r="A3775" t="s">
        <v>35</v>
      </c>
      <c r="B3775" t="s">
        <v>1797</v>
      </c>
      <c r="C3775" t="str">
        <f>"A0186422"</f>
        <v>A0186422</v>
      </c>
      <c r="D3775" t="s">
        <v>15634</v>
      </c>
      <c r="E3775" t="s">
        <v>15635</v>
      </c>
      <c r="F3775" t="s">
        <v>15636</v>
      </c>
      <c r="G3775" t="s">
        <v>117</v>
      </c>
      <c r="H3775">
        <v>48035</v>
      </c>
      <c r="I3775" t="s">
        <v>30</v>
      </c>
      <c r="J3775" t="s">
        <v>41</v>
      </c>
      <c r="K3775" t="s">
        <v>59</v>
      </c>
      <c r="Q3775">
        <v>0</v>
      </c>
      <c r="R3775">
        <v>80</v>
      </c>
      <c r="S3775">
        <v>80</v>
      </c>
      <c r="T3775" t="s">
        <v>14813</v>
      </c>
    </row>
    <row r="3776" spans="1:20" customFormat="1" ht="15" x14ac:dyDescent="0.25">
      <c r="A3776" t="s">
        <v>35</v>
      </c>
      <c r="B3776" t="s">
        <v>15432</v>
      </c>
      <c r="C3776" t="str">
        <f>"A0186421"</f>
        <v>A0186421</v>
      </c>
      <c r="D3776" t="s">
        <v>15637</v>
      </c>
      <c r="E3776" t="s">
        <v>15638</v>
      </c>
      <c r="F3776" t="s">
        <v>15639</v>
      </c>
      <c r="G3776" t="s">
        <v>289</v>
      </c>
      <c r="H3776">
        <v>62626</v>
      </c>
      <c r="I3776" t="s">
        <v>30</v>
      </c>
      <c r="J3776" t="s">
        <v>41</v>
      </c>
      <c r="K3776" t="s">
        <v>59</v>
      </c>
      <c r="Q3776">
        <v>0</v>
      </c>
      <c r="R3776">
        <v>49</v>
      </c>
      <c r="S3776">
        <v>49</v>
      </c>
      <c r="T3776" t="s">
        <v>15640</v>
      </c>
    </row>
    <row r="3777" spans="1:20" customFormat="1" ht="15" x14ac:dyDescent="0.25">
      <c r="A3777" t="s">
        <v>35</v>
      </c>
      <c r="B3777" t="s">
        <v>61</v>
      </c>
      <c r="C3777" t="str">
        <f>"A0186420"</f>
        <v>A0186420</v>
      </c>
      <c r="D3777" t="s">
        <v>15641</v>
      </c>
      <c r="E3777" t="s">
        <v>15642</v>
      </c>
      <c r="F3777" t="s">
        <v>4674</v>
      </c>
      <c r="G3777" t="s">
        <v>289</v>
      </c>
      <c r="H3777">
        <v>61571</v>
      </c>
      <c r="I3777" t="s">
        <v>30</v>
      </c>
      <c r="J3777" t="s">
        <v>41</v>
      </c>
      <c r="K3777" t="s">
        <v>391</v>
      </c>
      <c r="Q3777">
        <v>0</v>
      </c>
      <c r="R3777">
        <v>0</v>
      </c>
      <c r="S3777">
        <v>0</v>
      </c>
      <c r="T3777" t="s">
        <v>15643</v>
      </c>
    </row>
    <row r="3778" spans="1:20" customFormat="1" ht="15" x14ac:dyDescent="0.25">
      <c r="A3778" t="s">
        <v>35</v>
      </c>
      <c r="B3778" t="s">
        <v>13840</v>
      </c>
      <c r="C3778" t="str">
        <f>"A0186419"</f>
        <v>A0186419</v>
      </c>
      <c r="D3778" t="s">
        <v>13840</v>
      </c>
      <c r="E3778" t="s">
        <v>15644</v>
      </c>
      <c r="F3778" t="s">
        <v>288</v>
      </c>
      <c r="G3778" t="s">
        <v>289</v>
      </c>
      <c r="H3778">
        <v>60645</v>
      </c>
      <c r="I3778" t="s">
        <v>30</v>
      </c>
      <c r="J3778" t="s">
        <v>41</v>
      </c>
      <c r="K3778" t="s">
        <v>290</v>
      </c>
      <c r="Q3778">
        <v>0</v>
      </c>
      <c r="R3778">
        <v>0</v>
      </c>
      <c r="S3778">
        <v>0</v>
      </c>
      <c r="T3778" t="s">
        <v>72</v>
      </c>
    </row>
    <row r="3779" spans="1:20" customFormat="1" ht="15" x14ac:dyDescent="0.25">
      <c r="A3779" t="s">
        <v>35</v>
      </c>
      <c r="B3779" t="s">
        <v>2771</v>
      </c>
      <c r="C3779" t="str">
        <f>"A0186418"</f>
        <v>A0186418</v>
      </c>
      <c r="D3779" t="s">
        <v>2771</v>
      </c>
      <c r="E3779" t="s">
        <v>15645</v>
      </c>
      <c r="F3779" t="s">
        <v>7549</v>
      </c>
      <c r="G3779" t="s">
        <v>289</v>
      </c>
      <c r="H3779">
        <v>60077</v>
      </c>
      <c r="I3779" t="s">
        <v>30</v>
      </c>
      <c r="J3779" t="s">
        <v>41</v>
      </c>
      <c r="K3779" t="s">
        <v>290</v>
      </c>
      <c r="Q3779">
        <v>0</v>
      </c>
      <c r="R3779">
        <v>0</v>
      </c>
      <c r="S3779">
        <v>0</v>
      </c>
      <c r="T3779" t="s">
        <v>72</v>
      </c>
    </row>
    <row r="3780" spans="1:20" customFormat="1" ht="15" x14ac:dyDescent="0.25">
      <c r="A3780" t="s">
        <v>35</v>
      </c>
      <c r="B3780" t="s">
        <v>15297</v>
      </c>
      <c r="C3780" t="str">
        <f>"A0186417"</f>
        <v>A0186417</v>
      </c>
      <c r="D3780" t="s">
        <v>15297</v>
      </c>
      <c r="E3780" t="s">
        <v>15327</v>
      </c>
      <c r="F3780" t="s">
        <v>15646</v>
      </c>
      <c r="G3780" t="s">
        <v>65</v>
      </c>
      <c r="H3780">
        <v>44070</v>
      </c>
      <c r="I3780" t="s">
        <v>30</v>
      </c>
      <c r="J3780" t="s">
        <v>41</v>
      </c>
      <c r="K3780" t="s">
        <v>290</v>
      </c>
      <c r="Q3780">
        <v>0</v>
      </c>
      <c r="R3780">
        <v>0</v>
      </c>
      <c r="S3780">
        <v>0</v>
      </c>
      <c r="T3780" t="s">
        <v>72</v>
      </c>
    </row>
    <row r="3781" spans="1:20" customFormat="1" ht="15" x14ac:dyDescent="0.25">
      <c r="A3781" t="s">
        <v>35</v>
      </c>
      <c r="B3781" t="s">
        <v>1604</v>
      </c>
      <c r="C3781" t="str">
        <f>"A0186416"</f>
        <v>A0186416</v>
      </c>
      <c r="D3781" t="s">
        <v>1604</v>
      </c>
      <c r="E3781" t="s">
        <v>15647</v>
      </c>
      <c r="F3781" t="s">
        <v>7299</v>
      </c>
      <c r="G3781" t="s">
        <v>289</v>
      </c>
      <c r="H3781">
        <v>60712</v>
      </c>
      <c r="I3781" t="s">
        <v>30</v>
      </c>
      <c r="J3781" t="s">
        <v>41</v>
      </c>
      <c r="K3781" t="s">
        <v>290</v>
      </c>
      <c r="Q3781">
        <v>0</v>
      </c>
      <c r="R3781">
        <v>0</v>
      </c>
      <c r="S3781">
        <v>0</v>
      </c>
      <c r="T3781" t="s">
        <v>72</v>
      </c>
    </row>
    <row r="3782" spans="1:20" customFormat="1" ht="15" x14ac:dyDescent="0.25">
      <c r="A3782" t="s">
        <v>35</v>
      </c>
      <c r="B3782" t="s">
        <v>15432</v>
      </c>
      <c r="C3782" t="str">
        <f>"A0186415"</f>
        <v>A0186415</v>
      </c>
      <c r="D3782" t="s">
        <v>15432</v>
      </c>
      <c r="E3782" t="s">
        <v>15648</v>
      </c>
      <c r="F3782" t="s">
        <v>1948</v>
      </c>
      <c r="G3782" t="s">
        <v>338</v>
      </c>
      <c r="H3782">
        <v>8701</v>
      </c>
      <c r="I3782" t="s">
        <v>30</v>
      </c>
      <c r="J3782" t="s">
        <v>41</v>
      </c>
      <c r="K3782" t="s">
        <v>290</v>
      </c>
      <c r="Q3782">
        <v>0</v>
      </c>
      <c r="R3782">
        <v>0</v>
      </c>
      <c r="S3782">
        <v>0</v>
      </c>
      <c r="T3782" t="s">
        <v>72</v>
      </c>
    </row>
    <row r="3783" spans="1:20" customFormat="1" ht="15" x14ac:dyDescent="0.25">
      <c r="A3783" t="s">
        <v>35</v>
      </c>
      <c r="B3783" t="s">
        <v>5676</v>
      </c>
      <c r="C3783" t="str">
        <f>"A0186414"</f>
        <v>A0186414</v>
      </c>
      <c r="D3783" t="s">
        <v>5676</v>
      </c>
      <c r="E3783" t="s">
        <v>15647</v>
      </c>
      <c r="F3783" t="s">
        <v>7299</v>
      </c>
      <c r="G3783" t="s">
        <v>289</v>
      </c>
      <c r="H3783">
        <v>60712</v>
      </c>
      <c r="I3783" t="s">
        <v>30</v>
      </c>
      <c r="J3783" t="s">
        <v>41</v>
      </c>
      <c r="K3783" t="s">
        <v>290</v>
      </c>
      <c r="Q3783">
        <v>0</v>
      </c>
      <c r="R3783">
        <v>0</v>
      </c>
      <c r="S3783">
        <v>0</v>
      </c>
      <c r="T3783" t="s">
        <v>72</v>
      </c>
    </row>
    <row r="3784" spans="1:20" customFormat="1" ht="15" x14ac:dyDescent="0.25">
      <c r="A3784" t="s">
        <v>35</v>
      </c>
      <c r="B3784" t="s">
        <v>15598</v>
      </c>
      <c r="C3784" t="str">
        <f>"A0186413"</f>
        <v>A0186413</v>
      </c>
      <c r="D3784" t="s">
        <v>15598</v>
      </c>
      <c r="E3784" t="s">
        <v>15648</v>
      </c>
      <c r="F3784" t="s">
        <v>1948</v>
      </c>
      <c r="G3784" t="s">
        <v>338</v>
      </c>
      <c r="H3784">
        <v>8701</v>
      </c>
      <c r="I3784" t="s">
        <v>30</v>
      </c>
      <c r="J3784" t="s">
        <v>41</v>
      </c>
      <c r="K3784" t="s">
        <v>290</v>
      </c>
      <c r="Q3784">
        <v>0</v>
      </c>
      <c r="R3784">
        <v>0</v>
      </c>
      <c r="S3784">
        <v>0</v>
      </c>
      <c r="T3784" t="s">
        <v>72</v>
      </c>
    </row>
    <row r="3785" spans="1:20" customFormat="1" ht="15" x14ac:dyDescent="0.25">
      <c r="A3785" t="s">
        <v>35</v>
      </c>
      <c r="B3785" t="s">
        <v>61</v>
      </c>
      <c r="C3785" t="str">
        <f>"A0186412"</f>
        <v>A0186412</v>
      </c>
      <c r="D3785" t="s">
        <v>15649</v>
      </c>
      <c r="E3785" t="s">
        <v>15647</v>
      </c>
      <c r="F3785" t="s">
        <v>7299</v>
      </c>
      <c r="G3785" t="s">
        <v>289</v>
      </c>
      <c r="H3785">
        <v>60712</v>
      </c>
      <c r="I3785" t="s">
        <v>30</v>
      </c>
      <c r="J3785" t="s">
        <v>41</v>
      </c>
      <c r="K3785" t="s">
        <v>290</v>
      </c>
      <c r="Q3785">
        <v>0</v>
      </c>
      <c r="R3785">
        <v>0</v>
      </c>
      <c r="S3785">
        <v>0</v>
      </c>
      <c r="T3785" t="s">
        <v>14163</v>
      </c>
    </row>
    <row r="3786" spans="1:20" customFormat="1" ht="15" x14ac:dyDescent="0.25">
      <c r="A3786" t="s">
        <v>35</v>
      </c>
      <c r="B3786" t="s">
        <v>15354</v>
      </c>
      <c r="C3786" t="str">
        <f>"A0186411"</f>
        <v>A0186411</v>
      </c>
      <c r="D3786" t="s">
        <v>15354</v>
      </c>
      <c r="E3786" t="s">
        <v>15644</v>
      </c>
      <c r="F3786" t="s">
        <v>288</v>
      </c>
      <c r="G3786" t="s">
        <v>289</v>
      </c>
      <c r="H3786">
        <v>60645</v>
      </c>
      <c r="I3786" t="s">
        <v>30</v>
      </c>
      <c r="J3786" t="s">
        <v>41</v>
      </c>
      <c r="K3786" t="s">
        <v>290</v>
      </c>
      <c r="Q3786">
        <v>0</v>
      </c>
      <c r="R3786">
        <v>0</v>
      </c>
      <c r="S3786">
        <v>0</v>
      </c>
      <c r="T3786" t="s">
        <v>72</v>
      </c>
    </row>
    <row r="3787" spans="1:20" customFormat="1" ht="15" x14ac:dyDescent="0.25">
      <c r="A3787" t="s">
        <v>35</v>
      </c>
      <c r="B3787" t="s">
        <v>36</v>
      </c>
      <c r="C3787" t="str">
        <f>"A0186410"</f>
        <v>A0186410</v>
      </c>
      <c r="D3787" t="s">
        <v>15650</v>
      </c>
      <c r="E3787" t="s">
        <v>15651</v>
      </c>
      <c r="F3787" t="s">
        <v>15652</v>
      </c>
      <c r="G3787" t="s">
        <v>840</v>
      </c>
      <c r="H3787">
        <v>42301</v>
      </c>
      <c r="I3787" t="s">
        <v>30</v>
      </c>
      <c r="J3787" t="s">
        <v>41</v>
      </c>
      <c r="K3787" t="s">
        <v>42</v>
      </c>
      <c r="Q3787">
        <v>0</v>
      </c>
      <c r="R3787">
        <v>0</v>
      </c>
      <c r="S3787">
        <v>0</v>
      </c>
      <c r="T3787" t="s">
        <v>15653</v>
      </c>
    </row>
    <row r="3788" spans="1:20" customFormat="1" ht="15" x14ac:dyDescent="0.25">
      <c r="A3788" t="s">
        <v>35</v>
      </c>
      <c r="B3788" t="s">
        <v>36</v>
      </c>
      <c r="C3788" t="str">
        <f>"A0186409"</f>
        <v>A0186409</v>
      </c>
      <c r="D3788" t="s">
        <v>15654</v>
      </c>
      <c r="E3788" t="s">
        <v>15655</v>
      </c>
      <c r="F3788" t="s">
        <v>1735</v>
      </c>
      <c r="G3788" t="s">
        <v>29</v>
      </c>
      <c r="H3788">
        <v>22802</v>
      </c>
      <c r="I3788" t="s">
        <v>30</v>
      </c>
      <c r="J3788" t="s">
        <v>41</v>
      </c>
      <c r="K3788" t="s">
        <v>42</v>
      </c>
      <c r="Q3788">
        <v>0</v>
      </c>
      <c r="R3788">
        <v>0</v>
      </c>
      <c r="S3788">
        <v>0</v>
      </c>
      <c r="T3788" t="s">
        <v>15656</v>
      </c>
    </row>
    <row r="3789" spans="1:20" customFormat="1" ht="15" x14ac:dyDescent="0.25">
      <c r="A3789" t="s">
        <v>35</v>
      </c>
      <c r="B3789" t="s">
        <v>36</v>
      </c>
      <c r="C3789" t="str">
        <f>"A0186408"</f>
        <v>A0186408</v>
      </c>
      <c r="D3789" t="s">
        <v>15657</v>
      </c>
      <c r="E3789" t="s">
        <v>15658</v>
      </c>
      <c r="F3789" t="s">
        <v>15659</v>
      </c>
      <c r="G3789" t="s">
        <v>507</v>
      </c>
      <c r="H3789">
        <v>26416</v>
      </c>
      <c r="I3789" t="s">
        <v>30</v>
      </c>
      <c r="J3789" t="s">
        <v>41</v>
      </c>
      <c r="K3789" t="s">
        <v>42</v>
      </c>
      <c r="Q3789">
        <v>0</v>
      </c>
      <c r="R3789">
        <v>0</v>
      </c>
      <c r="S3789">
        <v>0</v>
      </c>
      <c r="T3789" t="s">
        <v>15660</v>
      </c>
    </row>
    <row r="3790" spans="1:20" customFormat="1" ht="15" x14ac:dyDescent="0.25">
      <c r="A3790" t="s">
        <v>35</v>
      </c>
      <c r="B3790" t="s">
        <v>6747</v>
      </c>
      <c r="C3790" t="str">
        <f>"A0186407"</f>
        <v>A0186407</v>
      </c>
      <c r="D3790" t="s">
        <v>15661</v>
      </c>
      <c r="E3790" t="s">
        <v>15662</v>
      </c>
      <c r="F3790" t="s">
        <v>15663</v>
      </c>
      <c r="G3790" t="s">
        <v>214</v>
      </c>
      <c r="H3790">
        <v>27012</v>
      </c>
      <c r="I3790" t="s">
        <v>30</v>
      </c>
      <c r="J3790" t="s">
        <v>41</v>
      </c>
      <c r="K3790" t="s">
        <v>482</v>
      </c>
      <c r="Q3790">
        <v>0</v>
      </c>
      <c r="R3790">
        <v>90</v>
      </c>
      <c r="S3790">
        <v>90</v>
      </c>
      <c r="T3790" t="s">
        <v>15664</v>
      </c>
    </row>
    <row r="3791" spans="1:20" customFormat="1" ht="15" x14ac:dyDescent="0.25">
      <c r="A3791" t="s">
        <v>35</v>
      </c>
      <c r="B3791" t="s">
        <v>15665</v>
      </c>
      <c r="C3791" t="str">
        <f>"A0186406"</f>
        <v>A0186406</v>
      </c>
      <c r="D3791" t="s">
        <v>15666</v>
      </c>
      <c r="E3791" t="s">
        <v>15667</v>
      </c>
      <c r="F3791" t="s">
        <v>15668</v>
      </c>
      <c r="G3791" t="s">
        <v>52</v>
      </c>
      <c r="H3791">
        <v>78028</v>
      </c>
      <c r="I3791" t="s">
        <v>30</v>
      </c>
      <c r="J3791" t="s">
        <v>41</v>
      </c>
      <c r="K3791" t="s">
        <v>482</v>
      </c>
      <c r="Q3791">
        <v>0</v>
      </c>
      <c r="R3791">
        <v>32</v>
      </c>
      <c r="S3791">
        <v>32</v>
      </c>
      <c r="T3791" t="s">
        <v>15669</v>
      </c>
    </row>
    <row r="3792" spans="1:20" customFormat="1" ht="15" x14ac:dyDescent="0.25">
      <c r="A3792" t="s">
        <v>35</v>
      </c>
      <c r="B3792" t="s">
        <v>6747</v>
      </c>
      <c r="C3792" t="str">
        <f>"A0150443"</f>
        <v>A0150443</v>
      </c>
      <c r="D3792" t="s">
        <v>15670</v>
      </c>
      <c r="E3792" t="s">
        <v>15671</v>
      </c>
      <c r="F3792" t="s">
        <v>15672</v>
      </c>
      <c r="G3792" t="s">
        <v>214</v>
      </c>
      <c r="H3792">
        <v>28697</v>
      </c>
      <c r="I3792" t="s">
        <v>30</v>
      </c>
      <c r="J3792" t="s">
        <v>41</v>
      </c>
      <c r="K3792" t="s">
        <v>229</v>
      </c>
      <c r="Q3792">
        <v>0</v>
      </c>
      <c r="R3792">
        <v>110</v>
      </c>
      <c r="S3792">
        <v>110</v>
      </c>
      <c r="T3792" t="s">
        <v>15673</v>
      </c>
    </row>
    <row r="3793" spans="1:20" customFormat="1" ht="15" x14ac:dyDescent="0.25">
      <c r="A3793" t="s">
        <v>35</v>
      </c>
      <c r="B3793" t="s">
        <v>6747</v>
      </c>
      <c r="C3793" t="str">
        <f>"A0124975"</f>
        <v>A0124975</v>
      </c>
      <c r="D3793" t="s">
        <v>15674</v>
      </c>
      <c r="E3793" t="s">
        <v>15675</v>
      </c>
      <c r="F3793" t="s">
        <v>15676</v>
      </c>
      <c r="G3793" t="s">
        <v>214</v>
      </c>
      <c r="H3793">
        <v>28056</v>
      </c>
      <c r="I3793" t="s">
        <v>30</v>
      </c>
      <c r="J3793" t="s">
        <v>41</v>
      </c>
      <c r="K3793" t="s">
        <v>229</v>
      </c>
      <c r="Q3793">
        <v>0</v>
      </c>
      <c r="R3793">
        <v>50</v>
      </c>
      <c r="S3793">
        <v>50</v>
      </c>
      <c r="T3793" t="s">
        <v>15677</v>
      </c>
    </row>
    <row r="3794" spans="1:20" customFormat="1" ht="15" x14ac:dyDescent="0.25">
      <c r="A3794" t="s">
        <v>35</v>
      </c>
      <c r="B3794" t="s">
        <v>6747</v>
      </c>
      <c r="C3794" t="str">
        <f>"A0124976"</f>
        <v>A0124976</v>
      </c>
      <c r="D3794" t="s">
        <v>15678</v>
      </c>
      <c r="E3794" t="s">
        <v>15679</v>
      </c>
      <c r="F3794" t="s">
        <v>15680</v>
      </c>
      <c r="G3794" t="s">
        <v>214</v>
      </c>
      <c r="H3794">
        <v>27360</v>
      </c>
      <c r="I3794" t="s">
        <v>30</v>
      </c>
      <c r="J3794" t="s">
        <v>41</v>
      </c>
      <c r="K3794" t="s">
        <v>229</v>
      </c>
      <c r="Q3794">
        <v>0</v>
      </c>
      <c r="R3794">
        <v>150</v>
      </c>
      <c r="S3794">
        <v>150</v>
      </c>
      <c r="T3794" t="s">
        <v>15681</v>
      </c>
    </row>
    <row r="3795" spans="1:20" customFormat="1" ht="15" x14ac:dyDescent="0.25">
      <c r="A3795" t="s">
        <v>35</v>
      </c>
      <c r="B3795" t="s">
        <v>6747</v>
      </c>
      <c r="C3795" t="str">
        <f>"A0124011"</f>
        <v>A0124011</v>
      </c>
      <c r="D3795" t="s">
        <v>15682</v>
      </c>
      <c r="E3795" t="s">
        <v>15683</v>
      </c>
      <c r="F3795" t="s">
        <v>15684</v>
      </c>
      <c r="G3795" t="s">
        <v>214</v>
      </c>
      <c r="H3795">
        <v>27104</v>
      </c>
      <c r="I3795" t="s">
        <v>30</v>
      </c>
      <c r="J3795" t="s">
        <v>41</v>
      </c>
      <c r="K3795" t="s">
        <v>229</v>
      </c>
      <c r="Q3795">
        <v>0</v>
      </c>
      <c r="R3795">
        <v>230</v>
      </c>
      <c r="S3795">
        <v>230</v>
      </c>
      <c r="T3795" t="s">
        <v>15685</v>
      </c>
    </row>
    <row r="3796" spans="1:20" customFormat="1" ht="15" x14ac:dyDescent="0.25">
      <c r="A3796" t="s">
        <v>35</v>
      </c>
      <c r="B3796" t="s">
        <v>6747</v>
      </c>
      <c r="C3796" t="str">
        <f>"A0150445"</f>
        <v>A0150445</v>
      </c>
      <c r="D3796" t="s">
        <v>15686</v>
      </c>
      <c r="E3796" t="s">
        <v>15687</v>
      </c>
      <c r="F3796" t="s">
        <v>1926</v>
      </c>
      <c r="G3796" t="s">
        <v>214</v>
      </c>
      <c r="H3796">
        <v>28211</v>
      </c>
      <c r="I3796" t="s">
        <v>30</v>
      </c>
      <c r="J3796" t="s">
        <v>41</v>
      </c>
      <c r="K3796" t="s">
        <v>229</v>
      </c>
      <c r="Q3796">
        <v>0</v>
      </c>
      <c r="R3796">
        <v>100</v>
      </c>
      <c r="S3796">
        <v>100</v>
      </c>
      <c r="T3796" t="s">
        <v>15673</v>
      </c>
    </row>
    <row r="3797" spans="1:20" customFormat="1" ht="15" x14ac:dyDescent="0.25">
      <c r="A3797" t="s">
        <v>35</v>
      </c>
      <c r="B3797" t="s">
        <v>6747</v>
      </c>
      <c r="C3797" t="str">
        <f>"A0150442"</f>
        <v>A0150442</v>
      </c>
      <c r="D3797" t="s">
        <v>15688</v>
      </c>
      <c r="E3797" t="s">
        <v>15689</v>
      </c>
      <c r="F3797" t="s">
        <v>15690</v>
      </c>
      <c r="G3797" t="s">
        <v>214</v>
      </c>
      <c r="H3797">
        <v>27320</v>
      </c>
      <c r="I3797" t="s">
        <v>30</v>
      </c>
      <c r="J3797" t="s">
        <v>41</v>
      </c>
      <c r="K3797" t="s">
        <v>229</v>
      </c>
      <c r="Q3797">
        <v>0</v>
      </c>
      <c r="R3797">
        <v>110</v>
      </c>
      <c r="S3797">
        <v>110</v>
      </c>
      <c r="T3797" t="s">
        <v>15673</v>
      </c>
    </row>
    <row r="3798" spans="1:20" customFormat="1" ht="15" x14ac:dyDescent="0.25">
      <c r="A3798" t="s">
        <v>35</v>
      </c>
      <c r="B3798" t="s">
        <v>6747</v>
      </c>
      <c r="C3798" t="str">
        <f>"A0150444"</f>
        <v>A0150444</v>
      </c>
      <c r="D3798" t="s">
        <v>15691</v>
      </c>
      <c r="E3798" t="s">
        <v>15692</v>
      </c>
      <c r="F3798" t="s">
        <v>15693</v>
      </c>
      <c r="G3798" t="s">
        <v>214</v>
      </c>
      <c r="H3798">
        <v>27893</v>
      </c>
      <c r="I3798" t="s">
        <v>30</v>
      </c>
      <c r="J3798" t="s">
        <v>41</v>
      </c>
      <c r="K3798" t="s">
        <v>229</v>
      </c>
      <c r="Q3798">
        <v>0</v>
      </c>
      <c r="R3798">
        <v>120</v>
      </c>
      <c r="S3798">
        <v>120</v>
      </c>
      <c r="T3798" t="s">
        <v>15673</v>
      </c>
    </row>
    <row r="3799" spans="1:20" customFormat="1" ht="15" x14ac:dyDescent="0.25">
      <c r="A3799" t="s">
        <v>35</v>
      </c>
      <c r="B3799" t="s">
        <v>6747</v>
      </c>
      <c r="C3799" t="str">
        <f>"A0125121"</f>
        <v>A0125121</v>
      </c>
      <c r="D3799" t="s">
        <v>15694</v>
      </c>
      <c r="E3799" t="s">
        <v>15695</v>
      </c>
      <c r="F3799" t="s">
        <v>15696</v>
      </c>
      <c r="G3799" t="s">
        <v>214</v>
      </c>
      <c r="H3799">
        <v>28139</v>
      </c>
      <c r="I3799" t="s">
        <v>30</v>
      </c>
      <c r="J3799" t="s">
        <v>41</v>
      </c>
      <c r="K3799" t="s">
        <v>229</v>
      </c>
      <c r="Q3799">
        <v>0</v>
      </c>
      <c r="R3799">
        <v>80</v>
      </c>
      <c r="S3799">
        <v>80</v>
      </c>
      <c r="T3799" t="s">
        <v>15697</v>
      </c>
    </row>
    <row r="3800" spans="1:20" customFormat="1" ht="15" x14ac:dyDescent="0.25">
      <c r="A3800" t="s">
        <v>35</v>
      </c>
      <c r="B3800" t="s">
        <v>6747</v>
      </c>
      <c r="C3800" t="str">
        <f>"A0150446"</f>
        <v>A0150446</v>
      </c>
      <c r="D3800" t="s">
        <v>15698</v>
      </c>
      <c r="E3800" t="s">
        <v>15699</v>
      </c>
      <c r="F3800" t="s">
        <v>14745</v>
      </c>
      <c r="G3800" t="s">
        <v>214</v>
      </c>
      <c r="H3800">
        <v>28025</v>
      </c>
      <c r="I3800" t="s">
        <v>30</v>
      </c>
      <c r="J3800" t="s">
        <v>41</v>
      </c>
      <c r="K3800" t="s">
        <v>229</v>
      </c>
      <c r="Q3800">
        <v>0</v>
      </c>
      <c r="R3800">
        <v>120</v>
      </c>
      <c r="S3800">
        <v>120</v>
      </c>
      <c r="T3800" t="s">
        <v>15673</v>
      </c>
    </row>
    <row r="3801" spans="1:20" customFormat="1" ht="15" x14ac:dyDescent="0.25">
      <c r="A3801" t="s">
        <v>35</v>
      </c>
      <c r="B3801" t="s">
        <v>6747</v>
      </c>
      <c r="C3801" t="str">
        <f>"A0124974"</f>
        <v>A0124974</v>
      </c>
      <c r="D3801" t="s">
        <v>15700</v>
      </c>
      <c r="E3801" t="s">
        <v>15701</v>
      </c>
      <c r="F3801" t="s">
        <v>7825</v>
      </c>
      <c r="G3801" t="s">
        <v>214</v>
      </c>
      <c r="H3801">
        <v>28315</v>
      </c>
      <c r="I3801" t="s">
        <v>30</v>
      </c>
      <c r="J3801" t="s">
        <v>41</v>
      </c>
      <c r="K3801" t="s">
        <v>229</v>
      </c>
      <c r="Q3801">
        <v>0</v>
      </c>
      <c r="R3801">
        <v>90</v>
      </c>
      <c r="S3801">
        <v>90</v>
      </c>
      <c r="T3801" t="s">
        <v>15702</v>
      </c>
    </row>
    <row r="3802" spans="1:20" customFormat="1" ht="15" x14ac:dyDescent="0.25">
      <c r="A3802" t="s">
        <v>24</v>
      </c>
      <c r="B3802" t="s">
        <v>8868</v>
      </c>
      <c r="C3802" t="str">
        <f>"A0086469"</f>
        <v>A0086469</v>
      </c>
      <c r="D3802" t="s">
        <v>15703</v>
      </c>
      <c r="E3802" t="s">
        <v>15704</v>
      </c>
      <c r="F3802" t="s">
        <v>10283</v>
      </c>
      <c r="G3802" t="s">
        <v>846</v>
      </c>
      <c r="H3802">
        <v>30120</v>
      </c>
      <c r="I3802" t="s">
        <v>30</v>
      </c>
      <c r="J3802" t="s">
        <v>31</v>
      </c>
      <c r="K3802" t="s">
        <v>32</v>
      </c>
      <c r="N3802" t="s">
        <v>8588</v>
      </c>
      <c r="Q3802">
        <v>0</v>
      </c>
      <c r="R3802">
        <v>73</v>
      </c>
      <c r="S3802">
        <v>0</v>
      </c>
      <c r="T3802" t="s">
        <v>15705</v>
      </c>
    </row>
    <row r="3803" spans="1:20" customFormat="1" ht="15" x14ac:dyDescent="0.25">
      <c r="A3803" t="s">
        <v>24</v>
      </c>
      <c r="B3803" t="s">
        <v>1567</v>
      </c>
      <c r="C3803" t="str">
        <f>"A0096082"</f>
        <v>A0096082</v>
      </c>
      <c r="D3803" t="s">
        <v>63489</v>
      </c>
      <c r="E3803" t="s">
        <v>63490</v>
      </c>
      <c r="F3803" t="s">
        <v>1871</v>
      </c>
      <c r="G3803" t="s">
        <v>925</v>
      </c>
      <c r="H3803">
        <v>67209</v>
      </c>
      <c r="I3803" t="s">
        <v>30</v>
      </c>
      <c r="J3803" t="s">
        <v>162</v>
      </c>
      <c r="K3803" t="s">
        <v>759</v>
      </c>
      <c r="N3803" t="s">
        <v>1872</v>
      </c>
      <c r="Q3803">
        <v>0</v>
      </c>
      <c r="R3803">
        <v>302</v>
      </c>
      <c r="S3803">
        <v>0</v>
      </c>
      <c r="T3803" t="s">
        <v>63491</v>
      </c>
    </row>
    <row r="3804" spans="1:20" customFormat="1" ht="15" x14ac:dyDescent="0.25">
      <c r="A3804" t="s">
        <v>24</v>
      </c>
      <c r="B3804" t="s">
        <v>4400</v>
      </c>
      <c r="C3804" t="str">
        <f>"A0060009"</f>
        <v>A0060009</v>
      </c>
      <c r="D3804" t="s">
        <v>63492</v>
      </c>
      <c r="E3804" t="s">
        <v>63493</v>
      </c>
      <c r="F3804" t="s">
        <v>63494</v>
      </c>
      <c r="G3804" t="s">
        <v>289</v>
      </c>
      <c r="H3804">
        <v>60191</v>
      </c>
      <c r="I3804" t="s">
        <v>30</v>
      </c>
      <c r="J3804" t="s">
        <v>162</v>
      </c>
      <c r="K3804" t="s">
        <v>759</v>
      </c>
      <c r="N3804" t="s">
        <v>63495</v>
      </c>
      <c r="O3804" t="s">
        <v>63496</v>
      </c>
      <c r="Q3804">
        <v>0</v>
      </c>
      <c r="R3804">
        <v>160</v>
      </c>
      <c r="S3804">
        <v>0</v>
      </c>
      <c r="T3804" t="s">
        <v>63497</v>
      </c>
    </row>
    <row r="3805" spans="1:20" customFormat="1" ht="15" x14ac:dyDescent="0.25">
      <c r="A3805" t="s">
        <v>24</v>
      </c>
      <c r="B3805" t="s">
        <v>1098</v>
      </c>
      <c r="C3805" t="str">
        <f>"A0165803"</f>
        <v>A0165803</v>
      </c>
      <c r="D3805" t="s">
        <v>15714</v>
      </c>
      <c r="E3805" t="s">
        <v>15715</v>
      </c>
      <c r="F3805" t="s">
        <v>1153</v>
      </c>
      <c r="G3805" t="s">
        <v>338</v>
      </c>
      <c r="H3805">
        <v>7114</v>
      </c>
      <c r="I3805" t="s">
        <v>30</v>
      </c>
      <c r="J3805" t="s">
        <v>31</v>
      </c>
      <c r="K3805" t="s">
        <v>296</v>
      </c>
      <c r="Q3805">
        <v>0</v>
      </c>
      <c r="R3805">
        <v>109</v>
      </c>
      <c r="S3805">
        <v>0</v>
      </c>
      <c r="T3805" t="s">
        <v>15716</v>
      </c>
    </row>
    <row r="3806" spans="1:20" customFormat="1" ht="15" x14ac:dyDescent="0.25">
      <c r="A3806" t="s">
        <v>24</v>
      </c>
      <c r="B3806" t="s">
        <v>63506</v>
      </c>
      <c r="C3806" t="str">
        <f>"A0065749"</f>
        <v>A0065749</v>
      </c>
      <c r="D3806" t="s">
        <v>63507</v>
      </c>
      <c r="E3806" t="s">
        <v>63508</v>
      </c>
      <c r="F3806" t="s">
        <v>220</v>
      </c>
      <c r="G3806" t="s">
        <v>221</v>
      </c>
      <c r="H3806">
        <v>89101</v>
      </c>
      <c r="I3806" t="s">
        <v>30</v>
      </c>
      <c r="J3806" t="s">
        <v>162</v>
      </c>
      <c r="K3806" t="s">
        <v>163</v>
      </c>
      <c r="Q3806">
        <v>0</v>
      </c>
      <c r="R3806">
        <v>650</v>
      </c>
      <c r="S3806">
        <v>0</v>
      </c>
      <c r="T3806" t="s">
        <v>63509</v>
      </c>
    </row>
    <row r="3807" spans="1:20" customFormat="1" ht="15" x14ac:dyDescent="0.25">
      <c r="A3807" t="s">
        <v>24</v>
      </c>
      <c r="B3807" t="s">
        <v>193</v>
      </c>
      <c r="C3807" t="str">
        <f>"ECG8015"</f>
        <v>ECG8015</v>
      </c>
      <c r="D3807" t="s">
        <v>15723</v>
      </c>
      <c r="E3807" t="s">
        <v>15724</v>
      </c>
      <c r="F3807" t="s">
        <v>15725</v>
      </c>
      <c r="G3807" t="s">
        <v>289</v>
      </c>
      <c r="H3807">
        <v>60108</v>
      </c>
      <c r="I3807" t="s">
        <v>30</v>
      </c>
      <c r="J3807" t="s">
        <v>145</v>
      </c>
      <c r="K3807" t="s">
        <v>163</v>
      </c>
      <c r="N3807" t="s">
        <v>15726</v>
      </c>
      <c r="O3807" t="s">
        <v>15727</v>
      </c>
      <c r="P3807" t="s">
        <v>6426</v>
      </c>
      <c r="Q3807">
        <v>0</v>
      </c>
      <c r="R3807">
        <v>170</v>
      </c>
      <c r="S3807">
        <v>0</v>
      </c>
      <c r="T3807" t="s">
        <v>15728</v>
      </c>
    </row>
    <row r="3808" spans="1:20" customFormat="1" ht="15" x14ac:dyDescent="0.25">
      <c r="A3808" t="s">
        <v>24</v>
      </c>
      <c r="B3808" t="s">
        <v>8742</v>
      </c>
      <c r="C3808" t="str">
        <f>"A0178651"</f>
        <v>A0178651</v>
      </c>
      <c r="D3808" t="s">
        <v>15729</v>
      </c>
      <c r="E3808" t="s">
        <v>15730</v>
      </c>
      <c r="F3808" t="s">
        <v>15731</v>
      </c>
      <c r="G3808" t="s">
        <v>381</v>
      </c>
      <c r="H3808">
        <v>46052</v>
      </c>
      <c r="I3808" t="s">
        <v>30</v>
      </c>
      <c r="J3808" t="s">
        <v>31</v>
      </c>
      <c r="K3808" t="s">
        <v>198</v>
      </c>
      <c r="Q3808">
        <v>0</v>
      </c>
      <c r="R3808">
        <v>85</v>
      </c>
      <c r="S3808">
        <v>0</v>
      </c>
      <c r="T3808" t="s">
        <v>15732</v>
      </c>
    </row>
    <row r="3809" spans="1:25" customFormat="1" ht="15" x14ac:dyDescent="0.25">
      <c r="A3809" t="s">
        <v>24</v>
      </c>
      <c r="B3809" t="s">
        <v>10734</v>
      </c>
      <c r="C3809" t="str">
        <f>"A0186359"</f>
        <v>A0186359</v>
      </c>
      <c r="D3809" t="s">
        <v>15733</v>
      </c>
      <c r="E3809" t="s">
        <v>15734</v>
      </c>
      <c r="F3809" t="s">
        <v>313</v>
      </c>
      <c r="G3809" t="s">
        <v>314</v>
      </c>
      <c r="H3809">
        <v>20004</v>
      </c>
      <c r="I3809" t="s">
        <v>30</v>
      </c>
      <c r="J3809" t="s">
        <v>1004</v>
      </c>
      <c r="K3809" t="s">
        <v>163</v>
      </c>
      <c r="N3809" t="s">
        <v>15735</v>
      </c>
      <c r="O3809" t="s">
        <v>15736</v>
      </c>
      <c r="Q3809">
        <v>0</v>
      </c>
      <c r="R3809">
        <v>0</v>
      </c>
      <c r="S3809">
        <v>0</v>
      </c>
      <c r="T3809" t="s">
        <v>15737</v>
      </c>
    </row>
    <row r="3810" spans="1:25" x14ac:dyDescent="0.25">
      <c r="A3810" s="5" t="s">
        <v>24</v>
      </c>
      <c r="B3810" s="5" t="s">
        <v>1156</v>
      </c>
      <c r="C3810" s="5" t="str">
        <f>"A0085458"</f>
        <v>A0085458</v>
      </c>
      <c r="D3810" s="5" t="s">
        <v>63519</v>
      </c>
      <c r="E3810" s="5" t="s">
        <v>63520</v>
      </c>
      <c r="F3810" s="5" t="s">
        <v>1159</v>
      </c>
      <c r="G3810" s="5" t="s">
        <v>58</v>
      </c>
      <c r="H3810" s="5">
        <v>29577</v>
      </c>
      <c r="I3810" s="5" t="s">
        <v>30</v>
      </c>
      <c r="J3810" s="5" t="s">
        <v>162</v>
      </c>
      <c r="K3810" s="5" t="s">
        <v>163</v>
      </c>
      <c r="L3810" s="5"/>
      <c r="M3810" s="5"/>
      <c r="N3810" s="5" t="s">
        <v>63521</v>
      </c>
      <c r="O3810" s="5" t="s">
        <v>63522</v>
      </c>
      <c r="P3810" s="5"/>
      <c r="Q3810" s="5">
        <v>0</v>
      </c>
      <c r="R3810" s="5">
        <v>480</v>
      </c>
      <c r="S3810" s="5">
        <v>0</v>
      </c>
      <c r="T3810" s="5" t="s">
        <v>63523</v>
      </c>
      <c r="U3810" s="5"/>
      <c r="V3810" s="5"/>
      <c r="W3810" s="5"/>
      <c r="X3810" s="5"/>
      <c r="Y3810" s="5"/>
    </row>
    <row r="3811" spans="1:25" customFormat="1" ht="15" x14ac:dyDescent="0.25">
      <c r="A3811" t="s">
        <v>24</v>
      </c>
      <c r="B3811" t="s">
        <v>2221</v>
      </c>
      <c r="C3811" t="str">
        <f>"337K1"</f>
        <v>337K1</v>
      </c>
      <c r="D3811" t="s">
        <v>63528</v>
      </c>
      <c r="E3811" t="s">
        <v>63529</v>
      </c>
      <c r="F3811" t="s">
        <v>8935</v>
      </c>
      <c r="G3811" t="s">
        <v>214</v>
      </c>
      <c r="H3811">
        <v>27703</v>
      </c>
      <c r="I3811" t="s">
        <v>30</v>
      </c>
      <c r="J3811" t="s">
        <v>162</v>
      </c>
      <c r="K3811" t="s">
        <v>1490</v>
      </c>
      <c r="N3811" t="s">
        <v>63530</v>
      </c>
      <c r="Q3811">
        <v>0</v>
      </c>
      <c r="R3811">
        <v>225</v>
      </c>
      <c r="S3811">
        <v>0</v>
      </c>
      <c r="T3811" t="s">
        <v>63531</v>
      </c>
    </row>
    <row r="3812" spans="1:25" customFormat="1" ht="15" hidden="1" x14ac:dyDescent="0.25">
      <c r="A3812" t="s">
        <v>24</v>
      </c>
      <c r="B3812" t="s">
        <v>193</v>
      </c>
      <c r="C3812" t="str">
        <f>"A0096949"</f>
        <v>A0096949</v>
      </c>
      <c r="D3812" t="s">
        <v>15750</v>
      </c>
      <c r="E3812" t="s">
        <v>15751</v>
      </c>
      <c r="F3812" t="s">
        <v>10323</v>
      </c>
      <c r="G3812" t="s">
        <v>1457</v>
      </c>
      <c r="H3812" t="s">
        <v>10324</v>
      </c>
      <c r="I3812" t="s">
        <v>1459</v>
      </c>
      <c r="J3812" t="s">
        <v>171</v>
      </c>
      <c r="K3812" t="s">
        <v>163</v>
      </c>
      <c r="N3812" t="s">
        <v>15752</v>
      </c>
      <c r="Q3812">
        <v>0</v>
      </c>
      <c r="R3812">
        <v>83</v>
      </c>
      <c r="S3812">
        <v>0</v>
      </c>
      <c r="T3812" t="s">
        <v>15753</v>
      </c>
    </row>
    <row r="3813" spans="1:25" customFormat="1" ht="15" x14ac:dyDescent="0.25">
      <c r="A3813" t="s">
        <v>24</v>
      </c>
      <c r="B3813" t="s">
        <v>15754</v>
      </c>
      <c r="C3813" t="str">
        <f>"A0063912"</f>
        <v>A0063912</v>
      </c>
      <c r="D3813" t="s">
        <v>15755</v>
      </c>
      <c r="E3813" t="s">
        <v>15756</v>
      </c>
      <c r="F3813" t="s">
        <v>14228</v>
      </c>
      <c r="G3813" t="s">
        <v>1170</v>
      </c>
      <c r="H3813">
        <v>70360</v>
      </c>
      <c r="I3813" t="s">
        <v>30</v>
      </c>
      <c r="J3813" t="s">
        <v>31</v>
      </c>
      <c r="K3813" t="s">
        <v>198</v>
      </c>
      <c r="N3813" t="s">
        <v>15757</v>
      </c>
      <c r="Q3813">
        <v>0</v>
      </c>
      <c r="R3813">
        <v>84</v>
      </c>
      <c r="S3813">
        <v>0</v>
      </c>
      <c r="T3813" t="s">
        <v>15758</v>
      </c>
    </row>
    <row r="3814" spans="1:25" customFormat="1" ht="15" x14ac:dyDescent="0.25">
      <c r="A3814" t="s">
        <v>24</v>
      </c>
      <c r="B3814" t="s">
        <v>193</v>
      </c>
      <c r="C3814" t="str">
        <f>"A0056671"</f>
        <v>A0056671</v>
      </c>
      <c r="D3814" t="s">
        <v>15759</v>
      </c>
      <c r="E3814" t="s">
        <v>15760</v>
      </c>
      <c r="F3814" t="s">
        <v>242</v>
      </c>
      <c r="G3814" t="s">
        <v>214</v>
      </c>
      <c r="H3814">
        <v>28262</v>
      </c>
      <c r="I3814" t="s">
        <v>30</v>
      </c>
      <c r="J3814" t="s">
        <v>2272</v>
      </c>
      <c r="K3814" t="s">
        <v>163</v>
      </c>
      <c r="N3814" t="s">
        <v>15761</v>
      </c>
      <c r="O3814" t="s">
        <v>15762</v>
      </c>
      <c r="Q3814">
        <v>0</v>
      </c>
      <c r="R3814">
        <v>165</v>
      </c>
      <c r="S3814">
        <v>0</v>
      </c>
      <c r="T3814" t="s">
        <v>15763</v>
      </c>
    </row>
    <row r="3815" spans="1:25" customFormat="1" ht="15" x14ac:dyDescent="0.25">
      <c r="A3815" t="s">
        <v>24</v>
      </c>
      <c r="B3815" t="s">
        <v>1098</v>
      </c>
      <c r="C3815" t="str">
        <f>"A0186365"</f>
        <v>A0186365</v>
      </c>
      <c r="D3815" t="s">
        <v>15764</v>
      </c>
      <c r="E3815" t="s">
        <v>15765</v>
      </c>
      <c r="F3815" t="s">
        <v>15766</v>
      </c>
      <c r="G3815" t="s">
        <v>103</v>
      </c>
      <c r="H3815">
        <v>17042</v>
      </c>
      <c r="I3815" t="s">
        <v>30</v>
      </c>
      <c r="J3815" t="s">
        <v>31</v>
      </c>
      <c r="K3815" t="s">
        <v>32</v>
      </c>
      <c r="N3815" t="s">
        <v>15767</v>
      </c>
      <c r="Q3815">
        <v>0</v>
      </c>
      <c r="R3815">
        <v>90</v>
      </c>
      <c r="S3815">
        <v>0</v>
      </c>
      <c r="T3815" t="s">
        <v>15768</v>
      </c>
    </row>
    <row r="3816" spans="1:25" customFormat="1" ht="15" x14ac:dyDescent="0.25">
      <c r="A3816" t="s">
        <v>24</v>
      </c>
      <c r="B3816" t="s">
        <v>2955</v>
      </c>
      <c r="C3816" t="str">
        <f>"A0060467"</f>
        <v>A0060467</v>
      </c>
      <c r="D3816" t="s">
        <v>63532</v>
      </c>
      <c r="E3816" t="s">
        <v>63533</v>
      </c>
      <c r="F3816" t="s">
        <v>997</v>
      </c>
      <c r="G3816" t="s">
        <v>99</v>
      </c>
      <c r="H3816">
        <v>10017</v>
      </c>
      <c r="I3816" t="s">
        <v>30</v>
      </c>
      <c r="J3816" t="s">
        <v>162</v>
      </c>
      <c r="K3816" t="s">
        <v>163</v>
      </c>
      <c r="N3816" t="s">
        <v>63534</v>
      </c>
      <c r="Q3816">
        <v>0</v>
      </c>
      <c r="R3816">
        <v>107</v>
      </c>
      <c r="S3816">
        <v>0</v>
      </c>
      <c r="T3816" t="s">
        <v>63535</v>
      </c>
    </row>
    <row r="3817" spans="1:25" customFormat="1" ht="15" x14ac:dyDescent="0.25">
      <c r="A3817" t="s">
        <v>24</v>
      </c>
      <c r="B3817" t="s">
        <v>15775</v>
      </c>
      <c r="C3817" t="str">
        <f>"A0186369"</f>
        <v>A0186369</v>
      </c>
      <c r="D3817" t="s">
        <v>15776</v>
      </c>
      <c r="E3817" t="s">
        <v>15777</v>
      </c>
      <c r="F3817" t="s">
        <v>2978</v>
      </c>
      <c r="G3817" t="s">
        <v>110</v>
      </c>
      <c r="H3817">
        <v>92109</v>
      </c>
      <c r="I3817" t="s">
        <v>30</v>
      </c>
      <c r="J3817" t="s">
        <v>31</v>
      </c>
      <c r="K3817" t="s">
        <v>32</v>
      </c>
      <c r="N3817" t="s">
        <v>15778</v>
      </c>
      <c r="O3817" t="s">
        <v>15779</v>
      </c>
      <c r="Q3817">
        <v>0</v>
      </c>
      <c r="R3817">
        <v>105</v>
      </c>
      <c r="S3817">
        <v>0</v>
      </c>
      <c r="T3817" t="s">
        <v>15780</v>
      </c>
    </row>
    <row r="3818" spans="1:25" customFormat="1" ht="15" x14ac:dyDescent="0.25">
      <c r="A3818" t="s">
        <v>24</v>
      </c>
      <c r="B3818" t="s">
        <v>15781</v>
      </c>
      <c r="C3818" t="str">
        <f>"A0185651"</f>
        <v>A0185651</v>
      </c>
      <c r="D3818" t="s">
        <v>15782</v>
      </c>
      <c r="E3818" t="s">
        <v>15783</v>
      </c>
      <c r="F3818" t="s">
        <v>7699</v>
      </c>
      <c r="G3818" t="s">
        <v>81</v>
      </c>
      <c r="H3818">
        <v>33762</v>
      </c>
      <c r="I3818" t="s">
        <v>30</v>
      </c>
      <c r="J3818" t="s">
        <v>145</v>
      </c>
      <c r="K3818" t="s">
        <v>302</v>
      </c>
      <c r="N3818" t="s">
        <v>15784</v>
      </c>
      <c r="O3818" t="s">
        <v>15785</v>
      </c>
      <c r="Q3818">
        <v>0</v>
      </c>
      <c r="R3818">
        <v>81</v>
      </c>
      <c r="S3818">
        <v>0</v>
      </c>
      <c r="T3818" t="s">
        <v>15786</v>
      </c>
    </row>
    <row r="3819" spans="1:25" customFormat="1" ht="15" x14ac:dyDescent="0.25">
      <c r="A3819" t="s">
        <v>24</v>
      </c>
      <c r="B3819" t="s">
        <v>1098</v>
      </c>
      <c r="C3819" t="str">
        <f>"A0186364"</f>
        <v>A0186364</v>
      </c>
      <c r="D3819" t="s">
        <v>15787</v>
      </c>
      <c r="E3819" t="s">
        <v>15788</v>
      </c>
      <c r="F3819" t="s">
        <v>15789</v>
      </c>
      <c r="G3819" t="s">
        <v>103</v>
      </c>
      <c r="H3819">
        <v>17837</v>
      </c>
      <c r="I3819" t="s">
        <v>30</v>
      </c>
      <c r="J3819" t="s">
        <v>31</v>
      </c>
      <c r="K3819" t="s">
        <v>32</v>
      </c>
      <c r="N3819" t="s">
        <v>15790</v>
      </c>
      <c r="O3819" t="s">
        <v>15791</v>
      </c>
      <c r="Q3819">
        <v>0</v>
      </c>
      <c r="R3819">
        <v>108</v>
      </c>
      <c r="S3819">
        <v>0</v>
      </c>
      <c r="T3819" t="s">
        <v>15792</v>
      </c>
    </row>
    <row r="3820" spans="1:25" customFormat="1" ht="15" x14ac:dyDescent="0.25">
      <c r="A3820" t="s">
        <v>24</v>
      </c>
      <c r="B3820" t="s">
        <v>63540</v>
      </c>
      <c r="C3820" t="str">
        <f>"A0092377"</f>
        <v>A0092377</v>
      </c>
      <c r="D3820" t="s">
        <v>63541</v>
      </c>
      <c r="E3820" t="s">
        <v>63542</v>
      </c>
      <c r="F3820" t="s">
        <v>8491</v>
      </c>
      <c r="G3820" t="s">
        <v>289</v>
      </c>
      <c r="H3820">
        <v>61036</v>
      </c>
      <c r="I3820" t="s">
        <v>30</v>
      </c>
      <c r="J3820" t="s">
        <v>162</v>
      </c>
      <c r="K3820" t="s">
        <v>163</v>
      </c>
      <c r="N3820" t="s">
        <v>63543</v>
      </c>
      <c r="O3820" t="s">
        <v>63544</v>
      </c>
      <c r="P3820" t="s">
        <v>3998</v>
      </c>
      <c r="Q3820">
        <v>0</v>
      </c>
      <c r="R3820">
        <v>300</v>
      </c>
      <c r="S3820">
        <v>0</v>
      </c>
      <c r="T3820" t="s">
        <v>63545</v>
      </c>
    </row>
    <row r="3821" spans="1:25" customFormat="1" ht="15" x14ac:dyDescent="0.25">
      <c r="A3821" t="s">
        <v>24</v>
      </c>
      <c r="B3821" t="s">
        <v>63577</v>
      </c>
      <c r="C3821" t="str">
        <f>"A0098174"</f>
        <v>A0098174</v>
      </c>
      <c r="D3821" t="s">
        <v>63578</v>
      </c>
      <c r="E3821" t="s">
        <v>63579</v>
      </c>
      <c r="F3821" t="s">
        <v>63580</v>
      </c>
      <c r="G3821" t="s">
        <v>81</v>
      </c>
      <c r="H3821">
        <v>33166</v>
      </c>
      <c r="I3821" t="s">
        <v>30</v>
      </c>
      <c r="J3821" t="s">
        <v>162</v>
      </c>
      <c r="K3821" t="s">
        <v>163</v>
      </c>
      <c r="N3821" t="s">
        <v>63581</v>
      </c>
      <c r="Q3821">
        <v>0</v>
      </c>
      <c r="R3821">
        <v>133</v>
      </c>
      <c r="S3821">
        <v>0</v>
      </c>
      <c r="T3821" t="s">
        <v>63582</v>
      </c>
    </row>
    <row r="3822" spans="1:25" customFormat="1" ht="15" x14ac:dyDescent="0.25">
      <c r="A3822" t="s">
        <v>24</v>
      </c>
      <c r="B3822" t="s">
        <v>63583</v>
      </c>
      <c r="C3822" t="str">
        <f>"A0072770"</f>
        <v>A0072770</v>
      </c>
      <c r="D3822" t="s">
        <v>63584</v>
      </c>
      <c r="E3822" t="s">
        <v>63585</v>
      </c>
      <c r="F3822" t="s">
        <v>1519</v>
      </c>
      <c r="G3822" t="s">
        <v>110</v>
      </c>
      <c r="H3822">
        <v>90015</v>
      </c>
      <c r="I3822" t="s">
        <v>30</v>
      </c>
      <c r="J3822" t="s">
        <v>162</v>
      </c>
      <c r="K3822" t="s">
        <v>163</v>
      </c>
      <c r="N3822" t="s">
        <v>63586</v>
      </c>
      <c r="Q3822">
        <v>0</v>
      </c>
      <c r="R3822">
        <v>178</v>
      </c>
      <c r="S3822">
        <v>0</v>
      </c>
      <c r="T3822" t="s">
        <v>63587</v>
      </c>
    </row>
    <row r="3823" spans="1:25" customFormat="1" ht="15" x14ac:dyDescent="0.25">
      <c r="A3823" t="s">
        <v>24</v>
      </c>
      <c r="B3823" t="s">
        <v>55987</v>
      </c>
      <c r="C3823" t="str">
        <f>"A0059907"</f>
        <v>A0059907</v>
      </c>
      <c r="D3823" t="s">
        <v>63636</v>
      </c>
      <c r="E3823" t="s">
        <v>63637</v>
      </c>
      <c r="F3823" t="s">
        <v>2051</v>
      </c>
      <c r="G3823" t="s">
        <v>161</v>
      </c>
      <c r="H3823">
        <v>55812</v>
      </c>
      <c r="I3823" t="s">
        <v>30</v>
      </c>
      <c r="J3823" t="s">
        <v>162</v>
      </c>
      <c r="K3823" t="s">
        <v>163</v>
      </c>
      <c r="N3823" t="s">
        <v>62534</v>
      </c>
      <c r="O3823" t="s">
        <v>63638</v>
      </c>
      <c r="Q3823">
        <v>0</v>
      </c>
      <c r="R3823">
        <v>230</v>
      </c>
      <c r="S3823">
        <v>0</v>
      </c>
      <c r="T3823" t="s">
        <v>63639</v>
      </c>
    </row>
    <row r="3824" spans="1:25" customFormat="1" ht="15" x14ac:dyDescent="0.25">
      <c r="A3824" t="s">
        <v>24</v>
      </c>
      <c r="B3824" t="s">
        <v>15808</v>
      </c>
      <c r="C3824" t="str">
        <f>"A0096273"</f>
        <v>A0096273</v>
      </c>
      <c r="D3824" t="s">
        <v>15809</v>
      </c>
      <c r="E3824" t="s">
        <v>15810</v>
      </c>
      <c r="F3824" t="s">
        <v>15811</v>
      </c>
      <c r="G3824" t="s">
        <v>81</v>
      </c>
      <c r="H3824">
        <v>33009</v>
      </c>
      <c r="I3824" t="s">
        <v>30</v>
      </c>
      <c r="J3824" t="s">
        <v>1004</v>
      </c>
      <c r="K3824" t="s">
        <v>163</v>
      </c>
      <c r="Q3824">
        <v>0</v>
      </c>
      <c r="R3824">
        <v>0</v>
      </c>
      <c r="S3824">
        <v>0</v>
      </c>
      <c r="T3824" t="s">
        <v>15812</v>
      </c>
    </row>
    <row r="3825" spans="1:20" customFormat="1" ht="15" x14ac:dyDescent="0.25">
      <c r="A3825" t="s">
        <v>24</v>
      </c>
      <c r="B3825" t="s">
        <v>15808</v>
      </c>
      <c r="C3825" t="str">
        <f>"A0098767"</f>
        <v>A0098767</v>
      </c>
      <c r="D3825" t="s">
        <v>15813</v>
      </c>
      <c r="E3825" t="s">
        <v>15814</v>
      </c>
      <c r="F3825" t="s">
        <v>15815</v>
      </c>
      <c r="G3825" t="s">
        <v>81</v>
      </c>
      <c r="H3825">
        <v>33122</v>
      </c>
      <c r="I3825" t="s">
        <v>30</v>
      </c>
      <c r="J3825" t="s">
        <v>3881</v>
      </c>
      <c r="K3825" t="s">
        <v>163</v>
      </c>
      <c r="Q3825">
        <v>0</v>
      </c>
      <c r="R3825">
        <v>0</v>
      </c>
      <c r="S3825">
        <v>0</v>
      </c>
      <c r="T3825" t="s">
        <v>15816</v>
      </c>
    </row>
    <row r="3826" spans="1:20" customFormat="1" ht="15" x14ac:dyDescent="0.25">
      <c r="A3826" t="s">
        <v>24</v>
      </c>
      <c r="B3826" t="s">
        <v>15808</v>
      </c>
      <c r="C3826" t="str">
        <f>"A0096272"</f>
        <v>A0096272</v>
      </c>
      <c r="D3826" t="s">
        <v>15817</v>
      </c>
      <c r="E3826" t="s">
        <v>15810</v>
      </c>
      <c r="F3826" t="s">
        <v>15811</v>
      </c>
      <c r="G3826" t="s">
        <v>81</v>
      </c>
      <c r="H3826">
        <v>33009</v>
      </c>
      <c r="I3826" t="s">
        <v>30</v>
      </c>
      <c r="J3826" t="s">
        <v>1004</v>
      </c>
      <c r="K3826" t="s">
        <v>163</v>
      </c>
      <c r="Q3826">
        <v>0</v>
      </c>
      <c r="R3826">
        <v>0</v>
      </c>
      <c r="S3826">
        <v>0</v>
      </c>
      <c r="T3826" t="s">
        <v>15818</v>
      </c>
    </row>
    <row r="3827" spans="1:20" customFormat="1" ht="15" x14ac:dyDescent="0.25">
      <c r="A3827" t="s">
        <v>24</v>
      </c>
      <c r="B3827" t="s">
        <v>15808</v>
      </c>
      <c r="C3827" t="str">
        <f>"A0096270"</f>
        <v>A0096270</v>
      </c>
      <c r="D3827" t="s">
        <v>15819</v>
      </c>
      <c r="E3827" t="s">
        <v>15820</v>
      </c>
      <c r="F3827" t="s">
        <v>15821</v>
      </c>
      <c r="G3827" t="s">
        <v>52</v>
      </c>
      <c r="H3827">
        <v>75261</v>
      </c>
      <c r="I3827" t="s">
        <v>30</v>
      </c>
      <c r="J3827" t="s">
        <v>1004</v>
      </c>
      <c r="K3827" t="s">
        <v>163</v>
      </c>
      <c r="Q3827">
        <v>0</v>
      </c>
      <c r="R3827">
        <v>0</v>
      </c>
      <c r="S3827">
        <v>0</v>
      </c>
      <c r="T3827" t="s">
        <v>15822</v>
      </c>
    </row>
    <row r="3828" spans="1:20" customFormat="1" ht="15" x14ac:dyDescent="0.25">
      <c r="A3828" t="s">
        <v>24</v>
      </c>
      <c r="B3828" t="s">
        <v>15808</v>
      </c>
      <c r="C3828" t="str">
        <f>"A0096175"</f>
        <v>A0096175</v>
      </c>
      <c r="D3828" t="s">
        <v>15823</v>
      </c>
      <c r="E3828" t="s">
        <v>15824</v>
      </c>
      <c r="F3828" t="s">
        <v>1003</v>
      </c>
      <c r="G3828" t="s">
        <v>81</v>
      </c>
      <c r="H3828">
        <v>33139</v>
      </c>
      <c r="I3828" t="s">
        <v>30</v>
      </c>
      <c r="J3828" t="s">
        <v>1004</v>
      </c>
      <c r="K3828" t="s">
        <v>163</v>
      </c>
      <c r="Q3828">
        <v>0</v>
      </c>
      <c r="R3828">
        <v>0</v>
      </c>
      <c r="S3828">
        <v>0</v>
      </c>
      <c r="T3828" t="s">
        <v>15825</v>
      </c>
    </row>
    <row r="3829" spans="1:20" customFormat="1" ht="15" x14ac:dyDescent="0.25">
      <c r="A3829" t="s">
        <v>35</v>
      </c>
      <c r="B3829" t="s">
        <v>61</v>
      </c>
      <c r="C3829" t="str">
        <f>"A0186354"</f>
        <v>A0186354</v>
      </c>
      <c r="D3829" t="s">
        <v>15826</v>
      </c>
      <c r="E3829" t="s">
        <v>15827</v>
      </c>
      <c r="F3829" t="s">
        <v>15828</v>
      </c>
      <c r="G3829" t="s">
        <v>85</v>
      </c>
      <c r="H3829">
        <v>71638</v>
      </c>
      <c r="I3829" t="s">
        <v>30</v>
      </c>
      <c r="J3829" t="s">
        <v>41</v>
      </c>
      <c r="K3829" t="s">
        <v>229</v>
      </c>
      <c r="Q3829">
        <v>0</v>
      </c>
      <c r="R3829">
        <v>70</v>
      </c>
      <c r="S3829">
        <v>70</v>
      </c>
      <c r="T3829" t="s">
        <v>15829</v>
      </c>
    </row>
    <row r="3830" spans="1:20" customFormat="1" ht="15" x14ac:dyDescent="0.25">
      <c r="A3830" t="s">
        <v>35</v>
      </c>
      <c r="B3830" t="s">
        <v>935</v>
      </c>
      <c r="C3830" t="str">
        <f>"A0186353"</f>
        <v>A0186353</v>
      </c>
      <c r="D3830" t="s">
        <v>15830</v>
      </c>
      <c r="E3830" t="s">
        <v>15831</v>
      </c>
      <c r="F3830" t="s">
        <v>15832</v>
      </c>
      <c r="G3830" t="s">
        <v>1184</v>
      </c>
      <c r="H3830">
        <v>59601</v>
      </c>
      <c r="I3830" t="s">
        <v>30</v>
      </c>
      <c r="J3830" t="s">
        <v>41</v>
      </c>
      <c r="K3830" t="s">
        <v>59</v>
      </c>
      <c r="Q3830">
        <v>0</v>
      </c>
      <c r="R3830">
        <v>63</v>
      </c>
      <c r="S3830">
        <v>63</v>
      </c>
      <c r="T3830" t="s">
        <v>15833</v>
      </c>
    </row>
    <row r="3831" spans="1:20" customFormat="1" ht="15" x14ac:dyDescent="0.25">
      <c r="A3831" t="s">
        <v>35</v>
      </c>
      <c r="B3831" t="s">
        <v>119</v>
      </c>
      <c r="C3831" t="str">
        <f>"A0186352"</f>
        <v>A0186352</v>
      </c>
      <c r="D3831" t="s">
        <v>15834</v>
      </c>
      <c r="E3831" t="s">
        <v>15835</v>
      </c>
      <c r="F3831" t="s">
        <v>4108</v>
      </c>
      <c r="G3831" t="s">
        <v>29</v>
      </c>
      <c r="H3831">
        <v>24012</v>
      </c>
      <c r="I3831" t="s">
        <v>30</v>
      </c>
      <c r="J3831" t="s">
        <v>41</v>
      </c>
      <c r="K3831" t="s">
        <v>59</v>
      </c>
      <c r="Q3831">
        <v>0</v>
      </c>
      <c r="R3831">
        <v>0</v>
      </c>
      <c r="S3831">
        <v>0</v>
      </c>
      <c r="T3831" t="s">
        <v>72</v>
      </c>
    </row>
    <row r="3832" spans="1:20" customFormat="1" ht="15" x14ac:dyDescent="0.25">
      <c r="A3832" t="s">
        <v>35</v>
      </c>
      <c r="B3832" t="s">
        <v>15836</v>
      </c>
      <c r="C3832" t="str">
        <f>"A0186351"</f>
        <v>A0186351</v>
      </c>
      <c r="D3832" t="s">
        <v>15837</v>
      </c>
      <c r="E3832" t="s">
        <v>15838</v>
      </c>
      <c r="F3832" t="s">
        <v>15839</v>
      </c>
      <c r="G3832" t="s">
        <v>137</v>
      </c>
      <c r="H3832">
        <v>64068</v>
      </c>
      <c r="I3832" t="s">
        <v>30</v>
      </c>
      <c r="J3832" t="s">
        <v>41</v>
      </c>
      <c r="K3832" t="s">
        <v>2477</v>
      </c>
      <c r="Q3832">
        <v>0</v>
      </c>
      <c r="R3832">
        <v>0</v>
      </c>
      <c r="S3832">
        <v>0</v>
      </c>
      <c r="T3832" t="s">
        <v>72</v>
      </c>
    </row>
    <row r="3833" spans="1:20" customFormat="1" ht="15" x14ac:dyDescent="0.25">
      <c r="A3833" t="s">
        <v>35</v>
      </c>
      <c r="B3833" t="s">
        <v>5690</v>
      </c>
      <c r="C3833" t="str">
        <f>"A0186350"</f>
        <v>A0186350</v>
      </c>
      <c r="D3833" t="s">
        <v>5690</v>
      </c>
      <c r="E3833" t="s">
        <v>15840</v>
      </c>
      <c r="F3833" t="s">
        <v>1948</v>
      </c>
      <c r="G3833" t="s">
        <v>338</v>
      </c>
      <c r="H3833">
        <v>8701</v>
      </c>
      <c r="I3833" t="s">
        <v>30</v>
      </c>
      <c r="J3833" t="s">
        <v>41</v>
      </c>
      <c r="K3833" t="s">
        <v>290</v>
      </c>
      <c r="Q3833">
        <v>0</v>
      </c>
      <c r="R3833">
        <v>0</v>
      </c>
      <c r="S3833">
        <v>0</v>
      </c>
      <c r="T3833" t="s">
        <v>72</v>
      </c>
    </row>
    <row r="3834" spans="1:20" customFormat="1" ht="15" x14ac:dyDescent="0.25">
      <c r="A3834" t="s">
        <v>35</v>
      </c>
      <c r="B3834" t="s">
        <v>15841</v>
      </c>
      <c r="C3834" t="str">
        <f>"A0186349"</f>
        <v>A0186349</v>
      </c>
      <c r="D3834" t="s">
        <v>15842</v>
      </c>
      <c r="E3834" t="s">
        <v>15843</v>
      </c>
      <c r="F3834" t="s">
        <v>15844</v>
      </c>
      <c r="G3834" t="s">
        <v>117</v>
      </c>
      <c r="H3834">
        <v>48059</v>
      </c>
      <c r="I3834" t="s">
        <v>30</v>
      </c>
      <c r="J3834" t="s">
        <v>41</v>
      </c>
      <c r="K3834" t="s">
        <v>4020</v>
      </c>
      <c r="Q3834">
        <v>0</v>
      </c>
      <c r="R3834">
        <v>0</v>
      </c>
      <c r="S3834">
        <v>0</v>
      </c>
      <c r="T3834" t="s">
        <v>15845</v>
      </c>
    </row>
    <row r="3835" spans="1:20" customFormat="1" ht="15" x14ac:dyDescent="0.25">
      <c r="A3835" t="s">
        <v>35</v>
      </c>
      <c r="B3835" t="s">
        <v>61</v>
      </c>
      <c r="C3835" t="str">
        <f>"A0129237"</f>
        <v>A0129237</v>
      </c>
      <c r="D3835" t="s">
        <v>15846</v>
      </c>
      <c r="E3835" t="s">
        <v>15847</v>
      </c>
      <c r="F3835" t="s">
        <v>15848</v>
      </c>
      <c r="G3835" t="s">
        <v>289</v>
      </c>
      <c r="H3835">
        <v>62223</v>
      </c>
      <c r="I3835" t="s">
        <v>30</v>
      </c>
      <c r="J3835" t="s">
        <v>41</v>
      </c>
      <c r="K3835" t="s">
        <v>229</v>
      </c>
      <c r="Q3835">
        <v>0</v>
      </c>
      <c r="R3835">
        <v>100</v>
      </c>
      <c r="S3835">
        <v>100</v>
      </c>
      <c r="T3835" t="s">
        <v>15849</v>
      </c>
    </row>
    <row r="3836" spans="1:20" customFormat="1" ht="15" x14ac:dyDescent="0.25">
      <c r="A3836" t="s">
        <v>24</v>
      </c>
      <c r="B3836" t="s">
        <v>1288</v>
      </c>
      <c r="C3836" t="str">
        <f>"A0096319"</f>
        <v>A0096319</v>
      </c>
      <c r="D3836" t="s">
        <v>15850</v>
      </c>
      <c r="E3836" t="s">
        <v>15851</v>
      </c>
      <c r="F3836" t="s">
        <v>15852</v>
      </c>
      <c r="G3836" t="s">
        <v>103</v>
      </c>
      <c r="H3836">
        <v>19090</v>
      </c>
      <c r="I3836" t="s">
        <v>30</v>
      </c>
      <c r="J3836" t="s">
        <v>31</v>
      </c>
      <c r="K3836" t="s">
        <v>32</v>
      </c>
      <c r="N3836" t="s">
        <v>15853</v>
      </c>
      <c r="Q3836">
        <v>0</v>
      </c>
      <c r="R3836">
        <v>108</v>
      </c>
      <c r="S3836">
        <v>0</v>
      </c>
      <c r="T3836" t="s">
        <v>15854</v>
      </c>
    </row>
    <row r="3837" spans="1:20" customFormat="1" ht="15" x14ac:dyDescent="0.25">
      <c r="A3837" t="s">
        <v>24</v>
      </c>
      <c r="B3837" t="s">
        <v>2812</v>
      </c>
      <c r="C3837" t="str">
        <f>"A0088724"</f>
        <v>A0088724</v>
      </c>
      <c r="D3837" t="s">
        <v>63798</v>
      </c>
      <c r="E3837" t="s">
        <v>63799</v>
      </c>
      <c r="F3837" t="s">
        <v>845</v>
      </c>
      <c r="G3837" t="s">
        <v>846</v>
      </c>
      <c r="H3837">
        <v>30338</v>
      </c>
      <c r="I3837" t="s">
        <v>30</v>
      </c>
      <c r="J3837" t="s">
        <v>162</v>
      </c>
      <c r="K3837" t="s">
        <v>266</v>
      </c>
      <c r="N3837" t="s">
        <v>63800</v>
      </c>
      <c r="O3837" t="s">
        <v>63801</v>
      </c>
      <c r="Q3837">
        <v>0</v>
      </c>
      <c r="R3837">
        <v>241</v>
      </c>
      <c r="S3837">
        <v>0</v>
      </c>
      <c r="T3837" t="s">
        <v>63802</v>
      </c>
    </row>
    <row r="3838" spans="1:20" customFormat="1" ht="15" x14ac:dyDescent="0.25">
      <c r="A3838" t="s">
        <v>24</v>
      </c>
      <c r="B3838" t="s">
        <v>13299</v>
      </c>
      <c r="C3838" t="str">
        <f>"A0087393"</f>
        <v>A0087393</v>
      </c>
      <c r="D3838" t="s">
        <v>63803</v>
      </c>
      <c r="E3838" t="s">
        <v>63804</v>
      </c>
      <c r="F3838" t="s">
        <v>6698</v>
      </c>
      <c r="G3838" t="s">
        <v>289</v>
      </c>
      <c r="H3838">
        <v>60148</v>
      </c>
      <c r="I3838" t="s">
        <v>30</v>
      </c>
      <c r="J3838" t="s">
        <v>162</v>
      </c>
      <c r="K3838" t="s">
        <v>266</v>
      </c>
      <c r="N3838" t="s">
        <v>63805</v>
      </c>
      <c r="Q3838">
        <v>0</v>
      </c>
      <c r="R3838">
        <v>262</v>
      </c>
      <c r="S3838">
        <v>0</v>
      </c>
      <c r="T3838" t="s">
        <v>63806</v>
      </c>
    </row>
    <row r="3839" spans="1:20" customFormat="1" ht="15" x14ac:dyDescent="0.25">
      <c r="A3839" t="s">
        <v>24</v>
      </c>
      <c r="B3839" t="s">
        <v>2917</v>
      </c>
      <c r="C3839" t="str">
        <f>"A0088521"</f>
        <v>A0088521</v>
      </c>
      <c r="D3839" t="s">
        <v>63807</v>
      </c>
      <c r="E3839" t="s">
        <v>63808</v>
      </c>
      <c r="F3839" t="s">
        <v>9431</v>
      </c>
      <c r="G3839" t="s">
        <v>381</v>
      </c>
      <c r="H3839">
        <v>46268</v>
      </c>
      <c r="I3839" t="s">
        <v>30</v>
      </c>
      <c r="J3839" t="s">
        <v>162</v>
      </c>
      <c r="K3839" t="s">
        <v>266</v>
      </c>
      <c r="N3839" t="s">
        <v>63809</v>
      </c>
      <c r="O3839" t="s">
        <v>63810</v>
      </c>
      <c r="Q3839">
        <v>0</v>
      </c>
      <c r="R3839">
        <v>221</v>
      </c>
      <c r="S3839">
        <v>0</v>
      </c>
      <c r="T3839" t="s">
        <v>63811</v>
      </c>
    </row>
    <row r="3840" spans="1:20" customFormat="1" ht="15" x14ac:dyDescent="0.25">
      <c r="A3840" t="s">
        <v>24</v>
      </c>
      <c r="B3840" t="s">
        <v>56277</v>
      </c>
      <c r="C3840" t="str">
        <f>"A0085984"</f>
        <v>A0085984</v>
      </c>
      <c r="D3840" t="s">
        <v>63816</v>
      </c>
      <c r="E3840" t="s">
        <v>63817</v>
      </c>
      <c r="F3840" t="s">
        <v>34900</v>
      </c>
      <c r="G3840" t="s">
        <v>1587</v>
      </c>
      <c r="H3840">
        <v>87102</v>
      </c>
      <c r="I3840" t="s">
        <v>30</v>
      </c>
      <c r="J3840" t="s">
        <v>162</v>
      </c>
      <c r="K3840" t="s">
        <v>266</v>
      </c>
      <c r="N3840" t="s">
        <v>63818</v>
      </c>
      <c r="O3840" t="s">
        <v>63819</v>
      </c>
      <c r="Q3840">
        <v>0</v>
      </c>
      <c r="R3840">
        <v>261</v>
      </c>
      <c r="S3840">
        <v>0</v>
      </c>
      <c r="T3840" t="s">
        <v>63820</v>
      </c>
    </row>
    <row r="3841" spans="1:20" customFormat="1" ht="15" x14ac:dyDescent="0.25">
      <c r="A3841" t="s">
        <v>24</v>
      </c>
      <c r="B3841" t="s">
        <v>63821</v>
      </c>
      <c r="C3841" t="str">
        <f>"A0064551"</f>
        <v>A0064551</v>
      </c>
      <c r="D3841" t="s">
        <v>63822</v>
      </c>
      <c r="E3841" t="s">
        <v>63823</v>
      </c>
      <c r="F3841" t="s">
        <v>1883</v>
      </c>
      <c r="G3841" t="s">
        <v>846</v>
      </c>
      <c r="H3841">
        <v>30022</v>
      </c>
      <c r="I3841" t="s">
        <v>30</v>
      </c>
      <c r="J3841" t="s">
        <v>162</v>
      </c>
      <c r="K3841" t="s">
        <v>266</v>
      </c>
      <c r="N3841" t="s">
        <v>63824</v>
      </c>
      <c r="O3841" t="s">
        <v>63446</v>
      </c>
      <c r="Q3841">
        <v>0</v>
      </c>
      <c r="R3841">
        <v>150</v>
      </c>
      <c r="S3841">
        <v>0</v>
      </c>
      <c r="T3841" t="s">
        <v>63825</v>
      </c>
    </row>
    <row r="3842" spans="1:20" customFormat="1" ht="15" x14ac:dyDescent="0.25">
      <c r="A3842" t="s">
        <v>24</v>
      </c>
      <c r="B3842" t="s">
        <v>8579</v>
      </c>
      <c r="C3842" t="str">
        <f>"A0086351"</f>
        <v>A0086351</v>
      </c>
      <c r="D3842" t="s">
        <v>63826</v>
      </c>
      <c r="E3842" t="s">
        <v>63827</v>
      </c>
      <c r="F3842" t="s">
        <v>3048</v>
      </c>
      <c r="G3842" t="s">
        <v>3049</v>
      </c>
      <c r="H3842">
        <v>99503</v>
      </c>
      <c r="I3842" t="s">
        <v>30</v>
      </c>
      <c r="J3842" t="s">
        <v>162</v>
      </c>
      <c r="K3842" t="s">
        <v>266</v>
      </c>
      <c r="N3842" t="s">
        <v>63828</v>
      </c>
      <c r="Q3842">
        <v>0</v>
      </c>
      <c r="R3842">
        <v>169</v>
      </c>
      <c r="S3842">
        <v>0</v>
      </c>
      <c r="T3842" t="s">
        <v>63829</v>
      </c>
    </row>
    <row r="3843" spans="1:20" customFormat="1" ht="15" x14ac:dyDescent="0.25">
      <c r="A3843" t="s">
        <v>35</v>
      </c>
      <c r="B3843" t="s">
        <v>15885</v>
      </c>
      <c r="C3843" t="str">
        <f>"A0117700"</f>
        <v>A0117700</v>
      </c>
      <c r="D3843" t="s">
        <v>15886</v>
      </c>
      <c r="E3843" t="s">
        <v>15887</v>
      </c>
      <c r="F3843" t="s">
        <v>4108</v>
      </c>
      <c r="G3843" t="s">
        <v>29</v>
      </c>
      <c r="H3843">
        <v>24019</v>
      </c>
      <c r="I3843" t="s">
        <v>30</v>
      </c>
      <c r="J3843" t="s">
        <v>41</v>
      </c>
      <c r="K3843" t="s">
        <v>104</v>
      </c>
      <c r="Q3843">
        <v>0</v>
      </c>
      <c r="R3843">
        <v>0</v>
      </c>
      <c r="S3843">
        <v>0</v>
      </c>
      <c r="T3843" t="s">
        <v>15888</v>
      </c>
    </row>
    <row r="3844" spans="1:20" customFormat="1" ht="15" x14ac:dyDescent="0.25">
      <c r="A3844" t="s">
        <v>35</v>
      </c>
      <c r="B3844" t="s">
        <v>15885</v>
      </c>
      <c r="C3844" t="str">
        <f>"A0123928"</f>
        <v>A0123928</v>
      </c>
      <c r="D3844" t="s">
        <v>15889</v>
      </c>
      <c r="E3844" t="s">
        <v>15890</v>
      </c>
      <c r="F3844" t="s">
        <v>1795</v>
      </c>
      <c r="G3844" t="s">
        <v>29</v>
      </c>
      <c r="H3844">
        <v>23230</v>
      </c>
      <c r="I3844" t="s">
        <v>30</v>
      </c>
      <c r="J3844" t="s">
        <v>41</v>
      </c>
      <c r="K3844" t="s">
        <v>2463</v>
      </c>
      <c r="Q3844">
        <v>0</v>
      </c>
      <c r="R3844">
        <v>0</v>
      </c>
      <c r="S3844">
        <v>0</v>
      </c>
      <c r="T3844" t="s">
        <v>15891</v>
      </c>
    </row>
    <row r="3845" spans="1:20" customFormat="1" ht="15" x14ac:dyDescent="0.25">
      <c r="A3845" t="s">
        <v>24</v>
      </c>
      <c r="B3845" t="s">
        <v>63821</v>
      </c>
      <c r="C3845" t="str">
        <f>"A0074948"</f>
        <v>A0074948</v>
      </c>
      <c r="D3845" t="s">
        <v>63830</v>
      </c>
      <c r="E3845" t="s">
        <v>63831</v>
      </c>
      <c r="F3845" t="s">
        <v>698</v>
      </c>
      <c r="G3845" t="s">
        <v>110</v>
      </c>
      <c r="H3845">
        <v>91006</v>
      </c>
      <c r="I3845" t="s">
        <v>30</v>
      </c>
      <c r="J3845" t="s">
        <v>162</v>
      </c>
      <c r="K3845" t="s">
        <v>266</v>
      </c>
      <c r="N3845" t="s">
        <v>63832</v>
      </c>
      <c r="Q3845">
        <v>0</v>
      </c>
      <c r="R3845">
        <v>192</v>
      </c>
      <c r="S3845">
        <v>0</v>
      </c>
      <c r="T3845" t="s">
        <v>63833</v>
      </c>
    </row>
    <row r="3846" spans="1:20" customFormat="1" ht="15" x14ac:dyDescent="0.25">
      <c r="A3846" t="s">
        <v>35</v>
      </c>
      <c r="B3846" t="s">
        <v>106</v>
      </c>
      <c r="C3846" t="str">
        <f>"A0135729"</f>
        <v>A0135729</v>
      </c>
      <c r="D3846" t="s">
        <v>15897</v>
      </c>
      <c r="E3846" t="s">
        <v>15898</v>
      </c>
      <c r="F3846" t="s">
        <v>5257</v>
      </c>
      <c r="G3846" t="s">
        <v>52</v>
      </c>
      <c r="H3846">
        <v>77005</v>
      </c>
      <c r="I3846" t="s">
        <v>30</v>
      </c>
      <c r="J3846" t="s">
        <v>111</v>
      </c>
      <c r="K3846" t="s">
        <v>112</v>
      </c>
      <c r="Q3846">
        <v>0</v>
      </c>
      <c r="R3846">
        <v>0</v>
      </c>
      <c r="S3846">
        <v>0</v>
      </c>
      <c r="T3846" t="s">
        <v>15899</v>
      </c>
    </row>
    <row r="3847" spans="1:20" customFormat="1" ht="15" x14ac:dyDescent="0.25">
      <c r="A3847" t="s">
        <v>35</v>
      </c>
      <c r="B3847" t="s">
        <v>106</v>
      </c>
      <c r="C3847" t="str">
        <f>"A0135725"</f>
        <v>A0135725</v>
      </c>
      <c r="D3847" t="s">
        <v>15900</v>
      </c>
      <c r="E3847" t="s">
        <v>15901</v>
      </c>
      <c r="F3847" t="s">
        <v>5257</v>
      </c>
      <c r="G3847" t="s">
        <v>52</v>
      </c>
      <c r="H3847">
        <v>770050000</v>
      </c>
      <c r="I3847" t="s">
        <v>30</v>
      </c>
      <c r="J3847" t="s">
        <v>111</v>
      </c>
      <c r="K3847" t="s">
        <v>112</v>
      </c>
      <c r="Q3847">
        <v>0</v>
      </c>
      <c r="R3847">
        <v>0</v>
      </c>
      <c r="S3847">
        <v>0</v>
      </c>
      <c r="T3847" t="s">
        <v>15899</v>
      </c>
    </row>
    <row r="3848" spans="1:20" customFormat="1" ht="15" x14ac:dyDescent="0.25">
      <c r="A3848" t="s">
        <v>35</v>
      </c>
      <c r="B3848" t="s">
        <v>106</v>
      </c>
      <c r="C3848" t="str">
        <f>"A0135724"</f>
        <v>A0135724</v>
      </c>
      <c r="D3848" t="s">
        <v>15902</v>
      </c>
      <c r="E3848" t="s">
        <v>15898</v>
      </c>
      <c r="F3848" t="s">
        <v>5257</v>
      </c>
      <c r="G3848" t="s">
        <v>52</v>
      </c>
      <c r="H3848">
        <v>770050000</v>
      </c>
      <c r="I3848" t="s">
        <v>30</v>
      </c>
      <c r="J3848" t="s">
        <v>111</v>
      </c>
      <c r="K3848" t="s">
        <v>10012</v>
      </c>
      <c r="Q3848">
        <v>0</v>
      </c>
      <c r="R3848">
        <v>0</v>
      </c>
      <c r="S3848">
        <v>0</v>
      </c>
      <c r="T3848" t="s">
        <v>15903</v>
      </c>
    </row>
    <row r="3849" spans="1:20" customFormat="1" ht="15" x14ac:dyDescent="0.25">
      <c r="A3849" t="s">
        <v>35</v>
      </c>
      <c r="B3849" t="s">
        <v>106</v>
      </c>
      <c r="C3849" t="str">
        <f>"A0135723"</f>
        <v>A0135723</v>
      </c>
      <c r="D3849" t="s">
        <v>15904</v>
      </c>
      <c r="E3849" t="s">
        <v>15898</v>
      </c>
      <c r="F3849" t="s">
        <v>5257</v>
      </c>
      <c r="G3849" t="s">
        <v>52</v>
      </c>
      <c r="H3849">
        <v>77005</v>
      </c>
      <c r="I3849" t="s">
        <v>30</v>
      </c>
      <c r="J3849" t="s">
        <v>111</v>
      </c>
      <c r="K3849" t="s">
        <v>10012</v>
      </c>
      <c r="Q3849">
        <v>0</v>
      </c>
      <c r="R3849">
        <v>0</v>
      </c>
      <c r="S3849">
        <v>0</v>
      </c>
      <c r="T3849" t="s">
        <v>15905</v>
      </c>
    </row>
    <row r="3850" spans="1:20" customFormat="1" ht="15" x14ac:dyDescent="0.25">
      <c r="A3850" t="s">
        <v>35</v>
      </c>
      <c r="B3850" t="s">
        <v>106</v>
      </c>
      <c r="C3850" t="str">
        <f>"A0135722"</f>
        <v>A0135722</v>
      </c>
      <c r="D3850" t="s">
        <v>15906</v>
      </c>
      <c r="E3850" t="s">
        <v>15901</v>
      </c>
      <c r="F3850" t="s">
        <v>5257</v>
      </c>
      <c r="G3850" t="s">
        <v>52</v>
      </c>
      <c r="H3850">
        <v>770050000</v>
      </c>
      <c r="I3850" t="s">
        <v>30</v>
      </c>
      <c r="J3850" t="s">
        <v>111</v>
      </c>
      <c r="K3850" t="s">
        <v>10012</v>
      </c>
      <c r="Q3850">
        <v>0</v>
      </c>
      <c r="R3850">
        <v>0</v>
      </c>
      <c r="S3850">
        <v>0</v>
      </c>
      <c r="T3850" t="s">
        <v>15903</v>
      </c>
    </row>
    <row r="3851" spans="1:20" customFormat="1" ht="15" x14ac:dyDescent="0.25">
      <c r="A3851" t="s">
        <v>35</v>
      </c>
      <c r="B3851" t="s">
        <v>106</v>
      </c>
      <c r="C3851" t="str">
        <f>"A0135721"</f>
        <v>A0135721</v>
      </c>
      <c r="D3851" t="s">
        <v>15907</v>
      </c>
      <c r="E3851" t="s">
        <v>15908</v>
      </c>
      <c r="F3851" t="s">
        <v>5257</v>
      </c>
      <c r="G3851" t="s">
        <v>52</v>
      </c>
      <c r="H3851">
        <v>770050000</v>
      </c>
      <c r="I3851" t="s">
        <v>30</v>
      </c>
      <c r="J3851" t="s">
        <v>111</v>
      </c>
      <c r="K3851" t="s">
        <v>10012</v>
      </c>
      <c r="Q3851">
        <v>0</v>
      </c>
      <c r="R3851">
        <v>0</v>
      </c>
      <c r="S3851">
        <v>0</v>
      </c>
      <c r="T3851" t="s">
        <v>15909</v>
      </c>
    </row>
    <row r="3852" spans="1:20" customFormat="1" ht="15" x14ac:dyDescent="0.25">
      <c r="A3852" t="s">
        <v>35</v>
      </c>
      <c r="B3852" t="s">
        <v>106</v>
      </c>
      <c r="C3852" t="str">
        <f>"A0135720"</f>
        <v>A0135720</v>
      </c>
      <c r="D3852" t="s">
        <v>15910</v>
      </c>
      <c r="E3852" t="s">
        <v>15898</v>
      </c>
      <c r="F3852" t="s">
        <v>5257</v>
      </c>
      <c r="G3852" t="s">
        <v>52</v>
      </c>
      <c r="H3852">
        <v>770050000</v>
      </c>
      <c r="I3852" t="s">
        <v>30</v>
      </c>
      <c r="J3852" t="s">
        <v>111</v>
      </c>
      <c r="K3852" t="s">
        <v>10012</v>
      </c>
      <c r="Q3852">
        <v>0</v>
      </c>
      <c r="R3852">
        <v>0</v>
      </c>
      <c r="S3852">
        <v>0</v>
      </c>
      <c r="T3852" t="s">
        <v>15903</v>
      </c>
    </row>
    <row r="3853" spans="1:20" customFormat="1" ht="15" x14ac:dyDescent="0.25">
      <c r="A3853" t="s">
        <v>35</v>
      </c>
      <c r="B3853" t="s">
        <v>106</v>
      </c>
      <c r="C3853" t="str">
        <f>"A0135728"</f>
        <v>A0135728</v>
      </c>
      <c r="D3853" t="s">
        <v>15911</v>
      </c>
      <c r="E3853" t="s">
        <v>15912</v>
      </c>
      <c r="F3853" t="s">
        <v>5257</v>
      </c>
      <c r="G3853" t="s">
        <v>52</v>
      </c>
      <c r="H3853">
        <v>77005</v>
      </c>
      <c r="I3853" t="s">
        <v>30</v>
      </c>
      <c r="J3853" t="s">
        <v>111</v>
      </c>
      <c r="K3853" t="s">
        <v>112</v>
      </c>
      <c r="Q3853">
        <v>0</v>
      </c>
      <c r="R3853">
        <v>0</v>
      </c>
      <c r="S3853">
        <v>0</v>
      </c>
      <c r="T3853" t="s">
        <v>15909</v>
      </c>
    </row>
    <row r="3854" spans="1:20" customFormat="1" ht="15" x14ac:dyDescent="0.25">
      <c r="A3854" t="s">
        <v>35</v>
      </c>
      <c r="B3854" t="s">
        <v>106</v>
      </c>
      <c r="C3854" t="str">
        <f>"A0135727"</f>
        <v>A0135727</v>
      </c>
      <c r="D3854" t="s">
        <v>15913</v>
      </c>
      <c r="E3854" t="s">
        <v>15914</v>
      </c>
      <c r="F3854" t="s">
        <v>5257</v>
      </c>
      <c r="G3854" t="s">
        <v>52</v>
      </c>
      <c r="H3854">
        <v>770050000</v>
      </c>
      <c r="I3854" t="s">
        <v>30</v>
      </c>
      <c r="J3854" t="s">
        <v>111</v>
      </c>
      <c r="K3854" t="s">
        <v>112</v>
      </c>
      <c r="Q3854">
        <v>0</v>
      </c>
      <c r="R3854">
        <v>0</v>
      </c>
      <c r="S3854">
        <v>0</v>
      </c>
      <c r="T3854" t="s">
        <v>15909</v>
      </c>
    </row>
    <row r="3855" spans="1:20" customFormat="1" ht="15" x14ac:dyDescent="0.25">
      <c r="A3855" t="s">
        <v>35</v>
      </c>
      <c r="B3855" t="s">
        <v>106</v>
      </c>
      <c r="C3855" t="str">
        <f>"A0135719"</f>
        <v>A0135719</v>
      </c>
      <c r="D3855" t="s">
        <v>15915</v>
      </c>
      <c r="E3855" t="s">
        <v>15898</v>
      </c>
      <c r="F3855" t="s">
        <v>5257</v>
      </c>
      <c r="G3855" t="s">
        <v>52</v>
      </c>
      <c r="H3855">
        <v>770050000</v>
      </c>
      <c r="I3855" t="s">
        <v>30</v>
      </c>
      <c r="J3855" t="s">
        <v>111</v>
      </c>
      <c r="K3855" t="s">
        <v>10012</v>
      </c>
      <c r="Q3855">
        <v>0</v>
      </c>
      <c r="R3855">
        <v>0</v>
      </c>
      <c r="S3855">
        <v>0</v>
      </c>
      <c r="T3855" t="s">
        <v>15903</v>
      </c>
    </row>
    <row r="3856" spans="1:20" customFormat="1" ht="15" x14ac:dyDescent="0.25">
      <c r="A3856" t="s">
        <v>24</v>
      </c>
      <c r="B3856" t="s">
        <v>15916</v>
      </c>
      <c r="C3856" t="str">
        <f>"A0185649"</f>
        <v>A0185649</v>
      </c>
      <c r="D3856" t="s">
        <v>15917</v>
      </c>
      <c r="E3856" t="s">
        <v>15918</v>
      </c>
      <c r="F3856" t="s">
        <v>6873</v>
      </c>
      <c r="G3856" t="s">
        <v>47</v>
      </c>
      <c r="H3856">
        <v>97504</v>
      </c>
      <c r="I3856" t="s">
        <v>30</v>
      </c>
      <c r="J3856" t="s">
        <v>145</v>
      </c>
      <c r="K3856" t="s">
        <v>4462</v>
      </c>
      <c r="N3856" t="s">
        <v>15919</v>
      </c>
      <c r="Q3856">
        <v>0</v>
      </c>
      <c r="R3856">
        <v>85</v>
      </c>
      <c r="S3856">
        <v>0</v>
      </c>
      <c r="T3856" t="s">
        <v>15920</v>
      </c>
    </row>
    <row r="3857" spans="1:20" customFormat="1" ht="15" x14ac:dyDescent="0.25">
      <c r="A3857" t="s">
        <v>24</v>
      </c>
      <c r="B3857" t="s">
        <v>2380</v>
      </c>
      <c r="C3857" t="str">
        <f>"A0077297"</f>
        <v>A0077297</v>
      </c>
      <c r="D3857" t="s">
        <v>63834</v>
      </c>
      <c r="E3857" t="s">
        <v>63835</v>
      </c>
      <c r="F3857" t="s">
        <v>10276</v>
      </c>
      <c r="G3857" t="s">
        <v>846</v>
      </c>
      <c r="H3857">
        <v>30305</v>
      </c>
      <c r="I3857" t="s">
        <v>30</v>
      </c>
      <c r="J3857" t="s">
        <v>162</v>
      </c>
      <c r="K3857" t="s">
        <v>266</v>
      </c>
      <c r="N3857" t="s">
        <v>63836</v>
      </c>
      <c r="O3857" t="s">
        <v>63837</v>
      </c>
      <c r="Q3857">
        <v>0</v>
      </c>
      <c r="R3857">
        <v>316</v>
      </c>
      <c r="S3857">
        <v>0</v>
      </c>
      <c r="T3857" t="s">
        <v>63838</v>
      </c>
    </row>
    <row r="3858" spans="1:20" customFormat="1" ht="15" x14ac:dyDescent="0.25">
      <c r="A3858" t="s">
        <v>35</v>
      </c>
      <c r="B3858" t="s">
        <v>61</v>
      </c>
      <c r="C3858" t="str">
        <f>"A0131570"</f>
        <v>A0131570</v>
      </c>
      <c r="D3858" t="s">
        <v>15926</v>
      </c>
      <c r="E3858" t="s">
        <v>15927</v>
      </c>
      <c r="F3858" t="s">
        <v>15928</v>
      </c>
      <c r="G3858" t="s">
        <v>381</v>
      </c>
      <c r="H3858">
        <v>47429</v>
      </c>
      <c r="I3858" t="s">
        <v>30</v>
      </c>
      <c r="J3858" t="s">
        <v>41</v>
      </c>
      <c r="K3858" t="s">
        <v>59</v>
      </c>
      <c r="Q3858">
        <v>0</v>
      </c>
      <c r="R3858">
        <v>79</v>
      </c>
      <c r="S3858">
        <v>79</v>
      </c>
      <c r="T3858" t="s">
        <v>15174</v>
      </c>
    </row>
    <row r="3859" spans="1:20" customFormat="1" ht="15" x14ac:dyDescent="0.25">
      <c r="A3859" t="s">
        <v>35</v>
      </c>
      <c r="B3859" t="s">
        <v>61</v>
      </c>
      <c r="C3859" t="str">
        <f>"A0131574"</f>
        <v>A0131574</v>
      </c>
      <c r="D3859" t="s">
        <v>15929</v>
      </c>
      <c r="E3859" t="s">
        <v>15930</v>
      </c>
      <c r="F3859" t="s">
        <v>15931</v>
      </c>
      <c r="G3859" t="s">
        <v>381</v>
      </c>
      <c r="H3859">
        <v>46992</v>
      </c>
      <c r="I3859" t="s">
        <v>30</v>
      </c>
      <c r="J3859" t="s">
        <v>41</v>
      </c>
      <c r="K3859" t="s">
        <v>59</v>
      </c>
      <c r="Q3859">
        <v>0</v>
      </c>
      <c r="R3859">
        <v>119</v>
      </c>
      <c r="S3859">
        <v>119</v>
      </c>
      <c r="T3859" t="s">
        <v>15174</v>
      </c>
    </row>
    <row r="3860" spans="1:20" customFormat="1" ht="15" x14ac:dyDescent="0.25">
      <c r="A3860" t="s">
        <v>35</v>
      </c>
      <c r="B3860" t="s">
        <v>61</v>
      </c>
      <c r="C3860" t="str">
        <f>"A0131573"</f>
        <v>A0131573</v>
      </c>
      <c r="D3860" t="s">
        <v>15932</v>
      </c>
      <c r="E3860" t="s">
        <v>15933</v>
      </c>
      <c r="F3860" t="s">
        <v>8622</v>
      </c>
      <c r="G3860" t="s">
        <v>381</v>
      </c>
      <c r="H3860">
        <v>46221</v>
      </c>
      <c r="I3860" t="s">
        <v>30</v>
      </c>
      <c r="J3860" t="s">
        <v>41</v>
      </c>
      <c r="K3860" t="s">
        <v>11521</v>
      </c>
      <c r="Q3860">
        <v>0</v>
      </c>
      <c r="R3860">
        <v>60</v>
      </c>
      <c r="S3860">
        <v>60</v>
      </c>
      <c r="T3860" t="s">
        <v>15174</v>
      </c>
    </row>
    <row r="3861" spans="1:20" customFormat="1" ht="15" x14ac:dyDescent="0.25">
      <c r="A3861" t="s">
        <v>35</v>
      </c>
      <c r="B3861" t="s">
        <v>61</v>
      </c>
      <c r="C3861" t="str">
        <f>"A0131568"</f>
        <v>A0131568</v>
      </c>
      <c r="D3861" t="s">
        <v>15934</v>
      </c>
      <c r="E3861" t="s">
        <v>15935</v>
      </c>
      <c r="F3861" t="s">
        <v>15936</v>
      </c>
      <c r="G3861" t="s">
        <v>381</v>
      </c>
      <c r="H3861">
        <v>47834</v>
      </c>
      <c r="I3861" t="s">
        <v>30</v>
      </c>
      <c r="J3861" t="s">
        <v>41</v>
      </c>
      <c r="K3861" t="s">
        <v>59</v>
      </c>
      <c r="Q3861">
        <v>0</v>
      </c>
      <c r="R3861">
        <v>105</v>
      </c>
      <c r="S3861">
        <v>105</v>
      </c>
      <c r="T3861" t="s">
        <v>15174</v>
      </c>
    </row>
    <row r="3862" spans="1:20" customFormat="1" ht="15" x14ac:dyDescent="0.25">
      <c r="A3862" t="s">
        <v>35</v>
      </c>
      <c r="B3862" t="s">
        <v>61</v>
      </c>
      <c r="C3862" t="str">
        <f>"A0130965"</f>
        <v>A0130965</v>
      </c>
      <c r="D3862" t="s">
        <v>15937</v>
      </c>
      <c r="E3862" t="s">
        <v>15938</v>
      </c>
      <c r="F3862" t="s">
        <v>10174</v>
      </c>
      <c r="G3862" t="s">
        <v>85</v>
      </c>
      <c r="H3862">
        <v>72223</v>
      </c>
      <c r="I3862" t="s">
        <v>30</v>
      </c>
      <c r="J3862" t="s">
        <v>41</v>
      </c>
      <c r="K3862" t="s">
        <v>59</v>
      </c>
      <c r="Q3862">
        <v>0</v>
      </c>
      <c r="R3862">
        <v>80</v>
      </c>
      <c r="S3862">
        <v>80</v>
      </c>
      <c r="T3862" t="s">
        <v>15939</v>
      </c>
    </row>
    <row r="3863" spans="1:20" customFormat="1" ht="15" x14ac:dyDescent="0.25">
      <c r="A3863" t="s">
        <v>35</v>
      </c>
      <c r="B3863" t="s">
        <v>61</v>
      </c>
      <c r="C3863" t="str">
        <f>"A0130971"</f>
        <v>A0130971</v>
      </c>
      <c r="D3863" t="s">
        <v>15940</v>
      </c>
      <c r="E3863" t="s">
        <v>15941</v>
      </c>
      <c r="F3863" t="s">
        <v>10170</v>
      </c>
      <c r="G3863" t="s">
        <v>85</v>
      </c>
      <c r="H3863">
        <v>72730</v>
      </c>
      <c r="I3863" t="s">
        <v>30</v>
      </c>
      <c r="J3863" t="s">
        <v>41</v>
      </c>
      <c r="K3863" t="s">
        <v>59</v>
      </c>
      <c r="Q3863">
        <v>0</v>
      </c>
      <c r="R3863">
        <v>63</v>
      </c>
      <c r="S3863">
        <v>63</v>
      </c>
      <c r="T3863" t="s">
        <v>15942</v>
      </c>
    </row>
    <row r="3864" spans="1:20" customFormat="1" ht="15" x14ac:dyDescent="0.25">
      <c r="A3864" t="s">
        <v>35</v>
      </c>
      <c r="B3864" t="s">
        <v>61</v>
      </c>
      <c r="C3864" t="str">
        <f>"A0130972"</f>
        <v>A0130972</v>
      </c>
      <c r="D3864" t="s">
        <v>15943</v>
      </c>
      <c r="E3864" t="s">
        <v>15944</v>
      </c>
      <c r="F3864" t="s">
        <v>15945</v>
      </c>
      <c r="G3864" t="s">
        <v>85</v>
      </c>
      <c r="H3864">
        <v>72631</v>
      </c>
      <c r="I3864" t="s">
        <v>30</v>
      </c>
      <c r="J3864" t="s">
        <v>41</v>
      </c>
      <c r="K3864" t="s">
        <v>59</v>
      </c>
      <c r="Q3864">
        <v>0</v>
      </c>
      <c r="R3864">
        <v>51</v>
      </c>
      <c r="S3864">
        <v>51</v>
      </c>
      <c r="T3864" t="s">
        <v>15946</v>
      </c>
    </row>
    <row r="3865" spans="1:20" customFormat="1" ht="15" x14ac:dyDescent="0.25">
      <c r="A3865" t="s">
        <v>35</v>
      </c>
      <c r="B3865" t="s">
        <v>61</v>
      </c>
      <c r="C3865" t="str">
        <f>"A0130970"</f>
        <v>A0130970</v>
      </c>
      <c r="D3865" t="s">
        <v>15947</v>
      </c>
      <c r="E3865" t="s">
        <v>15948</v>
      </c>
      <c r="F3865" t="s">
        <v>15949</v>
      </c>
      <c r="G3865" t="s">
        <v>85</v>
      </c>
      <c r="H3865">
        <v>72901</v>
      </c>
      <c r="I3865" t="s">
        <v>30</v>
      </c>
      <c r="J3865" t="s">
        <v>41</v>
      </c>
      <c r="K3865" t="s">
        <v>59</v>
      </c>
      <c r="Q3865">
        <v>0</v>
      </c>
      <c r="R3865">
        <v>60</v>
      </c>
      <c r="S3865">
        <v>60</v>
      </c>
      <c r="T3865" t="s">
        <v>15950</v>
      </c>
    </row>
    <row r="3866" spans="1:20" customFormat="1" ht="15" x14ac:dyDescent="0.25">
      <c r="A3866" t="s">
        <v>24</v>
      </c>
      <c r="B3866" t="s">
        <v>9391</v>
      </c>
      <c r="C3866" t="str">
        <f>"A0185641"</f>
        <v>A0185641</v>
      </c>
      <c r="D3866" t="s">
        <v>15951</v>
      </c>
      <c r="E3866" t="s">
        <v>15952</v>
      </c>
      <c r="F3866" t="s">
        <v>15953</v>
      </c>
      <c r="G3866" t="s">
        <v>846</v>
      </c>
      <c r="H3866">
        <v>30513</v>
      </c>
      <c r="I3866" t="s">
        <v>30</v>
      </c>
      <c r="J3866" t="s">
        <v>31</v>
      </c>
      <c r="K3866" t="s">
        <v>198</v>
      </c>
      <c r="N3866" t="s">
        <v>15954</v>
      </c>
      <c r="Q3866">
        <v>0</v>
      </c>
      <c r="R3866">
        <v>109</v>
      </c>
      <c r="S3866">
        <v>0</v>
      </c>
      <c r="T3866" t="s">
        <v>15955</v>
      </c>
    </row>
    <row r="3867" spans="1:20" customFormat="1" ht="15" x14ac:dyDescent="0.25">
      <c r="A3867" t="s">
        <v>35</v>
      </c>
      <c r="B3867" t="s">
        <v>61</v>
      </c>
      <c r="C3867" t="str">
        <f>"A0130879"</f>
        <v>A0130879</v>
      </c>
      <c r="D3867" t="s">
        <v>15956</v>
      </c>
      <c r="E3867" t="s">
        <v>15957</v>
      </c>
      <c r="F3867" t="s">
        <v>2467</v>
      </c>
      <c r="G3867" t="s">
        <v>85</v>
      </c>
      <c r="H3867">
        <v>71913</v>
      </c>
      <c r="I3867" t="s">
        <v>30</v>
      </c>
      <c r="J3867" t="s">
        <v>41</v>
      </c>
      <c r="K3867" t="s">
        <v>59</v>
      </c>
      <c r="Q3867">
        <v>0</v>
      </c>
      <c r="R3867">
        <v>93</v>
      </c>
      <c r="S3867">
        <v>93</v>
      </c>
      <c r="T3867" t="s">
        <v>15958</v>
      </c>
    </row>
    <row r="3868" spans="1:20" customFormat="1" ht="15" x14ac:dyDescent="0.25">
      <c r="A3868" t="s">
        <v>35</v>
      </c>
      <c r="B3868" t="s">
        <v>13709</v>
      </c>
      <c r="C3868" t="str">
        <f>"A0117697"</f>
        <v>A0117697</v>
      </c>
      <c r="D3868" t="s">
        <v>15959</v>
      </c>
      <c r="E3868" t="s">
        <v>15960</v>
      </c>
      <c r="F3868" t="s">
        <v>15961</v>
      </c>
      <c r="G3868" t="s">
        <v>110</v>
      </c>
      <c r="H3868">
        <v>93230</v>
      </c>
      <c r="I3868" t="s">
        <v>30</v>
      </c>
      <c r="J3868" t="s">
        <v>41</v>
      </c>
      <c r="K3868" t="s">
        <v>229</v>
      </c>
      <c r="Q3868">
        <v>0</v>
      </c>
      <c r="R3868">
        <v>67</v>
      </c>
      <c r="S3868">
        <v>67</v>
      </c>
      <c r="T3868" t="s">
        <v>15962</v>
      </c>
    </row>
    <row r="3869" spans="1:20" customFormat="1" ht="15" x14ac:dyDescent="0.25">
      <c r="A3869" t="s">
        <v>35</v>
      </c>
      <c r="B3869" t="s">
        <v>13709</v>
      </c>
      <c r="C3869" t="str">
        <f>"A0117695"</f>
        <v>A0117695</v>
      </c>
      <c r="D3869" t="s">
        <v>15963</v>
      </c>
      <c r="E3869" t="s">
        <v>15964</v>
      </c>
      <c r="F3869" t="s">
        <v>15965</v>
      </c>
      <c r="G3869" t="s">
        <v>110</v>
      </c>
      <c r="H3869">
        <v>93291</v>
      </c>
      <c r="I3869" t="s">
        <v>30</v>
      </c>
      <c r="J3869" t="s">
        <v>41</v>
      </c>
      <c r="K3869" t="s">
        <v>229</v>
      </c>
      <c r="Q3869">
        <v>0</v>
      </c>
      <c r="R3869">
        <v>44</v>
      </c>
      <c r="S3869">
        <v>44</v>
      </c>
      <c r="T3869" t="s">
        <v>15966</v>
      </c>
    </row>
    <row r="3870" spans="1:20" customFormat="1" ht="15" x14ac:dyDescent="0.25">
      <c r="A3870" t="s">
        <v>35</v>
      </c>
      <c r="B3870" t="s">
        <v>15967</v>
      </c>
      <c r="C3870" t="str">
        <f>"A0167326"</f>
        <v>A0167326</v>
      </c>
      <c r="D3870" t="s">
        <v>15968</v>
      </c>
      <c r="E3870" t="s">
        <v>15969</v>
      </c>
      <c r="F3870" t="s">
        <v>7292</v>
      </c>
      <c r="G3870" t="s">
        <v>289</v>
      </c>
      <c r="H3870">
        <v>60563</v>
      </c>
      <c r="I3870" t="s">
        <v>30</v>
      </c>
      <c r="J3870" t="s">
        <v>41</v>
      </c>
      <c r="K3870" t="s">
        <v>2463</v>
      </c>
      <c r="Q3870">
        <v>0</v>
      </c>
      <c r="R3870">
        <v>0</v>
      </c>
      <c r="S3870">
        <v>0</v>
      </c>
      <c r="T3870" t="s">
        <v>15970</v>
      </c>
    </row>
    <row r="3871" spans="1:20" customFormat="1" ht="15" x14ac:dyDescent="0.25">
      <c r="A3871" t="s">
        <v>35</v>
      </c>
      <c r="B3871" t="s">
        <v>15967</v>
      </c>
      <c r="C3871" t="str">
        <f>"A0167325"</f>
        <v>A0167325</v>
      </c>
      <c r="D3871" t="s">
        <v>15971</v>
      </c>
      <c r="E3871" t="s">
        <v>15972</v>
      </c>
      <c r="F3871" t="s">
        <v>15973</v>
      </c>
      <c r="G3871" t="s">
        <v>29</v>
      </c>
      <c r="H3871">
        <v>23834</v>
      </c>
      <c r="I3871" t="s">
        <v>30</v>
      </c>
      <c r="J3871" t="s">
        <v>41</v>
      </c>
      <c r="K3871" t="s">
        <v>2463</v>
      </c>
      <c r="Q3871">
        <v>0</v>
      </c>
      <c r="R3871">
        <v>0</v>
      </c>
      <c r="S3871">
        <v>0</v>
      </c>
      <c r="T3871" t="s">
        <v>15974</v>
      </c>
    </row>
    <row r="3872" spans="1:20" customFormat="1" ht="15" x14ac:dyDescent="0.25">
      <c r="A3872" t="s">
        <v>35</v>
      </c>
      <c r="B3872" t="s">
        <v>15967</v>
      </c>
      <c r="C3872" t="str">
        <f>"A0167315"</f>
        <v>A0167315</v>
      </c>
      <c r="D3872" t="s">
        <v>15975</v>
      </c>
      <c r="E3872" t="s">
        <v>15976</v>
      </c>
      <c r="F3872" t="s">
        <v>14779</v>
      </c>
      <c r="G3872" t="s">
        <v>110</v>
      </c>
      <c r="H3872">
        <v>95628</v>
      </c>
      <c r="I3872" t="s">
        <v>30</v>
      </c>
      <c r="J3872" t="s">
        <v>41</v>
      </c>
      <c r="K3872" t="s">
        <v>2463</v>
      </c>
      <c r="Q3872">
        <v>0</v>
      </c>
      <c r="R3872">
        <v>0</v>
      </c>
      <c r="S3872">
        <v>0</v>
      </c>
      <c r="T3872" t="s">
        <v>15977</v>
      </c>
    </row>
    <row r="3873" spans="1:20" customFormat="1" ht="15" x14ac:dyDescent="0.25">
      <c r="A3873" t="s">
        <v>35</v>
      </c>
      <c r="B3873" t="s">
        <v>15967</v>
      </c>
      <c r="C3873" t="str">
        <f>"A0167324"</f>
        <v>A0167324</v>
      </c>
      <c r="D3873" t="s">
        <v>15978</v>
      </c>
      <c r="E3873" t="s">
        <v>15979</v>
      </c>
      <c r="F3873" t="s">
        <v>15980</v>
      </c>
      <c r="G3873" t="s">
        <v>103</v>
      </c>
      <c r="H3873">
        <v>15090</v>
      </c>
      <c r="I3873" t="s">
        <v>30</v>
      </c>
      <c r="J3873" t="s">
        <v>41</v>
      </c>
      <c r="K3873" t="s">
        <v>2463</v>
      </c>
      <c r="Q3873">
        <v>0</v>
      </c>
      <c r="R3873">
        <v>0</v>
      </c>
      <c r="S3873">
        <v>0</v>
      </c>
      <c r="T3873" t="s">
        <v>15981</v>
      </c>
    </row>
    <row r="3874" spans="1:20" customFormat="1" ht="15" x14ac:dyDescent="0.25">
      <c r="A3874" t="s">
        <v>35</v>
      </c>
      <c r="B3874" t="s">
        <v>15967</v>
      </c>
      <c r="C3874" t="str">
        <f>"A0167323"</f>
        <v>A0167323</v>
      </c>
      <c r="D3874" t="s">
        <v>15982</v>
      </c>
      <c r="E3874" t="s">
        <v>15983</v>
      </c>
      <c r="F3874" t="s">
        <v>15984</v>
      </c>
      <c r="G3874" t="s">
        <v>40</v>
      </c>
      <c r="H3874">
        <v>74873</v>
      </c>
      <c r="I3874" t="s">
        <v>30</v>
      </c>
      <c r="J3874" t="s">
        <v>41</v>
      </c>
      <c r="K3874" t="s">
        <v>2463</v>
      </c>
      <c r="Q3874">
        <v>0</v>
      </c>
      <c r="R3874">
        <v>0</v>
      </c>
      <c r="S3874">
        <v>0</v>
      </c>
      <c r="T3874" t="s">
        <v>15985</v>
      </c>
    </row>
    <row r="3875" spans="1:20" customFormat="1" ht="15" x14ac:dyDescent="0.25">
      <c r="A3875" t="s">
        <v>35</v>
      </c>
      <c r="B3875" t="s">
        <v>15967</v>
      </c>
      <c r="C3875" t="str">
        <f>"A0167322"</f>
        <v>A0167322</v>
      </c>
      <c r="D3875" t="s">
        <v>15986</v>
      </c>
      <c r="E3875" t="s">
        <v>15987</v>
      </c>
      <c r="F3875" t="s">
        <v>265</v>
      </c>
      <c r="G3875" t="s">
        <v>338</v>
      </c>
      <c r="H3875">
        <v>7470</v>
      </c>
      <c r="I3875" t="s">
        <v>30</v>
      </c>
      <c r="J3875" t="s">
        <v>41</v>
      </c>
      <c r="K3875" t="s">
        <v>2463</v>
      </c>
      <c r="Q3875">
        <v>0</v>
      </c>
      <c r="R3875">
        <v>0</v>
      </c>
      <c r="S3875">
        <v>0</v>
      </c>
      <c r="T3875" t="s">
        <v>15988</v>
      </c>
    </row>
    <row r="3876" spans="1:20" customFormat="1" ht="15" x14ac:dyDescent="0.25">
      <c r="A3876" t="s">
        <v>35</v>
      </c>
      <c r="B3876" t="s">
        <v>15967</v>
      </c>
      <c r="C3876" t="str">
        <f>"A0167321"</f>
        <v>A0167321</v>
      </c>
      <c r="D3876" t="s">
        <v>15989</v>
      </c>
      <c r="E3876" t="s">
        <v>15990</v>
      </c>
      <c r="F3876" t="s">
        <v>116</v>
      </c>
      <c r="G3876" t="s">
        <v>117</v>
      </c>
      <c r="H3876">
        <v>48197</v>
      </c>
      <c r="I3876" t="s">
        <v>30</v>
      </c>
      <c r="J3876" t="s">
        <v>41</v>
      </c>
      <c r="K3876" t="s">
        <v>2463</v>
      </c>
      <c r="Q3876">
        <v>0</v>
      </c>
      <c r="R3876">
        <v>0</v>
      </c>
      <c r="S3876">
        <v>0</v>
      </c>
      <c r="T3876" t="s">
        <v>15991</v>
      </c>
    </row>
    <row r="3877" spans="1:20" customFormat="1" ht="15" x14ac:dyDescent="0.25">
      <c r="A3877" t="s">
        <v>35</v>
      </c>
      <c r="B3877" t="s">
        <v>15967</v>
      </c>
      <c r="C3877" t="str">
        <f>"A0167320"</f>
        <v>A0167320</v>
      </c>
      <c r="D3877" t="s">
        <v>15992</v>
      </c>
      <c r="E3877" t="s">
        <v>15993</v>
      </c>
      <c r="F3877" t="s">
        <v>9607</v>
      </c>
      <c r="G3877" t="s">
        <v>117</v>
      </c>
      <c r="H3877">
        <v>49546</v>
      </c>
      <c r="I3877" t="s">
        <v>30</v>
      </c>
      <c r="J3877" t="s">
        <v>41</v>
      </c>
      <c r="K3877" t="s">
        <v>2463</v>
      </c>
      <c r="Q3877">
        <v>0</v>
      </c>
      <c r="R3877">
        <v>0</v>
      </c>
      <c r="S3877">
        <v>0</v>
      </c>
      <c r="T3877" t="s">
        <v>15994</v>
      </c>
    </row>
    <row r="3878" spans="1:20" customFormat="1" ht="15" x14ac:dyDescent="0.25">
      <c r="A3878" t="s">
        <v>35</v>
      </c>
      <c r="B3878" t="s">
        <v>15967</v>
      </c>
      <c r="C3878" t="str">
        <f>"A0167319"</f>
        <v>A0167319</v>
      </c>
      <c r="D3878" t="s">
        <v>15995</v>
      </c>
      <c r="E3878" t="s">
        <v>15996</v>
      </c>
      <c r="F3878" t="s">
        <v>15997</v>
      </c>
      <c r="G3878" t="s">
        <v>123</v>
      </c>
      <c r="H3878">
        <v>20736</v>
      </c>
      <c r="I3878" t="s">
        <v>30</v>
      </c>
      <c r="J3878" t="s">
        <v>41</v>
      </c>
      <c r="K3878" t="s">
        <v>2463</v>
      </c>
      <c r="Q3878">
        <v>0</v>
      </c>
      <c r="R3878">
        <v>0</v>
      </c>
      <c r="S3878">
        <v>0</v>
      </c>
      <c r="T3878" t="s">
        <v>15998</v>
      </c>
    </row>
    <row r="3879" spans="1:20" customFormat="1" ht="15" x14ac:dyDescent="0.25">
      <c r="A3879" t="s">
        <v>35</v>
      </c>
      <c r="B3879" t="s">
        <v>15967</v>
      </c>
      <c r="C3879" t="str">
        <f>"A0167318"</f>
        <v>A0167318</v>
      </c>
      <c r="D3879" t="s">
        <v>15999</v>
      </c>
      <c r="E3879" t="s">
        <v>16000</v>
      </c>
      <c r="F3879" t="s">
        <v>16001</v>
      </c>
      <c r="G3879" t="s">
        <v>925</v>
      </c>
      <c r="H3879">
        <v>66215</v>
      </c>
      <c r="I3879" t="s">
        <v>30</v>
      </c>
      <c r="J3879" t="s">
        <v>41</v>
      </c>
      <c r="K3879" t="s">
        <v>2463</v>
      </c>
      <c r="Q3879">
        <v>0</v>
      </c>
      <c r="R3879">
        <v>0</v>
      </c>
      <c r="S3879">
        <v>0</v>
      </c>
      <c r="T3879" t="s">
        <v>16002</v>
      </c>
    </row>
    <row r="3880" spans="1:20" customFormat="1" ht="15" x14ac:dyDescent="0.25">
      <c r="A3880" t="s">
        <v>35</v>
      </c>
      <c r="B3880" t="s">
        <v>15967</v>
      </c>
      <c r="C3880" t="str">
        <f>"A0167317"</f>
        <v>A0167317</v>
      </c>
      <c r="D3880" t="s">
        <v>16003</v>
      </c>
      <c r="E3880" t="s">
        <v>16004</v>
      </c>
      <c r="F3880" t="s">
        <v>9255</v>
      </c>
      <c r="G3880" t="s">
        <v>846</v>
      </c>
      <c r="H3880">
        <v>30032</v>
      </c>
      <c r="I3880" t="s">
        <v>30</v>
      </c>
      <c r="J3880" t="s">
        <v>41</v>
      </c>
      <c r="K3880" t="s">
        <v>2463</v>
      </c>
      <c r="Q3880">
        <v>0</v>
      </c>
      <c r="R3880">
        <v>0</v>
      </c>
      <c r="S3880">
        <v>0</v>
      </c>
      <c r="T3880" t="s">
        <v>16005</v>
      </c>
    </row>
    <row r="3881" spans="1:20" customFormat="1" ht="15" x14ac:dyDescent="0.25">
      <c r="A3881" t="s">
        <v>35</v>
      </c>
      <c r="B3881" t="s">
        <v>15967</v>
      </c>
      <c r="C3881" t="str">
        <f>"A0167316"</f>
        <v>A0167316</v>
      </c>
      <c r="D3881" t="s">
        <v>16006</v>
      </c>
      <c r="E3881" t="s">
        <v>16007</v>
      </c>
      <c r="F3881" t="s">
        <v>839</v>
      </c>
      <c r="G3881" t="s">
        <v>190</v>
      </c>
      <c r="H3881">
        <v>80027</v>
      </c>
      <c r="I3881" t="s">
        <v>30</v>
      </c>
      <c r="J3881" t="s">
        <v>41</v>
      </c>
      <c r="K3881" t="s">
        <v>2463</v>
      </c>
      <c r="Q3881">
        <v>0</v>
      </c>
      <c r="R3881">
        <v>0</v>
      </c>
      <c r="S3881">
        <v>0</v>
      </c>
      <c r="T3881" t="s">
        <v>16008</v>
      </c>
    </row>
    <row r="3882" spans="1:20" customFormat="1" ht="15" x14ac:dyDescent="0.25">
      <c r="A3882" t="s">
        <v>24</v>
      </c>
      <c r="B3882" t="s">
        <v>174</v>
      </c>
      <c r="C3882" t="str">
        <f>"A0052192"</f>
        <v>A0052192</v>
      </c>
      <c r="D3882" t="s">
        <v>16009</v>
      </c>
      <c r="E3882" t="s">
        <v>16010</v>
      </c>
      <c r="F3882" t="s">
        <v>6922</v>
      </c>
      <c r="G3882" t="s">
        <v>99</v>
      </c>
      <c r="H3882">
        <v>10523</v>
      </c>
      <c r="I3882" t="s">
        <v>30</v>
      </c>
      <c r="J3882" t="s">
        <v>178</v>
      </c>
      <c r="K3882" t="s">
        <v>179</v>
      </c>
      <c r="N3882" t="s">
        <v>16011</v>
      </c>
      <c r="O3882" t="s">
        <v>16012</v>
      </c>
      <c r="Q3882">
        <v>0</v>
      </c>
      <c r="R3882">
        <v>0</v>
      </c>
      <c r="S3882">
        <v>0</v>
      </c>
      <c r="T3882" t="s">
        <v>16013</v>
      </c>
    </row>
    <row r="3883" spans="1:20" customFormat="1" ht="15" x14ac:dyDescent="0.25">
      <c r="A3883" t="s">
        <v>35</v>
      </c>
      <c r="B3883" t="s">
        <v>14342</v>
      </c>
      <c r="C3883" t="str">
        <f>"A0150438"</f>
        <v>A0150438</v>
      </c>
      <c r="D3883" t="s">
        <v>16014</v>
      </c>
      <c r="E3883" t="s">
        <v>16015</v>
      </c>
      <c r="F3883" t="s">
        <v>16016</v>
      </c>
      <c r="G3883" t="s">
        <v>1587</v>
      </c>
      <c r="H3883">
        <v>88240</v>
      </c>
      <c r="I3883" t="s">
        <v>30</v>
      </c>
      <c r="J3883" t="s">
        <v>41</v>
      </c>
      <c r="K3883" t="s">
        <v>229</v>
      </c>
      <c r="Q3883">
        <v>0</v>
      </c>
      <c r="R3883">
        <v>60</v>
      </c>
      <c r="S3883">
        <v>60</v>
      </c>
      <c r="T3883" t="s">
        <v>16017</v>
      </c>
    </row>
    <row r="3884" spans="1:20" customFormat="1" ht="15" x14ac:dyDescent="0.25">
      <c r="A3884" t="s">
        <v>35</v>
      </c>
      <c r="B3884" t="s">
        <v>14342</v>
      </c>
      <c r="C3884" t="str">
        <f>"A0150820"</f>
        <v>A0150820</v>
      </c>
      <c r="D3884" t="s">
        <v>16018</v>
      </c>
      <c r="E3884" t="s">
        <v>16019</v>
      </c>
      <c r="F3884" t="s">
        <v>16020</v>
      </c>
      <c r="G3884" t="s">
        <v>1587</v>
      </c>
      <c r="H3884">
        <v>87410</v>
      </c>
      <c r="I3884" t="s">
        <v>30</v>
      </c>
      <c r="J3884" t="s">
        <v>41</v>
      </c>
      <c r="K3884" t="s">
        <v>229</v>
      </c>
      <c r="Q3884">
        <v>0</v>
      </c>
      <c r="R3884">
        <v>60</v>
      </c>
      <c r="S3884">
        <v>60</v>
      </c>
      <c r="T3884" t="s">
        <v>16021</v>
      </c>
    </row>
    <row r="3885" spans="1:20" customFormat="1" ht="15" x14ac:dyDescent="0.25">
      <c r="A3885" t="s">
        <v>35</v>
      </c>
      <c r="B3885" t="s">
        <v>14342</v>
      </c>
      <c r="C3885" t="str">
        <f>"A0150819"</f>
        <v>A0150819</v>
      </c>
      <c r="D3885" t="s">
        <v>16022</v>
      </c>
      <c r="E3885" t="s">
        <v>16023</v>
      </c>
      <c r="F3885" t="s">
        <v>16024</v>
      </c>
      <c r="G3885" t="s">
        <v>1587</v>
      </c>
      <c r="H3885">
        <v>88260</v>
      </c>
      <c r="I3885" t="s">
        <v>30</v>
      </c>
      <c r="J3885" t="s">
        <v>41</v>
      </c>
      <c r="K3885" t="s">
        <v>229</v>
      </c>
      <c r="Q3885">
        <v>0</v>
      </c>
      <c r="R3885">
        <v>62</v>
      </c>
      <c r="S3885">
        <v>62</v>
      </c>
      <c r="T3885" t="s">
        <v>16021</v>
      </c>
    </row>
    <row r="3886" spans="1:20" customFormat="1" ht="15" x14ac:dyDescent="0.25">
      <c r="A3886" t="s">
        <v>35</v>
      </c>
      <c r="B3886" t="s">
        <v>14342</v>
      </c>
      <c r="C3886" t="str">
        <f>"A0150988"</f>
        <v>A0150988</v>
      </c>
      <c r="D3886" t="s">
        <v>16025</v>
      </c>
      <c r="E3886" t="s">
        <v>16026</v>
      </c>
      <c r="F3886" t="s">
        <v>16016</v>
      </c>
      <c r="G3886" t="s">
        <v>1587</v>
      </c>
      <c r="H3886">
        <v>88240</v>
      </c>
      <c r="I3886" t="s">
        <v>30</v>
      </c>
      <c r="J3886" t="s">
        <v>41</v>
      </c>
      <c r="K3886" t="s">
        <v>229</v>
      </c>
      <c r="Q3886">
        <v>0</v>
      </c>
      <c r="R3886">
        <v>65</v>
      </c>
      <c r="S3886">
        <v>65</v>
      </c>
      <c r="T3886" t="s">
        <v>16027</v>
      </c>
    </row>
    <row r="3887" spans="1:20" customFormat="1" ht="15" x14ac:dyDescent="0.25">
      <c r="A3887" t="s">
        <v>35</v>
      </c>
      <c r="B3887" t="s">
        <v>61</v>
      </c>
      <c r="C3887" t="str">
        <f>"A0185632"</f>
        <v>A0185632</v>
      </c>
      <c r="D3887" t="s">
        <v>16028</v>
      </c>
      <c r="E3887" t="s">
        <v>16029</v>
      </c>
      <c r="F3887" t="s">
        <v>16030</v>
      </c>
      <c r="G3887" t="s">
        <v>71</v>
      </c>
      <c r="H3887">
        <v>54401</v>
      </c>
      <c r="I3887" t="s">
        <v>30</v>
      </c>
      <c r="J3887" t="s">
        <v>41</v>
      </c>
      <c r="K3887" t="s">
        <v>229</v>
      </c>
      <c r="Q3887">
        <v>0</v>
      </c>
      <c r="R3887">
        <v>0</v>
      </c>
      <c r="S3887">
        <v>0</v>
      </c>
      <c r="T3887" t="s">
        <v>16031</v>
      </c>
    </row>
    <row r="3888" spans="1:20" customFormat="1" ht="15" x14ac:dyDescent="0.25">
      <c r="A3888" t="s">
        <v>35</v>
      </c>
      <c r="B3888" t="s">
        <v>61</v>
      </c>
      <c r="C3888" t="str">
        <f>"A0185631"</f>
        <v>A0185631</v>
      </c>
      <c r="D3888" t="s">
        <v>16028</v>
      </c>
      <c r="E3888" t="s">
        <v>16032</v>
      </c>
      <c r="F3888" t="s">
        <v>16033</v>
      </c>
      <c r="G3888" t="s">
        <v>71</v>
      </c>
      <c r="H3888">
        <v>54701</v>
      </c>
      <c r="I3888" t="s">
        <v>30</v>
      </c>
      <c r="J3888" t="s">
        <v>41</v>
      </c>
      <c r="K3888" t="s">
        <v>229</v>
      </c>
      <c r="Q3888">
        <v>0</v>
      </c>
      <c r="R3888">
        <v>0</v>
      </c>
      <c r="S3888">
        <v>0</v>
      </c>
      <c r="T3888" t="s">
        <v>16034</v>
      </c>
    </row>
    <row r="3889" spans="1:20" customFormat="1" ht="15" x14ac:dyDescent="0.25">
      <c r="A3889" t="s">
        <v>35</v>
      </c>
      <c r="B3889" t="s">
        <v>16035</v>
      </c>
      <c r="C3889" t="str">
        <f>"A0185630"</f>
        <v>A0185630</v>
      </c>
      <c r="D3889" t="s">
        <v>16036</v>
      </c>
      <c r="E3889" t="s">
        <v>16037</v>
      </c>
      <c r="F3889" t="s">
        <v>12923</v>
      </c>
      <c r="G3889" t="s">
        <v>40</v>
      </c>
      <c r="H3889">
        <v>73013</v>
      </c>
      <c r="I3889" t="s">
        <v>30</v>
      </c>
      <c r="J3889" t="s">
        <v>41</v>
      </c>
      <c r="K3889" t="s">
        <v>229</v>
      </c>
      <c r="Q3889">
        <v>0</v>
      </c>
      <c r="R3889">
        <v>102</v>
      </c>
      <c r="S3889">
        <v>102</v>
      </c>
      <c r="T3889" t="s">
        <v>16038</v>
      </c>
    </row>
    <row r="3890" spans="1:20" customFormat="1" ht="15" x14ac:dyDescent="0.25">
      <c r="A3890" t="s">
        <v>35</v>
      </c>
      <c r="B3890" t="s">
        <v>61</v>
      </c>
      <c r="C3890" t="str">
        <f>"A0185629"</f>
        <v>A0185629</v>
      </c>
      <c r="D3890" t="s">
        <v>16039</v>
      </c>
      <c r="E3890" t="s">
        <v>16040</v>
      </c>
      <c r="F3890" t="s">
        <v>15178</v>
      </c>
      <c r="G3890" t="s">
        <v>3236</v>
      </c>
      <c r="H3890">
        <v>57702</v>
      </c>
      <c r="I3890" t="s">
        <v>30</v>
      </c>
      <c r="J3890" t="s">
        <v>41</v>
      </c>
      <c r="K3890" t="s">
        <v>229</v>
      </c>
      <c r="Q3890">
        <v>0</v>
      </c>
      <c r="R3890">
        <v>0</v>
      </c>
      <c r="S3890">
        <v>0</v>
      </c>
      <c r="T3890" t="s">
        <v>16041</v>
      </c>
    </row>
    <row r="3891" spans="1:20" customFormat="1" ht="15" x14ac:dyDescent="0.25">
      <c r="A3891" t="s">
        <v>35</v>
      </c>
      <c r="B3891" t="s">
        <v>61</v>
      </c>
      <c r="C3891" t="str">
        <f>"A0185628"</f>
        <v>A0185628</v>
      </c>
      <c r="D3891" t="s">
        <v>16042</v>
      </c>
      <c r="E3891" t="s">
        <v>16043</v>
      </c>
      <c r="F3891" t="s">
        <v>15178</v>
      </c>
      <c r="G3891" t="s">
        <v>3236</v>
      </c>
      <c r="H3891">
        <v>57701</v>
      </c>
      <c r="I3891" t="s">
        <v>30</v>
      </c>
      <c r="J3891" t="s">
        <v>41</v>
      </c>
      <c r="K3891" t="s">
        <v>229</v>
      </c>
      <c r="Q3891">
        <v>0</v>
      </c>
      <c r="R3891">
        <v>0</v>
      </c>
      <c r="S3891">
        <v>0</v>
      </c>
      <c r="T3891" t="s">
        <v>16041</v>
      </c>
    </row>
    <row r="3892" spans="1:20" customFormat="1" ht="15" x14ac:dyDescent="0.25">
      <c r="A3892" t="s">
        <v>35</v>
      </c>
      <c r="B3892" t="s">
        <v>61</v>
      </c>
      <c r="C3892" t="str">
        <f>"A0185627"</f>
        <v>A0185627</v>
      </c>
      <c r="D3892" t="s">
        <v>16028</v>
      </c>
      <c r="E3892" t="s">
        <v>16044</v>
      </c>
      <c r="F3892" t="s">
        <v>16045</v>
      </c>
      <c r="G3892" t="s">
        <v>71</v>
      </c>
      <c r="H3892">
        <v>54449</v>
      </c>
      <c r="I3892" t="s">
        <v>30</v>
      </c>
      <c r="J3892" t="s">
        <v>41</v>
      </c>
      <c r="K3892" t="s">
        <v>229</v>
      </c>
      <c r="Q3892">
        <v>0</v>
      </c>
      <c r="R3892">
        <v>0</v>
      </c>
      <c r="S3892">
        <v>0</v>
      </c>
      <c r="T3892" t="s">
        <v>16046</v>
      </c>
    </row>
    <row r="3893" spans="1:20" customFormat="1" ht="15" x14ac:dyDescent="0.25">
      <c r="A3893" t="s">
        <v>35</v>
      </c>
      <c r="B3893" t="s">
        <v>119</v>
      </c>
      <c r="C3893" t="str">
        <f>"A0185626"</f>
        <v>A0185626</v>
      </c>
      <c r="D3893" t="s">
        <v>16047</v>
      </c>
      <c r="E3893" t="s">
        <v>16048</v>
      </c>
      <c r="F3893" t="s">
        <v>531</v>
      </c>
      <c r="G3893" t="s">
        <v>528</v>
      </c>
      <c r="H3893">
        <v>19901</v>
      </c>
      <c r="I3893" t="s">
        <v>30</v>
      </c>
      <c r="J3893" t="s">
        <v>41</v>
      </c>
      <c r="K3893" t="s">
        <v>59</v>
      </c>
      <c r="Q3893">
        <v>0</v>
      </c>
      <c r="R3893">
        <v>195</v>
      </c>
      <c r="S3893">
        <v>195</v>
      </c>
      <c r="T3893" t="s">
        <v>126</v>
      </c>
    </row>
    <row r="3894" spans="1:20" customFormat="1" ht="15" x14ac:dyDescent="0.25">
      <c r="A3894" t="s">
        <v>35</v>
      </c>
      <c r="B3894" t="s">
        <v>16049</v>
      </c>
      <c r="C3894" t="str">
        <f>"A0185625"</f>
        <v>A0185625</v>
      </c>
      <c r="D3894" t="s">
        <v>16050</v>
      </c>
      <c r="E3894" t="s">
        <v>16051</v>
      </c>
      <c r="F3894" t="s">
        <v>455</v>
      </c>
      <c r="G3894" t="s">
        <v>433</v>
      </c>
      <c r="H3894">
        <v>83646</v>
      </c>
      <c r="I3894" t="s">
        <v>30</v>
      </c>
      <c r="J3894" t="s">
        <v>41</v>
      </c>
      <c r="K3894" t="s">
        <v>59</v>
      </c>
      <c r="Q3894">
        <v>0</v>
      </c>
      <c r="R3894">
        <v>12</v>
      </c>
      <c r="S3894">
        <v>12</v>
      </c>
      <c r="T3894" t="s">
        <v>16052</v>
      </c>
    </row>
    <row r="3895" spans="1:20" customFormat="1" ht="15" x14ac:dyDescent="0.25">
      <c r="A3895" t="s">
        <v>35</v>
      </c>
      <c r="B3895" t="s">
        <v>61</v>
      </c>
      <c r="C3895" t="str">
        <f>"A0185624"</f>
        <v>A0185624</v>
      </c>
      <c r="D3895" t="s">
        <v>16053</v>
      </c>
      <c r="E3895" t="s">
        <v>16054</v>
      </c>
      <c r="F3895" t="s">
        <v>16055</v>
      </c>
      <c r="G3895" t="s">
        <v>65</v>
      </c>
      <c r="H3895">
        <v>43907</v>
      </c>
      <c r="I3895" t="s">
        <v>30</v>
      </c>
      <c r="J3895" t="s">
        <v>41</v>
      </c>
      <c r="K3895" t="s">
        <v>59</v>
      </c>
      <c r="Q3895">
        <v>0</v>
      </c>
      <c r="R3895">
        <v>50</v>
      </c>
      <c r="S3895">
        <v>50</v>
      </c>
      <c r="T3895" t="s">
        <v>16056</v>
      </c>
    </row>
    <row r="3896" spans="1:20" customFormat="1" ht="15" x14ac:dyDescent="0.25">
      <c r="A3896" t="s">
        <v>35</v>
      </c>
      <c r="B3896" t="s">
        <v>119</v>
      </c>
      <c r="C3896" t="str">
        <f>"A0185623"</f>
        <v>A0185623</v>
      </c>
      <c r="D3896" t="s">
        <v>16057</v>
      </c>
      <c r="E3896" t="s">
        <v>16048</v>
      </c>
      <c r="F3896" t="s">
        <v>531</v>
      </c>
      <c r="G3896" t="s">
        <v>528</v>
      </c>
      <c r="H3896">
        <v>19901</v>
      </c>
      <c r="I3896" t="s">
        <v>30</v>
      </c>
      <c r="J3896" t="s">
        <v>41</v>
      </c>
      <c r="K3896" t="s">
        <v>59</v>
      </c>
      <c r="Q3896">
        <v>0</v>
      </c>
      <c r="R3896">
        <v>195</v>
      </c>
      <c r="S3896">
        <v>195</v>
      </c>
      <c r="T3896" t="s">
        <v>126</v>
      </c>
    </row>
    <row r="3897" spans="1:20" customFormat="1" ht="15" x14ac:dyDescent="0.25">
      <c r="A3897" t="s">
        <v>35</v>
      </c>
      <c r="B3897" t="s">
        <v>437</v>
      </c>
      <c r="C3897" t="str">
        <f>"A0185622"</f>
        <v>A0185622</v>
      </c>
      <c r="D3897" t="s">
        <v>16058</v>
      </c>
      <c r="E3897" t="s">
        <v>16059</v>
      </c>
      <c r="F3897" t="s">
        <v>12456</v>
      </c>
      <c r="G3897" t="s">
        <v>110</v>
      </c>
      <c r="H3897">
        <v>92054</v>
      </c>
      <c r="I3897" t="s">
        <v>30</v>
      </c>
      <c r="J3897" t="s">
        <v>441</v>
      </c>
      <c r="K3897" t="s">
        <v>10607</v>
      </c>
      <c r="Q3897">
        <v>0</v>
      </c>
      <c r="R3897">
        <v>0</v>
      </c>
      <c r="S3897">
        <v>0</v>
      </c>
      <c r="T3897" t="s">
        <v>72</v>
      </c>
    </row>
    <row r="3898" spans="1:20" customFormat="1" ht="15" x14ac:dyDescent="0.25">
      <c r="A3898" t="s">
        <v>35</v>
      </c>
      <c r="B3898" t="s">
        <v>61</v>
      </c>
      <c r="C3898" t="str">
        <f>"A0185621"</f>
        <v>A0185621</v>
      </c>
      <c r="D3898" t="s">
        <v>16060</v>
      </c>
      <c r="E3898" t="s">
        <v>16061</v>
      </c>
      <c r="F3898" t="s">
        <v>16062</v>
      </c>
      <c r="G3898" t="s">
        <v>71</v>
      </c>
      <c r="H3898">
        <v>53142</v>
      </c>
      <c r="I3898" t="s">
        <v>30</v>
      </c>
      <c r="J3898" t="s">
        <v>41</v>
      </c>
      <c r="K3898" t="s">
        <v>391</v>
      </c>
      <c r="Q3898">
        <v>0</v>
      </c>
      <c r="R3898">
        <v>0</v>
      </c>
      <c r="S3898">
        <v>0</v>
      </c>
      <c r="T3898" t="s">
        <v>16063</v>
      </c>
    </row>
    <row r="3899" spans="1:20" customFormat="1" ht="15" x14ac:dyDescent="0.25">
      <c r="A3899" t="s">
        <v>35</v>
      </c>
      <c r="B3899" t="s">
        <v>10414</v>
      </c>
      <c r="C3899" t="str">
        <f>"A0185620"</f>
        <v>A0185620</v>
      </c>
      <c r="D3899" t="s">
        <v>16064</v>
      </c>
      <c r="E3899" t="s">
        <v>16065</v>
      </c>
      <c r="F3899" t="s">
        <v>16066</v>
      </c>
      <c r="G3899" t="s">
        <v>110</v>
      </c>
      <c r="H3899">
        <v>92069</v>
      </c>
      <c r="I3899" t="s">
        <v>30</v>
      </c>
      <c r="J3899" t="s">
        <v>41</v>
      </c>
      <c r="K3899" t="s">
        <v>290</v>
      </c>
      <c r="Q3899">
        <v>0</v>
      </c>
      <c r="R3899">
        <v>0</v>
      </c>
      <c r="S3899">
        <v>0</v>
      </c>
      <c r="T3899" t="s">
        <v>72</v>
      </c>
    </row>
    <row r="3900" spans="1:20" customFormat="1" ht="15" x14ac:dyDescent="0.25">
      <c r="A3900" t="s">
        <v>35</v>
      </c>
      <c r="B3900" t="s">
        <v>16067</v>
      </c>
      <c r="C3900" t="str">
        <f>"A0185619"</f>
        <v>A0185619</v>
      </c>
      <c r="D3900" t="s">
        <v>16068</v>
      </c>
      <c r="E3900" t="s">
        <v>16069</v>
      </c>
      <c r="F3900" t="s">
        <v>16070</v>
      </c>
      <c r="G3900" t="s">
        <v>925</v>
      </c>
      <c r="H3900">
        <v>66209</v>
      </c>
      <c r="I3900" t="s">
        <v>30</v>
      </c>
      <c r="J3900" t="s">
        <v>41</v>
      </c>
      <c r="K3900" t="s">
        <v>290</v>
      </c>
      <c r="Q3900">
        <v>0</v>
      </c>
      <c r="R3900">
        <v>0</v>
      </c>
      <c r="S3900">
        <v>0</v>
      </c>
      <c r="T3900" t="s">
        <v>16071</v>
      </c>
    </row>
    <row r="3901" spans="1:20" customFormat="1" ht="15" x14ac:dyDescent="0.25">
      <c r="A3901" t="s">
        <v>35</v>
      </c>
      <c r="B3901" t="s">
        <v>9198</v>
      </c>
      <c r="C3901" t="str">
        <f>"A0185618"</f>
        <v>A0185618</v>
      </c>
      <c r="D3901" t="s">
        <v>9198</v>
      </c>
      <c r="E3901" t="s">
        <v>16072</v>
      </c>
      <c r="F3901" t="s">
        <v>11159</v>
      </c>
      <c r="G3901" t="s">
        <v>110</v>
      </c>
      <c r="H3901">
        <v>92029</v>
      </c>
      <c r="I3901" t="s">
        <v>30</v>
      </c>
      <c r="J3901" t="s">
        <v>41</v>
      </c>
      <c r="K3901" t="s">
        <v>290</v>
      </c>
      <c r="Q3901">
        <v>0</v>
      </c>
      <c r="R3901">
        <v>0</v>
      </c>
      <c r="S3901">
        <v>0</v>
      </c>
      <c r="T3901" t="s">
        <v>72</v>
      </c>
    </row>
    <row r="3902" spans="1:20" customFormat="1" ht="15" x14ac:dyDescent="0.25">
      <c r="A3902" t="s">
        <v>35</v>
      </c>
      <c r="B3902" t="s">
        <v>16067</v>
      </c>
      <c r="C3902" t="str">
        <f>"A0185617"</f>
        <v>A0185617</v>
      </c>
      <c r="D3902" t="s">
        <v>16073</v>
      </c>
      <c r="E3902" t="s">
        <v>16074</v>
      </c>
      <c r="F3902" t="s">
        <v>16070</v>
      </c>
      <c r="G3902" t="s">
        <v>925</v>
      </c>
      <c r="H3902">
        <v>66221</v>
      </c>
      <c r="I3902" t="s">
        <v>30</v>
      </c>
      <c r="J3902" t="s">
        <v>41</v>
      </c>
      <c r="K3902" t="s">
        <v>1440</v>
      </c>
      <c r="Q3902">
        <v>0</v>
      </c>
      <c r="R3902">
        <v>12</v>
      </c>
      <c r="S3902">
        <v>12</v>
      </c>
      <c r="T3902" t="s">
        <v>16071</v>
      </c>
    </row>
    <row r="3903" spans="1:20" customFormat="1" ht="15" x14ac:dyDescent="0.25">
      <c r="A3903" t="s">
        <v>35</v>
      </c>
      <c r="B3903" t="s">
        <v>16067</v>
      </c>
      <c r="C3903" t="str">
        <f>"A0185616"</f>
        <v>A0185616</v>
      </c>
      <c r="D3903" t="s">
        <v>16075</v>
      </c>
      <c r="E3903" t="s">
        <v>16076</v>
      </c>
      <c r="F3903" t="s">
        <v>13127</v>
      </c>
      <c r="G3903" t="s">
        <v>925</v>
      </c>
      <c r="H3903">
        <v>66221</v>
      </c>
      <c r="I3903" t="s">
        <v>30</v>
      </c>
      <c r="J3903" t="s">
        <v>41</v>
      </c>
      <c r="K3903" t="s">
        <v>1440</v>
      </c>
      <c r="Q3903">
        <v>0</v>
      </c>
      <c r="R3903">
        <v>12</v>
      </c>
      <c r="S3903">
        <v>12</v>
      </c>
      <c r="T3903" t="s">
        <v>16071</v>
      </c>
    </row>
    <row r="3904" spans="1:20" customFormat="1" ht="15" x14ac:dyDescent="0.25">
      <c r="A3904" t="s">
        <v>35</v>
      </c>
      <c r="B3904" t="s">
        <v>16067</v>
      </c>
      <c r="C3904" t="str">
        <f>"A0185615"</f>
        <v>A0185615</v>
      </c>
      <c r="D3904" t="s">
        <v>16077</v>
      </c>
      <c r="E3904" t="s">
        <v>16078</v>
      </c>
      <c r="F3904" t="s">
        <v>16079</v>
      </c>
      <c r="G3904" t="s">
        <v>1898</v>
      </c>
      <c r="H3904">
        <v>50266</v>
      </c>
      <c r="I3904" t="s">
        <v>30</v>
      </c>
      <c r="J3904" t="s">
        <v>41</v>
      </c>
      <c r="K3904" t="s">
        <v>1440</v>
      </c>
      <c r="Q3904">
        <v>0</v>
      </c>
      <c r="R3904">
        <v>120</v>
      </c>
      <c r="S3904">
        <v>120</v>
      </c>
      <c r="T3904" t="s">
        <v>16080</v>
      </c>
    </row>
    <row r="3905" spans="1:20" customFormat="1" ht="15" x14ac:dyDescent="0.25">
      <c r="A3905" t="s">
        <v>35</v>
      </c>
      <c r="B3905" t="s">
        <v>16067</v>
      </c>
      <c r="C3905" t="str">
        <f>"A0185614"</f>
        <v>A0185614</v>
      </c>
      <c r="D3905" t="s">
        <v>16081</v>
      </c>
      <c r="E3905" t="s">
        <v>16082</v>
      </c>
      <c r="F3905" t="s">
        <v>13127</v>
      </c>
      <c r="G3905" t="s">
        <v>925</v>
      </c>
      <c r="H3905">
        <v>66221</v>
      </c>
      <c r="I3905" t="s">
        <v>30</v>
      </c>
      <c r="J3905" t="s">
        <v>41</v>
      </c>
      <c r="K3905" t="s">
        <v>1440</v>
      </c>
      <c r="Q3905">
        <v>0</v>
      </c>
      <c r="R3905">
        <v>12</v>
      </c>
      <c r="S3905">
        <v>12</v>
      </c>
      <c r="T3905" t="s">
        <v>16071</v>
      </c>
    </row>
    <row r="3906" spans="1:20" customFormat="1" ht="15" x14ac:dyDescent="0.25">
      <c r="A3906" t="s">
        <v>35</v>
      </c>
      <c r="B3906" t="s">
        <v>16067</v>
      </c>
      <c r="C3906" t="str">
        <f>"A0185613"</f>
        <v>A0185613</v>
      </c>
      <c r="D3906" t="s">
        <v>16083</v>
      </c>
      <c r="E3906" t="s">
        <v>16084</v>
      </c>
      <c r="F3906" t="s">
        <v>13127</v>
      </c>
      <c r="G3906" t="s">
        <v>925</v>
      </c>
      <c r="H3906">
        <v>66221</v>
      </c>
      <c r="I3906" t="s">
        <v>30</v>
      </c>
      <c r="J3906" t="s">
        <v>41</v>
      </c>
      <c r="K3906" t="s">
        <v>1440</v>
      </c>
      <c r="Q3906">
        <v>0</v>
      </c>
      <c r="R3906">
        <v>12</v>
      </c>
      <c r="S3906">
        <v>12</v>
      </c>
      <c r="T3906" t="s">
        <v>16071</v>
      </c>
    </row>
    <row r="3907" spans="1:20" customFormat="1" ht="15" x14ac:dyDescent="0.25">
      <c r="A3907" t="s">
        <v>35</v>
      </c>
      <c r="B3907" t="s">
        <v>16067</v>
      </c>
      <c r="C3907" t="str">
        <f>"A0185612"</f>
        <v>A0185612</v>
      </c>
      <c r="D3907" t="s">
        <v>16085</v>
      </c>
      <c r="E3907" t="s">
        <v>16086</v>
      </c>
      <c r="F3907" t="s">
        <v>13127</v>
      </c>
      <c r="G3907" t="s">
        <v>925</v>
      </c>
      <c r="H3907">
        <v>66221</v>
      </c>
      <c r="I3907" t="s">
        <v>30</v>
      </c>
      <c r="J3907" t="s">
        <v>41</v>
      </c>
      <c r="K3907" t="s">
        <v>1440</v>
      </c>
      <c r="Q3907">
        <v>0</v>
      </c>
      <c r="R3907">
        <v>12</v>
      </c>
      <c r="S3907">
        <v>12</v>
      </c>
      <c r="T3907" t="s">
        <v>16071</v>
      </c>
    </row>
    <row r="3908" spans="1:20" customFormat="1" ht="15" x14ac:dyDescent="0.25">
      <c r="A3908" t="s">
        <v>35</v>
      </c>
      <c r="B3908" t="s">
        <v>16067</v>
      </c>
      <c r="C3908" t="str">
        <f>"A0185611"</f>
        <v>A0185611</v>
      </c>
      <c r="D3908" t="s">
        <v>16087</v>
      </c>
      <c r="E3908" t="s">
        <v>16088</v>
      </c>
      <c r="F3908" t="s">
        <v>13127</v>
      </c>
      <c r="G3908" t="s">
        <v>925</v>
      </c>
      <c r="H3908">
        <v>66221</v>
      </c>
      <c r="I3908" t="s">
        <v>30</v>
      </c>
      <c r="J3908" t="s">
        <v>41</v>
      </c>
      <c r="K3908" t="s">
        <v>1440</v>
      </c>
      <c r="Q3908">
        <v>0</v>
      </c>
      <c r="R3908">
        <v>12</v>
      </c>
      <c r="S3908">
        <v>12</v>
      </c>
      <c r="T3908" t="s">
        <v>16071</v>
      </c>
    </row>
    <row r="3909" spans="1:20" customFormat="1" ht="15" x14ac:dyDescent="0.25">
      <c r="A3909" t="s">
        <v>35</v>
      </c>
      <c r="B3909" t="s">
        <v>5302</v>
      </c>
      <c r="C3909" t="str">
        <f>"A0185610"</f>
        <v>A0185610</v>
      </c>
      <c r="D3909" t="s">
        <v>16089</v>
      </c>
      <c r="E3909" t="s">
        <v>16090</v>
      </c>
      <c r="F3909" t="s">
        <v>4133</v>
      </c>
      <c r="G3909" t="s">
        <v>52</v>
      </c>
      <c r="H3909">
        <v>78738</v>
      </c>
      <c r="I3909" t="s">
        <v>30</v>
      </c>
      <c r="J3909" t="s">
        <v>41</v>
      </c>
      <c r="K3909" t="s">
        <v>4020</v>
      </c>
      <c r="Q3909">
        <v>0</v>
      </c>
      <c r="R3909">
        <v>60</v>
      </c>
      <c r="S3909">
        <v>60</v>
      </c>
      <c r="T3909" t="s">
        <v>16091</v>
      </c>
    </row>
    <row r="3910" spans="1:20" customFormat="1" ht="15" x14ac:dyDescent="0.25">
      <c r="A3910" t="s">
        <v>35</v>
      </c>
      <c r="B3910" t="s">
        <v>61</v>
      </c>
      <c r="C3910" t="str">
        <f>"A0185609"</f>
        <v>A0185609</v>
      </c>
      <c r="D3910" t="s">
        <v>15841</v>
      </c>
      <c r="E3910" t="s">
        <v>16092</v>
      </c>
      <c r="F3910" t="s">
        <v>16093</v>
      </c>
      <c r="G3910" t="s">
        <v>117</v>
      </c>
      <c r="H3910">
        <v>48076</v>
      </c>
      <c r="I3910" t="s">
        <v>30</v>
      </c>
      <c r="J3910" t="s">
        <v>41</v>
      </c>
      <c r="K3910" t="s">
        <v>4020</v>
      </c>
      <c r="Q3910">
        <v>0</v>
      </c>
      <c r="R3910">
        <v>0</v>
      </c>
      <c r="S3910">
        <v>0</v>
      </c>
      <c r="T3910" t="s">
        <v>15845</v>
      </c>
    </row>
    <row r="3911" spans="1:20" customFormat="1" ht="15" x14ac:dyDescent="0.25">
      <c r="A3911" t="s">
        <v>35</v>
      </c>
      <c r="B3911" t="s">
        <v>36</v>
      </c>
      <c r="C3911" t="str">
        <f>"A0185608"</f>
        <v>A0185608</v>
      </c>
      <c r="D3911" t="s">
        <v>16094</v>
      </c>
      <c r="E3911" t="s">
        <v>16095</v>
      </c>
      <c r="F3911" t="s">
        <v>16096</v>
      </c>
      <c r="G3911" t="s">
        <v>840</v>
      </c>
      <c r="H3911">
        <v>42717</v>
      </c>
      <c r="I3911" t="s">
        <v>30</v>
      </c>
      <c r="J3911" t="s">
        <v>41</v>
      </c>
      <c r="K3911" t="s">
        <v>42</v>
      </c>
      <c r="Q3911">
        <v>0</v>
      </c>
      <c r="R3911">
        <v>0</v>
      </c>
      <c r="S3911">
        <v>0</v>
      </c>
      <c r="T3911" t="s">
        <v>16097</v>
      </c>
    </row>
    <row r="3912" spans="1:20" customFormat="1" ht="15" x14ac:dyDescent="0.25">
      <c r="A3912" t="s">
        <v>35</v>
      </c>
      <c r="B3912" t="s">
        <v>36</v>
      </c>
      <c r="C3912" t="str">
        <f>"A0185607"</f>
        <v>A0185607</v>
      </c>
      <c r="D3912" t="s">
        <v>16098</v>
      </c>
      <c r="E3912" t="s">
        <v>16099</v>
      </c>
      <c r="F3912" t="s">
        <v>4645</v>
      </c>
      <c r="G3912" t="s">
        <v>47</v>
      </c>
      <c r="H3912">
        <v>97530</v>
      </c>
      <c r="I3912" t="s">
        <v>30</v>
      </c>
      <c r="J3912" t="s">
        <v>41</v>
      </c>
      <c r="K3912" t="s">
        <v>42</v>
      </c>
      <c r="Q3912">
        <v>0</v>
      </c>
      <c r="R3912">
        <v>0</v>
      </c>
      <c r="S3912">
        <v>0</v>
      </c>
      <c r="T3912" t="s">
        <v>16100</v>
      </c>
    </row>
    <row r="3913" spans="1:20" customFormat="1" ht="15" x14ac:dyDescent="0.25">
      <c r="A3913" t="s">
        <v>35</v>
      </c>
      <c r="B3913" t="s">
        <v>61</v>
      </c>
      <c r="C3913" t="str">
        <f>"A0185606"</f>
        <v>A0185606</v>
      </c>
      <c r="D3913" t="s">
        <v>16101</v>
      </c>
      <c r="E3913" t="s">
        <v>16102</v>
      </c>
      <c r="F3913" t="s">
        <v>9607</v>
      </c>
      <c r="G3913" t="s">
        <v>161</v>
      </c>
      <c r="H3913">
        <v>55744</v>
      </c>
      <c r="I3913" t="s">
        <v>30</v>
      </c>
      <c r="J3913" t="s">
        <v>41</v>
      </c>
      <c r="K3913" t="s">
        <v>482</v>
      </c>
      <c r="Q3913">
        <v>0</v>
      </c>
      <c r="R3913">
        <v>20</v>
      </c>
      <c r="S3913">
        <v>20</v>
      </c>
      <c r="T3913" t="s">
        <v>16103</v>
      </c>
    </row>
    <row r="3914" spans="1:20" customFormat="1" ht="15" x14ac:dyDescent="0.25">
      <c r="A3914" t="s">
        <v>24</v>
      </c>
      <c r="B3914" t="s">
        <v>193</v>
      </c>
      <c r="C3914" t="str">
        <f>"A0060286"</f>
        <v>A0060286</v>
      </c>
      <c r="D3914" t="s">
        <v>16104</v>
      </c>
      <c r="E3914" t="s">
        <v>16105</v>
      </c>
      <c r="F3914" t="s">
        <v>11700</v>
      </c>
      <c r="G3914" t="s">
        <v>880</v>
      </c>
      <c r="H3914">
        <v>38116</v>
      </c>
      <c r="I3914" t="s">
        <v>30</v>
      </c>
      <c r="J3914" t="s">
        <v>31</v>
      </c>
      <c r="K3914" t="s">
        <v>296</v>
      </c>
      <c r="N3914" t="s">
        <v>16106</v>
      </c>
      <c r="O3914" t="s">
        <v>16107</v>
      </c>
      <c r="Q3914">
        <v>0</v>
      </c>
      <c r="R3914">
        <v>98</v>
      </c>
      <c r="S3914">
        <v>0</v>
      </c>
      <c r="T3914" t="s">
        <v>16108</v>
      </c>
    </row>
    <row r="3915" spans="1:20" customFormat="1" ht="15" x14ac:dyDescent="0.25">
      <c r="A3915" t="s">
        <v>24</v>
      </c>
      <c r="B3915" t="s">
        <v>7674</v>
      </c>
      <c r="C3915" t="str">
        <f>"A0185594"</f>
        <v>A0185594</v>
      </c>
      <c r="D3915" t="s">
        <v>16109</v>
      </c>
      <c r="E3915" t="s">
        <v>16110</v>
      </c>
      <c r="F3915" t="s">
        <v>716</v>
      </c>
      <c r="G3915" t="s">
        <v>289</v>
      </c>
      <c r="H3915">
        <v>60601</v>
      </c>
      <c r="I3915" t="s">
        <v>30</v>
      </c>
      <c r="J3915" t="s">
        <v>1004</v>
      </c>
      <c r="K3915" t="s">
        <v>163</v>
      </c>
      <c r="N3915" t="s">
        <v>16111</v>
      </c>
      <c r="Q3915">
        <v>0</v>
      </c>
      <c r="R3915">
        <v>0</v>
      </c>
      <c r="S3915">
        <v>0</v>
      </c>
      <c r="T3915" t="s">
        <v>16112</v>
      </c>
    </row>
    <row r="3916" spans="1:20" customFormat="1" ht="15" x14ac:dyDescent="0.25">
      <c r="A3916" t="s">
        <v>24</v>
      </c>
      <c r="B3916" t="s">
        <v>4400</v>
      </c>
      <c r="C3916" t="str">
        <f>"A0088349"</f>
        <v>A0088349</v>
      </c>
      <c r="D3916" t="s">
        <v>63839</v>
      </c>
      <c r="E3916" t="s">
        <v>63840</v>
      </c>
      <c r="F3916" t="s">
        <v>63841</v>
      </c>
      <c r="G3916" t="s">
        <v>117</v>
      </c>
      <c r="H3916">
        <v>48326</v>
      </c>
      <c r="I3916" t="s">
        <v>30</v>
      </c>
      <c r="J3916" t="s">
        <v>162</v>
      </c>
      <c r="K3916" t="s">
        <v>266</v>
      </c>
      <c r="N3916" t="s">
        <v>63842</v>
      </c>
      <c r="Q3916">
        <v>0</v>
      </c>
      <c r="R3916">
        <v>224</v>
      </c>
      <c r="S3916">
        <v>0</v>
      </c>
      <c r="T3916" t="s">
        <v>63843</v>
      </c>
    </row>
    <row r="3917" spans="1:20" customFormat="1" ht="15" x14ac:dyDescent="0.25">
      <c r="A3917" t="s">
        <v>24</v>
      </c>
      <c r="B3917" t="s">
        <v>193</v>
      </c>
      <c r="C3917" t="str">
        <f>"A0154254"</f>
        <v>A0154254</v>
      </c>
      <c r="D3917" t="s">
        <v>16118</v>
      </c>
      <c r="E3917" t="s">
        <v>16119</v>
      </c>
      <c r="F3917" t="s">
        <v>1208</v>
      </c>
      <c r="G3917" t="s">
        <v>899</v>
      </c>
      <c r="H3917">
        <v>2129</v>
      </c>
      <c r="I3917" t="s">
        <v>30</v>
      </c>
      <c r="J3917" t="s">
        <v>31</v>
      </c>
      <c r="K3917" t="s">
        <v>163</v>
      </c>
      <c r="N3917" t="s">
        <v>16120</v>
      </c>
      <c r="Q3917">
        <v>0</v>
      </c>
      <c r="R3917">
        <v>135</v>
      </c>
      <c r="S3917">
        <v>0</v>
      </c>
      <c r="T3917" t="s">
        <v>16121</v>
      </c>
    </row>
    <row r="3918" spans="1:20" customFormat="1" ht="15" x14ac:dyDescent="0.25">
      <c r="A3918" t="s">
        <v>24</v>
      </c>
      <c r="B3918" t="s">
        <v>8579</v>
      </c>
      <c r="C3918" t="str">
        <f>"A0094946"</f>
        <v>A0094946</v>
      </c>
      <c r="D3918" t="s">
        <v>63844</v>
      </c>
      <c r="E3918" t="s">
        <v>63845</v>
      </c>
      <c r="F3918" t="s">
        <v>372</v>
      </c>
      <c r="G3918" t="s">
        <v>52</v>
      </c>
      <c r="H3918">
        <v>78723</v>
      </c>
      <c r="I3918" t="s">
        <v>30</v>
      </c>
      <c r="J3918" t="s">
        <v>162</v>
      </c>
      <c r="K3918" t="s">
        <v>266</v>
      </c>
      <c r="N3918" t="s">
        <v>63846</v>
      </c>
      <c r="Q3918">
        <v>0</v>
      </c>
      <c r="R3918">
        <v>260</v>
      </c>
      <c r="S3918">
        <v>0</v>
      </c>
      <c r="T3918" t="s">
        <v>63847</v>
      </c>
    </row>
    <row r="3919" spans="1:20" customFormat="1" ht="15" x14ac:dyDescent="0.25">
      <c r="A3919" t="s">
        <v>24</v>
      </c>
      <c r="B3919" t="s">
        <v>814</v>
      </c>
      <c r="C3919" t="str">
        <f>"A0097926"</f>
        <v>A0097926</v>
      </c>
      <c r="D3919" t="s">
        <v>63848</v>
      </c>
      <c r="E3919" t="s">
        <v>63849</v>
      </c>
      <c r="F3919" t="s">
        <v>11085</v>
      </c>
      <c r="G3919" t="s">
        <v>338</v>
      </c>
      <c r="H3919">
        <v>7922</v>
      </c>
      <c r="I3919" t="s">
        <v>30</v>
      </c>
      <c r="J3919" t="s">
        <v>162</v>
      </c>
      <c r="K3919" t="s">
        <v>266</v>
      </c>
      <c r="N3919" t="s">
        <v>63850</v>
      </c>
      <c r="O3919" t="s">
        <v>63851</v>
      </c>
      <c r="Q3919">
        <v>0</v>
      </c>
      <c r="R3919">
        <v>174</v>
      </c>
      <c r="S3919">
        <v>0</v>
      </c>
      <c r="T3919" t="s">
        <v>63852</v>
      </c>
    </row>
    <row r="3920" spans="1:20" customFormat="1" ht="15" x14ac:dyDescent="0.25">
      <c r="A3920" t="s">
        <v>24</v>
      </c>
      <c r="B3920" t="s">
        <v>2380</v>
      </c>
      <c r="C3920" t="str">
        <f>"A0088713"</f>
        <v>A0088713</v>
      </c>
      <c r="D3920" t="s">
        <v>63853</v>
      </c>
      <c r="E3920" t="s">
        <v>63854</v>
      </c>
      <c r="F3920" t="s">
        <v>5706</v>
      </c>
      <c r="G3920" t="s">
        <v>1706</v>
      </c>
      <c r="H3920">
        <v>35209</v>
      </c>
      <c r="I3920" t="s">
        <v>30</v>
      </c>
      <c r="J3920" t="s">
        <v>162</v>
      </c>
      <c r="K3920" t="s">
        <v>266</v>
      </c>
      <c r="N3920" t="s">
        <v>63855</v>
      </c>
      <c r="Q3920">
        <v>0</v>
      </c>
      <c r="R3920">
        <v>242</v>
      </c>
      <c r="S3920">
        <v>0</v>
      </c>
      <c r="T3920" t="s">
        <v>63856</v>
      </c>
    </row>
    <row r="3921" spans="1:25" customFormat="1" ht="15" x14ac:dyDescent="0.25">
      <c r="A3921" t="s">
        <v>24</v>
      </c>
      <c r="B3921" t="s">
        <v>54771</v>
      </c>
      <c r="C3921" t="str">
        <f>"A0088728"</f>
        <v>A0088728</v>
      </c>
      <c r="D3921" t="s">
        <v>63857</v>
      </c>
      <c r="E3921" t="s">
        <v>63858</v>
      </c>
      <c r="F3921" t="s">
        <v>6404</v>
      </c>
      <c r="G3921" t="s">
        <v>161</v>
      </c>
      <c r="H3921">
        <v>55431</v>
      </c>
      <c r="I3921" t="s">
        <v>30</v>
      </c>
      <c r="J3921" t="s">
        <v>162</v>
      </c>
      <c r="K3921" t="s">
        <v>266</v>
      </c>
      <c r="N3921" t="s">
        <v>6937</v>
      </c>
      <c r="Q3921">
        <v>0</v>
      </c>
      <c r="R3921">
        <v>232</v>
      </c>
      <c r="S3921">
        <v>0</v>
      </c>
      <c r="T3921" t="s">
        <v>63859</v>
      </c>
    </row>
    <row r="3922" spans="1:25" customFormat="1" ht="15" hidden="1" x14ac:dyDescent="0.25">
      <c r="A3922" t="s">
        <v>24</v>
      </c>
      <c r="B3922" t="s">
        <v>140</v>
      </c>
      <c r="C3922" t="str">
        <f>"39485"</f>
        <v>39485</v>
      </c>
      <c r="D3922" t="s">
        <v>16142</v>
      </c>
      <c r="E3922" t="s">
        <v>16143</v>
      </c>
      <c r="F3922" t="s">
        <v>16144</v>
      </c>
      <c r="G3922" t="s">
        <v>16145</v>
      </c>
      <c r="H3922">
        <v>801</v>
      </c>
      <c r="I3922" t="s">
        <v>16146</v>
      </c>
      <c r="J3922" t="s">
        <v>162</v>
      </c>
      <c r="K3922" t="s">
        <v>1490</v>
      </c>
      <c r="N3922" t="s">
        <v>16147</v>
      </c>
      <c r="Q3922">
        <v>0</v>
      </c>
      <c r="R3922">
        <v>384</v>
      </c>
      <c r="S3922">
        <v>0</v>
      </c>
      <c r="T3922" t="s">
        <v>16148</v>
      </c>
    </row>
    <row r="3923" spans="1:25" customFormat="1" ht="15" x14ac:dyDescent="0.25">
      <c r="A3923" t="s">
        <v>24</v>
      </c>
      <c r="B3923" t="s">
        <v>976</v>
      </c>
      <c r="C3923" t="str">
        <f>"A0064553"</f>
        <v>A0064553</v>
      </c>
      <c r="D3923" t="s">
        <v>63860</v>
      </c>
      <c r="E3923" t="s">
        <v>63861</v>
      </c>
      <c r="F3923" t="s">
        <v>59731</v>
      </c>
      <c r="G3923" t="s">
        <v>65</v>
      </c>
      <c r="H3923">
        <v>45242</v>
      </c>
      <c r="I3923" t="s">
        <v>30</v>
      </c>
      <c r="J3923" t="s">
        <v>162</v>
      </c>
      <c r="K3923" t="s">
        <v>266</v>
      </c>
      <c r="N3923" t="s">
        <v>63862</v>
      </c>
      <c r="Q3923">
        <v>0</v>
      </c>
      <c r="R3923">
        <v>238</v>
      </c>
      <c r="S3923">
        <v>0</v>
      </c>
      <c r="T3923" t="s">
        <v>63863</v>
      </c>
    </row>
    <row r="3924" spans="1:25" customFormat="1" ht="15" x14ac:dyDescent="0.25">
      <c r="A3924" t="s">
        <v>24</v>
      </c>
      <c r="B3924" t="s">
        <v>2373</v>
      </c>
      <c r="C3924" t="str">
        <f>"A0084180"</f>
        <v>A0084180</v>
      </c>
      <c r="D3924" t="s">
        <v>63864</v>
      </c>
      <c r="E3924" t="s">
        <v>63865</v>
      </c>
      <c r="F3924" t="s">
        <v>25902</v>
      </c>
      <c r="G3924" t="s">
        <v>899</v>
      </c>
      <c r="H3924">
        <v>2451</v>
      </c>
      <c r="I3924" t="s">
        <v>30</v>
      </c>
      <c r="J3924" t="s">
        <v>162</v>
      </c>
      <c r="K3924" t="s">
        <v>266</v>
      </c>
      <c r="N3924" t="s">
        <v>63866</v>
      </c>
      <c r="O3924" t="s">
        <v>63867</v>
      </c>
      <c r="Q3924">
        <v>0</v>
      </c>
      <c r="R3924">
        <v>275</v>
      </c>
      <c r="S3924">
        <v>0</v>
      </c>
      <c r="T3924" t="s">
        <v>63868</v>
      </c>
    </row>
    <row r="3925" spans="1:25" customFormat="1" ht="15" x14ac:dyDescent="0.25">
      <c r="A3925" t="s">
        <v>24</v>
      </c>
      <c r="B3925" t="s">
        <v>5166</v>
      </c>
      <c r="C3925" t="str">
        <f>"A0098107"</f>
        <v>A0098107</v>
      </c>
      <c r="D3925" t="s">
        <v>63869</v>
      </c>
      <c r="E3925" t="s">
        <v>63870</v>
      </c>
      <c r="F3925" t="s">
        <v>3891</v>
      </c>
      <c r="G3925" t="s">
        <v>190</v>
      </c>
      <c r="H3925">
        <v>80302</v>
      </c>
      <c r="I3925" t="s">
        <v>30</v>
      </c>
      <c r="J3925" t="s">
        <v>162</v>
      </c>
      <c r="K3925" t="s">
        <v>266</v>
      </c>
      <c r="N3925" t="s">
        <v>63871</v>
      </c>
      <c r="O3925" t="s">
        <v>63872</v>
      </c>
      <c r="Q3925">
        <v>0</v>
      </c>
      <c r="R3925">
        <v>203</v>
      </c>
      <c r="S3925">
        <v>0</v>
      </c>
      <c r="T3925" t="s">
        <v>63873</v>
      </c>
    </row>
    <row r="3926" spans="1:25" customFormat="1" ht="15" x14ac:dyDescent="0.25">
      <c r="A3926" t="s">
        <v>24</v>
      </c>
      <c r="B3926" t="s">
        <v>16155</v>
      </c>
      <c r="C3926" t="str">
        <f>"A0158591"</f>
        <v>A0158591</v>
      </c>
      <c r="D3926" t="s">
        <v>16165</v>
      </c>
      <c r="E3926" t="s">
        <v>16166</v>
      </c>
      <c r="F3926" t="s">
        <v>2235</v>
      </c>
      <c r="G3926" t="s">
        <v>123</v>
      </c>
      <c r="H3926">
        <v>21842</v>
      </c>
      <c r="I3926" t="s">
        <v>30</v>
      </c>
      <c r="J3926" t="s">
        <v>31</v>
      </c>
      <c r="K3926" t="s">
        <v>163</v>
      </c>
      <c r="N3926" t="s">
        <v>16167</v>
      </c>
      <c r="Q3926">
        <v>0</v>
      </c>
      <c r="R3926">
        <v>132</v>
      </c>
      <c r="S3926">
        <v>0</v>
      </c>
      <c r="T3926" t="s">
        <v>16168</v>
      </c>
    </row>
    <row r="3927" spans="1:25" customFormat="1" ht="15" x14ac:dyDescent="0.25">
      <c r="A3927" t="s">
        <v>24</v>
      </c>
      <c r="B3927" t="s">
        <v>63821</v>
      </c>
      <c r="C3927" t="str">
        <f>"A0064552"</f>
        <v>A0064552</v>
      </c>
      <c r="D3927" t="s">
        <v>63874</v>
      </c>
      <c r="E3927" t="s">
        <v>63875</v>
      </c>
      <c r="F3927" t="s">
        <v>55200</v>
      </c>
      <c r="G3927" t="s">
        <v>110</v>
      </c>
      <c r="H3927">
        <v>92821</v>
      </c>
      <c r="I3927" t="s">
        <v>30</v>
      </c>
      <c r="J3927" t="s">
        <v>162</v>
      </c>
      <c r="K3927" t="s">
        <v>266</v>
      </c>
      <c r="N3927" t="s">
        <v>63876</v>
      </c>
      <c r="Q3927">
        <v>0</v>
      </c>
      <c r="R3927">
        <v>229</v>
      </c>
      <c r="S3927">
        <v>0</v>
      </c>
      <c r="T3927" t="s">
        <v>63877</v>
      </c>
    </row>
    <row r="3928" spans="1:25" customFormat="1" ht="15" x14ac:dyDescent="0.25">
      <c r="A3928" t="s">
        <v>24</v>
      </c>
      <c r="B3928" t="s">
        <v>16155</v>
      </c>
      <c r="C3928" t="str">
        <f>"A0154358"</f>
        <v>A0154358</v>
      </c>
      <c r="D3928" t="s">
        <v>16174</v>
      </c>
      <c r="E3928" t="s">
        <v>16175</v>
      </c>
      <c r="F3928" t="s">
        <v>16176</v>
      </c>
      <c r="G3928" t="s">
        <v>103</v>
      </c>
      <c r="H3928">
        <v>18042</v>
      </c>
      <c r="I3928" t="s">
        <v>30</v>
      </c>
      <c r="J3928" t="s">
        <v>31</v>
      </c>
      <c r="K3928" t="s">
        <v>163</v>
      </c>
      <c r="N3928" t="s">
        <v>16177</v>
      </c>
      <c r="O3928" t="s">
        <v>16178</v>
      </c>
      <c r="Q3928">
        <v>0</v>
      </c>
      <c r="R3928">
        <v>40</v>
      </c>
      <c r="S3928">
        <v>0</v>
      </c>
      <c r="T3928" t="s">
        <v>16179</v>
      </c>
    </row>
    <row r="3929" spans="1:25" customFormat="1" ht="15" x14ac:dyDescent="0.25">
      <c r="A3929" t="s">
        <v>24</v>
      </c>
      <c r="B3929" t="s">
        <v>16155</v>
      </c>
      <c r="C3929" t="str">
        <f>"A0153180"</f>
        <v>A0153180</v>
      </c>
      <c r="D3929" t="s">
        <v>16180</v>
      </c>
      <c r="E3929" t="s">
        <v>16181</v>
      </c>
      <c r="F3929" t="s">
        <v>16182</v>
      </c>
      <c r="G3929" t="s">
        <v>29</v>
      </c>
      <c r="H3929">
        <v>22603</v>
      </c>
      <c r="I3929" t="s">
        <v>30</v>
      </c>
      <c r="J3929" t="s">
        <v>31</v>
      </c>
      <c r="K3929" t="s">
        <v>255</v>
      </c>
      <c r="N3929" t="s">
        <v>16183</v>
      </c>
      <c r="O3929" t="s">
        <v>16184</v>
      </c>
      <c r="Q3929">
        <v>0</v>
      </c>
      <c r="R3929">
        <v>96</v>
      </c>
      <c r="S3929">
        <v>0</v>
      </c>
      <c r="T3929" t="s">
        <v>16185</v>
      </c>
    </row>
    <row r="3930" spans="1:25" customFormat="1" ht="15" x14ac:dyDescent="0.25">
      <c r="A3930" t="s">
        <v>24</v>
      </c>
      <c r="B3930" t="s">
        <v>2812</v>
      </c>
      <c r="C3930" t="str">
        <f>"A0084096"</f>
        <v>A0084096</v>
      </c>
      <c r="D3930" t="s">
        <v>63878</v>
      </c>
      <c r="E3930" t="s">
        <v>63879</v>
      </c>
      <c r="F3930" t="s">
        <v>845</v>
      </c>
      <c r="G3930" t="s">
        <v>846</v>
      </c>
      <c r="H3930">
        <v>30339</v>
      </c>
      <c r="I3930" t="s">
        <v>30</v>
      </c>
      <c r="J3930" t="s">
        <v>162</v>
      </c>
      <c r="K3930" t="s">
        <v>266</v>
      </c>
      <c r="N3930" t="s">
        <v>63880</v>
      </c>
      <c r="Q3930">
        <v>0</v>
      </c>
      <c r="R3930">
        <v>300</v>
      </c>
      <c r="S3930">
        <v>0</v>
      </c>
      <c r="T3930" t="s">
        <v>63881</v>
      </c>
    </row>
    <row r="3931" spans="1:25" customFormat="1" ht="15" x14ac:dyDescent="0.25">
      <c r="A3931" t="s">
        <v>24</v>
      </c>
      <c r="B3931" t="s">
        <v>16155</v>
      </c>
      <c r="C3931" t="str">
        <f>"A0149399"</f>
        <v>A0149399</v>
      </c>
      <c r="D3931" t="s">
        <v>16190</v>
      </c>
      <c r="E3931" t="s">
        <v>16191</v>
      </c>
      <c r="F3931" t="s">
        <v>3880</v>
      </c>
      <c r="G3931" t="s">
        <v>99</v>
      </c>
      <c r="H3931">
        <v>10018</v>
      </c>
      <c r="I3931" t="s">
        <v>30</v>
      </c>
      <c r="J3931" t="s">
        <v>31</v>
      </c>
      <c r="K3931" t="s">
        <v>1243</v>
      </c>
      <c r="N3931" t="s">
        <v>16192</v>
      </c>
      <c r="Q3931">
        <v>0</v>
      </c>
      <c r="R3931">
        <v>68</v>
      </c>
      <c r="S3931">
        <v>0</v>
      </c>
      <c r="T3931" t="s">
        <v>16193</v>
      </c>
    </row>
    <row r="3932" spans="1:25" customFormat="1" ht="15" x14ac:dyDescent="0.25">
      <c r="A3932" t="s">
        <v>24</v>
      </c>
      <c r="B3932" t="s">
        <v>16155</v>
      </c>
      <c r="C3932" t="str">
        <f>"A0149398"</f>
        <v>A0149398</v>
      </c>
      <c r="D3932" t="s">
        <v>16194</v>
      </c>
      <c r="E3932" t="s">
        <v>16195</v>
      </c>
      <c r="F3932" t="s">
        <v>3880</v>
      </c>
      <c r="G3932" t="s">
        <v>99</v>
      </c>
      <c r="H3932">
        <v>10016</v>
      </c>
      <c r="I3932" t="s">
        <v>30</v>
      </c>
      <c r="J3932" t="s">
        <v>31</v>
      </c>
      <c r="K3932" t="s">
        <v>321</v>
      </c>
      <c r="N3932" t="s">
        <v>16196</v>
      </c>
      <c r="Q3932">
        <v>0</v>
      </c>
      <c r="R3932">
        <v>81</v>
      </c>
      <c r="S3932">
        <v>0</v>
      </c>
      <c r="T3932" t="s">
        <v>16197</v>
      </c>
    </row>
    <row r="3933" spans="1:25" customFormat="1" ht="15" x14ac:dyDescent="0.25">
      <c r="A3933" t="s">
        <v>24</v>
      </c>
      <c r="B3933" t="s">
        <v>16155</v>
      </c>
      <c r="C3933" t="str">
        <f>"A0148510"</f>
        <v>A0148510</v>
      </c>
      <c r="D3933" t="s">
        <v>16198</v>
      </c>
      <c r="E3933" t="s">
        <v>16199</v>
      </c>
      <c r="F3933" t="s">
        <v>5586</v>
      </c>
      <c r="G3933" t="s">
        <v>99</v>
      </c>
      <c r="H3933">
        <v>11101</v>
      </c>
      <c r="I3933" t="s">
        <v>30</v>
      </c>
      <c r="J3933" t="s">
        <v>31</v>
      </c>
      <c r="K3933" t="s">
        <v>1243</v>
      </c>
      <c r="N3933" t="s">
        <v>16200</v>
      </c>
      <c r="Q3933">
        <v>0</v>
      </c>
      <c r="R3933">
        <v>144</v>
      </c>
      <c r="S3933">
        <v>0</v>
      </c>
      <c r="T3933" t="s">
        <v>16201</v>
      </c>
    </row>
    <row r="3934" spans="1:25" customFormat="1" ht="15" x14ac:dyDescent="0.25">
      <c r="A3934" t="s">
        <v>24</v>
      </c>
      <c r="B3934" t="s">
        <v>16155</v>
      </c>
      <c r="C3934" t="str">
        <f>"A0101169"</f>
        <v>A0101169</v>
      </c>
      <c r="D3934" t="s">
        <v>16202</v>
      </c>
      <c r="E3934" t="s">
        <v>16203</v>
      </c>
      <c r="F3934" t="s">
        <v>5586</v>
      </c>
      <c r="G3934" t="s">
        <v>99</v>
      </c>
      <c r="H3934">
        <v>11101</v>
      </c>
      <c r="I3934" t="s">
        <v>30</v>
      </c>
      <c r="J3934" t="s">
        <v>145</v>
      </c>
      <c r="K3934" t="s">
        <v>4520</v>
      </c>
      <c r="N3934" t="s">
        <v>16204</v>
      </c>
      <c r="Q3934">
        <v>0</v>
      </c>
      <c r="R3934">
        <v>75</v>
      </c>
      <c r="S3934">
        <v>0</v>
      </c>
      <c r="T3934" t="s">
        <v>16205</v>
      </c>
    </row>
    <row r="3935" spans="1:25" customFormat="1" ht="15" x14ac:dyDescent="0.25">
      <c r="A3935" t="s">
        <v>24</v>
      </c>
      <c r="B3935" t="s">
        <v>16155</v>
      </c>
      <c r="C3935" t="str">
        <f>"A0101095"</f>
        <v>A0101095</v>
      </c>
      <c r="D3935" t="s">
        <v>16206</v>
      </c>
      <c r="E3935" t="s">
        <v>16207</v>
      </c>
      <c r="F3935" t="s">
        <v>16208</v>
      </c>
      <c r="G3935" t="s">
        <v>29</v>
      </c>
      <c r="H3935">
        <v>23901</v>
      </c>
      <c r="I3935" t="s">
        <v>30</v>
      </c>
      <c r="J3935" t="s">
        <v>31</v>
      </c>
      <c r="K3935" t="s">
        <v>282</v>
      </c>
      <c r="N3935" t="s">
        <v>16209</v>
      </c>
      <c r="Q3935">
        <v>0</v>
      </c>
      <c r="R3935">
        <v>95</v>
      </c>
      <c r="S3935">
        <v>0</v>
      </c>
      <c r="T3935" t="s">
        <v>16210</v>
      </c>
    </row>
    <row r="3936" spans="1:25" x14ac:dyDescent="0.25">
      <c r="A3936" s="5" t="s">
        <v>24</v>
      </c>
      <c r="B3936" s="5" t="s">
        <v>2812</v>
      </c>
      <c r="C3936" s="5" t="str">
        <f>"A0147506"</f>
        <v>A0147506</v>
      </c>
      <c r="D3936" s="5" t="s">
        <v>63882</v>
      </c>
      <c r="E3936" s="5" t="s">
        <v>63883</v>
      </c>
      <c r="F3936" s="5" t="s">
        <v>6314</v>
      </c>
      <c r="G3936" s="5" t="s">
        <v>117</v>
      </c>
      <c r="H3936" s="5">
        <v>48098</v>
      </c>
      <c r="I3936" s="5" t="s">
        <v>30</v>
      </c>
      <c r="J3936" s="5" t="s">
        <v>162</v>
      </c>
      <c r="K3936" s="5" t="s">
        <v>266</v>
      </c>
      <c r="L3936" s="5"/>
      <c r="M3936" s="5"/>
      <c r="N3936" s="5" t="s">
        <v>63884</v>
      </c>
      <c r="O3936" s="5"/>
      <c r="P3936" s="5"/>
      <c r="Q3936" s="5">
        <v>0</v>
      </c>
      <c r="R3936" s="5">
        <v>251</v>
      </c>
      <c r="S3936" s="5">
        <v>0</v>
      </c>
      <c r="T3936" s="5" t="s">
        <v>63885</v>
      </c>
      <c r="U3936" s="5"/>
      <c r="V3936" s="5"/>
      <c r="W3936" s="5"/>
      <c r="X3936" s="5"/>
      <c r="Y3936" s="5"/>
    </row>
    <row r="3937" spans="1:20" customFormat="1" ht="15" x14ac:dyDescent="0.25">
      <c r="A3937" t="s">
        <v>24</v>
      </c>
      <c r="B3937" t="s">
        <v>56967</v>
      </c>
      <c r="C3937" t="str">
        <f>"A0087104"</f>
        <v>A0087104</v>
      </c>
      <c r="D3937" t="s">
        <v>63886</v>
      </c>
      <c r="E3937" t="s">
        <v>63887</v>
      </c>
      <c r="F3937" t="s">
        <v>321</v>
      </c>
      <c r="G3937" t="s">
        <v>110</v>
      </c>
      <c r="H3937">
        <v>92253</v>
      </c>
      <c r="I3937" t="s">
        <v>30</v>
      </c>
      <c r="J3937" t="s">
        <v>162</v>
      </c>
      <c r="K3937" t="s">
        <v>266</v>
      </c>
      <c r="N3937" t="s">
        <v>63888</v>
      </c>
      <c r="O3937" t="s">
        <v>63889</v>
      </c>
      <c r="Q3937">
        <v>0</v>
      </c>
      <c r="R3937">
        <v>151</v>
      </c>
      <c r="S3937">
        <v>0</v>
      </c>
      <c r="T3937" t="s">
        <v>63890</v>
      </c>
    </row>
    <row r="3938" spans="1:20" customFormat="1" ht="15" x14ac:dyDescent="0.25">
      <c r="A3938" t="s">
        <v>24</v>
      </c>
      <c r="B3938" t="s">
        <v>16155</v>
      </c>
      <c r="C3938" t="str">
        <f>"A0099793"</f>
        <v>A0099793</v>
      </c>
      <c r="D3938" t="s">
        <v>16222</v>
      </c>
      <c r="E3938" t="s">
        <v>16223</v>
      </c>
      <c r="F3938" t="s">
        <v>1258</v>
      </c>
      <c r="G3938" t="s">
        <v>81</v>
      </c>
      <c r="H3938">
        <v>32114</v>
      </c>
      <c r="I3938" t="s">
        <v>30</v>
      </c>
      <c r="J3938" t="s">
        <v>31</v>
      </c>
      <c r="K3938" t="s">
        <v>321</v>
      </c>
      <c r="N3938" t="s">
        <v>16224</v>
      </c>
      <c r="O3938" t="s">
        <v>16225</v>
      </c>
      <c r="Q3938">
        <v>0</v>
      </c>
      <c r="R3938">
        <v>143</v>
      </c>
      <c r="S3938">
        <v>0</v>
      </c>
      <c r="T3938" t="s">
        <v>16226</v>
      </c>
    </row>
    <row r="3939" spans="1:20" customFormat="1" ht="15" x14ac:dyDescent="0.25">
      <c r="A3939" t="s">
        <v>24</v>
      </c>
      <c r="B3939" t="s">
        <v>1567</v>
      </c>
      <c r="C3939" t="str">
        <f>"A0057679"</f>
        <v>A0057679</v>
      </c>
      <c r="D3939" t="s">
        <v>63891</v>
      </c>
      <c r="E3939" t="s">
        <v>63892</v>
      </c>
      <c r="F3939" t="s">
        <v>57381</v>
      </c>
      <c r="G3939" t="s">
        <v>71</v>
      </c>
      <c r="H3939">
        <v>53005</v>
      </c>
      <c r="I3939" t="s">
        <v>30</v>
      </c>
      <c r="J3939" t="s">
        <v>162</v>
      </c>
      <c r="K3939" t="s">
        <v>266</v>
      </c>
      <c r="N3939" t="s">
        <v>63893</v>
      </c>
      <c r="Q3939">
        <v>0</v>
      </c>
      <c r="R3939">
        <v>203</v>
      </c>
      <c r="S3939">
        <v>0</v>
      </c>
      <c r="T3939" t="s">
        <v>63894</v>
      </c>
    </row>
    <row r="3940" spans="1:20" customFormat="1" ht="15" x14ac:dyDescent="0.25">
      <c r="A3940" t="s">
        <v>24</v>
      </c>
      <c r="B3940" t="s">
        <v>11484</v>
      </c>
      <c r="C3940" t="str">
        <f>"A0100577"</f>
        <v>A0100577</v>
      </c>
      <c r="D3940" t="s">
        <v>63895</v>
      </c>
      <c r="E3940" t="s">
        <v>63896</v>
      </c>
      <c r="F3940" t="s">
        <v>6404</v>
      </c>
      <c r="G3940" t="s">
        <v>161</v>
      </c>
      <c r="H3940">
        <v>55402</v>
      </c>
      <c r="I3940" t="s">
        <v>30</v>
      </c>
      <c r="J3940" t="s">
        <v>162</v>
      </c>
      <c r="K3940" t="s">
        <v>266</v>
      </c>
      <c r="N3940" t="s">
        <v>63442</v>
      </c>
      <c r="Q3940">
        <v>0</v>
      </c>
      <c r="R3940">
        <v>290</v>
      </c>
      <c r="S3940">
        <v>0</v>
      </c>
      <c r="T3940" t="s">
        <v>63897</v>
      </c>
    </row>
    <row r="3941" spans="1:20" customFormat="1" ht="15" x14ac:dyDescent="0.25">
      <c r="A3941" t="s">
        <v>24</v>
      </c>
      <c r="B3941" t="s">
        <v>2812</v>
      </c>
      <c r="C3941" t="str">
        <f>"A0099353"</f>
        <v>A0099353</v>
      </c>
      <c r="D3941" t="s">
        <v>63903</v>
      </c>
      <c r="E3941" t="s">
        <v>63904</v>
      </c>
      <c r="F3941" t="s">
        <v>196</v>
      </c>
      <c r="G3941" t="s">
        <v>197</v>
      </c>
      <c r="H3941">
        <v>85012</v>
      </c>
      <c r="I3941" t="s">
        <v>30</v>
      </c>
      <c r="J3941" t="s">
        <v>162</v>
      </c>
      <c r="K3941" t="s">
        <v>266</v>
      </c>
      <c r="N3941" t="s">
        <v>63905</v>
      </c>
      <c r="O3941" t="s">
        <v>63906</v>
      </c>
      <c r="Q3941">
        <v>0</v>
      </c>
      <c r="R3941">
        <v>242</v>
      </c>
      <c r="S3941">
        <v>0</v>
      </c>
      <c r="T3941" t="s">
        <v>63907</v>
      </c>
    </row>
    <row r="3942" spans="1:20" customFormat="1" ht="15" x14ac:dyDescent="0.25">
      <c r="A3942" t="s">
        <v>24</v>
      </c>
      <c r="B3942" t="s">
        <v>2812</v>
      </c>
      <c r="C3942" t="str">
        <f>"A0088719"</f>
        <v>A0088719</v>
      </c>
      <c r="D3942" t="s">
        <v>63908</v>
      </c>
      <c r="E3942" t="s">
        <v>63909</v>
      </c>
      <c r="F3942" t="s">
        <v>63910</v>
      </c>
      <c r="G3942" t="s">
        <v>110</v>
      </c>
      <c r="H3942">
        <v>94903</v>
      </c>
      <c r="I3942" t="s">
        <v>30</v>
      </c>
      <c r="J3942" t="s">
        <v>162</v>
      </c>
      <c r="K3942" t="s">
        <v>266</v>
      </c>
      <c r="N3942" t="s">
        <v>63911</v>
      </c>
      <c r="O3942" t="s">
        <v>63912</v>
      </c>
      <c r="Q3942">
        <v>0</v>
      </c>
      <c r="R3942">
        <v>236</v>
      </c>
      <c r="S3942">
        <v>0</v>
      </c>
      <c r="T3942" t="s">
        <v>63913</v>
      </c>
    </row>
    <row r="3943" spans="1:20" customFormat="1" ht="15" x14ac:dyDescent="0.25">
      <c r="A3943" t="s">
        <v>24</v>
      </c>
      <c r="B3943" t="s">
        <v>2812</v>
      </c>
      <c r="C3943" t="str">
        <f>"A0147507"</f>
        <v>A0147507</v>
      </c>
      <c r="D3943" t="s">
        <v>63914</v>
      </c>
      <c r="E3943" t="s">
        <v>63915</v>
      </c>
      <c r="F3943" t="s">
        <v>63916</v>
      </c>
      <c r="G3943" t="s">
        <v>81</v>
      </c>
      <c r="H3943">
        <v>32080</v>
      </c>
      <c r="I3943" t="s">
        <v>30</v>
      </c>
      <c r="J3943" t="s">
        <v>162</v>
      </c>
      <c r="K3943" t="s">
        <v>266</v>
      </c>
      <c r="N3943" t="s">
        <v>63917</v>
      </c>
      <c r="O3943" t="s">
        <v>63918</v>
      </c>
      <c r="Q3943">
        <v>0</v>
      </c>
      <c r="R3943">
        <v>175</v>
      </c>
      <c r="S3943">
        <v>0</v>
      </c>
      <c r="T3943" t="s">
        <v>63919</v>
      </c>
    </row>
    <row r="3944" spans="1:20" customFormat="1" ht="15" x14ac:dyDescent="0.25">
      <c r="A3944" t="s">
        <v>24</v>
      </c>
      <c r="B3944" t="s">
        <v>16155</v>
      </c>
      <c r="C3944" t="str">
        <f>"A0098123"</f>
        <v>A0098123</v>
      </c>
      <c r="D3944" t="s">
        <v>16251</v>
      </c>
      <c r="E3944" t="s">
        <v>16252</v>
      </c>
      <c r="F3944" t="s">
        <v>16253</v>
      </c>
      <c r="G3944" t="s">
        <v>29</v>
      </c>
      <c r="H3944">
        <v>24522</v>
      </c>
      <c r="I3944" t="s">
        <v>30</v>
      </c>
      <c r="J3944" t="s">
        <v>31</v>
      </c>
      <c r="K3944" t="s">
        <v>163</v>
      </c>
      <c r="N3944" t="s">
        <v>16254</v>
      </c>
      <c r="Q3944">
        <v>0</v>
      </c>
      <c r="R3944">
        <v>56</v>
      </c>
      <c r="S3944">
        <v>0</v>
      </c>
      <c r="T3944" t="s">
        <v>16255</v>
      </c>
    </row>
    <row r="3945" spans="1:20" customFormat="1" ht="15" x14ac:dyDescent="0.25">
      <c r="A3945" t="s">
        <v>24</v>
      </c>
      <c r="B3945" t="s">
        <v>16155</v>
      </c>
      <c r="C3945" t="str">
        <f>"A0098113"</f>
        <v>A0098113</v>
      </c>
      <c r="D3945" t="s">
        <v>16256</v>
      </c>
      <c r="E3945" t="s">
        <v>16257</v>
      </c>
      <c r="F3945" t="s">
        <v>2235</v>
      </c>
      <c r="G3945" t="s">
        <v>123</v>
      </c>
      <c r="H3945">
        <v>21842</v>
      </c>
      <c r="I3945" t="s">
        <v>30</v>
      </c>
      <c r="J3945" t="s">
        <v>31</v>
      </c>
      <c r="K3945" t="s">
        <v>282</v>
      </c>
      <c r="N3945" t="s">
        <v>16258</v>
      </c>
      <c r="Q3945">
        <v>0</v>
      </c>
      <c r="R3945">
        <v>84</v>
      </c>
      <c r="S3945">
        <v>0</v>
      </c>
      <c r="T3945" t="s">
        <v>16259</v>
      </c>
    </row>
    <row r="3946" spans="1:20" customFormat="1" ht="15" x14ac:dyDescent="0.25">
      <c r="A3946" t="s">
        <v>24</v>
      </c>
      <c r="B3946" t="s">
        <v>2812</v>
      </c>
      <c r="C3946" t="str">
        <f>"A0147537"</f>
        <v>A0147537</v>
      </c>
      <c r="D3946" t="s">
        <v>63924</v>
      </c>
      <c r="E3946" t="s">
        <v>63925</v>
      </c>
      <c r="F3946" t="s">
        <v>7579</v>
      </c>
      <c r="G3946" t="s">
        <v>40</v>
      </c>
      <c r="H3946">
        <v>74145</v>
      </c>
      <c r="I3946" t="s">
        <v>30</v>
      </c>
      <c r="J3946" t="s">
        <v>162</v>
      </c>
      <c r="K3946" t="s">
        <v>266</v>
      </c>
      <c r="N3946" t="s">
        <v>63926</v>
      </c>
      <c r="Q3946">
        <v>0</v>
      </c>
      <c r="R3946">
        <v>244</v>
      </c>
      <c r="S3946">
        <v>0</v>
      </c>
      <c r="T3946" t="s">
        <v>63927</v>
      </c>
    </row>
    <row r="3947" spans="1:20" customFormat="1" ht="15" x14ac:dyDescent="0.25">
      <c r="A3947" t="s">
        <v>24</v>
      </c>
      <c r="B3947" t="s">
        <v>16155</v>
      </c>
      <c r="C3947" t="str">
        <f>"A0088619"</f>
        <v>A0088619</v>
      </c>
      <c r="D3947" t="s">
        <v>16265</v>
      </c>
      <c r="E3947" t="s">
        <v>16266</v>
      </c>
      <c r="F3947" t="s">
        <v>16267</v>
      </c>
      <c r="G3947" t="s">
        <v>29</v>
      </c>
      <c r="H3947">
        <v>23451</v>
      </c>
      <c r="I3947" t="s">
        <v>30</v>
      </c>
      <c r="J3947" t="s">
        <v>31</v>
      </c>
      <c r="K3947" t="s">
        <v>163</v>
      </c>
      <c r="N3947" t="s">
        <v>16268</v>
      </c>
      <c r="O3947" t="s">
        <v>16269</v>
      </c>
      <c r="Q3947">
        <v>0</v>
      </c>
      <c r="R3947">
        <v>68</v>
      </c>
      <c r="S3947">
        <v>0</v>
      </c>
      <c r="T3947" t="s">
        <v>16270</v>
      </c>
    </row>
    <row r="3948" spans="1:20" customFormat="1" ht="15" x14ac:dyDescent="0.25">
      <c r="A3948" t="s">
        <v>24</v>
      </c>
      <c r="B3948" t="s">
        <v>11506</v>
      </c>
      <c r="C3948" t="str">
        <f>"A0095769"</f>
        <v>A0095769</v>
      </c>
      <c r="D3948" t="s">
        <v>63928</v>
      </c>
      <c r="E3948" t="s">
        <v>63929</v>
      </c>
      <c r="F3948" t="s">
        <v>63930</v>
      </c>
      <c r="G3948" t="s">
        <v>65</v>
      </c>
      <c r="H3948">
        <v>44720</v>
      </c>
      <c r="I3948" t="s">
        <v>30</v>
      </c>
      <c r="J3948" t="s">
        <v>162</v>
      </c>
      <c r="K3948" t="s">
        <v>266</v>
      </c>
      <c r="N3948" t="s">
        <v>63931</v>
      </c>
      <c r="Q3948">
        <v>0</v>
      </c>
      <c r="R3948">
        <v>150</v>
      </c>
      <c r="S3948">
        <v>0</v>
      </c>
      <c r="T3948" t="s">
        <v>63932</v>
      </c>
    </row>
    <row r="3949" spans="1:20" customFormat="1" ht="15" x14ac:dyDescent="0.25">
      <c r="A3949" t="s">
        <v>24</v>
      </c>
      <c r="B3949" t="s">
        <v>16155</v>
      </c>
      <c r="C3949" t="str">
        <f>"A0088608"</f>
        <v>A0088608</v>
      </c>
      <c r="D3949" t="s">
        <v>16275</v>
      </c>
      <c r="E3949" t="s">
        <v>16276</v>
      </c>
      <c r="F3949" t="s">
        <v>16277</v>
      </c>
      <c r="G3949" t="s">
        <v>214</v>
      </c>
      <c r="H3949">
        <v>27103</v>
      </c>
      <c r="I3949" t="s">
        <v>30</v>
      </c>
      <c r="J3949" t="s">
        <v>145</v>
      </c>
      <c r="K3949" t="s">
        <v>4520</v>
      </c>
      <c r="N3949" t="s">
        <v>16278</v>
      </c>
      <c r="Q3949">
        <v>0</v>
      </c>
      <c r="R3949">
        <v>98</v>
      </c>
      <c r="S3949">
        <v>0</v>
      </c>
      <c r="T3949" t="s">
        <v>16279</v>
      </c>
    </row>
    <row r="3950" spans="1:20" customFormat="1" ht="15" x14ac:dyDescent="0.25">
      <c r="A3950" t="s">
        <v>24</v>
      </c>
      <c r="B3950" t="s">
        <v>16155</v>
      </c>
      <c r="C3950" t="str">
        <f>"A0087697"</f>
        <v>A0087697</v>
      </c>
      <c r="D3950" t="s">
        <v>16280</v>
      </c>
      <c r="E3950" t="s">
        <v>16281</v>
      </c>
      <c r="F3950" t="s">
        <v>12888</v>
      </c>
      <c r="G3950" t="s">
        <v>29</v>
      </c>
      <c r="H3950">
        <v>20147</v>
      </c>
      <c r="I3950" t="s">
        <v>30</v>
      </c>
      <c r="J3950" t="s">
        <v>31</v>
      </c>
      <c r="K3950" t="s">
        <v>255</v>
      </c>
      <c r="N3950" t="s">
        <v>16282</v>
      </c>
      <c r="Q3950">
        <v>0</v>
      </c>
      <c r="R3950">
        <v>132</v>
      </c>
      <c r="S3950">
        <v>0</v>
      </c>
      <c r="T3950" t="s">
        <v>16283</v>
      </c>
    </row>
    <row r="3951" spans="1:20" customFormat="1" ht="15" x14ac:dyDescent="0.25">
      <c r="A3951" t="s">
        <v>24</v>
      </c>
      <c r="B3951" t="s">
        <v>56277</v>
      </c>
      <c r="C3951" t="str">
        <f>"88ES006"</f>
        <v>88ES006</v>
      </c>
      <c r="D3951" t="s">
        <v>63933</v>
      </c>
      <c r="E3951" t="s">
        <v>63934</v>
      </c>
      <c r="F3951" t="s">
        <v>5369</v>
      </c>
      <c r="G3951" t="s">
        <v>507</v>
      </c>
      <c r="H3951">
        <v>25301</v>
      </c>
      <c r="I3951" t="s">
        <v>30</v>
      </c>
      <c r="J3951" t="s">
        <v>162</v>
      </c>
      <c r="K3951" t="s">
        <v>266</v>
      </c>
      <c r="N3951" t="s">
        <v>63935</v>
      </c>
      <c r="Q3951">
        <v>0</v>
      </c>
      <c r="R3951">
        <v>253</v>
      </c>
      <c r="S3951">
        <v>0</v>
      </c>
      <c r="T3951" t="s">
        <v>63936</v>
      </c>
    </row>
    <row r="3952" spans="1:20" customFormat="1" ht="15" x14ac:dyDescent="0.25">
      <c r="A3952" t="s">
        <v>24</v>
      </c>
      <c r="B3952" t="s">
        <v>56277</v>
      </c>
      <c r="C3952" t="str">
        <f>"A0087912"</f>
        <v>A0087912</v>
      </c>
      <c r="D3952" t="s">
        <v>63937</v>
      </c>
      <c r="E3952" t="s">
        <v>63938</v>
      </c>
      <c r="F3952" t="s">
        <v>13824</v>
      </c>
      <c r="G3952" t="s">
        <v>58</v>
      </c>
      <c r="H3952">
        <v>29418</v>
      </c>
      <c r="I3952" t="s">
        <v>30</v>
      </c>
      <c r="J3952" t="s">
        <v>162</v>
      </c>
      <c r="K3952" t="s">
        <v>266</v>
      </c>
      <c r="N3952" t="s">
        <v>63939</v>
      </c>
      <c r="O3952" t="s">
        <v>63940</v>
      </c>
      <c r="Q3952">
        <v>0</v>
      </c>
      <c r="R3952">
        <v>255</v>
      </c>
      <c r="S3952">
        <v>0</v>
      </c>
      <c r="T3952" t="s">
        <v>63941</v>
      </c>
    </row>
    <row r="3953" spans="1:20" customFormat="1" ht="15" x14ac:dyDescent="0.25">
      <c r="A3953" t="s">
        <v>24</v>
      </c>
      <c r="B3953" t="s">
        <v>34738</v>
      </c>
      <c r="C3953" t="str">
        <f>"A0094944"</f>
        <v>A0094944</v>
      </c>
      <c r="D3953" t="s">
        <v>63942</v>
      </c>
      <c r="E3953" t="s">
        <v>63943</v>
      </c>
      <c r="F3953" t="s">
        <v>242</v>
      </c>
      <c r="G3953" t="s">
        <v>214</v>
      </c>
      <c r="H3953">
        <v>28217</v>
      </c>
      <c r="I3953" t="s">
        <v>30</v>
      </c>
      <c r="J3953" t="s">
        <v>162</v>
      </c>
      <c r="K3953" t="s">
        <v>266</v>
      </c>
      <c r="N3953" t="s">
        <v>63944</v>
      </c>
      <c r="O3953" t="s">
        <v>63945</v>
      </c>
      <c r="Q3953">
        <v>0</v>
      </c>
      <c r="R3953">
        <v>274</v>
      </c>
      <c r="S3953">
        <v>0</v>
      </c>
      <c r="T3953" t="s">
        <v>63946</v>
      </c>
    </row>
    <row r="3954" spans="1:20" customFormat="1" ht="15" x14ac:dyDescent="0.25">
      <c r="A3954" t="s">
        <v>24</v>
      </c>
      <c r="B3954" t="s">
        <v>16155</v>
      </c>
      <c r="C3954" t="str">
        <f>"A0069529"</f>
        <v>A0069529</v>
      </c>
      <c r="D3954" t="s">
        <v>16299</v>
      </c>
      <c r="E3954" t="s">
        <v>16300</v>
      </c>
      <c r="F3954" t="s">
        <v>16301</v>
      </c>
      <c r="G3954" t="s">
        <v>58</v>
      </c>
      <c r="H3954">
        <v>29631</v>
      </c>
      <c r="I3954" t="s">
        <v>30</v>
      </c>
      <c r="J3954" t="s">
        <v>31</v>
      </c>
      <c r="K3954" t="s">
        <v>2524</v>
      </c>
      <c r="N3954" t="s">
        <v>16302</v>
      </c>
      <c r="Q3954">
        <v>0</v>
      </c>
      <c r="R3954">
        <v>148</v>
      </c>
      <c r="S3954">
        <v>0</v>
      </c>
      <c r="T3954" t="s">
        <v>16303</v>
      </c>
    </row>
    <row r="3955" spans="1:20" customFormat="1" ht="15" x14ac:dyDescent="0.25">
      <c r="A3955" t="s">
        <v>24</v>
      </c>
      <c r="B3955" t="s">
        <v>16155</v>
      </c>
      <c r="C3955" t="str">
        <f>"645BD"</f>
        <v>645BD</v>
      </c>
      <c r="D3955" t="s">
        <v>16304</v>
      </c>
      <c r="E3955" t="s">
        <v>16305</v>
      </c>
      <c r="F3955" t="s">
        <v>14600</v>
      </c>
      <c r="G3955" t="s">
        <v>338</v>
      </c>
      <c r="H3955">
        <v>8054</v>
      </c>
      <c r="I3955" t="s">
        <v>30</v>
      </c>
      <c r="J3955" t="s">
        <v>31</v>
      </c>
      <c r="K3955" t="s">
        <v>222</v>
      </c>
      <c r="N3955" t="s">
        <v>16306</v>
      </c>
      <c r="Q3955">
        <v>0</v>
      </c>
      <c r="R3955">
        <v>95</v>
      </c>
      <c r="S3955">
        <v>0</v>
      </c>
      <c r="T3955" t="s">
        <v>16307</v>
      </c>
    </row>
    <row r="3956" spans="1:20" customFormat="1" ht="15" x14ac:dyDescent="0.25">
      <c r="A3956" t="s">
        <v>24</v>
      </c>
      <c r="B3956" t="s">
        <v>56277</v>
      </c>
      <c r="C3956" t="str">
        <f>"A0087897"</f>
        <v>A0087897</v>
      </c>
      <c r="D3956" t="s">
        <v>63947</v>
      </c>
      <c r="E3956" t="s">
        <v>63948</v>
      </c>
      <c r="F3956" t="s">
        <v>56723</v>
      </c>
      <c r="G3956" t="s">
        <v>214</v>
      </c>
      <c r="H3956">
        <v>28027</v>
      </c>
      <c r="I3956" t="s">
        <v>30</v>
      </c>
      <c r="J3956" t="s">
        <v>162</v>
      </c>
      <c r="K3956" t="s">
        <v>266</v>
      </c>
      <c r="N3956" t="s">
        <v>63949</v>
      </c>
      <c r="O3956" t="s">
        <v>63950</v>
      </c>
      <c r="Q3956">
        <v>0</v>
      </c>
      <c r="R3956">
        <v>308</v>
      </c>
      <c r="S3956">
        <v>0</v>
      </c>
      <c r="T3956" t="s">
        <v>63951</v>
      </c>
    </row>
    <row r="3957" spans="1:20" customFormat="1" ht="15" x14ac:dyDescent="0.25">
      <c r="A3957" t="s">
        <v>24</v>
      </c>
      <c r="B3957" t="s">
        <v>2955</v>
      </c>
      <c r="C3957" t="str">
        <f>"A0056220"</f>
        <v>A0056220</v>
      </c>
      <c r="D3957" t="s">
        <v>63952</v>
      </c>
      <c r="E3957" t="s">
        <v>63953</v>
      </c>
      <c r="F3957" t="s">
        <v>716</v>
      </c>
      <c r="G3957" t="s">
        <v>289</v>
      </c>
      <c r="H3957">
        <v>60654</v>
      </c>
      <c r="I3957" t="s">
        <v>30</v>
      </c>
      <c r="J3957" t="s">
        <v>162</v>
      </c>
      <c r="K3957" t="s">
        <v>266</v>
      </c>
      <c r="N3957" t="s">
        <v>63954</v>
      </c>
      <c r="O3957" t="s">
        <v>63955</v>
      </c>
      <c r="Q3957">
        <v>0</v>
      </c>
      <c r="R3957">
        <v>358</v>
      </c>
      <c r="S3957">
        <v>0</v>
      </c>
      <c r="T3957" t="s">
        <v>63956</v>
      </c>
    </row>
    <row r="3958" spans="1:20" customFormat="1" ht="15" x14ac:dyDescent="0.25">
      <c r="A3958" t="s">
        <v>24</v>
      </c>
      <c r="B3958" t="s">
        <v>1548</v>
      </c>
      <c r="C3958" t="str">
        <f>"A0061142"</f>
        <v>A0061142</v>
      </c>
      <c r="D3958" t="s">
        <v>63957</v>
      </c>
      <c r="E3958" t="s">
        <v>63958</v>
      </c>
      <c r="F3958" t="s">
        <v>58013</v>
      </c>
      <c r="G3958" t="s">
        <v>289</v>
      </c>
      <c r="H3958">
        <v>60015</v>
      </c>
      <c r="I3958" t="s">
        <v>30</v>
      </c>
      <c r="J3958" t="s">
        <v>162</v>
      </c>
      <c r="K3958" t="s">
        <v>266</v>
      </c>
      <c r="N3958" t="s">
        <v>63959</v>
      </c>
      <c r="Q3958">
        <v>0</v>
      </c>
      <c r="R3958">
        <v>237</v>
      </c>
      <c r="S3958">
        <v>0</v>
      </c>
      <c r="T3958" t="s">
        <v>63960</v>
      </c>
    </row>
    <row r="3959" spans="1:20" customFormat="1" ht="15" x14ac:dyDescent="0.25">
      <c r="A3959" t="s">
        <v>24</v>
      </c>
      <c r="B3959" t="s">
        <v>976</v>
      </c>
      <c r="C3959" t="str">
        <f>"A0064554"</f>
        <v>A0064554</v>
      </c>
      <c r="D3959" t="s">
        <v>63961</v>
      </c>
      <c r="E3959" t="s">
        <v>63962</v>
      </c>
      <c r="F3959" t="s">
        <v>1858</v>
      </c>
      <c r="G3959" t="s">
        <v>190</v>
      </c>
      <c r="H3959">
        <v>80919</v>
      </c>
      <c r="I3959" t="s">
        <v>30</v>
      </c>
      <c r="J3959" t="s">
        <v>162</v>
      </c>
      <c r="K3959" t="s">
        <v>266</v>
      </c>
      <c r="N3959" t="s">
        <v>63963</v>
      </c>
      <c r="Q3959">
        <v>0</v>
      </c>
      <c r="R3959">
        <v>205</v>
      </c>
      <c r="S3959">
        <v>0</v>
      </c>
      <c r="T3959" t="s">
        <v>63964</v>
      </c>
    </row>
    <row r="3960" spans="1:20" customFormat="1" ht="15" x14ac:dyDescent="0.25">
      <c r="A3960" t="s">
        <v>24</v>
      </c>
      <c r="B3960" t="s">
        <v>16155</v>
      </c>
      <c r="C3960" t="str">
        <f>"A0058218"</f>
        <v>A0058218</v>
      </c>
      <c r="D3960" t="s">
        <v>16328</v>
      </c>
      <c r="E3960" t="s">
        <v>16329</v>
      </c>
      <c r="F3960" t="s">
        <v>16330</v>
      </c>
      <c r="G3960" t="s">
        <v>846</v>
      </c>
      <c r="H3960">
        <v>30517</v>
      </c>
      <c r="I3960" t="s">
        <v>30</v>
      </c>
      <c r="J3960" t="s">
        <v>31</v>
      </c>
      <c r="K3960" t="s">
        <v>710</v>
      </c>
      <c r="N3960" t="s">
        <v>16331</v>
      </c>
      <c r="Q3960">
        <v>0</v>
      </c>
      <c r="R3960">
        <v>80</v>
      </c>
      <c r="S3960">
        <v>0</v>
      </c>
      <c r="T3960" t="s">
        <v>16332</v>
      </c>
    </row>
    <row r="3961" spans="1:20" customFormat="1" ht="15" x14ac:dyDescent="0.25">
      <c r="A3961" t="s">
        <v>24</v>
      </c>
      <c r="B3961" t="s">
        <v>16155</v>
      </c>
      <c r="C3961" t="str">
        <f>"A0057485"</f>
        <v>A0057485</v>
      </c>
      <c r="D3961" t="s">
        <v>16333</v>
      </c>
      <c r="E3961" t="s">
        <v>16334</v>
      </c>
      <c r="F3961" t="s">
        <v>16335</v>
      </c>
      <c r="G3961" t="s">
        <v>846</v>
      </c>
      <c r="H3961">
        <v>31620</v>
      </c>
      <c r="I3961" t="s">
        <v>30</v>
      </c>
      <c r="J3961" t="s">
        <v>31</v>
      </c>
      <c r="K3961" t="s">
        <v>198</v>
      </c>
      <c r="N3961" t="s">
        <v>16336</v>
      </c>
      <c r="Q3961">
        <v>0</v>
      </c>
      <c r="R3961">
        <v>74</v>
      </c>
      <c r="S3961">
        <v>0</v>
      </c>
      <c r="T3961" t="s">
        <v>16337</v>
      </c>
    </row>
    <row r="3962" spans="1:20" customFormat="1" ht="15" x14ac:dyDescent="0.25">
      <c r="A3962" t="s">
        <v>24</v>
      </c>
      <c r="B3962" t="s">
        <v>56277</v>
      </c>
      <c r="C3962" t="str">
        <f>"88ES007"</f>
        <v>88ES007</v>
      </c>
      <c r="D3962" t="s">
        <v>63965</v>
      </c>
      <c r="E3962" t="s">
        <v>63966</v>
      </c>
      <c r="F3962" t="s">
        <v>4909</v>
      </c>
      <c r="G3962" t="s">
        <v>58</v>
      </c>
      <c r="H3962">
        <v>29210</v>
      </c>
      <c r="I3962" t="s">
        <v>30</v>
      </c>
      <c r="J3962" t="s">
        <v>162</v>
      </c>
      <c r="K3962" t="s">
        <v>266</v>
      </c>
      <c r="N3962" t="s">
        <v>63967</v>
      </c>
      <c r="Q3962">
        <v>0</v>
      </c>
      <c r="R3962">
        <v>214</v>
      </c>
      <c r="S3962">
        <v>0</v>
      </c>
      <c r="T3962" t="s">
        <v>63968</v>
      </c>
    </row>
    <row r="3963" spans="1:20" customFormat="1" ht="15" x14ac:dyDescent="0.25">
      <c r="A3963" t="s">
        <v>24</v>
      </c>
      <c r="B3963" t="s">
        <v>56277</v>
      </c>
      <c r="C3963" t="str">
        <f>"88ES005"</f>
        <v>88ES005</v>
      </c>
      <c r="D3963" t="s">
        <v>63969</v>
      </c>
      <c r="E3963" t="s">
        <v>63970</v>
      </c>
      <c r="F3963" t="s">
        <v>2110</v>
      </c>
      <c r="G3963" t="s">
        <v>52</v>
      </c>
      <c r="H3963">
        <v>76051</v>
      </c>
      <c r="I3963" t="s">
        <v>30</v>
      </c>
      <c r="J3963" t="s">
        <v>162</v>
      </c>
      <c r="K3963" t="s">
        <v>266</v>
      </c>
      <c r="N3963" t="s">
        <v>63971</v>
      </c>
      <c r="O3963" t="s">
        <v>63972</v>
      </c>
      <c r="Q3963">
        <v>0</v>
      </c>
      <c r="R3963">
        <v>329</v>
      </c>
      <c r="S3963">
        <v>0</v>
      </c>
      <c r="T3963" t="s">
        <v>63973</v>
      </c>
    </row>
    <row r="3964" spans="1:20" customFormat="1" ht="15" x14ac:dyDescent="0.25">
      <c r="A3964" t="s">
        <v>24</v>
      </c>
      <c r="B3964" t="s">
        <v>16347</v>
      </c>
      <c r="C3964" t="str">
        <f>"A0153452"</f>
        <v>A0153452</v>
      </c>
      <c r="D3964" t="s">
        <v>16348</v>
      </c>
      <c r="E3964" t="s">
        <v>16349</v>
      </c>
      <c r="F3964" t="s">
        <v>16350</v>
      </c>
      <c r="G3964" t="s">
        <v>29</v>
      </c>
      <c r="H3964" t="s">
        <v>16351</v>
      </c>
      <c r="I3964" t="s">
        <v>30</v>
      </c>
      <c r="J3964" t="s">
        <v>178</v>
      </c>
      <c r="K3964" t="s">
        <v>163</v>
      </c>
      <c r="N3964" t="s">
        <v>16352</v>
      </c>
      <c r="O3964" t="s">
        <v>16353</v>
      </c>
      <c r="Q3964">
        <v>0</v>
      </c>
      <c r="R3964">
        <v>0</v>
      </c>
      <c r="S3964">
        <v>0</v>
      </c>
      <c r="T3964" t="s">
        <v>16354</v>
      </c>
    </row>
    <row r="3965" spans="1:20" customFormat="1" ht="15" x14ac:dyDescent="0.25">
      <c r="A3965" t="s">
        <v>24</v>
      </c>
      <c r="B3965" t="s">
        <v>16355</v>
      </c>
      <c r="C3965" t="str">
        <f>"A0093728"</f>
        <v>A0093728</v>
      </c>
      <c r="D3965" t="s">
        <v>16356</v>
      </c>
      <c r="E3965" t="s">
        <v>16357</v>
      </c>
      <c r="F3965" t="s">
        <v>10100</v>
      </c>
      <c r="G3965" t="s">
        <v>214</v>
      </c>
      <c r="H3965">
        <v>27607</v>
      </c>
      <c r="I3965" t="s">
        <v>30</v>
      </c>
      <c r="J3965" t="s">
        <v>31</v>
      </c>
      <c r="K3965" t="s">
        <v>1243</v>
      </c>
      <c r="N3965" t="s">
        <v>16358</v>
      </c>
      <c r="O3965" t="s">
        <v>16359</v>
      </c>
      <c r="Q3965">
        <v>0</v>
      </c>
      <c r="R3965">
        <v>99</v>
      </c>
      <c r="S3965">
        <v>0</v>
      </c>
      <c r="T3965" t="s">
        <v>16360</v>
      </c>
    </row>
    <row r="3966" spans="1:20" customFormat="1" ht="15" x14ac:dyDescent="0.25">
      <c r="A3966" t="s">
        <v>35</v>
      </c>
      <c r="B3966" t="s">
        <v>935</v>
      </c>
      <c r="C3966" t="str">
        <f>"A0126199"</f>
        <v>A0126199</v>
      </c>
      <c r="D3966" t="s">
        <v>16361</v>
      </c>
      <c r="E3966" t="s">
        <v>16362</v>
      </c>
      <c r="F3966" t="s">
        <v>10187</v>
      </c>
      <c r="G3966" t="s">
        <v>197</v>
      </c>
      <c r="H3966">
        <v>85037</v>
      </c>
      <c r="I3966" t="s">
        <v>30</v>
      </c>
      <c r="J3966" t="s">
        <v>41</v>
      </c>
      <c r="K3966" t="s">
        <v>229</v>
      </c>
      <c r="Q3966">
        <v>0</v>
      </c>
      <c r="R3966">
        <v>54</v>
      </c>
      <c r="S3966">
        <v>54</v>
      </c>
      <c r="T3966" t="s">
        <v>16363</v>
      </c>
    </row>
    <row r="3967" spans="1:20" customFormat="1" ht="15" x14ac:dyDescent="0.25">
      <c r="A3967" t="s">
        <v>35</v>
      </c>
      <c r="B3967" t="s">
        <v>16364</v>
      </c>
      <c r="C3967" t="str">
        <f>"A0155653"</f>
        <v>A0155653</v>
      </c>
      <c r="D3967" t="s">
        <v>16365</v>
      </c>
      <c r="E3967" t="s">
        <v>16366</v>
      </c>
      <c r="F3967" t="s">
        <v>16367</v>
      </c>
      <c r="G3967" t="s">
        <v>52</v>
      </c>
      <c r="H3967">
        <v>77459</v>
      </c>
      <c r="I3967" t="s">
        <v>30</v>
      </c>
      <c r="J3967" t="s">
        <v>41</v>
      </c>
      <c r="K3967" t="s">
        <v>59</v>
      </c>
      <c r="Q3967">
        <v>0</v>
      </c>
      <c r="R3967">
        <v>47</v>
      </c>
      <c r="S3967">
        <v>47</v>
      </c>
      <c r="T3967" t="s">
        <v>16368</v>
      </c>
    </row>
    <row r="3968" spans="1:20" customFormat="1" ht="15" x14ac:dyDescent="0.25">
      <c r="A3968" t="s">
        <v>35</v>
      </c>
      <c r="B3968" t="s">
        <v>16364</v>
      </c>
      <c r="C3968" t="str">
        <f>"A0155453"</f>
        <v>A0155453</v>
      </c>
      <c r="D3968" t="s">
        <v>16369</v>
      </c>
      <c r="E3968" t="s">
        <v>16370</v>
      </c>
      <c r="F3968" t="s">
        <v>16371</v>
      </c>
      <c r="G3968" t="s">
        <v>846</v>
      </c>
      <c r="H3968">
        <v>30024</v>
      </c>
      <c r="I3968" t="s">
        <v>30</v>
      </c>
      <c r="J3968" t="s">
        <v>41</v>
      </c>
      <c r="K3968" t="s">
        <v>59</v>
      </c>
      <c r="Q3968">
        <v>0</v>
      </c>
      <c r="R3968">
        <v>50</v>
      </c>
      <c r="S3968">
        <v>50</v>
      </c>
      <c r="T3968" t="s">
        <v>16372</v>
      </c>
    </row>
    <row r="3969" spans="1:20" customFormat="1" ht="15" x14ac:dyDescent="0.25">
      <c r="A3969" t="s">
        <v>35</v>
      </c>
      <c r="B3969" t="s">
        <v>16364</v>
      </c>
      <c r="C3969" t="str">
        <f>"A0155452"</f>
        <v>A0155452</v>
      </c>
      <c r="D3969" t="s">
        <v>16373</v>
      </c>
      <c r="E3969" t="s">
        <v>16374</v>
      </c>
      <c r="F3969" t="s">
        <v>12274</v>
      </c>
      <c r="G3969" t="s">
        <v>846</v>
      </c>
      <c r="H3969">
        <v>30005</v>
      </c>
      <c r="I3969" t="s">
        <v>30</v>
      </c>
      <c r="J3969" t="s">
        <v>41</v>
      </c>
      <c r="K3969" t="s">
        <v>59</v>
      </c>
      <c r="Q3969">
        <v>0</v>
      </c>
      <c r="R3969">
        <v>60</v>
      </c>
      <c r="S3969">
        <v>60</v>
      </c>
      <c r="T3969" t="s">
        <v>16375</v>
      </c>
    </row>
    <row r="3970" spans="1:20" customFormat="1" ht="15" x14ac:dyDescent="0.25">
      <c r="A3970" t="s">
        <v>35</v>
      </c>
      <c r="B3970" t="s">
        <v>16364</v>
      </c>
      <c r="C3970" t="str">
        <f>"A0155655"</f>
        <v>A0155655</v>
      </c>
      <c r="D3970" t="s">
        <v>16376</v>
      </c>
      <c r="E3970" t="s">
        <v>16377</v>
      </c>
      <c r="F3970" t="s">
        <v>5240</v>
      </c>
      <c r="G3970" t="s">
        <v>52</v>
      </c>
      <c r="H3970">
        <v>78251</v>
      </c>
      <c r="I3970" t="s">
        <v>30</v>
      </c>
      <c r="J3970" t="s">
        <v>41</v>
      </c>
      <c r="K3970" t="s">
        <v>59</v>
      </c>
      <c r="Q3970">
        <v>0</v>
      </c>
      <c r="R3970">
        <v>54</v>
      </c>
      <c r="S3970">
        <v>54</v>
      </c>
      <c r="T3970" t="s">
        <v>16378</v>
      </c>
    </row>
    <row r="3971" spans="1:20" customFormat="1" ht="15" x14ac:dyDescent="0.25">
      <c r="A3971" t="s">
        <v>35</v>
      </c>
      <c r="B3971" t="s">
        <v>16364</v>
      </c>
      <c r="C3971" t="str">
        <f>"A0155451"</f>
        <v>A0155451</v>
      </c>
      <c r="D3971" t="s">
        <v>16379</v>
      </c>
      <c r="E3971" t="s">
        <v>16380</v>
      </c>
      <c r="F3971" t="s">
        <v>16381</v>
      </c>
      <c r="G3971" t="s">
        <v>846</v>
      </c>
      <c r="H3971">
        <v>30281</v>
      </c>
      <c r="I3971" t="s">
        <v>30</v>
      </c>
      <c r="J3971" t="s">
        <v>41</v>
      </c>
      <c r="K3971" t="s">
        <v>59</v>
      </c>
      <c r="Q3971">
        <v>0</v>
      </c>
      <c r="R3971">
        <v>55</v>
      </c>
      <c r="S3971">
        <v>55</v>
      </c>
      <c r="T3971" t="s">
        <v>16382</v>
      </c>
    </row>
    <row r="3972" spans="1:20" customFormat="1" ht="15" x14ac:dyDescent="0.25">
      <c r="A3972" t="s">
        <v>35</v>
      </c>
      <c r="B3972" t="s">
        <v>16364</v>
      </c>
      <c r="C3972" t="str">
        <f>"A0155450"</f>
        <v>A0155450</v>
      </c>
      <c r="D3972" t="s">
        <v>16383</v>
      </c>
      <c r="E3972" t="s">
        <v>16384</v>
      </c>
      <c r="F3972" t="s">
        <v>9235</v>
      </c>
      <c r="G3972" t="s">
        <v>81</v>
      </c>
      <c r="H3972">
        <v>33928</v>
      </c>
      <c r="I3972" t="s">
        <v>30</v>
      </c>
      <c r="J3972" t="s">
        <v>41</v>
      </c>
      <c r="K3972" t="s">
        <v>59</v>
      </c>
      <c r="Q3972">
        <v>0</v>
      </c>
      <c r="R3972">
        <v>50</v>
      </c>
      <c r="S3972">
        <v>50</v>
      </c>
      <c r="T3972" t="s">
        <v>16385</v>
      </c>
    </row>
    <row r="3973" spans="1:20" customFormat="1" ht="15" x14ac:dyDescent="0.25">
      <c r="A3973" t="s">
        <v>35</v>
      </c>
      <c r="B3973" t="s">
        <v>16386</v>
      </c>
      <c r="C3973" t="str">
        <f>"A0150828"</f>
        <v>A0150828</v>
      </c>
      <c r="D3973" t="s">
        <v>16387</v>
      </c>
      <c r="E3973" t="s">
        <v>16388</v>
      </c>
      <c r="F3973" t="s">
        <v>16389</v>
      </c>
      <c r="G3973" t="s">
        <v>103</v>
      </c>
      <c r="H3973">
        <v>19446</v>
      </c>
      <c r="I3973" t="s">
        <v>30</v>
      </c>
      <c r="J3973" t="s">
        <v>41</v>
      </c>
      <c r="K3973" t="s">
        <v>482</v>
      </c>
      <c r="Q3973">
        <v>0</v>
      </c>
      <c r="R3973">
        <v>120</v>
      </c>
      <c r="S3973">
        <v>120</v>
      </c>
      <c r="T3973" t="s">
        <v>16390</v>
      </c>
    </row>
    <row r="3974" spans="1:20" customFormat="1" ht="15" x14ac:dyDescent="0.25">
      <c r="A3974" t="s">
        <v>35</v>
      </c>
      <c r="B3974" t="s">
        <v>16386</v>
      </c>
      <c r="C3974" t="str">
        <f>"A0150826"</f>
        <v>A0150826</v>
      </c>
      <c r="D3974" t="s">
        <v>16391</v>
      </c>
      <c r="E3974" t="s">
        <v>16392</v>
      </c>
      <c r="F3974" t="s">
        <v>16393</v>
      </c>
      <c r="G3974" t="s">
        <v>338</v>
      </c>
      <c r="H3974">
        <v>8028</v>
      </c>
      <c r="I3974" t="s">
        <v>30</v>
      </c>
      <c r="J3974" t="s">
        <v>41</v>
      </c>
      <c r="K3974" t="s">
        <v>482</v>
      </c>
      <c r="Q3974">
        <v>0</v>
      </c>
      <c r="R3974">
        <v>79</v>
      </c>
      <c r="S3974">
        <v>79</v>
      </c>
      <c r="T3974" t="s">
        <v>16394</v>
      </c>
    </row>
    <row r="3975" spans="1:20" customFormat="1" ht="15" x14ac:dyDescent="0.25">
      <c r="A3975" t="s">
        <v>35</v>
      </c>
      <c r="B3975" t="s">
        <v>16386</v>
      </c>
      <c r="C3975" t="str">
        <f>"A0126588"</f>
        <v>A0126588</v>
      </c>
      <c r="D3975" t="s">
        <v>16395</v>
      </c>
      <c r="E3975" t="s">
        <v>16396</v>
      </c>
      <c r="F3975" t="s">
        <v>5781</v>
      </c>
      <c r="G3975" t="s">
        <v>103</v>
      </c>
      <c r="H3975">
        <v>17403</v>
      </c>
      <c r="I3975" t="s">
        <v>30</v>
      </c>
      <c r="J3975" t="s">
        <v>41</v>
      </c>
      <c r="K3975" t="s">
        <v>59</v>
      </c>
      <c r="Q3975">
        <v>0</v>
      </c>
      <c r="R3975">
        <v>183</v>
      </c>
      <c r="S3975">
        <v>183</v>
      </c>
      <c r="T3975" t="s">
        <v>16397</v>
      </c>
    </row>
    <row r="3976" spans="1:20" customFormat="1" ht="15" x14ac:dyDescent="0.25">
      <c r="A3976" t="s">
        <v>35</v>
      </c>
      <c r="B3976" t="s">
        <v>16386</v>
      </c>
      <c r="C3976" t="str">
        <f>"A0121264"</f>
        <v>A0121264</v>
      </c>
      <c r="D3976" t="s">
        <v>16398</v>
      </c>
      <c r="E3976" t="s">
        <v>16399</v>
      </c>
      <c r="F3976" t="s">
        <v>16400</v>
      </c>
      <c r="G3976" t="s">
        <v>103</v>
      </c>
      <c r="H3976">
        <v>19518</v>
      </c>
      <c r="I3976" t="s">
        <v>30</v>
      </c>
      <c r="J3976" t="s">
        <v>41</v>
      </c>
      <c r="K3976" t="s">
        <v>59</v>
      </c>
      <c r="Q3976">
        <v>0</v>
      </c>
      <c r="R3976">
        <v>123</v>
      </c>
      <c r="S3976">
        <v>123</v>
      </c>
      <c r="T3976" t="s">
        <v>16401</v>
      </c>
    </row>
    <row r="3977" spans="1:20" customFormat="1" ht="15" x14ac:dyDescent="0.25">
      <c r="A3977" t="s">
        <v>35</v>
      </c>
      <c r="B3977" t="s">
        <v>16386</v>
      </c>
      <c r="C3977" t="str">
        <f>"A0126604"</f>
        <v>A0126604</v>
      </c>
      <c r="D3977" t="s">
        <v>16402</v>
      </c>
      <c r="E3977" t="s">
        <v>16403</v>
      </c>
      <c r="F3977" t="s">
        <v>16404</v>
      </c>
      <c r="G3977" t="s">
        <v>103</v>
      </c>
      <c r="H3977">
        <v>18255</v>
      </c>
      <c r="I3977" t="s">
        <v>30</v>
      </c>
      <c r="J3977" t="s">
        <v>41</v>
      </c>
      <c r="K3977" t="s">
        <v>59</v>
      </c>
      <c r="Q3977">
        <v>0</v>
      </c>
      <c r="R3977">
        <v>143</v>
      </c>
      <c r="S3977">
        <v>143</v>
      </c>
      <c r="T3977" t="s">
        <v>16405</v>
      </c>
    </row>
    <row r="3978" spans="1:20" customFormat="1" ht="15" x14ac:dyDescent="0.25">
      <c r="A3978" t="s">
        <v>35</v>
      </c>
      <c r="B3978" t="s">
        <v>54</v>
      </c>
      <c r="C3978" t="str">
        <f>"A0133752"</f>
        <v>A0133752</v>
      </c>
      <c r="D3978" t="s">
        <v>16406</v>
      </c>
      <c r="E3978" t="s">
        <v>16407</v>
      </c>
      <c r="F3978" t="s">
        <v>5257</v>
      </c>
      <c r="G3978" t="s">
        <v>52</v>
      </c>
      <c r="H3978">
        <v>77064</v>
      </c>
      <c r="I3978" t="s">
        <v>30</v>
      </c>
      <c r="J3978" t="s">
        <v>41</v>
      </c>
      <c r="K3978" t="s">
        <v>229</v>
      </c>
      <c r="Q3978">
        <v>0</v>
      </c>
      <c r="R3978">
        <v>202</v>
      </c>
      <c r="S3978">
        <v>202</v>
      </c>
      <c r="T3978" t="s">
        <v>16408</v>
      </c>
    </row>
    <row r="3979" spans="1:20" customFormat="1" ht="15" x14ac:dyDescent="0.25">
      <c r="A3979" t="s">
        <v>35</v>
      </c>
      <c r="B3979" t="s">
        <v>16386</v>
      </c>
      <c r="C3979" t="str">
        <f>"A0126620"</f>
        <v>A0126620</v>
      </c>
      <c r="D3979" t="s">
        <v>16409</v>
      </c>
      <c r="E3979" t="s">
        <v>16410</v>
      </c>
      <c r="F3979" t="s">
        <v>16411</v>
      </c>
      <c r="G3979" t="s">
        <v>338</v>
      </c>
      <c r="H3979">
        <v>8080</v>
      </c>
      <c r="I3979" t="s">
        <v>30</v>
      </c>
      <c r="J3979" t="s">
        <v>41</v>
      </c>
      <c r="K3979" t="s">
        <v>59</v>
      </c>
      <c r="Q3979">
        <v>0</v>
      </c>
      <c r="R3979">
        <v>203</v>
      </c>
      <c r="S3979">
        <v>203</v>
      </c>
      <c r="T3979" t="s">
        <v>16412</v>
      </c>
    </row>
    <row r="3980" spans="1:20" customFormat="1" ht="15" x14ac:dyDescent="0.25">
      <c r="A3980" t="s">
        <v>35</v>
      </c>
      <c r="B3980" t="s">
        <v>16386</v>
      </c>
      <c r="C3980" t="str">
        <f>"A0126605"</f>
        <v>A0126605</v>
      </c>
      <c r="D3980" t="s">
        <v>16413</v>
      </c>
      <c r="E3980" t="s">
        <v>16414</v>
      </c>
      <c r="F3980" t="s">
        <v>238</v>
      </c>
      <c r="G3980" t="s">
        <v>103</v>
      </c>
      <c r="H3980">
        <v>18337</v>
      </c>
      <c r="I3980" t="s">
        <v>30</v>
      </c>
      <c r="J3980" t="s">
        <v>41</v>
      </c>
      <c r="K3980" t="s">
        <v>59</v>
      </c>
      <c r="Q3980">
        <v>0</v>
      </c>
      <c r="R3980">
        <v>105</v>
      </c>
      <c r="S3980">
        <v>105</v>
      </c>
      <c r="T3980" t="s">
        <v>16415</v>
      </c>
    </row>
    <row r="3981" spans="1:20" customFormat="1" ht="15" x14ac:dyDescent="0.25">
      <c r="A3981" t="s">
        <v>35</v>
      </c>
      <c r="B3981" t="s">
        <v>54</v>
      </c>
      <c r="C3981" t="str">
        <f>"A0129994"</f>
        <v>A0129994</v>
      </c>
      <c r="D3981" t="s">
        <v>16416</v>
      </c>
      <c r="E3981" t="s">
        <v>16417</v>
      </c>
      <c r="F3981" t="s">
        <v>380</v>
      </c>
      <c r="G3981" t="s">
        <v>880</v>
      </c>
      <c r="H3981">
        <v>37160</v>
      </c>
      <c r="I3981" t="s">
        <v>30</v>
      </c>
      <c r="J3981" t="s">
        <v>41</v>
      </c>
      <c r="K3981" t="s">
        <v>229</v>
      </c>
      <c r="Q3981">
        <v>0</v>
      </c>
      <c r="R3981">
        <v>130</v>
      </c>
      <c r="S3981">
        <v>130</v>
      </c>
      <c r="T3981" t="s">
        <v>16418</v>
      </c>
    </row>
    <row r="3982" spans="1:20" customFormat="1" ht="15" x14ac:dyDescent="0.25">
      <c r="A3982" t="s">
        <v>35</v>
      </c>
      <c r="B3982" t="s">
        <v>54</v>
      </c>
      <c r="C3982" t="str">
        <f>"A0124530"</f>
        <v>A0124530</v>
      </c>
      <c r="D3982" t="s">
        <v>16419</v>
      </c>
      <c r="E3982" t="s">
        <v>16420</v>
      </c>
      <c r="F3982" t="s">
        <v>4054</v>
      </c>
      <c r="G3982" t="s">
        <v>880</v>
      </c>
      <c r="H3982">
        <v>37130</v>
      </c>
      <c r="I3982" t="s">
        <v>30</v>
      </c>
      <c r="J3982" t="s">
        <v>41</v>
      </c>
      <c r="K3982" t="s">
        <v>229</v>
      </c>
      <c r="Q3982">
        <v>0</v>
      </c>
      <c r="R3982">
        <v>100</v>
      </c>
      <c r="S3982">
        <v>100</v>
      </c>
      <c r="T3982" t="s">
        <v>16421</v>
      </c>
    </row>
    <row r="3983" spans="1:20" customFormat="1" ht="15" x14ac:dyDescent="0.25">
      <c r="A3983" t="s">
        <v>35</v>
      </c>
      <c r="B3983" t="s">
        <v>16422</v>
      </c>
      <c r="C3983" t="str">
        <f>"A0124983"</f>
        <v>A0124983</v>
      </c>
      <c r="D3983" t="s">
        <v>16423</v>
      </c>
      <c r="E3983" t="s">
        <v>16424</v>
      </c>
      <c r="F3983" t="s">
        <v>1298</v>
      </c>
      <c r="G3983" t="s">
        <v>58</v>
      </c>
      <c r="H3983">
        <v>29210</v>
      </c>
      <c r="I3983" t="s">
        <v>30</v>
      </c>
      <c r="J3983" t="s">
        <v>41</v>
      </c>
      <c r="K3983" t="s">
        <v>2463</v>
      </c>
      <c r="Q3983">
        <v>0</v>
      </c>
      <c r="R3983">
        <v>1</v>
      </c>
      <c r="S3983">
        <v>1</v>
      </c>
      <c r="T3983" t="s">
        <v>16425</v>
      </c>
    </row>
    <row r="3984" spans="1:20" customFormat="1" ht="15" x14ac:dyDescent="0.25">
      <c r="A3984" t="s">
        <v>35</v>
      </c>
      <c r="B3984" t="s">
        <v>16422</v>
      </c>
      <c r="C3984" t="str">
        <f>"A0124979"</f>
        <v>A0124979</v>
      </c>
      <c r="D3984" t="s">
        <v>16426</v>
      </c>
      <c r="E3984" t="s">
        <v>16427</v>
      </c>
      <c r="F3984" t="s">
        <v>1298</v>
      </c>
      <c r="G3984" t="s">
        <v>58</v>
      </c>
      <c r="H3984">
        <v>29210</v>
      </c>
      <c r="I3984" t="s">
        <v>30</v>
      </c>
      <c r="J3984" t="s">
        <v>41</v>
      </c>
      <c r="K3984" t="s">
        <v>2463</v>
      </c>
      <c r="Q3984">
        <v>0</v>
      </c>
      <c r="R3984">
        <v>1</v>
      </c>
      <c r="S3984">
        <v>1</v>
      </c>
      <c r="T3984" t="s">
        <v>16428</v>
      </c>
    </row>
    <row r="3985" spans="1:25" customFormat="1" ht="15" x14ac:dyDescent="0.25">
      <c r="A3985" t="s">
        <v>24</v>
      </c>
      <c r="B3985" t="s">
        <v>56277</v>
      </c>
      <c r="C3985" t="str">
        <f>"A0075104"</f>
        <v>A0075104</v>
      </c>
      <c r="D3985" t="s">
        <v>63974</v>
      </c>
      <c r="E3985" t="s">
        <v>63975</v>
      </c>
      <c r="F3985" t="s">
        <v>5380</v>
      </c>
      <c r="G3985" t="s">
        <v>52</v>
      </c>
      <c r="H3985">
        <v>75034</v>
      </c>
      <c r="I3985" t="s">
        <v>30</v>
      </c>
      <c r="J3985" t="s">
        <v>162</v>
      </c>
      <c r="K3985" t="s">
        <v>266</v>
      </c>
      <c r="N3985" t="s">
        <v>63976</v>
      </c>
      <c r="O3985" t="s">
        <v>63977</v>
      </c>
      <c r="Q3985">
        <v>0</v>
      </c>
      <c r="R3985">
        <v>334</v>
      </c>
      <c r="S3985">
        <v>0</v>
      </c>
      <c r="T3985" t="s">
        <v>63978</v>
      </c>
    </row>
    <row r="3986" spans="1:25" x14ac:dyDescent="0.25">
      <c r="A3986" s="5" t="s">
        <v>24</v>
      </c>
      <c r="B3986" s="5" t="s">
        <v>2380</v>
      </c>
      <c r="C3986" s="5" t="str">
        <f>"A0088722"</f>
        <v>A0088722</v>
      </c>
      <c r="D3986" s="5" t="s">
        <v>63979</v>
      </c>
      <c r="E3986" s="5" t="s">
        <v>63980</v>
      </c>
      <c r="F3986" s="5" t="s">
        <v>54041</v>
      </c>
      <c r="G3986" s="5" t="s">
        <v>81</v>
      </c>
      <c r="H3986" s="5">
        <v>33441</v>
      </c>
      <c r="I3986" s="5" t="s">
        <v>30</v>
      </c>
      <c r="J3986" s="5" t="s">
        <v>162</v>
      </c>
      <c r="K3986" s="5" t="s">
        <v>266</v>
      </c>
      <c r="L3986" s="5"/>
      <c r="M3986" s="5"/>
      <c r="N3986" s="5" t="s">
        <v>63981</v>
      </c>
      <c r="O3986" s="5" t="s">
        <v>63982</v>
      </c>
      <c r="P3986" s="5"/>
      <c r="Q3986" s="5">
        <v>0</v>
      </c>
      <c r="R3986" s="5">
        <v>244</v>
      </c>
      <c r="S3986" s="5">
        <v>0</v>
      </c>
      <c r="T3986" s="5" t="s">
        <v>63983</v>
      </c>
      <c r="U3986" s="5"/>
      <c r="V3986" s="5"/>
      <c r="W3986" s="5"/>
      <c r="X3986" s="5"/>
      <c r="Y3986" s="5"/>
    </row>
    <row r="3987" spans="1:25" customFormat="1" ht="15" x14ac:dyDescent="0.25">
      <c r="A3987" t="s">
        <v>24</v>
      </c>
      <c r="B3987" t="s">
        <v>976</v>
      </c>
      <c r="C3987" t="str">
        <f>"A0064555"</f>
        <v>A0064555</v>
      </c>
      <c r="D3987" t="s">
        <v>63984</v>
      </c>
      <c r="E3987" t="s">
        <v>63985</v>
      </c>
      <c r="F3987" t="s">
        <v>972</v>
      </c>
      <c r="G3987" t="s">
        <v>190</v>
      </c>
      <c r="H3987">
        <v>80231</v>
      </c>
      <c r="I3987" t="s">
        <v>30</v>
      </c>
      <c r="J3987" t="s">
        <v>162</v>
      </c>
      <c r="K3987" t="s">
        <v>266</v>
      </c>
      <c r="N3987" t="s">
        <v>63986</v>
      </c>
      <c r="O3987" t="s">
        <v>63987</v>
      </c>
      <c r="Q3987">
        <v>0</v>
      </c>
      <c r="R3987">
        <v>205</v>
      </c>
      <c r="S3987">
        <v>0</v>
      </c>
      <c r="T3987" t="s">
        <v>63988</v>
      </c>
    </row>
    <row r="3988" spans="1:25" customFormat="1" ht="15" x14ac:dyDescent="0.25">
      <c r="A3988" t="s">
        <v>24</v>
      </c>
      <c r="B3988" t="s">
        <v>13730</v>
      </c>
      <c r="C3988" t="str">
        <f>"A0059248"</f>
        <v>A0059248</v>
      </c>
      <c r="D3988" t="s">
        <v>63989</v>
      </c>
      <c r="E3988" t="s">
        <v>63990</v>
      </c>
      <c r="F3988" t="s">
        <v>972</v>
      </c>
      <c r="G3988" t="s">
        <v>190</v>
      </c>
      <c r="H3988">
        <v>80239</v>
      </c>
      <c r="I3988" t="s">
        <v>30</v>
      </c>
      <c r="J3988" t="s">
        <v>162</v>
      </c>
      <c r="K3988" t="s">
        <v>266</v>
      </c>
      <c r="N3988" t="s">
        <v>63991</v>
      </c>
      <c r="O3988" t="s">
        <v>63992</v>
      </c>
      <c r="Q3988">
        <v>0</v>
      </c>
      <c r="R3988">
        <v>210</v>
      </c>
      <c r="S3988">
        <v>0</v>
      </c>
      <c r="T3988" t="s">
        <v>63993</v>
      </c>
    </row>
    <row r="3989" spans="1:25" customFormat="1" ht="15" x14ac:dyDescent="0.25">
      <c r="A3989" t="s">
        <v>24</v>
      </c>
      <c r="B3989" t="s">
        <v>5166</v>
      </c>
      <c r="C3989" t="str">
        <f>"A0089413"</f>
        <v>A0089413</v>
      </c>
      <c r="D3989" t="s">
        <v>63994</v>
      </c>
      <c r="E3989" t="s">
        <v>63995</v>
      </c>
      <c r="F3989" t="s">
        <v>972</v>
      </c>
      <c r="G3989" t="s">
        <v>190</v>
      </c>
      <c r="H3989">
        <v>80202</v>
      </c>
      <c r="I3989" t="s">
        <v>30</v>
      </c>
      <c r="J3989" t="s">
        <v>162</v>
      </c>
      <c r="K3989" t="s">
        <v>266</v>
      </c>
      <c r="N3989" t="s">
        <v>63996</v>
      </c>
      <c r="O3989" t="s">
        <v>63997</v>
      </c>
      <c r="Q3989">
        <v>0</v>
      </c>
      <c r="R3989">
        <v>403</v>
      </c>
      <c r="S3989">
        <v>0</v>
      </c>
      <c r="T3989" t="s">
        <v>63998</v>
      </c>
    </row>
    <row r="3990" spans="1:25" customFormat="1" ht="15" x14ac:dyDescent="0.25">
      <c r="A3990" t="s">
        <v>35</v>
      </c>
      <c r="B3990" t="s">
        <v>61</v>
      </c>
      <c r="C3990" t="str">
        <f>"A0185575"</f>
        <v>A0185575</v>
      </c>
      <c r="D3990" t="s">
        <v>16454</v>
      </c>
      <c r="E3990" t="s">
        <v>16455</v>
      </c>
      <c r="F3990" t="s">
        <v>3293</v>
      </c>
      <c r="G3990" t="s">
        <v>58</v>
      </c>
      <c r="H3990">
        <v>29621</v>
      </c>
      <c r="I3990" t="s">
        <v>30</v>
      </c>
      <c r="J3990" t="s">
        <v>41</v>
      </c>
      <c r="K3990" t="s">
        <v>229</v>
      </c>
      <c r="Q3990">
        <v>0</v>
      </c>
      <c r="R3990">
        <v>100</v>
      </c>
      <c r="S3990">
        <v>100</v>
      </c>
      <c r="T3990" t="s">
        <v>16456</v>
      </c>
    </row>
    <row r="3991" spans="1:25" customFormat="1" ht="15" x14ac:dyDescent="0.25">
      <c r="A3991" t="s">
        <v>35</v>
      </c>
      <c r="B3991" t="s">
        <v>9198</v>
      </c>
      <c r="C3991" t="str">
        <f>"A0185574"</f>
        <v>A0185574</v>
      </c>
      <c r="D3991" t="s">
        <v>16457</v>
      </c>
      <c r="E3991" t="s">
        <v>16458</v>
      </c>
      <c r="F3991" t="s">
        <v>7000</v>
      </c>
      <c r="G3991" t="s">
        <v>110</v>
      </c>
      <c r="H3991">
        <v>92270</v>
      </c>
      <c r="I3991" t="s">
        <v>30</v>
      </c>
      <c r="J3991" t="s">
        <v>41</v>
      </c>
      <c r="K3991" t="s">
        <v>229</v>
      </c>
      <c r="Q3991">
        <v>0</v>
      </c>
      <c r="R3991">
        <v>150</v>
      </c>
      <c r="S3991">
        <v>150</v>
      </c>
      <c r="T3991" t="s">
        <v>16459</v>
      </c>
    </row>
    <row r="3992" spans="1:25" customFormat="1" ht="15" x14ac:dyDescent="0.25">
      <c r="A3992" t="s">
        <v>35</v>
      </c>
      <c r="B3992" t="s">
        <v>9198</v>
      </c>
      <c r="C3992" t="str">
        <f>"A0185573"</f>
        <v>A0185573</v>
      </c>
      <c r="D3992" t="s">
        <v>16460</v>
      </c>
      <c r="E3992" t="s">
        <v>16461</v>
      </c>
      <c r="F3992" t="s">
        <v>7534</v>
      </c>
      <c r="G3992" t="s">
        <v>110</v>
      </c>
      <c r="H3992">
        <v>92008</v>
      </c>
      <c r="I3992" t="s">
        <v>30</v>
      </c>
      <c r="J3992" t="s">
        <v>41</v>
      </c>
      <c r="K3992" t="s">
        <v>229</v>
      </c>
      <c r="Q3992">
        <v>0</v>
      </c>
      <c r="R3992">
        <v>100</v>
      </c>
      <c r="S3992">
        <v>100</v>
      </c>
      <c r="T3992" t="s">
        <v>16462</v>
      </c>
    </row>
    <row r="3993" spans="1:25" customFormat="1" ht="15" x14ac:dyDescent="0.25">
      <c r="A3993" t="s">
        <v>35</v>
      </c>
      <c r="B3993" t="s">
        <v>61</v>
      </c>
      <c r="C3993" t="str">
        <f>"A0185572"</f>
        <v>A0185572</v>
      </c>
      <c r="D3993" t="s">
        <v>16463</v>
      </c>
      <c r="E3993" t="s">
        <v>16464</v>
      </c>
      <c r="F3993" t="s">
        <v>635</v>
      </c>
      <c r="G3993" t="s">
        <v>2391</v>
      </c>
      <c r="H3993">
        <v>5408</v>
      </c>
      <c r="I3993" t="s">
        <v>30</v>
      </c>
      <c r="J3993" t="s">
        <v>41</v>
      </c>
      <c r="K3993" t="s">
        <v>229</v>
      </c>
      <c r="Q3993">
        <v>0</v>
      </c>
      <c r="R3993">
        <v>144</v>
      </c>
      <c r="S3993">
        <v>144</v>
      </c>
      <c r="T3993" t="s">
        <v>16465</v>
      </c>
    </row>
    <row r="3994" spans="1:25" customFormat="1" ht="15" x14ac:dyDescent="0.25">
      <c r="A3994" t="s">
        <v>35</v>
      </c>
      <c r="B3994" t="s">
        <v>285</v>
      </c>
      <c r="C3994" t="str">
        <f>"A0185571"</f>
        <v>A0185571</v>
      </c>
      <c r="D3994" t="s">
        <v>16466</v>
      </c>
      <c r="E3994" t="s">
        <v>16467</v>
      </c>
      <c r="F3994" t="s">
        <v>13101</v>
      </c>
      <c r="G3994" t="s">
        <v>289</v>
      </c>
      <c r="H3994">
        <v>60026</v>
      </c>
      <c r="I3994" t="s">
        <v>30</v>
      </c>
      <c r="J3994" t="s">
        <v>41</v>
      </c>
      <c r="K3994" t="s">
        <v>59</v>
      </c>
      <c r="Q3994">
        <v>0</v>
      </c>
      <c r="R3994">
        <v>0</v>
      </c>
      <c r="S3994">
        <v>0</v>
      </c>
      <c r="T3994" t="s">
        <v>16468</v>
      </c>
    </row>
    <row r="3995" spans="1:25" customFormat="1" ht="15" x14ac:dyDescent="0.25">
      <c r="A3995" t="s">
        <v>35</v>
      </c>
      <c r="B3995" t="s">
        <v>285</v>
      </c>
      <c r="C3995" t="str">
        <f>"A0185570"</f>
        <v>A0185570</v>
      </c>
      <c r="D3995" t="s">
        <v>16469</v>
      </c>
      <c r="E3995" t="s">
        <v>16470</v>
      </c>
      <c r="F3995" t="s">
        <v>16471</v>
      </c>
      <c r="G3995" t="s">
        <v>58</v>
      </c>
      <c r="H3995">
        <v>29928</v>
      </c>
      <c r="I3995" t="s">
        <v>30</v>
      </c>
      <c r="J3995" t="s">
        <v>41</v>
      </c>
      <c r="K3995" t="s">
        <v>59</v>
      </c>
      <c r="Q3995">
        <v>0</v>
      </c>
      <c r="R3995">
        <v>0</v>
      </c>
      <c r="S3995">
        <v>0</v>
      </c>
      <c r="T3995" t="s">
        <v>16472</v>
      </c>
    </row>
    <row r="3996" spans="1:25" customFormat="1" ht="15" x14ac:dyDescent="0.25">
      <c r="A3996" t="s">
        <v>35</v>
      </c>
      <c r="B3996" t="s">
        <v>285</v>
      </c>
      <c r="C3996" t="str">
        <f>"A0185569"</f>
        <v>A0185569</v>
      </c>
      <c r="D3996" t="s">
        <v>16473</v>
      </c>
      <c r="E3996" t="s">
        <v>16474</v>
      </c>
      <c r="F3996" t="s">
        <v>16475</v>
      </c>
      <c r="G3996" t="s">
        <v>81</v>
      </c>
      <c r="H3996">
        <v>33462</v>
      </c>
      <c r="I3996" t="s">
        <v>30</v>
      </c>
      <c r="J3996" t="s">
        <v>41</v>
      </c>
      <c r="K3996" t="s">
        <v>59</v>
      </c>
      <c r="Q3996">
        <v>0</v>
      </c>
      <c r="R3996">
        <v>0</v>
      </c>
      <c r="S3996">
        <v>0</v>
      </c>
      <c r="T3996" t="s">
        <v>16476</v>
      </c>
    </row>
    <row r="3997" spans="1:25" customFormat="1" ht="15" x14ac:dyDescent="0.25">
      <c r="A3997" t="s">
        <v>35</v>
      </c>
      <c r="B3997" t="s">
        <v>5246</v>
      </c>
      <c r="C3997" t="str">
        <f>"A0185568"</f>
        <v>A0185568</v>
      </c>
      <c r="D3997" t="s">
        <v>16477</v>
      </c>
      <c r="E3997" t="s">
        <v>16478</v>
      </c>
      <c r="F3997" t="s">
        <v>11919</v>
      </c>
      <c r="G3997" t="s">
        <v>81</v>
      </c>
      <c r="H3997">
        <v>34484</v>
      </c>
      <c r="I3997" t="s">
        <v>30</v>
      </c>
      <c r="J3997" t="s">
        <v>41</v>
      </c>
      <c r="K3997" t="s">
        <v>59</v>
      </c>
      <c r="Q3997">
        <v>0</v>
      </c>
      <c r="R3997">
        <v>134</v>
      </c>
      <c r="S3997">
        <v>134</v>
      </c>
      <c r="T3997" t="s">
        <v>16479</v>
      </c>
    </row>
    <row r="3998" spans="1:25" customFormat="1" ht="15" x14ac:dyDescent="0.25">
      <c r="A3998" t="s">
        <v>35</v>
      </c>
      <c r="B3998" t="s">
        <v>285</v>
      </c>
      <c r="C3998" t="str">
        <f>"A0185567"</f>
        <v>A0185567</v>
      </c>
      <c r="D3998" t="s">
        <v>16480</v>
      </c>
      <c r="E3998" t="s">
        <v>16481</v>
      </c>
      <c r="F3998" t="s">
        <v>16482</v>
      </c>
      <c r="G3998" t="s">
        <v>190</v>
      </c>
      <c r="H3998">
        <v>80126</v>
      </c>
      <c r="I3998" t="s">
        <v>30</v>
      </c>
      <c r="J3998" t="s">
        <v>41</v>
      </c>
      <c r="K3998" t="s">
        <v>59</v>
      </c>
      <c r="Q3998">
        <v>0</v>
      </c>
      <c r="R3998">
        <v>0</v>
      </c>
      <c r="S3998">
        <v>0</v>
      </c>
      <c r="T3998" t="s">
        <v>16483</v>
      </c>
    </row>
    <row r="3999" spans="1:25" customFormat="1" ht="15" x14ac:dyDescent="0.25">
      <c r="A3999" t="s">
        <v>35</v>
      </c>
      <c r="B3999" t="s">
        <v>285</v>
      </c>
      <c r="C3999" t="str">
        <f>"A0185566"</f>
        <v>A0185566</v>
      </c>
      <c r="D3999" t="s">
        <v>16484</v>
      </c>
      <c r="E3999" t="s">
        <v>16485</v>
      </c>
      <c r="F3999" t="s">
        <v>3671</v>
      </c>
      <c r="G3999" t="s">
        <v>81</v>
      </c>
      <c r="H3999">
        <v>34110</v>
      </c>
      <c r="I3999" t="s">
        <v>30</v>
      </c>
      <c r="J3999" t="s">
        <v>41</v>
      </c>
      <c r="K3999" t="s">
        <v>59</v>
      </c>
      <c r="Q3999">
        <v>0</v>
      </c>
      <c r="R3999">
        <v>0</v>
      </c>
      <c r="S3999">
        <v>0</v>
      </c>
      <c r="T3999" t="s">
        <v>16486</v>
      </c>
    </row>
    <row r="4000" spans="1:25" customFormat="1" ht="15" x14ac:dyDescent="0.25">
      <c r="A4000" t="s">
        <v>35</v>
      </c>
      <c r="B4000" t="s">
        <v>285</v>
      </c>
      <c r="C4000" t="str">
        <f>"A0185565"</f>
        <v>A0185565</v>
      </c>
      <c r="D4000" t="s">
        <v>16487</v>
      </c>
      <c r="E4000" t="s">
        <v>16488</v>
      </c>
      <c r="F4000" t="s">
        <v>16489</v>
      </c>
      <c r="G4000" t="s">
        <v>81</v>
      </c>
      <c r="H4000">
        <v>33180</v>
      </c>
      <c r="I4000" t="s">
        <v>30</v>
      </c>
      <c r="J4000" t="s">
        <v>41</v>
      </c>
      <c r="K4000" t="s">
        <v>59</v>
      </c>
      <c r="Q4000">
        <v>0</v>
      </c>
      <c r="R4000">
        <v>0</v>
      </c>
      <c r="S4000">
        <v>0</v>
      </c>
      <c r="T4000" t="s">
        <v>16490</v>
      </c>
    </row>
    <row r="4001" spans="1:20" customFormat="1" ht="15" x14ac:dyDescent="0.25">
      <c r="A4001" t="s">
        <v>35</v>
      </c>
      <c r="B4001" t="s">
        <v>285</v>
      </c>
      <c r="C4001" t="str">
        <f>"A0185564"</f>
        <v>A0185564</v>
      </c>
      <c r="D4001" t="s">
        <v>16491</v>
      </c>
      <c r="E4001" t="s">
        <v>16492</v>
      </c>
      <c r="F4001" t="s">
        <v>3645</v>
      </c>
      <c r="G4001" t="s">
        <v>197</v>
      </c>
      <c r="H4001">
        <v>85255</v>
      </c>
      <c r="I4001" t="s">
        <v>30</v>
      </c>
      <c r="J4001" t="s">
        <v>41</v>
      </c>
      <c r="K4001" t="s">
        <v>59</v>
      </c>
      <c r="Q4001">
        <v>0</v>
      </c>
      <c r="R4001">
        <v>0</v>
      </c>
      <c r="S4001">
        <v>0</v>
      </c>
      <c r="T4001" t="s">
        <v>16493</v>
      </c>
    </row>
    <row r="4002" spans="1:20" customFormat="1" ht="15" x14ac:dyDescent="0.25">
      <c r="A4002" t="s">
        <v>35</v>
      </c>
      <c r="B4002" t="s">
        <v>887</v>
      </c>
      <c r="C4002" t="str">
        <f>"A0185563"</f>
        <v>A0185563</v>
      </c>
      <c r="D4002" t="s">
        <v>16494</v>
      </c>
      <c r="E4002" t="s">
        <v>16495</v>
      </c>
      <c r="F4002" t="s">
        <v>16496</v>
      </c>
      <c r="G4002" t="s">
        <v>289</v>
      </c>
      <c r="H4002">
        <v>60005</v>
      </c>
      <c r="I4002" t="s">
        <v>30</v>
      </c>
      <c r="J4002" t="s">
        <v>41</v>
      </c>
      <c r="K4002" t="s">
        <v>59</v>
      </c>
      <c r="Q4002">
        <v>0</v>
      </c>
      <c r="R4002">
        <v>0</v>
      </c>
      <c r="S4002">
        <v>0</v>
      </c>
      <c r="T4002" t="s">
        <v>16497</v>
      </c>
    </row>
    <row r="4003" spans="1:20" customFormat="1" ht="15" x14ac:dyDescent="0.25">
      <c r="A4003" t="s">
        <v>35</v>
      </c>
      <c r="B4003" t="s">
        <v>285</v>
      </c>
      <c r="C4003" t="str">
        <f>"A0185562"</f>
        <v>A0185562</v>
      </c>
      <c r="D4003" t="s">
        <v>16498</v>
      </c>
      <c r="E4003" t="s">
        <v>16499</v>
      </c>
      <c r="F4003" t="s">
        <v>3645</v>
      </c>
      <c r="G4003" t="s">
        <v>197</v>
      </c>
      <c r="H4003">
        <v>85255</v>
      </c>
      <c r="I4003" t="s">
        <v>30</v>
      </c>
      <c r="J4003" t="s">
        <v>41</v>
      </c>
      <c r="K4003" t="s">
        <v>59</v>
      </c>
      <c r="Q4003">
        <v>0</v>
      </c>
      <c r="R4003">
        <v>0</v>
      </c>
      <c r="S4003">
        <v>0</v>
      </c>
      <c r="T4003" t="s">
        <v>16500</v>
      </c>
    </row>
    <row r="4004" spans="1:20" customFormat="1" ht="15" x14ac:dyDescent="0.25">
      <c r="A4004" t="s">
        <v>35</v>
      </c>
      <c r="B4004" t="s">
        <v>16501</v>
      </c>
      <c r="C4004" t="str">
        <f>"A0185561"</f>
        <v>A0185561</v>
      </c>
      <c r="D4004" t="s">
        <v>16502</v>
      </c>
      <c r="E4004" t="s">
        <v>16503</v>
      </c>
      <c r="F4004" t="s">
        <v>1775</v>
      </c>
      <c r="G4004" t="s">
        <v>117</v>
      </c>
      <c r="H4004">
        <v>48602</v>
      </c>
      <c r="I4004" t="s">
        <v>30</v>
      </c>
      <c r="J4004" t="s">
        <v>41</v>
      </c>
      <c r="K4004" t="s">
        <v>131</v>
      </c>
      <c r="Q4004">
        <v>0</v>
      </c>
      <c r="R4004">
        <v>20</v>
      </c>
      <c r="S4004">
        <v>20</v>
      </c>
      <c r="T4004" t="s">
        <v>72</v>
      </c>
    </row>
    <row r="4005" spans="1:20" customFormat="1" ht="15" x14ac:dyDescent="0.25">
      <c r="A4005" t="s">
        <v>35</v>
      </c>
      <c r="B4005" t="s">
        <v>16501</v>
      </c>
      <c r="C4005" t="str">
        <f>"A0185560"</f>
        <v>A0185560</v>
      </c>
      <c r="D4005" t="s">
        <v>16504</v>
      </c>
      <c r="E4005" t="s">
        <v>16505</v>
      </c>
      <c r="F4005" t="s">
        <v>1775</v>
      </c>
      <c r="G4005" t="s">
        <v>117</v>
      </c>
      <c r="H4005">
        <v>48602</v>
      </c>
      <c r="I4005" t="s">
        <v>30</v>
      </c>
      <c r="J4005" t="s">
        <v>41</v>
      </c>
      <c r="K4005" t="s">
        <v>131</v>
      </c>
      <c r="Q4005">
        <v>0</v>
      </c>
      <c r="R4005">
        <v>0</v>
      </c>
      <c r="S4005">
        <v>0</v>
      </c>
      <c r="T4005" t="s">
        <v>72</v>
      </c>
    </row>
    <row r="4006" spans="1:20" customFormat="1" ht="15" x14ac:dyDescent="0.25">
      <c r="A4006" t="s">
        <v>35</v>
      </c>
      <c r="B4006" t="s">
        <v>36</v>
      </c>
      <c r="C4006" t="str">
        <f>"A0185559"</f>
        <v>A0185559</v>
      </c>
      <c r="D4006" t="s">
        <v>16506</v>
      </c>
      <c r="E4006" t="s">
        <v>16507</v>
      </c>
      <c r="F4006" t="s">
        <v>10272</v>
      </c>
      <c r="G4006" t="s">
        <v>381</v>
      </c>
      <c r="H4006">
        <v>47670</v>
      </c>
      <c r="I4006" t="s">
        <v>30</v>
      </c>
      <c r="J4006" t="s">
        <v>41</v>
      </c>
      <c r="K4006" t="s">
        <v>42</v>
      </c>
      <c r="Q4006">
        <v>0</v>
      </c>
      <c r="R4006">
        <v>0</v>
      </c>
      <c r="S4006">
        <v>0</v>
      </c>
      <c r="T4006" t="s">
        <v>16508</v>
      </c>
    </row>
    <row r="4007" spans="1:20" customFormat="1" ht="15" x14ac:dyDescent="0.25">
      <c r="A4007" t="s">
        <v>35</v>
      </c>
      <c r="B4007" t="s">
        <v>36</v>
      </c>
      <c r="C4007" t="str">
        <f>"A0185558"</f>
        <v>A0185558</v>
      </c>
      <c r="D4007" t="s">
        <v>16509</v>
      </c>
      <c r="E4007" t="s">
        <v>16510</v>
      </c>
      <c r="F4007" t="s">
        <v>3478</v>
      </c>
      <c r="G4007" t="s">
        <v>65</v>
      </c>
      <c r="H4007">
        <v>45401</v>
      </c>
      <c r="I4007" t="s">
        <v>30</v>
      </c>
      <c r="J4007" t="s">
        <v>41</v>
      </c>
      <c r="K4007" t="s">
        <v>42</v>
      </c>
      <c r="Q4007">
        <v>0</v>
      </c>
      <c r="R4007">
        <v>0</v>
      </c>
      <c r="S4007">
        <v>0</v>
      </c>
      <c r="T4007" t="s">
        <v>16511</v>
      </c>
    </row>
    <row r="4008" spans="1:20" customFormat="1" ht="15" x14ac:dyDescent="0.25">
      <c r="A4008" t="s">
        <v>35</v>
      </c>
      <c r="B4008" t="s">
        <v>36</v>
      </c>
      <c r="C4008" t="str">
        <f>"A0185557"</f>
        <v>A0185557</v>
      </c>
      <c r="D4008" t="s">
        <v>16512</v>
      </c>
      <c r="E4008" t="s">
        <v>16513</v>
      </c>
      <c r="F4008" t="s">
        <v>4622</v>
      </c>
      <c r="G4008" t="s">
        <v>880</v>
      </c>
      <c r="H4008">
        <v>37064</v>
      </c>
      <c r="I4008" t="s">
        <v>30</v>
      </c>
      <c r="J4008" t="s">
        <v>41</v>
      </c>
      <c r="K4008" t="s">
        <v>42</v>
      </c>
      <c r="Q4008">
        <v>0</v>
      </c>
      <c r="R4008">
        <v>0</v>
      </c>
      <c r="S4008">
        <v>0</v>
      </c>
      <c r="T4008" t="s">
        <v>16514</v>
      </c>
    </row>
    <row r="4009" spans="1:20" customFormat="1" ht="15" x14ac:dyDescent="0.25">
      <c r="A4009" t="s">
        <v>35</v>
      </c>
      <c r="B4009" t="s">
        <v>36</v>
      </c>
      <c r="C4009" t="str">
        <f>"A0185556"</f>
        <v>A0185556</v>
      </c>
      <c r="D4009" t="s">
        <v>16515</v>
      </c>
      <c r="E4009" t="s">
        <v>16516</v>
      </c>
      <c r="F4009" t="s">
        <v>16517</v>
      </c>
      <c r="G4009" t="s">
        <v>289</v>
      </c>
      <c r="H4009">
        <v>62374</v>
      </c>
      <c r="I4009" t="s">
        <v>30</v>
      </c>
      <c r="J4009" t="s">
        <v>41</v>
      </c>
      <c r="K4009" t="s">
        <v>42</v>
      </c>
      <c r="Q4009">
        <v>0</v>
      </c>
      <c r="R4009">
        <v>0</v>
      </c>
      <c r="S4009">
        <v>0</v>
      </c>
      <c r="T4009" t="s">
        <v>16518</v>
      </c>
    </row>
    <row r="4010" spans="1:20" customFormat="1" ht="15" x14ac:dyDescent="0.25">
      <c r="A4010" t="s">
        <v>35</v>
      </c>
      <c r="B4010" t="s">
        <v>61</v>
      </c>
      <c r="C4010" t="str">
        <f>"A0185555"</f>
        <v>A0185555</v>
      </c>
      <c r="D4010" t="s">
        <v>16519</v>
      </c>
      <c r="E4010" t="s">
        <v>16520</v>
      </c>
      <c r="F4010" t="s">
        <v>16521</v>
      </c>
      <c r="G4010" t="s">
        <v>289</v>
      </c>
      <c r="H4010">
        <v>61614</v>
      </c>
      <c r="I4010" t="s">
        <v>30</v>
      </c>
      <c r="J4010" t="s">
        <v>41</v>
      </c>
      <c r="K4010" t="s">
        <v>42</v>
      </c>
      <c r="Q4010">
        <v>0</v>
      </c>
      <c r="R4010">
        <v>0</v>
      </c>
      <c r="S4010">
        <v>0</v>
      </c>
      <c r="T4010" t="s">
        <v>16522</v>
      </c>
    </row>
    <row r="4011" spans="1:20" customFormat="1" ht="15" x14ac:dyDescent="0.25">
      <c r="A4011" t="s">
        <v>35</v>
      </c>
      <c r="B4011" t="s">
        <v>36</v>
      </c>
      <c r="C4011" t="str">
        <f>"A0185554"</f>
        <v>A0185554</v>
      </c>
      <c r="D4011" t="s">
        <v>16523</v>
      </c>
      <c r="E4011" t="s">
        <v>16524</v>
      </c>
      <c r="F4011" t="s">
        <v>8130</v>
      </c>
      <c r="G4011" t="s">
        <v>925</v>
      </c>
      <c r="H4011">
        <v>67530</v>
      </c>
      <c r="I4011" t="s">
        <v>30</v>
      </c>
      <c r="J4011" t="s">
        <v>41</v>
      </c>
      <c r="K4011" t="s">
        <v>42</v>
      </c>
      <c r="Q4011">
        <v>0</v>
      </c>
      <c r="R4011">
        <v>0</v>
      </c>
      <c r="S4011">
        <v>0</v>
      </c>
      <c r="T4011" t="s">
        <v>16525</v>
      </c>
    </row>
    <row r="4012" spans="1:20" customFormat="1" ht="15" x14ac:dyDescent="0.25">
      <c r="A4012" t="s">
        <v>35</v>
      </c>
      <c r="B4012" t="s">
        <v>36</v>
      </c>
      <c r="C4012" t="str">
        <f>"A0185553"</f>
        <v>A0185553</v>
      </c>
      <c r="D4012" t="s">
        <v>16526</v>
      </c>
      <c r="E4012" t="s">
        <v>16527</v>
      </c>
      <c r="F4012" t="s">
        <v>4622</v>
      </c>
      <c r="G4012" t="s">
        <v>899</v>
      </c>
      <c r="H4012">
        <v>2038</v>
      </c>
      <c r="I4012" t="s">
        <v>30</v>
      </c>
      <c r="J4012" t="s">
        <v>41</v>
      </c>
      <c r="K4012" t="s">
        <v>42</v>
      </c>
      <c r="Q4012">
        <v>0</v>
      </c>
      <c r="R4012">
        <v>0</v>
      </c>
      <c r="S4012">
        <v>0</v>
      </c>
      <c r="T4012" t="s">
        <v>16528</v>
      </c>
    </row>
    <row r="4013" spans="1:20" customFormat="1" ht="15" x14ac:dyDescent="0.25">
      <c r="A4013" t="s">
        <v>24</v>
      </c>
      <c r="B4013" t="s">
        <v>13730</v>
      </c>
      <c r="C4013" t="str">
        <f>"A0095419"</f>
        <v>A0095419</v>
      </c>
      <c r="D4013" t="s">
        <v>63999</v>
      </c>
      <c r="E4013" t="s">
        <v>64000</v>
      </c>
      <c r="F4013" t="s">
        <v>972</v>
      </c>
      <c r="G4013" t="s">
        <v>190</v>
      </c>
      <c r="H4013">
        <v>80249</v>
      </c>
      <c r="I4013" t="s">
        <v>30</v>
      </c>
      <c r="J4013" t="s">
        <v>162</v>
      </c>
      <c r="K4013" t="s">
        <v>266</v>
      </c>
      <c r="N4013" t="s">
        <v>64001</v>
      </c>
      <c r="O4013" t="s">
        <v>64002</v>
      </c>
      <c r="Q4013">
        <v>0</v>
      </c>
      <c r="R4013">
        <v>174</v>
      </c>
      <c r="S4013">
        <v>0</v>
      </c>
      <c r="T4013" t="s">
        <v>64003</v>
      </c>
    </row>
    <row r="4014" spans="1:20" customFormat="1" ht="15" x14ac:dyDescent="0.25">
      <c r="A4014" t="s">
        <v>24</v>
      </c>
      <c r="B4014" t="s">
        <v>16534</v>
      </c>
      <c r="C4014" t="str">
        <f>"A0185497"</f>
        <v>A0185497</v>
      </c>
      <c r="D4014" t="s">
        <v>16535</v>
      </c>
      <c r="E4014" t="s">
        <v>16536</v>
      </c>
      <c r="F4014" t="s">
        <v>985</v>
      </c>
      <c r="G4014" t="s">
        <v>81</v>
      </c>
      <c r="H4014">
        <v>32827</v>
      </c>
      <c r="I4014" t="s">
        <v>30</v>
      </c>
      <c r="J4014" t="s">
        <v>31</v>
      </c>
      <c r="K4014" t="s">
        <v>255</v>
      </c>
      <c r="N4014" t="s">
        <v>16537</v>
      </c>
      <c r="O4014" t="s">
        <v>16538</v>
      </c>
      <c r="Q4014">
        <v>0</v>
      </c>
      <c r="R4014">
        <v>153</v>
      </c>
      <c r="S4014">
        <v>0</v>
      </c>
      <c r="T4014" t="s">
        <v>16539</v>
      </c>
    </row>
    <row r="4015" spans="1:20" customFormat="1" ht="15" x14ac:dyDescent="0.25">
      <c r="A4015" t="s">
        <v>24</v>
      </c>
      <c r="B4015" t="s">
        <v>16540</v>
      </c>
      <c r="C4015" t="str">
        <f>"SF08625"</f>
        <v>SF08625</v>
      </c>
      <c r="D4015" t="s">
        <v>16541</v>
      </c>
      <c r="E4015" t="s">
        <v>16542</v>
      </c>
      <c r="F4015" t="s">
        <v>16543</v>
      </c>
      <c r="G4015" t="s">
        <v>110</v>
      </c>
      <c r="H4015">
        <v>95472</v>
      </c>
      <c r="I4015" t="s">
        <v>30</v>
      </c>
      <c r="J4015" t="s">
        <v>31</v>
      </c>
      <c r="K4015" t="s">
        <v>32</v>
      </c>
      <c r="N4015" t="s">
        <v>16544</v>
      </c>
      <c r="Q4015">
        <v>0</v>
      </c>
      <c r="R4015">
        <v>82</v>
      </c>
      <c r="S4015">
        <v>0</v>
      </c>
      <c r="T4015" t="s">
        <v>16545</v>
      </c>
    </row>
    <row r="4016" spans="1:20" customFormat="1" ht="15" x14ac:dyDescent="0.25">
      <c r="A4016" t="s">
        <v>24</v>
      </c>
      <c r="B4016" t="s">
        <v>13679</v>
      </c>
      <c r="C4016" t="str">
        <f>"A0056786"</f>
        <v>A0056786</v>
      </c>
      <c r="D4016" t="s">
        <v>64004</v>
      </c>
      <c r="E4016" t="s">
        <v>64005</v>
      </c>
      <c r="F4016" t="s">
        <v>14560</v>
      </c>
      <c r="G4016" t="s">
        <v>190</v>
      </c>
      <c r="H4016">
        <v>80112</v>
      </c>
      <c r="I4016" t="s">
        <v>30</v>
      </c>
      <c r="J4016" t="s">
        <v>162</v>
      </c>
      <c r="K4016" t="s">
        <v>266</v>
      </c>
      <c r="N4016" t="s">
        <v>64006</v>
      </c>
      <c r="O4016" t="s">
        <v>64007</v>
      </c>
      <c r="Q4016">
        <v>0</v>
      </c>
      <c r="R4016">
        <v>236</v>
      </c>
      <c r="S4016">
        <v>0</v>
      </c>
      <c r="T4016" t="s">
        <v>64008</v>
      </c>
    </row>
    <row r="4017" spans="1:25" customFormat="1" ht="15" x14ac:dyDescent="0.25">
      <c r="A4017" t="s">
        <v>24</v>
      </c>
      <c r="B4017" t="s">
        <v>56277</v>
      </c>
      <c r="C4017" t="str">
        <f>"A0055756"</f>
        <v>A0055756</v>
      </c>
      <c r="D4017" t="s">
        <v>64009</v>
      </c>
      <c r="E4017" t="s">
        <v>64010</v>
      </c>
      <c r="F4017" t="s">
        <v>5008</v>
      </c>
      <c r="G4017" t="s">
        <v>1898</v>
      </c>
      <c r="H4017">
        <v>50309</v>
      </c>
      <c r="I4017" t="s">
        <v>30</v>
      </c>
      <c r="J4017" t="s">
        <v>162</v>
      </c>
      <c r="K4017" t="s">
        <v>266</v>
      </c>
      <c r="Q4017">
        <v>0</v>
      </c>
      <c r="R4017">
        <v>234</v>
      </c>
      <c r="S4017">
        <v>0</v>
      </c>
      <c r="T4017" t="s">
        <v>64011</v>
      </c>
    </row>
    <row r="4018" spans="1:25" customFormat="1" ht="15" x14ac:dyDescent="0.25">
      <c r="A4018" t="s">
        <v>24</v>
      </c>
      <c r="B4018" t="s">
        <v>13679</v>
      </c>
      <c r="C4018" t="str">
        <f>"A0075822"</f>
        <v>A0075822</v>
      </c>
      <c r="D4018" t="s">
        <v>64012</v>
      </c>
      <c r="E4018" t="s">
        <v>64013</v>
      </c>
      <c r="F4018" t="s">
        <v>4149</v>
      </c>
      <c r="G4018" t="s">
        <v>81</v>
      </c>
      <c r="H4018">
        <v>32550</v>
      </c>
      <c r="I4018" t="s">
        <v>30</v>
      </c>
      <c r="J4018" t="s">
        <v>162</v>
      </c>
      <c r="K4018" t="s">
        <v>266</v>
      </c>
      <c r="N4018" t="s">
        <v>64014</v>
      </c>
      <c r="Q4018">
        <v>0</v>
      </c>
      <c r="R4018">
        <v>155</v>
      </c>
      <c r="S4018">
        <v>0</v>
      </c>
      <c r="T4018" t="s">
        <v>64015</v>
      </c>
    </row>
    <row r="4019" spans="1:25" x14ac:dyDescent="0.25">
      <c r="A4019" s="5" t="s">
        <v>24</v>
      </c>
      <c r="B4019" s="5" t="s">
        <v>2221</v>
      </c>
      <c r="C4019" s="5" t="str">
        <f>"A0058794"</f>
        <v>A0058794</v>
      </c>
      <c r="D4019" s="5" t="s">
        <v>64016</v>
      </c>
      <c r="E4019" s="5" t="s">
        <v>64017</v>
      </c>
      <c r="F4019" s="5" t="s">
        <v>34764</v>
      </c>
      <c r="G4019" s="5" t="s">
        <v>29</v>
      </c>
      <c r="H4019" s="5">
        <v>20171</v>
      </c>
      <c r="I4019" s="5" t="s">
        <v>30</v>
      </c>
      <c r="J4019" s="5" t="s">
        <v>162</v>
      </c>
      <c r="K4019" s="5" t="s">
        <v>266</v>
      </c>
      <c r="L4019" s="5"/>
      <c r="M4019" s="5"/>
      <c r="N4019" s="5" t="s">
        <v>64018</v>
      </c>
      <c r="O4019" s="5"/>
      <c r="P4019" s="5"/>
      <c r="Q4019" s="5">
        <v>0</v>
      </c>
      <c r="R4019" s="5">
        <v>150</v>
      </c>
      <c r="S4019" s="5">
        <v>0</v>
      </c>
      <c r="T4019" s="5" t="s">
        <v>64019</v>
      </c>
      <c r="U4019" s="5"/>
      <c r="V4019" s="5"/>
      <c r="W4019" s="5"/>
      <c r="X4019" s="5"/>
      <c r="Y4019" s="5"/>
    </row>
    <row r="4020" spans="1:25" customFormat="1" ht="15" x14ac:dyDescent="0.25">
      <c r="A4020" t="s">
        <v>24</v>
      </c>
      <c r="B4020" t="s">
        <v>56277</v>
      </c>
      <c r="C4020" t="str">
        <f>"A0087902"</f>
        <v>A0087902</v>
      </c>
      <c r="D4020" t="s">
        <v>64020</v>
      </c>
      <c r="E4020" t="s">
        <v>64021</v>
      </c>
      <c r="F4020" t="s">
        <v>4159</v>
      </c>
      <c r="G4020" t="s">
        <v>289</v>
      </c>
      <c r="H4020">
        <v>61611</v>
      </c>
      <c r="I4020" t="s">
        <v>30</v>
      </c>
      <c r="J4020" t="s">
        <v>162</v>
      </c>
      <c r="K4020" t="s">
        <v>266</v>
      </c>
      <c r="N4020" t="s">
        <v>64022</v>
      </c>
      <c r="Q4020">
        <v>0</v>
      </c>
      <c r="R4020">
        <v>226</v>
      </c>
      <c r="S4020">
        <v>0</v>
      </c>
      <c r="T4020" t="s">
        <v>64023</v>
      </c>
    </row>
    <row r="4021" spans="1:25" customFormat="1" ht="15" x14ac:dyDescent="0.25">
      <c r="A4021" t="s">
        <v>24</v>
      </c>
      <c r="B4021" t="s">
        <v>13684</v>
      </c>
      <c r="C4021" t="str">
        <f>"A0179495"</f>
        <v>A0179495</v>
      </c>
      <c r="D4021" t="s">
        <v>16569</v>
      </c>
      <c r="E4021" t="s">
        <v>16570</v>
      </c>
      <c r="F4021" t="s">
        <v>7677</v>
      </c>
      <c r="G4021" t="s">
        <v>153</v>
      </c>
      <c r="H4021">
        <v>84098</v>
      </c>
      <c r="I4021" t="s">
        <v>30</v>
      </c>
      <c r="J4021" t="s">
        <v>9545</v>
      </c>
      <c r="K4021" t="s">
        <v>163</v>
      </c>
      <c r="N4021" t="s">
        <v>16571</v>
      </c>
      <c r="Q4021">
        <v>0</v>
      </c>
      <c r="R4021">
        <v>144</v>
      </c>
      <c r="S4021">
        <v>0</v>
      </c>
      <c r="T4021" t="s">
        <v>16572</v>
      </c>
    </row>
    <row r="4022" spans="1:25" customFormat="1" ht="15" x14ac:dyDescent="0.25">
      <c r="A4022" t="s">
        <v>24</v>
      </c>
      <c r="B4022" t="s">
        <v>13684</v>
      </c>
      <c r="C4022" t="str">
        <f>"A0166332"</f>
        <v>A0166332</v>
      </c>
      <c r="D4022" t="s">
        <v>16573</v>
      </c>
      <c r="E4022" t="s">
        <v>16574</v>
      </c>
      <c r="F4022" t="s">
        <v>716</v>
      </c>
      <c r="G4022" t="s">
        <v>289</v>
      </c>
      <c r="H4022">
        <v>60637</v>
      </c>
      <c r="I4022" t="s">
        <v>30</v>
      </c>
      <c r="J4022" t="s">
        <v>7657</v>
      </c>
      <c r="K4022" t="s">
        <v>163</v>
      </c>
      <c r="N4022" t="s">
        <v>14958</v>
      </c>
      <c r="Q4022">
        <v>0</v>
      </c>
      <c r="R4022">
        <v>0</v>
      </c>
      <c r="S4022">
        <v>0</v>
      </c>
      <c r="T4022" t="s">
        <v>16575</v>
      </c>
    </row>
    <row r="4023" spans="1:25" customFormat="1" ht="15" x14ac:dyDescent="0.25">
      <c r="A4023" t="s">
        <v>24</v>
      </c>
      <c r="B4023" t="s">
        <v>2221</v>
      </c>
      <c r="C4023" t="str">
        <f>"A0073160"</f>
        <v>A0073160</v>
      </c>
      <c r="D4023" t="s">
        <v>64024</v>
      </c>
      <c r="E4023" t="s">
        <v>64025</v>
      </c>
      <c r="F4023" t="s">
        <v>1513</v>
      </c>
      <c r="G4023" t="s">
        <v>197</v>
      </c>
      <c r="H4023">
        <v>86001</v>
      </c>
      <c r="I4023" t="s">
        <v>30</v>
      </c>
      <c r="J4023" t="s">
        <v>162</v>
      </c>
      <c r="K4023" t="s">
        <v>266</v>
      </c>
      <c r="N4023" t="s">
        <v>64026</v>
      </c>
      <c r="O4023" t="s">
        <v>64027</v>
      </c>
      <c r="Q4023">
        <v>0</v>
      </c>
      <c r="R4023">
        <v>119</v>
      </c>
      <c r="S4023">
        <v>0</v>
      </c>
      <c r="T4023" t="s">
        <v>64028</v>
      </c>
    </row>
    <row r="4024" spans="1:25" x14ac:dyDescent="0.25">
      <c r="A4024" s="5" t="s">
        <v>24</v>
      </c>
      <c r="B4024" s="5" t="s">
        <v>2380</v>
      </c>
      <c r="C4024" s="5" t="str">
        <f>"A0086120"</f>
        <v>A0086120</v>
      </c>
      <c r="D4024" s="5" t="s">
        <v>64029</v>
      </c>
      <c r="E4024" s="5" t="s">
        <v>64030</v>
      </c>
      <c r="F4024" s="5" t="s">
        <v>9180</v>
      </c>
      <c r="G4024" s="5" t="s">
        <v>81</v>
      </c>
      <c r="H4024" s="5">
        <v>33316</v>
      </c>
      <c r="I4024" s="5" t="s">
        <v>30</v>
      </c>
      <c r="J4024" s="5" t="s">
        <v>162</v>
      </c>
      <c r="K4024" s="5" t="s">
        <v>266</v>
      </c>
      <c r="L4024" s="5"/>
      <c r="M4024" s="5"/>
      <c r="N4024" s="5" t="s">
        <v>64031</v>
      </c>
      <c r="O4024" s="5" t="s">
        <v>63981</v>
      </c>
      <c r="P4024" s="5"/>
      <c r="Q4024" s="5">
        <v>0</v>
      </c>
      <c r="R4024" s="5">
        <v>361</v>
      </c>
      <c r="S4024" s="5">
        <v>0</v>
      </c>
      <c r="T4024" s="5" t="s">
        <v>64032</v>
      </c>
      <c r="U4024" s="5"/>
      <c r="V4024" s="5"/>
      <c r="W4024" s="5"/>
      <c r="X4024" s="5"/>
      <c r="Y4024" s="5"/>
    </row>
    <row r="4025" spans="1:25" customFormat="1" ht="15" x14ac:dyDescent="0.25">
      <c r="A4025" t="s">
        <v>24</v>
      </c>
      <c r="B4025" t="s">
        <v>9558</v>
      </c>
      <c r="C4025" t="str">
        <f>"A0180460"</f>
        <v>A0180460</v>
      </c>
      <c r="D4025" t="s">
        <v>16587</v>
      </c>
      <c r="E4025" t="s">
        <v>16588</v>
      </c>
      <c r="F4025" t="s">
        <v>716</v>
      </c>
      <c r="G4025" t="s">
        <v>289</v>
      </c>
      <c r="H4025">
        <v>60616</v>
      </c>
      <c r="I4025" t="s">
        <v>30</v>
      </c>
      <c r="J4025" t="s">
        <v>31</v>
      </c>
      <c r="K4025" t="s">
        <v>255</v>
      </c>
      <c r="N4025" t="s">
        <v>13293</v>
      </c>
      <c r="Q4025">
        <v>0</v>
      </c>
      <c r="R4025">
        <v>148</v>
      </c>
      <c r="S4025">
        <v>0</v>
      </c>
      <c r="T4025" t="s">
        <v>16589</v>
      </c>
    </row>
    <row r="4026" spans="1:25" customFormat="1" ht="15" x14ac:dyDescent="0.25">
      <c r="A4026" t="s">
        <v>35</v>
      </c>
      <c r="B4026" t="s">
        <v>14849</v>
      </c>
      <c r="C4026" t="str">
        <f>"A0130089"</f>
        <v>A0130089</v>
      </c>
      <c r="D4026" t="s">
        <v>16590</v>
      </c>
      <c r="E4026" t="s">
        <v>16591</v>
      </c>
      <c r="F4026" t="s">
        <v>436</v>
      </c>
      <c r="G4026" t="s">
        <v>433</v>
      </c>
      <c r="H4026">
        <v>83704</v>
      </c>
      <c r="I4026" t="s">
        <v>30</v>
      </c>
      <c r="J4026" t="s">
        <v>41</v>
      </c>
      <c r="K4026" t="s">
        <v>229</v>
      </c>
      <c r="Q4026">
        <v>0</v>
      </c>
      <c r="R4026">
        <v>104</v>
      </c>
      <c r="S4026">
        <v>104</v>
      </c>
      <c r="T4026" t="s">
        <v>16592</v>
      </c>
    </row>
    <row r="4027" spans="1:25" customFormat="1" ht="15" x14ac:dyDescent="0.25">
      <c r="A4027" t="s">
        <v>35</v>
      </c>
      <c r="B4027" t="s">
        <v>14849</v>
      </c>
      <c r="C4027" t="str">
        <f>"A0130085"</f>
        <v>A0130085</v>
      </c>
      <c r="D4027" t="s">
        <v>16593</v>
      </c>
      <c r="E4027" t="s">
        <v>16594</v>
      </c>
      <c r="F4027" t="s">
        <v>11609</v>
      </c>
      <c r="G4027" t="s">
        <v>880</v>
      </c>
      <c r="H4027">
        <v>37075</v>
      </c>
      <c r="I4027" t="s">
        <v>30</v>
      </c>
      <c r="J4027" t="s">
        <v>41</v>
      </c>
      <c r="K4027" t="s">
        <v>482</v>
      </c>
      <c r="Q4027">
        <v>0</v>
      </c>
      <c r="R4027">
        <v>98</v>
      </c>
      <c r="S4027">
        <v>98</v>
      </c>
      <c r="T4027" t="s">
        <v>16595</v>
      </c>
    </row>
    <row r="4028" spans="1:25" customFormat="1" ht="15" x14ac:dyDescent="0.25">
      <c r="A4028" t="s">
        <v>35</v>
      </c>
      <c r="B4028" t="s">
        <v>14849</v>
      </c>
      <c r="C4028" t="str">
        <f>"A0130088"</f>
        <v>A0130088</v>
      </c>
      <c r="D4028" t="s">
        <v>16596</v>
      </c>
      <c r="E4028" t="s">
        <v>16597</v>
      </c>
      <c r="F4028" t="s">
        <v>64</v>
      </c>
      <c r="G4028" t="s">
        <v>846</v>
      </c>
      <c r="H4028">
        <v>31907</v>
      </c>
      <c r="I4028" t="s">
        <v>30</v>
      </c>
      <c r="J4028" t="s">
        <v>41</v>
      </c>
      <c r="K4028" t="s">
        <v>482</v>
      </c>
      <c r="Q4028">
        <v>0</v>
      </c>
      <c r="R4028">
        <v>195</v>
      </c>
      <c r="S4028">
        <v>195</v>
      </c>
      <c r="T4028" t="s">
        <v>16598</v>
      </c>
    </row>
    <row r="4029" spans="1:25" customFormat="1" ht="15" x14ac:dyDescent="0.25">
      <c r="A4029" t="s">
        <v>35</v>
      </c>
      <c r="B4029" t="s">
        <v>14849</v>
      </c>
      <c r="C4029" t="str">
        <f>"A0130087"</f>
        <v>A0130087</v>
      </c>
      <c r="D4029" t="s">
        <v>16599</v>
      </c>
      <c r="E4029" t="s">
        <v>16600</v>
      </c>
      <c r="F4029" t="s">
        <v>16601</v>
      </c>
      <c r="G4029" t="s">
        <v>214</v>
      </c>
      <c r="H4029">
        <v>28712</v>
      </c>
      <c r="I4029" t="s">
        <v>30</v>
      </c>
      <c r="J4029" t="s">
        <v>41</v>
      </c>
      <c r="K4029" t="s">
        <v>482</v>
      </c>
      <c r="Q4029">
        <v>0</v>
      </c>
      <c r="R4029">
        <v>150</v>
      </c>
      <c r="S4029">
        <v>150</v>
      </c>
      <c r="T4029" t="s">
        <v>16602</v>
      </c>
    </row>
    <row r="4030" spans="1:25" customFormat="1" ht="15" x14ac:dyDescent="0.25">
      <c r="A4030" t="s">
        <v>35</v>
      </c>
      <c r="B4030" t="s">
        <v>14849</v>
      </c>
      <c r="C4030" t="str">
        <f>"A0130086"</f>
        <v>A0130086</v>
      </c>
      <c r="D4030" t="s">
        <v>16603</v>
      </c>
      <c r="E4030" t="s">
        <v>16604</v>
      </c>
      <c r="F4030" t="s">
        <v>436</v>
      </c>
      <c r="G4030" t="s">
        <v>433</v>
      </c>
      <c r="H4030">
        <v>83704</v>
      </c>
      <c r="I4030" t="s">
        <v>30</v>
      </c>
      <c r="J4030" t="s">
        <v>41</v>
      </c>
      <c r="K4030" t="s">
        <v>482</v>
      </c>
      <c r="Q4030">
        <v>0</v>
      </c>
      <c r="R4030">
        <v>194</v>
      </c>
      <c r="S4030">
        <v>194</v>
      </c>
      <c r="T4030" t="s">
        <v>16605</v>
      </c>
    </row>
    <row r="4031" spans="1:25" customFormat="1" ht="15" x14ac:dyDescent="0.25">
      <c r="A4031" t="s">
        <v>35</v>
      </c>
      <c r="B4031" t="s">
        <v>14849</v>
      </c>
      <c r="C4031" t="str">
        <f>"A0130084"</f>
        <v>A0130084</v>
      </c>
      <c r="D4031" t="s">
        <v>16606</v>
      </c>
      <c r="E4031" t="s">
        <v>16607</v>
      </c>
      <c r="F4031" t="s">
        <v>1904</v>
      </c>
      <c r="G4031" t="s">
        <v>880</v>
      </c>
      <c r="H4031">
        <v>37421</v>
      </c>
      <c r="I4031" t="s">
        <v>30</v>
      </c>
      <c r="J4031" t="s">
        <v>41</v>
      </c>
      <c r="K4031" t="s">
        <v>482</v>
      </c>
      <c r="Q4031">
        <v>0</v>
      </c>
      <c r="R4031">
        <v>118</v>
      </c>
      <c r="S4031">
        <v>118</v>
      </c>
      <c r="T4031" t="s">
        <v>16608</v>
      </c>
    </row>
    <row r="4032" spans="1:25" customFormat="1" ht="15" x14ac:dyDescent="0.25">
      <c r="A4032" t="s">
        <v>24</v>
      </c>
      <c r="B4032" t="s">
        <v>56277</v>
      </c>
      <c r="C4032" t="str">
        <f>"A0055834"</f>
        <v>A0055834</v>
      </c>
      <c r="D4032" t="s">
        <v>64033</v>
      </c>
      <c r="E4032" t="s">
        <v>64034</v>
      </c>
      <c r="F4032" t="s">
        <v>9498</v>
      </c>
      <c r="G4032" t="s">
        <v>214</v>
      </c>
      <c r="H4032">
        <v>27409</v>
      </c>
      <c r="I4032" t="s">
        <v>30</v>
      </c>
      <c r="J4032" t="s">
        <v>162</v>
      </c>
      <c r="K4032" t="s">
        <v>266</v>
      </c>
      <c r="N4032" t="s">
        <v>64035</v>
      </c>
      <c r="O4032" t="s">
        <v>58035</v>
      </c>
      <c r="Q4032">
        <v>0</v>
      </c>
      <c r="R4032">
        <v>219</v>
      </c>
      <c r="S4032">
        <v>0</v>
      </c>
      <c r="T4032" t="s">
        <v>64036</v>
      </c>
    </row>
    <row r="4033" spans="1:25" customFormat="1" ht="15" x14ac:dyDescent="0.25">
      <c r="A4033" t="s">
        <v>24</v>
      </c>
      <c r="B4033" t="s">
        <v>4990</v>
      </c>
      <c r="C4033" t="str">
        <f>"A0185507"</f>
        <v>A0185507</v>
      </c>
      <c r="D4033" t="s">
        <v>16614</v>
      </c>
      <c r="E4033" t="s">
        <v>16615</v>
      </c>
      <c r="F4033" t="s">
        <v>3860</v>
      </c>
      <c r="G4033" t="s">
        <v>137</v>
      </c>
      <c r="H4033">
        <v>63101</v>
      </c>
      <c r="I4033" t="s">
        <v>30</v>
      </c>
      <c r="J4033" t="s">
        <v>1004</v>
      </c>
      <c r="K4033" t="s">
        <v>163</v>
      </c>
      <c r="N4033" t="s">
        <v>16616</v>
      </c>
      <c r="Q4033">
        <v>0</v>
      </c>
      <c r="R4033">
        <v>0</v>
      </c>
      <c r="S4033">
        <v>0</v>
      </c>
      <c r="T4033" t="s">
        <v>192</v>
      </c>
    </row>
    <row r="4034" spans="1:25" customFormat="1" ht="15" x14ac:dyDescent="0.25">
      <c r="A4034" t="s">
        <v>24</v>
      </c>
      <c r="B4034" t="s">
        <v>4990</v>
      </c>
      <c r="C4034" t="str">
        <f>"A0166079"</f>
        <v>A0166079</v>
      </c>
      <c r="D4034" t="s">
        <v>16617</v>
      </c>
      <c r="E4034" t="s">
        <v>16618</v>
      </c>
      <c r="F4034" t="s">
        <v>16619</v>
      </c>
      <c r="G4034" t="s">
        <v>1898</v>
      </c>
      <c r="H4034">
        <v>52241</v>
      </c>
      <c r="I4034" t="s">
        <v>30</v>
      </c>
      <c r="J4034" t="s">
        <v>687</v>
      </c>
      <c r="K4034" t="s">
        <v>163</v>
      </c>
      <c r="Q4034">
        <v>0</v>
      </c>
      <c r="R4034">
        <v>0</v>
      </c>
      <c r="S4034">
        <v>0</v>
      </c>
      <c r="T4034" t="s">
        <v>16620</v>
      </c>
    </row>
    <row r="4035" spans="1:25" customFormat="1" ht="15" x14ac:dyDescent="0.25">
      <c r="A4035" t="s">
        <v>35</v>
      </c>
      <c r="B4035" t="s">
        <v>61</v>
      </c>
      <c r="C4035" t="str">
        <f>"A0122914"</f>
        <v>A0122914</v>
      </c>
      <c r="D4035" t="s">
        <v>16621</v>
      </c>
      <c r="E4035" t="s">
        <v>16622</v>
      </c>
      <c r="F4035" t="s">
        <v>1079</v>
      </c>
      <c r="G4035" t="s">
        <v>76</v>
      </c>
      <c r="H4035">
        <v>98329</v>
      </c>
      <c r="I4035" t="s">
        <v>30</v>
      </c>
      <c r="J4035" t="s">
        <v>41</v>
      </c>
      <c r="K4035" t="s">
        <v>131</v>
      </c>
      <c r="Q4035">
        <v>0</v>
      </c>
      <c r="R4035">
        <v>30</v>
      </c>
      <c r="S4035">
        <v>30</v>
      </c>
      <c r="T4035" t="s">
        <v>16623</v>
      </c>
    </row>
    <row r="4036" spans="1:25" customFormat="1" ht="15" x14ac:dyDescent="0.25">
      <c r="A4036" t="s">
        <v>35</v>
      </c>
      <c r="B4036" t="s">
        <v>437</v>
      </c>
      <c r="C4036" t="str">
        <f>"A0133977"</f>
        <v>A0133977</v>
      </c>
      <c r="D4036" t="s">
        <v>16624</v>
      </c>
      <c r="E4036" t="s">
        <v>16625</v>
      </c>
      <c r="F4036" t="s">
        <v>9135</v>
      </c>
      <c r="G4036" t="s">
        <v>110</v>
      </c>
      <c r="H4036">
        <v>95113</v>
      </c>
      <c r="I4036" t="s">
        <v>30</v>
      </c>
      <c r="J4036" t="s">
        <v>441</v>
      </c>
      <c r="K4036" t="s">
        <v>442</v>
      </c>
      <c r="Q4036">
        <v>0</v>
      </c>
      <c r="R4036">
        <v>0</v>
      </c>
      <c r="S4036">
        <v>0</v>
      </c>
      <c r="T4036" t="s">
        <v>16626</v>
      </c>
    </row>
    <row r="4037" spans="1:25" customFormat="1" ht="15" x14ac:dyDescent="0.25">
      <c r="A4037" t="s">
        <v>24</v>
      </c>
      <c r="B4037" t="s">
        <v>8805</v>
      </c>
      <c r="C4037" t="str">
        <f>"A0180328"</f>
        <v>A0180328</v>
      </c>
      <c r="D4037" t="s">
        <v>16627</v>
      </c>
      <c r="E4037" t="s">
        <v>16628</v>
      </c>
      <c r="F4037" t="s">
        <v>8951</v>
      </c>
      <c r="G4037" t="s">
        <v>117</v>
      </c>
      <c r="H4037">
        <v>48302</v>
      </c>
      <c r="I4037" t="s">
        <v>30</v>
      </c>
      <c r="J4037" t="s">
        <v>31</v>
      </c>
      <c r="K4037" t="s">
        <v>198</v>
      </c>
      <c r="N4037" t="s">
        <v>16629</v>
      </c>
      <c r="O4037" t="s">
        <v>16630</v>
      </c>
      <c r="Q4037">
        <v>0</v>
      </c>
      <c r="R4037">
        <v>101</v>
      </c>
      <c r="S4037">
        <v>0</v>
      </c>
      <c r="T4037" t="s">
        <v>16631</v>
      </c>
    </row>
    <row r="4038" spans="1:25" customFormat="1" ht="15" hidden="1" x14ac:dyDescent="0.25">
      <c r="A4038" t="s">
        <v>24</v>
      </c>
      <c r="B4038" t="s">
        <v>193</v>
      </c>
      <c r="C4038" t="str">
        <f>"A0117439"</f>
        <v>A0117439</v>
      </c>
      <c r="D4038" t="s">
        <v>16632</v>
      </c>
      <c r="E4038" t="s">
        <v>16633</v>
      </c>
      <c r="F4038" t="s">
        <v>16634</v>
      </c>
      <c r="G4038" t="s">
        <v>2206</v>
      </c>
      <c r="H4038" t="s">
        <v>16635</v>
      </c>
      <c r="I4038" t="s">
        <v>1459</v>
      </c>
      <c r="J4038" t="s">
        <v>7657</v>
      </c>
      <c r="K4038" t="s">
        <v>163</v>
      </c>
      <c r="Q4038">
        <v>0</v>
      </c>
      <c r="R4038">
        <v>0</v>
      </c>
      <c r="S4038">
        <v>0</v>
      </c>
      <c r="T4038" t="s">
        <v>16636</v>
      </c>
    </row>
    <row r="4039" spans="1:25" customFormat="1" ht="15" hidden="1" x14ac:dyDescent="0.25">
      <c r="A4039" t="s">
        <v>24</v>
      </c>
      <c r="B4039" t="s">
        <v>16637</v>
      </c>
      <c r="C4039" t="str">
        <f>"A0099017"</f>
        <v>A0099017</v>
      </c>
      <c r="D4039" t="s">
        <v>16638</v>
      </c>
      <c r="E4039" t="s">
        <v>16639</v>
      </c>
      <c r="F4039" t="s">
        <v>16640</v>
      </c>
      <c r="G4039" t="s">
        <v>5424</v>
      </c>
      <c r="H4039">
        <v>77622</v>
      </c>
      <c r="I4039" t="s">
        <v>2408</v>
      </c>
      <c r="J4039" t="s">
        <v>162</v>
      </c>
      <c r="K4039" t="s">
        <v>822</v>
      </c>
      <c r="N4039" t="s">
        <v>16641</v>
      </c>
      <c r="Q4039">
        <v>0</v>
      </c>
      <c r="R4039">
        <v>152</v>
      </c>
      <c r="S4039">
        <v>0</v>
      </c>
      <c r="T4039" t="s">
        <v>16642</v>
      </c>
    </row>
    <row r="4040" spans="1:25" customFormat="1" ht="15" hidden="1" x14ac:dyDescent="0.25">
      <c r="A4040" t="s">
        <v>24</v>
      </c>
      <c r="B4040" t="s">
        <v>16643</v>
      </c>
      <c r="C4040" t="str">
        <f>"A0185493"</f>
        <v>A0185493</v>
      </c>
      <c r="D4040" t="s">
        <v>16644</v>
      </c>
      <c r="E4040" t="s">
        <v>16645</v>
      </c>
      <c r="F4040" t="s">
        <v>2406</v>
      </c>
      <c r="G4040" t="s">
        <v>2407</v>
      </c>
      <c r="H4040">
        <v>23450</v>
      </c>
      <c r="I4040" t="s">
        <v>2408</v>
      </c>
      <c r="J4040" t="s">
        <v>178</v>
      </c>
      <c r="K4040" t="s">
        <v>163</v>
      </c>
      <c r="N4040" t="s">
        <v>16646</v>
      </c>
      <c r="Q4040">
        <v>0</v>
      </c>
      <c r="R4040">
        <v>0</v>
      </c>
      <c r="S4040">
        <v>0</v>
      </c>
      <c r="T4040" t="s">
        <v>16647</v>
      </c>
    </row>
    <row r="4041" spans="1:25" customFormat="1" ht="15" x14ac:dyDescent="0.25">
      <c r="A4041" t="s">
        <v>24</v>
      </c>
      <c r="B4041" t="s">
        <v>56277</v>
      </c>
      <c r="C4041" t="str">
        <f>"A0055832"</f>
        <v>A0055832</v>
      </c>
      <c r="D4041" t="s">
        <v>64037</v>
      </c>
      <c r="E4041" t="s">
        <v>64038</v>
      </c>
      <c r="F4041" t="s">
        <v>5905</v>
      </c>
      <c r="G4041" t="s">
        <v>58</v>
      </c>
      <c r="H4041">
        <v>29607</v>
      </c>
      <c r="I4041" t="s">
        <v>30</v>
      </c>
      <c r="J4041" t="s">
        <v>162</v>
      </c>
      <c r="K4041" t="s">
        <v>266</v>
      </c>
      <c r="N4041" t="s">
        <v>64039</v>
      </c>
      <c r="O4041" t="s">
        <v>64040</v>
      </c>
      <c r="Q4041">
        <v>1</v>
      </c>
      <c r="R4041">
        <v>268</v>
      </c>
      <c r="S4041">
        <v>0</v>
      </c>
      <c r="T4041" t="s">
        <v>64041</v>
      </c>
    </row>
    <row r="4042" spans="1:25" customFormat="1" ht="15" x14ac:dyDescent="0.25">
      <c r="A4042" t="s">
        <v>24</v>
      </c>
      <c r="B4042" t="s">
        <v>193</v>
      </c>
      <c r="C4042" t="str">
        <f>"A0057810"</f>
        <v>A0057810</v>
      </c>
      <c r="D4042" t="s">
        <v>16654</v>
      </c>
      <c r="E4042" t="s">
        <v>16655</v>
      </c>
      <c r="F4042" t="s">
        <v>14497</v>
      </c>
      <c r="G4042" t="s">
        <v>76</v>
      </c>
      <c r="H4042">
        <v>98004</v>
      </c>
      <c r="I4042" t="s">
        <v>30</v>
      </c>
      <c r="J4042" t="s">
        <v>9545</v>
      </c>
      <c r="K4042" t="s">
        <v>163</v>
      </c>
      <c r="N4042" t="s">
        <v>16656</v>
      </c>
      <c r="Q4042">
        <v>0</v>
      </c>
      <c r="R4042">
        <v>178</v>
      </c>
      <c r="S4042">
        <v>0</v>
      </c>
      <c r="T4042" t="s">
        <v>16657</v>
      </c>
    </row>
    <row r="4043" spans="1:25" customFormat="1" ht="15" x14ac:dyDescent="0.25">
      <c r="A4043" t="s">
        <v>24</v>
      </c>
      <c r="B4043" t="s">
        <v>16658</v>
      </c>
      <c r="C4043" t="str">
        <f>"A0153996"</f>
        <v>A0153996</v>
      </c>
      <c r="D4043" t="s">
        <v>16659</v>
      </c>
      <c r="E4043" t="s">
        <v>16660</v>
      </c>
      <c r="F4043" t="s">
        <v>16661</v>
      </c>
      <c r="G4043" t="s">
        <v>153</v>
      </c>
      <c r="H4043">
        <v>84020</v>
      </c>
      <c r="I4043" t="s">
        <v>30</v>
      </c>
      <c r="J4043" t="s">
        <v>31</v>
      </c>
      <c r="K4043" t="s">
        <v>198</v>
      </c>
      <c r="N4043" t="s">
        <v>16662</v>
      </c>
      <c r="Q4043">
        <v>0</v>
      </c>
      <c r="R4043">
        <v>123</v>
      </c>
      <c r="S4043">
        <v>0</v>
      </c>
      <c r="T4043" t="s">
        <v>16663</v>
      </c>
    </row>
    <row r="4044" spans="1:25" customFormat="1" ht="15" x14ac:dyDescent="0.25">
      <c r="A4044" t="s">
        <v>24</v>
      </c>
      <c r="B4044" t="s">
        <v>56277</v>
      </c>
      <c r="C4044" t="str">
        <f>"A0086130"</f>
        <v>A0086130</v>
      </c>
      <c r="D4044" t="s">
        <v>64042</v>
      </c>
      <c r="E4044" t="s">
        <v>64043</v>
      </c>
      <c r="F4044" t="s">
        <v>37790</v>
      </c>
      <c r="G4044" t="s">
        <v>29</v>
      </c>
      <c r="H4044">
        <v>23666</v>
      </c>
      <c r="I4044" t="s">
        <v>30</v>
      </c>
      <c r="J4044" t="s">
        <v>162</v>
      </c>
      <c r="K4044" t="s">
        <v>266</v>
      </c>
      <c r="N4044" t="s">
        <v>64044</v>
      </c>
      <c r="O4044" t="s">
        <v>64045</v>
      </c>
      <c r="Q4044">
        <v>0</v>
      </c>
      <c r="R4044">
        <v>295</v>
      </c>
      <c r="S4044">
        <v>0</v>
      </c>
      <c r="T4044" t="s">
        <v>64046</v>
      </c>
    </row>
    <row r="4045" spans="1:25" customFormat="1" ht="15" x14ac:dyDescent="0.25">
      <c r="A4045" t="s">
        <v>24</v>
      </c>
      <c r="B4045" t="s">
        <v>16355</v>
      </c>
      <c r="C4045" t="str">
        <f>"432S8"</f>
        <v>432S8</v>
      </c>
      <c r="D4045" t="s">
        <v>16668</v>
      </c>
      <c r="E4045" t="s">
        <v>16669</v>
      </c>
      <c r="F4045" t="s">
        <v>16670</v>
      </c>
      <c r="G4045" t="s">
        <v>214</v>
      </c>
      <c r="H4045">
        <v>28360</v>
      </c>
      <c r="I4045" t="s">
        <v>30</v>
      </c>
      <c r="J4045" t="s">
        <v>31</v>
      </c>
      <c r="K4045" t="s">
        <v>32</v>
      </c>
      <c r="N4045" t="s">
        <v>16671</v>
      </c>
      <c r="O4045" t="s">
        <v>16672</v>
      </c>
      <c r="Q4045">
        <v>0</v>
      </c>
      <c r="R4045">
        <v>105</v>
      </c>
      <c r="S4045">
        <v>0</v>
      </c>
      <c r="T4045" t="s">
        <v>16673</v>
      </c>
    </row>
    <row r="4046" spans="1:25" x14ac:dyDescent="0.25">
      <c r="A4046" s="5" t="s">
        <v>24</v>
      </c>
      <c r="B4046" s="5" t="s">
        <v>5537</v>
      </c>
      <c r="C4046" s="5" t="str">
        <f>"A0085972"</f>
        <v>A0085972</v>
      </c>
      <c r="D4046" s="5" t="s">
        <v>64047</v>
      </c>
      <c r="E4046" s="5" t="s">
        <v>64048</v>
      </c>
      <c r="F4046" s="5" t="s">
        <v>6593</v>
      </c>
      <c r="G4046" s="5" t="s">
        <v>2450</v>
      </c>
      <c r="H4046" s="5">
        <v>4102</v>
      </c>
      <c r="I4046" s="5" t="s">
        <v>30</v>
      </c>
      <c r="J4046" s="5" t="s">
        <v>162</v>
      </c>
      <c r="K4046" s="5" t="s">
        <v>266</v>
      </c>
      <c r="L4046" s="5"/>
      <c r="M4046" s="5"/>
      <c r="N4046" s="5" t="s">
        <v>64049</v>
      </c>
      <c r="O4046" s="5" t="s">
        <v>64050</v>
      </c>
      <c r="P4046" s="5"/>
      <c r="Q4046" s="5">
        <v>0</v>
      </c>
      <c r="R4046" s="5">
        <v>119</v>
      </c>
      <c r="S4046" s="5">
        <v>0</v>
      </c>
      <c r="T4046" s="5" t="s">
        <v>64051</v>
      </c>
      <c r="U4046" s="5"/>
      <c r="V4046" s="5"/>
      <c r="W4046" s="5"/>
      <c r="X4046" s="5"/>
      <c r="Y4046" s="5"/>
    </row>
    <row r="4047" spans="1:25" x14ac:dyDescent="0.25">
      <c r="A4047" s="5" t="s">
        <v>24</v>
      </c>
      <c r="B4047" s="5" t="s">
        <v>56277</v>
      </c>
      <c r="C4047" s="5" t="str">
        <f>"A0085658"</f>
        <v>A0085658</v>
      </c>
      <c r="D4047" s="5" t="s">
        <v>64052</v>
      </c>
      <c r="E4047" s="5" t="s">
        <v>64053</v>
      </c>
      <c r="F4047" s="5" t="s">
        <v>2467</v>
      </c>
      <c r="G4047" s="5" t="s">
        <v>85</v>
      </c>
      <c r="H4047" s="5">
        <v>71901</v>
      </c>
      <c r="I4047" s="5" t="s">
        <v>30</v>
      </c>
      <c r="J4047" s="5" t="s">
        <v>162</v>
      </c>
      <c r="K4047" s="5" t="s">
        <v>266</v>
      </c>
      <c r="L4047" s="5"/>
      <c r="M4047" s="5"/>
      <c r="N4047" s="5" t="s">
        <v>64054</v>
      </c>
      <c r="O4047" s="5" t="s">
        <v>64055</v>
      </c>
      <c r="P4047" s="5"/>
      <c r="Q4047" s="5">
        <v>0</v>
      </c>
      <c r="R4047" s="5">
        <v>246</v>
      </c>
      <c r="S4047" s="5">
        <v>0</v>
      </c>
      <c r="T4047" s="5" t="s">
        <v>64056</v>
      </c>
      <c r="U4047" s="5"/>
      <c r="V4047" s="5"/>
      <c r="W4047" s="5"/>
      <c r="X4047" s="5"/>
      <c r="Y4047" s="5"/>
    </row>
    <row r="4048" spans="1:25" x14ac:dyDescent="0.25">
      <c r="A4048" s="5" t="s">
        <v>24</v>
      </c>
      <c r="B4048" s="5" t="s">
        <v>2373</v>
      </c>
      <c r="C4048" s="5" t="str">
        <f>"A0062440"</f>
        <v>A0062440</v>
      </c>
      <c r="D4048" s="5" t="s">
        <v>64057</v>
      </c>
      <c r="E4048" s="5" t="s">
        <v>64058</v>
      </c>
      <c r="F4048" s="5" t="s">
        <v>313</v>
      </c>
      <c r="G4048" s="5" t="s">
        <v>314</v>
      </c>
      <c r="H4048" s="5">
        <v>20015</v>
      </c>
      <c r="I4048" s="5" t="s">
        <v>30</v>
      </c>
      <c r="J4048" s="5" t="s">
        <v>162</v>
      </c>
      <c r="K4048" s="5" t="s">
        <v>266</v>
      </c>
      <c r="L4048" s="5"/>
      <c r="M4048" s="5"/>
      <c r="N4048" s="5" t="s">
        <v>64059</v>
      </c>
      <c r="O4048" s="5" t="s">
        <v>64060</v>
      </c>
      <c r="P4048" s="5"/>
      <c r="Q4048" s="5">
        <v>0</v>
      </c>
      <c r="R4048" s="5">
        <v>198</v>
      </c>
      <c r="S4048" s="5">
        <v>0</v>
      </c>
      <c r="T4048" s="5" t="s">
        <v>64061</v>
      </c>
      <c r="U4048" s="5"/>
      <c r="V4048" s="5"/>
      <c r="W4048" s="5"/>
      <c r="X4048" s="5"/>
      <c r="Y4048" s="5"/>
    </row>
    <row r="4049" spans="1:25" customFormat="1" ht="15" x14ac:dyDescent="0.25">
      <c r="A4049" t="s">
        <v>24</v>
      </c>
      <c r="B4049" t="s">
        <v>734</v>
      </c>
      <c r="C4049" t="str">
        <f>"A0185489"</f>
        <v>A0185489</v>
      </c>
      <c r="D4049" t="s">
        <v>16689</v>
      </c>
      <c r="E4049" t="s">
        <v>16690</v>
      </c>
      <c r="F4049" t="s">
        <v>4802</v>
      </c>
      <c r="G4049" t="s">
        <v>110</v>
      </c>
      <c r="H4049">
        <v>95131</v>
      </c>
      <c r="I4049" t="s">
        <v>30</v>
      </c>
      <c r="J4049" t="s">
        <v>31</v>
      </c>
      <c r="K4049" t="s">
        <v>282</v>
      </c>
      <c r="N4049" t="s">
        <v>16691</v>
      </c>
      <c r="Q4049">
        <v>0</v>
      </c>
      <c r="R4049">
        <v>146</v>
      </c>
      <c r="S4049">
        <v>0</v>
      </c>
      <c r="T4049" t="s">
        <v>16692</v>
      </c>
    </row>
    <row r="4050" spans="1:25" customFormat="1" ht="15" x14ac:dyDescent="0.25">
      <c r="A4050" t="s">
        <v>24</v>
      </c>
      <c r="B4050" t="s">
        <v>1323</v>
      </c>
      <c r="C4050" t="str">
        <f>"A0185488"</f>
        <v>A0185488</v>
      </c>
      <c r="D4050" t="s">
        <v>16693</v>
      </c>
      <c r="E4050" t="s">
        <v>16694</v>
      </c>
      <c r="F4050" t="s">
        <v>2971</v>
      </c>
      <c r="G4050" t="s">
        <v>880</v>
      </c>
      <c r="H4050">
        <v>37203</v>
      </c>
      <c r="I4050" t="s">
        <v>30</v>
      </c>
      <c r="J4050" t="s">
        <v>31</v>
      </c>
      <c r="K4050" t="s">
        <v>222</v>
      </c>
      <c r="N4050" t="s">
        <v>16695</v>
      </c>
      <c r="Q4050">
        <v>0</v>
      </c>
      <c r="R4050">
        <v>193</v>
      </c>
      <c r="S4050">
        <v>0</v>
      </c>
      <c r="T4050" t="s">
        <v>16696</v>
      </c>
    </row>
    <row r="4051" spans="1:25" customFormat="1" ht="15" x14ac:dyDescent="0.25">
      <c r="A4051" t="s">
        <v>24</v>
      </c>
      <c r="B4051" t="s">
        <v>976</v>
      </c>
      <c r="C4051" t="str">
        <f>"A0064557"</f>
        <v>A0064557</v>
      </c>
      <c r="D4051" t="s">
        <v>64062</v>
      </c>
      <c r="E4051" t="s">
        <v>64063</v>
      </c>
      <c r="F4051" t="s">
        <v>2856</v>
      </c>
      <c r="G4051" t="s">
        <v>52</v>
      </c>
      <c r="H4051">
        <v>79905</v>
      </c>
      <c r="I4051" t="s">
        <v>30</v>
      </c>
      <c r="J4051" t="s">
        <v>162</v>
      </c>
      <c r="K4051" t="s">
        <v>266</v>
      </c>
      <c r="N4051" t="s">
        <v>64064</v>
      </c>
      <c r="O4051" t="s">
        <v>64065</v>
      </c>
      <c r="Q4051">
        <v>0</v>
      </c>
      <c r="R4051">
        <v>187</v>
      </c>
      <c r="S4051">
        <v>0</v>
      </c>
      <c r="T4051" t="s">
        <v>64066</v>
      </c>
    </row>
    <row r="4052" spans="1:25" customFormat="1" ht="15" x14ac:dyDescent="0.25">
      <c r="A4052" t="s">
        <v>24</v>
      </c>
      <c r="B4052" t="s">
        <v>16701</v>
      </c>
      <c r="C4052" t="str">
        <f>"A0180322"</f>
        <v>A0180322</v>
      </c>
      <c r="D4052" t="s">
        <v>16702</v>
      </c>
      <c r="E4052" t="s">
        <v>16703</v>
      </c>
      <c r="F4052" t="s">
        <v>6390</v>
      </c>
      <c r="G4052" t="s">
        <v>29</v>
      </c>
      <c r="H4052">
        <v>22801</v>
      </c>
      <c r="I4052" t="s">
        <v>30</v>
      </c>
      <c r="J4052" t="s">
        <v>31</v>
      </c>
      <c r="K4052" t="s">
        <v>282</v>
      </c>
      <c r="N4052" t="s">
        <v>2599</v>
      </c>
      <c r="O4052" t="s">
        <v>16704</v>
      </c>
      <c r="Q4052">
        <v>0</v>
      </c>
      <c r="R4052">
        <v>90</v>
      </c>
      <c r="S4052">
        <v>0</v>
      </c>
      <c r="T4052" t="s">
        <v>16705</v>
      </c>
    </row>
    <row r="4053" spans="1:25" x14ac:dyDescent="0.25">
      <c r="A4053" s="5" t="s">
        <v>24</v>
      </c>
      <c r="B4053" s="5" t="s">
        <v>13679</v>
      </c>
      <c r="C4053" s="5" t="str">
        <f>"A0060447"</f>
        <v>A0060447</v>
      </c>
      <c r="D4053" s="5" t="s">
        <v>64067</v>
      </c>
      <c r="E4053" s="5" t="s">
        <v>64068</v>
      </c>
      <c r="F4053" s="5" t="s">
        <v>3505</v>
      </c>
      <c r="G4053" s="5" t="s">
        <v>52</v>
      </c>
      <c r="H4053" s="5">
        <v>76102</v>
      </c>
      <c r="I4053" s="5" t="s">
        <v>30</v>
      </c>
      <c r="J4053" s="5" t="s">
        <v>162</v>
      </c>
      <c r="K4053" s="5" t="s">
        <v>266</v>
      </c>
      <c r="L4053" s="5"/>
      <c r="M4053" s="5"/>
      <c r="N4053" s="5" t="s">
        <v>64069</v>
      </c>
      <c r="O4053" s="5"/>
      <c r="P4053" s="5"/>
      <c r="Q4053" s="5">
        <v>0</v>
      </c>
      <c r="R4053" s="5">
        <v>156</v>
      </c>
      <c r="S4053" s="5">
        <v>0</v>
      </c>
      <c r="T4053" s="5" t="s">
        <v>64070</v>
      </c>
      <c r="U4053" s="5"/>
      <c r="V4053" s="5"/>
      <c r="W4053" s="5"/>
      <c r="X4053" s="5"/>
      <c r="Y4053" s="5"/>
    </row>
    <row r="4054" spans="1:25" customFormat="1" ht="15" x14ac:dyDescent="0.25">
      <c r="A4054" t="s">
        <v>24</v>
      </c>
      <c r="B4054" t="s">
        <v>2221</v>
      </c>
      <c r="C4054" t="str">
        <f>"A0058891"</f>
        <v>A0058891</v>
      </c>
      <c r="D4054" t="s">
        <v>64071</v>
      </c>
      <c r="E4054" t="s">
        <v>64072</v>
      </c>
      <c r="F4054" t="s">
        <v>54046</v>
      </c>
      <c r="G4054" t="s">
        <v>81</v>
      </c>
      <c r="H4054">
        <v>33410</v>
      </c>
      <c r="I4054" t="s">
        <v>30</v>
      </c>
      <c r="J4054" t="s">
        <v>162</v>
      </c>
      <c r="K4054" t="s">
        <v>266</v>
      </c>
      <c r="N4054" t="s">
        <v>64073</v>
      </c>
      <c r="O4054" t="s">
        <v>64074</v>
      </c>
      <c r="Q4054">
        <v>0</v>
      </c>
      <c r="R4054">
        <v>160</v>
      </c>
      <c r="S4054">
        <v>0</v>
      </c>
      <c r="T4054" t="s">
        <v>64075</v>
      </c>
    </row>
    <row r="4055" spans="1:25" x14ac:dyDescent="0.25">
      <c r="A4055" s="5" t="s">
        <v>24</v>
      </c>
      <c r="B4055" s="5" t="s">
        <v>56277</v>
      </c>
      <c r="C4055" s="5" t="str">
        <f>"A0085664"</f>
        <v>A0085664</v>
      </c>
      <c r="D4055" s="5" t="s">
        <v>64076</v>
      </c>
      <c r="E4055" s="5" t="s">
        <v>64077</v>
      </c>
      <c r="F4055" s="5" t="s">
        <v>23386</v>
      </c>
      <c r="G4055" s="5" t="s">
        <v>1706</v>
      </c>
      <c r="H4055" s="5">
        <v>35801</v>
      </c>
      <c r="I4055" s="5" t="s">
        <v>30</v>
      </c>
      <c r="J4055" s="5" t="s">
        <v>162</v>
      </c>
      <c r="K4055" s="5" t="s">
        <v>266</v>
      </c>
      <c r="L4055" s="5"/>
      <c r="M4055" s="5"/>
      <c r="N4055" s="5" t="s">
        <v>64078</v>
      </c>
      <c r="O4055" s="5"/>
      <c r="P4055" s="5"/>
      <c r="Q4055" s="5">
        <v>0</v>
      </c>
      <c r="R4055" s="5">
        <v>295</v>
      </c>
      <c r="S4055" s="5">
        <v>0</v>
      </c>
      <c r="T4055" s="5" t="s">
        <v>64079</v>
      </c>
      <c r="U4055" s="5"/>
      <c r="V4055" s="5"/>
      <c r="W4055" s="5"/>
      <c r="X4055" s="5"/>
      <c r="Y4055" s="5"/>
    </row>
    <row r="4056" spans="1:25" customFormat="1" ht="15" x14ac:dyDescent="0.25">
      <c r="A4056" t="s">
        <v>35</v>
      </c>
      <c r="B4056" t="s">
        <v>61</v>
      </c>
      <c r="C4056" t="str">
        <f>"A0129618"</f>
        <v>A0129618</v>
      </c>
      <c r="D4056" t="s">
        <v>16721</v>
      </c>
      <c r="E4056" t="s">
        <v>16722</v>
      </c>
      <c r="F4056" t="s">
        <v>15368</v>
      </c>
      <c r="G4056" t="s">
        <v>289</v>
      </c>
      <c r="H4056">
        <v>62258</v>
      </c>
      <c r="I4056" t="s">
        <v>30</v>
      </c>
      <c r="J4056" t="s">
        <v>41</v>
      </c>
      <c r="K4056" t="s">
        <v>59</v>
      </c>
      <c r="Q4056">
        <v>0</v>
      </c>
      <c r="R4056">
        <v>57</v>
      </c>
      <c r="S4056">
        <v>57</v>
      </c>
      <c r="T4056" t="s">
        <v>6237</v>
      </c>
    </row>
    <row r="4057" spans="1:25" customFormat="1" ht="15" x14ac:dyDescent="0.25">
      <c r="A4057" t="s">
        <v>24</v>
      </c>
      <c r="B4057" t="s">
        <v>193</v>
      </c>
      <c r="C4057" t="str">
        <f>"A0075901"</f>
        <v>A0075901</v>
      </c>
      <c r="D4057" t="s">
        <v>16723</v>
      </c>
      <c r="E4057" t="s">
        <v>16724</v>
      </c>
      <c r="F4057" t="s">
        <v>997</v>
      </c>
      <c r="G4057" t="s">
        <v>99</v>
      </c>
      <c r="H4057">
        <v>10036</v>
      </c>
      <c r="I4057" t="s">
        <v>30</v>
      </c>
      <c r="J4057" t="s">
        <v>31</v>
      </c>
      <c r="K4057" t="s">
        <v>163</v>
      </c>
      <c r="Q4057">
        <v>0</v>
      </c>
      <c r="R4057">
        <v>124</v>
      </c>
      <c r="S4057">
        <v>0</v>
      </c>
      <c r="T4057" t="s">
        <v>16725</v>
      </c>
    </row>
    <row r="4058" spans="1:25" customFormat="1" ht="15" x14ac:dyDescent="0.25">
      <c r="A4058" t="s">
        <v>24</v>
      </c>
      <c r="B4058" t="s">
        <v>5166</v>
      </c>
      <c r="C4058" t="str">
        <f>"A0076963"</f>
        <v>A0076963</v>
      </c>
      <c r="D4058" t="s">
        <v>64080</v>
      </c>
      <c r="E4058" t="s">
        <v>64081</v>
      </c>
      <c r="F4058" t="s">
        <v>808</v>
      </c>
      <c r="G4058" t="s">
        <v>110</v>
      </c>
      <c r="H4058">
        <v>92614</v>
      </c>
      <c r="I4058" t="s">
        <v>30</v>
      </c>
      <c r="J4058" t="s">
        <v>162</v>
      </c>
      <c r="K4058" t="s">
        <v>266</v>
      </c>
      <c r="N4058" t="s">
        <v>64082</v>
      </c>
      <c r="Q4058">
        <v>0</v>
      </c>
      <c r="R4058">
        <v>293</v>
      </c>
      <c r="S4058">
        <v>0</v>
      </c>
      <c r="T4058" t="s">
        <v>64083</v>
      </c>
    </row>
    <row r="4059" spans="1:25" customFormat="1" ht="15" x14ac:dyDescent="0.25">
      <c r="A4059" t="s">
        <v>24</v>
      </c>
      <c r="B4059" t="s">
        <v>2340</v>
      </c>
      <c r="C4059" t="str">
        <f>"A0185470"</f>
        <v>A0185470</v>
      </c>
      <c r="D4059" t="s">
        <v>16730</v>
      </c>
      <c r="E4059" t="s">
        <v>16731</v>
      </c>
      <c r="F4059" t="s">
        <v>3955</v>
      </c>
      <c r="G4059" t="s">
        <v>81</v>
      </c>
      <c r="H4059">
        <v>33607</v>
      </c>
      <c r="I4059" t="s">
        <v>30</v>
      </c>
      <c r="J4059" t="s">
        <v>31</v>
      </c>
      <c r="K4059" t="s">
        <v>261</v>
      </c>
      <c r="N4059" t="s">
        <v>16732</v>
      </c>
      <c r="Q4059">
        <v>0</v>
      </c>
      <c r="R4059">
        <v>112</v>
      </c>
      <c r="S4059">
        <v>0</v>
      </c>
      <c r="T4059" t="s">
        <v>16733</v>
      </c>
    </row>
    <row r="4060" spans="1:25" customFormat="1" ht="15" x14ac:dyDescent="0.25">
      <c r="A4060" t="s">
        <v>24</v>
      </c>
      <c r="B4060" t="s">
        <v>2340</v>
      </c>
      <c r="C4060" t="str">
        <f>"A0185469"</f>
        <v>A0185469</v>
      </c>
      <c r="D4060" t="s">
        <v>16734</v>
      </c>
      <c r="E4060" t="s">
        <v>16735</v>
      </c>
      <c r="F4060" t="s">
        <v>16736</v>
      </c>
      <c r="G4060" t="s">
        <v>81</v>
      </c>
      <c r="H4060">
        <v>33913</v>
      </c>
      <c r="I4060" t="s">
        <v>30</v>
      </c>
      <c r="J4060" t="s">
        <v>31</v>
      </c>
      <c r="K4060" t="s">
        <v>261</v>
      </c>
      <c r="N4060" t="s">
        <v>16737</v>
      </c>
      <c r="O4060" t="s">
        <v>16738</v>
      </c>
      <c r="Q4060">
        <v>0</v>
      </c>
      <c r="R4060">
        <v>123</v>
      </c>
      <c r="S4060">
        <v>0</v>
      </c>
      <c r="T4060" t="s">
        <v>16739</v>
      </c>
    </row>
    <row r="4061" spans="1:25" customFormat="1" ht="15" x14ac:dyDescent="0.25">
      <c r="A4061" t="s">
        <v>24</v>
      </c>
      <c r="B4061" t="s">
        <v>56277</v>
      </c>
      <c r="C4061" t="str">
        <f>"A0084448"</f>
        <v>A0084448</v>
      </c>
      <c r="D4061" t="s">
        <v>64084</v>
      </c>
      <c r="E4061" t="s">
        <v>64085</v>
      </c>
      <c r="F4061" t="s">
        <v>8703</v>
      </c>
      <c r="G4061" t="s">
        <v>137</v>
      </c>
      <c r="H4061">
        <v>64153</v>
      </c>
      <c r="I4061" t="s">
        <v>30</v>
      </c>
      <c r="J4061" t="s">
        <v>162</v>
      </c>
      <c r="K4061" t="s">
        <v>266</v>
      </c>
      <c r="N4061" t="s">
        <v>64086</v>
      </c>
      <c r="O4061" t="s">
        <v>64087</v>
      </c>
      <c r="Q4061">
        <v>0</v>
      </c>
      <c r="R4061">
        <v>237</v>
      </c>
      <c r="S4061">
        <v>0</v>
      </c>
      <c r="T4061" t="s">
        <v>64088</v>
      </c>
    </row>
    <row r="4062" spans="1:25" customFormat="1" ht="15" x14ac:dyDescent="0.25">
      <c r="A4062" t="s">
        <v>24</v>
      </c>
      <c r="B4062" t="s">
        <v>2917</v>
      </c>
      <c r="C4062" t="str">
        <f>"A0146749"</f>
        <v>A0146749</v>
      </c>
      <c r="D4062" t="s">
        <v>64089</v>
      </c>
      <c r="E4062" t="s">
        <v>64090</v>
      </c>
      <c r="F4062" t="s">
        <v>13414</v>
      </c>
      <c r="G4062" t="s">
        <v>925</v>
      </c>
      <c r="H4062">
        <v>66212</v>
      </c>
      <c r="I4062" t="s">
        <v>30</v>
      </c>
      <c r="J4062" t="s">
        <v>162</v>
      </c>
      <c r="K4062" t="s">
        <v>266</v>
      </c>
      <c r="N4062" t="s">
        <v>64091</v>
      </c>
      <c r="O4062" t="s">
        <v>64092</v>
      </c>
      <c r="Q4062">
        <v>0</v>
      </c>
      <c r="R4062">
        <v>199</v>
      </c>
      <c r="S4062">
        <v>0</v>
      </c>
      <c r="T4062" t="s">
        <v>64093</v>
      </c>
    </row>
    <row r="4063" spans="1:25" customFormat="1" ht="15" x14ac:dyDescent="0.25">
      <c r="A4063" t="s">
        <v>24</v>
      </c>
      <c r="B4063" t="s">
        <v>4990</v>
      </c>
      <c r="C4063" t="str">
        <f>"A0185464"</f>
        <v>A0185464</v>
      </c>
      <c r="D4063" t="s">
        <v>16749</v>
      </c>
      <c r="E4063" t="s">
        <v>16750</v>
      </c>
      <c r="F4063" t="s">
        <v>10126</v>
      </c>
      <c r="G4063" t="s">
        <v>1898</v>
      </c>
      <c r="H4063">
        <v>52240</v>
      </c>
      <c r="I4063" t="s">
        <v>30</v>
      </c>
      <c r="J4063" t="s">
        <v>7479</v>
      </c>
      <c r="K4063" t="s">
        <v>163</v>
      </c>
      <c r="Q4063">
        <v>0</v>
      </c>
      <c r="R4063">
        <v>0</v>
      </c>
      <c r="S4063">
        <v>0</v>
      </c>
      <c r="T4063" t="s">
        <v>192</v>
      </c>
    </row>
    <row r="4064" spans="1:25" customFormat="1" ht="15" x14ac:dyDescent="0.25">
      <c r="A4064" t="s">
        <v>35</v>
      </c>
      <c r="B4064" t="s">
        <v>54</v>
      </c>
      <c r="C4064" t="str">
        <f>"A0185454"</f>
        <v>A0185454</v>
      </c>
      <c r="D4064" t="s">
        <v>16751</v>
      </c>
      <c r="E4064" t="s">
        <v>16752</v>
      </c>
      <c r="F4064" t="s">
        <v>16753</v>
      </c>
      <c r="G4064" t="s">
        <v>85</v>
      </c>
      <c r="H4064">
        <v>72761</v>
      </c>
      <c r="I4064" t="s">
        <v>30</v>
      </c>
      <c r="J4064" t="s">
        <v>41</v>
      </c>
      <c r="K4064" t="s">
        <v>229</v>
      </c>
      <c r="Q4064">
        <v>0</v>
      </c>
      <c r="R4064">
        <v>0</v>
      </c>
      <c r="S4064">
        <v>0</v>
      </c>
      <c r="T4064" t="s">
        <v>16754</v>
      </c>
    </row>
    <row r="4065" spans="1:20" customFormat="1" ht="15" x14ac:dyDescent="0.25">
      <c r="A4065" t="s">
        <v>35</v>
      </c>
      <c r="B4065" t="s">
        <v>16755</v>
      </c>
      <c r="C4065" t="str">
        <f>"A0185453"</f>
        <v>A0185453</v>
      </c>
      <c r="D4065" t="s">
        <v>16756</v>
      </c>
      <c r="E4065" t="s">
        <v>16757</v>
      </c>
      <c r="F4065" t="s">
        <v>5061</v>
      </c>
      <c r="G4065" t="s">
        <v>338</v>
      </c>
      <c r="H4065">
        <v>7848</v>
      </c>
      <c r="I4065" t="s">
        <v>30</v>
      </c>
      <c r="J4065" t="s">
        <v>41</v>
      </c>
      <c r="K4065" t="s">
        <v>229</v>
      </c>
      <c r="Q4065">
        <v>0</v>
      </c>
      <c r="R4065">
        <v>156</v>
      </c>
      <c r="S4065">
        <v>156</v>
      </c>
      <c r="T4065" t="s">
        <v>16758</v>
      </c>
    </row>
    <row r="4066" spans="1:20" customFormat="1" ht="15" x14ac:dyDescent="0.25">
      <c r="A4066" t="s">
        <v>35</v>
      </c>
      <c r="B4066" t="s">
        <v>16759</v>
      </c>
      <c r="C4066" t="str">
        <f>"A0185452"</f>
        <v>A0185452</v>
      </c>
      <c r="D4066" t="s">
        <v>16760</v>
      </c>
      <c r="E4066" t="s">
        <v>16761</v>
      </c>
      <c r="F4066" t="s">
        <v>16762</v>
      </c>
      <c r="G4066" t="s">
        <v>52</v>
      </c>
      <c r="H4066">
        <v>76082</v>
      </c>
      <c r="I4066" t="s">
        <v>30</v>
      </c>
      <c r="J4066" t="s">
        <v>41</v>
      </c>
      <c r="K4066" t="s">
        <v>229</v>
      </c>
      <c r="Q4066">
        <v>0</v>
      </c>
      <c r="R4066">
        <v>100</v>
      </c>
      <c r="S4066">
        <v>100</v>
      </c>
      <c r="T4066" t="s">
        <v>72</v>
      </c>
    </row>
    <row r="4067" spans="1:20" customFormat="1" ht="15" x14ac:dyDescent="0.25">
      <c r="A4067" t="s">
        <v>35</v>
      </c>
      <c r="B4067" t="s">
        <v>4304</v>
      </c>
      <c r="C4067" t="str">
        <f>"A0185451"</f>
        <v>A0185451</v>
      </c>
      <c r="D4067" t="s">
        <v>16763</v>
      </c>
      <c r="E4067" t="s">
        <v>16764</v>
      </c>
      <c r="F4067" t="s">
        <v>4112</v>
      </c>
      <c r="G4067" t="s">
        <v>47</v>
      </c>
      <c r="H4067">
        <v>97222</v>
      </c>
      <c r="I4067" t="s">
        <v>30</v>
      </c>
      <c r="J4067" t="s">
        <v>41</v>
      </c>
      <c r="K4067" t="s">
        <v>229</v>
      </c>
      <c r="Q4067">
        <v>0</v>
      </c>
      <c r="R4067">
        <v>0</v>
      </c>
      <c r="S4067">
        <v>0</v>
      </c>
      <c r="T4067" t="s">
        <v>16765</v>
      </c>
    </row>
    <row r="4068" spans="1:20" customFormat="1" ht="15" x14ac:dyDescent="0.25">
      <c r="A4068" t="s">
        <v>35</v>
      </c>
      <c r="B4068" t="s">
        <v>16766</v>
      </c>
      <c r="C4068" t="str">
        <f>"A0185450"</f>
        <v>A0185450</v>
      </c>
      <c r="D4068" t="s">
        <v>16767</v>
      </c>
      <c r="E4068" t="s">
        <v>16768</v>
      </c>
      <c r="F4068" t="s">
        <v>16769</v>
      </c>
      <c r="G4068" t="s">
        <v>52</v>
      </c>
      <c r="H4068">
        <v>78102</v>
      </c>
      <c r="I4068" t="s">
        <v>30</v>
      </c>
      <c r="J4068" t="s">
        <v>41</v>
      </c>
      <c r="K4068" t="s">
        <v>229</v>
      </c>
      <c r="Q4068">
        <v>0</v>
      </c>
      <c r="R4068">
        <v>120</v>
      </c>
      <c r="S4068">
        <v>120</v>
      </c>
      <c r="T4068" t="s">
        <v>16770</v>
      </c>
    </row>
    <row r="4069" spans="1:20" customFormat="1" ht="15" x14ac:dyDescent="0.25">
      <c r="A4069" t="s">
        <v>35</v>
      </c>
      <c r="B4069" t="s">
        <v>16766</v>
      </c>
      <c r="C4069" t="str">
        <f>"A0185449"</f>
        <v>A0185449</v>
      </c>
      <c r="D4069" t="s">
        <v>16771</v>
      </c>
      <c r="E4069" t="s">
        <v>16772</v>
      </c>
      <c r="F4069" t="s">
        <v>5257</v>
      </c>
      <c r="G4069" t="s">
        <v>52</v>
      </c>
      <c r="H4069">
        <v>77055</v>
      </c>
      <c r="I4069" t="s">
        <v>30</v>
      </c>
      <c r="J4069" t="s">
        <v>41</v>
      </c>
      <c r="K4069" t="s">
        <v>229</v>
      </c>
      <c r="Q4069">
        <v>0</v>
      </c>
      <c r="R4069">
        <v>174</v>
      </c>
      <c r="S4069">
        <v>174</v>
      </c>
      <c r="T4069" t="s">
        <v>16773</v>
      </c>
    </row>
    <row r="4070" spans="1:20" customFormat="1" ht="15" x14ac:dyDescent="0.25">
      <c r="A4070" t="s">
        <v>35</v>
      </c>
      <c r="B4070" t="s">
        <v>16755</v>
      </c>
      <c r="C4070" t="str">
        <f>"A0185448"</f>
        <v>A0185448</v>
      </c>
      <c r="D4070" t="s">
        <v>16774</v>
      </c>
      <c r="E4070" t="s">
        <v>16775</v>
      </c>
      <c r="F4070" t="s">
        <v>16776</v>
      </c>
      <c r="G4070" t="s">
        <v>103</v>
      </c>
      <c r="H4070">
        <v>17815</v>
      </c>
      <c r="I4070" t="s">
        <v>30</v>
      </c>
      <c r="J4070" t="s">
        <v>41</v>
      </c>
      <c r="K4070" t="s">
        <v>229</v>
      </c>
      <c r="Q4070">
        <v>0</v>
      </c>
      <c r="R4070">
        <v>149</v>
      </c>
      <c r="S4070">
        <v>149</v>
      </c>
      <c r="T4070" t="s">
        <v>16777</v>
      </c>
    </row>
    <row r="4071" spans="1:20" customFormat="1" ht="15" x14ac:dyDescent="0.25">
      <c r="A4071" t="s">
        <v>35</v>
      </c>
      <c r="B4071" t="s">
        <v>16755</v>
      </c>
      <c r="C4071" t="str">
        <f>"A0185447"</f>
        <v>A0185447</v>
      </c>
      <c r="D4071" t="s">
        <v>16778</v>
      </c>
      <c r="E4071" t="s">
        <v>16779</v>
      </c>
      <c r="F4071" t="s">
        <v>16780</v>
      </c>
      <c r="G4071" t="s">
        <v>338</v>
      </c>
      <c r="H4071">
        <v>8077</v>
      </c>
      <c r="I4071" t="s">
        <v>30</v>
      </c>
      <c r="J4071" t="s">
        <v>41</v>
      </c>
      <c r="K4071" t="s">
        <v>229</v>
      </c>
      <c r="Q4071">
        <v>0</v>
      </c>
      <c r="R4071">
        <v>114</v>
      </c>
      <c r="S4071">
        <v>114</v>
      </c>
      <c r="T4071" t="s">
        <v>16781</v>
      </c>
    </row>
    <row r="4072" spans="1:20" customFormat="1" ht="15" x14ac:dyDescent="0.25">
      <c r="A4072" t="s">
        <v>35</v>
      </c>
      <c r="B4072" t="s">
        <v>16766</v>
      </c>
      <c r="C4072" t="str">
        <f>"A0185446"</f>
        <v>A0185446</v>
      </c>
      <c r="D4072" t="s">
        <v>16782</v>
      </c>
      <c r="E4072" t="s">
        <v>16783</v>
      </c>
      <c r="F4072" t="s">
        <v>16784</v>
      </c>
      <c r="G4072" t="s">
        <v>52</v>
      </c>
      <c r="H4072">
        <v>76051</v>
      </c>
      <c r="I4072" t="s">
        <v>30</v>
      </c>
      <c r="J4072" t="s">
        <v>41</v>
      </c>
      <c r="K4072" t="s">
        <v>229</v>
      </c>
      <c r="Q4072">
        <v>0</v>
      </c>
      <c r="R4072">
        <v>126</v>
      </c>
      <c r="S4072">
        <v>126</v>
      </c>
      <c r="T4072" t="s">
        <v>16785</v>
      </c>
    </row>
    <row r="4073" spans="1:20" customFormat="1" ht="15" x14ac:dyDescent="0.25">
      <c r="A4073" t="s">
        <v>35</v>
      </c>
      <c r="B4073" t="s">
        <v>16766</v>
      </c>
      <c r="C4073" t="str">
        <f>"A0185445"</f>
        <v>A0185445</v>
      </c>
      <c r="D4073" t="s">
        <v>16786</v>
      </c>
      <c r="E4073" t="s">
        <v>16787</v>
      </c>
      <c r="F4073" t="s">
        <v>5257</v>
      </c>
      <c r="G4073" t="s">
        <v>52</v>
      </c>
      <c r="H4073">
        <v>77061</v>
      </c>
      <c r="I4073" t="s">
        <v>30</v>
      </c>
      <c r="J4073" t="s">
        <v>41</v>
      </c>
      <c r="K4073" t="s">
        <v>229</v>
      </c>
      <c r="Q4073">
        <v>0</v>
      </c>
      <c r="R4073">
        <v>200</v>
      </c>
      <c r="S4073">
        <v>200</v>
      </c>
      <c r="T4073" t="s">
        <v>16788</v>
      </c>
    </row>
    <row r="4074" spans="1:20" customFormat="1" ht="15" x14ac:dyDescent="0.25">
      <c r="A4074" t="s">
        <v>35</v>
      </c>
      <c r="B4074" t="s">
        <v>16766</v>
      </c>
      <c r="C4074" t="str">
        <f>"A0185444"</f>
        <v>A0185444</v>
      </c>
      <c r="D4074" t="s">
        <v>16789</v>
      </c>
      <c r="E4074" t="s">
        <v>16790</v>
      </c>
      <c r="F4074" t="s">
        <v>16791</v>
      </c>
      <c r="G4074" t="s">
        <v>52</v>
      </c>
      <c r="H4074">
        <v>76118</v>
      </c>
      <c r="I4074" t="s">
        <v>30</v>
      </c>
      <c r="J4074" t="s">
        <v>41</v>
      </c>
      <c r="K4074" t="s">
        <v>229</v>
      </c>
      <c r="Q4074">
        <v>0</v>
      </c>
      <c r="R4074">
        <v>114</v>
      </c>
      <c r="S4074">
        <v>114</v>
      </c>
      <c r="T4074" t="s">
        <v>16792</v>
      </c>
    </row>
    <row r="4075" spans="1:20" customFormat="1" ht="15" x14ac:dyDescent="0.25">
      <c r="A4075" t="s">
        <v>35</v>
      </c>
      <c r="B4075" t="s">
        <v>16766</v>
      </c>
      <c r="C4075" t="str">
        <f>"A0185443"</f>
        <v>A0185443</v>
      </c>
      <c r="D4075" t="s">
        <v>16793</v>
      </c>
      <c r="E4075" t="s">
        <v>16794</v>
      </c>
      <c r="F4075" t="s">
        <v>13395</v>
      </c>
      <c r="G4075" t="s">
        <v>52</v>
      </c>
      <c r="H4075">
        <v>77073</v>
      </c>
      <c r="I4075" t="s">
        <v>30</v>
      </c>
      <c r="J4075" t="s">
        <v>41</v>
      </c>
      <c r="K4075" t="s">
        <v>229</v>
      </c>
      <c r="Q4075">
        <v>0</v>
      </c>
      <c r="R4075">
        <v>214</v>
      </c>
      <c r="S4075">
        <v>214</v>
      </c>
      <c r="T4075" t="s">
        <v>16795</v>
      </c>
    </row>
    <row r="4076" spans="1:20" customFormat="1" ht="15" x14ac:dyDescent="0.25">
      <c r="A4076" t="s">
        <v>35</v>
      </c>
      <c r="B4076" t="s">
        <v>16755</v>
      </c>
      <c r="C4076" t="str">
        <f>"A0185442"</f>
        <v>A0185442</v>
      </c>
      <c r="D4076" t="s">
        <v>16796</v>
      </c>
      <c r="E4076" t="s">
        <v>16797</v>
      </c>
      <c r="F4076" t="s">
        <v>16798</v>
      </c>
      <c r="G4076" t="s">
        <v>338</v>
      </c>
      <c r="H4076">
        <v>8109</v>
      </c>
      <c r="I4076" t="s">
        <v>30</v>
      </c>
      <c r="J4076" t="s">
        <v>41</v>
      </c>
      <c r="K4076" t="s">
        <v>229</v>
      </c>
      <c r="Q4076">
        <v>0</v>
      </c>
      <c r="R4076">
        <v>180</v>
      </c>
      <c r="S4076">
        <v>180</v>
      </c>
      <c r="T4076" t="s">
        <v>16799</v>
      </c>
    </row>
    <row r="4077" spans="1:20" customFormat="1" ht="15" x14ac:dyDescent="0.25">
      <c r="A4077" t="s">
        <v>35</v>
      </c>
      <c r="B4077" t="s">
        <v>16755</v>
      </c>
      <c r="C4077" t="str">
        <f>"A0185441"</f>
        <v>A0185441</v>
      </c>
      <c r="D4077" t="s">
        <v>16800</v>
      </c>
      <c r="E4077" t="s">
        <v>16801</v>
      </c>
      <c r="F4077" t="s">
        <v>16802</v>
      </c>
      <c r="G4077" t="s">
        <v>338</v>
      </c>
      <c r="H4077">
        <v>7821</v>
      </c>
      <c r="I4077" t="s">
        <v>30</v>
      </c>
      <c r="J4077" t="s">
        <v>41</v>
      </c>
      <c r="K4077" t="s">
        <v>229</v>
      </c>
      <c r="Q4077">
        <v>0</v>
      </c>
      <c r="R4077">
        <v>543</v>
      </c>
      <c r="S4077">
        <v>543</v>
      </c>
      <c r="T4077" t="s">
        <v>16803</v>
      </c>
    </row>
    <row r="4078" spans="1:20" customFormat="1" ht="15" x14ac:dyDescent="0.25">
      <c r="A4078" t="s">
        <v>35</v>
      </c>
      <c r="B4078" t="s">
        <v>61</v>
      </c>
      <c r="C4078" t="str">
        <f>"A0185440"</f>
        <v>A0185440</v>
      </c>
      <c r="D4078" t="s">
        <v>16804</v>
      </c>
      <c r="E4078" t="s">
        <v>16805</v>
      </c>
      <c r="F4078" t="s">
        <v>5325</v>
      </c>
      <c r="G4078" t="s">
        <v>110</v>
      </c>
      <c r="H4078">
        <v>95376</v>
      </c>
      <c r="I4078" t="s">
        <v>30</v>
      </c>
      <c r="J4078" t="s">
        <v>41</v>
      </c>
      <c r="K4078" t="s">
        <v>229</v>
      </c>
      <c r="Q4078">
        <v>0</v>
      </c>
      <c r="R4078">
        <v>70</v>
      </c>
      <c r="S4078">
        <v>70</v>
      </c>
      <c r="T4078" t="s">
        <v>16806</v>
      </c>
    </row>
    <row r="4079" spans="1:20" customFormat="1" ht="15" x14ac:dyDescent="0.25">
      <c r="A4079" t="s">
        <v>35</v>
      </c>
      <c r="B4079" t="s">
        <v>4767</v>
      </c>
      <c r="C4079" t="str">
        <f>"A0185439"</f>
        <v>A0185439</v>
      </c>
      <c r="D4079" t="s">
        <v>4676</v>
      </c>
      <c r="E4079" t="s">
        <v>4677</v>
      </c>
      <c r="F4079" t="s">
        <v>3119</v>
      </c>
      <c r="G4079" t="s">
        <v>899</v>
      </c>
      <c r="H4079">
        <v>2302</v>
      </c>
      <c r="I4079" t="s">
        <v>30</v>
      </c>
      <c r="J4079" t="s">
        <v>41</v>
      </c>
      <c r="K4079" t="s">
        <v>229</v>
      </c>
      <c r="Q4079">
        <v>0</v>
      </c>
      <c r="R4079">
        <v>123</v>
      </c>
      <c r="S4079">
        <v>123</v>
      </c>
      <c r="T4079" t="s">
        <v>3120</v>
      </c>
    </row>
    <row r="4080" spans="1:20" customFormat="1" ht="15" x14ac:dyDescent="0.25">
      <c r="A4080" t="s">
        <v>35</v>
      </c>
      <c r="B4080" t="s">
        <v>16755</v>
      </c>
      <c r="C4080" t="str">
        <f>"A0185438"</f>
        <v>A0185438</v>
      </c>
      <c r="D4080" t="s">
        <v>16807</v>
      </c>
      <c r="E4080" t="s">
        <v>16808</v>
      </c>
      <c r="F4080" t="s">
        <v>16809</v>
      </c>
      <c r="G4080" t="s">
        <v>338</v>
      </c>
      <c r="H4080">
        <v>7607</v>
      </c>
      <c r="I4080" t="s">
        <v>30</v>
      </c>
      <c r="J4080" t="s">
        <v>41</v>
      </c>
      <c r="K4080" t="s">
        <v>229</v>
      </c>
      <c r="Q4080">
        <v>0</v>
      </c>
      <c r="R4080">
        <v>120</v>
      </c>
      <c r="S4080">
        <v>120</v>
      </c>
      <c r="T4080" t="s">
        <v>16810</v>
      </c>
    </row>
    <row r="4081" spans="1:20" customFormat="1" ht="15" x14ac:dyDescent="0.25">
      <c r="A4081" t="s">
        <v>35</v>
      </c>
      <c r="B4081" t="s">
        <v>16755</v>
      </c>
      <c r="C4081" t="str">
        <f>"A0185437"</f>
        <v>A0185437</v>
      </c>
      <c r="D4081" t="s">
        <v>16811</v>
      </c>
      <c r="E4081" t="s">
        <v>16812</v>
      </c>
      <c r="F4081" t="s">
        <v>16813</v>
      </c>
      <c r="G4081" t="s">
        <v>103</v>
      </c>
      <c r="H4081">
        <v>18505</v>
      </c>
      <c r="I4081" t="s">
        <v>30</v>
      </c>
      <c r="J4081" t="s">
        <v>41</v>
      </c>
      <c r="K4081" t="s">
        <v>229</v>
      </c>
      <c r="Q4081">
        <v>0</v>
      </c>
      <c r="R4081">
        <v>180</v>
      </c>
      <c r="S4081">
        <v>180</v>
      </c>
      <c r="T4081" t="s">
        <v>16814</v>
      </c>
    </row>
    <row r="4082" spans="1:20" customFormat="1" ht="15" x14ac:dyDescent="0.25">
      <c r="A4082" t="s">
        <v>35</v>
      </c>
      <c r="B4082" t="s">
        <v>16755</v>
      </c>
      <c r="C4082" t="str">
        <f>"A0185436"</f>
        <v>A0185436</v>
      </c>
      <c r="D4082" t="s">
        <v>16815</v>
      </c>
      <c r="E4082" t="s">
        <v>16816</v>
      </c>
      <c r="F4082" t="s">
        <v>16817</v>
      </c>
      <c r="G4082" t="s">
        <v>338</v>
      </c>
      <c r="H4082">
        <v>8094</v>
      </c>
      <c r="I4082" t="s">
        <v>30</v>
      </c>
      <c r="J4082" t="s">
        <v>41</v>
      </c>
      <c r="K4082" t="s">
        <v>229</v>
      </c>
      <c r="Q4082">
        <v>0</v>
      </c>
      <c r="R4082">
        <v>180</v>
      </c>
      <c r="S4082">
        <v>180</v>
      </c>
      <c r="T4082" t="s">
        <v>16818</v>
      </c>
    </row>
    <row r="4083" spans="1:20" customFormat="1" ht="15" x14ac:dyDescent="0.25">
      <c r="A4083" t="s">
        <v>35</v>
      </c>
      <c r="B4083" t="s">
        <v>61</v>
      </c>
      <c r="C4083" t="str">
        <f>"A0185435"</f>
        <v>A0185435</v>
      </c>
      <c r="D4083" t="s">
        <v>16819</v>
      </c>
      <c r="E4083" t="s">
        <v>16820</v>
      </c>
      <c r="F4083" t="s">
        <v>16821</v>
      </c>
      <c r="G4083" t="s">
        <v>381</v>
      </c>
      <c r="H4083" t="s">
        <v>16822</v>
      </c>
      <c r="I4083" t="s">
        <v>30</v>
      </c>
      <c r="J4083" t="s">
        <v>41</v>
      </c>
      <c r="K4083" t="s">
        <v>59</v>
      </c>
      <c r="Q4083">
        <v>0</v>
      </c>
      <c r="R4083">
        <v>104</v>
      </c>
      <c r="S4083">
        <v>104</v>
      </c>
      <c r="T4083" t="s">
        <v>16823</v>
      </c>
    </row>
    <row r="4084" spans="1:20" customFormat="1" ht="15" x14ac:dyDescent="0.25">
      <c r="A4084" t="s">
        <v>35</v>
      </c>
      <c r="B4084" t="s">
        <v>61</v>
      </c>
      <c r="C4084" t="str">
        <f>"A0185434"</f>
        <v>A0185434</v>
      </c>
      <c r="D4084" t="s">
        <v>16824</v>
      </c>
      <c r="E4084" t="s">
        <v>16825</v>
      </c>
      <c r="F4084" t="s">
        <v>16826</v>
      </c>
      <c r="G4084" t="s">
        <v>840</v>
      </c>
      <c r="H4084">
        <v>41018</v>
      </c>
      <c r="I4084" t="s">
        <v>30</v>
      </c>
      <c r="J4084" t="s">
        <v>41</v>
      </c>
      <c r="K4084" t="s">
        <v>59</v>
      </c>
      <c r="Q4084">
        <v>0</v>
      </c>
      <c r="R4084">
        <v>0</v>
      </c>
      <c r="S4084">
        <v>0</v>
      </c>
      <c r="T4084" t="s">
        <v>16827</v>
      </c>
    </row>
    <row r="4085" spans="1:20" customFormat="1" ht="15" x14ac:dyDescent="0.25">
      <c r="A4085" t="s">
        <v>35</v>
      </c>
      <c r="B4085" t="s">
        <v>61</v>
      </c>
      <c r="C4085" t="str">
        <f>"A0185433"</f>
        <v>A0185433</v>
      </c>
      <c r="D4085" t="s">
        <v>16828</v>
      </c>
      <c r="E4085" t="s">
        <v>16829</v>
      </c>
      <c r="F4085" t="s">
        <v>3293</v>
      </c>
      <c r="G4085" t="s">
        <v>381</v>
      </c>
      <c r="H4085" t="s">
        <v>16830</v>
      </c>
      <c r="I4085" t="s">
        <v>30</v>
      </c>
      <c r="J4085" t="s">
        <v>41</v>
      </c>
      <c r="K4085" t="s">
        <v>59</v>
      </c>
      <c r="Q4085">
        <v>0</v>
      </c>
      <c r="R4085">
        <v>0</v>
      </c>
      <c r="S4085">
        <v>0</v>
      </c>
      <c r="T4085" t="s">
        <v>16831</v>
      </c>
    </row>
    <row r="4086" spans="1:20" customFormat="1" ht="15" x14ac:dyDescent="0.25">
      <c r="A4086" t="s">
        <v>35</v>
      </c>
      <c r="B4086" t="s">
        <v>61</v>
      </c>
      <c r="C4086" t="str">
        <f>"A0185432"</f>
        <v>A0185432</v>
      </c>
      <c r="D4086" t="s">
        <v>16832</v>
      </c>
      <c r="E4086" t="s">
        <v>16833</v>
      </c>
      <c r="F4086" t="s">
        <v>16834</v>
      </c>
      <c r="G4086" t="s">
        <v>381</v>
      </c>
      <c r="H4086" t="s">
        <v>16835</v>
      </c>
      <c r="I4086" t="s">
        <v>30</v>
      </c>
      <c r="J4086" t="s">
        <v>41</v>
      </c>
      <c r="K4086" t="s">
        <v>59</v>
      </c>
      <c r="Q4086">
        <v>0</v>
      </c>
      <c r="R4086">
        <v>312</v>
      </c>
      <c r="S4086">
        <v>312</v>
      </c>
      <c r="T4086" t="s">
        <v>16836</v>
      </c>
    </row>
    <row r="4087" spans="1:20" customFormat="1" ht="15" x14ac:dyDescent="0.25">
      <c r="A4087" t="s">
        <v>35</v>
      </c>
      <c r="B4087" t="s">
        <v>61</v>
      </c>
      <c r="C4087" t="str">
        <f>"A0185431"</f>
        <v>A0185431</v>
      </c>
      <c r="D4087" t="s">
        <v>16837</v>
      </c>
      <c r="E4087" t="s">
        <v>16838</v>
      </c>
      <c r="F4087" t="s">
        <v>6228</v>
      </c>
      <c r="G4087" t="s">
        <v>381</v>
      </c>
      <c r="H4087" t="s">
        <v>16839</v>
      </c>
      <c r="I4087" t="s">
        <v>30</v>
      </c>
      <c r="J4087" t="s">
        <v>41</v>
      </c>
      <c r="K4087" t="s">
        <v>59</v>
      </c>
      <c r="Q4087">
        <v>0</v>
      </c>
      <c r="R4087">
        <v>0</v>
      </c>
      <c r="S4087">
        <v>0</v>
      </c>
      <c r="T4087" t="s">
        <v>16840</v>
      </c>
    </row>
    <row r="4088" spans="1:20" customFormat="1" ht="15" x14ac:dyDescent="0.25">
      <c r="A4088" t="s">
        <v>35</v>
      </c>
      <c r="B4088" t="s">
        <v>61</v>
      </c>
      <c r="C4088" t="str">
        <f>"A0185429"</f>
        <v>A0185429</v>
      </c>
      <c r="D4088" t="s">
        <v>16841</v>
      </c>
      <c r="E4088" t="s">
        <v>16842</v>
      </c>
      <c r="F4088" t="s">
        <v>16843</v>
      </c>
      <c r="G4088" t="s">
        <v>381</v>
      </c>
      <c r="H4088" t="s">
        <v>16844</v>
      </c>
      <c r="I4088" t="s">
        <v>30</v>
      </c>
      <c r="J4088" t="s">
        <v>41</v>
      </c>
      <c r="K4088" t="s">
        <v>59</v>
      </c>
      <c r="Q4088">
        <v>0</v>
      </c>
      <c r="R4088">
        <v>0</v>
      </c>
      <c r="S4088">
        <v>0</v>
      </c>
      <c r="T4088" t="s">
        <v>16845</v>
      </c>
    </row>
    <row r="4089" spans="1:20" customFormat="1" ht="15" x14ac:dyDescent="0.25">
      <c r="A4089" t="s">
        <v>35</v>
      </c>
      <c r="B4089" t="s">
        <v>61</v>
      </c>
      <c r="C4089" t="str">
        <f>"A0185428"</f>
        <v>A0185428</v>
      </c>
      <c r="D4089" t="s">
        <v>16846</v>
      </c>
      <c r="E4089" t="s">
        <v>16847</v>
      </c>
      <c r="F4089" t="s">
        <v>16848</v>
      </c>
      <c r="G4089" t="s">
        <v>1587</v>
      </c>
      <c r="H4089">
        <v>871082493</v>
      </c>
      <c r="I4089" t="s">
        <v>30</v>
      </c>
      <c r="J4089" t="s">
        <v>41</v>
      </c>
      <c r="K4089" t="s">
        <v>59</v>
      </c>
      <c r="Q4089">
        <v>0</v>
      </c>
      <c r="R4089">
        <v>40</v>
      </c>
      <c r="S4089">
        <v>40</v>
      </c>
      <c r="T4089" t="s">
        <v>16849</v>
      </c>
    </row>
    <row r="4090" spans="1:20" customFormat="1" ht="15" x14ac:dyDescent="0.25">
      <c r="A4090" t="s">
        <v>35</v>
      </c>
      <c r="B4090" t="s">
        <v>61</v>
      </c>
      <c r="C4090" t="str">
        <f>"A0185427"</f>
        <v>A0185427</v>
      </c>
      <c r="D4090" t="s">
        <v>16850</v>
      </c>
      <c r="E4090" t="s">
        <v>16851</v>
      </c>
      <c r="F4090" t="s">
        <v>15431</v>
      </c>
      <c r="G4090" t="s">
        <v>381</v>
      </c>
      <c r="H4090" t="s">
        <v>16852</v>
      </c>
      <c r="I4090" t="s">
        <v>30</v>
      </c>
      <c r="J4090" t="s">
        <v>41</v>
      </c>
      <c r="K4090" t="s">
        <v>59</v>
      </c>
      <c r="Q4090">
        <v>0</v>
      </c>
      <c r="R4090">
        <v>0</v>
      </c>
      <c r="S4090">
        <v>0</v>
      </c>
      <c r="T4090" t="s">
        <v>16853</v>
      </c>
    </row>
    <row r="4091" spans="1:20" customFormat="1" ht="15" x14ac:dyDescent="0.25">
      <c r="A4091" t="s">
        <v>35</v>
      </c>
      <c r="B4091" t="s">
        <v>11871</v>
      </c>
      <c r="C4091" t="str">
        <f>"A0185426"</f>
        <v>A0185426</v>
      </c>
      <c r="D4091" t="s">
        <v>16854</v>
      </c>
      <c r="E4091" t="s">
        <v>16855</v>
      </c>
      <c r="F4091" t="s">
        <v>3293</v>
      </c>
      <c r="G4091" t="s">
        <v>381</v>
      </c>
      <c r="H4091" t="s">
        <v>16856</v>
      </c>
      <c r="I4091" t="s">
        <v>30</v>
      </c>
      <c r="J4091" t="s">
        <v>41</v>
      </c>
      <c r="K4091" t="s">
        <v>59</v>
      </c>
      <c r="Q4091">
        <v>0</v>
      </c>
      <c r="R4091">
        <v>0</v>
      </c>
      <c r="S4091">
        <v>0</v>
      </c>
      <c r="T4091" t="s">
        <v>16857</v>
      </c>
    </row>
    <row r="4092" spans="1:20" customFormat="1" ht="15" x14ac:dyDescent="0.25">
      <c r="A4092" t="s">
        <v>35</v>
      </c>
      <c r="B4092" t="s">
        <v>11871</v>
      </c>
      <c r="C4092" t="str">
        <f>"A0185425"</f>
        <v>A0185425</v>
      </c>
      <c r="D4092" t="s">
        <v>16858</v>
      </c>
      <c r="E4092" t="s">
        <v>16859</v>
      </c>
      <c r="F4092" t="s">
        <v>1795</v>
      </c>
      <c r="G4092" t="s">
        <v>381</v>
      </c>
      <c r="H4092" t="s">
        <v>16860</v>
      </c>
      <c r="I4092" t="s">
        <v>30</v>
      </c>
      <c r="J4092" t="s">
        <v>41</v>
      </c>
      <c r="K4092" t="s">
        <v>59</v>
      </c>
      <c r="Q4092">
        <v>0</v>
      </c>
      <c r="R4092">
        <v>0</v>
      </c>
      <c r="S4092">
        <v>0</v>
      </c>
      <c r="T4092" t="s">
        <v>16861</v>
      </c>
    </row>
    <row r="4093" spans="1:20" customFormat="1" ht="15" x14ac:dyDescent="0.25">
      <c r="A4093" t="s">
        <v>35</v>
      </c>
      <c r="B4093" t="s">
        <v>61</v>
      </c>
      <c r="C4093" t="str">
        <f>"A0185424"</f>
        <v>A0185424</v>
      </c>
      <c r="D4093" t="s">
        <v>16862</v>
      </c>
      <c r="E4093" t="s">
        <v>16863</v>
      </c>
      <c r="F4093" t="s">
        <v>16864</v>
      </c>
      <c r="G4093" t="s">
        <v>1508</v>
      </c>
      <c r="H4093">
        <v>829355060</v>
      </c>
      <c r="I4093" t="s">
        <v>30</v>
      </c>
      <c r="J4093" t="s">
        <v>41</v>
      </c>
      <c r="K4093" t="s">
        <v>59</v>
      </c>
      <c r="Q4093">
        <v>0</v>
      </c>
      <c r="R4093">
        <v>0</v>
      </c>
      <c r="S4093">
        <v>0</v>
      </c>
    </row>
    <row r="4094" spans="1:20" customFormat="1" ht="15" x14ac:dyDescent="0.25">
      <c r="A4094" t="s">
        <v>35</v>
      </c>
      <c r="B4094" t="s">
        <v>61</v>
      </c>
      <c r="C4094" t="str">
        <f>"A0185423"</f>
        <v>A0185423</v>
      </c>
      <c r="D4094" t="s">
        <v>16865</v>
      </c>
      <c r="E4094" t="s">
        <v>16866</v>
      </c>
      <c r="F4094" t="s">
        <v>16826</v>
      </c>
      <c r="G4094" t="s">
        <v>840</v>
      </c>
      <c r="H4094" t="s">
        <v>16867</v>
      </c>
      <c r="I4094" t="s">
        <v>30</v>
      </c>
      <c r="J4094" t="s">
        <v>41</v>
      </c>
      <c r="K4094" t="s">
        <v>59</v>
      </c>
      <c r="Q4094">
        <v>0</v>
      </c>
      <c r="R4094">
        <v>0</v>
      </c>
      <c r="S4094">
        <v>0</v>
      </c>
    </row>
    <row r="4095" spans="1:20" customFormat="1" ht="15" x14ac:dyDescent="0.25">
      <c r="A4095" t="s">
        <v>35</v>
      </c>
      <c r="B4095" t="s">
        <v>61</v>
      </c>
      <c r="C4095" t="str">
        <f>"A0185422"</f>
        <v>A0185422</v>
      </c>
      <c r="D4095" t="s">
        <v>16868</v>
      </c>
      <c r="E4095" t="s">
        <v>16869</v>
      </c>
      <c r="F4095" t="s">
        <v>890</v>
      </c>
      <c r="G4095" t="s">
        <v>381</v>
      </c>
      <c r="H4095">
        <v>46307</v>
      </c>
      <c r="I4095" t="s">
        <v>30</v>
      </c>
      <c r="J4095" t="s">
        <v>41</v>
      </c>
      <c r="K4095" t="s">
        <v>59</v>
      </c>
      <c r="Q4095">
        <v>0</v>
      </c>
      <c r="R4095">
        <v>0</v>
      </c>
      <c r="S4095">
        <v>0</v>
      </c>
    </row>
    <row r="4096" spans="1:20" customFormat="1" ht="15" x14ac:dyDescent="0.25">
      <c r="A4096" t="s">
        <v>35</v>
      </c>
      <c r="B4096" t="s">
        <v>61</v>
      </c>
      <c r="C4096" t="str">
        <f>"A0185421"</f>
        <v>A0185421</v>
      </c>
      <c r="D4096" t="s">
        <v>16870</v>
      </c>
      <c r="E4096" t="s">
        <v>16871</v>
      </c>
      <c r="F4096" t="s">
        <v>8622</v>
      </c>
      <c r="G4096" t="s">
        <v>381</v>
      </c>
      <c r="H4096" t="s">
        <v>16872</v>
      </c>
      <c r="I4096" t="s">
        <v>30</v>
      </c>
      <c r="J4096" t="s">
        <v>41</v>
      </c>
      <c r="K4096" t="s">
        <v>59</v>
      </c>
      <c r="Q4096">
        <v>0</v>
      </c>
      <c r="R4096">
        <v>0</v>
      </c>
      <c r="S4096">
        <v>0</v>
      </c>
    </row>
    <row r="4097" spans="1:20" customFormat="1" ht="15" x14ac:dyDescent="0.25">
      <c r="A4097" t="s">
        <v>35</v>
      </c>
      <c r="B4097" t="s">
        <v>16873</v>
      </c>
      <c r="C4097" t="str">
        <f>"A0185418"</f>
        <v>A0185418</v>
      </c>
      <c r="D4097" t="s">
        <v>16874</v>
      </c>
      <c r="E4097" t="s">
        <v>16875</v>
      </c>
      <c r="F4097" t="s">
        <v>839</v>
      </c>
      <c r="G4097" t="s">
        <v>840</v>
      </c>
      <c r="H4097" t="s">
        <v>16876</v>
      </c>
      <c r="I4097" t="s">
        <v>30</v>
      </c>
      <c r="J4097" t="s">
        <v>41</v>
      </c>
      <c r="K4097" t="s">
        <v>59</v>
      </c>
      <c r="Q4097">
        <v>0</v>
      </c>
      <c r="R4097">
        <v>0</v>
      </c>
      <c r="S4097">
        <v>0</v>
      </c>
      <c r="T4097" t="s">
        <v>16877</v>
      </c>
    </row>
    <row r="4098" spans="1:20" customFormat="1" ht="15" x14ac:dyDescent="0.25">
      <c r="A4098" t="s">
        <v>35</v>
      </c>
      <c r="B4098" t="s">
        <v>61</v>
      </c>
      <c r="C4098" t="str">
        <f>"A0185417"</f>
        <v>A0185417</v>
      </c>
      <c r="D4098" t="s">
        <v>16878</v>
      </c>
      <c r="E4098" t="s">
        <v>16879</v>
      </c>
      <c r="F4098" t="s">
        <v>16880</v>
      </c>
      <c r="G4098" t="s">
        <v>840</v>
      </c>
      <c r="H4098" t="s">
        <v>16881</v>
      </c>
      <c r="I4098" t="s">
        <v>30</v>
      </c>
      <c r="J4098" t="s">
        <v>41</v>
      </c>
      <c r="K4098" t="s">
        <v>59</v>
      </c>
      <c r="Q4098">
        <v>0</v>
      </c>
      <c r="R4098">
        <v>56</v>
      </c>
      <c r="S4098">
        <v>56</v>
      </c>
      <c r="T4098" t="s">
        <v>16882</v>
      </c>
    </row>
    <row r="4099" spans="1:20" customFormat="1" ht="15" x14ac:dyDescent="0.25">
      <c r="A4099" t="s">
        <v>35</v>
      </c>
      <c r="B4099" t="s">
        <v>61</v>
      </c>
      <c r="C4099" t="str">
        <f>"A0185416"</f>
        <v>A0185416</v>
      </c>
      <c r="D4099" t="s">
        <v>16883</v>
      </c>
      <c r="E4099" t="s">
        <v>16884</v>
      </c>
      <c r="F4099" t="s">
        <v>16885</v>
      </c>
      <c r="G4099" t="s">
        <v>381</v>
      </c>
      <c r="H4099" t="s">
        <v>16886</v>
      </c>
      <c r="I4099" t="s">
        <v>30</v>
      </c>
      <c r="J4099" t="s">
        <v>41</v>
      </c>
      <c r="K4099" t="s">
        <v>59</v>
      </c>
      <c r="Q4099">
        <v>0</v>
      </c>
      <c r="R4099">
        <v>0</v>
      </c>
      <c r="S4099">
        <v>0</v>
      </c>
      <c r="T4099" t="s">
        <v>16887</v>
      </c>
    </row>
    <row r="4100" spans="1:20" customFormat="1" ht="15" x14ac:dyDescent="0.25">
      <c r="A4100" t="s">
        <v>35</v>
      </c>
      <c r="B4100" t="s">
        <v>16873</v>
      </c>
      <c r="C4100" t="str">
        <f>"A0185415"</f>
        <v>A0185415</v>
      </c>
      <c r="D4100" t="s">
        <v>16888</v>
      </c>
      <c r="E4100" t="s">
        <v>16889</v>
      </c>
      <c r="F4100" t="s">
        <v>16890</v>
      </c>
      <c r="G4100" t="s">
        <v>840</v>
      </c>
      <c r="H4100">
        <v>40031</v>
      </c>
      <c r="I4100" t="s">
        <v>30</v>
      </c>
      <c r="J4100" t="s">
        <v>41</v>
      </c>
      <c r="K4100" t="s">
        <v>59</v>
      </c>
      <c r="Q4100">
        <v>0</v>
      </c>
      <c r="R4100">
        <v>0</v>
      </c>
      <c r="S4100">
        <v>0</v>
      </c>
      <c r="T4100" t="s">
        <v>16891</v>
      </c>
    </row>
    <row r="4101" spans="1:20" customFormat="1" ht="15" x14ac:dyDescent="0.25">
      <c r="A4101" t="s">
        <v>35</v>
      </c>
      <c r="B4101" t="s">
        <v>16873</v>
      </c>
      <c r="C4101" t="str">
        <f>"A0185414"</f>
        <v>A0185414</v>
      </c>
      <c r="D4101" t="s">
        <v>16892</v>
      </c>
      <c r="E4101" t="s">
        <v>16893</v>
      </c>
      <c r="F4101" t="s">
        <v>839</v>
      </c>
      <c r="G4101" t="s">
        <v>840</v>
      </c>
      <c r="H4101" t="s">
        <v>16894</v>
      </c>
      <c r="I4101" t="s">
        <v>30</v>
      </c>
      <c r="J4101" t="s">
        <v>41</v>
      </c>
      <c r="K4101" t="s">
        <v>59</v>
      </c>
      <c r="Q4101">
        <v>0</v>
      </c>
      <c r="R4101">
        <v>0</v>
      </c>
      <c r="S4101">
        <v>0</v>
      </c>
      <c r="T4101" t="s">
        <v>16895</v>
      </c>
    </row>
    <row r="4102" spans="1:20" customFormat="1" ht="15" x14ac:dyDescent="0.25">
      <c r="A4102" t="s">
        <v>35</v>
      </c>
      <c r="B4102" t="s">
        <v>61</v>
      </c>
      <c r="C4102" t="str">
        <f>"A0185413"</f>
        <v>A0185413</v>
      </c>
      <c r="D4102" t="s">
        <v>16896</v>
      </c>
      <c r="E4102" t="s">
        <v>16897</v>
      </c>
      <c r="F4102" t="s">
        <v>16898</v>
      </c>
      <c r="G4102" t="s">
        <v>381</v>
      </c>
      <c r="H4102">
        <v>46107</v>
      </c>
      <c r="I4102" t="s">
        <v>30</v>
      </c>
      <c r="J4102" t="s">
        <v>41</v>
      </c>
      <c r="K4102" t="s">
        <v>59</v>
      </c>
      <c r="Q4102">
        <v>0</v>
      </c>
      <c r="R4102">
        <v>181</v>
      </c>
      <c r="S4102">
        <v>181</v>
      </c>
      <c r="T4102" t="s">
        <v>16899</v>
      </c>
    </row>
    <row r="4103" spans="1:20" customFormat="1" ht="15" x14ac:dyDescent="0.25">
      <c r="A4103" t="s">
        <v>35</v>
      </c>
      <c r="B4103" t="s">
        <v>11871</v>
      </c>
      <c r="C4103" t="str">
        <f>"A0185411"</f>
        <v>A0185411</v>
      </c>
      <c r="D4103" t="s">
        <v>16900</v>
      </c>
      <c r="E4103" t="s">
        <v>16901</v>
      </c>
      <c r="F4103" t="s">
        <v>4591</v>
      </c>
      <c r="G4103" t="s">
        <v>381</v>
      </c>
      <c r="H4103" t="s">
        <v>16902</v>
      </c>
      <c r="I4103" t="s">
        <v>30</v>
      </c>
      <c r="J4103" t="s">
        <v>41</v>
      </c>
      <c r="K4103" t="s">
        <v>59</v>
      </c>
      <c r="Q4103">
        <v>0</v>
      </c>
      <c r="R4103">
        <v>0</v>
      </c>
      <c r="S4103">
        <v>0</v>
      </c>
      <c r="T4103" t="s">
        <v>16903</v>
      </c>
    </row>
    <row r="4104" spans="1:20" customFormat="1" ht="15" x14ac:dyDescent="0.25">
      <c r="A4104" t="s">
        <v>35</v>
      </c>
      <c r="B4104" t="s">
        <v>61</v>
      </c>
      <c r="C4104" t="str">
        <f>"A0185410"</f>
        <v>A0185410</v>
      </c>
      <c r="D4104" t="s">
        <v>16904</v>
      </c>
      <c r="E4104" t="s">
        <v>16905</v>
      </c>
      <c r="F4104" t="s">
        <v>912</v>
      </c>
      <c r="G4104" t="s">
        <v>381</v>
      </c>
      <c r="H4104" t="s">
        <v>16906</v>
      </c>
      <c r="I4104" t="s">
        <v>30</v>
      </c>
      <c r="J4104" t="s">
        <v>41</v>
      </c>
      <c r="K4104" t="s">
        <v>59</v>
      </c>
      <c r="Q4104">
        <v>0</v>
      </c>
      <c r="R4104">
        <v>0</v>
      </c>
      <c r="S4104">
        <v>0</v>
      </c>
      <c r="T4104" t="s">
        <v>16907</v>
      </c>
    </row>
    <row r="4105" spans="1:20" customFormat="1" ht="15" x14ac:dyDescent="0.25">
      <c r="A4105" t="s">
        <v>35</v>
      </c>
      <c r="B4105" t="s">
        <v>61</v>
      </c>
      <c r="C4105" t="str">
        <f>"A0185408"</f>
        <v>A0185408</v>
      </c>
      <c r="D4105" t="s">
        <v>16908</v>
      </c>
      <c r="E4105" t="s">
        <v>16909</v>
      </c>
      <c r="F4105" t="s">
        <v>8622</v>
      </c>
      <c r="G4105" t="s">
        <v>381</v>
      </c>
      <c r="H4105" t="s">
        <v>16910</v>
      </c>
      <c r="I4105" t="s">
        <v>30</v>
      </c>
      <c r="J4105" t="s">
        <v>41</v>
      </c>
      <c r="K4105" t="s">
        <v>59</v>
      </c>
      <c r="Q4105">
        <v>0</v>
      </c>
      <c r="R4105">
        <v>120</v>
      </c>
      <c r="S4105">
        <v>120</v>
      </c>
      <c r="T4105" t="s">
        <v>16911</v>
      </c>
    </row>
    <row r="4106" spans="1:20" customFormat="1" ht="15" x14ac:dyDescent="0.25">
      <c r="A4106" t="s">
        <v>35</v>
      </c>
      <c r="B4106" t="s">
        <v>61</v>
      </c>
      <c r="C4106" t="str">
        <f>"A0185407"</f>
        <v>A0185407</v>
      </c>
      <c r="D4106" t="s">
        <v>16912</v>
      </c>
      <c r="E4106" t="s">
        <v>16913</v>
      </c>
      <c r="F4106" t="s">
        <v>16914</v>
      </c>
      <c r="G4106" t="s">
        <v>381</v>
      </c>
      <c r="H4106" t="s">
        <v>16915</v>
      </c>
      <c r="I4106" t="s">
        <v>30</v>
      </c>
      <c r="J4106" t="s">
        <v>41</v>
      </c>
      <c r="K4106" t="s">
        <v>59</v>
      </c>
      <c r="Q4106">
        <v>0</v>
      </c>
      <c r="R4106">
        <v>0</v>
      </c>
      <c r="S4106">
        <v>0</v>
      </c>
      <c r="T4106" t="s">
        <v>16916</v>
      </c>
    </row>
    <row r="4107" spans="1:20" customFormat="1" ht="15" x14ac:dyDescent="0.25">
      <c r="A4107" t="s">
        <v>35</v>
      </c>
      <c r="B4107" t="s">
        <v>61</v>
      </c>
      <c r="C4107" t="str">
        <f>"A0185406"</f>
        <v>A0185406</v>
      </c>
      <c r="D4107" t="s">
        <v>16917</v>
      </c>
      <c r="E4107" t="s">
        <v>16918</v>
      </c>
      <c r="F4107" t="s">
        <v>16919</v>
      </c>
      <c r="G4107" t="s">
        <v>381</v>
      </c>
      <c r="H4107" t="s">
        <v>16920</v>
      </c>
      <c r="I4107" t="s">
        <v>30</v>
      </c>
      <c r="J4107" t="s">
        <v>41</v>
      </c>
      <c r="K4107" t="s">
        <v>59</v>
      </c>
      <c r="Q4107">
        <v>0</v>
      </c>
      <c r="R4107">
        <v>37</v>
      </c>
      <c r="S4107">
        <v>37</v>
      </c>
      <c r="T4107" t="s">
        <v>16921</v>
      </c>
    </row>
    <row r="4108" spans="1:20" customFormat="1" ht="15" x14ac:dyDescent="0.25">
      <c r="A4108" t="s">
        <v>35</v>
      </c>
      <c r="B4108" t="s">
        <v>61</v>
      </c>
      <c r="C4108" t="str">
        <f>"A0185405"</f>
        <v>A0185405</v>
      </c>
      <c r="D4108" t="s">
        <v>16922</v>
      </c>
      <c r="E4108" t="s">
        <v>16923</v>
      </c>
      <c r="F4108" t="s">
        <v>1373</v>
      </c>
      <c r="G4108" t="s">
        <v>381</v>
      </c>
      <c r="H4108" t="s">
        <v>16924</v>
      </c>
      <c r="I4108" t="s">
        <v>30</v>
      </c>
      <c r="J4108" t="s">
        <v>41</v>
      </c>
      <c r="K4108" t="s">
        <v>59</v>
      </c>
      <c r="Q4108">
        <v>0</v>
      </c>
      <c r="R4108">
        <v>0</v>
      </c>
      <c r="S4108">
        <v>0</v>
      </c>
      <c r="T4108" t="s">
        <v>16925</v>
      </c>
    </row>
    <row r="4109" spans="1:20" customFormat="1" ht="15" x14ac:dyDescent="0.25">
      <c r="A4109" t="s">
        <v>35</v>
      </c>
      <c r="B4109" t="s">
        <v>16926</v>
      </c>
      <c r="C4109" t="str">
        <f>"A0185404"</f>
        <v>A0185404</v>
      </c>
      <c r="D4109" t="s">
        <v>16927</v>
      </c>
      <c r="E4109" t="s">
        <v>16928</v>
      </c>
      <c r="F4109" t="s">
        <v>16929</v>
      </c>
      <c r="G4109" t="s">
        <v>381</v>
      </c>
      <c r="H4109">
        <v>463738666</v>
      </c>
      <c r="I4109" t="s">
        <v>30</v>
      </c>
      <c r="J4109" t="s">
        <v>41</v>
      </c>
      <c r="K4109" t="s">
        <v>59</v>
      </c>
      <c r="Q4109">
        <v>0</v>
      </c>
      <c r="R4109">
        <v>80</v>
      </c>
      <c r="S4109">
        <v>80</v>
      </c>
      <c r="T4109" t="s">
        <v>16930</v>
      </c>
    </row>
    <row r="4110" spans="1:20" customFormat="1" ht="15" x14ac:dyDescent="0.25">
      <c r="A4110" t="s">
        <v>35</v>
      </c>
      <c r="B4110" t="s">
        <v>61</v>
      </c>
      <c r="C4110" t="str">
        <f>"A0185403"</f>
        <v>A0185403</v>
      </c>
      <c r="D4110" t="s">
        <v>16931</v>
      </c>
      <c r="E4110" t="s">
        <v>16932</v>
      </c>
      <c r="F4110" t="s">
        <v>8703</v>
      </c>
      <c r="G4110" t="s">
        <v>137</v>
      </c>
      <c r="H4110">
        <v>641142338</v>
      </c>
      <c r="I4110" t="s">
        <v>30</v>
      </c>
      <c r="J4110" t="s">
        <v>41</v>
      </c>
      <c r="K4110" t="s">
        <v>59</v>
      </c>
      <c r="Q4110">
        <v>0</v>
      </c>
      <c r="R4110">
        <v>0</v>
      </c>
      <c r="S4110">
        <v>0</v>
      </c>
    </row>
    <row r="4111" spans="1:20" customFormat="1" ht="15" x14ac:dyDescent="0.25">
      <c r="A4111" t="s">
        <v>35</v>
      </c>
      <c r="B4111" t="s">
        <v>16873</v>
      </c>
      <c r="C4111" t="str">
        <f>"A0185402"</f>
        <v>A0185402</v>
      </c>
      <c r="D4111" t="s">
        <v>16933</v>
      </c>
      <c r="E4111" t="s">
        <v>16934</v>
      </c>
      <c r="F4111" t="s">
        <v>16935</v>
      </c>
      <c r="G4111" t="s">
        <v>840</v>
      </c>
      <c r="H4111" t="s">
        <v>16936</v>
      </c>
      <c r="I4111" t="s">
        <v>30</v>
      </c>
      <c r="J4111" t="s">
        <v>41</v>
      </c>
      <c r="K4111" t="s">
        <v>59</v>
      </c>
      <c r="Q4111">
        <v>0</v>
      </c>
      <c r="R4111">
        <v>0</v>
      </c>
      <c r="S4111">
        <v>0</v>
      </c>
      <c r="T4111" t="s">
        <v>16877</v>
      </c>
    </row>
    <row r="4112" spans="1:20" customFormat="1" ht="15" x14ac:dyDescent="0.25">
      <c r="A4112" t="s">
        <v>35</v>
      </c>
      <c r="B4112" t="s">
        <v>61</v>
      </c>
      <c r="C4112" t="str">
        <f>"A0185401"</f>
        <v>A0185401</v>
      </c>
      <c r="D4112" t="s">
        <v>16937</v>
      </c>
      <c r="E4112" t="s">
        <v>16938</v>
      </c>
      <c r="F4112" t="s">
        <v>16939</v>
      </c>
      <c r="G4112" t="s">
        <v>381</v>
      </c>
      <c r="H4112" t="s">
        <v>16940</v>
      </c>
      <c r="I4112" t="s">
        <v>30</v>
      </c>
      <c r="J4112" t="s">
        <v>41</v>
      </c>
      <c r="K4112" t="s">
        <v>59</v>
      </c>
      <c r="Q4112">
        <v>0</v>
      </c>
      <c r="R4112">
        <v>60</v>
      </c>
      <c r="S4112">
        <v>60</v>
      </c>
      <c r="T4112" t="s">
        <v>16941</v>
      </c>
    </row>
    <row r="4113" spans="1:20" customFormat="1" ht="15" x14ac:dyDescent="0.25">
      <c r="A4113" t="s">
        <v>35</v>
      </c>
      <c r="B4113" t="s">
        <v>61</v>
      </c>
      <c r="C4113" t="str">
        <f>"A0185400"</f>
        <v>A0185400</v>
      </c>
      <c r="D4113" t="s">
        <v>16942</v>
      </c>
      <c r="E4113" t="s">
        <v>16943</v>
      </c>
      <c r="F4113" t="s">
        <v>16944</v>
      </c>
      <c r="G4113" t="s">
        <v>381</v>
      </c>
      <c r="H4113" t="s">
        <v>16945</v>
      </c>
      <c r="I4113" t="s">
        <v>30</v>
      </c>
      <c r="J4113" t="s">
        <v>41</v>
      </c>
      <c r="K4113" t="s">
        <v>59</v>
      </c>
      <c r="Q4113">
        <v>0</v>
      </c>
      <c r="R4113">
        <v>0</v>
      </c>
      <c r="S4113">
        <v>0</v>
      </c>
      <c r="T4113" t="s">
        <v>16946</v>
      </c>
    </row>
    <row r="4114" spans="1:20" customFormat="1" ht="15" x14ac:dyDescent="0.25">
      <c r="A4114" t="s">
        <v>35</v>
      </c>
      <c r="B4114" t="s">
        <v>61</v>
      </c>
      <c r="C4114" t="str">
        <f>"A0185399"</f>
        <v>A0185399</v>
      </c>
      <c r="D4114" t="s">
        <v>16947</v>
      </c>
      <c r="E4114" t="s">
        <v>16948</v>
      </c>
      <c r="F4114" t="s">
        <v>16949</v>
      </c>
      <c r="G4114" t="s">
        <v>381</v>
      </c>
      <c r="H4114" t="s">
        <v>16950</v>
      </c>
      <c r="I4114" t="s">
        <v>30</v>
      </c>
      <c r="J4114" t="s">
        <v>41</v>
      </c>
      <c r="K4114" t="s">
        <v>59</v>
      </c>
      <c r="Q4114">
        <v>0</v>
      </c>
      <c r="R4114">
        <v>0</v>
      </c>
      <c r="S4114">
        <v>0</v>
      </c>
      <c r="T4114" t="s">
        <v>16951</v>
      </c>
    </row>
    <row r="4115" spans="1:20" customFormat="1" ht="15" x14ac:dyDescent="0.25">
      <c r="A4115" t="s">
        <v>35</v>
      </c>
      <c r="B4115" t="s">
        <v>61</v>
      </c>
      <c r="C4115" t="str">
        <f>"A0185398"</f>
        <v>A0185398</v>
      </c>
      <c r="D4115" t="s">
        <v>16952</v>
      </c>
      <c r="E4115" t="s">
        <v>16953</v>
      </c>
      <c r="F4115" t="s">
        <v>15520</v>
      </c>
      <c r="G4115" t="s">
        <v>381</v>
      </c>
      <c r="H4115" t="s">
        <v>16954</v>
      </c>
      <c r="I4115" t="s">
        <v>30</v>
      </c>
      <c r="J4115" t="s">
        <v>41</v>
      </c>
      <c r="K4115" t="s">
        <v>59</v>
      </c>
      <c r="Q4115">
        <v>0</v>
      </c>
      <c r="R4115">
        <v>104</v>
      </c>
      <c r="S4115">
        <v>104</v>
      </c>
      <c r="T4115" t="s">
        <v>16955</v>
      </c>
    </row>
    <row r="4116" spans="1:20" customFormat="1" ht="15" x14ac:dyDescent="0.25">
      <c r="A4116" t="s">
        <v>35</v>
      </c>
      <c r="B4116" t="s">
        <v>61</v>
      </c>
      <c r="C4116" t="str">
        <f>"A0185397"</f>
        <v>A0185397</v>
      </c>
      <c r="D4116" t="s">
        <v>16956</v>
      </c>
      <c r="E4116" t="s">
        <v>16957</v>
      </c>
      <c r="F4116" t="s">
        <v>11777</v>
      </c>
      <c r="G4116" t="s">
        <v>381</v>
      </c>
      <c r="H4116" t="s">
        <v>16958</v>
      </c>
      <c r="I4116" t="s">
        <v>30</v>
      </c>
      <c r="J4116" t="s">
        <v>41</v>
      </c>
      <c r="K4116" t="s">
        <v>59</v>
      </c>
      <c r="Q4116">
        <v>0</v>
      </c>
      <c r="R4116">
        <v>404</v>
      </c>
      <c r="S4116">
        <v>404</v>
      </c>
      <c r="T4116" t="s">
        <v>16959</v>
      </c>
    </row>
    <row r="4117" spans="1:20" customFormat="1" ht="15" x14ac:dyDescent="0.25">
      <c r="A4117" t="s">
        <v>35</v>
      </c>
      <c r="B4117" t="s">
        <v>16960</v>
      </c>
      <c r="C4117" t="str">
        <f>"A0185396"</f>
        <v>A0185396</v>
      </c>
      <c r="D4117" t="s">
        <v>16961</v>
      </c>
      <c r="E4117" t="s">
        <v>16962</v>
      </c>
      <c r="F4117" t="s">
        <v>16963</v>
      </c>
      <c r="G4117" t="s">
        <v>381</v>
      </c>
      <c r="H4117" t="s">
        <v>16964</v>
      </c>
      <c r="I4117" t="s">
        <v>30</v>
      </c>
      <c r="J4117" t="s">
        <v>41</v>
      </c>
      <c r="K4117" t="s">
        <v>59</v>
      </c>
      <c r="Q4117">
        <v>0</v>
      </c>
      <c r="R4117">
        <v>0</v>
      </c>
      <c r="S4117">
        <v>0</v>
      </c>
      <c r="T4117" t="s">
        <v>16965</v>
      </c>
    </row>
    <row r="4118" spans="1:20" customFormat="1" ht="15" x14ac:dyDescent="0.25">
      <c r="A4118" t="s">
        <v>35</v>
      </c>
      <c r="B4118" t="s">
        <v>61</v>
      </c>
      <c r="C4118" t="str">
        <f>"A0185395"</f>
        <v>A0185395</v>
      </c>
      <c r="D4118" t="s">
        <v>16966</v>
      </c>
      <c r="E4118" t="s">
        <v>16967</v>
      </c>
      <c r="F4118" t="s">
        <v>380</v>
      </c>
      <c r="G4118" t="s">
        <v>381</v>
      </c>
      <c r="H4118" t="s">
        <v>16968</v>
      </c>
      <c r="I4118" t="s">
        <v>30</v>
      </c>
      <c r="J4118" t="s">
        <v>41</v>
      </c>
      <c r="K4118" t="s">
        <v>59</v>
      </c>
      <c r="Q4118">
        <v>0</v>
      </c>
      <c r="R4118">
        <v>50</v>
      </c>
      <c r="S4118">
        <v>50</v>
      </c>
      <c r="T4118" t="s">
        <v>16969</v>
      </c>
    </row>
    <row r="4119" spans="1:20" customFormat="1" ht="15" x14ac:dyDescent="0.25">
      <c r="A4119" t="s">
        <v>35</v>
      </c>
      <c r="B4119" t="s">
        <v>61</v>
      </c>
      <c r="C4119" t="str">
        <f>"A0185394"</f>
        <v>A0185394</v>
      </c>
      <c r="D4119" t="s">
        <v>16970</v>
      </c>
      <c r="E4119" t="s">
        <v>16971</v>
      </c>
      <c r="F4119" t="s">
        <v>16972</v>
      </c>
      <c r="G4119" t="s">
        <v>381</v>
      </c>
      <c r="H4119" t="s">
        <v>16973</v>
      </c>
      <c r="I4119" t="s">
        <v>30</v>
      </c>
      <c r="J4119" t="s">
        <v>41</v>
      </c>
      <c r="K4119" t="s">
        <v>59</v>
      </c>
      <c r="Q4119">
        <v>0</v>
      </c>
      <c r="R4119">
        <v>231</v>
      </c>
      <c r="S4119">
        <v>231</v>
      </c>
      <c r="T4119" t="s">
        <v>16974</v>
      </c>
    </row>
    <row r="4120" spans="1:20" customFormat="1" ht="15" x14ac:dyDescent="0.25">
      <c r="A4120" t="s">
        <v>35</v>
      </c>
      <c r="B4120" t="s">
        <v>61</v>
      </c>
      <c r="C4120" t="str">
        <f>"A0185393"</f>
        <v>A0185393</v>
      </c>
      <c r="D4120" t="s">
        <v>16975</v>
      </c>
      <c r="E4120" t="s">
        <v>16976</v>
      </c>
      <c r="F4120" t="s">
        <v>8622</v>
      </c>
      <c r="G4120" t="s">
        <v>381</v>
      </c>
      <c r="H4120" t="s">
        <v>16977</v>
      </c>
      <c r="I4120" t="s">
        <v>30</v>
      </c>
      <c r="J4120" t="s">
        <v>41</v>
      </c>
      <c r="K4120" t="s">
        <v>59</v>
      </c>
      <c r="Q4120">
        <v>0</v>
      </c>
      <c r="R4120">
        <v>500</v>
      </c>
      <c r="S4120">
        <v>500</v>
      </c>
      <c r="T4120" t="s">
        <v>16978</v>
      </c>
    </row>
    <row r="4121" spans="1:20" customFormat="1" ht="15" x14ac:dyDescent="0.25">
      <c r="A4121" t="s">
        <v>35</v>
      </c>
      <c r="B4121" t="s">
        <v>61</v>
      </c>
      <c r="C4121" t="str">
        <f>"A0185392"</f>
        <v>A0185392</v>
      </c>
      <c r="D4121" t="s">
        <v>16979</v>
      </c>
      <c r="E4121" t="s">
        <v>16980</v>
      </c>
      <c r="F4121" t="s">
        <v>8703</v>
      </c>
      <c r="G4121" t="s">
        <v>137</v>
      </c>
      <c r="H4121" t="s">
        <v>16981</v>
      </c>
      <c r="I4121" t="s">
        <v>30</v>
      </c>
      <c r="J4121" t="s">
        <v>41</v>
      </c>
      <c r="K4121" t="s">
        <v>59</v>
      </c>
      <c r="Q4121">
        <v>0</v>
      </c>
      <c r="R4121">
        <v>40</v>
      </c>
      <c r="S4121">
        <v>40</v>
      </c>
      <c r="T4121" t="s">
        <v>16982</v>
      </c>
    </row>
    <row r="4122" spans="1:20" customFormat="1" ht="15" x14ac:dyDescent="0.25">
      <c r="A4122" t="s">
        <v>35</v>
      </c>
      <c r="B4122" t="s">
        <v>61</v>
      </c>
      <c r="C4122" t="str">
        <f>"A0185391"</f>
        <v>A0185391</v>
      </c>
      <c r="D4122" t="s">
        <v>16983</v>
      </c>
      <c r="E4122" t="s">
        <v>16984</v>
      </c>
      <c r="F4122" t="s">
        <v>16985</v>
      </c>
      <c r="G4122" t="s">
        <v>137</v>
      </c>
      <c r="H4122" t="s">
        <v>16986</v>
      </c>
      <c r="I4122" t="s">
        <v>30</v>
      </c>
      <c r="J4122" t="s">
        <v>41</v>
      </c>
      <c r="K4122" t="s">
        <v>59</v>
      </c>
      <c r="Q4122">
        <v>0</v>
      </c>
      <c r="R4122">
        <v>378</v>
      </c>
      <c r="S4122">
        <v>378</v>
      </c>
      <c r="T4122" t="s">
        <v>16987</v>
      </c>
    </row>
    <row r="4123" spans="1:20" customFormat="1" ht="15" x14ac:dyDescent="0.25">
      <c r="A4123" t="s">
        <v>35</v>
      </c>
      <c r="B4123" t="s">
        <v>11871</v>
      </c>
      <c r="C4123" t="str">
        <f>"A0185390"</f>
        <v>A0185390</v>
      </c>
      <c r="D4123" t="s">
        <v>16988</v>
      </c>
      <c r="E4123" t="s">
        <v>16989</v>
      </c>
      <c r="F4123" t="s">
        <v>8622</v>
      </c>
      <c r="G4123" t="s">
        <v>381</v>
      </c>
      <c r="H4123" t="s">
        <v>16990</v>
      </c>
      <c r="I4123" t="s">
        <v>30</v>
      </c>
      <c r="J4123" t="s">
        <v>41</v>
      </c>
      <c r="K4123" t="s">
        <v>59</v>
      </c>
      <c r="Q4123">
        <v>0</v>
      </c>
      <c r="R4123">
        <v>0</v>
      </c>
      <c r="S4123">
        <v>0</v>
      </c>
      <c r="T4123" t="s">
        <v>16991</v>
      </c>
    </row>
    <row r="4124" spans="1:20" customFormat="1" ht="15" x14ac:dyDescent="0.25">
      <c r="A4124" t="s">
        <v>35</v>
      </c>
      <c r="B4124" t="s">
        <v>61</v>
      </c>
      <c r="C4124" t="str">
        <f>"A0185389"</f>
        <v>A0185389</v>
      </c>
      <c r="D4124" t="s">
        <v>16992</v>
      </c>
      <c r="E4124" t="s">
        <v>16993</v>
      </c>
      <c r="F4124" t="s">
        <v>10801</v>
      </c>
      <c r="G4124" t="s">
        <v>1508</v>
      </c>
      <c r="H4124">
        <v>828341609</v>
      </c>
      <c r="I4124" t="s">
        <v>30</v>
      </c>
      <c r="J4124" t="s">
        <v>41</v>
      </c>
      <c r="K4124" t="s">
        <v>59</v>
      </c>
      <c r="Q4124">
        <v>0</v>
      </c>
      <c r="R4124">
        <v>50</v>
      </c>
      <c r="S4124">
        <v>50</v>
      </c>
      <c r="T4124" t="s">
        <v>16994</v>
      </c>
    </row>
    <row r="4125" spans="1:20" customFormat="1" ht="15" x14ac:dyDescent="0.25">
      <c r="A4125" t="s">
        <v>35</v>
      </c>
      <c r="B4125" t="s">
        <v>61</v>
      </c>
      <c r="C4125" t="str">
        <f>"A0185388"</f>
        <v>A0185388</v>
      </c>
      <c r="D4125" t="s">
        <v>16995</v>
      </c>
      <c r="E4125" t="s">
        <v>16996</v>
      </c>
      <c r="F4125" t="s">
        <v>8703</v>
      </c>
      <c r="G4125" t="s">
        <v>137</v>
      </c>
      <c r="H4125" t="s">
        <v>16997</v>
      </c>
      <c r="I4125" t="s">
        <v>30</v>
      </c>
      <c r="J4125" t="s">
        <v>41</v>
      </c>
      <c r="K4125" t="s">
        <v>59</v>
      </c>
      <c r="Q4125">
        <v>0</v>
      </c>
      <c r="R4125">
        <v>0</v>
      </c>
      <c r="S4125">
        <v>0</v>
      </c>
    </row>
    <row r="4126" spans="1:20" customFormat="1" ht="15" x14ac:dyDescent="0.25">
      <c r="A4126" t="s">
        <v>35</v>
      </c>
      <c r="B4126" t="s">
        <v>61</v>
      </c>
      <c r="C4126" t="str">
        <f>"A0185387"</f>
        <v>A0185387</v>
      </c>
      <c r="D4126" t="s">
        <v>16998</v>
      </c>
      <c r="E4126" t="s">
        <v>16999</v>
      </c>
      <c r="F4126" t="s">
        <v>17000</v>
      </c>
      <c r="G4126" t="s">
        <v>137</v>
      </c>
      <c r="H4126">
        <v>63136</v>
      </c>
      <c r="I4126" t="s">
        <v>30</v>
      </c>
      <c r="J4126" t="s">
        <v>41</v>
      </c>
      <c r="K4126" t="s">
        <v>59</v>
      </c>
      <c r="Q4126">
        <v>0</v>
      </c>
      <c r="R4126">
        <v>60</v>
      </c>
      <c r="S4126">
        <v>60</v>
      </c>
      <c r="T4126" t="s">
        <v>17001</v>
      </c>
    </row>
    <row r="4127" spans="1:20" customFormat="1" ht="15" x14ac:dyDescent="0.25">
      <c r="A4127" t="s">
        <v>35</v>
      </c>
      <c r="B4127" t="s">
        <v>61</v>
      </c>
      <c r="C4127" t="str">
        <f>"A0185386"</f>
        <v>A0185386</v>
      </c>
      <c r="D4127" t="s">
        <v>17002</v>
      </c>
      <c r="E4127" t="s">
        <v>17003</v>
      </c>
      <c r="F4127" t="s">
        <v>17000</v>
      </c>
      <c r="G4127" t="s">
        <v>137</v>
      </c>
      <c r="H4127" t="s">
        <v>17004</v>
      </c>
      <c r="I4127" t="s">
        <v>30</v>
      </c>
      <c r="J4127" t="s">
        <v>41</v>
      </c>
      <c r="K4127" t="s">
        <v>59</v>
      </c>
      <c r="Q4127">
        <v>0</v>
      </c>
      <c r="R4127">
        <v>0</v>
      </c>
      <c r="S4127">
        <v>0</v>
      </c>
    </row>
    <row r="4128" spans="1:20" customFormat="1" ht="15" x14ac:dyDescent="0.25">
      <c r="A4128" t="s">
        <v>35</v>
      </c>
      <c r="B4128" t="s">
        <v>61</v>
      </c>
      <c r="C4128" t="str">
        <f>"A0185385"</f>
        <v>A0185385</v>
      </c>
      <c r="D4128" t="s">
        <v>17005</v>
      </c>
      <c r="E4128" t="s">
        <v>17006</v>
      </c>
      <c r="F4128" t="s">
        <v>17007</v>
      </c>
      <c r="G4128" t="s">
        <v>840</v>
      </c>
      <c r="H4128" t="s">
        <v>17008</v>
      </c>
      <c r="I4128" t="s">
        <v>30</v>
      </c>
      <c r="J4128" t="s">
        <v>41</v>
      </c>
      <c r="K4128" t="s">
        <v>59</v>
      </c>
      <c r="Q4128">
        <v>0</v>
      </c>
      <c r="R4128">
        <v>0</v>
      </c>
      <c r="S4128">
        <v>0</v>
      </c>
      <c r="T4128" t="s">
        <v>17009</v>
      </c>
    </row>
    <row r="4129" spans="1:20" customFormat="1" ht="15" x14ac:dyDescent="0.25">
      <c r="A4129" t="s">
        <v>35</v>
      </c>
      <c r="B4129" t="s">
        <v>61</v>
      </c>
      <c r="C4129" t="str">
        <f>"A0185384"</f>
        <v>A0185384</v>
      </c>
      <c r="D4129" t="s">
        <v>17010</v>
      </c>
      <c r="E4129" t="s">
        <v>17011</v>
      </c>
      <c r="F4129" t="s">
        <v>8622</v>
      </c>
      <c r="G4129" t="s">
        <v>381</v>
      </c>
      <c r="H4129" t="s">
        <v>17012</v>
      </c>
      <c r="I4129" t="s">
        <v>30</v>
      </c>
      <c r="J4129" t="s">
        <v>41</v>
      </c>
      <c r="K4129" t="s">
        <v>59</v>
      </c>
      <c r="Q4129">
        <v>0</v>
      </c>
      <c r="R4129">
        <v>90</v>
      </c>
      <c r="S4129">
        <v>90</v>
      </c>
      <c r="T4129" t="s">
        <v>17013</v>
      </c>
    </row>
    <row r="4130" spans="1:20" customFormat="1" ht="15" x14ac:dyDescent="0.25">
      <c r="A4130" t="s">
        <v>35</v>
      </c>
      <c r="B4130" t="s">
        <v>11871</v>
      </c>
      <c r="C4130" t="str">
        <f>"A0185383"</f>
        <v>A0185383</v>
      </c>
      <c r="D4130" t="s">
        <v>17014</v>
      </c>
      <c r="E4130" t="s">
        <v>17015</v>
      </c>
      <c r="F4130" t="s">
        <v>8622</v>
      </c>
      <c r="G4130" t="s">
        <v>381</v>
      </c>
      <c r="H4130">
        <v>46226</v>
      </c>
      <c r="I4130" t="s">
        <v>30</v>
      </c>
      <c r="J4130" t="s">
        <v>41</v>
      </c>
      <c r="K4130" t="s">
        <v>59</v>
      </c>
      <c r="Q4130">
        <v>0</v>
      </c>
      <c r="R4130">
        <v>0</v>
      </c>
      <c r="S4130">
        <v>0</v>
      </c>
      <c r="T4130" t="s">
        <v>17016</v>
      </c>
    </row>
    <row r="4131" spans="1:20" customFormat="1" ht="15" x14ac:dyDescent="0.25">
      <c r="A4131" t="s">
        <v>35</v>
      </c>
      <c r="B4131" t="s">
        <v>11871</v>
      </c>
      <c r="C4131" t="str">
        <f>"A0185382"</f>
        <v>A0185382</v>
      </c>
      <c r="D4131" t="s">
        <v>17017</v>
      </c>
      <c r="E4131" t="s">
        <v>17018</v>
      </c>
      <c r="F4131" t="s">
        <v>8622</v>
      </c>
      <c r="G4131" t="s">
        <v>381</v>
      </c>
      <c r="H4131" t="s">
        <v>17019</v>
      </c>
      <c r="I4131" t="s">
        <v>30</v>
      </c>
      <c r="J4131" t="s">
        <v>41</v>
      </c>
      <c r="K4131" t="s">
        <v>59</v>
      </c>
      <c r="Q4131">
        <v>0</v>
      </c>
      <c r="R4131">
        <v>0</v>
      </c>
      <c r="S4131">
        <v>0</v>
      </c>
      <c r="T4131" t="s">
        <v>17020</v>
      </c>
    </row>
    <row r="4132" spans="1:20" customFormat="1" ht="15" x14ac:dyDescent="0.25">
      <c r="A4132" t="s">
        <v>35</v>
      </c>
      <c r="B4132" t="s">
        <v>11871</v>
      </c>
      <c r="C4132" t="str">
        <f>"A0185381"</f>
        <v>A0185381</v>
      </c>
      <c r="D4132" t="s">
        <v>17021</v>
      </c>
      <c r="E4132" t="s">
        <v>17022</v>
      </c>
      <c r="F4132" t="s">
        <v>8622</v>
      </c>
      <c r="G4132" t="s">
        <v>381</v>
      </c>
      <c r="H4132" t="s">
        <v>17023</v>
      </c>
      <c r="I4132" t="s">
        <v>30</v>
      </c>
      <c r="J4132" t="s">
        <v>41</v>
      </c>
      <c r="K4132" t="s">
        <v>59</v>
      </c>
      <c r="Q4132">
        <v>0</v>
      </c>
      <c r="R4132">
        <v>0</v>
      </c>
      <c r="S4132">
        <v>0</v>
      </c>
      <c r="T4132" t="s">
        <v>17024</v>
      </c>
    </row>
    <row r="4133" spans="1:20" customFormat="1" ht="15" x14ac:dyDescent="0.25">
      <c r="A4133" t="s">
        <v>35</v>
      </c>
      <c r="B4133" t="s">
        <v>61</v>
      </c>
      <c r="C4133" t="str">
        <f>"A0185380"</f>
        <v>A0185380</v>
      </c>
      <c r="D4133" t="s">
        <v>17025</v>
      </c>
      <c r="E4133" t="s">
        <v>17026</v>
      </c>
      <c r="F4133" t="s">
        <v>7534</v>
      </c>
      <c r="G4133" t="s">
        <v>1587</v>
      </c>
      <c r="H4133">
        <v>882203510</v>
      </c>
      <c r="I4133" t="s">
        <v>30</v>
      </c>
      <c r="J4133" t="s">
        <v>41</v>
      </c>
      <c r="K4133" t="s">
        <v>59</v>
      </c>
      <c r="Q4133">
        <v>0</v>
      </c>
      <c r="R4133">
        <v>127</v>
      </c>
      <c r="S4133">
        <v>127</v>
      </c>
      <c r="T4133" t="s">
        <v>17027</v>
      </c>
    </row>
    <row r="4134" spans="1:20" customFormat="1" ht="15" x14ac:dyDescent="0.25">
      <c r="A4134" t="s">
        <v>35</v>
      </c>
      <c r="B4134" t="s">
        <v>61</v>
      </c>
      <c r="C4134" t="str">
        <f>"A0185379"</f>
        <v>A0185379</v>
      </c>
      <c r="D4134" t="s">
        <v>17028</v>
      </c>
      <c r="E4134" t="s">
        <v>17029</v>
      </c>
      <c r="F4134" t="s">
        <v>11967</v>
      </c>
      <c r="G4134" t="s">
        <v>137</v>
      </c>
      <c r="H4134" t="s">
        <v>17030</v>
      </c>
      <c r="I4134" t="s">
        <v>30</v>
      </c>
      <c r="J4134" t="s">
        <v>41</v>
      </c>
      <c r="K4134" t="s">
        <v>59</v>
      </c>
      <c r="Q4134">
        <v>0</v>
      </c>
      <c r="R4134">
        <v>0</v>
      </c>
      <c r="S4134">
        <v>0</v>
      </c>
    </row>
    <row r="4135" spans="1:20" customFormat="1" ht="15" x14ac:dyDescent="0.25">
      <c r="A4135" t="s">
        <v>35</v>
      </c>
      <c r="B4135" t="s">
        <v>61</v>
      </c>
      <c r="C4135" t="str">
        <f>"A0185378"</f>
        <v>A0185378</v>
      </c>
      <c r="D4135" t="s">
        <v>17031</v>
      </c>
      <c r="E4135" t="s">
        <v>17032</v>
      </c>
      <c r="F4135" t="s">
        <v>10807</v>
      </c>
      <c r="G4135" t="s">
        <v>137</v>
      </c>
      <c r="H4135">
        <v>63044</v>
      </c>
      <c r="I4135" t="s">
        <v>30</v>
      </c>
      <c r="J4135" t="s">
        <v>41</v>
      </c>
      <c r="K4135" t="s">
        <v>59</v>
      </c>
      <c r="Q4135">
        <v>0</v>
      </c>
      <c r="R4135">
        <v>0</v>
      </c>
      <c r="S4135">
        <v>0</v>
      </c>
    </row>
    <row r="4136" spans="1:20" customFormat="1" ht="15" x14ac:dyDescent="0.25">
      <c r="A4136" t="s">
        <v>35</v>
      </c>
      <c r="B4136" t="s">
        <v>61</v>
      </c>
      <c r="C4136" t="str">
        <f>"A0185377"</f>
        <v>A0185377</v>
      </c>
      <c r="D4136" t="s">
        <v>17033</v>
      </c>
      <c r="E4136" t="s">
        <v>17034</v>
      </c>
      <c r="F4136" t="s">
        <v>17035</v>
      </c>
      <c r="G4136" t="s">
        <v>137</v>
      </c>
      <c r="H4136" t="s">
        <v>17036</v>
      </c>
      <c r="I4136" t="s">
        <v>30</v>
      </c>
      <c r="J4136" t="s">
        <v>41</v>
      </c>
      <c r="K4136" t="s">
        <v>59</v>
      </c>
      <c r="Q4136">
        <v>0</v>
      </c>
      <c r="R4136">
        <v>49</v>
      </c>
      <c r="S4136">
        <v>49</v>
      </c>
      <c r="T4136" t="s">
        <v>17037</v>
      </c>
    </row>
    <row r="4137" spans="1:20" customFormat="1" ht="15" x14ac:dyDescent="0.25">
      <c r="A4137" t="s">
        <v>35</v>
      </c>
      <c r="B4137" t="s">
        <v>11871</v>
      </c>
      <c r="C4137" t="str">
        <f>"A0185376"</f>
        <v>A0185376</v>
      </c>
      <c r="D4137" t="s">
        <v>17038</v>
      </c>
      <c r="E4137" t="s">
        <v>17039</v>
      </c>
      <c r="F4137" t="s">
        <v>17040</v>
      </c>
      <c r="G4137" t="s">
        <v>137</v>
      </c>
      <c r="H4137" t="s">
        <v>17041</v>
      </c>
      <c r="I4137" t="s">
        <v>30</v>
      </c>
      <c r="J4137" t="s">
        <v>41</v>
      </c>
      <c r="K4137" t="s">
        <v>59</v>
      </c>
      <c r="Q4137">
        <v>0</v>
      </c>
      <c r="R4137">
        <v>0</v>
      </c>
      <c r="S4137">
        <v>0</v>
      </c>
      <c r="T4137" t="s">
        <v>17042</v>
      </c>
    </row>
    <row r="4138" spans="1:20" customFormat="1" ht="15" x14ac:dyDescent="0.25">
      <c r="A4138" t="s">
        <v>35</v>
      </c>
      <c r="B4138" t="s">
        <v>11871</v>
      </c>
      <c r="C4138" t="str">
        <f>"A0185375"</f>
        <v>A0185375</v>
      </c>
      <c r="D4138" t="s">
        <v>17043</v>
      </c>
      <c r="E4138" t="s">
        <v>17044</v>
      </c>
      <c r="F4138" t="s">
        <v>17000</v>
      </c>
      <c r="G4138" t="s">
        <v>137</v>
      </c>
      <c r="H4138" t="s">
        <v>17045</v>
      </c>
      <c r="I4138" t="s">
        <v>30</v>
      </c>
      <c r="J4138" t="s">
        <v>41</v>
      </c>
      <c r="K4138" t="s">
        <v>59</v>
      </c>
      <c r="Q4138">
        <v>0</v>
      </c>
      <c r="R4138">
        <v>109</v>
      </c>
      <c r="S4138">
        <v>109</v>
      </c>
      <c r="T4138" t="s">
        <v>17046</v>
      </c>
    </row>
    <row r="4139" spans="1:20" customFormat="1" ht="15" x14ac:dyDescent="0.25">
      <c r="A4139" t="s">
        <v>35</v>
      </c>
      <c r="B4139" t="s">
        <v>61</v>
      </c>
      <c r="C4139" t="str">
        <f>"A0185374"</f>
        <v>A0185374</v>
      </c>
      <c r="D4139" t="s">
        <v>17047</v>
      </c>
      <c r="E4139" t="s">
        <v>17048</v>
      </c>
      <c r="F4139" t="s">
        <v>1999</v>
      </c>
      <c r="G4139" t="s">
        <v>137</v>
      </c>
      <c r="H4139" t="s">
        <v>17049</v>
      </c>
      <c r="I4139" t="s">
        <v>30</v>
      </c>
      <c r="J4139" t="s">
        <v>41</v>
      </c>
      <c r="K4139" t="s">
        <v>59</v>
      </c>
      <c r="Q4139">
        <v>0</v>
      </c>
      <c r="R4139">
        <v>98</v>
      </c>
      <c r="S4139">
        <v>98</v>
      </c>
      <c r="T4139" t="s">
        <v>17050</v>
      </c>
    </row>
    <row r="4140" spans="1:20" customFormat="1" ht="15" x14ac:dyDescent="0.25">
      <c r="A4140" t="s">
        <v>35</v>
      </c>
      <c r="B4140" t="s">
        <v>61</v>
      </c>
      <c r="C4140" t="str">
        <f>"A0185373"</f>
        <v>A0185373</v>
      </c>
      <c r="D4140" t="s">
        <v>17051</v>
      </c>
      <c r="E4140" t="s">
        <v>17052</v>
      </c>
      <c r="F4140" t="s">
        <v>17000</v>
      </c>
      <c r="G4140" t="s">
        <v>137</v>
      </c>
      <c r="H4140" t="s">
        <v>17053</v>
      </c>
      <c r="I4140" t="s">
        <v>30</v>
      </c>
      <c r="J4140" t="s">
        <v>41</v>
      </c>
      <c r="K4140" t="s">
        <v>59</v>
      </c>
      <c r="Q4140">
        <v>0</v>
      </c>
      <c r="R4140">
        <v>0</v>
      </c>
      <c r="S4140">
        <v>0</v>
      </c>
      <c r="T4140" t="s">
        <v>17054</v>
      </c>
    </row>
    <row r="4141" spans="1:20" customFormat="1" ht="15" x14ac:dyDescent="0.25">
      <c r="A4141" t="s">
        <v>35</v>
      </c>
      <c r="B4141" t="s">
        <v>61</v>
      </c>
      <c r="C4141" t="str">
        <f>"A0185372"</f>
        <v>A0185372</v>
      </c>
      <c r="D4141" t="s">
        <v>17055</v>
      </c>
      <c r="E4141" t="s">
        <v>17056</v>
      </c>
      <c r="F4141" t="s">
        <v>17000</v>
      </c>
      <c r="G4141" t="s">
        <v>137</v>
      </c>
      <c r="H4141" t="s">
        <v>17057</v>
      </c>
      <c r="I4141" t="s">
        <v>30</v>
      </c>
      <c r="J4141" t="s">
        <v>41</v>
      </c>
      <c r="K4141" t="s">
        <v>59</v>
      </c>
      <c r="Q4141">
        <v>0</v>
      </c>
      <c r="R4141">
        <v>154</v>
      </c>
      <c r="S4141">
        <v>154</v>
      </c>
      <c r="T4141" t="s">
        <v>17058</v>
      </c>
    </row>
    <row r="4142" spans="1:20" customFormat="1" ht="15" x14ac:dyDescent="0.25">
      <c r="A4142" t="s">
        <v>35</v>
      </c>
      <c r="B4142" t="s">
        <v>61</v>
      </c>
      <c r="C4142" t="str">
        <f>"A0185371"</f>
        <v>A0185371</v>
      </c>
      <c r="D4142" t="s">
        <v>17059</v>
      </c>
      <c r="E4142" t="s">
        <v>17060</v>
      </c>
      <c r="F4142" t="s">
        <v>17061</v>
      </c>
      <c r="G4142" t="s">
        <v>40</v>
      </c>
      <c r="H4142" t="s">
        <v>17062</v>
      </c>
      <c r="I4142" t="s">
        <v>30</v>
      </c>
      <c r="J4142" t="s">
        <v>41</v>
      </c>
      <c r="K4142" t="s">
        <v>59</v>
      </c>
      <c r="Q4142">
        <v>0</v>
      </c>
      <c r="R4142">
        <v>127</v>
      </c>
      <c r="S4142">
        <v>127</v>
      </c>
      <c r="T4142" t="s">
        <v>17063</v>
      </c>
    </row>
    <row r="4143" spans="1:20" customFormat="1" ht="15" x14ac:dyDescent="0.25">
      <c r="A4143" t="s">
        <v>35</v>
      </c>
      <c r="B4143" t="s">
        <v>61</v>
      </c>
      <c r="C4143" t="str">
        <f>"A0185370"</f>
        <v>A0185370</v>
      </c>
      <c r="D4143" t="s">
        <v>17064</v>
      </c>
      <c r="E4143" t="s">
        <v>17065</v>
      </c>
      <c r="F4143" t="s">
        <v>4037</v>
      </c>
      <c r="G4143" t="s">
        <v>40</v>
      </c>
      <c r="H4143" t="s">
        <v>17066</v>
      </c>
      <c r="I4143" t="s">
        <v>30</v>
      </c>
      <c r="J4143" t="s">
        <v>41</v>
      </c>
      <c r="K4143" t="s">
        <v>59</v>
      </c>
      <c r="Q4143">
        <v>0</v>
      </c>
      <c r="R4143">
        <v>0</v>
      </c>
      <c r="S4143">
        <v>0</v>
      </c>
    </row>
    <row r="4144" spans="1:20" customFormat="1" ht="15" x14ac:dyDescent="0.25">
      <c r="A4144" t="s">
        <v>35</v>
      </c>
      <c r="B4144" t="s">
        <v>61</v>
      </c>
      <c r="C4144" t="str">
        <f>"A0185369"</f>
        <v>A0185369</v>
      </c>
      <c r="D4144" t="s">
        <v>17067</v>
      </c>
      <c r="E4144" t="s">
        <v>17068</v>
      </c>
      <c r="F4144" t="s">
        <v>17069</v>
      </c>
      <c r="G4144" t="s">
        <v>137</v>
      </c>
      <c r="H4144" t="s">
        <v>17070</v>
      </c>
      <c r="I4144" t="s">
        <v>30</v>
      </c>
      <c r="J4144" t="s">
        <v>41</v>
      </c>
      <c r="K4144" t="s">
        <v>59</v>
      </c>
      <c r="Q4144">
        <v>0</v>
      </c>
      <c r="R4144">
        <v>0</v>
      </c>
      <c r="S4144">
        <v>0</v>
      </c>
      <c r="T4144" t="s">
        <v>17071</v>
      </c>
    </row>
    <row r="4145" spans="1:20" customFormat="1" ht="15" x14ac:dyDescent="0.25">
      <c r="A4145" t="s">
        <v>35</v>
      </c>
      <c r="B4145" t="s">
        <v>61</v>
      </c>
      <c r="C4145" t="str">
        <f>"A0185368"</f>
        <v>A0185368</v>
      </c>
      <c r="D4145" t="s">
        <v>17072</v>
      </c>
      <c r="E4145" t="s">
        <v>17073</v>
      </c>
      <c r="F4145" t="s">
        <v>17074</v>
      </c>
      <c r="G4145" t="s">
        <v>137</v>
      </c>
      <c r="H4145" t="s">
        <v>17075</v>
      </c>
      <c r="I4145" t="s">
        <v>30</v>
      </c>
      <c r="J4145" t="s">
        <v>41</v>
      </c>
      <c r="K4145" t="s">
        <v>59</v>
      </c>
      <c r="Q4145">
        <v>0</v>
      </c>
      <c r="R4145">
        <v>0</v>
      </c>
      <c r="S4145">
        <v>0</v>
      </c>
      <c r="T4145" t="s">
        <v>17076</v>
      </c>
    </row>
    <row r="4146" spans="1:20" customFormat="1" ht="15" x14ac:dyDescent="0.25">
      <c r="A4146" t="s">
        <v>35</v>
      </c>
      <c r="B4146" t="s">
        <v>61</v>
      </c>
      <c r="C4146" t="str">
        <f>"A0185367"</f>
        <v>A0185367</v>
      </c>
      <c r="D4146" t="s">
        <v>17077</v>
      </c>
      <c r="E4146" t="s">
        <v>17078</v>
      </c>
      <c r="F4146" t="s">
        <v>8703</v>
      </c>
      <c r="G4146" t="s">
        <v>137</v>
      </c>
      <c r="H4146">
        <v>641145806</v>
      </c>
      <c r="I4146" t="s">
        <v>30</v>
      </c>
      <c r="J4146" t="s">
        <v>41</v>
      </c>
      <c r="K4146" t="s">
        <v>59</v>
      </c>
      <c r="Q4146">
        <v>0</v>
      </c>
      <c r="R4146">
        <v>166</v>
      </c>
      <c r="S4146">
        <v>166</v>
      </c>
      <c r="T4146" t="s">
        <v>17079</v>
      </c>
    </row>
    <row r="4147" spans="1:20" customFormat="1" ht="15" x14ac:dyDescent="0.25">
      <c r="A4147" t="s">
        <v>35</v>
      </c>
      <c r="B4147" t="s">
        <v>61</v>
      </c>
      <c r="C4147" t="str">
        <f>"A0185366"</f>
        <v>A0185366</v>
      </c>
      <c r="D4147" t="s">
        <v>17080</v>
      </c>
      <c r="E4147" t="s">
        <v>17081</v>
      </c>
      <c r="F4147" t="s">
        <v>17000</v>
      </c>
      <c r="G4147" t="s">
        <v>137</v>
      </c>
      <c r="H4147">
        <v>63146</v>
      </c>
      <c r="I4147" t="s">
        <v>30</v>
      </c>
      <c r="J4147" t="s">
        <v>41</v>
      </c>
      <c r="K4147" t="s">
        <v>59</v>
      </c>
      <c r="Q4147">
        <v>0</v>
      </c>
      <c r="R4147">
        <v>0</v>
      </c>
      <c r="S4147">
        <v>0</v>
      </c>
      <c r="T4147" t="s">
        <v>17082</v>
      </c>
    </row>
    <row r="4148" spans="1:20" customFormat="1" ht="15" x14ac:dyDescent="0.25">
      <c r="A4148" t="s">
        <v>35</v>
      </c>
      <c r="B4148" t="s">
        <v>61</v>
      </c>
      <c r="C4148" t="str">
        <f>"A0185365"</f>
        <v>A0185365</v>
      </c>
      <c r="D4148" t="s">
        <v>17083</v>
      </c>
      <c r="E4148" t="s">
        <v>17084</v>
      </c>
      <c r="F4148" t="s">
        <v>17085</v>
      </c>
      <c r="G4148" t="s">
        <v>381</v>
      </c>
      <c r="H4148" t="s">
        <v>17086</v>
      </c>
      <c r="I4148" t="s">
        <v>30</v>
      </c>
      <c r="J4148" t="s">
        <v>41</v>
      </c>
      <c r="K4148" t="s">
        <v>59</v>
      </c>
      <c r="Q4148">
        <v>0</v>
      </c>
      <c r="R4148">
        <v>66</v>
      </c>
      <c r="S4148">
        <v>66</v>
      </c>
      <c r="T4148" t="s">
        <v>17087</v>
      </c>
    </row>
    <row r="4149" spans="1:20" customFormat="1" ht="15" x14ac:dyDescent="0.25">
      <c r="A4149" t="s">
        <v>35</v>
      </c>
      <c r="B4149" t="s">
        <v>11386</v>
      </c>
      <c r="C4149" t="str">
        <f>"A0185364"</f>
        <v>A0185364</v>
      </c>
      <c r="D4149" t="s">
        <v>17088</v>
      </c>
      <c r="E4149" t="s">
        <v>17089</v>
      </c>
      <c r="F4149" t="s">
        <v>7104</v>
      </c>
      <c r="G4149" t="s">
        <v>381</v>
      </c>
      <c r="H4149">
        <v>466351545</v>
      </c>
      <c r="I4149" t="s">
        <v>30</v>
      </c>
      <c r="J4149" t="s">
        <v>41</v>
      </c>
      <c r="K4149" t="s">
        <v>59</v>
      </c>
      <c r="Q4149">
        <v>0</v>
      </c>
      <c r="R4149">
        <v>120</v>
      </c>
      <c r="S4149">
        <v>120</v>
      </c>
      <c r="T4149" t="s">
        <v>17090</v>
      </c>
    </row>
    <row r="4150" spans="1:20" customFormat="1" ht="15" x14ac:dyDescent="0.25">
      <c r="A4150" t="s">
        <v>35</v>
      </c>
      <c r="B4150" t="s">
        <v>11871</v>
      </c>
      <c r="C4150" t="str">
        <f>"A0185363"</f>
        <v>A0185363</v>
      </c>
      <c r="D4150" t="s">
        <v>17091</v>
      </c>
      <c r="E4150" t="s">
        <v>17092</v>
      </c>
      <c r="F4150" t="s">
        <v>17093</v>
      </c>
      <c r="G4150" t="s">
        <v>381</v>
      </c>
      <c r="H4150">
        <v>47303</v>
      </c>
      <c r="I4150" t="s">
        <v>30</v>
      </c>
      <c r="J4150" t="s">
        <v>41</v>
      </c>
      <c r="K4150" t="s">
        <v>59</v>
      </c>
      <c r="Q4150">
        <v>0</v>
      </c>
      <c r="R4150">
        <v>0</v>
      </c>
      <c r="S4150">
        <v>0</v>
      </c>
      <c r="T4150" t="s">
        <v>17094</v>
      </c>
    </row>
    <row r="4151" spans="1:20" customFormat="1" ht="15" x14ac:dyDescent="0.25">
      <c r="A4151" t="s">
        <v>35</v>
      </c>
      <c r="B4151" t="s">
        <v>61</v>
      </c>
      <c r="C4151" t="str">
        <f>"A0185361"</f>
        <v>A0185361</v>
      </c>
      <c r="D4151" t="s">
        <v>17095</v>
      </c>
      <c r="E4151" t="s">
        <v>17096</v>
      </c>
      <c r="F4151" t="s">
        <v>16944</v>
      </c>
      <c r="G4151" t="s">
        <v>381</v>
      </c>
      <c r="H4151" t="s">
        <v>17097</v>
      </c>
      <c r="I4151" t="s">
        <v>30</v>
      </c>
      <c r="J4151" t="s">
        <v>41</v>
      </c>
      <c r="K4151" t="s">
        <v>59</v>
      </c>
      <c r="Q4151">
        <v>0</v>
      </c>
      <c r="R4151">
        <v>152</v>
      </c>
      <c r="S4151">
        <v>152</v>
      </c>
      <c r="T4151" t="s">
        <v>17098</v>
      </c>
    </row>
    <row r="4152" spans="1:20" customFormat="1" ht="15" x14ac:dyDescent="0.25">
      <c r="A4152" t="s">
        <v>35</v>
      </c>
      <c r="B4152" t="s">
        <v>61</v>
      </c>
      <c r="C4152" t="str">
        <f>"A0185360"</f>
        <v>A0185360</v>
      </c>
      <c r="D4152" t="s">
        <v>17099</v>
      </c>
      <c r="E4152" t="s">
        <v>17100</v>
      </c>
      <c r="F4152" t="s">
        <v>5292</v>
      </c>
      <c r="G4152" t="s">
        <v>137</v>
      </c>
      <c r="H4152" t="s">
        <v>17101</v>
      </c>
      <c r="I4152" t="s">
        <v>30</v>
      </c>
      <c r="J4152" t="s">
        <v>41</v>
      </c>
      <c r="K4152" t="s">
        <v>59</v>
      </c>
      <c r="Q4152">
        <v>0</v>
      </c>
      <c r="R4152">
        <v>0</v>
      </c>
      <c r="S4152">
        <v>0</v>
      </c>
    </row>
    <row r="4153" spans="1:20" customFormat="1" ht="15" x14ac:dyDescent="0.25">
      <c r="A4153" t="s">
        <v>35</v>
      </c>
      <c r="B4153" t="s">
        <v>61</v>
      </c>
      <c r="C4153" t="str">
        <f>"A0185359"</f>
        <v>A0185359</v>
      </c>
      <c r="D4153" t="s">
        <v>17102</v>
      </c>
      <c r="E4153" t="s">
        <v>17103</v>
      </c>
      <c r="F4153" t="s">
        <v>11967</v>
      </c>
      <c r="G4153" t="s">
        <v>137</v>
      </c>
      <c r="H4153" t="s">
        <v>17104</v>
      </c>
      <c r="I4153" t="s">
        <v>30</v>
      </c>
      <c r="J4153" t="s">
        <v>41</v>
      </c>
      <c r="K4153" t="s">
        <v>59</v>
      </c>
      <c r="Q4153">
        <v>0</v>
      </c>
      <c r="R4153">
        <v>0</v>
      </c>
      <c r="S4153">
        <v>0</v>
      </c>
    </row>
    <row r="4154" spans="1:20" customFormat="1" ht="15" x14ac:dyDescent="0.25">
      <c r="A4154" t="s">
        <v>35</v>
      </c>
      <c r="B4154" t="s">
        <v>11871</v>
      </c>
      <c r="C4154" t="str">
        <f>"A0185358"</f>
        <v>A0185358</v>
      </c>
      <c r="D4154" t="s">
        <v>17105</v>
      </c>
      <c r="E4154" t="s">
        <v>17106</v>
      </c>
      <c r="F4154" t="s">
        <v>11967</v>
      </c>
      <c r="G4154" t="s">
        <v>137</v>
      </c>
      <c r="H4154">
        <v>63301</v>
      </c>
      <c r="I4154" t="s">
        <v>30</v>
      </c>
      <c r="J4154" t="s">
        <v>41</v>
      </c>
      <c r="K4154" t="s">
        <v>59</v>
      </c>
      <c r="Q4154">
        <v>0</v>
      </c>
      <c r="R4154">
        <v>0</v>
      </c>
      <c r="S4154">
        <v>0</v>
      </c>
      <c r="T4154" t="s">
        <v>17107</v>
      </c>
    </row>
    <row r="4155" spans="1:20" customFormat="1" ht="15" x14ac:dyDescent="0.25">
      <c r="A4155" t="s">
        <v>35</v>
      </c>
      <c r="B4155" t="s">
        <v>11871</v>
      </c>
      <c r="C4155" t="str">
        <f>"A0185357"</f>
        <v>A0185357</v>
      </c>
      <c r="D4155" t="s">
        <v>17108</v>
      </c>
      <c r="E4155" t="s">
        <v>17109</v>
      </c>
      <c r="F4155" t="s">
        <v>17110</v>
      </c>
      <c r="G4155" t="s">
        <v>137</v>
      </c>
      <c r="H4155" t="s">
        <v>17111</v>
      </c>
      <c r="I4155" t="s">
        <v>30</v>
      </c>
      <c r="J4155" t="s">
        <v>41</v>
      </c>
      <c r="K4155" t="s">
        <v>59</v>
      </c>
      <c r="Q4155">
        <v>0</v>
      </c>
      <c r="R4155">
        <v>0</v>
      </c>
      <c r="S4155">
        <v>0</v>
      </c>
      <c r="T4155" t="s">
        <v>17112</v>
      </c>
    </row>
    <row r="4156" spans="1:20" customFormat="1" ht="15" x14ac:dyDescent="0.25">
      <c r="A4156" t="s">
        <v>35</v>
      </c>
      <c r="B4156" t="s">
        <v>61</v>
      </c>
      <c r="C4156" t="str">
        <f>"A0185356"</f>
        <v>A0185356</v>
      </c>
      <c r="D4156" t="s">
        <v>17113</v>
      </c>
      <c r="E4156" t="s">
        <v>17114</v>
      </c>
      <c r="F4156" t="s">
        <v>5050</v>
      </c>
      <c r="G4156" t="s">
        <v>381</v>
      </c>
      <c r="H4156" t="s">
        <v>17115</v>
      </c>
      <c r="I4156" t="s">
        <v>30</v>
      </c>
      <c r="J4156" t="s">
        <v>41</v>
      </c>
      <c r="K4156" t="s">
        <v>59</v>
      </c>
      <c r="Q4156">
        <v>0</v>
      </c>
      <c r="R4156">
        <v>58</v>
      </c>
      <c r="S4156">
        <v>58</v>
      </c>
      <c r="T4156" t="s">
        <v>17116</v>
      </c>
    </row>
    <row r="4157" spans="1:20" customFormat="1" ht="15" x14ac:dyDescent="0.25">
      <c r="A4157" t="s">
        <v>35</v>
      </c>
      <c r="B4157" t="s">
        <v>225</v>
      </c>
      <c r="C4157" t="str">
        <f>"A0185353"</f>
        <v>A0185353</v>
      </c>
      <c r="D4157" t="s">
        <v>17117</v>
      </c>
      <c r="E4157" t="s">
        <v>17118</v>
      </c>
      <c r="F4157" t="s">
        <v>1423</v>
      </c>
      <c r="G4157" t="s">
        <v>381</v>
      </c>
      <c r="H4157">
        <v>471228759</v>
      </c>
      <c r="I4157" t="s">
        <v>30</v>
      </c>
      <c r="J4157" t="s">
        <v>41</v>
      </c>
      <c r="K4157" t="s">
        <v>59</v>
      </c>
      <c r="Q4157">
        <v>0</v>
      </c>
      <c r="R4157">
        <v>10</v>
      </c>
      <c r="S4157">
        <v>68</v>
      </c>
      <c r="T4157" t="s">
        <v>17119</v>
      </c>
    </row>
    <row r="4158" spans="1:20" customFormat="1" ht="15" x14ac:dyDescent="0.25">
      <c r="A4158" t="s">
        <v>35</v>
      </c>
      <c r="B4158" t="s">
        <v>11871</v>
      </c>
      <c r="C4158" t="str">
        <f>"A0185352"</f>
        <v>A0185352</v>
      </c>
      <c r="D4158" t="s">
        <v>17120</v>
      </c>
      <c r="E4158" t="s">
        <v>17121</v>
      </c>
      <c r="F4158" t="s">
        <v>8622</v>
      </c>
      <c r="G4158" t="s">
        <v>381</v>
      </c>
      <c r="H4158" t="s">
        <v>17122</v>
      </c>
      <c r="I4158" t="s">
        <v>30</v>
      </c>
      <c r="J4158" t="s">
        <v>41</v>
      </c>
      <c r="K4158" t="s">
        <v>59</v>
      </c>
      <c r="Q4158">
        <v>0</v>
      </c>
      <c r="R4158">
        <v>53</v>
      </c>
      <c r="S4158">
        <v>53</v>
      </c>
      <c r="T4158" t="s">
        <v>17123</v>
      </c>
    </row>
    <row r="4159" spans="1:20" customFormat="1" ht="15" x14ac:dyDescent="0.25">
      <c r="A4159" t="s">
        <v>35</v>
      </c>
      <c r="B4159" t="s">
        <v>11871</v>
      </c>
      <c r="C4159" t="str">
        <f>"A0185351"</f>
        <v>A0185351</v>
      </c>
      <c r="D4159" t="s">
        <v>17124</v>
      </c>
      <c r="E4159" t="s">
        <v>17125</v>
      </c>
      <c r="F4159" t="s">
        <v>1795</v>
      </c>
      <c r="G4159" t="s">
        <v>381</v>
      </c>
      <c r="H4159" t="s">
        <v>17126</v>
      </c>
      <c r="I4159" t="s">
        <v>30</v>
      </c>
      <c r="J4159" t="s">
        <v>41</v>
      </c>
      <c r="K4159" t="s">
        <v>59</v>
      </c>
      <c r="Q4159">
        <v>0</v>
      </c>
      <c r="R4159">
        <v>0</v>
      </c>
      <c r="S4159">
        <v>0</v>
      </c>
      <c r="T4159" t="s">
        <v>16861</v>
      </c>
    </row>
    <row r="4160" spans="1:20" customFormat="1" ht="15" x14ac:dyDescent="0.25">
      <c r="A4160" t="s">
        <v>35</v>
      </c>
      <c r="B4160" t="s">
        <v>61</v>
      </c>
      <c r="C4160" t="str">
        <f>"A0185350"</f>
        <v>A0185350</v>
      </c>
      <c r="D4160" t="s">
        <v>17127</v>
      </c>
      <c r="E4160" t="s">
        <v>17128</v>
      </c>
      <c r="F4160" t="s">
        <v>17000</v>
      </c>
      <c r="G4160" t="s">
        <v>137</v>
      </c>
      <c r="H4160">
        <v>631041327</v>
      </c>
      <c r="I4160" t="s">
        <v>30</v>
      </c>
      <c r="J4160" t="s">
        <v>41</v>
      </c>
      <c r="K4160" t="s">
        <v>59</v>
      </c>
      <c r="Q4160">
        <v>0</v>
      </c>
      <c r="R4160">
        <v>71</v>
      </c>
      <c r="S4160">
        <v>71</v>
      </c>
      <c r="T4160" t="s">
        <v>17129</v>
      </c>
    </row>
    <row r="4161" spans="1:20" customFormat="1" ht="15" x14ac:dyDescent="0.25">
      <c r="A4161" t="s">
        <v>35</v>
      </c>
      <c r="B4161" t="s">
        <v>61</v>
      </c>
      <c r="C4161" t="str">
        <f>"A0185349"</f>
        <v>A0185349</v>
      </c>
      <c r="D4161" t="s">
        <v>17130</v>
      </c>
      <c r="E4161" t="s">
        <v>17131</v>
      </c>
      <c r="F4161" t="s">
        <v>17132</v>
      </c>
      <c r="G4161" t="s">
        <v>137</v>
      </c>
      <c r="H4161">
        <v>633632223</v>
      </c>
      <c r="I4161" t="s">
        <v>30</v>
      </c>
      <c r="J4161" t="s">
        <v>41</v>
      </c>
      <c r="K4161" t="s">
        <v>59</v>
      </c>
      <c r="Q4161">
        <v>0</v>
      </c>
      <c r="R4161">
        <v>120</v>
      </c>
      <c r="S4161">
        <v>120</v>
      </c>
      <c r="T4161" t="s">
        <v>17133</v>
      </c>
    </row>
    <row r="4162" spans="1:20" customFormat="1" ht="15" x14ac:dyDescent="0.25">
      <c r="A4162" t="s">
        <v>35</v>
      </c>
      <c r="B4162" t="s">
        <v>61</v>
      </c>
      <c r="C4162" t="str">
        <f>"A0185348"</f>
        <v>A0185348</v>
      </c>
      <c r="D4162" t="s">
        <v>17134</v>
      </c>
      <c r="E4162" t="s">
        <v>17135</v>
      </c>
      <c r="F4162" t="s">
        <v>17000</v>
      </c>
      <c r="G4162" t="s">
        <v>137</v>
      </c>
      <c r="H4162">
        <v>63119</v>
      </c>
      <c r="I4162" t="s">
        <v>30</v>
      </c>
      <c r="J4162" t="s">
        <v>41</v>
      </c>
      <c r="K4162" t="s">
        <v>59</v>
      </c>
      <c r="Q4162">
        <v>0</v>
      </c>
      <c r="R4162">
        <v>0</v>
      </c>
      <c r="S4162">
        <v>0</v>
      </c>
      <c r="T4162" t="s">
        <v>17136</v>
      </c>
    </row>
    <row r="4163" spans="1:20" customFormat="1" ht="15" x14ac:dyDescent="0.25">
      <c r="A4163" t="s">
        <v>35</v>
      </c>
      <c r="B4163" t="s">
        <v>61</v>
      </c>
      <c r="C4163" t="str">
        <f>"A0185347"</f>
        <v>A0185347</v>
      </c>
      <c r="D4163" t="s">
        <v>17137</v>
      </c>
      <c r="E4163" t="s">
        <v>17138</v>
      </c>
      <c r="F4163" t="s">
        <v>17069</v>
      </c>
      <c r="G4163" t="s">
        <v>137</v>
      </c>
      <c r="H4163" t="s">
        <v>17139</v>
      </c>
      <c r="I4163" t="s">
        <v>30</v>
      </c>
      <c r="J4163" t="s">
        <v>41</v>
      </c>
      <c r="K4163" t="s">
        <v>59</v>
      </c>
      <c r="Q4163">
        <v>0</v>
      </c>
      <c r="R4163">
        <v>0</v>
      </c>
      <c r="S4163">
        <v>0</v>
      </c>
      <c r="T4163" t="s">
        <v>17140</v>
      </c>
    </row>
    <row r="4164" spans="1:20" customFormat="1" ht="15" x14ac:dyDescent="0.25">
      <c r="A4164" t="s">
        <v>35</v>
      </c>
      <c r="B4164" t="s">
        <v>61</v>
      </c>
      <c r="C4164" t="str">
        <f>"A0185346"</f>
        <v>A0185346</v>
      </c>
      <c r="D4164" t="s">
        <v>17141</v>
      </c>
      <c r="E4164" t="s">
        <v>17142</v>
      </c>
      <c r="F4164" t="s">
        <v>9169</v>
      </c>
      <c r="G4164" t="s">
        <v>137</v>
      </c>
      <c r="H4164" t="s">
        <v>17143</v>
      </c>
      <c r="I4164" t="s">
        <v>30</v>
      </c>
      <c r="J4164" t="s">
        <v>41</v>
      </c>
      <c r="K4164" t="s">
        <v>59</v>
      </c>
      <c r="Q4164">
        <v>0</v>
      </c>
      <c r="R4164">
        <v>120</v>
      </c>
      <c r="S4164">
        <v>120</v>
      </c>
      <c r="T4164" t="s">
        <v>17144</v>
      </c>
    </row>
    <row r="4165" spans="1:20" customFormat="1" ht="15" x14ac:dyDescent="0.25">
      <c r="A4165" t="s">
        <v>35</v>
      </c>
      <c r="B4165" t="s">
        <v>61</v>
      </c>
      <c r="C4165" t="str">
        <f>"A0185345"</f>
        <v>A0185345</v>
      </c>
      <c r="D4165" t="s">
        <v>17145</v>
      </c>
      <c r="E4165" t="s">
        <v>17146</v>
      </c>
      <c r="F4165" t="s">
        <v>17000</v>
      </c>
      <c r="G4165" t="s">
        <v>137</v>
      </c>
      <c r="H4165" t="s">
        <v>17147</v>
      </c>
      <c r="I4165" t="s">
        <v>30</v>
      </c>
      <c r="J4165" t="s">
        <v>41</v>
      </c>
      <c r="K4165" t="s">
        <v>59</v>
      </c>
      <c r="Q4165">
        <v>0</v>
      </c>
      <c r="R4165">
        <v>0</v>
      </c>
      <c r="S4165">
        <v>0</v>
      </c>
      <c r="T4165" t="s">
        <v>17148</v>
      </c>
    </row>
    <row r="4166" spans="1:20" customFormat="1" ht="15" x14ac:dyDescent="0.25">
      <c r="A4166" t="s">
        <v>35</v>
      </c>
      <c r="B4166" t="s">
        <v>17149</v>
      </c>
      <c r="C4166" t="str">
        <f>"A0185344"</f>
        <v>A0185344</v>
      </c>
      <c r="D4166" t="s">
        <v>17150</v>
      </c>
      <c r="E4166" t="s">
        <v>17151</v>
      </c>
      <c r="F4166" t="s">
        <v>11967</v>
      </c>
      <c r="G4166" t="s">
        <v>137</v>
      </c>
      <c r="H4166" t="s">
        <v>17152</v>
      </c>
      <c r="I4166" t="s">
        <v>30</v>
      </c>
      <c r="J4166" t="s">
        <v>41</v>
      </c>
      <c r="K4166" t="s">
        <v>59</v>
      </c>
      <c r="Q4166">
        <v>0</v>
      </c>
      <c r="R4166">
        <v>0</v>
      </c>
      <c r="S4166">
        <v>0</v>
      </c>
      <c r="T4166" t="s">
        <v>17153</v>
      </c>
    </row>
    <row r="4167" spans="1:20" customFormat="1" ht="15" x14ac:dyDescent="0.25">
      <c r="A4167" t="s">
        <v>35</v>
      </c>
      <c r="B4167" t="s">
        <v>61</v>
      </c>
      <c r="C4167" t="str">
        <f>"A0185343"</f>
        <v>A0185343</v>
      </c>
      <c r="D4167" t="s">
        <v>17154</v>
      </c>
      <c r="E4167" t="s">
        <v>17155</v>
      </c>
      <c r="F4167" t="s">
        <v>17000</v>
      </c>
      <c r="G4167" t="s">
        <v>137</v>
      </c>
      <c r="H4167">
        <v>63112</v>
      </c>
      <c r="I4167" t="s">
        <v>30</v>
      </c>
      <c r="J4167" t="s">
        <v>41</v>
      </c>
      <c r="K4167" t="s">
        <v>59</v>
      </c>
      <c r="Q4167">
        <v>0</v>
      </c>
      <c r="R4167">
        <v>0</v>
      </c>
      <c r="S4167">
        <v>0</v>
      </c>
    </row>
    <row r="4168" spans="1:20" customFormat="1" ht="15" x14ac:dyDescent="0.25">
      <c r="A4168" t="s">
        <v>35</v>
      </c>
      <c r="B4168" t="s">
        <v>61</v>
      </c>
      <c r="C4168" t="str">
        <f>"A0185342"</f>
        <v>A0185342</v>
      </c>
      <c r="D4168" t="s">
        <v>17156</v>
      </c>
      <c r="E4168" t="s">
        <v>17157</v>
      </c>
      <c r="F4168" t="s">
        <v>17158</v>
      </c>
      <c r="G4168" t="s">
        <v>137</v>
      </c>
      <c r="H4168" t="s">
        <v>17159</v>
      </c>
      <c r="I4168" t="s">
        <v>30</v>
      </c>
      <c r="J4168" t="s">
        <v>41</v>
      </c>
      <c r="K4168" t="s">
        <v>59</v>
      </c>
      <c r="Q4168">
        <v>0</v>
      </c>
      <c r="R4168">
        <v>517</v>
      </c>
      <c r="S4168">
        <v>517</v>
      </c>
      <c r="T4168" t="s">
        <v>17160</v>
      </c>
    </row>
    <row r="4169" spans="1:20" customFormat="1" ht="15" x14ac:dyDescent="0.25">
      <c r="A4169" t="s">
        <v>35</v>
      </c>
      <c r="B4169" t="s">
        <v>61</v>
      </c>
      <c r="C4169" t="str">
        <f>"A0185341"</f>
        <v>A0185341</v>
      </c>
      <c r="D4169" t="s">
        <v>17161</v>
      </c>
      <c r="E4169" t="s">
        <v>17162</v>
      </c>
      <c r="F4169" t="s">
        <v>17163</v>
      </c>
      <c r="G4169" t="s">
        <v>137</v>
      </c>
      <c r="H4169" t="s">
        <v>17164</v>
      </c>
      <c r="I4169" t="s">
        <v>30</v>
      </c>
      <c r="J4169" t="s">
        <v>41</v>
      </c>
      <c r="K4169" t="s">
        <v>59</v>
      </c>
      <c r="Q4169">
        <v>0</v>
      </c>
      <c r="R4169">
        <v>0</v>
      </c>
      <c r="S4169">
        <v>0</v>
      </c>
    </row>
    <row r="4170" spans="1:20" customFormat="1" ht="15" x14ac:dyDescent="0.25">
      <c r="A4170" t="s">
        <v>35</v>
      </c>
      <c r="B4170" t="s">
        <v>61</v>
      </c>
      <c r="C4170" t="str">
        <f>"A0185340"</f>
        <v>A0185340</v>
      </c>
      <c r="D4170" t="s">
        <v>17165</v>
      </c>
      <c r="E4170" t="s">
        <v>17166</v>
      </c>
      <c r="F4170" t="s">
        <v>17167</v>
      </c>
      <c r="G4170" t="s">
        <v>137</v>
      </c>
      <c r="H4170" t="s">
        <v>17168</v>
      </c>
      <c r="I4170" t="s">
        <v>30</v>
      </c>
      <c r="J4170" t="s">
        <v>41</v>
      </c>
      <c r="K4170" t="s">
        <v>59</v>
      </c>
      <c r="Q4170">
        <v>0</v>
      </c>
      <c r="R4170">
        <v>0</v>
      </c>
      <c r="S4170">
        <v>0</v>
      </c>
    </row>
    <row r="4171" spans="1:20" customFormat="1" ht="15" x14ac:dyDescent="0.25">
      <c r="A4171" t="s">
        <v>35</v>
      </c>
      <c r="B4171" t="s">
        <v>17149</v>
      </c>
      <c r="C4171" t="str">
        <f>"A0185339"</f>
        <v>A0185339</v>
      </c>
      <c r="D4171" t="s">
        <v>17169</v>
      </c>
      <c r="E4171" t="s">
        <v>17170</v>
      </c>
      <c r="F4171" t="s">
        <v>17171</v>
      </c>
      <c r="G4171" t="s">
        <v>137</v>
      </c>
      <c r="H4171" t="s">
        <v>17172</v>
      </c>
      <c r="I4171" t="s">
        <v>30</v>
      </c>
      <c r="J4171" t="s">
        <v>41</v>
      </c>
      <c r="K4171" t="s">
        <v>59</v>
      </c>
      <c r="Q4171">
        <v>0</v>
      </c>
      <c r="R4171">
        <v>0</v>
      </c>
      <c r="S4171">
        <v>0</v>
      </c>
      <c r="T4171" t="s">
        <v>17173</v>
      </c>
    </row>
    <row r="4172" spans="1:20" customFormat="1" ht="15" x14ac:dyDescent="0.25">
      <c r="A4172" t="s">
        <v>35</v>
      </c>
      <c r="B4172" t="s">
        <v>61</v>
      </c>
      <c r="C4172" t="str">
        <f>"A0185338"</f>
        <v>A0185338</v>
      </c>
      <c r="D4172" t="s">
        <v>17174</v>
      </c>
      <c r="E4172" t="s">
        <v>17175</v>
      </c>
      <c r="F4172" t="s">
        <v>17000</v>
      </c>
      <c r="G4172" t="s">
        <v>137</v>
      </c>
      <c r="H4172" t="s">
        <v>17176</v>
      </c>
      <c r="I4172" t="s">
        <v>30</v>
      </c>
      <c r="J4172" t="s">
        <v>41</v>
      </c>
      <c r="K4172" t="s">
        <v>59</v>
      </c>
      <c r="Q4172">
        <v>0</v>
      </c>
      <c r="R4172">
        <v>0</v>
      </c>
      <c r="S4172">
        <v>0</v>
      </c>
      <c r="T4172" t="s">
        <v>17177</v>
      </c>
    </row>
    <row r="4173" spans="1:20" customFormat="1" ht="15" x14ac:dyDescent="0.25">
      <c r="A4173" t="s">
        <v>35</v>
      </c>
      <c r="B4173" t="s">
        <v>11871</v>
      </c>
      <c r="C4173" t="str">
        <f>"A0185337"</f>
        <v>A0185337</v>
      </c>
      <c r="D4173" t="s">
        <v>17178</v>
      </c>
      <c r="E4173" t="s">
        <v>17179</v>
      </c>
      <c r="F4173" t="s">
        <v>17110</v>
      </c>
      <c r="G4173" t="s">
        <v>137</v>
      </c>
      <c r="H4173" t="s">
        <v>17180</v>
      </c>
      <c r="I4173" t="s">
        <v>30</v>
      </c>
      <c r="J4173" t="s">
        <v>41</v>
      </c>
      <c r="K4173" t="s">
        <v>59</v>
      </c>
      <c r="Q4173">
        <v>0</v>
      </c>
      <c r="R4173">
        <v>0</v>
      </c>
      <c r="S4173">
        <v>0</v>
      </c>
      <c r="T4173" t="s">
        <v>17181</v>
      </c>
    </row>
    <row r="4174" spans="1:20" customFormat="1" ht="15" x14ac:dyDescent="0.25">
      <c r="A4174" t="s">
        <v>35</v>
      </c>
      <c r="B4174" t="s">
        <v>11871</v>
      </c>
      <c r="C4174" t="str">
        <f>"A0185336"</f>
        <v>A0185336</v>
      </c>
      <c r="D4174" t="s">
        <v>17182</v>
      </c>
      <c r="E4174" t="s">
        <v>17183</v>
      </c>
      <c r="F4174" t="s">
        <v>17171</v>
      </c>
      <c r="G4174" t="s">
        <v>137</v>
      </c>
      <c r="H4174" t="s">
        <v>17184</v>
      </c>
      <c r="I4174" t="s">
        <v>30</v>
      </c>
      <c r="J4174" t="s">
        <v>41</v>
      </c>
      <c r="K4174" t="s">
        <v>59</v>
      </c>
      <c r="Q4174">
        <v>0</v>
      </c>
      <c r="R4174">
        <v>0</v>
      </c>
      <c r="S4174">
        <v>0</v>
      </c>
      <c r="T4174" t="s">
        <v>17185</v>
      </c>
    </row>
    <row r="4175" spans="1:20" customFormat="1" ht="15" x14ac:dyDescent="0.25">
      <c r="A4175" t="s">
        <v>35</v>
      </c>
      <c r="B4175" t="s">
        <v>61</v>
      </c>
      <c r="C4175" t="str">
        <f>"A0185335"</f>
        <v>A0185335</v>
      </c>
      <c r="D4175" t="s">
        <v>17186</v>
      </c>
      <c r="E4175" t="s">
        <v>17187</v>
      </c>
      <c r="F4175" t="s">
        <v>4075</v>
      </c>
      <c r="G4175" t="s">
        <v>137</v>
      </c>
      <c r="H4175">
        <v>63144</v>
      </c>
      <c r="I4175" t="s">
        <v>30</v>
      </c>
      <c r="J4175" t="s">
        <v>41</v>
      </c>
      <c r="K4175" t="s">
        <v>59</v>
      </c>
      <c r="Q4175">
        <v>0</v>
      </c>
      <c r="R4175">
        <v>0</v>
      </c>
      <c r="S4175">
        <v>0</v>
      </c>
    </row>
    <row r="4176" spans="1:20" customFormat="1" ht="15" x14ac:dyDescent="0.25">
      <c r="A4176" t="s">
        <v>35</v>
      </c>
      <c r="B4176" t="s">
        <v>61</v>
      </c>
      <c r="C4176" t="str">
        <f>"A0185334"</f>
        <v>A0185334</v>
      </c>
      <c r="D4176" t="s">
        <v>17188</v>
      </c>
      <c r="E4176" t="s">
        <v>17189</v>
      </c>
      <c r="F4176" t="s">
        <v>1677</v>
      </c>
      <c r="G4176" t="s">
        <v>137</v>
      </c>
      <c r="H4176">
        <v>630171810</v>
      </c>
      <c r="I4176" t="s">
        <v>30</v>
      </c>
      <c r="J4176" t="s">
        <v>41</v>
      </c>
      <c r="K4176" t="s">
        <v>59</v>
      </c>
      <c r="Q4176">
        <v>0</v>
      </c>
      <c r="R4176">
        <v>121</v>
      </c>
      <c r="S4176">
        <v>121</v>
      </c>
      <c r="T4176" t="s">
        <v>17190</v>
      </c>
    </row>
    <row r="4177" spans="1:20" customFormat="1" ht="15" x14ac:dyDescent="0.25">
      <c r="A4177" t="s">
        <v>35</v>
      </c>
      <c r="B4177" t="s">
        <v>61</v>
      </c>
      <c r="C4177" t="str">
        <f>"A0185333"</f>
        <v>A0185333</v>
      </c>
      <c r="D4177" t="s">
        <v>17191</v>
      </c>
      <c r="E4177" t="s">
        <v>17192</v>
      </c>
      <c r="F4177" t="s">
        <v>17193</v>
      </c>
      <c r="G4177" t="s">
        <v>137</v>
      </c>
      <c r="H4177">
        <v>63119</v>
      </c>
      <c r="I4177" t="s">
        <v>30</v>
      </c>
      <c r="J4177" t="s">
        <v>41</v>
      </c>
      <c r="K4177" t="s">
        <v>59</v>
      </c>
      <c r="Q4177">
        <v>0</v>
      </c>
      <c r="R4177">
        <v>0</v>
      </c>
      <c r="S4177">
        <v>0</v>
      </c>
      <c r="T4177" t="s">
        <v>17194</v>
      </c>
    </row>
    <row r="4178" spans="1:20" customFormat="1" ht="15" x14ac:dyDescent="0.25">
      <c r="A4178" t="s">
        <v>35</v>
      </c>
      <c r="B4178" t="s">
        <v>61</v>
      </c>
      <c r="C4178" t="str">
        <f>"A0185332"</f>
        <v>A0185332</v>
      </c>
      <c r="D4178" t="s">
        <v>17195</v>
      </c>
      <c r="E4178" t="s">
        <v>17196</v>
      </c>
      <c r="F4178" t="s">
        <v>17167</v>
      </c>
      <c r="G4178" t="s">
        <v>137</v>
      </c>
      <c r="H4178" t="s">
        <v>17197</v>
      </c>
      <c r="I4178" t="s">
        <v>30</v>
      </c>
      <c r="J4178" t="s">
        <v>41</v>
      </c>
      <c r="K4178" t="s">
        <v>59</v>
      </c>
      <c r="Q4178">
        <v>0</v>
      </c>
      <c r="R4178">
        <v>127</v>
      </c>
      <c r="S4178">
        <v>127</v>
      </c>
      <c r="T4178" t="s">
        <v>17198</v>
      </c>
    </row>
    <row r="4179" spans="1:20" customFormat="1" ht="15" x14ac:dyDescent="0.25">
      <c r="A4179" t="s">
        <v>35</v>
      </c>
      <c r="B4179" t="s">
        <v>61</v>
      </c>
      <c r="C4179" t="str">
        <f>"A0185331"</f>
        <v>A0185331</v>
      </c>
      <c r="D4179" t="s">
        <v>17199</v>
      </c>
      <c r="E4179" t="s">
        <v>17200</v>
      </c>
      <c r="F4179" t="s">
        <v>15601</v>
      </c>
      <c r="G4179" t="s">
        <v>40</v>
      </c>
      <c r="H4179" t="s">
        <v>17201</v>
      </c>
      <c r="I4179" t="s">
        <v>30</v>
      </c>
      <c r="J4179" t="s">
        <v>41</v>
      </c>
      <c r="K4179" t="s">
        <v>59</v>
      </c>
      <c r="Q4179">
        <v>0</v>
      </c>
      <c r="R4179">
        <v>0</v>
      </c>
      <c r="S4179">
        <v>0</v>
      </c>
      <c r="T4179" t="s">
        <v>17202</v>
      </c>
    </row>
    <row r="4180" spans="1:20" customFormat="1" ht="15" x14ac:dyDescent="0.25">
      <c r="A4180" t="s">
        <v>35</v>
      </c>
      <c r="B4180" t="s">
        <v>61</v>
      </c>
      <c r="C4180" t="str">
        <f>"A0185330"</f>
        <v>A0185330</v>
      </c>
      <c r="D4180" t="s">
        <v>17203</v>
      </c>
      <c r="E4180" t="s">
        <v>17204</v>
      </c>
      <c r="F4180" t="s">
        <v>17205</v>
      </c>
      <c r="G4180" t="s">
        <v>137</v>
      </c>
      <c r="H4180" t="s">
        <v>17206</v>
      </c>
      <c r="I4180" t="s">
        <v>30</v>
      </c>
      <c r="J4180" t="s">
        <v>41</v>
      </c>
      <c r="K4180" t="s">
        <v>59</v>
      </c>
      <c r="Q4180">
        <v>0</v>
      </c>
      <c r="R4180">
        <v>60</v>
      </c>
      <c r="S4180">
        <v>60</v>
      </c>
      <c r="T4180" t="s">
        <v>17207</v>
      </c>
    </row>
    <row r="4181" spans="1:20" customFormat="1" ht="15" x14ac:dyDescent="0.25">
      <c r="A4181" t="s">
        <v>35</v>
      </c>
      <c r="B4181" t="s">
        <v>61</v>
      </c>
      <c r="C4181" t="str">
        <f>"A0185329"</f>
        <v>A0185329</v>
      </c>
      <c r="D4181" t="s">
        <v>17208</v>
      </c>
      <c r="E4181" t="s">
        <v>17209</v>
      </c>
      <c r="F4181" t="s">
        <v>17210</v>
      </c>
      <c r="G4181" t="s">
        <v>137</v>
      </c>
      <c r="H4181">
        <v>65026</v>
      </c>
      <c r="I4181" t="s">
        <v>30</v>
      </c>
      <c r="J4181" t="s">
        <v>41</v>
      </c>
      <c r="K4181" t="s">
        <v>59</v>
      </c>
      <c r="Q4181">
        <v>0</v>
      </c>
      <c r="R4181">
        <v>0</v>
      </c>
      <c r="S4181">
        <v>0</v>
      </c>
    </row>
    <row r="4182" spans="1:20" customFormat="1" ht="15" x14ac:dyDescent="0.25">
      <c r="A4182" t="s">
        <v>35</v>
      </c>
      <c r="B4182" t="s">
        <v>61</v>
      </c>
      <c r="C4182" t="str">
        <f>"A0185328"</f>
        <v>A0185328</v>
      </c>
      <c r="D4182" t="s">
        <v>17211</v>
      </c>
      <c r="E4182" t="s">
        <v>17212</v>
      </c>
      <c r="F4182" t="s">
        <v>17213</v>
      </c>
      <c r="G4182" t="s">
        <v>137</v>
      </c>
      <c r="H4182">
        <v>64012</v>
      </c>
      <c r="I4182" t="s">
        <v>30</v>
      </c>
      <c r="J4182" t="s">
        <v>41</v>
      </c>
      <c r="K4182" t="s">
        <v>59</v>
      </c>
      <c r="Q4182">
        <v>0</v>
      </c>
      <c r="R4182">
        <v>181</v>
      </c>
      <c r="S4182">
        <v>181</v>
      </c>
      <c r="T4182" t="s">
        <v>17214</v>
      </c>
    </row>
    <row r="4183" spans="1:20" customFormat="1" ht="15" x14ac:dyDescent="0.25">
      <c r="A4183" t="s">
        <v>35</v>
      </c>
      <c r="B4183" t="s">
        <v>61</v>
      </c>
      <c r="C4183" t="str">
        <f>"A0185327"</f>
        <v>A0185327</v>
      </c>
      <c r="D4183" t="s">
        <v>17215</v>
      </c>
      <c r="E4183" t="s">
        <v>17216</v>
      </c>
      <c r="F4183" t="s">
        <v>17000</v>
      </c>
      <c r="G4183" t="s">
        <v>137</v>
      </c>
      <c r="H4183">
        <v>631364066</v>
      </c>
      <c r="I4183" t="s">
        <v>30</v>
      </c>
      <c r="J4183" t="s">
        <v>41</v>
      </c>
      <c r="K4183" t="s">
        <v>59</v>
      </c>
      <c r="Q4183">
        <v>0</v>
      </c>
      <c r="R4183">
        <v>99</v>
      </c>
      <c r="S4183">
        <v>99</v>
      </c>
      <c r="T4183" t="s">
        <v>17217</v>
      </c>
    </row>
    <row r="4184" spans="1:20" customFormat="1" ht="15" x14ac:dyDescent="0.25">
      <c r="A4184" t="s">
        <v>35</v>
      </c>
      <c r="B4184" t="s">
        <v>61</v>
      </c>
      <c r="C4184" t="str">
        <f>"A0185326"</f>
        <v>A0185326</v>
      </c>
      <c r="D4184" t="s">
        <v>17218</v>
      </c>
      <c r="E4184" t="s">
        <v>17003</v>
      </c>
      <c r="F4184" t="s">
        <v>17219</v>
      </c>
      <c r="G4184" t="s">
        <v>137</v>
      </c>
      <c r="H4184" t="s">
        <v>17004</v>
      </c>
      <c r="I4184" t="s">
        <v>30</v>
      </c>
      <c r="J4184" t="s">
        <v>41</v>
      </c>
      <c r="K4184" t="s">
        <v>59</v>
      </c>
      <c r="Q4184">
        <v>0</v>
      </c>
      <c r="R4184">
        <v>0</v>
      </c>
      <c r="S4184">
        <v>0</v>
      </c>
      <c r="T4184" t="s">
        <v>17220</v>
      </c>
    </row>
    <row r="4185" spans="1:20" customFormat="1" ht="15" x14ac:dyDescent="0.25">
      <c r="A4185" t="s">
        <v>35</v>
      </c>
      <c r="B4185" t="s">
        <v>61</v>
      </c>
      <c r="C4185" t="str">
        <f>"A0185325"</f>
        <v>A0185325</v>
      </c>
      <c r="D4185" t="s">
        <v>17221</v>
      </c>
      <c r="E4185" t="s">
        <v>17222</v>
      </c>
      <c r="F4185" t="s">
        <v>17193</v>
      </c>
      <c r="G4185" t="s">
        <v>137</v>
      </c>
      <c r="H4185" t="s">
        <v>17223</v>
      </c>
      <c r="I4185" t="s">
        <v>30</v>
      </c>
      <c r="J4185" t="s">
        <v>41</v>
      </c>
      <c r="K4185" t="s">
        <v>59</v>
      </c>
      <c r="Q4185">
        <v>0</v>
      </c>
      <c r="R4185">
        <v>170</v>
      </c>
      <c r="S4185">
        <v>170</v>
      </c>
      <c r="T4185" t="s">
        <v>17224</v>
      </c>
    </row>
    <row r="4186" spans="1:20" customFormat="1" ht="15" x14ac:dyDescent="0.25">
      <c r="A4186" t="s">
        <v>35</v>
      </c>
      <c r="B4186" t="s">
        <v>61</v>
      </c>
      <c r="C4186" t="str">
        <f>"A0185324"</f>
        <v>A0185324</v>
      </c>
      <c r="D4186" t="s">
        <v>17225</v>
      </c>
      <c r="E4186" t="s">
        <v>17226</v>
      </c>
      <c r="F4186" t="s">
        <v>17227</v>
      </c>
      <c r="G4186" t="s">
        <v>40</v>
      </c>
      <c r="H4186" t="s">
        <v>17228</v>
      </c>
      <c r="I4186" t="s">
        <v>30</v>
      </c>
      <c r="J4186" t="s">
        <v>41</v>
      </c>
      <c r="K4186" t="s">
        <v>59</v>
      </c>
      <c r="Q4186">
        <v>0</v>
      </c>
      <c r="R4186">
        <v>0</v>
      </c>
      <c r="S4186">
        <v>0</v>
      </c>
      <c r="T4186" t="s">
        <v>17229</v>
      </c>
    </row>
    <row r="4187" spans="1:20" customFormat="1" ht="15" x14ac:dyDescent="0.25">
      <c r="A4187" t="s">
        <v>35</v>
      </c>
      <c r="B4187" t="s">
        <v>61</v>
      </c>
      <c r="C4187" t="str">
        <f>"A0185323"</f>
        <v>A0185323</v>
      </c>
      <c r="D4187" t="s">
        <v>17230</v>
      </c>
      <c r="E4187" t="s">
        <v>17231</v>
      </c>
      <c r="F4187" t="s">
        <v>17232</v>
      </c>
      <c r="G4187" t="s">
        <v>40</v>
      </c>
      <c r="H4187">
        <v>73130</v>
      </c>
      <c r="I4187" t="s">
        <v>30</v>
      </c>
      <c r="J4187" t="s">
        <v>41</v>
      </c>
      <c r="K4187" t="s">
        <v>59</v>
      </c>
      <c r="Q4187">
        <v>0</v>
      </c>
      <c r="R4187">
        <v>0</v>
      </c>
      <c r="S4187">
        <v>0</v>
      </c>
    </row>
    <row r="4188" spans="1:20" customFormat="1" ht="15" x14ac:dyDescent="0.25">
      <c r="A4188" t="s">
        <v>35</v>
      </c>
      <c r="B4188" t="s">
        <v>61</v>
      </c>
      <c r="C4188" t="str">
        <f>"A0185322"</f>
        <v>A0185322</v>
      </c>
      <c r="D4188" t="s">
        <v>17233</v>
      </c>
      <c r="E4188" t="s">
        <v>17234</v>
      </c>
      <c r="F4188" t="s">
        <v>17235</v>
      </c>
      <c r="G4188" t="s">
        <v>40</v>
      </c>
      <c r="H4188" t="s">
        <v>17236</v>
      </c>
      <c r="I4188" t="s">
        <v>30</v>
      </c>
      <c r="J4188" t="s">
        <v>41</v>
      </c>
      <c r="K4188" t="s">
        <v>59</v>
      </c>
      <c r="Q4188">
        <v>0</v>
      </c>
      <c r="R4188">
        <v>18</v>
      </c>
      <c r="S4188">
        <v>18</v>
      </c>
      <c r="T4188" t="s">
        <v>17237</v>
      </c>
    </row>
    <row r="4189" spans="1:20" customFormat="1" ht="15" x14ac:dyDescent="0.25">
      <c r="A4189" t="s">
        <v>35</v>
      </c>
      <c r="B4189" t="s">
        <v>61</v>
      </c>
      <c r="C4189" t="str">
        <f>"A0185321"</f>
        <v>A0185321</v>
      </c>
      <c r="D4189" t="s">
        <v>17238</v>
      </c>
      <c r="E4189" t="s">
        <v>17239</v>
      </c>
      <c r="F4189" t="s">
        <v>17232</v>
      </c>
      <c r="G4189" t="s">
        <v>40</v>
      </c>
      <c r="H4189" t="s">
        <v>17240</v>
      </c>
      <c r="I4189" t="s">
        <v>30</v>
      </c>
      <c r="J4189" t="s">
        <v>41</v>
      </c>
      <c r="K4189" t="s">
        <v>59</v>
      </c>
      <c r="Q4189">
        <v>0</v>
      </c>
      <c r="R4189">
        <v>0</v>
      </c>
      <c r="S4189">
        <v>0</v>
      </c>
      <c r="T4189" t="s">
        <v>17241</v>
      </c>
    </row>
    <row r="4190" spans="1:20" customFormat="1" ht="15" x14ac:dyDescent="0.25">
      <c r="A4190" t="s">
        <v>35</v>
      </c>
      <c r="B4190" t="s">
        <v>17242</v>
      </c>
      <c r="C4190" t="str">
        <f>"A0185320"</f>
        <v>A0185320</v>
      </c>
      <c r="D4190" t="s">
        <v>17243</v>
      </c>
      <c r="E4190" t="s">
        <v>17244</v>
      </c>
      <c r="F4190" t="s">
        <v>5669</v>
      </c>
      <c r="G4190" t="s">
        <v>117</v>
      </c>
      <c r="H4190" t="s">
        <v>17245</v>
      </c>
      <c r="I4190" t="s">
        <v>30</v>
      </c>
      <c r="J4190" t="s">
        <v>41</v>
      </c>
      <c r="K4190" t="s">
        <v>59</v>
      </c>
      <c r="Q4190">
        <v>0</v>
      </c>
      <c r="R4190">
        <v>187</v>
      </c>
      <c r="S4190">
        <v>187</v>
      </c>
      <c r="T4190" t="s">
        <v>17246</v>
      </c>
    </row>
    <row r="4191" spans="1:20" customFormat="1" ht="15" x14ac:dyDescent="0.25">
      <c r="A4191" t="s">
        <v>35</v>
      </c>
      <c r="B4191" t="s">
        <v>61</v>
      </c>
      <c r="C4191" t="str">
        <f>"A0185319"</f>
        <v>A0185319</v>
      </c>
      <c r="D4191" t="s">
        <v>17247</v>
      </c>
      <c r="E4191" t="s">
        <v>17248</v>
      </c>
      <c r="F4191" t="s">
        <v>9607</v>
      </c>
      <c r="G4191" t="s">
        <v>117</v>
      </c>
      <c r="H4191" t="s">
        <v>17249</v>
      </c>
      <c r="I4191" t="s">
        <v>30</v>
      </c>
      <c r="J4191" t="s">
        <v>41</v>
      </c>
      <c r="K4191" t="s">
        <v>59</v>
      </c>
      <c r="Q4191">
        <v>0</v>
      </c>
      <c r="R4191">
        <v>149</v>
      </c>
      <c r="S4191">
        <v>149</v>
      </c>
      <c r="T4191" t="s">
        <v>17250</v>
      </c>
    </row>
    <row r="4192" spans="1:20" customFormat="1" ht="15" x14ac:dyDescent="0.25">
      <c r="A4192" t="s">
        <v>35</v>
      </c>
      <c r="B4192" t="s">
        <v>61</v>
      </c>
      <c r="C4192" t="str">
        <f>"A0185318"</f>
        <v>A0185318</v>
      </c>
      <c r="D4192" t="s">
        <v>17251</v>
      </c>
      <c r="E4192" t="s">
        <v>17252</v>
      </c>
      <c r="F4192" t="s">
        <v>4037</v>
      </c>
      <c r="G4192" t="s">
        <v>40</v>
      </c>
      <c r="H4192" t="s">
        <v>17253</v>
      </c>
      <c r="I4192" t="s">
        <v>30</v>
      </c>
      <c r="J4192" t="s">
        <v>41</v>
      </c>
      <c r="K4192" t="s">
        <v>59</v>
      </c>
      <c r="Q4192">
        <v>0</v>
      </c>
      <c r="R4192">
        <v>101</v>
      </c>
      <c r="S4192">
        <v>101</v>
      </c>
      <c r="T4192" t="s">
        <v>17254</v>
      </c>
    </row>
    <row r="4193" spans="1:20" customFormat="1" ht="15" x14ac:dyDescent="0.25">
      <c r="A4193" t="s">
        <v>35</v>
      </c>
      <c r="B4193" t="s">
        <v>61</v>
      </c>
      <c r="C4193" t="str">
        <f>"A0185317"</f>
        <v>A0185317</v>
      </c>
      <c r="D4193" t="s">
        <v>17255</v>
      </c>
      <c r="E4193" t="s">
        <v>17256</v>
      </c>
      <c r="F4193" t="s">
        <v>17257</v>
      </c>
      <c r="G4193" t="s">
        <v>40</v>
      </c>
      <c r="H4193" t="s">
        <v>17258</v>
      </c>
      <c r="I4193" t="s">
        <v>30</v>
      </c>
      <c r="J4193" t="s">
        <v>41</v>
      </c>
      <c r="K4193" t="s">
        <v>59</v>
      </c>
      <c r="Q4193">
        <v>0</v>
      </c>
      <c r="R4193">
        <v>69</v>
      </c>
      <c r="S4193">
        <v>69</v>
      </c>
      <c r="T4193" t="s">
        <v>17259</v>
      </c>
    </row>
    <row r="4194" spans="1:20" customFormat="1" ht="15" x14ac:dyDescent="0.25">
      <c r="A4194" t="s">
        <v>35</v>
      </c>
      <c r="B4194" t="s">
        <v>61</v>
      </c>
      <c r="C4194" t="str">
        <f>"A0185316"</f>
        <v>A0185316</v>
      </c>
      <c r="D4194" t="s">
        <v>17260</v>
      </c>
      <c r="E4194" t="s">
        <v>17261</v>
      </c>
      <c r="F4194" t="s">
        <v>8348</v>
      </c>
      <c r="G4194" t="s">
        <v>40</v>
      </c>
      <c r="H4194" t="s">
        <v>17262</v>
      </c>
      <c r="I4194" t="s">
        <v>30</v>
      </c>
      <c r="J4194" t="s">
        <v>41</v>
      </c>
      <c r="K4194" t="s">
        <v>59</v>
      </c>
      <c r="Q4194">
        <v>0</v>
      </c>
      <c r="R4194">
        <v>78</v>
      </c>
      <c r="S4194">
        <v>78</v>
      </c>
      <c r="T4194" t="s">
        <v>17263</v>
      </c>
    </row>
    <row r="4195" spans="1:20" customFormat="1" ht="15" x14ac:dyDescent="0.25">
      <c r="A4195" t="s">
        <v>35</v>
      </c>
      <c r="B4195" t="s">
        <v>61</v>
      </c>
      <c r="C4195" t="str">
        <f>"A0185315"</f>
        <v>A0185315</v>
      </c>
      <c r="D4195" t="s">
        <v>17264</v>
      </c>
      <c r="E4195" t="s">
        <v>17265</v>
      </c>
      <c r="F4195" t="s">
        <v>17266</v>
      </c>
      <c r="G4195" t="s">
        <v>40</v>
      </c>
      <c r="H4195" t="s">
        <v>17267</v>
      </c>
      <c r="I4195" t="s">
        <v>30</v>
      </c>
      <c r="J4195" t="s">
        <v>41</v>
      </c>
      <c r="K4195" t="s">
        <v>59</v>
      </c>
      <c r="Q4195">
        <v>0</v>
      </c>
      <c r="R4195">
        <v>0</v>
      </c>
      <c r="S4195">
        <v>0</v>
      </c>
    </row>
    <row r="4196" spans="1:20" customFormat="1" ht="15" x14ac:dyDescent="0.25">
      <c r="A4196" t="s">
        <v>35</v>
      </c>
      <c r="B4196" t="s">
        <v>61</v>
      </c>
      <c r="C4196" t="str">
        <f>"A0185314"</f>
        <v>A0185314</v>
      </c>
      <c r="D4196" t="s">
        <v>17268</v>
      </c>
      <c r="E4196" t="s">
        <v>17239</v>
      </c>
      <c r="F4196" t="s">
        <v>17232</v>
      </c>
      <c r="G4196" t="s">
        <v>40</v>
      </c>
      <c r="H4196" t="s">
        <v>17240</v>
      </c>
      <c r="I4196" t="s">
        <v>30</v>
      </c>
      <c r="J4196" t="s">
        <v>41</v>
      </c>
      <c r="K4196" t="s">
        <v>59</v>
      </c>
      <c r="Q4196">
        <v>0</v>
      </c>
      <c r="R4196">
        <v>0</v>
      </c>
      <c r="S4196">
        <v>0</v>
      </c>
      <c r="T4196" t="s">
        <v>17241</v>
      </c>
    </row>
    <row r="4197" spans="1:20" customFormat="1" ht="15" x14ac:dyDescent="0.25">
      <c r="A4197" t="s">
        <v>35</v>
      </c>
      <c r="B4197" t="s">
        <v>61</v>
      </c>
      <c r="C4197" t="str">
        <f>"A0185312"</f>
        <v>A0185312</v>
      </c>
      <c r="D4197" t="s">
        <v>17269</v>
      </c>
      <c r="E4197" t="s">
        <v>17270</v>
      </c>
      <c r="F4197" t="s">
        <v>4037</v>
      </c>
      <c r="G4197" t="s">
        <v>40</v>
      </c>
      <c r="H4197" t="s">
        <v>17066</v>
      </c>
      <c r="I4197" t="s">
        <v>30</v>
      </c>
      <c r="J4197" t="s">
        <v>41</v>
      </c>
      <c r="K4197" t="s">
        <v>59</v>
      </c>
      <c r="Q4197">
        <v>0</v>
      </c>
      <c r="R4197">
        <v>0</v>
      </c>
      <c r="S4197">
        <v>0</v>
      </c>
      <c r="T4197" t="s">
        <v>17271</v>
      </c>
    </row>
    <row r="4198" spans="1:20" customFormat="1" ht="15" x14ac:dyDescent="0.25">
      <c r="A4198" t="s">
        <v>35</v>
      </c>
      <c r="B4198" t="s">
        <v>15885</v>
      </c>
      <c r="C4198" t="str">
        <f>"A0185311"</f>
        <v>A0185311</v>
      </c>
      <c r="D4198" t="s">
        <v>17272</v>
      </c>
      <c r="E4198" t="s">
        <v>17273</v>
      </c>
      <c r="F4198" t="s">
        <v>16848</v>
      </c>
      <c r="G4198" t="s">
        <v>1587</v>
      </c>
      <c r="H4198">
        <v>871022633</v>
      </c>
      <c r="I4198" t="s">
        <v>30</v>
      </c>
      <c r="J4198" t="s">
        <v>41</v>
      </c>
      <c r="K4198" t="s">
        <v>59</v>
      </c>
      <c r="Q4198">
        <v>0</v>
      </c>
      <c r="R4198">
        <v>0</v>
      </c>
      <c r="S4198">
        <v>0</v>
      </c>
      <c r="T4198" t="s">
        <v>17274</v>
      </c>
    </row>
    <row r="4199" spans="1:20" customFormat="1" ht="15" x14ac:dyDescent="0.25">
      <c r="A4199" t="s">
        <v>35</v>
      </c>
      <c r="B4199" t="s">
        <v>61</v>
      </c>
      <c r="C4199" t="str">
        <f>"A0185310"</f>
        <v>A0185310</v>
      </c>
      <c r="D4199" t="s">
        <v>17275</v>
      </c>
      <c r="E4199" t="s">
        <v>17276</v>
      </c>
      <c r="F4199" t="s">
        <v>17277</v>
      </c>
      <c r="G4199" t="s">
        <v>137</v>
      </c>
      <c r="H4199" t="s">
        <v>17278</v>
      </c>
      <c r="I4199" t="s">
        <v>30</v>
      </c>
      <c r="J4199" t="s">
        <v>41</v>
      </c>
      <c r="K4199" t="s">
        <v>59</v>
      </c>
      <c r="Q4199">
        <v>0</v>
      </c>
      <c r="R4199">
        <v>70</v>
      </c>
      <c r="S4199">
        <v>70</v>
      </c>
      <c r="T4199" t="s">
        <v>17279</v>
      </c>
    </row>
    <row r="4200" spans="1:20" customFormat="1" ht="15" x14ac:dyDescent="0.25">
      <c r="A4200" t="s">
        <v>35</v>
      </c>
      <c r="B4200" t="s">
        <v>61</v>
      </c>
      <c r="C4200" t="str">
        <f>"A0185309"</f>
        <v>A0185309</v>
      </c>
      <c r="D4200" t="s">
        <v>17280</v>
      </c>
      <c r="E4200" t="s">
        <v>17281</v>
      </c>
      <c r="F4200" t="s">
        <v>17282</v>
      </c>
      <c r="G4200" t="s">
        <v>137</v>
      </c>
      <c r="H4200">
        <v>64037</v>
      </c>
      <c r="I4200" t="s">
        <v>30</v>
      </c>
      <c r="J4200" t="s">
        <v>41</v>
      </c>
      <c r="K4200" t="s">
        <v>59</v>
      </c>
      <c r="Q4200">
        <v>0</v>
      </c>
      <c r="R4200">
        <v>131</v>
      </c>
      <c r="S4200">
        <v>131</v>
      </c>
      <c r="T4200" t="s">
        <v>17283</v>
      </c>
    </row>
    <row r="4201" spans="1:20" customFormat="1" ht="15" x14ac:dyDescent="0.25">
      <c r="A4201" t="s">
        <v>35</v>
      </c>
      <c r="B4201" t="s">
        <v>61</v>
      </c>
      <c r="C4201" t="str">
        <f>"A0185308"</f>
        <v>A0185308</v>
      </c>
      <c r="D4201" t="s">
        <v>17284</v>
      </c>
      <c r="E4201" t="s">
        <v>17285</v>
      </c>
      <c r="F4201" t="s">
        <v>17000</v>
      </c>
      <c r="G4201" t="s">
        <v>137</v>
      </c>
      <c r="H4201">
        <v>63112</v>
      </c>
      <c r="I4201" t="s">
        <v>30</v>
      </c>
      <c r="J4201" t="s">
        <v>41</v>
      </c>
      <c r="K4201" t="s">
        <v>59</v>
      </c>
      <c r="Q4201">
        <v>0</v>
      </c>
      <c r="R4201">
        <v>0</v>
      </c>
      <c r="S4201">
        <v>0</v>
      </c>
    </row>
    <row r="4202" spans="1:20" customFormat="1" ht="15" x14ac:dyDescent="0.25">
      <c r="A4202" t="s">
        <v>35</v>
      </c>
      <c r="B4202" t="s">
        <v>61</v>
      </c>
      <c r="C4202" t="str">
        <f>"A0185307"</f>
        <v>A0185307</v>
      </c>
      <c r="D4202" t="s">
        <v>17286</v>
      </c>
      <c r="E4202" t="s">
        <v>17287</v>
      </c>
      <c r="F4202" t="s">
        <v>4037</v>
      </c>
      <c r="G4202" t="s">
        <v>40</v>
      </c>
      <c r="H4202" t="s">
        <v>17288</v>
      </c>
      <c r="I4202" t="s">
        <v>30</v>
      </c>
      <c r="J4202" t="s">
        <v>41</v>
      </c>
      <c r="K4202" t="s">
        <v>59</v>
      </c>
      <c r="Q4202">
        <v>0</v>
      </c>
      <c r="R4202">
        <v>0</v>
      </c>
      <c r="S4202">
        <v>0</v>
      </c>
      <c r="T4202" t="s">
        <v>17289</v>
      </c>
    </row>
    <row r="4203" spans="1:20" customFormat="1" ht="15" x14ac:dyDescent="0.25">
      <c r="A4203" t="s">
        <v>35</v>
      </c>
      <c r="B4203" t="s">
        <v>61</v>
      </c>
      <c r="C4203" t="str">
        <f>"A0185306"</f>
        <v>A0185306</v>
      </c>
      <c r="D4203" t="s">
        <v>17290</v>
      </c>
      <c r="E4203" t="s">
        <v>17291</v>
      </c>
      <c r="F4203" t="s">
        <v>10801</v>
      </c>
      <c r="G4203" t="s">
        <v>1508</v>
      </c>
      <c r="H4203">
        <v>828349402</v>
      </c>
      <c r="I4203" t="s">
        <v>30</v>
      </c>
      <c r="J4203" t="s">
        <v>41</v>
      </c>
      <c r="K4203" t="s">
        <v>59</v>
      </c>
      <c r="Q4203">
        <v>0</v>
      </c>
      <c r="R4203">
        <v>117</v>
      </c>
      <c r="S4203">
        <v>117</v>
      </c>
      <c r="T4203" t="s">
        <v>17292</v>
      </c>
    </row>
    <row r="4204" spans="1:20" customFormat="1" ht="15" x14ac:dyDescent="0.25">
      <c r="A4204" t="s">
        <v>35</v>
      </c>
      <c r="B4204" t="s">
        <v>61</v>
      </c>
      <c r="C4204" t="str">
        <f>"A0185305"</f>
        <v>A0185305</v>
      </c>
      <c r="D4204" t="s">
        <v>17293</v>
      </c>
      <c r="E4204" t="s">
        <v>17294</v>
      </c>
      <c r="F4204" t="s">
        <v>17295</v>
      </c>
      <c r="G4204" t="s">
        <v>137</v>
      </c>
      <c r="H4204" t="s">
        <v>17296</v>
      </c>
      <c r="I4204" t="s">
        <v>30</v>
      </c>
      <c r="J4204" t="s">
        <v>41</v>
      </c>
      <c r="K4204" t="s">
        <v>59</v>
      </c>
      <c r="Q4204">
        <v>0</v>
      </c>
      <c r="R4204">
        <v>0</v>
      </c>
      <c r="S4204">
        <v>0</v>
      </c>
    </row>
    <row r="4205" spans="1:20" customFormat="1" ht="15" x14ac:dyDescent="0.25">
      <c r="A4205" t="s">
        <v>35</v>
      </c>
      <c r="B4205" t="s">
        <v>11871</v>
      </c>
      <c r="C4205" t="str">
        <f>"A0185304"</f>
        <v>A0185304</v>
      </c>
      <c r="D4205" t="s">
        <v>17297</v>
      </c>
      <c r="E4205" t="s">
        <v>17298</v>
      </c>
      <c r="F4205" t="s">
        <v>17299</v>
      </c>
      <c r="G4205" t="s">
        <v>137</v>
      </c>
      <c r="H4205" t="s">
        <v>17300</v>
      </c>
      <c r="I4205" t="s">
        <v>30</v>
      </c>
      <c r="J4205" t="s">
        <v>41</v>
      </c>
      <c r="K4205" t="s">
        <v>59</v>
      </c>
      <c r="Q4205">
        <v>0</v>
      </c>
      <c r="R4205">
        <v>0</v>
      </c>
      <c r="S4205">
        <v>0</v>
      </c>
      <c r="T4205" t="s">
        <v>17301</v>
      </c>
    </row>
    <row r="4206" spans="1:20" customFormat="1" ht="15" x14ac:dyDescent="0.25">
      <c r="A4206" t="s">
        <v>35</v>
      </c>
      <c r="B4206" t="s">
        <v>11871</v>
      </c>
      <c r="C4206" t="str">
        <f>"A0185303"</f>
        <v>A0185303</v>
      </c>
      <c r="D4206" t="s">
        <v>17302</v>
      </c>
      <c r="E4206" t="s">
        <v>17303</v>
      </c>
      <c r="F4206" t="s">
        <v>8703</v>
      </c>
      <c r="G4206" t="s">
        <v>137</v>
      </c>
      <c r="H4206" t="s">
        <v>17304</v>
      </c>
      <c r="I4206" t="s">
        <v>30</v>
      </c>
      <c r="J4206" t="s">
        <v>41</v>
      </c>
      <c r="K4206" t="s">
        <v>59</v>
      </c>
      <c r="Q4206">
        <v>0</v>
      </c>
      <c r="R4206">
        <v>0</v>
      </c>
      <c r="S4206">
        <v>0</v>
      </c>
      <c r="T4206" t="s">
        <v>17305</v>
      </c>
    </row>
    <row r="4207" spans="1:20" customFormat="1" ht="15" x14ac:dyDescent="0.25">
      <c r="A4207" t="s">
        <v>35</v>
      </c>
      <c r="B4207" t="s">
        <v>61</v>
      </c>
      <c r="C4207" t="str">
        <f>"A0185302"</f>
        <v>A0185302</v>
      </c>
      <c r="D4207" t="s">
        <v>17306</v>
      </c>
      <c r="E4207" t="s">
        <v>17307</v>
      </c>
      <c r="F4207" t="s">
        <v>17000</v>
      </c>
      <c r="G4207" t="s">
        <v>137</v>
      </c>
      <c r="H4207">
        <v>631152300</v>
      </c>
      <c r="I4207" t="s">
        <v>30</v>
      </c>
      <c r="J4207" t="s">
        <v>41</v>
      </c>
      <c r="K4207" t="s">
        <v>59</v>
      </c>
      <c r="Q4207">
        <v>0</v>
      </c>
      <c r="R4207">
        <v>38</v>
      </c>
      <c r="S4207">
        <v>38</v>
      </c>
      <c r="T4207" t="s">
        <v>17308</v>
      </c>
    </row>
    <row r="4208" spans="1:20" customFormat="1" ht="15" x14ac:dyDescent="0.25">
      <c r="A4208" t="s">
        <v>35</v>
      </c>
      <c r="B4208" t="s">
        <v>11871</v>
      </c>
      <c r="C4208" t="str">
        <f>"A0185301"</f>
        <v>A0185301</v>
      </c>
      <c r="D4208" t="s">
        <v>17309</v>
      </c>
      <c r="E4208" t="s">
        <v>17310</v>
      </c>
      <c r="F4208" t="s">
        <v>11967</v>
      </c>
      <c r="G4208" t="s">
        <v>137</v>
      </c>
      <c r="H4208" t="s">
        <v>17311</v>
      </c>
      <c r="I4208" t="s">
        <v>30</v>
      </c>
      <c r="J4208" t="s">
        <v>41</v>
      </c>
      <c r="K4208" t="s">
        <v>59</v>
      </c>
      <c r="Q4208">
        <v>0</v>
      </c>
      <c r="R4208">
        <v>0</v>
      </c>
      <c r="S4208">
        <v>0</v>
      </c>
      <c r="T4208" t="s">
        <v>17312</v>
      </c>
    </row>
    <row r="4209" spans="1:20" customFormat="1" ht="15" x14ac:dyDescent="0.25">
      <c r="A4209" t="s">
        <v>35</v>
      </c>
      <c r="B4209" t="s">
        <v>61</v>
      </c>
      <c r="C4209" t="str">
        <f>"A0185299"</f>
        <v>A0185299</v>
      </c>
      <c r="D4209" t="s">
        <v>17313</v>
      </c>
      <c r="E4209" t="s">
        <v>17314</v>
      </c>
      <c r="F4209" t="s">
        <v>17167</v>
      </c>
      <c r="G4209" t="s">
        <v>137</v>
      </c>
      <c r="H4209" t="s">
        <v>17315</v>
      </c>
      <c r="I4209" t="s">
        <v>30</v>
      </c>
      <c r="J4209" t="s">
        <v>41</v>
      </c>
      <c r="K4209" t="s">
        <v>59</v>
      </c>
      <c r="Q4209">
        <v>0</v>
      </c>
      <c r="R4209">
        <v>97</v>
      </c>
      <c r="S4209">
        <v>97</v>
      </c>
      <c r="T4209" t="s">
        <v>17316</v>
      </c>
    </row>
    <row r="4210" spans="1:20" customFormat="1" ht="15" x14ac:dyDescent="0.25">
      <c r="A4210" t="s">
        <v>35</v>
      </c>
      <c r="B4210" t="s">
        <v>61</v>
      </c>
      <c r="C4210" t="str">
        <f>"A0185298"</f>
        <v>A0185298</v>
      </c>
      <c r="D4210" t="s">
        <v>17317</v>
      </c>
      <c r="E4210" t="s">
        <v>17318</v>
      </c>
      <c r="F4210" t="s">
        <v>17000</v>
      </c>
      <c r="G4210" t="s">
        <v>137</v>
      </c>
      <c r="H4210">
        <v>63108</v>
      </c>
      <c r="I4210" t="s">
        <v>30</v>
      </c>
      <c r="J4210" t="s">
        <v>41</v>
      </c>
      <c r="K4210" t="s">
        <v>59</v>
      </c>
      <c r="Q4210">
        <v>0</v>
      </c>
      <c r="R4210">
        <v>0</v>
      </c>
      <c r="S4210">
        <v>0</v>
      </c>
    </row>
    <row r="4211" spans="1:20" customFormat="1" ht="15" x14ac:dyDescent="0.25">
      <c r="A4211" t="s">
        <v>35</v>
      </c>
      <c r="B4211" t="s">
        <v>61</v>
      </c>
      <c r="C4211" t="str">
        <f>"A0185297"</f>
        <v>A0185297</v>
      </c>
      <c r="D4211" t="s">
        <v>17319</v>
      </c>
      <c r="E4211" t="s">
        <v>17320</v>
      </c>
      <c r="F4211" t="s">
        <v>4863</v>
      </c>
      <c r="G4211" t="s">
        <v>137</v>
      </c>
      <c r="H4211" t="s">
        <v>17321</v>
      </c>
      <c r="I4211" t="s">
        <v>30</v>
      </c>
      <c r="J4211" t="s">
        <v>41</v>
      </c>
      <c r="K4211" t="s">
        <v>59</v>
      </c>
      <c r="Q4211">
        <v>0</v>
      </c>
      <c r="R4211">
        <v>0</v>
      </c>
      <c r="S4211">
        <v>0</v>
      </c>
      <c r="T4211" t="s">
        <v>17322</v>
      </c>
    </row>
    <row r="4212" spans="1:20" customFormat="1" ht="15" x14ac:dyDescent="0.25">
      <c r="A4212" t="s">
        <v>35</v>
      </c>
      <c r="B4212" t="s">
        <v>61</v>
      </c>
      <c r="C4212" t="str">
        <f>"A0185296"</f>
        <v>A0185296</v>
      </c>
      <c r="D4212" t="s">
        <v>17323</v>
      </c>
      <c r="E4212" t="s">
        <v>17324</v>
      </c>
      <c r="F4212" t="s">
        <v>17325</v>
      </c>
      <c r="G4212" t="s">
        <v>137</v>
      </c>
      <c r="H4212" t="s">
        <v>17326</v>
      </c>
      <c r="I4212" t="s">
        <v>30</v>
      </c>
      <c r="J4212" t="s">
        <v>41</v>
      </c>
      <c r="K4212" t="s">
        <v>59</v>
      </c>
      <c r="Q4212">
        <v>0</v>
      </c>
      <c r="R4212">
        <v>116</v>
      </c>
      <c r="S4212">
        <v>116</v>
      </c>
      <c r="T4212" t="s">
        <v>17327</v>
      </c>
    </row>
    <row r="4213" spans="1:20" customFormat="1" ht="15" x14ac:dyDescent="0.25">
      <c r="A4213" t="s">
        <v>35</v>
      </c>
      <c r="B4213" t="s">
        <v>61</v>
      </c>
      <c r="C4213" t="str">
        <f>"A0185295"</f>
        <v>A0185295</v>
      </c>
      <c r="D4213" t="s">
        <v>17328</v>
      </c>
      <c r="E4213" t="s">
        <v>17329</v>
      </c>
      <c r="F4213" t="s">
        <v>17330</v>
      </c>
      <c r="G4213" t="s">
        <v>137</v>
      </c>
      <c r="H4213">
        <v>63670</v>
      </c>
      <c r="I4213" t="s">
        <v>30</v>
      </c>
      <c r="J4213" t="s">
        <v>41</v>
      </c>
      <c r="K4213" t="s">
        <v>59</v>
      </c>
      <c r="Q4213">
        <v>0</v>
      </c>
      <c r="R4213">
        <v>0</v>
      </c>
      <c r="S4213">
        <v>0</v>
      </c>
    </row>
    <row r="4214" spans="1:20" customFormat="1" ht="15" x14ac:dyDescent="0.25">
      <c r="A4214" t="s">
        <v>35</v>
      </c>
      <c r="B4214" t="s">
        <v>61</v>
      </c>
      <c r="C4214" t="str">
        <f>"A0185294"</f>
        <v>A0185294</v>
      </c>
      <c r="D4214" t="s">
        <v>17331</v>
      </c>
      <c r="E4214" t="s">
        <v>17332</v>
      </c>
      <c r="F4214" t="s">
        <v>15839</v>
      </c>
      <c r="G4214" t="s">
        <v>137</v>
      </c>
      <c r="H4214" t="s">
        <v>17333</v>
      </c>
      <c r="I4214" t="s">
        <v>30</v>
      </c>
      <c r="J4214" t="s">
        <v>41</v>
      </c>
      <c r="K4214" t="s">
        <v>59</v>
      </c>
      <c r="Q4214">
        <v>0</v>
      </c>
      <c r="R4214">
        <v>44</v>
      </c>
      <c r="S4214">
        <v>44</v>
      </c>
      <c r="T4214" t="s">
        <v>17334</v>
      </c>
    </row>
    <row r="4215" spans="1:20" customFormat="1" ht="15" x14ac:dyDescent="0.25">
      <c r="A4215" t="s">
        <v>35</v>
      </c>
      <c r="B4215" t="s">
        <v>61</v>
      </c>
      <c r="C4215" t="str">
        <f>"A0185293"</f>
        <v>A0185293</v>
      </c>
      <c r="D4215" t="s">
        <v>17335</v>
      </c>
      <c r="E4215" t="s">
        <v>17142</v>
      </c>
      <c r="F4215" t="s">
        <v>9169</v>
      </c>
      <c r="G4215" t="s">
        <v>137</v>
      </c>
      <c r="H4215" t="s">
        <v>17143</v>
      </c>
      <c r="I4215" t="s">
        <v>30</v>
      </c>
      <c r="J4215" t="s">
        <v>41</v>
      </c>
      <c r="K4215" t="s">
        <v>59</v>
      </c>
      <c r="Q4215">
        <v>0</v>
      </c>
      <c r="R4215">
        <v>0</v>
      </c>
      <c r="S4215">
        <v>0</v>
      </c>
      <c r="T4215" t="s">
        <v>17336</v>
      </c>
    </row>
    <row r="4216" spans="1:20" customFormat="1" ht="15" x14ac:dyDescent="0.25">
      <c r="A4216" t="s">
        <v>35</v>
      </c>
      <c r="B4216" t="s">
        <v>61</v>
      </c>
      <c r="C4216" t="str">
        <f>"A0185292"</f>
        <v>A0185292</v>
      </c>
      <c r="D4216" t="s">
        <v>17337</v>
      </c>
      <c r="E4216" t="s">
        <v>17338</v>
      </c>
      <c r="F4216" t="s">
        <v>17193</v>
      </c>
      <c r="G4216" t="s">
        <v>137</v>
      </c>
      <c r="H4216" t="s">
        <v>17339</v>
      </c>
      <c r="I4216" t="s">
        <v>30</v>
      </c>
      <c r="J4216" t="s">
        <v>41</v>
      </c>
      <c r="K4216" t="s">
        <v>59</v>
      </c>
      <c r="Q4216">
        <v>0</v>
      </c>
      <c r="R4216">
        <v>0</v>
      </c>
      <c r="S4216">
        <v>0</v>
      </c>
      <c r="T4216" t="s">
        <v>17340</v>
      </c>
    </row>
    <row r="4217" spans="1:20" customFormat="1" ht="15" x14ac:dyDescent="0.25">
      <c r="A4217" t="s">
        <v>35</v>
      </c>
      <c r="B4217" t="s">
        <v>61</v>
      </c>
      <c r="C4217" t="str">
        <f>"A0185291"</f>
        <v>A0185291</v>
      </c>
      <c r="D4217" t="s">
        <v>17341</v>
      </c>
      <c r="E4217" t="s">
        <v>17338</v>
      </c>
      <c r="F4217" t="s">
        <v>17000</v>
      </c>
      <c r="G4217" t="s">
        <v>137</v>
      </c>
      <c r="H4217" t="s">
        <v>17339</v>
      </c>
      <c r="I4217" t="s">
        <v>30</v>
      </c>
      <c r="J4217" t="s">
        <v>41</v>
      </c>
      <c r="K4217" t="s">
        <v>59</v>
      </c>
      <c r="Q4217">
        <v>0</v>
      </c>
      <c r="R4217">
        <v>0</v>
      </c>
      <c r="S4217">
        <v>0</v>
      </c>
      <c r="T4217" t="s">
        <v>17194</v>
      </c>
    </row>
    <row r="4218" spans="1:20" customFormat="1" ht="15" x14ac:dyDescent="0.25">
      <c r="A4218" t="s">
        <v>35</v>
      </c>
      <c r="B4218" t="s">
        <v>61</v>
      </c>
      <c r="C4218" t="str">
        <f>"A0185290"</f>
        <v>A0185290</v>
      </c>
      <c r="D4218" t="s">
        <v>17342</v>
      </c>
      <c r="E4218" t="s">
        <v>17343</v>
      </c>
      <c r="F4218" t="s">
        <v>17344</v>
      </c>
      <c r="G4218" t="s">
        <v>40</v>
      </c>
      <c r="H4218" t="s">
        <v>17345</v>
      </c>
      <c r="I4218" t="s">
        <v>30</v>
      </c>
      <c r="J4218" t="s">
        <v>41</v>
      </c>
      <c r="K4218" t="s">
        <v>59</v>
      </c>
      <c r="Q4218">
        <v>0</v>
      </c>
      <c r="R4218">
        <v>0</v>
      </c>
      <c r="S4218">
        <v>0</v>
      </c>
      <c r="T4218" t="s">
        <v>17346</v>
      </c>
    </row>
    <row r="4219" spans="1:20" customFormat="1" ht="15" x14ac:dyDescent="0.25">
      <c r="A4219" t="s">
        <v>35</v>
      </c>
      <c r="B4219" t="s">
        <v>61</v>
      </c>
      <c r="C4219" t="str">
        <f>"A0185289"</f>
        <v>A0185289</v>
      </c>
      <c r="D4219" t="s">
        <v>17347</v>
      </c>
      <c r="E4219" t="s">
        <v>17348</v>
      </c>
      <c r="F4219" t="s">
        <v>17349</v>
      </c>
      <c r="G4219" t="s">
        <v>40</v>
      </c>
      <c r="H4219" t="s">
        <v>17350</v>
      </c>
      <c r="I4219" t="s">
        <v>30</v>
      </c>
      <c r="J4219" t="s">
        <v>41</v>
      </c>
      <c r="K4219" t="s">
        <v>59</v>
      </c>
      <c r="Q4219">
        <v>0</v>
      </c>
      <c r="R4219">
        <v>0</v>
      </c>
      <c r="S4219">
        <v>0</v>
      </c>
      <c r="T4219" t="s">
        <v>17351</v>
      </c>
    </row>
    <row r="4220" spans="1:20" customFormat="1" ht="15" x14ac:dyDescent="0.25">
      <c r="A4220" t="s">
        <v>35</v>
      </c>
      <c r="B4220" t="s">
        <v>61</v>
      </c>
      <c r="C4220" t="str">
        <f>"A0185288"</f>
        <v>A0185288</v>
      </c>
      <c r="D4220" t="s">
        <v>17352</v>
      </c>
      <c r="E4220" t="s">
        <v>17353</v>
      </c>
      <c r="F4220" t="s">
        <v>1655</v>
      </c>
      <c r="G4220" t="s">
        <v>137</v>
      </c>
      <c r="H4220">
        <v>631294743</v>
      </c>
      <c r="I4220" t="s">
        <v>30</v>
      </c>
      <c r="J4220" t="s">
        <v>41</v>
      </c>
      <c r="K4220" t="s">
        <v>59</v>
      </c>
      <c r="Q4220">
        <v>0</v>
      </c>
      <c r="R4220">
        <v>0</v>
      </c>
      <c r="S4220">
        <v>0</v>
      </c>
      <c r="T4220" t="s">
        <v>17354</v>
      </c>
    </row>
    <row r="4221" spans="1:20" customFormat="1" ht="15" x14ac:dyDescent="0.25">
      <c r="A4221" t="s">
        <v>35</v>
      </c>
      <c r="B4221" t="s">
        <v>61</v>
      </c>
      <c r="C4221" t="str">
        <f>"A0185287"</f>
        <v>A0185287</v>
      </c>
      <c r="D4221" t="s">
        <v>17355</v>
      </c>
      <c r="E4221" t="s">
        <v>17356</v>
      </c>
      <c r="F4221" t="s">
        <v>17000</v>
      </c>
      <c r="G4221" t="s">
        <v>137</v>
      </c>
      <c r="H4221" t="s">
        <v>17339</v>
      </c>
      <c r="I4221" t="s">
        <v>30</v>
      </c>
      <c r="J4221" t="s">
        <v>41</v>
      </c>
      <c r="K4221" t="s">
        <v>59</v>
      </c>
      <c r="Q4221">
        <v>0</v>
      </c>
      <c r="R4221">
        <v>0</v>
      </c>
      <c r="S4221">
        <v>0</v>
      </c>
      <c r="T4221" t="s">
        <v>17357</v>
      </c>
    </row>
    <row r="4222" spans="1:20" customFormat="1" ht="15" x14ac:dyDescent="0.25">
      <c r="A4222" t="s">
        <v>35</v>
      </c>
      <c r="B4222" t="s">
        <v>11871</v>
      </c>
      <c r="C4222" t="str">
        <f>"A0185286"</f>
        <v>A0185286</v>
      </c>
      <c r="D4222" t="s">
        <v>17358</v>
      </c>
      <c r="E4222" t="s">
        <v>17359</v>
      </c>
      <c r="F4222" t="s">
        <v>17360</v>
      </c>
      <c r="G4222" t="s">
        <v>137</v>
      </c>
      <c r="H4222" t="s">
        <v>17361</v>
      </c>
      <c r="I4222" t="s">
        <v>30</v>
      </c>
      <c r="J4222" t="s">
        <v>41</v>
      </c>
      <c r="K4222" t="s">
        <v>59</v>
      </c>
      <c r="Q4222">
        <v>0</v>
      </c>
      <c r="R4222">
        <v>0</v>
      </c>
      <c r="S4222">
        <v>0</v>
      </c>
      <c r="T4222" t="s">
        <v>17362</v>
      </c>
    </row>
    <row r="4223" spans="1:20" customFormat="1" ht="15" x14ac:dyDescent="0.25">
      <c r="A4223" t="s">
        <v>35</v>
      </c>
      <c r="B4223" t="s">
        <v>61</v>
      </c>
      <c r="C4223" t="str">
        <f>"A0185285"</f>
        <v>A0185285</v>
      </c>
      <c r="D4223" t="s">
        <v>17363</v>
      </c>
      <c r="E4223" t="s">
        <v>17364</v>
      </c>
      <c r="F4223" t="s">
        <v>17365</v>
      </c>
      <c r="G4223" t="s">
        <v>137</v>
      </c>
      <c r="H4223" t="s">
        <v>17366</v>
      </c>
      <c r="I4223" t="s">
        <v>30</v>
      </c>
      <c r="J4223" t="s">
        <v>41</v>
      </c>
      <c r="K4223" t="s">
        <v>59</v>
      </c>
      <c r="Q4223">
        <v>0</v>
      </c>
      <c r="R4223">
        <v>300</v>
      </c>
      <c r="S4223">
        <v>300</v>
      </c>
      <c r="T4223" t="s">
        <v>17367</v>
      </c>
    </row>
    <row r="4224" spans="1:20" customFormat="1" ht="15" x14ac:dyDescent="0.25">
      <c r="A4224" t="s">
        <v>35</v>
      </c>
      <c r="B4224" t="s">
        <v>61</v>
      </c>
      <c r="C4224" t="str">
        <f>"A0185284"</f>
        <v>A0185284</v>
      </c>
      <c r="D4224" t="s">
        <v>17368</v>
      </c>
      <c r="E4224" t="s">
        <v>17369</v>
      </c>
      <c r="F4224" t="s">
        <v>17370</v>
      </c>
      <c r="G4224" t="s">
        <v>40</v>
      </c>
      <c r="H4224" t="s">
        <v>17371</v>
      </c>
      <c r="I4224" t="s">
        <v>30</v>
      </c>
      <c r="J4224" t="s">
        <v>41</v>
      </c>
      <c r="K4224" t="s">
        <v>59</v>
      </c>
      <c r="Q4224">
        <v>0</v>
      </c>
      <c r="R4224">
        <v>0</v>
      </c>
      <c r="S4224">
        <v>0</v>
      </c>
      <c r="T4224" t="s">
        <v>17372</v>
      </c>
    </row>
    <row r="4225" spans="1:20" customFormat="1" ht="15" x14ac:dyDescent="0.25">
      <c r="A4225" t="s">
        <v>35</v>
      </c>
      <c r="B4225" t="s">
        <v>61</v>
      </c>
      <c r="C4225" t="str">
        <f>"A0185283"</f>
        <v>A0185283</v>
      </c>
      <c r="D4225" t="s">
        <v>17373</v>
      </c>
      <c r="E4225" t="s">
        <v>17374</v>
      </c>
      <c r="F4225" t="s">
        <v>17375</v>
      </c>
      <c r="G4225" t="s">
        <v>40</v>
      </c>
      <c r="H4225" t="s">
        <v>17376</v>
      </c>
      <c r="I4225" t="s">
        <v>30</v>
      </c>
      <c r="J4225" t="s">
        <v>41</v>
      </c>
      <c r="K4225" t="s">
        <v>59</v>
      </c>
      <c r="Q4225">
        <v>0</v>
      </c>
      <c r="R4225">
        <v>0</v>
      </c>
      <c r="S4225">
        <v>0</v>
      </c>
      <c r="T4225" t="s">
        <v>17377</v>
      </c>
    </row>
    <row r="4226" spans="1:20" customFormat="1" ht="15" x14ac:dyDescent="0.25">
      <c r="A4226" t="s">
        <v>35</v>
      </c>
      <c r="B4226" t="s">
        <v>61</v>
      </c>
      <c r="C4226" t="str">
        <f>"A0185282"</f>
        <v>A0185282</v>
      </c>
      <c r="D4226" t="s">
        <v>17378</v>
      </c>
      <c r="E4226" t="s">
        <v>17379</v>
      </c>
      <c r="F4226" t="s">
        <v>17380</v>
      </c>
      <c r="G4226" t="s">
        <v>40</v>
      </c>
      <c r="H4226">
        <v>74021</v>
      </c>
      <c r="I4226" t="s">
        <v>30</v>
      </c>
      <c r="J4226" t="s">
        <v>41</v>
      </c>
      <c r="K4226" t="s">
        <v>59</v>
      </c>
      <c r="Q4226">
        <v>0</v>
      </c>
      <c r="R4226">
        <v>154</v>
      </c>
      <c r="S4226">
        <v>154</v>
      </c>
      <c r="T4226" t="s">
        <v>17381</v>
      </c>
    </row>
    <row r="4227" spans="1:20" customFormat="1" ht="15" x14ac:dyDescent="0.25">
      <c r="A4227" t="s">
        <v>35</v>
      </c>
      <c r="B4227" t="s">
        <v>11892</v>
      </c>
      <c r="C4227" t="str">
        <f>"A0185281"</f>
        <v>A0185281</v>
      </c>
      <c r="D4227" t="s">
        <v>17382</v>
      </c>
      <c r="E4227" t="s">
        <v>17383</v>
      </c>
      <c r="F4227" t="s">
        <v>9939</v>
      </c>
      <c r="G4227" t="s">
        <v>117</v>
      </c>
      <c r="H4227" t="s">
        <v>17384</v>
      </c>
      <c r="I4227" t="s">
        <v>30</v>
      </c>
      <c r="J4227" t="s">
        <v>41</v>
      </c>
      <c r="K4227" t="s">
        <v>59</v>
      </c>
      <c r="Q4227">
        <v>0</v>
      </c>
      <c r="R4227">
        <v>0</v>
      </c>
      <c r="S4227">
        <v>0</v>
      </c>
      <c r="T4227" t="s">
        <v>17385</v>
      </c>
    </row>
    <row r="4228" spans="1:20" customFormat="1" ht="15" x14ac:dyDescent="0.25">
      <c r="A4228" t="s">
        <v>35</v>
      </c>
      <c r="B4228" t="s">
        <v>11892</v>
      </c>
      <c r="C4228" t="str">
        <f>"A0185280"</f>
        <v>A0185280</v>
      </c>
      <c r="D4228" t="s">
        <v>17386</v>
      </c>
      <c r="E4228" t="s">
        <v>17387</v>
      </c>
      <c r="F4228" t="s">
        <v>17388</v>
      </c>
      <c r="G4228" t="s">
        <v>117</v>
      </c>
      <c r="H4228" t="s">
        <v>17389</v>
      </c>
      <c r="I4228" t="s">
        <v>30</v>
      </c>
      <c r="J4228" t="s">
        <v>41</v>
      </c>
      <c r="K4228" t="s">
        <v>59</v>
      </c>
      <c r="Q4228">
        <v>0</v>
      </c>
      <c r="R4228">
        <v>0</v>
      </c>
      <c r="S4228">
        <v>0</v>
      </c>
      <c r="T4228" t="s">
        <v>17390</v>
      </c>
    </row>
    <row r="4229" spans="1:20" customFormat="1" ht="15" x14ac:dyDescent="0.25">
      <c r="A4229" t="s">
        <v>35</v>
      </c>
      <c r="B4229" t="s">
        <v>61</v>
      </c>
      <c r="C4229" t="str">
        <f>"A0185279"</f>
        <v>A0185279</v>
      </c>
      <c r="D4229" t="s">
        <v>17391</v>
      </c>
      <c r="E4229" t="s">
        <v>17392</v>
      </c>
      <c r="F4229" t="s">
        <v>4037</v>
      </c>
      <c r="G4229" t="s">
        <v>40</v>
      </c>
      <c r="H4229" t="s">
        <v>17393</v>
      </c>
      <c r="I4229" t="s">
        <v>30</v>
      </c>
      <c r="J4229" t="s">
        <v>41</v>
      </c>
      <c r="K4229" t="s">
        <v>59</v>
      </c>
      <c r="Q4229">
        <v>0</v>
      </c>
      <c r="R4229">
        <v>50</v>
      </c>
      <c r="S4229">
        <v>50</v>
      </c>
      <c r="T4229" t="s">
        <v>17394</v>
      </c>
    </row>
    <row r="4230" spans="1:20" customFormat="1" ht="15" x14ac:dyDescent="0.25">
      <c r="A4230" t="s">
        <v>35</v>
      </c>
      <c r="B4230" t="s">
        <v>61</v>
      </c>
      <c r="C4230" t="str">
        <f>"A0185278"</f>
        <v>A0185278</v>
      </c>
      <c r="D4230" t="s">
        <v>17395</v>
      </c>
      <c r="E4230" t="s">
        <v>17396</v>
      </c>
      <c r="F4230" t="s">
        <v>8348</v>
      </c>
      <c r="G4230" t="s">
        <v>40</v>
      </c>
      <c r="H4230" t="s">
        <v>17397</v>
      </c>
      <c r="I4230" t="s">
        <v>30</v>
      </c>
      <c r="J4230" t="s">
        <v>41</v>
      </c>
      <c r="K4230" t="s">
        <v>59</v>
      </c>
      <c r="Q4230">
        <v>0</v>
      </c>
      <c r="R4230">
        <v>0</v>
      </c>
      <c r="S4230">
        <v>0</v>
      </c>
      <c r="T4230" t="s">
        <v>17398</v>
      </c>
    </row>
    <row r="4231" spans="1:20" customFormat="1" ht="15" x14ac:dyDescent="0.25">
      <c r="A4231" t="s">
        <v>35</v>
      </c>
      <c r="B4231" t="s">
        <v>61</v>
      </c>
      <c r="C4231" t="str">
        <f>"A0185277"</f>
        <v>A0185277</v>
      </c>
      <c r="D4231" t="s">
        <v>17399</v>
      </c>
      <c r="E4231" t="s">
        <v>17400</v>
      </c>
      <c r="F4231" t="s">
        <v>17401</v>
      </c>
      <c r="G4231" t="s">
        <v>40</v>
      </c>
      <c r="H4231" t="s">
        <v>17402</v>
      </c>
      <c r="I4231" t="s">
        <v>30</v>
      </c>
      <c r="J4231" t="s">
        <v>41</v>
      </c>
      <c r="K4231" t="s">
        <v>59</v>
      </c>
      <c r="Q4231">
        <v>0</v>
      </c>
      <c r="R4231">
        <v>0</v>
      </c>
      <c r="S4231">
        <v>0</v>
      </c>
      <c r="T4231" t="s">
        <v>17403</v>
      </c>
    </row>
    <row r="4232" spans="1:20" customFormat="1" ht="15" x14ac:dyDescent="0.25">
      <c r="A4232" t="s">
        <v>35</v>
      </c>
      <c r="B4232" t="s">
        <v>61</v>
      </c>
      <c r="C4232" t="str">
        <f>"A0185276"</f>
        <v>A0185276</v>
      </c>
      <c r="D4232" t="s">
        <v>17404</v>
      </c>
      <c r="E4232" t="s">
        <v>17405</v>
      </c>
      <c r="F4232" t="s">
        <v>17406</v>
      </c>
      <c r="G4232" t="s">
        <v>40</v>
      </c>
      <c r="H4232" t="s">
        <v>17407</v>
      </c>
      <c r="I4232" t="s">
        <v>30</v>
      </c>
      <c r="J4232" t="s">
        <v>41</v>
      </c>
      <c r="K4232" t="s">
        <v>59</v>
      </c>
      <c r="Q4232">
        <v>0</v>
      </c>
      <c r="R4232">
        <v>68</v>
      </c>
      <c r="S4232">
        <v>68</v>
      </c>
      <c r="T4232" t="s">
        <v>17408</v>
      </c>
    </row>
    <row r="4233" spans="1:20" customFormat="1" ht="15" x14ac:dyDescent="0.25">
      <c r="A4233" t="s">
        <v>35</v>
      </c>
      <c r="B4233" t="s">
        <v>61</v>
      </c>
      <c r="C4233" t="str">
        <f>"A0185275"</f>
        <v>A0185275</v>
      </c>
      <c r="D4233" t="s">
        <v>17409</v>
      </c>
      <c r="E4233" t="s">
        <v>17410</v>
      </c>
      <c r="F4233" t="s">
        <v>17000</v>
      </c>
      <c r="G4233" t="s">
        <v>137</v>
      </c>
      <c r="H4233" t="s">
        <v>17411</v>
      </c>
      <c r="I4233" t="s">
        <v>30</v>
      </c>
      <c r="J4233" t="s">
        <v>41</v>
      </c>
      <c r="K4233" t="s">
        <v>59</v>
      </c>
      <c r="Q4233">
        <v>0</v>
      </c>
      <c r="R4233">
        <v>0</v>
      </c>
      <c r="S4233">
        <v>0</v>
      </c>
      <c r="T4233" t="s">
        <v>17412</v>
      </c>
    </row>
    <row r="4234" spans="1:20" customFormat="1" ht="15" x14ac:dyDescent="0.25">
      <c r="A4234" t="s">
        <v>35</v>
      </c>
      <c r="B4234" t="s">
        <v>61</v>
      </c>
      <c r="C4234" t="str">
        <f>"A0185274"</f>
        <v>A0185274</v>
      </c>
      <c r="D4234" t="s">
        <v>17413</v>
      </c>
      <c r="E4234" t="s">
        <v>17414</v>
      </c>
      <c r="F4234" t="s">
        <v>17193</v>
      </c>
      <c r="G4234" t="s">
        <v>137</v>
      </c>
      <c r="H4234" t="s">
        <v>17415</v>
      </c>
      <c r="I4234" t="s">
        <v>30</v>
      </c>
      <c r="J4234" t="s">
        <v>41</v>
      </c>
      <c r="K4234" t="s">
        <v>59</v>
      </c>
      <c r="Q4234">
        <v>0</v>
      </c>
      <c r="R4234">
        <v>0</v>
      </c>
      <c r="S4234">
        <v>0</v>
      </c>
      <c r="T4234" t="s">
        <v>17054</v>
      </c>
    </row>
    <row r="4235" spans="1:20" customFormat="1" ht="15" x14ac:dyDescent="0.25">
      <c r="A4235" t="s">
        <v>35</v>
      </c>
      <c r="B4235" t="s">
        <v>61</v>
      </c>
      <c r="C4235" t="str">
        <f>"A0185273"</f>
        <v>A0185273</v>
      </c>
      <c r="D4235" t="s">
        <v>17416</v>
      </c>
      <c r="E4235" t="s">
        <v>17417</v>
      </c>
      <c r="F4235" t="s">
        <v>17069</v>
      </c>
      <c r="G4235" t="s">
        <v>137</v>
      </c>
      <c r="H4235" t="s">
        <v>17418</v>
      </c>
      <c r="I4235" t="s">
        <v>30</v>
      </c>
      <c r="J4235" t="s">
        <v>41</v>
      </c>
      <c r="K4235" t="s">
        <v>59</v>
      </c>
      <c r="Q4235">
        <v>0</v>
      </c>
      <c r="R4235">
        <v>236</v>
      </c>
      <c r="S4235">
        <v>236</v>
      </c>
      <c r="T4235" t="s">
        <v>17419</v>
      </c>
    </row>
    <row r="4236" spans="1:20" customFormat="1" ht="15" x14ac:dyDescent="0.25">
      <c r="A4236" t="s">
        <v>35</v>
      </c>
      <c r="B4236" t="s">
        <v>61</v>
      </c>
      <c r="C4236" t="str">
        <f>"A0185272"</f>
        <v>A0185272</v>
      </c>
      <c r="D4236" t="s">
        <v>17420</v>
      </c>
      <c r="E4236" t="s">
        <v>17421</v>
      </c>
      <c r="F4236" t="s">
        <v>1298</v>
      </c>
      <c r="G4236" t="s">
        <v>137</v>
      </c>
      <c r="H4236" t="s">
        <v>17422</v>
      </c>
      <c r="I4236" t="s">
        <v>30</v>
      </c>
      <c r="J4236" t="s">
        <v>41</v>
      </c>
      <c r="K4236" t="s">
        <v>59</v>
      </c>
      <c r="Q4236">
        <v>0</v>
      </c>
      <c r="R4236">
        <v>390</v>
      </c>
      <c r="S4236">
        <v>390</v>
      </c>
      <c r="T4236" t="s">
        <v>17423</v>
      </c>
    </row>
    <row r="4237" spans="1:20" customFormat="1" ht="15" x14ac:dyDescent="0.25">
      <c r="A4237" t="s">
        <v>35</v>
      </c>
      <c r="B4237" t="s">
        <v>61</v>
      </c>
      <c r="C4237" t="str">
        <f>"A0185271"</f>
        <v>A0185271</v>
      </c>
      <c r="D4237" t="s">
        <v>17424</v>
      </c>
      <c r="E4237" t="s">
        <v>17425</v>
      </c>
      <c r="F4237" t="s">
        <v>4037</v>
      </c>
      <c r="G4237" t="s">
        <v>40</v>
      </c>
      <c r="H4237" t="s">
        <v>17426</v>
      </c>
      <c r="I4237" t="s">
        <v>30</v>
      </c>
      <c r="J4237" t="s">
        <v>41</v>
      </c>
      <c r="K4237" t="s">
        <v>59</v>
      </c>
      <c r="Q4237">
        <v>0</v>
      </c>
      <c r="R4237">
        <v>0</v>
      </c>
      <c r="S4237">
        <v>0</v>
      </c>
    </row>
    <row r="4238" spans="1:20" customFormat="1" ht="15" x14ac:dyDescent="0.25">
      <c r="A4238" t="s">
        <v>35</v>
      </c>
      <c r="B4238" t="s">
        <v>61</v>
      </c>
      <c r="C4238" t="str">
        <f>"A0185270"</f>
        <v>A0185270</v>
      </c>
      <c r="D4238" t="s">
        <v>17427</v>
      </c>
      <c r="E4238" t="s">
        <v>17428</v>
      </c>
      <c r="F4238" t="s">
        <v>4037</v>
      </c>
      <c r="G4238" t="s">
        <v>40</v>
      </c>
      <c r="H4238" t="s">
        <v>17429</v>
      </c>
      <c r="I4238" t="s">
        <v>30</v>
      </c>
      <c r="J4238" t="s">
        <v>41</v>
      </c>
      <c r="K4238" t="s">
        <v>59</v>
      </c>
      <c r="Q4238">
        <v>0</v>
      </c>
      <c r="R4238">
        <v>0</v>
      </c>
      <c r="S4238">
        <v>0</v>
      </c>
      <c r="T4238" t="s">
        <v>17430</v>
      </c>
    </row>
    <row r="4239" spans="1:20" customFormat="1" ht="15" x14ac:dyDescent="0.25">
      <c r="A4239" t="s">
        <v>35</v>
      </c>
      <c r="B4239" t="s">
        <v>61</v>
      </c>
      <c r="C4239" t="str">
        <f>"A0185269"</f>
        <v>A0185269</v>
      </c>
      <c r="D4239" t="s">
        <v>17431</v>
      </c>
      <c r="E4239" t="s">
        <v>17432</v>
      </c>
      <c r="F4239" t="s">
        <v>4037</v>
      </c>
      <c r="G4239" t="s">
        <v>40</v>
      </c>
      <c r="H4239" t="s">
        <v>17433</v>
      </c>
      <c r="I4239" t="s">
        <v>30</v>
      </c>
      <c r="J4239" t="s">
        <v>41</v>
      </c>
      <c r="K4239" t="s">
        <v>59</v>
      </c>
      <c r="Q4239">
        <v>0</v>
      </c>
      <c r="R4239">
        <v>0</v>
      </c>
      <c r="S4239">
        <v>0</v>
      </c>
      <c r="T4239" t="s">
        <v>17434</v>
      </c>
    </row>
    <row r="4240" spans="1:20" customFormat="1" ht="15" x14ac:dyDescent="0.25">
      <c r="A4240" t="s">
        <v>35</v>
      </c>
      <c r="B4240" t="s">
        <v>61</v>
      </c>
      <c r="C4240" t="str">
        <f>"A0185268"</f>
        <v>A0185268</v>
      </c>
      <c r="D4240" t="s">
        <v>17435</v>
      </c>
      <c r="E4240" t="s">
        <v>17436</v>
      </c>
      <c r="F4240" t="s">
        <v>4037</v>
      </c>
      <c r="G4240" t="s">
        <v>40</v>
      </c>
      <c r="H4240" t="s">
        <v>17437</v>
      </c>
      <c r="I4240" t="s">
        <v>30</v>
      </c>
      <c r="J4240" t="s">
        <v>41</v>
      </c>
      <c r="K4240" t="s">
        <v>59</v>
      </c>
      <c r="Q4240">
        <v>0</v>
      </c>
      <c r="R4240">
        <v>0</v>
      </c>
      <c r="S4240">
        <v>0</v>
      </c>
      <c r="T4240" t="s">
        <v>17438</v>
      </c>
    </row>
    <row r="4241" spans="1:20" customFormat="1" ht="15" x14ac:dyDescent="0.25">
      <c r="A4241" t="s">
        <v>35</v>
      </c>
      <c r="B4241" t="s">
        <v>61</v>
      </c>
      <c r="C4241" t="str">
        <f>"A0185267"</f>
        <v>A0185267</v>
      </c>
      <c r="D4241" t="s">
        <v>17439</v>
      </c>
      <c r="E4241" t="s">
        <v>17440</v>
      </c>
      <c r="F4241" t="s">
        <v>17441</v>
      </c>
      <c r="G4241" t="s">
        <v>40</v>
      </c>
      <c r="H4241" t="s">
        <v>17442</v>
      </c>
      <c r="I4241" t="s">
        <v>30</v>
      </c>
      <c r="J4241" t="s">
        <v>41</v>
      </c>
      <c r="K4241" t="s">
        <v>59</v>
      </c>
      <c r="Q4241">
        <v>0</v>
      </c>
      <c r="R4241">
        <v>176</v>
      </c>
      <c r="S4241">
        <v>176</v>
      </c>
      <c r="T4241" t="s">
        <v>17443</v>
      </c>
    </row>
    <row r="4242" spans="1:20" customFormat="1" ht="15" x14ac:dyDescent="0.25">
      <c r="A4242" t="s">
        <v>35</v>
      </c>
      <c r="B4242" t="s">
        <v>61</v>
      </c>
      <c r="C4242" t="str">
        <f>"A0185266"</f>
        <v>A0185266</v>
      </c>
      <c r="D4242" t="s">
        <v>17444</v>
      </c>
      <c r="E4242" t="s">
        <v>17445</v>
      </c>
      <c r="F4242" t="s">
        <v>4037</v>
      </c>
      <c r="G4242" t="s">
        <v>40</v>
      </c>
      <c r="H4242">
        <v>73162</v>
      </c>
      <c r="I4242" t="s">
        <v>30</v>
      </c>
      <c r="J4242" t="s">
        <v>41</v>
      </c>
      <c r="K4242" t="s">
        <v>59</v>
      </c>
      <c r="Q4242">
        <v>0</v>
      </c>
      <c r="R4242">
        <v>120</v>
      </c>
      <c r="S4242">
        <v>120</v>
      </c>
      <c r="T4242" t="s">
        <v>17446</v>
      </c>
    </row>
    <row r="4243" spans="1:20" customFormat="1" ht="15" x14ac:dyDescent="0.25">
      <c r="A4243" t="s">
        <v>35</v>
      </c>
      <c r="B4243" t="s">
        <v>11892</v>
      </c>
      <c r="C4243" t="str">
        <f>"A0185265"</f>
        <v>A0185265</v>
      </c>
      <c r="D4243" t="s">
        <v>17447</v>
      </c>
      <c r="E4243" t="s">
        <v>17448</v>
      </c>
      <c r="F4243" t="s">
        <v>13336</v>
      </c>
      <c r="G4243" t="s">
        <v>117</v>
      </c>
      <c r="H4243">
        <v>49015</v>
      </c>
      <c r="I4243" t="s">
        <v>30</v>
      </c>
      <c r="J4243" t="s">
        <v>41</v>
      </c>
      <c r="K4243" t="s">
        <v>59</v>
      </c>
      <c r="Q4243">
        <v>0</v>
      </c>
      <c r="R4243">
        <v>0</v>
      </c>
      <c r="S4243">
        <v>0</v>
      </c>
      <c r="T4243" t="s">
        <v>17449</v>
      </c>
    </row>
    <row r="4244" spans="1:20" customFormat="1" ht="15" x14ac:dyDescent="0.25">
      <c r="A4244" t="s">
        <v>35</v>
      </c>
      <c r="B4244" t="s">
        <v>11892</v>
      </c>
      <c r="C4244" t="str">
        <f>"A0185264"</f>
        <v>A0185264</v>
      </c>
      <c r="D4244" t="s">
        <v>17450</v>
      </c>
      <c r="E4244" t="s">
        <v>17451</v>
      </c>
      <c r="F4244" t="s">
        <v>8846</v>
      </c>
      <c r="G4244" t="s">
        <v>117</v>
      </c>
      <c r="H4244" t="s">
        <v>17452</v>
      </c>
      <c r="I4244" t="s">
        <v>30</v>
      </c>
      <c r="J4244" t="s">
        <v>41</v>
      </c>
      <c r="K4244" t="s">
        <v>59</v>
      </c>
      <c r="Q4244">
        <v>0</v>
      </c>
      <c r="R4244">
        <v>46</v>
      </c>
      <c r="S4244">
        <v>46</v>
      </c>
      <c r="T4244" t="s">
        <v>17453</v>
      </c>
    </row>
    <row r="4245" spans="1:20" customFormat="1" ht="15" x14ac:dyDescent="0.25">
      <c r="A4245" t="s">
        <v>35</v>
      </c>
      <c r="B4245" t="s">
        <v>61</v>
      </c>
      <c r="C4245" t="str">
        <f>"A0185263"</f>
        <v>A0185263</v>
      </c>
      <c r="D4245" t="s">
        <v>17454</v>
      </c>
      <c r="E4245" t="s">
        <v>17455</v>
      </c>
      <c r="F4245" t="s">
        <v>5669</v>
      </c>
      <c r="G4245" t="s">
        <v>117</v>
      </c>
      <c r="H4245" t="s">
        <v>17456</v>
      </c>
      <c r="I4245" t="s">
        <v>30</v>
      </c>
      <c r="J4245" t="s">
        <v>41</v>
      </c>
      <c r="K4245" t="s">
        <v>59</v>
      </c>
      <c r="Q4245">
        <v>0</v>
      </c>
      <c r="R4245">
        <v>0</v>
      </c>
      <c r="S4245">
        <v>0</v>
      </c>
      <c r="T4245" t="s">
        <v>17457</v>
      </c>
    </row>
    <row r="4246" spans="1:20" customFormat="1" ht="15" x14ac:dyDescent="0.25">
      <c r="A4246" t="s">
        <v>35</v>
      </c>
      <c r="B4246" t="s">
        <v>11871</v>
      </c>
      <c r="C4246" t="str">
        <f>"A0185262"</f>
        <v>A0185262</v>
      </c>
      <c r="D4246" t="s">
        <v>17458</v>
      </c>
      <c r="E4246" t="s">
        <v>17459</v>
      </c>
      <c r="F4246" t="s">
        <v>116</v>
      </c>
      <c r="G4246" t="s">
        <v>117</v>
      </c>
      <c r="H4246" t="s">
        <v>17460</v>
      </c>
      <c r="I4246" t="s">
        <v>30</v>
      </c>
      <c r="J4246" t="s">
        <v>41</v>
      </c>
      <c r="K4246" t="s">
        <v>59</v>
      </c>
      <c r="Q4246">
        <v>0</v>
      </c>
      <c r="R4246">
        <v>0</v>
      </c>
      <c r="S4246">
        <v>0</v>
      </c>
      <c r="T4246" t="s">
        <v>17461</v>
      </c>
    </row>
    <row r="4247" spans="1:20" customFormat="1" ht="15" x14ac:dyDescent="0.25">
      <c r="A4247" t="s">
        <v>35</v>
      </c>
      <c r="B4247" t="s">
        <v>61</v>
      </c>
      <c r="C4247" t="str">
        <f>"A0185261"</f>
        <v>A0185261</v>
      </c>
      <c r="D4247" t="s">
        <v>17462</v>
      </c>
      <c r="E4247" t="s">
        <v>17463</v>
      </c>
      <c r="F4247" t="s">
        <v>17000</v>
      </c>
      <c r="G4247" t="s">
        <v>137</v>
      </c>
      <c r="H4247" t="s">
        <v>17464</v>
      </c>
      <c r="I4247" t="s">
        <v>30</v>
      </c>
      <c r="J4247" t="s">
        <v>41</v>
      </c>
      <c r="K4247" t="s">
        <v>59</v>
      </c>
      <c r="Q4247">
        <v>0</v>
      </c>
      <c r="R4247">
        <v>104</v>
      </c>
      <c r="S4247">
        <v>104</v>
      </c>
      <c r="T4247" t="s">
        <v>17465</v>
      </c>
    </row>
    <row r="4248" spans="1:20" customFormat="1" ht="15" x14ac:dyDescent="0.25">
      <c r="A4248" t="s">
        <v>35</v>
      </c>
      <c r="B4248" t="s">
        <v>61</v>
      </c>
      <c r="C4248" t="str">
        <f>"A0185260"</f>
        <v>A0185260</v>
      </c>
      <c r="D4248" t="s">
        <v>17466</v>
      </c>
      <c r="E4248" t="s">
        <v>17467</v>
      </c>
      <c r="F4248" t="s">
        <v>17468</v>
      </c>
      <c r="G4248" t="s">
        <v>137</v>
      </c>
      <c r="H4248" t="s">
        <v>17469</v>
      </c>
      <c r="I4248" t="s">
        <v>30</v>
      </c>
      <c r="J4248" t="s">
        <v>41</v>
      </c>
      <c r="K4248" t="s">
        <v>59</v>
      </c>
      <c r="Q4248">
        <v>0</v>
      </c>
      <c r="R4248">
        <v>146</v>
      </c>
      <c r="S4248">
        <v>146</v>
      </c>
      <c r="T4248" t="s">
        <v>17470</v>
      </c>
    </row>
    <row r="4249" spans="1:20" customFormat="1" ht="15" x14ac:dyDescent="0.25">
      <c r="A4249" t="s">
        <v>35</v>
      </c>
      <c r="B4249" t="s">
        <v>61</v>
      </c>
      <c r="C4249" t="str">
        <f>"A0185259"</f>
        <v>A0185259</v>
      </c>
      <c r="D4249" t="s">
        <v>17471</v>
      </c>
      <c r="E4249" t="s">
        <v>17472</v>
      </c>
      <c r="F4249" t="s">
        <v>17000</v>
      </c>
      <c r="G4249" t="s">
        <v>137</v>
      </c>
      <c r="H4249" t="s">
        <v>17473</v>
      </c>
      <c r="I4249" t="s">
        <v>30</v>
      </c>
      <c r="J4249" t="s">
        <v>41</v>
      </c>
      <c r="K4249" t="s">
        <v>59</v>
      </c>
      <c r="Q4249">
        <v>0</v>
      </c>
      <c r="R4249">
        <v>43</v>
      </c>
      <c r="S4249">
        <v>43</v>
      </c>
      <c r="T4249" t="s">
        <v>17474</v>
      </c>
    </row>
    <row r="4250" spans="1:20" customFormat="1" ht="15" x14ac:dyDescent="0.25">
      <c r="A4250" t="s">
        <v>35</v>
      </c>
      <c r="B4250" t="s">
        <v>11871</v>
      </c>
      <c r="C4250" t="str">
        <f>"A0185258"</f>
        <v>A0185258</v>
      </c>
      <c r="D4250" t="s">
        <v>17475</v>
      </c>
      <c r="E4250" t="s">
        <v>17476</v>
      </c>
      <c r="F4250" t="s">
        <v>2433</v>
      </c>
      <c r="G4250" t="s">
        <v>137</v>
      </c>
      <c r="H4250" t="s">
        <v>17477</v>
      </c>
      <c r="I4250" t="s">
        <v>30</v>
      </c>
      <c r="J4250" t="s">
        <v>41</v>
      </c>
      <c r="K4250" t="s">
        <v>59</v>
      </c>
      <c r="Q4250">
        <v>0</v>
      </c>
      <c r="R4250">
        <v>0</v>
      </c>
      <c r="S4250">
        <v>0</v>
      </c>
    </row>
    <row r="4251" spans="1:20" customFormat="1" ht="15" x14ac:dyDescent="0.25">
      <c r="A4251" t="s">
        <v>35</v>
      </c>
      <c r="B4251" t="s">
        <v>61</v>
      </c>
      <c r="C4251" t="str">
        <f>"A0185257"</f>
        <v>A0185257</v>
      </c>
      <c r="D4251" t="s">
        <v>17478</v>
      </c>
      <c r="E4251" t="s">
        <v>17479</v>
      </c>
      <c r="F4251" t="s">
        <v>1669</v>
      </c>
      <c r="G4251" t="s">
        <v>137</v>
      </c>
      <c r="H4251" t="s">
        <v>17480</v>
      </c>
      <c r="I4251" t="s">
        <v>30</v>
      </c>
      <c r="J4251" t="s">
        <v>41</v>
      </c>
      <c r="K4251" t="s">
        <v>59</v>
      </c>
      <c r="Q4251">
        <v>0</v>
      </c>
      <c r="R4251">
        <v>62</v>
      </c>
      <c r="S4251">
        <v>62</v>
      </c>
      <c r="T4251" t="s">
        <v>17481</v>
      </c>
    </row>
    <row r="4252" spans="1:20" customFormat="1" ht="15" x14ac:dyDescent="0.25">
      <c r="A4252" t="s">
        <v>35</v>
      </c>
      <c r="B4252" t="s">
        <v>61</v>
      </c>
      <c r="C4252" t="str">
        <f>"A0185256"</f>
        <v>A0185256</v>
      </c>
      <c r="D4252" t="s">
        <v>17482</v>
      </c>
      <c r="E4252" t="s">
        <v>17414</v>
      </c>
      <c r="F4252" t="s">
        <v>17000</v>
      </c>
      <c r="G4252" t="s">
        <v>137</v>
      </c>
      <c r="H4252" t="s">
        <v>17415</v>
      </c>
      <c r="I4252" t="s">
        <v>30</v>
      </c>
      <c r="J4252" t="s">
        <v>41</v>
      </c>
      <c r="K4252" t="s">
        <v>59</v>
      </c>
      <c r="Q4252">
        <v>0</v>
      </c>
      <c r="R4252">
        <v>799</v>
      </c>
      <c r="S4252">
        <v>799</v>
      </c>
      <c r="T4252" t="s">
        <v>17483</v>
      </c>
    </row>
    <row r="4253" spans="1:20" customFormat="1" ht="15" x14ac:dyDescent="0.25">
      <c r="A4253" t="s">
        <v>35</v>
      </c>
      <c r="B4253" t="s">
        <v>61</v>
      </c>
      <c r="C4253" t="str">
        <f>"A0185255"</f>
        <v>A0185255</v>
      </c>
      <c r="D4253" t="s">
        <v>17484</v>
      </c>
      <c r="E4253" t="s">
        <v>17485</v>
      </c>
      <c r="F4253" t="s">
        <v>17486</v>
      </c>
      <c r="G4253" t="s">
        <v>40</v>
      </c>
      <c r="H4253" t="s">
        <v>17487</v>
      </c>
      <c r="I4253" t="s">
        <v>30</v>
      </c>
      <c r="J4253" t="s">
        <v>41</v>
      </c>
      <c r="K4253" t="s">
        <v>59</v>
      </c>
      <c r="Q4253">
        <v>0</v>
      </c>
      <c r="R4253">
        <v>0</v>
      </c>
      <c r="S4253">
        <v>0</v>
      </c>
      <c r="T4253" t="s">
        <v>17488</v>
      </c>
    </row>
    <row r="4254" spans="1:20" customFormat="1" ht="15" x14ac:dyDescent="0.25">
      <c r="A4254" t="s">
        <v>35</v>
      </c>
      <c r="B4254" t="s">
        <v>61</v>
      </c>
      <c r="C4254" t="str">
        <f>"A0185254"</f>
        <v>A0185254</v>
      </c>
      <c r="D4254" t="s">
        <v>17489</v>
      </c>
      <c r="E4254" t="s">
        <v>17490</v>
      </c>
      <c r="F4254" t="s">
        <v>130</v>
      </c>
      <c r="G4254" t="s">
        <v>40</v>
      </c>
      <c r="H4254" t="s">
        <v>17491</v>
      </c>
      <c r="I4254" t="s">
        <v>30</v>
      </c>
      <c r="J4254" t="s">
        <v>41</v>
      </c>
      <c r="K4254" t="s">
        <v>59</v>
      </c>
      <c r="Q4254">
        <v>0</v>
      </c>
      <c r="R4254">
        <v>120</v>
      </c>
      <c r="S4254">
        <v>120</v>
      </c>
      <c r="T4254" t="s">
        <v>17492</v>
      </c>
    </row>
    <row r="4255" spans="1:20" customFormat="1" ht="15" x14ac:dyDescent="0.25">
      <c r="A4255" t="s">
        <v>35</v>
      </c>
      <c r="B4255" t="s">
        <v>61</v>
      </c>
      <c r="C4255" t="str">
        <f>"A0185253"</f>
        <v>A0185253</v>
      </c>
      <c r="D4255" t="s">
        <v>17493</v>
      </c>
      <c r="E4255" t="s">
        <v>17494</v>
      </c>
      <c r="F4255" t="s">
        <v>13387</v>
      </c>
      <c r="G4255" t="s">
        <v>40</v>
      </c>
      <c r="H4255" t="s">
        <v>17495</v>
      </c>
      <c r="I4255" t="s">
        <v>30</v>
      </c>
      <c r="J4255" t="s">
        <v>41</v>
      </c>
      <c r="K4255" t="s">
        <v>59</v>
      </c>
      <c r="Q4255">
        <v>0</v>
      </c>
      <c r="R4255">
        <v>54</v>
      </c>
      <c r="S4255">
        <v>54</v>
      </c>
      <c r="T4255" t="s">
        <v>17496</v>
      </c>
    </row>
    <row r="4256" spans="1:20" customFormat="1" ht="15" x14ac:dyDescent="0.25">
      <c r="A4256" t="s">
        <v>35</v>
      </c>
      <c r="B4256" t="s">
        <v>61</v>
      </c>
      <c r="C4256" t="str">
        <f>"A0185252"</f>
        <v>A0185252</v>
      </c>
      <c r="D4256" t="s">
        <v>17497</v>
      </c>
      <c r="E4256" t="s">
        <v>17498</v>
      </c>
      <c r="F4256" t="s">
        <v>17406</v>
      </c>
      <c r="G4256" t="s">
        <v>40</v>
      </c>
      <c r="H4256" t="s">
        <v>17499</v>
      </c>
      <c r="I4256" t="s">
        <v>30</v>
      </c>
      <c r="J4256" t="s">
        <v>41</v>
      </c>
      <c r="K4256" t="s">
        <v>59</v>
      </c>
      <c r="Q4256">
        <v>0</v>
      </c>
      <c r="R4256">
        <v>0</v>
      </c>
      <c r="S4256">
        <v>0</v>
      </c>
      <c r="T4256" t="s">
        <v>17500</v>
      </c>
    </row>
    <row r="4257" spans="1:20" customFormat="1" ht="15" x14ac:dyDescent="0.25">
      <c r="A4257" t="s">
        <v>35</v>
      </c>
      <c r="B4257" t="s">
        <v>61</v>
      </c>
      <c r="C4257" t="str">
        <f>"A0185251"</f>
        <v>A0185251</v>
      </c>
      <c r="D4257" t="s">
        <v>17501</v>
      </c>
      <c r="E4257" t="s">
        <v>17502</v>
      </c>
      <c r="F4257" t="s">
        <v>8348</v>
      </c>
      <c r="G4257" t="s">
        <v>40</v>
      </c>
      <c r="H4257" t="s">
        <v>17503</v>
      </c>
      <c r="I4257" t="s">
        <v>30</v>
      </c>
      <c r="J4257" t="s">
        <v>41</v>
      </c>
      <c r="K4257" t="s">
        <v>59</v>
      </c>
      <c r="Q4257">
        <v>0</v>
      </c>
      <c r="R4257">
        <v>0</v>
      </c>
      <c r="S4257">
        <v>0</v>
      </c>
      <c r="T4257" t="s">
        <v>17504</v>
      </c>
    </row>
    <row r="4258" spans="1:20" customFormat="1" ht="15" x14ac:dyDescent="0.25">
      <c r="A4258" t="s">
        <v>35</v>
      </c>
      <c r="B4258" t="s">
        <v>61</v>
      </c>
      <c r="C4258" t="str">
        <f>"A0185250"</f>
        <v>A0185250</v>
      </c>
      <c r="D4258" t="s">
        <v>17505</v>
      </c>
      <c r="E4258" t="s">
        <v>17506</v>
      </c>
      <c r="F4258" t="s">
        <v>12723</v>
      </c>
      <c r="G4258" t="s">
        <v>76</v>
      </c>
      <c r="H4258">
        <v>980458215</v>
      </c>
      <c r="I4258" t="s">
        <v>30</v>
      </c>
      <c r="J4258" t="s">
        <v>41</v>
      </c>
      <c r="K4258" t="s">
        <v>59</v>
      </c>
      <c r="Q4258">
        <v>0</v>
      </c>
      <c r="R4258">
        <v>0</v>
      </c>
      <c r="S4258">
        <v>0</v>
      </c>
      <c r="T4258" t="s">
        <v>17507</v>
      </c>
    </row>
    <row r="4259" spans="1:20" customFormat="1" ht="15" x14ac:dyDescent="0.25">
      <c r="A4259" t="s">
        <v>35</v>
      </c>
      <c r="B4259" t="s">
        <v>61</v>
      </c>
      <c r="C4259" t="str">
        <f>"A0185249"</f>
        <v>A0185249</v>
      </c>
      <c r="D4259" t="s">
        <v>17508</v>
      </c>
      <c r="E4259" t="s">
        <v>17509</v>
      </c>
      <c r="F4259" t="s">
        <v>17510</v>
      </c>
      <c r="G4259" t="s">
        <v>137</v>
      </c>
      <c r="H4259">
        <v>63127</v>
      </c>
      <c r="I4259" t="s">
        <v>30</v>
      </c>
      <c r="J4259" t="s">
        <v>41</v>
      </c>
      <c r="K4259" t="s">
        <v>59</v>
      </c>
      <c r="Q4259">
        <v>0</v>
      </c>
      <c r="R4259">
        <v>196</v>
      </c>
      <c r="S4259">
        <v>196</v>
      </c>
      <c r="T4259" t="s">
        <v>17511</v>
      </c>
    </row>
    <row r="4260" spans="1:20" customFormat="1" ht="15" x14ac:dyDescent="0.25">
      <c r="A4260" t="s">
        <v>35</v>
      </c>
      <c r="B4260" t="s">
        <v>61</v>
      </c>
      <c r="C4260" t="str">
        <f>"A0185248"</f>
        <v>A0185248</v>
      </c>
      <c r="D4260" t="s">
        <v>17512</v>
      </c>
      <c r="E4260" t="s">
        <v>17513</v>
      </c>
      <c r="F4260" t="s">
        <v>17000</v>
      </c>
      <c r="G4260" t="s">
        <v>137</v>
      </c>
      <c r="H4260" t="s">
        <v>17514</v>
      </c>
      <c r="I4260" t="s">
        <v>30</v>
      </c>
      <c r="J4260" t="s">
        <v>41</v>
      </c>
      <c r="K4260" t="s">
        <v>59</v>
      </c>
      <c r="Q4260">
        <v>0</v>
      </c>
      <c r="R4260">
        <v>0</v>
      </c>
      <c r="S4260">
        <v>0</v>
      </c>
      <c r="T4260" t="s">
        <v>17515</v>
      </c>
    </row>
    <row r="4261" spans="1:20" customFormat="1" ht="15" x14ac:dyDescent="0.25">
      <c r="A4261" t="s">
        <v>35</v>
      </c>
      <c r="B4261" t="s">
        <v>61</v>
      </c>
      <c r="C4261" t="str">
        <f>"A0185247"</f>
        <v>A0185247</v>
      </c>
      <c r="D4261" t="s">
        <v>17516</v>
      </c>
      <c r="E4261" t="s">
        <v>17517</v>
      </c>
      <c r="F4261" t="s">
        <v>17000</v>
      </c>
      <c r="G4261" t="s">
        <v>137</v>
      </c>
      <c r="H4261">
        <v>63119</v>
      </c>
      <c r="I4261" t="s">
        <v>30</v>
      </c>
      <c r="J4261" t="s">
        <v>41</v>
      </c>
      <c r="K4261" t="s">
        <v>59</v>
      </c>
      <c r="Q4261">
        <v>0</v>
      </c>
      <c r="R4261">
        <v>0</v>
      </c>
      <c r="S4261">
        <v>0</v>
      </c>
      <c r="T4261" t="s">
        <v>17518</v>
      </c>
    </row>
    <row r="4262" spans="1:20" customFormat="1" ht="15" x14ac:dyDescent="0.25">
      <c r="A4262" t="s">
        <v>35</v>
      </c>
      <c r="B4262" t="s">
        <v>61</v>
      </c>
      <c r="C4262" t="str">
        <f>"A0185246"</f>
        <v>A0185246</v>
      </c>
      <c r="D4262" t="s">
        <v>17519</v>
      </c>
      <c r="E4262" t="s">
        <v>17520</v>
      </c>
      <c r="F4262" t="s">
        <v>17521</v>
      </c>
      <c r="G4262" t="s">
        <v>137</v>
      </c>
      <c r="H4262">
        <v>63074</v>
      </c>
      <c r="I4262" t="s">
        <v>30</v>
      </c>
      <c r="J4262" t="s">
        <v>41</v>
      </c>
      <c r="K4262" t="s">
        <v>59</v>
      </c>
      <c r="Q4262">
        <v>0</v>
      </c>
      <c r="R4262">
        <v>0</v>
      </c>
      <c r="S4262">
        <v>0</v>
      </c>
      <c r="T4262" t="s">
        <v>17518</v>
      </c>
    </row>
    <row r="4263" spans="1:20" customFormat="1" ht="15" x14ac:dyDescent="0.25">
      <c r="A4263" t="s">
        <v>35</v>
      </c>
      <c r="B4263" t="s">
        <v>61</v>
      </c>
      <c r="C4263" t="str">
        <f>"A0185245"</f>
        <v>A0185245</v>
      </c>
      <c r="D4263" t="s">
        <v>17522</v>
      </c>
      <c r="E4263" t="s">
        <v>17523</v>
      </c>
      <c r="F4263" t="s">
        <v>17000</v>
      </c>
      <c r="G4263" t="s">
        <v>137</v>
      </c>
      <c r="H4263" t="s">
        <v>17415</v>
      </c>
      <c r="I4263" t="s">
        <v>30</v>
      </c>
      <c r="J4263" t="s">
        <v>41</v>
      </c>
      <c r="K4263" t="s">
        <v>59</v>
      </c>
      <c r="Q4263">
        <v>0</v>
      </c>
      <c r="R4263">
        <v>799</v>
      </c>
      <c r="S4263">
        <v>799</v>
      </c>
      <c r="T4263" t="s">
        <v>17483</v>
      </c>
    </row>
    <row r="4264" spans="1:20" customFormat="1" ht="15" x14ac:dyDescent="0.25">
      <c r="A4264" t="s">
        <v>35</v>
      </c>
      <c r="B4264" t="s">
        <v>61</v>
      </c>
      <c r="C4264" t="str">
        <f>"A0185244"</f>
        <v>A0185244</v>
      </c>
      <c r="D4264" t="s">
        <v>17524</v>
      </c>
      <c r="E4264" t="s">
        <v>17525</v>
      </c>
      <c r="F4264" t="s">
        <v>17000</v>
      </c>
      <c r="G4264" t="s">
        <v>137</v>
      </c>
      <c r="H4264" t="s">
        <v>17415</v>
      </c>
      <c r="I4264" t="s">
        <v>30</v>
      </c>
      <c r="J4264" t="s">
        <v>41</v>
      </c>
      <c r="K4264" t="s">
        <v>59</v>
      </c>
      <c r="Q4264">
        <v>0</v>
      </c>
      <c r="R4264">
        <v>799</v>
      </c>
      <c r="S4264">
        <v>799</v>
      </c>
      <c r="T4264" t="s">
        <v>17483</v>
      </c>
    </row>
    <row r="4265" spans="1:20" customFormat="1" ht="15" x14ac:dyDescent="0.25">
      <c r="A4265" t="s">
        <v>35</v>
      </c>
      <c r="B4265" t="s">
        <v>61</v>
      </c>
      <c r="C4265" t="str">
        <f>"A0185243"</f>
        <v>A0185243</v>
      </c>
      <c r="D4265" t="s">
        <v>17526</v>
      </c>
      <c r="E4265" t="s">
        <v>17527</v>
      </c>
      <c r="F4265" t="s">
        <v>17000</v>
      </c>
      <c r="G4265" t="s">
        <v>137</v>
      </c>
      <c r="H4265">
        <v>63109</v>
      </c>
      <c r="I4265" t="s">
        <v>30</v>
      </c>
      <c r="J4265" t="s">
        <v>41</v>
      </c>
      <c r="K4265" t="s">
        <v>59</v>
      </c>
      <c r="Q4265">
        <v>0</v>
      </c>
      <c r="R4265">
        <v>0</v>
      </c>
      <c r="S4265">
        <v>0</v>
      </c>
      <c r="T4265" t="s">
        <v>17528</v>
      </c>
    </row>
    <row r="4266" spans="1:20" customFormat="1" ht="15" x14ac:dyDescent="0.25">
      <c r="A4266" t="s">
        <v>35</v>
      </c>
      <c r="B4266" t="s">
        <v>61</v>
      </c>
      <c r="C4266" t="str">
        <f>"A0185242"</f>
        <v>A0185242</v>
      </c>
      <c r="D4266" t="s">
        <v>17529</v>
      </c>
      <c r="E4266" t="s">
        <v>17530</v>
      </c>
      <c r="F4266" t="s">
        <v>17167</v>
      </c>
      <c r="G4266" t="s">
        <v>137</v>
      </c>
      <c r="H4266" t="s">
        <v>17531</v>
      </c>
      <c r="I4266" t="s">
        <v>30</v>
      </c>
      <c r="J4266" t="s">
        <v>41</v>
      </c>
      <c r="K4266" t="s">
        <v>59</v>
      </c>
      <c r="Q4266">
        <v>0</v>
      </c>
      <c r="R4266">
        <v>46</v>
      </c>
      <c r="S4266">
        <v>46</v>
      </c>
      <c r="T4266" t="s">
        <v>17198</v>
      </c>
    </row>
    <row r="4267" spans="1:20" customFormat="1" ht="15" x14ac:dyDescent="0.25">
      <c r="A4267" t="s">
        <v>35</v>
      </c>
      <c r="B4267" t="s">
        <v>61</v>
      </c>
      <c r="C4267" t="str">
        <f>"A0185241"</f>
        <v>A0185241</v>
      </c>
      <c r="D4267" t="s">
        <v>17532</v>
      </c>
      <c r="E4267" t="s">
        <v>17533</v>
      </c>
      <c r="F4267" t="s">
        <v>17534</v>
      </c>
      <c r="G4267" t="s">
        <v>137</v>
      </c>
      <c r="H4267" t="s">
        <v>17535</v>
      </c>
      <c r="I4267" t="s">
        <v>30</v>
      </c>
      <c r="J4267" t="s">
        <v>41</v>
      </c>
      <c r="K4267" t="s">
        <v>59</v>
      </c>
      <c r="Q4267">
        <v>0</v>
      </c>
      <c r="R4267">
        <v>176</v>
      </c>
      <c r="S4267">
        <v>176</v>
      </c>
      <c r="T4267" t="s">
        <v>17536</v>
      </c>
    </row>
    <row r="4268" spans="1:20" customFormat="1" ht="15" x14ac:dyDescent="0.25">
      <c r="A4268" t="s">
        <v>35</v>
      </c>
      <c r="B4268" t="s">
        <v>61</v>
      </c>
      <c r="C4268" t="str">
        <f>"A0185240"</f>
        <v>A0185240</v>
      </c>
      <c r="D4268" t="s">
        <v>17537</v>
      </c>
      <c r="E4268" t="s">
        <v>17003</v>
      </c>
      <c r="F4268" t="s">
        <v>17219</v>
      </c>
      <c r="G4268" t="s">
        <v>137</v>
      </c>
      <c r="H4268" t="s">
        <v>17004</v>
      </c>
      <c r="I4268" t="s">
        <v>30</v>
      </c>
      <c r="J4268" t="s">
        <v>41</v>
      </c>
      <c r="K4268" t="s">
        <v>59</v>
      </c>
      <c r="Q4268">
        <v>0</v>
      </c>
      <c r="R4268">
        <v>0</v>
      </c>
      <c r="S4268">
        <v>0</v>
      </c>
      <c r="T4268" t="s">
        <v>17194</v>
      </c>
    </row>
    <row r="4269" spans="1:20" customFormat="1" ht="15" x14ac:dyDescent="0.25">
      <c r="A4269" t="s">
        <v>35</v>
      </c>
      <c r="B4269" t="s">
        <v>61</v>
      </c>
      <c r="C4269" t="str">
        <f>"A0185239"</f>
        <v>A0185239</v>
      </c>
      <c r="D4269" t="s">
        <v>17538</v>
      </c>
      <c r="E4269" t="s">
        <v>17539</v>
      </c>
      <c r="F4269" t="s">
        <v>17406</v>
      </c>
      <c r="G4269" t="s">
        <v>40</v>
      </c>
      <c r="H4269">
        <v>74006</v>
      </c>
      <c r="I4269" t="s">
        <v>30</v>
      </c>
      <c r="J4269" t="s">
        <v>41</v>
      </c>
      <c r="K4269" t="s">
        <v>59</v>
      </c>
      <c r="Q4269">
        <v>0</v>
      </c>
      <c r="R4269">
        <v>0</v>
      </c>
      <c r="S4269">
        <v>0</v>
      </c>
      <c r="T4269" t="s">
        <v>17540</v>
      </c>
    </row>
    <row r="4270" spans="1:20" customFormat="1" ht="15" x14ac:dyDescent="0.25">
      <c r="A4270" t="s">
        <v>35</v>
      </c>
      <c r="B4270" t="s">
        <v>61</v>
      </c>
      <c r="C4270" t="str">
        <f>"A0185238"</f>
        <v>A0185238</v>
      </c>
      <c r="D4270" t="s">
        <v>17541</v>
      </c>
      <c r="E4270" t="s">
        <v>17542</v>
      </c>
      <c r="F4270" t="s">
        <v>17543</v>
      </c>
      <c r="G4270" t="s">
        <v>40</v>
      </c>
      <c r="H4270" t="s">
        <v>17544</v>
      </c>
      <c r="I4270" t="s">
        <v>30</v>
      </c>
      <c r="J4270" t="s">
        <v>41</v>
      </c>
      <c r="K4270" t="s">
        <v>59</v>
      </c>
      <c r="Q4270">
        <v>0</v>
      </c>
      <c r="R4270">
        <v>0</v>
      </c>
      <c r="S4270">
        <v>0</v>
      </c>
      <c r="T4270" t="s">
        <v>17545</v>
      </c>
    </row>
    <row r="4271" spans="1:20" customFormat="1" ht="15" x14ac:dyDescent="0.25">
      <c r="A4271" t="s">
        <v>35</v>
      </c>
      <c r="B4271" t="s">
        <v>11892</v>
      </c>
      <c r="C4271" t="str">
        <f>"A0185237"</f>
        <v>A0185237</v>
      </c>
      <c r="D4271" t="s">
        <v>17546</v>
      </c>
      <c r="E4271" t="s">
        <v>17547</v>
      </c>
      <c r="F4271" t="s">
        <v>15636</v>
      </c>
      <c r="G4271" t="s">
        <v>117</v>
      </c>
      <c r="H4271" t="s">
        <v>17548</v>
      </c>
      <c r="I4271" t="s">
        <v>30</v>
      </c>
      <c r="J4271" t="s">
        <v>41</v>
      </c>
      <c r="K4271" t="s">
        <v>59</v>
      </c>
      <c r="Q4271">
        <v>0</v>
      </c>
      <c r="R4271">
        <v>0</v>
      </c>
      <c r="S4271">
        <v>0</v>
      </c>
      <c r="T4271" t="s">
        <v>17549</v>
      </c>
    </row>
    <row r="4272" spans="1:20" customFormat="1" ht="15" x14ac:dyDescent="0.25">
      <c r="A4272" t="s">
        <v>35</v>
      </c>
      <c r="B4272" t="s">
        <v>11892</v>
      </c>
      <c r="C4272" t="str">
        <f>"A0185236"</f>
        <v>A0185236</v>
      </c>
      <c r="D4272" t="s">
        <v>11892</v>
      </c>
      <c r="E4272" t="s">
        <v>17550</v>
      </c>
      <c r="F4272" t="s">
        <v>17551</v>
      </c>
      <c r="G4272" t="s">
        <v>117</v>
      </c>
      <c r="H4272" t="s">
        <v>17552</v>
      </c>
      <c r="I4272" t="s">
        <v>30</v>
      </c>
      <c r="J4272" t="s">
        <v>41</v>
      </c>
      <c r="K4272" t="s">
        <v>59</v>
      </c>
      <c r="Q4272">
        <v>0</v>
      </c>
      <c r="R4272">
        <v>0</v>
      </c>
      <c r="S4272">
        <v>0</v>
      </c>
      <c r="T4272" t="s">
        <v>17553</v>
      </c>
    </row>
    <row r="4273" spans="1:20" customFormat="1" ht="15" x14ac:dyDescent="0.25">
      <c r="A4273" t="s">
        <v>35</v>
      </c>
      <c r="B4273" t="s">
        <v>61</v>
      </c>
      <c r="C4273" t="str">
        <f>"A0185235"</f>
        <v>A0185235</v>
      </c>
      <c r="D4273" t="s">
        <v>17554</v>
      </c>
      <c r="E4273" t="s">
        <v>17003</v>
      </c>
      <c r="F4273" t="s">
        <v>17219</v>
      </c>
      <c r="G4273" t="s">
        <v>137</v>
      </c>
      <c r="H4273" t="s">
        <v>17004</v>
      </c>
      <c r="I4273" t="s">
        <v>30</v>
      </c>
      <c r="J4273" t="s">
        <v>41</v>
      </c>
      <c r="K4273" t="s">
        <v>59</v>
      </c>
      <c r="Q4273">
        <v>0</v>
      </c>
      <c r="R4273">
        <v>0</v>
      </c>
      <c r="S4273">
        <v>0</v>
      </c>
      <c r="T4273" t="s">
        <v>17194</v>
      </c>
    </row>
    <row r="4274" spans="1:20" customFormat="1" ht="15" x14ac:dyDescent="0.25">
      <c r="A4274" t="s">
        <v>35</v>
      </c>
      <c r="B4274" t="s">
        <v>61</v>
      </c>
      <c r="C4274" t="str">
        <f>"A0185234"</f>
        <v>A0185234</v>
      </c>
      <c r="D4274" t="s">
        <v>17555</v>
      </c>
      <c r="E4274" t="s">
        <v>17003</v>
      </c>
      <c r="F4274" t="s">
        <v>17000</v>
      </c>
      <c r="G4274" t="s">
        <v>137</v>
      </c>
      <c r="H4274" t="s">
        <v>17004</v>
      </c>
      <c r="I4274" t="s">
        <v>30</v>
      </c>
      <c r="J4274" t="s">
        <v>41</v>
      </c>
      <c r="K4274" t="s">
        <v>59</v>
      </c>
      <c r="Q4274">
        <v>0</v>
      </c>
      <c r="R4274">
        <v>0</v>
      </c>
      <c r="S4274">
        <v>0</v>
      </c>
      <c r="T4274" t="s">
        <v>17194</v>
      </c>
    </row>
    <row r="4275" spans="1:20" customFormat="1" ht="15" x14ac:dyDescent="0.25">
      <c r="A4275" t="s">
        <v>35</v>
      </c>
      <c r="B4275" t="s">
        <v>11871</v>
      </c>
      <c r="C4275" t="str">
        <f>"A0185233"</f>
        <v>A0185233</v>
      </c>
      <c r="D4275" t="s">
        <v>16858</v>
      </c>
      <c r="E4275" t="s">
        <v>17556</v>
      </c>
      <c r="F4275" t="s">
        <v>17557</v>
      </c>
      <c r="G4275" t="s">
        <v>40</v>
      </c>
      <c r="H4275" t="s">
        <v>17558</v>
      </c>
      <c r="I4275" t="s">
        <v>30</v>
      </c>
      <c r="J4275" t="s">
        <v>41</v>
      </c>
      <c r="K4275" t="s">
        <v>59</v>
      </c>
      <c r="Q4275">
        <v>0</v>
      </c>
      <c r="R4275">
        <v>146</v>
      </c>
      <c r="S4275">
        <v>146</v>
      </c>
      <c r="T4275" t="s">
        <v>17559</v>
      </c>
    </row>
    <row r="4276" spans="1:20" customFormat="1" ht="15" x14ac:dyDescent="0.25">
      <c r="A4276" t="s">
        <v>35</v>
      </c>
      <c r="B4276" t="s">
        <v>61</v>
      </c>
      <c r="C4276" t="str">
        <f>"A0185232"</f>
        <v>A0185232</v>
      </c>
      <c r="D4276" t="s">
        <v>17560</v>
      </c>
      <c r="E4276" t="s">
        <v>17561</v>
      </c>
      <c r="F4276" t="s">
        <v>13387</v>
      </c>
      <c r="G4276" t="s">
        <v>40</v>
      </c>
      <c r="H4276" t="s">
        <v>17562</v>
      </c>
      <c r="I4276" t="s">
        <v>30</v>
      </c>
      <c r="J4276" t="s">
        <v>41</v>
      </c>
      <c r="K4276" t="s">
        <v>59</v>
      </c>
      <c r="Q4276">
        <v>0</v>
      </c>
      <c r="R4276">
        <v>0</v>
      </c>
      <c r="S4276">
        <v>0</v>
      </c>
      <c r="T4276" t="s">
        <v>17563</v>
      </c>
    </row>
    <row r="4277" spans="1:20" customFormat="1" ht="15" x14ac:dyDescent="0.25">
      <c r="A4277" t="s">
        <v>35</v>
      </c>
      <c r="B4277" t="s">
        <v>61</v>
      </c>
      <c r="C4277" t="str">
        <f>"A0185231"</f>
        <v>A0185231</v>
      </c>
      <c r="D4277" t="s">
        <v>17564</v>
      </c>
      <c r="E4277" t="s">
        <v>17565</v>
      </c>
      <c r="F4277" t="s">
        <v>2704</v>
      </c>
      <c r="G4277" t="s">
        <v>40</v>
      </c>
      <c r="H4277" t="s">
        <v>17566</v>
      </c>
      <c r="I4277" t="s">
        <v>30</v>
      </c>
      <c r="J4277" t="s">
        <v>41</v>
      </c>
      <c r="K4277" t="s">
        <v>59</v>
      </c>
      <c r="Q4277">
        <v>0</v>
      </c>
      <c r="R4277">
        <v>0</v>
      </c>
      <c r="S4277">
        <v>0</v>
      </c>
      <c r="T4277" t="s">
        <v>17567</v>
      </c>
    </row>
    <row r="4278" spans="1:20" customFormat="1" ht="15" x14ac:dyDescent="0.25">
      <c r="A4278" t="s">
        <v>35</v>
      </c>
      <c r="B4278" t="s">
        <v>61</v>
      </c>
      <c r="C4278" t="str">
        <f>"A0185230"</f>
        <v>A0185230</v>
      </c>
      <c r="D4278" t="s">
        <v>17568</v>
      </c>
      <c r="E4278" t="s">
        <v>17569</v>
      </c>
      <c r="F4278" t="s">
        <v>4037</v>
      </c>
      <c r="G4278" t="s">
        <v>40</v>
      </c>
      <c r="H4278" t="s">
        <v>17570</v>
      </c>
      <c r="I4278" t="s">
        <v>30</v>
      </c>
      <c r="J4278" t="s">
        <v>41</v>
      </c>
      <c r="K4278" t="s">
        <v>59</v>
      </c>
      <c r="Q4278">
        <v>0</v>
      </c>
      <c r="R4278">
        <v>27</v>
      </c>
      <c r="S4278">
        <v>27</v>
      </c>
      <c r="T4278" t="s">
        <v>17571</v>
      </c>
    </row>
    <row r="4279" spans="1:20" customFormat="1" ht="15" x14ac:dyDescent="0.25">
      <c r="A4279" t="s">
        <v>35</v>
      </c>
      <c r="B4279" t="s">
        <v>61</v>
      </c>
      <c r="C4279" t="str">
        <f>"A0185229"</f>
        <v>A0185229</v>
      </c>
      <c r="D4279" t="s">
        <v>17572</v>
      </c>
      <c r="E4279" t="s">
        <v>17573</v>
      </c>
      <c r="F4279" t="s">
        <v>17574</v>
      </c>
      <c r="G4279" t="s">
        <v>40</v>
      </c>
      <c r="H4279" t="s">
        <v>17575</v>
      </c>
      <c r="I4279" t="s">
        <v>30</v>
      </c>
      <c r="J4279" t="s">
        <v>41</v>
      </c>
      <c r="K4279" t="s">
        <v>59</v>
      </c>
      <c r="Q4279">
        <v>0</v>
      </c>
      <c r="R4279">
        <v>31</v>
      </c>
      <c r="S4279">
        <v>31</v>
      </c>
      <c r="T4279" t="s">
        <v>17576</v>
      </c>
    </row>
    <row r="4280" spans="1:20" customFormat="1" ht="15" x14ac:dyDescent="0.25">
      <c r="A4280" t="s">
        <v>35</v>
      </c>
      <c r="B4280" t="s">
        <v>11871</v>
      </c>
      <c r="C4280" t="str">
        <f>"A0185228"</f>
        <v>A0185228</v>
      </c>
      <c r="D4280" t="s">
        <v>17577</v>
      </c>
      <c r="E4280" t="s">
        <v>17578</v>
      </c>
      <c r="F4280" t="s">
        <v>5221</v>
      </c>
      <c r="G4280" t="s">
        <v>117</v>
      </c>
      <c r="H4280" t="s">
        <v>17579</v>
      </c>
      <c r="I4280" t="s">
        <v>30</v>
      </c>
      <c r="J4280" t="s">
        <v>41</v>
      </c>
      <c r="K4280" t="s">
        <v>59</v>
      </c>
      <c r="Q4280">
        <v>0</v>
      </c>
      <c r="R4280">
        <v>0</v>
      </c>
      <c r="S4280">
        <v>0</v>
      </c>
      <c r="T4280" t="s">
        <v>17580</v>
      </c>
    </row>
    <row r="4281" spans="1:20" customFormat="1" ht="15" x14ac:dyDescent="0.25">
      <c r="A4281" t="s">
        <v>35</v>
      </c>
      <c r="B4281" t="s">
        <v>11871</v>
      </c>
      <c r="C4281" t="str">
        <f>"A0185227"</f>
        <v>A0185227</v>
      </c>
      <c r="D4281" t="s">
        <v>17581</v>
      </c>
      <c r="E4281" t="s">
        <v>17582</v>
      </c>
      <c r="F4281" t="s">
        <v>17583</v>
      </c>
      <c r="G4281" t="s">
        <v>117</v>
      </c>
      <c r="H4281" t="s">
        <v>17584</v>
      </c>
      <c r="I4281" t="s">
        <v>30</v>
      </c>
      <c r="J4281" t="s">
        <v>41</v>
      </c>
      <c r="K4281" t="s">
        <v>59</v>
      </c>
      <c r="Q4281">
        <v>0</v>
      </c>
      <c r="R4281">
        <v>0</v>
      </c>
      <c r="S4281">
        <v>0</v>
      </c>
    </row>
    <row r="4282" spans="1:20" customFormat="1" ht="15" x14ac:dyDescent="0.25">
      <c r="A4282" t="s">
        <v>35</v>
      </c>
      <c r="B4282" t="s">
        <v>61</v>
      </c>
      <c r="C4282" t="str">
        <f>"A0185226"</f>
        <v>A0185226</v>
      </c>
      <c r="D4282" t="s">
        <v>17585</v>
      </c>
      <c r="E4282" t="s">
        <v>17586</v>
      </c>
      <c r="F4282" t="s">
        <v>8348</v>
      </c>
      <c r="G4282" t="s">
        <v>40</v>
      </c>
      <c r="H4282" t="s">
        <v>17587</v>
      </c>
      <c r="I4282" t="s">
        <v>30</v>
      </c>
      <c r="J4282" t="s">
        <v>41</v>
      </c>
      <c r="K4282" t="s">
        <v>59</v>
      </c>
      <c r="Q4282">
        <v>0</v>
      </c>
      <c r="R4282">
        <v>0</v>
      </c>
      <c r="S4282">
        <v>0</v>
      </c>
      <c r="T4282" t="s">
        <v>17504</v>
      </c>
    </row>
    <row r="4283" spans="1:20" customFormat="1" ht="15" x14ac:dyDescent="0.25">
      <c r="A4283" t="s">
        <v>35</v>
      </c>
      <c r="B4283" t="s">
        <v>61</v>
      </c>
      <c r="C4283" t="str">
        <f>"A0185224"</f>
        <v>A0185224</v>
      </c>
      <c r="D4283" t="s">
        <v>17588</v>
      </c>
      <c r="E4283" t="s">
        <v>17589</v>
      </c>
      <c r="F4283" t="s">
        <v>17590</v>
      </c>
      <c r="G4283" t="s">
        <v>40</v>
      </c>
      <c r="H4283" t="s">
        <v>17591</v>
      </c>
      <c r="I4283" t="s">
        <v>30</v>
      </c>
      <c r="J4283" t="s">
        <v>41</v>
      </c>
      <c r="K4283" t="s">
        <v>59</v>
      </c>
      <c r="Q4283">
        <v>0</v>
      </c>
      <c r="R4283">
        <v>0</v>
      </c>
      <c r="S4283">
        <v>0</v>
      </c>
    </row>
    <row r="4284" spans="1:20" customFormat="1" ht="15" x14ac:dyDescent="0.25">
      <c r="A4284" t="s">
        <v>35</v>
      </c>
      <c r="B4284" t="s">
        <v>61</v>
      </c>
      <c r="C4284" t="str">
        <f>"A0185223"</f>
        <v>A0185223</v>
      </c>
      <c r="D4284" t="s">
        <v>17592</v>
      </c>
      <c r="E4284" t="s">
        <v>17593</v>
      </c>
      <c r="F4284" t="s">
        <v>17557</v>
      </c>
      <c r="G4284" t="s">
        <v>40</v>
      </c>
      <c r="H4284" t="s">
        <v>17594</v>
      </c>
      <c r="I4284" t="s">
        <v>30</v>
      </c>
      <c r="J4284" t="s">
        <v>41</v>
      </c>
      <c r="K4284" t="s">
        <v>59</v>
      </c>
      <c r="Q4284">
        <v>0</v>
      </c>
      <c r="R4284">
        <v>0</v>
      </c>
      <c r="S4284">
        <v>0</v>
      </c>
      <c r="T4284" t="s">
        <v>17595</v>
      </c>
    </row>
    <row r="4285" spans="1:20" customFormat="1" ht="15" x14ac:dyDescent="0.25">
      <c r="A4285" t="s">
        <v>35</v>
      </c>
      <c r="B4285" t="s">
        <v>61</v>
      </c>
      <c r="C4285" t="str">
        <f>"A0185222"</f>
        <v>A0185222</v>
      </c>
      <c r="D4285" t="s">
        <v>17596</v>
      </c>
      <c r="E4285" t="s">
        <v>17597</v>
      </c>
      <c r="F4285" t="s">
        <v>2704</v>
      </c>
      <c r="G4285" t="s">
        <v>40</v>
      </c>
      <c r="H4285" t="s">
        <v>17598</v>
      </c>
      <c r="I4285" t="s">
        <v>30</v>
      </c>
      <c r="J4285" t="s">
        <v>41</v>
      </c>
      <c r="K4285" t="s">
        <v>59</v>
      </c>
      <c r="Q4285">
        <v>0</v>
      </c>
      <c r="R4285">
        <v>0</v>
      </c>
      <c r="S4285">
        <v>0</v>
      </c>
    </row>
    <row r="4286" spans="1:20" customFormat="1" ht="15" x14ac:dyDescent="0.25">
      <c r="A4286" t="s">
        <v>35</v>
      </c>
      <c r="B4286" t="s">
        <v>61</v>
      </c>
      <c r="C4286" t="str">
        <f>"A0185221"</f>
        <v>A0185221</v>
      </c>
      <c r="D4286" t="s">
        <v>17599</v>
      </c>
      <c r="E4286" t="s">
        <v>17600</v>
      </c>
      <c r="F4286" t="s">
        <v>12923</v>
      </c>
      <c r="G4286" t="s">
        <v>40</v>
      </c>
      <c r="H4286" t="s">
        <v>17601</v>
      </c>
      <c r="I4286" t="s">
        <v>30</v>
      </c>
      <c r="J4286" t="s">
        <v>41</v>
      </c>
      <c r="K4286" t="s">
        <v>59</v>
      </c>
      <c r="Q4286">
        <v>0</v>
      </c>
      <c r="R4286">
        <v>0</v>
      </c>
      <c r="S4286">
        <v>0</v>
      </c>
    </row>
    <row r="4287" spans="1:20" customFormat="1" ht="15" x14ac:dyDescent="0.25">
      <c r="A4287" t="s">
        <v>35</v>
      </c>
      <c r="B4287" t="s">
        <v>61</v>
      </c>
      <c r="C4287" t="str">
        <f>"A0185219"</f>
        <v>A0185219</v>
      </c>
      <c r="D4287" t="s">
        <v>17602</v>
      </c>
      <c r="E4287" t="s">
        <v>17603</v>
      </c>
      <c r="F4287" t="s">
        <v>1431</v>
      </c>
      <c r="G4287" t="s">
        <v>47</v>
      </c>
      <c r="H4287">
        <v>972232303</v>
      </c>
      <c r="I4287" t="s">
        <v>30</v>
      </c>
      <c r="J4287" t="s">
        <v>41</v>
      </c>
      <c r="K4287" t="s">
        <v>59</v>
      </c>
      <c r="Q4287">
        <v>0</v>
      </c>
      <c r="R4287">
        <v>0</v>
      </c>
      <c r="S4287">
        <v>0</v>
      </c>
      <c r="T4287" t="s">
        <v>17604</v>
      </c>
    </row>
    <row r="4288" spans="1:20" customFormat="1" ht="15" x14ac:dyDescent="0.25">
      <c r="A4288" t="s">
        <v>35</v>
      </c>
      <c r="B4288" t="s">
        <v>61</v>
      </c>
      <c r="C4288" t="str">
        <f>"A0185218"</f>
        <v>A0185218</v>
      </c>
      <c r="D4288" t="s">
        <v>17605</v>
      </c>
      <c r="E4288" t="s">
        <v>17606</v>
      </c>
      <c r="F4288" t="s">
        <v>9791</v>
      </c>
      <c r="G4288" t="s">
        <v>47</v>
      </c>
      <c r="H4288">
        <v>974012303</v>
      </c>
      <c r="I4288" t="s">
        <v>30</v>
      </c>
      <c r="J4288" t="s">
        <v>41</v>
      </c>
      <c r="K4288" t="s">
        <v>59</v>
      </c>
      <c r="Q4288">
        <v>0</v>
      </c>
      <c r="R4288">
        <v>0</v>
      </c>
      <c r="S4288">
        <v>0</v>
      </c>
      <c r="T4288" t="s">
        <v>17607</v>
      </c>
    </row>
    <row r="4289" spans="1:20" customFormat="1" ht="15" x14ac:dyDescent="0.25">
      <c r="A4289" t="s">
        <v>35</v>
      </c>
      <c r="B4289" t="s">
        <v>11892</v>
      </c>
      <c r="C4289" t="str">
        <f>"A0185217"</f>
        <v>A0185217</v>
      </c>
      <c r="D4289" t="s">
        <v>17608</v>
      </c>
      <c r="E4289" t="s">
        <v>17609</v>
      </c>
      <c r="F4289" t="s">
        <v>8846</v>
      </c>
      <c r="G4289" t="s">
        <v>117</v>
      </c>
      <c r="H4289" t="s">
        <v>17610</v>
      </c>
      <c r="I4289" t="s">
        <v>30</v>
      </c>
      <c r="J4289" t="s">
        <v>41</v>
      </c>
      <c r="K4289" t="s">
        <v>59</v>
      </c>
      <c r="Q4289">
        <v>0</v>
      </c>
      <c r="R4289">
        <v>0</v>
      </c>
      <c r="S4289">
        <v>0</v>
      </c>
      <c r="T4289" t="s">
        <v>17611</v>
      </c>
    </row>
    <row r="4290" spans="1:20" customFormat="1" ht="15" x14ac:dyDescent="0.25">
      <c r="A4290" t="s">
        <v>35</v>
      </c>
      <c r="B4290" t="s">
        <v>11871</v>
      </c>
      <c r="C4290" t="str">
        <f>"A0185216"</f>
        <v>A0185216</v>
      </c>
      <c r="D4290" t="s">
        <v>17612</v>
      </c>
      <c r="E4290" t="s">
        <v>17613</v>
      </c>
      <c r="F4290" t="s">
        <v>5221</v>
      </c>
      <c r="G4290" t="s">
        <v>117</v>
      </c>
      <c r="H4290">
        <v>48071</v>
      </c>
      <c r="I4290" t="s">
        <v>30</v>
      </c>
      <c r="J4290" t="s">
        <v>41</v>
      </c>
      <c r="K4290" t="s">
        <v>59</v>
      </c>
      <c r="Q4290">
        <v>0</v>
      </c>
      <c r="R4290">
        <v>0</v>
      </c>
      <c r="S4290">
        <v>0</v>
      </c>
      <c r="T4290" t="s">
        <v>17614</v>
      </c>
    </row>
    <row r="4291" spans="1:20" customFormat="1" ht="15" x14ac:dyDescent="0.25">
      <c r="A4291" t="s">
        <v>35</v>
      </c>
      <c r="B4291" t="s">
        <v>11871</v>
      </c>
      <c r="C4291" t="str">
        <f>"A0185215"</f>
        <v>A0185215</v>
      </c>
      <c r="D4291" t="s">
        <v>17615</v>
      </c>
      <c r="E4291" t="s">
        <v>17616</v>
      </c>
      <c r="F4291" t="s">
        <v>15848</v>
      </c>
      <c r="G4291" t="s">
        <v>117</v>
      </c>
      <c r="H4291" t="s">
        <v>17617</v>
      </c>
      <c r="I4291" t="s">
        <v>30</v>
      </c>
      <c r="J4291" t="s">
        <v>41</v>
      </c>
      <c r="K4291" t="s">
        <v>59</v>
      </c>
      <c r="Q4291">
        <v>0</v>
      </c>
      <c r="R4291">
        <v>0</v>
      </c>
      <c r="S4291">
        <v>0</v>
      </c>
      <c r="T4291" t="s">
        <v>17618</v>
      </c>
    </row>
    <row r="4292" spans="1:20" customFormat="1" ht="15" x14ac:dyDescent="0.25">
      <c r="A4292" t="s">
        <v>35</v>
      </c>
      <c r="B4292" t="s">
        <v>61</v>
      </c>
      <c r="C4292" t="str">
        <f>"A0185214"</f>
        <v>A0185214</v>
      </c>
      <c r="D4292" t="s">
        <v>17619</v>
      </c>
      <c r="E4292" t="s">
        <v>17620</v>
      </c>
      <c r="F4292" t="s">
        <v>17621</v>
      </c>
      <c r="G4292" t="s">
        <v>52</v>
      </c>
      <c r="H4292">
        <v>76903</v>
      </c>
      <c r="I4292" t="s">
        <v>30</v>
      </c>
      <c r="J4292" t="s">
        <v>41</v>
      </c>
      <c r="K4292" t="s">
        <v>59</v>
      </c>
      <c r="Q4292">
        <v>0</v>
      </c>
      <c r="R4292">
        <v>0</v>
      </c>
      <c r="S4292">
        <v>0</v>
      </c>
      <c r="T4292" t="s">
        <v>17622</v>
      </c>
    </row>
    <row r="4293" spans="1:20" customFormat="1" ht="15" x14ac:dyDescent="0.25">
      <c r="A4293" t="s">
        <v>35</v>
      </c>
      <c r="B4293" t="s">
        <v>61</v>
      </c>
      <c r="C4293" t="str">
        <f>"A0185213"</f>
        <v>A0185213</v>
      </c>
      <c r="D4293" t="s">
        <v>17623</v>
      </c>
      <c r="E4293" t="s">
        <v>17624</v>
      </c>
      <c r="F4293" t="s">
        <v>17625</v>
      </c>
      <c r="G4293" t="s">
        <v>40</v>
      </c>
      <c r="H4293" t="s">
        <v>17626</v>
      </c>
      <c r="I4293" t="s">
        <v>30</v>
      </c>
      <c r="J4293" t="s">
        <v>41</v>
      </c>
      <c r="K4293" t="s">
        <v>59</v>
      </c>
      <c r="Q4293">
        <v>0</v>
      </c>
      <c r="R4293">
        <v>0</v>
      </c>
      <c r="S4293">
        <v>0</v>
      </c>
      <c r="T4293" t="s">
        <v>17627</v>
      </c>
    </row>
    <row r="4294" spans="1:20" customFormat="1" ht="15" x14ac:dyDescent="0.25">
      <c r="A4294" t="s">
        <v>35</v>
      </c>
      <c r="B4294" t="s">
        <v>61</v>
      </c>
      <c r="C4294" t="str">
        <f>"A0185212"</f>
        <v>A0185212</v>
      </c>
      <c r="D4294" t="s">
        <v>17628</v>
      </c>
      <c r="E4294" t="s">
        <v>17629</v>
      </c>
      <c r="F4294" t="s">
        <v>17630</v>
      </c>
      <c r="G4294" t="s">
        <v>40</v>
      </c>
      <c r="H4294" t="s">
        <v>17631</v>
      </c>
      <c r="I4294" t="s">
        <v>30</v>
      </c>
      <c r="J4294" t="s">
        <v>41</v>
      </c>
      <c r="K4294" t="s">
        <v>59</v>
      </c>
      <c r="Q4294">
        <v>0</v>
      </c>
      <c r="R4294">
        <v>31</v>
      </c>
      <c r="S4294">
        <v>31</v>
      </c>
      <c r="T4294" t="s">
        <v>17632</v>
      </c>
    </row>
    <row r="4295" spans="1:20" customFormat="1" ht="15" x14ac:dyDescent="0.25">
      <c r="A4295" t="s">
        <v>35</v>
      </c>
      <c r="B4295" t="s">
        <v>61</v>
      </c>
      <c r="C4295" t="str">
        <f>"A0185211"</f>
        <v>A0185211</v>
      </c>
      <c r="D4295" t="s">
        <v>17633</v>
      </c>
      <c r="E4295" t="s">
        <v>17634</v>
      </c>
      <c r="F4295" t="s">
        <v>17635</v>
      </c>
      <c r="G4295" t="s">
        <v>40</v>
      </c>
      <c r="H4295" t="s">
        <v>17636</v>
      </c>
      <c r="I4295" t="s">
        <v>30</v>
      </c>
      <c r="J4295" t="s">
        <v>41</v>
      </c>
      <c r="K4295" t="s">
        <v>59</v>
      </c>
      <c r="Q4295">
        <v>0</v>
      </c>
      <c r="R4295">
        <v>0</v>
      </c>
      <c r="S4295">
        <v>0</v>
      </c>
    </row>
    <row r="4296" spans="1:20" customFormat="1" ht="15" x14ac:dyDescent="0.25">
      <c r="A4296" t="s">
        <v>35</v>
      </c>
      <c r="B4296" t="s">
        <v>61</v>
      </c>
      <c r="C4296" t="str">
        <f>"A0185210"</f>
        <v>A0185210</v>
      </c>
      <c r="D4296" t="s">
        <v>17637</v>
      </c>
      <c r="E4296" t="s">
        <v>17638</v>
      </c>
      <c r="F4296" t="s">
        <v>17235</v>
      </c>
      <c r="G4296" t="s">
        <v>40</v>
      </c>
      <c r="H4296" t="s">
        <v>17639</v>
      </c>
      <c r="I4296" t="s">
        <v>30</v>
      </c>
      <c r="J4296" t="s">
        <v>41</v>
      </c>
      <c r="K4296" t="s">
        <v>59</v>
      </c>
      <c r="Q4296">
        <v>0</v>
      </c>
      <c r="R4296">
        <v>0</v>
      </c>
      <c r="S4296">
        <v>0</v>
      </c>
    </row>
    <row r="4297" spans="1:20" customFormat="1" ht="15" x14ac:dyDescent="0.25">
      <c r="A4297" t="s">
        <v>35</v>
      </c>
      <c r="B4297" t="s">
        <v>61</v>
      </c>
      <c r="C4297" t="str">
        <f>"A0185209"</f>
        <v>A0185209</v>
      </c>
      <c r="D4297" t="s">
        <v>17640</v>
      </c>
      <c r="E4297" t="s">
        <v>17641</v>
      </c>
      <c r="F4297" t="s">
        <v>17642</v>
      </c>
      <c r="G4297" t="s">
        <v>197</v>
      </c>
      <c r="H4297">
        <v>852342490</v>
      </c>
      <c r="I4297" t="s">
        <v>30</v>
      </c>
      <c r="J4297" t="s">
        <v>41</v>
      </c>
      <c r="K4297" t="s">
        <v>59</v>
      </c>
      <c r="Q4297">
        <v>0</v>
      </c>
      <c r="R4297">
        <v>0</v>
      </c>
      <c r="S4297">
        <v>0</v>
      </c>
    </row>
    <row r="4298" spans="1:20" customFormat="1" ht="15" x14ac:dyDescent="0.25">
      <c r="A4298" t="s">
        <v>35</v>
      </c>
      <c r="B4298" t="s">
        <v>61</v>
      </c>
      <c r="C4298" t="str">
        <f>"A0185208"</f>
        <v>A0185208</v>
      </c>
      <c r="D4298" t="s">
        <v>17643</v>
      </c>
      <c r="E4298" t="s">
        <v>17644</v>
      </c>
      <c r="F4298" t="s">
        <v>17375</v>
      </c>
      <c r="G4298" t="s">
        <v>40</v>
      </c>
      <c r="H4298" t="s">
        <v>17645</v>
      </c>
      <c r="I4298" t="s">
        <v>30</v>
      </c>
      <c r="J4298" t="s">
        <v>41</v>
      </c>
      <c r="K4298" t="s">
        <v>59</v>
      </c>
      <c r="Q4298">
        <v>0</v>
      </c>
      <c r="R4298">
        <v>0</v>
      </c>
      <c r="S4298">
        <v>0</v>
      </c>
      <c r="T4298" t="s">
        <v>17504</v>
      </c>
    </row>
    <row r="4299" spans="1:20" customFormat="1" ht="15" x14ac:dyDescent="0.25">
      <c r="A4299" t="s">
        <v>35</v>
      </c>
      <c r="B4299" t="s">
        <v>61</v>
      </c>
      <c r="C4299" t="str">
        <f>"A0185207"</f>
        <v>A0185207</v>
      </c>
      <c r="D4299" t="s">
        <v>17646</v>
      </c>
      <c r="E4299" t="s">
        <v>17647</v>
      </c>
      <c r="F4299" t="s">
        <v>4037</v>
      </c>
      <c r="G4299" t="s">
        <v>40</v>
      </c>
      <c r="H4299" t="s">
        <v>17648</v>
      </c>
      <c r="I4299" t="s">
        <v>30</v>
      </c>
      <c r="J4299" t="s">
        <v>41</v>
      </c>
      <c r="K4299" t="s">
        <v>59</v>
      </c>
      <c r="Q4299">
        <v>0</v>
      </c>
      <c r="R4299">
        <v>0</v>
      </c>
      <c r="S4299">
        <v>0</v>
      </c>
      <c r="T4299" t="s">
        <v>17649</v>
      </c>
    </row>
    <row r="4300" spans="1:20" customFormat="1" ht="15" x14ac:dyDescent="0.25">
      <c r="A4300" t="s">
        <v>35</v>
      </c>
      <c r="B4300" t="s">
        <v>61</v>
      </c>
      <c r="C4300" t="str">
        <f>"A0185206"</f>
        <v>A0185206</v>
      </c>
      <c r="D4300" t="s">
        <v>17650</v>
      </c>
      <c r="E4300" t="s">
        <v>17651</v>
      </c>
      <c r="F4300" t="s">
        <v>17441</v>
      </c>
      <c r="G4300" t="s">
        <v>40</v>
      </c>
      <c r="H4300">
        <v>74055</v>
      </c>
      <c r="I4300" t="s">
        <v>30</v>
      </c>
      <c r="J4300" t="s">
        <v>41</v>
      </c>
      <c r="K4300" t="s">
        <v>59</v>
      </c>
      <c r="Q4300">
        <v>0</v>
      </c>
      <c r="R4300">
        <v>176</v>
      </c>
      <c r="S4300">
        <v>176</v>
      </c>
      <c r="T4300" t="s">
        <v>17443</v>
      </c>
    </row>
    <row r="4301" spans="1:20" customFormat="1" ht="15" x14ac:dyDescent="0.25">
      <c r="A4301" t="s">
        <v>35</v>
      </c>
      <c r="B4301" t="s">
        <v>61</v>
      </c>
      <c r="C4301" t="str">
        <f>"A0185205"</f>
        <v>A0185205</v>
      </c>
      <c r="D4301" t="s">
        <v>17652</v>
      </c>
      <c r="E4301" t="s">
        <v>17653</v>
      </c>
      <c r="F4301" t="s">
        <v>17654</v>
      </c>
      <c r="G4301" t="s">
        <v>40</v>
      </c>
      <c r="H4301" t="s">
        <v>17655</v>
      </c>
      <c r="I4301" t="s">
        <v>30</v>
      </c>
      <c r="J4301" t="s">
        <v>41</v>
      </c>
      <c r="K4301" t="s">
        <v>59</v>
      </c>
      <c r="Q4301">
        <v>0</v>
      </c>
      <c r="R4301">
        <v>16</v>
      </c>
      <c r="S4301">
        <v>16</v>
      </c>
      <c r="T4301" t="s">
        <v>17656</v>
      </c>
    </row>
    <row r="4302" spans="1:20" customFormat="1" ht="15" x14ac:dyDescent="0.25">
      <c r="A4302" t="s">
        <v>35</v>
      </c>
      <c r="B4302" t="s">
        <v>11892</v>
      </c>
      <c r="C4302" t="str">
        <f>"A0185204"</f>
        <v>A0185204</v>
      </c>
      <c r="D4302" t="s">
        <v>17657</v>
      </c>
      <c r="E4302" t="s">
        <v>17658</v>
      </c>
      <c r="F4302" t="s">
        <v>17388</v>
      </c>
      <c r="G4302" t="s">
        <v>117</v>
      </c>
      <c r="H4302" t="s">
        <v>17659</v>
      </c>
      <c r="I4302" t="s">
        <v>30</v>
      </c>
      <c r="J4302" t="s">
        <v>41</v>
      </c>
      <c r="K4302" t="s">
        <v>59</v>
      </c>
      <c r="Q4302">
        <v>0</v>
      </c>
      <c r="R4302">
        <v>6</v>
      </c>
      <c r="S4302">
        <v>6</v>
      </c>
      <c r="T4302" t="s">
        <v>17660</v>
      </c>
    </row>
    <row r="4303" spans="1:20" customFormat="1" ht="15" x14ac:dyDescent="0.25">
      <c r="A4303" t="s">
        <v>35</v>
      </c>
      <c r="B4303" t="s">
        <v>9604</v>
      </c>
      <c r="C4303" t="str">
        <f>"A0185203"</f>
        <v>A0185203</v>
      </c>
      <c r="D4303" t="s">
        <v>17661</v>
      </c>
      <c r="E4303" t="s">
        <v>17662</v>
      </c>
      <c r="F4303" t="s">
        <v>8846</v>
      </c>
      <c r="G4303" t="s">
        <v>117</v>
      </c>
      <c r="H4303">
        <v>482074291</v>
      </c>
      <c r="I4303" t="s">
        <v>30</v>
      </c>
      <c r="J4303" t="s">
        <v>41</v>
      </c>
      <c r="K4303" t="s">
        <v>59</v>
      </c>
      <c r="Q4303">
        <v>0</v>
      </c>
      <c r="R4303">
        <v>0</v>
      </c>
      <c r="S4303">
        <v>601</v>
      </c>
      <c r="T4303" t="s">
        <v>17663</v>
      </c>
    </row>
    <row r="4304" spans="1:20" customFormat="1" ht="15" x14ac:dyDescent="0.25">
      <c r="A4304" t="s">
        <v>35</v>
      </c>
      <c r="B4304" t="s">
        <v>11871</v>
      </c>
      <c r="C4304" t="str">
        <f>"A0185202"</f>
        <v>A0185202</v>
      </c>
      <c r="D4304" t="s">
        <v>17664</v>
      </c>
      <c r="E4304" t="s">
        <v>17665</v>
      </c>
      <c r="F4304" t="s">
        <v>11695</v>
      </c>
      <c r="G4304" t="s">
        <v>117</v>
      </c>
      <c r="H4304" t="s">
        <v>17666</v>
      </c>
      <c r="I4304" t="s">
        <v>30</v>
      </c>
      <c r="J4304" t="s">
        <v>41</v>
      </c>
      <c r="K4304" t="s">
        <v>59</v>
      </c>
      <c r="Q4304">
        <v>0</v>
      </c>
      <c r="R4304">
        <v>0</v>
      </c>
      <c r="S4304">
        <v>0</v>
      </c>
      <c r="T4304" t="s">
        <v>17667</v>
      </c>
    </row>
    <row r="4305" spans="1:20" customFormat="1" ht="15" x14ac:dyDescent="0.25">
      <c r="A4305" t="s">
        <v>35</v>
      </c>
      <c r="B4305" t="s">
        <v>11871</v>
      </c>
      <c r="C4305" t="str">
        <f>"A0185201"</f>
        <v>A0185201</v>
      </c>
      <c r="D4305" t="s">
        <v>17668</v>
      </c>
      <c r="E4305" t="s">
        <v>17669</v>
      </c>
      <c r="F4305" t="s">
        <v>2770</v>
      </c>
      <c r="G4305" t="s">
        <v>117</v>
      </c>
      <c r="H4305" t="s">
        <v>17670</v>
      </c>
      <c r="I4305" t="s">
        <v>30</v>
      </c>
      <c r="J4305" t="s">
        <v>41</v>
      </c>
      <c r="K4305" t="s">
        <v>59</v>
      </c>
      <c r="Q4305">
        <v>0</v>
      </c>
      <c r="R4305">
        <v>0</v>
      </c>
      <c r="S4305">
        <v>0</v>
      </c>
      <c r="T4305" t="s">
        <v>17671</v>
      </c>
    </row>
    <row r="4306" spans="1:20" customFormat="1" ht="15" x14ac:dyDescent="0.25">
      <c r="A4306" t="s">
        <v>35</v>
      </c>
      <c r="B4306" t="s">
        <v>61</v>
      </c>
      <c r="C4306" t="str">
        <f>"A0185200"</f>
        <v>A0185200</v>
      </c>
      <c r="D4306" t="s">
        <v>17672</v>
      </c>
      <c r="E4306" t="s">
        <v>17673</v>
      </c>
      <c r="F4306" t="s">
        <v>4037</v>
      </c>
      <c r="G4306" t="s">
        <v>40</v>
      </c>
      <c r="H4306" t="s">
        <v>17674</v>
      </c>
      <c r="I4306" t="s">
        <v>30</v>
      </c>
      <c r="J4306" t="s">
        <v>41</v>
      </c>
      <c r="K4306" t="s">
        <v>59</v>
      </c>
      <c r="Q4306">
        <v>0</v>
      </c>
      <c r="R4306">
        <v>83</v>
      </c>
      <c r="S4306">
        <v>83</v>
      </c>
      <c r="T4306" t="s">
        <v>17675</v>
      </c>
    </row>
    <row r="4307" spans="1:20" customFormat="1" ht="15" x14ac:dyDescent="0.25">
      <c r="A4307" t="s">
        <v>35</v>
      </c>
      <c r="B4307" t="s">
        <v>61</v>
      </c>
      <c r="C4307" t="str">
        <f>"A0185199"</f>
        <v>A0185199</v>
      </c>
      <c r="D4307" t="s">
        <v>17676</v>
      </c>
      <c r="E4307" t="s">
        <v>17677</v>
      </c>
      <c r="F4307" t="s">
        <v>4037</v>
      </c>
      <c r="G4307" t="s">
        <v>40</v>
      </c>
      <c r="H4307" t="s">
        <v>17678</v>
      </c>
      <c r="I4307" t="s">
        <v>30</v>
      </c>
      <c r="J4307" t="s">
        <v>41</v>
      </c>
      <c r="K4307" t="s">
        <v>59</v>
      </c>
      <c r="Q4307">
        <v>0</v>
      </c>
      <c r="R4307">
        <v>0</v>
      </c>
      <c r="S4307">
        <v>0</v>
      </c>
      <c r="T4307" t="s">
        <v>17679</v>
      </c>
    </row>
    <row r="4308" spans="1:20" customFormat="1" ht="15" x14ac:dyDescent="0.25">
      <c r="A4308" t="s">
        <v>35</v>
      </c>
      <c r="B4308" t="s">
        <v>61</v>
      </c>
      <c r="C4308" t="str">
        <f>"A0185198"</f>
        <v>A0185198</v>
      </c>
      <c r="D4308" t="s">
        <v>17680</v>
      </c>
      <c r="E4308" t="s">
        <v>17681</v>
      </c>
      <c r="F4308" t="s">
        <v>8348</v>
      </c>
      <c r="G4308" t="s">
        <v>40</v>
      </c>
      <c r="H4308" t="s">
        <v>17682</v>
      </c>
      <c r="I4308" t="s">
        <v>30</v>
      </c>
      <c r="J4308" t="s">
        <v>41</v>
      </c>
      <c r="K4308" t="s">
        <v>59</v>
      </c>
      <c r="Q4308">
        <v>0</v>
      </c>
      <c r="R4308">
        <v>0</v>
      </c>
      <c r="S4308">
        <v>0</v>
      </c>
      <c r="T4308" t="s">
        <v>17683</v>
      </c>
    </row>
    <row r="4309" spans="1:20" customFormat="1" ht="15" x14ac:dyDescent="0.25">
      <c r="A4309" t="s">
        <v>35</v>
      </c>
      <c r="B4309" t="s">
        <v>11892</v>
      </c>
      <c r="C4309" t="str">
        <f>"A0185197"</f>
        <v>A0185197</v>
      </c>
      <c r="D4309" t="s">
        <v>17684</v>
      </c>
      <c r="E4309" t="s">
        <v>17685</v>
      </c>
      <c r="F4309" t="s">
        <v>8846</v>
      </c>
      <c r="G4309" t="s">
        <v>117</v>
      </c>
      <c r="H4309" t="s">
        <v>17686</v>
      </c>
      <c r="I4309" t="s">
        <v>30</v>
      </c>
      <c r="J4309" t="s">
        <v>41</v>
      </c>
      <c r="K4309" t="s">
        <v>59</v>
      </c>
      <c r="Q4309">
        <v>0</v>
      </c>
      <c r="R4309">
        <v>0</v>
      </c>
      <c r="S4309">
        <v>0</v>
      </c>
      <c r="T4309" t="s">
        <v>17687</v>
      </c>
    </row>
    <row r="4310" spans="1:20" customFormat="1" ht="15" x14ac:dyDescent="0.25">
      <c r="A4310" t="s">
        <v>35</v>
      </c>
      <c r="B4310" t="s">
        <v>11871</v>
      </c>
      <c r="C4310" t="str">
        <f>"A0185196"</f>
        <v>A0185196</v>
      </c>
      <c r="D4310" t="s">
        <v>17688</v>
      </c>
      <c r="E4310" t="s">
        <v>17689</v>
      </c>
      <c r="F4310" t="s">
        <v>17690</v>
      </c>
      <c r="G4310" t="s">
        <v>117</v>
      </c>
      <c r="H4310" t="s">
        <v>17691</v>
      </c>
      <c r="I4310" t="s">
        <v>30</v>
      </c>
      <c r="J4310" t="s">
        <v>41</v>
      </c>
      <c r="K4310" t="s">
        <v>59</v>
      </c>
      <c r="Q4310">
        <v>0</v>
      </c>
      <c r="R4310">
        <v>0</v>
      </c>
      <c r="S4310">
        <v>0</v>
      </c>
      <c r="T4310" t="s">
        <v>17692</v>
      </c>
    </row>
    <row r="4311" spans="1:20" customFormat="1" ht="15" x14ac:dyDescent="0.25">
      <c r="A4311" t="s">
        <v>35</v>
      </c>
      <c r="B4311" t="s">
        <v>11871</v>
      </c>
      <c r="C4311" t="str">
        <f>"A0185195"</f>
        <v>A0185195</v>
      </c>
      <c r="D4311" t="s">
        <v>17693</v>
      </c>
      <c r="E4311" t="s">
        <v>17694</v>
      </c>
      <c r="F4311" t="s">
        <v>8846</v>
      </c>
      <c r="G4311" t="s">
        <v>117</v>
      </c>
      <c r="H4311" t="s">
        <v>17695</v>
      </c>
      <c r="I4311" t="s">
        <v>30</v>
      </c>
      <c r="J4311" t="s">
        <v>41</v>
      </c>
      <c r="K4311" t="s">
        <v>59</v>
      </c>
      <c r="Q4311">
        <v>0</v>
      </c>
      <c r="R4311">
        <v>0</v>
      </c>
      <c r="S4311">
        <v>0</v>
      </c>
      <c r="T4311" t="s">
        <v>17696</v>
      </c>
    </row>
    <row r="4312" spans="1:20" customFormat="1" ht="15" x14ac:dyDescent="0.25">
      <c r="A4312" t="s">
        <v>35</v>
      </c>
      <c r="B4312" t="s">
        <v>61</v>
      </c>
      <c r="C4312" t="str">
        <f>"A0185193"</f>
        <v>A0185193</v>
      </c>
      <c r="D4312" t="s">
        <v>17697</v>
      </c>
      <c r="E4312" t="s">
        <v>12219</v>
      </c>
      <c r="F4312" t="s">
        <v>12220</v>
      </c>
      <c r="G4312" t="s">
        <v>76</v>
      </c>
      <c r="H4312">
        <v>981333800</v>
      </c>
      <c r="I4312" t="s">
        <v>30</v>
      </c>
      <c r="J4312" t="s">
        <v>41</v>
      </c>
      <c r="K4312" t="s">
        <v>59</v>
      </c>
      <c r="Q4312">
        <v>0</v>
      </c>
      <c r="R4312">
        <v>0</v>
      </c>
      <c r="S4312">
        <v>0</v>
      </c>
    </row>
    <row r="4313" spans="1:20" customFormat="1" ht="15" x14ac:dyDescent="0.25">
      <c r="A4313" t="s">
        <v>35</v>
      </c>
      <c r="B4313" t="s">
        <v>17698</v>
      </c>
      <c r="C4313" t="str">
        <f>"A0185192"</f>
        <v>A0185192</v>
      </c>
      <c r="D4313" t="s">
        <v>17699</v>
      </c>
      <c r="E4313" t="s">
        <v>17700</v>
      </c>
      <c r="F4313" t="s">
        <v>12220</v>
      </c>
      <c r="G4313" t="s">
        <v>76</v>
      </c>
      <c r="H4313">
        <v>981333856</v>
      </c>
      <c r="I4313" t="s">
        <v>30</v>
      </c>
      <c r="J4313" t="s">
        <v>41</v>
      </c>
      <c r="K4313" t="s">
        <v>59</v>
      </c>
      <c r="Q4313">
        <v>0</v>
      </c>
      <c r="R4313">
        <v>0</v>
      </c>
      <c r="S4313">
        <v>0</v>
      </c>
      <c r="T4313" t="s">
        <v>17701</v>
      </c>
    </row>
    <row r="4314" spans="1:20" customFormat="1" ht="15" x14ac:dyDescent="0.25">
      <c r="A4314" t="s">
        <v>35</v>
      </c>
      <c r="B4314" t="s">
        <v>61</v>
      </c>
      <c r="C4314" t="str">
        <f>"A0185191"</f>
        <v>A0185191</v>
      </c>
      <c r="D4314" t="s">
        <v>17702</v>
      </c>
      <c r="E4314" t="s">
        <v>17703</v>
      </c>
      <c r="F4314" t="s">
        <v>8348</v>
      </c>
      <c r="G4314" t="s">
        <v>40</v>
      </c>
      <c r="H4314" t="s">
        <v>17704</v>
      </c>
      <c r="I4314" t="s">
        <v>30</v>
      </c>
      <c r="J4314" t="s">
        <v>41</v>
      </c>
      <c r="K4314" t="s">
        <v>59</v>
      </c>
      <c r="Q4314">
        <v>0</v>
      </c>
      <c r="R4314">
        <v>0</v>
      </c>
      <c r="S4314">
        <v>0</v>
      </c>
      <c r="T4314" t="s">
        <v>17705</v>
      </c>
    </row>
    <row r="4315" spans="1:20" customFormat="1" ht="15" x14ac:dyDescent="0.25">
      <c r="A4315" t="s">
        <v>35</v>
      </c>
      <c r="B4315" t="s">
        <v>61</v>
      </c>
      <c r="C4315" t="str">
        <f>"A0185190"</f>
        <v>A0185190</v>
      </c>
      <c r="D4315" t="s">
        <v>17706</v>
      </c>
      <c r="E4315" t="s">
        <v>17707</v>
      </c>
      <c r="F4315" t="s">
        <v>17625</v>
      </c>
      <c r="G4315" t="s">
        <v>40</v>
      </c>
      <c r="H4315" t="s">
        <v>17708</v>
      </c>
      <c r="I4315" t="s">
        <v>30</v>
      </c>
      <c r="J4315" t="s">
        <v>41</v>
      </c>
      <c r="K4315" t="s">
        <v>59</v>
      </c>
      <c r="Q4315">
        <v>0</v>
      </c>
      <c r="R4315">
        <v>74</v>
      </c>
      <c r="S4315">
        <v>74</v>
      </c>
      <c r="T4315" t="s">
        <v>17709</v>
      </c>
    </row>
    <row r="4316" spans="1:20" customFormat="1" ht="15" x14ac:dyDescent="0.25">
      <c r="A4316" t="s">
        <v>35</v>
      </c>
      <c r="B4316" t="s">
        <v>61</v>
      </c>
      <c r="C4316" t="str">
        <f>"A0185189"</f>
        <v>A0185189</v>
      </c>
      <c r="D4316" t="s">
        <v>17710</v>
      </c>
      <c r="E4316" t="s">
        <v>17711</v>
      </c>
      <c r="F4316" t="s">
        <v>17574</v>
      </c>
      <c r="G4316" t="s">
        <v>40</v>
      </c>
      <c r="H4316" t="s">
        <v>17712</v>
      </c>
      <c r="I4316" t="s">
        <v>30</v>
      </c>
      <c r="J4316" t="s">
        <v>41</v>
      </c>
      <c r="K4316" t="s">
        <v>59</v>
      </c>
      <c r="Q4316">
        <v>0</v>
      </c>
      <c r="R4316">
        <v>0</v>
      </c>
      <c r="S4316">
        <v>0</v>
      </c>
      <c r="T4316" t="s">
        <v>17713</v>
      </c>
    </row>
    <row r="4317" spans="1:20" customFormat="1" ht="15" x14ac:dyDescent="0.25">
      <c r="A4317" t="s">
        <v>35</v>
      </c>
      <c r="B4317" t="s">
        <v>61</v>
      </c>
      <c r="C4317" t="str">
        <f>"A0185188"</f>
        <v>A0185188</v>
      </c>
      <c r="D4317" t="s">
        <v>17714</v>
      </c>
      <c r="E4317" t="s">
        <v>17715</v>
      </c>
      <c r="F4317" t="s">
        <v>4037</v>
      </c>
      <c r="G4317" t="s">
        <v>40</v>
      </c>
      <c r="H4317" t="s">
        <v>17716</v>
      </c>
      <c r="I4317" t="s">
        <v>30</v>
      </c>
      <c r="J4317" t="s">
        <v>41</v>
      </c>
      <c r="K4317" t="s">
        <v>59</v>
      </c>
      <c r="Q4317">
        <v>0</v>
      </c>
      <c r="R4317">
        <v>0</v>
      </c>
      <c r="S4317">
        <v>0</v>
      </c>
      <c r="T4317" t="s">
        <v>17717</v>
      </c>
    </row>
    <row r="4318" spans="1:20" customFormat="1" ht="15" x14ac:dyDescent="0.25">
      <c r="A4318" t="s">
        <v>35</v>
      </c>
      <c r="B4318" t="s">
        <v>61</v>
      </c>
      <c r="C4318" t="str">
        <f>"A0185187"</f>
        <v>A0185187</v>
      </c>
      <c r="D4318" t="s">
        <v>17718</v>
      </c>
      <c r="E4318" t="s">
        <v>17719</v>
      </c>
      <c r="F4318" t="s">
        <v>17625</v>
      </c>
      <c r="G4318" t="s">
        <v>40</v>
      </c>
      <c r="H4318">
        <v>74464</v>
      </c>
      <c r="I4318" t="s">
        <v>30</v>
      </c>
      <c r="J4318" t="s">
        <v>41</v>
      </c>
      <c r="K4318" t="s">
        <v>59</v>
      </c>
      <c r="Q4318">
        <v>0</v>
      </c>
      <c r="R4318">
        <v>0</v>
      </c>
      <c r="S4318">
        <v>0</v>
      </c>
      <c r="T4318" t="s">
        <v>17720</v>
      </c>
    </row>
    <row r="4319" spans="1:20" customFormat="1" ht="15" x14ac:dyDescent="0.25">
      <c r="A4319" t="s">
        <v>35</v>
      </c>
      <c r="B4319" t="s">
        <v>61</v>
      </c>
      <c r="C4319" t="str">
        <f>"A0185186"</f>
        <v>A0185186</v>
      </c>
      <c r="D4319" t="s">
        <v>17721</v>
      </c>
      <c r="E4319" t="s">
        <v>17722</v>
      </c>
      <c r="F4319" t="s">
        <v>2704</v>
      </c>
      <c r="G4319" t="s">
        <v>40</v>
      </c>
      <c r="H4319" t="s">
        <v>17723</v>
      </c>
      <c r="I4319" t="s">
        <v>30</v>
      </c>
      <c r="J4319" t="s">
        <v>41</v>
      </c>
      <c r="K4319" t="s">
        <v>59</v>
      </c>
      <c r="Q4319">
        <v>0</v>
      </c>
      <c r="R4319">
        <v>0</v>
      </c>
      <c r="S4319">
        <v>0</v>
      </c>
    </row>
    <row r="4320" spans="1:20" customFormat="1" ht="15" x14ac:dyDescent="0.25">
      <c r="A4320" t="s">
        <v>35</v>
      </c>
      <c r="B4320" t="s">
        <v>11892</v>
      </c>
      <c r="C4320" t="str">
        <f>"A0185185"</f>
        <v>A0185185</v>
      </c>
      <c r="D4320" t="s">
        <v>17724</v>
      </c>
      <c r="E4320" t="s">
        <v>17725</v>
      </c>
      <c r="F4320" t="s">
        <v>8846</v>
      </c>
      <c r="G4320" t="s">
        <v>117</v>
      </c>
      <c r="H4320" t="s">
        <v>17726</v>
      </c>
      <c r="I4320" t="s">
        <v>30</v>
      </c>
      <c r="J4320" t="s">
        <v>41</v>
      </c>
      <c r="K4320" t="s">
        <v>59</v>
      </c>
      <c r="Q4320">
        <v>0</v>
      </c>
      <c r="R4320">
        <v>0</v>
      </c>
      <c r="S4320">
        <v>0</v>
      </c>
      <c r="T4320" t="s">
        <v>17727</v>
      </c>
    </row>
    <row r="4321" spans="1:20" customFormat="1" ht="15" x14ac:dyDescent="0.25">
      <c r="A4321" t="s">
        <v>35</v>
      </c>
      <c r="B4321" t="s">
        <v>61</v>
      </c>
      <c r="C4321" t="str">
        <f>"A0185184"</f>
        <v>A0185184</v>
      </c>
      <c r="D4321" t="s">
        <v>17728</v>
      </c>
      <c r="E4321" t="s">
        <v>17729</v>
      </c>
      <c r="F4321" t="s">
        <v>9607</v>
      </c>
      <c r="G4321" t="s">
        <v>117</v>
      </c>
      <c r="H4321" t="s">
        <v>17730</v>
      </c>
      <c r="I4321" t="s">
        <v>30</v>
      </c>
      <c r="J4321" t="s">
        <v>41</v>
      </c>
      <c r="K4321" t="s">
        <v>59</v>
      </c>
      <c r="Q4321">
        <v>0</v>
      </c>
      <c r="R4321">
        <v>366</v>
      </c>
      <c r="S4321">
        <v>366</v>
      </c>
      <c r="T4321" t="s">
        <v>17731</v>
      </c>
    </row>
    <row r="4322" spans="1:20" customFormat="1" ht="15" x14ac:dyDescent="0.25">
      <c r="A4322" t="s">
        <v>35</v>
      </c>
      <c r="B4322" t="s">
        <v>61</v>
      </c>
      <c r="C4322" t="str">
        <f>"A0185183"</f>
        <v>A0185183</v>
      </c>
      <c r="D4322" t="s">
        <v>17732</v>
      </c>
      <c r="E4322" t="s">
        <v>17733</v>
      </c>
      <c r="F4322" t="s">
        <v>9607</v>
      </c>
      <c r="G4322" t="s">
        <v>117</v>
      </c>
      <c r="H4322" t="s">
        <v>17734</v>
      </c>
      <c r="I4322" t="s">
        <v>30</v>
      </c>
      <c r="J4322" t="s">
        <v>41</v>
      </c>
      <c r="K4322" t="s">
        <v>59</v>
      </c>
      <c r="Q4322">
        <v>0</v>
      </c>
      <c r="R4322">
        <v>0</v>
      </c>
      <c r="S4322">
        <v>0</v>
      </c>
      <c r="T4322" t="s">
        <v>17735</v>
      </c>
    </row>
    <row r="4323" spans="1:20" customFormat="1" ht="15" x14ac:dyDescent="0.25">
      <c r="A4323" t="s">
        <v>35</v>
      </c>
      <c r="B4323" t="s">
        <v>61</v>
      </c>
      <c r="C4323" t="str">
        <f>"A0185182"</f>
        <v>A0185182</v>
      </c>
      <c r="D4323" t="s">
        <v>17736</v>
      </c>
      <c r="E4323" t="s">
        <v>17737</v>
      </c>
      <c r="F4323" t="s">
        <v>9607</v>
      </c>
      <c r="G4323" t="s">
        <v>117</v>
      </c>
      <c r="H4323" t="s">
        <v>17734</v>
      </c>
      <c r="I4323" t="s">
        <v>30</v>
      </c>
      <c r="J4323" t="s">
        <v>41</v>
      </c>
      <c r="K4323" t="s">
        <v>59</v>
      </c>
      <c r="Q4323">
        <v>0</v>
      </c>
      <c r="R4323">
        <v>0</v>
      </c>
      <c r="S4323">
        <v>0</v>
      </c>
      <c r="T4323" t="s">
        <v>17735</v>
      </c>
    </row>
    <row r="4324" spans="1:20" customFormat="1" ht="15" x14ac:dyDescent="0.25">
      <c r="A4324" t="s">
        <v>35</v>
      </c>
      <c r="B4324" t="s">
        <v>61</v>
      </c>
      <c r="C4324" t="str">
        <f>"A0185181"</f>
        <v>A0185181</v>
      </c>
      <c r="D4324" t="s">
        <v>17738</v>
      </c>
      <c r="E4324" t="s">
        <v>17739</v>
      </c>
      <c r="F4324" t="s">
        <v>17740</v>
      </c>
      <c r="G4324" t="s">
        <v>40</v>
      </c>
      <c r="H4324">
        <v>74501</v>
      </c>
      <c r="I4324" t="s">
        <v>30</v>
      </c>
      <c r="J4324" t="s">
        <v>41</v>
      </c>
      <c r="K4324" t="s">
        <v>59</v>
      </c>
      <c r="Q4324">
        <v>0</v>
      </c>
      <c r="R4324">
        <v>0</v>
      </c>
      <c r="S4324">
        <v>0</v>
      </c>
      <c r="T4324" t="s">
        <v>17741</v>
      </c>
    </row>
    <row r="4325" spans="1:20" customFormat="1" ht="15" x14ac:dyDescent="0.25">
      <c r="A4325" t="s">
        <v>35</v>
      </c>
      <c r="B4325" t="s">
        <v>61</v>
      </c>
      <c r="C4325" t="str">
        <f>"A0185180"</f>
        <v>A0185180</v>
      </c>
      <c r="D4325" t="s">
        <v>17742</v>
      </c>
      <c r="E4325" t="s">
        <v>17743</v>
      </c>
      <c r="F4325" t="s">
        <v>4037</v>
      </c>
      <c r="G4325" t="s">
        <v>40</v>
      </c>
      <c r="H4325" t="s">
        <v>17744</v>
      </c>
      <c r="I4325" t="s">
        <v>30</v>
      </c>
      <c r="J4325" t="s">
        <v>41</v>
      </c>
      <c r="K4325" t="s">
        <v>59</v>
      </c>
      <c r="Q4325">
        <v>0</v>
      </c>
      <c r="R4325">
        <v>0</v>
      </c>
      <c r="S4325">
        <v>0</v>
      </c>
      <c r="T4325" t="s">
        <v>17745</v>
      </c>
    </row>
    <row r="4326" spans="1:20" customFormat="1" ht="15" x14ac:dyDescent="0.25">
      <c r="A4326" t="s">
        <v>35</v>
      </c>
      <c r="B4326" t="s">
        <v>11892</v>
      </c>
      <c r="C4326" t="str">
        <f>"A0185179"</f>
        <v>A0185179</v>
      </c>
      <c r="D4326" t="s">
        <v>17746</v>
      </c>
      <c r="E4326" t="s">
        <v>17747</v>
      </c>
      <c r="F4326" t="s">
        <v>8846</v>
      </c>
      <c r="G4326" t="s">
        <v>117</v>
      </c>
      <c r="H4326" t="s">
        <v>17748</v>
      </c>
      <c r="I4326" t="s">
        <v>30</v>
      </c>
      <c r="J4326" t="s">
        <v>41</v>
      </c>
      <c r="K4326" t="s">
        <v>59</v>
      </c>
      <c r="Q4326">
        <v>0</v>
      </c>
      <c r="R4326">
        <v>0</v>
      </c>
      <c r="S4326">
        <v>0</v>
      </c>
      <c r="T4326" t="s">
        <v>17749</v>
      </c>
    </row>
    <row r="4327" spans="1:20" customFormat="1" ht="15" x14ac:dyDescent="0.25">
      <c r="A4327" t="s">
        <v>35</v>
      </c>
      <c r="B4327" t="s">
        <v>61</v>
      </c>
      <c r="C4327" t="str">
        <f>"A0185178"</f>
        <v>A0185178</v>
      </c>
      <c r="D4327" t="s">
        <v>17750</v>
      </c>
      <c r="E4327" t="s">
        <v>17751</v>
      </c>
      <c r="F4327" t="s">
        <v>8348</v>
      </c>
      <c r="G4327" t="s">
        <v>40</v>
      </c>
      <c r="H4327" t="s">
        <v>17752</v>
      </c>
      <c r="I4327" t="s">
        <v>30</v>
      </c>
      <c r="J4327" t="s">
        <v>41</v>
      </c>
      <c r="K4327" t="s">
        <v>59</v>
      </c>
      <c r="Q4327">
        <v>0</v>
      </c>
      <c r="R4327">
        <v>170</v>
      </c>
      <c r="S4327">
        <v>170</v>
      </c>
      <c r="T4327" t="s">
        <v>17753</v>
      </c>
    </row>
    <row r="4328" spans="1:20" customFormat="1" ht="15" x14ac:dyDescent="0.25">
      <c r="A4328" t="s">
        <v>35</v>
      </c>
      <c r="B4328" t="s">
        <v>61</v>
      </c>
      <c r="C4328" t="str">
        <f>"A0185177"</f>
        <v>A0185177</v>
      </c>
      <c r="D4328" t="s">
        <v>17754</v>
      </c>
      <c r="E4328" t="s">
        <v>17755</v>
      </c>
      <c r="F4328" t="s">
        <v>4037</v>
      </c>
      <c r="G4328" t="s">
        <v>40</v>
      </c>
      <c r="H4328" t="s">
        <v>17756</v>
      </c>
      <c r="I4328" t="s">
        <v>30</v>
      </c>
      <c r="J4328" t="s">
        <v>41</v>
      </c>
      <c r="K4328" t="s">
        <v>59</v>
      </c>
      <c r="Q4328">
        <v>0</v>
      </c>
      <c r="R4328">
        <v>0</v>
      </c>
      <c r="S4328">
        <v>0</v>
      </c>
      <c r="T4328" t="s">
        <v>17757</v>
      </c>
    </row>
    <row r="4329" spans="1:20" customFormat="1" ht="15" x14ac:dyDescent="0.25">
      <c r="A4329" t="s">
        <v>35</v>
      </c>
      <c r="B4329" t="s">
        <v>61</v>
      </c>
      <c r="C4329" t="str">
        <f>"A0185176"</f>
        <v>A0185176</v>
      </c>
      <c r="D4329" t="s">
        <v>17758</v>
      </c>
      <c r="E4329" t="s">
        <v>17759</v>
      </c>
      <c r="F4329" t="s">
        <v>12923</v>
      </c>
      <c r="G4329" t="s">
        <v>40</v>
      </c>
      <c r="H4329" t="s">
        <v>17760</v>
      </c>
      <c r="I4329" t="s">
        <v>30</v>
      </c>
      <c r="J4329" t="s">
        <v>41</v>
      </c>
      <c r="K4329" t="s">
        <v>59</v>
      </c>
      <c r="Q4329">
        <v>0</v>
      </c>
      <c r="R4329">
        <v>0</v>
      </c>
      <c r="S4329">
        <v>0</v>
      </c>
      <c r="T4329" t="s">
        <v>17761</v>
      </c>
    </row>
    <row r="4330" spans="1:20" customFormat="1" ht="15" x14ac:dyDescent="0.25">
      <c r="A4330" t="s">
        <v>35</v>
      </c>
      <c r="B4330" t="s">
        <v>17762</v>
      </c>
      <c r="C4330" t="str">
        <f>"A0185175"</f>
        <v>A0185175</v>
      </c>
      <c r="D4330" t="s">
        <v>17763</v>
      </c>
      <c r="E4330" t="s">
        <v>17764</v>
      </c>
      <c r="F4330" t="s">
        <v>10187</v>
      </c>
      <c r="G4330" t="s">
        <v>197</v>
      </c>
      <c r="H4330">
        <v>850293568</v>
      </c>
      <c r="I4330" t="s">
        <v>30</v>
      </c>
      <c r="J4330" t="s">
        <v>41</v>
      </c>
      <c r="K4330" t="s">
        <v>59</v>
      </c>
      <c r="Q4330">
        <v>0</v>
      </c>
      <c r="R4330">
        <v>0</v>
      </c>
      <c r="S4330">
        <v>0</v>
      </c>
      <c r="T4330" t="s">
        <v>17765</v>
      </c>
    </row>
    <row r="4331" spans="1:20" customFormat="1" ht="15" x14ac:dyDescent="0.25">
      <c r="A4331" t="s">
        <v>35</v>
      </c>
      <c r="B4331" t="s">
        <v>61</v>
      </c>
      <c r="C4331" t="str">
        <f>"A0185174"</f>
        <v>A0185174</v>
      </c>
      <c r="D4331" t="s">
        <v>17766</v>
      </c>
      <c r="E4331" t="s">
        <v>17767</v>
      </c>
      <c r="F4331" t="s">
        <v>1431</v>
      </c>
      <c r="G4331" t="s">
        <v>47</v>
      </c>
      <c r="H4331">
        <v>972062372</v>
      </c>
      <c r="I4331" t="s">
        <v>30</v>
      </c>
      <c r="J4331" t="s">
        <v>41</v>
      </c>
      <c r="K4331" t="s">
        <v>59</v>
      </c>
      <c r="Q4331">
        <v>0</v>
      </c>
      <c r="R4331">
        <v>0</v>
      </c>
      <c r="S4331">
        <v>0</v>
      </c>
      <c r="T4331" t="s">
        <v>17768</v>
      </c>
    </row>
    <row r="4332" spans="1:20" customFormat="1" ht="15" x14ac:dyDescent="0.25">
      <c r="A4332" t="s">
        <v>35</v>
      </c>
      <c r="B4332" t="s">
        <v>11892</v>
      </c>
      <c r="C4332" t="str">
        <f>"A0185173"</f>
        <v>A0185173</v>
      </c>
      <c r="D4332" t="s">
        <v>17769</v>
      </c>
      <c r="E4332" t="s">
        <v>17770</v>
      </c>
      <c r="F4332" t="s">
        <v>17771</v>
      </c>
      <c r="G4332" t="s">
        <v>117</v>
      </c>
      <c r="H4332" t="s">
        <v>17772</v>
      </c>
      <c r="I4332" t="s">
        <v>30</v>
      </c>
      <c r="J4332" t="s">
        <v>41</v>
      </c>
      <c r="K4332" t="s">
        <v>59</v>
      </c>
      <c r="Q4332">
        <v>0</v>
      </c>
      <c r="R4332">
        <v>0</v>
      </c>
      <c r="S4332">
        <v>0</v>
      </c>
      <c r="T4332" t="s">
        <v>17773</v>
      </c>
    </row>
    <row r="4333" spans="1:20" customFormat="1" ht="15" x14ac:dyDescent="0.25">
      <c r="A4333" t="s">
        <v>35</v>
      </c>
      <c r="B4333" t="s">
        <v>11892</v>
      </c>
      <c r="C4333" t="str">
        <f>"A0185172"</f>
        <v>A0185172</v>
      </c>
      <c r="D4333" t="s">
        <v>17774</v>
      </c>
      <c r="E4333" t="s">
        <v>17383</v>
      </c>
      <c r="F4333" t="s">
        <v>9939</v>
      </c>
      <c r="G4333" t="s">
        <v>117</v>
      </c>
      <c r="H4333" t="s">
        <v>17384</v>
      </c>
      <c r="I4333" t="s">
        <v>30</v>
      </c>
      <c r="J4333" t="s">
        <v>41</v>
      </c>
      <c r="K4333" t="s">
        <v>59</v>
      </c>
      <c r="Q4333">
        <v>0</v>
      </c>
      <c r="R4333">
        <v>0</v>
      </c>
      <c r="S4333">
        <v>0</v>
      </c>
      <c r="T4333" t="s">
        <v>17553</v>
      </c>
    </row>
    <row r="4334" spans="1:20" customFormat="1" ht="15" x14ac:dyDescent="0.25">
      <c r="A4334" t="s">
        <v>35</v>
      </c>
      <c r="B4334" t="s">
        <v>11871</v>
      </c>
      <c r="C4334" t="str">
        <f>"A0185171"</f>
        <v>A0185171</v>
      </c>
      <c r="D4334" t="s">
        <v>17775</v>
      </c>
      <c r="E4334" t="s">
        <v>17776</v>
      </c>
      <c r="F4334" t="s">
        <v>17777</v>
      </c>
      <c r="G4334" t="s">
        <v>117</v>
      </c>
      <c r="H4334" t="s">
        <v>17778</v>
      </c>
      <c r="I4334" t="s">
        <v>30</v>
      </c>
      <c r="J4334" t="s">
        <v>41</v>
      </c>
      <c r="K4334" t="s">
        <v>59</v>
      </c>
      <c r="Q4334">
        <v>0</v>
      </c>
      <c r="R4334">
        <v>0</v>
      </c>
      <c r="S4334">
        <v>0</v>
      </c>
      <c r="T4334" t="s">
        <v>17779</v>
      </c>
    </row>
    <row r="4335" spans="1:20" customFormat="1" ht="15" x14ac:dyDescent="0.25">
      <c r="A4335" t="s">
        <v>35</v>
      </c>
      <c r="B4335" t="s">
        <v>11871</v>
      </c>
      <c r="C4335" t="str">
        <f>"A0185170"</f>
        <v>A0185170</v>
      </c>
      <c r="D4335" t="s">
        <v>17780</v>
      </c>
      <c r="E4335" t="s">
        <v>17781</v>
      </c>
      <c r="F4335" t="s">
        <v>12148</v>
      </c>
      <c r="G4335" t="s">
        <v>117</v>
      </c>
      <c r="H4335" t="s">
        <v>17782</v>
      </c>
      <c r="I4335" t="s">
        <v>30</v>
      </c>
      <c r="J4335" t="s">
        <v>41</v>
      </c>
      <c r="K4335" t="s">
        <v>59</v>
      </c>
      <c r="Q4335">
        <v>0</v>
      </c>
      <c r="R4335">
        <v>0</v>
      </c>
      <c r="S4335">
        <v>0</v>
      </c>
      <c r="T4335" t="s">
        <v>17783</v>
      </c>
    </row>
    <row r="4336" spans="1:20" customFormat="1" ht="15" x14ac:dyDescent="0.25">
      <c r="A4336" t="s">
        <v>35</v>
      </c>
      <c r="B4336" t="s">
        <v>61</v>
      </c>
      <c r="C4336" t="str">
        <f>"A0185169"</f>
        <v>A0185169</v>
      </c>
      <c r="D4336" t="s">
        <v>17784</v>
      </c>
      <c r="E4336" t="s">
        <v>17785</v>
      </c>
      <c r="F4336" t="s">
        <v>1431</v>
      </c>
      <c r="G4336" t="s">
        <v>2450</v>
      </c>
      <c r="H4336">
        <v>4103</v>
      </c>
      <c r="I4336" t="s">
        <v>30</v>
      </c>
      <c r="J4336" t="s">
        <v>41</v>
      </c>
      <c r="K4336" t="s">
        <v>59</v>
      </c>
      <c r="Q4336">
        <v>0</v>
      </c>
      <c r="R4336">
        <v>252</v>
      </c>
      <c r="S4336">
        <v>252</v>
      </c>
      <c r="T4336" t="s">
        <v>17786</v>
      </c>
    </row>
    <row r="4337" spans="1:20" customFormat="1" ht="15" x14ac:dyDescent="0.25">
      <c r="A4337" t="s">
        <v>35</v>
      </c>
      <c r="B4337" t="s">
        <v>61</v>
      </c>
      <c r="C4337" t="str">
        <f>"A0185168"</f>
        <v>A0185168</v>
      </c>
      <c r="D4337" t="s">
        <v>17787</v>
      </c>
      <c r="E4337" t="s">
        <v>17788</v>
      </c>
      <c r="F4337" t="s">
        <v>17789</v>
      </c>
      <c r="G4337" t="s">
        <v>2450</v>
      </c>
      <c r="H4337" t="s">
        <v>17790</v>
      </c>
      <c r="I4337" t="s">
        <v>30</v>
      </c>
      <c r="J4337" t="s">
        <v>41</v>
      </c>
      <c r="K4337" t="s">
        <v>59</v>
      </c>
      <c r="Q4337">
        <v>0</v>
      </c>
      <c r="R4337">
        <v>71</v>
      </c>
      <c r="S4337">
        <v>71</v>
      </c>
      <c r="T4337" t="s">
        <v>17791</v>
      </c>
    </row>
    <row r="4338" spans="1:20" customFormat="1" ht="15" x14ac:dyDescent="0.25">
      <c r="A4338" t="s">
        <v>35</v>
      </c>
      <c r="B4338" t="s">
        <v>17792</v>
      </c>
      <c r="C4338" t="str">
        <f>"A0185167"</f>
        <v>A0185167</v>
      </c>
      <c r="D4338" t="s">
        <v>17793</v>
      </c>
      <c r="E4338" t="s">
        <v>17794</v>
      </c>
      <c r="F4338" t="s">
        <v>11613</v>
      </c>
      <c r="G4338" t="s">
        <v>76</v>
      </c>
      <c r="H4338">
        <v>982926116</v>
      </c>
      <c r="I4338" t="s">
        <v>30</v>
      </c>
      <c r="J4338" t="s">
        <v>41</v>
      </c>
      <c r="K4338" t="s">
        <v>59</v>
      </c>
      <c r="Q4338">
        <v>0</v>
      </c>
      <c r="R4338">
        <v>94</v>
      </c>
      <c r="S4338">
        <v>94</v>
      </c>
      <c r="T4338" t="s">
        <v>17795</v>
      </c>
    </row>
    <row r="4339" spans="1:20" customFormat="1" ht="15" x14ac:dyDescent="0.25">
      <c r="A4339" t="s">
        <v>35</v>
      </c>
      <c r="B4339" t="s">
        <v>61</v>
      </c>
      <c r="C4339" t="str">
        <f>"A0185166"</f>
        <v>A0185166</v>
      </c>
      <c r="D4339" t="s">
        <v>17796</v>
      </c>
      <c r="E4339" t="s">
        <v>17797</v>
      </c>
      <c r="F4339" t="s">
        <v>1444</v>
      </c>
      <c r="G4339" t="s">
        <v>76</v>
      </c>
      <c r="H4339">
        <v>981337308</v>
      </c>
      <c r="I4339" t="s">
        <v>30</v>
      </c>
      <c r="J4339" t="s">
        <v>41</v>
      </c>
      <c r="K4339" t="s">
        <v>59</v>
      </c>
      <c r="Q4339">
        <v>0</v>
      </c>
      <c r="R4339">
        <v>240</v>
      </c>
      <c r="S4339">
        <v>240</v>
      </c>
      <c r="T4339" t="s">
        <v>17798</v>
      </c>
    </row>
    <row r="4340" spans="1:20" customFormat="1" ht="15" x14ac:dyDescent="0.25">
      <c r="A4340" t="s">
        <v>35</v>
      </c>
      <c r="B4340" t="s">
        <v>61</v>
      </c>
      <c r="C4340" t="str">
        <f>"A0185164"</f>
        <v>A0185164</v>
      </c>
      <c r="D4340" t="s">
        <v>17799</v>
      </c>
      <c r="E4340" t="s">
        <v>17800</v>
      </c>
      <c r="F4340" t="s">
        <v>17801</v>
      </c>
      <c r="G4340" t="s">
        <v>2450</v>
      </c>
      <c r="H4340" t="s">
        <v>17802</v>
      </c>
      <c r="I4340" t="s">
        <v>30</v>
      </c>
      <c r="J4340" t="s">
        <v>41</v>
      </c>
      <c r="K4340" t="s">
        <v>59</v>
      </c>
      <c r="Q4340">
        <v>0</v>
      </c>
      <c r="R4340">
        <v>114</v>
      </c>
      <c r="S4340">
        <v>114</v>
      </c>
      <c r="T4340" t="s">
        <v>17803</v>
      </c>
    </row>
    <row r="4341" spans="1:20" customFormat="1" ht="15" x14ac:dyDescent="0.25">
      <c r="A4341" t="s">
        <v>35</v>
      </c>
      <c r="B4341" t="s">
        <v>11183</v>
      </c>
      <c r="C4341" t="str">
        <f>"A0185163"</f>
        <v>A0185163</v>
      </c>
      <c r="D4341" t="s">
        <v>17804</v>
      </c>
      <c r="E4341" t="s">
        <v>17805</v>
      </c>
      <c r="F4341" t="s">
        <v>6085</v>
      </c>
      <c r="G4341" t="s">
        <v>123</v>
      </c>
      <c r="H4341">
        <v>217038521</v>
      </c>
      <c r="I4341" t="s">
        <v>30</v>
      </c>
      <c r="J4341" t="s">
        <v>41</v>
      </c>
      <c r="K4341" t="s">
        <v>59</v>
      </c>
      <c r="Q4341">
        <v>0</v>
      </c>
      <c r="R4341">
        <v>0</v>
      </c>
      <c r="S4341">
        <v>0</v>
      </c>
      <c r="T4341" t="s">
        <v>17806</v>
      </c>
    </row>
    <row r="4342" spans="1:20" customFormat="1" ht="15" x14ac:dyDescent="0.25">
      <c r="A4342" t="s">
        <v>35</v>
      </c>
      <c r="B4342" t="s">
        <v>61</v>
      </c>
      <c r="C4342" t="str">
        <f>"A0185162"</f>
        <v>A0185162</v>
      </c>
      <c r="D4342" t="s">
        <v>17807</v>
      </c>
      <c r="E4342" t="s">
        <v>17808</v>
      </c>
      <c r="F4342" t="s">
        <v>4082</v>
      </c>
      <c r="G4342" t="s">
        <v>123</v>
      </c>
      <c r="H4342" t="s">
        <v>17809</v>
      </c>
      <c r="I4342" t="s">
        <v>30</v>
      </c>
      <c r="J4342" t="s">
        <v>41</v>
      </c>
      <c r="K4342" t="s">
        <v>59</v>
      </c>
      <c r="Q4342">
        <v>0</v>
      </c>
      <c r="R4342">
        <v>0</v>
      </c>
      <c r="S4342">
        <v>0</v>
      </c>
      <c r="T4342" t="s">
        <v>17810</v>
      </c>
    </row>
    <row r="4343" spans="1:20" customFormat="1" ht="15" x14ac:dyDescent="0.25">
      <c r="A4343" t="s">
        <v>35</v>
      </c>
      <c r="B4343" t="s">
        <v>61</v>
      </c>
      <c r="C4343" t="str">
        <f>"A0185161"</f>
        <v>A0185161</v>
      </c>
      <c r="D4343" t="s">
        <v>17811</v>
      </c>
      <c r="E4343" t="s">
        <v>17812</v>
      </c>
      <c r="F4343" t="s">
        <v>8288</v>
      </c>
      <c r="G4343" t="s">
        <v>123</v>
      </c>
      <c r="H4343">
        <v>21740</v>
      </c>
      <c r="I4343" t="s">
        <v>30</v>
      </c>
      <c r="J4343" t="s">
        <v>41</v>
      </c>
      <c r="K4343" t="s">
        <v>59</v>
      </c>
      <c r="Q4343">
        <v>0</v>
      </c>
      <c r="R4343">
        <v>0</v>
      </c>
      <c r="S4343">
        <v>0</v>
      </c>
      <c r="T4343" t="s">
        <v>17813</v>
      </c>
    </row>
    <row r="4344" spans="1:20" customFormat="1" ht="15" x14ac:dyDescent="0.25">
      <c r="A4344" t="s">
        <v>35</v>
      </c>
      <c r="B4344" t="s">
        <v>61</v>
      </c>
      <c r="C4344" t="str">
        <f>"A0185160"</f>
        <v>A0185160</v>
      </c>
      <c r="D4344" t="s">
        <v>17814</v>
      </c>
      <c r="E4344" t="s">
        <v>17815</v>
      </c>
      <c r="F4344" t="s">
        <v>12629</v>
      </c>
      <c r="G4344" t="s">
        <v>52</v>
      </c>
      <c r="H4344" t="s">
        <v>17816</v>
      </c>
      <c r="I4344" t="s">
        <v>30</v>
      </c>
      <c r="J4344" t="s">
        <v>41</v>
      </c>
      <c r="K4344" t="s">
        <v>59</v>
      </c>
      <c r="Q4344">
        <v>0</v>
      </c>
      <c r="R4344">
        <v>30</v>
      </c>
      <c r="S4344">
        <v>30</v>
      </c>
      <c r="T4344" t="s">
        <v>17817</v>
      </c>
    </row>
    <row r="4345" spans="1:20" customFormat="1" ht="15" x14ac:dyDescent="0.25">
      <c r="A4345" t="s">
        <v>35</v>
      </c>
      <c r="B4345" t="s">
        <v>61</v>
      </c>
      <c r="C4345" t="str">
        <f>"A0185159"</f>
        <v>A0185159</v>
      </c>
      <c r="D4345" t="s">
        <v>17818</v>
      </c>
      <c r="E4345" t="s">
        <v>17819</v>
      </c>
      <c r="F4345" t="s">
        <v>5257</v>
      </c>
      <c r="G4345" t="s">
        <v>52</v>
      </c>
      <c r="H4345" t="s">
        <v>17820</v>
      </c>
      <c r="I4345" t="s">
        <v>30</v>
      </c>
      <c r="J4345" t="s">
        <v>41</v>
      </c>
      <c r="K4345" t="s">
        <v>59</v>
      </c>
      <c r="Q4345">
        <v>0</v>
      </c>
      <c r="R4345">
        <v>32</v>
      </c>
      <c r="S4345">
        <v>32</v>
      </c>
      <c r="T4345" t="s">
        <v>17821</v>
      </c>
    </row>
    <row r="4346" spans="1:20" customFormat="1" ht="15" x14ac:dyDescent="0.25">
      <c r="A4346" t="s">
        <v>35</v>
      </c>
      <c r="B4346" t="s">
        <v>61</v>
      </c>
      <c r="C4346" t="str">
        <f>"A0185158"</f>
        <v>A0185158</v>
      </c>
      <c r="D4346" t="s">
        <v>17822</v>
      </c>
      <c r="E4346" t="s">
        <v>17823</v>
      </c>
      <c r="F4346" t="s">
        <v>17824</v>
      </c>
      <c r="G4346" t="s">
        <v>880</v>
      </c>
      <c r="H4346" t="s">
        <v>17825</v>
      </c>
      <c r="I4346" t="s">
        <v>30</v>
      </c>
      <c r="J4346" t="s">
        <v>41</v>
      </c>
      <c r="K4346" t="s">
        <v>59</v>
      </c>
      <c r="Q4346">
        <v>0</v>
      </c>
      <c r="R4346">
        <v>208</v>
      </c>
      <c r="S4346">
        <v>208</v>
      </c>
      <c r="T4346" t="s">
        <v>17826</v>
      </c>
    </row>
    <row r="4347" spans="1:20" customFormat="1" ht="15" x14ac:dyDescent="0.25">
      <c r="A4347" t="s">
        <v>35</v>
      </c>
      <c r="B4347" t="s">
        <v>61</v>
      </c>
      <c r="C4347" t="str">
        <f>"A0185157"</f>
        <v>A0185157</v>
      </c>
      <c r="D4347" t="s">
        <v>17827</v>
      </c>
      <c r="E4347" t="s">
        <v>17828</v>
      </c>
      <c r="F4347" t="s">
        <v>4622</v>
      </c>
      <c r="G4347" t="s">
        <v>880</v>
      </c>
      <c r="H4347" t="s">
        <v>17829</v>
      </c>
      <c r="I4347" t="s">
        <v>30</v>
      </c>
      <c r="J4347" t="s">
        <v>41</v>
      </c>
      <c r="K4347" t="s">
        <v>59</v>
      </c>
      <c r="Q4347">
        <v>0</v>
      </c>
      <c r="R4347">
        <v>0</v>
      </c>
      <c r="S4347">
        <v>0</v>
      </c>
      <c r="T4347" t="s">
        <v>17830</v>
      </c>
    </row>
    <row r="4348" spans="1:20" customFormat="1" ht="15" x14ac:dyDescent="0.25">
      <c r="A4348" t="s">
        <v>35</v>
      </c>
      <c r="B4348" t="s">
        <v>61</v>
      </c>
      <c r="C4348" t="str">
        <f>"A0185156"</f>
        <v>A0185156</v>
      </c>
      <c r="D4348" t="s">
        <v>17831</v>
      </c>
      <c r="E4348" t="s">
        <v>17832</v>
      </c>
      <c r="F4348" t="s">
        <v>1501</v>
      </c>
      <c r="G4348" t="s">
        <v>880</v>
      </c>
      <c r="H4348" t="s">
        <v>17833</v>
      </c>
      <c r="I4348" t="s">
        <v>30</v>
      </c>
      <c r="J4348" t="s">
        <v>41</v>
      </c>
      <c r="K4348" t="s">
        <v>59</v>
      </c>
      <c r="Q4348">
        <v>0</v>
      </c>
      <c r="R4348">
        <v>0</v>
      </c>
      <c r="S4348">
        <v>0</v>
      </c>
    </row>
    <row r="4349" spans="1:20" customFormat="1" ht="15" x14ac:dyDescent="0.25">
      <c r="A4349" t="s">
        <v>35</v>
      </c>
      <c r="B4349" t="s">
        <v>61</v>
      </c>
      <c r="C4349" t="str">
        <f>"A0185155"</f>
        <v>A0185155</v>
      </c>
      <c r="D4349" t="s">
        <v>17834</v>
      </c>
      <c r="E4349" t="s">
        <v>17835</v>
      </c>
      <c r="F4349" t="s">
        <v>1420</v>
      </c>
      <c r="G4349" t="s">
        <v>880</v>
      </c>
      <c r="H4349">
        <v>37205</v>
      </c>
      <c r="I4349" t="s">
        <v>30</v>
      </c>
      <c r="J4349" t="s">
        <v>41</v>
      </c>
      <c r="K4349" t="s">
        <v>59</v>
      </c>
      <c r="Q4349">
        <v>0</v>
      </c>
      <c r="R4349">
        <v>107</v>
      </c>
      <c r="S4349">
        <v>107</v>
      </c>
      <c r="T4349" t="s">
        <v>17836</v>
      </c>
    </row>
    <row r="4350" spans="1:20" customFormat="1" ht="15" x14ac:dyDescent="0.25">
      <c r="A4350" t="s">
        <v>35</v>
      </c>
      <c r="B4350" t="s">
        <v>11871</v>
      </c>
      <c r="C4350" t="str">
        <f>"A0185154"</f>
        <v>A0185154</v>
      </c>
      <c r="D4350" t="s">
        <v>17837</v>
      </c>
      <c r="E4350" t="s">
        <v>17838</v>
      </c>
      <c r="F4350" t="s">
        <v>17839</v>
      </c>
      <c r="G4350" t="s">
        <v>880</v>
      </c>
      <c r="H4350" t="s">
        <v>17840</v>
      </c>
      <c r="I4350" t="s">
        <v>30</v>
      </c>
      <c r="J4350" t="s">
        <v>41</v>
      </c>
      <c r="K4350" t="s">
        <v>59</v>
      </c>
      <c r="Q4350">
        <v>0</v>
      </c>
      <c r="R4350">
        <v>0</v>
      </c>
      <c r="S4350">
        <v>0</v>
      </c>
      <c r="T4350" t="s">
        <v>17841</v>
      </c>
    </row>
    <row r="4351" spans="1:20" customFormat="1" ht="15" x14ac:dyDescent="0.25">
      <c r="A4351" t="s">
        <v>35</v>
      </c>
      <c r="B4351" t="s">
        <v>11871</v>
      </c>
      <c r="C4351" t="str">
        <f>"A0185153"</f>
        <v>A0185153</v>
      </c>
      <c r="D4351" t="s">
        <v>17842</v>
      </c>
      <c r="E4351" t="s">
        <v>17843</v>
      </c>
      <c r="F4351" t="s">
        <v>2670</v>
      </c>
      <c r="G4351" t="s">
        <v>880</v>
      </c>
      <c r="H4351" t="s">
        <v>17844</v>
      </c>
      <c r="I4351" t="s">
        <v>30</v>
      </c>
      <c r="J4351" t="s">
        <v>41</v>
      </c>
      <c r="K4351" t="s">
        <v>59</v>
      </c>
      <c r="Q4351">
        <v>0</v>
      </c>
      <c r="R4351">
        <v>0</v>
      </c>
      <c r="S4351">
        <v>0</v>
      </c>
      <c r="T4351" t="s">
        <v>17845</v>
      </c>
    </row>
    <row r="4352" spans="1:20" customFormat="1" ht="15" x14ac:dyDescent="0.25">
      <c r="A4352" t="s">
        <v>35</v>
      </c>
      <c r="B4352" t="s">
        <v>61</v>
      </c>
      <c r="C4352" t="str">
        <f>"A0185152"</f>
        <v>A0185152</v>
      </c>
      <c r="D4352" t="s">
        <v>17846</v>
      </c>
      <c r="E4352" t="s">
        <v>17847</v>
      </c>
      <c r="F4352" t="s">
        <v>3197</v>
      </c>
      <c r="G4352" t="s">
        <v>58</v>
      </c>
      <c r="H4352">
        <v>29639</v>
      </c>
      <c r="I4352" t="s">
        <v>30</v>
      </c>
      <c r="J4352" t="s">
        <v>41</v>
      </c>
      <c r="K4352" t="s">
        <v>59</v>
      </c>
      <c r="Q4352">
        <v>0</v>
      </c>
      <c r="R4352">
        <v>42</v>
      </c>
      <c r="S4352">
        <v>42</v>
      </c>
      <c r="T4352" t="s">
        <v>17848</v>
      </c>
    </row>
    <row r="4353" spans="1:20" customFormat="1" ht="15" x14ac:dyDescent="0.25">
      <c r="A4353" t="s">
        <v>35</v>
      </c>
      <c r="B4353" t="s">
        <v>61</v>
      </c>
      <c r="C4353" t="str">
        <f>"A0185151"</f>
        <v>A0185151</v>
      </c>
      <c r="D4353" t="s">
        <v>17849</v>
      </c>
      <c r="E4353" t="s">
        <v>17850</v>
      </c>
      <c r="F4353" t="s">
        <v>57</v>
      </c>
      <c r="G4353" t="s">
        <v>58</v>
      </c>
      <c r="H4353" t="s">
        <v>17851</v>
      </c>
      <c r="I4353" t="s">
        <v>30</v>
      </c>
      <c r="J4353" t="s">
        <v>41</v>
      </c>
      <c r="K4353" t="s">
        <v>59</v>
      </c>
      <c r="Q4353">
        <v>0</v>
      </c>
      <c r="R4353">
        <v>56</v>
      </c>
      <c r="S4353">
        <v>56</v>
      </c>
      <c r="T4353" t="s">
        <v>17852</v>
      </c>
    </row>
    <row r="4354" spans="1:20" customFormat="1" ht="15" x14ac:dyDescent="0.25">
      <c r="A4354" t="s">
        <v>35</v>
      </c>
      <c r="B4354" t="s">
        <v>61</v>
      </c>
      <c r="C4354" t="str">
        <f>"A0185150"</f>
        <v>A0185150</v>
      </c>
      <c r="D4354" t="s">
        <v>17853</v>
      </c>
      <c r="E4354" t="s">
        <v>17854</v>
      </c>
      <c r="F4354" t="s">
        <v>17855</v>
      </c>
      <c r="G4354" t="s">
        <v>58</v>
      </c>
      <c r="H4354" t="s">
        <v>17856</v>
      </c>
      <c r="I4354" t="s">
        <v>30</v>
      </c>
      <c r="J4354" t="s">
        <v>41</v>
      </c>
      <c r="K4354" t="s">
        <v>59</v>
      </c>
      <c r="Q4354">
        <v>0</v>
      </c>
      <c r="R4354">
        <v>0</v>
      </c>
      <c r="S4354">
        <v>0</v>
      </c>
      <c r="T4354" t="s">
        <v>17857</v>
      </c>
    </row>
    <row r="4355" spans="1:20" customFormat="1" ht="15" x14ac:dyDescent="0.25">
      <c r="A4355" t="s">
        <v>35</v>
      </c>
      <c r="B4355" t="s">
        <v>11871</v>
      </c>
      <c r="C4355" t="str">
        <f>"A0185149"</f>
        <v>A0185149</v>
      </c>
      <c r="D4355" t="s">
        <v>17858</v>
      </c>
      <c r="E4355" t="s">
        <v>17859</v>
      </c>
      <c r="F4355" t="s">
        <v>17860</v>
      </c>
      <c r="G4355" t="s">
        <v>9901</v>
      </c>
      <c r="H4355" t="s">
        <v>17861</v>
      </c>
      <c r="I4355" t="s">
        <v>30</v>
      </c>
      <c r="J4355" t="s">
        <v>41</v>
      </c>
      <c r="K4355" t="s">
        <v>59</v>
      </c>
      <c r="Q4355">
        <v>0</v>
      </c>
      <c r="R4355">
        <v>0</v>
      </c>
      <c r="S4355">
        <v>0</v>
      </c>
      <c r="T4355" t="s">
        <v>17862</v>
      </c>
    </row>
    <row r="4356" spans="1:20" customFormat="1" ht="15" x14ac:dyDescent="0.25">
      <c r="A4356" t="s">
        <v>35</v>
      </c>
      <c r="B4356" t="s">
        <v>61</v>
      </c>
      <c r="C4356" t="str">
        <f>"A0185148"</f>
        <v>A0185148</v>
      </c>
      <c r="D4356" t="s">
        <v>17863</v>
      </c>
      <c r="E4356" t="s">
        <v>17864</v>
      </c>
      <c r="F4356" t="s">
        <v>17865</v>
      </c>
      <c r="G4356" t="s">
        <v>103</v>
      </c>
      <c r="H4356" t="s">
        <v>17866</v>
      </c>
      <c r="I4356" t="s">
        <v>30</v>
      </c>
      <c r="J4356" t="s">
        <v>41</v>
      </c>
      <c r="K4356" t="s">
        <v>59</v>
      </c>
      <c r="Q4356">
        <v>0</v>
      </c>
      <c r="R4356">
        <v>112</v>
      </c>
      <c r="S4356">
        <v>112</v>
      </c>
      <c r="T4356" t="s">
        <v>17867</v>
      </c>
    </row>
    <row r="4357" spans="1:20" customFormat="1" ht="15" x14ac:dyDescent="0.25">
      <c r="A4357" t="s">
        <v>35</v>
      </c>
      <c r="B4357" t="s">
        <v>61</v>
      </c>
      <c r="C4357" t="str">
        <f>"A0185147"</f>
        <v>A0185147</v>
      </c>
      <c r="D4357" t="s">
        <v>17868</v>
      </c>
      <c r="E4357" t="s">
        <v>17869</v>
      </c>
      <c r="F4357" t="s">
        <v>17870</v>
      </c>
      <c r="G4357" t="s">
        <v>2391</v>
      </c>
      <c r="H4357" t="s">
        <v>17871</v>
      </c>
      <c r="I4357" t="s">
        <v>30</v>
      </c>
      <c r="J4357" t="s">
        <v>41</v>
      </c>
      <c r="K4357" t="s">
        <v>59</v>
      </c>
      <c r="Q4357">
        <v>0</v>
      </c>
      <c r="R4357">
        <v>0</v>
      </c>
      <c r="S4357">
        <v>0</v>
      </c>
      <c r="T4357" t="s">
        <v>17872</v>
      </c>
    </row>
    <row r="4358" spans="1:20" customFormat="1" ht="15" x14ac:dyDescent="0.25">
      <c r="A4358" t="s">
        <v>35</v>
      </c>
      <c r="B4358" t="s">
        <v>61</v>
      </c>
      <c r="C4358" t="str">
        <f>"A0185146"</f>
        <v>A0185146</v>
      </c>
      <c r="D4358" t="s">
        <v>17873</v>
      </c>
      <c r="E4358" t="s">
        <v>17874</v>
      </c>
      <c r="F4358" t="s">
        <v>17875</v>
      </c>
      <c r="G4358" t="s">
        <v>2391</v>
      </c>
      <c r="H4358" t="s">
        <v>17876</v>
      </c>
      <c r="I4358" t="s">
        <v>30</v>
      </c>
      <c r="J4358" t="s">
        <v>41</v>
      </c>
      <c r="K4358" t="s">
        <v>59</v>
      </c>
      <c r="Q4358">
        <v>0</v>
      </c>
      <c r="R4358">
        <v>0</v>
      </c>
      <c r="S4358">
        <v>0</v>
      </c>
    </row>
    <row r="4359" spans="1:20" customFormat="1" ht="15" x14ac:dyDescent="0.25">
      <c r="A4359" t="s">
        <v>35</v>
      </c>
      <c r="B4359" t="s">
        <v>61</v>
      </c>
      <c r="C4359" t="str">
        <f>"A0185145"</f>
        <v>A0185145</v>
      </c>
      <c r="D4359" t="s">
        <v>17877</v>
      </c>
      <c r="E4359" t="s">
        <v>17878</v>
      </c>
      <c r="F4359" t="s">
        <v>17879</v>
      </c>
      <c r="G4359" t="s">
        <v>29</v>
      </c>
      <c r="H4359">
        <v>234543163</v>
      </c>
      <c r="I4359" t="s">
        <v>30</v>
      </c>
      <c r="J4359" t="s">
        <v>41</v>
      </c>
      <c r="K4359" t="s">
        <v>59</v>
      </c>
      <c r="Q4359">
        <v>0</v>
      </c>
      <c r="R4359">
        <v>0</v>
      </c>
      <c r="S4359">
        <v>0</v>
      </c>
      <c r="T4359" t="s">
        <v>17880</v>
      </c>
    </row>
    <row r="4360" spans="1:20" customFormat="1" ht="15" x14ac:dyDescent="0.25">
      <c r="A4360" t="s">
        <v>35</v>
      </c>
      <c r="B4360" t="s">
        <v>61</v>
      </c>
      <c r="C4360" t="str">
        <f>"A0185144"</f>
        <v>A0185144</v>
      </c>
      <c r="D4360" t="s">
        <v>17881</v>
      </c>
      <c r="E4360" t="s">
        <v>17882</v>
      </c>
      <c r="F4360" t="s">
        <v>1735</v>
      </c>
      <c r="G4360" t="s">
        <v>29</v>
      </c>
      <c r="H4360">
        <v>228025534</v>
      </c>
      <c r="I4360" t="s">
        <v>30</v>
      </c>
      <c r="J4360" t="s">
        <v>41</v>
      </c>
      <c r="K4360" t="s">
        <v>59</v>
      </c>
      <c r="Q4360">
        <v>0</v>
      </c>
      <c r="R4360">
        <v>0</v>
      </c>
      <c r="S4360">
        <v>0</v>
      </c>
      <c r="T4360" t="s">
        <v>17883</v>
      </c>
    </row>
    <row r="4361" spans="1:20" customFormat="1" ht="15" x14ac:dyDescent="0.25">
      <c r="A4361" t="s">
        <v>35</v>
      </c>
      <c r="B4361" t="s">
        <v>61</v>
      </c>
      <c r="C4361" t="str">
        <f>"A0185143"</f>
        <v>A0185143</v>
      </c>
      <c r="D4361" t="s">
        <v>17884</v>
      </c>
      <c r="E4361" t="s">
        <v>17885</v>
      </c>
      <c r="F4361" t="s">
        <v>17886</v>
      </c>
      <c r="G4361" t="s">
        <v>117</v>
      </c>
      <c r="H4361" t="s">
        <v>17887</v>
      </c>
      <c r="I4361" t="s">
        <v>30</v>
      </c>
      <c r="J4361" t="s">
        <v>41</v>
      </c>
      <c r="K4361" t="s">
        <v>59</v>
      </c>
      <c r="Q4361">
        <v>0</v>
      </c>
      <c r="R4361">
        <v>0</v>
      </c>
      <c r="S4361">
        <v>0</v>
      </c>
    </row>
    <row r="4362" spans="1:20" customFormat="1" ht="15" x14ac:dyDescent="0.25">
      <c r="A4362" t="s">
        <v>35</v>
      </c>
      <c r="B4362" t="s">
        <v>11871</v>
      </c>
      <c r="C4362" t="str">
        <f>"A0185142"</f>
        <v>A0185142</v>
      </c>
      <c r="D4362" t="s">
        <v>17888</v>
      </c>
      <c r="E4362" t="s">
        <v>17889</v>
      </c>
      <c r="F4362" t="s">
        <v>265</v>
      </c>
      <c r="G4362" t="s">
        <v>117</v>
      </c>
      <c r="H4362" t="s">
        <v>17890</v>
      </c>
      <c r="I4362" t="s">
        <v>30</v>
      </c>
      <c r="J4362" t="s">
        <v>41</v>
      </c>
      <c r="K4362" t="s">
        <v>59</v>
      </c>
      <c r="Q4362">
        <v>0</v>
      </c>
      <c r="R4362">
        <v>0</v>
      </c>
      <c r="S4362">
        <v>0</v>
      </c>
      <c r="T4362" t="s">
        <v>17891</v>
      </c>
    </row>
    <row r="4363" spans="1:20" customFormat="1" ht="15" x14ac:dyDescent="0.25">
      <c r="A4363" t="s">
        <v>35</v>
      </c>
      <c r="B4363" t="s">
        <v>61</v>
      </c>
      <c r="C4363" t="str">
        <f>"A0185141"</f>
        <v>A0185141</v>
      </c>
      <c r="D4363" t="s">
        <v>17892</v>
      </c>
      <c r="E4363" t="s">
        <v>17893</v>
      </c>
      <c r="F4363" t="s">
        <v>8348</v>
      </c>
      <c r="G4363" t="s">
        <v>40</v>
      </c>
      <c r="H4363" t="s">
        <v>17894</v>
      </c>
      <c r="I4363" t="s">
        <v>30</v>
      </c>
      <c r="J4363" t="s">
        <v>41</v>
      </c>
      <c r="K4363" t="s">
        <v>59</v>
      </c>
      <c r="Q4363">
        <v>0</v>
      </c>
      <c r="R4363">
        <v>350</v>
      </c>
      <c r="S4363">
        <v>350</v>
      </c>
      <c r="T4363" t="s">
        <v>17895</v>
      </c>
    </row>
    <row r="4364" spans="1:20" customFormat="1" ht="15" x14ac:dyDescent="0.25">
      <c r="A4364" t="s">
        <v>35</v>
      </c>
      <c r="B4364" t="s">
        <v>61</v>
      </c>
      <c r="C4364" t="str">
        <f>"A0185140"</f>
        <v>A0185140</v>
      </c>
      <c r="D4364" t="s">
        <v>17896</v>
      </c>
      <c r="E4364" t="s">
        <v>17897</v>
      </c>
      <c r="F4364" t="s">
        <v>4037</v>
      </c>
      <c r="G4364" t="s">
        <v>40</v>
      </c>
      <c r="H4364" t="s">
        <v>17898</v>
      </c>
      <c r="I4364" t="s">
        <v>30</v>
      </c>
      <c r="J4364" t="s">
        <v>41</v>
      </c>
      <c r="K4364" t="s">
        <v>59</v>
      </c>
      <c r="Q4364">
        <v>0</v>
      </c>
      <c r="R4364">
        <v>0</v>
      </c>
      <c r="S4364">
        <v>0</v>
      </c>
      <c r="T4364" t="s">
        <v>17899</v>
      </c>
    </row>
    <row r="4365" spans="1:20" customFormat="1" ht="15" x14ac:dyDescent="0.25">
      <c r="A4365" t="s">
        <v>35</v>
      </c>
      <c r="B4365" t="s">
        <v>61</v>
      </c>
      <c r="C4365" t="str">
        <f>"A0185139"</f>
        <v>A0185139</v>
      </c>
      <c r="D4365" t="s">
        <v>17900</v>
      </c>
      <c r="E4365" t="s">
        <v>17901</v>
      </c>
      <c r="F4365" t="s">
        <v>12923</v>
      </c>
      <c r="G4365" t="s">
        <v>40</v>
      </c>
      <c r="H4365" t="s">
        <v>17902</v>
      </c>
      <c r="I4365" t="s">
        <v>30</v>
      </c>
      <c r="J4365" t="s">
        <v>41</v>
      </c>
      <c r="K4365" t="s">
        <v>59</v>
      </c>
      <c r="Q4365">
        <v>0</v>
      </c>
      <c r="R4365">
        <v>0</v>
      </c>
      <c r="S4365">
        <v>0</v>
      </c>
      <c r="T4365" t="s">
        <v>17903</v>
      </c>
    </row>
    <row r="4366" spans="1:20" customFormat="1" ht="15" x14ac:dyDescent="0.25">
      <c r="A4366" t="s">
        <v>35</v>
      </c>
      <c r="B4366" t="s">
        <v>1432</v>
      </c>
      <c r="C4366" t="str">
        <f>"A0185138"</f>
        <v>A0185138</v>
      </c>
      <c r="D4366" t="s">
        <v>17904</v>
      </c>
      <c r="E4366" t="s">
        <v>17905</v>
      </c>
      <c r="F4366" t="s">
        <v>8348</v>
      </c>
      <c r="G4366" t="s">
        <v>40</v>
      </c>
      <c r="H4366">
        <v>741322117</v>
      </c>
      <c r="I4366" t="s">
        <v>30</v>
      </c>
      <c r="J4366" t="s">
        <v>41</v>
      </c>
      <c r="K4366" t="s">
        <v>59</v>
      </c>
      <c r="Q4366">
        <v>0</v>
      </c>
      <c r="R4366">
        <v>91</v>
      </c>
      <c r="S4366">
        <v>91</v>
      </c>
      <c r="T4366" t="s">
        <v>17906</v>
      </c>
    </row>
    <row r="4367" spans="1:20" customFormat="1" ht="15" x14ac:dyDescent="0.25">
      <c r="A4367" t="s">
        <v>35</v>
      </c>
      <c r="B4367" t="s">
        <v>61</v>
      </c>
      <c r="C4367" t="str">
        <f>"A0185137"</f>
        <v>A0185137</v>
      </c>
      <c r="D4367" t="s">
        <v>17907</v>
      </c>
      <c r="E4367" t="s">
        <v>17908</v>
      </c>
      <c r="F4367" t="s">
        <v>4037</v>
      </c>
      <c r="G4367" t="s">
        <v>40</v>
      </c>
      <c r="H4367" t="s">
        <v>17909</v>
      </c>
      <c r="I4367" t="s">
        <v>30</v>
      </c>
      <c r="J4367" t="s">
        <v>41</v>
      </c>
      <c r="K4367" t="s">
        <v>59</v>
      </c>
      <c r="Q4367">
        <v>0</v>
      </c>
      <c r="R4367">
        <v>0</v>
      </c>
      <c r="S4367">
        <v>0</v>
      </c>
      <c r="T4367" t="s">
        <v>17910</v>
      </c>
    </row>
    <row r="4368" spans="1:20" customFormat="1" ht="15" x14ac:dyDescent="0.25">
      <c r="A4368" t="s">
        <v>35</v>
      </c>
      <c r="B4368" t="s">
        <v>61</v>
      </c>
      <c r="C4368" t="str">
        <f>"A0185136"</f>
        <v>A0185136</v>
      </c>
      <c r="D4368" t="s">
        <v>17911</v>
      </c>
      <c r="E4368" t="s">
        <v>17912</v>
      </c>
      <c r="F4368" t="s">
        <v>17375</v>
      </c>
      <c r="G4368" t="s">
        <v>40</v>
      </c>
      <c r="H4368">
        <v>74012</v>
      </c>
      <c r="I4368" t="s">
        <v>30</v>
      </c>
      <c r="J4368" t="s">
        <v>41</v>
      </c>
      <c r="K4368" t="s">
        <v>59</v>
      </c>
      <c r="Q4368">
        <v>0</v>
      </c>
      <c r="R4368">
        <v>0</v>
      </c>
      <c r="S4368">
        <v>0</v>
      </c>
      <c r="T4368" t="s">
        <v>17913</v>
      </c>
    </row>
    <row r="4369" spans="1:20" customFormat="1" ht="15" x14ac:dyDescent="0.25">
      <c r="A4369" t="s">
        <v>35</v>
      </c>
      <c r="B4369" t="s">
        <v>61</v>
      </c>
      <c r="C4369" t="str">
        <f>"A0185135"</f>
        <v>A0185135</v>
      </c>
      <c r="D4369" t="s">
        <v>17914</v>
      </c>
      <c r="E4369" t="s">
        <v>17915</v>
      </c>
      <c r="F4369" t="s">
        <v>1731</v>
      </c>
      <c r="G4369" t="s">
        <v>52</v>
      </c>
      <c r="H4369" t="s">
        <v>17916</v>
      </c>
      <c r="I4369" t="s">
        <v>30</v>
      </c>
      <c r="J4369" t="s">
        <v>41</v>
      </c>
      <c r="K4369" t="s">
        <v>59</v>
      </c>
      <c r="Q4369">
        <v>0</v>
      </c>
      <c r="R4369">
        <v>0</v>
      </c>
      <c r="S4369">
        <v>0</v>
      </c>
      <c r="T4369" t="s">
        <v>17917</v>
      </c>
    </row>
    <row r="4370" spans="1:20" customFormat="1" ht="15" x14ac:dyDescent="0.25">
      <c r="A4370" t="s">
        <v>35</v>
      </c>
      <c r="B4370" t="s">
        <v>11871</v>
      </c>
      <c r="C4370" t="str">
        <f>"A0185134"</f>
        <v>A0185134</v>
      </c>
      <c r="D4370" t="s">
        <v>17918</v>
      </c>
      <c r="E4370" t="s">
        <v>17919</v>
      </c>
      <c r="F4370" t="s">
        <v>8846</v>
      </c>
      <c r="G4370" t="s">
        <v>117</v>
      </c>
      <c r="H4370" t="s">
        <v>17920</v>
      </c>
      <c r="I4370" t="s">
        <v>30</v>
      </c>
      <c r="J4370" t="s">
        <v>41</v>
      </c>
      <c r="K4370" t="s">
        <v>59</v>
      </c>
      <c r="Q4370">
        <v>0</v>
      </c>
      <c r="R4370">
        <v>0</v>
      </c>
      <c r="S4370">
        <v>0</v>
      </c>
      <c r="T4370" t="s">
        <v>17921</v>
      </c>
    </row>
    <row r="4371" spans="1:20" customFormat="1" ht="15" x14ac:dyDescent="0.25">
      <c r="A4371" t="s">
        <v>35</v>
      </c>
      <c r="B4371" t="s">
        <v>61</v>
      </c>
      <c r="C4371" t="str">
        <f>"A0185133"</f>
        <v>A0185133</v>
      </c>
      <c r="D4371" t="s">
        <v>17922</v>
      </c>
      <c r="E4371" t="s">
        <v>17923</v>
      </c>
      <c r="F4371" t="s">
        <v>9607</v>
      </c>
      <c r="G4371" t="s">
        <v>117</v>
      </c>
      <c r="H4371" t="s">
        <v>17924</v>
      </c>
      <c r="I4371" t="s">
        <v>30</v>
      </c>
      <c r="J4371" t="s">
        <v>41</v>
      </c>
      <c r="K4371" t="s">
        <v>59</v>
      </c>
      <c r="Q4371">
        <v>0</v>
      </c>
      <c r="R4371">
        <v>82</v>
      </c>
      <c r="S4371">
        <v>82</v>
      </c>
      <c r="T4371" t="s">
        <v>17925</v>
      </c>
    </row>
    <row r="4372" spans="1:20" customFormat="1" ht="15" x14ac:dyDescent="0.25">
      <c r="A4372" t="s">
        <v>35</v>
      </c>
      <c r="B4372" t="s">
        <v>61</v>
      </c>
      <c r="C4372" t="str">
        <f>"A0185132"</f>
        <v>A0185132</v>
      </c>
      <c r="D4372" t="s">
        <v>17926</v>
      </c>
      <c r="E4372" t="s">
        <v>17927</v>
      </c>
      <c r="F4372" t="s">
        <v>9607</v>
      </c>
      <c r="G4372" t="s">
        <v>117</v>
      </c>
      <c r="H4372" t="s">
        <v>17928</v>
      </c>
      <c r="I4372" t="s">
        <v>30</v>
      </c>
      <c r="J4372" t="s">
        <v>41</v>
      </c>
      <c r="K4372" t="s">
        <v>59</v>
      </c>
      <c r="Q4372">
        <v>0</v>
      </c>
      <c r="R4372">
        <v>58</v>
      </c>
      <c r="S4372">
        <v>58</v>
      </c>
      <c r="T4372" t="s">
        <v>17929</v>
      </c>
    </row>
    <row r="4373" spans="1:20" customFormat="1" ht="15" x14ac:dyDescent="0.25">
      <c r="A4373" t="s">
        <v>35</v>
      </c>
      <c r="B4373" t="s">
        <v>61</v>
      </c>
      <c r="C4373" t="str">
        <f>"A0185131"</f>
        <v>A0185131</v>
      </c>
      <c r="D4373" t="s">
        <v>17930</v>
      </c>
      <c r="E4373" t="s">
        <v>17931</v>
      </c>
      <c r="F4373" t="s">
        <v>1431</v>
      </c>
      <c r="G4373" t="s">
        <v>2450</v>
      </c>
      <c r="H4373">
        <v>41032704</v>
      </c>
      <c r="I4373" t="s">
        <v>30</v>
      </c>
      <c r="J4373" t="s">
        <v>41</v>
      </c>
      <c r="K4373" t="s">
        <v>59</v>
      </c>
      <c r="Q4373">
        <v>0</v>
      </c>
      <c r="R4373">
        <v>193</v>
      </c>
      <c r="S4373">
        <v>193</v>
      </c>
      <c r="T4373" t="s">
        <v>17932</v>
      </c>
    </row>
    <row r="4374" spans="1:20" customFormat="1" ht="15" x14ac:dyDescent="0.25">
      <c r="A4374" t="s">
        <v>35</v>
      </c>
      <c r="B4374" t="s">
        <v>61</v>
      </c>
      <c r="C4374" t="str">
        <f>"A0185130"</f>
        <v>A0185130</v>
      </c>
      <c r="D4374" t="s">
        <v>17933</v>
      </c>
      <c r="E4374" t="s">
        <v>17934</v>
      </c>
      <c r="F4374" t="s">
        <v>1444</v>
      </c>
      <c r="G4374" t="s">
        <v>76</v>
      </c>
      <c r="H4374">
        <v>981095360</v>
      </c>
      <c r="I4374" t="s">
        <v>30</v>
      </c>
      <c r="J4374" t="s">
        <v>41</v>
      </c>
      <c r="K4374" t="s">
        <v>59</v>
      </c>
      <c r="Q4374">
        <v>0</v>
      </c>
      <c r="R4374">
        <v>69</v>
      </c>
      <c r="S4374">
        <v>69</v>
      </c>
      <c r="T4374" t="s">
        <v>17935</v>
      </c>
    </row>
    <row r="4375" spans="1:20" customFormat="1" ht="15" x14ac:dyDescent="0.25">
      <c r="A4375" t="s">
        <v>35</v>
      </c>
      <c r="B4375" t="s">
        <v>61</v>
      </c>
      <c r="C4375" t="str">
        <f>"A0185129"</f>
        <v>A0185129</v>
      </c>
      <c r="D4375" t="s">
        <v>17936</v>
      </c>
      <c r="E4375" t="s">
        <v>17937</v>
      </c>
      <c r="F4375" t="s">
        <v>2704</v>
      </c>
      <c r="G4375" t="s">
        <v>40</v>
      </c>
      <c r="H4375" t="s">
        <v>17938</v>
      </c>
      <c r="I4375" t="s">
        <v>30</v>
      </c>
      <c r="J4375" t="s">
        <v>41</v>
      </c>
      <c r="K4375" t="s">
        <v>59</v>
      </c>
      <c r="Q4375">
        <v>0</v>
      </c>
      <c r="R4375">
        <v>16</v>
      </c>
      <c r="S4375">
        <v>16</v>
      </c>
      <c r="T4375" t="s">
        <v>17939</v>
      </c>
    </row>
    <row r="4376" spans="1:20" customFormat="1" ht="15" x14ac:dyDescent="0.25">
      <c r="A4376" t="s">
        <v>35</v>
      </c>
      <c r="B4376" t="s">
        <v>61</v>
      </c>
      <c r="C4376" t="str">
        <f>"A0185128"</f>
        <v>A0185128</v>
      </c>
      <c r="D4376" t="s">
        <v>17940</v>
      </c>
      <c r="E4376" t="s">
        <v>17908</v>
      </c>
      <c r="F4376" t="s">
        <v>4037</v>
      </c>
      <c r="G4376" t="s">
        <v>40</v>
      </c>
      <c r="H4376" t="s">
        <v>17909</v>
      </c>
      <c r="I4376" t="s">
        <v>30</v>
      </c>
      <c r="J4376" t="s">
        <v>41</v>
      </c>
      <c r="K4376" t="s">
        <v>59</v>
      </c>
      <c r="Q4376">
        <v>0</v>
      </c>
      <c r="R4376">
        <v>0</v>
      </c>
      <c r="S4376">
        <v>0</v>
      </c>
      <c r="T4376" t="s">
        <v>17941</v>
      </c>
    </row>
    <row r="4377" spans="1:20" customFormat="1" ht="15" x14ac:dyDescent="0.25">
      <c r="A4377" t="s">
        <v>35</v>
      </c>
      <c r="B4377" t="s">
        <v>61</v>
      </c>
      <c r="C4377" t="str">
        <f>"A0185127"</f>
        <v>A0185127</v>
      </c>
      <c r="D4377" t="s">
        <v>17942</v>
      </c>
      <c r="E4377" t="s">
        <v>17943</v>
      </c>
      <c r="F4377" t="s">
        <v>17441</v>
      </c>
      <c r="G4377" t="s">
        <v>40</v>
      </c>
      <c r="H4377" t="s">
        <v>17944</v>
      </c>
      <c r="I4377" t="s">
        <v>30</v>
      </c>
      <c r="J4377" t="s">
        <v>41</v>
      </c>
      <c r="K4377" t="s">
        <v>59</v>
      </c>
      <c r="Q4377">
        <v>0</v>
      </c>
      <c r="R4377">
        <v>0</v>
      </c>
      <c r="S4377">
        <v>0</v>
      </c>
      <c r="T4377" t="s">
        <v>17945</v>
      </c>
    </row>
    <row r="4378" spans="1:20" customFormat="1" ht="15" x14ac:dyDescent="0.25">
      <c r="A4378" t="s">
        <v>35</v>
      </c>
      <c r="B4378" t="s">
        <v>61</v>
      </c>
      <c r="C4378" t="str">
        <f>"A0185126"</f>
        <v>A0185126</v>
      </c>
      <c r="D4378" t="s">
        <v>17946</v>
      </c>
      <c r="E4378" t="s">
        <v>17947</v>
      </c>
      <c r="F4378" t="s">
        <v>8051</v>
      </c>
      <c r="G4378" t="s">
        <v>197</v>
      </c>
      <c r="H4378">
        <v>853513036</v>
      </c>
      <c r="I4378" t="s">
        <v>30</v>
      </c>
      <c r="J4378" t="s">
        <v>41</v>
      </c>
      <c r="K4378" t="s">
        <v>59</v>
      </c>
      <c r="Q4378">
        <v>0</v>
      </c>
      <c r="R4378">
        <v>0</v>
      </c>
      <c r="S4378">
        <v>0</v>
      </c>
      <c r="T4378" t="s">
        <v>17948</v>
      </c>
    </row>
    <row r="4379" spans="1:20" customFormat="1" ht="15" x14ac:dyDescent="0.25">
      <c r="A4379" t="s">
        <v>35</v>
      </c>
      <c r="B4379" t="s">
        <v>17762</v>
      </c>
      <c r="C4379" t="str">
        <f>"A0185125"</f>
        <v>A0185125</v>
      </c>
      <c r="D4379" t="s">
        <v>17949</v>
      </c>
      <c r="E4379" t="s">
        <v>17950</v>
      </c>
      <c r="F4379" t="s">
        <v>10187</v>
      </c>
      <c r="G4379" t="s">
        <v>197</v>
      </c>
      <c r="H4379">
        <v>850293519</v>
      </c>
      <c r="I4379" t="s">
        <v>30</v>
      </c>
      <c r="J4379" t="s">
        <v>41</v>
      </c>
      <c r="K4379" t="s">
        <v>59</v>
      </c>
      <c r="Q4379">
        <v>0</v>
      </c>
      <c r="R4379">
        <v>0</v>
      </c>
      <c r="S4379">
        <v>0</v>
      </c>
      <c r="T4379" t="s">
        <v>17951</v>
      </c>
    </row>
    <row r="4380" spans="1:20" customFormat="1" ht="15" x14ac:dyDescent="0.25">
      <c r="A4380" t="s">
        <v>35</v>
      </c>
      <c r="B4380" t="s">
        <v>61</v>
      </c>
      <c r="C4380" t="str">
        <f>"A0185124"</f>
        <v>A0185124</v>
      </c>
      <c r="D4380" t="s">
        <v>17952</v>
      </c>
      <c r="E4380" t="s">
        <v>17953</v>
      </c>
      <c r="F4380" t="s">
        <v>17954</v>
      </c>
      <c r="G4380" t="s">
        <v>52</v>
      </c>
      <c r="H4380" t="s">
        <v>17955</v>
      </c>
      <c r="I4380" t="s">
        <v>30</v>
      </c>
      <c r="J4380" t="s">
        <v>41</v>
      </c>
      <c r="K4380" t="s">
        <v>59</v>
      </c>
      <c r="Q4380">
        <v>0</v>
      </c>
      <c r="R4380">
        <v>0</v>
      </c>
      <c r="S4380">
        <v>0</v>
      </c>
      <c r="T4380" t="s">
        <v>17956</v>
      </c>
    </row>
    <row r="4381" spans="1:20" customFormat="1" ht="15" x14ac:dyDescent="0.25">
      <c r="A4381" t="s">
        <v>35</v>
      </c>
      <c r="B4381" t="s">
        <v>61</v>
      </c>
      <c r="C4381" t="str">
        <f>"A0185123"</f>
        <v>A0185123</v>
      </c>
      <c r="D4381" t="s">
        <v>17957</v>
      </c>
      <c r="E4381" t="s">
        <v>17958</v>
      </c>
      <c r="F4381" t="s">
        <v>1904</v>
      </c>
      <c r="G4381" t="s">
        <v>880</v>
      </c>
      <c r="H4381" t="s">
        <v>17959</v>
      </c>
      <c r="I4381" t="s">
        <v>30</v>
      </c>
      <c r="J4381" t="s">
        <v>41</v>
      </c>
      <c r="K4381" t="s">
        <v>59</v>
      </c>
      <c r="Q4381">
        <v>0</v>
      </c>
      <c r="R4381">
        <v>0</v>
      </c>
      <c r="S4381">
        <v>0</v>
      </c>
    </row>
    <row r="4382" spans="1:20" customFormat="1" ht="15" x14ac:dyDescent="0.25">
      <c r="A4382" t="s">
        <v>35</v>
      </c>
      <c r="B4382" t="s">
        <v>61</v>
      </c>
      <c r="C4382" t="str">
        <f>"A0185122"</f>
        <v>A0185122</v>
      </c>
      <c r="D4382" t="s">
        <v>17960</v>
      </c>
      <c r="E4382" t="s">
        <v>17961</v>
      </c>
      <c r="F4382" t="s">
        <v>17962</v>
      </c>
      <c r="G4382" t="s">
        <v>880</v>
      </c>
      <c r="H4382" t="s">
        <v>17963</v>
      </c>
      <c r="I4382" t="s">
        <v>30</v>
      </c>
      <c r="J4382" t="s">
        <v>41</v>
      </c>
      <c r="K4382" t="s">
        <v>59</v>
      </c>
      <c r="Q4382">
        <v>0</v>
      </c>
      <c r="R4382">
        <v>114</v>
      </c>
      <c r="S4382">
        <v>114</v>
      </c>
      <c r="T4382" t="s">
        <v>17964</v>
      </c>
    </row>
    <row r="4383" spans="1:20" customFormat="1" ht="15" x14ac:dyDescent="0.25">
      <c r="A4383" t="s">
        <v>35</v>
      </c>
      <c r="B4383" t="s">
        <v>61</v>
      </c>
      <c r="C4383" t="str">
        <f>"A0185121"</f>
        <v>A0185121</v>
      </c>
      <c r="D4383" t="s">
        <v>17965</v>
      </c>
      <c r="E4383" t="s">
        <v>17966</v>
      </c>
      <c r="F4383" t="s">
        <v>17967</v>
      </c>
      <c r="G4383" t="s">
        <v>1898</v>
      </c>
      <c r="H4383" t="s">
        <v>17968</v>
      </c>
      <c r="I4383" t="s">
        <v>30</v>
      </c>
      <c r="J4383" t="s">
        <v>41</v>
      </c>
      <c r="K4383" t="s">
        <v>59</v>
      </c>
      <c r="Q4383">
        <v>0</v>
      </c>
      <c r="R4383">
        <v>0</v>
      </c>
      <c r="S4383">
        <v>0</v>
      </c>
      <c r="T4383" t="s">
        <v>17969</v>
      </c>
    </row>
    <row r="4384" spans="1:20" customFormat="1" ht="15" x14ac:dyDescent="0.25">
      <c r="A4384" t="s">
        <v>35</v>
      </c>
      <c r="B4384" t="s">
        <v>61</v>
      </c>
      <c r="C4384" t="str">
        <f>"A0185120"</f>
        <v>A0185120</v>
      </c>
      <c r="D4384" t="s">
        <v>17970</v>
      </c>
      <c r="E4384" t="s">
        <v>17971</v>
      </c>
      <c r="F4384" t="s">
        <v>13884</v>
      </c>
      <c r="G4384" t="s">
        <v>81</v>
      </c>
      <c r="H4384" t="s">
        <v>17972</v>
      </c>
      <c r="I4384" t="s">
        <v>30</v>
      </c>
      <c r="J4384" t="s">
        <v>41</v>
      </c>
      <c r="K4384" t="s">
        <v>59</v>
      </c>
      <c r="Q4384">
        <v>0</v>
      </c>
      <c r="R4384">
        <v>13</v>
      </c>
      <c r="S4384">
        <v>13</v>
      </c>
    </row>
    <row r="4385" spans="1:20" customFormat="1" ht="15" x14ac:dyDescent="0.25">
      <c r="A4385" t="s">
        <v>35</v>
      </c>
      <c r="B4385" t="s">
        <v>61</v>
      </c>
      <c r="C4385" t="str">
        <f>"A0185119"</f>
        <v>A0185119</v>
      </c>
      <c r="D4385" t="s">
        <v>17973</v>
      </c>
      <c r="E4385" t="s">
        <v>17974</v>
      </c>
      <c r="F4385" t="s">
        <v>17975</v>
      </c>
      <c r="G4385" t="s">
        <v>197</v>
      </c>
      <c r="H4385">
        <v>85222</v>
      </c>
      <c r="I4385" t="s">
        <v>30</v>
      </c>
      <c r="J4385" t="s">
        <v>41</v>
      </c>
      <c r="K4385" t="s">
        <v>59</v>
      </c>
      <c r="Q4385">
        <v>0</v>
      </c>
      <c r="R4385">
        <v>0</v>
      </c>
      <c r="S4385">
        <v>0</v>
      </c>
    </row>
    <row r="4386" spans="1:20" customFormat="1" ht="15" x14ac:dyDescent="0.25">
      <c r="A4386" t="s">
        <v>35</v>
      </c>
      <c r="B4386" t="s">
        <v>61</v>
      </c>
      <c r="C4386" t="str">
        <f>"A0185118"</f>
        <v>A0185118</v>
      </c>
      <c r="D4386" t="s">
        <v>17976</v>
      </c>
      <c r="E4386" t="s">
        <v>17943</v>
      </c>
      <c r="F4386" t="s">
        <v>17441</v>
      </c>
      <c r="G4386" t="s">
        <v>40</v>
      </c>
      <c r="H4386" t="s">
        <v>17944</v>
      </c>
      <c r="I4386" t="s">
        <v>30</v>
      </c>
      <c r="J4386" t="s">
        <v>41</v>
      </c>
      <c r="K4386" t="s">
        <v>59</v>
      </c>
      <c r="Q4386">
        <v>0</v>
      </c>
      <c r="R4386">
        <v>0</v>
      </c>
      <c r="S4386">
        <v>0</v>
      </c>
      <c r="T4386" t="s">
        <v>17977</v>
      </c>
    </row>
    <row r="4387" spans="1:20" customFormat="1" ht="15" x14ac:dyDescent="0.25">
      <c r="A4387" t="s">
        <v>35</v>
      </c>
      <c r="B4387" t="s">
        <v>61</v>
      </c>
      <c r="C4387" t="str">
        <f>"A0185117"</f>
        <v>A0185117</v>
      </c>
      <c r="D4387" t="s">
        <v>17978</v>
      </c>
      <c r="E4387" t="s">
        <v>17979</v>
      </c>
      <c r="F4387" t="s">
        <v>12194</v>
      </c>
      <c r="G4387" t="s">
        <v>40</v>
      </c>
      <c r="H4387" t="s">
        <v>17980</v>
      </c>
      <c r="I4387" t="s">
        <v>30</v>
      </c>
      <c r="J4387" t="s">
        <v>41</v>
      </c>
      <c r="K4387" t="s">
        <v>59</v>
      </c>
      <c r="Q4387">
        <v>0</v>
      </c>
      <c r="R4387">
        <v>0</v>
      </c>
      <c r="S4387">
        <v>0</v>
      </c>
    </row>
    <row r="4388" spans="1:20" customFormat="1" ht="15" x14ac:dyDescent="0.25">
      <c r="A4388" t="s">
        <v>35</v>
      </c>
      <c r="B4388" t="s">
        <v>11871</v>
      </c>
      <c r="C4388" t="str">
        <f>"A0185116"</f>
        <v>A0185116</v>
      </c>
      <c r="D4388" t="s">
        <v>17981</v>
      </c>
      <c r="E4388" t="s">
        <v>17982</v>
      </c>
      <c r="F4388" t="s">
        <v>17983</v>
      </c>
      <c r="G4388" t="s">
        <v>197</v>
      </c>
      <c r="H4388">
        <v>851734633</v>
      </c>
      <c r="I4388" t="s">
        <v>30</v>
      </c>
      <c r="J4388" t="s">
        <v>41</v>
      </c>
      <c r="K4388" t="s">
        <v>59</v>
      </c>
      <c r="Q4388">
        <v>0</v>
      </c>
      <c r="R4388">
        <v>0</v>
      </c>
      <c r="S4388">
        <v>0</v>
      </c>
      <c r="T4388" t="s">
        <v>17984</v>
      </c>
    </row>
    <row r="4389" spans="1:20" customFormat="1" ht="15" x14ac:dyDescent="0.25">
      <c r="A4389" t="s">
        <v>35</v>
      </c>
      <c r="B4389" t="s">
        <v>61</v>
      </c>
      <c r="C4389" t="str">
        <f>"A0185115"</f>
        <v>A0185115</v>
      </c>
      <c r="D4389" t="s">
        <v>17985</v>
      </c>
      <c r="E4389" t="s">
        <v>17986</v>
      </c>
      <c r="F4389" t="s">
        <v>1431</v>
      </c>
      <c r="G4389" t="s">
        <v>47</v>
      </c>
      <c r="H4389">
        <v>972023862</v>
      </c>
      <c r="I4389" t="s">
        <v>30</v>
      </c>
      <c r="J4389" t="s">
        <v>41</v>
      </c>
      <c r="K4389" t="s">
        <v>59</v>
      </c>
      <c r="Q4389">
        <v>0</v>
      </c>
      <c r="R4389">
        <v>0</v>
      </c>
      <c r="S4389">
        <v>0</v>
      </c>
      <c r="T4389" t="s">
        <v>17987</v>
      </c>
    </row>
    <row r="4390" spans="1:20" customFormat="1" ht="15" x14ac:dyDescent="0.25">
      <c r="A4390" t="s">
        <v>35</v>
      </c>
      <c r="B4390" t="s">
        <v>61</v>
      </c>
      <c r="C4390" t="str">
        <f>"A0185114"</f>
        <v>A0185114</v>
      </c>
      <c r="D4390" t="s">
        <v>17988</v>
      </c>
      <c r="E4390" t="s">
        <v>17989</v>
      </c>
      <c r="F4390" t="s">
        <v>16521</v>
      </c>
      <c r="G4390" t="s">
        <v>197</v>
      </c>
      <c r="H4390">
        <v>853823501</v>
      </c>
      <c r="I4390" t="s">
        <v>30</v>
      </c>
      <c r="J4390" t="s">
        <v>41</v>
      </c>
      <c r="K4390" t="s">
        <v>59</v>
      </c>
      <c r="Q4390">
        <v>0</v>
      </c>
      <c r="R4390">
        <v>70</v>
      </c>
      <c r="S4390">
        <v>70</v>
      </c>
      <c r="T4390" t="s">
        <v>17990</v>
      </c>
    </row>
    <row r="4391" spans="1:20" customFormat="1" ht="15" x14ac:dyDescent="0.25">
      <c r="A4391" t="s">
        <v>35</v>
      </c>
      <c r="B4391" t="s">
        <v>61</v>
      </c>
      <c r="C4391" t="str">
        <f>"A0185113"</f>
        <v>A0185113</v>
      </c>
      <c r="D4391" t="s">
        <v>17991</v>
      </c>
      <c r="E4391" t="s">
        <v>17992</v>
      </c>
      <c r="F4391" t="s">
        <v>17993</v>
      </c>
      <c r="G4391" t="s">
        <v>47</v>
      </c>
      <c r="H4391">
        <v>97828</v>
      </c>
      <c r="I4391" t="s">
        <v>30</v>
      </c>
      <c r="J4391" t="s">
        <v>41</v>
      </c>
      <c r="K4391" t="s">
        <v>59</v>
      </c>
      <c r="Q4391">
        <v>0</v>
      </c>
      <c r="R4391">
        <v>32</v>
      </c>
      <c r="S4391">
        <v>32</v>
      </c>
      <c r="T4391" t="s">
        <v>17994</v>
      </c>
    </row>
    <row r="4392" spans="1:20" customFormat="1" ht="15" x14ac:dyDescent="0.25">
      <c r="A4392" t="s">
        <v>35</v>
      </c>
      <c r="B4392" t="s">
        <v>61</v>
      </c>
      <c r="C4392" t="str">
        <f>"A0185112"</f>
        <v>A0185112</v>
      </c>
      <c r="D4392" t="s">
        <v>17995</v>
      </c>
      <c r="E4392" t="s">
        <v>17996</v>
      </c>
      <c r="F4392" t="s">
        <v>8647</v>
      </c>
      <c r="G4392" t="s">
        <v>47</v>
      </c>
      <c r="H4392">
        <v>973014268</v>
      </c>
      <c r="I4392" t="s">
        <v>30</v>
      </c>
      <c r="J4392" t="s">
        <v>41</v>
      </c>
      <c r="K4392" t="s">
        <v>59</v>
      </c>
      <c r="Q4392">
        <v>0</v>
      </c>
      <c r="R4392">
        <v>75</v>
      </c>
      <c r="S4392">
        <v>75</v>
      </c>
      <c r="T4392" t="s">
        <v>17997</v>
      </c>
    </row>
    <row r="4393" spans="1:20" customFormat="1" ht="15" x14ac:dyDescent="0.25">
      <c r="A4393" t="s">
        <v>35</v>
      </c>
      <c r="B4393" t="s">
        <v>61</v>
      </c>
      <c r="C4393" t="str">
        <f>"A0185111"</f>
        <v>A0185111</v>
      </c>
      <c r="D4393" t="s">
        <v>17998</v>
      </c>
      <c r="E4393" t="s">
        <v>17999</v>
      </c>
      <c r="F4393" t="s">
        <v>8647</v>
      </c>
      <c r="G4393" t="s">
        <v>47</v>
      </c>
      <c r="H4393">
        <v>973014201</v>
      </c>
      <c r="I4393" t="s">
        <v>30</v>
      </c>
      <c r="J4393" t="s">
        <v>41</v>
      </c>
      <c r="K4393" t="s">
        <v>59</v>
      </c>
      <c r="Q4393">
        <v>0</v>
      </c>
      <c r="R4393">
        <v>75</v>
      </c>
      <c r="S4393">
        <v>75</v>
      </c>
      <c r="T4393" t="s">
        <v>17997</v>
      </c>
    </row>
    <row r="4394" spans="1:20" customFormat="1" ht="15" x14ac:dyDescent="0.25">
      <c r="A4394" t="s">
        <v>35</v>
      </c>
      <c r="B4394" t="s">
        <v>61</v>
      </c>
      <c r="C4394" t="str">
        <f>"A0185110"</f>
        <v>A0185110</v>
      </c>
      <c r="D4394" t="s">
        <v>18000</v>
      </c>
      <c r="E4394" t="s">
        <v>18001</v>
      </c>
      <c r="F4394" t="s">
        <v>1431</v>
      </c>
      <c r="G4394" t="s">
        <v>47</v>
      </c>
      <c r="H4394">
        <v>972662281</v>
      </c>
      <c r="I4394" t="s">
        <v>30</v>
      </c>
      <c r="J4394" t="s">
        <v>41</v>
      </c>
      <c r="K4394" t="s">
        <v>59</v>
      </c>
      <c r="Q4394">
        <v>0</v>
      </c>
      <c r="R4394">
        <v>0</v>
      </c>
      <c r="S4394">
        <v>0</v>
      </c>
      <c r="T4394" t="s">
        <v>18002</v>
      </c>
    </row>
    <row r="4395" spans="1:20" customFormat="1" ht="15" x14ac:dyDescent="0.25">
      <c r="A4395" t="s">
        <v>35</v>
      </c>
      <c r="B4395" t="s">
        <v>61</v>
      </c>
      <c r="C4395" t="str">
        <f>"A0185109"</f>
        <v>A0185109</v>
      </c>
      <c r="D4395" t="s">
        <v>18003</v>
      </c>
      <c r="E4395" t="s">
        <v>18004</v>
      </c>
      <c r="F4395" t="s">
        <v>18005</v>
      </c>
      <c r="G4395" t="s">
        <v>76</v>
      </c>
      <c r="H4395">
        <v>98503</v>
      </c>
      <c r="I4395" t="s">
        <v>30</v>
      </c>
      <c r="J4395" t="s">
        <v>41</v>
      </c>
      <c r="K4395" t="s">
        <v>59</v>
      </c>
      <c r="Q4395">
        <v>0</v>
      </c>
      <c r="R4395">
        <v>200</v>
      </c>
      <c r="S4395">
        <v>200</v>
      </c>
      <c r="T4395" t="s">
        <v>18006</v>
      </c>
    </row>
    <row r="4396" spans="1:20" customFormat="1" ht="15" x14ac:dyDescent="0.25">
      <c r="A4396" t="s">
        <v>35</v>
      </c>
      <c r="B4396" t="s">
        <v>1432</v>
      </c>
      <c r="C4396" t="str">
        <f>"A0185108"</f>
        <v>A0185108</v>
      </c>
      <c r="D4396" t="s">
        <v>18007</v>
      </c>
      <c r="E4396" t="s">
        <v>18008</v>
      </c>
      <c r="F4396" t="s">
        <v>18009</v>
      </c>
      <c r="G4396" t="s">
        <v>40</v>
      </c>
      <c r="H4396">
        <v>740085875</v>
      </c>
      <c r="I4396" t="s">
        <v>30</v>
      </c>
      <c r="J4396" t="s">
        <v>41</v>
      </c>
      <c r="K4396" t="s">
        <v>59</v>
      </c>
      <c r="Q4396">
        <v>0</v>
      </c>
      <c r="R4396">
        <v>34</v>
      </c>
      <c r="S4396">
        <v>34</v>
      </c>
      <c r="T4396" t="s">
        <v>18010</v>
      </c>
    </row>
    <row r="4397" spans="1:20" customFormat="1" ht="15" x14ac:dyDescent="0.25">
      <c r="A4397" t="s">
        <v>35</v>
      </c>
      <c r="B4397" t="s">
        <v>61</v>
      </c>
      <c r="C4397" t="str">
        <f>"A0185107"</f>
        <v>A0185107</v>
      </c>
      <c r="D4397" t="s">
        <v>18011</v>
      </c>
      <c r="E4397" t="s">
        <v>17445</v>
      </c>
      <c r="F4397" t="s">
        <v>4037</v>
      </c>
      <c r="G4397" t="s">
        <v>40</v>
      </c>
      <c r="H4397" t="s">
        <v>18012</v>
      </c>
      <c r="I4397" t="s">
        <v>30</v>
      </c>
      <c r="J4397" t="s">
        <v>41</v>
      </c>
      <c r="K4397" t="s">
        <v>59</v>
      </c>
      <c r="Q4397">
        <v>0</v>
      </c>
      <c r="R4397">
        <v>120</v>
      </c>
      <c r="S4397">
        <v>120</v>
      </c>
      <c r="T4397" t="s">
        <v>17446</v>
      </c>
    </row>
    <row r="4398" spans="1:20" customFormat="1" ht="15" x14ac:dyDescent="0.25">
      <c r="A4398" t="s">
        <v>35</v>
      </c>
      <c r="B4398" t="s">
        <v>61</v>
      </c>
      <c r="C4398" t="str">
        <f>"A0185106"</f>
        <v>A0185106</v>
      </c>
      <c r="D4398" t="s">
        <v>18013</v>
      </c>
      <c r="E4398" t="s">
        <v>18014</v>
      </c>
      <c r="F4398" t="s">
        <v>18015</v>
      </c>
      <c r="G4398" t="s">
        <v>40</v>
      </c>
      <c r="H4398">
        <v>73446</v>
      </c>
      <c r="I4398" t="s">
        <v>30</v>
      </c>
      <c r="J4398" t="s">
        <v>41</v>
      </c>
      <c r="K4398" t="s">
        <v>59</v>
      </c>
      <c r="Q4398">
        <v>0</v>
      </c>
      <c r="R4398">
        <v>0</v>
      </c>
      <c r="S4398">
        <v>0</v>
      </c>
      <c r="T4398" t="s">
        <v>18016</v>
      </c>
    </row>
    <row r="4399" spans="1:20" customFormat="1" ht="15" x14ac:dyDescent="0.25">
      <c r="A4399" t="s">
        <v>35</v>
      </c>
      <c r="B4399" t="s">
        <v>61</v>
      </c>
      <c r="C4399" t="str">
        <f>"A0185105"</f>
        <v>A0185105</v>
      </c>
      <c r="D4399" t="s">
        <v>18017</v>
      </c>
      <c r="E4399" t="s">
        <v>18018</v>
      </c>
      <c r="F4399" t="s">
        <v>6053</v>
      </c>
      <c r="G4399" t="s">
        <v>123</v>
      </c>
      <c r="H4399" t="s">
        <v>18019</v>
      </c>
      <c r="I4399" t="s">
        <v>30</v>
      </c>
      <c r="J4399" t="s">
        <v>41</v>
      </c>
      <c r="K4399" t="s">
        <v>59</v>
      </c>
      <c r="Q4399">
        <v>0</v>
      </c>
      <c r="R4399">
        <v>102</v>
      </c>
      <c r="S4399">
        <v>102</v>
      </c>
      <c r="T4399" t="s">
        <v>18020</v>
      </c>
    </row>
    <row r="4400" spans="1:20" customFormat="1" ht="15" x14ac:dyDescent="0.25">
      <c r="A4400" t="s">
        <v>35</v>
      </c>
      <c r="B4400" t="s">
        <v>61</v>
      </c>
      <c r="C4400" t="str">
        <f>"A0185104"</f>
        <v>A0185104</v>
      </c>
      <c r="D4400" t="s">
        <v>18021</v>
      </c>
      <c r="E4400" t="s">
        <v>18022</v>
      </c>
      <c r="F4400" t="s">
        <v>1298</v>
      </c>
      <c r="G4400" t="s">
        <v>123</v>
      </c>
      <c r="H4400" t="s">
        <v>18023</v>
      </c>
      <c r="I4400" t="s">
        <v>30</v>
      </c>
      <c r="J4400" t="s">
        <v>41</v>
      </c>
      <c r="K4400" t="s">
        <v>59</v>
      </c>
      <c r="Q4400">
        <v>0</v>
      </c>
      <c r="R4400">
        <v>0</v>
      </c>
      <c r="S4400">
        <v>0</v>
      </c>
      <c r="T4400" t="s">
        <v>18024</v>
      </c>
    </row>
    <row r="4401" spans="1:20" customFormat="1" ht="15" x14ac:dyDescent="0.25">
      <c r="A4401" t="s">
        <v>35</v>
      </c>
      <c r="B4401" t="s">
        <v>11871</v>
      </c>
      <c r="C4401" t="str">
        <f>"A0185103"</f>
        <v>A0185103</v>
      </c>
      <c r="D4401" t="s">
        <v>18025</v>
      </c>
      <c r="E4401" t="s">
        <v>18026</v>
      </c>
      <c r="F4401" t="s">
        <v>18027</v>
      </c>
      <c r="G4401" t="s">
        <v>197</v>
      </c>
      <c r="H4401">
        <v>863264573</v>
      </c>
      <c r="I4401" t="s">
        <v>30</v>
      </c>
      <c r="J4401" t="s">
        <v>41</v>
      </c>
      <c r="K4401" t="s">
        <v>59</v>
      </c>
      <c r="Q4401">
        <v>0</v>
      </c>
      <c r="R4401">
        <v>0</v>
      </c>
      <c r="S4401">
        <v>0</v>
      </c>
      <c r="T4401" t="s">
        <v>18028</v>
      </c>
    </row>
    <row r="4402" spans="1:20" customFormat="1" ht="15" x14ac:dyDescent="0.25">
      <c r="A4402" t="s">
        <v>35</v>
      </c>
      <c r="B4402" t="s">
        <v>61</v>
      </c>
      <c r="C4402" t="str">
        <f>"A0185102"</f>
        <v>A0185102</v>
      </c>
      <c r="D4402" t="s">
        <v>18029</v>
      </c>
      <c r="E4402" t="s">
        <v>18030</v>
      </c>
      <c r="F4402" t="s">
        <v>18031</v>
      </c>
      <c r="G4402" t="s">
        <v>47</v>
      </c>
      <c r="H4402">
        <v>970305095</v>
      </c>
      <c r="I4402" t="s">
        <v>30</v>
      </c>
      <c r="J4402" t="s">
        <v>41</v>
      </c>
      <c r="K4402" t="s">
        <v>59</v>
      </c>
      <c r="Q4402">
        <v>0</v>
      </c>
      <c r="R4402">
        <v>0</v>
      </c>
      <c r="S4402">
        <v>0</v>
      </c>
      <c r="T4402" t="s">
        <v>18032</v>
      </c>
    </row>
    <row r="4403" spans="1:20" customFormat="1" ht="15" x14ac:dyDescent="0.25">
      <c r="A4403" t="s">
        <v>35</v>
      </c>
      <c r="B4403" t="s">
        <v>61</v>
      </c>
      <c r="C4403" t="str">
        <f>"A0185101"</f>
        <v>A0185101</v>
      </c>
      <c r="D4403" t="s">
        <v>18033</v>
      </c>
      <c r="E4403" t="s">
        <v>18034</v>
      </c>
      <c r="F4403" t="s">
        <v>5240</v>
      </c>
      <c r="G4403" t="s">
        <v>52</v>
      </c>
      <c r="H4403" t="s">
        <v>18035</v>
      </c>
      <c r="I4403" t="s">
        <v>30</v>
      </c>
      <c r="J4403" t="s">
        <v>41</v>
      </c>
      <c r="K4403" t="s">
        <v>59</v>
      </c>
      <c r="Q4403">
        <v>0</v>
      </c>
      <c r="R4403">
        <v>0</v>
      </c>
      <c r="S4403">
        <v>0</v>
      </c>
      <c r="T4403" t="s">
        <v>18036</v>
      </c>
    </row>
    <row r="4404" spans="1:20" customFormat="1" ht="15" x14ac:dyDescent="0.25">
      <c r="A4404" t="s">
        <v>35</v>
      </c>
      <c r="B4404" t="s">
        <v>61</v>
      </c>
      <c r="C4404" t="str">
        <f>"A0185100"</f>
        <v>A0185100</v>
      </c>
      <c r="D4404" t="s">
        <v>18037</v>
      </c>
      <c r="E4404" t="s">
        <v>17755</v>
      </c>
      <c r="F4404" t="s">
        <v>4037</v>
      </c>
      <c r="G4404" t="s">
        <v>40</v>
      </c>
      <c r="H4404" t="s">
        <v>17756</v>
      </c>
      <c r="I4404" t="s">
        <v>30</v>
      </c>
      <c r="J4404" t="s">
        <v>41</v>
      </c>
      <c r="K4404" t="s">
        <v>59</v>
      </c>
      <c r="Q4404">
        <v>0</v>
      </c>
      <c r="R4404">
        <v>0</v>
      </c>
      <c r="S4404">
        <v>0</v>
      </c>
      <c r="T4404" t="s">
        <v>18038</v>
      </c>
    </row>
    <row r="4405" spans="1:20" customFormat="1" ht="15" x14ac:dyDescent="0.25">
      <c r="A4405" t="s">
        <v>35</v>
      </c>
      <c r="B4405" t="s">
        <v>61</v>
      </c>
      <c r="C4405" t="str">
        <f>"A0185099"</f>
        <v>A0185099</v>
      </c>
      <c r="D4405" t="s">
        <v>18039</v>
      </c>
      <c r="E4405" t="s">
        <v>18040</v>
      </c>
      <c r="F4405" t="s">
        <v>17441</v>
      </c>
      <c r="G4405" t="s">
        <v>40</v>
      </c>
      <c r="H4405" t="s">
        <v>17442</v>
      </c>
      <c r="I4405" t="s">
        <v>30</v>
      </c>
      <c r="J4405" t="s">
        <v>41</v>
      </c>
      <c r="K4405" t="s">
        <v>59</v>
      </c>
      <c r="Q4405">
        <v>0</v>
      </c>
      <c r="R4405">
        <v>176</v>
      </c>
      <c r="S4405">
        <v>176</v>
      </c>
      <c r="T4405" t="s">
        <v>17443</v>
      </c>
    </row>
    <row r="4406" spans="1:20" customFormat="1" ht="15" x14ac:dyDescent="0.25">
      <c r="A4406" t="s">
        <v>35</v>
      </c>
      <c r="B4406" t="s">
        <v>61</v>
      </c>
      <c r="C4406" t="str">
        <f>"A0185098"</f>
        <v>A0185098</v>
      </c>
      <c r="D4406" t="s">
        <v>18041</v>
      </c>
      <c r="E4406" t="s">
        <v>18042</v>
      </c>
      <c r="F4406" t="s">
        <v>17441</v>
      </c>
      <c r="G4406" t="s">
        <v>40</v>
      </c>
      <c r="H4406" t="s">
        <v>18043</v>
      </c>
      <c r="I4406" t="s">
        <v>30</v>
      </c>
      <c r="J4406" t="s">
        <v>41</v>
      </c>
      <c r="K4406" t="s">
        <v>59</v>
      </c>
      <c r="Q4406">
        <v>0</v>
      </c>
      <c r="R4406">
        <v>0</v>
      </c>
      <c r="S4406">
        <v>0</v>
      </c>
      <c r="T4406" t="s">
        <v>18044</v>
      </c>
    </row>
    <row r="4407" spans="1:20" customFormat="1" ht="15" x14ac:dyDescent="0.25">
      <c r="A4407" t="s">
        <v>35</v>
      </c>
      <c r="B4407" t="s">
        <v>61</v>
      </c>
      <c r="C4407" t="str">
        <f>"A0185097"</f>
        <v>A0185097</v>
      </c>
      <c r="D4407" t="s">
        <v>18045</v>
      </c>
      <c r="E4407" t="s">
        <v>18046</v>
      </c>
      <c r="F4407" t="s">
        <v>17635</v>
      </c>
      <c r="G4407" t="s">
        <v>40</v>
      </c>
      <c r="H4407" t="s">
        <v>18047</v>
      </c>
      <c r="I4407" t="s">
        <v>30</v>
      </c>
      <c r="J4407" t="s">
        <v>41</v>
      </c>
      <c r="K4407" t="s">
        <v>59</v>
      </c>
      <c r="Q4407">
        <v>0</v>
      </c>
      <c r="R4407">
        <v>0</v>
      </c>
      <c r="S4407">
        <v>0</v>
      </c>
    </row>
    <row r="4408" spans="1:20" customFormat="1" ht="15" x14ac:dyDescent="0.25">
      <c r="A4408" t="s">
        <v>35</v>
      </c>
      <c r="B4408" t="s">
        <v>61</v>
      </c>
      <c r="C4408" t="str">
        <f>"A0185096"</f>
        <v>A0185096</v>
      </c>
      <c r="D4408" t="s">
        <v>18048</v>
      </c>
      <c r="E4408" t="s">
        <v>18049</v>
      </c>
      <c r="F4408" t="s">
        <v>18050</v>
      </c>
      <c r="G4408" t="s">
        <v>81</v>
      </c>
      <c r="H4408" t="s">
        <v>18051</v>
      </c>
      <c r="I4408" t="s">
        <v>30</v>
      </c>
      <c r="J4408" t="s">
        <v>41</v>
      </c>
      <c r="K4408" t="s">
        <v>59</v>
      </c>
      <c r="Q4408">
        <v>0</v>
      </c>
      <c r="R4408">
        <v>0</v>
      </c>
      <c r="S4408">
        <v>0</v>
      </c>
    </row>
    <row r="4409" spans="1:20" customFormat="1" ht="15" x14ac:dyDescent="0.25">
      <c r="A4409" t="s">
        <v>35</v>
      </c>
      <c r="B4409" t="s">
        <v>61</v>
      </c>
      <c r="C4409" t="str">
        <f>"A0185095"</f>
        <v>A0185095</v>
      </c>
      <c r="D4409" t="s">
        <v>18052</v>
      </c>
      <c r="E4409" t="s">
        <v>18053</v>
      </c>
      <c r="F4409" t="s">
        <v>6542</v>
      </c>
      <c r="G4409" t="s">
        <v>81</v>
      </c>
      <c r="H4409" t="s">
        <v>18054</v>
      </c>
      <c r="I4409" t="s">
        <v>30</v>
      </c>
      <c r="J4409" t="s">
        <v>41</v>
      </c>
      <c r="K4409" t="s">
        <v>59</v>
      </c>
      <c r="Q4409">
        <v>0</v>
      </c>
      <c r="R4409">
        <v>85</v>
      </c>
      <c r="S4409">
        <v>85</v>
      </c>
    </row>
    <row r="4410" spans="1:20" customFormat="1" ht="15" x14ac:dyDescent="0.25">
      <c r="A4410" t="s">
        <v>35</v>
      </c>
      <c r="B4410" t="s">
        <v>61</v>
      </c>
      <c r="C4410" t="str">
        <f>"A0185094"</f>
        <v>A0185094</v>
      </c>
      <c r="D4410" t="s">
        <v>18055</v>
      </c>
      <c r="E4410" t="s">
        <v>18056</v>
      </c>
      <c r="F4410" t="s">
        <v>1431</v>
      </c>
      <c r="G4410" t="s">
        <v>47</v>
      </c>
      <c r="H4410">
        <v>972203065</v>
      </c>
      <c r="I4410" t="s">
        <v>30</v>
      </c>
      <c r="J4410" t="s">
        <v>41</v>
      </c>
      <c r="K4410" t="s">
        <v>59</v>
      </c>
      <c r="Q4410">
        <v>0</v>
      </c>
      <c r="R4410">
        <v>0</v>
      </c>
      <c r="S4410">
        <v>0</v>
      </c>
    </row>
    <row r="4411" spans="1:20" customFormat="1" ht="15" x14ac:dyDescent="0.25">
      <c r="A4411" t="s">
        <v>35</v>
      </c>
      <c r="B4411" t="s">
        <v>61</v>
      </c>
      <c r="C4411" t="str">
        <f>"A0185093"</f>
        <v>A0185093</v>
      </c>
      <c r="D4411" t="s">
        <v>18057</v>
      </c>
      <c r="E4411" t="s">
        <v>18058</v>
      </c>
      <c r="F4411" t="s">
        <v>446</v>
      </c>
      <c r="G4411" t="s">
        <v>123</v>
      </c>
      <c r="H4411" t="s">
        <v>18059</v>
      </c>
      <c r="I4411" t="s">
        <v>30</v>
      </c>
      <c r="J4411" t="s">
        <v>41</v>
      </c>
      <c r="K4411" t="s">
        <v>59</v>
      </c>
      <c r="Q4411">
        <v>0</v>
      </c>
      <c r="R4411">
        <v>55</v>
      </c>
      <c r="S4411">
        <v>55</v>
      </c>
      <c r="T4411" t="s">
        <v>18060</v>
      </c>
    </row>
    <row r="4412" spans="1:20" customFormat="1" ht="15" x14ac:dyDescent="0.25">
      <c r="A4412" t="s">
        <v>35</v>
      </c>
      <c r="B4412" t="s">
        <v>61</v>
      </c>
      <c r="C4412" t="str">
        <f>"A0185092"</f>
        <v>A0185092</v>
      </c>
      <c r="D4412" t="s">
        <v>18061</v>
      </c>
      <c r="E4412" t="s">
        <v>18062</v>
      </c>
      <c r="F4412" t="s">
        <v>6152</v>
      </c>
      <c r="G4412" t="s">
        <v>123</v>
      </c>
      <c r="H4412">
        <v>20850</v>
      </c>
      <c r="I4412" t="s">
        <v>30</v>
      </c>
      <c r="J4412" t="s">
        <v>41</v>
      </c>
      <c r="K4412" t="s">
        <v>59</v>
      </c>
      <c r="Q4412">
        <v>0</v>
      </c>
      <c r="R4412">
        <v>0</v>
      </c>
      <c r="S4412">
        <v>0</v>
      </c>
    </row>
    <row r="4413" spans="1:20" customFormat="1" ht="15" x14ac:dyDescent="0.25">
      <c r="A4413" t="s">
        <v>35</v>
      </c>
      <c r="B4413" t="s">
        <v>61</v>
      </c>
      <c r="C4413" t="str">
        <f>"A0185091"</f>
        <v>A0185091</v>
      </c>
      <c r="D4413" t="s">
        <v>18063</v>
      </c>
      <c r="E4413" t="s">
        <v>18062</v>
      </c>
      <c r="F4413" t="s">
        <v>6152</v>
      </c>
      <c r="G4413" t="s">
        <v>123</v>
      </c>
      <c r="H4413">
        <v>20850</v>
      </c>
      <c r="I4413" t="s">
        <v>30</v>
      </c>
      <c r="J4413" t="s">
        <v>41</v>
      </c>
      <c r="K4413" t="s">
        <v>59</v>
      </c>
      <c r="Q4413">
        <v>0</v>
      </c>
      <c r="R4413">
        <v>0</v>
      </c>
      <c r="S4413">
        <v>0</v>
      </c>
    </row>
    <row r="4414" spans="1:20" customFormat="1" ht="15" x14ac:dyDescent="0.25">
      <c r="A4414" t="s">
        <v>35</v>
      </c>
      <c r="B4414" t="s">
        <v>18064</v>
      </c>
      <c r="C4414" t="str">
        <f>"A0185090"</f>
        <v>A0185090</v>
      </c>
      <c r="D4414" t="s">
        <v>18065</v>
      </c>
      <c r="E4414" t="s">
        <v>18066</v>
      </c>
      <c r="F4414" t="s">
        <v>6085</v>
      </c>
      <c r="G4414" t="s">
        <v>123</v>
      </c>
      <c r="H4414">
        <v>217023366</v>
      </c>
      <c r="I4414" t="s">
        <v>30</v>
      </c>
      <c r="J4414" t="s">
        <v>41</v>
      </c>
      <c r="K4414" t="s">
        <v>59</v>
      </c>
      <c r="Q4414">
        <v>0</v>
      </c>
      <c r="R4414">
        <v>120</v>
      </c>
      <c r="S4414">
        <v>120</v>
      </c>
      <c r="T4414" t="s">
        <v>18067</v>
      </c>
    </row>
    <row r="4415" spans="1:20" customFormat="1" ht="15" x14ac:dyDescent="0.25">
      <c r="A4415" t="s">
        <v>35</v>
      </c>
      <c r="B4415" t="s">
        <v>61</v>
      </c>
      <c r="C4415" t="str">
        <f>"A0185089"</f>
        <v>A0185089</v>
      </c>
      <c r="D4415" t="s">
        <v>18068</v>
      </c>
      <c r="E4415" t="s">
        <v>18069</v>
      </c>
      <c r="F4415" t="s">
        <v>519</v>
      </c>
      <c r="G4415" t="s">
        <v>123</v>
      </c>
      <c r="H4415" t="s">
        <v>18070</v>
      </c>
      <c r="I4415" t="s">
        <v>30</v>
      </c>
      <c r="J4415" t="s">
        <v>41</v>
      </c>
      <c r="K4415" t="s">
        <v>59</v>
      </c>
      <c r="Q4415">
        <v>0</v>
      </c>
      <c r="R4415">
        <v>0</v>
      </c>
      <c r="S4415">
        <v>0</v>
      </c>
      <c r="T4415" t="s">
        <v>18071</v>
      </c>
    </row>
    <row r="4416" spans="1:20" customFormat="1" ht="15" x14ac:dyDescent="0.25">
      <c r="A4416" t="s">
        <v>35</v>
      </c>
      <c r="B4416" t="s">
        <v>61</v>
      </c>
      <c r="C4416" t="str">
        <f>"A0185088"</f>
        <v>A0185088</v>
      </c>
      <c r="D4416" t="s">
        <v>18072</v>
      </c>
      <c r="E4416" t="s">
        <v>18073</v>
      </c>
      <c r="F4416" t="s">
        <v>18074</v>
      </c>
      <c r="G4416" t="s">
        <v>123</v>
      </c>
      <c r="H4416" t="s">
        <v>18075</v>
      </c>
      <c r="I4416" t="s">
        <v>30</v>
      </c>
      <c r="J4416" t="s">
        <v>41</v>
      </c>
      <c r="K4416" t="s">
        <v>59</v>
      </c>
      <c r="Q4416">
        <v>0</v>
      </c>
      <c r="R4416">
        <v>0</v>
      </c>
      <c r="S4416">
        <v>0</v>
      </c>
      <c r="T4416" t="s">
        <v>18076</v>
      </c>
    </row>
    <row r="4417" spans="1:20" customFormat="1" ht="15" x14ac:dyDescent="0.25">
      <c r="A4417" t="s">
        <v>35</v>
      </c>
      <c r="B4417" t="s">
        <v>61</v>
      </c>
      <c r="C4417" t="str">
        <f>"A0185087"</f>
        <v>A0185087</v>
      </c>
      <c r="D4417" t="s">
        <v>18077</v>
      </c>
      <c r="E4417" t="s">
        <v>18078</v>
      </c>
      <c r="F4417" t="s">
        <v>10530</v>
      </c>
      <c r="G4417" t="s">
        <v>81</v>
      </c>
      <c r="H4417" t="s">
        <v>18079</v>
      </c>
      <c r="I4417" t="s">
        <v>30</v>
      </c>
      <c r="J4417" t="s">
        <v>41</v>
      </c>
      <c r="K4417" t="s">
        <v>59</v>
      </c>
      <c r="Q4417">
        <v>0</v>
      </c>
      <c r="R4417">
        <v>0</v>
      </c>
      <c r="S4417">
        <v>0</v>
      </c>
      <c r="T4417" t="s">
        <v>18080</v>
      </c>
    </row>
    <row r="4418" spans="1:20" customFormat="1" ht="15" x14ac:dyDescent="0.25">
      <c r="A4418" t="s">
        <v>35</v>
      </c>
      <c r="B4418" t="s">
        <v>61</v>
      </c>
      <c r="C4418" t="str">
        <f>"A0185086"</f>
        <v>A0185086</v>
      </c>
      <c r="D4418" t="s">
        <v>18081</v>
      </c>
      <c r="E4418" t="s">
        <v>18082</v>
      </c>
      <c r="F4418" t="s">
        <v>2714</v>
      </c>
      <c r="G4418" t="s">
        <v>81</v>
      </c>
      <c r="H4418" t="s">
        <v>18083</v>
      </c>
      <c r="I4418" t="s">
        <v>30</v>
      </c>
      <c r="J4418" t="s">
        <v>41</v>
      </c>
      <c r="K4418" t="s">
        <v>59</v>
      </c>
      <c r="Q4418">
        <v>0</v>
      </c>
      <c r="R4418">
        <v>0</v>
      </c>
      <c r="S4418">
        <v>0</v>
      </c>
      <c r="T4418" t="s">
        <v>18084</v>
      </c>
    </row>
    <row r="4419" spans="1:20" customFormat="1" ht="15" x14ac:dyDescent="0.25">
      <c r="A4419" t="s">
        <v>35</v>
      </c>
      <c r="B4419" t="s">
        <v>61</v>
      </c>
      <c r="C4419" t="str">
        <f>"A0185085"</f>
        <v>A0185085</v>
      </c>
      <c r="D4419" t="s">
        <v>18085</v>
      </c>
      <c r="E4419" t="s">
        <v>18086</v>
      </c>
      <c r="F4419" t="s">
        <v>4645</v>
      </c>
      <c r="G4419" t="s">
        <v>81</v>
      </c>
      <c r="H4419" t="s">
        <v>18087</v>
      </c>
      <c r="I4419" t="s">
        <v>30</v>
      </c>
      <c r="J4419" t="s">
        <v>41</v>
      </c>
      <c r="K4419" t="s">
        <v>59</v>
      </c>
      <c r="Q4419">
        <v>0</v>
      </c>
      <c r="R4419">
        <v>0</v>
      </c>
      <c r="S4419">
        <v>0</v>
      </c>
    </row>
    <row r="4420" spans="1:20" customFormat="1" ht="15" x14ac:dyDescent="0.25">
      <c r="A4420" t="s">
        <v>35</v>
      </c>
      <c r="B4420" t="s">
        <v>61</v>
      </c>
      <c r="C4420" t="str">
        <f>"A0185084"</f>
        <v>A0185084</v>
      </c>
      <c r="D4420" t="s">
        <v>18088</v>
      </c>
      <c r="E4420" t="s">
        <v>18089</v>
      </c>
      <c r="F4420" t="s">
        <v>1731</v>
      </c>
      <c r="G4420" t="s">
        <v>52</v>
      </c>
      <c r="H4420" t="s">
        <v>18090</v>
      </c>
      <c r="I4420" t="s">
        <v>30</v>
      </c>
      <c r="J4420" t="s">
        <v>41</v>
      </c>
      <c r="K4420" t="s">
        <v>59</v>
      </c>
      <c r="Q4420">
        <v>0</v>
      </c>
      <c r="R4420">
        <v>0</v>
      </c>
      <c r="S4420">
        <v>0</v>
      </c>
      <c r="T4420" t="s">
        <v>18091</v>
      </c>
    </row>
    <row r="4421" spans="1:20" customFormat="1" ht="15" x14ac:dyDescent="0.25">
      <c r="A4421" t="s">
        <v>35</v>
      </c>
      <c r="B4421" t="s">
        <v>11871</v>
      </c>
      <c r="C4421" t="str">
        <f>"A0185082"</f>
        <v>A0185082</v>
      </c>
      <c r="D4421" t="s">
        <v>18092</v>
      </c>
      <c r="E4421" t="s">
        <v>18093</v>
      </c>
      <c r="F4421" t="s">
        <v>18094</v>
      </c>
      <c r="G4421" t="s">
        <v>117</v>
      </c>
      <c r="H4421" t="s">
        <v>18095</v>
      </c>
      <c r="I4421" t="s">
        <v>30</v>
      </c>
      <c r="J4421" t="s">
        <v>41</v>
      </c>
      <c r="K4421" t="s">
        <v>59</v>
      </c>
      <c r="Q4421">
        <v>0</v>
      </c>
      <c r="R4421">
        <v>0</v>
      </c>
      <c r="S4421">
        <v>0</v>
      </c>
      <c r="T4421" t="s">
        <v>18096</v>
      </c>
    </row>
    <row r="4422" spans="1:20" customFormat="1" ht="15" x14ac:dyDescent="0.25">
      <c r="A4422" t="s">
        <v>35</v>
      </c>
      <c r="B4422" t="s">
        <v>11898</v>
      </c>
      <c r="C4422" t="str">
        <f>"A0185081"</f>
        <v>A0185081</v>
      </c>
      <c r="D4422" t="s">
        <v>18097</v>
      </c>
      <c r="E4422" t="s">
        <v>18098</v>
      </c>
      <c r="F4422" t="s">
        <v>5778</v>
      </c>
      <c r="G4422" t="s">
        <v>117</v>
      </c>
      <c r="H4422">
        <v>482374033</v>
      </c>
      <c r="I4422" t="s">
        <v>30</v>
      </c>
      <c r="J4422" t="s">
        <v>41</v>
      </c>
      <c r="K4422" t="s">
        <v>59</v>
      </c>
      <c r="Q4422">
        <v>0</v>
      </c>
      <c r="R4422">
        <v>0</v>
      </c>
      <c r="S4422">
        <v>0</v>
      </c>
      <c r="T4422" t="s">
        <v>18099</v>
      </c>
    </row>
    <row r="4423" spans="1:20" customFormat="1" ht="15" x14ac:dyDescent="0.25">
      <c r="A4423" t="s">
        <v>35</v>
      </c>
      <c r="B4423" t="s">
        <v>61</v>
      </c>
      <c r="C4423" t="str">
        <f>"A0185080"</f>
        <v>A0185080</v>
      </c>
      <c r="D4423" t="s">
        <v>18100</v>
      </c>
      <c r="E4423" t="s">
        <v>18101</v>
      </c>
      <c r="F4423" t="s">
        <v>9607</v>
      </c>
      <c r="G4423" t="s">
        <v>117</v>
      </c>
      <c r="H4423" t="s">
        <v>18102</v>
      </c>
      <c r="I4423" t="s">
        <v>30</v>
      </c>
      <c r="J4423" t="s">
        <v>41</v>
      </c>
      <c r="K4423" t="s">
        <v>59</v>
      </c>
      <c r="Q4423">
        <v>0</v>
      </c>
      <c r="R4423">
        <v>0</v>
      </c>
      <c r="S4423">
        <v>0</v>
      </c>
      <c r="T4423" t="s">
        <v>17735</v>
      </c>
    </row>
    <row r="4424" spans="1:20" customFormat="1" ht="15" x14ac:dyDescent="0.25">
      <c r="A4424" t="s">
        <v>35</v>
      </c>
      <c r="B4424" t="s">
        <v>61</v>
      </c>
      <c r="C4424" t="str">
        <f>"A0185079"</f>
        <v>A0185079</v>
      </c>
      <c r="D4424" t="s">
        <v>18103</v>
      </c>
      <c r="E4424" t="s">
        <v>18104</v>
      </c>
      <c r="F4424" t="s">
        <v>136</v>
      </c>
      <c r="G4424" t="s">
        <v>117</v>
      </c>
      <c r="H4424" t="s">
        <v>18105</v>
      </c>
      <c r="I4424" t="s">
        <v>30</v>
      </c>
      <c r="J4424" t="s">
        <v>41</v>
      </c>
      <c r="K4424" t="s">
        <v>59</v>
      </c>
      <c r="Q4424">
        <v>0</v>
      </c>
      <c r="R4424">
        <v>0</v>
      </c>
      <c r="S4424">
        <v>0</v>
      </c>
      <c r="T4424" t="s">
        <v>18106</v>
      </c>
    </row>
    <row r="4425" spans="1:20" customFormat="1" ht="15" x14ac:dyDescent="0.25">
      <c r="A4425" t="s">
        <v>35</v>
      </c>
      <c r="B4425" t="s">
        <v>61</v>
      </c>
      <c r="C4425" t="str">
        <f>"A0185078"</f>
        <v>A0185078</v>
      </c>
      <c r="D4425" t="s">
        <v>18107</v>
      </c>
      <c r="E4425" t="s">
        <v>18108</v>
      </c>
      <c r="F4425" t="s">
        <v>18109</v>
      </c>
      <c r="G4425" t="s">
        <v>2450</v>
      </c>
      <c r="H4425" t="s">
        <v>18110</v>
      </c>
      <c r="I4425" t="s">
        <v>30</v>
      </c>
      <c r="J4425" t="s">
        <v>41</v>
      </c>
      <c r="K4425" t="s">
        <v>59</v>
      </c>
      <c r="Q4425">
        <v>0</v>
      </c>
      <c r="R4425">
        <v>96</v>
      </c>
      <c r="S4425">
        <v>96</v>
      </c>
      <c r="T4425" t="s">
        <v>18111</v>
      </c>
    </row>
    <row r="4426" spans="1:20" customFormat="1" ht="15" x14ac:dyDescent="0.25">
      <c r="A4426" t="s">
        <v>35</v>
      </c>
      <c r="B4426" t="s">
        <v>61</v>
      </c>
      <c r="C4426" t="str">
        <f>"A0185077"</f>
        <v>A0185077</v>
      </c>
      <c r="D4426" t="s">
        <v>18112</v>
      </c>
      <c r="E4426" t="s">
        <v>18113</v>
      </c>
      <c r="F4426" t="s">
        <v>18114</v>
      </c>
      <c r="G4426" t="s">
        <v>2450</v>
      </c>
      <c r="H4426" t="s">
        <v>18115</v>
      </c>
      <c r="I4426" t="s">
        <v>30</v>
      </c>
      <c r="J4426" t="s">
        <v>41</v>
      </c>
      <c r="K4426" t="s">
        <v>59</v>
      </c>
      <c r="Q4426">
        <v>0</v>
      </c>
      <c r="R4426">
        <v>0</v>
      </c>
      <c r="S4426">
        <v>0</v>
      </c>
      <c r="T4426" t="s">
        <v>18116</v>
      </c>
    </row>
    <row r="4427" spans="1:20" customFormat="1" ht="15" x14ac:dyDescent="0.25">
      <c r="A4427" t="s">
        <v>35</v>
      </c>
      <c r="B4427" t="s">
        <v>61</v>
      </c>
      <c r="C4427" t="str">
        <f>"A0185076"</f>
        <v>A0185076</v>
      </c>
      <c r="D4427" t="s">
        <v>18117</v>
      </c>
      <c r="E4427" t="s">
        <v>18118</v>
      </c>
      <c r="F4427" t="s">
        <v>7554</v>
      </c>
      <c r="G4427" t="s">
        <v>58</v>
      </c>
      <c r="H4427">
        <v>29642</v>
      </c>
      <c r="I4427" t="s">
        <v>30</v>
      </c>
      <c r="J4427" t="s">
        <v>41</v>
      </c>
      <c r="K4427" t="s">
        <v>59</v>
      </c>
      <c r="Q4427">
        <v>0</v>
      </c>
      <c r="R4427">
        <v>50</v>
      </c>
      <c r="S4427">
        <v>50</v>
      </c>
      <c r="T4427" t="s">
        <v>18119</v>
      </c>
    </row>
    <row r="4428" spans="1:20" customFormat="1" ht="15" x14ac:dyDescent="0.25">
      <c r="A4428" t="s">
        <v>35</v>
      </c>
      <c r="B4428" t="s">
        <v>61</v>
      </c>
      <c r="C4428" t="str">
        <f>"A0185075"</f>
        <v>A0185075</v>
      </c>
      <c r="D4428" t="s">
        <v>18120</v>
      </c>
      <c r="E4428" t="s">
        <v>18121</v>
      </c>
      <c r="F4428" t="s">
        <v>1444</v>
      </c>
      <c r="G4428" t="s">
        <v>76</v>
      </c>
      <c r="H4428">
        <v>981181704</v>
      </c>
      <c r="I4428" t="s">
        <v>30</v>
      </c>
      <c r="J4428" t="s">
        <v>41</v>
      </c>
      <c r="K4428" t="s">
        <v>59</v>
      </c>
      <c r="Q4428">
        <v>0</v>
      </c>
      <c r="R4428">
        <v>12</v>
      </c>
      <c r="S4428">
        <v>12</v>
      </c>
      <c r="T4428" t="s">
        <v>18122</v>
      </c>
    </row>
    <row r="4429" spans="1:20" customFormat="1" ht="15" x14ac:dyDescent="0.25">
      <c r="A4429" t="s">
        <v>35</v>
      </c>
      <c r="B4429" t="s">
        <v>61</v>
      </c>
      <c r="C4429" t="str">
        <f>"A0185074"</f>
        <v>A0185074</v>
      </c>
      <c r="D4429" t="s">
        <v>18123</v>
      </c>
      <c r="E4429" t="s">
        <v>18124</v>
      </c>
      <c r="F4429" t="s">
        <v>18125</v>
      </c>
      <c r="G4429" t="s">
        <v>76</v>
      </c>
      <c r="H4429">
        <v>986394662</v>
      </c>
      <c r="I4429" t="s">
        <v>30</v>
      </c>
      <c r="J4429" t="s">
        <v>41</v>
      </c>
      <c r="K4429" t="s">
        <v>59</v>
      </c>
      <c r="Q4429">
        <v>0</v>
      </c>
      <c r="R4429">
        <v>0</v>
      </c>
      <c r="S4429">
        <v>0</v>
      </c>
      <c r="T4429" t="s">
        <v>18126</v>
      </c>
    </row>
    <row r="4430" spans="1:20" customFormat="1" ht="15" x14ac:dyDescent="0.25">
      <c r="A4430" t="s">
        <v>35</v>
      </c>
      <c r="B4430" t="s">
        <v>61</v>
      </c>
      <c r="C4430" t="str">
        <f>"A0185073"</f>
        <v>A0185073</v>
      </c>
      <c r="D4430" t="s">
        <v>18127</v>
      </c>
      <c r="E4430" t="s">
        <v>18128</v>
      </c>
      <c r="F4430" t="s">
        <v>18129</v>
      </c>
      <c r="G4430" t="s">
        <v>2391</v>
      </c>
      <c r="H4430" t="s">
        <v>18130</v>
      </c>
      <c r="I4430" t="s">
        <v>30</v>
      </c>
      <c r="J4430" t="s">
        <v>41</v>
      </c>
      <c r="K4430" t="s">
        <v>59</v>
      </c>
      <c r="Q4430">
        <v>0</v>
      </c>
      <c r="R4430">
        <v>0</v>
      </c>
      <c r="S4430">
        <v>0</v>
      </c>
      <c r="T4430" t="s">
        <v>18131</v>
      </c>
    </row>
    <row r="4431" spans="1:20" customFormat="1" ht="15" x14ac:dyDescent="0.25">
      <c r="A4431" t="s">
        <v>35</v>
      </c>
      <c r="B4431" t="s">
        <v>61</v>
      </c>
      <c r="C4431" t="str">
        <f>"A0185072"</f>
        <v>A0185072</v>
      </c>
      <c r="D4431" t="s">
        <v>18132</v>
      </c>
      <c r="E4431" t="s">
        <v>18133</v>
      </c>
      <c r="F4431" t="s">
        <v>18129</v>
      </c>
      <c r="G4431" t="s">
        <v>2391</v>
      </c>
      <c r="H4431" t="s">
        <v>18134</v>
      </c>
      <c r="I4431" t="s">
        <v>30</v>
      </c>
      <c r="J4431" t="s">
        <v>41</v>
      </c>
      <c r="K4431" t="s">
        <v>59</v>
      </c>
      <c r="Q4431">
        <v>0</v>
      </c>
      <c r="R4431">
        <v>0</v>
      </c>
      <c r="S4431">
        <v>0</v>
      </c>
      <c r="T4431" t="s">
        <v>18135</v>
      </c>
    </row>
    <row r="4432" spans="1:20" customFormat="1" ht="15" x14ac:dyDescent="0.25">
      <c r="A4432" t="s">
        <v>35</v>
      </c>
      <c r="B4432" t="s">
        <v>61</v>
      </c>
      <c r="C4432" t="str">
        <f>"A0185070"</f>
        <v>A0185070</v>
      </c>
      <c r="D4432" t="s">
        <v>18136</v>
      </c>
      <c r="E4432" t="s">
        <v>18137</v>
      </c>
      <c r="F4432" t="s">
        <v>1431</v>
      </c>
      <c r="G4432" t="s">
        <v>2450</v>
      </c>
      <c r="H4432" t="s">
        <v>18138</v>
      </c>
      <c r="I4432" t="s">
        <v>30</v>
      </c>
      <c r="J4432" t="s">
        <v>41</v>
      </c>
      <c r="K4432" t="s">
        <v>59</v>
      </c>
      <c r="Q4432">
        <v>0</v>
      </c>
      <c r="R4432">
        <v>0</v>
      </c>
      <c r="S4432">
        <v>0</v>
      </c>
      <c r="T4432" t="s">
        <v>18139</v>
      </c>
    </row>
    <row r="4433" spans="1:20" customFormat="1" ht="15" x14ac:dyDescent="0.25">
      <c r="A4433" t="s">
        <v>35</v>
      </c>
      <c r="B4433" t="s">
        <v>61</v>
      </c>
      <c r="C4433" t="str">
        <f>"A0185069"</f>
        <v>A0185069</v>
      </c>
      <c r="D4433" t="s">
        <v>18140</v>
      </c>
      <c r="E4433" t="s">
        <v>18141</v>
      </c>
      <c r="F4433" t="s">
        <v>18142</v>
      </c>
      <c r="G4433" t="s">
        <v>2450</v>
      </c>
      <c r="H4433" t="s">
        <v>18143</v>
      </c>
      <c r="I4433" t="s">
        <v>30</v>
      </c>
      <c r="J4433" t="s">
        <v>41</v>
      </c>
      <c r="K4433" t="s">
        <v>59</v>
      </c>
      <c r="Q4433">
        <v>0</v>
      </c>
      <c r="R4433">
        <v>62</v>
      </c>
      <c r="S4433">
        <v>62</v>
      </c>
      <c r="T4433" t="s">
        <v>18144</v>
      </c>
    </row>
    <row r="4434" spans="1:20" customFormat="1" ht="15" x14ac:dyDescent="0.25">
      <c r="A4434" t="s">
        <v>35</v>
      </c>
      <c r="B4434" t="s">
        <v>61</v>
      </c>
      <c r="C4434" t="str">
        <f>"A0185068"</f>
        <v>A0185068</v>
      </c>
      <c r="D4434" t="s">
        <v>18145</v>
      </c>
      <c r="E4434" t="s">
        <v>18062</v>
      </c>
      <c r="F4434" t="s">
        <v>6152</v>
      </c>
      <c r="G4434" t="s">
        <v>123</v>
      </c>
      <c r="H4434">
        <v>20850</v>
      </c>
      <c r="I4434" t="s">
        <v>30</v>
      </c>
      <c r="J4434" t="s">
        <v>41</v>
      </c>
      <c r="K4434" t="s">
        <v>59</v>
      </c>
      <c r="Q4434">
        <v>0</v>
      </c>
      <c r="R4434">
        <v>0</v>
      </c>
      <c r="S4434">
        <v>0</v>
      </c>
    </row>
    <row r="4435" spans="1:20" customFormat="1" ht="15" x14ac:dyDescent="0.25">
      <c r="A4435" t="s">
        <v>35</v>
      </c>
      <c r="B4435" t="s">
        <v>61</v>
      </c>
      <c r="C4435" t="str">
        <f>"A0185067"</f>
        <v>A0185067</v>
      </c>
      <c r="D4435" t="s">
        <v>18146</v>
      </c>
      <c r="E4435" t="s">
        <v>18147</v>
      </c>
      <c r="F4435" t="s">
        <v>18148</v>
      </c>
      <c r="G4435" t="s">
        <v>123</v>
      </c>
      <c r="H4435" t="s">
        <v>18149</v>
      </c>
      <c r="I4435" t="s">
        <v>30</v>
      </c>
      <c r="J4435" t="s">
        <v>41</v>
      </c>
      <c r="K4435" t="s">
        <v>59</v>
      </c>
      <c r="Q4435">
        <v>0</v>
      </c>
      <c r="R4435">
        <v>0</v>
      </c>
      <c r="S4435">
        <v>0</v>
      </c>
      <c r="T4435" t="s">
        <v>18150</v>
      </c>
    </row>
    <row r="4436" spans="1:20" customFormat="1" ht="15" x14ac:dyDescent="0.25">
      <c r="A4436" t="s">
        <v>35</v>
      </c>
      <c r="B4436" t="s">
        <v>18151</v>
      </c>
      <c r="C4436" t="str">
        <f>"A0185066"</f>
        <v>A0185066</v>
      </c>
      <c r="D4436" t="s">
        <v>18152</v>
      </c>
      <c r="E4436" t="s">
        <v>18153</v>
      </c>
      <c r="F4436" t="s">
        <v>1444</v>
      </c>
      <c r="G4436" t="s">
        <v>76</v>
      </c>
      <c r="H4436">
        <v>981012797</v>
      </c>
      <c r="I4436" t="s">
        <v>30</v>
      </c>
      <c r="J4436" t="s">
        <v>41</v>
      </c>
      <c r="K4436" t="s">
        <v>59</v>
      </c>
      <c r="Q4436">
        <v>0</v>
      </c>
      <c r="R4436">
        <v>0</v>
      </c>
      <c r="S4436">
        <v>0</v>
      </c>
      <c r="T4436" t="s">
        <v>18154</v>
      </c>
    </row>
    <row r="4437" spans="1:20" customFormat="1" ht="15" x14ac:dyDescent="0.25">
      <c r="A4437" t="s">
        <v>35</v>
      </c>
      <c r="B4437" t="s">
        <v>1432</v>
      </c>
      <c r="C4437" t="str">
        <f>"A0185065"</f>
        <v>A0185065</v>
      </c>
      <c r="D4437" t="s">
        <v>18155</v>
      </c>
      <c r="E4437" t="s">
        <v>17905</v>
      </c>
      <c r="F4437" t="s">
        <v>8348</v>
      </c>
      <c r="G4437" t="s">
        <v>40</v>
      </c>
      <c r="H4437">
        <v>741322117</v>
      </c>
      <c r="I4437" t="s">
        <v>30</v>
      </c>
      <c r="J4437" t="s">
        <v>41</v>
      </c>
      <c r="K4437" t="s">
        <v>59</v>
      </c>
      <c r="Q4437">
        <v>0</v>
      </c>
      <c r="R4437">
        <v>91</v>
      </c>
      <c r="S4437">
        <v>91</v>
      </c>
      <c r="T4437" t="s">
        <v>17906</v>
      </c>
    </row>
    <row r="4438" spans="1:20" customFormat="1" ht="15" x14ac:dyDescent="0.25">
      <c r="A4438" t="s">
        <v>35</v>
      </c>
      <c r="B4438" t="s">
        <v>61</v>
      </c>
      <c r="C4438" t="str">
        <f>"A0185064"</f>
        <v>A0185064</v>
      </c>
      <c r="D4438" t="s">
        <v>18156</v>
      </c>
      <c r="E4438" t="s">
        <v>18157</v>
      </c>
      <c r="F4438" t="s">
        <v>18158</v>
      </c>
      <c r="G4438" t="s">
        <v>47</v>
      </c>
      <c r="H4438">
        <v>972675873</v>
      </c>
      <c r="I4438" t="s">
        <v>30</v>
      </c>
      <c r="J4438" t="s">
        <v>41</v>
      </c>
      <c r="K4438" t="s">
        <v>59</v>
      </c>
      <c r="Q4438">
        <v>0</v>
      </c>
      <c r="R4438">
        <v>0</v>
      </c>
      <c r="S4438">
        <v>0</v>
      </c>
      <c r="T4438" t="s">
        <v>18159</v>
      </c>
    </row>
    <row r="4439" spans="1:20" customFormat="1" ht="15" x14ac:dyDescent="0.25">
      <c r="A4439" t="s">
        <v>35</v>
      </c>
      <c r="B4439" t="s">
        <v>61</v>
      </c>
      <c r="C4439" t="str">
        <f>"A0185062"</f>
        <v>A0185062</v>
      </c>
      <c r="D4439" t="s">
        <v>18160</v>
      </c>
      <c r="E4439" t="s">
        <v>18161</v>
      </c>
      <c r="F4439" t="s">
        <v>3744</v>
      </c>
      <c r="G4439" t="s">
        <v>47</v>
      </c>
      <c r="H4439">
        <v>975048442</v>
      </c>
      <c r="I4439" t="s">
        <v>30</v>
      </c>
      <c r="J4439" t="s">
        <v>41</v>
      </c>
      <c r="K4439" t="s">
        <v>59</v>
      </c>
      <c r="Q4439">
        <v>0</v>
      </c>
      <c r="R4439">
        <v>0</v>
      </c>
      <c r="S4439">
        <v>0</v>
      </c>
      <c r="T4439" t="s">
        <v>18162</v>
      </c>
    </row>
    <row r="4440" spans="1:20" customFormat="1" ht="15" x14ac:dyDescent="0.25">
      <c r="A4440" t="s">
        <v>35</v>
      </c>
      <c r="B4440" t="s">
        <v>61</v>
      </c>
      <c r="C4440" t="str">
        <f>"A0185061"</f>
        <v>A0185061</v>
      </c>
      <c r="D4440" t="s">
        <v>18163</v>
      </c>
      <c r="E4440" t="s">
        <v>18164</v>
      </c>
      <c r="F4440" t="s">
        <v>635</v>
      </c>
      <c r="G4440" t="s">
        <v>2391</v>
      </c>
      <c r="H4440" t="s">
        <v>18165</v>
      </c>
      <c r="I4440" t="s">
        <v>30</v>
      </c>
      <c r="J4440" t="s">
        <v>41</v>
      </c>
      <c r="K4440" t="s">
        <v>59</v>
      </c>
      <c r="Q4440">
        <v>0</v>
      </c>
      <c r="R4440">
        <v>0</v>
      </c>
      <c r="S4440">
        <v>0</v>
      </c>
      <c r="T4440" t="s">
        <v>18166</v>
      </c>
    </row>
    <row r="4441" spans="1:20" customFormat="1" ht="15" x14ac:dyDescent="0.25">
      <c r="A4441" t="s">
        <v>35</v>
      </c>
      <c r="B4441" t="s">
        <v>61</v>
      </c>
      <c r="C4441" t="str">
        <f>"A0185060"</f>
        <v>A0185060</v>
      </c>
      <c r="D4441" t="s">
        <v>18167</v>
      </c>
      <c r="E4441" t="s">
        <v>18168</v>
      </c>
      <c r="F4441" t="s">
        <v>18169</v>
      </c>
      <c r="G4441" t="s">
        <v>2391</v>
      </c>
      <c r="H4441">
        <v>5465</v>
      </c>
      <c r="I4441" t="s">
        <v>30</v>
      </c>
      <c r="J4441" t="s">
        <v>41</v>
      </c>
      <c r="K4441" t="s">
        <v>59</v>
      </c>
      <c r="Q4441">
        <v>0</v>
      </c>
      <c r="R4441">
        <v>0</v>
      </c>
      <c r="S4441">
        <v>0</v>
      </c>
      <c r="T4441" t="s">
        <v>18170</v>
      </c>
    </row>
    <row r="4442" spans="1:20" customFormat="1" ht="15" x14ac:dyDescent="0.25">
      <c r="A4442" t="s">
        <v>35</v>
      </c>
      <c r="B4442" t="s">
        <v>61</v>
      </c>
      <c r="C4442" t="str">
        <f>"A0185059"</f>
        <v>A0185059</v>
      </c>
      <c r="D4442" t="s">
        <v>18171</v>
      </c>
      <c r="E4442" t="s">
        <v>18172</v>
      </c>
      <c r="F4442" t="s">
        <v>4082</v>
      </c>
      <c r="G4442" t="s">
        <v>123</v>
      </c>
      <c r="H4442" t="s">
        <v>18173</v>
      </c>
      <c r="I4442" t="s">
        <v>30</v>
      </c>
      <c r="J4442" t="s">
        <v>41</v>
      </c>
      <c r="K4442" t="s">
        <v>59</v>
      </c>
      <c r="Q4442">
        <v>0</v>
      </c>
      <c r="R4442">
        <v>0</v>
      </c>
      <c r="S4442">
        <v>0</v>
      </c>
      <c r="T4442" t="s">
        <v>18174</v>
      </c>
    </row>
    <row r="4443" spans="1:20" customFormat="1" ht="15" x14ac:dyDescent="0.25">
      <c r="A4443" t="s">
        <v>35</v>
      </c>
      <c r="B4443" t="s">
        <v>61</v>
      </c>
      <c r="C4443" t="str">
        <f>"A0185058"</f>
        <v>A0185058</v>
      </c>
      <c r="D4443" t="s">
        <v>18175</v>
      </c>
      <c r="E4443" t="s">
        <v>18176</v>
      </c>
      <c r="F4443" t="s">
        <v>10873</v>
      </c>
      <c r="G4443" t="s">
        <v>289</v>
      </c>
      <c r="H4443" t="s">
        <v>18177</v>
      </c>
      <c r="I4443" t="s">
        <v>30</v>
      </c>
      <c r="J4443" t="s">
        <v>41</v>
      </c>
      <c r="K4443" t="s">
        <v>59</v>
      </c>
      <c r="Q4443">
        <v>0</v>
      </c>
      <c r="R4443">
        <v>124</v>
      </c>
      <c r="S4443">
        <v>124</v>
      </c>
      <c r="T4443" t="s">
        <v>18178</v>
      </c>
    </row>
    <row r="4444" spans="1:20" customFormat="1" ht="15" x14ac:dyDescent="0.25">
      <c r="A4444" t="s">
        <v>35</v>
      </c>
      <c r="B4444" t="s">
        <v>61</v>
      </c>
      <c r="C4444" t="str">
        <f>"A0185057"</f>
        <v>A0185057</v>
      </c>
      <c r="D4444" t="s">
        <v>18179</v>
      </c>
      <c r="E4444" t="s">
        <v>18180</v>
      </c>
      <c r="F4444" t="s">
        <v>18181</v>
      </c>
      <c r="G4444" t="s">
        <v>289</v>
      </c>
      <c r="H4444" t="s">
        <v>18182</v>
      </c>
      <c r="I4444" t="s">
        <v>30</v>
      </c>
      <c r="J4444" t="s">
        <v>41</v>
      </c>
      <c r="K4444" t="s">
        <v>59</v>
      </c>
      <c r="Q4444">
        <v>0</v>
      </c>
      <c r="R4444">
        <v>0</v>
      </c>
      <c r="S4444">
        <v>0</v>
      </c>
    </row>
    <row r="4445" spans="1:20" customFormat="1" ht="15" x14ac:dyDescent="0.25">
      <c r="A4445" t="s">
        <v>35</v>
      </c>
      <c r="B4445" t="s">
        <v>61</v>
      </c>
      <c r="C4445" t="str">
        <f>"A0185056"</f>
        <v>A0185056</v>
      </c>
      <c r="D4445" t="s">
        <v>3336</v>
      </c>
      <c r="E4445" t="s">
        <v>18183</v>
      </c>
      <c r="F4445" t="s">
        <v>10272</v>
      </c>
      <c r="G4445" t="s">
        <v>289</v>
      </c>
      <c r="H4445" t="s">
        <v>18184</v>
      </c>
      <c r="I4445" t="s">
        <v>30</v>
      </c>
      <c r="J4445" t="s">
        <v>41</v>
      </c>
      <c r="K4445" t="s">
        <v>59</v>
      </c>
      <c r="Q4445">
        <v>0</v>
      </c>
      <c r="R4445">
        <v>1</v>
      </c>
      <c r="S4445">
        <v>1</v>
      </c>
      <c r="T4445" t="s">
        <v>18185</v>
      </c>
    </row>
    <row r="4446" spans="1:20" customFormat="1" ht="15" x14ac:dyDescent="0.25">
      <c r="A4446" t="s">
        <v>35</v>
      </c>
      <c r="B4446" t="s">
        <v>61</v>
      </c>
      <c r="C4446" t="str">
        <f>"A0185055"</f>
        <v>A0185055</v>
      </c>
      <c r="D4446" t="s">
        <v>18186</v>
      </c>
      <c r="E4446" t="s">
        <v>18187</v>
      </c>
      <c r="F4446" t="s">
        <v>1501</v>
      </c>
      <c r="G4446" t="s">
        <v>880</v>
      </c>
      <c r="H4446">
        <v>38127</v>
      </c>
      <c r="I4446" t="s">
        <v>30</v>
      </c>
      <c r="J4446" t="s">
        <v>41</v>
      </c>
      <c r="K4446" t="s">
        <v>59</v>
      </c>
      <c r="Q4446">
        <v>0</v>
      </c>
      <c r="R4446">
        <v>0</v>
      </c>
      <c r="S4446">
        <v>0</v>
      </c>
    </row>
    <row r="4447" spans="1:20" customFormat="1" ht="15" x14ac:dyDescent="0.25">
      <c r="A4447" t="s">
        <v>35</v>
      </c>
      <c r="B4447" t="s">
        <v>61</v>
      </c>
      <c r="C4447" t="str">
        <f>"A0185054"</f>
        <v>A0185054</v>
      </c>
      <c r="D4447" t="s">
        <v>18188</v>
      </c>
      <c r="E4447" t="s">
        <v>18189</v>
      </c>
      <c r="F4447" t="s">
        <v>1501</v>
      </c>
      <c r="G4447" t="s">
        <v>880</v>
      </c>
      <c r="H4447" t="s">
        <v>18190</v>
      </c>
      <c r="I4447" t="s">
        <v>30</v>
      </c>
      <c r="J4447" t="s">
        <v>41</v>
      </c>
      <c r="K4447" t="s">
        <v>59</v>
      </c>
      <c r="Q4447">
        <v>0</v>
      </c>
      <c r="R4447">
        <v>150</v>
      </c>
      <c r="S4447">
        <v>150</v>
      </c>
      <c r="T4447" t="s">
        <v>18191</v>
      </c>
    </row>
    <row r="4448" spans="1:20" customFormat="1" ht="15" x14ac:dyDescent="0.25">
      <c r="A4448" t="s">
        <v>35</v>
      </c>
      <c r="B4448" t="s">
        <v>61</v>
      </c>
      <c r="C4448" t="str">
        <f>"A0185053"</f>
        <v>A0185053</v>
      </c>
      <c r="D4448" t="s">
        <v>18192</v>
      </c>
      <c r="E4448" t="s">
        <v>18193</v>
      </c>
      <c r="F4448" t="s">
        <v>13940</v>
      </c>
      <c r="G4448" t="s">
        <v>81</v>
      </c>
      <c r="H4448" t="s">
        <v>18194</v>
      </c>
      <c r="I4448" t="s">
        <v>30</v>
      </c>
      <c r="J4448" t="s">
        <v>41</v>
      </c>
      <c r="K4448" t="s">
        <v>59</v>
      </c>
      <c r="Q4448">
        <v>0</v>
      </c>
      <c r="R4448">
        <v>60</v>
      </c>
      <c r="S4448">
        <v>60</v>
      </c>
      <c r="T4448" t="s">
        <v>18195</v>
      </c>
    </row>
    <row r="4449" spans="1:20" customFormat="1" ht="15" x14ac:dyDescent="0.25">
      <c r="A4449" t="s">
        <v>35</v>
      </c>
      <c r="B4449" t="s">
        <v>61</v>
      </c>
      <c r="C4449" t="str">
        <f>"A0185052"</f>
        <v>A0185052</v>
      </c>
      <c r="D4449" t="s">
        <v>18196</v>
      </c>
      <c r="E4449" t="s">
        <v>18197</v>
      </c>
      <c r="F4449" t="s">
        <v>18198</v>
      </c>
      <c r="G4449" t="s">
        <v>81</v>
      </c>
      <c r="H4449" t="s">
        <v>18199</v>
      </c>
      <c r="I4449" t="s">
        <v>30</v>
      </c>
      <c r="J4449" t="s">
        <v>41</v>
      </c>
      <c r="K4449" t="s">
        <v>59</v>
      </c>
      <c r="Q4449">
        <v>0</v>
      </c>
      <c r="R4449">
        <v>0</v>
      </c>
      <c r="S4449">
        <v>0</v>
      </c>
    </row>
    <row r="4450" spans="1:20" customFormat="1" ht="15" x14ac:dyDescent="0.25">
      <c r="A4450" t="s">
        <v>35</v>
      </c>
      <c r="B4450" t="s">
        <v>61</v>
      </c>
      <c r="C4450" t="str">
        <f>"A0185051"</f>
        <v>A0185051</v>
      </c>
      <c r="D4450" t="s">
        <v>13867</v>
      </c>
      <c r="E4450" t="s">
        <v>18200</v>
      </c>
      <c r="F4450" t="s">
        <v>13867</v>
      </c>
      <c r="G4450" t="s">
        <v>76</v>
      </c>
      <c r="H4450">
        <v>980429122</v>
      </c>
      <c r="I4450" t="s">
        <v>30</v>
      </c>
      <c r="J4450" t="s">
        <v>41</v>
      </c>
      <c r="K4450" t="s">
        <v>59</v>
      </c>
      <c r="Q4450">
        <v>0</v>
      </c>
      <c r="R4450">
        <v>0</v>
      </c>
      <c r="S4450">
        <v>0</v>
      </c>
      <c r="T4450" t="s">
        <v>18201</v>
      </c>
    </row>
    <row r="4451" spans="1:20" customFormat="1" ht="15" x14ac:dyDescent="0.25">
      <c r="A4451" t="s">
        <v>35</v>
      </c>
      <c r="B4451" t="s">
        <v>11871</v>
      </c>
      <c r="C4451" t="str">
        <f>"A0185050"</f>
        <v>A0185050</v>
      </c>
      <c r="D4451" t="s">
        <v>18202</v>
      </c>
      <c r="E4451" t="s">
        <v>18203</v>
      </c>
      <c r="F4451" t="s">
        <v>51</v>
      </c>
      <c r="G4451" t="s">
        <v>76</v>
      </c>
      <c r="H4451">
        <v>99005</v>
      </c>
      <c r="I4451" t="s">
        <v>30</v>
      </c>
      <c r="J4451" t="s">
        <v>41</v>
      </c>
      <c r="K4451" t="s">
        <v>59</v>
      </c>
      <c r="Q4451">
        <v>0</v>
      </c>
      <c r="R4451">
        <v>24</v>
      </c>
      <c r="S4451">
        <v>24</v>
      </c>
      <c r="T4451" t="s">
        <v>18204</v>
      </c>
    </row>
    <row r="4452" spans="1:20" customFormat="1" ht="15" x14ac:dyDescent="0.25">
      <c r="A4452" t="s">
        <v>35</v>
      </c>
      <c r="B4452" t="s">
        <v>61</v>
      </c>
      <c r="C4452" t="str">
        <f>"A0185049"</f>
        <v>A0185049</v>
      </c>
      <c r="D4452" t="s">
        <v>18205</v>
      </c>
      <c r="E4452" t="s">
        <v>18206</v>
      </c>
      <c r="F4452" t="s">
        <v>9731</v>
      </c>
      <c r="G4452" t="s">
        <v>76</v>
      </c>
      <c r="H4452">
        <v>986602771</v>
      </c>
      <c r="I4452" t="s">
        <v>30</v>
      </c>
      <c r="J4452" t="s">
        <v>41</v>
      </c>
      <c r="K4452" t="s">
        <v>59</v>
      </c>
      <c r="Q4452">
        <v>0</v>
      </c>
      <c r="R4452">
        <v>0</v>
      </c>
      <c r="S4452">
        <v>0</v>
      </c>
    </row>
    <row r="4453" spans="1:20" customFormat="1" ht="15" x14ac:dyDescent="0.25">
      <c r="A4453" t="s">
        <v>35</v>
      </c>
      <c r="B4453" t="s">
        <v>61</v>
      </c>
      <c r="C4453" t="str">
        <f>"A0185048"</f>
        <v>A0185048</v>
      </c>
      <c r="D4453" t="s">
        <v>18207</v>
      </c>
      <c r="E4453" t="s">
        <v>18208</v>
      </c>
      <c r="F4453" t="s">
        <v>1795</v>
      </c>
      <c r="G4453" t="s">
        <v>29</v>
      </c>
      <c r="H4453">
        <v>23230</v>
      </c>
      <c r="I4453" t="s">
        <v>30</v>
      </c>
      <c r="J4453" t="s">
        <v>41</v>
      </c>
      <c r="K4453" t="s">
        <v>59</v>
      </c>
      <c r="Q4453">
        <v>0</v>
      </c>
      <c r="R4453">
        <v>0</v>
      </c>
      <c r="S4453">
        <v>0</v>
      </c>
      <c r="T4453" t="s">
        <v>18209</v>
      </c>
    </row>
    <row r="4454" spans="1:20" customFormat="1" ht="15" x14ac:dyDescent="0.25">
      <c r="A4454" t="s">
        <v>35</v>
      </c>
      <c r="B4454" t="s">
        <v>61</v>
      </c>
      <c r="C4454" t="str">
        <f>"A0185047"</f>
        <v>A0185047</v>
      </c>
      <c r="D4454" t="s">
        <v>18210</v>
      </c>
      <c r="E4454" t="s">
        <v>18211</v>
      </c>
      <c r="F4454" t="s">
        <v>4082</v>
      </c>
      <c r="G4454" t="s">
        <v>123</v>
      </c>
      <c r="H4454" t="s">
        <v>18212</v>
      </c>
      <c r="I4454" t="s">
        <v>30</v>
      </c>
      <c r="J4454" t="s">
        <v>41</v>
      </c>
      <c r="K4454" t="s">
        <v>59</v>
      </c>
      <c r="Q4454">
        <v>0</v>
      </c>
      <c r="R4454">
        <v>0</v>
      </c>
      <c r="S4454">
        <v>0</v>
      </c>
    </row>
    <row r="4455" spans="1:20" customFormat="1" ht="15" x14ac:dyDescent="0.25">
      <c r="A4455" t="s">
        <v>35</v>
      </c>
      <c r="B4455" t="s">
        <v>61</v>
      </c>
      <c r="C4455" t="str">
        <f>"A0185046"</f>
        <v>A0185046</v>
      </c>
      <c r="D4455" t="s">
        <v>18213</v>
      </c>
      <c r="E4455" t="s">
        <v>18214</v>
      </c>
      <c r="F4455" t="s">
        <v>18213</v>
      </c>
      <c r="G4455" t="s">
        <v>123</v>
      </c>
      <c r="H4455">
        <v>21117</v>
      </c>
      <c r="I4455" t="s">
        <v>30</v>
      </c>
      <c r="J4455" t="s">
        <v>41</v>
      </c>
      <c r="K4455" t="s">
        <v>59</v>
      </c>
      <c r="Q4455">
        <v>0</v>
      </c>
      <c r="R4455">
        <v>0</v>
      </c>
      <c r="S4455">
        <v>0</v>
      </c>
      <c r="T4455" t="s">
        <v>18215</v>
      </c>
    </row>
    <row r="4456" spans="1:20" customFormat="1" ht="15" x14ac:dyDescent="0.25">
      <c r="A4456" t="s">
        <v>35</v>
      </c>
      <c r="B4456" t="s">
        <v>61</v>
      </c>
      <c r="C4456" t="str">
        <f>"A0185045"</f>
        <v>A0185045</v>
      </c>
      <c r="D4456" t="s">
        <v>18216</v>
      </c>
      <c r="E4456" t="s">
        <v>18217</v>
      </c>
      <c r="F4456" t="s">
        <v>9205</v>
      </c>
      <c r="G4456" t="s">
        <v>289</v>
      </c>
      <c r="H4456" t="s">
        <v>18218</v>
      </c>
      <c r="I4456" t="s">
        <v>30</v>
      </c>
      <c r="J4456" t="s">
        <v>41</v>
      </c>
      <c r="K4456" t="s">
        <v>59</v>
      </c>
      <c r="Q4456">
        <v>0</v>
      </c>
      <c r="R4456">
        <v>0</v>
      </c>
      <c r="S4456">
        <v>0</v>
      </c>
      <c r="T4456" t="s">
        <v>18219</v>
      </c>
    </row>
    <row r="4457" spans="1:20" customFormat="1" ht="15" x14ac:dyDescent="0.25">
      <c r="A4457" t="s">
        <v>35</v>
      </c>
      <c r="B4457" t="s">
        <v>61</v>
      </c>
      <c r="C4457" t="str">
        <f>"A0185044"</f>
        <v>A0185044</v>
      </c>
      <c r="D4457" t="s">
        <v>18220</v>
      </c>
      <c r="E4457" t="s">
        <v>18221</v>
      </c>
      <c r="F4457" t="s">
        <v>18222</v>
      </c>
      <c r="G4457" t="s">
        <v>52</v>
      </c>
      <c r="H4457" t="s">
        <v>18223</v>
      </c>
      <c r="I4457" t="s">
        <v>30</v>
      </c>
      <c r="J4457" t="s">
        <v>41</v>
      </c>
      <c r="K4457" t="s">
        <v>59</v>
      </c>
      <c r="Q4457">
        <v>0</v>
      </c>
      <c r="R4457">
        <v>90</v>
      </c>
      <c r="S4457">
        <v>90</v>
      </c>
      <c r="T4457" t="s">
        <v>18224</v>
      </c>
    </row>
    <row r="4458" spans="1:20" customFormat="1" ht="15" x14ac:dyDescent="0.25">
      <c r="A4458" t="s">
        <v>35</v>
      </c>
      <c r="B4458" t="s">
        <v>61</v>
      </c>
      <c r="C4458" t="str">
        <f>"A0185042"</f>
        <v>A0185042</v>
      </c>
      <c r="D4458" t="s">
        <v>18225</v>
      </c>
      <c r="E4458" t="s">
        <v>18226</v>
      </c>
      <c r="F4458" t="s">
        <v>1731</v>
      </c>
      <c r="G4458" t="s">
        <v>52</v>
      </c>
      <c r="H4458">
        <v>75225</v>
      </c>
      <c r="I4458" t="s">
        <v>30</v>
      </c>
      <c r="J4458" t="s">
        <v>41</v>
      </c>
      <c r="K4458" t="s">
        <v>59</v>
      </c>
      <c r="Q4458">
        <v>0</v>
      </c>
      <c r="R4458">
        <v>0</v>
      </c>
      <c r="S4458">
        <v>0</v>
      </c>
      <c r="T4458" t="s">
        <v>18227</v>
      </c>
    </row>
    <row r="4459" spans="1:20" customFormat="1" ht="15" x14ac:dyDescent="0.25">
      <c r="A4459" t="s">
        <v>35</v>
      </c>
      <c r="B4459" t="s">
        <v>61</v>
      </c>
      <c r="C4459" t="str">
        <f>"A0185041"</f>
        <v>A0185041</v>
      </c>
      <c r="D4459" t="s">
        <v>18228</v>
      </c>
      <c r="E4459" t="s">
        <v>18229</v>
      </c>
      <c r="F4459" t="s">
        <v>18230</v>
      </c>
      <c r="G4459" t="s">
        <v>2450</v>
      </c>
      <c r="H4459" t="s">
        <v>18231</v>
      </c>
      <c r="I4459" t="s">
        <v>30</v>
      </c>
      <c r="J4459" t="s">
        <v>41</v>
      </c>
      <c r="K4459" t="s">
        <v>59</v>
      </c>
      <c r="Q4459">
        <v>0</v>
      </c>
      <c r="R4459">
        <v>48</v>
      </c>
      <c r="S4459">
        <v>48</v>
      </c>
      <c r="T4459" t="s">
        <v>18232</v>
      </c>
    </row>
    <row r="4460" spans="1:20" customFormat="1" ht="15" x14ac:dyDescent="0.25">
      <c r="A4460" t="s">
        <v>35</v>
      </c>
      <c r="B4460" t="s">
        <v>61</v>
      </c>
      <c r="C4460" t="str">
        <f>"A0185040"</f>
        <v>A0185040</v>
      </c>
      <c r="D4460" t="s">
        <v>18233</v>
      </c>
      <c r="E4460" t="s">
        <v>18234</v>
      </c>
      <c r="F4460" t="s">
        <v>17801</v>
      </c>
      <c r="G4460" t="s">
        <v>2450</v>
      </c>
      <c r="H4460" t="s">
        <v>18235</v>
      </c>
      <c r="I4460" t="s">
        <v>30</v>
      </c>
      <c r="J4460" t="s">
        <v>41</v>
      </c>
      <c r="K4460" t="s">
        <v>59</v>
      </c>
      <c r="Q4460">
        <v>0</v>
      </c>
      <c r="R4460">
        <v>346</v>
      </c>
      <c r="S4460">
        <v>346</v>
      </c>
      <c r="T4460" t="s">
        <v>18236</v>
      </c>
    </row>
    <row r="4461" spans="1:20" customFormat="1" ht="15" x14ac:dyDescent="0.25">
      <c r="A4461" t="s">
        <v>35</v>
      </c>
      <c r="B4461" t="s">
        <v>61</v>
      </c>
      <c r="C4461" t="str">
        <f>"A0185039"</f>
        <v>A0185039</v>
      </c>
      <c r="D4461" t="s">
        <v>18237</v>
      </c>
      <c r="E4461" t="s">
        <v>18238</v>
      </c>
      <c r="F4461" t="s">
        <v>4082</v>
      </c>
      <c r="G4461" t="s">
        <v>123</v>
      </c>
      <c r="H4461" t="s">
        <v>18239</v>
      </c>
      <c r="I4461" t="s">
        <v>30</v>
      </c>
      <c r="J4461" t="s">
        <v>41</v>
      </c>
      <c r="K4461" t="s">
        <v>59</v>
      </c>
      <c r="Q4461">
        <v>0</v>
      </c>
      <c r="R4461">
        <v>0</v>
      </c>
      <c r="S4461">
        <v>0</v>
      </c>
    </row>
    <row r="4462" spans="1:20" customFormat="1" ht="15" x14ac:dyDescent="0.25">
      <c r="A4462" t="s">
        <v>35</v>
      </c>
      <c r="B4462" t="s">
        <v>61</v>
      </c>
      <c r="C4462" t="str">
        <f>"A0185038"</f>
        <v>A0185038</v>
      </c>
      <c r="D4462" t="s">
        <v>18240</v>
      </c>
      <c r="E4462" t="s">
        <v>18241</v>
      </c>
      <c r="F4462" t="s">
        <v>18148</v>
      </c>
      <c r="G4462" t="s">
        <v>123</v>
      </c>
      <c r="H4462" t="s">
        <v>18242</v>
      </c>
      <c r="I4462" t="s">
        <v>30</v>
      </c>
      <c r="J4462" t="s">
        <v>41</v>
      </c>
      <c r="K4462" t="s">
        <v>59</v>
      </c>
      <c r="Q4462">
        <v>0</v>
      </c>
      <c r="R4462">
        <v>0</v>
      </c>
      <c r="S4462">
        <v>0</v>
      </c>
    </row>
    <row r="4463" spans="1:20" customFormat="1" ht="15" x14ac:dyDescent="0.25">
      <c r="A4463" t="s">
        <v>35</v>
      </c>
      <c r="B4463" t="s">
        <v>61</v>
      </c>
      <c r="C4463" t="str">
        <f>"A0185037"</f>
        <v>A0185037</v>
      </c>
      <c r="D4463" t="s">
        <v>18243</v>
      </c>
      <c r="E4463" t="s">
        <v>18244</v>
      </c>
      <c r="F4463" t="s">
        <v>6152</v>
      </c>
      <c r="G4463" t="s">
        <v>123</v>
      </c>
      <c r="H4463" t="s">
        <v>18245</v>
      </c>
      <c r="I4463" t="s">
        <v>30</v>
      </c>
      <c r="J4463" t="s">
        <v>41</v>
      </c>
      <c r="K4463" t="s">
        <v>59</v>
      </c>
      <c r="Q4463">
        <v>0</v>
      </c>
      <c r="R4463">
        <v>0</v>
      </c>
      <c r="S4463">
        <v>0</v>
      </c>
      <c r="T4463" t="s">
        <v>18246</v>
      </c>
    </row>
    <row r="4464" spans="1:20" customFormat="1" ht="15" x14ac:dyDescent="0.25">
      <c r="A4464" t="s">
        <v>35</v>
      </c>
      <c r="B4464" t="s">
        <v>17762</v>
      </c>
      <c r="C4464" t="str">
        <f>"A0185036"</f>
        <v>A0185036</v>
      </c>
      <c r="D4464" t="s">
        <v>18247</v>
      </c>
      <c r="E4464" t="s">
        <v>18248</v>
      </c>
      <c r="F4464" t="s">
        <v>18027</v>
      </c>
      <c r="G4464" t="s">
        <v>197</v>
      </c>
      <c r="H4464">
        <v>863264564</v>
      </c>
      <c r="I4464" t="s">
        <v>30</v>
      </c>
      <c r="J4464" t="s">
        <v>41</v>
      </c>
      <c r="K4464" t="s">
        <v>59</v>
      </c>
      <c r="Q4464">
        <v>0</v>
      </c>
      <c r="R4464">
        <v>0</v>
      </c>
      <c r="S4464">
        <v>0</v>
      </c>
      <c r="T4464" t="s">
        <v>18249</v>
      </c>
    </row>
    <row r="4465" spans="1:20" customFormat="1" ht="15" x14ac:dyDescent="0.25">
      <c r="A4465" t="s">
        <v>35</v>
      </c>
      <c r="B4465" t="s">
        <v>61</v>
      </c>
      <c r="C4465" t="str">
        <f>"A0185035"</f>
        <v>A0185035</v>
      </c>
      <c r="D4465" t="s">
        <v>18250</v>
      </c>
      <c r="E4465" t="s">
        <v>18251</v>
      </c>
      <c r="F4465" t="s">
        <v>18252</v>
      </c>
      <c r="G4465" t="s">
        <v>47</v>
      </c>
      <c r="H4465">
        <v>973033456</v>
      </c>
      <c r="I4465" t="s">
        <v>30</v>
      </c>
      <c r="J4465" t="s">
        <v>41</v>
      </c>
      <c r="K4465" t="s">
        <v>59</v>
      </c>
      <c r="Q4465">
        <v>0</v>
      </c>
      <c r="R4465">
        <v>22</v>
      </c>
      <c r="S4465">
        <v>22</v>
      </c>
      <c r="T4465" t="s">
        <v>18253</v>
      </c>
    </row>
    <row r="4466" spans="1:20" customFormat="1" ht="15" x14ac:dyDescent="0.25">
      <c r="A4466" t="s">
        <v>35</v>
      </c>
      <c r="B4466" t="s">
        <v>61</v>
      </c>
      <c r="C4466" t="str">
        <f>"A0185034"</f>
        <v>A0185034</v>
      </c>
      <c r="D4466" t="s">
        <v>18254</v>
      </c>
      <c r="E4466" t="s">
        <v>18255</v>
      </c>
      <c r="F4466" t="s">
        <v>1431</v>
      </c>
      <c r="G4466" t="s">
        <v>47</v>
      </c>
      <c r="H4466">
        <v>97222</v>
      </c>
      <c r="I4466" t="s">
        <v>30</v>
      </c>
      <c r="J4466" t="s">
        <v>41</v>
      </c>
      <c r="K4466" t="s">
        <v>59</v>
      </c>
      <c r="Q4466">
        <v>0</v>
      </c>
      <c r="R4466">
        <v>55</v>
      </c>
      <c r="S4466">
        <v>55</v>
      </c>
      <c r="T4466" t="s">
        <v>18256</v>
      </c>
    </row>
    <row r="4467" spans="1:20" customFormat="1" ht="15" x14ac:dyDescent="0.25">
      <c r="A4467" t="s">
        <v>35</v>
      </c>
      <c r="B4467" t="s">
        <v>61</v>
      </c>
      <c r="C4467" t="str">
        <f>"A0185033"</f>
        <v>A0185033</v>
      </c>
      <c r="D4467" t="s">
        <v>18257</v>
      </c>
      <c r="E4467" t="s">
        <v>18258</v>
      </c>
      <c r="F4467" t="s">
        <v>3744</v>
      </c>
      <c r="G4467" t="s">
        <v>47</v>
      </c>
      <c r="H4467">
        <v>975048358</v>
      </c>
      <c r="I4467" t="s">
        <v>30</v>
      </c>
      <c r="J4467" t="s">
        <v>41</v>
      </c>
      <c r="K4467" t="s">
        <v>59</v>
      </c>
      <c r="Q4467">
        <v>0</v>
      </c>
      <c r="R4467">
        <v>0</v>
      </c>
      <c r="S4467">
        <v>0</v>
      </c>
    </row>
    <row r="4468" spans="1:20" customFormat="1" ht="15" x14ac:dyDescent="0.25">
      <c r="A4468" t="s">
        <v>35</v>
      </c>
      <c r="B4468" t="s">
        <v>61</v>
      </c>
      <c r="C4468" t="str">
        <f>"A0185032"</f>
        <v>A0185032</v>
      </c>
      <c r="D4468" t="s">
        <v>18259</v>
      </c>
      <c r="E4468" t="s">
        <v>18260</v>
      </c>
      <c r="F4468" t="s">
        <v>1431</v>
      </c>
      <c r="G4468" t="s">
        <v>47</v>
      </c>
      <c r="H4468">
        <v>972229702</v>
      </c>
      <c r="I4468" t="s">
        <v>30</v>
      </c>
      <c r="J4468" t="s">
        <v>41</v>
      </c>
      <c r="K4468" t="s">
        <v>59</v>
      </c>
      <c r="Q4468">
        <v>0</v>
      </c>
      <c r="R4468">
        <v>0</v>
      </c>
      <c r="S4468">
        <v>0</v>
      </c>
      <c r="T4468" t="s">
        <v>18261</v>
      </c>
    </row>
    <row r="4469" spans="1:20" customFormat="1" ht="15" x14ac:dyDescent="0.25">
      <c r="A4469" t="s">
        <v>35</v>
      </c>
      <c r="B4469" t="s">
        <v>61</v>
      </c>
      <c r="C4469" t="str">
        <f>"A0185031"</f>
        <v>A0185031</v>
      </c>
      <c r="D4469" t="s">
        <v>18262</v>
      </c>
      <c r="E4469" t="s">
        <v>18263</v>
      </c>
      <c r="F4469" t="s">
        <v>1431</v>
      </c>
      <c r="G4469" t="s">
        <v>47</v>
      </c>
      <c r="H4469">
        <v>972065168</v>
      </c>
      <c r="I4469" t="s">
        <v>30</v>
      </c>
      <c r="J4469" t="s">
        <v>41</v>
      </c>
      <c r="K4469" t="s">
        <v>59</v>
      </c>
      <c r="Q4469">
        <v>0</v>
      </c>
      <c r="R4469">
        <v>0</v>
      </c>
      <c r="S4469">
        <v>0</v>
      </c>
      <c r="T4469" t="s">
        <v>18264</v>
      </c>
    </row>
    <row r="4470" spans="1:20" customFormat="1" ht="15" x14ac:dyDescent="0.25">
      <c r="A4470" t="s">
        <v>35</v>
      </c>
      <c r="B4470" t="s">
        <v>61</v>
      </c>
      <c r="C4470" t="str">
        <f>"A0185030"</f>
        <v>A0185030</v>
      </c>
      <c r="D4470" t="s">
        <v>18265</v>
      </c>
      <c r="E4470" t="s">
        <v>18266</v>
      </c>
      <c r="F4470" t="s">
        <v>9731</v>
      </c>
      <c r="G4470" t="s">
        <v>76</v>
      </c>
      <c r="H4470">
        <v>986852690</v>
      </c>
      <c r="I4470" t="s">
        <v>30</v>
      </c>
      <c r="J4470" t="s">
        <v>41</v>
      </c>
      <c r="K4470" t="s">
        <v>59</v>
      </c>
      <c r="Q4470">
        <v>0</v>
      </c>
      <c r="R4470">
        <v>0</v>
      </c>
      <c r="S4470">
        <v>0</v>
      </c>
      <c r="T4470" t="s">
        <v>18267</v>
      </c>
    </row>
    <row r="4471" spans="1:20" customFormat="1" ht="15" x14ac:dyDescent="0.25">
      <c r="A4471" t="s">
        <v>35</v>
      </c>
      <c r="B4471" t="s">
        <v>11871</v>
      </c>
      <c r="C4471" t="str">
        <f>"A0185028"</f>
        <v>A0185028</v>
      </c>
      <c r="D4471" t="s">
        <v>18268</v>
      </c>
      <c r="E4471" t="s">
        <v>18269</v>
      </c>
      <c r="F4471" t="s">
        <v>9636</v>
      </c>
      <c r="G4471" t="s">
        <v>76</v>
      </c>
      <c r="H4471">
        <v>992163121</v>
      </c>
      <c r="I4471" t="s">
        <v>30</v>
      </c>
      <c r="J4471" t="s">
        <v>41</v>
      </c>
      <c r="K4471" t="s">
        <v>59</v>
      </c>
      <c r="Q4471">
        <v>0</v>
      </c>
      <c r="R4471">
        <v>0</v>
      </c>
      <c r="S4471">
        <v>0</v>
      </c>
    </row>
    <row r="4472" spans="1:20" customFormat="1" ht="15" x14ac:dyDescent="0.25">
      <c r="A4472" t="s">
        <v>35</v>
      </c>
      <c r="B4472" t="s">
        <v>12660</v>
      </c>
      <c r="C4472" t="str">
        <f>"A0185027"</f>
        <v>A0185027</v>
      </c>
      <c r="D4472" t="s">
        <v>18270</v>
      </c>
      <c r="E4472" t="s">
        <v>18271</v>
      </c>
      <c r="F4472" t="s">
        <v>12115</v>
      </c>
      <c r="G4472" t="s">
        <v>76</v>
      </c>
      <c r="H4472">
        <v>989014525</v>
      </c>
      <c r="I4472" t="s">
        <v>30</v>
      </c>
      <c r="J4472" t="s">
        <v>41</v>
      </c>
      <c r="K4472" t="s">
        <v>59</v>
      </c>
      <c r="Q4472">
        <v>0</v>
      </c>
      <c r="R4472">
        <v>29</v>
      </c>
      <c r="S4472">
        <v>29</v>
      </c>
      <c r="T4472" t="s">
        <v>18272</v>
      </c>
    </row>
    <row r="4473" spans="1:20" customFormat="1" ht="15" x14ac:dyDescent="0.25">
      <c r="A4473" t="s">
        <v>35</v>
      </c>
      <c r="B4473" t="s">
        <v>61</v>
      </c>
      <c r="C4473" t="str">
        <f>"A0185026"</f>
        <v>A0185026</v>
      </c>
      <c r="D4473" t="s">
        <v>18273</v>
      </c>
      <c r="E4473" t="s">
        <v>18274</v>
      </c>
      <c r="F4473" t="s">
        <v>5257</v>
      </c>
      <c r="G4473" t="s">
        <v>52</v>
      </c>
      <c r="H4473" t="s">
        <v>18275</v>
      </c>
      <c r="I4473" t="s">
        <v>30</v>
      </c>
      <c r="J4473" t="s">
        <v>41</v>
      </c>
      <c r="K4473" t="s">
        <v>59</v>
      </c>
      <c r="Q4473">
        <v>0</v>
      </c>
      <c r="R4473">
        <v>0</v>
      </c>
      <c r="S4473">
        <v>0</v>
      </c>
      <c r="T4473" t="s">
        <v>18276</v>
      </c>
    </row>
    <row r="4474" spans="1:20" customFormat="1" ht="15" x14ac:dyDescent="0.25">
      <c r="A4474" t="s">
        <v>35</v>
      </c>
      <c r="B4474" t="s">
        <v>15885</v>
      </c>
      <c r="C4474" t="str">
        <f>"A0185025"</f>
        <v>A0185025</v>
      </c>
      <c r="D4474" t="s">
        <v>18277</v>
      </c>
      <c r="E4474" t="s">
        <v>18278</v>
      </c>
      <c r="F4474" t="s">
        <v>8647</v>
      </c>
      <c r="G4474" t="s">
        <v>29</v>
      </c>
      <c r="H4474">
        <v>241535410</v>
      </c>
      <c r="I4474" t="s">
        <v>30</v>
      </c>
      <c r="J4474" t="s">
        <v>41</v>
      </c>
      <c r="K4474" t="s">
        <v>59</v>
      </c>
      <c r="Q4474">
        <v>0</v>
      </c>
      <c r="R4474">
        <v>0</v>
      </c>
      <c r="S4474">
        <v>0</v>
      </c>
    </row>
    <row r="4475" spans="1:20" customFormat="1" ht="15" x14ac:dyDescent="0.25">
      <c r="A4475" t="s">
        <v>35</v>
      </c>
      <c r="B4475" t="s">
        <v>61</v>
      </c>
      <c r="C4475" t="str">
        <f>"A0185024"</f>
        <v>A0185024</v>
      </c>
      <c r="D4475" t="s">
        <v>18279</v>
      </c>
      <c r="E4475" t="s">
        <v>18280</v>
      </c>
      <c r="F4475" t="s">
        <v>18281</v>
      </c>
      <c r="G4475" t="s">
        <v>2450</v>
      </c>
      <c r="H4475" t="s">
        <v>18282</v>
      </c>
      <c r="I4475" t="s">
        <v>30</v>
      </c>
      <c r="J4475" t="s">
        <v>41</v>
      </c>
      <c r="K4475" t="s">
        <v>59</v>
      </c>
      <c r="Q4475">
        <v>0</v>
      </c>
      <c r="R4475">
        <v>0</v>
      </c>
      <c r="S4475">
        <v>0</v>
      </c>
      <c r="T4475" t="s">
        <v>18283</v>
      </c>
    </row>
    <row r="4476" spans="1:20" customFormat="1" ht="15" x14ac:dyDescent="0.25">
      <c r="A4476" t="s">
        <v>35</v>
      </c>
      <c r="B4476" t="s">
        <v>61</v>
      </c>
      <c r="C4476" t="str">
        <f>"A0185023"</f>
        <v>A0185023</v>
      </c>
      <c r="D4476" t="s">
        <v>18284</v>
      </c>
      <c r="E4476" t="s">
        <v>18285</v>
      </c>
      <c r="F4476" t="s">
        <v>18109</v>
      </c>
      <c r="G4476" t="s">
        <v>2450</v>
      </c>
      <c r="H4476" t="s">
        <v>18286</v>
      </c>
      <c r="I4476" t="s">
        <v>30</v>
      </c>
      <c r="J4476" t="s">
        <v>41</v>
      </c>
      <c r="K4476" t="s">
        <v>59</v>
      </c>
      <c r="Q4476">
        <v>0</v>
      </c>
      <c r="R4476">
        <v>60</v>
      </c>
      <c r="S4476">
        <v>60</v>
      </c>
      <c r="T4476" t="s">
        <v>18287</v>
      </c>
    </row>
    <row r="4477" spans="1:20" customFormat="1" ht="15" x14ac:dyDescent="0.25">
      <c r="A4477" t="s">
        <v>35</v>
      </c>
      <c r="B4477" t="s">
        <v>61</v>
      </c>
      <c r="C4477" t="str">
        <f>"A0185022"</f>
        <v>A0185022</v>
      </c>
      <c r="D4477" t="s">
        <v>18288</v>
      </c>
      <c r="E4477" t="s">
        <v>18289</v>
      </c>
      <c r="F4477" t="s">
        <v>4082</v>
      </c>
      <c r="G4477" t="s">
        <v>123</v>
      </c>
      <c r="H4477" t="s">
        <v>18290</v>
      </c>
      <c r="I4477" t="s">
        <v>30</v>
      </c>
      <c r="J4477" t="s">
        <v>41</v>
      </c>
      <c r="K4477" t="s">
        <v>59</v>
      </c>
      <c r="Q4477">
        <v>0</v>
      </c>
      <c r="R4477">
        <v>0</v>
      </c>
      <c r="S4477">
        <v>0</v>
      </c>
    </row>
    <row r="4478" spans="1:20" customFormat="1" ht="15" x14ac:dyDescent="0.25">
      <c r="A4478" t="s">
        <v>35</v>
      </c>
      <c r="B4478" t="s">
        <v>61</v>
      </c>
      <c r="C4478" t="str">
        <f>"A0185021"</f>
        <v>A0185021</v>
      </c>
      <c r="D4478" t="s">
        <v>18291</v>
      </c>
      <c r="E4478" t="s">
        <v>18292</v>
      </c>
      <c r="F4478" t="s">
        <v>522</v>
      </c>
      <c r="G4478" t="s">
        <v>123</v>
      </c>
      <c r="H4478">
        <v>21146</v>
      </c>
      <c r="I4478" t="s">
        <v>30</v>
      </c>
      <c r="J4478" t="s">
        <v>41</v>
      </c>
      <c r="K4478" t="s">
        <v>59</v>
      </c>
      <c r="Q4478">
        <v>0</v>
      </c>
      <c r="R4478">
        <v>0</v>
      </c>
      <c r="S4478">
        <v>0</v>
      </c>
    </row>
    <row r="4479" spans="1:20" customFormat="1" ht="15" x14ac:dyDescent="0.25">
      <c r="A4479" t="s">
        <v>35</v>
      </c>
      <c r="B4479" t="s">
        <v>61</v>
      </c>
      <c r="C4479" t="str">
        <f>"A0185020"</f>
        <v>A0185020</v>
      </c>
      <c r="D4479" t="s">
        <v>18293</v>
      </c>
      <c r="E4479" t="s">
        <v>18294</v>
      </c>
      <c r="F4479" t="s">
        <v>18295</v>
      </c>
      <c r="G4479" t="s">
        <v>123</v>
      </c>
      <c r="H4479" t="s">
        <v>18296</v>
      </c>
      <c r="I4479" t="s">
        <v>30</v>
      </c>
      <c r="J4479" t="s">
        <v>41</v>
      </c>
      <c r="K4479" t="s">
        <v>59</v>
      </c>
      <c r="Q4479">
        <v>0</v>
      </c>
      <c r="R4479">
        <v>103</v>
      </c>
      <c r="S4479">
        <v>103</v>
      </c>
      <c r="T4479" t="s">
        <v>18297</v>
      </c>
    </row>
    <row r="4480" spans="1:20" customFormat="1" ht="15" x14ac:dyDescent="0.25">
      <c r="A4480" t="s">
        <v>35</v>
      </c>
      <c r="B4480" t="s">
        <v>11871</v>
      </c>
      <c r="C4480" t="str">
        <f>"A0185018"</f>
        <v>A0185018</v>
      </c>
      <c r="D4480" t="s">
        <v>18298</v>
      </c>
      <c r="E4480" t="s">
        <v>18299</v>
      </c>
      <c r="F4480" t="s">
        <v>9636</v>
      </c>
      <c r="G4480" t="s">
        <v>76</v>
      </c>
      <c r="H4480">
        <v>990169342</v>
      </c>
      <c r="I4480" t="s">
        <v>30</v>
      </c>
      <c r="J4480" t="s">
        <v>41</v>
      </c>
      <c r="K4480" t="s">
        <v>59</v>
      </c>
      <c r="Q4480">
        <v>0</v>
      </c>
      <c r="R4480">
        <v>0</v>
      </c>
      <c r="S4480">
        <v>0</v>
      </c>
      <c r="T4480" t="s">
        <v>18204</v>
      </c>
    </row>
    <row r="4481" spans="1:20" customFormat="1" ht="15" x14ac:dyDescent="0.25">
      <c r="A4481" t="s">
        <v>35</v>
      </c>
      <c r="B4481" t="s">
        <v>61</v>
      </c>
      <c r="C4481" t="str">
        <f>"A0185017"</f>
        <v>A0185017</v>
      </c>
      <c r="D4481" t="s">
        <v>18300</v>
      </c>
      <c r="E4481" t="s">
        <v>18301</v>
      </c>
      <c r="F4481" t="s">
        <v>5775</v>
      </c>
      <c r="G4481" t="s">
        <v>76</v>
      </c>
      <c r="H4481">
        <v>982014147</v>
      </c>
      <c r="I4481" t="s">
        <v>30</v>
      </c>
      <c r="J4481" t="s">
        <v>41</v>
      </c>
      <c r="K4481" t="s">
        <v>59</v>
      </c>
      <c r="Q4481">
        <v>0</v>
      </c>
      <c r="R4481">
        <v>231</v>
      </c>
      <c r="S4481">
        <v>231</v>
      </c>
      <c r="T4481" t="s">
        <v>18302</v>
      </c>
    </row>
    <row r="4482" spans="1:20" customFormat="1" ht="15" x14ac:dyDescent="0.25">
      <c r="A4482" t="s">
        <v>35</v>
      </c>
      <c r="B4482" t="s">
        <v>61</v>
      </c>
      <c r="C4482" t="str">
        <f>"A0185016"</f>
        <v>A0185016</v>
      </c>
      <c r="D4482" t="s">
        <v>18303</v>
      </c>
      <c r="E4482" t="s">
        <v>18304</v>
      </c>
      <c r="F4482" t="s">
        <v>621</v>
      </c>
      <c r="G4482" t="s">
        <v>2391</v>
      </c>
      <c r="H4482" t="s">
        <v>18305</v>
      </c>
      <c r="I4482" t="s">
        <v>30</v>
      </c>
      <c r="J4482" t="s">
        <v>41</v>
      </c>
      <c r="K4482" t="s">
        <v>59</v>
      </c>
      <c r="Q4482">
        <v>0</v>
      </c>
      <c r="R4482">
        <v>0</v>
      </c>
      <c r="S4482">
        <v>0</v>
      </c>
      <c r="T4482" t="s">
        <v>18306</v>
      </c>
    </row>
    <row r="4483" spans="1:20" customFormat="1" ht="15" x14ac:dyDescent="0.25">
      <c r="A4483" t="s">
        <v>35</v>
      </c>
      <c r="B4483" t="s">
        <v>61</v>
      </c>
      <c r="C4483" t="str">
        <f>"A0185015"</f>
        <v>A0185015</v>
      </c>
      <c r="D4483" t="s">
        <v>18307</v>
      </c>
      <c r="E4483" t="s">
        <v>18308</v>
      </c>
      <c r="F4483" t="s">
        <v>1382</v>
      </c>
      <c r="G4483" t="s">
        <v>29</v>
      </c>
      <c r="H4483">
        <v>236083702</v>
      </c>
      <c r="I4483" t="s">
        <v>30</v>
      </c>
      <c r="J4483" t="s">
        <v>41</v>
      </c>
      <c r="K4483" t="s">
        <v>59</v>
      </c>
      <c r="Q4483">
        <v>0</v>
      </c>
      <c r="R4483">
        <v>0</v>
      </c>
      <c r="S4483">
        <v>0</v>
      </c>
    </row>
    <row r="4484" spans="1:20" customFormat="1" ht="15" x14ac:dyDescent="0.25">
      <c r="A4484" t="s">
        <v>35</v>
      </c>
      <c r="B4484" t="s">
        <v>18064</v>
      </c>
      <c r="C4484" t="str">
        <f>"A0185014"</f>
        <v>A0185014</v>
      </c>
      <c r="D4484" t="s">
        <v>18309</v>
      </c>
      <c r="E4484" t="s">
        <v>18310</v>
      </c>
      <c r="F4484" t="s">
        <v>6085</v>
      </c>
      <c r="G4484" t="s">
        <v>123</v>
      </c>
      <c r="H4484">
        <v>217023420</v>
      </c>
      <c r="I4484" t="s">
        <v>30</v>
      </c>
      <c r="J4484" t="s">
        <v>41</v>
      </c>
      <c r="K4484" t="s">
        <v>59</v>
      </c>
      <c r="Q4484">
        <v>0</v>
      </c>
      <c r="R4484">
        <v>0</v>
      </c>
      <c r="S4484">
        <v>0</v>
      </c>
    </row>
    <row r="4485" spans="1:20" customFormat="1" ht="15" x14ac:dyDescent="0.25">
      <c r="A4485" t="s">
        <v>35</v>
      </c>
      <c r="B4485" t="s">
        <v>61</v>
      </c>
      <c r="C4485" t="str">
        <f>"A0185013"</f>
        <v>A0185013</v>
      </c>
      <c r="D4485" t="s">
        <v>18311</v>
      </c>
      <c r="E4485" t="s">
        <v>18312</v>
      </c>
      <c r="F4485" t="s">
        <v>11695</v>
      </c>
      <c r="G4485" t="s">
        <v>117</v>
      </c>
      <c r="H4485">
        <v>49048</v>
      </c>
      <c r="I4485" t="s">
        <v>30</v>
      </c>
      <c r="J4485" t="s">
        <v>41</v>
      </c>
      <c r="K4485" t="s">
        <v>59</v>
      </c>
      <c r="Q4485">
        <v>0</v>
      </c>
      <c r="R4485">
        <v>0</v>
      </c>
      <c r="S4485">
        <v>0</v>
      </c>
    </row>
    <row r="4486" spans="1:20" customFormat="1" ht="15" x14ac:dyDescent="0.25">
      <c r="A4486" t="s">
        <v>35</v>
      </c>
      <c r="B4486" t="s">
        <v>61</v>
      </c>
      <c r="C4486" t="str">
        <f>"A0185012"</f>
        <v>A0185012</v>
      </c>
      <c r="D4486" t="s">
        <v>18313</v>
      </c>
      <c r="E4486" t="s">
        <v>18314</v>
      </c>
      <c r="F4486" t="s">
        <v>6152</v>
      </c>
      <c r="G4486" t="s">
        <v>123</v>
      </c>
      <c r="H4486" t="s">
        <v>18315</v>
      </c>
      <c r="I4486" t="s">
        <v>30</v>
      </c>
      <c r="J4486" t="s">
        <v>41</v>
      </c>
      <c r="K4486" t="s">
        <v>59</v>
      </c>
      <c r="Q4486">
        <v>0</v>
      </c>
      <c r="R4486">
        <v>0</v>
      </c>
      <c r="S4486">
        <v>0</v>
      </c>
      <c r="T4486" t="s">
        <v>18316</v>
      </c>
    </row>
    <row r="4487" spans="1:20" customFormat="1" ht="15" x14ac:dyDescent="0.25">
      <c r="A4487" t="s">
        <v>35</v>
      </c>
      <c r="B4487" t="s">
        <v>61</v>
      </c>
      <c r="C4487" t="str">
        <f>"A0185011"</f>
        <v>A0185011</v>
      </c>
      <c r="D4487" t="s">
        <v>18317</v>
      </c>
      <c r="E4487" t="s">
        <v>18318</v>
      </c>
      <c r="F4487" t="s">
        <v>16521</v>
      </c>
      <c r="G4487" t="s">
        <v>289</v>
      </c>
      <c r="H4487" t="s">
        <v>18319</v>
      </c>
      <c r="I4487" t="s">
        <v>30</v>
      </c>
      <c r="J4487" t="s">
        <v>41</v>
      </c>
      <c r="K4487" t="s">
        <v>59</v>
      </c>
      <c r="Q4487">
        <v>0</v>
      </c>
      <c r="R4487">
        <v>60</v>
      </c>
      <c r="S4487">
        <v>60</v>
      </c>
      <c r="T4487" t="s">
        <v>18320</v>
      </c>
    </row>
    <row r="4488" spans="1:20" customFormat="1" ht="15" x14ac:dyDescent="0.25">
      <c r="A4488" t="s">
        <v>35</v>
      </c>
      <c r="B4488" t="s">
        <v>61</v>
      </c>
      <c r="C4488" t="str">
        <f>"A0185010"</f>
        <v>A0185010</v>
      </c>
      <c r="D4488" t="s">
        <v>18321</v>
      </c>
      <c r="E4488" t="s">
        <v>18322</v>
      </c>
      <c r="F4488" t="s">
        <v>7549</v>
      </c>
      <c r="G4488" t="s">
        <v>289</v>
      </c>
      <c r="H4488" t="s">
        <v>18323</v>
      </c>
      <c r="I4488" t="s">
        <v>30</v>
      </c>
      <c r="J4488" t="s">
        <v>41</v>
      </c>
      <c r="K4488" t="s">
        <v>59</v>
      </c>
      <c r="Q4488">
        <v>0</v>
      </c>
      <c r="R4488">
        <v>0</v>
      </c>
      <c r="S4488">
        <v>0</v>
      </c>
      <c r="T4488" t="s">
        <v>18324</v>
      </c>
    </row>
    <row r="4489" spans="1:20" customFormat="1" ht="15" x14ac:dyDescent="0.25">
      <c r="A4489" t="s">
        <v>35</v>
      </c>
      <c r="B4489" t="s">
        <v>16926</v>
      </c>
      <c r="C4489" t="str">
        <f>"A0185009"</f>
        <v>A0185009</v>
      </c>
      <c r="D4489" t="s">
        <v>16926</v>
      </c>
      <c r="E4489" t="s">
        <v>18325</v>
      </c>
      <c r="F4489" t="s">
        <v>13105</v>
      </c>
      <c r="G4489" t="s">
        <v>289</v>
      </c>
      <c r="H4489">
        <v>604776399</v>
      </c>
      <c r="I4489" t="s">
        <v>30</v>
      </c>
      <c r="J4489" t="s">
        <v>41</v>
      </c>
      <c r="K4489" t="s">
        <v>59</v>
      </c>
      <c r="Q4489">
        <v>0</v>
      </c>
      <c r="R4489">
        <v>0</v>
      </c>
      <c r="S4489">
        <v>0</v>
      </c>
      <c r="T4489" t="s">
        <v>18326</v>
      </c>
    </row>
    <row r="4490" spans="1:20" customFormat="1" ht="15" x14ac:dyDescent="0.25">
      <c r="A4490" t="s">
        <v>35</v>
      </c>
      <c r="B4490" t="s">
        <v>61</v>
      </c>
      <c r="C4490" t="str">
        <f>"A0185008"</f>
        <v>A0185008</v>
      </c>
      <c r="D4490" t="s">
        <v>18327</v>
      </c>
      <c r="E4490" t="s">
        <v>18328</v>
      </c>
      <c r="F4490" t="s">
        <v>18329</v>
      </c>
      <c r="G4490" t="s">
        <v>123</v>
      </c>
      <c r="H4490" t="s">
        <v>18330</v>
      </c>
      <c r="I4490" t="s">
        <v>30</v>
      </c>
      <c r="J4490" t="s">
        <v>41</v>
      </c>
      <c r="K4490" t="s">
        <v>59</v>
      </c>
      <c r="Q4490">
        <v>0</v>
      </c>
      <c r="R4490">
        <v>0</v>
      </c>
      <c r="S4490">
        <v>0</v>
      </c>
      <c r="T4490" t="s">
        <v>18331</v>
      </c>
    </row>
    <row r="4491" spans="1:20" customFormat="1" ht="15" x14ac:dyDescent="0.25">
      <c r="A4491" t="s">
        <v>35</v>
      </c>
      <c r="B4491" t="s">
        <v>11871</v>
      </c>
      <c r="C4491" t="str">
        <f>"A0185007"</f>
        <v>A0185007</v>
      </c>
      <c r="D4491" t="s">
        <v>18332</v>
      </c>
      <c r="E4491" t="s">
        <v>18333</v>
      </c>
      <c r="F4491" t="s">
        <v>18334</v>
      </c>
      <c r="G4491" t="s">
        <v>197</v>
      </c>
      <c r="H4491">
        <v>853901444</v>
      </c>
      <c r="I4491" t="s">
        <v>30</v>
      </c>
      <c r="J4491" t="s">
        <v>41</v>
      </c>
      <c r="K4491" t="s">
        <v>59</v>
      </c>
      <c r="Q4491">
        <v>0</v>
      </c>
      <c r="R4491">
        <v>0</v>
      </c>
      <c r="S4491">
        <v>0</v>
      </c>
      <c r="T4491" t="s">
        <v>18335</v>
      </c>
    </row>
    <row r="4492" spans="1:20" customFormat="1" ht="15" x14ac:dyDescent="0.25">
      <c r="A4492" t="s">
        <v>35</v>
      </c>
      <c r="B4492" t="s">
        <v>11871</v>
      </c>
      <c r="C4492" t="str">
        <f>"A0185006"</f>
        <v>A0185006</v>
      </c>
      <c r="D4492" t="s">
        <v>18336</v>
      </c>
      <c r="E4492" t="s">
        <v>18337</v>
      </c>
      <c r="F4492" t="s">
        <v>18338</v>
      </c>
      <c r="G4492" t="s">
        <v>197</v>
      </c>
      <c r="H4492">
        <v>853262900</v>
      </c>
      <c r="I4492" t="s">
        <v>30</v>
      </c>
      <c r="J4492" t="s">
        <v>41</v>
      </c>
      <c r="K4492" t="s">
        <v>59</v>
      </c>
      <c r="Q4492">
        <v>0</v>
      </c>
      <c r="R4492">
        <v>46</v>
      </c>
      <c r="S4492">
        <v>46</v>
      </c>
      <c r="T4492" t="s">
        <v>18339</v>
      </c>
    </row>
    <row r="4493" spans="1:20" customFormat="1" ht="15" x14ac:dyDescent="0.25">
      <c r="A4493" t="s">
        <v>35</v>
      </c>
      <c r="B4493" t="s">
        <v>61</v>
      </c>
      <c r="C4493" t="str">
        <f>"A0185005"</f>
        <v>A0185005</v>
      </c>
      <c r="D4493" t="s">
        <v>18340</v>
      </c>
      <c r="E4493" t="s">
        <v>18341</v>
      </c>
      <c r="F4493" t="s">
        <v>1431</v>
      </c>
      <c r="G4493" t="s">
        <v>47</v>
      </c>
      <c r="H4493">
        <v>972203031</v>
      </c>
      <c r="I4493" t="s">
        <v>30</v>
      </c>
      <c r="J4493" t="s">
        <v>41</v>
      </c>
      <c r="K4493" t="s">
        <v>59</v>
      </c>
      <c r="Q4493">
        <v>0</v>
      </c>
      <c r="R4493">
        <v>173</v>
      </c>
      <c r="S4493">
        <v>173</v>
      </c>
      <c r="T4493" t="s">
        <v>18342</v>
      </c>
    </row>
    <row r="4494" spans="1:20" customFormat="1" ht="15" x14ac:dyDescent="0.25">
      <c r="A4494" t="s">
        <v>35</v>
      </c>
      <c r="B4494" t="s">
        <v>61</v>
      </c>
      <c r="C4494" t="str">
        <f>"A0185004"</f>
        <v>A0185004</v>
      </c>
      <c r="D4494" t="s">
        <v>18343</v>
      </c>
      <c r="E4494" t="s">
        <v>18344</v>
      </c>
      <c r="F4494" t="s">
        <v>2789</v>
      </c>
      <c r="G4494" t="s">
        <v>123</v>
      </c>
      <c r="H4494" t="s">
        <v>18345</v>
      </c>
      <c r="I4494" t="s">
        <v>30</v>
      </c>
      <c r="J4494" t="s">
        <v>41</v>
      </c>
      <c r="K4494" t="s">
        <v>59</v>
      </c>
      <c r="Q4494">
        <v>0</v>
      </c>
      <c r="R4494">
        <v>0</v>
      </c>
      <c r="S4494">
        <v>0</v>
      </c>
      <c r="T4494" t="s">
        <v>18346</v>
      </c>
    </row>
    <row r="4495" spans="1:20" customFormat="1" ht="15" x14ac:dyDescent="0.25">
      <c r="A4495" t="s">
        <v>35</v>
      </c>
      <c r="B4495" t="s">
        <v>61</v>
      </c>
      <c r="C4495" t="str">
        <f>"A0185003"</f>
        <v>A0185003</v>
      </c>
      <c r="D4495" t="s">
        <v>18347</v>
      </c>
      <c r="E4495" t="s">
        <v>18348</v>
      </c>
      <c r="F4495" t="s">
        <v>18349</v>
      </c>
      <c r="G4495" t="s">
        <v>123</v>
      </c>
      <c r="H4495">
        <v>21061</v>
      </c>
      <c r="I4495" t="s">
        <v>30</v>
      </c>
      <c r="J4495" t="s">
        <v>41</v>
      </c>
      <c r="K4495" t="s">
        <v>59</v>
      </c>
      <c r="Q4495">
        <v>0</v>
      </c>
      <c r="R4495">
        <v>0</v>
      </c>
      <c r="S4495">
        <v>0</v>
      </c>
      <c r="T4495" t="s">
        <v>18350</v>
      </c>
    </row>
    <row r="4496" spans="1:20" customFormat="1" ht="15" x14ac:dyDescent="0.25">
      <c r="A4496" t="s">
        <v>35</v>
      </c>
      <c r="B4496" t="s">
        <v>61</v>
      </c>
      <c r="C4496" t="str">
        <f>"A0185002"</f>
        <v>A0185002</v>
      </c>
      <c r="D4496" t="s">
        <v>18351</v>
      </c>
      <c r="E4496" t="s">
        <v>18352</v>
      </c>
      <c r="F4496" t="s">
        <v>4082</v>
      </c>
      <c r="G4496" t="s">
        <v>123</v>
      </c>
      <c r="H4496" t="s">
        <v>18353</v>
      </c>
      <c r="I4496" t="s">
        <v>30</v>
      </c>
      <c r="J4496" t="s">
        <v>41</v>
      </c>
      <c r="K4496" t="s">
        <v>59</v>
      </c>
      <c r="Q4496">
        <v>0</v>
      </c>
      <c r="R4496">
        <v>0</v>
      </c>
      <c r="S4496">
        <v>0</v>
      </c>
      <c r="T4496" t="s">
        <v>18354</v>
      </c>
    </row>
    <row r="4497" spans="1:20" customFormat="1" ht="15" x14ac:dyDescent="0.25">
      <c r="A4497" t="s">
        <v>35</v>
      </c>
      <c r="B4497" t="s">
        <v>61</v>
      </c>
      <c r="C4497" t="str">
        <f>"A0185001"</f>
        <v>A0185001</v>
      </c>
      <c r="D4497" t="s">
        <v>18355</v>
      </c>
      <c r="E4497" t="s">
        <v>18356</v>
      </c>
      <c r="F4497" t="s">
        <v>6236</v>
      </c>
      <c r="G4497" t="s">
        <v>289</v>
      </c>
      <c r="H4497" t="s">
        <v>18357</v>
      </c>
      <c r="I4497" t="s">
        <v>30</v>
      </c>
      <c r="J4497" t="s">
        <v>41</v>
      </c>
      <c r="K4497" t="s">
        <v>59</v>
      </c>
      <c r="Q4497">
        <v>0</v>
      </c>
      <c r="R4497">
        <v>0</v>
      </c>
      <c r="S4497">
        <v>0</v>
      </c>
    </row>
    <row r="4498" spans="1:20" customFormat="1" ht="15" x14ac:dyDescent="0.25">
      <c r="A4498" t="s">
        <v>35</v>
      </c>
      <c r="B4498" t="s">
        <v>61</v>
      </c>
      <c r="C4498" t="str">
        <f>"A0185000"</f>
        <v>A0185000</v>
      </c>
      <c r="D4498" t="s">
        <v>18358</v>
      </c>
      <c r="E4498" t="s">
        <v>18359</v>
      </c>
      <c r="F4498" t="s">
        <v>1669</v>
      </c>
      <c r="G4498" t="s">
        <v>289</v>
      </c>
      <c r="H4498" t="s">
        <v>18360</v>
      </c>
      <c r="I4498" t="s">
        <v>30</v>
      </c>
      <c r="J4498" t="s">
        <v>41</v>
      </c>
      <c r="K4498" t="s">
        <v>59</v>
      </c>
      <c r="Q4498">
        <v>0</v>
      </c>
      <c r="R4498">
        <v>322</v>
      </c>
      <c r="S4498">
        <v>322</v>
      </c>
      <c r="T4498" t="s">
        <v>18361</v>
      </c>
    </row>
    <row r="4499" spans="1:20" customFormat="1" ht="15" x14ac:dyDescent="0.25">
      <c r="A4499" t="s">
        <v>35</v>
      </c>
      <c r="B4499" t="s">
        <v>61</v>
      </c>
      <c r="C4499" t="str">
        <f>"A0184999"</f>
        <v>A0184999</v>
      </c>
      <c r="D4499" t="s">
        <v>18362</v>
      </c>
      <c r="E4499" t="s">
        <v>18363</v>
      </c>
      <c r="F4499" t="s">
        <v>18364</v>
      </c>
      <c r="G4499" t="s">
        <v>47</v>
      </c>
      <c r="H4499">
        <v>970159502</v>
      </c>
      <c r="I4499" t="s">
        <v>30</v>
      </c>
      <c r="J4499" t="s">
        <v>41</v>
      </c>
      <c r="K4499" t="s">
        <v>59</v>
      </c>
      <c r="Q4499">
        <v>0</v>
      </c>
      <c r="R4499">
        <v>0</v>
      </c>
      <c r="S4499">
        <v>0</v>
      </c>
      <c r="T4499" t="s">
        <v>18365</v>
      </c>
    </row>
    <row r="4500" spans="1:20" customFormat="1" ht="15" x14ac:dyDescent="0.25">
      <c r="A4500" t="s">
        <v>35</v>
      </c>
      <c r="B4500" t="s">
        <v>11871</v>
      </c>
      <c r="C4500" t="str">
        <f>"A0184998"</f>
        <v>A0184998</v>
      </c>
      <c r="D4500" t="s">
        <v>8825</v>
      </c>
      <c r="E4500" t="s">
        <v>18366</v>
      </c>
      <c r="F4500" t="s">
        <v>18367</v>
      </c>
      <c r="G4500" t="s">
        <v>117</v>
      </c>
      <c r="H4500" t="s">
        <v>18368</v>
      </c>
      <c r="I4500" t="s">
        <v>30</v>
      </c>
      <c r="J4500" t="s">
        <v>41</v>
      </c>
      <c r="K4500" t="s">
        <v>59</v>
      </c>
      <c r="Q4500">
        <v>0</v>
      </c>
      <c r="R4500">
        <v>0</v>
      </c>
      <c r="S4500">
        <v>0</v>
      </c>
    </row>
    <row r="4501" spans="1:20" customFormat="1" ht="15" x14ac:dyDescent="0.25">
      <c r="A4501" t="s">
        <v>35</v>
      </c>
      <c r="B4501" t="s">
        <v>9604</v>
      </c>
      <c r="C4501" t="str">
        <f>"A0184997"</f>
        <v>A0184997</v>
      </c>
      <c r="D4501" t="s">
        <v>18369</v>
      </c>
      <c r="E4501" t="s">
        <v>18370</v>
      </c>
      <c r="F4501" t="s">
        <v>9621</v>
      </c>
      <c r="G4501" t="s">
        <v>117</v>
      </c>
      <c r="H4501">
        <v>48118</v>
      </c>
      <c r="I4501" t="s">
        <v>30</v>
      </c>
      <c r="J4501" t="s">
        <v>41</v>
      </c>
      <c r="K4501" t="s">
        <v>59</v>
      </c>
      <c r="Q4501">
        <v>0</v>
      </c>
      <c r="R4501">
        <v>0</v>
      </c>
      <c r="S4501">
        <v>98</v>
      </c>
      <c r="T4501" t="s">
        <v>18371</v>
      </c>
    </row>
    <row r="4502" spans="1:20" customFormat="1" ht="15" x14ac:dyDescent="0.25">
      <c r="A4502" t="s">
        <v>35</v>
      </c>
      <c r="B4502" t="s">
        <v>61</v>
      </c>
      <c r="C4502" t="str">
        <f>"A0184996"</f>
        <v>A0184996</v>
      </c>
      <c r="D4502" t="s">
        <v>18372</v>
      </c>
      <c r="E4502" t="s">
        <v>18373</v>
      </c>
      <c r="F4502" t="s">
        <v>17801</v>
      </c>
      <c r="G4502" t="s">
        <v>2450</v>
      </c>
      <c r="H4502" t="s">
        <v>18374</v>
      </c>
      <c r="I4502" t="s">
        <v>30</v>
      </c>
      <c r="J4502" t="s">
        <v>41</v>
      </c>
      <c r="K4502" t="s">
        <v>59</v>
      </c>
      <c r="Q4502">
        <v>0</v>
      </c>
      <c r="R4502">
        <v>60</v>
      </c>
      <c r="S4502">
        <v>60</v>
      </c>
      <c r="T4502" t="s">
        <v>18375</v>
      </c>
    </row>
    <row r="4503" spans="1:20" customFormat="1" ht="15" x14ac:dyDescent="0.25">
      <c r="A4503" t="s">
        <v>35</v>
      </c>
      <c r="B4503" t="s">
        <v>61</v>
      </c>
      <c r="C4503" t="str">
        <f>"A0184995"</f>
        <v>A0184995</v>
      </c>
      <c r="D4503" t="s">
        <v>18376</v>
      </c>
      <c r="E4503" t="s">
        <v>18377</v>
      </c>
      <c r="F4503" t="s">
        <v>18378</v>
      </c>
      <c r="G4503" t="s">
        <v>2450</v>
      </c>
      <c r="H4503" t="s">
        <v>18379</v>
      </c>
      <c r="I4503" t="s">
        <v>30</v>
      </c>
      <c r="J4503" t="s">
        <v>41</v>
      </c>
      <c r="K4503" t="s">
        <v>59</v>
      </c>
      <c r="Q4503">
        <v>0</v>
      </c>
      <c r="R4503">
        <v>90</v>
      </c>
      <c r="S4503">
        <v>90</v>
      </c>
      <c r="T4503" t="s">
        <v>18380</v>
      </c>
    </row>
    <row r="4504" spans="1:20" customFormat="1" ht="15" x14ac:dyDescent="0.25">
      <c r="A4504" t="s">
        <v>35</v>
      </c>
      <c r="B4504" t="s">
        <v>61</v>
      </c>
      <c r="C4504" t="str">
        <f>"A0184994"</f>
        <v>A0184994</v>
      </c>
      <c r="D4504" t="s">
        <v>18381</v>
      </c>
      <c r="E4504" t="s">
        <v>18382</v>
      </c>
      <c r="F4504" t="s">
        <v>18383</v>
      </c>
      <c r="G4504" t="s">
        <v>2450</v>
      </c>
      <c r="H4504">
        <v>4345</v>
      </c>
      <c r="I4504" t="s">
        <v>30</v>
      </c>
      <c r="J4504" t="s">
        <v>41</v>
      </c>
      <c r="K4504" t="s">
        <v>59</v>
      </c>
      <c r="Q4504">
        <v>0</v>
      </c>
      <c r="R4504">
        <v>30</v>
      </c>
      <c r="S4504">
        <v>30</v>
      </c>
      <c r="T4504" t="s">
        <v>18384</v>
      </c>
    </row>
    <row r="4505" spans="1:20" customFormat="1" ht="15" x14ac:dyDescent="0.25">
      <c r="A4505" t="s">
        <v>35</v>
      </c>
      <c r="B4505" t="s">
        <v>61</v>
      </c>
      <c r="C4505" t="str">
        <f>"A0184992"</f>
        <v>A0184992</v>
      </c>
      <c r="D4505" t="s">
        <v>18385</v>
      </c>
      <c r="E4505" t="s">
        <v>18386</v>
      </c>
      <c r="F4505" t="s">
        <v>18387</v>
      </c>
      <c r="G4505" t="s">
        <v>123</v>
      </c>
      <c r="H4505" t="s">
        <v>18388</v>
      </c>
      <c r="I4505" t="s">
        <v>30</v>
      </c>
      <c r="J4505" t="s">
        <v>41</v>
      </c>
      <c r="K4505" t="s">
        <v>59</v>
      </c>
      <c r="Q4505">
        <v>0</v>
      </c>
      <c r="R4505">
        <v>88</v>
      </c>
      <c r="S4505">
        <v>88</v>
      </c>
      <c r="T4505" t="s">
        <v>18389</v>
      </c>
    </row>
    <row r="4506" spans="1:20" customFormat="1" ht="15" x14ac:dyDescent="0.25">
      <c r="A4506" t="s">
        <v>35</v>
      </c>
      <c r="B4506" t="s">
        <v>61</v>
      </c>
      <c r="C4506" t="str">
        <f>"A0184991"</f>
        <v>A0184991</v>
      </c>
      <c r="D4506" t="s">
        <v>18390</v>
      </c>
      <c r="E4506" t="s">
        <v>18391</v>
      </c>
      <c r="F4506" t="s">
        <v>18329</v>
      </c>
      <c r="G4506" t="s">
        <v>123</v>
      </c>
      <c r="H4506" t="s">
        <v>18392</v>
      </c>
      <c r="I4506" t="s">
        <v>30</v>
      </c>
      <c r="J4506" t="s">
        <v>41</v>
      </c>
      <c r="K4506" t="s">
        <v>59</v>
      </c>
      <c r="Q4506">
        <v>0</v>
      </c>
      <c r="R4506">
        <v>0</v>
      </c>
      <c r="S4506">
        <v>0</v>
      </c>
    </row>
    <row r="4507" spans="1:20" customFormat="1" ht="15" x14ac:dyDescent="0.25">
      <c r="A4507" t="s">
        <v>35</v>
      </c>
      <c r="B4507" t="s">
        <v>61</v>
      </c>
      <c r="C4507" t="str">
        <f>"A0184989"</f>
        <v>A0184989</v>
      </c>
      <c r="D4507" t="s">
        <v>18393</v>
      </c>
      <c r="E4507" t="s">
        <v>18394</v>
      </c>
      <c r="F4507" t="s">
        <v>18395</v>
      </c>
      <c r="G4507" t="s">
        <v>2450</v>
      </c>
      <c r="H4507" t="s">
        <v>18396</v>
      </c>
      <c r="I4507" t="s">
        <v>30</v>
      </c>
      <c r="J4507" t="s">
        <v>41</v>
      </c>
      <c r="K4507" t="s">
        <v>59</v>
      </c>
      <c r="Q4507">
        <v>0</v>
      </c>
      <c r="R4507">
        <v>20</v>
      </c>
      <c r="S4507">
        <v>20</v>
      </c>
      <c r="T4507" t="s">
        <v>18397</v>
      </c>
    </row>
    <row r="4508" spans="1:20" customFormat="1" ht="15" x14ac:dyDescent="0.25">
      <c r="A4508" t="s">
        <v>35</v>
      </c>
      <c r="B4508" t="s">
        <v>61</v>
      </c>
      <c r="C4508" t="str">
        <f>"A0184988"</f>
        <v>A0184988</v>
      </c>
      <c r="D4508" t="s">
        <v>18398</v>
      </c>
      <c r="E4508" t="s">
        <v>18399</v>
      </c>
      <c r="F4508" t="s">
        <v>18400</v>
      </c>
      <c r="G4508" t="s">
        <v>123</v>
      </c>
      <c r="H4508" t="s">
        <v>18401</v>
      </c>
      <c r="I4508" t="s">
        <v>30</v>
      </c>
      <c r="J4508" t="s">
        <v>41</v>
      </c>
      <c r="K4508" t="s">
        <v>59</v>
      </c>
      <c r="Q4508">
        <v>0</v>
      </c>
      <c r="R4508">
        <v>0</v>
      </c>
      <c r="S4508">
        <v>0</v>
      </c>
      <c r="T4508" t="s">
        <v>18402</v>
      </c>
    </row>
    <row r="4509" spans="1:20" customFormat="1" ht="15" x14ac:dyDescent="0.25">
      <c r="A4509" t="s">
        <v>35</v>
      </c>
      <c r="B4509" t="s">
        <v>11871</v>
      </c>
      <c r="C4509" t="str">
        <f>"A0184987"</f>
        <v>A0184987</v>
      </c>
      <c r="D4509" t="s">
        <v>18403</v>
      </c>
      <c r="E4509" t="s">
        <v>18404</v>
      </c>
      <c r="F4509" t="s">
        <v>18405</v>
      </c>
      <c r="G4509" t="s">
        <v>123</v>
      </c>
      <c r="H4509" t="s">
        <v>18406</v>
      </c>
      <c r="I4509" t="s">
        <v>30</v>
      </c>
      <c r="J4509" t="s">
        <v>41</v>
      </c>
      <c r="K4509" t="s">
        <v>59</v>
      </c>
      <c r="Q4509">
        <v>0</v>
      </c>
      <c r="R4509">
        <v>0</v>
      </c>
      <c r="S4509">
        <v>0</v>
      </c>
      <c r="T4509" t="s">
        <v>18407</v>
      </c>
    </row>
    <row r="4510" spans="1:20" customFormat="1" ht="15" x14ac:dyDescent="0.25">
      <c r="A4510" t="s">
        <v>35</v>
      </c>
      <c r="B4510" t="s">
        <v>61</v>
      </c>
      <c r="C4510" t="str">
        <f>"A0184986"</f>
        <v>A0184986</v>
      </c>
      <c r="D4510" t="s">
        <v>18408</v>
      </c>
      <c r="E4510" t="s">
        <v>18409</v>
      </c>
      <c r="F4510" t="s">
        <v>4082</v>
      </c>
      <c r="G4510" t="s">
        <v>123</v>
      </c>
      <c r="H4510" t="s">
        <v>18410</v>
      </c>
      <c r="I4510" t="s">
        <v>30</v>
      </c>
      <c r="J4510" t="s">
        <v>41</v>
      </c>
      <c r="K4510" t="s">
        <v>59</v>
      </c>
      <c r="Q4510">
        <v>0</v>
      </c>
      <c r="R4510">
        <v>0</v>
      </c>
      <c r="S4510">
        <v>0</v>
      </c>
      <c r="T4510" t="s">
        <v>18411</v>
      </c>
    </row>
    <row r="4511" spans="1:20" customFormat="1" ht="15" x14ac:dyDescent="0.25">
      <c r="A4511" t="s">
        <v>35</v>
      </c>
      <c r="B4511" t="s">
        <v>61</v>
      </c>
      <c r="C4511" t="str">
        <f>"A0184985"</f>
        <v>A0184985</v>
      </c>
      <c r="D4511" t="s">
        <v>18412</v>
      </c>
      <c r="E4511" t="s">
        <v>18413</v>
      </c>
      <c r="F4511" t="s">
        <v>18414</v>
      </c>
      <c r="G4511" t="s">
        <v>880</v>
      </c>
      <c r="H4511" t="s">
        <v>18415</v>
      </c>
      <c r="I4511" t="s">
        <v>30</v>
      </c>
      <c r="J4511" t="s">
        <v>41</v>
      </c>
      <c r="K4511" t="s">
        <v>59</v>
      </c>
      <c r="Q4511">
        <v>0</v>
      </c>
      <c r="R4511">
        <v>0</v>
      </c>
      <c r="S4511">
        <v>0</v>
      </c>
      <c r="T4511" t="s">
        <v>18416</v>
      </c>
    </row>
    <row r="4512" spans="1:20" customFormat="1" ht="15" x14ac:dyDescent="0.25">
      <c r="A4512" t="s">
        <v>35</v>
      </c>
      <c r="B4512" t="s">
        <v>61</v>
      </c>
      <c r="C4512" t="str">
        <f>"A0184984"</f>
        <v>A0184984</v>
      </c>
      <c r="D4512" t="s">
        <v>18417</v>
      </c>
      <c r="E4512" t="s">
        <v>18418</v>
      </c>
      <c r="F4512" t="s">
        <v>3657</v>
      </c>
      <c r="G4512" t="s">
        <v>880</v>
      </c>
      <c r="H4512" t="s">
        <v>18419</v>
      </c>
      <c r="I4512" t="s">
        <v>30</v>
      </c>
      <c r="J4512" t="s">
        <v>41</v>
      </c>
      <c r="K4512" t="s">
        <v>59</v>
      </c>
      <c r="Q4512">
        <v>0</v>
      </c>
      <c r="R4512">
        <v>588</v>
      </c>
      <c r="S4512">
        <v>588</v>
      </c>
      <c r="T4512" t="s">
        <v>18420</v>
      </c>
    </row>
    <row r="4513" spans="1:20" customFormat="1" ht="15" x14ac:dyDescent="0.25">
      <c r="A4513" t="s">
        <v>35</v>
      </c>
      <c r="B4513" t="s">
        <v>61</v>
      </c>
      <c r="C4513" t="str">
        <f>"A0184983"</f>
        <v>A0184983</v>
      </c>
      <c r="D4513" t="s">
        <v>18421</v>
      </c>
      <c r="E4513" t="s">
        <v>18422</v>
      </c>
      <c r="F4513" t="s">
        <v>1747</v>
      </c>
      <c r="G4513" t="s">
        <v>880</v>
      </c>
      <c r="H4513" t="s">
        <v>18423</v>
      </c>
      <c r="I4513" t="s">
        <v>30</v>
      </c>
      <c r="J4513" t="s">
        <v>41</v>
      </c>
      <c r="K4513" t="s">
        <v>59</v>
      </c>
      <c r="Q4513">
        <v>0</v>
      </c>
      <c r="R4513">
        <v>0</v>
      </c>
      <c r="S4513">
        <v>0</v>
      </c>
    </row>
    <row r="4514" spans="1:20" customFormat="1" ht="15" x14ac:dyDescent="0.25">
      <c r="A4514" t="s">
        <v>35</v>
      </c>
      <c r="B4514" t="s">
        <v>11871</v>
      </c>
      <c r="C4514" t="str">
        <f>"A0184982"</f>
        <v>A0184982</v>
      </c>
      <c r="D4514" t="s">
        <v>18424</v>
      </c>
      <c r="E4514" t="s">
        <v>18425</v>
      </c>
      <c r="F4514" t="s">
        <v>2670</v>
      </c>
      <c r="G4514" t="s">
        <v>880</v>
      </c>
      <c r="H4514" t="s">
        <v>18426</v>
      </c>
      <c r="I4514" t="s">
        <v>30</v>
      </c>
      <c r="J4514" t="s">
        <v>41</v>
      </c>
      <c r="K4514" t="s">
        <v>59</v>
      </c>
      <c r="Q4514">
        <v>0</v>
      </c>
      <c r="R4514">
        <v>0</v>
      </c>
      <c r="S4514">
        <v>0</v>
      </c>
    </row>
    <row r="4515" spans="1:20" customFormat="1" ht="15" x14ac:dyDescent="0.25">
      <c r="A4515" t="s">
        <v>35</v>
      </c>
      <c r="B4515" t="s">
        <v>61</v>
      </c>
      <c r="C4515" t="str">
        <f>"A0184981"</f>
        <v>A0184981</v>
      </c>
      <c r="D4515" t="s">
        <v>18427</v>
      </c>
      <c r="E4515" t="s">
        <v>18428</v>
      </c>
      <c r="F4515" t="s">
        <v>18429</v>
      </c>
      <c r="G4515" t="s">
        <v>123</v>
      </c>
      <c r="H4515" t="s">
        <v>18430</v>
      </c>
      <c r="I4515" t="s">
        <v>30</v>
      </c>
      <c r="J4515" t="s">
        <v>41</v>
      </c>
      <c r="K4515" t="s">
        <v>59</v>
      </c>
      <c r="Q4515">
        <v>0</v>
      </c>
      <c r="R4515">
        <v>0</v>
      </c>
      <c r="S4515">
        <v>0</v>
      </c>
      <c r="T4515" t="s">
        <v>18431</v>
      </c>
    </row>
    <row r="4516" spans="1:20" customFormat="1" ht="15" x14ac:dyDescent="0.25">
      <c r="A4516" t="s">
        <v>35</v>
      </c>
      <c r="B4516" t="s">
        <v>61</v>
      </c>
      <c r="C4516" t="str">
        <f>"A0184980"</f>
        <v>A0184980</v>
      </c>
      <c r="D4516" t="s">
        <v>18432</v>
      </c>
      <c r="E4516" t="s">
        <v>18433</v>
      </c>
      <c r="F4516" t="s">
        <v>3671</v>
      </c>
      <c r="G4516" t="s">
        <v>81</v>
      </c>
      <c r="H4516" t="s">
        <v>18434</v>
      </c>
      <c r="I4516" t="s">
        <v>30</v>
      </c>
      <c r="J4516" t="s">
        <v>41</v>
      </c>
      <c r="K4516" t="s">
        <v>59</v>
      </c>
      <c r="Q4516">
        <v>0</v>
      </c>
      <c r="R4516">
        <v>35</v>
      </c>
      <c r="S4516">
        <v>35</v>
      </c>
      <c r="T4516" t="s">
        <v>18435</v>
      </c>
    </row>
    <row r="4517" spans="1:20" customFormat="1" ht="15" x14ac:dyDescent="0.25">
      <c r="A4517" t="s">
        <v>35</v>
      </c>
      <c r="B4517" t="s">
        <v>61</v>
      </c>
      <c r="C4517" t="str">
        <f>"A0184979"</f>
        <v>A0184979</v>
      </c>
      <c r="D4517" t="s">
        <v>18436</v>
      </c>
      <c r="E4517" t="s">
        <v>18437</v>
      </c>
      <c r="F4517" t="s">
        <v>18438</v>
      </c>
      <c r="G4517" t="s">
        <v>40</v>
      </c>
      <c r="H4517" t="s">
        <v>18439</v>
      </c>
      <c r="I4517" t="s">
        <v>30</v>
      </c>
      <c r="J4517" t="s">
        <v>41</v>
      </c>
      <c r="K4517" t="s">
        <v>59</v>
      </c>
      <c r="Q4517">
        <v>0</v>
      </c>
      <c r="R4517">
        <v>0</v>
      </c>
      <c r="S4517">
        <v>0</v>
      </c>
      <c r="T4517" t="s">
        <v>18440</v>
      </c>
    </row>
    <row r="4518" spans="1:20" customFormat="1" ht="15" x14ac:dyDescent="0.25">
      <c r="A4518" t="s">
        <v>35</v>
      </c>
      <c r="B4518" t="s">
        <v>61</v>
      </c>
      <c r="C4518" t="str">
        <f>"A0184978"</f>
        <v>A0184978</v>
      </c>
      <c r="D4518" t="s">
        <v>18441</v>
      </c>
      <c r="E4518" t="s">
        <v>18442</v>
      </c>
      <c r="F4518" t="s">
        <v>2307</v>
      </c>
      <c r="G4518" t="s">
        <v>40</v>
      </c>
      <c r="H4518" t="s">
        <v>18443</v>
      </c>
      <c r="I4518" t="s">
        <v>30</v>
      </c>
      <c r="J4518" t="s">
        <v>41</v>
      </c>
      <c r="K4518" t="s">
        <v>59</v>
      </c>
      <c r="Q4518">
        <v>0</v>
      </c>
      <c r="R4518">
        <v>0</v>
      </c>
      <c r="S4518">
        <v>0</v>
      </c>
      <c r="T4518" t="s">
        <v>18444</v>
      </c>
    </row>
    <row r="4519" spans="1:20" customFormat="1" ht="15" x14ac:dyDescent="0.25">
      <c r="A4519" t="s">
        <v>35</v>
      </c>
      <c r="B4519" t="s">
        <v>11871</v>
      </c>
      <c r="C4519" t="str">
        <f>"A0184977"</f>
        <v>A0184977</v>
      </c>
      <c r="D4519" t="s">
        <v>18445</v>
      </c>
      <c r="E4519" t="s">
        <v>18446</v>
      </c>
      <c r="F4519" t="s">
        <v>10187</v>
      </c>
      <c r="G4519" t="s">
        <v>197</v>
      </c>
      <c r="H4519">
        <v>850073939</v>
      </c>
      <c r="I4519" t="s">
        <v>30</v>
      </c>
      <c r="J4519" t="s">
        <v>41</v>
      </c>
      <c r="K4519" t="s">
        <v>59</v>
      </c>
      <c r="Q4519">
        <v>0</v>
      </c>
      <c r="R4519">
        <v>0</v>
      </c>
      <c r="S4519">
        <v>0</v>
      </c>
      <c r="T4519" t="s">
        <v>18447</v>
      </c>
    </row>
    <row r="4520" spans="1:20" customFormat="1" ht="15" x14ac:dyDescent="0.25">
      <c r="A4520" t="s">
        <v>35</v>
      </c>
      <c r="B4520" t="s">
        <v>61</v>
      </c>
      <c r="C4520" t="str">
        <f>"A0184976"</f>
        <v>A0184976</v>
      </c>
      <c r="D4520" t="s">
        <v>18448</v>
      </c>
      <c r="E4520" t="s">
        <v>18449</v>
      </c>
      <c r="F4520" t="s">
        <v>1431</v>
      </c>
      <c r="G4520" t="s">
        <v>47</v>
      </c>
      <c r="H4520">
        <v>972023471</v>
      </c>
      <c r="I4520" t="s">
        <v>30</v>
      </c>
      <c r="J4520" t="s">
        <v>41</v>
      </c>
      <c r="K4520" t="s">
        <v>59</v>
      </c>
      <c r="Q4520">
        <v>0</v>
      </c>
      <c r="R4520">
        <v>0</v>
      </c>
      <c r="S4520">
        <v>0</v>
      </c>
      <c r="T4520" t="s">
        <v>18450</v>
      </c>
    </row>
    <row r="4521" spans="1:20" customFormat="1" ht="15" x14ac:dyDescent="0.25">
      <c r="A4521" t="s">
        <v>35</v>
      </c>
      <c r="B4521" t="s">
        <v>61</v>
      </c>
      <c r="C4521" t="str">
        <f>"A0184975"</f>
        <v>A0184975</v>
      </c>
      <c r="D4521" t="s">
        <v>18451</v>
      </c>
      <c r="E4521" t="s">
        <v>18452</v>
      </c>
      <c r="F4521" t="s">
        <v>18453</v>
      </c>
      <c r="G4521" t="s">
        <v>289</v>
      </c>
      <c r="H4521" t="s">
        <v>18454</v>
      </c>
      <c r="I4521" t="s">
        <v>30</v>
      </c>
      <c r="J4521" t="s">
        <v>41</v>
      </c>
      <c r="K4521" t="s">
        <v>59</v>
      </c>
      <c r="Q4521">
        <v>0</v>
      </c>
      <c r="R4521">
        <v>60</v>
      </c>
      <c r="S4521">
        <v>60</v>
      </c>
      <c r="T4521" t="s">
        <v>18455</v>
      </c>
    </row>
    <row r="4522" spans="1:20" customFormat="1" ht="15" x14ac:dyDescent="0.25">
      <c r="A4522" t="s">
        <v>35</v>
      </c>
      <c r="B4522" t="s">
        <v>61</v>
      </c>
      <c r="C4522" t="str">
        <f>"A0184974"</f>
        <v>A0184974</v>
      </c>
      <c r="D4522" t="s">
        <v>18456</v>
      </c>
      <c r="E4522" t="s">
        <v>18457</v>
      </c>
      <c r="F4522" t="s">
        <v>6160</v>
      </c>
      <c r="G4522" t="s">
        <v>289</v>
      </c>
      <c r="H4522" t="s">
        <v>18458</v>
      </c>
      <c r="I4522" t="s">
        <v>30</v>
      </c>
      <c r="J4522" t="s">
        <v>41</v>
      </c>
      <c r="K4522" t="s">
        <v>59</v>
      </c>
      <c r="Q4522">
        <v>0</v>
      </c>
      <c r="R4522">
        <v>368</v>
      </c>
      <c r="S4522">
        <v>368</v>
      </c>
      <c r="T4522" t="s">
        <v>18459</v>
      </c>
    </row>
    <row r="4523" spans="1:20" customFormat="1" ht="15" x14ac:dyDescent="0.25">
      <c r="A4523" t="s">
        <v>35</v>
      </c>
      <c r="B4523" t="s">
        <v>61</v>
      </c>
      <c r="C4523" t="str">
        <f>"A0184972"</f>
        <v>A0184972</v>
      </c>
      <c r="D4523" t="s">
        <v>18460</v>
      </c>
      <c r="E4523" t="s">
        <v>18461</v>
      </c>
      <c r="F4523" t="s">
        <v>18462</v>
      </c>
      <c r="G4523" t="s">
        <v>52</v>
      </c>
      <c r="H4523" t="s">
        <v>18463</v>
      </c>
      <c r="I4523" t="s">
        <v>30</v>
      </c>
      <c r="J4523" t="s">
        <v>41</v>
      </c>
      <c r="K4523" t="s">
        <v>59</v>
      </c>
      <c r="Q4523">
        <v>0</v>
      </c>
      <c r="R4523">
        <v>28</v>
      </c>
      <c r="S4523">
        <v>28</v>
      </c>
      <c r="T4523" t="s">
        <v>18464</v>
      </c>
    </row>
    <row r="4524" spans="1:20" customFormat="1" ht="15" x14ac:dyDescent="0.25">
      <c r="A4524" t="s">
        <v>35</v>
      </c>
      <c r="B4524" t="s">
        <v>61</v>
      </c>
      <c r="C4524" t="str">
        <f>"A0184971"</f>
        <v>A0184971</v>
      </c>
      <c r="D4524" t="s">
        <v>18465</v>
      </c>
      <c r="E4524" t="s">
        <v>18466</v>
      </c>
      <c r="F4524" t="s">
        <v>18467</v>
      </c>
      <c r="G4524" t="s">
        <v>52</v>
      </c>
      <c r="H4524">
        <v>75141</v>
      </c>
      <c r="I4524" t="s">
        <v>30</v>
      </c>
      <c r="J4524" t="s">
        <v>41</v>
      </c>
      <c r="K4524" t="s">
        <v>59</v>
      </c>
      <c r="Q4524">
        <v>0</v>
      </c>
      <c r="R4524">
        <v>0</v>
      </c>
      <c r="S4524">
        <v>0</v>
      </c>
    </row>
    <row r="4525" spans="1:20" customFormat="1" ht="15" x14ac:dyDescent="0.25">
      <c r="A4525" t="s">
        <v>35</v>
      </c>
      <c r="B4525" t="s">
        <v>61</v>
      </c>
      <c r="C4525" t="str">
        <f>"A0184970"</f>
        <v>A0184970</v>
      </c>
      <c r="D4525" t="s">
        <v>18468</v>
      </c>
      <c r="E4525" t="s">
        <v>18469</v>
      </c>
      <c r="F4525" t="s">
        <v>18470</v>
      </c>
      <c r="G4525" t="s">
        <v>52</v>
      </c>
      <c r="H4525" t="s">
        <v>18471</v>
      </c>
      <c r="I4525" t="s">
        <v>30</v>
      </c>
      <c r="J4525" t="s">
        <v>41</v>
      </c>
      <c r="K4525" t="s">
        <v>59</v>
      </c>
      <c r="Q4525">
        <v>0</v>
      </c>
      <c r="R4525">
        <v>120</v>
      </c>
      <c r="S4525">
        <v>120</v>
      </c>
      <c r="T4525" t="s">
        <v>18472</v>
      </c>
    </row>
    <row r="4526" spans="1:20" customFormat="1" ht="15" x14ac:dyDescent="0.25">
      <c r="A4526" t="s">
        <v>35</v>
      </c>
      <c r="B4526" t="s">
        <v>61</v>
      </c>
      <c r="C4526" t="str">
        <f>"A0184969"</f>
        <v>A0184969</v>
      </c>
      <c r="D4526" t="s">
        <v>18473</v>
      </c>
      <c r="E4526" t="s">
        <v>18474</v>
      </c>
      <c r="F4526" t="s">
        <v>1431</v>
      </c>
      <c r="G4526" t="s">
        <v>47</v>
      </c>
      <c r="H4526">
        <v>972023459</v>
      </c>
      <c r="I4526" t="s">
        <v>30</v>
      </c>
      <c r="J4526" t="s">
        <v>41</v>
      </c>
      <c r="K4526" t="s">
        <v>59</v>
      </c>
      <c r="Q4526">
        <v>0</v>
      </c>
      <c r="R4526">
        <v>0</v>
      </c>
      <c r="S4526">
        <v>0</v>
      </c>
      <c r="T4526" t="s">
        <v>18475</v>
      </c>
    </row>
    <row r="4527" spans="1:20" customFormat="1" ht="15" x14ac:dyDescent="0.25">
      <c r="A4527" t="s">
        <v>35</v>
      </c>
      <c r="B4527" t="s">
        <v>61</v>
      </c>
      <c r="C4527" t="str">
        <f>"A0184968"</f>
        <v>A0184968</v>
      </c>
      <c r="D4527" t="s">
        <v>18476</v>
      </c>
      <c r="E4527" t="s">
        <v>18477</v>
      </c>
      <c r="F4527" t="s">
        <v>8647</v>
      </c>
      <c r="G4527" t="s">
        <v>47</v>
      </c>
      <c r="H4527">
        <v>973044805</v>
      </c>
      <c r="I4527" t="s">
        <v>30</v>
      </c>
      <c r="J4527" t="s">
        <v>41</v>
      </c>
      <c r="K4527" t="s">
        <v>59</v>
      </c>
      <c r="Q4527">
        <v>0</v>
      </c>
      <c r="R4527">
        <v>102</v>
      </c>
      <c r="S4527">
        <v>102</v>
      </c>
      <c r="T4527" t="s">
        <v>18478</v>
      </c>
    </row>
    <row r="4528" spans="1:20" customFormat="1" ht="15" x14ac:dyDescent="0.25">
      <c r="A4528" t="s">
        <v>35</v>
      </c>
      <c r="B4528" t="s">
        <v>61</v>
      </c>
      <c r="C4528" t="str">
        <f>"A0184967"</f>
        <v>A0184967</v>
      </c>
      <c r="D4528" t="s">
        <v>18479</v>
      </c>
      <c r="E4528" t="s">
        <v>18480</v>
      </c>
      <c r="F4528" t="s">
        <v>18481</v>
      </c>
      <c r="G4528" t="s">
        <v>47</v>
      </c>
      <c r="H4528">
        <v>971327395</v>
      </c>
      <c r="I4528" t="s">
        <v>30</v>
      </c>
      <c r="J4528" t="s">
        <v>41</v>
      </c>
      <c r="K4528" t="s">
        <v>59</v>
      </c>
      <c r="Q4528">
        <v>0</v>
      </c>
      <c r="R4528">
        <v>75</v>
      </c>
      <c r="S4528">
        <v>75</v>
      </c>
      <c r="T4528" t="s">
        <v>17997</v>
      </c>
    </row>
    <row r="4529" spans="1:20" customFormat="1" ht="15" x14ac:dyDescent="0.25">
      <c r="A4529" t="s">
        <v>35</v>
      </c>
      <c r="B4529" t="s">
        <v>61</v>
      </c>
      <c r="C4529" t="str">
        <f>"A0184965"</f>
        <v>A0184965</v>
      </c>
      <c r="D4529" t="s">
        <v>18482</v>
      </c>
      <c r="E4529" t="s">
        <v>18483</v>
      </c>
      <c r="F4529" t="s">
        <v>18484</v>
      </c>
      <c r="G4529" t="s">
        <v>2391</v>
      </c>
      <c r="H4529">
        <v>5482</v>
      </c>
      <c r="I4529" t="s">
        <v>30</v>
      </c>
      <c r="J4529" t="s">
        <v>41</v>
      </c>
      <c r="K4529" t="s">
        <v>59</v>
      </c>
      <c r="Q4529">
        <v>0</v>
      </c>
      <c r="R4529">
        <v>0</v>
      </c>
      <c r="S4529">
        <v>0</v>
      </c>
      <c r="T4529" t="s">
        <v>18485</v>
      </c>
    </row>
    <row r="4530" spans="1:20" customFormat="1" ht="15" x14ac:dyDescent="0.25">
      <c r="A4530" t="s">
        <v>35</v>
      </c>
      <c r="B4530" t="s">
        <v>61</v>
      </c>
      <c r="C4530" t="str">
        <f>"A0184964"</f>
        <v>A0184964</v>
      </c>
      <c r="D4530" t="s">
        <v>18486</v>
      </c>
      <c r="E4530" t="s">
        <v>18487</v>
      </c>
      <c r="F4530" t="s">
        <v>6089</v>
      </c>
      <c r="G4530" t="s">
        <v>123</v>
      </c>
      <c r="H4530" t="s">
        <v>18488</v>
      </c>
      <c r="I4530" t="s">
        <v>30</v>
      </c>
      <c r="J4530" t="s">
        <v>41</v>
      </c>
      <c r="K4530" t="s">
        <v>59</v>
      </c>
      <c r="Q4530">
        <v>0</v>
      </c>
      <c r="R4530">
        <v>0</v>
      </c>
      <c r="S4530">
        <v>0</v>
      </c>
      <c r="T4530" t="s">
        <v>18489</v>
      </c>
    </row>
    <row r="4531" spans="1:20" customFormat="1" ht="15" x14ac:dyDescent="0.25">
      <c r="A4531" t="s">
        <v>35</v>
      </c>
      <c r="B4531" t="s">
        <v>61</v>
      </c>
      <c r="C4531" t="str">
        <f>"A0184963"</f>
        <v>A0184963</v>
      </c>
      <c r="D4531" t="s">
        <v>18490</v>
      </c>
      <c r="E4531" t="s">
        <v>18491</v>
      </c>
      <c r="F4531" t="s">
        <v>6137</v>
      </c>
      <c r="G4531" t="s">
        <v>123</v>
      </c>
      <c r="H4531" t="s">
        <v>18492</v>
      </c>
      <c r="I4531" t="s">
        <v>30</v>
      </c>
      <c r="J4531" t="s">
        <v>41</v>
      </c>
      <c r="K4531" t="s">
        <v>59</v>
      </c>
      <c r="Q4531">
        <v>0</v>
      </c>
      <c r="R4531">
        <v>65</v>
      </c>
      <c r="S4531">
        <v>65</v>
      </c>
      <c r="T4531" t="s">
        <v>18493</v>
      </c>
    </row>
    <row r="4532" spans="1:20" customFormat="1" ht="15" x14ac:dyDescent="0.25">
      <c r="A4532" t="s">
        <v>35</v>
      </c>
      <c r="B4532" t="s">
        <v>11871</v>
      </c>
      <c r="C4532" t="str">
        <f>"A0184962"</f>
        <v>A0184962</v>
      </c>
      <c r="D4532" t="s">
        <v>18494</v>
      </c>
      <c r="E4532" t="s">
        <v>18495</v>
      </c>
      <c r="F4532" t="s">
        <v>18496</v>
      </c>
      <c r="G4532" t="s">
        <v>123</v>
      </c>
      <c r="H4532" t="s">
        <v>18497</v>
      </c>
      <c r="I4532" t="s">
        <v>30</v>
      </c>
      <c r="J4532" t="s">
        <v>41</v>
      </c>
      <c r="K4532" t="s">
        <v>59</v>
      </c>
      <c r="Q4532">
        <v>0</v>
      </c>
      <c r="R4532">
        <v>0</v>
      </c>
      <c r="S4532">
        <v>0</v>
      </c>
      <c r="T4532" t="s">
        <v>18498</v>
      </c>
    </row>
    <row r="4533" spans="1:20" customFormat="1" ht="15" x14ac:dyDescent="0.25">
      <c r="A4533" t="s">
        <v>35</v>
      </c>
      <c r="B4533" t="s">
        <v>18064</v>
      </c>
      <c r="C4533" t="str">
        <f>"A0184961"</f>
        <v>A0184961</v>
      </c>
      <c r="D4533" t="s">
        <v>18499</v>
      </c>
      <c r="E4533" t="s">
        <v>18500</v>
      </c>
      <c r="F4533" t="s">
        <v>18501</v>
      </c>
      <c r="G4533" t="s">
        <v>123</v>
      </c>
      <c r="H4533">
        <v>217954084</v>
      </c>
      <c r="I4533" t="s">
        <v>30</v>
      </c>
      <c r="J4533" t="s">
        <v>41</v>
      </c>
      <c r="K4533" t="s">
        <v>59</v>
      </c>
      <c r="Q4533">
        <v>0</v>
      </c>
      <c r="R4533">
        <v>0</v>
      </c>
      <c r="S4533">
        <v>0</v>
      </c>
      <c r="T4533" t="s">
        <v>18502</v>
      </c>
    </row>
    <row r="4534" spans="1:20" customFormat="1" ht="15" x14ac:dyDescent="0.25">
      <c r="A4534" t="s">
        <v>35</v>
      </c>
      <c r="B4534" t="s">
        <v>61</v>
      </c>
      <c r="C4534" t="str">
        <f>"A0184960"</f>
        <v>A0184960</v>
      </c>
      <c r="D4534" t="s">
        <v>18503</v>
      </c>
      <c r="E4534" t="s">
        <v>18504</v>
      </c>
      <c r="F4534" t="s">
        <v>18505</v>
      </c>
      <c r="G4534" t="s">
        <v>123</v>
      </c>
      <c r="H4534" t="s">
        <v>18506</v>
      </c>
      <c r="I4534" t="s">
        <v>30</v>
      </c>
      <c r="J4534" t="s">
        <v>41</v>
      </c>
      <c r="K4534" t="s">
        <v>59</v>
      </c>
      <c r="Q4534">
        <v>0</v>
      </c>
      <c r="R4534">
        <v>0</v>
      </c>
      <c r="S4534">
        <v>0</v>
      </c>
      <c r="T4534" t="s">
        <v>18507</v>
      </c>
    </row>
    <row r="4535" spans="1:20" customFormat="1" ht="15" x14ac:dyDescent="0.25">
      <c r="A4535" t="s">
        <v>35</v>
      </c>
      <c r="B4535" t="s">
        <v>61</v>
      </c>
      <c r="C4535" t="str">
        <f>"A0184959"</f>
        <v>A0184959</v>
      </c>
      <c r="D4535" t="s">
        <v>7825</v>
      </c>
      <c r="E4535" t="s">
        <v>18508</v>
      </c>
      <c r="F4535" t="s">
        <v>7825</v>
      </c>
      <c r="G4535" t="s">
        <v>123</v>
      </c>
      <c r="H4535">
        <v>21001</v>
      </c>
      <c r="I4535" t="s">
        <v>30</v>
      </c>
      <c r="J4535" t="s">
        <v>41</v>
      </c>
      <c r="K4535" t="s">
        <v>59</v>
      </c>
      <c r="Q4535">
        <v>0</v>
      </c>
      <c r="R4535">
        <v>0</v>
      </c>
      <c r="S4535">
        <v>0</v>
      </c>
      <c r="T4535" t="s">
        <v>18509</v>
      </c>
    </row>
    <row r="4536" spans="1:20" customFormat="1" ht="15" x14ac:dyDescent="0.25">
      <c r="A4536" t="s">
        <v>35</v>
      </c>
      <c r="B4536" t="s">
        <v>61</v>
      </c>
      <c r="C4536" t="str">
        <f>"A0184958"</f>
        <v>A0184958</v>
      </c>
      <c r="D4536" t="s">
        <v>18510</v>
      </c>
      <c r="E4536" t="s">
        <v>18147</v>
      </c>
      <c r="F4536" t="s">
        <v>18148</v>
      </c>
      <c r="G4536" t="s">
        <v>123</v>
      </c>
      <c r="H4536" t="s">
        <v>18149</v>
      </c>
      <c r="I4536" t="s">
        <v>30</v>
      </c>
      <c r="J4536" t="s">
        <v>41</v>
      </c>
      <c r="K4536" t="s">
        <v>59</v>
      </c>
      <c r="Q4536">
        <v>0</v>
      </c>
      <c r="R4536">
        <v>82</v>
      </c>
      <c r="S4536">
        <v>82</v>
      </c>
      <c r="T4536" t="s">
        <v>18511</v>
      </c>
    </row>
    <row r="4537" spans="1:20" customFormat="1" ht="15" x14ac:dyDescent="0.25">
      <c r="A4537" t="s">
        <v>35</v>
      </c>
      <c r="B4537" t="s">
        <v>61</v>
      </c>
      <c r="C4537" t="str">
        <f>"A0184957"</f>
        <v>A0184957</v>
      </c>
      <c r="D4537" t="s">
        <v>18512</v>
      </c>
      <c r="E4537" t="s">
        <v>18513</v>
      </c>
      <c r="F4537" t="s">
        <v>17621</v>
      </c>
      <c r="G4537" t="s">
        <v>52</v>
      </c>
      <c r="H4537">
        <v>769034085</v>
      </c>
      <c r="I4537" t="s">
        <v>30</v>
      </c>
      <c r="J4537" t="s">
        <v>41</v>
      </c>
      <c r="K4537" t="s">
        <v>59</v>
      </c>
      <c r="Q4537">
        <v>0</v>
      </c>
      <c r="R4537">
        <v>0</v>
      </c>
      <c r="S4537">
        <v>0</v>
      </c>
      <c r="T4537" t="s">
        <v>17622</v>
      </c>
    </row>
    <row r="4538" spans="1:20" customFormat="1" ht="15" x14ac:dyDescent="0.25">
      <c r="A4538" t="s">
        <v>35</v>
      </c>
      <c r="B4538" t="s">
        <v>61</v>
      </c>
      <c r="C4538" t="str">
        <f>"A0184956"</f>
        <v>A0184956</v>
      </c>
      <c r="D4538" t="s">
        <v>18514</v>
      </c>
      <c r="E4538" t="s">
        <v>18515</v>
      </c>
      <c r="F4538" t="s">
        <v>9180</v>
      </c>
      <c r="G4538" t="s">
        <v>81</v>
      </c>
      <c r="H4538" t="s">
        <v>18516</v>
      </c>
      <c r="I4538" t="s">
        <v>30</v>
      </c>
      <c r="J4538" t="s">
        <v>41</v>
      </c>
      <c r="K4538" t="s">
        <v>59</v>
      </c>
      <c r="Q4538">
        <v>0</v>
      </c>
      <c r="R4538">
        <v>0</v>
      </c>
      <c r="S4538">
        <v>0</v>
      </c>
      <c r="T4538" t="s">
        <v>18517</v>
      </c>
    </row>
    <row r="4539" spans="1:20" customFormat="1" ht="15" x14ac:dyDescent="0.25">
      <c r="A4539" t="s">
        <v>35</v>
      </c>
      <c r="B4539" t="s">
        <v>61</v>
      </c>
      <c r="C4539" t="str">
        <f>"A0184955"</f>
        <v>A0184955</v>
      </c>
      <c r="D4539" t="s">
        <v>18518</v>
      </c>
      <c r="E4539" t="s">
        <v>18519</v>
      </c>
      <c r="F4539" t="s">
        <v>5488</v>
      </c>
      <c r="G4539" t="s">
        <v>81</v>
      </c>
      <c r="H4539" t="s">
        <v>18520</v>
      </c>
      <c r="I4539" t="s">
        <v>30</v>
      </c>
      <c r="J4539" t="s">
        <v>41</v>
      </c>
      <c r="K4539" t="s">
        <v>59</v>
      </c>
      <c r="Q4539">
        <v>0</v>
      </c>
      <c r="R4539">
        <v>153</v>
      </c>
      <c r="S4539">
        <v>153</v>
      </c>
      <c r="T4539" t="s">
        <v>18521</v>
      </c>
    </row>
    <row r="4540" spans="1:20" customFormat="1" ht="15" x14ac:dyDescent="0.25">
      <c r="A4540" t="s">
        <v>35</v>
      </c>
      <c r="B4540" t="s">
        <v>61</v>
      </c>
      <c r="C4540" t="str">
        <f>"A0184954"</f>
        <v>A0184954</v>
      </c>
      <c r="D4540" t="s">
        <v>18522</v>
      </c>
      <c r="E4540" t="s">
        <v>18523</v>
      </c>
      <c r="F4540" t="s">
        <v>1444</v>
      </c>
      <c r="G4540" t="s">
        <v>76</v>
      </c>
      <c r="H4540">
        <v>981036374</v>
      </c>
      <c r="I4540" t="s">
        <v>30</v>
      </c>
      <c r="J4540" t="s">
        <v>41</v>
      </c>
      <c r="K4540" t="s">
        <v>59</v>
      </c>
      <c r="Q4540">
        <v>0</v>
      </c>
      <c r="R4540">
        <v>116</v>
      </c>
      <c r="S4540">
        <v>116</v>
      </c>
      <c r="T4540" t="s">
        <v>18524</v>
      </c>
    </row>
    <row r="4541" spans="1:20" customFormat="1" ht="15" x14ac:dyDescent="0.25">
      <c r="A4541" t="s">
        <v>35</v>
      </c>
      <c r="B4541" t="s">
        <v>12660</v>
      </c>
      <c r="C4541" t="str">
        <f>"A0184953"</f>
        <v>A0184953</v>
      </c>
      <c r="D4541" t="s">
        <v>18525</v>
      </c>
      <c r="E4541" t="s">
        <v>18526</v>
      </c>
      <c r="F4541" t="s">
        <v>7317</v>
      </c>
      <c r="G4541" t="s">
        <v>76</v>
      </c>
      <c r="H4541">
        <v>981987352</v>
      </c>
      <c r="I4541" t="s">
        <v>30</v>
      </c>
      <c r="J4541" t="s">
        <v>41</v>
      </c>
      <c r="K4541" t="s">
        <v>59</v>
      </c>
      <c r="Q4541">
        <v>0</v>
      </c>
      <c r="R4541">
        <v>116</v>
      </c>
      <c r="S4541">
        <v>116</v>
      </c>
      <c r="T4541" t="s">
        <v>18527</v>
      </c>
    </row>
    <row r="4542" spans="1:20" customFormat="1" ht="15" x14ac:dyDescent="0.25">
      <c r="A4542" t="s">
        <v>35</v>
      </c>
      <c r="B4542" t="s">
        <v>61</v>
      </c>
      <c r="C4542" t="str">
        <f>"A0184952"</f>
        <v>A0184952</v>
      </c>
      <c r="D4542" t="s">
        <v>18528</v>
      </c>
      <c r="E4542" t="s">
        <v>18529</v>
      </c>
      <c r="F4542" t="s">
        <v>8051</v>
      </c>
      <c r="G4542" t="s">
        <v>197</v>
      </c>
      <c r="H4542">
        <v>853513164</v>
      </c>
      <c r="I4542" t="s">
        <v>30</v>
      </c>
      <c r="J4542" t="s">
        <v>41</v>
      </c>
      <c r="K4542" t="s">
        <v>59</v>
      </c>
      <c r="Q4542">
        <v>0</v>
      </c>
      <c r="R4542">
        <v>183</v>
      </c>
      <c r="S4542">
        <v>183</v>
      </c>
      <c r="T4542" t="s">
        <v>18530</v>
      </c>
    </row>
    <row r="4543" spans="1:20" customFormat="1" ht="15" x14ac:dyDescent="0.25">
      <c r="A4543" t="s">
        <v>35</v>
      </c>
      <c r="B4543" t="s">
        <v>61</v>
      </c>
      <c r="C4543" t="str">
        <f>"A0184950"</f>
        <v>A0184950</v>
      </c>
      <c r="D4543" t="s">
        <v>18531</v>
      </c>
      <c r="E4543" t="s">
        <v>18532</v>
      </c>
      <c r="F4543" t="s">
        <v>46</v>
      </c>
      <c r="G4543" t="s">
        <v>47</v>
      </c>
      <c r="H4543">
        <v>974715522</v>
      </c>
      <c r="I4543" t="s">
        <v>30</v>
      </c>
      <c r="J4543" t="s">
        <v>41</v>
      </c>
      <c r="K4543" t="s">
        <v>59</v>
      </c>
      <c r="Q4543">
        <v>0</v>
      </c>
      <c r="R4543">
        <v>0</v>
      </c>
      <c r="S4543">
        <v>0</v>
      </c>
      <c r="T4543" t="s">
        <v>18533</v>
      </c>
    </row>
    <row r="4544" spans="1:20" customFormat="1" ht="15" x14ac:dyDescent="0.25">
      <c r="A4544" t="s">
        <v>35</v>
      </c>
      <c r="B4544" t="s">
        <v>61</v>
      </c>
      <c r="C4544" t="str">
        <f>"A0184949"</f>
        <v>A0184949</v>
      </c>
      <c r="D4544" t="s">
        <v>18534</v>
      </c>
      <c r="E4544" t="s">
        <v>18535</v>
      </c>
      <c r="F4544" t="s">
        <v>18536</v>
      </c>
      <c r="G4544" t="s">
        <v>47</v>
      </c>
      <c r="H4544">
        <v>975021980</v>
      </c>
      <c r="I4544" t="s">
        <v>30</v>
      </c>
      <c r="J4544" t="s">
        <v>41</v>
      </c>
      <c r="K4544" t="s">
        <v>59</v>
      </c>
      <c r="Q4544">
        <v>0</v>
      </c>
      <c r="R4544">
        <v>0</v>
      </c>
      <c r="S4544">
        <v>0</v>
      </c>
      <c r="T4544" t="s">
        <v>18537</v>
      </c>
    </row>
    <row r="4545" spans="1:20" customFormat="1" ht="15" x14ac:dyDescent="0.25">
      <c r="A4545" t="s">
        <v>35</v>
      </c>
      <c r="B4545" t="s">
        <v>61</v>
      </c>
      <c r="C4545" t="str">
        <f>"A0184948"</f>
        <v>A0184948</v>
      </c>
      <c r="D4545" t="s">
        <v>18538</v>
      </c>
      <c r="E4545" t="s">
        <v>17882</v>
      </c>
      <c r="F4545" t="s">
        <v>1735</v>
      </c>
      <c r="G4545" t="s">
        <v>29</v>
      </c>
      <c r="H4545">
        <v>228025534</v>
      </c>
      <c r="I4545" t="s">
        <v>30</v>
      </c>
      <c r="J4545" t="s">
        <v>41</v>
      </c>
      <c r="K4545" t="s">
        <v>59</v>
      </c>
      <c r="Q4545">
        <v>0</v>
      </c>
      <c r="R4545">
        <v>0</v>
      </c>
      <c r="S4545">
        <v>0</v>
      </c>
      <c r="T4545" t="s">
        <v>17883</v>
      </c>
    </row>
    <row r="4546" spans="1:20" customFormat="1" ht="15" x14ac:dyDescent="0.25">
      <c r="A4546" t="s">
        <v>35</v>
      </c>
      <c r="B4546" t="s">
        <v>61</v>
      </c>
      <c r="C4546" t="str">
        <f>"A0184946"</f>
        <v>A0184946</v>
      </c>
      <c r="D4546" t="s">
        <v>18539</v>
      </c>
      <c r="E4546" t="s">
        <v>18540</v>
      </c>
      <c r="F4546" t="s">
        <v>18541</v>
      </c>
      <c r="G4546" t="s">
        <v>52</v>
      </c>
      <c r="H4546" t="s">
        <v>18542</v>
      </c>
      <c r="I4546" t="s">
        <v>30</v>
      </c>
      <c r="J4546" t="s">
        <v>41</v>
      </c>
      <c r="K4546" t="s">
        <v>59</v>
      </c>
      <c r="Q4546">
        <v>0</v>
      </c>
      <c r="R4546">
        <v>56</v>
      </c>
      <c r="S4546">
        <v>56</v>
      </c>
      <c r="T4546" t="s">
        <v>18543</v>
      </c>
    </row>
    <row r="4547" spans="1:20" customFormat="1" ht="15" x14ac:dyDescent="0.25">
      <c r="A4547" t="s">
        <v>35</v>
      </c>
      <c r="B4547" t="s">
        <v>61</v>
      </c>
      <c r="C4547" t="str">
        <f>"A0184945"</f>
        <v>A0184945</v>
      </c>
      <c r="D4547" t="s">
        <v>18544</v>
      </c>
      <c r="E4547" t="s">
        <v>18545</v>
      </c>
      <c r="F4547" t="s">
        <v>1731</v>
      </c>
      <c r="G4547" t="s">
        <v>52</v>
      </c>
      <c r="H4547" t="s">
        <v>17916</v>
      </c>
      <c r="I4547" t="s">
        <v>30</v>
      </c>
      <c r="J4547" t="s">
        <v>41</v>
      </c>
      <c r="K4547" t="s">
        <v>59</v>
      </c>
      <c r="Q4547">
        <v>0</v>
      </c>
      <c r="R4547">
        <v>0</v>
      </c>
      <c r="S4547">
        <v>0</v>
      </c>
      <c r="T4547" t="s">
        <v>17917</v>
      </c>
    </row>
    <row r="4548" spans="1:20" customFormat="1" ht="15" x14ac:dyDescent="0.25">
      <c r="A4548" t="s">
        <v>35</v>
      </c>
      <c r="B4548" t="s">
        <v>61</v>
      </c>
      <c r="C4548" t="str">
        <f>"A0184944"</f>
        <v>A0184944</v>
      </c>
      <c r="D4548" t="s">
        <v>18546</v>
      </c>
      <c r="E4548" t="s">
        <v>18547</v>
      </c>
      <c r="F4548" t="s">
        <v>5257</v>
      </c>
      <c r="G4548" t="s">
        <v>52</v>
      </c>
      <c r="H4548">
        <v>770771507</v>
      </c>
      <c r="I4548" t="s">
        <v>30</v>
      </c>
      <c r="J4548" t="s">
        <v>41</v>
      </c>
      <c r="K4548" t="s">
        <v>59</v>
      </c>
      <c r="Q4548">
        <v>0</v>
      </c>
      <c r="R4548">
        <v>60</v>
      </c>
      <c r="S4548">
        <v>60</v>
      </c>
      <c r="T4548" t="s">
        <v>18548</v>
      </c>
    </row>
    <row r="4549" spans="1:20" customFormat="1" ht="15" x14ac:dyDescent="0.25">
      <c r="A4549" t="s">
        <v>35</v>
      </c>
      <c r="B4549" t="s">
        <v>61</v>
      </c>
      <c r="C4549" t="str">
        <f>"A0184943"</f>
        <v>A0184943</v>
      </c>
      <c r="D4549" t="s">
        <v>18549</v>
      </c>
      <c r="E4549" t="s">
        <v>18474</v>
      </c>
      <c r="F4549" t="s">
        <v>1431</v>
      </c>
      <c r="G4549" t="s">
        <v>47</v>
      </c>
      <c r="H4549">
        <v>972023459</v>
      </c>
      <c r="I4549" t="s">
        <v>30</v>
      </c>
      <c r="J4549" t="s">
        <v>41</v>
      </c>
      <c r="K4549" t="s">
        <v>59</v>
      </c>
      <c r="Q4549">
        <v>0</v>
      </c>
      <c r="R4549">
        <v>0</v>
      </c>
      <c r="S4549">
        <v>0</v>
      </c>
      <c r="T4549" t="s">
        <v>18475</v>
      </c>
    </row>
    <row r="4550" spans="1:20" customFormat="1" ht="15" x14ac:dyDescent="0.25">
      <c r="A4550" t="s">
        <v>35</v>
      </c>
      <c r="B4550" t="s">
        <v>61</v>
      </c>
      <c r="C4550" t="str">
        <f>"A0184942"</f>
        <v>A0184942</v>
      </c>
      <c r="D4550" t="s">
        <v>18550</v>
      </c>
      <c r="E4550" t="s">
        <v>18551</v>
      </c>
      <c r="F4550" t="s">
        <v>4133</v>
      </c>
      <c r="G4550" t="s">
        <v>52</v>
      </c>
      <c r="H4550" t="s">
        <v>18552</v>
      </c>
      <c r="I4550" t="s">
        <v>30</v>
      </c>
      <c r="J4550" t="s">
        <v>41</v>
      </c>
      <c r="K4550" t="s">
        <v>59</v>
      </c>
      <c r="Q4550">
        <v>0</v>
      </c>
      <c r="R4550">
        <v>0</v>
      </c>
      <c r="S4550">
        <v>0</v>
      </c>
      <c r="T4550" t="s">
        <v>18553</v>
      </c>
    </row>
    <row r="4551" spans="1:20" customFormat="1" ht="15" x14ac:dyDescent="0.25">
      <c r="A4551" t="s">
        <v>35</v>
      </c>
      <c r="B4551" t="s">
        <v>61</v>
      </c>
      <c r="C4551" t="str">
        <f>"A0184941"</f>
        <v>A0184941</v>
      </c>
      <c r="D4551" t="s">
        <v>18554</v>
      </c>
      <c r="E4551" t="s">
        <v>18555</v>
      </c>
      <c r="F4551" t="s">
        <v>5217</v>
      </c>
      <c r="G4551" t="s">
        <v>52</v>
      </c>
      <c r="H4551">
        <v>75703</v>
      </c>
      <c r="I4551" t="s">
        <v>30</v>
      </c>
      <c r="J4551" t="s">
        <v>41</v>
      </c>
      <c r="K4551" t="s">
        <v>59</v>
      </c>
      <c r="Q4551">
        <v>0</v>
      </c>
      <c r="R4551">
        <v>30</v>
      </c>
      <c r="S4551">
        <v>30</v>
      </c>
      <c r="T4551" t="s">
        <v>18556</v>
      </c>
    </row>
    <row r="4552" spans="1:20" customFormat="1" ht="15" x14ac:dyDescent="0.25">
      <c r="A4552" t="s">
        <v>35</v>
      </c>
      <c r="B4552" t="s">
        <v>61</v>
      </c>
      <c r="C4552" t="str">
        <f>"A0184940"</f>
        <v>A0184940</v>
      </c>
      <c r="D4552" t="s">
        <v>18557</v>
      </c>
      <c r="E4552" t="s">
        <v>18558</v>
      </c>
      <c r="F4552" t="s">
        <v>13395</v>
      </c>
      <c r="G4552" t="s">
        <v>52</v>
      </c>
      <c r="H4552" t="s">
        <v>18559</v>
      </c>
      <c r="I4552" t="s">
        <v>30</v>
      </c>
      <c r="J4552" t="s">
        <v>41</v>
      </c>
      <c r="K4552" t="s">
        <v>59</v>
      </c>
      <c r="Q4552">
        <v>0</v>
      </c>
      <c r="R4552">
        <v>30</v>
      </c>
      <c r="S4552">
        <v>30</v>
      </c>
      <c r="T4552" t="s">
        <v>18560</v>
      </c>
    </row>
    <row r="4553" spans="1:20" customFormat="1" ht="15" x14ac:dyDescent="0.25">
      <c r="A4553" t="s">
        <v>35</v>
      </c>
      <c r="B4553" t="s">
        <v>61</v>
      </c>
      <c r="C4553" t="str">
        <f>"A0184939"</f>
        <v>A0184939</v>
      </c>
      <c r="D4553" t="s">
        <v>18561</v>
      </c>
      <c r="E4553" t="s">
        <v>18562</v>
      </c>
      <c r="F4553" t="s">
        <v>1731</v>
      </c>
      <c r="G4553" t="s">
        <v>52</v>
      </c>
      <c r="H4553">
        <v>752012896</v>
      </c>
      <c r="I4553" t="s">
        <v>30</v>
      </c>
      <c r="J4553" t="s">
        <v>41</v>
      </c>
      <c r="K4553" t="s">
        <v>59</v>
      </c>
      <c r="Q4553">
        <v>0</v>
      </c>
      <c r="R4553">
        <v>0</v>
      </c>
      <c r="S4553">
        <v>0</v>
      </c>
      <c r="T4553" t="s">
        <v>18563</v>
      </c>
    </row>
    <row r="4554" spans="1:20" customFormat="1" ht="15" x14ac:dyDescent="0.25">
      <c r="A4554" t="s">
        <v>35</v>
      </c>
      <c r="B4554" t="s">
        <v>61</v>
      </c>
      <c r="C4554" t="str">
        <f>"A0184938"</f>
        <v>A0184938</v>
      </c>
      <c r="D4554" t="s">
        <v>18564</v>
      </c>
      <c r="E4554" t="s">
        <v>18565</v>
      </c>
      <c r="F4554" t="s">
        <v>17967</v>
      </c>
      <c r="G4554" t="s">
        <v>1898</v>
      </c>
      <c r="H4554" t="s">
        <v>18566</v>
      </c>
      <c r="I4554" t="s">
        <v>30</v>
      </c>
      <c r="J4554" t="s">
        <v>41</v>
      </c>
      <c r="K4554" t="s">
        <v>59</v>
      </c>
      <c r="Q4554">
        <v>0</v>
      </c>
      <c r="R4554">
        <v>78</v>
      </c>
      <c r="S4554">
        <v>78</v>
      </c>
      <c r="T4554" t="s">
        <v>18567</v>
      </c>
    </row>
    <row r="4555" spans="1:20" customFormat="1" ht="15" x14ac:dyDescent="0.25">
      <c r="A4555" t="s">
        <v>35</v>
      </c>
      <c r="B4555" t="s">
        <v>61</v>
      </c>
      <c r="C4555" t="str">
        <f>"A0184937"</f>
        <v>A0184937</v>
      </c>
      <c r="D4555" t="s">
        <v>18568</v>
      </c>
      <c r="E4555" t="s">
        <v>18569</v>
      </c>
      <c r="F4555" t="s">
        <v>4133</v>
      </c>
      <c r="G4555" t="s">
        <v>52</v>
      </c>
      <c r="H4555" t="s">
        <v>18570</v>
      </c>
      <c r="I4555" t="s">
        <v>30</v>
      </c>
      <c r="J4555" t="s">
        <v>41</v>
      </c>
      <c r="K4555" t="s">
        <v>59</v>
      </c>
      <c r="Q4555">
        <v>0</v>
      </c>
      <c r="R4555">
        <v>0</v>
      </c>
      <c r="S4555">
        <v>0</v>
      </c>
      <c r="T4555" t="s">
        <v>18571</v>
      </c>
    </row>
    <row r="4556" spans="1:20" customFormat="1" ht="15" x14ac:dyDescent="0.25">
      <c r="A4556" t="s">
        <v>35</v>
      </c>
      <c r="B4556" t="s">
        <v>61</v>
      </c>
      <c r="C4556" t="str">
        <f>"A0184936"</f>
        <v>A0184936</v>
      </c>
      <c r="D4556" t="s">
        <v>18572</v>
      </c>
      <c r="E4556" t="s">
        <v>18573</v>
      </c>
      <c r="F4556" t="s">
        <v>17954</v>
      </c>
      <c r="G4556" t="s">
        <v>52</v>
      </c>
      <c r="H4556" t="s">
        <v>18574</v>
      </c>
      <c r="I4556" t="s">
        <v>30</v>
      </c>
      <c r="J4556" t="s">
        <v>41</v>
      </c>
      <c r="K4556" t="s">
        <v>59</v>
      </c>
      <c r="Q4556">
        <v>0</v>
      </c>
      <c r="R4556">
        <v>0</v>
      </c>
      <c r="S4556">
        <v>0</v>
      </c>
    </row>
    <row r="4557" spans="1:20" customFormat="1" ht="15" x14ac:dyDescent="0.25">
      <c r="A4557" t="s">
        <v>35</v>
      </c>
      <c r="B4557" t="s">
        <v>61</v>
      </c>
      <c r="C4557" t="str">
        <f>"A0184935"</f>
        <v>A0184935</v>
      </c>
      <c r="D4557" t="s">
        <v>18575</v>
      </c>
      <c r="E4557" t="s">
        <v>18576</v>
      </c>
      <c r="F4557" t="s">
        <v>5240</v>
      </c>
      <c r="G4557" t="s">
        <v>52</v>
      </c>
      <c r="H4557" t="s">
        <v>18577</v>
      </c>
      <c r="I4557" t="s">
        <v>30</v>
      </c>
      <c r="J4557" t="s">
        <v>41</v>
      </c>
      <c r="K4557" t="s">
        <v>59</v>
      </c>
      <c r="Q4557">
        <v>0</v>
      </c>
      <c r="R4557">
        <v>57</v>
      </c>
      <c r="S4557">
        <v>57</v>
      </c>
      <c r="T4557" t="s">
        <v>18578</v>
      </c>
    </row>
    <row r="4558" spans="1:20" customFormat="1" ht="15" x14ac:dyDescent="0.25">
      <c r="A4558" t="s">
        <v>35</v>
      </c>
      <c r="B4558" t="s">
        <v>11183</v>
      </c>
      <c r="C4558" t="str">
        <f>"A0184934"</f>
        <v>A0184934</v>
      </c>
      <c r="D4558" t="s">
        <v>18579</v>
      </c>
      <c r="E4558" t="s">
        <v>18580</v>
      </c>
      <c r="F4558" t="s">
        <v>2670</v>
      </c>
      <c r="G4558" t="s">
        <v>880</v>
      </c>
      <c r="H4558">
        <v>376607245</v>
      </c>
      <c r="I4558" t="s">
        <v>30</v>
      </c>
      <c r="J4558" t="s">
        <v>41</v>
      </c>
      <c r="K4558" t="s">
        <v>59</v>
      </c>
      <c r="Q4558">
        <v>0</v>
      </c>
      <c r="R4558">
        <v>67</v>
      </c>
      <c r="S4558">
        <v>67</v>
      </c>
      <c r="T4558" t="s">
        <v>18581</v>
      </c>
    </row>
    <row r="4559" spans="1:20" customFormat="1" ht="15" x14ac:dyDescent="0.25">
      <c r="A4559" t="s">
        <v>35</v>
      </c>
      <c r="B4559" t="s">
        <v>61</v>
      </c>
      <c r="C4559" t="str">
        <f>"A0184932"</f>
        <v>A0184932</v>
      </c>
      <c r="D4559" t="s">
        <v>18582</v>
      </c>
      <c r="E4559" t="s">
        <v>18583</v>
      </c>
      <c r="F4559" t="s">
        <v>75</v>
      </c>
      <c r="G4559" t="s">
        <v>76</v>
      </c>
      <c r="H4559">
        <v>992234963</v>
      </c>
      <c r="I4559" t="s">
        <v>30</v>
      </c>
      <c r="J4559" t="s">
        <v>41</v>
      </c>
      <c r="K4559" t="s">
        <v>59</v>
      </c>
      <c r="Q4559">
        <v>0</v>
      </c>
      <c r="R4559">
        <v>0</v>
      </c>
      <c r="S4559">
        <v>0</v>
      </c>
      <c r="T4559" t="s">
        <v>18584</v>
      </c>
    </row>
    <row r="4560" spans="1:20" customFormat="1" ht="15" x14ac:dyDescent="0.25">
      <c r="A4560" t="s">
        <v>35</v>
      </c>
      <c r="B4560" t="s">
        <v>11871</v>
      </c>
      <c r="C4560" t="str">
        <f>"A0184931"</f>
        <v>A0184931</v>
      </c>
      <c r="D4560" t="s">
        <v>18585</v>
      </c>
      <c r="E4560" t="s">
        <v>18586</v>
      </c>
      <c r="F4560" t="s">
        <v>18587</v>
      </c>
      <c r="G4560" t="s">
        <v>2391</v>
      </c>
      <c r="H4560" t="s">
        <v>18588</v>
      </c>
      <c r="I4560" t="s">
        <v>30</v>
      </c>
      <c r="J4560" t="s">
        <v>41</v>
      </c>
      <c r="K4560" t="s">
        <v>59</v>
      </c>
      <c r="Q4560">
        <v>0</v>
      </c>
      <c r="R4560">
        <v>0</v>
      </c>
      <c r="S4560">
        <v>0</v>
      </c>
      <c r="T4560" t="s">
        <v>18589</v>
      </c>
    </row>
    <row r="4561" spans="1:20" customFormat="1" ht="15" x14ac:dyDescent="0.25">
      <c r="A4561" t="s">
        <v>35</v>
      </c>
      <c r="B4561" t="s">
        <v>61</v>
      </c>
      <c r="C4561" t="str">
        <f>"A0184930"</f>
        <v>A0184930</v>
      </c>
      <c r="D4561" t="s">
        <v>18590</v>
      </c>
      <c r="E4561" t="s">
        <v>18591</v>
      </c>
      <c r="F4561" t="s">
        <v>17967</v>
      </c>
      <c r="G4561" t="s">
        <v>1898</v>
      </c>
      <c r="H4561" t="s">
        <v>18592</v>
      </c>
      <c r="I4561" t="s">
        <v>30</v>
      </c>
      <c r="J4561" t="s">
        <v>41</v>
      </c>
      <c r="K4561" t="s">
        <v>59</v>
      </c>
      <c r="Q4561">
        <v>0</v>
      </c>
      <c r="R4561">
        <v>60</v>
      </c>
      <c r="S4561">
        <v>60</v>
      </c>
      <c r="T4561" t="s">
        <v>18593</v>
      </c>
    </row>
    <row r="4562" spans="1:20" customFormat="1" ht="15" x14ac:dyDescent="0.25">
      <c r="A4562" t="s">
        <v>35</v>
      </c>
      <c r="B4562" t="s">
        <v>61</v>
      </c>
      <c r="C4562" t="str">
        <f>"A0184929"</f>
        <v>A0184929</v>
      </c>
      <c r="D4562" t="s">
        <v>18594</v>
      </c>
      <c r="E4562" t="s">
        <v>18595</v>
      </c>
      <c r="F4562" t="s">
        <v>11609</v>
      </c>
      <c r="G4562" t="s">
        <v>880</v>
      </c>
      <c r="H4562" t="s">
        <v>18596</v>
      </c>
      <c r="I4562" t="s">
        <v>30</v>
      </c>
      <c r="J4562" t="s">
        <v>41</v>
      </c>
      <c r="K4562" t="s">
        <v>59</v>
      </c>
      <c r="Q4562">
        <v>0</v>
      </c>
      <c r="R4562">
        <v>0</v>
      </c>
      <c r="S4562">
        <v>0</v>
      </c>
      <c r="T4562" t="s">
        <v>18597</v>
      </c>
    </row>
    <row r="4563" spans="1:20" customFormat="1" ht="15" x14ac:dyDescent="0.25">
      <c r="A4563" t="s">
        <v>35</v>
      </c>
      <c r="B4563" t="s">
        <v>61</v>
      </c>
      <c r="C4563" t="str">
        <f>"A0184928"</f>
        <v>A0184928</v>
      </c>
      <c r="D4563" t="s">
        <v>18598</v>
      </c>
      <c r="E4563" t="s">
        <v>18599</v>
      </c>
      <c r="F4563" t="s">
        <v>1373</v>
      </c>
      <c r="G4563" t="s">
        <v>880</v>
      </c>
      <c r="H4563" t="s">
        <v>18600</v>
      </c>
      <c r="I4563" t="s">
        <v>30</v>
      </c>
      <c r="J4563" t="s">
        <v>41</v>
      </c>
      <c r="K4563" t="s">
        <v>59</v>
      </c>
      <c r="Q4563">
        <v>0</v>
      </c>
      <c r="R4563">
        <v>0</v>
      </c>
      <c r="S4563">
        <v>0</v>
      </c>
      <c r="T4563" t="s">
        <v>18601</v>
      </c>
    </row>
    <row r="4564" spans="1:20" customFormat="1" ht="15" x14ac:dyDescent="0.25">
      <c r="A4564" t="s">
        <v>35</v>
      </c>
      <c r="B4564" t="s">
        <v>11871</v>
      </c>
      <c r="C4564" t="str">
        <f>"A0184927"</f>
        <v>A0184927</v>
      </c>
      <c r="D4564" t="s">
        <v>18602</v>
      </c>
      <c r="E4564" t="s">
        <v>18603</v>
      </c>
      <c r="F4564" t="s">
        <v>7801</v>
      </c>
      <c r="G4564" t="s">
        <v>880</v>
      </c>
      <c r="H4564" t="s">
        <v>18604</v>
      </c>
      <c r="I4564" t="s">
        <v>30</v>
      </c>
      <c r="J4564" t="s">
        <v>41</v>
      </c>
      <c r="K4564" t="s">
        <v>59</v>
      </c>
      <c r="Q4564">
        <v>0</v>
      </c>
      <c r="R4564">
        <v>0</v>
      </c>
      <c r="S4564">
        <v>0</v>
      </c>
      <c r="T4564" t="s">
        <v>18605</v>
      </c>
    </row>
    <row r="4565" spans="1:20" customFormat="1" ht="15" x14ac:dyDescent="0.25">
      <c r="A4565" t="s">
        <v>35</v>
      </c>
      <c r="B4565" t="s">
        <v>61</v>
      </c>
      <c r="C4565" t="str">
        <f>"A0184926"</f>
        <v>A0184926</v>
      </c>
      <c r="D4565" t="s">
        <v>18606</v>
      </c>
      <c r="E4565" t="s">
        <v>18607</v>
      </c>
      <c r="F4565" t="s">
        <v>510</v>
      </c>
      <c r="G4565" t="s">
        <v>58</v>
      </c>
      <c r="H4565" t="s">
        <v>18608</v>
      </c>
      <c r="I4565" t="s">
        <v>30</v>
      </c>
      <c r="J4565" t="s">
        <v>41</v>
      </c>
      <c r="K4565" t="s">
        <v>59</v>
      </c>
      <c r="Q4565">
        <v>0</v>
      </c>
      <c r="R4565">
        <v>162</v>
      </c>
      <c r="S4565">
        <v>162</v>
      </c>
      <c r="T4565" t="s">
        <v>18609</v>
      </c>
    </row>
    <row r="4566" spans="1:20" customFormat="1" ht="15" x14ac:dyDescent="0.25">
      <c r="A4566" t="s">
        <v>35</v>
      </c>
      <c r="B4566" t="s">
        <v>61</v>
      </c>
      <c r="C4566" t="str">
        <f>"A0184925"</f>
        <v>A0184925</v>
      </c>
      <c r="D4566" t="s">
        <v>18610</v>
      </c>
      <c r="E4566" t="s">
        <v>18611</v>
      </c>
      <c r="F4566" t="s">
        <v>17870</v>
      </c>
      <c r="G4566" t="s">
        <v>2391</v>
      </c>
      <c r="H4566" t="s">
        <v>18612</v>
      </c>
      <c r="I4566" t="s">
        <v>30</v>
      </c>
      <c r="J4566" t="s">
        <v>41</v>
      </c>
      <c r="K4566" t="s">
        <v>59</v>
      </c>
      <c r="Q4566">
        <v>0</v>
      </c>
      <c r="R4566">
        <v>0</v>
      </c>
      <c r="S4566">
        <v>0</v>
      </c>
      <c r="T4566" t="s">
        <v>18613</v>
      </c>
    </row>
    <row r="4567" spans="1:20" customFormat="1" ht="15" x14ac:dyDescent="0.25">
      <c r="A4567" t="s">
        <v>35</v>
      </c>
      <c r="B4567" t="s">
        <v>61</v>
      </c>
      <c r="C4567" t="str">
        <f>"A0184923"</f>
        <v>A0184923</v>
      </c>
      <c r="D4567" t="s">
        <v>18614</v>
      </c>
      <c r="E4567" t="s">
        <v>18615</v>
      </c>
      <c r="F4567" t="s">
        <v>11516</v>
      </c>
      <c r="G4567" t="s">
        <v>58</v>
      </c>
      <c r="H4567">
        <v>29169</v>
      </c>
      <c r="I4567" t="s">
        <v>30</v>
      </c>
      <c r="J4567" t="s">
        <v>41</v>
      </c>
      <c r="K4567" t="s">
        <v>59</v>
      </c>
      <c r="Q4567">
        <v>0</v>
      </c>
      <c r="R4567">
        <v>285</v>
      </c>
      <c r="S4567">
        <v>285</v>
      </c>
      <c r="T4567" t="s">
        <v>18616</v>
      </c>
    </row>
    <row r="4568" spans="1:20" customFormat="1" ht="15" x14ac:dyDescent="0.25">
      <c r="A4568" t="s">
        <v>35</v>
      </c>
      <c r="B4568" t="s">
        <v>61</v>
      </c>
      <c r="C4568" t="str">
        <f>"A0184922"</f>
        <v>A0184922</v>
      </c>
      <c r="D4568" t="s">
        <v>18617</v>
      </c>
      <c r="E4568" t="s">
        <v>18618</v>
      </c>
      <c r="F4568" t="s">
        <v>3293</v>
      </c>
      <c r="G4568" t="s">
        <v>58</v>
      </c>
      <c r="H4568" t="s">
        <v>18619</v>
      </c>
      <c r="I4568" t="s">
        <v>30</v>
      </c>
      <c r="J4568" t="s">
        <v>41</v>
      </c>
      <c r="K4568" t="s">
        <v>59</v>
      </c>
      <c r="Q4568">
        <v>0</v>
      </c>
      <c r="R4568">
        <v>0</v>
      </c>
      <c r="S4568">
        <v>0</v>
      </c>
    </row>
    <row r="4569" spans="1:20" customFormat="1" ht="15" x14ac:dyDescent="0.25">
      <c r="A4569" t="s">
        <v>35</v>
      </c>
      <c r="B4569" t="s">
        <v>61</v>
      </c>
      <c r="C4569" t="str">
        <f>"A0184921"</f>
        <v>A0184921</v>
      </c>
      <c r="D4569" t="s">
        <v>18620</v>
      </c>
      <c r="E4569" t="s">
        <v>18621</v>
      </c>
      <c r="F4569" t="s">
        <v>93</v>
      </c>
      <c r="G4569" t="s">
        <v>58</v>
      </c>
      <c r="H4569" t="s">
        <v>18622</v>
      </c>
      <c r="I4569" t="s">
        <v>30</v>
      </c>
      <c r="J4569" t="s">
        <v>41</v>
      </c>
      <c r="K4569" t="s">
        <v>59</v>
      </c>
      <c r="Q4569">
        <v>0</v>
      </c>
      <c r="R4569">
        <v>118</v>
      </c>
      <c r="S4569">
        <v>118</v>
      </c>
      <c r="T4569" t="s">
        <v>18623</v>
      </c>
    </row>
    <row r="4570" spans="1:20" customFormat="1" ht="15" x14ac:dyDescent="0.25">
      <c r="A4570" t="s">
        <v>35</v>
      </c>
      <c r="B4570" t="s">
        <v>61</v>
      </c>
      <c r="C4570" t="str">
        <f>"A0184920"</f>
        <v>A0184920</v>
      </c>
      <c r="D4570" t="s">
        <v>18624</v>
      </c>
      <c r="E4570" t="s">
        <v>18625</v>
      </c>
      <c r="F4570" t="s">
        <v>18626</v>
      </c>
      <c r="G4570" t="s">
        <v>90</v>
      </c>
      <c r="H4570" t="s">
        <v>18627</v>
      </c>
      <c r="I4570" t="s">
        <v>30</v>
      </c>
      <c r="J4570" t="s">
        <v>41</v>
      </c>
      <c r="K4570" t="s">
        <v>59</v>
      </c>
      <c r="Q4570">
        <v>0</v>
      </c>
      <c r="R4570">
        <v>0</v>
      </c>
      <c r="S4570">
        <v>0</v>
      </c>
    </row>
    <row r="4571" spans="1:20" customFormat="1" ht="15" x14ac:dyDescent="0.25">
      <c r="A4571" t="s">
        <v>35</v>
      </c>
      <c r="B4571" t="s">
        <v>61</v>
      </c>
      <c r="C4571" t="str">
        <f>"A0184919"</f>
        <v>A0184919</v>
      </c>
      <c r="D4571" t="s">
        <v>18628</v>
      </c>
      <c r="E4571" t="s">
        <v>18629</v>
      </c>
      <c r="F4571" t="s">
        <v>18630</v>
      </c>
      <c r="G4571" t="s">
        <v>90</v>
      </c>
      <c r="H4571" t="s">
        <v>18631</v>
      </c>
      <c r="I4571" t="s">
        <v>30</v>
      </c>
      <c r="J4571" t="s">
        <v>41</v>
      </c>
      <c r="K4571" t="s">
        <v>59</v>
      </c>
      <c r="Q4571">
        <v>0</v>
      </c>
      <c r="R4571">
        <v>50</v>
      </c>
      <c r="S4571">
        <v>50</v>
      </c>
      <c r="T4571" t="s">
        <v>18632</v>
      </c>
    </row>
    <row r="4572" spans="1:20" customFormat="1" ht="15" x14ac:dyDescent="0.25">
      <c r="A4572" t="s">
        <v>35</v>
      </c>
      <c r="B4572" t="s">
        <v>11871</v>
      </c>
      <c r="C4572" t="str">
        <f>"A0184918"</f>
        <v>A0184918</v>
      </c>
      <c r="D4572" t="s">
        <v>18633</v>
      </c>
      <c r="E4572" t="s">
        <v>18634</v>
      </c>
      <c r="F4572" t="s">
        <v>1420</v>
      </c>
      <c r="G4572" t="s">
        <v>880</v>
      </c>
      <c r="H4572" t="s">
        <v>18635</v>
      </c>
      <c r="I4572" t="s">
        <v>30</v>
      </c>
      <c r="J4572" t="s">
        <v>41</v>
      </c>
      <c r="K4572" t="s">
        <v>59</v>
      </c>
      <c r="Q4572">
        <v>0</v>
      </c>
      <c r="R4572">
        <v>0</v>
      </c>
      <c r="S4572">
        <v>0</v>
      </c>
      <c r="T4572" t="s">
        <v>18636</v>
      </c>
    </row>
    <row r="4573" spans="1:20" customFormat="1" ht="15" x14ac:dyDescent="0.25">
      <c r="A4573" t="s">
        <v>35</v>
      </c>
      <c r="B4573" t="s">
        <v>61</v>
      </c>
      <c r="C4573" t="str">
        <f>"A0184917"</f>
        <v>A0184917</v>
      </c>
      <c r="D4573" t="s">
        <v>18637</v>
      </c>
      <c r="E4573" t="s">
        <v>18638</v>
      </c>
      <c r="F4573" t="s">
        <v>11609</v>
      </c>
      <c r="G4573" t="s">
        <v>880</v>
      </c>
      <c r="H4573" t="s">
        <v>18639</v>
      </c>
      <c r="I4573" t="s">
        <v>30</v>
      </c>
      <c r="J4573" t="s">
        <v>41</v>
      </c>
      <c r="K4573" t="s">
        <v>59</v>
      </c>
      <c r="Q4573">
        <v>0</v>
      </c>
      <c r="R4573">
        <v>0</v>
      </c>
      <c r="S4573">
        <v>0</v>
      </c>
      <c r="T4573" t="s">
        <v>18640</v>
      </c>
    </row>
    <row r="4574" spans="1:20" customFormat="1" ht="15" x14ac:dyDescent="0.25">
      <c r="A4574" t="s">
        <v>35</v>
      </c>
      <c r="B4574" t="s">
        <v>61</v>
      </c>
      <c r="C4574" t="str">
        <f>"A0184916"</f>
        <v>A0184916</v>
      </c>
      <c r="D4574" t="s">
        <v>18641</v>
      </c>
      <c r="E4574" t="s">
        <v>18642</v>
      </c>
      <c r="F4574" t="s">
        <v>4082</v>
      </c>
      <c r="G4574" t="s">
        <v>123</v>
      </c>
      <c r="H4574" t="s">
        <v>18643</v>
      </c>
      <c r="I4574" t="s">
        <v>30</v>
      </c>
      <c r="J4574" t="s">
        <v>41</v>
      </c>
      <c r="K4574" t="s">
        <v>59</v>
      </c>
      <c r="Q4574">
        <v>0</v>
      </c>
      <c r="R4574">
        <v>0</v>
      </c>
      <c r="S4574">
        <v>0</v>
      </c>
      <c r="T4574" t="s">
        <v>18644</v>
      </c>
    </row>
    <row r="4575" spans="1:20" customFormat="1" ht="15" x14ac:dyDescent="0.25">
      <c r="A4575" t="s">
        <v>35</v>
      </c>
      <c r="B4575" t="s">
        <v>61</v>
      </c>
      <c r="C4575" t="str">
        <f>"A0184914"</f>
        <v>A0184914</v>
      </c>
      <c r="D4575" t="s">
        <v>18645</v>
      </c>
      <c r="E4575" t="s">
        <v>18646</v>
      </c>
      <c r="F4575" t="s">
        <v>9923</v>
      </c>
      <c r="G4575" t="s">
        <v>289</v>
      </c>
      <c r="H4575" t="s">
        <v>18647</v>
      </c>
      <c r="I4575" t="s">
        <v>30</v>
      </c>
      <c r="J4575" t="s">
        <v>41</v>
      </c>
      <c r="K4575" t="s">
        <v>59</v>
      </c>
      <c r="Q4575">
        <v>0</v>
      </c>
      <c r="R4575">
        <v>40</v>
      </c>
      <c r="S4575">
        <v>40</v>
      </c>
      <c r="T4575" t="s">
        <v>18648</v>
      </c>
    </row>
    <row r="4576" spans="1:20" customFormat="1" ht="15" x14ac:dyDescent="0.25">
      <c r="A4576" t="s">
        <v>35</v>
      </c>
      <c r="B4576" t="s">
        <v>11871</v>
      </c>
      <c r="C4576" t="str">
        <f>"A0184913"</f>
        <v>A0184913</v>
      </c>
      <c r="D4576" t="s">
        <v>18649</v>
      </c>
      <c r="E4576" t="s">
        <v>18650</v>
      </c>
      <c r="F4576" t="s">
        <v>7734</v>
      </c>
      <c r="G4576" t="s">
        <v>197</v>
      </c>
      <c r="H4576">
        <v>857141271</v>
      </c>
      <c r="I4576" t="s">
        <v>30</v>
      </c>
      <c r="J4576" t="s">
        <v>41</v>
      </c>
      <c r="K4576" t="s">
        <v>59</v>
      </c>
      <c r="Q4576">
        <v>0</v>
      </c>
      <c r="R4576">
        <v>0</v>
      </c>
      <c r="S4576">
        <v>0</v>
      </c>
      <c r="T4576" t="s">
        <v>18651</v>
      </c>
    </row>
    <row r="4577" spans="1:20" customFormat="1" ht="15" x14ac:dyDescent="0.25">
      <c r="A4577" t="s">
        <v>35</v>
      </c>
      <c r="B4577" t="s">
        <v>11871</v>
      </c>
      <c r="C4577" t="str">
        <f>"A0184912"</f>
        <v>A0184912</v>
      </c>
      <c r="D4577" t="s">
        <v>18652</v>
      </c>
      <c r="E4577" t="s">
        <v>18653</v>
      </c>
      <c r="F4577" t="s">
        <v>501</v>
      </c>
      <c r="G4577" t="s">
        <v>197</v>
      </c>
      <c r="H4577">
        <v>853018300</v>
      </c>
      <c r="I4577" t="s">
        <v>30</v>
      </c>
      <c r="J4577" t="s">
        <v>41</v>
      </c>
      <c r="K4577" t="s">
        <v>59</v>
      </c>
      <c r="Q4577">
        <v>0</v>
      </c>
      <c r="R4577">
        <v>0</v>
      </c>
      <c r="S4577">
        <v>0</v>
      </c>
      <c r="T4577" t="s">
        <v>18654</v>
      </c>
    </row>
    <row r="4578" spans="1:20" customFormat="1" ht="15" x14ac:dyDescent="0.25">
      <c r="A4578" t="s">
        <v>35</v>
      </c>
      <c r="B4578" t="s">
        <v>61</v>
      </c>
      <c r="C4578" t="str">
        <f>"A0184911"</f>
        <v>A0184911</v>
      </c>
      <c r="D4578" t="s">
        <v>18655</v>
      </c>
      <c r="E4578" t="s">
        <v>18656</v>
      </c>
      <c r="F4578" t="s">
        <v>1731</v>
      </c>
      <c r="G4578" t="s">
        <v>47</v>
      </c>
      <c r="H4578">
        <v>97338</v>
      </c>
      <c r="I4578" t="s">
        <v>30</v>
      </c>
      <c r="J4578" t="s">
        <v>41</v>
      </c>
      <c r="K4578" t="s">
        <v>59</v>
      </c>
      <c r="Q4578">
        <v>0</v>
      </c>
      <c r="R4578">
        <v>186</v>
      </c>
      <c r="S4578">
        <v>186</v>
      </c>
      <c r="T4578" t="s">
        <v>18657</v>
      </c>
    </row>
    <row r="4579" spans="1:20" customFormat="1" ht="15" x14ac:dyDescent="0.25">
      <c r="A4579" t="s">
        <v>35</v>
      </c>
      <c r="B4579" t="s">
        <v>61</v>
      </c>
      <c r="C4579" t="str">
        <f>"A0184910"</f>
        <v>A0184910</v>
      </c>
      <c r="D4579" t="s">
        <v>18658</v>
      </c>
      <c r="E4579" t="s">
        <v>18659</v>
      </c>
      <c r="F4579" t="s">
        <v>1431</v>
      </c>
      <c r="G4579" t="s">
        <v>47</v>
      </c>
      <c r="H4579">
        <v>972662285</v>
      </c>
      <c r="I4579" t="s">
        <v>30</v>
      </c>
      <c r="J4579" t="s">
        <v>41</v>
      </c>
      <c r="K4579" t="s">
        <v>59</v>
      </c>
      <c r="Q4579">
        <v>0</v>
      </c>
      <c r="R4579">
        <v>0</v>
      </c>
      <c r="S4579">
        <v>0</v>
      </c>
      <c r="T4579" t="s">
        <v>18660</v>
      </c>
    </row>
    <row r="4580" spans="1:20" customFormat="1" ht="15" x14ac:dyDescent="0.25">
      <c r="A4580" t="s">
        <v>35</v>
      </c>
      <c r="B4580" t="s">
        <v>61</v>
      </c>
      <c r="C4580" t="str">
        <f>"A0184909"</f>
        <v>A0184909</v>
      </c>
      <c r="D4580" t="s">
        <v>18661</v>
      </c>
      <c r="E4580" t="s">
        <v>18662</v>
      </c>
      <c r="F4580" t="s">
        <v>14036</v>
      </c>
      <c r="G4580" t="s">
        <v>47</v>
      </c>
      <c r="H4580">
        <v>97128</v>
      </c>
      <c r="I4580" t="s">
        <v>30</v>
      </c>
      <c r="J4580" t="s">
        <v>41</v>
      </c>
      <c r="K4580" t="s">
        <v>59</v>
      </c>
      <c r="Q4580">
        <v>0</v>
      </c>
      <c r="R4580">
        <v>0</v>
      </c>
      <c r="S4580">
        <v>0</v>
      </c>
      <c r="T4580" t="s">
        <v>18663</v>
      </c>
    </row>
    <row r="4581" spans="1:20" customFormat="1" ht="15" x14ac:dyDescent="0.25">
      <c r="A4581" t="s">
        <v>35</v>
      </c>
      <c r="B4581" t="s">
        <v>61</v>
      </c>
      <c r="C4581" t="str">
        <f>"A0184908"</f>
        <v>A0184908</v>
      </c>
      <c r="D4581" t="s">
        <v>18664</v>
      </c>
      <c r="E4581" t="s">
        <v>18665</v>
      </c>
      <c r="F4581" t="s">
        <v>18666</v>
      </c>
      <c r="G4581" t="s">
        <v>52</v>
      </c>
      <c r="H4581" t="s">
        <v>18667</v>
      </c>
      <c r="I4581" t="s">
        <v>30</v>
      </c>
      <c r="J4581" t="s">
        <v>41</v>
      </c>
      <c r="K4581" t="s">
        <v>59</v>
      </c>
      <c r="Q4581">
        <v>0</v>
      </c>
      <c r="R4581">
        <v>40</v>
      </c>
      <c r="S4581">
        <v>40</v>
      </c>
      <c r="T4581" t="s">
        <v>18668</v>
      </c>
    </row>
    <row r="4582" spans="1:20" customFormat="1" ht="15" x14ac:dyDescent="0.25">
      <c r="A4582" t="s">
        <v>35</v>
      </c>
      <c r="B4582" t="s">
        <v>61</v>
      </c>
      <c r="C4582" t="str">
        <f>"A0184907"</f>
        <v>A0184907</v>
      </c>
      <c r="D4582" t="s">
        <v>18669</v>
      </c>
      <c r="E4582" t="s">
        <v>18670</v>
      </c>
      <c r="F4582" t="s">
        <v>18671</v>
      </c>
      <c r="G4582" t="s">
        <v>52</v>
      </c>
      <c r="H4582" t="s">
        <v>18672</v>
      </c>
      <c r="I4582" t="s">
        <v>30</v>
      </c>
      <c r="J4582" t="s">
        <v>41</v>
      </c>
      <c r="K4582" t="s">
        <v>59</v>
      </c>
      <c r="Q4582">
        <v>0</v>
      </c>
      <c r="R4582">
        <v>62</v>
      </c>
      <c r="S4582">
        <v>62</v>
      </c>
      <c r="T4582" t="s">
        <v>18673</v>
      </c>
    </row>
    <row r="4583" spans="1:20" customFormat="1" ht="15" x14ac:dyDescent="0.25">
      <c r="A4583" t="s">
        <v>35</v>
      </c>
      <c r="B4583" t="s">
        <v>61</v>
      </c>
      <c r="C4583" t="str">
        <f>"A0184906"</f>
        <v>A0184906</v>
      </c>
      <c r="D4583" t="s">
        <v>18674</v>
      </c>
      <c r="E4583" t="s">
        <v>18675</v>
      </c>
      <c r="F4583" t="s">
        <v>1731</v>
      </c>
      <c r="G4583" t="s">
        <v>52</v>
      </c>
      <c r="H4583" t="s">
        <v>18676</v>
      </c>
      <c r="I4583" t="s">
        <v>30</v>
      </c>
      <c r="J4583" t="s">
        <v>41</v>
      </c>
      <c r="K4583" t="s">
        <v>59</v>
      </c>
      <c r="Q4583">
        <v>0</v>
      </c>
      <c r="R4583">
        <v>45</v>
      </c>
      <c r="S4583">
        <v>45</v>
      </c>
      <c r="T4583" t="s">
        <v>18677</v>
      </c>
    </row>
    <row r="4584" spans="1:20" customFormat="1" ht="15" x14ac:dyDescent="0.25">
      <c r="A4584" t="s">
        <v>35</v>
      </c>
      <c r="B4584" t="s">
        <v>61</v>
      </c>
      <c r="C4584" t="str">
        <f>"A0184905"</f>
        <v>A0184905</v>
      </c>
      <c r="D4584" t="s">
        <v>18678</v>
      </c>
      <c r="E4584" t="s">
        <v>18679</v>
      </c>
      <c r="F4584" t="s">
        <v>11723</v>
      </c>
      <c r="G4584" t="s">
        <v>52</v>
      </c>
      <c r="H4584" t="s">
        <v>18680</v>
      </c>
      <c r="I4584" t="s">
        <v>30</v>
      </c>
      <c r="J4584" t="s">
        <v>41</v>
      </c>
      <c r="K4584" t="s">
        <v>59</v>
      </c>
      <c r="Q4584">
        <v>0</v>
      </c>
      <c r="R4584">
        <v>0</v>
      </c>
      <c r="S4584">
        <v>0</v>
      </c>
      <c r="T4584" t="s">
        <v>18681</v>
      </c>
    </row>
    <row r="4585" spans="1:20" customFormat="1" ht="15" x14ac:dyDescent="0.25">
      <c r="A4585" t="s">
        <v>35</v>
      </c>
      <c r="B4585" t="s">
        <v>61</v>
      </c>
      <c r="C4585" t="str">
        <f>"A0184904"</f>
        <v>A0184904</v>
      </c>
      <c r="D4585" t="s">
        <v>18682</v>
      </c>
      <c r="E4585" t="s">
        <v>18683</v>
      </c>
      <c r="F4585" t="s">
        <v>1298</v>
      </c>
      <c r="G4585" t="s">
        <v>58</v>
      </c>
      <c r="H4585">
        <v>29201</v>
      </c>
      <c r="I4585" t="s">
        <v>30</v>
      </c>
      <c r="J4585" t="s">
        <v>41</v>
      </c>
      <c r="K4585" t="s">
        <v>59</v>
      </c>
      <c r="Q4585">
        <v>0</v>
      </c>
      <c r="R4585">
        <v>0</v>
      </c>
      <c r="S4585">
        <v>0</v>
      </c>
      <c r="T4585" t="s">
        <v>18684</v>
      </c>
    </row>
    <row r="4586" spans="1:20" customFormat="1" ht="15" x14ac:dyDescent="0.25">
      <c r="A4586" t="s">
        <v>35</v>
      </c>
      <c r="B4586" t="s">
        <v>61</v>
      </c>
      <c r="C4586" t="str">
        <f>"A0184902"</f>
        <v>A0184902</v>
      </c>
      <c r="D4586" t="s">
        <v>18685</v>
      </c>
      <c r="E4586" t="s">
        <v>18686</v>
      </c>
      <c r="F4586" t="s">
        <v>15556</v>
      </c>
      <c r="G4586" t="s">
        <v>289</v>
      </c>
      <c r="H4586" t="s">
        <v>18687</v>
      </c>
      <c r="I4586" t="s">
        <v>30</v>
      </c>
      <c r="J4586" t="s">
        <v>41</v>
      </c>
      <c r="K4586" t="s">
        <v>59</v>
      </c>
      <c r="Q4586">
        <v>0</v>
      </c>
      <c r="R4586">
        <v>0</v>
      </c>
      <c r="S4586">
        <v>0</v>
      </c>
      <c r="T4586" t="s">
        <v>18688</v>
      </c>
    </row>
    <row r="4587" spans="1:20" customFormat="1" ht="15" x14ac:dyDescent="0.25">
      <c r="A4587" t="s">
        <v>35</v>
      </c>
      <c r="B4587" t="s">
        <v>61</v>
      </c>
      <c r="C4587" t="str">
        <f>"A0184901"</f>
        <v>A0184901</v>
      </c>
      <c r="D4587" t="s">
        <v>18689</v>
      </c>
      <c r="E4587" t="s">
        <v>18690</v>
      </c>
      <c r="F4587" t="s">
        <v>18691</v>
      </c>
      <c r="G4587" t="s">
        <v>289</v>
      </c>
      <c r="H4587" t="s">
        <v>18692</v>
      </c>
      <c r="I4587" t="s">
        <v>30</v>
      </c>
      <c r="J4587" t="s">
        <v>41</v>
      </c>
      <c r="K4587" t="s">
        <v>59</v>
      </c>
      <c r="Q4587">
        <v>0</v>
      </c>
      <c r="R4587">
        <v>207</v>
      </c>
      <c r="S4587">
        <v>207</v>
      </c>
      <c r="T4587" t="s">
        <v>18693</v>
      </c>
    </row>
    <row r="4588" spans="1:20" customFormat="1" ht="15" x14ac:dyDescent="0.25">
      <c r="A4588" t="s">
        <v>35</v>
      </c>
      <c r="B4588" t="s">
        <v>11871</v>
      </c>
      <c r="C4588" t="str">
        <f>"A0184900"</f>
        <v>A0184900</v>
      </c>
      <c r="D4588" t="s">
        <v>18694</v>
      </c>
      <c r="E4588" t="s">
        <v>18695</v>
      </c>
      <c r="F4588" t="s">
        <v>18696</v>
      </c>
      <c r="G4588" t="s">
        <v>2391</v>
      </c>
      <c r="H4588" t="s">
        <v>18697</v>
      </c>
      <c r="I4588" t="s">
        <v>30</v>
      </c>
      <c r="J4588" t="s">
        <v>41</v>
      </c>
      <c r="K4588" t="s">
        <v>59</v>
      </c>
      <c r="Q4588">
        <v>0</v>
      </c>
      <c r="R4588">
        <v>0</v>
      </c>
      <c r="S4588">
        <v>0</v>
      </c>
      <c r="T4588" t="s">
        <v>18698</v>
      </c>
    </row>
    <row r="4589" spans="1:20" customFormat="1" ht="15" x14ac:dyDescent="0.25">
      <c r="A4589" t="s">
        <v>35</v>
      </c>
      <c r="B4589" t="s">
        <v>61</v>
      </c>
      <c r="C4589" t="str">
        <f>"A0184899"</f>
        <v>A0184899</v>
      </c>
      <c r="D4589" t="s">
        <v>18699</v>
      </c>
      <c r="E4589" t="s">
        <v>18700</v>
      </c>
      <c r="F4589" t="s">
        <v>635</v>
      </c>
      <c r="G4589" t="s">
        <v>2391</v>
      </c>
      <c r="H4589" t="s">
        <v>18701</v>
      </c>
      <c r="I4589" t="s">
        <v>30</v>
      </c>
      <c r="J4589" t="s">
        <v>41</v>
      </c>
      <c r="K4589" t="s">
        <v>59</v>
      </c>
      <c r="Q4589">
        <v>0</v>
      </c>
      <c r="R4589">
        <v>0</v>
      </c>
      <c r="S4589">
        <v>0</v>
      </c>
      <c r="T4589" t="s">
        <v>18702</v>
      </c>
    </row>
    <row r="4590" spans="1:20" customFormat="1" ht="15" x14ac:dyDescent="0.25">
      <c r="A4590" t="s">
        <v>35</v>
      </c>
      <c r="B4590" t="s">
        <v>61</v>
      </c>
      <c r="C4590" t="str">
        <f>"A0184898"</f>
        <v>A0184898</v>
      </c>
      <c r="D4590" t="s">
        <v>18703</v>
      </c>
      <c r="E4590" t="s">
        <v>18704</v>
      </c>
      <c r="F4590" t="s">
        <v>7317</v>
      </c>
      <c r="G4590" t="s">
        <v>76</v>
      </c>
      <c r="H4590">
        <v>981987352</v>
      </c>
      <c r="I4590" t="s">
        <v>30</v>
      </c>
      <c r="J4590" t="s">
        <v>41</v>
      </c>
      <c r="K4590" t="s">
        <v>59</v>
      </c>
      <c r="Q4590">
        <v>0</v>
      </c>
      <c r="R4590">
        <v>0</v>
      </c>
      <c r="S4590">
        <v>0</v>
      </c>
    </row>
    <row r="4591" spans="1:20" customFormat="1" ht="15" x14ac:dyDescent="0.25">
      <c r="A4591" t="s">
        <v>35</v>
      </c>
      <c r="B4591" t="s">
        <v>61</v>
      </c>
      <c r="C4591" t="str">
        <f>"A0184897"</f>
        <v>A0184897</v>
      </c>
      <c r="D4591" t="s">
        <v>18705</v>
      </c>
      <c r="E4591" t="s">
        <v>18706</v>
      </c>
      <c r="F4591" t="s">
        <v>75</v>
      </c>
      <c r="G4591" t="s">
        <v>76</v>
      </c>
      <c r="H4591">
        <v>992181558</v>
      </c>
      <c r="I4591" t="s">
        <v>30</v>
      </c>
      <c r="J4591" t="s">
        <v>41</v>
      </c>
      <c r="K4591" t="s">
        <v>59</v>
      </c>
      <c r="Q4591">
        <v>0</v>
      </c>
      <c r="R4591">
        <v>49</v>
      </c>
      <c r="S4591">
        <v>49</v>
      </c>
      <c r="T4591" t="s">
        <v>18707</v>
      </c>
    </row>
    <row r="4592" spans="1:20" customFormat="1" ht="15" x14ac:dyDescent="0.25">
      <c r="A4592" t="s">
        <v>35</v>
      </c>
      <c r="B4592" t="s">
        <v>11871</v>
      </c>
      <c r="C4592" t="str">
        <f>"A0184896"</f>
        <v>A0184896</v>
      </c>
      <c r="D4592" t="s">
        <v>18708</v>
      </c>
      <c r="E4592" t="s">
        <v>18709</v>
      </c>
      <c r="F4592" t="s">
        <v>9636</v>
      </c>
      <c r="G4592" t="s">
        <v>76</v>
      </c>
      <c r="H4592">
        <v>990378937</v>
      </c>
      <c r="I4592" t="s">
        <v>30</v>
      </c>
      <c r="J4592" t="s">
        <v>41</v>
      </c>
      <c r="K4592" t="s">
        <v>59</v>
      </c>
      <c r="Q4592">
        <v>0</v>
      </c>
      <c r="R4592">
        <v>0</v>
      </c>
      <c r="S4592">
        <v>0</v>
      </c>
      <c r="T4592" t="s">
        <v>18710</v>
      </c>
    </row>
    <row r="4593" spans="1:20" customFormat="1" ht="15" x14ac:dyDescent="0.25">
      <c r="A4593" t="s">
        <v>35</v>
      </c>
      <c r="B4593" t="s">
        <v>61</v>
      </c>
      <c r="C4593" t="str">
        <f>"A0184895"</f>
        <v>A0184895</v>
      </c>
      <c r="D4593" t="s">
        <v>18711</v>
      </c>
      <c r="E4593" t="s">
        <v>18712</v>
      </c>
      <c r="F4593" t="s">
        <v>1431</v>
      </c>
      <c r="G4593" t="s">
        <v>47</v>
      </c>
      <c r="H4593">
        <v>972016302</v>
      </c>
      <c r="I4593" t="s">
        <v>30</v>
      </c>
      <c r="J4593" t="s">
        <v>41</v>
      </c>
      <c r="K4593" t="s">
        <v>59</v>
      </c>
      <c r="Q4593">
        <v>0</v>
      </c>
      <c r="R4593">
        <v>44</v>
      </c>
      <c r="S4593">
        <v>44</v>
      </c>
      <c r="T4593" t="s">
        <v>18713</v>
      </c>
    </row>
    <row r="4594" spans="1:20" customFormat="1" ht="15" x14ac:dyDescent="0.25">
      <c r="A4594" t="s">
        <v>35</v>
      </c>
      <c r="B4594" t="s">
        <v>61</v>
      </c>
      <c r="C4594" t="str">
        <f>"A0184894"</f>
        <v>A0184894</v>
      </c>
      <c r="D4594" t="s">
        <v>18714</v>
      </c>
      <c r="E4594" t="s">
        <v>18715</v>
      </c>
      <c r="F4594" t="s">
        <v>18222</v>
      </c>
      <c r="G4594" t="s">
        <v>76</v>
      </c>
      <c r="H4594">
        <v>991597003</v>
      </c>
      <c r="I4594" t="s">
        <v>30</v>
      </c>
      <c r="J4594" t="s">
        <v>41</v>
      </c>
      <c r="K4594" t="s">
        <v>59</v>
      </c>
      <c r="Q4594">
        <v>0</v>
      </c>
      <c r="R4594">
        <v>37</v>
      </c>
      <c r="S4594">
        <v>37</v>
      </c>
      <c r="T4594" t="s">
        <v>18716</v>
      </c>
    </row>
    <row r="4595" spans="1:20" customFormat="1" ht="15" x14ac:dyDescent="0.25">
      <c r="A4595" t="s">
        <v>35</v>
      </c>
      <c r="B4595" t="s">
        <v>11871</v>
      </c>
      <c r="C4595" t="str">
        <f>"A0184892"</f>
        <v>A0184892</v>
      </c>
      <c r="D4595" t="s">
        <v>18717</v>
      </c>
      <c r="E4595" t="s">
        <v>18718</v>
      </c>
      <c r="F4595" t="s">
        <v>9636</v>
      </c>
      <c r="G4595" t="s">
        <v>76</v>
      </c>
      <c r="H4595">
        <v>990169728</v>
      </c>
      <c r="I4595" t="s">
        <v>30</v>
      </c>
      <c r="J4595" t="s">
        <v>41</v>
      </c>
      <c r="K4595" t="s">
        <v>59</v>
      </c>
      <c r="Q4595">
        <v>0</v>
      </c>
      <c r="R4595">
        <v>0</v>
      </c>
      <c r="S4595">
        <v>0</v>
      </c>
      <c r="T4595" t="s">
        <v>18204</v>
      </c>
    </row>
    <row r="4596" spans="1:20" customFormat="1" ht="15" x14ac:dyDescent="0.25">
      <c r="A4596" t="s">
        <v>35</v>
      </c>
      <c r="B4596" t="s">
        <v>61</v>
      </c>
      <c r="C4596" t="str">
        <f>"A0184891"</f>
        <v>A0184891</v>
      </c>
      <c r="D4596" t="s">
        <v>18719</v>
      </c>
      <c r="E4596" t="s">
        <v>18720</v>
      </c>
      <c r="F4596" t="s">
        <v>18721</v>
      </c>
      <c r="G4596" t="s">
        <v>76</v>
      </c>
      <c r="H4596">
        <v>988018219</v>
      </c>
      <c r="I4596" t="s">
        <v>30</v>
      </c>
      <c r="J4596" t="s">
        <v>41</v>
      </c>
      <c r="K4596" t="s">
        <v>59</v>
      </c>
      <c r="Q4596">
        <v>0</v>
      </c>
      <c r="R4596">
        <v>0</v>
      </c>
      <c r="S4596">
        <v>0</v>
      </c>
      <c r="T4596" t="s">
        <v>18722</v>
      </c>
    </row>
    <row r="4597" spans="1:20" customFormat="1" ht="15" x14ac:dyDescent="0.25">
      <c r="A4597" t="s">
        <v>35</v>
      </c>
      <c r="B4597" t="s">
        <v>61</v>
      </c>
      <c r="C4597" t="str">
        <f>"A0184889"</f>
        <v>A0184889</v>
      </c>
      <c r="D4597" t="s">
        <v>18723</v>
      </c>
      <c r="E4597" t="s">
        <v>18724</v>
      </c>
      <c r="F4597" t="s">
        <v>3009</v>
      </c>
      <c r="G4597" t="s">
        <v>103</v>
      </c>
      <c r="H4597" t="s">
        <v>18725</v>
      </c>
      <c r="I4597" t="s">
        <v>30</v>
      </c>
      <c r="J4597" t="s">
        <v>41</v>
      </c>
      <c r="K4597" t="s">
        <v>59</v>
      </c>
      <c r="Q4597">
        <v>0</v>
      </c>
      <c r="R4597">
        <v>132</v>
      </c>
      <c r="S4597">
        <v>132</v>
      </c>
      <c r="T4597" t="s">
        <v>18726</v>
      </c>
    </row>
    <row r="4598" spans="1:20" customFormat="1" ht="15" x14ac:dyDescent="0.25">
      <c r="A4598" t="s">
        <v>35</v>
      </c>
      <c r="B4598" t="s">
        <v>61</v>
      </c>
      <c r="C4598" t="str">
        <f>"A0184888"</f>
        <v>A0184888</v>
      </c>
      <c r="D4598" t="s">
        <v>18723</v>
      </c>
      <c r="E4598" t="s">
        <v>18727</v>
      </c>
      <c r="F4598" t="s">
        <v>17865</v>
      </c>
      <c r="G4598" t="s">
        <v>103</v>
      </c>
      <c r="H4598">
        <v>17584</v>
      </c>
      <c r="I4598" t="s">
        <v>30</v>
      </c>
      <c r="J4598" t="s">
        <v>41</v>
      </c>
      <c r="K4598" t="s">
        <v>59</v>
      </c>
      <c r="Q4598">
        <v>0</v>
      </c>
      <c r="R4598">
        <v>112</v>
      </c>
      <c r="S4598">
        <v>112</v>
      </c>
      <c r="T4598" t="s">
        <v>17867</v>
      </c>
    </row>
    <row r="4599" spans="1:20" customFormat="1" ht="15" x14ac:dyDescent="0.25">
      <c r="A4599" t="s">
        <v>35</v>
      </c>
      <c r="B4599" t="s">
        <v>61</v>
      </c>
      <c r="C4599" t="str">
        <f>"A0184887"</f>
        <v>A0184887</v>
      </c>
      <c r="D4599" t="s">
        <v>18728</v>
      </c>
      <c r="E4599" t="s">
        <v>18729</v>
      </c>
      <c r="F4599" t="s">
        <v>3009</v>
      </c>
      <c r="G4599" t="s">
        <v>103</v>
      </c>
      <c r="H4599">
        <v>17602</v>
      </c>
      <c r="I4599" t="s">
        <v>30</v>
      </c>
      <c r="J4599" t="s">
        <v>41</v>
      </c>
      <c r="K4599" t="s">
        <v>59</v>
      </c>
      <c r="Q4599">
        <v>0</v>
      </c>
      <c r="R4599">
        <v>40</v>
      </c>
      <c r="S4599">
        <v>40</v>
      </c>
      <c r="T4599" t="s">
        <v>18730</v>
      </c>
    </row>
    <row r="4600" spans="1:20" customFormat="1" ht="15" x14ac:dyDescent="0.25">
      <c r="A4600" t="s">
        <v>35</v>
      </c>
      <c r="B4600" t="s">
        <v>61</v>
      </c>
      <c r="C4600" t="str">
        <f>"A0184886"</f>
        <v>A0184886</v>
      </c>
      <c r="D4600" t="s">
        <v>18731</v>
      </c>
      <c r="E4600" t="s">
        <v>18732</v>
      </c>
      <c r="F4600" t="s">
        <v>4629</v>
      </c>
      <c r="G4600" t="s">
        <v>103</v>
      </c>
      <c r="H4600" t="s">
        <v>18733</v>
      </c>
      <c r="I4600" t="s">
        <v>30</v>
      </c>
      <c r="J4600" t="s">
        <v>41</v>
      </c>
      <c r="K4600" t="s">
        <v>59</v>
      </c>
      <c r="Q4600">
        <v>0</v>
      </c>
      <c r="R4600">
        <v>0</v>
      </c>
      <c r="S4600">
        <v>0</v>
      </c>
    </row>
    <row r="4601" spans="1:20" customFormat="1" ht="15" x14ac:dyDescent="0.25">
      <c r="A4601" t="s">
        <v>35</v>
      </c>
      <c r="B4601" t="s">
        <v>61</v>
      </c>
      <c r="C4601" t="str">
        <f>"A0184885"</f>
        <v>A0184885</v>
      </c>
      <c r="D4601" t="s">
        <v>18734</v>
      </c>
      <c r="E4601" t="s">
        <v>18735</v>
      </c>
      <c r="F4601" t="s">
        <v>1298</v>
      </c>
      <c r="G4601" t="s">
        <v>103</v>
      </c>
      <c r="H4601" t="s">
        <v>18736</v>
      </c>
      <c r="I4601" t="s">
        <v>30</v>
      </c>
      <c r="J4601" t="s">
        <v>41</v>
      </c>
      <c r="K4601" t="s">
        <v>59</v>
      </c>
      <c r="Q4601">
        <v>0</v>
      </c>
      <c r="R4601">
        <v>119</v>
      </c>
      <c r="S4601">
        <v>119</v>
      </c>
      <c r="T4601" t="s">
        <v>18737</v>
      </c>
    </row>
    <row r="4602" spans="1:20" customFormat="1" ht="15" x14ac:dyDescent="0.25">
      <c r="A4602" t="s">
        <v>35</v>
      </c>
      <c r="B4602" t="s">
        <v>61</v>
      </c>
      <c r="C4602" t="str">
        <f>"A0184884"</f>
        <v>A0184884</v>
      </c>
      <c r="D4602" t="s">
        <v>18738</v>
      </c>
      <c r="E4602" t="s">
        <v>18739</v>
      </c>
      <c r="F4602" t="s">
        <v>18740</v>
      </c>
      <c r="G4602" t="s">
        <v>81</v>
      </c>
      <c r="H4602" t="s">
        <v>18741</v>
      </c>
      <c r="I4602" t="s">
        <v>30</v>
      </c>
      <c r="J4602" t="s">
        <v>41</v>
      </c>
      <c r="K4602" t="s">
        <v>59</v>
      </c>
      <c r="Q4602">
        <v>0</v>
      </c>
      <c r="R4602">
        <v>148</v>
      </c>
      <c r="S4602">
        <v>148</v>
      </c>
      <c r="T4602" t="s">
        <v>18742</v>
      </c>
    </row>
    <row r="4603" spans="1:20" customFormat="1" ht="15" x14ac:dyDescent="0.25">
      <c r="A4603" t="s">
        <v>35</v>
      </c>
      <c r="B4603" t="s">
        <v>61</v>
      </c>
      <c r="C4603" t="str">
        <f>"A0184883"</f>
        <v>A0184883</v>
      </c>
      <c r="D4603" t="s">
        <v>17942</v>
      </c>
      <c r="E4603" t="s">
        <v>18743</v>
      </c>
      <c r="F4603" t="s">
        <v>17621</v>
      </c>
      <c r="G4603" t="s">
        <v>52</v>
      </c>
      <c r="H4603">
        <v>769034077</v>
      </c>
      <c r="I4603" t="s">
        <v>30</v>
      </c>
      <c r="J4603" t="s">
        <v>41</v>
      </c>
      <c r="K4603" t="s">
        <v>59</v>
      </c>
      <c r="Q4603">
        <v>0</v>
      </c>
      <c r="R4603">
        <v>0</v>
      </c>
      <c r="S4603">
        <v>0</v>
      </c>
      <c r="T4603" t="s">
        <v>17622</v>
      </c>
    </row>
    <row r="4604" spans="1:20" customFormat="1" ht="15" x14ac:dyDescent="0.25">
      <c r="A4604" t="s">
        <v>35</v>
      </c>
      <c r="B4604" t="s">
        <v>61</v>
      </c>
      <c r="C4604" t="str">
        <f>"A0184882"</f>
        <v>A0184882</v>
      </c>
      <c r="D4604" t="s">
        <v>18744</v>
      </c>
      <c r="E4604" t="s">
        <v>18576</v>
      </c>
      <c r="F4604" t="s">
        <v>5240</v>
      </c>
      <c r="G4604" t="s">
        <v>52</v>
      </c>
      <c r="H4604" t="s">
        <v>18745</v>
      </c>
      <c r="I4604" t="s">
        <v>30</v>
      </c>
      <c r="J4604" t="s">
        <v>41</v>
      </c>
      <c r="K4604" t="s">
        <v>59</v>
      </c>
      <c r="Q4604">
        <v>0</v>
      </c>
      <c r="R4604">
        <v>0</v>
      </c>
      <c r="S4604">
        <v>0</v>
      </c>
    </row>
    <row r="4605" spans="1:20" customFormat="1" ht="15" x14ac:dyDescent="0.25">
      <c r="A4605" t="s">
        <v>35</v>
      </c>
      <c r="B4605" t="s">
        <v>61</v>
      </c>
      <c r="C4605" t="str">
        <f>"A0184881"</f>
        <v>A0184881</v>
      </c>
      <c r="D4605" t="s">
        <v>18746</v>
      </c>
      <c r="E4605" t="s">
        <v>18747</v>
      </c>
      <c r="F4605" t="s">
        <v>1501</v>
      </c>
      <c r="G4605" t="s">
        <v>880</v>
      </c>
      <c r="H4605" t="s">
        <v>18748</v>
      </c>
      <c r="I4605" t="s">
        <v>30</v>
      </c>
      <c r="J4605" t="s">
        <v>41</v>
      </c>
      <c r="K4605" t="s">
        <v>59</v>
      </c>
      <c r="Q4605">
        <v>0</v>
      </c>
      <c r="R4605">
        <v>0</v>
      </c>
      <c r="S4605">
        <v>0</v>
      </c>
    </row>
    <row r="4606" spans="1:20" customFormat="1" ht="15" x14ac:dyDescent="0.25">
      <c r="A4606" t="s">
        <v>35</v>
      </c>
      <c r="B4606" t="s">
        <v>11871</v>
      </c>
      <c r="C4606" t="str">
        <f>"A0184879"</f>
        <v>A0184879</v>
      </c>
      <c r="D4606" t="s">
        <v>18749</v>
      </c>
      <c r="E4606" t="s">
        <v>18750</v>
      </c>
      <c r="F4606" t="s">
        <v>1501</v>
      </c>
      <c r="G4606" t="s">
        <v>880</v>
      </c>
      <c r="H4606" t="s">
        <v>18751</v>
      </c>
      <c r="I4606" t="s">
        <v>30</v>
      </c>
      <c r="J4606" t="s">
        <v>41</v>
      </c>
      <c r="K4606" t="s">
        <v>59</v>
      </c>
      <c r="Q4606">
        <v>0</v>
      </c>
      <c r="R4606">
        <v>0</v>
      </c>
      <c r="S4606">
        <v>0</v>
      </c>
    </row>
    <row r="4607" spans="1:20" customFormat="1" ht="15" x14ac:dyDescent="0.25">
      <c r="A4607" t="s">
        <v>35</v>
      </c>
      <c r="B4607" t="s">
        <v>11183</v>
      </c>
      <c r="C4607" t="str">
        <f>"A0184878"</f>
        <v>A0184878</v>
      </c>
      <c r="D4607" t="s">
        <v>18752</v>
      </c>
      <c r="E4607" t="s">
        <v>18753</v>
      </c>
      <c r="F4607" t="s">
        <v>6049</v>
      </c>
      <c r="G4607" t="s">
        <v>123</v>
      </c>
      <c r="H4607" t="s">
        <v>18754</v>
      </c>
      <c r="I4607" t="s">
        <v>30</v>
      </c>
      <c r="J4607" t="s">
        <v>41</v>
      </c>
      <c r="K4607" t="s">
        <v>59</v>
      </c>
      <c r="Q4607">
        <v>0</v>
      </c>
      <c r="R4607">
        <v>0</v>
      </c>
      <c r="S4607">
        <v>0</v>
      </c>
      <c r="T4607" t="s">
        <v>18755</v>
      </c>
    </row>
    <row r="4608" spans="1:20" customFormat="1" ht="15" x14ac:dyDescent="0.25">
      <c r="A4608" t="s">
        <v>35</v>
      </c>
      <c r="B4608" t="s">
        <v>61</v>
      </c>
      <c r="C4608" t="str">
        <f>"A0184877"</f>
        <v>A0184877</v>
      </c>
      <c r="D4608" t="s">
        <v>18756</v>
      </c>
      <c r="E4608" t="s">
        <v>18757</v>
      </c>
      <c r="F4608" t="s">
        <v>10873</v>
      </c>
      <c r="G4608" t="s">
        <v>289</v>
      </c>
      <c r="H4608" t="s">
        <v>18758</v>
      </c>
      <c r="I4608" t="s">
        <v>30</v>
      </c>
      <c r="J4608" t="s">
        <v>41</v>
      </c>
      <c r="K4608" t="s">
        <v>59</v>
      </c>
      <c r="Q4608">
        <v>0</v>
      </c>
      <c r="R4608">
        <v>59</v>
      </c>
      <c r="S4608">
        <v>59</v>
      </c>
      <c r="T4608" t="s">
        <v>18759</v>
      </c>
    </row>
    <row r="4609" spans="1:20" customFormat="1" ht="15" x14ac:dyDescent="0.25">
      <c r="A4609" t="s">
        <v>35</v>
      </c>
      <c r="B4609" t="s">
        <v>61</v>
      </c>
      <c r="C4609" t="str">
        <f>"A0184876"</f>
        <v>A0184876</v>
      </c>
      <c r="D4609" t="s">
        <v>18760</v>
      </c>
      <c r="E4609" t="s">
        <v>18761</v>
      </c>
      <c r="F4609" t="s">
        <v>13615</v>
      </c>
      <c r="G4609" t="s">
        <v>289</v>
      </c>
      <c r="H4609" t="s">
        <v>18762</v>
      </c>
      <c r="I4609" t="s">
        <v>30</v>
      </c>
      <c r="J4609" t="s">
        <v>41</v>
      </c>
      <c r="K4609" t="s">
        <v>59</v>
      </c>
      <c r="Q4609">
        <v>0</v>
      </c>
      <c r="R4609">
        <v>0</v>
      </c>
      <c r="S4609">
        <v>0</v>
      </c>
      <c r="T4609" t="s">
        <v>18763</v>
      </c>
    </row>
    <row r="4610" spans="1:20" customFormat="1" ht="15" x14ac:dyDescent="0.25">
      <c r="A4610" t="s">
        <v>35</v>
      </c>
      <c r="B4610" t="s">
        <v>16926</v>
      </c>
      <c r="C4610" t="str">
        <f>"A0184874"</f>
        <v>A0184874</v>
      </c>
      <c r="D4610" t="s">
        <v>18764</v>
      </c>
      <c r="E4610" t="s">
        <v>18325</v>
      </c>
      <c r="F4610" t="s">
        <v>13105</v>
      </c>
      <c r="G4610" t="s">
        <v>289</v>
      </c>
      <c r="H4610">
        <v>604776397</v>
      </c>
      <c r="I4610" t="s">
        <v>30</v>
      </c>
      <c r="J4610" t="s">
        <v>41</v>
      </c>
      <c r="K4610" t="s">
        <v>59</v>
      </c>
      <c r="Q4610">
        <v>0</v>
      </c>
      <c r="R4610">
        <v>0</v>
      </c>
      <c r="S4610">
        <v>0</v>
      </c>
      <c r="T4610" t="s">
        <v>18765</v>
      </c>
    </row>
    <row r="4611" spans="1:20" customFormat="1" ht="15" x14ac:dyDescent="0.25">
      <c r="A4611" t="s">
        <v>35</v>
      </c>
      <c r="B4611" t="s">
        <v>61</v>
      </c>
      <c r="C4611" t="str">
        <f>"A0184873"</f>
        <v>A0184873</v>
      </c>
      <c r="D4611" t="s">
        <v>18766</v>
      </c>
      <c r="E4611" t="s">
        <v>18767</v>
      </c>
      <c r="F4611" t="s">
        <v>4082</v>
      </c>
      <c r="G4611" t="s">
        <v>123</v>
      </c>
      <c r="H4611">
        <v>21201</v>
      </c>
      <c r="I4611" t="s">
        <v>30</v>
      </c>
      <c r="J4611" t="s">
        <v>41</v>
      </c>
      <c r="K4611" t="s">
        <v>59</v>
      </c>
      <c r="Q4611">
        <v>0</v>
      </c>
      <c r="R4611">
        <v>0</v>
      </c>
      <c r="S4611">
        <v>0</v>
      </c>
    </row>
    <row r="4612" spans="1:20" customFormat="1" ht="15" x14ac:dyDescent="0.25">
      <c r="A4612" t="s">
        <v>35</v>
      </c>
      <c r="B4612" t="s">
        <v>61</v>
      </c>
      <c r="C4612" t="str">
        <f>"A0184872"</f>
        <v>A0184872</v>
      </c>
      <c r="D4612" t="s">
        <v>18768</v>
      </c>
      <c r="E4612" t="s">
        <v>18328</v>
      </c>
      <c r="F4612" t="s">
        <v>18329</v>
      </c>
      <c r="G4612" t="s">
        <v>123</v>
      </c>
      <c r="H4612" t="s">
        <v>18330</v>
      </c>
      <c r="I4612" t="s">
        <v>30</v>
      </c>
      <c r="J4612" t="s">
        <v>41</v>
      </c>
      <c r="K4612" t="s">
        <v>59</v>
      </c>
      <c r="Q4612">
        <v>0</v>
      </c>
      <c r="R4612">
        <v>0</v>
      </c>
      <c r="S4612">
        <v>0</v>
      </c>
      <c r="T4612" t="s">
        <v>18769</v>
      </c>
    </row>
    <row r="4613" spans="1:20" customFormat="1" ht="15" x14ac:dyDescent="0.25">
      <c r="A4613" t="s">
        <v>35</v>
      </c>
      <c r="B4613" t="s">
        <v>61</v>
      </c>
      <c r="C4613" t="str">
        <f>"A0184871"</f>
        <v>A0184871</v>
      </c>
      <c r="D4613" t="s">
        <v>18770</v>
      </c>
      <c r="E4613" t="s">
        <v>18771</v>
      </c>
      <c r="F4613" t="s">
        <v>288</v>
      </c>
      <c r="G4613" t="s">
        <v>289</v>
      </c>
      <c r="H4613" t="s">
        <v>18772</v>
      </c>
      <c r="I4613" t="s">
        <v>30</v>
      </c>
      <c r="J4613" t="s">
        <v>41</v>
      </c>
      <c r="K4613" t="s">
        <v>59</v>
      </c>
      <c r="Q4613">
        <v>0</v>
      </c>
      <c r="R4613">
        <v>110</v>
      </c>
      <c r="S4613">
        <v>110</v>
      </c>
      <c r="T4613" t="s">
        <v>18773</v>
      </c>
    </row>
    <row r="4614" spans="1:20" customFormat="1" ht="15" x14ac:dyDescent="0.25">
      <c r="A4614" t="s">
        <v>35</v>
      </c>
      <c r="B4614" t="s">
        <v>61</v>
      </c>
      <c r="C4614" t="str">
        <f>"A0184869"</f>
        <v>A0184869</v>
      </c>
      <c r="D4614" t="s">
        <v>18774</v>
      </c>
      <c r="E4614" t="s">
        <v>18775</v>
      </c>
      <c r="F4614" t="s">
        <v>288</v>
      </c>
      <c r="G4614" t="s">
        <v>289</v>
      </c>
      <c r="H4614">
        <v>60641</v>
      </c>
      <c r="I4614" t="s">
        <v>30</v>
      </c>
      <c r="J4614" t="s">
        <v>41</v>
      </c>
      <c r="K4614" t="s">
        <v>59</v>
      </c>
      <c r="Q4614">
        <v>0</v>
      </c>
      <c r="R4614">
        <v>0</v>
      </c>
      <c r="S4614">
        <v>0</v>
      </c>
    </row>
    <row r="4615" spans="1:20" customFormat="1" ht="15" x14ac:dyDescent="0.25">
      <c r="A4615" t="s">
        <v>35</v>
      </c>
      <c r="B4615" t="s">
        <v>61</v>
      </c>
      <c r="C4615" t="str">
        <f>"A0184868"</f>
        <v>A0184868</v>
      </c>
      <c r="D4615" t="s">
        <v>18776</v>
      </c>
      <c r="E4615" t="s">
        <v>18777</v>
      </c>
      <c r="F4615" t="s">
        <v>4133</v>
      </c>
      <c r="G4615" t="s">
        <v>52</v>
      </c>
      <c r="H4615">
        <v>787533354</v>
      </c>
      <c r="I4615" t="s">
        <v>30</v>
      </c>
      <c r="J4615" t="s">
        <v>41</v>
      </c>
      <c r="K4615" t="s">
        <v>59</v>
      </c>
      <c r="Q4615">
        <v>0</v>
      </c>
      <c r="R4615">
        <v>76</v>
      </c>
      <c r="S4615">
        <v>76</v>
      </c>
      <c r="T4615" t="s">
        <v>18778</v>
      </c>
    </row>
    <row r="4616" spans="1:20" customFormat="1" ht="15" x14ac:dyDescent="0.25">
      <c r="A4616" t="s">
        <v>35</v>
      </c>
      <c r="B4616" t="s">
        <v>61</v>
      </c>
      <c r="C4616" t="str">
        <f>"A0184867"</f>
        <v>A0184867</v>
      </c>
      <c r="D4616" t="s">
        <v>18779</v>
      </c>
      <c r="E4616" t="s">
        <v>18780</v>
      </c>
      <c r="F4616" t="s">
        <v>18781</v>
      </c>
      <c r="G4616" t="s">
        <v>58</v>
      </c>
      <c r="H4616" t="s">
        <v>18782</v>
      </c>
      <c r="I4616" t="s">
        <v>30</v>
      </c>
      <c r="J4616" t="s">
        <v>41</v>
      </c>
      <c r="K4616" t="s">
        <v>59</v>
      </c>
      <c r="Q4616">
        <v>0</v>
      </c>
      <c r="R4616">
        <v>184</v>
      </c>
      <c r="S4616">
        <v>184</v>
      </c>
      <c r="T4616" t="s">
        <v>18783</v>
      </c>
    </row>
    <row r="4617" spans="1:20" customFormat="1" ht="15" x14ac:dyDescent="0.25">
      <c r="A4617" t="s">
        <v>35</v>
      </c>
      <c r="B4617" t="s">
        <v>61</v>
      </c>
      <c r="C4617" t="str">
        <f>"A0184866"</f>
        <v>A0184866</v>
      </c>
      <c r="D4617" t="s">
        <v>18784</v>
      </c>
      <c r="E4617" t="s">
        <v>18785</v>
      </c>
      <c r="F4617" t="s">
        <v>8024</v>
      </c>
      <c r="G4617" t="s">
        <v>90</v>
      </c>
      <c r="H4617" t="s">
        <v>18786</v>
      </c>
      <c r="I4617" t="s">
        <v>30</v>
      </c>
      <c r="J4617" t="s">
        <v>41</v>
      </c>
      <c r="K4617" t="s">
        <v>59</v>
      </c>
      <c r="Q4617">
        <v>0</v>
      </c>
      <c r="R4617">
        <v>66</v>
      </c>
      <c r="S4617">
        <v>66</v>
      </c>
      <c r="T4617" t="s">
        <v>18787</v>
      </c>
    </row>
    <row r="4618" spans="1:20" customFormat="1" ht="15" x14ac:dyDescent="0.25">
      <c r="A4618" t="s">
        <v>35</v>
      </c>
      <c r="B4618" t="s">
        <v>61</v>
      </c>
      <c r="C4618" t="str">
        <f>"A0184865"</f>
        <v>A0184865</v>
      </c>
      <c r="D4618" t="s">
        <v>18788</v>
      </c>
      <c r="E4618" t="s">
        <v>18789</v>
      </c>
      <c r="F4618" t="s">
        <v>8024</v>
      </c>
      <c r="G4618" t="s">
        <v>90</v>
      </c>
      <c r="H4618" t="s">
        <v>18790</v>
      </c>
      <c r="I4618" t="s">
        <v>30</v>
      </c>
      <c r="J4618" t="s">
        <v>41</v>
      </c>
      <c r="K4618" t="s">
        <v>59</v>
      </c>
      <c r="Q4618">
        <v>0</v>
      </c>
      <c r="R4618">
        <v>0</v>
      </c>
      <c r="S4618">
        <v>0</v>
      </c>
      <c r="T4618" t="s">
        <v>18791</v>
      </c>
    </row>
    <row r="4619" spans="1:20" customFormat="1" ht="15" x14ac:dyDescent="0.25">
      <c r="A4619" t="s">
        <v>35</v>
      </c>
      <c r="B4619" t="s">
        <v>61</v>
      </c>
      <c r="C4619" t="str">
        <f>"A0184864"</f>
        <v>A0184864</v>
      </c>
      <c r="D4619" t="s">
        <v>18792</v>
      </c>
      <c r="E4619" t="s">
        <v>18793</v>
      </c>
      <c r="F4619" t="s">
        <v>102</v>
      </c>
      <c r="G4619" t="s">
        <v>103</v>
      </c>
      <c r="H4619" t="s">
        <v>18794</v>
      </c>
      <c r="I4619" t="s">
        <v>30</v>
      </c>
      <c r="J4619" t="s">
        <v>41</v>
      </c>
      <c r="K4619" t="s">
        <v>59</v>
      </c>
      <c r="Q4619">
        <v>0</v>
      </c>
      <c r="R4619">
        <v>0</v>
      </c>
      <c r="S4619">
        <v>0</v>
      </c>
    </row>
    <row r="4620" spans="1:20" customFormat="1" ht="15" x14ac:dyDescent="0.25">
      <c r="A4620" t="s">
        <v>35</v>
      </c>
      <c r="B4620" t="s">
        <v>61</v>
      </c>
      <c r="C4620" t="str">
        <f>"A0184863"</f>
        <v>A0184863</v>
      </c>
      <c r="D4620" t="s">
        <v>18795</v>
      </c>
      <c r="E4620" t="s">
        <v>18796</v>
      </c>
      <c r="F4620" t="s">
        <v>18797</v>
      </c>
      <c r="G4620" t="s">
        <v>103</v>
      </c>
      <c r="H4620" t="s">
        <v>18798</v>
      </c>
      <c r="I4620" t="s">
        <v>30</v>
      </c>
      <c r="J4620" t="s">
        <v>41</v>
      </c>
      <c r="K4620" t="s">
        <v>59</v>
      </c>
      <c r="Q4620">
        <v>0</v>
      </c>
      <c r="R4620">
        <v>229</v>
      </c>
      <c r="S4620">
        <v>229</v>
      </c>
      <c r="T4620" t="s">
        <v>18799</v>
      </c>
    </row>
    <row r="4621" spans="1:20" customFormat="1" ht="15" x14ac:dyDescent="0.25">
      <c r="A4621" t="s">
        <v>35</v>
      </c>
      <c r="B4621" t="s">
        <v>61</v>
      </c>
      <c r="C4621" t="str">
        <f>"A0184862"</f>
        <v>A0184862</v>
      </c>
      <c r="D4621" t="s">
        <v>18800</v>
      </c>
      <c r="E4621" t="s">
        <v>18801</v>
      </c>
      <c r="F4621" t="s">
        <v>4629</v>
      </c>
      <c r="G4621" t="s">
        <v>103</v>
      </c>
      <c r="H4621" t="s">
        <v>18802</v>
      </c>
      <c r="I4621" t="s">
        <v>30</v>
      </c>
      <c r="J4621" t="s">
        <v>41</v>
      </c>
      <c r="K4621" t="s">
        <v>59</v>
      </c>
      <c r="Q4621">
        <v>0</v>
      </c>
      <c r="R4621">
        <v>0</v>
      </c>
      <c r="S4621">
        <v>0</v>
      </c>
    </row>
    <row r="4622" spans="1:20" customFormat="1" ht="15" x14ac:dyDescent="0.25">
      <c r="A4622" t="s">
        <v>35</v>
      </c>
      <c r="B4622" t="s">
        <v>12660</v>
      </c>
      <c r="C4622" t="str">
        <f>"A0184861"</f>
        <v>A0184861</v>
      </c>
      <c r="D4622" t="s">
        <v>12661</v>
      </c>
      <c r="E4622" t="s">
        <v>18803</v>
      </c>
      <c r="F4622" t="s">
        <v>1039</v>
      </c>
      <c r="G4622" t="s">
        <v>76</v>
      </c>
      <c r="H4622">
        <v>984025605</v>
      </c>
      <c r="I4622" t="s">
        <v>30</v>
      </c>
      <c r="J4622" t="s">
        <v>41</v>
      </c>
      <c r="K4622" t="s">
        <v>59</v>
      </c>
      <c r="Q4622">
        <v>0</v>
      </c>
      <c r="R4622">
        <v>0</v>
      </c>
      <c r="S4622">
        <v>0</v>
      </c>
      <c r="T4622" t="s">
        <v>12663</v>
      </c>
    </row>
    <row r="4623" spans="1:20" customFormat="1" ht="15" x14ac:dyDescent="0.25">
      <c r="A4623" t="s">
        <v>35</v>
      </c>
      <c r="B4623" t="s">
        <v>61</v>
      </c>
      <c r="C4623" t="str">
        <f>"A0184860"</f>
        <v>A0184860</v>
      </c>
      <c r="D4623" t="s">
        <v>18804</v>
      </c>
      <c r="E4623" t="s">
        <v>18805</v>
      </c>
      <c r="F4623" t="s">
        <v>18806</v>
      </c>
      <c r="G4623" t="s">
        <v>76</v>
      </c>
      <c r="H4623">
        <v>98645</v>
      </c>
      <c r="I4623" t="s">
        <v>30</v>
      </c>
      <c r="J4623" t="s">
        <v>41</v>
      </c>
      <c r="K4623" t="s">
        <v>59</v>
      </c>
      <c r="Q4623">
        <v>0</v>
      </c>
      <c r="R4623">
        <v>0</v>
      </c>
      <c r="S4623">
        <v>0</v>
      </c>
      <c r="T4623" t="s">
        <v>18807</v>
      </c>
    </row>
    <row r="4624" spans="1:20" customFormat="1" ht="15" x14ac:dyDescent="0.25">
      <c r="A4624" t="s">
        <v>35</v>
      </c>
      <c r="B4624" t="s">
        <v>61</v>
      </c>
      <c r="C4624" t="str">
        <f>"A0184859"</f>
        <v>A0184859</v>
      </c>
      <c r="D4624" t="s">
        <v>18808</v>
      </c>
      <c r="E4624" t="s">
        <v>18809</v>
      </c>
      <c r="F4624" t="s">
        <v>635</v>
      </c>
      <c r="G4624" t="s">
        <v>2391</v>
      </c>
      <c r="H4624" t="s">
        <v>18810</v>
      </c>
      <c r="I4624" t="s">
        <v>30</v>
      </c>
      <c r="J4624" t="s">
        <v>41</v>
      </c>
      <c r="K4624" t="s">
        <v>59</v>
      </c>
      <c r="Q4624">
        <v>0</v>
      </c>
      <c r="R4624">
        <v>0</v>
      </c>
      <c r="S4624">
        <v>0</v>
      </c>
      <c r="T4624" t="s">
        <v>18811</v>
      </c>
    </row>
    <row r="4625" spans="1:20" customFormat="1" ht="15" x14ac:dyDescent="0.25">
      <c r="A4625" t="s">
        <v>35</v>
      </c>
      <c r="B4625" t="s">
        <v>61</v>
      </c>
      <c r="C4625" t="str">
        <f>"A0184858"</f>
        <v>A0184858</v>
      </c>
      <c r="D4625" t="s">
        <v>18812</v>
      </c>
      <c r="E4625" t="s">
        <v>18813</v>
      </c>
      <c r="F4625" t="s">
        <v>9675</v>
      </c>
      <c r="G4625" t="s">
        <v>29</v>
      </c>
      <c r="H4625">
        <v>23060</v>
      </c>
      <c r="I4625" t="s">
        <v>30</v>
      </c>
      <c r="J4625" t="s">
        <v>41</v>
      </c>
      <c r="K4625" t="s">
        <v>59</v>
      </c>
      <c r="Q4625">
        <v>0</v>
      </c>
      <c r="R4625">
        <v>0</v>
      </c>
      <c r="S4625">
        <v>0</v>
      </c>
      <c r="T4625" t="s">
        <v>18814</v>
      </c>
    </row>
    <row r="4626" spans="1:20" customFormat="1" ht="15" x14ac:dyDescent="0.25">
      <c r="A4626" t="s">
        <v>35</v>
      </c>
      <c r="B4626" t="s">
        <v>61</v>
      </c>
      <c r="C4626" t="str">
        <f>"A0184857"</f>
        <v>A0184857</v>
      </c>
      <c r="D4626" t="s">
        <v>18815</v>
      </c>
      <c r="E4626" t="s">
        <v>18816</v>
      </c>
      <c r="F4626" t="s">
        <v>6085</v>
      </c>
      <c r="G4626" t="s">
        <v>123</v>
      </c>
      <c r="H4626" t="s">
        <v>18817</v>
      </c>
      <c r="I4626" t="s">
        <v>30</v>
      </c>
      <c r="J4626" t="s">
        <v>41</v>
      </c>
      <c r="K4626" t="s">
        <v>59</v>
      </c>
      <c r="Q4626">
        <v>0</v>
      </c>
      <c r="R4626">
        <v>0</v>
      </c>
      <c r="S4626">
        <v>0</v>
      </c>
    </row>
    <row r="4627" spans="1:20" customFormat="1" ht="15" x14ac:dyDescent="0.25">
      <c r="A4627" t="s">
        <v>35</v>
      </c>
      <c r="B4627" t="s">
        <v>61</v>
      </c>
      <c r="C4627" t="str">
        <f>"A0184856"</f>
        <v>A0184856</v>
      </c>
      <c r="D4627" t="s">
        <v>18818</v>
      </c>
      <c r="E4627" t="s">
        <v>18819</v>
      </c>
      <c r="F4627" t="s">
        <v>18818</v>
      </c>
      <c r="G4627" t="s">
        <v>123</v>
      </c>
      <c r="H4627" t="s">
        <v>18820</v>
      </c>
      <c r="I4627" t="s">
        <v>30</v>
      </c>
      <c r="J4627" t="s">
        <v>41</v>
      </c>
      <c r="K4627" t="s">
        <v>59</v>
      </c>
      <c r="Q4627">
        <v>0</v>
      </c>
      <c r="R4627">
        <v>0</v>
      </c>
      <c r="S4627">
        <v>0</v>
      </c>
      <c r="T4627" t="s">
        <v>18821</v>
      </c>
    </row>
    <row r="4628" spans="1:20" customFormat="1" ht="15" x14ac:dyDescent="0.25">
      <c r="A4628" t="s">
        <v>35</v>
      </c>
      <c r="B4628" t="s">
        <v>61</v>
      </c>
      <c r="C4628" t="str">
        <f>"A0184855"</f>
        <v>A0184855</v>
      </c>
      <c r="D4628" t="s">
        <v>18822</v>
      </c>
      <c r="E4628" t="s">
        <v>18823</v>
      </c>
      <c r="F4628" t="s">
        <v>1431</v>
      </c>
      <c r="G4628" t="s">
        <v>47</v>
      </c>
      <c r="H4628">
        <v>972228063</v>
      </c>
      <c r="I4628" t="s">
        <v>30</v>
      </c>
      <c r="J4628" t="s">
        <v>41</v>
      </c>
      <c r="K4628" t="s">
        <v>59</v>
      </c>
      <c r="Q4628">
        <v>0</v>
      </c>
      <c r="R4628">
        <v>329</v>
      </c>
      <c r="S4628">
        <v>329</v>
      </c>
      <c r="T4628" t="s">
        <v>18824</v>
      </c>
    </row>
    <row r="4629" spans="1:20" customFormat="1" ht="15" x14ac:dyDescent="0.25">
      <c r="A4629" t="s">
        <v>35</v>
      </c>
      <c r="B4629" t="s">
        <v>61</v>
      </c>
      <c r="C4629" t="str">
        <f>"A0184854"</f>
        <v>A0184854</v>
      </c>
      <c r="D4629" t="s">
        <v>18825</v>
      </c>
      <c r="E4629" t="s">
        <v>18826</v>
      </c>
      <c r="F4629" t="s">
        <v>14036</v>
      </c>
      <c r="G4629" t="s">
        <v>47</v>
      </c>
      <c r="H4629">
        <v>971288531</v>
      </c>
      <c r="I4629" t="s">
        <v>30</v>
      </c>
      <c r="J4629" t="s">
        <v>41</v>
      </c>
      <c r="K4629" t="s">
        <v>59</v>
      </c>
      <c r="Q4629">
        <v>0</v>
      </c>
      <c r="R4629">
        <v>0</v>
      </c>
      <c r="S4629">
        <v>0</v>
      </c>
      <c r="T4629" t="s">
        <v>18663</v>
      </c>
    </row>
    <row r="4630" spans="1:20" customFormat="1" ht="15" x14ac:dyDescent="0.25">
      <c r="A4630" t="s">
        <v>35</v>
      </c>
      <c r="B4630" t="s">
        <v>61</v>
      </c>
      <c r="C4630" t="str">
        <f>"A0184853"</f>
        <v>A0184853</v>
      </c>
      <c r="D4630" t="s">
        <v>18827</v>
      </c>
      <c r="E4630" t="s">
        <v>18828</v>
      </c>
      <c r="F4630" t="s">
        <v>3744</v>
      </c>
      <c r="G4630" t="s">
        <v>47</v>
      </c>
      <c r="H4630">
        <v>975012796</v>
      </c>
      <c r="I4630" t="s">
        <v>30</v>
      </c>
      <c r="J4630" t="s">
        <v>41</v>
      </c>
      <c r="K4630" t="s">
        <v>59</v>
      </c>
      <c r="Q4630">
        <v>0</v>
      </c>
      <c r="R4630">
        <v>0</v>
      </c>
      <c r="S4630">
        <v>0</v>
      </c>
      <c r="T4630" t="s">
        <v>18829</v>
      </c>
    </row>
    <row r="4631" spans="1:20" customFormat="1" ht="15" x14ac:dyDescent="0.25">
      <c r="A4631" t="s">
        <v>35</v>
      </c>
      <c r="B4631" t="s">
        <v>61</v>
      </c>
      <c r="C4631" t="str">
        <f>"A0184852"</f>
        <v>A0184852</v>
      </c>
      <c r="D4631" t="s">
        <v>18830</v>
      </c>
      <c r="E4631" t="s">
        <v>18831</v>
      </c>
      <c r="F4631" t="s">
        <v>46</v>
      </c>
      <c r="G4631" t="s">
        <v>47</v>
      </c>
      <c r="H4631">
        <v>974718850</v>
      </c>
      <c r="I4631" t="s">
        <v>30</v>
      </c>
      <c r="J4631" t="s">
        <v>41</v>
      </c>
      <c r="K4631" t="s">
        <v>59</v>
      </c>
      <c r="Q4631">
        <v>0</v>
      </c>
      <c r="R4631">
        <v>0</v>
      </c>
      <c r="S4631">
        <v>0</v>
      </c>
      <c r="T4631" t="s">
        <v>18832</v>
      </c>
    </row>
    <row r="4632" spans="1:20" customFormat="1" ht="15" x14ac:dyDescent="0.25">
      <c r="A4632" t="s">
        <v>35</v>
      </c>
      <c r="B4632" t="s">
        <v>61</v>
      </c>
      <c r="C4632" t="str">
        <f>"A0184851"</f>
        <v>A0184851</v>
      </c>
      <c r="D4632" t="s">
        <v>18833</v>
      </c>
      <c r="E4632" t="s">
        <v>18834</v>
      </c>
      <c r="F4632" t="s">
        <v>18835</v>
      </c>
      <c r="G4632" t="s">
        <v>1898</v>
      </c>
      <c r="H4632">
        <v>51537</v>
      </c>
      <c r="I4632" t="s">
        <v>30</v>
      </c>
      <c r="J4632" t="s">
        <v>41</v>
      </c>
      <c r="K4632" t="s">
        <v>59</v>
      </c>
      <c r="Q4632">
        <v>0</v>
      </c>
      <c r="R4632">
        <v>132</v>
      </c>
      <c r="S4632">
        <v>132</v>
      </c>
      <c r="T4632" t="s">
        <v>18836</v>
      </c>
    </row>
    <row r="4633" spans="1:20" customFormat="1" ht="15" x14ac:dyDescent="0.25">
      <c r="A4633" t="s">
        <v>35</v>
      </c>
      <c r="B4633" t="s">
        <v>61</v>
      </c>
      <c r="C4633" t="str">
        <f>"A0184850"</f>
        <v>A0184850</v>
      </c>
      <c r="D4633" t="s">
        <v>18837</v>
      </c>
      <c r="E4633" t="s">
        <v>18838</v>
      </c>
      <c r="F4633" t="s">
        <v>17875</v>
      </c>
      <c r="G4633" t="s">
        <v>2391</v>
      </c>
      <c r="H4633" t="s">
        <v>18839</v>
      </c>
      <c r="I4633" t="s">
        <v>30</v>
      </c>
      <c r="J4633" t="s">
        <v>41</v>
      </c>
      <c r="K4633" t="s">
        <v>59</v>
      </c>
      <c r="Q4633">
        <v>0</v>
      </c>
      <c r="R4633">
        <v>0</v>
      </c>
      <c r="S4633">
        <v>0</v>
      </c>
      <c r="T4633" t="s">
        <v>18840</v>
      </c>
    </row>
    <row r="4634" spans="1:20" customFormat="1" ht="15" x14ac:dyDescent="0.25">
      <c r="A4634" t="s">
        <v>35</v>
      </c>
      <c r="B4634" t="s">
        <v>61</v>
      </c>
      <c r="C4634" t="str">
        <f>"A0184849"</f>
        <v>A0184849</v>
      </c>
      <c r="D4634" t="s">
        <v>18841</v>
      </c>
      <c r="E4634" t="s">
        <v>18842</v>
      </c>
      <c r="F4634" t="s">
        <v>17875</v>
      </c>
      <c r="G4634" t="s">
        <v>2391</v>
      </c>
      <c r="H4634" t="s">
        <v>17876</v>
      </c>
      <c r="I4634" t="s">
        <v>30</v>
      </c>
      <c r="J4634" t="s">
        <v>41</v>
      </c>
      <c r="K4634" t="s">
        <v>59</v>
      </c>
      <c r="Q4634">
        <v>0</v>
      </c>
      <c r="R4634">
        <v>0</v>
      </c>
      <c r="S4634">
        <v>0</v>
      </c>
      <c r="T4634" t="s">
        <v>18840</v>
      </c>
    </row>
    <row r="4635" spans="1:20" customFormat="1" ht="15" x14ac:dyDescent="0.25">
      <c r="A4635" t="s">
        <v>35</v>
      </c>
      <c r="B4635" t="s">
        <v>61</v>
      </c>
      <c r="C4635" t="str">
        <f>"A0184848"</f>
        <v>A0184848</v>
      </c>
      <c r="D4635" t="s">
        <v>18465</v>
      </c>
      <c r="E4635" t="s">
        <v>18843</v>
      </c>
      <c r="F4635" t="s">
        <v>853</v>
      </c>
      <c r="G4635" t="s">
        <v>52</v>
      </c>
      <c r="H4635" t="s">
        <v>18844</v>
      </c>
      <c r="I4635" t="s">
        <v>30</v>
      </c>
      <c r="J4635" t="s">
        <v>41</v>
      </c>
      <c r="K4635" t="s">
        <v>59</v>
      </c>
      <c r="Q4635">
        <v>0</v>
      </c>
      <c r="R4635">
        <v>0</v>
      </c>
      <c r="S4635">
        <v>0</v>
      </c>
    </row>
    <row r="4636" spans="1:20" customFormat="1" ht="15" x14ac:dyDescent="0.25">
      <c r="A4636" t="s">
        <v>35</v>
      </c>
      <c r="B4636" t="s">
        <v>61</v>
      </c>
      <c r="C4636" t="str">
        <f>"A0184847"</f>
        <v>A0184847</v>
      </c>
      <c r="D4636" t="s">
        <v>18845</v>
      </c>
      <c r="E4636" t="s">
        <v>18846</v>
      </c>
      <c r="F4636" t="s">
        <v>10641</v>
      </c>
      <c r="G4636" t="s">
        <v>58</v>
      </c>
      <c r="H4636" t="s">
        <v>18847</v>
      </c>
      <c r="I4636" t="s">
        <v>30</v>
      </c>
      <c r="J4636" t="s">
        <v>41</v>
      </c>
      <c r="K4636" t="s">
        <v>59</v>
      </c>
      <c r="Q4636">
        <v>0</v>
      </c>
      <c r="R4636">
        <v>88</v>
      </c>
      <c r="S4636">
        <v>88</v>
      </c>
      <c r="T4636" t="s">
        <v>18848</v>
      </c>
    </row>
    <row r="4637" spans="1:20" customFormat="1" ht="15" x14ac:dyDescent="0.25">
      <c r="A4637" t="s">
        <v>35</v>
      </c>
      <c r="B4637" t="s">
        <v>61</v>
      </c>
      <c r="C4637" t="str">
        <f>"A0184846"</f>
        <v>A0184846</v>
      </c>
      <c r="D4637" t="s">
        <v>18849</v>
      </c>
      <c r="E4637" t="s">
        <v>18850</v>
      </c>
      <c r="F4637" t="s">
        <v>1689</v>
      </c>
      <c r="G4637" t="s">
        <v>58</v>
      </c>
      <c r="H4637" t="s">
        <v>18851</v>
      </c>
      <c r="I4637" t="s">
        <v>30</v>
      </c>
      <c r="J4637" t="s">
        <v>41</v>
      </c>
      <c r="K4637" t="s">
        <v>59</v>
      </c>
      <c r="Q4637">
        <v>0</v>
      </c>
      <c r="R4637">
        <v>44</v>
      </c>
      <c r="S4637">
        <v>44</v>
      </c>
      <c r="T4637" t="s">
        <v>18852</v>
      </c>
    </row>
    <row r="4638" spans="1:20" customFormat="1" ht="15" x14ac:dyDescent="0.25">
      <c r="A4638" t="s">
        <v>35</v>
      </c>
      <c r="B4638" t="s">
        <v>61</v>
      </c>
      <c r="C4638" t="str">
        <f>"A0184845"</f>
        <v>A0184845</v>
      </c>
      <c r="D4638" t="s">
        <v>18853</v>
      </c>
      <c r="E4638" t="s">
        <v>18854</v>
      </c>
      <c r="F4638" t="s">
        <v>3193</v>
      </c>
      <c r="G4638" t="s">
        <v>58</v>
      </c>
      <c r="H4638" t="s">
        <v>18855</v>
      </c>
      <c r="I4638" t="s">
        <v>30</v>
      </c>
      <c r="J4638" t="s">
        <v>41</v>
      </c>
      <c r="K4638" t="s">
        <v>59</v>
      </c>
      <c r="Q4638">
        <v>0</v>
      </c>
      <c r="R4638">
        <v>139</v>
      </c>
      <c r="S4638">
        <v>139</v>
      </c>
      <c r="T4638" t="s">
        <v>18856</v>
      </c>
    </row>
    <row r="4639" spans="1:20" customFormat="1" ht="15" x14ac:dyDescent="0.25">
      <c r="A4639" t="s">
        <v>35</v>
      </c>
      <c r="B4639" t="s">
        <v>61</v>
      </c>
      <c r="C4639" t="str">
        <f>"A0184844"</f>
        <v>A0184844</v>
      </c>
      <c r="D4639" t="s">
        <v>18857</v>
      </c>
      <c r="E4639" t="s">
        <v>18858</v>
      </c>
      <c r="F4639" t="s">
        <v>1731</v>
      </c>
      <c r="G4639" t="s">
        <v>52</v>
      </c>
      <c r="H4639" t="s">
        <v>18859</v>
      </c>
      <c r="I4639" t="s">
        <v>30</v>
      </c>
      <c r="J4639" t="s">
        <v>41</v>
      </c>
      <c r="K4639" t="s">
        <v>59</v>
      </c>
      <c r="Q4639">
        <v>0</v>
      </c>
      <c r="R4639">
        <v>65</v>
      </c>
      <c r="S4639">
        <v>65</v>
      </c>
      <c r="T4639" t="s">
        <v>18860</v>
      </c>
    </row>
    <row r="4640" spans="1:20" customFormat="1" ht="15" x14ac:dyDescent="0.25">
      <c r="A4640" t="s">
        <v>35</v>
      </c>
      <c r="B4640" t="s">
        <v>61</v>
      </c>
      <c r="C4640" t="str">
        <f>"A0184843"</f>
        <v>A0184843</v>
      </c>
      <c r="D4640" t="s">
        <v>18861</v>
      </c>
      <c r="E4640" t="s">
        <v>18862</v>
      </c>
      <c r="F4640" t="s">
        <v>93</v>
      </c>
      <c r="G4640" t="s">
        <v>58</v>
      </c>
      <c r="H4640" t="s">
        <v>18863</v>
      </c>
      <c r="I4640" t="s">
        <v>30</v>
      </c>
      <c r="J4640" t="s">
        <v>41</v>
      </c>
      <c r="K4640" t="s">
        <v>59</v>
      </c>
      <c r="Q4640">
        <v>0</v>
      </c>
      <c r="R4640">
        <v>0</v>
      </c>
      <c r="S4640">
        <v>0</v>
      </c>
    </row>
    <row r="4641" spans="1:20" customFormat="1" ht="15" x14ac:dyDescent="0.25">
      <c r="A4641" t="s">
        <v>35</v>
      </c>
      <c r="B4641" t="s">
        <v>61</v>
      </c>
      <c r="C4641" t="str">
        <f>"A0184842"</f>
        <v>A0184842</v>
      </c>
      <c r="D4641" t="s">
        <v>18864</v>
      </c>
      <c r="E4641" t="s">
        <v>18865</v>
      </c>
      <c r="F4641" t="s">
        <v>89</v>
      </c>
      <c r="G4641" t="s">
        <v>90</v>
      </c>
      <c r="H4641" t="s">
        <v>18866</v>
      </c>
      <c r="I4641" t="s">
        <v>30</v>
      </c>
      <c r="J4641" t="s">
        <v>41</v>
      </c>
      <c r="K4641" t="s">
        <v>59</v>
      </c>
      <c r="Q4641">
        <v>0</v>
      </c>
      <c r="R4641">
        <v>0</v>
      </c>
      <c r="S4641">
        <v>0</v>
      </c>
      <c r="T4641" t="s">
        <v>18867</v>
      </c>
    </row>
    <row r="4642" spans="1:20" customFormat="1" ht="15" x14ac:dyDescent="0.25">
      <c r="A4642" t="s">
        <v>35</v>
      </c>
      <c r="B4642" t="s">
        <v>11871</v>
      </c>
      <c r="C4642" t="str">
        <f>"A0184841"</f>
        <v>A0184841</v>
      </c>
      <c r="D4642" t="s">
        <v>18868</v>
      </c>
      <c r="E4642" t="s">
        <v>18869</v>
      </c>
      <c r="F4642" t="s">
        <v>18870</v>
      </c>
      <c r="G4642" t="s">
        <v>9901</v>
      </c>
      <c r="H4642" t="s">
        <v>18871</v>
      </c>
      <c r="I4642" t="s">
        <v>30</v>
      </c>
      <c r="J4642" t="s">
        <v>41</v>
      </c>
      <c r="K4642" t="s">
        <v>59</v>
      </c>
      <c r="Q4642">
        <v>0</v>
      </c>
      <c r="R4642">
        <v>0</v>
      </c>
      <c r="S4642">
        <v>0</v>
      </c>
      <c r="T4642" t="s">
        <v>18872</v>
      </c>
    </row>
    <row r="4643" spans="1:20" customFormat="1" ht="15" x14ac:dyDescent="0.25">
      <c r="A4643" t="s">
        <v>35</v>
      </c>
      <c r="B4643" t="s">
        <v>11871</v>
      </c>
      <c r="C4643" t="str">
        <f>"A0184840"</f>
        <v>A0184840</v>
      </c>
      <c r="D4643" t="s">
        <v>18873</v>
      </c>
      <c r="E4643" t="s">
        <v>18874</v>
      </c>
      <c r="F4643" t="s">
        <v>18875</v>
      </c>
      <c r="G4643" t="s">
        <v>9901</v>
      </c>
      <c r="H4643" t="s">
        <v>18876</v>
      </c>
      <c r="I4643" t="s">
        <v>30</v>
      </c>
      <c r="J4643" t="s">
        <v>41</v>
      </c>
      <c r="K4643" t="s">
        <v>59</v>
      </c>
      <c r="Q4643">
        <v>0</v>
      </c>
      <c r="R4643">
        <v>0</v>
      </c>
      <c r="S4643">
        <v>0</v>
      </c>
      <c r="T4643" t="s">
        <v>18877</v>
      </c>
    </row>
    <row r="4644" spans="1:20" customFormat="1" ht="15" x14ac:dyDescent="0.25">
      <c r="A4644" t="s">
        <v>35</v>
      </c>
      <c r="B4644" t="s">
        <v>61</v>
      </c>
      <c r="C4644" t="str">
        <f>"A0184839"</f>
        <v>A0184839</v>
      </c>
      <c r="D4644" t="s">
        <v>18878</v>
      </c>
      <c r="E4644" t="s">
        <v>18879</v>
      </c>
      <c r="F4644" t="s">
        <v>9228</v>
      </c>
      <c r="G4644" t="s">
        <v>81</v>
      </c>
      <c r="H4644">
        <v>33511</v>
      </c>
      <c r="I4644" t="s">
        <v>30</v>
      </c>
      <c r="J4644" t="s">
        <v>41</v>
      </c>
      <c r="K4644" t="s">
        <v>59</v>
      </c>
      <c r="Q4644">
        <v>0</v>
      </c>
      <c r="R4644">
        <v>0</v>
      </c>
      <c r="S4644">
        <v>0</v>
      </c>
      <c r="T4644" t="s">
        <v>18880</v>
      </c>
    </row>
    <row r="4645" spans="1:20" customFormat="1" ht="15" x14ac:dyDescent="0.25">
      <c r="A4645" t="s">
        <v>35</v>
      </c>
      <c r="B4645" t="s">
        <v>61</v>
      </c>
      <c r="C4645" t="str">
        <f>"A0184838"</f>
        <v>A0184838</v>
      </c>
      <c r="D4645" t="s">
        <v>18881</v>
      </c>
      <c r="E4645" t="s">
        <v>18062</v>
      </c>
      <c r="F4645" t="s">
        <v>6152</v>
      </c>
      <c r="G4645" t="s">
        <v>123</v>
      </c>
      <c r="H4645">
        <v>20850</v>
      </c>
      <c r="I4645" t="s">
        <v>30</v>
      </c>
      <c r="J4645" t="s">
        <v>41</v>
      </c>
      <c r="K4645" t="s">
        <v>59</v>
      </c>
      <c r="Q4645">
        <v>0</v>
      </c>
      <c r="R4645">
        <v>0</v>
      </c>
      <c r="S4645">
        <v>0</v>
      </c>
    </row>
    <row r="4646" spans="1:20" customFormat="1" ht="15" x14ac:dyDescent="0.25">
      <c r="A4646" t="s">
        <v>35</v>
      </c>
      <c r="B4646" t="s">
        <v>61</v>
      </c>
      <c r="C4646" t="str">
        <f>"A0184837"</f>
        <v>A0184837</v>
      </c>
      <c r="D4646" t="s">
        <v>18882</v>
      </c>
      <c r="E4646" t="s">
        <v>18883</v>
      </c>
      <c r="F4646" t="s">
        <v>3668</v>
      </c>
      <c r="G4646" t="s">
        <v>123</v>
      </c>
      <c r="H4646" t="s">
        <v>18884</v>
      </c>
      <c r="I4646" t="s">
        <v>30</v>
      </c>
      <c r="J4646" t="s">
        <v>41</v>
      </c>
      <c r="K4646" t="s">
        <v>59</v>
      </c>
      <c r="Q4646">
        <v>0</v>
      </c>
      <c r="R4646">
        <v>0</v>
      </c>
      <c r="S4646">
        <v>0</v>
      </c>
      <c r="T4646" t="s">
        <v>18885</v>
      </c>
    </row>
    <row r="4647" spans="1:20" customFormat="1" ht="15" x14ac:dyDescent="0.25">
      <c r="A4647" t="s">
        <v>35</v>
      </c>
      <c r="B4647" t="s">
        <v>61</v>
      </c>
      <c r="C4647" t="str">
        <f>"A0184836"</f>
        <v>A0184836</v>
      </c>
      <c r="D4647" t="s">
        <v>18886</v>
      </c>
      <c r="E4647" t="s">
        <v>18887</v>
      </c>
      <c r="F4647" t="s">
        <v>17380</v>
      </c>
      <c r="G4647" t="s">
        <v>289</v>
      </c>
      <c r="H4647" t="s">
        <v>18888</v>
      </c>
      <c r="I4647" t="s">
        <v>30</v>
      </c>
      <c r="J4647" t="s">
        <v>41</v>
      </c>
      <c r="K4647" t="s">
        <v>59</v>
      </c>
      <c r="Q4647">
        <v>0</v>
      </c>
      <c r="R4647">
        <v>0</v>
      </c>
      <c r="S4647">
        <v>0</v>
      </c>
      <c r="T4647" t="s">
        <v>18889</v>
      </c>
    </row>
    <row r="4648" spans="1:20" customFormat="1" ht="15" x14ac:dyDescent="0.25">
      <c r="A4648" t="s">
        <v>35</v>
      </c>
      <c r="B4648" t="s">
        <v>61</v>
      </c>
      <c r="C4648" t="str">
        <f>"A0184835"</f>
        <v>A0184835</v>
      </c>
      <c r="D4648" t="s">
        <v>18890</v>
      </c>
      <c r="E4648" t="s">
        <v>18891</v>
      </c>
      <c r="F4648" t="s">
        <v>18892</v>
      </c>
      <c r="G4648" t="s">
        <v>103</v>
      </c>
      <c r="H4648" t="s">
        <v>18893</v>
      </c>
      <c r="I4648" t="s">
        <v>30</v>
      </c>
      <c r="J4648" t="s">
        <v>41</v>
      </c>
      <c r="K4648" t="s">
        <v>59</v>
      </c>
      <c r="Q4648">
        <v>0</v>
      </c>
      <c r="R4648">
        <v>94</v>
      </c>
      <c r="S4648">
        <v>94</v>
      </c>
      <c r="T4648" t="s">
        <v>18894</v>
      </c>
    </row>
    <row r="4649" spans="1:20" customFormat="1" ht="15" x14ac:dyDescent="0.25">
      <c r="A4649" t="s">
        <v>35</v>
      </c>
      <c r="B4649" t="s">
        <v>61</v>
      </c>
      <c r="C4649" t="str">
        <f>"A0184834"</f>
        <v>A0184834</v>
      </c>
      <c r="D4649" t="s">
        <v>18895</v>
      </c>
      <c r="E4649" t="s">
        <v>18896</v>
      </c>
      <c r="F4649" t="s">
        <v>4629</v>
      </c>
      <c r="G4649" t="s">
        <v>103</v>
      </c>
      <c r="H4649" t="s">
        <v>18897</v>
      </c>
      <c r="I4649" t="s">
        <v>30</v>
      </c>
      <c r="J4649" t="s">
        <v>41</v>
      </c>
      <c r="K4649" t="s">
        <v>59</v>
      </c>
      <c r="Q4649">
        <v>0</v>
      </c>
      <c r="R4649">
        <v>120</v>
      </c>
      <c r="S4649">
        <v>120</v>
      </c>
      <c r="T4649" t="s">
        <v>18898</v>
      </c>
    </row>
    <row r="4650" spans="1:20" customFormat="1" ht="15" x14ac:dyDescent="0.25">
      <c r="A4650" t="s">
        <v>35</v>
      </c>
      <c r="B4650" t="s">
        <v>61</v>
      </c>
      <c r="C4650" t="str">
        <f>"A0184833"</f>
        <v>A0184833</v>
      </c>
      <c r="D4650" t="s">
        <v>18899</v>
      </c>
      <c r="E4650" t="s">
        <v>18900</v>
      </c>
      <c r="F4650" t="s">
        <v>18901</v>
      </c>
      <c r="G4650" t="s">
        <v>103</v>
      </c>
      <c r="H4650" t="s">
        <v>18902</v>
      </c>
      <c r="I4650" t="s">
        <v>30</v>
      </c>
      <c r="J4650" t="s">
        <v>41</v>
      </c>
      <c r="K4650" t="s">
        <v>59</v>
      </c>
      <c r="Q4650">
        <v>0</v>
      </c>
      <c r="R4650">
        <v>0</v>
      </c>
      <c r="S4650">
        <v>0</v>
      </c>
      <c r="T4650" t="s">
        <v>18903</v>
      </c>
    </row>
    <row r="4651" spans="1:20" customFormat="1" ht="15" x14ac:dyDescent="0.25">
      <c r="A4651" t="s">
        <v>35</v>
      </c>
      <c r="B4651" t="s">
        <v>61</v>
      </c>
      <c r="C4651" t="str">
        <f>"A0184832"</f>
        <v>A0184832</v>
      </c>
      <c r="D4651" t="s">
        <v>18904</v>
      </c>
      <c r="E4651" t="s">
        <v>18905</v>
      </c>
      <c r="F4651" t="s">
        <v>102</v>
      </c>
      <c r="G4651" t="s">
        <v>103</v>
      </c>
      <c r="H4651">
        <v>15223</v>
      </c>
      <c r="I4651" t="s">
        <v>30</v>
      </c>
      <c r="J4651" t="s">
        <v>41</v>
      </c>
      <c r="K4651" t="s">
        <v>59</v>
      </c>
      <c r="Q4651">
        <v>0</v>
      </c>
      <c r="R4651">
        <v>0</v>
      </c>
      <c r="S4651">
        <v>0</v>
      </c>
    </row>
    <row r="4652" spans="1:20" customFormat="1" ht="15" x14ac:dyDescent="0.25">
      <c r="A4652" t="s">
        <v>35</v>
      </c>
      <c r="B4652" t="s">
        <v>61</v>
      </c>
      <c r="C4652" t="str">
        <f>"A0184831"</f>
        <v>A0184831</v>
      </c>
      <c r="D4652" t="s">
        <v>18906</v>
      </c>
      <c r="E4652" t="s">
        <v>18907</v>
      </c>
      <c r="F4652" t="s">
        <v>3009</v>
      </c>
      <c r="G4652" t="s">
        <v>103</v>
      </c>
      <c r="H4652" t="s">
        <v>18908</v>
      </c>
      <c r="I4652" t="s">
        <v>30</v>
      </c>
      <c r="J4652" t="s">
        <v>41</v>
      </c>
      <c r="K4652" t="s">
        <v>59</v>
      </c>
      <c r="Q4652">
        <v>0</v>
      </c>
      <c r="R4652">
        <v>83</v>
      </c>
      <c r="S4652">
        <v>83</v>
      </c>
      <c r="T4652" t="s">
        <v>18909</v>
      </c>
    </row>
    <row r="4653" spans="1:20" customFormat="1" ht="15" x14ac:dyDescent="0.25">
      <c r="A4653" t="s">
        <v>35</v>
      </c>
      <c r="B4653" t="s">
        <v>61</v>
      </c>
      <c r="C4653" t="str">
        <f>"A0184830"</f>
        <v>A0184830</v>
      </c>
      <c r="D4653" t="s">
        <v>18910</v>
      </c>
      <c r="E4653" t="s">
        <v>18911</v>
      </c>
      <c r="F4653" t="s">
        <v>18912</v>
      </c>
      <c r="G4653" t="s">
        <v>103</v>
      </c>
      <c r="H4653" t="s">
        <v>18913</v>
      </c>
      <c r="I4653" t="s">
        <v>30</v>
      </c>
      <c r="J4653" t="s">
        <v>41</v>
      </c>
      <c r="K4653" t="s">
        <v>59</v>
      </c>
      <c r="Q4653">
        <v>0</v>
      </c>
      <c r="R4653">
        <v>0</v>
      </c>
      <c r="S4653">
        <v>0</v>
      </c>
      <c r="T4653" t="s">
        <v>18914</v>
      </c>
    </row>
    <row r="4654" spans="1:20" customFormat="1" ht="15" x14ac:dyDescent="0.25">
      <c r="A4654" t="s">
        <v>35</v>
      </c>
      <c r="B4654" t="s">
        <v>61</v>
      </c>
      <c r="C4654" t="str">
        <f>"A0184829"</f>
        <v>A0184829</v>
      </c>
      <c r="D4654" t="s">
        <v>18915</v>
      </c>
      <c r="E4654" t="s">
        <v>18916</v>
      </c>
      <c r="F4654" t="s">
        <v>4629</v>
      </c>
      <c r="G4654" t="s">
        <v>103</v>
      </c>
      <c r="H4654" t="s">
        <v>18917</v>
      </c>
      <c r="I4654" t="s">
        <v>30</v>
      </c>
      <c r="J4654" t="s">
        <v>41</v>
      </c>
      <c r="K4654" t="s">
        <v>59</v>
      </c>
      <c r="Q4654">
        <v>0</v>
      </c>
      <c r="R4654">
        <v>120</v>
      </c>
      <c r="S4654">
        <v>120</v>
      </c>
      <c r="T4654" t="s">
        <v>18918</v>
      </c>
    </row>
    <row r="4655" spans="1:20" customFormat="1" ht="15" x14ac:dyDescent="0.25">
      <c r="A4655" t="s">
        <v>35</v>
      </c>
      <c r="B4655" t="s">
        <v>61</v>
      </c>
      <c r="C4655" t="str">
        <f>"A0184828"</f>
        <v>A0184828</v>
      </c>
      <c r="D4655" t="s">
        <v>18919</v>
      </c>
      <c r="E4655" t="s">
        <v>18920</v>
      </c>
      <c r="F4655" t="s">
        <v>18921</v>
      </c>
      <c r="G4655" t="s">
        <v>103</v>
      </c>
      <c r="H4655">
        <v>16148</v>
      </c>
      <c r="I4655" t="s">
        <v>30</v>
      </c>
      <c r="J4655" t="s">
        <v>41</v>
      </c>
      <c r="K4655" t="s">
        <v>59</v>
      </c>
      <c r="Q4655">
        <v>0</v>
      </c>
      <c r="R4655">
        <v>90</v>
      </c>
      <c r="S4655">
        <v>90</v>
      </c>
      <c r="T4655" t="s">
        <v>18922</v>
      </c>
    </row>
    <row r="4656" spans="1:20" customFormat="1" ht="15" x14ac:dyDescent="0.25">
      <c r="A4656" t="s">
        <v>35</v>
      </c>
      <c r="B4656" t="s">
        <v>61</v>
      </c>
      <c r="C4656" t="str">
        <f>"A0184827"</f>
        <v>A0184827</v>
      </c>
      <c r="D4656" t="s">
        <v>18923</v>
      </c>
      <c r="E4656" t="s">
        <v>18924</v>
      </c>
      <c r="F4656" t="s">
        <v>4629</v>
      </c>
      <c r="G4656" t="s">
        <v>103</v>
      </c>
      <c r="H4656" t="s">
        <v>18925</v>
      </c>
      <c r="I4656" t="s">
        <v>30</v>
      </c>
      <c r="J4656" t="s">
        <v>41</v>
      </c>
      <c r="K4656" t="s">
        <v>59</v>
      </c>
      <c r="Q4656">
        <v>0</v>
      </c>
      <c r="R4656">
        <v>0</v>
      </c>
      <c r="S4656">
        <v>0</v>
      </c>
    </row>
    <row r="4657" spans="1:20" customFormat="1" ht="15" x14ac:dyDescent="0.25">
      <c r="A4657" t="s">
        <v>35</v>
      </c>
      <c r="B4657" t="s">
        <v>61</v>
      </c>
      <c r="C4657" t="str">
        <f>"A0184826"</f>
        <v>A0184826</v>
      </c>
      <c r="D4657" t="s">
        <v>18926</v>
      </c>
      <c r="E4657" t="s">
        <v>18927</v>
      </c>
      <c r="F4657" t="s">
        <v>18928</v>
      </c>
      <c r="G4657" t="s">
        <v>103</v>
      </c>
      <c r="H4657" t="s">
        <v>18929</v>
      </c>
      <c r="I4657" t="s">
        <v>30</v>
      </c>
      <c r="J4657" t="s">
        <v>41</v>
      </c>
      <c r="K4657" t="s">
        <v>59</v>
      </c>
      <c r="Q4657">
        <v>0</v>
      </c>
      <c r="R4657">
        <v>237</v>
      </c>
      <c r="S4657">
        <v>237</v>
      </c>
      <c r="T4657" t="s">
        <v>18930</v>
      </c>
    </row>
    <row r="4658" spans="1:20" customFormat="1" ht="15" x14ac:dyDescent="0.25">
      <c r="A4658" t="s">
        <v>35</v>
      </c>
      <c r="B4658" t="s">
        <v>61</v>
      </c>
      <c r="C4658" t="str">
        <f>"A0184825"</f>
        <v>A0184825</v>
      </c>
      <c r="D4658" t="s">
        <v>18931</v>
      </c>
      <c r="E4658" t="s">
        <v>18932</v>
      </c>
      <c r="F4658" t="s">
        <v>18933</v>
      </c>
      <c r="G4658" t="s">
        <v>103</v>
      </c>
      <c r="H4658" t="s">
        <v>18934</v>
      </c>
      <c r="I4658" t="s">
        <v>30</v>
      </c>
      <c r="J4658" t="s">
        <v>41</v>
      </c>
      <c r="K4658" t="s">
        <v>59</v>
      </c>
      <c r="Q4658">
        <v>0</v>
      </c>
      <c r="R4658">
        <v>121</v>
      </c>
      <c r="S4658">
        <v>121</v>
      </c>
      <c r="T4658" t="s">
        <v>18935</v>
      </c>
    </row>
    <row r="4659" spans="1:20" customFormat="1" ht="15" x14ac:dyDescent="0.25">
      <c r="A4659" t="s">
        <v>35</v>
      </c>
      <c r="B4659" t="s">
        <v>61</v>
      </c>
      <c r="C4659" t="str">
        <f>"A0184824"</f>
        <v>A0184824</v>
      </c>
      <c r="D4659" t="s">
        <v>18936</v>
      </c>
      <c r="E4659" t="s">
        <v>18937</v>
      </c>
      <c r="F4659" t="s">
        <v>11516</v>
      </c>
      <c r="G4659" t="s">
        <v>58</v>
      </c>
      <c r="H4659" t="s">
        <v>18938</v>
      </c>
      <c r="I4659" t="s">
        <v>30</v>
      </c>
      <c r="J4659" t="s">
        <v>41</v>
      </c>
      <c r="K4659" t="s">
        <v>59</v>
      </c>
      <c r="Q4659">
        <v>0</v>
      </c>
      <c r="R4659">
        <v>34</v>
      </c>
      <c r="S4659">
        <v>34</v>
      </c>
      <c r="T4659" t="s">
        <v>18939</v>
      </c>
    </row>
    <row r="4660" spans="1:20" customFormat="1" ht="15" x14ac:dyDescent="0.25">
      <c r="A4660" t="s">
        <v>35</v>
      </c>
      <c r="B4660" t="s">
        <v>61</v>
      </c>
      <c r="C4660" t="str">
        <f>"A0184823"</f>
        <v>A0184823</v>
      </c>
      <c r="D4660" t="s">
        <v>18940</v>
      </c>
      <c r="E4660" t="s">
        <v>18941</v>
      </c>
      <c r="F4660" t="s">
        <v>18942</v>
      </c>
      <c r="G4660" t="s">
        <v>58</v>
      </c>
      <c r="H4660" t="s">
        <v>18943</v>
      </c>
      <c r="I4660" t="s">
        <v>30</v>
      </c>
      <c r="J4660" t="s">
        <v>41</v>
      </c>
      <c r="K4660" t="s">
        <v>59</v>
      </c>
      <c r="Q4660">
        <v>0</v>
      </c>
      <c r="R4660">
        <v>134</v>
      </c>
      <c r="S4660">
        <v>134</v>
      </c>
      <c r="T4660" t="s">
        <v>18944</v>
      </c>
    </row>
    <row r="4661" spans="1:20" customFormat="1" ht="15" x14ac:dyDescent="0.25">
      <c r="A4661" t="s">
        <v>35</v>
      </c>
      <c r="B4661" t="s">
        <v>61</v>
      </c>
      <c r="C4661" t="str">
        <f>"A0184822"</f>
        <v>A0184822</v>
      </c>
      <c r="D4661" t="s">
        <v>18945</v>
      </c>
      <c r="E4661" t="s">
        <v>18946</v>
      </c>
      <c r="F4661" t="s">
        <v>18947</v>
      </c>
      <c r="G4661" t="s">
        <v>58</v>
      </c>
      <c r="H4661" t="s">
        <v>18948</v>
      </c>
      <c r="I4661" t="s">
        <v>30</v>
      </c>
      <c r="J4661" t="s">
        <v>41</v>
      </c>
      <c r="K4661" t="s">
        <v>59</v>
      </c>
      <c r="Q4661">
        <v>0</v>
      </c>
      <c r="R4661">
        <v>176</v>
      </c>
      <c r="S4661">
        <v>176</v>
      </c>
      <c r="T4661" t="s">
        <v>18949</v>
      </c>
    </row>
    <row r="4662" spans="1:20" customFormat="1" ht="15" x14ac:dyDescent="0.25">
      <c r="A4662" t="s">
        <v>35</v>
      </c>
      <c r="B4662" t="s">
        <v>61</v>
      </c>
      <c r="C4662" t="str">
        <f>"A0184821"</f>
        <v>A0184821</v>
      </c>
      <c r="D4662" t="s">
        <v>18950</v>
      </c>
      <c r="E4662" t="s">
        <v>18951</v>
      </c>
      <c r="F4662" t="s">
        <v>3319</v>
      </c>
      <c r="G4662" t="s">
        <v>58</v>
      </c>
      <c r="H4662" t="s">
        <v>18952</v>
      </c>
      <c r="I4662" t="s">
        <v>30</v>
      </c>
      <c r="J4662" t="s">
        <v>41</v>
      </c>
      <c r="K4662" t="s">
        <v>59</v>
      </c>
      <c r="Q4662">
        <v>0</v>
      </c>
      <c r="R4662">
        <v>44</v>
      </c>
      <c r="S4662">
        <v>44</v>
      </c>
      <c r="T4662" t="s">
        <v>18953</v>
      </c>
    </row>
    <row r="4663" spans="1:20" customFormat="1" ht="15" x14ac:dyDescent="0.25">
      <c r="A4663" t="s">
        <v>35</v>
      </c>
      <c r="B4663" t="s">
        <v>61</v>
      </c>
      <c r="C4663" t="str">
        <f>"A0184820"</f>
        <v>A0184820</v>
      </c>
      <c r="D4663" t="s">
        <v>18954</v>
      </c>
      <c r="E4663" t="s">
        <v>18955</v>
      </c>
      <c r="F4663" t="s">
        <v>18956</v>
      </c>
      <c r="G4663" t="s">
        <v>103</v>
      </c>
      <c r="H4663">
        <v>15825</v>
      </c>
      <c r="I4663" t="s">
        <v>30</v>
      </c>
      <c r="J4663" t="s">
        <v>41</v>
      </c>
      <c r="K4663" t="s">
        <v>59</v>
      </c>
      <c r="Q4663">
        <v>0</v>
      </c>
      <c r="R4663">
        <v>0</v>
      </c>
      <c r="S4663">
        <v>0</v>
      </c>
    </row>
    <row r="4664" spans="1:20" customFormat="1" ht="15" x14ac:dyDescent="0.25">
      <c r="A4664" t="s">
        <v>35</v>
      </c>
      <c r="B4664" t="s">
        <v>61</v>
      </c>
      <c r="C4664" t="str">
        <f>"A0184819"</f>
        <v>A0184819</v>
      </c>
      <c r="D4664" t="s">
        <v>18957</v>
      </c>
      <c r="E4664" t="s">
        <v>18958</v>
      </c>
      <c r="F4664" t="s">
        <v>18959</v>
      </c>
      <c r="G4664" t="s">
        <v>103</v>
      </c>
      <c r="H4664" t="s">
        <v>18960</v>
      </c>
      <c r="I4664" t="s">
        <v>30</v>
      </c>
      <c r="J4664" t="s">
        <v>41</v>
      </c>
      <c r="K4664" t="s">
        <v>59</v>
      </c>
      <c r="Q4664">
        <v>0</v>
      </c>
      <c r="R4664">
        <v>0</v>
      </c>
      <c r="S4664">
        <v>0</v>
      </c>
    </row>
    <row r="4665" spans="1:20" customFormat="1" ht="15" x14ac:dyDescent="0.25">
      <c r="A4665" t="s">
        <v>35</v>
      </c>
      <c r="B4665" t="s">
        <v>61</v>
      </c>
      <c r="C4665" t="str">
        <f>"A0184818"</f>
        <v>A0184818</v>
      </c>
      <c r="D4665" t="s">
        <v>18961</v>
      </c>
      <c r="E4665" t="s">
        <v>18962</v>
      </c>
      <c r="F4665" t="s">
        <v>1735</v>
      </c>
      <c r="G4665" t="s">
        <v>29</v>
      </c>
      <c r="H4665">
        <v>228022433</v>
      </c>
      <c r="I4665" t="s">
        <v>30</v>
      </c>
      <c r="J4665" t="s">
        <v>41</v>
      </c>
      <c r="K4665" t="s">
        <v>59</v>
      </c>
      <c r="Q4665">
        <v>0</v>
      </c>
      <c r="R4665">
        <v>0</v>
      </c>
      <c r="S4665">
        <v>0</v>
      </c>
      <c r="T4665" t="s">
        <v>18963</v>
      </c>
    </row>
    <row r="4666" spans="1:20" customFormat="1" ht="15" x14ac:dyDescent="0.25">
      <c r="A4666" t="s">
        <v>35</v>
      </c>
      <c r="B4666" t="s">
        <v>61</v>
      </c>
      <c r="C4666" t="str">
        <f>"A0184817"</f>
        <v>A0184817</v>
      </c>
      <c r="D4666" t="s">
        <v>18964</v>
      </c>
      <c r="E4666" t="s">
        <v>18965</v>
      </c>
      <c r="F4666" t="s">
        <v>15409</v>
      </c>
      <c r="G4666" t="s">
        <v>29</v>
      </c>
      <c r="H4666">
        <v>234349236</v>
      </c>
      <c r="I4666" t="s">
        <v>30</v>
      </c>
      <c r="J4666" t="s">
        <v>41</v>
      </c>
      <c r="K4666" t="s">
        <v>59</v>
      </c>
      <c r="Q4666">
        <v>0</v>
      </c>
      <c r="R4666">
        <v>92</v>
      </c>
      <c r="S4666">
        <v>92</v>
      </c>
      <c r="T4666" t="s">
        <v>18966</v>
      </c>
    </row>
    <row r="4667" spans="1:20" customFormat="1" ht="15" x14ac:dyDescent="0.25">
      <c r="A4667" t="s">
        <v>35</v>
      </c>
      <c r="B4667" t="s">
        <v>61</v>
      </c>
      <c r="C4667" t="str">
        <f>"A0184816"</f>
        <v>A0184816</v>
      </c>
      <c r="D4667" t="s">
        <v>18967</v>
      </c>
      <c r="E4667" t="s">
        <v>18968</v>
      </c>
      <c r="F4667" t="s">
        <v>5299</v>
      </c>
      <c r="G4667" t="s">
        <v>103</v>
      </c>
      <c r="H4667" t="s">
        <v>18969</v>
      </c>
      <c r="I4667" t="s">
        <v>30</v>
      </c>
      <c r="J4667" t="s">
        <v>41</v>
      </c>
      <c r="K4667" t="s">
        <v>59</v>
      </c>
      <c r="Q4667">
        <v>0</v>
      </c>
      <c r="R4667">
        <v>301</v>
      </c>
      <c r="S4667">
        <v>301</v>
      </c>
      <c r="T4667" t="s">
        <v>18970</v>
      </c>
    </row>
    <row r="4668" spans="1:20" customFormat="1" ht="15" x14ac:dyDescent="0.25">
      <c r="A4668" t="s">
        <v>35</v>
      </c>
      <c r="B4668" t="s">
        <v>61</v>
      </c>
      <c r="C4668" t="str">
        <f>"A0184815"</f>
        <v>A0184815</v>
      </c>
      <c r="D4668" t="s">
        <v>18971</v>
      </c>
      <c r="E4668" t="s">
        <v>18793</v>
      </c>
      <c r="F4668" t="s">
        <v>102</v>
      </c>
      <c r="G4668" t="s">
        <v>103</v>
      </c>
      <c r="H4668" t="s">
        <v>18794</v>
      </c>
      <c r="I4668" t="s">
        <v>30</v>
      </c>
      <c r="J4668" t="s">
        <v>41</v>
      </c>
      <c r="K4668" t="s">
        <v>59</v>
      </c>
      <c r="Q4668">
        <v>0</v>
      </c>
      <c r="R4668">
        <v>0</v>
      </c>
      <c r="S4668">
        <v>0</v>
      </c>
    </row>
    <row r="4669" spans="1:20" customFormat="1" ht="15" x14ac:dyDescent="0.25">
      <c r="A4669" t="s">
        <v>35</v>
      </c>
      <c r="B4669" t="s">
        <v>61</v>
      </c>
      <c r="C4669" t="str">
        <f>"A0184814"</f>
        <v>A0184814</v>
      </c>
      <c r="D4669" t="s">
        <v>18972</v>
      </c>
      <c r="E4669" t="s">
        <v>18973</v>
      </c>
      <c r="F4669" t="s">
        <v>18974</v>
      </c>
      <c r="G4669" t="s">
        <v>103</v>
      </c>
      <c r="H4669">
        <v>19344</v>
      </c>
      <c r="I4669" t="s">
        <v>30</v>
      </c>
      <c r="J4669" t="s">
        <v>41</v>
      </c>
      <c r="K4669" t="s">
        <v>59</v>
      </c>
      <c r="Q4669">
        <v>0</v>
      </c>
      <c r="R4669">
        <v>139</v>
      </c>
      <c r="S4669">
        <v>139</v>
      </c>
      <c r="T4669" t="s">
        <v>18975</v>
      </c>
    </row>
    <row r="4670" spans="1:20" customFormat="1" ht="15" x14ac:dyDescent="0.25">
      <c r="A4670" t="s">
        <v>35</v>
      </c>
      <c r="B4670" t="s">
        <v>61</v>
      </c>
      <c r="C4670" t="str">
        <f>"A0184813"</f>
        <v>A0184813</v>
      </c>
      <c r="D4670" t="s">
        <v>18976</v>
      </c>
      <c r="E4670" t="s">
        <v>18977</v>
      </c>
      <c r="F4670" t="s">
        <v>2732</v>
      </c>
      <c r="G4670" t="s">
        <v>880</v>
      </c>
      <c r="H4670" t="s">
        <v>18978</v>
      </c>
      <c r="I4670" t="s">
        <v>30</v>
      </c>
      <c r="J4670" t="s">
        <v>41</v>
      </c>
      <c r="K4670" t="s">
        <v>59</v>
      </c>
      <c r="Q4670">
        <v>0</v>
      </c>
      <c r="R4670">
        <v>0</v>
      </c>
      <c r="S4670">
        <v>0</v>
      </c>
    </row>
    <row r="4671" spans="1:20" customFormat="1" ht="15" x14ac:dyDescent="0.25">
      <c r="A4671" t="s">
        <v>35</v>
      </c>
      <c r="B4671" t="s">
        <v>61</v>
      </c>
      <c r="C4671" t="str">
        <f>"A0184812"</f>
        <v>A0184812</v>
      </c>
      <c r="D4671" t="s">
        <v>18979</v>
      </c>
      <c r="E4671" t="s">
        <v>18980</v>
      </c>
      <c r="F4671" t="s">
        <v>3285</v>
      </c>
      <c r="G4671" t="s">
        <v>58</v>
      </c>
      <c r="H4671" t="s">
        <v>18981</v>
      </c>
      <c r="I4671" t="s">
        <v>30</v>
      </c>
      <c r="J4671" t="s">
        <v>41</v>
      </c>
      <c r="K4671" t="s">
        <v>59</v>
      </c>
      <c r="Q4671">
        <v>0</v>
      </c>
      <c r="R4671">
        <v>66</v>
      </c>
      <c r="S4671">
        <v>66</v>
      </c>
      <c r="T4671" t="s">
        <v>18982</v>
      </c>
    </row>
    <row r="4672" spans="1:20" customFormat="1" ht="15" x14ac:dyDescent="0.25">
      <c r="A4672" t="s">
        <v>35</v>
      </c>
      <c r="B4672" t="s">
        <v>61</v>
      </c>
      <c r="C4672" t="str">
        <f>"A0184811"</f>
        <v>A0184811</v>
      </c>
      <c r="D4672" t="s">
        <v>18983</v>
      </c>
      <c r="E4672" t="s">
        <v>18984</v>
      </c>
      <c r="F4672" t="s">
        <v>18985</v>
      </c>
      <c r="G4672" t="s">
        <v>90</v>
      </c>
      <c r="H4672" t="s">
        <v>18986</v>
      </c>
      <c r="I4672" t="s">
        <v>30</v>
      </c>
      <c r="J4672" t="s">
        <v>41</v>
      </c>
      <c r="K4672" t="s">
        <v>59</v>
      </c>
      <c r="Q4672">
        <v>0</v>
      </c>
      <c r="R4672">
        <v>0</v>
      </c>
      <c r="S4672">
        <v>0</v>
      </c>
      <c r="T4672" t="s">
        <v>18987</v>
      </c>
    </row>
    <row r="4673" spans="1:20" customFormat="1" ht="15" x14ac:dyDescent="0.25">
      <c r="A4673" t="s">
        <v>35</v>
      </c>
      <c r="B4673" t="s">
        <v>61</v>
      </c>
      <c r="C4673" t="str">
        <f>"A0184810"</f>
        <v>A0184810</v>
      </c>
      <c r="D4673" t="s">
        <v>18988</v>
      </c>
      <c r="E4673" t="s">
        <v>18989</v>
      </c>
      <c r="F4673" t="s">
        <v>18990</v>
      </c>
      <c r="G4673" t="s">
        <v>103</v>
      </c>
      <c r="H4673" t="s">
        <v>18991</v>
      </c>
      <c r="I4673" t="s">
        <v>30</v>
      </c>
      <c r="J4673" t="s">
        <v>41</v>
      </c>
      <c r="K4673" t="s">
        <v>59</v>
      </c>
      <c r="Q4673">
        <v>0</v>
      </c>
      <c r="R4673">
        <v>0</v>
      </c>
      <c r="S4673">
        <v>0</v>
      </c>
      <c r="T4673" t="s">
        <v>18992</v>
      </c>
    </row>
    <row r="4674" spans="1:20" customFormat="1" ht="15" x14ac:dyDescent="0.25">
      <c r="A4674" t="s">
        <v>35</v>
      </c>
      <c r="B4674" t="s">
        <v>61</v>
      </c>
      <c r="C4674" t="str">
        <f>"A0184809"</f>
        <v>A0184809</v>
      </c>
      <c r="D4674" t="s">
        <v>18993</v>
      </c>
      <c r="E4674" t="s">
        <v>18994</v>
      </c>
      <c r="F4674" t="s">
        <v>3009</v>
      </c>
      <c r="G4674" t="s">
        <v>103</v>
      </c>
      <c r="H4674">
        <v>17602</v>
      </c>
      <c r="I4674" t="s">
        <v>30</v>
      </c>
      <c r="J4674" t="s">
        <v>41</v>
      </c>
      <c r="K4674" t="s">
        <v>59</v>
      </c>
      <c r="Q4674">
        <v>0</v>
      </c>
      <c r="R4674">
        <v>0</v>
      </c>
      <c r="S4674">
        <v>0</v>
      </c>
      <c r="T4674" t="s">
        <v>18995</v>
      </c>
    </row>
    <row r="4675" spans="1:20" customFormat="1" ht="15" x14ac:dyDescent="0.25">
      <c r="A4675" t="s">
        <v>35</v>
      </c>
      <c r="B4675" t="s">
        <v>61</v>
      </c>
      <c r="C4675" t="str">
        <f>"A0184808"</f>
        <v>A0184808</v>
      </c>
      <c r="D4675" t="s">
        <v>18996</v>
      </c>
      <c r="E4675" t="s">
        <v>18997</v>
      </c>
      <c r="F4675" t="s">
        <v>17865</v>
      </c>
      <c r="G4675" t="s">
        <v>103</v>
      </c>
      <c r="H4675">
        <v>17584</v>
      </c>
      <c r="I4675" t="s">
        <v>30</v>
      </c>
      <c r="J4675" t="s">
        <v>41</v>
      </c>
      <c r="K4675" t="s">
        <v>59</v>
      </c>
      <c r="Q4675">
        <v>0</v>
      </c>
      <c r="R4675">
        <v>0</v>
      </c>
      <c r="S4675">
        <v>0</v>
      </c>
      <c r="T4675" t="s">
        <v>18998</v>
      </c>
    </row>
    <row r="4676" spans="1:20" customFormat="1" ht="15" x14ac:dyDescent="0.25">
      <c r="A4676" t="s">
        <v>35</v>
      </c>
      <c r="B4676" t="s">
        <v>61</v>
      </c>
      <c r="C4676" t="str">
        <f>"A0184807"</f>
        <v>A0184807</v>
      </c>
      <c r="D4676" t="s">
        <v>18999</v>
      </c>
      <c r="E4676" t="s">
        <v>19000</v>
      </c>
      <c r="F4676" t="s">
        <v>5506</v>
      </c>
      <c r="G4676" t="s">
        <v>289</v>
      </c>
      <c r="H4676" t="s">
        <v>19001</v>
      </c>
      <c r="I4676" t="s">
        <v>30</v>
      </c>
      <c r="J4676" t="s">
        <v>41</v>
      </c>
      <c r="K4676" t="s">
        <v>59</v>
      </c>
      <c r="Q4676">
        <v>0</v>
      </c>
      <c r="R4676">
        <v>50</v>
      </c>
      <c r="S4676">
        <v>50</v>
      </c>
      <c r="T4676" t="s">
        <v>19002</v>
      </c>
    </row>
    <row r="4677" spans="1:20" customFormat="1" ht="15" x14ac:dyDescent="0.25">
      <c r="A4677" t="s">
        <v>35</v>
      </c>
      <c r="B4677" t="s">
        <v>61</v>
      </c>
      <c r="C4677" t="str">
        <f>"A0184806"</f>
        <v>A0184806</v>
      </c>
      <c r="D4677" t="s">
        <v>19003</v>
      </c>
      <c r="E4677" t="s">
        <v>18576</v>
      </c>
      <c r="F4677" t="s">
        <v>5240</v>
      </c>
      <c r="G4677" t="s">
        <v>52</v>
      </c>
      <c r="H4677" t="s">
        <v>18577</v>
      </c>
      <c r="I4677" t="s">
        <v>30</v>
      </c>
      <c r="J4677" t="s">
        <v>41</v>
      </c>
      <c r="K4677" t="s">
        <v>59</v>
      </c>
      <c r="Q4677">
        <v>0</v>
      </c>
      <c r="R4677">
        <v>0</v>
      </c>
      <c r="S4677">
        <v>0</v>
      </c>
      <c r="T4677" t="s">
        <v>19004</v>
      </c>
    </row>
    <row r="4678" spans="1:20" customFormat="1" ht="15" x14ac:dyDescent="0.25">
      <c r="A4678" t="s">
        <v>35</v>
      </c>
      <c r="B4678" t="s">
        <v>61</v>
      </c>
      <c r="C4678" t="str">
        <f>"A0184805"</f>
        <v>A0184805</v>
      </c>
      <c r="D4678" t="s">
        <v>19005</v>
      </c>
      <c r="E4678" t="s">
        <v>19006</v>
      </c>
      <c r="F4678" t="s">
        <v>1420</v>
      </c>
      <c r="G4678" t="s">
        <v>880</v>
      </c>
      <c r="H4678" t="s">
        <v>19007</v>
      </c>
      <c r="I4678" t="s">
        <v>30</v>
      </c>
      <c r="J4678" t="s">
        <v>41</v>
      </c>
      <c r="K4678" t="s">
        <v>59</v>
      </c>
      <c r="Q4678">
        <v>0</v>
      </c>
      <c r="R4678">
        <v>0</v>
      </c>
      <c r="S4678">
        <v>0</v>
      </c>
      <c r="T4678" t="s">
        <v>19008</v>
      </c>
    </row>
    <row r="4679" spans="1:20" customFormat="1" ht="15" x14ac:dyDescent="0.25">
      <c r="A4679" t="s">
        <v>35</v>
      </c>
      <c r="B4679" t="s">
        <v>61</v>
      </c>
      <c r="C4679" t="str">
        <f>"A0184804"</f>
        <v>A0184804</v>
      </c>
      <c r="D4679" t="s">
        <v>19009</v>
      </c>
      <c r="E4679" t="s">
        <v>19010</v>
      </c>
      <c r="F4679" t="s">
        <v>3657</v>
      </c>
      <c r="G4679" t="s">
        <v>880</v>
      </c>
      <c r="H4679" t="s">
        <v>19011</v>
      </c>
      <c r="I4679" t="s">
        <v>30</v>
      </c>
      <c r="J4679" t="s">
        <v>41</v>
      </c>
      <c r="K4679" t="s">
        <v>59</v>
      </c>
      <c r="Q4679">
        <v>0</v>
      </c>
      <c r="R4679">
        <v>0</v>
      </c>
      <c r="S4679">
        <v>0</v>
      </c>
      <c r="T4679" t="s">
        <v>19012</v>
      </c>
    </row>
    <row r="4680" spans="1:20" customFormat="1" ht="15" x14ac:dyDescent="0.25">
      <c r="A4680" t="s">
        <v>35</v>
      </c>
      <c r="B4680" t="s">
        <v>61</v>
      </c>
      <c r="C4680" t="str">
        <f>"A0184803"</f>
        <v>A0184803</v>
      </c>
      <c r="D4680" t="s">
        <v>19013</v>
      </c>
      <c r="E4680" t="s">
        <v>19014</v>
      </c>
      <c r="F4680" t="s">
        <v>8284</v>
      </c>
      <c r="G4680" t="s">
        <v>880</v>
      </c>
      <c r="H4680" t="s">
        <v>19015</v>
      </c>
      <c r="I4680" t="s">
        <v>30</v>
      </c>
      <c r="J4680" t="s">
        <v>41</v>
      </c>
      <c r="K4680" t="s">
        <v>59</v>
      </c>
      <c r="Q4680">
        <v>0</v>
      </c>
      <c r="R4680">
        <v>0</v>
      </c>
      <c r="S4680">
        <v>0</v>
      </c>
    </row>
    <row r="4681" spans="1:20" customFormat="1" ht="15" x14ac:dyDescent="0.25">
      <c r="A4681" t="s">
        <v>35</v>
      </c>
      <c r="B4681" t="s">
        <v>61</v>
      </c>
      <c r="C4681" t="str">
        <f>"A0184802"</f>
        <v>A0184802</v>
      </c>
      <c r="D4681" t="s">
        <v>19016</v>
      </c>
      <c r="E4681" t="s">
        <v>19017</v>
      </c>
      <c r="F4681" t="s">
        <v>4082</v>
      </c>
      <c r="G4681" t="s">
        <v>123</v>
      </c>
      <c r="H4681" t="s">
        <v>19018</v>
      </c>
      <c r="I4681" t="s">
        <v>30</v>
      </c>
      <c r="J4681" t="s">
        <v>41</v>
      </c>
      <c r="K4681" t="s">
        <v>59</v>
      </c>
      <c r="Q4681">
        <v>0</v>
      </c>
      <c r="R4681">
        <v>0</v>
      </c>
      <c r="S4681">
        <v>0</v>
      </c>
      <c r="T4681" t="s">
        <v>19019</v>
      </c>
    </row>
    <row r="4682" spans="1:20" customFormat="1" ht="15" x14ac:dyDescent="0.25">
      <c r="A4682" t="s">
        <v>35</v>
      </c>
      <c r="B4682" t="s">
        <v>61</v>
      </c>
      <c r="C4682" t="str">
        <f>"A0184801"</f>
        <v>A0184801</v>
      </c>
      <c r="D4682" t="s">
        <v>19020</v>
      </c>
      <c r="E4682" t="s">
        <v>19021</v>
      </c>
      <c r="F4682" t="s">
        <v>288</v>
      </c>
      <c r="G4682" t="s">
        <v>289</v>
      </c>
      <c r="H4682" t="s">
        <v>19022</v>
      </c>
      <c r="I4682" t="s">
        <v>30</v>
      </c>
      <c r="J4682" t="s">
        <v>41</v>
      </c>
      <c r="K4682" t="s">
        <v>59</v>
      </c>
      <c r="Q4682">
        <v>0</v>
      </c>
      <c r="R4682">
        <v>0</v>
      </c>
      <c r="S4682">
        <v>0</v>
      </c>
      <c r="T4682" t="s">
        <v>19023</v>
      </c>
    </row>
    <row r="4683" spans="1:20" customFormat="1" ht="15" x14ac:dyDescent="0.25">
      <c r="A4683" t="s">
        <v>35</v>
      </c>
      <c r="B4683" t="s">
        <v>61</v>
      </c>
      <c r="C4683" t="str">
        <f>"A0184800"</f>
        <v>A0184800</v>
      </c>
      <c r="D4683" t="s">
        <v>19024</v>
      </c>
      <c r="E4683" t="s">
        <v>19025</v>
      </c>
      <c r="F4683" t="s">
        <v>4108</v>
      </c>
      <c r="G4683" t="s">
        <v>289</v>
      </c>
      <c r="H4683" t="s">
        <v>19026</v>
      </c>
      <c r="I4683" t="s">
        <v>30</v>
      </c>
      <c r="J4683" t="s">
        <v>41</v>
      </c>
      <c r="K4683" t="s">
        <v>59</v>
      </c>
      <c r="Q4683">
        <v>0</v>
      </c>
      <c r="R4683">
        <v>0</v>
      </c>
      <c r="S4683">
        <v>0</v>
      </c>
    </row>
    <row r="4684" spans="1:20" customFormat="1" ht="15" x14ac:dyDescent="0.25">
      <c r="A4684" t="s">
        <v>35</v>
      </c>
      <c r="B4684" t="s">
        <v>61</v>
      </c>
      <c r="C4684" t="str">
        <f>"A0184799"</f>
        <v>A0184799</v>
      </c>
      <c r="D4684" t="s">
        <v>19027</v>
      </c>
      <c r="E4684" t="s">
        <v>19028</v>
      </c>
      <c r="F4684" t="s">
        <v>19029</v>
      </c>
      <c r="G4684" t="s">
        <v>52</v>
      </c>
      <c r="H4684">
        <v>756055650</v>
      </c>
      <c r="I4684" t="s">
        <v>30</v>
      </c>
      <c r="J4684" t="s">
        <v>41</v>
      </c>
      <c r="K4684" t="s">
        <v>59</v>
      </c>
      <c r="Q4684">
        <v>0</v>
      </c>
      <c r="R4684">
        <v>20</v>
      </c>
      <c r="S4684">
        <v>20</v>
      </c>
      <c r="T4684" t="s">
        <v>19030</v>
      </c>
    </row>
    <row r="4685" spans="1:20" customFormat="1" ht="15" x14ac:dyDescent="0.25">
      <c r="A4685" t="s">
        <v>35</v>
      </c>
      <c r="B4685" t="s">
        <v>61</v>
      </c>
      <c r="C4685" t="str">
        <f>"A0184798"</f>
        <v>A0184798</v>
      </c>
      <c r="D4685" t="s">
        <v>19031</v>
      </c>
      <c r="E4685" t="s">
        <v>19032</v>
      </c>
      <c r="F4685" t="s">
        <v>5240</v>
      </c>
      <c r="G4685" t="s">
        <v>52</v>
      </c>
      <c r="H4685" t="s">
        <v>19033</v>
      </c>
      <c r="I4685" t="s">
        <v>30</v>
      </c>
      <c r="J4685" t="s">
        <v>41</v>
      </c>
      <c r="K4685" t="s">
        <v>59</v>
      </c>
      <c r="Q4685">
        <v>0</v>
      </c>
      <c r="R4685">
        <v>223</v>
      </c>
      <c r="S4685">
        <v>223</v>
      </c>
      <c r="T4685" t="s">
        <v>19034</v>
      </c>
    </row>
    <row r="4686" spans="1:20" customFormat="1" ht="15" x14ac:dyDescent="0.25">
      <c r="A4686" t="s">
        <v>35</v>
      </c>
      <c r="B4686" t="s">
        <v>61</v>
      </c>
      <c r="C4686" t="str">
        <f>"A0184797"</f>
        <v>A0184797</v>
      </c>
      <c r="D4686" t="s">
        <v>19035</v>
      </c>
      <c r="E4686" t="s">
        <v>18838</v>
      </c>
      <c r="F4686" t="s">
        <v>17875</v>
      </c>
      <c r="G4686" t="s">
        <v>2391</v>
      </c>
      <c r="H4686" t="s">
        <v>18839</v>
      </c>
      <c r="I4686" t="s">
        <v>30</v>
      </c>
      <c r="J4686" t="s">
        <v>41</v>
      </c>
      <c r="K4686" t="s">
        <v>59</v>
      </c>
      <c r="Q4686">
        <v>0</v>
      </c>
      <c r="R4686">
        <v>0</v>
      </c>
      <c r="S4686">
        <v>0</v>
      </c>
    </row>
    <row r="4687" spans="1:20" customFormat="1" ht="15" x14ac:dyDescent="0.25">
      <c r="A4687" t="s">
        <v>35</v>
      </c>
      <c r="B4687" t="s">
        <v>61</v>
      </c>
      <c r="C4687" t="str">
        <f>"A0184796"</f>
        <v>A0184796</v>
      </c>
      <c r="D4687" t="s">
        <v>19036</v>
      </c>
      <c r="E4687" t="s">
        <v>19037</v>
      </c>
      <c r="F4687" t="s">
        <v>1795</v>
      </c>
      <c r="G4687" t="s">
        <v>29</v>
      </c>
      <c r="H4687">
        <v>23235</v>
      </c>
      <c r="I4687" t="s">
        <v>30</v>
      </c>
      <c r="J4687" t="s">
        <v>41</v>
      </c>
      <c r="K4687" t="s">
        <v>59</v>
      </c>
      <c r="Q4687">
        <v>0</v>
      </c>
      <c r="R4687">
        <v>0</v>
      </c>
      <c r="S4687">
        <v>0</v>
      </c>
      <c r="T4687" t="s">
        <v>19038</v>
      </c>
    </row>
    <row r="4688" spans="1:20" customFormat="1" ht="15" x14ac:dyDescent="0.25">
      <c r="A4688" t="s">
        <v>35</v>
      </c>
      <c r="B4688" t="s">
        <v>61</v>
      </c>
      <c r="C4688" t="str">
        <f>"A0184795"</f>
        <v>A0184795</v>
      </c>
      <c r="D4688" t="s">
        <v>18465</v>
      </c>
      <c r="E4688" t="s">
        <v>19039</v>
      </c>
      <c r="F4688" t="s">
        <v>853</v>
      </c>
      <c r="G4688" t="s">
        <v>52</v>
      </c>
      <c r="H4688" t="s">
        <v>19040</v>
      </c>
      <c r="I4688" t="s">
        <v>30</v>
      </c>
      <c r="J4688" t="s">
        <v>41</v>
      </c>
      <c r="K4688" t="s">
        <v>59</v>
      </c>
      <c r="Q4688">
        <v>0</v>
      </c>
      <c r="R4688">
        <v>0</v>
      </c>
      <c r="S4688">
        <v>0</v>
      </c>
    </row>
    <row r="4689" spans="1:20" customFormat="1" ht="15" x14ac:dyDescent="0.25">
      <c r="A4689" t="s">
        <v>35</v>
      </c>
      <c r="B4689" t="s">
        <v>61</v>
      </c>
      <c r="C4689" t="str">
        <f>"A0184793"</f>
        <v>A0184793</v>
      </c>
      <c r="D4689" t="s">
        <v>19041</v>
      </c>
      <c r="E4689" t="s">
        <v>19042</v>
      </c>
      <c r="F4689" t="s">
        <v>4133</v>
      </c>
      <c r="G4689" t="s">
        <v>52</v>
      </c>
      <c r="H4689" t="s">
        <v>19043</v>
      </c>
      <c r="I4689" t="s">
        <v>30</v>
      </c>
      <c r="J4689" t="s">
        <v>41</v>
      </c>
      <c r="K4689" t="s">
        <v>59</v>
      </c>
      <c r="Q4689">
        <v>0</v>
      </c>
      <c r="R4689">
        <v>0</v>
      </c>
      <c r="S4689">
        <v>0</v>
      </c>
      <c r="T4689" t="s">
        <v>19044</v>
      </c>
    </row>
    <row r="4690" spans="1:20" customFormat="1" ht="15" x14ac:dyDescent="0.25">
      <c r="A4690" t="s">
        <v>35</v>
      </c>
      <c r="B4690" t="s">
        <v>61</v>
      </c>
      <c r="C4690" t="str">
        <f>"A0184792"</f>
        <v>A0184792</v>
      </c>
      <c r="D4690" t="s">
        <v>19045</v>
      </c>
      <c r="E4690" t="s">
        <v>19046</v>
      </c>
      <c r="F4690" t="s">
        <v>5240</v>
      </c>
      <c r="G4690" t="s">
        <v>52</v>
      </c>
      <c r="H4690">
        <v>78201</v>
      </c>
      <c r="I4690" t="s">
        <v>30</v>
      </c>
      <c r="J4690" t="s">
        <v>41</v>
      </c>
      <c r="K4690" t="s">
        <v>59</v>
      </c>
      <c r="Q4690">
        <v>0</v>
      </c>
      <c r="R4690">
        <v>0</v>
      </c>
      <c r="S4690">
        <v>0</v>
      </c>
    </row>
    <row r="4691" spans="1:20" customFormat="1" ht="15" x14ac:dyDescent="0.25">
      <c r="A4691" t="s">
        <v>35</v>
      </c>
      <c r="B4691" t="s">
        <v>61</v>
      </c>
      <c r="C4691" t="str">
        <f>"A0184791"</f>
        <v>A0184791</v>
      </c>
      <c r="D4691" t="s">
        <v>19047</v>
      </c>
      <c r="E4691" t="s">
        <v>19048</v>
      </c>
      <c r="F4691" t="s">
        <v>2670</v>
      </c>
      <c r="G4691" t="s">
        <v>880</v>
      </c>
      <c r="H4691">
        <v>37660</v>
      </c>
      <c r="I4691" t="s">
        <v>30</v>
      </c>
      <c r="J4691" t="s">
        <v>41</v>
      </c>
      <c r="K4691" t="s">
        <v>59</v>
      </c>
      <c r="Q4691">
        <v>0</v>
      </c>
      <c r="R4691">
        <v>48</v>
      </c>
      <c r="S4691">
        <v>48</v>
      </c>
      <c r="T4691" t="s">
        <v>19049</v>
      </c>
    </row>
    <row r="4692" spans="1:20" customFormat="1" ht="15" x14ac:dyDescent="0.25">
      <c r="A4692" t="s">
        <v>35</v>
      </c>
      <c r="B4692" t="s">
        <v>61</v>
      </c>
      <c r="C4692" t="str">
        <f>"A0184790"</f>
        <v>A0184790</v>
      </c>
      <c r="D4692" t="s">
        <v>19050</v>
      </c>
      <c r="E4692" t="s">
        <v>19051</v>
      </c>
      <c r="F4692" t="s">
        <v>8284</v>
      </c>
      <c r="G4692" t="s">
        <v>880</v>
      </c>
      <c r="H4692" t="s">
        <v>19052</v>
      </c>
      <c r="I4692" t="s">
        <v>30</v>
      </c>
      <c r="J4692" t="s">
        <v>41</v>
      </c>
      <c r="K4692" t="s">
        <v>59</v>
      </c>
      <c r="Q4692">
        <v>0</v>
      </c>
      <c r="R4692">
        <v>82</v>
      </c>
      <c r="S4692">
        <v>82</v>
      </c>
      <c r="T4692" t="s">
        <v>19053</v>
      </c>
    </row>
    <row r="4693" spans="1:20" customFormat="1" ht="15" x14ac:dyDescent="0.25">
      <c r="A4693" t="s">
        <v>35</v>
      </c>
      <c r="B4693" t="s">
        <v>61</v>
      </c>
      <c r="C4693" t="str">
        <f>"A0184789"</f>
        <v>A0184789</v>
      </c>
      <c r="D4693" t="s">
        <v>19054</v>
      </c>
      <c r="E4693" t="s">
        <v>19055</v>
      </c>
      <c r="F4693" t="s">
        <v>1795</v>
      </c>
      <c r="G4693" t="s">
        <v>2391</v>
      </c>
      <c r="H4693" t="s">
        <v>19056</v>
      </c>
      <c r="I4693" t="s">
        <v>30</v>
      </c>
      <c r="J4693" t="s">
        <v>41</v>
      </c>
      <c r="K4693" t="s">
        <v>59</v>
      </c>
      <c r="Q4693">
        <v>0</v>
      </c>
      <c r="R4693">
        <v>0</v>
      </c>
      <c r="S4693">
        <v>0</v>
      </c>
      <c r="T4693" t="s">
        <v>19057</v>
      </c>
    </row>
    <row r="4694" spans="1:20" customFormat="1" ht="15" x14ac:dyDescent="0.25">
      <c r="A4694" t="s">
        <v>35</v>
      </c>
      <c r="B4694" t="s">
        <v>61</v>
      </c>
      <c r="C4694" t="str">
        <f>"A0184788"</f>
        <v>A0184788</v>
      </c>
      <c r="D4694" t="s">
        <v>19058</v>
      </c>
      <c r="E4694" t="s">
        <v>19059</v>
      </c>
      <c r="F4694" t="s">
        <v>1735</v>
      </c>
      <c r="G4694" t="s">
        <v>29</v>
      </c>
      <c r="H4694">
        <v>228022431</v>
      </c>
      <c r="I4694" t="s">
        <v>30</v>
      </c>
      <c r="J4694" t="s">
        <v>41</v>
      </c>
      <c r="K4694" t="s">
        <v>59</v>
      </c>
      <c r="Q4694">
        <v>0</v>
      </c>
      <c r="R4694">
        <v>0</v>
      </c>
      <c r="S4694">
        <v>0</v>
      </c>
    </row>
    <row r="4695" spans="1:20" customFormat="1" ht="15" x14ac:dyDescent="0.25">
      <c r="A4695" t="s">
        <v>35</v>
      </c>
      <c r="B4695" t="s">
        <v>15885</v>
      </c>
      <c r="C4695" t="str">
        <f>"A0184787"</f>
        <v>A0184787</v>
      </c>
      <c r="D4695" t="s">
        <v>19060</v>
      </c>
      <c r="E4695" t="s">
        <v>19061</v>
      </c>
      <c r="F4695" t="s">
        <v>1382</v>
      </c>
      <c r="G4695" t="s">
        <v>29</v>
      </c>
      <c r="H4695">
        <v>23602</v>
      </c>
      <c r="I4695" t="s">
        <v>30</v>
      </c>
      <c r="J4695" t="s">
        <v>41</v>
      </c>
      <c r="K4695" t="s">
        <v>59</v>
      </c>
      <c r="Q4695">
        <v>0</v>
      </c>
      <c r="R4695">
        <v>0</v>
      </c>
      <c r="S4695">
        <v>0</v>
      </c>
    </row>
    <row r="4696" spans="1:20" customFormat="1" ht="15" x14ac:dyDescent="0.25">
      <c r="A4696" t="s">
        <v>35</v>
      </c>
      <c r="B4696" t="s">
        <v>61</v>
      </c>
      <c r="C4696" t="str">
        <f>"A0184786"</f>
        <v>A0184786</v>
      </c>
      <c r="D4696" t="s">
        <v>19062</v>
      </c>
      <c r="E4696" t="s">
        <v>19063</v>
      </c>
      <c r="F4696" t="s">
        <v>1501</v>
      </c>
      <c r="G4696" t="s">
        <v>880</v>
      </c>
      <c r="H4696" t="s">
        <v>19064</v>
      </c>
      <c r="I4696" t="s">
        <v>30</v>
      </c>
      <c r="J4696" t="s">
        <v>41</v>
      </c>
      <c r="K4696" t="s">
        <v>59</v>
      </c>
      <c r="Q4696">
        <v>0</v>
      </c>
      <c r="R4696">
        <v>132</v>
      </c>
      <c r="S4696">
        <v>132</v>
      </c>
      <c r="T4696" t="s">
        <v>19065</v>
      </c>
    </row>
    <row r="4697" spans="1:20" customFormat="1" ht="15" x14ac:dyDescent="0.25">
      <c r="A4697" t="s">
        <v>35</v>
      </c>
      <c r="B4697" t="s">
        <v>61</v>
      </c>
      <c r="C4697" t="str">
        <f>"A0184785"</f>
        <v>A0184785</v>
      </c>
      <c r="D4697" t="s">
        <v>19066</v>
      </c>
      <c r="E4697" t="s">
        <v>19067</v>
      </c>
      <c r="F4697" t="s">
        <v>879</v>
      </c>
      <c r="G4697" t="s">
        <v>880</v>
      </c>
      <c r="H4697" t="s">
        <v>19068</v>
      </c>
      <c r="I4697" t="s">
        <v>30</v>
      </c>
      <c r="J4697" t="s">
        <v>41</v>
      </c>
      <c r="K4697" t="s">
        <v>59</v>
      </c>
      <c r="Q4697">
        <v>0</v>
      </c>
      <c r="R4697">
        <v>0</v>
      </c>
      <c r="S4697">
        <v>0</v>
      </c>
    </row>
    <row r="4698" spans="1:20" customFormat="1" ht="15" x14ac:dyDescent="0.25">
      <c r="A4698" t="s">
        <v>35</v>
      </c>
      <c r="B4698" t="s">
        <v>61</v>
      </c>
      <c r="C4698" t="str">
        <f>"A0184784"</f>
        <v>A0184784</v>
      </c>
      <c r="D4698" t="s">
        <v>19069</v>
      </c>
      <c r="E4698" t="s">
        <v>19070</v>
      </c>
      <c r="F4698" t="s">
        <v>1501</v>
      </c>
      <c r="G4698" t="s">
        <v>880</v>
      </c>
      <c r="H4698" t="s">
        <v>19071</v>
      </c>
      <c r="I4698" t="s">
        <v>30</v>
      </c>
      <c r="J4698" t="s">
        <v>41</v>
      </c>
      <c r="K4698" t="s">
        <v>59</v>
      </c>
      <c r="Q4698">
        <v>0</v>
      </c>
      <c r="R4698">
        <v>0</v>
      </c>
      <c r="S4698">
        <v>0</v>
      </c>
    </row>
    <row r="4699" spans="1:20" customFormat="1" ht="15" x14ac:dyDescent="0.25">
      <c r="A4699" t="s">
        <v>35</v>
      </c>
      <c r="B4699" t="s">
        <v>61</v>
      </c>
      <c r="C4699" t="str">
        <f>"A0184783"</f>
        <v>A0184783</v>
      </c>
      <c r="D4699" t="s">
        <v>19072</v>
      </c>
      <c r="E4699" t="s">
        <v>19073</v>
      </c>
      <c r="F4699" t="s">
        <v>3657</v>
      </c>
      <c r="G4699" t="s">
        <v>880</v>
      </c>
      <c r="H4699" t="s">
        <v>19074</v>
      </c>
      <c r="I4699" t="s">
        <v>30</v>
      </c>
      <c r="J4699" t="s">
        <v>41</v>
      </c>
      <c r="K4699" t="s">
        <v>59</v>
      </c>
      <c r="Q4699">
        <v>0</v>
      </c>
      <c r="R4699">
        <v>0</v>
      </c>
      <c r="S4699">
        <v>0</v>
      </c>
      <c r="T4699" t="s">
        <v>19075</v>
      </c>
    </row>
    <row r="4700" spans="1:20" customFormat="1" ht="15" x14ac:dyDescent="0.25">
      <c r="A4700" t="s">
        <v>35</v>
      </c>
      <c r="B4700" t="s">
        <v>61</v>
      </c>
      <c r="C4700" t="str">
        <f>"A0184782"</f>
        <v>A0184782</v>
      </c>
      <c r="D4700" t="s">
        <v>19076</v>
      </c>
      <c r="E4700" t="s">
        <v>19077</v>
      </c>
      <c r="F4700" t="s">
        <v>16471</v>
      </c>
      <c r="G4700" t="s">
        <v>58</v>
      </c>
      <c r="H4700" t="s">
        <v>19078</v>
      </c>
      <c r="I4700" t="s">
        <v>30</v>
      </c>
      <c r="J4700" t="s">
        <v>41</v>
      </c>
      <c r="K4700" t="s">
        <v>59</v>
      </c>
      <c r="Q4700">
        <v>0</v>
      </c>
      <c r="R4700">
        <v>33</v>
      </c>
      <c r="S4700">
        <v>33</v>
      </c>
      <c r="T4700" t="s">
        <v>19079</v>
      </c>
    </row>
    <row r="4701" spans="1:20" customFormat="1" ht="15" x14ac:dyDescent="0.25">
      <c r="A4701" t="s">
        <v>35</v>
      </c>
      <c r="B4701" t="s">
        <v>61</v>
      </c>
      <c r="C4701" t="str">
        <f>"A0184781"</f>
        <v>A0184781</v>
      </c>
      <c r="D4701" t="s">
        <v>19080</v>
      </c>
      <c r="E4701" t="s">
        <v>19081</v>
      </c>
      <c r="F4701" t="s">
        <v>18781</v>
      </c>
      <c r="G4701" t="s">
        <v>58</v>
      </c>
      <c r="H4701" t="s">
        <v>19082</v>
      </c>
      <c r="I4701" t="s">
        <v>30</v>
      </c>
      <c r="J4701" t="s">
        <v>41</v>
      </c>
      <c r="K4701" t="s">
        <v>59</v>
      </c>
      <c r="Q4701">
        <v>0</v>
      </c>
      <c r="R4701">
        <v>0</v>
      </c>
      <c r="S4701">
        <v>0</v>
      </c>
    </row>
    <row r="4702" spans="1:20" customFormat="1" ht="15" x14ac:dyDescent="0.25">
      <c r="A4702" t="s">
        <v>35</v>
      </c>
      <c r="B4702" t="s">
        <v>61</v>
      </c>
      <c r="C4702" t="str">
        <f>"A0184780"</f>
        <v>A0184780</v>
      </c>
      <c r="D4702" t="s">
        <v>19083</v>
      </c>
      <c r="E4702" t="s">
        <v>19084</v>
      </c>
      <c r="F4702" t="s">
        <v>1731</v>
      </c>
      <c r="G4702" t="s">
        <v>52</v>
      </c>
      <c r="H4702" t="s">
        <v>19085</v>
      </c>
      <c r="I4702" t="s">
        <v>30</v>
      </c>
      <c r="J4702" t="s">
        <v>41</v>
      </c>
      <c r="K4702" t="s">
        <v>59</v>
      </c>
      <c r="Q4702">
        <v>0</v>
      </c>
      <c r="R4702">
        <v>0</v>
      </c>
      <c r="S4702">
        <v>0</v>
      </c>
    </row>
    <row r="4703" spans="1:20" customFormat="1" ht="15" x14ac:dyDescent="0.25">
      <c r="A4703" t="s">
        <v>35</v>
      </c>
      <c r="B4703" t="s">
        <v>61</v>
      </c>
      <c r="C4703" t="str">
        <f>"A0184779"</f>
        <v>A0184779</v>
      </c>
      <c r="D4703" t="s">
        <v>19086</v>
      </c>
      <c r="E4703" t="s">
        <v>19087</v>
      </c>
      <c r="F4703" t="s">
        <v>17621</v>
      </c>
      <c r="G4703" t="s">
        <v>52</v>
      </c>
      <c r="H4703">
        <v>76902</v>
      </c>
      <c r="I4703" t="s">
        <v>30</v>
      </c>
      <c r="J4703" t="s">
        <v>41</v>
      </c>
      <c r="K4703" t="s">
        <v>59</v>
      </c>
      <c r="Q4703">
        <v>0</v>
      </c>
      <c r="R4703">
        <v>0</v>
      </c>
      <c r="S4703">
        <v>0</v>
      </c>
    </row>
    <row r="4704" spans="1:20" customFormat="1" ht="15" x14ac:dyDescent="0.25">
      <c r="A4704" t="s">
        <v>35</v>
      </c>
      <c r="B4704" t="s">
        <v>11871</v>
      </c>
      <c r="C4704" t="str">
        <f>"A0184778"</f>
        <v>A0184778</v>
      </c>
      <c r="D4704" t="s">
        <v>19088</v>
      </c>
      <c r="E4704" t="s">
        <v>19089</v>
      </c>
      <c r="F4704" t="s">
        <v>1755</v>
      </c>
      <c r="G4704" t="s">
        <v>880</v>
      </c>
      <c r="H4704" t="s">
        <v>19090</v>
      </c>
      <c r="I4704" t="s">
        <v>30</v>
      </c>
      <c r="J4704" t="s">
        <v>41</v>
      </c>
      <c r="K4704" t="s">
        <v>59</v>
      </c>
      <c r="Q4704">
        <v>0</v>
      </c>
      <c r="R4704">
        <v>0</v>
      </c>
      <c r="S4704">
        <v>0</v>
      </c>
      <c r="T4704" t="s">
        <v>19091</v>
      </c>
    </row>
    <row r="4705" spans="1:20" customFormat="1" ht="15" x14ac:dyDescent="0.25">
      <c r="A4705" t="s">
        <v>35</v>
      </c>
      <c r="B4705" t="s">
        <v>61</v>
      </c>
      <c r="C4705" t="str">
        <f>"A0184777"</f>
        <v>A0184777</v>
      </c>
      <c r="D4705" t="s">
        <v>19092</v>
      </c>
      <c r="E4705" t="s">
        <v>19093</v>
      </c>
      <c r="F4705" t="s">
        <v>93</v>
      </c>
      <c r="G4705" t="s">
        <v>58</v>
      </c>
      <c r="H4705" t="s">
        <v>19094</v>
      </c>
      <c r="I4705" t="s">
        <v>30</v>
      </c>
      <c r="J4705" t="s">
        <v>41</v>
      </c>
      <c r="K4705" t="s">
        <v>59</v>
      </c>
      <c r="Q4705">
        <v>0</v>
      </c>
      <c r="R4705">
        <v>0</v>
      </c>
      <c r="S4705">
        <v>0</v>
      </c>
      <c r="T4705" t="s">
        <v>19095</v>
      </c>
    </row>
    <row r="4706" spans="1:20" customFormat="1" ht="15" x14ac:dyDescent="0.25">
      <c r="A4706" t="s">
        <v>35</v>
      </c>
      <c r="B4706" t="s">
        <v>61</v>
      </c>
      <c r="C4706" t="str">
        <f>"A0184776"</f>
        <v>A0184776</v>
      </c>
      <c r="D4706" t="s">
        <v>19096</v>
      </c>
      <c r="E4706" t="s">
        <v>19097</v>
      </c>
      <c r="F4706" t="s">
        <v>1298</v>
      </c>
      <c r="G4706" t="s">
        <v>58</v>
      </c>
      <c r="H4706" t="s">
        <v>19098</v>
      </c>
      <c r="I4706" t="s">
        <v>30</v>
      </c>
      <c r="J4706" t="s">
        <v>41</v>
      </c>
      <c r="K4706" t="s">
        <v>59</v>
      </c>
      <c r="Q4706">
        <v>0</v>
      </c>
      <c r="R4706">
        <v>0</v>
      </c>
      <c r="S4706">
        <v>0</v>
      </c>
    </row>
    <row r="4707" spans="1:20" customFormat="1" ht="15" x14ac:dyDescent="0.25">
      <c r="A4707" t="s">
        <v>35</v>
      </c>
      <c r="B4707" t="s">
        <v>61</v>
      </c>
      <c r="C4707" t="str">
        <f>"A0184775"</f>
        <v>A0184775</v>
      </c>
      <c r="D4707" t="s">
        <v>19099</v>
      </c>
      <c r="E4707" t="s">
        <v>19100</v>
      </c>
      <c r="F4707" t="s">
        <v>19101</v>
      </c>
      <c r="G4707" t="s">
        <v>58</v>
      </c>
      <c r="H4707" t="s">
        <v>19102</v>
      </c>
      <c r="I4707" t="s">
        <v>30</v>
      </c>
      <c r="J4707" t="s">
        <v>41</v>
      </c>
      <c r="K4707" t="s">
        <v>59</v>
      </c>
      <c r="Q4707">
        <v>0</v>
      </c>
      <c r="R4707">
        <v>38</v>
      </c>
      <c r="S4707">
        <v>38</v>
      </c>
      <c r="T4707" t="s">
        <v>19103</v>
      </c>
    </row>
    <row r="4708" spans="1:20" customFormat="1" ht="15" x14ac:dyDescent="0.25">
      <c r="A4708" t="s">
        <v>35</v>
      </c>
      <c r="B4708" t="s">
        <v>61</v>
      </c>
      <c r="C4708" t="str">
        <f>"A0184774"</f>
        <v>A0184774</v>
      </c>
      <c r="D4708" t="s">
        <v>19104</v>
      </c>
      <c r="E4708" t="s">
        <v>19105</v>
      </c>
      <c r="F4708" t="s">
        <v>1731</v>
      </c>
      <c r="G4708" t="s">
        <v>52</v>
      </c>
      <c r="H4708" t="s">
        <v>19106</v>
      </c>
      <c r="I4708" t="s">
        <v>30</v>
      </c>
      <c r="J4708" t="s">
        <v>41</v>
      </c>
      <c r="K4708" t="s">
        <v>59</v>
      </c>
      <c r="Q4708">
        <v>0</v>
      </c>
      <c r="R4708">
        <v>0</v>
      </c>
      <c r="S4708">
        <v>0</v>
      </c>
    </row>
    <row r="4709" spans="1:20" customFormat="1" ht="15" x14ac:dyDescent="0.25">
      <c r="A4709" t="s">
        <v>35</v>
      </c>
      <c r="B4709" t="s">
        <v>61</v>
      </c>
      <c r="C4709" t="str">
        <f>"A0184773"</f>
        <v>A0184773</v>
      </c>
      <c r="D4709" t="s">
        <v>19107</v>
      </c>
      <c r="E4709" t="s">
        <v>19108</v>
      </c>
      <c r="F4709" t="s">
        <v>19109</v>
      </c>
      <c r="G4709" t="s">
        <v>52</v>
      </c>
      <c r="H4709" t="s">
        <v>19110</v>
      </c>
      <c r="I4709" t="s">
        <v>30</v>
      </c>
      <c r="J4709" t="s">
        <v>41</v>
      </c>
      <c r="K4709" t="s">
        <v>59</v>
      </c>
      <c r="Q4709">
        <v>0</v>
      </c>
      <c r="R4709">
        <v>0</v>
      </c>
      <c r="S4709">
        <v>0</v>
      </c>
    </row>
    <row r="4710" spans="1:20" customFormat="1" ht="15" x14ac:dyDescent="0.25">
      <c r="A4710" t="s">
        <v>35</v>
      </c>
      <c r="B4710" t="s">
        <v>61</v>
      </c>
      <c r="C4710" t="str">
        <f>"A0184772"</f>
        <v>A0184772</v>
      </c>
      <c r="D4710" t="s">
        <v>19111</v>
      </c>
      <c r="E4710" t="s">
        <v>19112</v>
      </c>
      <c r="F4710" t="s">
        <v>19113</v>
      </c>
      <c r="G4710" t="s">
        <v>90</v>
      </c>
      <c r="H4710">
        <v>2842</v>
      </c>
      <c r="I4710" t="s">
        <v>30</v>
      </c>
      <c r="J4710" t="s">
        <v>41</v>
      </c>
      <c r="K4710" t="s">
        <v>59</v>
      </c>
      <c r="Q4710">
        <v>0</v>
      </c>
      <c r="R4710">
        <v>0</v>
      </c>
      <c r="S4710">
        <v>0</v>
      </c>
      <c r="T4710" t="s">
        <v>19114</v>
      </c>
    </row>
    <row r="4711" spans="1:20" customFormat="1" ht="15" x14ac:dyDescent="0.25">
      <c r="A4711" t="s">
        <v>35</v>
      </c>
      <c r="B4711" t="s">
        <v>61</v>
      </c>
      <c r="C4711" t="str">
        <f>"A0184771"</f>
        <v>A0184771</v>
      </c>
      <c r="D4711" t="s">
        <v>19115</v>
      </c>
      <c r="E4711" t="s">
        <v>19116</v>
      </c>
      <c r="F4711" t="s">
        <v>8024</v>
      </c>
      <c r="G4711" t="s">
        <v>90</v>
      </c>
      <c r="H4711" t="s">
        <v>19117</v>
      </c>
      <c r="I4711" t="s">
        <v>30</v>
      </c>
      <c r="J4711" t="s">
        <v>41</v>
      </c>
      <c r="K4711" t="s">
        <v>59</v>
      </c>
      <c r="Q4711">
        <v>0</v>
      </c>
      <c r="R4711">
        <v>0</v>
      </c>
      <c r="S4711">
        <v>0</v>
      </c>
      <c r="T4711" t="s">
        <v>19118</v>
      </c>
    </row>
    <row r="4712" spans="1:20" customFormat="1" ht="15" x14ac:dyDescent="0.25">
      <c r="A4712" t="s">
        <v>35</v>
      </c>
      <c r="B4712" t="s">
        <v>61</v>
      </c>
      <c r="C4712" t="str">
        <f>"A0184770"</f>
        <v>A0184770</v>
      </c>
      <c r="D4712" t="s">
        <v>19119</v>
      </c>
      <c r="E4712" t="s">
        <v>19120</v>
      </c>
      <c r="F4712" t="s">
        <v>4629</v>
      </c>
      <c r="G4712" t="s">
        <v>103</v>
      </c>
      <c r="H4712">
        <v>19152</v>
      </c>
      <c r="I4712" t="s">
        <v>30</v>
      </c>
      <c r="J4712" t="s">
        <v>41</v>
      </c>
      <c r="K4712" t="s">
        <v>59</v>
      </c>
      <c r="Q4712">
        <v>0</v>
      </c>
      <c r="R4712">
        <v>120</v>
      </c>
      <c r="S4712">
        <v>120</v>
      </c>
      <c r="T4712" t="s">
        <v>19121</v>
      </c>
    </row>
    <row r="4713" spans="1:20" customFormat="1" ht="15" x14ac:dyDescent="0.25">
      <c r="A4713" t="s">
        <v>35</v>
      </c>
      <c r="B4713" t="s">
        <v>61</v>
      </c>
      <c r="C4713" t="str">
        <f>"A0184769"</f>
        <v>A0184769</v>
      </c>
      <c r="D4713" t="s">
        <v>19122</v>
      </c>
      <c r="E4713" t="s">
        <v>19123</v>
      </c>
      <c r="F4713" t="s">
        <v>491</v>
      </c>
      <c r="G4713" t="s">
        <v>103</v>
      </c>
      <c r="H4713" t="s">
        <v>19124</v>
      </c>
      <c r="I4713" t="s">
        <v>30</v>
      </c>
      <c r="J4713" t="s">
        <v>41</v>
      </c>
      <c r="K4713" t="s">
        <v>59</v>
      </c>
      <c r="Q4713">
        <v>0</v>
      </c>
      <c r="R4713">
        <v>104</v>
      </c>
      <c r="S4713">
        <v>104</v>
      </c>
      <c r="T4713" t="s">
        <v>19125</v>
      </c>
    </row>
    <row r="4714" spans="1:20" customFormat="1" ht="15" x14ac:dyDescent="0.25">
      <c r="A4714" t="s">
        <v>35</v>
      </c>
      <c r="B4714" t="s">
        <v>61</v>
      </c>
      <c r="C4714" t="str">
        <f>"A0184768"</f>
        <v>A0184768</v>
      </c>
      <c r="D4714" t="s">
        <v>19126</v>
      </c>
      <c r="E4714" t="s">
        <v>19127</v>
      </c>
      <c r="F4714" t="s">
        <v>19128</v>
      </c>
      <c r="G4714" t="s">
        <v>103</v>
      </c>
      <c r="H4714" t="s">
        <v>19129</v>
      </c>
      <c r="I4714" t="s">
        <v>30</v>
      </c>
      <c r="J4714" t="s">
        <v>41</v>
      </c>
      <c r="K4714" t="s">
        <v>59</v>
      </c>
      <c r="Q4714">
        <v>0</v>
      </c>
      <c r="R4714">
        <v>0</v>
      </c>
      <c r="S4714">
        <v>0</v>
      </c>
    </row>
    <row r="4715" spans="1:20" customFormat="1" ht="15" x14ac:dyDescent="0.25">
      <c r="A4715" t="s">
        <v>35</v>
      </c>
      <c r="B4715" t="s">
        <v>61</v>
      </c>
      <c r="C4715" t="str">
        <f>"A0184767"</f>
        <v>A0184767</v>
      </c>
      <c r="D4715" t="s">
        <v>19130</v>
      </c>
      <c r="E4715" t="s">
        <v>19131</v>
      </c>
      <c r="F4715" t="s">
        <v>4354</v>
      </c>
      <c r="G4715" t="s">
        <v>103</v>
      </c>
      <c r="H4715" t="s">
        <v>19132</v>
      </c>
      <c r="I4715" t="s">
        <v>30</v>
      </c>
      <c r="J4715" t="s">
        <v>41</v>
      </c>
      <c r="K4715" t="s">
        <v>59</v>
      </c>
      <c r="Q4715">
        <v>0</v>
      </c>
      <c r="R4715">
        <v>0</v>
      </c>
      <c r="S4715">
        <v>0</v>
      </c>
      <c r="T4715" t="s">
        <v>19133</v>
      </c>
    </row>
    <row r="4716" spans="1:20" customFormat="1" ht="15" x14ac:dyDescent="0.25">
      <c r="A4716" t="s">
        <v>35</v>
      </c>
      <c r="B4716" t="s">
        <v>61</v>
      </c>
      <c r="C4716" t="str">
        <f>"A0184766"</f>
        <v>A0184766</v>
      </c>
      <c r="D4716" t="s">
        <v>19134</v>
      </c>
      <c r="E4716" t="s">
        <v>19135</v>
      </c>
      <c r="F4716" t="s">
        <v>19136</v>
      </c>
      <c r="G4716" t="s">
        <v>103</v>
      </c>
      <c r="H4716" t="s">
        <v>19137</v>
      </c>
      <c r="I4716" t="s">
        <v>30</v>
      </c>
      <c r="J4716" t="s">
        <v>41</v>
      </c>
      <c r="K4716" t="s">
        <v>59</v>
      </c>
      <c r="Q4716">
        <v>0</v>
      </c>
      <c r="R4716">
        <v>0</v>
      </c>
      <c r="S4716">
        <v>0</v>
      </c>
    </row>
    <row r="4717" spans="1:20" customFormat="1" ht="15" x14ac:dyDescent="0.25">
      <c r="A4717" t="s">
        <v>35</v>
      </c>
      <c r="B4717" t="s">
        <v>61</v>
      </c>
      <c r="C4717" t="str">
        <f>"A0184765"</f>
        <v>A0184765</v>
      </c>
      <c r="D4717" t="s">
        <v>19138</v>
      </c>
      <c r="E4717" t="s">
        <v>19139</v>
      </c>
      <c r="F4717" t="s">
        <v>4629</v>
      </c>
      <c r="G4717" t="s">
        <v>103</v>
      </c>
      <c r="H4717">
        <v>19125</v>
      </c>
      <c r="I4717" t="s">
        <v>30</v>
      </c>
      <c r="J4717" t="s">
        <v>41</v>
      </c>
      <c r="K4717" t="s">
        <v>59</v>
      </c>
      <c r="Q4717">
        <v>0</v>
      </c>
      <c r="R4717">
        <v>0</v>
      </c>
      <c r="S4717">
        <v>0</v>
      </c>
    </row>
    <row r="4718" spans="1:20" customFormat="1" ht="15" x14ac:dyDescent="0.25">
      <c r="A4718" t="s">
        <v>35</v>
      </c>
      <c r="B4718" t="s">
        <v>61</v>
      </c>
      <c r="C4718" t="str">
        <f>"A0184764"</f>
        <v>A0184764</v>
      </c>
      <c r="D4718" t="s">
        <v>19140</v>
      </c>
      <c r="E4718" t="s">
        <v>19141</v>
      </c>
      <c r="F4718" t="s">
        <v>19142</v>
      </c>
      <c r="G4718" t="s">
        <v>103</v>
      </c>
      <c r="H4718" t="s">
        <v>19143</v>
      </c>
      <c r="I4718" t="s">
        <v>30</v>
      </c>
      <c r="J4718" t="s">
        <v>41</v>
      </c>
      <c r="K4718" t="s">
        <v>59</v>
      </c>
      <c r="Q4718">
        <v>0</v>
      </c>
      <c r="R4718">
        <v>132</v>
      </c>
      <c r="S4718">
        <v>132</v>
      </c>
      <c r="T4718" t="s">
        <v>19144</v>
      </c>
    </row>
    <row r="4719" spans="1:20" customFormat="1" ht="15" x14ac:dyDescent="0.25">
      <c r="A4719" t="s">
        <v>35</v>
      </c>
      <c r="B4719" t="s">
        <v>61</v>
      </c>
      <c r="C4719" t="str">
        <f>"A0184763"</f>
        <v>A0184763</v>
      </c>
      <c r="D4719" t="s">
        <v>19145</v>
      </c>
      <c r="E4719" t="s">
        <v>19146</v>
      </c>
      <c r="F4719" t="s">
        <v>19147</v>
      </c>
      <c r="G4719" t="s">
        <v>103</v>
      </c>
      <c r="H4719" t="s">
        <v>19148</v>
      </c>
      <c r="I4719" t="s">
        <v>30</v>
      </c>
      <c r="J4719" t="s">
        <v>41</v>
      </c>
      <c r="K4719" t="s">
        <v>59</v>
      </c>
      <c r="Q4719">
        <v>0</v>
      </c>
      <c r="R4719">
        <v>59</v>
      </c>
      <c r="S4719">
        <v>59</v>
      </c>
      <c r="T4719" t="s">
        <v>19149</v>
      </c>
    </row>
    <row r="4720" spans="1:20" customFormat="1" ht="15" x14ac:dyDescent="0.25">
      <c r="A4720" t="s">
        <v>35</v>
      </c>
      <c r="B4720" t="s">
        <v>61</v>
      </c>
      <c r="C4720" t="str">
        <f>"A0184762"</f>
        <v>A0184762</v>
      </c>
      <c r="D4720" t="s">
        <v>19150</v>
      </c>
      <c r="E4720" t="s">
        <v>17874</v>
      </c>
      <c r="F4720" t="s">
        <v>17875</v>
      </c>
      <c r="G4720" t="s">
        <v>2391</v>
      </c>
      <c r="H4720" t="s">
        <v>17876</v>
      </c>
      <c r="I4720" t="s">
        <v>30</v>
      </c>
      <c r="J4720" t="s">
        <v>41</v>
      </c>
      <c r="K4720" t="s">
        <v>59</v>
      </c>
      <c r="Q4720">
        <v>0</v>
      </c>
      <c r="R4720">
        <v>28</v>
      </c>
      <c r="S4720">
        <v>28</v>
      </c>
      <c r="T4720" t="s">
        <v>18840</v>
      </c>
    </row>
    <row r="4721" spans="1:20" customFormat="1" ht="15" x14ac:dyDescent="0.25">
      <c r="A4721" t="s">
        <v>35</v>
      </c>
      <c r="B4721" t="s">
        <v>61</v>
      </c>
      <c r="C4721" t="str">
        <f>"A0184761"</f>
        <v>A0184761</v>
      </c>
      <c r="D4721" t="s">
        <v>19151</v>
      </c>
      <c r="E4721" t="s">
        <v>19152</v>
      </c>
      <c r="F4721" t="s">
        <v>635</v>
      </c>
      <c r="G4721" t="s">
        <v>2391</v>
      </c>
      <c r="H4721" t="s">
        <v>19153</v>
      </c>
      <c r="I4721" t="s">
        <v>30</v>
      </c>
      <c r="J4721" t="s">
        <v>41</v>
      </c>
      <c r="K4721" t="s">
        <v>59</v>
      </c>
      <c r="Q4721">
        <v>0</v>
      </c>
      <c r="R4721">
        <v>0</v>
      </c>
      <c r="S4721">
        <v>0</v>
      </c>
      <c r="T4721" t="s">
        <v>19154</v>
      </c>
    </row>
    <row r="4722" spans="1:20" customFormat="1" ht="15" x14ac:dyDescent="0.25">
      <c r="A4722" t="s">
        <v>35</v>
      </c>
      <c r="B4722" t="s">
        <v>61</v>
      </c>
      <c r="C4722" t="str">
        <f>"A0184760"</f>
        <v>A0184760</v>
      </c>
      <c r="D4722" t="s">
        <v>19155</v>
      </c>
      <c r="E4722" t="s">
        <v>19156</v>
      </c>
      <c r="F4722" t="s">
        <v>1423</v>
      </c>
      <c r="G4722" t="s">
        <v>52</v>
      </c>
      <c r="H4722" t="s">
        <v>19157</v>
      </c>
      <c r="I4722" t="s">
        <v>30</v>
      </c>
      <c r="J4722" t="s">
        <v>41</v>
      </c>
      <c r="K4722" t="s">
        <v>59</v>
      </c>
      <c r="Q4722">
        <v>0</v>
      </c>
      <c r="R4722">
        <v>124</v>
      </c>
      <c r="S4722">
        <v>124</v>
      </c>
      <c r="T4722" t="s">
        <v>19158</v>
      </c>
    </row>
    <row r="4723" spans="1:20" customFormat="1" ht="15" x14ac:dyDescent="0.25">
      <c r="A4723" t="s">
        <v>35</v>
      </c>
      <c r="B4723" t="s">
        <v>61</v>
      </c>
      <c r="C4723" t="str">
        <f>"A0184759"</f>
        <v>A0184759</v>
      </c>
      <c r="D4723" t="s">
        <v>19159</v>
      </c>
      <c r="E4723" t="s">
        <v>19160</v>
      </c>
      <c r="F4723" t="s">
        <v>1701</v>
      </c>
      <c r="G4723" t="s">
        <v>58</v>
      </c>
      <c r="H4723" t="s">
        <v>19161</v>
      </c>
      <c r="I4723" t="s">
        <v>30</v>
      </c>
      <c r="J4723" t="s">
        <v>41</v>
      </c>
      <c r="K4723" t="s">
        <v>59</v>
      </c>
      <c r="Q4723">
        <v>0</v>
      </c>
      <c r="R4723">
        <v>30</v>
      </c>
      <c r="S4723">
        <v>30</v>
      </c>
      <c r="T4723" t="s">
        <v>19162</v>
      </c>
    </row>
    <row r="4724" spans="1:20" customFormat="1" ht="15" x14ac:dyDescent="0.25">
      <c r="A4724" t="s">
        <v>35</v>
      </c>
      <c r="B4724" t="s">
        <v>61</v>
      </c>
      <c r="C4724" t="str">
        <f>"A0184758"</f>
        <v>A0184758</v>
      </c>
      <c r="D4724" t="s">
        <v>19163</v>
      </c>
      <c r="E4724" t="s">
        <v>19164</v>
      </c>
      <c r="F4724" t="s">
        <v>19101</v>
      </c>
      <c r="G4724" t="s">
        <v>58</v>
      </c>
      <c r="H4724" t="s">
        <v>19165</v>
      </c>
      <c r="I4724" t="s">
        <v>30</v>
      </c>
      <c r="J4724" t="s">
        <v>41</v>
      </c>
      <c r="K4724" t="s">
        <v>59</v>
      </c>
      <c r="Q4724">
        <v>0</v>
      </c>
      <c r="R4724">
        <v>78</v>
      </c>
      <c r="S4724">
        <v>78</v>
      </c>
      <c r="T4724" t="s">
        <v>19166</v>
      </c>
    </row>
    <row r="4725" spans="1:20" customFormat="1" ht="15" x14ac:dyDescent="0.25">
      <c r="A4725" t="s">
        <v>35</v>
      </c>
      <c r="B4725" t="s">
        <v>61</v>
      </c>
      <c r="C4725" t="str">
        <f>"A0184757"</f>
        <v>A0184757</v>
      </c>
      <c r="D4725" t="s">
        <v>19167</v>
      </c>
      <c r="E4725" t="s">
        <v>19168</v>
      </c>
      <c r="F4725" t="s">
        <v>9484</v>
      </c>
      <c r="G4725" t="s">
        <v>58</v>
      </c>
      <c r="H4725" t="s">
        <v>19169</v>
      </c>
      <c r="I4725" t="s">
        <v>30</v>
      </c>
      <c r="J4725" t="s">
        <v>41</v>
      </c>
      <c r="K4725" t="s">
        <v>59</v>
      </c>
      <c r="Q4725">
        <v>0</v>
      </c>
      <c r="R4725">
        <v>96</v>
      </c>
      <c r="S4725">
        <v>96</v>
      </c>
      <c r="T4725" t="s">
        <v>19170</v>
      </c>
    </row>
    <row r="4726" spans="1:20" customFormat="1" ht="15" x14ac:dyDescent="0.25">
      <c r="A4726" t="s">
        <v>35</v>
      </c>
      <c r="B4726" t="s">
        <v>61</v>
      </c>
      <c r="C4726" t="str">
        <f>"A0184756"</f>
        <v>A0184756</v>
      </c>
      <c r="D4726" t="s">
        <v>19171</v>
      </c>
      <c r="E4726" t="s">
        <v>19172</v>
      </c>
      <c r="F4726" t="s">
        <v>1298</v>
      </c>
      <c r="G4726" t="s">
        <v>58</v>
      </c>
      <c r="H4726" t="s">
        <v>19173</v>
      </c>
      <c r="I4726" t="s">
        <v>30</v>
      </c>
      <c r="J4726" t="s">
        <v>41</v>
      </c>
      <c r="K4726" t="s">
        <v>59</v>
      </c>
      <c r="Q4726">
        <v>0</v>
      </c>
      <c r="R4726">
        <v>0</v>
      </c>
      <c r="S4726">
        <v>0</v>
      </c>
      <c r="T4726" t="s">
        <v>19174</v>
      </c>
    </row>
    <row r="4727" spans="1:20" customFormat="1" ht="15" x14ac:dyDescent="0.25">
      <c r="A4727" t="s">
        <v>35</v>
      </c>
      <c r="B4727" t="s">
        <v>61</v>
      </c>
      <c r="C4727" t="str">
        <f>"A0184755"</f>
        <v>A0184755</v>
      </c>
      <c r="D4727" t="s">
        <v>19175</v>
      </c>
      <c r="E4727" t="s">
        <v>19176</v>
      </c>
      <c r="F4727" t="s">
        <v>8004</v>
      </c>
      <c r="G4727" t="s">
        <v>103</v>
      </c>
      <c r="H4727" t="s">
        <v>19177</v>
      </c>
      <c r="I4727" t="s">
        <v>30</v>
      </c>
      <c r="J4727" t="s">
        <v>41</v>
      </c>
      <c r="K4727" t="s">
        <v>59</v>
      </c>
      <c r="Q4727">
        <v>0</v>
      </c>
      <c r="R4727">
        <v>47</v>
      </c>
      <c r="S4727">
        <v>47</v>
      </c>
      <c r="T4727" t="s">
        <v>19178</v>
      </c>
    </row>
    <row r="4728" spans="1:20" customFormat="1" ht="15" x14ac:dyDescent="0.25">
      <c r="A4728" t="s">
        <v>35</v>
      </c>
      <c r="B4728" t="s">
        <v>61</v>
      </c>
      <c r="C4728" t="str">
        <f>"A0184754"</f>
        <v>A0184754</v>
      </c>
      <c r="D4728" t="s">
        <v>19179</v>
      </c>
      <c r="E4728" t="s">
        <v>19180</v>
      </c>
      <c r="F4728" t="s">
        <v>19181</v>
      </c>
      <c r="G4728" t="s">
        <v>103</v>
      </c>
      <c r="H4728" t="s">
        <v>19182</v>
      </c>
      <c r="I4728" t="s">
        <v>30</v>
      </c>
      <c r="J4728" t="s">
        <v>41</v>
      </c>
      <c r="K4728" t="s">
        <v>59</v>
      </c>
      <c r="Q4728">
        <v>0</v>
      </c>
      <c r="R4728">
        <v>100</v>
      </c>
      <c r="S4728">
        <v>100</v>
      </c>
      <c r="T4728" t="s">
        <v>19183</v>
      </c>
    </row>
    <row r="4729" spans="1:20" customFormat="1" ht="15" x14ac:dyDescent="0.25">
      <c r="A4729" t="s">
        <v>35</v>
      </c>
      <c r="B4729" t="s">
        <v>61</v>
      </c>
      <c r="C4729" t="str">
        <f>"A0184753"</f>
        <v>A0184753</v>
      </c>
      <c r="D4729" t="s">
        <v>19184</v>
      </c>
      <c r="E4729" t="s">
        <v>19185</v>
      </c>
      <c r="F4729" t="s">
        <v>6278</v>
      </c>
      <c r="G4729" t="s">
        <v>103</v>
      </c>
      <c r="H4729" t="s">
        <v>19186</v>
      </c>
      <c r="I4729" t="s">
        <v>30</v>
      </c>
      <c r="J4729" t="s">
        <v>41</v>
      </c>
      <c r="K4729" t="s">
        <v>59</v>
      </c>
      <c r="Q4729">
        <v>0</v>
      </c>
      <c r="R4729">
        <v>0</v>
      </c>
      <c r="S4729">
        <v>0</v>
      </c>
    </row>
    <row r="4730" spans="1:20" customFormat="1" ht="15" x14ac:dyDescent="0.25">
      <c r="A4730" t="s">
        <v>35</v>
      </c>
      <c r="B4730" t="s">
        <v>61</v>
      </c>
      <c r="C4730" t="str">
        <f>"A0184752"</f>
        <v>A0184752</v>
      </c>
      <c r="D4730" t="s">
        <v>19187</v>
      </c>
      <c r="E4730" t="s">
        <v>19188</v>
      </c>
      <c r="F4730" t="s">
        <v>19189</v>
      </c>
      <c r="G4730" t="s">
        <v>103</v>
      </c>
      <c r="H4730" t="s">
        <v>19190</v>
      </c>
      <c r="I4730" t="s">
        <v>30</v>
      </c>
      <c r="J4730" t="s">
        <v>41</v>
      </c>
      <c r="K4730" t="s">
        <v>59</v>
      </c>
      <c r="Q4730">
        <v>0</v>
      </c>
      <c r="R4730">
        <v>264</v>
      </c>
      <c r="S4730">
        <v>264</v>
      </c>
      <c r="T4730" t="s">
        <v>19191</v>
      </c>
    </row>
    <row r="4731" spans="1:20" customFormat="1" ht="15" x14ac:dyDescent="0.25">
      <c r="A4731" t="s">
        <v>35</v>
      </c>
      <c r="B4731" t="s">
        <v>61</v>
      </c>
      <c r="C4731" t="str">
        <f>"A0184751"</f>
        <v>A0184751</v>
      </c>
      <c r="D4731" t="s">
        <v>19192</v>
      </c>
      <c r="E4731" t="s">
        <v>19193</v>
      </c>
      <c r="F4731" t="s">
        <v>17865</v>
      </c>
      <c r="G4731" t="s">
        <v>103</v>
      </c>
      <c r="H4731">
        <v>17584</v>
      </c>
      <c r="I4731" t="s">
        <v>30</v>
      </c>
      <c r="J4731" t="s">
        <v>41</v>
      </c>
      <c r="K4731" t="s">
        <v>59</v>
      </c>
      <c r="Q4731">
        <v>0</v>
      </c>
      <c r="R4731">
        <v>0</v>
      </c>
      <c r="S4731">
        <v>0</v>
      </c>
    </row>
    <row r="4732" spans="1:20" customFormat="1" ht="15" x14ac:dyDescent="0.25">
      <c r="A4732" t="s">
        <v>35</v>
      </c>
      <c r="B4732" t="s">
        <v>61</v>
      </c>
      <c r="C4732" t="str">
        <f>"A0184750"</f>
        <v>A0184750</v>
      </c>
      <c r="D4732" t="s">
        <v>19194</v>
      </c>
      <c r="E4732" t="s">
        <v>18629</v>
      </c>
      <c r="F4732" t="s">
        <v>18630</v>
      </c>
      <c r="G4732" t="s">
        <v>90</v>
      </c>
      <c r="H4732" t="s">
        <v>18631</v>
      </c>
      <c r="I4732" t="s">
        <v>30</v>
      </c>
      <c r="J4732" t="s">
        <v>41</v>
      </c>
      <c r="K4732" t="s">
        <v>59</v>
      </c>
      <c r="Q4732">
        <v>0</v>
      </c>
      <c r="R4732">
        <v>0</v>
      </c>
      <c r="S4732">
        <v>0</v>
      </c>
      <c r="T4732" t="s">
        <v>18632</v>
      </c>
    </row>
    <row r="4733" spans="1:20" customFormat="1" ht="15" x14ac:dyDescent="0.25">
      <c r="A4733" t="s">
        <v>35</v>
      </c>
      <c r="B4733" t="s">
        <v>61</v>
      </c>
      <c r="C4733" t="str">
        <f>"A0184749"</f>
        <v>A0184749</v>
      </c>
      <c r="D4733" t="s">
        <v>19195</v>
      </c>
      <c r="E4733" t="s">
        <v>18727</v>
      </c>
      <c r="F4733" t="s">
        <v>17865</v>
      </c>
      <c r="G4733" t="s">
        <v>103</v>
      </c>
      <c r="H4733">
        <v>17584</v>
      </c>
      <c r="I4733" t="s">
        <v>30</v>
      </c>
      <c r="J4733" t="s">
        <v>41</v>
      </c>
      <c r="K4733" t="s">
        <v>59</v>
      </c>
      <c r="Q4733">
        <v>0</v>
      </c>
      <c r="R4733">
        <v>0</v>
      </c>
      <c r="S4733">
        <v>0</v>
      </c>
      <c r="T4733" t="s">
        <v>18998</v>
      </c>
    </row>
    <row r="4734" spans="1:20" customFormat="1" ht="15" x14ac:dyDescent="0.25">
      <c r="A4734" t="s">
        <v>35</v>
      </c>
      <c r="B4734" t="s">
        <v>61</v>
      </c>
      <c r="C4734" t="str">
        <f>"A0184748"</f>
        <v>A0184748</v>
      </c>
      <c r="D4734" t="s">
        <v>19196</v>
      </c>
      <c r="E4734" t="s">
        <v>19197</v>
      </c>
      <c r="F4734" t="s">
        <v>19198</v>
      </c>
      <c r="G4734" t="s">
        <v>103</v>
      </c>
      <c r="H4734" t="s">
        <v>19199</v>
      </c>
      <c r="I4734" t="s">
        <v>30</v>
      </c>
      <c r="J4734" t="s">
        <v>41</v>
      </c>
      <c r="K4734" t="s">
        <v>59</v>
      </c>
      <c r="Q4734">
        <v>0</v>
      </c>
      <c r="R4734">
        <v>60</v>
      </c>
      <c r="S4734">
        <v>60</v>
      </c>
      <c r="T4734" t="s">
        <v>19200</v>
      </c>
    </row>
    <row r="4735" spans="1:20" customFormat="1" ht="15" x14ac:dyDescent="0.25">
      <c r="A4735" t="s">
        <v>35</v>
      </c>
      <c r="B4735" t="s">
        <v>61</v>
      </c>
      <c r="C4735" t="str">
        <f>"A0184747"</f>
        <v>A0184747</v>
      </c>
      <c r="D4735" t="s">
        <v>19201</v>
      </c>
      <c r="E4735" t="s">
        <v>19202</v>
      </c>
      <c r="F4735" t="s">
        <v>19203</v>
      </c>
      <c r="G4735" t="s">
        <v>29</v>
      </c>
      <c r="H4735">
        <v>223143473</v>
      </c>
      <c r="I4735" t="s">
        <v>30</v>
      </c>
      <c r="J4735" t="s">
        <v>41</v>
      </c>
      <c r="K4735" t="s">
        <v>59</v>
      </c>
      <c r="Q4735">
        <v>0</v>
      </c>
      <c r="R4735">
        <v>0</v>
      </c>
      <c r="S4735">
        <v>0</v>
      </c>
      <c r="T4735" t="s">
        <v>19204</v>
      </c>
    </row>
    <row r="4736" spans="1:20" customFormat="1" ht="15" x14ac:dyDescent="0.25">
      <c r="A4736" t="s">
        <v>35</v>
      </c>
      <c r="B4736" t="s">
        <v>61</v>
      </c>
      <c r="C4736" t="str">
        <f>"A0184746"</f>
        <v>A0184746</v>
      </c>
      <c r="D4736" t="s">
        <v>19205</v>
      </c>
      <c r="E4736" t="s">
        <v>19206</v>
      </c>
      <c r="F4736" t="s">
        <v>19207</v>
      </c>
      <c r="G4736" t="s">
        <v>52</v>
      </c>
      <c r="H4736" t="s">
        <v>19208</v>
      </c>
      <c r="I4736" t="s">
        <v>30</v>
      </c>
      <c r="J4736" t="s">
        <v>41</v>
      </c>
      <c r="K4736" t="s">
        <v>59</v>
      </c>
      <c r="Q4736">
        <v>0</v>
      </c>
      <c r="R4736">
        <v>0</v>
      </c>
      <c r="S4736">
        <v>0</v>
      </c>
    </row>
    <row r="4737" spans="1:20" customFormat="1" ht="15" x14ac:dyDescent="0.25">
      <c r="A4737" t="s">
        <v>35</v>
      </c>
      <c r="B4737" t="s">
        <v>61</v>
      </c>
      <c r="C4737" t="str">
        <f>"A0184745"</f>
        <v>A0184745</v>
      </c>
      <c r="D4737" t="s">
        <v>19209</v>
      </c>
      <c r="E4737" t="s">
        <v>19210</v>
      </c>
      <c r="F4737" t="s">
        <v>17621</v>
      </c>
      <c r="G4737" t="s">
        <v>52</v>
      </c>
      <c r="H4737">
        <v>76902</v>
      </c>
      <c r="I4737" t="s">
        <v>30</v>
      </c>
      <c r="J4737" t="s">
        <v>41</v>
      </c>
      <c r="K4737" t="s">
        <v>59</v>
      </c>
      <c r="Q4737">
        <v>0</v>
      </c>
      <c r="R4737">
        <v>52</v>
      </c>
      <c r="S4737">
        <v>52</v>
      </c>
      <c r="T4737" t="s">
        <v>19211</v>
      </c>
    </row>
    <row r="4738" spans="1:20" customFormat="1" ht="15" x14ac:dyDescent="0.25">
      <c r="A4738" t="s">
        <v>35</v>
      </c>
      <c r="B4738" t="s">
        <v>61</v>
      </c>
      <c r="C4738" t="str">
        <f>"A0184744"</f>
        <v>A0184744</v>
      </c>
      <c r="D4738" t="s">
        <v>19212</v>
      </c>
      <c r="E4738" t="s">
        <v>19213</v>
      </c>
      <c r="F4738" t="s">
        <v>19214</v>
      </c>
      <c r="G4738" t="s">
        <v>52</v>
      </c>
      <c r="H4738" t="s">
        <v>19215</v>
      </c>
      <c r="I4738" t="s">
        <v>30</v>
      </c>
      <c r="J4738" t="s">
        <v>41</v>
      </c>
      <c r="K4738" t="s">
        <v>59</v>
      </c>
      <c r="Q4738">
        <v>0</v>
      </c>
      <c r="R4738">
        <v>69</v>
      </c>
      <c r="S4738">
        <v>69</v>
      </c>
      <c r="T4738" t="s">
        <v>19216</v>
      </c>
    </row>
    <row r="4739" spans="1:20" customFormat="1" ht="15" x14ac:dyDescent="0.25">
      <c r="A4739" t="s">
        <v>35</v>
      </c>
      <c r="B4739" t="s">
        <v>61</v>
      </c>
      <c r="C4739" t="str">
        <f>"A0184743"</f>
        <v>A0184743</v>
      </c>
      <c r="D4739" t="s">
        <v>19217</v>
      </c>
      <c r="E4739" t="s">
        <v>19218</v>
      </c>
      <c r="F4739" t="s">
        <v>19219</v>
      </c>
      <c r="G4739" t="s">
        <v>289</v>
      </c>
      <c r="H4739" t="s">
        <v>19220</v>
      </c>
      <c r="I4739" t="s">
        <v>30</v>
      </c>
      <c r="J4739" t="s">
        <v>41</v>
      </c>
      <c r="K4739" t="s">
        <v>59</v>
      </c>
      <c r="Q4739">
        <v>0</v>
      </c>
      <c r="R4739">
        <v>0</v>
      </c>
      <c r="S4739">
        <v>0</v>
      </c>
      <c r="T4739" t="s">
        <v>19221</v>
      </c>
    </row>
    <row r="4740" spans="1:20" customFormat="1" ht="15" x14ac:dyDescent="0.25">
      <c r="A4740" t="s">
        <v>35</v>
      </c>
      <c r="B4740" t="s">
        <v>61</v>
      </c>
      <c r="C4740" t="str">
        <f>"A0184742"</f>
        <v>A0184742</v>
      </c>
      <c r="D4740" t="s">
        <v>19222</v>
      </c>
      <c r="E4740" t="s">
        <v>19223</v>
      </c>
      <c r="F4740" t="s">
        <v>19224</v>
      </c>
      <c r="G4740" t="s">
        <v>289</v>
      </c>
      <c r="H4740">
        <v>61342</v>
      </c>
      <c r="I4740" t="s">
        <v>30</v>
      </c>
      <c r="J4740" t="s">
        <v>41</v>
      </c>
      <c r="K4740" t="s">
        <v>59</v>
      </c>
      <c r="Q4740">
        <v>0</v>
      </c>
      <c r="R4740">
        <v>120</v>
      </c>
      <c r="S4740">
        <v>120</v>
      </c>
      <c r="T4740" t="s">
        <v>19225</v>
      </c>
    </row>
    <row r="4741" spans="1:20" customFormat="1" ht="15" x14ac:dyDescent="0.25">
      <c r="A4741" t="s">
        <v>35</v>
      </c>
      <c r="B4741" t="s">
        <v>61</v>
      </c>
      <c r="C4741" t="str">
        <f>"A0184741"</f>
        <v>A0184741</v>
      </c>
      <c r="D4741" t="s">
        <v>19226</v>
      </c>
      <c r="E4741" t="s">
        <v>19227</v>
      </c>
      <c r="F4741" t="s">
        <v>19228</v>
      </c>
      <c r="G4741" t="s">
        <v>289</v>
      </c>
      <c r="H4741" t="s">
        <v>19229</v>
      </c>
      <c r="I4741" t="s">
        <v>30</v>
      </c>
      <c r="J4741" t="s">
        <v>41</v>
      </c>
      <c r="K4741" t="s">
        <v>59</v>
      </c>
      <c r="Q4741">
        <v>0</v>
      </c>
      <c r="R4741">
        <v>300</v>
      </c>
      <c r="S4741">
        <v>300</v>
      </c>
      <c r="T4741" t="s">
        <v>19230</v>
      </c>
    </row>
    <row r="4742" spans="1:20" customFormat="1" ht="15" x14ac:dyDescent="0.25">
      <c r="A4742" t="s">
        <v>35</v>
      </c>
      <c r="B4742" t="s">
        <v>61</v>
      </c>
      <c r="C4742" t="str">
        <f>"A0184740"</f>
        <v>A0184740</v>
      </c>
      <c r="D4742" t="s">
        <v>19231</v>
      </c>
      <c r="E4742" t="s">
        <v>19232</v>
      </c>
      <c r="F4742" t="s">
        <v>19233</v>
      </c>
      <c r="G4742" t="s">
        <v>289</v>
      </c>
      <c r="H4742" t="s">
        <v>19234</v>
      </c>
      <c r="I4742" t="s">
        <v>30</v>
      </c>
      <c r="J4742" t="s">
        <v>41</v>
      </c>
      <c r="K4742" t="s">
        <v>59</v>
      </c>
      <c r="Q4742">
        <v>0</v>
      </c>
      <c r="R4742">
        <v>0</v>
      </c>
      <c r="S4742">
        <v>0</v>
      </c>
      <c r="T4742" t="s">
        <v>19235</v>
      </c>
    </row>
    <row r="4743" spans="1:20" customFormat="1" ht="15" x14ac:dyDescent="0.25">
      <c r="A4743" t="s">
        <v>35</v>
      </c>
      <c r="B4743" t="s">
        <v>11871</v>
      </c>
      <c r="C4743" t="str">
        <f>"A0184739"</f>
        <v>A0184739</v>
      </c>
      <c r="D4743" t="s">
        <v>19236</v>
      </c>
      <c r="E4743" t="s">
        <v>19237</v>
      </c>
      <c r="F4743" t="s">
        <v>8249</v>
      </c>
      <c r="G4743" t="s">
        <v>880</v>
      </c>
      <c r="H4743" t="s">
        <v>19238</v>
      </c>
      <c r="I4743" t="s">
        <v>30</v>
      </c>
      <c r="J4743" t="s">
        <v>41</v>
      </c>
      <c r="K4743" t="s">
        <v>59</v>
      </c>
      <c r="Q4743">
        <v>0</v>
      </c>
      <c r="R4743">
        <v>0</v>
      </c>
      <c r="S4743">
        <v>0</v>
      </c>
      <c r="T4743" t="s">
        <v>19239</v>
      </c>
    </row>
    <row r="4744" spans="1:20" customFormat="1" ht="15" x14ac:dyDescent="0.25">
      <c r="A4744" t="s">
        <v>35</v>
      </c>
      <c r="B4744" t="s">
        <v>61</v>
      </c>
      <c r="C4744" t="str">
        <f>"A0184738"</f>
        <v>A0184738</v>
      </c>
      <c r="D4744" t="s">
        <v>19240</v>
      </c>
      <c r="E4744" t="s">
        <v>19241</v>
      </c>
      <c r="F4744" t="s">
        <v>7638</v>
      </c>
      <c r="G4744" t="s">
        <v>52</v>
      </c>
      <c r="H4744">
        <v>75150</v>
      </c>
      <c r="I4744" t="s">
        <v>30</v>
      </c>
      <c r="J4744" t="s">
        <v>41</v>
      </c>
      <c r="K4744" t="s">
        <v>59</v>
      </c>
      <c r="Q4744">
        <v>0</v>
      </c>
      <c r="R4744">
        <v>0</v>
      </c>
      <c r="S4744">
        <v>0</v>
      </c>
      <c r="T4744" t="s">
        <v>19242</v>
      </c>
    </row>
    <row r="4745" spans="1:20" customFormat="1" ht="15" x14ac:dyDescent="0.25">
      <c r="A4745" t="s">
        <v>35</v>
      </c>
      <c r="B4745" t="s">
        <v>61</v>
      </c>
      <c r="C4745" t="str">
        <f>"A0184737"</f>
        <v>A0184737</v>
      </c>
      <c r="D4745" t="s">
        <v>19243</v>
      </c>
      <c r="E4745" t="s">
        <v>19244</v>
      </c>
      <c r="F4745" t="s">
        <v>4629</v>
      </c>
      <c r="G4745" t="s">
        <v>103</v>
      </c>
      <c r="H4745" t="s">
        <v>19245</v>
      </c>
      <c r="I4745" t="s">
        <v>30</v>
      </c>
      <c r="J4745" t="s">
        <v>41</v>
      </c>
      <c r="K4745" t="s">
        <v>59</v>
      </c>
      <c r="Q4745">
        <v>0</v>
      </c>
      <c r="R4745">
        <v>21</v>
      </c>
      <c r="S4745">
        <v>21</v>
      </c>
      <c r="T4745" t="s">
        <v>19246</v>
      </c>
    </row>
    <row r="4746" spans="1:20" customFormat="1" ht="15" x14ac:dyDescent="0.25">
      <c r="A4746" t="s">
        <v>35</v>
      </c>
      <c r="B4746" t="s">
        <v>61</v>
      </c>
      <c r="C4746" t="str">
        <f>"A0184736"</f>
        <v>A0184736</v>
      </c>
      <c r="D4746" t="s">
        <v>19247</v>
      </c>
      <c r="E4746" t="s">
        <v>19248</v>
      </c>
      <c r="F4746" t="s">
        <v>102</v>
      </c>
      <c r="G4746" t="s">
        <v>103</v>
      </c>
      <c r="H4746" t="s">
        <v>19249</v>
      </c>
      <c r="I4746" t="s">
        <v>30</v>
      </c>
      <c r="J4746" t="s">
        <v>41</v>
      </c>
      <c r="K4746" t="s">
        <v>59</v>
      </c>
      <c r="Q4746">
        <v>0</v>
      </c>
      <c r="R4746">
        <v>0</v>
      </c>
      <c r="S4746">
        <v>0</v>
      </c>
      <c r="T4746" t="s">
        <v>19250</v>
      </c>
    </row>
    <row r="4747" spans="1:20" customFormat="1" ht="15" x14ac:dyDescent="0.25">
      <c r="A4747" t="s">
        <v>35</v>
      </c>
      <c r="B4747" t="s">
        <v>61</v>
      </c>
      <c r="C4747" t="str">
        <f>"A0184735"</f>
        <v>A0184735</v>
      </c>
      <c r="D4747" t="s">
        <v>19251</v>
      </c>
      <c r="E4747" t="s">
        <v>19252</v>
      </c>
      <c r="F4747" t="s">
        <v>19136</v>
      </c>
      <c r="G4747" t="s">
        <v>103</v>
      </c>
      <c r="H4747" t="s">
        <v>19253</v>
      </c>
      <c r="I4747" t="s">
        <v>30</v>
      </c>
      <c r="J4747" t="s">
        <v>41</v>
      </c>
      <c r="K4747" t="s">
        <v>59</v>
      </c>
      <c r="Q4747">
        <v>0</v>
      </c>
      <c r="R4747">
        <v>0</v>
      </c>
      <c r="S4747">
        <v>0</v>
      </c>
      <c r="T4747" t="s">
        <v>19254</v>
      </c>
    </row>
    <row r="4748" spans="1:20" customFormat="1" ht="15" x14ac:dyDescent="0.25">
      <c r="A4748" t="s">
        <v>35</v>
      </c>
      <c r="B4748" t="s">
        <v>61</v>
      </c>
      <c r="C4748" t="str">
        <f>"A0184734"</f>
        <v>A0184734</v>
      </c>
      <c r="D4748" t="s">
        <v>19255</v>
      </c>
      <c r="E4748" t="s">
        <v>19256</v>
      </c>
      <c r="F4748" t="s">
        <v>19113</v>
      </c>
      <c r="G4748" t="s">
        <v>103</v>
      </c>
      <c r="H4748">
        <v>17057</v>
      </c>
      <c r="I4748" t="s">
        <v>30</v>
      </c>
      <c r="J4748" t="s">
        <v>41</v>
      </c>
      <c r="K4748" t="s">
        <v>59</v>
      </c>
      <c r="Q4748">
        <v>0</v>
      </c>
      <c r="R4748">
        <v>166</v>
      </c>
      <c r="S4748">
        <v>166</v>
      </c>
      <c r="T4748" t="s">
        <v>19257</v>
      </c>
    </row>
    <row r="4749" spans="1:20" customFormat="1" ht="15" x14ac:dyDescent="0.25">
      <c r="A4749" t="s">
        <v>35</v>
      </c>
      <c r="B4749" t="s">
        <v>61</v>
      </c>
      <c r="C4749" t="str">
        <f>"A0184733"</f>
        <v>A0184733</v>
      </c>
      <c r="D4749" t="s">
        <v>19258</v>
      </c>
      <c r="E4749" t="s">
        <v>19259</v>
      </c>
      <c r="F4749" t="s">
        <v>3009</v>
      </c>
      <c r="G4749" t="s">
        <v>103</v>
      </c>
      <c r="H4749">
        <v>17602</v>
      </c>
      <c r="I4749" t="s">
        <v>30</v>
      </c>
      <c r="J4749" t="s">
        <v>41</v>
      </c>
      <c r="K4749" t="s">
        <v>59</v>
      </c>
      <c r="Q4749">
        <v>0</v>
      </c>
      <c r="R4749">
        <v>0</v>
      </c>
      <c r="S4749">
        <v>0</v>
      </c>
    </row>
    <row r="4750" spans="1:20" customFormat="1" ht="15" x14ac:dyDescent="0.25">
      <c r="A4750" t="s">
        <v>35</v>
      </c>
      <c r="B4750" t="s">
        <v>61</v>
      </c>
      <c r="C4750" t="str">
        <f>"A0184732"</f>
        <v>A0184732</v>
      </c>
      <c r="D4750" t="s">
        <v>19260</v>
      </c>
      <c r="E4750" t="s">
        <v>19261</v>
      </c>
      <c r="F4750" t="s">
        <v>9211</v>
      </c>
      <c r="G4750" t="s">
        <v>103</v>
      </c>
      <c r="H4750" t="s">
        <v>19262</v>
      </c>
      <c r="I4750" t="s">
        <v>30</v>
      </c>
      <c r="J4750" t="s">
        <v>41</v>
      </c>
      <c r="K4750" t="s">
        <v>59</v>
      </c>
      <c r="Q4750">
        <v>0</v>
      </c>
      <c r="R4750">
        <v>0</v>
      </c>
      <c r="S4750">
        <v>0</v>
      </c>
      <c r="T4750" t="s">
        <v>19263</v>
      </c>
    </row>
    <row r="4751" spans="1:20" customFormat="1" ht="15" x14ac:dyDescent="0.25">
      <c r="A4751" t="s">
        <v>35</v>
      </c>
      <c r="B4751" t="s">
        <v>61</v>
      </c>
      <c r="C4751" t="str">
        <f>"A0184731"</f>
        <v>A0184731</v>
      </c>
      <c r="D4751" t="s">
        <v>19264</v>
      </c>
      <c r="E4751" t="s">
        <v>19265</v>
      </c>
      <c r="F4751" t="s">
        <v>3301</v>
      </c>
      <c r="G4751" t="s">
        <v>103</v>
      </c>
      <c r="H4751" t="s">
        <v>19266</v>
      </c>
      <c r="I4751" t="s">
        <v>30</v>
      </c>
      <c r="J4751" t="s">
        <v>41</v>
      </c>
      <c r="K4751" t="s">
        <v>59</v>
      </c>
      <c r="Q4751">
        <v>0</v>
      </c>
      <c r="R4751">
        <v>0</v>
      </c>
      <c r="S4751">
        <v>0</v>
      </c>
      <c r="T4751" t="s">
        <v>19267</v>
      </c>
    </row>
    <row r="4752" spans="1:20" customFormat="1" ht="15" x14ac:dyDescent="0.25">
      <c r="A4752" t="s">
        <v>35</v>
      </c>
      <c r="B4752" t="s">
        <v>11871</v>
      </c>
      <c r="C4752" t="str">
        <f>"A0184730"</f>
        <v>A0184730</v>
      </c>
      <c r="D4752" t="s">
        <v>19268</v>
      </c>
      <c r="E4752" t="s">
        <v>19269</v>
      </c>
      <c r="F4752" t="s">
        <v>15435</v>
      </c>
      <c r="G4752" t="s">
        <v>880</v>
      </c>
      <c r="H4752" t="s">
        <v>19270</v>
      </c>
      <c r="I4752" t="s">
        <v>30</v>
      </c>
      <c r="J4752" t="s">
        <v>41</v>
      </c>
      <c r="K4752" t="s">
        <v>59</v>
      </c>
      <c r="Q4752">
        <v>0</v>
      </c>
      <c r="R4752">
        <v>0</v>
      </c>
      <c r="S4752">
        <v>0</v>
      </c>
      <c r="T4752" t="s">
        <v>19271</v>
      </c>
    </row>
    <row r="4753" spans="1:20" customFormat="1" ht="15" x14ac:dyDescent="0.25">
      <c r="A4753" t="s">
        <v>35</v>
      </c>
      <c r="B4753" t="s">
        <v>61</v>
      </c>
      <c r="C4753" t="str">
        <f>"A0184729"</f>
        <v>A0184729</v>
      </c>
      <c r="D4753" t="s">
        <v>19272</v>
      </c>
      <c r="E4753" t="s">
        <v>19273</v>
      </c>
      <c r="F4753" t="s">
        <v>1298</v>
      </c>
      <c r="G4753" t="s">
        <v>58</v>
      </c>
      <c r="H4753" t="s">
        <v>19274</v>
      </c>
      <c r="I4753" t="s">
        <v>30</v>
      </c>
      <c r="J4753" t="s">
        <v>41</v>
      </c>
      <c r="K4753" t="s">
        <v>59</v>
      </c>
      <c r="Q4753">
        <v>0</v>
      </c>
      <c r="R4753">
        <v>0</v>
      </c>
      <c r="S4753">
        <v>0</v>
      </c>
      <c r="T4753" t="s">
        <v>19275</v>
      </c>
    </row>
    <row r="4754" spans="1:20" customFormat="1" ht="15" x14ac:dyDescent="0.25">
      <c r="A4754" t="s">
        <v>35</v>
      </c>
      <c r="B4754" t="s">
        <v>61</v>
      </c>
      <c r="C4754" t="str">
        <f>"A0184728"</f>
        <v>A0184728</v>
      </c>
      <c r="D4754" t="s">
        <v>19276</v>
      </c>
      <c r="E4754" t="s">
        <v>18625</v>
      </c>
      <c r="F4754" t="s">
        <v>18626</v>
      </c>
      <c r="G4754" t="s">
        <v>90</v>
      </c>
      <c r="H4754">
        <v>2852</v>
      </c>
      <c r="I4754" t="s">
        <v>30</v>
      </c>
      <c r="J4754" t="s">
        <v>41</v>
      </c>
      <c r="K4754" t="s">
        <v>59</v>
      </c>
      <c r="Q4754">
        <v>0</v>
      </c>
      <c r="R4754">
        <v>0</v>
      </c>
      <c r="S4754">
        <v>0</v>
      </c>
      <c r="T4754" t="s">
        <v>19277</v>
      </c>
    </row>
    <row r="4755" spans="1:20" customFormat="1" ht="15" x14ac:dyDescent="0.25">
      <c r="A4755" t="s">
        <v>35</v>
      </c>
      <c r="B4755" t="s">
        <v>61</v>
      </c>
      <c r="C4755" t="str">
        <f>"A0184727"</f>
        <v>A0184727</v>
      </c>
      <c r="D4755" t="s">
        <v>19278</v>
      </c>
      <c r="E4755" t="s">
        <v>19279</v>
      </c>
      <c r="F4755" t="s">
        <v>17865</v>
      </c>
      <c r="G4755" t="s">
        <v>103</v>
      </c>
      <c r="H4755" t="s">
        <v>19280</v>
      </c>
      <c r="I4755" t="s">
        <v>30</v>
      </c>
      <c r="J4755" t="s">
        <v>41</v>
      </c>
      <c r="K4755" t="s">
        <v>59</v>
      </c>
      <c r="Q4755">
        <v>0</v>
      </c>
      <c r="R4755">
        <v>0</v>
      </c>
      <c r="S4755">
        <v>0</v>
      </c>
      <c r="T4755" t="s">
        <v>18998</v>
      </c>
    </row>
    <row r="4756" spans="1:20" customFormat="1" ht="15" x14ac:dyDescent="0.25">
      <c r="A4756" t="s">
        <v>35</v>
      </c>
      <c r="B4756" t="s">
        <v>61</v>
      </c>
      <c r="C4756" t="str">
        <f>"A0184726"</f>
        <v>A0184726</v>
      </c>
      <c r="D4756" t="s">
        <v>19281</v>
      </c>
      <c r="E4756" t="s">
        <v>19282</v>
      </c>
      <c r="F4756" t="s">
        <v>4133</v>
      </c>
      <c r="G4756" t="s">
        <v>52</v>
      </c>
      <c r="H4756">
        <v>78753</v>
      </c>
      <c r="I4756" t="s">
        <v>30</v>
      </c>
      <c r="J4756" t="s">
        <v>41</v>
      </c>
      <c r="K4756" t="s">
        <v>59</v>
      </c>
      <c r="Q4756">
        <v>0</v>
      </c>
      <c r="R4756">
        <v>0</v>
      </c>
      <c r="S4756">
        <v>0</v>
      </c>
      <c r="T4756" t="s">
        <v>19283</v>
      </c>
    </row>
    <row r="4757" spans="1:20" customFormat="1" ht="15" x14ac:dyDescent="0.25">
      <c r="A4757" t="s">
        <v>35</v>
      </c>
      <c r="B4757" t="s">
        <v>61</v>
      </c>
      <c r="C4757" t="str">
        <f>"A0184725"</f>
        <v>A0184725</v>
      </c>
      <c r="D4757" t="s">
        <v>19284</v>
      </c>
      <c r="E4757" t="s">
        <v>19285</v>
      </c>
      <c r="F4757" t="s">
        <v>19286</v>
      </c>
      <c r="G4757" t="s">
        <v>880</v>
      </c>
      <c r="H4757" t="s">
        <v>19287</v>
      </c>
      <c r="I4757" t="s">
        <v>30</v>
      </c>
      <c r="J4757" t="s">
        <v>41</v>
      </c>
      <c r="K4757" t="s">
        <v>59</v>
      </c>
      <c r="Q4757">
        <v>0</v>
      </c>
      <c r="R4757">
        <v>89</v>
      </c>
      <c r="S4757">
        <v>89</v>
      </c>
      <c r="T4757" t="s">
        <v>19288</v>
      </c>
    </row>
    <row r="4758" spans="1:20" customFormat="1" ht="15" x14ac:dyDescent="0.25">
      <c r="A4758" t="s">
        <v>35</v>
      </c>
      <c r="B4758" t="s">
        <v>61</v>
      </c>
      <c r="C4758" t="str">
        <f>"A0184724"</f>
        <v>A0184724</v>
      </c>
      <c r="D4758" t="s">
        <v>19289</v>
      </c>
      <c r="E4758" t="s">
        <v>19290</v>
      </c>
      <c r="F4758" t="s">
        <v>1431</v>
      </c>
      <c r="G4758" t="s">
        <v>880</v>
      </c>
      <c r="H4758" t="s">
        <v>19291</v>
      </c>
      <c r="I4758" t="s">
        <v>30</v>
      </c>
      <c r="J4758" t="s">
        <v>41</v>
      </c>
      <c r="K4758" t="s">
        <v>59</v>
      </c>
      <c r="Q4758">
        <v>0</v>
      </c>
      <c r="R4758">
        <v>0</v>
      </c>
      <c r="S4758">
        <v>0</v>
      </c>
      <c r="T4758" t="s">
        <v>19292</v>
      </c>
    </row>
    <row r="4759" spans="1:20" customFormat="1" ht="15" x14ac:dyDescent="0.25">
      <c r="A4759" t="s">
        <v>35</v>
      </c>
      <c r="B4759" t="s">
        <v>61</v>
      </c>
      <c r="C4759" t="str">
        <f>"A0184723"</f>
        <v>A0184723</v>
      </c>
      <c r="D4759" t="s">
        <v>19293</v>
      </c>
      <c r="E4759" t="s">
        <v>19294</v>
      </c>
      <c r="F4759" t="s">
        <v>2307</v>
      </c>
      <c r="G4759" t="s">
        <v>880</v>
      </c>
      <c r="H4759">
        <v>37311</v>
      </c>
      <c r="I4759" t="s">
        <v>30</v>
      </c>
      <c r="J4759" t="s">
        <v>41</v>
      </c>
      <c r="K4759" t="s">
        <v>59</v>
      </c>
      <c r="Q4759">
        <v>0</v>
      </c>
      <c r="R4759">
        <v>0</v>
      </c>
      <c r="S4759">
        <v>0</v>
      </c>
      <c r="T4759" t="s">
        <v>19295</v>
      </c>
    </row>
    <row r="4760" spans="1:20" customFormat="1" ht="15" x14ac:dyDescent="0.25">
      <c r="A4760" t="s">
        <v>35</v>
      </c>
      <c r="B4760" t="s">
        <v>61</v>
      </c>
      <c r="C4760" t="str">
        <f>"A0184722"</f>
        <v>A0184722</v>
      </c>
      <c r="D4760" t="s">
        <v>19296</v>
      </c>
      <c r="E4760" t="s">
        <v>8248</v>
      </c>
      <c r="F4760" t="s">
        <v>8249</v>
      </c>
      <c r="G4760" t="s">
        <v>880</v>
      </c>
      <c r="H4760" t="s">
        <v>8250</v>
      </c>
      <c r="I4760" t="s">
        <v>30</v>
      </c>
      <c r="J4760" t="s">
        <v>41</v>
      </c>
      <c r="K4760" t="s">
        <v>59</v>
      </c>
      <c r="Q4760">
        <v>0</v>
      </c>
      <c r="R4760">
        <v>0</v>
      </c>
      <c r="S4760">
        <v>0</v>
      </c>
      <c r="T4760" t="s">
        <v>8251</v>
      </c>
    </row>
    <row r="4761" spans="1:20" customFormat="1" ht="15" x14ac:dyDescent="0.25">
      <c r="A4761" t="s">
        <v>35</v>
      </c>
      <c r="B4761" t="s">
        <v>61</v>
      </c>
      <c r="C4761" t="str">
        <f>"A0184721"</f>
        <v>A0184721</v>
      </c>
      <c r="D4761" t="s">
        <v>19297</v>
      </c>
      <c r="E4761" t="s">
        <v>19298</v>
      </c>
      <c r="F4761" t="s">
        <v>3657</v>
      </c>
      <c r="G4761" t="s">
        <v>880</v>
      </c>
      <c r="H4761" t="s">
        <v>19299</v>
      </c>
      <c r="I4761" t="s">
        <v>30</v>
      </c>
      <c r="J4761" t="s">
        <v>41</v>
      </c>
      <c r="K4761" t="s">
        <v>59</v>
      </c>
      <c r="Q4761">
        <v>0</v>
      </c>
      <c r="R4761">
        <v>0</v>
      </c>
      <c r="S4761">
        <v>0</v>
      </c>
    </row>
    <row r="4762" spans="1:20" customFormat="1" ht="15" x14ac:dyDescent="0.25">
      <c r="A4762" t="s">
        <v>35</v>
      </c>
      <c r="B4762" t="s">
        <v>61</v>
      </c>
      <c r="C4762" t="str">
        <f>"A0184720"</f>
        <v>A0184720</v>
      </c>
      <c r="D4762" t="s">
        <v>19300</v>
      </c>
      <c r="E4762" t="s">
        <v>19301</v>
      </c>
      <c r="F4762" t="s">
        <v>19302</v>
      </c>
      <c r="G4762" t="s">
        <v>103</v>
      </c>
      <c r="H4762" t="s">
        <v>19303</v>
      </c>
      <c r="I4762" t="s">
        <v>30</v>
      </c>
      <c r="J4762" t="s">
        <v>41</v>
      </c>
      <c r="K4762" t="s">
        <v>59</v>
      </c>
      <c r="Q4762">
        <v>0</v>
      </c>
      <c r="R4762">
        <v>0</v>
      </c>
      <c r="S4762">
        <v>0</v>
      </c>
    </row>
    <row r="4763" spans="1:20" customFormat="1" ht="15" x14ac:dyDescent="0.25">
      <c r="A4763" t="s">
        <v>35</v>
      </c>
      <c r="B4763" t="s">
        <v>61</v>
      </c>
      <c r="C4763" t="str">
        <f>"A0184719"</f>
        <v>A0184719</v>
      </c>
      <c r="D4763" t="s">
        <v>19304</v>
      </c>
      <c r="E4763" t="s">
        <v>19305</v>
      </c>
      <c r="F4763" t="s">
        <v>4069</v>
      </c>
      <c r="G4763" t="s">
        <v>103</v>
      </c>
      <c r="H4763" t="s">
        <v>19306</v>
      </c>
      <c r="I4763" t="s">
        <v>30</v>
      </c>
      <c r="J4763" t="s">
        <v>41</v>
      </c>
      <c r="K4763" t="s">
        <v>59</v>
      </c>
      <c r="Q4763">
        <v>0</v>
      </c>
      <c r="R4763">
        <v>0</v>
      </c>
      <c r="S4763">
        <v>0</v>
      </c>
    </row>
    <row r="4764" spans="1:20" customFormat="1" ht="15" x14ac:dyDescent="0.25">
      <c r="A4764" t="s">
        <v>35</v>
      </c>
      <c r="B4764" t="s">
        <v>61</v>
      </c>
      <c r="C4764" t="str">
        <f>"A0184718"</f>
        <v>A0184718</v>
      </c>
      <c r="D4764" t="s">
        <v>19307</v>
      </c>
      <c r="E4764" t="s">
        <v>19308</v>
      </c>
      <c r="F4764" t="s">
        <v>19309</v>
      </c>
      <c r="G4764" t="s">
        <v>103</v>
      </c>
      <c r="H4764" t="s">
        <v>19310</v>
      </c>
      <c r="I4764" t="s">
        <v>30</v>
      </c>
      <c r="J4764" t="s">
        <v>41</v>
      </c>
      <c r="K4764" t="s">
        <v>59</v>
      </c>
      <c r="Q4764">
        <v>0</v>
      </c>
      <c r="R4764">
        <v>300</v>
      </c>
      <c r="S4764">
        <v>300</v>
      </c>
      <c r="T4764" t="s">
        <v>19311</v>
      </c>
    </row>
    <row r="4765" spans="1:20" customFormat="1" ht="15" x14ac:dyDescent="0.25">
      <c r="A4765" t="s">
        <v>35</v>
      </c>
      <c r="B4765" t="s">
        <v>61</v>
      </c>
      <c r="C4765" t="str">
        <f>"A0184717"</f>
        <v>A0184717</v>
      </c>
      <c r="D4765" t="s">
        <v>19312</v>
      </c>
      <c r="E4765" t="s">
        <v>19313</v>
      </c>
      <c r="F4765" t="s">
        <v>19314</v>
      </c>
      <c r="G4765" t="s">
        <v>103</v>
      </c>
      <c r="H4765" t="s">
        <v>19315</v>
      </c>
      <c r="I4765" t="s">
        <v>30</v>
      </c>
      <c r="J4765" t="s">
        <v>41</v>
      </c>
      <c r="K4765" t="s">
        <v>59</v>
      </c>
      <c r="Q4765">
        <v>0</v>
      </c>
      <c r="R4765">
        <v>419</v>
      </c>
      <c r="S4765">
        <v>419</v>
      </c>
      <c r="T4765" t="s">
        <v>19316</v>
      </c>
    </row>
    <row r="4766" spans="1:20" customFormat="1" ht="15" x14ac:dyDescent="0.25">
      <c r="A4766" t="s">
        <v>35</v>
      </c>
      <c r="B4766" t="s">
        <v>9920</v>
      </c>
      <c r="C4766" t="str">
        <f>"A0184716"</f>
        <v>A0184716</v>
      </c>
      <c r="D4766" t="s">
        <v>19317</v>
      </c>
      <c r="E4766" t="s">
        <v>19318</v>
      </c>
      <c r="F4766" t="s">
        <v>18956</v>
      </c>
      <c r="G4766" t="s">
        <v>103</v>
      </c>
      <c r="H4766" t="s">
        <v>19319</v>
      </c>
      <c r="I4766" t="s">
        <v>30</v>
      </c>
      <c r="J4766" t="s">
        <v>41</v>
      </c>
      <c r="K4766" t="s">
        <v>59</v>
      </c>
      <c r="Q4766">
        <v>0</v>
      </c>
      <c r="R4766">
        <v>0</v>
      </c>
      <c r="S4766">
        <v>0</v>
      </c>
    </row>
    <row r="4767" spans="1:20" customFormat="1" ht="15" x14ac:dyDescent="0.25">
      <c r="A4767" t="s">
        <v>35</v>
      </c>
      <c r="B4767" t="s">
        <v>61</v>
      </c>
      <c r="C4767" t="str">
        <f>"A0184715"</f>
        <v>A0184715</v>
      </c>
      <c r="D4767" t="s">
        <v>19320</v>
      </c>
      <c r="E4767" t="s">
        <v>19321</v>
      </c>
      <c r="F4767" t="s">
        <v>19322</v>
      </c>
      <c r="G4767" t="s">
        <v>103</v>
      </c>
      <c r="H4767" t="s">
        <v>19323</v>
      </c>
      <c r="I4767" t="s">
        <v>30</v>
      </c>
      <c r="J4767" t="s">
        <v>41</v>
      </c>
      <c r="K4767" t="s">
        <v>59</v>
      </c>
      <c r="Q4767">
        <v>0</v>
      </c>
      <c r="R4767">
        <v>143</v>
      </c>
      <c r="S4767">
        <v>143</v>
      </c>
      <c r="T4767" t="s">
        <v>19324</v>
      </c>
    </row>
    <row r="4768" spans="1:20" customFormat="1" ht="15" x14ac:dyDescent="0.25">
      <c r="A4768" t="s">
        <v>35</v>
      </c>
      <c r="B4768" t="s">
        <v>61</v>
      </c>
      <c r="C4768" t="str">
        <f>"A0184714"</f>
        <v>A0184714</v>
      </c>
      <c r="D4768" t="s">
        <v>19325</v>
      </c>
      <c r="E4768" t="s">
        <v>19326</v>
      </c>
      <c r="F4768" t="s">
        <v>102</v>
      </c>
      <c r="G4768" t="s">
        <v>103</v>
      </c>
      <c r="H4768">
        <v>15217</v>
      </c>
      <c r="I4768" t="s">
        <v>30</v>
      </c>
      <c r="J4768" t="s">
        <v>41</v>
      </c>
      <c r="K4768" t="s">
        <v>59</v>
      </c>
      <c r="Q4768">
        <v>0</v>
      </c>
      <c r="R4768">
        <v>0</v>
      </c>
      <c r="S4768">
        <v>0</v>
      </c>
    </row>
    <row r="4769" spans="1:20" customFormat="1" ht="15" x14ac:dyDescent="0.25">
      <c r="A4769" t="s">
        <v>35</v>
      </c>
      <c r="B4769" t="s">
        <v>61</v>
      </c>
      <c r="C4769" t="str">
        <f>"A0184711"</f>
        <v>A0184711</v>
      </c>
      <c r="D4769" t="s">
        <v>19327</v>
      </c>
      <c r="E4769" t="s">
        <v>19328</v>
      </c>
      <c r="F4769" t="s">
        <v>16813</v>
      </c>
      <c r="G4769" t="s">
        <v>103</v>
      </c>
      <c r="H4769" t="s">
        <v>19329</v>
      </c>
      <c r="I4769" t="s">
        <v>30</v>
      </c>
      <c r="J4769" t="s">
        <v>41</v>
      </c>
      <c r="K4769" t="s">
        <v>59</v>
      </c>
      <c r="Q4769">
        <v>0</v>
      </c>
      <c r="R4769">
        <v>54</v>
      </c>
      <c r="S4769">
        <v>54</v>
      </c>
      <c r="T4769" t="s">
        <v>19330</v>
      </c>
    </row>
    <row r="4770" spans="1:20" customFormat="1" ht="15" x14ac:dyDescent="0.25">
      <c r="A4770" t="s">
        <v>35</v>
      </c>
      <c r="B4770" t="s">
        <v>61</v>
      </c>
      <c r="C4770" t="str">
        <f>"A0184710"</f>
        <v>A0184710</v>
      </c>
      <c r="D4770" t="s">
        <v>19331</v>
      </c>
      <c r="E4770" t="s">
        <v>19332</v>
      </c>
      <c r="F4770" t="s">
        <v>19333</v>
      </c>
      <c r="G4770" t="s">
        <v>103</v>
      </c>
      <c r="H4770" t="s">
        <v>19334</v>
      </c>
      <c r="I4770" t="s">
        <v>30</v>
      </c>
      <c r="J4770" t="s">
        <v>41</v>
      </c>
      <c r="K4770" t="s">
        <v>59</v>
      </c>
      <c r="Q4770">
        <v>0</v>
      </c>
      <c r="R4770">
        <v>0</v>
      </c>
      <c r="S4770">
        <v>0</v>
      </c>
      <c r="T4770" t="s">
        <v>19335</v>
      </c>
    </row>
    <row r="4771" spans="1:20" customFormat="1" ht="15" x14ac:dyDescent="0.25">
      <c r="A4771" t="s">
        <v>35</v>
      </c>
      <c r="B4771" t="s">
        <v>61</v>
      </c>
      <c r="C4771" t="str">
        <f>"A0184709"</f>
        <v>A0184709</v>
      </c>
      <c r="D4771" t="s">
        <v>19336</v>
      </c>
      <c r="E4771" t="s">
        <v>19337</v>
      </c>
      <c r="F4771" t="s">
        <v>1731</v>
      </c>
      <c r="G4771" t="s">
        <v>103</v>
      </c>
      <c r="H4771" t="s">
        <v>19338</v>
      </c>
      <c r="I4771" t="s">
        <v>30</v>
      </c>
      <c r="J4771" t="s">
        <v>41</v>
      </c>
      <c r="K4771" t="s">
        <v>59</v>
      </c>
      <c r="Q4771">
        <v>0</v>
      </c>
      <c r="R4771">
        <v>0</v>
      </c>
      <c r="S4771">
        <v>0</v>
      </c>
    </row>
    <row r="4772" spans="1:20" customFormat="1" ht="15" x14ac:dyDescent="0.25">
      <c r="A4772" t="s">
        <v>35</v>
      </c>
      <c r="B4772" t="s">
        <v>61</v>
      </c>
      <c r="C4772" t="str">
        <f>"A0184708"</f>
        <v>A0184708</v>
      </c>
      <c r="D4772" t="s">
        <v>19339</v>
      </c>
      <c r="E4772" t="s">
        <v>19340</v>
      </c>
      <c r="F4772" t="s">
        <v>16389</v>
      </c>
      <c r="G4772" t="s">
        <v>103</v>
      </c>
      <c r="H4772" t="s">
        <v>19341</v>
      </c>
      <c r="I4772" t="s">
        <v>30</v>
      </c>
      <c r="J4772" t="s">
        <v>41</v>
      </c>
      <c r="K4772" t="s">
        <v>59</v>
      </c>
      <c r="Q4772">
        <v>0</v>
      </c>
      <c r="R4772">
        <v>72</v>
      </c>
      <c r="S4772">
        <v>72</v>
      </c>
      <c r="T4772" t="s">
        <v>19342</v>
      </c>
    </row>
    <row r="4773" spans="1:20" customFormat="1" ht="15" x14ac:dyDescent="0.25">
      <c r="A4773" t="s">
        <v>35</v>
      </c>
      <c r="B4773" t="s">
        <v>61</v>
      </c>
      <c r="C4773" t="str">
        <f>"A0184707"</f>
        <v>A0184707</v>
      </c>
      <c r="D4773" t="s">
        <v>19343</v>
      </c>
      <c r="E4773" t="s">
        <v>19344</v>
      </c>
      <c r="F4773" t="s">
        <v>19345</v>
      </c>
      <c r="G4773" t="s">
        <v>103</v>
      </c>
      <c r="H4773" t="s">
        <v>19346</v>
      </c>
      <c r="I4773" t="s">
        <v>30</v>
      </c>
      <c r="J4773" t="s">
        <v>41</v>
      </c>
      <c r="K4773" t="s">
        <v>59</v>
      </c>
      <c r="Q4773">
        <v>0</v>
      </c>
      <c r="R4773">
        <v>0</v>
      </c>
      <c r="S4773">
        <v>0</v>
      </c>
      <c r="T4773" t="s">
        <v>19347</v>
      </c>
    </row>
    <row r="4774" spans="1:20" customFormat="1" ht="15" x14ac:dyDescent="0.25">
      <c r="A4774" t="s">
        <v>35</v>
      </c>
      <c r="B4774" t="s">
        <v>61</v>
      </c>
      <c r="C4774" t="str">
        <f>"A0184706"</f>
        <v>A0184706</v>
      </c>
      <c r="D4774" t="s">
        <v>19348</v>
      </c>
      <c r="E4774" t="s">
        <v>19349</v>
      </c>
      <c r="F4774" t="s">
        <v>19350</v>
      </c>
      <c r="G4774" t="s">
        <v>103</v>
      </c>
      <c r="H4774" t="s">
        <v>19351</v>
      </c>
      <c r="I4774" t="s">
        <v>30</v>
      </c>
      <c r="J4774" t="s">
        <v>41</v>
      </c>
      <c r="K4774" t="s">
        <v>59</v>
      </c>
      <c r="Q4774">
        <v>0</v>
      </c>
      <c r="R4774">
        <v>0</v>
      </c>
      <c r="S4774">
        <v>0</v>
      </c>
    </row>
    <row r="4775" spans="1:20" customFormat="1" ht="15" x14ac:dyDescent="0.25">
      <c r="A4775" t="s">
        <v>35</v>
      </c>
      <c r="B4775" t="s">
        <v>8001</v>
      </c>
      <c r="C4775" t="str">
        <f>"A0184704"</f>
        <v>A0184704</v>
      </c>
      <c r="D4775" t="s">
        <v>19352</v>
      </c>
      <c r="E4775" t="s">
        <v>19353</v>
      </c>
      <c r="F4775" t="s">
        <v>8191</v>
      </c>
      <c r="G4775" t="s">
        <v>103</v>
      </c>
      <c r="H4775">
        <v>19348</v>
      </c>
      <c r="I4775" t="s">
        <v>30</v>
      </c>
      <c r="J4775" t="s">
        <v>41</v>
      </c>
      <c r="K4775" t="s">
        <v>59</v>
      </c>
      <c r="Q4775">
        <v>0</v>
      </c>
      <c r="R4775">
        <v>0</v>
      </c>
      <c r="S4775">
        <v>0</v>
      </c>
      <c r="T4775" t="s">
        <v>9353</v>
      </c>
    </row>
    <row r="4776" spans="1:20" customFormat="1" ht="15" x14ac:dyDescent="0.25">
      <c r="A4776" t="s">
        <v>35</v>
      </c>
      <c r="B4776" t="s">
        <v>61</v>
      </c>
      <c r="C4776" t="str">
        <f>"A0184703"</f>
        <v>A0184703</v>
      </c>
      <c r="D4776" t="s">
        <v>19354</v>
      </c>
      <c r="E4776" t="s">
        <v>19355</v>
      </c>
      <c r="F4776" t="s">
        <v>19356</v>
      </c>
      <c r="G4776" t="s">
        <v>103</v>
      </c>
      <c r="H4776" t="s">
        <v>19357</v>
      </c>
      <c r="I4776" t="s">
        <v>30</v>
      </c>
      <c r="J4776" t="s">
        <v>41</v>
      </c>
      <c r="K4776" t="s">
        <v>59</v>
      </c>
      <c r="Q4776">
        <v>0</v>
      </c>
      <c r="R4776">
        <v>90</v>
      </c>
      <c r="S4776">
        <v>90</v>
      </c>
      <c r="T4776" t="s">
        <v>19358</v>
      </c>
    </row>
    <row r="4777" spans="1:20" customFormat="1" ht="15" x14ac:dyDescent="0.25">
      <c r="A4777" t="s">
        <v>35</v>
      </c>
      <c r="B4777" t="s">
        <v>61</v>
      </c>
      <c r="C4777" t="str">
        <f>"A0184702"</f>
        <v>A0184702</v>
      </c>
      <c r="D4777" t="s">
        <v>19359</v>
      </c>
      <c r="E4777" t="s">
        <v>19360</v>
      </c>
      <c r="F4777" t="s">
        <v>14725</v>
      </c>
      <c r="G4777" t="s">
        <v>103</v>
      </c>
      <c r="H4777" t="s">
        <v>19361</v>
      </c>
      <c r="I4777" t="s">
        <v>30</v>
      </c>
      <c r="J4777" t="s">
        <v>41</v>
      </c>
      <c r="K4777" t="s">
        <v>59</v>
      </c>
      <c r="Q4777">
        <v>0</v>
      </c>
      <c r="R4777">
        <v>0</v>
      </c>
      <c r="S4777">
        <v>0</v>
      </c>
    </row>
    <row r="4778" spans="1:20" customFormat="1" ht="15" x14ac:dyDescent="0.25">
      <c r="A4778" t="s">
        <v>35</v>
      </c>
      <c r="B4778" t="s">
        <v>61</v>
      </c>
      <c r="C4778" t="str">
        <f>"A0184701"</f>
        <v>A0184701</v>
      </c>
      <c r="D4778" t="s">
        <v>19362</v>
      </c>
      <c r="E4778" t="s">
        <v>19363</v>
      </c>
      <c r="F4778" t="s">
        <v>16389</v>
      </c>
      <c r="G4778" t="s">
        <v>103</v>
      </c>
      <c r="H4778">
        <v>19446</v>
      </c>
      <c r="I4778" t="s">
        <v>30</v>
      </c>
      <c r="J4778" t="s">
        <v>41</v>
      </c>
      <c r="K4778" t="s">
        <v>59</v>
      </c>
      <c r="Q4778">
        <v>0</v>
      </c>
      <c r="R4778">
        <v>65</v>
      </c>
      <c r="S4778">
        <v>65</v>
      </c>
      <c r="T4778" t="s">
        <v>19364</v>
      </c>
    </row>
    <row r="4779" spans="1:20" customFormat="1" ht="15" x14ac:dyDescent="0.25">
      <c r="A4779" t="s">
        <v>35</v>
      </c>
      <c r="B4779" t="s">
        <v>61</v>
      </c>
      <c r="C4779" t="str">
        <f>"A0184700"</f>
        <v>A0184700</v>
      </c>
      <c r="D4779" t="s">
        <v>19365</v>
      </c>
      <c r="E4779" t="s">
        <v>19366</v>
      </c>
      <c r="F4779" t="s">
        <v>19350</v>
      </c>
      <c r="G4779" t="s">
        <v>103</v>
      </c>
      <c r="H4779" t="s">
        <v>19367</v>
      </c>
      <c r="I4779" t="s">
        <v>30</v>
      </c>
      <c r="J4779" t="s">
        <v>41</v>
      </c>
      <c r="K4779" t="s">
        <v>59</v>
      </c>
      <c r="Q4779">
        <v>0</v>
      </c>
      <c r="R4779">
        <v>59</v>
      </c>
      <c r="S4779">
        <v>59</v>
      </c>
      <c r="T4779" t="s">
        <v>19368</v>
      </c>
    </row>
    <row r="4780" spans="1:20" customFormat="1" ht="15" x14ac:dyDescent="0.25">
      <c r="A4780" t="s">
        <v>35</v>
      </c>
      <c r="B4780" t="s">
        <v>61</v>
      </c>
      <c r="C4780" t="str">
        <f>"A0184699"</f>
        <v>A0184699</v>
      </c>
      <c r="D4780" t="s">
        <v>19369</v>
      </c>
      <c r="E4780" t="s">
        <v>19370</v>
      </c>
      <c r="F4780" t="s">
        <v>11728</v>
      </c>
      <c r="G4780" t="s">
        <v>103</v>
      </c>
      <c r="H4780" t="s">
        <v>19371</v>
      </c>
      <c r="I4780" t="s">
        <v>30</v>
      </c>
      <c r="J4780" t="s">
        <v>41</v>
      </c>
      <c r="K4780" t="s">
        <v>59</v>
      </c>
      <c r="Q4780">
        <v>0</v>
      </c>
      <c r="R4780">
        <v>0</v>
      </c>
      <c r="S4780">
        <v>0</v>
      </c>
    </row>
    <row r="4781" spans="1:20" customFormat="1" ht="15" x14ac:dyDescent="0.25">
      <c r="A4781" t="s">
        <v>35</v>
      </c>
      <c r="B4781" t="s">
        <v>3381</v>
      </c>
      <c r="C4781" t="str">
        <f>"A0184698"</f>
        <v>A0184698</v>
      </c>
      <c r="D4781" t="s">
        <v>19372</v>
      </c>
      <c r="E4781" t="s">
        <v>19373</v>
      </c>
      <c r="F4781" t="s">
        <v>4629</v>
      </c>
      <c r="G4781" t="s">
        <v>103</v>
      </c>
      <c r="H4781">
        <v>191522006</v>
      </c>
      <c r="I4781" t="s">
        <v>30</v>
      </c>
      <c r="J4781" t="s">
        <v>41</v>
      </c>
      <c r="K4781" t="s">
        <v>59</v>
      </c>
      <c r="Q4781">
        <v>0</v>
      </c>
      <c r="R4781">
        <v>206</v>
      </c>
      <c r="S4781">
        <v>206</v>
      </c>
      <c r="T4781" t="s">
        <v>19374</v>
      </c>
    </row>
    <row r="4782" spans="1:20" customFormat="1" ht="15" x14ac:dyDescent="0.25">
      <c r="A4782" t="s">
        <v>35</v>
      </c>
      <c r="B4782" t="s">
        <v>61</v>
      </c>
      <c r="C4782" t="str">
        <f>"A0184697"</f>
        <v>A0184697</v>
      </c>
      <c r="D4782" t="s">
        <v>19375</v>
      </c>
      <c r="E4782" t="s">
        <v>14827</v>
      </c>
      <c r="F4782" t="s">
        <v>4069</v>
      </c>
      <c r="G4782" t="s">
        <v>103</v>
      </c>
      <c r="H4782">
        <v>17022</v>
      </c>
      <c r="I4782" t="s">
        <v>30</v>
      </c>
      <c r="J4782" t="s">
        <v>41</v>
      </c>
      <c r="K4782" t="s">
        <v>59</v>
      </c>
      <c r="Q4782">
        <v>0</v>
      </c>
      <c r="R4782">
        <v>453</v>
      </c>
      <c r="S4782">
        <v>453</v>
      </c>
      <c r="T4782" t="s">
        <v>19376</v>
      </c>
    </row>
    <row r="4783" spans="1:20" customFormat="1" ht="15" x14ac:dyDescent="0.25">
      <c r="A4783" t="s">
        <v>35</v>
      </c>
      <c r="B4783" t="s">
        <v>61</v>
      </c>
      <c r="C4783" t="str">
        <f>"A0184696"</f>
        <v>A0184696</v>
      </c>
      <c r="D4783" t="s">
        <v>19377</v>
      </c>
      <c r="E4783" t="s">
        <v>19378</v>
      </c>
      <c r="F4783" t="s">
        <v>19379</v>
      </c>
      <c r="G4783" t="s">
        <v>103</v>
      </c>
      <c r="H4783">
        <v>17350</v>
      </c>
      <c r="I4783" t="s">
        <v>30</v>
      </c>
      <c r="J4783" t="s">
        <v>41</v>
      </c>
      <c r="K4783" t="s">
        <v>59</v>
      </c>
      <c r="Q4783">
        <v>0</v>
      </c>
      <c r="R4783">
        <v>297</v>
      </c>
      <c r="S4783">
        <v>297</v>
      </c>
      <c r="T4783" t="s">
        <v>19380</v>
      </c>
    </row>
    <row r="4784" spans="1:20" customFormat="1" ht="15" x14ac:dyDescent="0.25">
      <c r="A4784" t="s">
        <v>35</v>
      </c>
      <c r="B4784" t="s">
        <v>61</v>
      </c>
      <c r="C4784" t="str">
        <f>"A0184695"</f>
        <v>A0184695</v>
      </c>
      <c r="D4784" t="s">
        <v>19381</v>
      </c>
      <c r="E4784" t="s">
        <v>19382</v>
      </c>
      <c r="F4784" t="s">
        <v>102</v>
      </c>
      <c r="G4784" t="s">
        <v>103</v>
      </c>
      <c r="H4784" t="s">
        <v>19383</v>
      </c>
      <c r="I4784" t="s">
        <v>30</v>
      </c>
      <c r="J4784" t="s">
        <v>41</v>
      </c>
      <c r="K4784" t="s">
        <v>59</v>
      </c>
      <c r="Q4784">
        <v>0</v>
      </c>
      <c r="R4784">
        <v>0</v>
      </c>
      <c r="S4784">
        <v>0</v>
      </c>
      <c r="T4784" t="s">
        <v>19384</v>
      </c>
    </row>
    <row r="4785" spans="1:20" customFormat="1" ht="15" x14ac:dyDescent="0.25">
      <c r="A4785" t="s">
        <v>35</v>
      </c>
      <c r="B4785" t="s">
        <v>11871</v>
      </c>
      <c r="C4785" t="str">
        <f>"A0184694"</f>
        <v>A0184694</v>
      </c>
      <c r="D4785" t="s">
        <v>19385</v>
      </c>
      <c r="E4785" t="s">
        <v>19386</v>
      </c>
      <c r="F4785" t="s">
        <v>3285</v>
      </c>
      <c r="G4785" t="s">
        <v>58</v>
      </c>
      <c r="H4785" t="s">
        <v>19387</v>
      </c>
      <c r="I4785" t="s">
        <v>30</v>
      </c>
      <c r="J4785" t="s">
        <v>41</v>
      </c>
      <c r="K4785" t="s">
        <v>59</v>
      </c>
      <c r="Q4785">
        <v>0</v>
      </c>
      <c r="R4785">
        <v>0</v>
      </c>
      <c r="S4785">
        <v>0</v>
      </c>
      <c r="T4785" t="s">
        <v>19388</v>
      </c>
    </row>
    <row r="4786" spans="1:20" customFormat="1" ht="15" x14ac:dyDescent="0.25">
      <c r="A4786" t="s">
        <v>35</v>
      </c>
      <c r="B4786" t="s">
        <v>61</v>
      </c>
      <c r="C4786" t="str">
        <f>"A0184693"</f>
        <v>A0184693</v>
      </c>
      <c r="D4786" t="s">
        <v>19389</v>
      </c>
      <c r="E4786" t="s">
        <v>19390</v>
      </c>
      <c r="F4786" t="s">
        <v>19391</v>
      </c>
      <c r="G4786" t="s">
        <v>103</v>
      </c>
      <c r="H4786">
        <v>19035</v>
      </c>
      <c r="I4786" t="s">
        <v>30</v>
      </c>
      <c r="J4786" t="s">
        <v>41</v>
      </c>
      <c r="K4786" t="s">
        <v>59</v>
      </c>
      <c r="Q4786">
        <v>0</v>
      </c>
      <c r="R4786">
        <v>60</v>
      </c>
      <c r="S4786">
        <v>60</v>
      </c>
      <c r="T4786" t="s">
        <v>19392</v>
      </c>
    </row>
    <row r="4787" spans="1:20" customFormat="1" ht="15" x14ac:dyDescent="0.25">
      <c r="A4787" t="s">
        <v>35</v>
      </c>
      <c r="B4787" t="s">
        <v>61</v>
      </c>
      <c r="C4787" t="str">
        <f>"A0184692"</f>
        <v>A0184692</v>
      </c>
      <c r="D4787" t="s">
        <v>19393</v>
      </c>
      <c r="E4787" t="s">
        <v>19394</v>
      </c>
      <c r="F4787" t="s">
        <v>6085</v>
      </c>
      <c r="G4787" t="s">
        <v>103</v>
      </c>
      <c r="H4787" t="s">
        <v>19395</v>
      </c>
      <c r="I4787" t="s">
        <v>30</v>
      </c>
      <c r="J4787" t="s">
        <v>41</v>
      </c>
      <c r="K4787" t="s">
        <v>59</v>
      </c>
      <c r="Q4787">
        <v>0</v>
      </c>
      <c r="R4787">
        <v>0</v>
      </c>
      <c r="S4787">
        <v>0</v>
      </c>
      <c r="T4787" t="s">
        <v>19396</v>
      </c>
    </row>
    <row r="4788" spans="1:20" customFormat="1" ht="15" x14ac:dyDescent="0.25">
      <c r="A4788" t="s">
        <v>35</v>
      </c>
      <c r="B4788" t="s">
        <v>61</v>
      </c>
      <c r="C4788" t="str">
        <f>"A0184691"</f>
        <v>A0184691</v>
      </c>
      <c r="D4788" t="s">
        <v>19397</v>
      </c>
      <c r="E4788" t="s">
        <v>19398</v>
      </c>
      <c r="F4788" t="s">
        <v>19147</v>
      </c>
      <c r="G4788" t="s">
        <v>103</v>
      </c>
      <c r="H4788" t="s">
        <v>19399</v>
      </c>
      <c r="I4788" t="s">
        <v>30</v>
      </c>
      <c r="J4788" t="s">
        <v>41</v>
      </c>
      <c r="K4788" t="s">
        <v>59</v>
      </c>
      <c r="Q4788">
        <v>0</v>
      </c>
      <c r="R4788">
        <v>81</v>
      </c>
      <c r="S4788">
        <v>81</v>
      </c>
      <c r="T4788" t="s">
        <v>19400</v>
      </c>
    </row>
    <row r="4789" spans="1:20" customFormat="1" ht="15" x14ac:dyDescent="0.25">
      <c r="A4789" t="s">
        <v>35</v>
      </c>
      <c r="B4789" t="s">
        <v>61</v>
      </c>
      <c r="C4789" t="str">
        <f>"A0184690"</f>
        <v>A0184690</v>
      </c>
      <c r="D4789" t="s">
        <v>19401</v>
      </c>
      <c r="E4789" t="s">
        <v>19402</v>
      </c>
      <c r="F4789" t="s">
        <v>2724</v>
      </c>
      <c r="G4789" t="s">
        <v>58</v>
      </c>
      <c r="H4789">
        <v>29115</v>
      </c>
      <c r="I4789" t="s">
        <v>30</v>
      </c>
      <c r="J4789" t="s">
        <v>41</v>
      </c>
      <c r="K4789" t="s">
        <v>59</v>
      </c>
      <c r="Q4789">
        <v>0</v>
      </c>
      <c r="R4789">
        <v>132</v>
      </c>
      <c r="S4789">
        <v>132</v>
      </c>
      <c r="T4789" t="s">
        <v>19403</v>
      </c>
    </row>
    <row r="4790" spans="1:20" customFormat="1" ht="15" x14ac:dyDescent="0.25">
      <c r="A4790" t="s">
        <v>35</v>
      </c>
      <c r="B4790" t="s">
        <v>61</v>
      </c>
      <c r="C4790" t="str">
        <f>"A0184689"</f>
        <v>A0184689</v>
      </c>
      <c r="D4790" t="s">
        <v>19404</v>
      </c>
      <c r="E4790" t="s">
        <v>19405</v>
      </c>
      <c r="F4790" t="s">
        <v>19406</v>
      </c>
      <c r="G4790" t="s">
        <v>90</v>
      </c>
      <c r="H4790" t="s">
        <v>19407</v>
      </c>
      <c r="I4790" t="s">
        <v>30</v>
      </c>
      <c r="J4790" t="s">
        <v>41</v>
      </c>
      <c r="K4790" t="s">
        <v>59</v>
      </c>
      <c r="Q4790">
        <v>0</v>
      </c>
      <c r="R4790">
        <v>111</v>
      </c>
      <c r="S4790">
        <v>111</v>
      </c>
      <c r="T4790" t="s">
        <v>19408</v>
      </c>
    </row>
    <row r="4791" spans="1:20" customFormat="1" ht="15" x14ac:dyDescent="0.25">
      <c r="A4791" t="s">
        <v>35</v>
      </c>
      <c r="B4791" t="s">
        <v>61</v>
      </c>
      <c r="C4791" t="str">
        <f>"A0184688"</f>
        <v>A0184688</v>
      </c>
      <c r="D4791" t="s">
        <v>19409</v>
      </c>
      <c r="E4791" t="s">
        <v>19410</v>
      </c>
      <c r="F4791" t="s">
        <v>19411</v>
      </c>
      <c r="G4791" t="s">
        <v>103</v>
      </c>
      <c r="H4791">
        <v>15120</v>
      </c>
      <c r="I4791" t="s">
        <v>30</v>
      </c>
      <c r="J4791" t="s">
        <v>41</v>
      </c>
      <c r="K4791" t="s">
        <v>59</v>
      </c>
      <c r="Q4791">
        <v>0</v>
      </c>
      <c r="R4791">
        <v>0</v>
      </c>
      <c r="S4791">
        <v>0</v>
      </c>
    </row>
    <row r="4792" spans="1:20" customFormat="1" ht="15" x14ac:dyDescent="0.25">
      <c r="A4792" t="s">
        <v>35</v>
      </c>
      <c r="B4792" t="s">
        <v>61</v>
      </c>
      <c r="C4792" t="str">
        <f>"A0184687"</f>
        <v>A0184687</v>
      </c>
      <c r="D4792" t="s">
        <v>19412</v>
      </c>
      <c r="E4792" t="s">
        <v>19413</v>
      </c>
      <c r="F4792" t="s">
        <v>6260</v>
      </c>
      <c r="G4792" t="s">
        <v>103</v>
      </c>
      <c r="H4792" t="s">
        <v>19414</v>
      </c>
      <c r="I4792" t="s">
        <v>30</v>
      </c>
      <c r="J4792" t="s">
        <v>41</v>
      </c>
      <c r="K4792" t="s">
        <v>59</v>
      </c>
      <c r="Q4792">
        <v>0</v>
      </c>
      <c r="R4792">
        <v>0</v>
      </c>
      <c r="S4792">
        <v>0</v>
      </c>
      <c r="T4792" t="s">
        <v>19415</v>
      </c>
    </row>
    <row r="4793" spans="1:20" customFormat="1" ht="15" x14ac:dyDescent="0.25">
      <c r="A4793" t="s">
        <v>35</v>
      </c>
      <c r="B4793" t="s">
        <v>61</v>
      </c>
      <c r="C4793" t="str">
        <f>"A0184686"</f>
        <v>A0184686</v>
      </c>
      <c r="D4793" t="s">
        <v>19416</v>
      </c>
      <c r="E4793" t="s">
        <v>19417</v>
      </c>
      <c r="F4793" t="s">
        <v>17865</v>
      </c>
      <c r="G4793" t="s">
        <v>103</v>
      </c>
      <c r="H4793" t="s">
        <v>19418</v>
      </c>
      <c r="I4793" t="s">
        <v>30</v>
      </c>
      <c r="J4793" t="s">
        <v>41</v>
      </c>
      <c r="K4793" t="s">
        <v>59</v>
      </c>
      <c r="Q4793">
        <v>0</v>
      </c>
      <c r="R4793">
        <v>0</v>
      </c>
      <c r="S4793">
        <v>0</v>
      </c>
      <c r="T4793" t="s">
        <v>18998</v>
      </c>
    </row>
    <row r="4794" spans="1:20" customFormat="1" ht="15" x14ac:dyDescent="0.25">
      <c r="A4794" t="s">
        <v>35</v>
      </c>
      <c r="B4794" t="s">
        <v>61</v>
      </c>
      <c r="C4794" t="str">
        <f>"A0184685"</f>
        <v>A0184685</v>
      </c>
      <c r="D4794" t="s">
        <v>19419</v>
      </c>
      <c r="E4794" t="s">
        <v>19420</v>
      </c>
      <c r="F4794" t="s">
        <v>19333</v>
      </c>
      <c r="G4794" t="s">
        <v>103</v>
      </c>
      <c r="H4794" t="s">
        <v>19421</v>
      </c>
      <c r="I4794" t="s">
        <v>30</v>
      </c>
      <c r="J4794" t="s">
        <v>41</v>
      </c>
      <c r="K4794" t="s">
        <v>59</v>
      </c>
      <c r="Q4794">
        <v>0</v>
      </c>
      <c r="R4794">
        <v>87</v>
      </c>
      <c r="S4794">
        <v>87</v>
      </c>
      <c r="T4794" t="s">
        <v>19422</v>
      </c>
    </row>
    <row r="4795" spans="1:20" customFormat="1" ht="15" x14ac:dyDescent="0.25">
      <c r="A4795" t="s">
        <v>35</v>
      </c>
      <c r="B4795" t="s">
        <v>61</v>
      </c>
      <c r="C4795" t="str">
        <f>"A0184684"</f>
        <v>A0184684</v>
      </c>
      <c r="D4795" t="s">
        <v>19423</v>
      </c>
      <c r="E4795" t="s">
        <v>19424</v>
      </c>
      <c r="F4795" t="s">
        <v>102</v>
      </c>
      <c r="G4795" t="s">
        <v>103</v>
      </c>
      <c r="H4795" t="s">
        <v>19425</v>
      </c>
      <c r="I4795" t="s">
        <v>30</v>
      </c>
      <c r="J4795" t="s">
        <v>41</v>
      </c>
      <c r="K4795" t="s">
        <v>59</v>
      </c>
      <c r="Q4795">
        <v>0</v>
      </c>
      <c r="R4795">
        <v>0</v>
      </c>
      <c r="S4795">
        <v>0</v>
      </c>
    </row>
    <row r="4796" spans="1:20" customFormat="1" ht="15" x14ac:dyDescent="0.25">
      <c r="A4796" t="s">
        <v>35</v>
      </c>
      <c r="B4796" t="s">
        <v>61</v>
      </c>
      <c r="C4796" t="str">
        <f>"A0184683"</f>
        <v>A0184683</v>
      </c>
      <c r="D4796" t="s">
        <v>19426</v>
      </c>
      <c r="E4796" t="s">
        <v>19427</v>
      </c>
      <c r="F4796" t="s">
        <v>102</v>
      </c>
      <c r="G4796" t="s">
        <v>103</v>
      </c>
      <c r="H4796" t="s">
        <v>19428</v>
      </c>
      <c r="I4796" t="s">
        <v>30</v>
      </c>
      <c r="J4796" t="s">
        <v>41</v>
      </c>
      <c r="K4796" t="s">
        <v>59</v>
      </c>
      <c r="Q4796">
        <v>0</v>
      </c>
      <c r="R4796">
        <v>103</v>
      </c>
      <c r="S4796">
        <v>103</v>
      </c>
      <c r="T4796" t="s">
        <v>19429</v>
      </c>
    </row>
    <row r="4797" spans="1:20" customFormat="1" ht="15" x14ac:dyDescent="0.25">
      <c r="A4797" t="s">
        <v>35</v>
      </c>
      <c r="B4797" t="s">
        <v>61</v>
      </c>
      <c r="C4797" t="str">
        <f>"A0184682"</f>
        <v>A0184682</v>
      </c>
      <c r="D4797" t="s">
        <v>19430</v>
      </c>
      <c r="E4797" t="s">
        <v>19431</v>
      </c>
      <c r="F4797" t="s">
        <v>19333</v>
      </c>
      <c r="G4797" t="s">
        <v>103</v>
      </c>
      <c r="H4797">
        <v>17543</v>
      </c>
      <c r="I4797" t="s">
        <v>30</v>
      </c>
      <c r="J4797" t="s">
        <v>41</v>
      </c>
      <c r="K4797" t="s">
        <v>59</v>
      </c>
      <c r="Q4797">
        <v>0</v>
      </c>
      <c r="R4797">
        <v>128</v>
      </c>
      <c r="S4797">
        <v>128</v>
      </c>
      <c r="T4797" t="s">
        <v>19432</v>
      </c>
    </row>
    <row r="4798" spans="1:20" customFormat="1" ht="15" x14ac:dyDescent="0.25">
      <c r="A4798" t="s">
        <v>35</v>
      </c>
      <c r="B4798" t="s">
        <v>61</v>
      </c>
      <c r="C4798" t="str">
        <f>"A0184681"</f>
        <v>A0184681</v>
      </c>
      <c r="D4798" t="s">
        <v>19433</v>
      </c>
      <c r="E4798" t="s">
        <v>19434</v>
      </c>
      <c r="F4798" t="s">
        <v>19181</v>
      </c>
      <c r="G4798" t="s">
        <v>103</v>
      </c>
      <c r="H4798" t="s">
        <v>19435</v>
      </c>
      <c r="I4798" t="s">
        <v>30</v>
      </c>
      <c r="J4798" t="s">
        <v>41</v>
      </c>
      <c r="K4798" t="s">
        <v>59</v>
      </c>
      <c r="Q4798">
        <v>0</v>
      </c>
      <c r="R4798">
        <v>95</v>
      </c>
      <c r="S4798">
        <v>95</v>
      </c>
      <c r="T4798" t="s">
        <v>19436</v>
      </c>
    </row>
    <row r="4799" spans="1:20" customFormat="1" ht="15" x14ac:dyDescent="0.25">
      <c r="A4799" t="s">
        <v>35</v>
      </c>
      <c r="B4799" t="s">
        <v>61</v>
      </c>
      <c r="C4799" t="str">
        <f>"A0184680"</f>
        <v>A0184680</v>
      </c>
      <c r="D4799" t="s">
        <v>19437</v>
      </c>
      <c r="E4799" t="s">
        <v>19438</v>
      </c>
      <c r="F4799" t="s">
        <v>4629</v>
      </c>
      <c r="G4799" t="s">
        <v>103</v>
      </c>
      <c r="H4799" t="s">
        <v>19439</v>
      </c>
      <c r="I4799" t="s">
        <v>30</v>
      </c>
      <c r="J4799" t="s">
        <v>41</v>
      </c>
      <c r="K4799" t="s">
        <v>59</v>
      </c>
      <c r="Q4799">
        <v>0</v>
      </c>
      <c r="R4799">
        <v>0</v>
      </c>
      <c r="S4799">
        <v>0</v>
      </c>
      <c r="T4799" t="s">
        <v>19440</v>
      </c>
    </row>
    <row r="4800" spans="1:20" customFormat="1" ht="15" x14ac:dyDescent="0.25">
      <c r="A4800" t="s">
        <v>35</v>
      </c>
      <c r="B4800" t="s">
        <v>61</v>
      </c>
      <c r="C4800" t="str">
        <f>"A0184679"</f>
        <v>A0184679</v>
      </c>
      <c r="D4800" t="s">
        <v>19441</v>
      </c>
      <c r="E4800" t="s">
        <v>19135</v>
      </c>
      <c r="F4800" t="s">
        <v>19136</v>
      </c>
      <c r="G4800" t="s">
        <v>103</v>
      </c>
      <c r="H4800" t="s">
        <v>19137</v>
      </c>
      <c r="I4800" t="s">
        <v>30</v>
      </c>
      <c r="J4800" t="s">
        <v>41</v>
      </c>
      <c r="K4800" t="s">
        <v>59</v>
      </c>
      <c r="Q4800">
        <v>0</v>
      </c>
      <c r="R4800">
        <v>0</v>
      </c>
      <c r="S4800">
        <v>0</v>
      </c>
    </row>
    <row r="4801" spans="1:20" customFormat="1" ht="15" x14ac:dyDescent="0.25">
      <c r="A4801" t="s">
        <v>35</v>
      </c>
      <c r="B4801" t="s">
        <v>61</v>
      </c>
      <c r="C4801" t="str">
        <f>"A0184678"</f>
        <v>A0184678</v>
      </c>
      <c r="D4801" t="s">
        <v>19442</v>
      </c>
      <c r="E4801" t="s">
        <v>19443</v>
      </c>
      <c r="F4801" t="s">
        <v>19444</v>
      </c>
      <c r="G4801" t="s">
        <v>103</v>
      </c>
      <c r="H4801" t="s">
        <v>19445</v>
      </c>
      <c r="I4801" t="s">
        <v>30</v>
      </c>
      <c r="J4801" t="s">
        <v>41</v>
      </c>
      <c r="K4801" t="s">
        <v>59</v>
      </c>
      <c r="Q4801">
        <v>0</v>
      </c>
      <c r="R4801">
        <v>0</v>
      </c>
      <c r="S4801">
        <v>0</v>
      </c>
      <c r="T4801" t="s">
        <v>19446</v>
      </c>
    </row>
    <row r="4802" spans="1:20" customFormat="1" ht="15" x14ac:dyDescent="0.25">
      <c r="A4802" t="s">
        <v>35</v>
      </c>
      <c r="B4802" t="s">
        <v>61</v>
      </c>
      <c r="C4802" t="str">
        <f>"A0184677"</f>
        <v>A0184677</v>
      </c>
      <c r="D4802" t="s">
        <v>19447</v>
      </c>
      <c r="E4802" t="s">
        <v>19448</v>
      </c>
      <c r="F4802" t="s">
        <v>19449</v>
      </c>
      <c r="G4802" t="s">
        <v>103</v>
      </c>
      <c r="H4802" t="s">
        <v>19450</v>
      </c>
      <c r="I4802" t="s">
        <v>30</v>
      </c>
      <c r="J4802" t="s">
        <v>41</v>
      </c>
      <c r="K4802" t="s">
        <v>59</v>
      </c>
      <c r="Q4802">
        <v>0</v>
      </c>
      <c r="R4802">
        <v>33</v>
      </c>
      <c r="S4802">
        <v>33</v>
      </c>
      <c r="T4802" t="s">
        <v>19451</v>
      </c>
    </row>
    <row r="4803" spans="1:20" customFormat="1" ht="15" x14ac:dyDescent="0.25">
      <c r="A4803" t="s">
        <v>35</v>
      </c>
      <c r="B4803" t="s">
        <v>61</v>
      </c>
      <c r="C4803" t="str">
        <f>"A0184676"</f>
        <v>A0184676</v>
      </c>
      <c r="D4803" t="s">
        <v>19452</v>
      </c>
      <c r="E4803" t="s">
        <v>19453</v>
      </c>
      <c r="F4803" t="s">
        <v>19454</v>
      </c>
      <c r="G4803" t="s">
        <v>103</v>
      </c>
      <c r="H4803" t="s">
        <v>19455</v>
      </c>
      <c r="I4803" t="s">
        <v>30</v>
      </c>
      <c r="J4803" t="s">
        <v>41</v>
      </c>
      <c r="K4803" t="s">
        <v>59</v>
      </c>
      <c r="Q4803">
        <v>0</v>
      </c>
      <c r="R4803">
        <v>174</v>
      </c>
      <c r="S4803">
        <v>174</v>
      </c>
      <c r="T4803" t="s">
        <v>19456</v>
      </c>
    </row>
    <row r="4804" spans="1:20" customFormat="1" ht="15" x14ac:dyDescent="0.25">
      <c r="A4804" t="s">
        <v>35</v>
      </c>
      <c r="B4804" t="s">
        <v>61</v>
      </c>
      <c r="C4804" t="str">
        <f>"A0184675"</f>
        <v>A0184675</v>
      </c>
      <c r="D4804" t="s">
        <v>19457</v>
      </c>
      <c r="E4804" t="s">
        <v>19458</v>
      </c>
      <c r="F4804" t="s">
        <v>102</v>
      </c>
      <c r="G4804" t="s">
        <v>103</v>
      </c>
      <c r="H4804" t="s">
        <v>19459</v>
      </c>
      <c r="I4804" t="s">
        <v>30</v>
      </c>
      <c r="J4804" t="s">
        <v>41</v>
      </c>
      <c r="K4804" t="s">
        <v>59</v>
      </c>
      <c r="Q4804">
        <v>0</v>
      </c>
      <c r="R4804">
        <v>89</v>
      </c>
      <c r="S4804">
        <v>89</v>
      </c>
      <c r="T4804" t="s">
        <v>19460</v>
      </c>
    </row>
    <row r="4805" spans="1:20" customFormat="1" ht="15" x14ac:dyDescent="0.25">
      <c r="A4805" t="s">
        <v>35</v>
      </c>
      <c r="B4805" t="s">
        <v>15885</v>
      </c>
      <c r="C4805" t="str">
        <f>"A0184674"</f>
        <v>A0184674</v>
      </c>
      <c r="D4805" t="s">
        <v>19461</v>
      </c>
      <c r="E4805" t="s">
        <v>19462</v>
      </c>
      <c r="F4805" t="s">
        <v>4629</v>
      </c>
      <c r="G4805" t="s">
        <v>103</v>
      </c>
      <c r="H4805">
        <v>19119</v>
      </c>
      <c r="I4805" t="s">
        <v>30</v>
      </c>
      <c r="J4805" t="s">
        <v>41</v>
      </c>
      <c r="K4805" t="s">
        <v>59</v>
      </c>
      <c r="Q4805">
        <v>0</v>
      </c>
      <c r="R4805">
        <v>0</v>
      </c>
      <c r="S4805">
        <v>0</v>
      </c>
    </row>
    <row r="4806" spans="1:20" customFormat="1" ht="15" x14ac:dyDescent="0.25">
      <c r="A4806" t="s">
        <v>35</v>
      </c>
      <c r="B4806" t="s">
        <v>12201</v>
      </c>
      <c r="C4806" t="str">
        <f>"A0184673"</f>
        <v>A0184673</v>
      </c>
      <c r="D4806" t="s">
        <v>19463</v>
      </c>
      <c r="E4806" t="s">
        <v>19464</v>
      </c>
      <c r="F4806" t="s">
        <v>19465</v>
      </c>
      <c r="G4806" t="s">
        <v>103</v>
      </c>
      <c r="H4806">
        <v>194442430</v>
      </c>
      <c r="I4806" t="s">
        <v>30</v>
      </c>
      <c r="J4806" t="s">
        <v>41</v>
      </c>
      <c r="K4806" t="s">
        <v>59</v>
      </c>
      <c r="Q4806">
        <v>0</v>
      </c>
      <c r="R4806">
        <v>0</v>
      </c>
      <c r="S4806">
        <v>0</v>
      </c>
      <c r="T4806" t="s">
        <v>19466</v>
      </c>
    </row>
    <row r="4807" spans="1:20" customFormat="1" ht="15" x14ac:dyDescent="0.25">
      <c r="A4807" t="s">
        <v>35</v>
      </c>
      <c r="B4807" t="s">
        <v>61</v>
      </c>
      <c r="C4807" t="str">
        <f>"A0184672"</f>
        <v>A0184672</v>
      </c>
      <c r="D4807" t="s">
        <v>19467</v>
      </c>
      <c r="E4807" t="s">
        <v>19468</v>
      </c>
      <c r="F4807" t="s">
        <v>4629</v>
      </c>
      <c r="G4807" t="s">
        <v>103</v>
      </c>
      <c r="H4807" t="s">
        <v>19469</v>
      </c>
      <c r="I4807" t="s">
        <v>30</v>
      </c>
      <c r="J4807" t="s">
        <v>41</v>
      </c>
      <c r="K4807" t="s">
        <v>59</v>
      </c>
      <c r="Q4807">
        <v>0</v>
      </c>
      <c r="R4807">
        <v>62</v>
      </c>
      <c r="S4807">
        <v>62</v>
      </c>
      <c r="T4807" t="s">
        <v>19470</v>
      </c>
    </row>
    <row r="4808" spans="1:20" customFormat="1" ht="15" x14ac:dyDescent="0.25">
      <c r="A4808" t="s">
        <v>35</v>
      </c>
      <c r="B4808" t="s">
        <v>61</v>
      </c>
      <c r="C4808" t="str">
        <f>"A0184671"</f>
        <v>A0184671</v>
      </c>
      <c r="D4808" t="s">
        <v>19471</v>
      </c>
      <c r="E4808" t="s">
        <v>19472</v>
      </c>
      <c r="F4808" t="s">
        <v>17865</v>
      </c>
      <c r="G4808" t="s">
        <v>103</v>
      </c>
      <c r="H4808" t="s">
        <v>19473</v>
      </c>
      <c r="I4808" t="s">
        <v>30</v>
      </c>
      <c r="J4808" t="s">
        <v>41</v>
      </c>
      <c r="K4808" t="s">
        <v>59</v>
      </c>
      <c r="Q4808">
        <v>0</v>
      </c>
      <c r="R4808">
        <v>112</v>
      </c>
      <c r="S4808">
        <v>112</v>
      </c>
      <c r="T4808" t="s">
        <v>17867</v>
      </c>
    </row>
    <row r="4809" spans="1:20" customFormat="1" ht="15" x14ac:dyDescent="0.25">
      <c r="A4809" t="s">
        <v>35</v>
      </c>
      <c r="B4809" t="s">
        <v>61</v>
      </c>
      <c r="C4809" t="str">
        <f>"A0184670"</f>
        <v>A0184670</v>
      </c>
      <c r="D4809" t="s">
        <v>19474</v>
      </c>
      <c r="E4809" t="s">
        <v>19475</v>
      </c>
      <c r="F4809" t="s">
        <v>4629</v>
      </c>
      <c r="G4809" t="s">
        <v>103</v>
      </c>
      <c r="H4809" t="s">
        <v>19476</v>
      </c>
      <c r="I4809" t="s">
        <v>30</v>
      </c>
      <c r="J4809" t="s">
        <v>41</v>
      </c>
      <c r="K4809" t="s">
        <v>59</v>
      </c>
      <c r="Q4809">
        <v>0</v>
      </c>
      <c r="R4809">
        <v>0</v>
      </c>
      <c r="S4809">
        <v>0</v>
      </c>
      <c r="T4809" t="s">
        <v>19477</v>
      </c>
    </row>
    <row r="4810" spans="1:20" customFormat="1" ht="15" x14ac:dyDescent="0.25">
      <c r="A4810" t="s">
        <v>35</v>
      </c>
      <c r="B4810" t="s">
        <v>61</v>
      </c>
      <c r="C4810" t="str">
        <f>"A0184669"</f>
        <v>A0184669</v>
      </c>
      <c r="D4810" t="s">
        <v>19478</v>
      </c>
      <c r="E4810" t="s">
        <v>19479</v>
      </c>
      <c r="F4810" t="s">
        <v>102</v>
      </c>
      <c r="G4810" t="s">
        <v>103</v>
      </c>
      <c r="H4810">
        <v>15214</v>
      </c>
      <c r="I4810" t="s">
        <v>30</v>
      </c>
      <c r="J4810" t="s">
        <v>41</v>
      </c>
      <c r="K4810" t="s">
        <v>59</v>
      </c>
      <c r="Q4810">
        <v>0</v>
      </c>
      <c r="R4810">
        <v>93</v>
      </c>
      <c r="S4810">
        <v>93</v>
      </c>
      <c r="T4810" t="s">
        <v>19480</v>
      </c>
    </row>
    <row r="4811" spans="1:20" customFormat="1" ht="15" x14ac:dyDescent="0.25">
      <c r="A4811" t="s">
        <v>35</v>
      </c>
      <c r="B4811" t="s">
        <v>61</v>
      </c>
      <c r="C4811" t="str">
        <f>"A0184668"</f>
        <v>A0184668</v>
      </c>
      <c r="D4811" t="s">
        <v>19481</v>
      </c>
      <c r="E4811" t="s">
        <v>19482</v>
      </c>
      <c r="F4811" t="s">
        <v>19483</v>
      </c>
      <c r="G4811" t="s">
        <v>103</v>
      </c>
      <c r="H4811">
        <v>18041</v>
      </c>
      <c r="I4811" t="s">
        <v>30</v>
      </c>
      <c r="J4811" t="s">
        <v>41</v>
      </c>
      <c r="K4811" t="s">
        <v>59</v>
      </c>
      <c r="Q4811">
        <v>0</v>
      </c>
      <c r="R4811">
        <v>0</v>
      </c>
      <c r="S4811">
        <v>0</v>
      </c>
    </row>
    <row r="4812" spans="1:20" customFormat="1" ht="15" x14ac:dyDescent="0.25">
      <c r="A4812" t="s">
        <v>35</v>
      </c>
      <c r="B4812" t="s">
        <v>61</v>
      </c>
      <c r="C4812" t="str">
        <f>"A0184667"</f>
        <v>A0184667</v>
      </c>
      <c r="D4812" t="s">
        <v>19484</v>
      </c>
      <c r="E4812" t="s">
        <v>19485</v>
      </c>
      <c r="F4812" t="s">
        <v>102</v>
      </c>
      <c r="G4812" t="s">
        <v>103</v>
      </c>
      <c r="H4812" t="s">
        <v>19486</v>
      </c>
      <c r="I4812" t="s">
        <v>30</v>
      </c>
      <c r="J4812" t="s">
        <v>41</v>
      </c>
      <c r="K4812" t="s">
        <v>59</v>
      </c>
      <c r="Q4812">
        <v>0</v>
      </c>
      <c r="R4812">
        <v>0</v>
      </c>
      <c r="S4812">
        <v>0</v>
      </c>
    </row>
    <row r="4813" spans="1:20" customFormat="1" ht="15" x14ac:dyDescent="0.25">
      <c r="A4813" t="s">
        <v>35</v>
      </c>
      <c r="B4813" t="s">
        <v>61</v>
      </c>
      <c r="C4813" t="str">
        <f>"A0184666"</f>
        <v>A0184666</v>
      </c>
      <c r="D4813" t="s">
        <v>19487</v>
      </c>
      <c r="E4813" t="s">
        <v>19488</v>
      </c>
      <c r="F4813" t="s">
        <v>19489</v>
      </c>
      <c r="G4813" t="s">
        <v>103</v>
      </c>
      <c r="H4813" t="s">
        <v>19490</v>
      </c>
      <c r="I4813" t="s">
        <v>30</v>
      </c>
      <c r="J4813" t="s">
        <v>41</v>
      </c>
      <c r="K4813" t="s">
        <v>59</v>
      </c>
      <c r="Q4813">
        <v>0</v>
      </c>
      <c r="R4813">
        <v>83</v>
      </c>
      <c r="S4813">
        <v>83</v>
      </c>
      <c r="T4813" t="s">
        <v>19491</v>
      </c>
    </row>
    <row r="4814" spans="1:20" customFormat="1" ht="15" x14ac:dyDescent="0.25">
      <c r="A4814" t="s">
        <v>35</v>
      </c>
      <c r="B4814" t="s">
        <v>61</v>
      </c>
      <c r="C4814" t="str">
        <f>"A0184665"</f>
        <v>A0184665</v>
      </c>
      <c r="D4814" t="s">
        <v>19492</v>
      </c>
      <c r="E4814" t="s">
        <v>19493</v>
      </c>
      <c r="F4814" t="s">
        <v>3301</v>
      </c>
      <c r="G4814" t="s">
        <v>103</v>
      </c>
      <c r="H4814" t="s">
        <v>19266</v>
      </c>
      <c r="I4814" t="s">
        <v>30</v>
      </c>
      <c r="J4814" t="s">
        <v>41</v>
      </c>
      <c r="K4814" t="s">
        <v>59</v>
      </c>
      <c r="Q4814">
        <v>0</v>
      </c>
      <c r="R4814">
        <v>0</v>
      </c>
      <c r="S4814">
        <v>0</v>
      </c>
      <c r="T4814" t="s">
        <v>19494</v>
      </c>
    </row>
    <row r="4815" spans="1:20" customFormat="1" ht="15" x14ac:dyDescent="0.25">
      <c r="A4815" t="s">
        <v>35</v>
      </c>
      <c r="B4815" t="s">
        <v>61</v>
      </c>
      <c r="C4815" t="str">
        <f>"A0184664"</f>
        <v>A0184664</v>
      </c>
      <c r="D4815" t="s">
        <v>19495</v>
      </c>
      <c r="E4815" t="s">
        <v>19496</v>
      </c>
      <c r="F4815" t="s">
        <v>9211</v>
      </c>
      <c r="G4815" t="s">
        <v>103</v>
      </c>
      <c r="H4815" t="s">
        <v>19497</v>
      </c>
      <c r="I4815" t="s">
        <v>30</v>
      </c>
      <c r="J4815" t="s">
        <v>41</v>
      </c>
      <c r="K4815" t="s">
        <v>59</v>
      </c>
      <c r="Q4815">
        <v>0</v>
      </c>
      <c r="R4815">
        <v>196</v>
      </c>
      <c r="S4815">
        <v>196</v>
      </c>
      <c r="T4815" t="s">
        <v>19498</v>
      </c>
    </row>
    <row r="4816" spans="1:20" customFormat="1" ht="15" x14ac:dyDescent="0.25">
      <c r="A4816" t="s">
        <v>35</v>
      </c>
      <c r="B4816" t="s">
        <v>61</v>
      </c>
      <c r="C4816" t="str">
        <f>"A0184663"</f>
        <v>A0184663</v>
      </c>
      <c r="D4816" t="s">
        <v>19499</v>
      </c>
      <c r="E4816" t="s">
        <v>19500</v>
      </c>
      <c r="F4816" t="s">
        <v>2990</v>
      </c>
      <c r="G4816" t="s">
        <v>103</v>
      </c>
      <c r="H4816" t="s">
        <v>19501</v>
      </c>
      <c r="I4816" t="s">
        <v>30</v>
      </c>
      <c r="J4816" t="s">
        <v>41</v>
      </c>
      <c r="K4816" t="s">
        <v>59</v>
      </c>
      <c r="Q4816">
        <v>0</v>
      </c>
      <c r="R4816">
        <v>204</v>
      </c>
      <c r="S4816">
        <v>204</v>
      </c>
      <c r="T4816" t="s">
        <v>19502</v>
      </c>
    </row>
    <row r="4817" spans="1:20" customFormat="1" ht="15" x14ac:dyDescent="0.25">
      <c r="A4817" t="s">
        <v>35</v>
      </c>
      <c r="B4817" t="s">
        <v>61</v>
      </c>
      <c r="C4817" t="str">
        <f>"A0184662"</f>
        <v>A0184662</v>
      </c>
      <c r="D4817" t="s">
        <v>19503</v>
      </c>
      <c r="E4817" t="s">
        <v>19504</v>
      </c>
      <c r="F4817" t="s">
        <v>19350</v>
      </c>
      <c r="G4817" t="s">
        <v>103</v>
      </c>
      <c r="H4817">
        <v>17013</v>
      </c>
      <c r="I4817" t="s">
        <v>30</v>
      </c>
      <c r="J4817" t="s">
        <v>41</v>
      </c>
      <c r="K4817" t="s">
        <v>59</v>
      </c>
      <c r="Q4817">
        <v>0</v>
      </c>
      <c r="R4817">
        <v>109</v>
      </c>
      <c r="S4817">
        <v>109</v>
      </c>
      <c r="T4817" t="s">
        <v>19505</v>
      </c>
    </row>
    <row r="4818" spans="1:20" customFormat="1" ht="15" x14ac:dyDescent="0.25">
      <c r="A4818" t="s">
        <v>35</v>
      </c>
      <c r="B4818" t="s">
        <v>61</v>
      </c>
      <c r="C4818" t="str">
        <f>"A0184661"</f>
        <v>A0184661</v>
      </c>
      <c r="D4818" t="s">
        <v>19506</v>
      </c>
      <c r="E4818" t="s">
        <v>19507</v>
      </c>
      <c r="F4818" t="s">
        <v>19508</v>
      </c>
      <c r="G4818" t="s">
        <v>103</v>
      </c>
      <c r="H4818">
        <v>15401</v>
      </c>
      <c r="I4818" t="s">
        <v>30</v>
      </c>
      <c r="J4818" t="s">
        <v>41</v>
      </c>
      <c r="K4818" t="s">
        <v>59</v>
      </c>
      <c r="Q4818">
        <v>0</v>
      </c>
      <c r="R4818">
        <v>0</v>
      </c>
      <c r="S4818">
        <v>0</v>
      </c>
    </row>
    <row r="4819" spans="1:20" customFormat="1" ht="15" x14ac:dyDescent="0.25">
      <c r="A4819" t="s">
        <v>35</v>
      </c>
      <c r="B4819" t="s">
        <v>15885</v>
      </c>
      <c r="C4819" t="str">
        <f>"A0184660"</f>
        <v>A0184660</v>
      </c>
      <c r="D4819" t="s">
        <v>19509</v>
      </c>
      <c r="E4819" t="s">
        <v>19510</v>
      </c>
      <c r="F4819" t="s">
        <v>4629</v>
      </c>
      <c r="G4819" t="s">
        <v>103</v>
      </c>
      <c r="H4819">
        <v>19132</v>
      </c>
      <c r="I4819" t="s">
        <v>30</v>
      </c>
      <c r="J4819" t="s">
        <v>41</v>
      </c>
      <c r="K4819" t="s">
        <v>59</v>
      </c>
      <c r="Q4819">
        <v>0</v>
      </c>
      <c r="R4819">
        <v>0</v>
      </c>
      <c r="S4819">
        <v>0</v>
      </c>
    </row>
    <row r="4820" spans="1:20" customFormat="1" ht="15" x14ac:dyDescent="0.25">
      <c r="A4820" t="s">
        <v>35</v>
      </c>
      <c r="B4820" t="s">
        <v>61</v>
      </c>
      <c r="C4820" t="str">
        <f>"A0184658"</f>
        <v>A0184658</v>
      </c>
      <c r="D4820" t="s">
        <v>19511</v>
      </c>
      <c r="E4820" t="s">
        <v>19512</v>
      </c>
      <c r="F4820" t="s">
        <v>4354</v>
      </c>
      <c r="G4820" t="s">
        <v>103</v>
      </c>
      <c r="H4820" t="s">
        <v>19513</v>
      </c>
      <c r="I4820" t="s">
        <v>30</v>
      </c>
      <c r="J4820" t="s">
        <v>41</v>
      </c>
      <c r="K4820" t="s">
        <v>59</v>
      </c>
      <c r="Q4820">
        <v>0</v>
      </c>
      <c r="R4820">
        <v>170</v>
      </c>
      <c r="S4820">
        <v>170</v>
      </c>
      <c r="T4820" t="s">
        <v>19514</v>
      </c>
    </row>
    <row r="4821" spans="1:20" customFormat="1" ht="15" x14ac:dyDescent="0.25">
      <c r="A4821" t="s">
        <v>35</v>
      </c>
      <c r="B4821" t="s">
        <v>61</v>
      </c>
      <c r="C4821" t="str">
        <f>"A0184657"</f>
        <v>A0184657</v>
      </c>
      <c r="D4821" t="s">
        <v>19515</v>
      </c>
      <c r="E4821" t="s">
        <v>19516</v>
      </c>
      <c r="F4821" t="s">
        <v>19444</v>
      </c>
      <c r="G4821" t="s">
        <v>103</v>
      </c>
      <c r="H4821" t="s">
        <v>19517</v>
      </c>
      <c r="I4821" t="s">
        <v>30</v>
      </c>
      <c r="J4821" t="s">
        <v>41</v>
      </c>
      <c r="K4821" t="s">
        <v>59</v>
      </c>
      <c r="Q4821">
        <v>0</v>
      </c>
      <c r="R4821">
        <v>183</v>
      </c>
      <c r="S4821">
        <v>183</v>
      </c>
      <c r="T4821" t="s">
        <v>19518</v>
      </c>
    </row>
    <row r="4822" spans="1:20" customFormat="1" ht="15" x14ac:dyDescent="0.25">
      <c r="A4822" t="s">
        <v>35</v>
      </c>
      <c r="B4822" t="s">
        <v>61</v>
      </c>
      <c r="C4822" t="str">
        <f>"A0184655"</f>
        <v>A0184655</v>
      </c>
      <c r="D4822" t="s">
        <v>19519</v>
      </c>
      <c r="E4822" t="s">
        <v>19520</v>
      </c>
      <c r="F4822" t="s">
        <v>19521</v>
      </c>
      <c r="G4822" t="s">
        <v>338</v>
      </c>
      <c r="H4822">
        <v>7712</v>
      </c>
      <c r="I4822" t="s">
        <v>30</v>
      </c>
      <c r="J4822" t="s">
        <v>41</v>
      </c>
      <c r="K4822" t="s">
        <v>59</v>
      </c>
      <c r="Q4822">
        <v>0</v>
      </c>
      <c r="R4822">
        <v>0</v>
      </c>
      <c r="S4822">
        <v>0</v>
      </c>
    </row>
    <row r="4823" spans="1:20" customFormat="1" ht="15" x14ac:dyDescent="0.25">
      <c r="A4823" t="s">
        <v>35</v>
      </c>
      <c r="B4823" t="s">
        <v>61</v>
      </c>
      <c r="C4823" t="str">
        <f>"A0184654"</f>
        <v>A0184654</v>
      </c>
      <c r="D4823" t="s">
        <v>19522</v>
      </c>
      <c r="E4823" t="s">
        <v>19523</v>
      </c>
      <c r="F4823" t="s">
        <v>19524</v>
      </c>
      <c r="G4823" t="s">
        <v>338</v>
      </c>
      <c r="H4823">
        <v>7728</v>
      </c>
      <c r="I4823" t="s">
        <v>30</v>
      </c>
      <c r="J4823" t="s">
        <v>41</v>
      </c>
      <c r="K4823" t="s">
        <v>59</v>
      </c>
      <c r="Q4823">
        <v>0</v>
      </c>
      <c r="R4823">
        <v>0</v>
      </c>
      <c r="S4823">
        <v>0</v>
      </c>
      <c r="T4823" t="s">
        <v>19525</v>
      </c>
    </row>
    <row r="4824" spans="1:20" customFormat="1" ht="15" x14ac:dyDescent="0.25">
      <c r="A4824" t="s">
        <v>35</v>
      </c>
      <c r="B4824" t="s">
        <v>11871</v>
      </c>
      <c r="C4824" t="str">
        <f>"A0184653"</f>
        <v>A0184653</v>
      </c>
      <c r="D4824" t="s">
        <v>19526</v>
      </c>
      <c r="E4824" t="s">
        <v>19527</v>
      </c>
      <c r="F4824" t="s">
        <v>19528</v>
      </c>
      <c r="G4824" t="s">
        <v>338</v>
      </c>
      <c r="H4824" t="s">
        <v>19529</v>
      </c>
      <c r="I4824" t="s">
        <v>30</v>
      </c>
      <c r="J4824" t="s">
        <v>41</v>
      </c>
      <c r="K4824" t="s">
        <v>59</v>
      </c>
      <c r="Q4824">
        <v>0</v>
      </c>
      <c r="R4824">
        <v>0</v>
      </c>
      <c r="S4824">
        <v>0</v>
      </c>
      <c r="T4824" t="s">
        <v>19530</v>
      </c>
    </row>
    <row r="4825" spans="1:20" customFormat="1" ht="15" x14ac:dyDescent="0.25">
      <c r="A4825" t="s">
        <v>35</v>
      </c>
      <c r="B4825" t="s">
        <v>61</v>
      </c>
      <c r="C4825" t="str">
        <f>"A0184652"</f>
        <v>A0184652</v>
      </c>
      <c r="D4825" t="s">
        <v>19531</v>
      </c>
      <c r="E4825" t="s">
        <v>19532</v>
      </c>
      <c r="F4825" t="s">
        <v>19189</v>
      </c>
      <c r="G4825" t="s">
        <v>103</v>
      </c>
      <c r="H4825" t="s">
        <v>19533</v>
      </c>
      <c r="I4825" t="s">
        <v>30</v>
      </c>
      <c r="J4825" t="s">
        <v>41</v>
      </c>
      <c r="K4825" t="s">
        <v>59</v>
      </c>
      <c r="Q4825">
        <v>0</v>
      </c>
      <c r="R4825">
        <v>73</v>
      </c>
      <c r="S4825">
        <v>73</v>
      </c>
      <c r="T4825" t="s">
        <v>19534</v>
      </c>
    </row>
    <row r="4826" spans="1:20" customFormat="1" ht="15" x14ac:dyDescent="0.25">
      <c r="A4826" t="s">
        <v>35</v>
      </c>
      <c r="B4826" t="s">
        <v>61</v>
      </c>
      <c r="C4826" t="str">
        <f>"A0184651"</f>
        <v>A0184651</v>
      </c>
      <c r="D4826" t="s">
        <v>19535</v>
      </c>
      <c r="E4826" t="s">
        <v>17864</v>
      </c>
      <c r="F4826" t="s">
        <v>17865</v>
      </c>
      <c r="G4826" t="s">
        <v>103</v>
      </c>
      <c r="H4826">
        <v>17584</v>
      </c>
      <c r="I4826" t="s">
        <v>30</v>
      </c>
      <c r="J4826" t="s">
        <v>41</v>
      </c>
      <c r="K4826" t="s">
        <v>59</v>
      </c>
      <c r="Q4826">
        <v>0</v>
      </c>
      <c r="R4826">
        <v>112</v>
      </c>
      <c r="S4826">
        <v>112</v>
      </c>
      <c r="T4826" t="s">
        <v>17867</v>
      </c>
    </row>
    <row r="4827" spans="1:20" customFormat="1" ht="15" x14ac:dyDescent="0.25">
      <c r="A4827" t="s">
        <v>35</v>
      </c>
      <c r="B4827" t="s">
        <v>61</v>
      </c>
      <c r="C4827" t="str">
        <f>"A0184650"</f>
        <v>A0184650</v>
      </c>
      <c r="D4827" t="s">
        <v>19536</v>
      </c>
      <c r="E4827" t="s">
        <v>19537</v>
      </c>
      <c r="F4827" t="s">
        <v>2990</v>
      </c>
      <c r="G4827" t="s">
        <v>103</v>
      </c>
      <c r="H4827" t="s">
        <v>19538</v>
      </c>
      <c r="I4827" t="s">
        <v>30</v>
      </c>
      <c r="J4827" t="s">
        <v>41</v>
      </c>
      <c r="K4827" t="s">
        <v>59</v>
      </c>
      <c r="Q4827">
        <v>0</v>
      </c>
      <c r="R4827">
        <v>95</v>
      </c>
      <c r="S4827">
        <v>95</v>
      </c>
      <c r="T4827" t="s">
        <v>19539</v>
      </c>
    </row>
    <row r="4828" spans="1:20" customFormat="1" ht="15" x14ac:dyDescent="0.25">
      <c r="A4828" t="s">
        <v>35</v>
      </c>
      <c r="B4828" t="s">
        <v>61</v>
      </c>
      <c r="C4828" t="str">
        <f>"A0184649"</f>
        <v>A0184649</v>
      </c>
      <c r="D4828" t="s">
        <v>19540</v>
      </c>
      <c r="E4828" t="s">
        <v>19541</v>
      </c>
      <c r="F4828" t="s">
        <v>4629</v>
      </c>
      <c r="G4828" t="s">
        <v>103</v>
      </c>
      <c r="H4828" t="s">
        <v>19542</v>
      </c>
      <c r="I4828" t="s">
        <v>30</v>
      </c>
      <c r="J4828" t="s">
        <v>41</v>
      </c>
      <c r="K4828" t="s">
        <v>59</v>
      </c>
      <c r="Q4828">
        <v>0</v>
      </c>
      <c r="R4828">
        <v>0</v>
      </c>
      <c r="S4828">
        <v>0</v>
      </c>
      <c r="T4828" t="s">
        <v>19543</v>
      </c>
    </row>
    <row r="4829" spans="1:20" customFormat="1" ht="15" x14ac:dyDescent="0.25">
      <c r="A4829" t="s">
        <v>35</v>
      </c>
      <c r="B4829" t="s">
        <v>61</v>
      </c>
      <c r="C4829" t="str">
        <f>"A0184648"</f>
        <v>A0184648</v>
      </c>
      <c r="D4829" t="s">
        <v>19544</v>
      </c>
      <c r="E4829" t="s">
        <v>19340</v>
      </c>
      <c r="F4829" t="s">
        <v>16389</v>
      </c>
      <c r="G4829" t="s">
        <v>103</v>
      </c>
      <c r="H4829" t="s">
        <v>19341</v>
      </c>
      <c r="I4829" t="s">
        <v>30</v>
      </c>
      <c r="J4829" t="s">
        <v>41</v>
      </c>
      <c r="K4829" t="s">
        <v>59</v>
      </c>
      <c r="Q4829">
        <v>0</v>
      </c>
      <c r="R4829">
        <v>0</v>
      </c>
      <c r="S4829">
        <v>0</v>
      </c>
      <c r="T4829" t="s">
        <v>19342</v>
      </c>
    </row>
    <row r="4830" spans="1:20" customFormat="1" ht="15" x14ac:dyDescent="0.25">
      <c r="A4830" t="s">
        <v>35</v>
      </c>
      <c r="B4830" t="s">
        <v>61</v>
      </c>
      <c r="C4830" t="str">
        <f>"A0184647"</f>
        <v>A0184647</v>
      </c>
      <c r="D4830" t="s">
        <v>19545</v>
      </c>
      <c r="E4830" t="s">
        <v>19546</v>
      </c>
      <c r="F4830" t="s">
        <v>5208</v>
      </c>
      <c r="G4830" t="s">
        <v>103</v>
      </c>
      <c r="H4830" t="s">
        <v>19547</v>
      </c>
      <c r="I4830" t="s">
        <v>30</v>
      </c>
      <c r="J4830" t="s">
        <v>41</v>
      </c>
      <c r="K4830" t="s">
        <v>59</v>
      </c>
      <c r="Q4830">
        <v>0</v>
      </c>
      <c r="R4830">
        <v>101</v>
      </c>
      <c r="S4830">
        <v>101</v>
      </c>
      <c r="T4830" t="s">
        <v>19548</v>
      </c>
    </row>
    <row r="4831" spans="1:20" customFormat="1" ht="15" x14ac:dyDescent="0.25">
      <c r="A4831" t="s">
        <v>35</v>
      </c>
      <c r="B4831" t="s">
        <v>61</v>
      </c>
      <c r="C4831" t="str">
        <f>"A0184646"</f>
        <v>A0184646</v>
      </c>
      <c r="D4831" t="s">
        <v>19549</v>
      </c>
      <c r="E4831" t="s">
        <v>19550</v>
      </c>
      <c r="F4831" t="s">
        <v>19551</v>
      </c>
      <c r="G4831" t="s">
        <v>103</v>
      </c>
      <c r="H4831" t="s">
        <v>19552</v>
      </c>
      <c r="I4831" t="s">
        <v>30</v>
      </c>
      <c r="J4831" t="s">
        <v>41</v>
      </c>
      <c r="K4831" t="s">
        <v>59</v>
      </c>
      <c r="Q4831">
        <v>0</v>
      </c>
      <c r="R4831">
        <v>107</v>
      </c>
      <c r="S4831">
        <v>107</v>
      </c>
      <c r="T4831" t="s">
        <v>19553</v>
      </c>
    </row>
    <row r="4832" spans="1:20" customFormat="1" ht="15" x14ac:dyDescent="0.25">
      <c r="A4832" t="s">
        <v>35</v>
      </c>
      <c r="B4832" t="s">
        <v>61</v>
      </c>
      <c r="C4832" t="str">
        <f>"A0184645"</f>
        <v>A0184645</v>
      </c>
      <c r="D4832" t="s">
        <v>19554</v>
      </c>
      <c r="E4832" t="s">
        <v>19555</v>
      </c>
      <c r="F4832" t="s">
        <v>16389</v>
      </c>
      <c r="G4832" t="s">
        <v>103</v>
      </c>
      <c r="H4832" t="s">
        <v>19556</v>
      </c>
      <c r="I4832" t="s">
        <v>30</v>
      </c>
      <c r="J4832" t="s">
        <v>41</v>
      </c>
      <c r="K4832" t="s">
        <v>59</v>
      </c>
      <c r="Q4832">
        <v>0</v>
      </c>
      <c r="R4832">
        <v>100</v>
      </c>
      <c r="S4832">
        <v>100</v>
      </c>
      <c r="T4832" t="s">
        <v>19557</v>
      </c>
    </row>
    <row r="4833" spans="1:20" customFormat="1" ht="15" x14ac:dyDescent="0.25">
      <c r="A4833" t="s">
        <v>35</v>
      </c>
      <c r="B4833" t="s">
        <v>61</v>
      </c>
      <c r="C4833" t="str">
        <f>"A0184644"</f>
        <v>A0184644</v>
      </c>
      <c r="D4833" t="s">
        <v>19558</v>
      </c>
      <c r="E4833" t="s">
        <v>19559</v>
      </c>
      <c r="F4833" t="s">
        <v>18109</v>
      </c>
      <c r="G4833" t="s">
        <v>103</v>
      </c>
      <c r="H4833" t="s">
        <v>19560</v>
      </c>
      <c r="I4833" t="s">
        <v>30</v>
      </c>
      <c r="J4833" t="s">
        <v>41</v>
      </c>
      <c r="K4833" t="s">
        <v>59</v>
      </c>
      <c r="Q4833">
        <v>0</v>
      </c>
      <c r="R4833">
        <v>0</v>
      </c>
      <c r="S4833">
        <v>0</v>
      </c>
      <c r="T4833" t="s">
        <v>19561</v>
      </c>
    </row>
    <row r="4834" spans="1:20" customFormat="1" ht="15" x14ac:dyDescent="0.25">
      <c r="A4834" t="s">
        <v>35</v>
      </c>
      <c r="B4834" t="s">
        <v>61</v>
      </c>
      <c r="C4834" t="str">
        <f>"A0184643"</f>
        <v>A0184643</v>
      </c>
      <c r="D4834" t="s">
        <v>19562</v>
      </c>
      <c r="E4834" t="s">
        <v>19563</v>
      </c>
      <c r="F4834" t="s">
        <v>15431</v>
      </c>
      <c r="G4834" t="s">
        <v>103</v>
      </c>
      <c r="H4834" t="s">
        <v>19564</v>
      </c>
      <c r="I4834" t="s">
        <v>30</v>
      </c>
      <c r="J4834" t="s">
        <v>41</v>
      </c>
      <c r="K4834" t="s">
        <v>59</v>
      </c>
      <c r="Q4834">
        <v>0</v>
      </c>
      <c r="R4834">
        <v>0</v>
      </c>
      <c r="S4834">
        <v>0</v>
      </c>
    </row>
    <row r="4835" spans="1:20" customFormat="1" ht="15" x14ac:dyDescent="0.25">
      <c r="A4835" t="s">
        <v>35</v>
      </c>
      <c r="B4835" t="s">
        <v>61</v>
      </c>
      <c r="C4835" t="str">
        <f>"A0184642"</f>
        <v>A0184642</v>
      </c>
      <c r="D4835" t="s">
        <v>19565</v>
      </c>
      <c r="E4835" t="s">
        <v>19566</v>
      </c>
      <c r="F4835" t="s">
        <v>4629</v>
      </c>
      <c r="G4835" t="s">
        <v>103</v>
      </c>
      <c r="H4835" t="s">
        <v>19567</v>
      </c>
      <c r="I4835" t="s">
        <v>30</v>
      </c>
      <c r="J4835" t="s">
        <v>41</v>
      </c>
      <c r="K4835" t="s">
        <v>59</v>
      </c>
      <c r="Q4835">
        <v>0</v>
      </c>
      <c r="R4835">
        <v>0</v>
      </c>
      <c r="S4835">
        <v>0</v>
      </c>
    </row>
    <row r="4836" spans="1:20" customFormat="1" ht="15" x14ac:dyDescent="0.25">
      <c r="A4836" t="s">
        <v>35</v>
      </c>
      <c r="B4836" t="s">
        <v>61</v>
      </c>
      <c r="C4836" t="str">
        <f>"A0184641"</f>
        <v>A0184641</v>
      </c>
      <c r="D4836" t="s">
        <v>19192</v>
      </c>
      <c r="E4836" t="s">
        <v>18729</v>
      </c>
      <c r="F4836" t="s">
        <v>3009</v>
      </c>
      <c r="G4836" t="s">
        <v>103</v>
      </c>
      <c r="H4836">
        <v>17602</v>
      </c>
      <c r="I4836" t="s">
        <v>30</v>
      </c>
      <c r="J4836" t="s">
        <v>41</v>
      </c>
      <c r="K4836" t="s">
        <v>59</v>
      </c>
      <c r="Q4836">
        <v>0</v>
      </c>
      <c r="R4836">
        <v>0</v>
      </c>
      <c r="S4836">
        <v>0</v>
      </c>
    </row>
    <row r="4837" spans="1:20" customFormat="1" ht="15" x14ac:dyDescent="0.25">
      <c r="A4837" t="s">
        <v>35</v>
      </c>
      <c r="B4837" t="s">
        <v>61</v>
      </c>
      <c r="C4837" t="str">
        <f>"A0184640"</f>
        <v>A0184640</v>
      </c>
      <c r="D4837" t="s">
        <v>19568</v>
      </c>
      <c r="E4837" t="s">
        <v>19569</v>
      </c>
      <c r="F4837" t="s">
        <v>4629</v>
      </c>
      <c r="G4837" t="s">
        <v>103</v>
      </c>
      <c r="H4837">
        <v>19141</v>
      </c>
      <c r="I4837" t="s">
        <v>30</v>
      </c>
      <c r="J4837" t="s">
        <v>41</v>
      </c>
      <c r="K4837" t="s">
        <v>59</v>
      </c>
      <c r="Q4837">
        <v>0</v>
      </c>
      <c r="R4837">
        <v>102</v>
      </c>
      <c r="S4837">
        <v>102</v>
      </c>
      <c r="T4837" t="s">
        <v>19570</v>
      </c>
    </row>
    <row r="4838" spans="1:20" customFormat="1" ht="15" x14ac:dyDescent="0.25">
      <c r="A4838" t="s">
        <v>35</v>
      </c>
      <c r="B4838" t="s">
        <v>5037</v>
      </c>
      <c r="C4838" t="str">
        <f>"A0184638"</f>
        <v>A0184638</v>
      </c>
      <c r="D4838" t="s">
        <v>19571</v>
      </c>
      <c r="E4838" t="s">
        <v>19572</v>
      </c>
      <c r="F4838" t="s">
        <v>7645</v>
      </c>
      <c r="G4838" t="s">
        <v>846</v>
      </c>
      <c r="H4838" t="s">
        <v>19573</v>
      </c>
      <c r="I4838" t="s">
        <v>30</v>
      </c>
      <c r="J4838" t="s">
        <v>41</v>
      </c>
      <c r="K4838" t="s">
        <v>59</v>
      </c>
      <c r="Q4838">
        <v>0</v>
      </c>
      <c r="R4838">
        <v>0</v>
      </c>
      <c r="S4838">
        <v>0</v>
      </c>
      <c r="T4838" t="s">
        <v>19574</v>
      </c>
    </row>
    <row r="4839" spans="1:20" customFormat="1" ht="15" x14ac:dyDescent="0.25">
      <c r="A4839" t="s">
        <v>35</v>
      </c>
      <c r="B4839" t="s">
        <v>61</v>
      </c>
      <c r="C4839" t="str">
        <f>"A0184637"</f>
        <v>A0184637</v>
      </c>
      <c r="D4839" t="s">
        <v>19575</v>
      </c>
      <c r="E4839" t="s">
        <v>19576</v>
      </c>
      <c r="F4839" t="s">
        <v>19577</v>
      </c>
      <c r="G4839" t="s">
        <v>103</v>
      </c>
      <c r="H4839" t="s">
        <v>19578</v>
      </c>
      <c r="I4839" t="s">
        <v>30</v>
      </c>
      <c r="J4839" t="s">
        <v>41</v>
      </c>
      <c r="K4839" t="s">
        <v>59</v>
      </c>
      <c r="Q4839">
        <v>0</v>
      </c>
      <c r="R4839">
        <v>60</v>
      </c>
      <c r="S4839">
        <v>60</v>
      </c>
      <c r="T4839" t="s">
        <v>19579</v>
      </c>
    </row>
    <row r="4840" spans="1:20" customFormat="1" ht="15" x14ac:dyDescent="0.25">
      <c r="A4840" t="s">
        <v>35</v>
      </c>
      <c r="B4840" t="s">
        <v>61</v>
      </c>
      <c r="C4840" t="str">
        <f>"A0184636"</f>
        <v>A0184636</v>
      </c>
      <c r="D4840" t="s">
        <v>19580</v>
      </c>
      <c r="E4840" t="s">
        <v>19581</v>
      </c>
      <c r="F4840" t="s">
        <v>19582</v>
      </c>
      <c r="G4840" t="s">
        <v>103</v>
      </c>
      <c r="H4840" t="s">
        <v>19583</v>
      </c>
      <c r="I4840" t="s">
        <v>30</v>
      </c>
      <c r="J4840" t="s">
        <v>41</v>
      </c>
      <c r="K4840" t="s">
        <v>59</v>
      </c>
      <c r="Q4840">
        <v>0</v>
      </c>
      <c r="R4840">
        <v>40</v>
      </c>
      <c r="S4840">
        <v>40</v>
      </c>
      <c r="T4840" t="s">
        <v>19584</v>
      </c>
    </row>
    <row r="4841" spans="1:20" customFormat="1" ht="15" x14ac:dyDescent="0.25">
      <c r="A4841" t="s">
        <v>35</v>
      </c>
      <c r="B4841" t="s">
        <v>61</v>
      </c>
      <c r="C4841" t="str">
        <f>"A0184635"</f>
        <v>A0184635</v>
      </c>
      <c r="D4841" t="s">
        <v>19585</v>
      </c>
      <c r="E4841" t="s">
        <v>19586</v>
      </c>
      <c r="F4841" t="s">
        <v>19587</v>
      </c>
      <c r="G4841" t="s">
        <v>103</v>
      </c>
      <c r="H4841">
        <v>17016</v>
      </c>
      <c r="I4841" t="s">
        <v>30</v>
      </c>
      <c r="J4841" t="s">
        <v>41</v>
      </c>
      <c r="K4841" t="s">
        <v>59</v>
      </c>
      <c r="Q4841">
        <v>0</v>
      </c>
      <c r="R4841">
        <v>130</v>
      </c>
      <c r="S4841">
        <v>130</v>
      </c>
      <c r="T4841" t="s">
        <v>19588</v>
      </c>
    </row>
    <row r="4842" spans="1:20" customFormat="1" ht="15" x14ac:dyDescent="0.25">
      <c r="A4842" t="s">
        <v>35</v>
      </c>
      <c r="B4842" t="s">
        <v>61</v>
      </c>
      <c r="C4842" t="str">
        <f>"A0184634"</f>
        <v>A0184634</v>
      </c>
      <c r="D4842" t="s">
        <v>19589</v>
      </c>
      <c r="E4842" t="s">
        <v>19590</v>
      </c>
      <c r="F4842" t="s">
        <v>4674</v>
      </c>
      <c r="G4842" t="s">
        <v>103</v>
      </c>
      <c r="H4842" t="s">
        <v>19591</v>
      </c>
      <c r="I4842" t="s">
        <v>30</v>
      </c>
      <c r="J4842" t="s">
        <v>41</v>
      </c>
      <c r="K4842" t="s">
        <v>59</v>
      </c>
      <c r="Q4842">
        <v>0</v>
      </c>
      <c r="R4842">
        <v>0</v>
      </c>
      <c r="S4842">
        <v>0</v>
      </c>
    </row>
    <row r="4843" spans="1:20" customFormat="1" ht="15" x14ac:dyDescent="0.25">
      <c r="A4843" t="s">
        <v>35</v>
      </c>
      <c r="B4843" t="s">
        <v>11871</v>
      </c>
      <c r="C4843" t="str">
        <f>"A0184633"</f>
        <v>A0184633</v>
      </c>
      <c r="D4843" t="s">
        <v>19592</v>
      </c>
      <c r="E4843" t="s">
        <v>19593</v>
      </c>
      <c r="F4843" t="s">
        <v>19594</v>
      </c>
      <c r="G4843" t="s">
        <v>846</v>
      </c>
      <c r="H4843" t="s">
        <v>19595</v>
      </c>
      <c r="I4843" t="s">
        <v>30</v>
      </c>
      <c r="J4843" t="s">
        <v>41</v>
      </c>
      <c r="K4843" t="s">
        <v>59</v>
      </c>
      <c r="Q4843">
        <v>0</v>
      </c>
      <c r="R4843">
        <v>0</v>
      </c>
      <c r="S4843">
        <v>0</v>
      </c>
      <c r="T4843" t="s">
        <v>19596</v>
      </c>
    </row>
    <row r="4844" spans="1:20" customFormat="1" ht="15" x14ac:dyDescent="0.25">
      <c r="A4844" t="s">
        <v>35</v>
      </c>
      <c r="B4844" t="s">
        <v>12534</v>
      </c>
      <c r="C4844" t="str">
        <f>"A0184632"</f>
        <v>A0184632</v>
      </c>
      <c r="D4844" t="s">
        <v>19597</v>
      </c>
      <c r="E4844" t="s">
        <v>19598</v>
      </c>
      <c r="F4844" t="s">
        <v>64</v>
      </c>
      <c r="G4844" t="s">
        <v>846</v>
      </c>
      <c r="H4844">
        <v>31904</v>
      </c>
      <c r="I4844" t="s">
        <v>30</v>
      </c>
      <c r="J4844" t="s">
        <v>41</v>
      </c>
      <c r="K4844" t="s">
        <v>59</v>
      </c>
      <c r="Q4844">
        <v>0</v>
      </c>
      <c r="R4844">
        <v>0</v>
      </c>
      <c r="S4844">
        <v>0</v>
      </c>
      <c r="T4844" t="s">
        <v>19599</v>
      </c>
    </row>
    <row r="4845" spans="1:20" customFormat="1" ht="15" x14ac:dyDescent="0.25">
      <c r="A4845" t="s">
        <v>35</v>
      </c>
      <c r="B4845" t="s">
        <v>61</v>
      </c>
      <c r="C4845" t="str">
        <f>"A0184631"</f>
        <v>A0184631</v>
      </c>
      <c r="D4845" t="s">
        <v>19600</v>
      </c>
      <c r="E4845" t="s">
        <v>19601</v>
      </c>
      <c r="F4845" t="s">
        <v>12497</v>
      </c>
      <c r="G4845" t="s">
        <v>71</v>
      </c>
      <c r="H4845" t="s">
        <v>19602</v>
      </c>
      <c r="I4845" t="s">
        <v>30</v>
      </c>
      <c r="J4845" t="s">
        <v>41</v>
      </c>
      <c r="K4845" t="s">
        <v>59</v>
      </c>
      <c r="Q4845">
        <v>0</v>
      </c>
      <c r="R4845">
        <v>0</v>
      </c>
      <c r="S4845">
        <v>0</v>
      </c>
      <c r="T4845" t="s">
        <v>19603</v>
      </c>
    </row>
    <row r="4846" spans="1:20" customFormat="1" ht="15" x14ac:dyDescent="0.25">
      <c r="A4846" t="s">
        <v>35</v>
      </c>
      <c r="B4846" t="s">
        <v>61</v>
      </c>
      <c r="C4846" t="str">
        <f>"A0184630"</f>
        <v>A0184630</v>
      </c>
      <c r="D4846" t="s">
        <v>19604</v>
      </c>
      <c r="E4846" t="s">
        <v>19605</v>
      </c>
      <c r="F4846" t="s">
        <v>3740</v>
      </c>
      <c r="G4846" t="s">
        <v>71</v>
      </c>
      <c r="H4846">
        <v>54751</v>
      </c>
      <c r="I4846" t="s">
        <v>30</v>
      </c>
      <c r="J4846" t="s">
        <v>41</v>
      </c>
      <c r="K4846" t="s">
        <v>59</v>
      </c>
      <c r="Q4846">
        <v>0</v>
      </c>
      <c r="R4846">
        <v>137</v>
      </c>
      <c r="S4846">
        <v>137</v>
      </c>
      <c r="T4846" t="s">
        <v>19606</v>
      </c>
    </row>
    <row r="4847" spans="1:20" customFormat="1" ht="15" x14ac:dyDescent="0.25">
      <c r="A4847" t="s">
        <v>35</v>
      </c>
      <c r="B4847" t="s">
        <v>61</v>
      </c>
      <c r="C4847" t="str">
        <f>"A0184629"</f>
        <v>A0184629</v>
      </c>
      <c r="D4847" t="s">
        <v>19607</v>
      </c>
      <c r="E4847" t="s">
        <v>19608</v>
      </c>
      <c r="F4847" t="s">
        <v>12497</v>
      </c>
      <c r="G4847" t="s">
        <v>71</v>
      </c>
      <c r="H4847" t="s">
        <v>19609</v>
      </c>
      <c r="I4847" t="s">
        <v>30</v>
      </c>
      <c r="J4847" t="s">
        <v>41</v>
      </c>
      <c r="K4847" t="s">
        <v>59</v>
      </c>
      <c r="Q4847">
        <v>0</v>
      </c>
      <c r="R4847">
        <v>0</v>
      </c>
      <c r="S4847">
        <v>0</v>
      </c>
    </row>
    <row r="4848" spans="1:20" customFormat="1" ht="15" x14ac:dyDescent="0.25">
      <c r="A4848" t="s">
        <v>35</v>
      </c>
      <c r="B4848" t="s">
        <v>61</v>
      </c>
      <c r="C4848" t="str">
        <f>"A0184628"</f>
        <v>A0184628</v>
      </c>
      <c r="D4848" t="s">
        <v>19610</v>
      </c>
      <c r="E4848" t="s">
        <v>19611</v>
      </c>
      <c r="F4848" t="s">
        <v>16062</v>
      </c>
      <c r="G4848" t="s">
        <v>71</v>
      </c>
      <c r="H4848" t="s">
        <v>19612</v>
      </c>
      <c r="I4848" t="s">
        <v>30</v>
      </c>
      <c r="J4848" t="s">
        <v>41</v>
      </c>
      <c r="K4848" t="s">
        <v>59</v>
      </c>
      <c r="Q4848">
        <v>0</v>
      </c>
      <c r="R4848">
        <v>93</v>
      </c>
      <c r="S4848">
        <v>93</v>
      </c>
      <c r="T4848" t="s">
        <v>19613</v>
      </c>
    </row>
    <row r="4849" spans="1:20" customFormat="1" ht="15" x14ac:dyDescent="0.25">
      <c r="A4849" t="s">
        <v>35</v>
      </c>
      <c r="B4849" t="s">
        <v>15885</v>
      </c>
      <c r="C4849" t="str">
        <f>"A0184627"</f>
        <v>A0184627</v>
      </c>
      <c r="D4849" t="s">
        <v>19614</v>
      </c>
      <c r="E4849" t="s">
        <v>19615</v>
      </c>
      <c r="F4849" t="s">
        <v>4629</v>
      </c>
      <c r="G4849" t="s">
        <v>103</v>
      </c>
      <c r="H4849">
        <v>191192114</v>
      </c>
      <c r="I4849" t="s">
        <v>30</v>
      </c>
      <c r="J4849" t="s">
        <v>41</v>
      </c>
      <c r="K4849" t="s">
        <v>59</v>
      </c>
      <c r="Q4849">
        <v>0</v>
      </c>
      <c r="R4849">
        <v>0</v>
      </c>
      <c r="S4849">
        <v>0</v>
      </c>
    </row>
    <row r="4850" spans="1:20" customFormat="1" ht="15" x14ac:dyDescent="0.25">
      <c r="A4850" t="s">
        <v>35</v>
      </c>
      <c r="B4850" t="s">
        <v>61</v>
      </c>
      <c r="C4850" t="str">
        <f>"A0184626"</f>
        <v>A0184626</v>
      </c>
      <c r="D4850" t="s">
        <v>19616</v>
      </c>
      <c r="E4850" t="s">
        <v>19617</v>
      </c>
      <c r="F4850" t="s">
        <v>4629</v>
      </c>
      <c r="G4850" t="s">
        <v>103</v>
      </c>
      <c r="H4850" t="s">
        <v>19618</v>
      </c>
      <c r="I4850" t="s">
        <v>30</v>
      </c>
      <c r="J4850" t="s">
        <v>41</v>
      </c>
      <c r="K4850" t="s">
        <v>59</v>
      </c>
      <c r="Q4850">
        <v>0</v>
      </c>
      <c r="R4850">
        <v>0</v>
      </c>
      <c r="S4850">
        <v>0</v>
      </c>
      <c r="T4850" t="s">
        <v>19619</v>
      </c>
    </row>
    <row r="4851" spans="1:20" customFormat="1" ht="15" x14ac:dyDescent="0.25">
      <c r="A4851" t="s">
        <v>35</v>
      </c>
      <c r="B4851" t="s">
        <v>12201</v>
      </c>
      <c r="C4851" t="str">
        <f>"A0184625"</f>
        <v>A0184625</v>
      </c>
      <c r="D4851" t="s">
        <v>19620</v>
      </c>
      <c r="E4851" t="s">
        <v>19621</v>
      </c>
      <c r="F4851" t="s">
        <v>4629</v>
      </c>
      <c r="G4851" t="s">
        <v>103</v>
      </c>
      <c r="H4851">
        <v>19134</v>
      </c>
      <c r="I4851" t="s">
        <v>30</v>
      </c>
      <c r="J4851" t="s">
        <v>41</v>
      </c>
      <c r="K4851" t="s">
        <v>59</v>
      </c>
      <c r="Q4851">
        <v>0</v>
      </c>
      <c r="R4851">
        <v>61</v>
      </c>
      <c r="S4851">
        <v>61</v>
      </c>
    </row>
    <row r="4852" spans="1:20" customFormat="1" ht="15" x14ac:dyDescent="0.25">
      <c r="A4852" t="s">
        <v>35</v>
      </c>
      <c r="B4852" t="s">
        <v>12201</v>
      </c>
      <c r="C4852" t="str">
        <f>"A0184624"</f>
        <v>A0184624</v>
      </c>
      <c r="D4852" t="s">
        <v>19622</v>
      </c>
      <c r="E4852" t="s">
        <v>19623</v>
      </c>
      <c r="F4852" t="s">
        <v>19624</v>
      </c>
      <c r="G4852" t="s">
        <v>103</v>
      </c>
      <c r="H4852">
        <v>190204500</v>
      </c>
      <c r="I4852" t="s">
        <v>30</v>
      </c>
      <c r="J4852" t="s">
        <v>41</v>
      </c>
      <c r="K4852" t="s">
        <v>59</v>
      </c>
      <c r="Q4852">
        <v>0</v>
      </c>
      <c r="R4852">
        <v>0</v>
      </c>
      <c r="S4852">
        <v>0</v>
      </c>
      <c r="T4852" t="s">
        <v>19625</v>
      </c>
    </row>
    <row r="4853" spans="1:20" customFormat="1" ht="15" x14ac:dyDescent="0.25">
      <c r="A4853" t="s">
        <v>35</v>
      </c>
      <c r="B4853" t="s">
        <v>12201</v>
      </c>
      <c r="C4853" t="str">
        <f>"A0184623"</f>
        <v>A0184623</v>
      </c>
      <c r="D4853" t="s">
        <v>19626</v>
      </c>
      <c r="E4853" t="s">
        <v>19627</v>
      </c>
      <c r="F4853" t="s">
        <v>4629</v>
      </c>
      <c r="G4853" t="s">
        <v>103</v>
      </c>
      <c r="H4853">
        <v>191435945</v>
      </c>
      <c r="I4853" t="s">
        <v>30</v>
      </c>
      <c r="J4853" t="s">
        <v>41</v>
      </c>
      <c r="K4853" t="s">
        <v>59</v>
      </c>
      <c r="Q4853">
        <v>0</v>
      </c>
      <c r="R4853">
        <v>0</v>
      </c>
      <c r="S4853">
        <v>0</v>
      </c>
      <c r="T4853" t="s">
        <v>19628</v>
      </c>
    </row>
    <row r="4854" spans="1:20" customFormat="1" ht="15" x14ac:dyDescent="0.25">
      <c r="A4854" t="s">
        <v>35</v>
      </c>
      <c r="B4854" t="s">
        <v>61</v>
      </c>
      <c r="C4854" t="str">
        <f>"A0184622"</f>
        <v>A0184622</v>
      </c>
      <c r="D4854" t="s">
        <v>19629</v>
      </c>
      <c r="E4854" t="s">
        <v>19630</v>
      </c>
      <c r="F4854" t="s">
        <v>11035</v>
      </c>
      <c r="G4854" t="s">
        <v>71</v>
      </c>
      <c r="H4854" t="s">
        <v>19631</v>
      </c>
      <c r="I4854" t="s">
        <v>30</v>
      </c>
      <c r="J4854" t="s">
        <v>41</v>
      </c>
      <c r="K4854" t="s">
        <v>59</v>
      </c>
      <c r="Q4854">
        <v>0</v>
      </c>
      <c r="R4854">
        <v>0</v>
      </c>
      <c r="S4854">
        <v>0</v>
      </c>
    </row>
    <row r="4855" spans="1:20" customFormat="1" ht="15" x14ac:dyDescent="0.25">
      <c r="A4855" t="s">
        <v>35</v>
      </c>
      <c r="B4855" t="s">
        <v>61</v>
      </c>
      <c r="C4855" t="str">
        <f>"A0184621"</f>
        <v>A0184621</v>
      </c>
      <c r="D4855" t="s">
        <v>19632</v>
      </c>
      <c r="E4855" t="s">
        <v>19633</v>
      </c>
      <c r="F4855" t="s">
        <v>11795</v>
      </c>
      <c r="G4855" t="s">
        <v>71</v>
      </c>
      <c r="H4855" t="s">
        <v>19634</v>
      </c>
      <c r="I4855" t="s">
        <v>30</v>
      </c>
      <c r="J4855" t="s">
        <v>41</v>
      </c>
      <c r="K4855" t="s">
        <v>59</v>
      </c>
      <c r="Q4855">
        <v>0</v>
      </c>
      <c r="R4855">
        <v>207</v>
      </c>
      <c r="S4855">
        <v>207</v>
      </c>
      <c r="T4855" t="s">
        <v>19635</v>
      </c>
    </row>
    <row r="4856" spans="1:20" customFormat="1" ht="15" x14ac:dyDescent="0.25">
      <c r="A4856" t="s">
        <v>35</v>
      </c>
      <c r="B4856" t="s">
        <v>61</v>
      </c>
      <c r="C4856" t="str">
        <f>"A0184620"</f>
        <v>A0184620</v>
      </c>
      <c r="D4856" t="s">
        <v>19636</v>
      </c>
      <c r="E4856" t="s">
        <v>19637</v>
      </c>
      <c r="F4856" t="s">
        <v>12497</v>
      </c>
      <c r="G4856" t="s">
        <v>71</v>
      </c>
      <c r="H4856" t="s">
        <v>19638</v>
      </c>
      <c r="I4856" t="s">
        <v>30</v>
      </c>
      <c r="J4856" t="s">
        <v>41</v>
      </c>
      <c r="K4856" t="s">
        <v>59</v>
      </c>
      <c r="Q4856">
        <v>0</v>
      </c>
      <c r="R4856">
        <v>102</v>
      </c>
      <c r="S4856">
        <v>102</v>
      </c>
      <c r="T4856" t="s">
        <v>19639</v>
      </c>
    </row>
    <row r="4857" spans="1:20" customFormat="1" ht="15" x14ac:dyDescent="0.25">
      <c r="A4857" t="s">
        <v>35</v>
      </c>
      <c r="B4857" t="s">
        <v>61</v>
      </c>
      <c r="C4857" t="str">
        <f>"A0184619"</f>
        <v>A0184619</v>
      </c>
      <c r="D4857" t="s">
        <v>19640</v>
      </c>
      <c r="E4857" t="s">
        <v>19641</v>
      </c>
      <c r="F4857" t="s">
        <v>19642</v>
      </c>
      <c r="G4857" t="s">
        <v>71</v>
      </c>
      <c r="H4857" t="s">
        <v>19643</v>
      </c>
      <c r="I4857" t="s">
        <v>30</v>
      </c>
      <c r="J4857" t="s">
        <v>41</v>
      </c>
      <c r="K4857" t="s">
        <v>59</v>
      </c>
      <c r="Q4857">
        <v>0</v>
      </c>
      <c r="R4857">
        <v>0</v>
      </c>
      <c r="S4857">
        <v>0</v>
      </c>
      <c r="T4857" t="s">
        <v>19644</v>
      </c>
    </row>
    <row r="4858" spans="1:20" customFormat="1" ht="15" x14ac:dyDescent="0.25">
      <c r="A4858" t="s">
        <v>35</v>
      </c>
      <c r="B4858" t="s">
        <v>61</v>
      </c>
      <c r="C4858" t="str">
        <f>"A0184618"</f>
        <v>A0184618</v>
      </c>
      <c r="D4858" t="s">
        <v>19645</v>
      </c>
      <c r="E4858" t="s">
        <v>19646</v>
      </c>
      <c r="F4858" t="s">
        <v>19642</v>
      </c>
      <c r="G4858" t="s">
        <v>71</v>
      </c>
      <c r="H4858" t="s">
        <v>19647</v>
      </c>
      <c r="I4858" t="s">
        <v>30</v>
      </c>
      <c r="J4858" t="s">
        <v>41</v>
      </c>
      <c r="K4858" t="s">
        <v>59</v>
      </c>
      <c r="Q4858">
        <v>0</v>
      </c>
      <c r="R4858">
        <v>0</v>
      </c>
      <c r="S4858">
        <v>0</v>
      </c>
      <c r="T4858" t="s">
        <v>19648</v>
      </c>
    </row>
    <row r="4859" spans="1:20" customFormat="1" ht="15" x14ac:dyDescent="0.25">
      <c r="A4859" t="s">
        <v>35</v>
      </c>
      <c r="B4859" t="s">
        <v>61</v>
      </c>
      <c r="C4859" t="str">
        <f>"A0184617"</f>
        <v>A0184617</v>
      </c>
      <c r="D4859" t="s">
        <v>19649</v>
      </c>
      <c r="E4859" t="s">
        <v>19650</v>
      </c>
      <c r="F4859" t="s">
        <v>4082</v>
      </c>
      <c r="G4859" t="s">
        <v>123</v>
      </c>
      <c r="H4859" t="s">
        <v>19651</v>
      </c>
      <c r="I4859" t="s">
        <v>30</v>
      </c>
      <c r="J4859" t="s">
        <v>41</v>
      </c>
      <c r="K4859" t="s">
        <v>59</v>
      </c>
      <c r="Q4859">
        <v>0</v>
      </c>
      <c r="R4859">
        <v>0</v>
      </c>
      <c r="S4859">
        <v>0</v>
      </c>
      <c r="T4859" t="s">
        <v>19652</v>
      </c>
    </row>
    <row r="4860" spans="1:20" customFormat="1" ht="15" x14ac:dyDescent="0.25">
      <c r="A4860" t="s">
        <v>35</v>
      </c>
      <c r="B4860" t="s">
        <v>11183</v>
      </c>
      <c r="C4860" t="str">
        <f>"A0184616"</f>
        <v>A0184616</v>
      </c>
      <c r="D4860" t="s">
        <v>19653</v>
      </c>
      <c r="E4860" t="s">
        <v>19654</v>
      </c>
      <c r="F4860" t="s">
        <v>11186</v>
      </c>
      <c r="G4860" t="s">
        <v>123</v>
      </c>
      <c r="H4860" t="s">
        <v>19655</v>
      </c>
      <c r="I4860" t="s">
        <v>30</v>
      </c>
      <c r="J4860" t="s">
        <v>41</v>
      </c>
      <c r="K4860" t="s">
        <v>59</v>
      </c>
      <c r="Q4860">
        <v>0</v>
      </c>
      <c r="R4860">
        <v>42</v>
      </c>
      <c r="S4860">
        <v>42</v>
      </c>
      <c r="T4860" t="s">
        <v>19656</v>
      </c>
    </row>
    <row r="4861" spans="1:20" customFormat="1" ht="15" x14ac:dyDescent="0.25">
      <c r="A4861" t="s">
        <v>35</v>
      </c>
      <c r="B4861" t="s">
        <v>61</v>
      </c>
      <c r="C4861" t="str">
        <f>"A0184615"</f>
        <v>A0184615</v>
      </c>
      <c r="D4861" t="s">
        <v>19657</v>
      </c>
      <c r="E4861" t="s">
        <v>19658</v>
      </c>
      <c r="F4861" t="s">
        <v>9205</v>
      </c>
      <c r="G4861" t="s">
        <v>289</v>
      </c>
      <c r="H4861" t="s">
        <v>19659</v>
      </c>
      <c r="I4861" t="s">
        <v>30</v>
      </c>
      <c r="J4861" t="s">
        <v>41</v>
      </c>
      <c r="K4861" t="s">
        <v>59</v>
      </c>
      <c r="Q4861">
        <v>0</v>
      </c>
      <c r="R4861">
        <v>126</v>
      </c>
      <c r="S4861">
        <v>126</v>
      </c>
      <c r="T4861" t="s">
        <v>19660</v>
      </c>
    </row>
    <row r="4862" spans="1:20" customFormat="1" ht="15" x14ac:dyDescent="0.25">
      <c r="A4862" t="s">
        <v>35</v>
      </c>
      <c r="B4862" t="s">
        <v>61</v>
      </c>
      <c r="C4862" t="str">
        <f>"A0184614"</f>
        <v>A0184614</v>
      </c>
      <c r="D4862" t="s">
        <v>19661</v>
      </c>
      <c r="E4862" t="s">
        <v>19662</v>
      </c>
      <c r="F4862" t="s">
        <v>19663</v>
      </c>
      <c r="G4862" t="s">
        <v>289</v>
      </c>
      <c r="H4862" t="s">
        <v>19664</v>
      </c>
      <c r="I4862" t="s">
        <v>30</v>
      </c>
      <c r="J4862" t="s">
        <v>41</v>
      </c>
      <c r="K4862" t="s">
        <v>59</v>
      </c>
      <c r="Q4862">
        <v>0</v>
      </c>
      <c r="R4862">
        <v>0</v>
      </c>
      <c r="S4862">
        <v>0</v>
      </c>
      <c r="T4862" t="s">
        <v>19665</v>
      </c>
    </row>
    <row r="4863" spans="1:20" customFormat="1" ht="15" x14ac:dyDescent="0.25">
      <c r="A4863" t="s">
        <v>35</v>
      </c>
      <c r="B4863" t="s">
        <v>61</v>
      </c>
      <c r="C4863" t="str">
        <f>"A0184613"</f>
        <v>A0184613</v>
      </c>
      <c r="D4863" t="s">
        <v>19666</v>
      </c>
      <c r="E4863" t="s">
        <v>19667</v>
      </c>
      <c r="F4863" t="s">
        <v>19668</v>
      </c>
      <c r="G4863" t="s">
        <v>289</v>
      </c>
      <c r="H4863" t="s">
        <v>19669</v>
      </c>
      <c r="I4863" t="s">
        <v>30</v>
      </c>
      <c r="J4863" t="s">
        <v>41</v>
      </c>
      <c r="K4863" t="s">
        <v>59</v>
      </c>
      <c r="Q4863">
        <v>0</v>
      </c>
      <c r="R4863">
        <v>38</v>
      </c>
      <c r="S4863">
        <v>38</v>
      </c>
      <c r="T4863" t="s">
        <v>19670</v>
      </c>
    </row>
    <row r="4864" spans="1:20" customFormat="1" ht="15" x14ac:dyDescent="0.25">
      <c r="A4864" t="s">
        <v>35</v>
      </c>
      <c r="B4864" t="s">
        <v>61</v>
      </c>
      <c r="C4864" t="str">
        <f>"A0184612"</f>
        <v>A0184612</v>
      </c>
      <c r="D4864" t="s">
        <v>19671</v>
      </c>
      <c r="E4864" t="s">
        <v>19672</v>
      </c>
      <c r="F4864" t="s">
        <v>13068</v>
      </c>
      <c r="G4864" t="s">
        <v>52</v>
      </c>
      <c r="H4864">
        <v>766341880</v>
      </c>
      <c r="I4864" t="s">
        <v>30</v>
      </c>
      <c r="J4864" t="s">
        <v>41</v>
      </c>
      <c r="K4864" t="s">
        <v>59</v>
      </c>
      <c r="Q4864">
        <v>0</v>
      </c>
      <c r="R4864">
        <v>100</v>
      </c>
      <c r="S4864">
        <v>100</v>
      </c>
      <c r="T4864" t="s">
        <v>19673</v>
      </c>
    </row>
    <row r="4865" spans="1:20" customFormat="1" ht="15" x14ac:dyDescent="0.25">
      <c r="A4865" t="s">
        <v>35</v>
      </c>
      <c r="B4865" t="s">
        <v>61</v>
      </c>
      <c r="C4865" t="str">
        <f>"A0184611"</f>
        <v>A0184611</v>
      </c>
      <c r="D4865" t="s">
        <v>19674</v>
      </c>
      <c r="E4865" t="s">
        <v>19675</v>
      </c>
      <c r="F4865" t="s">
        <v>19676</v>
      </c>
      <c r="G4865" t="s">
        <v>52</v>
      </c>
      <c r="H4865" t="s">
        <v>19677</v>
      </c>
      <c r="I4865" t="s">
        <v>30</v>
      </c>
      <c r="J4865" t="s">
        <v>41</v>
      </c>
      <c r="K4865" t="s">
        <v>59</v>
      </c>
      <c r="Q4865">
        <v>0</v>
      </c>
      <c r="R4865">
        <v>105</v>
      </c>
      <c r="S4865">
        <v>105</v>
      </c>
      <c r="T4865" t="s">
        <v>19678</v>
      </c>
    </row>
    <row r="4866" spans="1:20" customFormat="1" ht="15" x14ac:dyDescent="0.25">
      <c r="A4866" t="s">
        <v>35</v>
      </c>
      <c r="B4866" t="s">
        <v>61</v>
      </c>
      <c r="C4866" t="str">
        <f>"A0184610"</f>
        <v>A0184610</v>
      </c>
      <c r="D4866" t="s">
        <v>19679</v>
      </c>
      <c r="E4866" t="s">
        <v>19680</v>
      </c>
      <c r="F4866" t="s">
        <v>853</v>
      </c>
      <c r="G4866" t="s">
        <v>52</v>
      </c>
      <c r="H4866">
        <v>761023425</v>
      </c>
      <c r="I4866" t="s">
        <v>30</v>
      </c>
      <c r="J4866" t="s">
        <v>41</v>
      </c>
      <c r="K4866" t="s">
        <v>59</v>
      </c>
      <c r="Q4866">
        <v>0</v>
      </c>
      <c r="R4866">
        <v>100</v>
      </c>
      <c r="S4866">
        <v>100</v>
      </c>
      <c r="T4866" t="s">
        <v>19681</v>
      </c>
    </row>
    <row r="4867" spans="1:20" customFormat="1" ht="15" x14ac:dyDescent="0.25">
      <c r="A4867" t="s">
        <v>35</v>
      </c>
      <c r="B4867" t="s">
        <v>61</v>
      </c>
      <c r="C4867" t="str">
        <f>"A0184609"</f>
        <v>A0184609</v>
      </c>
      <c r="D4867" t="s">
        <v>19682</v>
      </c>
      <c r="E4867" t="s">
        <v>19683</v>
      </c>
      <c r="F4867" t="s">
        <v>19684</v>
      </c>
      <c r="G4867" t="s">
        <v>161</v>
      </c>
      <c r="H4867" t="s">
        <v>19685</v>
      </c>
      <c r="I4867" t="s">
        <v>30</v>
      </c>
      <c r="J4867" t="s">
        <v>41</v>
      </c>
      <c r="K4867" t="s">
        <v>59</v>
      </c>
      <c r="Q4867">
        <v>0</v>
      </c>
      <c r="R4867">
        <v>0</v>
      </c>
      <c r="S4867">
        <v>0</v>
      </c>
      <c r="T4867" t="s">
        <v>19686</v>
      </c>
    </row>
    <row r="4868" spans="1:20" customFormat="1" ht="15" x14ac:dyDescent="0.25">
      <c r="A4868" t="s">
        <v>35</v>
      </c>
      <c r="B4868" t="s">
        <v>61</v>
      </c>
      <c r="C4868" t="str">
        <f>"A0184608"</f>
        <v>A0184608</v>
      </c>
      <c r="D4868" t="s">
        <v>19687</v>
      </c>
      <c r="E4868" t="s">
        <v>19688</v>
      </c>
      <c r="F4868" t="s">
        <v>19689</v>
      </c>
      <c r="G4868" t="s">
        <v>161</v>
      </c>
      <c r="H4868">
        <v>55405</v>
      </c>
      <c r="I4868" t="s">
        <v>30</v>
      </c>
      <c r="J4868" t="s">
        <v>41</v>
      </c>
      <c r="K4868" t="s">
        <v>59</v>
      </c>
      <c r="Q4868">
        <v>0</v>
      </c>
      <c r="R4868">
        <v>0</v>
      </c>
      <c r="S4868">
        <v>0</v>
      </c>
      <c r="T4868" t="s">
        <v>19690</v>
      </c>
    </row>
    <row r="4869" spans="1:20" customFormat="1" ht="15" x14ac:dyDescent="0.25">
      <c r="A4869" t="s">
        <v>35</v>
      </c>
      <c r="B4869" t="s">
        <v>61</v>
      </c>
      <c r="C4869" t="str">
        <f>"A0184607"</f>
        <v>A0184607</v>
      </c>
      <c r="D4869" t="s">
        <v>19691</v>
      </c>
      <c r="E4869" t="s">
        <v>19692</v>
      </c>
      <c r="F4869" t="s">
        <v>19693</v>
      </c>
      <c r="G4869" t="s">
        <v>103</v>
      </c>
      <c r="H4869" t="s">
        <v>19694</v>
      </c>
      <c r="I4869" t="s">
        <v>30</v>
      </c>
      <c r="J4869" t="s">
        <v>41</v>
      </c>
      <c r="K4869" t="s">
        <v>59</v>
      </c>
      <c r="Q4869">
        <v>0</v>
      </c>
      <c r="R4869">
        <v>0</v>
      </c>
      <c r="S4869">
        <v>0</v>
      </c>
    </row>
    <row r="4870" spans="1:20" customFormat="1" ht="15" x14ac:dyDescent="0.25">
      <c r="A4870" t="s">
        <v>35</v>
      </c>
      <c r="B4870" t="s">
        <v>61</v>
      </c>
      <c r="C4870" t="str">
        <f>"A0184606"</f>
        <v>A0184606</v>
      </c>
      <c r="D4870" t="s">
        <v>19695</v>
      </c>
      <c r="E4870" t="s">
        <v>11922</v>
      </c>
      <c r="F4870" t="s">
        <v>9211</v>
      </c>
      <c r="G4870" t="s">
        <v>103</v>
      </c>
      <c r="H4870" t="s">
        <v>11923</v>
      </c>
      <c r="I4870" t="s">
        <v>30</v>
      </c>
      <c r="J4870" t="s">
        <v>41</v>
      </c>
      <c r="K4870" t="s">
        <v>59</v>
      </c>
      <c r="Q4870">
        <v>0</v>
      </c>
      <c r="R4870">
        <v>0</v>
      </c>
      <c r="S4870">
        <v>0</v>
      </c>
      <c r="T4870" t="s">
        <v>19696</v>
      </c>
    </row>
    <row r="4871" spans="1:20" customFormat="1" ht="15" x14ac:dyDescent="0.25">
      <c r="A4871" t="s">
        <v>35</v>
      </c>
      <c r="B4871" t="s">
        <v>19565</v>
      </c>
      <c r="C4871" t="str">
        <f>"A0184605"</f>
        <v>A0184605</v>
      </c>
      <c r="D4871" t="s">
        <v>19697</v>
      </c>
      <c r="E4871" t="s">
        <v>19698</v>
      </c>
      <c r="F4871" t="s">
        <v>4629</v>
      </c>
      <c r="G4871" t="s">
        <v>103</v>
      </c>
      <c r="H4871">
        <v>19150</v>
      </c>
      <c r="I4871" t="s">
        <v>30</v>
      </c>
      <c r="J4871" t="s">
        <v>41</v>
      </c>
      <c r="K4871" t="s">
        <v>59</v>
      </c>
      <c r="Q4871">
        <v>0</v>
      </c>
      <c r="R4871">
        <v>0</v>
      </c>
      <c r="S4871">
        <v>0</v>
      </c>
      <c r="T4871" t="s">
        <v>19699</v>
      </c>
    </row>
    <row r="4872" spans="1:20" customFormat="1" ht="15" x14ac:dyDescent="0.25">
      <c r="A4872" t="s">
        <v>35</v>
      </c>
      <c r="B4872" t="s">
        <v>11183</v>
      </c>
      <c r="C4872" t="str">
        <f>"A0184604"</f>
        <v>A0184604</v>
      </c>
      <c r="D4872" t="s">
        <v>19700</v>
      </c>
      <c r="E4872" t="s">
        <v>19701</v>
      </c>
      <c r="F4872" t="s">
        <v>18901</v>
      </c>
      <c r="G4872" t="s">
        <v>103</v>
      </c>
      <c r="H4872" t="s">
        <v>19702</v>
      </c>
      <c r="I4872" t="s">
        <v>30</v>
      </c>
      <c r="J4872" t="s">
        <v>41</v>
      </c>
      <c r="K4872" t="s">
        <v>59</v>
      </c>
      <c r="Q4872">
        <v>0</v>
      </c>
      <c r="R4872">
        <v>0</v>
      </c>
      <c r="S4872">
        <v>0</v>
      </c>
      <c r="T4872" t="s">
        <v>19703</v>
      </c>
    </row>
    <row r="4873" spans="1:20" customFormat="1" ht="15" x14ac:dyDescent="0.25">
      <c r="A4873" t="s">
        <v>35</v>
      </c>
      <c r="B4873" t="s">
        <v>61</v>
      </c>
      <c r="C4873" t="str">
        <f>"A0184603"</f>
        <v>A0184603</v>
      </c>
      <c r="D4873" t="s">
        <v>19704</v>
      </c>
      <c r="E4873" t="s">
        <v>19705</v>
      </c>
      <c r="F4873" t="s">
        <v>19706</v>
      </c>
      <c r="G4873" t="s">
        <v>65</v>
      </c>
      <c r="H4873" t="s">
        <v>19707</v>
      </c>
      <c r="I4873" t="s">
        <v>30</v>
      </c>
      <c r="J4873" t="s">
        <v>41</v>
      </c>
      <c r="K4873" t="s">
        <v>59</v>
      </c>
      <c r="Q4873">
        <v>0</v>
      </c>
      <c r="R4873">
        <v>157</v>
      </c>
      <c r="S4873">
        <v>157</v>
      </c>
      <c r="T4873" t="s">
        <v>19708</v>
      </c>
    </row>
    <row r="4874" spans="1:20" customFormat="1" ht="15" x14ac:dyDescent="0.25">
      <c r="A4874" t="s">
        <v>35</v>
      </c>
      <c r="B4874" t="s">
        <v>61</v>
      </c>
      <c r="C4874" t="str">
        <f>"A0184602"</f>
        <v>A0184602</v>
      </c>
      <c r="D4874" t="s">
        <v>19709</v>
      </c>
      <c r="E4874" t="s">
        <v>19710</v>
      </c>
      <c r="F4874" t="s">
        <v>64</v>
      </c>
      <c r="G4874" t="s">
        <v>65</v>
      </c>
      <c r="H4874">
        <v>432291129</v>
      </c>
      <c r="I4874" t="s">
        <v>30</v>
      </c>
      <c r="J4874" t="s">
        <v>41</v>
      </c>
      <c r="K4874" t="s">
        <v>59</v>
      </c>
      <c r="Q4874">
        <v>0</v>
      </c>
      <c r="R4874">
        <v>0</v>
      </c>
      <c r="S4874">
        <v>0</v>
      </c>
      <c r="T4874" t="s">
        <v>19711</v>
      </c>
    </row>
    <row r="4875" spans="1:20" customFormat="1" ht="15" x14ac:dyDescent="0.25">
      <c r="A4875" t="s">
        <v>35</v>
      </c>
      <c r="B4875" t="s">
        <v>11871</v>
      </c>
      <c r="C4875" t="str">
        <f>"A0184601"</f>
        <v>A0184601</v>
      </c>
      <c r="D4875" t="s">
        <v>19712</v>
      </c>
      <c r="E4875" t="s">
        <v>19713</v>
      </c>
      <c r="F4875" t="s">
        <v>510</v>
      </c>
      <c r="G4875" t="s">
        <v>507</v>
      </c>
      <c r="H4875">
        <v>253012915</v>
      </c>
      <c r="I4875" t="s">
        <v>30</v>
      </c>
      <c r="J4875" t="s">
        <v>41</v>
      </c>
      <c r="K4875" t="s">
        <v>59</v>
      </c>
      <c r="Q4875">
        <v>0</v>
      </c>
      <c r="R4875">
        <v>0</v>
      </c>
      <c r="S4875">
        <v>0</v>
      </c>
      <c r="T4875" t="s">
        <v>19714</v>
      </c>
    </row>
    <row r="4876" spans="1:20" customFormat="1" ht="15" x14ac:dyDescent="0.25">
      <c r="A4876" t="s">
        <v>35</v>
      </c>
      <c r="B4876" t="s">
        <v>61</v>
      </c>
      <c r="C4876" t="str">
        <f>"A0184599"</f>
        <v>A0184599</v>
      </c>
      <c r="D4876" t="s">
        <v>19715</v>
      </c>
      <c r="E4876" t="s">
        <v>19716</v>
      </c>
      <c r="F4876" t="s">
        <v>531</v>
      </c>
      <c r="G4876" t="s">
        <v>528</v>
      </c>
      <c r="H4876" t="s">
        <v>19717</v>
      </c>
      <c r="I4876" t="s">
        <v>30</v>
      </c>
      <c r="J4876" t="s">
        <v>41</v>
      </c>
      <c r="K4876" t="s">
        <v>59</v>
      </c>
      <c r="Q4876">
        <v>0</v>
      </c>
      <c r="R4876">
        <v>0</v>
      </c>
      <c r="S4876">
        <v>0</v>
      </c>
      <c r="T4876" t="s">
        <v>19718</v>
      </c>
    </row>
    <row r="4877" spans="1:20" customFormat="1" ht="15" x14ac:dyDescent="0.25">
      <c r="A4877" t="s">
        <v>35</v>
      </c>
      <c r="B4877" t="s">
        <v>61</v>
      </c>
      <c r="C4877" t="str">
        <f>"A0184598"</f>
        <v>A0184598</v>
      </c>
      <c r="D4877" t="s">
        <v>19719</v>
      </c>
      <c r="E4877" t="s">
        <v>19720</v>
      </c>
      <c r="F4877" t="s">
        <v>19721</v>
      </c>
      <c r="G4877" t="s">
        <v>3236</v>
      </c>
      <c r="H4877">
        <v>577852452</v>
      </c>
      <c r="I4877" t="s">
        <v>30</v>
      </c>
      <c r="J4877" t="s">
        <v>41</v>
      </c>
      <c r="K4877" t="s">
        <v>59</v>
      </c>
      <c r="Q4877">
        <v>0</v>
      </c>
      <c r="R4877">
        <v>84</v>
      </c>
      <c r="S4877">
        <v>84</v>
      </c>
      <c r="T4877" t="s">
        <v>19722</v>
      </c>
    </row>
    <row r="4878" spans="1:20" customFormat="1" ht="15" x14ac:dyDescent="0.25">
      <c r="A4878" t="s">
        <v>35</v>
      </c>
      <c r="B4878" t="s">
        <v>61</v>
      </c>
      <c r="C4878" t="str">
        <f>"A0184597"</f>
        <v>A0184597</v>
      </c>
      <c r="D4878" t="s">
        <v>19723</v>
      </c>
      <c r="E4878" t="s">
        <v>19724</v>
      </c>
      <c r="F4878" t="s">
        <v>1298</v>
      </c>
      <c r="G4878" t="s">
        <v>103</v>
      </c>
      <c r="H4878" t="s">
        <v>19725</v>
      </c>
      <c r="I4878" t="s">
        <v>30</v>
      </c>
      <c r="J4878" t="s">
        <v>41</v>
      </c>
      <c r="K4878" t="s">
        <v>59</v>
      </c>
      <c r="Q4878">
        <v>0</v>
      </c>
      <c r="R4878">
        <v>46</v>
      </c>
      <c r="S4878">
        <v>46</v>
      </c>
      <c r="T4878" t="s">
        <v>19726</v>
      </c>
    </row>
    <row r="4879" spans="1:20" customFormat="1" ht="15" x14ac:dyDescent="0.25">
      <c r="A4879" t="s">
        <v>35</v>
      </c>
      <c r="B4879" t="s">
        <v>61</v>
      </c>
      <c r="C4879" t="str">
        <f>"A0184596"</f>
        <v>A0184596</v>
      </c>
      <c r="D4879" t="s">
        <v>19727</v>
      </c>
      <c r="E4879" t="s">
        <v>19728</v>
      </c>
      <c r="F4879" t="s">
        <v>19729</v>
      </c>
      <c r="G4879" t="s">
        <v>103</v>
      </c>
      <c r="H4879" t="s">
        <v>19730</v>
      </c>
      <c r="I4879" t="s">
        <v>30</v>
      </c>
      <c r="J4879" t="s">
        <v>41</v>
      </c>
      <c r="K4879" t="s">
        <v>59</v>
      </c>
      <c r="Q4879">
        <v>0</v>
      </c>
      <c r="R4879">
        <v>440</v>
      </c>
      <c r="S4879">
        <v>440</v>
      </c>
      <c r="T4879" t="s">
        <v>19731</v>
      </c>
    </row>
    <row r="4880" spans="1:20" customFormat="1" ht="15" x14ac:dyDescent="0.25">
      <c r="A4880" t="s">
        <v>35</v>
      </c>
      <c r="B4880" t="s">
        <v>61</v>
      </c>
      <c r="C4880" t="str">
        <f>"A0184595"</f>
        <v>A0184595</v>
      </c>
      <c r="D4880" t="s">
        <v>19732</v>
      </c>
      <c r="E4880" t="s">
        <v>19733</v>
      </c>
      <c r="F4880" t="s">
        <v>19734</v>
      </c>
      <c r="G4880" t="s">
        <v>103</v>
      </c>
      <c r="H4880" t="s">
        <v>19735</v>
      </c>
      <c r="I4880" t="s">
        <v>30</v>
      </c>
      <c r="J4880" t="s">
        <v>41</v>
      </c>
      <c r="K4880" t="s">
        <v>59</v>
      </c>
      <c r="Q4880">
        <v>0</v>
      </c>
      <c r="R4880">
        <v>160</v>
      </c>
      <c r="S4880">
        <v>160</v>
      </c>
      <c r="T4880" t="s">
        <v>19736</v>
      </c>
    </row>
    <row r="4881" spans="1:20" customFormat="1" ht="15" x14ac:dyDescent="0.25">
      <c r="A4881" t="s">
        <v>35</v>
      </c>
      <c r="B4881" t="s">
        <v>61</v>
      </c>
      <c r="C4881" t="str">
        <f>"A0184594"</f>
        <v>A0184594</v>
      </c>
      <c r="D4881" t="s">
        <v>19737</v>
      </c>
      <c r="E4881" t="s">
        <v>19738</v>
      </c>
      <c r="F4881" t="s">
        <v>19350</v>
      </c>
      <c r="G4881" t="s">
        <v>103</v>
      </c>
      <c r="H4881" t="s">
        <v>19739</v>
      </c>
      <c r="I4881" t="s">
        <v>30</v>
      </c>
      <c r="J4881" t="s">
        <v>41</v>
      </c>
      <c r="K4881" t="s">
        <v>59</v>
      </c>
      <c r="Q4881">
        <v>0</v>
      </c>
      <c r="R4881">
        <v>0</v>
      </c>
      <c r="S4881">
        <v>0</v>
      </c>
    </row>
    <row r="4882" spans="1:20" customFormat="1" ht="15" x14ac:dyDescent="0.25">
      <c r="A4882" t="s">
        <v>35</v>
      </c>
      <c r="B4882" t="s">
        <v>61</v>
      </c>
      <c r="C4882" t="str">
        <f>"A0184593"</f>
        <v>A0184593</v>
      </c>
      <c r="D4882" t="s">
        <v>19740</v>
      </c>
      <c r="E4882" t="s">
        <v>19741</v>
      </c>
      <c r="F4882" t="s">
        <v>19449</v>
      </c>
      <c r="G4882" t="s">
        <v>103</v>
      </c>
      <c r="H4882">
        <v>17003</v>
      </c>
      <c r="I4882" t="s">
        <v>30</v>
      </c>
      <c r="J4882" t="s">
        <v>41</v>
      </c>
      <c r="K4882" t="s">
        <v>59</v>
      </c>
      <c r="Q4882">
        <v>0</v>
      </c>
      <c r="R4882">
        <v>95</v>
      </c>
      <c r="S4882">
        <v>95</v>
      </c>
      <c r="T4882" t="s">
        <v>19742</v>
      </c>
    </row>
    <row r="4883" spans="1:20" customFormat="1" ht="15" x14ac:dyDescent="0.25">
      <c r="A4883" t="s">
        <v>35</v>
      </c>
      <c r="B4883" t="s">
        <v>61</v>
      </c>
      <c r="C4883" t="str">
        <f>"A0184592"</f>
        <v>A0184592</v>
      </c>
      <c r="D4883" t="s">
        <v>19743</v>
      </c>
      <c r="E4883" t="s">
        <v>19744</v>
      </c>
      <c r="F4883" t="s">
        <v>1302</v>
      </c>
      <c r="G4883" t="s">
        <v>103</v>
      </c>
      <c r="H4883">
        <v>17202</v>
      </c>
      <c r="I4883" t="s">
        <v>30</v>
      </c>
      <c r="J4883" t="s">
        <v>41</v>
      </c>
      <c r="K4883" t="s">
        <v>59</v>
      </c>
      <c r="Q4883">
        <v>0</v>
      </c>
      <c r="R4883">
        <v>0</v>
      </c>
      <c r="S4883">
        <v>0</v>
      </c>
      <c r="T4883" t="s">
        <v>19745</v>
      </c>
    </row>
    <row r="4884" spans="1:20" customFormat="1" ht="15" x14ac:dyDescent="0.25">
      <c r="A4884" t="s">
        <v>35</v>
      </c>
      <c r="B4884" t="s">
        <v>61</v>
      </c>
      <c r="C4884" t="str">
        <f>"A0184590"</f>
        <v>A0184590</v>
      </c>
      <c r="D4884" t="s">
        <v>19746</v>
      </c>
      <c r="E4884" t="s">
        <v>19747</v>
      </c>
      <c r="F4884" t="s">
        <v>6232</v>
      </c>
      <c r="G4884" t="s">
        <v>103</v>
      </c>
      <c r="H4884" t="s">
        <v>19748</v>
      </c>
      <c r="I4884" t="s">
        <v>30</v>
      </c>
      <c r="J4884" t="s">
        <v>41</v>
      </c>
      <c r="K4884" t="s">
        <v>59</v>
      </c>
      <c r="Q4884">
        <v>0</v>
      </c>
      <c r="R4884">
        <v>0</v>
      </c>
      <c r="S4884">
        <v>0</v>
      </c>
    </row>
    <row r="4885" spans="1:20" customFormat="1" ht="15" x14ac:dyDescent="0.25">
      <c r="A4885" t="s">
        <v>35</v>
      </c>
      <c r="B4885" t="s">
        <v>11871</v>
      </c>
      <c r="C4885" t="str">
        <f>"A0184589"</f>
        <v>A0184589</v>
      </c>
      <c r="D4885" t="s">
        <v>19749</v>
      </c>
      <c r="E4885" t="s">
        <v>19750</v>
      </c>
      <c r="F4885" t="s">
        <v>19751</v>
      </c>
      <c r="G4885" t="s">
        <v>507</v>
      </c>
      <c r="H4885">
        <v>261751000</v>
      </c>
      <c r="I4885" t="s">
        <v>30</v>
      </c>
      <c r="J4885" t="s">
        <v>41</v>
      </c>
      <c r="K4885" t="s">
        <v>59</v>
      </c>
      <c r="Q4885">
        <v>0</v>
      </c>
      <c r="R4885">
        <v>0</v>
      </c>
      <c r="S4885">
        <v>0</v>
      </c>
      <c r="T4885" t="s">
        <v>19752</v>
      </c>
    </row>
    <row r="4886" spans="1:20" customFormat="1" ht="15" x14ac:dyDescent="0.25">
      <c r="A4886" t="s">
        <v>35</v>
      </c>
      <c r="B4886" t="s">
        <v>11871</v>
      </c>
      <c r="C4886" t="str">
        <f>"A0184588"</f>
        <v>A0184588</v>
      </c>
      <c r="D4886" t="s">
        <v>19753</v>
      </c>
      <c r="E4886" t="s">
        <v>19754</v>
      </c>
      <c r="F4886" t="s">
        <v>19755</v>
      </c>
      <c r="G4886" t="s">
        <v>507</v>
      </c>
      <c r="H4886">
        <v>262881181</v>
      </c>
      <c r="I4886" t="s">
        <v>30</v>
      </c>
      <c r="J4886" t="s">
        <v>41</v>
      </c>
      <c r="K4886" t="s">
        <v>59</v>
      </c>
      <c r="Q4886">
        <v>0</v>
      </c>
      <c r="R4886">
        <v>35</v>
      </c>
      <c r="S4886">
        <v>35</v>
      </c>
      <c r="T4886" t="s">
        <v>19756</v>
      </c>
    </row>
    <row r="4887" spans="1:20" customFormat="1" ht="15" x14ac:dyDescent="0.25">
      <c r="A4887" t="s">
        <v>35</v>
      </c>
      <c r="B4887" t="s">
        <v>11871</v>
      </c>
      <c r="C4887" t="str">
        <f>"A0184587"</f>
        <v>A0184587</v>
      </c>
      <c r="D4887" t="s">
        <v>19757</v>
      </c>
      <c r="E4887" t="s">
        <v>19758</v>
      </c>
      <c r="F4887" t="s">
        <v>19759</v>
      </c>
      <c r="G4887" t="s">
        <v>507</v>
      </c>
      <c r="H4887">
        <v>263629712</v>
      </c>
      <c r="I4887" t="s">
        <v>30</v>
      </c>
      <c r="J4887" t="s">
        <v>41</v>
      </c>
      <c r="K4887" t="s">
        <v>59</v>
      </c>
      <c r="Q4887">
        <v>0</v>
      </c>
      <c r="R4887">
        <v>0</v>
      </c>
      <c r="S4887">
        <v>0</v>
      </c>
      <c r="T4887" t="s">
        <v>19760</v>
      </c>
    </row>
    <row r="4888" spans="1:20" customFormat="1" ht="15" x14ac:dyDescent="0.25">
      <c r="A4888" t="s">
        <v>35</v>
      </c>
      <c r="B4888" t="s">
        <v>61</v>
      </c>
      <c r="C4888" t="str">
        <f>"A0184586"</f>
        <v>A0184586</v>
      </c>
      <c r="D4888" t="s">
        <v>19761</v>
      </c>
      <c r="E4888" t="s">
        <v>19762</v>
      </c>
      <c r="F4888" t="s">
        <v>19763</v>
      </c>
      <c r="G4888" t="s">
        <v>161</v>
      </c>
      <c r="H4888">
        <v>55384</v>
      </c>
      <c r="I4888" t="s">
        <v>30</v>
      </c>
      <c r="J4888" t="s">
        <v>41</v>
      </c>
      <c r="K4888" t="s">
        <v>59</v>
      </c>
      <c r="Q4888">
        <v>0</v>
      </c>
      <c r="R4888">
        <v>0</v>
      </c>
      <c r="S4888">
        <v>0</v>
      </c>
    </row>
    <row r="4889" spans="1:20" customFormat="1" ht="15" x14ac:dyDescent="0.25">
      <c r="A4889" t="s">
        <v>35</v>
      </c>
      <c r="B4889" t="s">
        <v>61</v>
      </c>
      <c r="C4889" t="str">
        <f>"A0184585"</f>
        <v>A0184585</v>
      </c>
      <c r="D4889" t="s">
        <v>19764</v>
      </c>
      <c r="E4889" t="s">
        <v>19765</v>
      </c>
      <c r="F4889" t="s">
        <v>15848</v>
      </c>
      <c r="G4889" t="s">
        <v>103</v>
      </c>
      <c r="H4889" t="s">
        <v>19766</v>
      </c>
      <c r="I4889" t="s">
        <v>30</v>
      </c>
      <c r="J4889" t="s">
        <v>41</v>
      </c>
      <c r="K4889" t="s">
        <v>59</v>
      </c>
      <c r="Q4889">
        <v>0</v>
      </c>
      <c r="R4889">
        <v>0</v>
      </c>
      <c r="S4889">
        <v>0</v>
      </c>
    </row>
    <row r="4890" spans="1:20" customFormat="1" ht="15" x14ac:dyDescent="0.25">
      <c r="A4890" t="s">
        <v>35</v>
      </c>
      <c r="B4890" t="s">
        <v>61</v>
      </c>
      <c r="C4890" t="str">
        <f>"A0184584"</f>
        <v>A0184584</v>
      </c>
      <c r="D4890" t="s">
        <v>19767</v>
      </c>
      <c r="E4890" t="s">
        <v>19768</v>
      </c>
      <c r="F4890" t="s">
        <v>4693</v>
      </c>
      <c r="G4890" t="s">
        <v>103</v>
      </c>
      <c r="H4890" t="s">
        <v>19769</v>
      </c>
      <c r="I4890" t="s">
        <v>30</v>
      </c>
      <c r="J4890" t="s">
        <v>41</v>
      </c>
      <c r="K4890" t="s">
        <v>59</v>
      </c>
      <c r="Q4890">
        <v>0</v>
      </c>
      <c r="R4890">
        <v>0</v>
      </c>
      <c r="S4890">
        <v>0</v>
      </c>
      <c r="T4890" t="s">
        <v>19770</v>
      </c>
    </row>
    <row r="4891" spans="1:20" customFormat="1" ht="15" x14ac:dyDescent="0.25">
      <c r="A4891" t="s">
        <v>35</v>
      </c>
      <c r="B4891" t="s">
        <v>61</v>
      </c>
      <c r="C4891" t="str">
        <f>"A0184583"</f>
        <v>A0184583</v>
      </c>
      <c r="D4891" t="s">
        <v>19771</v>
      </c>
      <c r="E4891" t="s">
        <v>19772</v>
      </c>
      <c r="F4891" t="s">
        <v>19773</v>
      </c>
      <c r="G4891" t="s">
        <v>103</v>
      </c>
      <c r="H4891" t="s">
        <v>19774</v>
      </c>
      <c r="I4891" t="s">
        <v>30</v>
      </c>
      <c r="J4891" t="s">
        <v>41</v>
      </c>
      <c r="K4891" t="s">
        <v>59</v>
      </c>
      <c r="Q4891">
        <v>0</v>
      </c>
      <c r="R4891">
        <v>0</v>
      </c>
      <c r="S4891">
        <v>0</v>
      </c>
    </row>
    <row r="4892" spans="1:20" customFormat="1" ht="15" x14ac:dyDescent="0.25">
      <c r="A4892" t="s">
        <v>35</v>
      </c>
      <c r="B4892" t="s">
        <v>61</v>
      </c>
      <c r="C4892" t="str">
        <f>"A0184582"</f>
        <v>A0184582</v>
      </c>
      <c r="D4892" t="s">
        <v>19775</v>
      </c>
      <c r="E4892" t="s">
        <v>19776</v>
      </c>
      <c r="F4892" t="s">
        <v>102</v>
      </c>
      <c r="G4892" t="s">
        <v>103</v>
      </c>
      <c r="H4892" t="s">
        <v>19777</v>
      </c>
      <c r="I4892" t="s">
        <v>30</v>
      </c>
      <c r="J4892" t="s">
        <v>41</v>
      </c>
      <c r="K4892" t="s">
        <v>59</v>
      </c>
      <c r="Q4892">
        <v>0</v>
      </c>
      <c r="R4892">
        <v>0</v>
      </c>
      <c r="S4892">
        <v>0</v>
      </c>
      <c r="T4892" t="s">
        <v>19778</v>
      </c>
    </row>
    <row r="4893" spans="1:20" customFormat="1" ht="15" x14ac:dyDescent="0.25">
      <c r="A4893" t="s">
        <v>35</v>
      </c>
      <c r="B4893" t="s">
        <v>61</v>
      </c>
      <c r="C4893" t="str">
        <f>"A0184581"</f>
        <v>A0184581</v>
      </c>
      <c r="D4893" t="s">
        <v>19779</v>
      </c>
      <c r="E4893" t="s">
        <v>19780</v>
      </c>
      <c r="F4893" t="s">
        <v>4629</v>
      </c>
      <c r="G4893" t="s">
        <v>103</v>
      </c>
      <c r="H4893" t="s">
        <v>19781</v>
      </c>
      <c r="I4893" t="s">
        <v>30</v>
      </c>
      <c r="J4893" t="s">
        <v>41</v>
      </c>
      <c r="K4893" t="s">
        <v>59</v>
      </c>
      <c r="Q4893">
        <v>0</v>
      </c>
      <c r="R4893">
        <v>0</v>
      </c>
      <c r="S4893">
        <v>0</v>
      </c>
    </row>
    <row r="4894" spans="1:20" customFormat="1" ht="15" x14ac:dyDescent="0.25">
      <c r="A4894" t="s">
        <v>35</v>
      </c>
      <c r="B4894" t="s">
        <v>15885</v>
      </c>
      <c r="C4894" t="str">
        <f>"A0184580"</f>
        <v>A0184580</v>
      </c>
      <c r="D4894" t="s">
        <v>19782</v>
      </c>
      <c r="E4894" t="s">
        <v>19783</v>
      </c>
      <c r="F4894" t="s">
        <v>4629</v>
      </c>
      <c r="G4894" t="s">
        <v>103</v>
      </c>
      <c r="H4894">
        <v>191291238</v>
      </c>
      <c r="I4894" t="s">
        <v>30</v>
      </c>
      <c r="J4894" t="s">
        <v>41</v>
      </c>
      <c r="K4894" t="s">
        <v>59</v>
      </c>
      <c r="Q4894">
        <v>0</v>
      </c>
      <c r="R4894">
        <v>0</v>
      </c>
      <c r="S4894">
        <v>0</v>
      </c>
    </row>
    <row r="4895" spans="1:20" customFormat="1" ht="15" x14ac:dyDescent="0.25">
      <c r="A4895" t="s">
        <v>35</v>
      </c>
      <c r="B4895" t="s">
        <v>12201</v>
      </c>
      <c r="C4895" t="str">
        <f>"A0184579"</f>
        <v>A0184579</v>
      </c>
      <c r="D4895" t="s">
        <v>19784</v>
      </c>
      <c r="E4895" t="s">
        <v>19785</v>
      </c>
      <c r="F4895" t="s">
        <v>19786</v>
      </c>
      <c r="G4895" t="s">
        <v>103</v>
      </c>
      <c r="H4895">
        <v>190101251</v>
      </c>
      <c r="I4895" t="s">
        <v>30</v>
      </c>
      <c r="J4895" t="s">
        <v>41</v>
      </c>
      <c r="K4895" t="s">
        <v>59</v>
      </c>
      <c r="Q4895">
        <v>0</v>
      </c>
      <c r="R4895">
        <v>212</v>
      </c>
      <c r="S4895">
        <v>212</v>
      </c>
      <c r="T4895" t="s">
        <v>19787</v>
      </c>
    </row>
    <row r="4896" spans="1:20" customFormat="1" ht="15" x14ac:dyDescent="0.25">
      <c r="A4896" t="s">
        <v>35</v>
      </c>
      <c r="B4896" t="s">
        <v>12201</v>
      </c>
      <c r="C4896" t="str">
        <f>"A0184578"</f>
        <v>A0184578</v>
      </c>
      <c r="D4896" t="s">
        <v>19788</v>
      </c>
      <c r="E4896" t="s">
        <v>19789</v>
      </c>
      <c r="F4896" t="s">
        <v>4629</v>
      </c>
      <c r="G4896" t="s">
        <v>103</v>
      </c>
      <c r="H4896">
        <v>191283870</v>
      </c>
      <c r="I4896" t="s">
        <v>30</v>
      </c>
      <c r="J4896" t="s">
        <v>41</v>
      </c>
      <c r="K4896" t="s">
        <v>59</v>
      </c>
      <c r="Q4896">
        <v>0</v>
      </c>
      <c r="R4896">
        <v>0</v>
      </c>
      <c r="S4896">
        <v>0</v>
      </c>
    </row>
    <row r="4897" spans="1:20" customFormat="1" ht="15" x14ac:dyDescent="0.25">
      <c r="A4897" t="s">
        <v>35</v>
      </c>
      <c r="B4897" t="s">
        <v>61</v>
      </c>
      <c r="C4897" t="str">
        <f>"A0184576"</f>
        <v>A0184576</v>
      </c>
      <c r="D4897" t="s">
        <v>19790</v>
      </c>
      <c r="E4897" t="s">
        <v>19791</v>
      </c>
      <c r="F4897" t="s">
        <v>6232</v>
      </c>
      <c r="G4897" t="s">
        <v>103</v>
      </c>
      <c r="H4897" t="s">
        <v>19748</v>
      </c>
      <c r="I4897" t="s">
        <v>30</v>
      </c>
      <c r="J4897" t="s">
        <v>41</v>
      </c>
      <c r="K4897" t="s">
        <v>59</v>
      </c>
      <c r="Q4897">
        <v>0</v>
      </c>
      <c r="R4897">
        <v>0</v>
      </c>
      <c r="S4897">
        <v>0</v>
      </c>
    </row>
    <row r="4898" spans="1:20" customFormat="1" ht="15" x14ac:dyDescent="0.25">
      <c r="A4898" t="s">
        <v>35</v>
      </c>
      <c r="B4898" t="s">
        <v>61</v>
      </c>
      <c r="C4898" t="str">
        <f>"A0184575"</f>
        <v>A0184575</v>
      </c>
      <c r="D4898" t="s">
        <v>19792</v>
      </c>
      <c r="E4898" t="s">
        <v>19793</v>
      </c>
      <c r="F4898" t="s">
        <v>4354</v>
      </c>
      <c r="G4898" t="s">
        <v>103</v>
      </c>
      <c r="H4898" t="s">
        <v>19794</v>
      </c>
      <c r="I4898" t="s">
        <v>30</v>
      </c>
      <c r="J4898" t="s">
        <v>41</v>
      </c>
      <c r="K4898" t="s">
        <v>59</v>
      </c>
      <c r="Q4898">
        <v>0</v>
      </c>
      <c r="R4898">
        <v>0</v>
      </c>
      <c r="S4898">
        <v>0</v>
      </c>
      <c r="T4898" t="s">
        <v>19795</v>
      </c>
    </row>
    <row r="4899" spans="1:20" customFormat="1" ht="15" x14ac:dyDescent="0.25">
      <c r="A4899" t="s">
        <v>35</v>
      </c>
      <c r="B4899" t="s">
        <v>5037</v>
      </c>
      <c r="C4899" t="str">
        <f>"A0184574"</f>
        <v>A0184574</v>
      </c>
      <c r="D4899" t="s">
        <v>19796</v>
      </c>
      <c r="E4899" t="s">
        <v>19797</v>
      </c>
      <c r="F4899" t="s">
        <v>19798</v>
      </c>
      <c r="G4899" t="s">
        <v>846</v>
      </c>
      <c r="H4899">
        <v>30106</v>
      </c>
      <c r="I4899" t="s">
        <v>30</v>
      </c>
      <c r="J4899" t="s">
        <v>41</v>
      </c>
      <c r="K4899" t="s">
        <v>59</v>
      </c>
      <c r="Q4899">
        <v>0</v>
      </c>
      <c r="R4899">
        <v>142</v>
      </c>
      <c r="S4899">
        <v>142</v>
      </c>
      <c r="T4899" t="s">
        <v>19799</v>
      </c>
    </row>
    <row r="4900" spans="1:20" customFormat="1" ht="15" x14ac:dyDescent="0.25">
      <c r="A4900" t="s">
        <v>35</v>
      </c>
      <c r="B4900" t="s">
        <v>61</v>
      </c>
      <c r="C4900" t="str">
        <f>"A0184573"</f>
        <v>A0184573</v>
      </c>
      <c r="D4900" t="s">
        <v>19800</v>
      </c>
      <c r="E4900" t="s">
        <v>19801</v>
      </c>
      <c r="F4900" t="s">
        <v>19802</v>
      </c>
      <c r="G4900" t="s">
        <v>161</v>
      </c>
      <c r="H4900" t="s">
        <v>19803</v>
      </c>
      <c r="I4900" t="s">
        <v>30</v>
      </c>
      <c r="J4900" t="s">
        <v>41</v>
      </c>
      <c r="K4900" t="s">
        <v>59</v>
      </c>
      <c r="Q4900">
        <v>0</v>
      </c>
      <c r="R4900">
        <v>0</v>
      </c>
      <c r="S4900">
        <v>0</v>
      </c>
      <c r="T4900" t="s">
        <v>19804</v>
      </c>
    </row>
    <row r="4901" spans="1:20" customFormat="1" ht="15" x14ac:dyDescent="0.25">
      <c r="A4901" t="s">
        <v>35</v>
      </c>
      <c r="B4901" t="s">
        <v>61</v>
      </c>
      <c r="C4901" t="str">
        <f>"A0184572"</f>
        <v>A0184572</v>
      </c>
      <c r="D4901" t="s">
        <v>19805</v>
      </c>
      <c r="E4901" t="s">
        <v>19806</v>
      </c>
      <c r="F4901" t="s">
        <v>4629</v>
      </c>
      <c r="G4901" t="s">
        <v>103</v>
      </c>
      <c r="H4901" t="s">
        <v>19807</v>
      </c>
      <c r="I4901" t="s">
        <v>30</v>
      </c>
      <c r="J4901" t="s">
        <v>41</v>
      </c>
      <c r="K4901" t="s">
        <v>59</v>
      </c>
      <c r="Q4901">
        <v>0</v>
      </c>
      <c r="R4901">
        <v>65</v>
      </c>
      <c r="S4901">
        <v>65</v>
      </c>
      <c r="T4901" t="s">
        <v>19808</v>
      </c>
    </row>
    <row r="4902" spans="1:20" customFormat="1" ht="15" x14ac:dyDescent="0.25">
      <c r="A4902" t="s">
        <v>35</v>
      </c>
      <c r="B4902" t="s">
        <v>61</v>
      </c>
      <c r="C4902" t="str">
        <f>"A0184571"</f>
        <v>A0184571</v>
      </c>
      <c r="D4902" t="s">
        <v>19809</v>
      </c>
      <c r="E4902" t="s">
        <v>19810</v>
      </c>
      <c r="F4902" t="s">
        <v>19811</v>
      </c>
      <c r="G4902" t="s">
        <v>103</v>
      </c>
      <c r="H4902" t="s">
        <v>19812</v>
      </c>
      <c r="I4902" t="s">
        <v>30</v>
      </c>
      <c r="J4902" t="s">
        <v>41</v>
      </c>
      <c r="K4902" t="s">
        <v>59</v>
      </c>
      <c r="Q4902">
        <v>0</v>
      </c>
      <c r="R4902">
        <v>0</v>
      </c>
      <c r="S4902">
        <v>0</v>
      </c>
      <c r="T4902" t="s">
        <v>19813</v>
      </c>
    </row>
    <row r="4903" spans="1:20" customFormat="1" ht="15" x14ac:dyDescent="0.25">
      <c r="A4903" t="s">
        <v>35</v>
      </c>
      <c r="B4903" t="s">
        <v>12201</v>
      </c>
      <c r="C4903" t="str">
        <f>"A0184570"</f>
        <v>A0184570</v>
      </c>
      <c r="D4903" t="s">
        <v>19814</v>
      </c>
      <c r="E4903" t="s">
        <v>19815</v>
      </c>
      <c r="F4903" t="s">
        <v>4629</v>
      </c>
      <c r="G4903" t="s">
        <v>103</v>
      </c>
      <c r="H4903">
        <v>191435953</v>
      </c>
      <c r="I4903" t="s">
        <v>30</v>
      </c>
      <c r="J4903" t="s">
        <v>41</v>
      </c>
      <c r="K4903" t="s">
        <v>59</v>
      </c>
      <c r="Q4903">
        <v>0</v>
      </c>
      <c r="R4903">
        <v>0</v>
      </c>
      <c r="S4903">
        <v>0</v>
      </c>
      <c r="T4903" t="s">
        <v>19628</v>
      </c>
    </row>
    <row r="4904" spans="1:20" customFormat="1" ht="15" x14ac:dyDescent="0.25">
      <c r="A4904" t="s">
        <v>35</v>
      </c>
      <c r="B4904" t="s">
        <v>61</v>
      </c>
      <c r="C4904" t="str">
        <f>"A0184569"</f>
        <v>A0184569</v>
      </c>
      <c r="D4904" t="s">
        <v>19816</v>
      </c>
      <c r="E4904" t="s">
        <v>19817</v>
      </c>
      <c r="F4904" t="s">
        <v>19818</v>
      </c>
      <c r="G4904" t="s">
        <v>161</v>
      </c>
      <c r="H4904">
        <v>56115</v>
      </c>
      <c r="I4904" t="s">
        <v>30</v>
      </c>
      <c r="J4904" t="s">
        <v>41</v>
      </c>
      <c r="K4904" t="s">
        <v>59</v>
      </c>
      <c r="Q4904">
        <v>0</v>
      </c>
      <c r="R4904">
        <v>0</v>
      </c>
      <c r="S4904">
        <v>0</v>
      </c>
    </row>
    <row r="4905" spans="1:20" customFormat="1" ht="15" x14ac:dyDescent="0.25">
      <c r="A4905" t="s">
        <v>35</v>
      </c>
      <c r="B4905" t="s">
        <v>61</v>
      </c>
      <c r="C4905" t="str">
        <f>"A0184568"</f>
        <v>A0184568</v>
      </c>
      <c r="D4905" t="s">
        <v>19819</v>
      </c>
      <c r="E4905" t="s">
        <v>19820</v>
      </c>
      <c r="F4905" t="s">
        <v>19821</v>
      </c>
      <c r="G4905" t="s">
        <v>161</v>
      </c>
      <c r="H4905" t="s">
        <v>19822</v>
      </c>
      <c r="I4905" t="s">
        <v>30</v>
      </c>
      <c r="J4905" t="s">
        <v>41</v>
      </c>
      <c r="K4905" t="s">
        <v>59</v>
      </c>
      <c r="Q4905">
        <v>0</v>
      </c>
      <c r="R4905">
        <v>95</v>
      </c>
      <c r="S4905">
        <v>95</v>
      </c>
      <c r="T4905" t="s">
        <v>19823</v>
      </c>
    </row>
    <row r="4906" spans="1:20" customFormat="1" ht="15" x14ac:dyDescent="0.25">
      <c r="A4906" t="s">
        <v>35</v>
      </c>
      <c r="B4906" t="s">
        <v>11871</v>
      </c>
      <c r="C4906" t="str">
        <f>"A0184567"</f>
        <v>A0184567</v>
      </c>
      <c r="D4906" t="s">
        <v>19824</v>
      </c>
      <c r="E4906" t="s">
        <v>19825</v>
      </c>
      <c r="F4906" t="s">
        <v>10276</v>
      </c>
      <c r="G4906" t="s">
        <v>846</v>
      </c>
      <c r="H4906" t="s">
        <v>19826</v>
      </c>
      <c r="I4906" t="s">
        <v>30</v>
      </c>
      <c r="J4906" t="s">
        <v>41</v>
      </c>
      <c r="K4906" t="s">
        <v>59</v>
      </c>
      <c r="Q4906">
        <v>0</v>
      </c>
      <c r="R4906">
        <v>0</v>
      </c>
      <c r="S4906">
        <v>0</v>
      </c>
    </row>
    <row r="4907" spans="1:20" customFormat="1" ht="15" x14ac:dyDescent="0.25">
      <c r="A4907" t="s">
        <v>35</v>
      </c>
      <c r="B4907" t="s">
        <v>61</v>
      </c>
      <c r="C4907" t="str">
        <f>"A0184566"</f>
        <v>A0184566</v>
      </c>
      <c r="D4907" t="s">
        <v>19827</v>
      </c>
      <c r="E4907" t="s">
        <v>19332</v>
      </c>
      <c r="F4907" t="s">
        <v>19333</v>
      </c>
      <c r="G4907" t="s">
        <v>103</v>
      </c>
      <c r="H4907" t="s">
        <v>19334</v>
      </c>
      <c r="I4907" t="s">
        <v>30</v>
      </c>
      <c r="J4907" t="s">
        <v>41</v>
      </c>
      <c r="K4907" t="s">
        <v>59</v>
      </c>
      <c r="Q4907">
        <v>0</v>
      </c>
      <c r="R4907">
        <v>106</v>
      </c>
      <c r="S4907">
        <v>106</v>
      </c>
      <c r="T4907" t="s">
        <v>19828</v>
      </c>
    </row>
    <row r="4908" spans="1:20" customFormat="1" ht="15" x14ac:dyDescent="0.25">
      <c r="A4908" t="s">
        <v>35</v>
      </c>
      <c r="B4908" t="s">
        <v>61</v>
      </c>
      <c r="C4908" t="str">
        <f>"A0184565"</f>
        <v>A0184565</v>
      </c>
      <c r="D4908" t="s">
        <v>19829</v>
      </c>
      <c r="E4908" t="s">
        <v>19830</v>
      </c>
      <c r="F4908" t="s">
        <v>19831</v>
      </c>
      <c r="G4908" t="s">
        <v>103</v>
      </c>
      <c r="H4908" t="s">
        <v>19832</v>
      </c>
      <c r="I4908" t="s">
        <v>30</v>
      </c>
      <c r="J4908" t="s">
        <v>41</v>
      </c>
      <c r="K4908" t="s">
        <v>59</v>
      </c>
      <c r="Q4908">
        <v>0</v>
      </c>
      <c r="R4908">
        <v>61</v>
      </c>
      <c r="S4908">
        <v>61</v>
      </c>
      <c r="T4908" t="s">
        <v>19833</v>
      </c>
    </row>
    <row r="4909" spans="1:20" customFormat="1" ht="15" x14ac:dyDescent="0.25">
      <c r="A4909" t="s">
        <v>35</v>
      </c>
      <c r="B4909" t="s">
        <v>61</v>
      </c>
      <c r="C4909" t="str">
        <f>"A0184564"</f>
        <v>A0184564</v>
      </c>
      <c r="D4909" t="s">
        <v>19834</v>
      </c>
      <c r="E4909" t="s">
        <v>19835</v>
      </c>
      <c r="F4909" t="s">
        <v>4354</v>
      </c>
      <c r="G4909" t="s">
        <v>103</v>
      </c>
      <c r="H4909" t="s">
        <v>19836</v>
      </c>
      <c r="I4909" t="s">
        <v>30</v>
      </c>
      <c r="J4909" t="s">
        <v>41</v>
      </c>
      <c r="K4909" t="s">
        <v>59</v>
      </c>
      <c r="Q4909">
        <v>0</v>
      </c>
      <c r="R4909">
        <v>402</v>
      </c>
      <c r="S4909">
        <v>402</v>
      </c>
      <c r="T4909" t="s">
        <v>19837</v>
      </c>
    </row>
    <row r="4910" spans="1:20" customFormat="1" ht="15" x14ac:dyDescent="0.25">
      <c r="A4910" t="s">
        <v>35</v>
      </c>
      <c r="B4910" t="s">
        <v>61</v>
      </c>
      <c r="C4910" t="str">
        <f>"A0184563"</f>
        <v>A0184563</v>
      </c>
      <c r="D4910" t="s">
        <v>19838</v>
      </c>
      <c r="E4910" t="s">
        <v>19839</v>
      </c>
      <c r="F4910" t="s">
        <v>19333</v>
      </c>
      <c r="G4910" t="s">
        <v>103</v>
      </c>
      <c r="H4910">
        <v>17543</v>
      </c>
      <c r="I4910" t="s">
        <v>30</v>
      </c>
      <c r="J4910" t="s">
        <v>41</v>
      </c>
      <c r="K4910" t="s">
        <v>59</v>
      </c>
      <c r="Q4910">
        <v>0</v>
      </c>
      <c r="R4910">
        <v>0</v>
      </c>
      <c r="S4910">
        <v>0</v>
      </c>
      <c r="T4910" t="s">
        <v>19840</v>
      </c>
    </row>
    <row r="4911" spans="1:20" customFormat="1" ht="15" x14ac:dyDescent="0.25">
      <c r="A4911" t="s">
        <v>35</v>
      </c>
      <c r="B4911" t="s">
        <v>12201</v>
      </c>
      <c r="C4911" t="str">
        <f>"A0184562"</f>
        <v>A0184562</v>
      </c>
      <c r="D4911" t="s">
        <v>19841</v>
      </c>
      <c r="E4911" t="s">
        <v>19842</v>
      </c>
      <c r="F4911" t="s">
        <v>4629</v>
      </c>
      <c r="G4911" t="s">
        <v>103</v>
      </c>
      <c r="H4911">
        <v>191313379</v>
      </c>
      <c r="I4911" t="s">
        <v>30</v>
      </c>
      <c r="J4911" t="s">
        <v>41</v>
      </c>
      <c r="K4911" t="s">
        <v>59</v>
      </c>
      <c r="Q4911">
        <v>0</v>
      </c>
      <c r="R4911">
        <v>0</v>
      </c>
      <c r="S4911">
        <v>0</v>
      </c>
    </row>
    <row r="4912" spans="1:20" customFormat="1" ht="15" x14ac:dyDescent="0.25">
      <c r="A4912" t="s">
        <v>35</v>
      </c>
      <c r="B4912" t="s">
        <v>12201</v>
      </c>
      <c r="C4912" t="str">
        <f>"A0184561"</f>
        <v>A0184561</v>
      </c>
      <c r="D4912" t="s">
        <v>19843</v>
      </c>
      <c r="E4912" t="s">
        <v>19844</v>
      </c>
      <c r="F4912" t="s">
        <v>4629</v>
      </c>
      <c r="G4912" t="s">
        <v>103</v>
      </c>
      <c r="H4912">
        <v>19146</v>
      </c>
      <c r="I4912" t="s">
        <v>30</v>
      </c>
      <c r="J4912" t="s">
        <v>41</v>
      </c>
      <c r="K4912" t="s">
        <v>59</v>
      </c>
      <c r="Q4912">
        <v>0</v>
      </c>
      <c r="R4912">
        <v>0</v>
      </c>
      <c r="S4912">
        <v>0</v>
      </c>
    </row>
    <row r="4913" spans="1:20" customFormat="1" ht="15" x14ac:dyDescent="0.25">
      <c r="A4913" t="s">
        <v>35</v>
      </c>
      <c r="B4913" t="s">
        <v>61</v>
      </c>
      <c r="C4913" t="str">
        <f>"A0184560"</f>
        <v>A0184560</v>
      </c>
      <c r="D4913" t="s">
        <v>19845</v>
      </c>
      <c r="E4913" t="s">
        <v>19846</v>
      </c>
      <c r="F4913" t="s">
        <v>19847</v>
      </c>
      <c r="G4913" t="s">
        <v>103</v>
      </c>
      <c r="H4913" t="s">
        <v>19848</v>
      </c>
      <c r="I4913" t="s">
        <v>30</v>
      </c>
      <c r="J4913" t="s">
        <v>41</v>
      </c>
      <c r="K4913" t="s">
        <v>59</v>
      </c>
      <c r="Q4913">
        <v>0</v>
      </c>
      <c r="R4913">
        <v>120</v>
      </c>
      <c r="S4913">
        <v>120</v>
      </c>
      <c r="T4913" t="s">
        <v>19849</v>
      </c>
    </row>
    <row r="4914" spans="1:20" customFormat="1" ht="15" x14ac:dyDescent="0.25">
      <c r="A4914" t="s">
        <v>35</v>
      </c>
      <c r="B4914" t="s">
        <v>61</v>
      </c>
      <c r="C4914" t="str">
        <f>"A0184559"</f>
        <v>A0184559</v>
      </c>
      <c r="D4914" t="s">
        <v>19850</v>
      </c>
      <c r="E4914" t="s">
        <v>19851</v>
      </c>
      <c r="F4914" t="s">
        <v>19852</v>
      </c>
      <c r="G4914" t="s">
        <v>103</v>
      </c>
      <c r="H4914" t="s">
        <v>19853</v>
      </c>
      <c r="I4914" t="s">
        <v>30</v>
      </c>
      <c r="J4914" t="s">
        <v>41</v>
      </c>
      <c r="K4914" t="s">
        <v>59</v>
      </c>
      <c r="Q4914">
        <v>0</v>
      </c>
      <c r="R4914">
        <v>150</v>
      </c>
      <c r="S4914">
        <v>150</v>
      </c>
      <c r="T4914" t="s">
        <v>19854</v>
      </c>
    </row>
    <row r="4915" spans="1:20" customFormat="1" ht="15" x14ac:dyDescent="0.25">
      <c r="A4915" t="s">
        <v>35</v>
      </c>
      <c r="B4915" t="s">
        <v>61</v>
      </c>
      <c r="C4915" t="str">
        <f>"A0184558"</f>
        <v>A0184558</v>
      </c>
      <c r="D4915" t="s">
        <v>19855</v>
      </c>
      <c r="E4915" t="s">
        <v>19856</v>
      </c>
      <c r="F4915" t="s">
        <v>1302</v>
      </c>
      <c r="G4915" t="s">
        <v>103</v>
      </c>
      <c r="H4915">
        <v>17202</v>
      </c>
      <c r="I4915" t="s">
        <v>30</v>
      </c>
      <c r="J4915" t="s">
        <v>41</v>
      </c>
      <c r="K4915" t="s">
        <v>59</v>
      </c>
      <c r="Q4915">
        <v>0</v>
      </c>
      <c r="R4915">
        <v>0</v>
      </c>
      <c r="S4915">
        <v>0</v>
      </c>
      <c r="T4915" t="s">
        <v>19745</v>
      </c>
    </row>
    <row r="4916" spans="1:20" customFormat="1" ht="15" x14ac:dyDescent="0.25">
      <c r="A4916" t="s">
        <v>35</v>
      </c>
      <c r="B4916" t="s">
        <v>61</v>
      </c>
      <c r="C4916" t="str">
        <f>"A0184557"</f>
        <v>A0184557</v>
      </c>
      <c r="D4916" t="s">
        <v>19857</v>
      </c>
      <c r="E4916" t="s">
        <v>19858</v>
      </c>
      <c r="F4916" t="s">
        <v>1302</v>
      </c>
      <c r="G4916" t="s">
        <v>103</v>
      </c>
      <c r="H4916">
        <v>17202</v>
      </c>
      <c r="I4916" t="s">
        <v>30</v>
      </c>
      <c r="J4916" t="s">
        <v>41</v>
      </c>
      <c r="K4916" t="s">
        <v>59</v>
      </c>
      <c r="Q4916">
        <v>0</v>
      </c>
      <c r="R4916">
        <v>0</v>
      </c>
      <c r="S4916">
        <v>0</v>
      </c>
      <c r="T4916" t="s">
        <v>19745</v>
      </c>
    </row>
    <row r="4917" spans="1:20" customFormat="1" ht="15" x14ac:dyDescent="0.25">
      <c r="A4917" t="s">
        <v>35</v>
      </c>
      <c r="B4917" t="s">
        <v>61</v>
      </c>
      <c r="C4917" t="str">
        <f>"A0184556"</f>
        <v>A0184556</v>
      </c>
      <c r="D4917" t="s">
        <v>19859</v>
      </c>
      <c r="E4917" t="s">
        <v>19340</v>
      </c>
      <c r="F4917" t="s">
        <v>16389</v>
      </c>
      <c r="G4917" t="s">
        <v>103</v>
      </c>
      <c r="H4917" t="s">
        <v>19341</v>
      </c>
      <c r="I4917" t="s">
        <v>30</v>
      </c>
      <c r="J4917" t="s">
        <v>41</v>
      </c>
      <c r="K4917" t="s">
        <v>59</v>
      </c>
      <c r="Q4917">
        <v>0</v>
      </c>
      <c r="R4917">
        <v>0</v>
      </c>
      <c r="S4917">
        <v>0</v>
      </c>
      <c r="T4917" t="s">
        <v>19342</v>
      </c>
    </row>
    <row r="4918" spans="1:20" customFormat="1" ht="15" x14ac:dyDescent="0.25">
      <c r="A4918" t="s">
        <v>35</v>
      </c>
      <c r="B4918" t="s">
        <v>12201</v>
      </c>
      <c r="C4918" t="str">
        <f>"A0184555"</f>
        <v>A0184555</v>
      </c>
      <c r="D4918" t="s">
        <v>19860</v>
      </c>
      <c r="E4918" t="s">
        <v>19861</v>
      </c>
      <c r="F4918" t="s">
        <v>4629</v>
      </c>
      <c r="G4918" t="s">
        <v>103</v>
      </c>
      <c r="H4918">
        <v>191462150</v>
      </c>
      <c r="I4918" t="s">
        <v>30</v>
      </c>
      <c r="J4918" t="s">
        <v>41</v>
      </c>
      <c r="K4918" t="s">
        <v>59</v>
      </c>
      <c r="Q4918">
        <v>0</v>
      </c>
      <c r="R4918">
        <v>0</v>
      </c>
      <c r="S4918">
        <v>0</v>
      </c>
    </row>
    <row r="4919" spans="1:20" customFormat="1" ht="15" x14ac:dyDescent="0.25">
      <c r="A4919" t="s">
        <v>35</v>
      </c>
      <c r="B4919" t="s">
        <v>12201</v>
      </c>
      <c r="C4919" t="str">
        <f>"A0184554"</f>
        <v>A0184554</v>
      </c>
      <c r="D4919" t="s">
        <v>19862</v>
      </c>
      <c r="E4919" t="s">
        <v>19863</v>
      </c>
      <c r="F4919" t="s">
        <v>4629</v>
      </c>
      <c r="G4919" t="s">
        <v>103</v>
      </c>
      <c r="H4919">
        <v>191412741</v>
      </c>
      <c r="I4919" t="s">
        <v>30</v>
      </c>
      <c r="J4919" t="s">
        <v>41</v>
      </c>
      <c r="K4919" t="s">
        <v>59</v>
      </c>
      <c r="Q4919">
        <v>0</v>
      </c>
      <c r="R4919">
        <v>0</v>
      </c>
      <c r="S4919">
        <v>0</v>
      </c>
    </row>
    <row r="4920" spans="1:20" customFormat="1" ht="15" x14ac:dyDescent="0.25">
      <c r="A4920" t="s">
        <v>35</v>
      </c>
      <c r="B4920" t="s">
        <v>61</v>
      </c>
      <c r="C4920" t="str">
        <f>"A0184553"</f>
        <v>A0184553</v>
      </c>
      <c r="D4920" t="s">
        <v>19864</v>
      </c>
      <c r="E4920" t="s">
        <v>19865</v>
      </c>
      <c r="F4920" t="s">
        <v>19309</v>
      </c>
      <c r="G4920" t="s">
        <v>103</v>
      </c>
      <c r="H4920" t="s">
        <v>19866</v>
      </c>
      <c r="I4920" t="s">
        <v>30</v>
      </c>
      <c r="J4920" t="s">
        <v>41</v>
      </c>
      <c r="K4920" t="s">
        <v>59</v>
      </c>
      <c r="Q4920">
        <v>0</v>
      </c>
      <c r="R4920">
        <v>0</v>
      </c>
      <c r="S4920">
        <v>0</v>
      </c>
    </row>
    <row r="4921" spans="1:20" customFormat="1" ht="15" x14ac:dyDescent="0.25">
      <c r="A4921" t="s">
        <v>35</v>
      </c>
      <c r="B4921" t="s">
        <v>61</v>
      </c>
      <c r="C4921" t="str">
        <f>"A0184552"</f>
        <v>A0184552</v>
      </c>
      <c r="D4921" t="s">
        <v>19867</v>
      </c>
      <c r="E4921" t="s">
        <v>19868</v>
      </c>
      <c r="F4921" t="s">
        <v>19869</v>
      </c>
      <c r="G4921" t="s">
        <v>103</v>
      </c>
      <c r="H4921" t="s">
        <v>19870</v>
      </c>
      <c r="I4921" t="s">
        <v>30</v>
      </c>
      <c r="J4921" t="s">
        <v>41</v>
      </c>
      <c r="K4921" t="s">
        <v>59</v>
      </c>
      <c r="Q4921">
        <v>0</v>
      </c>
      <c r="R4921">
        <v>306</v>
      </c>
      <c r="S4921">
        <v>306</v>
      </c>
      <c r="T4921" t="s">
        <v>19871</v>
      </c>
    </row>
    <row r="4922" spans="1:20" customFormat="1" ht="15" x14ac:dyDescent="0.25">
      <c r="A4922" t="s">
        <v>35</v>
      </c>
      <c r="B4922" t="s">
        <v>19872</v>
      </c>
      <c r="C4922" t="str">
        <f>"A0184551"</f>
        <v>A0184551</v>
      </c>
      <c r="D4922" t="s">
        <v>19873</v>
      </c>
      <c r="E4922" t="s">
        <v>19874</v>
      </c>
      <c r="F4922" t="s">
        <v>3009</v>
      </c>
      <c r="G4922" t="s">
        <v>103</v>
      </c>
      <c r="H4922">
        <v>176065093</v>
      </c>
      <c r="I4922" t="s">
        <v>30</v>
      </c>
      <c r="J4922" t="s">
        <v>41</v>
      </c>
      <c r="K4922" t="s">
        <v>59</v>
      </c>
      <c r="Q4922">
        <v>0</v>
      </c>
      <c r="R4922">
        <v>198</v>
      </c>
      <c r="S4922">
        <v>198</v>
      </c>
      <c r="T4922" t="s">
        <v>19875</v>
      </c>
    </row>
    <row r="4923" spans="1:20" customFormat="1" ht="15" x14ac:dyDescent="0.25">
      <c r="A4923" t="s">
        <v>35</v>
      </c>
      <c r="B4923" t="s">
        <v>61</v>
      </c>
      <c r="C4923" t="str">
        <f>"A0184550"</f>
        <v>A0184550</v>
      </c>
      <c r="D4923" t="s">
        <v>19876</v>
      </c>
      <c r="E4923" t="s">
        <v>19877</v>
      </c>
      <c r="F4923" t="s">
        <v>3301</v>
      </c>
      <c r="G4923" t="s">
        <v>103</v>
      </c>
      <c r="H4923" t="s">
        <v>19878</v>
      </c>
      <c r="I4923" t="s">
        <v>30</v>
      </c>
      <c r="J4923" t="s">
        <v>41</v>
      </c>
      <c r="K4923" t="s">
        <v>59</v>
      </c>
      <c r="Q4923">
        <v>0</v>
      </c>
      <c r="R4923">
        <v>193</v>
      </c>
      <c r="S4923">
        <v>193</v>
      </c>
      <c r="T4923" t="s">
        <v>19879</v>
      </c>
    </row>
    <row r="4924" spans="1:20" customFormat="1" ht="15" x14ac:dyDescent="0.25">
      <c r="A4924" t="s">
        <v>35</v>
      </c>
      <c r="B4924" t="s">
        <v>61</v>
      </c>
      <c r="C4924" t="str">
        <f>"A0184549"</f>
        <v>A0184549</v>
      </c>
      <c r="D4924" t="s">
        <v>19880</v>
      </c>
      <c r="E4924" t="s">
        <v>19881</v>
      </c>
      <c r="F4924" t="s">
        <v>19882</v>
      </c>
      <c r="G4924" t="s">
        <v>338</v>
      </c>
      <c r="H4924">
        <v>7834</v>
      </c>
      <c r="I4924" t="s">
        <v>30</v>
      </c>
      <c r="J4924" t="s">
        <v>41</v>
      </c>
      <c r="K4924" t="s">
        <v>59</v>
      </c>
      <c r="Q4924">
        <v>0</v>
      </c>
      <c r="R4924">
        <v>118</v>
      </c>
      <c r="S4924">
        <v>118</v>
      </c>
      <c r="T4924" t="s">
        <v>19883</v>
      </c>
    </row>
    <row r="4925" spans="1:20" customFormat="1" ht="15" x14ac:dyDescent="0.25">
      <c r="A4925" t="s">
        <v>35</v>
      </c>
      <c r="B4925" t="s">
        <v>11871</v>
      </c>
      <c r="C4925" t="str">
        <f>"A0184548"</f>
        <v>A0184548</v>
      </c>
      <c r="D4925" t="s">
        <v>19884</v>
      </c>
      <c r="E4925" t="s">
        <v>19885</v>
      </c>
      <c r="F4925" t="s">
        <v>9151</v>
      </c>
      <c r="G4925" t="s">
        <v>338</v>
      </c>
      <c r="H4925" t="s">
        <v>19886</v>
      </c>
      <c r="I4925" t="s">
        <v>30</v>
      </c>
      <c r="J4925" t="s">
        <v>41</v>
      </c>
      <c r="K4925" t="s">
        <v>59</v>
      </c>
      <c r="Q4925">
        <v>0</v>
      </c>
      <c r="R4925">
        <v>0</v>
      </c>
      <c r="S4925">
        <v>0</v>
      </c>
      <c r="T4925" t="s">
        <v>19887</v>
      </c>
    </row>
    <row r="4926" spans="1:20" customFormat="1" ht="15" x14ac:dyDescent="0.25">
      <c r="A4926" t="s">
        <v>35</v>
      </c>
      <c r="B4926" t="s">
        <v>61</v>
      </c>
      <c r="C4926" t="str">
        <f>"A0184547"</f>
        <v>A0184547</v>
      </c>
      <c r="D4926" t="s">
        <v>19888</v>
      </c>
      <c r="E4926" t="s">
        <v>19889</v>
      </c>
      <c r="F4926" t="s">
        <v>4112</v>
      </c>
      <c r="G4926" t="s">
        <v>71</v>
      </c>
      <c r="H4926" t="s">
        <v>19890</v>
      </c>
      <c r="I4926" t="s">
        <v>30</v>
      </c>
      <c r="J4926" t="s">
        <v>41</v>
      </c>
      <c r="K4926" t="s">
        <v>59</v>
      </c>
      <c r="Q4926">
        <v>0</v>
      </c>
      <c r="R4926">
        <v>0</v>
      </c>
      <c r="S4926">
        <v>0</v>
      </c>
      <c r="T4926" t="s">
        <v>19891</v>
      </c>
    </row>
    <row r="4927" spans="1:20" customFormat="1" ht="15" x14ac:dyDescent="0.25">
      <c r="A4927" t="s">
        <v>35</v>
      </c>
      <c r="B4927" t="s">
        <v>61</v>
      </c>
      <c r="C4927" t="str">
        <f>"A0184546"</f>
        <v>A0184546</v>
      </c>
      <c r="D4927" t="s">
        <v>19892</v>
      </c>
      <c r="E4927" t="s">
        <v>19893</v>
      </c>
      <c r="F4927" t="s">
        <v>19894</v>
      </c>
      <c r="G4927" t="s">
        <v>71</v>
      </c>
      <c r="H4927" t="s">
        <v>19895</v>
      </c>
      <c r="I4927" t="s">
        <v>30</v>
      </c>
      <c r="J4927" t="s">
        <v>41</v>
      </c>
      <c r="K4927" t="s">
        <v>59</v>
      </c>
      <c r="Q4927">
        <v>0</v>
      </c>
      <c r="R4927">
        <v>0</v>
      </c>
      <c r="S4927">
        <v>0</v>
      </c>
      <c r="T4927" t="s">
        <v>19896</v>
      </c>
    </row>
    <row r="4928" spans="1:20" customFormat="1" ht="15" x14ac:dyDescent="0.25">
      <c r="A4928" t="s">
        <v>35</v>
      </c>
      <c r="B4928" t="s">
        <v>11871</v>
      </c>
      <c r="C4928" t="str">
        <f>"A0184545"</f>
        <v>A0184545</v>
      </c>
      <c r="D4928" t="s">
        <v>19897</v>
      </c>
      <c r="E4928" t="s">
        <v>19898</v>
      </c>
      <c r="F4928" t="s">
        <v>19899</v>
      </c>
      <c r="G4928" t="s">
        <v>71</v>
      </c>
      <c r="H4928" t="s">
        <v>19900</v>
      </c>
      <c r="I4928" t="s">
        <v>30</v>
      </c>
      <c r="J4928" t="s">
        <v>41</v>
      </c>
      <c r="K4928" t="s">
        <v>59</v>
      </c>
      <c r="Q4928">
        <v>0</v>
      </c>
      <c r="R4928">
        <v>0</v>
      </c>
      <c r="S4928">
        <v>0</v>
      </c>
    </row>
    <row r="4929" spans="1:20" customFormat="1" ht="15" x14ac:dyDescent="0.25">
      <c r="A4929" t="s">
        <v>35</v>
      </c>
      <c r="B4929" t="s">
        <v>12201</v>
      </c>
      <c r="C4929" t="str">
        <f>"A0184544"</f>
        <v>A0184544</v>
      </c>
      <c r="D4929" t="s">
        <v>19901</v>
      </c>
      <c r="E4929" t="s">
        <v>19627</v>
      </c>
      <c r="F4929" t="s">
        <v>4629</v>
      </c>
      <c r="G4929" t="s">
        <v>103</v>
      </c>
      <c r="H4929">
        <v>191435945</v>
      </c>
      <c r="I4929" t="s">
        <v>30</v>
      </c>
      <c r="J4929" t="s">
        <v>41</v>
      </c>
      <c r="K4929" t="s">
        <v>59</v>
      </c>
      <c r="Q4929">
        <v>0</v>
      </c>
      <c r="R4929">
        <v>0</v>
      </c>
      <c r="S4929">
        <v>0</v>
      </c>
      <c r="T4929" t="s">
        <v>19628</v>
      </c>
    </row>
    <row r="4930" spans="1:20" customFormat="1" ht="15" x14ac:dyDescent="0.25">
      <c r="A4930" t="s">
        <v>35</v>
      </c>
      <c r="B4930" t="s">
        <v>61</v>
      </c>
      <c r="C4930" t="str">
        <f>"A0184543"</f>
        <v>A0184543</v>
      </c>
      <c r="D4930" t="s">
        <v>19902</v>
      </c>
      <c r="E4930" t="s">
        <v>19903</v>
      </c>
      <c r="F4930" t="s">
        <v>19773</v>
      </c>
      <c r="G4930" t="s">
        <v>103</v>
      </c>
      <c r="H4930">
        <v>17557</v>
      </c>
      <c r="I4930" t="s">
        <v>30</v>
      </c>
      <c r="J4930" t="s">
        <v>41</v>
      </c>
      <c r="K4930" t="s">
        <v>59</v>
      </c>
      <c r="Q4930">
        <v>0</v>
      </c>
      <c r="R4930">
        <v>688</v>
      </c>
      <c r="S4930">
        <v>688</v>
      </c>
      <c r="T4930" t="s">
        <v>19904</v>
      </c>
    </row>
    <row r="4931" spans="1:20" customFormat="1" ht="15" x14ac:dyDescent="0.25">
      <c r="A4931" t="s">
        <v>35</v>
      </c>
      <c r="B4931" t="s">
        <v>61</v>
      </c>
      <c r="C4931" t="str">
        <f>"A0184542"</f>
        <v>A0184542</v>
      </c>
      <c r="D4931" t="s">
        <v>19905</v>
      </c>
      <c r="E4931" t="s">
        <v>19906</v>
      </c>
      <c r="F4931" t="s">
        <v>19322</v>
      </c>
      <c r="G4931" t="s">
        <v>103</v>
      </c>
      <c r="H4931">
        <v>15101</v>
      </c>
      <c r="I4931" t="s">
        <v>30</v>
      </c>
      <c r="J4931" t="s">
        <v>41</v>
      </c>
      <c r="K4931" t="s">
        <v>59</v>
      </c>
      <c r="Q4931">
        <v>0</v>
      </c>
      <c r="R4931">
        <v>0</v>
      </c>
      <c r="S4931">
        <v>0</v>
      </c>
      <c r="T4931" t="s">
        <v>19907</v>
      </c>
    </row>
    <row r="4932" spans="1:20" customFormat="1" ht="15" x14ac:dyDescent="0.25">
      <c r="A4932" t="s">
        <v>35</v>
      </c>
      <c r="B4932" t="s">
        <v>61</v>
      </c>
      <c r="C4932" t="str">
        <f>"A0184541"</f>
        <v>A0184541</v>
      </c>
      <c r="D4932" t="s">
        <v>19908</v>
      </c>
      <c r="E4932" t="s">
        <v>19868</v>
      </c>
      <c r="F4932" t="s">
        <v>19869</v>
      </c>
      <c r="G4932" t="s">
        <v>103</v>
      </c>
      <c r="H4932" t="s">
        <v>19870</v>
      </c>
      <c r="I4932" t="s">
        <v>30</v>
      </c>
      <c r="J4932" t="s">
        <v>41</v>
      </c>
      <c r="K4932" t="s">
        <v>59</v>
      </c>
      <c r="Q4932">
        <v>0</v>
      </c>
      <c r="R4932">
        <v>0</v>
      </c>
      <c r="S4932">
        <v>0</v>
      </c>
      <c r="T4932" t="s">
        <v>19871</v>
      </c>
    </row>
    <row r="4933" spans="1:20" customFormat="1" ht="15" x14ac:dyDescent="0.25">
      <c r="A4933" t="s">
        <v>35</v>
      </c>
      <c r="B4933" t="s">
        <v>61</v>
      </c>
      <c r="C4933" t="str">
        <f>"A0184540"</f>
        <v>A0184540</v>
      </c>
      <c r="D4933" t="s">
        <v>19909</v>
      </c>
      <c r="E4933" t="s">
        <v>19910</v>
      </c>
      <c r="F4933" t="s">
        <v>19911</v>
      </c>
      <c r="G4933" t="s">
        <v>338</v>
      </c>
      <c r="H4933">
        <v>7716</v>
      </c>
      <c r="I4933" t="s">
        <v>30</v>
      </c>
      <c r="J4933" t="s">
        <v>41</v>
      </c>
      <c r="K4933" t="s">
        <v>59</v>
      </c>
      <c r="Q4933">
        <v>0</v>
      </c>
      <c r="R4933">
        <v>0</v>
      </c>
      <c r="S4933">
        <v>0</v>
      </c>
      <c r="T4933" t="s">
        <v>19912</v>
      </c>
    </row>
    <row r="4934" spans="1:20" customFormat="1" ht="15" x14ac:dyDescent="0.25">
      <c r="A4934" t="s">
        <v>35</v>
      </c>
      <c r="B4934" t="s">
        <v>61</v>
      </c>
      <c r="C4934" t="str">
        <f>"A0184539"</f>
        <v>A0184539</v>
      </c>
      <c r="D4934" t="s">
        <v>19913</v>
      </c>
      <c r="E4934" t="s">
        <v>19914</v>
      </c>
      <c r="F4934" t="s">
        <v>19915</v>
      </c>
      <c r="G4934" t="s">
        <v>846</v>
      </c>
      <c r="H4934" t="s">
        <v>19916</v>
      </c>
      <c r="I4934" t="s">
        <v>30</v>
      </c>
      <c r="J4934" t="s">
        <v>41</v>
      </c>
      <c r="K4934" t="s">
        <v>59</v>
      </c>
      <c r="Q4934">
        <v>0</v>
      </c>
      <c r="R4934">
        <v>0</v>
      </c>
      <c r="S4934">
        <v>0</v>
      </c>
    </row>
    <row r="4935" spans="1:20" customFormat="1" ht="15" x14ac:dyDescent="0.25">
      <c r="A4935" t="s">
        <v>35</v>
      </c>
      <c r="B4935" t="s">
        <v>61</v>
      </c>
      <c r="C4935" t="str">
        <f>"A0184538"</f>
        <v>A0184538</v>
      </c>
      <c r="D4935" t="s">
        <v>19917</v>
      </c>
      <c r="E4935" t="s">
        <v>19918</v>
      </c>
      <c r="F4935" t="s">
        <v>4629</v>
      </c>
      <c r="G4935" t="s">
        <v>103</v>
      </c>
      <c r="H4935" t="s">
        <v>19919</v>
      </c>
      <c r="I4935" t="s">
        <v>30</v>
      </c>
      <c r="J4935" t="s">
        <v>41</v>
      </c>
      <c r="K4935" t="s">
        <v>59</v>
      </c>
      <c r="Q4935">
        <v>0</v>
      </c>
      <c r="R4935">
        <v>0</v>
      </c>
      <c r="S4935">
        <v>0</v>
      </c>
    </row>
    <row r="4936" spans="1:20" customFormat="1" ht="15" x14ac:dyDescent="0.25">
      <c r="A4936" t="s">
        <v>35</v>
      </c>
      <c r="B4936" t="s">
        <v>12201</v>
      </c>
      <c r="C4936" t="str">
        <f>"A0184537"</f>
        <v>A0184537</v>
      </c>
      <c r="D4936" t="s">
        <v>19920</v>
      </c>
      <c r="E4936" t="s">
        <v>19921</v>
      </c>
      <c r="F4936" t="s">
        <v>4629</v>
      </c>
      <c r="G4936" t="s">
        <v>103</v>
      </c>
      <c r="H4936">
        <v>191435932</v>
      </c>
      <c r="I4936" t="s">
        <v>30</v>
      </c>
      <c r="J4936" t="s">
        <v>41</v>
      </c>
      <c r="K4936" t="s">
        <v>59</v>
      </c>
      <c r="Q4936">
        <v>0</v>
      </c>
      <c r="R4936">
        <v>59</v>
      </c>
      <c r="S4936">
        <v>59</v>
      </c>
      <c r="T4936" t="s">
        <v>19922</v>
      </c>
    </row>
    <row r="4937" spans="1:20" customFormat="1" ht="15" x14ac:dyDescent="0.25">
      <c r="A4937" t="s">
        <v>35</v>
      </c>
      <c r="B4937" t="s">
        <v>61</v>
      </c>
      <c r="C4937" t="str">
        <f>"A0184536"</f>
        <v>A0184536</v>
      </c>
      <c r="D4937" t="s">
        <v>19923</v>
      </c>
      <c r="E4937" t="s">
        <v>19924</v>
      </c>
      <c r="F4937" t="s">
        <v>4629</v>
      </c>
      <c r="G4937" t="s">
        <v>103</v>
      </c>
      <c r="H4937" t="s">
        <v>19925</v>
      </c>
      <c r="I4937" t="s">
        <v>30</v>
      </c>
      <c r="J4937" t="s">
        <v>41</v>
      </c>
      <c r="K4937" t="s">
        <v>59</v>
      </c>
      <c r="Q4937">
        <v>0</v>
      </c>
      <c r="R4937">
        <v>176</v>
      </c>
      <c r="S4937">
        <v>176</v>
      </c>
      <c r="T4937" t="s">
        <v>19926</v>
      </c>
    </row>
    <row r="4938" spans="1:20" customFormat="1" ht="15" x14ac:dyDescent="0.25">
      <c r="A4938" t="s">
        <v>35</v>
      </c>
      <c r="B4938" t="s">
        <v>61</v>
      </c>
      <c r="C4938" t="str">
        <f>"A0184535"</f>
        <v>A0184535</v>
      </c>
      <c r="D4938" t="s">
        <v>19927</v>
      </c>
      <c r="E4938" t="s">
        <v>19928</v>
      </c>
      <c r="F4938" t="s">
        <v>4112</v>
      </c>
      <c r="G4938" t="s">
        <v>71</v>
      </c>
      <c r="H4938" t="s">
        <v>19929</v>
      </c>
      <c r="I4938" t="s">
        <v>30</v>
      </c>
      <c r="J4938" t="s">
        <v>41</v>
      </c>
      <c r="K4938" t="s">
        <v>59</v>
      </c>
      <c r="Q4938">
        <v>0</v>
      </c>
      <c r="R4938">
        <v>108</v>
      </c>
      <c r="S4938">
        <v>108</v>
      </c>
      <c r="T4938" t="s">
        <v>19930</v>
      </c>
    </row>
    <row r="4939" spans="1:20" customFormat="1" ht="15" x14ac:dyDescent="0.25">
      <c r="A4939" t="s">
        <v>35</v>
      </c>
      <c r="B4939" t="s">
        <v>61</v>
      </c>
      <c r="C4939" t="str">
        <f>"A0184534"</f>
        <v>A0184534</v>
      </c>
      <c r="D4939" t="s">
        <v>19931</v>
      </c>
      <c r="E4939" t="s">
        <v>19932</v>
      </c>
      <c r="F4939" t="s">
        <v>12497</v>
      </c>
      <c r="G4939" t="s">
        <v>71</v>
      </c>
      <c r="H4939" t="s">
        <v>19933</v>
      </c>
      <c r="I4939" t="s">
        <v>30</v>
      </c>
      <c r="J4939" t="s">
        <v>41</v>
      </c>
      <c r="K4939" t="s">
        <v>59</v>
      </c>
      <c r="Q4939">
        <v>0</v>
      </c>
      <c r="R4939">
        <v>0</v>
      </c>
      <c r="S4939">
        <v>0</v>
      </c>
      <c r="T4939" t="s">
        <v>19934</v>
      </c>
    </row>
    <row r="4940" spans="1:20" customFormat="1" ht="15" x14ac:dyDescent="0.25">
      <c r="A4940" t="s">
        <v>35</v>
      </c>
      <c r="B4940" t="s">
        <v>61</v>
      </c>
      <c r="C4940" t="str">
        <f>"A0184532"</f>
        <v>A0184532</v>
      </c>
      <c r="D4940" t="s">
        <v>19935</v>
      </c>
      <c r="E4940" t="s">
        <v>19936</v>
      </c>
      <c r="F4940" t="s">
        <v>19937</v>
      </c>
      <c r="G4940" t="s">
        <v>103</v>
      </c>
      <c r="H4940" t="s">
        <v>19938</v>
      </c>
      <c r="I4940" t="s">
        <v>30</v>
      </c>
      <c r="J4940" t="s">
        <v>41</v>
      </c>
      <c r="K4940" t="s">
        <v>59</v>
      </c>
      <c r="Q4940">
        <v>0</v>
      </c>
      <c r="R4940">
        <v>0</v>
      </c>
      <c r="S4940">
        <v>0</v>
      </c>
      <c r="T4940" t="s">
        <v>19939</v>
      </c>
    </row>
    <row r="4941" spans="1:20" customFormat="1" ht="15" x14ac:dyDescent="0.25">
      <c r="A4941" t="s">
        <v>35</v>
      </c>
      <c r="B4941" t="s">
        <v>15885</v>
      </c>
      <c r="C4941" t="str">
        <f>"A0184531"</f>
        <v>A0184531</v>
      </c>
      <c r="D4941" t="s">
        <v>19940</v>
      </c>
      <c r="E4941" t="s">
        <v>19941</v>
      </c>
      <c r="F4941" t="s">
        <v>4629</v>
      </c>
      <c r="G4941" t="s">
        <v>103</v>
      </c>
      <c r="H4941">
        <v>191362160</v>
      </c>
      <c r="I4941" t="s">
        <v>30</v>
      </c>
      <c r="J4941" t="s">
        <v>41</v>
      </c>
      <c r="K4941" t="s">
        <v>59</v>
      </c>
      <c r="Q4941">
        <v>0</v>
      </c>
      <c r="R4941">
        <v>0</v>
      </c>
      <c r="S4941">
        <v>0</v>
      </c>
    </row>
    <row r="4942" spans="1:20" customFormat="1" ht="15" x14ac:dyDescent="0.25">
      <c r="A4942" t="s">
        <v>35</v>
      </c>
      <c r="B4942" t="s">
        <v>12201</v>
      </c>
      <c r="C4942" t="str">
        <f>"A0184530"</f>
        <v>A0184530</v>
      </c>
      <c r="D4942" t="s">
        <v>19942</v>
      </c>
      <c r="E4942" t="s">
        <v>19943</v>
      </c>
      <c r="F4942" t="s">
        <v>4629</v>
      </c>
      <c r="G4942" t="s">
        <v>103</v>
      </c>
      <c r="H4942">
        <v>191283513</v>
      </c>
      <c r="I4942" t="s">
        <v>30</v>
      </c>
      <c r="J4942" t="s">
        <v>41</v>
      </c>
      <c r="K4942" t="s">
        <v>59</v>
      </c>
      <c r="Q4942">
        <v>0</v>
      </c>
      <c r="R4942">
        <v>0</v>
      </c>
      <c r="S4942">
        <v>0</v>
      </c>
    </row>
    <row r="4943" spans="1:20" customFormat="1" ht="15" x14ac:dyDescent="0.25">
      <c r="A4943" t="s">
        <v>35</v>
      </c>
      <c r="B4943" t="s">
        <v>61</v>
      </c>
      <c r="C4943" t="str">
        <f>"A0184529"</f>
        <v>A0184529</v>
      </c>
      <c r="D4943" t="s">
        <v>19944</v>
      </c>
      <c r="E4943" t="s">
        <v>19945</v>
      </c>
      <c r="F4943" t="s">
        <v>4629</v>
      </c>
      <c r="G4943" t="s">
        <v>103</v>
      </c>
      <c r="H4943" t="s">
        <v>19946</v>
      </c>
      <c r="I4943" t="s">
        <v>30</v>
      </c>
      <c r="J4943" t="s">
        <v>41</v>
      </c>
      <c r="K4943" t="s">
        <v>59</v>
      </c>
      <c r="Q4943">
        <v>0</v>
      </c>
      <c r="R4943">
        <v>0</v>
      </c>
      <c r="S4943">
        <v>0</v>
      </c>
    </row>
    <row r="4944" spans="1:20" customFormat="1" ht="15" x14ac:dyDescent="0.25">
      <c r="A4944" t="s">
        <v>35</v>
      </c>
      <c r="B4944" t="s">
        <v>61</v>
      </c>
      <c r="C4944" t="str">
        <f>"A0184528"</f>
        <v>A0184528</v>
      </c>
      <c r="D4944" t="s">
        <v>19947</v>
      </c>
      <c r="E4944" t="s">
        <v>19948</v>
      </c>
      <c r="F4944" t="s">
        <v>19949</v>
      </c>
      <c r="G4944" t="s">
        <v>338</v>
      </c>
      <c r="H4944" t="s">
        <v>19950</v>
      </c>
      <c r="I4944" t="s">
        <v>30</v>
      </c>
      <c r="J4944" t="s">
        <v>41</v>
      </c>
      <c r="K4944" t="s">
        <v>59</v>
      </c>
      <c r="Q4944">
        <v>0</v>
      </c>
      <c r="R4944">
        <v>0</v>
      </c>
      <c r="S4944">
        <v>0</v>
      </c>
      <c r="T4944" t="s">
        <v>19951</v>
      </c>
    </row>
    <row r="4945" spans="1:20" customFormat="1" ht="15" x14ac:dyDescent="0.25">
      <c r="A4945" t="s">
        <v>35</v>
      </c>
      <c r="B4945" t="s">
        <v>9920</v>
      </c>
      <c r="C4945" t="str">
        <f>"A0184527"</f>
        <v>A0184527</v>
      </c>
      <c r="D4945" t="s">
        <v>19952</v>
      </c>
      <c r="E4945" t="s">
        <v>19953</v>
      </c>
      <c r="F4945" t="s">
        <v>18956</v>
      </c>
      <c r="G4945" t="s">
        <v>103</v>
      </c>
      <c r="H4945">
        <v>15825</v>
      </c>
      <c r="I4945" t="s">
        <v>30</v>
      </c>
      <c r="J4945" t="s">
        <v>41</v>
      </c>
      <c r="K4945" t="s">
        <v>59</v>
      </c>
      <c r="Q4945">
        <v>0</v>
      </c>
      <c r="R4945">
        <v>0</v>
      </c>
      <c r="S4945">
        <v>0</v>
      </c>
      <c r="T4945" t="s">
        <v>19954</v>
      </c>
    </row>
    <row r="4946" spans="1:20" customFormat="1" ht="15" x14ac:dyDescent="0.25">
      <c r="A4946" t="s">
        <v>35</v>
      </c>
      <c r="B4946" t="s">
        <v>9920</v>
      </c>
      <c r="C4946" t="str">
        <f>"A0184526"</f>
        <v>A0184526</v>
      </c>
      <c r="D4946" t="s">
        <v>19955</v>
      </c>
      <c r="E4946" t="s">
        <v>19956</v>
      </c>
      <c r="F4946" t="s">
        <v>18956</v>
      </c>
      <c r="G4946" t="s">
        <v>103</v>
      </c>
      <c r="H4946" t="s">
        <v>19957</v>
      </c>
      <c r="I4946" t="s">
        <v>30</v>
      </c>
      <c r="J4946" t="s">
        <v>41</v>
      </c>
      <c r="K4946" t="s">
        <v>59</v>
      </c>
      <c r="Q4946">
        <v>0</v>
      </c>
      <c r="R4946">
        <v>90</v>
      </c>
      <c r="S4946">
        <v>90</v>
      </c>
      <c r="T4946" t="s">
        <v>19958</v>
      </c>
    </row>
    <row r="4947" spans="1:20" customFormat="1" ht="15" x14ac:dyDescent="0.25">
      <c r="A4947" t="s">
        <v>35</v>
      </c>
      <c r="B4947" t="s">
        <v>61</v>
      </c>
      <c r="C4947" t="str">
        <f>"A0184525"</f>
        <v>A0184525</v>
      </c>
      <c r="D4947" t="s">
        <v>19959</v>
      </c>
      <c r="E4947" t="s">
        <v>18793</v>
      </c>
      <c r="F4947" t="s">
        <v>102</v>
      </c>
      <c r="G4947" t="s">
        <v>103</v>
      </c>
      <c r="H4947" t="s">
        <v>18794</v>
      </c>
      <c r="I4947" t="s">
        <v>30</v>
      </c>
      <c r="J4947" t="s">
        <v>41</v>
      </c>
      <c r="K4947" t="s">
        <v>59</v>
      </c>
      <c r="Q4947">
        <v>0</v>
      </c>
      <c r="R4947">
        <v>0</v>
      </c>
      <c r="S4947">
        <v>0</v>
      </c>
      <c r="T4947" t="s">
        <v>19960</v>
      </c>
    </row>
    <row r="4948" spans="1:20" customFormat="1" ht="15" x14ac:dyDescent="0.25">
      <c r="A4948" t="s">
        <v>35</v>
      </c>
      <c r="B4948" t="s">
        <v>61</v>
      </c>
      <c r="C4948" t="str">
        <f>"A0184524"</f>
        <v>A0184524</v>
      </c>
      <c r="D4948" t="s">
        <v>19961</v>
      </c>
      <c r="E4948" t="s">
        <v>19962</v>
      </c>
      <c r="F4948" t="s">
        <v>19449</v>
      </c>
      <c r="G4948" t="s">
        <v>103</v>
      </c>
      <c r="H4948" t="s">
        <v>19963</v>
      </c>
      <c r="I4948" t="s">
        <v>30</v>
      </c>
      <c r="J4948" t="s">
        <v>41</v>
      </c>
      <c r="K4948" t="s">
        <v>59</v>
      </c>
      <c r="Q4948">
        <v>0</v>
      </c>
      <c r="R4948">
        <v>0</v>
      </c>
      <c r="S4948">
        <v>0</v>
      </c>
      <c r="T4948" t="s">
        <v>19964</v>
      </c>
    </row>
    <row r="4949" spans="1:20" customFormat="1" ht="15" x14ac:dyDescent="0.25">
      <c r="A4949" t="s">
        <v>35</v>
      </c>
      <c r="B4949" t="s">
        <v>61</v>
      </c>
      <c r="C4949" t="str">
        <f>"A0184523"</f>
        <v>A0184523</v>
      </c>
      <c r="D4949" t="s">
        <v>19965</v>
      </c>
      <c r="E4949" t="s">
        <v>19966</v>
      </c>
      <c r="F4949" t="s">
        <v>5781</v>
      </c>
      <c r="G4949" t="s">
        <v>103</v>
      </c>
      <c r="H4949">
        <v>17404</v>
      </c>
      <c r="I4949" t="s">
        <v>30</v>
      </c>
      <c r="J4949" t="s">
        <v>41</v>
      </c>
      <c r="K4949" t="s">
        <v>59</v>
      </c>
      <c r="Q4949">
        <v>0</v>
      </c>
      <c r="R4949">
        <v>0</v>
      </c>
      <c r="S4949">
        <v>0</v>
      </c>
      <c r="T4949" t="s">
        <v>19967</v>
      </c>
    </row>
    <row r="4950" spans="1:20" customFormat="1" ht="15" x14ac:dyDescent="0.25">
      <c r="A4950" t="s">
        <v>35</v>
      </c>
      <c r="B4950" t="s">
        <v>61</v>
      </c>
      <c r="C4950" t="str">
        <f>"A0184522"</f>
        <v>A0184522</v>
      </c>
      <c r="D4950" t="s">
        <v>19968</v>
      </c>
      <c r="E4950" t="s">
        <v>19969</v>
      </c>
      <c r="F4950" t="s">
        <v>4746</v>
      </c>
      <c r="G4950" t="s">
        <v>103</v>
      </c>
      <c r="H4950" t="s">
        <v>19970</v>
      </c>
      <c r="I4950" t="s">
        <v>30</v>
      </c>
      <c r="J4950" t="s">
        <v>41</v>
      </c>
      <c r="K4950" t="s">
        <v>59</v>
      </c>
      <c r="Q4950">
        <v>0</v>
      </c>
      <c r="R4950">
        <v>0</v>
      </c>
      <c r="S4950">
        <v>0</v>
      </c>
      <c r="T4950" t="s">
        <v>19971</v>
      </c>
    </row>
    <row r="4951" spans="1:20" customFormat="1" ht="15" x14ac:dyDescent="0.25">
      <c r="A4951" t="s">
        <v>35</v>
      </c>
      <c r="B4951" t="s">
        <v>15885</v>
      </c>
      <c r="C4951" t="str">
        <f>"A0184521"</f>
        <v>A0184521</v>
      </c>
      <c r="D4951" t="s">
        <v>19972</v>
      </c>
      <c r="E4951" t="s">
        <v>19973</v>
      </c>
      <c r="F4951" t="s">
        <v>4629</v>
      </c>
      <c r="G4951" t="s">
        <v>103</v>
      </c>
      <c r="H4951">
        <v>191033224</v>
      </c>
      <c r="I4951" t="s">
        <v>30</v>
      </c>
      <c r="J4951" t="s">
        <v>41</v>
      </c>
      <c r="K4951" t="s">
        <v>59</v>
      </c>
      <c r="Q4951">
        <v>0</v>
      </c>
      <c r="R4951">
        <v>0</v>
      </c>
      <c r="S4951">
        <v>0</v>
      </c>
    </row>
    <row r="4952" spans="1:20" customFormat="1" ht="15" x14ac:dyDescent="0.25">
      <c r="A4952" t="s">
        <v>35</v>
      </c>
      <c r="B4952" t="s">
        <v>61</v>
      </c>
      <c r="C4952" t="str">
        <f>"A0184520"</f>
        <v>A0184520</v>
      </c>
      <c r="D4952" t="s">
        <v>19974</v>
      </c>
      <c r="E4952" t="s">
        <v>19975</v>
      </c>
      <c r="F4952" t="s">
        <v>19976</v>
      </c>
      <c r="G4952" t="s">
        <v>103</v>
      </c>
      <c r="H4952" t="s">
        <v>19977</v>
      </c>
      <c r="I4952" t="s">
        <v>30</v>
      </c>
      <c r="J4952" t="s">
        <v>41</v>
      </c>
      <c r="K4952" t="s">
        <v>59</v>
      </c>
      <c r="Q4952">
        <v>0</v>
      </c>
      <c r="R4952">
        <v>0</v>
      </c>
      <c r="S4952">
        <v>0</v>
      </c>
    </row>
    <row r="4953" spans="1:20" customFormat="1" ht="15" x14ac:dyDescent="0.25">
      <c r="A4953" t="s">
        <v>35</v>
      </c>
      <c r="B4953" t="s">
        <v>61</v>
      </c>
      <c r="C4953" t="str">
        <f>"A0184519"</f>
        <v>A0184519</v>
      </c>
      <c r="D4953" t="s">
        <v>19978</v>
      </c>
      <c r="E4953" t="s">
        <v>19914</v>
      </c>
      <c r="F4953" t="s">
        <v>19915</v>
      </c>
      <c r="G4953" t="s">
        <v>846</v>
      </c>
      <c r="H4953" t="s">
        <v>19916</v>
      </c>
      <c r="I4953" t="s">
        <v>30</v>
      </c>
      <c r="J4953" t="s">
        <v>41</v>
      </c>
      <c r="K4953" t="s">
        <v>59</v>
      </c>
      <c r="Q4953">
        <v>0</v>
      </c>
      <c r="R4953">
        <v>0</v>
      </c>
      <c r="S4953">
        <v>0</v>
      </c>
    </row>
    <row r="4954" spans="1:20" customFormat="1" ht="15" x14ac:dyDescent="0.25">
      <c r="A4954" t="s">
        <v>35</v>
      </c>
      <c r="B4954" t="s">
        <v>12201</v>
      </c>
      <c r="C4954" t="str">
        <f>"A0184518"</f>
        <v>A0184518</v>
      </c>
      <c r="D4954" t="s">
        <v>19979</v>
      </c>
      <c r="E4954" t="s">
        <v>19980</v>
      </c>
      <c r="F4954" t="s">
        <v>4629</v>
      </c>
      <c r="G4954" t="s">
        <v>103</v>
      </c>
      <c r="H4954">
        <v>191464846</v>
      </c>
      <c r="I4954" t="s">
        <v>30</v>
      </c>
      <c r="J4954" t="s">
        <v>41</v>
      </c>
      <c r="K4954" t="s">
        <v>59</v>
      </c>
      <c r="Q4954">
        <v>0</v>
      </c>
      <c r="R4954">
        <v>0</v>
      </c>
      <c r="S4954">
        <v>0</v>
      </c>
      <c r="T4954" t="s">
        <v>19981</v>
      </c>
    </row>
    <row r="4955" spans="1:20" customFormat="1" ht="15" x14ac:dyDescent="0.25">
      <c r="A4955" t="s">
        <v>35</v>
      </c>
      <c r="B4955" t="s">
        <v>61</v>
      </c>
      <c r="C4955" t="str">
        <f>"A0184517"</f>
        <v>A0184517</v>
      </c>
      <c r="D4955" t="s">
        <v>19616</v>
      </c>
      <c r="E4955" t="s">
        <v>19627</v>
      </c>
      <c r="F4955" t="s">
        <v>4629</v>
      </c>
      <c r="G4955" t="s">
        <v>103</v>
      </c>
      <c r="H4955" t="s">
        <v>19982</v>
      </c>
      <c r="I4955" t="s">
        <v>30</v>
      </c>
      <c r="J4955" t="s">
        <v>41</v>
      </c>
      <c r="K4955" t="s">
        <v>59</v>
      </c>
      <c r="Q4955">
        <v>0</v>
      </c>
      <c r="R4955">
        <v>0</v>
      </c>
      <c r="S4955">
        <v>0</v>
      </c>
      <c r="T4955" t="s">
        <v>19619</v>
      </c>
    </row>
    <row r="4956" spans="1:20" customFormat="1" ht="15" x14ac:dyDescent="0.25">
      <c r="A4956" t="s">
        <v>35</v>
      </c>
      <c r="B4956" t="s">
        <v>61</v>
      </c>
      <c r="C4956" t="str">
        <f>"A0184516"</f>
        <v>A0184516</v>
      </c>
      <c r="D4956" t="s">
        <v>19983</v>
      </c>
      <c r="E4956" t="s">
        <v>19984</v>
      </c>
      <c r="F4956" t="s">
        <v>19985</v>
      </c>
      <c r="G4956" t="s">
        <v>846</v>
      </c>
      <c r="H4956">
        <v>30817</v>
      </c>
      <c r="I4956" t="s">
        <v>30</v>
      </c>
      <c r="J4956" t="s">
        <v>41</v>
      </c>
      <c r="K4956" t="s">
        <v>59</v>
      </c>
      <c r="Q4956">
        <v>0</v>
      </c>
      <c r="R4956">
        <v>0</v>
      </c>
      <c r="S4956">
        <v>0</v>
      </c>
      <c r="T4956" t="s">
        <v>19986</v>
      </c>
    </row>
    <row r="4957" spans="1:20" customFormat="1" ht="15" x14ac:dyDescent="0.25">
      <c r="A4957" t="s">
        <v>35</v>
      </c>
      <c r="B4957" t="s">
        <v>61</v>
      </c>
      <c r="C4957" t="str">
        <f>"A0184514"</f>
        <v>A0184514</v>
      </c>
      <c r="D4957" t="s">
        <v>19987</v>
      </c>
      <c r="E4957" t="s">
        <v>19988</v>
      </c>
      <c r="F4957" t="s">
        <v>19989</v>
      </c>
      <c r="G4957" t="s">
        <v>103</v>
      </c>
      <c r="H4957" t="s">
        <v>19990</v>
      </c>
      <c r="I4957" t="s">
        <v>30</v>
      </c>
      <c r="J4957" t="s">
        <v>41</v>
      </c>
      <c r="K4957" t="s">
        <v>59</v>
      </c>
      <c r="Q4957">
        <v>0</v>
      </c>
      <c r="R4957">
        <v>0</v>
      </c>
      <c r="S4957">
        <v>0</v>
      </c>
    </row>
    <row r="4958" spans="1:20" customFormat="1" ht="15" x14ac:dyDescent="0.25">
      <c r="A4958" t="s">
        <v>35</v>
      </c>
      <c r="B4958" t="s">
        <v>12201</v>
      </c>
      <c r="C4958" t="str">
        <f>"A0184513"</f>
        <v>A0184513</v>
      </c>
      <c r="D4958" t="s">
        <v>19991</v>
      </c>
      <c r="E4958" t="s">
        <v>19992</v>
      </c>
      <c r="F4958" t="s">
        <v>19993</v>
      </c>
      <c r="G4958" t="s">
        <v>103</v>
      </c>
      <c r="H4958">
        <v>19046</v>
      </c>
      <c r="I4958" t="s">
        <v>30</v>
      </c>
      <c r="J4958" t="s">
        <v>41</v>
      </c>
      <c r="K4958" t="s">
        <v>59</v>
      </c>
      <c r="Q4958">
        <v>0</v>
      </c>
      <c r="R4958">
        <v>120</v>
      </c>
      <c r="S4958">
        <v>120</v>
      </c>
      <c r="T4958" t="s">
        <v>19994</v>
      </c>
    </row>
    <row r="4959" spans="1:20" customFormat="1" ht="15" x14ac:dyDescent="0.25">
      <c r="A4959" t="s">
        <v>35</v>
      </c>
      <c r="B4959" t="s">
        <v>12201</v>
      </c>
      <c r="C4959" t="str">
        <f>"A0184512"</f>
        <v>A0184512</v>
      </c>
      <c r="D4959" t="s">
        <v>19995</v>
      </c>
      <c r="E4959" t="s">
        <v>19996</v>
      </c>
      <c r="F4959" t="s">
        <v>4629</v>
      </c>
      <c r="G4959" t="s">
        <v>103</v>
      </c>
      <c r="H4959">
        <v>191031035</v>
      </c>
      <c r="I4959" t="s">
        <v>30</v>
      </c>
      <c r="J4959" t="s">
        <v>41</v>
      </c>
      <c r="K4959" t="s">
        <v>59</v>
      </c>
      <c r="Q4959">
        <v>0</v>
      </c>
      <c r="R4959">
        <v>0</v>
      </c>
      <c r="S4959">
        <v>0</v>
      </c>
      <c r="T4959" t="s">
        <v>19997</v>
      </c>
    </row>
    <row r="4960" spans="1:20" customFormat="1" ht="15" x14ac:dyDescent="0.25">
      <c r="A4960" t="s">
        <v>35</v>
      </c>
      <c r="B4960" t="s">
        <v>12201</v>
      </c>
      <c r="C4960" t="str">
        <f>"A0184511"</f>
        <v>A0184511</v>
      </c>
      <c r="D4960" t="s">
        <v>19998</v>
      </c>
      <c r="E4960" t="s">
        <v>19999</v>
      </c>
      <c r="F4960" t="s">
        <v>4629</v>
      </c>
      <c r="G4960" t="s">
        <v>103</v>
      </c>
      <c r="H4960">
        <v>191442741</v>
      </c>
      <c r="I4960" t="s">
        <v>30</v>
      </c>
      <c r="J4960" t="s">
        <v>41</v>
      </c>
      <c r="K4960" t="s">
        <v>59</v>
      </c>
      <c r="Q4960">
        <v>0</v>
      </c>
      <c r="R4960">
        <v>0</v>
      </c>
      <c r="S4960">
        <v>0</v>
      </c>
      <c r="T4960" t="s">
        <v>20000</v>
      </c>
    </row>
    <row r="4961" spans="1:20" customFormat="1" ht="15" x14ac:dyDescent="0.25">
      <c r="A4961" t="s">
        <v>35</v>
      </c>
      <c r="B4961" t="s">
        <v>61</v>
      </c>
      <c r="C4961" t="str">
        <f>"A0184510"</f>
        <v>A0184510</v>
      </c>
      <c r="D4961" t="s">
        <v>20001</v>
      </c>
      <c r="E4961" t="s">
        <v>20002</v>
      </c>
      <c r="F4961" t="s">
        <v>20003</v>
      </c>
      <c r="G4961" t="s">
        <v>71</v>
      </c>
      <c r="H4961" t="s">
        <v>20004</v>
      </c>
      <c r="I4961" t="s">
        <v>30</v>
      </c>
      <c r="J4961" t="s">
        <v>41</v>
      </c>
      <c r="K4961" t="s">
        <v>59</v>
      </c>
      <c r="Q4961">
        <v>0</v>
      </c>
      <c r="R4961">
        <v>60</v>
      </c>
      <c r="S4961">
        <v>60</v>
      </c>
      <c r="T4961" t="s">
        <v>20005</v>
      </c>
    </row>
    <row r="4962" spans="1:20" customFormat="1" ht="15" x14ac:dyDescent="0.25">
      <c r="A4962" t="s">
        <v>35</v>
      </c>
      <c r="B4962" t="s">
        <v>61</v>
      </c>
      <c r="C4962" t="str">
        <f>"A0184509"</f>
        <v>A0184509</v>
      </c>
      <c r="D4962" t="s">
        <v>20006</v>
      </c>
      <c r="E4962" t="s">
        <v>20007</v>
      </c>
      <c r="F4962" t="s">
        <v>4112</v>
      </c>
      <c r="G4962" t="s">
        <v>71</v>
      </c>
      <c r="H4962" t="s">
        <v>20008</v>
      </c>
      <c r="I4962" t="s">
        <v>30</v>
      </c>
      <c r="J4962" t="s">
        <v>41</v>
      </c>
      <c r="K4962" t="s">
        <v>59</v>
      </c>
      <c r="Q4962">
        <v>0</v>
      </c>
      <c r="R4962">
        <v>70</v>
      </c>
      <c r="S4962">
        <v>70</v>
      </c>
      <c r="T4962" t="s">
        <v>20009</v>
      </c>
    </row>
    <row r="4963" spans="1:20" customFormat="1" ht="15" x14ac:dyDescent="0.25">
      <c r="A4963" t="s">
        <v>35</v>
      </c>
      <c r="B4963" t="s">
        <v>12201</v>
      </c>
      <c r="C4963" t="str">
        <f>"A0184508"</f>
        <v>A0184508</v>
      </c>
      <c r="D4963" t="s">
        <v>20010</v>
      </c>
      <c r="E4963" t="s">
        <v>20011</v>
      </c>
      <c r="F4963" t="s">
        <v>20012</v>
      </c>
      <c r="G4963" t="s">
        <v>103</v>
      </c>
      <c r="H4963">
        <v>190502461</v>
      </c>
      <c r="I4963" t="s">
        <v>30</v>
      </c>
      <c r="J4963" t="s">
        <v>41</v>
      </c>
      <c r="K4963" t="s">
        <v>59</v>
      </c>
      <c r="Q4963">
        <v>0</v>
      </c>
      <c r="R4963">
        <v>100</v>
      </c>
      <c r="S4963">
        <v>100</v>
      </c>
      <c r="T4963" t="s">
        <v>20013</v>
      </c>
    </row>
    <row r="4964" spans="1:20" customFormat="1" ht="15" x14ac:dyDescent="0.25">
      <c r="A4964" t="s">
        <v>35</v>
      </c>
      <c r="B4964" t="s">
        <v>12201</v>
      </c>
      <c r="C4964" t="str">
        <f>"A0184507"</f>
        <v>A0184507</v>
      </c>
      <c r="D4964" t="s">
        <v>20014</v>
      </c>
      <c r="E4964" t="s">
        <v>20015</v>
      </c>
      <c r="F4964" t="s">
        <v>20016</v>
      </c>
      <c r="G4964" t="s">
        <v>103</v>
      </c>
      <c r="H4964">
        <v>190823157</v>
      </c>
      <c r="I4964" t="s">
        <v>30</v>
      </c>
      <c r="J4964" t="s">
        <v>41</v>
      </c>
      <c r="K4964" t="s">
        <v>59</v>
      </c>
      <c r="Q4964">
        <v>0</v>
      </c>
      <c r="R4964">
        <v>0</v>
      </c>
      <c r="S4964">
        <v>0</v>
      </c>
    </row>
    <row r="4965" spans="1:20" customFormat="1" ht="15" x14ac:dyDescent="0.25">
      <c r="A4965" t="s">
        <v>35</v>
      </c>
      <c r="B4965" t="s">
        <v>61</v>
      </c>
      <c r="C4965" t="str">
        <f>"A0184506"</f>
        <v>A0184506</v>
      </c>
      <c r="D4965" t="s">
        <v>20017</v>
      </c>
      <c r="E4965" t="s">
        <v>20018</v>
      </c>
      <c r="F4965" t="s">
        <v>1731</v>
      </c>
      <c r="G4965" t="s">
        <v>103</v>
      </c>
      <c r="H4965" t="s">
        <v>20019</v>
      </c>
      <c r="I4965" t="s">
        <v>30</v>
      </c>
      <c r="J4965" t="s">
        <v>41</v>
      </c>
      <c r="K4965" t="s">
        <v>59</v>
      </c>
      <c r="Q4965">
        <v>0</v>
      </c>
      <c r="R4965">
        <v>0</v>
      </c>
      <c r="S4965">
        <v>0</v>
      </c>
      <c r="T4965" t="s">
        <v>20020</v>
      </c>
    </row>
    <row r="4966" spans="1:20" customFormat="1" ht="15" x14ac:dyDescent="0.25">
      <c r="A4966" t="s">
        <v>35</v>
      </c>
      <c r="B4966" t="s">
        <v>61</v>
      </c>
      <c r="C4966" t="str">
        <f>"A0184505"</f>
        <v>A0184505</v>
      </c>
      <c r="D4966" t="s">
        <v>20021</v>
      </c>
      <c r="E4966" t="s">
        <v>20022</v>
      </c>
      <c r="F4966" t="s">
        <v>20023</v>
      </c>
      <c r="G4966" t="s">
        <v>103</v>
      </c>
      <c r="H4966" t="s">
        <v>20024</v>
      </c>
      <c r="I4966" t="s">
        <v>30</v>
      </c>
      <c r="J4966" t="s">
        <v>41</v>
      </c>
      <c r="K4966" t="s">
        <v>59</v>
      </c>
      <c r="Q4966">
        <v>0</v>
      </c>
      <c r="R4966">
        <v>0</v>
      </c>
      <c r="S4966">
        <v>0</v>
      </c>
      <c r="T4966" t="s">
        <v>20025</v>
      </c>
    </row>
    <row r="4967" spans="1:20" customFormat="1" ht="15" x14ac:dyDescent="0.25">
      <c r="A4967" t="s">
        <v>35</v>
      </c>
      <c r="B4967" t="s">
        <v>61</v>
      </c>
      <c r="C4967" t="str">
        <f>"A0184504"</f>
        <v>A0184504</v>
      </c>
      <c r="D4967" t="s">
        <v>20026</v>
      </c>
      <c r="E4967" t="s">
        <v>19321</v>
      </c>
      <c r="F4967" t="s">
        <v>19322</v>
      </c>
      <c r="G4967" t="s">
        <v>103</v>
      </c>
      <c r="H4967" t="s">
        <v>19323</v>
      </c>
      <c r="I4967" t="s">
        <v>30</v>
      </c>
      <c r="J4967" t="s">
        <v>41</v>
      </c>
      <c r="K4967" t="s">
        <v>59</v>
      </c>
      <c r="Q4967">
        <v>0</v>
      </c>
      <c r="R4967">
        <v>0</v>
      </c>
      <c r="S4967">
        <v>0</v>
      </c>
    </row>
    <row r="4968" spans="1:20" customFormat="1" ht="15" x14ac:dyDescent="0.25">
      <c r="A4968" t="s">
        <v>35</v>
      </c>
      <c r="B4968" t="s">
        <v>61</v>
      </c>
      <c r="C4968" t="str">
        <f>"A0184503"</f>
        <v>A0184503</v>
      </c>
      <c r="D4968" t="s">
        <v>20027</v>
      </c>
      <c r="E4968" t="s">
        <v>20028</v>
      </c>
      <c r="F4968" t="s">
        <v>20029</v>
      </c>
      <c r="G4968" t="s">
        <v>103</v>
      </c>
      <c r="H4968" t="s">
        <v>20030</v>
      </c>
      <c r="I4968" t="s">
        <v>30</v>
      </c>
      <c r="J4968" t="s">
        <v>41</v>
      </c>
      <c r="K4968" t="s">
        <v>59</v>
      </c>
      <c r="Q4968">
        <v>0</v>
      </c>
      <c r="R4968">
        <v>0</v>
      </c>
      <c r="S4968">
        <v>0</v>
      </c>
    </row>
    <row r="4969" spans="1:20" customFormat="1" ht="15" x14ac:dyDescent="0.25">
      <c r="A4969" t="s">
        <v>35</v>
      </c>
      <c r="B4969" t="s">
        <v>61</v>
      </c>
      <c r="C4969" t="str">
        <f>"A0184501"</f>
        <v>A0184501</v>
      </c>
      <c r="D4969" t="s">
        <v>20031</v>
      </c>
      <c r="E4969" t="s">
        <v>20032</v>
      </c>
      <c r="F4969" t="s">
        <v>20033</v>
      </c>
      <c r="G4969" t="s">
        <v>103</v>
      </c>
      <c r="H4969">
        <v>17361</v>
      </c>
      <c r="I4969" t="s">
        <v>30</v>
      </c>
      <c r="J4969" t="s">
        <v>41</v>
      </c>
      <c r="K4969" t="s">
        <v>59</v>
      </c>
      <c r="Q4969">
        <v>0</v>
      </c>
      <c r="R4969">
        <v>91</v>
      </c>
      <c r="S4969">
        <v>91</v>
      </c>
      <c r="T4969" t="s">
        <v>20034</v>
      </c>
    </row>
    <row r="4970" spans="1:20" customFormat="1" ht="15" x14ac:dyDescent="0.25">
      <c r="A4970" t="s">
        <v>35</v>
      </c>
      <c r="B4970" t="s">
        <v>61</v>
      </c>
      <c r="C4970" t="str">
        <f>"A0184500"</f>
        <v>A0184500</v>
      </c>
      <c r="D4970" t="s">
        <v>20035</v>
      </c>
      <c r="E4970" t="s">
        <v>20036</v>
      </c>
      <c r="F4970" t="s">
        <v>5781</v>
      </c>
      <c r="G4970" t="s">
        <v>103</v>
      </c>
      <c r="H4970" t="s">
        <v>20037</v>
      </c>
      <c r="I4970" t="s">
        <v>30</v>
      </c>
      <c r="J4970" t="s">
        <v>41</v>
      </c>
      <c r="K4970" t="s">
        <v>59</v>
      </c>
      <c r="Q4970">
        <v>0</v>
      </c>
      <c r="R4970">
        <v>104</v>
      </c>
      <c r="S4970">
        <v>104</v>
      </c>
      <c r="T4970" t="s">
        <v>20038</v>
      </c>
    </row>
    <row r="4971" spans="1:20" customFormat="1" ht="15" x14ac:dyDescent="0.25">
      <c r="A4971" t="s">
        <v>35</v>
      </c>
      <c r="B4971" t="s">
        <v>61</v>
      </c>
      <c r="C4971" t="str">
        <f>"A0184499"</f>
        <v>A0184499</v>
      </c>
      <c r="D4971" t="s">
        <v>20039</v>
      </c>
      <c r="E4971" t="s">
        <v>20040</v>
      </c>
      <c r="F4971" t="s">
        <v>5781</v>
      </c>
      <c r="G4971" t="s">
        <v>103</v>
      </c>
      <c r="H4971" t="s">
        <v>20041</v>
      </c>
      <c r="I4971" t="s">
        <v>30</v>
      </c>
      <c r="J4971" t="s">
        <v>41</v>
      </c>
      <c r="K4971" t="s">
        <v>59</v>
      </c>
      <c r="Q4971">
        <v>0</v>
      </c>
      <c r="R4971">
        <v>104</v>
      </c>
      <c r="S4971">
        <v>104</v>
      </c>
      <c r="T4971" t="s">
        <v>20038</v>
      </c>
    </row>
    <row r="4972" spans="1:20" customFormat="1" ht="15" x14ac:dyDescent="0.25">
      <c r="A4972" t="s">
        <v>35</v>
      </c>
      <c r="B4972" t="s">
        <v>9920</v>
      </c>
      <c r="C4972" t="str">
        <f>"A0184498"</f>
        <v>A0184498</v>
      </c>
      <c r="D4972" t="s">
        <v>9921</v>
      </c>
      <c r="E4972" t="s">
        <v>20042</v>
      </c>
      <c r="F4972" t="s">
        <v>20043</v>
      </c>
      <c r="G4972" t="s">
        <v>103</v>
      </c>
      <c r="H4972" t="s">
        <v>20044</v>
      </c>
      <c r="I4972" t="s">
        <v>30</v>
      </c>
      <c r="J4972" t="s">
        <v>41</v>
      </c>
      <c r="K4972" t="s">
        <v>59</v>
      </c>
      <c r="Q4972">
        <v>0</v>
      </c>
      <c r="R4972">
        <v>59</v>
      </c>
      <c r="S4972">
        <v>59</v>
      </c>
      <c r="T4972" t="s">
        <v>20045</v>
      </c>
    </row>
    <row r="4973" spans="1:20" customFormat="1" ht="15" x14ac:dyDescent="0.25">
      <c r="A4973" t="s">
        <v>35</v>
      </c>
      <c r="B4973" t="s">
        <v>61</v>
      </c>
      <c r="C4973" t="str">
        <f>"A0184497"</f>
        <v>A0184497</v>
      </c>
      <c r="D4973" t="s">
        <v>20046</v>
      </c>
      <c r="E4973" t="s">
        <v>20047</v>
      </c>
      <c r="F4973" t="s">
        <v>2990</v>
      </c>
      <c r="G4973" t="s">
        <v>103</v>
      </c>
      <c r="H4973">
        <v>17110</v>
      </c>
      <c r="I4973" t="s">
        <v>30</v>
      </c>
      <c r="J4973" t="s">
        <v>41</v>
      </c>
      <c r="K4973" t="s">
        <v>59</v>
      </c>
      <c r="Q4973">
        <v>0</v>
      </c>
      <c r="R4973">
        <v>0</v>
      </c>
      <c r="S4973">
        <v>0</v>
      </c>
    </row>
    <row r="4974" spans="1:20" customFormat="1" ht="15" x14ac:dyDescent="0.25">
      <c r="A4974" t="s">
        <v>35</v>
      </c>
      <c r="B4974" t="s">
        <v>61</v>
      </c>
      <c r="C4974" t="str">
        <f>"A0184496"</f>
        <v>A0184496</v>
      </c>
      <c r="D4974" t="s">
        <v>20048</v>
      </c>
      <c r="E4974" t="s">
        <v>20049</v>
      </c>
      <c r="F4974" t="s">
        <v>4354</v>
      </c>
      <c r="G4974" t="s">
        <v>103</v>
      </c>
      <c r="H4974" t="s">
        <v>20050</v>
      </c>
      <c r="I4974" t="s">
        <v>30</v>
      </c>
      <c r="J4974" t="s">
        <v>41</v>
      </c>
      <c r="K4974" t="s">
        <v>59</v>
      </c>
      <c r="Q4974">
        <v>0</v>
      </c>
      <c r="R4974">
        <v>0</v>
      </c>
      <c r="S4974">
        <v>0</v>
      </c>
      <c r="T4974" t="s">
        <v>20051</v>
      </c>
    </row>
    <row r="4975" spans="1:20" customFormat="1" ht="15" x14ac:dyDescent="0.25">
      <c r="A4975" t="s">
        <v>35</v>
      </c>
      <c r="B4975" t="s">
        <v>11717</v>
      </c>
      <c r="C4975" t="str">
        <f>"A0184495"</f>
        <v>A0184495</v>
      </c>
      <c r="D4975" t="s">
        <v>20052</v>
      </c>
      <c r="E4975" t="s">
        <v>20053</v>
      </c>
      <c r="F4975" t="s">
        <v>3009</v>
      </c>
      <c r="G4975" t="s">
        <v>103</v>
      </c>
      <c r="H4975">
        <v>176014288</v>
      </c>
      <c r="I4975" t="s">
        <v>30</v>
      </c>
      <c r="J4975" t="s">
        <v>41</v>
      </c>
      <c r="K4975" t="s">
        <v>59</v>
      </c>
      <c r="Q4975">
        <v>0</v>
      </c>
      <c r="R4975">
        <v>50</v>
      </c>
      <c r="S4975">
        <v>50</v>
      </c>
      <c r="T4975" t="s">
        <v>20054</v>
      </c>
    </row>
    <row r="4976" spans="1:20" customFormat="1" ht="15" x14ac:dyDescent="0.25">
      <c r="A4976" t="s">
        <v>35</v>
      </c>
      <c r="B4976" t="s">
        <v>11871</v>
      </c>
      <c r="C4976" t="str">
        <f>"A0184494"</f>
        <v>A0184494</v>
      </c>
      <c r="D4976" t="s">
        <v>20055</v>
      </c>
      <c r="E4976" t="s">
        <v>20056</v>
      </c>
      <c r="F4976" t="s">
        <v>19594</v>
      </c>
      <c r="G4976" t="s">
        <v>846</v>
      </c>
      <c r="H4976" t="s">
        <v>20057</v>
      </c>
      <c r="I4976" t="s">
        <v>30</v>
      </c>
      <c r="J4976" t="s">
        <v>41</v>
      </c>
      <c r="K4976" t="s">
        <v>59</v>
      </c>
      <c r="Q4976">
        <v>0</v>
      </c>
      <c r="R4976">
        <v>0</v>
      </c>
      <c r="S4976">
        <v>0</v>
      </c>
      <c r="T4976" t="s">
        <v>19596</v>
      </c>
    </row>
    <row r="4977" spans="1:20" customFormat="1" ht="15" x14ac:dyDescent="0.25">
      <c r="A4977" t="s">
        <v>35</v>
      </c>
      <c r="B4977" t="s">
        <v>11871</v>
      </c>
      <c r="C4977" t="str">
        <f>"A0184493"</f>
        <v>A0184493</v>
      </c>
      <c r="D4977" t="s">
        <v>20058</v>
      </c>
      <c r="E4977" t="s">
        <v>20059</v>
      </c>
      <c r="F4977" t="s">
        <v>10276</v>
      </c>
      <c r="G4977" t="s">
        <v>846</v>
      </c>
      <c r="H4977" t="s">
        <v>20060</v>
      </c>
      <c r="I4977" t="s">
        <v>30</v>
      </c>
      <c r="J4977" t="s">
        <v>41</v>
      </c>
      <c r="K4977" t="s">
        <v>59</v>
      </c>
      <c r="Q4977">
        <v>0</v>
      </c>
      <c r="R4977">
        <v>0</v>
      </c>
      <c r="S4977">
        <v>0</v>
      </c>
    </row>
    <row r="4978" spans="1:20" customFormat="1" ht="15" x14ac:dyDescent="0.25">
      <c r="A4978" t="s">
        <v>35</v>
      </c>
      <c r="B4978" t="s">
        <v>61</v>
      </c>
      <c r="C4978" t="str">
        <f>"A0184492"</f>
        <v>A0184492</v>
      </c>
      <c r="D4978" t="s">
        <v>20061</v>
      </c>
      <c r="E4978" t="s">
        <v>20062</v>
      </c>
      <c r="F4978" t="s">
        <v>1916</v>
      </c>
      <c r="G4978" t="s">
        <v>3236</v>
      </c>
      <c r="H4978">
        <v>57219</v>
      </c>
      <c r="I4978" t="s">
        <v>30</v>
      </c>
      <c r="J4978" t="s">
        <v>41</v>
      </c>
      <c r="K4978" t="s">
        <v>59</v>
      </c>
      <c r="Q4978">
        <v>0</v>
      </c>
      <c r="R4978">
        <v>51</v>
      </c>
      <c r="S4978">
        <v>51</v>
      </c>
      <c r="T4978" t="s">
        <v>20063</v>
      </c>
    </row>
    <row r="4979" spans="1:20" customFormat="1" ht="15" x14ac:dyDescent="0.25">
      <c r="A4979" t="s">
        <v>35</v>
      </c>
      <c r="B4979" t="s">
        <v>61</v>
      </c>
      <c r="C4979" t="str">
        <f>"A0184491"</f>
        <v>A0184491</v>
      </c>
      <c r="D4979" t="s">
        <v>20064</v>
      </c>
      <c r="E4979" t="s">
        <v>20065</v>
      </c>
      <c r="F4979" t="s">
        <v>1373</v>
      </c>
      <c r="G4979" t="s">
        <v>3236</v>
      </c>
      <c r="H4979">
        <v>570423336</v>
      </c>
      <c r="I4979" t="s">
        <v>30</v>
      </c>
      <c r="J4979" t="s">
        <v>41</v>
      </c>
      <c r="K4979" t="s">
        <v>59</v>
      </c>
      <c r="Q4979">
        <v>0</v>
      </c>
      <c r="R4979">
        <v>99</v>
      </c>
      <c r="S4979">
        <v>99</v>
      </c>
      <c r="T4979" t="s">
        <v>20066</v>
      </c>
    </row>
    <row r="4980" spans="1:20" customFormat="1" ht="15" x14ac:dyDescent="0.25">
      <c r="A4980" t="s">
        <v>35</v>
      </c>
      <c r="B4980" t="s">
        <v>61</v>
      </c>
      <c r="C4980" t="str">
        <f>"A0184490"</f>
        <v>A0184490</v>
      </c>
      <c r="D4980" t="s">
        <v>20067</v>
      </c>
      <c r="E4980" t="s">
        <v>19340</v>
      </c>
      <c r="F4980" t="s">
        <v>16389</v>
      </c>
      <c r="G4980" t="s">
        <v>103</v>
      </c>
      <c r="H4980" t="s">
        <v>19341</v>
      </c>
      <c r="I4980" t="s">
        <v>30</v>
      </c>
      <c r="J4980" t="s">
        <v>41</v>
      </c>
      <c r="K4980" t="s">
        <v>59</v>
      </c>
      <c r="Q4980">
        <v>0</v>
      </c>
      <c r="R4980">
        <v>0</v>
      </c>
      <c r="S4980">
        <v>0</v>
      </c>
      <c r="T4980" t="s">
        <v>19342</v>
      </c>
    </row>
    <row r="4981" spans="1:20" customFormat="1" ht="15" x14ac:dyDescent="0.25">
      <c r="A4981" t="s">
        <v>35</v>
      </c>
      <c r="B4981" t="s">
        <v>61</v>
      </c>
      <c r="C4981" t="str">
        <f>"A0184489"</f>
        <v>A0184489</v>
      </c>
      <c r="D4981" t="s">
        <v>20068</v>
      </c>
      <c r="E4981" t="s">
        <v>20069</v>
      </c>
      <c r="F4981" t="s">
        <v>4629</v>
      </c>
      <c r="G4981" t="s">
        <v>103</v>
      </c>
      <c r="H4981" t="s">
        <v>20070</v>
      </c>
      <c r="I4981" t="s">
        <v>30</v>
      </c>
      <c r="J4981" t="s">
        <v>41</v>
      </c>
      <c r="K4981" t="s">
        <v>59</v>
      </c>
      <c r="Q4981">
        <v>0</v>
      </c>
      <c r="R4981">
        <v>0</v>
      </c>
      <c r="S4981">
        <v>0</v>
      </c>
      <c r="T4981" t="s">
        <v>20071</v>
      </c>
    </row>
    <row r="4982" spans="1:20" customFormat="1" ht="15" x14ac:dyDescent="0.25">
      <c r="A4982" t="s">
        <v>35</v>
      </c>
      <c r="B4982" t="s">
        <v>61</v>
      </c>
      <c r="C4982" t="str">
        <f>"A0184488"</f>
        <v>A0184488</v>
      </c>
      <c r="D4982" t="s">
        <v>20072</v>
      </c>
      <c r="E4982" t="s">
        <v>20073</v>
      </c>
      <c r="F4982" t="s">
        <v>20074</v>
      </c>
      <c r="G4982" t="s">
        <v>338</v>
      </c>
      <c r="H4982" t="s">
        <v>20075</v>
      </c>
      <c r="I4982" t="s">
        <v>30</v>
      </c>
      <c r="J4982" t="s">
        <v>41</v>
      </c>
      <c r="K4982" t="s">
        <v>59</v>
      </c>
      <c r="Q4982">
        <v>0</v>
      </c>
      <c r="R4982">
        <v>0</v>
      </c>
      <c r="S4982">
        <v>0</v>
      </c>
      <c r="T4982" t="s">
        <v>20076</v>
      </c>
    </row>
    <row r="4983" spans="1:20" customFormat="1" ht="15" x14ac:dyDescent="0.25">
      <c r="A4983" t="s">
        <v>35</v>
      </c>
      <c r="B4983" t="s">
        <v>61</v>
      </c>
      <c r="C4983" t="str">
        <f>"A0184487"</f>
        <v>A0184487</v>
      </c>
      <c r="D4983" t="s">
        <v>20077</v>
      </c>
      <c r="E4983" t="s">
        <v>19914</v>
      </c>
      <c r="F4983" t="s">
        <v>19915</v>
      </c>
      <c r="G4983" t="s">
        <v>846</v>
      </c>
      <c r="H4983" t="s">
        <v>19916</v>
      </c>
      <c r="I4983" t="s">
        <v>30</v>
      </c>
      <c r="J4983" t="s">
        <v>41</v>
      </c>
      <c r="K4983" t="s">
        <v>59</v>
      </c>
      <c r="Q4983">
        <v>0</v>
      </c>
      <c r="R4983">
        <v>0</v>
      </c>
      <c r="S4983">
        <v>0</v>
      </c>
    </row>
    <row r="4984" spans="1:20" customFormat="1" ht="15" x14ac:dyDescent="0.25">
      <c r="A4984" t="s">
        <v>35</v>
      </c>
      <c r="B4984" t="s">
        <v>61</v>
      </c>
      <c r="C4984" t="str">
        <f>"A0184486"</f>
        <v>A0184486</v>
      </c>
      <c r="D4984" t="s">
        <v>20078</v>
      </c>
      <c r="E4984" t="s">
        <v>19914</v>
      </c>
      <c r="F4984" t="s">
        <v>19915</v>
      </c>
      <c r="G4984" t="s">
        <v>846</v>
      </c>
      <c r="H4984" t="s">
        <v>19916</v>
      </c>
      <c r="I4984" t="s">
        <v>30</v>
      </c>
      <c r="J4984" t="s">
        <v>41</v>
      </c>
      <c r="K4984" t="s">
        <v>59</v>
      </c>
      <c r="Q4984">
        <v>0</v>
      </c>
      <c r="R4984">
        <v>0</v>
      </c>
      <c r="S4984">
        <v>0</v>
      </c>
    </row>
    <row r="4985" spans="1:20" customFormat="1" ht="15" x14ac:dyDescent="0.25">
      <c r="A4985" t="s">
        <v>35</v>
      </c>
      <c r="B4985" t="s">
        <v>61</v>
      </c>
      <c r="C4985" t="str">
        <f>"A0184485"</f>
        <v>A0184485</v>
      </c>
      <c r="D4985" t="s">
        <v>20079</v>
      </c>
      <c r="E4985" t="s">
        <v>20080</v>
      </c>
      <c r="F4985" t="s">
        <v>15980</v>
      </c>
      <c r="G4985" t="s">
        <v>103</v>
      </c>
      <c r="H4985" t="s">
        <v>20081</v>
      </c>
      <c r="I4985" t="s">
        <v>30</v>
      </c>
      <c r="J4985" t="s">
        <v>41</v>
      </c>
      <c r="K4985" t="s">
        <v>59</v>
      </c>
      <c r="Q4985">
        <v>0</v>
      </c>
      <c r="R4985">
        <v>0</v>
      </c>
      <c r="S4985">
        <v>0</v>
      </c>
    </row>
    <row r="4986" spans="1:20" customFormat="1" ht="15" x14ac:dyDescent="0.25">
      <c r="A4986" t="s">
        <v>35</v>
      </c>
      <c r="B4986" t="s">
        <v>61</v>
      </c>
      <c r="C4986" t="str">
        <f>"A0184484"</f>
        <v>A0184484</v>
      </c>
      <c r="D4986" t="s">
        <v>20082</v>
      </c>
      <c r="E4986" t="s">
        <v>20083</v>
      </c>
      <c r="F4986" t="s">
        <v>20084</v>
      </c>
      <c r="G4986" t="s">
        <v>65</v>
      </c>
      <c r="H4986">
        <v>453853004</v>
      </c>
      <c r="I4986" t="s">
        <v>30</v>
      </c>
      <c r="J4986" t="s">
        <v>41</v>
      </c>
      <c r="K4986" t="s">
        <v>59</v>
      </c>
      <c r="Q4986">
        <v>0</v>
      </c>
      <c r="R4986">
        <v>0</v>
      </c>
      <c r="S4986">
        <v>0</v>
      </c>
    </row>
    <row r="4987" spans="1:20" customFormat="1" ht="15" x14ac:dyDescent="0.25">
      <c r="A4987" t="s">
        <v>35</v>
      </c>
      <c r="B4987" t="s">
        <v>61</v>
      </c>
      <c r="C4987" t="str">
        <f>"A0184483"</f>
        <v>A0184483</v>
      </c>
      <c r="D4987" t="s">
        <v>20085</v>
      </c>
      <c r="E4987" t="s">
        <v>20086</v>
      </c>
      <c r="F4987" t="s">
        <v>20087</v>
      </c>
      <c r="G4987" t="s">
        <v>71</v>
      </c>
      <c r="H4987" t="s">
        <v>20088</v>
      </c>
      <c r="I4987" t="s">
        <v>30</v>
      </c>
      <c r="J4987" t="s">
        <v>41</v>
      </c>
      <c r="K4987" t="s">
        <v>59</v>
      </c>
      <c r="Q4987">
        <v>0</v>
      </c>
      <c r="R4987">
        <v>0</v>
      </c>
      <c r="S4987">
        <v>0</v>
      </c>
      <c r="T4987" t="s">
        <v>20089</v>
      </c>
    </row>
    <row r="4988" spans="1:20" customFormat="1" ht="15" x14ac:dyDescent="0.25">
      <c r="A4988" t="s">
        <v>35</v>
      </c>
      <c r="B4988" t="s">
        <v>61</v>
      </c>
      <c r="C4988" t="str">
        <f>"A0184482"</f>
        <v>A0184482</v>
      </c>
      <c r="D4988" t="s">
        <v>20090</v>
      </c>
      <c r="E4988" t="s">
        <v>20091</v>
      </c>
      <c r="F4988" t="s">
        <v>20092</v>
      </c>
      <c r="G4988" t="s">
        <v>71</v>
      </c>
      <c r="H4988" t="s">
        <v>20093</v>
      </c>
      <c r="I4988" t="s">
        <v>30</v>
      </c>
      <c r="J4988" t="s">
        <v>41</v>
      </c>
      <c r="K4988" t="s">
        <v>59</v>
      </c>
      <c r="Q4988">
        <v>0</v>
      </c>
      <c r="R4988">
        <v>0</v>
      </c>
      <c r="S4988">
        <v>0</v>
      </c>
      <c r="T4988" t="s">
        <v>20094</v>
      </c>
    </row>
    <row r="4989" spans="1:20" customFormat="1" ht="15" x14ac:dyDescent="0.25">
      <c r="A4989" t="s">
        <v>35</v>
      </c>
      <c r="B4989" t="s">
        <v>61</v>
      </c>
      <c r="C4989" t="str">
        <f>"A0184481"</f>
        <v>A0184481</v>
      </c>
      <c r="D4989" t="s">
        <v>20095</v>
      </c>
      <c r="E4989" t="s">
        <v>20096</v>
      </c>
      <c r="F4989" t="s">
        <v>3418</v>
      </c>
      <c r="G4989" t="s">
        <v>71</v>
      </c>
      <c r="H4989" t="s">
        <v>20097</v>
      </c>
      <c r="I4989" t="s">
        <v>30</v>
      </c>
      <c r="J4989" t="s">
        <v>41</v>
      </c>
      <c r="K4989" t="s">
        <v>59</v>
      </c>
      <c r="Q4989">
        <v>0</v>
      </c>
      <c r="R4989">
        <v>0</v>
      </c>
      <c r="S4989">
        <v>0</v>
      </c>
      <c r="T4989" t="s">
        <v>3420</v>
      </c>
    </row>
    <row r="4990" spans="1:20" customFormat="1" ht="15" x14ac:dyDescent="0.25">
      <c r="A4990" t="s">
        <v>35</v>
      </c>
      <c r="B4990" t="s">
        <v>61</v>
      </c>
      <c r="C4990" t="str">
        <f>"A0184480"</f>
        <v>A0184480</v>
      </c>
      <c r="D4990" t="s">
        <v>20098</v>
      </c>
      <c r="E4990" t="s">
        <v>20099</v>
      </c>
      <c r="F4990" t="s">
        <v>19345</v>
      </c>
      <c r="G4990" t="s">
        <v>103</v>
      </c>
      <c r="H4990" t="s">
        <v>20100</v>
      </c>
      <c r="I4990" t="s">
        <v>30</v>
      </c>
      <c r="J4990" t="s">
        <v>41</v>
      </c>
      <c r="K4990" t="s">
        <v>59</v>
      </c>
      <c r="Q4990">
        <v>0</v>
      </c>
      <c r="R4990">
        <v>0</v>
      </c>
      <c r="S4990">
        <v>0</v>
      </c>
    </row>
    <row r="4991" spans="1:20" customFormat="1" ht="15" x14ac:dyDescent="0.25">
      <c r="A4991" t="s">
        <v>35</v>
      </c>
      <c r="B4991" t="s">
        <v>61</v>
      </c>
      <c r="C4991" t="str">
        <f>"A0184479"</f>
        <v>A0184479</v>
      </c>
      <c r="D4991" t="s">
        <v>20101</v>
      </c>
      <c r="E4991" t="s">
        <v>20102</v>
      </c>
      <c r="F4991" t="s">
        <v>20103</v>
      </c>
      <c r="G4991" t="s">
        <v>103</v>
      </c>
      <c r="H4991" t="s">
        <v>20104</v>
      </c>
      <c r="I4991" t="s">
        <v>30</v>
      </c>
      <c r="J4991" t="s">
        <v>41</v>
      </c>
      <c r="K4991" t="s">
        <v>59</v>
      </c>
      <c r="Q4991">
        <v>0</v>
      </c>
      <c r="R4991">
        <v>1</v>
      </c>
      <c r="S4991">
        <v>1</v>
      </c>
      <c r="T4991" t="s">
        <v>20105</v>
      </c>
    </row>
    <row r="4992" spans="1:20" customFormat="1" ht="15" x14ac:dyDescent="0.25">
      <c r="A4992" t="s">
        <v>35</v>
      </c>
      <c r="B4992" t="s">
        <v>61</v>
      </c>
      <c r="C4992" t="str">
        <f>"A0184478"</f>
        <v>A0184478</v>
      </c>
      <c r="D4992" t="s">
        <v>20106</v>
      </c>
      <c r="E4992" t="s">
        <v>20107</v>
      </c>
      <c r="F4992" t="s">
        <v>4693</v>
      </c>
      <c r="G4992" t="s">
        <v>103</v>
      </c>
      <c r="H4992" t="s">
        <v>20108</v>
      </c>
      <c r="I4992" t="s">
        <v>30</v>
      </c>
      <c r="J4992" t="s">
        <v>41</v>
      </c>
      <c r="K4992" t="s">
        <v>59</v>
      </c>
      <c r="Q4992">
        <v>0</v>
      </c>
      <c r="R4992">
        <v>0</v>
      </c>
      <c r="S4992">
        <v>0</v>
      </c>
      <c r="T4992" t="s">
        <v>20109</v>
      </c>
    </row>
    <row r="4993" spans="1:20" customFormat="1" ht="15" x14ac:dyDescent="0.25">
      <c r="A4993" t="s">
        <v>35</v>
      </c>
      <c r="B4993" t="s">
        <v>61</v>
      </c>
      <c r="C4993" t="str">
        <f>"A0184477"</f>
        <v>A0184477</v>
      </c>
      <c r="D4993" t="s">
        <v>20110</v>
      </c>
      <c r="E4993" t="s">
        <v>20111</v>
      </c>
      <c r="F4993" t="s">
        <v>4112</v>
      </c>
      <c r="G4993" t="s">
        <v>71</v>
      </c>
      <c r="H4993" t="s">
        <v>20112</v>
      </c>
      <c r="I4993" t="s">
        <v>30</v>
      </c>
      <c r="J4993" t="s">
        <v>41</v>
      </c>
      <c r="K4993" t="s">
        <v>59</v>
      </c>
      <c r="Q4993">
        <v>0</v>
      </c>
      <c r="R4993">
        <v>0</v>
      </c>
      <c r="S4993">
        <v>0</v>
      </c>
      <c r="T4993" t="s">
        <v>19891</v>
      </c>
    </row>
    <row r="4994" spans="1:20" customFormat="1" ht="15" x14ac:dyDescent="0.25">
      <c r="A4994" t="s">
        <v>35</v>
      </c>
      <c r="B4994" t="s">
        <v>61</v>
      </c>
      <c r="C4994" t="str">
        <f>"A0184476"</f>
        <v>A0184476</v>
      </c>
      <c r="D4994" t="s">
        <v>20113</v>
      </c>
      <c r="E4994" t="s">
        <v>20114</v>
      </c>
      <c r="F4994" t="s">
        <v>20087</v>
      </c>
      <c r="G4994" t="s">
        <v>71</v>
      </c>
      <c r="H4994" t="s">
        <v>20115</v>
      </c>
      <c r="I4994" t="s">
        <v>30</v>
      </c>
      <c r="J4994" t="s">
        <v>41</v>
      </c>
      <c r="K4994" t="s">
        <v>59</v>
      </c>
      <c r="Q4994">
        <v>0</v>
      </c>
      <c r="R4994">
        <v>0</v>
      </c>
      <c r="S4994">
        <v>0</v>
      </c>
      <c r="T4994" t="s">
        <v>20116</v>
      </c>
    </row>
    <row r="4995" spans="1:20" customFormat="1" ht="15" x14ac:dyDescent="0.25">
      <c r="A4995" t="s">
        <v>35</v>
      </c>
      <c r="B4995" t="s">
        <v>61</v>
      </c>
      <c r="C4995" t="str">
        <f>"A0184475"</f>
        <v>A0184475</v>
      </c>
      <c r="D4995" t="s">
        <v>20117</v>
      </c>
      <c r="E4995" t="s">
        <v>20118</v>
      </c>
      <c r="F4995" t="s">
        <v>11455</v>
      </c>
      <c r="G4995" t="s">
        <v>71</v>
      </c>
      <c r="H4995" t="s">
        <v>20119</v>
      </c>
      <c r="I4995" t="s">
        <v>30</v>
      </c>
      <c r="J4995" t="s">
        <v>41</v>
      </c>
      <c r="K4995" t="s">
        <v>59</v>
      </c>
      <c r="Q4995">
        <v>0</v>
      </c>
      <c r="R4995">
        <v>690</v>
      </c>
      <c r="S4995">
        <v>690</v>
      </c>
      <c r="T4995" t="s">
        <v>20120</v>
      </c>
    </row>
    <row r="4996" spans="1:20" customFormat="1" ht="15" x14ac:dyDescent="0.25">
      <c r="A4996" t="s">
        <v>35</v>
      </c>
      <c r="B4996" t="s">
        <v>61</v>
      </c>
      <c r="C4996" t="str">
        <f>"A0184474"</f>
        <v>A0184474</v>
      </c>
      <c r="D4996" t="s">
        <v>20121</v>
      </c>
      <c r="E4996" t="s">
        <v>20122</v>
      </c>
      <c r="F4996" t="s">
        <v>10276</v>
      </c>
      <c r="G4996" t="s">
        <v>846</v>
      </c>
      <c r="H4996" t="s">
        <v>20123</v>
      </c>
      <c r="I4996" t="s">
        <v>30</v>
      </c>
      <c r="J4996" t="s">
        <v>41</v>
      </c>
      <c r="K4996" t="s">
        <v>59</v>
      </c>
      <c r="Q4996">
        <v>0</v>
      </c>
      <c r="R4996">
        <v>0</v>
      </c>
      <c r="S4996">
        <v>0</v>
      </c>
    </row>
    <row r="4997" spans="1:20" customFormat="1" ht="15" x14ac:dyDescent="0.25">
      <c r="A4997" t="s">
        <v>35</v>
      </c>
      <c r="B4997" t="s">
        <v>11871</v>
      </c>
      <c r="C4997" t="str">
        <f>"A0184473"</f>
        <v>A0184473</v>
      </c>
      <c r="D4997" t="s">
        <v>20124</v>
      </c>
      <c r="E4997" t="s">
        <v>20125</v>
      </c>
      <c r="F4997" t="s">
        <v>10276</v>
      </c>
      <c r="G4997" t="s">
        <v>846</v>
      </c>
      <c r="H4997" t="s">
        <v>20126</v>
      </c>
      <c r="I4997" t="s">
        <v>30</v>
      </c>
      <c r="J4997" t="s">
        <v>41</v>
      </c>
      <c r="K4997" t="s">
        <v>59</v>
      </c>
      <c r="Q4997">
        <v>0</v>
      </c>
      <c r="R4997">
        <v>0</v>
      </c>
      <c r="S4997">
        <v>0</v>
      </c>
    </row>
    <row r="4998" spans="1:20" customFormat="1" ht="15" x14ac:dyDescent="0.25">
      <c r="A4998" t="s">
        <v>35</v>
      </c>
      <c r="B4998" t="s">
        <v>61</v>
      </c>
      <c r="C4998" t="str">
        <f>"A0184472"</f>
        <v>A0184472</v>
      </c>
      <c r="D4998" t="s">
        <v>20127</v>
      </c>
      <c r="E4998" t="s">
        <v>20128</v>
      </c>
      <c r="F4998" t="s">
        <v>20129</v>
      </c>
      <c r="G4998" t="s">
        <v>507</v>
      </c>
      <c r="H4998">
        <v>265052835</v>
      </c>
      <c r="I4998" t="s">
        <v>30</v>
      </c>
      <c r="J4998" t="s">
        <v>41</v>
      </c>
      <c r="K4998" t="s">
        <v>59</v>
      </c>
      <c r="Q4998">
        <v>0</v>
      </c>
      <c r="R4998">
        <v>40</v>
      </c>
      <c r="S4998">
        <v>40</v>
      </c>
      <c r="T4998" t="s">
        <v>20130</v>
      </c>
    </row>
    <row r="4999" spans="1:20" customFormat="1" ht="15" x14ac:dyDescent="0.25">
      <c r="A4999" t="s">
        <v>35</v>
      </c>
      <c r="B4999" t="s">
        <v>61</v>
      </c>
      <c r="C4999" t="str">
        <f>"A0184471"</f>
        <v>A0184471</v>
      </c>
      <c r="D4999" t="s">
        <v>20131</v>
      </c>
      <c r="E4999" t="s">
        <v>20132</v>
      </c>
      <c r="F4999" t="s">
        <v>3327</v>
      </c>
      <c r="G4999" t="s">
        <v>528</v>
      </c>
      <c r="H4999">
        <v>19805</v>
      </c>
      <c r="I4999" t="s">
        <v>30</v>
      </c>
      <c r="J4999" t="s">
        <v>41</v>
      </c>
      <c r="K4999" t="s">
        <v>59</v>
      </c>
      <c r="Q4999">
        <v>0</v>
      </c>
      <c r="R4999">
        <v>86</v>
      </c>
      <c r="S4999">
        <v>86</v>
      </c>
      <c r="T4999" t="s">
        <v>20133</v>
      </c>
    </row>
    <row r="5000" spans="1:20" customFormat="1" ht="15" x14ac:dyDescent="0.25">
      <c r="A5000" t="s">
        <v>35</v>
      </c>
      <c r="B5000" t="s">
        <v>61</v>
      </c>
      <c r="C5000" t="str">
        <f>"A0184470"</f>
        <v>A0184470</v>
      </c>
      <c r="D5000" t="s">
        <v>20134</v>
      </c>
      <c r="E5000" t="s">
        <v>20135</v>
      </c>
      <c r="F5000" t="s">
        <v>20136</v>
      </c>
      <c r="G5000" t="s">
        <v>3236</v>
      </c>
      <c r="H5000">
        <v>570061898</v>
      </c>
      <c r="I5000" t="s">
        <v>30</v>
      </c>
      <c r="J5000" t="s">
        <v>41</v>
      </c>
      <c r="K5000" t="s">
        <v>59</v>
      </c>
      <c r="Q5000">
        <v>0</v>
      </c>
      <c r="R5000">
        <v>135</v>
      </c>
      <c r="S5000">
        <v>135</v>
      </c>
      <c r="T5000" t="s">
        <v>20137</v>
      </c>
    </row>
    <row r="5001" spans="1:20" customFormat="1" ht="15" x14ac:dyDescent="0.25">
      <c r="A5001" t="s">
        <v>35</v>
      </c>
      <c r="B5001" t="s">
        <v>61</v>
      </c>
      <c r="C5001" t="str">
        <f>"A0184469"</f>
        <v>A0184469</v>
      </c>
      <c r="D5001" t="s">
        <v>20138</v>
      </c>
      <c r="E5001" t="s">
        <v>20139</v>
      </c>
      <c r="F5001" t="s">
        <v>20140</v>
      </c>
      <c r="G5001" t="s">
        <v>338</v>
      </c>
      <c r="H5001">
        <v>7719</v>
      </c>
      <c r="I5001" t="s">
        <v>30</v>
      </c>
      <c r="J5001" t="s">
        <v>41</v>
      </c>
      <c r="K5001" t="s">
        <v>59</v>
      </c>
      <c r="Q5001">
        <v>0</v>
      </c>
      <c r="R5001">
        <v>0</v>
      </c>
      <c r="S5001">
        <v>0</v>
      </c>
      <c r="T5001" t="s">
        <v>20141</v>
      </c>
    </row>
    <row r="5002" spans="1:20" customFormat="1" ht="15" x14ac:dyDescent="0.25">
      <c r="A5002" t="s">
        <v>35</v>
      </c>
      <c r="B5002" t="s">
        <v>61</v>
      </c>
      <c r="C5002" t="str">
        <f>"A0184468"</f>
        <v>A0184468</v>
      </c>
      <c r="D5002" t="s">
        <v>20142</v>
      </c>
      <c r="E5002" t="s">
        <v>20143</v>
      </c>
      <c r="F5002" t="s">
        <v>20144</v>
      </c>
      <c r="G5002" t="s">
        <v>846</v>
      </c>
      <c r="H5002">
        <v>30291</v>
      </c>
      <c r="I5002" t="s">
        <v>30</v>
      </c>
      <c r="J5002" t="s">
        <v>41</v>
      </c>
      <c r="K5002" t="s">
        <v>59</v>
      </c>
      <c r="Q5002">
        <v>0</v>
      </c>
      <c r="R5002">
        <v>150</v>
      </c>
      <c r="S5002">
        <v>150</v>
      </c>
      <c r="T5002" t="s">
        <v>20145</v>
      </c>
    </row>
    <row r="5003" spans="1:20" customFormat="1" ht="15" x14ac:dyDescent="0.25">
      <c r="A5003" t="s">
        <v>35</v>
      </c>
      <c r="B5003" t="s">
        <v>61</v>
      </c>
      <c r="C5003" t="str">
        <f>"A0184467"</f>
        <v>A0184467</v>
      </c>
      <c r="D5003" t="s">
        <v>20146</v>
      </c>
      <c r="E5003" t="s">
        <v>20147</v>
      </c>
      <c r="F5003" t="s">
        <v>3327</v>
      </c>
      <c r="G5003" t="s">
        <v>528</v>
      </c>
      <c r="H5003" t="s">
        <v>20148</v>
      </c>
      <c r="I5003" t="s">
        <v>30</v>
      </c>
      <c r="J5003" t="s">
        <v>41</v>
      </c>
      <c r="K5003" t="s">
        <v>59</v>
      </c>
      <c r="Q5003">
        <v>0</v>
      </c>
      <c r="R5003">
        <v>0</v>
      </c>
      <c r="S5003">
        <v>0</v>
      </c>
      <c r="T5003" t="s">
        <v>20149</v>
      </c>
    </row>
    <row r="5004" spans="1:20" customFormat="1" ht="15" x14ac:dyDescent="0.25">
      <c r="A5004" t="s">
        <v>35</v>
      </c>
      <c r="B5004" t="s">
        <v>61</v>
      </c>
      <c r="C5004" t="str">
        <f>"A0184466"</f>
        <v>A0184466</v>
      </c>
      <c r="D5004" t="s">
        <v>20150</v>
      </c>
      <c r="E5004" t="s">
        <v>19716</v>
      </c>
      <c r="F5004" t="s">
        <v>531</v>
      </c>
      <c r="G5004" t="s">
        <v>528</v>
      </c>
      <c r="H5004" t="s">
        <v>19717</v>
      </c>
      <c r="I5004" t="s">
        <v>30</v>
      </c>
      <c r="J5004" t="s">
        <v>41</v>
      </c>
      <c r="K5004" t="s">
        <v>59</v>
      </c>
      <c r="Q5004">
        <v>0</v>
      </c>
      <c r="R5004">
        <v>0</v>
      </c>
      <c r="S5004">
        <v>0</v>
      </c>
      <c r="T5004" t="s">
        <v>19718</v>
      </c>
    </row>
    <row r="5005" spans="1:20" customFormat="1" ht="15" x14ac:dyDescent="0.25">
      <c r="A5005" t="s">
        <v>35</v>
      </c>
      <c r="B5005" t="s">
        <v>61</v>
      </c>
      <c r="C5005" t="str">
        <f>"A0184465"</f>
        <v>A0184465</v>
      </c>
      <c r="D5005" t="s">
        <v>20151</v>
      </c>
      <c r="E5005" t="s">
        <v>19716</v>
      </c>
      <c r="F5005" t="s">
        <v>531</v>
      </c>
      <c r="G5005" t="s">
        <v>528</v>
      </c>
      <c r="H5005" t="s">
        <v>19717</v>
      </c>
      <c r="I5005" t="s">
        <v>30</v>
      </c>
      <c r="J5005" t="s">
        <v>41</v>
      </c>
      <c r="K5005" t="s">
        <v>59</v>
      </c>
      <c r="Q5005">
        <v>0</v>
      </c>
      <c r="R5005">
        <v>291</v>
      </c>
      <c r="S5005">
        <v>291</v>
      </c>
      <c r="T5005" t="s">
        <v>19718</v>
      </c>
    </row>
    <row r="5006" spans="1:20" customFormat="1" ht="15" x14ac:dyDescent="0.25">
      <c r="A5006" t="s">
        <v>35</v>
      </c>
      <c r="B5006" t="s">
        <v>12201</v>
      </c>
      <c r="C5006" t="str">
        <f>"A0184464"</f>
        <v>A0184464</v>
      </c>
      <c r="D5006" t="s">
        <v>20152</v>
      </c>
      <c r="E5006" t="s">
        <v>20153</v>
      </c>
      <c r="F5006" t="s">
        <v>4629</v>
      </c>
      <c r="G5006" t="s">
        <v>103</v>
      </c>
      <c r="H5006">
        <v>191485741</v>
      </c>
      <c r="I5006" t="s">
        <v>30</v>
      </c>
      <c r="J5006" t="s">
        <v>41</v>
      </c>
      <c r="K5006" t="s">
        <v>59</v>
      </c>
      <c r="Q5006">
        <v>0</v>
      </c>
      <c r="R5006">
        <v>0</v>
      </c>
      <c r="S5006">
        <v>0</v>
      </c>
      <c r="T5006" t="s">
        <v>20154</v>
      </c>
    </row>
    <row r="5007" spans="1:20" customFormat="1" ht="15" x14ac:dyDescent="0.25">
      <c r="A5007" t="s">
        <v>35</v>
      </c>
      <c r="B5007" t="s">
        <v>61</v>
      </c>
      <c r="C5007" t="str">
        <f>"A0184463"</f>
        <v>A0184463</v>
      </c>
      <c r="D5007" t="s">
        <v>20155</v>
      </c>
      <c r="E5007" t="s">
        <v>20114</v>
      </c>
      <c r="F5007" t="s">
        <v>20087</v>
      </c>
      <c r="G5007" t="s">
        <v>71</v>
      </c>
      <c r="H5007" t="s">
        <v>20115</v>
      </c>
      <c r="I5007" t="s">
        <v>30</v>
      </c>
      <c r="J5007" t="s">
        <v>41</v>
      </c>
      <c r="K5007" t="s">
        <v>59</v>
      </c>
      <c r="Q5007">
        <v>0</v>
      </c>
      <c r="R5007">
        <v>124</v>
      </c>
      <c r="S5007">
        <v>124</v>
      </c>
      <c r="T5007" t="s">
        <v>20156</v>
      </c>
    </row>
    <row r="5008" spans="1:20" customFormat="1" ht="15" x14ac:dyDescent="0.25">
      <c r="A5008" t="s">
        <v>35</v>
      </c>
      <c r="B5008" t="s">
        <v>61</v>
      </c>
      <c r="C5008" t="str">
        <f>"A0184462"</f>
        <v>A0184462</v>
      </c>
      <c r="D5008" t="s">
        <v>20157</v>
      </c>
      <c r="E5008" t="s">
        <v>20158</v>
      </c>
      <c r="F5008" t="s">
        <v>11772</v>
      </c>
      <c r="G5008" t="s">
        <v>71</v>
      </c>
      <c r="H5008">
        <v>541303302</v>
      </c>
      <c r="I5008" t="s">
        <v>30</v>
      </c>
      <c r="J5008" t="s">
        <v>41</v>
      </c>
      <c r="K5008" t="s">
        <v>59</v>
      </c>
      <c r="Q5008">
        <v>0</v>
      </c>
      <c r="R5008">
        <v>0</v>
      </c>
      <c r="S5008">
        <v>0</v>
      </c>
      <c r="T5008" t="s">
        <v>20159</v>
      </c>
    </row>
    <row r="5009" spans="1:20" customFormat="1" ht="15" x14ac:dyDescent="0.25">
      <c r="A5009" t="s">
        <v>35</v>
      </c>
      <c r="B5009" t="s">
        <v>61</v>
      </c>
      <c r="C5009" t="str">
        <f>"A0184461"</f>
        <v>A0184461</v>
      </c>
      <c r="D5009" t="s">
        <v>20160</v>
      </c>
      <c r="E5009" t="s">
        <v>20161</v>
      </c>
      <c r="F5009" t="s">
        <v>11455</v>
      </c>
      <c r="G5009" t="s">
        <v>71</v>
      </c>
      <c r="H5009">
        <v>53226</v>
      </c>
      <c r="I5009" t="s">
        <v>30</v>
      </c>
      <c r="J5009" t="s">
        <v>41</v>
      </c>
      <c r="K5009" t="s">
        <v>59</v>
      </c>
      <c r="Q5009">
        <v>0</v>
      </c>
      <c r="R5009">
        <v>0</v>
      </c>
      <c r="S5009">
        <v>0</v>
      </c>
      <c r="T5009" t="s">
        <v>20162</v>
      </c>
    </row>
    <row r="5010" spans="1:20" customFormat="1" ht="15" x14ac:dyDescent="0.25">
      <c r="A5010" t="s">
        <v>35</v>
      </c>
      <c r="B5010" t="s">
        <v>12201</v>
      </c>
      <c r="C5010" t="str">
        <f>"A0184460"</f>
        <v>A0184460</v>
      </c>
      <c r="D5010" t="s">
        <v>20163</v>
      </c>
      <c r="E5010" t="s">
        <v>20164</v>
      </c>
      <c r="F5010" t="s">
        <v>4629</v>
      </c>
      <c r="G5010" t="s">
        <v>103</v>
      </c>
      <c r="H5010">
        <v>191405033</v>
      </c>
      <c r="I5010" t="s">
        <v>30</v>
      </c>
      <c r="J5010" t="s">
        <v>41</v>
      </c>
      <c r="K5010" t="s">
        <v>59</v>
      </c>
      <c r="Q5010">
        <v>0</v>
      </c>
      <c r="R5010">
        <v>0</v>
      </c>
      <c r="S5010">
        <v>0</v>
      </c>
      <c r="T5010" t="s">
        <v>20165</v>
      </c>
    </row>
    <row r="5011" spans="1:20" customFormat="1" ht="15" x14ac:dyDescent="0.25">
      <c r="A5011" t="s">
        <v>35</v>
      </c>
      <c r="B5011" t="s">
        <v>12201</v>
      </c>
      <c r="C5011" t="str">
        <f>"A0184459"</f>
        <v>A0184459</v>
      </c>
      <c r="D5011" t="s">
        <v>20166</v>
      </c>
      <c r="E5011" t="s">
        <v>20167</v>
      </c>
      <c r="F5011" t="s">
        <v>19465</v>
      </c>
      <c r="G5011" t="s">
        <v>103</v>
      </c>
      <c r="H5011">
        <v>194442430</v>
      </c>
      <c r="I5011" t="s">
        <v>30</v>
      </c>
      <c r="J5011" t="s">
        <v>41</v>
      </c>
      <c r="K5011" t="s">
        <v>59</v>
      </c>
      <c r="Q5011">
        <v>0</v>
      </c>
      <c r="R5011">
        <v>85</v>
      </c>
      <c r="S5011">
        <v>85</v>
      </c>
      <c r="T5011" t="s">
        <v>20168</v>
      </c>
    </row>
    <row r="5012" spans="1:20" customFormat="1" ht="15" x14ac:dyDescent="0.25">
      <c r="A5012" t="s">
        <v>35</v>
      </c>
      <c r="B5012" t="s">
        <v>18064</v>
      </c>
      <c r="C5012" t="str">
        <f>"A0184458"</f>
        <v>A0184458</v>
      </c>
      <c r="D5012" t="s">
        <v>20169</v>
      </c>
      <c r="E5012" t="s">
        <v>20170</v>
      </c>
      <c r="F5012" t="s">
        <v>20171</v>
      </c>
      <c r="G5012" t="s">
        <v>103</v>
      </c>
      <c r="H5012">
        <v>16662</v>
      </c>
      <c r="I5012" t="s">
        <v>30</v>
      </c>
      <c r="J5012" t="s">
        <v>41</v>
      </c>
      <c r="K5012" t="s">
        <v>59</v>
      </c>
      <c r="Q5012">
        <v>0</v>
      </c>
      <c r="R5012">
        <v>144</v>
      </c>
      <c r="S5012">
        <v>144</v>
      </c>
      <c r="T5012" t="s">
        <v>20172</v>
      </c>
    </row>
    <row r="5013" spans="1:20" customFormat="1" ht="15" x14ac:dyDescent="0.25">
      <c r="A5013" t="s">
        <v>35</v>
      </c>
      <c r="B5013" t="s">
        <v>61</v>
      </c>
      <c r="C5013" t="str">
        <f>"A0184456"</f>
        <v>A0184456</v>
      </c>
      <c r="D5013" t="s">
        <v>20173</v>
      </c>
      <c r="E5013" t="s">
        <v>20174</v>
      </c>
      <c r="F5013" t="s">
        <v>20175</v>
      </c>
      <c r="G5013" t="s">
        <v>71</v>
      </c>
      <c r="H5013" t="s">
        <v>20176</v>
      </c>
      <c r="I5013" t="s">
        <v>30</v>
      </c>
      <c r="J5013" t="s">
        <v>41</v>
      </c>
      <c r="K5013" t="s">
        <v>59</v>
      </c>
      <c r="Q5013">
        <v>0</v>
      </c>
      <c r="R5013">
        <v>0</v>
      </c>
      <c r="S5013">
        <v>0</v>
      </c>
    </row>
    <row r="5014" spans="1:20" customFormat="1" ht="15" x14ac:dyDescent="0.25">
      <c r="A5014" t="s">
        <v>35</v>
      </c>
      <c r="B5014" t="s">
        <v>61</v>
      </c>
      <c r="C5014" t="str">
        <f>"A0184455"</f>
        <v>A0184455</v>
      </c>
      <c r="D5014" t="s">
        <v>20177</v>
      </c>
      <c r="E5014" t="s">
        <v>20178</v>
      </c>
      <c r="F5014" t="s">
        <v>20179</v>
      </c>
      <c r="G5014" t="s">
        <v>161</v>
      </c>
      <c r="H5014" t="s">
        <v>20180</v>
      </c>
      <c r="I5014" t="s">
        <v>30</v>
      </c>
      <c r="J5014" t="s">
        <v>41</v>
      </c>
      <c r="K5014" t="s">
        <v>59</v>
      </c>
      <c r="Q5014">
        <v>0</v>
      </c>
      <c r="R5014">
        <v>172</v>
      </c>
      <c r="S5014">
        <v>172</v>
      </c>
      <c r="T5014" t="s">
        <v>20181</v>
      </c>
    </row>
    <row r="5015" spans="1:20" customFormat="1" ht="15" x14ac:dyDescent="0.25">
      <c r="A5015" t="s">
        <v>35</v>
      </c>
      <c r="B5015" t="s">
        <v>61</v>
      </c>
      <c r="C5015" t="str">
        <f>"A0184454"</f>
        <v>A0184454</v>
      </c>
      <c r="D5015" t="s">
        <v>20182</v>
      </c>
      <c r="E5015" t="s">
        <v>20183</v>
      </c>
      <c r="F5015" t="s">
        <v>20184</v>
      </c>
      <c r="G5015" t="s">
        <v>161</v>
      </c>
      <c r="H5015" t="s">
        <v>20185</v>
      </c>
      <c r="I5015" t="s">
        <v>30</v>
      </c>
      <c r="J5015" t="s">
        <v>41</v>
      </c>
      <c r="K5015" t="s">
        <v>59</v>
      </c>
      <c r="Q5015">
        <v>0</v>
      </c>
      <c r="R5015">
        <v>0</v>
      </c>
      <c r="S5015">
        <v>0</v>
      </c>
    </row>
    <row r="5016" spans="1:20" customFormat="1" ht="15" x14ac:dyDescent="0.25">
      <c r="A5016" t="s">
        <v>35</v>
      </c>
      <c r="B5016" t="s">
        <v>5037</v>
      </c>
      <c r="C5016" t="str">
        <f>"A0184453"</f>
        <v>A0184453</v>
      </c>
      <c r="D5016" t="s">
        <v>20186</v>
      </c>
      <c r="E5016" t="s">
        <v>20187</v>
      </c>
      <c r="F5016" t="s">
        <v>10276</v>
      </c>
      <c r="G5016" t="s">
        <v>846</v>
      </c>
      <c r="H5016" t="s">
        <v>20188</v>
      </c>
      <c r="I5016" t="s">
        <v>30</v>
      </c>
      <c r="J5016" t="s">
        <v>41</v>
      </c>
      <c r="K5016" t="s">
        <v>59</v>
      </c>
      <c r="Q5016">
        <v>0</v>
      </c>
      <c r="R5016">
        <v>0</v>
      </c>
      <c r="S5016">
        <v>0</v>
      </c>
      <c r="T5016" t="s">
        <v>20189</v>
      </c>
    </row>
    <row r="5017" spans="1:20" customFormat="1" ht="15" x14ac:dyDescent="0.25">
      <c r="A5017" t="s">
        <v>35</v>
      </c>
      <c r="B5017" t="s">
        <v>61</v>
      </c>
      <c r="C5017" t="str">
        <f>"A0184452"</f>
        <v>A0184452</v>
      </c>
      <c r="D5017" t="s">
        <v>20190</v>
      </c>
      <c r="E5017" t="s">
        <v>20191</v>
      </c>
      <c r="F5017" t="s">
        <v>20192</v>
      </c>
      <c r="G5017" t="s">
        <v>846</v>
      </c>
      <c r="H5017" t="s">
        <v>20193</v>
      </c>
      <c r="I5017" t="s">
        <v>30</v>
      </c>
      <c r="J5017" t="s">
        <v>41</v>
      </c>
      <c r="K5017" t="s">
        <v>59</v>
      </c>
      <c r="Q5017">
        <v>0</v>
      </c>
      <c r="R5017">
        <v>0</v>
      </c>
      <c r="S5017">
        <v>0</v>
      </c>
    </row>
    <row r="5018" spans="1:20" customFormat="1" ht="15" x14ac:dyDescent="0.25">
      <c r="A5018" t="s">
        <v>35</v>
      </c>
      <c r="B5018" t="s">
        <v>61</v>
      </c>
      <c r="C5018" t="str">
        <f>"A0184451"</f>
        <v>A0184451</v>
      </c>
      <c r="D5018" t="s">
        <v>19983</v>
      </c>
      <c r="E5018" t="s">
        <v>20194</v>
      </c>
      <c r="F5018" t="s">
        <v>20192</v>
      </c>
      <c r="G5018" t="s">
        <v>846</v>
      </c>
      <c r="H5018">
        <v>30824</v>
      </c>
      <c r="I5018" t="s">
        <v>30</v>
      </c>
      <c r="J5018" t="s">
        <v>41</v>
      </c>
      <c r="K5018" t="s">
        <v>59</v>
      </c>
      <c r="Q5018">
        <v>0</v>
      </c>
      <c r="R5018">
        <v>0</v>
      </c>
      <c r="S5018">
        <v>0</v>
      </c>
      <c r="T5018" t="s">
        <v>20195</v>
      </c>
    </row>
    <row r="5019" spans="1:20" customFormat="1" ht="15" x14ac:dyDescent="0.25">
      <c r="A5019" t="s">
        <v>35</v>
      </c>
      <c r="B5019" t="s">
        <v>61</v>
      </c>
      <c r="C5019" t="str">
        <f>"A0184450"</f>
        <v>A0184450</v>
      </c>
      <c r="D5019" t="s">
        <v>20196</v>
      </c>
      <c r="E5019" t="s">
        <v>20197</v>
      </c>
      <c r="F5019" t="s">
        <v>20192</v>
      </c>
      <c r="G5019" t="s">
        <v>846</v>
      </c>
      <c r="H5019" t="s">
        <v>20198</v>
      </c>
      <c r="I5019" t="s">
        <v>30</v>
      </c>
      <c r="J5019" t="s">
        <v>41</v>
      </c>
      <c r="K5019" t="s">
        <v>59</v>
      </c>
      <c r="Q5019">
        <v>0</v>
      </c>
      <c r="R5019">
        <v>0</v>
      </c>
      <c r="S5019">
        <v>0</v>
      </c>
      <c r="T5019" t="s">
        <v>20199</v>
      </c>
    </row>
    <row r="5020" spans="1:20" customFormat="1" ht="15" x14ac:dyDescent="0.25">
      <c r="A5020" t="s">
        <v>35</v>
      </c>
      <c r="B5020" t="s">
        <v>61</v>
      </c>
      <c r="C5020" t="str">
        <f>"A0184449"</f>
        <v>A0184449</v>
      </c>
      <c r="D5020" t="s">
        <v>20200</v>
      </c>
      <c r="E5020" t="s">
        <v>20201</v>
      </c>
      <c r="F5020" t="s">
        <v>20144</v>
      </c>
      <c r="G5020" t="s">
        <v>846</v>
      </c>
      <c r="H5020" t="s">
        <v>20202</v>
      </c>
      <c r="I5020" t="s">
        <v>30</v>
      </c>
      <c r="J5020" t="s">
        <v>41</v>
      </c>
      <c r="K5020" t="s">
        <v>59</v>
      </c>
      <c r="Q5020">
        <v>0</v>
      </c>
      <c r="R5020">
        <v>0</v>
      </c>
      <c r="S5020">
        <v>0</v>
      </c>
      <c r="T5020" t="s">
        <v>20145</v>
      </c>
    </row>
    <row r="5021" spans="1:20" customFormat="1" ht="15" x14ac:dyDescent="0.25">
      <c r="A5021" t="s">
        <v>35</v>
      </c>
      <c r="B5021" t="s">
        <v>11871</v>
      </c>
      <c r="C5021" t="str">
        <f>"A0184448"</f>
        <v>A0184448</v>
      </c>
      <c r="D5021" t="s">
        <v>20203</v>
      </c>
      <c r="E5021" t="s">
        <v>20204</v>
      </c>
      <c r="F5021" t="s">
        <v>20205</v>
      </c>
      <c r="G5021" t="s">
        <v>507</v>
      </c>
      <c r="H5021">
        <v>255301356</v>
      </c>
      <c r="I5021" t="s">
        <v>30</v>
      </c>
      <c r="J5021" t="s">
        <v>41</v>
      </c>
      <c r="K5021" t="s">
        <v>59</v>
      </c>
      <c r="Q5021">
        <v>0</v>
      </c>
      <c r="R5021">
        <v>0</v>
      </c>
      <c r="S5021">
        <v>0</v>
      </c>
      <c r="T5021" t="s">
        <v>20206</v>
      </c>
    </row>
    <row r="5022" spans="1:20" customFormat="1" ht="15" x14ac:dyDescent="0.25">
      <c r="A5022" t="s">
        <v>35</v>
      </c>
      <c r="B5022" t="s">
        <v>61</v>
      </c>
      <c r="C5022" t="str">
        <f>"A0184446"</f>
        <v>A0184446</v>
      </c>
      <c r="D5022" t="s">
        <v>20207</v>
      </c>
      <c r="E5022" t="s">
        <v>20208</v>
      </c>
      <c r="F5022" t="s">
        <v>9735</v>
      </c>
      <c r="G5022" t="s">
        <v>71</v>
      </c>
      <c r="H5022">
        <v>54304</v>
      </c>
      <c r="I5022" t="s">
        <v>30</v>
      </c>
      <c r="J5022" t="s">
        <v>41</v>
      </c>
      <c r="K5022" t="s">
        <v>59</v>
      </c>
      <c r="Q5022">
        <v>0</v>
      </c>
      <c r="R5022">
        <v>0</v>
      </c>
      <c r="S5022">
        <v>0</v>
      </c>
      <c r="T5022" t="s">
        <v>20209</v>
      </c>
    </row>
    <row r="5023" spans="1:20" customFormat="1" ht="15" x14ac:dyDescent="0.25">
      <c r="A5023" t="s">
        <v>35</v>
      </c>
      <c r="B5023" t="s">
        <v>61</v>
      </c>
      <c r="C5023" t="str">
        <f>"A0184445"</f>
        <v>A0184445</v>
      </c>
      <c r="D5023" t="s">
        <v>20210</v>
      </c>
      <c r="E5023" t="s">
        <v>20211</v>
      </c>
      <c r="F5023" t="s">
        <v>510</v>
      </c>
      <c r="G5023" t="s">
        <v>507</v>
      </c>
      <c r="H5023">
        <v>253022900</v>
      </c>
      <c r="I5023" t="s">
        <v>30</v>
      </c>
      <c r="J5023" t="s">
        <v>41</v>
      </c>
      <c r="K5023" t="s">
        <v>59</v>
      </c>
      <c r="Q5023">
        <v>0</v>
      </c>
      <c r="R5023">
        <v>186</v>
      </c>
      <c r="S5023">
        <v>186</v>
      </c>
      <c r="T5023" t="s">
        <v>20212</v>
      </c>
    </row>
    <row r="5024" spans="1:20" customFormat="1" ht="15" x14ac:dyDescent="0.25">
      <c r="A5024" t="s">
        <v>35</v>
      </c>
      <c r="B5024" t="s">
        <v>11871</v>
      </c>
      <c r="C5024" t="str">
        <f>"A0184444"</f>
        <v>A0184444</v>
      </c>
      <c r="D5024" t="s">
        <v>20213</v>
      </c>
      <c r="E5024" t="s">
        <v>20214</v>
      </c>
      <c r="F5024" t="s">
        <v>20215</v>
      </c>
      <c r="G5024" t="s">
        <v>507</v>
      </c>
      <c r="H5024">
        <v>259012947</v>
      </c>
      <c r="I5024" t="s">
        <v>30</v>
      </c>
      <c r="J5024" t="s">
        <v>41</v>
      </c>
      <c r="K5024" t="s">
        <v>59</v>
      </c>
      <c r="Q5024">
        <v>0</v>
      </c>
      <c r="R5024">
        <v>0</v>
      </c>
      <c r="S5024">
        <v>0</v>
      </c>
      <c r="T5024" t="s">
        <v>20216</v>
      </c>
    </row>
    <row r="5025" spans="1:20" customFormat="1" ht="15" x14ac:dyDescent="0.25">
      <c r="A5025" t="s">
        <v>35</v>
      </c>
      <c r="B5025" t="s">
        <v>11871</v>
      </c>
      <c r="C5025" t="str">
        <f>"A0184443"</f>
        <v>A0184443</v>
      </c>
      <c r="D5025" t="s">
        <v>20217</v>
      </c>
      <c r="E5025" t="s">
        <v>20218</v>
      </c>
      <c r="F5025" t="s">
        <v>20219</v>
      </c>
      <c r="G5025" t="s">
        <v>507</v>
      </c>
      <c r="H5025">
        <v>255607545</v>
      </c>
      <c r="I5025" t="s">
        <v>30</v>
      </c>
      <c r="J5025" t="s">
        <v>41</v>
      </c>
      <c r="K5025" t="s">
        <v>59</v>
      </c>
      <c r="Q5025">
        <v>0</v>
      </c>
      <c r="R5025">
        <v>0</v>
      </c>
      <c r="S5025">
        <v>0</v>
      </c>
      <c r="T5025" t="s">
        <v>20220</v>
      </c>
    </row>
    <row r="5026" spans="1:20" customFormat="1" ht="15" x14ac:dyDescent="0.25">
      <c r="A5026" t="s">
        <v>35</v>
      </c>
      <c r="B5026" t="s">
        <v>61</v>
      </c>
      <c r="C5026" t="str">
        <f>"A0184442"</f>
        <v>A0184442</v>
      </c>
      <c r="D5026" t="s">
        <v>20221</v>
      </c>
      <c r="E5026" t="s">
        <v>20222</v>
      </c>
      <c r="F5026" t="s">
        <v>17801</v>
      </c>
      <c r="G5026" t="s">
        <v>71</v>
      </c>
      <c r="H5026" t="s">
        <v>20223</v>
      </c>
      <c r="I5026" t="s">
        <v>30</v>
      </c>
      <c r="J5026" t="s">
        <v>41</v>
      </c>
      <c r="K5026" t="s">
        <v>59</v>
      </c>
      <c r="Q5026">
        <v>0</v>
      </c>
      <c r="R5026">
        <v>0</v>
      </c>
      <c r="S5026">
        <v>0</v>
      </c>
      <c r="T5026" t="s">
        <v>20224</v>
      </c>
    </row>
    <row r="5027" spans="1:20" customFormat="1" ht="15" x14ac:dyDescent="0.25">
      <c r="A5027" t="s">
        <v>35</v>
      </c>
      <c r="B5027" t="s">
        <v>61</v>
      </c>
      <c r="C5027" t="str">
        <f>"A0184441"</f>
        <v>A0184441</v>
      </c>
      <c r="D5027" t="s">
        <v>20225</v>
      </c>
      <c r="E5027" t="s">
        <v>20226</v>
      </c>
      <c r="F5027" t="s">
        <v>11772</v>
      </c>
      <c r="G5027" t="s">
        <v>71</v>
      </c>
      <c r="H5027">
        <v>541303371</v>
      </c>
      <c r="I5027" t="s">
        <v>30</v>
      </c>
      <c r="J5027" t="s">
        <v>41</v>
      </c>
      <c r="K5027" t="s">
        <v>59</v>
      </c>
      <c r="Q5027">
        <v>0</v>
      </c>
      <c r="R5027">
        <v>0</v>
      </c>
      <c r="S5027">
        <v>0</v>
      </c>
      <c r="T5027" t="s">
        <v>20159</v>
      </c>
    </row>
    <row r="5028" spans="1:20" customFormat="1" ht="15" x14ac:dyDescent="0.25">
      <c r="A5028" t="s">
        <v>35</v>
      </c>
      <c r="B5028" t="s">
        <v>61</v>
      </c>
      <c r="C5028" t="str">
        <f>"A0184440"</f>
        <v>A0184440</v>
      </c>
      <c r="D5028" t="s">
        <v>20227</v>
      </c>
      <c r="E5028" t="s">
        <v>20228</v>
      </c>
      <c r="F5028" t="s">
        <v>9147</v>
      </c>
      <c r="G5028" t="s">
        <v>103</v>
      </c>
      <c r="H5028" t="s">
        <v>20229</v>
      </c>
      <c r="I5028" t="s">
        <v>30</v>
      </c>
      <c r="J5028" t="s">
        <v>41</v>
      </c>
      <c r="K5028" t="s">
        <v>59</v>
      </c>
      <c r="Q5028">
        <v>0</v>
      </c>
      <c r="R5028">
        <v>125</v>
      </c>
      <c r="S5028">
        <v>125</v>
      </c>
      <c r="T5028" t="s">
        <v>20230</v>
      </c>
    </row>
    <row r="5029" spans="1:20" customFormat="1" ht="15" x14ac:dyDescent="0.25">
      <c r="A5029" t="s">
        <v>35</v>
      </c>
      <c r="B5029" t="s">
        <v>11183</v>
      </c>
      <c r="C5029" t="str">
        <f>"A0184439"</f>
        <v>A0184439</v>
      </c>
      <c r="D5029" t="s">
        <v>20231</v>
      </c>
      <c r="E5029" t="s">
        <v>20232</v>
      </c>
      <c r="F5029" t="s">
        <v>18901</v>
      </c>
      <c r="G5029" t="s">
        <v>103</v>
      </c>
      <c r="H5029" t="s">
        <v>20233</v>
      </c>
      <c r="I5029" t="s">
        <v>30</v>
      </c>
      <c r="J5029" t="s">
        <v>41</v>
      </c>
      <c r="K5029" t="s">
        <v>59</v>
      </c>
      <c r="Q5029">
        <v>0</v>
      </c>
      <c r="R5029">
        <v>69</v>
      </c>
      <c r="S5029">
        <v>69</v>
      </c>
      <c r="T5029" t="s">
        <v>20234</v>
      </c>
    </row>
    <row r="5030" spans="1:20" customFormat="1" ht="15" x14ac:dyDescent="0.25">
      <c r="A5030" t="s">
        <v>35</v>
      </c>
      <c r="B5030" t="s">
        <v>61</v>
      </c>
      <c r="C5030" t="str">
        <f>"A0184438"</f>
        <v>A0184438</v>
      </c>
      <c r="D5030" t="s">
        <v>20235</v>
      </c>
      <c r="E5030" t="s">
        <v>20236</v>
      </c>
      <c r="F5030" t="s">
        <v>1959</v>
      </c>
      <c r="G5030" t="s">
        <v>65</v>
      </c>
      <c r="H5030" t="s">
        <v>20237</v>
      </c>
      <c r="I5030" t="s">
        <v>30</v>
      </c>
      <c r="J5030" t="s">
        <v>41</v>
      </c>
      <c r="K5030" t="s">
        <v>59</v>
      </c>
      <c r="Q5030">
        <v>0</v>
      </c>
      <c r="R5030">
        <v>0</v>
      </c>
      <c r="S5030">
        <v>0</v>
      </c>
    </row>
    <row r="5031" spans="1:20" customFormat="1" ht="15" x14ac:dyDescent="0.25">
      <c r="A5031" t="s">
        <v>35</v>
      </c>
      <c r="B5031" t="s">
        <v>61</v>
      </c>
      <c r="C5031" t="str">
        <f>"A0184437"</f>
        <v>A0184437</v>
      </c>
      <c r="D5031" t="s">
        <v>20238</v>
      </c>
      <c r="E5031" t="s">
        <v>20239</v>
      </c>
      <c r="F5031" t="s">
        <v>3661</v>
      </c>
      <c r="G5031" t="s">
        <v>65</v>
      </c>
      <c r="H5031">
        <v>452271635</v>
      </c>
      <c r="I5031" t="s">
        <v>30</v>
      </c>
      <c r="J5031" t="s">
        <v>41</v>
      </c>
      <c r="K5031" t="s">
        <v>59</v>
      </c>
      <c r="Q5031">
        <v>0</v>
      </c>
      <c r="R5031">
        <v>0</v>
      </c>
      <c r="S5031">
        <v>0</v>
      </c>
      <c r="T5031" t="s">
        <v>20240</v>
      </c>
    </row>
    <row r="5032" spans="1:20" customFormat="1" ht="15" x14ac:dyDescent="0.25">
      <c r="A5032" t="s">
        <v>35</v>
      </c>
      <c r="B5032" t="s">
        <v>61</v>
      </c>
      <c r="C5032" t="str">
        <f>"A0184436"</f>
        <v>A0184436</v>
      </c>
      <c r="D5032" t="s">
        <v>20241</v>
      </c>
      <c r="E5032" t="s">
        <v>20242</v>
      </c>
      <c r="F5032" t="s">
        <v>2748</v>
      </c>
      <c r="G5032" t="s">
        <v>65</v>
      </c>
      <c r="H5032" t="s">
        <v>20243</v>
      </c>
      <c r="I5032" t="s">
        <v>30</v>
      </c>
      <c r="J5032" t="s">
        <v>41</v>
      </c>
      <c r="K5032" t="s">
        <v>59</v>
      </c>
      <c r="Q5032">
        <v>0</v>
      </c>
      <c r="R5032">
        <v>0</v>
      </c>
      <c r="S5032">
        <v>0</v>
      </c>
    </row>
    <row r="5033" spans="1:20" customFormat="1" ht="15" x14ac:dyDescent="0.25">
      <c r="A5033" t="s">
        <v>35</v>
      </c>
      <c r="B5033" t="s">
        <v>12201</v>
      </c>
      <c r="C5033" t="str">
        <f>"A0184435"</f>
        <v>A0184435</v>
      </c>
      <c r="D5033" t="s">
        <v>19620</v>
      </c>
      <c r="E5033" t="s">
        <v>20244</v>
      </c>
      <c r="F5033" t="s">
        <v>4629</v>
      </c>
      <c r="G5033" t="s">
        <v>103</v>
      </c>
      <c r="H5033">
        <v>191485700</v>
      </c>
      <c r="I5033" t="s">
        <v>30</v>
      </c>
      <c r="J5033" t="s">
        <v>41</v>
      </c>
      <c r="K5033" t="s">
        <v>59</v>
      </c>
      <c r="Q5033">
        <v>0</v>
      </c>
      <c r="R5033">
        <v>61</v>
      </c>
      <c r="S5033">
        <v>61</v>
      </c>
    </row>
    <row r="5034" spans="1:20" customFormat="1" ht="15" x14ac:dyDescent="0.25">
      <c r="A5034" t="s">
        <v>35</v>
      </c>
      <c r="B5034" t="s">
        <v>61</v>
      </c>
      <c r="C5034" t="str">
        <f>"A0184434"</f>
        <v>A0184434</v>
      </c>
      <c r="D5034" t="s">
        <v>20245</v>
      </c>
      <c r="E5034" t="s">
        <v>20246</v>
      </c>
      <c r="F5034" t="s">
        <v>20247</v>
      </c>
      <c r="G5034" t="s">
        <v>103</v>
      </c>
      <c r="H5034" t="s">
        <v>20248</v>
      </c>
      <c r="I5034" t="s">
        <v>30</v>
      </c>
      <c r="J5034" t="s">
        <v>41</v>
      </c>
      <c r="K5034" t="s">
        <v>59</v>
      </c>
      <c r="Q5034">
        <v>0</v>
      </c>
      <c r="R5034">
        <v>348</v>
      </c>
      <c r="S5034">
        <v>348</v>
      </c>
      <c r="T5034" t="s">
        <v>20249</v>
      </c>
    </row>
    <row r="5035" spans="1:20" customFormat="1" ht="15" x14ac:dyDescent="0.25">
      <c r="A5035" t="s">
        <v>35</v>
      </c>
      <c r="B5035" t="s">
        <v>61</v>
      </c>
      <c r="C5035" t="str">
        <f>"A0184433"</f>
        <v>A0184433</v>
      </c>
      <c r="D5035" t="s">
        <v>20250</v>
      </c>
      <c r="E5035" t="s">
        <v>20251</v>
      </c>
      <c r="F5035" t="s">
        <v>20252</v>
      </c>
      <c r="G5035" t="s">
        <v>103</v>
      </c>
      <c r="H5035" t="s">
        <v>20253</v>
      </c>
      <c r="I5035" t="s">
        <v>30</v>
      </c>
      <c r="J5035" t="s">
        <v>41</v>
      </c>
      <c r="K5035" t="s">
        <v>59</v>
      </c>
      <c r="Q5035">
        <v>0</v>
      </c>
      <c r="R5035">
        <v>176</v>
      </c>
      <c r="S5035">
        <v>176</v>
      </c>
      <c r="T5035" t="s">
        <v>20254</v>
      </c>
    </row>
    <row r="5036" spans="1:20" customFormat="1" ht="15" x14ac:dyDescent="0.25">
      <c r="A5036" t="s">
        <v>35</v>
      </c>
      <c r="B5036" t="s">
        <v>61</v>
      </c>
      <c r="C5036" t="str">
        <f>"A0184432"</f>
        <v>A0184432</v>
      </c>
      <c r="D5036" t="s">
        <v>20255</v>
      </c>
      <c r="E5036" t="s">
        <v>20256</v>
      </c>
      <c r="F5036" t="s">
        <v>20257</v>
      </c>
      <c r="G5036" t="s">
        <v>103</v>
      </c>
      <c r="H5036" t="s">
        <v>20258</v>
      </c>
      <c r="I5036" t="s">
        <v>30</v>
      </c>
      <c r="J5036" t="s">
        <v>41</v>
      </c>
      <c r="K5036" t="s">
        <v>59</v>
      </c>
      <c r="Q5036">
        <v>0</v>
      </c>
      <c r="R5036">
        <v>0</v>
      </c>
      <c r="S5036">
        <v>0</v>
      </c>
    </row>
    <row r="5037" spans="1:20" customFormat="1" ht="15" x14ac:dyDescent="0.25">
      <c r="A5037" t="s">
        <v>35</v>
      </c>
      <c r="B5037" t="s">
        <v>61</v>
      </c>
      <c r="C5037" t="str">
        <f>"A0184431"</f>
        <v>A0184431</v>
      </c>
      <c r="D5037" t="s">
        <v>20259</v>
      </c>
      <c r="E5037" t="s">
        <v>20260</v>
      </c>
      <c r="F5037" t="s">
        <v>20261</v>
      </c>
      <c r="G5037" t="s">
        <v>507</v>
      </c>
      <c r="H5037">
        <v>260031762</v>
      </c>
      <c r="I5037" t="s">
        <v>30</v>
      </c>
      <c r="J5037" t="s">
        <v>41</v>
      </c>
      <c r="K5037" t="s">
        <v>59</v>
      </c>
      <c r="Q5037">
        <v>0</v>
      </c>
      <c r="R5037">
        <v>0</v>
      </c>
      <c r="S5037">
        <v>0</v>
      </c>
    </row>
    <row r="5038" spans="1:20" customFormat="1" ht="15" x14ac:dyDescent="0.25">
      <c r="A5038" t="s">
        <v>35</v>
      </c>
      <c r="B5038" t="s">
        <v>61</v>
      </c>
      <c r="C5038" t="str">
        <f>"A0184430"</f>
        <v>A0184430</v>
      </c>
      <c r="D5038" t="s">
        <v>20262</v>
      </c>
      <c r="E5038" t="s">
        <v>20263</v>
      </c>
      <c r="F5038" t="s">
        <v>7825</v>
      </c>
      <c r="G5038" t="s">
        <v>3236</v>
      </c>
      <c r="H5038">
        <v>574017724</v>
      </c>
      <c r="I5038" t="s">
        <v>30</v>
      </c>
      <c r="J5038" t="s">
        <v>41</v>
      </c>
      <c r="K5038" t="s">
        <v>59</v>
      </c>
      <c r="Q5038">
        <v>0</v>
      </c>
      <c r="R5038">
        <v>187</v>
      </c>
      <c r="S5038">
        <v>187</v>
      </c>
      <c r="T5038" t="s">
        <v>20264</v>
      </c>
    </row>
    <row r="5039" spans="1:20" customFormat="1" ht="15" x14ac:dyDescent="0.25">
      <c r="A5039" t="s">
        <v>35</v>
      </c>
      <c r="B5039" t="s">
        <v>61</v>
      </c>
      <c r="C5039" t="str">
        <f>"A0184429"</f>
        <v>A0184429</v>
      </c>
      <c r="D5039" t="s">
        <v>20265</v>
      </c>
      <c r="E5039" t="s">
        <v>20266</v>
      </c>
      <c r="F5039" t="s">
        <v>20267</v>
      </c>
      <c r="G5039" t="s">
        <v>427</v>
      </c>
      <c r="H5039">
        <v>69033</v>
      </c>
      <c r="I5039" t="s">
        <v>30</v>
      </c>
      <c r="J5039" t="s">
        <v>41</v>
      </c>
      <c r="K5039" t="s">
        <v>59</v>
      </c>
      <c r="Q5039">
        <v>0</v>
      </c>
      <c r="R5039">
        <v>0</v>
      </c>
      <c r="S5039">
        <v>0</v>
      </c>
      <c r="T5039" t="s">
        <v>20268</v>
      </c>
    </row>
    <row r="5040" spans="1:20" customFormat="1" ht="15" x14ac:dyDescent="0.25">
      <c r="A5040" t="s">
        <v>35</v>
      </c>
      <c r="B5040" t="s">
        <v>61</v>
      </c>
      <c r="C5040" t="str">
        <f>"A0184428"</f>
        <v>A0184428</v>
      </c>
      <c r="D5040" t="s">
        <v>20269</v>
      </c>
      <c r="E5040" t="s">
        <v>20270</v>
      </c>
      <c r="F5040" t="s">
        <v>20271</v>
      </c>
      <c r="G5040" t="s">
        <v>427</v>
      </c>
      <c r="H5040">
        <v>683612031</v>
      </c>
      <c r="I5040" t="s">
        <v>30</v>
      </c>
      <c r="J5040" t="s">
        <v>41</v>
      </c>
      <c r="K5040" t="s">
        <v>59</v>
      </c>
      <c r="Q5040">
        <v>0</v>
      </c>
      <c r="R5040">
        <v>0</v>
      </c>
      <c r="S5040">
        <v>0</v>
      </c>
      <c r="T5040" t="s">
        <v>20272</v>
      </c>
    </row>
    <row r="5041" spans="1:20" customFormat="1" ht="15" x14ac:dyDescent="0.25">
      <c r="A5041" t="s">
        <v>35</v>
      </c>
      <c r="B5041" t="s">
        <v>61</v>
      </c>
      <c r="C5041" t="str">
        <f>"A0184427"</f>
        <v>A0184427</v>
      </c>
      <c r="D5041" t="s">
        <v>20273</v>
      </c>
      <c r="E5041" t="s">
        <v>20274</v>
      </c>
      <c r="F5041" t="s">
        <v>20275</v>
      </c>
      <c r="G5041" t="s">
        <v>110</v>
      </c>
      <c r="H5041">
        <v>947102793</v>
      </c>
      <c r="I5041" t="s">
        <v>30</v>
      </c>
      <c r="J5041" t="s">
        <v>41</v>
      </c>
      <c r="K5041" t="s">
        <v>59</v>
      </c>
      <c r="Q5041">
        <v>0</v>
      </c>
      <c r="R5041">
        <v>0</v>
      </c>
      <c r="S5041">
        <v>0</v>
      </c>
    </row>
    <row r="5042" spans="1:20" customFormat="1" ht="15" x14ac:dyDescent="0.25">
      <c r="A5042" t="s">
        <v>35</v>
      </c>
      <c r="B5042" t="s">
        <v>61</v>
      </c>
      <c r="C5042" t="str">
        <f>"A0184426"</f>
        <v>A0184426</v>
      </c>
      <c r="D5042" t="s">
        <v>20276</v>
      </c>
      <c r="E5042" t="s">
        <v>20277</v>
      </c>
      <c r="F5042" t="s">
        <v>20278</v>
      </c>
      <c r="G5042" t="s">
        <v>110</v>
      </c>
      <c r="H5042">
        <v>94503</v>
      </c>
      <c r="I5042" t="s">
        <v>30</v>
      </c>
      <c r="J5042" t="s">
        <v>41</v>
      </c>
      <c r="K5042" t="s">
        <v>59</v>
      </c>
      <c r="Q5042">
        <v>0</v>
      </c>
      <c r="R5042">
        <v>0</v>
      </c>
      <c r="S5042">
        <v>0</v>
      </c>
    </row>
    <row r="5043" spans="1:20" customFormat="1" ht="15" x14ac:dyDescent="0.25">
      <c r="A5043" t="s">
        <v>35</v>
      </c>
      <c r="B5043" t="s">
        <v>61</v>
      </c>
      <c r="C5043" t="str">
        <f>"A0184425"</f>
        <v>A0184425</v>
      </c>
      <c r="D5043" t="s">
        <v>20279</v>
      </c>
      <c r="E5043" t="s">
        <v>20280</v>
      </c>
      <c r="F5043" t="s">
        <v>102</v>
      </c>
      <c r="G5043" t="s">
        <v>103</v>
      </c>
      <c r="H5043" t="s">
        <v>20281</v>
      </c>
      <c r="I5043" t="s">
        <v>30</v>
      </c>
      <c r="J5043" t="s">
        <v>41</v>
      </c>
      <c r="K5043" t="s">
        <v>59</v>
      </c>
      <c r="Q5043">
        <v>0</v>
      </c>
      <c r="R5043">
        <v>80</v>
      </c>
      <c r="S5043">
        <v>80</v>
      </c>
      <c r="T5043" t="s">
        <v>20282</v>
      </c>
    </row>
    <row r="5044" spans="1:20" customFormat="1" ht="15" x14ac:dyDescent="0.25">
      <c r="A5044" t="s">
        <v>35</v>
      </c>
      <c r="B5044" t="s">
        <v>61</v>
      </c>
      <c r="C5044" t="str">
        <f>"A0184424"</f>
        <v>A0184424</v>
      </c>
      <c r="D5044" t="s">
        <v>20283</v>
      </c>
      <c r="E5044" t="s">
        <v>20284</v>
      </c>
      <c r="F5044" t="s">
        <v>102</v>
      </c>
      <c r="G5044" t="s">
        <v>103</v>
      </c>
      <c r="H5044" t="s">
        <v>20285</v>
      </c>
      <c r="I5044" t="s">
        <v>30</v>
      </c>
      <c r="J5044" t="s">
        <v>41</v>
      </c>
      <c r="K5044" t="s">
        <v>59</v>
      </c>
      <c r="Q5044">
        <v>0</v>
      </c>
      <c r="R5044">
        <v>0</v>
      </c>
      <c r="S5044">
        <v>0</v>
      </c>
    </row>
    <row r="5045" spans="1:20" customFormat="1" ht="15" x14ac:dyDescent="0.25">
      <c r="A5045" t="s">
        <v>35</v>
      </c>
      <c r="B5045" t="s">
        <v>11871</v>
      </c>
      <c r="C5045" t="str">
        <f>"A0184423"</f>
        <v>A0184423</v>
      </c>
      <c r="D5045" t="s">
        <v>20286</v>
      </c>
      <c r="E5045" t="s">
        <v>20287</v>
      </c>
      <c r="F5045" t="s">
        <v>10276</v>
      </c>
      <c r="G5045" t="s">
        <v>846</v>
      </c>
      <c r="H5045" t="s">
        <v>20288</v>
      </c>
      <c r="I5045" t="s">
        <v>30</v>
      </c>
      <c r="J5045" t="s">
        <v>41</v>
      </c>
      <c r="K5045" t="s">
        <v>59</v>
      </c>
      <c r="Q5045">
        <v>0</v>
      </c>
      <c r="R5045">
        <v>0</v>
      </c>
      <c r="S5045">
        <v>0</v>
      </c>
      <c r="T5045" t="s">
        <v>20289</v>
      </c>
    </row>
    <row r="5046" spans="1:20" customFormat="1" ht="15" x14ac:dyDescent="0.25">
      <c r="A5046" t="s">
        <v>35</v>
      </c>
      <c r="B5046" t="s">
        <v>11871</v>
      </c>
      <c r="C5046" t="str">
        <f>"A0184422"</f>
        <v>A0184422</v>
      </c>
      <c r="D5046" t="s">
        <v>20290</v>
      </c>
      <c r="E5046" t="s">
        <v>20291</v>
      </c>
      <c r="F5046" t="s">
        <v>10276</v>
      </c>
      <c r="G5046" t="s">
        <v>846</v>
      </c>
      <c r="H5046" t="s">
        <v>20292</v>
      </c>
      <c r="I5046" t="s">
        <v>30</v>
      </c>
      <c r="J5046" t="s">
        <v>41</v>
      </c>
      <c r="K5046" t="s">
        <v>59</v>
      </c>
      <c r="Q5046">
        <v>0</v>
      </c>
      <c r="R5046">
        <v>0</v>
      </c>
      <c r="S5046">
        <v>0</v>
      </c>
      <c r="T5046" t="s">
        <v>20293</v>
      </c>
    </row>
    <row r="5047" spans="1:20" customFormat="1" ht="15" x14ac:dyDescent="0.25">
      <c r="A5047" t="s">
        <v>35</v>
      </c>
      <c r="B5047" t="s">
        <v>11871</v>
      </c>
      <c r="C5047" t="str">
        <f>"A0184421"</f>
        <v>A0184421</v>
      </c>
      <c r="D5047" t="s">
        <v>20294</v>
      </c>
      <c r="E5047" t="s">
        <v>20295</v>
      </c>
      <c r="F5047" t="s">
        <v>10276</v>
      </c>
      <c r="G5047" t="s">
        <v>846</v>
      </c>
      <c r="H5047" t="s">
        <v>20296</v>
      </c>
      <c r="I5047" t="s">
        <v>30</v>
      </c>
      <c r="J5047" t="s">
        <v>41</v>
      </c>
      <c r="K5047" t="s">
        <v>59</v>
      </c>
      <c r="Q5047">
        <v>0</v>
      </c>
      <c r="R5047">
        <v>0</v>
      </c>
      <c r="S5047">
        <v>0</v>
      </c>
      <c r="T5047" t="s">
        <v>20297</v>
      </c>
    </row>
    <row r="5048" spans="1:20" customFormat="1" ht="15" x14ac:dyDescent="0.25">
      <c r="A5048" t="s">
        <v>35</v>
      </c>
      <c r="B5048" t="s">
        <v>61</v>
      </c>
      <c r="C5048" t="str">
        <f>"A0184419"</f>
        <v>A0184419</v>
      </c>
      <c r="D5048" t="s">
        <v>20298</v>
      </c>
      <c r="E5048" t="s">
        <v>20299</v>
      </c>
      <c r="F5048" t="s">
        <v>1373</v>
      </c>
      <c r="G5048" t="s">
        <v>71</v>
      </c>
      <c r="H5048">
        <v>53705</v>
      </c>
      <c r="I5048" t="s">
        <v>30</v>
      </c>
      <c r="J5048" t="s">
        <v>41</v>
      </c>
      <c r="K5048" t="s">
        <v>59</v>
      </c>
      <c r="Q5048">
        <v>0</v>
      </c>
      <c r="R5048">
        <v>0</v>
      </c>
      <c r="S5048">
        <v>0</v>
      </c>
    </row>
    <row r="5049" spans="1:20" customFormat="1" ht="15" x14ac:dyDescent="0.25">
      <c r="A5049" t="s">
        <v>35</v>
      </c>
      <c r="B5049" t="s">
        <v>12271</v>
      </c>
      <c r="C5049" t="str">
        <f>"A0184418"</f>
        <v>A0184418</v>
      </c>
      <c r="D5049" t="s">
        <v>20300</v>
      </c>
      <c r="E5049" t="s">
        <v>20301</v>
      </c>
      <c r="F5049" t="s">
        <v>10276</v>
      </c>
      <c r="G5049" t="s">
        <v>846</v>
      </c>
      <c r="H5049">
        <v>303272112</v>
      </c>
      <c r="I5049" t="s">
        <v>30</v>
      </c>
      <c r="J5049" t="s">
        <v>41</v>
      </c>
      <c r="K5049" t="s">
        <v>59</v>
      </c>
      <c r="Q5049">
        <v>0</v>
      </c>
      <c r="R5049">
        <v>60</v>
      </c>
      <c r="S5049">
        <v>60</v>
      </c>
      <c r="T5049" t="s">
        <v>20302</v>
      </c>
    </row>
    <row r="5050" spans="1:20" customFormat="1" ht="15" x14ac:dyDescent="0.25">
      <c r="A5050" t="s">
        <v>35</v>
      </c>
      <c r="B5050" t="s">
        <v>61</v>
      </c>
      <c r="C5050" t="str">
        <f>"A0184417"</f>
        <v>A0184417</v>
      </c>
      <c r="D5050" t="s">
        <v>20303</v>
      </c>
      <c r="E5050" t="s">
        <v>20304</v>
      </c>
      <c r="F5050" t="s">
        <v>20305</v>
      </c>
      <c r="G5050" t="s">
        <v>507</v>
      </c>
      <c r="H5050">
        <v>251431282</v>
      </c>
      <c r="I5050" t="s">
        <v>30</v>
      </c>
      <c r="J5050" t="s">
        <v>41</v>
      </c>
      <c r="K5050" t="s">
        <v>59</v>
      </c>
      <c r="Q5050">
        <v>0</v>
      </c>
      <c r="R5050">
        <v>0</v>
      </c>
      <c r="S5050">
        <v>0</v>
      </c>
      <c r="T5050" t="s">
        <v>20306</v>
      </c>
    </row>
    <row r="5051" spans="1:20" customFormat="1" ht="15" x14ac:dyDescent="0.25">
      <c r="A5051" t="s">
        <v>35</v>
      </c>
      <c r="B5051" t="s">
        <v>12201</v>
      </c>
      <c r="C5051" t="str">
        <f>"A0184416"</f>
        <v>A0184416</v>
      </c>
      <c r="D5051" t="s">
        <v>20307</v>
      </c>
      <c r="E5051" t="s">
        <v>20308</v>
      </c>
      <c r="F5051" t="s">
        <v>3327</v>
      </c>
      <c r="G5051" t="s">
        <v>528</v>
      </c>
      <c r="H5051">
        <v>198053271</v>
      </c>
      <c r="I5051" t="s">
        <v>30</v>
      </c>
      <c r="J5051" t="s">
        <v>41</v>
      </c>
      <c r="K5051" t="s">
        <v>59</v>
      </c>
      <c r="Q5051">
        <v>0</v>
      </c>
      <c r="R5051">
        <v>0</v>
      </c>
      <c r="S5051">
        <v>0</v>
      </c>
    </row>
    <row r="5052" spans="1:20" customFormat="1" ht="15" x14ac:dyDescent="0.25">
      <c r="A5052" t="s">
        <v>35</v>
      </c>
      <c r="B5052" t="s">
        <v>61</v>
      </c>
      <c r="C5052" t="str">
        <f>"A0184415"</f>
        <v>A0184415</v>
      </c>
      <c r="D5052" t="s">
        <v>20309</v>
      </c>
      <c r="E5052" t="s">
        <v>20111</v>
      </c>
      <c r="F5052" t="s">
        <v>4112</v>
      </c>
      <c r="G5052" t="s">
        <v>71</v>
      </c>
      <c r="H5052" t="s">
        <v>20112</v>
      </c>
      <c r="I5052" t="s">
        <v>30</v>
      </c>
      <c r="J5052" t="s">
        <v>41</v>
      </c>
      <c r="K5052" t="s">
        <v>59</v>
      </c>
      <c r="Q5052">
        <v>0</v>
      </c>
      <c r="R5052">
        <v>165</v>
      </c>
      <c r="S5052">
        <v>165</v>
      </c>
      <c r="T5052" t="s">
        <v>19891</v>
      </c>
    </row>
    <row r="5053" spans="1:20" customFormat="1" ht="15" x14ac:dyDescent="0.25">
      <c r="A5053" t="s">
        <v>35</v>
      </c>
      <c r="B5053" t="s">
        <v>61</v>
      </c>
      <c r="C5053" t="str">
        <f>"A0184414"</f>
        <v>A0184414</v>
      </c>
      <c r="D5053" t="s">
        <v>20310</v>
      </c>
      <c r="E5053" t="s">
        <v>20311</v>
      </c>
      <c r="F5053" t="s">
        <v>20312</v>
      </c>
      <c r="G5053" t="s">
        <v>71</v>
      </c>
      <c r="H5053" t="s">
        <v>20313</v>
      </c>
      <c r="I5053" t="s">
        <v>30</v>
      </c>
      <c r="J5053" t="s">
        <v>41</v>
      </c>
      <c r="K5053" t="s">
        <v>59</v>
      </c>
      <c r="Q5053">
        <v>0</v>
      </c>
      <c r="R5053">
        <v>0</v>
      </c>
      <c r="S5053">
        <v>0</v>
      </c>
      <c r="T5053" t="s">
        <v>20314</v>
      </c>
    </row>
    <row r="5054" spans="1:20" customFormat="1" ht="15" x14ac:dyDescent="0.25">
      <c r="A5054" t="s">
        <v>35</v>
      </c>
      <c r="B5054" t="s">
        <v>61</v>
      </c>
      <c r="C5054" t="str">
        <f>"A0184413"</f>
        <v>A0184413</v>
      </c>
      <c r="D5054" t="s">
        <v>20315</v>
      </c>
      <c r="E5054" t="s">
        <v>20316</v>
      </c>
      <c r="F5054" t="s">
        <v>11455</v>
      </c>
      <c r="G5054" t="s">
        <v>71</v>
      </c>
      <c r="H5054">
        <v>53213</v>
      </c>
      <c r="I5054" t="s">
        <v>30</v>
      </c>
      <c r="J5054" t="s">
        <v>41</v>
      </c>
      <c r="K5054" t="s">
        <v>59</v>
      </c>
      <c r="Q5054">
        <v>0</v>
      </c>
      <c r="R5054">
        <v>0</v>
      </c>
      <c r="S5054">
        <v>0</v>
      </c>
      <c r="T5054" t="s">
        <v>20317</v>
      </c>
    </row>
    <row r="5055" spans="1:20" customFormat="1" ht="15" x14ac:dyDescent="0.25">
      <c r="A5055" t="s">
        <v>35</v>
      </c>
      <c r="B5055" t="s">
        <v>61</v>
      </c>
      <c r="C5055" t="str">
        <f>"A0184412"</f>
        <v>A0184412</v>
      </c>
      <c r="D5055" t="s">
        <v>20318</v>
      </c>
      <c r="E5055" t="s">
        <v>20091</v>
      </c>
      <c r="F5055" t="s">
        <v>20092</v>
      </c>
      <c r="G5055" t="s">
        <v>71</v>
      </c>
      <c r="H5055" t="s">
        <v>20093</v>
      </c>
      <c r="I5055" t="s">
        <v>30</v>
      </c>
      <c r="J5055" t="s">
        <v>41</v>
      </c>
      <c r="K5055" t="s">
        <v>59</v>
      </c>
      <c r="Q5055">
        <v>0</v>
      </c>
      <c r="R5055">
        <v>0</v>
      </c>
      <c r="S5055">
        <v>0</v>
      </c>
      <c r="T5055" t="s">
        <v>20094</v>
      </c>
    </row>
    <row r="5056" spans="1:20" customFormat="1" ht="15" x14ac:dyDescent="0.25">
      <c r="A5056" t="s">
        <v>35</v>
      </c>
      <c r="B5056" t="s">
        <v>61</v>
      </c>
      <c r="C5056" t="str">
        <f>"A0184411"</f>
        <v>A0184411</v>
      </c>
      <c r="D5056" t="s">
        <v>20319</v>
      </c>
      <c r="E5056" t="s">
        <v>20320</v>
      </c>
      <c r="F5056" t="s">
        <v>19894</v>
      </c>
      <c r="G5056" t="s">
        <v>71</v>
      </c>
      <c r="H5056" t="s">
        <v>20321</v>
      </c>
      <c r="I5056" t="s">
        <v>30</v>
      </c>
      <c r="J5056" t="s">
        <v>41</v>
      </c>
      <c r="K5056" t="s">
        <v>59</v>
      </c>
      <c r="Q5056">
        <v>0</v>
      </c>
      <c r="R5056">
        <v>0</v>
      </c>
      <c r="S5056">
        <v>0</v>
      </c>
      <c r="T5056" t="s">
        <v>19896</v>
      </c>
    </row>
    <row r="5057" spans="1:20" customFormat="1" ht="15" x14ac:dyDescent="0.25">
      <c r="A5057" t="s">
        <v>35</v>
      </c>
      <c r="B5057" t="s">
        <v>20322</v>
      </c>
      <c r="C5057" t="str">
        <f>"A0184410"</f>
        <v>A0184410</v>
      </c>
      <c r="D5057" t="s">
        <v>20323</v>
      </c>
      <c r="E5057" t="s">
        <v>20324</v>
      </c>
      <c r="F5057" t="s">
        <v>11884</v>
      </c>
      <c r="G5057" t="s">
        <v>71</v>
      </c>
      <c r="H5057">
        <v>549024155</v>
      </c>
      <c r="I5057" t="s">
        <v>30</v>
      </c>
      <c r="J5057" t="s">
        <v>41</v>
      </c>
      <c r="K5057" t="s">
        <v>59</v>
      </c>
      <c r="Q5057">
        <v>0</v>
      </c>
      <c r="R5057">
        <v>0</v>
      </c>
      <c r="S5057">
        <v>0</v>
      </c>
      <c r="T5057" t="s">
        <v>20325</v>
      </c>
    </row>
    <row r="5058" spans="1:20" customFormat="1" ht="15" x14ac:dyDescent="0.25">
      <c r="A5058" t="s">
        <v>35</v>
      </c>
      <c r="B5058" t="s">
        <v>61</v>
      </c>
      <c r="C5058" t="str">
        <f>"A0184409"</f>
        <v>A0184409</v>
      </c>
      <c r="D5058" t="s">
        <v>20326</v>
      </c>
      <c r="E5058" t="s">
        <v>20327</v>
      </c>
      <c r="F5058" t="s">
        <v>6220</v>
      </c>
      <c r="G5058" t="s">
        <v>71</v>
      </c>
      <c r="H5058">
        <v>54021</v>
      </c>
      <c r="I5058" t="s">
        <v>30</v>
      </c>
      <c r="J5058" t="s">
        <v>41</v>
      </c>
      <c r="K5058" t="s">
        <v>59</v>
      </c>
      <c r="Q5058">
        <v>0</v>
      </c>
      <c r="R5058">
        <v>0</v>
      </c>
      <c r="S5058">
        <v>0</v>
      </c>
    </row>
    <row r="5059" spans="1:20" customFormat="1" ht="15" x14ac:dyDescent="0.25">
      <c r="A5059" t="s">
        <v>35</v>
      </c>
      <c r="B5059" t="s">
        <v>15885</v>
      </c>
      <c r="C5059" t="str">
        <f>"A0184408"</f>
        <v>A0184408</v>
      </c>
      <c r="D5059" t="s">
        <v>20328</v>
      </c>
      <c r="E5059" t="s">
        <v>20329</v>
      </c>
      <c r="F5059" t="s">
        <v>20330</v>
      </c>
      <c r="G5059" t="s">
        <v>29</v>
      </c>
      <c r="H5059">
        <v>229025813</v>
      </c>
      <c r="I5059" t="s">
        <v>30</v>
      </c>
      <c r="J5059" t="s">
        <v>41</v>
      </c>
      <c r="K5059" t="s">
        <v>59</v>
      </c>
      <c r="Q5059">
        <v>0</v>
      </c>
      <c r="R5059">
        <v>0</v>
      </c>
      <c r="S5059">
        <v>0</v>
      </c>
    </row>
    <row r="5060" spans="1:20" customFormat="1" ht="15" x14ac:dyDescent="0.25">
      <c r="A5060" t="s">
        <v>35</v>
      </c>
      <c r="B5060" t="s">
        <v>61</v>
      </c>
      <c r="C5060" t="str">
        <f>"A0184407"</f>
        <v>A0184407</v>
      </c>
      <c r="D5060" t="s">
        <v>20331</v>
      </c>
      <c r="E5060" t="s">
        <v>20332</v>
      </c>
      <c r="F5060" t="s">
        <v>1423</v>
      </c>
      <c r="G5060" t="s">
        <v>52</v>
      </c>
      <c r="H5060" t="s">
        <v>20333</v>
      </c>
      <c r="I5060" t="s">
        <v>30</v>
      </c>
      <c r="J5060" t="s">
        <v>41</v>
      </c>
      <c r="K5060" t="s">
        <v>59</v>
      </c>
      <c r="Q5060">
        <v>0</v>
      </c>
      <c r="R5060">
        <v>0</v>
      </c>
      <c r="S5060">
        <v>0</v>
      </c>
      <c r="T5060" t="s">
        <v>20334</v>
      </c>
    </row>
    <row r="5061" spans="1:20" customFormat="1" ht="15" x14ac:dyDescent="0.25">
      <c r="A5061" t="s">
        <v>35</v>
      </c>
      <c r="B5061" t="s">
        <v>61</v>
      </c>
      <c r="C5061" t="str">
        <f>"A0184406"</f>
        <v>A0184406</v>
      </c>
      <c r="D5061" t="s">
        <v>20335</v>
      </c>
      <c r="E5061" t="s">
        <v>20336</v>
      </c>
      <c r="F5061" t="s">
        <v>1423</v>
      </c>
      <c r="G5061" t="s">
        <v>52</v>
      </c>
      <c r="H5061" t="s">
        <v>20337</v>
      </c>
      <c r="I5061" t="s">
        <v>30</v>
      </c>
      <c r="J5061" t="s">
        <v>41</v>
      </c>
      <c r="K5061" t="s">
        <v>59</v>
      </c>
      <c r="Q5061">
        <v>0</v>
      </c>
      <c r="R5061">
        <v>0</v>
      </c>
      <c r="S5061">
        <v>0</v>
      </c>
      <c r="T5061" t="s">
        <v>20338</v>
      </c>
    </row>
    <row r="5062" spans="1:20" customFormat="1" ht="15" x14ac:dyDescent="0.25">
      <c r="A5062" t="s">
        <v>35</v>
      </c>
      <c r="B5062" t="s">
        <v>61</v>
      </c>
      <c r="C5062" t="str">
        <f>"A0184405"</f>
        <v>A0184405</v>
      </c>
      <c r="D5062" t="s">
        <v>20339</v>
      </c>
      <c r="E5062" t="s">
        <v>20340</v>
      </c>
      <c r="F5062" t="s">
        <v>1423</v>
      </c>
      <c r="G5062" t="s">
        <v>52</v>
      </c>
      <c r="H5062" t="s">
        <v>20341</v>
      </c>
      <c r="I5062" t="s">
        <v>30</v>
      </c>
      <c r="J5062" t="s">
        <v>41</v>
      </c>
      <c r="K5062" t="s">
        <v>59</v>
      </c>
      <c r="Q5062">
        <v>0</v>
      </c>
      <c r="R5062">
        <v>0</v>
      </c>
      <c r="S5062">
        <v>0</v>
      </c>
      <c r="T5062" t="s">
        <v>20334</v>
      </c>
    </row>
    <row r="5063" spans="1:20" customFormat="1" ht="15" x14ac:dyDescent="0.25">
      <c r="A5063" t="s">
        <v>35</v>
      </c>
      <c r="B5063" t="s">
        <v>61</v>
      </c>
      <c r="C5063" t="str">
        <f>"A0184404"</f>
        <v>A0184404</v>
      </c>
      <c r="D5063" t="s">
        <v>20342</v>
      </c>
      <c r="E5063" t="s">
        <v>20343</v>
      </c>
      <c r="F5063" t="s">
        <v>3740</v>
      </c>
      <c r="G5063" t="s">
        <v>71</v>
      </c>
      <c r="H5063" t="s">
        <v>20344</v>
      </c>
      <c r="I5063" t="s">
        <v>30</v>
      </c>
      <c r="J5063" t="s">
        <v>41</v>
      </c>
      <c r="K5063" t="s">
        <v>59</v>
      </c>
      <c r="Q5063">
        <v>0</v>
      </c>
      <c r="R5063">
        <v>137</v>
      </c>
      <c r="S5063">
        <v>137</v>
      </c>
      <c r="T5063" t="s">
        <v>20345</v>
      </c>
    </row>
    <row r="5064" spans="1:20" customFormat="1" ht="15" x14ac:dyDescent="0.25">
      <c r="A5064" t="s">
        <v>35</v>
      </c>
      <c r="B5064" t="s">
        <v>61</v>
      </c>
      <c r="C5064" t="str">
        <f>"A0184403"</f>
        <v>A0184403</v>
      </c>
      <c r="D5064" t="s">
        <v>20346</v>
      </c>
      <c r="E5064" t="s">
        <v>20347</v>
      </c>
      <c r="F5064" t="s">
        <v>20348</v>
      </c>
      <c r="G5064" t="s">
        <v>71</v>
      </c>
      <c r="H5064" t="s">
        <v>20349</v>
      </c>
      <c r="I5064" t="s">
        <v>30</v>
      </c>
      <c r="J5064" t="s">
        <v>41</v>
      </c>
      <c r="K5064" t="s">
        <v>59</v>
      </c>
      <c r="Q5064">
        <v>0</v>
      </c>
      <c r="R5064">
        <v>0</v>
      </c>
      <c r="S5064">
        <v>0</v>
      </c>
    </row>
    <row r="5065" spans="1:20" customFormat="1" ht="15" x14ac:dyDescent="0.25">
      <c r="A5065" t="s">
        <v>35</v>
      </c>
      <c r="B5065" t="s">
        <v>61</v>
      </c>
      <c r="C5065" t="str">
        <f>"A0184402"</f>
        <v>A0184402</v>
      </c>
      <c r="D5065" t="s">
        <v>20350</v>
      </c>
      <c r="E5065" t="s">
        <v>19637</v>
      </c>
      <c r="F5065" t="s">
        <v>12497</v>
      </c>
      <c r="G5065" t="s">
        <v>71</v>
      </c>
      <c r="H5065" t="s">
        <v>19638</v>
      </c>
      <c r="I5065" t="s">
        <v>30</v>
      </c>
      <c r="J5065" t="s">
        <v>41</v>
      </c>
      <c r="K5065" t="s">
        <v>59</v>
      </c>
      <c r="Q5065">
        <v>0</v>
      </c>
      <c r="R5065">
        <v>102</v>
      </c>
      <c r="S5065">
        <v>102</v>
      </c>
      <c r="T5065" t="s">
        <v>19639</v>
      </c>
    </row>
    <row r="5066" spans="1:20" customFormat="1" ht="15" x14ac:dyDescent="0.25">
      <c r="A5066" t="s">
        <v>35</v>
      </c>
      <c r="B5066" t="s">
        <v>61</v>
      </c>
      <c r="C5066" t="str">
        <f>"A0184401"</f>
        <v>A0184401</v>
      </c>
      <c r="D5066" t="s">
        <v>20351</v>
      </c>
      <c r="E5066" t="s">
        <v>20352</v>
      </c>
      <c r="F5066" t="s">
        <v>4112</v>
      </c>
      <c r="G5066" t="s">
        <v>71</v>
      </c>
      <c r="H5066">
        <v>53202</v>
      </c>
      <c r="I5066" t="s">
        <v>30</v>
      </c>
      <c r="J5066" t="s">
        <v>41</v>
      </c>
      <c r="K5066" t="s">
        <v>59</v>
      </c>
      <c r="Q5066">
        <v>0</v>
      </c>
      <c r="R5066">
        <v>0</v>
      </c>
      <c r="S5066">
        <v>0</v>
      </c>
    </row>
    <row r="5067" spans="1:20" customFormat="1" ht="15" x14ac:dyDescent="0.25">
      <c r="A5067" t="s">
        <v>35</v>
      </c>
      <c r="B5067" t="s">
        <v>61</v>
      </c>
      <c r="C5067" t="str">
        <f>"A0184400"</f>
        <v>A0184400</v>
      </c>
      <c r="D5067" t="s">
        <v>20353</v>
      </c>
      <c r="E5067" t="s">
        <v>20354</v>
      </c>
      <c r="F5067" t="s">
        <v>20355</v>
      </c>
      <c r="G5067" t="s">
        <v>161</v>
      </c>
      <c r="H5067" t="s">
        <v>20356</v>
      </c>
      <c r="I5067" t="s">
        <v>30</v>
      </c>
      <c r="J5067" t="s">
        <v>41</v>
      </c>
      <c r="K5067" t="s">
        <v>59</v>
      </c>
      <c r="Q5067">
        <v>0</v>
      </c>
      <c r="R5067">
        <v>0</v>
      </c>
      <c r="S5067">
        <v>0</v>
      </c>
      <c r="T5067" t="s">
        <v>20357</v>
      </c>
    </row>
    <row r="5068" spans="1:20" customFormat="1" ht="15" x14ac:dyDescent="0.25">
      <c r="A5068" t="s">
        <v>35</v>
      </c>
      <c r="B5068" t="s">
        <v>61</v>
      </c>
      <c r="C5068" t="str">
        <f>"A0184399"</f>
        <v>A0184399</v>
      </c>
      <c r="D5068" t="s">
        <v>20358</v>
      </c>
      <c r="E5068" t="s">
        <v>20359</v>
      </c>
      <c r="F5068" t="s">
        <v>20360</v>
      </c>
      <c r="G5068" t="s">
        <v>161</v>
      </c>
      <c r="H5068" t="s">
        <v>20361</v>
      </c>
      <c r="I5068" t="s">
        <v>30</v>
      </c>
      <c r="J5068" t="s">
        <v>41</v>
      </c>
      <c r="K5068" t="s">
        <v>59</v>
      </c>
      <c r="Q5068">
        <v>0</v>
      </c>
      <c r="R5068">
        <v>0</v>
      </c>
      <c r="S5068">
        <v>0</v>
      </c>
      <c r="T5068" t="s">
        <v>20362</v>
      </c>
    </row>
    <row r="5069" spans="1:20" customFormat="1" ht="15" x14ac:dyDescent="0.25">
      <c r="A5069" t="s">
        <v>35</v>
      </c>
      <c r="B5069" t="s">
        <v>61</v>
      </c>
      <c r="C5069" t="str">
        <f>"A0184397"</f>
        <v>A0184397</v>
      </c>
      <c r="D5069" t="s">
        <v>20363</v>
      </c>
      <c r="E5069" t="s">
        <v>20364</v>
      </c>
      <c r="F5069" t="s">
        <v>20348</v>
      </c>
      <c r="G5069" t="s">
        <v>71</v>
      </c>
      <c r="H5069" t="s">
        <v>20365</v>
      </c>
      <c r="I5069" t="s">
        <v>30</v>
      </c>
      <c r="J5069" t="s">
        <v>41</v>
      </c>
      <c r="K5069" t="s">
        <v>59</v>
      </c>
      <c r="Q5069">
        <v>0</v>
      </c>
      <c r="R5069">
        <v>0</v>
      </c>
      <c r="S5069">
        <v>0</v>
      </c>
      <c r="T5069" t="s">
        <v>20366</v>
      </c>
    </row>
    <row r="5070" spans="1:20" customFormat="1" ht="15" x14ac:dyDescent="0.25">
      <c r="A5070" t="s">
        <v>35</v>
      </c>
      <c r="B5070" t="s">
        <v>11871</v>
      </c>
      <c r="C5070" t="str">
        <f>"A0184396"</f>
        <v>A0184396</v>
      </c>
      <c r="D5070" t="s">
        <v>20367</v>
      </c>
      <c r="E5070" t="s">
        <v>20368</v>
      </c>
      <c r="F5070" t="s">
        <v>20369</v>
      </c>
      <c r="G5070" t="s">
        <v>71</v>
      </c>
      <c r="H5070" t="s">
        <v>20370</v>
      </c>
      <c r="I5070" t="s">
        <v>30</v>
      </c>
      <c r="J5070" t="s">
        <v>41</v>
      </c>
      <c r="K5070" t="s">
        <v>59</v>
      </c>
      <c r="Q5070">
        <v>0</v>
      </c>
      <c r="R5070">
        <v>0</v>
      </c>
      <c r="S5070">
        <v>0</v>
      </c>
      <c r="T5070" t="s">
        <v>20371</v>
      </c>
    </row>
    <row r="5071" spans="1:20" customFormat="1" ht="15" x14ac:dyDescent="0.25">
      <c r="A5071" t="s">
        <v>35</v>
      </c>
      <c r="B5071" t="s">
        <v>61</v>
      </c>
      <c r="C5071" t="str">
        <f>"A0184395"</f>
        <v>A0184395</v>
      </c>
      <c r="D5071" t="s">
        <v>20372</v>
      </c>
      <c r="E5071" t="s">
        <v>20373</v>
      </c>
      <c r="F5071" t="s">
        <v>2281</v>
      </c>
      <c r="G5071" t="s">
        <v>52</v>
      </c>
      <c r="H5071" t="s">
        <v>20374</v>
      </c>
      <c r="I5071" t="s">
        <v>30</v>
      </c>
      <c r="J5071" t="s">
        <v>41</v>
      </c>
      <c r="K5071" t="s">
        <v>59</v>
      </c>
      <c r="Q5071">
        <v>0</v>
      </c>
      <c r="R5071">
        <v>0</v>
      </c>
      <c r="S5071">
        <v>0</v>
      </c>
      <c r="T5071" t="s">
        <v>20375</v>
      </c>
    </row>
    <row r="5072" spans="1:20" customFormat="1" ht="15" x14ac:dyDescent="0.25">
      <c r="A5072" t="s">
        <v>35</v>
      </c>
      <c r="B5072" t="s">
        <v>61</v>
      </c>
      <c r="C5072" t="str">
        <f>"A0184394"</f>
        <v>A0184394</v>
      </c>
      <c r="D5072" t="s">
        <v>20376</v>
      </c>
      <c r="E5072" t="s">
        <v>20377</v>
      </c>
      <c r="F5072" t="s">
        <v>20378</v>
      </c>
      <c r="G5072" t="s">
        <v>427</v>
      </c>
      <c r="H5072">
        <v>687881514</v>
      </c>
      <c r="I5072" t="s">
        <v>30</v>
      </c>
      <c r="J5072" t="s">
        <v>41</v>
      </c>
      <c r="K5072" t="s">
        <v>59</v>
      </c>
      <c r="Q5072">
        <v>0</v>
      </c>
      <c r="R5072">
        <v>65</v>
      </c>
      <c r="S5072">
        <v>65</v>
      </c>
      <c r="T5072" t="s">
        <v>20379</v>
      </c>
    </row>
    <row r="5073" spans="1:20" customFormat="1" ht="15" x14ac:dyDescent="0.25">
      <c r="A5073" t="s">
        <v>35</v>
      </c>
      <c r="B5073" t="s">
        <v>61</v>
      </c>
      <c r="C5073" t="str">
        <f>"A0184393"</f>
        <v>A0184393</v>
      </c>
      <c r="D5073" t="s">
        <v>20380</v>
      </c>
      <c r="E5073" t="s">
        <v>20381</v>
      </c>
      <c r="F5073" t="s">
        <v>20382</v>
      </c>
      <c r="G5073" t="s">
        <v>103</v>
      </c>
      <c r="H5073" t="s">
        <v>20383</v>
      </c>
      <c r="I5073" t="s">
        <v>30</v>
      </c>
      <c r="J5073" t="s">
        <v>41</v>
      </c>
      <c r="K5073" t="s">
        <v>59</v>
      </c>
      <c r="Q5073">
        <v>0</v>
      </c>
      <c r="R5073">
        <v>0</v>
      </c>
      <c r="S5073">
        <v>0</v>
      </c>
    </row>
    <row r="5074" spans="1:20" customFormat="1" ht="15" x14ac:dyDescent="0.25">
      <c r="A5074" t="s">
        <v>35</v>
      </c>
      <c r="B5074" t="s">
        <v>61</v>
      </c>
      <c r="C5074" t="str">
        <f>"A0184392"</f>
        <v>A0184392</v>
      </c>
      <c r="D5074" t="s">
        <v>20384</v>
      </c>
      <c r="E5074" t="s">
        <v>20385</v>
      </c>
      <c r="F5074" t="s">
        <v>102</v>
      </c>
      <c r="G5074" t="s">
        <v>103</v>
      </c>
      <c r="H5074" t="s">
        <v>20386</v>
      </c>
      <c r="I5074" t="s">
        <v>30</v>
      </c>
      <c r="J5074" t="s">
        <v>41</v>
      </c>
      <c r="K5074" t="s">
        <v>59</v>
      </c>
      <c r="Q5074">
        <v>0</v>
      </c>
      <c r="R5074">
        <v>50</v>
      </c>
      <c r="S5074">
        <v>50</v>
      </c>
      <c r="T5074" t="s">
        <v>20387</v>
      </c>
    </row>
    <row r="5075" spans="1:20" customFormat="1" ht="15" x14ac:dyDescent="0.25">
      <c r="A5075" t="s">
        <v>35</v>
      </c>
      <c r="B5075" t="s">
        <v>11183</v>
      </c>
      <c r="C5075" t="str">
        <f>"A0184391"</f>
        <v>A0184391</v>
      </c>
      <c r="D5075" t="s">
        <v>20388</v>
      </c>
      <c r="E5075" t="s">
        <v>20389</v>
      </c>
      <c r="F5075" t="s">
        <v>4354</v>
      </c>
      <c r="G5075" t="s">
        <v>103</v>
      </c>
      <c r="H5075" t="s">
        <v>20390</v>
      </c>
      <c r="I5075" t="s">
        <v>30</v>
      </c>
      <c r="J5075" t="s">
        <v>41</v>
      </c>
      <c r="K5075" t="s">
        <v>59</v>
      </c>
      <c r="Q5075">
        <v>0</v>
      </c>
      <c r="R5075">
        <v>86</v>
      </c>
      <c r="S5075">
        <v>86</v>
      </c>
      <c r="T5075" t="s">
        <v>20391</v>
      </c>
    </row>
    <row r="5076" spans="1:20" customFormat="1" ht="15" x14ac:dyDescent="0.25">
      <c r="A5076" t="s">
        <v>35</v>
      </c>
      <c r="B5076" t="s">
        <v>61</v>
      </c>
      <c r="C5076" t="str">
        <f>"A0184390"</f>
        <v>A0184390</v>
      </c>
      <c r="D5076" t="s">
        <v>20392</v>
      </c>
      <c r="E5076" t="s">
        <v>20393</v>
      </c>
      <c r="F5076" t="s">
        <v>20394</v>
      </c>
      <c r="G5076" t="s">
        <v>65</v>
      </c>
      <c r="H5076">
        <v>430269786</v>
      </c>
      <c r="I5076" t="s">
        <v>30</v>
      </c>
      <c r="J5076" t="s">
        <v>41</v>
      </c>
      <c r="K5076" t="s">
        <v>59</v>
      </c>
      <c r="Q5076">
        <v>0</v>
      </c>
      <c r="R5076">
        <v>25</v>
      </c>
      <c r="S5076">
        <v>25</v>
      </c>
      <c r="T5076" t="s">
        <v>20395</v>
      </c>
    </row>
    <row r="5077" spans="1:20" customFormat="1" ht="15" x14ac:dyDescent="0.25">
      <c r="A5077" t="s">
        <v>35</v>
      </c>
      <c r="B5077" t="s">
        <v>11871</v>
      </c>
      <c r="C5077" t="str">
        <f>"A0184389"</f>
        <v>A0184389</v>
      </c>
      <c r="D5077" t="s">
        <v>20396</v>
      </c>
      <c r="E5077" t="s">
        <v>20397</v>
      </c>
      <c r="F5077" t="s">
        <v>4082</v>
      </c>
      <c r="G5077" t="s">
        <v>65</v>
      </c>
      <c r="H5077">
        <v>431059769</v>
      </c>
      <c r="I5077" t="s">
        <v>30</v>
      </c>
      <c r="J5077" t="s">
        <v>41</v>
      </c>
      <c r="K5077" t="s">
        <v>59</v>
      </c>
      <c r="Q5077">
        <v>0</v>
      </c>
      <c r="R5077">
        <v>0</v>
      </c>
      <c r="S5077">
        <v>0</v>
      </c>
      <c r="T5077" t="s">
        <v>20398</v>
      </c>
    </row>
    <row r="5078" spans="1:20" customFormat="1" ht="15" x14ac:dyDescent="0.25">
      <c r="A5078" t="s">
        <v>35</v>
      </c>
      <c r="B5078" t="s">
        <v>61</v>
      </c>
      <c r="C5078" t="str">
        <f>"A0184388"</f>
        <v>A0184388</v>
      </c>
      <c r="D5078" t="s">
        <v>20399</v>
      </c>
      <c r="E5078" t="s">
        <v>20400</v>
      </c>
      <c r="F5078" t="s">
        <v>20401</v>
      </c>
      <c r="G5078" t="s">
        <v>71</v>
      </c>
      <c r="H5078" t="s">
        <v>20402</v>
      </c>
      <c r="I5078" t="s">
        <v>30</v>
      </c>
      <c r="J5078" t="s">
        <v>41</v>
      </c>
      <c r="K5078" t="s">
        <v>59</v>
      </c>
      <c r="Q5078">
        <v>0</v>
      </c>
      <c r="R5078">
        <v>0</v>
      </c>
      <c r="S5078">
        <v>0</v>
      </c>
      <c r="T5078" t="s">
        <v>20403</v>
      </c>
    </row>
    <row r="5079" spans="1:20" customFormat="1" ht="15" x14ac:dyDescent="0.25">
      <c r="A5079" t="s">
        <v>35</v>
      </c>
      <c r="B5079" t="s">
        <v>61</v>
      </c>
      <c r="C5079" t="str">
        <f>"A0184387"</f>
        <v>A0184387</v>
      </c>
      <c r="D5079" t="s">
        <v>20404</v>
      </c>
      <c r="E5079" t="s">
        <v>20405</v>
      </c>
      <c r="F5079" t="s">
        <v>11455</v>
      </c>
      <c r="G5079" t="s">
        <v>71</v>
      </c>
      <c r="H5079">
        <v>53213</v>
      </c>
      <c r="I5079" t="s">
        <v>30</v>
      </c>
      <c r="J5079" t="s">
        <v>41</v>
      </c>
      <c r="K5079" t="s">
        <v>59</v>
      </c>
      <c r="Q5079">
        <v>0</v>
      </c>
      <c r="R5079">
        <v>313</v>
      </c>
      <c r="S5079">
        <v>313</v>
      </c>
      <c r="T5079" t="s">
        <v>20406</v>
      </c>
    </row>
    <row r="5080" spans="1:20" customFormat="1" ht="15" x14ac:dyDescent="0.25">
      <c r="A5080" t="s">
        <v>35</v>
      </c>
      <c r="B5080" t="s">
        <v>61</v>
      </c>
      <c r="C5080" t="str">
        <f>"A0184384"</f>
        <v>A0184384</v>
      </c>
      <c r="D5080" t="s">
        <v>20407</v>
      </c>
      <c r="E5080" t="s">
        <v>20408</v>
      </c>
      <c r="F5080" t="s">
        <v>3418</v>
      </c>
      <c r="G5080" t="s">
        <v>71</v>
      </c>
      <c r="H5080">
        <v>535891520</v>
      </c>
      <c r="I5080" t="s">
        <v>30</v>
      </c>
      <c r="J5080" t="s">
        <v>41</v>
      </c>
      <c r="K5080" t="s">
        <v>229</v>
      </c>
      <c r="Q5080">
        <v>0</v>
      </c>
      <c r="R5080">
        <v>0</v>
      </c>
      <c r="S5080">
        <v>0</v>
      </c>
      <c r="T5080" t="s">
        <v>20409</v>
      </c>
    </row>
    <row r="5081" spans="1:20" customFormat="1" ht="15" x14ac:dyDescent="0.25">
      <c r="A5081" t="s">
        <v>35</v>
      </c>
      <c r="B5081" t="s">
        <v>61</v>
      </c>
      <c r="C5081" t="str">
        <f>"A0184383"</f>
        <v>A0184383</v>
      </c>
      <c r="D5081" t="s">
        <v>20410</v>
      </c>
      <c r="E5081" t="s">
        <v>20364</v>
      </c>
      <c r="F5081" t="s">
        <v>20348</v>
      </c>
      <c r="G5081" t="s">
        <v>71</v>
      </c>
      <c r="H5081" t="s">
        <v>20365</v>
      </c>
      <c r="I5081" t="s">
        <v>30</v>
      </c>
      <c r="J5081" t="s">
        <v>41</v>
      </c>
      <c r="K5081" t="s">
        <v>59</v>
      </c>
      <c r="Q5081">
        <v>0</v>
      </c>
      <c r="R5081">
        <v>0</v>
      </c>
      <c r="S5081">
        <v>0</v>
      </c>
    </row>
    <row r="5082" spans="1:20" customFormat="1" ht="15" x14ac:dyDescent="0.25">
      <c r="A5082" t="s">
        <v>35</v>
      </c>
      <c r="B5082" t="s">
        <v>61</v>
      </c>
      <c r="C5082" t="str">
        <f>"A0184382"</f>
        <v>A0184382</v>
      </c>
      <c r="D5082" t="s">
        <v>20411</v>
      </c>
      <c r="E5082" t="s">
        <v>20412</v>
      </c>
      <c r="F5082" t="s">
        <v>20413</v>
      </c>
      <c r="G5082" t="s">
        <v>846</v>
      </c>
      <c r="H5082" t="s">
        <v>20414</v>
      </c>
      <c r="I5082" t="s">
        <v>30</v>
      </c>
      <c r="J5082" t="s">
        <v>41</v>
      </c>
      <c r="K5082" t="s">
        <v>59</v>
      </c>
      <c r="Q5082">
        <v>0</v>
      </c>
      <c r="R5082">
        <v>150</v>
      </c>
      <c r="S5082">
        <v>150</v>
      </c>
      <c r="T5082" t="s">
        <v>20415</v>
      </c>
    </row>
    <row r="5083" spans="1:20" customFormat="1" ht="15" x14ac:dyDescent="0.25">
      <c r="A5083" t="s">
        <v>35</v>
      </c>
      <c r="B5083" t="s">
        <v>61</v>
      </c>
      <c r="C5083" t="str">
        <f>"A0184381"</f>
        <v>A0184381</v>
      </c>
      <c r="D5083" t="s">
        <v>20416</v>
      </c>
      <c r="E5083" t="s">
        <v>20417</v>
      </c>
      <c r="F5083" t="s">
        <v>15178</v>
      </c>
      <c r="G5083" t="s">
        <v>3236</v>
      </c>
      <c r="H5083">
        <v>577017356</v>
      </c>
      <c r="I5083" t="s">
        <v>30</v>
      </c>
      <c r="J5083" t="s">
        <v>41</v>
      </c>
      <c r="K5083" t="s">
        <v>59</v>
      </c>
      <c r="Q5083">
        <v>0</v>
      </c>
      <c r="R5083">
        <v>44</v>
      </c>
      <c r="S5083">
        <v>44</v>
      </c>
      <c r="T5083" t="s">
        <v>20418</v>
      </c>
    </row>
    <row r="5084" spans="1:20" customFormat="1" ht="15" x14ac:dyDescent="0.25">
      <c r="A5084" t="s">
        <v>35</v>
      </c>
      <c r="B5084" t="s">
        <v>61</v>
      </c>
      <c r="C5084" t="str">
        <f>"A0184380"</f>
        <v>A0184380</v>
      </c>
      <c r="D5084" t="s">
        <v>20419</v>
      </c>
      <c r="E5084" t="s">
        <v>20420</v>
      </c>
      <c r="F5084" t="s">
        <v>11795</v>
      </c>
      <c r="G5084" t="s">
        <v>71</v>
      </c>
      <c r="H5084" t="s">
        <v>20421</v>
      </c>
      <c r="I5084" t="s">
        <v>30</v>
      </c>
      <c r="J5084" t="s">
        <v>41</v>
      </c>
      <c r="K5084" t="s">
        <v>59</v>
      </c>
      <c r="Q5084">
        <v>0</v>
      </c>
      <c r="R5084">
        <v>207</v>
      </c>
      <c r="S5084">
        <v>207</v>
      </c>
      <c r="T5084" t="s">
        <v>19635</v>
      </c>
    </row>
    <row r="5085" spans="1:20" customFormat="1" ht="15" x14ac:dyDescent="0.25">
      <c r="A5085" t="s">
        <v>35</v>
      </c>
      <c r="B5085" t="s">
        <v>61</v>
      </c>
      <c r="C5085" t="str">
        <f>"A0184379"</f>
        <v>A0184379</v>
      </c>
      <c r="D5085" t="s">
        <v>20422</v>
      </c>
      <c r="E5085" t="s">
        <v>20423</v>
      </c>
      <c r="F5085" t="s">
        <v>4112</v>
      </c>
      <c r="G5085" t="s">
        <v>71</v>
      </c>
      <c r="H5085" t="s">
        <v>20424</v>
      </c>
      <c r="I5085" t="s">
        <v>30</v>
      </c>
      <c r="J5085" t="s">
        <v>41</v>
      </c>
      <c r="K5085" t="s">
        <v>59</v>
      </c>
      <c r="Q5085">
        <v>0</v>
      </c>
      <c r="R5085">
        <v>0</v>
      </c>
      <c r="S5085">
        <v>0</v>
      </c>
      <c r="T5085" t="s">
        <v>20425</v>
      </c>
    </row>
    <row r="5086" spans="1:20" customFormat="1" ht="15" x14ac:dyDescent="0.25">
      <c r="A5086" t="s">
        <v>35</v>
      </c>
      <c r="B5086" t="s">
        <v>61</v>
      </c>
      <c r="C5086" t="str">
        <f>"A0184378"</f>
        <v>A0184378</v>
      </c>
      <c r="D5086" t="s">
        <v>20426</v>
      </c>
      <c r="E5086" t="s">
        <v>20427</v>
      </c>
      <c r="F5086" t="s">
        <v>20428</v>
      </c>
      <c r="G5086" t="s">
        <v>3236</v>
      </c>
      <c r="H5086">
        <v>574302274</v>
      </c>
      <c r="I5086" t="s">
        <v>30</v>
      </c>
      <c r="J5086" t="s">
        <v>41</v>
      </c>
      <c r="K5086" t="s">
        <v>59</v>
      </c>
      <c r="Q5086">
        <v>0</v>
      </c>
      <c r="R5086">
        <v>28</v>
      </c>
      <c r="S5086">
        <v>28</v>
      </c>
      <c r="T5086" t="s">
        <v>20429</v>
      </c>
    </row>
    <row r="5087" spans="1:20" customFormat="1" ht="15" x14ac:dyDescent="0.25">
      <c r="A5087" t="s">
        <v>35</v>
      </c>
      <c r="B5087" t="s">
        <v>61</v>
      </c>
      <c r="C5087" t="str">
        <f>"A0184377"</f>
        <v>A0184377</v>
      </c>
      <c r="D5087" t="s">
        <v>20430</v>
      </c>
      <c r="E5087" t="s">
        <v>20431</v>
      </c>
      <c r="F5087" t="s">
        <v>20432</v>
      </c>
      <c r="G5087" t="s">
        <v>925</v>
      </c>
      <c r="H5087" t="s">
        <v>20433</v>
      </c>
      <c r="I5087" t="s">
        <v>30</v>
      </c>
      <c r="J5087" t="s">
        <v>41</v>
      </c>
      <c r="K5087" t="s">
        <v>59</v>
      </c>
      <c r="Q5087">
        <v>0</v>
      </c>
      <c r="R5087">
        <v>89</v>
      </c>
      <c r="S5087">
        <v>89</v>
      </c>
      <c r="T5087" t="s">
        <v>20434</v>
      </c>
    </row>
    <row r="5088" spans="1:20" customFormat="1" ht="15" x14ac:dyDescent="0.25">
      <c r="A5088" t="s">
        <v>35</v>
      </c>
      <c r="B5088" t="s">
        <v>61</v>
      </c>
      <c r="C5088" t="str">
        <f>"A0184376"</f>
        <v>A0184376</v>
      </c>
      <c r="D5088" t="s">
        <v>20435</v>
      </c>
      <c r="E5088" t="s">
        <v>20436</v>
      </c>
      <c r="F5088" t="s">
        <v>288</v>
      </c>
      <c r="G5088" t="s">
        <v>289</v>
      </c>
      <c r="H5088" t="s">
        <v>20437</v>
      </c>
      <c r="I5088" t="s">
        <v>30</v>
      </c>
      <c r="J5088" t="s">
        <v>41</v>
      </c>
      <c r="K5088" t="s">
        <v>59</v>
      </c>
      <c r="Q5088">
        <v>0</v>
      </c>
      <c r="R5088">
        <v>0</v>
      </c>
      <c r="S5088">
        <v>0</v>
      </c>
      <c r="T5088" t="s">
        <v>20438</v>
      </c>
    </row>
    <row r="5089" spans="1:20" customFormat="1" ht="15" x14ac:dyDescent="0.25">
      <c r="A5089" t="s">
        <v>35</v>
      </c>
      <c r="B5089" t="s">
        <v>61</v>
      </c>
      <c r="C5089" t="str">
        <f>"A0184374"</f>
        <v>A0184374</v>
      </c>
      <c r="D5089" t="s">
        <v>20439</v>
      </c>
      <c r="E5089" t="s">
        <v>20440</v>
      </c>
      <c r="F5089" t="s">
        <v>20441</v>
      </c>
      <c r="G5089" t="s">
        <v>289</v>
      </c>
      <c r="H5089" t="s">
        <v>20442</v>
      </c>
      <c r="I5089" t="s">
        <v>30</v>
      </c>
      <c r="J5089" t="s">
        <v>41</v>
      </c>
      <c r="K5089" t="s">
        <v>59</v>
      </c>
      <c r="Q5089">
        <v>0</v>
      </c>
      <c r="R5089">
        <v>166</v>
      </c>
      <c r="S5089">
        <v>166</v>
      </c>
      <c r="T5089" t="s">
        <v>20443</v>
      </c>
    </row>
    <row r="5090" spans="1:20" customFormat="1" ht="15" x14ac:dyDescent="0.25">
      <c r="A5090" t="s">
        <v>35</v>
      </c>
      <c r="B5090" t="s">
        <v>61</v>
      </c>
      <c r="C5090" t="str">
        <f>"A0184373"</f>
        <v>A0184373</v>
      </c>
      <c r="D5090" t="s">
        <v>20444</v>
      </c>
      <c r="E5090" t="s">
        <v>20445</v>
      </c>
      <c r="F5090" t="s">
        <v>7549</v>
      </c>
      <c r="G5090" t="s">
        <v>289</v>
      </c>
      <c r="H5090" t="s">
        <v>20446</v>
      </c>
      <c r="I5090" t="s">
        <v>30</v>
      </c>
      <c r="J5090" t="s">
        <v>41</v>
      </c>
      <c r="K5090" t="s">
        <v>59</v>
      </c>
      <c r="Q5090">
        <v>0</v>
      </c>
      <c r="R5090">
        <v>0</v>
      </c>
      <c r="S5090">
        <v>0</v>
      </c>
      <c r="T5090" t="s">
        <v>20447</v>
      </c>
    </row>
    <row r="5091" spans="1:20" customFormat="1" ht="15" x14ac:dyDescent="0.25">
      <c r="A5091" t="s">
        <v>35</v>
      </c>
      <c r="B5091" t="s">
        <v>61</v>
      </c>
      <c r="C5091" t="str">
        <f>"A0184372"</f>
        <v>A0184372</v>
      </c>
      <c r="D5091" t="s">
        <v>20448</v>
      </c>
      <c r="E5091" t="s">
        <v>20449</v>
      </c>
      <c r="F5091" t="s">
        <v>288</v>
      </c>
      <c r="G5091" t="s">
        <v>289</v>
      </c>
      <c r="H5091" t="s">
        <v>20450</v>
      </c>
      <c r="I5091" t="s">
        <v>30</v>
      </c>
      <c r="J5091" t="s">
        <v>41</v>
      </c>
      <c r="K5091" t="s">
        <v>59</v>
      </c>
      <c r="Q5091">
        <v>0</v>
      </c>
      <c r="R5091">
        <v>0</v>
      </c>
      <c r="S5091">
        <v>0</v>
      </c>
      <c r="T5091" t="s">
        <v>20451</v>
      </c>
    </row>
    <row r="5092" spans="1:20" customFormat="1" ht="15" x14ac:dyDescent="0.25">
      <c r="A5092" t="s">
        <v>35</v>
      </c>
      <c r="B5092" t="s">
        <v>61</v>
      </c>
      <c r="C5092" t="str">
        <f>"A0184371"</f>
        <v>A0184371</v>
      </c>
      <c r="D5092" t="s">
        <v>20452</v>
      </c>
      <c r="E5092" t="s">
        <v>20453</v>
      </c>
      <c r="F5092" t="s">
        <v>288</v>
      </c>
      <c r="G5092" t="s">
        <v>289</v>
      </c>
      <c r="H5092" t="s">
        <v>20454</v>
      </c>
      <c r="I5092" t="s">
        <v>30</v>
      </c>
      <c r="J5092" t="s">
        <v>41</v>
      </c>
      <c r="K5092" t="s">
        <v>59</v>
      </c>
      <c r="Q5092">
        <v>0</v>
      </c>
      <c r="R5092">
        <v>0</v>
      </c>
      <c r="S5092">
        <v>0</v>
      </c>
      <c r="T5092" t="s">
        <v>19023</v>
      </c>
    </row>
    <row r="5093" spans="1:20" customFormat="1" ht="15" x14ac:dyDescent="0.25">
      <c r="A5093" t="s">
        <v>35</v>
      </c>
      <c r="B5093" t="s">
        <v>61</v>
      </c>
      <c r="C5093" t="str">
        <f>"A0184370"</f>
        <v>A0184370</v>
      </c>
      <c r="D5093" t="s">
        <v>20455</v>
      </c>
      <c r="E5093" t="s">
        <v>20456</v>
      </c>
      <c r="F5093" t="s">
        <v>20275</v>
      </c>
      <c r="G5093" t="s">
        <v>110</v>
      </c>
      <c r="H5093">
        <v>947102368</v>
      </c>
      <c r="I5093" t="s">
        <v>30</v>
      </c>
      <c r="J5093" t="s">
        <v>41</v>
      </c>
      <c r="K5093" t="s">
        <v>59</v>
      </c>
      <c r="Q5093">
        <v>0</v>
      </c>
      <c r="R5093">
        <v>0</v>
      </c>
      <c r="S5093">
        <v>0</v>
      </c>
    </row>
    <row r="5094" spans="1:20" customFormat="1" ht="15" x14ac:dyDescent="0.25">
      <c r="A5094" t="s">
        <v>35</v>
      </c>
      <c r="B5094" t="s">
        <v>61</v>
      </c>
      <c r="C5094" t="str">
        <f>"A0184369"</f>
        <v>A0184369</v>
      </c>
      <c r="D5094" t="s">
        <v>20457</v>
      </c>
      <c r="E5094" t="s">
        <v>20458</v>
      </c>
      <c r="F5094" t="s">
        <v>20459</v>
      </c>
      <c r="G5094" t="s">
        <v>110</v>
      </c>
      <c r="H5094" t="s">
        <v>20460</v>
      </c>
      <c r="I5094" t="s">
        <v>30</v>
      </c>
      <c r="J5094" t="s">
        <v>41</v>
      </c>
      <c r="K5094" t="s">
        <v>59</v>
      </c>
      <c r="Q5094">
        <v>0</v>
      </c>
      <c r="R5094">
        <v>0</v>
      </c>
      <c r="S5094">
        <v>0</v>
      </c>
      <c r="T5094" t="s">
        <v>20461</v>
      </c>
    </row>
    <row r="5095" spans="1:20" customFormat="1" ht="15" x14ac:dyDescent="0.25">
      <c r="A5095" t="s">
        <v>35</v>
      </c>
      <c r="B5095" t="s">
        <v>20462</v>
      </c>
      <c r="C5095" t="str">
        <f>"A0184368"</f>
        <v>A0184368</v>
      </c>
      <c r="D5095" t="s">
        <v>20463</v>
      </c>
      <c r="E5095" t="s">
        <v>20464</v>
      </c>
      <c r="F5095" t="s">
        <v>20465</v>
      </c>
      <c r="G5095" t="s">
        <v>110</v>
      </c>
      <c r="H5095">
        <v>949041901</v>
      </c>
      <c r="I5095" t="s">
        <v>30</v>
      </c>
      <c r="J5095" t="s">
        <v>41</v>
      </c>
      <c r="K5095" t="s">
        <v>59</v>
      </c>
      <c r="Q5095">
        <v>0</v>
      </c>
      <c r="R5095">
        <v>52</v>
      </c>
      <c r="S5095">
        <v>52</v>
      </c>
      <c r="T5095" t="s">
        <v>20466</v>
      </c>
    </row>
    <row r="5096" spans="1:20" customFormat="1" ht="15" x14ac:dyDescent="0.25">
      <c r="A5096" t="s">
        <v>35</v>
      </c>
      <c r="B5096" t="s">
        <v>61</v>
      </c>
      <c r="C5096" t="str">
        <f>"A0184367"</f>
        <v>A0184367</v>
      </c>
      <c r="D5096" t="s">
        <v>20467</v>
      </c>
      <c r="E5096" t="s">
        <v>20468</v>
      </c>
      <c r="F5096" t="s">
        <v>9128</v>
      </c>
      <c r="G5096" t="s">
        <v>110</v>
      </c>
      <c r="H5096">
        <v>946121972</v>
      </c>
      <c r="I5096" t="s">
        <v>30</v>
      </c>
      <c r="J5096" t="s">
        <v>41</v>
      </c>
      <c r="K5096" t="s">
        <v>59</v>
      </c>
      <c r="Q5096">
        <v>0</v>
      </c>
      <c r="R5096">
        <v>0</v>
      </c>
      <c r="S5096">
        <v>0</v>
      </c>
    </row>
    <row r="5097" spans="1:20" customFormat="1" ht="15" x14ac:dyDescent="0.25">
      <c r="A5097" t="s">
        <v>35</v>
      </c>
      <c r="B5097" t="s">
        <v>61</v>
      </c>
      <c r="C5097" t="str">
        <f>"A0184366"</f>
        <v>A0184366</v>
      </c>
      <c r="D5097" t="s">
        <v>20469</v>
      </c>
      <c r="E5097" t="s">
        <v>20470</v>
      </c>
      <c r="F5097" t="s">
        <v>20275</v>
      </c>
      <c r="G5097" t="s">
        <v>110</v>
      </c>
      <c r="H5097">
        <v>947032469</v>
      </c>
      <c r="I5097" t="s">
        <v>30</v>
      </c>
      <c r="J5097" t="s">
        <v>41</v>
      </c>
      <c r="K5097" t="s">
        <v>59</v>
      </c>
      <c r="Q5097">
        <v>0</v>
      </c>
      <c r="R5097">
        <v>0</v>
      </c>
      <c r="S5097">
        <v>0</v>
      </c>
    </row>
    <row r="5098" spans="1:20" customFormat="1" ht="15" x14ac:dyDescent="0.25">
      <c r="A5098" t="s">
        <v>35</v>
      </c>
      <c r="B5098" t="s">
        <v>61</v>
      </c>
      <c r="C5098" t="str">
        <f>"A0184364"</f>
        <v>A0184364</v>
      </c>
      <c r="D5098" t="s">
        <v>20471</v>
      </c>
      <c r="E5098" t="s">
        <v>20472</v>
      </c>
      <c r="F5098" t="s">
        <v>3280</v>
      </c>
      <c r="G5098" t="s">
        <v>289</v>
      </c>
      <c r="H5098" t="s">
        <v>20473</v>
      </c>
      <c r="I5098" t="s">
        <v>30</v>
      </c>
      <c r="J5098" t="s">
        <v>41</v>
      </c>
      <c r="K5098" t="s">
        <v>59</v>
      </c>
      <c r="Q5098">
        <v>0</v>
      </c>
      <c r="R5098">
        <v>178</v>
      </c>
      <c r="S5098">
        <v>178</v>
      </c>
      <c r="T5098" t="s">
        <v>20474</v>
      </c>
    </row>
    <row r="5099" spans="1:20" customFormat="1" ht="15" x14ac:dyDescent="0.25">
      <c r="A5099" t="s">
        <v>35</v>
      </c>
      <c r="B5099" t="s">
        <v>61</v>
      </c>
      <c r="C5099" t="str">
        <f>"A0184363"</f>
        <v>A0184363</v>
      </c>
      <c r="D5099" t="s">
        <v>20475</v>
      </c>
      <c r="E5099" t="s">
        <v>20476</v>
      </c>
      <c r="F5099" t="s">
        <v>288</v>
      </c>
      <c r="G5099" t="s">
        <v>289</v>
      </c>
      <c r="H5099" t="s">
        <v>20477</v>
      </c>
      <c r="I5099" t="s">
        <v>30</v>
      </c>
      <c r="J5099" t="s">
        <v>41</v>
      </c>
      <c r="K5099" t="s">
        <v>59</v>
      </c>
      <c r="Q5099">
        <v>0</v>
      </c>
      <c r="R5099">
        <v>0</v>
      </c>
      <c r="S5099">
        <v>0</v>
      </c>
    </row>
    <row r="5100" spans="1:20" customFormat="1" ht="15" x14ac:dyDescent="0.25">
      <c r="A5100" t="s">
        <v>35</v>
      </c>
      <c r="B5100" t="s">
        <v>61</v>
      </c>
      <c r="C5100" t="str">
        <f>"A0184362"</f>
        <v>A0184362</v>
      </c>
      <c r="D5100" t="s">
        <v>20478</v>
      </c>
      <c r="E5100" t="s">
        <v>20479</v>
      </c>
      <c r="F5100" t="s">
        <v>288</v>
      </c>
      <c r="G5100" t="s">
        <v>289</v>
      </c>
      <c r="H5100">
        <v>60613</v>
      </c>
      <c r="I5100" t="s">
        <v>30</v>
      </c>
      <c r="J5100" t="s">
        <v>41</v>
      </c>
      <c r="K5100" t="s">
        <v>59</v>
      </c>
      <c r="Q5100">
        <v>0</v>
      </c>
      <c r="R5100">
        <v>0</v>
      </c>
      <c r="S5100">
        <v>0</v>
      </c>
    </row>
    <row r="5101" spans="1:20" customFormat="1" ht="15" x14ac:dyDescent="0.25">
      <c r="A5101" t="s">
        <v>35</v>
      </c>
      <c r="B5101" t="s">
        <v>61</v>
      </c>
      <c r="C5101" t="str">
        <f>"A0184361"</f>
        <v>A0184361</v>
      </c>
      <c r="D5101" t="s">
        <v>20480</v>
      </c>
      <c r="E5101" t="s">
        <v>20481</v>
      </c>
      <c r="F5101" t="s">
        <v>10873</v>
      </c>
      <c r="G5101" t="s">
        <v>289</v>
      </c>
      <c r="H5101">
        <v>61032</v>
      </c>
      <c r="I5101" t="s">
        <v>30</v>
      </c>
      <c r="J5101" t="s">
        <v>41</v>
      </c>
      <c r="K5101" t="s">
        <v>59</v>
      </c>
      <c r="Q5101">
        <v>0</v>
      </c>
      <c r="R5101">
        <v>0</v>
      </c>
      <c r="S5101">
        <v>0</v>
      </c>
    </row>
    <row r="5102" spans="1:20" customFormat="1" ht="15" x14ac:dyDescent="0.25">
      <c r="A5102" t="s">
        <v>35</v>
      </c>
      <c r="B5102" t="s">
        <v>61</v>
      </c>
      <c r="C5102" t="str">
        <f>"A0184360"</f>
        <v>A0184360</v>
      </c>
      <c r="D5102" t="s">
        <v>20482</v>
      </c>
      <c r="E5102" t="s">
        <v>20483</v>
      </c>
      <c r="F5102" t="s">
        <v>4591</v>
      </c>
      <c r="G5102" t="s">
        <v>289</v>
      </c>
      <c r="H5102" t="s">
        <v>20484</v>
      </c>
      <c r="I5102" t="s">
        <v>30</v>
      </c>
      <c r="J5102" t="s">
        <v>41</v>
      </c>
      <c r="K5102" t="s">
        <v>59</v>
      </c>
      <c r="Q5102">
        <v>0</v>
      </c>
      <c r="R5102">
        <v>0</v>
      </c>
      <c r="S5102">
        <v>0</v>
      </c>
    </row>
    <row r="5103" spans="1:20" customFormat="1" ht="15" x14ac:dyDescent="0.25">
      <c r="A5103" t="s">
        <v>35</v>
      </c>
      <c r="B5103" t="s">
        <v>61</v>
      </c>
      <c r="C5103" t="str">
        <f>"A0184359"</f>
        <v>A0184359</v>
      </c>
      <c r="D5103" t="s">
        <v>20485</v>
      </c>
      <c r="E5103" t="s">
        <v>20486</v>
      </c>
      <c r="F5103" t="s">
        <v>288</v>
      </c>
      <c r="G5103" t="s">
        <v>289</v>
      </c>
      <c r="H5103" t="s">
        <v>20487</v>
      </c>
      <c r="I5103" t="s">
        <v>30</v>
      </c>
      <c r="J5103" t="s">
        <v>41</v>
      </c>
      <c r="K5103" t="s">
        <v>59</v>
      </c>
      <c r="Q5103">
        <v>0</v>
      </c>
      <c r="R5103">
        <v>0</v>
      </c>
      <c r="S5103">
        <v>0</v>
      </c>
    </row>
    <row r="5104" spans="1:20" customFormat="1" ht="15" x14ac:dyDescent="0.25">
      <c r="A5104" t="s">
        <v>35</v>
      </c>
      <c r="B5104" t="s">
        <v>61</v>
      </c>
      <c r="C5104" t="str">
        <f>"A0184358"</f>
        <v>A0184358</v>
      </c>
      <c r="D5104" t="s">
        <v>20488</v>
      </c>
      <c r="E5104" t="s">
        <v>20489</v>
      </c>
      <c r="F5104" t="s">
        <v>13113</v>
      </c>
      <c r="G5104" t="s">
        <v>289</v>
      </c>
      <c r="H5104" t="s">
        <v>20490</v>
      </c>
      <c r="I5104" t="s">
        <v>30</v>
      </c>
      <c r="J5104" t="s">
        <v>41</v>
      </c>
      <c r="K5104" t="s">
        <v>59</v>
      </c>
      <c r="Q5104">
        <v>0</v>
      </c>
      <c r="R5104">
        <v>0</v>
      </c>
      <c r="S5104">
        <v>0</v>
      </c>
    </row>
    <row r="5105" spans="1:20" customFormat="1" ht="15" x14ac:dyDescent="0.25">
      <c r="A5105" t="s">
        <v>35</v>
      </c>
      <c r="B5105" t="s">
        <v>61</v>
      </c>
      <c r="C5105" t="str">
        <f>"A0184357"</f>
        <v>A0184357</v>
      </c>
      <c r="D5105" t="s">
        <v>20491</v>
      </c>
      <c r="E5105" t="s">
        <v>20492</v>
      </c>
      <c r="F5105" t="s">
        <v>20493</v>
      </c>
      <c r="G5105" t="s">
        <v>289</v>
      </c>
      <c r="H5105" t="s">
        <v>20494</v>
      </c>
      <c r="I5105" t="s">
        <v>30</v>
      </c>
      <c r="J5105" t="s">
        <v>41</v>
      </c>
      <c r="K5105" t="s">
        <v>59</v>
      </c>
      <c r="Q5105">
        <v>0</v>
      </c>
      <c r="R5105">
        <v>0</v>
      </c>
      <c r="S5105">
        <v>0</v>
      </c>
    </row>
    <row r="5106" spans="1:20" customFormat="1" ht="15" x14ac:dyDescent="0.25">
      <c r="A5106" t="s">
        <v>35</v>
      </c>
      <c r="B5106" t="s">
        <v>61</v>
      </c>
      <c r="C5106" t="str">
        <f>"A0184356"</f>
        <v>A0184356</v>
      </c>
      <c r="D5106" t="s">
        <v>20495</v>
      </c>
      <c r="E5106" t="s">
        <v>20496</v>
      </c>
      <c r="F5106" t="s">
        <v>6236</v>
      </c>
      <c r="G5106" t="s">
        <v>289</v>
      </c>
      <c r="H5106" t="s">
        <v>20497</v>
      </c>
      <c r="I5106" t="s">
        <v>30</v>
      </c>
      <c r="J5106" t="s">
        <v>41</v>
      </c>
      <c r="K5106" t="s">
        <v>59</v>
      </c>
      <c r="Q5106">
        <v>0</v>
      </c>
      <c r="R5106">
        <v>139</v>
      </c>
      <c r="S5106">
        <v>139</v>
      </c>
      <c r="T5106" t="s">
        <v>20498</v>
      </c>
    </row>
    <row r="5107" spans="1:20" customFormat="1" ht="15" x14ac:dyDescent="0.25">
      <c r="A5107" t="s">
        <v>35</v>
      </c>
      <c r="B5107" t="s">
        <v>61</v>
      </c>
      <c r="C5107" t="str">
        <f>"A0184355"</f>
        <v>A0184355</v>
      </c>
      <c r="D5107" t="s">
        <v>20499</v>
      </c>
      <c r="E5107" t="s">
        <v>18761</v>
      </c>
      <c r="F5107" t="s">
        <v>13615</v>
      </c>
      <c r="G5107" t="s">
        <v>289</v>
      </c>
      <c r="H5107" t="s">
        <v>18762</v>
      </c>
      <c r="I5107" t="s">
        <v>30</v>
      </c>
      <c r="J5107" t="s">
        <v>41</v>
      </c>
      <c r="K5107" t="s">
        <v>59</v>
      </c>
      <c r="Q5107">
        <v>0</v>
      </c>
      <c r="R5107">
        <v>0</v>
      </c>
      <c r="S5107">
        <v>0</v>
      </c>
    </row>
    <row r="5108" spans="1:20" customFormat="1" ht="15" x14ac:dyDescent="0.25">
      <c r="A5108" t="s">
        <v>35</v>
      </c>
      <c r="B5108" t="s">
        <v>61</v>
      </c>
      <c r="C5108" t="str">
        <f>"A0184354"</f>
        <v>A0184354</v>
      </c>
      <c r="D5108" t="s">
        <v>20500</v>
      </c>
      <c r="E5108" t="s">
        <v>20501</v>
      </c>
      <c r="F5108" t="s">
        <v>288</v>
      </c>
      <c r="G5108" t="s">
        <v>289</v>
      </c>
      <c r="H5108" t="s">
        <v>20502</v>
      </c>
      <c r="I5108" t="s">
        <v>30</v>
      </c>
      <c r="J5108" t="s">
        <v>41</v>
      </c>
      <c r="K5108" t="s">
        <v>59</v>
      </c>
      <c r="Q5108">
        <v>0</v>
      </c>
      <c r="R5108">
        <v>0</v>
      </c>
      <c r="S5108">
        <v>0</v>
      </c>
      <c r="T5108" t="s">
        <v>20503</v>
      </c>
    </row>
    <row r="5109" spans="1:20" customFormat="1" ht="15" x14ac:dyDescent="0.25">
      <c r="A5109" t="s">
        <v>35</v>
      </c>
      <c r="B5109" t="s">
        <v>61</v>
      </c>
      <c r="C5109" t="str">
        <f>"A0184353"</f>
        <v>A0184353</v>
      </c>
      <c r="D5109" t="s">
        <v>20504</v>
      </c>
      <c r="E5109" t="s">
        <v>20505</v>
      </c>
      <c r="F5109" t="s">
        <v>20506</v>
      </c>
      <c r="G5109" t="s">
        <v>338</v>
      </c>
      <c r="H5109" t="s">
        <v>20507</v>
      </c>
      <c r="I5109" t="s">
        <v>30</v>
      </c>
      <c r="J5109" t="s">
        <v>41</v>
      </c>
      <c r="K5109" t="s">
        <v>59</v>
      </c>
      <c r="Q5109">
        <v>0</v>
      </c>
      <c r="R5109">
        <v>0</v>
      </c>
      <c r="S5109">
        <v>0</v>
      </c>
      <c r="T5109" t="s">
        <v>20508</v>
      </c>
    </row>
    <row r="5110" spans="1:20" customFormat="1" ht="15" x14ac:dyDescent="0.25">
      <c r="A5110" t="s">
        <v>35</v>
      </c>
      <c r="B5110" t="s">
        <v>61</v>
      </c>
      <c r="C5110" t="str">
        <f>"A0184352"</f>
        <v>A0184352</v>
      </c>
      <c r="D5110" t="s">
        <v>20509</v>
      </c>
      <c r="E5110" t="s">
        <v>20510</v>
      </c>
      <c r="F5110" t="s">
        <v>20511</v>
      </c>
      <c r="G5110" t="s">
        <v>338</v>
      </c>
      <c r="H5110" t="s">
        <v>20512</v>
      </c>
      <c r="I5110" t="s">
        <v>30</v>
      </c>
      <c r="J5110" t="s">
        <v>41</v>
      </c>
      <c r="K5110" t="s">
        <v>59</v>
      </c>
      <c r="Q5110">
        <v>0</v>
      </c>
      <c r="R5110">
        <v>0</v>
      </c>
      <c r="S5110">
        <v>0</v>
      </c>
      <c r="T5110" t="s">
        <v>20513</v>
      </c>
    </row>
    <row r="5111" spans="1:20" customFormat="1" ht="15" x14ac:dyDescent="0.25">
      <c r="A5111" t="s">
        <v>35</v>
      </c>
      <c r="B5111" t="s">
        <v>11871</v>
      </c>
      <c r="C5111" t="str">
        <f>"A0184351"</f>
        <v>A0184351</v>
      </c>
      <c r="D5111" t="s">
        <v>20514</v>
      </c>
      <c r="E5111" t="s">
        <v>20515</v>
      </c>
      <c r="F5111" t="s">
        <v>20516</v>
      </c>
      <c r="G5111" t="s">
        <v>338</v>
      </c>
      <c r="H5111" t="s">
        <v>20517</v>
      </c>
      <c r="I5111" t="s">
        <v>30</v>
      </c>
      <c r="J5111" t="s">
        <v>41</v>
      </c>
      <c r="K5111" t="s">
        <v>59</v>
      </c>
      <c r="Q5111">
        <v>0</v>
      </c>
      <c r="R5111">
        <v>0</v>
      </c>
      <c r="S5111">
        <v>0</v>
      </c>
      <c r="T5111" t="s">
        <v>20518</v>
      </c>
    </row>
    <row r="5112" spans="1:20" customFormat="1" ht="15" x14ac:dyDescent="0.25">
      <c r="A5112" t="s">
        <v>35</v>
      </c>
      <c r="B5112" t="s">
        <v>61</v>
      </c>
      <c r="C5112" t="str">
        <f>"A0184349"</f>
        <v>A0184349</v>
      </c>
      <c r="D5112" t="s">
        <v>20519</v>
      </c>
      <c r="E5112" t="s">
        <v>20520</v>
      </c>
      <c r="F5112" t="s">
        <v>2714</v>
      </c>
      <c r="G5112" t="s">
        <v>81</v>
      </c>
      <c r="H5112" t="s">
        <v>20521</v>
      </c>
      <c r="I5112" t="s">
        <v>30</v>
      </c>
      <c r="J5112" t="s">
        <v>41</v>
      </c>
      <c r="K5112" t="s">
        <v>59</v>
      </c>
      <c r="Q5112">
        <v>0</v>
      </c>
      <c r="R5112">
        <v>0</v>
      </c>
      <c r="S5112">
        <v>0</v>
      </c>
    </row>
    <row r="5113" spans="1:20" customFormat="1" ht="15" x14ac:dyDescent="0.25">
      <c r="A5113" t="s">
        <v>35</v>
      </c>
      <c r="B5113" t="s">
        <v>61</v>
      </c>
      <c r="C5113" t="str">
        <f>"A0184348"</f>
        <v>A0184348</v>
      </c>
      <c r="D5113" t="s">
        <v>20522</v>
      </c>
      <c r="E5113" t="s">
        <v>20523</v>
      </c>
      <c r="F5113" t="s">
        <v>20524</v>
      </c>
      <c r="G5113" t="s">
        <v>81</v>
      </c>
      <c r="H5113" t="s">
        <v>20525</v>
      </c>
      <c r="I5113" t="s">
        <v>30</v>
      </c>
      <c r="J5113" t="s">
        <v>41</v>
      </c>
      <c r="K5113" t="s">
        <v>59</v>
      </c>
      <c r="Q5113">
        <v>0</v>
      </c>
      <c r="R5113">
        <v>0</v>
      </c>
      <c r="S5113">
        <v>0</v>
      </c>
    </row>
    <row r="5114" spans="1:20" customFormat="1" ht="15" x14ac:dyDescent="0.25">
      <c r="A5114" t="s">
        <v>35</v>
      </c>
      <c r="B5114" t="s">
        <v>61</v>
      </c>
      <c r="C5114" t="str">
        <f>"A0184347"</f>
        <v>A0184347</v>
      </c>
      <c r="D5114" t="s">
        <v>20526</v>
      </c>
      <c r="E5114" t="s">
        <v>20527</v>
      </c>
      <c r="F5114" t="s">
        <v>20528</v>
      </c>
      <c r="G5114" t="s">
        <v>81</v>
      </c>
      <c r="H5114">
        <v>32579</v>
      </c>
      <c r="I5114" t="s">
        <v>30</v>
      </c>
      <c r="J5114" t="s">
        <v>41</v>
      </c>
      <c r="K5114" t="s">
        <v>59</v>
      </c>
      <c r="Q5114">
        <v>0</v>
      </c>
      <c r="R5114">
        <v>0</v>
      </c>
      <c r="S5114">
        <v>0</v>
      </c>
      <c r="T5114" t="s">
        <v>20529</v>
      </c>
    </row>
    <row r="5115" spans="1:20" customFormat="1" ht="15" x14ac:dyDescent="0.25">
      <c r="A5115" t="s">
        <v>35</v>
      </c>
      <c r="B5115" t="s">
        <v>61</v>
      </c>
      <c r="C5115" t="str">
        <f>"A0184346"</f>
        <v>A0184346</v>
      </c>
      <c r="D5115" t="s">
        <v>20530</v>
      </c>
      <c r="E5115" t="s">
        <v>20531</v>
      </c>
      <c r="F5115" t="s">
        <v>20532</v>
      </c>
      <c r="G5115" t="s">
        <v>81</v>
      </c>
      <c r="H5115" t="s">
        <v>20533</v>
      </c>
      <c r="I5115" t="s">
        <v>30</v>
      </c>
      <c r="J5115" t="s">
        <v>41</v>
      </c>
      <c r="K5115" t="s">
        <v>59</v>
      </c>
      <c r="Q5115">
        <v>0</v>
      </c>
      <c r="R5115">
        <v>0</v>
      </c>
      <c r="S5115">
        <v>0</v>
      </c>
      <c r="T5115" t="s">
        <v>20534</v>
      </c>
    </row>
    <row r="5116" spans="1:20" customFormat="1" ht="15" x14ac:dyDescent="0.25">
      <c r="A5116" t="s">
        <v>35</v>
      </c>
      <c r="B5116" t="s">
        <v>61</v>
      </c>
      <c r="C5116" t="str">
        <f>"A0184345"</f>
        <v>A0184345</v>
      </c>
      <c r="D5116" t="s">
        <v>20535</v>
      </c>
      <c r="E5116" t="s">
        <v>20536</v>
      </c>
      <c r="F5116" t="s">
        <v>20537</v>
      </c>
      <c r="G5116" t="s">
        <v>52</v>
      </c>
      <c r="H5116">
        <v>78644</v>
      </c>
      <c r="I5116" t="s">
        <v>30</v>
      </c>
      <c r="J5116" t="s">
        <v>41</v>
      </c>
      <c r="K5116" t="s">
        <v>59</v>
      </c>
      <c r="Q5116">
        <v>0</v>
      </c>
      <c r="R5116">
        <v>0</v>
      </c>
      <c r="S5116">
        <v>0</v>
      </c>
    </row>
    <row r="5117" spans="1:20" customFormat="1" ht="15" x14ac:dyDescent="0.25">
      <c r="A5117" t="s">
        <v>35</v>
      </c>
      <c r="B5117" t="s">
        <v>61</v>
      </c>
      <c r="C5117" t="str">
        <f>"A0184344"</f>
        <v>A0184344</v>
      </c>
      <c r="D5117" t="s">
        <v>20538</v>
      </c>
      <c r="E5117" t="s">
        <v>20539</v>
      </c>
      <c r="F5117" t="s">
        <v>7801</v>
      </c>
      <c r="G5117" t="s">
        <v>846</v>
      </c>
      <c r="H5117" t="s">
        <v>20540</v>
      </c>
      <c r="I5117" t="s">
        <v>30</v>
      </c>
      <c r="J5117" t="s">
        <v>41</v>
      </c>
      <c r="K5117" t="s">
        <v>59</v>
      </c>
      <c r="Q5117">
        <v>0</v>
      </c>
      <c r="R5117">
        <v>0</v>
      </c>
      <c r="S5117">
        <v>0</v>
      </c>
      <c r="T5117" t="s">
        <v>20541</v>
      </c>
    </row>
    <row r="5118" spans="1:20" customFormat="1" ht="15" x14ac:dyDescent="0.25">
      <c r="A5118" t="s">
        <v>35</v>
      </c>
      <c r="B5118" t="s">
        <v>12271</v>
      </c>
      <c r="C5118" t="str">
        <f>"A0184343"</f>
        <v>A0184343</v>
      </c>
      <c r="D5118" t="s">
        <v>20542</v>
      </c>
      <c r="E5118" t="s">
        <v>20543</v>
      </c>
      <c r="F5118" t="s">
        <v>10276</v>
      </c>
      <c r="G5118" t="s">
        <v>846</v>
      </c>
      <c r="H5118">
        <v>303272111</v>
      </c>
      <c r="I5118" t="s">
        <v>30</v>
      </c>
      <c r="J5118" t="s">
        <v>41</v>
      </c>
      <c r="K5118" t="s">
        <v>59</v>
      </c>
      <c r="Q5118">
        <v>0</v>
      </c>
      <c r="R5118">
        <v>0</v>
      </c>
      <c r="S5118">
        <v>0</v>
      </c>
      <c r="T5118" t="s">
        <v>20544</v>
      </c>
    </row>
    <row r="5119" spans="1:20" customFormat="1" ht="15" x14ac:dyDescent="0.25">
      <c r="A5119" t="s">
        <v>35</v>
      </c>
      <c r="B5119" t="s">
        <v>61</v>
      </c>
      <c r="C5119" t="str">
        <f>"A0184342"</f>
        <v>A0184342</v>
      </c>
      <c r="D5119" t="s">
        <v>20545</v>
      </c>
      <c r="E5119" t="s">
        <v>20546</v>
      </c>
      <c r="F5119" t="s">
        <v>9255</v>
      </c>
      <c r="G5119" t="s">
        <v>846</v>
      </c>
      <c r="H5119" t="s">
        <v>20547</v>
      </c>
      <c r="I5119" t="s">
        <v>30</v>
      </c>
      <c r="J5119" t="s">
        <v>41</v>
      </c>
      <c r="K5119" t="s">
        <v>59</v>
      </c>
      <c r="Q5119">
        <v>0</v>
      </c>
      <c r="R5119">
        <v>0</v>
      </c>
      <c r="S5119">
        <v>0</v>
      </c>
      <c r="T5119" t="s">
        <v>20548</v>
      </c>
    </row>
    <row r="5120" spans="1:20" customFormat="1" ht="15" x14ac:dyDescent="0.25">
      <c r="A5120" t="s">
        <v>35</v>
      </c>
      <c r="B5120" t="s">
        <v>61</v>
      </c>
      <c r="C5120" t="str">
        <f>"A0184341"</f>
        <v>A0184341</v>
      </c>
      <c r="D5120" t="s">
        <v>20549</v>
      </c>
      <c r="E5120" t="s">
        <v>20546</v>
      </c>
      <c r="F5120" t="s">
        <v>9255</v>
      </c>
      <c r="G5120" t="s">
        <v>846</v>
      </c>
      <c r="H5120" t="s">
        <v>20547</v>
      </c>
      <c r="I5120" t="s">
        <v>30</v>
      </c>
      <c r="J5120" t="s">
        <v>41</v>
      </c>
      <c r="K5120" t="s">
        <v>59</v>
      </c>
      <c r="Q5120">
        <v>0</v>
      </c>
      <c r="R5120">
        <v>0</v>
      </c>
      <c r="S5120">
        <v>0</v>
      </c>
      <c r="T5120" t="s">
        <v>20548</v>
      </c>
    </row>
    <row r="5121" spans="1:20" customFormat="1" ht="15" x14ac:dyDescent="0.25">
      <c r="A5121" t="s">
        <v>35</v>
      </c>
      <c r="B5121" t="s">
        <v>11871</v>
      </c>
      <c r="C5121" t="str">
        <f>"A0184340"</f>
        <v>A0184340</v>
      </c>
      <c r="D5121" t="s">
        <v>20550</v>
      </c>
      <c r="E5121" t="s">
        <v>20551</v>
      </c>
      <c r="F5121" t="s">
        <v>20552</v>
      </c>
      <c r="G5121" t="s">
        <v>507</v>
      </c>
      <c r="H5121">
        <v>262611063</v>
      </c>
      <c r="I5121" t="s">
        <v>30</v>
      </c>
      <c r="J5121" t="s">
        <v>41</v>
      </c>
      <c r="K5121" t="s">
        <v>59</v>
      </c>
      <c r="Q5121">
        <v>0</v>
      </c>
      <c r="R5121">
        <v>33</v>
      </c>
      <c r="S5121">
        <v>33</v>
      </c>
      <c r="T5121" t="s">
        <v>20553</v>
      </c>
    </row>
    <row r="5122" spans="1:20" customFormat="1" ht="15" x14ac:dyDescent="0.25">
      <c r="A5122" t="s">
        <v>35</v>
      </c>
      <c r="B5122" t="s">
        <v>61</v>
      </c>
      <c r="C5122" t="str">
        <f>"A0184339"</f>
        <v>A0184339</v>
      </c>
      <c r="D5122" t="s">
        <v>20554</v>
      </c>
      <c r="E5122" t="s">
        <v>20555</v>
      </c>
      <c r="F5122" t="s">
        <v>5292</v>
      </c>
      <c r="G5122" t="s">
        <v>427</v>
      </c>
      <c r="H5122">
        <v>685103741</v>
      </c>
      <c r="I5122" t="s">
        <v>30</v>
      </c>
      <c r="J5122" t="s">
        <v>41</v>
      </c>
      <c r="K5122" t="s">
        <v>59</v>
      </c>
      <c r="Q5122">
        <v>0</v>
      </c>
      <c r="R5122">
        <v>0</v>
      </c>
      <c r="S5122">
        <v>0</v>
      </c>
      <c r="T5122" t="s">
        <v>20556</v>
      </c>
    </row>
    <row r="5123" spans="1:20" customFormat="1" ht="15" x14ac:dyDescent="0.25">
      <c r="A5123" t="s">
        <v>35</v>
      </c>
      <c r="B5123" t="s">
        <v>61</v>
      </c>
      <c r="C5123" t="str">
        <f>"A0184338"</f>
        <v>A0184338</v>
      </c>
      <c r="D5123" t="s">
        <v>20557</v>
      </c>
      <c r="E5123" t="s">
        <v>20558</v>
      </c>
      <c r="F5123" t="s">
        <v>11723</v>
      </c>
      <c r="G5123" t="s">
        <v>52</v>
      </c>
      <c r="H5123" t="s">
        <v>20559</v>
      </c>
      <c r="I5123" t="s">
        <v>30</v>
      </c>
      <c r="J5123" t="s">
        <v>41</v>
      </c>
      <c r="K5123" t="s">
        <v>59</v>
      </c>
      <c r="Q5123">
        <v>0</v>
      </c>
      <c r="R5123">
        <v>0</v>
      </c>
      <c r="S5123">
        <v>0</v>
      </c>
      <c r="T5123" t="s">
        <v>20560</v>
      </c>
    </row>
    <row r="5124" spans="1:20" customFormat="1" ht="15" x14ac:dyDescent="0.25">
      <c r="A5124" t="s">
        <v>35</v>
      </c>
      <c r="B5124" t="s">
        <v>61</v>
      </c>
      <c r="C5124" t="str">
        <f>"A0184337"</f>
        <v>A0184337</v>
      </c>
      <c r="D5124" t="s">
        <v>20561</v>
      </c>
      <c r="E5124" t="s">
        <v>20562</v>
      </c>
      <c r="F5124" t="s">
        <v>4133</v>
      </c>
      <c r="G5124" t="s">
        <v>52</v>
      </c>
      <c r="H5124" t="s">
        <v>20563</v>
      </c>
      <c r="I5124" t="s">
        <v>30</v>
      </c>
      <c r="J5124" t="s">
        <v>41</v>
      </c>
      <c r="K5124" t="s">
        <v>59</v>
      </c>
      <c r="Q5124">
        <v>0</v>
      </c>
      <c r="R5124">
        <v>0</v>
      </c>
      <c r="S5124">
        <v>0</v>
      </c>
      <c r="T5124" t="s">
        <v>20564</v>
      </c>
    </row>
    <row r="5125" spans="1:20" customFormat="1" ht="15" x14ac:dyDescent="0.25">
      <c r="A5125" t="s">
        <v>35</v>
      </c>
      <c r="B5125" t="s">
        <v>61</v>
      </c>
      <c r="C5125" t="str">
        <f>"A0184336"</f>
        <v>A0184336</v>
      </c>
      <c r="D5125" t="s">
        <v>20565</v>
      </c>
      <c r="E5125" t="s">
        <v>20566</v>
      </c>
      <c r="F5125" t="s">
        <v>5476</v>
      </c>
      <c r="G5125" t="s">
        <v>52</v>
      </c>
      <c r="H5125">
        <v>76308</v>
      </c>
      <c r="I5125" t="s">
        <v>30</v>
      </c>
      <c r="J5125" t="s">
        <v>41</v>
      </c>
      <c r="K5125" t="s">
        <v>59</v>
      </c>
      <c r="Q5125">
        <v>0</v>
      </c>
      <c r="R5125">
        <v>76</v>
      </c>
      <c r="S5125">
        <v>76</v>
      </c>
      <c r="T5125" t="s">
        <v>20567</v>
      </c>
    </row>
    <row r="5126" spans="1:20" customFormat="1" ht="15" x14ac:dyDescent="0.25">
      <c r="A5126" t="s">
        <v>35</v>
      </c>
      <c r="B5126" t="s">
        <v>11871</v>
      </c>
      <c r="C5126" t="str">
        <f>"A0184335"</f>
        <v>A0184335</v>
      </c>
      <c r="D5126" t="s">
        <v>20568</v>
      </c>
      <c r="E5126" t="s">
        <v>20569</v>
      </c>
      <c r="F5126" t="s">
        <v>5268</v>
      </c>
      <c r="G5126" t="s">
        <v>52</v>
      </c>
      <c r="H5126" t="s">
        <v>20570</v>
      </c>
      <c r="I5126" t="s">
        <v>30</v>
      </c>
      <c r="J5126" t="s">
        <v>41</v>
      </c>
      <c r="K5126" t="s">
        <v>59</v>
      </c>
      <c r="Q5126">
        <v>0</v>
      </c>
      <c r="R5126">
        <v>0</v>
      </c>
      <c r="S5126">
        <v>0</v>
      </c>
      <c r="T5126" t="s">
        <v>20571</v>
      </c>
    </row>
    <row r="5127" spans="1:20" customFormat="1" ht="15" x14ac:dyDescent="0.25">
      <c r="A5127" t="s">
        <v>35</v>
      </c>
      <c r="B5127" t="s">
        <v>61</v>
      </c>
      <c r="C5127" t="str">
        <f>"A0184334"</f>
        <v>A0184334</v>
      </c>
      <c r="D5127" t="s">
        <v>20572</v>
      </c>
      <c r="E5127" t="s">
        <v>20573</v>
      </c>
      <c r="F5127" t="s">
        <v>20394</v>
      </c>
      <c r="G5127" t="s">
        <v>65</v>
      </c>
      <c r="H5127">
        <v>430267846</v>
      </c>
      <c r="I5127" t="s">
        <v>30</v>
      </c>
      <c r="J5127" t="s">
        <v>41</v>
      </c>
      <c r="K5127" t="s">
        <v>59</v>
      </c>
      <c r="Q5127">
        <v>0</v>
      </c>
      <c r="R5127">
        <v>0</v>
      </c>
      <c r="S5127">
        <v>0</v>
      </c>
    </row>
    <row r="5128" spans="1:20" customFormat="1" ht="15" x14ac:dyDescent="0.25">
      <c r="A5128" t="s">
        <v>35</v>
      </c>
      <c r="B5128" t="s">
        <v>61</v>
      </c>
      <c r="C5128" t="str">
        <f>"A0184333"</f>
        <v>A0184333</v>
      </c>
      <c r="D5128" t="s">
        <v>20574</v>
      </c>
      <c r="E5128" t="s">
        <v>20575</v>
      </c>
      <c r="F5128" t="s">
        <v>1373</v>
      </c>
      <c r="G5128" t="s">
        <v>71</v>
      </c>
      <c r="H5128">
        <v>53704</v>
      </c>
      <c r="I5128" t="s">
        <v>30</v>
      </c>
      <c r="J5128" t="s">
        <v>41</v>
      </c>
      <c r="K5128" t="s">
        <v>59</v>
      </c>
      <c r="Q5128">
        <v>0</v>
      </c>
      <c r="R5128">
        <v>0</v>
      </c>
      <c r="S5128">
        <v>0</v>
      </c>
      <c r="T5128" t="s">
        <v>20576</v>
      </c>
    </row>
    <row r="5129" spans="1:20" customFormat="1" ht="15" x14ac:dyDescent="0.25">
      <c r="A5129" t="s">
        <v>35</v>
      </c>
      <c r="B5129" t="s">
        <v>61</v>
      </c>
      <c r="C5129" t="str">
        <f>"A0184332"</f>
        <v>A0184332</v>
      </c>
      <c r="D5129" t="s">
        <v>12044</v>
      </c>
      <c r="E5129" t="s">
        <v>20577</v>
      </c>
      <c r="F5129" t="s">
        <v>20578</v>
      </c>
      <c r="G5129" t="s">
        <v>71</v>
      </c>
      <c r="H5129">
        <v>54891</v>
      </c>
      <c r="I5129" t="s">
        <v>30</v>
      </c>
      <c r="J5129" t="s">
        <v>41</v>
      </c>
      <c r="K5129" t="s">
        <v>59</v>
      </c>
      <c r="Q5129">
        <v>0</v>
      </c>
      <c r="R5129">
        <v>65</v>
      </c>
      <c r="S5129">
        <v>65</v>
      </c>
      <c r="T5129" t="s">
        <v>20579</v>
      </c>
    </row>
    <row r="5130" spans="1:20" customFormat="1" ht="15" x14ac:dyDescent="0.25">
      <c r="A5130" t="s">
        <v>35</v>
      </c>
      <c r="B5130" t="s">
        <v>61</v>
      </c>
      <c r="C5130" t="str">
        <f>"A0184331"</f>
        <v>A0184331</v>
      </c>
      <c r="D5130" t="s">
        <v>20580</v>
      </c>
      <c r="E5130" t="s">
        <v>20581</v>
      </c>
      <c r="F5130" t="s">
        <v>7619</v>
      </c>
      <c r="G5130" t="s">
        <v>71</v>
      </c>
      <c r="H5130">
        <v>530662647</v>
      </c>
      <c r="I5130" t="s">
        <v>30</v>
      </c>
      <c r="J5130" t="s">
        <v>41</v>
      </c>
      <c r="K5130" t="s">
        <v>59</v>
      </c>
      <c r="Q5130">
        <v>0</v>
      </c>
      <c r="R5130">
        <v>243</v>
      </c>
      <c r="S5130">
        <v>243</v>
      </c>
    </row>
    <row r="5131" spans="1:20" customFormat="1" ht="15" x14ac:dyDescent="0.25">
      <c r="A5131" t="s">
        <v>35</v>
      </c>
      <c r="B5131" t="s">
        <v>20582</v>
      </c>
      <c r="C5131" t="str">
        <f>"A0184329"</f>
        <v>A0184329</v>
      </c>
      <c r="D5131" t="s">
        <v>20583</v>
      </c>
      <c r="E5131" t="s">
        <v>20584</v>
      </c>
      <c r="F5131" t="s">
        <v>20585</v>
      </c>
      <c r="G5131" t="s">
        <v>65</v>
      </c>
      <c r="H5131">
        <v>44094</v>
      </c>
      <c r="I5131" t="s">
        <v>30</v>
      </c>
      <c r="J5131" t="s">
        <v>41</v>
      </c>
      <c r="K5131" t="s">
        <v>59</v>
      </c>
      <c r="Q5131">
        <v>0</v>
      </c>
      <c r="R5131">
        <v>0</v>
      </c>
      <c r="S5131">
        <v>0</v>
      </c>
      <c r="T5131" t="s">
        <v>20586</v>
      </c>
    </row>
    <row r="5132" spans="1:20" customFormat="1" ht="15" x14ac:dyDescent="0.25">
      <c r="A5132" t="s">
        <v>35</v>
      </c>
      <c r="B5132" t="s">
        <v>11871</v>
      </c>
      <c r="C5132" t="str">
        <f>"A0184328"</f>
        <v>A0184328</v>
      </c>
      <c r="D5132" t="s">
        <v>20587</v>
      </c>
      <c r="E5132" t="s">
        <v>20588</v>
      </c>
      <c r="F5132" t="s">
        <v>20589</v>
      </c>
      <c r="G5132" t="s">
        <v>65</v>
      </c>
      <c r="H5132">
        <v>432302423</v>
      </c>
      <c r="I5132" t="s">
        <v>30</v>
      </c>
      <c r="J5132" t="s">
        <v>41</v>
      </c>
      <c r="K5132" t="s">
        <v>59</v>
      </c>
      <c r="Q5132">
        <v>0</v>
      </c>
      <c r="R5132">
        <v>0</v>
      </c>
      <c r="S5132">
        <v>0</v>
      </c>
      <c r="T5132" t="s">
        <v>20590</v>
      </c>
    </row>
    <row r="5133" spans="1:20" customFormat="1" ht="15" x14ac:dyDescent="0.25">
      <c r="A5133" t="s">
        <v>35</v>
      </c>
      <c r="B5133" t="s">
        <v>11871</v>
      </c>
      <c r="C5133" t="str">
        <f>"A0184327"</f>
        <v>A0184327</v>
      </c>
      <c r="D5133" t="s">
        <v>20591</v>
      </c>
      <c r="E5133" t="s">
        <v>20592</v>
      </c>
      <c r="F5133" t="s">
        <v>1969</v>
      </c>
      <c r="G5133" t="s">
        <v>65</v>
      </c>
      <c r="H5133">
        <v>430172087</v>
      </c>
      <c r="I5133" t="s">
        <v>30</v>
      </c>
      <c r="J5133" t="s">
        <v>41</v>
      </c>
      <c r="K5133" t="s">
        <v>59</v>
      </c>
      <c r="Q5133">
        <v>0</v>
      </c>
      <c r="R5133">
        <v>0</v>
      </c>
      <c r="S5133">
        <v>0</v>
      </c>
      <c r="T5133" t="s">
        <v>20593</v>
      </c>
    </row>
    <row r="5134" spans="1:20" customFormat="1" ht="15" x14ac:dyDescent="0.25">
      <c r="A5134" t="s">
        <v>35</v>
      </c>
      <c r="B5134" t="s">
        <v>11871</v>
      </c>
      <c r="C5134" t="str">
        <f>"A0184325"</f>
        <v>A0184325</v>
      </c>
      <c r="D5134" t="s">
        <v>20594</v>
      </c>
      <c r="E5134" t="s">
        <v>20595</v>
      </c>
      <c r="F5134" t="s">
        <v>20596</v>
      </c>
      <c r="G5134" t="s">
        <v>65</v>
      </c>
      <c r="H5134">
        <v>45712</v>
      </c>
      <c r="I5134" t="s">
        <v>30</v>
      </c>
      <c r="J5134" t="s">
        <v>41</v>
      </c>
      <c r="K5134" t="s">
        <v>59</v>
      </c>
      <c r="Q5134">
        <v>0</v>
      </c>
      <c r="R5134">
        <v>0</v>
      </c>
      <c r="S5134">
        <v>0</v>
      </c>
      <c r="T5134" t="s">
        <v>20597</v>
      </c>
    </row>
    <row r="5135" spans="1:20" customFormat="1" ht="15" x14ac:dyDescent="0.25">
      <c r="A5135" t="s">
        <v>35</v>
      </c>
      <c r="B5135" t="s">
        <v>61</v>
      </c>
      <c r="C5135" t="str">
        <f>"A0184324"</f>
        <v>A0184324</v>
      </c>
      <c r="D5135" t="s">
        <v>20598</v>
      </c>
      <c r="E5135" t="s">
        <v>20599</v>
      </c>
      <c r="F5135" t="s">
        <v>20600</v>
      </c>
      <c r="G5135" t="s">
        <v>289</v>
      </c>
      <c r="H5135" t="s">
        <v>20601</v>
      </c>
      <c r="I5135" t="s">
        <v>30</v>
      </c>
      <c r="J5135" t="s">
        <v>41</v>
      </c>
      <c r="K5135" t="s">
        <v>59</v>
      </c>
      <c r="Q5135">
        <v>0</v>
      </c>
      <c r="R5135">
        <v>0</v>
      </c>
      <c r="S5135">
        <v>0</v>
      </c>
      <c r="T5135" t="s">
        <v>20602</v>
      </c>
    </row>
    <row r="5136" spans="1:20" customFormat="1" ht="15" x14ac:dyDescent="0.25">
      <c r="A5136" t="s">
        <v>35</v>
      </c>
      <c r="B5136" t="s">
        <v>61</v>
      </c>
      <c r="C5136" t="str">
        <f>"A0184323"</f>
        <v>A0184323</v>
      </c>
      <c r="D5136" t="s">
        <v>20603</v>
      </c>
      <c r="E5136" t="s">
        <v>20604</v>
      </c>
      <c r="F5136" t="s">
        <v>15556</v>
      </c>
      <c r="G5136" t="s">
        <v>289</v>
      </c>
      <c r="H5136" t="s">
        <v>20605</v>
      </c>
      <c r="I5136" t="s">
        <v>30</v>
      </c>
      <c r="J5136" t="s">
        <v>41</v>
      </c>
      <c r="K5136" t="s">
        <v>59</v>
      </c>
      <c r="Q5136">
        <v>0</v>
      </c>
      <c r="R5136">
        <v>113</v>
      </c>
      <c r="S5136">
        <v>113</v>
      </c>
      <c r="T5136" t="s">
        <v>20606</v>
      </c>
    </row>
    <row r="5137" spans="1:20" customFormat="1" ht="15" x14ac:dyDescent="0.25">
      <c r="A5137" t="s">
        <v>35</v>
      </c>
      <c r="B5137" t="s">
        <v>61</v>
      </c>
      <c r="C5137" t="str">
        <f>"A0184321"</f>
        <v>A0184321</v>
      </c>
      <c r="D5137" t="s">
        <v>20607</v>
      </c>
      <c r="E5137" t="s">
        <v>20608</v>
      </c>
      <c r="F5137" t="s">
        <v>13113</v>
      </c>
      <c r="G5137" t="s">
        <v>289</v>
      </c>
      <c r="H5137">
        <v>60506</v>
      </c>
      <c r="I5137" t="s">
        <v>30</v>
      </c>
      <c r="J5137" t="s">
        <v>41</v>
      </c>
      <c r="K5137" t="s">
        <v>59</v>
      </c>
      <c r="Q5137">
        <v>0</v>
      </c>
      <c r="R5137">
        <v>0</v>
      </c>
      <c r="S5137">
        <v>0</v>
      </c>
      <c r="T5137" t="s">
        <v>20609</v>
      </c>
    </row>
    <row r="5138" spans="1:20" customFormat="1" ht="15" x14ac:dyDescent="0.25">
      <c r="A5138" t="s">
        <v>35</v>
      </c>
      <c r="B5138" t="s">
        <v>61</v>
      </c>
      <c r="C5138" t="str">
        <f>"A0184320"</f>
        <v>A0184320</v>
      </c>
      <c r="D5138" t="s">
        <v>20610</v>
      </c>
      <c r="E5138" t="s">
        <v>7618</v>
      </c>
      <c r="F5138" t="s">
        <v>7619</v>
      </c>
      <c r="G5138" t="s">
        <v>71</v>
      </c>
      <c r="H5138" t="s">
        <v>7620</v>
      </c>
      <c r="I5138" t="s">
        <v>30</v>
      </c>
      <c r="J5138" t="s">
        <v>41</v>
      </c>
      <c r="K5138" t="s">
        <v>59</v>
      </c>
      <c r="Q5138">
        <v>0</v>
      </c>
      <c r="R5138">
        <v>0</v>
      </c>
      <c r="S5138">
        <v>0</v>
      </c>
      <c r="T5138" t="s">
        <v>20611</v>
      </c>
    </row>
    <row r="5139" spans="1:20" customFormat="1" ht="15" x14ac:dyDescent="0.25">
      <c r="A5139" t="s">
        <v>35</v>
      </c>
      <c r="B5139" t="s">
        <v>61</v>
      </c>
      <c r="C5139" t="str">
        <f>"A0184319"</f>
        <v>A0184319</v>
      </c>
      <c r="D5139" t="s">
        <v>20612</v>
      </c>
      <c r="E5139" t="s">
        <v>7618</v>
      </c>
      <c r="F5139" t="s">
        <v>7619</v>
      </c>
      <c r="G5139" t="s">
        <v>71</v>
      </c>
      <c r="H5139" t="s">
        <v>7620</v>
      </c>
      <c r="I5139" t="s">
        <v>30</v>
      </c>
      <c r="J5139" t="s">
        <v>41</v>
      </c>
      <c r="K5139" t="s">
        <v>59</v>
      </c>
      <c r="Q5139">
        <v>0</v>
      </c>
      <c r="R5139">
        <v>0</v>
      </c>
      <c r="S5139">
        <v>0</v>
      </c>
    </row>
    <row r="5140" spans="1:20" customFormat="1" ht="15" x14ac:dyDescent="0.25">
      <c r="A5140" t="s">
        <v>35</v>
      </c>
      <c r="B5140" t="s">
        <v>61</v>
      </c>
      <c r="C5140" t="str">
        <f>"A0184318"</f>
        <v>A0184318</v>
      </c>
      <c r="D5140" t="s">
        <v>20613</v>
      </c>
      <c r="E5140" t="s">
        <v>20614</v>
      </c>
      <c r="F5140" t="s">
        <v>4112</v>
      </c>
      <c r="G5140" t="s">
        <v>71</v>
      </c>
      <c r="H5140" t="s">
        <v>20615</v>
      </c>
      <c r="I5140" t="s">
        <v>30</v>
      </c>
      <c r="J5140" t="s">
        <v>41</v>
      </c>
      <c r="K5140" t="s">
        <v>59</v>
      </c>
      <c r="Q5140">
        <v>0</v>
      </c>
      <c r="R5140">
        <v>0</v>
      </c>
      <c r="S5140">
        <v>0</v>
      </c>
      <c r="T5140" t="s">
        <v>20616</v>
      </c>
    </row>
    <row r="5141" spans="1:20" customFormat="1" ht="15" x14ac:dyDescent="0.25">
      <c r="A5141" t="s">
        <v>35</v>
      </c>
      <c r="B5141" t="s">
        <v>61</v>
      </c>
      <c r="C5141" t="str">
        <f>"A0184317"</f>
        <v>A0184317</v>
      </c>
      <c r="D5141" t="s">
        <v>20617</v>
      </c>
      <c r="E5141" t="s">
        <v>20614</v>
      </c>
      <c r="F5141" t="s">
        <v>4112</v>
      </c>
      <c r="G5141" t="s">
        <v>71</v>
      </c>
      <c r="H5141" t="s">
        <v>20618</v>
      </c>
      <c r="I5141" t="s">
        <v>30</v>
      </c>
      <c r="J5141" t="s">
        <v>41</v>
      </c>
      <c r="K5141" t="s">
        <v>59</v>
      </c>
      <c r="Q5141">
        <v>0</v>
      </c>
      <c r="R5141">
        <v>0</v>
      </c>
      <c r="S5141">
        <v>0</v>
      </c>
      <c r="T5141" t="s">
        <v>20616</v>
      </c>
    </row>
    <row r="5142" spans="1:20" customFormat="1" ht="15" x14ac:dyDescent="0.25">
      <c r="A5142" t="s">
        <v>35</v>
      </c>
      <c r="B5142" t="s">
        <v>61</v>
      </c>
      <c r="C5142" t="str">
        <f>"A0184316"</f>
        <v>A0184316</v>
      </c>
      <c r="D5142" t="s">
        <v>20619</v>
      </c>
      <c r="E5142" t="s">
        <v>20620</v>
      </c>
      <c r="F5142" t="s">
        <v>20621</v>
      </c>
      <c r="G5142" t="s">
        <v>103</v>
      </c>
      <c r="H5142" t="s">
        <v>20622</v>
      </c>
      <c r="I5142" t="s">
        <v>30</v>
      </c>
      <c r="J5142" t="s">
        <v>41</v>
      </c>
      <c r="K5142" t="s">
        <v>59</v>
      </c>
      <c r="Q5142">
        <v>0</v>
      </c>
      <c r="R5142">
        <v>0</v>
      </c>
      <c r="S5142">
        <v>0</v>
      </c>
      <c r="T5142" t="s">
        <v>20623</v>
      </c>
    </row>
    <row r="5143" spans="1:20" customFormat="1" ht="15" x14ac:dyDescent="0.25">
      <c r="A5143" t="s">
        <v>35</v>
      </c>
      <c r="B5143" t="s">
        <v>61</v>
      </c>
      <c r="C5143" t="str">
        <f>"A0184315"</f>
        <v>A0184315</v>
      </c>
      <c r="D5143" t="s">
        <v>20624</v>
      </c>
      <c r="E5143" t="s">
        <v>20625</v>
      </c>
      <c r="F5143" t="s">
        <v>4354</v>
      </c>
      <c r="G5143" t="s">
        <v>103</v>
      </c>
      <c r="H5143" t="s">
        <v>20626</v>
      </c>
      <c r="I5143" t="s">
        <v>30</v>
      </c>
      <c r="J5143" t="s">
        <v>41</v>
      </c>
      <c r="K5143" t="s">
        <v>59</v>
      </c>
      <c r="Q5143">
        <v>0</v>
      </c>
      <c r="R5143">
        <v>84</v>
      </c>
      <c r="S5143">
        <v>84</v>
      </c>
      <c r="T5143" t="s">
        <v>20627</v>
      </c>
    </row>
    <row r="5144" spans="1:20" customFormat="1" ht="15" x14ac:dyDescent="0.25">
      <c r="A5144" t="s">
        <v>35</v>
      </c>
      <c r="B5144" t="s">
        <v>61</v>
      </c>
      <c r="C5144" t="str">
        <f>"A0184314"</f>
        <v>A0184314</v>
      </c>
      <c r="D5144" t="s">
        <v>20628</v>
      </c>
      <c r="E5144" t="s">
        <v>20629</v>
      </c>
      <c r="F5144" t="s">
        <v>20630</v>
      </c>
      <c r="G5144" t="s">
        <v>103</v>
      </c>
      <c r="H5144" t="s">
        <v>20631</v>
      </c>
      <c r="I5144" t="s">
        <v>30</v>
      </c>
      <c r="J5144" t="s">
        <v>41</v>
      </c>
      <c r="K5144" t="s">
        <v>59</v>
      </c>
      <c r="Q5144">
        <v>0</v>
      </c>
      <c r="R5144">
        <v>0</v>
      </c>
      <c r="S5144">
        <v>0</v>
      </c>
      <c r="T5144" t="s">
        <v>20632</v>
      </c>
    </row>
    <row r="5145" spans="1:20" customFormat="1" ht="15" x14ac:dyDescent="0.25">
      <c r="A5145" t="s">
        <v>35</v>
      </c>
      <c r="B5145" t="s">
        <v>61</v>
      </c>
      <c r="C5145" t="str">
        <f>"A0184313"</f>
        <v>A0184313</v>
      </c>
      <c r="D5145" t="s">
        <v>20633</v>
      </c>
      <c r="E5145" t="s">
        <v>20634</v>
      </c>
      <c r="F5145" t="s">
        <v>20635</v>
      </c>
      <c r="G5145" t="s">
        <v>103</v>
      </c>
      <c r="H5145">
        <v>19365</v>
      </c>
      <c r="I5145" t="s">
        <v>30</v>
      </c>
      <c r="J5145" t="s">
        <v>41</v>
      </c>
      <c r="K5145" t="s">
        <v>59</v>
      </c>
      <c r="Q5145">
        <v>0</v>
      </c>
      <c r="R5145">
        <v>0</v>
      </c>
      <c r="S5145">
        <v>0</v>
      </c>
    </row>
    <row r="5146" spans="1:20" customFormat="1" ht="15" x14ac:dyDescent="0.25">
      <c r="A5146" t="s">
        <v>35</v>
      </c>
      <c r="B5146" t="s">
        <v>11871</v>
      </c>
      <c r="C5146" t="str">
        <f>"A0184312"</f>
        <v>A0184312</v>
      </c>
      <c r="D5146" t="s">
        <v>20636</v>
      </c>
      <c r="E5146" t="s">
        <v>20637</v>
      </c>
      <c r="F5146" t="s">
        <v>4354</v>
      </c>
      <c r="G5146" t="s">
        <v>103</v>
      </c>
      <c r="H5146" t="s">
        <v>20638</v>
      </c>
      <c r="I5146" t="s">
        <v>30</v>
      </c>
      <c r="J5146" t="s">
        <v>41</v>
      </c>
      <c r="K5146" t="s">
        <v>59</v>
      </c>
      <c r="Q5146">
        <v>0</v>
      </c>
      <c r="R5146">
        <v>0</v>
      </c>
      <c r="S5146">
        <v>0</v>
      </c>
      <c r="T5146" t="s">
        <v>20639</v>
      </c>
    </row>
    <row r="5147" spans="1:20" customFormat="1" ht="15" x14ac:dyDescent="0.25">
      <c r="A5147" t="s">
        <v>35</v>
      </c>
      <c r="B5147" t="s">
        <v>61</v>
      </c>
      <c r="C5147" t="str">
        <f>"A0184311"</f>
        <v>A0184311</v>
      </c>
      <c r="D5147" t="s">
        <v>20640</v>
      </c>
      <c r="E5147" t="s">
        <v>20641</v>
      </c>
      <c r="F5147" t="s">
        <v>5240</v>
      </c>
      <c r="G5147" t="s">
        <v>52</v>
      </c>
      <c r="H5147">
        <v>78212</v>
      </c>
      <c r="I5147" t="s">
        <v>30</v>
      </c>
      <c r="J5147" t="s">
        <v>41</v>
      </c>
      <c r="K5147" t="s">
        <v>59</v>
      </c>
      <c r="Q5147">
        <v>0</v>
      </c>
      <c r="R5147">
        <v>0</v>
      </c>
      <c r="S5147">
        <v>0</v>
      </c>
    </row>
    <row r="5148" spans="1:20" customFormat="1" ht="15" x14ac:dyDescent="0.25">
      <c r="A5148" t="s">
        <v>35</v>
      </c>
      <c r="B5148" t="s">
        <v>61</v>
      </c>
      <c r="C5148" t="str">
        <f>"A0184310"</f>
        <v>A0184310</v>
      </c>
      <c r="D5148" t="s">
        <v>20642</v>
      </c>
      <c r="E5148" t="s">
        <v>20643</v>
      </c>
      <c r="F5148" t="s">
        <v>20644</v>
      </c>
      <c r="G5148" t="s">
        <v>110</v>
      </c>
      <c r="H5148" t="s">
        <v>20645</v>
      </c>
      <c r="I5148" t="s">
        <v>30</v>
      </c>
      <c r="J5148" t="s">
        <v>41</v>
      </c>
      <c r="K5148" t="s">
        <v>59</v>
      </c>
      <c r="Q5148">
        <v>0</v>
      </c>
      <c r="R5148">
        <v>0</v>
      </c>
      <c r="S5148">
        <v>0</v>
      </c>
      <c r="T5148" t="s">
        <v>20646</v>
      </c>
    </row>
    <row r="5149" spans="1:20" customFormat="1" ht="15" x14ac:dyDescent="0.25">
      <c r="A5149" t="s">
        <v>35</v>
      </c>
      <c r="B5149" t="s">
        <v>61</v>
      </c>
      <c r="C5149" t="str">
        <f>"A0184309"</f>
        <v>A0184309</v>
      </c>
      <c r="D5149" t="s">
        <v>20647</v>
      </c>
      <c r="E5149" t="s">
        <v>20648</v>
      </c>
      <c r="F5149" t="s">
        <v>7362</v>
      </c>
      <c r="G5149" t="s">
        <v>110</v>
      </c>
      <c r="H5149" t="s">
        <v>20649</v>
      </c>
      <c r="I5149" t="s">
        <v>30</v>
      </c>
      <c r="J5149" t="s">
        <v>41</v>
      </c>
      <c r="K5149" t="s">
        <v>59</v>
      </c>
      <c r="Q5149">
        <v>0</v>
      </c>
      <c r="R5149">
        <v>46</v>
      </c>
      <c r="S5149">
        <v>46</v>
      </c>
    </row>
    <row r="5150" spans="1:20" customFormat="1" ht="15" x14ac:dyDescent="0.25">
      <c r="A5150" t="s">
        <v>35</v>
      </c>
      <c r="B5150" t="s">
        <v>61</v>
      </c>
      <c r="C5150" t="str">
        <f>"A0184308"</f>
        <v>A0184308</v>
      </c>
      <c r="D5150" t="s">
        <v>20650</v>
      </c>
      <c r="E5150" t="s">
        <v>20651</v>
      </c>
      <c r="F5150" t="s">
        <v>20652</v>
      </c>
      <c r="G5150" t="s">
        <v>110</v>
      </c>
      <c r="H5150" t="s">
        <v>20653</v>
      </c>
      <c r="I5150" t="s">
        <v>30</v>
      </c>
      <c r="J5150" t="s">
        <v>41</v>
      </c>
      <c r="K5150" t="s">
        <v>59</v>
      </c>
      <c r="Q5150">
        <v>0</v>
      </c>
      <c r="R5150">
        <v>0</v>
      </c>
      <c r="S5150">
        <v>0</v>
      </c>
      <c r="T5150" t="s">
        <v>20654</v>
      </c>
    </row>
    <row r="5151" spans="1:20" customFormat="1" ht="15" x14ac:dyDescent="0.25">
      <c r="A5151" t="s">
        <v>35</v>
      </c>
      <c r="B5151" t="s">
        <v>12660</v>
      </c>
      <c r="C5151" t="str">
        <f>"A0184307"</f>
        <v>A0184307</v>
      </c>
      <c r="D5151" t="s">
        <v>20655</v>
      </c>
      <c r="E5151" t="s">
        <v>20656</v>
      </c>
      <c r="F5151" t="s">
        <v>6984</v>
      </c>
      <c r="G5151" t="s">
        <v>110</v>
      </c>
      <c r="H5151">
        <v>928827070</v>
      </c>
      <c r="I5151" t="s">
        <v>30</v>
      </c>
      <c r="J5151" t="s">
        <v>41</v>
      </c>
      <c r="K5151" t="s">
        <v>59</v>
      </c>
      <c r="Q5151">
        <v>0</v>
      </c>
      <c r="R5151">
        <v>0</v>
      </c>
      <c r="S5151">
        <v>0</v>
      </c>
      <c r="T5151" t="s">
        <v>20657</v>
      </c>
    </row>
    <row r="5152" spans="1:20" customFormat="1" ht="15" x14ac:dyDescent="0.25">
      <c r="A5152" t="s">
        <v>35</v>
      </c>
      <c r="B5152" t="s">
        <v>12660</v>
      </c>
      <c r="C5152" t="str">
        <f>"A0184306"</f>
        <v>A0184306</v>
      </c>
      <c r="D5152" t="s">
        <v>20658</v>
      </c>
      <c r="E5152" t="s">
        <v>20659</v>
      </c>
      <c r="F5152" t="s">
        <v>20660</v>
      </c>
      <c r="G5152" t="s">
        <v>110</v>
      </c>
      <c r="H5152">
        <v>950323562</v>
      </c>
      <c r="I5152" t="s">
        <v>30</v>
      </c>
      <c r="J5152" t="s">
        <v>41</v>
      </c>
      <c r="K5152" t="s">
        <v>59</v>
      </c>
      <c r="Q5152">
        <v>0</v>
      </c>
      <c r="R5152">
        <v>59</v>
      </c>
      <c r="S5152">
        <v>59</v>
      </c>
      <c r="T5152" t="s">
        <v>20661</v>
      </c>
    </row>
    <row r="5153" spans="1:20" customFormat="1" ht="15" x14ac:dyDescent="0.25">
      <c r="A5153" t="s">
        <v>35</v>
      </c>
      <c r="B5153" t="s">
        <v>12660</v>
      </c>
      <c r="C5153" t="str">
        <f>"A0184305"</f>
        <v>A0184305</v>
      </c>
      <c r="D5153" t="s">
        <v>20662</v>
      </c>
      <c r="E5153" t="s">
        <v>20663</v>
      </c>
      <c r="F5153" t="s">
        <v>14856</v>
      </c>
      <c r="G5153" t="s">
        <v>110</v>
      </c>
      <c r="H5153">
        <v>926124670</v>
      </c>
      <c r="I5153" t="s">
        <v>30</v>
      </c>
      <c r="J5153" t="s">
        <v>41</v>
      </c>
      <c r="K5153" t="s">
        <v>59</v>
      </c>
      <c r="Q5153">
        <v>0</v>
      </c>
      <c r="R5153">
        <v>119</v>
      </c>
      <c r="S5153">
        <v>119</v>
      </c>
      <c r="T5153" t="s">
        <v>20664</v>
      </c>
    </row>
    <row r="5154" spans="1:20" customFormat="1" ht="15" x14ac:dyDescent="0.25">
      <c r="A5154" t="s">
        <v>35</v>
      </c>
      <c r="B5154" t="s">
        <v>61</v>
      </c>
      <c r="C5154" t="str">
        <f>"A0184304"</f>
        <v>A0184304</v>
      </c>
      <c r="D5154" t="s">
        <v>20665</v>
      </c>
      <c r="E5154" t="s">
        <v>20666</v>
      </c>
      <c r="F5154" t="s">
        <v>20667</v>
      </c>
      <c r="G5154" t="s">
        <v>81</v>
      </c>
      <c r="H5154" t="s">
        <v>20668</v>
      </c>
      <c r="I5154" t="s">
        <v>30</v>
      </c>
      <c r="J5154" t="s">
        <v>41</v>
      </c>
      <c r="K5154" t="s">
        <v>59</v>
      </c>
      <c r="Q5154">
        <v>0</v>
      </c>
      <c r="R5154">
        <v>141</v>
      </c>
      <c r="S5154">
        <v>141</v>
      </c>
      <c r="T5154" t="s">
        <v>20669</v>
      </c>
    </row>
    <row r="5155" spans="1:20" customFormat="1" ht="15" x14ac:dyDescent="0.25">
      <c r="A5155" t="s">
        <v>35</v>
      </c>
      <c r="B5155" t="s">
        <v>61</v>
      </c>
      <c r="C5155" t="str">
        <f>"A0184303"</f>
        <v>A0184303</v>
      </c>
      <c r="D5155" t="s">
        <v>20670</v>
      </c>
      <c r="E5155" t="s">
        <v>20671</v>
      </c>
      <c r="F5155" t="s">
        <v>20672</v>
      </c>
      <c r="G5155" t="s">
        <v>81</v>
      </c>
      <c r="H5155">
        <v>32092</v>
      </c>
      <c r="I5155" t="s">
        <v>30</v>
      </c>
      <c r="J5155" t="s">
        <v>41</v>
      </c>
      <c r="K5155" t="s">
        <v>59</v>
      </c>
      <c r="Q5155">
        <v>0</v>
      </c>
      <c r="R5155">
        <v>60</v>
      </c>
      <c r="S5155">
        <v>60</v>
      </c>
      <c r="T5155" t="s">
        <v>20673</v>
      </c>
    </row>
    <row r="5156" spans="1:20" customFormat="1" ht="15" x14ac:dyDescent="0.25">
      <c r="A5156" t="s">
        <v>35</v>
      </c>
      <c r="B5156" t="s">
        <v>61</v>
      </c>
      <c r="C5156" t="str">
        <f>"A0184302"</f>
        <v>A0184302</v>
      </c>
      <c r="D5156" t="s">
        <v>20674</v>
      </c>
      <c r="E5156" t="s">
        <v>20675</v>
      </c>
      <c r="F5156" t="s">
        <v>20532</v>
      </c>
      <c r="G5156" t="s">
        <v>81</v>
      </c>
      <c r="H5156">
        <v>32922</v>
      </c>
      <c r="I5156" t="s">
        <v>30</v>
      </c>
      <c r="J5156" t="s">
        <v>41</v>
      </c>
      <c r="K5156" t="s">
        <v>59</v>
      </c>
      <c r="Q5156">
        <v>0</v>
      </c>
      <c r="R5156">
        <v>0</v>
      </c>
      <c r="S5156">
        <v>0</v>
      </c>
    </row>
    <row r="5157" spans="1:20" customFormat="1" ht="15" x14ac:dyDescent="0.25">
      <c r="A5157" t="s">
        <v>35</v>
      </c>
      <c r="B5157" t="s">
        <v>61</v>
      </c>
      <c r="C5157" t="str">
        <f>"A0184301"</f>
        <v>A0184301</v>
      </c>
      <c r="D5157" t="s">
        <v>12044</v>
      </c>
      <c r="E5157" t="s">
        <v>20676</v>
      </c>
      <c r="F5157" t="s">
        <v>20672</v>
      </c>
      <c r="G5157" t="s">
        <v>81</v>
      </c>
      <c r="H5157">
        <v>32084</v>
      </c>
      <c r="I5157" t="s">
        <v>30</v>
      </c>
      <c r="J5157" t="s">
        <v>41</v>
      </c>
      <c r="K5157" t="s">
        <v>59</v>
      </c>
      <c r="Q5157">
        <v>0</v>
      </c>
      <c r="R5157">
        <v>0</v>
      </c>
      <c r="S5157">
        <v>0</v>
      </c>
      <c r="T5157" t="s">
        <v>20579</v>
      </c>
    </row>
    <row r="5158" spans="1:20" customFormat="1" ht="15" x14ac:dyDescent="0.25">
      <c r="A5158" t="s">
        <v>35</v>
      </c>
      <c r="B5158" t="s">
        <v>61</v>
      </c>
      <c r="C5158" t="str">
        <f>"A0184300"</f>
        <v>A0184300</v>
      </c>
      <c r="D5158" t="s">
        <v>20677</v>
      </c>
      <c r="E5158" t="s">
        <v>20678</v>
      </c>
      <c r="F5158" t="s">
        <v>10598</v>
      </c>
      <c r="G5158" t="s">
        <v>81</v>
      </c>
      <c r="H5158" t="s">
        <v>20679</v>
      </c>
      <c r="I5158" t="s">
        <v>30</v>
      </c>
      <c r="J5158" t="s">
        <v>41</v>
      </c>
      <c r="K5158" t="s">
        <v>59</v>
      </c>
      <c r="Q5158">
        <v>0</v>
      </c>
      <c r="R5158">
        <v>0</v>
      </c>
      <c r="S5158">
        <v>0</v>
      </c>
      <c r="T5158" t="s">
        <v>20680</v>
      </c>
    </row>
    <row r="5159" spans="1:20" customFormat="1" ht="15" x14ac:dyDescent="0.25">
      <c r="A5159" t="s">
        <v>35</v>
      </c>
      <c r="B5159" t="s">
        <v>61</v>
      </c>
      <c r="C5159" t="str">
        <f>"A0184299"</f>
        <v>A0184299</v>
      </c>
      <c r="D5159" t="s">
        <v>20681</v>
      </c>
      <c r="E5159" t="s">
        <v>20682</v>
      </c>
      <c r="F5159" t="s">
        <v>6764</v>
      </c>
      <c r="G5159" t="s">
        <v>81</v>
      </c>
      <c r="H5159" t="s">
        <v>20683</v>
      </c>
      <c r="I5159" t="s">
        <v>30</v>
      </c>
      <c r="J5159" t="s">
        <v>41</v>
      </c>
      <c r="K5159" t="s">
        <v>59</v>
      </c>
      <c r="Q5159">
        <v>0</v>
      </c>
      <c r="R5159">
        <v>0</v>
      </c>
      <c r="S5159">
        <v>0</v>
      </c>
      <c r="T5159" t="s">
        <v>20684</v>
      </c>
    </row>
    <row r="5160" spans="1:20" customFormat="1" ht="15" x14ac:dyDescent="0.25">
      <c r="A5160" t="s">
        <v>35</v>
      </c>
      <c r="B5160" t="s">
        <v>61</v>
      </c>
      <c r="C5160" t="str">
        <f>"A0184298"</f>
        <v>A0184298</v>
      </c>
      <c r="D5160" t="s">
        <v>20685</v>
      </c>
      <c r="E5160" t="s">
        <v>20686</v>
      </c>
      <c r="F5160" t="s">
        <v>13127</v>
      </c>
      <c r="G5160" t="s">
        <v>925</v>
      </c>
      <c r="H5160">
        <v>66215</v>
      </c>
      <c r="I5160" t="s">
        <v>30</v>
      </c>
      <c r="J5160" t="s">
        <v>41</v>
      </c>
      <c r="K5160" t="s">
        <v>59</v>
      </c>
      <c r="Q5160">
        <v>0</v>
      </c>
      <c r="R5160">
        <v>0</v>
      </c>
      <c r="S5160">
        <v>0</v>
      </c>
    </row>
    <row r="5161" spans="1:20" customFormat="1" ht="15" x14ac:dyDescent="0.25">
      <c r="A5161" t="s">
        <v>35</v>
      </c>
      <c r="B5161" t="s">
        <v>61</v>
      </c>
      <c r="C5161" t="str">
        <f>"A0184297"</f>
        <v>A0184297</v>
      </c>
      <c r="D5161" t="s">
        <v>20269</v>
      </c>
      <c r="E5161" t="s">
        <v>20687</v>
      </c>
      <c r="F5161" t="s">
        <v>20688</v>
      </c>
      <c r="G5161" t="s">
        <v>925</v>
      </c>
      <c r="H5161">
        <v>67951</v>
      </c>
      <c r="I5161" t="s">
        <v>30</v>
      </c>
      <c r="J5161" t="s">
        <v>41</v>
      </c>
      <c r="K5161" t="s">
        <v>59</v>
      </c>
      <c r="Q5161">
        <v>0</v>
      </c>
      <c r="R5161">
        <v>0</v>
      </c>
      <c r="S5161">
        <v>0</v>
      </c>
      <c r="T5161" t="s">
        <v>20689</v>
      </c>
    </row>
    <row r="5162" spans="1:20" customFormat="1" ht="15" x14ac:dyDescent="0.25">
      <c r="A5162" t="s">
        <v>35</v>
      </c>
      <c r="B5162" t="s">
        <v>61</v>
      </c>
      <c r="C5162" t="str">
        <f>"A0184296"</f>
        <v>A0184296</v>
      </c>
      <c r="D5162" t="s">
        <v>20690</v>
      </c>
      <c r="E5162" t="s">
        <v>20691</v>
      </c>
      <c r="F5162" t="s">
        <v>4742</v>
      </c>
      <c r="G5162" t="s">
        <v>925</v>
      </c>
      <c r="H5162">
        <v>676465115</v>
      </c>
      <c r="I5162" t="s">
        <v>30</v>
      </c>
      <c r="J5162" t="s">
        <v>41</v>
      </c>
      <c r="K5162" t="s">
        <v>59</v>
      </c>
      <c r="Q5162">
        <v>0</v>
      </c>
      <c r="R5162">
        <v>46</v>
      </c>
      <c r="S5162">
        <v>46</v>
      </c>
      <c r="T5162" t="s">
        <v>20692</v>
      </c>
    </row>
    <row r="5163" spans="1:20" customFormat="1" ht="15" x14ac:dyDescent="0.25">
      <c r="A5163" t="s">
        <v>35</v>
      </c>
      <c r="B5163" t="s">
        <v>61</v>
      </c>
      <c r="C5163" t="str">
        <f>"A0184295"</f>
        <v>A0184295</v>
      </c>
      <c r="D5163" t="s">
        <v>20693</v>
      </c>
      <c r="E5163" t="s">
        <v>20694</v>
      </c>
      <c r="F5163" t="s">
        <v>20695</v>
      </c>
      <c r="G5163" t="s">
        <v>925</v>
      </c>
      <c r="H5163" t="s">
        <v>20696</v>
      </c>
      <c r="I5163" t="s">
        <v>30</v>
      </c>
      <c r="J5163" t="s">
        <v>41</v>
      </c>
      <c r="K5163" t="s">
        <v>59</v>
      </c>
      <c r="Q5163">
        <v>0</v>
      </c>
      <c r="R5163">
        <v>55</v>
      </c>
      <c r="S5163">
        <v>55</v>
      </c>
      <c r="T5163" t="s">
        <v>20697</v>
      </c>
    </row>
    <row r="5164" spans="1:20" customFormat="1" ht="15" x14ac:dyDescent="0.25">
      <c r="A5164" t="s">
        <v>35</v>
      </c>
      <c r="B5164" t="s">
        <v>61</v>
      </c>
      <c r="C5164" t="str">
        <f>"A0184294"</f>
        <v>A0184294</v>
      </c>
      <c r="D5164" t="s">
        <v>20698</v>
      </c>
      <c r="E5164" t="s">
        <v>20699</v>
      </c>
      <c r="F5164" t="s">
        <v>20700</v>
      </c>
      <c r="G5164" t="s">
        <v>925</v>
      </c>
      <c r="H5164" t="s">
        <v>20701</v>
      </c>
      <c r="I5164" t="s">
        <v>30</v>
      </c>
      <c r="J5164" t="s">
        <v>41</v>
      </c>
      <c r="K5164" t="s">
        <v>59</v>
      </c>
      <c r="Q5164">
        <v>0</v>
      </c>
      <c r="R5164">
        <v>60</v>
      </c>
      <c r="S5164">
        <v>60</v>
      </c>
      <c r="T5164" t="s">
        <v>20702</v>
      </c>
    </row>
    <row r="5165" spans="1:20" customFormat="1" ht="15" x14ac:dyDescent="0.25">
      <c r="A5165" t="s">
        <v>35</v>
      </c>
      <c r="B5165" t="s">
        <v>11871</v>
      </c>
      <c r="C5165" t="str">
        <f>"A0184293"</f>
        <v>A0184293</v>
      </c>
      <c r="D5165" t="s">
        <v>20703</v>
      </c>
      <c r="E5165" t="s">
        <v>20704</v>
      </c>
      <c r="F5165" t="s">
        <v>102</v>
      </c>
      <c r="G5165" t="s">
        <v>103</v>
      </c>
      <c r="H5165" t="s">
        <v>20705</v>
      </c>
      <c r="I5165" t="s">
        <v>30</v>
      </c>
      <c r="J5165" t="s">
        <v>41</v>
      </c>
      <c r="K5165" t="s">
        <v>59</v>
      </c>
      <c r="Q5165">
        <v>0</v>
      </c>
      <c r="R5165">
        <v>0</v>
      </c>
      <c r="S5165">
        <v>0</v>
      </c>
      <c r="T5165" t="s">
        <v>20706</v>
      </c>
    </row>
    <row r="5166" spans="1:20" customFormat="1" ht="15" x14ac:dyDescent="0.25">
      <c r="A5166" t="s">
        <v>35</v>
      </c>
      <c r="B5166" t="s">
        <v>11871</v>
      </c>
      <c r="C5166" t="str">
        <f>"A0184292"</f>
        <v>A0184292</v>
      </c>
      <c r="D5166" t="s">
        <v>20707</v>
      </c>
      <c r="E5166" t="s">
        <v>20708</v>
      </c>
      <c r="F5166" t="s">
        <v>20709</v>
      </c>
      <c r="G5166" t="s">
        <v>103</v>
      </c>
      <c r="H5166" t="s">
        <v>20710</v>
      </c>
      <c r="I5166" t="s">
        <v>30</v>
      </c>
      <c r="J5166" t="s">
        <v>41</v>
      </c>
      <c r="K5166" t="s">
        <v>59</v>
      </c>
      <c r="Q5166">
        <v>0</v>
      </c>
      <c r="R5166">
        <v>0</v>
      </c>
      <c r="S5166">
        <v>0</v>
      </c>
      <c r="T5166" t="s">
        <v>20711</v>
      </c>
    </row>
    <row r="5167" spans="1:20" customFormat="1" ht="15" x14ac:dyDescent="0.25">
      <c r="A5167" t="s">
        <v>35</v>
      </c>
      <c r="B5167" t="s">
        <v>61</v>
      </c>
      <c r="C5167" t="str">
        <f>"A0184291"</f>
        <v>A0184291</v>
      </c>
      <c r="D5167" t="s">
        <v>20712</v>
      </c>
      <c r="E5167" t="s">
        <v>20713</v>
      </c>
      <c r="F5167" t="s">
        <v>20714</v>
      </c>
      <c r="G5167" t="s">
        <v>103</v>
      </c>
      <c r="H5167">
        <v>18064</v>
      </c>
      <c r="I5167" t="s">
        <v>30</v>
      </c>
      <c r="J5167" t="s">
        <v>41</v>
      </c>
      <c r="K5167" t="s">
        <v>59</v>
      </c>
      <c r="Q5167">
        <v>0</v>
      </c>
      <c r="R5167">
        <v>0</v>
      </c>
      <c r="S5167">
        <v>0</v>
      </c>
    </row>
    <row r="5168" spans="1:20" customFormat="1" ht="15" x14ac:dyDescent="0.25">
      <c r="A5168" t="s">
        <v>35</v>
      </c>
      <c r="B5168" t="s">
        <v>61</v>
      </c>
      <c r="C5168" t="str">
        <f>"A0184290"</f>
        <v>A0184290</v>
      </c>
      <c r="D5168" t="s">
        <v>20715</v>
      </c>
      <c r="E5168" t="s">
        <v>20716</v>
      </c>
      <c r="F5168" t="s">
        <v>10801</v>
      </c>
      <c r="G5168" t="s">
        <v>99</v>
      </c>
      <c r="H5168" t="s">
        <v>20717</v>
      </c>
      <c r="I5168" t="s">
        <v>30</v>
      </c>
      <c r="J5168" t="s">
        <v>41</v>
      </c>
      <c r="K5168" t="s">
        <v>59</v>
      </c>
      <c r="Q5168">
        <v>0</v>
      </c>
      <c r="R5168">
        <v>0</v>
      </c>
      <c r="S5168">
        <v>0</v>
      </c>
      <c r="T5168" t="s">
        <v>20718</v>
      </c>
    </row>
    <row r="5169" spans="1:20" customFormat="1" ht="15" x14ac:dyDescent="0.25">
      <c r="A5169" t="s">
        <v>35</v>
      </c>
      <c r="B5169" t="s">
        <v>61</v>
      </c>
      <c r="C5169" t="str">
        <f>"A0184289"</f>
        <v>A0184289</v>
      </c>
      <c r="D5169" t="s">
        <v>20719</v>
      </c>
      <c r="E5169" t="s">
        <v>20720</v>
      </c>
      <c r="F5169" t="s">
        <v>20721</v>
      </c>
      <c r="G5169" t="s">
        <v>99</v>
      </c>
      <c r="H5169" t="s">
        <v>20722</v>
      </c>
      <c r="I5169" t="s">
        <v>30</v>
      </c>
      <c r="J5169" t="s">
        <v>41</v>
      </c>
      <c r="K5169" t="s">
        <v>59</v>
      </c>
      <c r="Q5169">
        <v>0</v>
      </c>
      <c r="R5169">
        <v>0</v>
      </c>
      <c r="S5169">
        <v>0</v>
      </c>
      <c r="T5169" t="s">
        <v>20723</v>
      </c>
    </row>
    <row r="5170" spans="1:20" customFormat="1" ht="15" x14ac:dyDescent="0.25">
      <c r="A5170" t="s">
        <v>35</v>
      </c>
      <c r="B5170" t="s">
        <v>61</v>
      </c>
      <c r="C5170" t="str">
        <f>"A0184288"</f>
        <v>A0184288</v>
      </c>
      <c r="D5170" t="s">
        <v>20724</v>
      </c>
      <c r="E5170" t="s">
        <v>20725</v>
      </c>
      <c r="F5170" t="s">
        <v>2714</v>
      </c>
      <c r="G5170" t="s">
        <v>81</v>
      </c>
      <c r="H5170" t="s">
        <v>20726</v>
      </c>
      <c r="I5170" t="s">
        <v>30</v>
      </c>
      <c r="J5170" t="s">
        <v>41</v>
      </c>
      <c r="K5170" t="s">
        <v>59</v>
      </c>
      <c r="Q5170">
        <v>0</v>
      </c>
      <c r="R5170">
        <v>0</v>
      </c>
      <c r="S5170">
        <v>0</v>
      </c>
      <c r="T5170" t="s">
        <v>20727</v>
      </c>
    </row>
    <row r="5171" spans="1:20" customFormat="1" ht="15" x14ac:dyDescent="0.25">
      <c r="A5171" t="s">
        <v>35</v>
      </c>
      <c r="B5171" t="s">
        <v>61</v>
      </c>
      <c r="C5171" t="str">
        <f>"A0184287"</f>
        <v>A0184287</v>
      </c>
      <c r="D5171" t="s">
        <v>20728</v>
      </c>
      <c r="E5171" t="s">
        <v>19637</v>
      </c>
      <c r="F5171" t="s">
        <v>12497</v>
      </c>
      <c r="G5171" t="s">
        <v>71</v>
      </c>
      <c r="H5171" t="s">
        <v>19638</v>
      </c>
      <c r="I5171" t="s">
        <v>30</v>
      </c>
      <c r="J5171" t="s">
        <v>41</v>
      </c>
      <c r="K5171" t="s">
        <v>59</v>
      </c>
      <c r="Q5171">
        <v>0</v>
      </c>
      <c r="R5171">
        <v>102</v>
      </c>
      <c r="S5171">
        <v>102</v>
      </c>
      <c r="T5171" t="s">
        <v>19639</v>
      </c>
    </row>
    <row r="5172" spans="1:20" customFormat="1" ht="15" x14ac:dyDescent="0.25">
      <c r="A5172" t="s">
        <v>35</v>
      </c>
      <c r="B5172" t="s">
        <v>61</v>
      </c>
      <c r="C5172" t="str">
        <f>"A0184286"</f>
        <v>A0184286</v>
      </c>
      <c r="D5172" t="s">
        <v>20729</v>
      </c>
      <c r="E5172" t="s">
        <v>20730</v>
      </c>
      <c r="F5172" t="s">
        <v>20578</v>
      </c>
      <c r="G5172" t="s">
        <v>71</v>
      </c>
      <c r="H5172">
        <v>548911143</v>
      </c>
      <c r="I5172" t="s">
        <v>30</v>
      </c>
      <c r="J5172" t="s">
        <v>41</v>
      </c>
      <c r="K5172" t="s">
        <v>59</v>
      </c>
      <c r="Q5172">
        <v>0</v>
      </c>
      <c r="R5172">
        <v>65</v>
      </c>
      <c r="S5172">
        <v>65</v>
      </c>
      <c r="T5172" t="s">
        <v>20731</v>
      </c>
    </row>
    <row r="5173" spans="1:20" customFormat="1" ht="15" x14ac:dyDescent="0.25">
      <c r="A5173" t="s">
        <v>35</v>
      </c>
      <c r="B5173" t="s">
        <v>11871</v>
      </c>
      <c r="C5173" t="str">
        <f>"A0184285"</f>
        <v>A0184285</v>
      </c>
      <c r="D5173" t="s">
        <v>20732</v>
      </c>
      <c r="E5173" t="s">
        <v>20733</v>
      </c>
      <c r="F5173" t="s">
        <v>6270</v>
      </c>
      <c r="G5173" t="s">
        <v>71</v>
      </c>
      <c r="H5173" t="s">
        <v>20734</v>
      </c>
      <c r="I5173" t="s">
        <v>30</v>
      </c>
      <c r="J5173" t="s">
        <v>41</v>
      </c>
      <c r="K5173" t="s">
        <v>59</v>
      </c>
      <c r="Q5173">
        <v>0</v>
      </c>
      <c r="R5173">
        <v>0</v>
      </c>
      <c r="S5173">
        <v>0</v>
      </c>
      <c r="T5173" t="s">
        <v>20735</v>
      </c>
    </row>
    <row r="5174" spans="1:20" customFormat="1" ht="15" x14ac:dyDescent="0.25">
      <c r="A5174" t="s">
        <v>35</v>
      </c>
      <c r="B5174" t="s">
        <v>20322</v>
      </c>
      <c r="C5174" t="str">
        <f>"A0184284"</f>
        <v>A0184284</v>
      </c>
      <c r="D5174" t="s">
        <v>20736</v>
      </c>
      <c r="E5174" t="s">
        <v>20737</v>
      </c>
      <c r="F5174" t="s">
        <v>11884</v>
      </c>
      <c r="G5174" t="s">
        <v>71</v>
      </c>
      <c r="H5174">
        <v>549024155</v>
      </c>
      <c r="I5174" t="s">
        <v>30</v>
      </c>
      <c r="J5174" t="s">
        <v>41</v>
      </c>
      <c r="K5174" t="s">
        <v>59</v>
      </c>
      <c r="Q5174">
        <v>0</v>
      </c>
      <c r="R5174">
        <v>0</v>
      </c>
      <c r="S5174">
        <v>0</v>
      </c>
      <c r="T5174" t="s">
        <v>20325</v>
      </c>
    </row>
    <row r="5175" spans="1:20" customFormat="1" ht="15" x14ac:dyDescent="0.25">
      <c r="A5175" t="s">
        <v>35</v>
      </c>
      <c r="B5175" t="s">
        <v>61</v>
      </c>
      <c r="C5175" t="str">
        <f>"A0184283"</f>
        <v>A0184283</v>
      </c>
      <c r="D5175" t="s">
        <v>20738</v>
      </c>
      <c r="E5175" t="s">
        <v>3417</v>
      </c>
      <c r="F5175" t="s">
        <v>3418</v>
      </c>
      <c r="G5175" t="s">
        <v>71</v>
      </c>
      <c r="H5175" t="s">
        <v>3419</v>
      </c>
      <c r="I5175" t="s">
        <v>30</v>
      </c>
      <c r="J5175" t="s">
        <v>41</v>
      </c>
      <c r="K5175" t="s">
        <v>59</v>
      </c>
      <c r="Q5175">
        <v>0</v>
      </c>
      <c r="R5175">
        <v>0</v>
      </c>
      <c r="S5175">
        <v>0</v>
      </c>
      <c r="T5175" t="s">
        <v>3420</v>
      </c>
    </row>
    <row r="5176" spans="1:20" customFormat="1" ht="15" x14ac:dyDescent="0.25">
      <c r="A5176" t="s">
        <v>35</v>
      </c>
      <c r="B5176" t="s">
        <v>61</v>
      </c>
      <c r="C5176" t="str">
        <f>"A0184282"</f>
        <v>A0184282</v>
      </c>
      <c r="D5176" t="s">
        <v>20739</v>
      </c>
      <c r="E5176" t="s">
        <v>20740</v>
      </c>
      <c r="F5176" t="s">
        <v>4112</v>
      </c>
      <c r="G5176" t="s">
        <v>71</v>
      </c>
      <c r="H5176" t="s">
        <v>20741</v>
      </c>
      <c r="I5176" t="s">
        <v>30</v>
      </c>
      <c r="J5176" t="s">
        <v>41</v>
      </c>
      <c r="K5176" t="s">
        <v>59</v>
      </c>
      <c r="Q5176">
        <v>0</v>
      </c>
      <c r="R5176">
        <v>74</v>
      </c>
      <c r="S5176">
        <v>74</v>
      </c>
      <c r="T5176" t="s">
        <v>20742</v>
      </c>
    </row>
    <row r="5177" spans="1:20" customFormat="1" ht="15" x14ac:dyDescent="0.25">
      <c r="A5177" t="s">
        <v>35</v>
      </c>
      <c r="B5177" t="s">
        <v>61</v>
      </c>
      <c r="C5177" t="str">
        <f>"A0184281"</f>
        <v>A0184281</v>
      </c>
      <c r="D5177" t="s">
        <v>20743</v>
      </c>
      <c r="E5177" t="s">
        <v>20744</v>
      </c>
      <c r="F5177" t="s">
        <v>10262</v>
      </c>
      <c r="G5177" t="s">
        <v>71</v>
      </c>
      <c r="H5177">
        <v>54143</v>
      </c>
      <c r="I5177" t="s">
        <v>30</v>
      </c>
      <c r="J5177" t="s">
        <v>41</v>
      </c>
      <c r="K5177" t="s">
        <v>59</v>
      </c>
      <c r="Q5177">
        <v>0</v>
      </c>
      <c r="R5177">
        <v>0</v>
      </c>
      <c r="S5177">
        <v>0</v>
      </c>
    </row>
    <row r="5178" spans="1:20" customFormat="1" ht="15" x14ac:dyDescent="0.25">
      <c r="A5178" t="s">
        <v>35</v>
      </c>
      <c r="B5178" t="s">
        <v>61</v>
      </c>
      <c r="C5178" t="str">
        <f>"A0184280"</f>
        <v>A0184280</v>
      </c>
      <c r="D5178" t="s">
        <v>20745</v>
      </c>
      <c r="E5178" t="s">
        <v>20746</v>
      </c>
      <c r="F5178" t="s">
        <v>10262</v>
      </c>
      <c r="G5178" t="s">
        <v>71</v>
      </c>
      <c r="H5178" t="s">
        <v>20747</v>
      </c>
      <c r="I5178" t="s">
        <v>30</v>
      </c>
      <c r="J5178" t="s">
        <v>41</v>
      </c>
      <c r="K5178" t="s">
        <v>59</v>
      </c>
      <c r="Q5178">
        <v>0</v>
      </c>
      <c r="R5178">
        <v>0</v>
      </c>
      <c r="S5178">
        <v>0</v>
      </c>
      <c r="T5178" t="s">
        <v>20748</v>
      </c>
    </row>
    <row r="5179" spans="1:20" customFormat="1" ht="15" x14ac:dyDescent="0.25">
      <c r="A5179" t="s">
        <v>35</v>
      </c>
      <c r="B5179" t="s">
        <v>61</v>
      </c>
      <c r="C5179" t="str">
        <f>"A0184279"</f>
        <v>A0184279</v>
      </c>
      <c r="D5179" t="s">
        <v>20749</v>
      </c>
      <c r="E5179" t="s">
        <v>20750</v>
      </c>
      <c r="F5179" t="s">
        <v>20751</v>
      </c>
      <c r="G5179" t="s">
        <v>289</v>
      </c>
      <c r="H5179" t="s">
        <v>20752</v>
      </c>
      <c r="I5179" t="s">
        <v>30</v>
      </c>
      <c r="J5179" t="s">
        <v>41</v>
      </c>
      <c r="K5179" t="s">
        <v>59</v>
      </c>
      <c r="Q5179">
        <v>0</v>
      </c>
      <c r="R5179">
        <v>172</v>
      </c>
      <c r="S5179">
        <v>172</v>
      </c>
      <c r="T5179" t="s">
        <v>20753</v>
      </c>
    </row>
    <row r="5180" spans="1:20" customFormat="1" ht="15" x14ac:dyDescent="0.25">
      <c r="A5180" t="s">
        <v>35</v>
      </c>
      <c r="B5180" t="s">
        <v>61</v>
      </c>
      <c r="C5180" t="str">
        <f>"A0184278"</f>
        <v>A0184278</v>
      </c>
      <c r="D5180" t="s">
        <v>20754</v>
      </c>
      <c r="E5180" t="s">
        <v>20755</v>
      </c>
      <c r="F5180" t="s">
        <v>504</v>
      </c>
      <c r="G5180" t="s">
        <v>71</v>
      </c>
      <c r="H5180" t="s">
        <v>20756</v>
      </c>
      <c r="I5180" t="s">
        <v>30</v>
      </c>
      <c r="J5180" t="s">
        <v>41</v>
      </c>
      <c r="K5180" t="s">
        <v>59</v>
      </c>
      <c r="Q5180">
        <v>0</v>
      </c>
      <c r="R5180">
        <v>27</v>
      </c>
      <c r="S5180">
        <v>27</v>
      </c>
      <c r="T5180" t="s">
        <v>20757</v>
      </c>
    </row>
    <row r="5181" spans="1:20" customFormat="1" ht="15" x14ac:dyDescent="0.25">
      <c r="A5181" t="s">
        <v>35</v>
      </c>
      <c r="B5181" t="s">
        <v>61</v>
      </c>
      <c r="C5181" t="str">
        <f>"A0184277"</f>
        <v>A0184277</v>
      </c>
      <c r="D5181" t="s">
        <v>20363</v>
      </c>
      <c r="E5181" t="s">
        <v>20758</v>
      </c>
      <c r="F5181" t="s">
        <v>20348</v>
      </c>
      <c r="G5181" t="s">
        <v>71</v>
      </c>
      <c r="H5181" t="s">
        <v>20759</v>
      </c>
      <c r="I5181" t="s">
        <v>30</v>
      </c>
      <c r="J5181" t="s">
        <v>41</v>
      </c>
      <c r="K5181" t="s">
        <v>59</v>
      </c>
      <c r="Q5181">
        <v>0</v>
      </c>
      <c r="R5181">
        <v>217</v>
      </c>
      <c r="S5181">
        <v>217</v>
      </c>
      <c r="T5181" t="s">
        <v>20760</v>
      </c>
    </row>
    <row r="5182" spans="1:20" customFormat="1" ht="15" x14ac:dyDescent="0.25">
      <c r="A5182" t="s">
        <v>35</v>
      </c>
      <c r="B5182" t="s">
        <v>61</v>
      </c>
      <c r="C5182" t="str">
        <f>"A0184276"</f>
        <v>A0184276</v>
      </c>
      <c r="D5182" t="s">
        <v>20761</v>
      </c>
      <c r="E5182" t="s">
        <v>20762</v>
      </c>
      <c r="F5182" t="s">
        <v>12497</v>
      </c>
      <c r="G5182" t="s">
        <v>71</v>
      </c>
      <c r="H5182" t="s">
        <v>20763</v>
      </c>
      <c r="I5182" t="s">
        <v>30</v>
      </c>
      <c r="J5182" t="s">
        <v>41</v>
      </c>
      <c r="K5182" t="s">
        <v>59</v>
      </c>
      <c r="Q5182">
        <v>0</v>
      </c>
      <c r="R5182">
        <v>0</v>
      </c>
      <c r="S5182">
        <v>0</v>
      </c>
    </row>
    <row r="5183" spans="1:20" customFormat="1" ht="15" x14ac:dyDescent="0.25">
      <c r="A5183" t="s">
        <v>35</v>
      </c>
      <c r="B5183" t="s">
        <v>61</v>
      </c>
      <c r="C5183" t="str">
        <f>"A0184275"</f>
        <v>A0184275</v>
      </c>
      <c r="D5183" t="s">
        <v>20764</v>
      </c>
      <c r="E5183" t="s">
        <v>20765</v>
      </c>
      <c r="F5183" t="s">
        <v>1373</v>
      </c>
      <c r="G5183" t="s">
        <v>71</v>
      </c>
      <c r="H5183">
        <v>53705</v>
      </c>
      <c r="I5183" t="s">
        <v>30</v>
      </c>
      <c r="J5183" t="s">
        <v>41</v>
      </c>
      <c r="K5183" t="s">
        <v>59</v>
      </c>
      <c r="Q5183">
        <v>0</v>
      </c>
      <c r="R5183">
        <v>0</v>
      </c>
      <c r="S5183">
        <v>0</v>
      </c>
      <c r="T5183" t="s">
        <v>20576</v>
      </c>
    </row>
    <row r="5184" spans="1:20" customFormat="1" ht="15" x14ac:dyDescent="0.25">
      <c r="A5184" t="s">
        <v>35</v>
      </c>
      <c r="B5184" t="s">
        <v>61</v>
      </c>
      <c r="C5184" t="str">
        <f>"A0184274"</f>
        <v>A0184274</v>
      </c>
      <c r="D5184" t="s">
        <v>20766</v>
      </c>
      <c r="E5184" t="s">
        <v>20767</v>
      </c>
      <c r="F5184" t="s">
        <v>635</v>
      </c>
      <c r="G5184" t="s">
        <v>71</v>
      </c>
      <c r="H5184" t="s">
        <v>20768</v>
      </c>
      <c r="I5184" t="s">
        <v>30</v>
      </c>
      <c r="J5184" t="s">
        <v>41</v>
      </c>
      <c r="K5184" t="s">
        <v>59</v>
      </c>
      <c r="Q5184">
        <v>0</v>
      </c>
      <c r="R5184">
        <v>0</v>
      </c>
      <c r="S5184">
        <v>0</v>
      </c>
      <c r="T5184" t="s">
        <v>20425</v>
      </c>
    </row>
    <row r="5185" spans="1:20" customFormat="1" ht="15" x14ac:dyDescent="0.25">
      <c r="A5185" t="s">
        <v>35</v>
      </c>
      <c r="B5185" t="s">
        <v>61</v>
      </c>
      <c r="C5185" t="str">
        <f>"A0184273"</f>
        <v>A0184273</v>
      </c>
      <c r="D5185" t="s">
        <v>20769</v>
      </c>
      <c r="E5185" t="s">
        <v>11034</v>
      </c>
      <c r="F5185" t="s">
        <v>11035</v>
      </c>
      <c r="G5185" t="s">
        <v>71</v>
      </c>
      <c r="H5185" t="s">
        <v>11036</v>
      </c>
      <c r="I5185" t="s">
        <v>30</v>
      </c>
      <c r="J5185" t="s">
        <v>41</v>
      </c>
      <c r="K5185" t="s">
        <v>59</v>
      </c>
      <c r="Q5185">
        <v>0</v>
      </c>
      <c r="R5185">
        <v>0</v>
      </c>
      <c r="S5185">
        <v>0</v>
      </c>
      <c r="T5185" t="s">
        <v>11037</v>
      </c>
    </row>
    <row r="5186" spans="1:20" customFormat="1" ht="15" x14ac:dyDescent="0.25">
      <c r="A5186" t="s">
        <v>35</v>
      </c>
      <c r="B5186" t="s">
        <v>61</v>
      </c>
      <c r="C5186" t="str">
        <f>"A0184272"</f>
        <v>A0184272</v>
      </c>
      <c r="D5186" t="s">
        <v>20363</v>
      </c>
      <c r="E5186" t="s">
        <v>20770</v>
      </c>
      <c r="F5186" t="s">
        <v>20771</v>
      </c>
      <c r="G5186" t="s">
        <v>71</v>
      </c>
      <c r="H5186" t="s">
        <v>20772</v>
      </c>
      <c r="I5186" t="s">
        <v>30</v>
      </c>
      <c r="J5186" t="s">
        <v>41</v>
      </c>
      <c r="K5186" t="s">
        <v>59</v>
      </c>
      <c r="Q5186">
        <v>0</v>
      </c>
      <c r="R5186">
        <v>0</v>
      </c>
      <c r="S5186">
        <v>0</v>
      </c>
      <c r="T5186" t="s">
        <v>20366</v>
      </c>
    </row>
    <row r="5187" spans="1:20" customFormat="1" ht="15" x14ac:dyDescent="0.25">
      <c r="A5187" t="s">
        <v>35</v>
      </c>
      <c r="B5187" t="s">
        <v>61</v>
      </c>
      <c r="C5187" t="str">
        <f>"A0184271"</f>
        <v>A0184271</v>
      </c>
      <c r="D5187" t="s">
        <v>19636</v>
      </c>
      <c r="E5187" t="s">
        <v>20773</v>
      </c>
      <c r="F5187" t="s">
        <v>12497</v>
      </c>
      <c r="G5187" t="s">
        <v>71</v>
      </c>
      <c r="H5187" t="s">
        <v>19638</v>
      </c>
      <c r="I5187" t="s">
        <v>30</v>
      </c>
      <c r="J5187" t="s">
        <v>41</v>
      </c>
      <c r="K5187" t="s">
        <v>59</v>
      </c>
      <c r="Q5187">
        <v>0</v>
      </c>
      <c r="R5187">
        <v>102</v>
      </c>
      <c r="S5187">
        <v>102</v>
      </c>
      <c r="T5187" t="s">
        <v>19639</v>
      </c>
    </row>
    <row r="5188" spans="1:20" customFormat="1" ht="15" x14ac:dyDescent="0.25">
      <c r="A5188" t="s">
        <v>35</v>
      </c>
      <c r="B5188" t="s">
        <v>61</v>
      </c>
      <c r="C5188" t="str">
        <f>"A0184270"</f>
        <v>A0184270</v>
      </c>
      <c r="D5188" t="s">
        <v>20774</v>
      </c>
      <c r="E5188" t="s">
        <v>20775</v>
      </c>
      <c r="F5188" t="s">
        <v>10262</v>
      </c>
      <c r="G5188" t="s">
        <v>71</v>
      </c>
      <c r="H5188">
        <v>54143</v>
      </c>
      <c r="I5188" t="s">
        <v>30</v>
      </c>
      <c r="J5188" t="s">
        <v>41</v>
      </c>
      <c r="K5188" t="s">
        <v>59</v>
      </c>
      <c r="Q5188">
        <v>0</v>
      </c>
      <c r="R5188">
        <v>0</v>
      </c>
      <c r="S5188">
        <v>0</v>
      </c>
      <c r="T5188" t="s">
        <v>20776</v>
      </c>
    </row>
    <row r="5189" spans="1:20" customFormat="1" ht="15" x14ac:dyDescent="0.25">
      <c r="A5189" t="s">
        <v>35</v>
      </c>
      <c r="B5189" t="s">
        <v>61</v>
      </c>
      <c r="C5189" t="str">
        <f>"A0184269"</f>
        <v>A0184269</v>
      </c>
      <c r="D5189" t="s">
        <v>20777</v>
      </c>
      <c r="E5189" t="s">
        <v>20778</v>
      </c>
      <c r="F5189" t="s">
        <v>3339</v>
      </c>
      <c r="G5189" t="s">
        <v>71</v>
      </c>
      <c r="H5189">
        <v>53098</v>
      </c>
      <c r="I5189" t="s">
        <v>30</v>
      </c>
      <c r="J5189" t="s">
        <v>41</v>
      </c>
      <c r="K5189" t="s">
        <v>59</v>
      </c>
      <c r="Q5189">
        <v>0</v>
      </c>
      <c r="R5189">
        <v>188</v>
      </c>
      <c r="S5189">
        <v>188</v>
      </c>
      <c r="T5189" t="s">
        <v>11043</v>
      </c>
    </row>
    <row r="5190" spans="1:20" customFormat="1" ht="15" x14ac:dyDescent="0.25">
      <c r="A5190" t="s">
        <v>35</v>
      </c>
      <c r="B5190" t="s">
        <v>61</v>
      </c>
      <c r="C5190" t="str">
        <f>"A0184268"</f>
        <v>A0184268</v>
      </c>
      <c r="D5190" t="s">
        <v>20779</v>
      </c>
      <c r="E5190" t="s">
        <v>20780</v>
      </c>
      <c r="F5190" t="s">
        <v>12629</v>
      </c>
      <c r="G5190" t="s">
        <v>52</v>
      </c>
      <c r="H5190" t="s">
        <v>20781</v>
      </c>
      <c r="I5190" t="s">
        <v>30</v>
      </c>
      <c r="J5190" t="s">
        <v>41</v>
      </c>
      <c r="K5190" t="s">
        <v>59</v>
      </c>
      <c r="Q5190">
        <v>0</v>
      </c>
      <c r="R5190">
        <v>0</v>
      </c>
      <c r="S5190">
        <v>0</v>
      </c>
    </row>
    <row r="5191" spans="1:20" customFormat="1" ht="15" x14ac:dyDescent="0.25">
      <c r="A5191" t="s">
        <v>35</v>
      </c>
      <c r="B5191" t="s">
        <v>61</v>
      </c>
      <c r="C5191" t="str">
        <f>"A0184267"</f>
        <v>A0184267</v>
      </c>
      <c r="D5191" t="s">
        <v>20782</v>
      </c>
      <c r="E5191" t="s">
        <v>20783</v>
      </c>
      <c r="F5191" t="s">
        <v>5240</v>
      </c>
      <c r="G5191" t="s">
        <v>52</v>
      </c>
      <c r="H5191" t="s">
        <v>20784</v>
      </c>
      <c r="I5191" t="s">
        <v>30</v>
      </c>
      <c r="J5191" t="s">
        <v>41</v>
      </c>
      <c r="K5191" t="s">
        <v>59</v>
      </c>
      <c r="Q5191">
        <v>0</v>
      </c>
      <c r="R5191">
        <v>0</v>
      </c>
      <c r="S5191">
        <v>0</v>
      </c>
    </row>
    <row r="5192" spans="1:20" customFormat="1" ht="15" x14ac:dyDescent="0.25">
      <c r="A5192" t="s">
        <v>35</v>
      </c>
      <c r="B5192" t="s">
        <v>61</v>
      </c>
      <c r="C5192" t="str">
        <f>"A0184265"</f>
        <v>A0184265</v>
      </c>
      <c r="D5192" t="s">
        <v>20785</v>
      </c>
      <c r="E5192" t="s">
        <v>7618</v>
      </c>
      <c r="F5192" t="s">
        <v>7619</v>
      </c>
      <c r="G5192" t="s">
        <v>71</v>
      </c>
      <c r="H5192" t="s">
        <v>20786</v>
      </c>
      <c r="I5192" t="s">
        <v>30</v>
      </c>
      <c r="J5192" t="s">
        <v>41</v>
      </c>
      <c r="K5192" t="s">
        <v>59</v>
      </c>
      <c r="Q5192">
        <v>0</v>
      </c>
      <c r="R5192">
        <v>243</v>
      </c>
      <c r="S5192">
        <v>243</v>
      </c>
    </row>
    <row r="5193" spans="1:20" customFormat="1" ht="15" x14ac:dyDescent="0.25">
      <c r="A5193" t="s">
        <v>35</v>
      </c>
      <c r="B5193" t="s">
        <v>61</v>
      </c>
      <c r="C5193" t="str">
        <f>"A0184264"</f>
        <v>A0184264</v>
      </c>
      <c r="D5193" t="s">
        <v>20787</v>
      </c>
      <c r="E5193" t="s">
        <v>20788</v>
      </c>
      <c r="F5193" t="s">
        <v>9205</v>
      </c>
      <c r="G5193" t="s">
        <v>289</v>
      </c>
      <c r="H5193" t="s">
        <v>20789</v>
      </c>
      <c r="I5193" t="s">
        <v>30</v>
      </c>
      <c r="J5193" t="s">
        <v>41</v>
      </c>
      <c r="K5193" t="s">
        <v>59</v>
      </c>
      <c r="Q5193">
        <v>0</v>
      </c>
      <c r="R5193">
        <v>0</v>
      </c>
      <c r="S5193">
        <v>0</v>
      </c>
      <c r="T5193" t="s">
        <v>20790</v>
      </c>
    </row>
    <row r="5194" spans="1:20" customFormat="1" ht="15" x14ac:dyDescent="0.25">
      <c r="A5194" t="s">
        <v>35</v>
      </c>
      <c r="B5194" t="s">
        <v>61</v>
      </c>
      <c r="C5194" t="str">
        <f>"A0184263"</f>
        <v>A0184263</v>
      </c>
      <c r="D5194" t="s">
        <v>20791</v>
      </c>
      <c r="E5194" t="s">
        <v>20792</v>
      </c>
      <c r="F5194" t="s">
        <v>6723</v>
      </c>
      <c r="G5194" t="s">
        <v>289</v>
      </c>
      <c r="H5194" t="s">
        <v>20793</v>
      </c>
      <c r="I5194" t="s">
        <v>30</v>
      </c>
      <c r="J5194" t="s">
        <v>41</v>
      </c>
      <c r="K5194" t="s">
        <v>59</v>
      </c>
      <c r="Q5194">
        <v>0</v>
      </c>
      <c r="R5194">
        <v>0</v>
      </c>
      <c r="S5194">
        <v>0</v>
      </c>
      <c r="T5194" t="s">
        <v>20794</v>
      </c>
    </row>
    <row r="5195" spans="1:20" customFormat="1" ht="15" x14ac:dyDescent="0.25">
      <c r="A5195" t="s">
        <v>35</v>
      </c>
      <c r="B5195" t="s">
        <v>61</v>
      </c>
      <c r="C5195" t="str">
        <f>"A0184262"</f>
        <v>A0184262</v>
      </c>
      <c r="D5195" t="s">
        <v>20795</v>
      </c>
      <c r="E5195" t="s">
        <v>20796</v>
      </c>
      <c r="F5195" t="s">
        <v>288</v>
      </c>
      <c r="G5195" t="s">
        <v>289</v>
      </c>
      <c r="H5195" t="s">
        <v>20797</v>
      </c>
      <c r="I5195" t="s">
        <v>30</v>
      </c>
      <c r="J5195" t="s">
        <v>41</v>
      </c>
      <c r="K5195" t="s">
        <v>59</v>
      </c>
      <c r="Q5195">
        <v>0</v>
      </c>
      <c r="R5195">
        <v>38</v>
      </c>
      <c r="S5195">
        <v>38</v>
      </c>
      <c r="T5195" t="s">
        <v>20798</v>
      </c>
    </row>
    <row r="5196" spans="1:20" customFormat="1" ht="15" x14ac:dyDescent="0.25">
      <c r="A5196" t="s">
        <v>35</v>
      </c>
      <c r="B5196" t="s">
        <v>61</v>
      </c>
      <c r="C5196" t="str">
        <f>"A0184261"</f>
        <v>A0184261</v>
      </c>
      <c r="D5196" t="s">
        <v>20799</v>
      </c>
      <c r="E5196" t="s">
        <v>20800</v>
      </c>
      <c r="F5196" t="s">
        <v>20801</v>
      </c>
      <c r="G5196" t="s">
        <v>81</v>
      </c>
      <c r="H5196" t="s">
        <v>20802</v>
      </c>
      <c r="I5196" t="s">
        <v>30</v>
      </c>
      <c r="J5196" t="s">
        <v>41</v>
      </c>
      <c r="K5196" t="s">
        <v>59</v>
      </c>
      <c r="Q5196">
        <v>0</v>
      </c>
      <c r="R5196">
        <v>0</v>
      </c>
      <c r="S5196">
        <v>0</v>
      </c>
    </row>
    <row r="5197" spans="1:20" customFormat="1" ht="15" x14ac:dyDescent="0.25">
      <c r="A5197" t="s">
        <v>35</v>
      </c>
      <c r="B5197" t="s">
        <v>11871</v>
      </c>
      <c r="C5197" t="str">
        <f>"A0184260"</f>
        <v>A0184260</v>
      </c>
      <c r="D5197" t="s">
        <v>20803</v>
      </c>
      <c r="E5197" t="s">
        <v>20804</v>
      </c>
      <c r="F5197" t="s">
        <v>2774</v>
      </c>
      <c r="G5197" t="s">
        <v>81</v>
      </c>
      <c r="H5197" t="s">
        <v>20805</v>
      </c>
      <c r="I5197" t="s">
        <v>30</v>
      </c>
      <c r="J5197" t="s">
        <v>41</v>
      </c>
      <c r="K5197" t="s">
        <v>59</v>
      </c>
      <c r="Q5197">
        <v>0</v>
      </c>
      <c r="R5197">
        <v>0</v>
      </c>
      <c r="S5197">
        <v>0</v>
      </c>
      <c r="T5197" t="s">
        <v>20806</v>
      </c>
    </row>
    <row r="5198" spans="1:20" customFormat="1" ht="15" x14ac:dyDescent="0.25">
      <c r="A5198" t="s">
        <v>35</v>
      </c>
      <c r="B5198" t="s">
        <v>61</v>
      </c>
      <c r="C5198" t="str">
        <f>"A0184259"</f>
        <v>A0184259</v>
      </c>
      <c r="D5198" t="s">
        <v>20807</v>
      </c>
      <c r="E5198" t="s">
        <v>20808</v>
      </c>
      <c r="F5198" t="s">
        <v>6645</v>
      </c>
      <c r="G5198" t="s">
        <v>81</v>
      </c>
      <c r="H5198" t="s">
        <v>20809</v>
      </c>
      <c r="I5198" t="s">
        <v>30</v>
      </c>
      <c r="J5198" t="s">
        <v>41</v>
      </c>
      <c r="K5198" t="s">
        <v>59</v>
      </c>
      <c r="Q5198">
        <v>0</v>
      </c>
      <c r="R5198">
        <v>0</v>
      </c>
      <c r="S5198">
        <v>0</v>
      </c>
      <c r="T5198" t="s">
        <v>20810</v>
      </c>
    </row>
    <row r="5199" spans="1:20" customFormat="1" ht="15" x14ac:dyDescent="0.25">
      <c r="A5199" t="s">
        <v>35</v>
      </c>
      <c r="B5199" t="s">
        <v>61</v>
      </c>
      <c r="C5199" t="str">
        <f>"A0184258"</f>
        <v>A0184258</v>
      </c>
      <c r="D5199" t="s">
        <v>20811</v>
      </c>
      <c r="E5199" t="s">
        <v>20812</v>
      </c>
      <c r="F5199" t="s">
        <v>20813</v>
      </c>
      <c r="G5199" t="s">
        <v>81</v>
      </c>
      <c r="H5199" t="s">
        <v>20814</v>
      </c>
      <c r="I5199" t="s">
        <v>30</v>
      </c>
      <c r="J5199" t="s">
        <v>41</v>
      </c>
      <c r="K5199" t="s">
        <v>59</v>
      </c>
      <c r="Q5199">
        <v>0</v>
      </c>
      <c r="R5199">
        <v>0</v>
      </c>
      <c r="S5199">
        <v>0</v>
      </c>
      <c r="T5199" t="s">
        <v>20815</v>
      </c>
    </row>
    <row r="5200" spans="1:20" customFormat="1" ht="15" x14ac:dyDescent="0.25">
      <c r="A5200" t="s">
        <v>35</v>
      </c>
      <c r="B5200" t="s">
        <v>12660</v>
      </c>
      <c r="C5200" t="str">
        <f>"A0184257"</f>
        <v>A0184257</v>
      </c>
      <c r="D5200" t="s">
        <v>20816</v>
      </c>
      <c r="E5200" t="s">
        <v>20817</v>
      </c>
      <c r="F5200" t="s">
        <v>12489</v>
      </c>
      <c r="G5200" t="s">
        <v>110</v>
      </c>
      <c r="H5200">
        <v>960033862</v>
      </c>
      <c r="I5200" t="s">
        <v>30</v>
      </c>
      <c r="J5200" t="s">
        <v>41</v>
      </c>
      <c r="K5200" t="s">
        <v>59</v>
      </c>
      <c r="Q5200">
        <v>0</v>
      </c>
      <c r="R5200">
        <v>0</v>
      </c>
      <c r="S5200">
        <v>0</v>
      </c>
      <c r="T5200" t="s">
        <v>20818</v>
      </c>
    </row>
    <row r="5201" spans="1:20" customFormat="1" ht="15" x14ac:dyDescent="0.25">
      <c r="A5201" t="s">
        <v>35</v>
      </c>
      <c r="B5201" t="s">
        <v>61</v>
      </c>
      <c r="C5201" t="str">
        <f>"A0184256"</f>
        <v>A0184256</v>
      </c>
      <c r="D5201" t="s">
        <v>20819</v>
      </c>
      <c r="E5201" t="s">
        <v>20820</v>
      </c>
      <c r="F5201" t="s">
        <v>20821</v>
      </c>
      <c r="G5201" t="s">
        <v>289</v>
      </c>
      <c r="H5201" t="s">
        <v>20822</v>
      </c>
      <c r="I5201" t="s">
        <v>30</v>
      </c>
      <c r="J5201" t="s">
        <v>41</v>
      </c>
      <c r="K5201" t="s">
        <v>59</v>
      </c>
      <c r="Q5201">
        <v>0</v>
      </c>
      <c r="R5201">
        <v>182</v>
      </c>
      <c r="S5201">
        <v>182</v>
      </c>
      <c r="T5201" t="s">
        <v>20823</v>
      </c>
    </row>
    <row r="5202" spans="1:20" customFormat="1" ht="15" x14ac:dyDescent="0.25">
      <c r="A5202" t="s">
        <v>35</v>
      </c>
      <c r="B5202" t="s">
        <v>61</v>
      </c>
      <c r="C5202" t="str">
        <f>"A0184255"</f>
        <v>A0184255</v>
      </c>
      <c r="D5202" t="s">
        <v>20824</v>
      </c>
      <c r="E5202" t="s">
        <v>20825</v>
      </c>
      <c r="F5202" t="s">
        <v>6409</v>
      </c>
      <c r="G5202" t="s">
        <v>110</v>
      </c>
      <c r="H5202">
        <v>945466900</v>
      </c>
      <c r="I5202" t="s">
        <v>30</v>
      </c>
      <c r="J5202" t="s">
        <v>41</v>
      </c>
      <c r="K5202" t="s">
        <v>59</v>
      </c>
      <c r="Q5202">
        <v>0</v>
      </c>
      <c r="R5202">
        <v>58</v>
      </c>
      <c r="S5202">
        <v>58</v>
      </c>
      <c r="T5202" t="s">
        <v>20826</v>
      </c>
    </row>
    <row r="5203" spans="1:20" customFormat="1" ht="15" x14ac:dyDescent="0.25">
      <c r="A5203" t="s">
        <v>35</v>
      </c>
      <c r="B5203" t="s">
        <v>61</v>
      </c>
      <c r="C5203" t="str">
        <f>"A0184254"</f>
        <v>A0184254</v>
      </c>
      <c r="D5203" t="s">
        <v>20827</v>
      </c>
      <c r="E5203" t="s">
        <v>20828</v>
      </c>
      <c r="F5203" t="s">
        <v>20829</v>
      </c>
      <c r="G5203" t="s">
        <v>110</v>
      </c>
      <c r="H5203" t="s">
        <v>20830</v>
      </c>
      <c r="I5203" t="s">
        <v>30</v>
      </c>
      <c r="J5203" t="s">
        <v>41</v>
      </c>
      <c r="K5203" t="s">
        <v>59</v>
      </c>
      <c r="Q5203">
        <v>0</v>
      </c>
      <c r="R5203">
        <v>0</v>
      </c>
      <c r="S5203">
        <v>0</v>
      </c>
      <c r="T5203" t="s">
        <v>20831</v>
      </c>
    </row>
    <row r="5204" spans="1:20" customFormat="1" ht="15" x14ac:dyDescent="0.25">
      <c r="A5204" t="s">
        <v>35</v>
      </c>
      <c r="B5204" t="s">
        <v>61</v>
      </c>
      <c r="C5204" t="str">
        <f>"A0184253"</f>
        <v>A0184253</v>
      </c>
      <c r="D5204" t="s">
        <v>20832</v>
      </c>
      <c r="E5204" t="s">
        <v>20833</v>
      </c>
      <c r="F5204" t="s">
        <v>12392</v>
      </c>
      <c r="G5204" t="s">
        <v>52</v>
      </c>
      <c r="H5204" t="s">
        <v>20834</v>
      </c>
      <c r="I5204" t="s">
        <v>30</v>
      </c>
      <c r="J5204" t="s">
        <v>41</v>
      </c>
      <c r="K5204" t="s">
        <v>59</v>
      </c>
      <c r="Q5204">
        <v>0</v>
      </c>
      <c r="R5204">
        <v>0</v>
      </c>
      <c r="S5204">
        <v>0</v>
      </c>
    </row>
    <row r="5205" spans="1:20" customFormat="1" ht="15" x14ac:dyDescent="0.25">
      <c r="A5205" t="s">
        <v>35</v>
      </c>
      <c r="B5205" t="s">
        <v>61</v>
      </c>
      <c r="C5205" t="str">
        <f>"A0184252"</f>
        <v>A0184252</v>
      </c>
      <c r="D5205" t="s">
        <v>20835</v>
      </c>
      <c r="E5205" t="s">
        <v>20836</v>
      </c>
      <c r="F5205" t="s">
        <v>20837</v>
      </c>
      <c r="G5205" t="s">
        <v>52</v>
      </c>
      <c r="H5205" t="s">
        <v>20838</v>
      </c>
      <c r="I5205" t="s">
        <v>30</v>
      </c>
      <c r="J5205" t="s">
        <v>41</v>
      </c>
      <c r="K5205" t="s">
        <v>59</v>
      </c>
      <c r="Q5205">
        <v>0</v>
      </c>
      <c r="R5205">
        <v>0</v>
      </c>
      <c r="S5205">
        <v>0</v>
      </c>
      <c r="T5205" t="s">
        <v>20839</v>
      </c>
    </row>
    <row r="5206" spans="1:20" customFormat="1" ht="15" x14ac:dyDescent="0.25">
      <c r="A5206" t="s">
        <v>35</v>
      </c>
      <c r="B5206" t="s">
        <v>61</v>
      </c>
      <c r="C5206" t="str">
        <f>"A0184251"</f>
        <v>A0184251</v>
      </c>
      <c r="D5206" t="s">
        <v>20840</v>
      </c>
      <c r="E5206" t="s">
        <v>20841</v>
      </c>
      <c r="F5206" t="s">
        <v>20842</v>
      </c>
      <c r="G5206" t="s">
        <v>289</v>
      </c>
      <c r="H5206" t="s">
        <v>20843</v>
      </c>
      <c r="I5206" t="s">
        <v>30</v>
      </c>
      <c r="J5206" t="s">
        <v>41</v>
      </c>
      <c r="K5206" t="s">
        <v>59</v>
      </c>
      <c r="Q5206">
        <v>0</v>
      </c>
      <c r="R5206">
        <v>160</v>
      </c>
      <c r="S5206">
        <v>160</v>
      </c>
      <c r="T5206" t="s">
        <v>20844</v>
      </c>
    </row>
    <row r="5207" spans="1:20" customFormat="1" ht="15" x14ac:dyDescent="0.25">
      <c r="A5207" t="s">
        <v>35</v>
      </c>
      <c r="B5207" t="s">
        <v>61</v>
      </c>
      <c r="C5207" t="str">
        <f>"A0184249"</f>
        <v>A0184249</v>
      </c>
      <c r="D5207" t="s">
        <v>20845</v>
      </c>
      <c r="E5207" t="s">
        <v>20846</v>
      </c>
      <c r="F5207" t="s">
        <v>20847</v>
      </c>
      <c r="G5207" t="s">
        <v>289</v>
      </c>
      <c r="H5207" t="s">
        <v>20848</v>
      </c>
      <c r="I5207" t="s">
        <v>30</v>
      </c>
      <c r="J5207" t="s">
        <v>41</v>
      </c>
      <c r="K5207" t="s">
        <v>59</v>
      </c>
      <c r="Q5207">
        <v>0</v>
      </c>
      <c r="R5207">
        <v>159</v>
      </c>
      <c r="S5207">
        <v>159</v>
      </c>
      <c r="T5207" t="s">
        <v>20849</v>
      </c>
    </row>
    <row r="5208" spans="1:20" customFormat="1" ht="15" x14ac:dyDescent="0.25">
      <c r="A5208" t="s">
        <v>35</v>
      </c>
      <c r="B5208" t="s">
        <v>61</v>
      </c>
      <c r="C5208" t="str">
        <f>"A0184248"</f>
        <v>A0184248</v>
      </c>
      <c r="D5208" t="s">
        <v>20850</v>
      </c>
      <c r="E5208" t="s">
        <v>20851</v>
      </c>
      <c r="F5208" t="s">
        <v>20852</v>
      </c>
      <c r="G5208" t="s">
        <v>289</v>
      </c>
      <c r="H5208">
        <v>62618</v>
      </c>
      <c r="I5208" t="s">
        <v>30</v>
      </c>
      <c r="J5208" t="s">
        <v>41</v>
      </c>
      <c r="K5208" t="s">
        <v>59</v>
      </c>
      <c r="Q5208">
        <v>0</v>
      </c>
      <c r="R5208">
        <v>0</v>
      </c>
      <c r="S5208">
        <v>0</v>
      </c>
    </row>
    <row r="5209" spans="1:20" customFormat="1" ht="15" x14ac:dyDescent="0.25">
      <c r="A5209" t="s">
        <v>35</v>
      </c>
      <c r="B5209" t="s">
        <v>61</v>
      </c>
      <c r="C5209" t="str">
        <f>"A0184247"</f>
        <v>A0184247</v>
      </c>
      <c r="D5209" t="s">
        <v>20853</v>
      </c>
      <c r="E5209" t="s">
        <v>20854</v>
      </c>
      <c r="F5209" t="s">
        <v>20853</v>
      </c>
      <c r="G5209" t="s">
        <v>289</v>
      </c>
      <c r="H5209" t="s">
        <v>20855</v>
      </c>
      <c r="I5209" t="s">
        <v>30</v>
      </c>
      <c r="J5209" t="s">
        <v>41</v>
      </c>
      <c r="K5209" t="s">
        <v>59</v>
      </c>
      <c r="Q5209">
        <v>0</v>
      </c>
      <c r="R5209">
        <v>0</v>
      </c>
      <c r="S5209">
        <v>0</v>
      </c>
    </row>
    <row r="5210" spans="1:20" customFormat="1" ht="15" x14ac:dyDescent="0.25">
      <c r="A5210" t="s">
        <v>35</v>
      </c>
      <c r="B5210" t="s">
        <v>12271</v>
      </c>
      <c r="C5210" t="str">
        <f>"A0184246"</f>
        <v>A0184246</v>
      </c>
      <c r="D5210" t="s">
        <v>20856</v>
      </c>
      <c r="E5210" t="s">
        <v>20857</v>
      </c>
      <c r="F5210" t="s">
        <v>10276</v>
      </c>
      <c r="G5210" t="s">
        <v>846</v>
      </c>
      <c r="H5210">
        <v>303272108</v>
      </c>
      <c r="I5210" t="s">
        <v>30</v>
      </c>
      <c r="J5210" t="s">
        <v>41</v>
      </c>
      <c r="K5210" t="s">
        <v>59</v>
      </c>
      <c r="Q5210">
        <v>0</v>
      </c>
      <c r="R5210">
        <v>0</v>
      </c>
      <c r="S5210">
        <v>0</v>
      </c>
      <c r="T5210" t="s">
        <v>20858</v>
      </c>
    </row>
    <row r="5211" spans="1:20" customFormat="1" ht="15" x14ac:dyDescent="0.25">
      <c r="A5211" t="s">
        <v>35</v>
      </c>
      <c r="B5211" t="s">
        <v>12660</v>
      </c>
      <c r="C5211" t="str">
        <f>"A0184245"</f>
        <v>A0184245</v>
      </c>
      <c r="D5211" t="s">
        <v>20859</v>
      </c>
      <c r="E5211" t="s">
        <v>20860</v>
      </c>
      <c r="F5211" t="s">
        <v>8081</v>
      </c>
      <c r="G5211" t="s">
        <v>110</v>
      </c>
      <c r="H5211">
        <v>941158702</v>
      </c>
      <c r="I5211" t="s">
        <v>30</v>
      </c>
      <c r="J5211" t="s">
        <v>41</v>
      </c>
      <c r="K5211" t="s">
        <v>59</v>
      </c>
      <c r="Q5211">
        <v>0</v>
      </c>
      <c r="R5211">
        <v>0</v>
      </c>
      <c r="S5211">
        <v>0</v>
      </c>
      <c r="T5211" t="s">
        <v>20861</v>
      </c>
    </row>
    <row r="5212" spans="1:20" customFormat="1" ht="15" x14ac:dyDescent="0.25">
      <c r="A5212" t="s">
        <v>35</v>
      </c>
      <c r="B5212" t="s">
        <v>61</v>
      </c>
      <c r="C5212" t="str">
        <f>"A0184244"</f>
        <v>A0184244</v>
      </c>
      <c r="D5212" t="s">
        <v>20862</v>
      </c>
      <c r="E5212" t="s">
        <v>20863</v>
      </c>
      <c r="F5212" t="s">
        <v>14732</v>
      </c>
      <c r="G5212" t="s">
        <v>110</v>
      </c>
      <c r="H5212" t="s">
        <v>20864</v>
      </c>
      <c r="I5212" t="s">
        <v>30</v>
      </c>
      <c r="J5212" t="s">
        <v>41</v>
      </c>
      <c r="K5212" t="s">
        <v>59</v>
      </c>
      <c r="Q5212">
        <v>0</v>
      </c>
      <c r="R5212">
        <v>0</v>
      </c>
      <c r="S5212">
        <v>0</v>
      </c>
      <c r="T5212" t="s">
        <v>20865</v>
      </c>
    </row>
    <row r="5213" spans="1:20" customFormat="1" ht="15" x14ac:dyDescent="0.25">
      <c r="A5213" t="s">
        <v>35</v>
      </c>
      <c r="B5213" t="s">
        <v>12660</v>
      </c>
      <c r="C5213" t="str">
        <f>"A0184243"</f>
        <v>A0184243</v>
      </c>
      <c r="D5213" t="s">
        <v>20866</v>
      </c>
      <c r="E5213" t="s">
        <v>20867</v>
      </c>
      <c r="F5213" t="s">
        <v>13089</v>
      </c>
      <c r="G5213" t="s">
        <v>110</v>
      </c>
      <c r="H5213">
        <v>945883298</v>
      </c>
      <c r="I5213" t="s">
        <v>30</v>
      </c>
      <c r="J5213" t="s">
        <v>41</v>
      </c>
      <c r="K5213" t="s">
        <v>59</v>
      </c>
      <c r="Q5213">
        <v>0</v>
      </c>
      <c r="R5213">
        <v>0</v>
      </c>
      <c r="S5213">
        <v>0</v>
      </c>
      <c r="T5213" t="s">
        <v>20868</v>
      </c>
    </row>
    <row r="5214" spans="1:20" customFormat="1" ht="15" x14ac:dyDescent="0.25">
      <c r="A5214" t="s">
        <v>35</v>
      </c>
      <c r="B5214" t="s">
        <v>12660</v>
      </c>
      <c r="C5214" t="str">
        <f>"A0184242"</f>
        <v>A0184242</v>
      </c>
      <c r="D5214" t="s">
        <v>20869</v>
      </c>
      <c r="E5214" t="s">
        <v>20870</v>
      </c>
      <c r="F5214" t="s">
        <v>9128</v>
      </c>
      <c r="G5214" t="s">
        <v>110</v>
      </c>
      <c r="H5214">
        <v>946033254</v>
      </c>
      <c r="I5214" t="s">
        <v>30</v>
      </c>
      <c r="J5214" t="s">
        <v>41</v>
      </c>
      <c r="K5214" t="s">
        <v>59</v>
      </c>
      <c r="Q5214">
        <v>0</v>
      </c>
      <c r="R5214">
        <v>0</v>
      </c>
      <c r="S5214">
        <v>0</v>
      </c>
      <c r="T5214" t="s">
        <v>20871</v>
      </c>
    </row>
    <row r="5215" spans="1:20" customFormat="1" ht="15" x14ac:dyDescent="0.25">
      <c r="A5215" t="s">
        <v>35</v>
      </c>
      <c r="B5215" t="s">
        <v>61</v>
      </c>
      <c r="C5215" t="str">
        <f>"A0184241"</f>
        <v>A0184241</v>
      </c>
      <c r="D5215" t="s">
        <v>20872</v>
      </c>
      <c r="E5215" t="s">
        <v>20873</v>
      </c>
      <c r="F5215" t="s">
        <v>9836</v>
      </c>
      <c r="G5215" t="s">
        <v>110</v>
      </c>
      <c r="H5215" t="s">
        <v>20874</v>
      </c>
      <c r="I5215" t="s">
        <v>30</v>
      </c>
      <c r="J5215" t="s">
        <v>41</v>
      </c>
      <c r="K5215" t="s">
        <v>59</v>
      </c>
      <c r="Q5215">
        <v>0</v>
      </c>
      <c r="R5215">
        <v>0</v>
      </c>
      <c r="S5215">
        <v>0</v>
      </c>
    </row>
    <row r="5216" spans="1:20" customFormat="1" ht="15" x14ac:dyDescent="0.25">
      <c r="A5216" t="s">
        <v>35</v>
      </c>
      <c r="B5216" t="s">
        <v>61</v>
      </c>
      <c r="C5216" t="str">
        <f>"A0184240"</f>
        <v>A0184240</v>
      </c>
      <c r="D5216" t="s">
        <v>20875</v>
      </c>
      <c r="E5216" t="s">
        <v>20876</v>
      </c>
      <c r="F5216" t="s">
        <v>13105</v>
      </c>
      <c r="G5216" t="s">
        <v>289</v>
      </c>
      <c r="H5216" t="s">
        <v>20877</v>
      </c>
      <c r="I5216" t="s">
        <v>30</v>
      </c>
      <c r="J5216" t="s">
        <v>41</v>
      </c>
      <c r="K5216" t="s">
        <v>59</v>
      </c>
      <c r="Q5216">
        <v>0</v>
      </c>
      <c r="R5216">
        <v>0</v>
      </c>
      <c r="S5216">
        <v>0</v>
      </c>
      <c r="T5216" t="s">
        <v>20878</v>
      </c>
    </row>
    <row r="5217" spans="1:20" customFormat="1" ht="15" x14ac:dyDescent="0.25">
      <c r="A5217" t="s">
        <v>35</v>
      </c>
      <c r="B5217" t="s">
        <v>61</v>
      </c>
      <c r="C5217" t="str">
        <f>"A0184239"</f>
        <v>A0184239</v>
      </c>
      <c r="D5217" t="s">
        <v>20879</v>
      </c>
      <c r="E5217" t="s">
        <v>20880</v>
      </c>
      <c r="F5217" t="s">
        <v>288</v>
      </c>
      <c r="G5217" t="s">
        <v>289</v>
      </c>
      <c r="H5217" t="s">
        <v>20881</v>
      </c>
      <c r="I5217" t="s">
        <v>30</v>
      </c>
      <c r="J5217" t="s">
        <v>41</v>
      </c>
      <c r="K5217" t="s">
        <v>59</v>
      </c>
      <c r="Q5217">
        <v>0</v>
      </c>
      <c r="R5217">
        <v>0</v>
      </c>
      <c r="S5217">
        <v>0</v>
      </c>
      <c r="T5217" t="s">
        <v>20882</v>
      </c>
    </row>
    <row r="5218" spans="1:20" customFormat="1" ht="15" x14ac:dyDescent="0.25">
      <c r="A5218" t="s">
        <v>35</v>
      </c>
      <c r="B5218" t="s">
        <v>61</v>
      </c>
      <c r="C5218" t="str">
        <f>"A0184238"</f>
        <v>A0184238</v>
      </c>
      <c r="D5218" t="s">
        <v>20883</v>
      </c>
      <c r="E5218" t="s">
        <v>20884</v>
      </c>
      <c r="F5218" t="s">
        <v>6160</v>
      </c>
      <c r="G5218" t="s">
        <v>289</v>
      </c>
      <c r="H5218" t="s">
        <v>20885</v>
      </c>
      <c r="I5218" t="s">
        <v>30</v>
      </c>
      <c r="J5218" t="s">
        <v>41</v>
      </c>
      <c r="K5218" t="s">
        <v>59</v>
      </c>
      <c r="Q5218">
        <v>0</v>
      </c>
      <c r="R5218">
        <v>209</v>
      </c>
      <c r="S5218">
        <v>209</v>
      </c>
      <c r="T5218" t="s">
        <v>20886</v>
      </c>
    </row>
    <row r="5219" spans="1:20" customFormat="1" ht="15" x14ac:dyDescent="0.25">
      <c r="A5219" t="s">
        <v>35</v>
      </c>
      <c r="B5219" t="s">
        <v>61</v>
      </c>
      <c r="C5219" t="str">
        <f>"A0184237"</f>
        <v>A0184237</v>
      </c>
      <c r="D5219" t="s">
        <v>20273</v>
      </c>
      <c r="E5219" t="s">
        <v>20887</v>
      </c>
      <c r="F5219" t="s">
        <v>20275</v>
      </c>
      <c r="G5219" t="s">
        <v>110</v>
      </c>
      <c r="H5219">
        <v>947102791</v>
      </c>
      <c r="I5219" t="s">
        <v>30</v>
      </c>
      <c r="J5219" t="s">
        <v>41</v>
      </c>
      <c r="K5219" t="s">
        <v>59</v>
      </c>
      <c r="Q5219">
        <v>0</v>
      </c>
      <c r="R5219">
        <v>0</v>
      </c>
      <c r="S5219">
        <v>0</v>
      </c>
    </row>
    <row r="5220" spans="1:20" customFormat="1" ht="15" x14ac:dyDescent="0.25">
      <c r="A5220" t="s">
        <v>35</v>
      </c>
      <c r="B5220" t="s">
        <v>61</v>
      </c>
      <c r="C5220" t="str">
        <f>"A0184236"</f>
        <v>A0184236</v>
      </c>
      <c r="D5220" t="s">
        <v>20888</v>
      </c>
      <c r="E5220" t="s">
        <v>20889</v>
      </c>
      <c r="F5220" t="s">
        <v>20890</v>
      </c>
      <c r="G5220" t="s">
        <v>103</v>
      </c>
      <c r="H5220" t="s">
        <v>20891</v>
      </c>
      <c r="I5220" t="s">
        <v>30</v>
      </c>
      <c r="J5220" t="s">
        <v>41</v>
      </c>
      <c r="K5220" t="s">
        <v>59</v>
      </c>
      <c r="Q5220">
        <v>0</v>
      </c>
      <c r="R5220">
        <v>0</v>
      </c>
      <c r="S5220">
        <v>0</v>
      </c>
      <c r="T5220" t="s">
        <v>20892</v>
      </c>
    </row>
    <row r="5221" spans="1:20" customFormat="1" ht="15" x14ac:dyDescent="0.25">
      <c r="A5221" t="s">
        <v>35</v>
      </c>
      <c r="B5221" t="s">
        <v>19872</v>
      </c>
      <c r="C5221" t="str">
        <f>"A0184235"</f>
        <v>A0184235</v>
      </c>
      <c r="D5221" t="s">
        <v>20893</v>
      </c>
      <c r="E5221" t="s">
        <v>20894</v>
      </c>
      <c r="F5221" t="s">
        <v>19333</v>
      </c>
      <c r="G5221" t="s">
        <v>103</v>
      </c>
      <c r="H5221">
        <v>175438429</v>
      </c>
      <c r="I5221" t="s">
        <v>30</v>
      </c>
      <c r="J5221" t="s">
        <v>41</v>
      </c>
      <c r="K5221" t="s">
        <v>59</v>
      </c>
      <c r="Q5221">
        <v>0</v>
      </c>
      <c r="R5221">
        <v>0</v>
      </c>
      <c r="S5221">
        <v>0</v>
      </c>
      <c r="T5221" t="s">
        <v>20895</v>
      </c>
    </row>
    <row r="5222" spans="1:20" customFormat="1" ht="15" x14ac:dyDescent="0.25">
      <c r="A5222" t="s">
        <v>35</v>
      </c>
      <c r="B5222" t="s">
        <v>61</v>
      </c>
      <c r="C5222" t="str">
        <f>"A0184234"</f>
        <v>A0184234</v>
      </c>
      <c r="D5222" t="s">
        <v>20896</v>
      </c>
      <c r="E5222" t="s">
        <v>20897</v>
      </c>
      <c r="F5222" t="s">
        <v>20898</v>
      </c>
      <c r="G5222" t="s">
        <v>52</v>
      </c>
      <c r="H5222" t="s">
        <v>20899</v>
      </c>
      <c r="I5222" t="s">
        <v>30</v>
      </c>
      <c r="J5222" t="s">
        <v>41</v>
      </c>
      <c r="K5222" t="s">
        <v>59</v>
      </c>
      <c r="Q5222">
        <v>0</v>
      </c>
      <c r="R5222">
        <v>0</v>
      </c>
      <c r="S5222">
        <v>0</v>
      </c>
      <c r="T5222" t="s">
        <v>20900</v>
      </c>
    </row>
    <row r="5223" spans="1:20" customFormat="1" ht="15" x14ac:dyDescent="0.25">
      <c r="A5223" t="s">
        <v>35</v>
      </c>
      <c r="B5223" t="s">
        <v>61</v>
      </c>
      <c r="C5223" t="str">
        <f>"A0184233"</f>
        <v>A0184233</v>
      </c>
      <c r="D5223" t="s">
        <v>20901</v>
      </c>
      <c r="E5223" t="s">
        <v>20902</v>
      </c>
      <c r="F5223" t="s">
        <v>4094</v>
      </c>
      <c r="G5223" t="s">
        <v>52</v>
      </c>
      <c r="H5223" t="s">
        <v>20903</v>
      </c>
      <c r="I5223" t="s">
        <v>30</v>
      </c>
      <c r="J5223" t="s">
        <v>41</v>
      </c>
      <c r="K5223" t="s">
        <v>59</v>
      </c>
      <c r="Q5223">
        <v>0</v>
      </c>
      <c r="R5223">
        <v>24</v>
      </c>
      <c r="S5223">
        <v>24</v>
      </c>
      <c r="T5223" t="s">
        <v>20904</v>
      </c>
    </row>
    <row r="5224" spans="1:20" customFormat="1" ht="15" x14ac:dyDescent="0.25">
      <c r="A5224" t="s">
        <v>35</v>
      </c>
      <c r="B5224" t="s">
        <v>61</v>
      </c>
      <c r="C5224" t="str">
        <f>"A0184232"</f>
        <v>A0184232</v>
      </c>
      <c r="D5224" t="s">
        <v>20905</v>
      </c>
      <c r="E5224" t="s">
        <v>20906</v>
      </c>
      <c r="F5224" t="s">
        <v>1731</v>
      </c>
      <c r="G5224" t="s">
        <v>52</v>
      </c>
      <c r="H5224" t="s">
        <v>20907</v>
      </c>
      <c r="I5224" t="s">
        <v>30</v>
      </c>
      <c r="J5224" t="s">
        <v>41</v>
      </c>
      <c r="K5224" t="s">
        <v>59</v>
      </c>
      <c r="Q5224">
        <v>0</v>
      </c>
      <c r="R5224">
        <v>0</v>
      </c>
      <c r="S5224">
        <v>0</v>
      </c>
      <c r="T5224" t="s">
        <v>20908</v>
      </c>
    </row>
    <row r="5225" spans="1:20" customFormat="1" ht="15" x14ac:dyDescent="0.25">
      <c r="A5225" t="s">
        <v>35</v>
      </c>
      <c r="B5225" t="s">
        <v>61</v>
      </c>
      <c r="C5225" t="str">
        <f>"A0184231"</f>
        <v>A0184231</v>
      </c>
      <c r="D5225" t="s">
        <v>20909</v>
      </c>
      <c r="E5225" t="s">
        <v>20910</v>
      </c>
      <c r="F5225" t="s">
        <v>20911</v>
      </c>
      <c r="G5225" t="s">
        <v>52</v>
      </c>
      <c r="H5225">
        <v>75074</v>
      </c>
      <c r="I5225" t="s">
        <v>30</v>
      </c>
      <c r="J5225" t="s">
        <v>41</v>
      </c>
      <c r="K5225" t="s">
        <v>59</v>
      </c>
      <c r="Q5225">
        <v>0</v>
      </c>
      <c r="R5225">
        <v>72</v>
      </c>
      <c r="S5225">
        <v>72</v>
      </c>
      <c r="T5225" t="s">
        <v>20912</v>
      </c>
    </row>
    <row r="5226" spans="1:20" customFormat="1" ht="15" x14ac:dyDescent="0.25">
      <c r="A5226" t="s">
        <v>35</v>
      </c>
      <c r="B5226" t="s">
        <v>61</v>
      </c>
      <c r="C5226" t="str">
        <f>"A0184230"</f>
        <v>A0184230</v>
      </c>
      <c r="D5226" t="s">
        <v>4647</v>
      </c>
      <c r="E5226" t="s">
        <v>20913</v>
      </c>
      <c r="F5226" t="s">
        <v>4746</v>
      </c>
      <c r="G5226" t="s">
        <v>103</v>
      </c>
      <c r="H5226">
        <v>17042</v>
      </c>
      <c r="I5226" t="s">
        <v>30</v>
      </c>
      <c r="J5226" t="s">
        <v>41</v>
      </c>
      <c r="K5226" t="s">
        <v>59</v>
      </c>
      <c r="Q5226">
        <v>0</v>
      </c>
      <c r="R5226">
        <v>0</v>
      </c>
      <c r="S5226">
        <v>0</v>
      </c>
      <c r="T5226" t="s">
        <v>20914</v>
      </c>
    </row>
    <row r="5227" spans="1:20" customFormat="1" ht="15" x14ac:dyDescent="0.25">
      <c r="A5227" t="s">
        <v>35</v>
      </c>
      <c r="B5227" t="s">
        <v>61</v>
      </c>
      <c r="C5227" t="str">
        <f>"A0184229"</f>
        <v>A0184229</v>
      </c>
      <c r="D5227" t="s">
        <v>20915</v>
      </c>
      <c r="E5227" t="s">
        <v>11922</v>
      </c>
      <c r="F5227" t="s">
        <v>9211</v>
      </c>
      <c r="G5227" t="s">
        <v>103</v>
      </c>
      <c r="H5227" t="s">
        <v>11923</v>
      </c>
      <c r="I5227" t="s">
        <v>30</v>
      </c>
      <c r="J5227" t="s">
        <v>41</v>
      </c>
      <c r="K5227" t="s">
        <v>59</v>
      </c>
      <c r="Q5227">
        <v>0</v>
      </c>
      <c r="R5227">
        <v>51</v>
      </c>
      <c r="S5227">
        <v>51</v>
      </c>
      <c r="T5227" t="s">
        <v>20916</v>
      </c>
    </row>
    <row r="5228" spans="1:20" customFormat="1" ht="15" x14ac:dyDescent="0.25">
      <c r="A5228" t="s">
        <v>35</v>
      </c>
      <c r="B5228" t="s">
        <v>61</v>
      </c>
      <c r="C5228" t="str">
        <f>"A0184228"</f>
        <v>A0184228</v>
      </c>
      <c r="D5228" t="s">
        <v>20917</v>
      </c>
      <c r="E5228" t="s">
        <v>20918</v>
      </c>
      <c r="F5228" t="s">
        <v>4629</v>
      </c>
      <c r="G5228" t="s">
        <v>103</v>
      </c>
      <c r="H5228" t="s">
        <v>20919</v>
      </c>
      <c r="I5228" t="s">
        <v>30</v>
      </c>
      <c r="J5228" t="s">
        <v>41</v>
      </c>
      <c r="K5228" t="s">
        <v>59</v>
      </c>
      <c r="Q5228">
        <v>0</v>
      </c>
      <c r="R5228">
        <v>63</v>
      </c>
      <c r="S5228">
        <v>63</v>
      </c>
      <c r="T5228" t="s">
        <v>20920</v>
      </c>
    </row>
    <row r="5229" spans="1:20" customFormat="1" ht="15" x14ac:dyDescent="0.25">
      <c r="A5229" t="s">
        <v>35</v>
      </c>
      <c r="B5229" t="s">
        <v>19872</v>
      </c>
      <c r="C5229" t="str">
        <f>"A0184227"</f>
        <v>A0184227</v>
      </c>
      <c r="D5229" t="s">
        <v>20921</v>
      </c>
      <c r="E5229" t="s">
        <v>20922</v>
      </c>
      <c r="F5229" t="s">
        <v>19333</v>
      </c>
      <c r="G5229" t="s">
        <v>103</v>
      </c>
      <c r="H5229">
        <v>175439237</v>
      </c>
      <c r="I5229" t="s">
        <v>30</v>
      </c>
      <c r="J5229" t="s">
        <v>41</v>
      </c>
      <c r="K5229" t="s">
        <v>59</v>
      </c>
      <c r="Q5229">
        <v>0</v>
      </c>
      <c r="R5229">
        <v>0</v>
      </c>
      <c r="S5229">
        <v>0</v>
      </c>
      <c r="T5229" t="s">
        <v>20923</v>
      </c>
    </row>
    <row r="5230" spans="1:20" customFormat="1" ht="15" x14ac:dyDescent="0.25">
      <c r="A5230" t="s">
        <v>35</v>
      </c>
      <c r="B5230" t="s">
        <v>61</v>
      </c>
      <c r="C5230" t="str">
        <f>"A0184225"</f>
        <v>A0184225</v>
      </c>
      <c r="D5230" t="s">
        <v>20924</v>
      </c>
      <c r="E5230" t="s">
        <v>20925</v>
      </c>
      <c r="F5230" t="s">
        <v>20926</v>
      </c>
      <c r="G5230" t="s">
        <v>161</v>
      </c>
      <c r="H5230" t="s">
        <v>20927</v>
      </c>
      <c r="I5230" t="s">
        <v>30</v>
      </c>
      <c r="J5230" t="s">
        <v>41</v>
      </c>
      <c r="K5230" t="s">
        <v>59</v>
      </c>
      <c r="Q5230">
        <v>0</v>
      </c>
      <c r="R5230">
        <v>0</v>
      </c>
      <c r="S5230">
        <v>0</v>
      </c>
    </row>
    <row r="5231" spans="1:20" customFormat="1" ht="15" x14ac:dyDescent="0.25">
      <c r="A5231" t="s">
        <v>35</v>
      </c>
      <c r="B5231" t="s">
        <v>61</v>
      </c>
      <c r="C5231" t="str">
        <f>"A0184224"</f>
        <v>A0184224</v>
      </c>
      <c r="D5231" t="s">
        <v>20928</v>
      </c>
      <c r="E5231" t="s">
        <v>20929</v>
      </c>
      <c r="F5231" t="s">
        <v>1394</v>
      </c>
      <c r="G5231" t="s">
        <v>161</v>
      </c>
      <c r="H5231">
        <v>55117</v>
      </c>
      <c r="I5231" t="s">
        <v>30</v>
      </c>
      <c r="J5231" t="s">
        <v>41</v>
      </c>
      <c r="K5231" t="s">
        <v>59</v>
      </c>
      <c r="Q5231">
        <v>0</v>
      </c>
      <c r="R5231">
        <v>0</v>
      </c>
      <c r="S5231">
        <v>0</v>
      </c>
    </row>
    <row r="5232" spans="1:20" customFormat="1" ht="15" x14ac:dyDescent="0.25">
      <c r="A5232" t="s">
        <v>35</v>
      </c>
      <c r="B5232" t="s">
        <v>61</v>
      </c>
      <c r="C5232" t="str">
        <f>"A0184223"</f>
        <v>A0184223</v>
      </c>
      <c r="D5232" t="s">
        <v>20930</v>
      </c>
      <c r="E5232" t="s">
        <v>20931</v>
      </c>
      <c r="F5232" t="s">
        <v>4746</v>
      </c>
      <c r="G5232" t="s">
        <v>103</v>
      </c>
      <c r="H5232" t="s">
        <v>20932</v>
      </c>
      <c r="I5232" t="s">
        <v>30</v>
      </c>
      <c r="J5232" t="s">
        <v>41</v>
      </c>
      <c r="K5232" t="s">
        <v>59</v>
      </c>
      <c r="Q5232">
        <v>0</v>
      </c>
      <c r="R5232">
        <v>0</v>
      </c>
      <c r="S5232">
        <v>0</v>
      </c>
      <c r="T5232" t="s">
        <v>20933</v>
      </c>
    </row>
    <row r="5233" spans="1:20" customFormat="1" ht="15" x14ac:dyDescent="0.25">
      <c r="A5233" t="s">
        <v>35</v>
      </c>
      <c r="B5233" t="s">
        <v>61</v>
      </c>
      <c r="C5233" t="str">
        <f>"A0184222"</f>
        <v>A0184222</v>
      </c>
      <c r="D5233" t="s">
        <v>20934</v>
      </c>
      <c r="E5233" t="s">
        <v>20935</v>
      </c>
      <c r="F5233" t="s">
        <v>4746</v>
      </c>
      <c r="G5233" t="s">
        <v>103</v>
      </c>
      <c r="H5233">
        <v>17046</v>
      </c>
      <c r="I5233" t="s">
        <v>30</v>
      </c>
      <c r="J5233" t="s">
        <v>41</v>
      </c>
      <c r="K5233" t="s">
        <v>59</v>
      </c>
      <c r="Q5233">
        <v>0</v>
      </c>
      <c r="R5233">
        <v>0</v>
      </c>
      <c r="S5233">
        <v>0</v>
      </c>
      <c r="T5233" t="s">
        <v>20936</v>
      </c>
    </row>
    <row r="5234" spans="1:20" customFormat="1" ht="15" x14ac:dyDescent="0.25">
      <c r="A5234" t="s">
        <v>35</v>
      </c>
      <c r="B5234" t="s">
        <v>61</v>
      </c>
      <c r="C5234" t="str">
        <f>"A0184221"</f>
        <v>A0184221</v>
      </c>
      <c r="D5234" t="s">
        <v>20937</v>
      </c>
      <c r="E5234" t="s">
        <v>20938</v>
      </c>
      <c r="F5234" t="s">
        <v>4746</v>
      </c>
      <c r="G5234" t="s">
        <v>103</v>
      </c>
      <c r="H5234">
        <v>17046</v>
      </c>
      <c r="I5234" t="s">
        <v>30</v>
      </c>
      <c r="J5234" t="s">
        <v>41</v>
      </c>
      <c r="K5234" t="s">
        <v>59</v>
      </c>
      <c r="Q5234">
        <v>0</v>
      </c>
      <c r="R5234">
        <v>0</v>
      </c>
      <c r="S5234">
        <v>0</v>
      </c>
    </row>
    <row r="5235" spans="1:20" customFormat="1" ht="15" x14ac:dyDescent="0.25">
      <c r="A5235" t="s">
        <v>35</v>
      </c>
      <c r="B5235" t="s">
        <v>61</v>
      </c>
      <c r="C5235" t="str">
        <f>"A0184220"</f>
        <v>A0184220</v>
      </c>
      <c r="D5235" t="s">
        <v>20939</v>
      </c>
      <c r="E5235" t="s">
        <v>20940</v>
      </c>
      <c r="F5235" t="s">
        <v>4354</v>
      </c>
      <c r="G5235" t="s">
        <v>103</v>
      </c>
      <c r="H5235" t="s">
        <v>20941</v>
      </c>
      <c r="I5235" t="s">
        <v>30</v>
      </c>
      <c r="J5235" t="s">
        <v>41</v>
      </c>
      <c r="K5235" t="s">
        <v>59</v>
      </c>
      <c r="Q5235">
        <v>0</v>
      </c>
      <c r="R5235">
        <v>105</v>
      </c>
      <c r="S5235">
        <v>105</v>
      </c>
      <c r="T5235" t="s">
        <v>20942</v>
      </c>
    </row>
    <row r="5236" spans="1:20" customFormat="1" ht="15" x14ac:dyDescent="0.25">
      <c r="A5236" t="s">
        <v>35</v>
      </c>
      <c r="B5236" t="s">
        <v>61</v>
      </c>
      <c r="C5236" t="str">
        <f>"A0184219"</f>
        <v>A0184219</v>
      </c>
      <c r="D5236" t="s">
        <v>20943</v>
      </c>
      <c r="E5236" t="s">
        <v>11181</v>
      </c>
      <c r="F5236" t="s">
        <v>1755</v>
      </c>
      <c r="G5236" t="s">
        <v>289</v>
      </c>
      <c r="H5236">
        <v>627041680</v>
      </c>
      <c r="I5236" t="s">
        <v>30</v>
      </c>
      <c r="J5236" t="s">
        <v>41</v>
      </c>
      <c r="K5236" t="s">
        <v>59</v>
      </c>
      <c r="Q5236">
        <v>0</v>
      </c>
      <c r="R5236">
        <v>0</v>
      </c>
      <c r="S5236">
        <v>0</v>
      </c>
      <c r="T5236" t="s">
        <v>20944</v>
      </c>
    </row>
    <row r="5237" spans="1:20" customFormat="1" ht="15" x14ac:dyDescent="0.25">
      <c r="A5237" t="s">
        <v>35</v>
      </c>
      <c r="B5237" t="s">
        <v>61</v>
      </c>
      <c r="C5237" t="str">
        <f>"A0184218"</f>
        <v>A0184218</v>
      </c>
      <c r="D5237" t="s">
        <v>20945</v>
      </c>
      <c r="E5237" t="s">
        <v>20946</v>
      </c>
      <c r="F5237" t="s">
        <v>288</v>
      </c>
      <c r="G5237" t="s">
        <v>289</v>
      </c>
      <c r="H5237" t="s">
        <v>20947</v>
      </c>
      <c r="I5237" t="s">
        <v>30</v>
      </c>
      <c r="J5237" t="s">
        <v>41</v>
      </c>
      <c r="K5237" t="s">
        <v>59</v>
      </c>
      <c r="Q5237">
        <v>0</v>
      </c>
      <c r="R5237">
        <v>0</v>
      </c>
      <c r="S5237">
        <v>0</v>
      </c>
      <c r="T5237" t="s">
        <v>20948</v>
      </c>
    </row>
    <row r="5238" spans="1:20" customFormat="1" ht="15" x14ac:dyDescent="0.25">
      <c r="A5238" t="s">
        <v>35</v>
      </c>
      <c r="B5238" t="s">
        <v>61</v>
      </c>
      <c r="C5238" t="str">
        <f>"A0184217"</f>
        <v>A0184217</v>
      </c>
      <c r="D5238" t="s">
        <v>20949</v>
      </c>
      <c r="E5238" t="s">
        <v>20950</v>
      </c>
      <c r="F5238" t="s">
        <v>20951</v>
      </c>
      <c r="G5238" t="s">
        <v>289</v>
      </c>
      <c r="H5238" t="s">
        <v>20952</v>
      </c>
      <c r="I5238" t="s">
        <v>30</v>
      </c>
      <c r="J5238" t="s">
        <v>41</v>
      </c>
      <c r="K5238" t="s">
        <v>59</v>
      </c>
      <c r="Q5238">
        <v>0</v>
      </c>
      <c r="R5238">
        <v>217</v>
      </c>
      <c r="S5238">
        <v>217</v>
      </c>
      <c r="T5238" t="s">
        <v>20953</v>
      </c>
    </row>
    <row r="5239" spans="1:20" customFormat="1" ht="15" x14ac:dyDescent="0.25">
      <c r="A5239" t="s">
        <v>35</v>
      </c>
      <c r="B5239" t="s">
        <v>61</v>
      </c>
      <c r="C5239" t="str">
        <f>"A0184216"</f>
        <v>A0184216</v>
      </c>
      <c r="D5239" t="s">
        <v>20954</v>
      </c>
      <c r="E5239" t="s">
        <v>20955</v>
      </c>
      <c r="F5239" t="s">
        <v>20956</v>
      </c>
      <c r="G5239" t="s">
        <v>289</v>
      </c>
      <c r="H5239">
        <v>60491</v>
      </c>
      <c r="I5239" t="s">
        <v>30</v>
      </c>
      <c r="J5239" t="s">
        <v>41</v>
      </c>
      <c r="K5239" t="s">
        <v>59</v>
      </c>
      <c r="Q5239">
        <v>0</v>
      </c>
      <c r="R5239">
        <v>0</v>
      </c>
      <c r="S5239">
        <v>0</v>
      </c>
    </row>
    <row r="5240" spans="1:20" customFormat="1" ht="15" x14ac:dyDescent="0.25">
      <c r="A5240" t="s">
        <v>35</v>
      </c>
      <c r="B5240" t="s">
        <v>61</v>
      </c>
      <c r="C5240" t="str">
        <f>"A0184215"</f>
        <v>A0184215</v>
      </c>
      <c r="D5240" t="s">
        <v>20957</v>
      </c>
      <c r="E5240" t="s">
        <v>20958</v>
      </c>
      <c r="F5240" t="s">
        <v>20956</v>
      </c>
      <c r="G5240" t="s">
        <v>289</v>
      </c>
      <c r="H5240">
        <v>60491</v>
      </c>
      <c r="I5240" t="s">
        <v>30</v>
      </c>
      <c r="J5240" t="s">
        <v>41</v>
      </c>
      <c r="K5240" t="s">
        <v>59</v>
      </c>
      <c r="Q5240">
        <v>0</v>
      </c>
      <c r="R5240">
        <v>0</v>
      </c>
      <c r="S5240">
        <v>0</v>
      </c>
    </row>
    <row r="5241" spans="1:20" customFormat="1" ht="15" x14ac:dyDescent="0.25">
      <c r="A5241" t="s">
        <v>35</v>
      </c>
      <c r="B5241" t="s">
        <v>11183</v>
      </c>
      <c r="C5241" t="str">
        <f>"A0184214"</f>
        <v>A0184214</v>
      </c>
      <c r="D5241" t="s">
        <v>20959</v>
      </c>
      <c r="E5241" t="s">
        <v>20389</v>
      </c>
      <c r="F5241" t="s">
        <v>4354</v>
      </c>
      <c r="G5241" t="s">
        <v>103</v>
      </c>
      <c r="H5241" t="s">
        <v>20390</v>
      </c>
      <c r="I5241" t="s">
        <v>30</v>
      </c>
      <c r="J5241" t="s">
        <v>41</v>
      </c>
      <c r="K5241" t="s">
        <v>59</v>
      </c>
      <c r="Q5241">
        <v>0</v>
      </c>
      <c r="R5241">
        <v>0</v>
      </c>
      <c r="S5241">
        <v>0</v>
      </c>
    </row>
    <row r="5242" spans="1:20" customFormat="1" ht="15" x14ac:dyDescent="0.25">
      <c r="A5242" t="s">
        <v>35</v>
      </c>
      <c r="B5242" t="s">
        <v>11183</v>
      </c>
      <c r="C5242" t="str">
        <f>"A0184213"</f>
        <v>A0184213</v>
      </c>
      <c r="D5242" t="s">
        <v>19700</v>
      </c>
      <c r="E5242" t="s">
        <v>19701</v>
      </c>
      <c r="F5242" t="s">
        <v>18901</v>
      </c>
      <c r="G5242" t="s">
        <v>103</v>
      </c>
      <c r="H5242" t="s">
        <v>19702</v>
      </c>
      <c r="I5242" t="s">
        <v>30</v>
      </c>
      <c r="J5242" t="s">
        <v>41</v>
      </c>
      <c r="K5242" t="s">
        <v>59</v>
      </c>
      <c r="Q5242">
        <v>0</v>
      </c>
      <c r="R5242">
        <v>0</v>
      </c>
      <c r="S5242">
        <v>0</v>
      </c>
      <c r="T5242" t="s">
        <v>20960</v>
      </c>
    </row>
    <row r="5243" spans="1:20" customFormat="1" ht="15" x14ac:dyDescent="0.25">
      <c r="A5243" t="s">
        <v>35</v>
      </c>
      <c r="B5243" t="s">
        <v>61</v>
      </c>
      <c r="C5243" t="str">
        <f>"A0184211"</f>
        <v>A0184211</v>
      </c>
      <c r="D5243" t="s">
        <v>20961</v>
      </c>
      <c r="E5243" t="s">
        <v>20962</v>
      </c>
      <c r="F5243" t="s">
        <v>853</v>
      </c>
      <c r="G5243" t="s">
        <v>52</v>
      </c>
      <c r="H5243">
        <v>761121553</v>
      </c>
      <c r="I5243" t="s">
        <v>30</v>
      </c>
      <c r="J5243" t="s">
        <v>41</v>
      </c>
      <c r="K5243" t="s">
        <v>59</v>
      </c>
      <c r="Q5243">
        <v>0</v>
      </c>
      <c r="R5243">
        <v>34</v>
      </c>
      <c r="S5243">
        <v>34</v>
      </c>
      <c r="T5243" t="s">
        <v>20963</v>
      </c>
    </row>
    <row r="5244" spans="1:20" customFormat="1" ht="15" x14ac:dyDescent="0.25">
      <c r="A5244" t="s">
        <v>35</v>
      </c>
      <c r="B5244" t="s">
        <v>61</v>
      </c>
      <c r="C5244" t="str">
        <f>"A0184210"</f>
        <v>A0184210</v>
      </c>
      <c r="D5244" t="s">
        <v>20964</v>
      </c>
      <c r="E5244" t="s">
        <v>20965</v>
      </c>
      <c r="F5244" t="s">
        <v>20966</v>
      </c>
      <c r="G5244" t="s">
        <v>52</v>
      </c>
      <c r="H5244" t="s">
        <v>20967</v>
      </c>
      <c r="I5244" t="s">
        <v>30</v>
      </c>
      <c r="J5244" t="s">
        <v>41</v>
      </c>
      <c r="K5244" t="s">
        <v>59</v>
      </c>
      <c r="Q5244">
        <v>0</v>
      </c>
      <c r="R5244">
        <v>0</v>
      </c>
      <c r="S5244">
        <v>0</v>
      </c>
    </row>
    <row r="5245" spans="1:20" customFormat="1" ht="15" x14ac:dyDescent="0.25">
      <c r="A5245" t="s">
        <v>35</v>
      </c>
      <c r="B5245" t="s">
        <v>61</v>
      </c>
      <c r="C5245" t="str">
        <f>"A0184209"</f>
        <v>A0184209</v>
      </c>
      <c r="D5245" t="s">
        <v>20968</v>
      </c>
      <c r="E5245" t="s">
        <v>20969</v>
      </c>
      <c r="F5245" t="s">
        <v>20970</v>
      </c>
      <c r="G5245" t="s">
        <v>52</v>
      </c>
      <c r="H5245" t="s">
        <v>20971</v>
      </c>
      <c r="I5245" t="s">
        <v>30</v>
      </c>
      <c r="J5245" t="s">
        <v>41</v>
      </c>
      <c r="K5245" t="s">
        <v>59</v>
      </c>
      <c r="Q5245">
        <v>0</v>
      </c>
      <c r="R5245">
        <v>38</v>
      </c>
      <c r="S5245">
        <v>38</v>
      </c>
      <c r="T5245" t="s">
        <v>20972</v>
      </c>
    </row>
    <row r="5246" spans="1:20" customFormat="1" ht="15" x14ac:dyDescent="0.25">
      <c r="A5246" t="s">
        <v>35</v>
      </c>
      <c r="B5246" t="s">
        <v>61</v>
      </c>
      <c r="C5246" t="str">
        <f>"A0184208"</f>
        <v>A0184208</v>
      </c>
      <c r="D5246" t="s">
        <v>20973</v>
      </c>
      <c r="E5246" t="s">
        <v>20974</v>
      </c>
      <c r="F5246" t="s">
        <v>12629</v>
      </c>
      <c r="G5246" t="s">
        <v>52</v>
      </c>
      <c r="H5246" t="s">
        <v>20975</v>
      </c>
      <c r="I5246" t="s">
        <v>30</v>
      </c>
      <c r="J5246" t="s">
        <v>41</v>
      </c>
      <c r="K5246" t="s">
        <v>59</v>
      </c>
      <c r="Q5246">
        <v>0</v>
      </c>
      <c r="R5246">
        <v>50</v>
      </c>
      <c r="S5246">
        <v>50</v>
      </c>
      <c r="T5246" t="s">
        <v>20976</v>
      </c>
    </row>
    <row r="5247" spans="1:20" customFormat="1" ht="15" x14ac:dyDescent="0.25">
      <c r="A5247" t="s">
        <v>35</v>
      </c>
      <c r="B5247" t="s">
        <v>61</v>
      </c>
      <c r="C5247" t="str">
        <f>"A0184207"</f>
        <v>A0184207</v>
      </c>
      <c r="D5247" t="s">
        <v>20977</v>
      </c>
      <c r="E5247" t="s">
        <v>20978</v>
      </c>
      <c r="F5247" t="s">
        <v>12268</v>
      </c>
      <c r="G5247" t="s">
        <v>289</v>
      </c>
      <c r="H5247">
        <v>601034581</v>
      </c>
      <c r="I5247" t="s">
        <v>30</v>
      </c>
      <c r="J5247" t="s">
        <v>41</v>
      </c>
      <c r="K5247" t="s">
        <v>59</v>
      </c>
      <c r="Q5247">
        <v>0</v>
      </c>
      <c r="R5247">
        <v>154</v>
      </c>
      <c r="S5247">
        <v>154</v>
      </c>
      <c r="T5247" t="s">
        <v>20979</v>
      </c>
    </row>
    <row r="5248" spans="1:20" customFormat="1" ht="15" x14ac:dyDescent="0.25">
      <c r="A5248" t="s">
        <v>35</v>
      </c>
      <c r="B5248" t="s">
        <v>61</v>
      </c>
      <c r="C5248" t="str">
        <f>"A0184206"</f>
        <v>A0184206</v>
      </c>
      <c r="D5248" t="s">
        <v>20980</v>
      </c>
      <c r="E5248" t="s">
        <v>20981</v>
      </c>
      <c r="F5248" t="s">
        <v>7549</v>
      </c>
      <c r="G5248" t="s">
        <v>289</v>
      </c>
      <c r="H5248" t="s">
        <v>20982</v>
      </c>
      <c r="I5248" t="s">
        <v>30</v>
      </c>
      <c r="J5248" t="s">
        <v>41</v>
      </c>
      <c r="K5248" t="s">
        <v>59</v>
      </c>
      <c r="Q5248">
        <v>0</v>
      </c>
      <c r="R5248">
        <v>0</v>
      </c>
      <c r="S5248">
        <v>0</v>
      </c>
      <c r="T5248" t="s">
        <v>19023</v>
      </c>
    </row>
    <row r="5249" spans="1:20" customFormat="1" ht="15" x14ac:dyDescent="0.25">
      <c r="A5249" t="s">
        <v>35</v>
      </c>
      <c r="B5249" t="s">
        <v>61</v>
      </c>
      <c r="C5249" t="str">
        <f>"A0184205"</f>
        <v>A0184205</v>
      </c>
      <c r="D5249" t="s">
        <v>20983</v>
      </c>
      <c r="E5249" t="s">
        <v>20984</v>
      </c>
      <c r="F5249" t="s">
        <v>288</v>
      </c>
      <c r="G5249" t="s">
        <v>289</v>
      </c>
      <c r="H5249" t="s">
        <v>20985</v>
      </c>
      <c r="I5249" t="s">
        <v>30</v>
      </c>
      <c r="J5249" t="s">
        <v>41</v>
      </c>
      <c r="K5249" t="s">
        <v>59</v>
      </c>
      <c r="Q5249">
        <v>0</v>
      </c>
      <c r="R5249">
        <v>0</v>
      </c>
      <c r="S5249">
        <v>0</v>
      </c>
      <c r="T5249" t="s">
        <v>19023</v>
      </c>
    </row>
    <row r="5250" spans="1:20" customFormat="1" ht="15" x14ac:dyDescent="0.25">
      <c r="A5250" t="s">
        <v>35</v>
      </c>
      <c r="B5250" t="s">
        <v>61</v>
      </c>
      <c r="C5250" t="str">
        <f>"A0184204"</f>
        <v>A0184204</v>
      </c>
      <c r="D5250" t="s">
        <v>20986</v>
      </c>
      <c r="E5250" t="s">
        <v>20987</v>
      </c>
      <c r="F5250" t="s">
        <v>20988</v>
      </c>
      <c r="G5250" t="s">
        <v>52</v>
      </c>
      <c r="H5250" t="s">
        <v>20989</v>
      </c>
      <c r="I5250" t="s">
        <v>30</v>
      </c>
      <c r="J5250" t="s">
        <v>41</v>
      </c>
      <c r="K5250" t="s">
        <v>59</v>
      </c>
      <c r="Q5250">
        <v>0</v>
      </c>
      <c r="R5250">
        <v>0</v>
      </c>
      <c r="S5250">
        <v>0</v>
      </c>
    </row>
    <row r="5251" spans="1:20" customFormat="1" ht="15" x14ac:dyDescent="0.25">
      <c r="A5251" t="s">
        <v>35</v>
      </c>
      <c r="B5251" t="s">
        <v>61</v>
      </c>
      <c r="C5251" t="str">
        <f>"A0184203"</f>
        <v>A0184203</v>
      </c>
      <c r="D5251" t="s">
        <v>20990</v>
      </c>
      <c r="E5251" t="s">
        <v>20991</v>
      </c>
      <c r="F5251" t="s">
        <v>7638</v>
      </c>
      <c r="G5251" t="s">
        <v>52</v>
      </c>
      <c r="H5251">
        <v>75150</v>
      </c>
      <c r="I5251" t="s">
        <v>30</v>
      </c>
      <c r="J5251" t="s">
        <v>41</v>
      </c>
      <c r="K5251" t="s">
        <v>59</v>
      </c>
      <c r="Q5251">
        <v>0</v>
      </c>
      <c r="R5251">
        <v>180</v>
      </c>
      <c r="S5251">
        <v>180</v>
      </c>
      <c r="T5251" t="s">
        <v>20992</v>
      </c>
    </row>
    <row r="5252" spans="1:20" customFormat="1" ht="15" x14ac:dyDescent="0.25">
      <c r="A5252" t="s">
        <v>35</v>
      </c>
      <c r="B5252" t="s">
        <v>61</v>
      </c>
      <c r="C5252" t="str">
        <f>"A0184202"</f>
        <v>A0184202</v>
      </c>
      <c r="D5252" t="s">
        <v>20993</v>
      </c>
      <c r="E5252" t="s">
        <v>20994</v>
      </c>
      <c r="F5252" t="s">
        <v>20966</v>
      </c>
      <c r="G5252" t="s">
        <v>52</v>
      </c>
      <c r="H5252" t="s">
        <v>20995</v>
      </c>
      <c r="I5252" t="s">
        <v>30</v>
      </c>
      <c r="J5252" t="s">
        <v>41</v>
      </c>
      <c r="K5252" t="s">
        <v>59</v>
      </c>
      <c r="Q5252">
        <v>0</v>
      </c>
      <c r="R5252">
        <v>0</v>
      </c>
      <c r="S5252">
        <v>0</v>
      </c>
      <c r="T5252" t="s">
        <v>20996</v>
      </c>
    </row>
    <row r="5253" spans="1:20" customFormat="1" ht="15" x14ac:dyDescent="0.25">
      <c r="A5253" t="s">
        <v>35</v>
      </c>
      <c r="B5253" t="s">
        <v>61</v>
      </c>
      <c r="C5253" t="str">
        <f>"A0184201"</f>
        <v>A0184201</v>
      </c>
      <c r="D5253" t="s">
        <v>20997</v>
      </c>
      <c r="E5253" t="s">
        <v>20998</v>
      </c>
      <c r="F5253" t="s">
        <v>19668</v>
      </c>
      <c r="G5253" t="s">
        <v>289</v>
      </c>
      <c r="H5253" t="s">
        <v>20999</v>
      </c>
      <c r="I5253" t="s">
        <v>30</v>
      </c>
      <c r="J5253" t="s">
        <v>41</v>
      </c>
      <c r="K5253" t="s">
        <v>59</v>
      </c>
      <c r="Q5253">
        <v>0</v>
      </c>
      <c r="R5253">
        <v>0</v>
      </c>
      <c r="S5253">
        <v>0</v>
      </c>
      <c r="T5253" t="s">
        <v>21000</v>
      </c>
    </row>
    <row r="5254" spans="1:20" customFormat="1" ht="15" x14ac:dyDescent="0.25">
      <c r="A5254" t="s">
        <v>35</v>
      </c>
      <c r="B5254" t="s">
        <v>11871</v>
      </c>
      <c r="C5254" t="str">
        <f>"A0184200"</f>
        <v>A0184200</v>
      </c>
      <c r="D5254" t="s">
        <v>21001</v>
      </c>
      <c r="E5254" t="s">
        <v>21002</v>
      </c>
      <c r="F5254" t="s">
        <v>11404</v>
      </c>
      <c r="G5254" t="s">
        <v>507</v>
      </c>
      <c r="H5254">
        <v>251362424</v>
      </c>
      <c r="I5254" t="s">
        <v>30</v>
      </c>
      <c r="J5254" t="s">
        <v>41</v>
      </c>
      <c r="K5254" t="s">
        <v>59</v>
      </c>
      <c r="Q5254">
        <v>0</v>
      </c>
      <c r="R5254">
        <v>0</v>
      </c>
      <c r="S5254">
        <v>0</v>
      </c>
      <c r="T5254" t="s">
        <v>21003</v>
      </c>
    </row>
    <row r="5255" spans="1:20" customFormat="1" ht="15" x14ac:dyDescent="0.25">
      <c r="A5255" t="s">
        <v>35</v>
      </c>
      <c r="B5255" t="s">
        <v>11871</v>
      </c>
      <c r="C5255" t="str">
        <f>"A0184199"</f>
        <v>A0184199</v>
      </c>
      <c r="D5255" t="s">
        <v>21004</v>
      </c>
      <c r="E5255" t="s">
        <v>21005</v>
      </c>
      <c r="F5255" t="s">
        <v>21006</v>
      </c>
      <c r="G5255" t="s">
        <v>507</v>
      </c>
      <c r="H5255">
        <v>252099000</v>
      </c>
      <c r="I5255" t="s">
        <v>30</v>
      </c>
      <c r="J5255" t="s">
        <v>41</v>
      </c>
      <c r="K5255" t="s">
        <v>59</v>
      </c>
      <c r="Q5255">
        <v>0</v>
      </c>
      <c r="R5255">
        <v>0</v>
      </c>
      <c r="S5255">
        <v>0</v>
      </c>
      <c r="T5255" t="s">
        <v>21007</v>
      </c>
    </row>
    <row r="5256" spans="1:20" customFormat="1" ht="15" x14ac:dyDescent="0.25">
      <c r="A5256" t="s">
        <v>35</v>
      </c>
      <c r="B5256" t="s">
        <v>61</v>
      </c>
      <c r="C5256" t="str">
        <f>"A0184198"</f>
        <v>A0184198</v>
      </c>
      <c r="D5256" t="s">
        <v>21008</v>
      </c>
      <c r="E5256" t="s">
        <v>21009</v>
      </c>
      <c r="F5256" t="s">
        <v>3327</v>
      </c>
      <c r="G5256" t="s">
        <v>528</v>
      </c>
      <c r="H5256" t="s">
        <v>21010</v>
      </c>
      <c r="I5256" t="s">
        <v>30</v>
      </c>
      <c r="J5256" t="s">
        <v>41</v>
      </c>
      <c r="K5256" t="s">
        <v>59</v>
      </c>
      <c r="Q5256">
        <v>0</v>
      </c>
      <c r="R5256">
        <v>79</v>
      </c>
      <c r="S5256">
        <v>79</v>
      </c>
      <c r="T5256" t="s">
        <v>21011</v>
      </c>
    </row>
    <row r="5257" spans="1:20" customFormat="1" ht="15" x14ac:dyDescent="0.25">
      <c r="A5257" t="s">
        <v>35</v>
      </c>
      <c r="B5257" t="s">
        <v>61</v>
      </c>
      <c r="C5257" t="str">
        <f>"A0184197"</f>
        <v>A0184197</v>
      </c>
      <c r="D5257" t="s">
        <v>21012</v>
      </c>
      <c r="E5257" t="s">
        <v>21013</v>
      </c>
      <c r="F5257" t="s">
        <v>426</v>
      </c>
      <c r="G5257" t="s">
        <v>427</v>
      </c>
      <c r="H5257">
        <v>68101</v>
      </c>
      <c r="I5257" t="s">
        <v>30</v>
      </c>
      <c r="J5257" t="s">
        <v>41</v>
      </c>
      <c r="K5257" t="s">
        <v>59</v>
      </c>
      <c r="Q5257">
        <v>0</v>
      </c>
      <c r="R5257">
        <v>254</v>
      </c>
      <c r="S5257">
        <v>254</v>
      </c>
      <c r="T5257" t="s">
        <v>21014</v>
      </c>
    </row>
    <row r="5258" spans="1:20" customFormat="1" ht="15" x14ac:dyDescent="0.25">
      <c r="A5258" t="s">
        <v>35</v>
      </c>
      <c r="B5258" t="s">
        <v>61</v>
      </c>
      <c r="C5258" t="str">
        <f>"A0184196"</f>
        <v>A0184196</v>
      </c>
      <c r="D5258" t="s">
        <v>21015</v>
      </c>
      <c r="E5258" t="s">
        <v>21016</v>
      </c>
      <c r="F5258" t="s">
        <v>9128</v>
      </c>
      <c r="G5258" t="s">
        <v>110</v>
      </c>
      <c r="H5258">
        <v>946072412</v>
      </c>
      <c r="I5258" t="s">
        <v>30</v>
      </c>
      <c r="J5258" t="s">
        <v>41</v>
      </c>
      <c r="K5258" t="s">
        <v>59</v>
      </c>
      <c r="Q5258">
        <v>0</v>
      </c>
      <c r="R5258">
        <v>0</v>
      </c>
      <c r="S5258">
        <v>0</v>
      </c>
    </row>
    <row r="5259" spans="1:20" customFormat="1" ht="15" x14ac:dyDescent="0.25">
      <c r="A5259" t="s">
        <v>35</v>
      </c>
      <c r="B5259" t="s">
        <v>61</v>
      </c>
      <c r="C5259" t="str">
        <f>"A0184195"</f>
        <v>A0184195</v>
      </c>
      <c r="D5259" t="s">
        <v>21017</v>
      </c>
      <c r="E5259" t="s">
        <v>21018</v>
      </c>
      <c r="F5259" t="s">
        <v>4098</v>
      </c>
      <c r="G5259" t="s">
        <v>289</v>
      </c>
      <c r="H5259" t="s">
        <v>21019</v>
      </c>
      <c r="I5259" t="s">
        <v>30</v>
      </c>
      <c r="J5259" t="s">
        <v>41</v>
      </c>
      <c r="K5259" t="s">
        <v>59</v>
      </c>
      <c r="Q5259">
        <v>0</v>
      </c>
      <c r="R5259">
        <v>0</v>
      </c>
      <c r="S5259">
        <v>0</v>
      </c>
      <c r="T5259" t="s">
        <v>21020</v>
      </c>
    </row>
    <row r="5260" spans="1:20" customFormat="1" ht="15" x14ac:dyDescent="0.25">
      <c r="A5260" t="s">
        <v>35</v>
      </c>
      <c r="B5260" t="s">
        <v>61</v>
      </c>
      <c r="C5260" t="str">
        <f>"A0184193"</f>
        <v>A0184193</v>
      </c>
      <c r="D5260" t="s">
        <v>21021</v>
      </c>
      <c r="E5260" t="s">
        <v>21022</v>
      </c>
      <c r="F5260" t="s">
        <v>21023</v>
      </c>
      <c r="G5260" t="s">
        <v>110</v>
      </c>
      <c r="H5260" t="s">
        <v>21024</v>
      </c>
      <c r="I5260" t="s">
        <v>30</v>
      </c>
      <c r="J5260" t="s">
        <v>41</v>
      </c>
      <c r="K5260" t="s">
        <v>59</v>
      </c>
      <c r="Q5260">
        <v>0</v>
      </c>
      <c r="R5260">
        <v>0</v>
      </c>
      <c r="S5260">
        <v>0</v>
      </c>
    </row>
    <row r="5261" spans="1:20" customFormat="1" ht="15" x14ac:dyDescent="0.25">
      <c r="A5261" t="s">
        <v>35</v>
      </c>
      <c r="B5261" t="s">
        <v>61</v>
      </c>
      <c r="C5261" t="str">
        <f>"A0184192"</f>
        <v>A0184192</v>
      </c>
      <c r="D5261" t="s">
        <v>21025</v>
      </c>
      <c r="E5261" t="s">
        <v>21026</v>
      </c>
      <c r="F5261" t="s">
        <v>9668</v>
      </c>
      <c r="G5261" t="s">
        <v>110</v>
      </c>
      <c r="H5261">
        <v>954045069</v>
      </c>
      <c r="I5261" t="s">
        <v>30</v>
      </c>
      <c r="J5261" t="s">
        <v>41</v>
      </c>
      <c r="K5261" t="s">
        <v>59</v>
      </c>
      <c r="Q5261">
        <v>0</v>
      </c>
      <c r="R5261">
        <v>0</v>
      </c>
      <c r="S5261">
        <v>0</v>
      </c>
      <c r="T5261" t="s">
        <v>21027</v>
      </c>
    </row>
    <row r="5262" spans="1:20" customFormat="1" ht="15" x14ac:dyDescent="0.25">
      <c r="A5262" t="s">
        <v>35</v>
      </c>
      <c r="B5262" t="s">
        <v>61</v>
      </c>
      <c r="C5262" t="str">
        <f>"A0184191"</f>
        <v>A0184191</v>
      </c>
      <c r="D5262" t="s">
        <v>12682</v>
      </c>
      <c r="E5262" t="s">
        <v>21028</v>
      </c>
      <c r="F5262" t="s">
        <v>7276</v>
      </c>
      <c r="G5262" t="s">
        <v>110</v>
      </c>
      <c r="H5262">
        <v>907015506</v>
      </c>
      <c r="I5262" t="s">
        <v>30</v>
      </c>
      <c r="J5262" t="s">
        <v>41</v>
      </c>
      <c r="K5262" t="s">
        <v>59</v>
      </c>
      <c r="Q5262">
        <v>0</v>
      </c>
      <c r="R5262">
        <v>66</v>
      </c>
      <c r="S5262">
        <v>66</v>
      </c>
      <c r="T5262" t="s">
        <v>21029</v>
      </c>
    </row>
    <row r="5263" spans="1:20" customFormat="1" ht="15" x14ac:dyDescent="0.25">
      <c r="A5263" t="s">
        <v>35</v>
      </c>
      <c r="B5263" t="s">
        <v>61</v>
      </c>
      <c r="C5263" t="str">
        <f>"A0184190"</f>
        <v>A0184190</v>
      </c>
      <c r="D5263" t="s">
        <v>20276</v>
      </c>
      <c r="E5263" t="s">
        <v>21030</v>
      </c>
      <c r="F5263" t="s">
        <v>20278</v>
      </c>
      <c r="G5263" t="s">
        <v>110</v>
      </c>
      <c r="H5263">
        <v>94503</v>
      </c>
      <c r="I5263" t="s">
        <v>30</v>
      </c>
      <c r="J5263" t="s">
        <v>41</v>
      </c>
      <c r="K5263" t="s">
        <v>59</v>
      </c>
      <c r="Q5263">
        <v>0</v>
      </c>
      <c r="R5263">
        <v>0</v>
      </c>
      <c r="S5263">
        <v>0</v>
      </c>
    </row>
    <row r="5264" spans="1:20" customFormat="1" ht="15" x14ac:dyDescent="0.25">
      <c r="A5264" t="s">
        <v>35</v>
      </c>
      <c r="B5264" t="s">
        <v>61</v>
      </c>
      <c r="C5264" t="str">
        <f>"A0184188"</f>
        <v>A0184188</v>
      </c>
      <c r="D5264" t="s">
        <v>21031</v>
      </c>
      <c r="E5264" t="s">
        <v>21032</v>
      </c>
      <c r="F5264" t="s">
        <v>21033</v>
      </c>
      <c r="G5264" t="s">
        <v>289</v>
      </c>
      <c r="H5264">
        <v>61021</v>
      </c>
      <c r="I5264" t="s">
        <v>30</v>
      </c>
      <c r="J5264" t="s">
        <v>41</v>
      </c>
      <c r="K5264" t="s">
        <v>59</v>
      </c>
      <c r="Q5264">
        <v>0</v>
      </c>
      <c r="R5264">
        <v>28</v>
      </c>
      <c r="S5264">
        <v>28</v>
      </c>
      <c r="T5264" t="s">
        <v>21034</v>
      </c>
    </row>
    <row r="5265" spans="1:20" customFormat="1" ht="15" x14ac:dyDescent="0.25">
      <c r="A5265" t="s">
        <v>35</v>
      </c>
      <c r="B5265" t="s">
        <v>61</v>
      </c>
      <c r="C5265" t="str">
        <f>"A0184187"</f>
        <v>A0184187</v>
      </c>
      <c r="D5265" t="s">
        <v>21035</v>
      </c>
      <c r="E5265" t="s">
        <v>21036</v>
      </c>
      <c r="F5265" t="s">
        <v>21037</v>
      </c>
      <c r="G5265" t="s">
        <v>289</v>
      </c>
      <c r="H5265" t="s">
        <v>21038</v>
      </c>
      <c r="I5265" t="s">
        <v>30</v>
      </c>
      <c r="J5265" t="s">
        <v>41</v>
      </c>
      <c r="K5265" t="s">
        <v>59</v>
      </c>
      <c r="Q5265">
        <v>0</v>
      </c>
      <c r="R5265">
        <v>0</v>
      </c>
      <c r="S5265">
        <v>0</v>
      </c>
    </row>
    <row r="5266" spans="1:20" customFormat="1" ht="15" x14ac:dyDescent="0.25">
      <c r="A5266" t="s">
        <v>35</v>
      </c>
      <c r="B5266" t="s">
        <v>61</v>
      </c>
      <c r="C5266" t="str">
        <f>"A0184186"</f>
        <v>A0184186</v>
      </c>
      <c r="D5266" t="s">
        <v>21039</v>
      </c>
      <c r="E5266" t="s">
        <v>21040</v>
      </c>
      <c r="F5266" t="s">
        <v>2219</v>
      </c>
      <c r="G5266" t="s">
        <v>289</v>
      </c>
      <c r="H5266" t="s">
        <v>21041</v>
      </c>
      <c r="I5266" t="s">
        <v>30</v>
      </c>
      <c r="J5266" t="s">
        <v>41</v>
      </c>
      <c r="K5266" t="s">
        <v>59</v>
      </c>
      <c r="Q5266">
        <v>0</v>
      </c>
      <c r="R5266">
        <v>46</v>
      </c>
      <c r="S5266">
        <v>46</v>
      </c>
      <c r="T5266" t="s">
        <v>21042</v>
      </c>
    </row>
    <row r="5267" spans="1:20" customFormat="1" ht="15" x14ac:dyDescent="0.25">
      <c r="A5267" t="s">
        <v>35</v>
      </c>
      <c r="B5267" t="s">
        <v>61</v>
      </c>
      <c r="C5267" t="str">
        <f>"A0184185"</f>
        <v>A0184185</v>
      </c>
      <c r="D5267" t="s">
        <v>21043</v>
      </c>
      <c r="E5267" t="s">
        <v>21044</v>
      </c>
      <c r="F5267" t="s">
        <v>21045</v>
      </c>
      <c r="G5267" t="s">
        <v>289</v>
      </c>
      <c r="H5267" t="s">
        <v>21046</v>
      </c>
      <c r="I5267" t="s">
        <v>30</v>
      </c>
      <c r="J5267" t="s">
        <v>41</v>
      </c>
      <c r="K5267" t="s">
        <v>59</v>
      </c>
      <c r="Q5267">
        <v>0</v>
      </c>
      <c r="R5267">
        <v>50</v>
      </c>
      <c r="S5267">
        <v>50</v>
      </c>
      <c r="T5267" t="s">
        <v>21047</v>
      </c>
    </row>
    <row r="5268" spans="1:20" customFormat="1" ht="15" x14ac:dyDescent="0.25">
      <c r="A5268" t="s">
        <v>35</v>
      </c>
      <c r="B5268" t="s">
        <v>61</v>
      </c>
      <c r="C5268" t="str">
        <f>"A0184184"</f>
        <v>A0184184</v>
      </c>
      <c r="D5268" t="s">
        <v>21048</v>
      </c>
      <c r="E5268" t="s">
        <v>21049</v>
      </c>
      <c r="F5268" t="s">
        <v>21050</v>
      </c>
      <c r="G5268" t="s">
        <v>289</v>
      </c>
      <c r="H5268" t="s">
        <v>21051</v>
      </c>
      <c r="I5268" t="s">
        <v>30</v>
      </c>
      <c r="J5268" t="s">
        <v>41</v>
      </c>
      <c r="K5268" t="s">
        <v>59</v>
      </c>
      <c r="Q5268">
        <v>0</v>
      </c>
      <c r="R5268">
        <v>0</v>
      </c>
      <c r="S5268">
        <v>0</v>
      </c>
      <c r="T5268" t="s">
        <v>21052</v>
      </c>
    </row>
    <row r="5269" spans="1:20" customFormat="1" ht="15" x14ac:dyDescent="0.25">
      <c r="A5269" t="s">
        <v>35</v>
      </c>
      <c r="B5269" t="s">
        <v>11183</v>
      </c>
      <c r="C5269" t="str">
        <f>"A0184183"</f>
        <v>A0184183</v>
      </c>
      <c r="D5269" t="s">
        <v>21053</v>
      </c>
      <c r="E5269" t="s">
        <v>21054</v>
      </c>
      <c r="F5269" t="s">
        <v>5781</v>
      </c>
      <c r="G5269" t="s">
        <v>103</v>
      </c>
      <c r="H5269">
        <v>174089748</v>
      </c>
      <c r="I5269" t="s">
        <v>30</v>
      </c>
      <c r="J5269" t="s">
        <v>41</v>
      </c>
      <c r="K5269" t="s">
        <v>59</v>
      </c>
      <c r="Q5269">
        <v>0</v>
      </c>
      <c r="R5269">
        <v>64</v>
      </c>
      <c r="S5269">
        <v>64</v>
      </c>
      <c r="T5269" t="s">
        <v>21055</v>
      </c>
    </row>
    <row r="5270" spans="1:20" customFormat="1" ht="15" x14ac:dyDescent="0.25">
      <c r="A5270" t="s">
        <v>35</v>
      </c>
      <c r="B5270" t="s">
        <v>61</v>
      </c>
      <c r="C5270" t="str">
        <f>"A0184182"</f>
        <v>A0184182</v>
      </c>
      <c r="D5270" t="s">
        <v>21056</v>
      </c>
      <c r="E5270" t="s">
        <v>21057</v>
      </c>
      <c r="F5270" t="s">
        <v>19976</v>
      </c>
      <c r="G5270" t="s">
        <v>103</v>
      </c>
      <c r="H5270" t="s">
        <v>21058</v>
      </c>
      <c r="I5270" t="s">
        <v>30</v>
      </c>
      <c r="J5270" t="s">
        <v>41</v>
      </c>
      <c r="K5270" t="s">
        <v>59</v>
      </c>
      <c r="Q5270">
        <v>0</v>
      </c>
      <c r="R5270">
        <v>46</v>
      </c>
      <c r="S5270">
        <v>46</v>
      </c>
      <c r="T5270" t="s">
        <v>11051</v>
      </c>
    </row>
    <row r="5271" spans="1:20" customFormat="1" ht="15" x14ac:dyDescent="0.25">
      <c r="A5271" t="s">
        <v>35</v>
      </c>
      <c r="B5271" t="s">
        <v>61</v>
      </c>
      <c r="C5271" t="str">
        <f>"A0184181"</f>
        <v>A0184181</v>
      </c>
      <c r="D5271" t="s">
        <v>21059</v>
      </c>
      <c r="E5271" t="s">
        <v>21060</v>
      </c>
      <c r="F5271" t="s">
        <v>2307</v>
      </c>
      <c r="G5271" t="s">
        <v>65</v>
      </c>
      <c r="H5271">
        <v>44122</v>
      </c>
      <c r="I5271" t="s">
        <v>30</v>
      </c>
      <c r="J5271" t="s">
        <v>41</v>
      </c>
      <c r="K5271" t="s">
        <v>59</v>
      </c>
      <c r="Q5271">
        <v>0</v>
      </c>
      <c r="R5271">
        <v>62</v>
      </c>
      <c r="S5271">
        <v>62</v>
      </c>
      <c r="T5271" t="s">
        <v>21061</v>
      </c>
    </row>
    <row r="5272" spans="1:20" customFormat="1" ht="15" x14ac:dyDescent="0.25">
      <c r="A5272" t="s">
        <v>35</v>
      </c>
      <c r="B5272" t="s">
        <v>61</v>
      </c>
      <c r="C5272" t="str">
        <f>"A0184180"</f>
        <v>A0184180</v>
      </c>
      <c r="D5272" t="s">
        <v>21062</v>
      </c>
      <c r="E5272" t="s">
        <v>21063</v>
      </c>
      <c r="F5272" t="s">
        <v>2307</v>
      </c>
      <c r="G5272" t="s">
        <v>65</v>
      </c>
      <c r="H5272" t="s">
        <v>21064</v>
      </c>
      <c r="I5272" t="s">
        <v>30</v>
      </c>
      <c r="J5272" t="s">
        <v>41</v>
      </c>
      <c r="K5272" t="s">
        <v>59</v>
      </c>
      <c r="Q5272">
        <v>0</v>
      </c>
      <c r="R5272">
        <v>100</v>
      </c>
      <c r="S5272">
        <v>100</v>
      </c>
      <c r="T5272" t="s">
        <v>21065</v>
      </c>
    </row>
    <row r="5273" spans="1:20" customFormat="1" ht="15" x14ac:dyDescent="0.25">
      <c r="A5273" t="s">
        <v>35</v>
      </c>
      <c r="B5273" t="s">
        <v>61</v>
      </c>
      <c r="C5273" t="str">
        <f>"A0184179"</f>
        <v>A0184179</v>
      </c>
      <c r="D5273" t="s">
        <v>21066</v>
      </c>
      <c r="E5273" t="s">
        <v>21067</v>
      </c>
      <c r="F5273" t="s">
        <v>64</v>
      </c>
      <c r="G5273" t="s">
        <v>65</v>
      </c>
      <c r="H5273">
        <v>432271957</v>
      </c>
      <c r="I5273" t="s">
        <v>30</v>
      </c>
      <c r="J5273" t="s">
        <v>41</v>
      </c>
      <c r="K5273" t="s">
        <v>59</v>
      </c>
      <c r="Q5273">
        <v>0</v>
      </c>
      <c r="R5273">
        <v>0</v>
      </c>
      <c r="S5273">
        <v>0</v>
      </c>
    </row>
    <row r="5274" spans="1:20" customFormat="1" ht="15" x14ac:dyDescent="0.25">
      <c r="A5274" t="s">
        <v>35</v>
      </c>
      <c r="B5274" t="s">
        <v>61</v>
      </c>
      <c r="C5274" t="str">
        <f>"A0184178"</f>
        <v>A0184178</v>
      </c>
      <c r="D5274" t="s">
        <v>21068</v>
      </c>
      <c r="E5274" t="s">
        <v>21069</v>
      </c>
      <c r="F5274" t="s">
        <v>7362</v>
      </c>
      <c r="G5274" t="s">
        <v>110</v>
      </c>
      <c r="H5274" t="s">
        <v>21070</v>
      </c>
      <c r="I5274" t="s">
        <v>30</v>
      </c>
      <c r="J5274" t="s">
        <v>41</v>
      </c>
      <c r="K5274" t="s">
        <v>59</v>
      </c>
      <c r="Q5274">
        <v>0</v>
      </c>
      <c r="R5274">
        <v>0</v>
      </c>
      <c r="S5274">
        <v>0</v>
      </c>
      <c r="T5274" t="s">
        <v>21071</v>
      </c>
    </row>
    <row r="5275" spans="1:20" customFormat="1" ht="15" x14ac:dyDescent="0.25">
      <c r="A5275" t="s">
        <v>35</v>
      </c>
      <c r="B5275" t="s">
        <v>61</v>
      </c>
      <c r="C5275" t="str">
        <f>"A0184177"</f>
        <v>A0184177</v>
      </c>
      <c r="D5275" t="s">
        <v>21072</v>
      </c>
      <c r="E5275" t="s">
        <v>21073</v>
      </c>
      <c r="F5275" t="s">
        <v>1439</v>
      </c>
      <c r="G5275" t="s">
        <v>110</v>
      </c>
      <c r="H5275" t="s">
        <v>21074</v>
      </c>
      <c r="I5275" t="s">
        <v>30</v>
      </c>
      <c r="J5275" t="s">
        <v>41</v>
      </c>
      <c r="K5275" t="s">
        <v>59</v>
      </c>
      <c r="Q5275">
        <v>0</v>
      </c>
      <c r="R5275">
        <v>0</v>
      </c>
      <c r="S5275">
        <v>0</v>
      </c>
    </row>
    <row r="5276" spans="1:20" customFormat="1" ht="15" x14ac:dyDescent="0.25">
      <c r="A5276" t="s">
        <v>35</v>
      </c>
      <c r="B5276" t="s">
        <v>61</v>
      </c>
      <c r="C5276" t="str">
        <f>"A0184176"</f>
        <v>A0184176</v>
      </c>
      <c r="D5276" t="s">
        <v>21075</v>
      </c>
      <c r="E5276" t="s">
        <v>21076</v>
      </c>
      <c r="F5276" t="s">
        <v>19189</v>
      </c>
      <c r="G5276" t="s">
        <v>103</v>
      </c>
      <c r="H5276" t="s">
        <v>21077</v>
      </c>
      <c r="I5276" t="s">
        <v>30</v>
      </c>
      <c r="J5276" t="s">
        <v>41</v>
      </c>
      <c r="K5276" t="s">
        <v>59</v>
      </c>
      <c r="Q5276">
        <v>0</v>
      </c>
      <c r="R5276">
        <v>88</v>
      </c>
      <c r="S5276">
        <v>88</v>
      </c>
      <c r="T5276" t="s">
        <v>21078</v>
      </c>
    </row>
    <row r="5277" spans="1:20" customFormat="1" ht="15" x14ac:dyDescent="0.25">
      <c r="A5277" t="s">
        <v>35</v>
      </c>
      <c r="B5277" t="s">
        <v>61</v>
      </c>
      <c r="C5277" t="str">
        <f>"A0184175"</f>
        <v>A0184175</v>
      </c>
      <c r="D5277" t="s">
        <v>15577</v>
      </c>
      <c r="E5277" t="s">
        <v>21079</v>
      </c>
      <c r="F5277" t="s">
        <v>18414</v>
      </c>
      <c r="G5277" t="s">
        <v>103</v>
      </c>
      <c r="H5277" t="s">
        <v>21080</v>
      </c>
      <c r="I5277" t="s">
        <v>30</v>
      </c>
      <c r="J5277" t="s">
        <v>41</v>
      </c>
      <c r="K5277" t="s">
        <v>59</v>
      </c>
      <c r="Q5277">
        <v>0</v>
      </c>
      <c r="R5277">
        <v>328</v>
      </c>
      <c r="S5277">
        <v>328</v>
      </c>
      <c r="T5277" t="s">
        <v>21081</v>
      </c>
    </row>
    <row r="5278" spans="1:20" customFormat="1" ht="15" x14ac:dyDescent="0.25">
      <c r="A5278" t="s">
        <v>35</v>
      </c>
      <c r="B5278" t="s">
        <v>61</v>
      </c>
      <c r="C5278" t="str">
        <f>"A0184174"</f>
        <v>A0184174</v>
      </c>
      <c r="D5278" t="s">
        <v>21082</v>
      </c>
      <c r="E5278" t="s">
        <v>21083</v>
      </c>
      <c r="F5278" t="s">
        <v>11049</v>
      </c>
      <c r="G5278" t="s">
        <v>103</v>
      </c>
      <c r="H5278">
        <v>19454</v>
      </c>
      <c r="I5278" t="s">
        <v>30</v>
      </c>
      <c r="J5278" t="s">
        <v>41</v>
      </c>
      <c r="K5278" t="s">
        <v>59</v>
      </c>
      <c r="Q5278">
        <v>0</v>
      </c>
      <c r="R5278">
        <v>46</v>
      </c>
      <c r="S5278">
        <v>46</v>
      </c>
      <c r="T5278" t="s">
        <v>11051</v>
      </c>
    </row>
    <row r="5279" spans="1:20" customFormat="1" ht="15" x14ac:dyDescent="0.25">
      <c r="A5279" t="s">
        <v>35</v>
      </c>
      <c r="B5279" t="s">
        <v>61</v>
      </c>
      <c r="C5279" t="str">
        <f>"A0184173"</f>
        <v>A0184173</v>
      </c>
      <c r="D5279" t="s">
        <v>21084</v>
      </c>
      <c r="E5279" t="s">
        <v>21085</v>
      </c>
      <c r="F5279" t="s">
        <v>3451</v>
      </c>
      <c r="G5279" t="s">
        <v>427</v>
      </c>
      <c r="H5279">
        <v>68959</v>
      </c>
      <c r="I5279" t="s">
        <v>30</v>
      </c>
      <c r="J5279" t="s">
        <v>41</v>
      </c>
      <c r="K5279" t="s">
        <v>59</v>
      </c>
      <c r="Q5279">
        <v>0</v>
      </c>
      <c r="R5279">
        <v>110</v>
      </c>
      <c r="S5279">
        <v>110</v>
      </c>
      <c r="T5279" t="s">
        <v>21086</v>
      </c>
    </row>
    <row r="5280" spans="1:20" customFormat="1" ht="15" x14ac:dyDescent="0.25">
      <c r="A5280" t="s">
        <v>35</v>
      </c>
      <c r="B5280" t="s">
        <v>61</v>
      </c>
      <c r="C5280" t="str">
        <f>"A0184172"</f>
        <v>A0184172</v>
      </c>
      <c r="D5280" t="s">
        <v>21087</v>
      </c>
      <c r="E5280" t="s">
        <v>21088</v>
      </c>
      <c r="F5280" t="s">
        <v>21089</v>
      </c>
      <c r="G5280" t="s">
        <v>427</v>
      </c>
      <c r="H5280">
        <v>69357</v>
      </c>
      <c r="I5280" t="s">
        <v>30</v>
      </c>
      <c r="J5280" t="s">
        <v>41</v>
      </c>
      <c r="K5280" t="s">
        <v>59</v>
      </c>
      <c r="Q5280">
        <v>0</v>
      </c>
      <c r="R5280">
        <v>1</v>
      </c>
      <c r="S5280">
        <v>1</v>
      </c>
      <c r="T5280" t="s">
        <v>21090</v>
      </c>
    </row>
    <row r="5281" spans="1:20" customFormat="1" ht="15" x14ac:dyDescent="0.25">
      <c r="A5281" t="s">
        <v>35</v>
      </c>
      <c r="B5281" t="s">
        <v>61</v>
      </c>
      <c r="C5281" t="str">
        <f>"A0184170"</f>
        <v>A0184170</v>
      </c>
      <c r="D5281" t="s">
        <v>21091</v>
      </c>
      <c r="E5281" t="s">
        <v>21092</v>
      </c>
      <c r="F5281" t="s">
        <v>426</v>
      </c>
      <c r="G5281" t="s">
        <v>427</v>
      </c>
      <c r="H5281">
        <v>681544410</v>
      </c>
      <c r="I5281" t="s">
        <v>30</v>
      </c>
      <c r="J5281" t="s">
        <v>41</v>
      </c>
      <c r="K5281" t="s">
        <v>59</v>
      </c>
      <c r="Q5281">
        <v>0</v>
      </c>
      <c r="R5281">
        <v>0</v>
      </c>
      <c r="S5281">
        <v>0</v>
      </c>
      <c r="T5281" t="s">
        <v>21093</v>
      </c>
    </row>
    <row r="5282" spans="1:20" customFormat="1" ht="15" x14ac:dyDescent="0.25">
      <c r="A5282" t="s">
        <v>35</v>
      </c>
      <c r="B5282" t="s">
        <v>61</v>
      </c>
      <c r="C5282" t="str">
        <f>"A0184169"</f>
        <v>A0184169</v>
      </c>
      <c r="D5282" t="s">
        <v>21094</v>
      </c>
      <c r="E5282" t="s">
        <v>21095</v>
      </c>
      <c r="F5282" t="s">
        <v>426</v>
      </c>
      <c r="G5282" t="s">
        <v>427</v>
      </c>
      <c r="H5282">
        <v>681544428</v>
      </c>
      <c r="I5282" t="s">
        <v>30</v>
      </c>
      <c r="J5282" t="s">
        <v>41</v>
      </c>
      <c r="K5282" t="s">
        <v>59</v>
      </c>
      <c r="Q5282">
        <v>0</v>
      </c>
      <c r="R5282">
        <v>90</v>
      </c>
      <c r="S5282">
        <v>90</v>
      </c>
      <c r="T5282" t="s">
        <v>21096</v>
      </c>
    </row>
    <row r="5283" spans="1:20" customFormat="1" ht="15" x14ac:dyDescent="0.25">
      <c r="A5283" t="s">
        <v>35</v>
      </c>
      <c r="B5283" t="s">
        <v>61</v>
      </c>
      <c r="C5283" t="str">
        <f>"A0184168"</f>
        <v>A0184168</v>
      </c>
      <c r="D5283" t="s">
        <v>21097</v>
      </c>
      <c r="E5283" t="s">
        <v>21098</v>
      </c>
      <c r="F5283" t="s">
        <v>21099</v>
      </c>
      <c r="G5283" t="s">
        <v>144</v>
      </c>
      <c r="H5283">
        <v>58201</v>
      </c>
      <c r="I5283" t="s">
        <v>30</v>
      </c>
      <c r="J5283" t="s">
        <v>41</v>
      </c>
      <c r="K5283" t="s">
        <v>59</v>
      </c>
      <c r="Q5283">
        <v>0</v>
      </c>
      <c r="R5283">
        <v>0</v>
      </c>
      <c r="S5283">
        <v>0</v>
      </c>
    </row>
    <row r="5284" spans="1:20" customFormat="1" ht="15" x14ac:dyDescent="0.25">
      <c r="A5284" t="s">
        <v>35</v>
      </c>
      <c r="B5284" t="s">
        <v>61</v>
      </c>
      <c r="C5284" t="str">
        <f>"A0184167"</f>
        <v>A0184167</v>
      </c>
      <c r="D5284" t="s">
        <v>21100</v>
      </c>
      <c r="E5284" t="s">
        <v>21101</v>
      </c>
      <c r="F5284" t="s">
        <v>4133</v>
      </c>
      <c r="G5284" t="s">
        <v>52</v>
      </c>
      <c r="H5284" t="s">
        <v>21102</v>
      </c>
      <c r="I5284" t="s">
        <v>30</v>
      </c>
      <c r="J5284" t="s">
        <v>41</v>
      </c>
      <c r="K5284" t="s">
        <v>59</v>
      </c>
      <c r="Q5284">
        <v>0</v>
      </c>
      <c r="R5284">
        <v>0</v>
      </c>
      <c r="S5284">
        <v>0</v>
      </c>
    </row>
    <row r="5285" spans="1:20" customFormat="1" ht="15" x14ac:dyDescent="0.25">
      <c r="A5285" t="s">
        <v>35</v>
      </c>
      <c r="B5285" t="s">
        <v>61</v>
      </c>
      <c r="C5285" t="str">
        <f>"A0184166"</f>
        <v>A0184166</v>
      </c>
      <c r="D5285" t="s">
        <v>21103</v>
      </c>
      <c r="E5285" t="s">
        <v>21104</v>
      </c>
      <c r="F5285" t="s">
        <v>7638</v>
      </c>
      <c r="G5285" t="s">
        <v>52</v>
      </c>
      <c r="H5285">
        <v>75149</v>
      </c>
      <c r="I5285" t="s">
        <v>30</v>
      </c>
      <c r="J5285" t="s">
        <v>41</v>
      </c>
      <c r="K5285" t="s">
        <v>59</v>
      </c>
      <c r="Q5285">
        <v>0</v>
      </c>
      <c r="R5285">
        <v>0</v>
      </c>
      <c r="S5285">
        <v>0</v>
      </c>
    </row>
    <row r="5286" spans="1:20" customFormat="1" ht="15" x14ac:dyDescent="0.25">
      <c r="A5286" t="s">
        <v>35</v>
      </c>
      <c r="B5286" t="s">
        <v>61</v>
      </c>
      <c r="C5286" t="str">
        <f>"A0184165"</f>
        <v>A0184165</v>
      </c>
      <c r="D5286" t="s">
        <v>21105</v>
      </c>
      <c r="E5286" t="s">
        <v>21106</v>
      </c>
      <c r="F5286" t="s">
        <v>1731</v>
      </c>
      <c r="G5286" t="s">
        <v>52</v>
      </c>
      <c r="H5286">
        <v>752141858</v>
      </c>
      <c r="I5286" t="s">
        <v>30</v>
      </c>
      <c r="J5286" t="s">
        <v>41</v>
      </c>
      <c r="K5286" t="s">
        <v>59</v>
      </c>
      <c r="Q5286">
        <v>0</v>
      </c>
      <c r="R5286">
        <v>194</v>
      </c>
      <c r="S5286">
        <v>194</v>
      </c>
      <c r="T5286" t="s">
        <v>21107</v>
      </c>
    </row>
    <row r="5287" spans="1:20" customFormat="1" ht="15" x14ac:dyDescent="0.25">
      <c r="A5287" t="s">
        <v>35</v>
      </c>
      <c r="B5287" t="s">
        <v>61</v>
      </c>
      <c r="C5287" t="str">
        <f>"A0184164"</f>
        <v>A0184164</v>
      </c>
      <c r="D5287" t="s">
        <v>21108</v>
      </c>
      <c r="E5287" t="s">
        <v>21109</v>
      </c>
      <c r="F5287" t="s">
        <v>2636</v>
      </c>
      <c r="G5287" t="s">
        <v>52</v>
      </c>
      <c r="H5287" t="s">
        <v>21110</v>
      </c>
      <c r="I5287" t="s">
        <v>30</v>
      </c>
      <c r="J5287" t="s">
        <v>41</v>
      </c>
      <c r="K5287" t="s">
        <v>59</v>
      </c>
      <c r="Q5287">
        <v>0</v>
      </c>
      <c r="R5287">
        <v>140</v>
      </c>
      <c r="S5287">
        <v>140</v>
      </c>
      <c r="T5287" t="s">
        <v>21111</v>
      </c>
    </row>
    <row r="5288" spans="1:20" customFormat="1" ht="15" x14ac:dyDescent="0.25">
      <c r="A5288" t="s">
        <v>35</v>
      </c>
      <c r="B5288" t="s">
        <v>61</v>
      </c>
      <c r="C5288" t="str">
        <f>"A0184163"</f>
        <v>A0184163</v>
      </c>
      <c r="D5288" t="s">
        <v>21112</v>
      </c>
      <c r="E5288" t="s">
        <v>21113</v>
      </c>
      <c r="F5288" t="s">
        <v>17621</v>
      </c>
      <c r="G5288" t="s">
        <v>52</v>
      </c>
      <c r="H5288">
        <v>769034077</v>
      </c>
      <c r="I5288" t="s">
        <v>30</v>
      </c>
      <c r="J5288" t="s">
        <v>41</v>
      </c>
      <c r="K5288" t="s">
        <v>59</v>
      </c>
      <c r="Q5288">
        <v>0</v>
      </c>
      <c r="R5288">
        <v>0</v>
      </c>
      <c r="S5288">
        <v>0</v>
      </c>
      <c r="T5288" t="s">
        <v>17622</v>
      </c>
    </row>
    <row r="5289" spans="1:20" customFormat="1" ht="15" x14ac:dyDescent="0.25">
      <c r="A5289" t="s">
        <v>35</v>
      </c>
      <c r="B5289" t="s">
        <v>61</v>
      </c>
      <c r="C5289" t="str">
        <f>"A0184162"</f>
        <v>A0184162</v>
      </c>
      <c r="D5289" t="s">
        <v>21114</v>
      </c>
      <c r="E5289" t="s">
        <v>21115</v>
      </c>
      <c r="F5289" t="s">
        <v>5240</v>
      </c>
      <c r="G5289" t="s">
        <v>52</v>
      </c>
      <c r="H5289">
        <v>782096215</v>
      </c>
      <c r="I5289" t="s">
        <v>30</v>
      </c>
      <c r="J5289" t="s">
        <v>41</v>
      </c>
      <c r="K5289" t="s">
        <v>59</v>
      </c>
      <c r="Q5289">
        <v>0</v>
      </c>
      <c r="R5289">
        <v>62</v>
      </c>
      <c r="S5289">
        <v>62</v>
      </c>
      <c r="T5289" t="s">
        <v>21116</v>
      </c>
    </row>
    <row r="5290" spans="1:20" customFormat="1" ht="15" x14ac:dyDescent="0.25">
      <c r="A5290" t="s">
        <v>35</v>
      </c>
      <c r="B5290" t="s">
        <v>61</v>
      </c>
      <c r="C5290" t="str">
        <f>"A0184160"</f>
        <v>A0184160</v>
      </c>
      <c r="D5290" t="s">
        <v>21117</v>
      </c>
      <c r="E5290" t="s">
        <v>21118</v>
      </c>
      <c r="F5290" t="s">
        <v>21119</v>
      </c>
      <c r="G5290" t="s">
        <v>65</v>
      </c>
      <c r="H5290" t="s">
        <v>21120</v>
      </c>
      <c r="I5290" t="s">
        <v>30</v>
      </c>
      <c r="J5290" t="s">
        <v>41</v>
      </c>
      <c r="K5290" t="s">
        <v>59</v>
      </c>
      <c r="Q5290">
        <v>0</v>
      </c>
      <c r="R5290">
        <v>72</v>
      </c>
      <c r="S5290">
        <v>72</v>
      </c>
      <c r="T5290" t="s">
        <v>21121</v>
      </c>
    </row>
    <row r="5291" spans="1:20" customFormat="1" ht="15" x14ac:dyDescent="0.25">
      <c r="A5291" t="s">
        <v>35</v>
      </c>
      <c r="B5291" t="s">
        <v>16926</v>
      </c>
      <c r="C5291" t="str">
        <f>"A0184159"</f>
        <v>A0184159</v>
      </c>
      <c r="D5291" t="s">
        <v>21122</v>
      </c>
      <c r="E5291" t="s">
        <v>21123</v>
      </c>
      <c r="F5291" t="s">
        <v>21124</v>
      </c>
      <c r="G5291" t="s">
        <v>289</v>
      </c>
      <c r="H5291">
        <v>605151141</v>
      </c>
      <c r="I5291" t="s">
        <v>30</v>
      </c>
      <c r="J5291" t="s">
        <v>41</v>
      </c>
      <c r="K5291" t="s">
        <v>59</v>
      </c>
      <c r="Q5291">
        <v>0</v>
      </c>
      <c r="R5291">
        <v>146</v>
      </c>
      <c r="S5291">
        <v>146</v>
      </c>
      <c r="T5291" t="s">
        <v>21125</v>
      </c>
    </row>
    <row r="5292" spans="1:20" customFormat="1" ht="15" x14ac:dyDescent="0.25">
      <c r="A5292" t="s">
        <v>35</v>
      </c>
      <c r="B5292" t="s">
        <v>61</v>
      </c>
      <c r="C5292" t="str">
        <f>"A0184158"</f>
        <v>A0184158</v>
      </c>
      <c r="D5292" t="s">
        <v>21126</v>
      </c>
      <c r="E5292" t="s">
        <v>21127</v>
      </c>
      <c r="F5292" t="s">
        <v>21128</v>
      </c>
      <c r="G5292" t="s">
        <v>289</v>
      </c>
      <c r="H5292">
        <v>61081</v>
      </c>
      <c r="I5292" t="s">
        <v>30</v>
      </c>
      <c r="J5292" t="s">
        <v>41</v>
      </c>
      <c r="K5292" t="s">
        <v>59</v>
      </c>
      <c r="Q5292">
        <v>0</v>
      </c>
      <c r="R5292">
        <v>0</v>
      </c>
      <c r="S5292">
        <v>0</v>
      </c>
    </row>
    <row r="5293" spans="1:20" customFormat="1" ht="15" x14ac:dyDescent="0.25">
      <c r="A5293" t="s">
        <v>35</v>
      </c>
      <c r="B5293" t="s">
        <v>61</v>
      </c>
      <c r="C5293" t="str">
        <f>"A0184157"</f>
        <v>A0184157</v>
      </c>
      <c r="D5293" t="s">
        <v>21129</v>
      </c>
      <c r="E5293" t="s">
        <v>21130</v>
      </c>
      <c r="F5293" t="s">
        <v>288</v>
      </c>
      <c r="G5293" t="s">
        <v>289</v>
      </c>
      <c r="H5293" t="s">
        <v>21131</v>
      </c>
      <c r="I5293" t="s">
        <v>30</v>
      </c>
      <c r="J5293" t="s">
        <v>41</v>
      </c>
      <c r="K5293" t="s">
        <v>59</v>
      </c>
      <c r="Q5293">
        <v>0</v>
      </c>
      <c r="R5293">
        <v>0</v>
      </c>
      <c r="S5293">
        <v>0</v>
      </c>
    </row>
    <row r="5294" spans="1:20" customFormat="1" ht="15" x14ac:dyDescent="0.25">
      <c r="A5294" t="s">
        <v>35</v>
      </c>
      <c r="B5294" t="s">
        <v>61</v>
      </c>
      <c r="C5294" t="str">
        <f>"A0184156"</f>
        <v>A0184156</v>
      </c>
      <c r="D5294" t="s">
        <v>21132</v>
      </c>
      <c r="E5294" t="s">
        <v>21133</v>
      </c>
      <c r="F5294" t="s">
        <v>288</v>
      </c>
      <c r="G5294" t="s">
        <v>289</v>
      </c>
      <c r="H5294" t="s">
        <v>21134</v>
      </c>
      <c r="I5294" t="s">
        <v>30</v>
      </c>
      <c r="J5294" t="s">
        <v>41</v>
      </c>
      <c r="K5294" t="s">
        <v>59</v>
      </c>
      <c r="Q5294">
        <v>0</v>
      </c>
      <c r="R5294">
        <v>0</v>
      </c>
      <c r="S5294">
        <v>0</v>
      </c>
    </row>
    <row r="5295" spans="1:20" customFormat="1" ht="15" x14ac:dyDescent="0.25">
      <c r="A5295" t="s">
        <v>35</v>
      </c>
      <c r="B5295" t="s">
        <v>61</v>
      </c>
      <c r="C5295" t="str">
        <f>"A0184155"</f>
        <v>A0184155</v>
      </c>
      <c r="D5295" t="s">
        <v>21135</v>
      </c>
      <c r="E5295" t="s">
        <v>21136</v>
      </c>
      <c r="F5295" t="s">
        <v>7362</v>
      </c>
      <c r="G5295" t="s">
        <v>110</v>
      </c>
      <c r="H5295" t="s">
        <v>21137</v>
      </c>
      <c r="I5295" t="s">
        <v>30</v>
      </c>
      <c r="J5295" t="s">
        <v>41</v>
      </c>
      <c r="K5295" t="s">
        <v>59</v>
      </c>
      <c r="Q5295">
        <v>0</v>
      </c>
      <c r="R5295">
        <v>0</v>
      </c>
      <c r="S5295">
        <v>0</v>
      </c>
    </row>
    <row r="5296" spans="1:20" customFormat="1" ht="15" x14ac:dyDescent="0.25">
      <c r="A5296" t="s">
        <v>35</v>
      </c>
      <c r="B5296" t="s">
        <v>61</v>
      </c>
      <c r="C5296" t="str">
        <f>"A0184154"</f>
        <v>A0184154</v>
      </c>
      <c r="D5296" t="s">
        <v>21138</v>
      </c>
      <c r="E5296" t="s">
        <v>21139</v>
      </c>
      <c r="F5296" t="s">
        <v>8039</v>
      </c>
      <c r="G5296" t="s">
        <v>110</v>
      </c>
      <c r="H5296" t="s">
        <v>21140</v>
      </c>
      <c r="I5296" t="s">
        <v>30</v>
      </c>
      <c r="J5296" t="s">
        <v>41</v>
      </c>
      <c r="K5296" t="s">
        <v>59</v>
      </c>
      <c r="Q5296">
        <v>0</v>
      </c>
      <c r="R5296">
        <v>62</v>
      </c>
      <c r="S5296">
        <v>62</v>
      </c>
      <c r="T5296" t="s">
        <v>21141</v>
      </c>
    </row>
    <row r="5297" spans="1:20" customFormat="1" ht="15" x14ac:dyDescent="0.25">
      <c r="A5297" t="s">
        <v>35</v>
      </c>
      <c r="B5297" t="s">
        <v>61</v>
      </c>
      <c r="C5297" t="str">
        <f>"A0184153"</f>
        <v>A0184153</v>
      </c>
      <c r="D5297" t="s">
        <v>21142</v>
      </c>
      <c r="E5297" t="s">
        <v>21143</v>
      </c>
      <c r="F5297" t="s">
        <v>7362</v>
      </c>
      <c r="G5297" t="s">
        <v>110</v>
      </c>
      <c r="H5297" t="s">
        <v>21144</v>
      </c>
      <c r="I5297" t="s">
        <v>30</v>
      </c>
      <c r="J5297" t="s">
        <v>41</v>
      </c>
      <c r="K5297" t="s">
        <v>59</v>
      </c>
      <c r="Q5297">
        <v>0</v>
      </c>
      <c r="R5297">
        <v>0</v>
      </c>
      <c r="S5297">
        <v>0</v>
      </c>
      <c r="T5297" t="s">
        <v>21145</v>
      </c>
    </row>
    <row r="5298" spans="1:20" customFormat="1" ht="15" x14ac:dyDescent="0.25">
      <c r="A5298" t="s">
        <v>35</v>
      </c>
      <c r="B5298" t="s">
        <v>20462</v>
      </c>
      <c r="C5298" t="str">
        <f>"A0184152"</f>
        <v>A0184152</v>
      </c>
      <c r="D5298" t="s">
        <v>21146</v>
      </c>
      <c r="E5298" t="s">
        <v>21147</v>
      </c>
      <c r="F5298" t="s">
        <v>8081</v>
      </c>
      <c r="G5298" t="s">
        <v>110</v>
      </c>
      <c r="H5298">
        <v>941097833</v>
      </c>
      <c r="I5298" t="s">
        <v>30</v>
      </c>
      <c r="J5298" t="s">
        <v>41</v>
      </c>
      <c r="K5298" t="s">
        <v>59</v>
      </c>
      <c r="Q5298">
        <v>0</v>
      </c>
      <c r="R5298">
        <v>0</v>
      </c>
      <c r="S5298">
        <v>0</v>
      </c>
      <c r="T5298" t="s">
        <v>21148</v>
      </c>
    </row>
    <row r="5299" spans="1:20" customFormat="1" ht="15" x14ac:dyDescent="0.25">
      <c r="A5299" t="s">
        <v>35</v>
      </c>
      <c r="B5299" t="s">
        <v>61</v>
      </c>
      <c r="C5299" t="str">
        <f>"A0184151"</f>
        <v>A0184151</v>
      </c>
      <c r="D5299" t="s">
        <v>21149</v>
      </c>
      <c r="E5299" t="s">
        <v>21150</v>
      </c>
      <c r="F5299" t="s">
        <v>9128</v>
      </c>
      <c r="G5299" t="s">
        <v>110</v>
      </c>
      <c r="H5299">
        <v>946072854</v>
      </c>
      <c r="I5299" t="s">
        <v>30</v>
      </c>
      <c r="J5299" t="s">
        <v>41</v>
      </c>
      <c r="K5299" t="s">
        <v>59</v>
      </c>
      <c r="Q5299">
        <v>0</v>
      </c>
      <c r="R5299">
        <v>0</v>
      </c>
      <c r="S5299">
        <v>0</v>
      </c>
    </row>
    <row r="5300" spans="1:20" customFormat="1" ht="15" x14ac:dyDescent="0.25">
      <c r="A5300" t="s">
        <v>35</v>
      </c>
      <c r="B5300" t="s">
        <v>61</v>
      </c>
      <c r="C5300" t="str">
        <f>"A0184150"</f>
        <v>A0184150</v>
      </c>
      <c r="D5300" t="s">
        <v>21151</v>
      </c>
      <c r="E5300" t="s">
        <v>20643</v>
      </c>
      <c r="F5300" t="s">
        <v>20644</v>
      </c>
      <c r="G5300" t="s">
        <v>110</v>
      </c>
      <c r="H5300" t="s">
        <v>20645</v>
      </c>
      <c r="I5300" t="s">
        <v>30</v>
      </c>
      <c r="J5300" t="s">
        <v>41</v>
      </c>
      <c r="K5300" t="s">
        <v>59</v>
      </c>
      <c r="Q5300">
        <v>0</v>
      </c>
      <c r="R5300">
        <v>0</v>
      </c>
      <c r="S5300">
        <v>0</v>
      </c>
      <c r="T5300" t="s">
        <v>20646</v>
      </c>
    </row>
    <row r="5301" spans="1:20" customFormat="1" ht="15" x14ac:dyDescent="0.25">
      <c r="A5301" t="s">
        <v>35</v>
      </c>
      <c r="B5301" t="s">
        <v>61</v>
      </c>
      <c r="C5301" t="str">
        <f>"A0184149"</f>
        <v>A0184149</v>
      </c>
      <c r="D5301" t="s">
        <v>21152</v>
      </c>
      <c r="E5301" t="s">
        <v>21153</v>
      </c>
      <c r="F5301" t="s">
        <v>5257</v>
      </c>
      <c r="G5301" t="s">
        <v>52</v>
      </c>
      <c r="H5301" t="s">
        <v>21154</v>
      </c>
      <c r="I5301" t="s">
        <v>30</v>
      </c>
      <c r="J5301" t="s">
        <v>41</v>
      </c>
      <c r="K5301" t="s">
        <v>59</v>
      </c>
      <c r="Q5301">
        <v>0</v>
      </c>
      <c r="R5301">
        <v>158</v>
      </c>
      <c r="S5301">
        <v>158</v>
      </c>
      <c r="T5301" t="s">
        <v>21155</v>
      </c>
    </row>
    <row r="5302" spans="1:20" customFormat="1" ht="15" x14ac:dyDescent="0.25">
      <c r="A5302" t="s">
        <v>35</v>
      </c>
      <c r="B5302" t="s">
        <v>61</v>
      </c>
      <c r="C5302" t="str">
        <f>"A0184148"</f>
        <v>A0184148</v>
      </c>
      <c r="D5302" t="s">
        <v>21156</v>
      </c>
      <c r="E5302" t="s">
        <v>21157</v>
      </c>
      <c r="F5302" t="s">
        <v>21158</v>
      </c>
      <c r="G5302" t="s">
        <v>52</v>
      </c>
      <c r="H5302" t="s">
        <v>21159</v>
      </c>
      <c r="I5302" t="s">
        <v>30</v>
      </c>
      <c r="J5302" t="s">
        <v>41</v>
      </c>
      <c r="K5302" t="s">
        <v>59</v>
      </c>
      <c r="Q5302">
        <v>0</v>
      </c>
      <c r="R5302">
        <v>60</v>
      </c>
      <c r="S5302">
        <v>60</v>
      </c>
      <c r="T5302" t="s">
        <v>21160</v>
      </c>
    </row>
    <row r="5303" spans="1:20" customFormat="1" ht="15" x14ac:dyDescent="0.25">
      <c r="A5303" t="s">
        <v>35</v>
      </c>
      <c r="B5303" t="s">
        <v>2786</v>
      </c>
      <c r="C5303" t="str">
        <f>"A0184146"</f>
        <v>A0184146</v>
      </c>
      <c r="D5303" t="s">
        <v>21161</v>
      </c>
      <c r="E5303" t="s">
        <v>21162</v>
      </c>
      <c r="F5303" t="s">
        <v>93</v>
      </c>
      <c r="G5303" t="s">
        <v>528</v>
      </c>
      <c r="H5303">
        <v>198071866</v>
      </c>
      <c r="I5303" t="s">
        <v>30</v>
      </c>
      <c r="J5303" t="s">
        <v>41</v>
      </c>
      <c r="K5303" t="s">
        <v>59</v>
      </c>
      <c r="Q5303">
        <v>0</v>
      </c>
      <c r="R5303">
        <v>84</v>
      </c>
      <c r="S5303">
        <v>84</v>
      </c>
      <c r="T5303" t="s">
        <v>21163</v>
      </c>
    </row>
    <row r="5304" spans="1:20" customFormat="1" ht="15" x14ac:dyDescent="0.25">
      <c r="A5304" t="s">
        <v>35</v>
      </c>
      <c r="B5304" t="s">
        <v>61</v>
      </c>
      <c r="C5304" t="str">
        <f>"A0184145"</f>
        <v>A0184145</v>
      </c>
      <c r="D5304" t="s">
        <v>21164</v>
      </c>
      <c r="E5304" t="s">
        <v>21165</v>
      </c>
      <c r="F5304" t="s">
        <v>21166</v>
      </c>
      <c r="G5304" t="s">
        <v>3236</v>
      </c>
      <c r="H5304">
        <v>575673300</v>
      </c>
      <c r="I5304" t="s">
        <v>30</v>
      </c>
      <c r="J5304" t="s">
        <v>41</v>
      </c>
      <c r="K5304" t="s">
        <v>59</v>
      </c>
      <c r="Q5304">
        <v>0</v>
      </c>
      <c r="R5304">
        <v>30</v>
      </c>
      <c r="S5304">
        <v>30</v>
      </c>
      <c r="T5304" t="s">
        <v>21167</v>
      </c>
    </row>
    <row r="5305" spans="1:20" customFormat="1" ht="15" x14ac:dyDescent="0.25">
      <c r="A5305" t="s">
        <v>35</v>
      </c>
      <c r="B5305" t="s">
        <v>61</v>
      </c>
      <c r="C5305" t="str">
        <f>"A0184144"</f>
        <v>A0184144</v>
      </c>
      <c r="D5305" t="s">
        <v>21168</v>
      </c>
      <c r="E5305" t="s">
        <v>21169</v>
      </c>
      <c r="F5305" t="s">
        <v>288</v>
      </c>
      <c r="G5305" t="s">
        <v>289</v>
      </c>
      <c r="H5305" t="s">
        <v>21170</v>
      </c>
      <c r="I5305" t="s">
        <v>30</v>
      </c>
      <c r="J5305" t="s">
        <v>41</v>
      </c>
      <c r="K5305" t="s">
        <v>59</v>
      </c>
      <c r="Q5305">
        <v>0</v>
      </c>
      <c r="R5305">
        <v>0</v>
      </c>
      <c r="S5305">
        <v>0</v>
      </c>
      <c r="T5305" t="s">
        <v>21171</v>
      </c>
    </row>
    <row r="5306" spans="1:20" customFormat="1" ht="15" x14ac:dyDescent="0.25">
      <c r="A5306" t="s">
        <v>35</v>
      </c>
      <c r="B5306" t="s">
        <v>61</v>
      </c>
      <c r="C5306" t="str">
        <f>"A0184143"</f>
        <v>A0184143</v>
      </c>
      <c r="D5306" t="s">
        <v>21172</v>
      </c>
      <c r="E5306" t="s">
        <v>21173</v>
      </c>
      <c r="F5306" t="s">
        <v>21174</v>
      </c>
      <c r="G5306" t="s">
        <v>925</v>
      </c>
      <c r="H5306" t="s">
        <v>21175</v>
      </c>
      <c r="I5306" t="s">
        <v>30</v>
      </c>
      <c r="J5306" t="s">
        <v>41</v>
      </c>
      <c r="K5306" t="s">
        <v>59</v>
      </c>
      <c r="Q5306">
        <v>0</v>
      </c>
      <c r="R5306">
        <v>22</v>
      </c>
      <c r="S5306">
        <v>22</v>
      </c>
      <c r="T5306" t="s">
        <v>21176</v>
      </c>
    </row>
    <row r="5307" spans="1:20" customFormat="1" ht="15" x14ac:dyDescent="0.25">
      <c r="A5307" t="s">
        <v>35</v>
      </c>
      <c r="B5307" t="s">
        <v>61</v>
      </c>
      <c r="C5307" t="str">
        <f>"A0184142"</f>
        <v>A0184142</v>
      </c>
      <c r="D5307" t="s">
        <v>21177</v>
      </c>
      <c r="E5307" t="s">
        <v>21178</v>
      </c>
      <c r="F5307" t="s">
        <v>13127</v>
      </c>
      <c r="G5307" t="s">
        <v>925</v>
      </c>
      <c r="H5307">
        <v>66209</v>
      </c>
      <c r="I5307" t="s">
        <v>30</v>
      </c>
      <c r="J5307" t="s">
        <v>41</v>
      </c>
      <c r="K5307" t="s">
        <v>59</v>
      </c>
      <c r="Q5307">
        <v>0</v>
      </c>
      <c r="R5307">
        <v>130</v>
      </c>
      <c r="S5307">
        <v>130</v>
      </c>
      <c r="T5307" t="s">
        <v>21179</v>
      </c>
    </row>
    <row r="5308" spans="1:20" customFormat="1" ht="15" x14ac:dyDescent="0.25">
      <c r="A5308" t="s">
        <v>35</v>
      </c>
      <c r="B5308" t="s">
        <v>61</v>
      </c>
      <c r="C5308" t="str">
        <f>"A0184141"</f>
        <v>A0184141</v>
      </c>
      <c r="D5308" t="s">
        <v>21180</v>
      </c>
      <c r="E5308" t="s">
        <v>21181</v>
      </c>
      <c r="F5308" t="s">
        <v>21182</v>
      </c>
      <c r="G5308" t="s">
        <v>925</v>
      </c>
      <c r="H5308" t="s">
        <v>21183</v>
      </c>
      <c r="I5308" t="s">
        <v>30</v>
      </c>
      <c r="J5308" t="s">
        <v>41</v>
      </c>
      <c r="K5308" t="s">
        <v>59</v>
      </c>
      <c r="Q5308">
        <v>0</v>
      </c>
      <c r="R5308">
        <v>0</v>
      </c>
      <c r="S5308">
        <v>0</v>
      </c>
    </row>
    <row r="5309" spans="1:20" customFormat="1" ht="15" x14ac:dyDescent="0.25">
      <c r="A5309" t="s">
        <v>35</v>
      </c>
      <c r="B5309" t="s">
        <v>61</v>
      </c>
      <c r="C5309" t="str">
        <f>"A0184140"</f>
        <v>A0184140</v>
      </c>
      <c r="D5309" t="s">
        <v>21184</v>
      </c>
      <c r="E5309" t="s">
        <v>21185</v>
      </c>
      <c r="F5309" t="s">
        <v>21186</v>
      </c>
      <c r="G5309" t="s">
        <v>925</v>
      </c>
      <c r="H5309" t="s">
        <v>21187</v>
      </c>
      <c r="I5309" t="s">
        <v>30</v>
      </c>
      <c r="J5309" t="s">
        <v>41</v>
      </c>
      <c r="K5309" t="s">
        <v>59</v>
      </c>
      <c r="Q5309">
        <v>0</v>
      </c>
      <c r="R5309">
        <v>132</v>
      </c>
      <c r="S5309">
        <v>132</v>
      </c>
      <c r="T5309" t="s">
        <v>21188</v>
      </c>
    </row>
    <row r="5310" spans="1:20" customFormat="1" ht="15" x14ac:dyDescent="0.25">
      <c r="A5310" t="s">
        <v>35</v>
      </c>
      <c r="B5310" t="s">
        <v>16926</v>
      </c>
      <c r="C5310" t="str">
        <f>"A0184139"</f>
        <v>A0184139</v>
      </c>
      <c r="D5310" t="s">
        <v>21189</v>
      </c>
      <c r="E5310" t="s">
        <v>21190</v>
      </c>
      <c r="F5310" t="s">
        <v>21191</v>
      </c>
      <c r="G5310" t="s">
        <v>289</v>
      </c>
      <c r="H5310">
        <v>604174353</v>
      </c>
      <c r="I5310" t="s">
        <v>30</v>
      </c>
      <c r="J5310" t="s">
        <v>41</v>
      </c>
      <c r="K5310" t="s">
        <v>59</v>
      </c>
      <c r="Q5310">
        <v>0</v>
      </c>
      <c r="R5310">
        <v>51</v>
      </c>
      <c r="S5310">
        <v>51</v>
      </c>
      <c r="T5310" t="s">
        <v>21192</v>
      </c>
    </row>
    <row r="5311" spans="1:20" customFormat="1" ht="15" x14ac:dyDescent="0.25">
      <c r="A5311" t="s">
        <v>35</v>
      </c>
      <c r="B5311" t="s">
        <v>61</v>
      </c>
      <c r="C5311" t="str">
        <f>"A0184138"</f>
        <v>A0184138</v>
      </c>
      <c r="D5311" t="s">
        <v>9205</v>
      </c>
      <c r="E5311" t="s">
        <v>21193</v>
      </c>
      <c r="F5311" t="s">
        <v>9205</v>
      </c>
      <c r="G5311" t="s">
        <v>289</v>
      </c>
      <c r="H5311">
        <v>61101</v>
      </c>
      <c r="I5311" t="s">
        <v>30</v>
      </c>
      <c r="J5311" t="s">
        <v>41</v>
      </c>
      <c r="K5311" t="s">
        <v>59</v>
      </c>
      <c r="Q5311">
        <v>0</v>
      </c>
      <c r="R5311">
        <v>0</v>
      </c>
      <c r="S5311">
        <v>0</v>
      </c>
    </row>
    <row r="5312" spans="1:20" customFormat="1" ht="15" x14ac:dyDescent="0.25">
      <c r="A5312" t="s">
        <v>35</v>
      </c>
      <c r="B5312" t="s">
        <v>61</v>
      </c>
      <c r="C5312" t="str">
        <f>"A0184137"</f>
        <v>A0184137</v>
      </c>
      <c r="D5312" t="s">
        <v>21194</v>
      </c>
      <c r="E5312" t="s">
        <v>21195</v>
      </c>
      <c r="F5312" t="s">
        <v>21196</v>
      </c>
      <c r="G5312" t="s">
        <v>427</v>
      </c>
      <c r="H5312">
        <v>691451699</v>
      </c>
      <c r="I5312" t="s">
        <v>30</v>
      </c>
      <c r="J5312" t="s">
        <v>41</v>
      </c>
      <c r="K5312" t="s">
        <v>59</v>
      </c>
      <c r="Q5312">
        <v>0</v>
      </c>
      <c r="R5312">
        <v>67</v>
      </c>
      <c r="S5312">
        <v>67</v>
      </c>
      <c r="T5312" t="s">
        <v>21197</v>
      </c>
    </row>
    <row r="5313" spans="1:20" customFormat="1" ht="15" x14ac:dyDescent="0.25">
      <c r="A5313" t="s">
        <v>35</v>
      </c>
      <c r="B5313" t="s">
        <v>61</v>
      </c>
      <c r="C5313" t="str">
        <f>"A0184136"</f>
        <v>A0184136</v>
      </c>
      <c r="D5313" t="s">
        <v>21198</v>
      </c>
      <c r="E5313" t="s">
        <v>21199</v>
      </c>
      <c r="F5313" t="s">
        <v>21200</v>
      </c>
      <c r="G5313" t="s">
        <v>144</v>
      </c>
      <c r="H5313">
        <v>58078</v>
      </c>
      <c r="I5313" t="s">
        <v>30</v>
      </c>
      <c r="J5313" t="s">
        <v>41</v>
      </c>
      <c r="K5313" t="s">
        <v>59</v>
      </c>
      <c r="Q5313">
        <v>0</v>
      </c>
      <c r="R5313">
        <v>0</v>
      </c>
      <c r="S5313">
        <v>0</v>
      </c>
    </row>
    <row r="5314" spans="1:20" customFormat="1" ht="15" x14ac:dyDescent="0.25">
      <c r="A5314" t="s">
        <v>35</v>
      </c>
      <c r="B5314" t="s">
        <v>61</v>
      </c>
      <c r="C5314" t="str">
        <f>"A0184135"</f>
        <v>A0184135</v>
      </c>
      <c r="D5314" t="s">
        <v>21201</v>
      </c>
      <c r="E5314" t="s">
        <v>21202</v>
      </c>
      <c r="F5314" t="s">
        <v>21203</v>
      </c>
      <c r="G5314" t="s">
        <v>144</v>
      </c>
      <c r="H5314">
        <v>58103</v>
      </c>
      <c r="I5314" t="s">
        <v>30</v>
      </c>
      <c r="J5314" t="s">
        <v>41</v>
      </c>
      <c r="K5314" t="s">
        <v>59</v>
      </c>
      <c r="Q5314">
        <v>0</v>
      </c>
      <c r="R5314">
        <v>0</v>
      </c>
      <c r="S5314">
        <v>0</v>
      </c>
      <c r="T5314" t="s">
        <v>21204</v>
      </c>
    </row>
    <row r="5315" spans="1:20" customFormat="1" ht="15" x14ac:dyDescent="0.25">
      <c r="A5315" t="s">
        <v>35</v>
      </c>
      <c r="B5315" t="s">
        <v>61</v>
      </c>
      <c r="C5315" t="str">
        <f>"A0184134"</f>
        <v>A0184134</v>
      </c>
      <c r="D5315" t="s">
        <v>21205</v>
      </c>
      <c r="E5315" t="s">
        <v>21206</v>
      </c>
      <c r="F5315" t="s">
        <v>13957</v>
      </c>
      <c r="G5315" t="s">
        <v>144</v>
      </c>
      <c r="H5315" t="s">
        <v>21207</v>
      </c>
      <c r="I5315" t="s">
        <v>30</v>
      </c>
      <c r="J5315" t="s">
        <v>41</v>
      </c>
      <c r="K5315" t="s">
        <v>59</v>
      </c>
      <c r="Q5315">
        <v>0</v>
      </c>
      <c r="R5315">
        <v>0</v>
      </c>
      <c r="S5315">
        <v>0</v>
      </c>
    </row>
    <row r="5316" spans="1:20" customFormat="1" ht="15" x14ac:dyDescent="0.25">
      <c r="A5316" t="s">
        <v>35</v>
      </c>
      <c r="B5316" t="s">
        <v>61</v>
      </c>
      <c r="C5316" t="str">
        <f>"A0184133"</f>
        <v>A0184133</v>
      </c>
      <c r="D5316" t="s">
        <v>21208</v>
      </c>
      <c r="E5316" t="s">
        <v>21209</v>
      </c>
      <c r="F5316" t="s">
        <v>21210</v>
      </c>
      <c r="G5316" t="s">
        <v>144</v>
      </c>
      <c r="H5316">
        <v>58301</v>
      </c>
      <c r="I5316" t="s">
        <v>30</v>
      </c>
      <c r="J5316" t="s">
        <v>41</v>
      </c>
      <c r="K5316" t="s">
        <v>59</v>
      </c>
      <c r="Q5316">
        <v>0</v>
      </c>
      <c r="R5316">
        <v>0</v>
      </c>
      <c r="S5316">
        <v>0</v>
      </c>
    </row>
    <row r="5317" spans="1:20" customFormat="1" ht="15" x14ac:dyDescent="0.25">
      <c r="A5317" t="s">
        <v>35</v>
      </c>
      <c r="B5317" t="s">
        <v>61</v>
      </c>
      <c r="C5317" t="str">
        <f>"A0184132"</f>
        <v>A0184132</v>
      </c>
      <c r="D5317" t="s">
        <v>21211</v>
      </c>
      <c r="E5317" t="s">
        <v>21212</v>
      </c>
      <c r="F5317" t="s">
        <v>21203</v>
      </c>
      <c r="G5317" t="s">
        <v>144</v>
      </c>
      <c r="H5317" t="s">
        <v>21213</v>
      </c>
      <c r="I5317" t="s">
        <v>30</v>
      </c>
      <c r="J5317" t="s">
        <v>41</v>
      </c>
      <c r="K5317" t="s">
        <v>59</v>
      </c>
      <c r="Q5317">
        <v>0</v>
      </c>
      <c r="R5317">
        <v>0</v>
      </c>
      <c r="S5317">
        <v>0</v>
      </c>
      <c r="T5317" t="s">
        <v>21214</v>
      </c>
    </row>
    <row r="5318" spans="1:20" customFormat="1" ht="15" x14ac:dyDescent="0.25">
      <c r="A5318" t="s">
        <v>35</v>
      </c>
      <c r="B5318" t="s">
        <v>61</v>
      </c>
      <c r="C5318" t="str">
        <f>"A0184131"</f>
        <v>A0184131</v>
      </c>
      <c r="D5318" t="s">
        <v>21215</v>
      </c>
      <c r="E5318" t="s">
        <v>21216</v>
      </c>
      <c r="F5318" t="s">
        <v>21217</v>
      </c>
      <c r="G5318" t="s">
        <v>110</v>
      </c>
      <c r="H5318" t="s">
        <v>21218</v>
      </c>
      <c r="I5318" t="s">
        <v>30</v>
      </c>
      <c r="J5318" t="s">
        <v>41</v>
      </c>
      <c r="K5318" t="s">
        <v>59</v>
      </c>
      <c r="Q5318">
        <v>0</v>
      </c>
      <c r="R5318">
        <v>0</v>
      </c>
      <c r="S5318">
        <v>0</v>
      </c>
      <c r="T5318" t="s">
        <v>21219</v>
      </c>
    </row>
    <row r="5319" spans="1:20" customFormat="1" ht="15" x14ac:dyDescent="0.25">
      <c r="A5319" t="s">
        <v>35</v>
      </c>
      <c r="B5319" t="s">
        <v>61</v>
      </c>
      <c r="C5319" t="str">
        <f>"A0184130"</f>
        <v>A0184130</v>
      </c>
      <c r="D5319" t="s">
        <v>21220</v>
      </c>
      <c r="E5319" t="s">
        <v>21221</v>
      </c>
      <c r="F5319" t="s">
        <v>20275</v>
      </c>
      <c r="G5319" t="s">
        <v>110</v>
      </c>
      <c r="H5319">
        <v>947031422</v>
      </c>
      <c r="I5319" t="s">
        <v>30</v>
      </c>
      <c r="J5319" t="s">
        <v>41</v>
      </c>
      <c r="K5319" t="s">
        <v>59</v>
      </c>
      <c r="Q5319">
        <v>0</v>
      </c>
      <c r="R5319">
        <v>0</v>
      </c>
      <c r="S5319">
        <v>0</v>
      </c>
      <c r="T5319" t="s">
        <v>21222</v>
      </c>
    </row>
    <row r="5320" spans="1:20" customFormat="1" ht="15" x14ac:dyDescent="0.25">
      <c r="A5320" t="s">
        <v>35</v>
      </c>
      <c r="B5320" t="s">
        <v>61</v>
      </c>
      <c r="C5320" t="str">
        <f>"A0184129"</f>
        <v>A0184129</v>
      </c>
      <c r="D5320" t="s">
        <v>21223</v>
      </c>
      <c r="E5320" t="s">
        <v>21224</v>
      </c>
      <c r="F5320" t="s">
        <v>9128</v>
      </c>
      <c r="G5320" t="s">
        <v>110</v>
      </c>
      <c r="H5320">
        <v>946074904</v>
      </c>
      <c r="I5320" t="s">
        <v>30</v>
      </c>
      <c r="J5320" t="s">
        <v>41</v>
      </c>
      <c r="K5320" t="s">
        <v>59</v>
      </c>
      <c r="Q5320">
        <v>0</v>
      </c>
      <c r="R5320">
        <v>0</v>
      </c>
      <c r="S5320">
        <v>0</v>
      </c>
    </row>
    <row r="5321" spans="1:20" customFormat="1" ht="15" x14ac:dyDescent="0.25">
      <c r="A5321" t="s">
        <v>35</v>
      </c>
      <c r="B5321" t="s">
        <v>61</v>
      </c>
      <c r="C5321" t="str">
        <f>"A0184128"</f>
        <v>A0184128</v>
      </c>
      <c r="D5321" t="s">
        <v>21225</v>
      </c>
      <c r="E5321" t="s">
        <v>21226</v>
      </c>
      <c r="F5321" t="s">
        <v>18470</v>
      </c>
      <c r="G5321" t="s">
        <v>52</v>
      </c>
      <c r="H5321">
        <v>79106</v>
      </c>
      <c r="I5321" t="s">
        <v>30</v>
      </c>
      <c r="J5321" t="s">
        <v>41</v>
      </c>
      <c r="K5321" t="s">
        <v>59</v>
      </c>
      <c r="Q5321">
        <v>0</v>
      </c>
      <c r="R5321">
        <v>0</v>
      </c>
      <c r="S5321">
        <v>0</v>
      </c>
    </row>
    <row r="5322" spans="1:20" customFormat="1" ht="15" x14ac:dyDescent="0.25">
      <c r="A5322" t="s">
        <v>35</v>
      </c>
      <c r="B5322" t="s">
        <v>61</v>
      </c>
      <c r="C5322" t="str">
        <f>"A0184127"</f>
        <v>A0184127</v>
      </c>
      <c r="D5322" t="s">
        <v>21227</v>
      </c>
      <c r="E5322" t="s">
        <v>21228</v>
      </c>
      <c r="F5322" t="s">
        <v>1427</v>
      </c>
      <c r="G5322" t="s">
        <v>52</v>
      </c>
      <c r="H5322">
        <v>76710</v>
      </c>
      <c r="I5322" t="s">
        <v>30</v>
      </c>
      <c r="J5322" t="s">
        <v>41</v>
      </c>
      <c r="K5322" t="s">
        <v>59</v>
      </c>
      <c r="Q5322">
        <v>0</v>
      </c>
      <c r="R5322">
        <v>0</v>
      </c>
      <c r="S5322">
        <v>0</v>
      </c>
      <c r="T5322" t="s">
        <v>21229</v>
      </c>
    </row>
    <row r="5323" spans="1:20" customFormat="1" ht="15" x14ac:dyDescent="0.25">
      <c r="A5323" t="s">
        <v>35</v>
      </c>
      <c r="B5323" t="s">
        <v>61</v>
      </c>
      <c r="C5323" t="str">
        <f>"A0184126"</f>
        <v>A0184126</v>
      </c>
      <c r="D5323" t="s">
        <v>21230</v>
      </c>
      <c r="E5323" t="s">
        <v>21231</v>
      </c>
      <c r="F5323" t="s">
        <v>20911</v>
      </c>
      <c r="G5323" t="s">
        <v>52</v>
      </c>
      <c r="H5323" t="s">
        <v>21232</v>
      </c>
      <c r="I5323" t="s">
        <v>30</v>
      </c>
      <c r="J5323" t="s">
        <v>41</v>
      </c>
      <c r="K5323" t="s">
        <v>59</v>
      </c>
      <c r="Q5323">
        <v>0</v>
      </c>
      <c r="R5323">
        <v>0</v>
      </c>
      <c r="S5323">
        <v>0</v>
      </c>
      <c r="T5323" t="s">
        <v>21233</v>
      </c>
    </row>
    <row r="5324" spans="1:20" customFormat="1" ht="15" x14ac:dyDescent="0.25">
      <c r="A5324" t="s">
        <v>35</v>
      </c>
      <c r="B5324" t="s">
        <v>61</v>
      </c>
      <c r="C5324" t="str">
        <f>"A0184125"</f>
        <v>A0184125</v>
      </c>
      <c r="D5324" t="s">
        <v>21234</v>
      </c>
      <c r="E5324" t="s">
        <v>20962</v>
      </c>
      <c r="F5324" t="s">
        <v>853</v>
      </c>
      <c r="G5324" t="s">
        <v>52</v>
      </c>
      <c r="H5324">
        <v>76112</v>
      </c>
      <c r="I5324" t="s">
        <v>30</v>
      </c>
      <c r="J5324" t="s">
        <v>41</v>
      </c>
      <c r="K5324" t="s">
        <v>59</v>
      </c>
      <c r="Q5324">
        <v>0</v>
      </c>
      <c r="R5324">
        <v>82</v>
      </c>
      <c r="S5324">
        <v>82</v>
      </c>
      <c r="T5324" t="s">
        <v>21235</v>
      </c>
    </row>
    <row r="5325" spans="1:20" customFormat="1" ht="15" x14ac:dyDescent="0.25">
      <c r="A5325" t="s">
        <v>35</v>
      </c>
      <c r="B5325" t="s">
        <v>61</v>
      </c>
      <c r="C5325" t="str">
        <f>"A0184124"</f>
        <v>A0184124</v>
      </c>
      <c r="D5325" t="s">
        <v>21236</v>
      </c>
      <c r="E5325" t="s">
        <v>21237</v>
      </c>
      <c r="F5325" t="s">
        <v>5257</v>
      </c>
      <c r="G5325" t="s">
        <v>52</v>
      </c>
      <c r="H5325" t="s">
        <v>21238</v>
      </c>
      <c r="I5325" t="s">
        <v>30</v>
      </c>
      <c r="J5325" t="s">
        <v>41</v>
      </c>
      <c r="K5325" t="s">
        <v>59</v>
      </c>
      <c r="Q5325">
        <v>0</v>
      </c>
      <c r="R5325">
        <v>0</v>
      </c>
      <c r="S5325">
        <v>0</v>
      </c>
      <c r="T5325" t="s">
        <v>21239</v>
      </c>
    </row>
    <row r="5326" spans="1:20" customFormat="1" ht="15" x14ac:dyDescent="0.25">
      <c r="A5326" t="s">
        <v>35</v>
      </c>
      <c r="B5326" t="s">
        <v>21240</v>
      </c>
      <c r="C5326" t="str">
        <f>"A0184123"</f>
        <v>A0184123</v>
      </c>
      <c r="D5326" t="s">
        <v>21241</v>
      </c>
      <c r="E5326" t="s">
        <v>21242</v>
      </c>
      <c r="F5326" t="s">
        <v>426</v>
      </c>
      <c r="G5326" t="s">
        <v>427</v>
      </c>
      <c r="H5326">
        <v>681522177</v>
      </c>
      <c r="I5326" t="s">
        <v>30</v>
      </c>
      <c r="J5326" t="s">
        <v>41</v>
      </c>
      <c r="K5326" t="s">
        <v>59</v>
      </c>
      <c r="Q5326">
        <v>0</v>
      </c>
      <c r="R5326">
        <v>139</v>
      </c>
      <c r="S5326">
        <v>139</v>
      </c>
      <c r="T5326" t="s">
        <v>21243</v>
      </c>
    </row>
    <row r="5327" spans="1:20" customFormat="1" ht="15" x14ac:dyDescent="0.25">
      <c r="A5327" t="s">
        <v>35</v>
      </c>
      <c r="B5327" t="s">
        <v>61</v>
      </c>
      <c r="C5327" t="str">
        <f>"A0184122"</f>
        <v>A0184122</v>
      </c>
      <c r="D5327" t="s">
        <v>21244</v>
      </c>
      <c r="E5327" t="s">
        <v>21245</v>
      </c>
      <c r="F5327" t="s">
        <v>7661</v>
      </c>
      <c r="G5327" t="s">
        <v>925</v>
      </c>
      <c r="H5327" t="s">
        <v>21246</v>
      </c>
      <c r="I5327" t="s">
        <v>30</v>
      </c>
      <c r="J5327" t="s">
        <v>41</v>
      </c>
      <c r="K5327" t="s">
        <v>59</v>
      </c>
      <c r="Q5327">
        <v>0</v>
      </c>
      <c r="R5327">
        <v>68</v>
      </c>
      <c r="S5327">
        <v>68</v>
      </c>
      <c r="T5327" t="s">
        <v>21247</v>
      </c>
    </row>
    <row r="5328" spans="1:20" customFormat="1" ht="15" x14ac:dyDescent="0.25">
      <c r="A5328" t="s">
        <v>35</v>
      </c>
      <c r="B5328" t="s">
        <v>61</v>
      </c>
      <c r="C5328" t="str">
        <f>"A0184121"</f>
        <v>A0184121</v>
      </c>
      <c r="D5328" t="s">
        <v>21248</v>
      </c>
      <c r="E5328" t="s">
        <v>21249</v>
      </c>
      <c r="F5328" t="s">
        <v>549</v>
      </c>
      <c r="G5328" t="s">
        <v>925</v>
      </c>
      <c r="H5328" t="s">
        <v>21250</v>
      </c>
      <c r="I5328" t="s">
        <v>30</v>
      </c>
      <c r="J5328" t="s">
        <v>41</v>
      </c>
      <c r="K5328" t="s">
        <v>59</v>
      </c>
      <c r="Q5328">
        <v>0</v>
      </c>
      <c r="R5328">
        <v>46</v>
      </c>
      <c r="S5328">
        <v>46</v>
      </c>
      <c r="T5328" t="s">
        <v>21251</v>
      </c>
    </row>
    <row r="5329" spans="1:20" customFormat="1" ht="15" x14ac:dyDescent="0.25">
      <c r="A5329" t="s">
        <v>35</v>
      </c>
      <c r="B5329" t="s">
        <v>61</v>
      </c>
      <c r="C5329" t="str">
        <f>"A0184120"</f>
        <v>A0184120</v>
      </c>
      <c r="D5329" t="s">
        <v>21252</v>
      </c>
      <c r="E5329" t="s">
        <v>21253</v>
      </c>
      <c r="F5329" t="s">
        <v>21210</v>
      </c>
      <c r="G5329" t="s">
        <v>144</v>
      </c>
      <c r="H5329" t="s">
        <v>21254</v>
      </c>
      <c r="I5329" t="s">
        <v>30</v>
      </c>
      <c r="J5329" t="s">
        <v>41</v>
      </c>
      <c r="K5329" t="s">
        <v>59</v>
      </c>
      <c r="Q5329">
        <v>0</v>
      </c>
      <c r="R5329">
        <v>0</v>
      </c>
      <c r="S5329">
        <v>0</v>
      </c>
      <c r="T5329" t="s">
        <v>21255</v>
      </c>
    </row>
    <row r="5330" spans="1:20" customFormat="1" ht="15" x14ac:dyDescent="0.25">
      <c r="A5330" t="s">
        <v>35</v>
      </c>
      <c r="B5330" t="s">
        <v>61</v>
      </c>
      <c r="C5330" t="str">
        <f>"A0184119"</f>
        <v>A0184119</v>
      </c>
      <c r="D5330" t="s">
        <v>21256</v>
      </c>
      <c r="E5330" t="s">
        <v>21257</v>
      </c>
      <c r="F5330" t="s">
        <v>21203</v>
      </c>
      <c r="G5330" t="s">
        <v>144</v>
      </c>
      <c r="H5330">
        <v>58103</v>
      </c>
      <c r="I5330" t="s">
        <v>30</v>
      </c>
      <c r="J5330" t="s">
        <v>41</v>
      </c>
      <c r="K5330" t="s">
        <v>59</v>
      </c>
      <c r="Q5330">
        <v>0</v>
      </c>
      <c r="R5330">
        <v>0</v>
      </c>
      <c r="S5330">
        <v>0</v>
      </c>
      <c r="T5330" t="s">
        <v>21258</v>
      </c>
    </row>
    <row r="5331" spans="1:20" customFormat="1" ht="15" x14ac:dyDescent="0.25">
      <c r="A5331" t="s">
        <v>35</v>
      </c>
      <c r="B5331" t="s">
        <v>61</v>
      </c>
      <c r="C5331" t="str">
        <f>"A0184118"</f>
        <v>A0184118</v>
      </c>
      <c r="D5331" t="s">
        <v>21259</v>
      </c>
      <c r="E5331" t="s">
        <v>21260</v>
      </c>
      <c r="F5331" t="s">
        <v>21261</v>
      </c>
      <c r="G5331" t="s">
        <v>925</v>
      </c>
      <c r="H5331" t="s">
        <v>21262</v>
      </c>
      <c r="I5331" t="s">
        <v>30</v>
      </c>
      <c r="J5331" t="s">
        <v>41</v>
      </c>
      <c r="K5331" t="s">
        <v>59</v>
      </c>
      <c r="Q5331">
        <v>0</v>
      </c>
      <c r="R5331">
        <v>0</v>
      </c>
      <c r="S5331">
        <v>0</v>
      </c>
    </row>
    <row r="5332" spans="1:20" customFormat="1" ht="15" x14ac:dyDescent="0.25">
      <c r="A5332" t="s">
        <v>35</v>
      </c>
      <c r="B5332" t="s">
        <v>61</v>
      </c>
      <c r="C5332" t="str">
        <f>"A0184117"</f>
        <v>A0184117</v>
      </c>
      <c r="D5332" t="s">
        <v>21263</v>
      </c>
      <c r="E5332" t="s">
        <v>21264</v>
      </c>
      <c r="F5332" t="s">
        <v>21265</v>
      </c>
      <c r="G5332" t="s">
        <v>925</v>
      </c>
      <c r="H5332">
        <v>66614</v>
      </c>
      <c r="I5332" t="s">
        <v>30</v>
      </c>
      <c r="J5332" t="s">
        <v>41</v>
      </c>
      <c r="K5332" t="s">
        <v>59</v>
      </c>
      <c r="Q5332">
        <v>0</v>
      </c>
      <c r="R5332">
        <v>0</v>
      </c>
      <c r="S5332">
        <v>0</v>
      </c>
      <c r="T5332" t="s">
        <v>21266</v>
      </c>
    </row>
    <row r="5333" spans="1:20" customFormat="1" ht="15" x14ac:dyDescent="0.25">
      <c r="A5333" t="s">
        <v>35</v>
      </c>
      <c r="B5333" t="s">
        <v>61</v>
      </c>
      <c r="C5333" t="str">
        <f>"A0184116"</f>
        <v>A0184116</v>
      </c>
      <c r="D5333" t="s">
        <v>21267</v>
      </c>
      <c r="E5333" t="s">
        <v>21268</v>
      </c>
      <c r="F5333" t="s">
        <v>21269</v>
      </c>
      <c r="G5333" t="s">
        <v>925</v>
      </c>
      <c r="H5333" t="s">
        <v>21270</v>
      </c>
      <c r="I5333" t="s">
        <v>30</v>
      </c>
      <c r="J5333" t="s">
        <v>41</v>
      </c>
      <c r="K5333" t="s">
        <v>59</v>
      </c>
      <c r="Q5333">
        <v>0</v>
      </c>
      <c r="R5333">
        <v>63</v>
      </c>
      <c r="S5333">
        <v>63</v>
      </c>
      <c r="T5333" t="s">
        <v>21271</v>
      </c>
    </row>
    <row r="5334" spans="1:20" customFormat="1" ht="15" x14ac:dyDescent="0.25">
      <c r="A5334" t="s">
        <v>35</v>
      </c>
      <c r="B5334" t="s">
        <v>61</v>
      </c>
      <c r="C5334" t="str">
        <f>"A0184115"</f>
        <v>A0184115</v>
      </c>
      <c r="D5334" t="s">
        <v>21272</v>
      </c>
      <c r="E5334" t="s">
        <v>21273</v>
      </c>
      <c r="F5334" t="s">
        <v>20432</v>
      </c>
      <c r="G5334" t="s">
        <v>925</v>
      </c>
      <c r="H5334" t="s">
        <v>21274</v>
      </c>
      <c r="I5334" t="s">
        <v>30</v>
      </c>
      <c r="J5334" t="s">
        <v>41</v>
      </c>
      <c r="K5334" t="s">
        <v>59</v>
      </c>
      <c r="Q5334">
        <v>0</v>
      </c>
      <c r="R5334">
        <v>154</v>
      </c>
      <c r="S5334">
        <v>154</v>
      </c>
      <c r="T5334" t="s">
        <v>21275</v>
      </c>
    </row>
    <row r="5335" spans="1:20" customFormat="1" ht="15" x14ac:dyDescent="0.25">
      <c r="A5335" t="s">
        <v>35</v>
      </c>
      <c r="B5335" t="s">
        <v>61</v>
      </c>
      <c r="C5335" t="str">
        <f>"A0184114"</f>
        <v>A0184114</v>
      </c>
      <c r="D5335" t="s">
        <v>21276</v>
      </c>
      <c r="E5335" t="s">
        <v>21277</v>
      </c>
      <c r="F5335" t="s">
        <v>21278</v>
      </c>
      <c r="G5335" t="s">
        <v>925</v>
      </c>
      <c r="H5335">
        <v>67878</v>
      </c>
      <c r="I5335" t="s">
        <v>30</v>
      </c>
      <c r="J5335" t="s">
        <v>41</v>
      </c>
      <c r="K5335" t="s">
        <v>59</v>
      </c>
      <c r="Q5335">
        <v>0</v>
      </c>
      <c r="R5335">
        <v>0</v>
      </c>
      <c r="S5335">
        <v>0</v>
      </c>
    </row>
    <row r="5336" spans="1:20" customFormat="1" ht="15" x14ac:dyDescent="0.25">
      <c r="A5336" t="s">
        <v>35</v>
      </c>
      <c r="B5336" t="s">
        <v>61</v>
      </c>
      <c r="C5336" t="str">
        <f>"A0184113"</f>
        <v>A0184113</v>
      </c>
      <c r="D5336" t="s">
        <v>21279</v>
      </c>
      <c r="E5336" t="s">
        <v>21280</v>
      </c>
      <c r="F5336" t="s">
        <v>21281</v>
      </c>
      <c r="G5336" t="s">
        <v>925</v>
      </c>
      <c r="H5336">
        <v>67877</v>
      </c>
      <c r="I5336" t="s">
        <v>30</v>
      </c>
      <c r="J5336" t="s">
        <v>41</v>
      </c>
      <c r="K5336" t="s">
        <v>59</v>
      </c>
      <c r="Q5336">
        <v>0</v>
      </c>
      <c r="R5336">
        <v>0</v>
      </c>
      <c r="S5336">
        <v>0</v>
      </c>
    </row>
    <row r="5337" spans="1:20" customFormat="1" ht="15" x14ac:dyDescent="0.25">
      <c r="A5337" t="s">
        <v>35</v>
      </c>
      <c r="B5337" t="s">
        <v>61</v>
      </c>
      <c r="C5337" t="str">
        <f>"A0184112"</f>
        <v>A0184112</v>
      </c>
      <c r="D5337" t="s">
        <v>21282</v>
      </c>
      <c r="E5337" t="s">
        <v>21283</v>
      </c>
      <c r="F5337" t="s">
        <v>21284</v>
      </c>
      <c r="G5337" t="s">
        <v>161</v>
      </c>
      <c r="H5337">
        <v>554224419</v>
      </c>
      <c r="I5337" t="s">
        <v>30</v>
      </c>
      <c r="J5337" t="s">
        <v>41</v>
      </c>
      <c r="K5337" t="s">
        <v>59</v>
      </c>
      <c r="Q5337">
        <v>0</v>
      </c>
      <c r="R5337">
        <v>88</v>
      </c>
      <c r="S5337">
        <v>88</v>
      </c>
      <c r="T5337" t="s">
        <v>21285</v>
      </c>
    </row>
    <row r="5338" spans="1:20" customFormat="1" ht="15" x14ac:dyDescent="0.25">
      <c r="A5338" t="s">
        <v>35</v>
      </c>
      <c r="B5338" t="s">
        <v>61</v>
      </c>
      <c r="C5338" t="str">
        <f>"A0184111"</f>
        <v>A0184111</v>
      </c>
      <c r="D5338" t="s">
        <v>21286</v>
      </c>
      <c r="E5338" t="s">
        <v>21287</v>
      </c>
      <c r="F5338" t="s">
        <v>21288</v>
      </c>
      <c r="G5338" t="s">
        <v>161</v>
      </c>
      <c r="H5338" t="s">
        <v>21289</v>
      </c>
      <c r="I5338" t="s">
        <v>30</v>
      </c>
      <c r="J5338" t="s">
        <v>41</v>
      </c>
      <c r="K5338" t="s">
        <v>59</v>
      </c>
      <c r="Q5338">
        <v>0</v>
      </c>
      <c r="R5338">
        <v>0</v>
      </c>
      <c r="S5338">
        <v>0</v>
      </c>
    </row>
    <row r="5339" spans="1:20" customFormat="1" ht="15" x14ac:dyDescent="0.25">
      <c r="A5339" t="s">
        <v>35</v>
      </c>
      <c r="B5339" t="s">
        <v>61</v>
      </c>
      <c r="C5339" t="str">
        <f>"A0184110"</f>
        <v>A0184110</v>
      </c>
      <c r="D5339" t="s">
        <v>21290</v>
      </c>
      <c r="E5339" t="s">
        <v>21291</v>
      </c>
      <c r="F5339" t="s">
        <v>21292</v>
      </c>
      <c r="G5339" t="s">
        <v>161</v>
      </c>
      <c r="H5339" t="s">
        <v>21293</v>
      </c>
      <c r="I5339" t="s">
        <v>30</v>
      </c>
      <c r="J5339" t="s">
        <v>41</v>
      </c>
      <c r="K5339" t="s">
        <v>59</v>
      </c>
      <c r="Q5339">
        <v>0</v>
      </c>
      <c r="R5339">
        <v>0</v>
      </c>
      <c r="S5339">
        <v>0</v>
      </c>
    </row>
    <row r="5340" spans="1:20" customFormat="1" ht="15" x14ac:dyDescent="0.25">
      <c r="A5340" t="s">
        <v>35</v>
      </c>
      <c r="B5340" t="s">
        <v>61</v>
      </c>
      <c r="C5340" t="str">
        <f>"A0184109"</f>
        <v>A0184109</v>
      </c>
      <c r="D5340" t="s">
        <v>21294</v>
      </c>
      <c r="E5340" t="s">
        <v>21295</v>
      </c>
      <c r="F5340" t="s">
        <v>21296</v>
      </c>
      <c r="G5340" t="s">
        <v>925</v>
      </c>
      <c r="H5340">
        <v>67560</v>
      </c>
      <c r="I5340" t="s">
        <v>30</v>
      </c>
      <c r="J5340" t="s">
        <v>41</v>
      </c>
      <c r="K5340" t="s">
        <v>59</v>
      </c>
      <c r="Q5340">
        <v>0</v>
      </c>
      <c r="R5340">
        <v>0</v>
      </c>
      <c r="S5340">
        <v>0</v>
      </c>
    </row>
    <row r="5341" spans="1:20" customFormat="1" ht="15" x14ac:dyDescent="0.25">
      <c r="A5341" t="s">
        <v>35</v>
      </c>
      <c r="B5341" t="s">
        <v>61</v>
      </c>
      <c r="C5341" t="str">
        <f>"A0184108"</f>
        <v>A0184108</v>
      </c>
      <c r="D5341" t="s">
        <v>21297</v>
      </c>
      <c r="E5341" t="s">
        <v>21298</v>
      </c>
      <c r="F5341" t="s">
        <v>21299</v>
      </c>
      <c r="G5341" t="s">
        <v>925</v>
      </c>
      <c r="H5341" t="s">
        <v>21300</v>
      </c>
      <c r="I5341" t="s">
        <v>30</v>
      </c>
      <c r="J5341" t="s">
        <v>41</v>
      </c>
      <c r="K5341" t="s">
        <v>59</v>
      </c>
      <c r="Q5341">
        <v>0</v>
      </c>
      <c r="R5341">
        <v>0</v>
      </c>
      <c r="S5341">
        <v>0</v>
      </c>
    </row>
    <row r="5342" spans="1:20" customFormat="1" ht="15" x14ac:dyDescent="0.25">
      <c r="A5342" t="s">
        <v>35</v>
      </c>
      <c r="B5342" t="s">
        <v>61</v>
      </c>
      <c r="C5342" t="str">
        <f>"A0184107"</f>
        <v>A0184107</v>
      </c>
      <c r="D5342" t="s">
        <v>21301</v>
      </c>
      <c r="E5342" t="s">
        <v>21302</v>
      </c>
      <c r="F5342" t="s">
        <v>21303</v>
      </c>
      <c r="G5342" t="s">
        <v>110</v>
      </c>
      <c r="H5342">
        <v>954765488</v>
      </c>
      <c r="I5342" t="s">
        <v>30</v>
      </c>
      <c r="J5342" t="s">
        <v>41</v>
      </c>
      <c r="K5342" t="s">
        <v>59</v>
      </c>
      <c r="Q5342">
        <v>0</v>
      </c>
      <c r="R5342">
        <v>0</v>
      </c>
      <c r="S5342">
        <v>0</v>
      </c>
    </row>
    <row r="5343" spans="1:20" customFormat="1" ht="15" x14ac:dyDescent="0.25">
      <c r="A5343" t="s">
        <v>35</v>
      </c>
      <c r="B5343" t="s">
        <v>61</v>
      </c>
      <c r="C5343" t="str">
        <f>"A0184106"</f>
        <v>A0184106</v>
      </c>
      <c r="D5343" t="s">
        <v>21304</v>
      </c>
      <c r="E5343" t="s">
        <v>21305</v>
      </c>
      <c r="F5343" t="s">
        <v>21306</v>
      </c>
      <c r="G5343" t="s">
        <v>110</v>
      </c>
      <c r="H5343">
        <v>946084261</v>
      </c>
      <c r="I5343" t="s">
        <v>30</v>
      </c>
      <c r="J5343" t="s">
        <v>41</v>
      </c>
      <c r="K5343" t="s">
        <v>59</v>
      </c>
      <c r="Q5343">
        <v>0</v>
      </c>
      <c r="R5343">
        <v>0</v>
      </c>
      <c r="S5343">
        <v>0</v>
      </c>
      <c r="T5343" t="s">
        <v>21307</v>
      </c>
    </row>
    <row r="5344" spans="1:20" customFormat="1" ht="15" x14ac:dyDescent="0.25">
      <c r="A5344" t="s">
        <v>35</v>
      </c>
      <c r="B5344" t="s">
        <v>61</v>
      </c>
      <c r="C5344" t="str">
        <f>"A0184105"</f>
        <v>A0184105</v>
      </c>
      <c r="D5344" t="s">
        <v>21308</v>
      </c>
      <c r="E5344" t="s">
        <v>21309</v>
      </c>
      <c r="F5344" t="s">
        <v>5742</v>
      </c>
      <c r="G5344" t="s">
        <v>110</v>
      </c>
      <c r="H5344" t="s">
        <v>21310</v>
      </c>
      <c r="I5344" t="s">
        <v>30</v>
      </c>
      <c r="J5344" t="s">
        <v>41</v>
      </c>
      <c r="K5344" t="s">
        <v>59</v>
      </c>
      <c r="Q5344">
        <v>0</v>
      </c>
      <c r="R5344">
        <v>0</v>
      </c>
      <c r="S5344">
        <v>0</v>
      </c>
    </row>
    <row r="5345" spans="1:20" customFormat="1" ht="15" x14ac:dyDescent="0.25">
      <c r="A5345" t="s">
        <v>35</v>
      </c>
      <c r="B5345" t="s">
        <v>61</v>
      </c>
      <c r="C5345" t="str">
        <f>"A0184104"</f>
        <v>A0184104</v>
      </c>
      <c r="D5345" t="s">
        <v>21311</v>
      </c>
      <c r="E5345" t="s">
        <v>19868</v>
      </c>
      <c r="F5345" t="s">
        <v>19869</v>
      </c>
      <c r="G5345" t="s">
        <v>103</v>
      </c>
      <c r="H5345" t="s">
        <v>19870</v>
      </c>
      <c r="I5345" t="s">
        <v>30</v>
      </c>
      <c r="J5345" t="s">
        <v>41</v>
      </c>
      <c r="K5345" t="s">
        <v>59</v>
      </c>
      <c r="Q5345">
        <v>0</v>
      </c>
      <c r="R5345">
        <v>0</v>
      </c>
      <c r="S5345">
        <v>0</v>
      </c>
      <c r="T5345" t="s">
        <v>19871</v>
      </c>
    </row>
    <row r="5346" spans="1:20" customFormat="1" ht="15" x14ac:dyDescent="0.25">
      <c r="A5346" t="s">
        <v>35</v>
      </c>
      <c r="B5346" t="s">
        <v>61</v>
      </c>
      <c r="C5346" t="str">
        <f>"A0184103"</f>
        <v>A0184103</v>
      </c>
      <c r="D5346" t="s">
        <v>21312</v>
      </c>
      <c r="E5346" t="s">
        <v>21313</v>
      </c>
      <c r="F5346" t="s">
        <v>4693</v>
      </c>
      <c r="G5346" t="s">
        <v>103</v>
      </c>
      <c r="H5346" t="s">
        <v>21314</v>
      </c>
      <c r="I5346" t="s">
        <v>30</v>
      </c>
      <c r="J5346" t="s">
        <v>41</v>
      </c>
      <c r="K5346" t="s">
        <v>59</v>
      </c>
      <c r="Q5346">
        <v>0</v>
      </c>
      <c r="R5346">
        <v>0</v>
      </c>
      <c r="S5346">
        <v>0</v>
      </c>
      <c r="T5346" t="s">
        <v>21315</v>
      </c>
    </row>
    <row r="5347" spans="1:20" customFormat="1" ht="15" x14ac:dyDescent="0.25">
      <c r="A5347" t="s">
        <v>35</v>
      </c>
      <c r="B5347" t="s">
        <v>61</v>
      </c>
      <c r="C5347" t="str">
        <f>"A0184102"</f>
        <v>A0184102</v>
      </c>
      <c r="D5347" t="s">
        <v>21316</v>
      </c>
      <c r="E5347" t="s">
        <v>21317</v>
      </c>
      <c r="F5347" t="s">
        <v>102</v>
      </c>
      <c r="G5347" t="s">
        <v>103</v>
      </c>
      <c r="H5347" t="s">
        <v>21318</v>
      </c>
      <c r="I5347" t="s">
        <v>30</v>
      </c>
      <c r="J5347" t="s">
        <v>41</v>
      </c>
      <c r="K5347" t="s">
        <v>59</v>
      </c>
      <c r="Q5347">
        <v>0</v>
      </c>
      <c r="R5347">
        <v>0</v>
      </c>
      <c r="S5347">
        <v>0</v>
      </c>
      <c r="T5347" t="s">
        <v>21319</v>
      </c>
    </row>
    <row r="5348" spans="1:20" customFormat="1" ht="15" x14ac:dyDescent="0.25">
      <c r="A5348" t="s">
        <v>35</v>
      </c>
      <c r="B5348" t="s">
        <v>61</v>
      </c>
      <c r="C5348" t="str">
        <f>"A0184101"</f>
        <v>A0184101</v>
      </c>
      <c r="D5348" t="s">
        <v>21320</v>
      </c>
      <c r="E5348" t="s">
        <v>20940</v>
      </c>
      <c r="F5348" t="s">
        <v>4354</v>
      </c>
      <c r="G5348" t="s">
        <v>103</v>
      </c>
      <c r="H5348">
        <v>165111427</v>
      </c>
      <c r="I5348" t="s">
        <v>30</v>
      </c>
      <c r="J5348" t="s">
        <v>41</v>
      </c>
      <c r="K5348" t="s">
        <v>59</v>
      </c>
      <c r="Q5348">
        <v>0</v>
      </c>
      <c r="R5348">
        <v>0</v>
      </c>
      <c r="S5348">
        <v>0</v>
      </c>
    </row>
    <row r="5349" spans="1:20" customFormat="1" ht="15" x14ac:dyDescent="0.25">
      <c r="A5349" t="s">
        <v>35</v>
      </c>
      <c r="B5349" t="s">
        <v>61</v>
      </c>
      <c r="C5349" t="str">
        <f>"A0184100"</f>
        <v>A0184100</v>
      </c>
      <c r="D5349" t="s">
        <v>21321</v>
      </c>
      <c r="E5349" t="s">
        <v>21322</v>
      </c>
      <c r="F5349" t="s">
        <v>2307</v>
      </c>
      <c r="G5349" t="s">
        <v>65</v>
      </c>
      <c r="H5349" t="s">
        <v>21323</v>
      </c>
      <c r="I5349" t="s">
        <v>30</v>
      </c>
      <c r="J5349" t="s">
        <v>41</v>
      </c>
      <c r="K5349" t="s">
        <v>59</v>
      </c>
      <c r="Q5349">
        <v>0</v>
      </c>
      <c r="R5349">
        <v>150</v>
      </c>
      <c r="S5349">
        <v>150</v>
      </c>
      <c r="T5349" t="s">
        <v>21324</v>
      </c>
    </row>
    <row r="5350" spans="1:20" customFormat="1" ht="15" x14ac:dyDescent="0.25">
      <c r="A5350" t="s">
        <v>35</v>
      </c>
      <c r="B5350" t="s">
        <v>61</v>
      </c>
      <c r="C5350" t="str">
        <f>"A0184099"</f>
        <v>A0184099</v>
      </c>
      <c r="D5350" t="s">
        <v>21325</v>
      </c>
      <c r="E5350" t="s">
        <v>21326</v>
      </c>
      <c r="F5350" t="s">
        <v>64</v>
      </c>
      <c r="G5350" t="s">
        <v>65</v>
      </c>
      <c r="H5350">
        <v>43215</v>
      </c>
      <c r="I5350" t="s">
        <v>30</v>
      </c>
      <c r="J5350" t="s">
        <v>41</v>
      </c>
      <c r="K5350" t="s">
        <v>59</v>
      </c>
      <c r="Q5350">
        <v>0</v>
      </c>
      <c r="R5350">
        <v>0</v>
      </c>
      <c r="S5350">
        <v>0</v>
      </c>
    </row>
    <row r="5351" spans="1:20" customFormat="1" ht="15" x14ac:dyDescent="0.25">
      <c r="A5351" t="s">
        <v>35</v>
      </c>
      <c r="B5351" t="s">
        <v>61</v>
      </c>
      <c r="C5351" t="str">
        <f>"A0184098"</f>
        <v>A0184098</v>
      </c>
      <c r="D5351" t="s">
        <v>21327</v>
      </c>
      <c r="E5351" t="s">
        <v>21328</v>
      </c>
      <c r="F5351" t="s">
        <v>21329</v>
      </c>
      <c r="G5351" t="s">
        <v>65</v>
      </c>
      <c r="H5351">
        <v>452425545</v>
      </c>
      <c r="I5351" t="s">
        <v>30</v>
      </c>
      <c r="J5351" t="s">
        <v>41</v>
      </c>
      <c r="K5351" t="s">
        <v>59</v>
      </c>
      <c r="Q5351">
        <v>0</v>
      </c>
      <c r="R5351">
        <v>0</v>
      </c>
      <c r="S5351">
        <v>0</v>
      </c>
      <c r="T5351" t="s">
        <v>21330</v>
      </c>
    </row>
    <row r="5352" spans="1:20" customFormat="1" ht="15" x14ac:dyDescent="0.25">
      <c r="A5352" t="s">
        <v>35</v>
      </c>
      <c r="B5352" t="s">
        <v>11871</v>
      </c>
      <c r="C5352" t="str">
        <f>"A0184096"</f>
        <v>A0184096</v>
      </c>
      <c r="D5352" t="s">
        <v>21331</v>
      </c>
      <c r="E5352" t="s">
        <v>21332</v>
      </c>
      <c r="F5352" t="s">
        <v>21333</v>
      </c>
      <c r="G5352" t="s">
        <v>65</v>
      </c>
      <c r="H5352">
        <v>442817903</v>
      </c>
      <c r="I5352" t="s">
        <v>30</v>
      </c>
      <c r="J5352" t="s">
        <v>41</v>
      </c>
      <c r="K5352" t="s">
        <v>59</v>
      </c>
      <c r="Q5352">
        <v>0</v>
      </c>
      <c r="R5352">
        <v>0</v>
      </c>
      <c r="S5352">
        <v>0</v>
      </c>
      <c r="T5352" t="s">
        <v>21334</v>
      </c>
    </row>
    <row r="5353" spans="1:20" customFormat="1" ht="15" x14ac:dyDescent="0.25">
      <c r="A5353" t="s">
        <v>35</v>
      </c>
      <c r="B5353" t="s">
        <v>11871</v>
      </c>
      <c r="C5353" t="str">
        <f>"A0184095"</f>
        <v>A0184095</v>
      </c>
      <c r="D5353" t="s">
        <v>21335</v>
      </c>
      <c r="E5353" t="s">
        <v>21336</v>
      </c>
      <c r="F5353" t="s">
        <v>21337</v>
      </c>
      <c r="G5353" t="s">
        <v>65</v>
      </c>
      <c r="H5353">
        <v>431431291</v>
      </c>
      <c r="I5353" t="s">
        <v>30</v>
      </c>
      <c r="J5353" t="s">
        <v>41</v>
      </c>
      <c r="K5353" t="s">
        <v>59</v>
      </c>
      <c r="Q5353">
        <v>0</v>
      </c>
      <c r="R5353">
        <v>0</v>
      </c>
      <c r="S5353">
        <v>0</v>
      </c>
      <c r="T5353" t="s">
        <v>21338</v>
      </c>
    </row>
    <row r="5354" spans="1:20" customFormat="1" ht="15" x14ac:dyDescent="0.25">
      <c r="A5354" t="s">
        <v>35</v>
      </c>
      <c r="B5354" t="s">
        <v>11871</v>
      </c>
      <c r="C5354" t="str">
        <f>"A0184094"</f>
        <v>A0184094</v>
      </c>
      <c r="D5354" t="s">
        <v>21339</v>
      </c>
      <c r="E5354" t="s">
        <v>21340</v>
      </c>
      <c r="F5354" t="s">
        <v>21341</v>
      </c>
      <c r="G5354" t="s">
        <v>65</v>
      </c>
      <c r="H5354">
        <v>430045044</v>
      </c>
      <c r="I5354" t="s">
        <v>30</v>
      </c>
      <c r="J5354" t="s">
        <v>41</v>
      </c>
      <c r="K5354" t="s">
        <v>59</v>
      </c>
      <c r="Q5354">
        <v>0</v>
      </c>
      <c r="R5354">
        <v>0</v>
      </c>
      <c r="S5354">
        <v>0</v>
      </c>
      <c r="T5354" t="s">
        <v>21342</v>
      </c>
    </row>
    <row r="5355" spans="1:20" customFormat="1" ht="15" x14ac:dyDescent="0.25">
      <c r="A5355" t="s">
        <v>35</v>
      </c>
      <c r="B5355" t="s">
        <v>61</v>
      </c>
      <c r="C5355" t="str">
        <f>"A0184093"</f>
        <v>A0184093</v>
      </c>
      <c r="D5355" t="s">
        <v>21343</v>
      </c>
      <c r="E5355" t="s">
        <v>21344</v>
      </c>
      <c r="F5355" t="s">
        <v>8047</v>
      </c>
      <c r="G5355" t="s">
        <v>110</v>
      </c>
      <c r="H5355">
        <v>94596</v>
      </c>
      <c r="I5355" t="s">
        <v>30</v>
      </c>
      <c r="J5355" t="s">
        <v>41</v>
      </c>
      <c r="K5355" t="s">
        <v>59</v>
      </c>
      <c r="Q5355">
        <v>0</v>
      </c>
      <c r="R5355">
        <v>0</v>
      </c>
      <c r="S5355">
        <v>0</v>
      </c>
    </row>
    <row r="5356" spans="1:20" customFormat="1" ht="15" x14ac:dyDescent="0.25">
      <c r="A5356" t="s">
        <v>35</v>
      </c>
      <c r="B5356" t="s">
        <v>61</v>
      </c>
      <c r="C5356" t="str">
        <f>"A0184091"</f>
        <v>A0184091</v>
      </c>
      <c r="D5356" t="s">
        <v>21345</v>
      </c>
      <c r="E5356" t="s">
        <v>21346</v>
      </c>
      <c r="F5356" t="s">
        <v>1277</v>
      </c>
      <c r="G5356" t="s">
        <v>110</v>
      </c>
      <c r="H5356">
        <v>924103133</v>
      </c>
      <c r="I5356" t="s">
        <v>30</v>
      </c>
      <c r="J5356" t="s">
        <v>41</v>
      </c>
      <c r="K5356" t="s">
        <v>59</v>
      </c>
      <c r="Q5356">
        <v>0</v>
      </c>
      <c r="R5356">
        <v>0</v>
      </c>
      <c r="S5356">
        <v>0</v>
      </c>
      <c r="T5356" t="s">
        <v>21347</v>
      </c>
    </row>
    <row r="5357" spans="1:20" customFormat="1" ht="15" x14ac:dyDescent="0.25">
      <c r="A5357" t="s">
        <v>35</v>
      </c>
      <c r="B5357" t="s">
        <v>61</v>
      </c>
      <c r="C5357" t="str">
        <f>"A0184090"</f>
        <v>A0184090</v>
      </c>
      <c r="D5357" t="s">
        <v>21348</v>
      </c>
      <c r="E5357" t="s">
        <v>21349</v>
      </c>
      <c r="F5357" t="s">
        <v>21217</v>
      </c>
      <c r="G5357" t="s">
        <v>110</v>
      </c>
      <c r="H5357" t="s">
        <v>21350</v>
      </c>
      <c r="I5357" t="s">
        <v>30</v>
      </c>
      <c r="J5357" t="s">
        <v>41</v>
      </c>
      <c r="K5357" t="s">
        <v>59</v>
      </c>
      <c r="Q5357">
        <v>0</v>
      </c>
      <c r="R5357">
        <v>0</v>
      </c>
      <c r="S5357">
        <v>0</v>
      </c>
      <c r="T5357" t="s">
        <v>21351</v>
      </c>
    </row>
    <row r="5358" spans="1:20" customFormat="1" ht="15" x14ac:dyDescent="0.25">
      <c r="A5358" t="s">
        <v>35</v>
      </c>
      <c r="B5358" t="s">
        <v>61</v>
      </c>
      <c r="C5358" t="str">
        <f>"A0184089"</f>
        <v>A0184089</v>
      </c>
      <c r="D5358" t="s">
        <v>21352</v>
      </c>
      <c r="E5358" t="s">
        <v>21353</v>
      </c>
      <c r="F5358" t="s">
        <v>1439</v>
      </c>
      <c r="G5358" t="s">
        <v>110</v>
      </c>
      <c r="H5358" t="s">
        <v>21354</v>
      </c>
      <c r="I5358" t="s">
        <v>30</v>
      </c>
      <c r="J5358" t="s">
        <v>41</v>
      </c>
      <c r="K5358" t="s">
        <v>59</v>
      </c>
      <c r="Q5358">
        <v>0</v>
      </c>
      <c r="R5358">
        <v>0</v>
      </c>
      <c r="S5358">
        <v>0</v>
      </c>
      <c r="T5358" t="s">
        <v>21355</v>
      </c>
    </row>
    <row r="5359" spans="1:20" customFormat="1" ht="15" x14ac:dyDescent="0.25">
      <c r="A5359" t="s">
        <v>35</v>
      </c>
      <c r="B5359" t="s">
        <v>20462</v>
      </c>
      <c r="C5359" t="str">
        <f>"A0184088"</f>
        <v>A0184088</v>
      </c>
      <c r="D5359" t="s">
        <v>21356</v>
      </c>
      <c r="E5359" t="s">
        <v>21357</v>
      </c>
      <c r="F5359" t="s">
        <v>21358</v>
      </c>
      <c r="G5359" t="s">
        <v>110</v>
      </c>
      <c r="H5359">
        <v>954569613</v>
      </c>
      <c r="I5359" t="s">
        <v>30</v>
      </c>
      <c r="J5359" t="s">
        <v>41</v>
      </c>
      <c r="K5359" t="s">
        <v>59</v>
      </c>
      <c r="Q5359">
        <v>0</v>
      </c>
      <c r="R5359">
        <v>24</v>
      </c>
      <c r="S5359">
        <v>24</v>
      </c>
      <c r="T5359" t="s">
        <v>21359</v>
      </c>
    </row>
    <row r="5360" spans="1:20" customFormat="1" ht="15" x14ac:dyDescent="0.25">
      <c r="A5360" t="s">
        <v>35</v>
      </c>
      <c r="B5360" t="s">
        <v>61</v>
      </c>
      <c r="C5360" t="str">
        <f>"A0184087"</f>
        <v>A0184087</v>
      </c>
      <c r="D5360" t="s">
        <v>11615</v>
      </c>
      <c r="E5360" t="s">
        <v>21360</v>
      </c>
      <c r="F5360" t="s">
        <v>5742</v>
      </c>
      <c r="G5360" t="s">
        <v>110</v>
      </c>
      <c r="H5360" t="s">
        <v>21361</v>
      </c>
      <c r="I5360" t="s">
        <v>30</v>
      </c>
      <c r="J5360" t="s">
        <v>41</v>
      </c>
      <c r="K5360" t="s">
        <v>59</v>
      </c>
      <c r="Q5360">
        <v>0</v>
      </c>
      <c r="R5360">
        <v>0</v>
      </c>
      <c r="S5360">
        <v>0</v>
      </c>
      <c r="T5360" t="s">
        <v>21362</v>
      </c>
    </row>
    <row r="5361" spans="1:20" customFormat="1" ht="15" x14ac:dyDescent="0.25">
      <c r="A5361" t="s">
        <v>35</v>
      </c>
      <c r="B5361" t="s">
        <v>61</v>
      </c>
      <c r="C5361" t="str">
        <f>"A0184086"</f>
        <v>A0184086</v>
      </c>
      <c r="D5361" t="s">
        <v>21363</v>
      </c>
      <c r="E5361" t="s">
        <v>21364</v>
      </c>
      <c r="F5361" t="s">
        <v>9128</v>
      </c>
      <c r="G5361" t="s">
        <v>110</v>
      </c>
      <c r="H5361">
        <v>946115576</v>
      </c>
      <c r="I5361" t="s">
        <v>30</v>
      </c>
      <c r="J5361" t="s">
        <v>41</v>
      </c>
      <c r="K5361" t="s">
        <v>59</v>
      </c>
      <c r="Q5361">
        <v>0</v>
      </c>
      <c r="R5361">
        <v>0</v>
      </c>
      <c r="S5361">
        <v>0</v>
      </c>
    </row>
    <row r="5362" spans="1:20" customFormat="1" ht="15" x14ac:dyDescent="0.25">
      <c r="A5362" t="s">
        <v>35</v>
      </c>
      <c r="B5362" t="s">
        <v>61</v>
      </c>
      <c r="C5362" t="str">
        <f>"A0184085"</f>
        <v>A0184085</v>
      </c>
      <c r="D5362" t="s">
        <v>21365</v>
      </c>
      <c r="E5362" t="s">
        <v>21366</v>
      </c>
      <c r="F5362" t="s">
        <v>14363</v>
      </c>
      <c r="G5362" t="s">
        <v>110</v>
      </c>
      <c r="H5362" t="s">
        <v>21367</v>
      </c>
      <c r="I5362" t="s">
        <v>30</v>
      </c>
      <c r="J5362" t="s">
        <v>41</v>
      </c>
      <c r="K5362" t="s">
        <v>59</v>
      </c>
      <c r="Q5362">
        <v>0</v>
      </c>
      <c r="R5362">
        <v>0</v>
      </c>
      <c r="S5362">
        <v>0</v>
      </c>
      <c r="T5362" t="s">
        <v>21368</v>
      </c>
    </row>
    <row r="5363" spans="1:20" customFormat="1" ht="15" x14ac:dyDescent="0.25">
      <c r="A5363" t="s">
        <v>35</v>
      </c>
      <c r="B5363" t="s">
        <v>61</v>
      </c>
      <c r="C5363" t="str">
        <f>"A0184084"</f>
        <v>A0184084</v>
      </c>
      <c r="D5363" t="s">
        <v>21369</v>
      </c>
      <c r="E5363" t="s">
        <v>21370</v>
      </c>
      <c r="F5363" t="s">
        <v>1277</v>
      </c>
      <c r="G5363" t="s">
        <v>110</v>
      </c>
      <c r="H5363" t="s">
        <v>21371</v>
      </c>
      <c r="I5363" t="s">
        <v>30</v>
      </c>
      <c r="J5363" t="s">
        <v>41</v>
      </c>
      <c r="K5363" t="s">
        <v>59</v>
      </c>
      <c r="Q5363">
        <v>0</v>
      </c>
      <c r="R5363">
        <v>0</v>
      </c>
      <c r="S5363">
        <v>0</v>
      </c>
      <c r="T5363" t="s">
        <v>21372</v>
      </c>
    </row>
    <row r="5364" spans="1:20" customFormat="1" ht="15" x14ac:dyDescent="0.25">
      <c r="A5364" t="s">
        <v>35</v>
      </c>
      <c r="B5364" t="s">
        <v>61</v>
      </c>
      <c r="C5364" t="str">
        <f>"A0184083"</f>
        <v>A0184083</v>
      </c>
      <c r="D5364" t="s">
        <v>21373</v>
      </c>
      <c r="E5364" t="s">
        <v>21374</v>
      </c>
      <c r="F5364" t="s">
        <v>20401</v>
      </c>
      <c r="G5364" t="s">
        <v>427</v>
      </c>
      <c r="H5364">
        <v>680081148</v>
      </c>
      <c r="I5364" t="s">
        <v>30</v>
      </c>
      <c r="J5364" t="s">
        <v>41</v>
      </c>
      <c r="K5364" t="s">
        <v>59</v>
      </c>
      <c r="Q5364">
        <v>0</v>
      </c>
      <c r="R5364">
        <v>0</v>
      </c>
      <c r="S5364">
        <v>0</v>
      </c>
      <c r="T5364" t="s">
        <v>21375</v>
      </c>
    </row>
    <row r="5365" spans="1:20" customFormat="1" ht="15" x14ac:dyDescent="0.25">
      <c r="A5365" t="s">
        <v>35</v>
      </c>
      <c r="B5365" t="s">
        <v>61</v>
      </c>
      <c r="C5365" t="str">
        <f>"A0184082"</f>
        <v>A0184082</v>
      </c>
      <c r="D5365" t="s">
        <v>21376</v>
      </c>
      <c r="E5365" t="s">
        <v>21377</v>
      </c>
      <c r="F5365" t="s">
        <v>14148</v>
      </c>
      <c r="G5365" t="s">
        <v>161</v>
      </c>
      <c r="H5365" t="s">
        <v>21378</v>
      </c>
      <c r="I5365" t="s">
        <v>30</v>
      </c>
      <c r="J5365" t="s">
        <v>41</v>
      </c>
      <c r="K5365" t="s">
        <v>59</v>
      </c>
      <c r="Q5365">
        <v>0</v>
      </c>
      <c r="R5365">
        <v>0</v>
      </c>
      <c r="S5365">
        <v>0</v>
      </c>
    </row>
    <row r="5366" spans="1:20" customFormat="1" ht="15" x14ac:dyDescent="0.25">
      <c r="A5366" t="s">
        <v>35</v>
      </c>
      <c r="B5366" t="s">
        <v>61</v>
      </c>
      <c r="C5366" t="str">
        <f>"A0184081"</f>
        <v>A0184081</v>
      </c>
      <c r="D5366" t="s">
        <v>21379</v>
      </c>
      <c r="E5366" t="s">
        <v>21380</v>
      </c>
      <c r="F5366" t="s">
        <v>5322</v>
      </c>
      <c r="G5366" t="s">
        <v>161</v>
      </c>
      <c r="H5366" t="s">
        <v>21381</v>
      </c>
      <c r="I5366" t="s">
        <v>30</v>
      </c>
      <c r="J5366" t="s">
        <v>41</v>
      </c>
      <c r="K5366" t="s">
        <v>59</v>
      </c>
      <c r="Q5366">
        <v>0</v>
      </c>
      <c r="R5366">
        <v>0</v>
      </c>
      <c r="S5366">
        <v>0</v>
      </c>
      <c r="T5366" t="s">
        <v>21382</v>
      </c>
    </row>
    <row r="5367" spans="1:20" customFormat="1" ht="15" x14ac:dyDescent="0.25">
      <c r="A5367" t="s">
        <v>35</v>
      </c>
      <c r="B5367" t="s">
        <v>61</v>
      </c>
      <c r="C5367" t="str">
        <f>"A0184080"</f>
        <v>A0184080</v>
      </c>
      <c r="D5367" t="s">
        <v>21383</v>
      </c>
      <c r="E5367" t="s">
        <v>21384</v>
      </c>
      <c r="F5367" t="s">
        <v>21385</v>
      </c>
      <c r="G5367" t="s">
        <v>161</v>
      </c>
      <c r="H5367" t="s">
        <v>21386</v>
      </c>
      <c r="I5367" t="s">
        <v>30</v>
      </c>
      <c r="J5367" t="s">
        <v>41</v>
      </c>
      <c r="K5367" t="s">
        <v>59</v>
      </c>
      <c r="Q5367">
        <v>0</v>
      </c>
      <c r="R5367">
        <v>0</v>
      </c>
      <c r="S5367">
        <v>0</v>
      </c>
    </row>
    <row r="5368" spans="1:20" customFormat="1" ht="15" x14ac:dyDescent="0.25">
      <c r="A5368" t="s">
        <v>35</v>
      </c>
      <c r="B5368" t="s">
        <v>61</v>
      </c>
      <c r="C5368" t="str">
        <f>"A0184079"</f>
        <v>A0184079</v>
      </c>
      <c r="D5368" t="s">
        <v>21387</v>
      </c>
      <c r="E5368" t="s">
        <v>21388</v>
      </c>
      <c r="F5368" t="s">
        <v>20926</v>
      </c>
      <c r="G5368" t="s">
        <v>161</v>
      </c>
      <c r="H5368" t="s">
        <v>21389</v>
      </c>
      <c r="I5368" t="s">
        <v>30</v>
      </c>
      <c r="J5368" t="s">
        <v>41</v>
      </c>
      <c r="K5368" t="s">
        <v>59</v>
      </c>
      <c r="Q5368">
        <v>0</v>
      </c>
      <c r="R5368">
        <v>0</v>
      </c>
      <c r="S5368">
        <v>0</v>
      </c>
    </row>
    <row r="5369" spans="1:20" customFormat="1" ht="15" x14ac:dyDescent="0.25">
      <c r="A5369" t="s">
        <v>35</v>
      </c>
      <c r="B5369" t="s">
        <v>61</v>
      </c>
      <c r="C5369" t="str">
        <f>"A0184078"</f>
        <v>A0184078</v>
      </c>
      <c r="D5369" t="s">
        <v>21390</v>
      </c>
      <c r="E5369" t="s">
        <v>21391</v>
      </c>
      <c r="F5369" t="s">
        <v>21392</v>
      </c>
      <c r="G5369" t="s">
        <v>161</v>
      </c>
      <c r="H5369" t="s">
        <v>21393</v>
      </c>
      <c r="I5369" t="s">
        <v>30</v>
      </c>
      <c r="J5369" t="s">
        <v>41</v>
      </c>
      <c r="K5369" t="s">
        <v>59</v>
      </c>
      <c r="Q5369">
        <v>0</v>
      </c>
      <c r="R5369">
        <v>0</v>
      </c>
      <c r="S5369">
        <v>0</v>
      </c>
    </row>
    <row r="5370" spans="1:20" customFormat="1" ht="15" x14ac:dyDescent="0.25">
      <c r="A5370" t="s">
        <v>35</v>
      </c>
      <c r="B5370" t="s">
        <v>61</v>
      </c>
      <c r="C5370" t="str">
        <f>"A0184077"</f>
        <v>A0184077</v>
      </c>
      <c r="D5370" t="s">
        <v>21394</v>
      </c>
      <c r="E5370" t="s">
        <v>21395</v>
      </c>
      <c r="F5370" t="s">
        <v>16367</v>
      </c>
      <c r="G5370" t="s">
        <v>52</v>
      </c>
      <c r="H5370" t="s">
        <v>21396</v>
      </c>
      <c r="I5370" t="s">
        <v>30</v>
      </c>
      <c r="J5370" t="s">
        <v>41</v>
      </c>
      <c r="K5370" t="s">
        <v>59</v>
      </c>
      <c r="Q5370">
        <v>0</v>
      </c>
      <c r="R5370">
        <v>0</v>
      </c>
      <c r="S5370">
        <v>0</v>
      </c>
    </row>
    <row r="5371" spans="1:20" customFormat="1" ht="15" x14ac:dyDescent="0.25">
      <c r="A5371" t="s">
        <v>35</v>
      </c>
      <c r="B5371" t="s">
        <v>61</v>
      </c>
      <c r="C5371" t="str">
        <f>"A0184076"</f>
        <v>A0184076</v>
      </c>
      <c r="D5371" t="s">
        <v>21397</v>
      </c>
      <c r="E5371" t="s">
        <v>21398</v>
      </c>
      <c r="F5371" t="s">
        <v>7638</v>
      </c>
      <c r="G5371" t="s">
        <v>52</v>
      </c>
      <c r="H5371">
        <v>751501425</v>
      </c>
      <c r="I5371" t="s">
        <v>30</v>
      </c>
      <c r="J5371" t="s">
        <v>41</v>
      </c>
      <c r="K5371" t="s">
        <v>59</v>
      </c>
      <c r="Q5371">
        <v>0</v>
      </c>
      <c r="R5371">
        <v>180</v>
      </c>
      <c r="S5371">
        <v>180</v>
      </c>
      <c r="T5371" t="s">
        <v>20992</v>
      </c>
    </row>
    <row r="5372" spans="1:20" customFormat="1" ht="15" x14ac:dyDescent="0.25">
      <c r="A5372" t="s">
        <v>35</v>
      </c>
      <c r="B5372" t="s">
        <v>61</v>
      </c>
      <c r="C5372" t="str">
        <f>"A0184075"</f>
        <v>A0184075</v>
      </c>
      <c r="D5372" t="s">
        <v>21399</v>
      </c>
      <c r="E5372" t="s">
        <v>21400</v>
      </c>
      <c r="F5372" t="s">
        <v>5257</v>
      </c>
      <c r="G5372" t="s">
        <v>52</v>
      </c>
      <c r="H5372" t="s">
        <v>21401</v>
      </c>
      <c r="I5372" t="s">
        <v>30</v>
      </c>
      <c r="J5372" t="s">
        <v>41</v>
      </c>
      <c r="K5372" t="s">
        <v>59</v>
      </c>
      <c r="Q5372">
        <v>0</v>
      </c>
      <c r="R5372">
        <v>30</v>
      </c>
      <c r="S5372">
        <v>30</v>
      </c>
      <c r="T5372" t="s">
        <v>21402</v>
      </c>
    </row>
    <row r="5373" spans="1:20" customFormat="1" ht="15" x14ac:dyDescent="0.25">
      <c r="A5373" t="s">
        <v>35</v>
      </c>
      <c r="B5373" t="s">
        <v>61</v>
      </c>
      <c r="C5373" t="str">
        <f>"A0184074"</f>
        <v>A0184074</v>
      </c>
      <c r="D5373" t="s">
        <v>21403</v>
      </c>
      <c r="E5373" t="s">
        <v>21404</v>
      </c>
      <c r="F5373" t="s">
        <v>21405</v>
      </c>
      <c r="G5373" t="s">
        <v>3236</v>
      </c>
      <c r="H5373">
        <v>575331507</v>
      </c>
      <c r="I5373" t="s">
        <v>30</v>
      </c>
      <c r="J5373" t="s">
        <v>41</v>
      </c>
      <c r="K5373" t="s">
        <v>59</v>
      </c>
      <c r="Q5373">
        <v>0</v>
      </c>
      <c r="R5373">
        <v>42</v>
      </c>
      <c r="S5373">
        <v>42</v>
      </c>
      <c r="T5373" t="s">
        <v>21406</v>
      </c>
    </row>
    <row r="5374" spans="1:20" customFormat="1" ht="15" x14ac:dyDescent="0.25">
      <c r="A5374" t="s">
        <v>35</v>
      </c>
      <c r="B5374" t="s">
        <v>61</v>
      </c>
      <c r="C5374" t="str">
        <f>"A0184073"</f>
        <v>A0184073</v>
      </c>
      <c r="D5374" t="s">
        <v>21407</v>
      </c>
      <c r="E5374" t="s">
        <v>21408</v>
      </c>
      <c r="F5374" t="s">
        <v>11444</v>
      </c>
      <c r="G5374" t="s">
        <v>427</v>
      </c>
      <c r="H5374">
        <v>693348051</v>
      </c>
      <c r="I5374" t="s">
        <v>30</v>
      </c>
      <c r="J5374" t="s">
        <v>41</v>
      </c>
      <c r="K5374" t="s">
        <v>59</v>
      </c>
      <c r="Q5374">
        <v>0</v>
      </c>
      <c r="R5374">
        <v>57</v>
      </c>
      <c r="S5374">
        <v>57</v>
      </c>
      <c r="T5374" t="s">
        <v>21409</v>
      </c>
    </row>
    <row r="5375" spans="1:20" customFormat="1" ht="15" x14ac:dyDescent="0.25">
      <c r="A5375" t="s">
        <v>35</v>
      </c>
      <c r="B5375" t="s">
        <v>61</v>
      </c>
      <c r="C5375" t="str">
        <f>"A0184072"</f>
        <v>A0184072</v>
      </c>
      <c r="D5375" t="s">
        <v>21410</v>
      </c>
      <c r="E5375" t="s">
        <v>21411</v>
      </c>
      <c r="F5375" t="s">
        <v>21412</v>
      </c>
      <c r="G5375" t="s">
        <v>29</v>
      </c>
      <c r="H5375">
        <v>221922237</v>
      </c>
      <c r="I5375" t="s">
        <v>30</v>
      </c>
      <c r="J5375" t="s">
        <v>41</v>
      </c>
      <c r="K5375" t="s">
        <v>59</v>
      </c>
      <c r="Q5375">
        <v>0</v>
      </c>
      <c r="R5375">
        <v>341</v>
      </c>
      <c r="S5375">
        <v>341</v>
      </c>
      <c r="T5375" t="s">
        <v>21413</v>
      </c>
    </row>
    <row r="5376" spans="1:20" customFormat="1" ht="15" x14ac:dyDescent="0.25">
      <c r="A5376" t="s">
        <v>35</v>
      </c>
      <c r="B5376" t="s">
        <v>61</v>
      </c>
      <c r="C5376" t="str">
        <f>"A0184071"</f>
        <v>A0184071</v>
      </c>
      <c r="D5376" t="s">
        <v>21414</v>
      </c>
      <c r="E5376" t="s">
        <v>21415</v>
      </c>
      <c r="F5376" t="s">
        <v>1423</v>
      </c>
      <c r="G5376" t="s">
        <v>52</v>
      </c>
      <c r="H5376">
        <v>78628</v>
      </c>
      <c r="I5376" t="s">
        <v>30</v>
      </c>
      <c r="J5376" t="s">
        <v>41</v>
      </c>
      <c r="K5376" t="s">
        <v>59</v>
      </c>
      <c r="Q5376">
        <v>0</v>
      </c>
      <c r="R5376">
        <v>0</v>
      </c>
      <c r="S5376">
        <v>0</v>
      </c>
      <c r="T5376" t="s">
        <v>20334</v>
      </c>
    </row>
    <row r="5377" spans="1:20" customFormat="1" ht="15" x14ac:dyDescent="0.25">
      <c r="A5377" t="s">
        <v>35</v>
      </c>
      <c r="B5377" t="s">
        <v>61</v>
      </c>
      <c r="C5377" t="str">
        <f>"A0184070"</f>
        <v>A0184070</v>
      </c>
      <c r="D5377" t="s">
        <v>21416</v>
      </c>
      <c r="E5377" t="s">
        <v>20336</v>
      </c>
      <c r="F5377" t="s">
        <v>1423</v>
      </c>
      <c r="G5377" t="s">
        <v>52</v>
      </c>
      <c r="H5377" t="s">
        <v>20337</v>
      </c>
      <c r="I5377" t="s">
        <v>30</v>
      </c>
      <c r="J5377" t="s">
        <v>41</v>
      </c>
      <c r="K5377" t="s">
        <v>59</v>
      </c>
      <c r="Q5377">
        <v>0</v>
      </c>
      <c r="R5377">
        <v>0</v>
      </c>
      <c r="S5377">
        <v>0</v>
      </c>
      <c r="T5377" t="s">
        <v>20338</v>
      </c>
    </row>
    <row r="5378" spans="1:20" customFormat="1" ht="15" x14ac:dyDescent="0.25">
      <c r="A5378" t="s">
        <v>35</v>
      </c>
      <c r="B5378" t="s">
        <v>61</v>
      </c>
      <c r="C5378" t="str">
        <f>"A0184069"</f>
        <v>A0184069</v>
      </c>
      <c r="D5378" t="s">
        <v>21417</v>
      </c>
      <c r="E5378" t="s">
        <v>21418</v>
      </c>
      <c r="F5378" t="s">
        <v>5257</v>
      </c>
      <c r="G5378" t="s">
        <v>52</v>
      </c>
      <c r="H5378" t="s">
        <v>21419</v>
      </c>
      <c r="I5378" t="s">
        <v>30</v>
      </c>
      <c r="J5378" t="s">
        <v>41</v>
      </c>
      <c r="K5378" t="s">
        <v>59</v>
      </c>
      <c r="Q5378">
        <v>0</v>
      </c>
      <c r="R5378">
        <v>290</v>
      </c>
      <c r="S5378">
        <v>290</v>
      </c>
      <c r="T5378" t="s">
        <v>21420</v>
      </c>
    </row>
    <row r="5379" spans="1:20" customFormat="1" ht="15" x14ac:dyDescent="0.25">
      <c r="A5379" t="s">
        <v>35</v>
      </c>
      <c r="B5379" t="s">
        <v>61</v>
      </c>
      <c r="C5379" t="str">
        <f>"A0184067"</f>
        <v>A0184067</v>
      </c>
      <c r="D5379" t="s">
        <v>21421</v>
      </c>
      <c r="E5379" t="s">
        <v>21422</v>
      </c>
      <c r="F5379" t="s">
        <v>853</v>
      </c>
      <c r="G5379" t="s">
        <v>52</v>
      </c>
      <c r="H5379">
        <v>76112</v>
      </c>
      <c r="I5379" t="s">
        <v>30</v>
      </c>
      <c r="J5379" t="s">
        <v>41</v>
      </c>
      <c r="K5379" t="s">
        <v>59</v>
      </c>
      <c r="Q5379">
        <v>0</v>
      </c>
      <c r="R5379">
        <v>0</v>
      </c>
      <c r="S5379">
        <v>0</v>
      </c>
    </row>
    <row r="5380" spans="1:20" customFormat="1" ht="15" x14ac:dyDescent="0.25">
      <c r="A5380" t="s">
        <v>35</v>
      </c>
      <c r="B5380" t="s">
        <v>61</v>
      </c>
      <c r="C5380" t="str">
        <f>"A0184066"</f>
        <v>A0184066</v>
      </c>
      <c r="D5380" t="s">
        <v>21423</v>
      </c>
      <c r="E5380" t="s">
        <v>21424</v>
      </c>
      <c r="F5380" t="s">
        <v>21425</v>
      </c>
      <c r="G5380" t="s">
        <v>3236</v>
      </c>
      <c r="H5380">
        <v>57108</v>
      </c>
      <c r="I5380" t="s">
        <v>30</v>
      </c>
      <c r="J5380" t="s">
        <v>41</v>
      </c>
      <c r="K5380" t="s">
        <v>59</v>
      </c>
      <c r="Q5380">
        <v>0</v>
      </c>
      <c r="R5380">
        <v>174</v>
      </c>
      <c r="S5380">
        <v>174</v>
      </c>
      <c r="T5380" t="s">
        <v>21426</v>
      </c>
    </row>
    <row r="5381" spans="1:20" customFormat="1" ht="15" x14ac:dyDescent="0.25">
      <c r="A5381" t="s">
        <v>35</v>
      </c>
      <c r="B5381" t="s">
        <v>61</v>
      </c>
      <c r="C5381" t="str">
        <f>"A0184065"</f>
        <v>A0184065</v>
      </c>
      <c r="D5381" t="s">
        <v>21427</v>
      </c>
      <c r="E5381" t="s">
        <v>20555</v>
      </c>
      <c r="F5381" t="s">
        <v>5292</v>
      </c>
      <c r="G5381" t="s">
        <v>427</v>
      </c>
      <c r="H5381">
        <v>685103741</v>
      </c>
      <c r="I5381" t="s">
        <v>30</v>
      </c>
      <c r="J5381" t="s">
        <v>41</v>
      </c>
      <c r="K5381" t="s">
        <v>59</v>
      </c>
      <c r="Q5381">
        <v>0</v>
      </c>
      <c r="R5381">
        <v>205</v>
      </c>
      <c r="S5381">
        <v>205</v>
      </c>
      <c r="T5381" t="s">
        <v>21428</v>
      </c>
    </row>
    <row r="5382" spans="1:20" customFormat="1" ht="15" x14ac:dyDescent="0.25">
      <c r="A5382" t="s">
        <v>35</v>
      </c>
      <c r="B5382" t="s">
        <v>61</v>
      </c>
      <c r="C5382" t="str">
        <f>"A0184064"</f>
        <v>A0184064</v>
      </c>
      <c r="D5382" t="s">
        <v>21429</v>
      </c>
      <c r="E5382" t="s">
        <v>21430</v>
      </c>
      <c r="F5382" t="s">
        <v>1378</v>
      </c>
      <c r="G5382" t="s">
        <v>110</v>
      </c>
      <c r="H5382" t="s">
        <v>21431</v>
      </c>
      <c r="I5382" t="s">
        <v>30</v>
      </c>
      <c r="J5382" t="s">
        <v>41</v>
      </c>
      <c r="K5382" t="s">
        <v>59</v>
      </c>
      <c r="Q5382">
        <v>0</v>
      </c>
      <c r="R5382">
        <v>0</v>
      </c>
      <c r="S5382">
        <v>0</v>
      </c>
      <c r="T5382" t="s">
        <v>21432</v>
      </c>
    </row>
    <row r="5383" spans="1:20" customFormat="1" ht="15" x14ac:dyDescent="0.25">
      <c r="A5383" t="s">
        <v>35</v>
      </c>
      <c r="B5383" t="s">
        <v>61</v>
      </c>
      <c r="C5383" t="str">
        <f>"A0184063"</f>
        <v>A0184063</v>
      </c>
      <c r="D5383" t="s">
        <v>21433</v>
      </c>
      <c r="E5383" t="s">
        <v>21434</v>
      </c>
      <c r="F5383" t="s">
        <v>9128</v>
      </c>
      <c r="G5383" t="s">
        <v>110</v>
      </c>
      <c r="H5383">
        <v>94612</v>
      </c>
      <c r="I5383" t="s">
        <v>30</v>
      </c>
      <c r="J5383" t="s">
        <v>41</v>
      </c>
      <c r="K5383" t="s">
        <v>59</v>
      </c>
      <c r="Q5383">
        <v>0</v>
      </c>
      <c r="R5383">
        <v>0</v>
      </c>
      <c r="S5383">
        <v>0</v>
      </c>
      <c r="T5383" t="s">
        <v>21435</v>
      </c>
    </row>
    <row r="5384" spans="1:20" customFormat="1" ht="15" x14ac:dyDescent="0.25">
      <c r="A5384" t="s">
        <v>35</v>
      </c>
      <c r="B5384" t="s">
        <v>61</v>
      </c>
      <c r="C5384" t="str">
        <f>"A0184062"</f>
        <v>A0184062</v>
      </c>
      <c r="D5384" t="s">
        <v>21436</v>
      </c>
      <c r="E5384" t="s">
        <v>21437</v>
      </c>
      <c r="F5384" t="s">
        <v>8081</v>
      </c>
      <c r="G5384" t="s">
        <v>110</v>
      </c>
      <c r="H5384">
        <v>94102</v>
      </c>
      <c r="I5384" t="s">
        <v>30</v>
      </c>
      <c r="J5384" t="s">
        <v>41</v>
      </c>
      <c r="K5384" t="s">
        <v>59</v>
      </c>
      <c r="Q5384">
        <v>0</v>
      </c>
      <c r="R5384">
        <v>0</v>
      </c>
      <c r="S5384">
        <v>0</v>
      </c>
    </row>
    <row r="5385" spans="1:20" customFormat="1" ht="15" x14ac:dyDescent="0.25">
      <c r="A5385" t="s">
        <v>35</v>
      </c>
      <c r="B5385" t="s">
        <v>61</v>
      </c>
      <c r="C5385" t="str">
        <f>"A0184061"</f>
        <v>A0184061</v>
      </c>
      <c r="D5385" t="s">
        <v>21438</v>
      </c>
      <c r="E5385" t="s">
        <v>21439</v>
      </c>
      <c r="F5385" t="s">
        <v>426</v>
      </c>
      <c r="G5385" t="s">
        <v>427</v>
      </c>
      <c r="H5385">
        <v>68118</v>
      </c>
      <c r="I5385" t="s">
        <v>30</v>
      </c>
      <c r="J5385" t="s">
        <v>41</v>
      </c>
      <c r="K5385" t="s">
        <v>59</v>
      </c>
      <c r="Q5385">
        <v>0</v>
      </c>
      <c r="R5385">
        <v>143</v>
      </c>
      <c r="S5385">
        <v>143</v>
      </c>
      <c r="T5385" t="s">
        <v>21440</v>
      </c>
    </row>
    <row r="5386" spans="1:20" customFormat="1" ht="15" x14ac:dyDescent="0.25">
      <c r="A5386" t="s">
        <v>35</v>
      </c>
      <c r="B5386" t="s">
        <v>61</v>
      </c>
      <c r="C5386" t="str">
        <f>"A0184060"</f>
        <v>A0184060</v>
      </c>
      <c r="D5386" t="s">
        <v>21441</v>
      </c>
      <c r="E5386" t="s">
        <v>21442</v>
      </c>
      <c r="F5386" t="s">
        <v>12061</v>
      </c>
      <c r="G5386" t="s">
        <v>427</v>
      </c>
      <c r="H5386">
        <v>680463121</v>
      </c>
      <c r="I5386" t="s">
        <v>30</v>
      </c>
      <c r="J5386" t="s">
        <v>41</v>
      </c>
      <c r="K5386" t="s">
        <v>59</v>
      </c>
      <c r="Q5386">
        <v>0</v>
      </c>
      <c r="R5386">
        <v>50</v>
      </c>
      <c r="S5386">
        <v>50</v>
      </c>
      <c r="T5386" t="s">
        <v>21443</v>
      </c>
    </row>
    <row r="5387" spans="1:20" customFormat="1" ht="15" x14ac:dyDescent="0.25">
      <c r="A5387" t="s">
        <v>35</v>
      </c>
      <c r="B5387" t="s">
        <v>61</v>
      </c>
      <c r="C5387" t="str">
        <f>"A0184059"</f>
        <v>A0184059</v>
      </c>
      <c r="D5387" t="s">
        <v>21444</v>
      </c>
      <c r="E5387" t="s">
        <v>21445</v>
      </c>
      <c r="F5387" t="s">
        <v>8043</v>
      </c>
      <c r="G5387" t="s">
        <v>925</v>
      </c>
      <c r="H5387" t="s">
        <v>21446</v>
      </c>
      <c r="I5387" t="s">
        <v>30</v>
      </c>
      <c r="J5387" t="s">
        <v>41</v>
      </c>
      <c r="K5387" t="s">
        <v>59</v>
      </c>
      <c r="Q5387">
        <v>0</v>
      </c>
      <c r="R5387">
        <v>34</v>
      </c>
      <c r="S5387">
        <v>34</v>
      </c>
      <c r="T5387" t="s">
        <v>21447</v>
      </c>
    </row>
    <row r="5388" spans="1:20" customFormat="1" ht="15" x14ac:dyDescent="0.25">
      <c r="A5388" t="s">
        <v>35</v>
      </c>
      <c r="B5388" t="s">
        <v>61</v>
      </c>
      <c r="C5388" t="str">
        <f>"A0184058"</f>
        <v>A0184058</v>
      </c>
      <c r="D5388" t="s">
        <v>21448</v>
      </c>
      <c r="E5388" t="s">
        <v>21449</v>
      </c>
      <c r="F5388" t="s">
        <v>1731</v>
      </c>
      <c r="G5388" t="s">
        <v>52</v>
      </c>
      <c r="H5388" t="s">
        <v>21450</v>
      </c>
      <c r="I5388" t="s">
        <v>30</v>
      </c>
      <c r="J5388" t="s">
        <v>41</v>
      </c>
      <c r="K5388" t="s">
        <v>59</v>
      </c>
      <c r="Q5388">
        <v>0</v>
      </c>
      <c r="R5388">
        <v>0</v>
      </c>
      <c r="S5388">
        <v>0</v>
      </c>
      <c r="T5388" t="s">
        <v>21451</v>
      </c>
    </row>
    <row r="5389" spans="1:20" customFormat="1" ht="15" x14ac:dyDescent="0.25">
      <c r="A5389" t="s">
        <v>35</v>
      </c>
      <c r="B5389" t="s">
        <v>61</v>
      </c>
      <c r="C5389" t="str">
        <f>"A0184057"</f>
        <v>A0184057</v>
      </c>
      <c r="D5389" t="s">
        <v>21452</v>
      </c>
      <c r="E5389" t="s">
        <v>21453</v>
      </c>
      <c r="F5389" t="s">
        <v>5196</v>
      </c>
      <c r="G5389" t="s">
        <v>161</v>
      </c>
      <c r="H5389">
        <v>55802</v>
      </c>
      <c r="I5389" t="s">
        <v>30</v>
      </c>
      <c r="J5389" t="s">
        <v>41</v>
      </c>
      <c r="K5389" t="s">
        <v>59</v>
      </c>
      <c r="Q5389">
        <v>0</v>
      </c>
      <c r="R5389">
        <v>200</v>
      </c>
      <c r="S5389">
        <v>200</v>
      </c>
      <c r="T5389" t="s">
        <v>21454</v>
      </c>
    </row>
    <row r="5390" spans="1:20" customFormat="1" ht="15" x14ac:dyDescent="0.25">
      <c r="A5390" t="s">
        <v>35</v>
      </c>
      <c r="B5390" t="s">
        <v>61</v>
      </c>
      <c r="C5390" t="str">
        <f>"A0184056"</f>
        <v>A0184056</v>
      </c>
      <c r="D5390" t="s">
        <v>21455</v>
      </c>
      <c r="E5390" t="s">
        <v>21456</v>
      </c>
      <c r="F5390" t="s">
        <v>21457</v>
      </c>
      <c r="G5390" t="s">
        <v>161</v>
      </c>
      <c r="H5390" t="s">
        <v>21458</v>
      </c>
      <c r="I5390" t="s">
        <v>30</v>
      </c>
      <c r="J5390" t="s">
        <v>41</v>
      </c>
      <c r="K5390" t="s">
        <v>59</v>
      </c>
      <c r="Q5390">
        <v>0</v>
      </c>
      <c r="R5390">
        <v>0</v>
      </c>
      <c r="S5390">
        <v>0</v>
      </c>
    </row>
    <row r="5391" spans="1:20" customFormat="1" ht="15" x14ac:dyDescent="0.25">
      <c r="A5391" t="s">
        <v>35</v>
      </c>
      <c r="B5391" t="s">
        <v>61</v>
      </c>
      <c r="C5391" t="str">
        <f>"A0184055"</f>
        <v>A0184055</v>
      </c>
      <c r="D5391" t="s">
        <v>21459</v>
      </c>
      <c r="E5391" t="s">
        <v>21460</v>
      </c>
      <c r="F5391" t="s">
        <v>19689</v>
      </c>
      <c r="G5391" t="s">
        <v>161</v>
      </c>
      <c r="H5391" t="s">
        <v>21461</v>
      </c>
      <c r="I5391" t="s">
        <v>30</v>
      </c>
      <c r="J5391" t="s">
        <v>41</v>
      </c>
      <c r="K5391" t="s">
        <v>59</v>
      </c>
      <c r="Q5391">
        <v>0</v>
      </c>
      <c r="R5391">
        <v>0</v>
      </c>
      <c r="S5391">
        <v>0</v>
      </c>
    </row>
    <row r="5392" spans="1:20" customFormat="1" ht="15" x14ac:dyDescent="0.25">
      <c r="A5392" t="s">
        <v>35</v>
      </c>
      <c r="B5392" t="s">
        <v>61</v>
      </c>
      <c r="C5392" t="str">
        <f>"A0184054"</f>
        <v>A0184054</v>
      </c>
      <c r="D5392" t="s">
        <v>21462</v>
      </c>
      <c r="E5392" t="s">
        <v>21463</v>
      </c>
      <c r="F5392" t="s">
        <v>7362</v>
      </c>
      <c r="G5392" t="s">
        <v>110</v>
      </c>
      <c r="H5392" t="s">
        <v>21464</v>
      </c>
      <c r="I5392" t="s">
        <v>30</v>
      </c>
      <c r="J5392" t="s">
        <v>41</v>
      </c>
      <c r="K5392" t="s">
        <v>59</v>
      </c>
      <c r="Q5392">
        <v>0</v>
      </c>
      <c r="R5392">
        <v>0</v>
      </c>
      <c r="S5392">
        <v>0</v>
      </c>
      <c r="T5392" t="s">
        <v>21465</v>
      </c>
    </row>
    <row r="5393" spans="1:20" customFormat="1" ht="15" x14ac:dyDescent="0.25">
      <c r="A5393" t="s">
        <v>35</v>
      </c>
      <c r="B5393" t="s">
        <v>20462</v>
      </c>
      <c r="C5393" t="str">
        <f>"A0184053"</f>
        <v>A0184053</v>
      </c>
      <c r="D5393" t="s">
        <v>21466</v>
      </c>
      <c r="E5393" t="s">
        <v>21467</v>
      </c>
      <c r="F5393" t="s">
        <v>8081</v>
      </c>
      <c r="G5393" t="s">
        <v>110</v>
      </c>
      <c r="H5393">
        <v>941154275</v>
      </c>
      <c r="I5393" t="s">
        <v>30</v>
      </c>
      <c r="J5393" t="s">
        <v>41</v>
      </c>
      <c r="K5393" t="s">
        <v>59</v>
      </c>
      <c r="Q5393">
        <v>0</v>
      </c>
      <c r="R5393">
        <v>0</v>
      </c>
      <c r="S5393">
        <v>0</v>
      </c>
      <c r="T5393" t="s">
        <v>21468</v>
      </c>
    </row>
    <row r="5394" spans="1:20" customFormat="1" ht="15" x14ac:dyDescent="0.25">
      <c r="A5394" t="s">
        <v>35</v>
      </c>
      <c r="B5394" t="s">
        <v>61</v>
      </c>
      <c r="C5394" t="str">
        <f>"A0184052"</f>
        <v>A0184052</v>
      </c>
      <c r="D5394" t="s">
        <v>21469</v>
      </c>
      <c r="E5394" t="s">
        <v>21470</v>
      </c>
      <c r="F5394" t="s">
        <v>14745</v>
      </c>
      <c r="G5394" t="s">
        <v>110</v>
      </c>
      <c r="H5394">
        <v>945203852</v>
      </c>
      <c r="I5394" t="s">
        <v>30</v>
      </c>
      <c r="J5394" t="s">
        <v>41</v>
      </c>
      <c r="K5394" t="s">
        <v>59</v>
      </c>
      <c r="Q5394">
        <v>0</v>
      </c>
      <c r="R5394">
        <v>0</v>
      </c>
      <c r="S5394">
        <v>0</v>
      </c>
    </row>
    <row r="5395" spans="1:20" customFormat="1" ht="15" x14ac:dyDescent="0.25">
      <c r="A5395" t="s">
        <v>35</v>
      </c>
      <c r="B5395" t="s">
        <v>61</v>
      </c>
      <c r="C5395" t="str">
        <f>"A0184051"</f>
        <v>A0184051</v>
      </c>
      <c r="D5395" t="s">
        <v>21471</v>
      </c>
      <c r="E5395" t="s">
        <v>20931</v>
      </c>
      <c r="F5395" t="s">
        <v>4746</v>
      </c>
      <c r="G5395" t="s">
        <v>103</v>
      </c>
      <c r="H5395" t="s">
        <v>20932</v>
      </c>
      <c r="I5395" t="s">
        <v>30</v>
      </c>
      <c r="J5395" t="s">
        <v>41</v>
      </c>
      <c r="K5395" t="s">
        <v>59</v>
      </c>
      <c r="Q5395">
        <v>0</v>
      </c>
      <c r="R5395">
        <v>0</v>
      </c>
      <c r="S5395">
        <v>0</v>
      </c>
      <c r="T5395" t="s">
        <v>21472</v>
      </c>
    </row>
    <row r="5396" spans="1:20" customFormat="1" ht="15" x14ac:dyDescent="0.25">
      <c r="A5396" t="s">
        <v>35</v>
      </c>
      <c r="B5396" t="s">
        <v>61</v>
      </c>
      <c r="C5396" t="str">
        <f>"A0184050"</f>
        <v>A0184050</v>
      </c>
      <c r="D5396" t="s">
        <v>21473</v>
      </c>
      <c r="E5396" t="s">
        <v>21474</v>
      </c>
      <c r="F5396" t="s">
        <v>19852</v>
      </c>
      <c r="G5396" t="s">
        <v>103</v>
      </c>
      <c r="H5396" t="s">
        <v>21475</v>
      </c>
      <c r="I5396" t="s">
        <v>30</v>
      </c>
      <c r="J5396" t="s">
        <v>41</v>
      </c>
      <c r="K5396" t="s">
        <v>59</v>
      </c>
      <c r="Q5396">
        <v>0</v>
      </c>
      <c r="R5396">
        <v>89</v>
      </c>
      <c r="S5396">
        <v>89</v>
      </c>
      <c r="T5396" t="s">
        <v>21476</v>
      </c>
    </row>
    <row r="5397" spans="1:20" customFormat="1" ht="15" x14ac:dyDescent="0.25">
      <c r="A5397" t="s">
        <v>35</v>
      </c>
      <c r="B5397" t="s">
        <v>61</v>
      </c>
      <c r="C5397" t="str">
        <f>"A0184049"</f>
        <v>A0184049</v>
      </c>
      <c r="D5397" t="s">
        <v>21477</v>
      </c>
      <c r="E5397" t="s">
        <v>21478</v>
      </c>
      <c r="F5397" t="s">
        <v>21479</v>
      </c>
      <c r="G5397" t="s">
        <v>103</v>
      </c>
      <c r="H5397" t="s">
        <v>21480</v>
      </c>
      <c r="I5397" t="s">
        <v>30</v>
      </c>
      <c r="J5397" t="s">
        <v>41</v>
      </c>
      <c r="K5397" t="s">
        <v>59</v>
      </c>
      <c r="Q5397">
        <v>0</v>
      </c>
      <c r="R5397">
        <v>0</v>
      </c>
      <c r="S5397">
        <v>0</v>
      </c>
      <c r="T5397" t="s">
        <v>21481</v>
      </c>
    </row>
    <row r="5398" spans="1:20" customFormat="1" ht="15" x14ac:dyDescent="0.25">
      <c r="A5398" t="s">
        <v>35</v>
      </c>
      <c r="B5398" t="s">
        <v>61</v>
      </c>
      <c r="C5398" t="str">
        <f>"A0184048"</f>
        <v>A0184048</v>
      </c>
      <c r="D5398" t="s">
        <v>21482</v>
      </c>
      <c r="E5398" t="s">
        <v>21483</v>
      </c>
      <c r="F5398" t="s">
        <v>18414</v>
      </c>
      <c r="G5398" t="s">
        <v>103</v>
      </c>
      <c r="H5398" t="s">
        <v>21484</v>
      </c>
      <c r="I5398" t="s">
        <v>30</v>
      </c>
      <c r="J5398" t="s">
        <v>41</v>
      </c>
      <c r="K5398" t="s">
        <v>59</v>
      </c>
      <c r="Q5398">
        <v>0</v>
      </c>
      <c r="R5398">
        <v>0</v>
      </c>
      <c r="S5398">
        <v>0</v>
      </c>
      <c r="T5398" t="s">
        <v>21485</v>
      </c>
    </row>
    <row r="5399" spans="1:20" customFormat="1" ht="15" x14ac:dyDescent="0.25">
      <c r="A5399" t="s">
        <v>35</v>
      </c>
      <c r="B5399" t="s">
        <v>61</v>
      </c>
      <c r="C5399" t="str">
        <f>"A0184047"</f>
        <v>A0184047</v>
      </c>
      <c r="D5399" t="s">
        <v>4591</v>
      </c>
      <c r="E5399" t="s">
        <v>21486</v>
      </c>
      <c r="F5399" t="s">
        <v>4591</v>
      </c>
      <c r="G5399" t="s">
        <v>289</v>
      </c>
      <c r="H5399" t="s">
        <v>21487</v>
      </c>
      <c r="I5399" t="s">
        <v>30</v>
      </c>
      <c r="J5399" t="s">
        <v>41</v>
      </c>
      <c r="K5399" t="s">
        <v>59</v>
      </c>
      <c r="Q5399">
        <v>0</v>
      </c>
      <c r="R5399">
        <v>0</v>
      </c>
      <c r="S5399">
        <v>0</v>
      </c>
    </row>
    <row r="5400" spans="1:20" customFormat="1" ht="15" x14ac:dyDescent="0.25">
      <c r="A5400" t="s">
        <v>35</v>
      </c>
      <c r="B5400" t="s">
        <v>61</v>
      </c>
      <c r="C5400" t="str">
        <f>"A0184046"</f>
        <v>A0184046</v>
      </c>
      <c r="D5400" t="s">
        <v>13843</v>
      </c>
      <c r="E5400" t="s">
        <v>21488</v>
      </c>
      <c r="F5400" t="s">
        <v>13843</v>
      </c>
      <c r="G5400" t="s">
        <v>289</v>
      </c>
      <c r="H5400" t="s">
        <v>21489</v>
      </c>
      <c r="I5400" t="s">
        <v>30</v>
      </c>
      <c r="J5400" t="s">
        <v>41</v>
      </c>
      <c r="K5400" t="s">
        <v>59</v>
      </c>
      <c r="Q5400">
        <v>0</v>
      </c>
      <c r="R5400">
        <v>0</v>
      </c>
      <c r="S5400">
        <v>0</v>
      </c>
    </row>
    <row r="5401" spans="1:20" customFormat="1" ht="15" x14ac:dyDescent="0.25">
      <c r="A5401" t="s">
        <v>35</v>
      </c>
      <c r="B5401" t="s">
        <v>61</v>
      </c>
      <c r="C5401" t="str">
        <f>"A0184045"</f>
        <v>A0184045</v>
      </c>
      <c r="D5401" t="s">
        <v>21490</v>
      </c>
      <c r="E5401" t="s">
        <v>21491</v>
      </c>
      <c r="F5401" t="s">
        <v>21492</v>
      </c>
      <c r="G5401" t="s">
        <v>289</v>
      </c>
      <c r="H5401" t="s">
        <v>21493</v>
      </c>
      <c r="I5401" t="s">
        <v>30</v>
      </c>
      <c r="J5401" t="s">
        <v>41</v>
      </c>
      <c r="K5401" t="s">
        <v>59</v>
      </c>
      <c r="Q5401">
        <v>0</v>
      </c>
      <c r="R5401">
        <v>0</v>
      </c>
      <c r="S5401">
        <v>0</v>
      </c>
      <c r="T5401" t="s">
        <v>21494</v>
      </c>
    </row>
    <row r="5402" spans="1:20" customFormat="1" ht="15" x14ac:dyDescent="0.25">
      <c r="A5402" t="s">
        <v>35</v>
      </c>
      <c r="B5402" t="s">
        <v>61</v>
      </c>
      <c r="C5402" t="str">
        <f>"A0184044"</f>
        <v>A0184044</v>
      </c>
      <c r="D5402" t="s">
        <v>21495</v>
      </c>
      <c r="E5402" t="s">
        <v>21496</v>
      </c>
      <c r="F5402" t="s">
        <v>21497</v>
      </c>
      <c r="G5402" t="s">
        <v>1898</v>
      </c>
      <c r="H5402">
        <v>52531</v>
      </c>
      <c r="I5402" t="s">
        <v>30</v>
      </c>
      <c r="J5402" t="s">
        <v>41</v>
      </c>
      <c r="K5402" t="s">
        <v>59</v>
      </c>
      <c r="Q5402">
        <v>0</v>
      </c>
      <c r="R5402">
        <v>0</v>
      </c>
      <c r="S5402">
        <v>0</v>
      </c>
    </row>
    <row r="5403" spans="1:20" customFormat="1" ht="15" x14ac:dyDescent="0.25">
      <c r="A5403" t="s">
        <v>35</v>
      </c>
      <c r="B5403" t="s">
        <v>61</v>
      </c>
      <c r="C5403" t="str">
        <f>"A0184043"</f>
        <v>A0184043</v>
      </c>
      <c r="D5403" t="s">
        <v>21498</v>
      </c>
      <c r="E5403" t="s">
        <v>21499</v>
      </c>
      <c r="F5403" t="s">
        <v>21500</v>
      </c>
      <c r="G5403" t="s">
        <v>1898</v>
      </c>
      <c r="H5403" t="s">
        <v>21501</v>
      </c>
      <c r="I5403" t="s">
        <v>30</v>
      </c>
      <c r="J5403" t="s">
        <v>41</v>
      </c>
      <c r="K5403" t="s">
        <v>59</v>
      </c>
      <c r="Q5403">
        <v>0</v>
      </c>
      <c r="R5403">
        <v>138</v>
      </c>
      <c r="S5403">
        <v>138</v>
      </c>
      <c r="T5403" t="s">
        <v>21502</v>
      </c>
    </row>
    <row r="5404" spans="1:20" customFormat="1" ht="15" x14ac:dyDescent="0.25">
      <c r="A5404" t="s">
        <v>35</v>
      </c>
      <c r="B5404" t="s">
        <v>61</v>
      </c>
      <c r="C5404" t="str">
        <f>"A0184042"</f>
        <v>A0184042</v>
      </c>
      <c r="D5404" t="s">
        <v>21503</v>
      </c>
      <c r="E5404" t="s">
        <v>21504</v>
      </c>
      <c r="F5404" t="s">
        <v>102</v>
      </c>
      <c r="G5404" t="s">
        <v>103</v>
      </c>
      <c r="H5404" t="s">
        <v>21505</v>
      </c>
      <c r="I5404" t="s">
        <v>30</v>
      </c>
      <c r="J5404" t="s">
        <v>41</v>
      </c>
      <c r="K5404" t="s">
        <v>59</v>
      </c>
      <c r="Q5404">
        <v>0</v>
      </c>
      <c r="R5404">
        <v>0</v>
      </c>
      <c r="S5404">
        <v>0</v>
      </c>
    </row>
    <row r="5405" spans="1:20" customFormat="1" ht="15" x14ac:dyDescent="0.25">
      <c r="A5405" t="s">
        <v>35</v>
      </c>
      <c r="B5405" t="s">
        <v>11183</v>
      </c>
      <c r="C5405" t="str">
        <f>"A0184041"</f>
        <v>A0184041</v>
      </c>
      <c r="D5405" t="s">
        <v>21506</v>
      </c>
      <c r="E5405" t="s">
        <v>20232</v>
      </c>
      <c r="F5405" t="s">
        <v>18901</v>
      </c>
      <c r="G5405" t="s">
        <v>103</v>
      </c>
      <c r="H5405" t="s">
        <v>20233</v>
      </c>
      <c r="I5405" t="s">
        <v>30</v>
      </c>
      <c r="J5405" t="s">
        <v>41</v>
      </c>
      <c r="K5405" t="s">
        <v>59</v>
      </c>
      <c r="Q5405">
        <v>0</v>
      </c>
      <c r="R5405">
        <v>69</v>
      </c>
      <c r="S5405">
        <v>69</v>
      </c>
      <c r="T5405" t="s">
        <v>20234</v>
      </c>
    </row>
    <row r="5406" spans="1:20" customFormat="1" ht="15" x14ac:dyDescent="0.25">
      <c r="A5406" t="s">
        <v>35</v>
      </c>
      <c r="B5406" t="s">
        <v>61</v>
      </c>
      <c r="C5406" t="str">
        <f>"A0184040"</f>
        <v>A0184040</v>
      </c>
      <c r="D5406" t="s">
        <v>21507</v>
      </c>
      <c r="E5406" t="s">
        <v>21508</v>
      </c>
      <c r="F5406" t="s">
        <v>11049</v>
      </c>
      <c r="G5406" t="s">
        <v>103</v>
      </c>
      <c r="H5406" t="s">
        <v>11050</v>
      </c>
      <c r="I5406" t="s">
        <v>30</v>
      </c>
      <c r="J5406" t="s">
        <v>41</v>
      </c>
      <c r="K5406" t="s">
        <v>59</v>
      </c>
      <c r="Q5406">
        <v>0</v>
      </c>
      <c r="R5406">
        <v>46</v>
      </c>
      <c r="S5406">
        <v>46</v>
      </c>
      <c r="T5406" t="s">
        <v>11051</v>
      </c>
    </row>
    <row r="5407" spans="1:20" customFormat="1" ht="15" x14ac:dyDescent="0.25">
      <c r="A5407" t="s">
        <v>35</v>
      </c>
      <c r="B5407" t="s">
        <v>61</v>
      </c>
      <c r="C5407" t="str">
        <f>"A0184039"</f>
        <v>A0184039</v>
      </c>
      <c r="D5407" t="s">
        <v>21509</v>
      </c>
      <c r="E5407" t="s">
        <v>21510</v>
      </c>
      <c r="F5407" t="s">
        <v>21511</v>
      </c>
      <c r="G5407" t="s">
        <v>427</v>
      </c>
      <c r="H5407">
        <v>69021</v>
      </c>
      <c r="I5407" t="s">
        <v>30</v>
      </c>
      <c r="J5407" t="s">
        <v>41</v>
      </c>
      <c r="K5407" t="s">
        <v>59</v>
      </c>
      <c r="Q5407">
        <v>0</v>
      </c>
      <c r="R5407">
        <v>68</v>
      </c>
      <c r="S5407">
        <v>68</v>
      </c>
      <c r="T5407" t="s">
        <v>21512</v>
      </c>
    </row>
    <row r="5408" spans="1:20" customFormat="1" ht="15" x14ac:dyDescent="0.25">
      <c r="A5408" t="s">
        <v>35</v>
      </c>
      <c r="B5408" t="s">
        <v>61</v>
      </c>
      <c r="C5408" t="str">
        <f>"A0184038"</f>
        <v>A0184038</v>
      </c>
      <c r="D5408" t="s">
        <v>21513</v>
      </c>
      <c r="E5408" t="s">
        <v>21514</v>
      </c>
      <c r="F5408" t="s">
        <v>21210</v>
      </c>
      <c r="G5408" t="s">
        <v>144</v>
      </c>
      <c r="H5408">
        <v>58301</v>
      </c>
      <c r="I5408" t="s">
        <v>30</v>
      </c>
      <c r="J5408" t="s">
        <v>41</v>
      </c>
      <c r="K5408" t="s">
        <v>59</v>
      </c>
      <c r="Q5408">
        <v>0</v>
      </c>
      <c r="R5408">
        <v>0</v>
      </c>
      <c r="S5408">
        <v>0</v>
      </c>
    </row>
    <row r="5409" spans="1:20" customFormat="1" ht="15" x14ac:dyDescent="0.25">
      <c r="A5409" t="s">
        <v>35</v>
      </c>
      <c r="B5409" t="s">
        <v>61</v>
      </c>
      <c r="C5409" t="str">
        <f>"A0184037"</f>
        <v>A0184037</v>
      </c>
      <c r="D5409" t="s">
        <v>21515</v>
      </c>
      <c r="E5409" t="s">
        <v>21516</v>
      </c>
      <c r="F5409" t="s">
        <v>9128</v>
      </c>
      <c r="G5409" t="s">
        <v>110</v>
      </c>
      <c r="H5409">
        <v>946121121</v>
      </c>
      <c r="I5409" t="s">
        <v>30</v>
      </c>
      <c r="J5409" t="s">
        <v>41</v>
      </c>
      <c r="K5409" t="s">
        <v>59</v>
      </c>
      <c r="Q5409">
        <v>0</v>
      </c>
      <c r="R5409">
        <v>0</v>
      </c>
      <c r="S5409">
        <v>0</v>
      </c>
    </row>
    <row r="5410" spans="1:20" customFormat="1" ht="15" x14ac:dyDescent="0.25">
      <c r="A5410" t="s">
        <v>35</v>
      </c>
      <c r="B5410" t="s">
        <v>11871</v>
      </c>
      <c r="C5410" t="str">
        <f>"A0184036"</f>
        <v>A0184036</v>
      </c>
      <c r="D5410" t="s">
        <v>21517</v>
      </c>
      <c r="E5410" t="s">
        <v>21518</v>
      </c>
      <c r="F5410" t="s">
        <v>12852</v>
      </c>
      <c r="G5410" t="s">
        <v>110</v>
      </c>
      <c r="H5410" t="s">
        <v>21519</v>
      </c>
      <c r="I5410" t="s">
        <v>30</v>
      </c>
      <c r="J5410" t="s">
        <v>41</v>
      </c>
      <c r="K5410" t="s">
        <v>59</v>
      </c>
      <c r="Q5410">
        <v>0</v>
      </c>
      <c r="R5410">
        <v>0</v>
      </c>
      <c r="S5410">
        <v>0</v>
      </c>
      <c r="T5410" t="s">
        <v>21520</v>
      </c>
    </row>
    <row r="5411" spans="1:20" customFormat="1" ht="15" x14ac:dyDescent="0.25">
      <c r="A5411" t="s">
        <v>35</v>
      </c>
      <c r="B5411" t="s">
        <v>61</v>
      </c>
      <c r="C5411" t="str">
        <f>"A0184035"</f>
        <v>A0184035</v>
      </c>
      <c r="D5411" t="s">
        <v>21521</v>
      </c>
      <c r="E5411" t="s">
        <v>21522</v>
      </c>
      <c r="F5411" t="s">
        <v>7362</v>
      </c>
      <c r="G5411" t="s">
        <v>110</v>
      </c>
      <c r="H5411">
        <v>90018</v>
      </c>
      <c r="I5411" t="s">
        <v>30</v>
      </c>
      <c r="J5411" t="s">
        <v>41</v>
      </c>
      <c r="K5411" t="s">
        <v>59</v>
      </c>
      <c r="Q5411">
        <v>0</v>
      </c>
      <c r="R5411">
        <v>0</v>
      </c>
      <c r="S5411">
        <v>0</v>
      </c>
      <c r="T5411" t="s">
        <v>21523</v>
      </c>
    </row>
    <row r="5412" spans="1:20" customFormat="1" ht="15" x14ac:dyDescent="0.25">
      <c r="A5412" t="s">
        <v>35</v>
      </c>
      <c r="B5412" t="s">
        <v>61</v>
      </c>
      <c r="C5412" t="str">
        <f>"A0184034"</f>
        <v>A0184034</v>
      </c>
      <c r="D5412" t="s">
        <v>21524</v>
      </c>
      <c r="E5412" t="s">
        <v>21525</v>
      </c>
      <c r="F5412" t="s">
        <v>288</v>
      </c>
      <c r="G5412" t="s">
        <v>289</v>
      </c>
      <c r="H5412">
        <v>60640</v>
      </c>
      <c r="I5412" t="s">
        <v>30</v>
      </c>
      <c r="J5412" t="s">
        <v>41</v>
      </c>
      <c r="K5412" t="s">
        <v>59</v>
      </c>
      <c r="Q5412">
        <v>0</v>
      </c>
      <c r="R5412">
        <v>0</v>
      </c>
      <c r="S5412">
        <v>0</v>
      </c>
    </row>
    <row r="5413" spans="1:20" customFormat="1" ht="15" x14ac:dyDescent="0.25">
      <c r="A5413" t="s">
        <v>35</v>
      </c>
      <c r="B5413" t="s">
        <v>61</v>
      </c>
      <c r="C5413" t="str">
        <f>"A0184033"</f>
        <v>A0184033</v>
      </c>
      <c r="D5413" t="s">
        <v>21526</v>
      </c>
      <c r="E5413" t="s">
        <v>21527</v>
      </c>
      <c r="F5413" t="s">
        <v>21528</v>
      </c>
      <c r="G5413" t="s">
        <v>289</v>
      </c>
      <c r="H5413" t="s">
        <v>21529</v>
      </c>
      <c r="I5413" t="s">
        <v>30</v>
      </c>
      <c r="J5413" t="s">
        <v>41</v>
      </c>
      <c r="K5413" t="s">
        <v>59</v>
      </c>
      <c r="Q5413">
        <v>0</v>
      </c>
      <c r="R5413">
        <v>0</v>
      </c>
      <c r="S5413">
        <v>0</v>
      </c>
    </row>
    <row r="5414" spans="1:20" customFormat="1" ht="15" x14ac:dyDescent="0.25">
      <c r="A5414" t="s">
        <v>35</v>
      </c>
      <c r="B5414" t="s">
        <v>61</v>
      </c>
      <c r="C5414" t="str">
        <f>"A0184032"</f>
        <v>A0184032</v>
      </c>
      <c r="D5414" t="s">
        <v>21530</v>
      </c>
      <c r="E5414" t="s">
        <v>21531</v>
      </c>
      <c r="F5414" t="s">
        <v>21492</v>
      </c>
      <c r="G5414" t="s">
        <v>289</v>
      </c>
      <c r="H5414" t="s">
        <v>21532</v>
      </c>
      <c r="I5414" t="s">
        <v>30</v>
      </c>
      <c r="J5414" t="s">
        <v>41</v>
      </c>
      <c r="K5414" t="s">
        <v>59</v>
      </c>
      <c r="Q5414">
        <v>0</v>
      </c>
      <c r="R5414">
        <v>0</v>
      </c>
      <c r="S5414">
        <v>0</v>
      </c>
    </row>
    <row r="5415" spans="1:20" customFormat="1" ht="15" x14ac:dyDescent="0.25">
      <c r="A5415" t="s">
        <v>35</v>
      </c>
      <c r="B5415" t="s">
        <v>61</v>
      </c>
      <c r="C5415" t="str">
        <f>"A0184031"</f>
        <v>A0184031</v>
      </c>
      <c r="D5415" t="s">
        <v>21533</v>
      </c>
      <c r="E5415" t="s">
        <v>21534</v>
      </c>
      <c r="F5415" t="s">
        <v>426</v>
      </c>
      <c r="G5415" t="s">
        <v>427</v>
      </c>
      <c r="H5415">
        <v>68112</v>
      </c>
      <c r="I5415" t="s">
        <v>30</v>
      </c>
      <c r="J5415" t="s">
        <v>41</v>
      </c>
      <c r="K5415" t="s">
        <v>59</v>
      </c>
      <c r="Q5415">
        <v>0</v>
      </c>
      <c r="R5415">
        <v>0</v>
      </c>
      <c r="S5415">
        <v>0</v>
      </c>
    </row>
    <row r="5416" spans="1:20" customFormat="1" ht="15" x14ac:dyDescent="0.25">
      <c r="A5416" t="s">
        <v>35</v>
      </c>
      <c r="B5416" t="s">
        <v>61</v>
      </c>
      <c r="C5416" t="str">
        <f>"A0184030"</f>
        <v>A0184030</v>
      </c>
      <c r="D5416" t="s">
        <v>21535</v>
      </c>
      <c r="E5416" t="s">
        <v>21536</v>
      </c>
      <c r="F5416" t="s">
        <v>426</v>
      </c>
      <c r="G5416" t="s">
        <v>427</v>
      </c>
      <c r="H5416">
        <v>681522166</v>
      </c>
      <c r="I5416" t="s">
        <v>30</v>
      </c>
      <c r="J5416" t="s">
        <v>41</v>
      </c>
      <c r="K5416" t="s">
        <v>59</v>
      </c>
      <c r="Q5416">
        <v>0</v>
      </c>
      <c r="R5416">
        <v>74</v>
      </c>
      <c r="S5416">
        <v>74</v>
      </c>
      <c r="T5416" t="s">
        <v>21537</v>
      </c>
    </row>
    <row r="5417" spans="1:20" customFormat="1" ht="15" x14ac:dyDescent="0.25">
      <c r="A5417" t="s">
        <v>35</v>
      </c>
      <c r="B5417" t="s">
        <v>61</v>
      </c>
      <c r="C5417" t="str">
        <f>"A0184029"</f>
        <v>A0184029</v>
      </c>
      <c r="D5417" t="s">
        <v>21538</v>
      </c>
      <c r="E5417" t="s">
        <v>21539</v>
      </c>
      <c r="F5417" t="s">
        <v>21203</v>
      </c>
      <c r="G5417" t="s">
        <v>144</v>
      </c>
      <c r="H5417" t="s">
        <v>21540</v>
      </c>
      <c r="I5417" t="s">
        <v>30</v>
      </c>
      <c r="J5417" t="s">
        <v>41</v>
      </c>
      <c r="K5417" t="s">
        <v>59</v>
      </c>
      <c r="Q5417">
        <v>0</v>
      </c>
      <c r="R5417">
        <v>0</v>
      </c>
      <c r="S5417">
        <v>0</v>
      </c>
    </row>
    <row r="5418" spans="1:20" customFormat="1" ht="15" x14ac:dyDescent="0.25">
      <c r="A5418" t="s">
        <v>35</v>
      </c>
      <c r="B5418" t="s">
        <v>61</v>
      </c>
      <c r="C5418" t="str">
        <f>"A0184028"</f>
        <v>A0184028</v>
      </c>
      <c r="D5418" t="s">
        <v>21541</v>
      </c>
      <c r="E5418" t="s">
        <v>21542</v>
      </c>
      <c r="F5418" t="s">
        <v>21203</v>
      </c>
      <c r="G5418" t="s">
        <v>144</v>
      </c>
      <c r="H5418" t="s">
        <v>21543</v>
      </c>
      <c r="I5418" t="s">
        <v>30</v>
      </c>
      <c r="J5418" t="s">
        <v>41</v>
      </c>
      <c r="K5418" t="s">
        <v>59</v>
      </c>
      <c r="Q5418">
        <v>0</v>
      </c>
      <c r="R5418">
        <v>0</v>
      </c>
      <c r="S5418">
        <v>0</v>
      </c>
    </row>
    <row r="5419" spans="1:20" customFormat="1" ht="15" x14ac:dyDescent="0.25">
      <c r="A5419" t="s">
        <v>35</v>
      </c>
      <c r="B5419" t="s">
        <v>61</v>
      </c>
      <c r="C5419" t="str">
        <f>"A0184027"</f>
        <v>A0184027</v>
      </c>
      <c r="D5419" t="s">
        <v>21544</v>
      </c>
      <c r="E5419" t="s">
        <v>21545</v>
      </c>
      <c r="F5419" t="s">
        <v>21546</v>
      </c>
      <c r="G5419" t="s">
        <v>925</v>
      </c>
      <c r="H5419" t="s">
        <v>21547</v>
      </c>
      <c r="I5419" t="s">
        <v>30</v>
      </c>
      <c r="J5419" t="s">
        <v>41</v>
      </c>
      <c r="K5419" t="s">
        <v>59</v>
      </c>
      <c r="Q5419">
        <v>0</v>
      </c>
      <c r="R5419">
        <v>60</v>
      </c>
      <c r="S5419">
        <v>60</v>
      </c>
      <c r="T5419" t="s">
        <v>21548</v>
      </c>
    </row>
    <row r="5420" spans="1:20" customFormat="1" ht="15" x14ac:dyDescent="0.25">
      <c r="A5420" t="s">
        <v>35</v>
      </c>
      <c r="B5420" t="s">
        <v>61</v>
      </c>
      <c r="C5420" t="str">
        <f>"A0184026"</f>
        <v>A0184026</v>
      </c>
      <c r="D5420" t="s">
        <v>21549</v>
      </c>
      <c r="E5420" t="s">
        <v>21550</v>
      </c>
      <c r="F5420" t="s">
        <v>21546</v>
      </c>
      <c r="G5420" t="s">
        <v>925</v>
      </c>
      <c r="H5420">
        <v>67601</v>
      </c>
      <c r="I5420" t="s">
        <v>30</v>
      </c>
      <c r="J5420" t="s">
        <v>41</v>
      </c>
      <c r="K5420" t="s">
        <v>59</v>
      </c>
      <c r="Q5420">
        <v>0</v>
      </c>
      <c r="R5420">
        <v>0</v>
      </c>
      <c r="S5420">
        <v>0</v>
      </c>
      <c r="T5420" t="s">
        <v>21551</v>
      </c>
    </row>
    <row r="5421" spans="1:20" customFormat="1" ht="15" x14ac:dyDescent="0.25">
      <c r="A5421" t="s">
        <v>35</v>
      </c>
      <c r="B5421" t="s">
        <v>11871</v>
      </c>
      <c r="C5421" t="str">
        <f>"A0184025"</f>
        <v>A0184025</v>
      </c>
      <c r="D5421" t="s">
        <v>21552</v>
      </c>
      <c r="E5421" t="s">
        <v>21553</v>
      </c>
      <c r="F5421" t="s">
        <v>21554</v>
      </c>
      <c r="G5421" t="s">
        <v>507</v>
      </c>
      <c r="H5421">
        <v>255070608</v>
      </c>
      <c r="I5421" t="s">
        <v>30</v>
      </c>
      <c r="J5421" t="s">
        <v>41</v>
      </c>
      <c r="K5421" t="s">
        <v>59</v>
      </c>
      <c r="Q5421">
        <v>0</v>
      </c>
      <c r="R5421">
        <v>0</v>
      </c>
      <c r="S5421">
        <v>0</v>
      </c>
      <c r="T5421" t="s">
        <v>21555</v>
      </c>
    </row>
    <row r="5422" spans="1:20" customFormat="1" ht="15" x14ac:dyDescent="0.25">
      <c r="A5422" t="s">
        <v>35</v>
      </c>
      <c r="B5422" t="s">
        <v>11871</v>
      </c>
      <c r="C5422" t="str">
        <f>"A0184024"</f>
        <v>A0184024</v>
      </c>
      <c r="D5422" t="s">
        <v>21556</v>
      </c>
      <c r="E5422" t="s">
        <v>21557</v>
      </c>
      <c r="F5422" t="s">
        <v>510</v>
      </c>
      <c r="G5422" t="s">
        <v>507</v>
      </c>
      <c r="H5422">
        <v>253021829</v>
      </c>
      <c r="I5422" t="s">
        <v>30</v>
      </c>
      <c r="J5422" t="s">
        <v>41</v>
      </c>
      <c r="K5422" t="s">
        <v>59</v>
      </c>
      <c r="Q5422">
        <v>0</v>
      </c>
      <c r="R5422">
        <v>0</v>
      </c>
      <c r="S5422">
        <v>0</v>
      </c>
      <c r="T5422" t="s">
        <v>21558</v>
      </c>
    </row>
    <row r="5423" spans="1:20" customFormat="1" ht="15" x14ac:dyDescent="0.25">
      <c r="A5423" t="s">
        <v>35</v>
      </c>
      <c r="B5423" t="s">
        <v>61</v>
      </c>
      <c r="C5423" t="str">
        <f>"A0184023"</f>
        <v>A0184023</v>
      </c>
      <c r="D5423" t="s">
        <v>21559</v>
      </c>
      <c r="E5423" t="s">
        <v>21560</v>
      </c>
      <c r="F5423" t="s">
        <v>426</v>
      </c>
      <c r="G5423" t="s">
        <v>427</v>
      </c>
      <c r="H5423">
        <v>681161129</v>
      </c>
      <c r="I5423" t="s">
        <v>30</v>
      </c>
      <c r="J5423" t="s">
        <v>41</v>
      </c>
      <c r="K5423" t="s">
        <v>59</v>
      </c>
      <c r="Q5423">
        <v>0</v>
      </c>
      <c r="R5423">
        <v>0</v>
      </c>
      <c r="S5423">
        <v>0</v>
      </c>
    </row>
    <row r="5424" spans="1:20" customFormat="1" ht="15" x14ac:dyDescent="0.25">
      <c r="A5424" t="s">
        <v>35</v>
      </c>
      <c r="B5424" t="s">
        <v>61</v>
      </c>
      <c r="C5424" t="str">
        <f>"A0184022"</f>
        <v>A0184022</v>
      </c>
      <c r="D5424" t="s">
        <v>21561</v>
      </c>
      <c r="E5424" t="s">
        <v>21209</v>
      </c>
      <c r="F5424" t="s">
        <v>21210</v>
      </c>
      <c r="G5424" t="s">
        <v>144</v>
      </c>
      <c r="H5424">
        <v>58301</v>
      </c>
      <c r="I5424" t="s">
        <v>30</v>
      </c>
      <c r="J5424" t="s">
        <v>41</v>
      </c>
      <c r="K5424" t="s">
        <v>59</v>
      </c>
      <c r="Q5424">
        <v>0</v>
      </c>
      <c r="R5424">
        <v>0</v>
      </c>
      <c r="S5424">
        <v>0</v>
      </c>
      <c r="T5424" t="s">
        <v>21562</v>
      </c>
    </row>
    <row r="5425" spans="1:20" customFormat="1" ht="15" x14ac:dyDescent="0.25">
      <c r="A5425" t="s">
        <v>35</v>
      </c>
      <c r="B5425" t="s">
        <v>61</v>
      </c>
      <c r="C5425" t="str">
        <f>"A0184021"</f>
        <v>A0184021</v>
      </c>
      <c r="D5425" t="s">
        <v>21563</v>
      </c>
      <c r="E5425" t="s">
        <v>21564</v>
      </c>
      <c r="F5425" t="s">
        <v>21565</v>
      </c>
      <c r="G5425" t="s">
        <v>925</v>
      </c>
      <c r="H5425" t="s">
        <v>21566</v>
      </c>
      <c r="I5425" t="s">
        <v>30</v>
      </c>
      <c r="J5425" t="s">
        <v>41</v>
      </c>
      <c r="K5425" t="s">
        <v>59</v>
      </c>
      <c r="Q5425">
        <v>0</v>
      </c>
      <c r="R5425">
        <v>65</v>
      </c>
      <c r="S5425">
        <v>65</v>
      </c>
      <c r="T5425" t="s">
        <v>21567</v>
      </c>
    </row>
    <row r="5426" spans="1:20" customFormat="1" ht="15" x14ac:dyDescent="0.25">
      <c r="A5426" t="s">
        <v>35</v>
      </c>
      <c r="B5426" t="s">
        <v>61</v>
      </c>
      <c r="C5426" t="str">
        <f>"A0184020"</f>
        <v>A0184020</v>
      </c>
      <c r="D5426" t="s">
        <v>21568</v>
      </c>
      <c r="E5426" t="s">
        <v>21569</v>
      </c>
      <c r="F5426" t="s">
        <v>1427</v>
      </c>
      <c r="G5426" t="s">
        <v>52</v>
      </c>
      <c r="H5426">
        <v>76712</v>
      </c>
      <c r="I5426" t="s">
        <v>30</v>
      </c>
      <c r="J5426" t="s">
        <v>41</v>
      </c>
      <c r="K5426" t="s">
        <v>59</v>
      </c>
      <c r="Q5426">
        <v>0</v>
      </c>
      <c r="R5426">
        <v>0</v>
      </c>
      <c r="S5426">
        <v>0</v>
      </c>
    </row>
    <row r="5427" spans="1:20" customFormat="1" ht="15" x14ac:dyDescent="0.25">
      <c r="A5427" t="s">
        <v>35</v>
      </c>
      <c r="B5427" t="s">
        <v>61</v>
      </c>
      <c r="C5427" t="str">
        <f>"A0184019"</f>
        <v>A0184019</v>
      </c>
      <c r="D5427" t="s">
        <v>21570</v>
      </c>
      <c r="E5427" t="s">
        <v>21101</v>
      </c>
      <c r="F5427" t="s">
        <v>4133</v>
      </c>
      <c r="G5427" t="s">
        <v>52</v>
      </c>
      <c r="H5427" t="s">
        <v>21102</v>
      </c>
      <c r="I5427" t="s">
        <v>30</v>
      </c>
      <c r="J5427" t="s">
        <v>41</v>
      </c>
      <c r="K5427" t="s">
        <v>59</v>
      </c>
      <c r="Q5427">
        <v>0</v>
      </c>
      <c r="R5427">
        <v>0</v>
      </c>
      <c r="S5427">
        <v>0</v>
      </c>
      <c r="T5427" t="s">
        <v>21571</v>
      </c>
    </row>
    <row r="5428" spans="1:20" customFormat="1" ht="15" x14ac:dyDescent="0.25">
      <c r="A5428" t="s">
        <v>35</v>
      </c>
      <c r="B5428" t="s">
        <v>61</v>
      </c>
      <c r="C5428" t="str">
        <f>"A0184018"</f>
        <v>A0184018</v>
      </c>
      <c r="D5428" t="s">
        <v>21572</v>
      </c>
      <c r="E5428" t="s">
        <v>21573</v>
      </c>
      <c r="F5428" t="s">
        <v>21574</v>
      </c>
      <c r="G5428" t="s">
        <v>52</v>
      </c>
      <c r="H5428">
        <v>78006</v>
      </c>
      <c r="I5428" t="s">
        <v>30</v>
      </c>
      <c r="J5428" t="s">
        <v>41</v>
      </c>
      <c r="K5428" t="s">
        <v>59</v>
      </c>
      <c r="Q5428">
        <v>0</v>
      </c>
      <c r="R5428">
        <v>0</v>
      </c>
      <c r="S5428">
        <v>0</v>
      </c>
    </row>
    <row r="5429" spans="1:20" customFormat="1" ht="15" x14ac:dyDescent="0.25">
      <c r="A5429" t="s">
        <v>35</v>
      </c>
      <c r="B5429" t="s">
        <v>61</v>
      </c>
      <c r="C5429" t="str">
        <f>"A0184017"</f>
        <v>A0184017</v>
      </c>
      <c r="D5429" t="s">
        <v>21575</v>
      </c>
      <c r="E5429" t="s">
        <v>21576</v>
      </c>
      <c r="F5429" t="s">
        <v>7638</v>
      </c>
      <c r="G5429" t="s">
        <v>52</v>
      </c>
      <c r="H5429">
        <v>751507465</v>
      </c>
      <c r="I5429" t="s">
        <v>30</v>
      </c>
      <c r="J5429" t="s">
        <v>41</v>
      </c>
      <c r="K5429" t="s">
        <v>59</v>
      </c>
      <c r="Q5429">
        <v>0</v>
      </c>
      <c r="R5429">
        <v>180</v>
      </c>
      <c r="S5429">
        <v>180</v>
      </c>
      <c r="T5429" t="s">
        <v>20992</v>
      </c>
    </row>
    <row r="5430" spans="1:20" customFormat="1" ht="15" x14ac:dyDescent="0.25">
      <c r="A5430" t="s">
        <v>35</v>
      </c>
      <c r="B5430" t="s">
        <v>61</v>
      </c>
      <c r="C5430" t="str">
        <f>"A0184016"</f>
        <v>A0184016</v>
      </c>
      <c r="D5430" t="s">
        <v>21577</v>
      </c>
      <c r="E5430" t="s">
        <v>21578</v>
      </c>
      <c r="F5430" t="s">
        <v>21579</v>
      </c>
      <c r="G5430" t="s">
        <v>161</v>
      </c>
      <c r="H5430" t="s">
        <v>21580</v>
      </c>
      <c r="I5430" t="s">
        <v>30</v>
      </c>
      <c r="J5430" t="s">
        <v>41</v>
      </c>
      <c r="K5430" t="s">
        <v>59</v>
      </c>
      <c r="Q5430">
        <v>0</v>
      </c>
      <c r="R5430">
        <v>0</v>
      </c>
      <c r="S5430">
        <v>0</v>
      </c>
      <c r="T5430" t="s">
        <v>21581</v>
      </c>
    </row>
    <row r="5431" spans="1:20" customFormat="1" ht="15" x14ac:dyDescent="0.25">
      <c r="A5431" t="s">
        <v>35</v>
      </c>
      <c r="B5431" t="s">
        <v>61</v>
      </c>
      <c r="C5431" t="str">
        <f>"A0184015"</f>
        <v>A0184015</v>
      </c>
      <c r="D5431" t="s">
        <v>21582</v>
      </c>
      <c r="E5431" t="s">
        <v>21583</v>
      </c>
      <c r="F5431" t="s">
        <v>18691</v>
      </c>
      <c r="G5431" t="s">
        <v>289</v>
      </c>
      <c r="H5431">
        <v>60901</v>
      </c>
      <c r="I5431" t="s">
        <v>30</v>
      </c>
      <c r="J5431" t="s">
        <v>41</v>
      </c>
      <c r="K5431" t="s">
        <v>59</v>
      </c>
      <c r="Q5431">
        <v>0</v>
      </c>
      <c r="R5431">
        <v>0</v>
      </c>
      <c r="S5431">
        <v>0</v>
      </c>
    </row>
    <row r="5432" spans="1:20" customFormat="1" ht="15" x14ac:dyDescent="0.25">
      <c r="A5432" t="s">
        <v>35</v>
      </c>
      <c r="B5432" t="s">
        <v>61</v>
      </c>
      <c r="C5432" t="str">
        <f>"A0184014"</f>
        <v>A0184014</v>
      </c>
      <c r="D5432" t="s">
        <v>21584</v>
      </c>
      <c r="E5432" t="s">
        <v>21585</v>
      </c>
      <c r="F5432" t="s">
        <v>18691</v>
      </c>
      <c r="G5432" t="s">
        <v>289</v>
      </c>
      <c r="H5432" t="s">
        <v>21586</v>
      </c>
      <c r="I5432" t="s">
        <v>30</v>
      </c>
      <c r="J5432" t="s">
        <v>41</v>
      </c>
      <c r="K5432" t="s">
        <v>59</v>
      </c>
      <c r="Q5432">
        <v>0</v>
      </c>
      <c r="R5432">
        <v>0</v>
      </c>
      <c r="S5432">
        <v>0</v>
      </c>
      <c r="T5432" t="s">
        <v>21587</v>
      </c>
    </row>
    <row r="5433" spans="1:20" customFormat="1" ht="15" x14ac:dyDescent="0.25">
      <c r="A5433" t="s">
        <v>35</v>
      </c>
      <c r="B5433" t="s">
        <v>16926</v>
      </c>
      <c r="C5433" t="str">
        <f>"A0184013"</f>
        <v>A0184013</v>
      </c>
      <c r="D5433" t="s">
        <v>21588</v>
      </c>
      <c r="E5433" t="s">
        <v>18325</v>
      </c>
      <c r="F5433" t="s">
        <v>13105</v>
      </c>
      <c r="G5433" t="s">
        <v>289</v>
      </c>
      <c r="H5433">
        <v>604776397</v>
      </c>
      <c r="I5433" t="s">
        <v>30</v>
      </c>
      <c r="J5433" t="s">
        <v>41</v>
      </c>
      <c r="K5433" t="s">
        <v>59</v>
      </c>
      <c r="Q5433">
        <v>0</v>
      </c>
      <c r="R5433">
        <v>0</v>
      </c>
      <c r="S5433">
        <v>0</v>
      </c>
      <c r="T5433" t="s">
        <v>21589</v>
      </c>
    </row>
    <row r="5434" spans="1:20" customFormat="1" ht="15" x14ac:dyDescent="0.25">
      <c r="A5434" t="s">
        <v>35</v>
      </c>
      <c r="B5434" t="s">
        <v>61</v>
      </c>
      <c r="C5434" t="str">
        <f>"A0184012"</f>
        <v>A0184012</v>
      </c>
      <c r="D5434" t="s">
        <v>21590</v>
      </c>
      <c r="E5434" t="s">
        <v>21591</v>
      </c>
      <c r="F5434" t="s">
        <v>9255</v>
      </c>
      <c r="G5434" t="s">
        <v>289</v>
      </c>
      <c r="H5434">
        <v>62522</v>
      </c>
      <c r="I5434" t="s">
        <v>30</v>
      </c>
      <c r="J5434" t="s">
        <v>41</v>
      </c>
      <c r="K5434" t="s">
        <v>59</v>
      </c>
      <c r="Q5434">
        <v>0</v>
      </c>
      <c r="R5434">
        <v>0</v>
      </c>
      <c r="S5434">
        <v>0</v>
      </c>
    </row>
    <row r="5435" spans="1:20" customFormat="1" ht="15" x14ac:dyDescent="0.25">
      <c r="A5435" t="s">
        <v>35</v>
      </c>
      <c r="B5435" t="s">
        <v>61</v>
      </c>
      <c r="C5435" t="str">
        <f>"A0184011"</f>
        <v>A0184011</v>
      </c>
      <c r="D5435" t="s">
        <v>21128</v>
      </c>
      <c r="E5435" t="s">
        <v>21592</v>
      </c>
      <c r="F5435" t="s">
        <v>21128</v>
      </c>
      <c r="G5435" t="s">
        <v>289</v>
      </c>
      <c r="H5435">
        <v>61081</v>
      </c>
      <c r="I5435" t="s">
        <v>30</v>
      </c>
      <c r="J5435" t="s">
        <v>41</v>
      </c>
      <c r="K5435" t="s">
        <v>59</v>
      </c>
      <c r="Q5435">
        <v>0</v>
      </c>
      <c r="R5435">
        <v>0</v>
      </c>
      <c r="S5435">
        <v>0</v>
      </c>
    </row>
    <row r="5436" spans="1:20" customFormat="1" ht="15" x14ac:dyDescent="0.25">
      <c r="A5436" t="s">
        <v>35</v>
      </c>
      <c r="B5436" t="s">
        <v>61</v>
      </c>
      <c r="C5436" t="str">
        <f>"A0184010"</f>
        <v>A0184010</v>
      </c>
      <c r="D5436" t="s">
        <v>21593</v>
      </c>
      <c r="E5436" t="s">
        <v>21594</v>
      </c>
      <c r="F5436" t="s">
        <v>288</v>
      </c>
      <c r="G5436" t="s">
        <v>289</v>
      </c>
      <c r="H5436">
        <v>60626</v>
      </c>
      <c r="I5436" t="s">
        <v>30</v>
      </c>
      <c r="J5436" t="s">
        <v>41</v>
      </c>
      <c r="K5436" t="s">
        <v>59</v>
      </c>
      <c r="Q5436">
        <v>0</v>
      </c>
      <c r="R5436">
        <v>0</v>
      </c>
      <c r="S5436">
        <v>0</v>
      </c>
    </row>
    <row r="5437" spans="1:20" customFormat="1" ht="15" x14ac:dyDescent="0.25">
      <c r="A5437" t="s">
        <v>35</v>
      </c>
      <c r="B5437" t="s">
        <v>61</v>
      </c>
      <c r="C5437" t="str">
        <f>"A0184009"</f>
        <v>A0184009</v>
      </c>
      <c r="D5437" t="s">
        <v>21595</v>
      </c>
      <c r="E5437" t="s">
        <v>21596</v>
      </c>
      <c r="F5437" t="s">
        <v>21597</v>
      </c>
      <c r="G5437" t="s">
        <v>110</v>
      </c>
      <c r="H5437" t="s">
        <v>21598</v>
      </c>
      <c r="I5437" t="s">
        <v>30</v>
      </c>
      <c r="J5437" t="s">
        <v>41</v>
      </c>
      <c r="K5437" t="s">
        <v>59</v>
      </c>
      <c r="Q5437">
        <v>0</v>
      </c>
      <c r="R5437">
        <v>0</v>
      </c>
      <c r="S5437">
        <v>0</v>
      </c>
      <c r="T5437" t="s">
        <v>21599</v>
      </c>
    </row>
    <row r="5438" spans="1:20" customFormat="1" ht="15" x14ac:dyDescent="0.25">
      <c r="A5438" t="s">
        <v>35</v>
      </c>
      <c r="B5438" t="s">
        <v>61</v>
      </c>
      <c r="C5438" t="str">
        <f>"A0184008"</f>
        <v>A0184008</v>
      </c>
      <c r="D5438" t="s">
        <v>21600</v>
      </c>
      <c r="E5438" t="s">
        <v>21601</v>
      </c>
      <c r="F5438" t="s">
        <v>21602</v>
      </c>
      <c r="G5438" t="s">
        <v>52</v>
      </c>
      <c r="H5438">
        <v>75150</v>
      </c>
      <c r="I5438" t="s">
        <v>30</v>
      </c>
      <c r="J5438" t="s">
        <v>41</v>
      </c>
      <c r="K5438" t="s">
        <v>59</v>
      </c>
      <c r="Q5438">
        <v>0</v>
      </c>
      <c r="R5438">
        <v>178</v>
      </c>
      <c r="S5438">
        <v>178</v>
      </c>
      <c r="T5438" t="s">
        <v>21603</v>
      </c>
    </row>
    <row r="5439" spans="1:20" customFormat="1" ht="15" x14ac:dyDescent="0.25">
      <c r="A5439" t="s">
        <v>35</v>
      </c>
      <c r="B5439" t="s">
        <v>61</v>
      </c>
      <c r="C5439" t="str">
        <f>"A0184007"</f>
        <v>A0184007</v>
      </c>
      <c r="D5439" t="s">
        <v>21604</v>
      </c>
      <c r="E5439" t="s">
        <v>21605</v>
      </c>
      <c r="F5439" t="s">
        <v>18470</v>
      </c>
      <c r="G5439" t="s">
        <v>52</v>
      </c>
      <c r="H5439" t="s">
        <v>21606</v>
      </c>
      <c r="I5439" t="s">
        <v>30</v>
      </c>
      <c r="J5439" t="s">
        <v>41</v>
      </c>
      <c r="K5439" t="s">
        <v>59</v>
      </c>
      <c r="Q5439">
        <v>0</v>
      </c>
      <c r="R5439">
        <v>0</v>
      </c>
      <c r="S5439">
        <v>0</v>
      </c>
    </row>
    <row r="5440" spans="1:20" customFormat="1" ht="15" x14ac:dyDescent="0.25">
      <c r="A5440" t="s">
        <v>35</v>
      </c>
      <c r="B5440" t="s">
        <v>61</v>
      </c>
      <c r="C5440" t="str">
        <f>"A0184006"</f>
        <v>A0184006</v>
      </c>
      <c r="D5440" t="s">
        <v>21607</v>
      </c>
      <c r="E5440" t="s">
        <v>21608</v>
      </c>
      <c r="F5440" t="s">
        <v>18671</v>
      </c>
      <c r="G5440" t="s">
        <v>52</v>
      </c>
      <c r="H5440" t="s">
        <v>21609</v>
      </c>
      <c r="I5440" t="s">
        <v>30</v>
      </c>
      <c r="J5440" t="s">
        <v>41</v>
      </c>
      <c r="K5440" t="s">
        <v>59</v>
      </c>
      <c r="Q5440">
        <v>0</v>
      </c>
      <c r="R5440">
        <v>0</v>
      </c>
      <c r="S5440">
        <v>0</v>
      </c>
    </row>
    <row r="5441" spans="1:20" customFormat="1" ht="15" x14ac:dyDescent="0.25">
      <c r="A5441" t="s">
        <v>35</v>
      </c>
      <c r="B5441" t="s">
        <v>61</v>
      </c>
      <c r="C5441" t="str">
        <f>"A0184005"</f>
        <v>A0184005</v>
      </c>
      <c r="D5441" t="s">
        <v>21610</v>
      </c>
      <c r="E5441" t="s">
        <v>21611</v>
      </c>
      <c r="F5441" t="s">
        <v>21612</v>
      </c>
      <c r="G5441" t="s">
        <v>52</v>
      </c>
      <c r="H5441" t="s">
        <v>21613</v>
      </c>
      <c r="I5441" t="s">
        <v>30</v>
      </c>
      <c r="J5441" t="s">
        <v>41</v>
      </c>
      <c r="K5441" t="s">
        <v>59</v>
      </c>
      <c r="Q5441">
        <v>0</v>
      </c>
      <c r="R5441">
        <v>161</v>
      </c>
      <c r="S5441">
        <v>161</v>
      </c>
      <c r="T5441" t="s">
        <v>21614</v>
      </c>
    </row>
    <row r="5442" spans="1:20" customFormat="1" ht="15" x14ac:dyDescent="0.25">
      <c r="A5442" t="s">
        <v>35</v>
      </c>
      <c r="B5442" t="s">
        <v>61</v>
      </c>
      <c r="C5442" t="str">
        <f>"A0184004"</f>
        <v>A0184004</v>
      </c>
      <c r="D5442" t="s">
        <v>21615</v>
      </c>
      <c r="E5442" t="s">
        <v>21616</v>
      </c>
      <c r="F5442" t="s">
        <v>19689</v>
      </c>
      <c r="G5442" t="s">
        <v>161</v>
      </c>
      <c r="H5442" t="s">
        <v>21617</v>
      </c>
      <c r="I5442" t="s">
        <v>30</v>
      </c>
      <c r="J5442" t="s">
        <v>41</v>
      </c>
      <c r="K5442" t="s">
        <v>59</v>
      </c>
      <c r="Q5442">
        <v>0</v>
      </c>
      <c r="R5442">
        <v>0</v>
      </c>
      <c r="S5442">
        <v>0</v>
      </c>
      <c r="T5442" t="s">
        <v>21618</v>
      </c>
    </row>
    <row r="5443" spans="1:20" customFormat="1" ht="15" x14ac:dyDescent="0.25">
      <c r="A5443" t="s">
        <v>35</v>
      </c>
      <c r="B5443" t="s">
        <v>61</v>
      </c>
      <c r="C5443" t="str">
        <f>"A0184003"</f>
        <v>A0184003</v>
      </c>
      <c r="D5443" t="s">
        <v>21619</v>
      </c>
      <c r="E5443" t="s">
        <v>21620</v>
      </c>
      <c r="F5443" t="s">
        <v>1973</v>
      </c>
      <c r="G5443" t="s">
        <v>161</v>
      </c>
      <c r="H5443" t="s">
        <v>21621</v>
      </c>
      <c r="I5443" t="s">
        <v>30</v>
      </c>
      <c r="J5443" t="s">
        <v>41</v>
      </c>
      <c r="K5443" t="s">
        <v>59</v>
      </c>
      <c r="Q5443">
        <v>0</v>
      </c>
      <c r="R5443">
        <v>0</v>
      </c>
      <c r="S5443">
        <v>0</v>
      </c>
    </row>
    <row r="5444" spans="1:20" customFormat="1" ht="15" x14ac:dyDescent="0.25">
      <c r="A5444" t="s">
        <v>35</v>
      </c>
      <c r="B5444" t="s">
        <v>61</v>
      </c>
      <c r="C5444" t="str">
        <f>"A0184002"</f>
        <v>A0184002</v>
      </c>
      <c r="D5444" t="s">
        <v>21622</v>
      </c>
      <c r="E5444" t="s">
        <v>21623</v>
      </c>
      <c r="F5444" t="s">
        <v>19203</v>
      </c>
      <c r="G5444" t="s">
        <v>161</v>
      </c>
      <c r="H5444">
        <v>56308</v>
      </c>
      <c r="I5444" t="s">
        <v>30</v>
      </c>
      <c r="J5444" t="s">
        <v>41</v>
      </c>
      <c r="K5444" t="s">
        <v>59</v>
      </c>
      <c r="Q5444">
        <v>0</v>
      </c>
      <c r="R5444">
        <v>0</v>
      </c>
      <c r="S5444">
        <v>0</v>
      </c>
    </row>
    <row r="5445" spans="1:20" customFormat="1" ht="15" x14ac:dyDescent="0.25">
      <c r="A5445" t="s">
        <v>35</v>
      </c>
      <c r="B5445" t="s">
        <v>61</v>
      </c>
      <c r="C5445" t="str">
        <f>"A0184001"</f>
        <v>A0184001</v>
      </c>
      <c r="D5445" t="s">
        <v>21624</v>
      </c>
      <c r="E5445" t="s">
        <v>21625</v>
      </c>
      <c r="F5445" t="s">
        <v>1394</v>
      </c>
      <c r="G5445" t="s">
        <v>161</v>
      </c>
      <c r="H5445">
        <v>55116</v>
      </c>
      <c r="I5445" t="s">
        <v>30</v>
      </c>
      <c r="J5445" t="s">
        <v>41</v>
      </c>
      <c r="K5445" t="s">
        <v>59</v>
      </c>
      <c r="Q5445">
        <v>0</v>
      </c>
      <c r="R5445">
        <v>0</v>
      </c>
      <c r="S5445">
        <v>0</v>
      </c>
    </row>
    <row r="5446" spans="1:20" customFormat="1" ht="15" x14ac:dyDescent="0.25">
      <c r="A5446" t="s">
        <v>35</v>
      </c>
      <c r="B5446" t="s">
        <v>61</v>
      </c>
      <c r="C5446" t="str">
        <f>"A0184000"</f>
        <v>A0184000</v>
      </c>
      <c r="D5446" t="s">
        <v>21626</v>
      </c>
      <c r="E5446" t="s">
        <v>21627</v>
      </c>
      <c r="F5446" t="s">
        <v>4746</v>
      </c>
      <c r="G5446" t="s">
        <v>103</v>
      </c>
      <c r="H5446">
        <v>17042</v>
      </c>
      <c r="I5446" t="s">
        <v>30</v>
      </c>
      <c r="J5446" t="s">
        <v>41</v>
      </c>
      <c r="K5446" t="s">
        <v>59</v>
      </c>
      <c r="Q5446">
        <v>0</v>
      </c>
      <c r="R5446">
        <v>0</v>
      </c>
      <c r="S5446">
        <v>0</v>
      </c>
      <c r="T5446" t="s">
        <v>21628</v>
      </c>
    </row>
    <row r="5447" spans="1:20" customFormat="1" ht="15" x14ac:dyDescent="0.25">
      <c r="A5447" t="s">
        <v>35</v>
      </c>
      <c r="B5447" t="s">
        <v>61</v>
      </c>
      <c r="C5447" t="str">
        <f>"A0183999"</f>
        <v>A0183999</v>
      </c>
      <c r="D5447" t="s">
        <v>21629</v>
      </c>
      <c r="E5447" t="s">
        <v>20940</v>
      </c>
      <c r="F5447" t="s">
        <v>4354</v>
      </c>
      <c r="G5447" t="s">
        <v>103</v>
      </c>
      <c r="H5447" t="s">
        <v>20941</v>
      </c>
      <c r="I5447" t="s">
        <v>30</v>
      </c>
      <c r="J5447" t="s">
        <v>41</v>
      </c>
      <c r="K5447" t="s">
        <v>59</v>
      </c>
      <c r="Q5447">
        <v>0</v>
      </c>
      <c r="R5447">
        <v>0</v>
      </c>
      <c r="S5447">
        <v>0</v>
      </c>
      <c r="T5447" t="s">
        <v>20942</v>
      </c>
    </row>
    <row r="5448" spans="1:20" customFormat="1" ht="15" x14ac:dyDescent="0.25">
      <c r="A5448" t="s">
        <v>35</v>
      </c>
      <c r="B5448" t="s">
        <v>61</v>
      </c>
      <c r="C5448" t="str">
        <f>"A0183998"</f>
        <v>A0183998</v>
      </c>
      <c r="D5448" t="s">
        <v>21630</v>
      </c>
      <c r="E5448" t="s">
        <v>21631</v>
      </c>
      <c r="F5448" t="s">
        <v>21632</v>
      </c>
      <c r="G5448" t="s">
        <v>925</v>
      </c>
      <c r="H5448" t="s">
        <v>21633</v>
      </c>
      <c r="I5448" t="s">
        <v>30</v>
      </c>
      <c r="J5448" t="s">
        <v>41</v>
      </c>
      <c r="K5448" t="s">
        <v>59</v>
      </c>
      <c r="Q5448">
        <v>0</v>
      </c>
      <c r="R5448">
        <v>50</v>
      </c>
      <c r="S5448">
        <v>50</v>
      </c>
      <c r="T5448" t="s">
        <v>21634</v>
      </c>
    </row>
    <row r="5449" spans="1:20" customFormat="1" ht="15" x14ac:dyDescent="0.25">
      <c r="A5449" t="s">
        <v>35</v>
      </c>
      <c r="B5449" t="s">
        <v>61</v>
      </c>
      <c r="C5449" t="str">
        <f>"A0183997"</f>
        <v>A0183997</v>
      </c>
      <c r="D5449" t="s">
        <v>21635</v>
      </c>
      <c r="E5449" t="s">
        <v>21636</v>
      </c>
      <c r="F5449" t="s">
        <v>4591</v>
      </c>
      <c r="G5449" t="s">
        <v>925</v>
      </c>
      <c r="H5449" t="s">
        <v>21637</v>
      </c>
      <c r="I5449" t="s">
        <v>30</v>
      </c>
      <c r="J5449" t="s">
        <v>41</v>
      </c>
      <c r="K5449" t="s">
        <v>59</v>
      </c>
      <c r="Q5449">
        <v>0</v>
      </c>
      <c r="R5449">
        <v>32</v>
      </c>
      <c r="S5449">
        <v>32</v>
      </c>
      <c r="T5449" t="s">
        <v>21638</v>
      </c>
    </row>
    <row r="5450" spans="1:20" customFormat="1" ht="15" x14ac:dyDescent="0.25">
      <c r="A5450" t="s">
        <v>35</v>
      </c>
      <c r="B5450" t="s">
        <v>61</v>
      </c>
      <c r="C5450" t="str">
        <f>"A0183996"</f>
        <v>A0183996</v>
      </c>
      <c r="D5450" t="s">
        <v>21639</v>
      </c>
      <c r="E5450" t="s">
        <v>21640</v>
      </c>
      <c r="F5450" t="s">
        <v>21641</v>
      </c>
      <c r="G5450" t="s">
        <v>925</v>
      </c>
      <c r="H5450">
        <v>67867</v>
      </c>
      <c r="I5450" t="s">
        <v>30</v>
      </c>
      <c r="J5450" t="s">
        <v>41</v>
      </c>
      <c r="K5450" t="s">
        <v>59</v>
      </c>
      <c r="Q5450">
        <v>0</v>
      </c>
      <c r="R5450">
        <v>0</v>
      </c>
      <c r="S5450">
        <v>0</v>
      </c>
    </row>
    <row r="5451" spans="1:20" customFormat="1" ht="15" x14ac:dyDescent="0.25">
      <c r="A5451" t="s">
        <v>35</v>
      </c>
      <c r="B5451" t="s">
        <v>61</v>
      </c>
      <c r="C5451" t="str">
        <f>"A0183995"</f>
        <v>A0183995</v>
      </c>
      <c r="D5451" t="s">
        <v>21642</v>
      </c>
      <c r="E5451" t="s">
        <v>21643</v>
      </c>
      <c r="F5451" t="s">
        <v>21644</v>
      </c>
      <c r="G5451" t="s">
        <v>925</v>
      </c>
      <c r="H5451">
        <v>66067</v>
      </c>
      <c r="I5451" t="s">
        <v>30</v>
      </c>
      <c r="J5451" t="s">
        <v>41</v>
      </c>
      <c r="K5451" t="s">
        <v>59</v>
      </c>
      <c r="Q5451">
        <v>0</v>
      </c>
      <c r="R5451">
        <v>0</v>
      </c>
      <c r="S5451">
        <v>0</v>
      </c>
    </row>
    <row r="5452" spans="1:20" customFormat="1" ht="15" x14ac:dyDescent="0.25">
      <c r="A5452" t="s">
        <v>35</v>
      </c>
      <c r="B5452" t="s">
        <v>61</v>
      </c>
      <c r="C5452" t="str">
        <f>"A0183994"</f>
        <v>A0183994</v>
      </c>
      <c r="D5452" t="s">
        <v>21645</v>
      </c>
      <c r="E5452" t="s">
        <v>21646</v>
      </c>
      <c r="F5452" t="s">
        <v>4133</v>
      </c>
      <c r="G5452" t="s">
        <v>161</v>
      </c>
      <c r="H5452" t="s">
        <v>21647</v>
      </c>
      <c r="I5452" t="s">
        <v>30</v>
      </c>
      <c r="J5452" t="s">
        <v>41</v>
      </c>
      <c r="K5452" t="s">
        <v>59</v>
      </c>
      <c r="Q5452">
        <v>0</v>
      </c>
      <c r="R5452">
        <v>0</v>
      </c>
      <c r="S5452">
        <v>0</v>
      </c>
    </row>
    <row r="5453" spans="1:20" customFormat="1" ht="15" x14ac:dyDescent="0.25">
      <c r="A5453" t="s">
        <v>35</v>
      </c>
      <c r="B5453" t="s">
        <v>61</v>
      </c>
      <c r="C5453" t="str">
        <f>"A0183993"</f>
        <v>A0183993</v>
      </c>
      <c r="D5453" t="s">
        <v>21648</v>
      </c>
      <c r="E5453" t="s">
        <v>21649</v>
      </c>
      <c r="F5453" t="s">
        <v>21650</v>
      </c>
      <c r="G5453" t="s">
        <v>161</v>
      </c>
      <c r="H5453">
        <v>550447914</v>
      </c>
      <c r="I5453" t="s">
        <v>30</v>
      </c>
      <c r="J5453" t="s">
        <v>41</v>
      </c>
      <c r="K5453" t="s">
        <v>59</v>
      </c>
      <c r="Q5453">
        <v>0</v>
      </c>
      <c r="R5453">
        <v>0</v>
      </c>
      <c r="S5453">
        <v>0</v>
      </c>
      <c r="T5453" t="s">
        <v>21651</v>
      </c>
    </row>
    <row r="5454" spans="1:20" customFormat="1" ht="15" x14ac:dyDescent="0.25">
      <c r="A5454" t="s">
        <v>35</v>
      </c>
      <c r="B5454" t="s">
        <v>61</v>
      </c>
      <c r="C5454" t="str">
        <f>"A0183992"</f>
        <v>A0183992</v>
      </c>
      <c r="D5454" t="s">
        <v>21652</v>
      </c>
      <c r="E5454" t="s">
        <v>21653</v>
      </c>
      <c r="F5454" t="s">
        <v>1973</v>
      </c>
      <c r="G5454" t="s">
        <v>161</v>
      </c>
      <c r="H5454">
        <v>55434</v>
      </c>
      <c r="I5454" t="s">
        <v>30</v>
      </c>
      <c r="J5454" t="s">
        <v>41</v>
      </c>
      <c r="K5454" t="s">
        <v>59</v>
      </c>
      <c r="Q5454">
        <v>0</v>
      </c>
      <c r="R5454">
        <v>0</v>
      </c>
      <c r="S5454">
        <v>0</v>
      </c>
    </row>
    <row r="5455" spans="1:20" customFormat="1" ht="15" x14ac:dyDescent="0.25">
      <c r="A5455" t="s">
        <v>35</v>
      </c>
      <c r="B5455" t="s">
        <v>61</v>
      </c>
      <c r="C5455" t="str">
        <f>"A0183991"</f>
        <v>A0183991</v>
      </c>
      <c r="D5455" t="s">
        <v>21654</v>
      </c>
      <c r="E5455" t="s">
        <v>21655</v>
      </c>
      <c r="F5455" t="s">
        <v>19689</v>
      </c>
      <c r="G5455" t="s">
        <v>161</v>
      </c>
      <c r="H5455" t="s">
        <v>21656</v>
      </c>
      <c r="I5455" t="s">
        <v>30</v>
      </c>
      <c r="J5455" t="s">
        <v>41</v>
      </c>
      <c r="K5455" t="s">
        <v>59</v>
      </c>
      <c r="Q5455">
        <v>0</v>
      </c>
      <c r="R5455">
        <v>0</v>
      </c>
      <c r="S5455">
        <v>0</v>
      </c>
      <c r="T5455" t="s">
        <v>21657</v>
      </c>
    </row>
    <row r="5456" spans="1:20" customFormat="1" ht="15" x14ac:dyDescent="0.25">
      <c r="A5456" t="s">
        <v>35</v>
      </c>
      <c r="B5456" t="s">
        <v>61</v>
      </c>
      <c r="C5456" t="str">
        <f>"A0183990"</f>
        <v>A0183990</v>
      </c>
      <c r="D5456" t="s">
        <v>21658</v>
      </c>
      <c r="E5456" t="s">
        <v>21659</v>
      </c>
      <c r="F5456" t="s">
        <v>20401</v>
      </c>
      <c r="G5456" t="s">
        <v>427</v>
      </c>
      <c r="H5456">
        <v>680081811</v>
      </c>
      <c r="I5456" t="s">
        <v>30</v>
      </c>
      <c r="J5456" t="s">
        <v>41</v>
      </c>
      <c r="K5456" t="s">
        <v>59</v>
      </c>
      <c r="Q5456">
        <v>0</v>
      </c>
      <c r="R5456">
        <v>106</v>
      </c>
      <c r="S5456">
        <v>106</v>
      </c>
      <c r="T5456" t="s">
        <v>21660</v>
      </c>
    </row>
    <row r="5457" spans="1:20" customFormat="1" ht="15" x14ac:dyDescent="0.25">
      <c r="A5457" t="s">
        <v>35</v>
      </c>
      <c r="B5457" t="s">
        <v>61</v>
      </c>
      <c r="C5457" t="str">
        <f>"A0183989"</f>
        <v>A0183989</v>
      </c>
      <c r="D5457" t="s">
        <v>21661</v>
      </c>
      <c r="E5457" t="s">
        <v>21662</v>
      </c>
      <c r="F5457" t="s">
        <v>426</v>
      </c>
      <c r="G5457" t="s">
        <v>427</v>
      </c>
      <c r="H5457">
        <v>681302341</v>
      </c>
      <c r="I5457" t="s">
        <v>30</v>
      </c>
      <c r="J5457" t="s">
        <v>41</v>
      </c>
      <c r="K5457" t="s">
        <v>59</v>
      </c>
      <c r="Q5457">
        <v>0</v>
      </c>
      <c r="R5457">
        <v>48</v>
      </c>
      <c r="S5457">
        <v>48</v>
      </c>
      <c r="T5457" t="s">
        <v>21663</v>
      </c>
    </row>
    <row r="5458" spans="1:20" customFormat="1" ht="15" x14ac:dyDescent="0.25">
      <c r="A5458" t="s">
        <v>35</v>
      </c>
      <c r="B5458" t="s">
        <v>61</v>
      </c>
      <c r="C5458" t="str">
        <f>"A0183988"</f>
        <v>A0183988</v>
      </c>
      <c r="D5458" t="s">
        <v>21535</v>
      </c>
      <c r="E5458" t="s">
        <v>21664</v>
      </c>
      <c r="F5458" t="s">
        <v>426</v>
      </c>
      <c r="G5458" t="s">
        <v>427</v>
      </c>
      <c r="H5458">
        <v>681522159</v>
      </c>
      <c r="I5458" t="s">
        <v>30</v>
      </c>
      <c r="J5458" t="s">
        <v>41</v>
      </c>
      <c r="K5458" t="s">
        <v>59</v>
      </c>
      <c r="Q5458">
        <v>0</v>
      </c>
      <c r="R5458">
        <v>74</v>
      </c>
      <c r="S5458">
        <v>74</v>
      </c>
      <c r="T5458" t="s">
        <v>21537</v>
      </c>
    </row>
    <row r="5459" spans="1:20" customFormat="1" ht="15" x14ac:dyDescent="0.25">
      <c r="A5459" t="s">
        <v>35</v>
      </c>
      <c r="B5459" t="s">
        <v>61</v>
      </c>
      <c r="C5459" t="str">
        <f>"A0183987"</f>
        <v>A0183987</v>
      </c>
      <c r="D5459" t="s">
        <v>21665</v>
      </c>
      <c r="E5459" t="s">
        <v>20987</v>
      </c>
      <c r="F5459" t="s">
        <v>20988</v>
      </c>
      <c r="G5459" t="s">
        <v>52</v>
      </c>
      <c r="H5459">
        <v>77833</v>
      </c>
      <c r="I5459" t="s">
        <v>30</v>
      </c>
      <c r="J5459" t="s">
        <v>41</v>
      </c>
      <c r="K5459" t="s">
        <v>59</v>
      </c>
      <c r="Q5459">
        <v>0</v>
      </c>
      <c r="R5459">
        <v>65</v>
      </c>
      <c r="S5459">
        <v>65</v>
      </c>
      <c r="T5459" t="s">
        <v>21666</v>
      </c>
    </row>
    <row r="5460" spans="1:20" customFormat="1" ht="15" x14ac:dyDescent="0.25">
      <c r="A5460" t="s">
        <v>35</v>
      </c>
      <c r="B5460" t="s">
        <v>61</v>
      </c>
      <c r="C5460" t="str">
        <f>"A0183985"</f>
        <v>A0183985</v>
      </c>
      <c r="D5460" t="s">
        <v>21667</v>
      </c>
      <c r="E5460" t="s">
        <v>21668</v>
      </c>
      <c r="F5460" t="s">
        <v>20911</v>
      </c>
      <c r="G5460" t="s">
        <v>52</v>
      </c>
      <c r="H5460" t="s">
        <v>21669</v>
      </c>
      <c r="I5460" t="s">
        <v>30</v>
      </c>
      <c r="J5460" t="s">
        <v>41</v>
      </c>
      <c r="K5460" t="s">
        <v>59</v>
      </c>
      <c r="Q5460">
        <v>0</v>
      </c>
      <c r="R5460">
        <v>0</v>
      </c>
      <c r="S5460">
        <v>0</v>
      </c>
      <c r="T5460" t="s">
        <v>21670</v>
      </c>
    </row>
    <row r="5461" spans="1:20" customFormat="1" ht="15" x14ac:dyDescent="0.25">
      <c r="A5461" t="s">
        <v>35</v>
      </c>
      <c r="B5461" t="s">
        <v>61</v>
      </c>
      <c r="C5461" t="str">
        <f>"A0183984"</f>
        <v>A0183984</v>
      </c>
      <c r="D5461" t="s">
        <v>21671</v>
      </c>
      <c r="E5461" t="s">
        <v>21672</v>
      </c>
      <c r="F5461" t="s">
        <v>21673</v>
      </c>
      <c r="G5461" t="s">
        <v>52</v>
      </c>
      <c r="H5461">
        <v>78681</v>
      </c>
      <c r="I5461" t="s">
        <v>30</v>
      </c>
      <c r="J5461" t="s">
        <v>41</v>
      </c>
      <c r="K5461" t="s">
        <v>59</v>
      </c>
      <c r="Q5461">
        <v>0</v>
      </c>
      <c r="R5461">
        <v>0</v>
      </c>
      <c r="S5461">
        <v>0</v>
      </c>
    </row>
    <row r="5462" spans="1:20" customFormat="1" ht="15" x14ac:dyDescent="0.25">
      <c r="A5462" t="s">
        <v>35</v>
      </c>
      <c r="B5462" t="s">
        <v>61</v>
      </c>
      <c r="C5462" t="str">
        <f>"A0183983"</f>
        <v>A0183983</v>
      </c>
      <c r="D5462" t="s">
        <v>21674</v>
      </c>
      <c r="E5462" t="s">
        <v>21675</v>
      </c>
      <c r="F5462" t="s">
        <v>21676</v>
      </c>
      <c r="G5462" t="s">
        <v>161</v>
      </c>
      <c r="H5462" t="s">
        <v>21677</v>
      </c>
      <c r="I5462" t="s">
        <v>30</v>
      </c>
      <c r="J5462" t="s">
        <v>41</v>
      </c>
      <c r="K5462" t="s">
        <v>59</v>
      </c>
      <c r="Q5462">
        <v>0</v>
      </c>
      <c r="R5462">
        <v>0</v>
      </c>
      <c r="S5462">
        <v>0</v>
      </c>
    </row>
    <row r="5463" spans="1:20" customFormat="1" ht="15" x14ac:dyDescent="0.25">
      <c r="A5463" t="s">
        <v>35</v>
      </c>
      <c r="B5463" t="s">
        <v>61</v>
      </c>
      <c r="C5463" t="str">
        <f>"A0183982"</f>
        <v>A0183982</v>
      </c>
      <c r="D5463" t="s">
        <v>21678</v>
      </c>
      <c r="E5463" t="s">
        <v>19683</v>
      </c>
      <c r="F5463" t="s">
        <v>19684</v>
      </c>
      <c r="G5463" t="s">
        <v>161</v>
      </c>
      <c r="H5463" t="s">
        <v>19685</v>
      </c>
      <c r="I5463" t="s">
        <v>30</v>
      </c>
      <c r="J5463" t="s">
        <v>41</v>
      </c>
      <c r="K5463" t="s">
        <v>59</v>
      </c>
      <c r="Q5463">
        <v>0</v>
      </c>
      <c r="R5463">
        <v>86</v>
      </c>
      <c r="S5463">
        <v>86</v>
      </c>
      <c r="T5463" t="s">
        <v>19686</v>
      </c>
    </row>
    <row r="5464" spans="1:20" customFormat="1" ht="15" x14ac:dyDescent="0.25">
      <c r="A5464" t="s">
        <v>35</v>
      </c>
      <c r="B5464" t="s">
        <v>61</v>
      </c>
      <c r="C5464" t="str">
        <f>"A0183981"</f>
        <v>A0183981</v>
      </c>
      <c r="D5464" t="s">
        <v>21679</v>
      </c>
      <c r="E5464" t="s">
        <v>20940</v>
      </c>
      <c r="F5464" t="s">
        <v>4354</v>
      </c>
      <c r="G5464" t="s">
        <v>103</v>
      </c>
      <c r="H5464" t="s">
        <v>20941</v>
      </c>
      <c r="I5464" t="s">
        <v>30</v>
      </c>
      <c r="J5464" t="s">
        <v>41</v>
      </c>
      <c r="K5464" t="s">
        <v>59</v>
      </c>
      <c r="Q5464">
        <v>0</v>
      </c>
      <c r="R5464">
        <v>85</v>
      </c>
      <c r="S5464">
        <v>85</v>
      </c>
      <c r="T5464" t="s">
        <v>20942</v>
      </c>
    </row>
    <row r="5465" spans="1:20" customFormat="1" ht="15" x14ac:dyDescent="0.25">
      <c r="A5465" t="s">
        <v>35</v>
      </c>
      <c r="B5465" t="s">
        <v>61</v>
      </c>
      <c r="C5465" t="str">
        <f>"A0183980"</f>
        <v>A0183980</v>
      </c>
      <c r="D5465" t="s">
        <v>21680</v>
      </c>
      <c r="E5465" t="s">
        <v>21681</v>
      </c>
      <c r="F5465" t="s">
        <v>19852</v>
      </c>
      <c r="G5465" t="s">
        <v>103</v>
      </c>
      <c r="H5465" t="s">
        <v>21682</v>
      </c>
      <c r="I5465" t="s">
        <v>30</v>
      </c>
      <c r="J5465" t="s">
        <v>41</v>
      </c>
      <c r="K5465" t="s">
        <v>59</v>
      </c>
      <c r="Q5465">
        <v>0</v>
      </c>
      <c r="R5465">
        <v>0</v>
      </c>
      <c r="S5465">
        <v>0</v>
      </c>
      <c r="T5465" t="s">
        <v>21683</v>
      </c>
    </row>
    <row r="5466" spans="1:20" customFormat="1" ht="15" x14ac:dyDescent="0.25">
      <c r="A5466" t="s">
        <v>35</v>
      </c>
      <c r="B5466" t="s">
        <v>61</v>
      </c>
      <c r="C5466" t="str">
        <f>"A0183979"</f>
        <v>A0183979</v>
      </c>
      <c r="D5466" t="s">
        <v>21684</v>
      </c>
      <c r="E5466" t="s">
        <v>21685</v>
      </c>
      <c r="F5466" t="s">
        <v>21686</v>
      </c>
      <c r="G5466" t="s">
        <v>65</v>
      </c>
      <c r="H5466">
        <v>430854027</v>
      </c>
      <c r="I5466" t="s">
        <v>30</v>
      </c>
      <c r="J5466" t="s">
        <v>41</v>
      </c>
      <c r="K5466" t="s">
        <v>59</v>
      </c>
      <c r="Q5466">
        <v>0</v>
      </c>
      <c r="R5466">
        <v>0</v>
      </c>
      <c r="S5466">
        <v>0</v>
      </c>
      <c r="T5466" t="s">
        <v>21687</v>
      </c>
    </row>
    <row r="5467" spans="1:20" customFormat="1" ht="15" x14ac:dyDescent="0.25">
      <c r="A5467" t="s">
        <v>35</v>
      </c>
      <c r="B5467" t="s">
        <v>61</v>
      </c>
      <c r="C5467" t="str">
        <f>"A0183978"</f>
        <v>A0183978</v>
      </c>
      <c r="D5467" t="s">
        <v>21688</v>
      </c>
      <c r="E5467" t="s">
        <v>21689</v>
      </c>
      <c r="F5467" t="s">
        <v>2748</v>
      </c>
      <c r="G5467" t="s">
        <v>65</v>
      </c>
      <c r="H5467" t="s">
        <v>21690</v>
      </c>
      <c r="I5467" t="s">
        <v>30</v>
      </c>
      <c r="J5467" t="s">
        <v>41</v>
      </c>
      <c r="K5467" t="s">
        <v>59</v>
      </c>
      <c r="Q5467">
        <v>0</v>
      </c>
      <c r="R5467">
        <v>0</v>
      </c>
      <c r="S5467">
        <v>0</v>
      </c>
    </row>
    <row r="5468" spans="1:20" customFormat="1" ht="15" x14ac:dyDescent="0.25">
      <c r="A5468" t="s">
        <v>35</v>
      </c>
      <c r="B5468" t="s">
        <v>61</v>
      </c>
      <c r="C5468" t="str">
        <f>"A0183977"</f>
        <v>A0183977</v>
      </c>
      <c r="D5468" t="s">
        <v>21691</v>
      </c>
      <c r="E5468" t="s">
        <v>21692</v>
      </c>
      <c r="F5468" t="s">
        <v>21693</v>
      </c>
      <c r="G5468" t="s">
        <v>110</v>
      </c>
      <c r="H5468">
        <v>953662325</v>
      </c>
      <c r="I5468" t="s">
        <v>30</v>
      </c>
      <c r="J5468" t="s">
        <v>41</v>
      </c>
      <c r="K5468" t="s">
        <v>59</v>
      </c>
      <c r="Q5468">
        <v>0</v>
      </c>
      <c r="R5468">
        <v>92</v>
      </c>
      <c r="S5468">
        <v>92</v>
      </c>
      <c r="T5468" t="s">
        <v>21694</v>
      </c>
    </row>
    <row r="5469" spans="1:20" customFormat="1" ht="15" x14ac:dyDescent="0.25">
      <c r="A5469" t="s">
        <v>35</v>
      </c>
      <c r="B5469" t="s">
        <v>61</v>
      </c>
      <c r="C5469" t="str">
        <f>"A0183976"</f>
        <v>A0183976</v>
      </c>
      <c r="D5469" t="s">
        <v>21469</v>
      </c>
      <c r="E5469" t="s">
        <v>21695</v>
      </c>
      <c r="F5469" t="s">
        <v>14745</v>
      </c>
      <c r="G5469" t="s">
        <v>110</v>
      </c>
      <c r="H5469">
        <v>945203759</v>
      </c>
      <c r="I5469" t="s">
        <v>30</v>
      </c>
      <c r="J5469" t="s">
        <v>41</v>
      </c>
      <c r="K5469" t="s">
        <v>59</v>
      </c>
      <c r="Q5469">
        <v>0</v>
      </c>
      <c r="R5469">
        <v>0</v>
      </c>
      <c r="S5469">
        <v>0</v>
      </c>
    </row>
    <row r="5470" spans="1:20" customFormat="1" ht="15" x14ac:dyDescent="0.25">
      <c r="A5470" t="s">
        <v>35</v>
      </c>
      <c r="B5470" t="s">
        <v>61</v>
      </c>
      <c r="C5470" t="str">
        <f>"A0183975"</f>
        <v>A0183975</v>
      </c>
      <c r="D5470" t="s">
        <v>21696</v>
      </c>
      <c r="E5470" t="s">
        <v>21697</v>
      </c>
      <c r="F5470" t="s">
        <v>7638</v>
      </c>
      <c r="G5470" t="s">
        <v>52</v>
      </c>
      <c r="H5470">
        <v>751507410</v>
      </c>
      <c r="I5470" t="s">
        <v>30</v>
      </c>
      <c r="J5470" t="s">
        <v>41</v>
      </c>
      <c r="K5470" t="s">
        <v>59</v>
      </c>
      <c r="Q5470">
        <v>0</v>
      </c>
      <c r="R5470">
        <v>180</v>
      </c>
      <c r="S5470">
        <v>180</v>
      </c>
      <c r="T5470" t="s">
        <v>20992</v>
      </c>
    </row>
    <row r="5471" spans="1:20" customFormat="1" ht="15" x14ac:dyDescent="0.25">
      <c r="A5471" t="s">
        <v>35</v>
      </c>
      <c r="B5471" t="s">
        <v>61</v>
      </c>
      <c r="C5471" t="str">
        <f>"A0183974"</f>
        <v>A0183974</v>
      </c>
      <c r="D5471" t="s">
        <v>21698</v>
      </c>
      <c r="E5471" t="s">
        <v>21699</v>
      </c>
      <c r="F5471" t="s">
        <v>4629</v>
      </c>
      <c r="G5471" t="s">
        <v>103</v>
      </c>
      <c r="H5471">
        <v>19116</v>
      </c>
      <c r="I5471" t="s">
        <v>30</v>
      </c>
      <c r="J5471" t="s">
        <v>41</v>
      </c>
      <c r="K5471" t="s">
        <v>59</v>
      </c>
      <c r="Q5471">
        <v>0</v>
      </c>
      <c r="R5471">
        <v>46</v>
      </c>
      <c r="S5471">
        <v>46</v>
      </c>
      <c r="T5471" t="s">
        <v>11051</v>
      </c>
    </row>
    <row r="5472" spans="1:20" customFormat="1" ht="15" x14ac:dyDescent="0.25">
      <c r="A5472" t="s">
        <v>35</v>
      </c>
      <c r="B5472" t="s">
        <v>61</v>
      </c>
      <c r="C5472" t="str">
        <f>"A0183973"</f>
        <v>A0183973</v>
      </c>
      <c r="D5472" t="s">
        <v>21700</v>
      </c>
      <c r="E5472" t="s">
        <v>21701</v>
      </c>
      <c r="F5472" t="s">
        <v>839</v>
      </c>
      <c r="G5472" t="s">
        <v>65</v>
      </c>
      <c r="H5472">
        <v>446419083</v>
      </c>
      <c r="I5472" t="s">
        <v>30</v>
      </c>
      <c r="J5472" t="s">
        <v>41</v>
      </c>
      <c r="K5472" t="s">
        <v>59</v>
      </c>
      <c r="Q5472">
        <v>0</v>
      </c>
      <c r="R5472">
        <v>167</v>
      </c>
      <c r="S5472">
        <v>167</v>
      </c>
      <c r="T5472" t="s">
        <v>21702</v>
      </c>
    </row>
    <row r="5473" spans="1:20" customFormat="1" ht="15" x14ac:dyDescent="0.25">
      <c r="A5473" t="s">
        <v>35</v>
      </c>
      <c r="B5473" t="s">
        <v>61</v>
      </c>
      <c r="C5473" t="str">
        <f>"A0183972"</f>
        <v>A0183972</v>
      </c>
      <c r="D5473" t="s">
        <v>21703</v>
      </c>
      <c r="E5473" t="s">
        <v>21704</v>
      </c>
      <c r="F5473" t="s">
        <v>21705</v>
      </c>
      <c r="G5473" t="s">
        <v>65</v>
      </c>
      <c r="H5473" t="s">
        <v>21706</v>
      </c>
      <c r="I5473" t="s">
        <v>30</v>
      </c>
      <c r="J5473" t="s">
        <v>41</v>
      </c>
      <c r="K5473" t="s">
        <v>59</v>
      </c>
      <c r="Q5473">
        <v>0</v>
      </c>
      <c r="R5473">
        <v>110</v>
      </c>
      <c r="S5473">
        <v>110</v>
      </c>
      <c r="T5473" t="s">
        <v>21707</v>
      </c>
    </row>
    <row r="5474" spans="1:20" customFormat="1" ht="15" x14ac:dyDescent="0.25">
      <c r="A5474" t="s">
        <v>35</v>
      </c>
      <c r="B5474" t="s">
        <v>61</v>
      </c>
      <c r="C5474" t="str">
        <f>"A0183971"</f>
        <v>A0183971</v>
      </c>
      <c r="D5474" t="s">
        <v>21708</v>
      </c>
      <c r="E5474" t="s">
        <v>21709</v>
      </c>
      <c r="F5474" t="s">
        <v>5491</v>
      </c>
      <c r="G5474" t="s">
        <v>65</v>
      </c>
      <c r="H5474">
        <v>439121089</v>
      </c>
      <c r="I5474" t="s">
        <v>30</v>
      </c>
      <c r="J5474" t="s">
        <v>41</v>
      </c>
      <c r="K5474" t="s">
        <v>59</v>
      </c>
      <c r="Q5474">
        <v>0</v>
      </c>
      <c r="R5474">
        <v>0</v>
      </c>
      <c r="S5474">
        <v>0</v>
      </c>
      <c r="T5474" t="s">
        <v>21710</v>
      </c>
    </row>
    <row r="5475" spans="1:20" customFormat="1" ht="15" x14ac:dyDescent="0.25">
      <c r="A5475" t="s">
        <v>35</v>
      </c>
      <c r="B5475" t="s">
        <v>61</v>
      </c>
      <c r="C5475" t="str">
        <f>"A0183970"</f>
        <v>A0183970</v>
      </c>
      <c r="D5475" t="s">
        <v>21711</v>
      </c>
      <c r="E5475" t="s">
        <v>21712</v>
      </c>
      <c r="F5475" t="s">
        <v>21713</v>
      </c>
      <c r="G5475" t="s">
        <v>161</v>
      </c>
      <c r="H5475" t="s">
        <v>21714</v>
      </c>
      <c r="I5475" t="s">
        <v>30</v>
      </c>
      <c r="J5475" t="s">
        <v>41</v>
      </c>
      <c r="K5475" t="s">
        <v>59</v>
      </c>
      <c r="Q5475">
        <v>0</v>
      </c>
      <c r="R5475">
        <v>322</v>
      </c>
      <c r="S5475">
        <v>322</v>
      </c>
      <c r="T5475" t="s">
        <v>21715</v>
      </c>
    </row>
    <row r="5476" spans="1:20" customFormat="1" ht="15" x14ac:dyDescent="0.25">
      <c r="A5476" t="s">
        <v>35</v>
      </c>
      <c r="B5476" t="s">
        <v>61</v>
      </c>
      <c r="C5476" t="str">
        <f>"A0183969"</f>
        <v>A0183969</v>
      </c>
      <c r="D5476" t="s">
        <v>21716</v>
      </c>
      <c r="E5476" t="s">
        <v>21717</v>
      </c>
      <c r="F5476" t="s">
        <v>21718</v>
      </c>
      <c r="G5476" t="s">
        <v>161</v>
      </c>
      <c r="H5476">
        <v>56309</v>
      </c>
      <c r="I5476" t="s">
        <v>30</v>
      </c>
      <c r="J5476" t="s">
        <v>41</v>
      </c>
      <c r="K5476" t="s">
        <v>59</v>
      </c>
      <c r="Q5476">
        <v>0</v>
      </c>
      <c r="R5476">
        <v>0</v>
      </c>
      <c r="S5476">
        <v>0</v>
      </c>
    </row>
    <row r="5477" spans="1:20" customFormat="1" ht="15" x14ac:dyDescent="0.25">
      <c r="A5477" t="s">
        <v>35</v>
      </c>
      <c r="B5477" t="s">
        <v>61</v>
      </c>
      <c r="C5477" t="str">
        <f>"A0183968"</f>
        <v>A0183968</v>
      </c>
      <c r="D5477" t="s">
        <v>21719</v>
      </c>
      <c r="E5477" t="s">
        <v>21720</v>
      </c>
      <c r="F5477" t="s">
        <v>19689</v>
      </c>
      <c r="G5477" t="s">
        <v>161</v>
      </c>
      <c r="H5477" t="s">
        <v>21721</v>
      </c>
      <c r="I5477" t="s">
        <v>30</v>
      </c>
      <c r="J5477" t="s">
        <v>41</v>
      </c>
      <c r="K5477" t="s">
        <v>59</v>
      </c>
      <c r="Q5477">
        <v>0</v>
      </c>
      <c r="R5477">
        <v>330</v>
      </c>
      <c r="S5477">
        <v>330</v>
      </c>
      <c r="T5477" t="s">
        <v>21722</v>
      </c>
    </row>
    <row r="5478" spans="1:20" customFormat="1" ht="15" x14ac:dyDescent="0.25">
      <c r="A5478" t="s">
        <v>35</v>
      </c>
      <c r="B5478" t="s">
        <v>61</v>
      </c>
      <c r="C5478" t="str">
        <f>"A0183967"</f>
        <v>A0183967</v>
      </c>
      <c r="D5478" t="s">
        <v>21723</v>
      </c>
      <c r="E5478" t="s">
        <v>21724</v>
      </c>
      <c r="F5478" t="s">
        <v>8047</v>
      </c>
      <c r="G5478" t="s">
        <v>110</v>
      </c>
      <c r="H5478" t="s">
        <v>21725</v>
      </c>
      <c r="I5478" t="s">
        <v>30</v>
      </c>
      <c r="J5478" t="s">
        <v>41</v>
      </c>
      <c r="K5478" t="s">
        <v>59</v>
      </c>
      <c r="Q5478">
        <v>0</v>
      </c>
      <c r="R5478">
        <v>0</v>
      </c>
      <c r="S5478">
        <v>0</v>
      </c>
    </row>
    <row r="5479" spans="1:20" customFormat="1" ht="15" x14ac:dyDescent="0.25">
      <c r="A5479" t="s">
        <v>35</v>
      </c>
      <c r="B5479" t="s">
        <v>61</v>
      </c>
      <c r="C5479" t="str">
        <f>"A0183966"</f>
        <v>A0183966</v>
      </c>
      <c r="D5479" t="s">
        <v>21726</v>
      </c>
      <c r="E5479" t="s">
        <v>21727</v>
      </c>
      <c r="F5479" t="s">
        <v>9128</v>
      </c>
      <c r="G5479" t="s">
        <v>110</v>
      </c>
      <c r="H5479">
        <v>946023311</v>
      </c>
      <c r="I5479" t="s">
        <v>30</v>
      </c>
      <c r="J5479" t="s">
        <v>41</v>
      </c>
      <c r="K5479" t="s">
        <v>59</v>
      </c>
      <c r="Q5479">
        <v>0</v>
      </c>
      <c r="R5479">
        <v>0</v>
      </c>
      <c r="S5479">
        <v>0</v>
      </c>
    </row>
    <row r="5480" spans="1:20" customFormat="1" ht="15" x14ac:dyDescent="0.25">
      <c r="A5480" t="s">
        <v>35</v>
      </c>
      <c r="B5480" t="s">
        <v>61</v>
      </c>
      <c r="C5480" t="str">
        <f>"A0183965"</f>
        <v>A0183965</v>
      </c>
      <c r="D5480" t="s">
        <v>21728</v>
      </c>
      <c r="E5480" t="s">
        <v>21729</v>
      </c>
      <c r="F5480" t="s">
        <v>4599</v>
      </c>
      <c r="G5480" t="s">
        <v>110</v>
      </c>
      <c r="H5480" t="s">
        <v>21730</v>
      </c>
      <c r="I5480" t="s">
        <v>30</v>
      </c>
      <c r="J5480" t="s">
        <v>41</v>
      </c>
      <c r="K5480" t="s">
        <v>59</v>
      </c>
      <c r="Q5480">
        <v>0</v>
      </c>
      <c r="R5480">
        <v>0</v>
      </c>
      <c r="S5480">
        <v>0</v>
      </c>
    </row>
    <row r="5481" spans="1:20" customFormat="1" ht="15" x14ac:dyDescent="0.25">
      <c r="A5481" t="s">
        <v>35</v>
      </c>
      <c r="B5481" t="s">
        <v>61</v>
      </c>
      <c r="C5481" t="str">
        <f>"A0183964"</f>
        <v>A0183964</v>
      </c>
      <c r="D5481" t="s">
        <v>21731</v>
      </c>
      <c r="E5481" t="s">
        <v>21732</v>
      </c>
      <c r="F5481" t="s">
        <v>21733</v>
      </c>
      <c r="G5481" t="s">
        <v>144</v>
      </c>
      <c r="H5481">
        <v>58267</v>
      </c>
      <c r="I5481" t="s">
        <v>30</v>
      </c>
      <c r="J5481" t="s">
        <v>41</v>
      </c>
      <c r="K5481" t="s">
        <v>59</v>
      </c>
      <c r="Q5481">
        <v>0</v>
      </c>
      <c r="R5481">
        <v>0</v>
      </c>
      <c r="S5481">
        <v>0</v>
      </c>
    </row>
    <row r="5482" spans="1:20" customFormat="1" ht="15" x14ac:dyDescent="0.25">
      <c r="A5482" t="s">
        <v>35</v>
      </c>
      <c r="B5482" t="s">
        <v>61</v>
      </c>
      <c r="C5482" t="str">
        <f>"A0183963"</f>
        <v>A0183963</v>
      </c>
      <c r="D5482" t="s">
        <v>21734</v>
      </c>
      <c r="E5482" t="s">
        <v>21735</v>
      </c>
      <c r="F5482" t="s">
        <v>13957</v>
      </c>
      <c r="G5482" t="s">
        <v>144</v>
      </c>
      <c r="H5482">
        <v>58401</v>
      </c>
      <c r="I5482" t="s">
        <v>30</v>
      </c>
      <c r="J5482" t="s">
        <v>41</v>
      </c>
      <c r="K5482" t="s">
        <v>59</v>
      </c>
      <c r="Q5482">
        <v>0</v>
      </c>
      <c r="R5482">
        <v>0</v>
      </c>
      <c r="S5482">
        <v>0</v>
      </c>
    </row>
    <row r="5483" spans="1:20" customFormat="1" ht="15" x14ac:dyDescent="0.25">
      <c r="A5483" t="s">
        <v>35</v>
      </c>
      <c r="B5483" t="s">
        <v>61</v>
      </c>
      <c r="C5483" t="str">
        <f>"A0183962"</f>
        <v>A0183962</v>
      </c>
      <c r="D5483" t="s">
        <v>21736</v>
      </c>
      <c r="E5483" t="s">
        <v>21737</v>
      </c>
      <c r="F5483" t="s">
        <v>21738</v>
      </c>
      <c r="G5483" t="s">
        <v>144</v>
      </c>
      <c r="H5483" t="s">
        <v>21739</v>
      </c>
      <c r="I5483" t="s">
        <v>30</v>
      </c>
      <c r="J5483" t="s">
        <v>41</v>
      </c>
      <c r="K5483" t="s">
        <v>59</v>
      </c>
      <c r="Q5483">
        <v>0</v>
      </c>
      <c r="R5483">
        <v>0</v>
      </c>
      <c r="S5483">
        <v>0</v>
      </c>
      <c r="T5483" t="s">
        <v>21740</v>
      </c>
    </row>
    <row r="5484" spans="1:20" customFormat="1" ht="15" x14ac:dyDescent="0.25">
      <c r="A5484" t="s">
        <v>35</v>
      </c>
      <c r="B5484" t="s">
        <v>61</v>
      </c>
      <c r="C5484" t="str">
        <f>"A0183961"</f>
        <v>A0183961</v>
      </c>
      <c r="D5484" t="s">
        <v>21741</v>
      </c>
      <c r="E5484" t="s">
        <v>19705</v>
      </c>
      <c r="F5484" t="s">
        <v>19706</v>
      </c>
      <c r="G5484" t="s">
        <v>65</v>
      </c>
      <c r="H5484" t="s">
        <v>19707</v>
      </c>
      <c r="I5484" t="s">
        <v>30</v>
      </c>
      <c r="J5484" t="s">
        <v>41</v>
      </c>
      <c r="K5484" t="s">
        <v>59</v>
      </c>
      <c r="Q5484">
        <v>0</v>
      </c>
      <c r="R5484">
        <v>0</v>
      </c>
      <c r="S5484">
        <v>0</v>
      </c>
      <c r="T5484" t="s">
        <v>19708</v>
      </c>
    </row>
    <row r="5485" spans="1:20" customFormat="1" ht="15" x14ac:dyDescent="0.25">
      <c r="A5485" t="s">
        <v>35</v>
      </c>
      <c r="B5485" t="s">
        <v>61</v>
      </c>
      <c r="C5485" t="str">
        <f>"A0183960"</f>
        <v>A0183960</v>
      </c>
      <c r="D5485" t="s">
        <v>21742</v>
      </c>
      <c r="E5485" t="s">
        <v>21743</v>
      </c>
      <c r="F5485" t="s">
        <v>21744</v>
      </c>
      <c r="G5485" t="s">
        <v>65</v>
      </c>
      <c r="H5485" t="s">
        <v>21745</v>
      </c>
      <c r="I5485" t="s">
        <v>30</v>
      </c>
      <c r="J5485" t="s">
        <v>41</v>
      </c>
      <c r="K5485" t="s">
        <v>59</v>
      </c>
      <c r="Q5485">
        <v>0</v>
      </c>
      <c r="R5485">
        <v>0</v>
      </c>
      <c r="S5485">
        <v>0</v>
      </c>
    </row>
    <row r="5486" spans="1:20" customFormat="1" ht="15" x14ac:dyDescent="0.25">
      <c r="A5486" t="s">
        <v>35</v>
      </c>
      <c r="B5486" t="s">
        <v>61</v>
      </c>
      <c r="C5486" t="str">
        <f>"A0183959"</f>
        <v>A0183959</v>
      </c>
      <c r="D5486" t="s">
        <v>21746</v>
      </c>
      <c r="E5486" t="s">
        <v>21747</v>
      </c>
      <c r="F5486" t="s">
        <v>21748</v>
      </c>
      <c r="G5486" t="s">
        <v>65</v>
      </c>
      <c r="H5486">
        <v>453652773</v>
      </c>
      <c r="I5486" t="s">
        <v>30</v>
      </c>
      <c r="J5486" t="s">
        <v>41</v>
      </c>
      <c r="K5486" t="s">
        <v>59</v>
      </c>
      <c r="Q5486">
        <v>0</v>
      </c>
      <c r="R5486">
        <v>0</v>
      </c>
      <c r="S5486">
        <v>0</v>
      </c>
    </row>
    <row r="5487" spans="1:20" customFormat="1" ht="15" x14ac:dyDescent="0.25">
      <c r="A5487" t="s">
        <v>35</v>
      </c>
      <c r="B5487" t="s">
        <v>61</v>
      </c>
      <c r="C5487" t="str">
        <f>"A0183958"</f>
        <v>A0183958</v>
      </c>
      <c r="D5487" t="s">
        <v>21012</v>
      </c>
      <c r="E5487" t="s">
        <v>21749</v>
      </c>
      <c r="F5487" t="s">
        <v>426</v>
      </c>
      <c r="G5487" t="s">
        <v>427</v>
      </c>
      <c r="H5487">
        <v>681051899</v>
      </c>
      <c r="I5487" t="s">
        <v>30</v>
      </c>
      <c r="J5487" t="s">
        <v>41</v>
      </c>
      <c r="K5487" t="s">
        <v>59</v>
      </c>
      <c r="Q5487">
        <v>0</v>
      </c>
      <c r="R5487">
        <v>254</v>
      </c>
      <c r="S5487">
        <v>254</v>
      </c>
      <c r="T5487" t="s">
        <v>21014</v>
      </c>
    </row>
    <row r="5488" spans="1:20" customFormat="1" ht="15" x14ac:dyDescent="0.25">
      <c r="A5488" t="s">
        <v>35</v>
      </c>
      <c r="B5488" t="s">
        <v>61</v>
      </c>
      <c r="C5488" t="str">
        <f>"A0183957"</f>
        <v>A0183957</v>
      </c>
      <c r="D5488" t="s">
        <v>21750</v>
      </c>
      <c r="E5488" t="s">
        <v>21751</v>
      </c>
      <c r="F5488" t="s">
        <v>21203</v>
      </c>
      <c r="G5488" t="s">
        <v>144</v>
      </c>
      <c r="H5488" t="s">
        <v>21752</v>
      </c>
      <c r="I5488" t="s">
        <v>30</v>
      </c>
      <c r="J5488" t="s">
        <v>41</v>
      </c>
      <c r="K5488" t="s">
        <v>59</v>
      </c>
      <c r="Q5488">
        <v>0</v>
      </c>
      <c r="R5488">
        <v>0</v>
      </c>
      <c r="S5488">
        <v>0</v>
      </c>
      <c r="T5488" t="s">
        <v>21753</v>
      </c>
    </row>
    <row r="5489" spans="1:20" customFormat="1" ht="15" x14ac:dyDescent="0.25">
      <c r="A5489" t="s">
        <v>35</v>
      </c>
      <c r="B5489" t="s">
        <v>61</v>
      </c>
      <c r="C5489" t="str">
        <f>"A0183956"</f>
        <v>A0183956</v>
      </c>
      <c r="D5489" t="s">
        <v>21754</v>
      </c>
      <c r="E5489" t="s">
        <v>21755</v>
      </c>
      <c r="F5489" t="s">
        <v>21200</v>
      </c>
      <c r="G5489" t="s">
        <v>144</v>
      </c>
      <c r="H5489" t="s">
        <v>21756</v>
      </c>
      <c r="I5489" t="s">
        <v>30</v>
      </c>
      <c r="J5489" t="s">
        <v>41</v>
      </c>
      <c r="K5489" t="s">
        <v>59</v>
      </c>
      <c r="Q5489">
        <v>0</v>
      </c>
      <c r="R5489">
        <v>0</v>
      </c>
      <c r="S5489">
        <v>0</v>
      </c>
    </row>
    <row r="5490" spans="1:20" customFormat="1" ht="15" x14ac:dyDescent="0.25">
      <c r="A5490" t="s">
        <v>35</v>
      </c>
      <c r="B5490" t="s">
        <v>61</v>
      </c>
      <c r="C5490" t="str">
        <f>"A0183955"</f>
        <v>A0183955</v>
      </c>
      <c r="D5490" t="s">
        <v>21757</v>
      </c>
      <c r="E5490" t="s">
        <v>21758</v>
      </c>
      <c r="F5490" t="s">
        <v>21759</v>
      </c>
      <c r="G5490" t="s">
        <v>925</v>
      </c>
      <c r="H5490" t="s">
        <v>21760</v>
      </c>
      <c r="I5490" t="s">
        <v>30</v>
      </c>
      <c r="J5490" t="s">
        <v>41</v>
      </c>
      <c r="K5490" t="s">
        <v>59</v>
      </c>
      <c r="Q5490">
        <v>0</v>
      </c>
      <c r="R5490">
        <v>32</v>
      </c>
      <c r="S5490">
        <v>32</v>
      </c>
      <c r="T5490" t="s">
        <v>21761</v>
      </c>
    </row>
    <row r="5491" spans="1:20" customFormat="1" ht="15" x14ac:dyDescent="0.25">
      <c r="A5491" t="s">
        <v>35</v>
      </c>
      <c r="B5491" t="s">
        <v>61</v>
      </c>
      <c r="C5491" t="str">
        <f>"A0183954"</f>
        <v>A0183954</v>
      </c>
      <c r="D5491" t="s">
        <v>21762</v>
      </c>
      <c r="E5491" t="s">
        <v>21763</v>
      </c>
      <c r="F5491" t="s">
        <v>288</v>
      </c>
      <c r="G5491" t="s">
        <v>289</v>
      </c>
      <c r="H5491">
        <v>60625</v>
      </c>
      <c r="I5491" t="s">
        <v>30</v>
      </c>
      <c r="J5491" t="s">
        <v>41</v>
      </c>
      <c r="K5491" t="s">
        <v>59</v>
      </c>
      <c r="Q5491">
        <v>0</v>
      </c>
      <c r="R5491">
        <v>0</v>
      </c>
      <c r="S5491">
        <v>0</v>
      </c>
      <c r="T5491" t="s">
        <v>21764</v>
      </c>
    </row>
    <row r="5492" spans="1:20" customFormat="1" ht="15" x14ac:dyDescent="0.25">
      <c r="A5492" t="s">
        <v>35</v>
      </c>
      <c r="B5492" t="s">
        <v>61</v>
      </c>
      <c r="C5492" t="str">
        <f>"A0183953"</f>
        <v>A0183953</v>
      </c>
      <c r="D5492" t="s">
        <v>21765</v>
      </c>
      <c r="E5492" t="s">
        <v>21766</v>
      </c>
      <c r="F5492" t="s">
        <v>64</v>
      </c>
      <c r="G5492" t="s">
        <v>65</v>
      </c>
      <c r="H5492">
        <v>432302434</v>
      </c>
      <c r="I5492" t="s">
        <v>30</v>
      </c>
      <c r="J5492" t="s">
        <v>41</v>
      </c>
      <c r="K5492" t="s">
        <v>59</v>
      </c>
      <c r="Q5492">
        <v>0</v>
      </c>
      <c r="R5492">
        <v>100</v>
      </c>
      <c r="S5492">
        <v>100</v>
      </c>
      <c r="T5492" t="s">
        <v>21767</v>
      </c>
    </row>
    <row r="5493" spans="1:20" customFormat="1" ht="15" x14ac:dyDescent="0.25">
      <c r="A5493" t="s">
        <v>35</v>
      </c>
      <c r="B5493" t="s">
        <v>61</v>
      </c>
      <c r="C5493" t="str">
        <f>"A0183952"</f>
        <v>A0183952</v>
      </c>
      <c r="D5493" t="s">
        <v>21768</v>
      </c>
      <c r="E5493" t="s">
        <v>21769</v>
      </c>
      <c r="F5493" t="s">
        <v>21770</v>
      </c>
      <c r="G5493" t="s">
        <v>65</v>
      </c>
      <c r="H5493" t="s">
        <v>21771</v>
      </c>
      <c r="I5493" t="s">
        <v>30</v>
      </c>
      <c r="J5493" t="s">
        <v>41</v>
      </c>
      <c r="K5493" t="s">
        <v>59</v>
      </c>
      <c r="Q5493">
        <v>0</v>
      </c>
      <c r="R5493">
        <v>352</v>
      </c>
      <c r="S5493">
        <v>352</v>
      </c>
      <c r="T5493" t="s">
        <v>21772</v>
      </c>
    </row>
    <row r="5494" spans="1:20" customFormat="1" ht="15" x14ac:dyDescent="0.25">
      <c r="A5494" t="s">
        <v>35</v>
      </c>
      <c r="B5494" t="s">
        <v>61</v>
      </c>
      <c r="C5494" t="str">
        <f>"A0183950"</f>
        <v>A0183950</v>
      </c>
      <c r="D5494" t="s">
        <v>21773</v>
      </c>
      <c r="E5494" t="s">
        <v>21774</v>
      </c>
      <c r="F5494" t="s">
        <v>64</v>
      </c>
      <c r="G5494" t="s">
        <v>65</v>
      </c>
      <c r="H5494">
        <v>432205423</v>
      </c>
      <c r="I5494" t="s">
        <v>30</v>
      </c>
      <c r="J5494" t="s">
        <v>41</v>
      </c>
      <c r="K5494" t="s">
        <v>59</v>
      </c>
      <c r="Q5494">
        <v>0</v>
      </c>
      <c r="R5494">
        <v>0</v>
      </c>
      <c r="S5494">
        <v>0</v>
      </c>
    </row>
    <row r="5495" spans="1:20" customFormat="1" ht="15" x14ac:dyDescent="0.25">
      <c r="A5495" t="s">
        <v>35</v>
      </c>
      <c r="B5495" t="s">
        <v>61</v>
      </c>
      <c r="C5495" t="str">
        <f>"A0183949"</f>
        <v>A0183949</v>
      </c>
      <c r="D5495" t="s">
        <v>21775</v>
      </c>
      <c r="E5495" t="s">
        <v>21776</v>
      </c>
      <c r="F5495" t="s">
        <v>21777</v>
      </c>
      <c r="G5495" t="s">
        <v>65</v>
      </c>
      <c r="H5495" t="s">
        <v>21778</v>
      </c>
      <c r="I5495" t="s">
        <v>30</v>
      </c>
      <c r="J5495" t="s">
        <v>41</v>
      </c>
      <c r="K5495" t="s">
        <v>59</v>
      </c>
      <c r="Q5495">
        <v>0</v>
      </c>
      <c r="R5495">
        <v>0</v>
      </c>
      <c r="S5495">
        <v>0</v>
      </c>
    </row>
    <row r="5496" spans="1:20" customFormat="1" ht="15" x14ac:dyDescent="0.25">
      <c r="A5496" t="s">
        <v>35</v>
      </c>
      <c r="B5496" t="s">
        <v>61</v>
      </c>
      <c r="C5496" t="str">
        <f>"A0183948"</f>
        <v>A0183948</v>
      </c>
      <c r="D5496" t="s">
        <v>21779</v>
      </c>
      <c r="E5496" t="s">
        <v>21780</v>
      </c>
      <c r="F5496" t="s">
        <v>3478</v>
      </c>
      <c r="G5496" t="s">
        <v>65</v>
      </c>
      <c r="H5496">
        <v>454178678</v>
      </c>
      <c r="I5496" t="s">
        <v>30</v>
      </c>
      <c r="J5496" t="s">
        <v>41</v>
      </c>
      <c r="K5496" t="s">
        <v>59</v>
      </c>
      <c r="Q5496">
        <v>0</v>
      </c>
      <c r="R5496">
        <v>0</v>
      </c>
      <c r="S5496">
        <v>0</v>
      </c>
    </row>
    <row r="5497" spans="1:20" customFormat="1" ht="15" x14ac:dyDescent="0.25">
      <c r="A5497" t="s">
        <v>35</v>
      </c>
      <c r="B5497" t="s">
        <v>61</v>
      </c>
      <c r="C5497" t="str">
        <f>"A0183947"</f>
        <v>A0183947</v>
      </c>
      <c r="D5497" t="s">
        <v>21781</v>
      </c>
      <c r="E5497" t="s">
        <v>21782</v>
      </c>
      <c r="F5497" t="s">
        <v>20926</v>
      </c>
      <c r="G5497" t="s">
        <v>161</v>
      </c>
      <c r="H5497" t="s">
        <v>21783</v>
      </c>
      <c r="I5497" t="s">
        <v>30</v>
      </c>
      <c r="J5497" t="s">
        <v>41</v>
      </c>
      <c r="K5497" t="s">
        <v>59</v>
      </c>
      <c r="Q5497">
        <v>0</v>
      </c>
      <c r="R5497">
        <v>0</v>
      </c>
      <c r="S5497">
        <v>0</v>
      </c>
      <c r="T5497" t="s">
        <v>21784</v>
      </c>
    </row>
    <row r="5498" spans="1:20" customFormat="1" ht="15" x14ac:dyDescent="0.25">
      <c r="A5498" t="s">
        <v>35</v>
      </c>
      <c r="B5498" t="s">
        <v>61</v>
      </c>
      <c r="C5498" t="str">
        <f>"A0183946"</f>
        <v>A0183946</v>
      </c>
      <c r="D5498" t="s">
        <v>21785</v>
      </c>
      <c r="E5498" t="s">
        <v>20925</v>
      </c>
      <c r="F5498" t="s">
        <v>20926</v>
      </c>
      <c r="G5498" t="s">
        <v>161</v>
      </c>
      <c r="H5498" t="s">
        <v>20927</v>
      </c>
      <c r="I5498" t="s">
        <v>30</v>
      </c>
      <c r="J5498" t="s">
        <v>41</v>
      </c>
      <c r="K5498" t="s">
        <v>59</v>
      </c>
      <c r="Q5498">
        <v>0</v>
      </c>
      <c r="R5498">
        <v>0</v>
      </c>
      <c r="S5498">
        <v>0</v>
      </c>
      <c r="T5498" t="s">
        <v>21786</v>
      </c>
    </row>
    <row r="5499" spans="1:20" customFormat="1" ht="15" x14ac:dyDescent="0.25">
      <c r="A5499" t="s">
        <v>35</v>
      </c>
      <c r="B5499" t="s">
        <v>61</v>
      </c>
      <c r="C5499" t="str">
        <f>"A0183945"</f>
        <v>A0183945</v>
      </c>
      <c r="D5499" t="s">
        <v>21787</v>
      </c>
      <c r="E5499" t="s">
        <v>21788</v>
      </c>
      <c r="F5499" t="s">
        <v>20926</v>
      </c>
      <c r="G5499" t="s">
        <v>161</v>
      </c>
      <c r="H5499" t="s">
        <v>21789</v>
      </c>
      <c r="I5499" t="s">
        <v>30</v>
      </c>
      <c r="J5499" t="s">
        <v>41</v>
      </c>
      <c r="K5499" t="s">
        <v>59</v>
      </c>
      <c r="Q5499">
        <v>0</v>
      </c>
      <c r="R5499">
        <v>0</v>
      </c>
      <c r="S5499">
        <v>0</v>
      </c>
    </row>
    <row r="5500" spans="1:20" customFormat="1" ht="15" x14ac:dyDescent="0.25">
      <c r="A5500" t="s">
        <v>35</v>
      </c>
      <c r="B5500" t="s">
        <v>61</v>
      </c>
      <c r="C5500" t="str">
        <f>"A0183944"</f>
        <v>A0183944</v>
      </c>
      <c r="D5500" t="s">
        <v>21790</v>
      </c>
      <c r="E5500" t="s">
        <v>21791</v>
      </c>
      <c r="F5500" t="s">
        <v>15965</v>
      </c>
      <c r="G5500" t="s">
        <v>110</v>
      </c>
      <c r="H5500" t="s">
        <v>21792</v>
      </c>
      <c r="I5500" t="s">
        <v>30</v>
      </c>
      <c r="J5500" t="s">
        <v>41</v>
      </c>
      <c r="K5500" t="s">
        <v>59</v>
      </c>
      <c r="Q5500">
        <v>0</v>
      </c>
      <c r="R5500">
        <v>0</v>
      </c>
      <c r="S5500">
        <v>0</v>
      </c>
      <c r="T5500" t="s">
        <v>21793</v>
      </c>
    </row>
    <row r="5501" spans="1:20" customFormat="1" ht="15" x14ac:dyDescent="0.25">
      <c r="A5501" t="s">
        <v>35</v>
      </c>
      <c r="B5501" t="s">
        <v>61</v>
      </c>
      <c r="C5501" t="str">
        <f>"A0183943"</f>
        <v>A0183943</v>
      </c>
      <c r="D5501" t="s">
        <v>21794</v>
      </c>
      <c r="E5501" t="s">
        <v>21795</v>
      </c>
      <c r="F5501" t="s">
        <v>1277</v>
      </c>
      <c r="G5501" t="s">
        <v>110</v>
      </c>
      <c r="H5501" t="s">
        <v>21796</v>
      </c>
      <c r="I5501" t="s">
        <v>30</v>
      </c>
      <c r="J5501" t="s">
        <v>41</v>
      </c>
      <c r="K5501" t="s">
        <v>59</v>
      </c>
      <c r="Q5501">
        <v>0</v>
      </c>
      <c r="R5501">
        <v>0</v>
      </c>
      <c r="S5501">
        <v>0</v>
      </c>
      <c r="T5501" t="s">
        <v>21797</v>
      </c>
    </row>
    <row r="5502" spans="1:20" customFormat="1" ht="15" x14ac:dyDescent="0.25">
      <c r="A5502" t="s">
        <v>35</v>
      </c>
      <c r="B5502" t="s">
        <v>61</v>
      </c>
      <c r="C5502" t="str">
        <f>"A0183942"</f>
        <v>A0183942</v>
      </c>
      <c r="D5502" t="s">
        <v>21798</v>
      </c>
      <c r="E5502" t="s">
        <v>21799</v>
      </c>
      <c r="F5502" t="s">
        <v>12852</v>
      </c>
      <c r="G5502" t="s">
        <v>110</v>
      </c>
      <c r="H5502" t="s">
        <v>21800</v>
      </c>
      <c r="I5502" t="s">
        <v>30</v>
      </c>
      <c r="J5502" t="s">
        <v>41</v>
      </c>
      <c r="K5502" t="s">
        <v>59</v>
      </c>
      <c r="Q5502">
        <v>0</v>
      </c>
      <c r="R5502">
        <v>0</v>
      </c>
      <c r="S5502">
        <v>0</v>
      </c>
      <c r="T5502" t="s">
        <v>21801</v>
      </c>
    </row>
    <row r="5503" spans="1:20" customFormat="1" ht="15" x14ac:dyDescent="0.25">
      <c r="A5503" t="s">
        <v>35</v>
      </c>
      <c r="B5503" t="s">
        <v>61</v>
      </c>
      <c r="C5503" t="str">
        <f>"A0183941"</f>
        <v>A0183941</v>
      </c>
      <c r="D5503" t="s">
        <v>21802</v>
      </c>
      <c r="E5503" t="s">
        <v>21803</v>
      </c>
      <c r="F5503" t="s">
        <v>109</v>
      </c>
      <c r="G5503" t="s">
        <v>110</v>
      </c>
      <c r="H5503">
        <v>91911</v>
      </c>
      <c r="I5503" t="s">
        <v>30</v>
      </c>
      <c r="J5503" t="s">
        <v>41</v>
      </c>
      <c r="K5503" t="s">
        <v>59</v>
      </c>
      <c r="Q5503">
        <v>0</v>
      </c>
      <c r="R5503">
        <v>0</v>
      </c>
      <c r="S5503">
        <v>0</v>
      </c>
      <c r="T5503" t="s">
        <v>21804</v>
      </c>
    </row>
    <row r="5504" spans="1:20" customFormat="1" ht="15" x14ac:dyDescent="0.25">
      <c r="A5504" t="s">
        <v>35</v>
      </c>
      <c r="B5504" t="s">
        <v>61</v>
      </c>
      <c r="C5504" t="str">
        <f>"A0183940"</f>
        <v>A0183940</v>
      </c>
      <c r="D5504" t="s">
        <v>21805</v>
      </c>
      <c r="E5504" t="s">
        <v>21806</v>
      </c>
      <c r="F5504" t="s">
        <v>9128</v>
      </c>
      <c r="G5504" t="s">
        <v>110</v>
      </c>
      <c r="H5504">
        <v>946116065</v>
      </c>
      <c r="I5504" t="s">
        <v>30</v>
      </c>
      <c r="J5504" t="s">
        <v>41</v>
      </c>
      <c r="K5504" t="s">
        <v>59</v>
      </c>
      <c r="Q5504">
        <v>0</v>
      </c>
      <c r="R5504">
        <v>0</v>
      </c>
      <c r="S5504">
        <v>0</v>
      </c>
      <c r="T5504" t="s">
        <v>21807</v>
      </c>
    </row>
    <row r="5505" spans="1:20" customFormat="1" ht="15" x14ac:dyDescent="0.25">
      <c r="A5505" t="s">
        <v>35</v>
      </c>
      <c r="B5505" t="s">
        <v>61</v>
      </c>
      <c r="C5505" t="str">
        <f>"A0183939"</f>
        <v>A0183939</v>
      </c>
      <c r="D5505" t="s">
        <v>21808</v>
      </c>
      <c r="E5505" t="s">
        <v>21809</v>
      </c>
      <c r="F5505" t="s">
        <v>21810</v>
      </c>
      <c r="G5505" t="s">
        <v>110</v>
      </c>
      <c r="H5505">
        <v>94611</v>
      </c>
      <c r="I5505" t="s">
        <v>30</v>
      </c>
      <c r="J5505" t="s">
        <v>41</v>
      </c>
      <c r="K5505" t="s">
        <v>59</v>
      </c>
      <c r="Q5505">
        <v>0</v>
      </c>
      <c r="R5505">
        <v>0</v>
      </c>
      <c r="S5505">
        <v>0</v>
      </c>
      <c r="T5505" t="s">
        <v>21811</v>
      </c>
    </row>
    <row r="5506" spans="1:20" customFormat="1" ht="15" x14ac:dyDescent="0.25">
      <c r="A5506" t="s">
        <v>35</v>
      </c>
      <c r="B5506" t="s">
        <v>61</v>
      </c>
      <c r="C5506" t="str">
        <f>"A0183938"</f>
        <v>A0183938</v>
      </c>
      <c r="D5506" t="s">
        <v>21812</v>
      </c>
      <c r="E5506" t="s">
        <v>21813</v>
      </c>
      <c r="F5506" t="s">
        <v>21814</v>
      </c>
      <c r="G5506" t="s">
        <v>110</v>
      </c>
      <c r="H5506" t="s">
        <v>21815</v>
      </c>
      <c r="I5506" t="s">
        <v>30</v>
      </c>
      <c r="J5506" t="s">
        <v>41</v>
      </c>
      <c r="K5506" t="s">
        <v>59</v>
      </c>
      <c r="Q5506">
        <v>0</v>
      </c>
      <c r="R5506">
        <v>0</v>
      </c>
      <c r="S5506">
        <v>0</v>
      </c>
      <c r="T5506" t="s">
        <v>21816</v>
      </c>
    </row>
    <row r="5507" spans="1:20" customFormat="1" ht="15" x14ac:dyDescent="0.25">
      <c r="A5507" t="s">
        <v>35</v>
      </c>
      <c r="B5507" t="s">
        <v>61</v>
      </c>
      <c r="C5507" t="str">
        <f>"A0183937"</f>
        <v>A0183937</v>
      </c>
      <c r="D5507" t="s">
        <v>21817</v>
      </c>
      <c r="E5507" t="s">
        <v>21818</v>
      </c>
      <c r="F5507" t="s">
        <v>10867</v>
      </c>
      <c r="G5507" t="s">
        <v>110</v>
      </c>
      <c r="H5507" t="s">
        <v>21819</v>
      </c>
      <c r="I5507" t="s">
        <v>30</v>
      </c>
      <c r="J5507" t="s">
        <v>41</v>
      </c>
      <c r="K5507" t="s">
        <v>59</v>
      </c>
      <c r="Q5507">
        <v>0</v>
      </c>
      <c r="R5507">
        <v>0</v>
      </c>
      <c r="S5507">
        <v>0</v>
      </c>
      <c r="T5507" t="s">
        <v>21820</v>
      </c>
    </row>
    <row r="5508" spans="1:20" customFormat="1" ht="15" x14ac:dyDescent="0.25">
      <c r="A5508" t="s">
        <v>35</v>
      </c>
      <c r="B5508" t="s">
        <v>61</v>
      </c>
      <c r="C5508" t="str">
        <f>"A0183936"</f>
        <v>A0183936</v>
      </c>
      <c r="D5508" t="s">
        <v>21821</v>
      </c>
      <c r="E5508" t="s">
        <v>21822</v>
      </c>
      <c r="F5508" t="s">
        <v>21823</v>
      </c>
      <c r="G5508" t="s">
        <v>110</v>
      </c>
      <c r="H5508">
        <v>945012979</v>
      </c>
      <c r="I5508" t="s">
        <v>30</v>
      </c>
      <c r="J5508" t="s">
        <v>41</v>
      </c>
      <c r="K5508" t="s">
        <v>59</v>
      </c>
      <c r="Q5508">
        <v>0</v>
      </c>
      <c r="R5508">
        <v>0</v>
      </c>
      <c r="S5508">
        <v>0</v>
      </c>
    </row>
    <row r="5509" spans="1:20" customFormat="1" ht="15" x14ac:dyDescent="0.25">
      <c r="A5509" t="s">
        <v>35</v>
      </c>
      <c r="B5509" t="s">
        <v>61</v>
      </c>
      <c r="C5509" t="str">
        <f>"A0183935"</f>
        <v>A0183935</v>
      </c>
      <c r="D5509" t="s">
        <v>21824</v>
      </c>
      <c r="E5509" t="s">
        <v>21825</v>
      </c>
      <c r="F5509" t="s">
        <v>21826</v>
      </c>
      <c r="G5509" t="s">
        <v>110</v>
      </c>
      <c r="H5509" t="s">
        <v>21827</v>
      </c>
      <c r="I5509" t="s">
        <v>30</v>
      </c>
      <c r="J5509" t="s">
        <v>41</v>
      </c>
      <c r="K5509" t="s">
        <v>59</v>
      </c>
      <c r="Q5509">
        <v>0</v>
      </c>
      <c r="R5509">
        <v>0</v>
      </c>
      <c r="S5509">
        <v>0</v>
      </c>
      <c r="T5509" t="s">
        <v>21828</v>
      </c>
    </row>
    <row r="5510" spans="1:20" customFormat="1" ht="15" x14ac:dyDescent="0.25">
      <c r="A5510" t="s">
        <v>35</v>
      </c>
      <c r="B5510" t="s">
        <v>61</v>
      </c>
      <c r="C5510" t="str">
        <f>"A0183934"</f>
        <v>A0183934</v>
      </c>
      <c r="D5510" t="s">
        <v>21829</v>
      </c>
      <c r="E5510" t="s">
        <v>21830</v>
      </c>
      <c r="F5510" t="s">
        <v>21831</v>
      </c>
      <c r="G5510" t="s">
        <v>110</v>
      </c>
      <c r="H5510">
        <v>93536</v>
      </c>
      <c r="I5510" t="s">
        <v>30</v>
      </c>
      <c r="J5510" t="s">
        <v>41</v>
      </c>
      <c r="K5510" t="s">
        <v>59</v>
      </c>
      <c r="Q5510">
        <v>0</v>
      </c>
      <c r="R5510">
        <v>0</v>
      </c>
      <c r="S5510">
        <v>0</v>
      </c>
    </row>
    <row r="5511" spans="1:20" customFormat="1" ht="15" x14ac:dyDescent="0.25">
      <c r="A5511" t="s">
        <v>35</v>
      </c>
      <c r="B5511" t="s">
        <v>61</v>
      </c>
      <c r="C5511" t="str">
        <f>"A0183933"</f>
        <v>A0183933</v>
      </c>
      <c r="D5511" t="s">
        <v>21832</v>
      </c>
      <c r="E5511" t="s">
        <v>21833</v>
      </c>
      <c r="F5511" t="s">
        <v>20956</v>
      </c>
      <c r="G5511" t="s">
        <v>289</v>
      </c>
      <c r="H5511">
        <v>60491</v>
      </c>
      <c r="I5511" t="s">
        <v>30</v>
      </c>
      <c r="J5511" t="s">
        <v>41</v>
      </c>
      <c r="K5511" t="s">
        <v>59</v>
      </c>
      <c r="Q5511">
        <v>0</v>
      </c>
      <c r="R5511">
        <v>0</v>
      </c>
      <c r="S5511">
        <v>0</v>
      </c>
    </row>
    <row r="5512" spans="1:20" customFormat="1" ht="15" x14ac:dyDescent="0.25">
      <c r="A5512" t="s">
        <v>35</v>
      </c>
      <c r="B5512" t="s">
        <v>61</v>
      </c>
      <c r="C5512" t="str">
        <f>"A0183932"</f>
        <v>A0183932</v>
      </c>
      <c r="D5512" t="s">
        <v>21834</v>
      </c>
      <c r="E5512" t="s">
        <v>21835</v>
      </c>
      <c r="F5512" t="s">
        <v>8151</v>
      </c>
      <c r="G5512" t="s">
        <v>289</v>
      </c>
      <c r="H5512">
        <v>62568</v>
      </c>
      <c r="I5512" t="s">
        <v>30</v>
      </c>
      <c r="J5512" t="s">
        <v>41</v>
      </c>
      <c r="K5512" t="s">
        <v>59</v>
      </c>
      <c r="Q5512">
        <v>0</v>
      </c>
      <c r="R5512">
        <v>0</v>
      </c>
      <c r="S5512">
        <v>0</v>
      </c>
    </row>
    <row r="5513" spans="1:20" customFormat="1" ht="15" x14ac:dyDescent="0.25">
      <c r="A5513" t="s">
        <v>35</v>
      </c>
      <c r="B5513" t="s">
        <v>61</v>
      </c>
      <c r="C5513" t="str">
        <f>"A0183931"</f>
        <v>A0183931</v>
      </c>
      <c r="D5513" t="s">
        <v>21836</v>
      </c>
      <c r="E5513" t="s">
        <v>21837</v>
      </c>
      <c r="F5513" t="s">
        <v>288</v>
      </c>
      <c r="G5513" t="s">
        <v>289</v>
      </c>
      <c r="H5513">
        <v>60625</v>
      </c>
      <c r="I5513" t="s">
        <v>30</v>
      </c>
      <c r="J5513" t="s">
        <v>41</v>
      </c>
      <c r="K5513" t="s">
        <v>59</v>
      </c>
      <c r="Q5513">
        <v>0</v>
      </c>
      <c r="R5513">
        <v>0</v>
      </c>
      <c r="S5513">
        <v>0</v>
      </c>
      <c r="T5513" t="s">
        <v>21838</v>
      </c>
    </row>
    <row r="5514" spans="1:20" customFormat="1" ht="15" x14ac:dyDescent="0.25">
      <c r="A5514" t="s">
        <v>35</v>
      </c>
      <c r="B5514" t="s">
        <v>11183</v>
      </c>
      <c r="C5514" t="str">
        <f>"A0183930"</f>
        <v>A0183930</v>
      </c>
      <c r="D5514" t="s">
        <v>21506</v>
      </c>
      <c r="E5514" t="s">
        <v>21839</v>
      </c>
      <c r="F5514" t="s">
        <v>3478</v>
      </c>
      <c r="G5514" t="s">
        <v>65</v>
      </c>
      <c r="H5514">
        <v>454592725</v>
      </c>
      <c r="I5514" t="s">
        <v>30</v>
      </c>
      <c r="J5514" t="s">
        <v>41</v>
      </c>
      <c r="K5514" t="s">
        <v>59</v>
      </c>
      <c r="Q5514">
        <v>0</v>
      </c>
      <c r="R5514">
        <v>0</v>
      </c>
      <c r="S5514">
        <v>0</v>
      </c>
      <c r="T5514" t="s">
        <v>21840</v>
      </c>
    </row>
    <row r="5515" spans="1:20" customFormat="1" ht="15" x14ac:dyDescent="0.25">
      <c r="A5515" t="s">
        <v>35</v>
      </c>
      <c r="B5515" t="s">
        <v>61</v>
      </c>
      <c r="C5515" t="str">
        <f>"A0183929"</f>
        <v>A0183929</v>
      </c>
      <c r="D5515" t="s">
        <v>16521</v>
      </c>
      <c r="E5515" t="s">
        <v>21841</v>
      </c>
      <c r="F5515" t="s">
        <v>21842</v>
      </c>
      <c r="G5515" t="s">
        <v>289</v>
      </c>
      <c r="H5515" t="s">
        <v>21843</v>
      </c>
      <c r="I5515" t="s">
        <v>30</v>
      </c>
      <c r="J5515" t="s">
        <v>41</v>
      </c>
      <c r="K5515" t="s">
        <v>59</v>
      </c>
      <c r="Q5515">
        <v>0</v>
      </c>
      <c r="R5515">
        <v>0</v>
      </c>
      <c r="S5515">
        <v>0</v>
      </c>
    </row>
    <row r="5516" spans="1:20" customFormat="1" ht="15" x14ac:dyDescent="0.25">
      <c r="A5516" t="s">
        <v>35</v>
      </c>
      <c r="B5516" t="s">
        <v>61</v>
      </c>
      <c r="C5516" t="str">
        <f>"A0183928"</f>
        <v>A0183928</v>
      </c>
      <c r="D5516" t="s">
        <v>21844</v>
      </c>
      <c r="E5516" t="s">
        <v>21845</v>
      </c>
      <c r="F5516" t="s">
        <v>288</v>
      </c>
      <c r="G5516" t="s">
        <v>289</v>
      </c>
      <c r="H5516" t="s">
        <v>21846</v>
      </c>
      <c r="I5516" t="s">
        <v>30</v>
      </c>
      <c r="J5516" t="s">
        <v>41</v>
      </c>
      <c r="K5516" t="s">
        <v>59</v>
      </c>
      <c r="Q5516">
        <v>0</v>
      </c>
      <c r="R5516">
        <v>0</v>
      </c>
      <c r="S5516">
        <v>0</v>
      </c>
    </row>
    <row r="5517" spans="1:20" customFormat="1" ht="15" x14ac:dyDescent="0.25">
      <c r="A5517" t="s">
        <v>35</v>
      </c>
      <c r="B5517" t="s">
        <v>61</v>
      </c>
      <c r="C5517" t="str">
        <f>"A0183927"</f>
        <v>A0183927</v>
      </c>
      <c r="D5517" t="s">
        <v>21847</v>
      </c>
      <c r="E5517" t="s">
        <v>21848</v>
      </c>
      <c r="F5517" t="s">
        <v>10873</v>
      </c>
      <c r="G5517" t="s">
        <v>289</v>
      </c>
      <c r="H5517" t="s">
        <v>21849</v>
      </c>
      <c r="I5517" t="s">
        <v>30</v>
      </c>
      <c r="J5517" t="s">
        <v>41</v>
      </c>
      <c r="K5517" t="s">
        <v>59</v>
      </c>
      <c r="Q5517">
        <v>0</v>
      </c>
      <c r="R5517">
        <v>0</v>
      </c>
      <c r="S5517">
        <v>0</v>
      </c>
      <c r="T5517" t="s">
        <v>21850</v>
      </c>
    </row>
    <row r="5518" spans="1:20" customFormat="1" ht="15" x14ac:dyDescent="0.25">
      <c r="A5518" t="s">
        <v>35</v>
      </c>
      <c r="B5518" t="s">
        <v>61</v>
      </c>
      <c r="C5518" t="str">
        <f>"A0183926"</f>
        <v>A0183926</v>
      </c>
      <c r="D5518" t="s">
        <v>21851</v>
      </c>
      <c r="E5518" t="s">
        <v>21852</v>
      </c>
      <c r="F5518" t="s">
        <v>21492</v>
      </c>
      <c r="G5518" t="s">
        <v>289</v>
      </c>
      <c r="H5518" t="s">
        <v>21853</v>
      </c>
      <c r="I5518" t="s">
        <v>30</v>
      </c>
      <c r="J5518" t="s">
        <v>41</v>
      </c>
      <c r="K5518" t="s">
        <v>59</v>
      </c>
      <c r="Q5518">
        <v>0</v>
      </c>
      <c r="R5518">
        <v>0</v>
      </c>
      <c r="S5518">
        <v>0</v>
      </c>
    </row>
    <row r="5519" spans="1:20" customFormat="1" ht="15" x14ac:dyDescent="0.25">
      <c r="A5519" t="s">
        <v>35</v>
      </c>
      <c r="B5519" t="s">
        <v>61</v>
      </c>
      <c r="C5519" t="str">
        <f>"A0183925"</f>
        <v>A0183925</v>
      </c>
      <c r="D5519" t="s">
        <v>21854</v>
      </c>
      <c r="E5519" t="s">
        <v>21855</v>
      </c>
      <c r="F5519" t="s">
        <v>13113</v>
      </c>
      <c r="G5519" t="s">
        <v>289</v>
      </c>
      <c r="H5519" t="s">
        <v>21856</v>
      </c>
      <c r="I5519" t="s">
        <v>30</v>
      </c>
      <c r="J5519" t="s">
        <v>41</v>
      </c>
      <c r="K5519" t="s">
        <v>59</v>
      </c>
      <c r="Q5519">
        <v>0</v>
      </c>
      <c r="R5519">
        <v>0</v>
      </c>
      <c r="S5519">
        <v>0</v>
      </c>
    </row>
    <row r="5520" spans="1:20" customFormat="1" ht="15" x14ac:dyDescent="0.25">
      <c r="A5520" t="s">
        <v>35</v>
      </c>
      <c r="B5520" t="s">
        <v>61</v>
      </c>
      <c r="C5520" t="str">
        <f>"A0183924"</f>
        <v>A0183924</v>
      </c>
      <c r="D5520" t="s">
        <v>21857</v>
      </c>
      <c r="E5520" t="s">
        <v>21858</v>
      </c>
      <c r="F5520" t="s">
        <v>21492</v>
      </c>
      <c r="G5520" t="s">
        <v>289</v>
      </c>
      <c r="H5520" t="s">
        <v>21859</v>
      </c>
      <c r="I5520" t="s">
        <v>30</v>
      </c>
      <c r="J5520" t="s">
        <v>41</v>
      </c>
      <c r="K5520" t="s">
        <v>59</v>
      </c>
      <c r="Q5520">
        <v>0</v>
      </c>
      <c r="R5520">
        <v>0</v>
      </c>
      <c r="S5520">
        <v>0</v>
      </c>
    </row>
    <row r="5521" spans="1:20" customFormat="1" ht="15" x14ac:dyDescent="0.25">
      <c r="A5521" t="s">
        <v>35</v>
      </c>
      <c r="B5521" t="s">
        <v>61</v>
      </c>
      <c r="C5521" t="str">
        <f>"A0183923"</f>
        <v>A0183923</v>
      </c>
      <c r="D5521" t="s">
        <v>21860</v>
      </c>
      <c r="E5521" t="s">
        <v>21861</v>
      </c>
      <c r="F5521" t="s">
        <v>21862</v>
      </c>
      <c r="G5521" t="s">
        <v>289</v>
      </c>
      <c r="H5521" t="s">
        <v>21863</v>
      </c>
      <c r="I5521" t="s">
        <v>30</v>
      </c>
      <c r="J5521" t="s">
        <v>41</v>
      </c>
      <c r="K5521" t="s">
        <v>59</v>
      </c>
      <c r="Q5521">
        <v>0</v>
      </c>
      <c r="R5521">
        <v>0</v>
      </c>
      <c r="S5521">
        <v>0</v>
      </c>
    </row>
    <row r="5522" spans="1:20" customFormat="1" ht="15" x14ac:dyDescent="0.25">
      <c r="A5522" t="s">
        <v>35</v>
      </c>
      <c r="B5522" t="s">
        <v>61</v>
      </c>
      <c r="C5522" t="str">
        <f>"A0183922"</f>
        <v>A0183922</v>
      </c>
      <c r="D5522" t="s">
        <v>21864</v>
      </c>
      <c r="E5522" t="s">
        <v>21865</v>
      </c>
      <c r="F5522" t="s">
        <v>288</v>
      </c>
      <c r="G5522" t="s">
        <v>289</v>
      </c>
      <c r="H5522" t="s">
        <v>21866</v>
      </c>
      <c r="I5522" t="s">
        <v>30</v>
      </c>
      <c r="J5522" t="s">
        <v>41</v>
      </c>
      <c r="K5522" t="s">
        <v>59</v>
      </c>
      <c r="Q5522">
        <v>0</v>
      </c>
      <c r="R5522">
        <v>0</v>
      </c>
      <c r="S5522">
        <v>0</v>
      </c>
    </row>
    <row r="5523" spans="1:20" customFormat="1" ht="15" x14ac:dyDescent="0.25">
      <c r="A5523" t="s">
        <v>35</v>
      </c>
      <c r="B5523" t="s">
        <v>61</v>
      </c>
      <c r="C5523" t="str">
        <f>"A0183921"</f>
        <v>A0183921</v>
      </c>
      <c r="D5523" t="s">
        <v>21867</v>
      </c>
      <c r="E5523" t="s">
        <v>21868</v>
      </c>
      <c r="F5523" t="s">
        <v>2784</v>
      </c>
      <c r="G5523" t="s">
        <v>925</v>
      </c>
      <c r="H5523" t="s">
        <v>21869</v>
      </c>
      <c r="I5523" t="s">
        <v>30</v>
      </c>
      <c r="J5523" t="s">
        <v>41</v>
      </c>
      <c r="K5523" t="s">
        <v>59</v>
      </c>
      <c r="Q5523">
        <v>0</v>
      </c>
      <c r="R5523">
        <v>0</v>
      </c>
      <c r="S5523">
        <v>0</v>
      </c>
      <c r="T5523" t="s">
        <v>21870</v>
      </c>
    </row>
    <row r="5524" spans="1:20" customFormat="1" ht="15" x14ac:dyDescent="0.25">
      <c r="A5524" t="s">
        <v>35</v>
      </c>
      <c r="B5524" t="s">
        <v>61</v>
      </c>
      <c r="C5524" t="str">
        <f>"A0183920"</f>
        <v>A0183920</v>
      </c>
      <c r="D5524" t="s">
        <v>21871</v>
      </c>
      <c r="E5524" t="s">
        <v>21872</v>
      </c>
      <c r="F5524" t="s">
        <v>3210</v>
      </c>
      <c r="G5524" t="s">
        <v>925</v>
      </c>
      <c r="H5524" t="s">
        <v>21873</v>
      </c>
      <c r="I5524" t="s">
        <v>30</v>
      </c>
      <c r="J5524" t="s">
        <v>41</v>
      </c>
      <c r="K5524" t="s">
        <v>59</v>
      </c>
      <c r="Q5524">
        <v>0</v>
      </c>
      <c r="R5524">
        <v>46</v>
      </c>
      <c r="S5524">
        <v>46</v>
      </c>
      <c r="T5524" t="s">
        <v>21874</v>
      </c>
    </row>
    <row r="5525" spans="1:20" customFormat="1" ht="15" x14ac:dyDescent="0.25">
      <c r="A5525" t="s">
        <v>35</v>
      </c>
      <c r="B5525" t="s">
        <v>61</v>
      </c>
      <c r="C5525" t="str">
        <f>"A0183919"</f>
        <v>A0183919</v>
      </c>
      <c r="D5525" t="s">
        <v>21875</v>
      </c>
      <c r="E5525" t="s">
        <v>21876</v>
      </c>
      <c r="F5525" t="s">
        <v>2784</v>
      </c>
      <c r="G5525" t="s">
        <v>925</v>
      </c>
      <c r="H5525" t="s">
        <v>21877</v>
      </c>
      <c r="I5525" t="s">
        <v>30</v>
      </c>
      <c r="J5525" t="s">
        <v>41</v>
      </c>
      <c r="K5525" t="s">
        <v>59</v>
      </c>
      <c r="Q5525">
        <v>0</v>
      </c>
      <c r="R5525">
        <v>90</v>
      </c>
      <c r="S5525">
        <v>90</v>
      </c>
      <c r="T5525" t="s">
        <v>21878</v>
      </c>
    </row>
    <row r="5526" spans="1:20" customFormat="1" ht="15" x14ac:dyDescent="0.25">
      <c r="A5526" t="s">
        <v>35</v>
      </c>
      <c r="B5526" t="s">
        <v>61</v>
      </c>
      <c r="C5526" t="str">
        <f>"A0183918"</f>
        <v>A0183918</v>
      </c>
      <c r="D5526" t="s">
        <v>21879</v>
      </c>
      <c r="E5526" t="s">
        <v>21880</v>
      </c>
      <c r="F5526" t="s">
        <v>21881</v>
      </c>
      <c r="G5526" t="s">
        <v>65</v>
      </c>
      <c r="H5526" t="s">
        <v>21882</v>
      </c>
      <c r="I5526" t="s">
        <v>30</v>
      </c>
      <c r="J5526" t="s">
        <v>41</v>
      </c>
      <c r="K5526" t="s">
        <v>59</v>
      </c>
      <c r="Q5526">
        <v>0</v>
      </c>
      <c r="R5526">
        <v>0</v>
      </c>
      <c r="S5526">
        <v>0</v>
      </c>
      <c r="T5526" t="s">
        <v>21883</v>
      </c>
    </row>
    <row r="5527" spans="1:20" customFormat="1" ht="15" x14ac:dyDescent="0.25">
      <c r="A5527" t="s">
        <v>35</v>
      </c>
      <c r="B5527" t="s">
        <v>61</v>
      </c>
      <c r="C5527" t="str">
        <f>"A0183917"</f>
        <v>A0183917</v>
      </c>
      <c r="D5527" t="s">
        <v>21884</v>
      </c>
      <c r="E5527" t="s">
        <v>21839</v>
      </c>
      <c r="F5527" t="s">
        <v>12157</v>
      </c>
      <c r="G5527" t="s">
        <v>65</v>
      </c>
      <c r="H5527">
        <v>454592725</v>
      </c>
      <c r="I5527" t="s">
        <v>30</v>
      </c>
      <c r="J5527" t="s">
        <v>41</v>
      </c>
      <c r="K5527" t="s">
        <v>59</v>
      </c>
      <c r="Q5527">
        <v>0</v>
      </c>
      <c r="R5527">
        <v>252</v>
      </c>
      <c r="S5527">
        <v>252</v>
      </c>
      <c r="T5527" t="s">
        <v>21885</v>
      </c>
    </row>
    <row r="5528" spans="1:20" customFormat="1" ht="15" x14ac:dyDescent="0.25">
      <c r="A5528" t="s">
        <v>35</v>
      </c>
      <c r="B5528" t="s">
        <v>61</v>
      </c>
      <c r="C5528" t="str">
        <f>"A0183916"</f>
        <v>A0183916</v>
      </c>
      <c r="D5528" t="s">
        <v>21886</v>
      </c>
      <c r="E5528" t="s">
        <v>21887</v>
      </c>
      <c r="F5528" t="s">
        <v>288</v>
      </c>
      <c r="G5528" t="s">
        <v>289</v>
      </c>
      <c r="H5528" t="s">
        <v>21888</v>
      </c>
      <c r="I5528" t="s">
        <v>30</v>
      </c>
      <c r="J5528" t="s">
        <v>41</v>
      </c>
      <c r="K5528" t="s">
        <v>59</v>
      </c>
      <c r="Q5528">
        <v>0</v>
      </c>
      <c r="R5528">
        <v>83</v>
      </c>
      <c r="S5528">
        <v>83</v>
      </c>
      <c r="T5528" t="s">
        <v>21889</v>
      </c>
    </row>
    <row r="5529" spans="1:20" customFormat="1" ht="15" x14ac:dyDescent="0.25">
      <c r="A5529" t="s">
        <v>35</v>
      </c>
      <c r="B5529" t="s">
        <v>61</v>
      </c>
      <c r="C5529" t="str">
        <f>"A0183915"</f>
        <v>A0183915</v>
      </c>
      <c r="D5529" t="s">
        <v>21890</v>
      </c>
      <c r="E5529" t="s">
        <v>21891</v>
      </c>
      <c r="F5529" t="s">
        <v>288</v>
      </c>
      <c r="G5529" t="s">
        <v>289</v>
      </c>
      <c r="H5529">
        <v>60659</v>
      </c>
      <c r="I5529" t="s">
        <v>30</v>
      </c>
      <c r="J5529" t="s">
        <v>41</v>
      </c>
      <c r="K5529" t="s">
        <v>59</v>
      </c>
      <c r="Q5529">
        <v>0</v>
      </c>
      <c r="R5529">
        <v>0</v>
      </c>
      <c r="S5529">
        <v>0</v>
      </c>
    </row>
    <row r="5530" spans="1:20" customFormat="1" ht="15" x14ac:dyDescent="0.25">
      <c r="A5530" t="s">
        <v>35</v>
      </c>
      <c r="B5530" t="s">
        <v>61</v>
      </c>
      <c r="C5530" t="str">
        <f>"A0183914"</f>
        <v>A0183914</v>
      </c>
      <c r="D5530" t="s">
        <v>21892</v>
      </c>
      <c r="E5530" t="s">
        <v>21893</v>
      </c>
      <c r="F5530" t="s">
        <v>21892</v>
      </c>
      <c r="G5530" t="s">
        <v>289</v>
      </c>
      <c r="H5530">
        <v>62995</v>
      </c>
      <c r="I5530" t="s">
        <v>30</v>
      </c>
      <c r="J5530" t="s">
        <v>41</v>
      </c>
      <c r="K5530" t="s">
        <v>59</v>
      </c>
      <c r="Q5530">
        <v>0</v>
      </c>
      <c r="R5530">
        <v>0</v>
      </c>
      <c r="S5530">
        <v>0</v>
      </c>
    </row>
    <row r="5531" spans="1:20" customFormat="1" ht="15" x14ac:dyDescent="0.25">
      <c r="A5531" t="s">
        <v>35</v>
      </c>
      <c r="B5531" t="s">
        <v>61</v>
      </c>
      <c r="C5531" t="str">
        <f>"A0183913"</f>
        <v>A0183913</v>
      </c>
      <c r="D5531" t="s">
        <v>21894</v>
      </c>
      <c r="E5531" t="s">
        <v>21895</v>
      </c>
      <c r="F5531" t="s">
        <v>21217</v>
      </c>
      <c r="G5531" t="s">
        <v>110</v>
      </c>
      <c r="H5531" t="s">
        <v>21896</v>
      </c>
      <c r="I5531" t="s">
        <v>30</v>
      </c>
      <c r="J5531" t="s">
        <v>41</v>
      </c>
      <c r="K5531" t="s">
        <v>59</v>
      </c>
      <c r="Q5531">
        <v>0</v>
      </c>
      <c r="R5531">
        <v>0</v>
      </c>
      <c r="S5531">
        <v>0</v>
      </c>
      <c r="T5531" t="s">
        <v>21897</v>
      </c>
    </row>
    <row r="5532" spans="1:20" customFormat="1" ht="15" x14ac:dyDescent="0.25">
      <c r="A5532" t="s">
        <v>35</v>
      </c>
      <c r="B5532" t="s">
        <v>61</v>
      </c>
      <c r="C5532" t="str">
        <f>"A0183912"</f>
        <v>A0183912</v>
      </c>
      <c r="D5532" t="s">
        <v>21898</v>
      </c>
      <c r="E5532" t="s">
        <v>21899</v>
      </c>
      <c r="F5532" t="s">
        <v>109</v>
      </c>
      <c r="G5532" t="s">
        <v>110</v>
      </c>
      <c r="H5532">
        <v>91913</v>
      </c>
      <c r="I5532" t="s">
        <v>30</v>
      </c>
      <c r="J5532" t="s">
        <v>41</v>
      </c>
      <c r="K5532" t="s">
        <v>59</v>
      </c>
      <c r="Q5532">
        <v>0</v>
      </c>
      <c r="R5532">
        <v>0</v>
      </c>
      <c r="S5532">
        <v>0</v>
      </c>
    </row>
    <row r="5533" spans="1:20" customFormat="1" ht="15" x14ac:dyDescent="0.25">
      <c r="A5533" t="s">
        <v>35</v>
      </c>
      <c r="B5533" t="s">
        <v>61</v>
      </c>
      <c r="C5533" t="str">
        <f>"A0183911"</f>
        <v>A0183911</v>
      </c>
      <c r="D5533" t="s">
        <v>21900</v>
      </c>
      <c r="E5533" t="s">
        <v>21353</v>
      </c>
      <c r="F5533" t="s">
        <v>1439</v>
      </c>
      <c r="G5533" t="s">
        <v>110</v>
      </c>
      <c r="H5533" t="s">
        <v>21354</v>
      </c>
      <c r="I5533" t="s">
        <v>30</v>
      </c>
      <c r="J5533" t="s">
        <v>41</v>
      </c>
      <c r="K5533" t="s">
        <v>59</v>
      </c>
      <c r="Q5533">
        <v>0</v>
      </c>
      <c r="R5533">
        <v>0</v>
      </c>
      <c r="S5533">
        <v>0</v>
      </c>
      <c r="T5533" t="s">
        <v>21355</v>
      </c>
    </row>
    <row r="5534" spans="1:20" customFormat="1" ht="15" x14ac:dyDescent="0.25">
      <c r="A5534" t="s">
        <v>35</v>
      </c>
      <c r="B5534" t="s">
        <v>15885</v>
      </c>
      <c r="C5534" t="str">
        <f>"A0183910"</f>
        <v>A0183910</v>
      </c>
      <c r="D5534" t="s">
        <v>21901</v>
      </c>
      <c r="E5534" t="s">
        <v>21902</v>
      </c>
      <c r="F5534" t="s">
        <v>8081</v>
      </c>
      <c r="G5534" t="s">
        <v>110</v>
      </c>
      <c r="H5534">
        <v>941096561</v>
      </c>
      <c r="I5534" t="s">
        <v>30</v>
      </c>
      <c r="J5534" t="s">
        <v>41</v>
      </c>
      <c r="K5534" t="s">
        <v>59</v>
      </c>
      <c r="Q5534">
        <v>0</v>
      </c>
      <c r="R5534">
        <v>50</v>
      </c>
      <c r="S5534">
        <v>50</v>
      </c>
      <c r="T5534" t="s">
        <v>21903</v>
      </c>
    </row>
    <row r="5535" spans="1:20" customFormat="1" ht="15" x14ac:dyDescent="0.25">
      <c r="A5535" t="s">
        <v>35</v>
      </c>
      <c r="B5535" t="s">
        <v>61</v>
      </c>
      <c r="C5535" t="str">
        <f>"A0183909"</f>
        <v>A0183909</v>
      </c>
      <c r="D5535" t="s">
        <v>21904</v>
      </c>
      <c r="E5535" t="s">
        <v>834</v>
      </c>
      <c r="F5535" t="s">
        <v>835</v>
      </c>
      <c r="G5535" t="s">
        <v>289</v>
      </c>
      <c r="H5535" t="s">
        <v>21905</v>
      </c>
      <c r="I5535" t="s">
        <v>30</v>
      </c>
      <c r="J5535" t="s">
        <v>41</v>
      </c>
      <c r="K5535" t="s">
        <v>59</v>
      </c>
      <c r="Q5535">
        <v>0</v>
      </c>
      <c r="R5535">
        <v>0</v>
      </c>
      <c r="S5535">
        <v>0</v>
      </c>
      <c r="T5535" t="s">
        <v>836</v>
      </c>
    </row>
    <row r="5536" spans="1:20" customFormat="1" ht="15" x14ac:dyDescent="0.25">
      <c r="A5536" t="s">
        <v>35</v>
      </c>
      <c r="B5536" t="s">
        <v>61</v>
      </c>
      <c r="C5536" t="str">
        <f>"A0183908"</f>
        <v>A0183908</v>
      </c>
      <c r="D5536" t="s">
        <v>21906</v>
      </c>
      <c r="E5536" t="s">
        <v>21907</v>
      </c>
      <c r="F5536" t="s">
        <v>4704</v>
      </c>
      <c r="G5536" t="s">
        <v>289</v>
      </c>
      <c r="H5536">
        <v>60510</v>
      </c>
      <c r="I5536" t="s">
        <v>30</v>
      </c>
      <c r="J5536" t="s">
        <v>41</v>
      </c>
      <c r="K5536" t="s">
        <v>59</v>
      </c>
      <c r="Q5536">
        <v>0</v>
      </c>
      <c r="R5536">
        <v>0</v>
      </c>
      <c r="S5536">
        <v>0</v>
      </c>
    </row>
    <row r="5537" spans="1:20" customFormat="1" ht="15" x14ac:dyDescent="0.25">
      <c r="A5537" t="s">
        <v>35</v>
      </c>
      <c r="B5537" t="s">
        <v>61</v>
      </c>
      <c r="C5537" t="str">
        <f>"A0183907"</f>
        <v>A0183907</v>
      </c>
      <c r="D5537" t="s">
        <v>21908</v>
      </c>
      <c r="E5537" t="s">
        <v>21909</v>
      </c>
      <c r="F5537" t="s">
        <v>21910</v>
      </c>
      <c r="G5537" t="s">
        <v>161</v>
      </c>
      <c r="H5537" t="s">
        <v>21911</v>
      </c>
      <c r="I5537" t="s">
        <v>30</v>
      </c>
      <c r="J5537" t="s">
        <v>41</v>
      </c>
      <c r="K5537" t="s">
        <v>59</v>
      </c>
      <c r="Q5537">
        <v>0</v>
      </c>
      <c r="R5537">
        <v>99</v>
      </c>
      <c r="S5537">
        <v>99</v>
      </c>
      <c r="T5537" t="s">
        <v>21912</v>
      </c>
    </row>
    <row r="5538" spans="1:20" customFormat="1" ht="15" x14ac:dyDescent="0.25">
      <c r="A5538" t="s">
        <v>35</v>
      </c>
      <c r="B5538" t="s">
        <v>61</v>
      </c>
      <c r="C5538" t="str">
        <f>"A0183906"</f>
        <v>A0183906</v>
      </c>
      <c r="D5538" t="s">
        <v>21913</v>
      </c>
      <c r="E5538" t="s">
        <v>21914</v>
      </c>
      <c r="F5538" t="s">
        <v>11476</v>
      </c>
      <c r="G5538" t="s">
        <v>161</v>
      </c>
      <c r="H5538" t="s">
        <v>21915</v>
      </c>
      <c r="I5538" t="s">
        <v>30</v>
      </c>
      <c r="J5538" t="s">
        <v>41</v>
      </c>
      <c r="K5538" t="s">
        <v>59</v>
      </c>
      <c r="Q5538">
        <v>0</v>
      </c>
      <c r="R5538">
        <v>0</v>
      </c>
      <c r="S5538">
        <v>0</v>
      </c>
    </row>
    <row r="5539" spans="1:20" customFormat="1" ht="15" x14ac:dyDescent="0.25">
      <c r="A5539" t="s">
        <v>35</v>
      </c>
      <c r="B5539" t="s">
        <v>61</v>
      </c>
      <c r="C5539" t="str">
        <f>"A0183905"</f>
        <v>A0183905</v>
      </c>
      <c r="D5539" t="s">
        <v>21916</v>
      </c>
      <c r="E5539" t="s">
        <v>21917</v>
      </c>
      <c r="F5539" t="s">
        <v>136</v>
      </c>
      <c r="G5539" t="s">
        <v>161</v>
      </c>
      <c r="H5539" t="s">
        <v>21918</v>
      </c>
      <c r="I5539" t="s">
        <v>30</v>
      </c>
      <c r="J5539" t="s">
        <v>41</v>
      </c>
      <c r="K5539" t="s">
        <v>59</v>
      </c>
      <c r="Q5539">
        <v>0</v>
      </c>
      <c r="R5539">
        <v>0</v>
      </c>
      <c r="S5539">
        <v>0</v>
      </c>
    </row>
    <row r="5540" spans="1:20" customFormat="1" ht="15" x14ac:dyDescent="0.25">
      <c r="A5540" t="s">
        <v>35</v>
      </c>
      <c r="B5540" t="s">
        <v>61</v>
      </c>
      <c r="C5540" t="str">
        <f>"A0183904"</f>
        <v>A0183904</v>
      </c>
      <c r="D5540" t="s">
        <v>21919</v>
      </c>
      <c r="E5540" t="s">
        <v>21920</v>
      </c>
      <c r="F5540" t="s">
        <v>21921</v>
      </c>
      <c r="G5540" t="s">
        <v>161</v>
      </c>
      <c r="H5540">
        <v>559090300</v>
      </c>
      <c r="I5540" t="s">
        <v>30</v>
      </c>
      <c r="J5540" t="s">
        <v>41</v>
      </c>
      <c r="K5540" t="s">
        <v>59</v>
      </c>
      <c r="Q5540">
        <v>0</v>
      </c>
      <c r="R5540">
        <v>66</v>
      </c>
      <c r="S5540">
        <v>66</v>
      </c>
      <c r="T5540" t="s">
        <v>21922</v>
      </c>
    </row>
    <row r="5541" spans="1:20" customFormat="1" ht="15" x14ac:dyDescent="0.25">
      <c r="A5541" t="s">
        <v>35</v>
      </c>
      <c r="B5541" t="s">
        <v>61</v>
      </c>
      <c r="C5541" t="str">
        <f>"A0183903"</f>
        <v>A0183903</v>
      </c>
      <c r="D5541" t="s">
        <v>21923</v>
      </c>
      <c r="E5541" t="s">
        <v>21924</v>
      </c>
      <c r="F5541" t="s">
        <v>19689</v>
      </c>
      <c r="G5541" t="s">
        <v>161</v>
      </c>
      <c r="H5541" t="s">
        <v>21925</v>
      </c>
      <c r="I5541" t="s">
        <v>30</v>
      </c>
      <c r="J5541" t="s">
        <v>41</v>
      </c>
      <c r="K5541" t="s">
        <v>59</v>
      </c>
      <c r="Q5541">
        <v>0</v>
      </c>
      <c r="R5541">
        <v>0</v>
      </c>
      <c r="S5541">
        <v>0</v>
      </c>
      <c r="T5541" t="s">
        <v>21926</v>
      </c>
    </row>
    <row r="5542" spans="1:20" customFormat="1" ht="15" x14ac:dyDescent="0.25">
      <c r="A5542" t="s">
        <v>35</v>
      </c>
      <c r="B5542" t="s">
        <v>61</v>
      </c>
      <c r="C5542" t="str">
        <f>"A0183902"</f>
        <v>A0183902</v>
      </c>
      <c r="D5542" t="s">
        <v>21927</v>
      </c>
      <c r="E5542" t="s">
        <v>21928</v>
      </c>
      <c r="F5542" t="s">
        <v>21929</v>
      </c>
      <c r="G5542" t="s">
        <v>161</v>
      </c>
      <c r="H5542">
        <v>55118</v>
      </c>
      <c r="I5542" t="s">
        <v>30</v>
      </c>
      <c r="J5542" t="s">
        <v>41</v>
      </c>
      <c r="K5542" t="s">
        <v>59</v>
      </c>
      <c r="Q5542">
        <v>0</v>
      </c>
      <c r="R5542">
        <v>0</v>
      </c>
      <c r="S5542">
        <v>0</v>
      </c>
    </row>
    <row r="5543" spans="1:20" customFormat="1" ht="15" x14ac:dyDescent="0.25">
      <c r="A5543" t="s">
        <v>35</v>
      </c>
      <c r="B5543" t="s">
        <v>61</v>
      </c>
      <c r="C5543" t="str">
        <f>"A0183901"</f>
        <v>A0183901</v>
      </c>
      <c r="D5543" t="s">
        <v>21930</v>
      </c>
      <c r="E5543" t="s">
        <v>21931</v>
      </c>
      <c r="F5543" t="s">
        <v>9205</v>
      </c>
      <c r="G5543" t="s">
        <v>289</v>
      </c>
      <c r="H5543">
        <v>61108</v>
      </c>
      <c r="I5543" t="s">
        <v>30</v>
      </c>
      <c r="J5543" t="s">
        <v>41</v>
      </c>
      <c r="K5543" t="s">
        <v>59</v>
      </c>
      <c r="Q5543">
        <v>0</v>
      </c>
      <c r="R5543">
        <v>0</v>
      </c>
      <c r="S5543">
        <v>0</v>
      </c>
    </row>
    <row r="5544" spans="1:20" customFormat="1" ht="15" x14ac:dyDescent="0.25">
      <c r="A5544" t="s">
        <v>35</v>
      </c>
      <c r="B5544" t="s">
        <v>61</v>
      </c>
      <c r="C5544" t="str">
        <f>"A0183900"</f>
        <v>A0183900</v>
      </c>
      <c r="D5544" t="s">
        <v>21932</v>
      </c>
      <c r="E5544" t="s">
        <v>21933</v>
      </c>
      <c r="F5544" t="s">
        <v>21934</v>
      </c>
      <c r="G5544" t="s">
        <v>289</v>
      </c>
      <c r="H5544" t="s">
        <v>21935</v>
      </c>
      <c r="I5544" t="s">
        <v>30</v>
      </c>
      <c r="J5544" t="s">
        <v>41</v>
      </c>
      <c r="K5544" t="s">
        <v>59</v>
      </c>
      <c r="Q5544">
        <v>0</v>
      </c>
      <c r="R5544">
        <v>0</v>
      </c>
      <c r="S5544">
        <v>0</v>
      </c>
      <c r="T5544" t="s">
        <v>21936</v>
      </c>
    </row>
    <row r="5545" spans="1:20" customFormat="1" ht="15" x14ac:dyDescent="0.25">
      <c r="A5545" t="s">
        <v>35</v>
      </c>
      <c r="B5545" t="s">
        <v>61</v>
      </c>
      <c r="C5545" t="str">
        <f>"A0183899"</f>
        <v>A0183899</v>
      </c>
      <c r="D5545" t="s">
        <v>21937</v>
      </c>
      <c r="E5545" t="s">
        <v>21938</v>
      </c>
      <c r="F5545" t="s">
        <v>288</v>
      </c>
      <c r="G5545" t="s">
        <v>289</v>
      </c>
      <c r="H5545" t="s">
        <v>21939</v>
      </c>
      <c r="I5545" t="s">
        <v>30</v>
      </c>
      <c r="J5545" t="s">
        <v>41</v>
      </c>
      <c r="K5545" t="s">
        <v>59</v>
      </c>
      <c r="Q5545">
        <v>0</v>
      </c>
      <c r="R5545">
        <v>0</v>
      </c>
      <c r="S5545">
        <v>0</v>
      </c>
    </row>
    <row r="5546" spans="1:20" customFormat="1" ht="15" x14ac:dyDescent="0.25">
      <c r="A5546" t="s">
        <v>35</v>
      </c>
      <c r="B5546" t="s">
        <v>61</v>
      </c>
      <c r="C5546" t="str">
        <f>"A0183898"</f>
        <v>A0183898</v>
      </c>
      <c r="D5546" t="s">
        <v>12632</v>
      </c>
      <c r="E5546" t="s">
        <v>21940</v>
      </c>
      <c r="F5546" t="s">
        <v>8126</v>
      </c>
      <c r="G5546" t="s">
        <v>925</v>
      </c>
      <c r="H5546">
        <v>660621184</v>
      </c>
      <c r="I5546" t="s">
        <v>30</v>
      </c>
      <c r="J5546" t="s">
        <v>41</v>
      </c>
      <c r="K5546" t="s">
        <v>59</v>
      </c>
      <c r="Q5546">
        <v>0</v>
      </c>
      <c r="R5546">
        <v>0</v>
      </c>
      <c r="S5546">
        <v>0</v>
      </c>
      <c r="T5546" t="s">
        <v>21941</v>
      </c>
    </row>
    <row r="5547" spans="1:20" customFormat="1" ht="15" x14ac:dyDescent="0.25">
      <c r="A5547" t="s">
        <v>35</v>
      </c>
      <c r="B5547" t="s">
        <v>61</v>
      </c>
      <c r="C5547" t="str">
        <f>"A0183897"</f>
        <v>A0183897</v>
      </c>
      <c r="D5547" t="s">
        <v>21942</v>
      </c>
      <c r="E5547" t="s">
        <v>21943</v>
      </c>
      <c r="F5547" t="s">
        <v>2784</v>
      </c>
      <c r="G5547" t="s">
        <v>925</v>
      </c>
      <c r="H5547" t="s">
        <v>21869</v>
      </c>
      <c r="I5547" t="s">
        <v>30</v>
      </c>
      <c r="J5547" t="s">
        <v>41</v>
      </c>
      <c r="K5547" t="s">
        <v>59</v>
      </c>
      <c r="Q5547">
        <v>0</v>
      </c>
      <c r="R5547">
        <v>0</v>
      </c>
      <c r="S5547">
        <v>0</v>
      </c>
    </row>
    <row r="5548" spans="1:20" customFormat="1" ht="15" x14ac:dyDescent="0.25">
      <c r="A5548" t="s">
        <v>35</v>
      </c>
      <c r="B5548" t="s">
        <v>61</v>
      </c>
      <c r="C5548" t="str">
        <f>"A0183896"</f>
        <v>A0183896</v>
      </c>
      <c r="D5548" t="s">
        <v>21944</v>
      </c>
      <c r="E5548" t="s">
        <v>21945</v>
      </c>
      <c r="F5548" t="s">
        <v>21946</v>
      </c>
      <c r="G5548" t="s">
        <v>925</v>
      </c>
      <c r="H5548" t="s">
        <v>21947</v>
      </c>
      <c r="I5548" t="s">
        <v>30</v>
      </c>
      <c r="J5548" t="s">
        <v>41</v>
      </c>
      <c r="K5548" t="s">
        <v>59</v>
      </c>
      <c r="Q5548">
        <v>0</v>
      </c>
      <c r="R5548">
        <v>0</v>
      </c>
      <c r="S5548">
        <v>0</v>
      </c>
    </row>
    <row r="5549" spans="1:20" customFormat="1" ht="15" x14ac:dyDescent="0.25">
      <c r="A5549" t="s">
        <v>35</v>
      </c>
      <c r="B5549" t="s">
        <v>61</v>
      </c>
      <c r="C5549" t="str">
        <f>"A0183895"</f>
        <v>A0183895</v>
      </c>
      <c r="D5549" t="s">
        <v>21948</v>
      </c>
      <c r="E5549" t="s">
        <v>21949</v>
      </c>
      <c r="F5549" t="s">
        <v>4291</v>
      </c>
      <c r="G5549" t="s">
        <v>110</v>
      </c>
      <c r="H5549" t="s">
        <v>21950</v>
      </c>
      <c r="I5549" t="s">
        <v>30</v>
      </c>
      <c r="J5549" t="s">
        <v>41</v>
      </c>
      <c r="K5549" t="s">
        <v>59</v>
      </c>
      <c r="Q5549">
        <v>0</v>
      </c>
      <c r="R5549">
        <v>0</v>
      </c>
      <c r="S5549">
        <v>0</v>
      </c>
      <c r="T5549" t="s">
        <v>21951</v>
      </c>
    </row>
    <row r="5550" spans="1:20" customFormat="1" ht="15" x14ac:dyDescent="0.25">
      <c r="A5550" t="s">
        <v>35</v>
      </c>
      <c r="B5550" t="s">
        <v>61</v>
      </c>
      <c r="C5550" t="str">
        <f>"A0183894"</f>
        <v>A0183894</v>
      </c>
      <c r="D5550" t="s">
        <v>21952</v>
      </c>
      <c r="E5550" t="s">
        <v>21953</v>
      </c>
      <c r="F5550" t="s">
        <v>12489</v>
      </c>
      <c r="G5550" t="s">
        <v>110</v>
      </c>
      <c r="H5550" t="s">
        <v>21954</v>
      </c>
      <c r="I5550" t="s">
        <v>30</v>
      </c>
      <c r="J5550" t="s">
        <v>41</v>
      </c>
      <c r="K5550" t="s">
        <v>59</v>
      </c>
      <c r="Q5550">
        <v>0</v>
      </c>
      <c r="R5550">
        <v>0</v>
      </c>
      <c r="S5550">
        <v>0</v>
      </c>
      <c r="T5550" t="s">
        <v>21955</v>
      </c>
    </row>
    <row r="5551" spans="1:20" customFormat="1" ht="15" x14ac:dyDescent="0.25">
      <c r="A5551" t="s">
        <v>35</v>
      </c>
      <c r="B5551" t="s">
        <v>61</v>
      </c>
      <c r="C5551" t="str">
        <f>"A0183893"</f>
        <v>A0183893</v>
      </c>
      <c r="D5551" t="s">
        <v>21956</v>
      </c>
      <c r="E5551" t="s">
        <v>21957</v>
      </c>
      <c r="F5551" t="s">
        <v>21958</v>
      </c>
      <c r="G5551" t="s">
        <v>110</v>
      </c>
      <c r="H5551">
        <v>949525136</v>
      </c>
      <c r="I5551" t="s">
        <v>30</v>
      </c>
      <c r="J5551" t="s">
        <v>41</v>
      </c>
      <c r="K5551" t="s">
        <v>59</v>
      </c>
      <c r="Q5551">
        <v>0</v>
      </c>
      <c r="R5551">
        <v>0</v>
      </c>
      <c r="S5551">
        <v>0</v>
      </c>
      <c r="T5551" t="s">
        <v>21959</v>
      </c>
    </row>
    <row r="5552" spans="1:20" customFormat="1" ht="15" x14ac:dyDescent="0.25">
      <c r="A5552" t="s">
        <v>35</v>
      </c>
      <c r="B5552" t="s">
        <v>61</v>
      </c>
      <c r="C5552" t="str">
        <f>"A0183892"</f>
        <v>A0183892</v>
      </c>
      <c r="D5552" t="s">
        <v>21960</v>
      </c>
      <c r="E5552" t="s">
        <v>21961</v>
      </c>
      <c r="F5552" t="s">
        <v>19668</v>
      </c>
      <c r="G5552" t="s">
        <v>289</v>
      </c>
      <c r="H5552" t="s">
        <v>21962</v>
      </c>
      <c r="I5552" t="s">
        <v>30</v>
      </c>
      <c r="J5552" t="s">
        <v>41</v>
      </c>
      <c r="K5552" t="s">
        <v>59</v>
      </c>
      <c r="Q5552">
        <v>0</v>
      </c>
      <c r="R5552">
        <v>0</v>
      </c>
      <c r="S5552">
        <v>0</v>
      </c>
      <c r="T5552" t="s">
        <v>21963</v>
      </c>
    </row>
    <row r="5553" spans="1:20" customFormat="1" ht="15" x14ac:dyDescent="0.25">
      <c r="A5553" t="s">
        <v>35</v>
      </c>
      <c r="B5553" t="s">
        <v>61</v>
      </c>
      <c r="C5553" t="str">
        <f>"A0183891"</f>
        <v>A0183891</v>
      </c>
      <c r="D5553" t="s">
        <v>21964</v>
      </c>
      <c r="E5553" t="s">
        <v>21965</v>
      </c>
      <c r="F5553" t="s">
        <v>21966</v>
      </c>
      <c r="G5553" t="s">
        <v>289</v>
      </c>
      <c r="H5553" t="s">
        <v>21967</v>
      </c>
      <c r="I5553" t="s">
        <v>30</v>
      </c>
      <c r="J5553" t="s">
        <v>41</v>
      </c>
      <c r="K5553" t="s">
        <v>59</v>
      </c>
      <c r="Q5553">
        <v>0</v>
      </c>
      <c r="R5553">
        <v>0</v>
      </c>
      <c r="S5553">
        <v>0</v>
      </c>
    </row>
    <row r="5554" spans="1:20" customFormat="1" ht="15" x14ac:dyDescent="0.25">
      <c r="A5554" t="s">
        <v>35</v>
      </c>
      <c r="B5554" t="s">
        <v>61</v>
      </c>
      <c r="C5554" t="str">
        <f>"A0183890"</f>
        <v>A0183890</v>
      </c>
      <c r="D5554" t="s">
        <v>21968</v>
      </c>
      <c r="E5554" t="s">
        <v>21969</v>
      </c>
      <c r="F5554" t="s">
        <v>15431</v>
      </c>
      <c r="G5554" t="s">
        <v>289</v>
      </c>
      <c r="H5554" t="s">
        <v>21970</v>
      </c>
      <c r="I5554" t="s">
        <v>30</v>
      </c>
      <c r="J5554" t="s">
        <v>41</v>
      </c>
      <c r="K5554" t="s">
        <v>59</v>
      </c>
      <c r="Q5554">
        <v>0</v>
      </c>
      <c r="R5554">
        <v>0</v>
      </c>
      <c r="S5554">
        <v>0</v>
      </c>
    </row>
    <row r="5555" spans="1:20" customFormat="1" ht="15" x14ac:dyDescent="0.25">
      <c r="A5555" t="s">
        <v>35</v>
      </c>
      <c r="B5555" t="s">
        <v>61</v>
      </c>
      <c r="C5555" t="str">
        <f>"A0183889"</f>
        <v>A0183889</v>
      </c>
      <c r="D5555" t="s">
        <v>21971</v>
      </c>
      <c r="E5555" t="s">
        <v>21961</v>
      </c>
      <c r="F5555" t="s">
        <v>19668</v>
      </c>
      <c r="G5555" t="s">
        <v>289</v>
      </c>
      <c r="H5555" t="s">
        <v>21962</v>
      </c>
      <c r="I5555" t="s">
        <v>30</v>
      </c>
      <c r="J5555" t="s">
        <v>41</v>
      </c>
      <c r="K5555" t="s">
        <v>59</v>
      </c>
      <c r="Q5555">
        <v>0</v>
      </c>
      <c r="R5555">
        <v>0</v>
      </c>
      <c r="S5555">
        <v>0</v>
      </c>
      <c r="T5555" t="s">
        <v>21963</v>
      </c>
    </row>
    <row r="5556" spans="1:20" customFormat="1" ht="15" x14ac:dyDescent="0.25">
      <c r="A5556" t="s">
        <v>35</v>
      </c>
      <c r="B5556" t="s">
        <v>61</v>
      </c>
      <c r="C5556" t="str">
        <f>"A0183888"</f>
        <v>A0183888</v>
      </c>
      <c r="D5556" t="s">
        <v>21972</v>
      </c>
      <c r="E5556" t="s">
        <v>21973</v>
      </c>
      <c r="F5556" t="s">
        <v>5679</v>
      </c>
      <c r="G5556" t="s">
        <v>289</v>
      </c>
      <c r="H5556" t="s">
        <v>21974</v>
      </c>
      <c r="I5556" t="s">
        <v>30</v>
      </c>
      <c r="J5556" t="s">
        <v>41</v>
      </c>
      <c r="K5556" t="s">
        <v>59</v>
      </c>
      <c r="Q5556">
        <v>0</v>
      </c>
      <c r="R5556">
        <v>0</v>
      </c>
      <c r="S5556">
        <v>0</v>
      </c>
    </row>
    <row r="5557" spans="1:20" customFormat="1" ht="15" x14ac:dyDescent="0.25">
      <c r="A5557" t="s">
        <v>35</v>
      </c>
      <c r="B5557" t="s">
        <v>61</v>
      </c>
      <c r="C5557" t="str">
        <f>"A0183887"</f>
        <v>A0183887</v>
      </c>
      <c r="D5557" t="s">
        <v>21975</v>
      </c>
      <c r="E5557" t="s">
        <v>21976</v>
      </c>
      <c r="F5557" t="s">
        <v>6160</v>
      </c>
      <c r="G5557" t="s">
        <v>289</v>
      </c>
      <c r="H5557" t="s">
        <v>21977</v>
      </c>
      <c r="I5557" t="s">
        <v>30</v>
      </c>
      <c r="J5557" t="s">
        <v>41</v>
      </c>
      <c r="K5557" t="s">
        <v>59</v>
      </c>
      <c r="Q5557">
        <v>0</v>
      </c>
      <c r="R5557">
        <v>291</v>
      </c>
      <c r="S5557">
        <v>291</v>
      </c>
      <c r="T5557" t="s">
        <v>21978</v>
      </c>
    </row>
    <row r="5558" spans="1:20" customFormat="1" ht="15" x14ac:dyDescent="0.25">
      <c r="A5558" t="s">
        <v>35</v>
      </c>
      <c r="B5558" t="s">
        <v>61</v>
      </c>
      <c r="C5558" t="str">
        <f>"A0183886"</f>
        <v>A0183886</v>
      </c>
      <c r="D5558" t="s">
        <v>21979</v>
      </c>
      <c r="E5558" t="s">
        <v>21980</v>
      </c>
      <c r="F5558" t="s">
        <v>288</v>
      </c>
      <c r="G5558" t="s">
        <v>289</v>
      </c>
      <c r="H5558" t="s">
        <v>21981</v>
      </c>
      <c r="I5558" t="s">
        <v>30</v>
      </c>
      <c r="J5558" t="s">
        <v>41</v>
      </c>
      <c r="K5558" t="s">
        <v>59</v>
      </c>
      <c r="Q5558">
        <v>0</v>
      </c>
      <c r="R5558">
        <v>0</v>
      </c>
      <c r="S5558">
        <v>0</v>
      </c>
      <c r="T5558" t="s">
        <v>21982</v>
      </c>
    </row>
    <row r="5559" spans="1:20" customFormat="1" ht="15" x14ac:dyDescent="0.25">
      <c r="A5559" t="s">
        <v>35</v>
      </c>
      <c r="B5559" t="s">
        <v>61</v>
      </c>
      <c r="C5559" t="str">
        <f>"A0183885"</f>
        <v>A0183885</v>
      </c>
      <c r="D5559" t="s">
        <v>21983</v>
      </c>
      <c r="E5559" t="s">
        <v>21984</v>
      </c>
      <c r="F5559" t="s">
        <v>21985</v>
      </c>
      <c r="G5559" t="s">
        <v>289</v>
      </c>
      <c r="H5559" t="s">
        <v>21986</v>
      </c>
      <c r="I5559" t="s">
        <v>30</v>
      </c>
      <c r="J5559" t="s">
        <v>41</v>
      </c>
      <c r="K5559" t="s">
        <v>59</v>
      </c>
      <c r="Q5559">
        <v>0</v>
      </c>
      <c r="R5559">
        <v>0</v>
      </c>
      <c r="S5559">
        <v>0</v>
      </c>
      <c r="T5559" t="s">
        <v>21987</v>
      </c>
    </row>
    <row r="5560" spans="1:20" customFormat="1" ht="15" x14ac:dyDescent="0.25">
      <c r="A5560" t="s">
        <v>35</v>
      </c>
      <c r="B5560" t="s">
        <v>11871</v>
      </c>
      <c r="C5560" t="str">
        <f>"A0183884"</f>
        <v>A0183884</v>
      </c>
      <c r="D5560" t="s">
        <v>21988</v>
      </c>
      <c r="E5560" t="s">
        <v>21989</v>
      </c>
      <c r="F5560" t="s">
        <v>10897</v>
      </c>
      <c r="G5560" t="s">
        <v>433</v>
      </c>
      <c r="H5560">
        <v>838158904</v>
      </c>
      <c r="I5560" t="s">
        <v>30</v>
      </c>
      <c r="J5560" t="s">
        <v>41</v>
      </c>
      <c r="K5560" t="s">
        <v>59</v>
      </c>
      <c r="Q5560">
        <v>0</v>
      </c>
      <c r="R5560">
        <v>0</v>
      </c>
      <c r="S5560">
        <v>0</v>
      </c>
    </row>
    <row r="5561" spans="1:20" customFormat="1" ht="15" x14ac:dyDescent="0.25">
      <c r="A5561" t="s">
        <v>35</v>
      </c>
      <c r="B5561" t="s">
        <v>61</v>
      </c>
      <c r="C5561" t="str">
        <f>"A0183883"</f>
        <v>A0183883</v>
      </c>
      <c r="D5561" t="s">
        <v>21990</v>
      </c>
      <c r="E5561" t="s">
        <v>21991</v>
      </c>
      <c r="F5561" t="s">
        <v>288</v>
      </c>
      <c r="G5561" t="s">
        <v>289</v>
      </c>
      <c r="H5561">
        <v>60634</v>
      </c>
      <c r="I5561" t="s">
        <v>30</v>
      </c>
      <c r="J5561" t="s">
        <v>41</v>
      </c>
      <c r="K5561" t="s">
        <v>59</v>
      </c>
      <c r="Q5561">
        <v>0</v>
      </c>
      <c r="R5561">
        <v>0</v>
      </c>
      <c r="S5561">
        <v>0</v>
      </c>
    </row>
    <row r="5562" spans="1:20" customFormat="1" ht="15" x14ac:dyDescent="0.25">
      <c r="A5562" t="s">
        <v>35</v>
      </c>
      <c r="B5562" t="s">
        <v>61</v>
      </c>
      <c r="C5562" t="str">
        <f>"A0183882"</f>
        <v>A0183882</v>
      </c>
      <c r="D5562" t="s">
        <v>21992</v>
      </c>
      <c r="E5562" t="s">
        <v>21993</v>
      </c>
      <c r="F5562" t="s">
        <v>288</v>
      </c>
      <c r="G5562" t="s">
        <v>289</v>
      </c>
      <c r="H5562" t="s">
        <v>21994</v>
      </c>
      <c r="I5562" t="s">
        <v>30</v>
      </c>
      <c r="J5562" t="s">
        <v>41</v>
      </c>
      <c r="K5562" t="s">
        <v>59</v>
      </c>
      <c r="Q5562">
        <v>0</v>
      </c>
      <c r="R5562">
        <v>0</v>
      </c>
      <c r="S5562">
        <v>0</v>
      </c>
    </row>
    <row r="5563" spans="1:20" customFormat="1" ht="15" x14ac:dyDescent="0.25">
      <c r="A5563" t="s">
        <v>35</v>
      </c>
      <c r="B5563" t="s">
        <v>61</v>
      </c>
      <c r="C5563" t="str">
        <f>"A0183881"</f>
        <v>A0183881</v>
      </c>
      <c r="D5563" t="s">
        <v>21995</v>
      </c>
      <c r="E5563" t="s">
        <v>21996</v>
      </c>
      <c r="F5563" t="s">
        <v>13113</v>
      </c>
      <c r="G5563" t="s">
        <v>289</v>
      </c>
      <c r="H5563" t="s">
        <v>21997</v>
      </c>
      <c r="I5563" t="s">
        <v>30</v>
      </c>
      <c r="J5563" t="s">
        <v>41</v>
      </c>
      <c r="K5563" t="s">
        <v>59</v>
      </c>
      <c r="Q5563">
        <v>0</v>
      </c>
      <c r="R5563">
        <v>0</v>
      </c>
      <c r="S5563">
        <v>0</v>
      </c>
    </row>
    <row r="5564" spans="1:20" customFormat="1" ht="15" x14ac:dyDescent="0.25">
      <c r="A5564" t="s">
        <v>35</v>
      </c>
      <c r="B5564" t="s">
        <v>61</v>
      </c>
      <c r="C5564" t="str">
        <f>"A0183880"</f>
        <v>A0183880</v>
      </c>
      <c r="D5564" t="s">
        <v>21998</v>
      </c>
      <c r="E5564" t="s">
        <v>21999</v>
      </c>
      <c r="F5564" t="s">
        <v>1755</v>
      </c>
      <c r="G5564" t="s">
        <v>289</v>
      </c>
      <c r="H5564">
        <v>62707</v>
      </c>
      <c r="I5564" t="s">
        <v>30</v>
      </c>
      <c r="J5564" t="s">
        <v>41</v>
      </c>
      <c r="K5564" t="s">
        <v>59</v>
      </c>
      <c r="Q5564">
        <v>0</v>
      </c>
      <c r="R5564">
        <v>111</v>
      </c>
      <c r="S5564">
        <v>111</v>
      </c>
      <c r="T5564" t="s">
        <v>22000</v>
      </c>
    </row>
    <row r="5565" spans="1:20" customFormat="1" ht="15" x14ac:dyDescent="0.25">
      <c r="A5565" t="s">
        <v>35</v>
      </c>
      <c r="B5565" t="s">
        <v>20462</v>
      </c>
      <c r="C5565" t="str">
        <f>"A0183879"</f>
        <v>A0183879</v>
      </c>
      <c r="D5565" t="s">
        <v>20462</v>
      </c>
      <c r="E5565" t="s">
        <v>22001</v>
      </c>
      <c r="F5565" t="s">
        <v>8081</v>
      </c>
      <c r="G5565" t="s">
        <v>110</v>
      </c>
      <c r="H5565">
        <v>941096567</v>
      </c>
      <c r="I5565" t="s">
        <v>30</v>
      </c>
      <c r="J5565" t="s">
        <v>41</v>
      </c>
      <c r="K5565" t="s">
        <v>59</v>
      </c>
      <c r="Q5565">
        <v>0</v>
      </c>
      <c r="R5565">
        <v>0</v>
      </c>
      <c r="S5565">
        <v>0</v>
      </c>
      <c r="T5565" t="s">
        <v>22002</v>
      </c>
    </row>
    <row r="5566" spans="1:20" customFormat="1" ht="15" x14ac:dyDescent="0.25">
      <c r="A5566" t="s">
        <v>35</v>
      </c>
      <c r="B5566" t="s">
        <v>61</v>
      </c>
      <c r="C5566" t="str">
        <f>"A0183878"</f>
        <v>A0183878</v>
      </c>
      <c r="D5566" t="s">
        <v>22003</v>
      </c>
      <c r="E5566" t="s">
        <v>22004</v>
      </c>
      <c r="F5566" t="s">
        <v>9128</v>
      </c>
      <c r="G5566" t="s">
        <v>110</v>
      </c>
      <c r="H5566">
        <v>946072056</v>
      </c>
      <c r="I5566" t="s">
        <v>30</v>
      </c>
      <c r="J5566" t="s">
        <v>41</v>
      </c>
      <c r="K5566" t="s">
        <v>59</v>
      </c>
      <c r="Q5566">
        <v>0</v>
      </c>
      <c r="R5566">
        <v>0</v>
      </c>
      <c r="S5566">
        <v>0</v>
      </c>
      <c r="T5566" t="s">
        <v>22005</v>
      </c>
    </row>
    <row r="5567" spans="1:20" customFormat="1" ht="15" x14ac:dyDescent="0.25">
      <c r="A5567" t="s">
        <v>35</v>
      </c>
      <c r="B5567" t="s">
        <v>61</v>
      </c>
      <c r="C5567" t="str">
        <f>"A0183877"</f>
        <v>A0183877</v>
      </c>
      <c r="D5567" t="s">
        <v>22006</v>
      </c>
      <c r="E5567" t="s">
        <v>22007</v>
      </c>
      <c r="F5567" t="s">
        <v>21128</v>
      </c>
      <c r="G5567" t="s">
        <v>289</v>
      </c>
      <c r="H5567">
        <v>61081</v>
      </c>
      <c r="I5567" t="s">
        <v>30</v>
      </c>
      <c r="J5567" t="s">
        <v>41</v>
      </c>
      <c r="K5567" t="s">
        <v>59</v>
      </c>
      <c r="Q5567">
        <v>0</v>
      </c>
      <c r="R5567">
        <v>0</v>
      </c>
      <c r="S5567">
        <v>0</v>
      </c>
    </row>
    <row r="5568" spans="1:20" customFormat="1" ht="15" x14ac:dyDescent="0.25">
      <c r="A5568" t="s">
        <v>35</v>
      </c>
      <c r="B5568" t="s">
        <v>61</v>
      </c>
      <c r="C5568" t="str">
        <f>"A0183876"</f>
        <v>A0183876</v>
      </c>
      <c r="D5568" t="s">
        <v>22008</v>
      </c>
      <c r="E5568" t="s">
        <v>22009</v>
      </c>
      <c r="F5568" t="s">
        <v>15527</v>
      </c>
      <c r="G5568" t="s">
        <v>289</v>
      </c>
      <c r="H5568" t="s">
        <v>22010</v>
      </c>
      <c r="I5568" t="s">
        <v>30</v>
      </c>
      <c r="J5568" t="s">
        <v>41</v>
      </c>
      <c r="K5568" t="s">
        <v>59</v>
      </c>
      <c r="Q5568">
        <v>0</v>
      </c>
      <c r="R5568">
        <v>0</v>
      </c>
      <c r="S5568">
        <v>0</v>
      </c>
    </row>
    <row r="5569" spans="1:20" customFormat="1" ht="15" x14ac:dyDescent="0.25">
      <c r="A5569" t="s">
        <v>35</v>
      </c>
      <c r="B5569" t="s">
        <v>61</v>
      </c>
      <c r="C5569" t="str">
        <f>"A0183875"</f>
        <v>A0183875</v>
      </c>
      <c r="D5569" t="s">
        <v>22011</v>
      </c>
      <c r="E5569" t="s">
        <v>22012</v>
      </c>
      <c r="F5569" t="s">
        <v>2219</v>
      </c>
      <c r="G5569" t="s">
        <v>289</v>
      </c>
      <c r="H5569" t="s">
        <v>22013</v>
      </c>
      <c r="I5569" t="s">
        <v>30</v>
      </c>
      <c r="J5569" t="s">
        <v>41</v>
      </c>
      <c r="K5569" t="s">
        <v>59</v>
      </c>
      <c r="Q5569">
        <v>0</v>
      </c>
      <c r="R5569">
        <v>0</v>
      </c>
      <c r="S5569">
        <v>0</v>
      </c>
    </row>
    <row r="5570" spans="1:20" customFormat="1" ht="15" x14ac:dyDescent="0.25">
      <c r="A5570" t="s">
        <v>35</v>
      </c>
      <c r="B5570" t="s">
        <v>61</v>
      </c>
      <c r="C5570" t="str">
        <f>"A0183874"</f>
        <v>A0183874</v>
      </c>
      <c r="D5570" t="s">
        <v>22014</v>
      </c>
      <c r="E5570" t="s">
        <v>22015</v>
      </c>
      <c r="F5570" t="s">
        <v>13113</v>
      </c>
      <c r="G5570" t="s">
        <v>289</v>
      </c>
      <c r="H5570" t="s">
        <v>22016</v>
      </c>
      <c r="I5570" t="s">
        <v>30</v>
      </c>
      <c r="J5570" t="s">
        <v>41</v>
      </c>
      <c r="K5570" t="s">
        <v>59</v>
      </c>
      <c r="Q5570">
        <v>0</v>
      </c>
      <c r="R5570">
        <v>0</v>
      </c>
      <c r="S5570">
        <v>0</v>
      </c>
    </row>
    <row r="5571" spans="1:20" customFormat="1" ht="15" x14ac:dyDescent="0.25">
      <c r="A5571" t="s">
        <v>35</v>
      </c>
      <c r="B5571" t="s">
        <v>61</v>
      </c>
      <c r="C5571" t="str">
        <f>"A0183873"</f>
        <v>A0183873</v>
      </c>
      <c r="D5571" t="s">
        <v>22017</v>
      </c>
      <c r="E5571" t="s">
        <v>22018</v>
      </c>
      <c r="F5571" t="s">
        <v>15431</v>
      </c>
      <c r="G5571" t="s">
        <v>289</v>
      </c>
      <c r="H5571" t="s">
        <v>22019</v>
      </c>
      <c r="I5571" t="s">
        <v>30</v>
      </c>
      <c r="J5571" t="s">
        <v>41</v>
      </c>
      <c r="K5571" t="s">
        <v>59</v>
      </c>
      <c r="Q5571">
        <v>0</v>
      </c>
      <c r="R5571">
        <v>0</v>
      </c>
      <c r="S5571">
        <v>0</v>
      </c>
    </row>
    <row r="5572" spans="1:20" customFormat="1" ht="15" x14ac:dyDescent="0.25">
      <c r="A5572" t="s">
        <v>35</v>
      </c>
      <c r="B5572" t="s">
        <v>61</v>
      </c>
      <c r="C5572" t="str">
        <f>"A0183872"</f>
        <v>A0183872</v>
      </c>
      <c r="D5572" t="s">
        <v>22020</v>
      </c>
      <c r="E5572" t="s">
        <v>22021</v>
      </c>
      <c r="F5572" t="s">
        <v>20275</v>
      </c>
      <c r="G5572" t="s">
        <v>110</v>
      </c>
      <c r="H5572">
        <v>94704</v>
      </c>
      <c r="I5572" t="s">
        <v>30</v>
      </c>
      <c r="J5572" t="s">
        <v>41</v>
      </c>
      <c r="K5572" t="s">
        <v>59</v>
      </c>
      <c r="Q5572">
        <v>0</v>
      </c>
      <c r="R5572">
        <v>0</v>
      </c>
      <c r="S5572">
        <v>0</v>
      </c>
    </row>
    <row r="5573" spans="1:20" customFormat="1" ht="15" x14ac:dyDescent="0.25">
      <c r="A5573" t="s">
        <v>35</v>
      </c>
      <c r="B5573" t="s">
        <v>61</v>
      </c>
      <c r="C5573" t="str">
        <f>"A0183871"</f>
        <v>A0183871</v>
      </c>
      <c r="D5573" t="s">
        <v>22022</v>
      </c>
      <c r="E5573" t="s">
        <v>22023</v>
      </c>
      <c r="F5573" t="s">
        <v>20275</v>
      </c>
      <c r="G5573" t="s">
        <v>110</v>
      </c>
      <c r="H5573">
        <v>947051931</v>
      </c>
      <c r="I5573" t="s">
        <v>30</v>
      </c>
      <c r="J5573" t="s">
        <v>41</v>
      </c>
      <c r="K5573" t="s">
        <v>59</v>
      </c>
      <c r="Q5573">
        <v>0</v>
      </c>
      <c r="R5573">
        <v>0</v>
      </c>
      <c r="S5573">
        <v>0</v>
      </c>
    </row>
    <row r="5574" spans="1:20" customFormat="1" ht="15" x14ac:dyDescent="0.25">
      <c r="A5574" t="s">
        <v>35</v>
      </c>
      <c r="B5574" t="s">
        <v>61</v>
      </c>
      <c r="C5574" t="str">
        <f>"A0183870"</f>
        <v>A0183870</v>
      </c>
      <c r="D5574" t="s">
        <v>22024</v>
      </c>
      <c r="E5574" t="s">
        <v>22025</v>
      </c>
      <c r="F5574" t="s">
        <v>8047</v>
      </c>
      <c r="G5574" t="s">
        <v>110</v>
      </c>
      <c r="H5574" t="s">
        <v>22026</v>
      </c>
      <c r="I5574" t="s">
        <v>30</v>
      </c>
      <c r="J5574" t="s">
        <v>41</v>
      </c>
      <c r="K5574" t="s">
        <v>59</v>
      </c>
      <c r="Q5574">
        <v>0</v>
      </c>
      <c r="R5574">
        <v>0</v>
      </c>
      <c r="S5574">
        <v>0</v>
      </c>
      <c r="T5574" t="s">
        <v>22027</v>
      </c>
    </row>
    <row r="5575" spans="1:20" customFormat="1" ht="15" x14ac:dyDescent="0.25">
      <c r="A5575" t="s">
        <v>35</v>
      </c>
      <c r="B5575" t="s">
        <v>61</v>
      </c>
      <c r="C5575" t="str">
        <f>"A0183869"</f>
        <v>A0183869</v>
      </c>
      <c r="D5575" t="s">
        <v>22028</v>
      </c>
      <c r="E5575" t="s">
        <v>22029</v>
      </c>
      <c r="F5575" t="s">
        <v>9128</v>
      </c>
      <c r="G5575" t="s">
        <v>110</v>
      </c>
      <c r="H5575">
        <v>946065003</v>
      </c>
      <c r="I5575" t="s">
        <v>30</v>
      </c>
      <c r="J5575" t="s">
        <v>41</v>
      </c>
      <c r="K5575" t="s">
        <v>59</v>
      </c>
      <c r="Q5575">
        <v>0</v>
      </c>
      <c r="R5575">
        <v>0</v>
      </c>
      <c r="S5575">
        <v>0</v>
      </c>
    </row>
    <row r="5576" spans="1:20" customFormat="1" ht="15" x14ac:dyDescent="0.25">
      <c r="A5576" t="s">
        <v>35</v>
      </c>
      <c r="B5576" t="s">
        <v>61</v>
      </c>
      <c r="C5576" t="str">
        <f>"A0183868"</f>
        <v>A0183868</v>
      </c>
      <c r="D5576" t="s">
        <v>22030</v>
      </c>
      <c r="E5576" t="s">
        <v>22031</v>
      </c>
      <c r="F5576" t="s">
        <v>9836</v>
      </c>
      <c r="G5576" t="s">
        <v>110</v>
      </c>
      <c r="H5576" t="s">
        <v>22032</v>
      </c>
      <c r="I5576" t="s">
        <v>30</v>
      </c>
      <c r="J5576" t="s">
        <v>41</v>
      </c>
      <c r="K5576" t="s">
        <v>59</v>
      </c>
      <c r="Q5576">
        <v>0</v>
      </c>
      <c r="R5576">
        <v>0</v>
      </c>
      <c r="S5576">
        <v>0</v>
      </c>
      <c r="T5576" t="s">
        <v>22033</v>
      </c>
    </row>
    <row r="5577" spans="1:20" customFormat="1" ht="15" x14ac:dyDescent="0.25">
      <c r="A5577" t="s">
        <v>35</v>
      </c>
      <c r="B5577" t="s">
        <v>61</v>
      </c>
      <c r="C5577" t="str">
        <f>"A0183867"</f>
        <v>A0183867</v>
      </c>
      <c r="D5577" t="s">
        <v>22034</v>
      </c>
      <c r="E5577" t="s">
        <v>22035</v>
      </c>
      <c r="F5577" t="s">
        <v>3009</v>
      </c>
      <c r="G5577" t="s">
        <v>110</v>
      </c>
      <c r="H5577">
        <v>93536</v>
      </c>
      <c r="I5577" t="s">
        <v>30</v>
      </c>
      <c r="J5577" t="s">
        <v>41</v>
      </c>
      <c r="K5577" t="s">
        <v>59</v>
      </c>
      <c r="Q5577">
        <v>0</v>
      </c>
      <c r="R5577">
        <v>0</v>
      </c>
      <c r="S5577">
        <v>0</v>
      </c>
      <c r="T5577" t="s">
        <v>22036</v>
      </c>
    </row>
    <row r="5578" spans="1:20" customFormat="1" ht="15" x14ac:dyDescent="0.25">
      <c r="A5578" t="s">
        <v>35</v>
      </c>
      <c r="B5578" t="s">
        <v>61</v>
      </c>
      <c r="C5578" t="str">
        <f>"A0183866"</f>
        <v>A0183866</v>
      </c>
      <c r="D5578" t="s">
        <v>22037</v>
      </c>
      <c r="E5578" t="s">
        <v>22038</v>
      </c>
      <c r="F5578" t="s">
        <v>2784</v>
      </c>
      <c r="G5578" t="s">
        <v>925</v>
      </c>
      <c r="H5578" t="s">
        <v>22039</v>
      </c>
      <c r="I5578" t="s">
        <v>30</v>
      </c>
      <c r="J5578" t="s">
        <v>41</v>
      </c>
      <c r="K5578" t="s">
        <v>59</v>
      </c>
      <c r="Q5578">
        <v>0</v>
      </c>
      <c r="R5578">
        <v>0</v>
      </c>
      <c r="S5578">
        <v>0</v>
      </c>
    </row>
    <row r="5579" spans="1:20" customFormat="1" ht="15" x14ac:dyDescent="0.25">
      <c r="A5579" t="s">
        <v>35</v>
      </c>
      <c r="B5579" t="s">
        <v>61</v>
      </c>
      <c r="C5579" t="str">
        <f>"A0183865"</f>
        <v>A0183865</v>
      </c>
      <c r="D5579" t="s">
        <v>22040</v>
      </c>
      <c r="E5579" t="s">
        <v>22041</v>
      </c>
      <c r="F5579" t="s">
        <v>7362</v>
      </c>
      <c r="G5579" t="s">
        <v>110</v>
      </c>
      <c r="H5579" t="s">
        <v>22042</v>
      </c>
      <c r="I5579" t="s">
        <v>30</v>
      </c>
      <c r="J5579" t="s">
        <v>41</v>
      </c>
      <c r="K5579" t="s">
        <v>59</v>
      </c>
      <c r="Q5579">
        <v>0</v>
      </c>
      <c r="R5579">
        <v>0</v>
      </c>
      <c r="S5579">
        <v>0</v>
      </c>
      <c r="T5579" t="s">
        <v>22043</v>
      </c>
    </row>
    <row r="5580" spans="1:20" customFormat="1" ht="15" x14ac:dyDescent="0.25">
      <c r="A5580" t="s">
        <v>35</v>
      </c>
      <c r="B5580" t="s">
        <v>61</v>
      </c>
      <c r="C5580" t="str">
        <f>"A0183864"</f>
        <v>A0183864</v>
      </c>
      <c r="D5580" t="s">
        <v>22044</v>
      </c>
      <c r="E5580" t="s">
        <v>22045</v>
      </c>
      <c r="F5580" t="s">
        <v>22046</v>
      </c>
      <c r="G5580" t="s">
        <v>110</v>
      </c>
      <c r="H5580" t="s">
        <v>22047</v>
      </c>
      <c r="I5580" t="s">
        <v>30</v>
      </c>
      <c r="J5580" t="s">
        <v>41</v>
      </c>
      <c r="K5580" t="s">
        <v>59</v>
      </c>
      <c r="Q5580">
        <v>0</v>
      </c>
      <c r="R5580">
        <v>64</v>
      </c>
      <c r="S5580">
        <v>64</v>
      </c>
      <c r="T5580" t="s">
        <v>22048</v>
      </c>
    </row>
    <row r="5581" spans="1:20" customFormat="1" ht="15" x14ac:dyDescent="0.25">
      <c r="A5581" t="s">
        <v>35</v>
      </c>
      <c r="B5581" t="s">
        <v>61</v>
      </c>
      <c r="C5581" t="str">
        <f>"A0183863"</f>
        <v>A0183863</v>
      </c>
      <c r="D5581" t="s">
        <v>22049</v>
      </c>
      <c r="E5581" t="s">
        <v>22050</v>
      </c>
      <c r="F5581" t="s">
        <v>598</v>
      </c>
      <c r="G5581" t="s">
        <v>338</v>
      </c>
      <c r="H5581">
        <v>7060</v>
      </c>
      <c r="I5581" t="s">
        <v>30</v>
      </c>
      <c r="J5581" t="s">
        <v>41</v>
      </c>
      <c r="K5581" t="s">
        <v>59</v>
      </c>
      <c r="Q5581">
        <v>0</v>
      </c>
      <c r="R5581">
        <v>0</v>
      </c>
      <c r="S5581">
        <v>0</v>
      </c>
      <c r="T5581" t="s">
        <v>22051</v>
      </c>
    </row>
    <row r="5582" spans="1:20" customFormat="1" ht="15" x14ac:dyDescent="0.25">
      <c r="A5582" t="s">
        <v>35</v>
      </c>
      <c r="B5582" t="s">
        <v>61</v>
      </c>
      <c r="C5582" t="str">
        <f>"A0183862"</f>
        <v>A0183862</v>
      </c>
      <c r="D5582" t="s">
        <v>22052</v>
      </c>
      <c r="E5582" t="s">
        <v>22053</v>
      </c>
      <c r="F5582" t="s">
        <v>485</v>
      </c>
      <c r="G5582" t="s">
        <v>338</v>
      </c>
      <c r="H5582">
        <v>8753</v>
      </c>
      <c r="I5582" t="s">
        <v>30</v>
      </c>
      <c r="J5582" t="s">
        <v>41</v>
      </c>
      <c r="K5582" t="s">
        <v>59</v>
      </c>
      <c r="Q5582">
        <v>0</v>
      </c>
      <c r="R5582">
        <v>0</v>
      </c>
      <c r="S5582">
        <v>0</v>
      </c>
    </row>
    <row r="5583" spans="1:20" customFormat="1" ht="15" x14ac:dyDescent="0.25">
      <c r="A5583" t="s">
        <v>35</v>
      </c>
      <c r="B5583" t="s">
        <v>61</v>
      </c>
      <c r="C5583" t="str">
        <f>"A0183861"</f>
        <v>A0183861</v>
      </c>
      <c r="D5583" t="s">
        <v>22054</v>
      </c>
      <c r="E5583" t="s">
        <v>22055</v>
      </c>
      <c r="F5583" t="s">
        <v>4693</v>
      </c>
      <c r="G5583" t="s">
        <v>338</v>
      </c>
      <c r="H5583">
        <v>7405</v>
      </c>
      <c r="I5583" t="s">
        <v>30</v>
      </c>
      <c r="J5583" t="s">
        <v>41</v>
      </c>
      <c r="K5583" t="s">
        <v>59</v>
      </c>
      <c r="Q5583">
        <v>0</v>
      </c>
      <c r="R5583">
        <v>0</v>
      </c>
      <c r="S5583">
        <v>0</v>
      </c>
      <c r="T5583" t="s">
        <v>22056</v>
      </c>
    </row>
    <row r="5584" spans="1:20" customFormat="1" ht="15" x14ac:dyDescent="0.25">
      <c r="A5584" t="s">
        <v>35</v>
      </c>
      <c r="B5584" t="s">
        <v>61</v>
      </c>
      <c r="C5584" t="str">
        <f>"A0183860"</f>
        <v>A0183860</v>
      </c>
      <c r="D5584" t="s">
        <v>22057</v>
      </c>
      <c r="E5584" t="s">
        <v>22058</v>
      </c>
      <c r="F5584" t="s">
        <v>10272</v>
      </c>
      <c r="G5584" t="s">
        <v>338</v>
      </c>
      <c r="H5584" t="s">
        <v>22059</v>
      </c>
      <c r="I5584" t="s">
        <v>30</v>
      </c>
      <c r="J5584" t="s">
        <v>41</v>
      </c>
      <c r="K5584" t="s">
        <v>59</v>
      </c>
      <c r="Q5584">
        <v>0</v>
      </c>
      <c r="R5584">
        <v>0</v>
      </c>
      <c r="S5584">
        <v>0</v>
      </c>
      <c r="T5584" t="s">
        <v>22060</v>
      </c>
    </row>
    <row r="5585" spans="1:20" customFormat="1" ht="15" x14ac:dyDescent="0.25">
      <c r="A5585" t="s">
        <v>35</v>
      </c>
      <c r="B5585" t="s">
        <v>61</v>
      </c>
      <c r="C5585" t="str">
        <f>"A0183859"</f>
        <v>A0183859</v>
      </c>
      <c r="D5585" t="s">
        <v>22061</v>
      </c>
      <c r="E5585" t="s">
        <v>22062</v>
      </c>
      <c r="F5585" t="s">
        <v>22063</v>
      </c>
      <c r="G5585" t="s">
        <v>925</v>
      </c>
      <c r="H5585" t="s">
        <v>22064</v>
      </c>
      <c r="I5585" t="s">
        <v>30</v>
      </c>
      <c r="J5585" t="s">
        <v>41</v>
      </c>
      <c r="K5585" t="s">
        <v>59</v>
      </c>
      <c r="Q5585">
        <v>0</v>
      </c>
      <c r="R5585">
        <v>50</v>
      </c>
      <c r="S5585">
        <v>50</v>
      </c>
      <c r="T5585" t="s">
        <v>22065</v>
      </c>
    </row>
    <row r="5586" spans="1:20" customFormat="1" ht="15" x14ac:dyDescent="0.25">
      <c r="A5586" t="s">
        <v>35</v>
      </c>
      <c r="B5586" t="s">
        <v>61</v>
      </c>
      <c r="C5586" t="str">
        <f>"A0183858"</f>
        <v>A0183858</v>
      </c>
      <c r="D5586" t="s">
        <v>22066</v>
      </c>
      <c r="E5586" t="s">
        <v>22067</v>
      </c>
      <c r="F5586" t="s">
        <v>13068</v>
      </c>
      <c r="G5586" t="s">
        <v>925</v>
      </c>
      <c r="H5586" t="s">
        <v>22068</v>
      </c>
      <c r="I5586" t="s">
        <v>30</v>
      </c>
      <c r="J5586" t="s">
        <v>41</v>
      </c>
      <c r="K5586" t="s">
        <v>59</v>
      </c>
      <c r="Q5586">
        <v>0</v>
      </c>
      <c r="R5586">
        <v>0</v>
      </c>
      <c r="S5586">
        <v>0</v>
      </c>
    </row>
    <row r="5587" spans="1:20" customFormat="1" ht="15" x14ac:dyDescent="0.25">
      <c r="A5587" t="s">
        <v>35</v>
      </c>
      <c r="B5587" t="s">
        <v>61</v>
      </c>
      <c r="C5587" t="str">
        <f>"A0183857"</f>
        <v>A0183857</v>
      </c>
      <c r="D5587" t="s">
        <v>7784</v>
      </c>
      <c r="E5587" t="s">
        <v>22069</v>
      </c>
      <c r="F5587" t="s">
        <v>22070</v>
      </c>
      <c r="G5587" t="s">
        <v>289</v>
      </c>
      <c r="H5587" t="s">
        <v>22071</v>
      </c>
      <c r="I5587" t="s">
        <v>30</v>
      </c>
      <c r="J5587" t="s">
        <v>41</v>
      </c>
      <c r="K5587" t="s">
        <v>59</v>
      </c>
      <c r="Q5587">
        <v>0</v>
      </c>
      <c r="R5587">
        <v>0</v>
      </c>
      <c r="S5587">
        <v>0</v>
      </c>
    </row>
    <row r="5588" spans="1:20" customFormat="1" ht="15" x14ac:dyDescent="0.25">
      <c r="A5588" t="s">
        <v>35</v>
      </c>
      <c r="B5588" t="s">
        <v>61</v>
      </c>
      <c r="C5588" t="str">
        <f>"A0183856"</f>
        <v>A0183856</v>
      </c>
      <c r="D5588" t="s">
        <v>2770</v>
      </c>
      <c r="E5588" t="s">
        <v>22072</v>
      </c>
      <c r="F5588" t="s">
        <v>2770</v>
      </c>
      <c r="G5588" t="s">
        <v>289</v>
      </c>
      <c r="H5588" t="s">
        <v>22073</v>
      </c>
      <c r="I5588" t="s">
        <v>30</v>
      </c>
      <c r="J5588" t="s">
        <v>41</v>
      </c>
      <c r="K5588" t="s">
        <v>59</v>
      </c>
      <c r="Q5588">
        <v>0</v>
      </c>
      <c r="R5588">
        <v>0</v>
      </c>
      <c r="S5588">
        <v>0</v>
      </c>
    </row>
    <row r="5589" spans="1:20" customFormat="1" ht="15" x14ac:dyDescent="0.25">
      <c r="A5589" t="s">
        <v>35</v>
      </c>
      <c r="B5589" t="s">
        <v>61</v>
      </c>
      <c r="C5589" t="str">
        <f>"A0183854"</f>
        <v>A0183854</v>
      </c>
      <c r="D5589" t="s">
        <v>9923</v>
      </c>
      <c r="E5589" t="s">
        <v>22074</v>
      </c>
      <c r="F5589" t="s">
        <v>9923</v>
      </c>
      <c r="G5589" t="s">
        <v>289</v>
      </c>
      <c r="H5589" t="s">
        <v>22075</v>
      </c>
      <c r="I5589" t="s">
        <v>30</v>
      </c>
      <c r="J5589" t="s">
        <v>41</v>
      </c>
      <c r="K5589" t="s">
        <v>59</v>
      </c>
      <c r="Q5589">
        <v>0</v>
      </c>
      <c r="R5589">
        <v>0</v>
      </c>
      <c r="S5589">
        <v>0</v>
      </c>
    </row>
    <row r="5590" spans="1:20" customFormat="1" ht="15" x14ac:dyDescent="0.25">
      <c r="A5590" t="s">
        <v>35</v>
      </c>
      <c r="B5590" t="s">
        <v>61</v>
      </c>
      <c r="C5590" t="str">
        <f>"A0183853"</f>
        <v>A0183853</v>
      </c>
      <c r="D5590" t="s">
        <v>15431</v>
      </c>
      <c r="E5590" t="s">
        <v>22076</v>
      </c>
      <c r="F5590" t="s">
        <v>15431</v>
      </c>
      <c r="G5590" t="s">
        <v>289</v>
      </c>
      <c r="H5590" t="s">
        <v>22077</v>
      </c>
      <c r="I5590" t="s">
        <v>30</v>
      </c>
      <c r="J5590" t="s">
        <v>41</v>
      </c>
      <c r="K5590" t="s">
        <v>59</v>
      </c>
      <c r="Q5590">
        <v>0</v>
      </c>
      <c r="R5590">
        <v>0</v>
      </c>
      <c r="S5590">
        <v>0</v>
      </c>
    </row>
    <row r="5591" spans="1:20" customFormat="1" ht="15" x14ac:dyDescent="0.25">
      <c r="A5591" t="s">
        <v>35</v>
      </c>
      <c r="B5591" t="s">
        <v>61</v>
      </c>
      <c r="C5591" t="str">
        <f>"A0183852"</f>
        <v>A0183852</v>
      </c>
      <c r="D5591" t="s">
        <v>22078</v>
      </c>
      <c r="E5591" t="s">
        <v>22079</v>
      </c>
      <c r="F5591" t="s">
        <v>288</v>
      </c>
      <c r="G5591" t="s">
        <v>289</v>
      </c>
      <c r="H5591" t="s">
        <v>22080</v>
      </c>
      <c r="I5591" t="s">
        <v>30</v>
      </c>
      <c r="J5591" t="s">
        <v>41</v>
      </c>
      <c r="K5591" t="s">
        <v>59</v>
      </c>
      <c r="Q5591">
        <v>0</v>
      </c>
      <c r="R5591">
        <v>0</v>
      </c>
      <c r="S5591">
        <v>0</v>
      </c>
      <c r="T5591" t="s">
        <v>22081</v>
      </c>
    </row>
    <row r="5592" spans="1:20" customFormat="1" ht="15" x14ac:dyDescent="0.25">
      <c r="A5592" t="s">
        <v>35</v>
      </c>
      <c r="B5592" t="s">
        <v>61</v>
      </c>
      <c r="C5592" t="str">
        <f>"A0183851"</f>
        <v>A0183851</v>
      </c>
      <c r="D5592" t="s">
        <v>22082</v>
      </c>
      <c r="E5592" t="s">
        <v>22083</v>
      </c>
      <c r="F5592" t="s">
        <v>21574</v>
      </c>
      <c r="G5592" t="s">
        <v>52</v>
      </c>
      <c r="H5592" t="s">
        <v>22084</v>
      </c>
      <c r="I5592" t="s">
        <v>30</v>
      </c>
      <c r="J5592" t="s">
        <v>41</v>
      </c>
      <c r="K5592" t="s">
        <v>59</v>
      </c>
      <c r="Q5592">
        <v>0</v>
      </c>
      <c r="R5592">
        <v>0</v>
      </c>
      <c r="S5592">
        <v>0</v>
      </c>
    </row>
    <row r="5593" spans="1:20" customFormat="1" ht="15" x14ac:dyDescent="0.25">
      <c r="A5593" t="s">
        <v>35</v>
      </c>
      <c r="B5593" t="s">
        <v>61</v>
      </c>
      <c r="C5593" t="str">
        <f>"A0183850"</f>
        <v>A0183850</v>
      </c>
      <c r="D5593" t="s">
        <v>22085</v>
      </c>
      <c r="E5593" t="s">
        <v>19241</v>
      </c>
      <c r="F5593" t="s">
        <v>7638</v>
      </c>
      <c r="G5593" t="s">
        <v>52</v>
      </c>
      <c r="H5593" t="s">
        <v>22086</v>
      </c>
      <c r="I5593" t="s">
        <v>30</v>
      </c>
      <c r="J5593" t="s">
        <v>41</v>
      </c>
      <c r="K5593" t="s">
        <v>59</v>
      </c>
      <c r="Q5593">
        <v>0</v>
      </c>
      <c r="R5593">
        <v>0</v>
      </c>
      <c r="S5593">
        <v>0</v>
      </c>
    </row>
    <row r="5594" spans="1:20" customFormat="1" ht="15" x14ac:dyDescent="0.25">
      <c r="A5594" t="s">
        <v>35</v>
      </c>
      <c r="B5594" t="s">
        <v>61</v>
      </c>
      <c r="C5594" t="str">
        <f>"A0183848"</f>
        <v>A0183848</v>
      </c>
      <c r="D5594" t="s">
        <v>22087</v>
      </c>
      <c r="E5594" t="s">
        <v>22088</v>
      </c>
      <c r="F5594" t="s">
        <v>21033</v>
      </c>
      <c r="G5594" t="s">
        <v>289</v>
      </c>
      <c r="H5594" t="s">
        <v>22089</v>
      </c>
      <c r="I5594" t="s">
        <v>30</v>
      </c>
      <c r="J5594" t="s">
        <v>41</v>
      </c>
      <c r="K5594" t="s">
        <v>59</v>
      </c>
      <c r="Q5594">
        <v>0</v>
      </c>
      <c r="R5594">
        <v>0</v>
      </c>
      <c r="S5594">
        <v>0</v>
      </c>
    </row>
    <row r="5595" spans="1:20" customFormat="1" ht="15" x14ac:dyDescent="0.25">
      <c r="A5595" t="s">
        <v>35</v>
      </c>
      <c r="B5595" t="s">
        <v>61</v>
      </c>
      <c r="C5595" t="str">
        <f>"A0183847"</f>
        <v>A0183847</v>
      </c>
      <c r="D5595" t="s">
        <v>22090</v>
      </c>
      <c r="E5595" t="s">
        <v>22091</v>
      </c>
      <c r="F5595" t="s">
        <v>22092</v>
      </c>
      <c r="G5595" t="s">
        <v>925</v>
      </c>
      <c r="H5595">
        <v>67870</v>
      </c>
      <c r="I5595" t="s">
        <v>30</v>
      </c>
      <c r="J5595" t="s">
        <v>41</v>
      </c>
      <c r="K5595" t="s">
        <v>59</v>
      </c>
      <c r="Q5595">
        <v>0</v>
      </c>
      <c r="R5595">
        <v>0</v>
      </c>
      <c r="S5595">
        <v>0</v>
      </c>
    </row>
    <row r="5596" spans="1:20" customFormat="1" ht="15" x14ac:dyDescent="0.25">
      <c r="A5596" t="s">
        <v>35</v>
      </c>
      <c r="B5596" t="s">
        <v>61</v>
      </c>
      <c r="C5596" t="str">
        <f>"A0183846"</f>
        <v>A0183846</v>
      </c>
      <c r="D5596" t="s">
        <v>22093</v>
      </c>
      <c r="E5596" t="s">
        <v>22094</v>
      </c>
      <c r="F5596" t="s">
        <v>22095</v>
      </c>
      <c r="G5596" t="s">
        <v>925</v>
      </c>
      <c r="H5596" t="s">
        <v>22096</v>
      </c>
      <c r="I5596" t="s">
        <v>30</v>
      </c>
      <c r="J5596" t="s">
        <v>41</v>
      </c>
      <c r="K5596" t="s">
        <v>59</v>
      </c>
      <c r="Q5596">
        <v>0</v>
      </c>
      <c r="R5596">
        <v>52</v>
      </c>
      <c r="S5596">
        <v>52</v>
      </c>
      <c r="T5596" t="s">
        <v>22097</v>
      </c>
    </row>
    <row r="5597" spans="1:20" customFormat="1" ht="15" x14ac:dyDescent="0.25">
      <c r="A5597" t="s">
        <v>35</v>
      </c>
      <c r="B5597" t="s">
        <v>61</v>
      </c>
      <c r="C5597" t="str">
        <f>"A0183845"</f>
        <v>A0183845</v>
      </c>
      <c r="D5597" t="s">
        <v>22098</v>
      </c>
      <c r="E5597" t="s">
        <v>22099</v>
      </c>
      <c r="F5597" t="s">
        <v>22100</v>
      </c>
      <c r="G5597" t="s">
        <v>925</v>
      </c>
      <c r="H5597" t="s">
        <v>22101</v>
      </c>
      <c r="I5597" t="s">
        <v>30</v>
      </c>
      <c r="J5597" t="s">
        <v>41</v>
      </c>
      <c r="K5597" t="s">
        <v>59</v>
      </c>
      <c r="Q5597">
        <v>0</v>
      </c>
      <c r="R5597">
        <v>42</v>
      </c>
      <c r="S5597">
        <v>42</v>
      </c>
      <c r="T5597" t="s">
        <v>22102</v>
      </c>
    </row>
    <row r="5598" spans="1:20" customFormat="1" ht="15" x14ac:dyDescent="0.25">
      <c r="A5598" t="s">
        <v>35</v>
      </c>
      <c r="B5598" t="s">
        <v>61</v>
      </c>
      <c r="C5598" t="str">
        <f>"A0183844"</f>
        <v>A0183844</v>
      </c>
      <c r="D5598" t="s">
        <v>22103</v>
      </c>
      <c r="E5598" t="s">
        <v>22104</v>
      </c>
      <c r="F5598" t="s">
        <v>16929</v>
      </c>
      <c r="G5598" t="s">
        <v>925</v>
      </c>
      <c r="H5598" t="s">
        <v>22105</v>
      </c>
      <c r="I5598" t="s">
        <v>30</v>
      </c>
      <c r="J5598" t="s">
        <v>41</v>
      </c>
      <c r="K5598" t="s">
        <v>59</v>
      </c>
      <c r="Q5598">
        <v>0</v>
      </c>
      <c r="R5598">
        <v>30</v>
      </c>
      <c r="S5598">
        <v>30</v>
      </c>
      <c r="T5598" t="s">
        <v>22106</v>
      </c>
    </row>
    <row r="5599" spans="1:20" customFormat="1" ht="15" x14ac:dyDescent="0.25">
      <c r="A5599" t="s">
        <v>35</v>
      </c>
      <c r="B5599" t="s">
        <v>61</v>
      </c>
      <c r="C5599" t="str">
        <f>"A0183843"</f>
        <v>A0183843</v>
      </c>
      <c r="D5599" t="s">
        <v>13113</v>
      </c>
      <c r="E5599" t="s">
        <v>22107</v>
      </c>
      <c r="F5599" t="s">
        <v>13113</v>
      </c>
      <c r="G5599" t="s">
        <v>289</v>
      </c>
      <c r="H5599" t="s">
        <v>22108</v>
      </c>
      <c r="I5599" t="s">
        <v>30</v>
      </c>
      <c r="J5599" t="s">
        <v>41</v>
      </c>
      <c r="K5599" t="s">
        <v>59</v>
      </c>
      <c r="Q5599">
        <v>0</v>
      </c>
      <c r="R5599">
        <v>0</v>
      </c>
      <c r="S5599">
        <v>0</v>
      </c>
    </row>
    <row r="5600" spans="1:20" customFormat="1" ht="15" x14ac:dyDescent="0.25">
      <c r="A5600" t="s">
        <v>35</v>
      </c>
      <c r="B5600" t="s">
        <v>61</v>
      </c>
      <c r="C5600" t="str">
        <f>"A0183842"</f>
        <v>A0183842</v>
      </c>
      <c r="D5600" t="s">
        <v>22109</v>
      </c>
      <c r="E5600" t="s">
        <v>22110</v>
      </c>
      <c r="F5600" t="s">
        <v>288</v>
      </c>
      <c r="G5600" t="s">
        <v>289</v>
      </c>
      <c r="H5600" t="s">
        <v>22111</v>
      </c>
      <c r="I5600" t="s">
        <v>30</v>
      </c>
      <c r="J5600" t="s">
        <v>41</v>
      </c>
      <c r="K5600" t="s">
        <v>59</v>
      </c>
      <c r="Q5600">
        <v>0</v>
      </c>
      <c r="R5600">
        <v>0</v>
      </c>
      <c r="S5600">
        <v>0</v>
      </c>
    </row>
    <row r="5601" spans="1:20" customFormat="1" ht="15" x14ac:dyDescent="0.25">
      <c r="A5601" t="s">
        <v>35</v>
      </c>
      <c r="B5601" t="s">
        <v>61</v>
      </c>
      <c r="C5601" t="str">
        <f>"A0183841"</f>
        <v>A0183841</v>
      </c>
      <c r="D5601" t="s">
        <v>22112</v>
      </c>
      <c r="E5601" t="s">
        <v>22113</v>
      </c>
      <c r="F5601" t="s">
        <v>22114</v>
      </c>
      <c r="G5601" t="s">
        <v>289</v>
      </c>
      <c r="H5601" t="s">
        <v>22115</v>
      </c>
      <c r="I5601" t="s">
        <v>30</v>
      </c>
      <c r="J5601" t="s">
        <v>41</v>
      </c>
      <c r="K5601" t="s">
        <v>59</v>
      </c>
      <c r="Q5601">
        <v>0</v>
      </c>
      <c r="R5601">
        <v>181</v>
      </c>
      <c r="S5601">
        <v>181</v>
      </c>
      <c r="T5601" t="s">
        <v>22116</v>
      </c>
    </row>
    <row r="5602" spans="1:20" customFormat="1" ht="15" x14ac:dyDescent="0.25">
      <c r="A5602" t="s">
        <v>35</v>
      </c>
      <c r="B5602" t="s">
        <v>61</v>
      </c>
      <c r="C5602" t="str">
        <f>"A0183840"</f>
        <v>A0183840</v>
      </c>
      <c r="D5602" t="s">
        <v>22117</v>
      </c>
      <c r="E5602" t="s">
        <v>22118</v>
      </c>
      <c r="F5602" t="s">
        <v>21191</v>
      </c>
      <c r="G5602" t="s">
        <v>289</v>
      </c>
      <c r="H5602" t="s">
        <v>22119</v>
      </c>
      <c r="I5602" t="s">
        <v>30</v>
      </c>
      <c r="J5602" t="s">
        <v>41</v>
      </c>
      <c r="K5602" t="s">
        <v>59</v>
      </c>
      <c r="Q5602">
        <v>0</v>
      </c>
      <c r="R5602">
        <v>155</v>
      </c>
      <c r="S5602">
        <v>155</v>
      </c>
      <c r="T5602" t="s">
        <v>22120</v>
      </c>
    </row>
    <row r="5603" spans="1:20" customFormat="1" ht="15" x14ac:dyDescent="0.25">
      <c r="A5603" t="s">
        <v>35</v>
      </c>
      <c r="B5603" t="s">
        <v>61</v>
      </c>
      <c r="C5603" t="str">
        <f>"A0183839"</f>
        <v>A0183839</v>
      </c>
      <c r="D5603" t="s">
        <v>22121</v>
      </c>
      <c r="E5603" t="s">
        <v>22122</v>
      </c>
      <c r="F5603" t="s">
        <v>22123</v>
      </c>
      <c r="G5603" t="s">
        <v>289</v>
      </c>
      <c r="H5603" t="s">
        <v>22124</v>
      </c>
      <c r="I5603" t="s">
        <v>30</v>
      </c>
      <c r="J5603" t="s">
        <v>41</v>
      </c>
      <c r="K5603" t="s">
        <v>59</v>
      </c>
      <c r="Q5603">
        <v>0</v>
      </c>
      <c r="R5603">
        <v>0</v>
      </c>
      <c r="S5603">
        <v>0</v>
      </c>
      <c r="T5603" t="s">
        <v>22125</v>
      </c>
    </row>
    <row r="5604" spans="1:20" customFormat="1" ht="15" x14ac:dyDescent="0.25">
      <c r="A5604" t="s">
        <v>35</v>
      </c>
      <c r="B5604" t="s">
        <v>61</v>
      </c>
      <c r="C5604" t="str">
        <f>"A0183838"</f>
        <v>A0183838</v>
      </c>
      <c r="D5604" t="s">
        <v>22126</v>
      </c>
      <c r="E5604" t="s">
        <v>22127</v>
      </c>
      <c r="F5604" t="s">
        <v>436</v>
      </c>
      <c r="G5604" t="s">
        <v>433</v>
      </c>
      <c r="H5604">
        <v>837130727</v>
      </c>
      <c r="I5604" t="s">
        <v>30</v>
      </c>
      <c r="J5604" t="s">
        <v>41</v>
      </c>
      <c r="K5604" t="s">
        <v>59</v>
      </c>
      <c r="Q5604">
        <v>0</v>
      </c>
      <c r="R5604">
        <v>0</v>
      </c>
      <c r="S5604">
        <v>0</v>
      </c>
    </row>
    <row r="5605" spans="1:20" customFormat="1" ht="15" x14ac:dyDescent="0.25">
      <c r="A5605" t="s">
        <v>35</v>
      </c>
      <c r="B5605" t="s">
        <v>61</v>
      </c>
      <c r="C5605" t="str">
        <f>"A0183837"</f>
        <v>A0183837</v>
      </c>
      <c r="D5605" t="s">
        <v>22128</v>
      </c>
      <c r="E5605" t="s">
        <v>22129</v>
      </c>
      <c r="F5605" t="s">
        <v>9128</v>
      </c>
      <c r="G5605" t="s">
        <v>110</v>
      </c>
      <c r="H5605">
        <v>946181178</v>
      </c>
      <c r="I5605" t="s">
        <v>30</v>
      </c>
      <c r="J5605" t="s">
        <v>41</v>
      </c>
      <c r="K5605" t="s">
        <v>59</v>
      </c>
      <c r="Q5605">
        <v>0</v>
      </c>
      <c r="R5605">
        <v>0</v>
      </c>
      <c r="S5605">
        <v>0</v>
      </c>
      <c r="T5605" t="s">
        <v>22130</v>
      </c>
    </row>
    <row r="5606" spans="1:20" customFormat="1" ht="15" x14ac:dyDescent="0.25">
      <c r="A5606" t="s">
        <v>35</v>
      </c>
      <c r="B5606" t="s">
        <v>61</v>
      </c>
      <c r="C5606" t="str">
        <f>"A0183836"</f>
        <v>A0183836</v>
      </c>
      <c r="D5606" t="s">
        <v>22131</v>
      </c>
      <c r="E5606" t="s">
        <v>22132</v>
      </c>
      <c r="F5606" t="s">
        <v>21773</v>
      </c>
      <c r="G5606" t="s">
        <v>110</v>
      </c>
      <c r="H5606" t="s">
        <v>22133</v>
      </c>
      <c r="I5606" t="s">
        <v>30</v>
      </c>
      <c r="J5606" t="s">
        <v>41</v>
      </c>
      <c r="K5606" t="s">
        <v>59</v>
      </c>
      <c r="Q5606">
        <v>0</v>
      </c>
      <c r="R5606">
        <v>0</v>
      </c>
      <c r="S5606">
        <v>0</v>
      </c>
      <c r="T5606" t="s">
        <v>22134</v>
      </c>
    </row>
    <row r="5607" spans="1:20" customFormat="1" ht="15" x14ac:dyDescent="0.25">
      <c r="A5607" t="s">
        <v>35</v>
      </c>
      <c r="B5607" t="s">
        <v>61</v>
      </c>
      <c r="C5607" t="str">
        <f>"A0183835"</f>
        <v>A0183835</v>
      </c>
      <c r="D5607" t="s">
        <v>22135</v>
      </c>
      <c r="E5607" t="s">
        <v>22136</v>
      </c>
      <c r="F5607" t="s">
        <v>22137</v>
      </c>
      <c r="G5607" t="s">
        <v>110</v>
      </c>
      <c r="H5607" t="s">
        <v>22138</v>
      </c>
      <c r="I5607" t="s">
        <v>30</v>
      </c>
      <c r="J5607" t="s">
        <v>41</v>
      </c>
      <c r="K5607" t="s">
        <v>59</v>
      </c>
      <c r="Q5607">
        <v>0</v>
      </c>
      <c r="R5607">
        <v>0</v>
      </c>
      <c r="S5607">
        <v>0</v>
      </c>
      <c r="T5607" t="s">
        <v>22139</v>
      </c>
    </row>
    <row r="5608" spans="1:20" customFormat="1" ht="15" x14ac:dyDescent="0.25">
      <c r="A5608" t="s">
        <v>35</v>
      </c>
      <c r="B5608" t="s">
        <v>11871</v>
      </c>
      <c r="C5608" t="str">
        <f>"A0183834"</f>
        <v>A0183834</v>
      </c>
      <c r="D5608" t="s">
        <v>22140</v>
      </c>
      <c r="E5608" t="s">
        <v>22141</v>
      </c>
      <c r="F5608" t="s">
        <v>22142</v>
      </c>
      <c r="G5608" t="s">
        <v>110</v>
      </c>
      <c r="H5608" t="s">
        <v>22143</v>
      </c>
      <c r="I5608" t="s">
        <v>30</v>
      </c>
      <c r="J5608" t="s">
        <v>41</v>
      </c>
      <c r="K5608" t="s">
        <v>59</v>
      </c>
      <c r="Q5608">
        <v>0</v>
      </c>
      <c r="R5608">
        <v>0</v>
      </c>
      <c r="S5608">
        <v>0</v>
      </c>
      <c r="T5608" t="s">
        <v>22144</v>
      </c>
    </row>
    <row r="5609" spans="1:20" customFormat="1" ht="15" x14ac:dyDescent="0.25">
      <c r="A5609" t="s">
        <v>35</v>
      </c>
      <c r="B5609" t="s">
        <v>61</v>
      </c>
      <c r="C5609" t="str">
        <f>"A0183833"</f>
        <v>A0183833</v>
      </c>
      <c r="D5609" t="s">
        <v>22145</v>
      </c>
      <c r="E5609" t="s">
        <v>22146</v>
      </c>
      <c r="F5609" t="s">
        <v>288</v>
      </c>
      <c r="G5609" t="s">
        <v>289</v>
      </c>
      <c r="H5609" t="s">
        <v>22147</v>
      </c>
      <c r="I5609" t="s">
        <v>30</v>
      </c>
      <c r="J5609" t="s">
        <v>41</v>
      </c>
      <c r="K5609" t="s">
        <v>59</v>
      </c>
      <c r="Q5609">
        <v>0</v>
      </c>
      <c r="R5609">
        <v>109</v>
      </c>
      <c r="S5609">
        <v>109</v>
      </c>
      <c r="T5609" t="s">
        <v>22148</v>
      </c>
    </row>
    <row r="5610" spans="1:20" customFormat="1" ht="15" x14ac:dyDescent="0.25">
      <c r="A5610" t="s">
        <v>35</v>
      </c>
      <c r="B5610" t="s">
        <v>61</v>
      </c>
      <c r="C5610" t="str">
        <f>"A0183832"</f>
        <v>A0183832</v>
      </c>
      <c r="D5610" t="s">
        <v>22149</v>
      </c>
      <c r="E5610" t="s">
        <v>22150</v>
      </c>
      <c r="F5610" t="s">
        <v>288</v>
      </c>
      <c r="G5610" t="s">
        <v>289</v>
      </c>
      <c r="H5610" t="s">
        <v>22151</v>
      </c>
      <c r="I5610" t="s">
        <v>30</v>
      </c>
      <c r="J5610" t="s">
        <v>41</v>
      </c>
      <c r="K5610" t="s">
        <v>59</v>
      </c>
      <c r="Q5610">
        <v>0</v>
      </c>
      <c r="R5610">
        <v>0</v>
      </c>
      <c r="S5610">
        <v>0</v>
      </c>
      <c r="T5610" t="s">
        <v>22152</v>
      </c>
    </row>
    <row r="5611" spans="1:20" customFormat="1" ht="15" x14ac:dyDescent="0.25">
      <c r="A5611" t="s">
        <v>35</v>
      </c>
      <c r="B5611" t="s">
        <v>61</v>
      </c>
      <c r="C5611" t="str">
        <f>"A0183831"</f>
        <v>A0183831</v>
      </c>
      <c r="D5611" t="s">
        <v>22153</v>
      </c>
      <c r="E5611" t="s">
        <v>22154</v>
      </c>
      <c r="F5611" t="s">
        <v>7317</v>
      </c>
      <c r="G5611" t="s">
        <v>1898</v>
      </c>
      <c r="H5611" t="s">
        <v>22155</v>
      </c>
      <c r="I5611" t="s">
        <v>30</v>
      </c>
      <c r="J5611" t="s">
        <v>41</v>
      </c>
      <c r="K5611" t="s">
        <v>59</v>
      </c>
      <c r="Q5611">
        <v>0</v>
      </c>
      <c r="R5611">
        <v>0</v>
      </c>
      <c r="S5611">
        <v>0</v>
      </c>
    </row>
    <row r="5612" spans="1:20" customFormat="1" ht="15" x14ac:dyDescent="0.25">
      <c r="A5612" t="s">
        <v>35</v>
      </c>
      <c r="B5612" t="s">
        <v>61</v>
      </c>
      <c r="C5612" t="str">
        <f>"A0183830"</f>
        <v>A0183830</v>
      </c>
      <c r="D5612" t="s">
        <v>22156</v>
      </c>
      <c r="E5612" t="s">
        <v>22154</v>
      </c>
      <c r="F5612" t="s">
        <v>7317</v>
      </c>
      <c r="G5612" t="s">
        <v>1898</v>
      </c>
      <c r="H5612" t="s">
        <v>22155</v>
      </c>
      <c r="I5612" t="s">
        <v>30</v>
      </c>
      <c r="J5612" t="s">
        <v>41</v>
      </c>
      <c r="K5612" t="s">
        <v>59</v>
      </c>
      <c r="Q5612">
        <v>0</v>
      </c>
      <c r="R5612">
        <v>0</v>
      </c>
      <c r="S5612">
        <v>0</v>
      </c>
      <c r="T5612" t="s">
        <v>22157</v>
      </c>
    </row>
    <row r="5613" spans="1:20" customFormat="1" ht="15" x14ac:dyDescent="0.25">
      <c r="A5613" t="s">
        <v>35</v>
      </c>
      <c r="B5613" t="s">
        <v>61</v>
      </c>
      <c r="C5613" t="str">
        <f>"A0183829"</f>
        <v>A0183829</v>
      </c>
      <c r="D5613" t="s">
        <v>22158</v>
      </c>
      <c r="E5613" t="s">
        <v>22159</v>
      </c>
      <c r="F5613" t="s">
        <v>22160</v>
      </c>
      <c r="G5613" t="s">
        <v>1898</v>
      </c>
      <c r="H5613" t="s">
        <v>22161</v>
      </c>
      <c r="I5613" t="s">
        <v>30</v>
      </c>
      <c r="J5613" t="s">
        <v>41</v>
      </c>
      <c r="K5613" t="s">
        <v>59</v>
      </c>
      <c r="Q5613">
        <v>0</v>
      </c>
      <c r="R5613">
        <v>26</v>
      </c>
      <c r="S5613">
        <v>26</v>
      </c>
      <c r="T5613" t="s">
        <v>22162</v>
      </c>
    </row>
    <row r="5614" spans="1:20" customFormat="1" ht="15" x14ac:dyDescent="0.25">
      <c r="A5614" t="s">
        <v>35</v>
      </c>
      <c r="B5614" t="s">
        <v>61</v>
      </c>
      <c r="C5614" t="str">
        <f>"A0183828"</f>
        <v>A0183828</v>
      </c>
      <c r="D5614" t="s">
        <v>12065</v>
      </c>
      <c r="E5614" t="s">
        <v>22163</v>
      </c>
      <c r="F5614" t="s">
        <v>12064</v>
      </c>
      <c r="G5614" t="s">
        <v>1898</v>
      </c>
      <c r="H5614">
        <v>515010121</v>
      </c>
      <c r="I5614" t="s">
        <v>30</v>
      </c>
      <c r="J5614" t="s">
        <v>41</v>
      </c>
      <c r="K5614" t="s">
        <v>59</v>
      </c>
      <c r="Q5614">
        <v>0</v>
      </c>
      <c r="R5614">
        <v>0</v>
      </c>
      <c r="S5614">
        <v>0</v>
      </c>
      <c r="T5614" t="s">
        <v>22164</v>
      </c>
    </row>
    <row r="5615" spans="1:20" customFormat="1" ht="15" x14ac:dyDescent="0.25">
      <c r="A5615" t="s">
        <v>35</v>
      </c>
      <c r="B5615" t="s">
        <v>61</v>
      </c>
      <c r="C5615" t="str">
        <f>"A0183827"</f>
        <v>A0183827</v>
      </c>
      <c r="D5615" t="s">
        <v>22165</v>
      </c>
      <c r="E5615" t="s">
        <v>22166</v>
      </c>
      <c r="F5615" t="s">
        <v>22167</v>
      </c>
      <c r="G5615" t="s">
        <v>338</v>
      </c>
      <c r="H5615" t="s">
        <v>22168</v>
      </c>
      <c r="I5615" t="s">
        <v>30</v>
      </c>
      <c r="J5615" t="s">
        <v>41</v>
      </c>
      <c r="K5615" t="s">
        <v>59</v>
      </c>
      <c r="Q5615">
        <v>0</v>
      </c>
      <c r="R5615">
        <v>100</v>
      </c>
      <c r="S5615">
        <v>100</v>
      </c>
      <c r="T5615" t="s">
        <v>22169</v>
      </c>
    </row>
    <row r="5616" spans="1:20" customFormat="1" ht="15" x14ac:dyDescent="0.25">
      <c r="A5616" t="s">
        <v>35</v>
      </c>
      <c r="B5616" t="s">
        <v>61</v>
      </c>
      <c r="C5616" t="str">
        <f>"A0183826"</f>
        <v>A0183826</v>
      </c>
      <c r="D5616" t="s">
        <v>22170</v>
      </c>
      <c r="E5616" t="s">
        <v>22171</v>
      </c>
      <c r="F5616" t="s">
        <v>22172</v>
      </c>
      <c r="G5616" t="s">
        <v>338</v>
      </c>
      <c r="H5616" t="s">
        <v>22173</v>
      </c>
      <c r="I5616" t="s">
        <v>30</v>
      </c>
      <c r="J5616" t="s">
        <v>41</v>
      </c>
      <c r="K5616" t="s">
        <v>59</v>
      </c>
      <c r="Q5616">
        <v>0</v>
      </c>
      <c r="R5616">
        <v>60</v>
      </c>
      <c r="S5616">
        <v>60</v>
      </c>
      <c r="T5616" t="s">
        <v>22174</v>
      </c>
    </row>
    <row r="5617" spans="1:20" customFormat="1" ht="15" x14ac:dyDescent="0.25">
      <c r="A5617" t="s">
        <v>35</v>
      </c>
      <c r="B5617" t="s">
        <v>61</v>
      </c>
      <c r="C5617" t="str">
        <f>"A0183825"</f>
        <v>A0183825</v>
      </c>
      <c r="D5617" t="s">
        <v>22175</v>
      </c>
      <c r="E5617" t="s">
        <v>22176</v>
      </c>
      <c r="F5617" t="s">
        <v>22177</v>
      </c>
      <c r="G5617" t="s">
        <v>925</v>
      </c>
      <c r="H5617" t="s">
        <v>22178</v>
      </c>
      <c r="I5617" t="s">
        <v>30</v>
      </c>
      <c r="J5617" t="s">
        <v>41</v>
      </c>
      <c r="K5617" t="s">
        <v>59</v>
      </c>
      <c r="Q5617">
        <v>0</v>
      </c>
      <c r="R5617">
        <v>88</v>
      </c>
      <c r="S5617">
        <v>88</v>
      </c>
      <c r="T5617" t="s">
        <v>22179</v>
      </c>
    </row>
    <row r="5618" spans="1:20" customFormat="1" ht="15" x14ac:dyDescent="0.25">
      <c r="A5618" t="s">
        <v>35</v>
      </c>
      <c r="B5618" t="s">
        <v>61</v>
      </c>
      <c r="C5618" t="str">
        <f>"A0183824"</f>
        <v>A0183824</v>
      </c>
      <c r="D5618" t="s">
        <v>22180</v>
      </c>
      <c r="E5618" t="s">
        <v>22181</v>
      </c>
      <c r="F5618" t="s">
        <v>22182</v>
      </c>
      <c r="G5618" t="s">
        <v>925</v>
      </c>
      <c r="H5618" t="s">
        <v>22183</v>
      </c>
      <c r="I5618" t="s">
        <v>30</v>
      </c>
      <c r="J5618" t="s">
        <v>41</v>
      </c>
      <c r="K5618" t="s">
        <v>59</v>
      </c>
      <c r="Q5618">
        <v>0</v>
      </c>
      <c r="R5618">
        <v>0</v>
      </c>
      <c r="S5618">
        <v>0</v>
      </c>
    </row>
    <row r="5619" spans="1:20" customFormat="1" ht="15" x14ac:dyDescent="0.25">
      <c r="A5619" t="s">
        <v>35</v>
      </c>
      <c r="B5619" t="s">
        <v>61</v>
      </c>
      <c r="C5619" t="str">
        <f>"A0183823"</f>
        <v>A0183823</v>
      </c>
      <c r="D5619" t="s">
        <v>22184</v>
      </c>
      <c r="E5619" t="s">
        <v>22185</v>
      </c>
      <c r="F5619" t="s">
        <v>15848</v>
      </c>
      <c r="G5619" t="s">
        <v>289</v>
      </c>
      <c r="H5619">
        <v>62223</v>
      </c>
      <c r="I5619" t="s">
        <v>30</v>
      </c>
      <c r="J5619" t="s">
        <v>41</v>
      </c>
      <c r="K5619" t="s">
        <v>59</v>
      </c>
      <c r="Q5619">
        <v>0</v>
      </c>
      <c r="R5619">
        <v>62</v>
      </c>
      <c r="S5619">
        <v>62</v>
      </c>
      <c r="T5619" t="s">
        <v>22186</v>
      </c>
    </row>
    <row r="5620" spans="1:20" customFormat="1" ht="15" x14ac:dyDescent="0.25">
      <c r="A5620" t="s">
        <v>35</v>
      </c>
      <c r="B5620" t="s">
        <v>61</v>
      </c>
      <c r="C5620" t="str">
        <f>"A0183821"</f>
        <v>A0183821</v>
      </c>
      <c r="D5620" t="s">
        <v>22187</v>
      </c>
      <c r="E5620" t="s">
        <v>22188</v>
      </c>
      <c r="F5620" t="s">
        <v>22189</v>
      </c>
      <c r="G5620" t="s">
        <v>1898</v>
      </c>
      <c r="H5620">
        <v>51106</v>
      </c>
      <c r="I5620" t="s">
        <v>30</v>
      </c>
      <c r="J5620" t="s">
        <v>41</v>
      </c>
      <c r="K5620" t="s">
        <v>59</v>
      </c>
      <c r="Q5620">
        <v>0</v>
      </c>
      <c r="R5620">
        <v>122</v>
      </c>
      <c r="S5620">
        <v>122</v>
      </c>
      <c r="T5620" t="s">
        <v>22190</v>
      </c>
    </row>
    <row r="5621" spans="1:20" customFormat="1" ht="15" x14ac:dyDescent="0.25">
      <c r="A5621" t="s">
        <v>35</v>
      </c>
      <c r="B5621" t="s">
        <v>61</v>
      </c>
      <c r="C5621" t="str">
        <f>"A0183820"</f>
        <v>A0183820</v>
      </c>
      <c r="D5621" t="s">
        <v>22191</v>
      </c>
      <c r="E5621" t="s">
        <v>22192</v>
      </c>
      <c r="F5621" t="s">
        <v>20926</v>
      </c>
      <c r="G5621" t="s">
        <v>161</v>
      </c>
      <c r="H5621" t="s">
        <v>22193</v>
      </c>
      <c r="I5621" t="s">
        <v>30</v>
      </c>
      <c r="J5621" t="s">
        <v>41</v>
      </c>
      <c r="K5621" t="s">
        <v>59</v>
      </c>
      <c r="Q5621">
        <v>0</v>
      </c>
      <c r="R5621">
        <v>0</v>
      </c>
      <c r="S5621">
        <v>0</v>
      </c>
    </row>
    <row r="5622" spans="1:20" customFormat="1" ht="15" x14ac:dyDescent="0.25">
      <c r="A5622" t="s">
        <v>35</v>
      </c>
      <c r="B5622" t="s">
        <v>61</v>
      </c>
      <c r="C5622" t="str">
        <f>"A0183819"</f>
        <v>A0183819</v>
      </c>
      <c r="D5622" t="s">
        <v>22194</v>
      </c>
      <c r="E5622" t="s">
        <v>22195</v>
      </c>
      <c r="F5622" t="s">
        <v>22196</v>
      </c>
      <c r="G5622" t="s">
        <v>161</v>
      </c>
      <c r="H5622" t="s">
        <v>22197</v>
      </c>
      <c r="I5622" t="s">
        <v>30</v>
      </c>
      <c r="J5622" t="s">
        <v>41</v>
      </c>
      <c r="K5622" t="s">
        <v>59</v>
      </c>
      <c r="Q5622">
        <v>0</v>
      </c>
      <c r="R5622">
        <v>0</v>
      </c>
      <c r="S5622">
        <v>0</v>
      </c>
    </row>
    <row r="5623" spans="1:20" customFormat="1" ht="15" x14ac:dyDescent="0.25">
      <c r="A5623" t="s">
        <v>35</v>
      </c>
      <c r="B5623" t="s">
        <v>18151</v>
      </c>
      <c r="C5623" t="str">
        <f>"A0183818"</f>
        <v>A0183818</v>
      </c>
      <c r="D5623" t="s">
        <v>22198</v>
      </c>
      <c r="E5623" t="s">
        <v>22199</v>
      </c>
      <c r="F5623" t="s">
        <v>2572</v>
      </c>
      <c r="G5623" t="s">
        <v>161</v>
      </c>
      <c r="H5623" t="s">
        <v>22200</v>
      </c>
      <c r="I5623" t="s">
        <v>30</v>
      </c>
      <c r="J5623" t="s">
        <v>41</v>
      </c>
      <c r="K5623" t="s">
        <v>59</v>
      </c>
      <c r="Q5623">
        <v>0</v>
      </c>
      <c r="R5623">
        <v>0</v>
      </c>
      <c r="S5623">
        <v>0</v>
      </c>
    </row>
    <row r="5624" spans="1:20" customFormat="1" ht="15" x14ac:dyDescent="0.25">
      <c r="A5624" t="s">
        <v>35</v>
      </c>
      <c r="B5624" t="s">
        <v>61</v>
      </c>
      <c r="C5624" t="str">
        <f>"A0183817"</f>
        <v>A0183817</v>
      </c>
      <c r="D5624" t="s">
        <v>22201</v>
      </c>
      <c r="E5624" t="s">
        <v>22202</v>
      </c>
      <c r="F5624" t="s">
        <v>20926</v>
      </c>
      <c r="G5624" t="s">
        <v>161</v>
      </c>
      <c r="H5624" t="s">
        <v>22203</v>
      </c>
      <c r="I5624" t="s">
        <v>30</v>
      </c>
      <c r="J5624" t="s">
        <v>41</v>
      </c>
      <c r="K5624" t="s">
        <v>59</v>
      </c>
      <c r="Q5624">
        <v>0</v>
      </c>
      <c r="R5624">
        <v>0</v>
      </c>
      <c r="S5624">
        <v>0</v>
      </c>
      <c r="T5624" t="s">
        <v>22204</v>
      </c>
    </row>
    <row r="5625" spans="1:20" customFormat="1" ht="15" x14ac:dyDescent="0.25">
      <c r="A5625" t="s">
        <v>35</v>
      </c>
      <c r="B5625" t="s">
        <v>61</v>
      </c>
      <c r="C5625" t="str">
        <f>"A0183816"</f>
        <v>A0183816</v>
      </c>
      <c r="D5625" t="s">
        <v>22205</v>
      </c>
      <c r="E5625" t="s">
        <v>22206</v>
      </c>
      <c r="F5625" t="s">
        <v>4269</v>
      </c>
      <c r="G5625" t="s">
        <v>99</v>
      </c>
      <c r="H5625" t="s">
        <v>22207</v>
      </c>
      <c r="I5625" t="s">
        <v>30</v>
      </c>
      <c r="J5625" t="s">
        <v>41</v>
      </c>
      <c r="K5625" t="s">
        <v>59</v>
      </c>
      <c r="Q5625">
        <v>0</v>
      </c>
      <c r="R5625">
        <v>0</v>
      </c>
      <c r="S5625">
        <v>0</v>
      </c>
    </row>
    <row r="5626" spans="1:20" customFormat="1" ht="15" x14ac:dyDescent="0.25">
      <c r="A5626" t="s">
        <v>35</v>
      </c>
      <c r="B5626" t="s">
        <v>61</v>
      </c>
      <c r="C5626" t="str">
        <f>"A0183815"</f>
        <v>A0183815</v>
      </c>
      <c r="D5626" t="s">
        <v>22208</v>
      </c>
      <c r="E5626" t="s">
        <v>22209</v>
      </c>
      <c r="F5626" t="s">
        <v>22210</v>
      </c>
      <c r="G5626" t="s">
        <v>99</v>
      </c>
      <c r="H5626" t="s">
        <v>22211</v>
      </c>
      <c r="I5626" t="s">
        <v>30</v>
      </c>
      <c r="J5626" t="s">
        <v>41</v>
      </c>
      <c r="K5626" t="s">
        <v>59</v>
      </c>
      <c r="Q5626">
        <v>0</v>
      </c>
      <c r="R5626">
        <v>0</v>
      </c>
      <c r="S5626">
        <v>0</v>
      </c>
      <c r="T5626" t="s">
        <v>22212</v>
      </c>
    </row>
    <row r="5627" spans="1:20" customFormat="1" ht="15" x14ac:dyDescent="0.25">
      <c r="A5627" t="s">
        <v>35</v>
      </c>
      <c r="B5627" t="s">
        <v>61</v>
      </c>
      <c r="C5627" t="str">
        <f>"A0183814"</f>
        <v>A0183814</v>
      </c>
      <c r="D5627" t="s">
        <v>22213</v>
      </c>
      <c r="E5627" t="s">
        <v>22214</v>
      </c>
      <c r="F5627" t="s">
        <v>22215</v>
      </c>
      <c r="G5627" t="s">
        <v>99</v>
      </c>
      <c r="H5627" t="s">
        <v>22216</v>
      </c>
      <c r="I5627" t="s">
        <v>30</v>
      </c>
      <c r="J5627" t="s">
        <v>41</v>
      </c>
      <c r="K5627" t="s">
        <v>59</v>
      </c>
      <c r="Q5627">
        <v>0</v>
      </c>
      <c r="R5627">
        <v>33</v>
      </c>
      <c r="S5627">
        <v>33</v>
      </c>
      <c r="T5627" t="s">
        <v>22217</v>
      </c>
    </row>
    <row r="5628" spans="1:20" customFormat="1" ht="15" x14ac:dyDescent="0.25">
      <c r="A5628" t="s">
        <v>35</v>
      </c>
      <c r="B5628" t="s">
        <v>61</v>
      </c>
      <c r="C5628" t="str">
        <f>"A0183813"</f>
        <v>A0183813</v>
      </c>
      <c r="D5628" t="s">
        <v>22218</v>
      </c>
      <c r="E5628" t="s">
        <v>22219</v>
      </c>
      <c r="F5628" t="s">
        <v>4269</v>
      </c>
      <c r="G5628" t="s">
        <v>99</v>
      </c>
      <c r="H5628" t="s">
        <v>22220</v>
      </c>
      <c r="I5628" t="s">
        <v>30</v>
      </c>
      <c r="J5628" t="s">
        <v>41</v>
      </c>
      <c r="K5628" t="s">
        <v>59</v>
      </c>
      <c r="Q5628">
        <v>0</v>
      </c>
      <c r="R5628">
        <v>0</v>
      </c>
      <c r="S5628">
        <v>0</v>
      </c>
      <c r="T5628" t="s">
        <v>22221</v>
      </c>
    </row>
    <row r="5629" spans="1:20" customFormat="1" ht="15" x14ac:dyDescent="0.25">
      <c r="A5629" t="s">
        <v>35</v>
      </c>
      <c r="B5629" t="s">
        <v>61</v>
      </c>
      <c r="C5629" t="str">
        <f>"A0183812"</f>
        <v>A0183812</v>
      </c>
      <c r="D5629" t="s">
        <v>22222</v>
      </c>
      <c r="E5629" t="s">
        <v>22223</v>
      </c>
      <c r="F5629" t="s">
        <v>22224</v>
      </c>
      <c r="G5629" t="s">
        <v>99</v>
      </c>
      <c r="H5629">
        <v>12078</v>
      </c>
      <c r="I5629" t="s">
        <v>30</v>
      </c>
      <c r="J5629" t="s">
        <v>41</v>
      </c>
      <c r="K5629" t="s">
        <v>59</v>
      </c>
      <c r="Q5629">
        <v>0</v>
      </c>
      <c r="R5629">
        <v>9</v>
      </c>
      <c r="S5629">
        <v>9</v>
      </c>
      <c r="T5629" t="s">
        <v>22225</v>
      </c>
    </row>
    <row r="5630" spans="1:20" customFormat="1" ht="15" x14ac:dyDescent="0.25">
      <c r="A5630" t="s">
        <v>35</v>
      </c>
      <c r="B5630" t="s">
        <v>61</v>
      </c>
      <c r="C5630" t="str">
        <f>"A0183811"</f>
        <v>A0183811</v>
      </c>
      <c r="D5630" t="s">
        <v>22226</v>
      </c>
      <c r="E5630" t="s">
        <v>22227</v>
      </c>
      <c r="F5630" t="s">
        <v>12194</v>
      </c>
      <c r="G5630" t="s">
        <v>81</v>
      </c>
      <c r="H5630" t="s">
        <v>22228</v>
      </c>
      <c r="I5630" t="s">
        <v>30</v>
      </c>
      <c r="J5630" t="s">
        <v>41</v>
      </c>
      <c r="K5630" t="s">
        <v>59</v>
      </c>
      <c r="Q5630">
        <v>0</v>
      </c>
      <c r="R5630">
        <v>0</v>
      </c>
      <c r="S5630">
        <v>0</v>
      </c>
      <c r="T5630" t="s">
        <v>22229</v>
      </c>
    </row>
    <row r="5631" spans="1:20" customFormat="1" ht="15" x14ac:dyDescent="0.25">
      <c r="A5631" t="s">
        <v>35</v>
      </c>
      <c r="B5631" t="s">
        <v>61</v>
      </c>
      <c r="C5631" t="str">
        <f>"A0183810"</f>
        <v>A0183810</v>
      </c>
      <c r="D5631" t="s">
        <v>22230</v>
      </c>
      <c r="E5631" t="s">
        <v>22231</v>
      </c>
      <c r="F5631" t="s">
        <v>20524</v>
      </c>
      <c r="G5631" t="s">
        <v>81</v>
      </c>
      <c r="H5631" t="s">
        <v>22232</v>
      </c>
      <c r="I5631" t="s">
        <v>30</v>
      </c>
      <c r="J5631" t="s">
        <v>41</v>
      </c>
      <c r="K5631" t="s">
        <v>59</v>
      </c>
      <c r="Q5631">
        <v>0</v>
      </c>
      <c r="R5631">
        <v>125</v>
      </c>
      <c r="S5631">
        <v>125</v>
      </c>
      <c r="T5631" t="s">
        <v>22233</v>
      </c>
    </row>
    <row r="5632" spans="1:20" customFormat="1" ht="15" x14ac:dyDescent="0.25">
      <c r="A5632" t="s">
        <v>35</v>
      </c>
      <c r="B5632" t="s">
        <v>61</v>
      </c>
      <c r="C5632" t="str">
        <f>"A0183809"</f>
        <v>A0183809</v>
      </c>
      <c r="D5632" t="s">
        <v>22234</v>
      </c>
      <c r="E5632" t="s">
        <v>22235</v>
      </c>
      <c r="F5632" t="s">
        <v>22236</v>
      </c>
      <c r="G5632" t="s">
        <v>81</v>
      </c>
      <c r="H5632" t="s">
        <v>22237</v>
      </c>
      <c r="I5632" t="s">
        <v>30</v>
      </c>
      <c r="J5632" t="s">
        <v>41</v>
      </c>
      <c r="K5632" t="s">
        <v>59</v>
      </c>
      <c r="Q5632">
        <v>0</v>
      </c>
      <c r="R5632">
        <v>0</v>
      </c>
      <c r="S5632">
        <v>0</v>
      </c>
      <c r="T5632" t="s">
        <v>22238</v>
      </c>
    </row>
    <row r="5633" spans="1:20" customFormat="1" ht="15" x14ac:dyDescent="0.25">
      <c r="A5633" t="s">
        <v>35</v>
      </c>
      <c r="B5633" t="s">
        <v>61</v>
      </c>
      <c r="C5633" t="str">
        <f>"A0183808"</f>
        <v>A0183808</v>
      </c>
      <c r="D5633" t="s">
        <v>22239</v>
      </c>
      <c r="E5633" t="s">
        <v>22240</v>
      </c>
      <c r="F5633" t="s">
        <v>20524</v>
      </c>
      <c r="G5633" t="s">
        <v>81</v>
      </c>
      <c r="H5633" t="s">
        <v>22241</v>
      </c>
      <c r="I5633" t="s">
        <v>30</v>
      </c>
      <c r="J5633" t="s">
        <v>41</v>
      </c>
      <c r="K5633" t="s">
        <v>59</v>
      </c>
      <c r="Q5633">
        <v>0</v>
      </c>
      <c r="R5633">
        <v>0</v>
      </c>
      <c r="S5633">
        <v>0</v>
      </c>
      <c r="T5633" t="s">
        <v>22242</v>
      </c>
    </row>
    <row r="5634" spans="1:20" customFormat="1" ht="15" x14ac:dyDescent="0.25">
      <c r="A5634" t="s">
        <v>35</v>
      </c>
      <c r="B5634" t="s">
        <v>61</v>
      </c>
      <c r="C5634" t="str">
        <f>"A0183807"</f>
        <v>A0183807</v>
      </c>
      <c r="D5634" t="s">
        <v>22243</v>
      </c>
      <c r="E5634" t="s">
        <v>22244</v>
      </c>
      <c r="F5634" t="s">
        <v>12931</v>
      </c>
      <c r="G5634" t="s">
        <v>81</v>
      </c>
      <c r="H5634" t="s">
        <v>22245</v>
      </c>
      <c r="I5634" t="s">
        <v>30</v>
      </c>
      <c r="J5634" t="s">
        <v>41</v>
      </c>
      <c r="K5634" t="s">
        <v>59</v>
      </c>
      <c r="Q5634">
        <v>0</v>
      </c>
      <c r="R5634">
        <v>0</v>
      </c>
      <c r="S5634">
        <v>0</v>
      </c>
      <c r="T5634" t="s">
        <v>22246</v>
      </c>
    </row>
    <row r="5635" spans="1:20" customFormat="1" ht="15" x14ac:dyDescent="0.25">
      <c r="A5635" t="s">
        <v>35</v>
      </c>
      <c r="B5635" t="s">
        <v>61</v>
      </c>
      <c r="C5635" t="str">
        <f>"A0183806"</f>
        <v>A0183806</v>
      </c>
      <c r="D5635" t="s">
        <v>22247</v>
      </c>
      <c r="E5635" t="s">
        <v>22248</v>
      </c>
      <c r="F5635" t="s">
        <v>10577</v>
      </c>
      <c r="G5635" t="s">
        <v>81</v>
      </c>
      <c r="H5635" t="s">
        <v>22249</v>
      </c>
      <c r="I5635" t="s">
        <v>30</v>
      </c>
      <c r="J5635" t="s">
        <v>41</v>
      </c>
      <c r="K5635" t="s">
        <v>59</v>
      </c>
      <c r="Q5635">
        <v>0</v>
      </c>
      <c r="R5635">
        <v>0</v>
      </c>
      <c r="S5635">
        <v>0</v>
      </c>
      <c r="T5635" t="s">
        <v>22250</v>
      </c>
    </row>
    <row r="5636" spans="1:20" customFormat="1" ht="15" x14ac:dyDescent="0.25">
      <c r="A5636" t="s">
        <v>35</v>
      </c>
      <c r="B5636" t="s">
        <v>61</v>
      </c>
      <c r="C5636" t="str">
        <f>"A0183805"</f>
        <v>A0183805</v>
      </c>
      <c r="D5636" t="s">
        <v>22251</v>
      </c>
      <c r="E5636" t="s">
        <v>22252</v>
      </c>
      <c r="F5636" t="s">
        <v>4259</v>
      </c>
      <c r="G5636" t="s">
        <v>99</v>
      </c>
      <c r="H5636">
        <v>13501</v>
      </c>
      <c r="I5636" t="s">
        <v>30</v>
      </c>
      <c r="J5636" t="s">
        <v>41</v>
      </c>
      <c r="K5636" t="s">
        <v>59</v>
      </c>
      <c r="Q5636">
        <v>0</v>
      </c>
      <c r="R5636">
        <v>0</v>
      </c>
      <c r="S5636">
        <v>0</v>
      </c>
      <c r="T5636" t="s">
        <v>22253</v>
      </c>
    </row>
    <row r="5637" spans="1:20" customFormat="1" ht="15" x14ac:dyDescent="0.25">
      <c r="A5637" t="s">
        <v>35</v>
      </c>
      <c r="B5637" t="s">
        <v>61</v>
      </c>
      <c r="C5637" t="str">
        <f>"A0183804"</f>
        <v>A0183804</v>
      </c>
      <c r="D5637" t="s">
        <v>22254</v>
      </c>
      <c r="E5637" t="s">
        <v>21933</v>
      </c>
      <c r="F5637" t="s">
        <v>21934</v>
      </c>
      <c r="G5637" t="s">
        <v>289</v>
      </c>
      <c r="H5637" t="s">
        <v>21935</v>
      </c>
      <c r="I5637" t="s">
        <v>30</v>
      </c>
      <c r="J5637" t="s">
        <v>41</v>
      </c>
      <c r="K5637" t="s">
        <v>59</v>
      </c>
      <c r="Q5637">
        <v>0</v>
      </c>
      <c r="R5637">
        <v>0</v>
      </c>
      <c r="S5637">
        <v>0</v>
      </c>
      <c r="T5637" t="s">
        <v>22255</v>
      </c>
    </row>
    <row r="5638" spans="1:20" customFormat="1" ht="15" x14ac:dyDescent="0.25">
      <c r="A5638" t="s">
        <v>35</v>
      </c>
      <c r="B5638" t="s">
        <v>61</v>
      </c>
      <c r="C5638" t="str">
        <f>"A0183803"</f>
        <v>A0183803</v>
      </c>
      <c r="D5638" t="s">
        <v>22256</v>
      </c>
      <c r="E5638" t="s">
        <v>22257</v>
      </c>
      <c r="F5638" t="s">
        <v>8043</v>
      </c>
      <c r="G5638" t="s">
        <v>289</v>
      </c>
      <c r="H5638" t="s">
        <v>22258</v>
      </c>
      <c r="I5638" t="s">
        <v>30</v>
      </c>
      <c r="J5638" t="s">
        <v>41</v>
      </c>
      <c r="K5638" t="s">
        <v>59</v>
      </c>
      <c r="Q5638">
        <v>0</v>
      </c>
      <c r="R5638">
        <v>0</v>
      </c>
      <c r="S5638">
        <v>0</v>
      </c>
    </row>
    <row r="5639" spans="1:20" customFormat="1" ht="15" x14ac:dyDescent="0.25">
      <c r="A5639" t="s">
        <v>35</v>
      </c>
      <c r="B5639" t="s">
        <v>61</v>
      </c>
      <c r="C5639" t="str">
        <f>"A0183802"</f>
        <v>A0183802</v>
      </c>
      <c r="D5639" t="s">
        <v>22259</v>
      </c>
      <c r="E5639" t="s">
        <v>22260</v>
      </c>
      <c r="F5639" t="s">
        <v>22261</v>
      </c>
      <c r="G5639" t="s">
        <v>289</v>
      </c>
      <c r="H5639" t="s">
        <v>22262</v>
      </c>
      <c r="I5639" t="s">
        <v>30</v>
      </c>
      <c r="J5639" t="s">
        <v>41</v>
      </c>
      <c r="K5639" t="s">
        <v>59</v>
      </c>
      <c r="Q5639">
        <v>0</v>
      </c>
      <c r="R5639">
        <v>0</v>
      </c>
      <c r="S5639">
        <v>0</v>
      </c>
      <c r="T5639" t="s">
        <v>22263</v>
      </c>
    </row>
    <row r="5640" spans="1:20" customFormat="1" ht="15" x14ac:dyDescent="0.25">
      <c r="A5640" t="s">
        <v>35</v>
      </c>
      <c r="B5640" t="s">
        <v>61</v>
      </c>
      <c r="C5640" t="str">
        <f>"A0183801"</f>
        <v>A0183801</v>
      </c>
      <c r="D5640" t="s">
        <v>22264</v>
      </c>
      <c r="E5640" t="s">
        <v>22265</v>
      </c>
      <c r="F5640" t="s">
        <v>288</v>
      </c>
      <c r="G5640" t="s">
        <v>289</v>
      </c>
      <c r="H5640">
        <v>60636</v>
      </c>
      <c r="I5640" t="s">
        <v>30</v>
      </c>
      <c r="J5640" t="s">
        <v>41</v>
      </c>
      <c r="K5640" t="s">
        <v>59</v>
      </c>
      <c r="Q5640">
        <v>0</v>
      </c>
      <c r="R5640">
        <v>0</v>
      </c>
      <c r="S5640">
        <v>0</v>
      </c>
      <c r="T5640" t="s">
        <v>22266</v>
      </c>
    </row>
    <row r="5641" spans="1:20" customFormat="1" ht="15" x14ac:dyDescent="0.25">
      <c r="A5641" t="s">
        <v>35</v>
      </c>
      <c r="B5641" t="s">
        <v>61</v>
      </c>
      <c r="C5641" t="str">
        <f>"A0183800"</f>
        <v>A0183800</v>
      </c>
      <c r="D5641" t="s">
        <v>22267</v>
      </c>
      <c r="E5641" t="s">
        <v>22268</v>
      </c>
      <c r="F5641" t="s">
        <v>288</v>
      </c>
      <c r="G5641" t="s">
        <v>289</v>
      </c>
      <c r="H5641" t="s">
        <v>22269</v>
      </c>
      <c r="I5641" t="s">
        <v>30</v>
      </c>
      <c r="J5641" t="s">
        <v>41</v>
      </c>
      <c r="K5641" t="s">
        <v>59</v>
      </c>
      <c r="Q5641">
        <v>0</v>
      </c>
      <c r="R5641">
        <v>0</v>
      </c>
      <c r="S5641">
        <v>0</v>
      </c>
      <c r="T5641" t="s">
        <v>22270</v>
      </c>
    </row>
    <row r="5642" spans="1:20" customFormat="1" ht="15" x14ac:dyDescent="0.25">
      <c r="A5642" t="s">
        <v>35</v>
      </c>
      <c r="B5642" t="s">
        <v>61</v>
      </c>
      <c r="C5642" t="str">
        <f>"A0183799"</f>
        <v>A0183799</v>
      </c>
      <c r="D5642" t="s">
        <v>22271</v>
      </c>
      <c r="E5642" t="s">
        <v>22272</v>
      </c>
      <c r="F5642" t="s">
        <v>22273</v>
      </c>
      <c r="G5642" t="s">
        <v>99</v>
      </c>
      <c r="H5642">
        <v>11701</v>
      </c>
      <c r="I5642" t="s">
        <v>30</v>
      </c>
      <c r="J5642" t="s">
        <v>41</v>
      </c>
      <c r="K5642" t="s">
        <v>59</v>
      </c>
      <c r="Q5642">
        <v>0</v>
      </c>
      <c r="R5642">
        <v>377</v>
      </c>
      <c r="S5642">
        <v>377</v>
      </c>
      <c r="T5642" t="s">
        <v>22274</v>
      </c>
    </row>
    <row r="5643" spans="1:20" customFormat="1" ht="15" x14ac:dyDescent="0.25">
      <c r="A5643" t="s">
        <v>35</v>
      </c>
      <c r="B5643" t="s">
        <v>61</v>
      </c>
      <c r="C5643" t="str">
        <f>"A0183798"</f>
        <v>A0183798</v>
      </c>
      <c r="D5643" t="s">
        <v>22275</v>
      </c>
      <c r="E5643" t="s">
        <v>22276</v>
      </c>
      <c r="F5643" t="s">
        <v>21278</v>
      </c>
      <c r="G5643" t="s">
        <v>99</v>
      </c>
      <c r="H5643" t="s">
        <v>22277</v>
      </c>
      <c r="I5643" t="s">
        <v>30</v>
      </c>
      <c r="J5643" t="s">
        <v>41</v>
      </c>
      <c r="K5643" t="s">
        <v>59</v>
      </c>
      <c r="Q5643">
        <v>0</v>
      </c>
      <c r="R5643">
        <v>193</v>
      </c>
      <c r="S5643">
        <v>193</v>
      </c>
      <c r="T5643" t="s">
        <v>22278</v>
      </c>
    </row>
    <row r="5644" spans="1:20" customFormat="1" ht="15" x14ac:dyDescent="0.25">
      <c r="A5644" t="s">
        <v>35</v>
      </c>
      <c r="B5644" t="s">
        <v>61</v>
      </c>
      <c r="C5644" t="str">
        <f>"A0183797"</f>
        <v>A0183797</v>
      </c>
      <c r="D5644" t="s">
        <v>22279</v>
      </c>
      <c r="E5644" t="s">
        <v>22280</v>
      </c>
      <c r="F5644" t="s">
        <v>22281</v>
      </c>
      <c r="G5644" t="s">
        <v>99</v>
      </c>
      <c r="H5644" t="s">
        <v>22282</v>
      </c>
      <c r="I5644" t="s">
        <v>30</v>
      </c>
      <c r="J5644" t="s">
        <v>41</v>
      </c>
      <c r="K5644" t="s">
        <v>59</v>
      </c>
      <c r="Q5644">
        <v>0</v>
      </c>
      <c r="R5644">
        <v>0</v>
      </c>
      <c r="S5644">
        <v>0</v>
      </c>
      <c r="T5644" t="s">
        <v>22283</v>
      </c>
    </row>
    <row r="5645" spans="1:20" customFormat="1" ht="15" x14ac:dyDescent="0.25">
      <c r="A5645" t="s">
        <v>35</v>
      </c>
      <c r="B5645" t="s">
        <v>61</v>
      </c>
      <c r="C5645" t="str">
        <f>"A0183796"</f>
        <v>A0183796</v>
      </c>
      <c r="D5645" t="s">
        <v>22284</v>
      </c>
      <c r="E5645" t="s">
        <v>22285</v>
      </c>
      <c r="F5645" t="s">
        <v>22286</v>
      </c>
      <c r="G5645" t="s">
        <v>99</v>
      </c>
      <c r="H5645" t="s">
        <v>22287</v>
      </c>
      <c r="I5645" t="s">
        <v>30</v>
      </c>
      <c r="J5645" t="s">
        <v>41</v>
      </c>
      <c r="K5645" t="s">
        <v>59</v>
      </c>
      <c r="Q5645">
        <v>0</v>
      </c>
      <c r="R5645">
        <v>0</v>
      </c>
      <c r="S5645">
        <v>0</v>
      </c>
      <c r="T5645" t="s">
        <v>22288</v>
      </c>
    </row>
    <row r="5646" spans="1:20" customFormat="1" ht="15" x14ac:dyDescent="0.25">
      <c r="A5646" t="s">
        <v>35</v>
      </c>
      <c r="B5646" t="s">
        <v>11871</v>
      </c>
      <c r="C5646" t="str">
        <f>"A0183795"</f>
        <v>A0183795</v>
      </c>
      <c r="D5646" t="s">
        <v>22289</v>
      </c>
      <c r="E5646" t="s">
        <v>22290</v>
      </c>
      <c r="F5646" t="s">
        <v>22291</v>
      </c>
      <c r="G5646" t="s">
        <v>338</v>
      </c>
      <c r="H5646" t="s">
        <v>22292</v>
      </c>
      <c r="I5646" t="s">
        <v>30</v>
      </c>
      <c r="J5646" t="s">
        <v>41</v>
      </c>
      <c r="K5646" t="s">
        <v>59</v>
      </c>
      <c r="Q5646">
        <v>0</v>
      </c>
      <c r="R5646">
        <v>0</v>
      </c>
      <c r="S5646">
        <v>0</v>
      </c>
      <c r="T5646" t="s">
        <v>22293</v>
      </c>
    </row>
    <row r="5647" spans="1:20" customFormat="1" ht="15" x14ac:dyDescent="0.25">
      <c r="A5647" t="s">
        <v>35</v>
      </c>
      <c r="B5647" t="s">
        <v>11871</v>
      </c>
      <c r="C5647" t="str">
        <f>"A0183794"</f>
        <v>A0183794</v>
      </c>
      <c r="D5647" t="s">
        <v>22294</v>
      </c>
      <c r="E5647" t="s">
        <v>22295</v>
      </c>
      <c r="F5647" t="s">
        <v>22296</v>
      </c>
      <c r="G5647" t="s">
        <v>338</v>
      </c>
      <c r="H5647" t="s">
        <v>22297</v>
      </c>
      <c r="I5647" t="s">
        <v>30</v>
      </c>
      <c r="J5647" t="s">
        <v>41</v>
      </c>
      <c r="K5647" t="s">
        <v>59</v>
      </c>
      <c r="Q5647">
        <v>0</v>
      </c>
      <c r="R5647">
        <v>0</v>
      </c>
      <c r="S5647">
        <v>0</v>
      </c>
    </row>
    <row r="5648" spans="1:20" customFormat="1" ht="15" x14ac:dyDescent="0.25">
      <c r="A5648" t="s">
        <v>35</v>
      </c>
      <c r="B5648" t="s">
        <v>61</v>
      </c>
      <c r="C5648" t="str">
        <f>"A0183793"</f>
        <v>A0183793</v>
      </c>
      <c r="D5648" t="s">
        <v>22298</v>
      </c>
      <c r="E5648" t="s">
        <v>22299</v>
      </c>
      <c r="F5648" t="s">
        <v>22300</v>
      </c>
      <c r="G5648" t="s">
        <v>899</v>
      </c>
      <c r="H5648" t="s">
        <v>22301</v>
      </c>
      <c r="I5648" t="s">
        <v>30</v>
      </c>
      <c r="J5648" t="s">
        <v>41</v>
      </c>
      <c r="K5648" t="s">
        <v>59</v>
      </c>
      <c r="Q5648">
        <v>0</v>
      </c>
      <c r="R5648">
        <v>0</v>
      </c>
      <c r="S5648">
        <v>0</v>
      </c>
    </row>
    <row r="5649" spans="1:20" customFormat="1" ht="15" x14ac:dyDescent="0.25">
      <c r="A5649" t="s">
        <v>35</v>
      </c>
      <c r="B5649" t="s">
        <v>11871</v>
      </c>
      <c r="C5649" t="str">
        <f>"A0183792"</f>
        <v>A0183792</v>
      </c>
      <c r="D5649" t="s">
        <v>22302</v>
      </c>
      <c r="E5649" t="s">
        <v>22303</v>
      </c>
      <c r="F5649" t="s">
        <v>22304</v>
      </c>
      <c r="G5649" t="s">
        <v>65</v>
      </c>
      <c r="H5649">
        <v>457142147</v>
      </c>
      <c r="I5649" t="s">
        <v>30</v>
      </c>
      <c r="J5649" t="s">
        <v>41</v>
      </c>
      <c r="K5649" t="s">
        <v>59</v>
      </c>
      <c r="Q5649">
        <v>0</v>
      </c>
      <c r="R5649">
        <v>0</v>
      </c>
      <c r="S5649">
        <v>0</v>
      </c>
      <c r="T5649" t="s">
        <v>22305</v>
      </c>
    </row>
    <row r="5650" spans="1:20" customFormat="1" ht="15" x14ac:dyDescent="0.25">
      <c r="A5650" t="s">
        <v>35</v>
      </c>
      <c r="B5650" t="s">
        <v>61</v>
      </c>
      <c r="C5650" t="str">
        <f>"A0183791"</f>
        <v>A0183791</v>
      </c>
      <c r="D5650" t="s">
        <v>22306</v>
      </c>
      <c r="E5650" t="s">
        <v>22307</v>
      </c>
      <c r="F5650" t="s">
        <v>8019</v>
      </c>
      <c r="G5650" t="s">
        <v>925</v>
      </c>
      <c r="H5650" t="s">
        <v>22308</v>
      </c>
      <c r="I5650" t="s">
        <v>30</v>
      </c>
      <c r="J5650" t="s">
        <v>41</v>
      </c>
      <c r="K5650" t="s">
        <v>59</v>
      </c>
      <c r="Q5650">
        <v>0</v>
      </c>
      <c r="R5650">
        <v>0</v>
      </c>
      <c r="S5650">
        <v>0</v>
      </c>
      <c r="T5650" t="s">
        <v>22309</v>
      </c>
    </row>
    <row r="5651" spans="1:20" customFormat="1" ht="15" x14ac:dyDescent="0.25">
      <c r="A5651" t="s">
        <v>35</v>
      </c>
      <c r="B5651" t="s">
        <v>61</v>
      </c>
      <c r="C5651" t="str">
        <f>"A0183790"</f>
        <v>A0183790</v>
      </c>
      <c r="D5651" t="s">
        <v>22310</v>
      </c>
      <c r="E5651" t="s">
        <v>22311</v>
      </c>
      <c r="F5651" t="s">
        <v>3427</v>
      </c>
      <c r="G5651" t="s">
        <v>925</v>
      </c>
      <c r="H5651" t="s">
        <v>22312</v>
      </c>
      <c r="I5651" t="s">
        <v>30</v>
      </c>
      <c r="J5651" t="s">
        <v>41</v>
      </c>
      <c r="K5651" t="s">
        <v>59</v>
      </c>
      <c r="Q5651">
        <v>0</v>
      </c>
      <c r="R5651">
        <v>46</v>
      </c>
      <c r="S5651">
        <v>46</v>
      </c>
      <c r="T5651" t="s">
        <v>22313</v>
      </c>
    </row>
    <row r="5652" spans="1:20" customFormat="1" ht="15" x14ac:dyDescent="0.25">
      <c r="A5652" t="s">
        <v>35</v>
      </c>
      <c r="B5652" t="s">
        <v>61</v>
      </c>
      <c r="C5652" t="str">
        <f>"A0183789"</f>
        <v>A0183789</v>
      </c>
      <c r="D5652" t="s">
        <v>22314</v>
      </c>
      <c r="E5652" t="s">
        <v>22315</v>
      </c>
      <c r="F5652" t="s">
        <v>9877</v>
      </c>
      <c r="G5652" t="s">
        <v>925</v>
      </c>
      <c r="H5652" t="s">
        <v>22316</v>
      </c>
      <c r="I5652" t="s">
        <v>30</v>
      </c>
      <c r="J5652" t="s">
        <v>41</v>
      </c>
      <c r="K5652" t="s">
        <v>59</v>
      </c>
      <c r="Q5652">
        <v>0</v>
      </c>
      <c r="R5652">
        <v>28</v>
      </c>
      <c r="S5652">
        <v>28</v>
      </c>
      <c r="T5652" t="s">
        <v>22317</v>
      </c>
    </row>
    <row r="5653" spans="1:20" customFormat="1" ht="15" x14ac:dyDescent="0.25">
      <c r="A5653" t="s">
        <v>35</v>
      </c>
      <c r="B5653" t="s">
        <v>61</v>
      </c>
      <c r="C5653" t="str">
        <f>"A0183788"</f>
        <v>A0183788</v>
      </c>
      <c r="D5653" t="s">
        <v>22318</v>
      </c>
      <c r="E5653" t="s">
        <v>22319</v>
      </c>
      <c r="F5653" t="s">
        <v>8126</v>
      </c>
      <c r="G5653" t="s">
        <v>925</v>
      </c>
      <c r="H5653" t="s">
        <v>22320</v>
      </c>
      <c r="I5653" t="s">
        <v>30</v>
      </c>
      <c r="J5653" t="s">
        <v>41</v>
      </c>
      <c r="K5653" t="s">
        <v>59</v>
      </c>
      <c r="Q5653">
        <v>0</v>
      </c>
      <c r="R5653">
        <v>0</v>
      </c>
      <c r="S5653">
        <v>0</v>
      </c>
    </row>
    <row r="5654" spans="1:20" customFormat="1" ht="15" x14ac:dyDescent="0.25">
      <c r="A5654" t="s">
        <v>35</v>
      </c>
      <c r="B5654" t="s">
        <v>61</v>
      </c>
      <c r="C5654" t="str">
        <f>"A0183787"</f>
        <v>A0183787</v>
      </c>
      <c r="D5654" t="s">
        <v>22321</v>
      </c>
      <c r="E5654" t="s">
        <v>22322</v>
      </c>
      <c r="F5654" t="s">
        <v>2644</v>
      </c>
      <c r="G5654" t="s">
        <v>925</v>
      </c>
      <c r="H5654" t="s">
        <v>22323</v>
      </c>
      <c r="I5654" t="s">
        <v>30</v>
      </c>
      <c r="J5654" t="s">
        <v>41</v>
      </c>
      <c r="K5654" t="s">
        <v>59</v>
      </c>
      <c r="Q5654">
        <v>0</v>
      </c>
      <c r="R5654">
        <v>80</v>
      </c>
      <c r="S5654">
        <v>80</v>
      </c>
      <c r="T5654" t="s">
        <v>22324</v>
      </c>
    </row>
    <row r="5655" spans="1:20" customFormat="1" ht="15" x14ac:dyDescent="0.25">
      <c r="A5655" t="s">
        <v>35</v>
      </c>
      <c r="B5655" t="s">
        <v>61</v>
      </c>
      <c r="C5655" t="str">
        <f>"A0183786"</f>
        <v>A0183786</v>
      </c>
      <c r="D5655" t="s">
        <v>21023</v>
      </c>
      <c r="E5655" t="s">
        <v>22325</v>
      </c>
      <c r="F5655" t="s">
        <v>288</v>
      </c>
      <c r="G5655" t="s">
        <v>289</v>
      </c>
      <c r="H5655" t="s">
        <v>22326</v>
      </c>
      <c r="I5655" t="s">
        <v>30</v>
      </c>
      <c r="J5655" t="s">
        <v>41</v>
      </c>
      <c r="K5655" t="s">
        <v>59</v>
      </c>
      <c r="Q5655">
        <v>0</v>
      </c>
      <c r="R5655">
        <v>0</v>
      </c>
      <c r="S5655">
        <v>0</v>
      </c>
      <c r="T5655" t="s">
        <v>22327</v>
      </c>
    </row>
    <row r="5656" spans="1:20" customFormat="1" ht="15" x14ac:dyDescent="0.25">
      <c r="A5656" t="s">
        <v>35</v>
      </c>
      <c r="B5656" t="s">
        <v>11871</v>
      </c>
      <c r="C5656" t="str">
        <f>"A0183785"</f>
        <v>A0183785</v>
      </c>
      <c r="D5656" t="s">
        <v>22328</v>
      </c>
      <c r="E5656" t="s">
        <v>22329</v>
      </c>
      <c r="F5656" t="s">
        <v>19113</v>
      </c>
      <c r="G5656" t="s">
        <v>65</v>
      </c>
      <c r="H5656">
        <v>450444180</v>
      </c>
      <c r="I5656" t="s">
        <v>30</v>
      </c>
      <c r="J5656" t="s">
        <v>41</v>
      </c>
      <c r="K5656" t="s">
        <v>59</v>
      </c>
      <c r="Q5656">
        <v>0</v>
      </c>
      <c r="R5656">
        <v>0</v>
      </c>
      <c r="S5656">
        <v>0</v>
      </c>
      <c r="T5656" t="s">
        <v>22330</v>
      </c>
    </row>
    <row r="5657" spans="1:20" customFormat="1" ht="15" x14ac:dyDescent="0.25">
      <c r="A5657" t="s">
        <v>35</v>
      </c>
      <c r="B5657" t="s">
        <v>61</v>
      </c>
      <c r="C5657" t="str">
        <f>"A0183784"</f>
        <v>A0183784</v>
      </c>
      <c r="D5657" t="s">
        <v>22331</v>
      </c>
      <c r="E5657" t="s">
        <v>22332</v>
      </c>
      <c r="F5657" t="s">
        <v>1969</v>
      </c>
      <c r="G5657" t="s">
        <v>65</v>
      </c>
      <c r="H5657">
        <v>430171492</v>
      </c>
      <c r="I5657" t="s">
        <v>30</v>
      </c>
      <c r="J5657" t="s">
        <v>41</v>
      </c>
      <c r="K5657" t="s">
        <v>59</v>
      </c>
      <c r="Q5657">
        <v>0</v>
      </c>
      <c r="R5657">
        <v>60</v>
      </c>
      <c r="S5657">
        <v>60</v>
      </c>
      <c r="T5657" t="s">
        <v>22333</v>
      </c>
    </row>
    <row r="5658" spans="1:20" customFormat="1" ht="15" x14ac:dyDescent="0.25">
      <c r="A5658" t="s">
        <v>35</v>
      </c>
      <c r="B5658" t="s">
        <v>61</v>
      </c>
      <c r="C5658" t="str">
        <f>"A0183783"</f>
        <v>A0183783</v>
      </c>
      <c r="D5658" t="s">
        <v>22334</v>
      </c>
      <c r="E5658" t="s">
        <v>22335</v>
      </c>
      <c r="F5658" t="s">
        <v>3661</v>
      </c>
      <c r="G5658" t="s">
        <v>65</v>
      </c>
      <c r="H5658">
        <v>452081954</v>
      </c>
      <c r="I5658" t="s">
        <v>30</v>
      </c>
      <c r="J5658" t="s">
        <v>41</v>
      </c>
      <c r="K5658" t="s">
        <v>59</v>
      </c>
      <c r="Q5658">
        <v>0</v>
      </c>
      <c r="R5658">
        <v>0</v>
      </c>
      <c r="S5658">
        <v>0</v>
      </c>
      <c r="T5658" t="s">
        <v>22336</v>
      </c>
    </row>
    <row r="5659" spans="1:20" customFormat="1" ht="15" x14ac:dyDescent="0.25">
      <c r="A5659" t="s">
        <v>35</v>
      </c>
      <c r="B5659" t="s">
        <v>61</v>
      </c>
      <c r="C5659" t="str">
        <f>"A0183782"</f>
        <v>A0183782</v>
      </c>
      <c r="D5659" t="s">
        <v>22337</v>
      </c>
      <c r="E5659" t="s">
        <v>22338</v>
      </c>
      <c r="F5659" t="s">
        <v>22339</v>
      </c>
      <c r="G5659" t="s">
        <v>65</v>
      </c>
      <c r="H5659" t="s">
        <v>22340</v>
      </c>
      <c r="I5659" t="s">
        <v>30</v>
      </c>
      <c r="J5659" t="s">
        <v>41</v>
      </c>
      <c r="K5659" t="s">
        <v>59</v>
      </c>
      <c r="Q5659">
        <v>0</v>
      </c>
      <c r="R5659">
        <v>0</v>
      </c>
      <c r="S5659">
        <v>0</v>
      </c>
      <c r="T5659" t="s">
        <v>22341</v>
      </c>
    </row>
    <row r="5660" spans="1:20" customFormat="1" ht="15" x14ac:dyDescent="0.25">
      <c r="A5660" t="s">
        <v>35</v>
      </c>
      <c r="B5660" t="s">
        <v>61</v>
      </c>
      <c r="C5660" t="str">
        <f>"A0183781"</f>
        <v>A0183781</v>
      </c>
      <c r="D5660" t="s">
        <v>22342</v>
      </c>
      <c r="E5660" t="s">
        <v>22343</v>
      </c>
      <c r="F5660" t="s">
        <v>11455</v>
      </c>
      <c r="G5660" t="s">
        <v>71</v>
      </c>
      <c r="H5660">
        <v>53225</v>
      </c>
      <c r="I5660" t="s">
        <v>30</v>
      </c>
      <c r="J5660" t="s">
        <v>41</v>
      </c>
      <c r="K5660" t="s">
        <v>59</v>
      </c>
      <c r="Q5660">
        <v>0</v>
      </c>
      <c r="R5660">
        <v>157</v>
      </c>
      <c r="S5660">
        <v>157</v>
      </c>
      <c r="T5660" t="s">
        <v>20616</v>
      </c>
    </row>
    <row r="5661" spans="1:20" customFormat="1" ht="15" x14ac:dyDescent="0.25">
      <c r="A5661" t="s">
        <v>35</v>
      </c>
      <c r="B5661" t="s">
        <v>61</v>
      </c>
      <c r="C5661" t="str">
        <f>"A0183780"</f>
        <v>A0183780</v>
      </c>
      <c r="D5661" t="s">
        <v>22344</v>
      </c>
      <c r="E5661" t="s">
        <v>22345</v>
      </c>
      <c r="F5661" t="s">
        <v>2784</v>
      </c>
      <c r="G5661" t="s">
        <v>925</v>
      </c>
      <c r="H5661" t="s">
        <v>22346</v>
      </c>
      <c r="I5661" t="s">
        <v>30</v>
      </c>
      <c r="J5661" t="s">
        <v>41</v>
      </c>
      <c r="K5661" t="s">
        <v>59</v>
      </c>
      <c r="Q5661">
        <v>0</v>
      </c>
      <c r="R5661">
        <v>90</v>
      </c>
      <c r="S5661">
        <v>90</v>
      </c>
      <c r="T5661" t="s">
        <v>22347</v>
      </c>
    </row>
    <row r="5662" spans="1:20" customFormat="1" ht="15" x14ac:dyDescent="0.25">
      <c r="A5662" t="s">
        <v>35</v>
      </c>
      <c r="B5662" t="s">
        <v>61</v>
      </c>
      <c r="C5662" t="str">
        <f>"A0183779"</f>
        <v>A0183779</v>
      </c>
      <c r="D5662" t="s">
        <v>22348</v>
      </c>
      <c r="E5662" t="s">
        <v>22349</v>
      </c>
      <c r="F5662" t="s">
        <v>1981</v>
      </c>
      <c r="G5662" t="s">
        <v>289</v>
      </c>
      <c r="H5662" t="s">
        <v>22350</v>
      </c>
      <c r="I5662" t="s">
        <v>30</v>
      </c>
      <c r="J5662" t="s">
        <v>41</v>
      </c>
      <c r="K5662" t="s">
        <v>59</v>
      </c>
      <c r="Q5662">
        <v>0</v>
      </c>
      <c r="R5662">
        <v>0</v>
      </c>
      <c r="S5662">
        <v>0</v>
      </c>
    </row>
    <row r="5663" spans="1:20" customFormat="1" ht="15" x14ac:dyDescent="0.25">
      <c r="A5663" t="s">
        <v>35</v>
      </c>
      <c r="B5663" t="s">
        <v>61</v>
      </c>
      <c r="C5663" t="str">
        <f>"A0183778"</f>
        <v>A0183778</v>
      </c>
      <c r="D5663" t="s">
        <v>22351</v>
      </c>
      <c r="E5663" t="s">
        <v>22154</v>
      </c>
      <c r="F5663" t="s">
        <v>7317</v>
      </c>
      <c r="G5663" t="s">
        <v>1898</v>
      </c>
      <c r="H5663">
        <v>50312</v>
      </c>
      <c r="I5663" t="s">
        <v>30</v>
      </c>
      <c r="J5663" t="s">
        <v>41</v>
      </c>
      <c r="K5663" t="s">
        <v>59</v>
      </c>
      <c r="Q5663">
        <v>0</v>
      </c>
      <c r="R5663">
        <v>290</v>
      </c>
      <c r="S5663">
        <v>290</v>
      </c>
      <c r="T5663" t="s">
        <v>22352</v>
      </c>
    </row>
    <row r="5664" spans="1:20" customFormat="1" ht="15" x14ac:dyDescent="0.25">
      <c r="A5664" t="s">
        <v>35</v>
      </c>
      <c r="B5664" t="s">
        <v>61</v>
      </c>
      <c r="C5664" t="str">
        <f>"A0183777"</f>
        <v>A0183777</v>
      </c>
      <c r="D5664" t="s">
        <v>22353</v>
      </c>
      <c r="E5664" t="s">
        <v>22354</v>
      </c>
      <c r="F5664" t="s">
        <v>22355</v>
      </c>
      <c r="G5664" t="s">
        <v>1898</v>
      </c>
      <c r="H5664" t="s">
        <v>22356</v>
      </c>
      <c r="I5664" t="s">
        <v>30</v>
      </c>
      <c r="J5664" t="s">
        <v>41</v>
      </c>
      <c r="K5664" t="s">
        <v>59</v>
      </c>
      <c r="Q5664">
        <v>0</v>
      </c>
      <c r="R5664">
        <v>82</v>
      </c>
      <c r="S5664">
        <v>82</v>
      </c>
      <c r="T5664" t="s">
        <v>22357</v>
      </c>
    </row>
    <row r="5665" spans="1:20" customFormat="1" ht="15" x14ac:dyDescent="0.25">
      <c r="A5665" t="s">
        <v>35</v>
      </c>
      <c r="B5665" t="s">
        <v>61</v>
      </c>
      <c r="C5665" t="str">
        <f>"A0183776"</f>
        <v>A0183776</v>
      </c>
      <c r="D5665" t="s">
        <v>22358</v>
      </c>
      <c r="E5665" t="s">
        <v>22359</v>
      </c>
      <c r="F5665" t="s">
        <v>22360</v>
      </c>
      <c r="G5665" t="s">
        <v>1898</v>
      </c>
      <c r="H5665" t="s">
        <v>22361</v>
      </c>
      <c r="I5665" t="s">
        <v>30</v>
      </c>
      <c r="J5665" t="s">
        <v>41</v>
      </c>
      <c r="K5665" t="s">
        <v>59</v>
      </c>
      <c r="Q5665">
        <v>0</v>
      </c>
      <c r="R5665">
        <v>372</v>
      </c>
      <c r="S5665">
        <v>372</v>
      </c>
      <c r="T5665" t="s">
        <v>22362</v>
      </c>
    </row>
    <row r="5666" spans="1:20" customFormat="1" ht="15" x14ac:dyDescent="0.25">
      <c r="A5666" t="s">
        <v>35</v>
      </c>
      <c r="B5666" t="s">
        <v>61</v>
      </c>
      <c r="C5666" t="str">
        <f>"A0183775"</f>
        <v>A0183775</v>
      </c>
      <c r="D5666" t="s">
        <v>22363</v>
      </c>
      <c r="E5666" t="s">
        <v>22364</v>
      </c>
      <c r="F5666" t="s">
        <v>16033</v>
      </c>
      <c r="G5666" t="s">
        <v>71</v>
      </c>
      <c r="H5666" t="s">
        <v>22365</v>
      </c>
      <c r="I5666" t="s">
        <v>30</v>
      </c>
      <c r="J5666" t="s">
        <v>41</v>
      </c>
      <c r="K5666" t="s">
        <v>59</v>
      </c>
      <c r="Q5666">
        <v>0</v>
      </c>
      <c r="R5666">
        <v>115</v>
      </c>
      <c r="S5666">
        <v>115</v>
      </c>
      <c r="T5666" t="s">
        <v>22366</v>
      </c>
    </row>
    <row r="5667" spans="1:20" customFormat="1" ht="15" x14ac:dyDescent="0.25">
      <c r="A5667" t="s">
        <v>35</v>
      </c>
      <c r="B5667" t="s">
        <v>61</v>
      </c>
      <c r="C5667" t="str">
        <f>"A0183774"</f>
        <v>A0183774</v>
      </c>
      <c r="D5667" t="s">
        <v>22367</v>
      </c>
      <c r="E5667" t="s">
        <v>22368</v>
      </c>
      <c r="F5667" t="s">
        <v>16033</v>
      </c>
      <c r="G5667" t="s">
        <v>71</v>
      </c>
      <c r="H5667" t="s">
        <v>22365</v>
      </c>
      <c r="I5667" t="s">
        <v>30</v>
      </c>
      <c r="J5667" t="s">
        <v>41</v>
      </c>
      <c r="K5667" t="s">
        <v>59</v>
      </c>
      <c r="Q5667">
        <v>0</v>
      </c>
      <c r="R5667">
        <v>155</v>
      </c>
      <c r="S5667">
        <v>155</v>
      </c>
      <c r="T5667" t="s">
        <v>22369</v>
      </c>
    </row>
    <row r="5668" spans="1:20" customFormat="1" ht="15" x14ac:dyDescent="0.25">
      <c r="A5668" t="s">
        <v>35</v>
      </c>
      <c r="B5668" t="s">
        <v>61</v>
      </c>
      <c r="C5668" t="str">
        <f>"A0183773"</f>
        <v>A0183773</v>
      </c>
      <c r="D5668" t="s">
        <v>22370</v>
      </c>
      <c r="E5668" t="s">
        <v>11883</v>
      </c>
      <c r="F5668" t="s">
        <v>11884</v>
      </c>
      <c r="G5668" t="s">
        <v>71</v>
      </c>
      <c r="H5668" t="s">
        <v>11885</v>
      </c>
      <c r="I5668" t="s">
        <v>30</v>
      </c>
      <c r="J5668" t="s">
        <v>41</v>
      </c>
      <c r="K5668" t="s">
        <v>59</v>
      </c>
      <c r="Q5668">
        <v>0</v>
      </c>
      <c r="R5668">
        <v>0</v>
      </c>
      <c r="S5668">
        <v>0</v>
      </c>
      <c r="T5668" t="s">
        <v>11886</v>
      </c>
    </row>
    <row r="5669" spans="1:20" customFormat="1" ht="15" x14ac:dyDescent="0.25">
      <c r="A5669" t="s">
        <v>35</v>
      </c>
      <c r="B5669" t="s">
        <v>61</v>
      </c>
      <c r="C5669" t="str">
        <f>"A0183772"</f>
        <v>A0183772</v>
      </c>
      <c r="D5669" t="s">
        <v>22371</v>
      </c>
      <c r="E5669" t="s">
        <v>11883</v>
      </c>
      <c r="F5669" t="s">
        <v>11884</v>
      </c>
      <c r="G5669" t="s">
        <v>71</v>
      </c>
      <c r="H5669" t="s">
        <v>11885</v>
      </c>
      <c r="I5669" t="s">
        <v>30</v>
      </c>
      <c r="J5669" t="s">
        <v>41</v>
      </c>
      <c r="K5669" t="s">
        <v>59</v>
      </c>
      <c r="Q5669">
        <v>0</v>
      </c>
      <c r="R5669">
        <v>0</v>
      </c>
      <c r="S5669">
        <v>0</v>
      </c>
      <c r="T5669" t="s">
        <v>11886</v>
      </c>
    </row>
    <row r="5670" spans="1:20" customFormat="1" ht="15" x14ac:dyDescent="0.25">
      <c r="A5670" t="s">
        <v>35</v>
      </c>
      <c r="B5670" t="s">
        <v>61</v>
      </c>
      <c r="C5670" t="str">
        <f>"A0183771"</f>
        <v>A0183771</v>
      </c>
      <c r="D5670" t="s">
        <v>22372</v>
      </c>
      <c r="E5670" t="s">
        <v>22373</v>
      </c>
      <c r="F5670" t="s">
        <v>22374</v>
      </c>
      <c r="G5670" t="s">
        <v>99</v>
      </c>
      <c r="H5670" t="s">
        <v>22375</v>
      </c>
      <c r="I5670" t="s">
        <v>30</v>
      </c>
      <c r="J5670" t="s">
        <v>41</v>
      </c>
      <c r="K5670" t="s">
        <v>59</v>
      </c>
      <c r="Q5670">
        <v>0</v>
      </c>
      <c r="R5670">
        <v>0</v>
      </c>
      <c r="S5670">
        <v>0</v>
      </c>
      <c r="T5670" t="s">
        <v>22376</v>
      </c>
    </row>
    <row r="5671" spans="1:20" customFormat="1" ht="15" x14ac:dyDescent="0.25">
      <c r="A5671" t="s">
        <v>35</v>
      </c>
      <c r="B5671" t="s">
        <v>61</v>
      </c>
      <c r="C5671" t="str">
        <f>"A0183770"</f>
        <v>A0183770</v>
      </c>
      <c r="D5671" t="s">
        <v>22377</v>
      </c>
      <c r="E5671" t="s">
        <v>22378</v>
      </c>
      <c r="F5671" t="s">
        <v>16521</v>
      </c>
      <c r="G5671" t="s">
        <v>289</v>
      </c>
      <c r="H5671" t="s">
        <v>22379</v>
      </c>
      <c r="I5671" t="s">
        <v>30</v>
      </c>
      <c r="J5671" t="s">
        <v>41</v>
      </c>
      <c r="K5671" t="s">
        <v>59</v>
      </c>
      <c r="Q5671">
        <v>0</v>
      </c>
      <c r="R5671">
        <v>191</v>
      </c>
      <c r="S5671">
        <v>191</v>
      </c>
      <c r="T5671" t="s">
        <v>22380</v>
      </c>
    </row>
    <row r="5672" spans="1:20" customFormat="1" ht="15" x14ac:dyDescent="0.25">
      <c r="A5672" t="s">
        <v>35</v>
      </c>
      <c r="B5672" t="s">
        <v>61</v>
      </c>
      <c r="C5672" t="str">
        <f>"A0183769"</f>
        <v>A0183769</v>
      </c>
      <c r="D5672" t="s">
        <v>22381</v>
      </c>
      <c r="E5672" t="s">
        <v>22382</v>
      </c>
      <c r="F5672" t="s">
        <v>288</v>
      </c>
      <c r="G5672" t="s">
        <v>289</v>
      </c>
      <c r="H5672" t="s">
        <v>22383</v>
      </c>
      <c r="I5672" t="s">
        <v>30</v>
      </c>
      <c r="J5672" t="s">
        <v>41</v>
      </c>
      <c r="K5672" t="s">
        <v>59</v>
      </c>
      <c r="Q5672">
        <v>0</v>
      </c>
      <c r="R5672">
        <v>241</v>
      </c>
      <c r="S5672">
        <v>241</v>
      </c>
      <c r="T5672" t="s">
        <v>22384</v>
      </c>
    </row>
    <row r="5673" spans="1:20" customFormat="1" ht="15" x14ac:dyDescent="0.25">
      <c r="A5673" t="s">
        <v>35</v>
      </c>
      <c r="B5673" t="s">
        <v>61</v>
      </c>
      <c r="C5673" t="str">
        <f>"A0183768"</f>
        <v>A0183768</v>
      </c>
      <c r="D5673" t="s">
        <v>22385</v>
      </c>
      <c r="E5673" t="s">
        <v>22386</v>
      </c>
      <c r="F5673" t="s">
        <v>22387</v>
      </c>
      <c r="G5673" t="s">
        <v>1898</v>
      </c>
      <c r="H5673" t="s">
        <v>22388</v>
      </c>
      <c r="I5673" t="s">
        <v>30</v>
      </c>
      <c r="J5673" t="s">
        <v>41</v>
      </c>
      <c r="K5673" t="s">
        <v>59</v>
      </c>
      <c r="Q5673">
        <v>0</v>
      </c>
      <c r="R5673">
        <v>0</v>
      </c>
      <c r="S5673">
        <v>0</v>
      </c>
    </row>
    <row r="5674" spans="1:20" customFormat="1" ht="15" x14ac:dyDescent="0.25">
      <c r="A5674" t="s">
        <v>35</v>
      </c>
      <c r="B5674" t="s">
        <v>61</v>
      </c>
      <c r="C5674" t="str">
        <f>"A0183767"</f>
        <v>A0183767</v>
      </c>
      <c r="D5674" t="s">
        <v>22389</v>
      </c>
      <c r="E5674" t="s">
        <v>22390</v>
      </c>
      <c r="F5674" t="s">
        <v>22355</v>
      </c>
      <c r="G5674" t="s">
        <v>1898</v>
      </c>
      <c r="H5674" t="s">
        <v>22391</v>
      </c>
      <c r="I5674" t="s">
        <v>30</v>
      </c>
      <c r="J5674" t="s">
        <v>41</v>
      </c>
      <c r="K5674" t="s">
        <v>59</v>
      </c>
      <c r="Q5674">
        <v>0</v>
      </c>
      <c r="R5674">
        <v>80</v>
      </c>
      <c r="S5674">
        <v>80</v>
      </c>
      <c r="T5674" t="s">
        <v>22392</v>
      </c>
    </row>
    <row r="5675" spans="1:20" customFormat="1" ht="15" x14ac:dyDescent="0.25">
      <c r="A5675" t="s">
        <v>35</v>
      </c>
      <c r="B5675" t="s">
        <v>61</v>
      </c>
      <c r="C5675" t="str">
        <f>"A0183766"</f>
        <v>A0183766</v>
      </c>
      <c r="D5675" t="s">
        <v>22393</v>
      </c>
      <c r="E5675" t="s">
        <v>22394</v>
      </c>
      <c r="F5675" t="s">
        <v>638</v>
      </c>
      <c r="G5675" t="s">
        <v>1898</v>
      </c>
      <c r="H5675" t="s">
        <v>22395</v>
      </c>
      <c r="I5675" t="s">
        <v>30</v>
      </c>
      <c r="J5675" t="s">
        <v>41</v>
      </c>
      <c r="K5675" t="s">
        <v>59</v>
      </c>
      <c r="Q5675">
        <v>0</v>
      </c>
      <c r="R5675">
        <v>162</v>
      </c>
      <c r="S5675">
        <v>162</v>
      </c>
      <c r="T5675" t="s">
        <v>22396</v>
      </c>
    </row>
    <row r="5676" spans="1:20" customFormat="1" ht="15" x14ac:dyDescent="0.25">
      <c r="A5676" t="s">
        <v>35</v>
      </c>
      <c r="B5676" t="s">
        <v>61</v>
      </c>
      <c r="C5676" t="str">
        <f>"A0183765"</f>
        <v>A0183765</v>
      </c>
      <c r="D5676" t="s">
        <v>22397</v>
      </c>
      <c r="E5676" t="s">
        <v>22398</v>
      </c>
      <c r="F5676" t="s">
        <v>22399</v>
      </c>
      <c r="G5676" t="s">
        <v>338</v>
      </c>
      <c r="H5676" t="s">
        <v>22400</v>
      </c>
      <c r="I5676" t="s">
        <v>30</v>
      </c>
      <c r="J5676" t="s">
        <v>41</v>
      </c>
      <c r="K5676" t="s">
        <v>59</v>
      </c>
      <c r="Q5676">
        <v>0</v>
      </c>
      <c r="R5676">
        <v>43</v>
      </c>
      <c r="S5676">
        <v>43</v>
      </c>
      <c r="T5676" t="s">
        <v>22401</v>
      </c>
    </row>
    <row r="5677" spans="1:20" customFormat="1" ht="15" x14ac:dyDescent="0.25">
      <c r="A5677" t="s">
        <v>35</v>
      </c>
      <c r="B5677" t="s">
        <v>61</v>
      </c>
      <c r="C5677" t="str">
        <f>"A0183763"</f>
        <v>A0183763</v>
      </c>
      <c r="D5677" t="s">
        <v>22402</v>
      </c>
      <c r="E5677" t="s">
        <v>18743</v>
      </c>
      <c r="F5677" t="s">
        <v>17621</v>
      </c>
      <c r="G5677" t="s">
        <v>52</v>
      </c>
      <c r="H5677">
        <v>769025661</v>
      </c>
      <c r="I5677" t="s">
        <v>30</v>
      </c>
      <c r="J5677" t="s">
        <v>41</v>
      </c>
      <c r="K5677" t="s">
        <v>59</v>
      </c>
      <c r="Q5677">
        <v>0</v>
      </c>
      <c r="R5677">
        <v>0</v>
      </c>
      <c r="S5677">
        <v>0</v>
      </c>
    </row>
    <row r="5678" spans="1:20" customFormat="1" ht="15" x14ac:dyDescent="0.25">
      <c r="A5678" t="s">
        <v>35</v>
      </c>
      <c r="B5678" t="s">
        <v>61</v>
      </c>
      <c r="C5678" t="str">
        <f>"A0183762"</f>
        <v>A0183762</v>
      </c>
      <c r="D5678" t="s">
        <v>22403</v>
      </c>
      <c r="E5678" t="s">
        <v>22404</v>
      </c>
      <c r="F5678" t="s">
        <v>17621</v>
      </c>
      <c r="G5678" t="s">
        <v>52</v>
      </c>
      <c r="H5678">
        <v>76902</v>
      </c>
      <c r="I5678" t="s">
        <v>30</v>
      </c>
      <c r="J5678" t="s">
        <v>41</v>
      </c>
      <c r="K5678" t="s">
        <v>59</v>
      </c>
      <c r="Q5678">
        <v>0</v>
      </c>
      <c r="R5678">
        <v>0</v>
      </c>
      <c r="S5678">
        <v>0</v>
      </c>
    </row>
    <row r="5679" spans="1:20" customFormat="1" ht="15" x14ac:dyDescent="0.25">
      <c r="A5679" t="s">
        <v>35</v>
      </c>
      <c r="B5679" t="s">
        <v>61</v>
      </c>
      <c r="C5679" t="str">
        <f>"A0183761"</f>
        <v>A0183761</v>
      </c>
      <c r="D5679" t="s">
        <v>22405</v>
      </c>
      <c r="E5679" t="s">
        <v>22406</v>
      </c>
      <c r="F5679" t="s">
        <v>5257</v>
      </c>
      <c r="G5679" t="s">
        <v>52</v>
      </c>
      <c r="H5679" t="s">
        <v>22407</v>
      </c>
      <c r="I5679" t="s">
        <v>30</v>
      </c>
      <c r="J5679" t="s">
        <v>41</v>
      </c>
      <c r="K5679" t="s">
        <v>59</v>
      </c>
      <c r="Q5679">
        <v>0</v>
      </c>
      <c r="R5679">
        <v>79</v>
      </c>
      <c r="S5679">
        <v>79</v>
      </c>
      <c r="T5679" t="s">
        <v>22408</v>
      </c>
    </row>
    <row r="5680" spans="1:20" customFormat="1" ht="15" x14ac:dyDescent="0.25">
      <c r="A5680" t="s">
        <v>35</v>
      </c>
      <c r="B5680" t="s">
        <v>61</v>
      </c>
      <c r="C5680" t="str">
        <f>"A0183760"</f>
        <v>A0183760</v>
      </c>
      <c r="D5680" t="s">
        <v>22409</v>
      </c>
      <c r="E5680" t="s">
        <v>22410</v>
      </c>
      <c r="F5680" t="s">
        <v>22411</v>
      </c>
      <c r="G5680" t="s">
        <v>52</v>
      </c>
      <c r="H5680" t="s">
        <v>22412</v>
      </c>
      <c r="I5680" t="s">
        <v>30</v>
      </c>
      <c r="J5680" t="s">
        <v>41</v>
      </c>
      <c r="K5680" t="s">
        <v>59</v>
      </c>
      <c r="Q5680">
        <v>0</v>
      </c>
      <c r="R5680">
        <v>36</v>
      </c>
      <c r="S5680">
        <v>36</v>
      </c>
      <c r="T5680" t="s">
        <v>22413</v>
      </c>
    </row>
    <row r="5681" spans="1:20" customFormat="1" ht="15" x14ac:dyDescent="0.25">
      <c r="A5681" t="s">
        <v>35</v>
      </c>
      <c r="B5681" t="s">
        <v>61</v>
      </c>
      <c r="C5681" t="str">
        <f>"A0183759"</f>
        <v>A0183759</v>
      </c>
      <c r="D5681" t="s">
        <v>22414</v>
      </c>
      <c r="E5681" t="s">
        <v>22415</v>
      </c>
      <c r="F5681" t="s">
        <v>5772</v>
      </c>
      <c r="G5681" t="s">
        <v>99</v>
      </c>
      <c r="H5681" t="s">
        <v>22416</v>
      </c>
      <c r="I5681" t="s">
        <v>30</v>
      </c>
      <c r="J5681" t="s">
        <v>41</v>
      </c>
      <c r="K5681" t="s">
        <v>59</v>
      </c>
      <c r="Q5681">
        <v>0</v>
      </c>
      <c r="R5681">
        <v>0</v>
      </c>
      <c r="S5681">
        <v>0</v>
      </c>
    </row>
    <row r="5682" spans="1:20" customFormat="1" ht="15" x14ac:dyDescent="0.25">
      <c r="A5682" t="s">
        <v>35</v>
      </c>
      <c r="B5682" t="s">
        <v>61</v>
      </c>
      <c r="C5682" t="str">
        <f>"A0183758"</f>
        <v>A0183758</v>
      </c>
      <c r="D5682" t="s">
        <v>22417</v>
      </c>
      <c r="E5682" t="s">
        <v>22418</v>
      </c>
      <c r="F5682" t="s">
        <v>22419</v>
      </c>
      <c r="G5682" t="s">
        <v>99</v>
      </c>
      <c r="H5682" t="s">
        <v>22420</v>
      </c>
      <c r="I5682" t="s">
        <v>30</v>
      </c>
      <c r="J5682" t="s">
        <v>41</v>
      </c>
      <c r="K5682" t="s">
        <v>59</v>
      </c>
      <c r="Q5682">
        <v>0</v>
      </c>
      <c r="R5682">
        <v>0</v>
      </c>
      <c r="S5682">
        <v>0</v>
      </c>
      <c r="T5682" t="s">
        <v>22421</v>
      </c>
    </row>
    <row r="5683" spans="1:20" customFormat="1" ht="15" x14ac:dyDescent="0.25">
      <c r="A5683" t="s">
        <v>35</v>
      </c>
      <c r="B5683" t="s">
        <v>61</v>
      </c>
      <c r="C5683" t="str">
        <f>"A0183757"</f>
        <v>A0183757</v>
      </c>
      <c r="D5683" t="s">
        <v>22422</v>
      </c>
      <c r="E5683" t="s">
        <v>22423</v>
      </c>
      <c r="F5683" t="s">
        <v>22424</v>
      </c>
      <c r="G5683" t="s">
        <v>99</v>
      </c>
      <c r="H5683" t="s">
        <v>22425</v>
      </c>
      <c r="I5683" t="s">
        <v>30</v>
      </c>
      <c r="J5683" t="s">
        <v>41</v>
      </c>
      <c r="K5683" t="s">
        <v>59</v>
      </c>
      <c r="Q5683">
        <v>0</v>
      </c>
      <c r="R5683">
        <v>0</v>
      </c>
      <c r="S5683">
        <v>0</v>
      </c>
      <c r="T5683" t="s">
        <v>22426</v>
      </c>
    </row>
    <row r="5684" spans="1:20" customFormat="1" ht="15" x14ac:dyDescent="0.25">
      <c r="A5684" t="s">
        <v>35</v>
      </c>
      <c r="B5684" t="s">
        <v>61</v>
      </c>
      <c r="C5684" t="str">
        <f>"A0183756"</f>
        <v>A0183756</v>
      </c>
      <c r="D5684" t="s">
        <v>22427</v>
      </c>
      <c r="E5684" t="s">
        <v>22428</v>
      </c>
      <c r="F5684" t="s">
        <v>2770</v>
      </c>
      <c r="G5684" t="s">
        <v>99</v>
      </c>
      <c r="H5684">
        <v>13617</v>
      </c>
      <c r="I5684" t="s">
        <v>30</v>
      </c>
      <c r="J5684" t="s">
        <v>41</v>
      </c>
      <c r="K5684" t="s">
        <v>59</v>
      </c>
      <c r="Q5684">
        <v>0</v>
      </c>
      <c r="R5684">
        <v>160</v>
      </c>
      <c r="S5684">
        <v>160</v>
      </c>
      <c r="T5684" t="s">
        <v>22429</v>
      </c>
    </row>
    <row r="5685" spans="1:20" customFormat="1" ht="15" x14ac:dyDescent="0.25">
      <c r="A5685" t="s">
        <v>35</v>
      </c>
      <c r="B5685" t="s">
        <v>61</v>
      </c>
      <c r="C5685" t="str">
        <f>"A0183755"</f>
        <v>A0183755</v>
      </c>
      <c r="D5685" t="s">
        <v>22430</v>
      </c>
      <c r="E5685" t="s">
        <v>22431</v>
      </c>
      <c r="F5685" t="s">
        <v>4269</v>
      </c>
      <c r="G5685" t="s">
        <v>99</v>
      </c>
      <c r="H5685" t="s">
        <v>22432</v>
      </c>
      <c r="I5685" t="s">
        <v>30</v>
      </c>
      <c r="J5685" t="s">
        <v>41</v>
      </c>
      <c r="K5685" t="s">
        <v>59</v>
      </c>
      <c r="Q5685">
        <v>0</v>
      </c>
      <c r="R5685">
        <v>0</v>
      </c>
      <c r="S5685">
        <v>0</v>
      </c>
      <c r="T5685" t="s">
        <v>22433</v>
      </c>
    </row>
    <row r="5686" spans="1:20" customFormat="1" ht="15" x14ac:dyDescent="0.25">
      <c r="A5686" t="s">
        <v>35</v>
      </c>
      <c r="B5686" t="s">
        <v>61</v>
      </c>
      <c r="C5686" t="str">
        <f>"A0183754"</f>
        <v>A0183754</v>
      </c>
      <c r="D5686" t="s">
        <v>22434</v>
      </c>
      <c r="E5686" t="s">
        <v>22435</v>
      </c>
      <c r="F5686" t="s">
        <v>22436</v>
      </c>
      <c r="G5686" t="s">
        <v>214</v>
      </c>
      <c r="H5686" t="s">
        <v>22437</v>
      </c>
      <c r="I5686" t="s">
        <v>30</v>
      </c>
      <c r="J5686" t="s">
        <v>41</v>
      </c>
      <c r="K5686" t="s">
        <v>59</v>
      </c>
      <c r="Q5686">
        <v>0</v>
      </c>
      <c r="R5686">
        <v>92</v>
      </c>
      <c r="S5686">
        <v>92</v>
      </c>
      <c r="T5686" t="s">
        <v>22438</v>
      </c>
    </row>
    <row r="5687" spans="1:20" customFormat="1" ht="15" x14ac:dyDescent="0.25">
      <c r="A5687" t="s">
        <v>35</v>
      </c>
      <c r="B5687" t="s">
        <v>61</v>
      </c>
      <c r="C5687" t="str">
        <f>"A0183753"</f>
        <v>A0183753</v>
      </c>
      <c r="D5687" t="s">
        <v>22439</v>
      </c>
      <c r="E5687" t="s">
        <v>22440</v>
      </c>
      <c r="F5687" t="s">
        <v>288</v>
      </c>
      <c r="G5687" t="s">
        <v>289</v>
      </c>
      <c r="H5687">
        <v>60620</v>
      </c>
      <c r="I5687" t="s">
        <v>30</v>
      </c>
      <c r="J5687" t="s">
        <v>41</v>
      </c>
      <c r="K5687" t="s">
        <v>59</v>
      </c>
      <c r="Q5687">
        <v>0</v>
      </c>
      <c r="R5687">
        <v>0</v>
      </c>
      <c r="S5687">
        <v>0</v>
      </c>
      <c r="T5687" t="s">
        <v>22441</v>
      </c>
    </row>
    <row r="5688" spans="1:20" customFormat="1" ht="15" x14ac:dyDescent="0.25">
      <c r="A5688" t="s">
        <v>35</v>
      </c>
      <c r="B5688" t="s">
        <v>11871</v>
      </c>
      <c r="C5688" t="str">
        <f>"A0183752"</f>
        <v>A0183752</v>
      </c>
      <c r="D5688" t="s">
        <v>22442</v>
      </c>
      <c r="E5688" t="s">
        <v>22443</v>
      </c>
      <c r="F5688" t="s">
        <v>22444</v>
      </c>
      <c r="G5688" t="s">
        <v>433</v>
      </c>
      <c r="H5688">
        <v>838358882</v>
      </c>
      <c r="I5688" t="s">
        <v>30</v>
      </c>
      <c r="J5688" t="s">
        <v>41</v>
      </c>
      <c r="K5688" t="s">
        <v>59</v>
      </c>
      <c r="Q5688">
        <v>0</v>
      </c>
      <c r="R5688">
        <v>0</v>
      </c>
      <c r="S5688">
        <v>0</v>
      </c>
    </row>
    <row r="5689" spans="1:20" customFormat="1" ht="15" x14ac:dyDescent="0.25">
      <c r="A5689" t="s">
        <v>35</v>
      </c>
      <c r="B5689" t="s">
        <v>61</v>
      </c>
      <c r="C5689" t="str">
        <f>"A0183751"</f>
        <v>A0183751</v>
      </c>
      <c r="D5689" t="s">
        <v>22445</v>
      </c>
      <c r="E5689" t="s">
        <v>22446</v>
      </c>
      <c r="F5689" t="s">
        <v>4674</v>
      </c>
      <c r="G5689" t="s">
        <v>1898</v>
      </c>
      <c r="H5689" t="s">
        <v>22447</v>
      </c>
      <c r="I5689" t="s">
        <v>30</v>
      </c>
      <c r="J5689" t="s">
        <v>41</v>
      </c>
      <c r="K5689" t="s">
        <v>59</v>
      </c>
      <c r="Q5689">
        <v>0</v>
      </c>
      <c r="R5689">
        <v>197</v>
      </c>
      <c r="S5689">
        <v>197</v>
      </c>
      <c r="T5689" t="s">
        <v>22448</v>
      </c>
    </row>
    <row r="5690" spans="1:20" customFormat="1" ht="15" x14ac:dyDescent="0.25">
      <c r="A5690" t="s">
        <v>35</v>
      </c>
      <c r="B5690" t="s">
        <v>61</v>
      </c>
      <c r="C5690" t="str">
        <f>"A0183750"</f>
        <v>A0183750</v>
      </c>
      <c r="D5690" t="s">
        <v>22449</v>
      </c>
      <c r="E5690" t="s">
        <v>22450</v>
      </c>
      <c r="F5690" t="s">
        <v>546</v>
      </c>
      <c r="G5690" t="s">
        <v>338</v>
      </c>
      <c r="H5690">
        <v>8873</v>
      </c>
      <c r="I5690" t="s">
        <v>30</v>
      </c>
      <c r="J5690" t="s">
        <v>41</v>
      </c>
      <c r="K5690" t="s">
        <v>59</v>
      </c>
      <c r="Q5690">
        <v>0</v>
      </c>
      <c r="R5690">
        <v>84</v>
      </c>
      <c r="S5690">
        <v>84</v>
      </c>
      <c r="T5690" t="s">
        <v>22451</v>
      </c>
    </row>
    <row r="5691" spans="1:20" customFormat="1" ht="15" x14ac:dyDescent="0.25">
      <c r="A5691" t="s">
        <v>35</v>
      </c>
      <c r="B5691" t="s">
        <v>61</v>
      </c>
      <c r="C5691" t="str">
        <f>"A0183749"</f>
        <v>A0183749</v>
      </c>
      <c r="D5691" t="s">
        <v>22452</v>
      </c>
      <c r="E5691" t="s">
        <v>22453</v>
      </c>
      <c r="F5691" t="s">
        <v>22454</v>
      </c>
      <c r="G5691" t="s">
        <v>338</v>
      </c>
      <c r="H5691">
        <v>8550</v>
      </c>
      <c r="I5691" t="s">
        <v>30</v>
      </c>
      <c r="J5691" t="s">
        <v>41</v>
      </c>
      <c r="K5691" t="s">
        <v>59</v>
      </c>
      <c r="Q5691">
        <v>0</v>
      </c>
      <c r="R5691">
        <v>0</v>
      </c>
      <c r="S5691">
        <v>0</v>
      </c>
      <c r="T5691" t="s">
        <v>22455</v>
      </c>
    </row>
    <row r="5692" spans="1:20" customFormat="1" ht="15" x14ac:dyDescent="0.25">
      <c r="A5692" t="s">
        <v>35</v>
      </c>
      <c r="B5692" t="s">
        <v>61</v>
      </c>
      <c r="C5692" t="str">
        <f>"A0183747"</f>
        <v>A0183747</v>
      </c>
      <c r="D5692" t="s">
        <v>22456</v>
      </c>
      <c r="E5692" t="s">
        <v>22457</v>
      </c>
      <c r="F5692" t="s">
        <v>22458</v>
      </c>
      <c r="G5692" t="s">
        <v>1898</v>
      </c>
      <c r="H5692">
        <v>50219</v>
      </c>
      <c r="I5692" t="s">
        <v>30</v>
      </c>
      <c r="J5692" t="s">
        <v>41</v>
      </c>
      <c r="K5692" t="s">
        <v>59</v>
      </c>
      <c r="Q5692">
        <v>0</v>
      </c>
      <c r="R5692">
        <v>106</v>
      </c>
      <c r="S5692">
        <v>106</v>
      </c>
      <c r="T5692" t="s">
        <v>22459</v>
      </c>
    </row>
    <row r="5693" spans="1:20" customFormat="1" ht="15" x14ac:dyDescent="0.25">
      <c r="A5693" t="s">
        <v>35</v>
      </c>
      <c r="B5693" t="s">
        <v>61</v>
      </c>
      <c r="C5693" t="str">
        <f>"A0183746"</f>
        <v>A0183746</v>
      </c>
      <c r="D5693" t="s">
        <v>22460</v>
      </c>
      <c r="E5693" t="s">
        <v>22461</v>
      </c>
      <c r="F5693" t="s">
        <v>7317</v>
      </c>
      <c r="G5693" t="s">
        <v>1898</v>
      </c>
      <c r="H5693" t="s">
        <v>22462</v>
      </c>
      <c r="I5693" t="s">
        <v>30</v>
      </c>
      <c r="J5693" t="s">
        <v>41</v>
      </c>
      <c r="K5693" t="s">
        <v>59</v>
      </c>
      <c r="Q5693">
        <v>0</v>
      </c>
      <c r="R5693">
        <v>235</v>
      </c>
      <c r="S5693">
        <v>235</v>
      </c>
      <c r="T5693" t="s">
        <v>22463</v>
      </c>
    </row>
    <row r="5694" spans="1:20" customFormat="1" ht="15" x14ac:dyDescent="0.25">
      <c r="A5694" t="s">
        <v>35</v>
      </c>
      <c r="B5694" t="s">
        <v>61</v>
      </c>
      <c r="C5694" t="str">
        <f>"A0183745"</f>
        <v>A0183745</v>
      </c>
      <c r="D5694" t="s">
        <v>22464</v>
      </c>
      <c r="E5694" t="s">
        <v>22465</v>
      </c>
      <c r="F5694" t="s">
        <v>566</v>
      </c>
      <c r="G5694" t="s">
        <v>338</v>
      </c>
      <c r="H5694">
        <v>8759</v>
      </c>
      <c r="I5694" t="s">
        <v>30</v>
      </c>
      <c r="J5694" t="s">
        <v>41</v>
      </c>
      <c r="K5694" t="s">
        <v>59</v>
      </c>
      <c r="Q5694">
        <v>0</v>
      </c>
      <c r="R5694">
        <v>64</v>
      </c>
      <c r="S5694">
        <v>64</v>
      </c>
      <c r="T5694" t="s">
        <v>22466</v>
      </c>
    </row>
    <row r="5695" spans="1:20" customFormat="1" ht="15" x14ac:dyDescent="0.25">
      <c r="A5695" t="s">
        <v>35</v>
      </c>
      <c r="B5695" t="s">
        <v>61</v>
      </c>
      <c r="C5695" t="str">
        <f>"A0183744"</f>
        <v>A0183744</v>
      </c>
      <c r="D5695" t="s">
        <v>22467</v>
      </c>
      <c r="E5695" t="s">
        <v>22468</v>
      </c>
      <c r="F5695" t="s">
        <v>22469</v>
      </c>
      <c r="G5695" t="s">
        <v>338</v>
      </c>
      <c r="H5695">
        <v>8215</v>
      </c>
      <c r="I5695" t="s">
        <v>30</v>
      </c>
      <c r="J5695" t="s">
        <v>41</v>
      </c>
      <c r="K5695" t="s">
        <v>59</v>
      </c>
      <c r="Q5695">
        <v>0</v>
      </c>
      <c r="R5695">
        <v>0</v>
      </c>
      <c r="S5695">
        <v>0</v>
      </c>
      <c r="T5695" t="s">
        <v>22470</v>
      </c>
    </row>
    <row r="5696" spans="1:20" customFormat="1" ht="15" x14ac:dyDescent="0.25">
      <c r="A5696" t="s">
        <v>35</v>
      </c>
      <c r="B5696" t="s">
        <v>61</v>
      </c>
      <c r="C5696" t="str">
        <f>"A0183743"</f>
        <v>A0183743</v>
      </c>
      <c r="D5696" t="s">
        <v>22471</v>
      </c>
      <c r="E5696" t="s">
        <v>22472</v>
      </c>
      <c r="F5696" t="s">
        <v>22473</v>
      </c>
      <c r="G5696" t="s">
        <v>338</v>
      </c>
      <c r="H5696" t="s">
        <v>22474</v>
      </c>
      <c r="I5696" t="s">
        <v>30</v>
      </c>
      <c r="J5696" t="s">
        <v>41</v>
      </c>
      <c r="K5696" t="s">
        <v>59</v>
      </c>
      <c r="Q5696">
        <v>0</v>
      </c>
      <c r="R5696">
        <v>0</v>
      </c>
      <c r="S5696">
        <v>0</v>
      </c>
      <c r="T5696" t="s">
        <v>22475</v>
      </c>
    </row>
    <row r="5697" spans="1:20" customFormat="1" ht="15" x14ac:dyDescent="0.25">
      <c r="A5697" t="s">
        <v>35</v>
      </c>
      <c r="B5697" t="s">
        <v>61</v>
      </c>
      <c r="C5697" t="str">
        <f>"A0183742"</f>
        <v>A0183742</v>
      </c>
      <c r="D5697" t="s">
        <v>22476</v>
      </c>
      <c r="E5697" t="s">
        <v>22477</v>
      </c>
      <c r="F5697" t="s">
        <v>22478</v>
      </c>
      <c r="G5697" t="s">
        <v>214</v>
      </c>
      <c r="H5697" t="s">
        <v>22479</v>
      </c>
      <c r="I5697" t="s">
        <v>30</v>
      </c>
      <c r="J5697" t="s">
        <v>41</v>
      </c>
      <c r="K5697" t="s">
        <v>59</v>
      </c>
      <c r="Q5697">
        <v>0</v>
      </c>
      <c r="R5697">
        <v>615</v>
      </c>
      <c r="S5697">
        <v>615</v>
      </c>
      <c r="T5697" t="s">
        <v>22480</v>
      </c>
    </row>
    <row r="5698" spans="1:20" customFormat="1" ht="15" x14ac:dyDescent="0.25">
      <c r="A5698" t="s">
        <v>35</v>
      </c>
      <c r="B5698" t="s">
        <v>61</v>
      </c>
      <c r="C5698" t="str">
        <f>"A0183741"</f>
        <v>A0183741</v>
      </c>
      <c r="D5698" t="s">
        <v>22481</v>
      </c>
      <c r="E5698" t="s">
        <v>22482</v>
      </c>
      <c r="F5698" t="s">
        <v>460</v>
      </c>
      <c r="G5698" t="s">
        <v>117</v>
      </c>
      <c r="H5698" t="s">
        <v>22483</v>
      </c>
      <c r="I5698" t="s">
        <v>30</v>
      </c>
      <c r="J5698" t="s">
        <v>41</v>
      </c>
      <c r="K5698" t="s">
        <v>59</v>
      </c>
      <c r="Q5698">
        <v>0</v>
      </c>
      <c r="R5698">
        <v>0</v>
      </c>
      <c r="S5698">
        <v>0</v>
      </c>
      <c r="T5698" t="s">
        <v>22484</v>
      </c>
    </row>
    <row r="5699" spans="1:20" customFormat="1" ht="15" x14ac:dyDescent="0.25">
      <c r="A5699" t="s">
        <v>35</v>
      </c>
      <c r="B5699" t="s">
        <v>61</v>
      </c>
      <c r="C5699" t="str">
        <f>"A0183740"</f>
        <v>A0183740</v>
      </c>
      <c r="D5699" t="s">
        <v>22485</v>
      </c>
      <c r="E5699" t="s">
        <v>22486</v>
      </c>
      <c r="F5699" t="s">
        <v>15636</v>
      </c>
      <c r="G5699" t="s">
        <v>117</v>
      </c>
      <c r="H5699" t="s">
        <v>22487</v>
      </c>
      <c r="I5699" t="s">
        <v>30</v>
      </c>
      <c r="J5699" t="s">
        <v>41</v>
      </c>
      <c r="K5699" t="s">
        <v>59</v>
      </c>
      <c r="Q5699">
        <v>0</v>
      </c>
      <c r="R5699">
        <v>205</v>
      </c>
      <c r="S5699">
        <v>205</v>
      </c>
      <c r="T5699" t="s">
        <v>22488</v>
      </c>
    </row>
    <row r="5700" spans="1:20" customFormat="1" ht="15" x14ac:dyDescent="0.25">
      <c r="A5700" t="s">
        <v>35</v>
      </c>
      <c r="B5700" t="s">
        <v>61</v>
      </c>
      <c r="C5700" t="str">
        <f>"A0183739"</f>
        <v>A0183739</v>
      </c>
      <c r="D5700" t="s">
        <v>22489</v>
      </c>
      <c r="E5700" t="s">
        <v>22490</v>
      </c>
      <c r="F5700" t="s">
        <v>8846</v>
      </c>
      <c r="G5700" t="s">
        <v>117</v>
      </c>
      <c r="H5700" t="s">
        <v>22491</v>
      </c>
      <c r="I5700" t="s">
        <v>30</v>
      </c>
      <c r="J5700" t="s">
        <v>41</v>
      </c>
      <c r="K5700" t="s">
        <v>59</v>
      </c>
      <c r="Q5700">
        <v>0</v>
      </c>
      <c r="R5700">
        <v>0</v>
      </c>
      <c r="S5700">
        <v>0</v>
      </c>
    </row>
    <row r="5701" spans="1:20" customFormat="1" ht="15" x14ac:dyDescent="0.25">
      <c r="A5701" t="s">
        <v>35</v>
      </c>
      <c r="B5701" t="s">
        <v>11871</v>
      </c>
      <c r="C5701" t="str">
        <f>"A0183738"</f>
        <v>A0183738</v>
      </c>
      <c r="D5701" t="s">
        <v>22492</v>
      </c>
      <c r="E5701" t="s">
        <v>22493</v>
      </c>
      <c r="F5701" t="s">
        <v>10897</v>
      </c>
      <c r="G5701" t="s">
        <v>433</v>
      </c>
      <c r="H5701">
        <v>838159112</v>
      </c>
      <c r="I5701" t="s">
        <v>30</v>
      </c>
      <c r="J5701" t="s">
        <v>41</v>
      </c>
      <c r="K5701" t="s">
        <v>59</v>
      </c>
      <c r="Q5701">
        <v>0</v>
      </c>
      <c r="R5701">
        <v>0</v>
      </c>
      <c r="S5701">
        <v>0</v>
      </c>
      <c r="T5701" t="s">
        <v>22494</v>
      </c>
    </row>
    <row r="5702" spans="1:20" customFormat="1" ht="15" x14ac:dyDescent="0.25">
      <c r="A5702" t="s">
        <v>35</v>
      </c>
      <c r="B5702" t="s">
        <v>61</v>
      </c>
      <c r="C5702" t="str">
        <f>"A0183737"</f>
        <v>A0183737</v>
      </c>
      <c r="D5702" t="s">
        <v>22495</v>
      </c>
      <c r="E5702" t="s">
        <v>22496</v>
      </c>
      <c r="F5702" t="s">
        <v>7317</v>
      </c>
      <c r="G5702" t="s">
        <v>1898</v>
      </c>
      <c r="H5702" t="s">
        <v>22497</v>
      </c>
      <c r="I5702" t="s">
        <v>30</v>
      </c>
      <c r="J5702" t="s">
        <v>41</v>
      </c>
      <c r="K5702" t="s">
        <v>59</v>
      </c>
      <c r="Q5702">
        <v>0</v>
      </c>
      <c r="R5702">
        <v>0</v>
      </c>
      <c r="S5702">
        <v>0</v>
      </c>
      <c r="T5702" t="s">
        <v>22498</v>
      </c>
    </row>
    <row r="5703" spans="1:20" customFormat="1" ht="15" x14ac:dyDescent="0.25">
      <c r="A5703" t="s">
        <v>35</v>
      </c>
      <c r="B5703" t="s">
        <v>61</v>
      </c>
      <c r="C5703" t="str">
        <f>"A0183736"</f>
        <v>A0183736</v>
      </c>
      <c r="D5703" t="s">
        <v>22499</v>
      </c>
      <c r="E5703" t="s">
        <v>22500</v>
      </c>
      <c r="F5703" t="s">
        <v>22501</v>
      </c>
      <c r="G5703" t="s">
        <v>1898</v>
      </c>
      <c r="H5703">
        <v>50613</v>
      </c>
      <c r="I5703" t="s">
        <v>30</v>
      </c>
      <c r="J5703" t="s">
        <v>41</v>
      </c>
      <c r="K5703" t="s">
        <v>59</v>
      </c>
      <c r="Q5703">
        <v>0</v>
      </c>
      <c r="R5703">
        <v>0</v>
      </c>
      <c r="S5703">
        <v>0</v>
      </c>
    </row>
    <row r="5704" spans="1:20" customFormat="1" ht="15" x14ac:dyDescent="0.25">
      <c r="A5704" t="s">
        <v>35</v>
      </c>
      <c r="B5704" t="s">
        <v>61</v>
      </c>
      <c r="C5704" t="str">
        <f>"A0183735"</f>
        <v>A0183735</v>
      </c>
      <c r="D5704" t="s">
        <v>22502</v>
      </c>
      <c r="E5704" t="s">
        <v>22503</v>
      </c>
      <c r="F5704" t="s">
        <v>15601</v>
      </c>
      <c r="G5704" t="s">
        <v>1898</v>
      </c>
      <c r="H5704" t="s">
        <v>22504</v>
      </c>
      <c r="I5704" t="s">
        <v>30</v>
      </c>
      <c r="J5704" t="s">
        <v>41</v>
      </c>
      <c r="K5704" t="s">
        <v>59</v>
      </c>
      <c r="Q5704">
        <v>0</v>
      </c>
      <c r="R5704">
        <v>0</v>
      </c>
      <c r="S5704">
        <v>0</v>
      </c>
      <c r="T5704" t="s">
        <v>22505</v>
      </c>
    </row>
    <row r="5705" spans="1:20" customFormat="1" ht="15" x14ac:dyDescent="0.25">
      <c r="A5705" t="s">
        <v>35</v>
      </c>
      <c r="B5705" t="s">
        <v>61</v>
      </c>
      <c r="C5705" t="str">
        <f>"A0183734"</f>
        <v>A0183734</v>
      </c>
      <c r="D5705" t="s">
        <v>22506</v>
      </c>
      <c r="E5705" t="s">
        <v>20510</v>
      </c>
      <c r="F5705" t="s">
        <v>20511</v>
      </c>
      <c r="G5705" t="s">
        <v>338</v>
      </c>
      <c r="H5705">
        <v>7753</v>
      </c>
      <c r="I5705" t="s">
        <v>30</v>
      </c>
      <c r="J5705" t="s">
        <v>41</v>
      </c>
      <c r="K5705" t="s">
        <v>59</v>
      </c>
      <c r="Q5705">
        <v>0</v>
      </c>
      <c r="R5705">
        <v>0</v>
      </c>
      <c r="S5705">
        <v>0</v>
      </c>
      <c r="T5705" t="s">
        <v>20076</v>
      </c>
    </row>
    <row r="5706" spans="1:20" customFormat="1" ht="15" x14ac:dyDescent="0.25">
      <c r="A5706" t="s">
        <v>35</v>
      </c>
      <c r="B5706" t="s">
        <v>61</v>
      </c>
      <c r="C5706" t="str">
        <f>"A0183733"</f>
        <v>A0183733</v>
      </c>
      <c r="D5706" t="s">
        <v>22507</v>
      </c>
      <c r="E5706" t="s">
        <v>22508</v>
      </c>
      <c r="F5706" t="s">
        <v>566</v>
      </c>
      <c r="G5706" t="s">
        <v>338</v>
      </c>
      <c r="H5706">
        <v>8759</v>
      </c>
      <c r="I5706" t="s">
        <v>30</v>
      </c>
      <c r="J5706" t="s">
        <v>41</v>
      </c>
      <c r="K5706" t="s">
        <v>59</v>
      </c>
      <c r="Q5706">
        <v>0</v>
      </c>
      <c r="R5706">
        <v>0</v>
      </c>
      <c r="S5706">
        <v>0</v>
      </c>
    </row>
    <row r="5707" spans="1:20" customFormat="1" ht="15" x14ac:dyDescent="0.25">
      <c r="A5707" t="s">
        <v>35</v>
      </c>
      <c r="B5707" t="s">
        <v>61</v>
      </c>
      <c r="C5707" t="str">
        <f>"A0183732"</f>
        <v>A0183732</v>
      </c>
      <c r="D5707" t="s">
        <v>22509</v>
      </c>
      <c r="E5707" t="s">
        <v>22510</v>
      </c>
      <c r="F5707" t="s">
        <v>22511</v>
      </c>
      <c r="G5707" t="s">
        <v>338</v>
      </c>
      <c r="H5707">
        <v>8846</v>
      </c>
      <c r="I5707" t="s">
        <v>30</v>
      </c>
      <c r="J5707" t="s">
        <v>41</v>
      </c>
      <c r="K5707" t="s">
        <v>59</v>
      </c>
      <c r="Q5707">
        <v>0</v>
      </c>
      <c r="R5707">
        <v>0</v>
      </c>
      <c r="S5707">
        <v>0</v>
      </c>
      <c r="T5707" t="s">
        <v>22512</v>
      </c>
    </row>
    <row r="5708" spans="1:20" customFormat="1" ht="15" x14ac:dyDescent="0.25">
      <c r="A5708" t="s">
        <v>35</v>
      </c>
      <c r="B5708" t="s">
        <v>61</v>
      </c>
      <c r="C5708" t="str">
        <f>"A0183731"</f>
        <v>A0183731</v>
      </c>
      <c r="D5708" t="s">
        <v>22513</v>
      </c>
      <c r="E5708" t="s">
        <v>22514</v>
      </c>
      <c r="F5708" t="s">
        <v>22515</v>
      </c>
      <c r="G5708" t="s">
        <v>338</v>
      </c>
      <c r="H5708">
        <v>8050</v>
      </c>
      <c r="I5708" t="s">
        <v>30</v>
      </c>
      <c r="J5708" t="s">
        <v>41</v>
      </c>
      <c r="K5708" t="s">
        <v>59</v>
      </c>
      <c r="Q5708">
        <v>0</v>
      </c>
      <c r="R5708">
        <v>0</v>
      </c>
      <c r="S5708">
        <v>0</v>
      </c>
      <c r="T5708" t="s">
        <v>22516</v>
      </c>
    </row>
    <row r="5709" spans="1:20" customFormat="1" ht="15" x14ac:dyDescent="0.25">
      <c r="A5709" t="s">
        <v>35</v>
      </c>
      <c r="B5709" t="s">
        <v>61</v>
      </c>
      <c r="C5709" t="str">
        <f>"A0183730"</f>
        <v>A0183730</v>
      </c>
      <c r="D5709" t="s">
        <v>22517</v>
      </c>
      <c r="E5709" t="s">
        <v>22518</v>
      </c>
      <c r="F5709" t="s">
        <v>20511</v>
      </c>
      <c r="G5709" t="s">
        <v>338</v>
      </c>
      <c r="H5709">
        <v>7753</v>
      </c>
      <c r="I5709" t="s">
        <v>30</v>
      </c>
      <c r="J5709" t="s">
        <v>41</v>
      </c>
      <c r="K5709" t="s">
        <v>59</v>
      </c>
      <c r="Q5709">
        <v>0</v>
      </c>
      <c r="R5709">
        <v>0</v>
      </c>
      <c r="S5709">
        <v>0</v>
      </c>
    </row>
    <row r="5710" spans="1:20" customFormat="1" ht="15" x14ac:dyDescent="0.25">
      <c r="A5710" t="s">
        <v>35</v>
      </c>
      <c r="B5710" t="s">
        <v>61</v>
      </c>
      <c r="C5710" t="str">
        <f>"A0183729"</f>
        <v>A0183729</v>
      </c>
      <c r="D5710" t="s">
        <v>22519</v>
      </c>
      <c r="E5710" t="s">
        <v>22520</v>
      </c>
      <c r="F5710" t="s">
        <v>22521</v>
      </c>
      <c r="G5710" t="s">
        <v>338</v>
      </c>
      <c r="H5710">
        <v>8520</v>
      </c>
      <c r="I5710" t="s">
        <v>30</v>
      </c>
      <c r="J5710" t="s">
        <v>41</v>
      </c>
      <c r="K5710" t="s">
        <v>59</v>
      </c>
      <c r="Q5710">
        <v>0</v>
      </c>
      <c r="R5710">
        <v>0</v>
      </c>
      <c r="S5710">
        <v>0</v>
      </c>
      <c r="T5710" t="s">
        <v>22522</v>
      </c>
    </row>
    <row r="5711" spans="1:20" customFormat="1" ht="15" x14ac:dyDescent="0.25">
      <c r="A5711" t="s">
        <v>35</v>
      </c>
      <c r="B5711" t="s">
        <v>61</v>
      </c>
      <c r="C5711" t="str">
        <f>"A0183728"</f>
        <v>A0183728</v>
      </c>
      <c r="D5711" t="s">
        <v>22523</v>
      </c>
      <c r="E5711" t="s">
        <v>22524</v>
      </c>
      <c r="F5711" t="s">
        <v>22525</v>
      </c>
      <c r="G5711" t="s">
        <v>338</v>
      </c>
      <c r="H5711">
        <v>8060</v>
      </c>
      <c r="I5711" t="s">
        <v>30</v>
      </c>
      <c r="J5711" t="s">
        <v>41</v>
      </c>
      <c r="K5711" t="s">
        <v>59</v>
      </c>
      <c r="Q5711">
        <v>0</v>
      </c>
      <c r="R5711">
        <v>0</v>
      </c>
      <c r="S5711">
        <v>0</v>
      </c>
      <c r="T5711" t="s">
        <v>22526</v>
      </c>
    </row>
    <row r="5712" spans="1:20" customFormat="1" ht="15" x14ac:dyDescent="0.25">
      <c r="A5712" t="s">
        <v>35</v>
      </c>
      <c r="B5712" t="s">
        <v>61</v>
      </c>
      <c r="C5712" t="str">
        <f>"A0183727"</f>
        <v>A0183727</v>
      </c>
      <c r="D5712" t="s">
        <v>22527</v>
      </c>
      <c r="E5712" t="s">
        <v>22528</v>
      </c>
      <c r="F5712" t="s">
        <v>566</v>
      </c>
      <c r="G5712" t="s">
        <v>338</v>
      </c>
      <c r="H5712" t="s">
        <v>22529</v>
      </c>
      <c r="I5712" t="s">
        <v>30</v>
      </c>
      <c r="J5712" t="s">
        <v>41</v>
      </c>
      <c r="K5712" t="s">
        <v>59</v>
      </c>
      <c r="Q5712">
        <v>0</v>
      </c>
      <c r="R5712">
        <v>0</v>
      </c>
      <c r="S5712">
        <v>0</v>
      </c>
      <c r="T5712" t="s">
        <v>22530</v>
      </c>
    </row>
    <row r="5713" spans="1:20" customFormat="1" ht="15" x14ac:dyDescent="0.25">
      <c r="A5713" t="s">
        <v>35</v>
      </c>
      <c r="B5713" t="s">
        <v>11871</v>
      </c>
      <c r="C5713" t="str">
        <f>"A0183726"</f>
        <v>A0183726</v>
      </c>
      <c r="D5713" t="s">
        <v>22531</v>
      </c>
      <c r="E5713" t="s">
        <v>22532</v>
      </c>
      <c r="F5713" t="s">
        <v>22533</v>
      </c>
      <c r="G5713" t="s">
        <v>338</v>
      </c>
      <c r="H5713" t="s">
        <v>22534</v>
      </c>
      <c r="I5713" t="s">
        <v>30</v>
      </c>
      <c r="J5713" t="s">
        <v>41</v>
      </c>
      <c r="K5713" t="s">
        <v>59</v>
      </c>
      <c r="Q5713">
        <v>0</v>
      </c>
      <c r="R5713">
        <v>0</v>
      </c>
      <c r="S5713">
        <v>0</v>
      </c>
    </row>
    <row r="5714" spans="1:20" customFormat="1" ht="15" x14ac:dyDescent="0.25">
      <c r="A5714" t="s">
        <v>35</v>
      </c>
      <c r="B5714" t="s">
        <v>61</v>
      </c>
      <c r="C5714" t="str">
        <f>"A0183725"</f>
        <v>A0183725</v>
      </c>
      <c r="D5714" t="s">
        <v>22535</v>
      </c>
      <c r="E5714" t="s">
        <v>22536</v>
      </c>
      <c r="F5714" t="s">
        <v>7317</v>
      </c>
      <c r="G5714" t="s">
        <v>1898</v>
      </c>
      <c r="H5714">
        <v>50310</v>
      </c>
      <c r="I5714" t="s">
        <v>30</v>
      </c>
      <c r="J5714" t="s">
        <v>41</v>
      </c>
      <c r="K5714" t="s">
        <v>59</v>
      </c>
      <c r="Q5714">
        <v>0</v>
      </c>
      <c r="R5714">
        <v>0</v>
      </c>
      <c r="S5714">
        <v>0</v>
      </c>
    </row>
    <row r="5715" spans="1:20" customFormat="1" ht="15" x14ac:dyDescent="0.25">
      <c r="A5715" t="s">
        <v>35</v>
      </c>
      <c r="B5715" t="s">
        <v>61</v>
      </c>
      <c r="C5715" t="str">
        <f>"A0183724"</f>
        <v>A0183724</v>
      </c>
      <c r="D5715" t="s">
        <v>22537</v>
      </c>
      <c r="E5715" t="s">
        <v>22538</v>
      </c>
      <c r="F5715" t="s">
        <v>10426</v>
      </c>
      <c r="G5715" t="s">
        <v>81</v>
      </c>
      <c r="H5715" t="s">
        <v>22539</v>
      </c>
      <c r="I5715" t="s">
        <v>30</v>
      </c>
      <c r="J5715" t="s">
        <v>41</v>
      </c>
      <c r="K5715" t="s">
        <v>59</v>
      </c>
      <c r="Q5715">
        <v>0</v>
      </c>
      <c r="R5715">
        <v>0</v>
      </c>
      <c r="S5715">
        <v>0</v>
      </c>
      <c r="T5715" t="s">
        <v>22540</v>
      </c>
    </row>
    <row r="5716" spans="1:20" customFormat="1" ht="15" x14ac:dyDescent="0.25">
      <c r="A5716" t="s">
        <v>35</v>
      </c>
      <c r="B5716" t="s">
        <v>61</v>
      </c>
      <c r="C5716" t="str">
        <f>"A0183723"</f>
        <v>A0183723</v>
      </c>
      <c r="D5716" t="s">
        <v>22541</v>
      </c>
      <c r="E5716" t="s">
        <v>22542</v>
      </c>
      <c r="F5716" t="s">
        <v>12947</v>
      </c>
      <c r="G5716" t="s">
        <v>81</v>
      </c>
      <c r="H5716" t="s">
        <v>22543</v>
      </c>
      <c r="I5716" t="s">
        <v>30</v>
      </c>
      <c r="J5716" t="s">
        <v>41</v>
      </c>
      <c r="K5716" t="s">
        <v>59</v>
      </c>
      <c r="Q5716">
        <v>0</v>
      </c>
      <c r="R5716">
        <v>42</v>
      </c>
      <c r="S5716">
        <v>42</v>
      </c>
      <c r="T5716" t="s">
        <v>22544</v>
      </c>
    </row>
    <row r="5717" spans="1:20" customFormat="1" ht="15" x14ac:dyDescent="0.25">
      <c r="A5717" t="s">
        <v>35</v>
      </c>
      <c r="B5717" t="s">
        <v>61</v>
      </c>
      <c r="C5717" t="str">
        <f>"A0183722"</f>
        <v>A0183722</v>
      </c>
      <c r="D5717" t="s">
        <v>22545</v>
      </c>
      <c r="E5717" t="s">
        <v>22546</v>
      </c>
      <c r="F5717" t="s">
        <v>22547</v>
      </c>
      <c r="G5717" t="s">
        <v>338</v>
      </c>
      <c r="H5717">
        <v>7731</v>
      </c>
      <c r="I5717" t="s">
        <v>30</v>
      </c>
      <c r="J5717" t="s">
        <v>41</v>
      </c>
      <c r="K5717" t="s">
        <v>59</v>
      </c>
      <c r="Q5717">
        <v>0</v>
      </c>
      <c r="R5717">
        <v>0</v>
      </c>
      <c r="S5717">
        <v>0</v>
      </c>
      <c r="T5717" t="s">
        <v>22548</v>
      </c>
    </row>
    <row r="5718" spans="1:20" customFormat="1" ht="15" x14ac:dyDescent="0.25">
      <c r="A5718" t="s">
        <v>35</v>
      </c>
      <c r="B5718" t="s">
        <v>61</v>
      </c>
      <c r="C5718" t="str">
        <f>"A0183721"</f>
        <v>A0183721</v>
      </c>
      <c r="D5718" t="s">
        <v>22549</v>
      </c>
      <c r="E5718" t="s">
        <v>19520</v>
      </c>
      <c r="F5718" t="s">
        <v>19521</v>
      </c>
      <c r="G5718" t="s">
        <v>338</v>
      </c>
      <c r="H5718" t="s">
        <v>22550</v>
      </c>
      <c r="I5718" t="s">
        <v>30</v>
      </c>
      <c r="J5718" t="s">
        <v>41</v>
      </c>
      <c r="K5718" t="s">
        <v>59</v>
      </c>
      <c r="Q5718">
        <v>0</v>
      </c>
      <c r="R5718">
        <v>0</v>
      </c>
      <c r="S5718">
        <v>0</v>
      </c>
      <c r="T5718" t="s">
        <v>22551</v>
      </c>
    </row>
    <row r="5719" spans="1:20" customFormat="1" ht="15" x14ac:dyDescent="0.25">
      <c r="A5719" t="s">
        <v>35</v>
      </c>
      <c r="B5719" t="s">
        <v>11871</v>
      </c>
      <c r="C5719" t="str">
        <f>"A0183720"</f>
        <v>A0183720</v>
      </c>
      <c r="D5719" t="s">
        <v>22552</v>
      </c>
      <c r="E5719" t="s">
        <v>22553</v>
      </c>
      <c r="F5719" t="s">
        <v>22554</v>
      </c>
      <c r="G5719" t="s">
        <v>338</v>
      </c>
      <c r="H5719">
        <v>7438</v>
      </c>
      <c r="I5719" t="s">
        <v>30</v>
      </c>
      <c r="J5719" t="s">
        <v>41</v>
      </c>
      <c r="K5719" t="s">
        <v>59</v>
      </c>
      <c r="Q5719">
        <v>0</v>
      </c>
      <c r="R5719">
        <v>0</v>
      </c>
      <c r="S5719">
        <v>0</v>
      </c>
      <c r="T5719" t="s">
        <v>22555</v>
      </c>
    </row>
    <row r="5720" spans="1:20" customFormat="1" ht="15" x14ac:dyDescent="0.25">
      <c r="A5720" t="s">
        <v>35</v>
      </c>
      <c r="B5720" t="s">
        <v>61</v>
      </c>
      <c r="C5720" t="str">
        <f>"A0183719"</f>
        <v>A0183719</v>
      </c>
      <c r="D5720" t="s">
        <v>22556</v>
      </c>
      <c r="E5720" t="s">
        <v>22557</v>
      </c>
      <c r="F5720" t="s">
        <v>5240</v>
      </c>
      <c r="G5720" t="s">
        <v>52</v>
      </c>
      <c r="H5720">
        <v>78227</v>
      </c>
      <c r="I5720" t="s">
        <v>30</v>
      </c>
      <c r="J5720" t="s">
        <v>41</v>
      </c>
      <c r="K5720" t="s">
        <v>59</v>
      </c>
      <c r="Q5720">
        <v>0</v>
      </c>
      <c r="R5720">
        <v>0</v>
      </c>
      <c r="S5720">
        <v>0</v>
      </c>
    </row>
    <row r="5721" spans="1:20" customFormat="1" ht="15" x14ac:dyDescent="0.25">
      <c r="A5721" t="s">
        <v>35</v>
      </c>
      <c r="B5721" t="s">
        <v>61</v>
      </c>
      <c r="C5721" t="str">
        <f>"A0183718"</f>
        <v>A0183718</v>
      </c>
      <c r="D5721" t="s">
        <v>22558</v>
      </c>
      <c r="E5721" t="s">
        <v>22559</v>
      </c>
      <c r="F5721" t="s">
        <v>22560</v>
      </c>
      <c r="G5721" t="s">
        <v>338</v>
      </c>
      <c r="H5721" t="s">
        <v>22561</v>
      </c>
      <c r="I5721" t="s">
        <v>30</v>
      </c>
      <c r="J5721" t="s">
        <v>41</v>
      </c>
      <c r="K5721" t="s">
        <v>59</v>
      </c>
      <c r="Q5721">
        <v>0</v>
      </c>
      <c r="R5721">
        <v>60</v>
      </c>
      <c r="S5721">
        <v>60</v>
      </c>
      <c r="T5721" t="s">
        <v>22562</v>
      </c>
    </row>
    <row r="5722" spans="1:20" customFormat="1" ht="15" x14ac:dyDescent="0.25">
      <c r="A5722" t="s">
        <v>35</v>
      </c>
      <c r="B5722" t="s">
        <v>61</v>
      </c>
      <c r="C5722" t="str">
        <f>"A0183717"</f>
        <v>A0183717</v>
      </c>
      <c r="D5722" t="s">
        <v>22563</v>
      </c>
      <c r="E5722" t="s">
        <v>22564</v>
      </c>
      <c r="F5722" t="s">
        <v>19528</v>
      </c>
      <c r="G5722" t="s">
        <v>338</v>
      </c>
      <c r="H5722" t="s">
        <v>22565</v>
      </c>
      <c r="I5722" t="s">
        <v>30</v>
      </c>
      <c r="J5722" t="s">
        <v>41</v>
      </c>
      <c r="K5722" t="s">
        <v>59</v>
      </c>
      <c r="Q5722">
        <v>0</v>
      </c>
      <c r="R5722">
        <v>0</v>
      </c>
      <c r="S5722">
        <v>0</v>
      </c>
      <c r="T5722" t="s">
        <v>22566</v>
      </c>
    </row>
    <row r="5723" spans="1:20" customFormat="1" ht="15" x14ac:dyDescent="0.25">
      <c r="A5723" t="s">
        <v>35</v>
      </c>
      <c r="B5723" t="s">
        <v>61</v>
      </c>
      <c r="C5723" t="str">
        <f>"A0183716"</f>
        <v>A0183716</v>
      </c>
      <c r="D5723" t="s">
        <v>22567</v>
      </c>
      <c r="E5723" t="s">
        <v>22568</v>
      </c>
      <c r="F5723" t="s">
        <v>3653</v>
      </c>
      <c r="G5723" t="s">
        <v>81</v>
      </c>
      <c r="H5723" t="s">
        <v>22569</v>
      </c>
      <c r="I5723" t="s">
        <v>30</v>
      </c>
      <c r="J5723" t="s">
        <v>41</v>
      </c>
      <c r="K5723" t="s">
        <v>59</v>
      </c>
      <c r="Q5723">
        <v>0</v>
      </c>
      <c r="R5723">
        <v>0</v>
      </c>
      <c r="S5723">
        <v>0</v>
      </c>
    </row>
    <row r="5724" spans="1:20" customFormat="1" ht="15" x14ac:dyDescent="0.25">
      <c r="A5724" t="s">
        <v>35</v>
      </c>
      <c r="B5724" t="s">
        <v>61</v>
      </c>
      <c r="C5724" t="str">
        <f>"A0183715"</f>
        <v>A0183715</v>
      </c>
      <c r="D5724" t="s">
        <v>22570</v>
      </c>
      <c r="E5724" t="s">
        <v>22571</v>
      </c>
      <c r="F5724" t="s">
        <v>22572</v>
      </c>
      <c r="G5724" t="s">
        <v>338</v>
      </c>
      <c r="H5724">
        <v>7840</v>
      </c>
      <c r="I5724" t="s">
        <v>30</v>
      </c>
      <c r="J5724" t="s">
        <v>41</v>
      </c>
      <c r="K5724" t="s">
        <v>59</v>
      </c>
      <c r="Q5724">
        <v>0</v>
      </c>
      <c r="R5724">
        <v>90</v>
      </c>
      <c r="S5724">
        <v>90</v>
      </c>
      <c r="T5724" t="s">
        <v>22573</v>
      </c>
    </row>
    <row r="5725" spans="1:20" customFormat="1" ht="15" x14ac:dyDescent="0.25">
      <c r="A5725" t="s">
        <v>35</v>
      </c>
      <c r="B5725" t="s">
        <v>61</v>
      </c>
      <c r="C5725" t="str">
        <f>"A0183714"</f>
        <v>A0183714</v>
      </c>
      <c r="D5725" t="s">
        <v>22574</v>
      </c>
      <c r="E5725" t="s">
        <v>22575</v>
      </c>
      <c r="F5725" t="s">
        <v>5240</v>
      </c>
      <c r="G5725" t="s">
        <v>52</v>
      </c>
      <c r="H5725" t="s">
        <v>22576</v>
      </c>
      <c r="I5725" t="s">
        <v>30</v>
      </c>
      <c r="J5725" t="s">
        <v>41</v>
      </c>
      <c r="K5725" t="s">
        <v>59</v>
      </c>
      <c r="Q5725">
        <v>0</v>
      </c>
      <c r="R5725">
        <v>0</v>
      </c>
      <c r="S5725">
        <v>0</v>
      </c>
    </row>
    <row r="5726" spans="1:20" customFormat="1" ht="15" x14ac:dyDescent="0.25">
      <c r="A5726" t="s">
        <v>35</v>
      </c>
      <c r="B5726" t="s">
        <v>61</v>
      </c>
      <c r="C5726" t="str">
        <f>"A0183713"</f>
        <v>A0183713</v>
      </c>
      <c r="D5726" t="s">
        <v>22577</v>
      </c>
      <c r="E5726" t="s">
        <v>18558</v>
      </c>
      <c r="F5726" t="s">
        <v>13395</v>
      </c>
      <c r="G5726" t="s">
        <v>52</v>
      </c>
      <c r="H5726" t="s">
        <v>18559</v>
      </c>
      <c r="I5726" t="s">
        <v>30</v>
      </c>
      <c r="J5726" t="s">
        <v>41</v>
      </c>
      <c r="K5726" t="s">
        <v>59</v>
      </c>
      <c r="Q5726">
        <v>0</v>
      </c>
      <c r="R5726">
        <v>0</v>
      </c>
      <c r="S5726">
        <v>0</v>
      </c>
    </row>
    <row r="5727" spans="1:20" customFormat="1" ht="15" x14ac:dyDescent="0.25">
      <c r="A5727" t="s">
        <v>35</v>
      </c>
      <c r="B5727" t="s">
        <v>61</v>
      </c>
      <c r="C5727" t="str">
        <f>"A0183712"</f>
        <v>A0183712</v>
      </c>
      <c r="D5727" t="s">
        <v>22578</v>
      </c>
      <c r="E5727" t="s">
        <v>22579</v>
      </c>
      <c r="F5727" t="s">
        <v>22580</v>
      </c>
      <c r="G5727" t="s">
        <v>52</v>
      </c>
      <c r="H5727" t="s">
        <v>22581</v>
      </c>
      <c r="I5727" t="s">
        <v>30</v>
      </c>
      <c r="J5727" t="s">
        <v>41</v>
      </c>
      <c r="K5727" t="s">
        <v>59</v>
      </c>
      <c r="Q5727">
        <v>0</v>
      </c>
      <c r="R5727">
        <v>0</v>
      </c>
      <c r="S5727">
        <v>0</v>
      </c>
      <c r="T5727" t="s">
        <v>22582</v>
      </c>
    </row>
    <row r="5728" spans="1:20" customFormat="1" ht="15" x14ac:dyDescent="0.25">
      <c r="A5728" t="s">
        <v>35</v>
      </c>
      <c r="B5728" t="s">
        <v>11871</v>
      </c>
      <c r="C5728" t="str">
        <f>"A0183711"</f>
        <v>A0183711</v>
      </c>
      <c r="D5728" t="s">
        <v>22583</v>
      </c>
      <c r="E5728" t="s">
        <v>22584</v>
      </c>
      <c r="F5728" t="s">
        <v>22585</v>
      </c>
      <c r="G5728" t="s">
        <v>52</v>
      </c>
      <c r="H5728" t="s">
        <v>22586</v>
      </c>
      <c r="I5728" t="s">
        <v>30</v>
      </c>
      <c r="J5728" t="s">
        <v>41</v>
      </c>
      <c r="K5728" t="s">
        <v>59</v>
      </c>
      <c r="Q5728">
        <v>0</v>
      </c>
      <c r="R5728">
        <v>0</v>
      </c>
      <c r="S5728">
        <v>0</v>
      </c>
      <c r="T5728" t="s">
        <v>22587</v>
      </c>
    </row>
    <row r="5729" spans="1:20" customFormat="1" ht="15" x14ac:dyDescent="0.25">
      <c r="A5729" t="s">
        <v>35</v>
      </c>
      <c r="B5729" t="s">
        <v>61</v>
      </c>
      <c r="C5729" t="str">
        <f>"A0183710"</f>
        <v>A0183710</v>
      </c>
      <c r="D5729" t="s">
        <v>22588</v>
      </c>
      <c r="E5729" t="s">
        <v>22589</v>
      </c>
      <c r="F5729" t="s">
        <v>20837</v>
      </c>
      <c r="G5729" t="s">
        <v>52</v>
      </c>
      <c r="H5729">
        <v>77571</v>
      </c>
      <c r="I5729" t="s">
        <v>30</v>
      </c>
      <c r="J5729" t="s">
        <v>41</v>
      </c>
      <c r="K5729" t="s">
        <v>59</v>
      </c>
      <c r="Q5729">
        <v>0</v>
      </c>
      <c r="R5729">
        <v>48</v>
      </c>
      <c r="S5729">
        <v>48</v>
      </c>
      <c r="T5729" t="s">
        <v>22590</v>
      </c>
    </row>
    <row r="5730" spans="1:20" customFormat="1" ht="15" x14ac:dyDescent="0.25">
      <c r="A5730" t="s">
        <v>35</v>
      </c>
      <c r="B5730" t="s">
        <v>61</v>
      </c>
      <c r="C5730" t="str">
        <f>"A0183709"</f>
        <v>A0183709</v>
      </c>
      <c r="D5730" t="s">
        <v>22591</v>
      </c>
      <c r="E5730" t="s">
        <v>22592</v>
      </c>
      <c r="F5730" t="s">
        <v>22593</v>
      </c>
      <c r="G5730" t="s">
        <v>338</v>
      </c>
      <c r="H5730" t="s">
        <v>22594</v>
      </c>
      <c r="I5730" t="s">
        <v>30</v>
      </c>
      <c r="J5730" t="s">
        <v>41</v>
      </c>
      <c r="K5730" t="s">
        <v>59</v>
      </c>
      <c r="Q5730">
        <v>0</v>
      </c>
      <c r="R5730">
        <v>64</v>
      </c>
      <c r="S5730">
        <v>64</v>
      </c>
      <c r="T5730" t="s">
        <v>22595</v>
      </c>
    </row>
    <row r="5731" spans="1:20" customFormat="1" ht="15" x14ac:dyDescent="0.25">
      <c r="A5731" t="s">
        <v>35</v>
      </c>
      <c r="B5731" t="s">
        <v>11871</v>
      </c>
      <c r="C5731" t="str">
        <f>"A0183708"</f>
        <v>A0183708</v>
      </c>
      <c r="D5731" t="s">
        <v>22596</v>
      </c>
      <c r="E5731" t="s">
        <v>22597</v>
      </c>
      <c r="F5731" t="s">
        <v>22598</v>
      </c>
      <c r="G5731" t="s">
        <v>338</v>
      </c>
      <c r="H5731" t="s">
        <v>22599</v>
      </c>
      <c r="I5731" t="s">
        <v>30</v>
      </c>
      <c r="J5731" t="s">
        <v>41</v>
      </c>
      <c r="K5731" t="s">
        <v>59</v>
      </c>
      <c r="Q5731">
        <v>0</v>
      </c>
      <c r="R5731">
        <v>0</v>
      </c>
      <c r="S5731">
        <v>0</v>
      </c>
      <c r="T5731" t="s">
        <v>22600</v>
      </c>
    </row>
    <row r="5732" spans="1:20" customFormat="1" ht="15" x14ac:dyDescent="0.25">
      <c r="A5732" t="s">
        <v>35</v>
      </c>
      <c r="B5732" t="s">
        <v>61</v>
      </c>
      <c r="C5732" t="str">
        <f>"A0183707"</f>
        <v>A0183707</v>
      </c>
      <c r="D5732" t="s">
        <v>22601</v>
      </c>
      <c r="E5732" t="s">
        <v>22602</v>
      </c>
      <c r="F5732" t="s">
        <v>22603</v>
      </c>
      <c r="G5732" t="s">
        <v>338</v>
      </c>
      <c r="H5732">
        <v>7481</v>
      </c>
      <c r="I5732" t="s">
        <v>30</v>
      </c>
      <c r="J5732" t="s">
        <v>41</v>
      </c>
      <c r="K5732" t="s">
        <v>59</v>
      </c>
      <c r="Q5732">
        <v>0</v>
      </c>
      <c r="R5732">
        <v>0</v>
      </c>
      <c r="S5732">
        <v>0</v>
      </c>
    </row>
    <row r="5733" spans="1:20" customFormat="1" ht="15" x14ac:dyDescent="0.25">
      <c r="A5733" t="s">
        <v>35</v>
      </c>
      <c r="B5733" t="s">
        <v>61</v>
      </c>
      <c r="C5733" t="str">
        <f>"A0183706"</f>
        <v>A0183706</v>
      </c>
      <c r="D5733" t="s">
        <v>22604</v>
      </c>
      <c r="E5733" t="s">
        <v>22605</v>
      </c>
      <c r="F5733" t="s">
        <v>22603</v>
      </c>
      <c r="G5733" t="s">
        <v>338</v>
      </c>
      <c r="H5733">
        <v>7481</v>
      </c>
      <c r="I5733" t="s">
        <v>30</v>
      </c>
      <c r="J5733" t="s">
        <v>41</v>
      </c>
      <c r="K5733" t="s">
        <v>59</v>
      </c>
      <c r="Q5733">
        <v>0</v>
      </c>
      <c r="R5733">
        <v>289</v>
      </c>
      <c r="S5733">
        <v>289</v>
      </c>
      <c r="T5733" t="s">
        <v>22606</v>
      </c>
    </row>
    <row r="5734" spans="1:20" customFormat="1" ht="15" x14ac:dyDescent="0.25">
      <c r="A5734" t="s">
        <v>35</v>
      </c>
      <c r="B5734" t="s">
        <v>61</v>
      </c>
      <c r="C5734" t="str">
        <f>"A0183705"</f>
        <v>A0183705</v>
      </c>
      <c r="D5734" t="s">
        <v>22607</v>
      </c>
      <c r="E5734" t="s">
        <v>22608</v>
      </c>
      <c r="F5734" t="s">
        <v>10426</v>
      </c>
      <c r="G5734" t="s">
        <v>81</v>
      </c>
      <c r="H5734" t="s">
        <v>22609</v>
      </c>
      <c r="I5734" t="s">
        <v>30</v>
      </c>
      <c r="J5734" t="s">
        <v>41</v>
      </c>
      <c r="K5734" t="s">
        <v>59</v>
      </c>
      <c r="Q5734">
        <v>0</v>
      </c>
      <c r="R5734">
        <v>97</v>
      </c>
      <c r="S5734">
        <v>97</v>
      </c>
      <c r="T5734" t="s">
        <v>22610</v>
      </c>
    </row>
    <row r="5735" spans="1:20" customFormat="1" ht="15" x14ac:dyDescent="0.25">
      <c r="A5735" t="s">
        <v>35</v>
      </c>
      <c r="B5735" t="s">
        <v>61</v>
      </c>
      <c r="C5735" t="str">
        <f>"A0183704"</f>
        <v>A0183704</v>
      </c>
      <c r="D5735" t="s">
        <v>22611</v>
      </c>
      <c r="E5735" t="s">
        <v>22612</v>
      </c>
      <c r="F5735" t="s">
        <v>22613</v>
      </c>
      <c r="G5735" t="s">
        <v>81</v>
      </c>
      <c r="H5735" t="s">
        <v>22614</v>
      </c>
      <c r="I5735" t="s">
        <v>30</v>
      </c>
      <c r="J5735" t="s">
        <v>41</v>
      </c>
      <c r="K5735" t="s">
        <v>59</v>
      </c>
      <c r="Q5735">
        <v>0</v>
      </c>
      <c r="R5735">
        <v>0</v>
      </c>
      <c r="S5735">
        <v>0</v>
      </c>
    </row>
    <row r="5736" spans="1:20" customFormat="1" ht="15" x14ac:dyDescent="0.25">
      <c r="A5736" t="s">
        <v>35</v>
      </c>
      <c r="B5736" t="s">
        <v>61</v>
      </c>
      <c r="C5736" t="str">
        <f>"A0183703"</f>
        <v>A0183703</v>
      </c>
      <c r="D5736" t="s">
        <v>22615</v>
      </c>
      <c r="E5736" t="s">
        <v>22616</v>
      </c>
      <c r="F5736" t="s">
        <v>10272</v>
      </c>
      <c r="G5736" t="s">
        <v>338</v>
      </c>
      <c r="H5736" t="s">
        <v>22617</v>
      </c>
      <c r="I5736" t="s">
        <v>30</v>
      </c>
      <c r="J5736" t="s">
        <v>41</v>
      </c>
      <c r="K5736" t="s">
        <v>59</v>
      </c>
      <c r="Q5736">
        <v>0</v>
      </c>
      <c r="R5736">
        <v>67</v>
      </c>
      <c r="S5736">
        <v>67</v>
      </c>
      <c r="T5736" t="s">
        <v>22618</v>
      </c>
    </row>
    <row r="5737" spans="1:20" customFormat="1" ht="15" x14ac:dyDescent="0.25">
      <c r="A5737" t="s">
        <v>35</v>
      </c>
      <c r="B5737" t="s">
        <v>61</v>
      </c>
      <c r="C5737" t="str">
        <f>"A0183702"</f>
        <v>A0183702</v>
      </c>
      <c r="D5737" t="s">
        <v>22619</v>
      </c>
      <c r="E5737" t="s">
        <v>22620</v>
      </c>
      <c r="F5737" t="s">
        <v>22621</v>
      </c>
      <c r="G5737" t="s">
        <v>338</v>
      </c>
      <c r="H5737">
        <v>89041914</v>
      </c>
      <c r="I5737" t="s">
        <v>30</v>
      </c>
      <c r="J5737" t="s">
        <v>41</v>
      </c>
      <c r="K5737" t="s">
        <v>59</v>
      </c>
      <c r="Q5737">
        <v>0</v>
      </c>
      <c r="R5737">
        <v>0</v>
      </c>
      <c r="S5737">
        <v>0</v>
      </c>
      <c r="T5737" t="s">
        <v>22622</v>
      </c>
    </row>
    <row r="5738" spans="1:20" customFormat="1" ht="15" x14ac:dyDescent="0.25">
      <c r="A5738" t="s">
        <v>35</v>
      </c>
      <c r="B5738" t="s">
        <v>61</v>
      </c>
      <c r="C5738" t="str">
        <f>"A0183701"</f>
        <v>A0183701</v>
      </c>
      <c r="D5738" t="s">
        <v>22619</v>
      </c>
      <c r="E5738" t="s">
        <v>22623</v>
      </c>
      <c r="F5738" t="s">
        <v>22624</v>
      </c>
      <c r="G5738" t="s">
        <v>338</v>
      </c>
      <c r="H5738">
        <v>8831</v>
      </c>
      <c r="I5738" t="s">
        <v>30</v>
      </c>
      <c r="J5738" t="s">
        <v>41</v>
      </c>
      <c r="K5738" t="s">
        <v>59</v>
      </c>
      <c r="Q5738">
        <v>0</v>
      </c>
      <c r="R5738">
        <v>0</v>
      </c>
      <c r="S5738">
        <v>0</v>
      </c>
      <c r="T5738" t="s">
        <v>22625</v>
      </c>
    </row>
    <row r="5739" spans="1:20" customFormat="1" ht="15" x14ac:dyDescent="0.25">
      <c r="A5739" t="s">
        <v>35</v>
      </c>
      <c r="B5739" t="s">
        <v>61</v>
      </c>
      <c r="C5739" t="str">
        <f>"A0183700"</f>
        <v>A0183700</v>
      </c>
      <c r="D5739" t="s">
        <v>22626</v>
      </c>
      <c r="E5739" t="s">
        <v>22627</v>
      </c>
      <c r="F5739" t="s">
        <v>4814</v>
      </c>
      <c r="G5739" t="s">
        <v>4815</v>
      </c>
      <c r="H5739">
        <v>968175301</v>
      </c>
      <c r="I5739" t="s">
        <v>30</v>
      </c>
      <c r="J5739" t="s">
        <v>41</v>
      </c>
      <c r="K5739" t="s">
        <v>59</v>
      </c>
      <c r="Q5739">
        <v>0</v>
      </c>
      <c r="R5739">
        <v>0</v>
      </c>
      <c r="S5739">
        <v>0</v>
      </c>
      <c r="T5739" t="s">
        <v>22628</v>
      </c>
    </row>
    <row r="5740" spans="1:20" customFormat="1" ht="15" x14ac:dyDescent="0.25">
      <c r="A5740" t="s">
        <v>35</v>
      </c>
      <c r="B5740" t="s">
        <v>61</v>
      </c>
      <c r="C5740" t="str">
        <f>"A0183699"</f>
        <v>A0183699</v>
      </c>
      <c r="D5740" t="s">
        <v>22629</v>
      </c>
      <c r="E5740" t="s">
        <v>22630</v>
      </c>
      <c r="F5740" t="s">
        <v>10863</v>
      </c>
      <c r="G5740" t="s">
        <v>81</v>
      </c>
      <c r="H5740" t="s">
        <v>22631</v>
      </c>
      <c r="I5740" t="s">
        <v>30</v>
      </c>
      <c r="J5740" t="s">
        <v>41</v>
      </c>
      <c r="K5740" t="s">
        <v>59</v>
      </c>
      <c r="Q5740">
        <v>0</v>
      </c>
      <c r="R5740">
        <v>201</v>
      </c>
      <c r="S5740">
        <v>201</v>
      </c>
      <c r="T5740" t="s">
        <v>22632</v>
      </c>
    </row>
    <row r="5741" spans="1:20" customFormat="1" ht="15" x14ac:dyDescent="0.25">
      <c r="A5741" t="s">
        <v>35</v>
      </c>
      <c r="B5741" t="s">
        <v>61</v>
      </c>
      <c r="C5741" t="str">
        <f>"A0183698"</f>
        <v>A0183698</v>
      </c>
      <c r="D5741" t="s">
        <v>22633</v>
      </c>
      <c r="E5741" t="s">
        <v>22634</v>
      </c>
      <c r="F5741" t="s">
        <v>22635</v>
      </c>
      <c r="G5741" t="s">
        <v>81</v>
      </c>
      <c r="H5741">
        <v>32079</v>
      </c>
      <c r="I5741" t="s">
        <v>30</v>
      </c>
      <c r="J5741" t="s">
        <v>41</v>
      </c>
      <c r="K5741" t="s">
        <v>59</v>
      </c>
      <c r="Q5741">
        <v>0</v>
      </c>
      <c r="R5741">
        <v>0</v>
      </c>
      <c r="S5741">
        <v>0</v>
      </c>
    </row>
    <row r="5742" spans="1:20" customFormat="1" ht="15" x14ac:dyDescent="0.25">
      <c r="A5742" t="s">
        <v>35</v>
      </c>
      <c r="B5742" t="s">
        <v>11871</v>
      </c>
      <c r="C5742" t="str">
        <f>"A0183697"</f>
        <v>A0183697</v>
      </c>
      <c r="D5742" t="s">
        <v>22636</v>
      </c>
      <c r="E5742" t="s">
        <v>22637</v>
      </c>
      <c r="F5742" t="s">
        <v>20516</v>
      </c>
      <c r="G5742" t="s">
        <v>338</v>
      </c>
      <c r="H5742">
        <v>8882</v>
      </c>
      <c r="I5742" t="s">
        <v>30</v>
      </c>
      <c r="J5742" t="s">
        <v>41</v>
      </c>
      <c r="K5742" t="s">
        <v>59</v>
      </c>
      <c r="Q5742">
        <v>0</v>
      </c>
      <c r="R5742">
        <v>0</v>
      </c>
      <c r="S5742">
        <v>0</v>
      </c>
      <c r="T5742" t="s">
        <v>22638</v>
      </c>
    </row>
    <row r="5743" spans="1:20" customFormat="1" ht="15" x14ac:dyDescent="0.25">
      <c r="A5743" t="s">
        <v>35</v>
      </c>
      <c r="B5743" t="s">
        <v>61</v>
      </c>
      <c r="C5743" t="str">
        <f>"A0183696"</f>
        <v>A0183696</v>
      </c>
      <c r="D5743" t="s">
        <v>22639</v>
      </c>
      <c r="E5743" t="s">
        <v>22640</v>
      </c>
      <c r="F5743" t="s">
        <v>22641</v>
      </c>
      <c r="G5743" t="s">
        <v>338</v>
      </c>
      <c r="H5743" t="s">
        <v>22642</v>
      </c>
      <c r="I5743" t="s">
        <v>30</v>
      </c>
      <c r="J5743" t="s">
        <v>41</v>
      </c>
      <c r="K5743" t="s">
        <v>59</v>
      </c>
      <c r="Q5743">
        <v>0</v>
      </c>
      <c r="R5743">
        <v>53</v>
      </c>
      <c r="S5743">
        <v>53</v>
      </c>
      <c r="T5743" t="s">
        <v>22643</v>
      </c>
    </row>
    <row r="5744" spans="1:20" customFormat="1" ht="15" x14ac:dyDescent="0.25">
      <c r="A5744" t="s">
        <v>35</v>
      </c>
      <c r="B5744" t="s">
        <v>61</v>
      </c>
      <c r="C5744" t="str">
        <f>"A0183695"</f>
        <v>A0183695</v>
      </c>
      <c r="D5744" t="s">
        <v>22570</v>
      </c>
      <c r="E5744" t="s">
        <v>22644</v>
      </c>
      <c r="F5744" t="s">
        <v>22572</v>
      </c>
      <c r="G5744" t="s">
        <v>338</v>
      </c>
      <c r="H5744" t="s">
        <v>22645</v>
      </c>
      <c r="I5744" t="s">
        <v>30</v>
      </c>
      <c r="J5744" t="s">
        <v>41</v>
      </c>
      <c r="K5744" t="s">
        <v>59</v>
      </c>
      <c r="Q5744">
        <v>0</v>
      </c>
      <c r="R5744">
        <v>90</v>
      </c>
      <c r="S5744">
        <v>90</v>
      </c>
      <c r="T5744" t="s">
        <v>22573</v>
      </c>
    </row>
    <row r="5745" spans="1:20" customFormat="1" ht="15" x14ac:dyDescent="0.25">
      <c r="A5745" t="s">
        <v>35</v>
      </c>
      <c r="B5745" t="s">
        <v>61</v>
      </c>
      <c r="C5745" t="str">
        <f>"A0183694"</f>
        <v>A0183694</v>
      </c>
      <c r="D5745" t="s">
        <v>22646</v>
      </c>
      <c r="E5745" t="s">
        <v>22647</v>
      </c>
      <c r="F5745" t="s">
        <v>20801</v>
      </c>
      <c r="G5745" t="s">
        <v>81</v>
      </c>
      <c r="H5745" t="s">
        <v>22648</v>
      </c>
      <c r="I5745" t="s">
        <v>30</v>
      </c>
      <c r="J5745" t="s">
        <v>41</v>
      </c>
      <c r="K5745" t="s">
        <v>59</v>
      </c>
      <c r="Q5745">
        <v>0</v>
      </c>
      <c r="R5745">
        <v>0</v>
      </c>
      <c r="S5745">
        <v>0</v>
      </c>
    </row>
    <row r="5746" spans="1:20" customFormat="1" ht="15" x14ac:dyDescent="0.25">
      <c r="A5746" t="s">
        <v>35</v>
      </c>
      <c r="B5746" t="s">
        <v>61</v>
      </c>
      <c r="C5746" t="str">
        <f>"A0183692"</f>
        <v>A0183692</v>
      </c>
      <c r="D5746" t="s">
        <v>22649</v>
      </c>
      <c r="E5746" t="s">
        <v>22650</v>
      </c>
      <c r="F5746" t="s">
        <v>22651</v>
      </c>
      <c r="G5746" t="s">
        <v>338</v>
      </c>
      <c r="H5746">
        <v>8854</v>
      </c>
      <c r="I5746" t="s">
        <v>30</v>
      </c>
      <c r="J5746" t="s">
        <v>41</v>
      </c>
      <c r="K5746" t="s">
        <v>59</v>
      </c>
      <c r="Q5746">
        <v>0</v>
      </c>
      <c r="R5746">
        <v>124</v>
      </c>
      <c r="S5746">
        <v>124</v>
      </c>
      <c r="T5746" t="s">
        <v>22652</v>
      </c>
    </row>
    <row r="5747" spans="1:20" customFormat="1" ht="15" x14ac:dyDescent="0.25">
      <c r="A5747" t="s">
        <v>35</v>
      </c>
      <c r="B5747" t="s">
        <v>61</v>
      </c>
      <c r="C5747" t="str">
        <f>"A0183691"</f>
        <v>A0183691</v>
      </c>
      <c r="D5747" t="s">
        <v>22653</v>
      </c>
      <c r="E5747" t="s">
        <v>22654</v>
      </c>
      <c r="F5747" t="s">
        <v>12194</v>
      </c>
      <c r="G5747" t="s">
        <v>81</v>
      </c>
      <c r="H5747" t="s">
        <v>22655</v>
      </c>
      <c r="I5747" t="s">
        <v>30</v>
      </c>
      <c r="J5747" t="s">
        <v>41</v>
      </c>
      <c r="K5747" t="s">
        <v>59</v>
      </c>
      <c r="Q5747">
        <v>0</v>
      </c>
      <c r="R5747">
        <v>0</v>
      </c>
      <c r="S5747">
        <v>0</v>
      </c>
    </row>
    <row r="5748" spans="1:20" customFormat="1" ht="15" x14ac:dyDescent="0.25">
      <c r="A5748" t="s">
        <v>35</v>
      </c>
      <c r="B5748" t="s">
        <v>10871</v>
      </c>
      <c r="C5748" t="str">
        <f>"A0183690"</f>
        <v>A0183690</v>
      </c>
      <c r="D5748" t="s">
        <v>22656</v>
      </c>
      <c r="E5748" t="s">
        <v>22657</v>
      </c>
      <c r="F5748" t="s">
        <v>22658</v>
      </c>
      <c r="G5748" t="s">
        <v>81</v>
      </c>
      <c r="H5748">
        <v>325784249</v>
      </c>
      <c r="I5748" t="s">
        <v>30</v>
      </c>
      <c r="J5748" t="s">
        <v>41</v>
      </c>
      <c r="K5748" t="s">
        <v>229</v>
      </c>
      <c r="Q5748">
        <v>0</v>
      </c>
      <c r="R5748">
        <v>0</v>
      </c>
      <c r="S5748">
        <v>120</v>
      </c>
      <c r="T5748" t="s">
        <v>22659</v>
      </c>
    </row>
    <row r="5749" spans="1:20" customFormat="1" ht="15" x14ac:dyDescent="0.25">
      <c r="A5749" t="s">
        <v>35</v>
      </c>
      <c r="B5749" t="s">
        <v>61</v>
      </c>
      <c r="C5749" t="str">
        <f>"A0183689"</f>
        <v>A0183689</v>
      </c>
      <c r="D5749" t="s">
        <v>22660</v>
      </c>
      <c r="E5749" t="s">
        <v>22661</v>
      </c>
      <c r="F5749" t="s">
        <v>10530</v>
      </c>
      <c r="G5749" t="s">
        <v>81</v>
      </c>
      <c r="H5749" t="s">
        <v>22662</v>
      </c>
      <c r="I5749" t="s">
        <v>30</v>
      </c>
      <c r="J5749" t="s">
        <v>41</v>
      </c>
      <c r="K5749" t="s">
        <v>59</v>
      </c>
      <c r="Q5749">
        <v>0</v>
      </c>
      <c r="R5749">
        <v>0</v>
      </c>
      <c r="S5749">
        <v>0</v>
      </c>
      <c r="T5749" t="s">
        <v>22663</v>
      </c>
    </row>
    <row r="5750" spans="1:20" customFormat="1" ht="15" x14ac:dyDescent="0.25">
      <c r="A5750" t="s">
        <v>35</v>
      </c>
      <c r="B5750" t="s">
        <v>61</v>
      </c>
      <c r="C5750" t="str">
        <f>"A0183688"</f>
        <v>A0183688</v>
      </c>
      <c r="D5750" t="s">
        <v>22664</v>
      </c>
      <c r="E5750" t="s">
        <v>22665</v>
      </c>
      <c r="F5750" t="s">
        <v>22666</v>
      </c>
      <c r="G5750" t="s">
        <v>81</v>
      </c>
      <c r="H5750" t="s">
        <v>22667</v>
      </c>
      <c r="I5750" t="s">
        <v>30</v>
      </c>
      <c r="J5750" t="s">
        <v>41</v>
      </c>
      <c r="K5750" t="s">
        <v>59</v>
      </c>
      <c r="Q5750">
        <v>0</v>
      </c>
      <c r="R5750">
        <v>192</v>
      </c>
      <c r="S5750">
        <v>192</v>
      </c>
      <c r="T5750" t="s">
        <v>22668</v>
      </c>
    </row>
    <row r="5751" spans="1:20" customFormat="1" ht="15" x14ac:dyDescent="0.25">
      <c r="A5751" t="s">
        <v>35</v>
      </c>
      <c r="B5751" t="s">
        <v>61</v>
      </c>
      <c r="C5751" t="str">
        <f>"A0183687"</f>
        <v>A0183687</v>
      </c>
      <c r="D5751" t="s">
        <v>22669</v>
      </c>
      <c r="E5751" t="s">
        <v>22605</v>
      </c>
      <c r="F5751" t="s">
        <v>22603</v>
      </c>
      <c r="G5751" t="s">
        <v>338</v>
      </c>
      <c r="H5751">
        <v>7481</v>
      </c>
      <c r="I5751" t="s">
        <v>30</v>
      </c>
      <c r="J5751" t="s">
        <v>41</v>
      </c>
      <c r="K5751" t="s">
        <v>59</v>
      </c>
      <c r="Q5751">
        <v>0</v>
      </c>
      <c r="R5751">
        <v>289</v>
      </c>
      <c r="S5751">
        <v>289</v>
      </c>
      <c r="T5751" t="s">
        <v>22606</v>
      </c>
    </row>
    <row r="5752" spans="1:20" customFormat="1" ht="15" x14ac:dyDescent="0.25">
      <c r="A5752" t="s">
        <v>35</v>
      </c>
      <c r="B5752" t="s">
        <v>61</v>
      </c>
      <c r="C5752" t="str">
        <f>"A0183686"</f>
        <v>A0183686</v>
      </c>
      <c r="D5752" t="s">
        <v>22670</v>
      </c>
      <c r="E5752" t="s">
        <v>22671</v>
      </c>
      <c r="F5752" t="s">
        <v>7112</v>
      </c>
      <c r="G5752" t="s">
        <v>899</v>
      </c>
      <c r="H5752">
        <v>2138</v>
      </c>
      <c r="I5752" t="s">
        <v>30</v>
      </c>
      <c r="J5752" t="s">
        <v>41</v>
      </c>
      <c r="K5752" t="s">
        <v>59</v>
      </c>
      <c r="Q5752">
        <v>0</v>
      </c>
      <c r="R5752">
        <v>141</v>
      </c>
      <c r="S5752">
        <v>141</v>
      </c>
      <c r="T5752" t="s">
        <v>22672</v>
      </c>
    </row>
    <row r="5753" spans="1:20" customFormat="1" ht="15" x14ac:dyDescent="0.25">
      <c r="A5753" t="s">
        <v>35</v>
      </c>
      <c r="B5753" t="s">
        <v>61</v>
      </c>
      <c r="C5753" t="str">
        <f>"A0183685"</f>
        <v>A0183685</v>
      </c>
      <c r="D5753" t="s">
        <v>22673</v>
      </c>
      <c r="E5753" t="s">
        <v>22674</v>
      </c>
      <c r="F5753" t="s">
        <v>9143</v>
      </c>
      <c r="G5753" t="s">
        <v>81</v>
      </c>
      <c r="H5753">
        <v>32052</v>
      </c>
      <c r="I5753" t="s">
        <v>30</v>
      </c>
      <c r="J5753" t="s">
        <v>41</v>
      </c>
      <c r="K5753" t="s">
        <v>59</v>
      </c>
      <c r="Q5753">
        <v>0</v>
      </c>
      <c r="R5753">
        <v>60</v>
      </c>
      <c r="S5753">
        <v>60</v>
      </c>
      <c r="T5753" t="s">
        <v>22675</v>
      </c>
    </row>
    <row r="5754" spans="1:20" customFormat="1" ht="15" x14ac:dyDescent="0.25">
      <c r="A5754" t="s">
        <v>35</v>
      </c>
      <c r="B5754" t="s">
        <v>61</v>
      </c>
      <c r="C5754" t="str">
        <f>"A0183684"</f>
        <v>A0183684</v>
      </c>
      <c r="D5754" t="s">
        <v>22676</v>
      </c>
      <c r="E5754" t="s">
        <v>22677</v>
      </c>
      <c r="F5754" t="s">
        <v>12194</v>
      </c>
      <c r="G5754" t="s">
        <v>81</v>
      </c>
      <c r="H5754">
        <v>33157</v>
      </c>
      <c r="I5754" t="s">
        <v>30</v>
      </c>
      <c r="J5754" t="s">
        <v>41</v>
      </c>
      <c r="K5754" t="s">
        <v>59</v>
      </c>
      <c r="Q5754">
        <v>0</v>
      </c>
      <c r="R5754">
        <v>0</v>
      </c>
      <c r="S5754">
        <v>0</v>
      </c>
      <c r="T5754" t="s">
        <v>22678</v>
      </c>
    </row>
    <row r="5755" spans="1:20" customFormat="1" ht="15" x14ac:dyDescent="0.25">
      <c r="A5755" t="s">
        <v>35</v>
      </c>
      <c r="B5755" t="s">
        <v>61</v>
      </c>
      <c r="C5755" t="str">
        <f>"A0183683"</f>
        <v>A0183683</v>
      </c>
      <c r="D5755" t="s">
        <v>22679</v>
      </c>
      <c r="E5755" t="s">
        <v>22680</v>
      </c>
      <c r="F5755" t="s">
        <v>2774</v>
      </c>
      <c r="G5755" t="s">
        <v>81</v>
      </c>
      <c r="H5755" t="s">
        <v>22681</v>
      </c>
      <c r="I5755" t="s">
        <v>30</v>
      </c>
      <c r="J5755" t="s">
        <v>41</v>
      </c>
      <c r="K5755" t="s">
        <v>59</v>
      </c>
      <c r="Q5755">
        <v>0</v>
      </c>
      <c r="R5755">
        <v>0</v>
      </c>
      <c r="S5755">
        <v>0</v>
      </c>
    </row>
    <row r="5756" spans="1:20" customFormat="1" ht="15" x14ac:dyDescent="0.25">
      <c r="A5756" t="s">
        <v>35</v>
      </c>
      <c r="B5756" t="s">
        <v>61</v>
      </c>
      <c r="C5756" t="str">
        <f>"A0183682"</f>
        <v>A0183682</v>
      </c>
      <c r="D5756" t="s">
        <v>22682</v>
      </c>
      <c r="E5756" t="s">
        <v>22683</v>
      </c>
      <c r="F5756" t="s">
        <v>22501</v>
      </c>
      <c r="G5756" t="s">
        <v>1898</v>
      </c>
      <c r="H5756" t="s">
        <v>22684</v>
      </c>
      <c r="I5756" t="s">
        <v>30</v>
      </c>
      <c r="J5756" t="s">
        <v>41</v>
      </c>
      <c r="K5756" t="s">
        <v>59</v>
      </c>
      <c r="Q5756">
        <v>0</v>
      </c>
      <c r="R5756">
        <v>242</v>
      </c>
      <c r="S5756">
        <v>242</v>
      </c>
      <c r="T5756" t="s">
        <v>22685</v>
      </c>
    </row>
    <row r="5757" spans="1:20" customFormat="1" ht="15" x14ac:dyDescent="0.25">
      <c r="A5757" t="s">
        <v>35</v>
      </c>
      <c r="B5757" t="s">
        <v>61</v>
      </c>
      <c r="C5757" t="str">
        <f>"A0183681"</f>
        <v>A0183681</v>
      </c>
      <c r="D5757" t="s">
        <v>11956</v>
      </c>
      <c r="E5757" t="s">
        <v>22686</v>
      </c>
      <c r="F5757" t="s">
        <v>21733</v>
      </c>
      <c r="G5757" t="s">
        <v>1898</v>
      </c>
      <c r="H5757" t="s">
        <v>22687</v>
      </c>
      <c r="I5757" t="s">
        <v>30</v>
      </c>
      <c r="J5757" t="s">
        <v>41</v>
      </c>
      <c r="K5757" t="s">
        <v>59</v>
      </c>
      <c r="Q5757">
        <v>0</v>
      </c>
      <c r="R5757">
        <v>132</v>
      </c>
      <c r="S5757">
        <v>132</v>
      </c>
      <c r="T5757" t="s">
        <v>22688</v>
      </c>
    </row>
    <row r="5758" spans="1:20" customFormat="1" ht="15" x14ac:dyDescent="0.25">
      <c r="A5758" t="s">
        <v>35</v>
      </c>
      <c r="B5758" t="s">
        <v>61</v>
      </c>
      <c r="C5758" t="str">
        <f>"A0183680"</f>
        <v>A0183680</v>
      </c>
      <c r="D5758" t="s">
        <v>22689</v>
      </c>
      <c r="E5758" t="s">
        <v>22690</v>
      </c>
      <c r="F5758" t="s">
        <v>22458</v>
      </c>
      <c r="G5758" t="s">
        <v>1898</v>
      </c>
      <c r="H5758">
        <v>50219</v>
      </c>
      <c r="I5758" t="s">
        <v>30</v>
      </c>
      <c r="J5758" t="s">
        <v>41</v>
      </c>
      <c r="K5758" t="s">
        <v>59</v>
      </c>
      <c r="Q5758">
        <v>0</v>
      </c>
      <c r="R5758">
        <v>0</v>
      </c>
      <c r="S5758">
        <v>0</v>
      </c>
      <c r="T5758" t="s">
        <v>22691</v>
      </c>
    </row>
    <row r="5759" spans="1:20" customFormat="1" ht="15" x14ac:dyDescent="0.25">
      <c r="A5759" t="s">
        <v>35</v>
      </c>
      <c r="B5759" t="s">
        <v>61</v>
      </c>
      <c r="C5759" t="str">
        <f>"A0183679"</f>
        <v>A0183679</v>
      </c>
      <c r="D5759" t="s">
        <v>22692</v>
      </c>
      <c r="E5759" t="s">
        <v>22500</v>
      </c>
      <c r="F5759" t="s">
        <v>22501</v>
      </c>
      <c r="G5759" t="s">
        <v>1898</v>
      </c>
      <c r="H5759">
        <v>50613</v>
      </c>
      <c r="I5759" t="s">
        <v>30</v>
      </c>
      <c r="J5759" t="s">
        <v>41</v>
      </c>
      <c r="K5759" t="s">
        <v>59</v>
      </c>
      <c r="Q5759">
        <v>0</v>
      </c>
      <c r="R5759">
        <v>0</v>
      </c>
      <c r="S5759">
        <v>0</v>
      </c>
      <c r="T5759" t="s">
        <v>22693</v>
      </c>
    </row>
    <row r="5760" spans="1:20" customFormat="1" ht="15" x14ac:dyDescent="0.25">
      <c r="A5760" t="s">
        <v>35</v>
      </c>
      <c r="B5760" t="s">
        <v>61</v>
      </c>
      <c r="C5760" t="str">
        <f>"A0183678"</f>
        <v>A0183678</v>
      </c>
      <c r="D5760" t="s">
        <v>22694</v>
      </c>
      <c r="E5760" t="s">
        <v>22695</v>
      </c>
      <c r="F5760" t="s">
        <v>22696</v>
      </c>
      <c r="G5760" t="s">
        <v>1898</v>
      </c>
      <c r="H5760" t="s">
        <v>22697</v>
      </c>
      <c r="I5760" t="s">
        <v>30</v>
      </c>
      <c r="J5760" t="s">
        <v>41</v>
      </c>
      <c r="K5760" t="s">
        <v>59</v>
      </c>
      <c r="Q5760">
        <v>0</v>
      </c>
      <c r="R5760">
        <v>48</v>
      </c>
      <c r="S5760">
        <v>48</v>
      </c>
      <c r="T5760" t="s">
        <v>22698</v>
      </c>
    </row>
    <row r="5761" spans="1:20" customFormat="1" ht="15" x14ac:dyDescent="0.25">
      <c r="A5761" t="s">
        <v>35</v>
      </c>
      <c r="B5761" t="s">
        <v>61</v>
      </c>
      <c r="C5761" t="str">
        <f>"A0183677"</f>
        <v>A0183677</v>
      </c>
      <c r="D5761" t="s">
        <v>22699</v>
      </c>
      <c r="E5761" t="s">
        <v>22700</v>
      </c>
      <c r="F5761" t="s">
        <v>22701</v>
      </c>
      <c r="G5761" t="s">
        <v>81</v>
      </c>
      <c r="H5761">
        <v>32064</v>
      </c>
      <c r="I5761" t="s">
        <v>30</v>
      </c>
      <c r="J5761" t="s">
        <v>41</v>
      </c>
      <c r="K5761" t="s">
        <v>59</v>
      </c>
      <c r="Q5761">
        <v>0</v>
      </c>
      <c r="R5761">
        <v>563</v>
      </c>
      <c r="S5761">
        <v>563</v>
      </c>
      <c r="T5761" t="s">
        <v>22702</v>
      </c>
    </row>
    <row r="5762" spans="1:20" customFormat="1" ht="15" x14ac:dyDescent="0.25">
      <c r="A5762" t="s">
        <v>35</v>
      </c>
      <c r="B5762" t="s">
        <v>11892</v>
      </c>
      <c r="C5762" t="str">
        <f>"A0183676"</f>
        <v>A0183676</v>
      </c>
      <c r="D5762" t="s">
        <v>17774</v>
      </c>
      <c r="E5762" t="s">
        <v>22703</v>
      </c>
      <c r="F5762" t="s">
        <v>1731</v>
      </c>
      <c r="G5762" t="s">
        <v>52</v>
      </c>
      <c r="H5762" t="s">
        <v>22704</v>
      </c>
      <c r="I5762" t="s">
        <v>30</v>
      </c>
      <c r="J5762" t="s">
        <v>41</v>
      </c>
      <c r="K5762" t="s">
        <v>59</v>
      </c>
      <c r="Q5762">
        <v>0</v>
      </c>
      <c r="R5762">
        <v>234</v>
      </c>
      <c r="S5762">
        <v>234</v>
      </c>
      <c r="T5762" t="s">
        <v>22705</v>
      </c>
    </row>
    <row r="5763" spans="1:20" customFormat="1" ht="15" x14ac:dyDescent="0.25">
      <c r="A5763" t="s">
        <v>35</v>
      </c>
      <c r="B5763" t="s">
        <v>61</v>
      </c>
      <c r="C5763" t="str">
        <f>"A0183675"</f>
        <v>A0183675</v>
      </c>
      <c r="D5763" t="s">
        <v>22706</v>
      </c>
      <c r="E5763" t="s">
        <v>22707</v>
      </c>
      <c r="F5763" t="s">
        <v>7518</v>
      </c>
      <c r="G5763" t="s">
        <v>81</v>
      </c>
      <c r="H5763" t="s">
        <v>22708</v>
      </c>
      <c r="I5763" t="s">
        <v>30</v>
      </c>
      <c r="J5763" t="s">
        <v>41</v>
      </c>
      <c r="K5763" t="s">
        <v>59</v>
      </c>
      <c r="Q5763">
        <v>0</v>
      </c>
      <c r="R5763">
        <v>0</v>
      </c>
      <c r="S5763">
        <v>0</v>
      </c>
      <c r="T5763" t="s">
        <v>22709</v>
      </c>
    </row>
    <row r="5764" spans="1:20" customFormat="1" ht="15" x14ac:dyDescent="0.25">
      <c r="A5764" t="s">
        <v>35</v>
      </c>
      <c r="B5764" t="s">
        <v>61</v>
      </c>
      <c r="C5764" t="str">
        <f>"A0183674"</f>
        <v>A0183674</v>
      </c>
      <c r="D5764" t="s">
        <v>22710</v>
      </c>
      <c r="E5764" t="s">
        <v>22711</v>
      </c>
      <c r="F5764" t="s">
        <v>12194</v>
      </c>
      <c r="G5764" t="s">
        <v>81</v>
      </c>
      <c r="H5764" t="s">
        <v>22712</v>
      </c>
      <c r="I5764" t="s">
        <v>30</v>
      </c>
      <c r="J5764" t="s">
        <v>41</v>
      </c>
      <c r="K5764" t="s">
        <v>59</v>
      </c>
      <c r="Q5764">
        <v>0</v>
      </c>
      <c r="R5764">
        <v>0</v>
      </c>
      <c r="S5764">
        <v>0</v>
      </c>
    </row>
    <row r="5765" spans="1:20" customFormat="1" ht="15" x14ac:dyDescent="0.25">
      <c r="A5765" t="s">
        <v>35</v>
      </c>
      <c r="B5765" t="s">
        <v>61</v>
      </c>
      <c r="C5765" t="str">
        <f>"A0183673"</f>
        <v>A0183673</v>
      </c>
      <c r="D5765" t="s">
        <v>22713</v>
      </c>
      <c r="E5765" t="s">
        <v>22714</v>
      </c>
      <c r="F5765" t="s">
        <v>2714</v>
      </c>
      <c r="G5765" t="s">
        <v>81</v>
      </c>
      <c r="H5765" t="s">
        <v>22715</v>
      </c>
      <c r="I5765" t="s">
        <v>30</v>
      </c>
      <c r="J5765" t="s">
        <v>41</v>
      </c>
      <c r="K5765" t="s">
        <v>59</v>
      </c>
      <c r="Q5765">
        <v>0</v>
      </c>
      <c r="R5765">
        <v>60</v>
      </c>
      <c r="S5765">
        <v>60</v>
      </c>
      <c r="T5765" t="s">
        <v>22716</v>
      </c>
    </row>
    <row r="5766" spans="1:20" customFormat="1" ht="15" x14ac:dyDescent="0.25">
      <c r="A5766" t="s">
        <v>35</v>
      </c>
      <c r="B5766" t="s">
        <v>61</v>
      </c>
      <c r="C5766" t="str">
        <f>"A0183672"</f>
        <v>A0183672</v>
      </c>
      <c r="D5766" t="s">
        <v>22717</v>
      </c>
      <c r="E5766" t="s">
        <v>22718</v>
      </c>
      <c r="F5766" t="s">
        <v>22719</v>
      </c>
      <c r="G5766" t="s">
        <v>81</v>
      </c>
      <c r="H5766">
        <v>32771</v>
      </c>
      <c r="I5766" t="s">
        <v>30</v>
      </c>
      <c r="J5766" t="s">
        <v>41</v>
      </c>
      <c r="K5766" t="s">
        <v>59</v>
      </c>
      <c r="Q5766">
        <v>0</v>
      </c>
      <c r="R5766">
        <v>0</v>
      </c>
      <c r="S5766">
        <v>0</v>
      </c>
    </row>
    <row r="5767" spans="1:20" customFormat="1" ht="15" x14ac:dyDescent="0.25">
      <c r="A5767" t="s">
        <v>35</v>
      </c>
      <c r="B5767" t="s">
        <v>61</v>
      </c>
      <c r="C5767" t="str">
        <f>"A0183671"</f>
        <v>A0183671</v>
      </c>
      <c r="D5767" t="s">
        <v>22720</v>
      </c>
      <c r="E5767" t="s">
        <v>22721</v>
      </c>
      <c r="F5767" t="s">
        <v>20667</v>
      </c>
      <c r="G5767" t="s">
        <v>81</v>
      </c>
      <c r="H5767" t="s">
        <v>22722</v>
      </c>
      <c r="I5767" t="s">
        <v>30</v>
      </c>
      <c r="J5767" t="s">
        <v>41</v>
      </c>
      <c r="K5767" t="s">
        <v>59</v>
      </c>
      <c r="Q5767">
        <v>0</v>
      </c>
      <c r="R5767">
        <v>42</v>
      </c>
      <c r="S5767">
        <v>42</v>
      </c>
      <c r="T5767" t="s">
        <v>22723</v>
      </c>
    </row>
    <row r="5768" spans="1:20" customFormat="1" ht="15" x14ac:dyDescent="0.25">
      <c r="A5768" t="s">
        <v>35</v>
      </c>
      <c r="B5768" t="s">
        <v>61</v>
      </c>
      <c r="C5768" t="str">
        <f>"A0183670"</f>
        <v>A0183670</v>
      </c>
      <c r="D5768" t="s">
        <v>22724</v>
      </c>
      <c r="E5768" t="s">
        <v>22725</v>
      </c>
      <c r="F5768" t="s">
        <v>22726</v>
      </c>
      <c r="G5768" t="s">
        <v>81</v>
      </c>
      <c r="H5768" t="s">
        <v>22727</v>
      </c>
      <c r="I5768" t="s">
        <v>30</v>
      </c>
      <c r="J5768" t="s">
        <v>41</v>
      </c>
      <c r="K5768" t="s">
        <v>59</v>
      </c>
      <c r="Q5768">
        <v>0</v>
      </c>
      <c r="R5768">
        <v>40</v>
      </c>
      <c r="S5768">
        <v>40</v>
      </c>
      <c r="T5768" t="s">
        <v>22728</v>
      </c>
    </row>
    <row r="5769" spans="1:20" customFormat="1" ht="15" x14ac:dyDescent="0.25">
      <c r="A5769" t="s">
        <v>35</v>
      </c>
      <c r="B5769" t="s">
        <v>61</v>
      </c>
      <c r="C5769" t="str">
        <f>"A0183669"</f>
        <v>A0183669</v>
      </c>
      <c r="D5769" t="s">
        <v>22729</v>
      </c>
      <c r="E5769" t="s">
        <v>22730</v>
      </c>
      <c r="F5769" t="s">
        <v>3555</v>
      </c>
      <c r="G5769" t="s">
        <v>81</v>
      </c>
      <c r="H5769">
        <v>32308</v>
      </c>
      <c r="I5769" t="s">
        <v>30</v>
      </c>
      <c r="J5769" t="s">
        <v>41</v>
      </c>
      <c r="K5769" t="s">
        <v>59</v>
      </c>
      <c r="Q5769">
        <v>0</v>
      </c>
      <c r="R5769">
        <v>0</v>
      </c>
      <c r="S5769">
        <v>0</v>
      </c>
      <c r="T5769" t="s">
        <v>22731</v>
      </c>
    </row>
    <row r="5770" spans="1:20" customFormat="1" ht="15" x14ac:dyDescent="0.25">
      <c r="A5770" t="s">
        <v>35</v>
      </c>
      <c r="B5770" t="s">
        <v>61</v>
      </c>
      <c r="C5770" t="str">
        <f>"A0183668"</f>
        <v>A0183668</v>
      </c>
      <c r="D5770" t="s">
        <v>22732</v>
      </c>
      <c r="E5770" t="s">
        <v>22733</v>
      </c>
      <c r="F5770" t="s">
        <v>10530</v>
      </c>
      <c r="G5770" t="s">
        <v>81</v>
      </c>
      <c r="H5770" t="s">
        <v>22734</v>
      </c>
      <c r="I5770" t="s">
        <v>30</v>
      </c>
      <c r="J5770" t="s">
        <v>41</v>
      </c>
      <c r="K5770" t="s">
        <v>59</v>
      </c>
      <c r="Q5770">
        <v>0</v>
      </c>
      <c r="R5770">
        <v>18</v>
      </c>
      <c r="S5770">
        <v>18</v>
      </c>
      <c r="T5770" t="s">
        <v>22735</v>
      </c>
    </row>
    <row r="5771" spans="1:20" customFormat="1" ht="15" x14ac:dyDescent="0.25">
      <c r="A5771" t="s">
        <v>35</v>
      </c>
      <c r="B5771" t="s">
        <v>61</v>
      </c>
      <c r="C5771" t="str">
        <f>"A0183667"</f>
        <v>A0183667</v>
      </c>
      <c r="D5771" t="s">
        <v>22736</v>
      </c>
      <c r="E5771" t="s">
        <v>20991</v>
      </c>
      <c r="F5771" t="s">
        <v>7638</v>
      </c>
      <c r="G5771" t="s">
        <v>52</v>
      </c>
      <c r="H5771">
        <v>75150</v>
      </c>
      <c r="I5771" t="s">
        <v>30</v>
      </c>
      <c r="J5771" t="s">
        <v>41</v>
      </c>
      <c r="K5771" t="s">
        <v>59</v>
      </c>
      <c r="Q5771">
        <v>0</v>
      </c>
      <c r="R5771">
        <v>0</v>
      </c>
      <c r="S5771">
        <v>0</v>
      </c>
    </row>
    <row r="5772" spans="1:20" customFormat="1" ht="15" x14ac:dyDescent="0.25">
      <c r="A5772" t="s">
        <v>35</v>
      </c>
      <c r="B5772" t="s">
        <v>61</v>
      </c>
      <c r="C5772" t="str">
        <f>"A0183666"</f>
        <v>A0183666</v>
      </c>
      <c r="D5772" t="s">
        <v>22737</v>
      </c>
      <c r="E5772" t="s">
        <v>21576</v>
      </c>
      <c r="F5772" t="s">
        <v>7638</v>
      </c>
      <c r="G5772" t="s">
        <v>52</v>
      </c>
      <c r="H5772">
        <v>75150</v>
      </c>
      <c r="I5772" t="s">
        <v>30</v>
      </c>
      <c r="J5772" t="s">
        <v>41</v>
      </c>
      <c r="K5772" t="s">
        <v>59</v>
      </c>
      <c r="Q5772">
        <v>0</v>
      </c>
      <c r="R5772">
        <v>180</v>
      </c>
      <c r="S5772">
        <v>180</v>
      </c>
      <c r="T5772" t="s">
        <v>20992</v>
      </c>
    </row>
    <row r="5773" spans="1:20" customFormat="1" ht="15" x14ac:dyDescent="0.25">
      <c r="A5773" t="s">
        <v>35</v>
      </c>
      <c r="B5773" t="s">
        <v>61</v>
      </c>
      <c r="C5773" t="str">
        <f>"A0183665"</f>
        <v>A0183665</v>
      </c>
      <c r="D5773" t="s">
        <v>22738</v>
      </c>
      <c r="E5773" t="s">
        <v>22739</v>
      </c>
      <c r="F5773" t="s">
        <v>5240</v>
      </c>
      <c r="G5773" t="s">
        <v>52</v>
      </c>
      <c r="H5773" t="s">
        <v>22740</v>
      </c>
      <c r="I5773" t="s">
        <v>30</v>
      </c>
      <c r="J5773" t="s">
        <v>41</v>
      </c>
      <c r="K5773" t="s">
        <v>59</v>
      </c>
      <c r="Q5773">
        <v>0</v>
      </c>
      <c r="R5773">
        <v>0</v>
      </c>
      <c r="S5773">
        <v>0</v>
      </c>
    </row>
    <row r="5774" spans="1:20" customFormat="1" ht="15" x14ac:dyDescent="0.25">
      <c r="A5774" t="s">
        <v>35</v>
      </c>
      <c r="B5774" t="s">
        <v>61</v>
      </c>
      <c r="C5774" t="str">
        <f>"A0183664"</f>
        <v>A0183664</v>
      </c>
      <c r="D5774" t="s">
        <v>22741</v>
      </c>
      <c r="E5774" t="s">
        <v>22742</v>
      </c>
      <c r="F5774" t="s">
        <v>4133</v>
      </c>
      <c r="G5774" t="s">
        <v>52</v>
      </c>
      <c r="H5774" t="s">
        <v>22743</v>
      </c>
      <c r="I5774" t="s">
        <v>30</v>
      </c>
      <c r="J5774" t="s">
        <v>41</v>
      </c>
      <c r="K5774" t="s">
        <v>59</v>
      </c>
      <c r="Q5774">
        <v>0</v>
      </c>
      <c r="R5774">
        <v>0</v>
      </c>
      <c r="S5774">
        <v>0</v>
      </c>
      <c r="T5774" t="s">
        <v>22744</v>
      </c>
    </row>
    <row r="5775" spans="1:20" customFormat="1" ht="15" x14ac:dyDescent="0.25">
      <c r="A5775" t="s">
        <v>35</v>
      </c>
      <c r="B5775" t="s">
        <v>61</v>
      </c>
      <c r="C5775" t="str">
        <f>"A0183663"</f>
        <v>A0183663</v>
      </c>
      <c r="D5775" t="s">
        <v>22745</v>
      </c>
      <c r="E5775" t="s">
        <v>18513</v>
      </c>
      <c r="F5775" t="s">
        <v>17621</v>
      </c>
      <c r="G5775" t="s">
        <v>52</v>
      </c>
      <c r="H5775">
        <v>769034085</v>
      </c>
      <c r="I5775" t="s">
        <v>30</v>
      </c>
      <c r="J5775" t="s">
        <v>41</v>
      </c>
      <c r="K5775" t="s">
        <v>59</v>
      </c>
      <c r="Q5775">
        <v>0</v>
      </c>
      <c r="R5775">
        <v>0</v>
      </c>
      <c r="S5775">
        <v>0</v>
      </c>
    </row>
    <row r="5776" spans="1:20" customFormat="1" ht="15" x14ac:dyDescent="0.25">
      <c r="A5776" t="s">
        <v>35</v>
      </c>
      <c r="B5776" t="s">
        <v>61</v>
      </c>
      <c r="C5776" t="str">
        <f>"A0183662"</f>
        <v>A0183662</v>
      </c>
      <c r="D5776" t="s">
        <v>22746</v>
      </c>
      <c r="E5776" t="s">
        <v>22747</v>
      </c>
      <c r="F5776" t="s">
        <v>18470</v>
      </c>
      <c r="G5776" t="s">
        <v>52</v>
      </c>
      <c r="H5776">
        <v>79101</v>
      </c>
      <c r="I5776" t="s">
        <v>30</v>
      </c>
      <c r="J5776" t="s">
        <v>41</v>
      </c>
      <c r="K5776" t="s">
        <v>59</v>
      </c>
      <c r="Q5776">
        <v>0</v>
      </c>
      <c r="R5776">
        <v>0</v>
      </c>
      <c r="S5776">
        <v>0</v>
      </c>
    </row>
    <row r="5777" spans="1:20" customFormat="1" ht="15" x14ac:dyDescent="0.25">
      <c r="A5777" t="s">
        <v>35</v>
      </c>
      <c r="B5777" t="s">
        <v>61</v>
      </c>
      <c r="C5777" t="str">
        <f>"A0183661"</f>
        <v>A0183661</v>
      </c>
      <c r="D5777" t="s">
        <v>22748</v>
      </c>
      <c r="E5777" t="s">
        <v>22749</v>
      </c>
      <c r="F5777" t="s">
        <v>5240</v>
      </c>
      <c r="G5777" t="s">
        <v>52</v>
      </c>
      <c r="H5777" t="s">
        <v>22750</v>
      </c>
      <c r="I5777" t="s">
        <v>30</v>
      </c>
      <c r="J5777" t="s">
        <v>41</v>
      </c>
      <c r="K5777" t="s">
        <v>59</v>
      </c>
      <c r="Q5777">
        <v>0</v>
      </c>
      <c r="R5777">
        <v>91</v>
      </c>
      <c r="S5777">
        <v>91</v>
      </c>
      <c r="T5777" t="s">
        <v>22751</v>
      </c>
    </row>
    <row r="5778" spans="1:20" customFormat="1" ht="15" x14ac:dyDescent="0.25">
      <c r="A5778" t="s">
        <v>35</v>
      </c>
      <c r="B5778" t="s">
        <v>61</v>
      </c>
      <c r="C5778" t="str">
        <f>"A0183660"</f>
        <v>A0183660</v>
      </c>
      <c r="D5778" t="s">
        <v>22752</v>
      </c>
      <c r="E5778" t="s">
        <v>22753</v>
      </c>
      <c r="F5778" t="s">
        <v>22754</v>
      </c>
      <c r="G5778" t="s">
        <v>52</v>
      </c>
      <c r="H5778" t="s">
        <v>22755</v>
      </c>
      <c r="I5778" t="s">
        <v>30</v>
      </c>
      <c r="J5778" t="s">
        <v>41</v>
      </c>
      <c r="K5778" t="s">
        <v>59</v>
      </c>
      <c r="Q5778">
        <v>0</v>
      </c>
      <c r="R5778">
        <v>40</v>
      </c>
      <c r="S5778">
        <v>40</v>
      </c>
      <c r="T5778" t="s">
        <v>22756</v>
      </c>
    </row>
    <row r="5779" spans="1:20" customFormat="1" ht="15" x14ac:dyDescent="0.25">
      <c r="A5779" t="s">
        <v>35</v>
      </c>
      <c r="B5779" t="s">
        <v>61</v>
      </c>
      <c r="C5779" t="str">
        <f>"A0183659"</f>
        <v>A0183659</v>
      </c>
      <c r="D5779" t="s">
        <v>22757</v>
      </c>
      <c r="E5779" t="s">
        <v>22758</v>
      </c>
      <c r="F5779" t="s">
        <v>22759</v>
      </c>
      <c r="G5779" t="s">
        <v>52</v>
      </c>
      <c r="H5779" t="s">
        <v>22760</v>
      </c>
      <c r="I5779" t="s">
        <v>30</v>
      </c>
      <c r="J5779" t="s">
        <v>41</v>
      </c>
      <c r="K5779" t="s">
        <v>59</v>
      </c>
      <c r="Q5779">
        <v>0</v>
      </c>
      <c r="R5779">
        <v>66</v>
      </c>
      <c r="S5779">
        <v>66</v>
      </c>
      <c r="T5779" t="s">
        <v>22761</v>
      </c>
    </row>
    <row r="5780" spans="1:20" customFormat="1" ht="15" x14ac:dyDescent="0.25">
      <c r="A5780" t="s">
        <v>35</v>
      </c>
      <c r="B5780" t="s">
        <v>61</v>
      </c>
      <c r="C5780" t="str">
        <f>"A0183658"</f>
        <v>A0183658</v>
      </c>
      <c r="D5780" t="s">
        <v>22762</v>
      </c>
      <c r="E5780" t="s">
        <v>22763</v>
      </c>
      <c r="F5780" t="s">
        <v>12194</v>
      </c>
      <c r="G5780" t="s">
        <v>81</v>
      </c>
      <c r="H5780" t="s">
        <v>22764</v>
      </c>
      <c r="I5780" t="s">
        <v>30</v>
      </c>
      <c r="J5780" t="s">
        <v>41</v>
      </c>
      <c r="K5780" t="s">
        <v>59</v>
      </c>
      <c r="Q5780">
        <v>0</v>
      </c>
      <c r="R5780">
        <v>100</v>
      </c>
      <c r="S5780">
        <v>100</v>
      </c>
      <c r="T5780" t="s">
        <v>22765</v>
      </c>
    </row>
    <row r="5781" spans="1:20" customFormat="1" ht="15" x14ac:dyDescent="0.25">
      <c r="A5781" t="s">
        <v>35</v>
      </c>
      <c r="B5781" t="s">
        <v>61</v>
      </c>
      <c r="C5781" t="str">
        <f>"A0183657"</f>
        <v>A0183657</v>
      </c>
      <c r="D5781" t="s">
        <v>22766</v>
      </c>
      <c r="E5781" t="s">
        <v>22767</v>
      </c>
      <c r="F5781" t="s">
        <v>20033</v>
      </c>
      <c r="G5781" t="s">
        <v>103</v>
      </c>
      <c r="H5781">
        <v>17361</v>
      </c>
      <c r="I5781" t="s">
        <v>30</v>
      </c>
      <c r="J5781" t="s">
        <v>41</v>
      </c>
      <c r="K5781" t="s">
        <v>59</v>
      </c>
      <c r="Q5781">
        <v>0</v>
      </c>
      <c r="R5781">
        <v>91</v>
      </c>
      <c r="S5781">
        <v>91</v>
      </c>
      <c r="T5781" t="s">
        <v>20034</v>
      </c>
    </row>
    <row r="5782" spans="1:20" customFormat="1" ht="15" x14ac:dyDescent="0.25">
      <c r="A5782" t="s">
        <v>35</v>
      </c>
      <c r="B5782" t="s">
        <v>61</v>
      </c>
      <c r="C5782" t="str">
        <f>"A0183656"</f>
        <v>A0183656</v>
      </c>
      <c r="D5782" t="s">
        <v>22768</v>
      </c>
      <c r="E5782" t="s">
        <v>22769</v>
      </c>
      <c r="F5782" t="s">
        <v>22770</v>
      </c>
      <c r="G5782" t="s">
        <v>103</v>
      </c>
      <c r="H5782" t="s">
        <v>22771</v>
      </c>
      <c r="I5782" t="s">
        <v>30</v>
      </c>
      <c r="J5782" t="s">
        <v>41</v>
      </c>
      <c r="K5782" t="s">
        <v>59</v>
      </c>
      <c r="Q5782">
        <v>0</v>
      </c>
      <c r="R5782">
        <v>0</v>
      </c>
      <c r="S5782">
        <v>0</v>
      </c>
      <c r="T5782" t="s">
        <v>22772</v>
      </c>
    </row>
    <row r="5783" spans="1:20" customFormat="1" ht="15" x14ac:dyDescent="0.25">
      <c r="A5783" t="s">
        <v>35</v>
      </c>
      <c r="B5783" t="s">
        <v>61</v>
      </c>
      <c r="C5783" t="str">
        <f>"A0183655"</f>
        <v>A0183655</v>
      </c>
      <c r="D5783" t="s">
        <v>22773</v>
      </c>
      <c r="E5783" t="s">
        <v>22774</v>
      </c>
      <c r="F5783" t="s">
        <v>19847</v>
      </c>
      <c r="G5783" t="s">
        <v>103</v>
      </c>
      <c r="H5783" t="s">
        <v>22775</v>
      </c>
      <c r="I5783" t="s">
        <v>30</v>
      </c>
      <c r="J5783" t="s">
        <v>41</v>
      </c>
      <c r="K5783" t="s">
        <v>59</v>
      </c>
      <c r="Q5783">
        <v>0</v>
      </c>
      <c r="R5783">
        <v>0</v>
      </c>
      <c r="S5783">
        <v>0</v>
      </c>
      <c r="T5783" t="s">
        <v>22776</v>
      </c>
    </row>
    <row r="5784" spans="1:20" customFormat="1" ht="15" x14ac:dyDescent="0.25">
      <c r="A5784" t="s">
        <v>35</v>
      </c>
      <c r="B5784" t="s">
        <v>61</v>
      </c>
      <c r="C5784" t="str">
        <f>"A0183654"</f>
        <v>A0183654</v>
      </c>
      <c r="D5784" t="s">
        <v>22777</v>
      </c>
      <c r="E5784" t="s">
        <v>22778</v>
      </c>
      <c r="F5784" t="s">
        <v>9147</v>
      </c>
      <c r="G5784" t="s">
        <v>103</v>
      </c>
      <c r="H5784" t="s">
        <v>22779</v>
      </c>
      <c r="I5784" t="s">
        <v>30</v>
      </c>
      <c r="J5784" t="s">
        <v>41</v>
      </c>
      <c r="K5784" t="s">
        <v>59</v>
      </c>
      <c r="Q5784">
        <v>0</v>
      </c>
      <c r="R5784">
        <v>0</v>
      </c>
      <c r="S5784">
        <v>0</v>
      </c>
      <c r="T5784" t="s">
        <v>22780</v>
      </c>
    </row>
    <row r="5785" spans="1:20" customFormat="1" ht="15" x14ac:dyDescent="0.25">
      <c r="A5785" t="s">
        <v>35</v>
      </c>
      <c r="B5785" t="s">
        <v>61</v>
      </c>
      <c r="C5785" t="str">
        <f>"A0183653"</f>
        <v>A0183653</v>
      </c>
      <c r="D5785" t="s">
        <v>22781</v>
      </c>
      <c r="E5785" t="s">
        <v>22782</v>
      </c>
      <c r="F5785" t="s">
        <v>102</v>
      </c>
      <c r="G5785" t="s">
        <v>103</v>
      </c>
      <c r="H5785" t="s">
        <v>22783</v>
      </c>
      <c r="I5785" t="s">
        <v>30</v>
      </c>
      <c r="J5785" t="s">
        <v>41</v>
      </c>
      <c r="K5785" t="s">
        <v>59</v>
      </c>
      <c r="Q5785">
        <v>0</v>
      </c>
      <c r="R5785">
        <v>0</v>
      </c>
      <c r="S5785">
        <v>0</v>
      </c>
      <c r="T5785" t="s">
        <v>22784</v>
      </c>
    </row>
    <row r="5786" spans="1:20" customFormat="1" ht="15" x14ac:dyDescent="0.25">
      <c r="A5786" t="s">
        <v>35</v>
      </c>
      <c r="B5786" t="s">
        <v>61</v>
      </c>
      <c r="C5786" t="str">
        <f>"A0183652"</f>
        <v>A0183652</v>
      </c>
      <c r="D5786" t="s">
        <v>22785</v>
      </c>
      <c r="E5786" t="s">
        <v>22786</v>
      </c>
      <c r="F5786" t="s">
        <v>4133</v>
      </c>
      <c r="G5786" t="s">
        <v>52</v>
      </c>
      <c r="H5786">
        <v>78754</v>
      </c>
      <c r="I5786" t="s">
        <v>30</v>
      </c>
      <c r="J5786" t="s">
        <v>41</v>
      </c>
      <c r="K5786" t="s">
        <v>59</v>
      </c>
      <c r="Q5786">
        <v>0</v>
      </c>
      <c r="R5786">
        <v>0</v>
      </c>
      <c r="S5786">
        <v>0</v>
      </c>
      <c r="T5786" t="s">
        <v>22787</v>
      </c>
    </row>
    <row r="5787" spans="1:20" customFormat="1" ht="15" x14ac:dyDescent="0.25">
      <c r="A5787" t="s">
        <v>35</v>
      </c>
      <c r="B5787" t="s">
        <v>61</v>
      </c>
      <c r="C5787" t="str">
        <f>"A0183651"</f>
        <v>A0183651</v>
      </c>
      <c r="D5787" t="s">
        <v>22788</v>
      </c>
      <c r="E5787" t="s">
        <v>22789</v>
      </c>
      <c r="F5787" t="s">
        <v>14662</v>
      </c>
      <c r="G5787" t="s">
        <v>52</v>
      </c>
      <c r="H5787" t="s">
        <v>22790</v>
      </c>
      <c r="I5787" t="s">
        <v>30</v>
      </c>
      <c r="J5787" t="s">
        <v>41</v>
      </c>
      <c r="K5787" t="s">
        <v>59</v>
      </c>
      <c r="Q5787">
        <v>0</v>
      </c>
      <c r="R5787">
        <v>95</v>
      </c>
      <c r="S5787">
        <v>95</v>
      </c>
      <c r="T5787" t="s">
        <v>22791</v>
      </c>
    </row>
    <row r="5788" spans="1:20" customFormat="1" ht="15" x14ac:dyDescent="0.25">
      <c r="A5788" t="s">
        <v>35</v>
      </c>
      <c r="B5788" t="s">
        <v>11871</v>
      </c>
      <c r="C5788" t="str">
        <f>"A0183650"</f>
        <v>A0183650</v>
      </c>
      <c r="D5788" t="s">
        <v>22792</v>
      </c>
      <c r="E5788" t="s">
        <v>22793</v>
      </c>
      <c r="F5788" t="s">
        <v>22794</v>
      </c>
      <c r="G5788" t="s">
        <v>52</v>
      </c>
      <c r="H5788" t="s">
        <v>22795</v>
      </c>
      <c r="I5788" t="s">
        <v>30</v>
      </c>
      <c r="J5788" t="s">
        <v>41</v>
      </c>
      <c r="K5788" t="s">
        <v>59</v>
      </c>
      <c r="Q5788">
        <v>0</v>
      </c>
      <c r="R5788">
        <v>0</v>
      </c>
      <c r="S5788">
        <v>0</v>
      </c>
      <c r="T5788" t="s">
        <v>22796</v>
      </c>
    </row>
    <row r="5789" spans="1:20" customFormat="1" ht="15" x14ac:dyDescent="0.25">
      <c r="A5789" t="s">
        <v>35</v>
      </c>
      <c r="B5789" t="s">
        <v>61</v>
      </c>
      <c r="C5789" t="str">
        <f>"A0183649"</f>
        <v>A0183649</v>
      </c>
      <c r="D5789" t="s">
        <v>22797</v>
      </c>
      <c r="E5789" t="s">
        <v>22798</v>
      </c>
      <c r="F5789" t="s">
        <v>2714</v>
      </c>
      <c r="G5789" t="s">
        <v>81</v>
      </c>
      <c r="H5789" t="s">
        <v>22799</v>
      </c>
      <c r="I5789" t="s">
        <v>30</v>
      </c>
      <c r="J5789" t="s">
        <v>41</v>
      </c>
      <c r="K5789" t="s">
        <v>59</v>
      </c>
      <c r="Q5789">
        <v>0</v>
      </c>
      <c r="R5789">
        <v>0</v>
      </c>
      <c r="S5789">
        <v>0</v>
      </c>
      <c r="T5789" t="s">
        <v>22800</v>
      </c>
    </row>
    <row r="5790" spans="1:20" customFormat="1" ht="15" x14ac:dyDescent="0.25">
      <c r="A5790" t="s">
        <v>35</v>
      </c>
      <c r="B5790" t="s">
        <v>61</v>
      </c>
      <c r="C5790" t="str">
        <f>"A0183648"</f>
        <v>A0183648</v>
      </c>
      <c r="D5790" t="s">
        <v>22801</v>
      </c>
      <c r="E5790" t="s">
        <v>22802</v>
      </c>
      <c r="F5790" t="s">
        <v>10426</v>
      </c>
      <c r="G5790" t="s">
        <v>81</v>
      </c>
      <c r="H5790" t="s">
        <v>22803</v>
      </c>
      <c r="I5790" t="s">
        <v>30</v>
      </c>
      <c r="J5790" t="s">
        <v>41</v>
      </c>
      <c r="K5790" t="s">
        <v>59</v>
      </c>
      <c r="Q5790">
        <v>0</v>
      </c>
      <c r="R5790">
        <v>129</v>
      </c>
      <c r="S5790">
        <v>129</v>
      </c>
      <c r="T5790" t="s">
        <v>22804</v>
      </c>
    </row>
    <row r="5791" spans="1:20" customFormat="1" ht="15" x14ac:dyDescent="0.25">
      <c r="A5791" t="s">
        <v>35</v>
      </c>
      <c r="B5791" t="s">
        <v>61</v>
      </c>
      <c r="C5791" t="str">
        <f>"A0183647"</f>
        <v>A0183647</v>
      </c>
      <c r="D5791" t="s">
        <v>22805</v>
      </c>
      <c r="E5791" t="s">
        <v>22806</v>
      </c>
      <c r="F5791" t="s">
        <v>10530</v>
      </c>
      <c r="G5791" t="s">
        <v>81</v>
      </c>
      <c r="H5791" t="s">
        <v>22807</v>
      </c>
      <c r="I5791" t="s">
        <v>30</v>
      </c>
      <c r="J5791" t="s">
        <v>41</v>
      </c>
      <c r="K5791" t="s">
        <v>59</v>
      </c>
      <c r="Q5791">
        <v>0</v>
      </c>
      <c r="R5791">
        <v>0</v>
      </c>
      <c r="S5791">
        <v>0</v>
      </c>
      <c r="T5791" t="s">
        <v>22808</v>
      </c>
    </row>
    <row r="5792" spans="1:20" customFormat="1" ht="15" x14ac:dyDescent="0.25">
      <c r="A5792" t="s">
        <v>35</v>
      </c>
      <c r="B5792" t="s">
        <v>61</v>
      </c>
      <c r="C5792" t="str">
        <f>"A0183645"</f>
        <v>A0183645</v>
      </c>
      <c r="D5792" t="s">
        <v>22809</v>
      </c>
      <c r="E5792" t="s">
        <v>22810</v>
      </c>
      <c r="F5792" t="s">
        <v>5188</v>
      </c>
      <c r="G5792" t="s">
        <v>52</v>
      </c>
      <c r="H5792" t="s">
        <v>22811</v>
      </c>
      <c r="I5792" t="s">
        <v>30</v>
      </c>
      <c r="J5792" t="s">
        <v>41</v>
      </c>
      <c r="K5792" t="s">
        <v>59</v>
      </c>
      <c r="Q5792">
        <v>0</v>
      </c>
      <c r="R5792">
        <v>64</v>
      </c>
      <c r="S5792">
        <v>64</v>
      </c>
      <c r="T5792" t="s">
        <v>22812</v>
      </c>
    </row>
    <row r="5793" spans="1:20" customFormat="1" ht="15" x14ac:dyDescent="0.25">
      <c r="A5793" t="s">
        <v>35</v>
      </c>
      <c r="B5793" t="s">
        <v>11871</v>
      </c>
      <c r="C5793" t="str">
        <f>"A0183644"</f>
        <v>A0183644</v>
      </c>
      <c r="D5793" t="s">
        <v>22813</v>
      </c>
      <c r="E5793" t="s">
        <v>22814</v>
      </c>
      <c r="F5793" t="s">
        <v>5240</v>
      </c>
      <c r="G5793" t="s">
        <v>52</v>
      </c>
      <c r="H5793" t="s">
        <v>22815</v>
      </c>
      <c r="I5793" t="s">
        <v>30</v>
      </c>
      <c r="J5793" t="s">
        <v>41</v>
      </c>
      <c r="K5793" t="s">
        <v>59</v>
      </c>
      <c r="Q5793">
        <v>0</v>
      </c>
      <c r="R5793">
        <v>0</v>
      </c>
      <c r="S5793">
        <v>0</v>
      </c>
      <c r="T5793" t="s">
        <v>22816</v>
      </c>
    </row>
    <row r="5794" spans="1:20" customFormat="1" ht="15" x14ac:dyDescent="0.25">
      <c r="A5794" t="s">
        <v>35</v>
      </c>
      <c r="B5794" t="s">
        <v>11871</v>
      </c>
      <c r="C5794" t="str">
        <f>"A0183643"</f>
        <v>A0183643</v>
      </c>
      <c r="D5794" t="s">
        <v>22817</v>
      </c>
      <c r="E5794" t="s">
        <v>22818</v>
      </c>
      <c r="F5794" t="s">
        <v>4133</v>
      </c>
      <c r="G5794" t="s">
        <v>52</v>
      </c>
      <c r="H5794" t="s">
        <v>22819</v>
      </c>
      <c r="I5794" t="s">
        <v>30</v>
      </c>
      <c r="J5794" t="s">
        <v>41</v>
      </c>
      <c r="K5794" t="s">
        <v>59</v>
      </c>
      <c r="Q5794">
        <v>0</v>
      </c>
      <c r="R5794">
        <v>0</v>
      </c>
      <c r="S5794">
        <v>0</v>
      </c>
      <c r="T5794" t="s">
        <v>22820</v>
      </c>
    </row>
    <row r="5795" spans="1:20" customFormat="1" ht="15" x14ac:dyDescent="0.25">
      <c r="A5795" t="s">
        <v>35</v>
      </c>
      <c r="B5795" t="s">
        <v>61</v>
      </c>
      <c r="C5795" t="str">
        <f>"A0183642"</f>
        <v>A0183642</v>
      </c>
      <c r="D5795" t="s">
        <v>22821</v>
      </c>
      <c r="E5795" t="s">
        <v>22822</v>
      </c>
      <c r="F5795" t="s">
        <v>5240</v>
      </c>
      <c r="G5795" t="s">
        <v>52</v>
      </c>
      <c r="H5795">
        <v>78201</v>
      </c>
      <c r="I5795" t="s">
        <v>30</v>
      </c>
      <c r="J5795" t="s">
        <v>41</v>
      </c>
      <c r="K5795" t="s">
        <v>59</v>
      </c>
      <c r="Q5795">
        <v>0</v>
      </c>
      <c r="R5795">
        <v>0</v>
      </c>
      <c r="S5795">
        <v>0</v>
      </c>
      <c r="T5795" t="s">
        <v>22823</v>
      </c>
    </row>
    <row r="5796" spans="1:20" customFormat="1" ht="15" x14ac:dyDescent="0.25">
      <c r="A5796" t="s">
        <v>35</v>
      </c>
      <c r="B5796" t="s">
        <v>61</v>
      </c>
      <c r="C5796" t="str">
        <f>"A0183641"</f>
        <v>A0183641</v>
      </c>
      <c r="D5796" t="s">
        <v>22824</v>
      </c>
      <c r="E5796" t="s">
        <v>22825</v>
      </c>
      <c r="F5796" t="s">
        <v>10530</v>
      </c>
      <c r="G5796" t="s">
        <v>81</v>
      </c>
      <c r="H5796" t="s">
        <v>22826</v>
      </c>
      <c r="I5796" t="s">
        <v>30</v>
      </c>
      <c r="J5796" t="s">
        <v>41</v>
      </c>
      <c r="K5796" t="s">
        <v>59</v>
      </c>
      <c r="Q5796">
        <v>0</v>
      </c>
      <c r="R5796">
        <v>242</v>
      </c>
      <c r="S5796">
        <v>242</v>
      </c>
    </row>
    <row r="5797" spans="1:20" customFormat="1" ht="15" x14ac:dyDescent="0.25">
      <c r="A5797" t="s">
        <v>35</v>
      </c>
      <c r="B5797" t="s">
        <v>61</v>
      </c>
      <c r="C5797" t="str">
        <f>"A0183640"</f>
        <v>A0183640</v>
      </c>
      <c r="D5797" t="s">
        <v>22827</v>
      </c>
      <c r="E5797" t="s">
        <v>22828</v>
      </c>
      <c r="F5797" t="s">
        <v>3671</v>
      </c>
      <c r="G5797" t="s">
        <v>81</v>
      </c>
      <c r="H5797" t="s">
        <v>22829</v>
      </c>
      <c r="I5797" t="s">
        <v>30</v>
      </c>
      <c r="J5797" t="s">
        <v>41</v>
      </c>
      <c r="K5797" t="s">
        <v>59</v>
      </c>
      <c r="Q5797">
        <v>0</v>
      </c>
      <c r="R5797">
        <v>106</v>
      </c>
      <c r="S5797">
        <v>106</v>
      </c>
      <c r="T5797" t="s">
        <v>22830</v>
      </c>
    </row>
    <row r="5798" spans="1:20" customFormat="1" ht="15" x14ac:dyDescent="0.25">
      <c r="A5798" t="s">
        <v>35</v>
      </c>
      <c r="B5798" t="s">
        <v>61</v>
      </c>
      <c r="C5798" t="str">
        <f>"A0183639"</f>
        <v>A0183639</v>
      </c>
      <c r="D5798" t="s">
        <v>22831</v>
      </c>
      <c r="E5798" t="s">
        <v>22832</v>
      </c>
      <c r="F5798" t="s">
        <v>7518</v>
      </c>
      <c r="G5798" t="s">
        <v>81</v>
      </c>
      <c r="H5798" t="s">
        <v>22833</v>
      </c>
      <c r="I5798" t="s">
        <v>30</v>
      </c>
      <c r="J5798" t="s">
        <v>41</v>
      </c>
      <c r="K5798" t="s">
        <v>59</v>
      </c>
      <c r="Q5798">
        <v>0</v>
      </c>
      <c r="R5798">
        <v>0</v>
      </c>
      <c r="S5798">
        <v>0</v>
      </c>
    </row>
    <row r="5799" spans="1:20" customFormat="1" ht="15" x14ac:dyDescent="0.25">
      <c r="A5799" t="s">
        <v>35</v>
      </c>
      <c r="B5799" t="s">
        <v>61</v>
      </c>
      <c r="C5799" t="str">
        <f>"A0183638"</f>
        <v>A0183638</v>
      </c>
      <c r="D5799" t="s">
        <v>22834</v>
      </c>
      <c r="E5799" t="s">
        <v>22835</v>
      </c>
      <c r="F5799" t="s">
        <v>22836</v>
      </c>
      <c r="G5799" t="s">
        <v>81</v>
      </c>
      <c r="H5799" t="s">
        <v>22837</v>
      </c>
      <c r="I5799" t="s">
        <v>30</v>
      </c>
      <c r="J5799" t="s">
        <v>41</v>
      </c>
      <c r="K5799" t="s">
        <v>59</v>
      </c>
      <c r="Q5799">
        <v>0</v>
      </c>
      <c r="R5799">
        <v>0</v>
      </c>
      <c r="S5799">
        <v>0</v>
      </c>
      <c r="T5799" t="s">
        <v>22838</v>
      </c>
    </row>
    <row r="5800" spans="1:20" customFormat="1" ht="15" x14ac:dyDescent="0.25">
      <c r="A5800" t="s">
        <v>35</v>
      </c>
      <c r="B5800" t="s">
        <v>61</v>
      </c>
      <c r="C5800" t="str">
        <f>"A0183637"</f>
        <v>A0183637</v>
      </c>
      <c r="D5800" t="s">
        <v>22839</v>
      </c>
      <c r="E5800" t="s">
        <v>22840</v>
      </c>
      <c r="F5800" t="s">
        <v>11884</v>
      </c>
      <c r="G5800" t="s">
        <v>71</v>
      </c>
      <c r="H5800" t="s">
        <v>22841</v>
      </c>
      <c r="I5800" t="s">
        <v>30</v>
      </c>
      <c r="J5800" t="s">
        <v>41</v>
      </c>
      <c r="K5800" t="s">
        <v>59</v>
      </c>
      <c r="Q5800">
        <v>0</v>
      </c>
      <c r="R5800">
        <v>0</v>
      </c>
      <c r="S5800">
        <v>0</v>
      </c>
      <c r="T5800" t="s">
        <v>22842</v>
      </c>
    </row>
    <row r="5801" spans="1:20" customFormat="1" ht="15" x14ac:dyDescent="0.25">
      <c r="A5801" t="s">
        <v>35</v>
      </c>
      <c r="B5801" t="s">
        <v>61</v>
      </c>
      <c r="C5801" t="str">
        <f>"A0183636"</f>
        <v>A0183636</v>
      </c>
      <c r="D5801" t="s">
        <v>22843</v>
      </c>
      <c r="E5801" t="s">
        <v>7618</v>
      </c>
      <c r="F5801" t="s">
        <v>7619</v>
      </c>
      <c r="G5801" t="s">
        <v>71</v>
      </c>
      <c r="H5801">
        <v>530662646</v>
      </c>
      <c r="I5801" t="s">
        <v>30</v>
      </c>
      <c r="J5801" t="s">
        <v>41</v>
      </c>
      <c r="K5801" t="s">
        <v>59</v>
      </c>
      <c r="Q5801">
        <v>0</v>
      </c>
      <c r="R5801">
        <v>243</v>
      </c>
      <c r="S5801">
        <v>243</v>
      </c>
      <c r="T5801" t="s">
        <v>7623</v>
      </c>
    </row>
    <row r="5802" spans="1:20" customFormat="1" ht="15" x14ac:dyDescent="0.25">
      <c r="A5802" t="s">
        <v>35</v>
      </c>
      <c r="B5802" t="s">
        <v>61</v>
      </c>
      <c r="C5802" t="str">
        <f>"A0183635"</f>
        <v>A0183635</v>
      </c>
      <c r="D5802" t="s">
        <v>22844</v>
      </c>
      <c r="E5802" t="s">
        <v>22845</v>
      </c>
      <c r="F5802" t="s">
        <v>20837</v>
      </c>
      <c r="G5802" t="s">
        <v>52</v>
      </c>
      <c r="H5802">
        <v>77571</v>
      </c>
      <c r="I5802" t="s">
        <v>30</v>
      </c>
      <c r="J5802" t="s">
        <v>41</v>
      </c>
      <c r="K5802" t="s">
        <v>59</v>
      </c>
      <c r="Q5802">
        <v>0</v>
      </c>
      <c r="R5802">
        <v>61</v>
      </c>
      <c r="S5802">
        <v>61</v>
      </c>
      <c r="T5802" t="s">
        <v>22846</v>
      </c>
    </row>
    <row r="5803" spans="1:20" customFormat="1" ht="15" x14ac:dyDescent="0.25">
      <c r="A5803" t="s">
        <v>35</v>
      </c>
      <c r="B5803" t="s">
        <v>61</v>
      </c>
      <c r="C5803" t="str">
        <f>"A0183633"</f>
        <v>A0183633</v>
      </c>
      <c r="D5803" t="s">
        <v>22847</v>
      </c>
      <c r="E5803" t="s">
        <v>22848</v>
      </c>
      <c r="F5803" t="s">
        <v>3339</v>
      </c>
      <c r="G5803" t="s">
        <v>71</v>
      </c>
      <c r="H5803">
        <v>53098</v>
      </c>
      <c r="I5803" t="s">
        <v>30</v>
      </c>
      <c r="J5803" t="s">
        <v>41</v>
      </c>
      <c r="K5803" t="s">
        <v>59</v>
      </c>
      <c r="Q5803">
        <v>0</v>
      </c>
      <c r="R5803">
        <v>188</v>
      </c>
      <c r="S5803">
        <v>188</v>
      </c>
      <c r="T5803" t="s">
        <v>11043</v>
      </c>
    </row>
    <row r="5804" spans="1:20" customFormat="1" ht="15" x14ac:dyDescent="0.25">
      <c r="A5804" t="s">
        <v>35</v>
      </c>
      <c r="B5804" t="s">
        <v>61</v>
      </c>
      <c r="C5804" t="str">
        <f>"A0183632"</f>
        <v>A0183632</v>
      </c>
      <c r="D5804" t="s">
        <v>22849</v>
      </c>
      <c r="E5804" t="s">
        <v>7618</v>
      </c>
      <c r="F5804" t="s">
        <v>7619</v>
      </c>
      <c r="G5804" t="s">
        <v>71</v>
      </c>
      <c r="H5804">
        <v>53066</v>
      </c>
      <c r="I5804" t="s">
        <v>30</v>
      </c>
      <c r="J5804" t="s">
        <v>41</v>
      </c>
      <c r="K5804" t="s">
        <v>59</v>
      </c>
      <c r="Q5804">
        <v>0</v>
      </c>
      <c r="R5804">
        <v>0</v>
      </c>
      <c r="S5804">
        <v>0</v>
      </c>
    </row>
    <row r="5805" spans="1:20" customFormat="1" ht="15" x14ac:dyDescent="0.25">
      <c r="A5805" t="s">
        <v>35</v>
      </c>
      <c r="B5805" t="s">
        <v>61</v>
      </c>
      <c r="C5805" t="str">
        <f>"A0183631"</f>
        <v>A0183631</v>
      </c>
      <c r="D5805" t="s">
        <v>22850</v>
      </c>
      <c r="E5805" t="s">
        <v>22851</v>
      </c>
      <c r="F5805" t="s">
        <v>4112</v>
      </c>
      <c r="G5805" t="s">
        <v>71</v>
      </c>
      <c r="H5805" t="s">
        <v>22852</v>
      </c>
      <c r="I5805" t="s">
        <v>30</v>
      </c>
      <c r="J5805" t="s">
        <v>41</v>
      </c>
      <c r="K5805" t="s">
        <v>59</v>
      </c>
      <c r="Q5805">
        <v>0</v>
      </c>
      <c r="R5805">
        <v>0</v>
      </c>
      <c r="S5805">
        <v>0</v>
      </c>
      <c r="T5805" t="s">
        <v>20616</v>
      </c>
    </row>
    <row r="5806" spans="1:20" customFormat="1" ht="15" x14ac:dyDescent="0.25">
      <c r="A5806" t="s">
        <v>35</v>
      </c>
      <c r="B5806" t="s">
        <v>61</v>
      </c>
      <c r="C5806" t="str">
        <f>"A0183630"</f>
        <v>A0183630</v>
      </c>
      <c r="D5806" t="s">
        <v>22853</v>
      </c>
      <c r="E5806" t="s">
        <v>22854</v>
      </c>
      <c r="F5806" t="s">
        <v>22855</v>
      </c>
      <c r="G5806" t="s">
        <v>81</v>
      </c>
      <c r="H5806" t="s">
        <v>22856</v>
      </c>
      <c r="I5806" t="s">
        <v>30</v>
      </c>
      <c r="J5806" t="s">
        <v>41</v>
      </c>
      <c r="K5806" t="s">
        <v>59</v>
      </c>
      <c r="Q5806">
        <v>0</v>
      </c>
      <c r="R5806">
        <v>0</v>
      </c>
      <c r="S5806">
        <v>0</v>
      </c>
      <c r="T5806" t="s">
        <v>22857</v>
      </c>
    </row>
    <row r="5807" spans="1:20" customFormat="1" ht="15" x14ac:dyDescent="0.25">
      <c r="A5807" t="s">
        <v>35</v>
      </c>
      <c r="B5807" t="s">
        <v>61</v>
      </c>
      <c r="C5807" t="str">
        <f>"A0183629"</f>
        <v>A0183629</v>
      </c>
      <c r="D5807" t="s">
        <v>22858</v>
      </c>
      <c r="E5807" t="s">
        <v>22859</v>
      </c>
      <c r="F5807" t="s">
        <v>2714</v>
      </c>
      <c r="G5807" t="s">
        <v>81</v>
      </c>
      <c r="H5807" t="s">
        <v>22860</v>
      </c>
      <c r="I5807" t="s">
        <v>30</v>
      </c>
      <c r="J5807" t="s">
        <v>41</v>
      </c>
      <c r="K5807" t="s">
        <v>59</v>
      </c>
      <c r="Q5807">
        <v>0</v>
      </c>
      <c r="R5807">
        <v>0</v>
      </c>
      <c r="S5807">
        <v>0</v>
      </c>
      <c r="T5807" t="s">
        <v>22861</v>
      </c>
    </row>
    <row r="5808" spans="1:20" customFormat="1" ht="15" x14ac:dyDescent="0.25">
      <c r="A5808" t="s">
        <v>35</v>
      </c>
      <c r="B5808" t="s">
        <v>61</v>
      </c>
      <c r="C5808" t="str">
        <f>"A0183628"</f>
        <v>A0183628</v>
      </c>
      <c r="D5808" t="s">
        <v>22862</v>
      </c>
      <c r="E5808" t="s">
        <v>22863</v>
      </c>
      <c r="F5808" t="s">
        <v>5734</v>
      </c>
      <c r="G5808" t="s">
        <v>52</v>
      </c>
      <c r="H5808" t="s">
        <v>22864</v>
      </c>
      <c r="I5808" t="s">
        <v>30</v>
      </c>
      <c r="J5808" t="s">
        <v>41</v>
      </c>
      <c r="K5808" t="s">
        <v>59</v>
      </c>
      <c r="Q5808">
        <v>0</v>
      </c>
      <c r="R5808">
        <v>60</v>
      </c>
      <c r="S5808">
        <v>60</v>
      </c>
      <c r="T5808" t="s">
        <v>22865</v>
      </c>
    </row>
    <row r="5809" spans="1:20" customFormat="1" ht="15" x14ac:dyDescent="0.25">
      <c r="A5809" t="s">
        <v>35</v>
      </c>
      <c r="B5809" t="s">
        <v>61</v>
      </c>
      <c r="C5809" t="str">
        <f>"A0183627"</f>
        <v>A0183627</v>
      </c>
      <c r="D5809" t="s">
        <v>22866</v>
      </c>
      <c r="E5809" t="s">
        <v>22867</v>
      </c>
      <c r="F5809" t="s">
        <v>22868</v>
      </c>
      <c r="G5809" t="s">
        <v>52</v>
      </c>
      <c r="H5809" t="s">
        <v>22869</v>
      </c>
      <c r="I5809" t="s">
        <v>30</v>
      </c>
      <c r="J5809" t="s">
        <v>41</v>
      </c>
      <c r="K5809" t="s">
        <v>59</v>
      </c>
      <c r="Q5809">
        <v>0</v>
      </c>
      <c r="R5809">
        <v>0</v>
      </c>
      <c r="S5809">
        <v>0</v>
      </c>
      <c r="T5809" t="s">
        <v>22870</v>
      </c>
    </row>
    <row r="5810" spans="1:20" customFormat="1" ht="15" x14ac:dyDescent="0.25">
      <c r="A5810" t="s">
        <v>35</v>
      </c>
      <c r="B5810" t="s">
        <v>61</v>
      </c>
      <c r="C5810" t="str">
        <f>"A0183625"</f>
        <v>A0183625</v>
      </c>
      <c r="D5810" t="s">
        <v>22871</v>
      </c>
      <c r="E5810" t="s">
        <v>22872</v>
      </c>
      <c r="F5810" t="s">
        <v>13940</v>
      </c>
      <c r="G5810" t="s">
        <v>81</v>
      </c>
      <c r="H5810" t="s">
        <v>22873</v>
      </c>
      <c r="I5810" t="s">
        <v>30</v>
      </c>
      <c r="J5810" t="s">
        <v>41</v>
      </c>
      <c r="K5810" t="s">
        <v>59</v>
      </c>
      <c r="Q5810">
        <v>0</v>
      </c>
      <c r="R5810">
        <v>174</v>
      </c>
      <c r="S5810">
        <v>174</v>
      </c>
      <c r="T5810" t="s">
        <v>22874</v>
      </c>
    </row>
    <row r="5811" spans="1:20" customFormat="1" ht="15" x14ac:dyDescent="0.25">
      <c r="A5811" t="s">
        <v>35</v>
      </c>
      <c r="B5811" t="s">
        <v>61</v>
      </c>
      <c r="C5811" t="str">
        <f>"A0183624"</f>
        <v>A0183624</v>
      </c>
      <c r="D5811" t="s">
        <v>22875</v>
      </c>
      <c r="E5811" t="s">
        <v>22876</v>
      </c>
      <c r="F5811" t="s">
        <v>22877</v>
      </c>
      <c r="G5811" t="s">
        <v>81</v>
      </c>
      <c r="H5811" t="s">
        <v>22878</v>
      </c>
      <c r="I5811" t="s">
        <v>30</v>
      </c>
      <c r="J5811" t="s">
        <v>41</v>
      </c>
      <c r="K5811" t="s">
        <v>59</v>
      </c>
      <c r="Q5811">
        <v>0</v>
      </c>
      <c r="R5811">
        <v>0</v>
      </c>
      <c r="S5811">
        <v>0</v>
      </c>
      <c r="T5811" t="s">
        <v>22879</v>
      </c>
    </row>
    <row r="5812" spans="1:20" customFormat="1" ht="15" x14ac:dyDescent="0.25">
      <c r="A5812" t="s">
        <v>35</v>
      </c>
      <c r="B5812" t="s">
        <v>61</v>
      </c>
      <c r="C5812" t="str">
        <f>"A0183623"</f>
        <v>A0183623</v>
      </c>
      <c r="D5812" t="s">
        <v>22880</v>
      </c>
      <c r="E5812" t="s">
        <v>22881</v>
      </c>
      <c r="F5812" t="s">
        <v>10581</v>
      </c>
      <c r="G5812" t="s">
        <v>81</v>
      </c>
      <c r="H5812">
        <v>33952</v>
      </c>
      <c r="I5812" t="s">
        <v>30</v>
      </c>
      <c r="J5812" t="s">
        <v>41</v>
      </c>
      <c r="K5812" t="s">
        <v>59</v>
      </c>
      <c r="Q5812">
        <v>0</v>
      </c>
      <c r="R5812">
        <v>0</v>
      </c>
      <c r="S5812">
        <v>0</v>
      </c>
      <c r="T5812" t="s">
        <v>22882</v>
      </c>
    </row>
    <row r="5813" spans="1:20" customFormat="1" ht="15" x14ac:dyDescent="0.25">
      <c r="A5813" t="s">
        <v>35</v>
      </c>
      <c r="B5813" t="s">
        <v>61</v>
      </c>
      <c r="C5813" t="str">
        <f>"A0183622"</f>
        <v>A0183622</v>
      </c>
      <c r="D5813" t="s">
        <v>22883</v>
      </c>
      <c r="E5813" t="s">
        <v>22884</v>
      </c>
      <c r="F5813" t="s">
        <v>3002</v>
      </c>
      <c r="G5813" t="s">
        <v>103</v>
      </c>
      <c r="H5813">
        <v>17331</v>
      </c>
      <c r="I5813" t="s">
        <v>30</v>
      </c>
      <c r="J5813" t="s">
        <v>41</v>
      </c>
      <c r="K5813" t="s">
        <v>59</v>
      </c>
      <c r="Q5813">
        <v>0</v>
      </c>
      <c r="R5813">
        <v>0</v>
      </c>
      <c r="S5813">
        <v>0</v>
      </c>
      <c r="T5813" t="s">
        <v>22885</v>
      </c>
    </row>
    <row r="5814" spans="1:20" customFormat="1" ht="15" x14ac:dyDescent="0.25">
      <c r="A5814" t="s">
        <v>35</v>
      </c>
      <c r="B5814" t="s">
        <v>61</v>
      </c>
      <c r="C5814" t="str">
        <f>"A0183621"</f>
        <v>A0183621</v>
      </c>
      <c r="D5814" t="s">
        <v>22886</v>
      </c>
      <c r="E5814" t="s">
        <v>22887</v>
      </c>
      <c r="F5814" t="s">
        <v>3009</v>
      </c>
      <c r="G5814" t="s">
        <v>103</v>
      </c>
      <c r="H5814" t="s">
        <v>22888</v>
      </c>
      <c r="I5814" t="s">
        <v>30</v>
      </c>
      <c r="J5814" t="s">
        <v>41</v>
      </c>
      <c r="K5814" t="s">
        <v>59</v>
      </c>
      <c r="Q5814">
        <v>0</v>
      </c>
      <c r="R5814">
        <v>0</v>
      </c>
      <c r="S5814">
        <v>0</v>
      </c>
    </row>
    <row r="5815" spans="1:20" customFormat="1" ht="15" x14ac:dyDescent="0.25">
      <c r="A5815" t="s">
        <v>35</v>
      </c>
      <c r="B5815" t="s">
        <v>61</v>
      </c>
      <c r="C5815" t="str">
        <f>"A0183620"</f>
        <v>A0183620</v>
      </c>
      <c r="D5815" t="s">
        <v>22889</v>
      </c>
      <c r="E5815" t="s">
        <v>19512</v>
      </c>
      <c r="F5815" t="s">
        <v>4354</v>
      </c>
      <c r="G5815" t="s">
        <v>103</v>
      </c>
      <c r="H5815" t="s">
        <v>19513</v>
      </c>
      <c r="I5815" t="s">
        <v>30</v>
      </c>
      <c r="J5815" t="s">
        <v>41</v>
      </c>
      <c r="K5815" t="s">
        <v>59</v>
      </c>
      <c r="Q5815">
        <v>0</v>
      </c>
      <c r="R5815">
        <v>170</v>
      </c>
      <c r="S5815">
        <v>170</v>
      </c>
      <c r="T5815" t="s">
        <v>19514</v>
      </c>
    </row>
    <row r="5816" spans="1:20" customFormat="1" ht="15" x14ac:dyDescent="0.25">
      <c r="A5816" t="s">
        <v>35</v>
      </c>
      <c r="B5816" t="s">
        <v>61</v>
      </c>
      <c r="C5816" t="str">
        <f>"A0183619"</f>
        <v>A0183619</v>
      </c>
      <c r="D5816" t="s">
        <v>22890</v>
      </c>
      <c r="E5816" t="s">
        <v>22891</v>
      </c>
      <c r="F5816" t="s">
        <v>1731</v>
      </c>
      <c r="G5816" t="s">
        <v>52</v>
      </c>
      <c r="H5816" t="s">
        <v>20907</v>
      </c>
      <c r="I5816" t="s">
        <v>30</v>
      </c>
      <c r="J5816" t="s">
        <v>41</v>
      </c>
      <c r="K5816" t="s">
        <v>59</v>
      </c>
      <c r="Q5816">
        <v>0</v>
      </c>
      <c r="R5816">
        <v>0</v>
      </c>
      <c r="S5816">
        <v>0</v>
      </c>
      <c r="T5816" t="s">
        <v>22892</v>
      </c>
    </row>
    <row r="5817" spans="1:20" customFormat="1" ht="15" x14ac:dyDescent="0.25">
      <c r="A5817" t="s">
        <v>35</v>
      </c>
      <c r="B5817" t="s">
        <v>61</v>
      </c>
      <c r="C5817" t="str">
        <f>"A0183618"</f>
        <v>A0183618</v>
      </c>
      <c r="D5817" t="s">
        <v>22893</v>
      </c>
      <c r="E5817" t="s">
        <v>22894</v>
      </c>
      <c r="F5817" t="s">
        <v>20911</v>
      </c>
      <c r="G5817" t="s">
        <v>52</v>
      </c>
      <c r="H5817" t="s">
        <v>22895</v>
      </c>
      <c r="I5817" t="s">
        <v>30</v>
      </c>
      <c r="J5817" t="s">
        <v>41</v>
      </c>
      <c r="K5817" t="s">
        <v>59</v>
      </c>
      <c r="Q5817">
        <v>0</v>
      </c>
      <c r="R5817">
        <v>0</v>
      </c>
      <c r="S5817">
        <v>0</v>
      </c>
      <c r="T5817" t="s">
        <v>22896</v>
      </c>
    </row>
    <row r="5818" spans="1:20" customFormat="1" ht="15" x14ac:dyDescent="0.25">
      <c r="A5818" t="s">
        <v>35</v>
      </c>
      <c r="B5818" t="s">
        <v>11871</v>
      </c>
      <c r="C5818" t="str">
        <f>"A0183617"</f>
        <v>A0183617</v>
      </c>
      <c r="D5818" t="s">
        <v>22897</v>
      </c>
      <c r="E5818" t="s">
        <v>22898</v>
      </c>
      <c r="F5818" t="s">
        <v>22899</v>
      </c>
      <c r="G5818" t="s">
        <v>52</v>
      </c>
      <c r="H5818" t="s">
        <v>22900</v>
      </c>
      <c r="I5818" t="s">
        <v>30</v>
      </c>
      <c r="J5818" t="s">
        <v>41</v>
      </c>
      <c r="K5818" t="s">
        <v>59</v>
      </c>
      <c r="Q5818">
        <v>0</v>
      </c>
      <c r="R5818">
        <v>0</v>
      </c>
      <c r="S5818">
        <v>0</v>
      </c>
      <c r="T5818" t="s">
        <v>22901</v>
      </c>
    </row>
    <row r="5819" spans="1:20" customFormat="1" ht="15" x14ac:dyDescent="0.25">
      <c r="A5819" t="s">
        <v>35</v>
      </c>
      <c r="B5819" t="s">
        <v>61</v>
      </c>
      <c r="C5819" t="str">
        <f>"A0183616"</f>
        <v>A0183616</v>
      </c>
      <c r="D5819" t="s">
        <v>22902</v>
      </c>
      <c r="E5819" t="s">
        <v>22903</v>
      </c>
      <c r="F5819" t="s">
        <v>10530</v>
      </c>
      <c r="G5819" t="s">
        <v>81</v>
      </c>
      <c r="H5819" t="s">
        <v>22904</v>
      </c>
      <c r="I5819" t="s">
        <v>30</v>
      </c>
      <c r="J5819" t="s">
        <v>41</v>
      </c>
      <c r="K5819" t="s">
        <v>59</v>
      </c>
      <c r="Q5819">
        <v>0</v>
      </c>
      <c r="R5819">
        <v>242</v>
      </c>
      <c r="S5819">
        <v>242</v>
      </c>
      <c r="T5819" t="s">
        <v>22905</v>
      </c>
    </row>
    <row r="5820" spans="1:20" customFormat="1" ht="15" x14ac:dyDescent="0.25">
      <c r="A5820" t="s">
        <v>35</v>
      </c>
      <c r="B5820" t="s">
        <v>61</v>
      </c>
      <c r="C5820" t="str">
        <f>"A0183615"</f>
        <v>A0183615</v>
      </c>
      <c r="D5820" t="s">
        <v>22906</v>
      </c>
      <c r="E5820" t="s">
        <v>22907</v>
      </c>
      <c r="F5820" t="s">
        <v>10426</v>
      </c>
      <c r="G5820" t="s">
        <v>81</v>
      </c>
      <c r="H5820" t="s">
        <v>22908</v>
      </c>
      <c r="I5820" t="s">
        <v>30</v>
      </c>
      <c r="J5820" t="s">
        <v>41</v>
      </c>
      <c r="K5820" t="s">
        <v>59</v>
      </c>
      <c r="Q5820">
        <v>0</v>
      </c>
      <c r="R5820">
        <v>0</v>
      </c>
      <c r="S5820">
        <v>0</v>
      </c>
      <c r="T5820" t="s">
        <v>22909</v>
      </c>
    </row>
    <row r="5821" spans="1:20" customFormat="1" ht="15" x14ac:dyDescent="0.25">
      <c r="A5821" t="s">
        <v>35</v>
      </c>
      <c r="B5821" t="s">
        <v>61</v>
      </c>
      <c r="C5821" t="str">
        <f>"A0183614"</f>
        <v>A0183614</v>
      </c>
      <c r="D5821" t="s">
        <v>22910</v>
      </c>
      <c r="E5821" t="s">
        <v>22911</v>
      </c>
      <c r="F5821" t="s">
        <v>10426</v>
      </c>
      <c r="G5821" t="s">
        <v>81</v>
      </c>
      <c r="H5821" t="s">
        <v>22912</v>
      </c>
      <c r="I5821" t="s">
        <v>30</v>
      </c>
      <c r="J5821" t="s">
        <v>41</v>
      </c>
      <c r="K5821" t="s">
        <v>59</v>
      </c>
      <c r="Q5821">
        <v>0</v>
      </c>
      <c r="R5821">
        <v>0</v>
      </c>
      <c r="S5821">
        <v>0</v>
      </c>
      <c r="T5821" t="s">
        <v>22913</v>
      </c>
    </row>
    <row r="5822" spans="1:20" customFormat="1" ht="15" x14ac:dyDescent="0.25">
      <c r="A5822" t="s">
        <v>35</v>
      </c>
      <c r="B5822" t="s">
        <v>61</v>
      </c>
      <c r="C5822" t="str">
        <f>"A0183613"</f>
        <v>A0183613</v>
      </c>
      <c r="D5822" t="s">
        <v>22914</v>
      </c>
      <c r="E5822" t="s">
        <v>22915</v>
      </c>
      <c r="F5822" t="s">
        <v>22916</v>
      </c>
      <c r="G5822" t="s">
        <v>81</v>
      </c>
      <c r="H5822" t="s">
        <v>22917</v>
      </c>
      <c r="I5822" t="s">
        <v>30</v>
      </c>
      <c r="J5822" t="s">
        <v>41</v>
      </c>
      <c r="K5822" t="s">
        <v>59</v>
      </c>
      <c r="Q5822">
        <v>0</v>
      </c>
      <c r="R5822">
        <v>0</v>
      </c>
      <c r="S5822">
        <v>0</v>
      </c>
    </row>
    <row r="5823" spans="1:20" customFormat="1" ht="15" x14ac:dyDescent="0.25">
      <c r="A5823" t="s">
        <v>35</v>
      </c>
      <c r="B5823" t="s">
        <v>61</v>
      </c>
      <c r="C5823" t="str">
        <f>"A0183612"</f>
        <v>A0183612</v>
      </c>
      <c r="D5823" t="s">
        <v>22918</v>
      </c>
      <c r="E5823" t="s">
        <v>22919</v>
      </c>
      <c r="F5823" t="s">
        <v>10581</v>
      </c>
      <c r="G5823" t="s">
        <v>81</v>
      </c>
      <c r="H5823" t="s">
        <v>22920</v>
      </c>
      <c r="I5823" t="s">
        <v>30</v>
      </c>
      <c r="J5823" t="s">
        <v>41</v>
      </c>
      <c r="K5823" t="s">
        <v>59</v>
      </c>
      <c r="Q5823">
        <v>0</v>
      </c>
      <c r="R5823">
        <v>0</v>
      </c>
      <c r="S5823">
        <v>0</v>
      </c>
    </row>
    <row r="5824" spans="1:20" customFormat="1" ht="15" x14ac:dyDescent="0.25">
      <c r="A5824" t="s">
        <v>35</v>
      </c>
      <c r="B5824" t="s">
        <v>61</v>
      </c>
      <c r="C5824" t="str">
        <f>"A0183611"</f>
        <v>A0183611</v>
      </c>
      <c r="D5824" t="s">
        <v>22921</v>
      </c>
      <c r="E5824" t="s">
        <v>22922</v>
      </c>
      <c r="F5824" t="s">
        <v>10426</v>
      </c>
      <c r="G5824" t="s">
        <v>81</v>
      </c>
      <c r="H5824" t="s">
        <v>22923</v>
      </c>
      <c r="I5824" t="s">
        <v>30</v>
      </c>
      <c r="J5824" t="s">
        <v>41</v>
      </c>
      <c r="K5824" t="s">
        <v>59</v>
      </c>
      <c r="Q5824">
        <v>0</v>
      </c>
      <c r="R5824">
        <v>116</v>
      </c>
      <c r="S5824">
        <v>116</v>
      </c>
      <c r="T5824" t="s">
        <v>22924</v>
      </c>
    </row>
    <row r="5825" spans="1:20" customFormat="1" ht="15" x14ac:dyDescent="0.25">
      <c r="A5825" t="s">
        <v>35</v>
      </c>
      <c r="B5825" t="s">
        <v>61</v>
      </c>
      <c r="C5825" t="str">
        <f>"A0183610"</f>
        <v>A0183610</v>
      </c>
      <c r="D5825" t="s">
        <v>22925</v>
      </c>
      <c r="E5825" t="s">
        <v>22926</v>
      </c>
      <c r="F5825" t="s">
        <v>12194</v>
      </c>
      <c r="G5825" t="s">
        <v>81</v>
      </c>
      <c r="H5825" t="s">
        <v>22927</v>
      </c>
      <c r="I5825" t="s">
        <v>30</v>
      </c>
      <c r="J5825" t="s">
        <v>41</v>
      </c>
      <c r="K5825" t="s">
        <v>59</v>
      </c>
      <c r="Q5825">
        <v>0</v>
      </c>
      <c r="R5825">
        <v>570</v>
      </c>
      <c r="S5825">
        <v>570</v>
      </c>
      <c r="T5825" t="s">
        <v>22928</v>
      </c>
    </row>
    <row r="5826" spans="1:20" customFormat="1" ht="15" x14ac:dyDescent="0.25">
      <c r="A5826" t="s">
        <v>35</v>
      </c>
      <c r="B5826" t="s">
        <v>61</v>
      </c>
      <c r="C5826" t="str">
        <f>"A0183609"</f>
        <v>A0183609</v>
      </c>
      <c r="D5826" t="s">
        <v>22929</v>
      </c>
      <c r="E5826" t="s">
        <v>22926</v>
      </c>
      <c r="F5826" t="s">
        <v>12194</v>
      </c>
      <c r="G5826" t="s">
        <v>81</v>
      </c>
      <c r="H5826">
        <v>33137</v>
      </c>
      <c r="I5826" t="s">
        <v>30</v>
      </c>
      <c r="J5826" t="s">
        <v>41</v>
      </c>
      <c r="K5826" t="s">
        <v>59</v>
      </c>
      <c r="Q5826">
        <v>0</v>
      </c>
      <c r="R5826">
        <v>0</v>
      </c>
      <c r="S5826">
        <v>0</v>
      </c>
    </row>
    <row r="5827" spans="1:20" customFormat="1" ht="15" x14ac:dyDescent="0.25">
      <c r="A5827" t="s">
        <v>35</v>
      </c>
      <c r="B5827" t="s">
        <v>61</v>
      </c>
      <c r="C5827" t="str">
        <f>"A0183608"</f>
        <v>A0183608</v>
      </c>
      <c r="D5827" t="s">
        <v>22930</v>
      </c>
      <c r="E5827" t="s">
        <v>22931</v>
      </c>
      <c r="F5827" t="s">
        <v>5257</v>
      </c>
      <c r="G5827" t="s">
        <v>52</v>
      </c>
      <c r="H5827" t="s">
        <v>22932</v>
      </c>
      <c r="I5827" t="s">
        <v>30</v>
      </c>
      <c r="J5827" t="s">
        <v>41</v>
      </c>
      <c r="K5827" t="s">
        <v>59</v>
      </c>
      <c r="Q5827">
        <v>0</v>
      </c>
      <c r="R5827">
        <v>60</v>
      </c>
      <c r="S5827">
        <v>60</v>
      </c>
      <c r="T5827" t="s">
        <v>22933</v>
      </c>
    </row>
    <row r="5828" spans="1:20" customFormat="1" ht="15" x14ac:dyDescent="0.25">
      <c r="A5828" t="s">
        <v>35</v>
      </c>
      <c r="B5828" t="s">
        <v>61</v>
      </c>
      <c r="C5828" t="str">
        <f>"A0183607"</f>
        <v>A0183607</v>
      </c>
      <c r="D5828" t="s">
        <v>20905</v>
      </c>
      <c r="E5828" t="s">
        <v>22934</v>
      </c>
      <c r="F5828" t="s">
        <v>1731</v>
      </c>
      <c r="G5828" t="s">
        <v>52</v>
      </c>
      <c r="H5828">
        <v>752512223</v>
      </c>
      <c r="I5828" t="s">
        <v>30</v>
      </c>
      <c r="J5828" t="s">
        <v>41</v>
      </c>
      <c r="K5828" t="s">
        <v>59</v>
      </c>
      <c r="Q5828">
        <v>0</v>
      </c>
      <c r="R5828">
        <v>0</v>
      </c>
      <c r="S5828">
        <v>0</v>
      </c>
      <c r="T5828" t="s">
        <v>22935</v>
      </c>
    </row>
    <row r="5829" spans="1:20" customFormat="1" ht="15" x14ac:dyDescent="0.25">
      <c r="A5829" t="s">
        <v>35</v>
      </c>
      <c r="B5829" t="s">
        <v>61</v>
      </c>
      <c r="C5829" t="str">
        <f>"A0183606"</f>
        <v>A0183606</v>
      </c>
      <c r="D5829" t="s">
        <v>22936</v>
      </c>
      <c r="E5829" t="s">
        <v>22937</v>
      </c>
      <c r="F5829" t="s">
        <v>20911</v>
      </c>
      <c r="G5829" t="s">
        <v>52</v>
      </c>
      <c r="H5829" t="s">
        <v>22938</v>
      </c>
      <c r="I5829" t="s">
        <v>30</v>
      </c>
      <c r="J5829" t="s">
        <v>41</v>
      </c>
      <c r="K5829" t="s">
        <v>59</v>
      </c>
      <c r="Q5829">
        <v>0</v>
      </c>
      <c r="R5829">
        <v>0</v>
      </c>
      <c r="S5829">
        <v>0</v>
      </c>
      <c r="T5829" t="s">
        <v>22896</v>
      </c>
    </row>
    <row r="5830" spans="1:20" customFormat="1" ht="15" x14ac:dyDescent="0.25">
      <c r="A5830" t="s">
        <v>35</v>
      </c>
      <c r="B5830" t="s">
        <v>61</v>
      </c>
      <c r="C5830" t="str">
        <f>"A0183605"</f>
        <v>A0183605</v>
      </c>
      <c r="D5830" t="s">
        <v>22939</v>
      </c>
      <c r="E5830" t="s">
        <v>22940</v>
      </c>
      <c r="F5830" t="s">
        <v>20911</v>
      </c>
      <c r="G5830" t="s">
        <v>52</v>
      </c>
      <c r="H5830" t="s">
        <v>22941</v>
      </c>
      <c r="I5830" t="s">
        <v>30</v>
      </c>
      <c r="J5830" t="s">
        <v>41</v>
      </c>
      <c r="K5830" t="s">
        <v>59</v>
      </c>
      <c r="Q5830">
        <v>0</v>
      </c>
      <c r="R5830">
        <v>0</v>
      </c>
      <c r="S5830">
        <v>0</v>
      </c>
      <c r="T5830" t="s">
        <v>22896</v>
      </c>
    </row>
    <row r="5831" spans="1:20" customFormat="1" ht="15" x14ac:dyDescent="0.25">
      <c r="A5831" t="s">
        <v>35</v>
      </c>
      <c r="B5831" t="s">
        <v>61</v>
      </c>
      <c r="C5831" t="str">
        <f>"A0183604"</f>
        <v>A0183604</v>
      </c>
      <c r="D5831" t="s">
        <v>22942</v>
      </c>
      <c r="E5831" t="s">
        <v>22943</v>
      </c>
      <c r="F5831" t="s">
        <v>64</v>
      </c>
      <c r="G5831" t="s">
        <v>65</v>
      </c>
      <c r="H5831">
        <v>432281653</v>
      </c>
      <c r="I5831" t="s">
        <v>30</v>
      </c>
      <c r="J5831" t="s">
        <v>41</v>
      </c>
      <c r="K5831" t="s">
        <v>59</v>
      </c>
      <c r="Q5831">
        <v>0</v>
      </c>
      <c r="R5831">
        <v>0</v>
      </c>
      <c r="S5831">
        <v>0</v>
      </c>
    </row>
    <row r="5832" spans="1:20" customFormat="1" ht="15" x14ac:dyDescent="0.25">
      <c r="A5832" t="s">
        <v>35</v>
      </c>
      <c r="B5832" t="s">
        <v>61</v>
      </c>
      <c r="C5832" t="str">
        <f>"A0183603"</f>
        <v>A0183603</v>
      </c>
      <c r="D5832" t="s">
        <v>22944</v>
      </c>
      <c r="E5832" t="s">
        <v>22945</v>
      </c>
      <c r="F5832" t="s">
        <v>22946</v>
      </c>
      <c r="G5832" t="s">
        <v>65</v>
      </c>
      <c r="H5832" t="s">
        <v>22947</v>
      </c>
      <c r="I5832" t="s">
        <v>30</v>
      </c>
      <c r="J5832" t="s">
        <v>41</v>
      </c>
      <c r="K5832" t="s">
        <v>59</v>
      </c>
      <c r="Q5832">
        <v>0</v>
      </c>
      <c r="R5832">
        <v>0</v>
      </c>
      <c r="S5832">
        <v>0</v>
      </c>
    </row>
    <row r="5833" spans="1:20" customFormat="1" ht="15" x14ac:dyDescent="0.25">
      <c r="A5833" t="s">
        <v>35</v>
      </c>
      <c r="B5833" t="s">
        <v>61</v>
      </c>
      <c r="C5833" t="str">
        <f>"A0183602"</f>
        <v>A0183602</v>
      </c>
      <c r="D5833" t="s">
        <v>22948</v>
      </c>
      <c r="E5833" t="s">
        <v>22949</v>
      </c>
      <c r="F5833" t="s">
        <v>5204</v>
      </c>
      <c r="G5833" t="s">
        <v>65</v>
      </c>
      <c r="H5833" t="s">
        <v>22950</v>
      </c>
      <c r="I5833" t="s">
        <v>30</v>
      </c>
      <c r="J5833" t="s">
        <v>41</v>
      </c>
      <c r="K5833" t="s">
        <v>59</v>
      </c>
      <c r="Q5833">
        <v>0</v>
      </c>
      <c r="R5833">
        <v>146</v>
      </c>
      <c r="S5833">
        <v>146</v>
      </c>
      <c r="T5833" t="s">
        <v>22951</v>
      </c>
    </row>
    <row r="5834" spans="1:20" customFormat="1" ht="15" x14ac:dyDescent="0.25">
      <c r="A5834" t="s">
        <v>35</v>
      </c>
      <c r="B5834" t="s">
        <v>61</v>
      </c>
      <c r="C5834" t="str">
        <f>"A0183601"</f>
        <v>A0183601</v>
      </c>
      <c r="D5834" t="s">
        <v>22952</v>
      </c>
      <c r="E5834" t="s">
        <v>22953</v>
      </c>
      <c r="F5834" t="s">
        <v>4674</v>
      </c>
      <c r="G5834" t="s">
        <v>103</v>
      </c>
      <c r="H5834" t="s">
        <v>22954</v>
      </c>
      <c r="I5834" t="s">
        <v>30</v>
      </c>
      <c r="J5834" t="s">
        <v>41</v>
      </c>
      <c r="K5834" t="s">
        <v>59</v>
      </c>
      <c r="Q5834">
        <v>0</v>
      </c>
      <c r="R5834">
        <v>108</v>
      </c>
      <c r="S5834">
        <v>108</v>
      </c>
      <c r="T5834" t="s">
        <v>22955</v>
      </c>
    </row>
    <row r="5835" spans="1:20" customFormat="1" ht="15" x14ac:dyDescent="0.25">
      <c r="A5835" t="s">
        <v>35</v>
      </c>
      <c r="B5835" t="s">
        <v>61</v>
      </c>
      <c r="C5835" t="str">
        <f>"A0183600"</f>
        <v>A0183600</v>
      </c>
      <c r="D5835" t="s">
        <v>22956</v>
      </c>
      <c r="E5835" t="s">
        <v>22957</v>
      </c>
      <c r="F5835" t="s">
        <v>20709</v>
      </c>
      <c r="G5835" t="s">
        <v>103</v>
      </c>
      <c r="H5835" t="s">
        <v>22958</v>
      </c>
      <c r="I5835" t="s">
        <v>30</v>
      </c>
      <c r="J5835" t="s">
        <v>41</v>
      </c>
      <c r="K5835" t="s">
        <v>59</v>
      </c>
      <c r="Q5835">
        <v>0</v>
      </c>
      <c r="R5835">
        <v>59</v>
      </c>
      <c r="S5835">
        <v>59</v>
      </c>
      <c r="T5835" t="s">
        <v>22959</v>
      </c>
    </row>
    <row r="5836" spans="1:20" customFormat="1" ht="15" x14ac:dyDescent="0.25">
      <c r="A5836" t="s">
        <v>35</v>
      </c>
      <c r="B5836" t="s">
        <v>20322</v>
      </c>
      <c r="C5836" t="str">
        <f>"A0183599"</f>
        <v>A0183599</v>
      </c>
      <c r="D5836" t="s">
        <v>22960</v>
      </c>
      <c r="E5836" t="s">
        <v>22961</v>
      </c>
      <c r="F5836" t="s">
        <v>11884</v>
      </c>
      <c r="G5836" t="s">
        <v>71</v>
      </c>
      <c r="H5836">
        <v>549024125</v>
      </c>
      <c r="I5836" t="s">
        <v>30</v>
      </c>
      <c r="J5836" t="s">
        <v>41</v>
      </c>
      <c r="K5836" t="s">
        <v>59</v>
      </c>
      <c r="Q5836">
        <v>0</v>
      </c>
      <c r="R5836">
        <v>212</v>
      </c>
      <c r="S5836">
        <v>212</v>
      </c>
      <c r="T5836" t="s">
        <v>22962</v>
      </c>
    </row>
    <row r="5837" spans="1:20" customFormat="1" ht="15" x14ac:dyDescent="0.25">
      <c r="A5837" t="s">
        <v>35</v>
      </c>
      <c r="B5837" t="s">
        <v>61</v>
      </c>
      <c r="C5837" t="str">
        <f>"A0183597"</f>
        <v>A0183597</v>
      </c>
      <c r="D5837" t="s">
        <v>22963</v>
      </c>
      <c r="E5837" t="s">
        <v>7618</v>
      </c>
      <c r="F5837" t="s">
        <v>7619</v>
      </c>
      <c r="G5837" t="s">
        <v>71</v>
      </c>
      <c r="H5837" t="s">
        <v>7620</v>
      </c>
      <c r="I5837" t="s">
        <v>30</v>
      </c>
      <c r="J5837" t="s">
        <v>41</v>
      </c>
      <c r="K5837" t="s">
        <v>59</v>
      </c>
      <c r="Q5837">
        <v>0</v>
      </c>
      <c r="R5837">
        <v>243</v>
      </c>
      <c r="S5837">
        <v>243</v>
      </c>
      <c r="T5837" t="s">
        <v>22964</v>
      </c>
    </row>
    <row r="5838" spans="1:20" customFormat="1" ht="15" x14ac:dyDescent="0.25">
      <c r="A5838" t="s">
        <v>35</v>
      </c>
      <c r="B5838" t="s">
        <v>11871</v>
      </c>
      <c r="C5838" t="str">
        <f>"A0183594"</f>
        <v>A0183594</v>
      </c>
      <c r="D5838" t="s">
        <v>22965</v>
      </c>
      <c r="E5838" t="s">
        <v>22966</v>
      </c>
      <c r="F5838" t="s">
        <v>5257</v>
      </c>
      <c r="G5838" t="s">
        <v>52</v>
      </c>
      <c r="H5838" t="s">
        <v>22967</v>
      </c>
      <c r="I5838" t="s">
        <v>30</v>
      </c>
      <c r="J5838" t="s">
        <v>41</v>
      </c>
      <c r="K5838" t="s">
        <v>59</v>
      </c>
      <c r="Q5838">
        <v>0</v>
      </c>
      <c r="R5838">
        <v>0</v>
      </c>
      <c r="S5838">
        <v>0</v>
      </c>
      <c r="T5838" t="s">
        <v>22968</v>
      </c>
    </row>
    <row r="5839" spans="1:20" customFormat="1" ht="15" x14ac:dyDescent="0.25">
      <c r="A5839" t="s">
        <v>35</v>
      </c>
      <c r="B5839" t="s">
        <v>11871</v>
      </c>
      <c r="C5839" t="str">
        <f>"A0183593"</f>
        <v>A0183593</v>
      </c>
      <c r="D5839" t="s">
        <v>22969</v>
      </c>
      <c r="E5839" t="s">
        <v>22970</v>
      </c>
      <c r="F5839" t="s">
        <v>64</v>
      </c>
      <c r="G5839" t="s">
        <v>52</v>
      </c>
      <c r="H5839" t="s">
        <v>22971</v>
      </c>
      <c r="I5839" t="s">
        <v>30</v>
      </c>
      <c r="J5839" t="s">
        <v>41</v>
      </c>
      <c r="K5839" t="s">
        <v>59</v>
      </c>
      <c r="Q5839">
        <v>0</v>
      </c>
      <c r="R5839">
        <v>0</v>
      </c>
      <c r="S5839">
        <v>0</v>
      </c>
      <c r="T5839" t="s">
        <v>22972</v>
      </c>
    </row>
    <row r="5840" spans="1:20" customFormat="1" ht="15" x14ac:dyDescent="0.25">
      <c r="A5840" t="s">
        <v>35</v>
      </c>
      <c r="B5840" t="s">
        <v>61</v>
      </c>
      <c r="C5840" t="str">
        <f>"A0183592"</f>
        <v>A0183592</v>
      </c>
      <c r="D5840" t="s">
        <v>22973</v>
      </c>
      <c r="E5840" t="s">
        <v>22974</v>
      </c>
      <c r="F5840" t="s">
        <v>2714</v>
      </c>
      <c r="G5840" t="s">
        <v>81</v>
      </c>
      <c r="H5840" t="s">
        <v>22975</v>
      </c>
      <c r="I5840" t="s">
        <v>30</v>
      </c>
      <c r="J5840" t="s">
        <v>41</v>
      </c>
      <c r="K5840" t="s">
        <v>59</v>
      </c>
      <c r="Q5840">
        <v>0</v>
      </c>
      <c r="R5840">
        <v>0</v>
      </c>
      <c r="S5840">
        <v>0</v>
      </c>
      <c r="T5840" t="s">
        <v>22976</v>
      </c>
    </row>
    <row r="5841" spans="1:20" customFormat="1" ht="15" x14ac:dyDescent="0.25">
      <c r="A5841" t="s">
        <v>35</v>
      </c>
      <c r="B5841" t="s">
        <v>61</v>
      </c>
      <c r="C5841" t="str">
        <f>"A0183591"</f>
        <v>A0183591</v>
      </c>
      <c r="D5841" t="s">
        <v>22977</v>
      </c>
      <c r="E5841" t="s">
        <v>22978</v>
      </c>
      <c r="F5841" t="s">
        <v>22613</v>
      </c>
      <c r="G5841" t="s">
        <v>81</v>
      </c>
      <c r="H5841" t="s">
        <v>22979</v>
      </c>
      <c r="I5841" t="s">
        <v>30</v>
      </c>
      <c r="J5841" t="s">
        <v>41</v>
      </c>
      <c r="K5841" t="s">
        <v>59</v>
      </c>
      <c r="Q5841">
        <v>0</v>
      </c>
      <c r="R5841">
        <v>0</v>
      </c>
      <c r="S5841">
        <v>0</v>
      </c>
      <c r="T5841" t="s">
        <v>22980</v>
      </c>
    </row>
    <row r="5842" spans="1:20" customFormat="1" ht="15" x14ac:dyDescent="0.25">
      <c r="A5842" t="s">
        <v>35</v>
      </c>
      <c r="B5842" t="s">
        <v>61</v>
      </c>
      <c r="C5842" t="str">
        <f>"A0183590"</f>
        <v>A0183590</v>
      </c>
      <c r="D5842" t="s">
        <v>22981</v>
      </c>
      <c r="E5842" t="s">
        <v>22982</v>
      </c>
      <c r="F5842" t="s">
        <v>6988</v>
      </c>
      <c r="G5842" t="s">
        <v>81</v>
      </c>
      <c r="H5842" t="s">
        <v>22983</v>
      </c>
      <c r="I5842" t="s">
        <v>30</v>
      </c>
      <c r="J5842" t="s">
        <v>41</v>
      </c>
      <c r="K5842" t="s">
        <v>59</v>
      </c>
      <c r="Q5842">
        <v>0</v>
      </c>
      <c r="R5842">
        <v>0</v>
      </c>
      <c r="S5842">
        <v>0</v>
      </c>
    </row>
    <row r="5843" spans="1:20" customFormat="1" ht="15" x14ac:dyDescent="0.25">
      <c r="A5843" t="s">
        <v>35</v>
      </c>
      <c r="B5843" t="s">
        <v>6287</v>
      </c>
      <c r="C5843" t="str">
        <f>"A0183589"</f>
        <v>A0183589</v>
      </c>
      <c r="D5843" t="s">
        <v>22984</v>
      </c>
      <c r="E5843" t="s">
        <v>22985</v>
      </c>
      <c r="F5843" t="s">
        <v>6750</v>
      </c>
      <c r="G5843" t="s">
        <v>81</v>
      </c>
      <c r="H5843">
        <v>324049799</v>
      </c>
      <c r="I5843" t="s">
        <v>30</v>
      </c>
      <c r="J5843" t="s">
        <v>41</v>
      </c>
      <c r="K5843" t="s">
        <v>59</v>
      </c>
      <c r="Q5843">
        <v>0</v>
      </c>
      <c r="R5843">
        <v>0</v>
      </c>
      <c r="S5843">
        <v>0</v>
      </c>
      <c r="T5843" t="s">
        <v>22986</v>
      </c>
    </row>
    <row r="5844" spans="1:20" customFormat="1" ht="15" x14ac:dyDescent="0.25">
      <c r="A5844" t="s">
        <v>35</v>
      </c>
      <c r="B5844" t="s">
        <v>61</v>
      </c>
      <c r="C5844" t="str">
        <f>"A0183588"</f>
        <v>A0183588</v>
      </c>
      <c r="D5844" t="s">
        <v>22987</v>
      </c>
      <c r="E5844" t="s">
        <v>22988</v>
      </c>
      <c r="F5844" t="s">
        <v>12947</v>
      </c>
      <c r="G5844" t="s">
        <v>81</v>
      </c>
      <c r="H5844" t="s">
        <v>22989</v>
      </c>
      <c r="I5844" t="s">
        <v>30</v>
      </c>
      <c r="J5844" t="s">
        <v>41</v>
      </c>
      <c r="K5844" t="s">
        <v>59</v>
      </c>
      <c r="Q5844">
        <v>0</v>
      </c>
      <c r="R5844">
        <v>0</v>
      </c>
      <c r="S5844">
        <v>0</v>
      </c>
      <c r="T5844" t="s">
        <v>22990</v>
      </c>
    </row>
    <row r="5845" spans="1:20" customFormat="1" ht="15" x14ac:dyDescent="0.25">
      <c r="A5845" t="s">
        <v>35</v>
      </c>
      <c r="B5845" t="s">
        <v>61</v>
      </c>
      <c r="C5845" t="str">
        <f>"A0183587"</f>
        <v>A0183587</v>
      </c>
      <c r="D5845" t="s">
        <v>22991</v>
      </c>
      <c r="E5845" t="s">
        <v>22992</v>
      </c>
      <c r="F5845" t="s">
        <v>10530</v>
      </c>
      <c r="G5845" t="s">
        <v>81</v>
      </c>
      <c r="H5845" t="s">
        <v>22993</v>
      </c>
      <c r="I5845" t="s">
        <v>30</v>
      </c>
      <c r="J5845" t="s">
        <v>41</v>
      </c>
      <c r="K5845" t="s">
        <v>59</v>
      </c>
      <c r="Q5845">
        <v>0</v>
      </c>
      <c r="R5845">
        <v>120</v>
      </c>
      <c r="S5845">
        <v>120</v>
      </c>
      <c r="T5845" t="s">
        <v>22994</v>
      </c>
    </row>
    <row r="5846" spans="1:20" customFormat="1" ht="15" x14ac:dyDescent="0.25">
      <c r="A5846" t="s">
        <v>35</v>
      </c>
      <c r="B5846" t="s">
        <v>61</v>
      </c>
      <c r="C5846" t="str">
        <f>"A0183586"</f>
        <v>A0183586</v>
      </c>
      <c r="D5846" t="s">
        <v>22995</v>
      </c>
      <c r="E5846" t="s">
        <v>22996</v>
      </c>
      <c r="F5846" t="s">
        <v>5204</v>
      </c>
      <c r="G5846" t="s">
        <v>65</v>
      </c>
      <c r="H5846" t="s">
        <v>22997</v>
      </c>
      <c r="I5846" t="s">
        <v>30</v>
      </c>
      <c r="J5846" t="s">
        <v>41</v>
      </c>
      <c r="K5846" t="s">
        <v>59</v>
      </c>
      <c r="Q5846">
        <v>0</v>
      </c>
      <c r="R5846">
        <v>146</v>
      </c>
      <c r="S5846">
        <v>146</v>
      </c>
      <c r="T5846" t="s">
        <v>22951</v>
      </c>
    </row>
    <row r="5847" spans="1:20" customFormat="1" ht="15" x14ac:dyDescent="0.25">
      <c r="A5847" t="s">
        <v>35</v>
      </c>
      <c r="B5847" t="s">
        <v>11871</v>
      </c>
      <c r="C5847" t="str">
        <f>"A0183585"</f>
        <v>A0183585</v>
      </c>
      <c r="D5847" t="s">
        <v>22998</v>
      </c>
      <c r="E5847" t="s">
        <v>22999</v>
      </c>
      <c r="F5847" t="s">
        <v>23000</v>
      </c>
      <c r="G5847" t="s">
        <v>65</v>
      </c>
      <c r="H5847">
        <v>458951786</v>
      </c>
      <c r="I5847" t="s">
        <v>30</v>
      </c>
      <c r="J5847" t="s">
        <v>41</v>
      </c>
      <c r="K5847" t="s">
        <v>59</v>
      </c>
      <c r="Q5847">
        <v>0</v>
      </c>
      <c r="R5847">
        <v>0</v>
      </c>
      <c r="S5847">
        <v>0</v>
      </c>
      <c r="T5847" t="s">
        <v>23001</v>
      </c>
    </row>
    <row r="5848" spans="1:20" customFormat="1" ht="15" x14ac:dyDescent="0.25">
      <c r="A5848" t="s">
        <v>35</v>
      </c>
      <c r="B5848" t="s">
        <v>11871</v>
      </c>
      <c r="C5848" t="str">
        <f>"A0183584"</f>
        <v>A0183584</v>
      </c>
      <c r="D5848" t="s">
        <v>23002</v>
      </c>
      <c r="E5848" t="s">
        <v>23003</v>
      </c>
      <c r="F5848" t="s">
        <v>2748</v>
      </c>
      <c r="G5848" t="s">
        <v>65</v>
      </c>
      <c r="H5848">
        <v>43615</v>
      </c>
      <c r="I5848" t="s">
        <v>30</v>
      </c>
      <c r="J5848" t="s">
        <v>41</v>
      </c>
      <c r="K5848" t="s">
        <v>59</v>
      </c>
      <c r="Q5848">
        <v>0</v>
      </c>
      <c r="R5848">
        <v>0</v>
      </c>
      <c r="S5848">
        <v>0</v>
      </c>
      <c r="T5848" t="s">
        <v>23004</v>
      </c>
    </row>
    <row r="5849" spans="1:20" customFormat="1" ht="15" x14ac:dyDescent="0.25">
      <c r="A5849" t="s">
        <v>35</v>
      </c>
      <c r="B5849" t="s">
        <v>61</v>
      </c>
      <c r="C5849" t="str">
        <f>"A0183583"</f>
        <v>A0183583</v>
      </c>
      <c r="D5849" t="s">
        <v>23005</v>
      </c>
      <c r="E5849" t="s">
        <v>23006</v>
      </c>
      <c r="F5849" t="s">
        <v>5781</v>
      </c>
      <c r="G5849" t="s">
        <v>103</v>
      </c>
      <c r="H5849" t="s">
        <v>23007</v>
      </c>
      <c r="I5849" t="s">
        <v>30</v>
      </c>
      <c r="J5849" t="s">
        <v>41</v>
      </c>
      <c r="K5849" t="s">
        <v>59</v>
      </c>
      <c r="Q5849">
        <v>0</v>
      </c>
      <c r="R5849">
        <v>0</v>
      </c>
      <c r="S5849">
        <v>0</v>
      </c>
      <c r="T5849" t="s">
        <v>23008</v>
      </c>
    </row>
    <row r="5850" spans="1:20" customFormat="1" ht="15" x14ac:dyDescent="0.25">
      <c r="A5850" t="s">
        <v>35</v>
      </c>
      <c r="B5850" t="s">
        <v>61</v>
      </c>
      <c r="C5850" t="str">
        <f>"A0183582"</f>
        <v>A0183582</v>
      </c>
      <c r="D5850" t="s">
        <v>23009</v>
      </c>
      <c r="E5850" t="s">
        <v>23010</v>
      </c>
      <c r="F5850" t="s">
        <v>23011</v>
      </c>
      <c r="G5850" t="s">
        <v>103</v>
      </c>
      <c r="H5850">
        <v>17325</v>
      </c>
      <c r="I5850" t="s">
        <v>30</v>
      </c>
      <c r="J5850" t="s">
        <v>41</v>
      </c>
      <c r="K5850" t="s">
        <v>59</v>
      </c>
      <c r="Q5850">
        <v>0</v>
      </c>
      <c r="R5850">
        <v>100</v>
      </c>
      <c r="S5850">
        <v>100</v>
      </c>
      <c r="T5850" t="s">
        <v>23012</v>
      </c>
    </row>
    <row r="5851" spans="1:20" customFormat="1" ht="15" x14ac:dyDescent="0.25">
      <c r="A5851" t="s">
        <v>35</v>
      </c>
      <c r="B5851" t="s">
        <v>61</v>
      </c>
      <c r="C5851" t="str">
        <f>"A0183581"</f>
        <v>A0183581</v>
      </c>
      <c r="D5851" t="s">
        <v>23013</v>
      </c>
      <c r="E5851" t="s">
        <v>20102</v>
      </c>
      <c r="F5851" t="s">
        <v>20103</v>
      </c>
      <c r="G5851" t="s">
        <v>103</v>
      </c>
      <c r="H5851" t="s">
        <v>20104</v>
      </c>
      <c r="I5851" t="s">
        <v>30</v>
      </c>
      <c r="J5851" t="s">
        <v>41</v>
      </c>
      <c r="K5851" t="s">
        <v>59</v>
      </c>
      <c r="Q5851">
        <v>0</v>
      </c>
      <c r="R5851">
        <v>150</v>
      </c>
      <c r="S5851">
        <v>150</v>
      </c>
      <c r="T5851" t="s">
        <v>23014</v>
      </c>
    </row>
    <row r="5852" spans="1:20" customFormat="1" ht="15" x14ac:dyDescent="0.25">
      <c r="A5852" t="s">
        <v>35</v>
      </c>
      <c r="B5852" t="s">
        <v>61</v>
      </c>
      <c r="C5852" t="str">
        <f>"A0183580"</f>
        <v>A0183580</v>
      </c>
      <c r="D5852" t="s">
        <v>23015</v>
      </c>
      <c r="E5852" t="s">
        <v>23016</v>
      </c>
      <c r="F5852" t="s">
        <v>23017</v>
      </c>
      <c r="G5852" t="s">
        <v>81</v>
      </c>
      <c r="H5852" t="s">
        <v>23018</v>
      </c>
      <c r="I5852" t="s">
        <v>30</v>
      </c>
      <c r="J5852" t="s">
        <v>41</v>
      </c>
      <c r="K5852" t="s">
        <v>59</v>
      </c>
      <c r="Q5852">
        <v>0</v>
      </c>
      <c r="R5852">
        <v>80</v>
      </c>
      <c r="S5852">
        <v>80</v>
      </c>
      <c r="T5852" t="s">
        <v>23019</v>
      </c>
    </row>
    <row r="5853" spans="1:20" customFormat="1" ht="15" x14ac:dyDescent="0.25">
      <c r="A5853" t="s">
        <v>35</v>
      </c>
      <c r="B5853" t="s">
        <v>61</v>
      </c>
      <c r="C5853" t="str">
        <f>"A0183579"</f>
        <v>A0183579</v>
      </c>
      <c r="D5853" t="s">
        <v>23020</v>
      </c>
      <c r="E5853" t="s">
        <v>23021</v>
      </c>
      <c r="F5853" t="s">
        <v>4645</v>
      </c>
      <c r="G5853" t="s">
        <v>81</v>
      </c>
      <c r="H5853" t="s">
        <v>23022</v>
      </c>
      <c r="I5853" t="s">
        <v>30</v>
      </c>
      <c r="J5853" t="s">
        <v>41</v>
      </c>
      <c r="K5853" t="s">
        <v>59</v>
      </c>
      <c r="Q5853">
        <v>0</v>
      </c>
      <c r="R5853">
        <v>0</v>
      </c>
      <c r="S5853">
        <v>0</v>
      </c>
      <c r="T5853" t="s">
        <v>23023</v>
      </c>
    </row>
    <row r="5854" spans="1:20" customFormat="1" ht="15" x14ac:dyDescent="0.25">
      <c r="A5854" t="s">
        <v>35</v>
      </c>
      <c r="B5854" t="s">
        <v>61</v>
      </c>
      <c r="C5854" t="str">
        <f>"A0183578"</f>
        <v>A0183578</v>
      </c>
      <c r="D5854" t="s">
        <v>23024</v>
      </c>
      <c r="E5854" t="s">
        <v>23025</v>
      </c>
      <c r="F5854" t="s">
        <v>23026</v>
      </c>
      <c r="G5854" t="s">
        <v>81</v>
      </c>
      <c r="H5854">
        <v>33431</v>
      </c>
      <c r="I5854" t="s">
        <v>30</v>
      </c>
      <c r="J5854" t="s">
        <v>41</v>
      </c>
      <c r="K5854" t="s">
        <v>59</v>
      </c>
      <c r="Q5854">
        <v>0</v>
      </c>
      <c r="R5854">
        <v>0</v>
      </c>
      <c r="S5854">
        <v>0</v>
      </c>
    </row>
    <row r="5855" spans="1:20" customFormat="1" ht="15" x14ac:dyDescent="0.25">
      <c r="A5855" t="s">
        <v>35</v>
      </c>
      <c r="B5855" t="s">
        <v>61</v>
      </c>
      <c r="C5855" t="str">
        <f>"A0183577"</f>
        <v>A0183577</v>
      </c>
      <c r="D5855" t="s">
        <v>23027</v>
      </c>
      <c r="E5855" t="s">
        <v>23028</v>
      </c>
      <c r="F5855" t="s">
        <v>2714</v>
      </c>
      <c r="G5855" t="s">
        <v>81</v>
      </c>
      <c r="H5855" t="s">
        <v>23029</v>
      </c>
      <c r="I5855" t="s">
        <v>30</v>
      </c>
      <c r="J5855" t="s">
        <v>41</v>
      </c>
      <c r="K5855" t="s">
        <v>59</v>
      </c>
      <c r="Q5855">
        <v>0</v>
      </c>
      <c r="R5855">
        <v>0</v>
      </c>
      <c r="S5855">
        <v>0</v>
      </c>
      <c r="T5855" t="s">
        <v>23030</v>
      </c>
    </row>
    <row r="5856" spans="1:20" customFormat="1" ht="15" x14ac:dyDescent="0.25">
      <c r="A5856" t="s">
        <v>35</v>
      </c>
      <c r="B5856" t="s">
        <v>61</v>
      </c>
      <c r="C5856" t="str">
        <f>"A0183576"</f>
        <v>A0183576</v>
      </c>
      <c r="D5856" t="s">
        <v>23031</v>
      </c>
      <c r="E5856" t="s">
        <v>23032</v>
      </c>
      <c r="F5856" t="s">
        <v>3555</v>
      </c>
      <c r="G5856" t="s">
        <v>81</v>
      </c>
      <c r="H5856" t="s">
        <v>23033</v>
      </c>
      <c r="I5856" t="s">
        <v>30</v>
      </c>
      <c r="J5856" t="s">
        <v>41</v>
      </c>
      <c r="K5856" t="s">
        <v>59</v>
      </c>
      <c r="Q5856">
        <v>0</v>
      </c>
      <c r="R5856">
        <v>203</v>
      </c>
      <c r="S5856">
        <v>203</v>
      </c>
      <c r="T5856" t="s">
        <v>23034</v>
      </c>
    </row>
    <row r="5857" spans="1:20" customFormat="1" ht="15" x14ac:dyDescent="0.25">
      <c r="A5857" t="s">
        <v>35</v>
      </c>
      <c r="B5857" t="s">
        <v>61</v>
      </c>
      <c r="C5857" t="str">
        <f>"A0183575"</f>
        <v>A0183575</v>
      </c>
      <c r="D5857" t="s">
        <v>23035</v>
      </c>
      <c r="E5857" t="s">
        <v>23036</v>
      </c>
      <c r="F5857" t="s">
        <v>6294</v>
      </c>
      <c r="G5857" t="s">
        <v>81</v>
      </c>
      <c r="H5857" t="s">
        <v>23037</v>
      </c>
      <c r="I5857" t="s">
        <v>30</v>
      </c>
      <c r="J5857" t="s">
        <v>41</v>
      </c>
      <c r="K5857" t="s">
        <v>59</v>
      </c>
      <c r="Q5857">
        <v>0</v>
      </c>
      <c r="R5857">
        <v>0</v>
      </c>
      <c r="S5857">
        <v>0</v>
      </c>
    </row>
    <row r="5858" spans="1:20" customFormat="1" ht="15" x14ac:dyDescent="0.25">
      <c r="A5858" t="s">
        <v>35</v>
      </c>
      <c r="B5858" t="s">
        <v>11717</v>
      </c>
      <c r="C5858" t="str">
        <f>"A0183574"</f>
        <v>A0183574</v>
      </c>
      <c r="D5858" t="s">
        <v>23038</v>
      </c>
      <c r="E5858" t="s">
        <v>23039</v>
      </c>
      <c r="F5858" t="s">
        <v>23040</v>
      </c>
      <c r="G5858" t="s">
        <v>103</v>
      </c>
      <c r="H5858">
        <v>17019</v>
      </c>
      <c r="I5858" t="s">
        <v>30</v>
      </c>
      <c r="J5858" t="s">
        <v>41</v>
      </c>
      <c r="K5858" t="s">
        <v>59</v>
      </c>
      <c r="Q5858">
        <v>0</v>
      </c>
      <c r="R5858">
        <v>90</v>
      </c>
      <c r="S5858">
        <v>90</v>
      </c>
    </row>
    <row r="5859" spans="1:20" customFormat="1" ht="15" x14ac:dyDescent="0.25">
      <c r="A5859" t="s">
        <v>35</v>
      </c>
      <c r="B5859" t="s">
        <v>61</v>
      </c>
      <c r="C5859" t="str">
        <f>"A0183573"</f>
        <v>A0183573</v>
      </c>
      <c r="D5859" t="s">
        <v>23041</v>
      </c>
      <c r="E5859" t="s">
        <v>23042</v>
      </c>
      <c r="F5859" t="s">
        <v>16400</v>
      </c>
      <c r="G5859" t="s">
        <v>103</v>
      </c>
      <c r="H5859">
        <v>19518</v>
      </c>
      <c r="I5859" t="s">
        <v>30</v>
      </c>
      <c r="J5859" t="s">
        <v>41</v>
      </c>
      <c r="K5859" t="s">
        <v>59</v>
      </c>
      <c r="Q5859">
        <v>0</v>
      </c>
      <c r="R5859">
        <v>0</v>
      </c>
      <c r="S5859">
        <v>0</v>
      </c>
      <c r="T5859" t="s">
        <v>23043</v>
      </c>
    </row>
    <row r="5860" spans="1:20" customFormat="1" ht="15" x14ac:dyDescent="0.25">
      <c r="A5860" t="s">
        <v>35</v>
      </c>
      <c r="B5860" t="s">
        <v>61</v>
      </c>
      <c r="C5860" t="str">
        <f>"A0183572"</f>
        <v>A0183572</v>
      </c>
      <c r="D5860" t="s">
        <v>23044</v>
      </c>
      <c r="E5860" t="s">
        <v>23045</v>
      </c>
      <c r="F5860" t="s">
        <v>23046</v>
      </c>
      <c r="G5860" t="s">
        <v>103</v>
      </c>
      <c r="H5860">
        <v>19565</v>
      </c>
      <c r="I5860" t="s">
        <v>30</v>
      </c>
      <c r="J5860" t="s">
        <v>41</v>
      </c>
      <c r="K5860" t="s">
        <v>59</v>
      </c>
      <c r="Q5860">
        <v>0</v>
      </c>
      <c r="R5860">
        <v>120</v>
      </c>
      <c r="S5860">
        <v>120</v>
      </c>
      <c r="T5860" t="s">
        <v>23047</v>
      </c>
    </row>
    <row r="5861" spans="1:20" customFormat="1" ht="15" x14ac:dyDescent="0.25">
      <c r="A5861" t="s">
        <v>35</v>
      </c>
      <c r="B5861" t="s">
        <v>61</v>
      </c>
      <c r="C5861" t="str">
        <f>"A0183571"</f>
        <v>A0183571</v>
      </c>
      <c r="D5861" t="s">
        <v>23048</v>
      </c>
      <c r="E5861" t="s">
        <v>23049</v>
      </c>
      <c r="F5861" t="s">
        <v>488</v>
      </c>
      <c r="G5861" t="s">
        <v>103</v>
      </c>
      <c r="H5861" t="s">
        <v>23050</v>
      </c>
      <c r="I5861" t="s">
        <v>30</v>
      </c>
      <c r="J5861" t="s">
        <v>41</v>
      </c>
      <c r="K5861" t="s">
        <v>59</v>
      </c>
      <c r="Q5861">
        <v>0</v>
      </c>
      <c r="R5861">
        <v>0</v>
      </c>
      <c r="S5861">
        <v>0</v>
      </c>
      <c r="T5861" t="s">
        <v>23051</v>
      </c>
    </row>
    <row r="5862" spans="1:20" customFormat="1" ht="15" x14ac:dyDescent="0.25">
      <c r="A5862" t="s">
        <v>35</v>
      </c>
      <c r="B5862" t="s">
        <v>61</v>
      </c>
      <c r="C5862" t="str">
        <f>"A0183570"</f>
        <v>A0183570</v>
      </c>
      <c r="D5862" t="s">
        <v>23052</v>
      </c>
      <c r="E5862" t="s">
        <v>23053</v>
      </c>
      <c r="F5862" t="s">
        <v>10813</v>
      </c>
      <c r="G5862" t="s">
        <v>71</v>
      </c>
      <c r="H5862" t="s">
        <v>23054</v>
      </c>
      <c r="I5862" t="s">
        <v>30</v>
      </c>
      <c r="J5862" t="s">
        <v>41</v>
      </c>
      <c r="K5862" t="s">
        <v>59</v>
      </c>
      <c r="Q5862">
        <v>0</v>
      </c>
      <c r="R5862">
        <v>0</v>
      </c>
      <c r="S5862">
        <v>0</v>
      </c>
      <c r="T5862" t="s">
        <v>23055</v>
      </c>
    </row>
    <row r="5863" spans="1:20" customFormat="1" ht="15" x14ac:dyDescent="0.25">
      <c r="A5863" t="s">
        <v>35</v>
      </c>
      <c r="B5863" t="s">
        <v>61</v>
      </c>
      <c r="C5863" t="str">
        <f>"A0183569"</f>
        <v>A0183569</v>
      </c>
      <c r="D5863" t="s">
        <v>23056</v>
      </c>
      <c r="E5863" t="s">
        <v>22368</v>
      </c>
      <c r="F5863" t="s">
        <v>16033</v>
      </c>
      <c r="G5863" t="s">
        <v>71</v>
      </c>
      <c r="H5863" t="s">
        <v>22365</v>
      </c>
      <c r="I5863" t="s">
        <v>30</v>
      </c>
      <c r="J5863" t="s">
        <v>41</v>
      </c>
      <c r="K5863" t="s">
        <v>59</v>
      </c>
      <c r="Q5863">
        <v>0</v>
      </c>
      <c r="R5863">
        <v>0</v>
      </c>
      <c r="S5863">
        <v>0</v>
      </c>
      <c r="T5863" t="s">
        <v>23057</v>
      </c>
    </row>
    <row r="5864" spans="1:20" customFormat="1" ht="15" x14ac:dyDescent="0.25">
      <c r="A5864" t="s">
        <v>35</v>
      </c>
      <c r="B5864" t="s">
        <v>61</v>
      </c>
      <c r="C5864" t="str">
        <f>"A0183568"</f>
        <v>A0183568</v>
      </c>
      <c r="D5864" t="s">
        <v>23058</v>
      </c>
      <c r="E5864" t="s">
        <v>23059</v>
      </c>
      <c r="F5864" t="s">
        <v>1969</v>
      </c>
      <c r="G5864" t="s">
        <v>65</v>
      </c>
      <c r="H5864">
        <v>430171529</v>
      </c>
      <c r="I5864" t="s">
        <v>30</v>
      </c>
      <c r="J5864" t="s">
        <v>41</v>
      </c>
      <c r="K5864" t="s">
        <v>59</v>
      </c>
      <c r="Q5864">
        <v>0</v>
      </c>
      <c r="R5864">
        <v>0</v>
      </c>
      <c r="S5864">
        <v>0</v>
      </c>
    </row>
    <row r="5865" spans="1:20" customFormat="1" ht="15" x14ac:dyDescent="0.25">
      <c r="A5865" t="s">
        <v>35</v>
      </c>
      <c r="B5865" t="s">
        <v>20582</v>
      </c>
      <c r="C5865" t="str">
        <f>"A0183567"</f>
        <v>A0183567</v>
      </c>
      <c r="D5865" t="s">
        <v>23060</v>
      </c>
      <c r="E5865" t="s">
        <v>19710</v>
      </c>
      <c r="F5865" t="s">
        <v>64</v>
      </c>
      <c r="G5865" t="s">
        <v>65</v>
      </c>
      <c r="H5865">
        <v>432291129</v>
      </c>
      <c r="I5865" t="s">
        <v>30</v>
      </c>
      <c r="J5865" t="s">
        <v>41</v>
      </c>
      <c r="K5865" t="s">
        <v>59</v>
      </c>
      <c r="Q5865">
        <v>0</v>
      </c>
      <c r="R5865">
        <v>0</v>
      </c>
      <c r="S5865">
        <v>0</v>
      </c>
      <c r="T5865" t="s">
        <v>23061</v>
      </c>
    </row>
    <row r="5866" spans="1:20" customFormat="1" ht="15" x14ac:dyDescent="0.25">
      <c r="A5866" t="s">
        <v>35</v>
      </c>
      <c r="B5866" t="s">
        <v>20582</v>
      </c>
      <c r="C5866" t="str">
        <f>"A0183566"</f>
        <v>A0183566</v>
      </c>
      <c r="D5866" t="s">
        <v>23062</v>
      </c>
      <c r="E5866" t="s">
        <v>23063</v>
      </c>
      <c r="F5866" t="s">
        <v>3661</v>
      </c>
      <c r="G5866" t="s">
        <v>65</v>
      </c>
      <c r="H5866">
        <v>452464112</v>
      </c>
      <c r="I5866" t="s">
        <v>30</v>
      </c>
      <c r="J5866" t="s">
        <v>41</v>
      </c>
      <c r="K5866" t="s">
        <v>59</v>
      </c>
      <c r="Q5866">
        <v>0</v>
      </c>
      <c r="R5866">
        <v>0</v>
      </c>
      <c r="S5866">
        <v>0</v>
      </c>
      <c r="T5866" t="s">
        <v>23064</v>
      </c>
    </row>
    <row r="5867" spans="1:20" customFormat="1" ht="15" x14ac:dyDescent="0.25">
      <c r="A5867" t="s">
        <v>35</v>
      </c>
      <c r="B5867" t="s">
        <v>61</v>
      </c>
      <c r="C5867" t="str">
        <f>"A0183565"</f>
        <v>A0183565</v>
      </c>
      <c r="D5867" t="s">
        <v>23065</v>
      </c>
      <c r="E5867" t="s">
        <v>23066</v>
      </c>
      <c r="F5867" t="s">
        <v>23067</v>
      </c>
      <c r="G5867" t="s">
        <v>103</v>
      </c>
      <c r="H5867" t="s">
        <v>23068</v>
      </c>
      <c r="I5867" t="s">
        <v>30</v>
      </c>
      <c r="J5867" t="s">
        <v>41</v>
      </c>
      <c r="K5867" t="s">
        <v>59</v>
      </c>
      <c r="Q5867">
        <v>0</v>
      </c>
      <c r="R5867">
        <v>134</v>
      </c>
      <c r="S5867">
        <v>134</v>
      </c>
      <c r="T5867" t="s">
        <v>23069</v>
      </c>
    </row>
    <row r="5868" spans="1:20" customFormat="1" ht="15" x14ac:dyDescent="0.25">
      <c r="A5868" t="s">
        <v>35</v>
      </c>
      <c r="B5868" t="s">
        <v>61</v>
      </c>
      <c r="C5868" t="str">
        <f>"A0183564"</f>
        <v>A0183564</v>
      </c>
      <c r="D5868" t="s">
        <v>23070</v>
      </c>
      <c r="E5868" t="s">
        <v>23071</v>
      </c>
      <c r="F5868" t="s">
        <v>23072</v>
      </c>
      <c r="G5868" t="s">
        <v>103</v>
      </c>
      <c r="H5868" t="s">
        <v>23073</v>
      </c>
      <c r="I5868" t="s">
        <v>30</v>
      </c>
      <c r="J5868" t="s">
        <v>41</v>
      </c>
      <c r="K5868" t="s">
        <v>59</v>
      </c>
      <c r="Q5868">
        <v>0</v>
      </c>
      <c r="R5868">
        <v>0</v>
      </c>
      <c r="S5868">
        <v>0</v>
      </c>
      <c r="T5868" t="s">
        <v>23074</v>
      </c>
    </row>
    <row r="5869" spans="1:20" customFormat="1" ht="15" x14ac:dyDescent="0.25">
      <c r="A5869" t="s">
        <v>35</v>
      </c>
      <c r="B5869" t="s">
        <v>61</v>
      </c>
      <c r="C5869" t="str">
        <f>"A0183563"</f>
        <v>A0183563</v>
      </c>
      <c r="D5869" t="s">
        <v>23075</v>
      </c>
      <c r="E5869" t="s">
        <v>23076</v>
      </c>
      <c r="F5869" t="s">
        <v>102</v>
      </c>
      <c r="G5869" t="s">
        <v>103</v>
      </c>
      <c r="H5869" t="s">
        <v>23077</v>
      </c>
      <c r="I5869" t="s">
        <v>30</v>
      </c>
      <c r="J5869" t="s">
        <v>41</v>
      </c>
      <c r="K5869" t="s">
        <v>59</v>
      </c>
      <c r="Q5869">
        <v>0</v>
      </c>
      <c r="R5869">
        <v>0</v>
      </c>
      <c r="S5869">
        <v>0</v>
      </c>
      <c r="T5869" t="s">
        <v>23078</v>
      </c>
    </row>
    <row r="5870" spans="1:20" customFormat="1" ht="15" x14ac:dyDescent="0.25">
      <c r="A5870" t="s">
        <v>35</v>
      </c>
      <c r="B5870" t="s">
        <v>61</v>
      </c>
      <c r="C5870" t="str">
        <f>"A0183562"</f>
        <v>A0183562</v>
      </c>
      <c r="D5870" t="s">
        <v>23079</v>
      </c>
      <c r="E5870" t="s">
        <v>23080</v>
      </c>
      <c r="F5870" t="s">
        <v>4112</v>
      </c>
      <c r="G5870" t="s">
        <v>71</v>
      </c>
      <c r="H5870" t="s">
        <v>23081</v>
      </c>
      <c r="I5870" t="s">
        <v>30</v>
      </c>
      <c r="J5870" t="s">
        <v>41</v>
      </c>
      <c r="K5870" t="s">
        <v>59</v>
      </c>
      <c r="Q5870">
        <v>0</v>
      </c>
      <c r="R5870">
        <v>151</v>
      </c>
      <c r="S5870">
        <v>151</v>
      </c>
      <c r="T5870" t="s">
        <v>20425</v>
      </c>
    </row>
    <row r="5871" spans="1:20" customFormat="1" ht="15" x14ac:dyDescent="0.25">
      <c r="A5871" t="s">
        <v>35</v>
      </c>
      <c r="B5871" t="s">
        <v>61</v>
      </c>
      <c r="C5871" t="str">
        <f>"A0183561"</f>
        <v>A0183561</v>
      </c>
      <c r="D5871" t="s">
        <v>23082</v>
      </c>
      <c r="E5871" t="s">
        <v>23083</v>
      </c>
      <c r="F5871" t="s">
        <v>11035</v>
      </c>
      <c r="G5871" t="s">
        <v>71</v>
      </c>
      <c r="H5871" t="s">
        <v>23084</v>
      </c>
      <c r="I5871" t="s">
        <v>30</v>
      </c>
      <c r="J5871" t="s">
        <v>41</v>
      </c>
      <c r="K5871" t="s">
        <v>59</v>
      </c>
      <c r="Q5871">
        <v>0</v>
      </c>
      <c r="R5871">
        <v>24</v>
      </c>
      <c r="S5871">
        <v>24</v>
      </c>
      <c r="T5871" t="s">
        <v>11037</v>
      </c>
    </row>
    <row r="5872" spans="1:20" customFormat="1" ht="15" x14ac:dyDescent="0.25">
      <c r="A5872" t="s">
        <v>35</v>
      </c>
      <c r="B5872" t="s">
        <v>61</v>
      </c>
      <c r="C5872" t="str">
        <f>"A0183560"</f>
        <v>A0183560</v>
      </c>
      <c r="D5872" t="s">
        <v>23085</v>
      </c>
      <c r="E5872" t="s">
        <v>23086</v>
      </c>
      <c r="F5872" t="s">
        <v>21119</v>
      </c>
      <c r="G5872" t="s">
        <v>65</v>
      </c>
      <c r="H5872" t="s">
        <v>23087</v>
      </c>
      <c r="I5872" t="s">
        <v>30</v>
      </c>
      <c r="J5872" t="s">
        <v>41</v>
      </c>
      <c r="K5872" t="s">
        <v>59</v>
      </c>
      <c r="Q5872">
        <v>0</v>
      </c>
      <c r="R5872">
        <v>0</v>
      </c>
      <c r="S5872">
        <v>0</v>
      </c>
    </row>
    <row r="5873" spans="1:20" customFormat="1" ht="15" x14ac:dyDescent="0.25">
      <c r="A5873" t="s">
        <v>35</v>
      </c>
      <c r="B5873" t="s">
        <v>61</v>
      </c>
      <c r="C5873" t="str">
        <f>"A0183559"</f>
        <v>A0183559</v>
      </c>
      <c r="D5873" t="s">
        <v>23088</v>
      </c>
      <c r="E5873" t="s">
        <v>23089</v>
      </c>
      <c r="F5873" t="s">
        <v>64</v>
      </c>
      <c r="G5873" t="s">
        <v>65</v>
      </c>
      <c r="H5873">
        <v>432061921</v>
      </c>
      <c r="I5873" t="s">
        <v>30</v>
      </c>
      <c r="J5873" t="s">
        <v>41</v>
      </c>
      <c r="K5873" t="s">
        <v>59</v>
      </c>
      <c r="Q5873">
        <v>0</v>
      </c>
      <c r="R5873">
        <v>0</v>
      </c>
      <c r="S5873">
        <v>0</v>
      </c>
    </row>
    <row r="5874" spans="1:20" customFormat="1" ht="15" x14ac:dyDescent="0.25">
      <c r="A5874" t="s">
        <v>35</v>
      </c>
      <c r="B5874" t="s">
        <v>61</v>
      </c>
      <c r="C5874" t="str">
        <f>"A0183558"</f>
        <v>A0183558</v>
      </c>
      <c r="D5874" t="s">
        <v>23090</v>
      </c>
      <c r="E5874" t="s">
        <v>23091</v>
      </c>
      <c r="F5874" t="s">
        <v>23092</v>
      </c>
      <c r="G5874" t="s">
        <v>65</v>
      </c>
      <c r="H5874" t="s">
        <v>23093</v>
      </c>
      <c r="I5874" t="s">
        <v>30</v>
      </c>
      <c r="J5874" t="s">
        <v>41</v>
      </c>
      <c r="K5874" t="s">
        <v>59</v>
      </c>
      <c r="Q5874">
        <v>0</v>
      </c>
      <c r="R5874">
        <v>0</v>
      </c>
      <c r="S5874">
        <v>0</v>
      </c>
      <c r="T5874" t="s">
        <v>23094</v>
      </c>
    </row>
    <row r="5875" spans="1:20" customFormat="1" ht="15" x14ac:dyDescent="0.25">
      <c r="A5875" t="s">
        <v>35</v>
      </c>
      <c r="B5875" t="s">
        <v>20582</v>
      </c>
      <c r="C5875" t="str">
        <f>"A0183557"</f>
        <v>A0183557</v>
      </c>
      <c r="D5875" t="s">
        <v>23095</v>
      </c>
      <c r="E5875" t="s">
        <v>23096</v>
      </c>
      <c r="F5875" t="s">
        <v>3661</v>
      </c>
      <c r="G5875" t="s">
        <v>65</v>
      </c>
      <c r="H5875">
        <v>452512007</v>
      </c>
      <c r="I5875" t="s">
        <v>30</v>
      </c>
      <c r="J5875" t="s">
        <v>41</v>
      </c>
      <c r="K5875" t="s">
        <v>59</v>
      </c>
      <c r="Q5875">
        <v>0</v>
      </c>
      <c r="R5875">
        <v>0</v>
      </c>
      <c r="S5875">
        <v>0</v>
      </c>
      <c r="T5875" t="s">
        <v>23097</v>
      </c>
    </row>
    <row r="5876" spans="1:20" customFormat="1" ht="15" x14ac:dyDescent="0.25">
      <c r="A5876" t="s">
        <v>35</v>
      </c>
      <c r="B5876" t="s">
        <v>20582</v>
      </c>
      <c r="C5876" t="str">
        <f>"A0183556"</f>
        <v>A0183556</v>
      </c>
      <c r="D5876" t="s">
        <v>23098</v>
      </c>
      <c r="E5876" t="s">
        <v>23099</v>
      </c>
      <c r="F5876" t="s">
        <v>23100</v>
      </c>
      <c r="G5876" t="s">
        <v>65</v>
      </c>
      <c r="H5876" t="s">
        <v>23101</v>
      </c>
      <c r="I5876" t="s">
        <v>30</v>
      </c>
      <c r="J5876" t="s">
        <v>41</v>
      </c>
      <c r="K5876" t="s">
        <v>59</v>
      </c>
      <c r="Q5876">
        <v>0</v>
      </c>
      <c r="R5876">
        <v>0</v>
      </c>
      <c r="S5876">
        <v>0</v>
      </c>
      <c r="T5876" t="s">
        <v>23102</v>
      </c>
    </row>
    <row r="5877" spans="1:20" customFormat="1" ht="15" x14ac:dyDescent="0.25">
      <c r="A5877" t="s">
        <v>35</v>
      </c>
      <c r="B5877" t="s">
        <v>61</v>
      </c>
      <c r="C5877" t="str">
        <f>"A0183554"</f>
        <v>A0183554</v>
      </c>
      <c r="D5877" t="s">
        <v>23103</v>
      </c>
      <c r="E5877" t="s">
        <v>7618</v>
      </c>
      <c r="F5877" t="s">
        <v>7619</v>
      </c>
      <c r="G5877" t="s">
        <v>71</v>
      </c>
      <c r="H5877" t="s">
        <v>7620</v>
      </c>
      <c r="I5877" t="s">
        <v>30</v>
      </c>
      <c r="J5877" t="s">
        <v>41</v>
      </c>
      <c r="K5877" t="s">
        <v>59</v>
      </c>
      <c r="Q5877">
        <v>0</v>
      </c>
      <c r="R5877">
        <v>0</v>
      </c>
      <c r="S5877">
        <v>0</v>
      </c>
    </row>
    <row r="5878" spans="1:20" customFormat="1" ht="15" x14ac:dyDescent="0.25">
      <c r="A5878" t="s">
        <v>35</v>
      </c>
      <c r="B5878" t="s">
        <v>61</v>
      </c>
      <c r="C5878" t="str">
        <f>"A0183553"</f>
        <v>A0183553</v>
      </c>
      <c r="D5878" t="s">
        <v>23104</v>
      </c>
      <c r="E5878" t="s">
        <v>23105</v>
      </c>
      <c r="F5878" t="s">
        <v>11602</v>
      </c>
      <c r="G5878" t="s">
        <v>71</v>
      </c>
      <c r="H5878" t="s">
        <v>23106</v>
      </c>
      <c r="I5878" t="s">
        <v>30</v>
      </c>
      <c r="J5878" t="s">
        <v>41</v>
      </c>
      <c r="K5878" t="s">
        <v>59</v>
      </c>
      <c r="Q5878">
        <v>0</v>
      </c>
      <c r="R5878">
        <v>0</v>
      </c>
      <c r="S5878">
        <v>0</v>
      </c>
      <c r="T5878" t="s">
        <v>23107</v>
      </c>
    </row>
    <row r="5879" spans="1:20" customFormat="1" ht="15" x14ac:dyDescent="0.25">
      <c r="A5879" t="s">
        <v>35</v>
      </c>
      <c r="B5879" t="s">
        <v>61</v>
      </c>
      <c r="C5879" t="str">
        <f>"A0183552"</f>
        <v>A0183552</v>
      </c>
      <c r="D5879" t="s">
        <v>23108</v>
      </c>
      <c r="E5879" t="s">
        <v>23109</v>
      </c>
      <c r="F5879" t="s">
        <v>23110</v>
      </c>
      <c r="G5879" t="s">
        <v>71</v>
      </c>
      <c r="H5879" t="s">
        <v>23111</v>
      </c>
      <c r="I5879" t="s">
        <v>30</v>
      </c>
      <c r="J5879" t="s">
        <v>41</v>
      </c>
      <c r="K5879" t="s">
        <v>59</v>
      </c>
      <c r="Q5879">
        <v>0</v>
      </c>
      <c r="R5879">
        <v>0</v>
      </c>
      <c r="S5879">
        <v>0</v>
      </c>
    </row>
    <row r="5880" spans="1:20" customFormat="1" ht="15" x14ac:dyDescent="0.25">
      <c r="A5880" t="s">
        <v>35</v>
      </c>
      <c r="B5880" t="s">
        <v>61</v>
      </c>
      <c r="C5880" t="str">
        <f>"A0183551"</f>
        <v>A0183551</v>
      </c>
      <c r="D5880" t="s">
        <v>23112</v>
      </c>
      <c r="E5880" t="s">
        <v>23113</v>
      </c>
      <c r="F5880" t="s">
        <v>10530</v>
      </c>
      <c r="G5880" t="s">
        <v>81</v>
      </c>
      <c r="H5880" t="s">
        <v>23114</v>
      </c>
      <c r="I5880" t="s">
        <v>30</v>
      </c>
      <c r="J5880" t="s">
        <v>41</v>
      </c>
      <c r="K5880" t="s">
        <v>59</v>
      </c>
      <c r="Q5880">
        <v>0</v>
      </c>
      <c r="R5880">
        <v>0</v>
      </c>
      <c r="S5880">
        <v>0</v>
      </c>
      <c r="T5880" t="s">
        <v>23115</v>
      </c>
    </row>
    <row r="5881" spans="1:20" customFormat="1" ht="15" x14ac:dyDescent="0.25">
      <c r="A5881" t="s">
        <v>35</v>
      </c>
      <c r="B5881" t="s">
        <v>61</v>
      </c>
      <c r="C5881" t="str">
        <f>"A0183550"</f>
        <v>A0183550</v>
      </c>
      <c r="D5881" t="s">
        <v>23116</v>
      </c>
      <c r="E5881" t="s">
        <v>23117</v>
      </c>
      <c r="F5881" t="s">
        <v>6294</v>
      </c>
      <c r="G5881" t="s">
        <v>81</v>
      </c>
      <c r="H5881" t="s">
        <v>23118</v>
      </c>
      <c r="I5881" t="s">
        <v>30</v>
      </c>
      <c r="J5881" t="s">
        <v>41</v>
      </c>
      <c r="K5881" t="s">
        <v>59</v>
      </c>
      <c r="Q5881">
        <v>0</v>
      </c>
      <c r="R5881">
        <v>0</v>
      </c>
      <c r="S5881">
        <v>0</v>
      </c>
      <c r="T5881" t="s">
        <v>23119</v>
      </c>
    </row>
    <row r="5882" spans="1:20" customFormat="1" ht="15" x14ac:dyDescent="0.25">
      <c r="A5882" t="s">
        <v>35</v>
      </c>
      <c r="B5882" t="s">
        <v>61</v>
      </c>
      <c r="C5882" t="str">
        <f>"A0183549"</f>
        <v>A0183549</v>
      </c>
      <c r="D5882" t="s">
        <v>23120</v>
      </c>
      <c r="E5882" t="s">
        <v>23121</v>
      </c>
      <c r="F5882" t="s">
        <v>5693</v>
      </c>
      <c r="G5882" t="s">
        <v>81</v>
      </c>
      <c r="H5882" t="s">
        <v>23122</v>
      </c>
      <c r="I5882" t="s">
        <v>30</v>
      </c>
      <c r="J5882" t="s">
        <v>41</v>
      </c>
      <c r="K5882" t="s">
        <v>59</v>
      </c>
      <c r="Q5882">
        <v>0</v>
      </c>
      <c r="R5882">
        <v>0</v>
      </c>
      <c r="S5882">
        <v>0</v>
      </c>
      <c r="T5882" t="s">
        <v>23123</v>
      </c>
    </row>
    <row r="5883" spans="1:20" customFormat="1" ht="15" x14ac:dyDescent="0.25">
      <c r="A5883" t="s">
        <v>35</v>
      </c>
      <c r="B5883" t="s">
        <v>61</v>
      </c>
      <c r="C5883" t="str">
        <f>"A0183548"</f>
        <v>A0183548</v>
      </c>
      <c r="D5883" t="s">
        <v>23124</v>
      </c>
      <c r="E5883" t="s">
        <v>23125</v>
      </c>
      <c r="F5883" t="s">
        <v>4354</v>
      </c>
      <c r="G5883" t="s">
        <v>103</v>
      </c>
      <c r="H5883" t="s">
        <v>23126</v>
      </c>
      <c r="I5883" t="s">
        <v>30</v>
      </c>
      <c r="J5883" t="s">
        <v>41</v>
      </c>
      <c r="K5883" t="s">
        <v>59</v>
      </c>
      <c r="Q5883">
        <v>0</v>
      </c>
      <c r="R5883">
        <v>170</v>
      </c>
      <c r="S5883">
        <v>170</v>
      </c>
      <c r="T5883" t="s">
        <v>19514</v>
      </c>
    </row>
    <row r="5884" spans="1:20" customFormat="1" ht="15" x14ac:dyDescent="0.25">
      <c r="A5884" t="s">
        <v>35</v>
      </c>
      <c r="B5884" t="s">
        <v>61</v>
      </c>
      <c r="C5884" t="str">
        <f>"A0183547"</f>
        <v>A0183547</v>
      </c>
      <c r="D5884" t="s">
        <v>23127</v>
      </c>
      <c r="E5884" t="s">
        <v>23128</v>
      </c>
      <c r="F5884" t="s">
        <v>23129</v>
      </c>
      <c r="G5884" t="s">
        <v>103</v>
      </c>
      <c r="H5884" t="s">
        <v>23130</v>
      </c>
      <c r="I5884" t="s">
        <v>30</v>
      </c>
      <c r="J5884" t="s">
        <v>41</v>
      </c>
      <c r="K5884" t="s">
        <v>59</v>
      </c>
      <c r="Q5884">
        <v>0</v>
      </c>
      <c r="R5884">
        <v>147</v>
      </c>
      <c r="S5884">
        <v>147</v>
      </c>
      <c r="T5884" t="s">
        <v>23131</v>
      </c>
    </row>
    <row r="5885" spans="1:20" customFormat="1" ht="15" x14ac:dyDescent="0.25">
      <c r="A5885" t="s">
        <v>35</v>
      </c>
      <c r="B5885" t="s">
        <v>61</v>
      </c>
      <c r="C5885" t="str">
        <f>"A0183546"</f>
        <v>A0183546</v>
      </c>
      <c r="D5885" t="s">
        <v>23132</v>
      </c>
      <c r="E5885" t="s">
        <v>23133</v>
      </c>
      <c r="F5885" t="s">
        <v>9147</v>
      </c>
      <c r="G5885" t="s">
        <v>103</v>
      </c>
      <c r="H5885" t="s">
        <v>23134</v>
      </c>
      <c r="I5885" t="s">
        <v>30</v>
      </c>
      <c r="J5885" t="s">
        <v>41</v>
      </c>
      <c r="K5885" t="s">
        <v>59</v>
      </c>
      <c r="Q5885">
        <v>0</v>
      </c>
      <c r="R5885">
        <v>77</v>
      </c>
      <c r="S5885">
        <v>77</v>
      </c>
      <c r="T5885" t="s">
        <v>22780</v>
      </c>
    </row>
    <row r="5886" spans="1:20" customFormat="1" ht="15" x14ac:dyDescent="0.25">
      <c r="A5886" t="s">
        <v>35</v>
      </c>
      <c r="B5886" t="s">
        <v>61</v>
      </c>
      <c r="C5886" t="str">
        <f>"A0183545"</f>
        <v>A0183545</v>
      </c>
      <c r="D5886" t="s">
        <v>23135</v>
      </c>
      <c r="E5886" t="s">
        <v>23136</v>
      </c>
      <c r="F5886" t="s">
        <v>10581</v>
      </c>
      <c r="G5886" t="s">
        <v>81</v>
      </c>
      <c r="H5886" t="s">
        <v>23137</v>
      </c>
      <c r="I5886" t="s">
        <v>30</v>
      </c>
      <c r="J5886" t="s">
        <v>41</v>
      </c>
      <c r="K5886" t="s">
        <v>59</v>
      </c>
      <c r="Q5886">
        <v>0</v>
      </c>
      <c r="R5886">
        <v>0</v>
      </c>
      <c r="S5886">
        <v>0</v>
      </c>
    </row>
    <row r="5887" spans="1:20" customFormat="1" ht="15" x14ac:dyDescent="0.25">
      <c r="A5887" t="s">
        <v>35</v>
      </c>
      <c r="B5887" t="s">
        <v>61</v>
      </c>
      <c r="C5887" t="str">
        <f>"A0183544"</f>
        <v>A0183544</v>
      </c>
      <c r="D5887" t="s">
        <v>23138</v>
      </c>
      <c r="E5887" t="s">
        <v>23139</v>
      </c>
      <c r="F5887" t="s">
        <v>2714</v>
      </c>
      <c r="G5887" t="s">
        <v>81</v>
      </c>
      <c r="H5887" t="s">
        <v>23140</v>
      </c>
      <c r="I5887" t="s">
        <v>30</v>
      </c>
      <c r="J5887" t="s">
        <v>41</v>
      </c>
      <c r="K5887" t="s">
        <v>59</v>
      </c>
      <c r="Q5887">
        <v>0</v>
      </c>
      <c r="R5887">
        <v>0</v>
      </c>
      <c r="S5887">
        <v>0</v>
      </c>
    </row>
    <row r="5888" spans="1:20" customFormat="1" ht="15" x14ac:dyDescent="0.25">
      <c r="A5888" t="s">
        <v>35</v>
      </c>
      <c r="B5888" t="s">
        <v>61</v>
      </c>
      <c r="C5888" t="str">
        <f>"A0183543"</f>
        <v>A0183543</v>
      </c>
      <c r="D5888" t="s">
        <v>23141</v>
      </c>
      <c r="E5888" t="s">
        <v>23142</v>
      </c>
      <c r="F5888" t="s">
        <v>6791</v>
      </c>
      <c r="G5888" t="s">
        <v>81</v>
      </c>
      <c r="H5888">
        <v>34744</v>
      </c>
      <c r="I5888" t="s">
        <v>30</v>
      </c>
      <c r="J5888" t="s">
        <v>41</v>
      </c>
      <c r="K5888" t="s">
        <v>59</v>
      </c>
      <c r="Q5888">
        <v>0</v>
      </c>
      <c r="R5888">
        <v>0</v>
      </c>
      <c r="S5888">
        <v>0</v>
      </c>
    </row>
    <row r="5889" spans="1:20" customFormat="1" ht="15" x14ac:dyDescent="0.25">
      <c r="A5889" t="s">
        <v>35</v>
      </c>
      <c r="B5889" t="s">
        <v>61</v>
      </c>
      <c r="C5889" t="str">
        <f>"A0183542"</f>
        <v>A0183542</v>
      </c>
      <c r="D5889" t="s">
        <v>23143</v>
      </c>
      <c r="E5889" t="s">
        <v>23144</v>
      </c>
      <c r="F5889" t="s">
        <v>12194</v>
      </c>
      <c r="G5889" t="s">
        <v>81</v>
      </c>
      <c r="H5889" t="s">
        <v>23145</v>
      </c>
      <c r="I5889" t="s">
        <v>30</v>
      </c>
      <c r="J5889" t="s">
        <v>41</v>
      </c>
      <c r="K5889" t="s">
        <v>59</v>
      </c>
      <c r="Q5889">
        <v>0</v>
      </c>
      <c r="R5889">
        <v>0</v>
      </c>
      <c r="S5889">
        <v>0</v>
      </c>
    </row>
    <row r="5890" spans="1:20" customFormat="1" ht="15" x14ac:dyDescent="0.25">
      <c r="A5890" t="s">
        <v>35</v>
      </c>
      <c r="B5890" t="s">
        <v>61</v>
      </c>
      <c r="C5890" t="str">
        <f>"A0183541"</f>
        <v>A0183541</v>
      </c>
      <c r="D5890" t="s">
        <v>23146</v>
      </c>
      <c r="E5890" t="s">
        <v>23147</v>
      </c>
      <c r="F5890" t="s">
        <v>12194</v>
      </c>
      <c r="G5890" t="s">
        <v>81</v>
      </c>
      <c r="H5890" t="s">
        <v>23148</v>
      </c>
      <c r="I5890" t="s">
        <v>30</v>
      </c>
      <c r="J5890" t="s">
        <v>41</v>
      </c>
      <c r="K5890" t="s">
        <v>59</v>
      </c>
      <c r="Q5890">
        <v>0</v>
      </c>
      <c r="R5890">
        <v>0</v>
      </c>
      <c r="S5890">
        <v>0</v>
      </c>
    </row>
    <row r="5891" spans="1:20" customFormat="1" ht="15" x14ac:dyDescent="0.25">
      <c r="A5891" t="s">
        <v>35</v>
      </c>
      <c r="B5891" t="s">
        <v>61</v>
      </c>
      <c r="C5891" t="str">
        <f>"A0183540"</f>
        <v>A0183540</v>
      </c>
      <c r="D5891" t="s">
        <v>23149</v>
      </c>
      <c r="E5891" t="s">
        <v>23150</v>
      </c>
      <c r="F5891" t="s">
        <v>5498</v>
      </c>
      <c r="G5891" t="s">
        <v>81</v>
      </c>
      <c r="H5891" t="s">
        <v>23151</v>
      </c>
      <c r="I5891" t="s">
        <v>30</v>
      </c>
      <c r="J5891" t="s">
        <v>41</v>
      </c>
      <c r="K5891" t="s">
        <v>59</v>
      </c>
      <c r="Q5891">
        <v>0</v>
      </c>
      <c r="R5891">
        <v>0</v>
      </c>
      <c r="S5891">
        <v>0</v>
      </c>
      <c r="T5891" t="s">
        <v>23152</v>
      </c>
    </row>
    <row r="5892" spans="1:20" customFormat="1" ht="15" x14ac:dyDescent="0.25">
      <c r="A5892" t="s">
        <v>35</v>
      </c>
      <c r="B5892" t="s">
        <v>61</v>
      </c>
      <c r="C5892" t="str">
        <f>"A0183539"</f>
        <v>A0183539</v>
      </c>
      <c r="D5892" t="s">
        <v>23153</v>
      </c>
      <c r="E5892" t="s">
        <v>23154</v>
      </c>
      <c r="F5892" t="s">
        <v>12947</v>
      </c>
      <c r="G5892" t="s">
        <v>81</v>
      </c>
      <c r="H5892" t="s">
        <v>22543</v>
      </c>
      <c r="I5892" t="s">
        <v>30</v>
      </c>
      <c r="J5892" t="s">
        <v>41</v>
      </c>
      <c r="K5892" t="s">
        <v>59</v>
      </c>
      <c r="Q5892">
        <v>0</v>
      </c>
      <c r="R5892">
        <v>280</v>
      </c>
      <c r="S5892">
        <v>280</v>
      </c>
      <c r="T5892" t="s">
        <v>23155</v>
      </c>
    </row>
    <row r="5893" spans="1:20" customFormat="1" ht="15" x14ac:dyDescent="0.25">
      <c r="A5893" t="s">
        <v>35</v>
      </c>
      <c r="B5893" t="s">
        <v>61</v>
      </c>
      <c r="C5893" t="str">
        <f>"A0183538"</f>
        <v>A0183538</v>
      </c>
      <c r="D5893" t="s">
        <v>23156</v>
      </c>
      <c r="E5893" t="s">
        <v>23157</v>
      </c>
      <c r="F5893" t="s">
        <v>20524</v>
      </c>
      <c r="G5893" t="s">
        <v>81</v>
      </c>
      <c r="H5893" t="s">
        <v>23158</v>
      </c>
      <c r="I5893" t="s">
        <v>30</v>
      </c>
      <c r="J5893" t="s">
        <v>41</v>
      </c>
      <c r="K5893" t="s">
        <v>59</v>
      </c>
      <c r="Q5893">
        <v>0</v>
      </c>
      <c r="R5893">
        <v>0</v>
      </c>
      <c r="S5893">
        <v>0</v>
      </c>
    </row>
    <row r="5894" spans="1:20" customFormat="1" ht="15" x14ac:dyDescent="0.25">
      <c r="A5894" t="s">
        <v>35</v>
      </c>
      <c r="B5894" t="s">
        <v>61</v>
      </c>
      <c r="C5894" t="str">
        <f>"A0183537"</f>
        <v>A0183537</v>
      </c>
      <c r="D5894" t="s">
        <v>23159</v>
      </c>
      <c r="E5894" t="s">
        <v>23160</v>
      </c>
      <c r="F5894" t="s">
        <v>12931</v>
      </c>
      <c r="G5894" t="s">
        <v>81</v>
      </c>
      <c r="H5894" t="s">
        <v>23161</v>
      </c>
      <c r="I5894" t="s">
        <v>30</v>
      </c>
      <c r="J5894" t="s">
        <v>41</v>
      </c>
      <c r="K5894" t="s">
        <v>59</v>
      </c>
      <c r="Q5894">
        <v>0</v>
      </c>
      <c r="R5894">
        <v>0</v>
      </c>
      <c r="S5894">
        <v>0</v>
      </c>
      <c r="T5894" t="s">
        <v>23162</v>
      </c>
    </row>
    <row r="5895" spans="1:20" customFormat="1" ht="15" x14ac:dyDescent="0.25">
      <c r="A5895" t="s">
        <v>35</v>
      </c>
      <c r="B5895" t="s">
        <v>61</v>
      </c>
      <c r="C5895" t="str">
        <f>"A0183536"</f>
        <v>A0183536</v>
      </c>
      <c r="D5895" t="s">
        <v>23163</v>
      </c>
      <c r="E5895" t="s">
        <v>23164</v>
      </c>
      <c r="F5895" t="s">
        <v>22613</v>
      </c>
      <c r="G5895" t="s">
        <v>81</v>
      </c>
      <c r="H5895">
        <v>33025</v>
      </c>
      <c r="I5895" t="s">
        <v>30</v>
      </c>
      <c r="J5895" t="s">
        <v>41</v>
      </c>
      <c r="K5895" t="s">
        <v>59</v>
      </c>
      <c r="Q5895">
        <v>0</v>
      </c>
      <c r="R5895">
        <v>0</v>
      </c>
      <c r="S5895">
        <v>0</v>
      </c>
    </row>
    <row r="5896" spans="1:20" customFormat="1" ht="15" x14ac:dyDescent="0.25">
      <c r="A5896" t="s">
        <v>35</v>
      </c>
      <c r="B5896" t="s">
        <v>61</v>
      </c>
      <c r="C5896" t="str">
        <f>"A0183535"</f>
        <v>A0183535</v>
      </c>
      <c r="D5896" t="s">
        <v>23165</v>
      </c>
      <c r="E5896" t="s">
        <v>23166</v>
      </c>
      <c r="F5896" t="s">
        <v>23167</v>
      </c>
      <c r="G5896" t="s">
        <v>81</v>
      </c>
      <c r="H5896" t="s">
        <v>23168</v>
      </c>
      <c r="I5896" t="s">
        <v>30</v>
      </c>
      <c r="J5896" t="s">
        <v>41</v>
      </c>
      <c r="K5896" t="s">
        <v>59</v>
      </c>
      <c r="Q5896">
        <v>0</v>
      </c>
      <c r="R5896">
        <v>76</v>
      </c>
      <c r="S5896">
        <v>76</v>
      </c>
      <c r="T5896" t="s">
        <v>23169</v>
      </c>
    </row>
    <row r="5897" spans="1:20" customFormat="1" ht="15" x14ac:dyDescent="0.25">
      <c r="A5897" t="s">
        <v>35</v>
      </c>
      <c r="B5897" t="s">
        <v>61</v>
      </c>
      <c r="C5897" t="str">
        <f>"A0183534"</f>
        <v>A0183534</v>
      </c>
      <c r="D5897" t="s">
        <v>23170</v>
      </c>
      <c r="E5897" t="s">
        <v>23171</v>
      </c>
      <c r="F5897" t="s">
        <v>10530</v>
      </c>
      <c r="G5897" t="s">
        <v>81</v>
      </c>
      <c r="H5897" t="s">
        <v>22826</v>
      </c>
      <c r="I5897" t="s">
        <v>30</v>
      </c>
      <c r="J5897" t="s">
        <v>41</v>
      </c>
      <c r="K5897" t="s">
        <v>59</v>
      </c>
      <c r="Q5897">
        <v>0</v>
      </c>
      <c r="R5897">
        <v>242</v>
      </c>
      <c r="S5897">
        <v>242</v>
      </c>
    </row>
    <row r="5898" spans="1:20" customFormat="1" ht="15" x14ac:dyDescent="0.25">
      <c r="A5898" t="s">
        <v>35</v>
      </c>
      <c r="B5898" t="s">
        <v>61</v>
      </c>
      <c r="C5898" t="str">
        <f>"A0183533"</f>
        <v>A0183533</v>
      </c>
      <c r="D5898" t="s">
        <v>23172</v>
      </c>
      <c r="E5898" t="s">
        <v>23173</v>
      </c>
      <c r="F5898" t="s">
        <v>23174</v>
      </c>
      <c r="G5898" t="s">
        <v>52</v>
      </c>
      <c r="H5898" t="s">
        <v>23175</v>
      </c>
      <c r="I5898" t="s">
        <v>30</v>
      </c>
      <c r="J5898" t="s">
        <v>41</v>
      </c>
      <c r="K5898" t="s">
        <v>59</v>
      </c>
      <c r="Q5898">
        <v>0</v>
      </c>
      <c r="R5898">
        <v>0</v>
      </c>
      <c r="S5898">
        <v>0</v>
      </c>
      <c r="T5898" t="s">
        <v>23176</v>
      </c>
    </row>
    <row r="5899" spans="1:20" customFormat="1" ht="15" x14ac:dyDescent="0.25">
      <c r="A5899" t="s">
        <v>35</v>
      </c>
      <c r="B5899" t="s">
        <v>61</v>
      </c>
      <c r="C5899" t="str">
        <f>"A0183532"</f>
        <v>A0183532</v>
      </c>
      <c r="D5899" t="s">
        <v>23177</v>
      </c>
      <c r="E5899" t="s">
        <v>23178</v>
      </c>
      <c r="F5899" t="s">
        <v>1731</v>
      </c>
      <c r="G5899" t="s">
        <v>52</v>
      </c>
      <c r="H5899" t="s">
        <v>23179</v>
      </c>
      <c r="I5899" t="s">
        <v>30</v>
      </c>
      <c r="J5899" t="s">
        <v>41</v>
      </c>
      <c r="K5899" t="s">
        <v>59</v>
      </c>
      <c r="Q5899">
        <v>0</v>
      </c>
      <c r="R5899">
        <v>0</v>
      </c>
      <c r="S5899">
        <v>0</v>
      </c>
      <c r="T5899" t="s">
        <v>23180</v>
      </c>
    </row>
    <row r="5900" spans="1:20" customFormat="1" ht="15" x14ac:dyDescent="0.25">
      <c r="A5900" t="s">
        <v>35</v>
      </c>
      <c r="B5900" t="s">
        <v>61</v>
      </c>
      <c r="C5900" t="str">
        <f>"A0183531"</f>
        <v>A0183531</v>
      </c>
      <c r="D5900" t="s">
        <v>23181</v>
      </c>
      <c r="E5900" t="s">
        <v>23182</v>
      </c>
      <c r="F5900" t="s">
        <v>22759</v>
      </c>
      <c r="G5900" t="s">
        <v>52</v>
      </c>
      <c r="H5900" t="s">
        <v>23183</v>
      </c>
      <c r="I5900" t="s">
        <v>30</v>
      </c>
      <c r="J5900" t="s">
        <v>41</v>
      </c>
      <c r="K5900" t="s">
        <v>59</v>
      </c>
      <c r="Q5900">
        <v>0</v>
      </c>
      <c r="R5900">
        <v>0</v>
      </c>
      <c r="S5900">
        <v>0</v>
      </c>
      <c r="T5900" t="s">
        <v>23184</v>
      </c>
    </row>
    <row r="5901" spans="1:20" customFormat="1" ht="15" x14ac:dyDescent="0.25">
      <c r="A5901" t="s">
        <v>35</v>
      </c>
      <c r="B5901" t="s">
        <v>61</v>
      </c>
      <c r="C5901" t="str">
        <f>"A0183530"</f>
        <v>A0183530</v>
      </c>
      <c r="D5901" t="s">
        <v>23185</v>
      </c>
      <c r="E5901" t="s">
        <v>23186</v>
      </c>
      <c r="F5901" t="s">
        <v>23187</v>
      </c>
      <c r="G5901" t="s">
        <v>81</v>
      </c>
      <c r="H5901" t="s">
        <v>23188</v>
      </c>
      <c r="I5901" t="s">
        <v>30</v>
      </c>
      <c r="J5901" t="s">
        <v>41</v>
      </c>
      <c r="K5901" t="s">
        <v>59</v>
      </c>
      <c r="Q5901">
        <v>0</v>
      </c>
      <c r="R5901">
        <v>0</v>
      </c>
      <c r="S5901">
        <v>0</v>
      </c>
      <c r="T5901" t="s">
        <v>23189</v>
      </c>
    </row>
    <row r="5902" spans="1:20" customFormat="1" ht="15" x14ac:dyDescent="0.25">
      <c r="A5902" t="s">
        <v>35</v>
      </c>
      <c r="B5902" t="s">
        <v>61</v>
      </c>
      <c r="C5902" t="str">
        <f>"A0183529"</f>
        <v>A0183529</v>
      </c>
      <c r="D5902" t="s">
        <v>23190</v>
      </c>
      <c r="E5902" t="s">
        <v>23191</v>
      </c>
      <c r="F5902" t="s">
        <v>11602</v>
      </c>
      <c r="G5902" t="s">
        <v>71</v>
      </c>
      <c r="H5902" t="s">
        <v>23192</v>
      </c>
      <c r="I5902" t="s">
        <v>30</v>
      </c>
      <c r="J5902" t="s">
        <v>41</v>
      </c>
      <c r="K5902" t="s">
        <v>59</v>
      </c>
      <c r="Q5902">
        <v>0</v>
      </c>
      <c r="R5902">
        <v>205</v>
      </c>
      <c r="S5902">
        <v>205</v>
      </c>
      <c r="T5902" t="s">
        <v>23193</v>
      </c>
    </row>
    <row r="5903" spans="1:20" customFormat="1" ht="15" x14ac:dyDescent="0.25">
      <c r="A5903" t="s">
        <v>35</v>
      </c>
      <c r="B5903" t="s">
        <v>11871</v>
      </c>
      <c r="C5903" t="str">
        <f>"A0183528"</f>
        <v>A0183528</v>
      </c>
      <c r="D5903" t="s">
        <v>23194</v>
      </c>
      <c r="E5903" t="s">
        <v>23195</v>
      </c>
      <c r="F5903" t="s">
        <v>16093</v>
      </c>
      <c r="G5903" t="s">
        <v>52</v>
      </c>
      <c r="H5903" t="s">
        <v>23196</v>
      </c>
      <c r="I5903" t="s">
        <v>30</v>
      </c>
      <c r="J5903" t="s">
        <v>41</v>
      </c>
      <c r="K5903" t="s">
        <v>59</v>
      </c>
      <c r="Q5903">
        <v>0</v>
      </c>
      <c r="R5903">
        <v>0</v>
      </c>
      <c r="S5903">
        <v>0</v>
      </c>
      <c r="T5903" t="s">
        <v>23197</v>
      </c>
    </row>
    <row r="5904" spans="1:20" customFormat="1" ht="15" x14ac:dyDescent="0.25">
      <c r="A5904" t="s">
        <v>35</v>
      </c>
      <c r="B5904" t="s">
        <v>11871</v>
      </c>
      <c r="C5904" t="str">
        <f>"A0183527"</f>
        <v>A0183527</v>
      </c>
      <c r="D5904" t="s">
        <v>23198</v>
      </c>
      <c r="E5904" t="s">
        <v>23199</v>
      </c>
      <c r="F5904" t="s">
        <v>23200</v>
      </c>
      <c r="G5904" t="s">
        <v>52</v>
      </c>
      <c r="H5904" t="s">
        <v>23201</v>
      </c>
      <c r="I5904" t="s">
        <v>30</v>
      </c>
      <c r="J5904" t="s">
        <v>41</v>
      </c>
      <c r="K5904" t="s">
        <v>59</v>
      </c>
      <c r="Q5904">
        <v>0</v>
      </c>
      <c r="R5904">
        <v>0</v>
      </c>
      <c r="S5904">
        <v>0</v>
      </c>
      <c r="T5904" t="s">
        <v>23202</v>
      </c>
    </row>
    <row r="5905" spans="1:20" customFormat="1" ht="15" x14ac:dyDescent="0.25">
      <c r="A5905" t="s">
        <v>35</v>
      </c>
      <c r="B5905" t="s">
        <v>61</v>
      </c>
      <c r="C5905" t="str">
        <f>"A0183526"</f>
        <v>A0183526</v>
      </c>
      <c r="D5905" t="s">
        <v>23203</v>
      </c>
      <c r="E5905" t="s">
        <v>23204</v>
      </c>
      <c r="F5905" t="s">
        <v>3786</v>
      </c>
      <c r="G5905" t="s">
        <v>52</v>
      </c>
      <c r="H5905" t="s">
        <v>23205</v>
      </c>
      <c r="I5905" t="s">
        <v>30</v>
      </c>
      <c r="J5905" t="s">
        <v>41</v>
      </c>
      <c r="K5905" t="s">
        <v>59</v>
      </c>
      <c r="Q5905">
        <v>0</v>
      </c>
      <c r="R5905">
        <v>48</v>
      </c>
      <c r="S5905">
        <v>48</v>
      </c>
      <c r="T5905" t="s">
        <v>23206</v>
      </c>
    </row>
    <row r="5906" spans="1:20" customFormat="1" ht="15" x14ac:dyDescent="0.25">
      <c r="A5906" t="s">
        <v>35</v>
      </c>
      <c r="B5906" t="s">
        <v>61</v>
      </c>
      <c r="C5906" t="str">
        <f>"A0183524"</f>
        <v>A0183524</v>
      </c>
      <c r="D5906" t="s">
        <v>23207</v>
      </c>
      <c r="E5906" t="s">
        <v>18193</v>
      </c>
      <c r="F5906" t="s">
        <v>13940</v>
      </c>
      <c r="G5906" t="s">
        <v>81</v>
      </c>
      <c r="H5906" t="s">
        <v>23208</v>
      </c>
      <c r="I5906" t="s">
        <v>30</v>
      </c>
      <c r="J5906" t="s">
        <v>41</v>
      </c>
      <c r="K5906" t="s">
        <v>59</v>
      </c>
      <c r="Q5906">
        <v>0</v>
      </c>
      <c r="R5906">
        <v>60</v>
      </c>
      <c r="S5906">
        <v>60</v>
      </c>
    </row>
    <row r="5907" spans="1:20" customFormat="1" ht="15" x14ac:dyDescent="0.25">
      <c r="A5907" t="s">
        <v>35</v>
      </c>
      <c r="B5907" t="s">
        <v>61</v>
      </c>
      <c r="C5907" t="str">
        <f>"A0183523"</f>
        <v>A0183523</v>
      </c>
      <c r="D5907" t="s">
        <v>23209</v>
      </c>
      <c r="E5907" t="s">
        <v>18193</v>
      </c>
      <c r="F5907" t="s">
        <v>13940</v>
      </c>
      <c r="G5907" t="s">
        <v>81</v>
      </c>
      <c r="H5907" t="s">
        <v>23208</v>
      </c>
      <c r="I5907" t="s">
        <v>30</v>
      </c>
      <c r="J5907" t="s">
        <v>41</v>
      </c>
      <c r="K5907" t="s">
        <v>59</v>
      </c>
      <c r="Q5907">
        <v>0</v>
      </c>
      <c r="R5907">
        <v>60</v>
      </c>
      <c r="S5907">
        <v>60</v>
      </c>
    </row>
    <row r="5908" spans="1:20" customFormat="1" ht="15" x14ac:dyDescent="0.25">
      <c r="A5908" t="s">
        <v>35</v>
      </c>
      <c r="B5908" t="s">
        <v>61</v>
      </c>
      <c r="C5908" t="str">
        <f>"A0183522"</f>
        <v>A0183522</v>
      </c>
      <c r="D5908" t="s">
        <v>23210</v>
      </c>
      <c r="E5908" t="s">
        <v>23211</v>
      </c>
      <c r="F5908" t="s">
        <v>10598</v>
      </c>
      <c r="G5908" t="s">
        <v>81</v>
      </c>
      <c r="H5908" t="s">
        <v>23212</v>
      </c>
      <c r="I5908" t="s">
        <v>30</v>
      </c>
      <c r="J5908" t="s">
        <v>41</v>
      </c>
      <c r="K5908" t="s">
        <v>59</v>
      </c>
      <c r="Q5908">
        <v>0</v>
      </c>
      <c r="R5908">
        <v>93</v>
      </c>
      <c r="S5908">
        <v>93</v>
      </c>
    </row>
    <row r="5909" spans="1:20" customFormat="1" ht="15" x14ac:dyDescent="0.25">
      <c r="A5909" t="s">
        <v>35</v>
      </c>
      <c r="B5909" t="s">
        <v>61</v>
      </c>
      <c r="C5909" t="str">
        <f>"A0183521"</f>
        <v>A0183521</v>
      </c>
      <c r="D5909" t="s">
        <v>23213</v>
      </c>
      <c r="E5909" t="s">
        <v>23214</v>
      </c>
      <c r="F5909" t="s">
        <v>7518</v>
      </c>
      <c r="G5909" t="s">
        <v>81</v>
      </c>
      <c r="H5909" t="s">
        <v>23215</v>
      </c>
      <c r="I5909" t="s">
        <v>30</v>
      </c>
      <c r="J5909" t="s">
        <v>41</v>
      </c>
      <c r="K5909" t="s">
        <v>59</v>
      </c>
      <c r="Q5909">
        <v>0</v>
      </c>
      <c r="R5909">
        <v>0</v>
      </c>
      <c r="S5909">
        <v>0</v>
      </c>
    </row>
    <row r="5910" spans="1:20" customFormat="1" ht="15" x14ac:dyDescent="0.25">
      <c r="A5910" t="s">
        <v>35</v>
      </c>
      <c r="B5910" t="s">
        <v>61</v>
      </c>
      <c r="C5910" t="str">
        <f>"A0183520"</f>
        <v>A0183520</v>
      </c>
      <c r="D5910" t="s">
        <v>23216</v>
      </c>
      <c r="E5910" t="s">
        <v>23217</v>
      </c>
      <c r="F5910" t="s">
        <v>20667</v>
      </c>
      <c r="G5910" t="s">
        <v>81</v>
      </c>
      <c r="H5910" t="s">
        <v>23218</v>
      </c>
      <c r="I5910" t="s">
        <v>30</v>
      </c>
      <c r="J5910" t="s">
        <v>41</v>
      </c>
      <c r="K5910" t="s">
        <v>59</v>
      </c>
      <c r="Q5910">
        <v>0</v>
      </c>
      <c r="R5910">
        <v>180</v>
      </c>
      <c r="S5910">
        <v>180</v>
      </c>
      <c r="T5910" t="s">
        <v>23219</v>
      </c>
    </row>
    <row r="5911" spans="1:20" customFormat="1" ht="15" x14ac:dyDescent="0.25">
      <c r="A5911" t="s">
        <v>35</v>
      </c>
      <c r="B5911" t="s">
        <v>61</v>
      </c>
      <c r="C5911" t="str">
        <f>"A0183519"</f>
        <v>A0183519</v>
      </c>
      <c r="D5911" t="s">
        <v>23220</v>
      </c>
      <c r="E5911" t="s">
        <v>23221</v>
      </c>
      <c r="F5911" t="s">
        <v>10530</v>
      </c>
      <c r="G5911" t="s">
        <v>81</v>
      </c>
      <c r="H5911" t="s">
        <v>23222</v>
      </c>
      <c r="I5911" t="s">
        <v>30</v>
      </c>
      <c r="J5911" t="s">
        <v>41</v>
      </c>
      <c r="K5911" t="s">
        <v>59</v>
      </c>
      <c r="Q5911">
        <v>0</v>
      </c>
      <c r="R5911">
        <v>0</v>
      </c>
      <c r="S5911">
        <v>0</v>
      </c>
      <c r="T5911" t="s">
        <v>23223</v>
      </c>
    </row>
    <row r="5912" spans="1:20" customFormat="1" ht="15" x14ac:dyDescent="0.25">
      <c r="A5912" t="s">
        <v>35</v>
      </c>
      <c r="B5912" t="s">
        <v>61</v>
      </c>
      <c r="C5912" t="str">
        <f>"A0183518"</f>
        <v>A0183518</v>
      </c>
      <c r="D5912" t="s">
        <v>23224</v>
      </c>
      <c r="E5912" t="s">
        <v>23225</v>
      </c>
      <c r="F5912" t="s">
        <v>23226</v>
      </c>
      <c r="G5912" t="s">
        <v>52</v>
      </c>
      <c r="H5912">
        <v>77494</v>
      </c>
      <c r="I5912" t="s">
        <v>30</v>
      </c>
      <c r="J5912" t="s">
        <v>41</v>
      </c>
      <c r="K5912" t="s">
        <v>59</v>
      </c>
      <c r="Q5912">
        <v>0</v>
      </c>
      <c r="R5912">
        <v>0</v>
      </c>
      <c r="S5912">
        <v>0</v>
      </c>
      <c r="T5912" t="s">
        <v>23227</v>
      </c>
    </row>
    <row r="5913" spans="1:20" customFormat="1" ht="15" x14ac:dyDescent="0.25">
      <c r="A5913" t="s">
        <v>35</v>
      </c>
      <c r="B5913" t="s">
        <v>61</v>
      </c>
      <c r="C5913" t="str">
        <f>"A0183517"</f>
        <v>A0183517</v>
      </c>
      <c r="D5913" t="s">
        <v>23228</v>
      </c>
      <c r="E5913" t="s">
        <v>23229</v>
      </c>
      <c r="F5913" t="s">
        <v>23230</v>
      </c>
      <c r="G5913" t="s">
        <v>52</v>
      </c>
      <c r="H5913">
        <v>78412</v>
      </c>
      <c r="I5913" t="s">
        <v>30</v>
      </c>
      <c r="J5913" t="s">
        <v>41</v>
      </c>
      <c r="K5913" t="s">
        <v>59</v>
      </c>
      <c r="Q5913">
        <v>0</v>
      </c>
      <c r="R5913">
        <v>0</v>
      </c>
      <c r="S5913">
        <v>0</v>
      </c>
      <c r="T5913" t="s">
        <v>23231</v>
      </c>
    </row>
    <row r="5914" spans="1:20" customFormat="1" ht="15" x14ac:dyDescent="0.25">
      <c r="A5914" t="s">
        <v>35</v>
      </c>
      <c r="B5914" t="s">
        <v>61</v>
      </c>
      <c r="C5914" t="str">
        <f>"A0183515"</f>
        <v>A0183515</v>
      </c>
      <c r="D5914" t="s">
        <v>23232</v>
      </c>
      <c r="E5914" t="s">
        <v>23154</v>
      </c>
      <c r="F5914" t="s">
        <v>12947</v>
      </c>
      <c r="G5914" t="s">
        <v>81</v>
      </c>
      <c r="H5914">
        <v>33417</v>
      </c>
      <c r="I5914" t="s">
        <v>30</v>
      </c>
      <c r="J5914" t="s">
        <v>41</v>
      </c>
      <c r="K5914" t="s">
        <v>59</v>
      </c>
      <c r="Q5914">
        <v>0</v>
      </c>
      <c r="R5914">
        <v>0</v>
      </c>
      <c r="S5914">
        <v>0</v>
      </c>
      <c r="T5914" t="s">
        <v>22544</v>
      </c>
    </row>
    <row r="5915" spans="1:20" customFormat="1" ht="15" x14ac:dyDescent="0.25">
      <c r="A5915" t="s">
        <v>35</v>
      </c>
      <c r="B5915" t="s">
        <v>61</v>
      </c>
      <c r="C5915" t="str">
        <f>"A0183514"</f>
        <v>A0183514</v>
      </c>
      <c r="D5915" t="s">
        <v>23233</v>
      </c>
      <c r="E5915" t="s">
        <v>23234</v>
      </c>
      <c r="F5915" t="s">
        <v>20667</v>
      </c>
      <c r="G5915" t="s">
        <v>81</v>
      </c>
      <c r="H5915" t="s">
        <v>23235</v>
      </c>
      <c r="I5915" t="s">
        <v>30</v>
      </c>
      <c r="J5915" t="s">
        <v>41</v>
      </c>
      <c r="K5915" t="s">
        <v>59</v>
      </c>
      <c r="Q5915">
        <v>0</v>
      </c>
      <c r="R5915">
        <v>0</v>
      </c>
      <c r="S5915">
        <v>0</v>
      </c>
      <c r="T5915" t="s">
        <v>23236</v>
      </c>
    </row>
    <row r="5916" spans="1:20" customFormat="1" ht="15" x14ac:dyDescent="0.25">
      <c r="A5916" t="s">
        <v>35</v>
      </c>
      <c r="B5916" t="s">
        <v>61</v>
      </c>
      <c r="C5916" t="str">
        <f>"A0183513"</f>
        <v>A0183513</v>
      </c>
      <c r="D5916" t="s">
        <v>23237</v>
      </c>
      <c r="E5916" t="s">
        <v>23238</v>
      </c>
      <c r="F5916" t="s">
        <v>23239</v>
      </c>
      <c r="G5916" t="s">
        <v>81</v>
      </c>
      <c r="H5916">
        <v>32904</v>
      </c>
      <c r="I5916" t="s">
        <v>30</v>
      </c>
      <c r="J5916" t="s">
        <v>41</v>
      </c>
      <c r="K5916" t="s">
        <v>59</v>
      </c>
      <c r="Q5916">
        <v>0</v>
      </c>
      <c r="R5916">
        <v>0</v>
      </c>
      <c r="S5916">
        <v>0</v>
      </c>
      <c r="T5916" t="s">
        <v>23240</v>
      </c>
    </row>
    <row r="5917" spans="1:20" customFormat="1" ht="15" x14ac:dyDescent="0.25">
      <c r="A5917" t="s">
        <v>35</v>
      </c>
      <c r="B5917" t="s">
        <v>61</v>
      </c>
      <c r="C5917" t="str">
        <f>"A0183512"</f>
        <v>A0183512</v>
      </c>
      <c r="D5917" t="s">
        <v>23241</v>
      </c>
      <c r="E5917" t="s">
        <v>23242</v>
      </c>
      <c r="F5917" t="s">
        <v>8276</v>
      </c>
      <c r="G5917" t="s">
        <v>81</v>
      </c>
      <c r="H5917" t="s">
        <v>23243</v>
      </c>
      <c r="I5917" t="s">
        <v>30</v>
      </c>
      <c r="J5917" t="s">
        <v>41</v>
      </c>
      <c r="K5917" t="s">
        <v>59</v>
      </c>
      <c r="Q5917">
        <v>0</v>
      </c>
      <c r="R5917">
        <v>0</v>
      </c>
      <c r="S5917">
        <v>0</v>
      </c>
      <c r="T5917" t="s">
        <v>23244</v>
      </c>
    </row>
    <row r="5918" spans="1:20" customFormat="1" ht="15" x14ac:dyDescent="0.25">
      <c r="A5918" t="s">
        <v>35</v>
      </c>
      <c r="B5918" t="s">
        <v>61</v>
      </c>
      <c r="C5918" t="str">
        <f>"A0183511"</f>
        <v>A0183511</v>
      </c>
      <c r="D5918" t="s">
        <v>23245</v>
      </c>
      <c r="E5918" t="s">
        <v>23246</v>
      </c>
      <c r="F5918" t="s">
        <v>64</v>
      </c>
      <c r="G5918" t="s">
        <v>65</v>
      </c>
      <c r="H5918">
        <v>432152177</v>
      </c>
      <c r="I5918" t="s">
        <v>30</v>
      </c>
      <c r="J5918" t="s">
        <v>41</v>
      </c>
      <c r="K5918" t="s">
        <v>59</v>
      </c>
      <c r="Q5918">
        <v>0</v>
      </c>
      <c r="R5918">
        <v>0</v>
      </c>
      <c r="S5918">
        <v>0</v>
      </c>
    </row>
    <row r="5919" spans="1:20" customFormat="1" ht="15" x14ac:dyDescent="0.25">
      <c r="A5919" t="s">
        <v>35</v>
      </c>
      <c r="B5919" t="s">
        <v>11871</v>
      </c>
      <c r="C5919" t="str">
        <f>"A0183510"</f>
        <v>A0183510</v>
      </c>
      <c r="D5919" t="s">
        <v>23247</v>
      </c>
      <c r="E5919" t="s">
        <v>23248</v>
      </c>
      <c r="F5919" t="s">
        <v>20394</v>
      </c>
      <c r="G5919" t="s">
        <v>65</v>
      </c>
      <c r="H5919">
        <v>430261384</v>
      </c>
      <c r="I5919" t="s">
        <v>30</v>
      </c>
      <c r="J5919" t="s">
        <v>41</v>
      </c>
      <c r="K5919" t="s">
        <v>59</v>
      </c>
      <c r="Q5919">
        <v>0</v>
      </c>
      <c r="R5919">
        <v>0</v>
      </c>
      <c r="S5919">
        <v>0</v>
      </c>
      <c r="T5919" t="s">
        <v>23249</v>
      </c>
    </row>
    <row r="5920" spans="1:20" customFormat="1" ht="15" x14ac:dyDescent="0.25">
      <c r="A5920" t="s">
        <v>35</v>
      </c>
      <c r="B5920" t="s">
        <v>61</v>
      </c>
      <c r="C5920" t="str">
        <f>"A0183509"</f>
        <v>A0183509</v>
      </c>
      <c r="D5920" t="s">
        <v>23250</v>
      </c>
      <c r="E5920" t="s">
        <v>23251</v>
      </c>
      <c r="F5920" t="s">
        <v>20528</v>
      </c>
      <c r="G5920" t="s">
        <v>81</v>
      </c>
      <c r="H5920">
        <v>325791158</v>
      </c>
      <c r="I5920" t="s">
        <v>30</v>
      </c>
      <c r="J5920" t="s">
        <v>41</v>
      </c>
      <c r="K5920" t="s">
        <v>59</v>
      </c>
      <c r="Q5920">
        <v>0</v>
      </c>
      <c r="R5920">
        <v>0</v>
      </c>
      <c r="S5920">
        <v>0</v>
      </c>
    </row>
    <row r="5921" spans="1:20" customFormat="1" ht="15" x14ac:dyDescent="0.25">
      <c r="A5921" t="s">
        <v>35</v>
      </c>
      <c r="B5921" t="s">
        <v>61</v>
      </c>
      <c r="C5921" t="str">
        <f>"A0183508"</f>
        <v>A0183508</v>
      </c>
      <c r="D5921" t="s">
        <v>23252</v>
      </c>
      <c r="E5921" t="s">
        <v>23253</v>
      </c>
      <c r="F5921" t="s">
        <v>23254</v>
      </c>
      <c r="G5921" t="s">
        <v>81</v>
      </c>
      <c r="H5921" t="s">
        <v>23255</v>
      </c>
      <c r="I5921" t="s">
        <v>30</v>
      </c>
      <c r="J5921" t="s">
        <v>41</v>
      </c>
      <c r="K5921" t="s">
        <v>59</v>
      </c>
      <c r="Q5921">
        <v>0</v>
      </c>
      <c r="R5921">
        <v>0</v>
      </c>
      <c r="S5921">
        <v>0</v>
      </c>
    </row>
    <row r="5922" spans="1:20" customFormat="1" ht="15" x14ac:dyDescent="0.25">
      <c r="A5922" t="s">
        <v>35</v>
      </c>
      <c r="B5922" t="s">
        <v>61</v>
      </c>
      <c r="C5922" t="str">
        <f>"A0183507"</f>
        <v>A0183507</v>
      </c>
      <c r="D5922" t="s">
        <v>23256</v>
      </c>
      <c r="E5922" t="s">
        <v>23257</v>
      </c>
      <c r="F5922" t="s">
        <v>4066</v>
      </c>
      <c r="G5922" t="s">
        <v>81</v>
      </c>
      <c r="H5922" t="s">
        <v>23258</v>
      </c>
      <c r="I5922" t="s">
        <v>30</v>
      </c>
      <c r="J5922" t="s">
        <v>41</v>
      </c>
      <c r="K5922" t="s">
        <v>59</v>
      </c>
      <c r="Q5922">
        <v>0</v>
      </c>
      <c r="R5922">
        <v>0</v>
      </c>
      <c r="S5922">
        <v>0</v>
      </c>
      <c r="T5922" t="s">
        <v>23259</v>
      </c>
    </row>
    <row r="5923" spans="1:20" customFormat="1" ht="15" x14ac:dyDescent="0.25">
      <c r="A5923" t="s">
        <v>35</v>
      </c>
      <c r="B5923" t="s">
        <v>61</v>
      </c>
      <c r="C5923" t="str">
        <f>"A0183506"</f>
        <v>A0183506</v>
      </c>
      <c r="D5923" t="s">
        <v>23260</v>
      </c>
      <c r="E5923" t="s">
        <v>23261</v>
      </c>
      <c r="F5923" t="s">
        <v>1755</v>
      </c>
      <c r="G5923" t="s">
        <v>65</v>
      </c>
      <c r="H5923">
        <v>45504</v>
      </c>
      <c r="I5923" t="s">
        <v>30</v>
      </c>
      <c r="J5923" t="s">
        <v>41</v>
      </c>
      <c r="K5923" t="s">
        <v>59</v>
      </c>
      <c r="Q5923">
        <v>0</v>
      </c>
      <c r="R5923">
        <v>0</v>
      </c>
      <c r="S5923">
        <v>0</v>
      </c>
      <c r="T5923" t="s">
        <v>23262</v>
      </c>
    </row>
    <row r="5924" spans="1:20" customFormat="1" ht="15" x14ac:dyDescent="0.25">
      <c r="A5924" t="s">
        <v>35</v>
      </c>
      <c r="B5924" t="s">
        <v>61</v>
      </c>
      <c r="C5924" t="str">
        <f>"A0183505"</f>
        <v>A0183505</v>
      </c>
      <c r="D5924" t="s">
        <v>23263</v>
      </c>
      <c r="E5924" t="s">
        <v>23264</v>
      </c>
      <c r="F5924" t="s">
        <v>3478</v>
      </c>
      <c r="G5924" t="s">
        <v>65</v>
      </c>
      <c r="H5924">
        <v>454178388</v>
      </c>
      <c r="I5924" t="s">
        <v>30</v>
      </c>
      <c r="J5924" t="s">
        <v>41</v>
      </c>
      <c r="K5924" t="s">
        <v>59</v>
      </c>
      <c r="Q5924">
        <v>0</v>
      </c>
      <c r="R5924">
        <v>0</v>
      </c>
      <c r="S5924">
        <v>0</v>
      </c>
    </row>
    <row r="5925" spans="1:20" customFormat="1" ht="15" x14ac:dyDescent="0.25">
      <c r="A5925" t="s">
        <v>35</v>
      </c>
      <c r="B5925" t="s">
        <v>11871</v>
      </c>
      <c r="C5925" t="str">
        <f>"A0183504"</f>
        <v>A0183504</v>
      </c>
      <c r="D5925" t="s">
        <v>23265</v>
      </c>
      <c r="E5925" t="s">
        <v>23266</v>
      </c>
      <c r="F5925" t="s">
        <v>15307</v>
      </c>
      <c r="G5925" t="s">
        <v>65</v>
      </c>
      <c r="H5925">
        <v>430818654</v>
      </c>
      <c r="I5925" t="s">
        <v>30</v>
      </c>
      <c r="J5925" t="s">
        <v>41</v>
      </c>
      <c r="K5925" t="s">
        <v>59</v>
      </c>
      <c r="Q5925">
        <v>0</v>
      </c>
      <c r="R5925">
        <v>0</v>
      </c>
      <c r="S5925">
        <v>0</v>
      </c>
      <c r="T5925" t="s">
        <v>23267</v>
      </c>
    </row>
    <row r="5926" spans="1:20" customFormat="1" ht="15" x14ac:dyDescent="0.25">
      <c r="A5926" t="s">
        <v>35</v>
      </c>
      <c r="B5926" t="s">
        <v>61</v>
      </c>
      <c r="C5926" t="str">
        <f>"A0183503"</f>
        <v>A0183503</v>
      </c>
      <c r="D5926" t="s">
        <v>23268</v>
      </c>
      <c r="E5926" t="s">
        <v>23269</v>
      </c>
      <c r="F5926" t="s">
        <v>23270</v>
      </c>
      <c r="G5926" t="s">
        <v>52</v>
      </c>
      <c r="H5926" t="s">
        <v>23271</v>
      </c>
      <c r="I5926" t="s">
        <v>30</v>
      </c>
      <c r="J5926" t="s">
        <v>41</v>
      </c>
      <c r="K5926" t="s">
        <v>59</v>
      </c>
      <c r="Q5926">
        <v>0</v>
      </c>
      <c r="R5926">
        <v>0</v>
      </c>
      <c r="S5926">
        <v>0</v>
      </c>
      <c r="T5926" t="s">
        <v>23272</v>
      </c>
    </row>
    <row r="5927" spans="1:20" customFormat="1" ht="15" x14ac:dyDescent="0.25">
      <c r="A5927" t="s">
        <v>35</v>
      </c>
      <c r="B5927" t="s">
        <v>61</v>
      </c>
      <c r="C5927" t="str">
        <f>"A0183502"</f>
        <v>A0183502</v>
      </c>
      <c r="D5927" t="s">
        <v>23273</v>
      </c>
      <c r="E5927" t="s">
        <v>23274</v>
      </c>
      <c r="F5927" t="s">
        <v>20911</v>
      </c>
      <c r="G5927" t="s">
        <v>52</v>
      </c>
      <c r="H5927">
        <v>75074</v>
      </c>
      <c r="I5927" t="s">
        <v>30</v>
      </c>
      <c r="J5927" t="s">
        <v>41</v>
      </c>
      <c r="K5927" t="s">
        <v>59</v>
      </c>
      <c r="Q5927">
        <v>0</v>
      </c>
      <c r="R5927">
        <v>0</v>
      </c>
      <c r="S5927">
        <v>0</v>
      </c>
      <c r="T5927" t="s">
        <v>21670</v>
      </c>
    </row>
    <row r="5928" spans="1:20" customFormat="1" ht="15" x14ac:dyDescent="0.25">
      <c r="A5928" t="s">
        <v>35</v>
      </c>
      <c r="B5928" t="s">
        <v>61</v>
      </c>
      <c r="C5928" t="str">
        <f>"A0183501"</f>
        <v>A0183501</v>
      </c>
      <c r="D5928" t="s">
        <v>23275</v>
      </c>
      <c r="E5928" t="s">
        <v>23276</v>
      </c>
      <c r="F5928" t="s">
        <v>853</v>
      </c>
      <c r="G5928" t="s">
        <v>52</v>
      </c>
      <c r="H5928" t="s">
        <v>23277</v>
      </c>
      <c r="I5928" t="s">
        <v>30</v>
      </c>
      <c r="J5928" t="s">
        <v>41</v>
      </c>
      <c r="K5928" t="s">
        <v>59</v>
      </c>
      <c r="Q5928">
        <v>0</v>
      </c>
      <c r="R5928">
        <v>0</v>
      </c>
      <c r="S5928">
        <v>0</v>
      </c>
      <c r="T5928" t="s">
        <v>23278</v>
      </c>
    </row>
    <row r="5929" spans="1:20" customFormat="1" ht="15" x14ac:dyDescent="0.25">
      <c r="A5929" t="s">
        <v>35</v>
      </c>
      <c r="B5929" t="s">
        <v>61</v>
      </c>
      <c r="C5929" t="str">
        <f>"A0183500"</f>
        <v>A0183500</v>
      </c>
      <c r="D5929" t="s">
        <v>23279</v>
      </c>
      <c r="E5929" t="s">
        <v>23280</v>
      </c>
      <c r="F5929" t="s">
        <v>19642</v>
      </c>
      <c r="G5929" t="s">
        <v>71</v>
      </c>
      <c r="H5929">
        <v>54952</v>
      </c>
      <c r="I5929" t="s">
        <v>30</v>
      </c>
      <c r="J5929" t="s">
        <v>41</v>
      </c>
      <c r="K5929" t="s">
        <v>59</v>
      </c>
      <c r="Q5929">
        <v>0</v>
      </c>
      <c r="R5929">
        <v>0</v>
      </c>
      <c r="S5929">
        <v>0</v>
      </c>
      <c r="T5929" t="s">
        <v>23281</v>
      </c>
    </row>
    <row r="5930" spans="1:20" customFormat="1" ht="15" x14ac:dyDescent="0.25">
      <c r="A5930" t="s">
        <v>35</v>
      </c>
      <c r="B5930" t="s">
        <v>61</v>
      </c>
      <c r="C5930" t="str">
        <f>"A0183498"</f>
        <v>A0183498</v>
      </c>
      <c r="D5930" t="s">
        <v>23282</v>
      </c>
      <c r="E5930" t="s">
        <v>7618</v>
      </c>
      <c r="F5930" t="s">
        <v>7619</v>
      </c>
      <c r="G5930" t="s">
        <v>71</v>
      </c>
      <c r="H5930">
        <v>530662646</v>
      </c>
      <c r="I5930" t="s">
        <v>30</v>
      </c>
      <c r="J5930" t="s">
        <v>41</v>
      </c>
      <c r="K5930" t="s">
        <v>59</v>
      </c>
      <c r="Q5930">
        <v>0</v>
      </c>
      <c r="R5930">
        <v>0</v>
      </c>
      <c r="S5930">
        <v>0</v>
      </c>
      <c r="T5930" t="s">
        <v>23283</v>
      </c>
    </row>
    <row r="5931" spans="1:20" customFormat="1" ht="15" x14ac:dyDescent="0.25">
      <c r="A5931" t="s">
        <v>35</v>
      </c>
      <c r="B5931" t="s">
        <v>11871</v>
      </c>
      <c r="C5931" t="str">
        <f>"A0183497"</f>
        <v>A0183497</v>
      </c>
      <c r="D5931" t="s">
        <v>23284</v>
      </c>
      <c r="E5931" t="s">
        <v>23285</v>
      </c>
      <c r="F5931" t="s">
        <v>64</v>
      </c>
      <c r="G5931" t="s">
        <v>65</v>
      </c>
      <c r="H5931">
        <v>432205422</v>
      </c>
      <c r="I5931" t="s">
        <v>30</v>
      </c>
      <c r="J5931" t="s">
        <v>41</v>
      </c>
      <c r="K5931" t="s">
        <v>59</v>
      </c>
      <c r="Q5931">
        <v>0</v>
      </c>
      <c r="R5931">
        <v>0</v>
      </c>
      <c r="S5931">
        <v>0</v>
      </c>
      <c r="T5931" t="s">
        <v>23286</v>
      </c>
    </row>
    <row r="5932" spans="1:20" customFormat="1" ht="15" x14ac:dyDescent="0.25">
      <c r="A5932" t="s">
        <v>35</v>
      </c>
      <c r="B5932" t="s">
        <v>61</v>
      </c>
      <c r="C5932" t="str">
        <f>"A0183496"</f>
        <v>A0183496</v>
      </c>
      <c r="D5932" t="s">
        <v>23287</v>
      </c>
      <c r="E5932" t="s">
        <v>23288</v>
      </c>
      <c r="F5932" t="s">
        <v>2770</v>
      </c>
      <c r="G5932" t="s">
        <v>65</v>
      </c>
      <c r="H5932" t="s">
        <v>23289</v>
      </c>
      <c r="I5932" t="s">
        <v>30</v>
      </c>
      <c r="J5932" t="s">
        <v>41</v>
      </c>
      <c r="K5932" t="s">
        <v>59</v>
      </c>
      <c r="Q5932">
        <v>0</v>
      </c>
      <c r="R5932">
        <v>66</v>
      </c>
      <c r="S5932">
        <v>66</v>
      </c>
      <c r="T5932" t="s">
        <v>23290</v>
      </c>
    </row>
    <row r="5933" spans="1:20" customFormat="1" ht="15" x14ac:dyDescent="0.25">
      <c r="A5933" t="s">
        <v>35</v>
      </c>
      <c r="B5933" t="s">
        <v>61</v>
      </c>
      <c r="C5933" t="str">
        <f>"A0183494"</f>
        <v>A0183494</v>
      </c>
      <c r="D5933" t="s">
        <v>23291</v>
      </c>
      <c r="E5933" t="s">
        <v>23292</v>
      </c>
      <c r="F5933" t="s">
        <v>1689</v>
      </c>
      <c r="G5933" t="s">
        <v>214</v>
      </c>
      <c r="H5933" t="s">
        <v>23293</v>
      </c>
      <c r="I5933" t="s">
        <v>30</v>
      </c>
      <c r="J5933" t="s">
        <v>41</v>
      </c>
      <c r="K5933" t="s">
        <v>59</v>
      </c>
      <c r="Q5933">
        <v>0</v>
      </c>
      <c r="R5933">
        <v>0</v>
      </c>
      <c r="S5933">
        <v>0</v>
      </c>
    </row>
    <row r="5934" spans="1:20" customFormat="1" ht="15" x14ac:dyDescent="0.25">
      <c r="A5934" t="s">
        <v>35</v>
      </c>
      <c r="B5934" t="s">
        <v>61</v>
      </c>
      <c r="C5934" t="str">
        <f>"A0183493"</f>
        <v>A0183493</v>
      </c>
      <c r="D5934" t="s">
        <v>23294</v>
      </c>
      <c r="E5934" t="s">
        <v>23295</v>
      </c>
      <c r="F5934" t="s">
        <v>853</v>
      </c>
      <c r="G5934" t="s">
        <v>52</v>
      </c>
      <c r="H5934" t="s">
        <v>23296</v>
      </c>
      <c r="I5934" t="s">
        <v>30</v>
      </c>
      <c r="J5934" t="s">
        <v>41</v>
      </c>
      <c r="K5934" t="s">
        <v>59</v>
      </c>
      <c r="Q5934">
        <v>0</v>
      </c>
      <c r="R5934">
        <v>60</v>
      </c>
      <c r="S5934">
        <v>60</v>
      </c>
      <c r="T5934" t="s">
        <v>23297</v>
      </c>
    </row>
    <row r="5935" spans="1:20" customFormat="1" ht="15" x14ac:dyDescent="0.25">
      <c r="A5935" t="s">
        <v>35</v>
      </c>
      <c r="B5935" t="s">
        <v>11871</v>
      </c>
      <c r="C5935" t="str">
        <f>"A0183492"</f>
        <v>A0183492</v>
      </c>
      <c r="D5935" t="s">
        <v>23298</v>
      </c>
      <c r="E5935" t="s">
        <v>23299</v>
      </c>
      <c r="F5935" t="s">
        <v>23300</v>
      </c>
      <c r="G5935" t="s">
        <v>52</v>
      </c>
      <c r="H5935" t="s">
        <v>23301</v>
      </c>
      <c r="I5935" t="s">
        <v>30</v>
      </c>
      <c r="J5935" t="s">
        <v>41</v>
      </c>
      <c r="K5935" t="s">
        <v>59</v>
      </c>
      <c r="Q5935">
        <v>0</v>
      </c>
      <c r="R5935">
        <v>0</v>
      </c>
      <c r="S5935">
        <v>0</v>
      </c>
      <c r="T5935" t="s">
        <v>23302</v>
      </c>
    </row>
    <row r="5936" spans="1:20" customFormat="1" ht="15" x14ac:dyDescent="0.25">
      <c r="A5936" t="s">
        <v>35</v>
      </c>
      <c r="B5936" t="s">
        <v>11871</v>
      </c>
      <c r="C5936" t="str">
        <f>"A0183491"</f>
        <v>A0183491</v>
      </c>
      <c r="D5936" t="s">
        <v>23303</v>
      </c>
      <c r="E5936" t="s">
        <v>23304</v>
      </c>
      <c r="F5936" t="s">
        <v>23305</v>
      </c>
      <c r="G5936" t="s">
        <v>65</v>
      </c>
      <c r="H5936">
        <v>458721300</v>
      </c>
      <c r="I5936" t="s">
        <v>30</v>
      </c>
      <c r="J5936" t="s">
        <v>41</v>
      </c>
      <c r="K5936" t="s">
        <v>59</v>
      </c>
      <c r="Q5936">
        <v>0</v>
      </c>
      <c r="R5936">
        <v>0</v>
      </c>
      <c r="S5936">
        <v>0</v>
      </c>
      <c r="T5936" t="s">
        <v>23306</v>
      </c>
    </row>
    <row r="5937" spans="1:20" customFormat="1" ht="15" x14ac:dyDescent="0.25">
      <c r="A5937" t="s">
        <v>35</v>
      </c>
      <c r="B5937" t="s">
        <v>11871</v>
      </c>
      <c r="C5937" t="str">
        <f>"A0183490"</f>
        <v>A0183490</v>
      </c>
      <c r="D5937" t="s">
        <v>23307</v>
      </c>
      <c r="E5937" t="s">
        <v>23308</v>
      </c>
      <c r="F5937" t="s">
        <v>15307</v>
      </c>
      <c r="G5937" t="s">
        <v>65</v>
      </c>
      <c r="H5937">
        <v>430817164</v>
      </c>
      <c r="I5937" t="s">
        <v>30</v>
      </c>
      <c r="J5937" t="s">
        <v>41</v>
      </c>
      <c r="K5937" t="s">
        <v>59</v>
      </c>
      <c r="Q5937">
        <v>0</v>
      </c>
      <c r="R5937">
        <v>0</v>
      </c>
      <c r="S5937">
        <v>0</v>
      </c>
      <c r="T5937" t="s">
        <v>23309</v>
      </c>
    </row>
    <row r="5938" spans="1:20" customFormat="1" ht="15" x14ac:dyDescent="0.25">
      <c r="A5938" t="s">
        <v>35</v>
      </c>
      <c r="B5938" t="s">
        <v>11871</v>
      </c>
      <c r="C5938" t="str">
        <f>"A0183489"</f>
        <v>A0183489</v>
      </c>
      <c r="D5938" t="s">
        <v>23310</v>
      </c>
      <c r="E5938" t="s">
        <v>23311</v>
      </c>
      <c r="F5938" t="s">
        <v>23312</v>
      </c>
      <c r="G5938" t="s">
        <v>65</v>
      </c>
      <c r="H5938">
        <v>433489655</v>
      </c>
      <c r="I5938" t="s">
        <v>30</v>
      </c>
      <c r="J5938" t="s">
        <v>41</v>
      </c>
      <c r="K5938" t="s">
        <v>59</v>
      </c>
      <c r="Q5938">
        <v>0</v>
      </c>
      <c r="R5938">
        <v>0</v>
      </c>
      <c r="S5938">
        <v>0</v>
      </c>
      <c r="T5938" t="s">
        <v>23313</v>
      </c>
    </row>
    <row r="5939" spans="1:20" customFormat="1" ht="15" x14ac:dyDescent="0.25">
      <c r="A5939" t="s">
        <v>35</v>
      </c>
      <c r="B5939" t="s">
        <v>11871</v>
      </c>
      <c r="C5939" t="str">
        <f>"A0183488"</f>
        <v>A0183488</v>
      </c>
      <c r="D5939" t="s">
        <v>23314</v>
      </c>
      <c r="E5939" t="s">
        <v>23315</v>
      </c>
      <c r="F5939" t="s">
        <v>8642</v>
      </c>
      <c r="G5939" t="s">
        <v>52</v>
      </c>
      <c r="H5939" t="s">
        <v>23316</v>
      </c>
      <c r="I5939" t="s">
        <v>30</v>
      </c>
      <c r="J5939" t="s">
        <v>41</v>
      </c>
      <c r="K5939" t="s">
        <v>59</v>
      </c>
      <c r="Q5939">
        <v>0</v>
      </c>
      <c r="R5939">
        <v>0</v>
      </c>
      <c r="S5939">
        <v>0</v>
      </c>
      <c r="T5939" t="s">
        <v>23317</v>
      </c>
    </row>
    <row r="5940" spans="1:20" customFormat="1" ht="15" x14ac:dyDescent="0.25">
      <c r="A5940" t="s">
        <v>35</v>
      </c>
      <c r="B5940" t="s">
        <v>11871</v>
      </c>
      <c r="C5940" t="str">
        <f>"A0183487"</f>
        <v>A0183487</v>
      </c>
      <c r="D5940" t="s">
        <v>23318</v>
      </c>
      <c r="E5940" t="s">
        <v>23319</v>
      </c>
      <c r="F5940" t="s">
        <v>5240</v>
      </c>
      <c r="G5940" t="s">
        <v>52</v>
      </c>
      <c r="H5940" t="s">
        <v>23320</v>
      </c>
      <c r="I5940" t="s">
        <v>30</v>
      </c>
      <c r="J5940" t="s">
        <v>41</v>
      </c>
      <c r="K5940" t="s">
        <v>59</v>
      </c>
      <c r="Q5940">
        <v>0</v>
      </c>
      <c r="R5940">
        <v>0</v>
      </c>
      <c r="S5940">
        <v>0</v>
      </c>
      <c r="T5940" t="s">
        <v>23321</v>
      </c>
    </row>
    <row r="5941" spans="1:20" customFormat="1" ht="15" x14ac:dyDescent="0.25">
      <c r="A5941" t="s">
        <v>35</v>
      </c>
      <c r="B5941" t="s">
        <v>61</v>
      </c>
      <c r="C5941" t="str">
        <f>"A0183486"</f>
        <v>A0183486</v>
      </c>
      <c r="D5941" t="s">
        <v>23322</v>
      </c>
      <c r="E5941" t="s">
        <v>23323</v>
      </c>
      <c r="F5941" t="s">
        <v>23026</v>
      </c>
      <c r="G5941" t="s">
        <v>81</v>
      </c>
      <c r="H5941" t="s">
        <v>23324</v>
      </c>
      <c r="I5941" t="s">
        <v>30</v>
      </c>
      <c r="J5941" t="s">
        <v>41</v>
      </c>
      <c r="K5941" t="s">
        <v>59</v>
      </c>
      <c r="Q5941">
        <v>0</v>
      </c>
      <c r="R5941">
        <v>0</v>
      </c>
      <c r="S5941">
        <v>0</v>
      </c>
      <c r="T5941" t="s">
        <v>23325</v>
      </c>
    </row>
    <row r="5942" spans="1:20" customFormat="1" ht="15" x14ac:dyDescent="0.25">
      <c r="A5942" t="s">
        <v>35</v>
      </c>
      <c r="B5942" t="s">
        <v>61</v>
      </c>
      <c r="C5942" t="str">
        <f>"A0183485"</f>
        <v>A0183485</v>
      </c>
      <c r="D5942" t="s">
        <v>23326</v>
      </c>
      <c r="E5942" t="s">
        <v>23327</v>
      </c>
      <c r="F5942" t="s">
        <v>21770</v>
      </c>
      <c r="G5942" t="s">
        <v>65</v>
      </c>
      <c r="H5942">
        <v>44122</v>
      </c>
      <c r="I5942" t="s">
        <v>30</v>
      </c>
      <c r="J5942" t="s">
        <v>41</v>
      </c>
      <c r="K5942" t="s">
        <v>59</v>
      </c>
      <c r="Q5942">
        <v>0</v>
      </c>
      <c r="R5942">
        <v>321</v>
      </c>
      <c r="S5942">
        <v>321</v>
      </c>
      <c r="T5942" t="s">
        <v>23328</v>
      </c>
    </row>
    <row r="5943" spans="1:20" customFormat="1" ht="15" x14ac:dyDescent="0.25">
      <c r="A5943" t="s">
        <v>35</v>
      </c>
      <c r="B5943" t="s">
        <v>61</v>
      </c>
      <c r="C5943" t="str">
        <f>"A0183484"</f>
        <v>A0183484</v>
      </c>
      <c r="D5943" t="s">
        <v>23329</v>
      </c>
      <c r="E5943" t="s">
        <v>23330</v>
      </c>
      <c r="F5943" t="s">
        <v>3661</v>
      </c>
      <c r="G5943" t="s">
        <v>65</v>
      </c>
      <c r="H5943">
        <v>452081445</v>
      </c>
      <c r="I5943" t="s">
        <v>30</v>
      </c>
      <c r="J5943" t="s">
        <v>41</v>
      </c>
      <c r="K5943" t="s">
        <v>59</v>
      </c>
      <c r="Q5943">
        <v>0</v>
      </c>
      <c r="R5943">
        <v>0</v>
      </c>
      <c r="S5943">
        <v>0</v>
      </c>
    </row>
    <row r="5944" spans="1:20" customFormat="1" ht="15" x14ac:dyDescent="0.25">
      <c r="A5944" t="s">
        <v>35</v>
      </c>
      <c r="B5944" t="s">
        <v>11871</v>
      </c>
      <c r="C5944" t="str">
        <f>"A0183483"</f>
        <v>A0183483</v>
      </c>
      <c r="D5944" t="s">
        <v>23331</v>
      </c>
      <c r="E5944" t="s">
        <v>23332</v>
      </c>
      <c r="F5944" t="s">
        <v>23333</v>
      </c>
      <c r="G5944" t="s">
        <v>65</v>
      </c>
      <c r="H5944">
        <v>44870</v>
      </c>
      <c r="I5944" t="s">
        <v>30</v>
      </c>
      <c r="J5944" t="s">
        <v>41</v>
      </c>
      <c r="K5944" t="s">
        <v>59</v>
      </c>
      <c r="Q5944">
        <v>0</v>
      </c>
      <c r="R5944">
        <v>0</v>
      </c>
      <c r="S5944">
        <v>0</v>
      </c>
      <c r="T5944" t="s">
        <v>23334</v>
      </c>
    </row>
    <row r="5945" spans="1:20" customFormat="1" ht="15" x14ac:dyDescent="0.25">
      <c r="A5945" t="s">
        <v>35</v>
      </c>
      <c r="B5945" t="s">
        <v>11871</v>
      </c>
      <c r="C5945" t="str">
        <f>"A0183482"</f>
        <v>A0183482</v>
      </c>
      <c r="D5945" t="s">
        <v>23335</v>
      </c>
      <c r="E5945" t="s">
        <v>21774</v>
      </c>
      <c r="F5945" t="s">
        <v>64</v>
      </c>
      <c r="G5945" t="s">
        <v>65</v>
      </c>
      <c r="H5945">
        <v>432205423</v>
      </c>
      <c r="I5945" t="s">
        <v>30</v>
      </c>
      <c r="J5945" t="s">
        <v>41</v>
      </c>
      <c r="K5945" t="s">
        <v>59</v>
      </c>
      <c r="Q5945">
        <v>0</v>
      </c>
      <c r="R5945">
        <v>0</v>
      </c>
      <c r="S5945">
        <v>0</v>
      </c>
      <c r="T5945" t="s">
        <v>23286</v>
      </c>
    </row>
    <row r="5946" spans="1:20" customFormat="1" ht="15" x14ac:dyDescent="0.25">
      <c r="A5946" t="s">
        <v>35</v>
      </c>
      <c r="B5946" t="s">
        <v>11871</v>
      </c>
      <c r="C5946" t="str">
        <f>"A0183481"</f>
        <v>A0183481</v>
      </c>
      <c r="D5946" t="s">
        <v>23336</v>
      </c>
      <c r="E5946" t="s">
        <v>23337</v>
      </c>
      <c r="F5946" t="s">
        <v>23338</v>
      </c>
      <c r="G5946" t="s">
        <v>65</v>
      </c>
      <c r="H5946">
        <v>44146</v>
      </c>
      <c r="I5946" t="s">
        <v>30</v>
      </c>
      <c r="J5946" t="s">
        <v>41</v>
      </c>
      <c r="K5946" t="s">
        <v>59</v>
      </c>
      <c r="Q5946">
        <v>0</v>
      </c>
      <c r="R5946">
        <v>0</v>
      </c>
      <c r="S5946">
        <v>0</v>
      </c>
      <c r="T5946" t="s">
        <v>23339</v>
      </c>
    </row>
    <row r="5947" spans="1:20" customFormat="1" ht="15" x14ac:dyDescent="0.25">
      <c r="A5947" t="s">
        <v>35</v>
      </c>
      <c r="B5947" t="s">
        <v>61</v>
      </c>
      <c r="C5947" t="str">
        <f>"A0183480"</f>
        <v>A0183480</v>
      </c>
      <c r="D5947" t="s">
        <v>23340</v>
      </c>
      <c r="E5947" t="s">
        <v>22343</v>
      </c>
      <c r="F5947" t="s">
        <v>4112</v>
      </c>
      <c r="G5947" t="s">
        <v>71</v>
      </c>
      <c r="H5947" t="s">
        <v>23341</v>
      </c>
      <c r="I5947" t="s">
        <v>30</v>
      </c>
      <c r="J5947" t="s">
        <v>41</v>
      </c>
      <c r="K5947" t="s">
        <v>59</v>
      </c>
      <c r="Q5947">
        <v>0</v>
      </c>
      <c r="R5947">
        <v>157</v>
      </c>
      <c r="S5947">
        <v>157</v>
      </c>
      <c r="T5947" t="s">
        <v>20616</v>
      </c>
    </row>
    <row r="5948" spans="1:20" customFormat="1" ht="15" x14ac:dyDescent="0.25">
      <c r="A5948" t="s">
        <v>35</v>
      </c>
      <c r="B5948" t="s">
        <v>61</v>
      </c>
      <c r="C5948" t="str">
        <f>"A0183479"</f>
        <v>A0183479</v>
      </c>
      <c r="D5948" t="s">
        <v>23342</v>
      </c>
      <c r="E5948" t="s">
        <v>23343</v>
      </c>
      <c r="F5948" t="s">
        <v>20175</v>
      </c>
      <c r="G5948" t="s">
        <v>71</v>
      </c>
      <c r="H5948">
        <v>54017</v>
      </c>
      <c r="I5948" t="s">
        <v>30</v>
      </c>
      <c r="J5948" t="s">
        <v>41</v>
      </c>
      <c r="K5948" t="s">
        <v>59</v>
      </c>
      <c r="Q5948">
        <v>0</v>
      </c>
      <c r="R5948">
        <v>0</v>
      </c>
      <c r="S5948">
        <v>0</v>
      </c>
      <c r="T5948" t="s">
        <v>23344</v>
      </c>
    </row>
    <row r="5949" spans="1:20" customFormat="1" ht="15" x14ac:dyDescent="0.25">
      <c r="A5949" t="s">
        <v>35</v>
      </c>
      <c r="B5949" t="s">
        <v>61</v>
      </c>
      <c r="C5949" t="str">
        <f>"A0183478"</f>
        <v>A0183478</v>
      </c>
      <c r="D5949" t="s">
        <v>23345</v>
      </c>
      <c r="E5949" t="s">
        <v>23346</v>
      </c>
      <c r="F5949" t="s">
        <v>20667</v>
      </c>
      <c r="G5949" t="s">
        <v>81</v>
      </c>
      <c r="H5949" t="s">
        <v>23347</v>
      </c>
      <c r="I5949" t="s">
        <v>30</v>
      </c>
      <c r="J5949" t="s">
        <v>41</v>
      </c>
      <c r="K5949" t="s">
        <v>59</v>
      </c>
      <c r="Q5949">
        <v>0</v>
      </c>
      <c r="R5949">
        <v>376</v>
      </c>
      <c r="S5949">
        <v>376</v>
      </c>
      <c r="T5949" t="s">
        <v>23348</v>
      </c>
    </row>
    <row r="5950" spans="1:20" customFormat="1" ht="15" x14ac:dyDescent="0.25">
      <c r="A5950" t="s">
        <v>35</v>
      </c>
      <c r="B5950" t="s">
        <v>12660</v>
      </c>
      <c r="C5950" t="str">
        <f>"A0183477"</f>
        <v>A0183477</v>
      </c>
      <c r="D5950" t="s">
        <v>23349</v>
      </c>
      <c r="E5950" t="s">
        <v>23350</v>
      </c>
      <c r="F5950" t="s">
        <v>3555</v>
      </c>
      <c r="G5950" t="s">
        <v>81</v>
      </c>
      <c r="H5950">
        <v>323010620</v>
      </c>
      <c r="I5950" t="s">
        <v>30</v>
      </c>
      <c r="J5950" t="s">
        <v>41</v>
      </c>
      <c r="K5950" t="s">
        <v>59</v>
      </c>
      <c r="Q5950">
        <v>0</v>
      </c>
      <c r="R5950">
        <v>0</v>
      </c>
      <c r="S5950">
        <v>0</v>
      </c>
      <c r="T5950" t="s">
        <v>23351</v>
      </c>
    </row>
    <row r="5951" spans="1:20" customFormat="1" ht="15" x14ac:dyDescent="0.25">
      <c r="A5951" t="s">
        <v>35</v>
      </c>
      <c r="B5951" t="s">
        <v>61</v>
      </c>
      <c r="C5951" t="str">
        <f>"A0183476"</f>
        <v>A0183476</v>
      </c>
      <c r="D5951" t="s">
        <v>23352</v>
      </c>
      <c r="E5951" t="s">
        <v>23353</v>
      </c>
      <c r="F5951" t="s">
        <v>12931</v>
      </c>
      <c r="G5951" t="s">
        <v>81</v>
      </c>
      <c r="H5951" t="s">
        <v>23354</v>
      </c>
      <c r="I5951" t="s">
        <v>30</v>
      </c>
      <c r="J5951" t="s">
        <v>41</v>
      </c>
      <c r="K5951" t="s">
        <v>59</v>
      </c>
      <c r="Q5951">
        <v>0</v>
      </c>
      <c r="R5951">
        <v>101</v>
      </c>
      <c r="S5951">
        <v>101</v>
      </c>
      <c r="T5951" t="s">
        <v>23355</v>
      </c>
    </row>
    <row r="5952" spans="1:20" customFormat="1" ht="15" x14ac:dyDescent="0.25">
      <c r="A5952" t="s">
        <v>35</v>
      </c>
      <c r="B5952" t="s">
        <v>61</v>
      </c>
      <c r="C5952" t="str">
        <f>"A0183475"</f>
        <v>A0183475</v>
      </c>
      <c r="D5952" t="s">
        <v>23356</v>
      </c>
      <c r="E5952" t="s">
        <v>23357</v>
      </c>
      <c r="F5952" t="s">
        <v>23358</v>
      </c>
      <c r="G5952" t="s">
        <v>81</v>
      </c>
      <c r="H5952" t="s">
        <v>23359</v>
      </c>
      <c r="I5952" t="s">
        <v>30</v>
      </c>
      <c r="J5952" t="s">
        <v>41</v>
      </c>
      <c r="K5952" t="s">
        <v>59</v>
      </c>
      <c r="Q5952">
        <v>0</v>
      </c>
      <c r="R5952">
        <v>229</v>
      </c>
      <c r="S5952">
        <v>229</v>
      </c>
      <c r="T5952" t="s">
        <v>23360</v>
      </c>
    </row>
    <row r="5953" spans="1:20" customFormat="1" ht="15" x14ac:dyDescent="0.25">
      <c r="A5953" t="s">
        <v>35</v>
      </c>
      <c r="B5953" t="s">
        <v>61</v>
      </c>
      <c r="C5953" t="str">
        <f>"A0183474"</f>
        <v>A0183474</v>
      </c>
      <c r="D5953" t="s">
        <v>23361</v>
      </c>
      <c r="E5953" t="s">
        <v>23362</v>
      </c>
      <c r="F5953" t="s">
        <v>22701</v>
      </c>
      <c r="G5953" t="s">
        <v>81</v>
      </c>
      <c r="H5953">
        <v>320648248</v>
      </c>
      <c r="I5953" t="s">
        <v>30</v>
      </c>
      <c r="J5953" t="s">
        <v>41</v>
      </c>
      <c r="K5953" t="s">
        <v>59</v>
      </c>
      <c r="Q5953">
        <v>0</v>
      </c>
      <c r="R5953">
        <v>0</v>
      </c>
      <c r="S5953">
        <v>0</v>
      </c>
      <c r="T5953" t="s">
        <v>23363</v>
      </c>
    </row>
    <row r="5954" spans="1:20" customFormat="1" ht="15" x14ac:dyDescent="0.25">
      <c r="A5954" t="s">
        <v>35</v>
      </c>
      <c r="B5954" t="s">
        <v>61</v>
      </c>
      <c r="C5954" t="str">
        <f>"A0183473"</f>
        <v>A0183473</v>
      </c>
      <c r="D5954" t="s">
        <v>23364</v>
      </c>
      <c r="E5954" t="s">
        <v>22978</v>
      </c>
      <c r="F5954" t="s">
        <v>22613</v>
      </c>
      <c r="G5954" t="s">
        <v>81</v>
      </c>
      <c r="H5954" t="s">
        <v>22979</v>
      </c>
      <c r="I5954" t="s">
        <v>30</v>
      </c>
      <c r="J5954" t="s">
        <v>41</v>
      </c>
      <c r="K5954" t="s">
        <v>59</v>
      </c>
      <c r="Q5954">
        <v>0</v>
      </c>
      <c r="R5954">
        <v>0</v>
      </c>
      <c r="S5954">
        <v>0</v>
      </c>
      <c r="T5954" t="s">
        <v>22980</v>
      </c>
    </row>
    <row r="5955" spans="1:20" customFormat="1" ht="15" x14ac:dyDescent="0.25">
      <c r="A5955" t="s">
        <v>35</v>
      </c>
      <c r="B5955" t="s">
        <v>61</v>
      </c>
      <c r="C5955" t="str">
        <f>"A0183472"</f>
        <v>A0183472</v>
      </c>
      <c r="D5955" t="s">
        <v>23365</v>
      </c>
      <c r="E5955" t="s">
        <v>23366</v>
      </c>
      <c r="F5955" t="s">
        <v>12194</v>
      </c>
      <c r="G5955" t="s">
        <v>81</v>
      </c>
      <c r="H5955" t="s">
        <v>23367</v>
      </c>
      <c r="I5955" t="s">
        <v>30</v>
      </c>
      <c r="J5955" t="s">
        <v>41</v>
      </c>
      <c r="K5955" t="s">
        <v>59</v>
      </c>
      <c r="Q5955">
        <v>0</v>
      </c>
      <c r="R5955">
        <v>100</v>
      </c>
      <c r="S5955">
        <v>100</v>
      </c>
      <c r="T5955" t="s">
        <v>23368</v>
      </c>
    </row>
    <row r="5956" spans="1:20" customFormat="1" ht="15" x14ac:dyDescent="0.25">
      <c r="A5956" t="s">
        <v>35</v>
      </c>
      <c r="B5956" t="s">
        <v>61</v>
      </c>
      <c r="C5956" t="str">
        <f>"A0183471"</f>
        <v>A0183471</v>
      </c>
      <c r="D5956" t="s">
        <v>23369</v>
      </c>
      <c r="E5956" t="s">
        <v>23370</v>
      </c>
      <c r="F5956" t="s">
        <v>2774</v>
      </c>
      <c r="G5956" t="s">
        <v>81</v>
      </c>
      <c r="H5956" t="s">
        <v>23371</v>
      </c>
      <c r="I5956" t="s">
        <v>30</v>
      </c>
      <c r="J5956" t="s">
        <v>41</v>
      </c>
      <c r="K5956" t="s">
        <v>59</v>
      </c>
      <c r="Q5956">
        <v>0</v>
      </c>
      <c r="R5956">
        <v>124</v>
      </c>
      <c r="S5956">
        <v>124</v>
      </c>
      <c r="T5956" t="s">
        <v>23372</v>
      </c>
    </row>
    <row r="5957" spans="1:20" customFormat="1" ht="15" x14ac:dyDescent="0.25">
      <c r="A5957" t="s">
        <v>35</v>
      </c>
      <c r="B5957" t="s">
        <v>11871</v>
      </c>
      <c r="C5957" t="str">
        <f>"A0183470"</f>
        <v>A0183470</v>
      </c>
      <c r="D5957" t="s">
        <v>23373</v>
      </c>
      <c r="E5957" t="s">
        <v>23374</v>
      </c>
      <c r="F5957" t="s">
        <v>23375</v>
      </c>
      <c r="G5957" t="s">
        <v>52</v>
      </c>
      <c r="H5957" t="s">
        <v>23376</v>
      </c>
      <c r="I5957" t="s">
        <v>30</v>
      </c>
      <c r="J5957" t="s">
        <v>41</v>
      </c>
      <c r="K5957" t="s">
        <v>59</v>
      </c>
      <c r="Q5957">
        <v>0</v>
      </c>
      <c r="R5957">
        <v>0</v>
      </c>
      <c r="S5957">
        <v>0</v>
      </c>
      <c r="T5957" t="s">
        <v>23377</v>
      </c>
    </row>
    <row r="5958" spans="1:20" customFormat="1" ht="15" x14ac:dyDescent="0.25">
      <c r="A5958" t="s">
        <v>35</v>
      </c>
      <c r="B5958" t="s">
        <v>11871</v>
      </c>
      <c r="C5958" t="str">
        <f>"A0183469"</f>
        <v>A0183469</v>
      </c>
      <c r="D5958" t="s">
        <v>23378</v>
      </c>
      <c r="E5958" t="s">
        <v>23379</v>
      </c>
      <c r="F5958" t="s">
        <v>5257</v>
      </c>
      <c r="G5958" t="s">
        <v>52</v>
      </c>
      <c r="H5958" t="s">
        <v>23380</v>
      </c>
      <c r="I5958" t="s">
        <v>30</v>
      </c>
      <c r="J5958" t="s">
        <v>41</v>
      </c>
      <c r="K5958" t="s">
        <v>59</v>
      </c>
      <c r="Q5958">
        <v>0</v>
      </c>
      <c r="R5958">
        <v>0</v>
      </c>
      <c r="S5958">
        <v>0</v>
      </c>
    </row>
    <row r="5959" spans="1:20" customFormat="1" ht="15" x14ac:dyDescent="0.25">
      <c r="A5959" t="s">
        <v>35</v>
      </c>
      <c r="B5959" t="s">
        <v>61</v>
      </c>
      <c r="C5959" t="str">
        <f>"A0183468"</f>
        <v>A0183468</v>
      </c>
      <c r="D5959" t="s">
        <v>23381</v>
      </c>
      <c r="E5959" t="s">
        <v>23382</v>
      </c>
      <c r="F5959" t="s">
        <v>5240</v>
      </c>
      <c r="G5959" t="s">
        <v>52</v>
      </c>
      <c r="H5959">
        <v>782012560</v>
      </c>
      <c r="I5959" t="s">
        <v>30</v>
      </c>
      <c r="J5959" t="s">
        <v>41</v>
      </c>
      <c r="K5959" t="s">
        <v>59</v>
      </c>
      <c r="Q5959">
        <v>0</v>
      </c>
      <c r="R5959">
        <v>0</v>
      </c>
      <c r="S5959">
        <v>0</v>
      </c>
      <c r="T5959" t="s">
        <v>23383</v>
      </c>
    </row>
    <row r="5960" spans="1:20" customFormat="1" ht="15" x14ac:dyDescent="0.25">
      <c r="A5960" t="s">
        <v>35</v>
      </c>
      <c r="B5960" t="s">
        <v>61</v>
      </c>
      <c r="C5960" t="str">
        <f>"A0183467"</f>
        <v>A0183467</v>
      </c>
      <c r="D5960" t="s">
        <v>23384</v>
      </c>
      <c r="E5960" t="s">
        <v>23385</v>
      </c>
      <c r="F5960" t="s">
        <v>23386</v>
      </c>
      <c r="G5960" t="s">
        <v>52</v>
      </c>
      <c r="H5960" t="s">
        <v>23387</v>
      </c>
      <c r="I5960" t="s">
        <v>30</v>
      </c>
      <c r="J5960" t="s">
        <v>41</v>
      </c>
      <c r="K5960" t="s">
        <v>59</v>
      </c>
      <c r="Q5960">
        <v>0</v>
      </c>
      <c r="R5960">
        <v>114</v>
      </c>
      <c r="S5960">
        <v>114</v>
      </c>
      <c r="T5960" t="s">
        <v>23388</v>
      </c>
    </row>
    <row r="5961" spans="1:20" customFormat="1" ht="15" x14ac:dyDescent="0.25">
      <c r="A5961" t="s">
        <v>35</v>
      </c>
      <c r="B5961" t="s">
        <v>61</v>
      </c>
      <c r="C5961" t="str">
        <f>"A0183466"</f>
        <v>A0183466</v>
      </c>
      <c r="D5961" t="s">
        <v>23389</v>
      </c>
      <c r="E5961" t="s">
        <v>23390</v>
      </c>
      <c r="F5961" t="s">
        <v>3339</v>
      </c>
      <c r="G5961" t="s">
        <v>71</v>
      </c>
      <c r="H5961">
        <v>530983015</v>
      </c>
      <c r="I5961" t="s">
        <v>30</v>
      </c>
      <c r="J5961" t="s">
        <v>41</v>
      </c>
      <c r="K5961" t="s">
        <v>59</v>
      </c>
      <c r="Q5961">
        <v>0</v>
      </c>
      <c r="R5961">
        <v>188</v>
      </c>
      <c r="S5961">
        <v>188</v>
      </c>
      <c r="T5961" t="s">
        <v>23391</v>
      </c>
    </row>
    <row r="5962" spans="1:20" customFormat="1" ht="15" x14ac:dyDescent="0.25">
      <c r="A5962" t="s">
        <v>35</v>
      </c>
      <c r="B5962" t="s">
        <v>61</v>
      </c>
      <c r="C5962" t="str">
        <f>"A0183465"</f>
        <v>A0183465</v>
      </c>
      <c r="D5962" t="s">
        <v>23392</v>
      </c>
      <c r="E5962" t="s">
        <v>7618</v>
      </c>
      <c r="F5962" t="s">
        <v>7619</v>
      </c>
      <c r="G5962" t="s">
        <v>71</v>
      </c>
      <c r="H5962" t="s">
        <v>7620</v>
      </c>
      <c r="I5962" t="s">
        <v>30</v>
      </c>
      <c r="J5962" t="s">
        <v>41</v>
      </c>
      <c r="K5962" t="s">
        <v>59</v>
      </c>
      <c r="Q5962">
        <v>0</v>
      </c>
      <c r="R5962">
        <v>243</v>
      </c>
      <c r="S5962">
        <v>243</v>
      </c>
      <c r="T5962" t="s">
        <v>22964</v>
      </c>
    </row>
    <row r="5963" spans="1:20" customFormat="1" ht="15" x14ac:dyDescent="0.25">
      <c r="A5963" t="s">
        <v>35</v>
      </c>
      <c r="B5963" t="s">
        <v>61</v>
      </c>
      <c r="C5963" t="str">
        <f>"A0183464"</f>
        <v>A0183464</v>
      </c>
      <c r="D5963" t="s">
        <v>23393</v>
      </c>
      <c r="E5963" t="s">
        <v>20620</v>
      </c>
      <c r="F5963" t="s">
        <v>20621</v>
      </c>
      <c r="G5963" t="s">
        <v>103</v>
      </c>
      <c r="H5963" t="s">
        <v>20622</v>
      </c>
      <c r="I5963" t="s">
        <v>30</v>
      </c>
      <c r="J5963" t="s">
        <v>41</v>
      </c>
      <c r="K5963" t="s">
        <v>59</v>
      </c>
      <c r="Q5963">
        <v>0</v>
      </c>
      <c r="R5963">
        <v>0</v>
      </c>
      <c r="S5963">
        <v>0</v>
      </c>
      <c r="T5963" t="s">
        <v>23394</v>
      </c>
    </row>
    <row r="5964" spans="1:20" customFormat="1" ht="15" x14ac:dyDescent="0.25">
      <c r="A5964" t="s">
        <v>35</v>
      </c>
      <c r="B5964" t="s">
        <v>11717</v>
      </c>
      <c r="C5964" t="str">
        <f>"A0183463"</f>
        <v>A0183463</v>
      </c>
      <c r="D5964" t="s">
        <v>23395</v>
      </c>
      <c r="E5964" t="s">
        <v>23396</v>
      </c>
      <c r="F5964" t="s">
        <v>18901</v>
      </c>
      <c r="G5964" t="s">
        <v>103</v>
      </c>
      <c r="H5964">
        <v>17019</v>
      </c>
      <c r="I5964" t="s">
        <v>30</v>
      </c>
      <c r="J5964" t="s">
        <v>41</v>
      </c>
      <c r="K5964" t="s">
        <v>59</v>
      </c>
      <c r="Q5964">
        <v>0</v>
      </c>
      <c r="R5964">
        <v>0</v>
      </c>
      <c r="S5964">
        <v>0</v>
      </c>
    </row>
    <row r="5965" spans="1:20" customFormat="1" ht="15" x14ac:dyDescent="0.25">
      <c r="A5965" t="s">
        <v>35</v>
      </c>
      <c r="B5965" t="s">
        <v>11717</v>
      </c>
      <c r="C5965" t="str">
        <f>"A0183462"</f>
        <v>A0183462</v>
      </c>
      <c r="D5965" t="s">
        <v>23397</v>
      </c>
      <c r="E5965" t="s">
        <v>23398</v>
      </c>
      <c r="F5965" t="s">
        <v>9211</v>
      </c>
      <c r="G5965" t="s">
        <v>103</v>
      </c>
      <c r="H5965">
        <v>18017</v>
      </c>
      <c r="I5965" t="s">
        <v>30</v>
      </c>
      <c r="J5965" t="s">
        <v>41</v>
      </c>
      <c r="K5965" t="s">
        <v>59</v>
      </c>
      <c r="Q5965">
        <v>0</v>
      </c>
      <c r="R5965">
        <v>60</v>
      </c>
      <c r="S5965">
        <v>60</v>
      </c>
      <c r="T5965" t="s">
        <v>23399</v>
      </c>
    </row>
    <row r="5966" spans="1:20" customFormat="1" ht="15" x14ac:dyDescent="0.25">
      <c r="A5966" t="s">
        <v>35</v>
      </c>
      <c r="B5966" t="s">
        <v>61</v>
      </c>
      <c r="C5966" t="str">
        <f>"A0183461"</f>
        <v>A0183461</v>
      </c>
      <c r="D5966" t="s">
        <v>23400</v>
      </c>
      <c r="E5966" t="s">
        <v>7618</v>
      </c>
      <c r="F5966" t="s">
        <v>7619</v>
      </c>
      <c r="G5966" t="s">
        <v>71</v>
      </c>
      <c r="H5966" t="s">
        <v>7620</v>
      </c>
      <c r="I5966" t="s">
        <v>30</v>
      </c>
      <c r="J5966" t="s">
        <v>41</v>
      </c>
      <c r="K5966" t="s">
        <v>59</v>
      </c>
      <c r="Q5966">
        <v>0</v>
      </c>
      <c r="R5966">
        <v>0</v>
      </c>
      <c r="S5966">
        <v>0</v>
      </c>
    </row>
    <row r="5967" spans="1:20" customFormat="1" ht="15" x14ac:dyDescent="0.25">
      <c r="A5967" t="s">
        <v>35</v>
      </c>
      <c r="B5967" t="s">
        <v>61</v>
      </c>
      <c r="C5967" t="str">
        <f>"A0183459"</f>
        <v>A0183459</v>
      </c>
      <c r="D5967" t="s">
        <v>23401</v>
      </c>
      <c r="E5967" t="s">
        <v>23402</v>
      </c>
      <c r="F5967" t="s">
        <v>23403</v>
      </c>
      <c r="G5967" t="s">
        <v>71</v>
      </c>
      <c r="H5967" t="s">
        <v>23404</v>
      </c>
      <c r="I5967" t="s">
        <v>30</v>
      </c>
      <c r="J5967" t="s">
        <v>41</v>
      </c>
      <c r="K5967" t="s">
        <v>59</v>
      </c>
      <c r="Q5967">
        <v>0</v>
      </c>
      <c r="R5967">
        <v>0</v>
      </c>
      <c r="S5967">
        <v>0</v>
      </c>
      <c r="T5967" t="s">
        <v>23405</v>
      </c>
    </row>
    <row r="5968" spans="1:20" customFormat="1" ht="15" x14ac:dyDescent="0.25">
      <c r="A5968" t="s">
        <v>35</v>
      </c>
      <c r="B5968" t="s">
        <v>61</v>
      </c>
      <c r="C5968" t="str">
        <f>"A0183458"</f>
        <v>A0183458</v>
      </c>
      <c r="D5968" t="s">
        <v>23406</v>
      </c>
      <c r="E5968" t="s">
        <v>23407</v>
      </c>
      <c r="F5968" t="s">
        <v>4645</v>
      </c>
      <c r="G5968" t="s">
        <v>81</v>
      </c>
      <c r="H5968" t="s">
        <v>23408</v>
      </c>
      <c r="I5968" t="s">
        <v>30</v>
      </c>
      <c r="J5968" t="s">
        <v>41</v>
      </c>
      <c r="K5968" t="s">
        <v>59</v>
      </c>
      <c r="Q5968">
        <v>0</v>
      </c>
      <c r="R5968">
        <v>120</v>
      </c>
      <c r="S5968">
        <v>120</v>
      </c>
      <c r="T5968" t="s">
        <v>23409</v>
      </c>
    </row>
    <row r="5969" spans="1:20" customFormat="1" ht="15" x14ac:dyDescent="0.25">
      <c r="A5969" t="s">
        <v>35</v>
      </c>
      <c r="B5969" t="s">
        <v>61</v>
      </c>
      <c r="C5969" t="str">
        <f>"A0183457"</f>
        <v>A0183457</v>
      </c>
      <c r="D5969" t="s">
        <v>23410</v>
      </c>
      <c r="E5969" t="s">
        <v>23411</v>
      </c>
      <c r="F5969" t="s">
        <v>23412</v>
      </c>
      <c r="G5969" t="s">
        <v>81</v>
      </c>
      <c r="H5969" t="s">
        <v>23413</v>
      </c>
      <c r="I5969" t="s">
        <v>30</v>
      </c>
      <c r="J5969" t="s">
        <v>41</v>
      </c>
      <c r="K5969" t="s">
        <v>59</v>
      </c>
      <c r="Q5969">
        <v>0</v>
      </c>
      <c r="R5969">
        <v>0</v>
      </c>
      <c r="S5969">
        <v>0</v>
      </c>
      <c r="T5969" t="s">
        <v>23414</v>
      </c>
    </row>
    <row r="5970" spans="1:20" customFormat="1" ht="15" x14ac:dyDescent="0.25">
      <c r="A5970" t="s">
        <v>35</v>
      </c>
      <c r="B5970" t="s">
        <v>61</v>
      </c>
      <c r="C5970" t="str">
        <f>"A0183456"</f>
        <v>A0183456</v>
      </c>
      <c r="D5970" t="s">
        <v>23415</v>
      </c>
      <c r="E5970" t="s">
        <v>23416</v>
      </c>
      <c r="F5970" t="s">
        <v>4645</v>
      </c>
      <c r="G5970" t="s">
        <v>81</v>
      </c>
      <c r="H5970" t="s">
        <v>23417</v>
      </c>
      <c r="I5970" t="s">
        <v>30</v>
      </c>
      <c r="J5970" t="s">
        <v>41</v>
      </c>
      <c r="K5970" t="s">
        <v>59</v>
      </c>
      <c r="Q5970">
        <v>0</v>
      </c>
      <c r="R5970">
        <v>0</v>
      </c>
      <c r="S5970">
        <v>0</v>
      </c>
      <c r="T5970" t="s">
        <v>23418</v>
      </c>
    </row>
    <row r="5971" spans="1:20" customFormat="1" ht="15" x14ac:dyDescent="0.25">
      <c r="A5971" t="s">
        <v>35</v>
      </c>
      <c r="B5971" t="s">
        <v>61</v>
      </c>
      <c r="C5971" t="str">
        <f>"A0183455"</f>
        <v>A0183455</v>
      </c>
      <c r="D5971" t="s">
        <v>23419</v>
      </c>
      <c r="E5971" t="s">
        <v>23420</v>
      </c>
      <c r="F5971" t="s">
        <v>14800</v>
      </c>
      <c r="G5971" t="s">
        <v>65</v>
      </c>
      <c r="H5971">
        <v>441123413</v>
      </c>
      <c r="I5971" t="s">
        <v>30</v>
      </c>
      <c r="J5971" t="s">
        <v>41</v>
      </c>
      <c r="K5971" t="s">
        <v>59</v>
      </c>
      <c r="Q5971">
        <v>0</v>
      </c>
      <c r="R5971">
        <v>172</v>
      </c>
      <c r="S5971">
        <v>172</v>
      </c>
      <c r="T5971" t="s">
        <v>23421</v>
      </c>
    </row>
    <row r="5972" spans="1:20" customFormat="1" ht="15" x14ac:dyDescent="0.25">
      <c r="A5972" t="s">
        <v>35</v>
      </c>
      <c r="B5972" t="s">
        <v>61</v>
      </c>
      <c r="C5972" t="str">
        <f>"A0183454"</f>
        <v>A0183454</v>
      </c>
      <c r="D5972" t="s">
        <v>23422</v>
      </c>
      <c r="E5972" t="s">
        <v>23423</v>
      </c>
      <c r="F5972" t="s">
        <v>1755</v>
      </c>
      <c r="G5972" t="s">
        <v>65</v>
      </c>
      <c r="H5972">
        <v>45504</v>
      </c>
      <c r="I5972" t="s">
        <v>30</v>
      </c>
      <c r="J5972" t="s">
        <v>41</v>
      </c>
      <c r="K5972" t="s">
        <v>59</v>
      </c>
      <c r="Q5972">
        <v>0</v>
      </c>
      <c r="R5972">
        <v>0</v>
      </c>
      <c r="S5972">
        <v>0</v>
      </c>
    </row>
    <row r="5973" spans="1:20" customFormat="1" ht="15" x14ac:dyDescent="0.25">
      <c r="A5973" t="s">
        <v>35</v>
      </c>
      <c r="B5973" t="s">
        <v>61</v>
      </c>
      <c r="C5973" t="str">
        <f>"A0183453"</f>
        <v>A0183453</v>
      </c>
      <c r="D5973" t="s">
        <v>23424</v>
      </c>
      <c r="E5973" t="s">
        <v>23425</v>
      </c>
      <c r="F5973" t="s">
        <v>23426</v>
      </c>
      <c r="G5973" t="s">
        <v>71</v>
      </c>
      <c r="H5973">
        <v>530121707</v>
      </c>
      <c r="I5973" t="s">
        <v>30</v>
      </c>
      <c r="J5973" t="s">
        <v>41</v>
      </c>
      <c r="K5973" t="s">
        <v>59</v>
      </c>
      <c r="Q5973">
        <v>0</v>
      </c>
      <c r="R5973">
        <v>256</v>
      </c>
      <c r="S5973">
        <v>256</v>
      </c>
      <c r="T5973" t="s">
        <v>23427</v>
      </c>
    </row>
    <row r="5974" spans="1:20" customFormat="1" ht="15" x14ac:dyDescent="0.25">
      <c r="A5974" t="s">
        <v>35</v>
      </c>
      <c r="B5974" t="s">
        <v>61</v>
      </c>
      <c r="C5974" t="str">
        <f>"A0183452"</f>
        <v>A0183452</v>
      </c>
      <c r="D5974" t="s">
        <v>23428</v>
      </c>
      <c r="E5974" t="s">
        <v>23429</v>
      </c>
      <c r="F5974" t="s">
        <v>23426</v>
      </c>
      <c r="G5974" t="s">
        <v>71</v>
      </c>
      <c r="H5974">
        <v>53012</v>
      </c>
      <c r="I5974" t="s">
        <v>30</v>
      </c>
      <c r="J5974" t="s">
        <v>41</v>
      </c>
      <c r="K5974" t="s">
        <v>59</v>
      </c>
      <c r="Q5974">
        <v>0</v>
      </c>
      <c r="R5974">
        <v>0</v>
      </c>
      <c r="S5974">
        <v>0</v>
      </c>
      <c r="T5974" t="s">
        <v>23430</v>
      </c>
    </row>
    <row r="5975" spans="1:20" customFormat="1" ht="15" x14ac:dyDescent="0.25">
      <c r="A5975" t="s">
        <v>35</v>
      </c>
      <c r="B5975" t="s">
        <v>61</v>
      </c>
      <c r="C5975" t="str">
        <f>"A0183451"</f>
        <v>A0183451</v>
      </c>
      <c r="D5975" t="s">
        <v>23431</v>
      </c>
      <c r="E5975" t="s">
        <v>23432</v>
      </c>
      <c r="F5975" t="s">
        <v>23433</v>
      </c>
      <c r="G5975" t="s">
        <v>71</v>
      </c>
      <c r="H5975" t="s">
        <v>23434</v>
      </c>
      <c r="I5975" t="s">
        <v>30</v>
      </c>
      <c r="J5975" t="s">
        <v>41</v>
      </c>
      <c r="K5975" t="s">
        <v>59</v>
      </c>
      <c r="Q5975">
        <v>0</v>
      </c>
      <c r="R5975">
        <v>0</v>
      </c>
      <c r="S5975">
        <v>0</v>
      </c>
      <c r="T5975" t="s">
        <v>23435</v>
      </c>
    </row>
    <row r="5976" spans="1:20" customFormat="1" ht="15" x14ac:dyDescent="0.25">
      <c r="A5976" t="s">
        <v>35</v>
      </c>
      <c r="B5976" t="s">
        <v>61</v>
      </c>
      <c r="C5976" t="str">
        <f>"A0183450"</f>
        <v>A0183450</v>
      </c>
      <c r="D5976" t="s">
        <v>23436</v>
      </c>
      <c r="E5976" t="s">
        <v>23437</v>
      </c>
      <c r="F5976" t="s">
        <v>938</v>
      </c>
      <c r="G5976" t="s">
        <v>71</v>
      </c>
      <c r="H5976" t="s">
        <v>23438</v>
      </c>
      <c r="I5976" t="s">
        <v>30</v>
      </c>
      <c r="J5976" t="s">
        <v>41</v>
      </c>
      <c r="K5976" t="s">
        <v>59</v>
      </c>
      <c r="Q5976">
        <v>0</v>
      </c>
      <c r="R5976">
        <v>0</v>
      </c>
      <c r="S5976">
        <v>0</v>
      </c>
      <c r="T5976" t="s">
        <v>23439</v>
      </c>
    </row>
    <row r="5977" spans="1:20" customFormat="1" ht="15" x14ac:dyDescent="0.25">
      <c r="A5977" t="s">
        <v>35</v>
      </c>
      <c r="B5977" t="s">
        <v>61</v>
      </c>
      <c r="C5977" t="str">
        <f>"A0183449"</f>
        <v>A0183449</v>
      </c>
      <c r="D5977" t="s">
        <v>23440</v>
      </c>
      <c r="E5977" t="s">
        <v>23441</v>
      </c>
      <c r="F5977" t="s">
        <v>12238</v>
      </c>
      <c r="G5977" t="s">
        <v>71</v>
      </c>
      <c r="H5977" t="s">
        <v>23442</v>
      </c>
      <c r="I5977" t="s">
        <v>30</v>
      </c>
      <c r="J5977" t="s">
        <v>41</v>
      </c>
      <c r="K5977" t="s">
        <v>59</v>
      </c>
      <c r="Q5977">
        <v>0</v>
      </c>
      <c r="R5977">
        <v>0</v>
      </c>
      <c r="S5977">
        <v>0</v>
      </c>
    </row>
    <row r="5978" spans="1:20" customFormat="1" ht="15" x14ac:dyDescent="0.25">
      <c r="A5978" t="s">
        <v>35</v>
      </c>
      <c r="B5978" t="s">
        <v>11871</v>
      </c>
      <c r="C5978" t="str">
        <f>"A0183448"</f>
        <v>A0183448</v>
      </c>
      <c r="D5978" t="s">
        <v>23443</v>
      </c>
      <c r="E5978" t="s">
        <v>23444</v>
      </c>
      <c r="F5978" t="s">
        <v>19113</v>
      </c>
      <c r="G5978" t="s">
        <v>65</v>
      </c>
      <c r="H5978">
        <v>450428158</v>
      </c>
      <c r="I5978" t="s">
        <v>30</v>
      </c>
      <c r="J5978" t="s">
        <v>41</v>
      </c>
      <c r="K5978" t="s">
        <v>59</v>
      </c>
      <c r="Q5978">
        <v>0</v>
      </c>
      <c r="R5978">
        <v>0</v>
      </c>
      <c r="S5978">
        <v>0</v>
      </c>
      <c r="T5978" t="s">
        <v>23445</v>
      </c>
    </row>
    <row r="5979" spans="1:20" customFormat="1" ht="15" x14ac:dyDescent="0.25">
      <c r="A5979" t="s">
        <v>35</v>
      </c>
      <c r="B5979" t="s">
        <v>61</v>
      </c>
      <c r="C5979" t="str">
        <f>"A0183447"</f>
        <v>A0183447</v>
      </c>
      <c r="D5979" t="s">
        <v>23446</v>
      </c>
      <c r="E5979" t="s">
        <v>23432</v>
      </c>
      <c r="F5979" t="s">
        <v>23433</v>
      </c>
      <c r="G5979" t="s">
        <v>71</v>
      </c>
      <c r="H5979" t="s">
        <v>23434</v>
      </c>
      <c r="I5979" t="s">
        <v>30</v>
      </c>
      <c r="J5979" t="s">
        <v>41</v>
      </c>
      <c r="K5979" t="s">
        <v>59</v>
      </c>
      <c r="Q5979">
        <v>0</v>
      </c>
      <c r="R5979">
        <v>0</v>
      </c>
      <c r="S5979">
        <v>0</v>
      </c>
      <c r="T5979" t="s">
        <v>23435</v>
      </c>
    </row>
    <row r="5980" spans="1:20" customFormat="1" ht="15" x14ac:dyDescent="0.25">
      <c r="A5980" t="s">
        <v>35</v>
      </c>
      <c r="B5980" t="s">
        <v>61</v>
      </c>
      <c r="C5980" t="str">
        <f>"A0183446"</f>
        <v>A0183446</v>
      </c>
      <c r="D5980" t="s">
        <v>23447</v>
      </c>
      <c r="E5980" t="s">
        <v>23448</v>
      </c>
      <c r="F5980" t="s">
        <v>23449</v>
      </c>
      <c r="G5980" t="s">
        <v>71</v>
      </c>
      <c r="H5980">
        <v>53965</v>
      </c>
      <c r="I5980" t="s">
        <v>30</v>
      </c>
      <c r="J5980" t="s">
        <v>41</v>
      </c>
      <c r="K5980" t="s">
        <v>59</v>
      </c>
      <c r="Q5980">
        <v>0</v>
      </c>
      <c r="R5980">
        <v>0</v>
      </c>
      <c r="S5980">
        <v>0</v>
      </c>
    </row>
    <row r="5981" spans="1:20" customFormat="1" ht="15" x14ac:dyDescent="0.25">
      <c r="A5981" t="s">
        <v>35</v>
      </c>
      <c r="B5981" t="s">
        <v>61</v>
      </c>
      <c r="C5981" t="str">
        <f>"A0183445"</f>
        <v>A0183445</v>
      </c>
      <c r="D5981" t="s">
        <v>23450</v>
      </c>
      <c r="E5981" t="s">
        <v>23451</v>
      </c>
      <c r="F5981" t="s">
        <v>23452</v>
      </c>
      <c r="G5981" t="s">
        <v>71</v>
      </c>
      <c r="H5981" t="s">
        <v>23453</v>
      </c>
      <c r="I5981" t="s">
        <v>30</v>
      </c>
      <c r="J5981" t="s">
        <v>41</v>
      </c>
      <c r="K5981" t="s">
        <v>59</v>
      </c>
      <c r="Q5981">
        <v>0</v>
      </c>
      <c r="R5981">
        <v>0</v>
      </c>
      <c r="S5981">
        <v>0</v>
      </c>
      <c r="T5981" t="s">
        <v>23057</v>
      </c>
    </row>
    <row r="5982" spans="1:20" customFormat="1" ht="15" x14ac:dyDescent="0.25">
      <c r="A5982" t="s">
        <v>35</v>
      </c>
      <c r="B5982" t="s">
        <v>61</v>
      </c>
      <c r="C5982" t="str">
        <f>"A0183444"</f>
        <v>A0183444</v>
      </c>
      <c r="D5982" t="s">
        <v>23454</v>
      </c>
      <c r="E5982" t="s">
        <v>23455</v>
      </c>
      <c r="F5982" t="s">
        <v>23456</v>
      </c>
      <c r="G5982" t="s">
        <v>103</v>
      </c>
      <c r="H5982" t="s">
        <v>23457</v>
      </c>
      <c r="I5982" t="s">
        <v>30</v>
      </c>
      <c r="J5982" t="s">
        <v>41</v>
      </c>
      <c r="K5982" t="s">
        <v>59</v>
      </c>
      <c r="Q5982">
        <v>0</v>
      </c>
      <c r="R5982">
        <v>66</v>
      </c>
      <c r="S5982">
        <v>66</v>
      </c>
      <c r="T5982" t="s">
        <v>23458</v>
      </c>
    </row>
    <row r="5983" spans="1:20" customFormat="1" ht="15" x14ac:dyDescent="0.25">
      <c r="A5983" t="s">
        <v>35</v>
      </c>
      <c r="B5983" t="s">
        <v>61</v>
      </c>
      <c r="C5983" t="str">
        <f>"A0183443"</f>
        <v>A0183443</v>
      </c>
      <c r="D5983" t="s">
        <v>23459</v>
      </c>
      <c r="E5983" t="s">
        <v>23460</v>
      </c>
      <c r="F5983" t="s">
        <v>23461</v>
      </c>
      <c r="G5983" t="s">
        <v>103</v>
      </c>
      <c r="H5983" t="s">
        <v>23462</v>
      </c>
      <c r="I5983" t="s">
        <v>30</v>
      </c>
      <c r="J5983" t="s">
        <v>41</v>
      </c>
      <c r="K5983" t="s">
        <v>59</v>
      </c>
      <c r="Q5983">
        <v>0</v>
      </c>
      <c r="R5983">
        <v>0</v>
      </c>
      <c r="S5983">
        <v>0</v>
      </c>
      <c r="T5983" t="s">
        <v>23463</v>
      </c>
    </row>
    <row r="5984" spans="1:20" customFormat="1" ht="15" x14ac:dyDescent="0.25">
      <c r="A5984" t="s">
        <v>35</v>
      </c>
      <c r="B5984" t="s">
        <v>20582</v>
      </c>
      <c r="C5984" t="str">
        <f>"A0183442"</f>
        <v>A0183442</v>
      </c>
      <c r="D5984" t="s">
        <v>23464</v>
      </c>
      <c r="E5984" t="s">
        <v>23465</v>
      </c>
      <c r="F5984" t="s">
        <v>3478</v>
      </c>
      <c r="G5984" t="s">
        <v>65</v>
      </c>
      <c r="H5984">
        <v>454142527</v>
      </c>
      <c r="I5984" t="s">
        <v>30</v>
      </c>
      <c r="J5984" t="s">
        <v>41</v>
      </c>
      <c r="K5984" t="s">
        <v>59</v>
      </c>
      <c r="Q5984">
        <v>0</v>
      </c>
      <c r="R5984">
        <v>0</v>
      </c>
      <c r="S5984">
        <v>0</v>
      </c>
      <c r="T5984" t="s">
        <v>23466</v>
      </c>
    </row>
    <row r="5985" spans="1:20" customFormat="1" ht="15" x14ac:dyDescent="0.25">
      <c r="A5985" t="s">
        <v>35</v>
      </c>
      <c r="B5985" t="s">
        <v>11871</v>
      </c>
      <c r="C5985" t="str">
        <f>"A0183441"</f>
        <v>A0183441</v>
      </c>
      <c r="D5985" t="s">
        <v>23467</v>
      </c>
      <c r="E5985" t="s">
        <v>23468</v>
      </c>
      <c r="F5985" t="s">
        <v>12412</v>
      </c>
      <c r="G5985" t="s">
        <v>65</v>
      </c>
      <c r="H5985">
        <v>437017604</v>
      </c>
      <c r="I5985" t="s">
        <v>30</v>
      </c>
      <c r="J5985" t="s">
        <v>41</v>
      </c>
      <c r="K5985" t="s">
        <v>59</v>
      </c>
      <c r="Q5985">
        <v>0</v>
      </c>
      <c r="R5985">
        <v>0</v>
      </c>
      <c r="S5985">
        <v>0</v>
      </c>
      <c r="T5985" t="s">
        <v>23469</v>
      </c>
    </row>
    <row r="5986" spans="1:20" customFormat="1" ht="15" x14ac:dyDescent="0.25">
      <c r="A5986" t="s">
        <v>35</v>
      </c>
      <c r="B5986" t="s">
        <v>11871</v>
      </c>
      <c r="C5986" t="str">
        <f>"A0183440"</f>
        <v>A0183440</v>
      </c>
      <c r="D5986" t="s">
        <v>23470</v>
      </c>
      <c r="E5986" t="s">
        <v>23471</v>
      </c>
      <c r="F5986" t="s">
        <v>64</v>
      </c>
      <c r="G5986" t="s">
        <v>65</v>
      </c>
      <c r="H5986">
        <v>432293275</v>
      </c>
      <c r="I5986" t="s">
        <v>30</v>
      </c>
      <c r="J5986" t="s">
        <v>41</v>
      </c>
      <c r="K5986" t="s">
        <v>59</v>
      </c>
      <c r="Q5986">
        <v>0</v>
      </c>
      <c r="R5986">
        <v>0</v>
      </c>
      <c r="S5986">
        <v>0</v>
      </c>
      <c r="T5986" t="s">
        <v>23472</v>
      </c>
    </row>
    <row r="5987" spans="1:20" customFormat="1" ht="15" x14ac:dyDescent="0.25">
      <c r="A5987" t="s">
        <v>35</v>
      </c>
      <c r="B5987" t="s">
        <v>61</v>
      </c>
      <c r="C5987" t="str">
        <f>"A0183439"</f>
        <v>A0183439</v>
      </c>
      <c r="D5987" t="s">
        <v>23473</v>
      </c>
      <c r="E5987" t="s">
        <v>23474</v>
      </c>
      <c r="F5987" t="s">
        <v>853</v>
      </c>
      <c r="G5987" t="s">
        <v>52</v>
      </c>
      <c r="H5987" t="s">
        <v>23475</v>
      </c>
      <c r="I5987" t="s">
        <v>30</v>
      </c>
      <c r="J5987" t="s">
        <v>41</v>
      </c>
      <c r="K5987" t="s">
        <v>59</v>
      </c>
      <c r="Q5987">
        <v>0</v>
      </c>
      <c r="R5987">
        <v>0</v>
      </c>
      <c r="S5987">
        <v>0</v>
      </c>
      <c r="T5987" t="s">
        <v>23476</v>
      </c>
    </row>
    <row r="5988" spans="1:20" customFormat="1" ht="15" x14ac:dyDescent="0.25">
      <c r="A5988" t="s">
        <v>35</v>
      </c>
      <c r="B5988" t="s">
        <v>11871</v>
      </c>
      <c r="C5988" t="str">
        <f>"A0183438"</f>
        <v>A0183438</v>
      </c>
      <c r="D5988" t="s">
        <v>23477</v>
      </c>
      <c r="E5988" t="s">
        <v>23478</v>
      </c>
      <c r="F5988" t="s">
        <v>9907</v>
      </c>
      <c r="G5988" t="s">
        <v>52</v>
      </c>
      <c r="H5988">
        <v>75041</v>
      </c>
      <c r="I5988" t="s">
        <v>30</v>
      </c>
      <c r="J5988" t="s">
        <v>41</v>
      </c>
      <c r="K5988" t="s">
        <v>59</v>
      </c>
      <c r="Q5988">
        <v>0</v>
      </c>
      <c r="R5988">
        <v>0</v>
      </c>
      <c r="S5988">
        <v>0</v>
      </c>
      <c r="T5988" t="s">
        <v>23479</v>
      </c>
    </row>
    <row r="5989" spans="1:20" customFormat="1" ht="15" x14ac:dyDescent="0.25">
      <c r="A5989" t="s">
        <v>35</v>
      </c>
      <c r="B5989" t="s">
        <v>11871</v>
      </c>
      <c r="C5989" t="str">
        <f>"A0183437"</f>
        <v>A0183437</v>
      </c>
      <c r="D5989" t="s">
        <v>23480</v>
      </c>
      <c r="E5989" t="s">
        <v>23481</v>
      </c>
      <c r="F5989" t="s">
        <v>1427</v>
      </c>
      <c r="G5989" t="s">
        <v>52</v>
      </c>
      <c r="H5989" t="s">
        <v>23482</v>
      </c>
      <c r="I5989" t="s">
        <v>30</v>
      </c>
      <c r="J5989" t="s">
        <v>41</v>
      </c>
      <c r="K5989" t="s">
        <v>59</v>
      </c>
      <c r="Q5989">
        <v>0</v>
      </c>
      <c r="R5989">
        <v>0</v>
      </c>
      <c r="S5989">
        <v>0</v>
      </c>
      <c r="T5989" t="s">
        <v>23483</v>
      </c>
    </row>
    <row r="5990" spans="1:20" customFormat="1" ht="15" x14ac:dyDescent="0.25">
      <c r="A5990" t="s">
        <v>35</v>
      </c>
      <c r="B5990" t="s">
        <v>61</v>
      </c>
      <c r="C5990" t="str">
        <f>"A0183436"</f>
        <v>A0183436</v>
      </c>
      <c r="D5990" t="s">
        <v>23484</v>
      </c>
      <c r="E5990" t="s">
        <v>23485</v>
      </c>
      <c r="F5990" t="s">
        <v>7544</v>
      </c>
      <c r="G5990" t="s">
        <v>71</v>
      </c>
      <c r="H5990">
        <v>53151</v>
      </c>
      <c r="I5990" t="s">
        <v>30</v>
      </c>
      <c r="J5990" t="s">
        <v>41</v>
      </c>
      <c r="K5990" t="s">
        <v>59</v>
      </c>
      <c r="Q5990">
        <v>0</v>
      </c>
      <c r="R5990">
        <v>0</v>
      </c>
      <c r="S5990">
        <v>0</v>
      </c>
      <c r="T5990" t="s">
        <v>23055</v>
      </c>
    </row>
    <row r="5991" spans="1:20" customFormat="1" ht="15" x14ac:dyDescent="0.25">
      <c r="A5991" t="s">
        <v>35</v>
      </c>
      <c r="B5991" t="s">
        <v>61</v>
      </c>
      <c r="C5991" t="str">
        <f>"A0183435"</f>
        <v>A0183435</v>
      </c>
      <c r="D5991" t="s">
        <v>23486</v>
      </c>
      <c r="E5991" t="s">
        <v>23487</v>
      </c>
      <c r="F5991" t="s">
        <v>6270</v>
      </c>
      <c r="G5991" t="s">
        <v>71</v>
      </c>
      <c r="H5991" t="s">
        <v>23488</v>
      </c>
      <c r="I5991" t="s">
        <v>30</v>
      </c>
      <c r="J5991" t="s">
        <v>41</v>
      </c>
      <c r="K5991" t="s">
        <v>59</v>
      </c>
      <c r="Q5991">
        <v>0</v>
      </c>
      <c r="R5991">
        <v>308</v>
      </c>
      <c r="S5991">
        <v>308</v>
      </c>
      <c r="T5991" t="s">
        <v>23489</v>
      </c>
    </row>
    <row r="5992" spans="1:20" customFormat="1" ht="15" x14ac:dyDescent="0.25">
      <c r="A5992" t="s">
        <v>35</v>
      </c>
      <c r="B5992" t="s">
        <v>61</v>
      </c>
      <c r="C5992" t="str">
        <f>"A0183434"</f>
        <v>A0183434</v>
      </c>
      <c r="D5992" t="s">
        <v>23490</v>
      </c>
      <c r="E5992" t="s">
        <v>23491</v>
      </c>
      <c r="F5992" t="s">
        <v>23492</v>
      </c>
      <c r="G5992" t="s">
        <v>103</v>
      </c>
      <c r="H5992">
        <v>15057</v>
      </c>
      <c r="I5992" t="s">
        <v>30</v>
      </c>
      <c r="J5992" t="s">
        <v>41</v>
      </c>
      <c r="K5992" t="s">
        <v>59</v>
      </c>
      <c r="Q5992">
        <v>0</v>
      </c>
      <c r="R5992">
        <v>0</v>
      </c>
      <c r="S5992">
        <v>0</v>
      </c>
    </row>
    <row r="5993" spans="1:20" customFormat="1" ht="15" x14ac:dyDescent="0.25">
      <c r="A5993" t="s">
        <v>35</v>
      </c>
      <c r="B5993" t="s">
        <v>61</v>
      </c>
      <c r="C5993" t="str">
        <f>"A0183433"</f>
        <v>A0183433</v>
      </c>
      <c r="D5993" t="s">
        <v>23493</v>
      </c>
      <c r="E5993" t="s">
        <v>23494</v>
      </c>
      <c r="F5993" t="s">
        <v>23495</v>
      </c>
      <c r="G5993" t="s">
        <v>103</v>
      </c>
      <c r="H5993">
        <v>15005</v>
      </c>
      <c r="I5993" t="s">
        <v>30</v>
      </c>
      <c r="J5993" t="s">
        <v>41</v>
      </c>
      <c r="K5993" t="s">
        <v>59</v>
      </c>
      <c r="Q5993">
        <v>0</v>
      </c>
      <c r="R5993">
        <v>0</v>
      </c>
      <c r="S5993">
        <v>0</v>
      </c>
    </row>
    <row r="5994" spans="1:20" customFormat="1" ht="15" x14ac:dyDescent="0.25">
      <c r="A5994" t="s">
        <v>35</v>
      </c>
      <c r="B5994" t="s">
        <v>20582</v>
      </c>
      <c r="C5994" t="str">
        <f>"A0183432"</f>
        <v>A0183432</v>
      </c>
      <c r="D5994" t="s">
        <v>23496</v>
      </c>
      <c r="E5994" t="s">
        <v>23497</v>
      </c>
      <c r="F5994" t="s">
        <v>1959</v>
      </c>
      <c r="G5994" t="s">
        <v>65</v>
      </c>
      <c r="H5994" t="s">
        <v>23498</v>
      </c>
      <c r="I5994" t="s">
        <v>30</v>
      </c>
      <c r="J5994" t="s">
        <v>41</v>
      </c>
      <c r="K5994" t="s">
        <v>59</v>
      </c>
      <c r="Q5994">
        <v>0</v>
      </c>
      <c r="R5994">
        <v>0</v>
      </c>
      <c r="S5994">
        <v>0</v>
      </c>
      <c r="T5994" t="s">
        <v>23499</v>
      </c>
    </row>
    <row r="5995" spans="1:20" customFormat="1" ht="15" x14ac:dyDescent="0.25">
      <c r="A5995" t="s">
        <v>35</v>
      </c>
      <c r="B5995" t="s">
        <v>11871</v>
      </c>
      <c r="C5995" t="str">
        <f>"A0183431"</f>
        <v>A0183431</v>
      </c>
      <c r="D5995" t="s">
        <v>23500</v>
      </c>
      <c r="E5995" t="s">
        <v>23501</v>
      </c>
      <c r="F5995" t="s">
        <v>15307</v>
      </c>
      <c r="G5995" t="s">
        <v>65</v>
      </c>
      <c r="H5995">
        <v>430817003</v>
      </c>
      <c r="I5995" t="s">
        <v>30</v>
      </c>
      <c r="J5995" t="s">
        <v>41</v>
      </c>
      <c r="K5995" t="s">
        <v>59</v>
      </c>
      <c r="Q5995">
        <v>0</v>
      </c>
      <c r="R5995">
        <v>0</v>
      </c>
      <c r="S5995">
        <v>0</v>
      </c>
      <c r="T5995" t="s">
        <v>23502</v>
      </c>
    </row>
    <row r="5996" spans="1:20" customFormat="1" ht="15" x14ac:dyDescent="0.25">
      <c r="A5996" t="s">
        <v>35</v>
      </c>
      <c r="B5996" t="s">
        <v>11871</v>
      </c>
      <c r="C5996" t="str">
        <f>"A0183430"</f>
        <v>A0183430</v>
      </c>
      <c r="D5996" t="s">
        <v>23503</v>
      </c>
      <c r="E5996" t="s">
        <v>23504</v>
      </c>
      <c r="F5996" t="s">
        <v>23505</v>
      </c>
      <c r="G5996" t="s">
        <v>65</v>
      </c>
      <c r="H5996">
        <v>446474265</v>
      </c>
      <c r="I5996" t="s">
        <v>30</v>
      </c>
      <c r="J5996" t="s">
        <v>41</v>
      </c>
      <c r="K5996" t="s">
        <v>59</v>
      </c>
      <c r="Q5996">
        <v>0</v>
      </c>
      <c r="R5996">
        <v>0</v>
      </c>
      <c r="S5996">
        <v>0</v>
      </c>
      <c r="T5996" t="s">
        <v>23506</v>
      </c>
    </row>
    <row r="5997" spans="1:20" customFormat="1" ht="15" x14ac:dyDescent="0.25">
      <c r="A5997" t="s">
        <v>35</v>
      </c>
      <c r="B5997" t="s">
        <v>11871</v>
      </c>
      <c r="C5997" t="str">
        <f>"A0183429"</f>
        <v>A0183429</v>
      </c>
      <c r="D5997" t="s">
        <v>23507</v>
      </c>
      <c r="E5997" t="s">
        <v>23508</v>
      </c>
      <c r="F5997" t="s">
        <v>64</v>
      </c>
      <c r="G5997" t="s">
        <v>65</v>
      </c>
      <c r="H5997">
        <v>432284424</v>
      </c>
      <c r="I5997" t="s">
        <v>30</v>
      </c>
      <c r="J5997" t="s">
        <v>41</v>
      </c>
      <c r="K5997" t="s">
        <v>59</v>
      </c>
      <c r="Q5997">
        <v>0</v>
      </c>
      <c r="R5997">
        <v>0</v>
      </c>
      <c r="S5997">
        <v>0</v>
      </c>
      <c r="T5997" t="s">
        <v>23509</v>
      </c>
    </row>
    <row r="5998" spans="1:20" customFormat="1" ht="15" x14ac:dyDescent="0.25">
      <c r="A5998" t="s">
        <v>35</v>
      </c>
      <c r="B5998" t="s">
        <v>11871</v>
      </c>
      <c r="C5998" t="str">
        <f>"A0183428"</f>
        <v>A0183428</v>
      </c>
      <c r="D5998" t="s">
        <v>23510</v>
      </c>
      <c r="E5998" t="s">
        <v>23511</v>
      </c>
      <c r="F5998" t="s">
        <v>13583</v>
      </c>
      <c r="G5998" t="s">
        <v>65</v>
      </c>
      <c r="H5998" t="s">
        <v>23512</v>
      </c>
      <c r="I5998" t="s">
        <v>30</v>
      </c>
      <c r="J5998" t="s">
        <v>41</v>
      </c>
      <c r="K5998" t="s">
        <v>59</v>
      </c>
      <c r="Q5998">
        <v>0</v>
      </c>
      <c r="R5998">
        <v>0</v>
      </c>
      <c r="S5998">
        <v>0</v>
      </c>
      <c r="T5998" t="s">
        <v>23513</v>
      </c>
    </row>
    <row r="5999" spans="1:20" customFormat="1" ht="15" x14ac:dyDescent="0.25">
      <c r="A5999" t="s">
        <v>35</v>
      </c>
      <c r="B5999" t="s">
        <v>11871</v>
      </c>
      <c r="C5999" t="str">
        <f>"A0183427"</f>
        <v>A0183427</v>
      </c>
      <c r="D5999" t="s">
        <v>963</v>
      </c>
      <c r="E5999" t="s">
        <v>23514</v>
      </c>
      <c r="F5999" t="s">
        <v>963</v>
      </c>
      <c r="G5999" t="s">
        <v>65</v>
      </c>
      <c r="H5999">
        <v>456012198</v>
      </c>
      <c r="I5999" t="s">
        <v>30</v>
      </c>
      <c r="J5999" t="s">
        <v>41</v>
      </c>
      <c r="K5999" t="s">
        <v>59</v>
      </c>
      <c r="Q5999">
        <v>0</v>
      </c>
      <c r="R5999">
        <v>0</v>
      </c>
      <c r="S5999">
        <v>0</v>
      </c>
    </row>
    <row r="6000" spans="1:20" customFormat="1" ht="15" x14ac:dyDescent="0.25">
      <c r="A6000" t="s">
        <v>35</v>
      </c>
      <c r="B6000" t="s">
        <v>11871</v>
      </c>
      <c r="C6000" t="str">
        <f>"A0183426"</f>
        <v>A0183426</v>
      </c>
      <c r="D6000" t="s">
        <v>23515</v>
      </c>
      <c r="E6000" t="s">
        <v>23516</v>
      </c>
      <c r="F6000" t="s">
        <v>8642</v>
      </c>
      <c r="G6000" t="s">
        <v>52</v>
      </c>
      <c r="H6000" t="s">
        <v>23517</v>
      </c>
      <c r="I6000" t="s">
        <v>30</v>
      </c>
      <c r="J6000" t="s">
        <v>41</v>
      </c>
      <c r="K6000" t="s">
        <v>59</v>
      </c>
      <c r="Q6000">
        <v>0</v>
      </c>
      <c r="R6000">
        <v>0</v>
      </c>
      <c r="S6000">
        <v>0</v>
      </c>
      <c r="T6000" t="s">
        <v>23518</v>
      </c>
    </row>
    <row r="6001" spans="1:20" customFormat="1" ht="15" x14ac:dyDescent="0.25">
      <c r="A6001" t="s">
        <v>35</v>
      </c>
      <c r="B6001" t="s">
        <v>61</v>
      </c>
      <c r="C6001" t="str">
        <f>"A0183425"</f>
        <v>A0183425</v>
      </c>
      <c r="D6001" t="s">
        <v>23519</v>
      </c>
      <c r="E6001" t="s">
        <v>23520</v>
      </c>
      <c r="F6001" t="s">
        <v>853</v>
      </c>
      <c r="G6001" t="s">
        <v>52</v>
      </c>
      <c r="H6001" t="s">
        <v>23521</v>
      </c>
      <c r="I6001" t="s">
        <v>30</v>
      </c>
      <c r="J6001" t="s">
        <v>41</v>
      </c>
      <c r="K6001" t="s">
        <v>59</v>
      </c>
      <c r="Q6001">
        <v>0</v>
      </c>
      <c r="R6001">
        <v>0</v>
      </c>
      <c r="S6001">
        <v>0</v>
      </c>
      <c r="T6001" t="s">
        <v>23522</v>
      </c>
    </row>
    <row r="6002" spans="1:20" customFormat="1" ht="15" x14ac:dyDescent="0.25">
      <c r="A6002" t="s">
        <v>35</v>
      </c>
      <c r="B6002" t="s">
        <v>61</v>
      </c>
      <c r="C6002" t="str">
        <f>"A0183424"</f>
        <v>A0183424</v>
      </c>
      <c r="D6002" t="s">
        <v>23523</v>
      </c>
      <c r="E6002" t="s">
        <v>23524</v>
      </c>
      <c r="F6002" t="s">
        <v>1731</v>
      </c>
      <c r="G6002" t="s">
        <v>52</v>
      </c>
      <c r="H6002" t="s">
        <v>17916</v>
      </c>
      <c r="I6002" t="s">
        <v>30</v>
      </c>
      <c r="J6002" t="s">
        <v>41</v>
      </c>
      <c r="K6002" t="s">
        <v>59</v>
      </c>
      <c r="Q6002">
        <v>0</v>
      </c>
      <c r="R6002">
        <v>120</v>
      </c>
      <c r="S6002">
        <v>120</v>
      </c>
      <c r="T6002" t="s">
        <v>17917</v>
      </c>
    </row>
    <row r="6003" spans="1:20" customFormat="1" ht="15" x14ac:dyDescent="0.25">
      <c r="A6003" t="s">
        <v>35</v>
      </c>
      <c r="B6003" t="s">
        <v>61</v>
      </c>
      <c r="C6003" t="str">
        <f>"A0183423"</f>
        <v>A0183423</v>
      </c>
      <c r="D6003" t="s">
        <v>23525</v>
      </c>
      <c r="E6003" t="s">
        <v>23526</v>
      </c>
      <c r="F6003" t="s">
        <v>3384</v>
      </c>
      <c r="G6003" t="s">
        <v>103</v>
      </c>
      <c r="H6003">
        <v>15370</v>
      </c>
      <c r="I6003" t="s">
        <v>30</v>
      </c>
      <c r="J6003" t="s">
        <v>41</v>
      </c>
      <c r="K6003" t="s">
        <v>59</v>
      </c>
      <c r="Q6003">
        <v>0</v>
      </c>
      <c r="R6003">
        <v>0</v>
      </c>
      <c r="S6003">
        <v>0</v>
      </c>
    </row>
    <row r="6004" spans="1:20" customFormat="1" ht="15" x14ac:dyDescent="0.25">
      <c r="A6004" t="s">
        <v>35</v>
      </c>
      <c r="B6004" t="s">
        <v>61</v>
      </c>
      <c r="C6004" t="str">
        <f>"A0183422"</f>
        <v>A0183422</v>
      </c>
      <c r="D6004" t="s">
        <v>23527</v>
      </c>
      <c r="E6004" t="s">
        <v>23528</v>
      </c>
      <c r="F6004" t="s">
        <v>11728</v>
      </c>
      <c r="G6004" t="s">
        <v>103</v>
      </c>
      <c r="H6004">
        <v>18104</v>
      </c>
      <c r="I6004" t="s">
        <v>30</v>
      </c>
      <c r="J6004" t="s">
        <v>41</v>
      </c>
      <c r="K6004" t="s">
        <v>59</v>
      </c>
      <c r="Q6004">
        <v>0</v>
      </c>
      <c r="R6004">
        <v>0</v>
      </c>
      <c r="S6004">
        <v>0</v>
      </c>
      <c r="T6004" t="s">
        <v>23529</v>
      </c>
    </row>
    <row r="6005" spans="1:20" customFormat="1" ht="15" x14ac:dyDescent="0.25">
      <c r="A6005" t="s">
        <v>35</v>
      </c>
      <c r="B6005" t="s">
        <v>11871</v>
      </c>
      <c r="C6005" t="str">
        <f>"A0183421"</f>
        <v>A0183421</v>
      </c>
      <c r="D6005" t="s">
        <v>23530</v>
      </c>
      <c r="E6005" t="s">
        <v>23531</v>
      </c>
      <c r="F6005" t="s">
        <v>17954</v>
      </c>
      <c r="G6005" t="s">
        <v>52</v>
      </c>
      <c r="H6005" t="s">
        <v>23532</v>
      </c>
      <c r="I6005" t="s">
        <v>30</v>
      </c>
      <c r="J6005" t="s">
        <v>41</v>
      </c>
      <c r="K6005" t="s">
        <v>59</v>
      </c>
      <c r="Q6005">
        <v>0</v>
      </c>
      <c r="R6005">
        <v>0</v>
      </c>
      <c r="S6005">
        <v>0</v>
      </c>
      <c r="T6005" t="s">
        <v>23533</v>
      </c>
    </row>
    <row r="6006" spans="1:20" customFormat="1" ht="15" x14ac:dyDescent="0.25">
      <c r="A6006" t="s">
        <v>35</v>
      </c>
      <c r="B6006" t="s">
        <v>61</v>
      </c>
      <c r="C6006" t="str">
        <f>"A0183420"</f>
        <v>A0183420</v>
      </c>
      <c r="D6006" t="s">
        <v>23534</v>
      </c>
      <c r="E6006" t="s">
        <v>23535</v>
      </c>
      <c r="F6006" t="s">
        <v>3081</v>
      </c>
      <c r="G6006" t="s">
        <v>52</v>
      </c>
      <c r="H6006">
        <v>75904</v>
      </c>
      <c r="I6006" t="s">
        <v>30</v>
      </c>
      <c r="J6006" t="s">
        <v>41</v>
      </c>
      <c r="K6006" t="s">
        <v>59</v>
      </c>
      <c r="Q6006">
        <v>0</v>
      </c>
      <c r="R6006">
        <v>60</v>
      </c>
      <c r="S6006">
        <v>60</v>
      </c>
      <c r="T6006" t="s">
        <v>23536</v>
      </c>
    </row>
    <row r="6007" spans="1:20" customFormat="1" ht="15" x14ac:dyDescent="0.25">
      <c r="A6007" t="s">
        <v>35</v>
      </c>
      <c r="B6007" t="s">
        <v>61</v>
      </c>
      <c r="C6007" t="str">
        <f>"A0183419"</f>
        <v>A0183419</v>
      </c>
      <c r="D6007" t="s">
        <v>23537</v>
      </c>
      <c r="E6007" t="s">
        <v>23538</v>
      </c>
      <c r="F6007" t="s">
        <v>5257</v>
      </c>
      <c r="G6007" t="s">
        <v>103</v>
      </c>
      <c r="H6007" t="s">
        <v>23539</v>
      </c>
      <c r="I6007" t="s">
        <v>30</v>
      </c>
      <c r="J6007" t="s">
        <v>41</v>
      </c>
      <c r="K6007" t="s">
        <v>59</v>
      </c>
      <c r="Q6007">
        <v>0</v>
      </c>
      <c r="R6007">
        <v>0</v>
      </c>
      <c r="S6007">
        <v>0</v>
      </c>
    </row>
    <row r="6008" spans="1:20" customFormat="1" ht="15" x14ac:dyDescent="0.25">
      <c r="A6008" t="s">
        <v>35</v>
      </c>
      <c r="B6008" t="s">
        <v>61</v>
      </c>
      <c r="C6008" t="str">
        <f>"A0183418"</f>
        <v>A0183418</v>
      </c>
      <c r="D6008" t="s">
        <v>23540</v>
      </c>
      <c r="E6008" t="s">
        <v>23541</v>
      </c>
      <c r="F6008" t="s">
        <v>23542</v>
      </c>
      <c r="G6008" t="s">
        <v>103</v>
      </c>
      <c r="H6008">
        <v>15132</v>
      </c>
      <c r="I6008" t="s">
        <v>30</v>
      </c>
      <c r="J6008" t="s">
        <v>41</v>
      </c>
      <c r="K6008" t="s">
        <v>59</v>
      </c>
      <c r="Q6008">
        <v>0</v>
      </c>
      <c r="R6008">
        <v>0</v>
      </c>
      <c r="S6008">
        <v>0</v>
      </c>
    </row>
    <row r="6009" spans="1:20" customFormat="1" ht="15" x14ac:dyDescent="0.25">
      <c r="A6009" t="s">
        <v>35</v>
      </c>
      <c r="B6009" t="s">
        <v>61</v>
      </c>
      <c r="C6009" t="str">
        <f>"A0183417"</f>
        <v>A0183417</v>
      </c>
      <c r="D6009" t="s">
        <v>23543</v>
      </c>
      <c r="E6009" t="s">
        <v>21060</v>
      </c>
      <c r="F6009" t="s">
        <v>2307</v>
      </c>
      <c r="G6009" t="s">
        <v>65</v>
      </c>
      <c r="H6009" t="s">
        <v>23544</v>
      </c>
      <c r="I6009" t="s">
        <v>30</v>
      </c>
      <c r="J6009" t="s">
        <v>41</v>
      </c>
      <c r="K6009" t="s">
        <v>59</v>
      </c>
      <c r="Q6009">
        <v>0</v>
      </c>
      <c r="R6009">
        <v>0</v>
      </c>
      <c r="S6009">
        <v>0</v>
      </c>
      <c r="T6009" t="s">
        <v>21061</v>
      </c>
    </row>
    <row r="6010" spans="1:20" customFormat="1" ht="15" x14ac:dyDescent="0.25">
      <c r="A6010" t="s">
        <v>35</v>
      </c>
      <c r="B6010" t="s">
        <v>61</v>
      </c>
      <c r="C6010" t="str">
        <f>"A0183416"</f>
        <v>A0183416</v>
      </c>
      <c r="D6010" t="s">
        <v>23545</v>
      </c>
      <c r="E6010" t="s">
        <v>23546</v>
      </c>
      <c r="F6010" t="s">
        <v>11728</v>
      </c>
      <c r="G6010" t="s">
        <v>103</v>
      </c>
      <c r="H6010" t="s">
        <v>23547</v>
      </c>
      <c r="I6010" t="s">
        <v>30</v>
      </c>
      <c r="J6010" t="s">
        <v>41</v>
      </c>
      <c r="K6010" t="s">
        <v>59</v>
      </c>
      <c r="Q6010">
        <v>0</v>
      </c>
      <c r="R6010">
        <v>0</v>
      </c>
      <c r="S6010">
        <v>0</v>
      </c>
      <c r="T6010" t="s">
        <v>23548</v>
      </c>
    </row>
    <row r="6011" spans="1:20" customFormat="1" ht="15" x14ac:dyDescent="0.25">
      <c r="A6011" t="s">
        <v>35</v>
      </c>
      <c r="B6011" t="s">
        <v>61</v>
      </c>
      <c r="C6011" t="str">
        <f>"A0183415"</f>
        <v>A0183415</v>
      </c>
      <c r="D6011" t="s">
        <v>23549</v>
      </c>
      <c r="E6011" t="s">
        <v>23550</v>
      </c>
      <c r="F6011" t="s">
        <v>11728</v>
      </c>
      <c r="G6011" t="s">
        <v>103</v>
      </c>
      <c r="H6011" t="s">
        <v>23551</v>
      </c>
      <c r="I6011" t="s">
        <v>30</v>
      </c>
      <c r="J6011" t="s">
        <v>41</v>
      </c>
      <c r="K6011" t="s">
        <v>59</v>
      </c>
      <c r="Q6011">
        <v>0</v>
      </c>
      <c r="R6011">
        <v>450</v>
      </c>
      <c r="S6011">
        <v>450</v>
      </c>
      <c r="T6011" t="s">
        <v>23552</v>
      </c>
    </row>
    <row r="6012" spans="1:20" customFormat="1" ht="15" x14ac:dyDescent="0.25">
      <c r="A6012" t="s">
        <v>35</v>
      </c>
      <c r="B6012" t="s">
        <v>61</v>
      </c>
      <c r="C6012" t="str">
        <f>"A0183414"</f>
        <v>A0183414</v>
      </c>
      <c r="D6012" t="s">
        <v>23553</v>
      </c>
      <c r="E6012" t="s">
        <v>23554</v>
      </c>
      <c r="F6012" t="s">
        <v>18414</v>
      </c>
      <c r="G6012" t="s">
        <v>103</v>
      </c>
      <c r="H6012">
        <v>17837</v>
      </c>
      <c r="I6012" t="s">
        <v>30</v>
      </c>
      <c r="J6012" t="s">
        <v>41</v>
      </c>
      <c r="K6012" t="s">
        <v>59</v>
      </c>
      <c r="Q6012">
        <v>0</v>
      </c>
      <c r="R6012">
        <v>0</v>
      </c>
      <c r="S6012">
        <v>0</v>
      </c>
      <c r="T6012" t="s">
        <v>23555</v>
      </c>
    </row>
    <row r="6013" spans="1:20" customFormat="1" ht="15" x14ac:dyDescent="0.25">
      <c r="A6013" t="s">
        <v>35</v>
      </c>
      <c r="B6013" t="s">
        <v>11871</v>
      </c>
      <c r="C6013" t="str">
        <f>"A0183413"</f>
        <v>A0183413</v>
      </c>
      <c r="D6013" t="s">
        <v>23556</v>
      </c>
      <c r="E6013" t="s">
        <v>23557</v>
      </c>
      <c r="F6013" t="s">
        <v>3319</v>
      </c>
      <c r="G6013" t="s">
        <v>103</v>
      </c>
      <c r="H6013" t="s">
        <v>23558</v>
      </c>
      <c r="I6013" t="s">
        <v>30</v>
      </c>
      <c r="J6013" t="s">
        <v>41</v>
      </c>
      <c r="K6013" t="s">
        <v>59</v>
      </c>
      <c r="Q6013">
        <v>0</v>
      </c>
      <c r="R6013">
        <v>0</v>
      </c>
      <c r="S6013">
        <v>0</v>
      </c>
      <c r="T6013" t="s">
        <v>23559</v>
      </c>
    </row>
    <row r="6014" spans="1:20" customFormat="1" ht="15" x14ac:dyDescent="0.25">
      <c r="A6014" t="s">
        <v>35</v>
      </c>
      <c r="B6014" t="s">
        <v>11871</v>
      </c>
      <c r="C6014" t="str">
        <f>"A0183412"</f>
        <v>A0183412</v>
      </c>
      <c r="D6014" t="s">
        <v>23560</v>
      </c>
      <c r="E6014" t="s">
        <v>23561</v>
      </c>
      <c r="F6014" t="s">
        <v>4354</v>
      </c>
      <c r="G6014" t="s">
        <v>103</v>
      </c>
      <c r="H6014" t="s">
        <v>23562</v>
      </c>
      <c r="I6014" t="s">
        <v>30</v>
      </c>
      <c r="J6014" t="s">
        <v>41</v>
      </c>
      <c r="K6014" t="s">
        <v>59</v>
      </c>
      <c r="Q6014">
        <v>0</v>
      </c>
      <c r="R6014">
        <v>0</v>
      </c>
      <c r="S6014">
        <v>0</v>
      </c>
      <c r="T6014" t="s">
        <v>23563</v>
      </c>
    </row>
    <row r="6015" spans="1:20" customFormat="1" ht="15" x14ac:dyDescent="0.25">
      <c r="A6015" t="s">
        <v>35</v>
      </c>
      <c r="B6015" t="s">
        <v>61</v>
      </c>
      <c r="C6015" t="str">
        <f>"A0183411"</f>
        <v>A0183411</v>
      </c>
      <c r="D6015" t="s">
        <v>23564</v>
      </c>
      <c r="E6015" t="s">
        <v>23565</v>
      </c>
      <c r="F6015" t="s">
        <v>23566</v>
      </c>
      <c r="G6015" t="s">
        <v>103</v>
      </c>
      <c r="H6015">
        <v>19551</v>
      </c>
      <c r="I6015" t="s">
        <v>30</v>
      </c>
      <c r="J6015" t="s">
        <v>41</v>
      </c>
      <c r="K6015" t="s">
        <v>59</v>
      </c>
      <c r="Q6015">
        <v>0</v>
      </c>
      <c r="R6015">
        <v>0</v>
      </c>
      <c r="S6015">
        <v>0</v>
      </c>
      <c r="T6015" t="s">
        <v>23567</v>
      </c>
    </row>
    <row r="6016" spans="1:20" customFormat="1" ht="15" x14ac:dyDescent="0.25">
      <c r="A6016" t="s">
        <v>35</v>
      </c>
      <c r="B6016" t="s">
        <v>11871</v>
      </c>
      <c r="C6016" t="str">
        <f>"A0183410"</f>
        <v>A0183410</v>
      </c>
      <c r="D6016" t="s">
        <v>23568</v>
      </c>
      <c r="E6016" t="s">
        <v>23569</v>
      </c>
      <c r="F6016" t="s">
        <v>23570</v>
      </c>
      <c r="G6016" t="s">
        <v>103</v>
      </c>
      <c r="H6016">
        <v>16161</v>
      </c>
      <c r="I6016" t="s">
        <v>30</v>
      </c>
      <c r="J6016" t="s">
        <v>41</v>
      </c>
      <c r="K6016" t="s">
        <v>59</v>
      </c>
      <c r="Q6016">
        <v>0</v>
      </c>
      <c r="R6016">
        <v>0</v>
      </c>
      <c r="S6016">
        <v>0</v>
      </c>
      <c r="T6016" t="s">
        <v>23571</v>
      </c>
    </row>
    <row r="6017" spans="1:20" customFormat="1" ht="15" x14ac:dyDescent="0.25">
      <c r="A6017" t="s">
        <v>35</v>
      </c>
      <c r="B6017" t="s">
        <v>61</v>
      </c>
      <c r="C6017" t="str">
        <f>"A0183409"</f>
        <v>A0183409</v>
      </c>
      <c r="D6017" t="s">
        <v>23572</v>
      </c>
      <c r="E6017" t="s">
        <v>23353</v>
      </c>
      <c r="F6017" t="s">
        <v>12931</v>
      </c>
      <c r="G6017" t="s">
        <v>81</v>
      </c>
      <c r="H6017" t="s">
        <v>23354</v>
      </c>
      <c r="I6017" t="s">
        <v>30</v>
      </c>
      <c r="J6017" t="s">
        <v>41</v>
      </c>
      <c r="K6017" t="s">
        <v>59</v>
      </c>
      <c r="Q6017">
        <v>0</v>
      </c>
      <c r="R6017">
        <v>37</v>
      </c>
      <c r="S6017">
        <v>37</v>
      </c>
      <c r="T6017" t="s">
        <v>23355</v>
      </c>
    </row>
    <row r="6018" spans="1:20" customFormat="1" ht="15" x14ac:dyDescent="0.25">
      <c r="A6018" t="s">
        <v>35</v>
      </c>
      <c r="B6018" t="s">
        <v>61</v>
      </c>
      <c r="C6018" t="str">
        <f>"A0183408"</f>
        <v>A0183408</v>
      </c>
      <c r="D6018" t="s">
        <v>23573</v>
      </c>
      <c r="E6018" t="s">
        <v>23574</v>
      </c>
      <c r="F6018" t="s">
        <v>5693</v>
      </c>
      <c r="G6018" t="s">
        <v>81</v>
      </c>
      <c r="H6018" t="s">
        <v>23575</v>
      </c>
      <c r="I6018" t="s">
        <v>30</v>
      </c>
      <c r="J6018" t="s">
        <v>41</v>
      </c>
      <c r="K6018" t="s">
        <v>59</v>
      </c>
      <c r="Q6018">
        <v>0</v>
      </c>
      <c r="R6018">
        <v>0</v>
      </c>
      <c r="S6018">
        <v>0</v>
      </c>
      <c r="T6018" t="s">
        <v>23576</v>
      </c>
    </row>
    <row r="6019" spans="1:20" customFormat="1" ht="15" x14ac:dyDescent="0.25">
      <c r="A6019" t="s">
        <v>35</v>
      </c>
      <c r="B6019" t="s">
        <v>61</v>
      </c>
      <c r="C6019" t="str">
        <f>"A0183407"</f>
        <v>A0183407</v>
      </c>
      <c r="D6019" t="s">
        <v>23577</v>
      </c>
      <c r="E6019" t="s">
        <v>23578</v>
      </c>
      <c r="F6019" t="s">
        <v>6290</v>
      </c>
      <c r="G6019" t="s">
        <v>81</v>
      </c>
      <c r="H6019" t="s">
        <v>23579</v>
      </c>
      <c r="I6019" t="s">
        <v>30</v>
      </c>
      <c r="J6019" t="s">
        <v>41</v>
      </c>
      <c r="K6019" t="s">
        <v>59</v>
      </c>
      <c r="Q6019">
        <v>0</v>
      </c>
      <c r="R6019">
        <v>0</v>
      </c>
      <c r="S6019">
        <v>0</v>
      </c>
      <c r="T6019" t="s">
        <v>23580</v>
      </c>
    </row>
    <row r="6020" spans="1:20" customFormat="1" ht="15" x14ac:dyDescent="0.25">
      <c r="A6020" t="s">
        <v>35</v>
      </c>
      <c r="B6020" t="s">
        <v>61</v>
      </c>
      <c r="C6020" t="str">
        <f>"A0183406"</f>
        <v>A0183406</v>
      </c>
      <c r="D6020" t="s">
        <v>23581</v>
      </c>
      <c r="E6020" t="s">
        <v>23582</v>
      </c>
      <c r="F6020" t="s">
        <v>21574</v>
      </c>
      <c r="G6020" t="s">
        <v>52</v>
      </c>
      <c r="H6020">
        <v>78006</v>
      </c>
      <c r="I6020" t="s">
        <v>30</v>
      </c>
      <c r="J6020" t="s">
        <v>41</v>
      </c>
      <c r="K6020" t="s">
        <v>59</v>
      </c>
      <c r="Q6020">
        <v>0</v>
      </c>
      <c r="R6020">
        <v>26</v>
      </c>
      <c r="S6020">
        <v>26</v>
      </c>
      <c r="T6020" t="s">
        <v>23583</v>
      </c>
    </row>
    <row r="6021" spans="1:20" customFormat="1" ht="15" x14ac:dyDescent="0.25">
      <c r="A6021" t="s">
        <v>35</v>
      </c>
      <c r="B6021" t="s">
        <v>61</v>
      </c>
      <c r="C6021" t="str">
        <f>"A0183405"</f>
        <v>A0183405</v>
      </c>
      <c r="D6021" t="s">
        <v>23584</v>
      </c>
      <c r="E6021" t="s">
        <v>23585</v>
      </c>
      <c r="F6021" t="s">
        <v>5133</v>
      </c>
      <c r="G6021" t="s">
        <v>52</v>
      </c>
      <c r="H6021" t="s">
        <v>23586</v>
      </c>
      <c r="I6021" t="s">
        <v>30</v>
      </c>
      <c r="J6021" t="s">
        <v>41</v>
      </c>
      <c r="K6021" t="s">
        <v>59</v>
      </c>
      <c r="Q6021">
        <v>0</v>
      </c>
      <c r="R6021">
        <v>87</v>
      </c>
      <c r="S6021">
        <v>87</v>
      </c>
      <c r="T6021" t="s">
        <v>23587</v>
      </c>
    </row>
    <row r="6022" spans="1:20" customFormat="1" ht="15" x14ac:dyDescent="0.25">
      <c r="A6022" t="s">
        <v>35</v>
      </c>
      <c r="B6022" t="s">
        <v>11871</v>
      </c>
      <c r="C6022" t="str">
        <f>"A0183402"</f>
        <v>A0183402</v>
      </c>
      <c r="D6022" t="s">
        <v>23588</v>
      </c>
      <c r="E6022" t="s">
        <v>23589</v>
      </c>
      <c r="F6022" t="s">
        <v>8085</v>
      </c>
      <c r="G6022" t="s">
        <v>65</v>
      </c>
      <c r="H6022">
        <v>456901572</v>
      </c>
      <c r="I6022" t="s">
        <v>30</v>
      </c>
      <c r="J6022" t="s">
        <v>41</v>
      </c>
      <c r="K6022" t="s">
        <v>59</v>
      </c>
      <c r="Q6022">
        <v>0</v>
      </c>
      <c r="R6022">
        <v>0</v>
      </c>
      <c r="S6022">
        <v>0</v>
      </c>
      <c r="T6022" t="s">
        <v>23590</v>
      </c>
    </row>
    <row r="6023" spans="1:20" customFormat="1" ht="15" x14ac:dyDescent="0.25">
      <c r="A6023" t="s">
        <v>35</v>
      </c>
      <c r="B6023" t="s">
        <v>11871</v>
      </c>
      <c r="C6023" t="str">
        <f>"A0183401"</f>
        <v>A0183401</v>
      </c>
      <c r="D6023" t="s">
        <v>23591</v>
      </c>
      <c r="E6023" t="s">
        <v>23592</v>
      </c>
      <c r="F6023" t="s">
        <v>64</v>
      </c>
      <c r="G6023" t="s">
        <v>65</v>
      </c>
      <c r="H6023">
        <v>43228</v>
      </c>
      <c r="I6023" t="s">
        <v>30</v>
      </c>
      <c r="J6023" t="s">
        <v>41</v>
      </c>
      <c r="K6023" t="s">
        <v>59</v>
      </c>
      <c r="Q6023">
        <v>0</v>
      </c>
      <c r="R6023">
        <v>0</v>
      </c>
      <c r="S6023">
        <v>0</v>
      </c>
      <c r="T6023" t="s">
        <v>23593</v>
      </c>
    </row>
    <row r="6024" spans="1:20" customFormat="1" ht="15" x14ac:dyDescent="0.25">
      <c r="A6024" t="s">
        <v>35</v>
      </c>
      <c r="B6024" t="s">
        <v>11871</v>
      </c>
      <c r="C6024" t="str">
        <f>"A0183400"</f>
        <v>A0183400</v>
      </c>
      <c r="D6024" t="s">
        <v>23594</v>
      </c>
      <c r="E6024" t="s">
        <v>23595</v>
      </c>
      <c r="F6024" t="s">
        <v>23333</v>
      </c>
      <c r="G6024" t="s">
        <v>65</v>
      </c>
      <c r="H6024">
        <v>448702806</v>
      </c>
      <c r="I6024" t="s">
        <v>30</v>
      </c>
      <c r="J6024" t="s">
        <v>41</v>
      </c>
      <c r="K6024" t="s">
        <v>59</v>
      </c>
      <c r="Q6024">
        <v>0</v>
      </c>
      <c r="R6024">
        <v>0</v>
      </c>
      <c r="S6024">
        <v>0</v>
      </c>
      <c r="T6024" t="s">
        <v>23596</v>
      </c>
    </row>
    <row r="6025" spans="1:20" customFormat="1" ht="15" x14ac:dyDescent="0.25">
      <c r="A6025" t="s">
        <v>35</v>
      </c>
      <c r="B6025" t="s">
        <v>23597</v>
      </c>
      <c r="C6025" t="str">
        <f>"A0183399"</f>
        <v>A0183399</v>
      </c>
      <c r="D6025" t="s">
        <v>23597</v>
      </c>
      <c r="E6025" t="s">
        <v>23598</v>
      </c>
      <c r="F6025" t="s">
        <v>23599</v>
      </c>
      <c r="G6025" t="s">
        <v>65</v>
      </c>
      <c r="H6025">
        <v>45011</v>
      </c>
      <c r="I6025" t="s">
        <v>30</v>
      </c>
      <c r="J6025" t="s">
        <v>41</v>
      </c>
      <c r="K6025" t="s">
        <v>59</v>
      </c>
      <c r="Q6025">
        <v>0</v>
      </c>
      <c r="R6025">
        <v>0</v>
      </c>
      <c r="S6025">
        <v>0</v>
      </c>
    </row>
    <row r="6026" spans="1:20" customFormat="1" ht="15" x14ac:dyDescent="0.25">
      <c r="A6026" t="s">
        <v>35</v>
      </c>
      <c r="B6026" t="s">
        <v>61</v>
      </c>
      <c r="C6026" t="str">
        <f>"A0183398"</f>
        <v>A0183398</v>
      </c>
      <c r="D6026" t="s">
        <v>23600</v>
      </c>
      <c r="E6026" t="s">
        <v>23601</v>
      </c>
      <c r="F6026" t="s">
        <v>3786</v>
      </c>
      <c r="G6026" t="s">
        <v>52</v>
      </c>
      <c r="H6026" t="s">
        <v>23602</v>
      </c>
      <c r="I6026" t="s">
        <v>30</v>
      </c>
      <c r="J6026" t="s">
        <v>41</v>
      </c>
      <c r="K6026" t="s">
        <v>59</v>
      </c>
      <c r="Q6026">
        <v>0</v>
      </c>
      <c r="R6026">
        <v>0</v>
      </c>
      <c r="S6026">
        <v>0</v>
      </c>
      <c r="T6026" t="s">
        <v>23603</v>
      </c>
    </row>
    <row r="6027" spans="1:20" customFormat="1" ht="15" x14ac:dyDescent="0.25">
      <c r="A6027" t="s">
        <v>35</v>
      </c>
      <c r="B6027" t="s">
        <v>61</v>
      </c>
      <c r="C6027" t="str">
        <f>"A0183397"</f>
        <v>A0183397</v>
      </c>
      <c r="D6027" t="s">
        <v>23604</v>
      </c>
      <c r="E6027" t="s">
        <v>23605</v>
      </c>
      <c r="F6027" t="s">
        <v>4354</v>
      </c>
      <c r="G6027" t="s">
        <v>103</v>
      </c>
      <c r="H6027" t="s">
        <v>23606</v>
      </c>
      <c r="I6027" t="s">
        <v>30</v>
      </c>
      <c r="J6027" t="s">
        <v>41</v>
      </c>
      <c r="K6027" t="s">
        <v>59</v>
      </c>
      <c r="Q6027">
        <v>0</v>
      </c>
      <c r="R6027">
        <v>140</v>
      </c>
      <c r="S6027">
        <v>140</v>
      </c>
      <c r="T6027" t="s">
        <v>23607</v>
      </c>
    </row>
    <row r="6028" spans="1:20" customFormat="1" ht="15" x14ac:dyDescent="0.25">
      <c r="A6028" t="s">
        <v>35</v>
      </c>
      <c r="B6028" t="s">
        <v>61</v>
      </c>
      <c r="C6028" t="str">
        <f>"A0183396"</f>
        <v>A0183396</v>
      </c>
      <c r="D6028" t="s">
        <v>23608</v>
      </c>
      <c r="E6028" t="s">
        <v>23609</v>
      </c>
      <c r="F6028" t="s">
        <v>23610</v>
      </c>
      <c r="G6028" t="s">
        <v>103</v>
      </c>
      <c r="H6028" t="s">
        <v>23611</v>
      </c>
      <c r="I6028" t="s">
        <v>30</v>
      </c>
      <c r="J6028" t="s">
        <v>41</v>
      </c>
      <c r="K6028" t="s">
        <v>59</v>
      </c>
      <c r="Q6028">
        <v>0</v>
      </c>
      <c r="R6028">
        <v>0</v>
      </c>
      <c r="S6028">
        <v>0</v>
      </c>
    </row>
    <row r="6029" spans="1:20" customFormat="1" ht="15" x14ac:dyDescent="0.25">
      <c r="A6029" t="s">
        <v>35</v>
      </c>
      <c r="B6029" t="s">
        <v>11871</v>
      </c>
      <c r="C6029" t="str">
        <f>"A0183395"</f>
        <v>A0183395</v>
      </c>
      <c r="D6029" t="s">
        <v>23612</v>
      </c>
      <c r="E6029" t="s">
        <v>23613</v>
      </c>
      <c r="F6029" t="s">
        <v>23614</v>
      </c>
      <c r="G6029" t="s">
        <v>103</v>
      </c>
      <c r="H6029" t="s">
        <v>23615</v>
      </c>
      <c r="I6029" t="s">
        <v>30</v>
      </c>
      <c r="J6029" t="s">
        <v>41</v>
      </c>
      <c r="K6029" t="s">
        <v>59</v>
      </c>
      <c r="Q6029">
        <v>0</v>
      </c>
      <c r="R6029">
        <v>0</v>
      </c>
      <c r="S6029">
        <v>0</v>
      </c>
      <c r="T6029" t="s">
        <v>23616</v>
      </c>
    </row>
    <row r="6030" spans="1:20" customFormat="1" ht="15" x14ac:dyDescent="0.25">
      <c r="A6030" t="s">
        <v>35</v>
      </c>
      <c r="B6030" t="s">
        <v>11871</v>
      </c>
      <c r="C6030" t="str">
        <f>"A0183394"</f>
        <v>A0183394</v>
      </c>
      <c r="D6030" t="s">
        <v>23617</v>
      </c>
      <c r="E6030" t="s">
        <v>23618</v>
      </c>
      <c r="F6030" t="s">
        <v>4354</v>
      </c>
      <c r="G6030" t="s">
        <v>103</v>
      </c>
      <c r="H6030" t="s">
        <v>23619</v>
      </c>
      <c r="I6030" t="s">
        <v>30</v>
      </c>
      <c r="J6030" t="s">
        <v>41</v>
      </c>
      <c r="K6030" t="s">
        <v>59</v>
      </c>
      <c r="Q6030">
        <v>0</v>
      </c>
      <c r="R6030">
        <v>0</v>
      </c>
      <c r="S6030">
        <v>0</v>
      </c>
      <c r="T6030" t="s">
        <v>23620</v>
      </c>
    </row>
    <row r="6031" spans="1:20" customFormat="1" ht="15" x14ac:dyDescent="0.25">
      <c r="A6031" t="s">
        <v>35</v>
      </c>
      <c r="B6031" t="s">
        <v>61</v>
      </c>
      <c r="C6031" t="str">
        <f>"A0183393"</f>
        <v>A0183393</v>
      </c>
      <c r="D6031" t="s">
        <v>23621</v>
      </c>
      <c r="E6031" t="s">
        <v>23622</v>
      </c>
      <c r="F6031" t="s">
        <v>23623</v>
      </c>
      <c r="G6031" t="s">
        <v>52</v>
      </c>
      <c r="H6031" t="s">
        <v>23624</v>
      </c>
      <c r="I6031" t="s">
        <v>30</v>
      </c>
      <c r="J6031" t="s">
        <v>41</v>
      </c>
      <c r="K6031" t="s">
        <v>59</v>
      </c>
      <c r="Q6031">
        <v>0</v>
      </c>
      <c r="R6031">
        <v>30</v>
      </c>
      <c r="S6031">
        <v>30</v>
      </c>
      <c r="T6031" t="s">
        <v>23625</v>
      </c>
    </row>
    <row r="6032" spans="1:20" customFormat="1" ht="15" x14ac:dyDescent="0.25">
      <c r="A6032" t="s">
        <v>35</v>
      </c>
      <c r="B6032" t="s">
        <v>61</v>
      </c>
      <c r="C6032" t="str">
        <f>"A0183392"</f>
        <v>A0183392</v>
      </c>
      <c r="D6032" t="s">
        <v>23626</v>
      </c>
      <c r="E6032" t="s">
        <v>23627</v>
      </c>
      <c r="F6032" t="s">
        <v>13068</v>
      </c>
      <c r="G6032" t="s">
        <v>52</v>
      </c>
      <c r="H6032" t="s">
        <v>23628</v>
      </c>
      <c r="I6032" t="s">
        <v>30</v>
      </c>
      <c r="J6032" t="s">
        <v>41</v>
      </c>
      <c r="K6032" t="s">
        <v>59</v>
      </c>
      <c r="Q6032">
        <v>0</v>
      </c>
      <c r="R6032">
        <v>0</v>
      </c>
      <c r="S6032">
        <v>0</v>
      </c>
      <c r="T6032" t="s">
        <v>23629</v>
      </c>
    </row>
    <row r="6033" spans="1:20" customFormat="1" ht="15" x14ac:dyDescent="0.25">
      <c r="A6033" t="s">
        <v>35</v>
      </c>
      <c r="B6033" t="s">
        <v>11871</v>
      </c>
      <c r="C6033" t="str">
        <f>"A0183391"</f>
        <v>A0183391</v>
      </c>
      <c r="D6033" t="s">
        <v>23630</v>
      </c>
      <c r="E6033" t="s">
        <v>23631</v>
      </c>
      <c r="F6033" t="s">
        <v>21686</v>
      </c>
      <c r="G6033" t="s">
        <v>65</v>
      </c>
      <c r="H6033">
        <v>430853113</v>
      </c>
      <c r="I6033" t="s">
        <v>30</v>
      </c>
      <c r="J6033" t="s">
        <v>41</v>
      </c>
      <c r="K6033" t="s">
        <v>59</v>
      </c>
      <c r="Q6033">
        <v>0</v>
      </c>
      <c r="R6033">
        <v>0</v>
      </c>
      <c r="S6033">
        <v>0</v>
      </c>
      <c r="T6033" t="s">
        <v>21687</v>
      </c>
    </row>
    <row r="6034" spans="1:20" customFormat="1" ht="15" x14ac:dyDescent="0.25">
      <c r="A6034" t="s">
        <v>35</v>
      </c>
      <c r="B6034" t="s">
        <v>11871</v>
      </c>
      <c r="C6034" t="str">
        <f>"A0183390"</f>
        <v>A0183390</v>
      </c>
      <c r="D6034" t="s">
        <v>23632</v>
      </c>
      <c r="E6034" t="s">
        <v>23633</v>
      </c>
      <c r="F6034" t="s">
        <v>1959</v>
      </c>
      <c r="G6034" t="s">
        <v>65</v>
      </c>
      <c r="H6034">
        <v>443103960</v>
      </c>
      <c r="I6034" t="s">
        <v>30</v>
      </c>
      <c r="J6034" t="s">
        <v>41</v>
      </c>
      <c r="K6034" t="s">
        <v>59</v>
      </c>
      <c r="Q6034">
        <v>0</v>
      </c>
      <c r="R6034">
        <v>0</v>
      </c>
      <c r="S6034">
        <v>0</v>
      </c>
    </row>
    <row r="6035" spans="1:20" customFormat="1" ht="15" x14ac:dyDescent="0.25">
      <c r="A6035" t="s">
        <v>35</v>
      </c>
      <c r="B6035" t="s">
        <v>11871</v>
      </c>
      <c r="C6035" t="str">
        <f>"A0183389"</f>
        <v>A0183389</v>
      </c>
      <c r="D6035" t="s">
        <v>23634</v>
      </c>
      <c r="E6035" t="s">
        <v>23635</v>
      </c>
      <c r="F6035" t="s">
        <v>2307</v>
      </c>
      <c r="G6035" t="s">
        <v>65</v>
      </c>
      <c r="H6035">
        <v>441024377</v>
      </c>
      <c r="I6035" t="s">
        <v>30</v>
      </c>
      <c r="J6035" t="s">
        <v>41</v>
      </c>
      <c r="K6035" t="s">
        <v>59</v>
      </c>
      <c r="Q6035">
        <v>0</v>
      </c>
      <c r="R6035">
        <v>0</v>
      </c>
      <c r="S6035">
        <v>0</v>
      </c>
      <c r="T6035" t="s">
        <v>23636</v>
      </c>
    </row>
    <row r="6036" spans="1:20" customFormat="1" ht="15" x14ac:dyDescent="0.25">
      <c r="A6036" t="s">
        <v>35</v>
      </c>
      <c r="B6036" t="s">
        <v>11717</v>
      </c>
      <c r="C6036" t="str">
        <f>"A0183388"</f>
        <v>A0183388</v>
      </c>
      <c r="D6036" t="s">
        <v>23637</v>
      </c>
      <c r="E6036" t="s">
        <v>23638</v>
      </c>
      <c r="F6036" t="s">
        <v>23639</v>
      </c>
      <c r="G6036" t="s">
        <v>103</v>
      </c>
      <c r="H6036">
        <v>18326</v>
      </c>
      <c r="I6036" t="s">
        <v>30</v>
      </c>
      <c r="J6036" t="s">
        <v>41</v>
      </c>
      <c r="K6036" t="s">
        <v>59</v>
      </c>
      <c r="Q6036">
        <v>0</v>
      </c>
      <c r="R6036">
        <v>0</v>
      </c>
      <c r="S6036">
        <v>0</v>
      </c>
    </row>
    <row r="6037" spans="1:20" customFormat="1" ht="15" x14ac:dyDescent="0.25">
      <c r="A6037" t="s">
        <v>35</v>
      </c>
      <c r="B6037" t="s">
        <v>61</v>
      </c>
      <c r="C6037" t="str">
        <f>"A0183385"</f>
        <v>A0183385</v>
      </c>
      <c r="D6037" t="s">
        <v>23640</v>
      </c>
      <c r="E6037" t="s">
        <v>23641</v>
      </c>
      <c r="F6037" t="s">
        <v>1705</v>
      </c>
      <c r="G6037" t="s">
        <v>1706</v>
      </c>
      <c r="H6037" t="s">
        <v>23642</v>
      </c>
      <c r="I6037" t="s">
        <v>30</v>
      </c>
      <c r="J6037" t="s">
        <v>41</v>
      </c>
      <c r="K6037" t="s">
        <v>59</v>
      </c>
      <c r="Q6037">
        <v>0</v>
      </c>
      <c r="R6037">
        <v>0</v>
      </c>
      <c r="S6037">
        <v>0</v>
      </c>
      <c r="T6037" t="s">
        <v>23643</v>
      </c>
    </row>
    <row r="6038" spans="1:20" customFormat="1" ht="15" x14ac:dyDescent="0.25">
      <c r="A6038" t="s">
        <v>35</v>
      </c>
      <c r="B6038" t="s">
        <v>61</v>
      </c>
      <c r="C6038" t="str">
        <f>"A0183384"</f>
        <v>A0183384</v>
      </c>
      <c r="D6038" t="s">
        <v>23644</v>
      </c>
      <c r="E6038" t="s">
        <v>23645</v>
      </c>
      <c r="F6038" t="s">
        <v>20528</v>
      </c>
      <c r="G6038" t="s">
        <v>81</v>
      </c>
      <c r="H6038" t="s">
        <v>23646</v>
      </c>
      <c r="I6038" t="s">
        <v>30</v>
      </c>
      <c r="J6038" t="s">
        <v>41</v>
      </c>
      <c r="K6038" t="s">
        <v>59</v>
      </c>
      <c r="Q6038">
        <v>0</v>
      </c>
      <c r="R6038">
        <v>0</v>
      </c>
      <c r="S6038">
        <v>0</v>
      </c>
      <c r="T6038" t="s">
        <v>23647</v>
      </c>
    </row>
    <row r="6039" spans="1:20" customFormat="1" ht="15" x14ac:dyDescent="0.25">
      <c r="A6039" t="s">
        <v>35</v>
      </c>
      <c r="B6039" t="s">
        <v>61</v>
      </c>
      <c r="C6039" t="str">
        <f>"A0183383"</f>
        <v>A0183383</v>
      </c>
      <c r="D6039" t="s">
        <v>23648</v>
      </c>
      <c r="E6039" t="s">
        <v>23649</v>
      </c>
      <c r="F6039" t="s">
        <v>20667</v>
      </c>
      <c r="G6039" t="s">
        <v>81</v>
      </c>
      <c r="H6039" t="s">
        <v>23650</v>
      </c>
      <c r="I6039" t="s">
        <v>30</v>
      </c>
      <c r="J6039" t="s">
        <v>41</v>
      </c>
      <c r="K6039" t="s">
        <v>59</v>
      </c>
      <c r="Q6039">
        <v>0</v>
      </c>
      <c r="R6039">
        <v>75</v>
      </c>
      <c r="S6039">
        <v>75</v>
      </c>
      <c r="T6039" t="s">
        <v>23651</v>
      </c>
    </row>
    <row r="6040" spans="1:20" customFormat="1" ht="15" x14ac:dyDescent="0.25">
      <c r="A6040" t="s">
        <v>35</v>
      </c>
      <c r="B6040" t="s">
        <v>61</v>
      </c>
      <c r="C6040" t="str">
        <f>"A0183382"</f>
        <v>A0183382</v>
      </c>
      <c r="D6040" t="s">
        <v>23652</v>
      </c>
      <c r="E6040" t="s">
        <v>23653</v>
      </c>
      <c r="F6040" t="s">
        <v>12931</v>
      </c>
      <c r="G6040" t="s">
        <v>81</v>
      </c>
      <c r="H6040" t="s">
        <v>23654</v>
      </c>
      <c r="I6040" t="s">
        <v>30</v>
      </c>
      <c r="J6040" t="s">
        <v>41</v>
      </c>
      <c r="K6040" t="s">
        <v>59</v>
      </c>
      <c r="Q6040">
        <v>0</v>
      </c>
      <c r="R6040">
        <v>101</v>
      </c>
      <c r="S6040">
        <v>101</v>
      </c>
      <c r="T6040" t="s">
        <v>23655</v>
      </c>
    </row>
    <row r="6041" spans="1:20" customFormat="1" ht="15" x14ac:dyDescent="0.25">
      <c r="A6041" t="s">
        <v>35</v>
      </c>
      <c r="B6041" t="s">
        <v>61</v>
      </c>
      <c r="C6041" t="str">
        <f>"A0183381"</f>
        <v>A0183381</v>
      </c>
      <c r="D6041" t="s">
        <v>23656</v>
      </c>
      <c r="E6041" t="s">
        <v>23657</v>
      </c>
      <c r="F6041" t="s">
        <v>23658</v>
      </c>
      <c r="G6041" t="s">
        <v>81</v>
      </c>
      <c r="H6041" t="s">
        <v>23659</v>
      </c>
      <c r="I6041" t="s">
        <v>30</v>
      </c>
      <c r="J6041" t="s">
        <v>41</v>
      </c>
      <c r="K6041" t="s">
        <v>59</v>
      </c>
      <c r="Q6041">
        <v>0</v>
      </c>
      <c r="R6041">
        <v>0</v>
      </c>
      <c r="S6041">
        <v>0</v>
      </c>
      <c r="T6041" t="s">
        <v>23660</v>
      </c>
    </row>
    <row r="6042" spans="1:20" customFormat="1" ht="15" x14ac:dyDescent="0.25">
      <c r="A6042" t="s">
        <v>35</v>
      </c>
      <c r="B6042" t="s">
        <v>61</v>
      </c>
      <c r="C6042" t="str">
        <f>"A0183380"</f>
        <v>A0183380</v>
      </c>
      <c r="D6042" t="s">
        <v>23661</v>
      </c>
      <c r="E6042" t="s">
        <v>23662</v>
      </c>
      <c r="F6042" t="s">
        <v>4645</v>
      </c>
      <c r="G6042" t="s">
        <v>81</v>
      </c>
      <c r="H6042" t="s">
        <v>23663</v>
      </c>
      <c r="I6042" t="s">
        <v>30</v>
      </c>
      <c r="J6042" t="s">
        <v>41</v>
      </c>
      <c r="K6042" t="s">
        <v>59</v>
      </c>
      <c r="Q6042">
        <v>0</v>
      </c>
      <c r="R6042">
        <v>180</v>
      </c>
      <c r="S6042">
        <v>180</v>
      </c>
      <c r="T6042" t="s">
        <v>23664</v>
      </c>
    </row>
    <row r="6043" spans="1:20" customFormat="1" ht="15" x14ac:dyDescent="0.25">
      <c r="A6043" t="s">
        <v>35</v>
      </c>
      <c r="B6043" t="s">
        <v>61</v>
      </c>
      <c r="C6043" t="str">
        <f>"A0183379"</f>
        <v>A0183379</v>
      </c>
      <c r="D6043" t="s">
        <v>23665</v>
      </c>
      <c r="E6043" t="s">
        <v>23666</v>
      </c>
      <c r="F6043" t="s">
        <v>23667</v>
      </c>
      <c r="G6043" t="s">
        <v>71</v>
      </c>
      <c r="H6043" t="s">
        <v>23668</v>
      </c>
      <c r="I6043" t="s">
        <v>30</v>
      </c>
      <c r="J6043" t="s">
        <v>41</v>
      </c>
      <c r="K6043" t="s">
        <v>59</v>
      </c>
      <c r="Q6043">
        <v>0</v>
      </c>
      <c r="R6043">
        <v>0</v>
      </c>
      <c r="S6043">
        <v>0</v>
      </c>
      <c r="T6043" t="s">
        <v>23669</v>
      </c>
    </row>
    <row r="6044" spans="1:20" customFormat="1" ht="15" x14ac:dyDescent="0.25">
      <c r="A6044" t="s">
        <v>35</v>
      </c>
      <c r="B6044" t="s">
        <v>61</v>
      </c>
      <c r="C6044" t="str">
        <f>"A0183378"</f>
        <v>A0183378</v>
      </c>
      <c r="D6044" t="s">
        <v>23670</v>
      </c>
      <c r="E6044" t="s">
        <v>23671</v>
      </c>
      <c r="F6044" t="s">
        <v>1373</v>
      </c>
      <c r="G6044" t="s">
        <v>71</v>
      </c>
      <c r="H6044">
        <v>53705</v>
      </c>
      <c r="I6044" t="s">
        <v>30</v>
      </c>
      <c r="J6044" t="s">
        <v>41</v>
      </c>
      <c r="K6044" t="s">
        <v>59</v>
      </c>
      <c r="Q6044">
        <v>0</v>
      </c>
      <c r="R6044">
        <v>0</v>
      </c>
      <c r="S6044">
        <v>0</v>
      </c>
    </row>
    <row r="6045" spans="1:20" customFormat="1" ht="15" x14ac:dyDescent="0.25">
      <c r="A6045" t="s">
        <v>35</v>
      </c>
      <c r="B6045" t="s">
        <v>61</v>
      </c>
      <c r="C6045" t="str">
        <f>"A0183377"</f>
        <v>A0183377</v>
      </c>
      <c r="D6045" t="s">
        <v>23672</v>
      </c>
      <c r="E6045" t="s">
        <v>23673</v>
      </c>
      <c r="F6045" t="s">
        <v>23674</v>
      </c>
      <c r="G6045" t="s">
        <v>103</v>
      </c>
      <c r="H6045">
        <v>19095</v>
      </c>
      <c r="I6045" t="s">
        <v>30</v>
      </c>
      <c r="J6045" t="s">
        <v>41</v>
      </c>
      <c r="K6045" t="s">
        <v>59</v>
      </c>
      <c r="Q6045">
        <v>0</v>
      </c>
      <c r="R6045">
        <v>58</v>
      </c>
      <c r="S6045">
        <v>58</v>
      </c>
      <c r="T6045" t="s">
        <v>23675</v>
      </c>
    </row>
    <row r="6046" spans="1:20" customFormat="1" ht="15" x14ac:dyDescent="0.25">
      <c r="A6046" t="s">
        <v>35</v>
      </c>
      <c r="B6046" t="s">
        <v>61</v>
      </c>
      <c r="C6046" t="str">
        <f>"A0183376"</f>
        <v>A0183376</v>
      </c>
      <c r="D6046" t="s">
        <v>23676</v>
      </c>
      <c r="E6046" t="s">
        <v>23673</v>
      </c>
      <c r="F6046" t="s">
        <v>23674</v>
      </c>
      <c r="G6046" t="s">
        <v>103</v>
      </c>
      <c r="H6046" t="s">
        <v>23677</v>
      </c>
      <c r="I6046" t="s">
        <v>30</v>
      </c>
      <c r="J6046" t="s">
        <v>41</v>
      </c>
      <c r="K6046" t="s">
        <v>59</v>
      </c>
      <c r="Q6046">
        <v>0</v>
      </c>
      <c r="R6046">
        <v>58</v>
      </c>
      <c r="S6046">
        <v>58</v>
      </c>
      <c r="T6046" t="s">
        <v>23675</v>
      </c>
    </row>
    <row r="6047" spans="1:20" customFormat="1" ht="15" x14ac:dyDescent="0.25">
      <c r="A6047" t="s">
        <v>35</v>
      </c>
      <c r="B6047" t="s">
        <v>61</v>
      </c>
      <c r="C6047" t="str">
        <f>"A0183375"</f>
        <v>A0183375</v>
      </c>
      <c r="D6047" t="s">
        <v>23678</v>
      </c>
      <c r="E6047" t="s">
        <v>23679</v>
      </c>
      <c r="F6047" t="s">
        <v>11728</v>
      </c>
      <c r="G6047" t="s">
        <v>103</v>
      </c>
      <c r="H6047">
        <v>18106</v>
      </c>
      <c r="I6047" t="s">
        <v>30</v>
      </c>
      <c r="J6047" t="s">
        <v>41</v>
      </c>
      <c r="K6047" t="s">
        <v>59</v>
      </c>
      <c r="Q6047">
        <v>0</v>
      </c>
      <c r="R6047">
        <v>450</v>
      </c>
      <c r="S6047">
        <v>450</v>
      </c>
      <c r="T6047" t="s">
        <v>23552</v>
      </c>
    </row>
    <row r="6048" spans="1:20" customFormat="1" ht="15" x14ac:dyDescent="0.25">
      <c r="A6048" t="s">
        <v>35</v>
      </c>
      <c r="B6048" t="s">
        <v>61</v>
      </c>
      <c r="C6048" t="str">
        <f>"A0183374"</f>
        <v>A0183374</v>
      </c>
      <c r="D6048" t="s">
        <v>23680</v>
      </c>
      <c r="E6048" t="s">
        <v>23681</v>
      </c>
      <c r="F6048" t="s">
        <v>23682</v>
      </c>
      <c r="G6048" t="s">
        <v>190</v>
      </c>
      <c r="H6048">
        <v>81212</v>
      </c>
      <c r="I6048" t="s">
        <v>30</v>
      </c>
      <c r="J6048" t="s">
        <v>41</v>
      </c>
      <c r="K6048" t="s">
        <v>59</v>
      </c>
      <c r="Q6048">
        <v>0</v>
      </c>
      <c r="R6048">
        <v>0</v>
      </c>
      <c r="S6048">
        <v>0</v>
      </c>
    </row>
    <row r="6049" spans="1:20" customFormat="1" ht="15" x14ac:dyDescent="0.25">
      <c r="A6049" t="s">
        <v>35</v>
      </c>
      <c r="B6049" t="s">
        <v>61</v>
      </c>
      <c r="C6049" t="str">
        <f>"A0183373"</f>
        <v>A0183373</v>
      </c>
      <c r="D6049" t="s">
        <v>23683</v>
      </c>
      <c r="E6049" t="s">
        <v>23684</v>
      </c>
      <c r="F6049" t="s">
        <v>23685</v>
      </c>
      <c r="G6049" t="s">
        <v>190</v>
      </c>
      <c r="H6049">
        <v>804397301</v>
      </c>
      <c r="I6049" t="s">
        <v>30</v>
      </c>
      <c r="J6049" t="s">
        <v>41</v>
      </c>
      <c r="K6049" t="s">
        <v>59</v>
      </c>
      <c r="Q6049">
        <v>0</v>
      </c>
      <c r="R6049">
        <v>0</v>
      </c>
      <c r="S6049">
        <v>0</v>
      </c>
      <c r="T6049" t="s">
        <v>23686</v>
      </c>
    </row>
    <row r="6050" spans="1:20" customFormat="1" ht="15" x14ac:dyDescent="0.25">
      <c r="A6050" t="s">
        <v>35</v>
      </c>
      <c r="B6050" t="s">
        <v>61</v>
      </c>
      <c r="C6050" t="str">
        <f>"A0183372"</f>
        <v>A0183372</v>
      </c>
      <c r="D6050" t="s">
        <v>23687</v>
      </c>
      <c r="E6050" t="s">
        <v>23688</v>
      </c>
      <c r="F6050" t="s">
        <v>2719</v>
      </c>
      <c r="G6050" t="s">
        <v>190</v>
      </c>
      <c r="H6050">
        <v>80222</v>
      </c>
      <c r="I6050" t="s">
        <v>30</v>
      </c>
      <c r="J6050" t="s">
        <v>41</v>
      </c>
      <c r="K6050" t="s">
        <v>59</v>
      </c>
      <c r="Q6050">
        <v>0</v>
      </c>
      <c r="R6050">
        <v>0</v>
      </c>
      <c r="S6050">
        <v>0</v>
      </c>
    </row>
    <row r="6051" spans="1:20" customFormat="1" ht="15" x14ac:dyDescent="0.25">
      <c r="A6051" t="s">
        <v>35</v>
      </c>
      <c r="B6051" t="s">
        <v>61</v>
      </c>
      <c r="C6051" t="str">
        <f>"A0183371"</f>
        <v>A0183371</v>
      </c>
      <c r="D6051" t="s">
        <v>23689</v>
      </c>
      <c r="E6051" t="s">
        <v>23690</v>
      </c>
      <c r="F6051" t="s">
        <v>1948</v>
      </c>
      <c r="G6051" t="s">
        <v>190</v>
      </c>
      <c r="H6051">
        <v>80228</v>
      </c>
      <c r="I6051" t="s">
        <v>30</v>
      </c>
      <c r="J6051" t="s">
        <v>41</v>
      </c>
      <c r="K6051" t="s">
        <v>59</v>
      </c>
      <c r="Q6051">
        <v>0</v>
      </c>
      <c r="R6051">
        <v>0</v>
      </c>
      <c r="S6051">
        <v>0</v>
      </c>
    </row>
    <row r="6052" spans="1:20" customFormat="1" ht="15" x14ac:dyDescent="0.25">
      <c r="A6052" t="s">
        <v>35</v>
      </c>
      <c r="B6052" t="s">
        <v>61</v>
      </c>
      <c r="C6052" t="str">
        <f>"A0183370"</f>
        <v>A0183370</v>
      </c>
      <c r="D6052" t="s">
        <v>23691</v>
      </c>
      <c r="E6052" t="s">
        <v>23692</v>
      </c>
      <c r="F6052" t="s">
        <v>1948</v>
      </c>
      <c r="G6052" t="s">
        <v>190</v>
      </c>
      <c r="H6052">
        <v>802263544</v>
      </c>
      <c r="I6052" t="s">
        <v>30</v>
      </c>
      <c r="J6052" t="s">
        <v>41</v>
      </c>
      <c r="K6052" t="s">
        <v>59</v>
      </c>
      <c r="Q6052">
        <v>0</v>
      </c>
      <c r="R6052">
        <v>0</v>
      </c>
      <c r="S6052">
        <v>0</v>
      </c>
    </row>
    <row r="6053" spans="1:20" customFormat="1" ht="15" x14ac:dyDescent="0.25">
      <c r="A6053" t="s">
        <v>35</v>
      </c>
      <c r="B6053" t="s">
        <v>61</v>
      </c>
      <c r="C6053" t="str">
        <f>"A0183369"</f>
        <v>A0183369</v>
      </c>
      <c r="D6053" t="s">
        <v>23693</v>
      </c>
      <c r="E6053" t="s">
        <v>23694</v>
      </c>
      <c r="F6053" t="s">
        <v>3336</v>
      </c>
      <c r="G6053" t="s">
        <v>71</v>
      </c>
      <c r="H6053">
        <v>53228</v>
      </c>
      <c r="I6053" t="s">
        <v>30</v>
      </c>
      <c r="J6053" t="s">
        <v>41</v>
      </c>
      <c r="K6053" t="s">
        <v>59</v>
      </c>
      <c r="Q6053">
        <v>0</v>
      </c>
      <c r="R6053">
        <v>0</v>
      </c>
      <c r="S6053">
        <v>0</v>
      </c>
      <c r="T6053" t="s">
        <v>23695</v>
      </c>
    </row>
    <row r="6054" spans="1:20" customFormat="1" ht="15" x14ac:dyDescent="0.25">
      <c r="A6054" t="s">
        <v>35</v>
      </c>
      <c r="B6054" t="s">
        <v>61</v>
      </c>
      <c r="C6054" t="str">
        <f>"A0183368"</f>
        <v>A0183368</v>
      </c>
      <c r="D6054" t="s">
        <v>23696</v>
      </c>
      <c r="E6054" t="s">
        <v>23697</v>
      </c>
      <c r="F6054" t="s">
        <v>23698</v>
      </c>
      <c r="G6054" t="s">
        <v>103</v>
      </c>
      <c r="H6054">
        <v>18955</v>
      </c>
      <c r="I6054" t="s">
        <v>30</v>
      </c>
      <c r="J6054" t="s">
        <v>41</v>
      </c>
      <c r="K6054" t="s">
        <v>59</v>
      </c>
      <c r="Q6054">
        <v>0</v>
      </c>
      <c r="R6054">
        <v>168</v>
      </c>
      <c r="S6054">
        <v>168</v>
      </c>
      <c r="T6054" t="s">
        <v>23699</v>
      </c>
    </row>
    <row r="6055" spans="1:20" customFormat="1" ht="15" x14ac:dyDescent="0.25">
      <c r="A6055" t="s">
        <v>35</v>
      </c>
      <c r="B6055" t="s">
        <v>61</v>
      </c>
      <c r="C6055" t="str">
        <f>"A0183367"</f>
        <v>A0183367</v>
      </c>
      <c r="D6055" t="s">
        <v>23700</v>
      </c>
      <c r="E6055" t="s">
        <v>23701</v>
      </c>
      <c r="F6055" t="s">
        <v>11728</v>
      </c>
      <c r="G6055" t="s">
        <v>103</v>
      </c>
      <c r="H6055">
        <v>18104</v>
      </c>
      <c r="I6055" t="s">
        <v>30</v>
      </c>
      <c r="J6055" t="s">
        <v>41</v>
      </c>
      <c r="K6055" t="s">
        <v>59</v>
      </c>
      <c r="Q6055">
        <v>0</v>
      </c>
      <c r="R6055">
        <v>0</v>
      </c>
      <c r="S6055">
        <v>0</v>
      </c>
      <c r="T6055" t="s">
        <v>23702</v>
      </c>
    </row>
    <row r="6056" spans="1:20" customFormat="1" ht="15" x14ac:dyDescent="0.25">
      <c r="A6056" t="s">
        <v>35</v>
      </c>
      <c r="B6056" t="s">
        <v>11871</v>
      </c>
      <c r="C6056" t="str">
        <f>"A0183366"</f>
        <v>A0183366</v>
      </c>
      <c r="D6056" t="s">
        <v>23703</v>
      </c>
      <c r="E6056" t="s">
        <v>23704</v>
      </c>
      <c r="F6056" t="s">
        <v>23705</v>
      </c>
      <c r="G6056" t="s">
        <v>103</v>
      </c>
      <c r="H6056">
        <v>16105</v>
      </c>
      <c r="I6056" t="s">
        <v>30</v>
      </c>
      <c r="J6056" t="s">
        <v>41</v>
      </c>
      <c r="K6056" t="s">
        <v>59</v>
      </c>
      <c r="Q6056">
        <v>0</v>
      </c>
      <c r="R6056">
        <v>0</v>
      </c>
      <c r="S6056">
        <v>0</v>
      </c>
      <c r="T6056" t="s">
        <v>23706</v>
      </c>
    </row>
    <row r="6057" spans="1:20" customFormat="1" ht="15" x14ac:dyDescent="0.25">
      <c r="A6057" t="s">
        <v>35</v>
      </c>
      <c r="B6057" t="s">
        <v>11871</v>
      </c>
      <c r="C6057" t="str">
        <f>"A0183365"</f>
        <v>A0183365</v>
      </c>
      <c r="D6057" t="s">
        <v>23707</v>
      </c>
      <c r="E6057" t="s">
        <v>23708</v>
      </c>
      <c r="F6057" t="s">
        <v>23709</v>
      </c>
      <c r="G6057" t="s">
        <v>103</v>
      </c>
      <c r="H6057" t="s">
        <v>23710</v>
      </c>
      <c r="I6057" t="s">
        <v>30</v>
      </c>
      <c r="J6057" t="s">
        <v>41</v>
      </c>
      <c r="K6057" t="s">
        <v>59</v>
      </c>
      <c r="Q6057">
        <v>0</v>
      </c>
      <c r="R6057">
        <v>0</v>
      </c>
      <c r="S6057">
        <v>0</v>
      </c>
      <c r="T6057" t="s">
        <v>23711</v>
      </c>
    </row>
    <row r="6058" spans="1:20" customFormat="1" ht="15" x14ac:dyDescent="0.25">
      <c r="A6058" t="s">
        <v>35</v>
      </c>
      <c r="B6058" t="s">
        <v>61</v>
      </c>
      <c r="C6058" t="str">
        <f>"A0183364"</f>
        <v>A0183364</v>
      </c>
      <c r="D6058" t="s">
        <v>23712</v>
      </c>
      <c r="E6058" t="s">
        <v>23713</v>
      </c>
      <c r="F6058" t="s">
        <v>4069</v>
      </c>
      <c r="G6058" t="s">
        <v>103</v>
      </c>
      <c r="H6058" t="s">
        <v>23714</v>
      </c>
      <c r="I6058" t="s">
        <v>30</v>
      </c>
      <c r="J6058" t="s">
        <v>41</v>
      </c>
      <c r="K6058" t="s">
        <v>59</v>
      </c>
      <c r="Q6058">
        <v>0</v>
      </c>
      <c r="R6058">
        <v>0</v>
      </c>
      <c r="S6058">
        <v>0</v>
      </c>
      <c r="T6058" t="s">
        <v>19376</v>
      </c>
    </row>
    <row r="6059" spans="1:20" customFormat="1" ht="15" x14ac:dyDescent="0.25">
      <c r="A6059" t="s">
        <v>35</v>
      </c>
      <c r="B6059" t="s">
        <v>61</v>
      </c>
      <c r="C6059" t="str">
        <f>"A0183363"</f>
        <v>A0183363</v>
      </c>
      <c r="D6059" t="s">
        <v>23715</v>
      </c>
      <c r="E6059" t="s">
        <v>23716</v>
      </c>
      <c r="F6059" t="s">
        <v>21278</v>
      </c>
      <c r="G6059" t="s">
        <v>99</v>
      </c>
      <c r="H6059" t="s">
        <v>23717</v>
      </c>
      <c r="I6059" t="s">
        <v>30</v>
      </c>
      <c r="J6059" t="s">
        <v>41</v>
      </c>
      <c r="K6059" t="s">
        <v>59</v>
      </c>
      <c r="Q6059">
        <v>0</v>
      </c>
      <c r="R6059">
        <v>0</v>
      </c>
      <c r="S6059">
        <v>0</v>
      </c>
    </row>
    <row r="6060" spans="1:20" customFormat="1" ht="15" x14ac:dyDescent="0.25">
      <c r="A6060" t="s">
        <v>35</v>
      </c>
      <c r="B6060" t="s">
        <v>11717</v>
      </c>
      <c r="C6060" t="str">
        <f>"A0183362"</f>
        <v>A0183362</v>
      </c>
      <c r="D6060" t="s">
        <v>23718</v>
      </c>
      <c r="E6060" t="s">
        <v>23719</v>
      </c>
      <c r="F6060" t="s">
        <v>23720</v>
      </c>
      <c r="G6060" t="s">
        <v>103</v>
      </c>
      <c r="H6060">
        <v>17363</v>
      </c>
      <c r="I6060" t="s">
        <v>30</v>
      </c>
      <c r="J6060" t="s">
        <v>41</v>
      </c>
      <c r="K6060" t="s">
        <v>59</v>
      </c>
      <c r="Q6060">
        <v>0</v>
      </c>
      <c r="R6060">
        <v>0</v>
      </c>
      <c r="S6060">
        <v>0</v>
      </c>
    </row>
    <row r="6061" spans="1:20" customFormat="1" ht="15" x14ac:dyDescent="0.25">
      <c r="A6061" t="s">
        <v>35</v>
      </c>
      <c r="B6061" t="s">
        <v>11717</v>
      </c>
      <c r="C6061" t="str">
        <f>"A0183361"</f>
        <v>A0183361</v>
      </c>
      <c r="D6061" t="s">
        <v>23721</v>
      </c>
      <c r="E6061" t="s">
        <v>23722</v>
      </c>
      <c r="F6061" t="s">
        <v>23040</v>
      </c>
      <c r="G6061" t="s">
        <v>103</v>
      </c>
      <c r="H6061">
        <v>170198522</v>
      </c>
      <c r="I6061" t="s">
        <v>30</v>
      </c>
      <c r="J6061" t="s">
        <v>41</v>
      </c>
      <c r="K6061" t="s">
        <v>59</v>
      </c>
      <c r="Q6061">
        <v>0</v>
      </c>
      <c r="R6061">
        <v>0</v>
      </c>
      <c r="S6061">
        <v>0</v>
      </c>
      <c r="T6061" t="s">
        <v>23723</v>
      </c>
    </row>
    <row r="6062" spans="1:20" customFormat="1" ht="15" x14ac:dyDescent="0.25">
      <c r="A6062" t="s">
        <v>35</v>
      </c>
      <c r="B6062" t="s">
        <v>11871</v>
      </c>
      <c r="C6062" t="str">
        <f>"A0183360"</f>
        <v>A0183360</v>
      </c>
      <c r="D6062" t="s">
        <v>23724</v>
      </c>
      <c r="E6062" t="s">
        <v>23725</v>
      </c>
      <c r="F6062" t="s">
        <v>102</v>
      </c>
      <c r="G6062" t="s">
        <v>103</v>
      </c>
      <c r="H6062" t="s">
        <v>23726</v>
      </c>
      <c r="I6062" t="s">
        <v>30</v>
      </c>
      <c r="J6062" t="s">
        <v>41</v>
      </c>
      <c r="K6062" t="s">
        <v>59</v>
      </c>
      <c r="Q6062">
        <v>0</v>
      </c>
      <c r="R6062">
        <v>0</v>
      </c>
      <c r="S6062">
        <v>0</v>
      </c>
      <c r="T6062" t="s">
        <v>23727</v>
      </c>
    </row>
    <row r="6063" spans="1:20" customFormat="1" ht="15" x14ac:dyDescent="0.25">
      <c r="A6063" t="s">
        <v>35</v>
      </c>
      <c r="B6063" t="s">
        <v>11871</v>
      </c>
      <c r="C6063" t="str">
        <f>"A0183359"</f>
        <v>A0183359</v>
      </c>
      <c r="D6063" t="s">
        <v>23728</v>
      </c>
      <c r="E6063" t="s">
        <v>23729</v>
      </c>
      <c r="F6063" t="s">
        <v>102</v>
      </c>
      <c r="G6063" t="s">
        <v>103</v>
      </c>
      <c r="H6063" t="s">
        <v>23730</v>
      </c>
      <c r="I6063" t="s">
        <v>30</v>
      </c>
      <c r="J6063" t="s">
        <v>41</v>
      </c>
      <c r="K6063" t="s">
        <v>59</v>
      </c>
      <c r="Q6063">
        <v>0</v>
      </c>
      <c r="R6063">
        <v>0</v>
      </c>
      <c r="S6063">
        <v>0</v>
      </c>
      <c r="T6063" t="s">
        <v>23731</v>
      </c>
    </row>
    <row r="6064" spans="1:20" customFormat="1" ht="15" x14ac:dyDescent="0.25">
      <c r="A6064" t="s">
        <v>35</v>
      </c>
      <c r="B6064" t="s">
        <v>11871</v>
      </c>
      <c r="C6064" t="str">
        <f>"A0183358"</f>
        <v>A0183358</v>
      </c>
      <c r="D6064" t="s">
        <v>23732</v>
      </c>
      <c r="E6064" t="s">
        <v>23733</v>
      </c>
      <c r="F6064" t="s">
        <v>23375</v>
      </c>
      <c r="G6064" t="s">
        <v>52</v>
      </c>
      <c r="H6064" t="s">
        <v>23734</v>
      </c>
      <c r="I6064" t="s">
        <v>30</v>
      </c>
      <c r="J6064" t="s">
        <v>41</v>
      </c>
      <c r="K6064" t="s">
        <v>59</v>
      </c>
      <c r="Q6064">
        <v>0</v>
      </c>
      <c r="R6064">
        <v>0</v>
      </c>
      <c r="S6064">
        <v>0</v>
      </c>
      <c r="T6064" t="s">
        <v>23377</v>
      </c>
    </row>
    <row r="6065" spans="1:20" customFormat="1" ht="15" x14ac:dyDescent="0.25">
      <c r="A6065" t="s">
        <v>35</v>
      </c>
      <c r="B6065" t="s">
        <v>61</v>
      </c>
      <c r="C6065" t="str">
        <f>"A0183357"</f>
        <v>A0183357</v>
      </c>
      <c r="D6065" t="s">
        <v>23735</v>
      </c>
      <c r="E6065" t="s">
        <v>23736</v>
      </c>
      <c r="F6065" t="s">
        <v>102</v>
      </c>
      <c r="G6065" t="s">
        <v>103</v>
      </c>
      <c r="H6065">
        <v>15206</v>
      </c>
      <c r="I6065" t="s">
        <v>30</v>
      </c>
      <c r="J6065" t="s">
        <v>41</v>
      </c>
      <c r="K6065" t="s">
        <v>59</v>
      </c>
      <c r="Q6065">
        <v>0</v>
      </c>
      <c r="R6065">
        <v>0</v>
      </c>
      <c r="S6065">
        <v>0</v>
      </c>
    </row>
    <row r="6066" spans="1:20" customFormat="1" ht="15" x14ac:dyDescent="0.25">
      <c r="A6066" t="s">
        <v>35</v>
      </c>
      <c r="B6066" t="s">
        <v>61</v>
      </c>
      <c r="C6066" t="str">
        <f>"A0183356"</f>
        <v>A0183356</v>
      </c>
      <c r="D6066" t="s">
        <v>23737</v>
      </c>
      <c r="E6066" t="s">
        <v>23738</v>
      </c>
      <c r="F6066" t="s">
        <v>4674</v>
      </c>
      <c r="G6066" t="s">
        <v>103</v>
      </c>
      <c r="H6066">
        <v>15301</v>
      </c>
      <c r="I6066" t="s">
        <v>30</v>
      </c>
      <c r="J6066" t="s">
        <v>41</v>
      </c>
      <c r="K6066" t="s">
        <v>59</v>
      </c>
      <c r="Q6066">
        <v>0</v>
      </c>
      <c r="R6066">
        <v>0</v>
      </c>
      <c r="S6066">
        <v>0</v>
      </c>
    </row>
    <row r="6067" spans="1:20" customFormat="1" ht="15" x14ac:dyDescent="0.25">
      <c r="A6067" t="s">
        <v>35</v>
      </c>
      <c r="B6067" t="s">
        <v>11717</v>
      </c>
      <c r="C6067" t="str">
        <f>"A0183355"</f>
        <v>A0183355</v>
      </c>
      <c r="D6067" t="s">
        <v>23739</v>
      </c>
      <c r="E6067" t="s">
        <v>23740</v>
      </c>
      <c r="F6067" t="s">
        <v>549</v>
      </c>
      <c r="G6067" t="s">
        <v>103</v>
      </c>
      <c r="H6067">
        <v>16866</v>
      </c>
      <c r="I6067" t="s">
        <v>30</v>
      </c>
      <c r="J6067" t="s">
        <v>41</v>
      </c>
      <c r="K6067" t="s">
        <v>59</v>
      </c>
      <c r="Q6067">
        <v>0</v>
      </c>
      <c r="R6067">
        <v>0</v>
      </c>
      <c r="S6067">
        <v>0</v>
      </c>
    </row>
    <row r="6068" spans="1:20" customFormat="1" ht="15" x14ac:dyDescent="0.25">
      <c r="A6068" t="s">
        <v>35</v>
      </c>
      <c r="B6068" t="s">
        <v>11717</v>
      </c>
      <c r="C6068" t="str">
        <f>"A0183354"</f>
        <v>A0183354</v>
      </c>
      <c r="D6068" t="s">
        <v>23741</v>
      </c>
      <c r="E6068" t="s">
        <v>23742</v>
      </c>
      <c r="F6068" t="s">
        <v>18901</v>
      </c>
      <c r="G6068" t="s">
        <v>103</v>
      </c>
      <c r="H6068">
        <v>17050</v>
      </c>
      <c r="I6068" t="s">
        <v>30</v>
      </c>
      <c r="J6068" t="s">
        <v>41</v>
      </c>
      <c r="K6068" t="s">
        <v>59</v>
      </c>
      <c r="Q6068">
        <v>0</v>
      </c>
      <c r="R6068">
        <v>0</v>
      </c>
      <c r="S6068">
        <v>0</v>
      </c>
    </row>
    <row r="6069" spans="1:20" customFormat="1" ht="15" x14ac:dyDescent="0.25">
      <c r="A6069" t="s">
        <v>35</v>
      </c>
      <c r="B6069" t="s">
        <v>61</v>
      </c>
      <c r="C6069" t="str">
        <f>"A0183353"</f>
        <v>A0183353</v>
      </c>
      <c r="D6069" t="s">
        <v>23743</v>
      </c>
      <c r="E6069" t="s">
        <v>23697</v>
      </c>
      <c r="F6069" t="s">
        <v>23744</v>
      </c>
      <c r="G6069" t="s">
        <v>103</v>
      </c>
      <c r="H6069" t="s">
        <v>23745</v>
      </c>
      <c r="I6069" t="s">
        <v>30</v>
      </c>
      <c r="J6069" t="s">
        <v>41</v>
      </c>
      <c r="K6069" t="s">
        <v>59</v>
      </c>
      <c r="Q6069">
        <v>0</v>
      </c>
      <c r="R6069">
        <v>168</v>
      </c>
      <c r="S6069">
        <v>168</v>
      </c>
    </row>
    <row r="6070" spans="1:20" customFormat="1" ht="15" x14ac:dyDescent="0.25">
      <c r="A6070" t="s">
        <v>35</v>
      </c>
      <c r="B6070" t="s">
        <v>61</v>
      </c>
      <c r="C6070" t="str">
        <f>"A0183352"</f>
        <v>A0183352</v>
      </c>
      <c r="D6070" t="s">
        <v>23693</v>
      </c>
      <c r="E6070" t="s">
        <v>23694</v>
      </c>
      <c r="F6070" t="s">
        <v>3336</v>
      </c>
      <c r="G6070" t="s">
        <v>71</v>
      </c>
      <c r="H6070" t="s">
        <v>23746</v>
      </c>
      <c r="I6070" t="s">
        <v>30</v>
      </c>
      <c r="J6070" t="s">
        <v>41</v>
      </c>
      <c r="K6070" t="s">
        <v>59</v>
      </c>
      <c r="Q6070">
        <v>0</v>
      </c>
      <c r="R6070">
        <v>0</v>
      </c>
      <c r="S6070">
        <v>0</v>
      </c>
      <c r="T6070" t="s">
        <v>23695</v>
      </c>
    </row>
    <row r="6071" spans="1:20" customFormat="1" ht="15" x14ac:dyDescent="0.25">
      <c r="A6071" t="s">
        <v>35</v>
      </c>
      <c r="B6071" t="s">
        <v>61</v>
      </c>
      <c r="C6071" t="str">
        <f>"A0183351"</f>
        <v>A0183351</v>
      </c>
      <c r="D6071" t="s">
        <v>23747</v>
      </c>
      <c r="E6071" t="s">
        <v>23748</v>
      </c>
      <c r="F6071" t="s">
        <v>3336</v>
      </c>
      <c r="G6071" t="s">
        <v>71</v>
      </c>
      <c r="H6071">
        <v>53228</v>
      </c>
      <c r="I6071" t="s">
        <v>30</v>
      </c>
      <c r="J6071" t="s">
        <v>41</v>
      </c>
      <c r="K6071" t="s">
        <v>59</v>
      </c>
      <c r="Q6071">
        <v>0</v>
      </c>
      <c r="R6071">
        <v>0</v>
      </c>
      <c r="S6071">
        <v>0</v>
      </c>
      <c r="T6071" t="s">
        <v>23695</v>
      </c>
    </row>
    <row r="6072" spans="1:20" customFormat="1" ht="15" x14ac:dyDescent="0.25">
      <c r="A6072" t="s">
        <v>35</v>
      </c>
      <c r="B6072" t="s">
        <v>61</v>
      </c>
      <c r="C6072" t="str">
        <f>"A0183350"</f>
        <v>A0183350</v>
      </c>
      <c r="D6072" t="s">
        <v>23749</v>
      </c>
      <c r="E6072" t="s">
        <v>23750</v>
      </c>
      <c r="F6072" t="s">
        <v>11482</v>
      </c>
      <c r="G6072" t="s">
        <v>71</v>
      </c>
      <c r="H6072">
        <v>546692242</v>
      </c>
      <c r="I6072" t="s">
        <v>30</v>
      </c>
      <c r="J6072" t="s">
        <v>41</v>
      </c>
      <c r="K6072" t="s">
        <v>59</v>
      </c>
      <c r="Q6072">
        <v>0</v>
      </c>
      <c r="R6072">
        <v>0</v>
      </c>
      <c r="S6072">
        <v>0</v>
      </c>
    </row>
    <row r="6073" spans="1:20" customFormat="1" ht="15" x14ac:dyDescent="0.25">
      <c r="A6073" t="s">
        <v>35</v>
      </c>
      <c r="B6073" t="s">
        <v>61</v>
      </c>
      <c r="C6073" t="str">
        <f>"A0183349"</f>
        <v>A0183349</v>
      </c>
      <c r="D6073" t="s">
        <v>23751</v>
      </c>
      <c r="E6073" t="s">
        <v>23752</v>
      </c>
      <c r="F6073" t="s">
        <v>10801</v>
      </c>
      <c r="G6073" t="s">
        <v>161</v>
      </c>
      <c r="H6073" t="s">
        <v>23753</v>
      </c>
      <c r="I6073" t="s">
        <v>30</v>
      </c>
      <c r="J6073" t="s">
        <v>41</v>
      </c>
      <c r="K6073" t="s">
        <v>59</v>
      </c>
      <c r="Q6073">
        <v>0</v>
      </c>
      <c r="R6073">
        <v>0</v>
      </c>
      <c r="S6073">
        <v>0</v>
      </c>
    </row>
    <row r="6074" spans="1:20" customFormat="1" ht="15" x14ac:dyDescent="0.25">
      <c r="A6074" t="s">
        <v>35</v>
      </c>
      <c r="B6074" t="s">
        <v>61</v>
      </c>
      <c r="C6074" t="str">
        <f>"A0183348"</f>
        <v>A0183348</v>
      </c>
      <c r="D6074" t="s">
        <v>23754</v>
      </c>
      <c r="E6074" t="s">
        <v>23755</v>
      </c>
      <c r="F6074" t="s">
        <v>9808</v>
      </c>
      <c r="G6074" t="s">
        <v>47</v>
      </c>
      <c r="H6074">
        <v>973302112</v>
      </c>
      <c r="I6074" t="s">
        <v>30</v>
      </c>
      <c r="J6074" t="s">
        <v>41</v>
      </c>
      <c r="K6074" t="s">
        <v>59</v>
      </c>
      <c r="Q6074">
        <v>0</v>
      </c>
      <c r="R6074">
        <v>0</v>
      </c>
      <c r="S6074">
        <v>0</v>
      </c>
      <c r="T6074" t="s">
        <v>23756</v>
      </c>
    </row>
    <row r="6075" spans="1:20" customFormat="1" ht="15" x14ac:dyDescent="0.25">
      <c r="A6075" t="s">
        <v>35</v>
      </c>
      <c r="B6075" t="s">
        <v>61</v>
      </c>
      <c r="C6075" t="str">
        <f>"A0183347"</f>
        <v>A0183347</v>
      </c>
      <c r="D6075" t="s">
        <v>23757</v>
      </c>
      <c r="E6075" t="s">
        <v>23565</v>
      </c>
      <c r="F6075" t="s">
        <v>23566</v>
      </c>
      <c r="G6075" t="s">
        <v>103</v>
      </c>
      <c r="H6075" t="s">
        <v>23758</v>
      </c>
      <c r="I6075" t="s">
        <v>30</v>
      </c>
      <c r="J6075" t="s">
        <v>41</v>
      </c>
      <c r="K6075" t="s">
        <v>59</v>
      </c>
      <c r="Q6075">
        <v>0</v>
      </c>
      <c r="R6075">
        <v>0</v>
      </c>
      <c r="S6075">
        <v>0</v>
      </c>
      <c r="T6075" t="s">
        <v>23567</v>
      </c>
    </row>
    <row r="6076" spans="1:20" customFormat="1" ht="15" x14ac:dyDescent="0.25">
      <c r="A6076" t="s">
        <v>35</v>
      </c>
      <c r="B6076" t="s">
        <v>11871</v>
      </c>
      <c r="C6076" t="str">
        <f>"A0183346"</f>
        <v>A0183346</v>
      </c>
      <c r="D6076" t="s">
        <v>23759</v>
      </c>
      <c r="E6076" t="s">
        <v>23760</v>
      </c>
      <c r="F6076" t="s">
        <v>102</v>
      </c>
      <c r="G6076" t="s">
        <v>103</v>
      </c>
      <c r="H6076" t="s">
        <v>23761</v>
      </c>
      <c r="I6076" t="s">
        <v>30</v>
      </c>
      <c r="J6076" t="s">
        <v>41</v>
      </c>
      <c r="K6076" t="s">
        <v>59</v>
      </c>
      <c r="Q6076">
        <v>0</v>
      </c>
      <c r="R6076">
        <v>0</v>
      </c>
      <c r="S6076">
        <v>0</v>
      </c>
      <c r="T6076" t="s">
        <v>23762</v>
      </c>
    </row>
    <row r="6077" spans="1:20" customFormat="1" ht="15" x14ac:dyDescent="0.25">
      <c r="A6077" t="s">
        <v>35</v>
      </c>
      <c r="B6077" t="s">
        <v>11871</v>
      </c>
      <c r="C6077" t="str">
        <f>"A0183345"</f>
        <v>A0183345</v>
      </c>
      <c r="D6077" t="s">
        <v>23763</v>
      </c>
      <c r="E6077" t="s">
        <v>23764</v>
      </c>
      <c r="F6077" t="s">
        <v>102</v>
      </c>
      <c r="G6077" t="s">
        <v>103</v>
      </c>
      <c r="H6077" t="s">
        <v>23765</v>
      </c>
      <c r="I6077" t="s">
        <v>30</v>
      </c>
      <c r="J6077" t="s">
        <v>41</v>
      </c>
      <c r="K6077" t="s">
        <v>59</v>
      </c>
      <c r="Q6077">
        <v>0</v>
      </c>
      <c r="R6077">
        <v>0</v>
      </c>
      <c r="S6077">
        <v>0</v>
      </c>
      <c r="T6077" t="s">
        <v>23766</v>
      </c>
    </row>
    <row r="6078" spans="1:20" customFormat="1" ht="15" x14ac:dyDescent="0.25">
      <c r="A6078" t="s">
        <v>35</v>
      </c>
      <c r="B6078" t="s">
        <v>61</v>
      </c>
      <c r="C6078" t="str">
        <f>"A0183344"</f>
        <v>A0183344</v>
      </c>
      <c r="D6078" t="s">
        <v>23767</v>
      </c>
      <c r="E6078" t="s">
        <v>23768</v>
      </c>
      <c r="F6078" t="s">
        <v>1302</v>
      </c>
      <c r="G6078" t="s">
        <v>103</v>
      </c>
      <c r="H6078">
        <v>17201</v>
      </c>
      <c r="I6078" t="s">
        <v>30</v>
      </c>
      <c r="J6078" t="s">
        <v>41</v>
      </c>
      <c r="K6078" t="s">
        <v>59</v>
      </c>
      <c r="Q6078">
        <v>0</v>
      </c>
      <c r="R6078">
        <v>0</v>
      </c>
      <c r="S6078">
        <v>0</v>
      </c>
      <c r="T6078" t="s">
        <v>23769</v>
      </c>
    </row>
    <row r="6079" spans="1:20" customFormat="1" ht="15" x14ac:dyDescent="0.25">
      <c r="A6079" t="s">
        <v>35</v>
      </c>
      <c r="B6079" t="s">
        <v>61</v>
      </c>
      <c r="C6079" t="str">
        <f>"A0183343"</f>
        <v>A0183343</v>
      </c>
      <c r="D6079" t="s">
        <v>23770</v>
      </c>
      <c r="E6079" t="s">
        <v>23771</v>
      </c>
      <c r="F6079" t="s">
        <v>9836</v>
      </c>
      <c r="G6079" t="s">
        <v>110</v>
      </c>
      <c r="H6079" t="s">
        <v>23772</v>
      </c>
      <c r="I6079" t="s">
        <v>30</v>
      </c>
      <c r="J6079" t="s">
        <v>41</v>
      </c>
      <c r="K6079" t="s">
        <v>59</v>
      </c>
      <c r="Q6079">
        <v>0</v>
      </c>
      <c r="R6079">
        <v>0</v>
      </c>
      <c r="S6079">
        <v>0</v>
      </c>
      <c r="T6079" t="s">
        <v>23773</v>
      </c>
    </row>
    <row r="6080" spans="1:20" customFormat="1" ht="15" x14ac:dyDescent="0.25">
      <c r="A6080" t="s">
        <v>35</v>
      </c>
      <c r="B6080" t="s">
        <v>61</v>
      </c>
      <c r="C6080" t="str">
        <f>"A0183342"</f>
        <v>A0183342</v>
      </c>
      <c r="D6080" t="s">
        <v>23774</v>
      </c>
      <c r="E6080" t="s">
        <v>23775</v>
      </c>
      <c r="F6080" t="s">
        <v>3009</v>
      </c>
      <c r="G6080" t="s">
        <v>110</v>
      </c>
      <c r="H6080" t="s">
        <v>23776</v>
      </c>
      <c r="I6080" t="s">
        <v>30</v>
      </c>
      <c r="J6080" t="s">
        <v>41</v>
      </c>
      <c r="K6080" t="s">
        <v>59</v>
      </c>
      <c r="Q6080">
        <v>0</v>
      </c>
      <c r="R6080">
        <v>0</v>
      </c>
      <c r="S6080">
        <v>0</v>
      </c>
      <c r="T6080" t="s">
        <v>23777</v>
      </c>
    </row>
    <row r="6081" spans="1:20" customFormat="1" ht="15" x14ac:dyDescent="0.25">
      <c r="A6081" t="s">
        <v>35</v>
      </c>
      <c r="B6081" t="s">
        <v>61</v>
      </c>
      <c r="C6081" t="str">
        <f>"A0183341"</f>
        <v>A0183341</v>
      </c>
      <c r="D6081" t="s">
        <v>23778</v>
      </c>
      <c r="E6081" t="s">
        <v>23779</v>
      </c>
      <c r="F6081" t="s">
        <v>1431</v>
      </c>
      <c r="G6081" t="s">
        <v>47</v>
      </c>
      <c r="H6081">
        <v>972361573</v>
      </c>
      <c r="I6081" t="s">
        <v>30</v>
      </c>
      <c r="J6081" t="s">
        <v>41</v>
      </c>
      <c r="K6081" t="s">
        <v>59</v>
      </c>
      <c r="Q6081">
        <v>0</v>
      </c>
      <c r="R6081">
        <v>0</v>
      </c>
      <c r="S6081">
        <v>0</v>
      </c>
      <c r="T6081" t="s">
        <v>23780</v>
      </c>
    </row>
    <row r="6082" spans="1:20" customFormat="1" ht="15" x14ac:dyDescent="0.25">
      <c r="A6082" t="s">
        <v>35</v>
      </c>
      <c r="B6082" t="s">
        <v>61</v>
      </c>
      <c r="C6082" t="str">
        <f>"A0183340"</f>
        <v>A0183340</v>
      </c>
      <c r="D6082" t="s">
        <v>23781</v>
      </c>
      <c r="E6082" t="s">
        <v>23782</v>
      </c>
      <c r="F6082" t="s">
        <v>1431</v>
      </c>
      <c r="G6082" t="s">
        <v>47</v>
      </c>
      <c r="H6082">
        <v>972025434</v>
      </c>
      <c r="I6082" t="s">
        <v>30</v>
      </c>
      <c r="J6082" t="s">
        <v>41</v>
      </c>
      <c r="K6082" t="s">
        <v>59</v>
      </c>
      <c r="Q6082">
        <v>0</v>
      </c>
      <c r="R6082">
        <v>0</v>
      </c>
      <c r="S6082">
        <v>0</v>
      </c>
      <c r="T6082" t="s">
        <v>23783</v>
      </c>
    </row>
    <row r="6083" spans="1:20" customFormat="1" ht="15" x14ac:dyDescent="0.25">
      <c r="A6083" t="s">
        <v>35</v>
      </c>
      <c r="B6083" t="s">
        <v>61</v>
      </c>
      <c r="C6083" t="str">
        <f>"A0183339"</f>
        <v>A0183339</v>
      </c>
      <c r="D6083" t="s">
        <v>23784</v>
      </c>
      <c r="E6083" t="s">
        <v>23785</v>
      </c>
      <c r="F6083" t="s">
        <v>23786</v>
      </c>
      <c r="G6083" t="s">
        <v>47</v>
      </c>
      <c r="H6083">
        <v>978141649</v>
      </c>
      <c r="I6083" t="s">
        <v>30</v>
      </c>
      <c r="J6083" t="s">
        <v>41</v>
      </c>
      <c r="K6083" t="s">
        <v>59</v>
      </c>
      <c r="Q6083">
        <v>0</v>
      </c>
      <c r="R6083">
        <v>0</v>
      </c>
      <c r="S6083">
        <v>0</v>
      </c>
      <c r="T6083" t="s">
        <v>23787</v>
      </c>
    </row>
    <row r="6084" spans="1:20" customFormat="1" ht="15" x14ac:dyDescent="0.25">
      <c r="A6084" t="s">
        <v>35</v>
      </c>
      <c r="B6084" t="s">
        <v>61</v>
      </c>
      <c r="C6084" t="str">
        <f>"A0183338"</f>
        <v>A0183338</v>
      </c>
      <c r="D6084" t="s">
        <v>23788</v>
      </c>
      <c r="E6084" t="s">
        <v>23789</v>
      </c>
      <c r="F6084" t="s">
        <v>1705</v>
      </c>
      <c r="G6084" t="s">
        <v>1706</v>
      </c>
      <c r="H6084" t="s">
        <v>23790</v>
      </c>
      <c r="I6084" t="s">
        <v>30</v>
      </c>
      <c r="J6084" t="s">
        <v>41</v>
      </c>
      <c r="K6084" t="s">
        <v>59</v>
      </c>
      <c r="Q6084">
        <v>0</v>
      </c>
      <c r="R6084">
        <v>0</v>
      </c>
      <c r="S6084">
        <v>0</v>
      </c>
      <c r="T6084" t="s">
        <v>23643</v>
      </c>
    </row>
    <row r="6085" spans="1:20" customFormat="1" ht="15" x14ac:dyDescent="0.25">
      <c r="A6085" t="s">
        <v>35</v>
      </c>
      <c r="B6085" t="s">
        <v>61</v>
      </c>
      <c r="C6085" t="str">
        <f>"A0183337"</f>
        <v>A0183337</v>
      </c>
      <c r="D6085" t="s">
        <v>23791</v>
      </c>
      <c r="E6085" t="s">
        <v>23792</v>
      </c>
      <c r="F6085" t="s">
        <v>8126</v>
      </c>
      <c r="G6085" t="s">
        <v>190</v>
      </c>
      <c r="H6085">
        <v>814251536</v>
      </c>
      <c r="I6085" t="s">
        <v>30</v>
      </c>
      <c r="J6085" t="s">
        <v>41</v>
      </c>
      <c r="K6085" t="s">
        <v>59</v>
      </c>
      <c r="Q6085">
        <v>0</v>
      </c>
      <c r="R6085">
        <v>0</v>
      </c>
      <c r="S6085">
        <v>0</v>
      </c>
    </row>
    <row r="6086" spans="1:20" customFormat="1" ht="15" x14ac:dyDescent="0.25">
      <c r="A6086" t="s">
        <v>35</v>
      </c>
      <c r="B6086" t="s">
        <v>11717</v>
      </c>
      <c r="C6086" t="str">
        <f>"A0183336"</f>
        <v>A0183336</v>
      </c>
      <c r="D6086" t="s">
        <v>23793</v>
      </c>
      <c r="E6086" t="s">
        <v>23722</v>
      </c>
      <c r="F6086" t="s">
        <v>23040</v>
      </c>
      <c r="G6086" t="s">
        <v>103</v>
      </c>
      <c r="H6086">
        <v>170198522</v>
      </c>
      <c r="I6086" t="s">
        <v>30</v>
      </c>
      <c r="J6086" t="s">
        <v>41</v>
      </c>
      <c r="K6086" t="s">
        <v>59</v>
      </c>
      <c r="Q6086">
        <v>0</v>
      </c>
      <c r="R6086">
        <v>0</v>
      </c>
      <c r="S6086">
        <v>0</v>
      </c>
      <c r="T6086" t="s">
        <v>23794</v>
      </c>
    </row>
    <row r="6087" spans="1:20" customFormat="1" ht="15" x14ac:dyDescent="0.25">
      <c r="A6087" t="s">
        <v>35</v>
      </c>
      <c r="B6087" t="s">
        <v>11717</v>
      </c>
      <c r="C6087" t="str">
        <f>"A0183335"</f>
        <v>A0183335</v>
      </c>
      <c r="D6087" t="s">
        <v>23795</v>
      </c>
      <c r="E6087" t="s">
        <v>23796</v>
      </c>
      <c r="F6087" t="s">
        <v>2990</v>
      </c>
      <c r="G6087" t="s">
        <v>103</v>
      </c>
      <c r="H6087">
        <v>171011359</v>
      </c>
      <c r="I6087" t="s">
        <v>30</v>
      </c>
      <c r="J6087" t="s">
        <v>41</v>
      </c>
      <c r="K6087" t="s">
        <v>59</v>
      </c>
      <c r="Q6087">
        <v>0</v>
      </c>
      <c r="R6087">
        <v>132</v>
      </c>
      <c r="S6087">
        <v>132</v>
      </c>
      <c r="T6087" t="s">
        <v>23797</v>
      </c>
    </row>
    <row r="6088" spans="1:20" customFormat="1" ht="15" x14ac:dyDescent="0.25">
      <c r="A6088" t="s">
        <v>35</v>
      </c>
      <c r="B6088" t="s">
        <v>61</v>
      </c>
      <c r="C6088" t="str">
        <f>"A0183334"</f>
        <v>A0183334</v>
      </c>
      <c r="D6088" t="s">
        <v>23798</v>
      </c>
      <c r="E6088" t="s">
        <v>23799</v>
      </c>
      <c r="F6088" t="s">
        <v>23800</v>
      </c>
      <c r="G6088" t="s">
        <v>103</v>
      </c>
      <c r="H6088">
        <v>17520</v>
      </c>
      <c r="I6088" t="s">
        <v>30</v>
      </c>
      <c r="J6088" t="s">
        <v>41</v>
      </c>
      <c r="K6088" t="s">
        <v>59</v>
      </c>
      <c r="Q6088">
        <v>0</v>
      </c>
      <c r="R6088">
        <v>0</v>
      </c>
      <c r="S6088">
        <v>0</v>
      </c>
      <c r="T6088" t="s">
        <v>23702</v>
      </c>
    </row>
    <row r="6089" spans="1:20" customFormat="1" ht="15" x14ac:dyDescent="0.25">
      <c r="A6089" t="s">
        <v>35</v>
      </c>
      <c r="B6089" t="s">
        <v>61</v>
      </c>
      <c r="C6089" t="str">
        <f>"A0183333"</f>
        <v>A0183333</v>
      </c>
      <c r="D6089" t="s">
        <v>23801</v>
      </c>
      <c r="E6089" t="s">
        <v>23802</v>
      </c>
      <c r="F6089" t="s">
        <v>11728</v>
      </c>
      <c r="G6089" t="s">
        <v>103</v>
      </c>
      <c r="H6089">
        <v>18104</v>
      </c>
      <c r="I6089" t="s">
        <v>30</v>
      </c>
      <c r="J6089" t="s">
        <v>41</v>
      </c>
      <c r="K6089" t="s">
        <v>59</v>
      </c>
      <c r="Q6089">
        <v>0</v>
      </c>
      <c r="R6089">
        <v>0</v>
      </c>
      <c r="S6089">
        <v>0</v>
      </c>
      <c r="T6089" t="s">
        <v>23803</v>
      </c>
    </row>
    <row r="6090" spans="1:20" customFormat="1" ht="15" x14ac:dyDescent="0.25">
      <c r="A6090" t="s">
        <v>35</v>
      </c>
      <c r="B6090" t="s">
        <v>11871</v>
      </c>
      <c r="C6090" t="str">
        <f>"A0183332"</f>
        <v>A0183332</v>
      </c>
      <c r="D6090" t="s">
        <v>23804</v>
      </c>
      <c r="E6090" t="s">
        <v>23805</v>
      </c>
      <c r="F6090" t="s">
        <v>102</v>
      </c>
      <c r="G6090" t="s">
        <v>103</v>
      </c>
      <c r="H6090" t="s">
        <v>23806</v>
      </c>
      <c r="I6090" t="s">
        <v>30</v>
      </c>
      <c r="J6090" t="s">
        <v>41</v>
      </c>
      <c r="K6090" t="s">
        <v>59</v>
      </c>
      <c r="Q6090">
        <v>0</v>
      </c>
      <c r="R6090">
        <v>0</v>
      </c>
      <c r="S6090">
        <v>0</v>
      </c>
      <c r="T6090" t="s">
        <v>23807</v>
      </c>
    </row>
    <row r="6091" spans="1:20" customFormat="1" ht="15" x14ac:dyDescent="0.25">
      <c r="A6091" t="s">
        <v>35</v>
      </c>
      <c r="B6091" t="s">
        <v>11871</v>
      </c>
      <c r="C6091" t="str">
        <f>"A0183331"</f>
        <v>A0183331</v>
      </c>
      <c r="D6091" t="s">
        <v>23808</v>
      </c>
      <c r="E6091" t="s">
        <v>23809</v>
      </c>
      <c r="F6091" t="s">
        <v>12120</v>
      </c>
      <c r="G6091" t="s">
        <v>103</v>
      </c>
      <c r="H6091" t="s">
        <v>23810</v>
      </c>
      <c r="I6091" t="s">
        <v>30</v>
      </c>
      <c r="J6091" t="s">
        <v>41</v>
      </c>
      <c r="K6091" t="s">
        <v>59</v>
      </c>
      <c r="Q6091">
        <v>0</v>
      </c>
      <c r="R6091">
        <v>0</v>
      </c>
      <c r="S6091">
        <v>0</v>
      </c>
      <c r="T6091" t="s">
        <v>23811</v>
      </c>
    </row>
    <row r="6092" spans="1:20" customFormat="1" ht="15" x14ac:dyDescent="0.25">
      <c r="A6092" t="s">
        <v>35</v>
      </c>
      <c r="B6092" t="s">
        <v>61</v>
      </c>
      <c r="C6092" t="str">
        <f>"A0183330"</f>
        <v>A0183330</v>
      </c>
      <c r="D6092" t="s">
        <v>23812</v>
      </c>
      <c r="E6092" t="s">
        <v>23813</v>
      </c>
      <c r="F6092" t="s">
        <v>23814</v>
      </c>
      <c r="G6092" t="s">
        <v>103</v>
      </c>
      <c r="H6092">
        <v>18091</v>
      </c>
      <c r="I6092" t="s">
        <v>30</v>
      </c>
      <c r="J6092" t="s">
        <v>41</v>
      </c>
      <c r="K6092" t="s">
        <v>59</v>
      </c>
      <c r="Q6092">
        <v>0</v>
      </c>
      <c r="R6092">
        <v>0</v>
      </c>
      <c r="S6092">
        <v>0</v>
      </c>
      <c r="T6092" t="s">
        <v>23815</v>
      </c>
    </row>
    <row r="6093" spans="1:20" customFormat="1" ht="15" x14ac:dyDescent="0.25">
      <c r="A6093" t="s">
        <v>35</v>
      </c>
      <c r="B6093" t="s">
        <v>61</v>
      </c>
      <c r="C6093" t="str">
        <f>"A0183329"</f>
        <v>A0183329</v>
      </c>
      <c r="D6093" t="s">
        <v>23816</v>
      </c>
      <c r="E6093" t="s">
        <v>23817</v>
      </c>
      <c r="F6093" t="s">
        <v>23818</v>
      </c>
      <c r="G6093" t="s">
        <v>103</v>
      </c>
      <c r="H6093">
        <v>19606</v>
      </c>
      <c r="I6093" t="s">
        <v>30</v>
      </c>
      <c r="J6093" t="s">
        <v>41</v>
      </c>
      <c r="K6093" t="s">
        <v>59</v>
      </c>
      <c r="Q6093">
        <v>0</v>
      </c>
      <c r="R6093">
        <v>0</v>
      </c>
      <c r="S6093">
        <v>0</v>
      </c>
      <c r="T6093" t="s">
        <v>23051</v>
      </c>
    </row>
    <row r="6094" spans="1:20" customFormat="1" ht="15" x14ac:dyDescent="0.25">
      <c r="A6094" t="s">
        <v>35</v>
      </c>
      <c r="B6094" t="s">
        <v>61</v>
      </c>
      <c r="C6094" t="str">
        <f>"A0183328"</f>
        <v>A0183328</v>
      </c>
      <c r="D6094" t="s">
        <v>23819</v>
      </c>
      <c r="E6094" t="s">
        <v>23820</v>
      </c>
      <c r="F6094" t="s">
        <v>1731</v>
      </c>
      <c r="G6094" t="s">
        <v>103</v>
      </c>
      <c r="H6094" t="s">
        <v>23821</v>
      </c>
      <c r="I6094" t="s">
        <v>30</v>
      </c>
      <c r="J6094" t="s">
        <v>41</v>
      </c>
      <c r="K6094" t="s">
        <v>59</v>
      </c>
      <c r="Q6094">
        <v>0</v>
      </c>
      <c r="R6094">
        <v>0</v>
      </c>
      <c r="S6094">
        <v>0</v>
      </c>
      <c r="T6094" t="s">
        <v>23822</v>
      </c>
    </row>
    <row r="6095" spans="1:20" customFormat="1" ht="15" x14ac:dyDescent="0.25">
      <c r="A6095" t="s">
        <v>35</v>
      </c>
      <c r="B6095" t="s">
        <v>61</v>
      </c>
      <c r="C6095" t="str">
        <f>"A0183327"</f>
        <v>A0183327</v>
      </c>
      <c r="D6095" t="s">
        <v>23823</v>
      </c>
      <c r="E6095" t="s">
        <v>23824</v>
      </c>
      <c r="F6095" t="s">
        <v>23825</v>
      </c>
      <c r="G6095" t="s">
        <v>99</v>
      </c>
      <c r="H6095">
        <v>14068</v>
      </c>
      <c r="I6095" t="s">
        <v>30</v>
      </c>
      <c r="J6095" t="s">
        <v>41</v>
      </c>
      <c r="K6095" t="s">
        <v>59</v>
      </c>
      <c r="Q6095">
        <v>0</v>
      </c>
      <c r="R6095">
        <v>0</v>
      </c>
      <c r="S6095">
        <v>0</v>
      </c>
      <c r="T6095" t="s">
        <v>23826</v>
      </c>
    </row>
    <row r="6096" spans="1:20" customFormat="1" ht="15" x14ac:dyDescent="0.25">
      <c r="A6096" t="s">
        <v>35</v>
      </c>
      <c r="B6096" t="s">
        <v>61</v>
      </c>
      <c r="C6096" t="str">
        <f>"A0183326"</f>
        <v>A0183326</v>
      </c>
      <c r="D6096" t="s">
        <v>23827</v>
      </c>
      <c r="E6096" t="s">
        <v>23828</v>
      </c>
      <c r="F6096" t="s">
        <v>23829</v>
      </c>
      <c r="G6096" t="s">
        <v>99</v>
      </c>
      <c r="H6096" t="s">
        <v>23830</v>
      </c>
      <c r="I6096" t="s">
        <v>30</v>
      </c>
      <c r="J6096" t="s">
        <v>41</v>
      </c>
      <c r="K6096" t="s">
        <v>59</v>
      </c>
      <c r="Q6096">
        <v>0</v>
      </c>
      <c r="R6096">
        <v>0</v>
      </c>
      <c r="S6096">
        <v>0</v>
      </c>
    </row>
    <row r="6097" spans="1:20" customFormat="1" ht="15" x14ac:dyDescent="0.25">
      <c r="A6097" t="s">
        <v>35</v>
      </c>
      <c r="B6097" t="s">
        <v>61</v>
      </c>
      <c r="C6097" t="str">
        <f>"A0183325"</f>
        <v>A0183325</v>
      </c>
      <c r="D6097" t="s">
        <v>23831</v>
      </c>
      <c r="E6097" t="s">
        <v>23832</v>
      </c>
      <c r="F6097" t="s">
        <v>23833</v>
      </c>
      <c r="G6097" t="s">
        <v>99</v>
      </c>
      <c r="H6097">
        <v>10027</v>
      </c>
      <c r="I6097" t="s">
        <v>30</v>
      </c>
      <c r="J6097" t="s">
        <v>41</v>
      </c>
      <c r="K6097" t="s">
        <v>59</v>
      </c>
      <c r="Q6097">
        <v>0</v>
      </c>
      <c r="R6097">
        <v>40</v>
      </c>
      <c r="S6097">
        <v>40</v>
      </c>
      <c r="T6097" t="s">
        <v>23834</v>
      </c>
    </row>
    <row r="6098" spans="1:20" customFormat="1" ht="15" x14ac:dyDescent="0.25">
      <c r="A6098" t="s">
        <v>35</v>
      </c>
      <c r="B6098" t="s">
        <v>61</v>
      </c>
      <c r="C6098" t="str">
        <f>"A0183324"</f>
        <v>A0183324</v>
      </c>
      <c r="D6098" t="s">
        <v>23835</v>
      </c>
      <c r="E6098" t="s">
        <v>23836</v>
      </c>
      <c r="F6098" t="s">
        <v>23837</v>
      </c>
      <c r="G6098" t="s">
        <v>103</v>
      </c>
      <c r="H6098">
        <v>19555</v>
      </c>
      <c r="I6098" t="s">
        <v>30</v>
      </c>
      <c r="J6098" t="s">
        <v>41</v>
      </c>
      <c r="K6098" t="s">
        <v>59</v>
      </c>
      <c r="Q6098">
        <v>0</v>
      </c>
      <c r="R6098">
        <v>0</v>
      </c>
      <c r="S6098">
        <v>0</v>
      </c>
      <c r="T6098" t="s">
        <v>23838</v>
      </c>
    </row>
    <row r="6099" spans="1:20" customFormat="1" ht="15" x14ac:dyDescent="0.25">
      <c r="A6099" t="s">
        <v>35</v>
      </c>
      <c r="B6099" t="s">
        <v>61</v>
      </c>
      <c r="C6099" t="str">
        <f>"A0183323"</f>
        <v>A0183323</v>
      </c>
      <c r="D6099" t="s">
        <v>23839</v>
      </c>
      <c r="E6099" t="s">
        <v>23840</v>
      </c>
      <c r="F6099" t="s">
        <v>20714</v>
      </c>
      <c r="G6099" t="s">
        <v>103</v>
      </c>
      <c r="H6099" t="s">
        <v>23841</v>
      </c>
      <c r="I6099" t="s">
        <v>30</v>
      </c>
      <c r="J6099" t="s">
        <v>41</v>
      </c>
      <c r="K6099" t="s">
        <v>59</v>
      </c>
      <c r="Q6099">
        <v>0</v>
      </c>
      <c r="R6099">
        <v>278</v>
      </c>
      <c r="S6099">
        <v>278</v>
      </c>
      <c r="T6099" t="s">
        <v>23842</v>
      </c>
    </row>
    <row r="6100" spans="1:20" customFormat="1" ht="15" x14ac:dyDescent="0.25">
      <c r="A6100" t="s">
        <v>35</v>
      </c>
      <c r="B6100" t="s">
        <v>61</v>
      </c>
      <c r="C6100" t="str">
        <f>"A0183322"</f>
        <v>A0183322</v>
      </c>
      <c r="D6100" t="s">
        <v>23843</v>
      </c>
      <c r="E6100" t="s">
        <v>23844</v>
      </c>
      <c r="F6100" t="s">
        <v>20714</v>
      </c>
      <c r="G6100" t="s">
        <v>103</v>
      </c>
      <c r="H6100">
        <v>18064</v>
      </c>
      <c r="I6100" t="s">
        <v>30</v>
      </c>
      <c r="J6100" t="s">
        <v>41</v>
      </c>
      <c r="K6100" t="s">
        <v>59</v>
      </c>
      <c r="Q6100">
        <v>0</v>
      </c>
      <c r="R6100">
        <v>0</v>
      </c>
      <c r="S6100">
        <v>0</v>
      </c>
    </row>
    <row r="6101" spans="1:20" customFormat="1" ht="15" x14ac:dyDescent="0.25">
      <c r="A6101" t="s">
        <v>35</v>
      </c>
      <c r="B6101" t="s">
        <v>61</v>
      </c>
      <c r="C6101" t="str">
        <f>"A0183321"</f>
        <v>A0183321</v>
      </c>
      <c r="D6101" t="s">
        <v>23845</v>
      </c>
      <c r="E6101" t="s">
        <v>23385</v>
      </c>
      <c r="F6101" t="s">
        <v>23386</v>
      </c>
      <c r="G6101" t="s">
        <v>52</v>
      </c>
      <c r="H6101" t="s">
        <v>23387</v>
      </c>
      <c r="I6101" t="s">
        <v>30</v>
      </c>
      <c r="J6101" t="s">
        <v>41</v>
      </c>
      <c r="K6101" t="s">
        <v>59</v>
      </c>
      <c r="Q6101">
        <v>0</v>
      </c>
      <c r="R6101">
        <v>114</v>
      </c>
      <c r="S6101">
        <v>114</v>
      </c>
      <c r="T6101" t="s">
        <v>23388</v>
      </c>
    </row>
    <row r="6102" spans="1:20" customFormat="1" ht="15" x14ac:dyDescent="0.25">
      <c r="A6102" t="s">
        <v>35</v>
      </c>
      <c r="B6102" t="s">
        <v>61</v>
      </c>
      <c r="C6102" t="str">
        <f>"A0183320"</f>
        <v>A0183320</v>
      </c>
      <c r="D6102" t="s">
        <v>23846</v>
      </c>
      <c r="E6102" t="s">
        <v>23847</v>
      </c>
      <c r="F6102" t="s">
        <v>23848</v>
      </c>
      <c r="G6102" t="s">
        <v>52</v>
      </c>
      <c r="H6102">
        <v>77573</v>
      </c>
      <c r="I6102" t="s">
        <v>30</v>
      </c>
      <c r="J6102" t="s">
        <v>41</v>
      </c>
      <c r="K6102" t="s">
        <v>59</v>
      </c>
      <c r="Q6102">
        <v>0</v>
      </c>
      <c r="R6102">
        <v>48</v>
      </c>
      <c r="S6102">
        <v>48</v>
      </c>
      <c r="T6102" t="s">
        <v>22590</v>
      </c>
    </row>
    <row r="6103" spans="1:20" customFormat="1" ht="15" x14ac:dyDescent="0.25">
      <c r="A6103" t="s">
        <v>35</v>
      </c>
      <c r="B6103" t="s">
        <v>61</v>
      </c>
      <c r="C6103" t="str">
        <f>"A0183319"</f>
        <v>A0183319</v>
      </c>
      <c r="D6103" t="s">
        <v>23849</v>
      </c>
      <c r="E6103" t="s">
        <v>23850</v>
      </c>
      <c r="F6103" t="s">
        <v>2719</v>
      </c>
      <c r="G6103" t="s">
        <v>190</v>
      </c>
      <c r="H6103">
        <v>802224723</v>
      </c>
      <c r="I6103" t="s">
        <v>30</v>
      </c>
      <c r="J6103" t="s">
        <v>41</v>
      </c>
      <c r="K6103" t="s">
        <v>59</v>
      </c>
      <c r="Q6103">
        <v>0</v>
      </c>
      <c r="R6103">
        <v>0</v>
      </c>
      <c r="S6103">
        <v>0</v>
      </c>
    </row>
    <row r="6104" spans="1:20" customFormat="1" ht="15" x14ac:dyDescent="0.25">
      <c r="A6104" t="s">
        <v>35</v>
      </c>
      <c r="B6104" t="s">
        <v>61</v>
      </c>
      <c r="C6104" t="str">
        <f>"A0183318"</f>
        <v>A0183318</v>
      </c>
      <c r="D6104" t="s">
        <v>23851</v>
      </c>
      <c r="E6104" t="s">
        <v>23852</v>
      </c>
      <c r="F6104" t="s">
        <v>2719</v>
      </c>
      <c r="G6104" t="s">
        <v>190</v>
      </c>
      <c r="H6104">
        <v>80218</v>
      </c>
      <c r="I6104" t="s">
        <v>30</v>
      </c>
      <c r="J6104" t="s">
        <v>41</v>
      </c>
      <c r="K6104" t="s">
        <v>59</v>
      </c>
      <c r="Q6104">
        <v>0</v>
      </c>
      <c r="R6104">
        <v>0</v>
      </c>
      <c r="S6104">
        <v>0</v>
      </c>
      <c r="T6104" t="s">
        <v>23853</v>
      </c>
    </row>
    <row r="6105" spans="1:20" customFormat="1" ht="15" x14ac:dyDescent="0.25">
      <c r="A6105" t="s">
        <v>35</v>
      </c>
      <c r="B6105" t="s">
        <v>61</v>
      </c>
      <c r="C6105" t="str">
        <f>"A0183317"</f>
        <v>A0183317</v>
      </c>
      <c r="D6105" t="s">
        <v>23854</v>
      </c>
      <c r="E6105" t="s">
        <v>23855</v>
      </c>
      <c r="F6105" t="s">
        <v>23856</v>
      </c>
      <c r="G6105" t="s">
        <v>110</v>
      </c>
      <c r="H6105" t="s">
        <v>23857</v>
      </c>
      <c r="I6105" t="s">
        <v>30</v>
      </c>
      <c r="J6105" t="s">
        <v>41</v>
      </c>
      <c r="K6105" t="s">
        <v>59</v>
      </c>
      <c r="Q6105">
        <v>0</v>
      </c>
      <c r="R6105">
        <v>0</v>
      </c>
      <c r="S6105">
        <v>0</v>
      </c>
    </row>
    <row r="6106" spans="1:20" customFormat="1" ht="15" x14ac:dyDescent="0.25">
      <c r="A6106" t="s">
        <v>35</v>
      </c>
      <c r="B6106" t="s">
        <v>61</v>
      </c>
      <c r="C6106" t="str">
        <f>"A0183316"</f>
        <v>A0183316</v>
      </c>
      <c r="D6106" t="s">
        <v>23858</v>
      </c>
      <c r="E6106" t="s">
        <v>23859</v>
      </c>
      <c r="F6106" t="s">
        <v>8081</v>
      </c>
      <c r="G6106" t="s">
        <v>110</v>
      </c>
      <c r="H6106" t="s">
        <v>23860</v>
      </c>
      <c r="I6106" t="s">
        <v>30</v>
      </c>
      <c r="J6106" t="s">
        <v>41</v>
      </c>
      <c r="K6106" t="s">
        <v>59</v>
      </c>
      <c r="Q6106">
        <v>0</v>
      </c>
      <c r="R6106">
        <v>0</v>
      </c>
      <c r="S6106">
        <v>0</v>
      </c>
    </row>
    <row r="6107" spans="1:20" customFormat="1" ht="15" x14ac:dyDescent="0.25">
      <c r="A6107" t="s">
        <v>35</v>
      </c>
      <c r="B6107" t="s">
        <v>61</v>
      </c>
      <c r="C6107" t="str">
        <f>"A0183315"</f>
        <v>A0183315</v>
      </c>
      <c r="D6107" t="s">
        <v>23861</v>
      </c>
      <c r="E6107" t="s">
        <v>23862</v>
      </c>
      <c r="F6107" t="s">
        <v>4599</v>
      </c>
      <c r="G6107" t="s">
        <v>110</v>
      </c>
      <c r="H6107">
        <v>94539</v>
      </c>
      <c r="I6107" t="s">
        <v>30</v>
      </c>
      <c r="J6107" t="s">
        <v>41</v>
      </c>
      <c r="K6107" t="s">
        <v>59</v>
      </c>
      <c r="Q6107">
        <v>0</v>
      </c>
      <c r="R6107">
        <v>0</v>
      </c>
      <c r="S6107">
        <v>0</v>
      </c>
    </row>
    <row r="6108" spans="1:20" customFormat="1" ht="15" x14ac:dyDescent="0.25">
      <c r="A6108" t="s">
        <v>35</v>
      </c>
      <c r="B6108" t="s">
        <v>61</v>
      </c>
      <c r="C6108" t="str">
        <f>"A0183314"</f>
        <v>A0183314</v>
      </c>
      <c r="D6108" t="s">
        <v>23863</v>
      </c>
      <c r="E6108" t="s">
        <v>23864</v>
      </c>
      <c r="F6108" t="s">
        <v>2784</v>
      </c>
      <c r="G6108" t="s">
        <v>925</v>
      </c>
      <c r="H6108" t="s">
        <v>23865</v>
      </c>
      <c r="I6108" t="s">
        <v>30</v>
      </c>
      <c r="J6108" t="s">
        <v>41</v>
      </c>
      <c r="K6108" t="s">
        <v>59</v>
      </c>
      <c r="Q6108">
        <v>0</v>
      </c>
      <c r="R6108">
        <v>0</v>
      </c>
      <c r="S6108">
        <v>0</v>
      </c>
    </row>
    <row r="6109" spans="1:20" customFormat="1" ht="15" x14ac:dyDescent="0.25">
      <c r="A6109" t="s">
        <v>35</v>
      </c>
      <c r="B6109" t="s">
        <v>61</v>
      </c>
      <c r="C6109" t="str">
        <f>"A0183313"</f>
        <v>A0183313</v>
      </c>
      <c r="D6109" t="s">
        <v>23866</v>
      </c>
      <c r="E6109" t="s">
        <v>23867</v>
      </c>
      <c r="F6109" t="s">
        <v>2789</v>
      </c>
      <c r="G6109" t="s">
        <v>103</v>
      </c>
      <c r="H6109">
        <v>18045</v>
      </c>
      <c r="I6109" t="s">
        <v>30</v>
      </c>
      <c r="J6109" t="s">
        <v>41</v>
      </c>
      <c r="K6109" t="s">
        <v>59</v>
      </c>
      <c r="Q6109">
        <v>0</v>
      </c>
      <c r="R6109">
        <v>0</v>
      </c>
      <c r="S6109">
        <v>0</v>
      </c>
    </row>
    <row r="6110" spans="1:20" customFormat="1" ht="15" x14ac:dyDescent="0.25">
      <c r="A6110" t="s">
        <v>35</v>
      </c>
      <c r="B6110" t="s">
        <v>61</v>
      </c>
      <c r="C6110" t="str">
        <f>"A0183312"</f>
        <v>A0183312</v>
      </c>
      <c r="D6110" t="s">
        <v>23868</v>
      </c>
      <c r="E6110" t="s">
        <v>23869</v>
      </c>
      <c r="F6110" t="s">
        <v>23870</v>
      </c>
      <c r="G6110" t="s">
        <v>103</v>
      </c>
      <c r="H6110">
        <v>19107</v>
      </c>
      <c r="I6110" t="s">
        <v>30</v>
      </c>
      <c r="J6110" t="s">
        <v>41</v>
      </c>
      <c r="K6110" t="s">
        <v>59</v>
      </c>
      <c r="Q6110">
        <v>0</v>
      </c>
      <c r="R6110">
        <v>0</v>
      </c>
      <c r="S6110">
        <v>0</v>
      </c>
    </row>
    <row r="6111" spans="1:20" customFormat="1" ht="15" x14ac:dyDescent="0.25">
      <c r="A6111" t="s">
        <v>35</v>
      </c>
      <c r="B6111" t="s">
        <v>61</v>
      </c>
      <c r="C6111" t="str">
        <f>"A0183311"</f>
        <v>A0183311</v>
      </c>
      <c r="D6111" t="s">
        <v>23871</v>
      </c>
      <c r="E6111" t="s">
        <v>23872</v>
      </c>
      <c r="F6111" t="s">
        <v>23873</v>
      </c>
      <c r="G6111" t="s">
        <v>103</v>
      </c>
      <c r="H6111">
        <v>18974</v>
      </c>
      <c r="I6111" t="s">
        <v>30</v>
      </c>
      <c r="J6111" t="s">
        <v>41</v>
      </c>
      <c r="K6111" t="s">
        <v>59</v>
      </c>
      <c r="Q6111">
        <v>0</v>
      </c>
      <c r="R6111">
        <v>62</v>
      </c>
      <c r="S6111">
        <v>62</v>
      </c>
      <c r="T6111" t="s">
        <v>23874</v>
      </c>
    </row>
    <row r="6112" spans="1:20" customFormat="1" ht="15" x14ac:dyDescent="0.25">
      <c r="A6112" t="s">
        <v>35</v>
      </c>
      <c r="B6112" t="s">
        <v>61</v>
      </c>
      <c r="C6112" t="str">
        <f>"A0183310"</f>
        <v>A0183310</v>
      </c>
      <c r="D6112" t="s">
        <v>23875</v>
      </c>
      <c r="E6112" t="s">
        <v>23876</v>
      </c>
      <c r="F6112" t="s">
        <v>19465</v>
      </c>
      <c r="G6112" t="s">
        <v>103</v>
      </c>
      <c r="H6112">
        <v>19444</v>
      </c>
      <c r="I6112" t="s">
        <v>30</v>
      </c>
      <c r="J6112" t="s">
        <v>41</v>
      </c>
      <c r="K6112" t="s">
        <v>59</v>
      </c>
      <c r="Q6112">
        <v>0</v>
      </c>
      <c r="R6112">
        <v>165</v>
      </c>
      <c r="S6112">
        <v>165</v>
      </c>
      <c r="T6112" t="s">
        <v>23877</v>
      </c>
    </row>
    <row r="6113" spans="1:20" customFormat="1" ht="15" x14ac:dyDescent="0.25">
      <c r="A6113" t="s">
        <v>35</v>
      </c>
      <c r="B6113" t="s">
        <v>61</v>
      </c>
      <c r="C6113" t="str">
        <f>"A0183309"</f>
        <v>A0183309</v>
      </c>
      <c r="D6113" t="s">
        <v>23878</v>
      </c>
      <c r="E6113" t="s">
        <v>23879</v>
      </c>
      <c r="F6113" t="s">
        <v>23880</v>
      </c>
      <c r="G6113" t="s">
        <v>110</v>
      </c>
      <c r="H6113" t="s">
        <v>23881</v>
      </c>
      <c r="I6113" t="s">
        <v>30</v>
      </c>
      <c r="J6113" t="s">
        <v>41</v>
      </c>
      <c r="K6113" t="s">
        <v>59</v>
      </c>
      <c r="Q6113">
        <v>0</v>
      </c>
      <c r="R6113">
        <v>0</v>
      </c>
      <c r="S6113">
        <v>0</v>
      </c>
      <c r="T6113" t="s">
        <v>23882</v>
      </c>
    </row>
    <row r="6114" spans="1:20" customFormat="1" ht="15" x14ac:dyDescent="0.25">
      <c r="A6114" t="s">
        <v>35</v>
      </c>
      <c r="B6114" t="s">
        <v>61</v>
      </c>
      <c r="C6114" t="str">
        <f>"A0183308"</f>
        <v>A0183308</v>
      </c>
      <c r="D6114" t="s">
        <v>23883</v>
      </c>
      <c r="E6114" t="s">
        <v>23884</v>
      </c>
      <c r="F6114" t="s">
        <v>11585</v>
      </c>
      <c r="G6114" t="s">
        <v>110</v>
      </c>
      <c r="H6114" t="s">
        <v>23885</v>
      </c>
      <c r="I6114" t="s">
        <v>30</v>
      </c>
      <c r="J6114" t="s">
        <v>41</v>
      </c>
      <c r="K6114" t="s">
        <v>59</v>
      </c>
      <c r="Q6114">
        <v>0</v>
      </c>
      <c r="R6114">
        <v>94</v>
      </c>
      <c r="S6114">
        <v>94</v>
      </c>
      <c r="T6114" t="s">
        <v>23886</v>
      </c>
    </row>
    <row r="6115" spans="1:20" customFormat="1" ht="15" x14ac:dyDescent="0.25">
      <c r="A6115" t="s">
        <v>35</v>
      </c>
      <c r="B6115" t="s">
        <v>61</v>
      </c>
      <c r="C6115" t="str">
        <f>"A0183307"</f>
        <v>A0183307</v>
      </c>
      <c r="D6115" t="s">
        <v>23887</v>
      </c>
      <c r="E6115" t="s">
        <v>23888</v>
      </c>
      <c r="F6115" t="s">
        <v>19689</v>
      </c>
      <c r="G6115" t="s">
        <v>925</v>
      </c>
      <c r="H6115" t="s">
        <v>23889</v>
      </c>
      <c r="I6115" t="s">
        <v>30</v>
      </c>
      <c r="J6115" t="s">
        <v>41</v>
      </c>
      <c r="K6115" t="s">
        <v>59</v>
      </c>
      <c r="Q6115">
        <v>0</v>
      </c>
      <c r="R6115">
        <v>71</v>
      </c>
      <c r="S6115">
        <v>71</v>
      </c>
      <c r="T6115" t="s">
        <v>23890</v>
      </c>
    </row>
    <row r="6116" spans="1:20" customFormat="1" ht="15" x14ac:dyDescent="0.25">
      <c r="A6116" t="s">
        <v>35</v>
      </c>
      <c r="B6116" t="s">
        <v>11871</v>
      </c>
      <c r="C6116" t="str">
        <f>"A0183306"</f>
        <v>A0183306</v>
      </c>
      <c r="D6116" t="s">
        <v>23891</v>
      </c>
      <c r="E6116" t="s">
        <v>23892</v>
      </c>
      <c r="F6116" t="s">
        <v>15217</v>
      </c>
      <c r="G6116" t="s">
        <v>1170</v>
      </c>
      <c r="H6116" t="s">
        <v>23893</v>
      </c>
      <c r="I6116" t="s">
        <v>30</v>
      </c>
      <c r="J6116" t="s">
        <v>41</v>
      </c>
      <c r="K6116" t="s">
        <v>59</v>
      </c>
      <c r="Q6116">
        <v>0</v>
      </c>
      <c r="R6116">
        <v>0</v>
      </c>
      <c r="S6116">
        <v>0</v>
      </c>
      <c r="T6116" t="s">
        <v>23894</v>
      </c>
    </row>
    <row r="6117" spans="1:20" customFormat="1" ht="15" x14ac:dyDescent="0.25">
      <c r="A6117" t="s">
        <v>35</v>
      </c>
      <c r="B6117" t="s">
        <v>61</v>
      </c>
      <c r="C6117" t="str">
        <f>"A0183305"</f>
        <v>A0183305</v>
      </c>
      <c r="D6117" t="s">
        <v>23895</v>
      </c>
      <c r="E6117" t="s">
        <v>23896</v>
      </c>
      <c r="F6117" t="s">
        <v>23897</v>
      </c>
      <c r="G6117" t="s">
        <v>1170</v>
      </c>
      <c r="H6117" t="s">
        <v>23898</v>
      </c>
      <c r="I6117" t="s">
        <v>30</v>
      </c>
      <c r="J6117" t="s">
        <v>41</v>
      </c>
      <c r="K6117" t="s">
        <v>59</v>
      </c>
      <c r="Q6117">
        <v>0</v>
      </c>
      <c r="R6117">
        <v>50</v>
      </c>
      <c r="S6117">
        <v>50</v>
      </c>
      <c r="T6117" t="s">
        <v>23899</v>
      </c>
    </row>
    <row r="6118" spans="1:20" customFormat="1" ht="15" x14ac:dyDescent="0.25">
      <c r="A6118" t="s">
        <v>35</v>
      </c>
      <c r="B6118" t="s">
        <v>23900</v>
      </c>
      <c r="C6118" t="str">
        <f>"A0183304"</f>
        <v>A0183304</v>
      </c>
      <c r="D6118" t="s">
        <v>23901</v>
      </c>
      <c r="E6118" t="s">
        <v>23902</v>
      </c>
      <c r="F6118" t="s">
        <v>7095</v>
      </c>
      <c r="G6118" t="s">
        <v>1170</v>
      </c>
      <c r="H6118" t="s">
        <v>23903</v>
      </c>
      <c r="I6118" t="s">
        <v>30</v>
      </c>
      <c r="J6118" t="s">
        <v>41</v>
      </c>
      <c r="K6118" t="s">
        <v>59</v>
      </c>
      <c r="Q6118">
        <v>0</v>
      </c>
      <c r="R6118">
        <v>144</v>
      </c>
      <c r="S6118">
        <v>144</v>
      </c>
      <c r="T6118" t="s">
        <v>23904</v>
      </c>
    </row>
    <row r="6119" spans="1:20" customFormat="1" ht="15" x14ac:dyDescent="0.25">
      <c r="A6119" t="s">
        <v>35</v>
      </c>
      <c r="B6119" t="s">
        <v>61</v>
      </c>
      <c r="C6119" t="str">
        <f>"A0183303"</f>
        <v>A0183303</v>
      </c>
      <c r="D6119" t="s">
        <v>23905</v>
      </c>
      <c r="E6119" t="s">
        <v>23906</v>
      </c>
      <c r="F6119" t="s">
        <v>4622</v>
      </c>
      <c r="G6119" t="s">
        <v>1363</v>
      </c>
      <c r="H6119" t="s">
        <v>23907</v>
      </c>
      <c r="I6119" t="s">
        <v>30</v>
      </c>
      <c r="J6119" t="s">
        <v>41</v>
      </c>
      <c r="K6119" t="s">
        <v>59</v>
      </c>
      <c r="Q6119">
        <v>0</v>
      </c>
      <c r="R6119">
        <v>43</v>
      </c>
      <c r="S6119">
        <v>43</v>
      </c>
      <c r="T6119" t="s">
        <v>23908</v>
      </c>
    </row>
    <row r="6120" spans="1:20" customFormat="1" ht="15" x14ac:dyDescent="0.25">
      <c r="A6120" t="s">
        <v>35</v>
      </c>
      <c r="B6120" t="s">
        <v>11386</v>
      </c>
      <c r="C6120" t="str">
        <f>"A0183302"</f>
        <v>A0183302</v>
      </c>
      <c r="D6120" t="s">
        <v>23909</v>
      </c>
      <c r="E6120" t="s">
        <v>23910</v>
      </c>
      <c r="F6120" t="s">
        <v>8846</v>
      </c>
      <c r="G6120" t="s">
        <v>117</v>
      </c>
      <c r="H6120">
        <v>482213409</v>
      </c>
      <c r="I6120" t="s">
        <v>30</v>
      </c>
      <c r="J6120" t="s">
        <v>41</v>
      </c>
      <c r="K6120" t="s">
        <v>59</v>
      </c>
      <c r="Q6120">
        <v>0</v>
      </c>
      <c r="R6120">
        <v>0</v>
      </c>
      <c r="S6120">
        <v>0</v>
      </c>
      <c r="T6120" t="s">
        <v>23911</v>
      </c>
    </row>
    <row r="6121" spans="1:20" customFormat="1" ht="15" x14ac:dyDescent="0.25">
      <c r="A6121" t="s">
        <v>35</v>
      </c>
      <c r="B6121" t="s">
        <v>61</v>
      </c>
      <c r="C6121" t="str">
        <f>"A0183301"</f>
        <v>A0183301</v>
      </c>
      <c r="D6121" t="s">
        <v>23912</v>
      </c>
      <c r="E6121" t="s">
        <v>23913</v>
      </c>
      <c r="F6121" t="s">
        <v>5772</v>
      </c>
      <c r="G6121" t="s">
        <v>99</v>
      </c>
      <c r="H6121">
        <v>14626</v>
      </c>
      <c r="I6121" t="s">
        <v>30</v>
      </c>
      <c r="J6121" t="s">
        <v>41</v>
      </c>
      <c r="K6121" t="s">
        <v>59</v>
      </c>
      <c r="Q6121">
        <v>0</v>
      </c>
      <c r="R6121">
        <v>0</v>
      </c>
      <c r="S6121">
        <v>0</v>
      </c>
    </row>
    <row r="6122" spans="1:20" customFormat="1" ht="15" x14ac:dyDescent="0.25">
      <c r="A6122" t="s">
        <v>35</v>
      </c>
      <c r="B6122" t="s">
        <v>61</v>
      </c>
      <c r="C6122" t="str">
        <f>"A0183300"</f>
        <v>A0183300</v>
      </c>
      <c r="D6122" t="s">
        <v>23914</v>
      </c>
      <c r="E6122" t="s">
        <v>23915</v>
      </c>
      <c r="F6122" t="s">
        <v>23916</v>
      </c>
      <c r="G6122" t="s">
        <v>99</v>
      </c>
      <c r="H6122" t="s">
        <v>23917</v>
      </c>
      <c r="I6122" t="s">
        <v>30</v>
      </c>
      <c r="J6122" t="s">
        <v>41</v>
      </c>
      <c r="K6122" t="s">
        <v>59</v>
      </c>
      <c r="Q6122">
        <v>0</v>
      </c>
      <c r="R6122">
        <v>0</v>
      </c>
      <c r="S6122">
        <v>0</v>
      </c>
      <c r="T6122" t="s">
        <v>23918</v>
      </c>
    </row>
    <row r="6123" spans="1:20" customFormat="1" ht="15" x14ac:dyDescent="0.25">
      <c r="A6123" t="s">
        <v>35</v>
      </c>
      <c r="B6123" t="s">
        <v>61</v>
      </c>
      <c r="C6123" t="str">
        <f>"A0183299"</f>
        <v>A0183299</v>
      </c>
      <c r="D6123" t="s">
        <v>23919</v>
      </c>
      <c r="E6123" t="s">
        <v>23920</v>
      </c>
      <c r="F6123" t="s">
        <v>23921</v>
      </c>
      <c r="G6123" t="s">
        <v>99</v>
      </c>
      <c r="H6123" t="s">
        <v>23922</v>
      </c>
      <c r="I6123" t="s">
        <v>30</v>
      </c>
      <c r="J6123" t="s">
        <v>41</v>
      </c>
      <c r="K6123" t="s">
        <v>59</v>
      </c>
      <c r="Q6123">
        <v>0</v>
      </c>
      <c r="R6123">
        <v>0</v>
      </c>
      <c r="S6123">
        <v>0</v>
      </c>
      <c r="T6123" t="s">
        <v>23923</v>
      </c>
    </row>
    <row r="6124" spans="1:20" customFormat="1" ht="15" x14ac:dyDescent="0.25">
      <c r="A6124" t="s">
        <v>35</v>
      </c>
      <c r="B6124" t="s">
        <v>61</v>
      </c>
      <c r="C6124" t="str">
        <f>"A0183298"</f>
        <v>A0183298</v>
      </c>
      <c r="D6124" t="s">
        <v>23924</v>
      </c>
      <c r="E6124" t="s">
        <v>23925</v>
      </c>
      <c r="F6124" t="s">
        <v>9128</v>
      </c>
      <c r="G6124" t="s">
        <v>110</v>
      </c>
      <c r="H6124">
        <v>946022260</v>
      </c>
      <c r="I6124" t="s">
        <v>30</v>
      </c>
      <c r="J6124" t="s">
        <v>41</v>
      </c>
      <c r="K6124" t="s">
        <v>59</v>
      </c>
      <c r="Q6124">
        <v>0</v>
      </c>
      <c r="R6124">
        <v>0</v>
      </c>
      <c r="S6124">
        <v>0</v>
      </c>
      <c r="T6124" t="s">
        <v>23926</v>
      </c>
    </row>
    <row r="6125" spans="1:20" customFormat="1" ht="15" x14ac:dyDescent="0.25">
      <c r="A6125" t="s">
        <v>35</v>
      </c>
      <c r="B6125" t="s">
        <v>61</v>
      </c>
      <c r="C6125" t="str">
        <f>"A0183297"</f>
        <v>A0183297</v>
      </c>
      <c r="D6125" t="s">
        <v>23927</v>
      </c>
      <c r="E6125" t="s">
        <v>23928</v>
      </c>
      <c r="F6125" t="s">
        <v>23929</v>
      </c>
      <c r="G6125" t="s">
        <v>110</v>
      </c>
      <c r="H6125" t="s">
        <v>23930</v>
      </c>
      <c r="I6125" t="s">
        <v>30</v>
      </c>
      <c r="J6125" t="s">
        <v>41</v>
      </c>
      <c r="K6125" t="s">
        <v>59</v>
      </c>
      <c r="Q6125">
        <v>0</v>
      </c>
      <c r="R6125">
        <v>0</v>
      </c>
      <c r="S6125">
        <v>0</v>
      </c>
      <c r="T6125" t="s">
        <v>23931</v>
      </c>
    </row>
    <row r="6126" spans="1:20" customFormat="1" ht="15" x14ac:dyDescent="0.25">
      <c r="A6126" t="s">
        <v>35</v>
      </c>
      <c r="B6126" t="s">
        <v>61</v>
      </c>
      <c r="C6126" t="str">
        <f>"A0183296"</f>
        <v>A0183296</v>
      </c>
      <c r="D6126" t="s">
        <v>23932</v>
      </c>
      <c r="E6126" t="s">
        <v>23933</v>
      </c>
      <c r="F6126" t="s">
        <v>23934</v>
      </c>
      <c r="G6126" t="s">
        <v>99</v>
      </c>
      <c r="H6126" t="s">
        <v>23935</v>
      </c>
      <c r="I6126" t="s">
        <v>30</v>
      </c>
      <c r="J6126" t="s">
        <v>41</v>
      </c>
      <c r="K6126" t="s">
        <v>59</v>
      </c>
      <c r="Q6126">
        <v>0</v>
      </c>
      <c r="R6126">
        <v>0</v>
      </c>
      <c r="S6126">
        <v>0</v>
      </c>
      <c r="T6126" t="s">
        <v>23936</v>
      </c>
    </row>
    <row r="6127" spans="1:20" customFormat="1" ht="15" x14ac:dyDescent="0.25">
      <c r="A6127" t="s">
        <v>35</v>
      </c>
      <c r="B6127" t="s">
        <v>61</v>
      </c>
      <c r="C6127" t="str">
        <f>"A0183295"</f>
        <v>A0183295</v>
      </c>
      <c r="D6127" t="s">
        <v>23937</v>
      </c>
      <c r="E6127" t="s">
        <v>23938</v>
      </c>
      <c r="F6127" t="s">
        <v>4219</v>
      </c>
      <c r="G6127" t="s">
        <v>99</v>
      </c>
      <c r="H6127" t="s">
        <v>23939</v>
      </c>
      <c r="I6127" t="s">
        <v>30</v>
      </c>
      <c r="J6127" t="s">
        <v>41</v>
      </c>
      <c r="K6127" t="s">
        <v>59</v>
      </c>
      <c r="Q6127">
        <v>0</v>
      </c>
      <c r="R6127">
        <v>0</v>
      </c>
      <c r="S6127">
        <v>0</v>
      </c>
    </row>
    <row r="6128" spans="1:20" customFormat="1" ht="15" x14ac:dyDescent="0.25">
      <c r="A6128" t="s">
        <v>35</v>
      </c>
      <c r="B6128" t="s">
        <v>11871</v>
      </c>
      <c r="C6128" t="str">
        <f>"A0183294"</f>
        <v>A0183294</v>
      </c>
      <c r="D6128" t="s">
        <v>23940</v>
      </c>
      <c r="E6128" t="s">
        <v>23941</v>
      </c>
      <c r="F6128" t="s">
        <v>4133</v>
      </c>
      <c r="G6128" t="s">
        <v>52</v>
      </c>
      <c r="H6128" t="s">
        <v>23942</v>
      </c>
      <c r="I6128" t="s">
        <v>30</v>
      </c>
      <c r="J6128" t="s">
        <v>41</v>
      </c>
      <c r="K6128" t="s">
        <v>59</v>
      </c>
      <c r="Q6128">
        <v>0</v>
      </c>
      <c r="R6128">
        <v>0</v>
      </c>
      <c r="S6128">
        <v>0</v>
      </c>
      <c r="T6128" t="s">
        <v>23943</v>
      </c>
    </row>
    <row r="6129" spans="1:20" customFormat="1" ht="15" x14ac:dyDescent="0.25">
      <c r="A6129" t="s">
        <v>35</v>
      </c>
      <c r="B6129" t="s">
        <v>61</v>
      </c>
      <c r="C6129" t="str">
        <f>"A0183293"</f>
        <v>A0183293</v>
      </c>
      <c r="D6129" t="s">
        <v>23944</v>
      </c>
      <c r="E6129" t="s">
        <v>23945</v>
      </c>
      <c r="F6129" t="s">
        <v>5240</v>
      </c>
      <c r="G6129" t="s">
        <v>52</v>
      </c>
      <c r="H6129" t="s">
        <v>22576</v>
      </c>
      <c r="I6129" t="s">
        <v>30</v>
      </c>
      <c r="J6129" t="s">
        <v>41</v>
      </c>
      <c r="K6129" t="s">
        <v>59</v>
      </c>
      <c r="Q6129">
        <v>0</v>
      </c>
      <c r="R6129">
        <v>132</v>
      </c>
      <c r="S6129">
        <v>132</v>
      </c>
      <c r="T6129" t="s">
        <v>23946</v>
      </c>
    </row>
    <row r="6130" spans="1:20" customFormat="1" ht="15" x14ac:dyDescent="0.25">
      <c r="A6130" t="s">
        <v>35</v>
      </c>
      <c r="B6130" t="s">
        <v>61</v>
      </c>
      <c r="C6130" t="str">
        <f>"A0183292"</f>
        <v>A0183292</v>
      </c>
      <c r="D6130" t="s">
        <v>23947</v>
      </c>
      <c r="E6130" t="s">
        <v>23948</v>
      </c>
      <c r="F6130" t="s">
        <v>3786</v>
      </c>
      <c r="G6130" t="s">
        <v>52</v>
      </c>
      <c r="H6130" t="s">
        <v>23949</v>
      </c>
      <c r="I6130" t="s">
        <v>30</v>
      </c>
      <c r="J6130" t="s">
        <v>41</v>
      </c>
      <c r="K6130" t="s">
        <v>59</v>
      </c>
      <c r="Q6130">
        <v>0</v>
      </c>
      <c r="R6130">
        <v>0</v>
      </c>
      <c r="S6130">
        <v>0</v>
      </c>
      <c r="T6130" t="s">
        <v>23603</v>
      </c>
    </row>
    <row r="6131" spans="1:20" customFormat="1" ht="15" x14ac:dyDescent="0.25">
      <c r="A6131" t="s">
        <v>35</v>
      </c>
      <c r="B6131" t="s">
        <v>61</v>
      </c>
      <c r="C6131" t="str">
        <f>"A0183291"</f>
        <v>A0183291</v>
      </c>
      <c r="D6131" t="s">
        <v>23950</v>
      </c>
      <c r="E6131" t="s">
        <v>23951</v>
      </c>
      <c r="F6131" t="s">
        <v>23952</v>
      </c>
      <c r="G6131" t="s">
        <v>110</v>
      </c>
      <c r="H6131">
        <v>91344</v>
      </c>
      <c r="I6131" t="s">
        <v>30</v>
      </c>
      <c r="J6131" t="s">
        <v>41</v>
      </c>
      <c r="K6131" t="s">
        <v>59</v>
      </c>
      <c r="Q6131">
        <v>0</v>
      </c>
      <c r="R6131">
        <v>0</v>
      </c>
      <c r="S6131">
        <v>0</v>
      </c>
      <c r="T6131" t="s">
        <v>23953</v>
      </c>
    </row>
    <row r="6132" spans="1:20" customFormat="1" ht="15" x14ac:dyDescent="0.25">
      <c r="A6132" t="s">
        <v>35</v>
      </c>
      <c r="B6132" t="s">
        <v>61</v>
      </c>
      <c r="C6132" t="str">
        <f>"A0183290"</f>
        <v>A0183290</v>
      </c>
      <c r="D6132" t="s">
        <v>23954</v>
      </c>
      <c r="E6132" t="s">
        <v>23955</v>
      </c>
      <c r="F6132" t="s">
        <v>1378</v>
      </c>
      <c r="G6132" t="s">
        <v>110</v>
      </c>
      <c r="H6132">
        <v>917672055</v>
      </c>
      <c r="I6132" t="s">
        <v>30</v>
      </c>
      <c r="J6132" t="s">
        <v>41</v>
      </c>
      <c r="K6132" t="s">
        <v>59</v>
      </c>
      <c r="Q6132">
        <v>0</v>
      </c>
      <c r="R6132">
        <v>64</v>
      </c>
      <c r="S6132">
        <v>64</v>
      </c>
      <c r="T6132" t="s">
        <v>23956</v>
      </c>
    </row>
    <row r="6133" spans="1:20" customFormat="1" ht="15" x14ac:dyDescent="0.25">
      <c r="A6133" t="s">
        <v>35</v>
      </c>
      <c r="B6133" t="s">
        <v>61</v>
      </c>
      <c r="C6133" t="str">
        <f>"A0183289"</f>
        <v>A0183289</v>
      </c>
      <c r="D6133" t="s">
        <v>23957</v>
      </c>
      <c r="E6133" t="s">
        <v>23958</v>
      </c>
      <c r="F6133" t="s">
        <v>7362</v>
      </c>
      <c r="G6133" t="s">
        <v>110</v>
      </c>
      <c r="H6133">
        <v>90064</v>
      </c>
      <c r="I6133" t="s">
        <v>30</v>
      </c>
      <c r="J6133" t="s">
        <v>41</v>
      </c>
      <c r="K6133" t="s">
        <v>59</v>
      </c>
      <c r="Q6133">
        <v>0</v>
      </c>
      <c r="R6133">
        <v>0</v>
      </c>
      <c r="S6133">
        <v>0</v>
      </c>
      <c r="T6133" t="s">
        <v>23959</v>
      </c>
    </row>
    <row r="6134" spans="1:20" customFormat="1" ht="15" x14ac:dyDescent="0.25">
      <c r="A6134" t="s">
        <v>35</v>
      </c>
      <c r="B6134" t="s">
        <v>61</v>
      </c>
      <c r="C6134" t="str">
        <f>"A0183288"</f>
        <v>A0183288</v>
      </c>
      <c r="D6134" t="s">
        <v>23960</v>
      </c>
      <c r="E6134" t="s">
        <v>23961</v>
      </c>
      <c r="F6134" t="s">
        <v>20652</v>
      </c>
      <c r="G6134" t="s">
        <v>110</v>
      </c>
      <c r="H6134">
        <v>913356445</v>
      </c>
      <c r="I6134" t="s">
        <v>30</v>
      </c>
      <c r="J6134" t="s">
        <v>41</v>
      </c>
      <c r="K6134" t="s">
        <v>59</v>
      </c>
      <c r="Q6134">
        <v>0</v>
      </c>
      <c r="R6134">
        <v>271</v>
      </c>
      <c r="S6134">
        <v>271</v>
      </c>
      <c r="T6134" t="s">
        <v>23962</v>
      </c>
    </row>
    <row r="6135" spans="1:20" customFormat="1" ht="15" x14ac:dyDescent="0.25">
      <c r="A6135" t="s">
        <v>35</v>
      </c>
      <c r="B6135" t="s">
        <v>61</v>
      </c>
      <c r="C6135" t="str">
        <f>"A0183287"</f>
        <v>A0183287</v>
      </c>
      <c r="D6135" t="s">
        <v>23963</v>
      </c>
      <c r="E6135" t="s">
        <v>23964</v>
      </c>
      <c r="F6135" t="s">
        <v>4645</v>
      </c>
      <c r="G6135" t="s">
        <v>81</v>
      </c>
      <c r="H6135" t="s">
        <v>23965</v>
      </c>
      <c r="I6135" t="s">
        <v>30</v>
      </c>
      <c r="J6135" t="s">
        <v>41</v>
      </c>
      <c r="K6135" t="s">
        <v>59</v>
      </c>
      <c r="Q6135">
        <v>0</v>
      </c>
      <c r="R6135">
        <v>62</v>
      </c>
      <c r="S6135">
        <v>62</v>
      </c>
      <c r="T6135" t="s">
        <v>23966</v>
      </c>
    </row>
    <row r="6136" spans="1:20" customFormat="1" ht="15" x14ac:dyDescent="0.25">
      <c r="A6136" t="s">
        <v>35</v>
      </c>
      <c r="B6136" t="s">
        <v>61</v>
      </c>
      <c r="C6136" t="str">
        <f>"A0183286"</f>
        <v>A0183286</v>
      </c>
      <c r="D6136" t="s">
        <v>23967</v>
      </c>
      <c r="E6136" t="s">
        <v>23968</v>
      </c>
      <c r="F6136" t="s">
        <v>4645</v>
      </c>
      <c r="G6136" t="s">
        <v>81</v>
      </c>
      <c r="H6136" t="s">
        <v>23969</v>
      </c>
      <c r="I6136" t="s">
        <v>30</v>
      </c>
      <c r="J6136" t="s">
        <v>41</v>
      </c>
      <c r="K6136" t="s">
        <v>59</v>
      </c>
      <c r="Q6136">
        <v>0</v>
      </c>
      <c r="R6136">
        <v>0</v>
      </c>
      <c r="S6136">
        <v>0</v>
      </c>
      <c r="T6136" t="s">
        <v>23970</v>
      </c>
    </row>
    <row r="6137" spans="1:20" customFormat="1" ht="15" x14ac:dyDescent="0.25">
      <c r="A6137" t="s">
        <v>35</v>
      </c>
      <c r="B6137" t="s">
        <v>61</v>
      </c>
      <c r="C6137" t="str">
        <f>"A0183285"</f>
        <v>A0183285</v>
      </c>
      <c r="D6137" t="s">
        <v>23971</v>
      </c>
      <c r="E6137" t="s">
        <v>23972</v>
      </c>
      <c r="F6137" t="s">
        <v>6294</v>
      </c>
      <c r="G6137" t="s">
        <v>81</v>
      </c>
      <c r="H6137" t="s">
        <v>23973</v>
      </c>
      <c r="I6137" t="s">
        <v>30</v>
      </c>
      <c r="J6137" t="s">
        <v>41</v>
      </c>
      <c r="K6137" t="s">
        <v>59</v>
      </c>
      <c r="Q6137">
        <v>0</v>
      </c>
      <c r="R6137">
        <v>0</v>
      </c>
      <c r="S6137">
        <v>0</v>
      </c>
      <c r="T6137" t="s">
        <v>23974</v>
      </c>
    </row>
    <row r="6138" spans="1:20" customFormat="1" ht="15" x14ac:dyDescent="0.25">
      <c r="A6138" t="s">
        <v>35</v>
      </c>
      <c r="B6138" t="s">
        <v>61</v>
      </c>
      <c r="C6138" t="str">
        <f>"A0183284"</f>
        <v>A0183284</v>
      </c>
      <c r="D6138" t="s">
        <v>23975</v>
      </c>
      <c r="E6138" t="s">
        <v>23976</v>
      </c>
      <c r="F6138" t="s">
        <v>4057</v>
      </c>
      <c r="G6138" t="s">
        <v>81</v>
      </c>
      <c r="H6138" t="s">
        <v>23977</v>
      </c>
      <c r="I6138" t="s">
        <v>30</v>
      </c>
      <c r="J6138" t="s">
        <v>41</v>
      </c>
      <c r="K6138" t="s">
        <v>59</v>
      </c>
      <c r="Q6138">
        <v>0</v>
      </c>
      <c r="R6138">
        <v>0</v>
      </c>
      <c r="S6138">
        <v>0</v>
      </c>
      <c r="T6138" t="s">
        <v>23978</v>
      </c>
    </row>
    <row r="6139" spans="1:20" customFormat="1" ht="15" x14ac:dyDescent="0.25">
      <c r="A6139" t="s">
        <v>35</v>
      </c>
      <c r="B6139" t="s">
        <v>61</v>
      </c>
      <c r="C6139" t="str">
        <f>"A0183283"</f>
        <v>A0183283</v>
      </c>
      <c r="D6139" t="s">
        <v>23979</v>
      </c>
      <c r="E6139" t="s">
        <v>23980</v>
      </c>
      <c r="F6139" t="s">
        <v>3653</v>
      </c>
      <c r="G6139" t="s">
        <v>81</v>
      </c>
      <c r="H6139">
        <v>33701</v>
      </c>
      <c r="I6139" t="s">
        <v>30</v>
      </c>
      <c r="J6139" t="s">
        <v>41</v>
      </c>
      <c r="K6139" t="s">
        <v>59</v>
      </c>
      <c r="Q6139">
        <v>0</v>
      </c>
      <c r="R6139">
        <v>210</v>
      </c>
      <c r="S6139">
        <v>210</v>
      </c>
      <c r="T6139" t="s">
        <v>23981</v>
      </c>
    </row>
    <row r="6140" spans="1:20" customFormat="1" ht="15" x14ac:dyDescent="0.25">
      <c r="A6140" t="s">
        <v>35</v>
      </c>
      <c r="B6140" t="s">
        <v>11871</v>
      </c>
      <c r="C6140" t="str">
        <f>"A0183282"</f>
        <v>A0183282</v>
      </c>
      <c r="D6140" t="s">
        <v>23982</v>
      </c>
      <c r="E6140" t="s">
        <v>23983</v>
      </c>
      <c r="F6140" t="s">
        <v>12852</v>
      </c>
      <c r="G6140" t="s">
        <v>110</v>
      </c>
      <c r="H6140" t="s">
        <v>23984</v>
      </c>
      <c r="I6140" t="s">
        <v>30</v>
      </c>
      <c r="J6140" t="s">
        <v>41</v>
      </c>
      <c r="K6140" t="s">
        <v>59</v>
      </c>
      <c r="Q6140">
        <v>0</v>
      </c>
      <c r="R6140">
        <v>0</v>
      </c>
      <c r="S6140">
        <v>0</v>
      </c>
      <c r="T6140" t="s">
        <v>23985</v>
      </c>
    </row>
    <row r="6141" spans="1:20" customFormat="1" ht="15" x14ac:dyDescent="0.25">
      <c r="A6141" t="s">
        <v>35</v>
      </c>
      <c r="B6141" t="s">
        <v>12660</v>
      </c>
      <c r="C6141" t="str">
        <f>"A0183280"</f>
        <v>A0183280</v>
      </c>
      <c r="D6141" t="s">
        <v>8664</v>
      </c>
      <c r="E6141" t="s">
        <v>23986</v>
      </c>
      <c r="F6141" t="s">
        <v>501</v>
      </c>
      <c r="G6141" t="s">
        <v>110</v>
      </c>
      <c r="H6141">
        <v>912052656</v>
      </c>
      <c r="I6141" t="s">
        <v>30</v>
      </c>
      <c r="J6141" t="s">
        <v>41</v>
      </c>
      <c r="K6141" t="s">
        <v>59</v>
      </c>
      <c r="Q6141">
        <v>0</v>
      </c>
      <c r="R6141">
        <v>28</v>
      </c>
      <c r="S6141">
        <v>28</v>
      </c>
      <c r="T6141" t="s">
        <v>23987</v>
      </c>
    </row>
    <row r="6142" spans="1:20" customFormat="1" ht="15" x14ac:dyDescent="0.25">
      <c r="A6142" t="s">
        <v>35</v>
      </c>
      <c r="B6142" t="s">
        <v>11871</v>
      </c>
      <c r="C6142" t="str">
        <f>"A0183279"</f>
        <v>A0183279</v>
      </c>
      <c r="D6142" t="s">
        <v>23988</v>
      </c>
      <c r="E6142" t="s">
        <v>23989</v>
      </c>
      <c r="F6142" t="s">
        <v>3786</v>
      </c>
      <c r="G6142" t="s">
        <v>52</v>
      </c>
      <c r="H6142" t="s">
        <v>23990</v>
      </c>
      <c r="I6142" t="s">
        <v>30</v>
      </c>
      <c r="J6142" t="s">
        <v>41</v>
      </c>
      <c r="K6142" t="s">
        <v>59</v>
      </c>
      <c r="Q6142">
        <v>0</v>
      </c>
      <c r="R6142">
        <v>0</v>
      </c>
      <c r="S6142">
        <v>0</v>
      </c>
      <c r="T6142" t="s">
        <v>23603</v>
      </c>
    </row>
    <row r="6143" spans="1:20" customFormat="1" ht="15" x14ac:dyDescent="0.25">
      <c r="A6143" t="s">
        <v>35</v>
      </c>
      <c r="B6143" t="s">
        <v>61</v>
      </c>
      <c r="C6143" t="str">
        <f>"A0183278"</f>
        <v>A0183278</v>
      </c>
      <c r="D6143" t="s">
        <v>23991</v>
      </c>
      <c r="E6143" t="s">
        <v>23992</v>
      </c>
      <c r="F6143" t="s">
        <v>10530</v>
      </c>
      <c r="G6143" t="s">
        <v>81</v>
      </c>
      <c r="H6143" t="s">
        <v>23993</v>
      </c>
      <c r="I6143" t="s">
        <v>30</v>
      </c>
      <c r="J6143" t="s">
        <v>41</v>
      </c>
      <c r="K6143" t="s">
        <v>59</v>
      </c>
      <c r="Q6143">
        <v>0</v>
      </c>
      <c r="R6143">
        <v>0</v>
      </c>
      <c r="S6143">
        <v>0</v>
      </c>
      <c r="T6143" t="s">
        <v>23994</v>
      </c>
    </row>
    <row r="6144" spans="1:20" customFormat="1" ht="15" x14ac:dyDescent="0.25">
      <c r="A6144" t="s">
        <v>35</v>
      </c>
      <c r="B6144" t="s">
        <v>61</v>
      </c>
      <c r="C6144" t="str">
        <f>"A0183277"</f>
        <v>A0183277</v>
      </c>
      <c r="D6144" t="s">
        <v>23995</v>
      </c>
      <c r="E6144" t="s">
        <v>23996</v>
      </c>
      <c r="F6144" t="s">
        <v>12194</v>
      </c>
      <c r="G6144" t="s">
        <v>81</v>
      </c>
      <c r="H6144" t="s">
        <v>23997</v>
      </c>
      <c r="I6144" t="s">
        <v>30</v>
      </c>
      <c r="J6144" t="s">
        <v>41</v>
      </c>
      <c r="K6144" t="s">
        <v>59</v>
      </c>
      <c r="Q6144">
        <v>0</v>
      </c>
      <c r="R6144">
        <v>0</v>
      </c>
      <c r="S6144">
        <v>0</v>
      </c>
      <c r="T6144" t="s">
        <v>23998</v>
      </c>
    </row>
    <row r="6145" spans="1:20" customFormat="1" ht="15" x14ac:dyDescent="0.25">
      <c r="A6145" t="s">
        <v>35</v>
      </c>
      <c r="B6145" t="s">
        <v>61</v>
      </c>
      <c r="C6145" t="str">
        <f>"A0183276"</f>
        <v>A0183276</v>
      </c>
      <c r="D6145" t="s">
        <v>23999</v>
      </c>
      <c r="E6145" t="s">
        <v>24000</v>
      </c>
      <c r="F6145" t="s">
        <v>10598</v>
      </c>
      <c r="G6145" t="s">
        <v>81</v>
      </c>
      <c r="H6145" t="s">
        <v>24001</v>
      </c>
      <c r="I6145" t="s">
        <v>30</v>
      </c>
      <c r="J6145" t="s">
        <v>41</v>
      </c>
      <c r="K6145" t="s">
        <v>59</v>
      </c>
      <c r="Q6145">
        <v>0</v>
      </c>
      <c r="R6145">
        <v>0</v>
      </c>
      <c r="S6145">
        <v>0</v>
      </c>
      <c r="T6145" t="s">
        <v>24002</v>
      </c>
    </row>
    <row r="6146" spans="1:20" customFormat="1" ht="15" x14ac:dyDescent="0.25">
      <c r="A6146" t="s">
        <v>35</v>
      </c>
      <c r="B6146" t="s">
        <v>61</v>
      </c>
      <c r="C6146" t="str">
        <f>"A0183275"</f>
        <v>A0183275</v>
      </c>
      <c r="D6146" t="s">
        <v>24003</v>
      </c>
      <c r="E6146" t="s">
        <v>24004</v>
      </c>
      <c r="F6146" t="s">
        <v>4645</v>
      </c>
      <c r="G6146" t="s">
        <v>81</v>
      </c>
      <c r="H6146" t="s">
        <v>24005</v>
      </c>
      <c r="I6146" t="s">
        <v>30</v>
      </c>
      <c r="J6146" t="s">
        <v>41</v>
      </c>
      <c r="K6146" t="s">
        <v>59</v>
      </c>
      <c r="Q6146">
        <v>0</v>
      </c>
      <c r="R6146">
        <v>105</v>
      </c>
      <c r="S6146">
        <v>105</v>
      </c>
      <c r="T6146" t="s">
        <v>24006</v>
      </c>
    </row>
    <row r="6147" spans="1:20" customFormat="1" ht="15" x14ac:dyDescent="0.25">
      <c r="A6147" t="s">
        <v>35</v>
      </c>
      <c r="B6147" t="s">
        <v>61</v>
      </c>
      <c r="C6147" t="str">
        <f>"A0183274"</f>
        <v>A0183274</v>
      </c>
      <c r="D6147" t="s">
        <v>24007</v>
      </c>
      <c r="E6147" t="s">
        <v>24008</v>
      </c>
      <c r="F6147" t="s">
        <v>22666</v>
      </c>
      <c r="G6147" t="s">
        <v>81</v>
      </c>
      <c r="H6147" t="s">
        <v>24009</v>
      </c>
      <c r="I6147" t="s">
        <v>30</v>
      </c>
      <c r="J6147" t="s">
        <v>41</v>
      </c>
      <c r="K6147" t="s">
        <v>59</v>
      </c>
      <c r="Q6147">
        <v>0</v>
      </c>
      <c r="R6147">
        <v>106</v>
      </c>
      <c r="S6147">
        <v>106</v>
      </c>
      <c r="T6147" t="s">
        <v>24010</v>
      </c>
    </row>
    <row r="6148" spans="1:20" customFormat="1" ht="15" x14ac:dyDescent="0.25">
      <c r="A6148" t="s">
        <v>35</v>
      </c>
      <c r="B6148" t="s">
        <v>61</v>
      </c>
      <c r="C6148" t="str">
        <f>"A0183273"</f>
        <v>A0183273</v>
      </c>
      <c r="D6148" t="s">
        <v>24011</v>
      </c>
      <c r="E6148" t="s">
        <v>24012</v>
      </c>
      <c r="F6148" t="s">
        <v>10530</v>
      </c>
      <c r="G6148" t="s">
        <v>81</v>
      </c>
      <c r="H6148" t="s">
        <v>24013</v>
      </c>
      <c r="I6148" t="s">
        <v>30</v>
      </c>
      <c r="J6148" t="s">
        <v>41</v>
      </c>
      <c r="K6148" t="s">
        <v>59</v>
      </c>
      <c r="Q6148">
        <v>0</v>
      </c>
      <c r="R6148">
        <v>0</v>
      </c>
      <c r="S6148">
        <v>0</v>
      </c>
      <c r="T6148" t="s">
        <v>24014</v>
      </c>
    </row>
    <row r="6149" spans="1:20" customFormat="1" ht="15" x14ac:dyDescent="0.25">
      <c r="A6149" t="s">
        <v>35</v>
      </c>
      <c r="B6149" t="s">
        <v>61</v>
      </c>
      <c r="C6149" t="str">
        <f>"A0183272"</f>
        <v>A0183272</v>
      </c>
      <c r="D6149" t="s">
        <v>24015</v>
      </c>
      <c r="E6149" t="s">
        <v>24016</v>
      </c>
      <c r="F6149" t="s">
        <v>10530</v>
      </c>
      <c r="G6149" t="s">
        <v>81</v>
      </c>
      <c r="H6149">
        <v>32804</v>
      </c>
      <c r="I6149" t="s">
        <v>30</v>
      </c>
      <c r="J6149" t="s">
        <v>41</v>
      </c>
      <c r="K6149" t="s">
        <v>59</v>
      </c>
      <c r="Q6149">
        <v>0</v>
      </c>
      <c r="R6149">
        <v>104</v>
      </c>
      <c r="S6149">
        <v>104</v>
      </c>
      <c r="T6149" t="s">
        <v>24017</v>
      </c>
    </row>
    <row r="6150" spans="1:20" customFormat="1" ht="15" x14ac:dyDescent="0.25">
      <c r="A6150" t="s">
        <v>35</v>
      </c>
      <c r="B6150" t="s">
        <v>61</v>
      </c>
      <c r="C6150" t="str">
        <f>"A0183271"</f>
        <v>A0183271</v>
      </c>
      <c r="D6150" t="s">
        <v>24018</v>
      </c>
      <c r="E6150" t="s">
        <v>24019</v>
      </c>
      <c r="F6150" t="s">
        <v>12194</v>
      </c>
      <c r="G6150" t="s">
        <v>81</v>
      </c>
      <c r="H6150" t="s">
        <v>24020</v>
      </c>
      <c r="I6150" t="s">
        <v>30</v>
      </c>
      <c r="J6150" t="s">
        <v>41</v>
      </c>
      <c r="K6150" t="s">
        <v>59</v>
      </c>
      <c r="Q6150">
        <v>0</v>
      </c>
      <c r="R6150">
        <v>28</v>
      </c>
      <c r="S6150">
        <v>28</v>
      </c>
      <c r="T6150" t="s">
        <v>24021</v>
      </c>
    </row>
    <row r="6151" spans="1:20" customFormat="1" ht="15" x14ac:dyDescent="0.25">
      <c r="A6151" t="s">
        <v>35</v>
      </c>
      <c r="B6151" t="s">
        <v>61</v>
      </c>
      <c r="C6151" t="str">
        <f>"A0183270"</f>
        <v>A0183270</v>
      </c>
      <c r="D6151" t="s">
        <v>24022</v>
      </c>
      <c r="E6151" t="s">
        <v>24023</v>
      </c>
      <c r="F6151" t="s">
        <v>4645</v>
      </c>
      <c r="G6151" t="s">
        <v>81</v>
      </c>
      <c r="H6151" t="s">
        <v>24024</v>
      </c>
      <c r="I6151" t="s">
        <v>30</v>
      </c>
      <c r="J6151" t="s">
        <v>41</v>
      </c>
      <c r="K6151" t="s">
        <v>59</v>
      </c>
      <c r="Q6151">
        <v>0</v>
      </c>
      <c r="R6151">
        <v>104</v>
      </c>
      <c r="S6151">
        <v>104</v>
      </c>
      <c r="T6151" t="s">
        <v>23409</v>
      </c>
    </row>
    <row r="6152" spans="1:20" customFormat="1" ht="15" x14ac:dyDescent="0.25">
      <c r="A6152" t="s">
        <v>35</v>
      </c>
      <c r="B6152" t="s">
        <v>61</v>
      </c>
      <c r="C6152" t="str">
        <f>"A0183269"</f>
        <v>A0183269</v>
      </c>
      <c r="D6152" t="s">
        <v>24025</v>
      </c>
      <c r="E6152" t="s">
        <v>24026</v>
      </c>
      <c r="F6152" t="s">
        <v>4645</v>
      </c>
      <c r="G6152" t="s">
        <v>81</v>
      </c>
      <c r="H6152" t="s">
        <v>24005</v>
      </c>
      <c r="I6152" t="s">
        <v>30</v>
      </c>
      <c r="J6152" t="s">
        <v>41</v>
      </c>
      <c r="K6152" t="s">
        <v>59</v>
      </c>
      <c r="Q6152">
        <v>0</v>
      </c>
      <c r="R6152">
        <v>0</v>
      </c>
      <c r="S6152">
        <v>0</v>
      </c>
      <c r="T6152" t="s">
        <v>23409</v>
      </c>
    </row>
    <row r="6153" spans="1:20" customFormat="1" ht="15" x14ac:dyDescent="0.25">
      <c r="A6153" t="s">
        <v>35</v>
      </c>
      <c r="B6153" t="s">
        <v>61</v>
      </c>
      <c r="C6153" t="str">
        <f>"A0183268"</f>
        <v>A0183268</v>
      </c>
      <c r="D6153" t="s">
        <v>24027</v>
      </c>
      <c r="E6153" t="s">
        <v>24028</v>
      </c>
      <c r="F6153" t="s">
        <v>7362</v>
      </c>
      <c r="G6153" t="s">
        <v>110</v>
      </c>
      <c r="H6153" t="s">
        <v>24029</v>
      </c>
      <c r="I6153" t="s">
        <v>30</v>
      </c>
      <c r="J6153" t="s">
        <v>41</v>
      </c>
      <c r="K6153" t="s">
        <v>59</v>
      </c>
      <c r="Q6153">
        <v>0</v>
      </c>
      <c r="R6153">
        <v>0</v>
      </c>
      <c r="S6153">
        <v>0</v>
      </c>
      <c r="T6153" t="s">
        <v>24030</v>
      </c>
    </row>
    <row r="6154" spans="1:20" customFormat="1" ht="15" x14ac:dyDescent="0.25">
      <c r="A6154" t="s">
        <v>35</v>
      </c>
      <c r="B6154" t="s">
        <v>61</v>
      </c>
      <c r="C6154" t="str">
        <f>"A0183267"</f>
        <v>A0183267</v>
      </c>
      <c r="D6154" t="s">
        <v>24031</v>
      </c>
      <c r="E6154" t="s">
        <v>24032</v>
      </c>
      <c r="F6154" t="s">
        <v>24033</v>
      </c>
      <c r="G6154" t="s">
        <v>110</v>
      </c>
      <c r="H6154">
        <v>954723570</v>
      </c>
      <c r="I6154" t="s">
        <v>30</v>
      </c>
      <c r="J6154" t="s">
        <v>41</v>
      </c>
      <c r="K6154" t="s">
        <v>59</v>
      </c>
      <c r="Q6154">
        <v>0</v>
      </c>
      <c r="R6154">
        <v>0</v>
      </c>
      <c r="S6154">
        <v>0</v>
      </c>
      <c r="T6154" t="s">
        <v>24034</v>
      </c>
    </row>
    <row r="6155" spans="1:20" customFormat="1" ht="15" x14ac:dyDescent="0.25">
      <c r="A6155" t="s">
        <v>35</v>
      </c>
      <c r="B6155" t="s">
        <v>61</v>
      </c>
      <c r="C6155" t="str">
        <f>"A0183266"</f>
        <v>A0183266</v>
      </c>
      <c r="D6155" t="s">
        <v>24035</v>
      </c>
      <c r="E6155" t="s">
        <v>24036</v>
      </c>
      <c r="F6155" t="s">
        <v>8081</v>
      </c>
      <c r="G6155" t="s">
        <v>110</v>
      </c>
      <c r="H6155">
        <v>941026232</v>
      </c>
      <c r="I6155" t="s">
        <v>30</v>
      </c>
      <c r="J6155" t="s">
        <v>41</v>
      </c>
      <c r="K6155" t="s">
        <v>59</v>
      </c>
      <c r="Q6155">
        <v>0</v>
      </c>
      <c r="R6155">
        <v>55</v>
      </c>
      <c r="S6155">
        <v>55</v>
      </c>
      <c r="T6155" t="s">
        <v>24037</v>
      </c>
    </row>
    <row r="6156" spans="1:20" customFormat="1" ht="15" x14ac:dyDescent="0.25">
      <c r="A6156" t="s">
        <v>35</v>
      </c>
      <c r="B6156" t="s">
        <v>61</v>
      </c>
      <c r="C6156" t="str">
        <f>"A0183265"</f>
        <v>A0183265</v>
      </c>
      <c r="D6156" t="s">
        <v>24038</v>
      </c>
      <c r="E6156" t="s">
        <v>24039</v>
      </c>
      <c r="F6156" t="s">
        <v>24040</v>
      </c>
      <c r="G6156" t="s">
        <v>110</v>
      </c>
      <c r="H6156" t="s">
        <v>24041</v>
      </c>
      <c r="I6156" t="s">
        <v>30</v>
      </c>
      <c r="J6156" t="s">
        <v>41</v>
      </c>
      <c r="K6156" t="s">
        <v>59</v>
      </c>
      <c r="Q6156">
        <v>0</v>
      </c>
      <c r="R6156">
        <v>0</v>
      </c>
      <c r="S6156">
        <v>0</v>
      </c>
      <c r="T6156" t="s">
        <v>24042</v>
      </c>
    </row>
    <row r="6157" spans="1:20" customFormat="1" ht="15" x14ac:dyDescent="0.25">
      <c r="A6157" t="s">
        <v>35</v>
      </c>
      <c r="B6157" t="s">
        <v>61</v>
      </c>
      <c r="C6157" t="str">
        <f>"A0183264"</f>
        <v>A0183264</v>
      </c>
      <c r="D6157" t="s">
        <v>24043</v>
      </c>
      <c r="E6157" t="s">
        <v>24044</v>
      </c>
      <c r="F6157" t="s">
        <v>24045</v>
      </c>
      <c r="G6157" t="s">
        <v>110</v>
      </c>
      <c r="H6157" t="s">
        <v>24046</v>
      </c>
      <c r="I6157" t="s">
        <v>30</v>
      </c>
      <c r="J6157" t="s">
        <v>41</v>
      </c>
      <c r="K6157" t="s">
        <v>59</v>
      </c>
      <c r="Q6157">
        <v>0</v>
      </c>
      <c r="R6157">
        <v>0</v>
      </c>
      <c r="S6157">
        <v>0</v>
      </c>
      <c r="T6157" t="s">
        <v>24047</v>
      </c>
    </row>
    <row r="6158" spans="1:20" customFormat="1" ht="15" x14ac:dyDescent="0.25">
      <c r="A6158" t="s">
        <v>35</v>
      </c>
      <c r="B6158" t="s">
        <v>61</v>
      </c>
      <c r="C6158" t="str">
        <f>"A0183263"</f>
        <v>A0183263</v>
      </c>
      <c r="D6158" t="s">
        <v>24048</v>
      </c>
      <c r="E6158" t="s">
        <v>24049</v>
      </c>
      <c r="F6158" t="s">
        <v>7362</v>
      </c>
      <c r="G6158" t="s">
        <v>110</v>
      </c>
      <c r="H6158" t="s">
        <v>24050</v>
      </c>
      <c r="I6158" t="s">
        <v>30</v>
      </c>
      <c r="J6158" t="s">
        <v>41</v>
      </c>
      <c r="K6158" t="s">
        <v>59</v>
      </c>
      <c r="Q6158">
        <v>0</v>
      </c>
      <c r="R6158">
        <v>0</v>
      </c>
      <c r="S6158">
        <v>0</v>
      </c>
      <c r="T6158" t="s">
        <v>24051</v>
      </c>
    </row>
    <row r="6159" spans="1:20" customFormat="1" ht="15" x14ac:dyDescent="0.25">
      <c r="A6159" t="s">
        <v>35</v>
      </c>
      <c r="B6159" t="s">
        <v>61</v>
      </c>
      <c r="C6159" t="str">
        <f>"A0183262"</f>
        <v>A0183262</v>
      </c>
      <c r="D6159" t="s">
        <v>24052</v>
      </c>
      <c r="E6159" t="s">
        <v>24053</v>
      </c>
      <c r="F6159" t="s">
        <v>13068</v>
      </c>
      <c r="G6159" t="s">
        <v>52</v>
      </c>
      <c r="H6159" t="s">
        <v>24054</v>
      </c>
      <c r="I6159" t="s">
        <v>30</v>
      </c>
      <c r="J6159" t="s">
        <v>41</v>
      </c>
      <c r="K6159" t="s">
        <v>59</v>
      </c>
      <c r="Q6159">
        <v>0</v>
      </c>
      <c r="R6159">
        <v>0</v>
      </c>
      <c r="S6159">
        <v>0</v>
      </c>
      <c r="T6159" t="s">
        <v>23629</v>
      </c>
    </row>
    <row r="6160" spans="1:20" customFormat="1" ht="15" x14ac:dyDescent="0.25">
      <c r="A6160" t="s">
        <v>35</v>
      </c>
      <c r="B6160" t="s">
        <v>61</v>
      </c>
      <c r="C6160" t="str">
        <f>"A0183261"</f>
        <v>A0183261</v>
      </c>
      <c r="D6160" t="s">
        <v>24055</v>
      </c>
      <c r="E6160" t="s">
        <v>24056</v>
      </c>
      <c r="F6160" t="s">
        <v>13068</v>
      </c>
      <c r="G6160" t="s">
        <v>52</v>
      </c>
      <c r="H6160" t="s">
        <v>24057</v>
      </c>
      <c r="I6160" t="s">
        <v>30</v>
      </c>
      <c r="J6160" t="s">
        <v>41</v>
      </c>
      <c r="K6160" t="s">
        <v>59</v>
      </c>
      <c r="Q6160">
        <v>0</v>
      </c>
      <c r="R6160">
        <v>0</v>
      </c>
      <c r="S6160">
        <v>0</v>
      </c>
      <c r="T6160" t="s">
        <v>24058</v>
      </c>
    </row>
    <row r="6161" spans="1:20" customFormat="1" ht="15" x14ac:dyDescent="0.25">
      <c r="A6161" t="s">
        <v>35</v>
      </c>
      <c r="B6161" t="s">
        <v>61</v>
      </c>
      <c r="C6161" t="str">
        <f>"A0183260"</f>
        <v>A0183260</v>
      </c>
      <c r="D6161" t="s">
        <v>24059</v>
      </c>
      <c r="E6161" t="s">
        <v>24060</v>
      </c>
      <c r="F6161" t="s">
        <v>1731</v>
      </c>
      <c r="G6161" t="s">
        <v>52</v>
      </c>
      <c r="H6161" t="s">
        <v>24061</v>
      </c>
      <c r="I6161" t="s">
        <v>30</v>
      </c>
      <c r="J6161" t="s">
        <v>41</v>
      </c>
      <c r="K6161" t="s">
        <v>59</v>
      </c>
      <c r="Q6161">
        <v>0</v>
      </c>
      <c r="R6161">
        <v>72</v>
      </c>
      <c r="S6161">
        <v>72</v>
      </c>
      <c r="T6161" t="s">
        <v>24062</v>
      </c>
    </row>
    <row r="6162" spans="1:20" customFormat="1" ht="15" x14ac:dyDescent="0.25">
      <c r="A6162" t="s">
        <v>35</v>
      </c>
      <c r="B6162" t="s">
        <v>61</v>
      </c>
      <c r="C6162" t="str">
        <f>"A0183259"</f>
        <v>A0183259</v>
      </c>
      <c r="D6162" t="s">
        <v>24063</v>
      </c>
      <c r="E6162" t="s">
        <v>24064</v>
      </c>
      <c r="F6162" t="s">
        <v>4645</v>
      </c>
      <c r="G6162" t="s">
        <v>81</v>
      </c>
      <c r="H6162" t="s">
        <v>24065</v>
      </c>
      <c r="I6162" t="s">
        <v>30</v>
      </c>
      <c r="J6162" t="s">
        <v>41</v>
      </c>
      <c r="K6162" t="s">
        <v>59</v>
      </c>
      <c r="Q6162">
        <v>0</v>
      </c>
      <c r="R6162">
        <v>0</v>
      </c>
      <c r="S6162">
        <v>0</v>
      </c>
      <c r="T6162" t="s">
        <v>24066</v>
      </c>
    </row>
    <row r="6163" spans="1:20" customFormat="1" ht="15" x14ac:dyDescent="0.25">
      <c r="A6163" t="s">
        <v>35</v>
      </c>
      <c r="B6163" t="s">
        <v>61</v>
      </c>
      <c r="C6163" t="str">
        <f>"A0183258"</f>
        <v>A0183258</v>
      </c>
      <c r="D6163" t="s">
        <v>24067</v>
      </c>
      <c r="E6163" t="s">
        <v>24068</v>
      </c>
      <c r="F6163" t="s">
        <v>10530</v>
      </c>
      <c r="G6163" t="s">
        <v>81</v>
      </c>
      <c r="H6163" t="s">
        <v>24069</v>
      </c>
      <c r="I6163" t="s">
        <v>30</v>
      </c>
      <c r="J6163" t="s">
        <v>41</v>
      </c>
      <c r="K6163" t="s">
        <v>59</v>
      </c>
      <c r="Q6163">
        <v>0</v>
      </c>
      <c r="R6163">
        <v>0</v>
      </c>
      <c r="S6163">
        <v>0</v>
      </c>
      <c r="T6163" t="s">
        <v>24070</v>
      </c>
    </row>
    <row r="6164" spans="1:20" customFormat="1" ht="15" x14ac:dyDescent="0.25">
      <c r="A6164" t="s">
        <v>35</v>
      </c>
      <c r="B6164" t="s">
        <v>12660</v>
      </c>
      <c r="C6164" t="str">
        <f>"A0183257"</f>
        <v>A0183257</v>
      </c>
      <c r="D6164" t="s">
        <v>24071</v>
      </c>
      <c r="E6164" t="s">
        <v>24072</v>
      </c>
      <c r="F6164" t="s">
        <v>24073</v>
      </c>
      <c r="G6164" t="s">
        <v>110</v>
      </c>
      <c r="H6164">
        <v>94022</v>
      </c>
      <c r="I6164" t="s">
        <v>30</v>
      </c>
      <c r="J6164" t="s">
        <v>41</v>
      </c>
      <c r="K6164" t="s">
        <v>59</v>
      </c>
      <c r="Q6164">
        <v>0</v>
      </c>
      <c r="R6164">
        <v>66</v>
      </c>
      <c r="S6164">
        <v>66</v>
      </c>
      <c r="T6164" t="s">
        <v>24074</v>
      </c>
    </row>
    <row r="6165" spans="1:20" customFormat="1" ht="15" x14ac:dyDescent="0.25">
      <c r="A6165" t="s">
        <v>35</v>
      </c>
      <c r="B6165" t="s">
        <v>12660</v>
      </c>
      <c r="C6165" t="str">
        <f>"A0183256"</f>
        <v>A0183256</v>
      </c>
      <c r="D6165" t="s">
        <v>24075</v>
      </c>
      <c r="E6165" t="s">
        <v>24076</v>
      </c>
      <c r="F6165" t="s">
        <v>501</v>
      </c>
      <c r="G6165" t="s">
        <v>110</v>
      </c>
      <c r="H6165">
        <v>912062074</v>
      </c>
      <c r="I6165" t="s">
        <v>30</v>
      </c>
      <c r="J6165" t="s">
        <v>41</v>
      </c>
      <c r="K6165" t="s">
        <v>59</v>
      </c>
      <c r="Q6165">
        <v>0</v>
      </c>
      <c r="R6165">
        <v>0</v>
      </c>
      <c r="S6165">
        <v>0</v>
      </c>
      <c r="T6165" t="s">
        <v>24077</v>
      </c>
    </row>
    <row r="6166" spans="1:20" customFormat="1" ht="15" x14ac:dyDescent="0.25">
      <c r="A6166" t="s">
        <v>35</v>
      </c>
      <c r="B6166" t="s">
        <v>12660</v>
      </c>
      <c r="C6166" t="str">
        <f>"A0183255"</f>
        <v>A0183255</v>
      </c>
      <c r="D6166" t="s">
        <v>24078</v>
      </c>
      <c r="E6166" t="s">
        <v>24079</v>
      </c>
      <c r="F6166" t="s">
        <v>8081</v>
      </c>
      <c r="G6166" t="s">
        <v>110</v>
      </c>
      <c r="H6166">
        <v>94115</v>
      </c>
      <c r="I6166" t="s">
        <v>30</v>
      </c>
      <c r="J6166" t="s">
        <v>41</v>
      </c>
      <c r="K6166" t="s">
        <v>59</v>
      </c>
      <c r="Q6166">
        <v>0</v>
      </c>
      <c r="R6166">
        <v>0</v>
      </c>
      <c r="S6166">
        <v>0</v>
      </c>
      <c r="T6166" t="s">
        <v>20861</v>
      </c>
    </row>
    <row r="6167" spans="1:20" customFormat="1" ht="15" x14ac:dyDescent="0.25">
      <c r="A6167" t="s">
        <v>35</v>
      </c>
      <c r="B6167" t="s">
        <v>11871</v>
      </c>
      <c r="C6167" t="str">
        <f>"A0183254"</f>
        <v>A0183254</v>
      </c>
      <c r="D6167" t="s">
        <v>24080</v>
      </c>
      <c r="E6167" t="s">
        <v>24081</v>
      </c>
      <c r="F6167" t="s">
        <v>24082</v>
      </c>
      <c r="G6167" t="s">
        <v>81</v>
      </c>
      <c r="H6167" t="s">
        <v>24083</v>
      </c>
      <c r="I6167" t="s">
        <v>30</v>
      </c>
      <c r="J6167" t="s">
        <v>41</v>
      </c>
      <c r="K6167" t="s">
        <v>59</v>
      </c>
      <c r="Q6167">
        <v>0</v>
      </c>
      <c r="R6167">
        <v>0</v>
      </c>
      <c r="S6167">
        <v>0</v>
      </c>
      <c r="T6167" t="s">
        <v>24084</v>
      </c>
    </row>
    <row r="6168" spans="1:20" customFormat="1" ht="15" x14ac:dyDescent="0.25">
      <c r="A6168" t="s">
        <v>35</v>
      </c>
      <c r="B6168" t="s">
        <v>11871</v>
      </c>
      <c r="C6168" t="str">
        <f>"A0183253"</f>
        <v>A0183253</v>
      </c>
      <c r="D6168" t="s">
        <v>24085</v>
      </c>
      <c r="E6168" t="s">
        <v>24086</v>
      </c>
      <c r="F6168" t="s">
        <v>24087</v>
      </c>
      <c r="G6168" t="s">
        <v>81</v>
      </c>
      <c r="H6168" t="s">
        <v>24088</v>
      </c>
      <c r="I6168" t="s">
        <v>30</v>
      </c>
      <c r="J6168" t="s">
        <v>41</v>
      </c>
      <c r="K6168" t="s">
        <v>59</v>
      </c>
      <c r="Q6168">
        <v>0</v>
      </c>
      <c r="R6168">
        <v>72</v>
      </c>
      <c r="S6168">
        <v>72</v>
      </c>
      <c r="T6168" t="s">
        <v>24089</v>
      </c>
    </row>
    <row r="6169" spans="1:20" customFormat="1" ht="15" x14ac:dyDescent="0.25">
      <c r="A6169" t="s">
        <v>35</v>
      </c>
      <c r="B6169" t="s">
        <v>61</v>
      </c>
      <c r="C6169" t="str">
        <f>"A0183251"</f>
        <v>A0183251</v>
      </c>
      <c r="D6169" t="s">
        <v>24090</v>
      </c>
      <c r="E6169" t="s">
        <v>24091</v>
      </c>
      <c r="F6169" t="s">
        <v>4645</v>
      </c>
      <c r="G6169" t="s">
        <v>81</v>
      </c>
      <c r="H6169" t="s">
        <v>24092</v>
      </c>
      <c r="I6169" t="s">
        <v>30</v>
      </c>
      <c r="J6169" t="s">
        <v>41</v>
      </c>
      <c r="K6169" t="s">
        <v>59</v>
      </c>
      <c r="Q6169">
        <v>0</v>
      </c>
      <c r="R6169">
        <v>0</v>
      </c>
      <c r="S6169">
        <v>0</v>
      </c>
      <c r="T6169" t="s">
        <v>24093</v>
      </c>
    </row>
    <row r="6170" spans="1:20" customFormat="1" ht="15" x14ac:dyDescent="0.25">
      <c r="A6170" t="s">
        <v>35</v>
      </c>
      <c r="B6170" t="s">
        <v>61</v>
      </c>
      <c r="C6170" t="str">
        <f>"A0183250"</f>
        <v>A0183250</v>
      </c>
      <c r="D6170" t="s">
        <v>24094</v>
      </c>
      <c r="E6170" t="s">
        <v>24095</v>
      </c>
      <c r="F6170" t="s">
        <v>24096</v>
      </c>
      <c r="G6170" t="s">
        <v>925</v>
      </c>
      <c r="H6170" t="s">
        <v>24097</v>
      </c>
      <c r="I6170" t="s">
        <v>30</v>
      </c>
      <c r="J6170" t="s">
        <v>41</v>
      </c>
      <c r="K6170" t="s">
        <v>59</v>
      </c>
      <c r="Q6170">
        <v>0</v>
      </c>
      <c r="R6170">
        <v>42</v>
      </c>
      <c r="S6170">
        <v>42</v>
      </c>
      <c r="T6170" t="s">
        <v>24098</v>
      </c>
    </row>
    <row r="6171" spans="1:20" customFormat="1" ht="15" x14ac:dyDescent="0.25">
      <c r="A6171" t="s">
        <v>35</v>
      </c>
      <c r="B6171" t="s">
        <v>61</v>
      </c>
      <c r="C6171" t="str">
        <f>"A0183249"</f>
        <v>A0183249</v>
      </c>
      <c r="D6171" t="s">
        <v>24099</v>
      </c>
      <c r="E6171" t="s">
        <v>24100</v>
      </c>
      <c r="F6171" t="s">
        <v>22177</v>
      </c>
      <c r="G6171" t="s">
        <v>925</v>
      </c>
      <c r="H6171" t="s">
        <v>24101</v>
      </c>
      <c r="I6171" t="s">
        <v>30</v>
      </c>
      <c r="J6171" t="s">
        <v>41</v>
      </c>
      <c r="K6171" t="s">
        <v>59</v>
      </c>
      <c r="Q6171">
        <v>0</v>
      </c>
      <c r="R6171">
        <v>77</v>
      </c>
      <c r="S6171">
        <v>77</v>
      </c>
      <c r="T6171" t="s">
        <v>24102</v>
      </c>
    </row>
    <row r="6172" spans="1:20" customFormat="1" ht="15" x14ac:dyDescent="0.25">
      <c r="A6172" t="s">
        <v>35</v>
      </c>
      <c r="B6172" t="s">
        <v>61</v>
      </c>
      <c r="C6172" t="str">
        <f>"A0183248"</f>
        <v>A0183248</v>
      </c>
      <c r="D6172" t="s">
        <v>24103</v>
      </c>
      <c r="E6172" t="s">
        <v>24104</v>
      </c>
      <c r="F6172" t="s">
        <v>21265</v>
      </c>
      <c r="G6172" t="s">
        <v>925</v>
      </c>
      <c r="H6172" t="s">
        <v>24105</v>
      </c>
      <c r="I6172" t="s">
        <v>30</v>
      </c>
      <c r="J6172" t="s">
        <v>41</v>
      </c>
      <c r="K6172" t="s">
        <v>59</v>
      </c>
      <c r="Q6172">
        <v>0</v>
      </c>
      <c r="R6172">
        <v>0</v>
      </c>
      <c r="S6172">
        <v>0</v>
      </c>
      <c r="T6172" t="s">
        <v>24106</v>
      </c>
    </row>
    <row r="6173" spans="1:20" customFormat="1" ht="15" x14ac:dyDescent="0.25">
      <c r="A6173" t="s">
        <v>35</v>
      </c>
      <c r="B6173" t="s">
        <v>61</v>
      </c>
      <c r="C6173" t="str">
        <f>"A0183247"</f>
        <v>A0183247</v>
      </c>
      <c r="D6173" t="s">
        <v>24107</v>
      </c>
      <c r="E6173" t="s">
        <v>24108</v>
      </c>
      <c r="F6173" t="s">
        <v>24109</v>
      </c>
      <c r="G6173" t="s">
        <v>925</v>
      </c>
      <c r="H6173">
        <v>67801</v>
      </c>
      <c r="I6173" t="s">
        <v>30</v>
      </c>
      <c r="J6173" t="s">
        <v>41</v>
      </c>
      <c r="K6173" t="s">
        <v>59</v>
      </c>
      <c r="Q6173">
        <v>0</v>
      </c>
      <c r="R6173">
        <v>0</v>
      </c>
      <c r="S6173">
        <v>0</v>
      </c>
    </row>
    <row r="6174" spans="1:20" customFormat="1" ht="15" x14ac:dyDescent="0.25">
      <c r="A6174" t="s">
        <v>35</v>
      </c>
      <c r="B6174" t="s">
        <v>61</v>
      </c>
      <c r="C6174" t="str">
        <f>"A0183246"</f>
        <v>A0183246</v>
      </c>
      <c r="D6174" t="s">
        <v>24110</v>
      </c>
      <c r="E6174" t="s">
        <v>24111</v>
      </c>
      <c r="F6174" t="s">
        <v>8130</v>
      </c>
      <c r="G6174" t="s">
        <v>925</v>
      </c>
      <c r="H6174">
        <v>67530</v>
      </c>
      <c r="I6174" t="s">
        <v>30</v>
      </c>
      <c r="J6174" t="s">
        <v>41</v>
      </c>
      <c r="K6174" t="s">
        <v>59</v>
      </c>
      <c r="Q6174">
        <v>0</v>
      </c>
      <c r="R6174">
        <v>60</v>
      </c>
      <c r="S6174">
        <v>60</v>
      </c>
      <c r="T6174" t="s">
        <v>24112</v>
      </c>
    </row>
    <row r="6175" spans="1:20" customFormat="1" ht="15" x14ac:dyDescent="0.25">
      <c r="A6175" t="s">
        <v>35</v>
      </c>
      <c r="B6175" t="s">
        <v>61</v>
      </c>
      <c r="C6175" t="str">
        <f>"A0183245"</f>
        <v>A0183245</v>
      </c>
      <c r="D6175" t="s">
        <v>24113</v>
      </c>
      <c r="E6175" t="s">
        <v>24114</v>
      </c>
      <c r="F6175" t="s">
        <v>24115</v>
      </c>
      <c r="G6175" t="s">
        <v>925</v>
      </c>
      <c r="H6175" t="s">
        <v>24116</v>
      </c>
      <c r="I6175" t="s">
        <v>30</v>
      </c>
      <c r="J6175" t="s">
        <v>41</v>
      </c>
      <c r="K6175" t="s">
        <v>59</v>
      </c>
      <c r="Q6175">
        <v>0</v>
      </c>
      <c r="R6175">
        <v>52</v>
      </c>
      <c r="S6175">
        <v>52</v>
      </c>
      <c r="T6175" t="s">
        <v>24117</v>
      </c>
    </row>
    <row r="6176" spans="1:20" customFormat="1" ht="15" x14ac:dyDescent="0.25">
      <c r="A6176" t="s">
        <v>35</v>
      </c>
      <c r="B6176" t="s">
        <v>61</v>
      </c>
      <c r="C6176" t="str">
        <f>"A0183244"</f>
        <v>A0183244</v>
      </c>
      <c r="D6176" t="s">
        <v>24118</v>
      </c>
      <c r="E6176" t="s">
        <v>24119</v>
      </c>
      <c r="F6176" t="s">
        <v>6290</v>
      </c>
      <c r="G6176" t="s">
        <v>81</v>
      </c>
      <c r="H6176" t="s">
        <v>24120</v>
      </c>
      <c r="I6176" t="s">
        <v>30</v>
      </c>
      <c r="J6176" t="s">
        <v>41</v>
      </c>
      <c r="K6176" t="s">
        <v>59</v>
      </c>
      <c r="Q6176">
        <v>0</v>
      </c>
      <c r="R6176">
        <v>70</v>
      </c>
      <c r="S6176">
        <v>70</v>
      </c>
      <c r="T6176" t="s">
        <v>24121</v>
      </c>
    </row>
    <row r="6177" spans="1:20" customFormat="1" ht="15" x14ac:dyDescent="0.25">
      <c r="A6177" t="s">
        <v>35</v>
      </c>
      <c r="B6177" t="s">
        <v>61</v>
      </c>
      <c r="C6177" t="str">
        <f>"A0183243"</f>
        <v>A0183243</v>
      </c>
      <c r="D6177" t="s">
        <v>24122</v>
      </c>
      <c r="E6177" t="s">
        <v>24123</v>
      </c>
      <c r="F6177" t="s">
        <v>24124</v>
      </c>
      <c r="G6177" t="s">
        <v>81</v>
      </c>
      <c r="H6177">
        <v>33705</v>
      </c>
      <c r="I6177" t="s">
        <v>30</v>
      </c>
      <c r="J6177" t="s">
        <v>41</v>
      </c>
      <c r="K6177" t="s">
        <v>59</v>
      </c>
      <c r="Q6177">
        <v>0</v>
      </c>
      <c r="R6177">
        <v>0</v>
      </c>
      <c r="S6177">
        <v>0</v>
      </c>
      <c r="T6177" t="s">
        <v>24125</v>
      </c>
    </row>
    <row r="6178" spans="1:20" customFormat="1" ht="15" x14ac:dyDescent="0.25">
      <c r="A6178" t="s">
        <v>35</v>
      </c>
      <c r="B6178" t="s">
        <v>61</v>
      </c>
      <c r="C6178" t="str">
        <f>"A0183242"</f>
        <v>A0183242</v>
      </c>
      <c r="D6178" t="s">
        <v>24126</v>
      </c>
      <c r="E6178" t="s">
        <v>24127</v>
      </c>
      <c r="F6178" t="s">
        <v>6791</v>
      </c>
      <c r="G6178" t="s">
        <v>81</v>
      </c>
      <c r="H6178" t="s">
        <v>24128</v>
      </c>
      <c r="I6178" t="s">
        <v>30</v>
      </c>
      <c r="J6178" t="s">
        <v>41</v>
      </c>
      <c r="K6178" t="s">
        <v>59</v>
      </c>
      <c r="Q6178">
        <v>0</v>
      </c>
      <c r="R6178">
        <v>0</v>
      </c>
      <c r="S6178">
        <v>0</v>
      </c>
      <c r="T6178" t="s">
        <v>24129</v>
      </c>
    </row>
    <row r="6179" spans="1:20" customFormat="1" ht="15" x14ac:dyDescent="0.25">
      <c r="A6179" t="s">
        <v>35</v>
      </c>
      <c r="B6179" t="s">
        <v>61</v>
      </c>
      <c r="C6179" t="str">
        <f>"A0183241"</f>
        <v>A0183241</v>
      </c>
      <c r="D6179" t="s">
        <v>24130</v>
      </c>
      <c r="E6179" t="s">
        <v>24127</v>
      </c>
      <c r="F6179" t="s">
        <v>6791</v>
      </c>
      <c r="G6179" t="s">
        <v>81</v>
      </c>
      <c r="H6179" t="s">
        <v>24128</v>
      </c>
      <c r="I6179" t="s">
        <v>30</v>
      </c>
      <c r="J6179" t="s">
        <v>41</v>
      </c>
      <c r="K6179" t="s">
        <v>59</v>
      </c>
      <c r="Q6179">
        <v>0</v>
      </c>
      <c r="R6179">
        <v>0</v>
      </c>
      <c r="S6179">
        <v>0</v>
      </c>
      <c r="T6179" t="s">
        <v>24129</v>
      </c>
    </row>
    <row r="6180" spans="1:20" customFormat="1" ht="15" x14ac:dyDescent="0.25">
      <c r="A6180" t="s">
        <v>35</v>
      </c>
      <c r="B6180" t="s">
        <v>61</v>
      </c>
      <c r="C6180" t="str">
        <f>"A0183240"</f>
        <v>A0183240</v>
      </c>
      <c r="D6180" t="s">
        <v>24131</v>
      </c>
      <c r="E6180" t="s">
        <v>24132</v>
      </c>
      <c r="F6180" t="s">
        <v>24133</v>
      </c>
      <c r="G6180" t="s">
        <v>81</v>
      </c>
      <c r="H6180" t="s">
        <v>24134</v>
      </c>
      <c r="I6180" t="s">
        <v>30</v>
      </c>
      <c r="J6180" t="s">
        <v>41</v>
      </c>
      <c r="K6180" t="s">
        <v>59</v>
      </c>
      <c r="Q6180">
        <v>0</v>
      </c>
      <c r="R6180">
        <v>100</v>
      </c>
      <c r="S6180">
        <v>100</v>
      </c>
    </row>
    <row r="6181" spans="1:20" customFormat="1" ht="15" x14ac:dyDescent="0.25">
      <c r="A6181" t="s">
        <v>35</v>
      </c>
      <c r="B6181" t="s">
        <v>61</v>
      </c>
      <c r="C6181" t="str">
        <f>"A0183239"</f>
        <v>A0183239</v>
      </c>
      <c r="D6181" t="s">
        <v>24135</v>
      </c>
      <c r="E6181" t="s">
        <v>24136</v>
      </c>
      <c r="F6181" t="s">
        <v>4645</v>
      </c>
      <c r="G6181" t="s">
        <v>81</v>
      </c>
      <c r="H6181" t="s">
        <v>24137</v>
      </c>
      <c r="I6181" t="s">
        <v>30</v>
      </c>
      <c r="J6181" t="s">
        <v>41</v>
      </c>
      <c r="K6181" t="s">
        <v>59</v>
      </c>
      <c r="Q6181">
        <v>0</v>
      </c>
      <c r="R6181">
        <v>180</v>
      </c>
      <c r="S6181">
        <v>180</v>
      </c>
    </row>
    <row r="6182" spans="1:20" customFormat="1" ht="15" x14ac:dyDescent="0.25">
      <c r="A6182" t="s">
        <v>35</v>
      </c>
      <c r="B6182" t="s">
        <v>61</v>
      </c>
      <c r="C6182" t="str">
        <f>"A0183238"</f>
        <v>A0183238</v>
      </c>
      <c r="D6182" t="s">
        <v>24138</v>
      </c>
      <c r="E6182" t="s">
        <v>24139</v>
      </c>
      <c r="F6182" t="s">
        <v>24133</v>
      </c>
      <c r="G6182" t="s">
        <v>81</v>
      </c>
      <c r="H6182" t="s">
        <v>24140</v>
      </c>
      <c r="I6182" t="s">
        <v>30</v>
      </c>
      <c r="J6182" t="s">
        <v>41</v>
      </c>
      <c r="K6182" t="s">
        <v>59</v>
      </c>
      <c r="Q6182">
        <v>0</v>
      </c>
      <c r="R6182">
        <v>100</v>
      </c>
      <c r="S6182">
        <v>100</v>
      </c>
      <c r="T6182" t="s">
        <v>24141</v>
      </c>
    </row>
    <row r="6183" spans="1:20" customFormat="1" ht="15" x14ac:dyDescent="0.25">
      <c r="A6183" t="s">
        <v>35</v>
      </c>
      <c r="B6183" t="s">
        <v>61</v>
      </c>
      <c r="C6183" t="str">
        <f>"A0183237"</f>
        <v>A0183237</v>
      </c>
      <c r="D6183" t="s">
        <v>24142</v>
      </c>
      <c r="E6183" t="s">
        <v>24143</v>
      </c>
      <c r="F6183" t="s">
        <v>23412</v>
      </c>
      <c r="G6183" t="s">
        <v>81</v>
      </c>
      <c r="H6183" t="s">
        <v>24144</v>
      </c>
      <c r="I6183" t="s">
        <v>30</v>
      </c>
      <c r="J6183" t="s">
        <v>41</v>
      </c>
      <c r="K6183" t="s">
        <v>59</v>
      </c>
      <c r="Q6183">
        <v>0</v>
      </c>
      <c r="R6183">
        <v>60</v>
      </c>
      <c r="S6183">
        <v>60</v>
      </c>
      <c r="T6183" t="s">
        <v>23414</v>
      </c>
    </row>
    <row r="6184" spans="1:20" customFormat="1" ht="15" x14ac:dyDescent="0.25">
      <c r="A6184" t="s">
        <v>35</v>
      </c>
      <c r="B6184" t="s">
        <v>61</v>
      </c>
      <c r="C6184" t="str">
        <f>"A0183236"</f>
        <v>A0183236</v>
      </c>
      <c r="D6184" t="s">
        <v>24145</v>
      </c>
      <c r="E6184" t="s">
        <v>24146</v>
      </c>
      <c r="F6184" t="s">
        <v>12194</v>
      </c>
      <c r="G6184" t="s">
        <v>81</v>
      </c>
      <c r="H6184" t="s">
        <v>24147</v>
      </c>
      <c r="I6184" t="s">
        <v>30</v>
      </c>
      <c r="J6184" t="s">
        <v>41</v>
      </c>
      <c r="K6184" t="s">
        <v>59</v>
      </c>
      <c r="Q6184">
        <v>0</v>
      </c>
      <c r="R6184">
        <v>0</v>
      </c>
      <c r="S6184">
        <v>0</v>
      </c>
      <c r="T6184" t="s">
        <v>24148</v>
      </c>
    </row>
    <row r="6185" spans="1:20" customFormat="1" ht="15" x14ac:dyDescent="0.25">
      <c r="A6185" t="s">
        <v>35</v>
      </c>
      <c r="B6185" t="s">
        <v>61</v>
      </c>
      <c r="C6185" t="str">
        <f>"A0183235"</f>
        <v>A0183235</v>
      </c>
      <c r="D6185" t="s">
        <v>24149</v>
      </c>
      <c r="E6185" t="s">
        <v>24150</v>
      </c>
      <c r="F6185" t="s">
        <v>7362</v>
      </c>
      <c r="G6185" t="s">
        <v>110</v>
      </c>
      <c r="H6185">
        <v>90029</v>
      </c>
      <c r="I6185" t="s">
        <v>30</v>
      </c>
      <c r="J6185" t="s">
        <v>41</v>
      </c>
      <c r="K6185" t="s">
        <v>59</v>
      </c>
      <c r="Q6185">
        <v>0</v>
      </c>
      <c r="R6185">
        <v>0</v>
      </c>
      <c r="S6185">
        <v>0</v>
      </c>
      <c r="T6185" t="s">
        <v>24151</v>
      </c>
    </row>
    <row r="6186" spans="1:20" customFormat="1" ht="15" x14ac:dyDescent="0.25">
      <c r="A6186" t="s">
        <v>35</v>
      </c>
      <c r="B6186" t="s">
        <v>61</v>
      </c>
      <c r="C6186" t="str">
        <f>"A0183234"</f>
        <v>A0183234</v>
      </c>
      <c r="D6186" t="s">
        <v>24152</v>
      </c>
      <c r="E6186" t="s">
        <v>24153</v>
      </c>
      <c r="F6186" t="s">
        <v>24154</v>
      </c>
      <c r="G6186" t="s">
        <v>110</v>
      </c>
      <c r="H6186" t="s">
        <v>24155</v>
      </c>
      <c r="I6186" t="s">
        <v>30</v>
      </c>
      <c r="J6186" t="s">
        <v>41</v>
      </c>
      <c r="K6186" t="s">
        <v>59</v>
      </c>
      <c r="Q6186">
        <v>0</v>
      </c>
      <c r="R6186">
        <v>0</v>
      </c>
      <c r="S6186">
        <v>0</v>
      </c>
      <c r="T6186" t="s">
        <v>24156</v>
      </c>
    </row>
    <row r="6187" spans="1:20" customFormat="1" ht="15" x14ac:dyDescent="0.25">
      <c r="A6187" t="s">
        <v>35</v>
      </c>
      <c r="B6187" t="s">
        <v>11871</v>
      </c>
      <c r="C6187" t="str">
        <f>"A0183233"</f>
        <v>A0183233</v>
      </c>
      <c r="D6187" t="s">
        <v>24157</v>
      </c>
      <c r="E6187" t="s">
        <v>24158</v>
      </c>
      <c r="F6187" t="s">
        <v>5257</v>
      </c>
      <c r="G6187" t="s">
        <v>52</v>
      </c>
      <c r="H6187" t="s">
        <v>24159</v>
      </c>
      <c r="I6187" t="s">
        <v>30</v>
      </c>
      <c r="J6187" t="s">
        <v>41</v>
      </c>
      <c r="K6187" t="s">
        <v>59</v>
      </c>
      <c r="Q6187">
        <v>0</v>
      </c>
      <c r="R6187">
        <v>0</v>
      </c>
      <c r="S6187">
        <v>0</v>
      </c>
      <c r="T6187" t="s">
        <v>24160</v>
      </c>
    </row>
    <row r="6188" spans="1:20" customFormat="1" ht="15" x14ac:dyDescent="0.25">
      <c r="A6188" t="s">
        <v>35</v>
      </c>
      <c r="B6188" t="s">
        <v>11871</v>
      </c>
      <c r="C6188" t="str">
        <f>"A0183232"</f>
        <v>A0183232</v>
      </c>
      <c r="D6188" t="s">
        <v>24161</v>
      </c>
      <c r="E6188" t="s">
        <v>24162</v>
      </c>
      <c r="F6188" t="s">
        <v>22794</v>
      </c>
      <c r="G6188" t="s">
        <v>52</v>
      </c>
      <c r="H6188" t="s">
        <v>24163</v>
      </c>
      <c r="I6188" t="s">
        <v>30</v>
      </c>
      <c r="J6188" t="s">
        <v>41</v>
      </c>
      <c r="K6188" t="s">
        <v>59</v>
      </c>
      <c r="Q6188">
        <v>0</v>
      </c>
      <c r="R6188">
        <v>0</v>
      </c>
      <c r="S6188">
        <v>0</v>
      </c>
    </row>
    <row r="6189" spans="1:20" customFormat="1" ht="15" x14ac:dyDescent="0.25">
      <c r="A6189" t="s">
        <v>35</v>
      </c>
      <c r="B6189" t="s">
        <v>61</v>
      </c>
      <c r="C6189" t="str">
        <f>"A0183231"</f>
        <v>A0183231</v>
      </c>
      <c r="D6189" t="s">
        <v>24164</v>
      </c>
      <c r="E6189" t="s">
        <v>24165</v>
      </c>
      <c r="F6189" t="s">
        <v>23230</v>
      </c>
      <c r="G6189" t="s">
        <v>52</v>
      </c>
      <c r="H6189">
        <v>78414</v>
      </c>
      <c r="I6189" t="s">
        <v>30</v>
      </c>
      <c r="J6189" t="s">
        <v>41</v>
      </c>
      <c r="K6189" t="s">
        <v>59</v>
      </c>
      <c r="Q6189">
        <v>0</v>
      </c>
      <c r="R6189">
        <v>0</v>
      </c>
      <c r="S6189">
        <v>0</v>
      </c>
      <c r="T6189" t="s">
        <v>24166</v>
      </c>
    </row>
    <row r="6190" spans="1:20" customFormat="1" ht="15" x14ac:dyDescent="0.25">
      <c r="A6190" t="s">
        <v>35</v>
      </c>
      <c r="B6190" t="s">
        <v>61</v>
      </c>
      <c r="C6190" t="str">
        <f>"A0183230"</f>
        <v>A0183230</v>
      </c>
      <c r="D6190" t="s">
        <v>24167</v>
      </c>
      <c r="E6190" t="s">
        <v>24168</v>
      </c>
      <c r="F6190" t="s">
        <v>8081</v>
      </c>
      <c r="G6190" t="s">
        <v>110</v>
      </c>
      <c r="H6190" t="s">
        <v>24169</v>
      </c>
      <c r="I6190" t="s">
        <v>30</v>
      </c>
      <c r="J6190" t="s">
        <v>41</v>
      </c>
      <c r="K6190" t="s">
        <v>59</v>
      </c>
      <c r="Q6190">
        <v>0</v>
      </c>
      <c r="R6190">
        <v>0</v>
      </c>
      <c r="S6190">
        <v>0</v>
      </c>
      <c r="T6190" t="s">
        <v>24170</v>
      </c>
    </row>
    <row r="6191" spans="1:20" customFormat="1" ht="15" x14ac:dyDescent="0.25">
      <c r="A6191" t="s">
        <v>35</v>
      </c>
      <c r="B6191" t="s">
        <v>61</v>
      </c>
      <c r="C6191" t="str">
        <f>"A0183229"</f>
        <v>A0183229</v>
      </c>
      <c r="D6191" t="s">
        <v>24171</v>
      </c>
      <c r="E6191" t="s">
        <v>24172</v>
      </c>
      <c r="F6191" t="s">
        <v>7362</v>
      </c>
      <c r="G6191" t="s">
        <v>110</v>
      </c>
      <c r="H6191" t="s">
        <v>24173</v>
      </c>
      <c r="I6191" t="s">
        <v>30</v>
      </c>
      <c r="J6191" t="s">
        <v>41</v>
      </c>
      <c r="K6191" t="s">
        <v>59</v>
      </c>
      <c r="Q6191">
        <v>0</v>
      </c>
      <c r="R6191">
        <v>0</v>
      </c>
      <c r="S6191">
        <v>0</v>
      </c>
      <c r="T6191" t="s">
        <v>24174</v>
      </c>
    </row>
    <row r="6192" spans="1:20" customFormat="1" ht="15" x14ac:dyDescent="0.25">
      <c r="A6192" t="s">
        <v>35</v>
      </c>
      <c r="B6192" t="s">
        <v>61</v>
      </c>
      <c r="C6192" t="str">
        <f>"A0183228"</f>
        <v>A0183228</v>
      </c>
      <c r="D6192" t="s">
        <v>24175</v>
      </c>
      <c r="E6192" t="s">
        <v>24176</v>
      </c>
      <c r="F6192" t="s">
        <v>4645</v>
      </c>
      <c r="G6192" t="s">
        <v>81</v>
      </c>
      <c r="H6192">
        <v>32217</v>
      </c>
      <c r="I6192" t="s">
        <v>30</v>
      </c>
      <c r="J6192" t="s">
        <v>41</v>
      </c>
      <c r="K6192" t="s">
        <v>59</v>
      </c>
      <c r="Q6192">
        <v>0</v>
      </c>
      <c r="R6192">
        <v>0</v>
      </c>
      <c r="S6192">
        <v>0</v>
      </c>
      <c r="T6192" t="s">
        <v>24177</v>
      </c>
    </row>
    <row r="6193" spans="1:20" customFormat="1" ht="15" x14ac:dyDescent="0.25">
      <c r="A6193" t="s">
        <v>35</v>
      </c>
      <c r="B6193" t="s">
        <v>61</v>
      </c>
      <c r="C6193" t="str">
        <f>"A0183227"</f>
        <v>A0183227</v>
      </c>
      <c r="D6193" t="s">
        <v>24178</v>
      </c>
      <c r="E6193" t="s">
        <v>24179</v>
      </c>
      <c r="F6193" t="s">
        <v>20652</v>
      </c>
      <c r="G6193" t="s">
        <v>110</v>
      </c>
      <c r="H6193">
        <v>913353700</v>
      </c>
      <c r="I6193" t="s">
        <v>30</v>
      </c>
      <c r="J6193" t="s">
        <v>41</v>
      </c>
      <c r="K6193" t="s">
        <v>59</v>
      </c>
      <c r="Q6193">
        <v>0</v>
      </c>
      <c r="R6193">
        <v>0</v>
      </c>
      <c r="S6193">
        <v>0</v>
      </c>
      <c r="T6193" t="s">
        <v>23962</v>
      </c>
    </row>
    <row r="6194" spans="1:20" customFormat="1" ht="15" x14ac:dyDescent="0.25">
      <c r="A6194" t="s">
        <v>35</v>
      </c>
      <c r="B6194" t="s">
        <v>12660</v>
      </c>
      <c r="C6194" t="str">
        <f>"A0183226"</f>
        <v>A0183226</v>
      </c>
      <c r="D6194" t="s">
        <v>24180</v>
      </c>
      <c r="E6194" t="s">
        <v>24181</v>
      </c>
      <c r="F6194" t="s">
        <v>9660</v>
      </c>
      <c r="G6194" t="s">
        <v>110</v>
      </c>
      <c r="H6194">
        <v>945833444</v>
      </c>
      <c r="I6194" t="s">
        <v>30</v>
      </c>
      <c r="J6194" t="s">
        <v>41</v>
      </c>
      <c r="K6194" t="s">
        <v>59</v>
      </c>
      <c r="Q6194">
        <v>0</v>
      </c>
      <c r="R6194">
        <v>105</v>
      </c>
      <c r="S6194">
        <v>105</v>
      </c>
      <c r="T6194" t="s">
        <v>24182</v>
      </c>
    </row>
    <row r="6195" spans="1:20" customFormat="1" ht="15" x14ac:dyDescent="0.25">
      <c r="A6195" t="s">
        <v>35</v>
      </c>
      <c r="B6195" t="s">
        <v>12660</v>
      </c>
      <c r="C6195" t="str">
        <f>"A0183225"</f>
        <v>A0183225</v>
      </c>
      <c r="D6195" t="s">
        <v>24183</v>
      </c>
      <c r="E6195" t="s">
        <v>24184</v>
      </c>
      <c r="F6195" t="s">
        <v>10867</v>
      </c>
      <c r="G6195" t="s">
        <v>110</v>
      </c>
      <c r="H6195">
        <v>95354</v>
      </c>
      <c r="I6195" t="s">
        <v>30</v>
      </c>
      <c r="J6195" t="s">
        <v>41</v>
      </c>
      <c r="K6195" t="s">
        <v>59</v>
      </c>
      <c r="Q6195">
        <v>0</v>
      </c>
      <c r="R6195">
        <v>50</v>
      </c>
      <c r="S6195">
        <v>50</v>
      </c>
      <c r="T6195" t="s">
        <v>24185</v>
      </c>
    </row>
    <row r="6196" spans="1:20" customFormat="1" ht="15" x14ac:dyDescent="0.25">
      <c r="A6196" t="s">
        <v>35</v>
      </c>
      <c r="B6196" t="s">
        <v>12660</v>
      </c>
      <c r="C6196" t="str">
        <f>"A0183224"</f>
        <v>A0183224</v>
      </c>
      <c r="D6196" t="s">
        <v>24186</v>
      </c>
      <c r="E6196" t="s">
        <v>24187</v>
      </c>
      <c r="F6196" t="s">
        <v>9128</v>
      </c>
      <c r="G6196" t="s">
        <v>110</v>
      </c>
      <c r="H6196">
        <v>946115250</v>
      </c>
      <c r="I6196" t="s">
        <v>30</v>
      </c>
      <c r="J6196" t="s">
        <v>41</v>
      </c>
      <c r="K6196" t="s">
        <v>59</v>
      </c>
      <c r="Q6196">
        <v>0</v>
      </c>
      <c r="R6196">
        <v>94</v>
      </c>
      <c r="S6196">
        <v>94</v>
      </c>
      <c r="T6196" t="s">
        <v>24188</v>
      </c>
    </row>
    <row r="6197" spans="1:20" customFormat="1" ht="15" x14ac:dyDescent="0.25">
      <c r="A6197" t="s">
        <v>35</v>
      </c>
      <c r="B6197" t="s">
        <v>61</v>
      </c>
      <c r="C6197" t="str">
        <f>"A0183222"</f>
        <v>A0183222</v>
      </c>
      <c r="D6197" t="s">
        <v>24189</v>
      </c>
      <c r="E6197" t="s">
        <v>24190</v>
      </c>
      <c r="F6197" t="s">
        <v>24154</v>
      </c>
      <c r="G6197" t="s">
        <v>110</v>
      </c>
      <c r="H6197" t="s">
        <v>24191</v>
      </c>
      <c r="I6197" t="s">
        <v>30</v>
      </c>
      <c r="J6197" t="s">
        <v>41</v>
      </c>
      <c r="K6197" t="s">
        <v>59</v>
      </c>
      <c r="Q6197">
        <v>0</v>
      </c>
      <c r="R6197">
        <v>0</v>
      </c>
      <c r="S6197">
        <v>0</v>
      </c>
      <c r="T6197" t="s">
        <v>24192</v>
      </c>
    </row>
    <row r="6198" spans="1:20" customFormat="1" ht="15" x14ac:dyDescent="0.25">
      <c r="A6198" t="s">
        <v>35</v>
      </c>
      <c r="B6198" t="s">
        <v>12660</v>
      </c>
      <c r="C6198" t="str">
        <f>"A0183221"</f>
        <v>A0183221</v>
      </c>
      <c r="D6198" t="s">
        <v>24193</v>
      </c>
      <c r="E6198" t="s">
        <v>24194</v>
      </c>
      <c r="F6198" t="s">
        <v>13089</v>
      </c>
      <c r="G6198" t="s">
        <v>110</v>
      </c>
      <c r="H6198">
        <v>945667162</v>
      </c>
      <c r="I6198" t="s">
        <v>30</v>
      </c>
      <c r="J6198" t="s">
        <v>41</v>
      </c>
      <c r="K6198" t="s">
        <v>59</v>
      </c>
      <c r="Q6198">
        <v>0</v>
      </c>
      <c r="R6198">
        <v>0</v>
      </c>
      <c r="S6198">
        <v>0</v>
      </c>
      <c r="T6198" t="s">
        <v>24195</v>
      </c>
    </row>
    <row r="6199" spans="1:20" customFormat="1" ht="15" x14ac:dyDescent="0.25">
      <c r="A6199" t="s">
        <v>35</v>
      </c>
      <c r="B6199" t="s">
        <v>12660</v>
      </c>
      <c r="C6199" t="str">
        <f>"A0183220"</f>
        <v>A0183220</v>
      </c>
      <c r="D6199" t="s">
        <v>24196</v>
      </c>
      <c r="E6199" t="s">
        <v>24197</v>
      </c>
      <c r="F6199" t="s">
        <v>501</v>
      </c>
      <c r="G6199" t="s">
        <v>110</v>
      </c>
      <c r="H6199">
        <v>912054938</v>
      </c>
      <c r="I6199" t="s">
        <v>30</v>
      </c>
      <c r="J6199" t="s">
        <v>41</v>
      </c>
      <c r="K6199" t="s">
        <v>59</v>
      </c>
      <c r="Q6199">
        <v>0</v>
      </c>
      <c r="R6199">
        <v>0</v>
      </c>
      <c r="S6199">
        <v>0</v>
      </c>
      <c r="T6199" t="s">
        <v>24198</v>
      </c>
    </row>
    <row r="6200" spans="1:20" customFormat="1" ht="15" x14ac:dyDescent="0.25">
      <c r="A6200" t="s">
        <v>35</v>
      </c>
      <c r="B6200" t="s">
        <v>12660</v>
      </c>
      <c r="C6200" t="str">
        <f>"A0183219"</f>
        <v>A0183219</v>
      </c>
      <c r="D6200" t="s">
        <v>24199</v>
      </c>
      <c r="E6200" t="s">
        <v>24200</v>
      </c>
      <c r="F6200" t="s">
        <v>24201</v>
      </c>
      <c r="G6200" t="s">
        <v>110</v>
      </c>
      <c r="H6200">
        <v>934555022</v>
      </c>
      <c r="I6200" t="s">
        <v>30</v>
      </c>
      <c r="J6200" t="s">
        <v>41</v>
      </c>
      <c r="K6200" t="s">
        <v>59</v>
      </c>
      <c r="Q6200">
        <v>0</v>
      </c>
      <c r="R6200">
        <v>0</v>
      </c>
      <c r="S6200">
        <v>0</v>
      </c>
      <c r="T6200" t="s">
        <v>24202</v>
      </c>
    </row>
    <row r="6201" spans="1:20" customFormat="1" ht="15" x14ac:dyDescent="0.25">
      <c r="A6201" t="s">
        <v>35</v>
      </c>
      <c r="B6201" t="s">
        <v>61</v>
      </c>
      <c r="C6201" t="str">
        <f>"A0183218"</f>
        <v>A0183218</v>
      </c>
      <c r="D6201" t="s">
        <v>24203</v>
      </c>
      <c r="E6201" t="s">
        <v>24204</v>
      </c>
      <c r="F6201" t="s">
        <v>24205</v>
      </c>
      <c r="G6201" t="s">
        <v>925</v>
      </c>
      <c r="H6201" t="s">
        <v>24206</v>
      </c>
      <c r="I6201" t="s">
        <v>30</v>
      </c>
      <c r="J6201" t="s">
        <v>41</v>
      </c>
      <c r="K6201" t="s">
        <v>59</v>
      </c>
      <c r="Q6201">
        <v>0</v>
      </c>
      <c r="R6201">
        <v>0</v>
      </c>
      <c r="S6201">
        <v>0</v>
      </c>
    </row>
    <row r="6202" spans="1:20" customFormat="1" ht="15" x14ac:dyDescent="0.25">
      <c r="A6202" t="s">
        <v>35</v>
      </c>
      <c r="B6202" t="s">
        <v>61</v>
      </c>
      <c r="C6202" t="str">
        <f>"A0183217"</f>
        <v>A0183217</v>
      </c>
      <c r="D6202" t="s">
        <v>24207</v>
      </c>
      <c r="E6202" t="s">
        <v>24208</v>
      </c>
      <c r="F6202" t="s">
        <v>10426</v>
      </c>
      <c r="G6202" t="s">
        <v>81</v>
      </c>
      <c r="H6202" t="s">
        <v>24209</v>
      </c>
      <c r="I6202" t="s">
        <v>30</v>
      </c>
      <c r="J6202" t="s">
        <v>41</v>
      </c>
      <c r="K6202" t="s">
        <v>59</v>
      </c>
      <c r="Q6202">
        <v>0</v>
      </c>
      <c r="R6202">
        <v>0</v>
      </c>
      <c r="S6202">
        <v>0</v>
      </c>
    </row>
    <row r="6203" spans="1:20" customFormat="1" ht="15" x14ac:dyDescent="0.25">
      <c r="A6203" t="s">
        <v>35</v>
      </c>
      <c r="B6203" t="s">
        <v>61</v>
      </c>
      <c r="C6203" t="str">
        <f>"A0183216"</f>
        <v>A0183216</v>
      </c>
      <c r="D6203" t="s">
        <v>24210</v>
      </c>
      <c r="E6203" t="s">
        <v>24211</v>
      </c>
      <c r="F6203" t="s">
        <v>24212</v>
      </c>
      <c r="G6203" t="s">
        <v>81</v>
      </c>
      <c r="H6203" t="s">
        <v>24213</v>
      </c>
      <c r="I6203" t="s">
        <v>30</v>
      </c>
      <c r="J6203" t="s">
        <v>41</v>
      </c>
      <c r="K6203" t="s">
        <v>59</v>
      </c>
      <c r="Q6203">
        <v>0</v>
      </c>
      <c r="R6203">
        <v>0</v>
      </c>
      <c r="S6203">
        <v>0</v>
      </c>
      <c r="T6203" t="s">
        <v>24214</v>
      </c>
    </row>
    <row r="6204" spans="1:20" customFormat="1" ht="15" x14ac:dyDescent="0.25">
      <c r="A6204" t="s">
        <v>35</v>
      </c>
      <c r="B6204" t="s">
        <v>61</v>
      </c>
      <c r="C6204" t="str">
        <f>"A0183215"</f>
        <v>A0183215</v>
      </c>
      <c r="D6204" t="s">
        <v>24215</v>
      </c>
      <c r="E6204" t="s">
        <v>24216</v>
      </c>
      <c r="F6204" t="s">
        <v>24217</v>
      </c>
      <c r="G6204" t="s">
        <v>81</v>
      </c>
      <c r="H6204" t="s">
        <v>24218</v>
      </c>
      <c r="I6204" t="s">
        <v>30</v>
      </c>
      <c r="J6204" t="s">
        <v>41</v>
      </c>
      <c r="K6204" t="s">
        <v>59</v>
      </c>
      <c r="Q6204">
        <v>0</v>
      </c>
      <c r="R6204">
        <v>84</v>
      </c>
      <c r="S6204">
        <v>84</v>
      </c>
      <c r="T6204" t="s">
        <v>24219</v>
      </c>
    </row>
    <row r="6205" spans="1:20" customFormat="1" ht="15" x14ac:dyDescent="0.25">
      <c r="A6205" t="s">
        <v>35</v>
      </c>
      <c r="B6205" t="s">
        <v>12660</v>
      </c>
      <c r="C6205" t="str">
        <f>"A0183214"</f>
        <v>A0183214</v>
      </c>
      <c r="D6205" t="s">
        <v>24220</v>
      </c>
      <c r="E6205" t="s">
        <v>24221</v>
      </c>
      <c r="F6205" t="s">
        <v>20829</v>
      </c>
      <c r="G6205" t="s">
        <v>110</v>
      </c>
      <c r="H6205">
        <v>908022681</v>
      </c>
      <c r="I6205" t="s">
        <v>30</v>
      </c>
      <c r="J6205" t="s">
        <v>41</v>
      </c>
      <c r="K6205" t="s">
        <v>59</v>
      </c>
      <c r="Q6205">
        <v>0</v>
      </c>
      <c r="R6205">
        <v>0</v>
      </c>
      <c r="S6205">
        <v>0</v>
      </c>
      <c r="T6205" t="s">
        <v>24222</v>
      </c>
    </row>
    <row r="6206" spans="1:20" customFormat="1" ht="15" x14ac:dyDescent="0.25">
      <c r="A6206" t="s">
        <v>35</v>
      </c>
      <c r="B6206" t="s">
        <v>61</v>
      </c>
      <c r="C6206" t="str">
        <f>"A0183213"</f>
        <v>A0183213</v>
      </c>
      <c r="D6206" t="s">
        <v>24223</v>
      </c>
      <c r="E6206" t="s">
        <v>24224</v>
      </c>
      <c r="F6206" t="s">
        <v>501</v>
      </c>
      <c r="G6206" t="s">
        <v>110</v>
      </c>
      <c r="H6206" t="s">
        <v>24225</v>
      </c>
      <c r="I6206" t="s">
        <v>30</v>
      </c>
      <c r="J6206" t="s">
        <v>41</v>
      </c>
      <c r="K6206" t="s">
        <v>59</v>
      </c>
      <c r="Q6206">
        <v>0</v>
      </c>
      <c r="R6206">
        <v>0</v>
      </c>
      <c r="S6206">
        <v>0</v>
      </c>
      <c r="T6206" t="s">
        <v>24226</v>
      </c>
    </row>
    <row r="6207" spans="1:20" customFormat="1" ht="15" x14ac:dyDescent="0.25">
      <c r="A6207" t="s">
        <v>35</v>
      </c>
      <c r="B6207" t="s">
        <v>61</v>
      </c>
      <c r="C6207" t="str">
        <f>"A0183211"</f>
        <v>A0183211</v>
      </c>
      <c r="D6207" t="s">
        <v>24227</v>
      </c>
      <c r="E6207" t="s">
        <v>24228</v>
      </c>
      <c r="F6207" t="s">
        <v>7362</v>
      </c>
      <c r="G6207" t="s">
        <v>110</v>
      </c>
      <c r="H6207" t="s">
        <v>24229</v>
      </c>
      <c r="I6207" t="s">
        <v>30</v>
      </c>
      <c r="J6207" t="s">
        <v>41</v>
      </c>
      <c r="K6207" t="s">
        <v>59</v>
      </c>
      <c r="Q6207">
        <v>0</v>
      </c>
      <c r="R6207">
        <v>0</v>
      </c>
      <c r="S6207">
        <v>0</v>
      </c>
      <c r="T6207" t="s">
        <v>24230</v>
      </c>
    </row>
    <row r="6208" spans="1:20" customFormat="1" ht="15" x14ac:dyDescent="0.25">
      <c r="A6208" t="s">
        <v>35</v>
      </c>
      <c r="B6208" t="s">
        <v>61</v>
      </c>
      <c r="C6208" t="str">
        <f>"A0183210"</f>
        <v>A0183210</v>
      </c>
      <c r="D6208" t="s">
        <v>24231</v>
      </c>
      <c r="E6208" t="s">
        <v>24232</v>
      </c>
      <c r="F6208" t="s">
        <v>8081</v>
      </c>
      <c r="G6208" t="s">
        <v>110</v>
      </c>
      <c r="H6208" t="s">
        <v>24233</v>
      </c>
      <c r="I6208" t="s">
        <v>30</v>
      </c>
      <c r="J6208" t="s">
        <v>41</v>
      </c>
      <c r="K6208" t="s">
        <v>59</v>
      </c>
      <c r="Q6208">
        <v>0</v>
      </c>
      <c r="R6208">
        <v>0</v>
      </c>
      <c r="S6208">
        <v>0</v>
      </c>
      <c r="T6208" t="s">
        <v>24234</v>
      </c>
    </row>
    <row r="6209" spans="1:20" customFormat="1" ht="15" x14ac:dyDescent="0.25">
      <c r="A6209" t="s">
        <v>35</v>
      </c>
      <c r="B6209" t="s">
        <v>61</v>
      </c>
      <c r="C6209" t="str">
        <f>"A0183209"</f>
        <v>A0183209</v>
      </c>
      <c r="D6209" t="s">
        <v>24235</v>
      </c>
      <c r="E6209" t="s">
        <v>24179</v>
      </c>
      <c r="F6209" t="s">
        <v>20652</v>
      </c>
      <c r="G6209" t="s">
        <v>110</v>
      </c>
      <c r="H6209">
        <v>913353700</v>
      </c>
      <c r="I6209" t="s">
        <v>30</v>
      </c>
      <c r="J6209" t="s">
        <v>41</v>
      </c>
      <c r="K6209" t="s">
        <v>59</v>
      </c>
      <c r="Q6209">
        <v>0</v>
      </c>
      <c r="R6209">
        <v>105</v>
      </c>
      <c r="S6209">
        <v>105</v>
      </c>
      <c r="T6209" t="s">
        <v>23962</v>
      </c>
    </row>
    <row r="6210" spans="1:20" customFormat="1" ht="15" x14ac:dyDescent="0.25">
      <c r="A6210" t="s">
        <v>35</v>
      </c>
      <c r="B6210" t="s">
        <v>61</v>
      </c>
      <c r="C6210" t="str">
        <f>"A0183208"</f>
        <v>A0183208</v>
      </c>
      <c r="D6210" t="s">
        <v>24236</v>
      </c>
      <c r="E6210" t="s">
        <v>24237</v>
      </c>
      <c r="F6210" t="s">
        <v>13469</v>
      </c>
      <c r="G6210" t="s">
        <v>110</v>
      </c>
      <c r="H6210">
        <v>93950</v>
      </c>
      <c r="I6210" t="s">
        <v>30</v>
      </c>
      <c r="J6210" t="s">
        <v>41</v>
      </c>
      <c r="K6210" t="s">
        <v>59</v>
      </c>
      <c r="Q6210">
        <v>0</v>
      </c>
      <c r="R6210">
        <v>0</v>
      </c>
      <c r="S6210">
        <v>0</v>
      </c>
      <c r="T6210" t="s">
        <v>24238</v>
      </c>
    </row>
    <row r="6211" spans="1:20" customFormat="1" ht="15" x14ac:dyDescent="0.25">
      <c r="A6211" t="s">
        <v>35</v>
      </c>
      <c r="B6211" t="s">
        <v>61</v>
      </c>
      <c r="C6211" t="str">
        <f>"A0183207"</f>
        <v>A0183207</v>
      </c>
      <c r="D6211" t="s">
        <v>24239</v>
      </c>
      <c r="E6211" t="s">
        <v>24240</v>
      </c>
      <c r="F6211" t="s">
        <v>10426</v>
      </c>
      <c r="G6211" t="s">
        <v>81</v>
      </c>
      <c r="H6211" t="s">
        <v>11581</v>
      </c>
      <c r="I6211" t="s">
        <v>30</v>
      </c>
      <c r="J6211" t="s">
        <v>41</v>
      </c>
      <c r="K6211" t="s">
        <v>59</v>
      </c>
      <c r="Q6211">
        <v>0</v>
      </c>
      <c r="R6211">
        <v>102</v>
      </c>
      <c r="S6211">
        <v>102</v>
      </c>
      <c r="T6211" t="s">
        <v>24241</v>
      </c>
    </row>
    <row r="6212" spans="1:20" customFormat="1" ht="15" x14ac:dyDescent="0.25">
      <c r="A6212" t="s">
        <v>35</v>
      </c>
      <c r="B6212" t="s">
        <v>11871</v>
      </c>
      <c r="C6212" t="str">
        <f>"A0183206"</f>
        <v>A0183206</v>
      </c>
      <c r="D6212" t="s">
        <v>24242</v>
      </c>
      <c r="E6212" t="s">
        <v>24243</v>
      </c>
      <c r="F6212" t="s">
        <v>5693</v>
      </c>
      <c r="G6212" t="s">
        <v>81</v>
      </c>
      <c r="H6212" t="s">
        <v>24244</v>
      </c>
      <c r="I6212" t="s">
        <v>30</v>
      </c>
      <c r="J6212" t="s">
        <v>41</v>
      </c>
      <c r="K6212" t="s">
        <v>59</v>
      </c>
      <c r="Q6212">
        <v>0</v>
      </c>
      <c r="R6212">
        <v>0</v>
      </c>
      <c r="S6212">
        <v>0</v>
      </c>
      <c r="T6212" t="s">
        <v>24245</v>
      </c>
    </row>
    <row r="6213" spans="1:20" customFormat="1" ht="15" x14ac:dyDescent="0.25">
      <c r="A6213" t="s">
        <v>35</v>
      </c>
      <c r="B6213" t="s">
        <v>61</v>
      </c>
      <c r="C6213" t="str">
        <f>"A0183205"</f>
        <v>A0183205</v>
      </c>
      <c r="D6213" t="s">
        <v>24246</v>
      </c>
      <c r="E6213" t="s">
        <v>24247</v>
      </c>
      <c r="F6213" t="s">
        <v>24246</v>
      </c>
      <c r="G6213" t="s">
        <v>110</v>
      </c>
      <c r="H6213" t="s">
        <v>24248</v>
      </c>
      <c r="I6213" t="s">
        <v>30</v>
      </c>
      <c r="J6213" t="s">
        <v>41</v>
      </c>
      <c r="K6213" t="s">
        <v>59</v>
      </c>
      <c r="Q6213">
        <v>0</v>
      </c>
      <c r="R6213">
        <v>0</v>
      </c>
      <c r="S6213">
        <v>0</v>
      </c>
      <c r="T6213" t="s">
        <v>24249</v>
      </c>
    </row>
    <row r="6214" spans="1:20" customFormat="1" ht="15" x14ac:dyDescent="0.25">
      <c r="A6214" t="s">
        <v>35</v>
      </c>
      <c r="B6214" t="s">
        <v>61</v>
      </c>
      <c r="C6214" t="str">
        <f>"A0183204"</f>
        <v>A0183204</v>
      </c>
      <c r="D6214" t="s">
        <v>24250</v>
      </c>
      <c r="E6214" t="s">
        <v>24251</v>
      </c>
      <c r="F6214" t="s">
        <v>5772</v>
      </c>
      <c r="G6214" t="s">
        <v>99</v>
      </c>
      <c r="H6214" t="s">
        <v>24252</v>
      </c>
      <c r="I6214" t="s">
        <v>30</v>
      </c>
      <c r="J6214" t="s">
        <v>41</v>
      </c>
      <c r="K6214" t="s">
        <v>59</v>
      </c>
      <c r="Q6214">
        <v>0</v>
      </c>
      <c r="R6214">
        <v>200</v>
      </c>
      <c r="S6214">
        <v>200</v>
      </c>
      <c r="T6214" t="s">
        <v>24253</v>
      </c>
    </row>
    <row r="6215" spans="1:20" customFormat="1" ht="15" x14ac:dyDescent="0.25">
      <c r="A6215" t="s">
        <v>35</v>
      </c>
      <c r="B6215" t="s">
        <v>61</v>
      </c>
      <c r="C6215" t="str">
        <f>"A0183203"</f>
        <v>A0183203</v>
      </c>
      <c r="D6215" t="s">
        <v>24254</v>
      </c>
      <c r="E6215" t="s">
        <v>24255</v>
      </c>
      <c r="F6215" t="s">
        <v>4269</v>
      </c>
      <c r="G6215" t="s">
        <v>99</v>
      </c>
      <c r="H6215" t="s">
        <v>24256</v>
      </c>
      <c r="I6215" t="s">
        <v>30</v>
      </c>
      <c r="J6215" t="s">
        <v>41</v>
      </c>
      <c r="K6215" t="s">
        <v>59</v>
      </c>
      <c r="Q6215">
        <v>0</v>
      </c>
      <c r="R6215">
        <v>280</v>
      </c>
      <c r="S6215">
        <v>280</v>
      </c>
      <c r="T6215" t="s">
        <v>24257</v>
      </c>
    </row>
    <row r="6216" spans="1:20" customFormat="1" ht="15" x14ac:dyDescent="0.25">
      <c r="A6216" t="s">
        <v>35</v>
      </c>
      <c r="B6216" t="s">
        <v>61</v>
      </c>
      <c r="C6216" t="str">
        <f>"A0183202"</f>
        <v>A0183202</v>
      </c>
      <c r="D6216" t="s">
        <v>24258</v>
      </c>
      <c r="E6216" t="s">
        <v>24259</v>
      </c>
      <c r="F6216" t="s">
        <v>24260</v>
      </c>
      <c r="G6216" t="s">
        <v>99</v>
      </c>
      <c r="H6216" t="s">
        <v>24261</v>
      </c>
      <c r="I6216" t="s">
        <v>30</v>
      </c>
      <c r="J6216" t="s">
        <v>41</v>
      </c>
      <c r="K6216" t="s">
        <v>59</v>
      </c>
      <c r="Q6216">
        <v>0</v>
      </c>
      <c r="R6216">
        <v>122</v>
      </c>
      <c r="S6216">
        <v>122</v>
      </c>
      <c r="T6216" t="s">
        <v>24262</v>
      </c>
    </row>
    <row r="6217" spans="1:20" customFormat="1" ht="15" x14ac:dyDescent="0.25">
      <c r="A6217" t="s">
        <v>35</v>
      </c>
      <c r="B6217" t="s">
        <v>61</v>
      </c>
      <c r="C6217" t="str">
        <f>"A0183201"</f>
        <v>A0183201</v>
      </c>
      <c r="D6217" t="s">
        <v>24263</v>
      </c>
      <c r="E6217" t="s">
        <v>24264</v>
      </c>
      <c r="F6217" t="s">
        <v>2770</v>
      </c>
      <c r="G6217" t="s">
        <v>99</v>
      </c>
      <c r="H6217" t="s">
        <v>24265</v>
      </c>
      <c r="I6217" t="s">
        <v>30</v>
      </c>
      <c r="J6217" t="s">
        <v>41</v>
      </c>
      <c r="K6217" t="s">
        <v>59</v>
      </c>
      <c r="Q6217">
        <v>0</v>
      </c>
      <c r="R6217">
        <v>0</v>
      </c>
      <c r="S6217">
        <v>0</v>
      </c>
    </row>
    <row r="6218" spans="1:20" customFormat="1" ht="15" x14ac:dyDescent="0.25">
      <c r="A6218" t="s">
        <v>35</v>
      </c>
      <c r="B6218" t="s">
        <v>61</v>
      </c>
      <c r="C6218" t="str">
        <f>"A0183200"</f>
        <v>A0183200</v>
      </c>
      <c r="D6218" t="s">
        <v>24266</v>
      </c>
      <c r="E6218" t="s">
        <v>24267</v>
      </c>
      <c r="F6218" t="s">
        <v>4645</v>
      </c>
      <c r="G6218" t="s">
        <v>81</v>
      </c>
      <c r="H6218" t="s">
        <v>24268</v>
      </c>
      <c r="I6218" t="s">
        <v>30</v>
      </c>
      <c r="J6218" t="s">
        <v>41</v>
      </c>
      <c r="K6218" t="s">
        <v>59</v>
      </c>
      <c r="Q6218">
        <v>0</v>
      </c>
      <c r="R6218">
        <v>0</v>
      </c>
      <c r="S6218">
        <v>0</v>
      </c>
      <c r="T6218" t="s">
        <v>24269</v>
      </c>
    </row>
    <row r="6219" spans="1:20" customFormat="1" ht="15" x14ac:dyDescent="0.25">
      <c r="A6219" t="s">
        <v>35</v>
      </c>
      <c r="B6219" t="s">
        <v>61</v>
      </c>
      <c r="C6219" t="str">
        <f>"A0183199"</f>
        <v>A0183199</v>
      </c>
      <c r="D6219" t="s">
        <v>24270</v>
      </c>
      <c r="E6219" t="s">
        <v>24271</v>
      </c>
      <c r="F6219" t="s">
        <v>5693</v>
      </c>
      <c r="G6219" t="s">
        <v>81</v>
      </c>
      <c r="H6219" t="s">
        <v>24272</v>
      </c>
      <c r="I6219" t="s">
        <v>30</v>
      </c>
      <c r="J6219" t="s">
        <v>41</v>
      </c>
      <c r="K6219" t="s">
        <v>59</v>
      </c>
      <c r="Q6219">
        <v>0</v>
      </c>
      <c r="R6219">
        <v>0</v>
      </c>
      <c r="S6219">
        <v>0</v>
      </c>
      <c r="T6219" t="s">
        <v>24273</v>
      </c>
    </row>
    <row r="6220" spans="1:20" customFormat="1" ht="15" x14ac:dyDescent="0.25">
      <c r="A6220" t="s">
        <v>35</v>
      </c>
      <c r="B6220" t="s">
        <v>61</v>
      </c>
      <c r="C6220" t="str">
        <f>"A0183198"</f>
        <v>A0183198</v>
      </c>
      <c r="D6220" t="s">
        <v>24274</v>
      </c>
      <c r="E6220" t="s">
        <v>24275</v>
      </c>
      <c r="F6220" t="s">
        <v>12194</v>
      </c>
      <c r="G6220" t="s">
        <v>81</v>
      </c>
      <c r="H6220" t="s">
        <v>24276</v>
      </c>
      <c r="I6220" t="s">
        <v>30</v>
      </c>
      <c r="J6220" t="s">
        <v>41</v>
      </c>
      <c r="K6220" t="s">
        <v>59</v>
      </c>
      <c r="Q6220">
        <v>0</v>
      </c>
      <c r="R6220">
        <v>0</v>
      </c>
      <c r="S6220">
        <v>0</v>
      </c>
      <c r="T6220" t="s">
        <v>24277</v>
      </c>
    </row>
    <row r="6221" spans="1:20" customFormat="1" ht="15" x14ac:dyDescent="0.25">
      <c r="A6221" t="s">
        <v>35</v>
      </c>
      <c r="B6221" t="s">
        <v>61</v>
      </c>
      <c r="C6221" t="str">
        <f>"A0183196"</f>
        <v>A0183196</v>
      </c>
      <c r="D6221" t="s">
        <v>24278</v>
      </c>
      <c r="E6221" t="s">
        <v>11580</v>
      </c>
      <c r="F6221" t="s">
        <v>10426</v>
      </c>
      <c r="G6221" t="s">
        <v>81</v>
      </c>
      <c r="H6221" t="s">
        <v>11581</v>
      </c>
      <c r="I6221" t="s">
        <v>30</v>
      </c>
      <c r="J6221" t="s">
        <v>41</v>
      </c>
      <c r="K6221" t="s">
        <v>59</v>
      </c>
      <c r="Q6221">
        <v>0</v>
      </c>
      <c r="R6221">
        <v>0</v>
      </c>
      <c r="S6221">
        <v>0</v>
      </c>
      <c r="T6221" t="s">
        <v>11582</v>
      </c>
    </row>
    <row r="6222" spans="1:20" customFormat="1" ht="15" x14ac:dyDescent="0.25">
      <c r="A6222" t="s">
        <v>35</v>
      </c>
      <c r="B6222" t="s">
        <v>61</v>
      </c>
      <c r="C6222" t="str">
        <f>"A0183195"</f>
        <v>A0183195</v>
      </c>
      <c r="D6222" t="s">
        <v>24279</v>
      </c>
      <c r="E6222" t="s">
        <v>24280</v>
      </c>
      <c r="F6222" t="s">
        <v>5192</v>
      </c>
      <c r="G6222" t="s">
        <v>81</v>
      </c>
      <c r="H6222" t="s">
        <v>24281</v>
      </c>
      <c r="I6222" t="s">
        <v>30</v>
      </c>
      <c r="J6222" t="s">
        <v>41</v>
      </c>
      <c r="K6222" t="s">
        <v>59</v>
      </c>
      <c r="Q6222">
        <v>0</v>
      </c>
      <c r="R6222">
        <v>60</v>
      </c>
      <c r="S6222">
        <v>60</v>
      </c>
      <c r="T6222" t="s">
        <v>24282</v>
      </c>
    </row>
    <row r="6223" spans="1:20" customFormat="1" ht="15" x14ac:dyDescent="0.25">
      <c r="A6223" t="s">
        <v>35</v>
      </c>
      <c r="B6223" t="s">
        <v>11871</v>
      </c>
      <c r="C6223" t="str">
        <f>"A0183194"</f>
        <v>A0183194</v>
      </c>
      <c r="D6223" t="s">
        <v>24283</v>
      </c>
      <c r="E6223" t="s">
        <v>24284</v>
      </c>
      <c r="F6223" t="s">
        <v>3327</v>
      </c>
      <c r="G6223" t="s">
        <v>110</v>
      </c>
      <c r="H6223" t="s">
        <v>24285</v>
      </c>
      <c r="I6223" t="s">
        <v>30</v>
      </c>
      <c r="J6223" t="s">
        <v>41</v>
      </c>
      <c r="K6223" t="s">
        <v>59</v>
      </c>
      <c r="Q6223">
        <v>0</v>
      </c>
      <c r="R6223">
        <v>0</v>
      </c>
      <c r="S6223">
        <v>0</v>
      </c>
      <c r="T6223" t="s">
        <v>24286</v>
      </c>
    </row>
    <row r="6224" spans="1:20" customFormat="1" ht="15" x14ac:dyDescent="0.25">
      <c r="A6224" t="s">
        <v>35</v>
      </c>
      <c r="B6224" t="s">
        <v>61</v>
      </c>
      <c r="C6224" t="str">
        <f>"A0183193"</f>
        <v>A0183193</v>
      </c>
      <c r="D6224" t="s">
        <v>24287</v>
      </c>
      <c r="E6224" t="s">
        <v>24288</v>
      </c>
      <c r="F6224" t="s">
        <v>12653</v>
      </c>
      <c r="G6224" t="s">
        <v>110</v>
      </c>
      <c r="H6224" t="s">
        <v>24289</v>
      </c>
      <c r="I6224" t="s">
        <v>30</v>
      </c>
      <c r="J6224" t="s">
        <v>41</v>
      </c>
      <c r="K6224" t="s">
        <v>59</v>
      </c>
      <c r="Q6224">
        <v>0</v>
      </c>
      <c r="R6224">
        <v>0</v>
      </c>
      <c r="S6224">
        <v>0</v>
      </c>
      <c r="T6224" t="s">
        <v>12655</v>
      </c>
    </row>
    <row r="6225" spans="1:20" customFormat="1" ht="15" x14ac:dyDescent="0.25">
      <c r="A6225" t="s">
        <v>35</v>
      </c>
      <c r="B6225" t="s">
        <v>61</v>
      </c>
      <c r="C6225" t="str">
        <f>"A0183192"</f>
        <v>A0183192</v>
      </c>
      <c r="D6225" t="s">
        <v>24290</v>
      </c>
      <c r="E6225" t="s">
        <v>24291</v>
      </c>
      <c r="F6225" t="s">
        <v>23856</v>
      </c>
      <c r="G6225" t="s">
        <v>110</v>
      </c>
      <c r="H6225" t="s">
        <v>24292</v>
      </c>
      <c r="I6225" t="s">
        <v>30</v>
      </c>
      <c r="J6225" t="s">
        <v>41</v>
      </c>
      <c r="K6225" t="s">
        <v>59</v>
      </c>
      <c r="Q6225">
        <v>0</v>
      </c>
      <c r="R6225">
        <v>0</v>
      </c>
      <c r="S6225">
        <v>0</v>
      </c>
      <c r="T6225" t="s">
        <v>24293</v>
      </c>
    </row>
    <row r="6226" spans="1:20" customFormat="1" ht="15" x14ac:dyDescent="0.25">
      <c r="A6226" t="s">
        <v>35</v>
      </c>
      <c r="B6226" t="s">
        <v>15885</v>
      </c>
      <c r="C6226" t="str">
        <f>"A0183191"</f>
        <v>A0183191</v>
      </c>
      <c r="D6226" t="s">
        <v>24294</v>
      </c>
      <c r="E6226" t="s">
        <v>24295</v>
      </c>
      <c r="F6226" t="s">
        <v>1277</v>
      </c>
      <c r="G6226" t="s">
        <v>110</v>
      </c>
      <c r="H6226">
        <v>92408</v>
      </c>
      <c r="I6226" t="s">
        <v>30</v>
      </c>
      <c r="J6226" t="s">
        <v>41</v>
      </c>
      <c r="K6226" t="s">
        <v>59</v>
      </c>
      <c r="Q6226">
        <v>0</v>
      </c>
      <c r="R6226">
        <v>0</v>
      </c>
      <c r="S6226">
        <v>0</v>
      </c>
    </row>
    <row r="6227" spans="1:20" customFormat="1" ht="15" x14ac:dyDescent="0.25">
      <c r="A6227" t="s">
        <v>35</v>
      </c>
      <c r="B6227" t="s">
        <v>12660</v>
      </c>
      <c r="C6227" t="str">
        <f>"A0183190"</f>
        <v>A0183190</v>
      </c>
      <c r="D6227" t="s">
        <v>24296</v>
      </c>
      <c r="E6227" t="s">
        <v>24297</v>
      </c>
      <c r="F6227" t="s">
        <v>24298</v>
      </c>
      <c r="G6227" t="s">
        <v>110</v>
      </c>
      <c r="H6227">
        <v>92037</v>
      </c>
      <c r="I6227" t="s">
        <v>30</v>
      </c>
      <c r="J6227" t="s">
        <v>41</v>
      </c>
      <c r="K6227" t="s">
        <v>59</v>
      </c>
      <c r="Q6227">
        <v>0</v>
      </c>
      <c r="R6227">
        <v>45</v>
      </c>
      <c r="S6227">
        <v>45</v>
      </c>
      <c r="T6227" t="s">
        <v>24299</v>
      </c>
    </row>
    <row r="6228" spans="1:20" customFormat="1" ht="15" x14ac:dyDescent="0.25">
      <c r="A6228" t="s">
        <v>35</v>
      </c>
      <c r="B6228" t="s">
        <v>12660</v>
      </c>
      <c r="C6228" t="str">
        <f>"A0183189"</f>
        <v>A0183189</v>
      </c>
      <c r="D6228" t="s">
        <v>24300</v>
      </c>
      <c r="E6228" t="s">
        <v>24301</v>
      </c>
      <c r="F6228" t="s">
        <v>8032</v>
      </c>
      <c r="G6228" t="s">
        <v>110</v>
      </c>
      <c r="H6228">
        <v>92373</v>
      </c>
      <c r="I6228" t="s">
        <v>30</v>
      </c>
      <c r="J6228" t="s">
        <v>41</v>
      </c>
      <c r="K6228" t="s">
        <v>59</v>
      </c>
      <c r="Q6228">
        <v>0</v>
      </c>
      <c r="R6228">
        <v>0</v>
      </c>
      <c r="S6228">
        <v>0</v>
      </c>
      <c r="T6228" t="s">
        <v>24302</v>
      </c>
    </row>
    <row r="6229" spans="1:20" customFormat="1" ht="15" x14ac:dyDescent="0.25">
      <c r="A6229" t="s">
        <v>35</v>
      </c>
      <c r="B6229" t="s">
        <v>11871</v>
      </c>
      <c r="C6229" t="str">
        <f>"A0183188"</f>
        <v>A0183188</v>
      </c>
      <c r="D6229" t="s">
        <v>24303</v>
      </c>
      <c r="E6229" t="s">
        <v>24304</v>
      </c>
      <c r="F6229" t="s">
        <v>24305</v>
      </c>
      <c r="G6229" t="s">
        <v>81</v>
      </c>
      <c r="H6229" t="s">
        <v>24306</v>
      </c>
      <c r="I6229" t="s">
        <v>30</v>
      </c>
      <c r="J6229" t="s">
        <v>41</v>
      </c>
      <c r="K6229" t="s">
        <v>59</v>
      </c>
      <c r="Q6229">
        <v>0</v>
      </c>
      <c r="R6229">
        <v>0</v>
      </c>
      <c r="S6229">
        <v>0</v>
      </c>
      <c r="T6229" t="s">
        <v>24307</v>
      </c>
    </row>
    <row r="6230" spans="1:20" customFormat="1" ht="15" x14ac:dyDescent="0.25">
      <c r="A6230" t="s">
        <v>35</v>
      </c>
      <c r="B6230" t="s">
        <v>61</v>
      </c>
      <c r="C6230" t="str">
        <f>"A0183187"</f>
        <v>A0183187</v>
      </c>
      <c r="D6230" t="s">
        <v>24308</v>
      </c>
      <c r="E6230" t="s">
        <v>24309</v>
      </c>
      <c r="F6230" t="s">
        <v>24310</v>
      </c>
      <c r="G6230" t="s">
        <v>81</v>
      </c>
      <c r="H6230" t="s">
        <v>24311</v>
      </c>
      <c r="I6230" t="s">
        <v>30</v>
      </c>
      <c r="J6230" t="s">
        <v>41</v>
      </c>
      <c r="K6230" t="s">
        <v>59</v>
      </c>
      <c r="Q6230">
        <v>0</v>
      </c>
      <c r="R6230">
        <v>42</v>
      </c>
      <c r="S6230">
        <v>42</v>
      </c>
      <c r="T6230" t="s">
        <v>24312</v>
      </c>
    </row>
    <row r="6231" spans="1:20" customFormat="1" ht="15" x14ac:dyDescent="0.25">
      <c r="A6231" t="s">
        <v>35</v>
      </c>
      <c r="B6231" t="s">
        <v>61</v>
      </c>
      <c r="C6231" t="str">
        <f>"A0183186"</f>
        <v>A0183186</v>
      </c>
      <c r="D6231" t="s">
        <v>24313</v>
      </c>
      <c r="E6231" t="s">
        <v>24314</v>
      </c>
      <c r="F6231" t="s">
        <v>21186</v>
      </c>
      <c r="G6231" t="s">
        <v>925</v>
      </c>
      <c r="H6231" t="s">
        <v>24315</v>
      </c>
      <c r="I6231" t="s">
        <v>30</v>
      </c>
      <c r="J6231" t="s">
        <v>41</v>
      </c>
      <c r="K6231" t="s">
        <v>59</v>
      </c>
      <c r="Q6231">
        <v>0</v>
      </c>
      <c r="R6231">
        <v>141</v>
      </c>
      <c r="S6231">
        <v>141</v>
      </c>
      <c r="T6231" t="s">
        <v>24316</v>
      </c>
    </row>
    <row r="6232" spans="1:20" customFormat="1" ht="15" x14ac:dyDescent="0.25">
      <c r="A6232" t="s">
        <v>35</v>
      </c>
      <c r="B6232" t="s">
        <v>61</v>
      </c>
      <c r="C6232" t="str">
        <f>"A0183185"</f>
        <v>A0183185</v>
      </c>
      <c r="D6232" t="s">
        <v>24317</v>
      </c>
      <c r="E6232" t="s">
        <v>24318</v>
      </c>
      <c r="F6232" t="s">
        <v>24319</v>
      </c>
      <c r="G6232" t="s">
        <v>925</v>
      </c>
      <c r="H6232">
        <v>66449</v>
      </c>
      <c r="I6232" t="s">
        <v>30</v>
      </c>
      <c r="J6232" t="s">
        <v>41</v>
      </c>
      <c r="K6232" t="s">
        <v>59</v>
      </c>
      <c r="Q6232">
        <v>0</v>
      </c>
      <c r="R6232">
        <v>55</v>
      </c>
      <c r="S6232">
        <v>55</v>
      </c>
      <c r="T6232" t="s">
        <v>24320</v>
      </c>
    </row>
    <row r="6233" spans="1:20" customFormat="1" ht="15" x14ac:dyDescent="0.25">
      <c r="A6233" t="s">
        <v>35</v>
      </c>
      <c r="B6233" t="s">
        <v>61</v>
      </c>
      <c r="C6233" t="str">
        <f>"A0183184"</f>
        <v>A0183184</v>
      </c>
      <c r="D6233" t="s">
        <v>24321</v>
      </c>
      <c r="E6233" t="s">
        <v>24322</v>
      </c>
      <c r="F6233" t="s">
        <v>7362</v>
      </c>
      <c r="G6233" t="s">
        <v>110</v>
      </c>
      <c r="H6233" t="s">
        <v>24323</v>
      </c>
      <c r="I6233" t="s">
        <v>30</v>
      </c>
      <c r="J6233" t="s">
        <v>41</v>
      </c>
      <c r="K6233" t="s">
        <v>59</v>
      </c>
      <c r="Q6233">
        <v>0</v>
      </c>
      <c r="R6233">
        <v>66</v>
      </c>
      <c r="S6233">
        <v>66</v>
      </c>
      <c r="T6233" t="s">
        <v>24324</v>
      </c>
    </row>
    <row r="6234" spans="1:20" customFormat="1" ht="15" x14ac:dyDescent="0.25">
      <c r="A6234" t="s">
        <v>35</v>
      </c>
      <c r="B6234" t="s">
        <v>61</v>
      </c>
      <c r="C6234" t="str">
        <f>"A0183183"</f>
        <v>A0183183</v>
      </c>
      <c r="D6234" t="s">
        <v>24325</v>
      </c>
      <c r="E6234" t="s">
        <v>24326</v>
      </c>
      <c r="F6234" t="s">
        <v>20275</v>
      </c>
      <c r="G6234" t="s">
        <v>110</v>
      </c>
      <c r="H6234">
        <v>947092164</v>
      </c>
      <c r="I6234" t="s">
        <v>30</v>
      </c>
      <c r="J6234" t="s">
        <v>41</v>
      </c>
      <c r="K6234" t="s">
        <v>59</v>
      </c>
      <c r="Q6234">
        <v>0</v>
      </c>
      <c r="R6234">
        <v>0</v>
      </c>
      <c r="S6234">
        <v>0</v>
      </c>
      <c r="T6234" t="s">
        <v>24327</v>
      </c>
    </row>
    <row r="6235" spans="1:20" customFormat="1" ht="15" x14ac:dyDescent="0.25">
      <c r="A6235" t="s">
        <v>35</v>
      </c>
      <c r="B6235" t="s">
        <v>61</v>
      </c>
      <c r="C6235" t="str">
        <f>"A0183182"</f>
        <v>A0183182</v>
      </c>
      <c r="D6235" t="s">
        <v>24328</v>
      </c>
      <c r="E6235" t="s">
        <v>24329</v>
      </c>
      <c r="F6235" t="s">
        <v>8081</v>
      </c>
      <c r="G6235" t="s">
        <v>110</v>
      </c>
      <c r="H6235">
        <v>941102570</v>
      </c>
      <c r="I6235" t="s">
        <v>30</v>
      </c>
      <c r="J6235" t="s">
        <v>41</v>
      </c>
      <c r="K6235" t="s">
        <v>59</v>
      </c>
      <c r="Q6235">
        <v>0</v>
      </c>
      <c r="R6235">
        <v>0</v>
      </c>
      <c r="S6235">
        <v>0</v>
      </c>
      <c r="T6235" t="s">
        <v>24330</v>
      </c>
    </row>
    <row r="6236" spans="1:20" customFormat="1" ht="15" x14ac:dyDescent="0.25">
      <c r="A6236" t="s">
        <v>35</v>
      </c>
      <c r="B6236" t="s">
        <v>61</v>
      </c>
      <c r="C6236" t="str">
        <f>"A0183181"</f>
        <v>A0183181</v>
      </c>
      <c r="D6236" t="s">
        <v>24331</v>
      </c>
      <c r="E6236" t="s">
        <v>24332</v>
      </c>
      <c r="F6236" t="s">
        <v>21676</v>
      </c>
      <c r="G6236" t="s">
        <v>161</v>
      </c>
      <c r="H6236">
        <v>55416</v>
      </c>
      <c r="I6236" t="s">
        <v>30</v>
      </c>
      <c r="J6236" t="s">
        <v>41</v>
      </c>
      <c r="K6236" t="s">
        <v>59</v>
      </c>
      <c r="Q6236">
        <v>0</v>
      </c>
      <c r="R6236">
        <v>0</v>
      </c>
      <c r="S6236">
        <v>0</v>
      </c>
      <c r="T6236" t="s">
        <v>24333</v>
      </c>
    </row>
    <row r="6237" spans="1:20" customFormat="1" ht="15" x14ac:dyDescent="0.25">
      <c r="A6237" t="s">
        <v>35</v>
      </c>
      <c r="B6237" t="s">
        <v>61</v>
      </c>
      <c r="C6237" t="str">
        <f>"A0183180"</f>
        <v>A0183180</v>
      </c>
      <c r="D6237" t="s">
        <v>24334</v>
      </c>
      <c r="E6237" t="s">
        <v>24335</v>
      </c>
      <c r="F6237" t="s">
        <v>12934</v>
      </c>
      <c r="G6237" t="s">
        <v>161</v>
      </c>
      <c r="H6237">
        <v>55420</v>
      </c>
      <c r="I6237" t="s">
        <v>30</v>
      </c>
      <c r="J6237" t="s">
        <v>41</v>
      </c>
      <c r="K6237" t="s">
        <v>59</v>
      </c>
      <c r="Q6237">
        <v>0</v>
      </c>
      <c r="R6237">
        <v>0</v>
      </c>
      <c r="S6237">
        <v>0</v>
      </c>
    </row>
    <row r="6238" spans="1:20" customFormat="1" ht="15" x14ac:dyDescent="0.25">
      <c r="A6238" t="s">
        <v>35</v>
      </c>
      <c r="B6238" t="s">
        <v>61</v>
      </c>
      <c r="C6238" t="str">
        <f>"A0183179"</f>
        <v>A0183179</v>
      </c>
      <c r="D6238" t="s">
        <v>24336</v>
      </c>
      <c r="E6238" t="s">
        <v>24337</v>
      </c>
      <c r="F6238" t="s">
        <v>20926</v>
      </c>
      <c r="G6238" t="s">
        <v>161</v>
      </c>
      <c r="H6238" t="s">
        <v>24338</v>
      </c>
      <c r="I6238" t="s">
        <v>30</v>
      </c>
      <c r="J6238" t="s">
        <v>41</v>
      </c>
      <c r="K6238" t="s">
        <v>59</v>
      </c>
      <c r="Q6238">
        <v>0</v>
      </c>
      <c r="R6238">
        <v>0</v>
      </c>
      <c r="S6238">
        <v>0</v>
      </c>
    </row>
    <row r="6239" spans="1:20" customFormat="1" ht="15" x14ac:dyDescent="0.25">
      <c r="A6239" t="s">
        <v>35</v>
      </c>
      <c r="B6239" t="s">
        <v>61</v>
      </c>
      <c r="C6239" t="str">
        <f>"A0183178"</f>
        <v>A0183178</v>
      </c>
      <c r="D6239" t="s">
        <v>24339</v>
      </c>
      <c r="E6239" t="s">
        <v>24136</v>
      </c>
      <c r="F6239" t="s">
        <v>4645</v>
      </c>
      <c r="G6239" t="s">
        <v>81</v>
      </c>
      <c r="H6239" t="s">
        <v>24137</v>
      </c>
      <c r="I6239" t="s">
        <v>30</v>
      </c>
      <c r="J6239" t="s">
        <v>41</v>
      </c>
      <c r="K6239" t="s">
        <v>59</v>
      </c>
      <c r="Q6239">
        <v>0</v>
      </c>
      <c r="R6239">
        <v>180</v>
      </c>
      <c r="S6239">
        <v>180</v>
      </c>
      <c r="T6239" t="s">
        <v>24340</v>
      </c>
    </row>
    <row r="6240" spans="1:20" customFormat="1" ht="15" x14ac:dyDescent="0.25">
      <c r="A6240" t="s">
        <v>35</v>
      </c>
      <c r="B6240" t="s">
        <v>11871</v>
      </c>
      <c r="C6240" t="str">
        <f>"A0183177"</f>
        <v>A0183177</v>
      </c>
      <c r="D6240" t="s">
        <v>24341</v>
      </c>
      <c r="E6240" t="s">
        <v>24342</v>
      </c>
      <c r="F6240" t="s">
        <v>10530</v>
      </c>
      <c r="G6240" t="s">
        <v>81</v>
      </c>
      <c r="H6240" t="s">
        <v>24343</v>
      </c>
      <c r="I6240" t="s">
        <v>30</v>
      </c>
      <c r="J6240" t="s">
        <v>41</v>
      </c>
      <c r="K6240" t="s">
        <v>59</v>
      </c>
      <c r="Q6240">
        <v>0</v>
      </c>
      <c r="R6240">
        <v>0</v>
      </c>
      <c r="S6240">
        <v>0</v>
      </c>
      <c r="T6240" t="s">
        <v>24344</v>
      </c>
    </row>
    <row r="6241" spans="1:20" customFormat="1" ht="15" x14ac:dyDescent="0.25">
      <c r="A6241" t="s">
        <v>35</v>
      </c>
      <c r="B6241" t="s">
        <v>61</v>
      </c>
      <c r="C6241" t="str">
        <f>"A0183176"</f>
        <v>A0183176</v>
      </c>
      <c r="D6241" t="s">
        <v>24345</v>
      </c>
      <c r="E6241" t="s">
        <v>24346</v>
      </c>
      <c r="F6241" t="s">
        <v>24217</v>
      </c>
      <c r="G6241" t="s">
        <v>81</v>
      </c>
      <c r="H6241" t="s">
        <v>24347</v>
      </c>
      <c r="I6241" t="s">
        <v>30</v>
      </c>
      <c r="J6241" t="s">
        <v>41</v>
      </c>
      <c r="K6241" t="s">
        <v>59</v>
      </c>
      <c r="Q6241">
        <v>0</v>
      </c>
      <c r="R6241">
        <v>110</v>
      </c>
      <c r="S6241">
        <v>110</v>
      </c>
      <c r="T6241" t="s">
        <v>24348</v>
      </c>
    </row>
    <row r="6242" spans="1:20" customFormat="1" ht="15" x14ac:dyDescent="0.25">
      <c r="A6242" t="s">
        <v>35</v>
      </c>
      <c r="B6242" t="s">
        <v>61</v>
      </c>
      <c r="C6242" t="str">
        <f>"A0183175"</f>
        <v>A0183175</v>
      </c>
      <c r="D6242" t="s">
        <v>24349</v>
      </c>
      <c r="E6242" t="s">
        <v>24179</v>
      </c>
      <c r="F6242" t="s">
        <v>20652</v>
      </c>
      <c r="G6242" t="s">
        <v>110</v>
      </c>
      <c r="H6242">
        <v>913353700</v>
      </c>
      <c r="I6242" t="s">
        <v>30</v>
      </c>
      <c r="J6242" t="s">
        <v>41</v>
      </c>
      <c r="K6242" t="s">
        <v>59</v>
      </c>
      <c r="Q6242">
        <v>0</v>
      </c>
      <c r="R6242">
        <v>0</v>
      </c>
      <c r="S6242">
        <v>0</v>
      </c>
      <c r="T6242" t="s">
        <v>23962</v>
      </c>
    </row>
    <row r="6243" spans="1:20" customFormat="1" ht="15" x14ac:dyDescent="0.25">
      <c r="A6243" t="s">
        <v>35</v>
      </c>
      <c r="B6243" t="s">
        <v>61</v>
      </c>
      <c r="C6243" t="str">
        <f>"A0183174"</f>
        <v>A0183174</v>
      </c>
      <c r="D6243" t="s">
        <v>24350</v>
      </c>
      <c r="E6243" t="s">
        <v>24351</v>
      </c>
      <c r="F6243" t="s">
        <v>21261</v>
      </c>
      <c r="G6243" t="s">
        <v>925</v>
      </c>
      <c r="H6243" t="s">
        <v>24352</v>
      </c>
      <c r="I6243" t="s">
        <v>30</v>
      </c>
      <c r="J6243" t="s">
        <v>41</v>
      </c>
      <c r="K6243" t="s">
        <v>59</v>
      </c>
      <c r="Q6243">
        <v>0</v>
      </c>
      <c r="R6243">
        <v>0</v>
      </c>
      <c r="S6243">
        <v>0</v>
      </c>
    </row>
    <row r="6244" spans="1:20" customFormat="1" ht="15" x14ac:dyDescent="0.25">
      <c r="A6244" t="s">
        <v>35</v>
      </c>
      <c r="B6244" t="s">
        <v>61</v>
      </c>
      <c r="C6244" t="str">
        <f>"A0183173"</f>
        <v>A0183173</v>
      </c>
      <c r="D6244" t="s">
        <v>24353</v>
      </c>
      <c r="E6244" t="s">
        <v>24354</v>
      </c>
      <c r="F6244" t="s">
        <v>24355</v>
      </c>
      <c r="G6244" t="s">
        <v>925</v>
      </c>
      <c r="H6244">
        <v>67053</v>
      </c>
      <c r="I6244" t="s">
        <v>30</v>
      </c>
      <c r="J6244" t="s">
        <v>41</v>
      </c>
      <c r="K6244" t="s">
        <v>59</v>
      </c>
      <c r="Q6244">
        <v>0</v>
      </c>
      <c r="R6244">
        <v>67</v>
      </c>
      <c r="S6244">
        <v>67</v>
      </c>
      <c r="T6244" t="s">
        <v>24356</v>
      </c>
    </row>
    <row r="6245" spans="1:20" customFormat="1" ht="15" x14ac:dyDescent="0.25">
      <c r="A6245" t="s">
        <v>35</v>
      </c>
      <c r="B6245" t="s">
        <v>12660</v>
      </c>
      <c r="C6245" t="str">
        <f>"A0183172"</f>
        <v>A0183172</v>
      </c>
      <c r="D6245" t="s">
        <v>24357</v>
      </c>
      <c r="E6245" t="s">
        <v>24358</v>
      </c>
      <c r="F6245" t="s">
        <v>4032</v>
      </c>
      <c r="G6245" t="s">
        <v>110</v>
      </c>
      <c r="H6245">
        <v>931054435</v>
      </c>
      <c r="I6245" t="s">
        <v>30</v>
      </c>
      <c r="J6245" t="s">
        <v>41</v>
      </c>
      <c r="K6245" t="s">
        <v>59</v>
      </c>
      <c r="Q6245">
        <v>0</v>
      </c>
      <c r="R6245">
        <v>80</v>
      </c>
      <c r="S6245">
        <v>80</v>
      </c>
      <c r="T6245" t="s">
        <v>24359</v>
      </c>
    </row>
    <row r="6246" spans="1:20" customFormat="1" ht="15" x14ac:dyDescent="0.25">
      <c r="A6246" t="s">
        <v>35</v>
      </c>
      <c r="B6246" t="s">
        <v>12660</v>
      </c>
      <c r="C6246" t="str">
        <f>"A0183171"</f>
        <v>A0183171</v>
      </c>
      <c r="D6246" t="s">
        <v>24360</v>
      </c>
      <c r="E6246" t="s">
        <v>24361</v>
      </c>
      <c r="F6246" t="s">
        <v>24362</v>
      </c>
      <c r="G6246" t="s">
        <v>110</v>
      </c>
      <c r="H6246">
        <v>92253</v>
      </c>
      <c r="I6246" t="s">
        <v>30</v>
      </c>
      <c r="J6246" t="s">
        <v>41</v>
      </c>
      <c r="K6246" t="s">
        <v>59</v>
      </c>
      <c r="Q6246">
        <v>0</v>
      </c>
      <c r="R6246">
        <v>0</v>
      </c>
      <c r="S6246">
        <v>0</v>
      </c>
      <c r="T6246" t="s">
        <v>24363</v>
      </c>
    </row>
    <row r="6247" spans="1:20" customFormat="1" ht="15" x14ac:dyDescent="0.25">
      <c r="A6247" t="s">
        <v>35</v>
      </c>
      <c r="B6247" t="s">
        <v>61</v>
      </c>
      <c r="C6247" t="str">
        <f>"A0183170"</f>
        <v>A0183170</v>
      </c>
      <c r="D6247" t="s">
        <v>24364</v>
      </c>
      <c r="E6247" t="s">
        <v>24365</v>
      </c>
      <c r="F6247" t="s">
        <v>9836</v>
      </c>
      <c r="G6247" t="s">
        <v>110</v>
      </c>
      <c r="H6247" t="s">
        <v>24366</v>
      </c>
      <c r="I6247" t="s">
        <v>30</v>
      </c>
      <c r="J6247" t="s">
        <v>41</v>
      </c>
      <c r="K6247" t="s">
        <v>59</v>
      </c>
      <c r="Q6247">
        <v>0</v>
      </c>
      <c r="R6247">
        <v>0</v>
      </c>
      <c r="S6247">
        <v>0</v>
      </c>
      <c r="T6247" t="s">
        <v>24367</v>
      </c>
    </row>
    <row r="6248" spans="1:20" customFormat="1" ht="15" x14ac:dyDescent="0.25">
      <c r="A6248" t="s">
        <v>35</v>
      </c>
      <c r="B6248" t="s">
        <v>61</v>
      </c>
      <c r="C6248" t="str">
        <f>"A0183169"</f>
        <v>A0183169</v>
      </c>
      <c r="D6248" t="s">
        <v>24368</v>
      </c>
      <c r="E6248" t="s">
        <v>24369</v>
      </c>
      <c r="F6248" t="s">
        <v>24370</v>
      </c>
      <c r="G6248" t="s">
        <v>110</v>
      </c>
      <c r="H6248" t="s">
        <v>24371</v>
      </c>
      <c r="I6248" t="s">
        <v>30</v>
      </c>
      <c r="J6248" t="s">
        <v>41</v>
      </c>
      <c r="K6248" t="s">
        <v>59</v>
      </c>
      <c r="Q6248">
        <v>0</v>
      </c>
      <c r="R6248">
        <v>0</v>
      </c>
      <c r="S6248">
        <v>0</v>
      </c>
      <c r="T6248" t="s">
        <v>24372</v>
      </c>
    </row>
    <row r="6249" spans="1:20" customFormat="1" ht="15" x14ac:dyDescent="0.25">
      <c r="A6249" t="s">
        <v>35</v>
      </c>
      <c r="B6249" t="s">
        <v>61</v>
      </c>
      <c r="C6249" t="str">
        <f>"A0183168"</f>
        <v>A0183168</v>
      </c>
      <c r="D6249" t="s">
        <v>24373</v>
      </c>
      <c r="E6249" t="s">
        <v>24374</v>
      </c>
      <c r="F6249" t="s">
        <v>9135</v>
      </c>
      <c r="G6249" t="s">
        <v>110</v>
      </c>
      <c r="H6249">
        <v>951125550</v>
      </c>
      <c r="I6249" t="s">
        <v>30</v>
      </c>
      <c r="J6249" t="s">
        <v>41</v>
      </c>
      <c r="K6249" t="s">
        <v>59</v>
      </c>
      <c r="Q6249">
        <v>0</v>
      </c>
      <c r="R6249">
        <v>0</v>
      </c>
      <c r="S6249">
        <v>0</v>
      </c>
      <c r="T6249" t="s">
        <v>24375</v>
      </c>
    </row>
    <row r="6250" spans="1:20" customFormat="1" ht="15" x14ac:dyDescent="0.25">
      <c r="A6250" t="s">
        <v>35</v>
      </c>
      <c r="B6250" t="s">
        <v>61</v>
      </c>
      <c r="C6250" t="str">
        <f>"A0183167"</f>
        <v>A0183167</v>
      </c>
      <c r="D6250" t="s">
        <v>24376</v>
      </c>
      <c r="E6250" t="s">
        <v>24377</v>
      </c>
      <c r="F6250" t="s">
        <v>9128</v>
      </c>
      <c r="G6250" t="s">
        <v>110</v>
      </c>
      <c r="H6250">
        <v>946116064</v>
      </c>
      <c r="I6250" t="s">
        <v>30</v>
      </c>
      <c r="J6250" t="s">
        <v>41</v>
      </c>
      <c r="K6250" t="s">
        <v>59</v>
      </c>
      <c r="Q6250">
        <v>0</v>
      </c>
      <c r="R6250">
        <v>0</v>
      </c>
      <c r="S6250">
        <v>0</v>
      </c>
      <c r="T6250" t="s">
        <v>24378</v>
      </c>
    </row>
    <row r="6251" spans="1:20" customFormat="1" ht="15" x14ac:dyDescent="0.25">
      <c r="A6251" t="s">
        <v>35</v>
      </c>
      <c r="B6251" t="s">
        <v>61</v>
      </c>
      <c r="C6251" t="str">
        <f>"A0183166"</f>
        <v>A0183166</v>
      </c>
      <c r="D6251" t="s">
        <v>24379</v>
      </c>
      <c r="E6251" t="s">
        <v>24380</v>
      </c>
      <c r="F6251" t="s">
        <v>24381</v>
      </c>
      <c r="G6251" t="s">
        <v>81</v>
      </c>
      <c r="H6251" t="s">
        <v>24382</v>
      </c>
      <c r="I6251" t="s">
        <v>30</v>
      </c>
      <c r="J6251" t="s">
        <v>41</v>
      </c>
      <c r="K6251" t="s">
        <v>59</v>
      </c>
      <c r="Q6251">
        <v>0</v>
      </c>
      <c r="R6251">
        <v>120</v>
      </c>
      <c r="S6251">
        <v>120</v>
      </c>
      <c r="T6251" t="s">
        <v>24383</v>
      </c>
    </row>
    <row r="6252" spans="1:20" customFormat="1" ht="15" x14ac:dyDescent="0.25">
      <c r="A6252" t="s">
        <v>35</v>
      </c>
      <c r="B6252" t="s">
        <v>61</v>
      </c>
      <c r="C6252" t="str">
        <f>"A0183165"</f>
        <v>A0183165</v>
      </c>
      <c r="D6252" t="s">
        <v>24384</v>
      </c>
      <c r="E6252" t="s">
        <v>24385</v>
      </c>
      <c r="F6252" t="s">
        <v>20813</v>
      </c>
      <c r="G6252" t="s">
        <v>81</v>
      </c>
      <c r="H6252" t="s">
        <v>24386</v>
      </c>
      <c r="I6252" t="s">
        <v>30</v>
      </c>
      <c r="J6252" t="s">
        <v>41</v>
      </c>
      <c r="K6252" t="s">
        <v>59</v>
      </c>
      <c r="Q6252">
        <v>0</v>
      </c>
      <c r="R6252">
        <v>0</v>
      </c>
      <c r="S6252">
        <v>0</v>
      </c>
      <c r="T6252" t="s">
        <v>24387</v>
      </c>
    </row>
    <row r="6253" spans="1:20" customFormat="1" ht="15" x14ac:dyDescent="0.25">
      <c r="A6253" t="s">
        <v>35</v>
      </c>
      <c r="B6253" t="s">
        <v>61</v>
      </c>
      <c r="C6253" t="str">
        <f>"A0183164"</f>
        <v>A0183164</v>
      </c>
      <c r="D6253" t="s">
        <v>24388</v>
      </c>
      <c r="E6253" t="s">
        <v>24389</v>
      </c>
      <c r="F6253" t="s">
        <v>20821</v>
      </c>
      <c r="G6253" t="s">
        <v>99</v>
      </c>
      <c r="H6253" t="s">
        <v>24390</v>
      </c>
      <c r="I6253" t="s">
        <v>30</v>
      </c>
      <c r="J6253" t="s">
        <v>41</v>
      </c>
      <c r="K6253" t="s">
        <v>59</v>
      </c>
      <c r="Q6253">
        <v>0</v>
      </c>
      <c r="R6253">
        <v>266</v>
      </c>
      <c r="S6253">
        <v>266</v>
      </c>
      <c r="T6253" t="s">
        <v>24391</v>
      </c>
    </row>
    <row r="6254" spans="1:20" customFormat="1" ht="15" x14ac:dyDescent="0.25">
      <c r="A6254" t="s">
        <v>35</v>
      </c>
      <c r="B6254" t="s">
        <v>61</v>
      </c>
      <c r="C6254" t="str">
        <f>"A0183163"</f>
        <v>A0183163</v>
      </c>
      <c r="D6254" t="s">
        <v>24392</v>
      </c>
      <c r="E6254" t="s">
        <v>24385</v>
      </c>
      <c r="F6254" t="s">
        <v>20813</v>
      </c>
      <c r="G6254" t="s">
        <v>81</v>
      </c>
      <c r="H6254">
        <v>32250</v>
      </c>
      <c r="I6254" t="s">
        <v>30</v>
      </c>
      <c r="J6254" t="s">
        <v>41</v>
      </c>
      <c r="K6254" t="s">
        <v>59</v>
      </c>
      <c r="Q6254">
        <v>0</v>
      </c>
      <c r="R6254">
        <v>0</v>
      </c>
      <c r="S6254">
        <v>0</v>
      </c>
      <c r="T6254" t="s">
        <v>24387</v>
      </c>
    </row>
    <row r="6255" spans="1:20" customFormat="1" ht="15" x14ac:dyDescent="0.25">
      <c r="A6255" t="s">
        <v>35</v>
      </c>
      <c r="B6255" t="s">
        <v>61</v>
      </c>
      <c r="C6255" t="str">
        <f>"A0183162"</f>
        <v>A0183162</v>
      </c>
      <c r="D6255" t="s">
        <v>24393</v>
      </c>
      <c r="E6255" t="s">
        <v>24394</v>
      </c>
      <c r="F6255" t="s">
        <v>12194</v>
      </c>
      <c r="G6255" t="s">
        <v>81</v>
      </c>
      <c r="H6255" t="s">
        <v>24395</v>
      </c>
      <c r="I6255" t="s">
        <v>30</v>
      </c>
      <c r="J6255" t="s">
        <v>41</v>
      </c>
      <c r="K6255" t="s">
        <v>59</v>
      </c>
      <c r="Q6255">
        <v>0</v>
      </c>
      <c r="R6255">
        <v>151</v>
      </c>
      <c r="S6255">
        <v>151</v>
      </c>
      <c r="T6255" t="s">
        <v>24396</v>
      </c>
    </row>
    <row r="6256" spans="1:20" customFormat="1" ht="15" x14ac:dyDescent="0.25">
      <c r="A6256" t="s">
        <v>35</v>
      </c>
      <c r="B6256" t="s">
        <v>61</v>
      </c>
      <c r="C6256" t="str">
        <f>"A0183161"</f>
        <v>A0183161</v>
      </c>
      <c r="D6256" t="s">
        <v>24397</v>
      </c>
      <c r="E6256" t="s">
        <v>24398</v>
      </c>
      <c r="F6256" t="s">
        <v>10530</v>
      </c>
      <c r="G6256" t="s">
        <v>81</v>
      </c>
      <c r="H6256" t="s">
        <v>24399</v>
      </c>
      <c r="I6256" t="s">
        <v>30</v>
      </c>
      <c r="J6256" t="s">
        <v>41</v>
      </c>
      <c r="K6256" t="s">
        <v>59</v>
      </c>
      <c r="Q6256">
        <v>0</v>
      </c>
      <c r="R6256">
        <v>0</v>
      </c>
      <c r="S6256">
        <v>0</v>
      </c>
      <c r="T6256" t="s">
        <v>24400</v>
      </c>
    </row>
    <row r="6257" spans="1:20" customFormat="1" ht="15" x14ac:dyDescent="0.25">
      <c r="A6257" t="s">
        <v>35</v>
      </c>
      <c r="B6257" t="s">
        <v>61</v>
      </c>
      <c r="C6257" t="str">
        <f>"A0183160"</f>
        <v>A0183160</v>
      </c>
      <c r="D6257" t="s">
        <v>24401</v>
      </c>
      <c r="E6257" t="s">
        <v>24402</v>
      </c>
      <c r="F6257" t="s">
        <v>22701</v>
      </c>
      <c r="G6257" t="s">
        <v>81</v>
      </c>
      <c r="H6257">
        <v>320648242</v>
      </c>
      <c r="I6257" t="s">
        <v>30</v>
      </c>
      <c r="J6257" t="s">
        <v>41</v>
      </c>
      <c r="K6257" t="s">
        <v>59</v>
      </c>
      <c r="Q6257">
        <v>0</v>
      </c>
      <c r="R6257">
        <v>0</v>
      </c>
      <c r="S6257">
        <v>0</v>
      </c>
      <c r="T6257" t="s">
        <v>24403</v>
      </c>
    </row>
    <row r="6258" spans="1:20" customFormat="1" ht="15" x14ac:dyDescent="0.25">
      <c r="A6258" t="s">
        <v>35</v>
      </c>
      <c r="B6258" t="s">
        <v>61</v>
      </c>
      <c r="C6258" t="str">
        <f>"A0183159"</f>
        <v>A0183159</v>
      </c>
      <c r="D6258" t="s">
        <v>24404</v>
      </c>
      <c r="E6258" t="s">
        <v>24405</v>
      </c>
      <c r="F6258" t="s">
        <v>24406</v>
      </c>
      <c r="G6258" t="s">
        <v>190</v>
      </c>
      <c r="H6258">
        <v>802148116</v>
      </c>
      <c r="I6258" t="s">
        <v>30</v>
      </c>
      <c r="J6258" t="s">
        <v>41</v>
      </c>
      <c r="K6258" t="s">
        <v>59</v>
      </c>
      <c r="Q6258">
        <v>0</v>
      </c>
      <c r="R6258">
        <v>0</v>
      </c>
      <c r="S6258">
        <v>0</v>
      </c>
    </row>
    <row r="6259" spans="1:20" customFormat="1" ht="15" x14ac:dyDescent="0.25">
      <c r="A6259" t="s">
        <v>35</v>
      </c>
      <c r="B6259" t="s">
        <v>61</v>
      </c>
      <c r="C6259" t="str">
        <f>"A0183158"</f>
        <v>A0183158</v>
      </c>
      <c r="D6259" t="s">
        <v>24407</v>
      </c>
      <c r="E6259" t="s">
        <v>24408</v>
      </c>
      <c r="F6259" t="s">
        <v>5257</v>
      </c>
      <c r="G6259" t="s">
        <v>161</v>
      </c>
      <c r="H6259" t="s">
        <v>24409</v>
      </c>
      <c r="I6259" t="s">
        <v>30</v>
      </c>
      <c r="J6259" t="s">
        <v>41</v>
      </c>
      <c r="K6259" t="s">
        <v>59</v>
      </c>
      <c r="Q6259">
        <v>0</v>
      </c>
      <c r="R6259">
        <v>0</v>
      </c>
      <c r="S6259">
        <v>0</v>
      </c>
    </row>
    <row r="6260" spans="1:20" customFormat="1" ht="15" x14ac:dyDescent="0.25">
      <c r="A6260" t="s">
        <v>35</v>
      </c>
      <c r="B6260" t="s">
        <v>61</v>
      </c>
      <c r="C6260" t="str">
        <f>"A0183157"</f>
        <v>A0183157</v>
      </c>
      <c r="D6260" t="s">
        <v>24410</v>
      </c>
      <c r="E6260" t="s">
        <v>24411</v>
      </c>
      <c r="F6260" t="s">
        <v>5050</v>
      </c>
      <c r="G6260" t="s">
        <v>161</v>
      </c>
      <c r="H6260" t="s">
        <v>24412</v>
      </c>
      <c r="I6260" t="s">
        <v>30</v>
      </c>
      <c r="J6260" t="s">
        <v>41</v>
      </c>
      <c r="K6260" t="s">
        <v>59</v>
      </c>
      <c r="Q6260">
        <v>0</v>
      </c>
      <c r="R6260">
        <v>0</v>
      </c>
      <c r="S6260">
        <v>0</v>
      </c>
    </row>
    <row r="6261" spans="1:20" customFormat="1" ht="15" x14ac:dyDescent="0.25">
      <c r="A6261" t="s">
        <v>35</v>
      </c>
      <c r="B6261" t="s">
        <v>61</v>
      </c>
      <c r="C6261" t="str">
        <f>"A0183156"</f>
        <v>A0183156</v>
      </c>
      <c r="D6261" t="s">
        <v>24413</v>
      </c>
      <c r="E6261" t="s">
        <v>24414</v>
      </c>
      <c r="F6261" t="s">
        <v>24415</v>
      </c>
      <c r="G6261" t="s">
        <v>161</v>
      </c>
      <c r="H6261" t="s">
        <v>24416</v>
      </c>
      <c r="I6261" t="s">
        <v>30</v>
      </c>
      <c r="J6261" t="s">
        <v>41</v>
      </c>
      <c r="K6261" t="s">
        <v>59</v>
      </c>
      <c r="Q6261">
        <v>0</v>
      </c>
      <c r="R6261">
        <v>0</v>
      </c>
      <c r="S6261">
        <v>0</v>
      </c>
    </row>
    <row r="6262" spans="1:20" customFormat="1" ht="15" x14ac:dyDescent="0.25">
      <c r="A6262" t="s">
        <v>35</v>
      </c>
      <c r="B6262" t="s">
        <v>61</v>
      </c>
      <c r="C6262" t="str">
        <f>"A0183155"</f>
        <v>A0183155</v>
      </c>
      <c r="D6262" t="s">
        <v>24417</v>
      </c>
      <c r="E6262" t="s">
        <v>24418</v>
      </c>
      <c r="F6262" t="s">
        <v>21392</v>
      </c>
      <c r="G6262" t="s">
        <v>161</v>
      </c>
      <c r="H6262" t="s">
        <v>24419</v>
      </c>
      <c r="I6262" t="s">
        <v>30</v>
      </c>
      <c r="J6262" t="s">
        <v>41</v>
      </c>
      <c r="K6262" t="s">
        <v>59</v>
      </c>
      <c r="Q6262">
        <v>0</v>
      </c>
      <c r="R6262">
        <v>0</v>
      </c>
      <c r="S6262">
        <v>0</v>
      </c>
    </row>
    <row r="6263" spans="1:20" customFormat="1" ht="15" x14ac:dyDescent="0.25">
      <c r="A6263" t="s">
        <v>35</v>
      </c>
      <c r="B6263" t="s">
        <v>61</v>
      </c>
      <c r="C6263" t="str">
        <f>"A0183154"</f>
        <v>A0183154</v>
      </c>
      <c r="D6263" t="s">
        <v>24420</v>
      </c>
      <c r="E6263" t="s">
        <v>24421</v>
      </c>
      <c r="F6263" t="s">
        <v>4023</v>
      </c>
      <c r="G6263" t="s">
        <v>161</v>
      </c>
      <c r="H6263">
        <v>55125</v>
      </c>
      <c r="I6263" t="s">
        <v>30</v>
      </c>
      <c r="J6263" t="s">
        <v>41</v>
      </c>
      <c r="K6263" t="s">
        <v>59</v>
      </c>
      <c r="Q6263">
        <v>0</v>
      </c>
      <c r="R6263">
        <v>0</v>
      </c>
      <c r="S6263">
        <v>0</v>
      </c>
    </row>
    <row r="6264" spans="1:20" customFormat="1" ht="15" x14ac:dyDescent="0.25">
      <c r="A6264" t="s">
        <v>35</v>
      </c>
      <c r="B6264" t="s">
        <v>61</v>
      </c>
      <c r="C6264" t="str">
        <f>"A0183153"</f>
        <v>A0183153</v>
      </c>
      <c r="D6264" t="s">
        <v>24422</v>
      </c>
      <c r="E6264" t="s">
        <v>24423</v>
      </c>
      <c r="F6264" t="s">
        <v>2784</v>
      </c>
      <c r="G6264" t="s">
        <v>925</v>
      </c>
      <c r="H6264">
        <v>672135541</v>
      </c>
      <c r="I6264" t="s">
        <v>30</v>
      </c>
      <c r="J6264" t="s">
        <v>41</v>
      </c>
      <c r="K6264" t="s">
        <v>59</v>
      </c>
      <c r="Q6264">
        <v>0</v>
      </c>
      <c r="R6264">
        <v>180</v>
      </c>
      <c r="S6264">
        <v>180</v>
      </c>
      <c r="T6264" t="s">
        <v>24424</v>
      </c>
    </row>
    <row r="6265" spans="1:20" customFormat="1" ht="15" x14ac:dyDescent="0.25">
      <c r="A6265" t="s">
        <v>35</v>
      </c>
      <c r="B6265" t="s">
        <v>61</v>
      </c>
      <c r="C6265" t="str">
        <f>"A0183152"</f>
        <v>A0183152</v>
      </c>
      <c r="D6265" t="s">
        <v>24425</v>
      </c>
      <c r="E6265" t="s">
        <v>24426</v>
      </c>
      <c r="F6265" t="s">
        <v>9147</v>
      </c>
      <c r="G6265" t="s">
        <v>925</v>
      </c>
      <c r="H6265" t="s">
        <v>24427</v>
      </c>
      <c r="I6265" t="s">
        <v>30</v>
      </c>
      <c r="J6265" t="s">
        <v>41</v>
      </c>
      <c r="K6265" t="s">
        <v>59</v>
      </c>
      <c r="Q6265">
        <v>0</v>
      </c>
      <c r="R6265">
        <v>0</v>
      </c>
      <c r="S6265">
        <v>0</v>
      </c>
    </row>
    <row r="6266" spans="1:20" customFormat="1" ht="15" x14ac:dyDescent="0.25">
      <c r="A6266" t="s">
        <v>35</v>
      </c>
      <c r="B6266" t="s">
        <v>61</v>
      </c>
      <c r="C6266" t="str">
        <f>"A0183151"</f>
        <v>A0183151</v>
      </c>
      <c r="D6266" t="s">
        <v>24428</v>
      </c>
      <c r="E6266" t="s">
        <v>24429</v>
      </c>
      <c r="F6266" t="s">
        <v>8130</v>
      </c>
      <c r="G6266" t="s">
        <v>925</v>
      </c>
      <c r="H6266" t="s">
        <v>24430</v>
      </c>
      <c r="I6266" t="s">
        <v>30</v>
      </c>
      <c r="J6266" t="s">
        <v>41</v>
      </c>
      <c r="K6266" t="s">
        <v>59</v>
      </c>
      <c r="Q6266">
        <v>0</v>
      </c>
      <c r="R6266">
        <v>0</v>
      </c>
      <c r="S6266">
        <v>0</v>
      </c>
    </row>
    <row r="6267" spans="1:20" customFormat="1" ht="15" x14ac:dyDescent="0.25">
      <c r="A6267" t="s">
        <v>35</v>
      </c>
      <c r="B6267" t="s">
        <v>61</v>
      </c>
      <c r="C6267" t="str">
        <f>"A0183150"</f>
        <v>A0183150</v>
      </c>
      <c r="D6267" t="s">
        <v>24431</v>
      </c>
      <c r="E6267" t="s">
        <v>24432</v>
      </c>
      <c r="F6267" t="s">
        <v>24433</v>
      </c>
      <c r="G6267" t="s">
        <v>925</v>
      </c>
      <c r="H6267" t="s">
        <v>24434</v>
      </c>
      <c r="I6267" t="s">
        <v>30</v>
      </c>
      <c r="J6267" t="s">
        <v>41</v>
      </c>
      <c r="K6267" t="s">
        <v>59</v>
      </c>
      <c r="Q6267">
        <v>0</v>
      </c>
      <c r="R6267">
        <v>49</v>
      </c>
      <c r="S6267">
        <v>49</v>
      </c>
      <c r="T6267" t="s">
        <v>24435</v>
      </c>
    </row>
    <row r="6268" spans="1:20" customFormat="1" ht="15" x14ac:dyDescent="0.25">
      <c r="A6268" t="s">
        <v>35</v>
      </c>
      <c r="B6268" t="s">
        <v>12660</v>
      </c>
      <c r="C6268" t="str">
        <f>"A0183149"</f>
        <v>A0183149</v>
      </c>
      <c r="D6268" t="s">
        <v>24436</v>
      </c>
      <c r="E6268" t="s">
        <v>24437</v>
      </c>
      <c r="F6268" t="s">
        <v>5488</v>
      </c>
      <c r="G6268" t="s">
        <v>110</v>
      </c>
      <c r="H6268">
        <v>902912441</v>
      </c>
      <c r="I6268" t="s">
        <v>30</v>
      </c>
      <c r="J6268" t="s">
        <v>41</v>
      </c>
      <c r="K6268" t="s">
        <v>59</v>
      </c>
      <c r="Q6268">
        <v>0</v>
      </c>
      <c r="R6268">
        <v>0</v>
      </c>
      <c r="S6268">
        <v>0</v>
      </c>
      <c r="T6268" t="s">
        <v>24438</v>
      </c>
    </row>
    <row r="6269" spans="1:20" customFormat="1" ht="15" x14ac:dyDescent="0.25">
      <c r="A6269" t="s">
        <v>35</v>
      </c>
      <c r="B6269" t="s">
        <v>18151</v>
      </c>
      <c r="C6269" t="str">
        <f>"A0183147"</f>
        <v>A0183147</v>
      </c>
      <c r="D6269" t="s">
        <v>24439</v>
      </c>
      <c r="E6269" t="s">
        <v>24440</v>
      </c>
      <c r="F6269" t="s">
        <v>20801</v>
      </c>
      <c r="G6269" t="s">
        <v>161</v>
      </c>
      <c r="H6269" t="s">
        <v>24441</v>
      </c>
      <c r="I6269" t="s">
        <v>30</v>
      </c>
      <c r="J6269" t="s">
        <v>41</v>
      </c>
      <c r="K6269" t="s">
        <v>59</v>
      </c>
      <c r="Q6269">
        <v>0</v>
      </c>
      <c r="R6269">
        <v>0</v>
      </c>
      <c r="S6269">
        <v>0</v>
      </c>
    </row>
    <row r="6270" spans="1:20" customFormat="1" ht="15" x14ac:dyDescent="0.25">
      <c r="A6270" t="s">
        <v>35</v>
      </c>
      <c r="B6270" t="s">
        <v>61</v>
      </c>
      <c r="C6270" t="str">
        <f>"A0183146"</f>
        <v>A0183146</v>
      </c>
      <c r="D6270" t="s">
        <v>24442</v>
      </c>
      <c r="E6270" t="s">
        <v>24443</v>
      </c>
      <c r="F6270" t="s">
        <v>19802</v>
      </c>
      <c r="G6270" t="s">
        <v>161</v>
      </c>
      <c r="H6270" t="s">
        <v>24444</v>
      </c>
      <c r="I6270" t="s">
        <v>30</v>
      </c>
      <c r="J6270" t="s">
        <v>41</v>
      </c>
      <c r="K6270" t="s">
        <v>59</v>
      </c>
      <c r="Q6270">
        <v>0</v>
      </c>
      <c r="R6270">
        <v>1</v>
      </c>
      <c r="S6270">
        <v>1</v>
      </c>
      <c r="T6270" t="s">
        <v>24445</v>
      </c>
    </row>
    <row r="6271" spans="1:20" customFormat="1" ht="15" x14ac:dyDescent="0.25">
      <c r="A6271" t="s">
        <v>35</v>
      </c>
      <c r="B6271" t="s">
        <v>61</v>
      </c>
      <c r="C6271" t="str">
        <f>"A0183145"</f>
        <v>A0183145</v>
      </c>
      <c r="D6271" t="s">
        <v>24446</v>
      </c>
      <c r="E6271" t="s">
        <v>24447</v>
      </c>
      <c r="F6271" t="s">
        <v>8126</v>
      </c>
      <c r="G6271" t="s">
        <v>925</v>
      </c>
      <c r="H6271" t="s">
        <v>24448</v>
      </c>
      <c r="I6271" t="s">
        <v>30</v>
      </c>
      <c r="J6271" t="s">
        <v>41</v>
      </c>
      <c r="K6271" t="s">
        <v>59</v>
      </c>
      <c r="Q6271">
        <v>0</v>
      </c>
      <c r="R6271">
        <v>0</v>
      </c>
      <c r="S6271">
        <v>0</v>
      </c>
      <c r="T6271" t="s">
        <v>24449</v>
      </c>
    </row>
    <row r="6272" spans="1:20" customFormat="1" ht="15" x14ac:dyDescent="0.25">
      <c r="A6272" t="s">
        <v>35</v>
      </c>
      <c r="B6272" t="s">
        <v>61</v>
      </c>
      <c r="C6272" t="str">
        <f>"A0183144"</f>
        <v>A0183144</v>
      </c>
      <c r="D6272" t="s">
        <v>24450</v>
      </c>
      <c r="E6272" t="s">
        <v>24451</v>
      </c>
      <c r="F6272" t="s">
        <v>638</v>
      </c>
      <c r="G6272" t="s">
        <v>925</v>
      </c>
      <c r="H6272">
        <v>67114</v>
      </c>
      <c r="I6272" t="s">
        <v>30</v>
      </c>
      <c r="J6272" t="s">
        <v>41</v>
      </c>
      <c r="K6272" t="s">
        <v>59</v>
      </c>
      <c r="Q6272">
        <v>0</v>
      </c>
      <c r="R6272">
        <v>92</v>
      </c>
      <c r="S6272">
        <v>92</v>
      </c>
      <c r="T6272" t="s">
        <v>24452</v>
      </c>
    </row>
    <row r="6273" spans="1:20" customFormat="1" ht="15" x14ac:dyDescent="0.25">
      <c r="A6273" t="s">
        <v>35</v>
      </c>
      <c r="B6273" t="s">
        <v>61</v>
      </c>
      <c r="C6273" t="str">
        <f>"A0183143"</f>
        <v>A0183143</v>
      </c>
      <c r="D6273" t="s">
        <v>24453</v>
      </c>
      <c r="E6273" t="s">
        <v>24454</v>
      </c>
      <c r="F6273" t="s">
        <v>24455</v>
      </c>
      <c r="G6273" t="s">
        <v>110</v>
      </c>
      <c r="H6273" t="s">
        <v>24456</v>
      </c>
      <c r="I6273" t="s">
        <v>30</v>
      </c>
      <c r="J6273" t="s">
        <v>41</v>
      </c>
      <c r="K6273" t="s">
        <v>59</v>
      </c>
      <c r="Q6273">
        <v>0</v>
      </c>
      <c r="R6273">
        <v>0</v>
      </c>
      <c r="S6273">
        <v>0</v>
      </c>
      <c r="T6273" t="s">
        <v>24457</v>
      </c>
    </row>
    <row r="6274" spans="1:20" customFormat="1" ht="15" x14ac:dyDescent="0.25">
      <c r="A6274" t="s">
        <v>35</v>
      </c>
      <c r="B6274" t="s">
        <v>61</v>
      </c>
      <c r="C6274" t="str">
        <f>"A0183142"</f>
        <v>A0183142</v>
      </c>
      <c r="D6274" t="s">
        <v>24458</v>
      </c>
      <c r="E6274" t="s">
        <v>24459</v>
      </c>
      <c r="F6274" t="s">
        <v>9873</v>
      </c>
      <c r="G6274" t="s">
        <v>110</v>
      </c>
      <c r="H6274" t="s">
        <v>24460</v>
      </c>
      <c r="I6274" t="s">
        <v>30</v>
      </c>
      <c r="J6274" t="s">
        <v>41</v>
      </c>
      <c r="K6274" t="s">
        <v>59</v>
      </c>
      <c r="Q6274">
        <v>0</v>
      </c>
      <c r="R6274">
        <v>0</v>
      </c>
      <c r="S6274">
        <v>0</v>
      </c>
      <c r="T6274" t="s">
        <v>24461</v>
      </c>
    </row>
    <row r="6275" spans="1:20" customFormat="1" ht="15" x14ac:dyDescent="0.25">
      <c r="A6275" t="s">
        <v>35</v>
      </c>
      <c r="B6275" t="s">
        <v>12660</v>
      </c>
      <c r="C6275" t="str">
        <f>"A0183141"</f>
        <v>A0183141</v>
      </c>
      <c r="D6275" t="s">
        <v>24462</v>
      </c>
      <c r="E6275" t="s">
        <v>24463</v>
      </c>
      <c r="F6275" t="s">
        <v>24464</v>
      </c>
      <c r="G6275" t="s">
        <v>110</v>
      </c>
      <c r="H6275">
        <v>928603601</v>
      </c>
      <c r="I6275" t="s">
        <v>30</v>
      </c>
      <c r="J6275" t="s">
        <v>41</v>
      </c>
      <c r="K6275" t="s">
        <v>59</v>
      </c>
      <c r="Q6275">
        <v>0</v>
      </c>
      <c r="R6275">
        <v>0</v>
      </c>
      <c r="S6275">
        <v>0</v>
      </c>
      <c r="T6275" t="s">
        <v>24465</v>
      </c>
    </row>
    <row r="6276" spans="1:20" customFormat="1" ht="15" x14ac:dyDescent="0.25">
      <c r="A6276" t="s">
        <v>35</v>
      </c>
      <c r="B6276" t="s">
        <v>61</v>
      </c>
      <c r="C6276" t="str">
        <f>"A0183140"</f>
        <v>A0183140</v>
      </c>
      <c r="D6276" t="s">
        <v>24466</v>
      </c>
      <c r="E6276" t="s">
        <v>24467</v>
      </c>
      <c r="F6276" t="s">
        <v>9128</v>
      </c>
      <c r="G6276" t="s">
        <v>110</v>
      </c>
      <c r="H6276">
        <v>946104448</v>
      </c>
      <c r="I6276" t="s">
        <v>30</v>
      </c>
      <c r="J6276" t="s">
        <v>41</v>
      </c>
      <c r="K6276" t="s">
        <v>59</v>
      </c>
      <c r="Q6276">
        <v>0</v>
      </c>
      <c r="R6276">
        <v>43</v>
      </c>
      <c r="S6276">
        <v>43</v>
      </c>
      <c r="T6276" t="s">
        <v>24468</v>
      </c>
    </row>
    <row r="6277" spans="1:20" customFormat="1" ht="15" x14ac:dyDescent="0.25">
      <c r="A6277" t="s">
        <v>35</v>
      </c>
      <c r="B6277" t="s">
        <v>61</v>
      </c>
      <c r="C6277" t="str">
        <f>"A0183139"</f>
        <v>A0183139</v>
      </c>
      <c r="D6277" t="s">
        <v>24469</v>
      </c>
      <c r="E6277" t="s">
        <v>24470</v>
      </c>
      <c r="F6277" t="s">
        <v>24471</v>
      </c>
      <c r="G6277" t="s">
        <v>3049</v>
      </c>
      <c r="H6277">
        <v>995082036</v>
      </c>
      <c r="I6277" t="s">
        <v>30</v>
      </c>
      <c r="J6277" t="s">
        <v>41</v>
      </c>
      <c r="K6277" t="s">
        <v>59</v>
      </c>
      <c r="Q6277">
        <v>0</v>
      </c>
      <c r="R6277">
        <v>20</v>
      </c>
      <c r="S6277">
        <v>20</v>
      </c>
      <c r="T6277" t="s">
        <v>24472</v>
      </c>
    </row>
    <row r="6278" spans="1:20" customFormat="1" ht="15" x14ac:dyDescent="0.25">
      <c r="A6278" t="s">
        <v>35</v>
      </c>
      <c r="B6278" t="s">
        <v>61</v>
      </c>
      <c r="C6278" t="str">
        <f>"A0183138"</f>
        <v>A0183138</v>
      </c>
      <c r="D6278" t="s">
        <v>24473</v>
      </c>
      <c r="E6278" t="s">
        <v>24474</v>
      </c>
      <c r="F6278" t="s">
        <v>1302</v>
      </c>
      <c r="G6278" t="s">
        <v>103</v>
      </c>
      <c r="H6278" t="s">
        <v>24475</v>
      </c>
      <c r="I6278" t="s">
        <v>30</v>
      </c>
      <c r="J6278" t="s">
        <v>41</v>
      </c>
      <c r="K6278" t="s">
        <v>59</v>
      </c>
      <c r="Q6278">
        <v>0</v>
      </c>
      <c r="R6278">
        <v>173</v>
      </c>
      <c r="S6278">
        <v>173</v>
      </c>
      <c r="T6278" t="s">
        <v>23769</v>
      </c>
    </row>
    <row r="6279" spans="1:20" customFormat="1" ht="15" x14ac:dyDescent="0.25">
      <c r="A6279" t="s">
        <v>35</v>
      </c>
      <c r="B6279" t="s">
        <v>61</v>
      </c>
      <c r="C6279" t="str">
        <f>"A0183137"</f>
        <v>A0183137</v>
      </c>
      <c r="D6279" t="s">
        <v>24476</v>
      </c>
      <c r="E6279" t="s">
        <v>24477</v>
      </c>
      <c r="F6279" t="s">
        <v>12194</v>
      </c>
      <c r="G6279" t="s">
        <v>81</v>
      </c>
      <c r="H6279" t="s">
        <v>24478</v>
      </c>
      <c r="I6279" t="s">
        <v>30</v>
      </c>
      <c r="J6279" t="s">
        <v>41</v>
      </c>
      <c r="K6279" t="s">
        <v>59</v>
      </c>
      <c r="Q6279">
        <v>0</v>
      </c>
      <c r="R6279">
        <v>0</v>
      </c>
      <c r="S6279">
        <v>0</v>
      </c>
      <c r="T6279" t="s">
        <v>24479</v>
      </c>
    </row>
    <row r="6280" spans="1:20" customFormat="1" ht="15" x14ac:dyDescent="0.25">
      <c r="A6280" t="s">
        <v>35</v>
      </c>
      <c r="B6280" t="s">
        <v>61</v>
      </c>
      <c r="C6280" t="str">
        <f>"A0183136"</f>
        <v>A0183136</v>
      </c>
      <c r="D6280" t="s">
        <v>24480</v>
      </c>
      <c r="E6280" t="s">
        <v>23692</v>
      </c>
      <c r="F6280" t="s">
        <v>1948</v>
      </c>
      <c r="G6280" t="s">
        <v>190</v>
      </c>
      <c r="H6280">
        <v>802263544</v>
      </c>
      <c r="I6280" t="s">
        <v>30</v>
      </c>
      <c r="J6280" t="s">
        <v>41</v>
      </c>
      <c r="K6280" t="s">
        <v>59</v>
      </c>
      <c r="Q6280">
        <v>0</v>
      </c>
      <c r="R6280">
        <v>0</v>
      </c>
      <c r="S6280">
        <v>0</v>
      </c>
      <c r="T6280" t="s">
        <v>24481</v>
      </c>
    </row>
    <row r="6281" spans="1:20" customFormat="1" ht="15" x14ac:dyDescent="0.25">
      <c r="A6281" t="s">
        <v>35</v>
      </c>
      <c r="B6281" t="s">
        <v>61</v>
      </c>
      <c r="C6281" t="str">
        <f>"A0183135"</f>
        <v>A0183135</v>
      </c>
      <c r="D6281" t="s">
        <v>24482</v>
      </c>
      <c r="E6281" t="s">
        <v>24483</v>
      </c>
      <c r="F6281" t="s">
        <v>24406</v>
      </c>
      <c r="G6281" t="s">
        <v>190</v>
      </c>
      <c r="H6281">
        <v>800335056</v>
      </c>
      <c r="I6281" t="s">
        <v>30</v>
      </c>
      <c r="J6281" t="s">
        <v>41</v>
      </c>
      <c r="K6281" t="s">
        <v>59</v>
      </c>
      <c r="Q6281">
        <v>0</v>
      </c>
      <c r="R6281">
        <v>0</v>
      </c>
      <c r="S6281">
        <v>0</v>
      </c>
    </row>
    <row r="6282" spans="1:20" customFormat="1" ht="15" x14ac:dyDescent="0.25">
      <c r="A6282" t="s">
        <v>35</v>
      </c>
      <c r="B6282" t="s">
        <v>61</v>
      </c>
      <c r="C6282" t="str">
        <f>"A0183134"</f>
        <v>A0183134</v>
      </c>
      <c r="D6282" t="s">
        <v>24484</v>
      </c>
      <c r="E6282" t="s">
        <v>24485</v>
      </c>
      <c r="F6282" t="s">
        <v>24486</v>
      </c>
      <c r="G6282" t="s">
        <v>190</v>
      </c>
      <c r="H6282">
        <v>815012141</v>
      </c>
      <c r="I6282" t="s">
        <v>30</v>
      </c>
      <c r="J6282" t="s">
        <v>41</v>
      </c>
      <c r="K6282" t="s">
        <v>59</v>
      </c>
      <c r="Q6282">
        <v>0</v>
      </c>
      <c r="R6282">
        <v>60</v>
      </c>
      <c r="S6282">
        <v>60</v>
      </c>
      <c r="T6282" t="s">
        <v>24487</v>
      </c>
    </row>
    <row r="6283" spans="1:20" customFormat="1" ht="15" x14ac:dyDescent="0.25">
      <c r="A6283" t="s">
        <v>35</v>
      </c>
      <c r="B6283" t="s">
        <v>61</v>
      </c>
      <c r="C6283" t="str">
        <f>"A0183133"</f>
        <v>A0183133</v>
      </c>
      <c r="D6283" t="s">
        <v>24488</v>
      </c>
      <c r="E6283" t="s">
        <v>24489</v>
      </c>
      <c r="F6283" t="s">
        <v>22419</v>
      </c>
      <c r="G6283" t="s">
        <v>99</v>
      </c>
      <c r="H6283">
        <v>13669</v>
      </c>
      <c r="I6283" t="s">
        <v>30</v>
      </c>
      <c r="J6283" t="s">
        <v>41</v>
      </c>
      <c r="K6283" t="s">
        <v>59</v>
      </c>
      <c r="Q6283">
        <v>0</v>
      </c>
      <c r="R6283">
        <v>0</v>
      </c>
      <c r="S6283">
        <v>0</v>
      </c>
    </row>
    <row r="6284" spans="1:20" customFormat="1" ht="15" x14ac:dyDescent="0.25">
      <c r="A6284" t="s">
        <v>35</v>
      </c>
      <c r="B6284" t="s">
        <v>61</v>
      </c>
      <c r="C6284" t="str">
        <f>"A0183132"</f>
        <v>A0183132</v>
      </c>
      <c r="D6284" t="s">
        <v>24490</v>
      </c>
      <c r="E6284" t="s">
        <v>24491</v>
      </c>
      <c r="F6284" t="s">
        <v>23833</v>
      </c>
      <c r="G6284" t="s">
        <v>99</v>
      </c>
      <c r="H6284" t="s">
        <v>24492</v>
      </c>
      <c r="I6284" t="s">
        <v>30</v>
      </c>
      <c r="J6284" t="s">
        <v>41</v>
      </c>
      <c r="K6284" t="s">
        <v>59</v>
      </c>
      <c r="Q6284">
        <v>0</v>
      </c>
      <c r="R6284">
        <v>0</v>
      </c>
      <c r="S6284">
        <v>0</v>
      </c>
      <c r="T6284" t="s">
        <v>24493</v>
      </c>
    </row>
    <row r="6285" spans="1:20" customFormat="1" ht="15" x14ac:dyDescent="0.25">
      <c r="A6285" t="s">
        <v>35</v>
      </c>
      <c r="B6285" t="s">
        <v>61</v>
      </c>
      <c r="C6285" t="str">
        <f>"A0183131"</f>
        <v>A0183131</v>
      </c>
      <c r="D6285" t="s">
        <v>24494</v>
      </c>
      <c r="E6285" t="s">
        <v>24495</v>
      </c>
      <c r="F6285" t="s">
        <v>24496</v>
      </c>
      <c r="G6285" t="s">
        <v>110</v>
      </c>
      <c r="H6285">
        <v>90275</v>
      </c>
      <c r="I6285" t="s">
        <v>30</v>
      </c>
      <c r="J6285" t="s">
        <v>41</v>
      </c>
      <c r="K6285" t="s">
        <v>59</v>
      </c>
      <c r="Q6285">
        <v>0</v>
      </c>
      <c r="R6285">
        <v>28</v>
      </c>
      <c r="S6285">
        <v>28</v>
      </c>
      <c r="T6285" t="s">
        <v>24497</v>
      </c>
    </row>
    <row r="6286" spans="1:20" customFormat="1" ht="15" x14ac:dyDescent="0.25">
      <c r="A6286" t="s">
        <v>35</v>
      </c>
      <c r="B6286" t="s">
        <v>61</v>
      </c>
      <c r="C6286" t="str">
        <f>"A0183130"</f>
        <v>A0183130</v>
      </c>
      <c r="D6286" t="s">
        <v>24498</v>
      </c>
      <c r="E6286" t="s">
        <v>24499</v>
      </c>
      <c r="F6286" t="s">
        <v>1136</v>
      </c>
      <c r="G6286" t="s">
        <v>110</v>
      </c>
      <c r="H6286">
        <v>943011244</v>
      </c>
      <c r="I6286" t="s">
        <v>30</v>
      </c>
      <c r="J6286" t="s">
        <v>41</v>
      </c>
      <c r="K6286" t="s">
        <v>59</v>
      </c>
      <c r="Q6286">
        <v>0</v>
      </c>
      <c r="R6286">
        <v>182</v>
      </c>
      <c r="S6286">
        <v>182</v>
      </c>
      <c r="T6286" t="s">
        <v>24500</v>
      </c>
    </row>
    <row r="6287" spans="1:20" customFormat="1" ht="15" x14ac:dyDescent="0.25">
      <c r="A6287" t="s">
        <v>35</v>
      </c>
      <c r="B6287" t="s">
        <v>11871</v>
      </c>
      <c r="C6287" t="str">
        <f>"A0183129"</f>
        <v>A0183129</v>
      </c>
      <c r="D6287" t="s">
        <v>24501</v>
      </c>
      <c r="E6287" t="s">
        <v>24502</v>
      </c>
      <c r="F6287" t="s">
        <v>24503</v>
      </c>
      <c r="G6287" t="s">
        <v>85</v>
      </c>
      <c r="H6287">
        <v>723017000</v>
      </c>
      <c r="I6287" t="s">
        <v>30</v>
      </c>
      <c r="J6287" t="s">
        <v>41</v>
      </c>
      <c r="K6287" t="s">
        <v>59</v>
      </c>
      <c r="Q6287">
        <v>0</v>
      </c>
      <c r="R6287">
        <v>68</v>
      </c>
      <c r="S6287">
        <v>68</v>
      </c>
      <c r="T6287" t="s">
        <v>24504</v>
      </c>
    </row>
    <row r="6288" spans="1:20" customFormat="1" ht="15" x14ac:dyDescent="0.25">
      <c r="A6288" t="s">
        <v>35</v>
      </c>
      <c r="B6288" t="s">
        <v>61</v>
      </c>
      <c r="C6288" t="str">
        <f>"A0183128"</f>
        <v>A0183128</v>
      </c>
      <c r="D6288" t="s">
        <v>24505</v>
      </c>
      <c r="E6288" t="s">
        <v>24506</v>
      </c>
      <c r="F6288" t="s">
        <v>24507</v>
      </c>
      <c r="G6288" t="s">
        <v>71</v>
      </c>
      <c r="H6288" t="s">
        <v>24508</v>
      </c>
      <c r="I6288" t="s">
        <v>30</v>
      </c>
      <c r="J6288" t="s">
        <v>41</v>
      </c>
      <c r="K6288" t="s">
        <v>59</v>
      </c>
      <c r="Q6288">
        <v>0</v>
      </c>
      <c r="R6288">
        <v>0</v>
      </c>
      <c r="S6288">
        <v>0</v>
      </c>
    </row>
    <row r="6289" spans="1:20" customFormat="1" ht="15" x14ac:dyDescent="0.25">
      <c r="A6289" t="s">
        <v>35</v>
      </c>
      <c r="B6289" t="s">
        <v>61</v>
      </c>
      <c r="C6289" t="str">
        <f>"A0183127"</f>
        <v>A0183127</v>
      </c>
      <c r="D6289" t="s">
        <v>24509</v>
      </c>
      <c r="E6289" t="s">
        <v>24510</v>
      </c>
      <c r="F6289" t="s">
        <v>21392</v>
      </c>
      <c r="G6289" t="s">
        <v>161</v>
      </c>
      <c r="H6289">
        <v>55343</v>
      </c>
      <c r="I6289" t="s">
        <v>30</v>
      </c>
      <c r="J6289" t="s">
        <v>41</v>
      </c>
      <c r="K6289" t="s">
        <v>59</v>
      </c>
      <c r="Q6289">
        <v>0</v>
      </c>
      <c r="R6289">
        <v>0</v>
      </c>
      <c r="S6289">
        <v>0</v>
      </c>
    </row>
    <row r="6290" spans="1:20" customFormat="1" ht="15" x14ac:dyDescent="0.25">
      <c r="A6290" t="s">
        <v>35</v>
      </c>
      <c r="B6290" t="s">
        <v>61</v>
      </c>
      <c r="C6290" t="str">
        <f>"A0183126"</f>
        <v>A0183126</v>
      </c>
      <c r="D6290" t="s">
        <v>24511</v>
      </c>
      <c r="E6290" t="s">
        <v>24512</v>
      </c>
      <c r="F6290" t="s">
        <v>24513</v>
      </c>
      <c r="G6290" t="s">
        <v>190</v>
      </c>
      <c r="H6290">
        <v>806315134</v>
      </c>
      <c r="I6290" t="s">
        <v>30</v>
      </c>
      <c r="J6290" t="s">
        <v>41</v>
      </c>
      <c r="K6290" t="s">
        <v>59</v>
      </c>
      <c r="Q6290">
        <v>0</v>
      </c>
      <c r="R6290">
        <v>0</v>
      </c>
      <c r="S6290">
        <v>0</v>
      </c>
    </row>
    <row r="6291" spans="1:20" customFormat="1" ht="15" x14ac:dyDescent="0.25">
      <c r="A6291" t="s">
        <v>35</v>
      </c>
      <c r="B6291" t="s">
        <v>61</v>
      </c>
      <c r="C6291" t="str">
        <f>"A0183125"</f>
        <v>A0183125</v>
      </c>
      <c r="D6291" t="s">
        <v>24514</v>
      </c>
      <c r="E6291" t="s">
        <v>24515</v>
      </c>
      <c r="F6291" t="s">
        <v>7112</v>
      </c>
      <c r="G6291" t="s">
        <v>161</v>
      </c>
      <c r="H6291" t="s">
        <v>24516</v>
      </c>
      <c r="I6291" t="s">
        <v>30</v>
      </c>
      <c r="J6291" t="s">
        <v>41</v>
      </c>
      <c r="K6291" t="s">
        <v>59</v>
      </c>
      <c r="Q6291">
        <v>0</v>
      </c>
      <c r="R6291">
        <v>42</v>
      </c>
      <c r="S6291">
        <v>42</v>
      </c>
      <c r="T6291" t="s">
        <v>24517</v>
      </c>
    </row>
    <row r="6292" spans="1:20" customFormat="1" ht="15" x14ac:dyDescent="0.25">
      <c r="A6292" t="s">
        <v>35</v>
      </c>
      <c r="B6292" t="s">
        <v>61</v>
      </c>
      <c r="C6292" t="str">
        <f>"A0183124"</f>
        <v>A0183124</v>
      </c>
      <c r="D6292" t="s">
        <v>24518</v>
      </c>
      <c r="E6292" t="s">
        <v>24519</v>
      </c>
      <c r="F6292" t="s">
        <v>16802</v>
      </c>
      <c r="G6292" t="s">
        <v>161</v>
      </c>
      <c r="H6292" t="s">
        <v>24520</v>
      </c>
      <c r="I6292" t="s">
        <v>30</v>
      </c>
      <c r="J6292" t="s">
        <v>41</v>
      </c>
      <c r="K6292" t="s">
        <v>59</v>
      </c>
      <c r="Q6292">
        <v>0</v>
      </c>
      <c r="R6292">
        <v>0</v>
      </c>
      <c r="S6292">
        <v>0</v>
      </c>
      <c r="T6292" t="s">
        <v>24521</v>
      </c>
    </row>
    <row r="6293" spans="1:20" customFormat="1" ht="15" x14ac:dyDescent="0.25">
      <c r="A6293" t="s">
        <v>35</v>
      </c>
      <c r="B6293" t="s">
        <v>61</v>
      </c>
      <c r="C6293" t="str">
        <f>"A0183122"</f>
        <v>A0183122</v>
      </c>
      <c r="D6293" t="s">
        <v>24522</v>
      </c>
      <c r="E6293" t="s">
        <v>24523</v>
      </c>
      <c r="F6293" t="s">
        <v>21306</v>
      </c>
      <c r="G6293" t="s">
        <v>110</v>
      </c>
      <c r="H6293">
        <v>946081274</v>
      </c>
      <c r="I6293" t="s">
        <v>30</v>
      </c>
      <c r="J6293" t="s">
        <v>41</v>
      </c>
      <c r="K6293" t="s">
        <v>59</v>
      </c>
      <c r="Q6293">
        <v>0</v>
      </c>
      <c r="R6293">
        <v>0</v>
      </c>
      <c r="S6293">
        <v>0</v>
      </c>
      <c r="T6293" t="s">
        <v>24524</v>
      </c>
    </row>
    <row r="6294" spans="1:20" customFormat="1" ht="15" x14ac:dyDescent="0.25">
      <c r="A6294" t="s">
        <v>35</v>
      </c>
      <c r="B6294" t="s">
        <v>61</v>
      </c>
      <c r="C6294" t="str">
        <f>"A0183120"</f>
        <v>A0183120</v>
      </c>
      <c r="D6294" t="s">
        <v>24525</v>
      </c>
      <c r="E6294" t="s">
        <v>24526</v>
      </c>
      <c r="F6294" t="s">
        <v>24471</v>
      </c>
      <c r="G6294" t="s">
        <v>3049</v>
      </c>
      <c r="H6294">
        <v>995074570</v>
      </c>
      <c r="I6294" t="s">
        <v>30</v>
      </c>
      <c r="J6294" t="s">
        <v>41</v>
      </c>
      <c r="K6294" t="s">
        <v>59</v>
      </c>
      <c r="Q6294">
        <v>0</v>
      </c>
      <c r="R6294">
        <v>25</v>
      </c>
      <c r="S6294">
        <v>25</v>
      </c>
      <c r="T6294" t="s">
        <v>24527</v>
      </c>
    </row>
    <row r="6295" spans="1:20" customFormat="1" ht="15" x14ac:dyDescent="0.25">
      <c r="A6295" t="s">
        <v>35</v>
      </c>
      <c r="B6295" t="s">
        <v>61</v>
      </c>
      <c r="C6295" t="str">
        <f>"A0183119"</f>
        <v>A0183119</v>
      </c>
      <c r="D6295" t="s">
        <v>24528</v>
      </c>
      <c r="E6295" t="s">
        <v>24529</v>
      </c>
      <c r="F6295" t="s">
        <v>24530</v>
      </c>
      <c r="G6295" t="s">
        <v>1184</v>
      </c>
      <c r="H6295">
        <v>598642634</v>
      </c>
      <c r="I6295" t="s">
        <v>30</v>
      </c>
      <c r="J6295" t="s">
        <v>41</v>
      </c>
      <c r="K6295" t="s">
        <v>59</v>
      </c>
      <c r="Q6295">
        <v>0</v>
      </c>
      <c r="R6295">
        <v>75</v>
      </c>
      <c r="S6295">
        <v>75</v>
      </c>
      <c r="T6295" t="s">
        <v>24531</v>
      </c>
    </row>
    <row r="6296" spans="1:20" customFormat="1" ht="15" x14ac:dyDescent="0.25">
      <c r="A6296" t="s">
        <v>35</v>
      </c>
      <c r="B6296" t="s">
        <v>61</v>
      </c>
      <c r="C6296" t="str">
        <f>"A0183118"</f>
        <v>A0183118</v>
      </c>
      <c r="D6296" t="s">
        <v>24532</v>
      </c>
      <c r="E6296" t="s">
        <v>24533</v>
      </c>
      <c r="F6296" t="s">
        <v>24534</v>
      </c>
      <c r="G6296" t="s">
        <v>1184</v>
      </c>
      <c r="H6296">
        <v>598017963</v>
      </c>
      <c r="I6296" t="s">
        <v>30</v>
      </c>
      <c r="J6296" t="s">
        <v>41</v>
      </c>
      <c r="K6296" t="s">
        <v>59</v>
      </c>
      <c r="Q6296">
        <v>0</v>
      </c>
      <c r="R6296">
        <v>88</v>
      </c>
      <c r="S6296">
        <v>88</v>
      </c>
      <c r="T6296" t="s">
        <v>24535</v>
      </c>
    </row>
    <row r="6297" spans="1:20" customFormat="1" ht="15" x14ac:dyDescent="0.25">
      <c r="A6297" t="s">
        <v>35</v>
      </c>
      <c r="B6297" t="s">
        <v>61</v>
      </c>
      <c r="C6297" t="str">
        <f>"A0183117"</f>
        <v>A0183117</v>
      </c>
      <c r="D6297" t="s">
        <v>24536</v>
      </c>
      <c r="E6297" t="s">
        <v>24537</v>
      </c>
      <c r="F6297" t="s">
        <v>20257</v>
      </c>
      <c r="G6297" t="s">
        <v>103</v>
      </c>
      <c r="H6297">
        <v>15143</v>
      </c>
      <c r="I6297" t="s">
        <v>30</v>
      </c>
      <c r="J6297" t="s">
        <v>41</v>
      </c>
      <c r="K6297" t="s">
        <v>59</v>
      </c>
      <c r="Q6297">
        <v>0</v>
      </c>
      <c r="R6297">
        <v>128</v>
      </c>
      <c r="S6297">
        <v>128</v>
      </c>
      <c r="T6297" t="s">
        <v>24538</v>
      </c>
    </row>
    <row r="6298" spans="1:20" customFormat="1" ht="15" x14ac:dyDescent="0.25">
      <c r="A6298" t="s">
        <v>35</v>
      </c>
      <c r="B6298" t="s">
        <v>61</v>
      </c>
      <c r="C6298" t="str">
        <f>"A0183116"</f>
        <v>A0183116</v>
      </c>
      <c r="D6298" t="s">
        <v>24539</v>
      </c>
      <c r="E6298" t="s">
        <v>24540</v>
      </c>
      <c r="F6298" t="s">
        <v>24541</v>
      </c>
      <c r="G6298" t="s">
        <v>99</v>
      </c>
      <c r="H6298" t="s">
        <v>24542</v>
      </c>
      <c r="I6298" t="s">
        <v>30</v>
      </c>
      <c r="J6298" t="s">
        <v>41</v>
      </c>
      <c r="K6298" t="s">
        <v>59</v>
      </c>
      <c r="Q6298">
        <v>0</v>
      </c>
      <c r="R6298">
        <v>0</v>
      </c>
      <c r="S6298">
        <v>0</v>
      </c>
    </row>
    <row r="6299" spans="1:20" customFormat="1" ht="15" x14ac:dyDescent="0.25">
      <c r="A6299" t="s">
        <v>35</v>
      </c>
      <c r="B6299" t="s">
        <v>61</v>
      </c>
      <c r="C6299" t="str">
        <f>"A0183115"</f>
        <v>A0183115</v>
      </c>
      <c r="D6299" t="s">
        <v>24543</v>
      </c>
      <c r="E6299" t="s">
        <v>24544</v>
      </c>
      <c r="F6299" t="s">
        <v>19189</v>
      </c>
      <c r="G6299" t="s">
        <v>99</v>
      </c>
      <c r="H6299" t="s">
        <v>24545</v>
      </c>
      <c r="I6299" t="s">
        <v>30</v>
      </c>
      <c r="J6299" t="s">
        <v>41</v>
      </c>
      <c r="K6299" t="s">
        <v>59</v>
      </c>
      <c r="Q6299">
        <v>0</v>
      </c>
      <c r="R6299">
        <v>100</v>
      </c>
      <c r="S6299">
        <v>100</v>
      </c>
      <c r="T6299" t="s">
        <v>24546</v>
      </c>
    </row>
    <row r="6300" spans="1:20" customFormat="1" ht="15" x14ac:dyDescent="0.25">
      <c r="A6300" t="s">
        <v>35</v>
      </c>
      <c r="B6300" t="s">
        <v>61</v>
      </c>
      <c r="C6300" t="str">
        <f>"A0183114"</f>
        <v>A0183114</v>
      </c>
      <c r="D6300" t="s">
        <v>24547</v>
      </c>
      <c r="E6300" t="s">
        <v>24548</v>
      </c>
      <c r="F6300" t="s">
        <v>23833</v>
      </c>
      <c r="G6300" t="s">
        <v>99</v>
      </c>
      <c r="H6300" t="s">
        <v>24549</v>
      </c>
      <c r="I6300" t="s">
        <v>30</v>
      </c>
      <c r="J6300" t="s">
        <v>41</v>
      </c>
      <c r="K6300" t="s">
        <v>59</v>
      </c>
      <c r="Q6300">
        <v>0</v>
      </c>
      <c r="R6300">
        <v>0</v>
      </c>
      <c r="S6300">
        <v>0</v>
      </c>
    </row>
    <row r="6301" spans="1:20" customFormat="1" ht="15" x14ac:dyDescent="0.25">
      <c r="A6301" t="s">
        <v>35</v>
      </c>
      <c r="B6301" t="s">
        <v>61</v>
      </c>
      <c r="C6301" t="str">
        <f>"A0183113"</f>
        <v>A0183113</v>
      </c>
      <c r="D6301" t="s">
        <v>24550</v>
      </c>
      <c r="E6301" t="s">
        <v>24551</v>
      </c>
      <c r="F6301" t="s">
        <v>2572</v>
      </c>
      <c r="G6301" t="s">
        <v>161</v>
      </c>
      <c r="H6301" t="s">
        <v>24552</v>
      </c>
      <c r="I6301" t="s">
        <v>30</v>
      </c>
      <c r="J6301" t="s">
        <v>41</v>
      </c>
      <c r="K6301" t="s">
        <v>59</v>
      </c>
      <c r="Q6301">
        <v>0</v>
      </c>
      <c r="R6301">
        <v>0</v>
      </c>
      <c r="S6301">
        <v>0</v>
      </c>
    </row>
    <row r="6302" spans="1:20" customFormat="1" ht="15" x14ac:dyDescent="0.25">
      <c r="A6302" t="s">
        <v>35</v>
      </c>
      <c r="B6302" t="s">
        <v>61</v>
      </c>
      <c r="C6302" t="str">
        <f>"A0183112"</f>
        <v>A0183112</v>
      </c>
      <c r="D6302" t="s">
        <v>24553</v>
      </c>
      <c r="E6302" t="s">
        <v>24554</v>
      </c>
      <c r="F6302" t="s">
        <v>21128</v>
      </c>
      <c r="G6302" t="s">
        <v>925</v>
      </c>
      <c r="H6302" t="s">
        <v>24555</v>
      </c>
      <c r="I6302" t="s">
        <v>30</v>
      </c>
      <c r="J6302" t="s">
        <v>41</v>
      </c>
      <c r="K6302" t="s">
        <v>59</v>
      </c>
      <c r="Q6302">
        <v>0</v>
      </c>
      <c r="R6302">
        <v>60</v>
      </c>
      <c r="S6302">
        <v>60</v>
      </c>
      <c r="T6302" t="s">
        <v>24556</v>
      </c>
    </row>
    <row r="6303" spans="1:20" customFormat="1" ht="15" x14ac:dyDescent="0.25">
      <c r="A6303" t="s">
        <v>35</v>
      </c>
      <c r="B6303" t="s">
        <v>61</v>
      </c>
      <c r="C6303" t="str">
        <f>"A0183111"</f>
        <v>A0183111</v>
      </c>
      <c r="D6303" t="s">
        <v>24557</v>
      </c>
      <c r="E6303" t="s">
        <v>24558</v>
      </c>
      <c r="F6303" t="s">
        <v>24559</v>
      </c>
      <c r="G6303" t="s">
        <v>1170</v>
      </c>
      <c r="H6303" t="s">
        <v>24560</v>
      </c>
      <c r="I6303" t="s">
        <v>30</v>
      </c>
      <c r="J6303" t="s">
        <v>41</v>
      </c>
      <c r="K6303" t="s">
        <v>59</v>
      </c>
      <c r="Q6303">
        <v>0</v>
      </c>
      <c r="R6303">
        <v>0</v>
      </c>
      <c r="S6303">
        <v>0</v>
      </c>
    </row>
    <row r="6304" spans="1:20" customFormat="1" ht="15" x14ac:dyDescent="0.25">
      <c r="A6304" t="s">
        <v>35</v>
      </c>
      <c r="B6304" t="s">
        <v>61</v>
      </c>
      <c r="C6304" t="str">
        <f>"A0183110"</f>
        <v>A0183110</v>
      </c>
      <c r="D6304" t="s">
        <v>24561</v>
      </c>
      <c r="E6304" t="s">
        <v>24562</v>
      </c>
      <c r="F6304" t="s">
        <v>15185</v>
      </c>
      <c r="G6304" t="s">
        <v>1170</v>
      </c>
      <c r="H6304" t="s">
        <v>24563</v>
      </c>
      <c r="I6304" t="s">
        <v>30</v>
      </c>
      <c r="J6304" t="s">
        <v>41</v>
      </c>
      <c r="K6304" t="s">
        <v>59</v>
      </c>
      <c r="Q6304">
        <v>0</v>
      </c>
      <c r="R6304">
        <v>0</v>
      </c>
      <c r="S6304">
        <v>0</v>
      </c>
      <c r="T6304" t="s">
        <v>24564</v>
      </c>
    </row>
    <row r="6305" spans="1:20" customFormat="1" ht="15" x14ac:dyDescent="0.25">
      <c r="A6305" t="s">
        <v>35</v>
      </c>
      <c r="B6305" t="s">
        <v>61</v>
      </c>
      <c r="C6305" t="str">
        <f>"A0183109"</f>
        <v>A0183109</v>
      </c>
      <c r="D6305" t="s">
        <v>24565</v>
      </c>
      <c r="E6305" t="s">
        <v>24566</v>
      </c>
      <c r="F6305" t="s">
        <v>23833</v>
      </c>
      <c r="G6305" t="s">
        <v>99</v>
      </c>
      <c r="H6305" t="s">
        <v>24567</v>
      </c>
      <c r="I6305" t="s">
        <v>30</v>
      </c>
      <c r="J6305" t="s">
        <v>41</v>
      </c>
      <c r="K6305" t="s">
        <v>59</v>
      </c>
      <c r="Q6305">
        <v>0</v>
      </c>
      <c r="R6305">
        <v>0</v>
      </c>
      <c r="S6305">
        <v>0</v>
      </c>
      <c r="T6305" t="s">
        <v>24568</v>
      </c>
    </row>
    <row r="6306" spans="1:20" customFormat="1" ht="15" x14ac:dyDescent="0.25">
      <c r="A6306" t="s">
        <v>35</v>
      </c>
      <c r="B6306" t="s">
        <v>61</v>
      </c>
      <c r="C6306" t="str">
        <f>"A0183108"</f>
        <v>A0183108</v>
      </c>
      <c r="D6306" t="s">
        <v>24569</v>
      </c>
      <c r="E6306" t="s">
        <v>24570</v>
      </c>
      <c r="F6306" t="s">
        <v>11392</v>
      </c>
      <c r="G6306" t="s">
        <v>81</v>
      </c>
      <c r="H6306" t="s">
        <v>24571</v>
      </c>
      <c r="I6306" t="s">
        <v>30</v>
      </c>
      <c r="J6306" t="s">
        <v>41</v>
      </c>
      <c r="K6306" t="s">
        <v>59</v>
      </c>
      <c r="Q6306">
        <v>0</v>
      </c>
      <c r="R6306">
        <v>0</v>
      </c>
      <c r="S6306">
        <v>0</v>
      </c>
      <c r="T6306" t="s">
        <v>24572</v>
      </c>
    </row>
    <row r="6307" spans="1:20" customFormat="1" ht="15" x14ac:dyDescent="0.25">
      <c r="A6307" t="s">
        <v>35</v>
      </c>
      <c r="B6307" t="s">
        <v>61</v>
      </c>
      <c r="C6307" t="str">
        <f>"A0183107"</f>
        <v>A0183107</v>
      </c>
      <c r="D6307" t="s">
        <v>24573</v>
      </c>
      <c r="E6307" t="s">
        <v>24574</v>
      </c>
      <c r="F6307" t="s">
        <v>23856</v>
      </c>
      <c r="G6307" t="s">
        <v>110</v>
      </c>
      <c r="H6307">
        <v>944013864</v>
      </c>
      <c r="I6307" t="s">
        <v>30</v>
      </c>
      <c r="J6307" t="s">
        <v>41</v>
      </c>
      <c r="K6307" t="s">
        <v>59</v>
      </c>
      <c r="Q6307">
        <v>0</v>
      </c>
      <c r="R6307">
        <v>0</v>
      </c>
      <c r="S6307">
        <v>0</v>
      </c>
      <c r="T6307" t="s">
        <v>24575</v>
      </c>
    </row>
    <row r="6308" spans="1:20" customFormat="1" ht="15" x14ac:dyDescent="0.25">
      <c r="A6308" t="s">
        <v>35</v>
      </c>
      <c r="B6308" t="s">
        <v>61</v>
      </c>
      <c r="C6308" t="str">
        <f>"A0183106"</f>
        <v>A0183106</v>
      </c>
      <c r="D6308" t="s">
        <v>24576</v>
      </c>
      <c r="E6308" t="s">
        <v>24577</v>
      </c>
      <c r="F6308" t="s">
        <v>24578</v>
      </c>
      <c r="G6308" t="s">
        <v>110</v>
      </c>
      <c r="H6308">
        <v>945594837</v>
      </c>
      <c r="I6308" t="s">
        <v>30</v>
      </c>
      <c r="J6308" t="s">
        <v>41</v>
      </c>
      <c r="K6308" t="s">
        <v>59</v>
      </c>
      <c r="Q6308">
        <v>0</v>
      </c>
      <c r="R6308">
        <v>137</v>
      </c>
      <c r="S6308">
        <v>137</v>
      </c>
      <c r="T6308" t="s">
        <v>24579</v>
      </c>
    </row>
    <row r="6309" spans="1:20" customFormat="1" ht="15" x14ac:dyDescent="0.25">
      <c r="A6309" t="s">
        <v>35</v>
      </c>
      <c r="B6309" t="s">
        <v>61</v>
      </c>
      <c r="C6309" t="str">
        <f>"A0183104"</f>
        <v>A0183104</v>
      </c>
      <c r="D6309" t="s">
        <v>24580</v>
      </c>
      <c r="E6309" t="s">
        <v>24581</v>
      </c>
      <c r="F6309" t="s">
        <v>24582</v>
      </c>
      <c r="G6309" t="s">
        <v>110</v>
      </c>
      <c r="H6309" t="s">
        <v>24583</v>
      </c>
      <c r="I6309" t="s">
        <v>30</v>
      </c>
      <c r="J6309" t="s">
        <v>41</v>
      </c>
      <c r="K6309" t="s">
        <v>59</v>
      </c>
      <c r="Q6309">
        <v>0</v>
      </c>
      <c r="R6309">
        <v>77</v>
      </c>
      <c r="S6309">
        <v>77</v>
      </c>
    </row>
    <row r="6310" spans="1:20" customFormat="1" ht="15" x14ac:dyDescent="0.25">
      <c r="A6310" t="s">
        <v>35</v>
      </c>
      <c r="B6310" t="s">
        <v>61</v>
      </c>
      <c r="C6310" t="str">
        <f>"A0183103"</f>
        <v>A0183103</v>
      </c>
      <c r="D6310" t="s">
        <v>24584</v>
      </c>
      <c r="E6310" t="s">
        <v>24585</v>
      </c>
      <c r="F6310" t="s">
        <v>24586</v>
      </c>
      <c r="G6310" t="s">
        <v>110</v>
      </c>
      <c r="H6310" t="s">
        <v>24587</v>
      </c>
      <c r="I6310" t="s">
        <v>30</v>
      </c>
      <c r="J6310" t="s">
        <v>41</v>
      </c>
      <c r="K6310" t="s">
        <v>59</v>
      </c>
      <c r="Q6310">
        <v>0</v>
      </c>
      <c r="R6310">
        <v>0</v>
      </c>
      <c r="S6310">
        <v>0</v>
      </c>
      <c r="T6310" t="s">
        <v>24588</v>
      </c>
    </row>
    <row r="6311" spans="1:20" customFormat="1" ht="15" x14ac:dyDescent="0.25">
      <c r="A6311" t="s">
        <v>35</v>
      </c>
      <c r="B6311" t="s">
        <v>61</v>
      </c>
      <c r="C6311" t="str">
        <f>"A0183102"</f>
        <v>A0183102</v>
      </c>
      <c r="D6311" t="s">
        <v>24589</v>
      </c>
      <c r="E6311" t="s">
        <v>24590</v>
      </c>
      <c r="F6311" t="s">
        <v>19689</v>
      </c>
      <c r="G6311" t="s">
        <v>161</v>
      </c>
      <c r="H6311" t="s">
        <v>24591</v>
      </c>
      <c r="I6311" t="s">
        <v>30</v>
      </c>
      <c r="J6311" t="s">
        <v>41</v>
      </c>
      <c r="K6311" t="s">
        <v>59</v>
      </c>
      <c r="Q6311">
        <v>0</v>
      </c>
      <c r="R6311">
        <v>0</v>
      </c>
      <c r="S6311">
        <v>0</v>
      </c>
    </row>
    <row r="6312" spans="1:20" customFormat="1" ht="15" x14ac:dyDescent="0.25">
      <c r="A6312" t="s">
        <v>35</v>
      </c>
      <c r="B6312" t="s">
        <v>61</v>
      </c>
      <c r="C6312" t="str">
        <f>"A0183101"</f>
        <v>A0183101</v>
      </c>
      <c r="D6312" t="s">
        <v>24592</v>
      </c>
      <c r="E6312" t="s">
        <v>24593</v>
      </c>
      <c r="F6312" t="s">
        <v>1394</v>
      </c>
      <c r="G6312" t="s">
        <v>161</v>
      </c>
      <c r="H6312">
        <v>55116</v>
      </c>
      <c r="I6312" t="s">
        <v>30</v>
      </c>
      <c r="J6312" t="s">
        <v>41</v>
      </c>
      <c r="K6312" t="s">
        <v>59</v>
      </c>
      <c r="Q6312">
        <v>0</v>
      </c>
      <c r="R6312">
        <v>0</v>
      </c>
      <c r="S6312">
        <v>0</v>
      </c>
    </row>
    <row r="6313" spans="1:20" customFormat="1" ht="15" x14ac:dyDescent="0.25">
      <c r="A6313" t="s">
        <v>35</v>
      </c>
      <c r="B6313" t="s">
        <v>61</v>
      </c>
      <c r="C6313" t="str">
        <f>"A0183100"</f>
        <v>A0183100</v>
      </c>
      <c r="D6313" t="s">
        <v>24594</v>
      </c>
      <c r="E6313" t="s">
        <v>24595</v>
      </c>
      <c r="F6313" t="s">
        <v>1607</v>
      </c>
      <c r="G6313" t="s">
        <v>161</v>
      </c>
      <c r="H6313" t="s">
        <v>24596</v>
      </c>
      <c r="I6313" t="s">
        <v>30</v>
      </c>
      <c r="J6313" t="s">
        <v>41</v>
      </c>
      <c r="K6313" t="s">
        <v>59</v>
      </c>
      <c r="Q6313">
        <v>0</v>
      </c>
      <c r="R6313">
        <v>140</v>
      </c>
      <c r="S6313">
        <v>140</v>
      </c>
      <c r="T6313" t="s">
        <v>24597</v>
      </c>
    </row>
    <row r="6314" spans="1:20" customFormat="1" ht="15" x14ac:dyDescent="0.25">
      <c r="A6314" t="s">
        <v>35</v>
      </c>
      <c r="B6314" t="s">
        <v>61</v>
      </c>
      <c r="C6314" t="str">
        <f>"A0183099"</f>
        <v>A0183099</v>
      </c>
      <c r="D6314" t="s">
        <v>24598</v>
      </c>
      <c r="E6314" t="s">
        <v>24599</v>
      </c>
      <c r="F6314" t="s">
        <v>2784</v>
      </c>
      <c r="G6314" t="s">
        <v>925</v>
      </c>
      <c r="H6314" t="s">
        <v>24600</v>
      </c>
      <c r="I6314" t="s">
        <v>30</v>
      </c>
      <c r="J6314" t="s">
        <v>41</v>
      </c>
      <c r="K6314" t="s">
        <v>59</v>
      </c>
      <c r="Q6314">
        <v>0</v>
      </c>
      <c r="R6314">
        <v>60</v>
      </c>
      <c r="S6314">
        <v>60</v>
      </c>
      <c r="T6314" t="s">
        <v>24601</v>
      </c>
    </row>
    <row r="6315" spans="1:20" customFormat="1" ht="15" x14ac:dyDescent="0.25">
      <c r="A6315" t="s">
        <v>35</v>
      </c>
      <c r="B6315" t="s">
        <v>61</v>
      </c>
      <c r="C6315" t="str">
        <f>"A0183098"</f>
        <v>A0183098</v>
      </c>
      <c r="D6315" t="s">
        <v>24602</v>
      </c>
      <c r="E6315" t="s">
        <v>24603</v>
      </c>
      <c r="F6315" t="s">
        <v>21814</v>
      </c>
      <c r="G6315" t="s">
        <v>110</v>
      </c>
      <c r="H6315">
        <v>90403</v>
      </c>
      <c r="I6315" t="s">
        <v>30</v>
      </c>
      <c r="J6315" t="s">
        <v>41</v>
      </c>
      <c r="K6315" t="s">
        <v>59</v>
      </c>
      <c r="Q6315">
        <v>0</v>
      </c>
      <c r="R6315">
        <v>0</v>
      </c>
      <c r="S6315">
        <v>0</v>
      </c>
      <c r="T6315" t="s">
        <v>24604</v>
      </c>
    </row>
    <row r="6316" spans="1:20" customFormat="1" ht="15" x14ac:dyDescent="0.25">
      <c r="A6316" t="s">
        <v>35</v>
      </c>
      <c r="B6316" t="s">
        <v>61</v>
      </c>
      <c r="C6316" t="str">
        <f>"A0183097"</f>
        <v>A0183097</v>
      </c>
      <c r="D6316" t="s">
        <v>24605</v>
      </c>
      <c r="E6316" t="s">
        <v>24240</v>
      </c>
      <c r="F6316" t="s">
        <v>10426</v>
      </c>
      <c r="G6316" t="s">
        <v>81</v>
      </c>
      <c r="H6316" t="s">
        <v>11581</v>
      </c>
      <c r="I6316" t="s">
        <v>30</v>
      </c>
      <c r="J6316" t="s">
        <v>41</v>
      </c>
      <c r="K6316" t="s">
        <v>59</v>
      </c>
      <c r="Q6316">
        <v>0</v>
      </c>
      <c r="R6316">
        <v>102</v>
      </c>
      <c r="S6316">
        <v>102</v>
      </c>
      <c r="T6316" t="s">
        <v>24241</v>
      </c>
    </row>
    <row r="6317" spans="1:20" customFormat="1" ht="15" x14ac:dyDescent="0.25">
      <c r="A6317" t="s">
        <v>35</v>
      </c>
      <c r="B6317" t="s">
        <v>61</v>
      </c>
      <c r="C6317" t="str">
        <f>"A0183096"</f>
        <v>A0183096</v>
      </c>
      <c r="D6317" t="s">
        <v>24606</v>
      </c>
      <c r="E6317" t="s">
        <v>24607</v>
      </c>
      <c r="F6317" t="s">
        <v>10561</v>
      </c>
      <c r="G6317" t="s">
        <v>81</v>
      </c>
      <c r="H6317">
        <v>34134</v>
      </c>
      <c r="I6317" t="s">
        <v>30</v>
      </c>
      <c r="J6317" t="s">
        <v>41</v>
      </c>
      <c r="K6317" t="s">
        <v>59</v>
      </c>
      <c r="Q6317">
        <v>0</v>
      </c>
      <c r="R6317">
        <v>0</v>
      </c>
      <c r="S6317">
        <v>0</v>
      </c>
      <c r="T6317" t="s">
        <v>24608</v>
      </c>
    </row>
    <row r="6318" spans="1:20" customFormat="1" ht="15" x14ac:dyDescent="0.25">
      <c r="A6318" t="s">
        <v>35</v>
      </c>
      <c r="B6318" t="s">
        <v>61</v>
      </c>
      <c r="C6318" t="str">
        <f>"A0183095"</f>
        <v>A0183095</v>
      </c>
      <c r="D6318" t="s">
        <v>24609</v>
      </c>
      <c r="E6318" t="s">
        <v>24610</v>
      </c>
      <c r="F6318" t="s">
        <v>4645</v>
      </c>
      <c r="G6318" t="s">
        <v>81</v>
      </c>
      <c r="H6318" t="s">
        <v>24611</v>
      </c>
      <c r="I6318" t="s">
        <v>30</v>
      </c>
      <c r="J6318" t="s">
        <v>41</v>
      </c>
      <c r="K6318" t="s">
        <v>59</v>
      </c>
      <c r="Q6318">
        <v>0</v>
      </c>
      <c r="R6318">
        <v>0</v>
      </c>
      <c r="S6318">
        <v>0</v>
      </c>
    </row>
    <row r="6319" spans="1:20" customFormat="1" ht="15" x14ac:dyDescent="0.25">
      <c r="A6319" t="s">
        <v>35</v>
      </c>
      <c r="B6319" t="s">
        <v>61</v>
      </c>
      <c r="C6319" t="str">
        <f>"A0183094"</f>
        <v>A0183094</v>
      </c>
      <c r="D6319" t="s">
        <v>24612</v>
      </c>
      <c r="E6319" t="s">
        <v>24613</v>
      </c>
      <c r="F6319" t="s">
        <v>10598</v>
      </c>
      <c r="G6319" t="s">
        <v>81</v>
      </c>
      <c r="H6319">
        <v>33801</v>
      </c>
      <c r="I6319" t="s">
        <v>30</v>
      </c>
      <c r="J6319" t="s">
        <v>41</v>
      </c>
      <c r="K6319" t="s">
        <v>59</v>
      </c>
      <c r="Q6319">
        <v>0</v>
      </c>
      <c r="R6319">
        <v>0</v>
      </c>
      <c r="S6319">
        <v>0</v>
      </c>
      <c r="T6319" t="s">
        <v>24614</v>
      </c>
    </row>
    <row r="6320" spans="1:20" customFormat="1" ht="15" x14ac:dyDescent="0.25">
      <c r="A6320" t="s">
        <v>35</v>
      </c>
      <c r="B6320" t="s">
        <v>61</v>
      </c>
      <c r="C6320" t="str">
        <f>"A0183093"</f>
        <v>A0183093</v>
      </c>
      <c r="D6320" t="s">
        <v>24615</v>
      </c>
      <c r="E6320" t="s">
        <v>24616</v>
      </c>
      <c r="F6320" t="s">
        <v>5050</v>
      </c>
      <c r="G6320" t="s">
        <v>161</v>
      </c>
      <c r="H6320" t="s">
        <v>24617</v>
      </c>
      <c r="I6320" t="s">
        <v>30</v>
      </c>
      <c r="J6320" t="s">
        <v>41</v>
      </c>
      <c r="K6320" t="s">
        <v>59</v>
      </c>
      <c r="Q6320">
        <v>0</v>
      </c>
      <c r="R6320">
        <v>0</v>
      </c>
      <c r="S6320">
        <v>0</v>
      </c>
      <c r="T6320" t="s">
        <v>24618</v>
      </c>
    </row>
    <row r="6321" spans="1:20" customFormat="1" ht="15" x14ac:dyDescent="0.25">
      <c r="A6321" t="s">
        <v>35</v>
      </c>
      <c r="B6321" t="s">
        <v>61</v>
      </c>
      <c r="C6321" t="str">
        <f>"A0183092"</f>
        <v>A0183092</v>
      </c>
      <c r="D6321" t="s">
        <v>24619</v>
      </c>
      <c r="E6321" t="s">
        <v>24620</v>
      </c>
      <c r="F6321" t="s">
        <v>24621</v>
      </c>
      <c r="G6321" t="s">
        <v>161</v>
      </c>
      <c r="H6321" t="s">
        <v>24622</v>
      </c>
      <c r="I6321" t="s">
        <v>30</v>
      </c>
      <c r="J6321" t="s">
        <v>41</v>
      </c>
      <c r="K6321" t="s">
        <v>59</v>
      </c>
      <c r="Q6321">
        <v>0</v>
      </c>
      <c r="R6321">
        <v>0</v>
      </c>
      <c r="S6321">
        <v>0</v>
      </c>
      <c r="T6321" t="s">
        <v>24623</v>
      </c>
    </row>
    <row r="6322" spans="1:20" customFormat="1" ht="15" x14ac:dyDescent="0.25">
      <c r="A6322" t="s">
        <v>35</v>
      </c>
      <c r="B6322" t="s">
        <v>61</v>
      </c>
      <c r="C6322" t="str">
        <f>"A0183091"</f>
        <v>A0183091</v>
      </c>
      <c r="D6322" t="s">
        <v>24624</v>
      </c>
      <c r="E6322" t="s">
        <v>24625</v>
      </c>
      <c r="F6322" t="s">
        <v>24626</v>
      </c>
      <c r="G6322" t="s">
        <v>161</v>
      </c>
      <c r="H6322">
        <v>55013</v>
      </c>
      <c r="I6322" t="s">
        <v>30</v>
      </c>
      <c r="J6322" t="s">
        <v>41</v>
      </c>
      <c r="K6322" t="s">
        <v>59</v>
      </c>
      <c r="Q6322">
        <v>0</v>
      </c>
      <c r="R6322">
        <v>25</v>
      </c>
      <c r="S6322">
        <v>25</v>
      </c>
      <c r="T6322" t="s">
        <v>24627</v>
      </c>
    </row>
    <row r="6323" spans="1:20" customFormat="1" ht="15" x14ac:dyDescent="0.25">
      <c r="A6323" t="s">
        <v>35</v>
      </c>
      <c r="B6323" t="s">
        <v>61</v>
      </c>
      <c r="C6323" t="str">
        <f>"A0183090"</f>
        <v>A0183090</v>
      </c>
      <c r="D6323" t="s">
        <v>24628</v>
      </c>
      <c r="E6323" t="s">
        <v>24629</v>
      </c>
      <c r="F6323" t="s">
        <v>21644</v>
      </c>
      <c r="G6323" t="s">
        <v>925</v>
      </c>
      <c r="H6323">
        <v>66067</v>
      </c>
      <c r="I6323" t="s">
        <v>30</v>
      </c>
      <c r="J6323" t="s">
        <v>41</v>
      </c>
      <c r="K6323" t="s">
        <v>59</v>
      </c>
      <c r="Q6323">
        <v>0</v>
      </c>
      <c r="R6323">
        <v>0</v>
      </c>
      <c r="S6323">
        <v>0</v>
      </c>
    </row>
    <row r="6324" spans="1:20" customFormat="1" ht="15" x14ac:dyDescent="0.25">
      <c r="A6324" t="s">
        <v>35</v>
      </c>
      <c r="B6324" t="s">
        <v>61</v>
      </c>
      <c r="C6324" t="str">
        <f>"A0183089"</f>
        <v>A0183089</v>
      </c>
      <c r="D6324" t="s">
        <v>24630</v>
      </c>
      <c r="E6324" t="s">
        <v>24631</v>
      </c>
      <c r="F6324" t="s">
        <v>2784</v>
      </c>
      <c r="G6324" t="s">
        <v>925</v>
      </c>
      <c r="H6324">
        <v>672063896</v>
      </c>
      <c r="I6324" t="s">
        <v>30</v>
      </c>
      <c r="J6324" t="s">
        <v>41</v>
      </c>
      <c r="K6324" t="s">
        <v>59</v>
      </c>
      <c r="Q6324">
        <v>0</v>
      </c>
      <c r="R6324">
        <v>0</v>
      </c>
      <c r="S6324">
        <v>0</v>
      </c>
    </row>
    <row r="6325" spans="1:20" customFormat="1" ht="15" x14ac:dyDescent="0.25">
      <c r="A6325" t="s">
        <v>35</v>
      </c>
      <c r="B6325" t="s">
        <v>61</v>
      </c>
      <c r="C6325" t="str">
        <f>"A0183088"</f>
        <v>A0183088</v>
      </c>
      <c r="D6325" t="s">
        <v>24632</v>
      </c>
      <c r="E6325" t="s">
        <v>24633</v>
      </c>
      <c r="F6325" t="s">
        <v>4219</v>
      </c>
      <c r="G6325" t="s">
        <v>99</v>
      </c>
      <c r="H6325" t="s">
        <v>24634</v>
      </c>
      <c r="I6325" t="s">
        <v>30</v>
      </c>
      <c r="J6325" t="s">
        <v>41</v>
      </c>
      <c r="K6325" t="s">
        <v>59</v>
      </c>
      <c r="Q6325">
        <v>0</v>
      </c>
      <c r="R6325">
        <v>364</v>
      </c>
      <c r="S6325">
        <v>364</v>
      </c>
      <c r="T6325" t="s">
        <v>24635</v>
      </c>
    </row>
    <row r="6326" spans="1:20" customFormat="1" ht="15" x14ac:dyDescent="0.25">
      <c r="A6326" t="s">
        <v>35</v>
      </c>
      <c r="B6326" t="s">
        <v>61</v>
      </c>
      <c r="C6326" t="str">
        <f>"A0183087"</f>
        <v>A0183087</v>
      </c>
      <c r="D6326" t="s">
        <v>24636</v>
      </c>
      <c r="E6326" t="s">
        <v>24637</v>
      </c>
      <c r="F6326" t="s">
        <v>24638</v>
      </c>
      <c r="G6326" t="s">
        <v>99</v>
      </c>
      <c r="H6326">
        <v>11944</v>
      </c>
      <c r="I6326" t="s">
        <v>30</v>
      </c>
      <c r="J6326" t="s">
        <v>41</v>
      </c>
      <c r="K6326" t="s">
        <v>59</v>
      </c>
      <c r="Q6326">
        <v>0</v>
      </c>
      <c r="R6326">
        <v>0</v>
      </c>
      <c r="S6326">
        <v>0</v>
      </c>
    </row>
    <row r="6327" spans="1:20" customFormat="1" ht="15" x14ac:dyDescent="0.25">
      <c r="A6327" t="s">
        <v>35</v>
      </c>
      <c r="B6327" t="s">
        <v>61</v>
      </c>
      <c r="C6327" t="str">
        <f>"A0183086"</f>
        <v>A0183086</v>
      </c>
      <c r="D6327" t="s">
        <v>24639</v>
      </c>
      <c r="E6327" t="s">
        <v>24640</v>
      </c>
      <c r="F6327" t="s">
        <v>10801</v>
      </c>
      <c r="G6327" t="s">
        <v>99</v>
      </c>
      <c r="H6327" t="s">
        <v>24641</v>
      </c>
      <c r="I6327" t="s">
        <v>30</v>
      </c>
      <c r="J6327" t="s">
        <v>41</v>
      </c>
      <c r="K6327" t="s">
        <v>59</v>
      </c>
      <c r="Q6327">
        <v>0</v>
      </c>
      <c r="R6327">
        <v>173</v>
      </c>
      <c r="S6327">
        <v>173</v>
      </c>
      <c r="T6327" t="s">
        <v>24642</v>
      </c>
    </row>
    <row r="6328" spans="1:20" customFormat="1" ht="15" x14ac:dyDescent="0.25">
      <c r="A6328" t="s">
        <v>35</v>
      </c>
      <c r="B6328" t="s">
        <v>61</v>
      </c>
      <c r="C6328" t="str">
        <f>"A0183085"</f>
        <v>A0183085</v>
      </c>
      <c r="D6328" t="s">
        <v>24643</v>
      </c>
      <c r="E6328" t="s">
        <v>24644</v>
      </c>
      <c r="F6328" t="s">
        <v>4269</v>
      </c>
      <c r="G6328" t="s">
        <v>99</v>
      </c>
      <c r="H6328">
        <v>11226</v>
      </c>
      <c r="I6328" t="s">
        <v>30</v>
      </c>
      <c r="J6328" t="s">
        <v>41</v>
      </c>
      <c r="K6328" t="s">
        <v>59</v>
      </c>
      <c r="Q6328">
        <v>0</v>
      </c>
      <c r="R6328">
        <v>200</v>
      </c>
      <c r="S6328">
        <v>200</v>
      </c>
      <c r="T6328" t="s">
        <v>24645</v>
      </c>
    </row>
    <row r="6329" spans="1:20" customFormat="1" ht="15" x14ac:dyDescent="0.25">
      <c r="A6329" t="s">
        <v>35</v>
      </c>
      <c r="B6329" t="s">
        <v>61</v>
      </c>
      <c r="C6329" t="str">
        <f>"A0183084"</f>
        <v>A0183084</v>
      </c>
      <c r="D6329" t="s">
        <v>24646</v>
      </c>
      <c r="E6329" t="s">
        <v>24647</v>
      </c>
      <c r="F6329" t="s">
        <v>20801</v>
      </c>
      <c r="G6329" t="s">
        <v>81</v>
      </c>
      <c r="H6329" t="s">
        <v>24648</v>
      </c>
      <c r="I6329" t="s">
        <v>30</v>
      </c>
      <c r="J6329" t="s">
        <v>41</v>
      </c>
      <c r="K6329" t="s">
        <v>59</v>
      </c>
      <c r="Q6329">
        <v>0</v>
      </c>
      <c r="R6329">
        <v>0</v>
      </c>
      <c r="S6329">
        <v>0</v>
      </c>
    </row>
    <row r="6330" spans="1:20" customFormat="1" ht="15" x14ac:dyDescent="0.25">
      <c r="A6330" t="s">
        <v>35</v>
      </c>
      <c r="B6330" t="s">
        <v>11871</v>
      </c>
      <c r="C6330" t="str">
        <f>"A0183083"</f>
        <v>A0183083</v>
      </c>
      <c r="D6330" t="s">
        <v>24649</v>
      </c>
      <c r="E6330" t="s">
        <v>24650</v>
      </c>
      <c r="F6330" t="s">
        <v>4645</v>
      </c>
      <c r="G6330" t="s">
        <v>81</v>
      </c>
      <c r="H6330" t="s">
        <v>24651</v>
      </c>
      <c r="I6330" t="s">
        <v>30</v>
      </c>
      <c r="J6330" t="s">
        <v>41</v>
      </c>
      <c r="K6330" t="s">
        <v>59</v>
      </c>
      <c r="Q6330">
        <v>0</v>
      </c>
      <c r="R6330">
        <v>0</v>
      </c>
      <c r="S6330">
        <v>0</v>
      </c>
      <c r="T6330" t="s">
        <v>24652</v>
      </c>
    </row>
    <row r="6331" spans="1:20" customFormat="1" ht="15" x14ac:dyDescent="0.25">
      <c r="A6331" t="s">
        <v>35</v>
      </c>
      <c r="B6331" t="s">
        <v>61</v>
      </c>
      <c r="C6331" t="str">
        <f>"A0183082"</f>
        <v>A0183082</v>
      </c>
      <c r="D6331" t="s">
        <v>24653</v>
      </c>
      <c r="E6331" t="s">
        <v>24654</v>
      </c>
      <c r="F6331" t="s">
        <v>24655</v>
      </c>
      <c r="G6331" t="s">
        <v>110</v>
      </c>
      <c r="H6331" t="s">
        <v>24656</v>
      </c>
      <c r="I6331" t="s">
        <v>30</v>
      </c>
      <c r="J6331" t="s">
        <v>41</v>
      </c>
      <c r="K6331" t="s">
        <v>59</v>
      </c>
      <c r="Q6331">
        <v>0</v>
      </c>
      <c r="R6331">
        <v>0</v>
      </c>
      <c r="S6331">
        <v>0</v>
      </c>
      <c r="T6331" t="s">
        <v>24657</v>
      </c>
    </row>
    <row r="6332" spans="1:20" customFormat="1" ht="15" x14ac:dyDescent="0.25">
      <c r="A6332" t="s">
        <v>35</v>
      </c>
      <c r="B6332" t="s">
        <v>61</v>
      </c>
      <c r="C6332" t="str">
        <f>"A0183081"</f>
        <v>A0183081</v>
      </c>
      <c r="D6332" t="s">
        <v>24658</v>
      </c>
      <c r="E6332" t="s">
        <v>24659</v>
      </c>
      <c r="F6332" t="s">
        <v>24660</v>
      </c>
      <c r="G6332" t="s">
        <v>110</v>
      </c>
      <c r="H6332">
        <v>90094</v>
      </c>
      <c r="I6332" t="s">
        <v>30</v>
      </c>
      <c r="J6332" t="s">
        <v>41</v>
      </c>
      <c r="K6332" t="s">
        <v>59</v>
      </c>
      <c r="Q6332">
        <v>0</v>
      </c>
      <c r="R6332">
        <v>0</v>
      </c>
      <c r="S6332">
        <v>0</v>
      </c>
      <c r="T6332" t="s">
        <v>24661</v>
      </c>
    </row>
    <row r="6333" spans="1:20" customFormat="1" ht="15" x14ac:dyDescent="0.25">
      <c r="A6333" t="s">
        <v>35</v>
      </c>
      <c r="B6333" t="s">
        <v>61</v>
      </c>
      <c r="C6333" t="str">
        <f>"A0183080"</f>
        <v>A0183080</v>
      </c>
      <c r="D6333" t="s">
        <v>24662</v>
      </c>
      <c r="E6333" t="s">
        <v>24663</v>
      </c>
      <c r="F6333" t="s">
        <v>20652</v>
      </c>
      <c r="G6333" t="s">
        <v>110</v>
      </c>
      <c r="H6333">
        <v>913355934</v>
      </c>
      <c r="I6333" t="s">
        <v>30</v>
      </c>
      <c r="J6333" t="s">
        <v>41</v>
      </c>
      <c r="K6333" t="s">
        <v>59</v>
      </c>
      <c r="Q6333">
        <v>0</v>
      </c>
      <c r="R6333">
        <v>0</v>
      </c>
      <c r="S6333">
        <v>0</v>
      </c>
      <c r="T6333" t="s">
        <v>24664</v>
      </c>
    </row>
    <row r="6334" spans="1:20" customFormat="1" ht="15" x14ac:dyDescent="0.25">
      <c r="A6334" t="s">
        <v>35</v>
      </c>
      <c r="B6334" t="s">
        <v>15885</v>
      </c>
      <c r="C6334" t="str">
        <f>"A0183079"</f>
        <v>A0183079</v>
      </c>
      <c r="D6334" t="s">
        <v>24665</v>
      </c>
      <c r="E6334" t="s">
        <v>24666</v>
      </c>
      <c r="F6334" t="s">
        <v>5742</v>
      </c>
      <c r="G6334" t="s">
        <v>110</v>
      </c>
      <c r="H6334">
        <v>958341620</v>
      </c>
      <c r="I6334" t="s">
        <v>30</v>
      </c>
      <c r="J6334" t="s">
        <v>41</v>
      </c>
      <c r="K6334" t="s">
        <v>59</v>
      </c>
      <c r="Q6334">
        <v>0</v>
      </c>
      <c r="R6334">
        <v>0</v>
      </c>
      <c r="S6334">
        <v>0</v>
      </c>
    </row>
    <row r="6335" spans="1:20" customFormat="1" ht="15" x14ac:dyDescent="0.25">
      <c r="A6335" t="s">
        <v>35</v>
      </c>
      <c r="B6335" t="s">
        <v>61</v>
      </c>
      <c r="C6335" t="str">
        <f>"A0183078"</f>
        <v>A0183078</v>
      </c>
      <c r="D6335" t="s">
        <v>24667</v>
      </c>
      <c r="E6335" t="s">
        <v>24668</v>
      </c>
      <c r="F6335" t="s">
        <v>12934</v>
      </c>
      <c r="G6335" t="s">
        <v>161</v>
      </c>
      <c r="H6335">
        <v>55431</v>
      </c>
      <c r="I6335" t="s">
        <v>30</v>
      </c>
      <c r="J6335" t="s">
        <v>41</v>
      </c>
      <c r="K6335" t="s">
        <v>59</v>
      </c>
      <c r="Q6335">
        <v>0</v>
      </c>
      <c r="R6335">
        <v>0</v>
      </c>
      <c r="S6335">
        <v>0</v>
      </c>
    </row>
    <row r="6336" spans="1:20" customFormat="1" ht="15" x14ac:dyDescent="0.25">
      <c r="A6336" t="s">
        <v>35</v>
      </c>
      <c r="B6336" t="s">
        <v>61</v>
      </c>
      <c r="C6336" t="str">
        <f>"A0183077"</f>
        <v>A0183077</v>
      </c>
      <c r="D6336" t="s">
        <v>24669</v>
      </c>
      <c r="E6336" t="s">
        <v>21391</v>
      </c>
      <c r="F6336" t="s">
        <v>9187</v>
      </c>
      <c r="G6336" t="s">
        <v>161</v>
      </c>
      <c r="H6336" t="s">
        <v>21393</v>
      </c>
      <c r="I6336" t="s">
        <v>30</v>
      </c>
      <c r="J6336" t="s">
        <v>41</v>
      </c>
      <c r="K6336" t="s">
        <v>59</v>
      </c>
      <c r="Q6336">
        <v>0</v>
      </c>
      <c r="R6336">
        <v>0</v>
      </c>
      <c r="S6336">
        <v>0</v>
      </c>
    </row>
    <row r="6337" spans="1:20" customFormat="1" ht="15" x14ac:dyDescent="0.25">
      <c r="A6337" t="s">
        <v>35</v>
      </c>
      <c r="B6337" t="s">
        <v>12660</v>
      </c>
      <c r="C6337" t="str">
        <f>"A0183076"</f>
        <v>A0183076</v>
      </c>
      <c r="D6337" t="s">
        <v>24670</v>
      </c>
      <c r="E6337" t="s">
        <v>24671</v>
      </c>
      <c r="F6337" t="s">
        <v>24455</v>
      </c>
      <c r="G6337" t="s">
        <v>110</v>
      </c>
      <c r="H6337">
        <v>910101718</v>
      </c>
      <c r="I6337" t="s">
        <v>30</v>
      </c>
      <c r="J6337" t="s">
        <v>41</v>
      </c>
      <c r="K6337" t="s">
        <v>59</v>
      </c>
      <c r="Q6337">
        <v>0</v>
      </c>
      <c r="R6337">
        <v>0</v>
      </c>
      <c r="S6337">
        <v>0</v>
      </c>
      <c r="T6337" t="s">
        <v>24672</v>
      </c>
    </row>
    <row r="6338" spans="1:20" customFormat="1" ht="15" x14ac:dyDescent="0.25">
      <c r="A6338" t="s">
        <v>35</v>
      </c>
      <c r="B6338" t="s">
        <v>12660</v>
      </c>
      <c r="C6338" t="str">
        <f>"A0183075"</f>
        <v>A0183075</v>
      </c>
      <c r="D6338" t="s">
        <v>24673</v>
      </c>
      <c r="E6338" t="s">
        <v>24674</v>
      </c>
      <c r="F6338" t="s">
        <v>501</v>
      </c>
      <c r="G6338" t="s">
        <v>110</v>
      </c>
      <c r="H6338">
        <v>912051176</v>
      </c>
      <c r="I6338" t="s">
        <v>30</v>
      </c>
      <c r="J6338" t="s">
        <v>41</v>
      </c>
      <c r="K6338" t="s">
        <v>59</v>
      </c>
      <c r="Q6338">
        <v>0</v>
      </c>
      <c r="R6338">
        <v>0</v>
      </c>
      <c r="S6338">
        <v>0</v>
      </c>
      <c r="T6338" t="s">
        <v>24675</v>
      </c>
    </row>
    <row r="6339" spans="1:20" customFormat="1" ht="15" x14ac:dyDescent="0.25">
      <c r="A6339" t="s">
        <v>35</v>
      </c>
      <c r="B6339" t="s">
        <v>61</v>
      </c>
      <c r="C6339" t="str">
        <f>"A0183074"</f>
        <v>A0183074</v>
      </c>
      <c r="D6339" t="s">
        <v>24676</v>
      </c>
      <c r="E6339" t="s">
        <v>24677</v>
      </c>
      <c r="F6339" t="s">
        <v>24415</v>
      </c>
      <c r="G6339" t="s">
        <v>161</v>
      </c>
      <c r="H6339" t="s">
        <v>24678</v>
      </c>
      <c r="I6339" t="s">
        <v>30</v>
      </c>
      <c r="J6339" t="s">
        <v>41</v>
      </c>
      <c r="K6339" t="s">
        <v>59</v>
      </c>
      <c r="Q6339">
        <v>0</v>
      </c>
      <c r="R6339">
        <v>72</v>
      </c>
      <c r="S6339">
        <v>72</v>
      </c>
      <c r="T6339" t="s">
        <v>24679</v>
      </c>
    </row>
    <row r="6340" spans="1:20" customFormat="1" ht="15" x14ac:dyDescent="0.25">
      <c r="A6340" t="s">
        <v>35</v>
      </c>
      <c r="B6340" t="s">
        <v>61</v>
      </c>
      <c r="C6340" t="str">
        <f>"A0183073"</f>
        <v>A0183073</v>
      </c>
      <c r="D6340" t="s">
        <v>24680</v>
      </c>
      <c r="E6340" t="s">
        <v>24681</v>
      </c>
      <c r="F6340" t="s">
        <v>24415</v>
      </c>
      <c r="G6340" t="s">
        <v>161</v>
      </c>
      <c r="H6340" t="s">
        <v>24682</v>
      </c>
      <c r="I6340" t="s">
        <v>30</v>
      </c>
      <c r="J6340" t="s">
        <v>41</v>
      </c>
      <c r="K6340" t="s">
        <v>59</v>
      </c>
      <c r="Q6340">
        <v>0</v>
      </c>
      <c r="R6340">
        <v>0</v>
      </c>
      <c r="S6340">
        <v>0</v>
      </c>
    </row>
    <row r="6341" spans="1:20" customFormat="1" ht="15" x14ac:dyDescent="0.25">
      <c r="A6341" t="s">
        <v>35</v>
      </c>
      <c r="B6341" t="s">
        <v>61</v>
      </c>
      <c r="C6341" t="str">
        <f>"A0183072"</f>
        <v>A0183072</v>
      </c>
      <c r="D6341" t="s">
        <v>24683</v>
      </c>
      <c r="E6341" t="s">
        <v>24684</v>
      </c>
      <c r="F6341" t="s">
        <v>24685</v>
      </c>
      <c r="G6341" t="s">
        <v>161</v>
      </c>
      <c r="H6341" t="s">
        <v>24686</v>
      </c>
      <c r="I6341" t="s">
        <v>30</v>
      </c>
      <c r="J6341" t="s">
        <v>41</v>
      </c>
      <c r="K6341" t="s">
        <v>59</v>
      </c>
      <c r="Q6341">
        <v>0</v>
      </c>
      <c r="R6341">
        <v>0</v>
      </c>
      <c r="S6341">
        <v>0</v>
      </c>
    </row>
    <row r="6342" spans="1:20" customFormat="1" ht="15" x14ac:dyDescent="0.25">
      <c r="A6342" t="s">
        <v>35</v>
      </c>
      <c r="B6342" t="s">
        <v>61</v>
      </c>
      <c r="C6342" t="str">
        <f>"A0183071"</f>
        <v>A0183071</v>
      </c>
      <c r="D6342" t="s">
        <v>24687</v>
      </c>
      <c r="E6342" t="s">
        <v>24688</v>
      </c>
      <c r="F6342" t="s">
        <v>1607</v>
      </c>
      <c r="G6342" t="s">
        <v>161</v>
      </c>
      <c r="H6342" t="s">
        <v>24689</v>
      </c>
      <c r="I6342" t="s">
        <v>30</v>
      </c>
      <c r="J6342" t="s">
        <v>41</v>
      </c>
      <c r="K6342" t="s">
        <v>59</v>
      </c>
      <c r="Q6342">
        <v>0</v>
      </c>
      <c r="R6342">
        <v>0</v>
      </c>
      <c r="S6342">
        <v>0</v>
      </c>
      <c r="T6342" t="s">
        <v>24690</v>
      </c>
    </row>
    <row r="6343" spans="1:20" customFormat="1" ht="15" x14ac:dyDescent="0.25">
      <c r="A6343" t="s">
        <v>35</v>
      </c>
      <c r="B6343" t="s">
        <v>61</v>
      </c>
      <c r="C6343" t="str">
        <f>"A0183070"</f>
        <v>A0183070</v>
      </c>
      <c r="D6343" t="s">
        <v>24691</v>
      </c>
      <c r="E6343" t="s">
        <v>24692</v>
      </c>
      <c r="F6343" t="s">
        <v>24693</v>
      </c>
      <c r="G6343" t="s">
        <v>99</v>
      </c>
      <c r="H6343">
        <v>11725</v>
      </c>
      <c r="I6343" t="s">
        <v>30</v>
      </c>
      <c r="J6343" t="s">
        <v>41</v>
      </c>
      <c r="K6343" t="s">
        <v>59</v>
      </c>
      <c r="Q6343">
        <v>0</v>
      </c>
      <c r="R6343">
        <v>0</v>
      </c>
      <c r="S6343">
        <v>0</v>
      </c>
    </row>
    <row r="6344" spans="1:20" customFormat="1" ht="15" x14ac:dyDescent="0.25">
      <c r="A6344" t="s">
        <v>35</v>
      </c>
      <c r="B6344" t="s">
        <v>61</v>
      </c>
      <c r="C6344" t="str">
        <f>"A0183069"</f>
        <v>A0183069</v>
      </c>
      <c r="D6344" t="s">
        <v>24694</v>
      </c>
      <c r="E6344" t="s">
        <v>24695</v>
      </c>
      <c r="F6344" t="s">
        <v>4237</v>
      </c>
      <c r="G6344" t="s">
        <v>99</v>
      </c>
      <c r="H6344" t="s">
        <v>24696</v>
      </c>
      <c r="I6344" t="s">
        <v>30</v>
      </c>
      <c r="J6344" t="s">
        <v>41</v>
      </c>
      <c r="K6344" t="s">
        <v>59</v>
      </c>
      <c r="Q6344">
        <v>0</v>
      </c>
      <c r="R6344">
        <v>0</v>
      </c>
      <c r="S6344">
        <v>0</v>
      </c>
      <c r="T6344" t="s">
        <v>24697</v>
      </c>
    </row>
    <row r="6345" spans="1:20" customFormat="1" ht="15" x14ac:dyDescent="0.25">
      <c r="A6345" t="s">
        <v>35</v>
      </c>
      <c r="B6345" t="s">
        <v>61</v>
      </c>
      <c r="C6345" t="str">
        <f>"A0183068"</f>
        <v>A0183068</v>
      </c>
      <c r="D6345" t="s">
        <v>24698</v>
      </c>
      <c r="E6345" t="s">
        <v>24699</v>
      </c>
      <c r="F6345" t="s">
        <v>23833</v>
      </c>
      <c r="G6345" t="s">
        <v>99</v>
      </c>
      <c r="H6345" t="s">
        <v>24700</v>
      </c>
      <c r="I6345" t="s">
        <v>30</v>
      </c>
      <c r="J6345" t="s">
        <v>41</v>
      </c>
      <c r="K6345" t="s">
        <v>59</v>
      </c>
      <c r="Q6345">
        <v>0</v>
      </c>
      <c r="R6345">
        <v>0</v>
      </c>
      <c r="S6345">
        <v>0</v>
      </c>
      <c r="T6345" t="s">
        <v>24701</v>
      </c>
    </row>
    <row r="6346" spans="1:20" customFormat="1" ht="15" x14ac:dyDescent="0.25">
      <c r="A6346" t="s">
        <v>35</v>
      </c>
      <c r="B6346" t="s">
        <v>61</v>
      </c>
      <c r="C6346" t="str">
        <f>"A0183067"</f>
        <v>A0183067</v>
      </c>
      <c r="D6346" t="s">
        <v>24702</v>
      </c>
      <c r="E6346" t="s">
        <v>24703</v>
      </c>
      <c r="F6346" t="s">
        <v>7362</v>
      </c>
      <c r="G6346" t="s">
        <v>110</v>
      </c>
      <c r="H6346">
        <v>900683965</v>
      </c>
      <c r="I6346" t="s">
        <v>30</v>
      </c>
      <c r="J6346" t="s">
        <v>41</v>
      </c>
      <c r="K6346" t="s">
        <v>59</v>
      </c>
      <c r="Q6346">
        <v>0</v>
      </c>
      <c r="R6346">
        <v>0</v>
      </c>
      <c r="S6346">
        <v>0</v>
      </c>
      <c r="T6346" t="s">
        <v>24704</v>
      </c>
    </row>
    <row r="6347" spans="1:20" customFormat="1" ht="15" x14ac:dyDescent="0.25">
      <c r="A6347" t="s">
        <v>35</v>
      </c>
      <c r="B6347" t="s">
        <v>61</v>
      </c>
      <c r="C6347" t="str">
        <f>"A0183065"</f>
        <v>A0183065</v>
      </c>
      <c r="D6347" t="s">
        <v>24705</v>
      </c>
      <c r="E6347" t="s">
        <v>24706</v>
      </c>
      <c r="F6347" t="s">
        <v>13479</v>
      </c>
      <c r="G6347" t="s">
        <v>110</v>
      </c>
      <c r="H6347" t="s">
        <v>24707</v>
      </c>
      <c r="I6347" t="s">
        <v>30</v>
      </c>
      <c r="J6347" t="s">
        <v>41</v>
      </c>
      <c r="K6347" t="s">
        <v>59</v>
      </c>
      <c r="Q6347">
        <v>0</v>
      </c>
      <c r="R6347">
        <v>150</v>
      </c>
      <c r="S6347">
        <v>150</v>
      </c>
      <c r="T6347" t="s">
        <v>24708</v>
      </c>
    </row>
    <row r="6348" spans="1:20" customFormat="1" ht="15" x14ac:dyDescent="0.25">
      <c r="A6348" t="s">
        <v>35</v>
      </c>
      <c r="B6348" t="s">
        <v>61</v>
      </c>
      <c r="C6348" t="str">
        <f>"A0183064"</f>
        <v>A0183064</v>
      </c>
      <c r="D6348" t="s">
        <v>24709</v>
      </c>
      <c r="E6348" t="s">
        <v>24710</v>
      </c>
      <c r="F6348" t="s">
        <v>20275</v>
      </c>
      <c r="G6348" t="s">
        <v>110</v>
      </c>
      <c r="H6348">
        <v>947032237</v>
      </c>
      <c r="I6348" t="s">
        <v>30</v>
      </c>
      <c r="J6348" t="s">
        <v>41</v>
      </c>
      <c r="K6348" t="s">
        <v>59</v>
      </c>
      <c r="Q6348">
        <v>0</v>
      </c>
      <c r="R6348">
        <v>0</v>
      </c>
      <c r="S6348">
        <v>0</v>
      </c>
      <c r="T6348" t="s">
        <v>24711</v>
      </c>
    </row>
    <row r="6349" spans="1:20" customFormat="1" ht="15" x14ac:dyDescent="0.25">
      <c r="A6349" t="s">
        <v>35</v>
      </c>
      <c r="B6349" t="s">
        <v>12257</v>
      </c>
      <c r="C6349" t="str">
        <f>"A0183063"</f>
        <v>A0183063</v>
      </c>
      <c r="D6349" t="s">
        <v>24712</v>
      </c>
      <c r="E6349" t="s">
        <v>24713</v>
      </c>
      <c r="F6349" t="s">
        <v>6764</v>
      </c>
      <c r="G6349" t="s">
        <v>81</v>
      </c>
      <c r="H6349" t="s">
        <v>12260</v>
      </c>
      <c r="I6349" t="s">
        <v>30</v>
      </c>
      <c r="J6349" t="s">
        <v>41</v>
      </c>
      <c r="K6349" t="s">
        <v>59</v>
      </c>
      <c r="Q6349">
        <v>0</v>
      </c>
      <c r="R6349">
        <v>64</v>
      </c>
      <c r="S6349">
        <v>64</v>
      </c>
    </row>
    <row r="6350" spans="1:20" customFormat="1" ht="15" x14ac:dyDescent="0.25">
      <c r="A6350" t="s">
        <v>35</v>
      </c>
      <c r="B6350" t="s">
        <v>61</v>
      </c>
      <c r="C6350" t="str">
        <f>"A0183062"</f>
        <v>A0183062</v>
      </c>
      <c r="D6350" t="s">
        <v>24714</v>
      </c>
      <c r="E6350" t="s">
        <v>24715</v>
      </c>
      <c r="F6350" t="s">
        <v>12194</v>
      </c>
      <c r="G6350" t="s">
        <v>81</v>
      </c>
      <c r="H6350" t="s">
        <v>24716</v>
      </c>
      <c r="I6350" t="s">
        <v>30</v>
      </c>
      <c r="J6350" t="s">
        <v>41</v>
      </c>
      <c r="K6350" t="s">
        <v>59</v>
      </c>
      <c r="Q6350">
        <v>0</v>
      </c>
      <c r="R6350">
        <v>95</v>
      </c>
      <c r="S6350">
        <v>95</v>
      </c>
      <c r="T6350" t="s">
        <v>24717</v>
      </c>
    </row>
    <row r="6351" spans="1:20" customFormat="1" ht="15" x14ac:dyDescent="0.25">
      <c r="A6351" t="s">
        <v>35</v>
      </c>
      <c r="B6351" t="s">
        <v>61</v>
      </c>
      <c r="C6351" t="str">
        <f>"A0183061"</f>
        <v>A0183061</v>
      </c>
      <c r="D6351" t="s">
        <v>24718</v>
      </c>
      <c r="E6351" t="s">
        <v>24719</v>
      </c>
      <c r="F6351" t="s">
        <v>24720</v>
      </c>
      <c r="G6351" t="s">
        <v>81</v>
      </c>
      <c r="H6351" t="s">
        <v>24721</v>
      </c>
      <c r="I6351" t="s">
        <v>30</v>
      </c>
      <c r="J6351" t="s">
        <v>41</v>
      </c>
      <c r="K6351" t="s">
        <v>59</v>
      </c>
      <c r="Q6351">
        <v>0</v>
      </c>
      <c r="R6351">
        <v>0</v>
      </c>
      <c r="S6351">
        <v>0</v>
      </c>
      <c r="T6351" t="s">
        <v>24722</v>
      </c>
    </row>
    <row r="6352" spans="1:20" customFormat="1" ht="15" x14ac:dyDescent="0.25">
      <c r="A6352" t="s">
        <v>35</v>
      </c>
      <c r="B6352" t="s">
        <v>61</v>
      </c>
      <c r="C6352" t="str">
        <f>"A0183060"</f>
        <v>A0183060</v>
      </c>
      <c r="D6352" t="s">
        <v>24723</v>
      </c>
      <c r="E6352" t="s">
        <v>24724</v>
      </c>
      <c r="F6352" t="s">
        <v>2714</v>
      </c>
      <c r="G6352" t="s">
        <v>81</v>
      </c>
      <c r="H6352" t="s">
        <v>24725</v>
      </c>
      <c r="I6352" t="s">
        <v>30</v>
      </c>
      <c r="J6352" t="s">
        <v>41</v>
      </c>
      <c r="K6352" t="s">
        <v>59</v>
      </c>
      <c r="Q6352">
        <v>0</v>
      </c>
      <c r="R6352">
        <v>0</v>
      </c>
      <c r="S6352">
        <v>0</v>
      </c>
    </row>
    <row r="6353" spans="1:20" customFormat="1" ht="15" x14ac:dyDescent="0.25">
      <c r="A6353" t="s">
        <v>35</v>
      </c>
      <c r="B6353" t="s">
        <v>61</v>
      </c>
      <c r="C6353" t="str">
        <f>"A0183059"</f>
        <v>A0183059</v>
      </c>
      <c r="D6353" t="s">
        <v>24726</v>
      </c>
      <c r="E6353" t="s">
        <v>24727</v>
      </c>
      <c r="F6353" t="s">
        <v>24728</v>
      </c>
      <c r="G6353" t="s">
        <v>81</v>
      </c>
      <c r="H6353" t="s">
        <v>24729</v>
      </c>
      <c r="I6353" t="s">
        <v>30</v>
      </c>
      <c r="J6353" t="s">
        <v>41</v>
      </c>
      <c r="K6353" t="s">
        <v>59</v>
      </c>
      <c r="Q6353">
        <v>0</v>
      </c>
      <c r="R6353">
        <v>80</v>
      </c>
      <c r="S6353">
        <v>80</v>
      </c>
      <c r="T6353" t="s">
        <v>24730</v>
      </c>
    </row>
    <row r="6354" spans="1:20" customFormat="1" ht="15" x14ac:dyDescent="0.25">
      <c r="A6354" t="s">
        <v>35</v>
      </c>
      <c r="B6354" t="s">
        <v>61</v>
      </c>
      <c r="C6354" t="str">
        <f>"A0183058"</f>
        <v>A0183058</v>
      </c>
      <c r="D6354" t="s">
        <v>24731</v>
      </c>
      <c r="E6354" t="s">
        <v>24732</v>
      </c>
      <c r="F6354" t="s">
        <v>2719</v>
      </c>
      <c r="G6354" t="s">
        <v>190</v>
      </c>
      <c r="H6354">
        <v>802326270</v>
      </c>
      <c r="I6354" t="s">
        <v>30</v>
      </c>
      <c r="J6354" t="s">
        <v>41</v>
      </c>
      <c r="K6354" t="s">
        <v>59</v>
      </c>
      <c r="Q6354">
        <v>0</v>
      </c>
      <c r="R6354">
        <v>0</v>
      </c>
      <c r="S6354">
        <v>0</v>
      </c>
      <c r="T6354" t="s">
        <v>24733</v>
      </c>
    </row>
    <row r="6355" spans="1:20" customFormat="1" ht="15" x14ac:dyDescent="0.25">
      <c r="A6355" t="s">
        <v>35</v>
      </c>
      <c r="B6355" t="s">
        <v>61</v>
      </c>
      <c r="C6355" t="str">
        <f>"A0183057"</f>
        <v>A0183057</v>
      </c>
      <c r="D6355" t="s">
        <v>24734</v>
      </c>
      <c r="E6355" t="s">
        <v>24735</v>
      </c>
      <c r="F6355" t="s">
        <v>12852</v>
      </c>
      <c r="G6355" t="s">
        <v>110</v>
      </c>
      <c r="H6355" t="s">
        <v>24736</v>
      </c>
      <c r="I6355" t="s">
        <v>30</v>
      </c>
      <c r="J6355" t="s">
        <v>41</v>
      </c>
      <c r="K6355" t="s">
        <v>59</v>
      </c>
      <c r="Q6355">
        <v>0</v>
      </c>
      <c r="R6355">
        <v>44</v>
      </c>
      <c r="S6355">
        <v>44</v>
      </c>
      <c r="T6355" t="s">
        <v>24737</v>
      </c>
    </row>
    <row r="6356" spans="1:20" customFormat="1" ht="15" x14ac:dyDescent="0.25">
      <c r="A6356" t="s">
        <v>35</v>
      </c>
      <c r="B6356" t="s">
        <v>12660</v>
      </c>
      <c r="C6356" t="str">
        <f>"A0183056"</f>
        <v>A0183056</v>
      </c>
      <c r="D6356" t="s">
        <v>24738</v>
      </c>
      <c r="E6356" t="s">
        <v>24739</v>
      </c>
      <c r="F6356" t="s">
        <v>24740</v>
      </c>
      <c r="G6356" t="s">
        <v>110</v>
      </c>
      <c r="H6356">
        <v>902014959</v>
      </c>
      <c r="I6356" t="s">
        <v>30</v>
      </c>
      <c r="J6356" t="s">
        <v>41</v>
      </c>
      <c r="K6356" t="s">
        <v>59</v>
      </c>
      <c r="Q6356">
        <v>0</v>
      </c>
      <c r="R6356">
        <v>0</v>
      </c>
      <c r="S6356">
        <v>0</v>
      </c>
      <c r="T6356" t="s">
        <v>24741</v>
      </c>
    </row>
    <row r="6357" spans="1:20" customFormat="1" ht="15" x14ac:dyDescent="0.25">
      <c r="A6357" t="s">
        <v>35</v>
      </c>
      <c r="B6357" t="s">
        <v>12660</v>
      </c>
      <c r="C6357" t="str">
        <f>"A0183055"</f>
        <v>A0183055</v>
      </c>
      <c r="D6357" t="s">
        <v>24742</v>
      </c>
      <c r="E6357" t="s">
        <v>24743</v>
      </c>
      <c r="F6357" t="s">
        <v>501</v>
      </c>
      <c r="G6357" t="s">
        <v>110</v>
      </c>
      <c r="H6357">
        <v>912031014</v>
      </c>
      <c r="I6357" t="s">
        <v>30</v>
      </c>
      <c r="J6357" t="s">
        <v>41</v>
      </c>
      <c r="K6357" t="s">
        <v>59</v>
      </c>
      <c r="Q6357">
        <v>0</v>
      </c>
      <c r="R6357">
        <v>0</v>
      </c>
      <c r="S6357">
        <v>0</v>
      </c>
      <c r="T6357" t="s">
        <v>24744</v>
      </c>
    </row>
    <row r="6358" spans="1:20" customFormat="1" ht="15" x14ac:dyDescent="0.25">
      <c r="A6358" t="s">
        <v>35</v>
      </c>
      <c r="B6358" t="s">
        <v>12660</v>
      </c>
      <c r="C6358" t="str">
        <f>"A0183054"</f>
        <v>A0183054</v>
      </c>
      <c r="D6358" t="s">
        <v>24745</v>
      </c>
      <c r="E6358" t="s">
        <v>24746</v>
      </c>
      <c r="F6358" t="s">
        <v>24464</v>
      </c>
      <c r="G6358" t="s">
        <v>110</v>
      </c>
      <c r="H6358">
        <v>928603809</v>
      </c>
      <c r="I6358" t="s">
        <v>30</v>
      </c>
      <c r="J6358" t="s">
        <v>41</v>
      </c>
      <c r="K6358" t="s">
        <v>59</v>
      </c>
      <c r="Q6358">
        <v>0</v>
      </c>
      <c r="R6358">
        <v>0</v>
      </c>
      <c r="S6358">
        <v>0</v>
      </c>
      <c r="T6358" t="s">
        <v>24747</v>
      </c>
    </row>
    <row r="6359" spans="1:20" customFormat="1" ht="15" x14ac:dyDescent="0.25">
      <c r="A6359" t="s">
        <v>35</v>
      </c>
      <c r="B6359" t="s">
        <v>61</v>
      </c>
      <c r="C6359" t="str">
        <f>"A0183053"</f>
        <v>A0183053</v>
      </c>
      <c r="D6359" t="s">
        <v>24748</v>
      </c>
      <c r="E6359" t="s">
        <v>24749</v>
      </c>
      <c r="F6359" t="s">
        <v>2774</v>
      </c>
      <c r="G6359" t="s">
        <v>81</v>
      </c>
      <c r="H6359" t="s">
        <v>24750</v>
      </c>
      <c r="I6359" t="s">
        <v>30</v>
      </c>
      <c r="J6359" t="s">
        <v>41</v>
      </c>
      <c r="K6359" t="s">
        <v>59</v>
      </c>
      <c r="Q6359">
        <v>0</v>
      </c>
      <c r="R6359">
        <v>100</v>
      </c>
      <c r="S6359">
        <v>100</v>
      </c>
      <c r="T6359" t="s">
        <v>24751</v>
      </c>
    </row>
    <row r="6360" spans="1:20" customFormat="1" ht="15" x14ac:dyDescent="0.25">
      <c r="A6360" t="s">
        <v>35</v>
      </c>
      <c r="B6360" t="s">
        <v>61</v>
      </c>
      <c r="C6360" t="str">
        <f>"A0183052"</f>
        <v>A0183052</v>
      </c>
      <c r="D6360" t="s">
        <v>24752</v>
      </c>
      <c r="E6360" t="s">
        <v>24753</v>
      </c>
      <c r="F6360" t="s">
        <v>6290</v>
      </c>
      <c r="G6360" t="s">
        <v>81</v>
      </c>
      <c r="H6360" t="s">
        <v>24754</v>
      </c>
      <c r="I6360" t="s">
        <v>30</v>
      </c>
      <c r="J6360" t="s">
        <v>41</v>
      </c>
      <c r="K6360" t="s">
        <v>59</v>
      </c>
      <c r="Q6360">
        <v>0</v>
      </c>
      <c r="R6360">
        <v>97</v>
      </c>
      <c r="S6360">
        <v>97</v>
      </c>
      <c r="T6360" t="s">
        <v>24755</v>
      </c>
    </row>
    <row r="6361" spans="1:20" customFormat="1" ht="15" x14ac:dyDescent="0.25">
      <c r="A6361" t="s">
        <v>35</v>
      </c>
      <c r="B6361" t="s">
        <v>61</v>
      </c>
      <c r="C6361" t="str">
        <f>"A0183051"</f>
        <v>A0183051</v>
      </c>
      <c r="D6361" t="s">
        <v>24756</v>
      </c>
      <c r="E6361" t="s">
        <v>24757</v>
      </c>
      <c r="F6361" t="s">
        <v>9128</v>
      </c>
      <c r="G6361" t="s">
        <v>110</v>
      </c>
      <c r="H6361">
        <v>946073277</v>
      </c>
      <c r="I6361" t="s">
        <v>30</v>
      </c>
      <c r="J6361" t="s">
        <v>41</v>
      </c>
      <c r="K6361" t="s">
        <v>59</v>
      </c>
      <c r="Q6361">
        <v>0</v>
      </c>
      <c r="R6361">
        <v>0</v>
      </c>
      <c r="S6361">
        <v>0</v>
      </c>
      <c r="T6361" t="s">
        <v>24758</v>
      </c>
    </row>
    <row r="6362" spans="1:20" customFormat="1" ht="15" x14ac:dyDescent="0.25">
      <c r="A6362" t="s">
        <v>35</v>
      </c>
      <c r="B6362" t="s">
        <v>61</v>
      </c>
      <c r="C6362" t="str">
        <f>"A0183050"</f>
        <v>A0183050</v>
      </c>
      <c r="D6362" t="s">
        <v>24759</v>
      </c>
      <c r="E6362" t="s">
        <v>24760</v>
      </c>
      <c r="F6362" t="s">
        <v>12489</v>
      </c>
      <c r="G6362" t="s">
        <v>110</v>
      </c>
      <c r="H6362">
        <v>96001</v>
      </c>
      <c r="I6362" t="s">
        <v>30</v>
      </c>
      <c r="J6362" t="s">
        <v>41</v>
      </c>
      <c r="K6362" t="s">
        <v>59</v>
      </c>
      <c r="Q6362">
        <v>0</v>
      </c>
      <c r="R6362">
        <v>0</v>
      </c>
      <c r="S6362">
        <v>0</v>
      </c>
      <c r="T6362" t="s">
        <v>24761</v>
      </c>
    </row>
    <row r="6363" spans="1:20" customFormat="1" ht="15" x14ac:dyDescent="0.25">
      <c r="A6363" t="s">
        <v>35</v>
      </c>
      <c r="B6363" t="s">
        <v>61</v>
      </c>
      <c r="C6363" t="str">
        <f>"A0183049"</f>
        <v>A0183049</v>
      </c>
      <c r="D6363" t="s">
        <v>24762</v>
      </c>
      <c r="E6363" t="s">
        <v>24763</v>
      </c>
      <c r="F6363" t="s">
        <v>24133</v>
      </c>
      <c r="G6363" t="s">
        <v>81</v>
      </c>
      <c r="H6363" t="s">
        <v>24764</v>
      </c>
      <c r="I6363" t="s">
        <v>30</v>
      </c>
      <c r="J6363" t="s">
        <v>41</v>
      </c>
      <c r="K6363" t="s">
        <v>59</v>
      </c>
      <c r="Q6363">
        <v>0</v>
      </c>
      <c r="R6363">
        <v>100</v>
      </c>
      <c r="S6363">
        <v>100</v>
      </c>
      <c r="T6363" t="s">
        <v>24141</v>
      </c>
    </row>
    <row r="6364" spans="1:20" customFormat="1" ht="15" x14ac:dyDescent="0.25">
      <c r="A6364" t="s">
        <v>35</v>
      </c>
      <c r="B6364" t="s">
        <v>61</v>
      </c>
      <c r="C6364" t="str">
        <f>"A0183048"</f>
        <v>A0183048</v>
      </c>
      <c r="D6364" t="s">
        <v>24765</v>
      </c>
      <c r="E6364" t="s">
        <v>24766</v>
      </c>
      <c r="F6364" t="s">
        <v>6738</v>
      </c>
      <c r="G6364" t="s">
        <v>81</v>
      </c>
      <c r="H6364" t="s">
        <v>24767</v>
      </c>
      <c r="I6364" t="s">
        <v>30</v>
      </c>
      <c r="J6364" t="s">
        <v>41</v>
      </c>
      <c r="K6364" t="s">
        <v>59</v>
      </c>
      <c r="Q6364">
        <v>0</v>
      </c>
      <c r="R6364">
        <v>0</v>
      </c>
      <c r="S6364">
        <v>0</v>
      </c>
      <c r="T6364" t="s">
        <v>24768</v>
      </c>
    </row>
    <row r="6365" spans="1:20" customFormat="1" ht="15" x14ac:dyDescent="0.25">
      <c r="A6365" t="s">
        <v>35</v>
      </c>
      <c r="B6365" t="s">
        <v>61</v>
      </c>
      <c r="C6365" t="str">
        <f>"A0183047"</f>
        <v>A0183047</v>
      </c>
      <c r="D6365" t="s">
        <v>24769</v>
      </c>
      <c r="E6365" t="s">
        <v>24770</v>
      </c>
      <c r="F6365" t="s">
        <v>12194</v>
      </c>
      <c r="G6365" t="s">
        <v>81</v>
      </c>
      <c r="H6365" t="s">
        <v>24771</v>
      </c>
      <c r="I6365" t="s">
        <v>30</v>
      </c>
      <c r="J6365" t="s">
        <v>41</v>
      </c>
      <c r="K6365" t="s">
        <v>59</v>
      </c>
      <c r="Q6365">
        <v>0</v>
      </c>
      <c r="R6365">
        <v>110</v>
      </c>
      <c r="S6365">
        <v>110</v>
      </c>
      <c r="T6365" t="s">
        <v>24348</v>
      </c>
    </row>
    <row r="6366" spans="1:20" customFormat="1" ht="15" x14ac:dyDescent="0.25">
      <c r="A6366" t="s">
        <v>35</v>
      </c>
      <c r="B6366" t="s">
        <v>61</v>
      </c>
      <c r="C6366" t="str">
        <f>"A0183046"</f>
        <v>A0183046</v>
      </c>
      <c r="D6366" t="s">
        <v>24772</v>
      </c>
      <c r="E6366" t="s">
        <v>24773</v>
      </c>
      <c r="F6366" t="s">
        <v>12194</v>
      </c>
      <c r="G6366" t="s">
        <v>81</v>
      </c>
      <c r="H6366" t="s">
        <v>24774</v>
      </c>
      <c r="I6366" t="s">
        <v>30</v>
      </c>
      <c r="J6366" t="s">
        <v>41</v>
      </c>
      <c r="K6366" t="s">
        <v>59</v>
      </c>
      <c r="Q6366">
        <v>0</v>
      </c>
      <c r="R6366">
        <v>109</v>
      </c>
      <c r="S6366">
        <v>109</v>
      </c>
      <c r="T6366" t="s">
        <v>24775</v>
      </c>
    </row>
    <row r="6367" spans="1:20" customFormat="1" ht="15" x14ac:dyDescent="0.25">
      <c r="A6367" t="s">
        <v>35</v>
      </c>
      <c r="B6367" t="s">
        <v>61</v>
      </c>
      <c r="C6367" t="str">
        <f>"A0183045"</f>
        <v>A0183045</v>
      </c>
      <c r="D6367" t="s">
        <v>24776</v>
      </c>
      <c r="E6367" t="s">
        <v>24777</v>
      </c>
      <c r="F6367" t="s">
        <v>12194</v>
      </c>
      <c r="G6367" t="s">
        <v>81</v>
      </c>
      <c r="H6367">
        <v>33147</v>
      </c>
      <c r="I6367" t="s">
        <v>30</v>
      </c>
      <c r="J6367" t="s">
        <v>41</v>
      </c>
      <c r="K6367" t="s">
        <v>59</v>
      </c>
      <c r="Q6367">
        <v>0</v>
      </c>
      <c r="R6367">
        <v>101</v>
      </c>
      <c r="S6367">
        <v>101</v>
      </c>
      <c r="T6367" t="s">
        <v>24778</v>
      </c>
    </row>
    <row r="6368" spans="1:20" customFormat="1" ht="15" x14ac:dyDescent="0.25">
      <c r="A6368" t="s">
        <v>35</v>
      </c>
      <c r="B6368" t="s">
        <v>61</v>
      </c>
      <c r="C6368" t="str">
        <f>"A0183044"</f>
        <v>A0183044</v>
      </c>
      <c r="D6368" t="s">
        <v>18068</v>
      </c>
      <c r="E6368" t="s">
        <v>24779</v>
      </c>
      <c r="F6368" t="s">
        <v>20667</v>
      </c>
      <c r="G6368" t="s">
        <v>81</v>
      </c>
      <c r="H6368" t="s">
        <v>24780</v>
      </c>
      <c r="I6368" t="s">
        <v>30</v>
      </c>
      <c r="J6368" t="s">
        <v>41</v>
      </c>
      <c r="K6368" t="s">
        <v>59</v>
      </c>
      <c r="Q6368">
        <v>0</v>
      </c>
      <c r="R6368">
        <v>0</v>
      </c>
      <c r="S6368">
        <v>0</v>
      </c>
      <c r="T6368" t="s">
        <v>24781</v>
      </c>
    </row>
    <row r="6369" spans="1:20" customFormat="1" ht="15" x14ac:dyDescent="0.25">
      <c r="A6369" t="s">
        <v>35</v>
      </c>
      <c r="B6369" t="s">
        <v>61</v>
      </c>
      <c r="C6369" t="str">
        <f>"A0183042"</f>
        <v>A0183042</v>
      </c>
      <c r="D6369" t="s">
        <v>24782</v>
      </c>
      <c r="E6369" t="s">
        <v>24783</v>
      </c>
      <c r="F6369" t="s">
        <v>23833</v>
      </c>
      <c r="G6369" t="s">
        <v>99</v>
      </c>
      <c r="H6369" t="s">
        <v>24784</v>
      </c>
      <c r="I6369" t="s">
        <v>30</v>
      </c>
      <c r="J6369" t="s">
        <v>41</v>
      </c>
      <c r="K6369" t="s">
        <v>59</v>
      </c>
      <c r="Q6369">
        <v>0</v>
      </c>
      <c r="R6369">
        <v>0</v>
      </c>
      <c r="S6369">
        <v>0</v>
      </c>
      <c r="T6369" t="s">
        <v>24785</v>
      </c>
    </row>
    <row r="6370" spans="1:20" customFormat="1" ht="15" x14ac:dyDescent="0.25">
      <c r="A6370" t="s">
        <v>35</v>
      </c>
      <c r="B6370" t="s">
        <v>61</v>
      </c>
      <c r="C6370" t="str">
        <f>"A0183041"</f>
        <v>A0183041</v>
      </c>
      <c r="D6370" t="s">
        <v>24786</v>
      </c>
      <c r="E6370" t="s">
        <v>24787</v>
      </c>
      <c r="F6370" t="s">
        <v>24541</v>
      </c>
      <c r="G6370" t="s">
        <v>99</v>
      </c>
      <c r="H6370" t="s">
        <v>24788</v>
      </c>
      <c r="I6370" t="s">
        <v>30</v>
      </c>
      <c r="J6370" t="s">
        <v>41</v>
      </c>
      <c r="K6370" t="s">
        <v>59</v>
      </c>
      <c r="Q6370">
        <v>0</v>
      </c>
      <c r="R6370">
        <v>0</v>
      </c>
      <c r="S6370">
        <v>0</v>
      </c>
    </row>
    <row r="6371" spans="1:20" customFormat="1" ht="15" x14ac:dyDescent="0.25">
      <c r="A6371" t="s">
        <v>35</v>
      </c>
      <c r="B6371" t="s">
        <v>61</v>
      </c>
      <c r="C6371" t="str">
        <f>"A0183040"</f>
        <v>A0183040</v>
      </c>
      <c r="D6371" t="s">
        <v>24789</v>
      </c>
      <c r="E6371" t="s">
        <v>24790</v>
      </c>
      <c r="F6371" t="s">
        <v>10801</v>
      </c>
      <c r="G6371" t="s">
        <v>99</v>
      </c>
      <c r="H6371" t="s">
        <v>24791</v>
      </c>
      <c r="I6371" t="s">
        <v>30</v>
      </c>
      <c r="J6371" t="s">
        <v>41</v>
      </c>
      <c r="K6371" t="s">
        <v>59</v>
      </c>
      <c r="Q6371">
        <v>0</v>
      </c>
      <c r="R6371">
        <v>0</v>
      </c>
      <c r="S6371">
        <v>0</v>
      </c>
    </row>
    <row r="6372" spans="1:20" customFormat="1" ht="15" x14ac:dyDescent="0.25">
      <c r="A6372" t="s">
        <v>35</v>
      </c>
      <c r="B6372" t="s">
        <v>61</v>
      </c>
      <c r="C6372" t="str">
        <f>"A0183039"</f>
        <v>A0183039</v>
      </c>
      <c r="D6372" t="s">
        <v>24792</v>
      </c>
      <c r="E6372" t="s">
        <v>24793</v>
      </c>
      <c r="F6372" t="s">
        <v>4259</v>
      </c>
      <c r="G6372" t="s">
        <v>99</v>
      </c>
      <c r="H6372" t="s">
        <v>24794</v>
      </c>
      <c r="I6372" t="s">
        <v>30</v>
      </c>
      <c r="J6372" t="s">
        <v>41</v>
      </c>
      <c r="K6372" t="s">
        <v>59</v>
      </c>
      <c r="Q6372">
        <v>0</v>
      </c>
      <c r="R6372">
        <v>207</v>
      </c>
      <c r="S6372">
        <v>207</v>
      </c>
      <c r="T6372" t="s">
        <v>24795</v>
      </c>
    </row>
    <row r="6373" spans="1:20" customFormat="1" ht="15" x14ac:dyDescent="0.25">
      <c r="A6373" t="s">
        <v>35</v>
      </c>
      <c r="B6373" t="s">
        <v>61</v>
      </c>
      <c r="C6373" t="str">
        <f>"A0183038"</f>
        <v>A0183038</v>
      </c>
      <c r="D6373" t="s">
        <v>24796</v>
      </c>
      <c r="E6373" t="s">
        <v>24797</v>
      </c>
      <c r="F6373" t="s">
        <v>21278</v>
      </c>
      <c r="G6373" t="s">
        <v>99</v>
      </c>
      <c r="H6373" t="s">
        <v>24798</v>
      </c>
      <c r="I6373" t="s">
        <v>30</v>
      </c>
      <c r="J6373" t="s">
        <v>41</v>
      </c>
      <c r="K6373" t="s">
        <v>59</v>
      </c>
      <c r="Q6373">
        <v>0</v>
      </c>
      <c r="R6373">
        <v>0</v>
      </c>
      <c r="S6373">
        <v>0</v>
      </c>
      <c r="T6373" t="s">
        <v>24799</v>
      </c>
    </row>
    <row r="6374" spans="1:20" customFormat="1" ht="15" x14ac:dyDescent="0.25">
      <c r="A6374" t="s">
        <v>35</v>
      </c>
      <c r="B6374" t="s">
        <v>61</v>
      </c>
      <c r="C6374" t="str">
        <f>"A0183037"</f>
        <v>A0183037</v>
      </c>
      <c r="D6374" t="s">
        <v>24800</v>
      </c>
      <c r="E6374" t="s">
        <v>24801</v>
      </c>
      <c r="F6374" t="s">
        <v>24802</v>
      </c>
      <c r="G6374" t="s">
        <v>99</v>
      </c>
      <c r="H6374" t="s">
        <v>24803</v>
      </c>
      <c r="I6374" t="s">
        <v>30</v>
      </c>
      <c r="J6374" t="s">
        <v>41</v>
      </c>
      <c r="K6374" t="s">
        <v>59</v>
      </c>
      <c r="Q6374">
        <v>0</v>
      </c>
      <c r="R6374">
        <v>0</v>
      </c>
      <c r="S6374">
        <v>0</v>
      </c>
    </row>
    <row r="6375" spans="1:20" customFormat="1" ht="15" x14ac:dyDescent="0.25">
      <c r="A6375" t="s">
        <v>35</v>
      </c>
      <c r="B6375" t="s">
        <v>61</v>
      </c>
      <c r="C6375" t="str">
        <f>"A0183036"</f>
        <v>A0183036</v>
      </c>
      <c r="D6375" t="s">
        <v>24804</v>
      </c>
      <c r="E6375" t="s">
        <v>24805</v>
      </c>
      <c r="F6375" t="s">
        <v>22224</v>
      </c>
      <c r="G6375" t="s">
        <v>99</v>
      </c>
      <c r="H6375" t="s">
        <v>24806</v>
      </c>
      <c r="I6375" t="s">
        <v>30</v>
      </c>
      <c r="J6375" t="s">
        <v>41</v>
      </c>
      <c r="K6375" t="s">
        <v>59</v>
      </c>
      <c r="Q6375">
        <v>0</v>
      </c>
      <c r="R6375">
        <v>176</v>
      </c>
      <c r="S6375">
        <v>176</v>
      </c>
      <c r="T6375" t="s">
        <v>24807</v>
      </c>
    </row>
    <row r="6376" spans="1:20" customFormat="1" ht="15" x14ac:dyDescent="0.25">
      <c r="A6376" t="s">
        <v>35</v>
      </c>
      <c r="B6376" t="s">
        <v>61</v>
      </c>
      <c r="C6376" t="str">
        <f>"A0183035"</f>
        <v>A0183035</v>
      </c>
      <c r="D6376" t="s">
        <v>24808</v>
      </c>
      <c r="E6376" t="s">
        <v>24809</v>
      </c>
      <c r="F6376" t="s">
        <v>4219</v>
      </c>
      <c r="G6376" t="s">
        <v>99</v>
      </c>
      <c r="H6376" t="s">
        <v>24810</v>
      </c>
      <c r="I6376" t="s">
        <v>30</v>
      </c>
      <c r="J6376" t="s">
        <v>41</v>
      </c>
      <c r="K6376" t="s">
        <v>59</v>
      </c>
      <c r="Q6376">
        <v>0</v>
      </c>
      <c r="R6376">
        <v>515</v>
      </c>
      <c r="S6376">
        <v>515</v>
      </c>
      <c r="T6376" t="s">
        <v>24811</v>
      </c>
    </row>
    <row r="6377" spans="1:20" customFormat="1" ht="15" x14ac:dyDescent="0.25">
      <c r="A6377" t="s">
        <v>35</v>
      </c>
      <c r="B6377" t="s">
        <v>61</v>
      </c>
      <c r="C6377" t="str">
        <f>"A0183034"</f>
        <v>A0183034</v>
      </c>
      <c r="D6377" t="s">
        <v>24812</v>
      </c>
      <c r="E6377" t="s">
        <v>24813</v>
      </c>
      <c r="F6377" t="s">
        <v>12194</v>
      </c>
      <c r="G6377" t="s">
        <v>81</v>
      </c>
      <c r="H6377" t="s">
        <v>24814</v>
      </c>
      <c r="I6377" t="s">
        <v>30</v>
      </c>
      <c r="J6377" t="s">
        <v>41</v>
      </c>
      <c r="K6377" t="s">
        <v>59</v>
      </c>
      <c r="Q6377">
        <v>0</v>
      </c>
      <c r="R6377">
        <v>100</v>
      </c>
      <c r="S6377">
        <v>100</v>
      </c>
      <c r="T6377" t="s">
        <v>24815</v>
      </c>
    </row>
    <row r="6378" spans="1:20" customFormat="1" ht="15" x14ac:dyDescent="0.25">
      <c r="A6378" t="s">
        <v>35</v>
      </c>
      <c r="B6378" t="s">
        <v>61</v>
      </c>
      <c r="C6378" t="str">
        <f>"A0183033"</f>
        <v>A0183033</v>
      </c>
      <c r="D6378" t="s">
        <v>24816</v>
      </c>
      <c r="E6378" t="s">
        <v>24817</v>
      </c>
      <c r="F6378" t="s">
        <v>22877</v>
      </c>
      <c r="G6378" t="s">
        <v>81</v>
      </c>
      <c r="H6378" t="s">
        <v>24818</v>
      </c>
      <c r="I6378" t="s">
        <v>30</v>
      </c>
      <c r="J6378" t="s">
        <v>41</v>
      </c>
      <c r="K6378" t="s">
        <v>59</v>
      </c>
      <c r="Q6378">
        <v>0</v>
      </c>
      <c r="R6378">
        <v>0</v>
      </c>
      <c r="S6378">
        <v>0</v>
      </c>
      <c r="T6378" t="s">
        <v>22879</v>
      </c>
    </row>
    <row r="6379" spans="1:20" customFormat="1" ht="15" x14ac:dyDescent="0.25">
      <c r="A6379" t="s">
        <v>35</v>
      </c>
      <c r="B6379" t="s">
        <v>61</v>
      </c>
      <c r="C6379" t="str">
        <f>"A0183032"</f>
        <v>A0183032</v>
      </c>
      <c r="D6379" t="s">
        <v>24819</v>
      </c>
      <c r="E6379" t="s">
        <v>24820</v>
      </c>
      <c r="F6379" t="s">
        <v>2714</v>
      </c>
      <c r="G6379" t="s">
        <v>81</v>
      </c>
      <c r="H6379" t="s">
        <v>24821</v>
      </c>
      <c r="I6379" t="s">
        <v>30</v>
      </c>
      <c r="J6379" t="s">
        <v>41</v>
      </c>
      <c r="K6379" t="s">
        <v>59</v>
      </c>
      <c r="Q6379">
        <v>0</v>
      </c>
      <c r="R6379">
        <v>0</v>
      </c>
      <c r="S6379">
        <v>0</v>
      </c>
      <c r="T6379" t="s">
        <v>24822</v>
      </c>
    </row>
    <row r="6380" spans="1:20" customFormat="1" ht="15" x14ac:dyDescent="0.25">
      <c r="A6380" t="s">
        <v>35</v>
      </c>
      <c r="B6380" t="s">
        <v>61</v>
      </c>
      <c r="C6380" t="str">
        <f>"A0183031"</f>
        <v>A0183031</v>
      </c>
      <c r="D6380" t="s">
        <v>24823</v>
      </c>
      <c r="E6380" t="s">
        <v>24824</v>
      </c>
      <c r="F6380" t="s">
        <v>10598</v>
      </c>
      <c r="G6380" t="s">
        <v>81</v>
      </c>
      <c r="H6380">
        <v>33801</v>
      </c>
      <c r="I6380" t="s">
        <v>30</v>
      </c>
      <c r="J6380" t="s">
        <v>41</v>
      </c>
      <c r="K6380" t="s">
        <v>59</v>
      </c>
      <c r="Q6380">
        <v>0</v>
      </c>
      <c r="R6380">
        <v>0</v>
      </c>
      <c r="S6380">
        <v>0</v>
      </c>
      <c r="T6380" t="s">
        <v>20680</v>
      </c>
    </row>
    <row r="6381" spans="1:20" customFormat="1" ht="15" x14ac:dyDescent="0.25">
      <c r="A6381" t="s">
        <v>35</v>
      </c>
      <c r="B6381" t="s">
        <v>61</v>
      </c>
      <c r="C6381" t="str">
        <f>"A0183030"</f>
        <v>A0183030</v>
      </c>
      <c r="D6381" t="s">
        <v>24825</v>
      </c>
      <c r="E6381" t="s">
        <v>24826</v>
      </c>
      <c r="F6381" t="s">
        <v>16001</v>
      </c>
      <c r="G6381" t="s">
        <v>925</v>
      </c>
      <c r="H6381" t="s">
        <v>24827</v>
      </c>
      <c r="I6381" t="s">
        <v>30</v>
      </c>
      <c r="J6381" t="s">
        <v>41</v>
      </c>
      <c r="K6381" t="s">
        <v>59</v>
      </c>
      <c r="Q6381">
        <v>0</v>
      </c>
      <c r="R6381">
        <v>120</v>
      </c>
      <c r="S6381">
        <v>120</v>
      </c>
      <c r="T6381" t="s">
        <v>24828</v>
      </c>
    </row>
    <row r="6382" spans="1:20" customFormat="1" ht="15" x14ac:dyDescent="0.25">
      <c r="A6382" t="s">
        <v>35</v>
      </c>
      <c r="B6382" t="s">
        <v>61</v>
      </c>
      <c r="C6382" t="str">
        <f>"A0183029"</f>
        <v>A0183029</v>
      </c>
      <c r="D6382" t="s">
        <v>24829</v>
      </c>
      <c r="E6382" t="s">
        <v>24830</v>
      </c>
      <c r="F6382" t="s">
        <v>475</v>
      </c>
      <c r="G6382" t="s">
        <v>925</v>
      </c>
      <c r="H6382">
        <v>67950</v>
      </c>
      <c r="I6382" t="s">
        <v>30</v>
      </c>
      <c r="J6382" t="s">
        <v>41</v>
      </c>
      <c r="K6382" t="s">
        <v>59</v>
      </c>
      <c r="Q6382">
        <v>0</v>
      </c>
      <c r="R6382">
        <v>0</v>
      </c>
      <c r="S6382">
        <v>0</v>
      </c>
    </row>
    <row r="6383" spans="1:20" customFormat="1" ht="15" x14ac:dyDescent="0.25">
      <c r="A6383" t="s">
        <v>35</v>
      </c>
      <c r="B6383" t="s">
        <v>61</v>
      </c>
      <c r="C6383" t="str">
        <f>"A0183028"</f>
        <v>A0183028</v>
      </c>
      <c r="D6383" t="s">
        <v>24831</v>
      </c>
      <c r="E6383" t="s">
        <v>24832</v>
      </c>
      <c r="F6383" t="s">
        <v>24833</v>
      </c>
      <c r="G6383" t="s">
        <v>99</v>
      </c>
      <c r="H6383">
        <v>10956</v>
      </c>
      <c r="I6383" t="s">
        <v>30</v>
      </c>
      <c r="J6383" t="s">
        <v>41</v>
      </c>
      <c r="K6383" t="s">
        <v>59</v>
      </c>
      <c r="Q6383">
        <v>0</v>
      </c>
      <c r="R6383">
        <v>0</v>
      </c>
      <c r="S6383">
        <v>0</v>
      </c>
    </row>
    <row r="6384" spans="1:20" customFormat="1" ht="15" x14ac:dyDescent="0.25">
      <c r="A6384" t="s">
        <v>35</v>
      </c>
      <c r="B6384" t="s">
        <v>61</v>
      </c>
      <c r="C6384" t="str">
        <f>"A0183027"</f>
        <v>A0183027</v>
      </c>
      <c r="D6384" t="s">
        <v>24834</v>
      </c>
      <c r="E6384" t="s">
        <v>24835</v>
      </c>
      <c r="F6384" t="s">
        <v>24836</v>
      </c>
      <c r="G6384" t="s">
        <v>99</v>
      </c>
      <c r="H6384" t="s">
        <v>24837</v>
      </c>
      <c r="I6384" t="s">
        <v>30</v>
      </c>
      <c r="J6384" t="s">
        <v>41</v>
      </c>
      <c r="K6384" t="s">
        <v>59</v>
      </c>
      <c r="Q6384">
        <v>0</v>
      </c>
      <c r="R6384">
        <v>120</v>
      </c>
      <c r="S6384">
        <v>120</v>
      </c>
      <c r="T6384" t="s">
        <v>24838</v>
      </c>
    </row>
    <row r="6385" spans="1:20" customFormat="1" ht="15" x14ac:dyDescent="0.25">
      <c r="A6385" t="s">
        <v>35</v>
      </c>
      <c r="B6385" t="s">
        <v>61</v>
      </c>
      <c r="C6385" t="str">
        <f>"A0183026"</f>
        <v>A0183026</v>
      </c>
      <c r="D6385" t="s">
        <v>24839</v>
      </c>
      <c r="E6385" t="s">
        <v>24840</v>
      </c>
      <c r="F6385" t="s">
        <v>24841</v>
      </c>
      <c r="G6385" t="s">
        <v>99</v>
      </c>
      <c r="H6385" t="s">
        <v>24842</v>
      </c>
      <c r="I6385" t="s">
        <v>30</v>
      </c>
      <c r="J6385" t="s">
        <v>41</v>
      </c>
      <c r="K6385" t="s">
        <v>59</v>
      </c>
      <c r="Q6385">
        <v>0</v>
      </c>
      <c r="R6385">
        <v>200</v>
      </c>
      <c r="S6385">
        <v>200</v>
      </c>
      <c r="T6385" t="s">
        <v>24843</v>
      </c>
    </row>
    <row r="6386" spans="1:20" customFormat="1" ht="15" x14ac:dyDescent="0.25">
      <c r="A6386" t="s">
        <v>35</v>
      </c>
      <c r="B6386" t="s">
        <v>61</v>
      </c>
      <c r="C6386" t="str">
        <f>"A0183025"</f>
        <v>A0183025</v>
      </c>
      <c r="D6386" t="s">
        <v>24844</v>
      </c>
      <c r="E6386" t="s">
        <v>24845</v>
      </c>
      <c r="F6386" t="s">
        <v>4219</v>
      </c>
      <c r="G6386" t="s">
        <v>99</v>
      </c>
      <c r="H6386" t="s">
        <v>24846</v>
      </c>
      <c r="I6386" t="s">
        <v>30</v>
      </c>
      <c r="J6386" t="s">
        <v>41</v>
      </c>
      <c r="K6386" t="s">
        <v>59</v>
      </c>
      <c r="Q6386">
        <v>0</v>
      </c>
      <c r="R6386">
        <v>213</v>
      </c>
      <c r="S6386">
        <v>213</v>
      </c>
      <c r="T6386" t="s">
        <v>24847</v>
      </c>
    </row>
    <row r="6387" spans="1:20" customFormat="1" ht="15" x14ac:dyDescent="0.25">
      <c r="A6387" t="s">
        <v>35</v>
      </c>
      <c r="B6387" t="s">
        <v>61</v>
      </c>
      <c r="C6387" t="str">
        <f>"A0183024"</f>
        <v>A0183024</v>
      </c>
      <c r="D6387" t="s">
        <v>24848</v>
      </c>
      <c r="E6387" t="s">
        <v>24849</v>
      </c>
      <c r="F6387" t="s">
        <v>22419</v>
      </c>
      <c r="G6387" t="s">
        <v>99</v>
      </c>
      <c r="H6387" t="s">
        <v>24850</v>
      </c>
      <c r="I6387" t="s">
        <v>30</v>
      </c>
      <c r="J6387" t="s">
        <v>41</v>
      </c>
      <c r="K6387" t="s">
        <v>59</v>
      </c>
      <c r="Q6387">
        <v>0</v>
      </c>
      <c r="R6387">
        <v>82</v>
      </c>
      <c r="S6387">
        <v>82</v>
      </c>
      <c r="T6387" t="s">
        <v>24851</v>
      </c>
    </row>
    <row r="6388" spans="1:20" customFormat="1" ht="15" x14ac:dyDescent="0.25">
      <c r="A6388" t="s">
        <v>35</v>
      </c>
      <c r="B6388" t="s">
        <v>61</v>
      </c>
      <c r="C6388" t="str">
        <f>"A0183023"</f>
        <v>A0183023</v>
      </c>
      <c r="D6388" t="s">
        <v>24852</v>
      </c>
      <c r="E6388" t="s">
        <v>24853</v>
      </c>
      <c r="F6388" t="s">
        <v>24854</v>
      </c>
      <c r="G6388" t="s">
        <v>99</v>
      </c>
      <c r="H6388">
        <v>110401436</v>
      </c>
      <c r="I6388" t="s">
        <v>30</v>
      </c>
      <c r="J6388" t="s">
        <v>41</v>
      </c>
      <c r="K6388" t="s">
        <v>59</v>
      </c>
      <c r="Q6388">
        <v>0</v>
      </c>
      <c r="R6388">
        <v>527</v>
      </c>
      <c r="S6388">
        <v>527</v>
      </c>
      <c r="T6388" t="s">
        <v>24855</v>
      </c>
    </row>
    <row r="6389" spans="1:20" customFormat="1" ht="15" x14ac:dyDescent="0.25">
      <c r="A6389" t="s">
        <v>35</v>
      </c>
      <c r="B6389" t="s">
        <v>61</v>
      </c>
      <c r="C6389" t="str">
        <f>"A0183022"</f>
        <v>A0183022</v>
      </c>
      <c r="D6389" t="s">
        <v>24856</v>
      </c>
      <c r="E6389" t="s">
        <v>24857</v>
      </c>
      <c r="F6389" t="s">
        <v>2784</v>
      </c>
      <c r="G6389" t="s">
        <v>925</v>
      </c>
      <c r="H6389" t="s">
        <v>24858</v>
      </c>
      <c r="I6389" t="s">
        <v>30</v>
      </c>
      <c r="J6389" t="s">
        <v>41</v>
      </c>
      <c r="K6389" t="s">
        <v>59</v>
      </c>
      <c r="Q6389">
        <v>0</v>
      </c>
      <c r="R6389">
        <v>68</v>
      </c>
      <c r="S6389">
        <v>68</v>
      </c>
      <c r="T6389" t="s">
        <v>24859</v>
      </c>
    </row>
    <row r="6390" spans="1:20" customFormat="1" ht="15" x14ac:dyDescent="0.25">
      <c r="A6390" t="s">
        <v>35</v>
      </c>
      <c r="B6390" t="s">
        <v>61</v>
      </c>
      <c r="C6390" t="str">
        <f>"A0183021"</f>
        <v>A0183021</v>
      </c>
      <c r="D6390" t="s">
        <v>24860</v>
      </c>
      <c r="E6390" t="s">
        <v>24861</v>
      </c>
      <c r="F6390" t="s">
        <v>8126</v>
      </c>
      <c r="G6390" t="s">
        <v>925</v>
      </c>
      <c r="H6390">
        <v>66061</v>
      </c>
      <c r="I6390" t="s">
        <v>30</v>
      </c>
      <c r="J6390" t="s">
        <v>41</v>
      </c>
      <c r="K6390" t="s">
        <v>59</v>
      </c>
      <c r="Q6390">
        <v>0</v>
      </c>
      <c r="R6390">
        <v>112</v>
      </c>
      <c r="S6390">
        <v>112</v>
      </c>
      <c r="T6390" t="s">
        <v>24862</v>
      </c>
    </row>
    <row r="6391" spans="1:20" customFormat="1" ht="15" x14ac:dyDescent="0.25">
      <c r="A6391" t="s">
        <v>35</v>
      </c>
      <c r="B6391" t="s">
        <v>61</v>
      </c>
      <c r="C6391" t="str">
        <f>"A0183020"</f>
        <v>A0183020</v>
      </c>
      <c r="D6391" t="s">
        <v>24863</v>
      </c>
      <c r="E6391" t="s">
        <v>24864</v>
      </c>
      <c r="F6391" t="s">
        <v>18470</v>
      </c>
      <c r="G6391" t="s">
        <v>52</v>
      </c>
      <c r="H6391" t="s">
        <v>24865</v>
      </c>
      <c r="I6391" t="s">
        <v>30</v>
      </c>
      <c r="J6391" t="s">
        <v>41</v>
      </c>
      <c r="K6391" t="s">
        <v>59</v>
      </c>
      <c r="Q6391">
        <v>0</v>
      </c>
      <c r="R6391">
        <v>0</v>
      </c>
      <c r="S6391">
        <v>0</v>
      </c>
      <c r="T6391" t="s">
        <v>24866</v>
      </c>
    </row>
    <row r="6392" spans="1:20" customFormat="1" ht="15" x14ac:dyDescent="0.25">
      <c r="A6392" t="s">
        <v>35</v>
      </c>
      <c r="B6392" t="s">
        <v>61</v>
      </c>
      <c r="C6392" t="str">
        <f>"A0183019"</f>
        <v>A0183019</v>
      </c>
      <c r="D6392" t="s">
        <v>24867</v>
      </c>
      <c r="E6392" t="s">
        <v>24868</v>
      </c>
      <c r="F6392" t="s">
        <v>7362</v>
      </c>
      <c r="G6392" t="s">
        <v>110</v>
      </c>
      <c r="H6392">
        <v>900273424</v>
      </c>
      <c r="I6392" t="s">
        <v>30</v>
      </c>
      <c r="J6392" t="s">
        <v>41</v>
      </c>
      <c r="K6392" t="s">
        <v>59</v>
      </c>
      <c r="Q6392">
        <v>0</v>
      </c>
      <c r="R6392">
        <v>0</v>
      </c>
      <c r="S6392">
        <v>0</v>
      </c>
      <c r="T6392" t="s">
        <v>24869</v>
      </c>
    </row>
    <row r="6393" spans="1:20" customFormat="1" ht="15" x14ac:dyDescent="0.25">
      <c r="A6393" t="s">
        <v>35</v>
      </c>
      <c r="B6393" t="s">
        <v>61</v>
      </c>
      <c r="C6393" t="str">
        <f>"A0183018"</f>
        <v>A0183018</v>
      </c>
      <c r="D6393" t="s">
        <v>24870</v>
      </c>
      <c r="E6393" t="s">
        <v>24871</v>
      </c>
      <c r="F6393" t="s">
        <v>22046</v>
      </c>
      <c r="G6393" t="s">
        <v>110</v>
      </c>
      <c r="H6393" t="s">
        <v>22047</v>
      </c>
      <c r="I6393" t="s">
        <v>30</v>
      </c>
      <c r="J6393" t="s">
        <v>41</v>
      </c>
      <c r="K6393" t="s">
        <v>59</v>
      </c>
      <c r="Q6393">
        <v>0</v>
      </c>
      <c r="R6393">
        <v>64</v>
      </c>
      <c r="S6393">
        <v>64</v>
      </c>
      <c r="T6393" t="s">
        <v>22048</v>
      </c>
    </row>
    <row r="6394" spans="1:20" customFormat="1" ht="15" x14ac:dyDescent="0.25">
      <c r="A6394" t="s">
        <v>35</v>
      </c>
      <c r="B6394" t="s">
        <v>61</v>
      </c>
      <c r="C6394" t="str">
        <f>"A0183017"</f>
        <v>A0183017</v>
      </c>
      <c r="D6394" t="s">
        <v>24872</v>
      </c>
      <c r="E6394" t="s">
        <v>24873</v>
      </c>
      <c r="F6394" t="s">
        <v>24045</v>
      </c>
      <c r="G6394" t="s">
        <v>110</v>
      </c>
      <c r="H6394" t="s">
        <v>24874</v>
      </c>
      <c r="I6394" t="s">
        <v>30</v>
      </c>
      <c r="J6394" t="s">
        <v>41</v>
      </c>
      <c r="K6394" t="s">
        <v>59</v>
      </c>
      <c r="Q6394">
        <v>0</v>
      </c>
      <c r="R6394">
        <v>0</v>
      </c>
      <c r="S6394">
        <v>0</v>
      </c>
      <c r="T6394" t="s">
        <v>24875</v>
      </c>
    </row>
    <row r="6395" spans="1:20" customFormat="1" ht="15" x14ac:dyDescent="0.25">
      <c r="A6395" t="s">
        <v>35</v>
      </c>
      <c r="B6395" t="s">
        <v>61</v>
      </c>
      <c r="C6395" t="str">
        <f>"A0183016"</f>
        <v>A0183016</v>
      </c>
      <c r="D6395" t="s">
        <v>24876</v>
      </c>
      <c r="E6395" t="s">
        <v>24877</v>
      </c>
      <c r="F6395" t="s">
        <v>20829</v>
      </c>
      <c r="G6395" t="s">
        <v>110</v>
      </c>
      <c r="H6395" t="s">
        <v>24878</v>
      </c>
      <c r="I6395" t="s">
        <v>30</v>
      </c>
      <c r="J6395" t="s">
        <v>41</v>
      </c>
      <c r="K6395" t="s">
        <v>59</v>
      </c>
      <c r="Q6395">
        <v>0</v>
      </c>
      <c r="R6395">
        <v>66</v>
      </c>
      <c r="S6395">
        <v>66</v>
      </c>
    </row>
    <row r="6396" spans="1:20" customFormat="1" ht="15" x14ac:dyDescent="0.25">
      <c r="A6396" t="s">
        <v>35</v>
      </c>
      <c r="B6396" t="s">
        <v>61</v>
      </c>
      <c r="C6396" t="str">
        <f>"A0183015"</f>
        <v>A0183015</v>
      </c>
      <c r="D6396" t="s">
        <v>24879</v>
      </c>
      <c r="E6396" t="s">
        <v>24880</v>
      </c>
      <c r="F6396" t="s">
        <v>7362</v>
      </c>
      <c r="G6396" t="s">
        <v>110</v>
      </c>
      <c r="H6396">
        <v>90046</v>
      </c>
      <c r="I6396" t="s">
        <v>30</v>
      </c>
      <c r="J6396" t="s">
        <v>41</v>
      </c>
      <c r="K6396" t="s">
        <v>59</v>
      </c>
      <c r="Q6396">
        <v>0</v>
      </c>
      <c r="R6396">
        <v>0</v>
      </c>
      <c r="S6396">
        <v>0</v>
      </c>
      <c r="T6396" t="s">
        <v>24881</v>
      </c>
    </row>
    <row r="6397" spans="1:20" customFormat="1" ht="15" x14ac:dyDescent="0.25">
      <c r="A6397" t="s">
        <v>35</v>
      </c>
      <c r="B6397" t="s">
        <v>61</v>
      </c>
      <c r="C6397" t="str">
        <f>"A0183014"</f>
        <v>A0183014</v>
      </c>
      <c r="D6397" t="s">
        <v>24882</v>
      </c>
      <c r="E6397" t="s">
        <v>24883</v>
      </c>
      <c r="F6397" t="s">
        <v>20926</v>
      </c>
      <c r="G6397" t="s">
        <v>925</v>
      </c>
      <c r="H6397" t="s">
        <v>24884</v>
      </c>
      <c r="I6397" t="s">
        <v>30</v>
      </c>
      <c r="J6397" t="s">
        <v>41</v>
      </c>
      <c r="K6397" t="s">
        <v>59</v>
      </c>
      <c r="Q6397">
        <v>0</v>
      </c>
      <c r="R6397">
        <v>60</v>
      </c>
      <c r="S6397">
        <v>60</v>
      </c>
      <c r="T6397" t="s">
        <v>24885</v>
      </c>
    </row>
    <row r="6398" spans="1:20" customFormat="1" ht="15" x14ac:dyDescent="0.25">
      <c r="A6398" t="s">
        <v>35</v>
      </c>
      <c r="B6398" t="s">
        <v>61</v>
      </c>
      <c r="C6398" t="str">
        <f>"A0183013"</f>
        <v>A0183013</v>
      </c>
      <c r="D6398" t="s">
        <v>24886</v>
      </c>
      <c r="E6398" t="s">
        <v>24887</v>
      </c>
      <c r="F6398" t="s">
        <v>18942</v>
      </c>
      <c r="G6398" t="s">
        <v>925</v>
      </c>
      <c r="H6398" t="s">
        <v>24888</v>
      </c>
      <c r="I6398" t="s">
        <v>30</v>
      </c>
      <c r="J6398" t="s">
        <v>41</v>
      </c>
      <c r="K6398" t="s">
        <v>59</v>
      </c>
      <c r="Q6398">
        <v>0</v>
      </c>
      <c r="R6398">
        <v>102</v>
      </c>
      <c r="S6398">
        <v>102</v>
      </c>
      <c r="T6398" t="s">
        <v>24889</v>
      </c>
    </row>
    <row r="6399" spans="1:20" customFormat="1" ht="15" x14ac:dyDescent="0.25">
      <c r="A6399" t="s">
        <v>35</v>
      </c>
      <c r="B6399" t="s">
        <v>61</v>
      </c>
      <c r="C6399" t="str">
        <f>"A0183012"</f>
        <v>A0183012</v>
      </c>
      <c r="D6399" t="s">
        <v>24890</v>
      </c>
      <c r="E6399" t="s">
        <v>24891</v>
      </c>
      <c r="F6399" t="s">
        <v>24892</v>
      </c>
      <c r="G6399" t="s">
        <v>925</v>
      </c>
      <c r="H6399">
        <v>67865</v>
      </c>
      <c r="I6399" t="s">
        <v>30</v>
      </c>
      <c r="J6399" t="s">
        <v>41</v>
      </c>
      <c r="K6399" t="s">
        <v>59</v>
      </c>
      <c r="Q6399">
        <v>0</v>
      </c>
      <c r="R6399">
        <v>0</v>
      </c>
      <c r="S6399">
        <v>0</v>
      </c>
    </row>
    <row r="6400" spans="1:20" customFormat="1" ht="15" x14ac:dyDescent="0.25">
      <c r="A6400" t="s">
        <v>35</v>
      </c>
      <c r="B6400" t="s">
        <v>61</v>
      </c>
      <c r="C6400" t="str">
        <f>"A0183011"</f>
        <v>A0183011</v>
      </c>
      <c r="D6400" t="s">
        <v>24893</v>
      </c>
      <c r="E6400" t="s">
        <v>24894</v>
      </c>
      <c r="F6400" t="s">
        <v>24895</v>
      </c>
      <c r="G6400" t="s">
        <v>925</v>
      </c>
      <c r="H6400">
        <v>67846</v>
      </c>
      <c r="I6400" t="s">
        <v>30</v>
      </c>
      <c r="J6400" t="s">
        <v>41</v>
      </c>
      <c r="K6400" t="s">
        <v>59</v>
      </c>
      <c r="Q6400">
        <v>0</v>
      </c>
      <c r="R6400">
        <v>115</v>
      </c>
      <c r="S6400">
        <v>115</v>
      </c>
      <c r="T6400" t="s">
        <v>24896</v>
      </c>
    </row>
    <row r="6401" spans="1:20" customFormat="1" ht="15" x14ac:dyDescent="0.25">
      <c r="A6401" t="s">
        <v>35</v>
      </c>
      <c r="B6401" t="s">
        <v>61</v>
      </c>
      <c r="C6401" t="str">
        <f>"A0183010"</f>
        <v>A0183010</v>
      </c>
      <c r="D6401" t="s">
        <v>24897</v>
      </c>
      <c r="E6401" t="s">
        <v>24898</v>
      </c>
      <c r="F6401" t="s">
        <v>24899</v>
      </c>
      <c r="G6401" t="s">
        <v>925</v>
      </c>
      <c r="H6401" t="s">
        <v>24900</v>
      </c>
      <c r="I6401" t="s">
        <v>30</v>
      </c>
      <c r="J6401" t="s">
        <v>41</v>
      </c>
      <c r="K6401" t="s">
        <v>59</v>
      </c>
      <c r="Q6401">
        <v>0</v>
      </c>
      <c r="R6401">
        <v>172</v>
      </c>
      <c r="S6401">
        <v>172</v>
      </c>
      <c r="T6401" t="s">
        <v>24901</v>
      </c>
    </row>
    <row r="6402" spans="1:20" customFormat="1" ht="15" x14ac:dyDescent="0.25">
      <c r="A6402" t="s">
        <v>35</v>
      </c>
      <c r="B6402" t="s">
        <v>61</v>
      </c>
      <c r="C6402" t="str">
        <f>"A0183009"</f>
        <v>A0183009</v>
      </c>
      <c r="D6402" t="s">
        <v>24902</v>
      </c>
      <c r="E6402" t="s">
        <v>24903</v>
      </c>
      <c r="F6402" t="s">
        <v>24904</v>
      </c>
      <c r="G6402" t="s">
        <v>925</v>
      </c>
      <c r="H6402" t="s">
        <v>24905</v>
      </c>
      <c r="I6402" t="s">
        <v>30</v>
      </c>
      <c r="J6402" t="s">
        <v>41</v>
      </c>
      <c r="K6402" t="s">
        <v>59</v>
      </c>
      <c r="Q6402">
        <v>0</v>
      </c>
      <c r="R6402">
        <v>0</v>
      </c>
      <c r="S6402">
        <v>0</v>
      </c>
    </row>
    <row r="6403" spans="1:20" customFormat="1" ht="15" x14ac:dyDescent="0.25">
      <c r="A6403" t="s">
        <v>35</v>
      </c>
      <c r="B6403" t="s">
        <v>61</v>
      </c>
      <c r="C6403" t="str">
        <f>"A0183008"</f>
        <v>A0183008</v>
      </c>
      <c r="D6403" t="s">
        <v>24906</v>
      </c>
      <c r="E6403" t="s">
        <v>24907</v>
      </c>
      <c r="F6403" t="s">
        <v>24908</v>
      </c>
      <c r="G6403" t="s">
        <v>925</v>
      </c>
      <c r="H6403" t="s">
        <v>24909</v>
      </c>
      <c r="I6403" t="s">
        <v>30</v>
      </c>
      <c r="J6403" t="s">
        <v>41</v>
      </c>
      <c r="K6403" t="s">
        <v>59</v>
      </c>
      <c r="Q6403">
        <v>0</v>
      </c>
      <c r="R6403">
        <v>0</v>
      </c>
      <c r="S6403">
        <v>0</v>
      </c>
    </row>
    <row r="6404" spans="1:20" customFormat="1" ht="15" x14ac:dyDescent="0.25">
      <c r="A6404" t="s">
        <v>35</v>
      </c>
      <c r="B6404" t="s">
        <v>61</v>
      </c>
      <c r="C6404" t="str">
        <f>"A0183007"</f>
        <v>A0183007</v>
      </c>
      <c r="D6404" t="s">
        <v>24910</v>
      </c>
      <c r="E6404" t="s">
        <v>24911</v>
      </c>
      <c r="F6404" t="s">
        <v>2784</v>
      </c>
      <c r="G6404" t="s">
        <v>925</v>
      </c>
      <c r="H6404" t="s">
        <v>24912</v>
      </c>
      <c r="I6404" t="s">
        <v>30</v>
      </c>
      <c r="J6404" t="s">
        <v>41</v>
      </c>
      <c r="K6404" t="s">
        <v>59</v>
      </c>
      <c r="Q6404">
        <v>0</v>
      </c>
      <c r="R6404">
        <v>0</v>
      </c>
      <c r="S6404">
        <v>0</v>
      </c>
    </row>
    <row r="6405" spans="1:20" customFormat="1" ht="15" x14ac:dyDescent="0.25">
      <c r="A6405" t="s">
        <v>35</v>
      </c>
      <c r="B6405" t="s">
        <v>61</v>
      </c>
      <c r="C6405" t="str">
        <f>"A0183005"</f>
        <v>A0183005</v>
      </c>
      <c r="D6405" t="s">
        <v>24913</v>
      </c>
      <c r="E6405" t="s">
        <v>24914</v>
      </c>
      <c r="F6405" t="s">
        <v>24915</v>
      </c>
      <c r="G6405" t="s">
        <v>1170</v>
      </c>
      <c r="H6405" t="s">
        <v>24916</v>
      </c>
      <c r="I6405" t="s">
        <v>30</v>
      </c>
      <c r="J6405" t="s">
        <v>41</v>
      </c>
      <c r="K6405" t="s">
        <v>59</v>
      </c>
      <c r="Q6405">
        <v>0</v>
      </c>
      <c r="R6405">
        <v>0</v>
      </c>
      <c r="S6405">
        <v>0</v>
      </c>
    </row>
    <row r="6406" spans="1:20" customFormat="1" ht="15" x14ac:dyDescent="0.25">
      <c r="A6406" t="s">
        <v>35</v>
      </c>
      <c r="B6406" t="s">
        <v>61</v>
      </c>
      <c r="C6406" t="str">
        <f>"A0183004"</f>
        <v>A0183004</v>
      </c>
      <c r="D6406" t="s">
        <v>24917</v>
      </c>
      <c r="E6406" t="s">
        <v>24918</v>
      </c>
      <c r="F6406" t="s">
        <v>24919</v>
      </c>
      <c r="G6406" t="s">
        <v>81</v>
      </c>
      <c r="H6406" t="s">
        <v>24920</v>
      </c>
      <c r="I6406" t="s">
        <v>30</v>
      </c>
      <c r="J6406" t="s">
        <v>41</v>
      </c>
      <c r="K6406" t="s">
        <v>59</v>
      </c>
      <c r="Q6406">
        <v>0</v>
      </c>
      <c r="R6406">
        <v>0</v>
      </c>
      <c r="S6406">
        <v>0</v>
      </c>
      <c r="T6406" t="s">
        <v>24921</v>
      </c>
    </row>
    <row r="6407" spans="1:20" customFormat="1" ht="15" x14ac:dyDescent="0.25">
      <c r="A6407" t="s">
        <v>35</v>
      </c>
      <c r="B6407" t="s">
        <v>61</v>
      </c>
      <c r="C6407" t="str">
        <f>"A0183003"</f>
        <v>A0183003</v>
      </c>
      <c r="D6407" t="s">
        <v>24922</v>
      </c>
      <c r="E6407" t="s">
        <v>24923</v>
      </c>
      <c r="F6407" t="s">
        <v>5229</v>
      </c>
      <c r="G6407" t="s">
        <v>110</v>
      </c>
      <c r="H6407">
        <v>90210</v>
      </c>
      <c r="I6407" t="s">
        <v>30</v>
      </c>
      <c r="J6407" t="s">
        <v>41</v>
      </c>
      <c r="K6407" t="s">
        <v>59</v>
      </c>
      <c r="Q6407">
        <v>0</v>
      </c>
      <c r="R6407">
        <v>0</v>
      </c>
      <c r="S6407">
        <v>0</v>
      </c>
      <c r="T6407" t="s">
        <v>24924</v>
      </c>
    </row>
    <row r="6408" spans="1:20" customFormat="1" ht="15" x14ac:dyDescent="0.25">
      <c r="A6408" t="s">
        <v>35</v>
      </c>
      <c r="B6408" t="s">
        <v>12660</v>
      </c>
      <c r="C6408" t="str">
        <f>"A0183002"</f>
        <v>A0183002</v>
      </c>
      <c r="D6408" t="s">
        <v>24925</v>
      </c>
      <c r="E6408" t="s">
        <v>24926</v>
      </c>
      <c r="F6408" t="s">
        <v>9836</v>
      </c>
      <c r="G6408" t="s">
        <v>110</v>
      </c>
      <c r="H6408">
        <v>911031660</v>
      </c>
      <c r="I6408" t="s">
        <v>30</v>
      </c>
      <c r="J6408" t="s">
        <v>41</v>
      </c>
      <c r="K6408" t="s">
        <v>59</v>
      </c>
      <c r="Q6408">
        <v>0</v>
      </c>
      <c r="R6408">
        <v>0</v>
      </c>
      <c r="S6408">
        <v>0</v>
      </c>
    </row>
    <row r="6409" spans="1:20" customFormat="1" ht="15" x14ac:dyDescent="0.25">
      <c r="A6409" t="s">
        <v>35</v>
      </c>
      <c r="B6409" t="s">
        <v>12660</v>
      </c>
      <c r="C6409" t="str">
        <f>"A0183001"</f>
        <v>A0183001</v>
      </c>
      <c r="D6409" t="s">
        <v>24018</v>
      </c>
      <c r="E6409" t="s">
        <v>24927</v>
      </c>
      <c r="F6409" t="s">
        <v>501</v>
      </c>
      <c r="G6409" t="s">
        <v>110</v>
      </c>
      <c r="H6409">
        <v>912054712</v>
      </c>
      <c r="I6409" t="s">
        <v>30</v>
      </c>
      <c r="J6409" t="s">
        <v>41</v>
      </c>
      <c r="K6409" t="s">
        <v>59</v>
      </c>
      <c r="Q6409">
        <v>0</v>
      </c>
      <c r="R6409">
        <v>0</v>
      </c>
      <c r="S6409">
        <v>0</v>
      </c>
      <c r="T6409" t="s">
        <v>24928</v>
      </c>
    </row>
    <row r="6410" spans="1:20" customFormat="1" ht="15" x14ac:dyDescent="0.25">
      <c r="A6410" t="s">
        <v>35</v>
      </c>
      <c r="B6410" t="s">
        <v>12660</v>
      </c>
      <c r="C6410" t="str">
        <f>"A0183000"</f>
        <v>A0183000</v>
      </c>
      <c r="D6410" t="s">
        <v>24929</v>
      </c>
      <c r="E6410" t="s">
        <v>24930</v>
      </c>
      <c r="F6410" t="s">
        <v>12489</v>
      </c>
      <c r="G6410" t="s">
        <v>110</v>
      </c>
      <c r="H6410">
        <v>960032939</v>
      </c>
      <c r="I6410" t="s">
        <v>30</v>
      </c>
      <c r="J6410" t="s">
        <v>41</v>
      </c>
      <c r="K6410" t="s">
        <v>59</v>
      </c>
      <c r="Q6410">
        <v>0</v>
      </c>
      <c r="R6410">
        <v>0</v>
      </c>
      <c r="S6410">
        <v>0</v>
      </c>
      <c r="T6410" t="s">
        <v>24931</v>
      </c>
    </row>
    <row r="6411" spans="1:20" customFormat="1" ht="15" x14ac:dyDescent="0.25">
      <c r="A6411" t="s">
        <v>35</v>
      </c>
      <c r="B6411" t="s">
        <v>61</v>
      </c>
      <c r="C6411" t="str">
        <f>"A0182999"</f>
        <v>A0182999</v>
      </c>
      <c r="D6411" t="s">
        <v>24932</v>
      </c>
      <c r="E6411" t="s">
        <v>24933</v>
      </c>
      <c r="F6411" t="s">
        <v>24934</v>
      </c>
      <c r="G6411" t="s">
        <v>110</v>
      </c>
      <c r="H6411" t="s">
        <v>24935</v>
      </c>
      <c r="I6411" t="s">
        <v>30</v>
      </c>
      <c r="J6411" t="s">
        <v>41</v>
      </c>
      <c r="K6411" t="s">
        <v>59</v>
      </c>
      <c r="Q6411">
        <v>0</v>
      </c>
      <c r="R6411">
        <v>208</v>
      </c>
      <c r="S6411">
        <v>208</v>
      </c>
      <c r="T6411" t="s">
        <v>24936</v>
      </c>
    </row>
    <row r="6412" spans="1:20" customFormat="1" ht="15" x14ac:dyDescent="0.25">
      <c r="A6412" t="s">
        <v>35</v>
      </c>
      <c r="B6412" t="s">
        <v>61</v>
      </c>
      <c r="C6412" t="str">
        <f>"A0182998"</f>
        <v>A0182998</v>
      </c>
      <c r="D6412" t="s">
        <v>24937</v>
      </c>
      <c r="E6412" t="s">
        <v>24938</v>
      </c>
      <c r="F6412" t="s">
        <v>24939</v>
      </c>
      <c r="G6412" t="s">
        <v>925</v>
      </c>
      <c r="H6412" t="s">
        <v>24940</v>
      </c>
      <c r="I6412" t="s">
        <v>30</v>
      </c>
      <c r="J6412" t="s">
        <v>41</v>
      </c>
      <c r="K6412" t="s">
        <v>59</v>
      </c>
      <c r="Q6412">
        <v>0</v>
      </c>
      <c r="R6412">
        <v>167</v>
      </c>
      <c r="S6412">
        <v>167</v>
      </c>
      <c r="T6412" t="s">
        <v>24941</v>
      </c>
    </row>
    <row r="6413" spans="1:20" customFormat="1" ht="15" x14ac:dyDescent="0.25">
      <c r="A6413" t="s">
        <v>35</v>
      </c>
      <c r="B6413" t="s">
        <v>61</v>
      </c>
      <c r="C6413" t="str">
        <f>"A0182997"</f>
        <v>A0182997</v>
      </c>
      <c r="D6413" t="s">
        <v>24942</v>
      </c>
      <c r="E6413" t="s">
        <v>24943</v>
      </c>
      <c r="F6413" t="s">
        <v>21265</v>
      </c>
      <c r="G6413" t="s">
        <v>925</v>
      </c>
      <c r="H6413" t="s">
        <v>24944</v>
      </c>
      <c r="I6413" t="s">
        <v>30</v>
      </c>
      <c r="J6413" t="s">
        <v>41</v>
      </c>
      <c r="K6413" t="s">
        <v>59</v>
      </c>
      <c r="Q6413">
        <v>0</v>
      </c>
      <c r="R6413">
        <v>269</v>
      </c>
      <c r="S6413">
        <v>269</v>
      </c>
      <c r="T6413" t="s">
        <v>24945</v>
      </c>
    </row>
    <row r="6414" spans="1:20" customFormat="1" ht="15" x14ac:dyDescent="0.25">
      <c r="A6414" t="s">
        <v>35</v>
      </c>
      <c r="B6414" t="s">
        <v>61</v>
      </c>
      <c r="C6414" t="str">
        <f>"A0182996"</f>
        <v>A0182996</v>
      </c>
      <c r="D6414" t="s">
        <v>24946</v>
      </c>
      <c r="E6414" t="s">
        <v>24947</v>
      </c>
      <c r="F6414" t="s">
        <v>24948</v>
      </c>
      <c r="G6414" t="s">
        <v>161</v>
      </c>
      <c r="H6414" t="s">
        <v>24949</v>
      </c>
      <c r="I6414" t="s">
        <v>30</v>
      </c>
      <c r="J6414" t="s">
        <v>41</v>
      </c>
      <c r="K6414" t="s">
        <v>59</v>
      </c>
      <c r="Q6414">
        <v>0</v>
      </c>
      <c r="R6414">
        <v>0</v>
      </c>
      <c r="S6414">
        <v>0</v>
      </c>
    </row>
    <row r="6415" spans="1:20" customFormat="1" ht="15" x14ac:dyDescent="0.25">
      <c r="A6415" t="s">
        <v>35</v>
      </c>
      <c r="B6415" t="s">
        <v>18151</v>
      </c>
      <c r="C6415" t="str">
        <f>"A0182995"</f>
        <v>A0182995</v>
      </c>
      <c r="D6415" t="s">
        <v>24950</v>
      </c>
      <c r="E6415" t="s">
        <v>24951</v>
      </c>
      <c r="F6415" t="s">
        <v>21910</v>
      </c>
      <c r="G6415" t="s">
        <v>161</v>
      </c>
      <c r="H6415">
        <v>55731</v>
      </c>
      <c r="I6415" t="s">
        <v>30</v>
      </c>
      <c r="J6415" t="s">
        <v>41</v>
      </c>
      <c r="K6415" t="s">
        <v>59</v>
      </c>
      <c r="Q6415">
        <v>0</v>
      </c>
      <c r="R6415">
        <v>0</v>
      </c>
      <c r="S6415">
        <v>0</v>
      </c>
    </row>
    <row r="6416" spans="1:20" customFormat="1" ht="15" x14ac:dyDescent="0.25">
      <c r="A6416" t="s">
        <v>35</v>
      </c>
      <c r="B6416" t="s">
        <v>18151</v>
      </c>
      <c r="C6416" t="str">
        <f>"A0182994"</f>
        <v>A0182994</v>
      </c>
      <c r="D6416" t="s">
        <v>24952</v>
      </c>
      <c r="E6416" t="s">
        <v>24953</v>
      </c>
      <c r="F6416" t="s">
        <v>21910</v>
      </c>
      <c r="G6416" t="s">
        <v>161</v>
      </c>
      <c r="H6416" t="s">
        <v>24954</v>
      </c>
      <c r="I6416" t="s">
        <v>30</v>
      </c>
      <c r="J6416" t="s">
        <v>41</v>
      </c>
      <c r="K6416" t="s">
        <v>59</v>
      </c>
      <c r="Q6416">
        <v>0</v>
      </c>
      <c r="R6416">
        <v>0</v>
      </c>
      <c r="S6416">
        <v>0</v>
      </c>
    </row>
    <row r="6417" spans="1:20" customFormat="1" ht="15" x14ac:dyDescent="0.25">
      <c r="A6417" t="s">
        <v>35</v>
      </c>
      <c r="B6417" t="s">
        <v>61</v>
      </c>
      <c r="C6417" t="str">
        <f>"A0182993"</f>
        <v>A0182993</v>
      </c>
      <c r="D6417" t="s">
        <v>24955</v>
      </c>
      <c r="E6417" t="s">
        <v>24956</v>
      </c>
      <c r="F6417" t="s">
        <v>9128</v>
      </c>
      <c r="G6417" t="s">
        <v>110</v>
      </c>
      <c r="H6417">
        <v>946124175</v>
      </c>
      <c r="I6417" t="s">
        <v>30</v>
      </c>
      <c r="J6417" t="s">
        <v>41</v>
      </c>
      <c r="K6417" t="s">
        <v>59</v>
      </c>
      <c r="Q6417">
        <v>0</v>
      </c>
      <c r="R6417">
        <v>35</v>
      </c>
      <c r="S6417">
        <v>35</v>
      </c>
      <c r="T6417" t="s">
        <v>24957</v>
      </c>
    </row>
    <row r="6418" spans="1:20" customFormat="1" ht="15" x14ac:dyDescent="0.25">
      <c r="A6418" t="s">
        <v>35</v>
      </c>
      <c r="B6418" t="s">
        <v>61</v>
      </c>
      <c r="C6418" t="str">
        <f>"A0182992"</f>
        <v>A0182992</v>
      </c>
      <c r="D6418" t="s">
        <v>24958</v>
      </c>
      <c r="E6418" t="s">
        <v>24959</v>
      </c>
      <c r="F6418" t="s">
        <v>24960</v>
      </c>
      <c r="G6418" t="s">
        <v>81</v>
      </c>
      <c r="H6418" t="s">
        <v>24961</v>
      </c>
      <c r="I6418" t="s">
        <v>30</v>
      </c>
      <c r="J6418" t="s">
        <v>41</v>
      </c>
      <c r="K6418" t="s">
        <v>59</v>
      </c>
      <c r="Q6418">
        <v>0</v>
      </c>
      <c r="R6418">
        <v>0</v>
      </c>
      <c r="S6418">
        <v>0</v>
      </c>
      <c r="T6418" t="s">
        <v>24962</v>
      </c>
    </row>
    <row r="6419" spans="1:20" customFormat="1" ht="15" x14ac:dyDescent="0.25">
      <c r="A6419" t="s">
        <v>35</v>
      </c>
      <c r="B6419" t="s">
        <v>61</v>
      </c>
      <c r="C6419" t="str">
        <f>"A0182991"</f>
        <v>A0182991</v>
      </c>
      <c r="D6419" t="s">
        <v>24963</v>
      </c>
      <c r="E6419" t="s">
        <v>24964</v>
      </c>
      <c r="F6419" t="s">
        <v>12947</v>
      </c>
      <c r="G6419" t="s">
        <v>81</v>
      </c>
      <c r="H6419">
        <v>33401</v>
      </c>
      <c r="I6419" t="s">
        <v>30</v>
      </c>
      <c r="J6419" t="s">
        <v>41</v>
      </c>
      <c r="K6419" t="s">
        <v>59</v>
      </c>
      <c r="Q6419">
        <v>0</v>
      </c>
      <c r="R6419">
        <v>166</v>
      </c>
      <c r="S6419">
        <v>166</v>
      </c>
      <c r="T6419" t="s">
        <v>24965</v>
      </c>
    </row>
    <row r="6420" spans="1:20" customFormat="1" ht="15" x14ac:dyDescent="0.25">
      <c r="A6420" t="s">
        <v>35</v>
      </c>
      <c r="B6420" t="s">
        <v>61</v>
      </c>
      <c r="C6420" t="str">
        <f>"A0182990"</f>
        <v>A0182990</v>
      </c>
      <c r="D6420" t="s">
        <v>24966</v>
      </c>
      <c r="E6420" t="s">
        <v>24967</v>
      </c>
      <c r="F6420" t="s">
        <v>4645</v>
      </c>
      <c r="G6420" t="s">
        <v>81</v>
      </c>
      <c r="H6420" t="s">
        <v>24968</v>
      </c>
      <c r="I6420" t="s">
        <v>30</v>
      </c>
      <c r="J6420" t="s">
        <v>41</v>
      </c>
      <c r="K6420" t="s">
        <v>59</v>
      </c>
      <c r="Q6420">
        <v>0</v>
      </c>
      <c r="R6420">
        <v>180</v>
      </c>
      <c r="S6420">
        <v>180</v>
      </c>
      <c r="T6420" t="s">
        <v>24969</v>
      </c>
    </row>
    <row r="6421" spans="1:20" customFormat="1" ht="15" x14ac:dyDescent="0.25">
      <c r="A6421" t="s">
        <v>35</v>
      </c>
      <c r="B6421" t="s">
        <v>61</v>
      </c>
      <c r="C6421" t="str">
        <f>"A0182988"</f>
        <v>A0182988</v>
      </c>
      <c r="D6421" t="s">
        <v>24970</v>
      </c>
      <c r="E6421" t="s">
        <v>24971</v>
      </c>
      <c r="F6421" t="s">
        <v>2651</v>
      </c>
      <c r="G6421" t="s">
        <v>81</v>
      </c>
      <c r="H6421" t="s">
        <v>24972</v>
      </c>
      <c r="I6421" t="s">
        <v>30</v>
      </c>
      <c r="J6421" t="s">
        <v>41</v>
      </c>
      <c r="K6421" t="s">
        <v>59</v>
      </c>
      <c r="Q6421">
        <v>0</v>
      </c>
      <c r="R6421">
        <v>107</v>
      </c>
      <c r="S6421">
        <v>107</v>
      </c>
      <c r="T6421" t="s">
        <v>24973</v>
      </c>
    </row>
    <row r="6422" spans="1:20" customFormat="1" ht="15" x14ac:dyDescent="0.25">
      <c r="A6422" t="s">
        <v>35</v>
      </c>
      <c r="B6422" t="s">
        <v>61</v>
      </c>
      <c r="C6422" t="str">
        <f>"A0182986"</f>
        <v>A0182986</v>
      </c>
      <c r="D6422" t="s">
        <v>24974</v>
      </c>
      <c r="E6422" t="s">
        <v>24975</v>
      </c>
      <c r="F6422" t="s">
        <v>22137</v>
      </c>
      <c r="G6422" t="s">
        <v>110</v>
      </c>
      <c r="H6422" t="s">
        <v>24976</v>
      </c>
      <c r="I6422" t="s">
        <v>30</v>
      </c>
      <c r="J6422" t="s">
        <v>41</v>
      </c>
      <c r="K6422" t="s">
        <v>59</v>
      </c>
      <c r="Q6422">
        <v>0</v>
      </c>
      <c r="R6422">
        <v>37</v>
      </c>
      <c r="S6422">
        <v>37</v>
      </c>
      <c r="T6422" t="s">
        <v>24977</v>
      </c>
    </row>
    <row r="6423" spans="1:20" customFormat="1" ht="15" x14ac:dyDescent="0.25">
      <c r="A6423" t="s">
        <v>35</v>
      </c>
      <c r="B6423" t="s">
        <v>61</v>
      </c>
      <c r="C6423" t="str">
        <f>"A0182985"</f>
        <v>A0182985</v>
      </c>
      <c r="D6423" t="s">
        <v>24978</v>
      </c>
      <c r="E6423" t="s">
        <v>24979</v>
      </c>
      <c r="F6423" t="s">
        <v>7769</v>
      </c>
      <c r="G6423" t="s">
        <v>110</v>
      </c>
      <c r="H6423" t="s">
        <v>24980</v>
      </c>
      <c r="I6423" t="s">
        <v>30</v>
      </c>
      <c r="J6423" t="s">
        <v>41</v>
      </c>
      <c r="K6423" t="s">
        <v>59</v>
      </c>
      <c r="Q6423">
        <v>0</v>
      </c>
      <c r="R6423">
        <v>0</v>
      </c>
      <c r="S6423">
        <v>0</v>
      </c>
      <c r="T6423" t="s">
        <v>24981</v>
      </c>
    </row>
    <row r="6424" spans="1:20" customFormat="1" ht="15" x14ac:dyDescent="0.25">
      <c r="A6424" t="s">
        <v>35</v>
      </c>
      <c r="B6424" t="s">
        <v>11871</v>
      </c>
      <c r="C6424" t="str">
        <f>"A0182984"</f>
        <v>A0182984</v>
      </c>
      <c r="D6424" t="s">
        <v>24982</v>
      </c>
      <c r="E6424" t="s">
        <v>24983</v>
      </c>
      <c r="F6424" t="s">
        <v>24984</v>
      </c>
      <c r="G6424" t="s">
        <v>110</v>
      </c>
      <c r="H6424">
        <v>906303087</v>
      </c>
      <c r="I6424" t="s">
        <v>30</v>
      </c>
      <c r="J6424" t="s">
        <v>41</v>
      </c>
      <c r="K6424" t="s">
        <v>59</v>
      </c>
      <c r="Q6424">
        <v>0</v>
      </c>
      <c r="R6424">
        <v>0</v>
      </c>
      <c r="S6424">
        <v>0</v>
      </c>
      <c r="T6424" t="s">
        <v>24985</v>
      </c>
    </row>
    <row r="6425" spans="1:20" customFormat="1" ht="15" x14ac:dyDescent="0.25">
      <c r="A6425" t="s">
        <v>35</v>
      </c>
      <c r="B6425" t="s">
        <v>61</v>
      </c>
      <c r="C6425" t="str">
        <f>"A0182983"</f>
        <v>A0182983</v>
      </c>
      <c r="D6425" t="s">
        <v>24986</v>
      </c>
      <c r="E6425" t="s">
        <v>24987</v>
      </c>
      <c r="F6425" t="s">
        <v>8130</v>
      </c>
      <c r="G6425" t="s">
        <v>925</v>
      </c>
      <c r="H6425" t="s">
        <v>24988</v>
      </c>
      <c r="I6425" t="s">
        <v>30</v>
      </c>
      <c r="J6425" t="s">
        <v>41</v>
      </c>
      <c r="K6425" t="s">
        <v>59</v>
      </c>
      <c r="Q6425">
        <v>0</v>
      </c>
      <c r="R6425">
        <v>0</v>
      </c>
      <c r="S6425">
        <v>0</v>
      </c>
      <c r="T6425" t="s">
        <v>24989</v>
      </c>
    </row>
    <row r="6426" spans="1:20" customFormat="1" ht="15" x14ac:dyDescent="0.25">
      <c r="A6426" t="s">
        <v>35</v>
      </c>
      <c r="B6426" t="s">
        <v>61</v>
      </c>
      <c r="C6426" t="str">
        <f>"A0182982"</f>
        <v>A0182982</v>
      </c>
      <c r="D6426" t="s">
        <v>24990</v>
      </c>
      <c r="E6426" t="s">
        <v>24991</v>
      </c>
      <c r="F6426" t="s">
        <v>21641</v>
      </c>
      <c r="G6426" t="s">
        <v>925</v>
      </c>
      <c r="H6426" t="s">
        <v>24992</v>
      </c>
      <c r="I6426" t="s">
        <v>30</v>
      </c>
      <c r="J6426" t="s">
        <v>41</v>
      </c>
      <c r="K6426" t="s">
        <v>59</v>
      </c>
      <c r="Q6426">
        <v>0</v>
      </c>
      <c r="R6426">
        <v>101</v>
      </c>
      <c r="S6426">
        <v>101</v>
      </c>
      <c r="T6426" t="s">
        <v>24993</v>
      </c>
    </row>
    <row r="6427" spans="1:20" customFormat="1" ht="15" x14ac:dyDescent="0.25">
      <c r="A6427" t="s">
        <v>35</v>
      </c>
      <c r="B6427" t="s">
        <v>61</v>
      </c>
      <c r="C6427" t="str">
        <f>"A0182981"</f>
        <v>A0182981</v>
      </c>
      <c r="D6427" t="s">
        <v>24994</v>
      </c>
      <c r="E6427" t="s">
        <v>24995</v>
      </c>
      <c r="F6427" t="s">
        <v>21261</v>
      </c>
      <c r="G6427" t="s">
        <v>925</v>
      </c>
      <c r="H6427">
        <v>665342120</v>
      </c>
      <c r="I6427" t="s">
        <v>30</v>
      </c>
      <c r="J6427" t="s">
        <v>41</v>
      </c>
      <c r="K6427" t="s">
        <v>59</v>
      </c>
      <c r="Q6427">
        <v>0</v>
      </c>
      <c r="R6427">
        <v>0</v>
      </c>
      <c r="S6427">
        <v>0</v>
      </c>
    </row>
    <row r="6428" spans="1:20" customFormat="1" ht="15" x14ac:dyDescent="0.25">
      <c r="A6428" t="s">
        <v>35</v>
      </c>
      <c r="B6428" t="s">
        <v>11871</v>
      </c>
      <c r="C6428" t="str">
        <f>"A0182980"</f>
        <v>A0182980</v>
      </c>
      <c r="D6428" t="s">
        <v>24996</v>
      </c>
      <c r="E6428" t="s">
        <v>24997</v>
      </c>
      <c r="F6428" t="s">
        <v>24998</v>
      </c>
      <c r="G6428" t="s">
        <v>81</v>
      </c>
      <c r="H6428" t="s">
        <v>24999</v>
      </c>
      <c r="I6428" t="s">
        <v>30</v>
      </c>
      <c r="J6428" t="s">
        <v>41</v>
      </c>
      <c r="K6428" t="s">
        <v>59</v>
      </c>
      <c r="Q6428">
        <v>0</v>
      </c>
      <c r="R6428">
        <v>80</v>
      </c>
      <c r="S6428">
        <v>80</v>
      </c>
      <c r="T6428" t="s">
        <v>25000</v>
      </c>
    </row>
    <row r="6429" spans="1:20" customFormat="1" ht="15" x14ac:dyDescent="0.25">
      <c r="A6429" t="s">
        <v>35</v>
      </c>
      <c r="B6429" t="s">
        <v>61</v>
      </c>
      <c r="C6429" t="str">
        <f>"A0182979"</f>
        <v>A0182979</v>
      </c>
      <c r="D6429" t="s">
        <v>25001</v>
      </c>
      <c r="E6429" t="s">
        <v>25002</v>
      </c>
      <c r="F6429" t="s">
        <v>25003</v>
      </c>
      <c r="G6429" t="s">
        <v>81</v>
      </c>
      <c r="H6429" t="s">
        <v>25004</v>
      </c>
      <c r="I6429" t="s">
        <v>30</v>
      </c>
      <c r="J6429" t="s">
        <v>41</v>
      </c>
      <c r="K6429" t="s">
        <v>59</v>
      </c>
      <c r="Q6429">
        <v>0</v>
      </c>
      <c r="R6429">
        <v>0</v>
      </c>
      <c r="S6429">
        <v>0</v>
      </c>
      <c r="T6429" t="s">
        <v>25005</v>
      </c>
    </row>
    <row r="6430" spans="1:20" customFormat="1" ht="15" x14ac:dyDescent="0.25">
      <c r="A6430" t="s">
        <v>35</v>
      </c>
      <c r="B6430" t="s">
        <v>12660</v>
      </c>
      <c r="C6430" t="str">
        <f>"A0182978"</f>
        <v>A0182978</v>
      </c>
      <c r="D6430" t="s">
        <v>25006</v>
      </c>
      <c r="E6430" t="s">
        <v>25007</v>
      </c>
      <c r="F6430" t="s">
        <v>9128</v>
      </c>
      <c r="G6430" t="s">
        <v>110</v>
      </c>
      <c r="H6430">
        <v>946101967</v>
      </c>
      <c r="I6430" t="s">
        <v>30</v>
      </c>
      <c r="J6430" t="s">
        <v>41</v>
      </c>
      <c r="K6430" t="s">
        <v>59</v>
      </c>
      <c r="Q6430">
        <v>0</v>
      </c>
      <c r="R6430">
        <v>0</v>
      </c>
      <c r="S6430">
        <v>0</v>
      </c>
      <c r="T6430" t="s">
        <v>25008</v>
      </c>
    </row>
    <row r="6431" spans="1:20" customFormat="1" ht="15" x14ac:dyDescent="0.25">
      <c r="A6431" t="s">
        <v>35</v>
      </c>
      <c r="B6431" t="s">
        <v>61</v>
      </c>
      <c r="C6431" t="str">
        <f>"A0182977"</f>
        <v>A0182977</v>
      </c>
      <c r="D6431" t="s">
        <v>25009</v>
      </c>
      <c r="E6431" t="s">
        <v>25010</v>
      </c>
      <c r="F6431" t="s">
        <v>22877</v>
      </c>
      <c r="G6431" t="s">
        <v>81</v>
      </c>
      <c r="H6431" t="s">
        <v>25011</v>
      </c>
      <c r="I6431" t="s">
        <v>30</v>
      </c>
      <c r="J6431" t="s">
        <v>41</v>
      </c>
      <c r="K6431" t="s">
        <v>59</v>
      </c>
      <c r="Q6431">
        <v>0</v>
      </c>
      <c r="R6431">
        <v>0</v>
      </c>
      <c r="S6431">
        <v>0</v>
      </c>
      <c r="T6431" t="s">
        <v>22879</v>
      </c>
    </row>
    <row r="6432" spans="1:20" customFormat="1" ht="15" x14ac:dyDescent="0.25">
      <c r="A6432" t="s">
        <v>35</v>
      </c>
      <c r="B6432" t="s">
        <v>61</v>
      </c>
      <c r="C6432" t="str">
        <f>"A0182976"</f>
        <v>A0182976</v>
      </c>
      <c r="D6432" t="s">
        <v>25012</v>
      </c>
      <c r="E6432" t="s">
        <v>25013</v>
      </c>
      <c r="F6432" t="s">
        <v>22877</v>
      </c>
      <c r="G6432" t="s">
        <v>81</v>
      </c>
      <c r="H6432">
        <v>33936</v>
      </c>
      <c r="I6432" t="s">
        <v>30</v>
      </c>
      <c r="J6432" t="s">
        <v>41</v>
      </c>
      <c r="K6432" t="s">
        <v>59</v>
      </c>
      <c r="Q6432">
        <v>0</v>
      </c>
      <c r="R6432">
        <v>0</v>
      </c>
      <c r="S6432">
        <v>0</v>
      </c>
      <c r="T6432" t="s">
        <v>25014</v>
      </c>
    </row>
    <row r="6433" spans="1:20" customFormat="1" ht="15" x14ac:dyDescent="0.25">
      <c r="A6433" t="s">
        <v>35</v>
      </c>
      <c r="B6433" t="s">
        <v>61</v>
      </c>
      <c r="C6433" t="str">
        <f>"A0182975"</f>
        <v>A0182975</v>
      </c>
      <c r="D6433" t="s">
        <v>25015</v>
      </c>
      <c r="E6433" t="s">
        <v>25016</v>
      </c>
      <c r="F6433" t="s">
        <v>5502</v>
      </c>
      <c r="G6433" t="s">
        <v>81</v>
      </c>
      <c r="H6433">
        <v>33705</v>
      </c>
      <c r="I6433" t="s">
        <v>30</v>
      </c>
      <c r="J6433" t="s">
        <v>41</v>
      </c>
      <c r="K6433" t="s">
        <v>59</v>
      </c>
      <c r="Q6433">
        <v>0</v>
      </c>
      <c r="R6433">
        <v>0</v>
      </c>
      <c r="S6433">
        <v>0</v>
      </c>
      <c r="T6433" t="s">
        <v>25017</v>
      </c>
    </row>
    <row r="6434" spans="1:20" customFormat="1" ht="15" x14ac:dyDescent="0.25">
      <c r="A6434" t="s">
        <v>35</v>
      </c>
      <c r="B6434" t="s">
        <v>61</v>
      </c>
      <c r="C6434" t="str">
        <f>"A0182973"</f>
        <v>A0182973</v>
      </c>
      <c r="D6434" t="s">
        <v>25018</v>
      </c>
      <c r="E6434" t="s">
        <v>25019</v>
      </c>
      <c r="F6434" t="s">
        <v>25020</v>
      </c>
      <c r="G6434" t="s">
        <v>161</v>
      </c>
      <c r="H6434" t="s">
        <v>25021</v>
      </c>
      <c r="I6434" t="s">
        <v>30</v>
      </c>
      <c r="J6434" t="s">
        <v>41</v>
      </c>
      <c r="K6434" t="s">
        <v>59</v>
      </c>
      <c r="Q6434">
        <v>0</v>
      </c>
      <c r="R6434">
        <v>302</v>
      </c>
      <c r="S6434">
        <v>302</v>
      </c>
      <c r="T6434" t="s">
        <v>25022</v>
      </c>
    </row>
    <row r="6435" spans="1:20" customFormat="1" ht="15" x14ac:dyDescent="0.25">
      <c r="A6435" t="s">
        <v>35</v>
      </c>
      <c r="B6435" t="s">
        <v>61</v>
      </c>
      <c r="C6435" t="str">
        <f>"A0182972"</f>
        <v>A0182972</v>
      </c>
      <c r="D6435" t="s">
        <v>25023</v>
      </c>
      <c r="E6435" t="s">
        <v>25024</v>
      </c>
      <c r="F6435" t="s">
        <v>8039</v>
      </c>
      <c r="G6435" t="s">
        <v>161</v>
      </c>
      <c r="H6435" t="s">
        <v>25025</v>
      </c>
      <c r="I6435" t="s">
        <v>30</v>
      </c>
      <c r="J6435" t="s">
        <v>41</v>
      </c>
      <c r="K6435" t="s">
        <v>59</v>
      </c>
      <c r="Q6435">
        <v>0</v>
      </c>
      <c r="R6435">
        <v>0</v>
      </c>
      <c r="S6435">
        <v>0</v>
      </c>
    </row>
    <row r="6436" spans="1:20" customFormat="1" ht="15" x14ac:dyDescent="0.25">
      <c r="A6436" t="s">
        <v>35</v>
      </c>
      <c r="B6436" t="s">
        <v>61</v>
      </c>
      <c r="C6436" t="str">
        <f>"A0182971"</f>
        <v>A0182971</v>
      </c>
      <c r="D6436" t="s">
        <v>25026</v>
      </c>
      <c r="E6436" t="s">
        <v>25027</v>
      </c>
      <c r="F6436" t="s">
        <v>20667</v>
      </c>
      <c r="G6436" t="s">
        <v>81</v>
      </c>
      <c r="H6436" t="s">
        <v>25028</v>
      </c>
      <c r="I6436" t="s">
        <v>30</v>
      </c>
      <c r="J6436" t="s">
        <v>41</v>
      </c>
      <c r="K6436" t="s">
        <v>59</v>
      </c>
      <c r="Q6436">
        <v>0</v>
      </c>
      <c r="R6436">
        <v>68</v>
      </c>
      <c r="S6436">
        <v>68</v>
      </c>
      <c r="T6436" t="s">
        <v>25029</v>
      </c>
    </row>
    <row r="6437" spans="1:20" customFormat="1" ht="15" x14ac:dyDescent="0.25">
      <c r="A6437" t="s">
        <v>35</v>
      </c>
      <c r="B6437" t="s">
        <v>61</v>
      </c>
      <c r="C6437" t="str">
        <f>"A0182970"</f>
        <v>A0182970</v>
      </c>
      <c r="D6437" t="s">
        <v>25030</v>
      </c>
      <c r="E6437" t="s">
        <v>25031</v>
      </c>
      <c r="F6437" t="s">
        <v>2714</v>
      </c>
      <c r="G6437" t="s">
        <v>81</v>
      </c>
      <c r="H6437" t="s">
        <v>25032</v>
      </c>
      <c r="I6437" t="s">
        <v>30</v>
      </c>
      <c r="J6437" t="s">
        <v>41</v>
      </c>
      <c r="K6437" t="s">
        <v>59</v>
      </c>
      <c r="Q6437">
        <v>0</v>
      </c>
      <c r="R6437">
        <v>0</v>
      </c>
      <c r="S6437">
        <v>0</v>
      </c>
      <c r="T6437" t="s">
        <v>25033</v>
      </c>
    </row>
    <row r="6438" spans="1:20" customFormat="1" ht="15" x14ac:dyDescent="0.25">
      <c r="A6438" t="s">
        <v>35</v>
      </c>
      <c r="B6438" t="s">
        <v>61</v>
      </c>
      <c r="C6438" t="str">
        <f>"A0182969"</f>
        <v>A0182969</v>
      </c>
      <c r="D6438" t="s">
        <v>25034</v>
      </c>
      <c r="E6438" t="s">
        <v>25035</v>
      </c>
      <c r="F6438" t="s">
        <v>2714</v>
      </c>
      <c r="G6438" t="s">
        <v>81</v>
      </c>
      <c r="H6438" t="s">
        <v>25036</v>
      </c>
      <c r="I6438" t="s">
        <v>30</v>
      </c>
      <c r="J6438" t="s">
        <v>41</v>
      </c>
      <c r="K6438" t="s">
        <v>59</v>
      </c>
      <c r="Q6438">
        <v>0</v>
      </c>
      <c r="R6438">
        <v>0</v>
      </c>
      <c r="S6438">
        <v>0</v>
      </c>
      <c r="T6438" t="s">
        <v>25037</v>
      </c>
    </row>
    <row r="6439" spans="1:20" customFormat="1" ht="15" x14ac:dyDescent="0.25">
      <c r="A6439" t="s">
        <v>35</v>
      </c>
      <c r="B6439" t="s">
        <v>61</v>
      </c>
      <c r="C6439" t="str">
        <f>"A0182968"</f>
        <v>A0182968</v>
      </c>
      <c r="D6439" t="s">
        <v>25038</v>
      </c>
      <c r="E6439" t="s">
        <v>25039</v>
      </c>
      <c r="F6439" t="s">
        <v>2714</v>
      </c>
      <c r="G6439" t="s">
        <v>81</v>
      </c>
      <c r="H6439">
        <v>33611</v>
      </c>
      <c r="I6439" t="s">
        <v>30</v>
      </c>
      <c r="J6439" t="s">
        <v>41</v>
      </c>
      <c r="K6439" t="s">
        <v>59</v>
      </c>
      <c r="Q6439">
        <v>0</v>
      </c>
      <c r="R6439">
        <v>0</v>
      </c>
      <c r="S6439">
        <v>0</v>
      </c>
      <c r="T6439" t="s">
        <v>25040</v>
      </c>
    </row>
    <row r="6440" spans="1:20" customFormat="1" ht="15" x14ac:dyDescent="0.25">
      <c r="A6440" t="s">
        <v>35</v>
      </c>
      <c r="B6440" t="s">
        <v>61</v>
      </c>
      <c r="C6440" t="str">
        <f>"A0182967"</f>
        <v>A0182967</v>
      </c>
      <c r="D6440" t="s">
        <v>25041</v>
      </c>
      <c r="E6440" t="s">
        <v>25042</v>
      </c>
      <c r="F6440" t="s">
        <v>3653</v>
      </c>
      <c r="G6440" t="s">
        <v>81</v>
      </c>
      <c r="H6440">
        <v>33705</v>
      </c>
      <c r="I6440" t="s">
        <v>30</v>
      </c>
      <c r="J6440" t="s">
        <v>41</v>
      </c>
      <c r="K6440" t="s">
        <v>59</v>
      </c>
      <c r="Q6440">
        <v>0</v>
      </c>
      <c r="R6440">
        <v>0</v>
      </c>
      <c r="S6440">
        <v>0</v>
      </c>
      <c r="T6440" t="s">
        <v>25043</v>
      </c>
    </row>
    <row r="6441" spans="1:20" customFormat="1" ht="15" x14ac:dyDescent="0.25">
      <c r="A6441" t="s">
        <v>35</v>
      </c>
      <c r="B6441" t="s">
        <v>61</v>
      </c>
      <c r="C6441" t="str">
        <f>"A0182966"</f>
        <v>A0182966</v>
      </c>
      <c r="D6441" t="s">
        <v>25044</v>
      </c>
      <c r="E6441" t="s">
        <v>25045</v>
      </c>
      <c r="F6441" t="s">
        <v>22666</v>
      </c>
      <c r="G6441" t="s">
        <v>81</v>
      </c>
      <c r="H6441">
        <v>34207</v>
      </c>
      <c r="I6441" t="s">
        <v>30</v>
      </c>
      <c r="J6441" t="s">
        <v>41</v>
      </c>
      <c r="K6441" t="s">
        <v>59</v>
      </c>
      <c r="Q6441">
        <v>0</v>
      </c>
      <c r="R6441">
        <v>0</v>
      </c>
      <c r="S6441">
        <v>0</v>
      </c>
      <c r="T6441" t="s">
        <v>25046</v>
      </c>
    </row>
    <row r="6442" spans="1:20" customFormat="1" ht="15" x14ac:dyDescent="0.25">
      <c r="A6442" t="s">
        <v>35</v>
      </c>
      <c r="B6442" t="s">
        <v>11871</v>
      </c>
      <c r="C6442" t="str">
        <f>"A0182965"</f>
        <v>A0182965</v>
      </c>
      <c r="D6442" t="s">
        <v>25047</v>
      </c>
      <c r="E6442" t="s">
        <v>25048</v>
      </c>
      <c r="F6442" t="s">
        <v>6764</v>
      </c>
      <c r="G6442" t="s">
        <v>81</v>
      </c>
      <c r="H6442">
        <v>33901</v>
      </c>
      <c r="I6442" t="s">
        <v>30</v>
      </c>
      <c r="J6442" t="s">
        <v>41</v>
      </c>
      <c r="K6442" t="s">
        <v>59</v>
      </c>
      <c r="Q6442">
        <v>0</v>
      </c>
      <c r="R6442">
        <v>0</v>
      </c>
      <c r="S6442">
        <v>0</v>
      </c>
      <c r="T6442" t="s">
        <v>25049</v>
      </c>
    </row>
    <row r="6443" spans="1:20" customFormat="1" ht="15" x14ac:dyDescent="0.25">
      <c r="A6443" t="s">
        <v>35</v>
      </c>
      <c r="B6443" t="s">
        <v>11871</v>
      </c>
      <c r="C6443" t="str">
        <f>"A0182964"</f>
        <v>A0182964</v>
      </c>
      <c r="D6443" t="s">
        <v>25050</v>
      </c>
      <c r="E6443" t="s">
        <v>25051</v>
      </c>
      <c r="F6443" t="s">
        <v>18933</v>
      </c>
      <c r="G6443" t="s">
        <v>81</v>
      </c>
      <c r="H6443" t="s">
        <v>25052</v>
      </c>
      <c r="I6443" t="s">
        <v>30</v>
      </c>
      <c r="J6443" t="s">
        <v>41</v>
      </c>
      <c r="K6443" t="s">
        <v>59</v>
      </c>
      <c r="Q6443">
        <v>0</v>
      </c>
      <c r="R6443">
        <v>0</v>
      </c>
      <c r="S6443">
        <v>0</v>
      </c>
      <c r="T6443" t="s">
        <v>25053</v>
      </c>
    </row>
    <row r="6444" spans="1:20" customFormat="1" ht="15" x14ac:dyDescent="0.25">
      <c r="A6444" t="s">
        <v>35</v>
      </c>
      <c r="B6444" t="s">
        <v>12257</v>
      </c>
      <c r="C6444" t="str">
        <f>"A0182963"</f>
        <v>A0182963</v>
      </c>
      <c r="D6444" t="s">
        <v>25054</v>
      </c>
      <c r="E6444" t="s">
        <v>25055</v>
      </c>
      <c r="F6444" t="s">
        <v>6764</v>
      </c>
      <c r="G6444" t="s">
        <v>81</v>
      </c>
      <c r="H6444" t="s">
        <v>12260</v>
      </c>
      <c r="I6444" t="s">
        <v>30</v>
      </c>
      <c r="J6444" t="s">
        <v>41</v>
      </c>
      <c r="K6444" t="s">
        <v>59</v>
      </c>
      <c r="Q6444">
        <v>0</v>
      </c>
      <c r="R6444">
        <v>64</v>
      </c>
      <c r="S6444">
        <v>64</v>
      </c>
    </row>
    <row r="6445" spans="1:20" customFormat="1" ht="15" x14ac:dyDescent="0.25">
      <c r="A6445" t="s">
        <v>35</v>
      </c>
      <c r="B6445" t="s">
        <v>61</v>
      </c>
      <c r="C6445" t="str">
        <f>"A0182962"</f>
        <v>A0182962</v>
      </c>
      <c r="D6445" t="s">
        <v>25056</v>
      </c>
      <c r="E6445" t="s">
        <v>25057</v>
      </c>
      <c r="F6445" t="s">
        <v>22916</v>
      </c>
      <c r="G6445" t="s">
        <v>81</v>
      </c>
      <c r="H6445" t="s">
        <v>25058</v>
      </c>
      <c r="I6445" t="s">
        <v>30</v>
      </c>
      <c r="J6445" t="s">
        <v>41</v>
      </c>
      <c r="K6445" t="s">
        <v>59</v>
      </c>
      <c r="Q6445">
        <v>0</v>
      </c>
      <c r="R6445">
        <v>0</v>
      </c>
      <c r="S6445">
        <v>0</v>
      </c>
      <c r="T6445" t="s">
        <v>25059</v>
      </c>
    </row>
    <row r="6446" spans="1:20" customFormat="1" ht="15" x14ac:dyDescent="0.25">
      <c r="A6446" t="s">
        <v>35</v>
      </c>
      <c r="B6446" t="s">
        <v>61</v>
      </c>
      <c r="C6446" t="str">
        <f>"A0182961"</f>
        <v>A0182961</v>
      </c>
      <c r="D6446" t="s">
        <v>25060</v>
      </c>
      <c r="E6446" t="s">
        <v>25061</v>
      </c>
      <c r="F6446" t="s">
        <v>2714</v>
      </c>
      <c r="G6446" t="s">
        <v>81</v>
      </c>
      <c r="H6446" t="s">
        <v>25062</v>
      </c>
      <c r="I6446" t="s">
        <v>30</v>
      </c>
      <c r="J6446" t="s">
        <v>41</v>
      </c>
      <c r="K6446" t="s">
        <v>59</v>
      </c>
      <c r="Q6446">
        <v>0</v>
      </c>
      <c r="R6446">
        <v>0</v>
      </c>
      <c r="S6446">
        <v>0</v>
      </c>
      <c r="T6446" t="s">
        <v>25063</v>
      </c>
    </row>
    <row r="6447" spans="1:20" customFormat="1" ht="15" x14ac:dyDescent="0.25">
      <c r="A6447" t="s">
        <v>35</v>
      </c>
      <c r="B6447" t="s">
        <v>61</v>
      </c>
      <c r="C6447" t="str">
        <f>"A0182960"</f>
        <v>A0182960</v>
      </c>
      <c r="D6447" t="s">
        <v>25064</v>
      </c>
      <c r="E6447" t="s">
        <v>25065</v>
      </c>
      <c r="F6447" t="s">
        <v>20667</v>
      </c>
      <c r="G6447" t="s">
        <v>81</v>
      </c>
      <c r="H6447" t="s">
        <v>25066</v>
      </c>
      <c r="I6447" t="s">
        <v>30</v>
      </c>
      <c r="J6447" t="s">
        <v>41</v>
      </c>
      <c r="K6447" t="s">
        <v>59</v>
      </c>
      <c r="Q6447">
        <v>0</v>
      </c>
      <c r="R6447">
        <v>0</v>
      </c>
      <c r="S6447">
        <v>0</v>
      </c>
      <c r="T6447" t="s">
        <v>25067</v>
      </c>
    </row>
    <row r="6448" spans="1:20" customFormat="1" ht="15" x14ac:dyDescent="0.25">
      <c r="A6448" t="s">
        <v>35</v>
      </c>
      <c r="B6448" t="s">
        <v>61</v>
      </c>
      <c r="C6448" t="str">
        <f>"A0182959"</f>
        <v>A0182959</v>
      </c>
      <c r="D6448" t="s">
        <v>25068</v>
      </c>
      <c r="E6448" t="s">
        <v>25069</v>
      </c>
      <c r="F6448" t="s">
        <v>2623</v>
      </c>
      <c r="G6448" t="s">
        <v>99</v>
      </c>
      <c r="H6448">
        <v>10552</v>
      </c>
      <c r="I6448" t="s">
        <v>30</v>
      </c>
      <c r="J6448" t="s">
        <v>41</v>
      </c>
      <c r="K6448" t="s">
        <v>59</v>
      </c>
      <c r="Q6448">
        <v>0</v>
      </c>
      <c r="R6448">
        <v>0</v>
      </c>
      <c r="S6448">
        <v>0</v>
      </c>
      <c r="T6448" t="s">
        <v>25070</v>
      </c>
    </row>
    <row r="6449" spans="1:20" customFormat="1" ht="15" x14ac:dyDescent="0.25">
      <c r="A6449" t="s">
        <v>35</v>
      </c>
      <c r="B6449" t="s">
        <v>11871</v>
      </c>
      <c r="C6449" t="str">
        <f>"A0182958"</f>
        <v>A0182958</v>
      </c>
      <c r="D6449" t="s">
        <v>25071</v>
      </c>
      <c r="E6449" t="s">
        <v>25072</v>
      </c>
      <c r="F6449" t="s">
        <v>25073</v>
      </c>
      <c r="G6449" t="s">
        <v>81</v>
      </c>
      <c r="H6449" t="s">
        <v>25074</v>
      </c>
      <c r="I6449" t="s">
        <v>30</v>
      </c>
      <c r="J6449" t="s">
        <v>41</v>
      </c>
      <c r="K6449" t="s">
        <v>59</v>
      </c>
      <c r="Q6449">
        <v>0</v>
      </c>
      <c r="R6449">
        <v>0</v>
      </c>
      <c r="S6449">
        <v>0</v>
      </c>
      <c r="T6449" t="s">
        <v>25075</v>
      </c>
    </row>
    <row r="6450" spans="1:20" customFormat="1" ht="15" x14ac:dyDescent="0.25">
      <c r="A6450" t="s">
        <v>35</v>
      </c>
      <c r="B6450" t="s">
        <v>61</v>
      </c>
      <c r="C6450" t="str">
        <f>"A0182957"</f>
        <v>A0182957</v>
      </c>
      <c r="D6450" t="s">
        <v>25076</v>
      </c>
      <c r="E6450" t="s">
        <v>25077</v>
      </c>
      <c r="F6450" t="s">
        <v>24133</v>
      </c>
      <c r="G6450" t="s">
        <v>81</v>
      </c>
      <c r="H6450" t="s">
        <v>24134</v>
      </c>
      <c r="I6450" t="s">
        <v>30</v>
      </c>
      <c r="J6450" t="s">
        <v>41</v>
      </c>
      <c r="K6450" t="s">
        <v>59</v>
      </c>
      <c r="Q6450">
        <v>0</v>
      </c>
      <c r="R6450">
        <v>100</v>
      </c>
      <c r="S6450">
        <v>100</v>
      </c>
    </row>
    <row r="6451" spans="1:20" customFormat="1" ht="15" x14ac:dyDescent="0.25">
      <c r="A6451" t="s">
        <v>35</v>
      </c>
      <c r="B6451" t="s">
        <v>12660</v>
      </c>
      <c r="C6451" t="str">
        <f>"A0182956"</f>
        <v>A0182956</v>
      </c>
      <c r="D6451" t="s">
        <v>25078</v>
      </c>
      <c r="E6451" t="s">
        <v>25079</v>
      </c>
      <c r="F6451" t="s">
        <v>14704</v>
      </c>
      <c r="G6451" t="s">
        <v>110</v>
      </c>
      <c r="H6451">
        <v>917864944</v>
      </c>
      <c r="I6451" t="s">
        <v>30</v>
      </c>
      <c r="J6451" t="s">
        <v>41</v>
      </c>
      <c r="K6451" t="s">
        <v>59</v>
      </c>
      <c r="Q6451">
        <v>0</v>
      </c>
      <c r="R6451">
        <v>0</v>
      </c>
      <c r="S6451">
        <v>0</v>
      </c>
      <c r="T6451" t="s">
        <v>25080</v>
      </c>
    </row>
    <row r="6452" spans="1:20" customFormat="1" ht="15" x14ac:dyDescent="0.25">
      <c r="A6452" t="s">
        <v>35</v>
      </c>
      <c r="B6452" t="s">
        <v>61</v>
      </c>
      <c r="C6452" t="str">
        <f>"A0182955"</f>
        <v>A0182955</v>
      </c>
      <c r="D6452" t="s">
        <v>25081</v>
      </c>
      <c r="E6452" t="s">
        <v>25082</v>
      </c>
      <c r="F6452" t="s">
        <v>4777</v>
      </c>
      <c r="G6452" t="s">
        <v>110</v>
      </c>
      <c r="H6452" t="s">
        <v>25083</v>
      </c>
      <c r="I6452" t="s">
        <v>30</v>
      </c>
      <c r="J6452" t="s">
        <v>41</v>
      </c>
      <c r="K6452" t="s">
        <v>59</v>
      </c>
      <c r="Q6452">
        <v>0</v>
      </c>
      <c r="R6452">
        <v>79</v>
      </c>
      <c r="S6452">
        <v>79</v>
      </c>
      <c r="T6452" t="s">
        <v>25084</v>
      </c>
    </row>
    <row r="6453" spans="1:20" customFormat="1" ht="15" x14ac:dyDescent="0.25">
      <c r="A6453" t="s">
        <v>35</v>
      </c>
      <c r="B6453" t="s">
        <v>61</v>
      </c>
      <c r="C6453" t="str">
        <f>"A0182954"</f>
        <v>A0182954</v>
      </c>
      <c r="D6453" t="s">
        <v>25085</v>
      </c>
      <c r="E6453" t="s">
        <v>25086</v>
      </c>
      <c r="F6453" t="s">
        <v>13479</v>
      </c>
      <c r="G6453" t="s">
        <v>110</v>
      </c>
      <c r="H6453">
        <v>92335</v>
      </c>
      <c r="I6453" t="s">
        <v>30</v>
      </c>
      <c r="J6453" t="s">
        <v>41</v>
      </c>
      <c r="K6453" t="s">
        <v>59</v>
      </c>
      <c r="Q6453">
        <v>0</v>
      </c>
      <c r="R6453">
        <v>60</v>
      </c>
      <c r="S6453">
        <v>60</v>
      </c>
      <c r="T6453" t="s">
        <v>25087</v>
      </c>
    </row>
    <row r="6454" spans="1:20" customFormat="1" ht="15" x14ac:dyDescent="0.25">
      <c r="A6454" t="s">
        <v>35</v>
      </c>
      <c r="B6454" t="s">
        <v>61</v>
      </c>
      <c r="C6454" t="str">
        <f>"A0182953"</f>
        <v>A0182953</v>
      </c>
      <c r="D6454" t="s">
        <v>25088</v>
      </c>
      <c r="E6454" t="s">
        <v>25089</v>
      </c>
      <c r="F6454" t="s">
        <v>9135</v>
      </c>
      <c r="G6454" t="s">
        <v>110</v>
      </c>
      <c r="H6454" t="s">
        <v>25090</v>
      </c>
      <c r="I6454" t="s">
        <v>30</v>
      </c>
      <c r="J6454" t="s">
        <v>41</v>
      </c>
      <c r="K6454" t="s">
        <v>59</v>
      </c>
      <c r="Q6454">
        <v>0</v>
      </c>
      <c r="R6454">
        <v>153</v>
      </c>
      <c r="S6454">
        <v>153</v>
      </c>
      <c r="T6454" t="s">
        <v>25091</v>
      </c>
    </row>
    <row r="6455" spans="1:20" customFormat="1" ht="15" x14ac:dyDescent="0.25">
      <c r="A6455" t="s">
        <v>35</v>
      </c>
      <c r="B6455" t="s">
        <v>11871</v>
      </c>
      <c r="C6455" t="str">
        <f>"A0182952"</f>
        <v>A0182952</v>
      </c>
      <c r="D6455" t="s">
        <v>25092</v>
      </c>
      <c r="E6455" t="s">
        <v>25093</v>
      </c>
      <c r="F6455" t="s">
        <v>25094</v>
      </c>
      <c r="G6455" t="s">
        <v>110</v>
      </c>
      <c r="H6455" t="s">
        <v>25095</v>
      </c>
      <c r="I6455" t="s">
        <v>30</v>
      </c>
      <c r="J6455" t="s">
        <v>41</v>
      </c>
      <c r="K6455" t="s">
        <v>59</v>
      </c>
      <c r="Q6455">
        <v>0</v>
      </c>
      <c r="R6455">
        <v>0</v>
      </c>
      <c r="S6455">
        <v>0</v>
      </c>
      <c r="T6455" t="s">
        <v>25096</v>
      </c>
    </row>
    <row r="6456" spans="1:20" customFormat="1" ht="15" x14ac:dyDescent="0.25">
      <c r="A6456" t="s">
        <v>35</v>
      </c>
      <c r="B6456" t="s">
        <v>61</v>
      </c>
      <c r="C6456" t="str">
        <f>"A0182951"</f>
        <v>A0182951</v>
      </c>
      <c r="D6456" t="s">
        <v>25097</v>
      </c>
      <c r="E6456" t="s">
        <v>25098</v>
      </c>
      <c r="F6456" t="s">
        <v>7531</v>
      </c>
      <c r="G6456" t="s">
        <v>110</v>
      </c>
      <c r="H6456">
        <v>917243163</v>
      </c>
      <c r="I6456" t="s">
        <v>30</v>
      </c>
      <c r="J6456" t="s">
        <v>41</v>
      </c>
      <c r="K6456" t="s">
        <v>59</v>
      </c>
      <c r="Q6456">
        <v>0</v>
      </c>
      <c r="R6456">
        <v>0</v>
      </c>
      <c r="S6456">
        <v>0</v>
      </c>
      <c r="T6456" t="s">
        <v>25099</v>
      </c>
    </row>
    <row r="6457" spans="1:20" customFormat="1" ht="15" x14ac:dyDescent="0.25">
      <c r="A6457" t="s">
        <v>35</v>
      </c>
      <c r="B6457" t="s">
        <v>61</v>
      </c>
      <c r="C6457" t="str">
        <f>"A0182950"</f>
        <v>A0182950</v>
      </c>
      <c r="D6457" t="s">
        <v>25100</v>
      </c>
      <c r="E6457" t="s">
        <v>25101</v>
      </c>
      <c r="F6457" t="s">
        <v>20144</v>
      </c>
      <c r="G6457" t="s">
        <v>110</v>
      </c>
      <c r="H6457">
        <v>945873604</v>
      </c>
      <c r="I6457" t="s">
        <v>30</v>
      </c>
      <c r="J6457" t="s">
        <v>41</v>
      </c>
      <c r="K6457" t="s">
        <v>59</v>
      </c>
      <c r="Q6457">
        <v>0</v>
      </c>
      <c r="R6457">
        <v>0</v>
      </c>
      <c r="S6457">
        <v>0</v>
      </c>
      <c r="T6457" t="s">
        <v>25102</v>
      </c>
    </row>
    <row r="6458" spans="1:20" customFormat="1" ht="15" x14ac:dyDescent="0.25">
      <c r="A6458" t="s">
        <v>35</v>
      </c>
      <c r="B6458" t="s">
        <v>12660</v>
      </c>
      <c r="C6458" t="str">
        <f>"A0182949"</f>
        <v>A0182949</v>
      </c>
      <c r="D6458" t="s">
        <v>25103</v>
      </c>
      <c r="E6458" t="s">
        <v>25104</v>
      </c>
      <c r="F6458" t="s">
        <v>16914</v>
      </c>
      <c r="G6458" t="s">
        <v>110</v>
      </c>
      <c r="H6458">
        <v>939239563</v>
      </c>
      <c r="I6458" t="s">
        <v>30</v>
      </c>
      <c r="J6458" t="s">
        <v>41</v>
      </c>
      <c r="K6458" t="s">
        <v>59</v>
      </c>
      <c r="Q6458">
        <v>0</v>
      </c>
      <c r="R6458">
        <v>200</v>
      </c>
      <c r="S6458">
        <v>200</v>
      </c>
      <c r="T6458" t="s">
        <v>25105</v>
      </c>
    </row>
    <row r="6459" spans="1:20" customFormat="1" ht="15" x14ac:dyDescent="0.25">
      <c r="A6459" t="s">
        <v>35</v>
      </c>
      <c r="B6459" t="s">
        <v>12660</v>
      </c>
      <c r="C6459" t="str">
        <f>"A0182948"</f>
        <v>A0182948</v>
      </c>
      <c r="D6459" t="s">
        <v>25106</v>
      </c>
      <c r="E6459" t="s">
        <v>25107</v>
      </c>
      <c r="F6459" t="s">
        <v>4288</v>
      </c>
      <c r="G6459" t="s">
        <v>110</v>
      </c>
      <c r="H6459">
        <v>925013573</v>
      </c>
      <c r="I6459" t="s">
        <v>30</v>
      </c>
      <c r="J6459" t="s">
        <v>41</v>
      </c>
      <c r="K6459" t="s">
        <v>59</v>
      </c>
      <c r="Q6459">
        <v>0</v>
      </c>
      <c r="R6459">
        <v>0</v>
      </c>
      <c r="S6459">
        <v>0</v>
      </c>
      <c r="T6459" t="s">
        <v>25108</v>
      </c>
    </row>
    <row r="6460" spans="1:20" customFormat="1" ht="15" x14ac:dyDescent="0.25">
      <c r="A6460" t="s">
        <v>35</v>
      </c>
      <c r="B6460" t="s">
        <v>61</v>
      </c>
      <c r="C6460" t="str">
        <f>"A0182947"</f>
        <v>A0182947</v>
      </c>
      <c r="D6460" t="s">
        <v>25109</v>
      </c>
      <c r="E6460" t="s">
        <v>25110</v>
      </c>
      <c r="F6460" t="s">
        <v>20926</v>
      </c>
      <c r="G6460" t="s">
        <v>161</v>
      </c>
      <c r="H6460" t="s">
        <v>25111</v>
      </c>
      <c r="I6460" t="s">
        <v>30</v>
      </c>
      <c r="J6460" t="s">
        <v>41</v>
      </c>
      <c r="K6460" t="s">
        <v>59</v>
      </c>
      <c r="Q6460">
        <v>0</v>
      </c>
      <c r="R6460">
        <v>0</v>
      </c>
      <c r="S6460">
        <v>0</v>
      </c>
    </row>
    <row r="6461" spans="1:20" customFormat="1" ht="15" x14ac:dyDescent="0.25">
      <c r="A6461" t="s">
        <v>35</v>
      </c>
      <c r="B6461" t="s">
        <v>61</v>
      </c>
      <c r="C6461" t="str">
        <f>"A0182946"</f>
        <v>A0182946</v>
      </c>
      <c r="D6461" t="s">
        <v>25112</v>
      </c>
      <c r="E6461" t="s">
        <v>25113</v>
      </c>
      <c r="F6461" t="s">
        <v>25114</v>
      </c>
      <c r="G6461" t="s">
        <v>99</v>
      </c>
      <c r="H6461" t="s">
        <v>25115</v>
      </c>
      <c r="I6461" t="s">
        <v>30</v>
      </c>
      <c r="J6461" t="s">
        <v>41</v>
      </c>
      <c r="K6461" t="s">
        <v>59</v>
      </c>
      <c r="Q6461">
        <v>0</v>
      </c>
      <c r="R6461">
        <v>0</v>
      </c>
      <c r="S6461">
        <v>0</v>
      </c>
      <c r="T6461" t="s">
        <v>25116</v>
      </c>
    </row>
    <row r="6462" spans="1:20" customFormat="1" ht="15" x14ac:dyDescent="0.25">
      <c r="A6462" t="s">
        <v>35</v>
      </c>
      <c r="B6462" t="s">
        <v>61</v>
      </c>
      <c r="C6462" t="str">
        <f>"A0182945"</f>
        <v>A0182945</v>
      </c>
      <c r="D6462" t="s">
        <v>25117</v>
      </c>
      <c r="E6462" t="s">
        <v>25118</v>
      </c>
      <c r="F6462" t="s">
        <v>21937</v>
      </c>
      <c r="G6462" t="s">
        <v>99</v>
      </c>
      <c r="H6462" t="s">
        <v>25119</v>
      </c>
      <c r="I6462" t="s">
        <v>30</v>
      </c>
      <c r="J6462" t="s">
        <v>41</v>
      </c>
      <c r="K6462" t="s">
        <v>59</v>
      </c>
      <c r="Q6462">
        <v>0</v>
      </c>
      <c r="R6462">
        <v>120</v>
      </c>
      <c r="S6462">
        <v>120</v>
      </c>
      <c r="T6462" t="s">
        <v>25120</v>
      </c>
    </row>
    <row r="6463" spans="1:20" customFormat="1" ht="15" x14ac:dyDescent="0.25">
      <c r="A6463" t="s">
        <v>35</v>
      </c>
      <c r="B6463" t="s">
        <v>61</v>
      </c>
      <c r="C6463" t="str">
        <f>"A0182944"</f>
        <v>A0182944</v>
      </c>
      <c r="D6463" t="s">
        <v>25121</v>
      </c>
      <c r="E6463" t="s">
        <v>25122</v>
      </c>
      <c r="F6463" t="s">
        <v>25123</v>
      </c>
      <c r="G6463" t="s">
        <v>99</v>
      </c>
      <c r="H6463" t="s">
        <v>25124</v>
      </c>
      <c r="I6463" t="s">
        <v>30</v>
      </c>
      <c r="J6463" t="s">
        <v>41</v>
      </c>
      <c r="K6463" t="s">
        <v>59</v>
      </c>
      <c r="Q6463">
        <v>0</v>
      </c>
      <c r="R6463">
        <v>46</v>
      </c>
      <c r="S6463">
        <v>46</v>
      </c>
      <c r="T6463" t="s">
        <v>25125</v>
      </c>
    </row>
    <row r="6464" spans="1:20" customFormat="1" ht="15" x14ac:dyDescent="0.25">
      <c r="A6464" t="s">
        <v>35</v>
      </c>
      <c r="B6464" t="s">
        <v>61</v>
      </c>
      <c r="C6464" t="str">
        <f>"A0182943"</f>
        <v>A0182943</v>
      </c>
      <c r="D6464" t="s">
        <v>25126</v>
      </c>
      <c r="E6464" t="s">
        <v>25127</v>
      </c>
      <c r="F6464" t="s">
        <v>25128</v>
      </c>
      <c r="G6464" t="s">
        <v>110</v>
      </c>
      <c r="H6464" t="s">
        <v>25129</v>
      </c>
      <c r="I6464" t="s">
        <v>30</v>
      </c>
      <c r="J6464" t="s">
        <v>41</v>
      </c>
      <c r="K6464" t="s">
        <v>59</v>
      </c>
      <c r="Q6464">
        <v>0</v>
      </c>
      <c r="R6464">
        <v>0</v>
      </c>
      <c r="S6464">
        <v>0</v>
      </c>
      <c r="T6464" t="s">
        <v>25130</v>
      </c>
    </row>
    <row r="6465" spans="1:20" customFormat="1" ht="15" x14ac:dyDescent="0.25">
      <c r="A6465" t="s">
        <v>35</v>
      </c>
      <c r="B6465" t="s">
        <v>61</v>
      </c>
      <c r="C6465" t="str">
        <f>"A0182942"</f>
        <v>A0182942</v>
      </c>
      <c r="D6465" t="s">
        <v>25131</v>
      </c>
      <c r="E6465" t="s">
        <v>25132</v>
      </c>
      <c r="F6465" t="s">
        <v>7362</v>
      </c>
      <c r="G6465" t="s">
        <v>110</v>
      </c>
      <c r="H6465" t="s">
        <v>25133</v>
      </c>
      <c r="I6465" t="s">
        <v>30</v>
      </c>
      <c r="J6465" t="s">
        <v>41</v>
      </c>
      <c r="K6465" t="s">
        <v>59</v>
      </c>
      <c r="Q6465">
        <v>0</v>
      </c>
      <c r="R6465">
        <v>0</v>
      </c>
      <c r="S6465">
        <v>0</v>
      </c>
      <c r="T6465" t="s">
        <v>25134</v>
      </c>
    </row>
    <row r="6466" spans="1:20" customFormat="1" ht="15" x14ac:dyDescent="0.25">
      <c r="A6466" t="s">
        <v>35</v>
      </c>
      <c r="B6466" t="s">
        <v>61</v>
      </c>
      <c r="C6466" t="str">
        <f>"A0182941"</f>
        <v>A0182941</v>
      </c>
      <c r="D6466" t="s">
        <v>25135</v>
      </c>
      <c r="E6466" t="s">
        <v>25136</v>
      </c>
      <c r="F6466" t="s">
        <v>1948</v>
      </c>
      <c r="G6466" t="s">
        <v>190</v>
      </c>
      <c r="H6466">
        <v>802263565</v>
      </c>
      <c r="I6466" t="s">
        <v>30</v>
      </c>
      <c r="J6466" t="s">
        <v>41</v>
      </c>
      <c r="K6466" t="s">
        <v>59</v>
      </c>
      <c r="Q6466">
        <v>0</v>
      </c>
      <c r="R6466">
        <v>66</v>
      </c>
      <c r="S6466">
        <v>66</v>
      </c>
      <c r="T6466" t="s">
        <v>24481</v>
      </c>
    </row>
    <row r="6467" spans="1:20" customFormat="1" ht="15" x14ac:dyDescent="0.25">
      <c r="A6467" t="s">
        <v>35</v>
      </c>
      <c r="B6467" t="s">
        <v>61</v>
      </c>
      <c r="C6467" t="str">
        <f>"A0182938"</f>
        <v>A0182938</v>
      </c>
      <c r="D6467" t="s">
        <v>25137</v>
      </c>
      <c r="E6467" t="s">
        <v>25138</v>
      </c>
      <c r="F6467" t="s">
        <v>13957</v>
      </c>
      <c r="G6467" t="s">
        <v>99</v>
      </c>
      <c r="H6467" t="s">
        <v>25139</v>
      </c>
      <c r="I6467" t="s">
        <v>30</v>
      </c>
      <c r="J6467" t="s">
        <v>41</v>
      </c>
      <c r="K6467" t="s">
        <v>59</v>
      </c>
      <c r="Q6467">
        <v>0</v>
      </c>
      <c r="R6467">
        <v>0</v>
      </c>
      <c r="S6467">
        <v>0</v>
      </c>
    </row>
    <row r="6468" spans="1:20" customFormat="1" ht="15" x14ac:dyDescent="0.25">
      <c r="A6468" t="s">
        <v>35</v>
      </c>
      <c r="B6468" t="s">
        <v>61</v>
      </c>
      <c r="C6468" t="str">
        <f>"A0182937"</f>
        <v>A0182937</v>
      </c>
      <c r="D6468" t="s">
        <v>19029</v>
      </c>
      <c r="E6468" t="s">
        <v>25140</v>
      </c>
      <c r="F6468" t="s">
        <v>25141</v>
      </c>
      <c r="G6468" t="s">
        <v>99</v>
      </c>
      <c r="H6468" t="s">
        <v>25142</v>
      </c>
      <c r="I6468" t="s">
        <v>30</v>
      </c>
      <c r="J6468" t="s">
        <v>41</v>
      </c>
      <c r="K6468" t="s">
        <v>59</v>
      </c>
      <c r="Q6468">
        <v>0</v>
      </c>
      <c r="R6468">
        <v>196</v>
      </c>
      <c r="S6468">
        <v>196</v>
      </c>
      <c r="T6468" t="s">
        <v>25143</v>
      </c>
    </row>
    <row r="6469" spans="1:20" customFormat="1" ht="15" x14ac:dyDescent="0.25">
      <c r="A6469" t="s">
        <v>35</v>
      </c>
      <c r="B6469" t="s">
        <v>61</v>
      </c>
      <c r="C6469" t="str">
        <f>"A0182936"</f>
        <v>A0182936</v>
      </c>
      <c r="D6469" t="s">
        <v>25144</v>
      </c>
      <c r="E6469" t="s">
        <v>25145</v>
      </c>
      <c r="F6469" t="s">
        <v>25146</v>
      </c>
      <c r="G6469" t="s">
        <v>99</v>
      </c>
      <c r="H6469" t="s">
        <v>25147</v>
      </c>
      <c r="I6469" t="s">
        <v>30</v>
      </c>
      <c r="J6469" t="s">
        <v>41</v>
      </c>
      <c r="K6469" t="s">
        <v>59</v>
      </c>
      <c r="Q6469">
        <v>0</v>
      </c>
      <c r="R6469">
        <v>0</v>
      </c>
      <c r="S6469">
        <v>0</v>
      </c>
      <c r="T6469" t="s">
        <v>25148</v>
      </c>
    </row>
    <row r="6470" spans="1:20" customFormat="1" ht="15" x14ac:dyDescent="0.25">
      <c r="A6470" t="s">
        <v>35</v>
      </c>
      <c r="B6470" t="s">
        <v>61</v>
      </c>
      <c r="C6470" t="str">
        <f>"A0182935"</f>
        <v>A0182935</v>
      </c>
      <c r="D6470" t="s">
        <v>25149</v>
      </c>
      <c r="E6470" t="s">
        <v>25150</v>
      </c>
      <c r="F6470" t="s">
        <v>10426</v>
      </c>
      <c r="G6470" t="s">
        <v>81</v>
      </c>
      <c r="H6470" t="s">
        <v>25151</v>
      </c>
      <c r="I6470" t="s">
        <v>30</v>
      </c>
      <c r="J6470" t="s">
        <v>41</v>
      </c>
      <c r="K6470" t="s">
        <v>59</v>
      </c>
      <c r="Q6470">
        <v>0</v>
      </c>
      <c r="R6470">
        <v>0</v>
      </c>
      <c r="S6470">
        <v>0</v>
      </c>
      <c r="T6470" t="s">
        <v>25152</v>
      </c>
    </row>
    <row r="6471" spans="1:20" customFormat="1" ht="15" x14ac:dyDescent="0.25">
      <c r="A6471" t="s">
        <v>35</v>
      </c>
      <c r="B6471" t="s">
        <v>61</v>
      </c>
      <c r="C6471" t="str">
        <f>"A0182934"</f>
        <v>A0182934</v>
      </c>
      <c r="D6471" t="s">
        <v>25153</v>
      </c>
      <c r="E6471" t="s">
        <v>25154</v>
      </c>
      <c r="F6471" t="s">
        <v>4645</v>
      </c>
      <c r="G6471" t="s">
        <v>81</v>
      </c>
      <c r="H6471" t="s">
        <v>25155</v>
      </c>
      <c r="I6471" t="s">
        <v>30</v>
      </c>
      <c r="J6471" t="s">
        <v>41</v>
      </c>
      <c r="K6471" t="s">
        <v>59</v>
      </c>
      <c r="Q6471">
        <v>0</v>
      </c>
      <c r="R6471">
        <v>0</v>
      </c>
      <c r="S6471">
        <v>0</v>
      </c>
      <c r="T6471" t="s">
        <v>23418</v>
      </c>
    </row>
    <row r="6472" spans="1:20" customFormat="1" ht="15" x14ac:dyDescent="0.25">
      <c r="A6472" t="s">
        <v>35</v>
      </c>
      <c r="B6472" t="s">
        <v>61</v>
      </c>
      <c r="C6472" t="str">
        <f>"A0182933"</f>
        <v>A0182933</v>
      </c>
      <c r="D6472" t="s">
        <v>25156</v>
      </c>
      <c r="E6472" t="s">
        <v>25157</v>
      </c>
      <c r="F6472" t="s">
        <v>8032</v>
      </c>
      <c r="G6472" t="s">
        <v>110</v>
      </c>
      <c r="H6472" t="s">
        <v>25158</v>
      </c>
      <c r="I6472" t="s">
        <v>30</v>
      </c>
      <c r="J6472" t="s">
        <v>41</v>
      </c>
      <c r="K6472" t="s">
        <v>59</v>
      </c>
      <c r="Q6472">
        <v>0</v>
      </c>
      <c r="R6472">
        <v>0</v>
      </c>
      <c r="S6472">
        <v>0</v>
      </c>
      <c r="T6472" t="s">
        <v>25159</v>
      </c>
    </row>
    <row r="6473" spans="1:20" customFormat="1" ht="15" x14ac:dyDescent="0.25">
      <c r="A6473" t="s">
        <v>35</v>
      </c>
      <c r="B6473" t="s">
        <v>61</v>
      </c>
      <c r="C6473" t="str">
        <f>"A0182932"</f>
        <v>A0182932</v>
      </c>
      <c r="D6473" t="s">
        <v>25160</v>
      </c>
      <c r="E6473" t="s">
        <v>25161</v>
      </c>
      <c r="F6473" t="s">
        <v>24455</v>
      </c>
      <c r="G6473" t="s">
        <v>110</v>
      </c>
      <c r="H6473" t="s">
        <v>25162</v>
      </c>
      <c r="I6473" t="s">
        <v>30</v>
      </c>
      <c r="J6473" t="s">
        <v>41</v>
      </c>
      <c r="K6473" t="s">
        <v>59</v>
      </c>
      <c r="Q6473">
        <v>0</v>
      </c>
      <c r="R6473">
        <v>0</v>
      </c>
      <c r="S6473">
        <v>0</v>
      </c>
      <c r="T6473" t="s">
        <v>25163</v>
      </c>
    </row>
    <row r="6474" spans="1:20" customFormat="1" ht="15" x14ac:dyDescent="0.25">
      <c r="A6474" t="s">
        <v>35</v>
      </c>
      <c r="B6474" t="s">
        <v>12660</v>
      </c>
      <c r="C6474" t="str">
        <f>"A0182931"</f>
        <v>A0182931</v>
      </c>
      <c r="D6474" t="s">
        <v>25164</v>
      </c>
      <c r="E6474" t="s">
        <v>25165</v>
      </c>
      <c r="F6474" t="s">
        <v>9128</v>
      </c>
      <c r="G6474" t="s">
        <v>110</v>
      </c>
      <c r="H6474">
        <v>946212411</v>
      </c>
      <c r="I6474" t="s">
        <v>30</v>
      </c>
      <c r="J6474" t="s">
        <v>41</v>
      </c>
      <c r="K6474" t="s">
        <v>59</v>
      </c>
      <c r="Q6474">
        <v>0</v>
      </c>
      <c r="R6474">
        <v>0</v>
      </c>
      <c r="S6474">
        <v>0</v>
      </c>
      <c r="T6474" t="s">
        <v>25166</v>
      </c>
    </row>
    <row r="6475" spans="1:20" customFormat="1" ht="15" x14ac:dyDescent="0.25">
      <c r="A6475" t="s">
        <v>35</v>
      </c>
      <c r="B6475" t="s">
        <v>61</v>
      </c>
      <c r="C6475" t="str">
        <f>"A0182930"</f>
        <v>A0182930</v>
      </c>
      <c r="D6475" t="s">
        <v>25167</v>
      </c>
      <c r="E6475" t="s">
        <v>25168</v>
      </c>
      <c r="F6475" t="s">
        <v>25169</v>
      </c>
      <c r="G6475" t="s">
        <v>110</v>
      </c>
      <c r="H6475">
        <v>902773358</v>
      </c>
      <c r="I6475" t="s">
        <v>30</v>
      </c>
      <c r="J6475" t="s">
        <v>41</v>
      </c>
      <c r="K6475" t="s">
        <v>59</v>
      </c>
      <c r="Q6475">
        <v>0</v>
      </c>
      <c r="R6475">
        <v>0</v>
      </c>
      <c r="S6475">
        <v>0</v>
      </c>
      <c r="T6475" t="s">
        <v>25170</v>
      </c>
    </row>
    <row r="6476" spans="1:20" customFormat="1" ht="15" x14ac:dyDescent="0.25">
      <c r="A6476" t="s">
        <v>35</v>
      </c>
      <c r="B6476" t="s">
        <v>61</v>
      </c>
      <c r="C6476" t="str">
        <f>"A0182929"</f>
        <v>A0182929</v>
      </c>
      <c r="D6476" t="s">
        <v>25171</v>
      </c>
      <c r="E6476" t="s">
        <v>25172</v>
      </c>
      <c r="F6476" t="s">
        <v>25173</v>
      </c>
      <c r="G6476" t="s">
        <v>161</v>
      </c>
      <c r="H6476" t="s">
        <v>25174</v>
      </c>
      <c r="I6476" t="s">
        <v>30</v>
      </c>
      <c r="J6476" t="s">
        <v>41</v>
      </c>
      <c r="K6476" t="s">
        <v>59</v>
      </c>
      <c r="Q6476">
        <v>0</v>
      </c>
      <c r="R6476">
        <v>0</v>
      </c>
      <c r="S6476">
        <v>0</v>
      </c>
    </row>
    <row r="6477" spans="1:20" customFormat="1" ht="15" x14ac:dyDescent="0.25">
      <c r="A6477" t="s">
        <v>35</v>
      </c>
      <c r="B6477" t="s">
        <v>61</v>
      </c>
      <c r="C6477" t="str">
        <f>"A0182928"</f>
        <v>A0182928</v>
      </c>
      <c r="D6477" t="s">
        <v>25175</v>
      </c>
      <c r="E6477" t="s">
        <v>25176</v>
      </c>
      <c r="F6477" t="s">
        <v>19689</v>
      </c>
      <c r="G6477" t="s">
        <v>161</v>
      </c>
      <c r="H6477" t="s">
        <v>25177</v>
      </c>
      <c r="I6477" t="s">
        <v>30</v>
      </c>
      <c r="J6477" t="s">
        <v>41</v>
      </c>
      <c r="K6477" t="s">
        <v>59</v>
      </c>
      <c r="Q6477">
        <v>0</v>
      </c>
      <c r="R6477">
        <v>0</v>
      </c>
      <c r="S6477">
        <v>0</v>
      </c>
    </row>
    <row r="6478" spans="1:20" customFormat="1" ht="15" x14ac:dyDescent="0.25">
      <c r="A6478" t="s">
        <v>35</v>
      </c>
      <c r="B6478" t="s">
        <v>61</v>
      </c>
      <c r="C6478" t="str">
        <f>"A0182927"</f>
        <v>A0182927</v>
      </c>
      <c r="D6478" t="s">
        <v>25178</v>
      </c>
      <c r="E6478" t="s">
        <v>25179</v>
      </c>
      <c r="F6478" t="s">
        <v>25180</v>
      </c>
      <c r="G6478" t="s">
        <v>161</v>
      </c>
      <c r="H6478">
        <v>55426</v>
      </c>
      <c r="I6478" t="s">
        <v>30</v>
      </c>
      <c r="J6478" t="s">
        <v>41</v>
      </c>
      <c r="K6478" t="s">
        <v>59</v>
      </c>
      <c r="Q6478">
        <v>0</v>
      </c>
      <c r="R6478">
        <v>0</v>
      </c>
      <c r="S6478">
        <v>0</v>
      </c>
    </row>
    <row r="6479" spans="1:20" customFormat="1" ht="15" x14ac:dyDescent="0.25">
      <c r="A6479" t="s">
        <v>35</v>
      </c>
      <c r="B6479" t="s">
        <v>61</v>
      </c>
      <c r="C6479" t="str">
        <f>"A0182926"</f>
        <v>A0182926</v>
      </c>
      <c r="D6479" t="s">
        <v>25181</v>
      </c>
      <c r="E6479" t="s">
        <v>25182</v>
      </c>
      <c r="F6479" t="s">
        <v>6729</v>
      </c>
      <c r="G6479" t="s">
        <v>161</v>
      </c>
      <c r="H6479" t="s">
        <v>25183</v>
      </c>
      <c r="I6479" t="s">
        <v>30</v>
      </c>
      <c r="J6479" t="s">
        <v>41</v>
      </c>
      <c r="K6479" t="s">
        <v>59</v>
      </c>
      <c r="Q6479">
        <v>0</v>
      </c>
      <c r="R6479">
        <v>0</v>
      </c>
      <c r="S6479">
        <v>0</v>
      </c>
      <c r="T6479" t="s">
        <v>25184</v>
      </c>
    </row>
    <row r="6480" spans="1:20" customFormat="1" ht="15" x14ac:dyDescent="0.25">
      <c r="A6480" t="s">
        <v>35</v>
      </c>
      <c r="B6480" t="s">
        <v>61</v>
      </c>
      <c r="C6480" t="str">
        <f>"A0182925"</f>
        <v>A0182925</v>
      </c>
      <c r="D6480" t="s">
        <v>25185</v>
      </c>
      <c r="E6480" t="s">
        <v>25186</v>
      </c>
      <c r="F6480" t="s">
        <v>25187</v>
      </c>
      <c r="G6480" t="s">
        <v>161</v>
      </c>
      <c r="H6480" t="s">
        <v>25188</v>
      </c>
      <c r="I6480" t="s">
        <v>30</v>
      </c>
      <c r="J6480" t="s">
        <v>41</v>
      </c>
      <c r="K6480" t="s">
        <v>59</v>
      </c>
      <c r="Q6480">
        <v>0</v>
      </c>
      <c r="R6480">
        <v>0</v>
      </c>
      <c r="S6480">
        <v>0</v>
      </c>
      <c r="T6480" t="s">
        <v>25189</v>
      </c>
    </row>
    <row r="6481" spans="1:20" customFormat="1" ht="15" x14ac:dyDescent="0.25">
      <c r="A6481" t="s">
        <v>35</v>
      </c>
      <c r="B6481" t="s">
        <v>12660</v>
      </c>
      <c r="C6481" t="str">
        <f>"A0182924"</f>
        <v>A0182924</v>
      </c>
      <c r="D6481" t="s">
        <v>25190</v>
      </c>
      <c r="E6481" t="s">
        <v>25191</v>
      </c>
      <c r="F6481" t="s">
        <v>7362</v>
      </c>
      <c r="G6481" t="s">
        <v>110</v>
      </c>
      <c r="H6481">
        <v>900022461</v>
      </c>
      <c r="I6481" t="s">
        <v>30</v>
      </c>
      <c r="J6481" t="s">
        <v>41</v>
      </c>
      <c r="K6481" t="s">
        <v>59</v>
      </c>
      <c r="Q6481">
        <v>0</v>
      </c>
      <c r="R6481">
        <v>0</v>
      </c>
      <c r="S6481">
        <v>0</v>
      </c>
      <c r="T6481" t="s">
        <v>25192</v>
      </c>
    </row>
    <row r="6482" spans="1:20" customFormat="1" ht="15" x14ac:dyDescent="0.25">
      <c r="A6482" t="s">
        <v>35</v>
      </c>
      <c r="B6482" t="s">
        <v>61</v>
      </c>
      <c r="C6482" t="str">
        <f>"A0182923"</f>
        <v>A0182923</v>
      </c>
      <c r="D6482" t="s">
        <v>25193</v>
      </c>
      <c r="E6482" t="s">
        <v>25194</v>
      </c>
      <c r="F6482" t="s">
        <v>25195</v>
      </c>
      <c r="G6482" t="s">
        <v>110</v>
      </c>
      <c r="H6482">
        <v>950035871</v>
      </c>
      <c r="I6482" t="s">
        <v>30</v>
      </c>
      <c r="J6482" t="s">
        <v>41</v>
      </c>
      <c r="K6482" t="s">
        <v>59</v>
      </c>
      <c r="Q6482">
        <v>0</v>
      </c>
      <c r="R6482">
        <v>0</v>
      </c>
      <c r="S6482">
        <v>0</v>
      </c>
      <c r="T6482" t="s">
        <v>25196</v>
      </c>
    </row>
    <row r="6483" spans="1:20" customFormat="1" ht="15" x14ac:dyDescent="0.25">
      <c r="A6483" t="s">
        <v>35</v>
      </c>
      <c r="B6483" t="s">
        <v>61</v>
      </c>
      <c r="C6483" t="str">
        <f>"A0182922"</f>
        <v>A0182922</v>
      </c>
      <c r="D6483" t="s">
        <v>25197</v>
      </c>
      <c r="E6483" t="s">
        <v>25198</v>
      </c>
      <c r="F6483" t="s">
        <v>9128</v>
      </c>
      <c r="G6483" t="s">
        <v>110</v>
      </c>
      <c r="H6483">
        <v>946012557</v>
      </c>
      <c r="I6483" t="s">
        <v>30</v>
      </c>
      <c r="J6483" t="s">
        <v>41</v>
      </c>
      <c r="K6483" t="s">
        <v>59</v>
      </c>
      <c r="Q6483">
        <v>0</v>
      </c>
      <c r="R6483">
        <v>0</v>
      </c>
      <c r="S6483">
        <v>0</v>
      </c>
      <c r="T6483" t="s">
        <v>25199</v>
      </c>
    </row>
    <row r="6484" spans="1:20" customFormat="1" ht="15" x14ac:dyDescent="0.25">
      <c r="A6484" t="s">
        <v>35</v>
      </c>
      <c r="B6484" t="s">
        <v>61</v>
      </c>
      <c r="C6484" t="str">
        <f>"A0182921"</f>
        <v>A0182921</v>
      </c>
      <c r="D6484" t="s">
        <v>25200</v>
      </c>
      <c r="E6484" t="s">
        <v>25201</v>
      </c>
      <c r="F6484" t="s">
        <v>9128</v>
      </c>
      <c r="G6484" t="s">
        <v>110</v>
      </c>
      <c r="H6484">
        <v>946013418</v>
      </c>
      <c r="I6484" t="s">
        <v>30</v>
      </c>
      <c r="J6484" t="s">
        <v>41</v>
      </c>
      <c r="K6484" t="s">
        <v>59</v>
      </c>
      <c r="Q6484">
        <v>0</v>
      </c>
      <c r="R6484">
        <v>0</v>
      </c>
      <c r="S6484">
        <v>0</v>
      </c>
      <c r="T6484" t="s">
        <v>25202</v>
      </c>
    </row>
    <row r="6485" spans="1:20" customFormat="1" ht="15" x14ac:dyDescent="0.25">
      <c r="A6485" t="s">
        <v>35</v>
      </c>
      <c r="B6485" t="s">
        <v>61</v>
      </c>
      <c r="C6485" t="str">
        <f>"A0182920"</f>
        <v>A0182920</v>
      </c>
      <c r="D6485" t="s">
        <v>25203</v>
      </c>
      <c r="E6485" t="s">
        <v>25204</v>
      </c>
      <c r="F6485" t="s">
        <v>9128</v>
      </c>
      <c r="G6485" t="s">
        <v>110</v>
      </c>
      <c r="H6485">
        <v>946091919</v>
      </c>
      <c r="I6485" t="s">
        <v>30</v>
      </c>
      <c r="J6485" t="s">
        <v>41</v>
      </c>
      <c r="K6485" t="s">
        <v>59</v>
      </c>
      <c r="Q6485">
        <v>0</v>
      </c>
      <c r="R6485">
        <v>0</v>
      </c>
      <c r="S6485">
        <v>0</v>
      </c>
      <c r="T6485" t="s">
        <v>25205</v>
      </c>
    </row>
    <row r="6486" spans="1:20" customFormat="1" ht="15" x14ac:dyDescent="0.25">
      <c r="A6486" t="s">
        <v>35</v>
      </c>
      <c r="B6486" t="s">
        <v>61</v>
      </c>
      <c r="C6486" t="str">
        <f>"A0182919"</f>
        <v>A0182919</v>
      </c>
      <c r="D6486" t="s">
        <v>25206</v>
      </c>
      <c r="E6486" t="s">
        <v>25207</v>
      </c>
      <c r="F6486" t="s">
        <v>1394</v>
      </c>
      <c r="G6486" t="s">
        <v>161</v>
      </c>
      <c r="H6486">
        <v>55116</v>
      </c>
      <c r="I6486" t="s">
        <v>30</v>
      </c>
      <c r="J6486" t="s">
        <v>41</v>
      </c>
      <c r="K6486" t="s">
        <v>59</v>
      </c>
      <c r="Q6486">
        <v>0</v>
      </c>
      <c r="R6486">
        <v>0</v>
      </c>
      <c r="S6486">
        <v>0</v>
      </c>
    </row>
    <row r="6487" spans="1:20" customFormat="1" ht="15" x14ac:dyDescent="0.25">
      <c r="A6487" t="s">
        <v>35</v>
      </c>
      <c r="B6487" t="s">
        <v>61</v>
      </c>
      <c r="C6487" t="str">
        <f>"A0182918"</f>
        <v>A0182918</v>
      </c>
      <c r="D6487" t="s">
        <v>25208</v>
      </c>
      <c r="E6487" t="s">
        <v>25209</v>
      </c>
      <c r="F6487" t="s">
        <v>20275</v>
      </c>
      <c r="G6487" t="s">
        <v>110</v>
      </c>
      <c r="H6487">
        <v>947021753</v>
      </c>
      <c r="I6487" t="s">
        <v>30</v>
      </c>
      <c r="J6487" t="s">
        <v>41</v>
      </c>
      <c r="K6487" t="s">
        <v>59</v>
      </c>
      <c r="Q6487">
        <v>0</v>
      </c>
      <c r="R6487">
        <v>0</v>
      </c>
      <c r="S6487">
        <v>0</v>
      </c>
      <c r="T6487" t="s">
        <v>25210</v>
      </c>
    </row>
    <row r="6488" spans="1:20" customFormat="1" ht="15" x14ac:dyDescent="0.25">
      <c r="A6488" t="s">
        <v>35</v>
      </c>
      <c r="B6488" t="s">
        <v>61</v>
      </c>
      <c r="C6488" t="str">
        <f>"A0182917"</f>
        <v>A0182917</v>
      </c>
      <c r="D6488" t="s">
        <v>25211</v>
      </c>
      <c r="E6488" t="s">
        <v>25212</v>
      </c>
      <c r="F6488" t="s">
        <v>25213</v>
      </c>
      <c r="G6488" t="s">
        <v>110</v>
      </c>
      <c r="H6488">
        <v>926251123</v>
      </c>
      <c r="I6488" t="s">
        <v>30</v>
      </c>
      <c r="J6488" t="s">
        <v>41</v>
      </c>
      <c r="K6488" t="s">
        <v>59</v>
      </c>
      <c r="Q6488">
        <v>0</v>
      </c>
      <c r="R6488">
        <v>0</v>
      </c>
      <c r="S6488">
        <v>0</v>
      </c>
      <c r="T6488" t="s">
        <v>25214</v>
      </c>
    </row>
    <row r="6489" spans="1:20" customFormat="1" ht="15" x14ac:dyDescent="0.25">
      <c r="A6489" t="s">
        <v>35</v>
      </c>
      <c r="B6489" t="s">
        <v>61</v>
      </c>
      <c r="C6489" t="str">
        <f>"A0182916"</f>
        <v>A0182916</v>
      </c>
      <c r="D6489" t="s">
        <v>25215</v>
      </c>
      <c r="E6489" t="s">
        <v>25216</v>
      </c>
      <c r="F6489" t="s">
        <v>20926</v>
      </c>
      <c r="G6489" t="s">
        <v>161</v>
      </c>
      <c r="H6489" t="s">
        <v>25217</v>
      </c>
      <c r="I6489" t="s">
        <v>30</v>
      </c>
      <c r="J6489" t="s">
        <v>41</v>
      </c>
      <c r="K6489" t="s">
        <v>59</v>
      </c>
      <c r="Q6489">
        <v>0</v>
      </c>
      <c r="R6489">
        <v>0</v>
      </c>
      <c r="S6489">
        <v>0</v>
      </c>
    </row>
    <row r="6490" spans="1:20" customFormat="1" ht="15" x14ac:dyDescent="0.25">
      <c r="A6490" t="s">
        <v>35</v>
      </c>
      <c r="B6490" t="s">
        <v>61</v>
      </c>
      <c r="C6490" t="str">
        <f>"A0182915"</f>
        <v>A0182915</v>
      </c>
      <c r="D6490" t="s">
        <v>25218</v>
      </c>
      <c r="E6490" t="s">
        <v>25219</v>
      </c>
      <c r="F6490" t="s">
        <v>19763</v>
      </c>
      <c r="G6490" t="s">
        <v>161</v>
      </c>
      <c r="H6490" t="s">
        <v>25220</v>
      </c>
      <c r="I6490" t="s">
        <v>30</v>
      </c>
      <c r="J6490" t="s">
        <v>41</v>
      </c>
      <c r="K6490" t="s">
        <v>59</v>
      </c>
      <c r="Q6490">
        <v>0</v>
      </c>
      <c r="R6490">
        <v>0</v>
      </c>
      <c r="S6490">
        <v>0</v>
      </c>
      <c r="T6490" t="s">
        <v>25221</v>
      </c>
    </row>
    <row r="6491" spans="1:20" customFormat="1" ht="15" x14ac:dyDescent="0.25">
      <c r="A6491" t="s">
        <v>35</v>
      </c>
      <c r="B6491" t="s">
        <v>61</v>
      </c>
      <c r="C6491" t="str">
        <f>"A0182914"</f>
        <v>A0182914</v>
      </c>
      <c r="D6491" t="s">
        <v>25222</v>
      </c>
      <c r="E6491" t="s">
        <v>25223</v>
      </c>
      <c r="F6491" t="s">
        <v>25224</v>
      </c>
      <c r="G6491" t="s">
        <v>161</v>
      </c>
      <c r="H6491">
        <v>560731063</v>
      </c>
      <c r="I6491" t="s">
        <v>30</v>
      </c>
      <c r="J6491" t="s">
        <v>41</v>
      </c>
      <c r="K6491" t="s">
        <v>59</v>
      </c>
      <c r="Q6491">
        <v>0</v>
      </c>
      <c r="R6491">
        <v>0</v>
      </c>
      <c r="S6491">
        <v>0</v>
      </c>
      <c r="T6491" t="s">
        <v>25225</v>
      </c>
    </row>
    <row r="6492" spans="1:20" customFormat="1" ht="15" x14ac:dyDescent="0.25">
      <c r="A6492" t="s">
        <v>35</v>
      </c>
      <c r="B6492" t="s">
        <v>61</v>
      </c>
      <c r="C6492" t="str">
        <f>"A0182913"</f>
        <v>A0182913</v>
      </c>
      <c r="D6492" t="s">
        <v>25226</v>
      </c>
      <c r="E6492" t="s">
        <v>25227</v>
      </c>
      <c r="F6492" t="s">
        <v>3193</v>
      </c>
      <c r="G6492" t="s">
        <v>99</v>
      </c>
      <c r="H6492" t="s">
        <v>25228</v>
      </c>
      <c r="I6492" t="s">
        <v>30</v>
      </c>
      <c r="J6492" t="s">
        <v>41</v>
      </c>
      <c r="K6492" t="s">
        <v>59</v>
      </c>
      <c r="Q6492">
        <v>0</v>
      </c>
      <c r="R6492">
        <v>0</v>
      </c>
      <c r="S6492">
        <v>0</v>
      </c>
    </row>
    <row r="6493" spans="1:20" customFormat="1" ht="15" x14ac:dyDescent="0.25">
      <c r="A6493" t="s">
        <v>35</v>
      </c>
      <c r="B6493" t="s">
        <v>61</v>
      </c>
      <c r="C6493" t="str">
        <f>"A0182912"</f>
        <v>A0182912</v>
      </c>
      <c r="D6493" t="s">
        <v>25229</v>
      </c>
      <c r="E6493" t="s">
        <v>25230</v>
      </c>
      <c r="F6493" t="s">
        <v>23833</v>
      </c>
      <c r="G6493" t="s">
        <v>99</v>
      </c>
      <c r="H6493" t="s">
        <v>25231</v>
      </c>
      <c r="I6493" t="s">
        <v>30</v>
      </c>
      <c r="J6493" t="s">
        <v>41</v>
      </c>
      <c r="K6493" t="s">
        <v>59</v>
      </c>
      <c r="Q6493">
        <v>0</v>
      </c>
      <c r="R6493">
        <v>0</v>
      </c>
      <c r="S6493">
        <v>0</v>
      </c>
    </row>
    <row r="6494" spans="1:20" customFormat="1" ht="15" x14ac:dyDescent="0.25">
      <c r="A6494" t="s">
        <v>35</v>
      </c>
      <c r="B6494" t="s">
        <v>61</v>
      </c>
      <c r="C6494" t="str">
        <f>"A0182911"</f>
        <v>A0182911</v>
      </c>
      <c r="D6494" t="s">
        <v>25232</v>
      </c>
      <c r="E6494" t="s">
        <v>25233</v>
      </c>
      <c r="F6494" t="s">
        <v>8424</v>
      </c>
      <c r="G6494" t="s">
        <v>99</v>
      </c>
      <c r="H6494" t="s">
        <v>25234</v>
      </c>
      <c r="I6494" t="s">
        <v>30</v>
      </c>
      <c r="J6494" t="s">
        <v>41</v>
      </c>
      <c r="K6494" t="s">
        <v>59</v>
      </c>
      <c r="Q6494">
        <v>0</v>
      </c>
      <c r="R6494">
        <v>0</v>
      </c>
      <c r="S6494">
        <v>0</v>
      </c>
      <c r="T6494" t="s">
        <v>25235</v>
      </c>
    </row>
    <row r="6495" spans="1:20" customFormat="1" ht="15" x14ac:dyDescent="0.25">
      <c r="A6495" t="s">
        <v>35</v>
      </c>
      <c r="B6495" t="s">
        <v>61</v>
      </c>
      <c r="C6495" t="str">
        <f>"A0182910"</f>
        <v>A0182910</v>
      </c>
      <c r="D6495" t="s">
        <v>25236</v>
      </c>
      <c r="E6495" t="s">
        <v>25237</v>
      </c>
      <c r="F6495" t="s">
        <v>2714</v>
      </c>
      <c r="G6495" t="s">
        <v>81</v>
      </c>
      <c r="H6495" t="s">
        <v>25238</v>
      </c>
      <c r="I6495" t="s">
        <v>30</v>
      </c>
      <c r="J6495" t="s">
        <v>41</v>
      </c>
      <c r="K6495" t="s">
        <v>59</v>
      </c>
      <c r="Q6495">
        <v>0</v>
      </c>
      <c r="R6495">
        <v>0</v>
      </c>
      <c r="S6495">
        <v>0</v>
      </c>
      <c r="T6495" t="s">
        <v>25239</v>
      </c>
    </row>
    <row r="6496" spans="1:20" customFormat="1" ht="15" x14ac:dyDescent="0.25">
      <c r="A6496" t="s">
        <v>35</v>
      </c>
      <c r="B6496" t="s">
        <v>61</v>
      </c>
      <c r="C6496" t="str">
        <f>"A0182909"</f>
        <v>A0182909</v>
      </c>
      <c r="D6496" t="s">
        <v>25240</v>
      </c>
      <c r="E6496" t="s">
        <v>25241</v>
      </c>
      <c r="F6496" t="s">
        <v>11919</v>
      </c>
      <c r="G6496" t="s">
        <v>81</v>
      </c>
      <c r="H6496">
        <v>34484</v>
      </c>
      <c r="I6496" t="s">
        <v>30</v>
      </c>
      <c r="J6496" t="s">
        <v>41</v>
      </c>
      <c r="K6496" t="s">
        <v>59</v>
      </c>
      <c r="Q6496">
        <v>0</v>
      </c>
      <c r="R6496">
        <v>0</v>
      </c>
      <c r="S6496">
        <v>0</v>
      </c>
      <c r="T6496" t="s">
        <v>25242</v>
      </c>
    </row>
    <row r="6497" spans="1:20" customFormat="1" ht="15" x14ac:dyDescent="0.25">
      <c r="A6497" t="s">
        <v>35</v>
      </c>
      <c r="B6497" t="s">
        <v>61</v>
      </c>
      <c r="C6497" t="str">
        <f>"A0182908"</f>
        <v>A0182908</v>
      </c>
      <c r="D6497" t="s">
        <v>25243</v>
      </c>
      <c r="E6497" t="s">
        <v>25244</v>
      </c>
      <c r="F6497" t="s">
        <v>9668</v>
      </c>
      <c r="G6497" t="s">
        <v>110</v>
      </c>
      <c r="H6497">
        <v>95401</v>
      </c>
      <c r="I6497" t="s">
        <v>30</v>
      </c>
      <c r="J6497" t="s">
        <v>41</v>
      </c>
      <c r="K6497" t="s">
        <v>59</v>
      </c>
      <c r="Q6497">
        <v>0</v>
      </c>
      <c r="R6497">
        <v>0</v>
      </c>
      <c r="S6497">
        <v>0</v>
      </c>
      <c r="T6497" t="s">
        <v>25245</v>
      </c>
    </row>
    <row r="6498" spans="1:20" customFormat="1" ht="15" x14ac:dyDescent="0.25">
      <c r="A6498" t="s">
        <v>35</v>
      </c>
      <c r="B6498" t="s">
        <v>61</v>
      </c>
      <c r="C6498" t="str">
        <f>"A0182907"</f>
        <v>A0182907</v>
      </c>
      <c r="D6498" t="s">
        <v>25246</v>
      </c>
      <c r="E6498" t="s">
        <v>25247</v>
      </c>
      <c r="F6498" t="s">
        <v>20660</v>
      </c>
      <c r="G6498" t="s">
        <v>110</v>
      </c>
      <c r="H6498" t="s">
        <v>25248</v>
      </c>
      <c r="I6498" t="s">
        <v>30</v>
      </c>
      <c r="J6498" t="s">
        <v>41</v>
      </c>
      <c r="K6498" t="s">
        <v>59</v>
      </c>
      <c r="Q6498">
        <v>0</v>
      </c>
      <c r="R6498">
        <v>66</v>
      </c>
      <c r="S6498">
        <v>66</v>
      </c>
      <c r="T6498" t="s">
        <v>25249</v>
      </c>
    </row>
    <row r="6499" spans="1:20" customFormat="1" ht="15" x14ac:dyDescent="0.25">
      <c r="A6499" t="s">
        <v>35</v>
      </c>
      <c r="B6499" t="s">
        <v>61</v>
      </c>
      <c r="C6499" t="str">
        <f>"A0182906"</f>
        <v>A0182906</v>
      </c>
      <c r="D6499" t="s">
        <v>25250</v>
      </c>
      <c r="E6499" t="s">
        <v>25251</v>
      </c>
      <c r="F6499" t="s">
        <v>25252</v>
      </c>
      <c r="G6499" t="s">
        <v>925</v>
      </c>
      <c r="H6499">
        <v>67834</v>
      </c>
      <c r="I6499" t="s">
        <v>30</v>
      </c>
      <c r="J6499" t="s">
        <v>41</v>
      </c>
      <c r="K6499" t="s">
        <v>59</v>
      </c>
      <c r="Q6499">
        <v>0</v>
      </c>
      <c r="R6499">
        <v>43</v>
      </c>
      <c r="S6499">
        <v>43</v>
      </c>
      <c r="T6499" t="s">
        <v>25253</v>
      </c>
    </row>
    <row r="6500" spans="1:20" customFormat="1" ht="15" x14ac:dyDescent="0.25">
      <c r="A6500" t="s">
        <v>35</v>
      </c>
      <c r="B6500" t="s">
        <v>61</v>
      </c>
      <c r="C6500" t="str">
        <f>"A0182905"</f>
        <v>A0182905</v>
      </c>
      <c r="D6500" t="s">
        <v>25254</v>
      </c>
      <c r="E6500" t="s">
        <v>25255</v>
      </c>
      <c r="F6500" t="s">
        <v>3108</v>
      </c>
      <c r="G6500" t="s">
        <v>925</v>
      </c>
      <c r="H6500" t="s">
        <v>25256</v>
      </c>
      <c r="I6500" t="s">
        <v>30</v>
      </c>
      <c r="J6500" t="s">
        <v>41</v>
      </c>
      <c r="K6500" t="s">
        <v>59</v>
      </c>
      <c r="Q6500">
        <v>0</v>
      </c>
      <c r="R6500">
        <v>130</v>
      </c>
      <c r="S6500">
        <v>130</v>
      </c>
      <c r="T6500" t="s">
        <v>25257</v>
      </c>
    </row>
    <row r="6501" spans="1:20" customFormat="1" ht="15" x14ac:dyDescent="0.25">
      <c r="A6501" t="s">
        <v>35</v>
      </c>
      <c r="B6501" t="s">
        <v>61</v>
      </c>
      <c r="C6501" t="str">
        <f>"A0182904"</f>
        <v>A0182904</v>
      </c>
      <c r="D6501" t="s">
        <v>25258</v>
      </c>
      <c r="E6501" t="s">
        <v>25259</v>
      </c>
      <c r="F6501" t="s">
        <v>11602</v>
      </c>
      <c r="G6501" t="s">
        <v>925</v>
      </c>
      <c r="H6501">
        <v>675489738</v>
      </c>
      <c r="I6501" t="s">
        <v>30</v>
      </c>
      <c r="J6501" t="s">
        <v>41</v>
      </c>
      <c r="K6501" t="s">
        <v>59</v>
      </c>
      <c r="Q6501">
        <v>0</v>
      </c>
      <c r="R6501">
        <v>56</v>
      </c>
      <c r="S6501">
        <v>56</v>
      </c>
      <c r="T6501" t="s">
        <v>25260</v>
      </c>
    </row>
    <row r="6502" spans="1:20" customFormat="1" ht="15" x14ac:dyDescent="0.25">
      <c r="A6502" t="s">
        <v>35</v>
      </c>
      <c r="B6502" t="s">
        <v>61</v>
      </c>
      <c r="C6502" t="str">
        <f>"A0182903"</f>
        <v>A0182903</v>
      </c>
      <c r="D6502" t="s">
        <v>25261</v>
      </c>
      <c r="E6502" t="s">
        <v>25262</v>
      </c>
      <c r="F6502" t="s">
        <v>21265</v>
      </c>
      <c r="G6502" t="s">
        <v>925</v>
      </c>
      <c r="H6502" t="s">
        <v>25263</v>
      </c>
      <c r="I6502" t="s">
        <v>30</v>
      </c>
      <c r="J6502" t="s">
        <v>41</v>
      </c>
      <c r="K6502" t="s">
        <v>59</v>
      </c>
      <c r="Q6502">
        <v>0</v>
      </c>
      <c r="R6502">
        <v>0</v>
      </c>
      <c r="S6502">
        <v>0</v>
      </c>
      <c r="T6502" t="s">
        <v>25264</v>
      </c>
    </row>
    <row r="6503" spans="1:20" customFormat="1" ht="15" x14ac:dyDescent="0.25">
      <c r="A6503" t="s">
        <v>35</v>
      </c>
      <c r="B6503" t="s">
        <v>12660</v>
      </c>
      <c r="C6503" t="str">
        <f>"A0182902"</f>
        <v>A0182902</v>
      </c>
      <c r="D6503" t="s">
        <v>25265</v>
      </c>
      <c r="E6503" t="s">
        <v>25266</v>
      </c>
      <c r="F6503" t="s">
        <v>9128</v>
      </c>
      <c r="G6503" t="s">
        <v>110</v>
      </c>
      <c r="H6503">
        <v>946212400</v>
      </c>
      <c r="I6503" t="s">
        <v>30</v>
      </c>
      <c r="J6503" t="s">
        <v>41</v>
      </c>
      <c r="K6503" t="s">
        <v>59</v>
      </c>
      <c r="Q6503">
        <v>0</v>
      </c>
      <c r="R6503">
        <v>0</v>
      </c>
      <c r="S6503">
        <v>0</v>
      </c>
      <c r="T6503" t="s">
        <v>25166</v>
      </c>
    </row>
    <row r="6504" spans="1:20" customFormat="1" ht="15" x14ac:dyDescent="0.25">
      <c r="A6504" t="s">
        <v>35</v>
      </c>
      <c r="B6504" t="s">
        <v>61</v>
      </c>
      <c r="C6504" t="str">
        <f>"A0182901"</f>
        <v>A0182901</v>
      </c>
      <c r="D6504" t="s">
        <v>25267</v>
      </c>
      <c r="E6504" t="s">
        <v>25268</v>
      </c>
      <c r="F6504" t="s">
        <v>25269</v>
      </c>
      <c r="G6504" t="s">
        <v>110</v>
      </c>
      <c r="H6504" t="s">
        <v>25270</v>
      </c>
      <c r="I6504" t="s">
        <v>30</v>
      </c>
      <c r="J6504" t="s">
        <v>41</v>
      </c>
      <c r="K6504" t="s">
        <v>59</v>
      </c>
      <c r="Q6504">
        <v>0</v>
      </c>
      <c r="R6504">
        <v>72</v>
      </c>
      <c r="S6504">
        <v>72</v>
      </c>
      <c r="T6504" t="s">
        <v>25271</v>
      </c>
    </row>
    <row r="6505" spans="1:20" customFormat="1" ht="15" x14ac:dyDescent="0.25">
      <c r="A6505" t="s">
        <v>35</v>
      </c>
      <c r="B6505" t="s">
        <v>61</v>
      </c>
      <c r="C6505" t="str">
        <f>"A0182900"</f>
        <v>A0182900</v>
      </c>
      <c r="D6505" t="s">
        <v>25272</v>
      </c>
      <c r="E6505" t="s">
        <v>25273</v>
      </c>
      <c r="F6505" t="s">
        <v>5463</v>
      </c>
      <c r="G6505" t="s">
        <v>110</v>
      </c>
      <c r="H6505" t="s">
        <v>25274</v>
      </c>
      <c r="I6505" t="s">
        <v>30</v>
      </c>
      <c r="J6505" t="s">
        <v>41</v>
      </c>
      <c r="K6505" t="s">
        <v>59</v>
      </c>
      <c r="Q6505">
        <v>0</v>
      </c>
      <c r="R6505">
        <v>0</v>
      </c>
      <c r="S6505">
        <v>0</v>
      </c>
      <c r="T6505" t="s">
        <v>25275</v>
      </c>
    </row>
    <row r="6506" spans="1:20" customFormat="1" ht="15" x14ac:dyDescent="0.25">
      <c r="A6506" t="s">
        <v>35</v>
      </c>
      <c r="B6506" t="s">
        <v>61</v>
      </c>
      <c r="C6506" t="str">
        <f>"A0182899"</f>
        <v>A0182899</v>
      </c>
      <c r="D6506" t="s">
        <v>25276</v>
      </c>
      <c r="E6506" t="s">
        <v>25277</v>
      </c>
      <c r="F6506" t="s">
        <v>9128</v>
      </c>
      <c r="G6506" t="s">
        <v>110</v>
      </c>
      <c r="H6506">
        <v>946051065</v>
      </c>
      <c r="I6506" t="s">
        <v>30</v>
      </c>
      <c r="J6506" t="s">
        <v>41</v>
      </c>
      <c r="K6506" t="s">
        <v>59</v>
      </c>
      <c r="Q6506">
        <v>0</v>
      </c>
      <c r="R6506">
        <v>61</v>
      </c>
      <c r="S6506">
        <v>61</v>
      </c>
      <c r="T6506" t="s">
        <v>25278</v>
      </c>
    </row>
    <row r="6507" spans="1:20" customFormat="1" ht="15" x14ac:dyDescent="0.25">
      <c r="A6507" t="s">
        <v>35</v>
      </c>
      <c r="B6507" t="s">
        <v>61</v>
      </c>
      <c r="C6507" t="str">
        <f>"A0182898"</f>
        <v>A0182898</v>
      </c>
      <c r="D6507" t="s">
        <v>25279</v>
      </c>
      <c r="E6507" t="s">
        <v>20007</v>
      </c>
      <c r="F6507" t="s">
        <v>4112</v>
      </c>
      <c r="G6507" t="s">
        <v>71</v>
      </c>
      <c r="H6507" t="s">
        <v>25280</v>
      </c>
      <c r="I6507" t="s">
        <v>30</v>
      </c>
      <c r="J6507" t="s">
        <v>41</v>
      </c>
      <c r="K6507" t="s">
        <v>59</v>
      </c>
      <c r="Q6507">
        <v>0</v>
      </c>
      <c r="R6507">
        <v>0</v>
      </c>
      <c r="S6507">
        <v>0</v>
      </c>
      <c r="T6507" t="s">
        <v>25281</v>
      </c>
    </row>
    <row r="6508" spans="1:20" customFormat="1" ht="15" x14ac:dyDescent="0.25">
      <c r="A6508" t="s">
        <v>35</v>
      </c>
      <c r="B6508" t="s">
        <v>61</v>
      </c>
      <c r="C6508" t="str">
        <f>"A0182897"</f>
        <v>A0182897</v>
      </c>
      <c r="D6508" t="s">
        <v>25282</v>
      </c>
      <c r="E6508" t="s">
        <v>25283</v>
      </c>
      <c r="F6508" t="s">
        <v>10170</v>
      </c>
      <c r="G6508" t="s">
        <v>161</v>
      </c>
      <c r="H6508" t="s">
        <v>25284</v>
      </c>
      <c r="I6508" t="s">
        <v>30</v>
      </c>
      <c r="J6508" t="s">
        <v>41</v>
      </c>
      <c r="K6508" t="s">
        <v>59</v>
      </c>
      <c r="Q6508">
        <v>0</v>
      </c>
      <c r="R6508">
        <v>119</v>
      </c>
      <c r="S6508">
        <v>119</v>
      </c>
      <c r="T6508" t="s">
        <v>25285</v>
      </c>
    </row>
    <row r="6509" spans="1:20" customFormat="1" ht="15" x14ac:dyDescent="0.25">
      <c r="A6509" t="s">
        <v>35</v>
      </c>
      <c r="B6509" t="s">
        <v>61</v>
      </c>
      <c r="C6509" t="str">
        <f>"A0182896"</f>
        <v>A0182896</v>
      </c>
      <c r="D6509" t="s">
        <v>25286</v>
      </c>
      <c r="E6509" t="s">
        <v>24947</v>
      </c>
      <c r="F6509" t="s">
        <v>24948</v>
      </c>
      <c r="G6509" t="s">
        <v>161</v>
      </c>
      <c r="H6509">
        <v>56374</v>
      </c>
      <c r="I6509" t="s">
        <v>30</v>
      </c>
      <c r="J6509" t="s">
        <v>41</v>
      </c>
      <c r="K6509" t="s">
        <v>59</v>
      </c>
      <c r="Q6509">
        <v>0</v>
      </c>
      <c r="R6509">
        <v>0</v>
      </c>
      <c r="S6509">
        <v>0</v>
      </c>
    </row>
    <row r="6510" spans="1:20" customFormat="1" ht="15" x14ac:dyDescent="0.25">
      <c r="A6510" t="s">
        <v>35</v>
      </c>
      <c r="B6510" t="s">
        <v>61</v>
      </c>
      <c r="C6510" t="str">
        <f>"A0182895"</f>
        <v>A0182895</v>
      </c>
      <c r="D6510" t="s">
        <v>25287</v>
      </c>
      <c r="E6510" t="s">
        <v>25288</v>
      </c>
      <c r="F6510" t="s">
        <v>4685</v>
      </c>
      <c r="G6510" t="s">
        <v>99</v>
      </c>
      <c r="H6510">
        <v>12565</v>
      </c>
      <c r="I6510" t="s">
        <v>30</v>
      </c>
      <c r="J6510" t="s">
        <v>41</v>
      </c>
      <c r="K6510" t="s">
        <v>59</v>
      </c>
      <c r="Q6510">
        <v>0</v>
      </c>
      <c r="R6510">
        <v>120</v>
      </c>
      <c r="S6510">
        <v>120</v>
      </c>
      <c r="T6510" t="s">
        <v>25289</v>
      </c>
    </row>
    <row r="6511" spans="1:20" customFormat="1" ht="15" x14ac:dyDescent="0.25">
      <c r="A6511" t="s">
        <v>35</v>
      </c>
      <c r="B6511" t="s">
        <v>61</v>
      </c>
      <c r="C6511" t="str">
        <f>"A0182894"</f>
        <v>A0182894</v>
      </c>
      <c r="D6511" t="s">
        <v>25290</v>
      </c>
      <c r="E6511" t="s">
        <v>25291</v>
      </c>
      <c r="F6511" t="s">
        <v>4269</v>
      </c>
      <c r="G6511" t="s">
        <v>99</v>
      </c>
      <c r="H6511" t="s">
        <v>25292</v>
      </c>
      <c r="I6511" t="s">
        <v>30</v>
      </c>
      <c r="J6511" t="s">
        <v>41</v>
      </c>
      <c r="K6511" t="s">
        <v>59</v>
      </c>
      <c r="Q6511">
        <v>0</v>
      </c>
      <c r="R6511">
        <v>0</v>
      </c>
      <c r="S6511">
        <v>0</v>
      </c>
    </row>
    <row r="6512" spans="1:20" customFormat="1" ht="15" x14ac:dyDescent="0.25">
      <c r="A6512" t="s">
        <v>35</v>
      </c>
      <c r="B6512" t="s">
        <v>11871</v>
      </c>
      <c r="C6512" t="str">
        <f>"A0182893"</f>
        <v>A0182893</v>
      </c>
      <c r="D6512" t="s">
        <v>19749</v>
      </c>
      <c r="E6512" t="s">
        <v>25293</v>
      </c>
      <c r="F6512" t="s">
        <v>20360</v>
      </c>
      <c r="G6512" t="s">
        <v>161</v>
      </c>
      <c r="H6512" t="s">
        <v>25294</v>
      </c>
      <c r="I6512" t="s">
        <v>30</v>
      </c>
      <c r="J6512" t="s">
        <v>41</v>
      </c>
      <c r="K6512" t="s">
        <v>59</v>
      </c>
      <c r="Q6512">
        <v>0</v>
      </c>
      <c r="R6512">
        <v>0</v>
      </c>
      <c r="S6512">
        <v>0</v>
      </c>
      <c r="T6512" t="s">
        <v>19752</v>
      </c>
    </row>
    <row r="6513" spans="1:20" customFormat="1" ht="15" x14ac:dyDescent="0.25">
      <c r="A6513" t="s">
        <v>35</v>
      </c>
      <c r="B6513" t="s">
        <v>61</v>
      </c>
      <c r="C6513" t="str">
        <f>"A0182892"</f>
        <v>A0182892</v>
      </c>
      <c r="D6513" t="s">
        <v>25295</v>
      </c>
      <c r="E6513" t="s">
        <v>25296</v>
      </c>
      <c r="F6513" t="s">
        <v>22374</v>
      </c>
      <c r="G6513" t="s">
        <v>161</v>
      </c>
      <c r="H6513" t="s">
        <v>25297</v>
      </c>
      <c r="I6513" t="s">
        <v>30</v>
      </c>
      <c r="J6513" t="s">
        <v>41</v>
      </c>
      <c r="K6513" t="s">
        <v>59</v>
      </c>
      <c r="Q6513">
        <v>0</v>
      </c>
      <c r="R6513">
        <v>0</v>
      </c>
      <c r="S6513">
        <v>0</v>
      </c>
    </row>
    <row r="6514" spans="1:20" customFormat="1" ht="15" x14ac:dyDescent="0.25">
      <c r="A6514" t="s">
        <v>35</v>
      </c>
      <c r="B6514" t="s">
        <v>61</v>
      </c>
      <c r="C6514" t="str">
        <f>"A0182891"</f>
        <v>A0182891</v>
      </c>
      <c r="D6514" t="s">
        <v>25298</v>
      </c>
      <c r="E6514" t="s">
        <v>25299</v>
      </c>
      <c r="F6514" t="s">
        <v>23833</v>
      </c>
      <c r="G6514" t="s">
        <v>99</v>
      </c>
      <c r="H6514" t="s">
        <v>25300</v>
      </c>
      <c r="I6514" t="s">
        <v>30</v>
      </c>
      <c r="J6514" t="s">
        <v>41</v>
      </c>
      <c r="K6514" t="s">
        <v>59</v>
      </c>
      <c r="Q6514">
        <v>0</v>
      </c>
      <c r="R6514">
        <v>0</v>
      </c>
      <c r="S6514">
        <v>0</v>
      </c>
    </row>
    <row r="6515" spans="1:20" customFormat="1" ht="15" x14ac:dyDescent="0.25">
      <c r="A6515" t="s">
        <v>35</v>
      </c>
      <c r="B6515" t="s">
        <v>61</v>
      </c>
      <c r="C6515" t="str">
        <f>"A0182889"</f>
        <v>A0182889</v>
      </c>
      <c r="D6515" t="s">
        <v>25301</v>
      </c>
      <c r="E6515" t="s">
        <v>25302</v>
      </c>
      <c r="F6515" t="s">
        <v>25303</v>
      </c>
      <c r="G6515" t="s">
        <v>99</v>
      </c>
      <c r="H6515" t="s">
        <v>25304</v>
      </c>
      <c r="I6515" t="s">
        <v>30</v>
      </c>
      <c r="J6515" t="s">
        <v>41</v>
      </c>
      <c r="K6515" t="s">
        <v>59</v>
      </c>
      <c r="Q6515">
        <v>0</v>
      </c>
      <c r="R6515">
        <v>105</v>
      </c>
      <c r="S6515">
        <v>105</v>
      </c>
      <c r="T6515" t="s">
        <v>25305</v>
      </c>
    </row>
    <row r="6516" spans="1:20" customFormat="1" ht="15" x14ac:dyDescent="0.25">
      <c r="A6516" t="s">
        <v>35</v>
      </c>
      <c r="B6516" t="s">
        <v>61</v>
      </c>
      <c r="C6516" t="str">
        <f>"A0182888"</f>
        <v>A0182888</v>
      </c>
      <c r="D6516" t="s">
        <v>25306</v>
      </c>
      <c r="E6516" t="s">
        <v>25307</v>
      </c>
      <c r="F6516" t="s">
        <v>25308</v>
      </c>
      <c r="G6516" t="s">
        <v>99</v>
      </c>
      <c r="H6516" t="s">
        <v>25309</v>
      </c>
      <c r="I6516" t="s">
        <v>30</v>
      </c>
      <c r="J6516" t="s">
        <v>41</v>
      </c>
      <c r="K6516" t="s">
        <v>59</v>
      </c>
      <c r="Q6516">
        <v>0</v>
      </c>
      <c r="R6516">
        <v>0</v>
      </c>
      <c r="S6516">
        <v>0</v>
      </c>
      <c r="T6516" t="s">
        <v>25310</v>
      </c>
    </row>
    <row r="6517" spans="1:20" customFormat="1" ht="15" x14ac:dyDescent="0.25">
      <c r="A6517" t="s">
        <v>35</v>
      </c>
      <c r="B6517" t="s">
        <v>61</v>
      </c>
      <c r="C6517" t="str">
        <f>"A0182887"</f>
        <v>A0182887</v>
      </c>
      <c r="D6517" t="s">
        <v>25311</v>
      </c>
      <c r="E6517" t="s">
        <v>25312</v>
      </c>
      <c r="F6517" t="s">
        <v>25313</v>
      </c>
      <c r="G6517" t="s">
        <v>925</v>
      </c>
      <c r="H6517" t="s">
        <v>25314</v>
      </c>
      <c r="I6517" t="s">
        <v>30</v>
      </c>
      <c r="J6517" t="s">
        <v>41</v>
      </c>
      <c r="K6517" t="s">
        <v>59</v>
      </c>
      <c r="Q6517">
        <v>0</v>
      </c>
      <c r="R6517">
        <v>64</v>
      </c>
      <c r="S6517">
        <v>64</v>
      </c>
      <c r="T6517" t="s">
        <v>25315</v>
      </c>
    </row>
    <row r="6518" spans="1:20" customFormat="1" ht="15" x14ac:dyDescent="0.25">
      <c r="A6518" t="s">
        <v>35</v>
      </c>
      <c r="B6518" t="s">
        <v>61</v>
      </c>
      <c r="C6518" t="str">
        <f>"A0182886"</f>
        <v>A0182886</v>
      </c>
      <c r="D6518" t="s">
        <v>25316</v>
      </c>
      <c r="E6518" t="s">
        <v>25317</v>
      </c>
      <c r="F6518" t="s">
        <v>7095</v>
      </c>
      <c r="G6518" t="s">
        <v>1170</v>
      </c>
      <c r="H6518" t="s">
        <v>25318</v>
      </c>
      <c r="I6518" t="s">
        <v>30</v>
      </c>
      <c r="J6518" t="s">
        <v>41</v>
      </c>
      <c r="K6518" t="s">
        <v>59</v>
      </c>
      <c r="Q6518">
        <v>0</v>
      </c>
      <c r="R6518">
        <v>120</v>
      </c>
      <c r="S6518">
        <v>120</v>
      </c>
      <c r="T6518" t="s">
        <v>25319</v>
      </c>
    </row>
    <row r="6519" spans="1:20" customFormat="1" ht="15" x14ac:dyDescent="0.25">
      <c r="A6519" t="s">
        <v>35</v>
      </c>
      <c r="B6519" t="s">
        <v>61</v>
      </c>
      <c r="C6519" t="str">
        <f>"A0182885"</f>
        <v>A0182885</v>
      </c>
      <c r="D6519" t="s">
        <v>25320</v>
      </c>
      <c r="E6519" t="s">
        <v>25321</v>
      </c>
      <c r="F6519" t="s">
        <v>25322</v>
      </c>
      <c r="G6519" t="s">
        <v>99</v>
      </c>
      <c r="H6519" t="s">
        <v>25323</v>
      </c>
      <c r="I6519" t="s">
        <v>30</v>
      </c>
      <c r="J6519" t="s">
        <v>41</v>
      </c>
      <c r="K6519" t="s">
        <v>59</v>
      </c>
      <c r="Q6519">
        <v>0</v>
      </c>
      <c r="R6519">
        <v>135</v>
      </c>
      <c r="S6519">
        <v>135</v>
      </c>
      <c r="T6519" t="s">
        <v>25324</v>
      </c>
    </row>
    <row r="6520" spans="1:20" customFormat="1" ht="15" x14ac:dyDescent="0.25">
      <c r="A6520" t="s">
        <v>35</v>
      </c>
      <c r="B6520" t="s">
        <v>61</v>
      </c>
      <c r="C6520" t="str">
        <f>"A0182884"</f>
        <v>A0182884</v>
      </c>
      <c r="D6520" t="s">
        <v>25325</v>
      </c>
      <c r="E6520" t="s">
        <v>25326</v>
      </c>
      <c r="F6520" t="s">
        <v>25327</v>
      </c>
      <c r="G6520" t="s">
        <v>99</v>
      </c>
      <c r="H6520" t="s">
        <v>25328</v>
      </c>
      <c r="I6520" t="s">
        <v>30</v>
      </c>
      <c r="J6520" t="s">
        <v>41</v>
      </c>
      <c r="K6520" t="s">
        <v>59</v>
      </c>
      <c r="Q6520">
        <v>0</v>
      </c>
      <c r="R6520">
        <v>17</v>
      </c>
      <c r="S6520">
        <v>17</v>
      </c>
      <c r="T6520" t="s">
        <v>25329</v>
      </c>
    </row>
    <row r="6521" spans="1:20" customFormat="1" ht="15" x14ac:dyDescent="0.25">
      <c r="A6521" t="s">
        <v>35</v>
      </c>
      <c r="B6521" t="s">
        <v>61</v>
      </c>
      <c r="C6521" t="str">
        <f>"A0182883"</f>
        <v>A0182883</v>
      </c>
      <c r="D6521" t="s">
        <v>25330</v>
      </c>
      <c r="E6521" t="s">
        <v>25331</v>
      </c>
      <c r="F6521" t="s">
        <v>22374</v>
      </c>
      <c r="G6521" t="s">
        <v>99</v>
      </c>
      <c r="H6521" t="s">
        <v>25332</v>
      </c>
      <c r="I6521" t="s">
        <v>30</v>
      </c>
      <c r="J6521" t="s">
        <v>41</v>
      </c>
      <c r="K6521" t="s">
        <v>59</v>
      </c>
      <c r="Q6521">
        <v>0</v>
      </c>
      <c r="R6521">
        <v>0</v>
      </c>
      <c r="S6521">
        <v>0</v>
      </c>
    </row>
    <row r="6522" spans="1:20" customFormat="1" ht="15" x14ac:dyDescent="0.25">
      <c r="A6522" t="s">
        <v>35</v>
      </c>
      <c r="B6522" t="s">
        <v>61</v>
      </c>
      <c r="C6522" t="str">
        <f>"A0182882"</f>
        <v>A0182882</v>
      </c>
      <c r="D6522" t="s">
        <v>25333</v>
      </c>
      <c r="E6522" t="s">
        <v>25334</v>
      </c>
      <c r="F6522" t="s">
        <v>24638</v>
      </c>
      <c r="G6522" t="s">
        <v>99</v>
      </c>
      <c r="H6522">
        <v>11944</v>
      </c>
      <c r="I6522" t="s">
        <v>30</v>
      </c>
      <c r="J6522" t="s">
        <v>41</v>
      </c>
      <c r="K6522" t="s">
        <v>59</v>
      </c>
      <c r="Q6522">
        <v>0</v>
      </c>
      <c r="R6522">
        <v>70</v>
      </c>
      <c r="S6522">
        <v>70</v>
      </c>
      <c r="T6522" t="s">
        <v>25335</v>
      </c>
    </row>
    <row r="6523" spans="1:20" customFormat="1" ht="15" x14ac:dyDescent="0.25">
      <c r="A6523" t="s">
        <v>35</v>
      </c>
      <c r="B6523" t="s">
        <v>61</v>
      </c>
      <c r="C6523" t="str">
        <f>"A0182881"</f>
        <v>A0182881</v>
      </c>
      <c r="D6523" t="s">
        <v>25336</v>
      </c>
      <c r="E6523" t="s">
        <v>25337</v>
      </c>
      <c r="F6523" t="s">
        <v>25338</v>
      </c>
      <c r="G6523" t="s">
        <v>99</v>
      </c>
      <c r="H6523" t="s">
        <v>25339</v>
      </c>
      <c r="I6523" t="s">
        <v>30</v>
      </c>
      <c r="J6523" t="s">
        <v>41</v>
      </c>
      <c r="K6523" t="s">
        <v>59</v>
      </c>
      <c r="Q6523">
        <v>0</v>
      </c>
      <c r="R6523">
        <v>250</v>
      </c>
      <c r="S6523">
        <v>250</v>
      </c>
      <c r="T6523" t="s">
        <v>25340</v>
      </c>
    </row>
    <row r="6524" spans="1:20" customFormat="1" ht="15" x14ac:dyDescent="0.25">
      <c r="A6524" t="s">
        <v>35</v>
      </c>
      <c r="B6524" t="s">
        <v>61</v>
      </c>
      <c r="C6524" t="str">
        <f>"A0182880"</f>
        <v>A0182880</v>
      </c>
      <c r="D6524" t="s">
        <v>25341</v>
      </c>
      <c r="E6524" t="s">
        <v>25342</v>
      </c>
      <c r="F6524" t="s">
        <v>4116</v>
      </c>
      <c r="G6524" t="s">
        <v>99</v>
      </c>
      <c r="H6524" t="s">
        <v>25343</v>
      </c>
      <c r="I6524" t="s">
        <v>30</v>
      </c>
      <c r="J6524" t="s">
        <v>41</v>
      </c>
      <c r="K6524" t="s">
        <v>59</v>
      </c>
      <c r="Q6524">
        <v>0</v>
      </c>
      <c r="R6524">
        <v>122</v>
      </c>
      <c r="S6524">
        <v>122</v>
      </c>
      <c r="T6524" t="s">
        <v>25344</v>
      </c>
    </row>
    <row r="6525" spans="1:20" customFormat="1" ht="15" x14ac:dyDescent="0.25">
      <c r="A6525" t="s">
        <v>35</v>
      </c>
      <c r="B6525" t="s">
        <v>61</v>
      </c>
      <c r="C6525" t="str">
        <f>"A0182879"</f>
        <v>A0182879</v>
      </c>
      <c r="D6525" t="s">
        <v>25345</v>
      </c>
      <c r="E6525" t="s">
        <v>25346</v>
      </c>
      <c r="F6525" t="s">
        <v>25347</v>
      </c>
      <c r="G6525" t="s">
        <v>99</v>
      </c>
      <c r="H6525" t="s">
        <v>25348</v>
      </c>
      <c r="I6525" t="s">
        <v>30</v>
      </c>
      <c r="J6525" t="s">
        <v>41</v>
      </c>
      <c r="K6525" t="s">
        <v>59</v>
      </c>
      <c r="Q6525">
        <v>0</v>
      </c>
      <c r="R6525">
        <v>120</v>
      </c>
      <c r="S6525">
        <v>120</v>
      </c>
      <c r="T6525" t="s">
        <v>25349</v>
      </c>
    </row>
    <row r="6526" spans="1:20" customFormat="1" ht="15" x14ac:dyDescent="0.25">
      <c r="A6526" t="s">
        <v>35</v>
      </c>
      <c r="B6526" t="s">
        <v>61</v>
      </c>
      <c r="C6526" t="str">
        <f>"A0182878"</f>
        <v>A0182878</v>
      </c>
      <c r="D6526" t="s">
        <v>25350</v>
      </c>
      <c r="E6526" t="s">
        <v>25351</v>
      </c>
      <c r="F6526" t="s">
        <v>25141</v>
      </c>
      <c r="G6526" t="s">
        <v>99</v>
      </c>
      <c r="H6526" t="s">
        <v>25352</v>
      </c>
      <c r="I6526" t="s">
        <v>30</v>
      </c>
      <c r="J6526" t="s">
        <v>41</v>
      </c>
      <c r="K6526" t="s">
        <v>59</v>
      </c>
      <c r="Q6526">
        <v>0</v>
      </c>
      <c r="R6526">
        <v>0</v>
      </c>
      <c r="S6526">
        <v>0</v>
      </c>
      <c r="T6526" t="s">
        <v>25353</v>
      </c>
    </row>
    <row r="6527" spans="1:20" customFormat="1" ht="15" x14ac:dyDescent="0.25">
      <c r="A6527" t="s">
        <v>35</v>
      </c>
      <c r="B6527" t="s">
        <v>61</v>
      </c>
      <c r="C6527" t="str">
        <f>"A0182877"</f>
        <v>A0182877</v>
      </c>
      <c r="D6527" t="s">
        <v>25354</v>
      </c>
      <c r="E6527" t="s">
        <v>25227</v>
      </c>
      <c r="F6527" t="s">
        <v>3193</v>
      </c>
      <c r="G6527" t="s">
        <v>99</v>
      </c>
      <c r="H6527" t="s">
        <v>25228</v>
      </c>
      <c r="I6527" t="s">
        <v>30</v>
      </c>
      <c r="J6527" t="s">
        <v>41</v>
      </c>
      <c r="K6527" t="s">
        <v>59</v>
      </c>
      <c r="Q6527">
        <v>0</v>
      </c>
      <c r="R6527">
        <v>160</v>
      </c>
      <c r="S6527">
        <v>160</v>
      </c>
      <c r="T6527" t="s">
        <v>25355</v>
      </c>
    </row>
    <row r="6528" spans="1:20" customFormat="1" ht="15" x14ac:dyDescent="0.25">
      <c r="A6528" t="s">
        <v>35</v>
      </c>
      <c r="B6528" t="s">
        <v>61</v>
      </c>
      <c r="C6528" t="str">
        <f>"A0182876"</f>
        <v>A0182876</v>
      </c>
      <c r="D6528" t="s">
        <v>25356</v>
      </c>
      <c r="E6528" t="s">
        <v>25357</v>
      </c>
      <c r="F6528" t="s">
        <v>24841</v>
      </c>
      <c r="G6528" t="s">
        <v>99</v>
      </c>
      <c r="H6528" t="s">
        <v>25358</v>
      </c>
      <c r="I6528" t="s">
        <v>30</v>
      </c>
      <c r="J6528" t="s">
        <v>41</v>
      </c>
      <c r="K6528" t="s">
        <v>59</v>
      </c>
      <c r="Q6528">
        <v>0</v>
      </c>
      <c r="R6528">
        <v>0</v>
      </c>
      <c r="S6528">
        <v>0</v>
      </c>
      <c r="T6528" t="s">
        <v>25359</v>
      </c>
    </row>
    <row r="6529" spans="1:20" customFormat="1" ht="15" x14ac:dyDescent="0.25">
      <c r="A6529" t="s">
        <v>35</v>
      </c>
      <c r="B6529" t="s">
        <v>61</v>
      </c>
      <c r="C6529" t="str">
        <f>"A0182875"</f>
        <v>A0182875</v>
      </c>
      <c r="D6529" t="s">
        <v>25360</v>
      </c>
      <c r="E6529" t="s">
        <v>25361</v>
      </c>
      <c r="F6529" t="s">
        <v>3339</v>
      </c>
      <c r="G6529" t="s">
        <v>99</v>
      </c>
      <c r="H6529" t="s">
        <v>25362</v>
      </c>
      <c r="I6529" t="s">
        <v>30</v>
      </c>
      <c r="J6529" t="s">
        <v>41</v>
      </c>
      <c r="K6529" t="s">
        <v>59</v>
      </c>
      <c r="Q6529">
        <v>0</v>
      </c>
      <c r="R6529">
        <v>0</v>
      </c>
      <c r="S6529">
        <v>0</v>
      </c>
      <c r="T6529" t="s">
        <v>25363</v>
      </c>
    </row>
    <row r="6530" spans="1:20" customFormat="1" ht="15" x14ac:dyDescent="0.25">
      <c r="A6530" t="s">
        <v>35</v>
      </c>
      <c r="B6530" t="s">
        <v>61</v>
      </c>
      <c r="C6530" t="str">
        <f>"A0182874"</f>
        <v>A0182874</v>
      </c>
      <c r="D6530" t="s">
        <v>25364</v>
      </c>
      <c r="E6530" t="s">
        <v>25365</v>
      </c>
      <c r="F6530" t="s">
        <v>25366</v>
      </c>
      <c r="G6530" t="s">
        <v>99</v>
      </c>
      <c r="H6530" t="s">
        <v>25367</v>
      </c>
      <c r="I6530" t="s">
        <v>30</v>
      </c>
      <c r="J6530" t="s">
        <v>41</v>
      </c>
      <c r="K6530" t="s">
        <v>59</v>
      </c>
      <c r="Q6530">
        <v>0</v>
      </c>
      <c r="R6530">
        <v>0</v>
      </c>
      <c r="S6530">
        <v>0</v>
      </c>
      <c r="T6530" t="s">
        <v>25368</v>
      </c>
    </row>
    <row r="6531" spans="1:20" customFormat="1" ht="15" x14ac:dyDescent="0.25">
      <c r="A6531" t="s">
        <v>35</v>
      </c>
      <c r="B6531" t="s">
        <v>61</v>
      </c>
      <c r="C6531" t="str">
        <f>"A0182873"</f>
        <v>A0182873</v>
      </c>
      <c r="D6531" t="s">
        <v>25369</v>
      </c>
      <c r="E6531" t="s">
        <v>25370</v>
      </c>
      <c r="F6531" t="s">
        <v>25371</v>
      </c>
      <c r="G6531" t="s">
        <v>99</v>
      </c>
      <c r="H6531">
        <v>99999</v>
      </c>
      <c r="I6531" t="s">
        <v>30</v>
      </c>
      <c r="J6531" t="s">
        <v>41</v>
      </c>
      <c r="K6531" t="s">
        <v>59</v>
      </c>
      <c r="Q6531">
        <v>0</v>
      </c>
      <c r="R6531">
        <v>0</v>
      </c>
      <c r="S6531">
        <v>0</v>
      </c>
    </row>
    <row r="6532" spans="1:20" customFormat="1" ht="15" x14ac:dyDescent="0.25">
      <c r="A6532" t="s">
        <v>35</v>
      </c>
      <c r="B6532" t="s">
        <v>61</v>
      </c>
      <c r="C6532" t="str">
        <f>"A0182872"</f>
        <v>A0182872</v>
      </c>
      <c r="D6532" t="s">
        <v>25372</v>
      </c>
      <c r="E6532" t="s">
        <v>25373</v>
      </c>
      <c r="F6532" t="s">
        <v>22210</v>
      </c>
      <c r="G6532" t="s">
        <v>99</v>
      </c>
      <c r="H6532" t="s">
        <v>25374</v>
      </c>
      <c r="I6532" t="s">
        <v>30</v>
      </c>
      <c r="J6532" t="s">
        <v>41</v>
      </c>
      <c r="K6532" t="s">
        <v>59</v>
      </c>
      <c r="Q6532">
        <v>0</v>
      </c>
      <c r="R6532">
        <v>202</v>
      </c>
      <c r="S6532">
        <v>202</v>
      </c>
      <c r="T6532" t="s">
        <v>25375</v>
      </c>
    </row>
    <row r="6533" spans="1:20" customFormat="1" ht="15" x14ac:dyDescent="0.25">
      <c r="A6533" t="s">
        <v>35</v>
      </c>
      <c r="B6533" t="s">
        <v>18151</v>
      </c>
      <c r="C6533" t="str">
        <f>"A0182871"</f>
        <v>A0182871</v>
      </c>
      <c r="D6533" t="s">
        <v>18152</v>
      </c>
      <c r="E6533" t="s">
        <v>25376</v>
      </c>
      <c r="F6533" t="s">
        <v>25377</v>
      </c>
      <c r="G6533" t="s">
        <v>161</v>
      </c>
      <c r="H6533">
        <v>55792</v>
      </c>
      <c r="I6533" t="s">
        <v>30</v>
      </c>
      <c r="J6533" t="s">
        <v>41</v>
      </c>
      <c r="K6533" t="s">
        <v>59</v>
      </c>
      <c r="Q6533">
        <v>0</v>
      </c>
      <c r="R6533">
        <v>0</v>
      </c>
      <c r="S6533">
        <v>0</v>
      </c>
      <c r="T6533" t="s">
        <v>25378</v>
      </c>
    </row>
    <row r="6534" spans="1:20" customFormat="1" ht="15" x14ac:dyDescent="0.25">
      <c r="A6534" t="s">
        <v>35</v>
      </c>
      <c r="B6534" t="s">
        <v>18151</v>
      </c>
      <c r="C6534" t="str">
        <f>"A0182870"</f>
        <v>A0182870</v>
      </c>
      <c r="D6534" t="s">
        <v>25379</v>
      </c>
      <c r="E6534" t="s">
        <v>25380</v>
      </c>
      <c r="F6534" t="s">
        <v>25377</v>
      </c>
      <c r="G6534" t="s">
        <v>161</v>
      </c>
      <c r="H6534" t="s">
        <v>25381</v>
      </c>
      <c r="I6534" t="s">
        <v>30</v>
      </c>
      <c r="J6534" t="s">
        <v>41</v>
      </c>
      <c r="K6534" t="s">
        <v>59</v>
      </c>
      <c r="Q6534">
        <v>0</v>
      </c>
      <c r="R6534">
        <v>0</v>
      </c>
      <c r="S6534">
        <v>0</v>
      </c>
    </row>
    <row r="6535" spans="1:20" customFormat="1" ht="15" x14ac:dyDescent="0.25">
      <c r="A6535" t="s">
        <v>35</v>
      </c>
      <c r="B6535" t="s">
        <v>61</v>
      </c>
      <c r="C6535" t="str">
        <f>"A0182869"</f>
        <v>A0182869</v>
      </c>
      <c r="D6535" t="s">
        <v>25382</v>
      </c>
      <c r="E6535" t="s">
        <v>25383</v>
      </c>
      <c r="F6535" t="s">
        <v>25384</v>
      </c>
      <c r="G6535" t="s">
        <v>99</v>
      </c>
      <c r="H6535" t="s">
        <v>25385</v>
      </c>
      <c r="I6535" t="s">
        <v>30</v>
      </c>
      <c r="J6535" t="s">
        <v>41</v>
      </c>
      <c r="K6535" t="s">
        <v>59</v>
      </c>
      <c r="Q6535">
        <v>0</v>
      </c>
      <c r="R6535">
        <v>160</v>
      </c>
      <c r="S6535">
        <v>160</v>
      </c>
      <c r="T6535" t="s">
        <v>25386</v>
      </c>
    </row>
    <row r="6536" spans="1:20" customFormat="1" ht="15" x14ac:dyDescent="0.25">
      <c r="A6536" t="s">
        <v>35</v>
      </c>
      <c r="B6536" t="s">
        <v>61</v>
      </c>
      <c r="C6536" t="str">
        <f>"A0182868"</f>
        <v>A0182868</v>
      </c>
      <c r="D6536" t="s">
        <v>24800</v>
      </c>
      <c r="E6536" t="s">
        <v>25387</v>
      </c>
      <c r="F6536" t="s">
        <v>25388</v>
      </c>
      <c r="G6536" t="s">
        <v>99</v>
      </c>
      <c r="H6536">
        <v>12601</v>
      </c>
      <c r="I6536" t="s">
        <v>30</v>
      </c>
      <c r="J6536" t="s">
        <v>41</v>
      </c>
      <c r="K6536" t="s">
        <v>59</v>
      </c>
      <c r="Q6536">
        <v>0</v>
      </c>
      <c r="R6536">
        <v>0</v>
      </c>
      <c r="S6536">
        <v>0</v>
      </c>
    </row>
    <row r="6537" spans="1:20" customFormat="1" ht="15" x14ac:dyDescent="0.25">
      <c r="A6537" t="s">
        <v>35</v>
      </c>
      <c r="B6537" t="s">
        <v>61</v>
      </c>
      <c r="C6537" t="str">
        <f>"A0182867"</f>
        <v>A0182867</v>
      </c>
      <c r="D6537" t="s">
        <v>25389</v>
      </c>
      <c r="E6537" t="s">
        <v>25390</v>
      </c>
      <c r="F6537" t="s">
        <v>22374</v>
      </c>
      <c r="G6537" t="s">
        <v>99</v>
      </c>
      <c r="H6537" t="s">
        <v>25391</v>
      </c>
      <c r="I6537" t="s">
        <v>30</v>
      </c>
      <c r="J6537" t="s">
        <v>41</v>
      </c>
      <c r="K6537" t="s">
        <v>59</v>
      </c>
      <c r="Q6537">
        <v>0</v>
      </c>
      <c r="R6537">
        <v>0</v>
      </c>
      <c r="S6537">
        <v>0</v>
      </c>
    </row>
    <row r="6538" spans="1:20" customFormat="1" ht="15" x14ac:dyDescent="0.25">
      <c r="A6538" t="s">
        <v>35</v>
      </c>
      <c r="B6538" t="s">
        <v>61</v>
      </c>
      <c r="C6538" t="str">
        <f>"A0182866"</f>
        <v>A0182866</v>
      </c>
      <c r="D6538" t="s">
        <v>25392</v>
      </c>
      <c r="E6538" t="s">
        <v>25393</v>
      </c>
      <c r="F6538" t="s">
        <v>5488</v>
      </c>
      <c r="G6538" t="s">
        <v>81</v>
      </c>
      <c r="H6538" t="s">
        <v>25394</v>
      </c>
      <c r="I6538" t="s">
        <v>30</v>
      </c>
      <c r="J6538" t="s">
        <v>41</v>
      </c>
      <c r="K6538" t="s">
        <v>59</v>
      </c>
      <c r="Q6538">
        <v>0</v>
      </c>
      <c r="R6538">
        <v>0</v>
      </c>
      <c r="S6538">
        <v>0</v>
      </c>
      <c r="T6538" t="s">
        <v>25395</v>
      </c>
    </row>
    <row r="6539" spans="1:20" customFormat="1" ht="15" x14ac:dyDescent="0.25">
      <c r="A6539" t="s">
        <v>35</v>
      </c>
      <c r="B6539" t="s">
        <v>61</v>
      </c>
      <c r="C6539" t="str">
        <f>"A0182865"</f>
        <v>A0182865</v>
      </c>
      <c r="D6539" t="s">
        <v>25396</v>
      </c>
      <c r="E6539" t="s">
        <v>25397</v>
      </c>
      <c r="F6539" t="s">
        <v>4645</v>
      </c>
      <c r="G6539" t="s">
        <v>81</v>
      </c>
      <c r="H6539" t="s">
        <v>25398</v>
      </c>
      <c r="I6539" t="s">
        <v>30</v>
      </c>
      <c r="J6539" t="s">
        <v>41</v>
      </c>
      <c r="K6539" t="s">
        <v>59</v>
      </c>
      <c r="Q6539">
        <v>0</v>
      </c>
      <c r="R6539">
        <v>0</v>
      </c>
      <c r="S6539">
        <v>0</v>
      </c>
      <c r="T6539" t="s">
        <v>25399</v>
      </c>
    </row>
    <row r="6540" spans="1:20" customFormat="1" ht="15" x14ac:dyDescent="0.25">
      <c r="A6540" t="s">
        <v>35</v>
      </c>
      <c r="B6540" t="s">
        <v>61</v>
      </c>
      <c r="C6540" t="str">
        <f>"A0182864"</f>
        <v>A0182864</v>
      </c>
      <c r="D6540" t="s">
        <v>25400</v>
      </c>
      <c r="E6540" t="s">
        <v>25401</v>
      </c>
      <c r="F6540" t="s">
        <v>23833</v>
      </c>
      <c r="G6540" t="s">
        <v>99</v>
      </c>
      <c r="H6540" t="s">
        <v>25402</v>
      </c>
      <c r="I6540" t="s">
        <v>30</v>
      </c>
      <c r="J6540" t="s">
        <v>41</v>
      </c>
      <c r="K6540" t="s">
        <v>59</v>
      </c>
      <c r="Q6540">
        <v>0</v>
      </c>
      <c r="R6540">
        <v>0</v>
      </c>
      <c r="S6540">
        <v>0</v>
      </c>
      <c r="T6540" t="s">
        <v>25403</v>
      </c>
    </row>
    <row r="6541" spans="1:20" customFormat="1" ht="15" x14ac:dyDescent="0.25">
      <c r="A6541" t="s">
        <v>35</v>
      </c>
      <c r="B6541" t="s">
        <v>61</v>
      </c>
      <c r="C6541" t="str">
        <f>"A0182863"</f>
        <v>A0182863</v>
      </c>
      <c r="D6541" t="s">
        <v>25404</v>
      </c>
      <c r="E6541" t="s">
        <v>25405</v>
      </c>
      <c r="F6541" t="s">
        <v>10542</v>
      </c>
      <c r="G6541" t="s">
        <v>81</v>
      </c>
      <c r="H6541" t="s">
        <v>25406</v>
      </c>
      <c r="I6541" t="s">
        <v>30</v>
      </c>
      <c r="J6541" t="s">
        <v>41</v>
      </c>
      <c r="K6541" t="s">
        <v>59</v>
      </c>
      <c r="Q6541">
        <v>0</v>
      </c>
      <c r="R6541">
        <v>0</v>
      </c>
      <c r="S6541">
        <v>0</v>
      </c>
      <c r="T6541" t="s">
        <v>25407</v>
      </c>
    </row>
    <row r="6542" spans="1:20" customFormat="1" ht="15" x14ac:dyDescent="0.25">
      <c r="A6542" t="s">
        <v>35</v>
      </c>
      <c r="B6542" t="s">
        <v>61</v>
      </c>
      <c r="C6542" t="str">
        <f>"A0182862"</f>
        <v>A0182862</v>
      </c>
      <c r="D6542" t="s">
        <v>25408</v>
      </c>
      <c r="E6542" t="s">
        <v>22700</v>
      </c>
      <c r="F6542" t="s">
        <v>22701</v>
      </c>
      <c r="G6542" t="s">
        <v>81</v>
      </c>
      <c r="H6542">
        <v>32064</v>
      </c>
      <c r="I6542" t="s">
        <v>30</v>
      </c>
      <c r="J6542" t="s">
        <v>41</v>
      </c>
      <c r="K6542" t="s">
        <v>59</v>
      </c>
      <c r="Q6542">
        <v>0</v>
      </c>
      <c r="R6542">
        <v>563</v>
      </c>
      <c r="S6542">
        <v>563</v>
      </c>
      <c r="T6542" t="s">
        <v>25409</v>
      </c>
    </row>
    <row r="6543" spans="1:20" customFormat="1" ht="15" x14ac:dyDescent="0.25">
      <c r="A6543" t="s">
        <v>35</v>
      </c>
      <c r="B6543" t="s">
        <v>61</v>
      </c>
      <c r="C6543" t="str">
        <f>"A0182861"</f>
        <v>A0182861</v>
      </c>
      <c r="D6543" t="s">
        <v>25410</v>
      </c>
      <c r="E6543" t="s">
        <v>25411</v>
      </c>
      <c r="F6543" t="s">
        <v>17771</v>
      </c>
      <c r="G6543" t="s">
        <v>190</v>
      </c>
      <c r="H6543">
        <v>81047</v>
      </c>
      <c r="I6543" t="s">
        <v>30</v>
      </c>
      <c r="J6543" t="s">
        <v>41</v>
      </c>
      <c r="K6543" t="s">
        <v>59</v>
      </c>
      <c r="Q6543">
        <v>0</v>
      </c>
      <c r="R6543">
        <v>0</v>
      </c>
      <c r="S6543">
        <v>0</v>
      </c>
    </row>
    <row r="6544" spans="1:20" customFormat="1" ht="15" x14ac:dyDescent="0.25">
      <c r="A6544" t="s">
        <v>35</v>
      </c>
      <c r="B6544" t="s">
        <v>61</v>
      </c>
      <c r="C6544" t="str">
        <f>"A0182860"</f>
        <v>A0182860</v>
      </c>
      <c r="D6544" t="s">
        <v>25412</v>
      </c>
      <c r="E6544" t="s">
        <v>25413</v>
      </c>
      <c r="F6544" t="s">
        <v>22196</v>
      </c>
      <c r="G6544" t="s">
        <v>161</v>
      </c>
      <c r="H6544" t="s">
        <v>25414</v>
      </c>
      <c r="I6544" t="s">
        <v>30</v>
      </c>
      <c r="J6544" t="s">
        <v>41</v>
      </c>
      <c r="K6544" t="s">
        <v>59</v>
      </c>
      <c r="Q6544">
        <v>0</v>
      </c>
      <c r="R6544">
        <v>100</v>
      </c>
      <c r="S6544">
        <v>100</v>
      </c>
      <c r="T6544" t="s">
        <v>25415</v>
      </c>
    </row>
    <row r="6545" spans="1:20" customFormat="1" ht="15" x14ac:dyDescent="0.25">
      <c r="A6545" t="s">
        <v>35</v>
      </c>
      <c r="B6545" t="s">
        <v>61</v>
      </c>
      <c r="C6545" t="str">
        <f>"A0182859"</f>
        <v>A0182859</v>
      </c>
      <c r="D6545" t="s">
        <v>25416</v>
      </c>
      <c r="E6545" t="s">
        <v>25417</v>
      </c>
      <c r="F6545" t="s">
        <v>25418</v>
      </c>
      <c r="G6545" t="s">
        <v>161</v>
      </c>
      <c r="H6545" t="s">
        <v>25419</v>
      </c>
      <c r="I6545" t="s">
        <v>30</v>
      </c>
      <c r="J6545" t="s">
        <v>41</v>
      </c>
      <c r="K6545" t="s">
        <v>59</v>
      </c>
      <c r="Q6545">
        <v>0</v>
      </c>
      <c r="R6545">
        <v>0</v>
      </c>
      <c r="S6545">
        <v>0</v>
      </c>
    </row>
    <row r="6546" spans="1:20" customFormat="1" ht="15" x14ac:dyDescent="0.25">
      <c r="A6546" t="s">
        <v>35</v>
      </c>
      <c r="B6546" t="s">
        <v>61</v>
      </c>
      <c r="C6546" t="str">
        <f>"A0182858"</f>
        <v>A0182858</v>
      </c>
      <c r="D6546" t="s">
        <v>25420</v>
      </c>
      <c r="E6546" t="s">
        <v>25421</v>
      </c>
      <c r="F6546" t="s">
        <v>21261</v>
      </c>
      <c r="G6546" t="s">
        <v>925</v>
      </c>
      <c r="H6546" t="s">
        <v>25422</v>
      </c>
      <c r="I6546" t="s">
        <v>30</v>
      </c>
      <c r="J6546" t="s">
        <v>41</v>
      </c>
      <c r="K6546" t="s">
        <v>59</v>
      </c>
      <c r="Q6546">
        <v>0</v>
      </c>
      <c r="R6546">
        <v>0</v>
      </c>
      <c r="S6546">
        <v>0</v>
      </c>
    </row>
    <row r="6547" spans="1:20" customFormat="1" ht="15" x14ac:dyDescent="0.25">
      <c r="A6547" t="s">
        <v>35</v>
      </c>
      <c r="B6547" t="s">
        <v>61</v>
      </c>
      <c r="C6547" t="str">
        <f>"A0182856"</f>
        <v>A0182856</v>
      </c>
      <c r="D6547" t="s">
        <v>25423</v>
      </c>
      <c r="E6547" t="s">
        <v>25424</v>
      </c>
      <c r="F6547" t="s">
        <v>2714</v>
      </c>
      <c r="G6547" t="s">
        <v>81</v>
      </c>
      <c r="H6547" t="s">
        <v>25425</v>
      </c>
      <c r="I6547" t="s">
        <v>30</v>
      </c>
      <c r="J6547" t="s">
        <v>41</v>
      </c>
      <c r="K6547" t="s">
        <v>59</v>
      </c>
      <c r="Q6547">
        <v>0</v>
      </c>
      <c r="R6547">
        <v>0</v>
      </c>
      <c r="S6547">
        <v>0</v>
      </c>
    </row>
    <row r="6548" spans="1:20" customFormat="1" ht="15" x14ac:dyDescent="0.25">
      <c r="A6548" t="s">
        <v>35</v>
      </c>
      <c r="B6548" t="s">
        <v>61</v>
      </c>
      <c r="C6548" t="str">
        <f>"A0182855"</f>
        <v>A0182855</v>
      </c>
      <c r="D6548" t="s">
        <v>25426</v>
      </c>
      <c r="E6548" t="s">
        <v>25427</v>
      </c>
      <c r="F6548" t="s">
        <v>2714</v>
      </c>
      <c r="G6548" t="s">
        <v>81</v>
      </c>
      <c r="H6548" t="s">
        <v>25428</v>
      </c>
      <c r="I6548" t="s">
        <v>30</v>
      </c>
      <c r="J6548" t="s">
        <v>41</v>
      </c>
      <c r="K6548" t="s">
        <v>59</v>
      </c>
      <c r="Q6548">
        <v>0</v>
      </c>
      <c r="R6548">
        <v>0</v>
      </c>
      <c r="S6548">
        <v>0</v>
      </c>
      <c r="T6548" t="s">
        <v>25429</v>
      </c>
    </row>
    <row r="6549" spans="1:20" customFormat="1" ht="15" x14ac:dyDescent="0.25">
      <c r="A6549" t="s">
        <v>35</v>
      </c>
      <c r="B6549" t="s">
        <v>61</v>
      </c>
      <c r="C6549" t="str">
        <f>"A0182854"</f>
        <v>A0182854</v>
      </c>
      <c r="D6549" t="s">
        <v>25430</v>
      </c>
      <c r="E6549" t="s">
        <v>25431</v>
      </c>
      <c r="F6549" t="s">
        <v>21392</v>
      </c>
      <c r="G6549" t="s">
        <v>161</v>
      </c>
      <c r="H6549">
        <v>55343</v>
      </c>
      <c r="I6549" t="s">
        <v>30</v>
      </c>
      <c r="J6549" t="s">
        <v>41</v>
      </c>
      <c r="K6549" t="s">
        <v>59</v>
      </c>
      <c r="Q6549">
        <v>0</v>
      </c>
      <c r="R6549">
        <v>0</v>
      </c>
      <c r="S6549">
        <v>0</v>
      </c>
    </row>
    <row r="6550" spans="1:20" customFormat="1" ht="15" x14ac:dyDescent="0.25">
      <c r="A6550" t="s">
        <v>35</v>
      </c>
      <c r="B6550" t="s">
        <v>61</v>
      </c>
      <c r="C6550" t="str">
        <f>"A0182853"</f>
        <v>A0182853</v>
      </c>
      <c r="D6550" t="s">
        <v>25432</v>
      </c>
      <c r="E6550" t="s">
        <v>25433</v>
      </c>
      <c r="F6550" t="s">
        <v>25434</v>
      </c>
      <c r="G6550" t="s">
        <v>161</v>
      </c>
      <c r="H6550">
        <v>55112</v>
      </c>
      <c r="I6550" t="s">
        <v>30</v>
      </c>
      <c r="J6550" t="s">
        <v>41</v>
      </c>
      <c r="K6550" t="s">
        <v>59</v>
      </c>
      <c r="Q6550">
        <v>0</v>
      </c>
      <c r="R6550">
        <v>0</v>
      </c>
      <c r="S6550">
        <v>0</v>
      </c>
    </row>
    <row r="6551" spans="1:20" customFormat="1" ht="15" x14ac:dyDescent="0.25">
      <c r="A6551" t="s">
        <v>35</v>
      </c>
      <c r="B6551" t="s">
        <v>61</v>
      </c>
      <c r="C6551" t="str">
        <f>"A0182852"</f>
        <v>A0182852</v>
      </c>
      <c r="D6551" t="s">
        <v>25435</v>
      </c>
      <c r="E6551" t="s">
        <v>25436</v>
      </c>
      <c r="F6551" t="s">
        <v>19689</v>
      </c>
      <c r="G6551" t="s">
        <v>161</v>
      </c>
      <c r="H6551" t="s">
        <v>25437</v>
      </c>
      <c r="I6551" t="s">
        <v>30</v>
      </c>
      <c r="J6551" t="s">
        <v>41</v>
      </c>
      <c r="K6551" t="s">
        <v>59</v>
      </c>
      <c r="Q6551">
        <v>0</v>
      </c>
      <c r="R6551">
        <v>0</v>
      </c>
      <c r="S6551">
        <v>0</v>
      </c>
    </row>
    <row r="6552" spans="1:20" customFormat="1" ht="15" x14ac:dyDescent="0.25">
      <c r="A6552" t="s">
        <v>35</v>
      </c>
      <c r="B6552" t="s">
        <v>61</v>
      </c>
      <c r="C6552" t="str">
        <f>"A0182851"</f>
        <v>A0182851</v>
      </c>
      <c r="D6552" t="s">
        <v>25438</v>
      </c>
      <c r="E6552" t="s">
        <v>25439</v>
      </c>
      <c r="F6552" t="s">
        <v>4219</v>
      </c>
      <c r="G6552" t="s">
        <v>99</v>
      </c>
      <c r="H6552" t="s">
        <v>25440</v>
      </c>
      <c r="I6552" t="s">
        <v>30</v>
      </c>
      <c r="J6552" t="s">
        <v>41</v>
      </c>
      <c r="K6552" t="s">
        <v>59</v>
      </c>
      <c r="Q6552">
        <v>0</v>
      </c>
      <c r="R6552">
        <v>34</v>
      </c>
      <c r="S6552">
        <v>34</v>
      </c>
      <c r="T6552" t="s">
        <v>25441</v>
      </c>
    </row>
    <row r="6553" spans="1:20" customFormat="1" ht="15" x14ac:dyDescent="0.25">
      <c r="A6553" t="s">
        <v>35</v>
      </c>
      <c r="B6553" t="s">
        <v>61</v>
      </c>
      <c r="C6553" t="str">
        <f>"A0182850"</f>
        <v>A0182850</v>
      </c>
      <c r="D6553" t="s">
        <v>25442</v>
      </c>
      <c r="E6553" t="s">
        <v>25443</v>
      </c>
      <c r="F6553" t="s">
        <v>25444</v>
      </c>
      <c r="G6553" t="s">
        <v>99</v>
      </c>
      <c r="H6553" t="s">
        <v>25445</v>
      </c>
      <c r="I6553" t="s">
        <v>30</v>
      </c>
      <c r="J6553" t="s">
        <v>41</v>
      </c>
      <c r="K6553" t="s">
        <v>59</v>
      </c>
      <c r="Q6553">
        <v>0</v>
      </c>
      <c r="R6553">
        <v>0</v>
      </c>
      <c r="S6553">
        <v>0</v>
      </c>
    </row>
    <row r="6554" spans="1:20" customFormat="1" ht="15" x14ac:dyDescent="0.25">
      <c r="A6554" t="s">
        <v>35</v>
      </c>
      <c r="B6554" t="s">
        <v>61</v>
      </c>
      <c r="C6554" t="str">
        <f>"A0182849"</f>
        <v>A0182849</v>
      </c>
      <c r="D6554" t="s">
        <v>25446</v>
      </c>
      <c r="E6554" t="s">
        <v>25447</v>
      </c>
      <c r="F6554" t="s">
        <v>25448</v>
      </c>
      <c r="G6554" t="s">
        <v>99</v>
      </c>
      <c r="H6554" t="s">
        <v>25449</v>
      </c>
      <c r="I6554" t="s">
        <v>30</v>
      </c>
      <c r="J6554" t="s">
        <v>41</v>
      </c>
      <c r="K6554" t="s">
        <v>59</v>
      </c>
      <c r="Q6554">
        <v>0</v>
      </c>
      <c r="R6554">
        <v>120</v>
      </c>
      <c r="S6554">
        <v>120</v>
      </c>
      <c r="T6554" t="s">
        <v>25450</v>
      </c>
    </row>
    <row r="6555" spans="1:20" customFormat="1" ht="15" x14ac:dyDescent="0.25">
      <c r="A6555" t="s">
        <v>35</v>
      </c>
      <c r="B6555" t="s">
        <v>61</v>
      </c>
      <c r="C6555" t="str">
        <f>"A0182848"</f>
        <v>A0182848</v>
      </c>
      <c r="D6555" t="s">
        <v>25451</v>
      </c>
      <c r="E6555" t="s">
        <v>25452</v>
      </c>
      <c r="F6555" t="s">
        <v>5050</v>
      </c>
      <c r="G6555" t="s">
        <v>161</v>
      </c>
      <c r="H6555" t="s">
        <v>25453</v>
      </c>
      <c r="I6555" t="s">
        <v>30</v>
      </c>
      <c r="J6555" t="s">
        <v>41</v>
      </c>
      <c r="K6555" t="s">
        <v>59</v>
      </c>
      <c r="Q6555">
        <v>0</v>
      </c>
      <c r="R6555">
        <v>0</v>
      </c>
      <c r="S6555">
        <v>0</v>
      </c>
    </row>
    <row r="6556" spans="1:20" customFormat="1" ht="15" x14ac:dyDescent="0.25">
      <c r="A6556" t="s">
        <v>35</v>
      </c>
      <c r="B6556" t="s">
        <v>61</v>
      </c>
      <c r="C6556" t="str">
        <f>"A0182847"</f>
        <v>A0182847</v>
      </c>
      <c r="D6556" t="s">
        <v>23294</v>
      </c>
      <c r="E6556" t="s">
        <v>25454</v>
      </c>
      <c r="F6556" t="s">
        <v>10170</v>
      </c>
      <c r="G6556" t="s">
        <v>161</v>
      </c>
      <c r="H6556" t="s">
        <v>25455</v>
      </c>
      <c r="I6556" t="s">
        <v>30</v>
      </c>
      <c r="J6556" t="s">
        <v>41</v>
      </c>
      <c r="K6556" t="s">
        <v>59</v>
      </c>
      <c r="Q6556">
        <v>0</v>
      </c>
      <c r="R6556">
        <v>0</v>
      </c>
      <c r="S6556">
        <v>0</v>
      </c>
      <c r="T6556" t="s">
        <v>25456</v>
      </c>
    </row>
    <row r="6557" spans="1:20" customFormat="1" ht="15" x14ac:dyDescent="0.25">
      <c r="A6557" t="s">
        <v>35</v>
      </c>
      <c r="B6557" t="s">
        <v>61</v>
      </c>
      <c r="C6557" t="str">
        <f>"A0182846"</f>
        <v>A0182846</v>
      </c>
      <c r="D6557" t="s">
        <v>25457</v>
      </c>
      <c r="E6557" t="s">
        <v>25458</v>
      </c>
      <c r="F6557" t="s">
        <v>1607</v>
      </c>
      <c r="G6557" t="s">
        <v>161</v>
      </c>
      <c r="H6557" t="s">
        <v>25459</v>
      </c>
      <c r="I6557" t="s">
        <v>30</v>
      </c>
      <c r="J6557" t="s">
        <v>41</v>
      </c>
      <c r="K6557" t="s">
        <v>59</v>
      </c>
      <c r="Q6557">
        <v>0</v>
      </c>
      <c r="R6557">
        <v>14</v>
      </c>
      <c r="S6557">
        <v>14</v>
      </c>
      <c r="T6557" t="s">
        <v>25460</v>
      </c>
    </row>
    <row r="6558" spans="1:20" customFormat="1" ht="15" x14ac:dyDescent="0.25">
      <c r="A6558" t="s">
        <v>35</v>
      </c>
      <c r="B6558" t="s">
        <v>61</v>
      </c>
      <c r="C6558" t="str">
        <f>"A0182845"</f>
        <v>A0182845</v>
      </c>
      <c r="D6558" t="s">
        <v>25461</v>
      </c>
      <c r="E6558" t="s">
        <v>25462</v>
      </c>
      <c r="F6558" t="s">
        <v>25020</v>
      </c>
      <c r="G6558" t="s">
        <v>161</v>
      </c>
      <c r="H6558" t="s">
        <v>25021</v>
      </c>
      <c r="I6558" t="s">
        <v>30</v>
      </c>
      <c r="J6558" t="s">
        <v>41</v>
      </c>
      <c r="K6558" t="s">
        <v>59</v>
      </c>
      <c r="Q6558">
        <v>0</v>
      </c>
      <c r="R6558">
        <v>0</v>
      </c>
      <c r="S6558">
        <v>0</v>
      </c>
      <c r="T6558" t="s">
        <v>25463</v>
      </c>
    </row>
    <row r="6559" spans="1:20" customFormat="1" ht="15" x14ac:dyDescent="0.25">
      <c r="A6559" t="s">
        <v>35</v>
      </c>
      <c r="B6559" t="s">
        <v>61</v>
      </c>
      <c r="C6559" t="str">
        <f>"A0182844"</f>
        <v>A0182844</v>
      </c>
      <c r="D6559" t="s">
        <v>25464</v>
      </c>
      <c r="E6559" t="s">
        <v>25019</v>
      </c>
      <c r="F6559" t="s">
        <v>25020</v>
      </c>
      <c r="G6559" t="s">
        <v>161</v>
      </c>
      <c r="H6559" t="s">
        <v>25021</v>
      </c>
      <c r="I6559" t="s">
        <v>30</v>
      </c>
      <c r="J6559" t="s">
        <v>41</v>
      </c>
      <c r="K6559" t="s">
        <v>59</v>
      </c>
      <c r="Q6559">
        <v>0</v>
      </c>
      <c r="R6559">
        <v>0</v>
      </c>
      <c r="S6559">
        <v>0</v>
      </c>
      <c r="T6559" t="s">
        <v>25022</v>
      </c>
    </row>
    <row r="6560" spans="1:20" customFormat="1" ht="15" x14ac:dyDescent="0.25">
      <c r="A6560" t="s">
        <v>35</v>
      </c>
      <c r="B6560" t="s">
        <v>61</v>
      </c>
      <c r="C6560" t="str">
        <f>"A0182843"</f>
        <v>A0182843</v>
      </c>
      <c r="D6560" t="s">
        <v>25465</v>
      </c>
      <c r="E6560" t="s">
        <v>25466</v>
      </c>
      <c r="F6560" t="s">
        <v>25467</v>
      </c>
      <c r="G6560" t="s">
        <v>161</v>
      </c>
      <c r="H6560" t="s">
        <v>25468</v>
      </c>
      <c r="I6560" t="s">
        <v>30</v>
      </c>
      <c r="J6560" t="s">
        <v>41</v>
      </c>
      <c r="K6560" t="s">
        <v>59</v>
      </c>
      <c r="Q6560">
        <v>0</v>
      </c>
      <c r="R6560">
        <v>1</v>
      </c>
      <c r="S6560">
        <v>1</v>
      </c>
      <c r="T6560" t="s">
        <v>25469</v>
      </c>
    </row>
    <row r="6561" spans="1:20" customFormat="1" ht="15" x14ac:dyDescent="0.25">
      <c r="A6561" t="s">
        <v>35</v>
      </c>
      <c r="B6561" t="s">
        <v>61</v>
      </c>
      <c r="C6561" t="str">
        <f>"A0182842"</f>
        <v>A0182842</v>
      </c>
      <c r="D6561" t="s">
        <v>25470</v>
      </c>
      <c r="E6561" t="s">
        <v>25471</v>
      </c>
      <c r="F6561" t="s">
        <v>25472</v>
      </c>
      <c r="G6561" t="s">
        <v>161</v>
      </c>
      <c r="H6561" t="s">
        <v>25473</v>
      </c>
      <c r="I6561" t="s">
        <v>30</v>
      </c>
      <c r="J6561" t="s">
        <v>41</v>
      </c>
      <c r="K6561" t="s">
        <v>59</v>
      </c>
      <c r="Q6561">
        <v>0</v>
      </c>
      <c r="R6561">
        <v>60</v>
      </c>
      <c r="S6561">
        <v>60</v>
      </c>
      <c r="T6561" t="s">
        <v>25474</v>
      </c>
    </row>
    <row r="6562" spans="1:20" customFormat="1" ht="15" x14ac:dyDescent="0.25">
      <c r="A6562" t="s">
        <v>35</v>
      </c>
      <c r="B6562" t="s">
        <v>11871</v>
      </c>
      <c r="C6562" t="str">
        <f>"A0182841"</f>
        <v>A0182841</v>
      </c>
      <c r="D6562" t="s">
        <v>25475</v>
      </c>
      <c r="E6562" t="s">
        <v>25476</v>
      </c>
      <c r="F6562" t="s">
        <v>25477</v>
      </c>
      <c r="G6562" t="s">
        <v>338</v>
      </c>
      <c r="H6562">
        <v>7201</v>
      </c>
      <c r="I6562" t="s">
        <v>30</v>
      </c>
      <c r="J6562" t="s">
        <v>41</v>
      </c>
      <c r="K6562" t="s">
        <v>59</v>
      </c>
      <c r="Q6562">
        <v>0</v>
      </c>
      <c r="R6562">
        <v>0</v>
      </c>
      <c r="S6562">
        <v>0</v>
      </c>
      <c r="T6562" t="s">
        <v>25478</v>
      </c>
    </row>
    <row r="6563" spans="1:20" customFormat="1" ht="15" x14ac:dyDescent="0.25">
      <c r="A6563" t="s">
        <v>35</v>
      </c>
      <c r="B6563" t="s">
        <v>61</v>
      </c>
      <c r="C6563" t="str">
        <f>"A0182840"</f>
        <v>A0182840</v>
      </c>
      <c r="D6563" t="s">
        <v>25479</v>
      </c>
      <c r="E6563" t="s">
        <v>25480</v>
      </c>
      <c r="F6563" t="s">
        <v>25481</v>
      </c>
      <c r="G6563" t="s">
        <v>338</v>
      </c>
      <c r="H6563">
        <v>8003</v>
      </c>
      <c r="I6563" t="s">
        <v>30</v>
      </c>
      <c r="J6563" t="s">
        <v>41</v>
      </c>
      <c r="K6563" t="s">
        <v>59</v>
      </c>
      <c r="Q6563">
        <v>0</v>
      </c>
      <c r="R6563">
        <v>0</v>
      </c>
      <c r="S6563">
        <v>0</v>
      </c>
      <c r="T6563" t="s">
        <v>25482</v>
      </c>
    </row>
    <row r="6564" spans="1:20" customFormat="1" ht="15" x14ac:dyDescent="0.25">
      <c r="A6564" t="s">
        <v>35</v>
      </c>
      <c r="B6564" t="s">
        <v>61</v>
      </c>
      <c r="C6564" t="str">
        <f>"A0182839"</f>
        <v>A0182839</v>
      </c>
      <c r="D6564" t="s">
        <v>25483</v>
      </c>
      <c r="E6564" t="s">
        <v>25484</v>
      </c>
      <c r="F6564" t="s">
        <v>25485</v>
      </c>
      <c r="G6564" t="s">
        <v>925</v>
      </c>
      <c r="H6564">
        <v>67029</v>
      </c>
      <c r="I6564" t="s">
        <v>30</v>
      </c>
      <c r="J6564" t="s">
        <v>41</v>
      </c>
      <c r="K6564" t="s">
        <v>59</v>
      </c>
      <c r="Q6564">
        <v>0</v>
      </c>
      <c r="R6564">
        <v>0</v>
      </c>
      <c r="S6564">
        <v>0</v>
      </c>
    </row>
    <row r="6565" spans="1:20" customFormat="1" ht="15" x14ac:dyDescent="0.25">
      <c r="A6565" t="s">
        <v>35</v>
      </c>
      <c r="B6565" t="s">
        <v>61</v>
      </c>
      <c r="C6565" t="str">
        <f>"A0182838"</f>
        <v>A0182838</v>
      </c>
      <c r="D6565" t="s">
        <v>19521</v>
      </c>
      <c r="E6565" t="s">
        <v>25486</v>
      </c>
      <c r="F6565" t="s">
        <v>638</v>
      </c>
      <c r="G6565" t="s">
        <v>925</v>
      </c>
      <c r="H6565">
        <v>67114</v>
      </c>
      <c r="I6565" t="s">
        <v>30</v>
      </c>
      <c r="J6565" t="s">
        <v>41</v>
      </c>
      <c r="K6565" t="s">
        <v>59</v>
      </c>
      <c r="Q6565">
        <v>0</v>
      </c>
      <c r="R6565">
        <v>73</v>
      </c>
      <c r="S6565">
        <v>73</v>
      </c>
      <c r="T6565" t="s">
        <v>25487</v>
      </c>
    </row>
    <row r="6566" spans="1:20" customFormat="1" ht="15" x14ac:dyDescent="0.25">
      <c r="A6566" t="s">
        <v>35</v>
      </c>
      <c r="B6566" t="s">
        <v>61</v>
      </c>
      <c r="C6566" t="str">
        <f>"A0182837"</f>
        <v>A0182837</v>
      </c>
      <c r="D6566" t="s">
        <v>25488</v>
      </c>
      <c r="E6566" t="s">
        <v>25489</v>
      </c>
      <c r="F6566" t="s">
        <v>25490</v>
      </c>
      <c r="G6566" t="s">
        <v>925</v>
      </c>
      <c r="H6566" t="s">
        <v>25491</v>
      </c>
      <c r="I6566" t="s">
        <v>30</v>
      </c>
      <c r="J6566" t="s">
        <v>41</v>
      </c>
      <c r="K6566" t="s">
        <v>59</v>
      </c>
      <c r="Q6566">
        <v>0</v>
      </c>
      <c r="R6566">
        <v>50</v>
      </c>
      <c r="S6566">
        <v>50</v>
      </c>
      <c r="T6566" t="s">
        <v>25492</v>
      </c>
    </row>
    <row r="6567" spans="1:20" customFormat="1" ht="15" x14ac:dyDescent="0.25">
      <c r="A6567" t="s">
        <v>35</v>
      </c>
      <c r="B6567" t="s">
        <v>61</v>
      </c>
      <c r="C6567" t="str">
        <f>"A0182836"</f>
        <v>A0182836</v>
      </c>
      <c r="D6567" t="s">
        <v>25493</v>
      </c>
      <c r="E6567" t="s">
        <v>25494</v>
      </c>
      <c r="F6567" t="s">
        <v>25495</v>
      </c>
      <c r="G6567" t="s">
        <v>1170</v>
      </c>
      <c r="H6567" t="s">
        <v>25496</v>
      </c>
      <c r="I6567" t="s">
        <v>30</v>
      </c>
      <c r="J6567" t="s">
        <v>41</v>
      </c>
      <c r="K6567" t="s">
        <v>59</v>
      </c>
      <c r="Q6567">
        <v>0</v>
      </c>
      <c r="R6567">
        <v>51</v>
      </c>
      <c r="S6567">
        <v>51</v>
      </c>
      <c r="T6567" t="s">
        <v>25497</v>
      </c>
    </row>
    <row r="6568" spans="1:20" customFormat="1" ht="15" x14ac:dyDescent="0.25">
      <c r="A6568" t="s">
        <v>35</v>
      </c>
      <c r="B6568" t="s">
        <v>61</v>
      </c>
      <c r="C6568" t="str">
        <f>"A0182835"</f>
        <v>A0182835</v>
      </c>
      <c r="D6568" t="s">
        <v>25498</v>
      </c>
      <c r="E6568" t="s">
        <v>25499</v>
      </c>
      <c r="F6568" t="s">
        <v>4269</v>
      </c>
      <c r="G6568" t="s">
        <v>99</v>
      </c>
      <c r="H6568" t="s">
        <v>25500</v>
      </c>
      <c r="I6568" t="s">
        <v>30</v>
      </c>
      <c r="J6568" t="s">
        <v>41</v>
      </c>
      <c r="K6568" t="s">
        <v>59</v>
      </c>
      <c r="Q6568">
        <v>0</v>
      </c>
      <c r="R6568">
        <v>0</v>
      </c>
      <c r="S6568">
        <v>0</v>
      </c>
      <c r="T6568" t="s">
        <v>25501</v>
      </c>
    </row>
    <row r="6569" spans="1:20" customFormat="1" ht="15" x14ac:dyDescent="0.25">
      <c r="A6569" t="s">
        <v>35</v>
      </c>
      <c r="B6569" t="s">
        <v>61</v>
      </c>
      <c r="C6569" t="str">
        <f>"A0182834"</f>
        <v>A0182834</v>
      </c>
      <c r="D6569" t="s">
        <v>25502</v>
      </c>
      <c r="E6569" t="s">
        <v>25503</v>
      </c>
      <c r="F6569" t="s">
        <v>3193</v>
      </c>
      <c r="G6569" t="s">
        <v>99</v>
      </c>
      <c r="H6569" t="s">
        <v>25228</v>
      </c>
      <c r="I6569" t="s">
        <v>30</v>
      </c>
      <c r="J6569" t="s">
        <v>41</v>
      </c>
      <c r="K6569" t="s">
        <v>59</v>
      </c>
      <c r="Q6569">
        <v>0</v>
      </c>
      <c r="R6569">
        <v>0</v>
      </c>
      <c r="S6569">
        <v>0</v>
      </c>
      <c r="T6569" t="s">
        <v>25355</v>
      </c>
    </row>
    <row r="6570" spans="1:20" customFormat="1" ht="15" x14ac:dyDescent="0.25">
      <c r="A6570" t="s">
        <v>35</v>
      </c>
      <c r="B6570" t="s">
        <v>61</v>
      </c>
      <c r="C6570" t="str">
        <f>"A0182833"</f>
        <v>A0182833</v>
      </c>
      <c r="D6570" t="s">
        <v>25504</v>
      </c>
      <c r="E6570" t="s">
        <v>25505</v>
      </c>
      <c r="F6570" t="s">
        <v>25506</v>
      </c>
      <c r="G6570" t="s">
        <v>99</v>
      </c>
      <c r="H6570" t="s">
        <v>25507</v>
      </c>
      <c r="I6570" t="s">
        <v>30</v>
      </c>
      <c r="J6570" t="s">
        <v>41</v>
      </c>
      <c r="K6570" t="s">
        <v>59</v>
      </c>
      <c r="Q6570">
        <v>0</v>
      </c>
      <c r="R6570">
        <v>0</v>
      </c>
      <c r="S6570">
        <v>0</v>
      </c>
    </row>
    <row r="6571" spans="1:20" customFormat="1" ht="15" x14ac:dyDescent="0.25">
      <c r="A6571" t="s">
        <v>35</v>
      </c>
      <c r="B6571" t="s">
        <v>61</v>
      </c>
      <c r="C6571" t="str">
        <f>"A0182832"</f>
        <v>A0182832</v>
      </c>
      <c r="D6571" t="s">
        <v>25508</v>
      </c>
      <c r="E6571" t="s">
        <v>25509</v>
      </c>
      <c r="F6571" t="s">
        <v>25510</v>
      </c>
      <c r="G6571" t="s">
        <v>99</v>
      </c>
      <c r="H6571" t="s">
        <v>25511</v>
      </c>
      <c r="I6571" t="s">
        <v>30</v>
      </c>
      <c r="J6571" t="s">
        <v>41</v>
      </c>
      <c r="K6571" t="s">
        <v>59</v>
      </c>
      <c r="Q6571">
        <v>0</v>
      </c>
      <c r="R6571">
        <v>0</v>
      </c>
      <c r="S6571">
        <v>0</v>
      </c>
      <c r="T6571" t="s">
        <v>25512</v>
      </c>
    </row>
    <row r="6572" spans="1:20" customFormat="1" ht="15" x14ac:dyDescent="0.25">
      <c r="A6572" t="s">
        <v>35</v>
      </c>
      <c r="B6572" t="s">
        <v>61</v>
      </c>
      <c r="C6572" t="str">
        <f>"A0182831"</f>
        <v>A0182831</v>
      </c>
      <c r="D6572" t="s">
        <v>25513</v>
      </c>
      <c r="E6572" t="s">
        <v>25514</v>
      </c>
      <c r="F6572" t="s">
        <v>24802</v>
      </c>
      <c r="G6572" t="s">
        <v>99</v>
      </c>
      <c r="H6572">
        <v>12401</v>
      </c>
      <c r="I6572" t="s">
        <v>30</v>
      </c>
      <c r="J6572" t="s">
        <v>41</v>
      </c>
      <c r="K6572" t="s">
        <v>59</v>
      </c>
      <c r="Q6572">
        <v>0</v>
      </c>
      <c r="R6572">
        <v>0</v>
      </c>
      <c r="S6572">
        <v>0</v>
      </c>
    </row>
    <row r="6573" spans="1:20" customFormat="1" ht="15" x14ac:dyDescent="0.25">
      <c r="A6573" t="s">
        <v>35</v>
      </c>
      <c r="B6573" t="s">
        <v>61</v>
      </c>
      <c r="C6573" t="str">
        <f>"A0182830"</f>
        <v>A0182830</v>
      </c>
      <c r="D6573" t="s">
        <v>25515</v>
      </c>
      <c r="E6573" t="s">
        <v>25516</v>
      </c>
      <c r="F6573" t="s">
        <v>25517</v>
      </c>
      <c r="G6573" t="s">
        <v>99</v>
      </c>
      <c r="H6573" t="s">
        <v>25518</v>
      </c>
      <c r="I6573" t="s">
        <v>30</v>
      </c>
      <c r="J6573" t="s">
        <v>41</v>
      </c>
      <c r="K6573" t="s">
        <v>59</v>
      </c>
      <c r="Q6573">
        <v>0</v>
      </c>
      <c r="R6573">
        <v>0</v>
      </c>
      <c r="S6573">
        <v>0</v>
      </c>
    </row>
    <row r="6574" spans="1:20" customFormat="1" ht="15" x14ac:dyDescent="0.25">
      <c r="A6574" t="s">
        <v>35</v>
      </c>
      <c r="B6574" t="s">
        <v>61</v>
      </c>
      <c r="C6574" t="str">
        <f>"A0182829"</f>
        <v>A0182829</v>
      </c>
      <c r="D6574" t="s">
        <v>25519</v>
      </c>
      <c r="E6574" t="s">
        <v>25520</v>
      </c>
      <c r="F6574" t="s">
        <v>22701</v>
      </c>
      <c r="G6574" t="s">
        <v>81</v>
      </c>
      <c r="H6574">
        <v>320648218</v>
      </c>
      <c r="I6574" t="s">
        <v>30</v>
      </c>
      <c r="J6574" t="s">
        <v>41</v>
      </c>
      <c r="K6574" t="s">
        <v>59</v>
      </c>
      <c r="Q6574">
        <v>0</v>
      </c>
      <c r="R6574">
        <v>0</v>
      </c>
      <c r="S6574">
        <v>0</v>
      </c>
      <c r="T6574" t="s">
        <v>25521</v>
      </c>
    </row>
    <row r="6575" spans="1:20" customFormat="1" ht="15" x14ac:dyDescent="0.25">
      <c r="A6575" t="s">
        <v>35</v>
      </c>
      <c r="B6575" t="s">
        <v>61</v>
      </c>
      <c r="C6575" t="str">
        <f>"A0182828"</f>
        <v>A0182828</v>
      </c>
      <c r="D6575" t="s">
        <v>25522</v>
      </c>
      <c r="E6575" t="s">
        <v>25523</v>
      </c>
      <c r="F6575" t="s">
        <v>25524</v>
      </c>
      <c r="G6575" t="s">
        <v>190</v>
      </c>
      <c r="H6575">
        <v>803031820</v>
      </c>
      <c r="I6575" t="s">
        <v>30</v>
      </c>
      <c r="J6575" t="s">
        <v>41</v>
      </c>
      <c r="K6575" t="s">
        <v>59</v>
      </c>
      <c r="Q6575">
        <v>0</v>
      </c>
      <c r="R6575">
        <v>56</v>
      </c>
      <c r="S6575">
        <v>56</v>
      </c>
      <c r="T6575" t="s">
        <v>25525</v>
      </c>
    </row>
    <row r="6576" spans="1:20" customFormat="1" ht="15" x14ac:dyDescent="0.25">
      <c r="A6576" t="s">
        <v>35</v>
      </c>
      <c r="B6576" t="s">
        <v>61</v>
      </c>
      <c r="C6576" t="str">
        <f>"A0182827"</f>
        <v>A0182827</v>
      </c>
      <c r="D6576" t="s">
        <v>25526</v>
      </c>
      <c r="E6576" t="s">
        <v>25527</v>
      </c>
      <c r="F6576" t="s">
        <v>24486</v>
      </c>
      <c r="G6576" t="s">
        <v>190</v>
      </c>
      <c r="H6576">
        <v>815015141</v>
      </c>
      <c r="I6576" t="s">
        <v>30</v>
      </c>
      <c r="J6576" t="s">
        <v>41</v>
      </c>
      <c r="K6576" t="s">
        <v>59</v>
      </c>
      <c r="Q6576">
        <v>0</v>
      </c>
      <c r="R6576">
        <v>0</v>
      </c>
      <c r="S6576">
        <v>0</v>
      </c>
    </row>
    <row r="6577" spans="1:20" customFormat="1" ht="15" x14ac:dyDescent="0.25">
      <c r="A6577" t="s">
        <v>35</v>
      </c>
      <c r="B6577" t="s">
        <v>61</v>
      </c>
      <c r="C6577" t="str">
        <f>"A0182826"</f>
        <v>A0182826</v>
      </c>
      <c r="D6577" t="s">
        <v>25528</v>
      </c>
      <c r="E6577" t="s">
        <v>25529</v>
      </c>
      <c r="F6577" t="s">
        <v>18295</v>
      </c>
      <c r="G6577" t="s">
        <v>190</v>
      </c>
      <c r="H6577">
        <v>800304818</v>
      </c>
      <c r="I6577" t="s">
        <v>30</v>
      </c>
      <c r="J6577" t="s">
        <v>41</v>
      </c>
      <c r="K6577" t="s">
        <v>59</v>
      </c>
      <c r="Q6577">
        <v>0</v>
      </c>
      <c r="R6577">
        <v>0</v>
      </c>
      <c r="S6577">
        <v>0</v>
      </c>
    </row>
    <row r="6578" spans="1:20" customFormat="1" ht="15" x14ac:dyDescent="0.25">
      <c r="A6578" t="s">
        <v>35</v>
      </c>
      <c r="B6578" t="s">
        <v>61</v>
      </c>
      <c r="C6578" t="str">
        <f>"A0182825"</f>
        <v>A0182825</v>
      </c>
      <c r="D6578" t="s">
        <v>25530</v>
      </c>
      <c r="E6578" t="s">
        <v>25531</v>
      </c>
      <c r="F6578" t="s">
        <v>24802</v>
      </c>
      <c r="G6578" t="s">
        <v>99</v>
      </c>
      <c r="H6578" t="s">
        <v>25532</v>
      </c>
      <c r="I6578" t="s">
        <v>30</v>
      </c>
      <c r="J6578" t="s">
        <v>41</v>
      </c>
      <c r="K6578" t="s">
        <v>59</v>
      </c>
      <c r="Q6578">
        <v>0</v>
      </c>
      <c r="R6578">
        <v>0</v>
      </c>
      <c r="S6578">
        <v>0</v>
      </c>
      <c r="T6578" t="s">
        <v>25533</v>
      </c>
    </row>
    <row r="6579" spans="1:20" customFormat="1" ht="15" x14ac:dyDescent="0.25">
      <c r="A6579" t="s">
        <v>35</v>
      </c>
      <c r="B6579" t="s">
        <v>61</v>
      </c>
      <c r="C6579" t="str">
        <f>"A0182824"</f>
        <v>A0182824</v>
      </c>
      <c r="D6579" t="s">
        <v>25534</v>
      </c>
      <c r="E6579" t="s">
        <v>25535</v>
      </c>
      <c r="F6579" t="s">
        <v>25536</v>
      </c>
      <c r="G6579" t="s">
        <v>99</v>
      </c>
      <c r="H6579" t="s">
        <v>25537</v>
      </c>
      <c r="I6579" t="s">
        <v>30</v>
      </c>
      <c r="J6579" t="s">
        <v>41</v>
      </c>
      <c r="K6579" t="s">
        <v>59</v>
      </c>
      <c r="Q6579">
        <v>0</v>
      </c>
      <c r="R6579">
        <v>0</v>
      </c>
      <c r="S6579">
        <v>0</v>
      </c>
      <c r="T6579" t="s">
        <v>25538</v>
      </c>
    </row>
    <row r="6580" spans="1:20" customFormat="1" ht="15" x14ac:dyDescent="0.25">
      <c r="A6580" t="s">
        <v>35</v>
      </c>
      <c r="B6580" t="s">
        <v>61</v>
      </c>
      <c r="C6580" t="str">
        <f>"A0182823"</f>
        <v>A0182823</v>
      </c>
      <c r="D6580" t="s">
        <v>25539</v>
      </c>
      <c r="E6580" t="s">
        <v>25540</v>
      </c>
      <c r="F6580" t="s">
        <v>4237</v>
      </c>
      <c r="G6580" t="s">
        <v>99</v>
      </c>
      <c r="H6580" t="s">
        <v>25541</v>
      </c>
      <c r="I6580" t="s">
        <v>30</v>
      </c>
      <c r="J6580" t="s">
        <v>41</v>
      </c>
      <c r="K6580" t="s">
        <v>59</v>
      </c>
      <c r="Q6580">
        <v>0</v>
      </c>
      <c r="R6580">
        <v>0</v>
      </c>
      <c r="S6580">
        <v>0</v>
      </c>
      <c r="T6580" t="s">
        <v>25542</v>
      </c>
    </row>
    <row r="6581" spans="1:20" customFormat="1" ht="15" x14ac:dyDescent="0.25">
      <c r="A6581" t="s">
        <v>35</v>
      </c>
      <c r="B6581" t="s">
        <v>61</v>
      </c>
      <c r="C6581" t="str">
        <f>"A0182822"</f>
        <v>A0182822</v>
      </c>
      <c r="D6581" t="s">
        <v>13467</v>
      </c>
      <c r="E6581" t="s">
        <v>25543</v>
      </c>
      <c r="F6581" t="s">
        <v>10801</v>
      </c>
      <c r="G6581" t="s">
        <v>99</v>
      </c>
      <c r="H6581" t="s">
        <v>25544</v>
      </c>
      <c r="I6581" t="s">
        <v>30</v>
      </c>
      <c r="J6581" t="s">
        <v>41</v>
      </c>
      <c r="K6581" t="s">
        <v>59</v>
      </c>
      <c r="Q6581">
        <v>0</v>
      </c>
      <c r="R6581">
        <v>48</v>
      </c>
      <c r="S6581">
        <v>48</v>
      </c>
      <c r="T6581" t="s">
        <v>25545</v>
      </c>
    </row>
    <row r="6582" spans="1:20" customFormat="1" ht="15" x14ac:dyDescent="0.25">
      <c r="A6582" t="s">
        <v>35</v>
      </c>
      <c r="B6582" t="s">
        <v>61</v>
      </c>
      <c r="C6582" t="str">
        <f>"A0182821"</f>
        <v>A0182821</v>
      </c>
      <c r="D6582" t="s">
        <v>25546</v>
      </c>
      <c r="E6582" t="s">
        <v>25547</v>
      </c>
      <c r="F6582" t="s">
        <v>635</v>
      </c>
      <c r="G6582" t="s">
        <v>338</v>
      </c>
      <c r="H6582" t="s">
        <v>25548</v>
      </c>
      <c r="I6582" t="s">
        <v>30</v>
      </c>
      <c r="J6582" t="s">
        <v>41</v>
      </c>
      <c r="K6582" t="s">
        <v>59</v>
      </c>
      <c r="Q6582">
        <v>0</v>
      </c>
      <c r="R6582">
        <v>0</v>
      </c>
      <c r="S6582">
        <v>0</v>
      </c>
      <c r="T6582" t="s">
        <v>25549</v>
      </c>
    </row>
    <row r="6583" spans="1:20" customFormat="1" ht="15" x14ac:dyDescent="0.25">
      <c r="A6583" t="s">
        <v>35</v>
      </c>
      <c r="B6583" t="s">
        <v>61</v>
      </c>
      <c r="C6583" t="str">
        <f>"A0182820"</f>
        <v>A0182820</v>
      </c>
      <c r="D6583" t="s">
        <v>25550</v>
      </c>
      <c r="E6583" t="s">
        <v>25551</v>
      </c>
      <c r="F6583" t="s">
        <v>25552</v>
      </c>
      <c r="G6583" t="s">
        <v>899</v>
      </c>
      <c r="H6583" t="s">
        <v>25553</v>
      </c>
      <c r="I6583" t="s">
        <v>30</v>
      </c>
      <c r="J6583" t="s">
        <v>41</v>
      </c>
      <c r="K6583" t="s">
        <v>59</v>
      </c>
      <c r="Q6583">
        <v>0</v>
      </c>
      <c r="R6583">
        <v>41</v>
      </c>
      <c r="S6583">
        <v>41</v>
      </c>
      <c r="T6583" t="s">
        <v>25554</v>
      </c>
    </row>
    <row r="6584" spans="1:20" customFormat="1" ht="15" x14ac:dyDescent="0.25">
      <c r="A6584" t="s">
        <v>35</v>
      </c>
      <c r="B6584" t="s">
        <v>61</v>
      </c>
      <c r="C6584" t="str">
        <f>"A0182819"</f>
        <v>A0182819</v>
      </c>
      <c r="D6584" t="s">
        <v>25555</v>
      </c>
      <c r="E6584" t="s">
        <v>25556</v>
      </c>
      <c r="F6584" t="s">
        <v>21392</v>
      </c>
      <c r="G6584" t="s">
        <v>161</v>
      </c>
      <c r="H6584" t="s">
        <v>25557</v>
      </c>
      <c r="I6584" t="s">
        <v>30</v>
      </c>
      <c r="J6584" t="s">
        <v>41</v>
      </c>
      <c r="K6584" t="s">
        <v>59</v>
      </c>
      <c r="Q6584">
        <v>0</v>
      </c>
      <c r="R6584">
        <v>0</v>
      </c>
      <c r="S6584">
        <v>0</v>
      </c>
    </row>
    <row r="6585" spans="1:20" customFormat="1" ht="15" x14ac:dyDescent="0.25">
      <c r="A6585" t="s">
        <v>35</v>
      </c>
      <c r="B6585" t="s">
        <v>18151</v>
      </c>
      <c r="C6585" t="str">
        <f>"A0182818"</f>
        <v>A0182818</v>
      </c>
      <c r="D6585" t="s">
        <v>25558</v>
      </c>
      <c r="E6585" t="s">
        <v>25559</v>
      </c>
      <c r="F6585" t="s">
        <v>9607</v>
      </c>
      <c r="G6585" t="s">
        <v>161</v>
      </c>
      <c r="H6585" t="s">
        <v>25560</v>
      </c>
      <c r="I6585" t="s">
        <v>30</v>
      </c>
      <c r="J6585" t="s">
        <v>41</v>
      </c>
      <c r="K6585" t="s">
        <v>59</v>
      </c>
      <c r="Q6585">
        <v>0</v>
      </c>
      <c r="R6585">
        <v>0</v>
      </c>
      <c r="S6585">
        <v>0</v>
      </c>
    </row>
    <row r="6586" spans="1:20" customFormat="1" ht="15" x14ac:dyDescent="0.25">
      <c r="A6586" t="s">
        <v>35</v>
      </c>
      <c r="B6586" t="s">
        <v>61</v>
      </c>
      <c r="C6586" t="str">
        <f>"A0182817"</f>
        <v>A0182817</v>
      </c>
      <c r="D6586" t="s">
        <v>25561</v>
      </c>
      <c r="E6586" t="s">
        <v>25562</v>
      </c>
      <c r="F6586" t="s">
        <v>7112</v>
      </c>
      <c r="G6586" t="s">
        <v>161</v>
      </c>
      <c r="H6586" t="s">
        <v>25563</v>
      </c>
      <c r="I6586" t="s">
        <v>30</v>
      </c>
      <c r="J6586" t="s">
        <v>41</v>
      </c>
      <c r="K6586" t="s">
        <v>59</v>
      </c>
      <c r="Q6586">
        <v>0</v>
      </c>
      <c r="R6586">
        <v>0</v>
      </c>
      <c r="S6586">
        <v>0</v>
      </c>
    </row>
    <row r="6587" spans="1:20" customFormat="1" ht="15" x14ac:dyDescent="0.25">
      <c r="A6587" t="s">
        <v>35</v>
      </c>
      <c r="B6587" t="s">
        <v>61</v>
      </c>
      <c r="C6587" t="str">
        <f>"A0182816"</f>
        <v>A0182816</v>
      </c>
      <c r="D6587" t="s">
        <v>25564</v>
      </c>
      <c r="E6587" t="s">
        <v>25565</v>
      </c>
      <c r="F6587" t="s">
        <v>2714</v>
      </c>
      <c r="G6587" t="s">
        <v>81</v>
      </c>
      <c r="H6587" t="s">
        <v>25566</v>
      </c>
      <c r="I6587" t="s">
        <v>30</v>
      </c>
      <c r="J6587" t="s">
        <v>41</v>
      </c>
      <c r="K6587" t="s">
        <v>59</v>
      </c>
      <c r="Q6587">
        <v>0</v>
      </c>
      <c r="R6587">
        <v>0</v>
      </c>
      <c r="S6587">
        <v>0</v>
      </c>
      <c r="T6587" t="s">
        <v>25567</v>
      </c>
    </row>
    <row r="6588" spans="1:20" customFormat="1" ht="15" x14ac:dyDescent="0.25">
      <c r="A6588" t="s">
        <v>35</v>
      </c>
      <c r="B6588" t="s">
        <v>61</v>
      </c>
      <c r="C6588" t="str">
        <f>"A0182815"</f>
        <v>A0182815</v>
      </c>
      <c r="D6588" t="s">
        <v>25568</v>
      </c>
      <c r="E6588" t="s">
        <v>25569</v>
      </c>
      <c r="F6588" t="s">
        <v>12947</v>
      </c>
      <c r="G6588" t="s">
        <v>81</v>
      </c>
      <c r="H6588" t="s">
        <v>25570</v>
      </c>
      <c r="I6588" t="s">
        <v>30</v>
      </c>
      <c r="J6588" t="s">
        <v>41</v>
      </c>
      <c r="K6588" t="s">
        <v>59</v>
      </c>
      <c r="Q6588">
        <v>0</v>
      </c>
      <c r="R6588">
        <v>98</v>
      </c>
      <c r="S6588">
        <v>98</v>
      </c>
      <c r="T6588" t="s">
        <v>25571</v>
      </c>
    </row>
    <row r="6589" spans="1:20" customFormat="1" ht="15" x14ac:dyDescent="0.25">
      <c r="A6589" t="s">
        <v>35</v>
      </c>
      <c r="B6589" t="s">
        <v>61</v>
      </c>
      <c r="C6589" t="str">
        <f>"A0182814"</f>
        <v>A0182814</v>
      </c>
      <c r="D6589" t="s">
        <v>25572</v>
      </c>
      <c r="E6589" t="s">
        <v>25573</v>
      </c>
      <c r="F6589" t="s">
        <v>22701</v>
      </c>
      <c r="G6589" t="s">
        <v>81</v>
      </c>
      <c r="H6589">
        <v>32064</v>
      </c>
      <c r="I6589" t="s">
        <v>30</v>
      </c>
      <c r="J6589" t="s">
        <v>41</v>
      </c>
      <c r="K6589" t="s">
        <v>59</v>
      </c>
      <c r="Q6589">
        <v>0</v>
      </c>
      <c r="R6589">
        <v>563</v>
      </c>
      <c r="S6589">
        <v>563</v>
      </c>
      <c r="T6589" t="s">
        <v>25409</v>
      </c>
    </row>
    <row r="6590" spans="1:20" customFormat="1" ht="15" x14ac:dyDescent="0.25">
      <c r="A6590" t="s">
        <v>35</v>
      </c>
      <c r="B6590" t="s">
        <v>15885</v>
      </c>
      <c r="C6590" t="str">
        <f>"A0182813"</f>
        <v>A0182813</v>
      </c>
      <c r="D6590" t="s">
        <v>25574</v>
      </c>
      <c r="E6590" t="s">
        <v>25575</v>
      </c>
      <c r="F6590" t="s">
        <v>25576</v>
      </c>
      <c r="G6590" t="s">
        <v>190</v>
      </c>
      <c r="H6590">
        <v>80241</v>
      </c>
      <c r="I6590" t="s">
        <v>30</v>
      </c>
      <c r="J6590" t="s">
        <v>41</v>
      </c>
      <c r="K6590" t="s">
        <v>59</v>
      </c>
      <c r="Q6590">
        <v>0</v>
      </c>
      <c r="R6590">
        <v>0</v>
      </c>
      <c r="S6590">
        <v>0</v>
      </c>
      <c r="T6590" t="s">
        <v>25577</v>
      </c>
    </row>
    <row r="6591" spans="1:20" customFormat="1" ht="15" x14ac:dyDescent="0.25">
      <c r="A6591" t="s">
        <v>35</v>
      </c>
      <c r="B6591" t="s">
        <v>15885</v>
      </c>
      <c r="C6591" t="str">
        <f>"A0182812"</f>
        <v>A0182812</v>
      </c>
      <c r="D6591" t="s">
        <v>25578</v>
      </c>
      <c r="E6591" t="s">
        <v>25579</v>
      </c>
      <c r="F6591" t="s">
        <v>875</v>
      </c>
      <c r="G6591" t="s">
        <v>190</v>
      </c>
      <c r="H6591">
        <v>80517</v>
      </c>
      <c r="I6591" t="s">
        <v>30</v>
      </c>
      <c r="J6591" t="s">
        <v>41</v>
      </c>
      <c r="K6591" t="s">
        <v>59</v>
      </c>
      <c r="Q6591">
        <v>0</v>
      </c>
      <c r="R6591">
        <v>0</v>
      </c>
      <c r="S6591">
        <v>0</v>
      </c>
      <c r="T6591" t="s">
        <v>25580</v>
      </c>
    </row>
    <row r="6592" spans="1:20" customFormat="1" ht="15" x14ac:dyDescent="0.25">
      <c r="A6592" t="s">
        <v>35</v>
      </c>
      <c r="B6592" t="s">
        <v>61</v>
      </c>
      <c r="C6592" t="str">
        <f>"A0182811"</f>
        <v>A0182811</v>
      </c>
      <c r="D6592" t="s">
        <v>25581</v>
      </c>
      <c r="E6592" t="s">
        <v>22605</v>
      </c>
      <c r="F6592" t="s">
        <v>22603</v>
      </c>
      <c r="G6592" t="s">
        <v>338</v>
      </c>
      <c r="H6592">
        <v>7481</v>
      </c>
      <c r="I6592" t="s">
        <v>30</v>
      </c>
      <c r="J6592" t="s">
        <v>41</v>
      </c>
      <c r="K6592" t="s">
        <v>59</v>
      </c>
      <c r="Q6592">
        <v>0</v>
      </c>
      <c r="R6592">
        <v>289</v>
      </c>
      <c r="S6592">
        <v>289</v>
      </c>
      <c r="T6592" t="s">
        <v>22606</v>
      </c>
    </row>
    <row r="6593" spans="1:20" customFormat="1" ht="15" x14ac:dyDescent="0.25">
      <c r="A6593" t="s">
        <v>35</v>
      </c>
      <c r="B6593" t="s">
        <v>61</v>
      </c>
      <c r="C6593" t="str">
        <f>"A0182810"</f>
        <v>A0182810</v>
      </c>
      <c r="D6593" t="s">
        <v>25582</v>
      </c>
      <c r="E6593" t="s">
        <v>25583</v>
      </c>
      <c r="F6593" t="s">
        <v>898</v>
      </c>
      <c r="G6593" t="s">
        <v>899</v>
      </c>
      <c r="H6593" t="s">
        <v>25584</v>
      </c>
      <c r="I6593" t="s">
        <v>30</v>
      </c>
      <c r="J6593" t="s">
        <v>41</v>
      </c>
      <c r="K6593" t="s">
        <v>59</v>
      </c>
      <c r="Q6593">
        <v>0</v>
      </c>
      <c r="R6593">
        <v>0</v>
      </c>
      <c r="S6593">
        <v>0</v>
      </c>
    </row>
    <row r="6594" spans="1:20" customFormat="1" ht="15" x14ac:dyDescent="0.25">
      <c r="A6594" t="s">
        <v>35</v>
      </c>
      <c r="B6594" t="s">
        <v>61</v>
      </c>
      <c r="C6594" t="str">
        <f>"A0182809"</f>
        <v>A0182809</v>
      </c>
      <c r="D6594" t="s">
        <v>25585</v>
      </c>
      <c r="E6594" t="s">
        <v>25586</v>
      </c>
      <c r="F6594" t="s">
        <v>6022</v>
      </c>
      <c r="G6594" t="s">
        <v>899</v>
      </c>
      <c r="H6594" t="s">
        <v>25587</v>
      </c>
      <c r="I6594" t="s">
        <v>30</v>
      </c>
      <c r="J6594" t="s">
        <v>41</v>
      </c>
      <c r="K6594" t="s">
        <v>59</v>
      </c>
      <c r="Q6594">
        <v>0</v>
      </c>
      <c r="R6594">
        <v>0</v>
      </c>
      <c r="S6594">
        <v>0</v>
      </c>
      <c r="T6594" t="s">
        <v>25588</v>
      </c>
    </row>
    <row r="6595" spans="1:20" customFormat="1" ht="15" x14ac:dyDescent="0.25">
      <c r="A6595" t="s">
        <v>35</v>
      </c>
      <c r="B6595" t="s">
        <v>61</v>
      </c>
      <c r="C6595" t="str">
        <f>"A0182808"</f>
        <v>A0182808</v>
      </c>
      <c r="D6595" t="s">
        <v>25589</v>
      </c>
      <c r="E6595" t="s">
        <v>25590</v>
      </c>
      <c r="F6595" t="s">
        <v>25591</v>
      </c>
      <c r="G6595" t="s">
        <v>899</v>
      </c>
      <c r="H6595" t="s">
        <v>25592</v>
      </c>
      <c r="I6595" t="s">
        <v>30</v>
      </c>
      <c r="J6595" t="s">
        <v>41</v>
      </c>
      <c r="K6595" t="s">
        <v>59</v>
      </c>
      <c r="Q6595">
        <v>0</v>
      </c>
      <c r="R6595">
        <v>0</v>
      </c>
      <c r="S6595">
        <v>0</v>
      </c>
    </row>
    <row r="6596" spans="1:20" customFormat="1" ht="15" x14ac:dyDescent="0.25">
      <c r="A6596" t="s">
        <v>35</v>
      </c>
      <c r="B6596" t="s">
        <v>61</v>
      </c>
      <c r="C6596" t="str">
        <f>"A0182807"</f>
        <v>A0182807</v>
      </c>
      <c r="D6596" t="s">
        <v>25593</v>
      </c>
      <c r="E6596" t="s">
        <v>25594</v>
      </c>
      <c r="F6596" t="s">
        <v>2784</v>
      </c>
      <c r="G6596" t="s">
        <v>925</v>
      </c>
      <c r="H6596">
        <v>67218</v>
      </c>
      <c r="I6596" t="s">
        <v>30</v>
      </c>
      <c r="J6596" t="s">
        <v>41</v>
      </c>
      <c r="K6596" t="s">
        <v>59</v>
      </c>
      <c r="Q6596">
        <v>0</v>
      </c>
      <c r="R6596">
        <v>66</v>
      </c>
      <c r="S6596">
        <v>66</v>
      </c>
      <c r="T6596" t="s">
        <v>25595</v>
      </c>
    </row>
    <row r="6597" spans="1:20" customFormat="1" ht="15" x14ac:dyDescent="0.25">
      <c r="A6597" t="s">
        <v>35</v>
      </c>
      <c r="B6597" t="s">
        <v>61</v>
      </c>
      <c r="C6597" t="str">
        <f>"A0182806"</f>
        <v>A0182806</v>
      </c>
      <c r="D6597" t="s">
        <v>25596</v>
      </c>
      <c r="E6597" t="s">
        <v>25597</v>
      </c>
      <c r="F6597" t="s">
        <v>25495</v>
      </c>
      <c r="G6597" t="s">
        <v>1170</v>
      </c>
      <c r="H6597" t="s">
        <v>25598</v>
      </c>
      <c r="I6597" t="s">
        <v>30</v>
      </c>
      <c r="J6597" t="s">
        <v>41</v>
      </c>
      <c r="K6597" t="s">
        <v>59</v>
      </c>
      <c r="Q6597">
        <v>0</v>
      </c>
      <c r="R6597">
        <v>0</v>
      </c>
      <c r="S6597">
        <v>0</v>
      </c>
    </row>
    <row r="6598" spans="1:20" customFormat="1" ht="15" x14ac:dyDescent="0.25">
      <c r="A6598" t="s">
        <v>35</v>
      </c>
      <c r="B6598" t="s">
        <v>61</v>
      </c>
      <c r="C6598" t="str">
        <f>"A0182805"</f>
        <v>A0182805</v>
      </c>
      <c r="D6598" t="s">
        <v>25599</v>
      </c>
      <c r="E6598" t="s">
        <v>25600</v>
      </c>
      <c r="F6598" t="s">
        <v>25601</v>
      </c>
      <c r="G6598" t="s">
        <v>1170</v>
      </c>
      <c r="H6598" t="s">
        <v>25602</v>
      </c>
      <c r="I6598" t="s">
        <v>30</v>
      </c>
      <c r="J6598" t="s">
        <v>41</v>
      </c>
      <c r="K6598" t="s">
        <v>59</v>
      </c>
      <c r="Q6598">
        <v>0</v>
      </c>
      <c r="R6598">
        <v>0</v>
      </c>
      <c r="S6598">
        <v>0</v>
      </c>
    </row>
    <row r="6599" spans="1:20" customFormat="1" ht="15" x14ac:dyDescent="0.25">
      <c r="A6599" t="s">
        <v>35</v>
      </c>
      <c r="B6599" t="s">
        <v>61</v>
      </c>
      <c r="C6599" t="str">
        <f>"A0182804"</f>
        <v>A0182804</v>
      </c>
      <c r="D6599" t="s">
        <v>25603</v>
      </c>
      <c r="E6599" t="s">
        <v>25604</v>
      </c>
      <c r="F6599" t="s">
        <v>25605</v>
      </c>
      <c r="G6599" t="s">
        <v>1170</v>
      </c>
      <c r="H6599" t="s">
        <v>25606</v>
      </c>
      <c r="I6599" t="s">
        <v>30</v>
      </c>
      <c r="J6599" t="s">
        <v>41</v>
      </c>
      <c r="K6599" t="s">
        <v>59</v>
      </c>
      <c r="Q6599">
        <v>0</v>
      </c>
      <c r="R6599">
        <v>0</v>
      </c>
      <c r="S6599">
        <v>0</v>
      </c>
      <c r="T6599" t="s">
        <v>25607</v>
      </c>
    </row>
    <row r="6600" spans="1:20" customFormat="1" ht="15" x14ac:dyDescent="0.25">
      <c r="A6600" t="s">
        <v>35</v>
      </c>
      <c r="B6600" t="s">
        <v>61</v>
      </c>
      <c r="C6600" t="str">
        <f>"A0182803"</f>
        <v>A0182803</v>
      </c>
      <c r="D6600" t="s">
        <v>25608</v>
      </c>
      <c r="E6600" t="s">
        <v>25609</v>
      </c>
      <c r="F6600" t="s">
        <v>25610</v>
      </c>
      <c r="G6600" t="s">
        <v>899</v>
      </c>
      <c r="H6600" t="s">
        <v>25611</v>
      </c>
      <c r="I6600" t="s">
        <v>30</v>
      </c>
      <c r="J6600" t="s">
        <v>41</v>
      </c>
      <c r="K6600" t="s">
        <v>59</v>
      </c>
      <c r="Q6600">
        <v>0</v>
      </c>
      <c r="R6600">
        <v>0</v>
      </c>
      <c r="S6600">
        <v>0</v>
      </c>
      <c r="T6600" t="s">
        <v>25612</v>
      </c>
    </row>
    <row r="6601" spans="1:20" customFormat="1" ht="15" x14ac:dyDescent="0.25">
      <c r="A6601" t="s">
        <v>35</v>
      </c>
      <c r="B6601" t="s">
        <v>61</v>
      </c>
      <c r="C6601" t="str">
        <f>"A0182802"</f>
        <v>A0182802</v>
      </c>
      <c r="D6601" t="s">
        <v>25613</v>
      </c>
      <c r="E6601" t="s">
        <v>25614</v>
      </c>
      <c r="F6601" t="s">
        <v>25615</v>
      </c>
      <c r="G6601" t="s">
        <v>899</v>
      </c>
      <c r="H6601" t="s">
        <v>25616</v>
      </c>
      <c r="I6601" t="s">
        <v>30</v>
      </c>
      <c r="J6601" t="s">
        <v>41</v>
      </c>
      <c r="K6601" t="s">
        <v>59</v>
      </c>
      <c r="Q6601">
        <v>0</v>
      </c>
      <c r="R6601">
        <v>94</v>
      </c>
      <c r="S6601">
        <v>94</v>
      </c>
      <c r="T6601" t="s">
        <v>25617</v>
      </c>
    </row>
    <row r="6602" spans="1:20" customFormat="1" ht="15" x14ac:dyDescent="0.25">
      <c r="A6602" t="s">
        <v>35</v>
      </c>
      <c r="B6602" t="s">
        <v>61</v>
      </c>
      <c r="C6602" t="str">
        <f>"A0182801"</f>
        <v>A0182801</v>
      </c>
      <c r="D6602" t="s">
        <v>25618</v>
      </c>
      <c r="E6602" t="s">
        <v>25619</v>
      </c>
      <c r="F6602" t="s">
        <v>25620</v>
      </c>
      <c r="G6602" t="s">
        <v>99</v>
      </c>
      <c r="H6602" t="s">
        <v>25621</v>
      </c>
      <c r="I6602" t="s">
        <v>30</v>
      </c>
      <c r="J6602" t="s">
        <v>41</v>
      </c>
      <c r="K6602" t="s">
        <v>59</v>
      </c>
      <c r="Q6602">
        <v>0</v>
      </c>
      <c r="R6602">
        <v>0</v>
      </c>
      <c r="S6602">
        <v>0</v>
      </c>
      <c r="T6602" t="s">
        <v>25622</v>
      </c>
    </row>
    <row r="6603" spans="1:20" customFormat="1" ht="15" x14ac:dyDescent="0.25">
      <c r="A6603" t="s">
        <v>35</v>
      </c>
      <c r="B6603" t="s">
        <v>11871</v>
      </c>
      <c r="C6603" t="str">
        <f>"A0182800"</f>
        <v>A0182800</v>
      </c>
      <c r="D6603" t="s">
        <v>25623</v>
      </c>
      <c r="E6603" t="s">
        <v>25624</v>
      </c>
      <c r="F6603" t="s">
        <v>549</v>
      </c>
      <c r="G6603" t="s">
        <v>338</v>
      </c>
      <c r="H6603" t="s">
        <v>25625</v>
      </c>
      <c r="I6603" t="s">
        <v>30</v>
      </c>
      <c r="J6603" t="s">
        <v>41</v>
      </c>
      <c r="K6603" t="s">
        <v>59</v>
      </c>
      <c r="Q6603">
        <v>0</v>
      </c>
      <c r="R6603">
        <v>0</v>
      </c>
      <c r="S6603">
        <v>0</v>
      </c>
      <c r="T6603" t="s">
        <v>25626</v>
      </c>
    </row>
    <row r="6604" spans="1:20" customFormat="1" ht="15" x14ac:dyDescent="0.25">
      <c r="A6604" t="s">
        <v>35</v>
      </c>
      <c r="B6604" t="s">
        <v>61</v>
      </c>
      <c r="C6604" t="str">
        <f>"A0182799"</f>
        <v>A0182799</v>
      </c>
      <c r="D6604" t="s">
        <v>25627</v>
      </c>
      <c r="E6604" t="s">
        <v>25628</v>
      </c>
      <c r="F6604" t="s">
        <v>1948</v>
      </c>
      <c r="G6604" t="s">
        <v>338</v>
      </c>
      <c r="H6604">
        <v>8701</v>
      </c>
      <c r="I6604" t="s">
        <v>30</v>
      </c>
      <c r="J6604" t="s">
        <v>41</v>
      </c>
      <c r="K6604" t="s">
        <v>59</v>
      </c>
      <c r="Q6604">
        <v>0</v>
      </c>
      <c r="R6604">
        <v>68</v>
      </c>
      <c r="S6604">
        <v>68</v>
      </c>
      <c r="T6604" t="s">
        <v>25629</v>
      </c>
    </row>
    <row r="6605" spans="1:20" customFormat="1" ht="15" x14ac:dyDescent="0.25">
      <c r="A6605" t="s">
        <v>35</v>
      </c>
      <c r="B6605" t="s">
        <v>61</v>
      </c>
      <c r="C6605" t="str">
        <f>"A0182798"</f>
        <v>A0182798</v>
      </c>
      <c r="D6605" t="s">
        <v>25630</v>
      </c>
      <c r="E6605" t="s">
        <v>25631</v>
      </c>
      <c r="F6605" t="s">
        <v>25632</v>
      </c>
      <c r="G6605" t="s">
        <v>338</v>
      </c>
      <c r="H6605" t="s">
        <v>25633</v>
      </c>
      <c r="I6605" t="s">
        <v>30</v>
      </c>
      <c r="J6605" t="s">
        <v>41</v>
      </c>
      <c r="K6605" t="s">
        <v>59</v>
      </c>
      <c r="Q6605">
        <v>0</v>
      </c>
      <c r="R6605">
        <v>0</v>
      </c>
      <c r="S6605">
        <v>0</v>
      </c>
      <c r="T6605" t="s">
        <v>25634</v>
      </c>
    </row>
    <row r="6606" spans="1:20" customFormat="1" ht="15" x14ac:dyDescent="0.25">
      <c r="A6606" t="s">
        <v>35</v>
      </c>
      <c r="B6606" t="s">
        <v>61</v>
      </c>
      <c r="C6606" t="str">
        <f>"A0182797"</f>
        <v>A0182797</v>
      </c>
      <c r="D6606" t="s">
        <v>25635</v>
      </c>
      <c r="E6606" t="s">
        <v>22605</v>
      </c>
      <c r="F6606" t="s">
        <v>22603</v>
      </c>
      <c r="G6606" t="s">
        <v>338</v>
      </c>
      <c r="H6606">
        <v>7481</v>
      </c>
      <c r="I6606" t="s">
        <v>30</v>
      </c>
      <c r="J6606" t="s">
        <v>41</v>
      </c>
      <c r="K6606" t="s">
        <v>59</v>
      </c>
      <c r="Q6606">
        <v>0</v>
      </c>
      <c r="R6606">
        <v>289</v>
      </c>
      <c r="S6606">
        <v>289</v>
      </c>
      <c r="T6606" t="s">
        <v>22606</v>
      </c>
    </row>
    <row r="6607" spans="1:20" customFormat="1" ht="15" x14ac:dyDescent="0.25">
      <c r="A6607" t="s">
        <v>35</v>
      </c>
      <c r="B6607" t="s">
        <v>61</v>
      </c>
      <c r="C6607" t="str">
        <f>"A0182796"</f>
        <v>A0182796</v>
      </c>
      <c r="D6607" t="s">
        <v>25636</v>
      </c>
      <c r="E6607" t="s">
        <v>25637</v>
      </c>
      <c r="F6607" t="s">
        <v>25638</v>
      </c>
      <c r="G6607" t="s">
        <v>899</v>
      </c>
      <c r="H6607" t="s">
        <v>25639</v>
      </c>
      <c r="I6607" t="s">
        <v>30</v>
      </c>
      <c r="J6607" t="s">
        <v>41</v>
      </c>
      <c r="K6607" t="s">
        <v>59</v>
      </c>
      <c r="Q6607">
        <v>0</v>
      </c>
      <c r="R6607">
        <v>0</v>
      </c>
      <c r="S6607">
        <v>0</v>
      </c>
      <c r="T6607" t="s">
        <v>25640</v>
      </c>
    </row>
    <row r="6608" spans="1:20" customFormat="1" ht="15" x14ac:dyDescent="0.25">
      <c r="A6608" t="s">
        <v>35</v>
      </c>
      <c r="B6608" t="s">
        <v>61</v>
      </c>
      <c r="C6608" t="str">
        <f>"A0182795"</f>
        <v>A0182795</v>
      </c>
      <c r="D6608" t="s">
        <v>25641</v>
      </c>
      <c r="E6608" t="s">
        <v>25642</v>
      </c>
      <c r="F6608" t="s">
        <v>23833</v>
      </c>
      <c r="G6608" t="s">
        <v>99</v>
      </c>
      <c r="H6608" t="s">
        <v>25643</v>
      </c>
      <c r="I6608" t="s">
        <v>30</v>
      </c>
      <c r="J6608" t="s">
        <v>41</v>
      </c>
      <c r="K6608" t="s">
        <v>59</v>
      </c>
      <c r="Q6608">
        <v>0</v>
      </c>
      <c r="R6608">
        <v>409</v>
      </c>
      <c r="S6608">
        <v>409</v>
      </c>
      <c r="T6608" t="s">
        <v>25644</v>
      </c>
    </row>
    <row r="6609" spans="1:20" customFormat="1" ht="15" x14ac:dyDescent="0.25">
      <c r="A6609" t="s">
        <v>35</v>
      </c>
      <c r="B6609" t="s">
        <v>61</v>
      </c>
      <c r="C6609" t="str">
        <f>"A0182794"</f>
        <v>A0182794</v>
      </c>
      <c r="D6609" t="s">
        <v>25645</v>
      </c>
      <c r="E6609" t="s">
        <v>25583</v>
      </c>
      <c r="F6609" t="s">
        <v>898</v>
      </c>
      <c r="G6609" t="s">
        <v>899</v>
      </c>
      <c r="H6609" t="s">
        <v>25584</v>
      </c>
      <c r="I6609" t="s">
        <v>30</v>
      </c>
      <c r="J6609" t="s">
        <v>41</v>
      </c>
      <c r="K6609" t="s">
        <v>59</v>
      </c>
      <c r="Q6609">
        <v>0</v>
      </c>
      <c r="R6609">
        <v>0</v>
      </c>
      <c r="S6609">
        <v>0</v>
      </c>
    </row>
    <row r="6610" spans="1:20" customFormat="1" ht="15" x14ac:dyDescent="0.25">
      <c r="A6610" t="s">
        <v>35</v>
      </c>
      <c r="B6610" t="s">
        <v>61</v>
      </c>
      <c r="C6610" t="str">
        <f>"A0182793"</f>
        <v>A0182793</v>
      </c>
      <c r="D6610" t="s">
        <v>25646</v>
      </c>
      <c r="E6610" t="s">
        <v>25647</v>
      </c>
      <c r="F6610" t="s">
        <v>20667</v>
      </c>
      <c r="G6610" t="s">
        <v>81</v>
      </c>
      <c r="H6610" t="s">
        <v>25648</v>
      </c>
      <c r="I6610" t="s">
        <v>30</v>
      </c>
      <c r="J6610" t="s">
        <v>41</v>
      </c>
      <c r="K6610" t="s">
        <v>59</v>
      </c>
      <c r="Q6610">
        <v>0</v>
      </c>
      <c r="R6610">
        <v>0</v>
      </c>
      <c r="S6610">
        <v>0</v>
      </c>
      <c r="T6610" t="s">
        <v>25649</v>
      </c>
    </row>
    <row r="6611" spans="1:20" customFormat="1" ht="15" x14ac:dyDescent="0.25">
      <c r="A6611" t="s">
        <v>35</v>
      </c>
      <c r="B6611" t="s">
        <v>61</v>
      </c>
      <c r="C6611" t="str">
        <f>"A0182792"</f>
        <v>A0182792</v>
      </c>
      <c r="D6611" t="s">
        <v>25650</v>
      </c>
      <c r="E6611" t="s">
        <v>25651</v>
      </c>
      <c r="F6611" t="s">
        <v>22701</v>
      </c>
      <c r="G6611" t="s">
        <v>81</v>
      </c>
      <c r="H6611">
        <v>32060</v>
      </c>
      <c r="I6611" t="s">
        <v>30</v>
      </c>
      <c r="J6611" t="s">
        <v>41</v>
      </c>
      <c r="K6611" t="s">
        <v>59</v>
      </c>
      <c r="Q6611">
        <v>0</v>
      </c>
      <c r="R6611">
        <v>0</v>
      </c>
      <c r="S6611">
        <v>0</v>
      </c>
    </row>
    <row r="6612" spans="1:20" customFormat="1" ht="15" x14ac:dyDescent="0.25">
      <c r="A6612" t="s">
        <v>35</v>
      </c>
      <c r="B6612" t="s">
        <v>61</v>
      </c>
      <c r="C6612" t="str">
        <f>"A0182791"</f>
        <v>A0182791</v>
      </c>
      <c r="D6612" t="s">
        <v>25652</v>
      </c>
      <c r="E6612" t="s">
        <v>25653</v>
      </c>
      <c r="F6612" t="s">
        <v>4674</v>
      </c>
      <c r="G6612" t="s">
        <v>314</v>
      </c>
      <c r="H6612" t="s">
        <v>25654</v>
      </c>
      <c r="I6612" t="s">
        <v>30</v>
      </c>
      <c r="J6612" t="s">
        <v>41</v>
      </c>
      <c r="K6612" t="s">
        <v>59</v>
      </c>
      <c r="Q6612">
        <v>0</v>
      </c>
      <c r="R6612">
        <v>0</v>
      </c>
      <c r="S6612">
        <v>0</v>
      </c>
      <c r="T6612" t="s">
        <v>25655</v>
      </c>
    </row>
    <row r="6613" spans="1:20" customFormat="1" ht="15" x14ac:dyDescent="0.25">
      <c r="A6613" t="s">
        <v>35</v>
      </c>
      <c r="B6613" t="s">
        <v>61</v>
      </c>
      <c r="C6613" t="str">
        <f>"A0182790"</f>
        <v>A0182790</v>
      </c>
      <c r="D6613" t="s">
        <v>25656</v>
      </c>
      <c r="E6613" t="s">
        <v>25657</v>
      </c>
      <c r="F6613" t="s">
        <v>2719</v>
      </c>
      <c r="G6613" t="s">
        <v>190</v>
      </c>
      <c r="H6613">
        <v>80222</v>
      </c>
      <c r="I6613" t="s">
        <v>30</v>
      </c>
      <c r="J6613" t="s">
        <v>41</v>
      </c>
      <c r="K6613" t="s">
        <v>59</v>
      </c>
      <c r="Q6613">
        <v>0</v>
      </c>
      <c r="R6613">
        <v>0</v>
      </c>
      <c r="S6613">
        <v>0</v>
      </c>
    </row>
    <row r="6614" spans="1:20" customFormat="1" ht="15" x14ac:dyDescent="0.25">
      <c r="A6614" t="s">
        <v>35</v>
      </c>
      <c r="B6614" t="s">
        <v>15885</v>
      </c>
      <c r="C6614" t="str">
        <f>"A0182789"</f>
        <v>A0182789</v>
      </c>
      <c r="D6614" t="s">
        <v>25658</v>
      </c>
      <c r="E6614" t="s">
        <v>25575</v>
      </c>
      <c r="F6614" t="s">
        <v>25576</v>
      </c>
      <c r="G6614" t="s">
        <v>190</v>
      </c>
      <c r="H6614">
        <v>802412402</v>
      </c>
      <c r="I6614" t="s">
        <v>30</v>
      </c>
      <c r="J6614" t="s">
        <v>41</v>
      </c>
      <c r="K6614" t="s">
        <v>59</v>
      </c>
      <c r="Q6614">
        <v>0</v>
      </c>
      <c r="R6614">
        <v>0</v>
      </c>
      <c r="S6614">
        <v>0</v>
      </c>
      <c r="T6614" t="s">
        <v>25577</v>
      </c>
    </row>
    <row r="6615" spans="1:20" customFormat="1" ht="15" x14ac:dyDescent="0.25">
      <c r="A6615" t="s">
        <v>35</v>
      </c>
      <c r="B6615" t="s">
        <v>61</v>
      </c>
      <c r="C6615" t="str">
        <f>"A0182788"</f>
        <v>A0182788</v>
      </c>
      <c r="D6615" t="s">
        <v>25659</v>
      </c>
      <c r="E6615" t="s">
        <v>25660</v>
      </c>
      <c r="F6615" t="s">
        <v>4269</v>
      </c>
      <c r="G6615" t="s">
        <v>99</v>
      </c>
      <c r="H6615" t="s">
        <v>25661</v>
      </c>
      <c r="I6615" t="s">
        <v>30</v>
      </c>
      <c r="J6615" t="s">
        <v>41</v>
      </c>
      <c r="K6615" t="s">
        <v>59</v>
      </c>
      <c r="Q6615">
        <v>0</v>
      </c>
      <c r="R6615">
        <v>135</v>
      </c>
      <c r="S6615">
        <v>135</v>
      </c>
      <c r="T6615" t="s">
        <v>25662</v>
      </c>
    </row>
    <row r="6616" spans="1:20" customFormat="1" ht="15" x14ac:dyDescent="0.25">
      <c r="A6616" t="s">
        <v>35</v>
      </c>
      <c r="B6616" t="s">
        <v>21240</v>
      </c>
      <c r="C6616" t="str">
        <f>"A0182787"</f>
        <v>A0182787</v>
      </c>
      <c r="D6616" t="s">
        <v>25663</v>
      </c>
      <c r="E6616" t="s">
        <v>25664</v>
      </c>
      <c r="F6616" t="s">
        <v>25665</v>
      </c>
      <c r="G6616" t="s">
        <v>117</v>
      </c>
      <c r="H6616" t="s">
        <v>25666</v>
      </c>
      <c r="I6616" t="s">
        <v>30</v>
      </c>
      <c r="J6616" t="s">
        <v>41</v>
      </c>
      <c r="K6616" t="s">
        <v>59</v>
      </c>
      <c r="Q6616">
        <v>0</v>
      </c>
      <c r="R6616">
        <v>0</v>
      </c>
      <c r="S6616">
        <v>0</v>
      </c>
      <c r="T6616" t="s">
        <v>25667</v>
      </c>
    </row>
    <row r="6617" spans="1:20" customFormat="1" ht="15" x14ac:dyDescent="0.25">
      <c r="A6617" t="s">
        <v>35</v>
      </c>
      <c r="B6617" t="s">
        <v>11892</v>
      </c>
      <c r="C6617" t="str">
        <f>"A0182786"</f>
        <v>A0182786</v>
      </c>
      <c r="D6617" t="s">
        <v>25668</v>
      </c>
      <c r="E6617" t="s">
        <v>25669</v>
      </c>
      <c r="F6617" t="s">
        <v>12532</v>
      </c>
      <c r="G6617" t="s">
        <v>117</v>
      </c>
      <c r="H6617" t="s">
        <v>25670</v>
      </c>
      <c r="I6617" t="s">
        <v>30</v>
      </c>
      <c r="J6617" t="s">
        <v>41</v>
      </c>
      <c r="K6617" t="s">
        <v>59</v>
      </c>
      <c r="Q6617">
        <v>0</v>
      </c>
      <c r="R6617">
        <v>0</v>
      </c>
      <c r="S6617">
        <v>0</v>
      </c>
      <c r="T6617" t="s">
        <v>25671</v>
      </c>
    </row>
    <row r="6618" spans="1:20" customFormat="1" ht="15" x14ac:dyDescent="0.25">
      <c r="A6618" t="s">
        <v>35</v>
      </c>
      <c r="B6618" t="s">
        <v>25672</v>
      </c>
      <c r="C6618" t="str">
        <f>"A0182785"</f>
        <v>A0182785</v>
      </c>
      <c r="D6618" t="s">
        <v>25673</v>
      </c>
      <c r="E6618" t="s">
        <v>25674</v>
      </c>
      <c r="F6618" t="s">
        <v>11946</v>
      </c>
      <c r="G6618" t="s">
        <v>1898</v>
      </c>
      <c r="H6618">
        <v>527761130</v>
      </c>
      <c r="I6618" t="s">
        <v>30</v>
      </c>
      <c r="J6618" t="s">
        <v>41</v>
      </c>
      <c r="K6618" t="s">
        <v>59</v>
      </c>
      <c r="Q6618">
        <v>0</v>
      </c>
      <c r="R6618">
        <v>107</v>
      </c>
      <c r="S6618">
        <v>107</v>
      </c>
    </row>
    <row r="6619" spans="1:20" customFormat="1" ht="15" x14ac:dyDescent="0.25">
      <c r="A6619" t="s">
        <v>35</v>
      </c>
      <c r="B6619" t="s">
        <v>61</v>
      </c>
      <c r="C6619" t="str">
        <f>"A0182783"</f>
        <v>A0182783</v>
      </c>
      <c r="D6619" t="s">
        <v>25675</v>
      </c>
      <c r="E6619" t="s">
        <v>25676</v>
      </c>
      <c r="F6619" t="s">
        <v>25677</v>
      </c>
      <c r="G6619" t="s">
        <v>1898</v>
      </c>
      <c r="H6619" t="s">
        <v>25678</v>
      </c>
      <c r="I6619" t="s">
        <v>30</v>
      </c>
      <c r="J6619" t="s">
        <v>41</v>
      </c>
      <c r="K6619" t="s">
        <v>59</v>
      </c>
      <c r="Q6619">
        <v>0</v>
      </c>
      <c r="R6619">
        <v>189</v>
      </c>
      <c r="S6619">
        <v>189</v>
      </c>
      <c r="T6619" t="s">
        <v>25679</v>
      </c>
    </row>
    <row r="6620" spans="1:20" customFormat="1" ht="15" x14ac:dyDescent="0.25">
      <c r="A6620" t="s">
        <v>35</v>
      </c>
      <c r="B6620" t="s">
        <v>61</v>
      </c>
      <c r="C6620" t="str">
        <f>"A0182782"</f>
        <v>A0182782</v>
      </c>
      <c r="D6620" t="s">
        <v>25680</v>
      </c>
      <c r="E6620" t="s">
        <v>25681</v>
      </c>
      <c r="F6620" t="s">
        <v>9128</v>
      </c>
      <c r="G6620" t="s">
        <v>110</v>
      </c>
      <c r="H6620">
        <v>946091453</v>
      </c>
      <c r="I6620" t="s">
        <v>30</v>
      </c>
      <c r="J6620" t="s">
        <v>41</v>
      </c>
      <c r="K6620" t="s">
        <v>59</v>
      </c>
      <c r="Q6620">
        <v>0</v>
      </c>
      <c r="R6620">
        <v>0</v>
      </c>
      <c r="S6620">
        <v>0</v>
      </c>
      <c r="T6620" t="s">
        <v>25682</v>
      </c>
    </row>
    <row r="6621" spans="1:20" customFormat="1" ht="15" x14ac:dyDescent="0.25">
      <c r="A6621" t="s">
        <v>35</v>
      </c>
      <c r="B6621" t="s">
        <v>61</v>
      </c>
      <c r="C6621" t="str">
        <f>"A0182781"</f>
        <v>A0182781</v>
      </c>
      <c r="D6621" t="s">
        <v>25683</v>
      </c>
      <c r="E6621" t="s">
        <v>25684</v>
      </c>
      <c r="F6621" t="s">
        <v>25685</v>
      </c>
      <c r="G6621" t="s">
        <v>110</v>
      </c>
      <c r="H6621">
        <v>945092362</v>
      </c>
      <c r="I6621" t="s">
        <v>30</v>
      </c>
      <c r="J6621" t="s">
        <v>41</v>
      </c>
      <c r="K6621" t="s">
        <v>59</v>
      </c>
      <c r="Q6621">
        <v>0</v>
      </c>
      <c r="R6621">
        <v>0</v>
      </c>
      <c r="S6621">
        <v>0</v>
      </c>
      <c r="T6621" t="s">
        <v>25686</v>
      </c>
    </row>
    <row r="6622" spans="1:20" customFormat="1" ht="15" x14ac:dyDescent="0.25">
      <c r="A6622" t="s">
        <v>35</v>
      </c>
      <c r="B6622" t="s">
        <v>11871</v>
      </c>
      <c r="C6622" t="str">
        <f>"A0182780"</f>
        <v>A0182780</v>
      </c>
      <c r="D6622" t="s">
        <v>25687</v>
      </c>
      <c r="E6622" t="s">
        <v>25688</v>
      </c>
      <c r="F6622" t="s">
        <v>24503</v>
      </c>
      <c r="G6622" t="s">
        <v>85</v>
      </c>
      <c r="H6622">
        <v>723013479</v>
      </c>
      <c r="I6622" t="s">
        <v>30</v>
      </c>
      <c r="J6622" t="s">
        <v>41</v>
      </c>
      <c r="K6622" t="s">
        <v>59</v>
      </c>
      <c r="Q6622">
        <v>0</v>
      </c>
      <c r="R6622">
        <v>52</v>
      </c>
      <c r="S6622">
        <v>52</v>
      </c>
      <c r="T6622" t="s">
        <v>25689</v>
      </c>
    </row>
    <row r="6623" spans="1:20" customFormat="1" ht="15" x14ac:dyDescent="0.25">
      <c r="A6623" t="s">
        <v>35</v>
      </c>
      <c r="B6623" t="s">
        <v>61</v>
      </c>
      <c r="C6623" t="str">
        <f>"A0182779"</f>
        <v>A0182779</v>
      </c>
      <c r="D6623" t="s">
        <v>25690</v>
      </c>
      <c r="E6623" t="s">
        <v>25691</v>
      </c>
      <c r="F6623" t="s">
        <v>25692</v>
      </c>
      <c r="G6623" t="s">
        <v>71</v>
      </c>
      <c r="H6623" t="s">
        <v>25693</v>
      </c>
      <c r="I6623" t="s">
        <v>30</v>
      </c>
      <c r="J6623" t="s">
        <v>41</v>
      </c>
      <c r="K6623" t="s">
        <v>59</v>
      </c>
      <c r="Q6623">
        <v>0</v>
      </c>
      <c r="R6623">
        <v>0</v>
      </c>
      <c r="S6623">
        <v>0</v>
      </c>
    </row>
    <row r="6624" spans="1:20" customFormat="1" ht="15" x14ac:dyDescent="0.25">
      <c r="A6624" t="s">
        <v>35</v>
      </c>
      <c r="B6624" t="s">
        <v>61</v>
      </c>
      <c r="C6624" t="str">
        <f>"A0182778"</f>
        <v>A0182778</v>
      </c>
      <c r="D6624" t="s">
        <v>25694</v>
      </c>
      <c r="E6624" t="s">
        <v>25695</v>
      </c>
      <c r="F6624" t="s">
        <v>25696</v>
      </c>
      <c r="G6624" t="s">
        <v>81</v>
      </c>
      <c r="H6624" t="s">
        <v>25697</v>
      </c>
      <c r="I6624" t="s">
        <v>30</v>
      </c>
      <c r="J6624" t="s">
        <v>41</v>
      </c>
      <c r="K6624" t="s">
        <v>59</v>
      </c>
      <c r="Q6624">
        <v>0</v>
      </c>
      <c r="R6624">
        <v>0</v>
      </c>
      <c r="S6624">
        <v>0</v>
      </c>
      <c r="T6624" t="s">
        <v>25698</v>
      </c>
    </row>
    <row r="6625" spans="1:20" customFormat="1" ht="15" x14ac:dyDescent="0.25">
      <c r="A6625" t="s">
        <v>35</v>
      </c>
      <c r="B6625" t="s">
        <v>61</v>
      </c>
      <c r="C6625" t="str">
        <f>"A0182776"</f>
        <v>A0182776</v>
      </c>
      <c r="D6625" t="s">
        <v>25699</v>
      </c>
      <c r="E6625" t="s">
        <v>25700</v>
      </c>
      <c r="F6625" t="s">
        <v>12194</v>
      </c>
      <c r="G6625" t="s">
        <v>81</v>
      </c>
      <c r="H6625" t="s">
        <v>25701</v>
      </c>
      <c r="I6625" t="s">
        <v>30</v>
      </c>
      <c r="J6625" t="s">
        <v>41</v>
      </c>
      <c r="K6625" t="s">
        <v>59</v>
      </c>
      <c r="Q6625">
        <v>0</v>
      </c>
      <c r="R6625">
        <v>0</v>
      </c>
      <c r="S6625">
        <v>0</v>
      </c>
      <c r="T6625" t="s">
        <v>25702</v>
      </c>
    </row>
    <row r="6626" spans="1:20" customFormat="1" ht="15" x14ac:dyDescent="0.25">
      <c r="A6626" t="s">
        <v>35</v>
      </c>
      <c r="B6626" t="s">
        <v>61</v>
      </c>
      <c r="C6626" t="str">
        <f>"A0182775"</f>
        <v>A0182775</v>
      </c>
      <c r="D6626" t="s">
        <v>25703</v>
      </c>
      <c r="E6626" t="s">
        <v>25704</v>
      </c>
      <c r="F6626" t="s">
        <v>2714</v>
      </c>
      <c r="G6626" t="s">
        <v>81</v>
      </c>
      <c r="H6626" t="s">
        <v>25705</v>
      </c>
      <c r="I6626" t="s">
        <v>30</v>
      </c>
      <c r="J6626" t="s">
        <v>41</v>
      </c>
      <c r="K6626" t="s">
        <v>59</v>
      </c>
      <c r="Q6626">
        <v>0</v>
      </c>
      <c r="R6626">
        <v>0</v>
      </c>
      <c r="S6626">
        <v>0</v>
      </c>
      <c r="T6626" t="s">
        <v>25706</v>
      </c>
    </row>
    <row r="6627" spans="1:20" customFormat="1" ht="15" x14ac:dyDescent="0.25">
      <c r="A6627" t="s">
        <v>35</v>
      </c>
      <c r="B6627" t="s">
        <v>61</v>
      </c>
      <c r="C6627" t="str">
        <f>"A0182774"</f>
        <v>A0182774</v>
      </c>
      <c r="D6627" t="s">
        <v>25707</v>
      </c>
      <c r="E6627" t="s">
        <v>25708</v>
      </c>
      <c r="F6627" t="s">
        <v>22701</v>
      </c>
      <c r="G6627" t="s">
        <v>81</v>
      </c>
      <c r="H6627" t="s">
        <v>25709</v>
      </c>
      <c r="I6627" t="s">
        <v>30</v>
      </c>
      <c r="J6627" t="s">
        <v>41</v>
      </c>
      <c r="K6627" t="s">
        <v>59</v>
      </c>
      <c r="Q6627">
        <v>0</v>
      </c>
      <c r="R6627">
        <v>0</v>
      </c>
      <c r="S6627">
        <v>0</v>
      </c>
      <c r="T6627" t="s">
        <v>25710</v>
      </c>
    </row>
    <row r="6628" spans="1:20" customFormat="1" ht="15" x14ac:dyDescent="0.25">
      <c r="A6628" t="s">
        <v>35</v>
      </c>
      <c r="B6628" t="s">
        <v>61</v>
      </c>
      <c r="C6628" t="str">
        <f>"A0182773"</f>
        <v>A0182773</v>
      </c>
      <c r="D6628" t="s">
        <v>25711</v>
      </c>
      <c r="E6628" t="s">
        <v>25712</v>
      </c>
      <c r="F6628" t="s">
        <v>2719</v>
      </c>
      <c r="G6628" t="s">
        <v>190</v>
      </c>
      <c r="H6628">
        <v>802194004</v>
      </c>
      <c r="I6628" t="s">
        <v>30</v>
      </c>
      <c r="J6628" t="s">
        <v>41</v>
      </c>
      <c r="K6628" t="s">
        <v>59</v>
      </c>
      <c r="Q6628">
        <v>0</v>
      </c>
      <c r="R6628">
        <v>0</v>
      </c>
      <c r="S6628">
        <v>0</v>
      </c>
    </row>
    <row r="6629" spans="1:20" customFormat="1" ht="15" x14ac:dyDescent="0.25">
      <c r="A6629" t="s">
        <v>35</v>
      </c>
      <c r="B6629" t="s">
        <v>61</v>
      </c>
      <c r="C6629" t="str">
        <f>"A0182772"</f>
        <v>A0182772</v>
      </c>
      <c r="D6629" t="s">
        <v>25713</v>
      </c>
      <c r="E6629" t="s">
        <v>25714</v>
      </c>
      <c r="F6629" t="s">
        <v>25715</v>
      </c>
      <c r="G6629" t="s">
        <v>99</v>
      </c>
      <c r="H6629" t="s">
        <v>25716</v>
      </c>
      <c r="I6629" t="s">
        <v>30</v>
      </c>
      <c r="J6629" t="s">
        <v>41</v>
      </c>
      <c r="K6629" t="s">
        <v>59</v>
      </c>
      <c r="Q6629">
        <v>0</v>
      </c>
      <c r="R6629">
        <v>0</v>
      </c>
      <c r="S6629">
        <v>0</v>
      </c>
      <c r="T6629" t="s">
        <v>25717</v>
      </c>
    </row>
    <row r="6630" spans="1:20" customFormat="1" ht="15" x14ac:dyDescent="0.25">
      <c r="A6630" t="s">
        <v>35</v>
      </c>
      <c r="B6630" t="s">
        <v>61</v>
      </c>
      <c r="C6630" t="str">
        <f>"A0182771"</f>
        <v>A0182771</v>
      </c>
      <c r="D6630" t="s">
        <v>25718</v>
      </c>
      <c r="E6630" t="s">
        <v>25719</v>
      </c>
      <c r="F6630" t="s">
        <v>25720</v>
      </c>
      <c r="G6630" t="s">
        <v>99</v>
      </c>
      <c r="H6630">
        <v>14127</v>
      </c>
      <c r="I6630" t="s">
        <v>30</v>
      </c>
      <c r="J6630" t="s">
        <v>41</v>
      </c>
      <c r="K6630" t="s">
        <v>59</v>
      </c>
      <c r="Q6630">
        <v>0</v>
      </c>
      <c r="R6630">
        <v>50</v>
      </c>
      <c r="S6630">
        <v>50</v>
      </c>
      <c r="T6630" t="s">
        <v>25721</v>
      </c>
    </row>
    <row r="6631" spans="1:20" customFormat="1" ht="15" x14ac:dyDescent="0.25">
      <c r="A6631" t="s">
        <v>35</v>
      </c>
      <c r="B6631" t="s">
        <v>61</v>
      </c>
      <c r="C6631" t="str">
        <f>"A0182770"</f>
        <v>A0182770</v>
      </c>
      <c r="D6631" t="s">
        <v>25722</v>
      </c>
      <c r="E6631" t="s">
        <v>25723</v>
      </c>
      <c r="F6631" t="s">
        <v>25724</v>
      </c>
      <c r="G6631" t="s">
        <v>99</v>
      </c>
      <c r="H6631" t="s">
        <v>25725</v>
      </c>
      <c r="I6631" t="s">
        <v>30</v>
      </c>
      <c r="J6631" t="s">
        <v>41</v>
      </c>
      <c r="K6631" t="s">
        <v>59</v>
      </c>
      <c r="Q6631">
        <v>0</v>
      </c>
      <c r="R6631">
        <v>0</v>
      </c>
      <c r="S6631">
        <v>0</v>
      </c>
    </row>
    <row r="6632" spans="1:20" customFormat="1" ht="15" x14ac:dyDescent="0.25">
      <c r="A6632" t="s">
        <v>35</v>
      </c>
      <c r="B6632" t="s">
        <v>61</v>
      </c>
      <c r="C6632" t="str">
        <f>"A0182769"</f>
        <v>A0182769</v>
      </c>
      <c r="D6632" t="s">
        <v>25726</v>
      </c>
      <c r="E6632" t="s">
        <v>25727</v>
      </c>
      <c r="F6632" t="s">
        <v>25467</v>
      </c>
      <c r="G6632" t="s">
        <v>161</v>
      </c>
      <c r="H6632" t="s">
        <v>25728</v>
      </c>
      <c r="I6632" t="s">
        <v>30</v>
      </c>
      <c r="J6632" t="s">
        <v>41</v>
      </c>
      <c r="K6632" t="s">
        <v>59</v>
      </c>
      <c r="Q6632">
        <v>0</v>
      </c>
      <c r="R6632">
        <v>0</v>
      </c>
      <c r="S6632">
        <v>0</v>
      </c>
      <c r="T6632" t="s">
        <v>25729</v>
      </c>
    </row>
    <row r="6633" spans="1:20" customFormat="1" ht="15" x14ac:dyDescent="0.25">
      <c r="A6633" t="s">
        <v>35</v>
      </c>
      <c r="B6633" t="s">
        <v>61</v>
      </c>
      <c r="C6633" t="str">
        <f>"A0182768"</f>
        <v>A0182768</v>
      </c>
      <c r="D6633" t="s">
        <v>25730</v>
      </c>
      <c r="E6633" t="s">
        <v>25731</v>
      </c>
      <c r="F6633" t="s">
        <v>25732</v>
      </c>
      <c r="G6633" t="s">
        <v>99</v>
      </c>
      <c r="H6633">
        <v>12047</v>
      </c>
      <c r="I6633" t="s">
        <v>30</v>
      </c>
      <c r="J6633" t="s">
        <v>41</v>
      </c>
      <c r="K6633" t="s">
        <v>59</v>
      </c>
      <c r="Q6633">
        <v>0</v>
      </c>
      <c r="R6633">
        <v>52</v>
      </c>
      <c r="S6633">
        <v>52</v>
      </c>
      <c r="T6633" t="s">
        <v>25733</v>
      </c>
    </row>
    <row r="6634" spans="1:20" customFormat="1" ht="15" x14ac:dyDescent="0.25">
      <c r="A6634" t="s">
        <v>35</v>
      </c>
      <c r="B6634" t="s">
        <v>61</v>
      </c>
      <c r="C6634" t="str">
        <f>"A0182767"</f>
        <v>A0182767</v>
      </c>
      <c r="D6634" t="s">
        <v>25734</v>
      </c>
      <c r="E6634" t="s">
        <v>25735</v>
      </c>
      <c r="F6634" t="s">
        <v>4276</v>
      </c>
      <c r="G6634" t="s">
        <v>99</v>
      </c>
      <c r="H6634" t="s">
        <v>25736</v>
      </c>
      <c r="I6634" t="s">
        <v>30</v>
      </c>
      <c r="J6634" t="s">
        <v>41</v>
      </c>
      <c r="K6634" t="s">
        <v>59</v>
      </c>
      <c r="Q6634">
        <v>0</v>
      </c>
      <c r="R6634">
        <v>44</v>
      </c>
      <c r="S6634">
        <v>44</v>
      </c>
      <c r="T6634" t="s">
        <v>25737</v>
      </c>
    </row>
    <row r="6635" spans="1:20" customFormat="1" ht="15" x14ac:dyDescent="0.25">
      <c r="A6635" t="s">
        <v>35</v>
      </c>
      <c r="B6635" t="s">
        <v>61</v>
      </c>
      <c r="C6635" t="str">
        <f>"A0182766"</f>
        <v>A0182766</v>
      </c>
      <c r="D6635" t="s">
        <v>25738</v>
      </c>
      <c r="E6635" t="s">
        <v>25739</v>
      </c>
      <c r="F6635" t="s">
        <v>4203</v>
      </c>
      <c r="G6635" t="s">
        <v>99</v>
      </c>
      <c r="H6635" t="s">
        <v>25740</v>
      </c>
      <c r="I6635" t="s">
        <v>30</v>
      </c>
      <c r="J6635" t="s">
        <v>41</v>
      </c>
      <c r="K6635" t="s">
        <v>59</v>
      </c>
      <c r="Q6635">
        <v>0</v>
      </c>
      <c r="R6635">
        <v>300</v>
      </c>
      <c r="S6635">
        <v>300</v>
      </c>
      <c r="T6635" t="s">
        <v>25741</v>
      </c>
    </row>
    <row r="6636" spans="1:20" customFormat="1" ht="15" x14ac:dyDescent="0.25">
      <c r="A6636" t="s">
        <v>35</v>
      </c>
      <c r="B6636" t="s">
        <v>61</v>
      </c>
      <c r="C6636" t="str">
        <f>"A0182765"</f>
        <v>A0182765</v>
      </c>
      <c r="D6636" t="s">
        <v>25742</v>
      </c>
      <c r="E6636" t="s">
        <v>25743</v>
      </c>
      <c r="F6636" t="s">
        <v>24904</v>
      </c>
      <c r="G6636" t="s">
        <v>925</v>
      </c>
      <c r="H6636" t="s">
        <v>25744</v>
      </c>
      <c r="I6636" t="s">
        <v>30</v>
      </c>
      <c r="J6636" t="s">
        <v>41</v>
      </c>
      <c r="K6636" t="s">
        <v>59</v>
      </c>
      <c r="Q6636">
        <v>0</v>
      </c>
      <c r="R6636">
        <v>258</v>
      </c>
      <c r="S6636">
        <v>258</v>
      </c>
      <c r="T6636" t="s">
        <v>25745</v>
      </c>
    </row>
    <row r="6637" spans="1:20" customFormat="1" ht="15" x14ac:dyDescent="0.25">
      <c r="A6637" t="s">
        <v>35</v>
      </c>
      <c r="B6637" t="s">
        <v>61</v>
      </c>
      <c r="C6637" t="str">
        <f>"A0182764"</f>
        <v>A0182764</v>
      </c>
      <c r="D6637" t="s">
        <v>25746</v>
      </c>
      <c r="E6637" t="s">
        <v>25747</v>
      </c>
      <c r="F6637" t="s">
        <v>8703</v>
      </c>
      <c r="G6637" t="s">
        <v>925</v>
      </c>
      <c r="H6637">
        <v>66101</v>
      </c>
      <c r="I6637" t="s">
        <v>30</v>
      </c>
      <c r="J6637" t="s">
        <v>41</v>
      </c>
      <c r="K6637" t="s">
        <v>59</v>
      </c>
      <c r="Q6637">
        <v>0</v>
      </c>
      <c r="R6637">
        <v>0</v>
      </c>
      <c r="S6637">
        <v>0</v>
      </c>
    </row>
    <row r="6638" spans="1:20" customFormat="1" ht="15" x14ac:dyDescent="0.25">
      <c r="A6638" t="s">
        <v>35</v>
      </c>
      <c r="B6638" t="s">
        <v>61</v>
      </c>
      <c r="C6638" t="str">
        <f>"A0182763"</f>
        <v>A0182763</v>
      </c>
      <c r="D6638" t="s">
        <v>25748</v>
      </c>
      <c r="E6638" t="s">
        <v>25749</v>
      </c>
      <c r="F6638" t="s">
        <v>25750</v>
      </c>
      <c r="G6638" t="s">
        <v>925</v>
      </c>
      <c r="H6638" t="s">
        <v>25751</v>
      </c>
      <c r="I6638" t="s">
        <v>30</v>
      </c>
      <c r="J6638" t="s">
        <v>41</v>
      </c>
      <c r="K6638" t="s">
        <v>59</v>
      </c>
      <c r="Q6638">
        <v>0</v>
      </c>
      <c r="R6638">
        <v>68</v>
      </c>
      <c r="S6638">
        <v>68</v>
      </c>
      <c r="T6638" t="s">
        <v>25752</v>
      </c>
    </row>
    <row r="6639" spans="1:20" customFormat="1" ht="15" x14ac:dyDescent="0.25">
      <c r="A6639" t="s">
        <v>35</v>
      </c>
      <c r="B6639" t="s">
        <v>61</v>
      </c>
      <c r="C6639" t="str">
        <f>"A0182762"</f>
        <v>A0182762</v>
      </c>
      <c r="D6639" t="s">
        <v>25753</v>
      </c>
      <c r="E6639" t="s">
        <v>25754</v>
      </c>
      <c r="F6639" t="s">
        <v>21546</v>
      </c>
      <c r="G6639" t="s">
        <v>925</v>
      </c>
      <c r="H6639" t="s">
        <v>25755</v>
      </c>
      <c r="I6639" t="s">
        <v>30</v>
      </c>
      <c r="J6639" t="s">
        <v>41</v>
      </c>
      <c r="K6639" t="s">
        <v>59</v>
      </c>
      <c r="Q6639">
        <v>0</v>
      </c>
      <c r="R6639">
        <v>40</v>
      </c>
      <c r="S6639">
        <v>40</v>
      </c>
      <c r="T6639" t="s">
        <v>25756</v>
      </c>
    </row>
    <row r="6640" spans="1:20" customFormat="1" ht="15" x14ac:dyDescent="0.25">
      <c r="A6640" t="s">
        <v>35</v>
      </c>
      <c r="B6640" t="s">
        <v>11871</v>
      </c>
      <c r="C6640" t="str">
        <f>"A0182761"</f>
        <v>A0182761</v>
      </c>
      <c r="D6640" t="s">
        <v>25757</v>
      </c>
      <c r="E6640" t="s">
        <v>25758</v>
      </c>
      <c r="F6640" t="s">
        <v>21186</v>
      </c>
      <c r="G6640" t="s">
        <v>925</v>
      </c>
      <c r="H6640" t="s">
        <v>25759</v>
      </c>
      <c r="I6640" t="s">
        <v>30</v>
      </c>
      <c r="J6640" t="s">
        <v>41</v>
      </c>
      <c r="K6640" t="s">
        <v>59</v>
      </c>
      <c r="Q6640">
        <v>0</v>
      </c>
      <c r="R6640">
        <v>0</v>
      </c>
      <c r="S6640">
        <v>0</v>
      </c>
      <c r="T6640" t="s">
        <v>25760</v>
      </c>
    </row>
    <row r="6641" spans="1:20" customFormat="1" ht="15" x14ac:dyDescent="0.25">
      <c r="A6641" t="s">
        <v>35</v>
      </c>
      <c r="B6641" t="s">
        <v>11871</v>
      </c>
      <c r="C6641" t="str">
        <f>"A0182760"</f>
        <v>A0182760</v>
      </c>
      <c r="D6641" t="s">
        <v>25761</v>
      </c>
      <c r="E6641" t="s">
        <v>25762</v>
      </c>
      <c r="F6641" t="s">
        <v>21644</v>
      </c>
      <c r="G6641" t="s">
        <v>925</v>
      </c>
      <c r="H6641" t="s">
        <v>25763</v>
      </c>
      <c r="I6641" t="s">
        <v>30</v>
      </c>
      <c r="J6641" t="s">
        <v>41</v>
      </c>
      <c r="K6641" t="s">
        <v>59</v>
      </c>
      <c r="Q6641">
        <v>0</v>
      </c>
      <c r="R6641">
        <v>0</v>
      </c>
      <c r="S6641">
        <v>0</v>
      </c>
      <c r="T6641" t="s">
        <v>25764</v>
      </c>
    </row>
    <row r="6642" spans="1:20" customFormat="1" ht="15" x14ac:dyDescent="0.25">
      <c r="A6642" t="s">
        <v>35</v>
      </c>
      <c r="B6642" t="s">
        <v>61</v>
      </c>
      <c r="C6642" t="str">
        <f>"A0182759"</f>
        <v>A0182759</v>
      </c>
      <c r="D6642" t="s">
        <v>25765</v>
      </c>
      <c r="E6642" t="s">
        <v>25766</v>
      </c>
      <c r="F6642" t="s">
        <v>20721</v>
      </c>
      <c r="G6642" t="s">
        <v>99</v>
      </c>
      <c r="H6642" t="s">
        <v>25767</v>
      </c>
      <c r="I6642" t="s">
        <v>30</v>
      </c>
      <c r="J6642" t="s">
        <v>41</v>
      </c>
      <c r="K6642" t="s">
        <v>59</v>
      </c>
      <c r="Q6642">
        <v>0</v>
      </c>
      <c r="R6642">
        <v>242</v>
      </c>
      <c r="S6642">
        <v>242</v>
      </c>
      <c r="T6642" t="s">
        <v>25768</v>
      </c>
    </row>
    <row r="6643" spans="1:20" customFormat="1" ht="15" x14ac:dyDescent="0.25">
      <c r="A6643" t="s">
        <v>35</v>
      </c>
      <c r="B6643" t="s">
        <v>61</v>
      </c>
      <c r="C6643" t="str">
        <f>"A0182758"</f>
        <v>A0182758</v>
      </c>
      <c r="D6643" t="s">
        <v>25769</v>
      </c>
      <c r="E6643" t="s">
        <v>25770</v>
      </c>
      <c r="F6643" t="s">
        <v>8039</v>
      </c>
      <c r="G6643" t="s">
        <v>161</v>
      </c>
      <c r="H6643" t="s">
        <v>25771</v>
      </c>
      <c r="I6643" t="s">
        <v>30</v>
      </c>
      <c r="J6643" t="s">
        <v>41</v>
      </c>
      <c r="K6643" t="s">
        <v>59</v>
      </c>
      <c r="Q6643">
        <v>0</v>
      </c>
      <c r="R6643">
        <v>218</v>
      </c>
      <c r="S6643">
        <v>218</v>
      </c>
      <c r="T6643" t="s">
        <v>25772</v>
      </c>
    </row>
    <row r="6644" spans="1:20" customFormat="1" ht="15" x14ac:dyDescent="0.25">
      <c r="A6644" t="s">
        <v>35</v>
      </c>
      <c r="B6644" t="s">
        <v>61</v>
      </c>
      <c r="C6644" t="str">
        <f>"A0182757"</f>
        <v>A0182757</v>
      </c>
      <c r="D6644" t="s">
        <v>25773</v>
      </c>
      <c r="E6644" t="s">
        <v>25774</v>
      </c>
      <c r="F6644" t="s">
        <v>9187</v>
      </c>
      <c r="G6644" t="s">
        <v>161</v>
      </c>
      <c r="H6644" t="s">
        <v>25775</v>
      </c>
      <c r="I6644" t="s">
        <v>30</v>
      </c>
      <c r="J6644" t="s">
        <v>41</v>
      </c>
      <c r="K6644" t="s">
        <v>59</v>
      </c>
      <c r="Q6644">
        <v>0</v>
      </c>
      <c r="R6644">
        <v>1</v>
      </c>
      <c r="S6644">
        <v>1</v>
      </c>
      <c r="T6644" t="s">
        <v>25776</v>
      </c>
    </row>
    <row r="6645" spans="1:20" customFormat="1" ht="15" x14ac:dyDescent="0.25">
      <c r="A6645" t="s">
        <v>35</v>
      </c>
      <c r="B6645" t="s">
        <v>61</v>
      </c>
      <c r="C6645" t="str">
        <f>"A0182756"</f>
        <v>A0182756</v>
      </c>
      <c r="D6645" t="s">
        <v>25777</v>
      </c>
      <c r="E6645" t="s">
        <v>25778</v>
      </c>
      <c r="F6645" t="s">
        <v>4023</v>
      </c>
      <c r="G6645" t="s">
        <v>161</v>
      </c>
      <c r="H6645" t="s">
        <v>25779</v>
      </c>
      <c r="I6645" t="s">
        <v>30</v>
      </c>
      <c r="J6645" t="s">
        <v>41</v>
      </c>
      <c r="K6645" t="s">
        <v>59</v>
      </c>
      <c r="Q6645">
        <v>0</v>
      </c>
      <c r="R6645">
        <v>0</v>
      </c>
      <c r="S6645">
        <v>0</v>
      </c>
      <c r="T6645" t="s">
        <v>25780</v>
      </c>
    </row>
    <row r="6646" spans="1:20" customFormat="1" ht="15" x14ac:dyDescent="0.25">
      <c r="A6646" t="s">
        <v>35</v>
      </c>
      <c r="B6646" t="s">
        <v>61</v>
      </c>
      <c r="C6646" t="str">
        <f>"A0182755"</f>
        <v>A0182755</v>
      </c>
      <c r="D6646" t="s">
        <v>25781</v>
      </c>
      <c r="E6646" t="s">
        <v>25782</v>
      </c>
      <c r="F6646" t="s">
        <v>16802</v>
      </c>
      <c r="G6646" t="s">
        <v>161</v>
      </c>
      <c r="H6646" t="s">
        <v>25783</v>
      </c>
      <c r="I6646" t="s">
        <v>30</v>
      </c>
      <c r="J6646" t="s">
        <v>41</v>
      </c>
      <c r="K6646" t="s">
        <v>59</v>
      </c>
      <c r="Q6646">
        <v>0</v>
      </c>
      <c r="R6646">
        <v>0</v>
      </c>
      <c r="S6646">
        <v>0</v>
      </c>
      <c r="T6646" t="s">
        <v>24521</v>
      </c>
    </row>
    <row r="6647" spans="1:20" customFormat="1" ht="15" x14ac:dyDescent="0.25">
      <c r="A6647" t="s">
        <v>35</v>
      </c>
      <c r="B6647" t="s">
        <v>61</v>
      </c>
      <c r="C6647" t="str">
        <f>"A0182754"</f>
        <v>A0182754</v>
      </c>
      <c r="D6647" t="s">
        <v>25784</v>
      </c>
      <c r="E6647" t="s">
        <v>25785</v>
      </c>
      <c r="F6647" t="s">
        <v>19763</v>
      </c>
      <c r="G6647" t="s">
        <v>161</v>
      </c>
      <c r="H6647" t="s">
        <v>25786</v>
      </c>
      <c r="I6647" t="s">
        <v>30</v>
      </c>
      <c r="J6647" t="s">
        <v>41</v>
      </c>
      <c r="K6647" t="s">
        <v>59</v>
      </c>
      <c r="Q6647">
        <v>0</v>
      </c>
      <c r="R6647">
        <v>0</v>
      </c>
      <c r="S6647">
        <v>0</v>
      </c>
      <c r="T6647" t="s">
        <v>25221</v>
      </c>
    </row>
    <row r="6648" spans="1:20" customFormat="1" ht="15" x14ac:dyDescent="0.25">
      <c r="A6648" t="s">
        <v>35</v>
      </c>
      <c r="B6648" t="s">
        <v>61</v>
      </c>
      <c r="C6648" t="str">
        <f>"A0182753"</f>
        <v>A0182753</v>
      </c>
      <c r="D6648" t="s">
        <v>25787</v>
      </c>
      <c r="E6648" t="s">
        <v>25788</v>
      </c>
      <c r="F6648" t="s">
        <v>20926</v>
      </c>
      <c r="G6648" t="s">
        <v>161</v>
      </c>
      <c r="H6648" t="s">
        <v>25789</v>
      </c>
      <c r="I6648" t="s">
        <v>30</v>
      </c>
      <c r="J6648" t="s">
        <v>41</v>
      </c>
      <c r="K6648" t="s">
        <v>59</v>
      </c>
      <c r="Q6648">
        <v>0</v>
      </c>
      <c r="R6648">
        <v>48</v>
      </c>
      <c r="S6648">
        <v>48</v>
      </c>
      <c r="T6648" t="s">
        <v>25790</v>
      </c>
    </row>
    <row r="6649" spans="1:20" customFormat="1" ht="15" x14ac:dyDescent="0.25">
      <c r="A6649" t="s">
        <v>35</v>
      </c>
      <c r="B6649" t="s">
        <v>61</v>
      </c>
      <c r="C6649" t="str">
        <f>"A0182752"</f>
        <v>A0182752</v>
      </c>
      <c r="D6649" t="s">
        <v>25791</v>
      </c>
      <c r="E6649" t="s">
        <v>22605</v>
      </c>
      <c r="F6649" t="s">
        <v>22603</v>
      </c>
      <c r="G6649" t="s">
        <v>338</v>
      </c>
      <c r="H6649">
        <v>7481</v>
      </c>
      <c r="I6649" t="s">
        <v>30</v>
      </c>
      <c r="J6649" t="s">
        <v>41</v>
      </c>
      <c r="K6649" t="s">
        <v>59</v>
      </c>
      <c r="Q6649">
        <v>0</v>
      </c>
      <c r="R6649">
        <v>289</v>
      </c>
      <c r="S6649">
        <v>289</v>
      </c>
      <c r="T6649" t="s">
        <v>22606</v>
      </c>
    </row>
    <row r="6650" spans="1:20" customFormat="1" ht="15" x14ac:dyDescent="0.25">
      <c r="A6650" t="s">
        <v>35</v>
      </c>
      <c r="B6650" t="s">
        <v>11828</v>
      </c>
      <c r="C6650" t="str">
        <f>"A0182751"</f>
        <v>A0182751</v>
      </c>
      <c r="D6650" t="s">
        <v>25792</v>
      </c>
      <c r="E6650" t="s">
        <v>11830</v>
      </c>
      <c r="F6650" t="s">
        <v>11831</v>
      </c>
      <c r="G6650" t="s">
        <v>161</v>
      </c>
      <c r="H6650" t="s">
        <v>25793</v>
      </c>
      <c r="I6650" t="s">
        <v>30</v>
      </c>
      <c r="J6650" t="s">
        <v>41</v>
      </c>
      <c r="K6650" t="s">
        <v>59</v>
      </c>
      <c r="Q6650">
        <v>0</v>
      </c>
      <c r="R6650">
        <v>10</v>
      </c>
      <c r="S6650">
        <v>10</v>
      </c>
      <c r="T6650" t="s">
        <v>11833</v>
      </c>
    </row>
    <row r="6651" spans="1:20" customFormat="1" ht="15" x14ac:dyDescent="0.25">
      <c r="A6651" t="s">
        <v>35</v>
      </c>
      <c r="B6651" t="s">
        <v>61</v>
      </c>
      <c r="C6651" t="str">
        <f>"A0182750"</f>
        <v>A0182750</v>
      </c>
      <c r="D6651" t="s">
        <v>25794</v>
      </c>
      <c r="E6651" t="s">
        <v>25795</v>
      </c>
      <c r="F6651" t="s">
        <v>17801</v>
      </c>
      <c r="G6651" t="s">
        <v>71</v>
      </c>
      <c r="H6651" t="s">
        <v>20223</v>
      </c>
      <c r="I6651" t="s">
        <v>30</v>
      </c>
      <c r="J6651" t="s">
        <v>41</v>
      </c>
      <c r="K6651" t="s">
        <v>59</v>
      </c>
      <c r="Q6651">
        <v>0</v>
      </c>
      <c r="R6651">
        <v>0</v>
      </c>
      <c r="S6651">
        <v>0</v>
      </c>
    </row>
    <row r="6652" spans="1:20" customFormat="1" ht="15" x14ac:dyDescent="0.25">
      <c r="A6652" t="s">
        <v>35</v>
      </c>
      <c r="B6652" t="s">
        <v>61</v>
      </c>
      <c r="C6652" t="str">
        <f>"A0182749"</f>
        <v>A0182749</v>
      </c>
      <c r="D6652" t="s">
        <v>25796</v>
      </c>
      <c r="E6652" t="s">
        <v>25797</v>
      </c>
      <c r="F6652" t="s">
        <v>7619</v>
      </c>
      <c r="G6652" t="s">
        <v>71</v>
      </c>
      <c r="H6652" t="s">
        <v>20786</v>
      </c>
      <c r="I6652" t="s">
        <v>30</v>
      </c>
      <c r="J6652" t="s">
        <v>41</v>
      </c>
      <c r="K6652" t="s">
        <v>59</v>
      </c>
      <c r="Q6652">
        <v>0</v>
      </c>
      <c r="R6652">
        <v>0</v>
      </c>
      <c r="S6652">
        <v>0</v>
      </c>
    </row>
    <row r="6653" spans="1:20" customFormat="1" ht="15" x14ac:dyDescent="0.25">
      <c r="A6653" t="s">
        <v>35</v>
      </c>
      <c r="B6653" t="s">
        <v>61</v>
      </c>
      <c r="C6653" t="str">
        <f>"A0182748"</f>
        <v>A0182748</v>
      </c>
      <c r="D6653" t="s">
        <v>25798</v>
      </c>
      <c r="E6653" t="s">
        <v>25799</v>
      </c>
      <c r="F6653" t="s">
        <v>13072</v>
      </c>
      <c r="G6653" t="s">
        <v>71</v>
      </c>
      <c r="H6653" t="s">
        <v>25800</v>
      </c>
      <c r="I6653" t="s">
        <v>30</v>
      </c>
      <c r="J6653" t="s">
        <v>41</v>
      </c>
      <c r="K6653" t="s">
        <v>59</v>
      </c>
      <c r="Q6653">
        <v>0</v>
      </c>
      <c r="R6653">
        <v>144</v>
      </c>
      <c r="S6653">
        <v>144</v>
      </c>
      <c r="T6653" t="s">
        <v>25801</v>
      </c>
    </row>
    <row r="6654" spans="1:20" customFormat="1" ht="15" x14ac:dyDescent="0.25">
      <c r="A6654" t="s">
        <v>35</v>
      </c>
      <c r="B6654" t="s">
        <v>61</v>
      </c>
      <c r="C6654" t="str">
        <f>"A0182747"</f>
        <v>A0182747</v>
      </c>
      <c r="D6654" t="s">
        <v>25802</v>
      </c>
      <c r="E6654" t="s">
        <v>25803</v>
      </c>
      <c r="F6654" t="s">
        <v>4075</v>
      </c>
      <c r="G6654" t="s">
        <v>99</v>
      </c>
      <c r="H6654">
        <v>11717</v>
      </c>
      <c r="I6654" t="s">
        <v>30</v>
      </c>
      <c r="J6654" t="s">
        <v>41</v>
      </c>
      <c r="K6654" t="s">
        <v>59</v>
      </c>
      <c r="Q6654">
        <v>0</v>
      </c>
      <c r="R6654">
        <v>188</v>
      </c>
      <c r="S6654">
        <v>188</v>
      </c>
      <c r="T6654" t="s">
        <v>25804</v>
      </c>
    </row>
    <row r="6655" spans="1:20" customFormat="1" ht="15" x14ac:dyDescent="0.25">
      <c r="A6655" t="s">
        <v>35</v>
      </c>
      <c r="B6655" t="s">
        <v>61</v>
      </c>
      <c r="C6655" t="str">
        <f>"A0182746"</f>
        <v>A0182746</v>
      </c>
      <c r="D6655" t="s">
        <v>25805</v>
      </c>
      <c r="E6655" t="s">
        <v>25806</v>
      </c>
      <c r="F6655" t="s">
        <v>5772</v>
      </c>
      <c r="G6655" t="s">
        <v>99</v>
      </c>
      <c r="H6655">
        <v>14621</v>
      </c>
      <c r="I6655" t="s">
        <v>30</v>
      </c>
      <c r="J6655" t="s">
        <v>41</v>
      </c>
      <c r="K6655" t="s">
        <v>59</v>
      </c>
      <c r="Q6655">
        <v>0</v>
      </c>
      <c r="R6655">
        <v>0</v>
      </c>
      <c r="S6655">
        <v>0</v>
      </c>
    </row>
    <row r="6656" spans="1:20" customFormat="1" ht="15" x14ac:dyDescent="0.25">
      <c r="A6656" t="s">
        <v>35</v>
      </c>
      <c r="B6656" t="s">
        <v>61</v>
      </c>
      <c r="C6656" t="str">
        <f>"A0182745"</f>
        <v>A0182745</v>
      </c>
      <c r="D6656" t="s">
        <v>25807</v>
      </c>
      <c r="E6656" t="s">
        <v>25808</v>
      </c>
      <c r="F6656" t="s">
        <v>25809</v>
      </c>
      <c r="G6656" t="s">
        <v>99</v>
      </c>
      <c r="H6656" t="s">
        <v>25810</v>
      </c>
      <c r="I6656" t="s">
        <v>30</v>
      </c>
      <c r="J6656" t="s">
        <v>41</v>
      </c>
      <c r="K6656" t="s">
        <v>59</v>
      </c>
      <c r="Q6656">
        <v>0</v>
      </c>
      <c r="R6656">
        <v>0</v>
      </c>
      <c r="S6656">
        <v>0</v>
      </c>
    </row>
    <row r="6657" spans="1:20" customFormat="1" ht="15" x14ac:dyDescent="0.25">
      <c r="A6657" t="s">
        <v>35</v>
      </c>
      <c r="B6657" t="s">
        <v>61</v>
      </c>
      <c r="C6657" t="str">
        <f>"A0182744"</f>
        <v>A0182744</v>
      </c>
      <c r="D6657" t="s">
        <v>25811</v>
      </c>
      <c r="E6657" t="s">
        <v>25812</v>
      </c>
      <c r="F6657" t="s">
        <v>24841</v>
      </c>
      <c r="G6657" t="s">
        <v>99</v>
      </c>
      <c r="H6657" t="s">
        <v>25813</v>
      </c>
      <c r="I6657" t="s">
        <v>30</v>
      </c>
      <c r="J6657" t="s">
        <v>41</v>
      </c>
      <c r="K6657" t="s">
        <v>59</v>
      </c>
      <c r="Q6657">
        <v>0</v>
      </c>
      <c r="R6657">
        <v>60</v>
      </c>
      <c r="S6657">
        <v>60</v>
      </c>
      <c r="T6657" t="s">
        <v>25814</v>
      </c>
    </row>
    <row r="6658" spans="1:20" customFormat="1" ht="15" x14ac:dyDescent="0.25">
      <c r="A6658" t="s">
        <v>35</v>
      </c>
      <c r="B6658" t="s">
        <v>61</v>
      </c>
      <c r="C6658" t="str">
        <f>"A0182743"</f>
        <v>A0182743</v>
      </c>
      <c r="D6658" t="s">
        <v>25815</v>
      </c>
      <c r="E6658" t="s">
        <v>25816</v>
      </c>
      <c r="F6658" t="s">
        <v>23829</v>
      </c>
      <c r="G6658" t="s">
        <v>99</v>
      </c>
      <c r="H6658" t="s">
        <v>25817</v>
      </c>
      <c r="I6658" t="s">
        <v>30</v>
      </c>
      <c r="J6658" t="s">
        <v>41</v>
      </c>
      <c r="K6658" t="s">
        <v>59</v>
      </c>
      <c r="Q6658">
        <v>0</v>
      </c>
      <c r="R6658">
        <v>160</v>
      </c>
      <c r="S6658">
        <v>160</v>
      </c>
      <c r="T6658" t="s">
        <v>25818</v>
      </c>
    </row>
    <row r="6659" spans="1:20" customFormat="1" ht="15" x14ac:dyDescent="0.25">
      <c r="A6659" t="s">
        <v>35</v>
      </c>
      <c r="B6659" t="s">
        <v>61</v>
      </c>
      <c r="C6659" t="str">
        <f>"A0182742"</f>
        <v>A0182742</v>
      </c>
      <c r="D6659" t="s">
        <v>25819</v>
      </c>
      <c r="E6659" t="s">
        <v>25820</v>
      </c>
      <c r="F6659" t="s">
        <v>3339</v>
      </c>
      <c r="G6659" t="s">
        <v>71</v>
      </c>
      <c r="H6659">
        <v>53098</v>
      </c>
      <c r="I6659" t="s">
        <v>30</v>
      </c>
      <c r="J6659" t="s">
        <v>41</v>
      </c>
      <c r="K6659" t="s">
        <v>59</v>
      </c>
      <c r="Q6659">
        <v>0</v>
      </c>
      <c r="R6659">
        <v>0</v>
      </c>
      <c r="S6659">
        <v>0</v>
      </c>
    </row>
    <row r="6660" spans="1:20" customFormat="1" ht="15" x14ac:dyDescent="0.25">
      <c r="A6660" t="s">
        <v>35</v>
      </c>
      <c r="B6660" t="s">
        <v>61</v>
      </c>
      <c r="C6660" t="str">
        <f>"A0182741"</f>
        <v>A0182741</v>
      </c>
      <c r="D6660" t="s">
        <v>25821</v>
      </c>
      <c r="E6660" t="s">
        <v>25822</v>
      </c>
      <c r="F6660" t="s">
        <v>6270</v>
      </c>
      <c r="G6660" t="s">
        <v>71</v>
      </c>
      <c r="H6660" t="s">
        <v>25823</v>
      </c>
      <c r="I6660" t="s">
        <v>30</v>
      </c>
      <c r="J6660" t="s">
        <v>41</v>
      </c>
      <c r="K6660" t="s">
        <v>59</v>
      </c>
      <c r="Q6660">
        <v>0</v>
      </c>
      <c r="R6660">
        <v>0</v>
      </c>
      <c r="S6660">
        <v>0</v>
      </c>
      <c r="T6660" t="s">
        <v>25824</v>
      </c>
    </row>
    <row r="6661" spans="1:20" customFormat="1" ht="15" x14ac:dyDescent="0.25">
      <c r="A6661" t="s">
        <v>35</v>
      </c>
      <c r="B6661" t="s">
        <v>61</v>
      </c>
      <c r="C6661" t="str">
        <f>"A0182740"</f>
        <v>A0182740</v>
      </c>
      <c r="D6661" t="s">
        <v>25825</v>
      </c>
      <c r="E6661" t="s">
        <v>25826</v>
      </c>
      <c r="F6661" t="s">
        <v>8647</v>
      </c>
      <c r="G6661" t="s">
        <v>1363</v>
      </c>
      <c r="H6661" t="s">
        <v>25827</v>
      </c>
      <c r="I6661" t="s">
        <v>30</v>
      </c>
      <c r="J6661" t="s">
        <v>41</v>
      </c>
      <c r="K6661" t="s">
        <v>59</v>
      </c>
      <c r="Q6661">
        <v>0</v>
      </c>
      <c r="R6661">
        <v>0</v>
      </c>
      <c r="S6661">
        <v>0</v>
      </c>
      <c r="T6661" t="s">
        <v>25828</v>
      </c>
    </row>
    <row r="6662" spans="1:20" customFormat="1" ht="15" x14ac:dyDescent="0.25">
      <c r="A6662" t="s">
        <v>35</v>
      </c>
      <c r="B6662" t="s">
        <v>61</v>
      </c>
      <c r="C6662" t="str">
        <f>"A0182739"</f>
        <v>A0182739</v>
      </c>
      <c r="D6662" t="s">
        <v>25829</v>
      </c>
      <c r="E6662" t="s">
        <v>25830</v>
      </c>
      <c r="F6662" t="s">
        <v>25831</v>
      </c>
      <c r="G6662" t="s">
        <v>1363</v>
      </c>
      <c r="H6662">
        <v>3833</v>
      </c>
      <c r="I6662" t="s">
        <v>30</v>
      </c>
      <c r="J6662" t="s">
        <v>41</v>
      </c>
      <c r="K6662" t="s">
        <v>59</v>
      </c>
      <c r="Q6662">
        <v>0</v>
      </c>
      <c r="R6662">
        <v>691</v>
      </c>
      <c r="S6662">
        <v>691</v>
      </c>
      <c r="T6662" t="s">
        <v>25832</v>
      </c>
    </row>
    <row r="6663" spans="1:20" customFormat="1" ht="15" x14ac:dyDescent="0.25">
      <c r="A6663" t="s">
        <v>35</v>
      </c>
      <c r="B6663" t="s">
        <v>61</v>
      </c>
      <c r="C6663" t="str">
        <f>"A0182738"</f>
        <v>A0182738</v>
      </c>
      <c r="D6663" t="s">
        <v>25833</v>
      </c>
      <c r="E6663" t="s">
        <v>25834</v>
      </c>
      <c r="F6663" t="s">
        <v>4023</v>
      </c>
      <c r="G6663" t="s">
        <v>161</v>
      </c>
      <c r="H6663" t="s">
        <v>25835</v>
      </c>
      <c r="I6663" t="s">
        <v>30</v>
      </c>
      <c r="J6663" t="s">
        <v>41</v>
      </c>
      <c r="K6663" t="s">
        <v>59</v>
      </c>
      <c r="Q6663">
        <v>0</v>
      </c>
      <c r="R6663">
        <v>0</v>
      </c>
      <c r="S6663">
        <v>0</v>
      </c>
    </row>
    <row r="6664" spans="1:20" customFormat="1" ht="15" x14ac:dyDescent="0.25">
      <c r="A6664" t="s">
        <v>35</v>
      </c>
      <c r="B6664" t="s">
        <v>61</v>
      </c>
      <c r="C6664" t="str">
        <f>"A0182737"</f>
        <v>A0182737</v>
      </c>
      <c r="D6664" t="s">
        <v>25836</v>
      </c>
      <c r="E6664" t="s">
        <v>25837</v>
      </c>
      <c r="F6664" t="s">
        <v>22701</v>
      </c>
      <c r="G6664" t="s">
        <v>81</v>
      </c>
      <c r="H6664" t="s">
        <v>25709</v>
      </c>
      <c r="I6664" t="s">
        <v>30</v>
      </c>
      <c r="J6664" t="s">
        <v>41</v>
      </c>
      <c r="K6664" t="s">
        <v>59</v>
      </c>
      <c r="Q6664">
        <v>0</v>
      </c>
      <c r="R6664">
        <v>0</v>
      </c>
      <c r="S6664">
        <v>0</v>
      </c>
      <c r="T6664" t="s">
        <v>25710</v>
      </c>
    </row>
    <row r="6665" spans="1:20" customFormat="1" ht="15" x14ac:dyDescent="0.25">
      <c r="A6665" t="s">
        <v>35</v>
      </c>
      <c r="B6665" t="s">
        <v>61</v>
      </c>
      <c r="C6665" t="str">
        <f>"A0182735"</f>
        <v>A0182735</v>
      </c>
      <c r="D6665" t="s">
        <v>25838</v>
      </c>
      <c r="E6665" t="s">
        <v>25839</v>
      </c>
      <c r="F6665" t="s">
        <v>13113</v>
      </c>
      <c r="G6665" t="s">
        <v>190</v>
      </c>
      <c r="H6665">
        <v>800104305</v>
      </c>
      <c r="I6665" t="s">
        <v>30</v>
      </c>
      <c r="J6665" t="s">
        <v>41</v>
      </c>
      <c r="K6665" t="s">
        <v>59</v>
      </c>
      <c r="Q6665">
        <v>0</v>
      </c>
      <c r="R6665">
        <v>0</v>
      </c>
      <c r="S6665">
        <v>0</v>
      </c>
    </row>
    <row r="6666" spans="1:20" customFormat="1" ht="15" x14ac:dyDescent="0.25">
      <c r="A6666" t="s">
        <v>35</v>
      </c>
      <c r="B6666" t="s">
        <v>61</v>
      </c>
      <c r="C6666" t="str">
        <f>"A0182734"</f>
        <v>A0182734</v>
      </c>
      <c r="D6666" t="s">
        <v>25840</v>
      </c>
      <c r="E6666" t="s">
        <v>25227</v>
      </c>
      <c r="F6666" t="s">
        <v>3193</v>
      </c>
      <c r="G6666" t="s">
        <v>99</v>
      </c>
      <c r="H6666" t="s">
        <v>25228</v>
      </c>
      <c r="I6666" t="s">
        <v>30</v>
      </c>
      <c r="J6666" t="s">
        <v>41</v>
      </c>
      <c r="K6666" t="s">
        <v>59</v>
      </c>
      <c r="Q6666">
        <v>0</v>
      </c>
      <c r="R6666">
        <v>0</v>
      </c>
      <c r="S6666">
        <v>0</v>
      </c>
    </row>
    <row r="6667" spans="1:20" customFormat="1" ht="15" x14ac:dyDescent="0.25">
      <c r="A6667" t="s">
        <v>35</v>
      </c>
      <c r="B6667" t="s">
        <v>61</v>
      </c>
      <c r="C6667" t="str">
        <f>"A0182733"</f>
        <v>A0182733</v>
      </c>
      <c r="D6667" t="s">
        <v>25841</v>
      </c>
      <c r="E6667" t="s">
        <v>25842</v>
      </c>
      <c r="F6667" t="s">
        <v>5317</v>
      </c>
      <c r="G6667" t="s">
        <v>99</v>
      </c>
      <c r="H6667" t="s">
        <v>25843</v>
      </c>
      <c r="I6667" t="s">
        <v>30</v>
      </c>
      <c r="J6667" t="s">
        <v>41</v>
      </c>
      <c r="K6667" t="s">
        <v>59</v>
      </c>
      <c r="Q6667">
        <v>0</v>
      </c>
      <c r="R6667">
        <v>80</v>
      </c>
      <c r="S6667">
        <v>80</v>
      </c>
      <c r="T6667" t="s">
        <v>25844</v>
      </c>
    </row>
    <row r="6668" spans="1:20" customFormat="1" ht="15" x14ac:dyDescent="0.25">
      <c r="A6668" t="s">
        <v>35</v>
      </c>
      <c r="B6668" t="s">
        <v>61</v>
      </c>
      <c r="C6668" t="str">
        <f>"A0182732"</f>
        <v>A0182732</v>
      </c>
      <c r="D6668" t="s">
        <v>25845</v>
      </c>
      <c r="E6668" t="s">
        <v>25846</v>
      </c>
      <c r="F6668" t="s">
        <v>25847</v>
      </c>
      <c r="G6668" t="s">
        <v>161</v>
      </c>
      <c r="H6668" t="s">
        <v>25848</v>
      </c>
      <c r="I6668" t="s">
        <v>30</v>
      </c>
      <c r="J6668" t="s">
        <v>41</v>
      </c>
      <c r="K6668" t="s">
        <v>59</v>
      </c>
      <c r="Q6668">
        <v>0</v>
      </c>
      <c r="R6668">
        <v>0</v>
      </c>
      <c r="S6668">
        <v>0</v>
      </c>
    </row>
    <row r="6669" spans="1:20" customFormat="1" ht="15" x14ac:dyDescent="0.25">
      <c r="A6669" t="s">
        <v>35</v>
      </c>
      <c r="B6669" t="s">
        <v>61</v>
      </c>
      <c r="C6669" t="str">
        <f>"A0182731"</f>
        <v>A0182731</v>
      </c>
      <c r="D6669" t="s">
        <v>25849</v>
      </c>
      <c r="E6669" t="s">
        <v>25850</v>
      </c>
      <c r="F6669" t="s">
        <v>25851</v>
      </c>
      <c r="G6669" t="s">
        <v>161</v>
      </c>
      <c r="H6669" t="s">
        <v>25852</v>
      </c>
      <c r="I6669" t="s">
        <v>30</v>
      </c>
      <c r="J6669" t="s">
        <v>41</v>
      </c>
      <c r="K6669" t="s">
        <v>59</v>
      </c>
      <c r="Q6669">
        <v>0</v>
      </c>
      <c r="R6669">
        <v>106</v>
      </c>
      <c r="S6669">
        <v>106</v>
      </c>
      <c r="T6669" t="s">
        <v>25853</v>
      </c>
    </row>
    <row r="6670" spans="1:20" customFormat="1" ht="15" x14ac:dyDescent="0.25">
      <c r="A6670" t="s">
        <v>35</v>
      </c>
      <c r="B6670" t="s">
        <v>61</v>
      </c>
      <c r="C6670" t="str">
        <f>"A0182730"</f>
        <v>A0182730</v>
      </c>
      <c r="D6670" t="s">
        <v>25854</v>
      </c>
      <c r="E6670" t="s">
        <v>25855</v>
      </c>
      <c r="F6670" t="s">
        <v>19818</v>
      </c>
      <c r="G6670" t="s">
        <v>161</v>
      </c>
      <c r="H6670">
        <v>56115</v>
      </c>
      <c r="I6670" t="s">
        <v>30</v>
      </c>
      <c r="J6670" t="s">
        <v>41</v>
      </c>
      <c r="K6670" t="s">
        <v>59</v>
      </c>
      <c r="Q6670">
        <v>0</v>
      </c>
      <c r="R6670">
        <v>16</v>
      </c>
      <c r="S6670">
        <v>16</v>
      </c>
      <c r="T6670" t="s">
        <v>25856</v>
      </c>
    </row>
    <row r="6671" spans="1:20" customFormat="1" ht="15" x14ac:dyDescent="0.25">
      <c r="A6671" t="s">
        <v>35</v>
      </c>
      <c r="B6671" t="s">
        <v>61</v>
      </c>
      <c r="C6671" t="str">
        <f>"A0182729"</f>
        <v>A0182729</v>
      </c>
      <c r="D6671" t="s">
        <v>25857</v>
      </c>
      <c r="E6671" t="s">
        <v>25858</v>
      </c>
      <c r="F6671" t="s">
        <v>14373</v>
      </c>
      <c r="G6671" t="s">
        <v>161</v>
      </c>
      <c r="H6671">
        <v>56470</v>
      </c>
      <c r="I6671" t="s">
        <v>30</v>
      </c>
      <c r="J6671" t="s">
        <v>41</v>
      </c>
      <c r="K6671" t="s">
        <v>59</v>
      </c>
      <c r="Q6671">
        <v>0</v>
      </c>
      <c r="R6671">
        <v>0</v>
      </c>
      <c r="S6671">
        <v>0</v>
      </c>
    </row>
    <row r="6672" spans="1:20" customFormat="1" ht="15" x14ac:dyDescent="0.25">
      <c r="A6672" t="s">
        <v>35</v>
      </c>
      <c r="B6672" t="s">
        <v>61</v>
      </c>
      <c r="C6672" t="str">
        <f>"A0182728"</f>
        <v>A0182728</v>
      </c>
      <c r="D6672" t="s">
        <v>25859</v>
      </c>
      <c r="E6672" t="s">
        <v>25860</v>
      </c>
      <c r="F6672" t="s">
        <v>25861</v>
      </c>
      <c r="G6672" t="s">
        <v>161</v>
      </c>
      <c r="H6672" t="s">
        <v>25862</v>
      </c>
      <c r="I6672" t="s">
        <v>30</v>
      </c>
      <c r="J6672" t="s">
        <v>41</v>
      </c>
      <c r="K6672" t="s">
        <v>59</v>
      </c>
      <c r="Q6672">
        <v>0</v>
      </c>
      <c r="R6672">
        <v>0</v>
      </c>
      <c r="S6672">
        <v>0</v>
      </c>
    </row>
    <row r="6673" spans="1:20" customFormat="1" ht="15" x14ac:dyDescent="0.25">
      <c r="A6673" t="s">
        <v>35</v>
      </c>
      <c r="B6673" t="s">
        <v>61</v>
      </c>
      <c r="C6673" t="str">
        <f>"A0182727"</f>
        <v>A0182727</v>
      </c>
      <c r="D6673" t="s">
        <v>17484</v>
      </c>
      <c r="E6673" t="s">
        <v>25723</v>
      </c>
      <c r="F6673" t="s">
        <v>25724</v>
      </c>
      <c r="G6673" t="s">
        <v>99</v>
      </c>
      <c r="H6673" t="s">
        <v>25725</v>
      </c>
      <c r="I6673" t="s">
        <v>30</v>
      </c>
      <c r="J6673" t="s">
        <v>41</v>
      </c>
      <c r="K6673" t="s">
        <v>59</v>
      </c>
      <c r="Q6673">
        <v>0</v>
      </c>
      <c r="R6673">
        <v>32</v>
      </c>
      <c r="S6673">
        <v>32</v>
      </c>
      <c r="T6673" t="s">
        <v>25863</v>
      </c>
    </row>
    <row r="6674" spans="1:20" customFormat="1" ht="15" x14ac:dyDescent="0.25">
      <c r="A6674" t="s">
        <v>35</v>
      </c>
      <c r="B6674" t="s">
        <v>61</v>
      </c>
      <c r="C6674" t="str">
        <f>"A0182726"</f>
        <v>A0182726</v>
      </c>
      <c r="D6674" t="s">
        <v>25864</v>
      </c>
      <c r="E6674" t="s">
        <v>25865</v>
      </c>
      <c r="F6674" t="s">
        <v>23833</v>
      </c>
      <c r="G6674" t="s">
        <v>99</v>
      </c>
      <c r="H6674" t="s">
        <v>25866</v>
      </c>
      <c r="I6674" t="s">
        <v>30</v>
      </c>
      <c r="J6674" t="s">
        <v>41</v>
      </c>
      <c r="K6674" t="s">
        <v>59</v>
      </c>
      <c r="Q6674">
        <v>0</v>
      </c>
      <c r="R6674">
        <v>0</v>
      </c>
      <c r="S6674">
        <v>0</v>
      </c>
    </row>
    <row r="6675" spans="1:20" customFormat="1" ht="15" x14ac:dyDescent="0.25">
      <c r="A6675" t="s">
        <v>35</v>
      </c>
      <c r="B6675" t="s">
        <v>61</v>
      </c>
      <c r="C6675" t="str">
        <f>"A0182725"</f>
        <v>A0182725</v>
      </c>
      <c r="D6675" t="s">
        <v>25867</v>
      </c>
      <c r="E6675" t="s">
        <v>25868</v>
      </c>
      <c r="F6675" t="s">
        <v>25869</v>
      </c>
      <c r="G6675" t="s">
        <v>99</v>
      </c>
      <c r="H6675" t="s">
        <v>25870</v>
      </c>
      <c r="I6675" t="s">
        <v>30</v>
      </c>
      <c r="J6675" t="s">
        <v>41</v>
      </c>
      <c r="K6675" t="s">
        <v>59</v>
      </c>
      <c r="Q6675">
        <v>0</v>
      </c>
      <c r="R6675">
        <v>0</v>
      </c>
      <c r="S6675">
        <v>0</v>
      </c>
      <c r="T6675" t="s">
        <v>25871</v>
      </c>
    </row>
    <row r="6676" spans="1:20" customFormat="1" ht="15" x14ac:dyDescent="0.25">
      <c r="A6676" t="s">
        <v>35</v>
      </c>
      <c r="B6676" t="s">
        <v>61</v>
      </c>
      <c r="C6676" t="str">
        <f>"A0182724"</f>
        <v>A0182724</v>
      </c>
      <c r="D6676" t="s">
        <v>25872</v>
      </c>
      <c r="E6676" t="s">
        <v>25873</v>
      </c>
      <c r="F6676" t="s">
        <v>22419</v>
      </c>
      <c r="G6676" t="s">
        <v>99</v>
      </c>
      <c r="H6676" t="s">
        <v>25874</v>
      </c>
      <c r="I6676" t="s">
        <v>30</v>
      </c>
      <c r="J6676" t="s">
        <v>41</v>
      </c>
      <c r="K6676" t="s">
        <v>59</v>
      </c>
      <c r="Q6676">
        <v>0</v>
      </c>
      <c r="R6676">
        <v>0</v>
      </c>
      <c r="S6676">
        <v>0</v>
      </c>
      <c r="T6676" t="s">
        <v>25875</v>
      </c>
    </row>
    <row r="6677" spans="1:20" customFormat="1" ht="15" x14ac:dyDescent="0.25">
      <c r="A6677" t="s">
        <v>35</v>
      </c>
      <c r="B6677" t="s">
        <v>61</v>
      </c>
      <c r="C6677" t="str">
        <f>"A0182723"</f>
        <v>A0182723</v>
      </c>
      <c r="D6677" t="s">
        <v>25876</v>
      </c>
      <c r="E6677" t="s">
        <v>25877</v>
      </c>
      <c r="F6677" t="s">
        <v>265</v>
      </c>
      <c r="G6677" t="s">
        <v>338</v>
      </c>
      <c r="H6677">
        <v>7470</v>
      </c>
      <c r="I6677" t="s">
        <v>30</v>
      </c>
      <c r="J6677" t="s">
        <v>41</v>
      </c>
      <c r="K6677" t="s">
        <v>59</v>
      </c>
      <c r="Q6677">
        <v>0</v>
      </c>
      <c r="R6677">
        <v>0</v>
      </c>
      <c r="S6677">
        <v>0</v>
      </c>
    </row>
    <row r="6678" spans="1:20" customFormat="1" ht="15" x14ac:dyDescent="0.25">
      <c r="A6678" t="s">
        <v>35</v>
      </c>
      <c r="B6678" t="s">
        <v>61</v>
      </c>
      <c r="C6678" t="str">
        <f>"A0182722"</f>
        <v>A0182722</v>
      </c>
      <c r="D6678" t="s">
        <v>25878</v>
      </c>
      <c r="E6678" t="s">
        <v>22605</v>
      </c>
      <c r="F6678" t="s">
        <v>22603</v>
      </c>
      <c r="G6678" t="s">
        <v>338</v>
      </c>
      <c r="H6678">
        <v>7481</v>
      </c>
      <c r="I6678" t="s">
        <v>30</v>
      </c>
      <c r="J6678" t="s">
        <v>41</v>
      </c>
      <c r="K6678" t="s">
        <v>59</v>
      </c>
      <c r="Q6678">
        <v>0</v>
      </c>
      <c r="R6678">
        <v>289</v>
      </c>
      <c r="S6678">
        <v>289</v>
      </c>
      <c r="T6678" t="s">
        <v>22606</v>
      </c>
    </row>
    <row r="6679" spans="1:20" customFormat="1" ht="15" x14ac:dyDescent="0.25">
      <c r="A6679" t="s">
        <v>35</v>
      </c>
      <c r="B6679" t="s">
        <v>61</v>
      </c>
      <c r="C6679" t="str">
        <f>"A0182721"</f>
        <v>A0182721</v>
      </c>
      <c r="D6679" t="s">
        <v>25879</v>
      </c>
      <c r="E6679" t="s">
        <v>25880</v>
      </c>
      <c r="F6679" t="s">
        <v>4269</v>
      </c>
      <c r="G6679" t="s">
        <v>99</v>
      </c>
      <c r="H6679" t="s">
        <v>25881</v>
      </c>
      <c r="I6679" t="s">
        <v>30</v>
      </c>
      <c r="J6679" t="s">
        <v>41</v>
      </c>
      <c r="K6679" t="s">
        <v>59</v>
      </c>
      <c r="Q6679">
        <v>0</v>
      </c>
      <c r="R6679">
        <v>0</v>
      </c>
      <c r="S6679">
        <v>0</v>
      </c>
    </row>
    <row r="6680" spans="1:20" customFormat="1" ht="15" x14ac:dyDescent="0.25">
      <c r="A6680" t="s">
        <v>35</v>
      </c>
      <c r="B6680" t="s">
        <v>61</v>
      </c>
      <c r="C6680" t="str">
        <f>"A0182720"</f>
        <v>A0182720</v>
      </c>
      <c r="D6680" t="s">
        <v>25882</v>
      </c>
      <c r="E6680" t="s">
        <v>25883</v>
      </c>
      <c r="F6680" t="s">
        <v>4219</v>
      </c>
      <c r="G6680" t="s">
        <v>99</v>
      </c>
      <c r="H6680" t="s">
        <v>25884</v>
      </c>
      <c r="I6680" t="s">
        <v>30</v>
      </c>
      <c r="J6680" t="s">
        <v>41</v>
      </c>
      <c r="K6680" t="s">
        <v>59</v>
      </c>
      <c r="Q6680">
        <v>0</v>
      </c>
      <c r="R6680">
        <v>0</v>
      </c>
      <c r="S6680">
        <v>0</v>
      </c>
      <c r="T6680" t="s">
        <v>25885</v>
      </c>
    </row>
    <row r="6681" spans="1:20" customFormat="1" ht="15" x14ac:dyDescent="0.25">
      <c r="A6681" t="s">
        <v>35</v>
      </c>
      <c r="B6681" t="s">
        <v>61</v>
      </c>
      <c r="C6681" t="str">
        <f>"A0182719"</f>
        <v>A0182719</v>
      </c>
      <c r="D6681" t="s">
        <v>25886</v>
      </c>
      <c r="E6681" t="s">
        <v>25887</v>
      </c>
      <c r="F6681" t="s">
        <v>25536</v>
      </c>
      <c r="G6681" t="s">
        <v>99</v>
      </c>
      <c r="H6681" t="s">
        <v>25888</v>
      </c>
      <c r="I6681" t="s">
        <v>30</v>
      </c>
      <c r="J6681" t="s">
        <v>41</v>
      </c>
      <c r="K6681" t="s">
        <v>59</v>
      </c>
      <c r="Q6681">
        <v>0</v>
      </c>
      <c r="R6681">
        <v>0</v>
      </c>
      <c r="S6681">
        <v>0</v>
      </c>
    </row>
    <row r="6682" spans="1:20" customFormat="1" ht="15" x14ac:dyDescent="0.25">
      <c r="A6682" t="s">
        <v>35</v>
      </c>
      <c r="B6682" t="s">
        <v>61</v>
      </c>
      <c r="C6682" t="str">
        <f>"A0182718"</f>
        <v>A0182718</v>
      </c>
      <c r="D6682" t="s">
        <v>25889</v>
      </c>
      <c r="E6682" t="s">
        <v>25890</v>
      </c>
      <c r="F6682" t="s">
        <v>25536</v>
      </c>
      <c r="G6682" t="s">
        <v>99</v>
      </c>
      <c r="H6682">
        <v>13905</v>
      </c>
      <c r="I6682" t="s">
        <v>30</v>
      </c>
      <c r="J6682" t="s">
        <v>41</v>
      </c>
      <c r="K6682" t="s">
        <v>59</v>
      </c>
      <c r="Q6682">
        <v>0</v>
      </c>
      <c r="R6682">
        <v>52</v>
      </c>
      <c r="S6682">
        <v>52</v>
      </c>
      <c r="T6682" t="s">
        <v>25891</v>
      </c>
    </row>
    <row r="6683" spans="1:20" customFormat="1" ht="15" x14ac:dyDescent="0.25">
      <c r="A6683" t="s">
        <v>35</v>
      </c>
      <c r="B6683" t="s">
        <v>61</v>
      </c>
      <c r="C6683" t="str">
        <f>"A0182717"</f>
        <v>A0182717</v>
      </c>
      <c r="D6683" t="s">
        <v>25892</v>
      </c>
      <c r="E6683" t="s">
        <v>24264</v>
      </c>
      <c r="F6683" t="s">
        <v>2770</v>
      </c>
      <c r="G6683" t="s">
        <v>99</v>
      </c>
      <c r="H6683" t="s">
        <v>24265</v>
      </c>
      <c r="I6683" t="s">
        <v>30</v>
      </c>
      <c r="J6683" t="s">
        <v>41</v>
      </c>
      <c r="K6683" t="s">
        <v>59</v>
      </c>
      <c r="Q6683">
        <v>0</v>
      </c>
      <c r="R6683">
        <v>0</v>
      </c>
      <c r="S6683">
        <v>0</v>
      </c>
      <c r="T6683" t="s">
        <v>25893</v>
      </c>
    </row>
    <row r="6684" spans="1:20" customFormat="1" ht="15" x14ac:dyDescent="0.25">
      <c r="A6684" t="s">
        <v>35</v>
      </c>
      <c r="B6684" t="s">
        <v>61</v>
      </c>
      <c r="C6684" t="str">
        <f>"A0182716"</f>
        <v>A0182716</v>
      </c>
      <c r="D6684" t="s">
        <v>25894</v>
      </c>
      <c r="E6684" t="s">
        <v>25895</v>
      </c>
      <c r="F6684" t="s">
        <v>25896</v>
      </c>
      <c r="G6684" t="s">
        <v>99</v>
      </c>
      <c r="H6684" t="s">
        <v>25897</v>
      </c>
      <c r="I6684" t="s">
        <v>30</v>
      </c>
      <c r="J6684" t="s">
        <v>41</v>
      </c>
      <c r="K6684" t="s">
        <v>59</v>
      </c>
      <c r="Q6684">
        <v>0</v>
      </c>
      <c r="R6684">
        <v>0</v>
      </c>
      <c r="S6684">
        <v>0</v>
      </c>
      <c r="T6684" t="s">
        <v>25898</v>
      </c>
    </row>
    <row r="6685" spans="1:20" customFormat="1" ht="15" x14ac:dyDescent="0.25">
      <c r="A6685" t="s">
        <v>35</v>
      </c>
      <c r="B6685" t="s">
        <v>61</v>
      </c>
      <c r="C6685" t="str">
        <f>"A0182715"</f>
        <v>A0182715</v>
      </c>
      <c r="D6685" t="s">
        <v>25899</v>
      </c>
      <c r="E6685" t="s">
        <v>22605</v>
      </c>
      <c r="F6685" t="s">
        <v>22603</v>
      </c>
      <c r="G6685" t="s">
        <v>338</v>
      </c>
      <c r="H6685">
        <v>7481</v>
      </c>
      <c r="I6685" t="s">
        <v>30</v>
      </c>
      <c r="J6685" t="s">
        <v>41</v>
      </c>
      <c r="K6685" t="s">
        <v>59</v>
      </c>
      <c r="Q6685">
        <v>0</v>
      </c>
      <c r="R6685">
        <v>289</v>
      </c>
      <c r="S6685">
        <v>289</v>
      </c>
      <c r="T6685" t="s">
        <v>22606</v>
      </c>
    </row>
    <row r="6686" spans="1:20" customFormat="1" ht="15" x14ac:dyDescent="0.25">
      <c r="A6686" t="s">
        <v>35</v>
      </c>
      <c r="B6686" t="s">
        <v>61</v>
      </c>
      <c r="C6686" t="str">
        <f>"A0182714"</f>
        <v>A0182714</v>
      </c>
      <c r="D6686" t="s">
        <v>25900</v>
      </c>
      <c r="E6686" t="s">
        <v>25901</v>
      </c>
      <c r="F6686" t="s">
        <v>25902</v>
      </c>
      <c r="G6686" t="s">
        <v>899</v>
      </c>
      <c r="H6686" t="s">
        <v>25903</v>
      </c>
      <c r="I6686" t="s">
        <v>30</v>
      </c>
      <c r="J6686" t="s">
        <v>41</v>
      </c>
      <c r="K6686" t="s">
        <v>59</v>
      </c>
      <c r="Q6686">
        <v>0</v>
      </c>
      <c r="R6686">
        <v>0</v>
      </c>
      <c r="S6686">
        <v>0</v>
      </c>
      <c r="T6686" t="s">
        <v>25904</v>
      </c>
    </row>
    <row r="6687" spans="1:20" customFormat="1" ht="15" x14ac:dyDescent="0.25">
      <c r="A6687" t="s">
        <v>35</v>
      </c>
      <c r="B6687" t="s">
        <v>61</v>
      </c>
      <c r="C6687" t="str">
        <f>"A0182713"</f>
        <v>A0182713</v>
      </c>
      <c r="D6687" t="s">
        <v>25905</v>
      </c>
      <c r="E6687" t="s">
        <v>22605</v>
      </c>
      <c r="F6687" t="s">
        <v>22603</v>
      </c>
      <c r="G6687" t="s">
        <v>338</v>
      </c>
      <c r="H6687">
        <v>7481</v>
      </c>
      <c r="I6687" t="s">
        <v>30</v>
      </c>
      <c r="J6687" t="s">
        <v>41</v>
      </c>
      <c r="K6687" t="s">
        <v>59</v>
      </c>
      <c r="Q6687">
        <v>0</v>
      </c>
      <c r="R6687">
        <v>289</v>
      </c>
      <c r="S6687">
        <v>289</v>
      </c>
      <c r="T6687" t="s">
        <v>22606</v>
      </c>
    </row>
    <row r="6688" spans="1:20" customFormat="1" ht="15" x14ac:dyDescent="0.25">
      <c r="A6688" t="s">
        <v>35</v>
      </c>
      <c r="B6688" t="s">
        <v>61</v>
      </c>
      <c r="C6688" t="str">
        <f>"A0182712"</f>
        <v>A0182712</v>
      </c>
      <c r="D6688" t="s">
        <v>25906</v>
      </c>
      <c r="E6688" t="s">
        <v>25907</v>
      </c>
      <c r="F6688" t="s">
        <v>25908</v>
      </c>
      <c r="G6688" t="s">
        <v>899</v>
      </c>
      <c r="H6688" t="s">
        <v>25909</v>
      </c>
      <c r="I6688" t="s">
        <v>30</v>
      </c>
      <c r="J6688" t="s">
        <v>41</v>
      </c>
      <c r="K6688" t="s">
        <v>59</v>
      </c>
      <c r="Q6688">
        <v>0</v>
      </c>
      <c r="R6688">
        <v>0</v>
      </c>
      <c r="S6688">
        <v>0</v>
      </c>
      <c r="T6688" t="s">
        <v>25910</v>
      </c>
    </row>
    <row r="6689" spans="1:20" customFormat="1" ht="15" x14ac:dyDescent="0.25">
      <c r="A6689" t="s">
        <v>35</v>
      </c>
      <c r="B6689" t="s">
        <v>61</v>
      </c>
      <c r="C6689" t="str">
        <f>"A0182711"</f>
        <v>A0182711</v>
      </c>
      <c r="D6689" t="s">
        <v>25911</v>
      </c>
      <c r="E6689" t="s">
        <v>25912</v>
      </c>
      <c r="F6689" t="s">
        <v>25913</v>
      </c>
      <c r="G6689" t="s">
        <v>899</v>
      </c>
      <c r="H6689" t="s">
        <v>25914</v>
      </c>
      <c r="I6689" t="s">
        <v>30</v>
      </c>
      <c r="J6689" t="s">
        <v>41</v>
      </c>
      <c r="K6689" t="s">
        <v>59</v>
      </c>
      <c r="Q6689">
        <v>0</v>
      </c>
      <c r="R6689">
        <v>38</v>
      </c>
      <c r="S6689">
        <v>38</v>
      </c>
      <c r="T6689" t="s">
        <v>25915</v>
      </c>
    </row>
    <row r="6690" spans="1:20" customFormat="1" ht="15" x14ac:dyDescent="0.25">
      <c r="A6690" t="s">
        <v>35</v>
      </c>
      <c r="B6690" t="s">
        <v>61</v>
      </c>
      <c r="C6690" t="str">
        <f>"A0182710"</f>
        <v>A0182710</v>
      </c>
      <c r="D6690" t="s">
        <v>25916</v>
      </c>
      <c r="E6690" t="s">
        <v>25917</v>
      </c>
      <c r="F6690" t="s">
        <v>11795</v>
      </c>
      <c r="G6690" t="s">
        <v>71</v>
      </c>
      <c r="H6690" t="s">
        <v>25918</v>
      </c>
      <c r="I6690" t="s">
        <v>30</v>
      </c>
      <c r="J6690" t="s">
        <v>41</v>
      </c>
      <c r="K6690" t="s">
        <v>59</v>
      </c>
      <c r="Q6690">
        <v>0</v>
      </c>
      <c r="R6690">
        <v>509</v>
      </c>
      <c r="S6690">
        <v>509</v>
      </c>
      <c r="T6690" t="s">
        <v>25919</v>
      </c>
    </row>
    <row r="6691" spans="1:20" customFormat="1" ht="15" x14ac:dyDescent="0.25">
      <c r="A6691" t="s">
        <v>35</v>
      </c>
      <c r="B6691" t="s">
        <v>61</v>
      </c>
      <c r="C6691" t="str">
        <f>"A0182709"</f>
        <v>A0182709</v>
      </c>
      <c r="D6691" t="s">
        <v>25920</v>
      </c>
      <c r="E6691" t="s">
        <v>11883</v>
      </c>
      <c r="F6691" t="s">
        <v>11884</v>
      </c>
      <c r="G6691" t="s">
        <v>71</v>
      </c>
      <c r="H6691" t="s">
        <v>11885</v>
      </c>
      <c r="I6691" t="s">
        <v>30</v>
      </c>
      <c r="J6691" t="s">
        <v>41</v>
      </c>
      <c r="K6691" t="s">
        <v>59</v>
      </c>
      <c r="Q6691">
        <v>0</v>
      </c>
      <c r="R6691">
        <v>0</v>
      </c>
      <c r="S6691">
        <v>0</v>
      </c>
      <c r="T6691" t="s">
        <v>11886</v>
      </c>
    </row>
    <row r="6692" spans="1:20" customFormat="1" ht="15" x14ac:dyDescent="0.25">
      <c r="A6692" t="s">
        <v>35</v>
      </c>
      <c r="B6692" t="s">
        <v>61</v>
      </c>
      <c r="C6692" t="str">
        <f>"A0182708"</f>
        <v>A0182708</v>
      </c>
      <c r="D6692" t="s">
        <v>25921</v>
      </c>
      <c r="E6692" t="s">
        <v>12237</v>
      </c>
      <c r="F6692" t="s">
        <v>12238</v>
      </c>
      <c r="G6692" t="s">
        <v>71</v>
      </c>
      <c r="H6692" t="s">
        <v>12239</v>
      </c>
      <c r="I6692" t="s">
        <v>30</v>
      </c>
      <c r="J6692" t="s">
        <v>41</v>
      </c>
      <c r="K6692" t="s">
        <v>59</v>
      </c>
      <c r="Q6692">
        <v>0</v>
      </c>
      <c r="R6692">
        <v>0</v>
      </c>
      <c r="S6692">
        <v>0</v>
      </c>
      <c r="T6692" t="s">
        <v>12240</v>
      </c>
    </row>
    <row r="6693" spans="1:20" customFormat="1" ht="15" x14ac:dyDescent="0.25">
      <c r="A6693" t="s">
        <v>35</v>
      </c>
      <c r="B6693" t="s">
        <v>61</v>
      </c>
      <c r="C6693" t="str">
        <f>"A0182707"</f>
        <v>A0182707</v>
      </c>
      <c r="D6693" t="s">
        <v>25922</v>
      </c>
      <c r="E6693" t="s">
        <v>25923</v>
      </c>
      <c r="F6693" t="s">
        <v>11602</v>
      </c>
      <c r="G6693" t="s">
        <v>71</v>
      </c>
      <c r="H6693">
        <v>546032599</v>
      </c>
      <c r="I6693" t="s">
        <v>30</v>
      </c>
      <c r="J6693" t="s">
        <v>41</v>
      </c>
      <c r="K6693" t="s">
        <v>59</v>
      </c>
      <c r="Q6693">
        <v>0</v>
      </c>
      <c r="R6693">
        <v>0</v>
      </c>
      <c r="S6693">
        <v>0</v>
      </c>
      <c r="T6693" t="s">
        <v>25924</v>
      </c>
    </row>
    <row r="6694" spans="1:20" customFormat="1" ht="15" x14ac:dyDescent="0.25">
      <c r="A6694" t="s">
        <v>35</v>
      </c>
      <c r="B6694" t="s">
        <v>61</v>
      </c>
      <c r="C6694" t="str">
        <f>"A0182706"</f>
        <v>A0182706</v>
      </c>
      <c r="D6694" t="s">
        <v>25925</v>
      </c>
      <c r="E6694" t="s">
        <v>25926</v>
      </c>
      <c r="F6694" t="s">
        <v>3740</v>
      </c>
      <c r="G6694" t="s">
        <v>71</v>
      </c>
      <c r="H6694" t="s">
        <v>25927</v>
      </c>
      <c r="I6694" t="s">
        <v>30</v>
      </c>
      <c r="J6694" t="s">
        <v>41</v>
      </c>
      <c r="K6694" t="s">
        <v>59</v>
      </c>
      <c r="Q6694">
        <v>0</v>
      </c>
      <c r="R6694">
        <v>82</v>
      </c>
      <c r="S6694">
        <v>82</v>
      </c>
      <c r="T6694" t="s">
        <v>25928</v>
      </c>
    </row>
    <row r="6695" spans="1:20" customFormat="1" ht="15" x14ac:dyDescent="0.25">
      <c r="A6695" t="s">
        <v>35</v>
      </c>
      <c r="B6695" t="s">
        <v>61</v>
      </c>
      <c r="C6695" t="str">
        <f>"A0182705"</f>
        <v>A0182705</v>
      </c>
      <c r="D6695" t="s">
        <v>25929</v>
      </c>
      <c r="E6695" t="s">
        <v>25930</v>
      </c>
      <c r="F6695" t="s">
        <v>12157</v>
      </c>
      <c r="G6695" t="s">
        <v>899</v>
      </c>
      <c r="H6695" t="s">
        <v>25931</v>
      </c>
      <c r="I6695" t="s">
        <v>30</v>
      </c>
      <c r="J6695" t="s">
        <v>41</v>
      </c>
      <c r="K6695" t="s">
        <v>59</v>
      </c>
      <c r="Q6695">
        <v>0</v>
      </c>
      <c r="R6695">
        <v>0</v>
      </c>
      <c r="S6695">
        <v>0</v>
      </c>
      <c r="T6695" t="s">
        <v>25932</v>
      </c>
    </row>
    <row r="6696" spans="1:20" customFormat="1" ht="15" x14ac:dyDescent="0.25">
      <c r="A6696" t="s">
        <v>35</v>
      </c>
      <c r="B6696" t="s">
        <v>61</v>
      </c>
      <c r="C6696" t="str">
        <f>"A0182704"</f>
        <v>A0182704</v>
      </c>
      <c r="D6696" t="s">
        <v>25933</v>
      </c>
      <c r="E6696" t="s">
        <v>25934</v>
      </c>
      <c r="F6696" t="s">
        <v>25638</v>
      </c>
      <c r="G6696" t="s">
        <v>899</v>
      </c>
      <c r="H6696" t="s">
        <v>25935</v>
      </c>
      <c r="I6696" t="s">
        <v>30</v>
      </c>
      <c r="J6696" t="s">
        <v>41</v>
      </c>
      <c r="K6696" t="s">
        <v>59</v>
      </c>
      <c r="Q6696">
        <v>0</v>
      </c>
      <c r="R6696">
        <v>0</v>
      </c>
      <c r="S6696">
        <v>0</v>
      </c>
    </row>
    <row r="6697" spans="1:20" customFormat="1" ht="15" x14ac:dyDescent="0.25">
      <c r="A6697" t="s">
        <v>35</v>
      </c>
      <c r="B6697" t="s">
        <v>61</v>
      </c>
      <c r="C6697" t="str">
        <f>"A0182703"</f>
        <v>A0182703</v>
      </c>
      <c r="D6697" t="s">
        <v>25936</v>
      </c>
      <c r="E6697" t="s">
        <v>25937</v>
      </c>
      <c r="F6697" t="s">
        <v>4633</v>
      </c>
      <c r="G6697" t="s">
        <v>899</v>
      </c>
      <c r="H6697" t="s">
        <v>25938</v>
      </c>
      <c r="I6697" t="s">
        <v>30</v>
      </c>
      <c r="J6697" t="s">
        <v>41</v>
      </c>
      <c r="K6697" t="s">
        <v>59</v>
      </c>
      <c r="Q6697">
        <v>0</v>
      </c>
      <c r="R6697">
        <v>0</v>
      </c>
      <c r="S6697">
        <v>0</v>
      </c>
    </row>
    <row r="6698" spans="1:20" customFormat="1" ht="15" x14ac:dyDescent="0.25">
      <c r="A6698" t="s">
        <v>35</v>
      </c>
      <c r="B6698" t="s">
        <v>61</v>
      </c>
      <c r="C6698" t="str">
        <f>"A0182702"</f>
        <v>A0182702</v>
      </c>
      <c r="D6698" t="s">
        <v>25939</v>
      </c>
      <c r="E6698" t="s">
        <v>25940</v>
      </c>
      <c r="F6698" t="s">
        <v>25941</v>
      </c>
      <c r="G6698" t="s">
        <v>899</v>
      </c>
      <c r="H6698">
        <v>1830</v>
      </c>
      <c r="I6698" t="s">
        <v>30</v>
      </c>
      <c r="J6698" t="s">
        <v>41</v>
      </c>
      <c r="K6698" t="s">
        <v>59</v>
      </c>
      <c r="Q6698">
        <v>0</v>
      </c>
      <c r="R6698">
        <v>0</v>
      </c>
      <c r="S6698">
        <v>0</v>
      </c>
      <c r="T6698" t="s">
        <v>25942</v>
      </c>
    </row>
    <row r="6699" spans="1:20" customFormat="1" ht="15" x14ac:dyDescent="0.25">
      <c r="A6699" t="s">
        <v>35</v>
      </c>
      <c r="B6699" t="s">
        <v>61</v>
      </c>
      <c r="C6699" t="str">
        <f>"A0182701"</f>
        <v>A0182701</v>
      </c>
      <c r="D6699" t="s">
        <v>25943</v>
      </c>
      <c r="E6699" t="s">
        <v>25944</v>
      </c>
      <c r="F6699" t="s">
        <v>25945</v>
      </c>
      <c r="G6699" t="s">
        <v>899</v>
      </c>
      <c r="H6699" t="s">
        <v>25946</v>
      </c>
      <c r="I6699" t="s">
        <v>30</v>
      </c>
      <c r="J6699" t="s">
        <v>41</v>
      </c>
      <c r="K6699" t="s">
        <v>59</v>
      </c>
      <c r="Q6699">
        <v>0</v>
      </c>
      <c r="R6699">
        <v>36</v>
      </c>
      <c r="S6699">
        <v>36</v>
      </c>
      <c r="T6699" t="s">
        <v>25947</v>
      </c>
    </row>
    <row r="6700" spans="1:20" customFormat="1" ht="15" x14ac:dyDescent="0.25">
      <c r="A6700" t="s">
        <v>35</v>
      </c>
      <c r="B6700" t="s">
        <v>61</v>
      </c>
      <c r="C6700" t="str">
        <f>"A0182700"</f>
        <v>A0182700</v>
      </c>
      <c r="D6700" t="s">
        <v>25948</v>
      </c>
      <c r="E6700" t="s">
        <v>25949</v>
      </c>
      <c r="F6700" t="s">
        <v>25945</v>
      </c>
      <c r="G6700" t="s">
        <v>899</v>
      </c>
      <c r="H6700" t="s">
        <v>25950</v>
      </c>
      <c r="I6700" t="s">
        <v>30</v>
      </c>
      <c r="J6700" t="s">
        <v>41</v>
      </c>
      <c r="K6700" t="s">
        <v>59</v>
      </c>
      <c r="Q6700">
        <v>0</v>
      </c>
      <c r="R6700">
        <v>66</v>
      </c>
      <c r="S6700">
        <v>66</v>
      </c>
      <c r="T6700" t="s">
        <v>25951</v>
      </c>
    </row>
    <row r="6701" spans="1:20" customFormat="1" ht="15" x14ac:dyDescent="0.25">
      <c r="A6701" t="s">
        <v>35</v>
      </c>
      <c r="B6701" t="s">
        <v>11871</v>
      </c>
      <c r="C6701" t="str">
        <f>"A0182699"</f>
        <v>A0182699</v>
      </c>
      <c r="D6701" t="s">
        <v>25952</v>
      </c>
      <c r="E6701" t="s">
        <v>25953</v>
      </c>
      <c r="F6701" t="s">
        <v>64</v>
      </c>
      <c r="G6701" t="s">
        <v>65</v>
      </c>
      <c r="H6701">
        <v>432294900</v>
      </c>
      <c r="I6701" t="s">
        <v>30</v>
      </c>
      <c r="J6701" t="s">
        <v>41</v>
      </c>
      <c r="K6701" t="s">
        <v>59</v>
      </c>
      <c r="Q6701">
        <v>0</v>
      </c>
      <c r="R6701">
        <v>0</v>
      </c>
      <c r="S6701">
        <v>0</v>
      </c>
      <c r="T6701" t="s">
        <v>25954</v>
      </c>
    </row>
    <row r="6702" spans="1:20" customFormat="1" ht="15" x14ac:dyDescent="0.25">
      <c r="A6702" t="s">
        <v>35</v>
      </c>
      <c r="B6702" t="s">
        <v>11871</v>
      </c>
      <c r="C6702" t="str">
        <f>"A0182698"</f>
        <v>A0182698</v>
      </c>
      <c r="D6702" t="s">
        <v>25955</v>
      </c>
      <c r="E6702" t="s">
        <v>25956</v>
      </c>
      <c r="F6702" t="s">
        <v>3782</v>
      </c>
      <c r="G6702" t="s">
        <v>65</v>
      </c>
      <c r="H6702">
        <v>435122464</v>
      </c>
      <c r="I6702" t="s">
        <v>30</v>
      </c>
      <c r="J6702" t="s">
        <v>41</v>
      </c>
      <c r="K6702" t="s">
        <v>59</v>
      </c>
      <c r="Q6702">
        <v>0</v>
      </c>
      <c r="R6702">
        <v>0</v>
      </c>
      <c r="S6702">
        <v>0</v>
      </c>
      <c r="T6702" t="s">
        <v>25957</v>
      </c>
    </row>
    <row r="6703" spans="1:20" customFormat="1" ht="15" x14ac:dyDescent="0.25">
      <c r="A6703" t="s">
        <v>35</v>
      </c>
      <c r="B6703" t="s">
        <v>61</v>
      </c>
      <c r="C6703" t="str">
        <f>"A0182697"</f>
        <v>A0182697</v>
      </c>
      <c r="D6703" t="s">
        <v>25958</v>
      </c>
      <c r="E6703" t="s">
        <v>25959</v>
      </c>
      <c r="F6703" t="s">
        <v>25960</v>
      </c>
      <c r="G6703" t="s">
        <v>338</v>
      </c>
      <c r="H6703" t="s">
        <v>25961</v>
      </c>
      <c r="I6703" t="s">
        <v>30</v>
      </c>
      <c r="J6703" t="s">
        <v>41</v>
      </c>
      <c r="K6703" t="s">
        <v>59</v>
      </c>
      <c r="Q6703">
        <v>0</v>
      </c>
      <c r="R6703">
        <v>173</v>
      </c>
      <c r="S6703">
        <v>173</v>
      </c>
      <c r="T6703" t="s">
        <v>25962</v>
      </c>
    </row>
    <row r="6704" spans="1:20" customFormat="1" ht="15" x14ac:dyDescent="0.25">
      <c r="A6704" t="s">
        <v>35</v>
      </c>
      <c r="B6704" t="s">
        <v>61</v>
      </c>
      <c r="C6704" t="str">
        <f>"A0182696"</f>
        <v>A0182696</v>
      </c>
      <c r="D6704" t="s">
        <v>25963</v>
      </c>
      <c r="E6704" t="s">
        <v>22564</v>
      </c>
      <c r="F6704" t="s">
        <v>19528</v>
      </c>
      <c r="G6704" t="s">
        <v>338</v>
      </c>
      <c r="H6704" t="s">
        <v>22565</v>
      </c>
      <c r="I6704" t="s">
        <v>30</v>
      </c>
      <c r="J6704" t="s">
        <v>41</v>
      </c>
      <c r="K6704" t="s">
        <v>59</v>
      </c>
      <c r="Q6704">
        <v>0</v>
      </c>
      <c r="R6704">
        <v>0</v>
      </c>
      <c r="S6704">
        <v>0</v>
      </c>
      <c r="T6704" t="s">
        <v>22566</v>
      </c>
    </row>
    <row r="6705" spans="1:20" customFormat="1" ht="15" x14ac:dyDescent="0.25">
      <c r="A6705" t="s">
        <v>35</v>
      </c>
      <c r="B6705" t="s">
        <v>61</v>
      </c>
      <c r="C6705" t="str">
        <f>"A0182695"</f>
        <v>A0182695</v>
      </c>
      <c r="D6705" t="s">
        <v>25964</v>
      </c>
      <c r="E6705" t="s">
        <v>22605</v>
      </c>
      <c r="F6705" t="s">
        <v>22603</v>
      </c>
      <c r="G6705" t="s">
        <v>338</v>
      </c>
      <c r="H6705">
        <v>7481</v>
      </c>
      <c r="I6705" t="s">
        <v>30</v>
      </c>
      <c r="J6705" t="s">
        <v>41</v>
      </c>
      <c r="K6705" t="s">
        <v>59</v>
      </c>
      <c r="Q6705">
        <v>0</v>
      </c>
      <c r="R6705">
        <v>289</v>
      </c>
      <c r="S6705">
        <v>289</v>
      </c>
      <c r="T6705" t="s">
        <v>22606</v>
      </c>
    </row>
    <row r="6706" spans="1:20" customFormat="1" ht="15" x14ac:dyDescent="0.25">
      <c r="A6706" t="s">
        <v>35</v>
      </c>
      <c r="B6706" t="s">
        <v>61</v>
      </c>
      <c r="C6706" t="str">
        <f>"A0182694"</f>
        <v>A0182694</v>
      </c>
      <c r="D6706" t="s">
        <v>25965</v>
      </c>
      <c r="E6706" t="s">
        <v>22605</v>
      </c>
      <c r="F6706" t="s">
        <v>22603</v>
      </c>
      <c r="G6706" t="s">
        <v>338</v>
      </c>
      <c r="H6706">
        <v>7481</v>
      </c>
      <c r="I6706" t="s">
        <v>30</v>
      </c>
      <c r="J6706" t="s">
        <v>41</v>
      </c>
      <c r="K6706" t="s">
        <v>59</v>
      </c>
      <c r="Q6706">
        <v>0</v>
      </c>
      <c r="R6706">
        <v>289</v>
      </c>
      <c r="S6706">
        <v>289</v>
      </c>
      <c r="T6706" t="s">
        <v>22606</v>
      </c>
    </row>
    <row r="6707" spans="1:20" customFormat="1" ht="15" x14ac:dyDescent="0.25">
      <c r="A6707" t="s">
        <v>35</v>
      </c>
      <c r="B6707" t="s">
        <v>61</v>
      </c>
      <c r="C6707" t="str">
        <f>"A0182693"</f>
        <v>A0182693</v>
      </c>
      <c r="D6707" t="s">
        <v>25966</v>
      </c>
      <c r="E6707" t="s">
        <v>25967</v>
      </c>
      <c r="F6707" t="s">
        <v>265</v>
      </c>
      <c r="G6707" t="s">
        <v>338</v>
      </c>
      <c r="H6707">
        <v>7470</v>
      </c>
      <c r="I6707" t="s">
        <v>30</v>
      </c>
      <c r="J6707" t="s">
        <v>41</v>
      </c>
      <c r="K6707" t="s">
        <v>59</v>
      </c>
      <c r="Q6707">
        <v>0</v>
      </c>
      <c r="R6707">
        <v>0</v>
      </c>
      <c r="S6707">
        <v>0</v>
      </c>
    </row>
    <row r="6708" spans="1:20" customFormat="1" ht="15" x14ac:dyDescent="0.25">
      <c r="A6708" t="s">
        <v>35</v>
      </c>
      <c r="B6708" t="s">
        <v>61</v>
      </c>
      <c r="C6708" t="str">
        <f>"A0182692"</f>
        <v>A0182692</v>
      </c>
      <c r="D6708" t="s">
        <v>25968</v>
      </c>
      <c r="E6708" t="s">
        <v>25969</v>
      </c>
      <c r="F6708" t="s">
        <v>25970</v>
      </c>
      <c r="G6708" t="s">
        <v>899</v>
      </c>
      <c r="H6708" t="s">
        <v>25971</v>
      </c>
      <c r="I6708" t="s">
        <v>30</v>
      </c>
      <c r="J6708" t="s">
        <v>41</v>
      </c>
      <c r="K6708" t="s">
        <v>59</v>
      </c>
      <c r="Q6708">
        <v>0</v>
      </c>
      <c r="R6708">
        <v>0</v>
      </c>
      <c r="S6708">
        <v>0</v>
      </c>
      <c r="T6708" t="s">
        <v>25972</v>
      </c>
    </row>
    <row r="6709" spans="1:20" customFormat="1" ht="15" x14ac:dyDescent="0.25">
      <c r="A6709" t="s">
        <v>35</v>
      </c>
      <c r="B6709" t="s">
        <v>11871</v>
      </c>
      <c r="C6709" t="str">
        <f>"A0182691"</f>
        <v>A0182691</v>
      </c>
      <c r="D6709" t="s">
        <v>25973</v>
      </c>
      <c r="E6709" t="s">
        <v>25974</v>
      </c>
      <c r="F6709" t="s">
        <v>3661</v>
      </c>
      <c r="G6709" t="s">
        <v>65</v>
      </c>
      <c r="H6709">
        <v>452251188</v>
      </c>
      <c r="I6709" t="s">
        <v>30</v>
      </c>
      <c r="J6709" t="s">
        <v>41</v>
      </c>
      <c r="K6709" t="s">
        <v>59</v>
      </c>
      <c r="Q6709">
        <v>0</v>
      </c>
      <c r="R6709">
        <v>0</v>
      </c>
      <c r="S6709">
        <v>0</v>
      </c>
      <c r="T6709" t="s">
        <v>25975</v>
      </c>
    </row>
    <row r="6710" spans="1:20" customFormat="1" ht="15" x14ac:dyDescent="0.25">
      <c r="A6710" t="s">
        <v>35</v>
      </c>
      <c r="B6710" t="s">
        <v>11871</v>
      </c>
      <c r="C6710" t="str">
        <f>"A0182690"</f>
        <v>A0182690</v>
      </c>
      <c r="D6710" t="s">
        <v>25976</v>
      </c>
      <c r="E6710" t="s">
        <v>25977</v>
      </c>
      <c r="F6710" t="s">
        <v>963</v>
      </c>
      <c r="G6710" t="s">
        <v>65</v>
      </c>
      <c r="H6710">
        <v>456011082</v>
      </c>
      <c r="I6710" t="s">
        <v>30</v>
      </c>
      <c r="J6710" t="s">
        <v>41</v>
      </c>
      <c r="K6710" t="s">
        <v>59</v>
      </c>
      <c r="Q6710">
        <v>0</v>
      </c>
      <c r="R6710">
        <v>0</v>
      </c>
      <c r="S6710">
        <v>0</v>
      </c>
      <c r="T6710" t="s">
        <v>25978</v>
      </c>
    </row>
    <row r="6711" spans="1:20" customFormat="1" ht="15" x14ac:dyDescent="0.25">
      <c r="A6711" t="s">
        <v>35</v>
      </c>
      <c r="B6711" t="s">
        <v>11871</v>
      </c>
      <c r="C6711" t="str">
        <f>"A0182689"</f>
        <v>A0182689</v>
      </c>
      <c r="D6711" t="s">
        <v>25979</v>
      </c>
      <c r="E6711" t="s">
        <v>25980</v>
      </c>
      <c r="F6711" t="s">
        <v>3478</v>
      </c>
      <c r="G6711" t="s">
        <v>65</v>
      </c>
      <c r="H6711">
        <v>454065328</v>
      </c>
      <c r="I6711" t="s">
        <v>30</v>
      </c>
      <c r="J6711" t="s">
        <v>41</v>
      </c>
      <c r="K6711" t="s">
        <v>59</v>
      </c>
      <c r="Q6711">
        <v>0</v>
      </c>
      <c r="R6711">
        <v>0</v>
      </c>
      <c r="S6711">
        <v>0</v>
      </c>
    </row>
    <row r="6712" spans="1:20" customFormat="1" ht="15" x14ac:dyDescent="0.25">
      <c r="A6712" t="s">
        <v>35</v>
      </c>
      <c r="B6712" t="s">
        <v>11871</v>
      </c>
      <c r="C6712" t="str">
        <f>"A0182688"</f>
        <v>A0182688</v>
      </c>
      <c r="D6712" t="s">
        <v>25981</v>
      </c>
      <c r="E6712" t="s">
        <v>25982</v>
      </c>
      <c r="F6712" t="s">
        <v>25983</v>
      </c>
      <c r="G6712" t="s">
        <v>65</v>
      </c>
      <c r="H6712">
        <v>430685295</v>
      </c>
      <c r="I6712" t="s">
        <v>30</v>
      </c>
      <c r="J6712" t="s">
        <v>41</v>
      </c>
      <c r="K6712" t="s">
        <v>59</v>
      </c>
      <c r="Q6712">
        <v>0</v>
      </c>
      <c r="R6712">
        <v>0</v>
      </c>
      <c r="S6712">
        <v>0</v>
      </c>
      <c r="T6712" t="s">
        <v>25984</v>
      </c>
    </row>
    <row r="6713" spans="1:20" customFormat="1" ht="15" x14ac:dyDescent="0.25">
      <c r="A6713" t="s">
        <v>35</v>
      </c>
      <c r="B6713" t="s">
        <v>11871</v>
      </c>
      <c r="C6713" t="str">
        <f>"A0182687"</f>
        <v>A0182687</v>
      </c>
      <c r="D6713" t="s">
        <v>25985</v>
      </c>
      <c r="E6713" t="s">
        <v>25986</v>
      </c>
      <c r="F6713" t="s">
        <v>13583</v>
      </c>
      <c r="G6713" t="s">
        <v>65</v>
      </c>
      <c r="H6713" t="s">
        <v>25987</v>
      </c>
      <c r="I6713" t="s">
        <v>30</v>
      </c>
      <c r="J6713" t="s">
        <v>41</v>
      </c>
      <c r="K6713" t="s">
        <v>59</v>
      </c>
      <c r="Q6713">
        <v>0</v>
      </c>
      <c r="R6713">
        <v>0</v>
      </c>
      <c r="S6713">
        <v>0</v>
      </c>
      <c r="T6713" t="s">
        <v>25988</v>
      </c>
    </row>
    <row r="6714" spans="1:20" customFormat="1" ht="15" x14ac:dyDescent="0.25">
      <c r="A6714" t="s">
        <v>35</v>
      </c>
      <c r="B6714" t="s">
        <v>61</v>
      </c>
      <c r="C6714" t="str">
        <f>"A0182686"</f>
        <v>A0182686</v>
      </c>
      <c r="D6714" t="s">
        <v>25989</v>
      </c>
      <c r="E6714" t="s">
        <v>25990</v>
      </c>
      <c r="F6714" t="s">
        <v>1755</v>
      </c>
      <c r="G6714" t="s">
        <v>899</v>
      </c>
      <c r="H6714" t="s">
        <v>25991</v>
      </c>
      <c r="I6714" t="s">
        <v>30</v>
      </c>
      <c r="J6714" t="s">
        <v>41</v>
      </c>
      <c r="K6714" t="s">
        <v>59</v>
      </c>
      <c r="Q6714">
        <v>0</v>
      </c>
      <c r="R6714">
        <v>0</v>
      </c>
      <c r="S6714">
        <v>0</v>
      </c>
    </row>
    <row r="6715" spans="1:20" customFormat="1" ht="15" x14ac:dyDescent="0.25">
      <c r="A6715" t="s">
        <v>35</v>
      </c>
      <c r="B6715" t="s">
        <v>61</v>
      </c>
      <c r="C6715" t="str">
        <f>"A0182685"</f>
        <v>A0182685</v>
      </c>
      <c r="D6715" t="s">
        <v>25992</v>
      </c>
      <c r="E6715" t="s">
        <v>25993</v>
      </c>
      <c r="F6715" t="s">
        <v>25994</v>
      </c>
      <c r="G6715" t="s">
        <v>899</v>
      </c>
      <c r="H6715" t="s">
        <v>25995</v>
      </c>
      <c r="I6715" t="s">
        <v>30</v>
      </c>
      <c r="J6715" t="s">
        <v>41</v>
      </c>
      <c r="K6715" t="s">
        <v>59</v>
      </c>
      <c r="Q6715">
        <v>0</v>
      </c>
      <c r="R6715">
        <v>0</v>
      </c>
      <c r="S6715">
        <v>0</v>
      </c>
      <c r="T6715" t="s">
        <v>25996</v>
      </c>
    </row>
    <row r="6716" spans="1:20" customFormat="1" ht="15" x14ac:dyDescent="0.25">
      <c r="A6716" t="s">
        <v>35</v>
      </c>
      <c r="B6716" t="s">
        <v>61</v>
      </c>
      <c r="C6716" t="str">
        <f>"A0182684"</f>
        <v>A0182684</v>
      </c>
      <c r="D6716" t="s">
        <v>25997</v>
      </c>
      <c r="E6716" t="s">
        <v>25998</v>
      </c>
      <c r="F6716" t="s">
        <v>25999</v>
      </c>
      <c r="G6716" t="s">
        <v>899</v>
      </c>
      <c r="H6716" t="s">
        <v>26000</v>
      </c>
      <c r="I6716" t="s">
        <v>30</v>
      </c>
      <c r="J6716" t="s">
        <v>41</v>
      </c>
      <c r="K6716" t="s">
        <v>59</v>
      </c>
      <c r="Q6716">
        <v>0</v>
      </c>
      <c r="R6716">
        <v>32</v>
      </c>
      <c r="S6716">
        <v>32</v>
      </c>
      <c r="T6716" t="s">
        <v>26001</v>
      </c>
    </row>
    <row r="6717" spans="1:20" customFormat="1" ht="15" x14ac:dyDescent="0.25">
      <c r="A6717" t="s">
        <v>35</v>
      </c>
      <c r="B6717" t="s">
        <v>61</v>
      </c>
      <c r="C6717" t="str">
        <f>"A0182683"</f>
        <v>A0182683</v>
      </c>
      <c r="D6717" t="s">
        <v>26002</v>
      </c>
      <c r="E6717" t="s">
        <v>26003</v>
      </c>
      <c r="F6717" t="s">
        <v>4633</v>
      </c>
      <c r="G6717" t="s">
        <v>899</v>
      </c>
      <c r="H6717" t="s">
        <v>26004</v>
      </c>
      <c r="I6717" t="s">
        <v>30</v>
      </c>
      <c r="J6717" t="s">
        <v>41</v>
      </c>
      <c r="K6717" t="s">
        <v>59</v>
      </c>
      <c r="Q6717">
        <v>0</v>
      </c>
      <c r="R6717">
        <v>0</v>
      </c>
      <c r="S6717">
        <v>0</v>
      </c>
      <c r="T6717" t="s">
        <v>26005</v>
      </c>
    </row>
    <row r="6718" spans="1:20" customFormat="1" ht="15" x14ac:dyDescent="0.25">
      <c r="A6718" t="s">
        <v>35</v>
      </c>
      <c r="B6718" t="s">
        <v>11871</v>
      </c>
      <c r="C6718" t="str">
        <f>"A0182682"</f>
        <v>A0182682</v>
      </c>
      <c r="D6718" t="s">
        <v>26006</v>
      </c>
      <c r="E6718" t="s">
        <v>26007</v>
      </c>
      <c r="F6718" t="s">
        <v>19113</v>
      </c>
      <c r="G6718" t="s">
        <v>65</v>
      </c>
      <c r="H6718">
        <v>450440600</v>
      </c>
      <c r="I6718" t="s">
        <v>30</v>
      </c>
      <c r="J6718" t="s">
        <v>41</v>
      </c>
      <c r="K6718" t="s">
        <v>59</v>
      </c>
      <c r="Q6718">
        <v>0</v>
      </c>
      <c r="R6718">
        <v>0</v>
      </c>
      <c r="S6718">
        <v>0</v>
      </c>
      <c r="T6718" t="s">
        <v>26008</v>
      </c>
    </row>
    <row r="6719" spans="1:20" customFormat="1" ht="15" x14ac:dyDescent="0.25">
      <c r="A6719" t="s">
        <v>35</v>
      </c>
      <c r="B6719" t="s">
        <v>11871</v>
      </c>
      <c r="C6719" t="str">
        <f>"A0182681"</f>
        <v>A0182681</v>
      </c>
      <c r="D6719" t="s">
        <v>26009</v>
      </c>
      <c r="E6719" t="s">
        <v>26010</v>
      </c>
      <c r="F6719" t="s">
        <v>3478</v>
      </c>
      <c r="G6719" t="s">
        <v>65</v>
      </c>
      <c r="H6719">
        <v>454031955</v>
      </c>
      <c r="I6719" t="s">
        <v>30</v>
      </c>
      <c r="J6719" t="s">
        <v>41</v>
      </c>
      <c r="K6719" t="s">
        <v>59</v>
      </c>
      <c r="Q6719">
        <v>0</v>
      </c>
      <c r="R6719">
        <v>0</v>
      </c>
      <c r="S6719">
        <v>0</v>
      </c>
    </row>
    <row r="6720" spans="1:20" customFormat="1" ht="15" x14ac:dyDescent="0.25">
      <c r="A6720" t="s">
        <v>35</v>
      </c>
      <c r="B6720" t="s">
        <v>61</v>
      </c>
      <c r="C6720" t="str">
        <f>"A0182680"</f>
        <v>A0182680</v>
      </c>
      <c r="D6720" t="s">
        <v>26011</v>
      </c>
      <c r="E6720" t="s">
        <v>26012</v>
      </c>
      <c r="F6720" t="s">
        <v>25994</v>
      </c>
      <c r="G6720" t="s">
        <v>899</v>
      </c>
      <c r="H6720" t="s">
        <v>26013</v>
      </c>
      <c r="I6720" t="s">
        <v>30</v>
      </c>
      <c r="J6720" t="s">
        <v>41</v>
      </c>
      <c r="K6720" t="s">
        <v>59</v>
      </c>
      <c r="Q6720">
        <v>0</v>
      </c>
      <c r="R6720">
        <v>0</v>
      </c>
      <c r="S6720">
        <v>0</v>
      </c>
      <c r="T6720" t="s">
        <v>26014</v>
      </c>
    </row>
    <row r="6721" spans="1:20" customFormat="1" ht="15" x14ac:dyDescent="0.25">
      <c r="A6721" t="s">
        <v>35</v>
      </c>
      <c r="B6721" t="s">
        <v>61</v>
      </c>
      <c r="C6721" t="str">
        <f>"A0182679"</f>
        <v>A0182679</v>
      </c>
      <c r="D6721" t="s">
        <v>26015</v>
      </c>
      <c r="E6721" t="s">
        <v>25969</v>
      </c>
      <c r="F6721" t="s">
        <v>25970</v>
      </c>
      <c r="G6721" t="s">
        <v>899</v>
      </c>
      <c r="H6721" t="s">
        <v>25971</v>
      </c>
      <c r="I6721" t="s">
        <v>30</v>
      </c>
      <c r="J6721" t="s">
        <v>41</v>
      </c>
      <c r="K6721" t="s">
        <v>59</v>
      </c>
      <c r="Q6721">
        <v>0</v>
      </c>
      <c r="R6721">
        <v>0</v>
      </c>
      <c r="S6721">
        <v>0</v>
      </c>
      <c r="T6721" t="s">
        <v>26016</v>
      </c>
    </row>
    <row r="6722" spans="1:20" customFormat="1" ht="15" x14ac:dyDescent="0.25">
      <c r="A6722" t="s">
        <v>35</v>
      </c>
      <c r="B6722" t="s">
        <v>61</v>
      </c>
      <c r="C6722" t="str">
        <f>"A0182678"</f>
        <v>A0182678</v>
      </c>
      <c r="D6722" t="s">
        <v>26017</v>
      </c>
      <c r="E6722" t="s">
        <v>26018</v>
      </c>
      <c r="F6722" t="s">
        <v>26019</v>
      </c>
      <c r="G6722" t="s">
        <v>899</v>
      </c>
      <c r="H6722" t="s">
        <v>26020</v>
      </c>
      <c r="I6722" t="s">
        <v>30</v>
      </c>
      <c r="J6722" t="s">
        <v>41</v>
      </c>
      <c r="K6722" t="s">
        <v>59</v>
      </c>
      <c r="Q6722">
        <v>0</v>
      </c>
      <c r="R6722">
        <v>164</v>
      </c>
      <c r="S6722">
        <v>164</v>
      </c>
      <c r="T6722" t="s">
        <v>26021</v>
      </c>
    </row>
    <row r="6723" spans="1:20" customFormat="1" ht="15" x14ac:dyDescent="0.25">
      <c r="A6723" t="s">
        <v>35</v>
      </c>
      <c r="B6723" t="s">
        <v>61</v>
      </c>
      <c r="C6723" t="str">
        <f>"A0182677"</f>
        <v>A0182677</v>
      </c>
      <c r="D6723" t="s">
        <v>26022</v>
      </c>
      <c r="E6723" t="s">
        <v>26023</v>
      </c>
      <c r="F6723" t="s">
        <v>26024</v>
      </c>
      <c r="G6723" t="s">
        <v>899</v>
      </c>
      <c r="H6723">
        <v>2186</v>
      </c>
      <c r="I6723" t="s">
        <v>30</v>
      </c>
      <c r="J6723" t="s">
        <v>41</v>
      </c>
      <c r="K6723" t="s">
        <v>59</v>
      </c>
      <c r="Q6723">
        <v>0</v>
      </c>
      <c r="R6723">
        <v>0</v>
      </c>
      <c r="S6723">
        <v>0</v>
      </c>
      <c r="T6723" t="s">
        <v>26025</v>
      </c>
    </row>
    <row r="6724" spans="1:20" customFormat="1" ht="15" x14ac:dyDescent="0.25">
      <c r="A6724" t="s">
        <v>35</v>
      </c>
      <c r="B6724" t="s">
        <v>11871</v>
      </c>
      <c r="C6724" t="str">
        <f>"A0182676"</f>
        <v>A0182676</v>
      </c>
      <c r="D6724" t="s">
        <v>26026</v>
      </c>
      <c r="E6724" t="s">
        <v>26027</v>
      </c>
      <c r="F6724" t="s">
        <v>21341</v>
      </c>
      <c r="G6724" t="s">
        <v>65</v>
      </c>
      <c r="H6724">
        <v>43004</v>
      </c>
      <c r="I6724" t="s">
        <v>30</v>
      </c>
      <c r="J6724" t="s">
        <v>41</v>
      </c>
      <c r="K6724" t="s">
        <v>59</v>
      </c>
      <c r="Q6724">
        <v>0</v>
      </c>
      <c r="R6724">
        <v>0</v>
      </c>
      <c r="S6724">
        <v>0</v>
      </c>
      <c r="T6724" t="s">
        <v>26028</v>
      </c>
    </row>
    <row r="6725" spans="1:20" customFormat="1" ht="15" x14ac:dyDescent="0.25">
      <c r="A6725" t="s">
        <v>35</v>
      </c>
      <c r="B6725" t="s">
        <v>61</v>
      </c>
      <c r="C6725" t="str">
        <f>"A0182675"</f>
        <v>A0182675</v>
      </c>
      <c r="D6725" t="s">
        <v>26029</v>
      </c>
      <c r="E6725" t="s">
        <v>26030</v>
      </c>
      <c r="F6725" t="s">
        <v>2770</v>
      </c>
      <c r="G6725" t="s">
        <v>65</v>
      </c>
      <c r="H6725">
        <v>44710</v>
      </c>
      <c r="I6725" t="s">
        <v>30</v>
      </c>
      <c r="J6725" t="s">
        <v>41</v>
      </c>
      <c r="K6725" t="s">
        <v>59</v>
      </c>
      <c r="Q6725">
        <v>0</v>
      </c>
      <c r="R6725">
        <v>144</v>
      </c>
      <c r="S6725">
        <v>144</v>
      </c>
      <c r="T6725" t="s">
        <v>23290</v>
      </c>
    </row>
    <row r="6726" spans="1:20" customFormat="1" ht="15" x14ac:dyDescent="0.25">
      <c r="A6726" t="s">
        <v>35</v>
      </c>
      <c r="B6726" t="s">
        <v>11871</v>
      </c>
      <c r="C6726" t="str">
        <f>"A0182674"</f>
        <v>A0182674</v>
      </c>
      <c r="D6726" t="s">
        <v>26031</v>
      </c>
      <c r="E6726" t="s">
        <v>26032</v>
      </c>
      <c r="F6726" t="s">
        <v>26033</v>
      </c>
      <c r="G6726" t="s">
        <v>65</v>
      </c>
      <c r="H6726">
        <v>442667730</v>
      </c>
      <c r="I6726" t="s">
        <v>30</v>
      </c>
      <c r="J6726" t="s">
        <v>41</v>
      </c>
      <c r="K6726" t="s">
        <v>59</v>
      </c>
      <c r="Q6726">
        <v>0</v>
      </c>
      <c r="R6726">
        <v>0</v>
      </c>
      <c r="S6726">
        <v>0</v>
      </c>
      <c r="T6726" t="s">
        <v>26034</v>
      </c>
    </row>
    <row r="6727" spans="1:20" customFormat="1" ht="15" x14ac:dyDescent="0.25">
      <c r="A6727" t="s">
        <v>35</v>
      </c>
      <c r="B6727" t="s">
        <v>11871</v>
      </c>
      <c r="C6727" t="str">
        <f>"A0182673"</f>
        <v>A0182673</v>
      </c>
      <c r="D6727" t="s">
        <v>26035</v>
      </c>
      <c r="E6727" t="s">
        <v>26036</v>
      </c>
      <c r="F6727" t="s">
        <v>8085</v>
      </c>
      <c r="G6727" t="s">
        <v>65</v>
      </c>
      <c r="H6727">
        <v>456901566</v>
      </c>
      <c r="I6727" t="s">
        <v>30</v>
      </c>
      <c r="J6727" t="s">
        <v>41</v>
      </c>
      <c r="K6727" t="s">
        <v>59</v>
      </c>
      <c r="Q6727">
        <v>0</v>
      </c>
      <c r="R6727">
        <v>0</v>
      </c>
      <c r="S6727">
        <v>0</v>
      </c>
      <c r="T6727" t="s">
        <v>26037</v>
      </c>
    </row>
    <row r="6728" spans="1:20" customFormat="1" ht="15" x14ac:dyDescent="0.25">
      <c r="A6728" t="s">
        <v>35</v>
      </c>
      <c r="B6728" t="s">
        <v>61</v>
      </c>
      <c r="C6728" t="str">
        <f>"A0182672"</f>
        <v>A0182672</v>
      </c>
      <c r="D6728" t="s">
        <v>26038</v>
      </c>
      <c r="E6728" t="s">
        <v>26039</v>
      </c>
      <c r="F6728" t="s">
        <v>3661</v>
      </c>
      <c r="G6728" t="s">
        <v>65</v>
      </c>
      <c r="H6728">
        <v>45246</v>
      </c>
      <c r="I6728" t="s">
        <v>30</v>
      </c>
      <c r="J6728" t="s">
        <v>41</v>
      </c>
      <c r="K6728" t="s">
        <v>59</v>
      </c>
      <c r="Q6728">
        <v>0</v>
      </c>
      <c r="R6728">
        <v>0</v>
      </c>
      <c r="S6728">
        <v>0</v>
      </c>
      <c r="T6728" t="s">
        <v>23064</v>
      </c>
    </row>
    <row r="6729" spans="1:20" customFormat="1" ht="15" x14ac:dyDescent="0.25">
      <c r="A6729" t="s">
        <v>35</v>
      </c>
      <c r="B6729" t="s">
        <v>61</v>
      </c>
      <c r="C6729" t="str">
        <f>"A0182671"</f>
        <v>A0182671</v>
      </c>
      <c r="D6729" t="s">
        <v>26040</v>
      </c>
      <c r="E6729" t="s">
        <v>26041</v>
      </c>
      <c r="F6729" t="s">
        <v>3661</v>
      </c>
      <c r="G6729" t="s">
        <v>65</v>
      </c>
      <c r="H6729" t="s">
        <v>26042</v>
      </c>
      <c r="I6729" t="s">
        <v>30</v>
      </c>
      <c r="J6729" t="s">
        <v>41</v>
      </c>
      <c r="K6729" t="s">
        <v>59</v>
      </c>
      <c r="Q6729">
        <v>0</v>
      </c>
      <c r="R6729">
        <v>136</v>
      </c>
      <c r="S6729">
        <v>136</v>
      </c>
      <c r="T6729" t="s">
        <v>26043</v>
      </c>
    </row>
    <row r="6730" spans="1:20" customFormat="1" ht="15" x14ac:dyDescent="0.25">
      <c r="A6730" t="s">
        <v>35</v>
      </c>
      <c r="B6730" t="s">
        <v>61</v>
      </c>
      <c r="C6730" t="str">
        <f>"A0182670"</f>
        <v>A0182670</v>
      </c>
      <c r="D6730" t="s">
        <v>26044</v>
      </c>
      <c r="E6730" t="s">
        <v>26045</v>
      </c>
      <c r="F6730" t="s">
        <v>26046</v>
      </c>
      <c r="G6730" t="s">
        <v>71</v>
      </c>
      <c r="H6730" t="s">
        <v>26047</v>
      </c>
      <c r="I6730" t="s">
        <v>30</v>
      </c>
      <c r="J6730" t="s">
        <v>41</v>
      </c>
      <c r="K6730" t="s">
        <v>59</v>
      </c>
      <c r="Q6730">
        <v>0</v>
      </c>
      <c r="R6730">
        <v>0</v>
      </c>
      <c r="S6730">
        <v>0</v>
      </c>
    </row>
    <row r="6731" spans="1:20" customFormat="1" ht="15" x14ac:dyDescent="0.25">
      <c r="A6731" t="s">
        <v>35</v>
      </c>
      <c r="B6731" t="s">
        <v>61</v>
      </c>
      <c r="C6731" t="str">
        <f>"A0182669"</f>
        <v>A0182669</v>
      </c>
      <c r="D6731" t="s">
        <v>26048</v>
      </c>
      <c r="E6731" t="s">
        <v>26049</v>
      </c>
      <c r="F6731" t="s">
        <v>12216</v>
      </c>
      <c r="G6731" t="s">
        <v>71</v>
      </c>
      <c r="H6731" t="s">
        <v>26050</v>
      </c>
      <c r="I6731" t="s">
        <v>30</v>
      </c>
      <c r="J6731" t="s">
        <v>41</v>
      </c>
      <c r="K6731" t="s">
        <v>59</v>
      </c>
      <c r="Q6731">
        <v>0</v>
      </c>
      <c r="R6731">
        <v>0</v>
      </c>
      <c r="S6731">
        <v>0</v>
      </c>
      <c r="T6731" t="s">
        <v>26051</v>
      </c>
    </row>
    <row r="6732" spans="1:20" customFormat="1" ht="15" x14ac:dyDescent="0.25">
      <c r="A6732" t="s">
        <v>35</v>
      </c>
      <c r="B6732" t="s">
        <v>23597</v>
      </c>
      <c r="C6732" t="str">
        <f>"A0182668"</f>
        <v>A0182668</v>
      </c>
      <c r="D6732" t="s">
        <v>26052</v>
      </c>
      <c r="E6732" t="s">
        <v>26053</v>
      </c>
      <c r="F6732" t="s">
        <v>23599</v>
      </c>
      <c r="G6732" t="s">
        <v>65</v>
      </c>
      <c r="H6732">
        <v>450131787</v>
      </c>
      <c r="I6732" t="s">
        <v>30</v>
      </c>
      <c r="J6732" t="s">
        <v>41</v>
      </c>
      <c r="K6732" t="s">
        <v>59</v>
      </c>
      <c r="Q6732">
        <v>0</v>
      </c>
      <c r="R6732">
        <v>50</v>
      </c>
      <c r="S6732">
        <v>50</v>
      </c>
      <c r="T6732" t="s">
        <v>26054</v>
      </c>
    </row>
    <row r="6733" spans="1:20" customFormat="1" ht="15" x14ac:dyDescent="0.25">
      <c r="A6733" t="s">
        <v>35</v>
      </c>
      <c r="B6733" t="s">
        <v>61</v>
      </c>
      <c r="C6733" t="str">
        <f>"A0182667"</f>
        <v>A0182667</v>
      </c>
      <c r="D6733" t="s">
        <v>26055</v>
      </c>
      <c r="E6733" t="s">
        <v>26056</v>
      </c>
      <c r="F6733" t="s">
        <v>9621</v>
      </c>
      <c r="G6733" t="s">
        <v>899</v>
      </c>
      <c r="H6733" t="s">
        <v>26057</v>
      </c>
      <c r="I6733" t="s">
        <v>30</v>
      </c>
      <c r="J6733" t="s">
        <v>41</v>
      </c>
      <c r="K6733" t="s">
        <v>59</v>
      </c>
      <c r="Q6733">
        <v>0</v>
      </c>
      <c r="R6733">
        <v>0</v>
      </c>
      <c r="S6733">
        <v>0</v>
      </c>
      <c r="T6733" t="s">
        <v>26058</v>
      </c>
    </row>
    <row r="6734" spans="1:20" customFormat="1" ht="15" x14ac:dyDescent="0.25">
      <c r="A6734" t="s">
        <v>35</v>
      </c>
      <c r="B6734" t="s">
        <v>61</v>
      </c>
      <c r="C6734" t="str">
        <f>"A0182666"</f>
        <v>A0182666</v>
      </c>
      <c r="D6734" t="s">
        <v>26059</v>
      </c>
      <c r="E6734" t="s">
        <v>26060</v>
      </c>
      <c r="F6734" t="s">
        <v>7112</v>
      </c>
      <c r="G6734" t="s">
        <v>899</v>
      </c>
      <c r="H6734" t="s">
        <v>26061</v>
      </c>
      <c r="I6734" t="s">
        <v>30</v>
      </c>
      <c r="J6734" t="s">
        <v>41</v>
      </c>
      <c r="K6734" t="s">
        <v>59</v>
      </c>
      <c r="Q6734">
        <v>0</v>
      </c>
      <c r="R6734">
        <v>0</v>
      </c>
      <c r="S6734">
        <v>0</v>
      </c>
      <c r="T6734" t="s">
        <v>26062</v>
      </c>
    </row>
    <row r="6735" spans="1:20" customFormat="1" ht="15" x14ac:dyDescent="0.25">
      <c r="A6735" t="s">
        <v>35</v>
      </c>
      <c r="B6735" t="s">
        <v>61</v>
      </c>
      <c r="C6735" t="str">
        <f>"A0182665"</f>
        <v>A0182665</v>
      </c>
      <c r="D6735" t="s">
        <v>26063</v>
      </c>
      <c r="E6735" t="s">
        <v>26064</v>
      </c>
      <c r="F6735" t="s">
        <v>1689</v>
      </c>
      <c r="G6735" t="s">
        <v>899</v>
      </c>
      <c r="H6735" t="s">
        <v>26065</v>
      </c>
      <c r="I6735" t="s">
        <v>30</v>
      </c>
      <c r="J6735" t="s">
        <v>41</v>
      </c>
      <c r="K6735" t="s">
        <v>59</v>
      </c>
      <c r="Q6735">
        <v>0</v>
      </c>
      <c r="R6735">
        <v>258</v>
      </c>
      <c r="S6735">
        <v>258</v>
      </c>
      <c r="T6735" t="s">
        <v>26066</v>
      </c>
    </row>
    <row r="6736" spans="1:20" customFormat="1" ht="15" x14ac:dyDescent="0.25">
      <c r="A6736" t="s">
        <v>35</v>
      </c>
      <c r="B6736" t="s">
        <v>61</v>
      </c>
      <c r="C6736" t="str">
        <f>"A0182664"</f>
        <v>A0182664</v>
      </c>
      <c r="D6736" t="s">
        <v>26067</v>
      </c>
      <c r="E6736" t="s">
        <v>26068</v>
      </c>
      <c r="F6736" t="s">
        <v>26069</v>
      </c>
      <c r="G6736" t="s">
        <v>899</v>
      </c>
      <c r="H6736">
        <v>2481</v>
      </c>
      <c r="I6736" t="s">
        <v>30</v>
      </c>
      <c r="J6736" t="s">
        <v>41</v>
      </c>
      <c r="K6736" t="s">
        <v>59</v>
      </c>
      <c r="Q6736">
        <v>0</v>
      </c>
      <c r="R6736">
        <v>0</v>
      </c>
      <c r="S6736">
        <v>0</v>
      </c>
    </row>
    <row r="6737" spans="1:20" customFormat="1" ht="15" x14ac:dyDescent="0.25">
      <c r="A6737" t="s">
        <v>35</v>
      </c>
      <c r="B6737" t="s">
        <v>61</v>
      </c>
      <c r="C6737" t="str">
        <f>"A0182663"</f>
        <v>A0182663</v>
      </c>
      <c r="D6737" t="s">
        <v>26070</v>
      </c>
      <c r="E6737" t="s">
        <v>26071</v>
      </c>
      <c r="F6737" t="s">
        <v>22603</v>
      </c>
      <c r="G6737" t="s">
        <v>338</v>
      </c>
      <c r="H6737">
        <v>7481</v>
      </c>
      <c r="I6737" t="s">
        <v>30</v>
      </c>
      <c r="J6737" t="s">
        <v>41</v>
      </c>
      <c r="K6737" t="s">
        <v>59</v>
      </c>
      <c r="Q6737">
        <v>0</v>
      </c>
      <c r="R6737">
        <v>0</v>
      </c>
      <c r="S6737">
        <v>0</v>
      </c>
    </row>
    <row r="6738" spans="1:20" customFormat="1" ht="15" x14ac:dyDescent="0.25">
      <c r="A6738" t="s">
        <v>35</v>
      </c>
      <c r="B6738" t="s">
        <v>61</v>
      </c>
      <c r="C6738" t="str">
        <f>"A0182662"</f>
        <v>A0182662</v>
      </c>
      <c r="D6738" t="s">
        <v>26072</v>
      </c>
      <c r="E6738" t="s">
        <v>26073</v>
      </c>
      <c r="F6738" t="s">
        <v>898</v>
      </c>
      <c r="G6738" t="s">
        <v>899</v>
      </c>
      <c r="H6738" t="s">
        <v>26074</v>
      </c>
      <c r="I6738" t="s">
        <v>30</v>
      </c>
      <c r="J6738" t="s">
        <v>41</v>
      </c>
      <c r="K6738" t="s">
        <v>59</v>
      </c>
      <c r="Q6738">
        <v>0</v>
      </c>
      <c r="R6738">
        <v>0</v>
      </c>
      <c r="S6738">
        <v>0</v>
      </c>
      <c r="T6738" t="s">
        <v>26075</v>
      </c>
    </row>
    <row r="6739" spans="1:20" customFormat="1" ht="15" x14ac:dyDescent="0.25">
      <c r="A6739" t="s">
        <v>35</v>
      </c>
      <c r="B6739" t="s">
        <v>61</v>
      </c>
      <c r="C6739" t="str">
        <f>"A0182661"</f>
        <v>A0182661</v>
      </c>
      <c r="D6739" t="s">
        <v>26076</v>
      </c>
      <c r="E6739" t="s">
        <v>26077</v>
      </c>
      <c r="F6739" t="s">
        <v>20033</v>
      </c>
      <c r="G6739" t="s">
        <v>899</v>
      </c>
      <c r="H6739" t="s">
        <v>26078</v>
      </c>
      <c r="I6739" t="s">
        <v>30</v>
      </c>
      <c r="J6739" t="s">
        <v>41</v>
      </c>
      <c r="K6739" t="s">
        <v>59</v>
      </c>
      <c r="Q6739">
        <v>0</v>
      </c>
      <c r="R6739">
        <v>0</v>
      </c>
      <c r="S6739">
        <v>0</v>
      </c>
      <c r="T6739" t="s">
        <v>26079</v>
      </c>
    </row>
    <row r="6740" spans="1:20" customFormat="1" ht="15" x14ac:dyDescent="0.25">
      <c r="A6740" t="s">
        <v>35</v>
      </c>
      <c r="B6740" t="s">
        <v>61</v>
      </c>
      <c r="C6740" t="str">
        <f>"A0182660"</f>
        <v>A0182660</v>
      </c>
      <c r="D6740" t="s">
        <v>26080</v>
      </c>
      <c r="E6740" t="s">
        <v>26081</v>
      </c>
      <c r="F6740" t="s">
        <v>12216</v>
      </c>
      <c r="G6740" t="s">
        <v>71</v>
      </c>
      <c r="H6740" t="s">
        <v>26050</v>
      </c>
      <c r="I6740" t="s">
        <v>30</v>
      </c>
      <c r="J6740" t="s">
        <v>41</v>
      </c>
      <c r="K6740" t="s">
        <v>59</v>
      </c>
      <c r="Q6740">
        <v>0</v>
      </c>
      <c r="R6740">
        <v>0</v>
      </c>
      <c r="S6740">
        <v>0</v>
      </c>
      <c r="T6740" t="s">
        <v>26051</v>
      </c>
    </row>
    <row r="6741" spans="1:20" customFormat="1" ht="15" x14ac:dyDescent="0.25">
      <c r="A6741" t="s">
        <v>35</v>
      </c>
      <c r="B6741" t="s">
        <v>61</v>
      </c>
      <c r="C6741" t="str">
        <f>"A0182659"</f>
        <v>A0182659</v>
      </c>
      <c r="D6741" t="s">
        <v>26082</v>
      </c>
      <c r="E6741" t="s">
        <v>23437</v>
      </c>
      <c r="F6741" t="s">
        <v>938</v>
      </c>
      <c r="G6741" t="s">
        <v>71</v>
      </c>
      <c r="H6741" t="s">
        <v>23438</v>
      </c>
      <c r="I6741" t="s">
        <v>30</v>
      </c>
      <c r="J6741" t="s">
        <v>41</v>
      </c>
      <c r="K6741" t="s">
        <v>59</v>
      </c>
      <c r="Q6741">
        <v>0</v>
      </c>
      <c r="R6741">
        <v>0</v>
      </c>
      <c r="S6741">
        <v>0</v>
      </c>
    </row>
    <row r="6742" spans="1:20" customFormat="1" ht="15" x14ac:dyDescent="0.25">
      <c r="A6742" t="s">
        <v>35</v>
      </c>
      <c r="B6742" t="s">
        <v>61</v>
      </c>
      <c r="C6742" t="str">
        <f>"A0182658"</f>
        <v>A0182658</v>
      </c>
      <c r="D6742" t="s">
        <v>26083</v>
      </c>
      <c r="E6742" t="s">
        <v>23330</v>
      </c>
      <c r="F6742" t="s">
        <v>3661</v>
      </c>
      <c r="G6742" t="s">
        <v>65</v>
      </c>
      <c r="H6742">
        <v>452081445</v>
      </c>
      <c r="I6742" t="s">
        <v>30</v>
      </c>
      <c r="J6742" t="s">
        <v>41</v>
      </c>
      <c r="K6742" t="s">
        <v>59</v>
      </c>
      <c r="Q6742">
        <v>0</v>
      </c>
      <c r="R6742">
        <v>60</v>
      </c>
      <c r="S6742">
        <v>60</v>
      </c>
      <c r="T6742" t="s">
        <v>26084</v>
      </c>
    </row>
    <row r="6743" spans="1:20" customFormat="1" ht="15" x14ac:dyDescent="0.25">
      <c r="A6743" t="s">
        <v>35</v>
      </c>
      <c r="B6743" t="s">
        <v>11871</v>
      </c>
      <c r="C6743" t="str">
        <f>"A0182657"</f>
        <v>A0182657</v>
      </c>
      <c r="D6743" t="s">
        <v>26085</v>
      </c>
      <c r="E6743" t="s">
        <v>26086</v>
      </c>
      <c r="F6743" t="s">
        <v>3193</v>
      </c>
      <c r="G6743" t="s">
        <v>214</v>
      </c>
      <c r="H6743" t="s">
        <v>26087</v>
      </c>
      <c r="I6743" t="s">
        <v>30</v>
      </c>
      <c r="J6743" t="s">
        <v>41</v>
      </c>
      <c r="K6743" t="s">
        <v>59</v>
      </c>
      <c r="Q6743">
        <v>0</v>
      </c>
      <c r="R6743">
        <v>42</v>
      </c>
      <c r="S6743">
        <v>42</v>
      </c>
      <c r="T6743" t="s">
        <v>26088</v>
      </c>
    </row>
    <row r="6744" spans="1:20" customFormat="1" ht="15" x14ac:dyDescent="0.25">
      <c r="A6744" t="s">
        <v>35</v>
      </c>
      <c r="B6744" t="s">
        <v>8001</v>
      </c>
      <c r="C6744" t="str">
        <f>"A0182656"</f>
        <v>A0182656</v>
      </c>
      <c r="D6744" t="s">
        <v>26089</v>
      </c>
      <c r="E6744" t="s">
        <v>26090</v>
      </c>
      <c r="F6744" t="s">
        <v>26091</v>
      </c>
      <c r="G6744" t="s">
        <v>899</v>
      </c>
      <c r="H6744">
        <v>10604508</v>
      </c>
      <c r="I6744" t="s">
        <v>30</v>
      </c>
      <c r="J6744" t="s">
        <v>41</v>
      </c>
      <c r="K6744" t="s">
        <v>59</v>
      </c>
      <c r="Q6744">
        <v>0</v>
      </c>
      <c r="R6744">
        <v>0</v>
      </c>
      <c r="S6744">
        <v>0</v>
      </c>
      <c r="T6744" t="s">
        <v>26092</v>
      </c>
    </row>
    <row r="6745" spans="1:20" customFormat="1" ht="15" x14ac:dyDescent="0.25">
      <c r="A6745" t="s">
        <v>35</v>
      </c>
      <c r="B6745" t="s">
        <v>61</v>
      </c>
      <c r="C6745" t="str">
        <f>"A0182655"</f>
        <v>A0182655</v>
      </c>
      <c r="D6745" t="s">
        <v>26093</v>
      </c>
      <c r="E6745" t="s">
        <v>25917</v>
      </c>
      <c r="F6745" t="s">
        <v>11795</v>
      </c>
      <c r="G6745" t="s">
        <v>71</v>
      </c>
      <c r="H6745">
        <v>542206000</v>
      </c>
      <c r="I6745" t="s">
        <v>30</v>
      </c>
      <c r="J6745" t="s">
        <v>41</v>
      </c>
      <c r="K6745" t="s">
        <v>59</v>
      </c>
      <c r="Q6745">
        <v>0</v>
      </c>
      <c r="R6745">
        <v>509</v>
      </c>
      <c r="S6745">
        <v>509</v>
      </c>
      <c r="T6745" t="s">
        <v>26094</v>
      </c>
    </row>
    <row r="6746" spans="1:20" customFormat="1" ht="15" x14ac:dyDescent="0.25">
      <c r="A6746" t="s">
        <v>35</v>
      </c>
      <c r="B6746" t="s">
        <v>61</v>
      </c>
      <c r="C6746" t="str">
        <f>"A0182654"</f>
        <v>A0182654</v>
      </c>
      <c r="D6746" t="s">
        <v>26095</v>
      </c>
      <c r="E6746" t="s">
        <v>26096</v>
      </c>
      <c r="F6746" t="s">
        <v>3336</v>
      </c>
      <c r="G6746" t="s">
        <v>71</v>
      </c>
      <c r="H6746">
        <v>53228</v>
      </c>
      <c r="I6746" t="s">
        <v>30</v>
      </c>
      <c r="J6746" t="s">
        <v>41</v>
      </c>
      <c r="K6746" t="s">
        <v>59</v>
      </c>
      <c r="Q6746">
        <v>0</v>
      </c>
      <c r="R6746">
        <v>0</v>
      </c>
      <c r="S6746">
        <v>0</v>
      </c>
      <c r="T6746" t="s">
        <v>23695</v>
      </c>
    </row>
    <row r="6747" spans="1:20" customFormat="1" ht="15" x14ac:dyDescent="0.25">
      <c r="A6747" t="s">
        <v>35</v>
      </c>
      <c r="B6747" t="s">
        <v>61</v>
      </c>
      <c r="C6747" t="str">
        <f>"A0182653"</f>
        <v>A0182653</v>
      </c>
      <c r="D6747" t="s">
        <v>26097</v>
      </c>
      <c r="E6747" t="s">
        <v>26098</v>
      </c>
      <c r="F6747" t="s">
        <v>24507</v>
      </c>
      <c r="G6747" t="s">
        <v>71</v>
      </c>
      <c r="H6747" t="s">
        <v>26099</v>
      </c>
      <c r="I6747" t="s">
        <v>30</v>
      </c>
      <c r="J6747" t="s">
        <v>41</v>
      </c>
      <c r="K6747" t="s">
        <v>59</v>
      </c>
      <c r="Q6747">
        <v>0</v>
      </c>
      <c r="R6747">
        <v>229</v>
      </c>
      <c r="S6747">
        <v>229</v>
      </c>
    </row>
    <row r="6748" spans="1:20" customFormat="1" ht="15" x14ac:dyDescent="0.25">
      <c r="A6748" t="s">
        <v>35</v>
      </c>
      <c r="B6748" t="s">
        <v>61</v>
      </c>
      <c r="C6748" t="str">
        <f>"A0182652"</f>
        <v>A0182652</v>
      </c>
      <c r="D6748" t="s">
        <v>26100</v>
      </c>
      <c r="E6748" t="s">
        <v>26101</v>
      </c>
      <c r="F6748" t="s">
        <v>24507</v>
      </c>
      <c r="G6748" t="s">
        <v>71</v>
      </c>
      <c r="H6748" t="s">
        <v>26102</v>
      </c>
      <c r="I6748" t="s">
        <v>30</v>
      </c>
      <c r="J6748" t="s">
        <v>41</v>
      </c>
      <c r="K6748" t="s">
        <v>59</v>
      </c>
      <c r="Q6748">
        <v>0</v>
      </c>
      <c r="R6748">
        <v>109</v>
      </c>
      <c r="S6748">
        <v>109</v>
      </c>
      <c r="T6748" t="s">
        <v>26103</v>
      </c>
    </row>
    <row r="6749" spans="1:20" customFormat="1" ht="15" x14ac:dyDescent="0.25">
      <c r="A6749" t="s">
        <v>35</v>
      </c>
      <c r="B6749" t="s">
        <v>61</v>
      </c>
      <c r="C6749" t="str">
        <f>"A0182651"</f>
        <v>A0182651</v>
      </c>
      <c r="D6749" t="s">
        <v>26104</v>
      </c>
      <c r="E6749" t="s">
        <v>12237</v>
      </c>
      <c r="F6749" t="s">
        <v>12238</v>
      </c>
      <c r="G6749" t="s">
        <v>71</v>
      </c>
      <c r="H6749" t="s">
        <v>12239</v>
      </c>
      <c r="I6749" t="s">
        <v>30</v>
      </c>
      <c r="J6749" t="s">
        <v>41</v>
      </c>
      <c r="K6749" t="s">
        <v>59</v>
      </c>
      <c r="Q6749">
        <v>0</v>
      </c>
      <c r="R6749">
        <v>0</v>
      </c>
      <c r="S6749">
        <v>0</v>
      </c>
      <c r="T6749" t="s">
        <v>12240</v>
      </c>
    </row>
    <row r="6750" spans="1:20" customFormat="1" ht="15" x14ac:dyDescent="0.25">
      <c r="A6750" t="s">
        <v>35</v>
      </c>
      <c r="B6750" t="s">
        <v>11871</v>
      </c>
      <c r="C6750" t="str">
        <f>"A0182650"</f>
        <v>A0182650</v>
      </c>
      <c r="D6750" t="s">
        <v>26105</v>
      </c>
      <c r="E6750" t="s">
        <v>26106</v>
      </c>
      <c r="F6750" t="s">
        <v>963</v>
      </c>
      <c r="G6750" t="s">
        <v>65</v>
      </c>
      <c r="H6750">
        <v>456012168</v>
      </c>
      <c r="I6750" t="s">
        <v>30</v>
      </c>
      <c r="J6750" t="s">
        <v>41</v>
      </c>
      <c r="K6750" t="s">
        <v>59</v>
      </c>
      <c r="Q6750">
        <v>0</v>
      </c>
      <c r="R6750">
        <v>0</v>
      </c>
      <c r="S6750">
        <v>0</v>
      </c>
      <c r="T6750" t="s">
        <v>26107</v>
      </c>
    </row>
    <row r="6751" spans="1:20" customFormat="1" ht="15" x14ac:dyDescent="0.25">
      <c r="A6751" t="s">
        <v>35</v>
      </c>
      <c r="B6751" t="s">
        <v>11871</v>
      </c>
      <c r="C6751" t="str">
        <f>"A0182649"</f>
        <v>A0182649</v>
      </c>
      <c r="D6751" t="s">
        <v>26108</v>
      </c>
      <c r="E6751" t="s">
        <v>26109</v>
      </c>
      <c r="F6751" t="s">
        <v>64</v>
      </c>
      <c r="G6751" t="s">
        <v>65</v>
      </c>
      <c r="H6751">
        <v>432285749</v>
      </c>
      <c r="I6751" t="s">
        <v>30</v>
      </c>
      <c r="J6751" t="s">
        <v>41</v>
      </c>
      <c r="K6751" t="s">
        <v>59</v>
      </c>
      <c r="Q6751">
        <v>0</v>
      </c>
      <c r="R6751">
        <v>0</v>
      </c>
      <c r="S6751">
        <v>0</v>
      </c>
      <c r="T6751" t="s">
        <v>26110</v>
      </c>
    </row>
    <row r="6752" spans="1:20" customFormat="1" ht="15" x14ac:dyDescent="0.25">
      <c r="A6752" t="s">
        <v>35</v>
      </c>
      <c r="B6752" t="s">
        <v>11871</v>
      </c>
      <c r="C6752" t="str">
        <f>"A0182648"</f>
        <v>A0182648</v>
      </c>
      <c r="D6752" t="s">
        <v>26111</v>
      </c>
      <c r="E6752" t="s">
        <v>26112</v>
      </c>
      <c r="F6752" t="s">
        <v>64</v>
      </c>
      <c r="G6752" t="s">
        <v>65</v>
      </c>
      <c r="H6752">
        <v>432272262</v>
      </c>
      <c r="I6752" t="s">
        <v>30</v>
      </c>
      <c r="J6752" t="s">
        <v>41</v>
      </c>
      <c r="K6752" t="s">
        <v>59</v>
      </c>
      <c r="Q6752">
        <v>0</v>
      </c>
      <c r="R6752">
        <v>0</v>
      </c>
      <c r="S6752">
        <v>0</v>
      </c>
    </row>
    <row r="6753" spans="1:20" customFormat="1" ht="15" x14ac:dyDescent="0.25">
      <c r="A6753" t="s">
        <v>35</v>
      </c>
      <c r="B6753" t="s">
        <v>11871</v>
      </c>
      <c r="C6753" t="str">
        <f>"A0182647"</f>
        <v>A0182647</v>
      </c>
      <c r="D6753" t="s">
        <v>26113</v>
      </c>
      <c r="E6753" t="s">
        <v>26112</v>
      </c>
      <c r="F6753" t="s">
        <v>64</v>
      </c>
      <c r="G6753" t="s">
        <v>65</v>
      </c>
      <c r="H6753">
        <v>432272262</v>
      </c>
      <c r="I6753" t="s">
        <v>30</v>
      </c>
      <c r="J6753" t="s">
        <v>41</v>
      </c>
      <c r="K6753" t="s">
        <v>59</v>
      </c>
      <c r="Q6753">
        <v>0</v>
      </c>
      <c r="R6753">
        <v>0</v>
      </c>
      <c r="S6753">
        <v>0</v>
      </c>
      <c r="T6753" t="s">
        <v>26114</v>
      </c>
    </row>
    <row r="6754" spans="1:20" customFormat="1" ht="15" x14ac:dyDescent="0.25">
      <c r="A6754" t="s">
        <v>35</v>
      </c>
      <c r="B6754" t="s">
        <v>26115</v>
      </c>
      <c r="C6754" t="str">
        <f>"A0182646"</f>
        <v>A0182646</v>
      </c>
      <c r="D6754" t="s">
        <v>26116</v>
      </c>
      <c r="E6754" t="s">
        <v>26117</v>
      </c>
      <c r="F6754" t="s">
        <v>1373</v>
      </c>
      <c r="G6754" t="s">
        <v>71</v>
      </c>
      <c r="H6754">
        <v>53704</v>
      </c>
      <c r="I6754" t="s">
        <v>30</v>
      </c>
      <c r="J6754" t="s">
        <v>41</v>
      </c>
      <c r="K6754" t="s">
        <v>59</v>
      </c>
      <c r="Q6754">
        <v>0</v>
      </c>
      <c r="R6754">
        <v>0</v>
      </c>
      <c r="S6754">
        <v>61</v>
      </c>
      <c r="T6754" t="s">
        <v>26118</v>
      </c>
    </row>
    <row r="6755" spans="1:20" customFormat="1" ht="15" x14ac:dyDescent="0.25">
      <c r="A6755" t="s">
        <v>35</v>
      </c>
      <c r="B6755" t="s">
        <v>61</v>
      </c>
      <c r="C6755" t="str">
        <f>"A0182645"</f>
        <v>A0182645</v>
      </c>
      <c r="D6755" t="s">
        <v>26119</v>
      </c>
      <c r="E6755" t="s">
        <v>26120</v>
      </c>
      <c r="F6755" t="s">
        <v>5050</v>
      </c>
      <c r="G6755" t="s">
        <v>899</v>
      </c>
      <c r="H6755" t="s">
        <v>26121</v>
      </c>
      <c r="I6755" t="s">
        <v>30</v>
      </c>
      <c r="J6755" t="s">
        <v>41</v>
      </c>
      <c r="K6755" t="s">
        <v>59</v>
      </c>
      <c r="Q6755">
        <v>0</v>
      </c>
      <c r="R6755">
        <v>0</v>
      </c>
      <c r="S6755">
        <v>0</v>
      </c>
      <c r="T6755" t="s">
        <v>26122</v>
      </c>
    </row>
    <row r="6756" spans="1:20" customFormat="1" ht="15" x14ac:dyDescent="0.25">
      <c r="A6756" t="s">
        <v>35</v>
      </c>
      <c r="B6756" t="s">
        <v>61</v>
      </c>
      <c r="C6756" t="str">
        <f>"A0182644"</f>
        <v>A0182644</v>
      </c>
      <c r="D6756" t="s">
        <v>26123</v>
      </c>
      <c r="E6756" t="s">
        <v>26124</v>
      </c>
      <c r="F6756" t="s">
        <v>18395</v>
      </c>
      <c r="G6756" t="s">
        <v>899</v>
      </c>
      <c r="H6756" t="s">
        <v>26125</v>
      </c>
      <c r="I6756" t="s">
        <v>30</v>
      </c>
      <c r="J6756" t="s">
        <v>41</v>
      </c>
      <c r="K6756" t="s">
        <v>59</v>
      </c>
      <c r="Q6756">
        <v>0</v>
      </c>
      <c r="R6756">
        <v>0</v>
      </c>
      <c r="S6756">
        <v>0</v>
      </c>
      <c r="T6756" t="s">
        <v>26126</v>
      </c>
    </row>
    <row r="6757" spans="1:20" customFormat="1" ht="15" x14ac:dyDescent="0.25">
      <c r="A6757" t="s">
        <v>35</v>
      </c>
      <c r="B6757" t="s">
        <v>61</v>
      </c>
      <c r="C6757" t="str">
        <f>"A0182643"</f>
        <v>A0182643</v>
      </c>
      <c r="D6757" t="s">
        <v>26127</v>
      </c>
      <c r="E6757" t="s">
        <v>26128</v>
      </c>
      <c r="F6757" t="s">
        <v>26129</v>
      </c>
      <c r="G6757" t="s">
        <v>899</v>
      </c>
      <c r="H6757" t="s">
        <v>26130</v>
      </c>
      <c r="I6757" t="s">
        <v>30</v>
      </c>
      <c r="J6757" t="s">
        <v>41</v>
      </c>
      <c r="K6757" t="s">
        <v>59</v>
      </c>
      <c r="Q6757">
        <v>0</v>
      </c>
      <c r="R6757">
        <v>0</v>
      </c>
      <c r="S6757">
        <v>0</v>
      </c>
    </row>
    <row r="6758" spans="1:20" customFormat="1" ht="15" x14ac:dyDescent="0.25">
      <c r="A6758" t="s">
        <v>35</v>
      </c>
      <c r="B6758" t="s">
        <v>61</v>
      </c>
      <c r="C6758" t="str">
        <f>"A0182642"</f>
        <v>A0182642</v>
      </c>
      <c r="D6758" t="s">
        <v>26131</v>
      </c>
      <c r="E6758" t="s">
        <v>26132</v>
      </c>
      <c r="F6758" t="s">
        <v>5292</v>
      </c>
      <c r="G6758" t="s">
        <v>899</v>
      </c>
      <c r="H6758" t="s">
        <v>26133</v>
      </c>
      <c r="I6758" t="s">
        <v>30</v>
      </c>
      <c r="J6758" t="s">
        <v>41</v>
      </c>
      <c r="K6758" t="s">
        <v>59</v>
      </c>
      <c r="Q6758">
        <v>0</v>
      </c>
      <c r="R6758">
        <v>0</v>
      </c>
      <c r="S6758">
        <v>0</v>
      </c>
      <c r="T6758" t="s">
        <v>26134</v>
      </c>
    </row>
    <row r="6759" spans="1:20" customFormat="1" ht="15" x14ac:dyDescent="0.25">
      <c r="A6759" t="s">
        <v>35</v>
      </c>
      <c r="B6759" t="s">
        <v>61</v>
      </c>
      <c r="C6759" t="str">
        <f>"A0182641"</f>
        <v>A0182641</v>
      </c>
      <c r="D6759" t="s">
        <v>26135</v>
      </c>
      <c r="E6759" t="s">
        <v>26136</v>
      </c>
      <c r="F6759" t="s">
        <v>26137</v>
      </c>
      <c r="G6759" t="s">
        <v>899</v>
      </c>
      <c r="H6759">
        <v>1106</v>
      </c>
      <c r="I6759" t="s">
        <v>30</v>
      </c>
      <c r="J6759" t="s">
        <v>41</v>
      </c>
      <c r="K6759" t="s">
        <v>59</v>
      </c>
      <c r="Q6759">
        <v>0</v>
      </c>
      <c r="R6759">
        <v>34</v>
      </c>
      <c r="S6759">
        <v>34</v>
      </c>
      <c r="T6759" t="s">
        <v>26138</v>
      </c>
    </row>
    <row r="6760" spans="1:20" customFormat="1" ht="15" x14ac:dyDescent="0.25">
      <c r="A6760" t="s">
        <v>35</v>
      </c>
      <c r="B6760" t="s">
        <v>61</v>
      </c>
      <c r="C6760" t="str">
        <f>"A0182640"</f>
        <v>A0182640</v>
      </c>
      <c r="D6760" t="s">
        <v>26139</v>
      </c>
      <c r="E6760" t="s">
        <v>26140</v>
      </c>
      <c r="F6760" t="s">
        <v>25908</v>
      </c>
      <c r="G6760" t="s">
        <v>899</v>
      </c>
      <c r="H6760" t="s">
        <v>26141</v>
      </c>
      <c r="I6760" t="s">
        <v>30</v>
      </c>
      <c r="J6760" t="s">
        <v>41</v>
      </c>
      <c r="K6760" t="s">
        <v>59</v>
      </c>
      <c r="Q6760">
        <v>0</v>
      </c>
      <c r="R6760">
        <v>30</v>
      </c>
      <c r="S6760">
        <v>30</v>
      </c>
      <c r="T6760" t="s">
        <v>26142</v>
      </c>
    </row>
    <row r="6761" spans="1:20" customFormat="1" ht="15" x14ac:dyDescent="0.25">
      <c r="A6761" t="s">
        <v>35</v>
      </c>
      <c r="B6761" t="s">
        <v>61</v>
      </c>
      <c r="C6761" t="str">
        <f>"A0182639"</f>
        <v>A0182639</v>
      </c>
      <c r="D6761" t="s">
        <v>26143</v>
      </c>
      <c r="E6761" t="s">
        <v>26144</v>
      </c>
      <c r="F6761" t="s">
        <v>26137</v>
      </c>
      <c r="G6761" t="s">
        <v>899</v>
      </c>
      <c r="H6761" t="s">
        <v>26145</v>
      </c>
      <c r="I6761" t="s">
        <v>30</v>
      </c>
      <c r="J6761" t="s">
        <v>41</v>
      </c>
      <c r="K6761" t="s">
        <v>59</v>
      </c>
      <c r="Q6761">
        <v>0</v>
      </c>
      <c r="R6761">
        <v>0</v>
      </c>
      <c r="S6761">
        <v>0</v>
      </c>
    </row>
    <row r="6762" spans="1:20" customFormat="1" ht="15" x14ac:dyDescent="0.25">
      <c r="A6762" t="s">
        <v>35</v>
      </c>
      <c r="B6762" t="s">
        <v>61</v>
      </c>
      <c r="C6762" t="str">
        <f>"A0182638"</f>
        <v>A0182638</v>
      </c>
      <c r="D6762" t="s">
        <v>26146</v>
      </c>
      <c r="E6762" t="s">
        <v>26056</v>
      </c>
      <c r="F6762" t="s">
        <v>9621</v>
      </c>
      <c r="G6762" t="s">
        <v>899</v>
      </c>
      <c r="H6762" t="s">
        <v>26057</v>
      </c>
      <c r="I6762" t="s">
        <v>30</v>
      </c>
      <c r="J6762" t="s">
        <v>41</v>
      </c>
      <c r="K6762" t="s">
        <v>59</v>
      </c>
      <c r="Q6762">
        <v>0</v>
      </c>
      <c r="R6762">
        <v>0</v>
      </c>
      <c r="S6762">
        <v>0</v>
      </c>
      <c r="T6762" t="s">
        <v>26147</v>
      </c>
    </row>
    <row r="6763" spans="1:20" customFormat="1" ht="15" x14ac:dyDescent="0.25">
      <c r="A6763" t="s">
        <v>35</v>
      </c>
      <c r="B6763" t="s">
        <v>61</v>
      </c>
      <c r="C6763" t="str">
        <f>"A0182637"</f>
        <v>A0182637</v>
      </c>
      <c r="D6763" t="s">
        <v>26148</v>
      </c>
      <c r="E6763" t="s">
        <v>26149</v>
      </c>
      <c r="F6763" t="s">
        <v>8642</v>
      </c>
      <c r="G6763" t="s">
        <v>899</v>
      </c>
      <c r="H6763" t="s">
        <v>26150</v>
      </c>
      <c r="I6763" t="s">
        <v>30</v>
      </c>
      <c r="J6763" t="s">
        <v>41</v>
      </c>
      <c r="K6763" t="s">
        <v>59</v>
      </c>
      <c r="Q6763">
        <v>0</v>
      </c>
      <c r="R6763">
        <v>327</v>
      </c>
      <c r="S6763">
        <v>327</v>
      </c>
      <c r="T6763" t="s">
        <v>26151</v>
      </c>
    </row>
    <row r="6764" spans="1:20" customFormat="1" ht="15" x14ac:dyDescent="0.25">
      <c r="A6764" t="s">
        <v>35</v>
      </c>
      <c r="B6764" t="s">
        <v>61</v>
      </c>
      <c r="C6764" t="str">
        <f>"A0182636"</f>
        <v>A0182636</v>
      </c>
      <c r="D6764" t="s">
        <v>26152</v>
      </c>
      <c r="E6764" t="s">
        <v>26153</v>
      </c>
      <c r="F6764" t="s">
        <v>26154</v>
      </c>
      <c r="G6764" t="s">
        <v>899</v>
      </c>
      <c r="H6764" t="s">
        <v>26155</v>
      </c>
      <c r="I6764" t="s">
        <v>30</v>
      </c>
      <c r="J6764" t="s">
        <v>41</v>
      </c>
      <c r="K6764" t="s">
        <v>59</v>
      </c>
      <c r="Q6764">
        <v>0</v>
      </c>
      <c r="R6764">
        <v>18</v>
      </c>
      <c r="S6764">
        <v>18</v>
      </c>
      <c r="T6764" t="s">
        <v>26156</v>
      </c>
    </row>
    <row r="6765" spans="1:20" customFormat="1" ht="15" x14ac:dyDescent="0.25">
      <c r="A6765" t="s">
        <v>35</v>
      </c>
      <c r="B6765" t="s">
        <v>61</v>
      </c>
      <c r="C6765" t="str">
        <f>"A0182635"</f>
        <v>A0182635</v>
      </c>
      <c r="D6765" t="s">
        <v>26157</v>
      </c>
      <c r="E6765" t="s">
        <v>26158</v>
      </c>
      <c r="F6765" t="s">
        <v>26159</v>
      </c>
      <c r="G6765" t="s">
        <v>899</v>
      </c>
      <c r="H6765">
        <v>1821</v>
      </c>
      <c r="I6765" t="s">
        <v>30</v>
      </c>
      <c r="J6765" t="s">
        <v>41</v>
      </c>
      <c r="K6765" t="s">
        <v>59</v>
      </c>
      <c r="Q6765">
        <v>0</v>
      </c>
      <c r="R6765">
        <v>0</v>
      </c>
      <c r="S6765">
        <v>0</v>
      </c>
      <c r="T6765" t="s">
        <v>26160</v>
      </c>
    </row>
    <row r="6766" spans="1:20" customFormat="1" ht="15" x14ac:dyDescent="0.25">
      <c r="A6766" t="s">
        <v>35</v>
      </c>
      <c r="B6766" t="s">
        <v>61</v>
      </c>
      <c r="C6766" t="str">
        <f>"A0182634"</f>
        <v>A0182634</v>
      </c>
      <c r="D6766" t="s">
        <v>26161</v>
      </c>
      <c r="E6766" t="s">
        <v>26162</v>
      </c>
      <c r="F6766" t="s">
        <v>26163</v>
      </c>
      <c r="G6766" t="s">
        <v>899</v>
      </c>
      <c r="H6766" t="s">
        <v>26164</v>
      </c>
      <c r="I6766" t="s">
        <v>30</v>
      </c>
      <c r="J6766" t="s">
        <v>41</v>
      </c>
      <c r="K6766" t="s">
        <v>59</v>
      </c>
      <c r="Q6766">
        <v>0</v>
      </c>
      <c r="R6766">
        <v>101</v>
      </c>
      <c r="S6766">
        <v>101</v>
      </c>
      <c r="T6766" t="s">
        <v>26165</v>
      </c>
    </row>
    <row r="6767" spans="1:20" customFormat="1" ht="15" x14ac:dyDescent="0.25">
      <c r="A6767" t="s">
        <v>35</v>
      </c>
      <c r="B6767" t="s">
        <v>61</v>
      </c>
      <c r="C6767" t="str">
        <f>"A0182633"</f>
        <v>A0182633</v>
      </c>
      <c r="D6767" t="s">
        <v>26166</v>
      </c>
      <c r="E6767" t="s">
        <v>26167</v>
      </c>
      <c r="F6767" t="s">
        <v>21299</v>
      </c>
      <c r="G6767" t="s">
        <v>899</v>
      </c>
      <c r="H6767" t="s">
        <v>26168</v>
      </c>
      <c r="I6767" t="s">
        <v>30</v>
      </c>
      <c r="J6767" t="s">
        <v>41</v>
      </c>
      <c r="K6767" t="s">
        <v>59</v>
      </c>
      <c r="Q6767">
        <v>0</v>
      </c>
      <c r="R6767">
        <v>0</v>
      </c>
      <c r="S6767">
        <v>0</v>
      </c>
      <c r="T6767" t="s">
        <v>26169</v>
      </c>
    </row>
    <row r="6768" spans="1:20" customFormat="1" ht="15" x14ac:dyDescent="0.25">
      <c r="A6768" t="s">
        <v>35</v>
      </c>
      <c r="B6768" t="s">
        <v>61</v>
      </c>
      <c r="C6768" t="str">
        <f>"A0182632"</f>
        <v>A0182632</v>
      </c>
      <c r="D6768" t="s">
        <v>26170</v>
      </c>
      <c r="E6768" t="s">
        <v>26171</v>
      </c>
      <c r="F6768" t="s">
        <v>26172</v>
      </c>
      <c r="G6768" t="s">
        <v>899</v>
      </c>
      <c r="H6768" t="s">
        <v>26173</v>
      </c>
      <c r="I6768" t="s">
        <v>30</v>
      </c>
      <c r="J6768" t="s">
        <v>41</v>
      </c>
      <c r="K6768" t="s">
        <v>59</v>
      </c>
      <c r="Q6768">
        <v>0</v>
      </c>
      <c r="R6768">
        <v>0</v>
      </c>
      <c r="S6768">
        <v>0</v>
      </c>
      <c r="T6768" t="s">
        <v>26174</v>
      </c>
    </row>
    <row r="6769" spans="1:20" customFormat="1" ht="15" x14ac:dyDescent="0.25">
      <c r="A6769" t="s">
        <v>35</v>
      </c>
      <c r="B6769" t="s">
        <v>61</v>
      </c>
      <c r="C6769" t="str">
        <f>"A0182631"</f>
        <v>A0182631</v>
      </c>
      <c r="D6769" t="s">
        <v>26175</v>
      </c>
      <c r="E6769" t="s">
        <v>26176</v>
      </c>
      <c r="F6769" t="s">
        <v>8846</v>
      </c>
      <c r="G6769" t="s">
        <v>117</v>
      </c>
      <c r="H6769">
        <v>48235</v>
      </c>
      <c r="I6769" t="s">
        <v>30</v>
      </c>
      <c r="J6769" t="s">
        <v>41</v>
      </c>
      <c r="K6769" t="s">
        <v>59</v>
      </c>
      <c r="Q6769">
        <v>0</v>
      </c>
      <c r="R6769">
        <v>0</v>
      </c>
      <c r="S6769">
        <v>0</v>
      </c>
    </row>
    <row r="6770" spans="1:20" customFormat="1" ht="15" x14ac:dyDescent="0.25">
      <c r="A6770" t="s">
        <v>35</v>
      </c>
      <c r="B6770" t="s">
        <v>61</v>
      </c>
      <c r="C6770" t="str">
        <f>"A0182630"</f>
        <v>A0182630</v>
      </c>
      <c r="D6770" t="s">
        <v>26177</v>
      </c>
      <c r="E6770" t="s">
        <v>26178</v>
      </c>
      <c r="F6770" t="s">
        <v>1981</v>
      </c>
      <c r="G6770" t="s">
        <v>117</v>
      </c>
      <c r="H6770" t="s">
        <v>26179</v>
      </c>
      <c r="I6770" t="s">
        <v>30</v>
      </c>
      <c r="J6770" t="s">
        <v>41</v>
      </c>
      <c r="K6770" t="s">
        <v>59</v>
      </c>
      <c r="Q6770">
        <v>0</v>
      </c>
      <c r="R6770">
        <v>0</v>
      </c>
      <c r="S6770">
        <v>0</v>
      </c>
      <c r="T6770" t="s">
        <v>26180</v>
      </c>
    </row>
    <row r="6771" spans="1:20" customFormat="1" ht="15" x14ac:dyDescent="0.25">
      <c r="A6771" t="s">
        <v>35</v>
      </c>
      <c r="B6771" t="s">
        <v>11386</v>
      </c>
      <c r="C6771" t="str">
        <f>"A0182629"</f>
        <v>A0182629</v>
      </c>
      <c r="D6771" t="s">
        <v>26181</v>
      </c>
      <c r="E6771" t="s">
        <v>26182</v>
      </c>
      <c r="F6771" t="s">
        <v>3674</v>
      </c>
      <c r="G6771" t="s">
        <v>117</v>
      </c>
      <c r="H6771">
        <v>481545035</v>
      </c>
      <c r="I6771" t="s">
        <v>30</v>
      </c>
      <c r="J6771" t="s">
        <v>41</v>
      </c>
      <c r="K6771" t="s">
        <v>59</v>
      </c>
      <c r="Q6771">
        <v>0</v>
      </c>
      <c r="R6771">
        <v>0</v>
      </c>
      <c r="S6771">
        <v>0</v>
      </c>
      <c r="T6771" t="s">
        <v>26183</v>
      </c>
    </row>
    <row r="6772" spans="1:20" customFormat="1" ht="15" x14ac:dyDescent="0.25">
      <c r="A6772" t="s">
        <v>35</v>
      </c>
      <c r="B6772" t="s">
        <v>11386</v>
      </c>
      <c r="C6772" t="str">
        <f>"A0182628"</f>
        <v>A0182628</v>
      </c>
      <c r="D6772" t="s">
        <v>26184</v>
      </c>
      <c r="E6772" t="s">
        <v>26185</v>
      </c>
      <c r="F6772" t="s">
        <v>26186</v>
      </c>
      <c r="G6772" t="s">
        <v>117</v>
      </c>
      <c r="H6772">
        <v>480672406</v>
      </c>
      <c r="I6772" t="s">
        <v>30</v>
      </c>
      <c r="J6772" t="s">
        <v>41</v>
      </c>
      <c r="K6772" t="s">
        <v>59</v>
      </c>
      <c r="Q6772">
        <v>0</v>
      </c>
      <c r="R6772">
        <v>90</v>
      </c>
      <c r="S6772">
        <v>90</v>
      </c>
      <c r="T6772" t="s">
        <v>26187</v>
      </c>
    </row>
    <row r="6773" spans="1:20" customFormat="1" ht="15" x14ac:dyDescent="0.25">
      <c r="A6773" t="s">
        <v>35</v>
      </c>
      <c r="B6773" t="s">
        <v>61</v>
      </c>
      <c r="C6773" t="str">
        <f>"A0182627"</f>
        <v>A0182627</v>
      </c>
      <c r="D6773" t="s">
        <v>26188</v>
      </c>
      <c r="E6773" t="s">
        <v>26189</v>
      </c>
      <c r="F6773" t="s">
        <v>26190</v>
      </c>
      <c r="G6773" t="s">
        <v>99</v>
      </c>
      <c r="H6773" t="s">
        <v>26191</v>
      </c>
      <c r="I6773" t="s">
        <v>30</v>
      </c>
      <c r="J6773" t="s">
        <v>41</v>
      </c>
      <c r="K6773" t="s">
        <v>59</v>
      </c>
      <c r="Q6773">
        <v>0</v>
      </c>
      <c r="R6773">
        <v>0</v>
      </c>
      <c r="S6773">
        <v>0</v>
      </c>
    </row>
    <row r="6774" spans="1:20" customFormat="1" ht="15" x14ac:dyDescent="0.25">
      <c r="A6774" t="s">
        <v>35</v>
      </c>
      <c r="B6774" t="s">
        <v>61</v>
      </c>
      <c r="C6774" t="str">
        <f>"A0182626"</f>
        <v>A0182626</v>
      </c>
      <c r="D6774" t="s">
        <v>26192</v>
      </c>
      <c r="E6774" t="s">
        <v>26193</v>
      </c>
      <c r="F6774" t="s">
        <v>24541</v>
      </c>
      <c r="G6774" t="s">
        <v>99</v>
      </c>
      <c r="H6774" t="s">
        <v>26194</v>
      </c>
      <c r="I6774" t="s">
        <v>30</v>
      </c>
      <c r="J6774" t="s">
        <v>41</v>
      </c>
      <c r="K6774" t="s">
        <v>59</v>
      </c>
      <c r="Q6774">
        <v>0</v>
      </c>
      <c r="R6774">
        <v>0</v>
      </c>
      <c r="S6774">
        <v>0</v>
      </c>
      <c r="T6774" t="s">
        <v>26195</v>
      </c>
    </row>
    <row r="6775" spans="1:20" customFormat="1" ht="15" x14ac:dyDescent="0.25">
      <c r="A6775" t="s">
        <v>35</v>
      </c>
      <c r="B6775" t="s">
        <v>61</v>
      </c>
      <c r="C6775" t="str">
        <f>"A0182625"</f>
        <v>A0182625</v>
      </c>
      <c r="D6775" t="s">
        <v>26196</v>
      </c>
      <c r="E6775" t="s">
        <v>26197</v>
      </c>
      <c r="F6775" t="s">
        <v>23426</v>
      </c>
      <c r="G6775" t="s">
        <v>71</v>
      </c>
      <c r="H6775">
        <v>53012</v>
      </c>
      <c r="I6775" t="s">
        <v>30</v>
      </c>
      <c r="J6775" t="s">
        <v>41</v>
      </c>
      <c r="K6775" t="s">
        <v>59</v>
      </c>
      <c r="Q6775">
        <v>0</v>
      </c>
      <c r="R6775">
        <v>0</v>
      </c>
      <c r="S6775">
        <v>0</v>
      </c>
      <c r="T6775" t="s">
        <v>26198</v>
      </c>
    </row>
    <row r="6776" spans="1:20" customFormat="1" ht="15" x14ac:dyDescent="0.25">
      <c r="A6776" t="s">
        <v>35</v>
      </c>
      <c r="B6776" t="s">
        <v>61</v>
      </c>
      <c r="C6776" t="str">
        <f>"A0182624"</f>
        <v>A0182624</v>
      </c>
      <c r="D6776" t="s">
        <v>26199</v>
      </c>
      <c r="E6776" t="s">
        <v>26200</v>
      </c>
      <c r="F6776" t="s">
        <v>1373</v>
      </c>
      <c r="G6776" t="s">
        <v>71</v>
      </c>
      <c r="H6776">
        <v>53711</v>
      </c>
      <c r="I6776" t="s">
        <v>30</v>
      </c>
      <c r="J6776" t="s">
        <v>41</v>
      </c>
      <c r="K6776" t="s">
        <v>59</v>
      </c>
      <c r="Q6776">
        <v>0</v>
      </c>
      <c r="R6776">
        <v>0</v>
      </c>
      <c r="S6776">
        <v>0</v>
      </c>
    </row>
    <row r="6777" spans="1:20" customFormat="1" ht="15" x14ac:dyDescent="0.25">
      <c r="A6777" t="s">
        <v>35</v>
      </c>
      <c r="B6777" t="s">
        <v>61</v>
      </c>
      <c r="C6777" t="str">
        <f>"A0182623"</f>
        <v>A0182623</v>
      </c>
      <c r="D6777" t="s">
        <v>26093</v>
      </c>
      <c r="E6777" t="s">
        <v>26201</v>
      </c>
      <c r="F6777" t="s">
        <v>11795</v>
      </c>
      <c r="G6777" t="s">
        <v>71</v>
      </c>
      <c r="H6777">
        <v>542206380</v>
      </c>
      <c r="I6777" t="s">
        <v>30</v>
      </c>
      <c r="J6777" t="s">
        <v>41</v>
      </c>
      <c r="K6777" t="s">
        <v>59</v>
      </c>
      <c r="Q6777">
        <v>0</v>
      </c>
      <c r="R6777">
        <v>509</v>
      </c>
      <c r="S6777">
        <v>509</v>
      </c>
      <c r="T6777" t="s">
        <v>26094</v>
      </c>
    </row>
    <row r="6778" spans="1:20" customFormat="1" ht="15" x14ac:dyDescent="0.25">
      <c r="A6778" t="s">
        <v>35</v>
      </c>
      <c r="B6778" t="s">
        <v>11871</v>
      </c>
      <c r="C6778" t="str">
        <f>"A0182622"</f>
        <v>A0182622</v>
      </c>
      <c r="D6778" t="s">
        <v>26202</v>
      </c>
      <c r="E6778" t="s">
        <v>26203</v>
      </c>
      <c r="F6778" t="s">
        <v>2307</v>
      </c>
      <c r="G6778" t="s">
        <v>65</v>
      </c>
      <c r="H6778">
        <v>441055016</v>
      </c>
      <c r="I6778" t="s">
        <v>30</v>
      </c>
      <c r="J6778" t="s">
        <v>41</v>
      </c>
      <c r="K6778" t="s">
        <v>59</v>
      </c>
      <c r="Q6778">
        <v>0</v>
      </c>
      <c r="R6778">
        <v>0</v>
      </c>
      <c r="S6778">
        <v>0</v>
      </c>
    </row>
    <row r="6779" spans="1:20" customFormat="1" ht="15" x14ac:dyDescent="0.25">
      <c r="A6779" t="s">
        <v>35</v>
      </c>
      <c r="B6779" t="s">
        <v>11871</v>
      </c>
      <c r="C6779" t="str">
        <f>"A0182621"</f>
        <v>A0182621</v>
      </c>
      <c r="D6779" t="s">
        <v>26204</v>
      </c>
      <c r="E6779" t="s">
        <v>26205</v>
      </c>
      <c r="F6779" t="s">
        <v>64</v>
      </c>
      <c r="G6779" t="s">
        <v>65</v>
      </c>
      <c r="H6779">
        <v>432121855</v>
      </c>
      <c r="I6779" t="s">
        <v>30</v>
      </c>
      <c r="J6779" t="s">
        <v>41</v>
      </c>
      <c r="K6779" t="s">
        <v>59</v>
      </c>
      <c r="Q6779">
        <v>0</v>
      </c>
      <c r="R6779">
        <v>175</v>
      </c>
      <c r="S6779">
        <v>175</v>
      </c>
      <c r="T6779" t="s">
        <v>26206</v>
      </c>
    </row>
    <row r="6780" spans="1:20" customFormat="1" ht="15" x14ac:dyDescent="0.25">
      <c r="A6780" t="s">
        <v>35</v>
      </c>
      <c r="B6780" t="s">
        <v>61</v>
      </c>
      <c r="C6780" t="str">
        <f>"A0182620"</f>
        <v>A0182620</v>
      </c>
      <c r="D6780" t="s">
        <v>26207</v>
      </c>
      <c r="E6780" t="s">
        <v>11883</v>
      </c>
      <c r="F6780" t="s">
        <v>11884</v>
      </c>
      <c r="G6780" t="s">
        <v>71</v>
      </c>
      <c r="H6780" t="s">
        <v>26208</v>
      </c>
      <c r="I6780" t="s">
        <v>30</v>
      </c>
      <c r="J6780" t="s">
        <v>41</v>
      </c>
      <c r="K6780" t="s">
        <v>59</v>
      </c>
      <c r="Q6780">
        <v>0</v>
      </c>
      <c r="R6780">
        <v>0</v>
      </c>
      <c r="S6780">
        <v>0</v>
      </c>
      <c r="T6780" t="s">
        <v>26209</v>
      </c>
    </row>
    <row r="6781" spans="1:20" customFormat="1" ht="15" x14ac:dyDescent="0.25">
      <c r="A6781" t="s">
        <v>35</v>
      </c>
      <c r="B6781" t="s">
        <v>61</v>
      </c>
      <c r="C6781" t="str">
        <f>"A0182619"</f>
        <v>A0182619</v>
      </c>
      <c r="D6781" t="s">
        <v>26210</v>
      </c>
      <c r="E6781" t="s">
        <v>26211</v>
      </c>
      <c r="F6781" t="s">
        <v>10577</v>
      </c>
      <c r="G6781" t="s">
        <v>71</v>
      </c>
      <c r="H6781">
        <v>540161861</v>
      </c>
      <c r="I6781" t="s">
        <v>30</v>
      </c>
      <c r="J6781" t="s">
        <v>41</v>
      </c>
      <c r="K6781" t="s">
        <v>59</v>
      </c>
      <c r="Q6781">
        <v>0</v>
      </c>
      <c r="R6781">
        <v>0</v>
      </c>
      <c r="S6781">
        <v>0</v>
      </c>
      <c r="T6781" t="s">
        <v>26212</v>
      </c>
    </row>
    <row r="6782" spans="1:20" customFormat="1" ht="15" x14ac:dyDescent="0.25">
      <c r="A6782" t="s">
        <v>35</v>
      </c>
      <c r="B6782" t="s">
        <v>61</v>
      </c>
      <c r="C6782" t="str">
        <f>"A0182618"</f>
        <v>A0182618</v>
      </c>
      <c r="D6782" t="s">
        <v>26213</v>
      </c>
      <c r="E6782" t="s">
        <v>26214</v>
      </c>
      <c r="F6782" t="s">
        <v>26215</v>
      </c>
      <c r="G6782" t="s">
        <v>71</v>
      </c>
      <c r="H6782">
        <v>546307248</v>
      </c>
      <c r="I6782" t="s">
        <v>30</v>
      </c>
      <c r="J6782" t="s">
        <v>41</v>
      </c>
      <c r="K6782" t="s">
        <v>59</v>
      </c>
      <c r="Q6782">
        <v>0</v>
      </c>
      <c r="R6782">
        <v>0</v>
      </c>
      <c r="S6782">
        <v>0</v>
      </c>
      <c r="T6782" t="s">
        <v>26216</v>
      </c>
    </row>
    <row r="6783" spans="1:20" customFormat="1" ht="15" x14ac:dyDescent="0.25">
      <c r="A6783" t="s">
        <v>35</v>
      </c>
      <c r="B6783" t="s">
        <v>11871</v>
      </c>
      <c r="C6783" t="str">
        <f>"A0182617"</f>
        <v>A0182617</v>
      </c>
      <c r="D6783" t="s">
        <v>2472</v>
      </c>
      <c r="E6783" t="s">
        <v>26217</v>
      </c>
      <c r="F6783" t="s">
        <v>1969</v>
      </c>
      <c r="G6783" t="s">
        <v>65</v>
      </c>
      <c r="H6783">
        <v>430167693</v>
      </c>
      <c r="I6783" t="s">
        <v>30</v>
      </c>
      <c r="J6783" t="s">
        <v>41</v>
      </c>
      <c r="K6783" t="s">
        <v>59</v>
      </c>
      <c r="Q6783">
        <v>0</v>
      </c>
      <c r="R6783">
        <v>0</v>
      </c>
      <c r="S6783">
        <v>0</v>
      </c>
    </row>
    <row r="6784" spans="1:20" customFormat="1" ht="15" x14ac:dyDescent="0.25">
      <c r="A6784" t="s">
        <v>35</v>
      </c>
      <c r="B6784" t="s">
        <v>23597</v>
      </c>
      <c r="C6784" t="str">
        <f>"A0182616"</f>
        <v>A0182616</v>
      </c>
      <c r="D6784" t="s">
        <v>26218</v>
      </c>
      <c r="E6784" t="s">
        <v>26053</v>
      </c>
      <c r="F6784" t="s">
        <v>23599</v>
      </c>
      <c r="G6784" t="s">
        <v>65</v>
      </c>
      <c r="H6784">
        <v>450131787</v>
      </c>
      <c r="I6784" t="s">
        <v>30</v>
      </c>
      <c r="J6784" t="s">
        <v>41</v>
      </c>
      <c r="K6784" t="s">
        <v>59</v>
      </c>
      <c r="Q6784">
        <v>0</v>
      </c>
      <c r="R6784">
        <v>50</v>
      </c>
      <c r="S6784">
        <v>50</v>
      </c>
      <c r="T6784" t="s">
        <v>26219</v>
      </c>
    </row>
    <row r="6785" spans="1:20" customFormat="1" ht="15" x14ac:dyDescent="0.25">
      <c r="A6785" t="s">
        <v>35</v>
      </c>
      <c r="B6785" t="s">
        <v>61</v>
      </c>
      <c r="C6785" t="str">
        <f>"A0182615"</f>
        <v>A0182615</v>
      </c>
      <c r="D6785" t="s">
        <v>26220</v>
      </c>
      <c r="E6785" t="s">
        <v>26221</v>
      </c>
      <c r="F6785" t="s">
        <v>8198</v>
      </c>
      <c r="G6785" t="s">
        <v>214</v>
      </c>
      <c r="H6785">
        <v>28803</v>
      </c>
      <c r="I6785" t="s">
        <v>30</v>
      </c>
      <c r="J6785" t="s">
        <v>41</v>
      </c>
      <c r="K6785" t="s">
        <v>59</v>
      </c>
      <c r="Q6785">
        <v>0</v>
      </c>
      <c r="R6785">
        <v>124</v>
      </c>
      <c r="S6785">
        <v>124</v>
      </c>
      <c r="T6785" t="s">
        <v>26222</v>
      </c>
    </row>
    <row r="6786" spans="1:20" customFormat="1" ht="15" x14ac:dyDescent="0.25">
      <c r="A6786" t="s">
        <v>35</v>
      </c>
      <c r="B6786" t="s">
        <v>61</v>
      </c>
      <c r="C6786" t="str">
        <f>"A0182614"</f>
        <v>A0182614</v>
      </c>
      <c r="D6786" t="s">
        <v>26223</v>
      </c>
      <c r="E6786" t="s">
        <v>26224</v>
      </c>
      <c r="F6786" t="s">
        <v>22478</v>
      </c>
      <c r="G6786" t="s">
        <v>214</v>
      </c>
      <c r="H6786" t="s">
        <v>26225</v>
      </c>
      <c r="I6786" t="s">
        <v>30</v>
      </c>
      <c r="J6786" t="s">
        <v>41</v>
      </c>
      <c r="K6786" t="s">
        <v>59</v>
      </c>
      <c r="Q6786">
        <v>0</v>
      </c>
      <c r="R6786">
        <v>60</v>
      </c>
      <c r="S6786">
        <v>60</v>
      </c>
    </row>
    <row r="6787" spans="1:20" customFormat="1" ht="15" x14ac:dyDescent="0.25">
      <c r="A6787" t="s">
        <v>35</v>
      </c>
      <c r="B6787" t="s">
        <v>61</v>
      </c>
      <c r="C6787" t="str">
        <f>"A0182613"</f>
        <v>A0182613</v>
      </c>
      <c r="D6787" t="s">
        <v>26226</v>
      </c>
      <c r="E6787" t="s">
        <v>26227</v>
      </c>
      <c r="F6787" t="s">
        <v>1373</v>
      </c>
      <c r="G6787" t="s">
        <v>71</v>
      </c>
      <c r="H6787" t="s">
        <v>26228</v>
      </c>
      <c r="I6787" t="s">
        <v>30</v>
      </c>
      <c r="J6787" t="s">
        <v>41</v>
      </c>
      <c r="K6787" t="s">
        <v>59</v>
      </c>
      <c r="Q6787">
        <v>0</v>
      </c>
      <c r="R6787">
        <v>0</v>
      </c>
      <c r="S6787">
        <v>0</v>
      </c>
      <c r="T6787" t="s">
        <v>26229</v>
      </c>
    </row>
    <row r="6788" spans="1:20" customFormat="1" ht="15" x14ac:dyDescent="0.25">
      <c r="A6788" t="s">
        <v>35</v>
      </c>
      <c r="B6788" t="s">
        <v>61</v>
      </c>
      <c r="C6788" t="str">
        <f>"A0182612"</f>
        <v>A0182612</v>
      </c>
      <c r="D6788" t="s">
        <v>26230</v>
      </c>
      <c r="E6788" t="s">
        <v>26231</v>
      </c>
      <c r="F6788" t="s">
        <v>70</v>
      </c>
      <c r="G6788" t="s">
        <v>71</v>
      </c>
      <c r="H6788">
        <v>54020</v>
      </c>
      <c r="I6788" t="s">
        <v>30</v>
      </c>
      <c r="J6788" t="s">
        <v>41</v>
      </c>
      <c r="K6788" t="s">
        <v>59</v>
      </c>
      <c r="Q6788">
        <v>0</v>
      </c>
      <c r="R6788">
        <v>18</v>
      </c>
      <c r="S6788">
        <v>18</v>
      </c>
    </row>
    <row r="6789" spans="1:20" customFormat="1" ht="15" x14ac:dyDescent="0.25">
      <c r="A6789" t="s">
        <v>35</v>
      </c>
      <c r="B6789" t="s">
        <v>11871</v>
      </c>
      <c r="C6789" t="str">
        <f>"A0182611"</f>
        <v>A0182611</v>
      </c>
      <c r="D6789" t="s">
        <v>26232</v>
      </c>
      <c r="E6789" t="s">
        <v>26233</v>
      </c>
      <c r="F6789" t="s">
        <v>26234</v>
      </c>
      <c r="G6789" t="s">
        <v>65</v>
      </c>
      <c r="H6789">
        <v>435452047</v>
      </c>
      <c r="I6789" t="s">
        <v>30</v>
      </c>
      <c r="J6789" t="s">
        <v>41</v>
      </c>
      <c r="K6789" t="s">
        <v>59</v>
      </c>
      <c r="Q6789">
        <v>0</v>
      </c>
      <c r="R6789">
        <v>0</v>
      </c>
      <c r="S6789">
        <v>0</v>
      </c>
      <c r="T6789" t="s">
        <v>26235</v>
      </c>
    </row>
    <row r="6790" spans="1:20" customFormat="1" ht="15" x14ac:dyDescent="0.25">
      <c r="A6790" t="s">
        <v>35</v>
      </c>
      <c r="B6790" t="s">
        <v>11871</v>
      </c>
      <c r="C6790" t="str">
        <f>"A0182610"</f>
        <v>A0182610</v>
      </c>
      <c r="D6790" t="s">
        <v>26236</v>
      </c>
      <c r="E6790" t="s">
        <v>26237</v>
      </c>
      <c r="F6790" t="s">
        <v>8085</v>
      </c>
      <c r="G6790" t="s">
        <v>65</v>
      </c>
      <c r="H6790">
        <v>45690</v>
      </c>
      <c r="I6790" t="s">
        <v>30</v>
      </c>
      <c r="J6790" t="s">
        <v>41</v>
      </c>
      <c r="K6790" t="s">
        <v>59</v>
      </c>
      <c r="Q6790">
        <v>0</v>
      </c>
      <c r="R6790">
        <v>50</v>
      </c>
      <c r="S6790">
        <v>50</v>
      </c>
      <c r="T6790" t="s">
        <v>26238</v>
      </c>
    </row>
    <row r="6791" spans="1:20" customFormat="1" ht="15" x14ac:dyDescent="0.25">
      <c r="A6791" t="s">
        <v>35</v>
      </c>
      <c r="B6791" t="s">
        <v>61</v>
      </c>
      <c r="C6791" t="str">
        <f>"A0182609"</f>
        <v>A0182609</v>
      </c>
      <c r="D6791" t="s">
        <v>26239</v>
      </c>
      <c r="E6791" t="s">
        <v>26240</v>
      </c>
      <c r="F6791" t="s">
        <v>11919</v>
      </c>
      <c r="G6791" t="s">
        <v>65</v>
      </c>
      <c r="H6791">
        <v>450568769</v>
      </c>
      <c r="I6791" t="s">
        <v>30</v>
      </c>
      <c r="J6791" t="s">
        <v>41</v>
      </c>
      <c r="K6791" t="s">
        <v>59</v>
      </c>
      <c r="Q6791">
        <v>0</v>
      </c>
      <c r="R6791">
        <v>50</v>
      </c>
      <c r="S6791">
        <v>50</v>
      </c>
      <c r="T6791" t="s">
        <v>26241</v>
      </c>
    </row>
    <row r="6792" spans="1:20" customFormat="1" ht="15" x14ac:dyDescent="0.25">
      <c r="A6792" t="s">
        <v>35</v>
      </c>
      <c r="B6792" t="s">
        <v>61</v>
      </c>
      <c r="C6792" t="str">
        <f>"A0182608"</f>
        <v>A0182608</v>
      </c>
      <c r="D6792" t="s">
        <v>26242</v>
      </c>
      <c r="E6792" t="s">
        <v>26243</v>
      </c>
      <c r="F6792" t="s">
        <v>15684</v>
      </c>
      <c r="G6792" t="s">
        <v>214</v>
      </c>
      <c r="H6792">
        <v>27106</v>
      </c>
      <c r="I6792" t="s">
        <v>30</v>
      </c>
      <c r="J6792" t="s">
        <v>41</v>
      </c>
      <c r="K6792" t="s">
        <v>59</v>
      </c>
      <c r="Q6792">
        <v>0</v>
      </c>
      <c r="R6792">
        <v>0</v>
      </c>
      <c r="S6792">
        <v>0</v>
      </c>
    </row>
    <row r="6793" spans="1:20" customFormat="1" ht="15" x14ac:dyDescent="0.25">
      <c r="A6793" t="s">
        <v>35</v>
      </c>
      <c r="B6793" t="s">
        <v>61</v>
      </c>
      <c r="C6793" t="str">
        <f>"A0182607"</f>
        <v>A0182607</v>
      </c>
      <c r="D6793" t="s">
        <v>26244</v>
      </c>
      <c r="E6793" t="s">
        <v>26245</v>
      </c>
      <c r="F6793" t="s">
        <v>638</v>
      </c>
      <c r="G6793" t="s">
        <v>214</v>
      </c>
      <c r="H6793" t="s">
        <v>26246</v>
      </c>
      <c r="I6793" t="s">
        <v>30</v>
      </c>
      <c r="J6793" t="s">
        <v>41</v>
      </c>
      <c r="K6793" t="s">
        <v>59</v>
      </c>
      <c r="Q6793">
        <v>0</v>
      </c>
      <c r="R6793">
        <v>0</v>
      </c>
      <c r="S6793">
        <v>0</v>
      </c>
      <c r="T6793" t="s">
        <v>26247</v>
      </c>
    </row>
    <row r="6794" spans="1:20" customFormat="1" ht="15" x14ac:dyDescent="0.25">
      <c r="A6794" t="s">
        <v>35</v>
      </c>
      <c r="B6794" t="s">
        <v>61</v>
      </c>
      <c r="C6794" t="str">
        <f>"A0182606"</f>
        <v>A0182606</v>
      </c>
      <c r="D6794" t="s">
        <v>26248</v>
      </c>
      <c r="E6794" t="s">
        <v>26249</v>
      </c>
      <c r="F6794" t="s">
        <v>26250</v>
      </c>
      <c r="G6794" t="s">
        <v>899</v>
      </c>
      <c r="H6794">
        <v>1844</v>
      </c>
      <c r="I6794" t="s">
        <v>30</v>
      </c>
      <c r="J6794" t="s">
        <v>41</v>
      </c>
      <c r="K6794" t="s">
        <v>59</v>
      </c>
      <c r="Q6794">
        <v>0</v>
      </c>
      <c r="R6794">
        <v>0</v>
      </c>
      <c r="S6794">
        <v>0</v>
      </c>
      <c r="T6794" t="s">
        <v>26251</v>
      </c>
    </row>
    <row r="6795" spans="1:20" customFormat="1" ht="15" x14ac:dyDescent="0.25">
      <c r="A6795" t="s">
        <v>35</v>
      </c>
      <c r="B6795" t="s">
        <v>61</v>
      </c>
      <c r="C6795" t="str">
        <f>"A0182605"</f>
        <v>A0182605</v>
      </c>
      <c r="D6795" t="s">
        <v>26252</v>
      </c>
      <c r="E6795" t="s">
        <v>26253</v>
      </c>
      <c r="F6795" t="s">
        <v>25591</v>
      </c>
      <c r="G6795" t="s">
        <v>899</v>
      </c>
      <c r="H6795" t="s">
        <v>26254</v>
      </c>
      <c r="I6795" t="s">
        <v>30</v>
      </c>
      <c r="J6795" t="s">
        <v>41</v>
      </c>
      <c r="K6795" t="s">
        <v>59</v>
      </c>
      <c r="Q6795">
        <v>0</v>
      </c>
      <c r="R6795">
        <v>27</v>
      </c>
      <c r="S6795">
        <v>27</v>
      </c>
      <c r="T6795" t="s">
        <v>26255</v>
      </c>
    </row>
    <row r="6796" spans="1:20" customFormat="1" ht="15" x14ac:dyDescent="0.25">
      <c r="A6796" t="s">
        <v>35</v>
      </c>
      <c r="B6796" t="s">
        <v>61</v>
      </c>
      <c r="C6796" t="str">
        <f>"A0182604"</f>
        <v>A0182604</v>
      </c>
      <c r="D6796" t="s">
        <v>26256</v>
      </c>
      <c r="E6796" t="s">
        <v>26257</v>
      </c>
      <c r="F6796" t="s">
        <v>26137</v>
      </c>
      <c r="G6796" t="s">
        <v>899</v>
      </c>
      <c r="H6796" t="s">
        <v>26258</v>
      </c>
      <c r="I6796" t="s">
        <v>30</v>
      </c>
      <c r="J6796" t="s">
        <v>41</v>
      </c>
      <c r="K6796" t="s">
        <v>59</v>
      </c>
      <c r="Q6796">
        <v>0</v>
      </c>
      <c r="R6796">
        <v>0</v>
      </c>
      <c r="S6796">
        <v>0</v>
      </c>
      <c r="T6796" t="s">
        <v>26259</v>
      </c>
    </row>
    <row r="6797" spans="1:20" customFormat="1" ht="15" x14ac:dyDescent="0.25">
      <c r="A6797" t="s">
        <v>35</v>
      </c>
      <c r="B6797" t="s">
        <v>61</v>
      </c>
      <c r="C6797" t="str">
        <f>"A0182603"</f>
        <v>A0182603</v>
      </c>
      <c r="D6797" t="s">
        <v>26260</v>
      </c>
      <c r="E6797" t="s">
        <v>26261</v>
      </c>
      <c r="F6797" t="s">
        <v>10577</v>
      </c>
      <c r="G6797" t="s">
        <v>71</v>
      </c>
      <c r="H6797" t="s">
        <v>26262</v>
      </c>
      <c r="I6797" t="s">
        <v>30</v>
      </c>
      <c r="J6797" t="s">
        <v>41</v>
      </c>
      <c r="K6797" t="s">
        <v>59</v>
      </c>
      <c r="Q6797">
        <v>0</v>
      </c>
      <c r="R6797">
        <v>0</v>
      </c>
      <c r="S6797">
        <v>0</v>
      </c>
      <c r="T6797" t="s">
        <v>26263</v>
      </c>
    </row>
    <row r="6798" spans="1:20" customFormat="1" ht="15" x14ac:dyDescent="0.25">
      <c r="A6798" t="s">
        <v>35</v>
      </c>
      <c r="B6798" t="s">
        <v>61</v>
      </c>
      <c r="C6798" t="str">
        <f>"A0182602"</f>
        <v>A0182602</v>
      </c>
      <c r="D6798" t="s">
        <v>26264</v>
      </c>
      <c r="E6798" t="s">
        <v>26265</v>
      </c>
      <c r="F6798" t="s">
        <v>26266</v>
      </c>
      <c r="G6798" t="s">
        <v>899</v>
      </c>
      <c r="H6798" t="s">
        <v>26267</v>
      </c>
      <c r="I6798" t="s">
        <v>30</v>
      </c>
      <c r="J6798" t="s">
        <v>41</v>
      </c>
      <c r="K6798" t="s">
        <v>59</v>
      </c>
      <c r="Q6798">
        <v>0</v>
      </c>
      <c r="R6798">
        <v>0</v>
      </c>
      <c r="S6798">
        <v>0</v>
      </c>
      <c r="T6798" t="s">
        <v>26268</v>
      </c>
    </row>
    <row r="6799" spans="1:20" customFormat="1" ht="15" x14ac:dyDescent="0.25">
      <c r="A6799" t="s">
        <v>35</v>
      </c>
      <c r="B6799" t="s">
        <v>61</v>
      </c>
      <c r="C6799" t="str">
        <f>"A0182601"</f>
        <v>A0182601</v>
      </c>
      <c r="D6799" t="s">
        <v>26269</v>
      </c>
      <c r="E6799" t="s">
        <v>26270</v>
      </c>
      <c r="F6799" t="s">
        <v>26271</v>
      </c>
      <c r="G6799" t="s">
        <v>899</v>
      </c>
      <c r="H6799" t="s">
        <v>26272</v>
      </c>
      <c r="I6799" t="s">
        <v>30</v>
      </c>
      <c r="J6799" t="s">
        <v>41</v>
      </c>
      <c r="K6799" t="s">
        <v>59</v>
      </c>
      <c r="Q6799">
        <v>0</v>
      </c>
      <c r="R6799">
        <v>66</v>
      </c>
      <c r="S6799">
        <v>66</v>
      </c>
    </row>
    <row r="6800" spans="1:20" customFormat="1" ht="15" x14ac:dyDescent="0.25">
      <c r="A6800" t="s">
        <v>35</v>
      </c>
      <c r="B6800" t="s">
        <v>61</v>
      </c>
      <c r="C6800" t="str">
        <f>"A0182600"</f>
        <v>A0182600</v>
      </c>
      <c r="D6800" t="s">
        <v>26273</v>
      </c>
      <c r="E6800" t="s">
        <v>26274</v>
      </c>
      <c r="F6800" t="s">
        <v>4619</v>
      </c>
      <c r="G6800" t="s">
        <v>899</v>
      </c>
      <c r="H6800" t="s">
        <v>26275</v>
      </c>
      <c r="I6800" t="s">
        <v>30</v>
      </c>
      <c r="J6800" t="s">
        <v>41</v>
      </c>
      <c r="K6800" t="s">
        <v>59</v>
      </c>
      <c r="Q6800">
        <v>0</v>
      </c>
      <c r="R6800">
        <v>0</v>
      </c>
      <c r="S6800">
        <v>0</v>
      </c>
      <c r="T6800" t="s">
        <v>26276</v>
      </c>
    </row>
    <row r="6801" spans="1:20" customFormat="1" ht="15" x14ac:dyDescent="0.25">
      <c r="A6801" t="s">
        <v>35</v>
      </c>
      <c r="B6801" t="s">
        <v>61</v>
      </c>
      <c r="C6801" t="str">
        <f>"A0182599"</f>
        <v>A0182599</v>
      </c>
      <c r="D6801" t="s">
        <v>26277</v>
      </c>
      <c r="E6801" t="s">
        <v>26278</v>
      </c>
      <c r="F6801" t="s">
        <v>26279</v>
      </c>
      <c r="G6801" t="s">
        <v>899</v>
      </c>
      <c r="H6801">
        <v>1845</v>
      </c>
      <c r="I6801" t="s">
        <v>30</v>
      </c>
      <c r="J6801" t="s">
        <v>41</v>
      </c>
      <c r="K6801" t="s">
        <v>59</v>
      </c>
      <c r="Q6801">
        <v>0</v>
      </c>
      <c r="R6801">
        <v>0</v>
      </c>
      <c r="S6801">
        <v>0</v>
      </c>
      <c r="T6801" t="s">
        <v>26280</v>
      </c>
    </row>
    <row r="6802" spans="1:20" customFormat="1" ht="15" x14ac:dyDescent="0.25">
      <c r="A6802" t="s">
        <v>35</v>
      </c>
      <c r="B6802" t="s">
        <v>61</v>
      </c>
      <c r="C6802" t="str">
        <f>"A0182598"</f>
        <v>A0182598</v>
      </c>
      <c r="D6802" t="s">
        <v>26281</v>
      </c>
      <c r="E6802" t="s">
        <v>26282</v>
      </c>
      <c r="F6802" t="s">
        <v>26283</v>
      </c>
      <c r="G6802" t="s">
        <v>899</v>
      </c>
      <c r="H6802" t="s">
        <v>26284</v>
      </c>
      <c r="I6802" t="s">
        <v>30</v>
      </c>
      <c r="J6802" t="s">
        <v>41</v>
      </c>
      <c r="K6802" t="s">
        <v>59</v>
      </c>
      <c r="Q6802">
        <v>0</v>
      </c>
      <c r="R6802">
        <v>72</v>
      </c>
      <c r="S6802">
        <v>72</v>
      </c>
      <c r="T6802" t="s">
        <v>26285</v>
      </c>
    </row>
    <row r="6803" spans="1:20" customFormat="1" ht="15" x14ac:dyDescent="0.25">
      <c r="A6803" t="s">
        <v>35</v>
      </c>
      <c r="B6803" t="s">
        <v>61</v>
      </c>
      <c r="C6803" t="str">
        <f>"A0182597"</f>
        <v>A0182597</v>
      </c>
      <c r="D6803" t="s">
        <v>26286</v>
      </c>
      <c r="E6803" t="s">
        <v>26287</v>
      </c>
      <c r="F6803" t="s">
        <v>15601</v>
      </c>
      <c r="G6803" t="s">
        <v>899</v>
      </c>
      <c r="H6803">
        <v>1562</v>
      </c>
      <c r="I6803" t="s">
        <v>30</v>
      </c>
      <c r="J6803" t="s">
        <v>41</v>
      </c>
      <c r="K6803" t="s">
        <v>59</v>
      </c>
      <c r="Q6803">
        <v>0</v>
      </c>
      <c r="R6803">
        <v>0</v>
      </c>
      <c r="S6803">
        <v>0</v>
      </c>
      <c r="T6803" t="s">
        <v>26288</v>
      </c>
    </row>
    <row r="6804" spans="1:20" customFormat="1" ht="15" x14ac:dyDescent="0.25">
      <c r="A6804" t="s">
        <v>35</v>
      </c>
      <c r="B6804" t="s">
        <v>61</v>
      </c>
      <c r="C6804" t="str">
        <f>"A0182596"</f>
        <v>A0182596</v>
      </c>
      <c r="D6804" t="s">
        <v>26289</v>
      </c>
      <c r="E6804" t="s">
        <v>26290</v>
      </c>
      <c r="F6804" t="s">
        <v>638</v>
      </c>
      <c r="G6804" t="s">
        <v>899</v>
      </c>
      <c r="H6804" t="s">
        <v>26291</v>
      </c>
      <c r="I6804" t="s">
        <v>30</v>
      </c>
      <c r="J6804" t="s">
        <v>41</v>
      </c>
      <c r="K6804" t="s">
        <v>59</v>
      </c>
      <c r="Q6804">
        <v>0</v>
      </c>
      <c r="R6804">
        <v>0</v>
      </c>
      <c r="S6804">
        <v>0</v>
      </c>
      <c r="T6804" t="s">
        <v>26292</v>
      </c>
    </row>
    <row r="6805" spans="1:20" customFormat="1" ht="15" x14ac:dyDescent="0.25">
      <c r="A6805" t="s">
        <v>35</v>
      </c>
      <c r="B6805" t="s">
        <v>61</v>
      </c>
      <c r="C6805" t="str">
        <f>"A0182595"</f>
        <v>A0182595</v>
      </c>
      <c r="D6805" t="s">
        <v>26293</v>
      </c>
      <c r="E6805" t="s">
        <v>26294</v>
      </c>
      <c r="F6805" t="s">
        <v>25941</v>
      </c>
      <c r="G6805" t="s">
        <v>899</v>
      </c>
      <c r="H6805" t="s">
        <v>26295</v>
      </c>
      <c r="I6805" t="s">
        <v>30</v>
      </c>
      <c r="J6805" t="s">
        <v>41</v>
      </c>
      <c r="K6805" t="s">
        <v>59</v>
      </c>
      <c r="Q6805">
        <v>0</v>
      </c>
      <c r="R6805">
        <v>0</v>
      </c>
      <c r="S6805">
        <v>0</v>
      </c>
      <c r="T6805" t="s">
        <v>26296</v>
      </c>
    </row>
    <row r="6806" spans="1:20" customFormat="1" ht="15" x14ac:dyDescent="0.25">
      <c r="A6806" t="s">
        <v>35</v>
      </c>
      <c r="B6806" t="s">
        <v>61</v>
      </c>
      <c r="C6806" t="str">
        <f>"A0182594"</f>
        <v>A0182594</v>
      </c>
      <c r="D6806" t="s">
        <v>26297</v>
      </c>
      <c r="E6806" t="s">
        <v>12237</v>
      </c>
      <c r="F6806" t="s">
        <v>12238</v>
      </c>
      <c r="G6806" t="s">
        <v>71</v>
      </c>
      <c r="H6806">
        <v>546651936</v>
      </c>
      <c r="I6806" t="s">
        <v>30</v>
      </c>
      <c r="J6806" t="s">
        <v>41</v>
      </c>
      <c r="K6806" t="s">
        <v>59</v>
      </c>
      <c r="Q6806">
        <v>0</v>
      </c>
      <c r="R6806">
        <v>111</v>
      </c>
      <c r="S6806">
        <v>111</v>
      </c>
      <c r="T6806" t="s">
        <v>26298</v>
      </c>
    </row>
    <row r="6807" spans="1:20" customFormat="1" ht="15" x14ac:dyDescent="0.25">
      <c r="A6807" t="s">
        <v>35</v>
      </c>
      <c r="B6807" t="s">
        <v>61</v>
      </c>
      <c r="C6807" t="str">
        <f>"A0182593"</f>
        <v>A0182593</v>
      </c>
      <c r="D6807" t="s">
        <v>26299</v>
      </c>
      <c r="E6807" t="s">
        <v>25923</v>
      </c>
      <c r="F6807" t="s">
        <v>11602</v>
      </c>
      <c r="G6807" t="s">
        <v>71</v>
      </c>
      <c r="H6807">
        <v>546032599</v>
      </c>
      <c r="I6807" t="s">
        <v>30</v>
      </c>
      <c r="J6807" t="s">
        <v>41</v>
      </c>
      <c r="K6807" t="s">
        <v>59</v>
      </c>
      <c r="Q6807">
        <v>0</v>
      </c>
      <c r="R6807">
        <v>0</v>
      </c>
      <c r="S6807">
        <v>0</v>
      </c>
      <c r="T6807" t="s">
        <v>26300</v>
      </c>
    </row>
    <row r="6808" spans="1:20" customFormat="1" ht="15" x14ac:dyDescent="0.25">
      <c r="A6808" t="s">
        <v>35</v>
      </c>
      <c r="B6808" t="s">
        <v>61</v>
      </c>
      <c r="C6808" t="str">
        <f>"A0182592"</f>
        <v>A0182592</v>
      </c>
      <c r="D6808" t="s">
        <v>26301</v>
      </c>
      <c r="E6808" t="s">
        <v>26302</v>
      </c>
      <c r="F6808" t="s">
        <v>20721</v>
      </c>
      <c r="G6808" t="s">
        <v>99</v>
      </c>
      <c r="H6808">
        <v>13413</v>
      </c>
      <c r="I6808" t="s">
        <v>30</v>
      </c>
      <c r="J6808" t="s">
        <v>41</v>
      </c>
      <c r="K6808" t="s">
        <v>59</v>
      </c>
      <c r="Q6808">
        <v>0</v>
      </c>
      <c r="R6808">
        <v>173</v>
      </c>
      <c r="S6808">
        <v>173</v>
      </c>
      <c r="T6808" t="s">
        <v>26303</v>
      </c>
    </row>
    <row r="6809" spans="1:20" customFormat="1" ht="15" x14ac:dyDescent="0.25">
      <c r="A6809" t="s">
        <v>35</v>
      </c>
      <c r="B6809" t="s">
        <v>61</v>
      </c>
      <c r="C6809" t="str">
        <f>"A0182591"</f>
        <v>A0182591</v>
      </c>
      <c r="D6809" t="s">
        <v>22417</v>
      </c>
      <c r="E6809" t="s">
        <v>26304</v>
      </c>
      <c r="F6809" t="s">
        <v>26305</v>
      </c>
      <c r="G6809" t="s">
        <v>99</v>
      </c>
      <c r="H6809" t="s">
        <v>26306</v>
      </c>
      <c r="I6809" t="s">
        <v>30</v>
      </c>
      <c r="J6809" t="s">
        <v>41</v>
      </c>
      <c r="K6809" t="s">
        <v>59</v>
      </c>
      <c r="Q6809">
        <v>0</v>
      </c>
      <c r="R6809">
        <v>0</v>
      </c>
      <c r="S6809">
        <v>0</v>
      </c>
      <c r="T6809" t="s">
        <v>26307</v>
      </c>
    </row>
    <row r="6810" spans="1:20" customFormat="1" ht="15" x14ac:dyDescent="0.25">
      <c r="A6810" t="s">
        <v>35</v>
      </c>
      <c r="B6810" t="s">
        <v>61</v>
      </c>
      <c r="C6810" t="str">
        <f>"A0182590"</f>
        <v>A0182590</v>
      </c>
      <c r="D6810" t="s">
        <v>26308</v>
      </c>
      <c r="E6810" t="s">
        <v>26309</v>
      </c>
      <c r="F6810" t="s">
        <v>638</v>
      </c>
      <c r="G6810" t="s">
        <v>899</v>
      </c>
      <c r="H6810" t="s">
        <v>26310</v>
      </c>
      <c r="I6810" t="s">
        <v>30</v>
      </c>
      <c r="J6810" t="s">
        <v>41</v>
      </c>
      <c r="K6810" t="s">
        <v>59</v>
      </c>
      <c r="Q6810">
        <v>0</v>
      </c>
      <c r="R6810">
        <v>0</v>
      </c>
      <c r="S6810">
        <v>0</v>
      </c>
      <c r="T6810" t="s">
        <v>26311</v>
      </c>
    </row>
    <row r="6811" spans="1:20" customFormat="1" ht="15" x14ac:dyDescent="0.25">
      <c r="A6811" t="s">
        <v>35</v>
      </c>
      <c r="B6811" t="s">
        <v>8001</v>
      </c>
      <c r="C6811" t="str">
        <f>"A0182589"</f>
        <v>A0182589</v>
      </c>
      <c r="D6811" t="s">
        <v>26312</v>
      </c>
      <c r="E6811" t="s">
        <v>26313</v>
      </c>
      <c r="F6811" t="s">
        <v>26314</v>
      </c>
      <c r="G6811" t="s">
        <v>899</v>
      </c>
      <c r="H6811">
        <v>1027</v>
      </c>
      <c r="I6811" t="s">
        <v>30</v>
      </c>
      <c r="J6811" t="s">
        <v>41</v>
      </c>
      <c r="K6811" t="s">
        <v>59</v>
      </c>
      <c r="Q6811">
        <v>0</v>
      </c>
      <c r="R6811">
        <v>0</v>
      </c>
      <c r="S6811">
        <v>0</v>
      </c>
      <c r="T6811" t="s">
        <v>26092</v>
      </c>
    </row>
    <row r="6812" spans="1:20" customFormat="1" ht="15" x14ac:dyDescent="0.25">
      <c r="A6812" t="s">
        <v>35</v>
      </c>
      <c r="B6812" t="s">
        <v>61</v>
      </c>
      <c r="C6812" t="str">
        <f>"A0182588"</f>
        <v>A0182588</v>
      </c>
      <c r="D6812" t="s">
        <v>26315</v>
      </c>
      <c r="E6812" t="s">
        <v>11883</v>
      </c>
      <c r="F6812" t="s">
        <v>11884</v>
      </c>
      <c r="G6812" t="s">
        <v>71</v>
      </c>
      <c r="H6812" t="s">
        <v>26316</v>
      </c>
      <c r="I6812" t="s">
        <v>30</v>
      </c>
      <c r="J6812" t="s">
        <v>41</v>
      </c>
      <c r="K6812" t="s">
        <v>59</v>
      </c>
      <c r="Q6812">
        <v>0</v>
      </c>
      <c r="R6812">
        <v>0</v>
      </c>
      <c r="S6812">
        <v>0</v>
      </c>
      <c r="T6812" t="s">
        <v>26209</v>
      </c>
    </row>
    <row r="6813" spans="1:20" customFormat="1" ht="15" x14ac:dyDescent="0.25">
      <c r="A6813" t="s">
        <v>35</v>
      </c>
      <c r="B6813" t="s">
        <v>61</v>
      </c>
      <c r="C6813" t="str">
        <f>"A0182587"</f>
        <v>A0182587</v>
      </c>
      <c r="D6813" t="s">
        <v>26317</v>
      </c>
      <c r="E6813" t="s">
        <v>26318</v>
      </c>
      <c r="F6813" t="s">
        <v>11602</v>
      </c>
      <c r="G6813" t="s">
        <v>71</v>
      </c>
      <c r="H6813">
        <v>546017987</v>
      </c>
      <c r="I6813" t="s">
        <v>30</v>
      </c>
      <c r="J6813" t="s">
        <v>41</v>
      </c>
      <c r="K6813" t="s">
        <v>59</v>
      </c>
      <c r="Q6813">
        <v>0</v>
      </c>
      <c r="R6813">
        <v>0</v>
      </c>
      <c r="S6813">
        <v>0</v>
      </c>
      <c r="T6813" t="s">
        <v>26319</v>
      </c>
    </row>
    <row r="6814" spans="1:20" customFormat="1" ht="15" x14ac:dyDescent="0.25">
      <c r="A6814" t="s">
        <v>35</v>
      </c>
      <c r="B6814" t="s">
        <v>61</v>
      </c>
      <c r="C6814" t="str">
        <f>"A0182586"</f>
        <v>A0182586</v>
      </c>
      <c r="D6814" t="s">
        <v>26320</v>
      </c>
      <c r="E6814" t="s">
        <v>26321</v>
      </c>
      <c r="F6814" t="s">
        <v>11602</v>
      </c>
      <c r="G6814" t="s">
        <v>71</v>
      </c>
      <c r="H6814">
        <v>546018000</v>
      </c>
      <c r="I6814" t="s">
        <v>30</v>
      </c>
      <c r="J6814" t="s">
        <v>41</v>
      </c>
      <c r="K6814" t="s">
        <v>59</v>
      </c>
      <c r="Q6814">
        <v>0</v>
      </c>
      <c r="R6814">
        <v>0</v>
      </c>
      <c r="S6814">
        <v>0</v>
      </c>
    </row>
    <row r="6815" spans="1:20" customFormat="1" ht="15" x14ac:dyDescent="0.25">
      <c r="A6815" t="s">
        <v>35</v>
      </c>
      <c r="B6815" t="s">
        <v>61</v>
      </c>
      <c r="C6815" t="str">
        <f>"A0182585"</f>
        <v>A0182585</v>
      </c>
      <c r="D6815" t="s">
        <v>26322</v>
      </c>
      <c r="E6815" t="s">
        <v>23750</v>
      </c>
      <c r="F6815" t="s">
        <v>11482</v>
      </c>
      <c r="G6815" t="s">
        <v>71</v>
      </c>
      <c r="H6815" t="s">
        <v>26323</v>
      </c>
      <c r="I6815" t="s">
        <v>30</v>
      </c>
      <c r="J6815" t="s">
        <v>41</v>
      </c>
      <c r="K6815" t="s">
        <v>59</v>
      </c>
      <c r="Q6815">
        <v>0</v>
      </c>
      <c r="R6815">
        <v>29</v>
      </c>
      <c r="S6815">
        <v>29</v>
      </c>
      <c r="T6815" t="s">
        <v>26324</v>
      </c>
    </row>
    <row r="6816" spans="1:20" customFormat="1" ht="15" x14ac:dyDescent="0.25">
      <c r="A6816" t="s">
        <v>35</v>
      </c>
      <c r="B6816" t="s">
        <v>61</v>
      </c>
      <c r="C6816" t="str">
        <f>"A0182584"</f>
        <v>A0182584</v>
      </c>
      <c r="D6816" t="s">
        <v>26325</v>
      </c>
      <c r="E6816" t="s">
        <v>26326</v>
      </c>
      <c r="F6816" t="s">
        <v>24507</v>
      </c>
      <c r="G6816" t="s">
        <v>71</v>
      </c>
      <c r="H6816" t="s">
        <v>26327</v>
      </c>
      <c r="I6816" t="s">
        <v>30</v>
      </c>
      <c r="J6816" t="s">
        <v>41</v>
      </c>
      <c r="K6816" t="s">
        <v>59</v>
      </c>
      <c r="Q6816">
        <v>0</v>
      </c>
      <c r="R6816">
        <v>0</v>
      </c>
      <c r="S6816">
        <v>0</v>
      </c>
      <c r="T6816" t="s">
        <v>26328</v>
      </c>
    </row>
    <row r="6817" spans="1:20" customFormat="1" ht="15" x14ac:dyDescent="0.25">
      <c r="A6817" t="s">
        <v>35</v>
      </c>
      <c r="B6817" t="s">
        <v>61</v>
      </c>
      <c r="C6817" t="str">
        <f>"A0182583"</f>
        <v>A0182583</v>
      </c>
      <c r="D6817" t="s">
        <v>26329</v>
      </c>
      <c r="E6817" t="s">
        <v>26330</v>
      </c>
      <c r="F6817" t="s">
        <v>26331</v>
      </c>
      <c r="G6817" t="s">
        <v>71</v>
      </c>
      <c r="H6817" t="s">
        <v>26332</v>
      </c>
      <c r="I6817" t="s">
        <v>30</v>
      </c>
      <c r="J6817" t="s">
        <v>41</v>
      </c>
      <c r="K6817" t="s">
        <v>59</v>
      </c>
      <c r="Q6817">
        <v>0</v>
      </c>
      <c r="R6817">
        <v>0</v>
      </c>
      <c r="S6817">
        <v>0</v>
      </c>
      <c r="T6817" t="s">
        <v>26333</v>
      </c>
    </row>
    <row r="6818" spans="1:20" customFormat="1" ht="15" x14ac:dyDescent="0.25">
      <c r="A6818" t="s">
        <v>35</v>
      </c>
      <c r="B6818" t="s">
        <v>61</v>
      </c>
      <c r="C6818" t="str">
        <f>"A0182582"</f>
        <v>A0182582</v>
      </c>
      <c r="D6818" t="s">
        <v>26334</v>
      </c>
      <c r="E6818" t="s">
        <v>12237</v>
      </c>
      <c r="F6818" t="s">
        <v>12238</v>
      </c>
      <c r="G6818" t="s">
        <v>71</v>
      </c>
      <c r="H6818" t="s">
        <v>12239</v>
      </c>
      <c r="I6818" t="s">
        <v>30</v>
      </c>
      <c r="J6818" t="s">
        <v>41</v>
      </c>
      <c r="K6818" t="s">
        <v>59</v>
      </c>
      <c r="Q6818">
        <v>0</v>
      </c>
      <c r="R6818">
        <v>0</v>
      </c>
      <c r="S6818">
        <v>0</v>
      </c>
      <c r="T6818" t="s">
        <v>12240</v>
      </c>
    </row>
    <row r="6819" spans="1:20" customFormat="1" ht="15" x14ac:dyDescent="0.25">
      <c r="A6819" t="s">
        <v>35</v>
      </c>
      <c r="B6819" t="s">
        <v>61</v>
      </c>
      <c r="C6819" t="str">
        <f>"A0182581"</f>
        <v>A0182581</v>
      </c>
      <c r="D6819" t="s">
        <v>26335</v>
      </c>
      <c r="E6819" t="s">
        <v>26336</v>
      </c>
      <c r="F6819" t="s">
        <v>21299</v>
      </c>
      <c r="G6819" t="s">
        <v>899</v>
      </c>
      <c r="H6819" t="s">
        <v>26337</v>
      </c>
      <c r="I6819" t="s">
        <v>30</v>
      </c>
      <c r="J6819" t="s">
        <v>41</v>
      </c>
      <c r="K6819" t="s">
        <v>59</v>
      </c>
      <c r="Q6819">
        <v>0</v>
      </c>
      <c r="R6819">
        <v>31</v>
      </c>
      <c r="S6819">
        <v>31</v>
      </c>
      <c r="T6819" t="s">
        <v>26338</v>
      </c>
    </row>
    <row r="6820" spans="1:20" customFormat="1" ht="15" x14ac:dyDescent="0.25">
      <c r="A6820" t="s">
        <v>35</v>
      </c>
      <c r="B6820" t="s">
        <v>61</v>
      </c>
      <c r="C6820" t="str">
        <f>"A0182580"</f>
        <v>A0182580</v>
      </c>
      <c r="D6820" t="s">
        <v>26339</v>
      </c>
      <c r="E6820" t="s">
        <v>26340</v>
      </c>
      <c r="F6820" t="s">
        <v>638</v>
      </c>
      <c r="G6820" t="s">
        <v>899</v>
      </c>
      <c r="H6820" t="s">
        <v>26341</v>
      </c>
      <c r="I6820" t="s">
        <v>30</v>
      </c>
      <c r="J6820" t="s">
        <v>41</v>
      </c>
      <c r="K6820" t="s">
        <v>59</v>
      </c>
      <c r="Q6820">
        <v>0</v>
      </c>
      <c r="R6820">
        <v>0</v>
      </c>
      <c r="S6820">
        <v>0</v>
      </c>
      <c r="T6820" t="s">
        <v>26342</v>
      </c>
    </row>
    <row r="6821" spans="1:20" customFormat="1" ht="15" x14ac:dyDescent="0.25">
      <c r="A6821" t="s">
        <v>35</v>
      </c>
      <c r="B6821" t="s">
        <v>61</v>
      </c>
      <c r="C6821" t="str">
        <f>"A0182579"</f>
        <v>A0182579</v>
      </c>
      <c r="D6821" t="s">
        <v>26343</v>
      </c>
      <c r="E6821" t="s">
        <v>26344</v>
      </c>
      <c r="F6821" t="s">
        <v>638</v>
      </c>
      <c r="G6821" t="s">
        <v>899</v>
      </c>
      <c r="H6821">
        <v>2460</v>
      </c>
      <c r="I6821" t="s">
        <v>30</v>
      </c>
      <c r="J6821" t="s">
        <v>41</v>
      </c>
      <c r="K6821" t="s">
        <v>59</v>
      </c>
      <c r="Q6821">
        <v>0</v>
      </c>
      <c r="R6821">
        <v>0</v>
      </c>
      <c r="S6821">
        <v>0</v>
      </c>
      <c r="T6821" t="s">
        <v>26345</v>
      </c>
    </row>
    <row r="6822" spans="1:20" customFormat="1" ht="15" x14ac:dyDescent="0.25">
      <c r="A6822" t="s">
        <v>35</v>
      </c>
      <c r="B6822" t="s">
        <v>61</v>
      </c>
      <c r="C6822" t="str">
        <f>"A0182578"</f>
        <v>A0182578</v>
      </c>
      <c r="D6822" t="s">
        <v>26346</v>
      </c>
      <c r="E6822" t="s">
        <v>26347</v>
      </c>
      <c r="F6822" t="s">
        <v>898</v>
      </c>
      <c r="G6822" t="s">
        <v>899</v>
      </c>
      <c r="H6822">
        <v>1608</v>
      </c>
      <c r="I6822" t="s">
        <v>30</v>
      </c>
      <c r="J6822" t="s">
        <v>41</v>
      </c>
      <c r="K6822" t="s">
        <v>59</v>
      </c>
      <c r="Q6822">
        <v>0</v>
      </c>
      <c r="R6822">
        <v>0</v>
      </c>
      <c r="S6822">
        <v>0</v>
      </c>
      <c r="T6822" t="s">
        <v>26348</v>
      </c>
    </row>
    <row r="6823" spans="1:20" customFormat="1" ht="15" x14ac:dyDescent="0.25">
      <c r="A6823" t="s">
        <v>35</v>
      </c>
      <c r="B6823" t="s">
        <v>61</v>
      </c>
      <c r="C6823" t="str">
        <f>"A0182577"</f>
        <v>A0182577</v>
      </c>
      <c r="D6823" t="s">
        <v>26349</v>
      </c>
      <c r="E6823" t="s">
        <v>26350</v>
      </c>
      <c r="F6823" t="s">
        <v>26351</v>
      </c>
      <c r="G6823" t="s">
        <v>899</v>
      </c>
      <c r="H6823" t="s">
        <v>26352</v>
      </c>
      <c r="I6823" t="s">
        <v>30</v>
      </c>
      <c r="J6823" t="s">
        <v>41</v>
      </c>
      <c r="K6823" t="s">
        <v>59</v>
      </c>
      <c r="Q6823">
        <v>0</v>
      </c>
      <c r="R6823">
        <v>0</v>
      </c>
      <c r="S6823">
        <v>0</v>
      </c>
      <c r="T6823" t="s">
        <v>26353</v>
      </c>
    </row>
    <row r="6824" spans="1:20" customFormat="1" ht="15" x14ac:dyDescent="0.25">
      <c r="A6824" t="s">
        <v>35</v>
      </c>
      <c r="B6824" t="s">
        <v>61</v>
      </c>
      <c r="C6824" t="str">
        <f>"A0182576"</f>
        <v>A0182576</v>
      </c>
      <c r="D6824" t="s">
        <v>26354</v>
      </c>
      <c r="E6824" t="s">
        <v>26355</v>
      </c>
      <c r="F6824" t="s">
        <v>26137</v>
      </c>
      <c r="G6824" t="s">
        <v>899</v>
      </c>
      <c r="H6824">
        <v>1106</v>
      </c>
      <c r="I6824" t="s">
        <v>30</v>
      </c>
      <c r="J6824" t="s">
        <v>41</v>
      </c>
      <c r="K6824" t="s">
        <v>59</v>
      </c>
      <c r="Q6824">
        <v>0</v>
      </c>
      <c r="R6824">
        <v>200</v>
      </c>
      <c r="S6824">
        <v>200</v>
      </c>
      <c r="T6824" t="s">
        <v>26356</v>
      </c>
    </row>
    <row r="6825" spans="1:20" customFormat="1" ht="15" x14ac:dyDescent="0.25">
      <c r="A6825" t="s">
        <v>35</v>
      </c>
      <c r="B6825" t="s">
        <v>11871</v>
      </c>
      <c r="C6825" t="str">
        <f>"A0182575"</f>
        <v>A0182575</v>
      </c>
      <c r="D6825" t="s">
        <v>26357</v>
      </c>
      <c r="E6825" t="s">
        <v>26358</v>
      </c>
      <c r="F6825" t="s">
        <v>2307</v>
      </c>
      <c r="G6825" t="s">
        <v>65</v>
      </c>
      <c r="H6825">
        <v>441062923</v>
      </c>
      <c r="I6825" t="s">
        <v>30</v>
      </c>
      <c r="J6825" t="s">
        <v>41</v>
      </c>
      <c r="K6825" t="s">
        <v>59</v>
      </c>
      <c r="Q6825">
        <v>0</v>
      </c>
      <c r="R6825">
        <v>0</v>
      </c>
      <c r="S6825">
        <v>0</v>
      </c>
    </row>
    <row r="6826" spans="1:20" customFormat="1" ht="15" x14ac:dyDescent="0.25">
      <c r="A6826" t="s">
        <v>35</v>
      </c>
      <c r="B6826" t="s">
        <v>11871</v>
      </c>
      <c r="C6826" t="str">
        <f>"A0182574"</f>
        <v>A0182574</v>
      </c>
      <c r="D6826" t="s">
        <v>26359</v>
      </c>
      <c r="E6826" t="s">
        <v>26360</v>
      </c>
      <c r="F6826" t="s">
        <v>26361</v>
      </c>
      <c r="G6826" t="s">
        <v>65</v>
      </c>
      <c r="H6826">
        <v>437131105</v>
      </c>
      <c r="I6826" t="s">
        <v>30</v>
      </c>
      <c r="J6826" t="s">
        <v>41</v>
      </c>
      <c r="K6826" t="s">
        <v>59</v>
      </c>
      <c r="Q6826">
        <v>0</v>
      </c>
      <c r="R6826">
        <v>0</v>
      </c>
      <c r="S6826">
        <v>0</v>
      </c>
      <c r="T6826" t="s">
        <v>26362</v>
      </c>
    </row>
    <row r="6827" spans="1:20" customFormat="1" ht="15" x14ac:dyDescent="0.25">
      <c r="A6827" t="s">
        <v>35</v>
      </c>
      <c r="B6827" t="s">
        <v>11871</v>
      </c>
      <c r="C6827" t="str">
        <f>"A0182573"</f>
        <v>A0182573</v>
      </c>
      <c r="D6827" t="s">
        <v>26363</v>
      </c>
      <c r="E6827" t="s">
        <v>26364</v>
      </c>
      <c r="F6827" t="s">
        <v>2748</v>
      </c>
      <c r="G6827" t="s">
        <v>65</v>
      </c>
      <c r="H6827">
        <v>436091979</v>
      </c>
      <c r="I6827" t="s">
        <v>30</v>
      </c>
      <c r="J6827" t="s">
        <v>41</v>
      </c>
      <c r="K6827" t="s">
        <v>59</v>
      </c>
      <c r="Q6827">
        <v>0</v>
      </c>
      <c r="R6827">
        <v>0</v>
      </c>
      <c r="S6827">
        <v>0</v>
      </c>
      <c r="T6827" t="s">
        <v>26365</v>
      </c>
    </row>
    <row r="6828" spans="1:20" customFormat="1" ht="15" x14ac:dyDescent="0.25">
      <c r="A6828" t="s">
        <v>35</v>
      </c>
      <c r="B6828" t="s">
        <v>61</v>
      </c>
      <c r="C6828" t="str">
        <f>"A0182572"</f>
        <v>A0182572</v>
      </c>
      <c r="D6828" t="s">
        <v>26366</v>
      </c>
      <c r="E6828" t="s">
        <v>26367</v>
      </c>
      <c r="F6828" t="s">
        <v>11404</v>
      </c>
      <c r="G6828" t="s">
        <v>65</v>
      </c>
      <c r="H6828">
        <v>45242</v>
      </c>
      <c r="I6828" t="s">
        <v>30</v>
      </c>
      <c r="J6828" t="s">
        <v>41</v>
      </c>
      <c r="K6828" t="s">
        <v>59</v>
      </c>
      <c r="Q6828">
        <v>0</v>
      </c>
      <c r="R6828">
        <v>0</v>
      </c>
      <c r="S6828">
        <v>0</v>
      </c>
      <c r="T6828" t="s">
        <v>26368</v>
      </c>
    </row>
    <row r="6829" spans="1:20" customFormat="1" ht="15" x14ac:dyDescent="0.25">
      <c r="A6829" t="s">
        <v>35</v>
      </c>
      <c r="B6829" t="s">
        <v>61</v>
      </c>
      <c r="C6829" t="str">
        <f>"A0182571"</f>
        <v>A0182571</v>
      </c>
      <c r="D6829" t="s">
        <v>26369</v>
      </c>
      <c r="E6829" t="s">
        <v>26370</v>
      </c>
      <c r="F6829" t="s">
        <v>22436</v>
      </c>
      <c r="G6829" t="s">
        <v>214</v>
      </c>
      <c r="H6829" t="s">
        <v>26371</v>
      </c>
      <c r="I6829" t="s">
        <v>30</v>
      </c>
      <c r="J6829" t="s">
        <v>41</v>
      </c>
      <c r="K6829" t="s">
        <v>59</v>
      </c>
      <c r="Q6829">
        <v>0</v>
      </c>
      <c r="R6829">
        <v>0</v>
      </c>
      <c r="S6829">
        <v>0</v>
      </c>
      <c r="T6829" t="s">
        <v>26372</v>
      </c>
    </row>
    <row r="6830" spans="1:20" customFormat="1" ht="15" x14ac:dyDescent="0.25">
      <c r="A6830" t="s">
        <v>35</v>
      </c>
      <c r="B6830" t="s">
        <v>61</v>
      </c>
      <c r="C6830" t="str">
        <f>"A0182570"</f>
        <v>A0182570</v>
      </c>
      <c r="D6830" t="s">
        <v>26373</v>
      </c>
      <c r="E6830" t="s">
        <v>26374</v>
      </c>
      <c r="F6830" t="s">
        <v>15684</v>
      </c>
      <c r="G6830" t="s">
        <v>214</v>
      </c>
      <c r="H6830" t="s">
        <v>26375</v>
      </c>
      <c r="I6830" t="s">
        <v>30</v>
      </c>
      <c r="J6830" t="s">
        <v>41</v>
      </c>
      <c r="K6830" t="s">
        <v>59</v>
      </c>
      <c r="Q6830">
        <v>0</v>
      </c>
      <c r="R6830">
        <v>84</v>
      </c>
      <c r="S6830">
        <v>84</v>
      </c>
      <c r="T6830" t="s">
        <v>26376</v>
      </c>
    </row>
    <row r="6831" spans="1:20" customFormat="1" ht="15" x14ac:dyDescent="0.25">
      <c r="A6831" t="s">
        <v>35</v>
      </c>
      <c r="B6831" t="s">
        <v>61</v>
      </c>
      <c r="C6831" t="str">
        <f>"A0182569"</f>
        <v>A0182569</v>
      </c>
      <c r="D6831" t="s">
        <v>26377</v>
      </c>
      <c r="E6831" t="s">
        <v>26378</v>
      </c>
      <c r="F6831" t="s">
        <v>24507</v>
      </c>
      <c r="G6831" t="s">
        <v>71</v>
      </c>
      <c r="H6831" t="s">
        <v>26379</v>
      </c>
      <c r="I6831" t="s">
        <v>30</v>
      </c>
      <c r="J6831" t="s">
        <v>41</v>
      </c>
      <c r="K6831" t="s">
        <v>59</v>
      </c>
      <c r="Q6831">
        <v>0</v>
      </c>
      <c r="R6831">
        <v>0</v>
      </c>
      <c r="S6831">
        <v>0</v>
      </c>
      <c r="T6831" t="s">
        <v>26380</v>
      </c>
    </row>
    <row r="6832" spans="1:20" customFormat="1" ht="15" x14ac:dyDescent="0.25">
      <c r="A6832" t="s">
        <v>35</v>
      </c>
      <c r="B6832" t="s">
        <v>61</v>
      </c>
      <c r="C6832" t="str">
        <f>"A0182567"</f>
        <v>A0182567</v>
      </c>
      <c r="D6832" t="s">
        <v>26381</v>
      </c>
      <c r="E6832" t="s">
        <v>26382</v>
      </c>
      <c r="F6832" t="s">
        <v>26383</v>
      </c>
      <c r="G6832" t="s">
        <v>71</v>
      </c>
      <c r="H6832">
        <v>546502771</v>
      </c>
      <c r="I6832" t="s">
        <v>30</v>
      </c>
      <c r="J6832" t="s">
        <v>41</v>
      </c>
      <c r="K6832" t="s">
        <v>59</v>
      </c>
      <c r="Q6832">
        <v>0</v>
      </c>
      <c r="R6832">
        <v>0</v>
      </c>
      <c r="S6832">
        <v>0</v>
      </c>
    </row>
    <row r="6833" spans="1:20" customFormat="1" ht="15" x14ac:dyDescent="0.25">
      <c r="A6833" t="s">
        <v>35</v>
      </c>
      <c r="B6833" t="s">
        <v>61</v>
      </c>
      <c r="C6833" t="str">
        <f>"A0182566"</f>
        <v>A0182566</v>
      </c>
      <c r="D6833" t="s">
        <v>26384</v>
      </c>
      <c r="E6833" t="s">
        <v>26385</v>
      </c>
      <c r="F6833" t="s">
        <v>6270</v>
      </c>
      <c r="G6833" t="s">
        <v>71</v>
      </c>
      <c r="H6833" t="s">
        <v>26386</v>
      </c>
      <c r="I6833" t="s">
        <v>30</v>
      </c>
      <c r="J6833" t="s">
        <v>41</v>
      </c>
      <c r="K6833" t="s">
        <v>59</v>
      </c>
      <c r="Q6833">
        <v>0</v>
      </c>
      <c r="R6833">
        <v>0</v>
      </c>
      <c r="S6833">
        <v>0</v>
      </c>
      <c r="T6833" t="s">
        <v>26387</v>
      </c>
    </row>
    <row r="6834" spans="1:20" customFormat="1" ht="15" x14ac:dyDescent="0.25">
      <c r="A6834" t="s">
        <v>35</v>
      </c>
      <c r="B6834" t="s">
        <v>20582</v>
      </c>
      <c r="C6834" t="str">
        <f>"A0182565"</f>
        <v>A0182565</v>
      </c>
      <c r="D6834" t="s">
        <v>23062</v>
      </c>
      <c r="E6834" t="s">
        <v>23063</v>
      </c>
      <c r="F6834" t="s">
        <v>3661</v>
      </c>
      <c r="G6834" t="s">
        <v>65</v>
      </c>
      <c r="H6834">
        <v>452464112</v>
      </c>
      <c r="I6834" t="s">
        <v>30</v>
      </c>
      <c r="J6834" t="s">
        <v>41</v>
      </c>
      <c r="K6834" t="s">
        <v>59</v>
      </c>
      <c r="Q6834">
        <v>0</v>
      </c>
      <c r="R6834">
        <v>174</v>
      </c>
      <c r="S6834">
        <v>174</v>
      </c>
      <c r="T6834" t="s">
        <v>23064</v>
      </c>
    </row>
    <row r="6835" spans="1:20" customFormat="1" ht="15" x14ac:dyDescent="0.25">
      <c r="A6835" t="s">
        <v>35</v>
      </c>
      <c r="B6835" t="s">
        <v>61</v>
      </c>
      <c r="C6835" t="str">
        <f>"A0182564"</f>
        <v>A0182564</v>
      </c>
      <c r="D6835" t="s">
        <v>26388</v>
      </c>
      <c r="E6835" t="s">
        <v>26389</v>
      </c>
      <c r="F6835" t="s">
        <v>6270</v>
      </c>
      <c r="G6835" t="s">
        <v>71</v>
      </c>
      <c r="H6835" t="s">
        <v>26390</v>
      </c>
      <c r="I6835" t="s">
        <v>30</v>
      </c>
      <c r="J6835" t="s">
        <v>41</v>
      </c>
      <c r="K6835" t="s">
        <v>59</v>
      </c>
      <c r="Q6835">
        <v>0</v>
      </c>
      <c r="R6835">
        <v>71</v>
      </c>
      <c r="S6835">
        <v>71</v>
      </c>
      <c r="T6835" t="s">
        <v>26391</v>
      </c>
    </row>
    <row r="6836" spans="1:20" customFormat="1" ht="15" x14ac:dyDescent="0.25">
      <c r="A6836" t="s">
        <v>35</v>
      </c>
      <c r="B6836" t="s">
        <v>61</v>
      </c>
      <c r="C6836" t="str">
        <f>"A0182563"</f>
        <v>A0182563</v>
      </c>
      <c r="D6836" t="s">
        <v>26392</v>
      </c>
      <c r="E6836" t="s">
        <v>26393</v>
      </c>
      <c r="F6836" t="s">
        <v>26394</v>
      </c>
      <c r="G6836" t="s">
        <v>71</v>
      </c>
      <c r="H6836" t="s">
        <v>26395</v>
      </c>
      <c r="I6836" t="s">
        <v>30</v>
      </c>
      <c r="J6836" t="s">
        <v>41</v>
      </c>
      <c r="K6836" t="s">
        <v>59</v>
      </c>
      <c r="Q6836">
        <v>0</v>
      </c>
      <c r="R6836">
        <v>18</v>
      </c>
      <c r="S6836">
        <v>18</v>
      </c>
      <c r="T6836" t="s">
        <v>26396</v>
      </c>
    </row>
    <row r="6837" spans="1:20" customFormat="1" ht="15" x14ac:dyDescent="0.25">
      <c r="A6837" t="s">
        <v>35</v>
      </c>
      <c r="B6837" t="s">
        <v>61</v>
      </c>
      <c r="C6837" t="str">
        <f>"A0182562"</f>
        <v>A0182562</v>
      </c>
      <c r="D6837" t="s">
        <v>26397</v>
      </c>
      <c r="E6837" t="s">
        <v>26398</v>
      </c>
      <c r="F6837" t="s">
        <v>26394</v>
      </c>
      <c r="G6837" t="s">
        <v>71</v>
      </c>
      <c r="H6837" t="s">
        <v>26399</v>
      </c>
      <c r="I6837" t="s">
        <v>30</v>
      </c>
      <c r="J6837" t="s">
        <v>41</v>
      </c>
      <c r="K6837" t="s">
        <v>59</v>
      </c>
      <c r="Q6837">
        <v>0</v>
      </c>
      <c r="R6837">
        <v>50</v>
      </c>
      <c r="S6837">
        <v>50</v>
      </c>
      <c r="T6837" t="s">
        <v>26396</v>
      </c>
    </row>
    <row r="6838" spans="1:20" customFormat="1" ht="15" x14ac:dyDescent="0.25">
      <c r="A6838" t="s">
        <v>35</v>
      </c>
      <c r="B6838" t="s">
        <v>61</v>
      </c>
      <c r="C6838" t="str">
        <f>"A0182561"</f>
        <v>A0182561</v>
      </c>
      <c r="D6838" t="s">
        <v>26400</v>
      </c>
      <c r="E6838" t="s">
        <v>26401</v>
      </c>
      <c r="F6838" t="s">
        <v>26402</v>
      </c>
      <c r="G6838" t="s">
        <v>161</v>
      </c>
      <c r="H6838" t="s">
        <v>26403</v>
      </c>
      <c r="I6838" t="s">
        <v>30</v>
      </c>
      <c r="J6838" t="s">
        <v>41</v>
      </c>
      <c r="K6838" t="s">
        <v>59</v>
      </c>
      <c r="Q6838">
        <v>0</v>
      </c>
      <c r="R6838">
        <v>0</v>
      </c>
      <c r="S6838">
        <v>0</v>
      </c>
    </row>
    <row r="6839" spans="1:20" customFormat="1" ht="15" x14ac:dyDescent="0.25">
      <c r="A6839" t="s">
        <v>35</v>
      </c>
      <c r="B6839" t="s">
        <v>61</v>
      </c>
      <c r="C6839" t="str">
        <f>"A0182560"</f>
        <v>A0182560</v>
      </c>
      <c r="D6839" t="s">
        <v>26404</v>
      </c>
      <c r="E6839" t="s">
        <v>26405</v>
      </c>
      <c r="F6839" t="s">
        <v>26406</v>
      </c>
      <c r="G6839" t="s">
        <v>99</v>
      </c>
      <c r="H6839" t="s">
        <v>26407</v>
      </c>
      <c r="I6839" t="s">
        <v>30</v>
      </c>
      <c r="J6839" t="s">
        <v>41</v>
      </c>
      <c r="K6839" t="s">
        <v>59</v>
      </c>
      <c r="Q6839">
        <v>0</v>
      </c>
      <c r="R6839">
        <v>0</v>
      </c>
      <c r="S6839">
        <v>0</v>
      </c>
      <c r="T6839" t="s">
        <v>26408</v>
      </c>
    </row>
    <row r="6840" spans="1:20" customFormat="1" ht="15" x14ac:dyDescent="0.25">
      <c r="A6840" t="s">
        <v>35</v>
      </c>
      <c r="B6840" t="s">
        <v>61</v>
      </c>
      <c r="C6840" t="str">
        <f>"A0182559"</f>
        <v>A0182559</v>
      </c>
      <c r="D6840" t="s">
        <v>26409</v>
      </c>
      <c r="E6840" t="s">
        <v>26410</v>
      </c>
      <c r="F6840" t="s">
        <v>26411</v>
      </c>
      <c r="G6840" t="s">
        <v>99</v>
      </c>
      <c r="H6840" t="s">
        <v>26412</v>
      </c>
      <c r="I6840" t="s">
        <v>30</v>
      </c>
      <c r="J6840" t="s">
        <v>41</v>
      </c>
      <c r="K6840" t="s">
        <v>59</v>
      </c>
      <c r="Q6840">
        <v>0</v>
      </c>
      <c r="R6840">
        <v>200</v>
      </c>
      <c r="S6840">
        <v>200</v>
      </c>
      <c r="T6840" t="s">
        <v>26413</v>
      </c>
    </row>
    <row r="6841" spans="1:20" customFormat="1" ht="15" x14ac:dyDescent="0.25">
      <c r="A6841" t="s">
        <v>35</v>
      </c>
      <c r="B6841" t="s">
        <v>61</v>
      </c>
      <c r="C6841" t="str">
        <f>"A0182558"</f>
        <v>A0182558</v>
      </c>
      <c r="D6841" t="s">
        <v>26213</v>
      </c>
      <c r="E6841" t="s">
        <v>26414</v>
      </c>
      <c r="F6841" t="s">
        <v>26215</v>
      </c>
      <c r="G6841" t="s">
        <v>71</v>
      </c>
      <c r="H6841">
        <v>54630</v>
      </c>
      <c r="I6841" t="s">
        <v>30</v>
      </c>
      <c r="J6841" t="s">
        <v>41</v>
      </c>
      <c r="K6841" t="s">
        <v>59</v>
      </c>
      <c r="Q6841">
        <v>0</v>
      </c>
      <c r="R6841">
        <v>0</v>
      </c>
      <c r="S6841">
        <v>0</v>
      </c>
      <c r="T6841" t="s">
        <v>26415</v>
      </c>
    </row>
    <row r="6842" spans="1:20" customFormat="1" ht="15" x14ac:dyDescent="0.25">
      <c r="A6842" t="s">
        <v>35</v>
      </c>
      <c r="B6842" t="s">
        <v>61</v>
      </c>
      <c r="C6842" t="str">
        <f>"A0182557"</f>
        <v>A0182557</v>
      </c>
      <c r="D6842" t="s">
        <v>26416</v>
      </c>
      <c r="E6842" t="s">
        <v>26417</v>
      </c>
      <c r="F6842" t="s">
        <v>11602</v>
      </c>
      <c r="G6842" t="s">
        <v>71</v>
      </c>
      <c r="H6842">
        <v>54601</v>
      </c>
      <c r="I6842" t="s">
        <v>30</v>
      </c>
      <c r="J6842" t="s">
        <v>41</v>
      </c>
      <c r="K6842" t="s">
        <v>59</v>
      </c>
      <c r="Q6842">
        <v>0</v>
      </c>
      <c r="R6842">
        <v>123</v>
      </c>
      <c r="S6842">
        <v>123</v>
      </c>
      <c r="T6842" t="s">
        <v>26418</v>
      </c>
    </row>
    <row r="6843" spans="1:20" customFormat="1" ht="15" x14ac:dyDescent="0.25">
      <c r="A6843" t="s">
        <v>35</v>
      </c>
      <c r="B6843" t="s">
        <v>61</v>
      </c>
      <c r="C6843" t="str">
        <f>"A0182556"</f>
        <v>A0182556</v>
      </c>
      <c r="D6843" t="s">
        <v>26419</v>
      </c>
      <c r="E6843" t="s">
        <v>26420</v>
      </c>
      <c r="F6843" t="s">
        <v>7670</v>
      </c>
      <c r="G6843" t="s">
        <v>99</v>
      </c>
      <c r="H6843">
        <v>11432</v>
      </c>
      <c r="I6843" t="s">
        <v>30</v>
      </c>
      <c r="J6843" t="s">
        <v>41</v>
      </c>
      <c r="K6843" t="s">
        <v>59</v>
      </c>
      <c r="Q6843">
        <v>0</v>
      </c>
      <c r="R6843">
        <v>220</v>
      </c>
      <c r="S6843">
        <v>220</v>
      </c>
      <c r="T6843" t="s">
        <v>26421</v>
      </c>
    </row>
    <row r="6844" spans="1:20" customFormat="1" ht="15" x14ac:dyDescent="0.25">
      <c r="A6844" t="s">
        <v>35</v>
      </c>
      <c r="B6844" t="s">
        <v>61</v>
      </c>
      <c r="C6844" t="str">
        <f>"A0182555"</f>
        <v>A0182555</v>
      </c>
      <c r="D6844" t="s">
        <v>26422</v>
      </c>
      <c r="E6844" t="s">
        <v>25865</v>
      </c>
      <c r="F6844" t="s">
        <v>23833</v>
      </c>
      <c r="G6844" t="s">
        <v>99</v>
      </c>
      <c r="H6844" t="s">
        <v>25866</v>
      </c>
      <c r="I6844" t="s">
        <v>30</v>
      </c>
      <c r="J6844" t="s">
        <v>41</v>
      </c>
      <c r="K6844" t="s">
        <v>59</v>
      </c>
      <c r="Q6844">
        <v>0</v>
      </c>
      <c r="R6844">
        <v>0</v>
      </c>
      <c r="S6844">
        <v>0</v>
      </c>
      <c r="T6844" t="s">
        <v>26423</v>
      </c>
    </row>
    <row r="6845" spans="1:20" customFormat="1" ht="15" x14ac:dyDescent="0.25">
      <c r="A6845" t="s">
        <v>35</v>
      </c>
      <c r="B6845" t="s">
        <v>61</v>
      </c>
      <c r="C6845" t="str">
        <f>"A0182554"</f>
        <v>A0182554</v>
      </c>
      <c r="D6845" t="s">
        <v>26424</v>
      </c>
      <c r="E6845" t="s">
        <v>26425</v>
      </c>
      <c r="F6845" t="s">
        <v>25384</v>
      </c>
      <c r="G6845" t="s">
        <v>99</v>
      </c>
      <c r="H6845" t="s">
        <v>26426</v>
      </c>
      <c r="I6845" t="s">
        <v>30</v>
      </c>
      <c r="J6845" t="s">
        <v>41</v>
      </c>
      <c r="K6845" t="s">
        <v>59</v>
      </c>
      <c r="Q6845">
        <v>0</v>
      </c>
      <c r="R6845">
        <v>0</v>
      </c>
      <c r="S6845">
        <v>0</v>
      </c>
      <c r="T6845" t="s">
        <v>26427</v>
      </c>
    </row>
    <row r="6846" spans="1:20" customFormat="1" ht="15" x14ac:dyDescent="0.25">
      <c r="A6846" t="s">
        <v>35</v>
      </c>
      <c r="B6846" t="s">
        <v>61</v>
      </c>
      <c r="C6846" t="str">
        <f>"A0182553"</f>
        <v>A0182553</v>
      </c>
      <c r="D6846" t="s">
        <v>26428</v>
      </c>
      <c r="E6846" t="s">
        <v>26429</v>
      </c>
      <c r="F6846" t="s">
        <v>22419</v>
      </c>
      <c r="G6846" t="s">
        <v>99</v>
      </c>
      <c r="H6846" t="s">
        <v>26430</v>
      </c>
      <c r="I6846" t="s">
        <v>30</v>
      </c>
      <c r="J6846" t="s">
        <v>41</v>
      </c>
      <c r="K6846" t="s">
        <v>59</v>
      </c>
      <c r="Q6846">
        <v>0</v>
      </c>
      <c r="R6846">
        <v>0</v>
      </c>
      <c r="S6846">
        <v>0</v>
      </c>
    </row>
    <row r="6847" spans="1:20" customFormat="1" ht="15" x14ac:dyDescent="0.25">
      <c r="A6847" t="s">
        <v>35</v>
      </c>
      <c r="B6847" t="s">
        <v>61</v>
      </c>
      <c r="C6847" t="str">
        <f>"A0182552"</f>
        <v>A0182552</v>
      </c>
      <c r="D6847" t="s">
        <v>26431</v>
      </c>
      <c r="E6847" t="s">
        <v>26432</v>
      </c>
      <c r="F6847" t="s">
        <v>25388</v>
      </c>
      <c r="G6847" t="s">
        <v>99</v>
      </c>
      <c r="H6847" t="s">
        <v>26433</v>
      </c>
      <c r="I6847" t="s">
        <v>30</v>
      </c>
      <c r="J6847" t="s">
        <v>41</v>
      </c>
      <c r="K6847" t="s">
        <v>59</v>
      </c>
      <c r="Q6847">
        <v>0</v>
      </c>
      <c r="R6847">
        <v>0</v>
      </c>
      <c r="S6847">
        <v>0</v>
      </c>
      <c r="T6847" t="s">
        <v>26434</v>
      </c>
    </row>
    <row r="6848" spans="1:20" customFormat="1" ht="15" x14ac:dyDescent="0.25">
      <c r="A6848" t="s">
        <v>35</v>
      </c>
      <c r="B6848" t="s">
        <v>61</v>
      </c>
      <c r="C6848" t="str">
        <f>"A0182551"</f>
        <v>A0182551</v>
      </c>
      <c r="D6848" t="s">
        <v>26435</v>
      </c>
      <c r="E6848" t="s">
        <v>26436</v>
      </c>
      <c r="F6848" t="s">
        <v>5772</v>
      </c>
      <c r="G6848" t="s">
        <v>899</v>
      </c>
      <c r="H6848" t="s">
        <v>26437</v>
      </c>
      <c r="I6848" t="s">
        <v>30</v>
      </c>
      <c r="J6848" t="s">
        <v>41</v>
      </c>
      <c r="K6848" t="s">
        <v>59</v>
      </c>
      <c r="Q6848">
        <v>0</v>
      </c>
      <c r="R6848">
        <v>0</v>
      </c>
      <c r="S6848">
        <v>0</v>
      </c>
      <c r="T6848" t="s">
        <v>26438</v>
      </c>
    </row>
    <row r="6849" spans="1:20" customFormat="1" ht="15" x14ac:dyDescent="0.25">
      <c r="A6849" t="s">
        <v>35</v>
      </c>
      <c r="B6849" t="s">
        <v>61</v>
      </c>
      <c r="C6849" t="str">
        <f>"A0182550"</f>
        <v>A0182550</v>
      </c>
      <c r="D6849" t="s">
        <v>26439</v>
      </c>
      <c r="E6849" t="s">
        <v>26440</v>
      </c>
      <c r="F6849" t="s">
        <v>22300</v>
      </c>
      <c r="G6849" t="s">
        <v>899</v>
      </c>
      <c r="H6849" t="s">
        <v>26441</v>
      </c>
      <c r="I6849" t="s">
        <v>30</v>
      </c>
      <c r="J6849" t="s">
        <v>41</v>
      </c>
      <c r="K6849" t="s">
        <v>59</v>
      </c>
      <c r="Q6849">
        <v>0</v>
      </c>
      <c r="R6849">
        <v>66</v>
      </c>
      <c r="S6849">
        <v>66</v>
      </c>
      <c r="T6849" t="s">
        <v>26442</v>
      </c>
    </row>
    <row r="6850" spans="1:20" customFormat="1" ht="15" x14ac:dyDescent="0.25">
      <c r="A6850" t="s">
        <v>35</v>
      </c>
      <c r="B6850" t="s">
        <v>61</v>
      </c>
      <c r="C6850" t="str">
        <f>"A0182549"</f>
        <v>A0182549</v>
      </c>
      <c r="D6850" t="s">
        <v>26443</v>
      </c>
      <c r="E6850" t="s">
        <v>26444</v>
      </c>
      <c r="F6850" t="s">
        <v>26445</v>
      </c>
      <c r="G6850" t="s">
        <v>899</v>
      </c>
      <c r="H6850" t="s">
        <v>26446</v>
      </c>
      <c r="I6850" t="s">
        <v>30</v>
      </c>
      <c r="J6850" t="s">
        <v>41</v>
      </c>
      <c r="K6850" t="s">
        <v>59</v>
      </c>
      <c r="Q6850">
        <v>0</v>
      </c>
      <c r="R6850">
        <v>0</v>
      </c>
      <c r="S6850">
        <v>0</v>
      </c>
      <c r="T6850" t="s">
        <v>26447</v>
      </c>
    </row>
    <row r="6851" spans="1:20" customFormat="1" ht="15" x14ac:dyDescent="0.25">
      <c r="A6851" t="s">
        <v>35</v>
      </c>
      <c r="B6851" t="s">
        <v>61</v>
      </c>
      <c r="C6851" t="str">
        <f>"A0182548"</f>
        <v>A0182548</v>
      </c>
      <c r="D6851" t="s">
        <v>26448</v>
      </c>
      <c r="E6851" t="s">
        <v>26056</v>
      </c>
      <c r="F6851" t="s">
        <v>9621</v>
      </c>
      <c r="G6851" t="s">
        <v>899</v>
      </c>
      <c r="H6851" t="s">
        <v>26057</v>
      </c>
      <c r="I6851" t="s">
        <v>30</v>
      </c>
      <c r="J6851" t="s">
        <v>41</v>
      </c>
      <c r="K6851" t="s">
        <v>59</v>
      </c>
      <c r="Q6851">
        <v>0</v>
      </c>
      <c r="R6851">
        <v>69</v>
      </c>
      <c r="S6851">
        <v>69</v>
      </c>
      <c r="T6851" t="s">
        <v>26449</v>
      </c>
    </row>
    <row r="6852" spans="1:20" customFormat="1" ht="15" x14ac:dyDescent="0.25">
      <c r="A6852" t="s">
        <v>35</v>
      </c>
      <c r="B6852" t="s">
        <v>61</v>
      </c>
      <c r="C6852" t="str">
        <f>"A0182547"</f>
        <v>A0182547</v>
      </c>
      <c r="D6852" t="s">
        <v>26450</v>
      </c>
      <c r="E6852" t="s">
        <v>26451</v>
      </c>
      <c r="F6852" t="s">
        <v>9621</v>
      </c>
      <c r="G6852" t="s">
        <v>899</v>
      </c>
      <c r="H6852" t="s">
        <v>26452</v>
      </c>
      <c r="I6852" t="s">
        <v>30</v>
      </c>
      <c r="J6852" t="s">
        <v>41</v>
      </c>
      <c r="K6852" t="s">
        <v>59</v>
      </c>
      <c r="Q6852">
        <v>0</v>
      </c>
      <c r="R6852">
        <v>231</v>
      </c>
      <c r="S6852">
        <v>231</v>
      </c>
      <c r="T6852" t="s">
        <v>26453</v>
      </c>
    </row>
    <row r="6853" spans="1:20" customFormat="1" ht="15" x14ac:dyDescent="0.25">
      <c r="A6853" t="s">
        <v>35</v>
      </c>
      <c r="B6853" t="s">
        <v>61</v>
      </c>
      <c r="C6853" t="str">
        <f>"A0182546"</f>
        <v>A0182546</v>
      </c>
      <c r="D6853" t="s">
        <v>26454</v>
      </c>
      <c r="E6853" t="s">
        <v>26455</v>
      </c>
      <c r="F6853" t="s">
        <v>26456</v>
      </c>
      <c r="G6853" t="s">
        <v>99</v>
      </c>
      <c r="H6853" t="s">
        <v>26457</v>
      </c>
      <c r="I6853" t="s">
        <v>30</v>
      </c>
      <c r="J6853" t="s">
        <v>41</v>
      </c>
      <c r="K6853" t="s">
        <v>59</v>
      </c>
      <c r="Q6853">
        <v>0</v>
      </c>
      <c r="R6853">
        <v>42</v>
      </c>
      <c r="S6853">
        <v>42</v>
      </c>
      <c r="T6853" t="s">
        <v>26458</v>
      </c>
    </row>
    <row r="6854" spans="1:20" customFormat="1" ht="15" x14ac:dyDescent="0.25">
      <c r="A6854" t="s">
        <v>35</v>
      </c>
      <c r="B6854" t="s">
        <v>61</v>
      </c>
      <c r="C6854" t="str">
        <f>"A0182545"</f>
        <v>A0182545</v>
      </c>
      <c r="D6854" t="s">
        <v>26459</v>
      </c>
      <c r="E6854" t="s">
        <v>26460</v>
      </c>
      <c r="F6854" t="s">
        <v>5772</v>
      </c>
      <c r="G6854" t="s">
        <v>99</v>
      </c>
      <c r="H6854" t="s">
        <v>26461</v>
      </c>
      <c r="I6854" t="s">
        <v>30</v>
      </c>
      <c r="J6854" t="s">
        <v>41</v>
      </c>
      <c r="K6854" t="s">
        <v>59</v>
      </c>
      <c r="Q6854">
        <v>0</v>
      </c>
      <c r="R6854">
        <v>0</v>
      </c>
      <c r="S6854">
        <v>0</v>
      </c>
      <c r="T6854" t="s">
        <v>26462</v>
      </c>
    </row>
    <row r="6855" spans="1:20" customFormat="1" ht="15" x14ac:dyDescent="0.25">
      <c r="A6855" t="s">
        <v>35</v>
      </c>
      <c r="B6855" t="s">
        <v>61</v>
      </c>
      <c r="C6855" t="str">
        <f>"A0182544"</f>
        <v>A0182544</v>
      </c>
      <c r="D6855" t="s">
        <v>26463</v>
      </c>
      <c r="E6855" t="s">
        <v>26211</v>
      </c>
      <c r="F6855" t="s">
        <v>10577</v>
      </c>
      <c r="G6855" t="s">
        <v>71</v>
      </c>
      <c r="H6855" t="s">
        <v>26464</v>
      </c>
      <c r="I6855" t="s">
        <v>30</v>
      </c>
      <c r="J6855" t="s">
        <v>41</v>
      </c>
      <c r="K6855" t="s">
        <v>59</v>
      </c>
      <c r="Q6855">
        <v>0</v>
      </c>
      <c r="R6855">
        <v>0</v>
      </c>
      <c r="S6855">
        <v>0</v>
      </c>
      <c r="T6855" t="s">
        <v>26263</v>
      </c>
    </row>
    <row r="6856" spans="1:20" customFormat="1" ht="15" x14ac:dyDescent="0.25">
      <c r="A6856" t="s">
        <v>35</v>
      </c>
      <c r="B6856" t="s">
        <v>61</v>
      </c>
      <c r="C6856" t="str">
        <f>"A0182543"</f>
        <v>A0182543</v>
      </c>
      <c r="D6856" t="s">
        <v>26465</v>
      </c>
      <c r="E6856" t="s">
        <v>26231</v>
      </c>
      <c r="F6856" t="s">
        <v>70</v>
      </c>
      <c r="G6856" t="s">
        <v>71</v>
      </c>
      <c r="H6856">
        <v>54020</v>
      </c>
      <c r="I6856" t="s">
        <v>30</v>
      </c>
      <c r="J6856" t="s">
        <v>41</v>
      </c>
      <c r="K6856" t="s">
        <v>59</v>
      </c>
      <c r="Q6856">
        <v>0</v>
      </c>
      <c r="R6856">
        <v>18</v>
      </c>
      <c r="S6856">
        <v>18</v>
      </c>
    </row>
    <row r="6857" spans="1:20" customFormat="1" ht="15" x14ac:dyDescent="0.25">
      <c r="A6857" t="s">
        <v>35</v>
      </c>
      <c r="B6857" t="s">
        <v>61</v>
      </c>
      <c r="C6857" t="str">
        <f>"A0182542"</f>
        <v>A0182542</v>
      </c>
      <c r="D6857" t="s">
        <v>26466</v>
      </c>
      <c r="E6857" t="s">
        <v>26467</v>
      </c>
      <c r="F6857" t="s">
        <v>472</v>
      </c>
      <c r="G6857" t="s">
        <v>214</v>
      </c>
      <c r="H6857" t="s">
        <v>26468</v>
      </c>
      <c r="I6857" t="s">
        <v>30</v>
      </c>
      <c r="J6857" t="s">
        <v>41</v>
      </c>
      <c r="K6857" t="s">
        <v>59</v>
      </c>
      <c r="Q6857">
        <v>0</v>
      </c>
      <c r="R6857">
        <v>0</v>
      </c>
      <c r="S6857">
        <v>0</v>
      </c>
      <c r="T6857" t="s">
        <v>26469</v>
      </c>
    </row>
    <row r="6858" spans="1:20" customFormat="1" ht="15" x14ac:dyDescent="0.25">
      <c r="A6858" t="s">
        <v>35</v>
      </c>
      <c r="B6858" t="s">
        <v>61</v>
      </c>
      <c r="C6858" t="str">
        <f>"A0182541"</f>
        <v>A0182541</v>
      </c>
      <c r="D6858" t="s">
        <v>26470</v>
      </c>
      <c r="E6858" t="s">
        <v>26471</v>
      </c>
      <c r="F6858" t="s">
        <v>26472</v>
      </c>
      <c r="G6858" t="s">
        <v>214</v>
      </c>
      <c r="H6858">
        <v>28078</v>
      </c>
      <c r="I6858" t="s">
        <v>30</v>
      </c>
      <c r="J6858" t="s">
        <v>41</v>
      </c>
      <c r="K6858" t="s">
        <v>59</v>
      </c>
      <c r="Q6858">
        <v>0</v>
      </c>
      <c r="R6858">
        <v>0</v>
      </c>
      <c r="S6858">
        <v>0</v>
      </c>
    </row>
    <row r="6859" spans="1:20" customFormat="1" ht="15" x14ac:dyDescent="0.25">
      <c r="A6859" t="s">
        <v>35</v>
      </c>
      <c r="B6859" t="s">
        <v>61</v>
      </c>
      <c r="C6859" t="str">
        <f>"A0182540"</f>
        <v>A0182540</v>
      </c>
      <c r="D6859" t="s">
        <v>26473</v>
      </c>
      <c r="E6859" t="s">
        <v>26474</v>
      </c>
      <c r="F6859" t="s">
        <v>1926</v>
      </c>
      <c r="G6859" t="s">
        <v>214</v>
      </c>
      <c r="H6859">
        <v>28226</v>
      </c>
      <c r="I6859" t="s">
        <v>30</v>
      </c>
      <c r="J6859" t="s">
        <v>41</v>
      </c>
      <c r="K6859" t="s">
        <v>59</v>
      </c>
      <c r="Q6859">
        <v>0</v>
      </c>
      <c r="R6859">
        <v>29</v>
      </c>
      <c r="S6859">
        <v>29</v>
      </c>
      <c r="T6859" t="s">
        <v>26475</v>
      </c>
    </row>
    <row r="6860" spans="1:20" customFormat="1" ht="15" x14ac:dyDescent="0.25">
      <c r="A6860" t="s">
        <v>35</v>
      </c>
      <c r="B6860" t="s">
        <v>61</v>
      </c>
      <c r="C6860" t="str">
        <f>"A0182539"</f>
        <v>A0182539</v>
      </c>
      <c r="D6860" t="s">
        <v>26476</v>
      </c>
      <c r="E6860" t="s">
        <v>26477</v>
      </c>
      <c r="F6860" t="s">
        <v>938</v>
      </c>
      <c r="G6860" t="s">
        <v>214</v>
      </c>
      <c r="H6860" t="s">
        <v>26478</v>
      </c>
      <c r="I6860" t="s">
        <v>30</v>
      </c>
      <c r="J6860" t="s">
        <v>41</v>
      </c>
      <c r="K6860" t="s">
        <v>59</v>
      </c>
      <c r="Q6860">
        <v>0</v>
      </c>
      <c r="R6860">
        <v>60</v>
      </c>
      <c r="S6860">
        <v>60</v>
      </c>
      <c r="T6860" t="s">
        <v>26479</v>
      </c>
    </row>
    <row r="6861" spans="1:20" customFormat="1" ht="15" x14ac:dyDescent="0.25">
      <c r="A6861" t="s">
        <v>35</v>
      </c>
      <c r="B6861" t="s">
        <v>11871</v>
      </c>
      <c r="C6861" t="str">
        <f>"A0182538"</f>
        <v>A0182538</v>
      </c>
      <c r="D6861" t="s">
        <v>26480</v>
      </c>
      <c r="E6861" t="s">
        <v>26481</v>
      </c>
      <c r="F6861" t="s">
        <v>8198</v>
      </c>
      <c r="G6861" t="s">
        <v>214</v>
      </c>
      <c r="H6861">
        <v>28801</v>
      </c>
      <c r="I6861" t="s">
        <v>30</v>
      </c>
      <c r="J6861" t="s">
        <v>41</v>
      </c>
      <c r="K6861" t="s">
        <v>59</v>
      </c>
      <c r="Q6861">
        <v>0</v>
      </c>
      <c r="R6861">
        <v>244</v>
      </c>
      <c r="S6861">
        <v>244</v>
      </c>
      <c r="T6861" t="s">
        <v>26482</v>
      </c>
    </row>
    <row r="6862" spans="1:20" customFormat="1" ht="15" x14ac:dyDescent="0.25">
      <c r="A6862" t="s">
        <v>35</v>
      </c>
      <c r="B6862" t="s">
        <v>61</v>
      </c>
      <c r="C6862" t="str">
        <f>"A0182537"</f>
        <v>A0182537</v>
      </c>
      <c r="D6862" t="s">
        <v>26483</v>
      </c>
      <c r="E6862" t="s">
        <v>26484</v>
      </c>
      <c r="F6862" t="s">
        <v>460</v>
      </c>
      <c r="G6862" t="s">
        <v>117</v>
      </c>
      <c r="H6862" t="s">
        <v>26485</v>
      </c>
      <c r="I6862" t="s">
        <v>30</v>
      </c>
      <c r="J6862" t="s">
        <v>41</v>
      </c>
      <c r="K6862" t="s">
        <v>59</v>
      </c>
      <c r="Q6862">
        <v>0</v>
      </c>
      <c r="R6862">
        <v>0</v>
      </c>
      <c r="S6862">
        <v>0</v>
      </c>
    </row>
    <row r="6863" spans="1:20" customFormat="1" ht="15" x14ac:dyDescent="0.25">
      <c r="A6863" t="s">
        <v>35</v>
      </c>
      <c r="B6863" t="s">
        <v>61</v>
      </c>
      <c r="C6863" t="str">
        <f>"A0182536"</f>
        <v>A0182536</v>
      </c>
      <c r="D6863" t="s">
        <v>26486</v>
      </c>
      <c r="E6863" t="s">
        <v>26487</v>
      </c>
      <c r="F6863" t="s">
        <v>26488</v>
      </c>
      <c r="G6863" t="s">
        <v>899</v>
      </c>
      <c r="H6863">
        <v>1824</v>
      </c>
      <c r="I6863" t="s">
        <v>30</v>
      </c>
      <c r="J6863" t="s">
        <v>41</v>
      </c>
      <c r="K6863" t="s">
        <v>59</v>
      </c>
      <c r="Q6863">
        <v>0</v>
      </c>
      <c r="R6863">
        <v>0</v>
      </c>
      <c r="S6863">
        <v>0</v>
      </c>
      <c r="T6863" t="s">
        <v>26489</v>
      </c>
    </row>
    <row r="6864" spans="1:20" customFormat="1" ht="15" x14ac:dyDescent="0.25">
      <c r="A6864" t="s">
        <v>35</v>
      </c>
      <c r="B6864" t="s">
        <v>61</v>
      </c>
      <c r="C6864" t="str">
        <f>"A0182535"</f>
        <v>A0182535</v>
      </c>
      <c r="D6864" t="s">
        <v>26490</v>
      </c>
      <c r="E6864" t="s">
        <v>26491</v>
      </c>
      <c r="F6864" t="s">
        <v>26492</v>
      </c>
      <c r="G6864" t="s">
        <v>899</v>
      </c>
      <c r="H6864">
        <v>2093</v>
      </c>
      <c r="I6864" t="s">
        <v>30</v>
      </c>
      <c r="J6864" t="s">
        <v>41</v>
      </c>
      <c r="K6864" t="s">
        <v>59</v>
      </c>
      <c r="Q6864">
        <v>0</v>
      </c>
      <c r="R6864">
        <v>43</v>
      </c>
      <c r="S6864">
        <v>43</v>
      </c>
      <c r="T6864" t="s">
        <v>26493</v>
      </c>
    </row>
    <row r="6865" spans="1:20" customFormat="1" ht="15" x14ac:dyDescent="0.25">
      <c r="A6865" t="s">
        <v>35</v>
      </c>
      <c r="B6865" t="s">
        <v>61</v>
      </c>
      <c r="C6865" t="str">
        <f>"A0182534"</f>
        <v>A0182534</v>
      </c>
      <c r="D6865" t="s">
        <v>26494</v>
      </c>
      <c r="E6865" t="s">
        <v>26495</v>
      </c>
      <c r="F6865" t="s">
        <v>26496</v>
      </c>
      <c r="G6865" t="s">
        <v>899</v>
      </c>
      <c r="H6865" t="s">
        <v>26497</v>
      </c>
      <c r="I6865" t="s">
        <v>30</v>
      </c>
      <c r="J6865" t="s">
        <v>41</v>
      </c>
      <c r="K6865" t="s">
        <v>59</v>
      </c>
      <c r="Q6865">
        <v>0</v>
      </c>
      <c r="R6865">
        <v>34</v>
      </c>
      <c r="S6865">
        <v>34</v>
      </c>
      <c r="T6865" t="s">
        <v>26498</v>
      </c>
    </row>
    <row r="6866" spans="1:20" customFormat="1" ht="15" x14ac:dyDescent="0.25">
      <c r="A6866" t="s">
        <v>35</v>
      </c>
      <c r="B6866" t="s">
        <v>61</v>
      </c>
      <c r="C6866" t="str">
        <f>"A0182533"</f>
        <v>A0182533</v>
      </c>
      <c r="D6866" t="s">
        <v>26499</v>
      </c>
      <c r="E6866" t="s">
        <v>26500</v>
      </c>
      <c r="F6866" t="s">
        <v>22419</v>
      </c>
      <c r="G6866" t="s">
        <v>99</v>
      </c>
      <c r="H6866" t="s">
        <v>26501</v>
      </c>
      <c r="I6866" t="s">
        <v>30</v>
      </c>
      <c r="J6866" t="s">
        <v>41</v>
      </c>
      <c r="K6866" t="s">
        <v>59</v>
      </c>
      <c r="Q6866">
        <v>0</v>
      </c>
      <c r="R6866">
        <v>0</v>
      </c>
      <c r="S6866">
        <v>0</v>
      </c>
      <c r="T6866" t="s">
        <v>26502</v>
      </c>
    </row>
    <row r="6867" spans="1:20" customFormat="1" ht="15" x14ac:dyDescent="0.25">
      <c r="A6867" t="s">
        <v>35</v>
      </c>
      <c r="B6867" t="s">
        <v>61</v>
      </c>
      <c r="C6867" t="str">
        <f>"A0182532"</f>
        <v>A0182532</v>
      </c>
      <c r="D6867" t="s">
        <v>26503</v>
      </c>
      <c r="E6867" t="s">
        <v>26500</v>
      </c>
      <c r="F6867" t="s">
        <v>22419</v>
      </c>
      <c r="G6867" t="s">
        <v>99</v>
      </c>
      <c r="H6867">
        <v>13669</v>
      </c>
      <c r="I6867" t="s">
        <v>30</v>
      </c>
      <c r="J6867" t="s">
        <v>41</v>
      </c>
      <c r="K6867" t="s">
        <v>59</v>
      </c>
      <c r="Q6867">
        <v>0</v>
      </c>
      <c r="R6867">
        <v>0</v>
      </c>
      <c r="S6867">
        <v>0</v>
      </c>
      <c r="T6867" t="s">
        <v>26504</v>
      </c>
    </row>
    <row r="6868" spans="1:20" customFormat="1" ht="15" x14ac:dyDescent="0.25">
      <c r="A6868" t="s">
        <v>35</v>
      </c>
      <c r="B6868" t="s">
        <v>61</v>
      </c>
      <c r="C6868" t="str">
        <f>"A0182531"</f>
        <v>A0182531</v>
      </c>
      <c r="D6868" t="s">
        <v>26505</v>
      </c>
      <c r="E6868" t="s">
        <v>26506</v>
      </c>
      <c r="F6868" t="s">
        <v>23833</v>
      </c>
      <c r="G6868" t="s">
        <v>99</v>
      </c>
      <c r="H6868" t="s">
        <v>26507</v>
      </c>
      <c r="I6868" t="s">
        <v>30</v>
      </c>
      <c r="J6868" t="s">
        <v>41</v>
      </c>
      <c r="K6868" t="s">
        <v>59</v>
      </c>
      <c r="Q6868">
        <v>0</v>
      </c>
      <c r="R6868">
        <v>0</v>
      </c>
      <c r="S6868">
        <v>0</v>
      </c>
      <c r="T6868" t="s">
        <v>26508</v>
      </c>
    </row>
    <row r="6869" spans="1:20" customFormat="1" ht="15" x14ac:dyDescent="0.25">
      <c r="A6869" t="s">
        <v>35</v>
      </c>
      <c r="B6869" t="s">
        <v>61</v>
      </c>
      <c r="C6869" t="str">
        <f>"A0182530"</f>
        <v>A0182530</v>
      </c>
      <c r="D6869" t="s">
        <v>26509</v>
      </c>
      <c r="E6869" t="s">
        <v>26510</v>
      </c>
      <c r="F6869" t="s">
        <v>23833</v>
      </c>
      <c r="G6869" t="s">
        <v>99</v>
      </c>
      <c r="H6869" t="s">
        <v>26511</v>
      </c>
      <c r="I6869" t="s">
        <v>30</v>
      </c>
      <c r="J6869" t="s">
        <v>41</v>
      </c>
      <c r="K6869" t="s">
        <v>59</v>
      </c>
      <c r="Q6869">
        <v>0</v>
      </c>
      <c r="R6869">
        <v>206</v>
      </c>
      <c r="S6869">
        <v>206</v>
      </c>
      <c r="T6869" t="s">
        <v>26512</v>
      </c>
    </row>
    <row r="6870" spans="1:20" customFormat="1" ht="15" x14ac:dyDescent="0.25">
      <c r="A6870" t="s">
        <v>35</v>
      </c>
      <c r="B6870" t="s">
        <v>61</v>
      </c>
      <c r="C6870" t="str">
        <f>"A0182529"</f>
        <v>A0182529</v>
      </c>
      <c r="D6870" t="s">
        <v>26513</v>
      </c>
      <c r="E6870" t="s">
        <v>23920</v>
      </c>
      <c r="F6870" t="s">
        <v>23921</v>
      </c>
      <c r="G6870" t="s">
        <v>99</v>
      </c>
      <c r="H6870" t="s">
        <v>23922</v>
      </c>
      <c r="I6870" t="s">
        <v>30</v>
      </c>
      <c r="J6870" t="s">
        <v>41</v>
      </c>
      <c r="K6870" t="s">
        <v>59</v>
      </c>
      <c r="Q6870">
        <v>0</v>
      </c>
      <c r="R6870">
        <v>0</v>
      </c>
      <c r="S6870">
        <v>0</v>
      </c>
    </row>
    <row r="6871" spans="1:20" customFormat="1" ht="15" x14ac:dyDescent="0.25">
      <c r="A6871" t="s">
        <v>35</v>
      </c>
      <c r="B6871" t="s">
        <v>61</v>
      </c>
      <c r="C6871" t="str">
        <f>"A0182528"</f>
        <v>A0182528</v>
      </c>
      <c r="D6871" t="s">
        <v>26514</v>
      </c>
      <c r="E6871" t="s">
        <v>26515</v>
      </c>
      <c r="F6871" t="s">
        <v>26516</v>
      </c>
      <c r="G6871" t="s">
        <v>99</v>
      </c>
      <c r="H6871" t="s">
        <v>26517</v>
      </c>
      <c r="I6871" t="s">
        <v>30</v>
      </c>
      <c r="J6871" t="s">
        <v>41</v>
      </c>
      <c r="K6871" t="s">
        <v>59</v>
      </c>
      <c r="Q6871">
        <v>0</v>
      </c>
      <c r="R6871">
        <v>0</v>
      </c>
      <c r="S6871">
        <v>0</v>
      </c>
      <c r="T6871" t="s">
        <v>26518</v>
      </c>
    </row>
    <row r="6872" spans="1:20" customFormat="1" ht="15" x14ac:dyDescent="0.25">
      <c r="A6872" t="s">
        <v>35</v>
      </c>
      <c r="B6872" t="s">
        <v>11871</v>
      </c>
      <c r="C6872" t="str">
        <f>"A0182527"</f>
        <v>A0182527</v>
      </c>
      <c r="D6872" t="s">
        <v>26519</v>
      </c>
      <c r="E6872" t="s">
        <v>26520</v>
      </c>
      <c r="F6872" t="s">
        <v>2748</v>
      </c>
      <c r="G6872" t="s">
        <v>65</v>
      </c>
      <c r="H6872">
        <v>436045300</v>
      </c>
      <c r="I6872" t="s">
        <v>30</v>
      </c>
      <c r="J6872" t="s">
        <v>41</v>
      </c>
      <c r="K6872" t="s">
        <v>59</v>
      </c>
      <c r="Q6872">
        <v>0</v>
      </c>
      <c r="R6872">
        <v>0</v>
      </c>
      <c r="S6872">
        <v>0</v>
      </c>
    </row>
    <row r="6873" spans="1:20" customFormat="1" ht="15" x14ac:dyDescent="0.25">
      <c r="A6873" t="s">
        <v>35</v>
      </c>
      <c r="B6873" t="s">
        <v>61</v>
      </c>
      <c r="C6873" t="str">
        <f>"A0182526"</f>
        <v>A0182526</v>
      </c>
      <c r="D6873" t="s">
        <v>26521</v>
      </c>
      <c r="E6873" t="s">
        <v>26522</v>
      </c>
      <c r="F6873" t="s">
        <v>3685</v>
      </c>
      <c r="G6873" t="s">
        <v>214</v>
      </c>
      <c r="H6873" t="s">
        <v>26523</v>
      </c>
      <c r="I6873" t="s">
        <v>30</v>
      </c>
      <c r="J6873" t="s">
        <v>41</v>
      </c>
      <c r="K6873" t="s">
        <v>59</v>
      </c>
      <c r="Q6873">
        <v>0</v>
      </c>
      <c r="R6873">
        <v>60</v>
      </c>
      <c r="S6873">
        <v>60</v>
      </c>
      <c r="T6873" t="s">
        <v>26524</v>
      </c>
    </row>
    <row r="6874" spans="1:20" customFormat="1" ht="15" x14ac:dyDescent="0.25">
      <c r="A6874" t="s">
        <v>35</v>
      </c>
      <c r="B6874" t="s">
        <v>61</v>
      </c>
      <c r="C6874" t="str">
        <f>"A0182525"</f>
        <v>A0182525</v>
      </c>
      <c r="D6874" t="s">
        <v>26525</v>
      </c>
      <c r="E6874" t="s">
        <v>26526</v>
      </c>
      <c r="F6874" t="s">
        <v>11482</v>
      </c>
      <c r="G6874" t="s">
        <v>71</v>
      </c>
      <c r="H6874">
        <v>54669</v>
      </c>
      <c r="I6874" t="s">
        <v>30</v>
      </c>
      <c r="J6874" t="s">
        <v>41</v>
      </c>
      <c r="K6874" t="s">
        <v>59</v>
      </c>
      <c r="Q6874">
        <v>0</v>
      </c>
      <c r="R6874">
        <v>45</v>
      </c>
      <c r="S6874">
        <v>45</v>
      </c>
      <c r="T6874" t="s">
        <v>26527</v>
      </c>
    </row>
    <row r="6875" spans="1:20" customFormat="1" ht="15" x14ac:dyDescent="0.25">
      <c r="A6875" t="s">
        <v>35</v>
      </c>
      <c r="B6875" t="s">
        <v>61</v>
      </c>
      <c r="C6875" t="str">
        <f>"A0182524"</f>
        <v>A0182524</v>
      </c>
      <c r="D6875" t="s">
        <v>26528</v>
      </c>
      <c r="E6875" t="s">
        <v>26529</v>
      </c>
      <c r="F6875" t="s">
        <v>635</v>
      </c>
      <c r="G6875" t="s">
        <v>214</v>
      </c>
      <c r="H6875" t="s">
        <v>26530</v>
      </c>
      <c r="I6875" t="s">
        <v>30</v>
      </c>
      <c r="J6875" t="s">
        <v>41</v>
      </c>
      <c r="K6875" t="s">
        <v>59</v>
      </c>
      <c r="Q6875">
        <v>0</v>
      </c>
      <c r="R6875">
        <v>105</v>
      </c>
      <c r="S6875">
        <v>105</v>
      </c>
      <c r="T6875" t="s">
        <v>26531</v>
      </c>
    </row>
    <row r="6876" spans="1:20" customFormat="1" ht="15" x14ac:dyDescent="0.25">
      <c r="A6876" t="s">
        <v>35</v>
      </c>
      <c r="B6876" t="s">
        <v>61</v>
      </c>
      <c r="C6876" t="str">
        <f>"A0182523"</f>
        <v>A0182523</v>
      </c>
      <c r="D6876" t="s">
        <v>26532</v>
      </c>
      <c r="E6876" t="s">
        <v>26533</v>
      </c>
      <c r="F6876" t="s">
        <v>1926</v>
      </c>
      <c r="G6876" t="s">
        <v>214</v>
      </c>
      <c r="H6876" t="s">
        <v>26534</v>
      </c>
      <c r="I6876" t="s">
        <v>30</v>
      </c>
      <c r="J6876" t="s">
        <v>41</v>
      </c>
      <c r="K6876" t="s">
        <v>59</v>
      </c>
      <c r="Q6876">
        <v>0</v>
      </c>
      <c r="R6876">
        <v>96</v>
      </c>
      <c r="S6876">
        <v>96</v>
      </c>
      <c r="T6876" t="s">
        <v>26535</v>
      </c>
    </row>
    <row r="6877" spans="1:20" customFormat="1" ht="15" x14ac:dyDescent="0.25">
      <c r="A6877" t="s">
        <v>35</v>
      </c>
      <c r="B6877" t="s">
        <v>61</v>
      </c>
      <c r="C6877" t="str">
        <f>"A0182522"</f>
        <v>A0182522</v>
      </c>
      <c r="D6877" t="s">
        <v>26536</v>
      </c>
      <c r="E6877" t="s">
        <v>26537</v>
      </c>
      <c r="F6877" t="s">
        <v>894</v>
      </c>
      <c r="G6877" t="s">
        <v>117</v>
      </c>
      <c r="H6877" t="s">
        <v>26538</v>
      </c>
      <c r="I6877" t="s">
        <v>30</v>
      </c>
      <c r="J6877" t="s">
        <v>41</v>
      </c>
      <c r="K6877" t="s">
        <v>59</v>
      </c>
      <c r="Q6877">
        <v>0</v>
      </c>
      <c r="R6877">
        <v>89</v>
      </c>
      <c r="S6877">
        <v>89</v>
      </c>
      <c r="T6877" t="s">
        <v>26539</v>
      </c>
    </row>
    <row r="6878" spans="1:20" customFormat="1" ht="15" x14ac:dyDescent="0.25">
      <c r="A6878" t="s">
        <v>35</v>
      </c>
      <c r="B6878" t="s">
        <v>61</v>
      </c>
      <c r="C6878" t="str">
        <f>"A0182521"</f>
        <v>A0182521</v>
      </c>
      <c r="D6878" t="s">
        <v>26540</v>
      </c>
      <c r="E6878" t="s">
        <v>26541</v>
      </c>
      <c r="F6878" t="s">
        <v>15636</v>
      </c>
      <c r="G6878" t="s">
        <v>117</v>
      </c>
      <c r="H6878" t="s">
        <v>26542</v>
      </c>
      <c r="I6878" t="s">
        <v>30</v>
      </c>
      <c r="J6878" t="s">
        <v>41</v>
      </c>
      <c r="K6878" t="s">
        <v>59</v>
      </c>
      <c r="Q6878">
        <v>0</v>
      </c>
      <c r="R6878">
        <v>226</v>
      </c>
      <c r="S6878">
        <v>226</v>
      </c>
      <c r="T6878" t="s">
        <v>26543</v>
      </c>
    </row>
    <row r="6879" spans="1:20" customFormat="1" ht="15" x14ac:dyDescent="0.25">
      <c r="A6879" t="s">
        <v>35</v>
      </c>
      <c r="B6879" t="s">
        <v>61</v>
      </c>
      <c r="C6879" t="str">
        <f>"A0182520"</f>
        <v>A0182520</v>
      </c>
      <c r="D6879" t="s">
        <v>26544</v>
      </c>
      <c r="E6879" t="s">
        <v>26545</v>
      </c>
      <c r="F6879" t="s">
        <v>25517</v>
      </c>
      <c r="G6879" t="s">
        <v>99</v>
      </c>
      <c r="H6879" t="s">
        <v>26546</v>
      </c>
      <c r="I6879" t="s">
        <v>30</v>
      </c>
      <c r="J6879" t="s">
        <v>41</v>
      </c>
      <c r="K6879" t="s">
        <v>59</v>
      </c>
      <c r="Q6879">
        <v>0</v>
      </c>
      <c r="R6879">
        <v>0</v>
      </c>
      <c r="S6879">
        <v>0</v>
      </c>
      <c r="T6879" t="s">
        <v>26547</v>
      </c>
    </row>
    <row r="6880" spans="1:20" customFormat="1" ht="15" x14ac:dyDescent="0.25">
      <c r="A6880" t="s">
        <v>35</v>
      </c>
      <c r="B6880" t="s">
        <v>61</v>
      </c>
      <c r="C6880" t="str">
        <f>"A0182519"</f>
        <v>A0182519</v>
      </c>
      <c r="D6880" t="s">
        <v>26548</v>
      </c>
      <c r="E6880" t="s">
        <v>26549</v>
      </c>
      <c r="F6880" t="s">
        <v>5772</v>
      </c>
      <c r="G6880" t="s">
        <v>99</v>
      </c>
      <c r="H6880">
        <v>14626</v>
      </c>
      <c r="I6880" t="s">
        <v>30</v>
      </c>
      <c r="J6880" t="s">
        <v>41</v>
      </c>
      <c r="K6880" t="s">
        <v>59</v>
      </c>
      <c r="Q6880">
        <v>0</v>
      </c>
      <c r="R6880">
        <v>0</v>
      </c>
      <c r="S6880">
        <v>0</v>
      </c>
    </row>
    <row r="6881" spans="1:20" customFormat="1" ht="15" x14ac:dyDescent="0.25">
      <c r="A6881" t="s">
        <v>35</v>
      </c>
      <c r="B6881" t="s">
        <v>11871</v>
      </c>
      <c r="C6881" t="str">
        <f>"A0182518"</f>
        <v>A0182518</v>
      </c>
      <c r="D6881" t="s">
        <v>26550</v>
      </c>
      <c r="E6881" t="s">
        <v>26551</v>
      </c>
      <c r="F6881" t="s">
        <v>26552</v>
      </c>
      <c r="G6881" t="s">
        <v>99</v>
      </c>
      <c r="H6881" t="s">
        <v>26553</v>
      </c>
      <c r="I6881" t="s">
        <v>30</v>
      </c>
      <c r="J6881" t="s">
        <v>41</v>
      </c>
      <c r="K6881" t="s">
        <v>59</v>
      </c>
      <c r="Q6881">
        <v>0</v>
      </c>
      <c r="R6881">
        <v>0</v>
      </c>
      <c r="S6881">
        <v>0</v>
      </c>
      <c r="T6881" t="s">
        <v>26554</v>
      </c>
    </row>
    <row r="6882" spans="1:20" customFormat="1" ht="15" x14ac:dyDescent="0.25">
      <c r="A6882" t="s">
        <v>35</v>
      </c>
      <c r="B6882" t="s">
        <v>11871</v>
      </c>
      <c r="C6882" t="str">
        <f>"A0182517"</f>
        <v>A0182517</v>
      </c>
      <c r="D6882" t="s">
        <v>26555</v>
      </c>
      <c r="E6882" t="s">
        <v>26556</v>
      </c>
      <c r="F6882" t="s">
        <v>26557</v>
      </c>
      <c r="G6882" t="s">
        <v>99</v>
      </c>
      <c r="H6882" t="s">
        <v>26558</v>
      </c>
      <c r="I6882" t="s">
        <v>30</v>
      </c>
      <c r="J6882" t="s">
        <v>41</v>
      </c>
      <c r="K6882" t="s">
        <v>59</v>
      </c>
      <c r="Q6882">
        <v>0</v>
      </c>
      <c r="R6882">
        <v>0</v>
      </c>
      <c r="S6882">
        <v>0</v>
      </c>
      <c r="T6882" t="s">
        <v>26559</v>
      </c>
    </row>
    <row r="6883" spans="1:20" customFormat="1" ht="15" x14ac:dyDescent="0.25">
      <c r="A6883" t="s">
        <v>35</v>
      </c>
      <c r="B6883" t="s">
        <v>61</v>
      </c>
      <c r="C6883" t="str">
        <f>"A0182516"</f>
        <v>A0182516</v>
      </c>
      <c r="D6883" t="s">
        <v>26560</v>
      </c>
      <c r="E6883" t="s">
        <v>26561</v>
      </c>
      <c r="F6883" t="s">
        <v>4057</v>
      </c>
      <c r="G6883" t="s">
        <v>81</v>
      </c>
      <c r="H6883" t="s">
        <v>26562</v>
      </c>
      <c r="I6883" t="s">
        <v>30</v>
      </c>
      <c r="J6883" t="s">
        <v>41</v>
      </c>
      <c r="K6883" t="s">
        <v>59</v>
      </c>
      <c r="Q6883">
        <v>0</v>
      </c>
      <c r="R6883">
        <v>0</v>
      </c>
      <c r="S6883">
        <v>0</v>
      </c>
      <c r="T6883" t="s">
        <v>26563</v>
      </c>
    </row>
    <row r="6884" spans="1:20" customFormat="1" ht="15" x14ac:dyDescent="0.25">
      <c r="A6884" t="s">
        <v>35</v>
      </c>
      <c r="B6884" t="s">
        <v>61</v>
      </c>
      <c r="C6884" t="str">
        <f>"A0182515"</f>
        <v>A0182515</v>
      </c>
      <c r="D6884" t="s">
        <v>26564</v>
      </c>
      <c r="E6884" t="s">
        <v>26565</v>
      </c>
      <c r="F6884" t="s">
        <v>22701</v>
      </c>
      <c r="G6884" t="s">
        <v>81</v>
      </c>
      <c r="H6884">
        <v>320641539</v>
      </c>
      <c r="I6884" t="s">
        <v>30</v>
      </c>
      <c r="J6884" t="s">
        <v>41</v>
      </c>
      <c r="K6884" t="s">
        <v>59</v>
      </c>
      <c r="Q6884">
        <v>0</v>
      </c>
      <c r="R6884">
        <v>563</v>
      </c>
      <c r="S6884">
        <v>563</v>
      </c>
      <c r="T6884" t="s">
        <v>25409</v>
      </c>
    </row>
    <row r="6885" spans="1:20" customFormat="1" ht="15" x14ac:dyDescent="0.25">
      <c r="A6885" t="s">
        <v>35</v>
      </c>
      <c r="B6885" t="s">
        <v>61</v>
      </c>
      <c r="C6885" t="str">
        <f>"A0182514"</f>
        <v>A0182514</v>
      </c>
      <c r="D6885" t="s">
        <v>26566</v>
      </c>
      <c r="E6885" t="s">
        <v>26567</v>
      </c>
      <c r="F6885" t="s">
        <v>10801</v>
      </c>
      <c r="G6885" t="s">
        <v>99</v>
      </c>
      <c r="H6885" t="s">
        <v>26568</v>
      </c>
      <c r="I6885" t="s">
        <v>30</v>
      </c>
      <c r="J6885" t="s">
        <v>41</v>
      </c>
      <c r="K6885" t="s">
        <v>59</v>
      </c>
      <c r="Q6885">
        <v>0</v>
      </c>
      <c r="R6885">
        <v>0</v>
      </c>
      <c r="S6885">
        <v>0</v>
      </c>
      <c r="T6885" t="s">
        <v>26569</v>
      </c>
    </row>
    <row r="6886" spans="1:20" customFormat="1" ht="15" x14ac:dyDescent="0.25">
      <c r="A6886" t="s">
        <v>35</v>
      </c>
      <c r="B6886" t="s">
        <v>61</v>
      </c>
      <c r="C6886" t="str">
        <f>"A0182513"</f>
        <v>A0182513</v>
      </c>
      <c r="D6886" t="s">
        <v>26570</v>
      </c>
      <c r="E6886" t="s">
        <v>26571</v>
      </c>
      <c r="F6886" t="s">
        <v>8284</v>
      </c>
      <c r="G6886" t="s">
        <v>99</v>
      </c>
      <c r="H6886" t="s">
        <v>26572</v>
      </c>
      <c r="I6886" t="s">
        <v>30</v>
      </c>
      <c r="J6886" t="s">
        <v>41</v>
      </c>
      <c r="K6886" t="s">
        <v>59</v>
      </c>
      <c r="Q6886">
        <v>0</v>
      </c>
      <c r="R6886">
        <v>26</v>
      </c>
      <c r="S6886">
        <v>26</v>
      </c>
      <c r="T6886" t="s">
        <v>26573</v>
      </c>
    </row>
    <row r="6887" spans="1:20" customFormat="1" ht="15" x14ac:dyDescent="0.25">
      <c r="A6887" t="s">
        <v>35</v>
      </c>
      <c r="B6887" t="s">
        <v>61</v>
      </c>
      <c r="C6887" t="str">
        <f>"A0182512"</f>
        <v>A0182512</v>
      </c>
      <c r="D6887" t="s">
        <v>26574</v>
      </c>
      <c r="E6887" t="s">
        <v>26575</v>
      </c>
      <c r="F6887" t="s">
        <v>25536</v>
      </c>
      <c r="G6887" t="s">
        <v>99</v>
      </c>
      <c r="H6887" t="s">
        <v>26576</v>
      </c>
      <c r="I6887" t="s">
        <v>30</v>
      </c>
      <c r="J6887" t="s">
        <v>41</v>
      </c>
      <c r="K6887" t="s">
        <v>59</v>
      </c>
      <c r="Q6887">
        <v>0</v>
      </c>
      <c r="R6887">
        <v>121</v>
      </c>
      <c r="S6887">
        <v>121</v>
      </c>
      <c r="T6887" t="s">
        <v>26577</v>
      </c>
    </row>
    <row r="6888" spans="1:20" customFormat="1" ht="15" x14ac:dyDescent="0.25">
      <c r="A6888" t="s">
        <v>35</v>
      </c>
      <c r="B6888" t="s">
        <v>61</v>
      </c>
      <c r="C6888" t="str">
        <f>"A0182511"</f>
        <v>A0182511</v>
      </c>
      <c r="D6888" t="s">
        <v>26578</v>
      </c>
      <c r="E6888" t="s">
        <v>26579</v>
      </c>
      <c r="F6888" t="s">
        <v>5317</v>
      </c>
      <c r="G6888" t="s">
        <v>99</v>
      </c>
      <c r="H6888" t="s">
        <v>26580</v>
      </c>
      <c r="I6888" t="s">
        <v>30</v>
      </c>
      <c r="J6888" t="s">
        <v>41</v>
      </c>
      <c r="K6888" t="s">
        <v>59</v>
      </c>
      <c r="Q6888">
        <v>0</v>
      </c>
      <c r="R6888">
        <v>297</v>
      </c>
      <c r="S6888">
        <v>297</v>
      </c>
      <c r="T6888" t="s">
        <v>26581</v>
      </c>
    </row>
    <row r="6889" spans="1:20" customFormat="1" ht="15" x14ac:dyDescent="0.25">
      <c r="A6889" t="s">
        <v>35</v>
      </c>
      <c r="B6889" t="s">
        <v>61</v>
      </c>
      <c r="C6889" t="str">
        <f>"A0182510"</f>
        <v>A0182510</v>
      </c>
      <c r="D6889" t="s">
        <v>26582</v>
      </c>
      <c r="E6889" t="s">
        <v>26583</v>
      </c>
      <c r="F6889" t="s">
        <v>5772</v>
      </c>
      <c r="G6889" t="s">
        <v>99</v>
      </c>
      <c r="H6889" t="s">
        <v>26584</v>
      </c>
      <c r="I6889" t="s">
        <v>30</v>
      </c>
      <c r="J6889" t="s">
        <v>41</v>
      </c>
      <c r="K6889" t="s">
        <v>59</v>
      </c>
      <c r="Q6889">
        <v>0</v>
      </c>
      <c r="R6889">
        <v>0</v>
      </c>
      <c r="S6889">
        <v>0</v>
      </c>
      <c r="T6889" t="s">
        <v>26585</v>
      </c>
    </row>
    <row r="6890" spans="1:20" customFormat="1" ht="15" x14ac:dyDescent="0.25">
      <c r="A6890" t="s">
        <v>35</v>
      </c>
      <c r="B6890" t="s">
        <v>61</v>
      </c>
      <c r="C6890" t="str">
        <f>"A0182509"</f>
        <v>A0182509</v>
      </c>
      <c r="D6890" t="s">
        <v>26586</v>
      </c>
      <c r="E6890" t="s">
        <v>26587</v>
      </c>
      <c r="F6890" t="s">
        <v>25510</v>
      </c>
      <c r="G6890" t="s">
        <v>99</v>
      </c>
      <c r="H6890" t="s">
        <v>26588</v>
      </c>
      <c r="I6890" t="s">
        <v>30</v>
      </c>
      <c r="J6890" t="s">
        <v>41</v>
      </c>
      <c r="K6890" t="s">
        <v>59</v>
      </c>
      <c r="Q6890">
        <v>0</v>
      </c>
      <c r="R6890">
        <v>0</v>
      </c>
      <c r="S6890">
        <v>0</v>
      </c>
      <c r="T6890" t="s">
        <v>26589</v>
      </c>
    </row>
    <row r="6891" spans="1:20" customFormat="1" ht="15" x14ac:dyDescent="0.25">
      <c r="A6891" t="s">
        <v>35</v>
      </c>
      <c r="B6891" t="s">
        <v>61</v>
      </c>
      <c r="C6891" t="str">
        <f>"A0182508"</f>
        <v>A0182508</v>
      </c>
      <c r="D6891" t="s">
        <v>26590</v>
      </c>
      <c r="E6891" t="s">
        <v>26591</v>
      </c>
      <c r="F6891" t="s">
        <v>25510</v>
      </c>
      <c r="G6891" t="s">
        <v>99</v>
      </c>
      <c r="H6891" t="s">
        <v>26592</v>
      </c>
      <c r="I6891" t="s">
        <v>30</v>
      </c>
      <c r="J6891" t="s">
        <v>41</v>
      </c>
      <c r="K6891" t="s">
        <v>59</v>
      </c>
      <c r="Q6891">
        <v>0</v>
      </c>
      <c r="R6891">
        <v>0</v>
      </c>
      <c r="S6891">
        <v>0</v>
      </c>
      <c r="T6891" t="s">
        <v>26593</v>
      </c>
    </row>
    <row r="6892" spans="1:20" customFormat="1" ht="15" x14ac:dyDescent="0.25">
      <c r="A6892" t="s">
        <v>35</v>
      </c>
      <c r="B6892" t="s">
        <v>61</v>
      </c>
      <c r="C6892" t="str">
        <f>"A0182507"</f>
        <v>A0182507</v>
      </c>
      <c r="D6892" t="s">
        <v>26594</v>
      </c>
      <c r="E6892" t="s">
        <v>26595</v>
      </c>
      <c r="F6892" t="s">
        <v>26596</v>
      </c>
      <c r="G6892" t="s">
        <v>214</v>
      </c>
      <c r="H6892" t="s">
        <v>26597</v>
      </c>
      <c r="I6892" t="s">
        <v>30</v>
      </c>
      <c r="J6892" t="s">
        <v>41</v>
      </c>
      <c r="K6892" t="s">
        <v>59</v>
      </c>
      <c r="Q6892">
        <v>0</v>
      </c>
      <c r="R6892">
        <v>0</v>
      </c>
      <c r="S6892">
        <v>0</v>
      </c>
      <c r="T6892" t="s">
        <v>26598</v>
      </c>
    </row>
    <row r="6893" spans="1:20" customFormat="1" ht="15" x14ac:dyDescent="0.25">
      <c r="A6893" t="s">
        <v>35</v>
      </c>
      <c r="B6893" t="s">
        <v>11386</v>
      </c>
      <c r="C6893" t="str">
        <f>"A0182506"</f>
        <v>A0182506</v>
      </c>
      <c r="D6893" t="s">
        <v>26599</v>
      </c>
      <c r="E6893" t="s">
        <v>26600</v>
      </c>
      <c r="F6893" t="s">
        <v>22436</v>
      </c>
      <c r="G6893" t="s">
        <v>214</v>
      </c>
      <c r="H6893">
        <v>283872217</v>
      </c>
      <c r="I6893" t="s">
        <v>30</v>
      </c>
      <c r="J6893" t="s">
        <v>41</v>
      </c>
      <c r="K6893" t="s">
        <v>59</v>
      </c>
      <c r="Q6893">
        <v>0</v>
      </c>
      <c r="R6893">
        <v>176</v>
      </c>
      <c r="S6893">
        <v>176</v>
      </c>
      <c r="T6893" t="s">
        <v>26601</v>
      </c>
    </row>
    <row r="6894" spans="1:20" customFormat="1" ht="15" x14ac:dyDescent="0.25">
      <c r="A6894" t="s">
        <v>35</v>
      </c>
      <c r="B6894" t="s">
        <v>61</v>
      </c>
      <c r="C6894" t="str">
        <f>"A0182505"</f>
        <v>A0182505</v>
      </c>
      <c r="D6894" t="s">
        <v>26602</v>
      </c>
      <c r="E6894" t="s">
        <v>26603</v>
      </c>
      <c r="F6894" t="s">
        <v>26604</v>
      </c>
      <c r="G6894" t="s">
        <v>899</v>
      </c>
      <c r="H6894" t="s">
        <v>26605</v>
      </c>
      <c r="I6894" t="s">
        <v>30</v>
      </c>
      <c r="J6894" t="s">
        <v>41</v>
      </c>
      <c r="K6894" t="s">
        <v>59</v>
      </c>
      <c r="Q6894">
        <v>0</v>
      </c>
      <c r="R6894">
        <v>0</v>
      </c>
      <c r="S6894">
        <v>0</v>
      </c>
      <c r="T6894" t="s">
        <v>26606</v>
      </c>
    </row>
    <row r="6895" spans="1:20" customFormat="1" ht="15" x14ac:dyDescent="0.25">
      <c r="A6895" t="s">
        <v>35</v>
      </c>
      <c r="B6895" t="s">
        <v>61</v>
      </c>
      <c r="C6895" t="str">
        <f>"A0182504"</f>
        <v>A0182504</v>
      </c>
      <c r="D6895" t="s">
        <v>26607</v>
      </c>
      <c r="E6895" t="s">
        <v>26608</v>
      </c>
      <c r="F6895" t="s">
        <v>898</v>
      </c>
      <c r="G6895" t="s">
        <v>899</v>
      </c>
      <c r="H6895" t="s">
        <v>26609</v>
      </c>
      <c r="I6895" t="s">
        <v>30</v>
      </c>
      <c r="J6895" t="s">
        <v>41</v>
      </c>
      <c r="K6895" t="s">
        <v>59</v>
      </c>
      <c r="Q6895">
        <v>0</v>
      </c>
      <c r="R6895">
        <v>0</v>
      </c>
      <c r="S6895">
        <v>0</v>
      </c>
    </row>
    <row r="6896" spans="1:20" customFormat="1" ht="15" x14ac:dyDescent="0.25">
      <c r="A6896" t="s">
        <v>35</v>
      </c>
      <c r="B6896" t="s">
        <v>61</v>
      </c>
      <c r="C6896" t="str">
        <f>"A0182503"</f>
        <v>A0182503</v>
      </c>
      <c r="D6896" t="s">
        <v>26610</v>
      </c>
      <c r="E6896" t="s">
        <v>26611</v>
      </c>
      <c r="F6896" t="s">
        <v>25945</v>
      </c>
      <c r="G6896" t="s">
        <v>899</v>
      </c>
      <c r="H6896" t="s">
        <v>25950</v>
      </c>
      <c r="I6896" t="s">
        <v>30</v>
      </c>
      <c r="J6896" t="s">
        <v>41</v>
      </c>
      <c r="K6896" t="s">
        <v>59</v>
      </c>
      <c r="Q6896">
        <v>0</v>
      </c>
      <c r="R6896">
        <v>0</v>
      </c>
      <c r="S6896">
        <v>0</v>
      </c>
      <c r="T6896" t="s">
        <v>26612</v>
      </c>
    </row>
    <row r="6897" spans="1:20" customFormat="1" ht="15" x14ac:dyDescent="0.25">
      <c r="A6897" t="s">
        <v>35</v>
      </c>
      <c r="B6897" t="s">
        <v>61</v>
      </c>
      <c r="C6897" t="str">
        <f>"A0182502"</f>
        <v>A0182502</v>
      </c>
      <c r="D6897" t="s">
        <v>26613</v>
      </c>
      <c r="E6897" t="s">
        <v>26614</v>
      </c>
      <c r="F6897" t="s">
        <v>25945</v>
      </c>
      <c r="G6897" t="s">
        <v>899</v>
      </c>
      <c r="H6897">
        <v>2131</v>
      </c>
      <c r="I6897" t="s">
        <v>30</v>
      </c>
      <c r="J6897" t="s">
        <v>41</v>
      </c>
      <c r="K6897" t="s">
        <v>59</v>
      </c>
      <c r="Q6897">
        <v>0</v>
      </c>
      <c r="R6897">
        <v>17</v>
      </c>
      <c r="S6897">
        <v>17</v>
      </c>
    </row>
    <row r="6898" spans="1:20" customFormat="1" ht="15" x14ac:dyDescent="0.25">
      <c r="A6898" t="s">
        <v>35</v>
      </c>
      <c r="B6898" t="s">
        <v>61</v>
      </c>
      <c r="C6898" t="str">
        <f>"A0182501"</f>
        <v>A0182501</v>
      </c>
      <c r="D6898" t="s">
        <v>26615</v>
      </c>
      <c r="E6898" t="s">
        <v>26018</v>
      </c>
      <c r="F6898" t="s">
        <v>26616</v>
      </c>
      <c r="G6898" t="s">
        <v>899</v>
      </c>
      <c r="H6898" t="s">
        <v>26020</v>
      </c>
      <c r="I6898" t="s">
        <v>30</v>
      </c>
      <c r="J6898" t="s">
        <v>41</v>
      </c>
      <c r="K6898" t="s">
        <v>59</v>
      </c>
      <c r="Q6898">
        <v>0</v>
      </c>
      <c r="R6898">
        <v>164</v>
      </c>
      <c r="S6898">
        <v>164</v>
      </c>
      <c r="T6898" t="s">
        <v>26021</v>
      </c>
    </row>
    <row r="6899" spans="1:20" customFormat="1" ht="15" x14ac:dyDescent="0.25">
      <c r="A6899" t="s">
        <v>35</v>
      </c>
      <c r="B6899" t="s">
        <v>61</v>
      </c>
      <c r="C6899" t="str">
        <f>"A0182500"</f>
        <v>A0182500</v>
      </c>
      <c r="D6899" t="s">
        <v>26617</v>
      </c>
      <c r="E6899" t="s">
        <v>26618</v>
      </c>
      <c r="F6899" t="s">
        <v>26619</v>
      </c>
      <c r="G6899" t="s">
        <v>99</v>
      </c>
      <c r="H6899">
        <v>14742</v>
      </c>
      <c r="I6899" t="s">
        <v>30</v>
      </c>
      <c r="J6899" t="s">
        <v>41</v>
      </c>
      <c r="K6899" t="s">
        <v>59</v>
      </c>
      <c r="Q6899">
        <v>0</v>
      </c>
      <c r="R6899">
        <v>0</v>
      </c>
      <c r="S6899">
        <v>0</v>
      </c>
    </row>
    <row r="6900" spans="1:20" customFormat="1" ht="15" x14ac:dyDescent="0.25">
      <c r="A6900" t="s">
        <v>35</v>
      </c>
      <c r="B6900" t="s">
        <v>61</v>
      </c>
      <c r="C6900" t="str">
        <f>"A0182499"</f>
        <v>A0182499</v>
      </c>
      <c r="D6900" t="s">
        <v>26620</v>
      </c>
      <c r="E6900" t="s">
        <v>26621</v>
      </c>
      <c r="F6900" t="s">
        <v>25536</v>
      </c>
      <c r="G6900" t="s">
        <v>99</v>
      </c>
      <c r="H6900" t="s">
        <v>26622</v>
      </c>
      <c r="I6900" t="s">
        <v>30</v>
      </c>
      <c r="J6900" t="s">
        <v>41</v>
      </c>
      <c r="K6900" t="s">
        <v>59</v>
      </c>
      <c r="Q6900">
        <v>0</v>
      </c>
      <c r="R6900">
        <v>169</v>
      </c>
      <c r="S6900">
        <v>169</v>
      </c>
      <c r="T6900" t="s">
        <v>26623</v>
      </c>
    </row>
    <row r="6901" spans="1:20" customFormat="1" ht="15" x14ac:dyDescent="0.25">
      <c r="A6901" t="s">
        <v>35</v>
      </c>
      <c r="B6901" t="s">
        <v>61</v>
      </c>
      <c r="C6901" t="str">
        <f>"A0182498"</f>
        <v>A0182498</v>
      </c>
      <c r="D6901" t="s">
        <v>26624</v>
      </c>
      <c r="E6901" t="s">
        <v>26625</v>
      </c>
      <c r="F6901" t="s">
        <v>26626</v>
      </c>
      <c r="G6901" t="s">
        <v>99</v>
      </c>
      <c r="H6901" t="s">
        <v>26627</v>
      </c>
      <c r="I6901" t="s">
        <v>30</v>
      </c>
      <c r="J6901" t="s">
        <v>41</v>
      </c>
      <c r="K6901" t="s">
        <v>59</v>
      </c>
      <c r="Q6901">
        <v>0</v>
      </c>
      <c r="R6901">
        <v>0</v>
      </c>
      <c r="S6901">
        <v>0</v>
      </c>
      <c r="T6901" t="s">
        <v>26628</v>
      </c>
    </row>
    <row r="6902" spans="1:20" customFormat="1" ht="15" x14ac:dyDescent="0.25">
      <c r="A6902" t="s">
        <v>35</v>
      </c>
      <c r="B6902" t="s">
        <v>61</v>
      </c>
      <c r="C6902" t="str">
        <f>"A0182497"</f>
        <v>A0182497</v>
      </c>
      <c r="D6902" t="s">
        <v>26629</v>
      </c>
      <c r="E6902" t="s">
        <v>26630</v>
      </c>
      <c r="F6902" t="s">
        <v>6228</v>
      </c>
      <c r="G6902" t="s">
        <v>99</v>
      </c>
      <c r="H6902" t="s">
        <v>26631</v>
      </c>
      <c r="I6902" t="s">
        <v>30</v>
      </c>
      <c r="J6902" t="s">
        <v>41</v>
      </c>
      <c r="K6902" t="s">
        <v>59</v>
      </c>
      <c r="Q6902">
        <v>0</v>
      </c>
      <c r="R6902">
        <v>0</v>
      </c>
      <c r="S6902">
        <v>0</v>
      </c>
      <c r="T6902" t="s">
        <v>26632</v>
      </c>
    </row>
    <row r="6903" spans="1:20" customFormat="1" ht="15" x14ac:dyDescent="0.25">
      <c r="A6903" t="s">
        <v>35</v>
      </c>
      <c r="B6903" t="s">
        <v>61</v>
      </c>
      <c r="C6903" t="str">
        <f>"A0182496"</f>
        <v>A0182496</v>
      </c>
      <c r="D6903" t="s">
        <v>26633</v>
      </c>
      <c r="E6903" t="s">
        <v>26634</v>
      </c>
      <c r="F6903" t="s">
        <v>26635</v>
      </c>
      <c r="G6903" t="s">
        <v>99</v>
      </c>
      <c r="H6903" t="s">
        <v>26636</v>
      </c>
      <c r="I6903" t="s">
        <v>30</v>
      </c>
      <c r="J6903" t="s">
        <v>41</v>
      </c>
      <c r="K6903" t="s">
        <v>59</v>
      </c>
      <c r="Q6903">
        <v>0</v>
      </c>
      <c r="R6903">
        <v>0</v>
      </c>
      <c r="S6903">
        <v>0</v>
      </c>
      <c r="T6903" t="s">
        <v>26637</v>
      </c>
    </row>
    <row r="6904" spans="1:20" customFormat="1" ht="15" x14ac:dyDescent="0.25">
      <c r="A6904" t="s">
        <v>35</v>
      </c>
      <c r="B6904" t="s">
        <v>61</v>
      </c>
      <c r="C6904" t="str">
        <f>"A0182495"</f>
        <v>A0182495</v>
      </c>
      <c r="D6904" t="s">
        <v>26638</v>
      </c>
      <c r="E6904" t="s">
        <v>26639</v>
      </c>
      <c r="F6904" t="s">
        <v>12216</v>
      </c>
      <c r="G6904" t="s">
        <v>71</v>
      </c>
      <c r="H6904" t="s">
        <v>26640</v>
      </c>
      <c r="I6904" t="s">
        <v>30</v>
      </c>
      <c r="J6904" t="s">
        <v>41</v>
      </c>
      <c r="K6904" t="s">
        <v>59</v>
      </c>
      <c r="Q6904">
        <v>0</v>
      </c>
      <c r="R6904">
        <v>0</v>
      </c>
      <c r="S6904">
        <v>0</v>
      </c>
      <c r="T6904" t="s">
        <v>26641</v>
      </c>
    </row>
    <row r="6905" spans="1:20" customFormat="1" ht="15" x14ac:dyDescent="0.25">
      <c r="A6905" t="s">
        <v>35</v>
      </c>
      <c r="B6905" t="s">
        <v>61</v>
      </c>
      <c r="C6905" t="str">
        <f>"A0182493"</f>
        <v>A0182493</v>
      </c>
      <c r="D6905" t="s">
        <v>26642</v>
      </c>
      <c r="E6905" t="s">
        <v>26643</v>
      </c>
      <c r="F6905" t="s">
        <v>26644</v>
      </c>
      <c r="G6905" t="s">
        <v>214</v>
      </c>
      <c r="H6905" t="s">
        <v>26645</v>
      </c>
      <c r="I6905" t="s">
        <v>30</v>
      </c>
      <c r="J6905" t="s">
        <v>41</v>
      </c>
      <c r="K6905" t="s">
        <v>59</v>
      </c>
      <c r="Q6905">
        <v>0</v>
      </c>
      <c r="R6905">
        <v>0</v>
      </c>
      <c r="S6905">
        <v>0</v>
      </c>
    </row>
    <row r="6906" spans="1:20" customFormat="1" ht="15" x14ac:dyDescent="0.25">
      <c r="A6906" t="s">
        <v>35</v>
      </c>
      <c r="B6906" t="s">
        <v>61</v>
      </c>
      <c r="C6906" t="str">
        <f>"A0182492"</f>
        <v>A0182492</v>
      </c>
      <c r="D6906" t="s">
        <v>26646</v>
      </c>
      <c r="E6906" t="s">
        <v>26647</v>
      </c>
      <c r="F6906" t="s">
        <v>26596</v>
      </c>
      <c r="G6906" t="s">
        <v>214</v>
      </c>
      <c r="H6906" t="s">
        <v>26648</v>
      </c>
      <c r="I6906" t="s">
        <v>30</v>
      </c>
      <c r="J6906" t="s">
        <v>41</v>
      </c>
      <c r="K6906" t="s">
        <v>59</v>
      </c>
      <c r="Q6906">
        <v>0</v>
      </c>
      <c r="R6906">
        <v>91</v>
      </c>
      <c r="S6906">
        <v>91</v>
      </c>
      <c r="T6906" t="s">
        <v>26649</v>
      </c>
    </row>
    <row r="6907" spans="1:20" customFormat="1" ht="15" x14ac:dyDescent="0.25">
      <c r="A6907" t="s">
        <v>35</v>
      </c>
      <c r="B6907" t="s">
        <v>61</v>
      </c>
      <c r="C6907" t="str">
        <f>"A0182491"</f>
        <v>A0182491</v>
      </c>
      <c r="D6907" t="s">
        <v>11607</v>
      </c>
      <c r="E6907" t="s">
        <v>26650</v>
      </c>
      <c r="F6907" t="s">
        <v>11609</v>
      </c>
      <c r="G6907" t="s">
        <v>214</v>
      </c>
      <c r="H6907" t="s">
        <v>26651</v>
      </c>
      <c r="I6907" t="s">
        <v>30</v>
      </c>
      <c r="J6907" t="s">
        <v>41</v>
      </c>
      <c r="K6907" t="s">
        <v>59</v>
      </c>
      <c r="Q6907">
        <v>0</v>
      </c>
      <c r="R6907">
        <v>118</v>
      </c>
      <c r="S6907">
        <v>118</v>
      </c>
      <c r="T6907" t="s">
        <v>26652</v>
      </c>
    </row>
    <row r="6908" spans="1:20" customFormat="1" ht="15" x14ac:dyDescent="0.25">
      <c r="A6908" t="s">
        <v>35</v>
      </c>
      <c r="B6908" t="s">
        <v>61</v>
      </c>
      <c r="C6908" t="str">
        <f>"A0182490"</f>
        <v>A0182490</v>
      </c>
      <c r="D6908" t="s">
        <v>26653</v>
      </c>
      <c r="E6908" t="s">
        <v>26654</v>
      </c>
      <c r="F6908" t="s">
        <v>1926</v>
      </c>
      <c r="G6908" t="s">
        <v>214</v>
      </c>
      <c r="H6908" t="s">
        <v>26655</v>
      </c>
      <c r="I6908" t="s">
        <v>30</v>
      </c>
      <c r="J6908" t="s">
        <v>41</v>
      </c>
      <c r="K6908" t="s">
        <v>59</v>
      </c>
      <c r="Q6908">
        <v>0</v>
      </c>
      <c r="R6908">
        <v>100</v>
      </c>
      <c r="S6908">
        <v>100</v>
      </c>
      <c r="T6908" t="s">
        <v>26656</v>
      </c>
    </row>
    <row r="6909" spans="1:20" customFormat="1" ht="15" x14ac:dyDescent="0.25">
      <c r="A6909" t="s">
        <v>35</v>
      </c>
      <c r="B6909" t="s">
        <v>61</v>
      </c>
      <c r="C6909" t="str">
        <f>"A0182489"</f>
        <v>A0182489</v>
      </c>
      <c r="D6909" t="s">
        <v>26657</v>
      </c>
      <c r="E6909" t="s">
        <v>26658</v>
      </c>
      <c r="F6909" t="s">
        <v>4219</v>
      </c>
      <c r="G6909" t="s">
        <v>99</v>
      </c>
      <c r="H6909" t="s">
        <v>26659</v>
      </c>
      <c r="I6909" t="s">
        <v>30</v>
      </c>
      <c r="J6909" t="s">
        <v>41</v>
      </c>
      <c r="K6909" t="s">
        <v>59</v>
      </c>
      <c r="Q6909">
        <v>0</v>
      </c>
      <c r="R6909">
        <v>0</v>
      </c>
      <c r="S6909">
        <v>0</v>
      </c>
      <c r="T6909" t="s">
        <v>26660</v>
      </c>
    </row>
    <row r="6910" spans="1:20" customFormat="1" ht="15" x14ac:dyDescent="0.25">
      <c r="A6910" t="s">
        <v>35</v>
      </c>
      <c r="B6910" t="s">
        <v>61</v>
      </c>
      <c r="C6910" t="str">
        <f>"A0182488"</f>
        <v>A0182488</v>
      </c>
      <c r="D6910" t="s">
        <v>26661</v>
      </c>
      <c r="E6910" t="s">
        <v>26662</v>
      </c>
      <c r="F6910" t="s">
        <v>22478</v>
      </c>
      <c r="G6910" t="s">
        <v>214</v>
      </c>
      <c r="H6910" t="s">
        <v>26663</v>
      </c>
      <c r="I6910" t="s">
        <v>30</v>
      </c>
      <c r="J6910" t="s">
        <v>41</v>
      </c>
      <c r="K6910" t="s">
        <v>59</v>
      </c>
      <c r="Q6910">
        <v>0</v>
      </c>
      <c r="R6910">
        <v>32</v>
      </c>
      <c r="S6910">
        <v>32</v>
      </c>
      <c r="T6910" t="s">
        <v>26664</v>
      </c>
    </row>
    <row r="6911" spans="1:20" customFormat="1" ht="15" x14ac:dyDescent="0.25">
      <c r="A6911" t="s">
        <v>35</v>
      </c>
      <c r="B6911" t="s">
        <v>11871</v>
      </c>
      <c r="C6911" t="str">
        <f>"A0182486"</f>
        <v>A0182486</v>
      </c>
      <c r="D6911" t="s">
        <v>26665</v>
      </c>
      <c r="E6911" t="s">
        <v>26666</v>
      </c>
      <c r="F6911" t="s">
        <v>3193</v>
      </c>
      <c r="G6911" t="s">
        <v>214</v>
      </c>
      <c r="H6911" t="s">
        <v>26667</v>
      </c>
      <c r="I6911" t="s">
        <v>30</v>
      </c>
      <c r="J6911" t="s">
        <v>41</v>
      </c>
      <c r="K6911" t="s">
        <v>59</v>
      </c>
      <c r="Q6911">
        <v>0</v>
      </c>
      <c r="R6911">
        <v>0</v>
      </c>
      <c r="S6911">
        <v>0</v>
      </c>
      <c r="T6911" t="s">
        <v>26668</v>
      </c>
    </row>
    <row r="6912" spans="1:20" customFormat="1" ht="15" x14ac:dyDescent="0.25">
      <c r="A6912" t="s">
        <v>35</v>
      </c>
      <c r="B6912" t="s">
        <v>9604</v>
      </c>
      <c r="C6912" t="str">
        <f>"A0182485"</f>
        <v>A0182485</v>
      </c>
      <c r="D6912" t="s">
        <v>26669</v>
      </c>
      <c r="E6912" t="s">
        <v>26670</v>
      </c>
      <c r="F6912" t="s">
        <v>116</v>
      </c>
      <c r="G6912" t="s">
        <v>117</v>
      </c>
      <c r="H6912">
        <v>481977406</v>
      </c>
      <c r="I6912" t="s">
        <v>30</v>
      </c>
      <c r="J6912" t="s">
        <v>41</v>
      </c>
      <c r="K6912" t="s">
        <v>59</v>
      </c>
      <c r="Q6912">
        <v>0</v>
      </c>
      <c r="R6912">
        <v>0</v>
      </c>
      <c r="S6912">
        <v>98</v>
      </c>
      <c r="T6912" t="s">
        <v>26671</v>
      </c>
    </row>
    <row r="6913" spans="1:20" customFormat="1" ht="15" x14ac:dyDescent="0.25">
      <c r="A6913" t="s">
        <v>35</v>
      </c>
      <c r="B6913" t="s">
        <v>61</v>
      </c>
      <c r="C6913" t="str">
        <f>"A0182484"</f>
        <v>A0182484</v>
      </c>
      <c r="D6913" t="s">
        <v>26672</v>
      </c>
      <c r="E6913" t="s">
        <v>26673</v>
      </c>
      <c r="F6913" t="s">
        <v>12138</v>
      </c>
      <c r="G6913" t="s">
        <v>1898</v>
      </c>
      <c r="H6913" t="s">
        <v>26674</v>
      </c>
      <c r="I6913" t="s">
        <v>30</v>
      </c>
      <c r="J6913" t="s">
        <v>41</v>
      </c>
      <c r="K6913" t="s">
        <v>59</v>
      </c>
      <c r="Q6913">
        <v>0</v>
      </c>
      <c r="R6913">
        <v>46</v>
      </c>
      <c r="S6913">
        <v>46</v>
      </c>
      <c r="T6913" t="s">
        <v>26675</v>
      </c>
    </row>
    <row r="6914" spans="1:20" customFormat="1" ht="15" x14ac:dyDescent="0.25">
      <c r="A6914" t="s">
        <v>35</v>
      </c>
      <c r="B6914" t="s">
        <v>61</v>
      </c>
      <c r="C6914" t="str">
        <f>"A0182483"</f>
        <v>A0182483</v>
      </c>
      <c r="D6914" t="s">
        <v>25882</v>
      </c>
      <c r="E6914" t="s">
        <v>26676</v>
      </c>
      <c r="F6914" t="s">
        <v>4219</v>
      </c>
      <c r="G6914" t="s">
        <v>99</v>
      </c>
      <c r="H6914" t="s">
        <v>26677</v>
      </c>
      <c r="I6914" t="s">
        <v>30</v>
      </c>
      <c r="J6914" t="s">
        <v>41</v>
      </c>
      <c r="K6914" t="s">
        <v>59</v>
      </c>
      <c r="Q6914">
        <v>0</v>
      </c>
      <c r="R6914">
        <v>0</v>
      </c>
      <c r="S6914">
        <v>0</v>
      </c>
      <c r="T6914" t="s">
        <v>26678</v>
      </c>
    </row>
    <row r="6915" spans="1:20" customFormat="1" ht="15" x14ac:dyDescent="0.25">
      <c r="A6915" t="s">
        <v>35</v>
      </c>
      <c r="B6915" t="s">
        <v>61</v>
      </c>
      <c r="C6915" t="str">
        <f>"A0182482"</f>
        <v>A0182482</v>
      </c>
      <c r="D6915" t="s">
        <v>26679</v>
      </c>
      <c r="E6915" t="s">
        <v>26680</v>
      </c>
      <c r="F6915" t="s">
        <v>26681</v>
      </c>
      <c r="G6915" t="s">
        <v>99</v>
      </c>
      <c r="H6915" t="s">
        <v>26682</v>
      </c>
      <c r="I6915" t="s">
        <v>30</v>
      </c>
      <c r="J6915" t="s">
        <v>41</v>
      </c>
      <c r="K6915" t="s">
        <v>59</v>
      </c>
      <c r="Q6915">
        <v>0</v>
      </c>
      <c r="R6915">
        <v>0</v>
      </c>
      <c r="S6915">
        <v>0</v>
      </c>
      <c r="T6915" t="s">
        <v>26683</v>
      </c>
    </row>
    <row r="6916" spans="1:20" customFormat="1" ht="15" x14ac:dyDescent="0.25">
      <c r="A6916" t="s">
        <v>35</v>
      </c>
      <c r="B6916" t="s">
        <v>61</v>
      </c>
      <c r="C6916" t="str">
        <f>"A0182480"</f>
        <v>A0182480</v>
      </c>
      <c r="D6916" t="s">
        <v>26684</v>
      </c>
      <c r="E6916" t="s">
        <v>26685</v>
      </c>
      <c r="F6916" t="s">
        <v>5772</v>
      </c>
      <c r="G6916" t="s">
        <v>99</v>
      </c>
      <c r="H6916">
        <v>14626</v>
      </c>
      <c r="I6916" t="s">
        <v>30</v>
      </c>
      <c r="J6916" t="s">
        <v>41</v>
      </c>
      <c r="K6916" t="s">
        <v>59</v>
      </c>
      <c r="Q6916">
        <v>0</v>
      </c>
      <c r="R6916">
        <v>120</v>
      </c>
      <c r="S6916">
        <v>120</v>
      </c>
      <c r="T6916" t="s">
        <v>26686</v>
      </c>
    </row>
    <row r="6917" spans="1:20" customFormat="1" ht="15" x14ac:dyDescent="0.25">
      <c r="A6917" t="s">
        <v>35</v>
      </c>
      <c r="B6917" t="s">
        <v>61</v>
      </c>
      <c r="C6917" t="str">
        <f>"A0182478"</f>
        <v>A0182478</v>
      </c>
      <c r="D6917" t="s">
        <v>26687</v>
      </c>
      <c r="E6917" t="s">
        <v>26688</v>
      </c>
      <c r="F6917" t="s">
        <v>16033</v>
      </c>
      <c r="G6917" t="s">
        <v>71</v>
      </c>
      <c r="H6917" t="s">
        <v>26689</v>
      </c>
      <c r="I6917" t="s">
        <v>30</v>
      </c>
      <c r="J6917" t="s">
        <v>41</v>
      </c>
      <c r="K6917" t="s">
        <v>59</v>
      </c>
      <c r="Q6917">
        <v>0</v>
      </c>
      <c r="R6917">
        <v>0</v>
      </c>
      <c r="S6917">
        <v>0</v>
      </c>
    </row>
    <row r="6918" spans="1:20" customFormat="1" ht="15" x14ac:dyDescent="0.25">
      <c r="A6918" t="s">
        <v>35</v>
      </c>
      <c r="B6918" t="s">
        <v>61</v>
      </c>
      <c r="C6918" t="str">
        <f>"A0182477"</f>
        <v>A0182477</v>
      </c>
      <c r="D6918" t="s">
        <v>26690</v>
      </c>
      <c r="E6918" t="s">
        <v>26330</v>
      </c>
      <c r="F6918" t="s">
        <v>26331</v>
      </c>
      <c r="G6918" t="s">
        <v>71</v>
      </c>
      <c r="H6918" t="s">
        <v>26332</v>
      </c>
      <c r="I6918" t="s">
        <v>30</v>
      </c>
      <c r="J6918" t="s">
        <v>41</v>
      </c>
      <c r="K6918" t="s">
        <v>59</v>
      </c>
      <c r="Q6918">
        <v>0</v>
      </c>
      <c r="R6918">
        <v>0</v>
      </c>
      <c r="S6918">
        <v>0</v>
      </c>
    </row>
    <row r="6919" spans="1:20" customFormat="1" ht="15" x14ac:dyDescent="0.25">
      <c r="A6919" t="s">
        <v>35</v>
      </c>
      <c r="B6919" t="s">
        <v>61</v>
      </c>
      <c r="C6919" t="str">
        <f>"A0182476"</f>
        <v>A0182476</v>
      </c>
      <c r="D6919" t="s">
        <v>26691</v>
      </c>
      <c r="E6919" t="s">
        <v>26692</v>
      </c>
      <c r="F6919" t="s">
        <v>26693</v>
      </c>
      <c r="G6919" t="s">
        <v>161</v>
      </c>
      <c r="H6919" t="s">
        <v>26694</v>
      </c>
      <c r="I6919" t="s">
        <v>30</v>
      </c>
      <c r="J6919" t="s">
        <v>41</v>
      </c>
      <c r="K6919" t="s">
        <v>59</v>
      </c>
      <c r="Q6919">
        <v>0</v>
      </c>
      <c r="R6919">
        <v>0</v>
      </c>
      <c r="S6919">
        <v>0</v>
      </c>
      <c r="T6919" t="s">
        <v>26695</v>
      </c>
    </row>
    <row r="6920" spans="1:20" customFormat="1" ht="15" x14ac:dyDescent="0.25">
      <c r="A6920" t="s">
        <v>35</v>
      </c>
      <c r="B6920" t="s">
        <v>61</v>
      </c>
      <c r="C6920" t="str">
        <f>"A0182475"</f>
        <v>A0182475</v>
      </c>
      <c r="D6920" t="s">
        <v>26696</v>
      </c>
      <c r="E6920" t="s">
        <v>26697</v>
      </c>
      <c r="F6920" t="s">
        <v>5772</v>
      </c>
      <c r="G6920" t="s">
        <v>99</v>
      </c>
      <c r="H6920" t="s">
        <v>26698</v>
      </c>
      <c r="I6920" t="s">
        <v>30</v>
      </c>
      <c r="J6920" t="s">
        <v>41</v>
      </c>
      <c r="K6920" t="s">
        <v>59</v>
      </c>
      <c r="Q6920">
        <v>0</v>
      </c>
      <c r="R6920">
        <v>0</v>
      </c>
      <c r="S6920">
        <v>0</v>
      </c>
      <c r="T6920" t="s">
        <v>26699</v>
      </c>
    </row>
    <row r="6921" spans="1:20" customFormat="1" ht="15" x14ac:dyDescent="0.25">
      <c r="A6921" t="s">
        <v>35</v>
      </c>
      <c r="B6921" t="s">
        <v>61</v>
      </c>
      <c r="C6921" t="str">
        <f>"A0182474"</f>
        <v>A0182474</v>
      </c>
      <c r="D6921" t="s">
        <v>26700</v>
      </c>
      <c r="E6921" t="s">
        <v>26701</v>
      </c>
      <c r="F6921" t="s">
        <v>4219</v>
      </c>
      <c r="G6921" t="s">
        <v>99</v>
      </c>
      <c r="H6921" t="s">
        <v>26702</v>
      </c>
      <c r="I6921" t="s">
        <v>30</v>
      </c>
      <c r="J6921" t="s">
        <v>41</v>
      </c>
      <c r="K6921" t="s">
        <v>59</v>
      </c>
      <c r="Q6921">
        <v>0</v>
      </c>
      <c r="R6921">
        <v>0</v>
      </c>
      <c r="S6921">
        <v>0</v>
      </c>
    </row>
    <row r="6922" spans="1:20" customFormat="1" ht="15" x14ac:dyDescent="0.25">
      <c r="A6922" t="s">
        <v>35</v>
      </c>
      <c r="B6922" t="s">
        <v>61</v>
      </c>
      <c r="C6922" t="str">
        <f>"A0182473"</f>
        <v>A0182473</v>
      </c>
      <c r="D6922" t="s">
        <v>26703</v>
      </c>
      <c r="E6922" t="s">
        <v>26704</v>
      </c>
      <c r="F6922" t="s">
        <v>15684</v>
      </c>
      <c r="G6922" t="s">
        <v>214</v>
      </c>
      <c r="H6922" t="s">
        <v>26705</v>
      </c>
      <c r="I6922" t="s">
        <v>30</v>
      </c>
      <c r="J6922" t="s">
        <v>41</v>
      </c>
      <c r="K6922" t="s">
        <v>59</v>
      </c>
      <c r="Q6922">
        <v>0</v>
      </c>
      <c r="R6922">
        <v>53</v>
      </c>
      <c r="S6922">
        <v>53</v>
      </c>
      <c r="T6922" t="s">
        <v>26706</v>
      </c>
    </row>
    <row r="6923" spans="1:20" customFormat="1" ht="15" x14ac:dyDescent="0.25">
      <c r="A6923" t="s">
        <v>35</v>
      </c>
      <c r="B6923" t="s">
        <v>11871</v>
      </c>
      <c r="C6923" t="str">
        <f>"A0182472"</f>
        <v>A0182472</v>
      </c>
      <c r="D6923" t="s">
        <v>26707</v>
      </c>
      <c r="E6923" t="s">
        <v>26708</v>
      </c>
      <c r="F6923" t="s">
        <v>3193</v>
      </c>
      <c r="G6923" t="s">
        <v>214</v>
      </c>
      <c r="H6923">
        <v>28328</v>
      </c>
      <c r="I6923" t="s">
        <v>30</v>
      </c>
      <c r="J6923" t="s">
        <v>41</v>
      </c>
      <c r="K6923" t="s">
        <v>59</v>
      </c>
      <c r="Q6923">
        <v>0</v>
      </c>
      <c r="R6923">
        <v>0</v>
      </c>
      <c r="S6923">
        <v>0</v>
      </c>
      <c r="T6923" t="s">
        <v>26709</v>
      </c>
    </row>
    <row r="6924" spans="1:20" customFormat="1" ht="15" x14ac:dyDescent="0.25">
      <c r="A6924" t="s">
        <v>35</v>
      </c>
      <c r="B6924" t="s">
        <v>11386</v>
      </c>
      <c r="C6924" t="str">
        <f>"A0182471"</f>
        <v>A0182471</v>
      </c>
      <c r="D6924" t="s">
        <v>26710</v>
      </c>
      <c r="E6924" t="s">
        <v>26711</v>
      </c>
      <c r="F6924" t="s">
        <v>3674</v>
      </c>
      <c r="G6924" t="s">
        <v>117</v>
      </c>
      <c r="H6924">
        <v>481522369</v>
      </c>
      <c r="I6924" t="s">
        <v>30</v>
      </c>
      <c r="J6924" t="s">
        <v>41</v>
      </c>
      <c r="K6924" t="s">
        <v>59</v>
      </c>
      <c r="Q6924">
        <v>0</v>
      </c>
      <c r="R6924">
        <v>0</v>
      </c>
      <c r="S6924">
        <v>0</v>
      </c>
    </row>
    <row r="6925" spans="1:20" customFormat="1" ht="15" x14ac:dyDescent="0.25">
      <c r="A6925" t="s">
        <v>35</v>
      </c>
      <c r="B6925" t="s">
        <v>11386</v>
      </c>
      <c r="C6925" t="str">
        <f>"A0182470"</f>
        <v>A0182470</v>
      </c>
      <c r="D6925" t="s">
        <v>26712</v>
      </c>
      <c r="E6925" t="s">
        <v>26713</v>
      </c>
      <c r="F6925" t="s">
        <v>11064</v>
      </c>
      <c r="G6925" t="s">
        <v>117</v>
      </c>
      <c r="H6925">
        <v>483563339</v>
      </c>
      <c r="I6925" t="s">
        <v>30</v>
      </c>
      <c r="J6925" t="s">
        <v>41</v>
      </c>
      <c r="K6925" t="s">
        <v>59</v>
      </c>
      <c r="Q6925">
        <v>0</v>
      </c>
      <c r="R6925">
        <v>0</v>
      </c>
      <c r="S6925">
        <v>0</v>
      </c>
      <c r="T6925" t="s">
        <v>26714</v>
      </c>
    </row>
    <row r="6926" spans="1:20" customFormat="1" ht="15" x14ac:dyDescent="0.25">
      <c r="A6926" t="s">
        <v>35</v>
      </c>
      <c r="B6926" t="s">
        <v>61</v>
      </c>
      <c r="C6926" t="str">
        <f>"A0182469"</f>
        <v>A0182469</v>
      </c>
      <c r="D6926" t="s">
        <v>26715</v>
      </c>
      <c r="E6926" t="s">
        <v>26716</v>
      </c>
      <c r="F6926" t="s">
        <v>22419</v>
      </c>
      <c r="G6926" t="s">
        <v>99</v>
      </c>
      <c r="H6926" t="s">
        <v>26717</v>
      </c>
      <c r="I6926" t="s">
        <v>30</v>
      </c>
      <c r="J6926" t="s">
        <v>41</v>
      </c>
      <c r="K6926" t="s">
        <v>59</v>
      </c>
      <c r="Q6926">
        <v>0</v>
      </c>
      <c r="R6926">
        <v>0</v>
      </c>
      <c r="S6926">
        <v>0</v>
      </c>
      <c r="T6926" t="s">
        <v>26718</v>
      </c>
    </row>
    <row r="6927" spans="1:20" customFormat="1" ht="15" x14ac:dyDescent="0.25">
      <c r="A6927" t="s">
        <v>35</v>
      </c>
      <c r="B6927" t="s">
        <v>61</v>
      </c>
      <c r="C6927" t="str">
        <f>"A0182468"</f>
        <v>A0182468</v>
      </c>
      <c r="D6927" t="s">
        <v>26719</v>
      </c>
      <c r="E6927" t="s">
        <v>26720</v>
      </c>
      <c r="F6927" t="s">
        <v>25338</v>
      </c>
      <c r="G6927" t="s">
        <v>99</v>
      </c>
      <c r="H6927">
        <v>11754</v>
      </c>
      <c r="I6927" t="s">
        <v>30</v>
      </c>
      <c r="J6927" t="s">
        <v>41</v>
      </c>
      <c r="K6927" t="s">
        <v>59</v>
      </c>
      <c r="Q6927">
        <v>0</v>
      </c>
      <c r="R6927">
        <v>0</v>
      </c>
      <c r="S6927">
        <v>0</v>
      </c>
      <c r="T6927" t="s">
        <v>26721</v>
      </c>
    </row>
    <row r="6928" spans="1:20" customFormat="1" ht="15" x14ac:dyDescent="0.25">
      <c r="A6928" t="s">
        <v>35</v>
      </c>
      <c r="B6928" t="s">
        <v>61</v>
      </c>
      <c r="C6928" t="str">
        <f>"A0182467"</f>
        <v>A0182467</v>
      </c>
      <c r="D6928" t="s">
        <v>26722</v>
      </c>
      <c r="E6928" t="s">
        <v>26723</v>
      </c>
      <c r="F6928" t="s">
        <v>25732</v>
      </c>
      <c r="G6928" t="s">
        <v>99</v>
      </c>
      <c r="H6928" t="s">
        <v>26724</v>
      </c>
      <c r="I6928" t="s">
        <v>30</v>
      </c>
      <c r="J6928" t="s">
        <v>41</v>
      </c>
      <c r="K6928" t="s">
        <v>59</v>
      </c>
      <c r="Q6928">
        <v>0</v>
      </c>
      <c r="R6928">
        <v>192</v>
      </c>
      <c r="S6928">
        <v>192</v>
      </c>
      <c r="T6928" t="s">
        <v>26725</v>
      </c>
    </row>
    <row r="6929" spans="1:20" customFormat="1" ht="15" x14ac:dyDescent="0.25">
      <c r="A6929" t="s">
        <v>35</v>
      </c>
      <c r="B6929" t="s">
        <v>61</v>
      </c>
      <c r="C6929" t="str">
        <f>"A0182466"</f>
        <v>A0182466</v>
      </c>
      <c r="D6929" t="s">
        <v>26726</v>
      </c>
      <c r="E6929" t="s">
        <v>26727</v>
      </c>
      <c r="F6929" t="s">
        <v>5772</v>
      </c>
      <c r="G6929" t="s">
        <v>99</v>
      </c>
      <c r="H6929">
        <v>14626</v>
      </c>
      <c r="I6929" t="s">
        <v>30</v>
      </c>
      <c r="J6929" t="s">
        <v>41</v>
      </c>
      <c r="K6929" t="s">
        <v>59</v>
      </c>
      <c r="Q6929">
        <v>0</v>
      </c>
      <c r="R6929">
        <v>0</v>
      </c>
      <c r="S6929">
        <v>0</v>
      </c>
      <c r="T6929" t="s">
        <v>26728</v>
      </c>
    </row>
    <row r="6930" spans="1:20" customFormat="1" ht="15" x14ac:dyDescent="0.25">
      <c r="A6930" t="s">
        <v>35</v>
      </c>
      <c r="B6930" t="s">
        <v>61</v>
      </c>
      <c r="C6930" t="str">
        <f>"A0182465"</f>
        <v>A0182465</v>
      </c>
      <c r="D6930" t="s">
        <v>26729</v>
      </c>
      <c r="E6930" t="s">
        <v>26730</v>
      </c>
      <c r="F6930" t="s">
        <v>20721</v>
      </c>
      <c r="G6930" t="s">
        <v>99</v>
      </c>
      <c r="H6930" t="s">
        <v>26731</v>
      </c>
      <c r="I6930" t="s">
        <v>30</v>
      </c>
      <c r="J6930" t="s">
        <v>41</v>
      </c>
      <c r="K6930" t="s">
        <v>59</v>
      </c>
      <c r="Q6930">
        <v>0</v>
      </c>
      <c r="R6930">
        <v>0</v>
      </c>
      <c r="S6930">
        <v>0</v>
      </c>
      <c r="T6930" t="s">
        <v>26732</v>
      </c>
    </row>
    <row r="6931" spans="1:20" customFormat="1" ht="15" x14ac:dyDescent="0.25">
      <c r="A6931" t="s">
        <v>35</v>
      </c>
      <c r="B6931" t="s">
        <v>61</v>
      </c>
      <c r="C6931" t="str">
        <f>"A0182464"</f>
        <v>A0182464</v>
      </c>
      <c r="D6931" t="s">
        <v>25618</v>
      </c>
      <c r="E6931" t="s">
        <v>26733</v>
      </c>
      <c r="F6931" t="s">
        <v>25620</v>
      </c>
      <c r="G6931" t="s">
        <v>99</v>
      </c>
      <c r="H6931" t="s">
        <v>26734</v>
      </c>
      <c r="I6931" t="s">
        <v>30</v>
      </c>
      <c r="J6931" t="s">
        <v>41</v>
      </c>
      <c r="K6931" t="s">
        <v>59</v>
      </c>
      <c r="Q6931">
        <v>0</v>
      </c>
      <c r="R6931">
        <v>0</v>
      </c>
      <c r="S6931">
        <v>0</v>
      </c>
      <c r="T6931" t="s">
        <v>26735</v>
      </c>
    </row>
    <row r="6932" spans="1:20" customFormat="1" ht="15" x14ac:dyDescent="0.25">
      <c r="A6932" t="s">
        <v>35</v>
      </c>
      <c r="B6932" t="s">
        <v>61</v>
      </c>
      <c r="C6932" t="str">
        <f>"A0182463"</f>
        <v>A0182463</v>
      </c>
      <c r="D6932" t="s">
        <v>26736</v>
      </c>
      <c r="E6932" t="s">
        <v>26737</v>
      </c>
      <c r="F6932" t="s">
        <v>26738</v>
      </c>
      <c r="G6932" t="s">
        <v>99</v>
      </c>
      <c r="H6932" t="s">
        <v>26739</v>
      </c>
      <c r="I6932" t="s">
        <v>30</v>
      </c>
      <c r="J6932" t="s">
        <v>41</v>
      </c>
      <c r="K6932" t="s">
        <v>59</v>
      </c>
      <c r="Q6932">
        <v>0</v>
      </c>
      <c r="R6932">
        <v>0</v>
      </c>
      <c r="S6932">
        <v>0</v>
      </c>
      <c r="T6932" t="s">
        <v>26740</v>
      </c>
    </row>
    <row r="6933" spans="1:20" customFormat="1" ht="15" x14ac:dyDescent="0.25">
      <c r="A6933" t="s">
        <v>35</v>
      </c>
      <c r="B6933" t="s">
        <v>61</v>
      </c>
      <c r="C6933" t="str">
        <f>"A0182462"</f>
        <v>A0182462</v>
      </c>
      <c r="D6933" t="s">
        <v>26741</v>
      </c>
      <c r="E6933" t="s">
        <v>26742</v>
      </c>
      <c r="F6933" t="s">
        <v>638</v>
      </c>
      <c r="G6933" t="s">
        <v>214</v>
      </c>
      <c r="H6933">
        <v>28658</v>
      </c>
      <c r="I6933" t="s">
        <v>30</v>
      </c>
      <c r="J6933" t="s">
        <v>41</v>
      </c>
      <c r="K6933" t="s">
        <v>59</v>
      </c>
      <c r="Q6933">
        <v>0</v>
      </c>
      <c r="R6933">
        <v>214</v>
      </c>
      <c r="S6933">
        <v>214</v>
      </c>
      <c r="T6933" t="s">
        <v>26743</v>
      </c>
    </row>
    <row r="6934" spans="1:20" customFormat="1" ht="15" x14ac:dyDescent="0.25">
      <c r="A6934" t="s">
        <v>35</v>
      </c>
      <c r="B6934" t="s">
        <v>61</v>
      </c>
      <c r="C6934" t="str">
        <f>"A0182461"</f>
        <v>A0182461</v>
      </c>
      <c r="D6934" t="s">
        <v>26744</v>
      </c>
      <c r="E6934" t="s">
        <v>26745</v>
      </c>
      <c r="F6934" t="s">
        <v>26746</v>
      </c>
      <c r="G6934" t="s">
        <v>214</v>
      </c>
      <c r="H6934" t="s">
        <v>26747</v>
      </c>
      <c r="I6934" t="s">
        <v>30</v>
      </c>
      <c r="J6934" t="s">
        <v>41</v>
      </c>
      <c r="K6934" t="s">
        <v>59</v>
      </c>
      <c r="Q6934">
        <v>0</v>
      </c>
      <c r="R6934">
        <v>58</v>
      </c>
      <c r="S6934">
        <v>58</v>
      </c>
      <c r="T6934" t="s">
        <v>26748</v>
      </c>
    </row>
    <row r="6935" spans="1:20" customFormat="1" ht="15" x14ac:dyDescent="0.25">
      <c r="A6935" t="s">
        <v>35</v>
      </c>
      <c r="B6935" t="s">
        <v>61</v>
      </c>
      <c r="C6935" t="str">
        <f>"A0182459"</f>
        <v>A0182459</v>
      </c>
      <c r="D6935" t="s">
        <v>26749</v>
      </c>
      <c r="E6935" t="s">
        <v>26750</v>
      </c>
      <c r="F6935" t="s">
        <v>3315</v>
      </c>
      <c r="G6935" t="s">
        <v>214</v>
      </c>
      <c r="H6935">
        <v>27511</v>
      </c>
      <c r="I6935" t="s">
        <v>30</v>
      </c>
      <c r="J6935" t="s">
        <v>41</v>
      </c>
      <c r="K6935" t="s">
        <v>59</v>
      </c>
      <c r="Q6935">
        <v>0</v>
      </c>
      <c r="R6935">
        <v>60</v>
      </c>
      <c r="S6935">
        <v>60</v>
      </c>
      <c r="T6935" t="s">
        <v>26751</v>
      </c>
    </row>
    <row r="6936" spans="1:20" customFormat="1" ht="15" x14ac:dyDescent="0.25">
      <c r="A6936" t="s">
        <v>35</v>
      </c>
      <c r="B6936" t="s">
        <v>11871</v>
      </c>
      <c r="C6936" t="str">
        <f>"A0182458"</f>
        <v>A0182458</v>
      </c>
      <c r="D6936" t="s">
        <v>26752</v>
      </c>
      <c r="E6936" t="s">
        <v>26753</v>
      </c>
      <c r="F6936" t="s">
        <v>26754</v>
      </c>
      <c r="G6936" t="s">
        <v>214</v>
      </c>
      <c r="H6936" t="s">
        <v>26755</v>
      </c>
      <c r="I6936" t="s">
        <v>30</v>
      </c>
      <c r="J6936" t="s">
        <v>41</v>
      </c>
      <c r="K6936" t="s">
        <v>59</v>
      </c>
      <c r="Q6936">
        <v>0</v>
      </c>
      <c r="R6936">
        <v>72</v>
      </c>
      <c r="S6936">
        <v>72</v>
      </c>
      <c r="T6936" t="s">
        <v>26756</v>
      </c>
    </row>
    <row r="6937" spans="1:20" customFormat="1" ht="15" x14ac:dyDescent="0.25">
      <c r="A6937" t="s">
        <v>35</v>
      </c>
      <c r="B6937" t="s">
        <v>6747</v>
      </c>
      <c r="C6937" t="str">
        <f>"A0182457"</f>
        <v>A0182457</v>
      </c>
      <c r="D6937" t="s">
        <v>26757</v>
      </c>
      <c r="E6937" t="s">
        <v>26758</v>
      </c>
      <c r="F6937" t="s">
        <v>11609</v>
      </c>
      <c r="G6937" t="s">
        <v>214</v>
      </c>
      <c r="H6937">
        <v>28739</v>
      </c>
      <c r="I6937" t="s">
        <v>30</v>
      </c>
      <c r="J6937" t="s">
        <v>41</v>
      </c>
      <c r="K6937" t="s">
        <v>59</v>
      </c>
      <c r="Q6937">
        <v>0</v>
      </c>
      <c r="R6937">
        <v>134</v>
      </c>
      <c r="S6937">
        <v>134</v>
      </c>
      <c r="T6937" t="s">
        <v>26759</v>
      </c>
    </row>
    <row r="6938" spans="1:20" customFormat="1" ht="15" x14ac:dyDescent="0.25">
      <c r="A6938" t="s">
        <v>35</v>
      </c>
      <c r="B6938" t="s">
        <v>61</v>
      </c>
      <c r="C6938" t="str">
        <f>"A0182456"</f>
        <v>A0182456</v>
      </c>
      <c r="D6938" t="s">
        <v>26760</v>
      </c>
      <c r="E6938" t="s">
        <v>26761</v>
      </c>
      <c r="F6938" t="s">
        <v>5778</v>
      </c>
      <c r="G6938" t="s">
        <v>117</v>
      </c>
      <c r="H6938" t="s">
        <v>26762</v>
      </c>
      <c r="I6938" t="s">
        <v>30</v>
      </c>
      <c r="J6938" t="s">
        <v>41</v>
      </c>
      <c r="K6938" t="s">
        <v>59</v>
      </c>
      <c r="Q6938">
        <v>0</v>
      </c>
      <c r="R6938">
        <v>0</v>
      </c>
      <c r="S6938">
        <v>0</v>
      </c>
    </row>
    <row r="6939" spans="1:20" customFormat="1" ht="15" x14ac:dyDescent="0.25">
      <c r="A6939" t="s">
        <v>35</v>
      </c>
      <c r="B6939" t="s">
        <v>61</v>
      </c>
      <c r="C6939" t="str">
        <f>"A0182455"</f>
        <v>A0182455</v>
      </c>
      <c r="D6939" t="s">
        <v>26763</v>
      </c>
      <c r="E6939" t="s">
        <v>26764</v>
      </c>
      <c r="F6939" t="s">
        <v>4219</v>
      </c>
      <c r="G6939" t="s">
        <v>99</v>
      </c>
      <c r="H6939" t="s">
        <v>26765</v>
      </c>
      <c r="I6939" t="s">
        <v>30</v>
      </c>
      <c r="J6939" t="s">
        <v>41</v>
      </c>
      <c r="K6939" t="s">
        <v>59</v>
      </c>
      <c r="Q6939">
        <v>0</v>
      </c>
      <c r="R6939">
        <v>872</v>
      </c>
      <c r="S6939">
        <v>872</v>
      </c>
      <c r="T6939" t="s">
        <v>26766</v>
      </c>
    </row>
    <row r="6940" spans="1:20" customFormat="1" ht="15" x14ac:dyDescent="0.25">
      <c r="A6940" t="s">
        <v>35</v>
      </c>
      <c r="B6940" t="s">
        <v>61</v>
      </c>
      <c r="C6940" t="str">
        <f>"A0182454"</f>
        <v>A0182454</v>
      </c>
      <c r="D6940" t="s">
        <v>26767</v>
      </c>
      <c r="E6940" t="s">
        <v>26768</v>
      </c>
      <c r="F6940" t="s">
        <v>24693</v>
      </c>
      <c r="G6940" t="s">
        <v>99</v>
      </c>
      <c r="H6940" t="s">
        <v>26769</v>
      </c>
      <c r="I6940" t="s">
        <v>30</v>
      </c>
      <c r="J6940" t="s">
        <v>41</v>
      </c>
      <c r="K6940" t="s">
        <v>59</v>
      </c>
      <c r="Q6940">
        <v>0</v>
      </c>
      <c r="R6940">
        <v>0</v>
      </c>
      <c r="S6940">
        <v>0</v>
      </c>
      <c r="T6940" t="s">
        <v>26770</v>
      </c>
    </row>
    <row r="6941" spans="1:20" customFormat="1" ht="15" x14ac:dyDescent="0.25">
      <c r="A6941" t="s">
        <v>35</v>
      </c>
      <c r="B6941" t="s">
        <v>61</v>
      </c>
      <c r="C6941" t="str">
        <f>"A0182453"</f>
        <v>A0182453</v>
      </c>
      <c r="D6941" t="s">
        <v>26771</v>
      </c>
      <c r="E6941" t="s">
        <v>26772</v>
      </c>
      <c r="F6941" t="s">
        <v>18696</v>
      </c>
      <c r="G6941" t="s">
        <v>99</v>
      </c>
      <c r="H6941">
        <v>14534</v>
      </c>
      <c r="I6941" t="s">
        <v>30</v>
      </c>
      <c r="J6941" t="s">
        <v>41</v>
      </c>
      <c r="K6941" t="s">
        <v>59</v>
      </c>
      <c r="Q6941">
        <v>0</v>
      </c>
      <c r="R6941">
        <v>20</v>
      </c>
      <c r="S6941">
        <v>20</v>
      </c>
      <c r="T6941" t="s">
        <v>26773</v>
      </c>
    </row>
    <row r="6942" spans="1:20" customFormat="1" ht="15" x14ac:dyDescent="0.25">
      <c r="A6942" t="s">
        <v>35</v>
      </c>
      <c r="B6942" t="s">
        <v>61</v>
      </c>
      <c r="C6942" t="str">
        <f>"A0182452"</f>
        <v>A0182452</v>
      </c>
      <c r="D6942" t="s">
        <v>26774</v>
      </c>
      <c r="E6942" t="s">
        <v>26775</v>
      </c>
      <c r="F6942" t="s">
        <v>26776</v>
      </c>
      <c r="G6942" t="s">
        <v>99</v>
      </c>
      <c r="H6942" t="s">
        <v>26777</v>
      </c>
      <c r="I6942" t="s">
        <v>30</v>
      </c>
      <c r="J6942" t="s">
        <v>41</v>
      </c>
      <c r="K6942" t="s">
        <v>59</v>
      </c>
      <c r="Q6942">
        <v>0</v>
      </c>
      <c r="R6942">
        <v>0</v>
      </c>
      <c r="S6942">
        <v>0</v>
      </c>
      <c r="T6942" t="s">
        <v>26778</v>
      </c>
    </row>
    <row r="6943" spans="1:20" customFormat="1" ht="15" x14ac:dyDescent="0.25">
      <c r="A6943" t="s">
        <v>35</v>
      </c>
      <c r="B6943" t="s">
        <v>11871</v>
      </c>
      <c r="C6943" t="str">
        <f>"A0182451"</f>
        <v>A0182451</v>
      </c>
      <c r="D6943" t="s">
        <v>26779</v>
      </c>
      <c r="E6943" t="s">
        <v>26780</v>
      </c>
      <c r="F6943" t="s">
        <v>10897</v>
      </c>
      <c r="G6943" t="s">
        <v>433</v>
      </c>
      <c r="H6943">
        <v>838158906</v>
      </c>
      <c r="I6943" t="s">
        <v>30</v>
      </c>
      <c r="J6943" t="s">
        <v>41</v>
      </c>
      <c r="K6943" t="s">
        <v>59</v>
      </c>
      <c r="Q6943">
        <v>0</v>
      </c>
      <c r="R6943">
        <v>0</v>
      </c>
      <c r="S6943">
        <v>0</v>
      </c>
    </row>
    <row r="6944" spans="1:20" customFormat="1" ht="15" x14ac:dyDescent="0.25">
      <c r="A6944" t="s">
        <v>35</v>
      </c>
      <c r="B6944" t="s">
        <v>61</v>
      </c>
      <c r="C6944" t="str">
        <f>"A0182450"</f>
        <v>A0182450</v>
      </c>
      <c r="D6944" t="s">
        <v>26781</v>
      </c>
      <c r="E6944" t="s">
        <v>26782</v>
      </c>
      <c r="F6944" t="s">
        <v>14373</v>
      </c>
      <c r="G6944" t="s">
        <v>161</v>
      </c>
      <c r="H6944">
        <v>56470</v>
      </c>
      <c r="I6944" t="s">
        <v>30</v>
      </c>
      <c r="J6944" t="s">
        <v>41</v>
      </c>
      <c r="K6944" t="s">
        <v>59</v>
      </c>
      <c r="Q6944">
        <v>0</v>
      </c>
      <c r="R6944">
        <v>0</v>
      </c>
      <c r="S6944">
        <v>0</v>
      </c>
      <c r="T6944" t="s">
        <v>26783</v>
      </c>
    </row>
    <row r="6945" spans="1:20" customFormat="1" ht="15" x14ac:dyDescent="0.25">
      <c r="A6945" t="s">
        <v>35</v>
      </c>
      <c r="B6945" t="s">
        <v>61</v>
      </c>
      <c r="C6945" t="str">
        <f>"A0182449"</f>
        <v>A0182449</v>
      </c>
      <c r="D6945" t="s">
        <v>26784</v>
      </c>
      <c r="E6945" t="s">
        <v>26785</v>
      </c>
      <c r="F6945" t="s">
        <v>26786</v>
      </c>
      <c r="G6945" t="s">
        <v>161</v>
      </c>
      <c r="H6945" t="s">
        <v>26787</v>
      </c>
      <c r="I6945" t="s">
        <v>30</v>
      </c>
      <c r="J6945" t="s">
        <v>41</v>
      </c>
      <c r="K6945" t="s">
        <v>59</v>
      </c>
      <c r="Q6945">
        <v>0</v>
      </c>
      <c r="R6945">
        <v>0</v>
      </c>
      <c r="S6945">
        <v>0</v>
      </c>
      <c r="T6945" t="s">
        <v>26788</v>
      </c>
    </row>
    <row r="6946" spans="1:20" customFormat="1" ht="15" x14ac:dyDescent="0.25">
      <c r="A6946" t="s">
        <v>35</v>
      </c>
      <c r="B6946" t="s">
        <v>61</v>
      </c>
      <c r="C6946" t="str">
        <f>"A0182448"</f>
        <v>A0182448</v>
      </c>
      <c r="D6946" t="s">
        <v>26789</v>
      </c>
      <c r="E6946" t="s">
        <v>26790</v>
      </c>
      <c r="F6946" t="s">
        <v>15552</v>
      </c>
      <c r="G6946" t="s">
        <v>161</v>
      </c>
      <c r="H6946">
        <v>55355</v>
      </c>
      <c r="I6946" t="s">
        <v>30</v>
      </c>
      <c r="J6946" t="s">
        <v>41</v>
      </c>
      <c r="K6946" t="s">
        <v>59</v>
      </c>
      <c r="Q6946">
        <v>0</v>
      </c>
      <c r="R6946">
        <v>56</v>
      </c>
      <c r="S6946">
        <v>56</v>
      </c>
      <c r="T6946" t="s">
        <v>26791</v>
      </c>
    </row>
    <row r="6947" spans="1:20" customFormat="1" ht="15" x14ac:dyDescent="0.25">
      <c r="A6947" t="s">
        <v>35</v>
      </c>
      <c r="B6947" t="s">
        <v>61</v>
      </c>
      <c r="C6947" t="str">
        <f>"A0182447"</f>
        <v>A0182447</v>
      </c>
      <c r="D6947" t="s">
        <v>26792</v>
      </c>
      <c r="E6947" t="s">
        <v>26793</v>
      </c>
      <c r="F6947" t="s">
        <v>22196</v>
      </c>
      <c r="G6947" t="s">
        <v>161</v>
      </c>
      <c r="H6947" t="s">
        <v>26794</v>
      </c>
      <c r="I6947" t="s">
        <v>30</v>
      </c>
      <c r="J6947" t="s">
        <v>41</v>
      </c>
      <c r="K6947" t="s">
        <v>59</v>
      </c>
      <c r="Q6947">
        <v>0</v>
      </c>
      <c r="R6947">
        <v>0</v>
      </c>
      <c r="S6947">
        <v>0</v>
      </c>
    </row>
    <row r="6948" spans="1:20" customFormat="1" ht="15" x14ac:dyDescent="0.25">
      <c r="A6948" t="s">
        <v>35</v>
      </c>
      <c r="B6948" t="s">
        <v>61</v>
      </c>
      <c r="C6948" t="str">
        <f>"A0182446"</f>
        <v>A0182446</v>
      </c>
      <c r="D6948" t="s">
        <v>26795</v>
      </c>
      <c r="E6948" t="s">
        <v>26796</v>
      </c>
      <c r="F6948" t="s">
        <v>26797</v>
      </c>
      <c r="G6948" t="s">
        <v>161</v>
      </c>
      <c r="H6948">
        <v>56501</v>
      </c>
      <c r="I6948" t="s">
        <v>30</v>
      </c>
      <c r="J6948" t="s">
        <v>41</v>
      </c>
      <c r="K6948" t="s">
        <v>59</v>
      </c>
      <c r="Q6948">
        <v>0</v>
      </c>
      <c r="R6948">
        <v>144</v>
      </c>
      <c r="S6948">
        <v>144</v>
      </c>
      <c r="T6948" t="s">
        <v>26798</v>
      </c>
    </row>
    <row r="6949" spans="1:20" customFormat="1" ht="15" x14ac:dyDescent="0.25">
      <c r="A6949" t="s">
        <v>35</v>
      </c>
      <c r="B6949" t="s">
        <v>61</v>
      </c>
      <c r="C6949" t="str">
        <f>"A0182445"</f>
        <v>A0182445</v>
      </c>
      <c r="D6949" t="s">
        <v>26799</v>
      </c>
      <c r="E6949" t="s">
        <v>26800</v>
      </c>
      <c r="F6949" t="s">
        <v>26801</v>
      </c>
      <c r="G6949" t="s">
        <v>161</v>
      </c>
      <c r="H6949">
        <v>56065</v>
      </c>
      <c r="I6949" t="s">
        <v>30</v>
      </c>
      <c r="J6949" t="s">
        <v>41</v>
      </c>
      <c r="K6949" t="s">
        <v>59</v>
      </c>
      <c r="Q6949">
        <v>0</v>
      </c>
      <c r="R6949">
        <v>0</v>
      </c>
      <c r="S6949">
        <v>0</v>
      </c>
      <c r="T6949" t="s">
        <v>26802</v>
      </c>
    </row>
    <row r="6950" spans="1:20" customFormat="1" ht="15" x14ac:dyDescent="0.25">
      <c r="A6950" t="s">
        <v>35</v>
      </c>
      <c r="B6950" t="s">
        <v>61</v>
      </c>
      <c r="C6950" t="str">
        <f>"A0182444"</f>
        <v>A0182444</v>
      </c>
      <c r="D6950" t="s">
        <v>26803</v>
      </c>
      <c r="E6950" t="s">
        <v>26804</v>
      </c>
      <c r="F6950" t="s">
        <v>8846</v>
      </c>
      <c r="G6950" t="s">
        <v>117</v>
      </c>
      <c r="H6950" t="s">
        <v>26805</v>
      </c>
      <c r="I6950" t="s">
        <v>30</v>
      </c>
      <c r="J6950" t="s">
        <v>41</v>
      </c>
      <c r="K6950" t="s">
        <v>59</v>
      </c>
      <c r="Q6950">
        <v>0</v>
      </c>
      <c r="R6950">
        <v>0</v>
      </c>
      <c r="S6950">
        <v>0</v>
      </c>
    </row>
    <row r="6951" spans="1:20" customFormat="1" ht="15" x14ac:dyDescent="0.25">
      <c r="A6951" t="s">
        <v>35</v>
      </c>
      <c r="B6951" t="s">
        <v>61</v>
      </c>
      <c r="C6951" t="str">
        <f>"A0182443"</f>
        <v>A0182443</v>
      </c>
      <c r="D6951" t="s">
        <v>26806</v>
      </c>
      <c r="E6951" t="s">
        <v>26807</v>
      </c>
      <c r="F6951" t="s">
        <v>13336</v>
      </c>
      <c r="G6951" t="s">
        <v>117</v>
      </c>
      <c r="H6951" t="s">
        <v>26808</v>
      </c>
      <c r="I6951" t="s">
        <v>30</v>
      </c>
      <c r="J6951" t="s">
        <v>41</v>
      </c>
      <c r="K6951" t="s">
        <v>59</v>
      </c>
      <c r="Q6951">
        <v>0</v>
      </c>
      <c r="R6951">
        <v>0</v>
      </c>
      <c r="S6951">
        <v>0</v>
      </c>
      <c r="T6951" t="s">
        <v>26809</v>
      </c>
    </row>
    <row r="6952" spans="1:20" customFormat="1" ht="15" x14ac:dyDescent="0.25">
      <c r="A6952" t="s">
        <v>35</v>
      </c>
      <c r="B6952" t="s">
        <v>61</v>
      </c>
      <c r="C6952" t="str">
        <f>"A0182442"</f>
        <v>A0182442</v>
      </c>
      <c r="D6952" t="s">
        <v>26810</v>
      </c>
      <c r="E6952" t="s">
        <v>26811</v>
      </c>
      <c r="F6952" t="s">
        <v>3319</v>
      </c>
      <c r="G6952" t="s">
        <v>117</v>
      </c>
      <c r="H6952">
        <v>48858</v>
      </c>
      <c r="I6952" t="s">
        <v>30</v>
      </c>
      <c r="J6952" t="s">
        <v>41</v>
      </c>
      <c r="K6952" t="s">
        <v>59</v>
      </c>
      <c r="Q6952">
        <v>0</v>
      </c>
      <c r="R6952">
        <v>0</v>
      </c>
      <c r="S6952">
        <v>0</v>
      </c>
      <c r="T6952" t="s">
        <v>26812</v>
      </c>
    </row>
    <row r="6953" spans="1:20" customFormat="1" ht="15" x14ac:dyDescent="0.25">
      <c r="A6953" t="s">
        <v>35</v>
      </c>
      <c r="B6953" t="s">
        <v>61</v>
      </c>
      <c r="C6953" t="str">
        <f>"A0182441"</f>
        <v>A0182441</v>
      </c>
      <c r="D6953" t="s">
        <v>26813</v>
      </c>
      <c r="E6953" t="s">
        <v>26814</v>
      </c>
      <c r="F6953" t="s">
        <v>136</v>
      </c>
      <c r="G6953" t="s">
        <v>117</v>
      </c>
      <c r="H6953" t="s">
        <v>26815</v>
      </c>
      <c r="I6953" t="s">
        <v>30</v>
      </c>
      <c r="J6953" t="s">
        <v>41</v>
      </c>
      <c r="K6953" t="s">
        <v>59</v>
      </c>
      <c r="Q6953">
        <v>0</v>
      </c>
      <c r="R6953">
        <v>0</v>
      </c>
      <c r="S6953">
        <v>0</v>
      </c>
    </row>
    <row r="6954" spans="1:20" customFormat="1" ht="15" x14ac:dyDescent="0.25">
      <c r="A6954" t="s">
        <v>35</v>
      </c>
      <c r="B6954" t="s">
        <v>61</v>
      </c>
      <c r="C6954" t="str">
        <f>"A0182440"</f>
        <v>A0182440</v>
      </c>
      <c r="D6954" t="s">
        <v>26816</v>
      </c>
      <c r="E6954" t="s">
        <v>26817</v>
      </c>
      <c r="F6954" t="s">
        <v>2719</v>
      </c>
      <c r="G6954" t="s">
        <v>190</v>
      </c>
      <c r="H6954">
        <v>802031414</v>
      </c>
      <c r="I6954" t="s">
        <v>30</v>
      </c>
      <c r="J6954" t="s">
        <v>41</v>
      </c>
      <c r="K6954" t="s">
        <v>59</v>
      </c>
      <c r="Q6954">
        <v>0</v>
      </c>
      <c r="R6954">
        <v>0</v>
      </c>
      <c r="S6954">
        <v>0</v>
      </c>
    </row>
    <row r="6955" spans="1:20" customFormat="1" ht="15" x14ac:dyDescent="0.25">
      <c r="A6955" t="s">
        <v>35</v>
      </c>
      <c r="B6955" t="s">
        <v>15885</v>
      </c>
      <c r="C6955" t="str">
        <f>"A0182439"</f>
        <v>A0182439</v>
      </c>
      <c r="D6955" t="s">
        <v>26818</v>
      </c>
      <c r="E6955" t="s">
        <v>26819</v>
      </c>
      <c r="F6955" t="s">
        <v>13113</v>
      </c>
      <c r="G6955" t="s">
        <v>190</v>
      </c>
      <c r="H6955">
        <v>800111330</v>
      </c>
      <c r="I6955" t="s">
        <v>30</v>
      </c>
      <c r="J6955" t="s">
        <v>41</v>
      </c>
      <c r="K6955" t="s">
        <v>59</v>
      </c>
      <c r="Q6955">
        <v>0</v>
      </c>
      <c r="R6955">
        <v>0</v>
      </c>
      <c r="S6955">
        <v>0</v>
      </c>
      <c r="T6955" t="s">
        <v>26820</v>
      </c>
    </row>
    <row r="6956" spans="1:20" customFormat="1" ht="15" x14ac:dyDescent="0.25">
      <c r="A6956" t="s">
        <v>35</v>
      </c>
      <c r="B6956" t="s">
        <v>61</v>
      </c>
      <c r="C6956" t="str">
        <f>"A0182438"</f>
        <v>A0182438</v>
      </c>
      <c r="D6956" t="s">
        <v>26821</v>
      </c>
      <c r="E6956" t="s">
        <v>26822</v>
      </c>
      <c r="F6956" t="s">
        <v>26823</v>
      </c>
      <c r="G6956" t="s">
        <v>190</v>
      </c>
      <c r="H6956">
        <v>80122</v>
      </c>
      <c r="I6956" t="s">
        <v>30</v>
      </c>
      <c r="J6956" t="s">
        <v>41</v>
      </c>
      <c r="K6956" t="s">
        <v>59</v>
      </c>
      <c r="Q6956">
        <v>0</v>
      </c>
      <c r="R6956">
        <v>0</v>
      </c>
      <c r="S6956">
        <v>0</v>
      </c>
      <c r="T6956" t="s">
        <v>26824</v>
      </c>
    </row>
    <row r="6957" spans="1:20" customFormat="1" ht="15" x14ac:dyDescent="0.25">
      <c r="A6957" t="s">
        <v>35</v>
      </c>
      <c r="B6957" t="s">
        <v>61</v>
      </c>
      <c r="C6957" t="str">
        <f>"A0182437"</f>
        <v>A0182437</v>
      </c>
      <c r="D6957" t="s">
        <v>26825</v>
      </c>
      <c r="E6957" t="s">
        <v>26826</v>
      </c>
      <c r="F6957" t="s">
        <v>26827</v>
      </c>
      <c r="G6957" t="s">
        <v>190</v>
      </c>
      <c r="H6957">
        <v>81631</v>
      </c>
      <c r="I6957" t="s">
        <v>30</v>
      </c>
      <c r="J6957" t="s">
        <v>41</v>
      </c>
      <c r="K6957" t="s">
        <v>59</v>
      </c>
      <c r="Q6957">
        <v>0</v>
      </c>
      <c r="R6957">
        <v>0</v>
      </c>
      <c r="S6957">
        <v>0</v>
      </c>
      <c r="T6957" t="s">
        <v>26828</v>
      </c>
    </row>
    <row r="6958" spans="1:20" customFormat="1" ht="15" x14ac:dyDescent="0.25">
      <c r="A6958" t="s">
        <v>35</v>
      </c>
      <c r="B6958" t="s">
        <v>61</v>
      </c>
      <c r="C6958" t="str">
        <f>"A0182436"</f>
        <v>A0182436</v>
      </c>
      <c r="D6958" t="s">
        <v>26829</v>
      </c>
      <c r="E6958" t="s">
        <v>26830</v>
      </c>
      <c r="F6958" t="s">
        <v>3108</v>
      </c>
      <c r="G6958" t="s">
        <v>110</v>
      </c>
      <c r="H6958">
        <v>945654952</v>
      </c>
      <c r="I6958" t="s">
        <v>30</v>
      </c>
      <c r="J6958" t="s">
        <v>41</v>
      </c>
      <c r="K6958" t="s">
        <v>59</v>
      </c>
      <c r="Q6958">
        <v>0</v>
      </c>
      <c r="R6958">
        <v>0</v>
      </c>
      <c r="S6958">
        <v>0</v>
      </c>
      <c r="T6958" t="s">
        <v>26831</v>
      </c>
    </row>
    <row r="6959" spans="1:20" customFormat="1" ht="15" x14ac:dyDescent="0.25">
      <c r="A6959" t="s">
        <v>35</v>
      </c>
      <c r="B6959" t="s">
        <v>61</v>
      </c>
      <c r="C6959" t="str">
        <f>"A0182435"</f>
        <v>A0182435</v>
      </c>
      <c r="D6959" t="s">
        <v>26832</v>
      </c>
      <c r="E6959" t="s">
        <v>26833</v>
      </c>
      <c r="F6959" t="s">
        <v>22501</v>
      </c>
      <c r="G6959" t="s">
        <v>1898</v>
      </c>
      <c r="H6959" t="s">
        <v>26834</v>
      </c>
      <c r="I6959" t="s">
        <v>30</v>
      </c>
      <c r="J6959" t="s">
        <v>41</v>
      </c>
      <c r="K6959" t="s">
        <v>59</v>
      </c>
      <c r="Q6959">
        <v>0</v>
      </c>
      <c r="R6959">
        <v>3</v>
      </c>
      <c r="S6959">
        <v>3</v>
      </c>
      <c r="T6959" t="s">
        <v>22693</v>
      </c>
    </row>
    <row r="6960" spans="1:20" customFormat="1" ht="15" x14ac:dyDescent="0.25">
      <c r="A6960" t="s">
        <v>35</v>
      </c>
      <c r="B6960" t="s">
        <v>61</v>
      </c>
      <c r="C6960" t="str">
        <f>"A0182434"</f>
        <v>A0182434</v>
      </c>
      <c r="D6960" t="s">
        <v>26835</v>
      </c>
      <c r="E6960" t="s">
        <v>22394</v>
      </c>
      <c r="F6960" t="s">
        <v>638</v>
      </c>
      <c r="G6960" t="s">
        <v>1898</v>
      </c>
      <c r="H6960" t="s">
        <v>22395</v>
      </c>
      <c r="I6960" t="s">
        <v>30</v>
      </c>
      <c r="J6960" t="s">
        <v>41</v>
      </c>
      <c r="K6960" t="s">
        <v>59</v>
      </c>
      <c r="Q6960">
        <v>0</v>
      </c>
      <c r="R6960">
        <v>0</v>
      </c>
      <c r="S6960">
        <v>0</v>
      </c>
      <c r="T6960" t="s">
        <v>26836</v>
      </c>
    </row>
    <row r="6961" spans="1:20" customFormat="1" ht="15" x14ac:dyDescent="0.25">
      <c r="A6961" t="s">
        <v>35</v>
      </c>
      <c r="B6961" t="s">
        <v>61</v>
      </c>
      <c r="C6961" t="str">
        <f>"A0182433"</f>
        <v>A0182433</v>
      </c>
      <c r="D6961" t="s">
        <v>26837</v>
      </c>
      <c r="E6961" t="s">
        <v>26838</v>
      </c>
      <c r="F6961" t="s">
        <v>11740</v>
      </c>
      <c r="G6961" t="s">
        <v>1898</v>
      </c>
      <c r="H6961" t="s">
        <v>26839</v>
      </c>
      <c r="I6961" t="s">
        <v>30</v>
      </c>
      <c r="J6961" t="s">
        <v>41</v>
      </c>
      <c r="K6961" t="s">
        <v>59</v>
      </c>
      <c r="Q6961">
        <v>0</v>
      </c>
      <c r="R6961">
        <v>327</v>
      </c>
      <c r="S6961">
        <v>327</v>
      </c>
      <c r="T6961" t="s">
        <v>26840</v>
      </c>
    </row>
    <row r="6962" spans="1:20" customFormat="1" ht="15" x14ac:dyDescent="0.25">
      <c r="A6962" t="s">
        <v>35</v>
      </c>
      <c r="B6962" t="s">
        <v>61</v>
      </c>
      <c r="C6962" t="str">
        <f>"A0182432"</f>
        <v>A0182432</v>
      </c>
      <c r="D6962" t="s">
        <v>26841</v>
      </c>
      <c r="E6962" t="s">
        <v>26842</v>
      </c>
      <c r="F6962" t="s">
        <v>6726</v>
      </c>
      <c r="G6962" t="s">
        <v>1898</v>
      </c>
      <c r="H6962" t="s">
        <v>26843</v>
      </c>
      <c r="I6962" t="s">
        <v>30</v>
      </c>
      <c r="J6962" t="s">
        <v>41</v>
      </c>
      <c r="K6962" t="s">
        <v>59</v>
      </c>
      <c r="Q6962">
        <v>0</v>
      </c>
      <c r="R6962">
        <v>339</v>
      </c>
      <c r="S6962">
        <v>339</v>
      </c>
      <c r="T6962" t="s">
        <v>26844</v>
      </c>
    </row>
    <row r="6963" spans="1:20" customFormat="1" ht="15" x14ac:dyDescent="0.25">
      <c r="A6963" t="s">
        <v>35</v>
      </c>
      <c r="B6963" t="s">
        <v>61</v>
      </c>
      <c r="C6963" t="str">
        <f>"A0182431"</f>
        <v>A0182431</v>
      </c>
      <c r="D6963" t="s">
        <v>26845</v>
      </c>
      <c r="E6963" t="s">
        <v>26846</v>
      </c>
      <c r="F6963" t="s">
        <v>26847</v>
      </c>
      <c r="G6963" t="s">
        <v>1898</v>
      </c>
      <c r="H6963" t="s">
        <v>26848</v>
      </c>
      <c r="I6963" t="s">
        <v>30</v>
      </c>
      <c r="J6963" t="s">
        <v>41</v>
      </c>
      <c r="K6963" t="s">
        <v>59</v>
      </c>
      <c r="Q6963">
        <v>0</v>
      </c>
      <c r="R6963">
        <v>0</v>
      </c>
      <c r="S6963">
        <v>0</v>
      </c>
    </row>
    <row r="6964" spans="1:20" customFormat="1" ht="15" x14ac:dyDescent="0.25">
      <c r="A6964" t="s">
        <v>35</v>
      </c>
      <c r="B6964" t="s">
        <v>61</v>
      </c>
      <c r="C6964" t="str">
        <f>"A0182430"</f>
        <v>A0182430</v>
      </c>
      <c r="D6964" t="s">
        <v>26849</v>
      </c>
      <c r="E6964" t="s">
        <v>26850</v>
      </c>
      <c r="F6964" t="s">
        <v>15680</v>
      </c>
      <c r="G6964" t="s">
        <v>214</v>
      </c>
      <c r="H6964" t="s">
        <v>26851</v>
      </c>
      <c r="I6964" t="s">
        <v>30</v>
      </c>
      <c r="J6964" t="s">
        <v>41</v>
      </c>
      <c r="K6964" t="s">
        <v>59</v>
      </c>
      <c r="Q6964">
        <v>0</v>
      </c>
      <c r="R6964">
        <v>116</v>
      </c>
      <c r="S6964">
        <v>116</v>
      </c>
      <c r="T6964" t="s">
        <v>26852</v>
      </c>
    </row>
    <row r="6965" spans="1:20" customFormat="1" ht="15" x14ac:dyDescent="0.25">
      <c r="A6965" t="s">
        <v>35</v>
      </c>
      <c r="B6965" t="s">
        <v>61</v>
      </c>
      <c r="C6965" t="str">
        <f>"A0182428"</f>
        <v>A0182428</v>
      </c>
      <c r="D6965" t="s">
        <v>26853</v>
      </c>
      <c r="E6965" t="s">
        <v>26854</v>
      </c>
      <c r="F6965" t="s">
        <v>26855</v>
      </c>
      <c r="G6965" t="s">
        <v>1898</v>
      </c>
      <c r="H6965" t="s">
        <v>26856</v>
      </c>
      <c r="I6965" t="s">
        <v>30</v>
      </c>
      <c r="J6965" t="s">
        <v>41</v>
      </c>
      <c r="K6965" t="s">
        <v>59</v>
      </c>
      <c r="Q6965">
        <v>0</v>
      </c>
      <c r="R6965">
        <v>64</v>
      </c>
      <c r="S6965">
        <v>64</v>
      </c>
      <c r="T6965" t="s">
        <v>26857</v>
      </c>
    </row>
    <row r="6966" spans="1:20" customFormat="1" ht="15" x14ac:dyDescent="0.25">
      <c r="A6966" t="s">
        <v>35</v>
      </c>
      <c r="B6966" t="s">
        <v>61</v>
      </c>
      <c r="C6966" t="str">
        <f>"A0182427"</f>
        <v>A0182427</v>
      </c>
      <c r="D6966" t="s">
        <v>26858</v>
      </c>
      <c r="E6966" t="s">
        <v>26859</v>
      </c>
      <c r="F6966" t="s">
        <v>26860</v>
      </c>
      <c r="G6966" t="s">
        <v>1898</v>
      </c>
      <c r="H6966" t="s">
        <v>26861</v>
      </c>
      <c r="I6966" t="s">
        <v>30</v>
      </c>
      <c r="J6966" t="s">
        <v>41</v>
      </c>
      <c r="K6966" t="s">
        <v>59</v>
      </c>
      <c r="Q6966">
        <v>0</v>
      </c>
      <c r="R6966">
        <v>63</v>
      </c>
      <c r="S6966">
        <v>63</v>
      </c>
      <c r="T6966" t="s">
        <v>26862</v>
      </c>
    </row>
    <row r="6967" spans="1:20" customFormat="1" ht="15" x14ac:dyDescent="0.25">
      <c r="A6967" t="s">
        <v>35</v>
      </c>
      <c r="B6967" t="s">
        <v>61</v>
      </c>
      <c r="C6967" t="str">
        <f>"A0182426"</f>
        <v>A0182426</v>
      </c>
      <c r="D6967" t="s">
        <v>26863</v>
      </c>
      <c r="E6967" t="s">
        <v>26864</v>
      </c>
      <c r="F6967" t="s">
        <v>1953</v>
      </c>
      <c r="G6967" t="s">
        <v>1898</v>
      </c>
      <c r="H6967" t="s">
        <v>26865</v>
      </c>
      <c r="I6967" t="s">
        <v>30</v>
      </c>
      <c r="J6967" t="s">
        <v>41</v>
      </c>
      <c r="K6967" t="s">
        <v>59</v>
      </c>
      <c r="Q6967">
        <v>0</v>
      </c>
      <c r="R6967">
        <v>0</v>
      </c>
      <c r="S6967">
        <v>0</v>
      </c>
      <c r="T6967" t="s">
        <v>26866</v>
      </c>
    </row>
    <row r="6968" spans="1:20" customFormat="1" ht="15" x14ac:dyDescent="0.25">
      <c r="A6968" t="s">
        <v>35</v>
      </c>
      <c r="B6968" t="s">
        <v>61</v>
      </c>
      <c r="C6968" t="str">
        <f>"A0182425"</f>
        <v>A0182425</v>
      </c>
      <c r="D6968" t="s">
        <v>26867</v>
      </c>
      <c r="E6968" t="s">
        <v>26868</v>
      </c>
      <c r="F6968" t="s">
        <v>26754</v>
      </c>
      <c r="G6968" t="s">
        <v>117</v>
      </c>
      <c r="H6968" t="s">
        <v>26869</v>
      </c>
      <c r="I6968" t="s">
        <v>30</v>
      </c>
      <c r="J6968" t="s">
        <v>41</v>
      </c>
      <c r="K6968" t="s">
        <v>59</v>
      </c>
      <c r="Q6968">
        <v>0</v>
      </c>
      <c r="R6968">
        <v>0</v>
      </c>
      <c r="S6968">
        <v>0</v>
      </c>
    </row>
    <row r="6969" spans="1:20" customFormat="1" ht="15" x14ac:dyDescent="0.25">
      <c r="A6969" t="s">
        <v>35</v>
      </c>
      <c r="B6969" t="s">
        <v>61</v>
      </c>
      <c r="C6969" t="str">
        <f>"A0182424"</f>
        <v>A0182424</v>
      </c>
      <c r="D6969" t="s">
        <v>26870</v>
      </c>
      <c r="E6969" t="s">
        <v>26871</v>
      </c>
      <c r="F6969" t="s">
        <v>1981</v>
      </c>
      <c r="G6969" t="s">
        <v>117</v>
      </c>
      <c r="H6969" t="s">
        <v>26872</v>
      </c>
      <c r="I6969" t="s">
        <v>30</v>
      </c>
      <c r="J6969" t="s">
        <v>41</v>
      </c>
      <c r="K6969" t="s">
        <v>59</v>
      </c>
      <c r="Q6969">
        <v>0</v>
      </c>
      <c r="R6969">
        <v>0</v>
      </c>
      <c r="S6969">
        <v>0</v>
      </c>
      <c r="T6969" t="s">
        <v>26873</v>
      </c>
    </row>
    <row r="6970" spans="1:20" customFormat="1" ht="15" x14ac:dyDescent="0.25">
      <c r="A6970" t="s">
        <v>35</v>
      </c>
      <c r="B6970" t="s">
        <v>61</v>
      </c>
      <c r="C6970" t="str">
        <f>"A0182423"</f>
        <v>A0182423</v>
      </c>
      <c r="D6970" t="s">
        <v>26874</v>
      </c>
      <c r="E6970" t="s">
        <v>26875</v>
      </c>
      <c r="F6970" t="s">
        <v>26876</v>
      </c>
      <c r="G6970" t="s">
        <v>117</v>
      </c>
      <c r="H6970" t="s">
        <v>26877</v>
      </c>
      <c r="I6970" t="s">
        <v>30</v>
      </c>
      <c r="J6970" t="s">
        <v>41</v>
      </c>
      <c r="K6970" t="s">
        <v>59</v>
      </c>
      <c r="Q6970">
        <v>0</v>
      </c>
      <c r="R6970">
        <v>0</v>
      </c>
      <c r="S6970">
        <v>0</v>
      </c>
      <c r="T6970" t="s">
        <v>26878</v>
      </c>
    </row>
    <row r="6971" spans="1:20" customFormat="1" ht="15" x14ac:dyDescent="0.25">
      <c r="A6971" t="s">
        <v>35</v>
      </c>
      <c r="B6971" t="s">
        <v>61</v>
      </c>
      <c r="C6971" t="str">
        <f>"A0182422"</f>
        <v>A0182422</v>
      </c>
      <c r="D6971" t="s">
        <v>26879</v>
      </c>
      <c r="E6971" t="s">
        <v>26880</v>
      </c>
      <c r="F6971" t="s">
        <v>15636</v>
      </c>
      <c r="G6971" t="s">
        <v>117</v>
      </c>
      <c r="H6971" t="s">
        <v>26881</v>
      </c>
      <c r="I6971" t="s">
        <v>30</v>
      </c>
      <c r="J6971" t="s">
        <v>41</v>
      </c>
      <c r="K6971" t="s">
        <v>59</v>
      </c>
      <c r="Q6971">
        <v>0</v>
      </c>
      <c r="R6971">
        <v>0</v>
      </c>
      <c r="S6971">
        <v>0</v>
      </c>
    </row>
    <row r="6972" spans="1:20" customFormat="1" ht="15" x14ac:dyDescent="0.25">
      <c r="A6972" t="s">
        <v>35</v>
      </c>
      <c r="B6972" t="s">
        <v>61</v>
      </c>
      <c r="C6972" t="str">
        <f>"A0182421"</f>
        <v>A0182421</v>
      </c>
      <c r="D6972" t="s">
        <v>26882</v>
      </c>
      <c r="E6972" t="s">
        <v>26883</v>
      </c>
      <c r="F6972" t="s">
        <v>1953</v>
      </c>
      <c r="G6972" t="s">
        <v>1898</v>
      </c>
      <c r="H6972" t="s">
        <v>26884</v>
      </c>
      <c r="I6972" t="s">
        <v>30</v>
      </c>
      <c r="J6972" t="s">
        <v>41</v>
      </c>
      <c r="K6972" t="s">
        <v>59</v>
      </c>
      <c r="Q6972">
        <v>0</v>
      </c>
      <c r="R6972">
        <v>0</v>
      </c>
      <c r="S6972">
        <v>0</v>
      </c>
    </row>
    <row r="6973" spans="1:20" customFormat="1" ht="15" x14ac:dyDescent="0.25">
      <c r="A6973" t="s">
        <v>35</v>
      </c>
      <c r="B6973" t="s">
        <v>61</v>
      </c>
      <c r="C6973" t="str">
        <f>"A0182420"</f>
        <v>A0182420</v>
      </c>
      <c r="D6973" t="s">
        <v>26885</v>
      </c>
      <c r="E6973" t="s">
        <v>26886</v>
      </c>
      <c r="F6973" t="s">
        <v>26887</v>
      </c>
      <c r="G6973" t="s">
        <v>1898</v>
      </c>
      <c r="H6973" t="s">
        <v>26888</v>
      </c>
      <c r="I6973" t="s">
        <v>30</v>
      </c>
      <c r="J6973" t="s">
        <v>41</v>
      </c>
      <c r="K6973" t="s">
        <v>59</v>
      </c>
      <c r="Q6973">
        <v>0</v>
      </c>
      <c r="R6973">
        <v>0</v>
      </c>
      <c r="S6973">
        <v>0</v>
      </c>
    </row>
    <row r="6974" spans="1:20" customFormat="1" ht="15" x14ac:dyDescent="0.25">
      <c r="A6974" t="s">
        <v>35</v>
      </c>
      <c r="B6974" t="s">
        <v>61</v>
      </c>
      <c r="C6974" t="str">
        <f>"A0182419"</f>
        <v>A0182419</v>
      </c>
      <c r="D6974" t="s">
        <v>26889</v>
      </c>
      <c r="E6974" t="s">
        <v>26890</v>
      </c>
      <c r="F6974" t="s">
        <v>22387</v>
      </c>
      <c r="G6974" t="s">
        <v>1898</v>
      </c>
      <c r="H6974" t="s">
        <v>26891</v>
      </c>
      <c r="I6974" t="s">
        <v>30</v>
      </c>
      <c r="J6974" t="s">
        <v>41</v>
      </c>
      <c r="K6974" t="s">
        <v>59</v>
      </c>
      <c r="Q6974">
        <v>0</v>
      </c>
      <c r="R6974">
        <v>132</v>
      </c>
      <c r="S6974">
        <v>132</v>
      </c>
      <c r="T6974" t="s">
        <v>26892</v>
      </c>
    </row>
    <row r="6975" spans="1:20" customFormat="1" ht="15" x14ac:dyDescent="0.25">
      <c r="A6975" t="s">
        <v>35</v>
      </c>
      <c r="B6975" t="s">
        <v>61</v>
      </c>
      <c r="C6975" t="str">
        <f>"A0182418"</f>
        <v>A0182418</v>
      </c>
      <c r="D6975" t="s">
        <v>26893</v>
      </c>
      <c r="E6975" t="s">
        <v>26894</v>
      </c>
      <c r="F6975" t="s">
        <v>894</v>
      </c>
      <c r="G6975" t="s">
        <v>117</v>
      </c>
      <c r="H6975" t="s">
        <v>26895</v>
      </c>
      <c r="I6975" t="s">
        <v>30</v>
      </c>
      <c r="J6975" t="s">
        <v>41</v>
      </c>
      <c r="K6975" t="s">
        <v>59</v>
      </c>
      <c r="Q6975">
        <v>0</v>
      </c>
      <c r="R6975">
        <v>0</v>
      </c>
      <c r="S6975">
        <v>0</v>
      </c>
      <c r="T6975" t="s">
        <v>26896</v>
      </c>
    </row>
    <row r="6976" spans="1:20" customFormat="1" ht="15" x14ac:dyDescent="0.25">
      <c r="A6976" t="s">
        <v>35</v>
      </c>
      <c r="B6976" t="s">
        <v>61</v>
      </c>
      <c r="C6976" t="str">
        <f>"A0182417"</f>
        <v>A0182417</v>
      </c>
      <c r="D6976" t="s">
        <v>26897</v>
      </c>
      <c r="E6976" t="s">
        <v>26898</v>
      </c>
      <c r="F6976" t="s">
        <v>24406</v>
      </c>
      <c r="G6976" t="s">
        <v>190</v>
      </c>
      <c r="H6976">
        <v>802127033</v>
      </c>
      <c r="I6976" t="s">
        <v>30</v>
      </c>
      <c r="J6976" t="s">
        <v>41</v>
      </c>
      <c r="K6976" t="s">
        <v>59</v>
      </c>
      <c r="Q6976">
        <v>0</v>
      </c>
      <c r="R6976">
        <v>0</v>
      </c>
      <c r="S6976">
        <v>0</v>
      </c>
      <c r="T6976" t="s">
        <v>26899</v>
      </c>
    </row>
    <row r="6977" spans="1:20" customFormat="1" ht="15" x14ac:dyDescent="0.25">
      <c r="A6977" t="s">
        <v>35</v>
      </c>
      <c r="B6977" t="s">
        <v>61</v>
      </c>
      <c r="C6977" t="str">
        <f>"A0182416"</f>
        <v>A0182416</v>
      </c>
      <c r="D6977" t="s">
        <v>26900</v>
      </c>
      <c r="E6977" t="s">
        <v>26901</v>
      </c>
      <c r="F6977" t="s">
        <v>2719</v>
      </c>
      <c r="G6977" t="s">
        <v>190</v>
      </c>
      <c r="H6977">
        <v>802224723</v>
      </c>
      <c r="I6977" t="s">
        <v>30</v>
      </c>
      <c r="J6977" t="s">
        <v>41</v>
      </c>
      <c r="K6977" t="s">
        <v>59</v>
      </c>
      <c r="Q6977">
        <v>0</v>
      </c>
      <c r="R6977">
        <v>0</v>
      </c>
      <c r="S6977">
        <v>0</v>
      </c>
    </row>
    <row r="6978" spans="1:20" customFormat="1" ht="15" x14ac:dyDescent="0.25">
      <c r="A6978" t="s">
        <v>35</v>
      </c>
      <c r="B6978" t="s">
        <v>15885</v>
      </c>
      <c r="C6978" t="str">
        <f>"A0182415"</f>
        <v>A0182415</v>
      </c>
      <c r="D6978" t="s">
        <v>26902</v>
      </c>
      <c r="E6978" t="s">
        <v>26903</v>
      </c>
      <c r="F6978" t="s">
        <v>421</v>
      </c>
      <c r="G6978" t="s">
        <v>190</v>
      </c>
      <c r="H6978">
        <v>805375051</v>
      </c>
      <c r="I6978" t="s">
        <v>30</v>
      </c>
      <c r="J6978" t="s">
        <v>41</v>
      </c>
      <c r="K6978" t="s">
        <v>59</v>
      </c>
      <c r="Q6978">
        <v>0</v>
      </c>
      <c r="R6978">
        <v>0</v>
      </c>
      <c r="S6978">
        <v>0</v>
      </c>
      <c r="T6978" t="s">
        <v>25580</v>
      </c>
    </row>
    <row r="6979" spans="1:20" customFormat="1" ht="15" x14ac:dyDescent="0.25">
      <c r="A6979" t="s">
        <v>35</v>
      </c>
      <c r="B6979" t="s">
        <v>15885</v>
      </c>
      <c r="C6979" t="str">
        <f>"A0182414"</f>
        <v>A0182414</v>
      </c>
      <c r="D6979" t="s">
        <v>26904</v>
      </c>
      <c r="E6979" t="s">
        <v>26903</v>
      </c>
      <c r="F6979" t="s">
        <v>421</v>
      </c>
      <c r="G6979" t="s">
        <v>190</v>
      </c>
      <c r="H6979">
        <v>805375051</v>
      </c>
      <c r="I6979" t="s">
        <v>30</v>
      </c>
      <c r="J6979" t="s">
        <v>41</v>
      </c>
      <c r="K6979" t="s">
        <v>59</v>
      </c>
      <c r="Q6979">
        <v>0</v>
      </c>
      <c r="R6979">
        <v>0</v>
      </c>
      <c r="S6979">
        <v>0</v>
      </c>
      <c r="T6979" t="s">
        <v>26905</v>
      </c>
    </row>
    <row r="6980" spans="1:20" customFormat="1" ht="15" x14ac:dyDescent="0.25">
      <c r="A6980" t="s">
        <v>35</v>
      </c>
      <c r="B6980" t="s">
        <v>61</v>
      </c>
      <c r="C6980" t="str">
        <f>"A0182413"</f>
        <v>A0182413</v>
      </c>
      <c r="D6980" t="s">
        <v>22358</v>
      </c>
      <c r="E6980" t="s">
        <v>26906</v>
      </c>
      <c r="F6980" t="s">
        <v>22360</v>
      </c>
      <c r="G6980" t="s">
        <v>1898</v>
      </c>
      <c r="H6980" t="s">
        <v>26907</v>
      </c>
      <c r="I6980" t="s">
        <v>30</v>
      </c>
      <c r="J6980" t="s">
        <v>41</v>
      </c>
      <c r="K6980" t="s">
        <v>59</v>
      </c>
      <c r="Q6980">
        <v>0</v>
      </c>
      <c r="R6980">
        <v>372</v>
      </c>
      <c r="S6980">
        <v>372</v>
      </c>
      <c r="T6980" t="s">
        <v>22362</v>
      </c>
    </row>
    <row r="6981" spans="1:20" customFormat="1" ht="15" x14ac:dyDescent="0.25">
      <c r="A6981" t="s">
        <v>35</v>
      </c>
      <c r="B6981" t="s">
        <v>61</v>
      </c>
      <c r="C6981" t="str">
        <f>"A0182412"</f>
        <v>A0182412</v>
      </c>
      <c r="D6981" t="s">
        <v>26908</v>
      </c>
      <c r="E6981" t="s">
        <v>26909</v>
      </c>
      <c r="F6981" t="s">
        <v>16079</v>
      </c>
      <c r="G6981" t="s">
        <v>1898</v>
      </c>
      <c r="H6981">
        <v>50266</v>
      </c>
      <c r="I6981" t="s">
        <v>30</v>
      </c>
      <c r="J6981" t="s">
        <v>41</v>
      </c>
      <c r="K6981" t="s">
        <v>59</v>
      </c>
      <c r="Q6981">
        <v>0</v>
      </c>
      <c r="R6981">
        <v>197</v>
      </c>
      <c r="S6981">
        <v>197</v>
      </c>
      <c r="T6981" t="s">
        <v>26910</v>
      </c>
    </row>
    <row r="6982" spans="1:20" customFormat="1" ht="15" x14ac:dyDescent="0.25">
      <c r="A6982" t="s">
        <v>35</v>
      </c>
      <c r="B6982" t="s">
        <v>61</v>
      </c>
      <c r="C6982" t="str">
        <f>"A0182409"</f>
        <v>A0182409</v>
      </c>
      <c r="D6982" t="s">
        <v>26911</v>
      </c>
      <c r="E6982" t="s">
        <v>26912</v>
      </c>
      <c r="F6982" t="s">
        <v>1948</v>
      </c>
      <c r="G6982" t="s">
        <v>190</v>
      </c>
      <c r="H6982">
        <v>802146030</v>
      </c>
      <c r="I6982" t="s">
        <v>30</v>
      </c>
      <c r="J6982" t="s">
        <v>41</v>
      </c>
      <c r="K6982" t="s">
        <v>59</v>
      </c>
      <c r="Q6982">
        <v>0</v>
      </c>
      <c r="R6982">
        <v>0</v>
      </c>
      <c r="S6982">
        <v>0</v>
      </c>
    </row>
    <row r="6983" spans="1:20" customFormat="1" ht="15" x14ac:dyDescent="0.25">
      <c r="A6983" t="s">
        <v>35</v>
      </c>
      <c r="B6983" t="s">
        <v>61</v>
      </c>
      <c r="C6983" t="str">
        <f>"A0182408"</f>
        <v>A0182408</v>
      </c>
      <c r="D6983" t="s">
        <v>26913</v>
      </c>
      <c r="E6983" t="s">
        <v>26914</v>
      </c>
      <c r="F6983" t="s">
        <v>421</v>
      </c>
      <c r="G6983" t="s">
        <v>190</v>
      </c>
      <c r="H6983">
        <v>805372339</v>
      </c>
      <c r="I6983" t="s">
        <v>30</v>
      </c>
      <c r="J6983" t="s">
        <v>41</v>
      </c>
      <c r="K6983" t="s">
        <v>59</v>
      </c>
      <c r="Q6983">
        <v>0</v>
      </c>
      <c r="R6983">
        <v>0</v>
      </c>
      <c r="S6983">
        <v>0</v>
      </c>
    </row>
    <row r="6984" spans="1:20" customFormat="1" ht="15" x14ac:dyDescent="0.25">
      <c r="A6984" t="s">
        <v>35</v>
      </c>
      <c r="B6984" t="s">
        <v>61</v>
      </c>
      <c r="C6984" t="str">
        <f>"A0182407"</f>
        <v>A0182407</v>
      </c>
      <c r="D6984" t="s">
        <v>26915</v>
      </c>
      <c r="E6984" t="s">
        <v>26916</v>
      </c>
      <c r="F6984" t="s">
        <v>22701</v>
      </c>
      <c r="G6984" t="s">
        <v>81</v>
      </c>
      <c r="H6984">
        <v>32060</v>
      </c>
      <c r="I6984" t="s">
        <v>30</v>
      </c>
      <c r="J6984" t="s">
        <v>41</v>
      </c>
      <c r="K6984" t="s">
        <v>59</v>
      </c>
      <c r="Q6984">
        <v>0</v>
      </c>
      <c r="R6984">
        <v>0</v>
      </c>
      <c r="S6984">
        <v>0</v>
      </c>
      <c r="T6984" t="s">
        <v>26917</v>
      </c>
    </row>
    <row r="6985" spans="1:20" customFormat="1" ht="15" x14ac:dyDescent="0.25">
      <c r="A6985" t="s">
        <v>35</v>
      </c>
      <c r="B6985" t="s">
        <v>61</v>
      </c>
      <c r="C6985" t="str">
        <f>"A0182406"</f>
        <v>A0182406</v>
      </c>
      <c r="D6985" t="s">
        <v>26918</v>
      </c>
      <c r="E6985" t="s">
        <v>26919</v>
      </c>
      <c r="F6985" t="s">
        <v>22701</v>
      </c>
      <c r="G6985" t="s">
        <v>81</v>
      </c>
      <c r="H6985">
        <v>320605892</v>
      </c>
      <c r="I6985" t="s">
        <v>30</v>
      </c>
      <c r="J6985" t="s">
        <v>41</v>
      </c>
      <c r="K6985" t="s">
        <v>59</v>
      </c>
      <c r="Q6985">
        <v>0</v>
      </c>
      <c r="R6985">
        <v>0</v>
      </c>
      <c r="S6985">
        <v>0</v>
      </c>
      <c r="T6985" t="s">
        <v>26917</v>
      </c>
    </row>
    <row r="6986" spans="1:20" customFormat="1" ht="15" x14ac:dyDescent="0.25">
      <c r="A6986" t="s">
        <v>35</v>
      </c>
      <c r="B6986" t="s">
        <v>61</v>
      </c>
      <c r="C6986" t="str">
        <f>"A0182405"</f>
        <v>A0182405</v>
      </c>
      <c r="D6986" t="s">
        <v>26920</v>
      </c>
      <c r="E6986" t="s">
        <v>26921</v>
      </c>
      <c r="F6986" t="s">
        <v>4674</v>
      </c>
      <c r="G6986" t="s">
        <v>314</v>
      </c>
      <c r="H6986" t="s">
        <v>26922</v>
      </c>
      <c r="I6986" t="s">
        <v>30</v>
      </c>
      <c r="J6986" t="s">
        <v>41</v>
      </c>
      <c r="K6986" t="s">
        <v>59</v>
      </c>
      <c r="Q6986">
        <v>0</v>
      </c>
      <c r="R6986">
        <v>140</v>
      </c>
      <c r="S6986">
        <v>140</v>
      </c>
      <c r="T6986" t="s">
        <v>26923</v>
      </c>
    </row>
    <row r="6987" spans="1:20" customFormat="1" ht="15" x14ac:dyDescent="0.25">
      <c r="A6987" t="s">
        <v>35</v>
      </c>
      <c r="B6987" t="s">
        <v>61</v>
      </c>
      <c r="C6987" t="str">
        <f>"A0182404"</f>
        <v>A0182404</v>
      </c>
      <c r="D6987" t="s">
        <v>26924</v>
      </c>
      <c r="E6987" t="s">
        <v>26925</v>
      </c>
      <c r="F6987" t="s">
        <v>22444</v>
      </c>
      <c r="G6987" t="s">
        <v>190</v>
      </c>
      <c r="H6987">
        <v>816399634</v>
      </c>
      <c r="I6987" t="s">
        <v>30</v>
      </c>
      <c r="J6987" t="s">
        <v>41</v>
      </c>
      <c r="K6987" t="s">
        <v>59</v>
      </c>
      <c r="Q6987">
        <v>0</v>
      </c>
      <c r="R6987">
        <v>20</v>
      </c>
      <c r="S6987">
        <v>20</v>
      </c>
      <c r="T6987" t="s">
        <v>26926</v>
      </c>
    </row>
    <row r="6988" spans="1:20" customFormat="1" ht="15" x14ac:dyDescent="0.25">
      <c r="A6988" t="s">
        <v>35</v>
      </c>
      <c r="B6988" t="s">
        <v>11871</v>
      </c>
      <c r="C6988" t="str">
        <f>"A0182403"</f>
        <v>A0182403</v>
      </c>
      <c r="D6988" t="s">
        <v>26927</v>
      </c>
      <c r="E6988" t="s">
        <v>26928</v>
      </c>
      <c r="F6988" t="s">
        <v>1926</v>
      </c>
      <c r="G6988" t="s">
        <v>214</v>
      </c>
      <c r="H6988" t="s">
        <v>26929</v>
      </c>
      <c r="I6988" t="s">
        <v>30</v>
      </c>
      <c r="J6988" t="s">
        <v>41</v>
      </c>
      <c r="K6988" t="s">
        <v>59</v>
      </c>
      <c r="Q6988">
        <v>0</v>
      </c>
      <c r="R6988">
        <v>0</v>
      </c>
      <c r="S6988">
        <v>0</v>
      </c>
      <c r="T6988" t="s">
        <v>26930</v>
      </c>
    </row>
    <row r="6989" spans="1:20" customFormat="1" ht="15" x14ac:dyDescent="0.25">
      <c r="A6989" t="s">
        <v>35</v>
      </c>
      <c r="B6989" t="s">
        <v>61</v>
      </c>
      <c r="C6989" t="str">
        <f>"A0182402"</f>
        <v>A0182402</v>
      </c>
      <c r="D6989" t="s">
        <v>26931</v>
      </c>
      <c r="E6989" t="s">
        <v>26211</v>
      </c>
      <c r="F6989" t="s">
        <v>10577</v>
      </c>
      <c r="G6989" t="s">
        <v>71</v>
      </c>
      <c r="H6989">
        <v>54016</v>
      </c>
      <c r="I6989" t="s">
        <v>30</v>
      </c>
      <c r="J6989" t="s">
        <v>41</v>
      </c>
      <c r="K6989" t="s">
        <v>59</v>
      </c>
      <c r="Q6989">
        <v>0</v>
      </c>
      <c r="R6989">
        <v>120</v>
      </c>
      <c r="S6989">
        <v>120</v>
      </c>
      <c r="T6989" t="s">
        <v>26932</v>
      </c>
    </row>
    <row r="6990" spans="1:20" customFormat="1" ht="15" x14ac:dyDescent="0.25">
      <c r="A6990" t="s">
        <v>35</v>
      </c>
      <c r="B6990" t="s">
        <v>61</v>
      </c>
      <c r="C6990" t="str">
        <f>"A0182401"</f>
        <v>A0182401</v>
      </c>
      <c r="D6990" t="s">
        <v>26933</v>
      </c>
      <c r="E6990" t="s">
        <v>26934</v>
      </c>
      <c r="F6990" t="s">
        <v>26935</v>
      </c>
      <c r="G6990" t="s">
        <v>71</v>
      </c>
      <c r="H6990">
        <v>546671127</v>
      </c>
      <c r="I6990" t="s">
        <v>30</v>
      </c>
      <c r="J6990" t="s">
        <v>41</v>
      </c>
      <c r="K6990" t="s">
        <v>59</v>
      </c>
      <c r="Q6990">
        <v>0</v>
      </c>
      <c r="R6990">
        <v>0</v>
      </c>
      <c r="S6990">
        <v>0</v>
      </c>
    </row>
    <row r="6991" spans="1:20" customFormat="1" ht="15" x14ac:dyDescent="0.25">
      <c r="A6991" t="s">
        <v>35</v>
      </c>
      <c r="B6991" t="s">
        <v>61</v>
      </c>
      <c r="C6991" t="str">
        <f>"A0182400"</f>
        <v>A0182400</v>
      </c>
      <c r="D6991" t="s">
        <v>26936</v>
      </c>
      <c r="E6991" t="s">
        <v>26937</v>
      </c>
      <c r="F6991" t="s">
        <v>8674</v>
      </c>
      <c r="G6991" t="s">
        <v>1898</v>
      </c>
      <c r="H6991" t="s">
        <v>26938</v>
      </c>
      <c r="I6991" t="s">
        <v>30</v>
      </c>
      <c r="J6991" t="s">
        <v>41</v>
      </c>
      <c r="K6991" t="s">
        <v>59</v>
      </c>
      <c r="Q6991">
        <v>0</v>
      </c>
      <c r="R6991">
        <v>0</v>
      </c>
      <c r="S6991">
        <v>0</v>
      </c>
      <c r="T6991" t="s">
        <v>26939</v>
      </c>
    </row>
    <row r="6992" spans="1:20" customFormat="1" ht="15" x14ac:dyDescent="0.25">
      <c r="A6992" t="s">
        <v>35</v>
      </c>
      <c r="B6992" t="s">
        <v>61</v>
      </c>
      <c r="C6992" t="str">
        <f>"A0182399"</f>
        <v>A0182399</v>
      </c>
      <c r="D6992" t="s">
        <v>26940</v>
      </c>
      <c r="E6992" t="s">
        <v>26941</v>
      </c>
      <c r="F6992" t="s">
        <v>22696</v>
      </c>
      <c r="G6992" t="s">
        <v>1898</v>
      </c>
      <c r="H6992" t="s">
        <v>26942</v>
      </c>
      <c r="I6992" t="s">
        <v>30</v>
      </c>
      <c r="J6992" t="s">
        <v>41</v>
      </c>
      <c r="K6992" t="s">
        <v>59</v>
      </c>
      <c r="Q6992">
        <v>0</v>
      </c>
      <c r="R6992">
        <v>0</v>
      </c>
      <c r="S6992">
        <v>0</v>
      </c>
      <c r="T6992" t="s">
        <v>25497</v>
      </c>
    </row>
    <row r="6993" spans="1:20" customFormat="1" ht="15" x14ac:dyDescent="0.25">
      <c r="A6993" t="s">
        <v>35</v>
      </c>
      <c r="B6993" t="s">
        <v>61</v>
      </c>
      <c r="C6993" t="str">
        <f>"A0182398"</f>
        <v>A0182398</v>
      </c>
      <c r="D6993" t="s">
        <v>26943</v>
      </c>
      <c r="E6993" t="s">
        <v>26944</v>
      </c>
      <c r="F6993" t="s">
        <v>26945</v>
      </c>
      <c r="G6993" t="s">
        <v>110</v>
      </c>
      <c r="H6993" t="s">
        <v>26946</v>
      </c>
      <c r="I6993" t="s">
        <v>30</v>
      </c>
      <c r="J6993" t="s">
        <v>41</v>
      </c>
      <c r="K6993" t="s">
        <v>59</v>
      </c>
      <c r="Q6993">
        <v>0</v>
      </c>
      <c r="R6993">
        <v>0</v>
      </c>
      <c r="S6993">
        <v>0</v>
      </c>
    </row>
    <row r="6994" spans="1:20" customFormat="1" ht="15" x14ac:dyDescent="0.25">
      <c r="A6994" t="s">
        <v>35</v>
      </c>
      <c r="B6994" t="s">
        <v>61</v>
      </c>
      <c r="C6994" t="str">
        <f>"A0182397"</f>
        <v>A0182397</v>
      </c>
      <c r="D6994" t="s">
        <v>26947</v>
      </c>
      <c r="E6994" t="s">
        <v>26948</v>
      </c>
      <c r="F6994" t="s">
        <v>26949</v>
      </c>
      <c r="G6994" t="s">
        <v>1898</v>
      </c>
      <c r="H6994" t="s">
        <v>26950</v>
      </c>
      <c r="I6994" t="s">
        <v>30</v>
      </c>
      <c r="J6994" t="s">
        <v>41</v>
      </c>
      <c r="K6994" t="s">
        <v>59</v>
      </c>
      <c r="Q6994">
        <v>0</v>
      </c>
      <c r="R6994">
        <v>116</v>
      </c>
      <c r="S6994">
        <v>116</v>
      </c>
      <c r="T6994" t="s">
        <v>26951</v>
      </c>
    </row>
    <row r="6995" spans="1:20" customFormat="1" ht="15" x14ac:dyDescent="0.25">
      <c r="A6995" t="s">
        <v>35</v>
      </c>
      <c r="B6995" t="s">
        <v>61</v>
      </c>
      <c r="C6995" t="str">
        <f>"A0182396"</f>
        <v>A0182396</v>
      </c>
      <c r="D6995" t="s">
        <v>26952</v>
      </c>
      <c r="E6995" t="s">
        <v>26953</v>
      </c>
      <c r="F6995" t="s">
        <v>8085</v>
      </c>
      <c r="G6995" t="s">
        <v>1898</v>
      </c>
      <c r="H6995" t="s">
        <v>26954</v>
      </c>
      <c r="I6995" t="s">
        <v>30</v>
      </c>
      <c r="J6995" t="s">
        <v>41</v>
      </c>
      <c r="K6995" t="s">
        <v>59</v>
      </c>
      <c r="Q6995">
        <v>0</v>
      </c>
      <c r="R6995">
        <v>197</v>
      </c>
      <c r="S6995">
        <v>197</v>
      </c>
      <c r="T6995" t="s">
        <v>26955</v>
      </c>
    </row>
    <row r="6996" spans="1:20" customFormat="1" ht="15" x14ac:dyDescent="0.25">
      <c r="A6996" t="s">
        <v>35</v>
      </c>
      <c r="B6996" t="s">
        <v>61</v>
      </c>
      <c r="C6996" t="str">
        <f>"A0182395"</f>
        <v>A0182395</v>
      </c>
      <c r="D6996" t="s">
        <v>26956</v>
      </c>
      <c r="E6996" t="s">
        <v>26957</v>
      </c>
      <c r="F6996" t="s">
        <v>26949</v>
      </c>
      <c r="G6996" t="s">
        <v>1898</v>
      </c>
      <c r="H6996" t="s">
        <v>26958</v>
      </c>
      <c r="I6996" t="s">
        <v>30</v>
      </c>
      <c r="J6996" t="s">
        <v>41</v>
      </c>
      <c r="K6996" t="s">
        <v>59</v>
      </c>
      <c r="Q6996">
        <v>0</v>
      </c>
      <c r="R6996">
        <v>87</v>
      </c>
      <c r="S6996">
        <v>87</v>
      </c>
      <c r="T6996" t="s">
        <v>26959</v>
      </c>
    </row>
    <row r="6997" spans="1:20" customFormat="1" ht="15" x14ac:dyDescent="0.25">
      <c r="A6997" t="s">
        <v>35</v>
      </c>
      <c r="B6997" t="s">
        <v>61</v>
      </c>
      <c r="C6997" t="str">
        <f>"A0182394"</f>
        <v>A0182394</v>
      </c>
      <c r="D6997" t="s">
        <v>26960</v>
      </c>
      <c r="E6997" t="s">
        <v>26961</v>
      </c>
      <c r="F6997" t="s">
        <v>6726</v>
      </c>
      <c r="G6997" t="s">
        <v>1898</v>
      </c>
      <c r="H6997" t="s">
        <v>26962</v>
      </c>
      <c r="I6997" t="s">
        <v>30</v>
      </c>
      <c r="J6997" t="s">
        <v>41</v>
      </c>
      <c r="K6997" t="s">
        <v>59</v>
      </c>
      <c r="Q6997">
        <v>0</v>
      </c>
      <c r="R6997">
        <v>129</v>
      </c>
      <c r="S6997">
        <v>129</v>
      </c>
      <c r="T6997" t="s">
        <v>26963</v>
      </c>
    </row>
    <row r="6998" spans="1:20" customFormat="1" ht="15" x14ac:dyDescent="0.25">
      <c r="A6998" t="s">
        <v>35</v>
      </c>
      <c r="B6998" t="s">
        <v>61</v>
      </c>
      <c r="C6998" t="str">
        <f>"A0182393"</f>
        <v>A0182393</v>
      </c>
      <c r="D6998" t="s">
        <v>26964</v>
      </c>
      <c r="E6998" t="s">
        <v>26965</v>
      </c>
      <c r="F6998" t="s">
        <v>6726</v>
      </c>
      <c r="G6998" t="s">
        <v>1898</v>
      </c>
      <c r="H6998" t="s">
        <v>26966</v>
      </c>
      <c r="I6998" t="s">
        <v>30</v>
      </c>
      <c r="J6998" t="s">
        <v>41</v>
      </c>
      <c r="K6998" t="s">
        <v>59</v>
      </c>
      <c r="Q6998">
        <v>0</v>
      </c>
      <c r="R6998">
        <v>135</v>
      </c>
      <c r="S6998">
        <v>135</v>
      </c>
      <c r="T6998" t="s">
        <v>26967</v>
      </c>
    </row>
    <row r="6999" spans="1:20" customFormat="1" ht="15" x14ac:dyDescent="0.25">
      <c r="A6999" t="s">
        <v>35</v>
      </c>
      <c r="B6999" t="s">
        <v>61</v>
      </c>
      <c r="C6999" t="str">
        <f>"A0182392"</f>
        <v>A0182392</v>
      </c>
      <c r="D6999" t="s">
        <v>26968</v>
      </c>
      <c r="E6999" t="s">
        <v>26969</v>
      </c>
      <c r="F6999" t="s">
        <v>2719</v>
      </c>
      <c r="G6999" t="s">
        <v>190</v>
      </c>
      <c r="H6999">
        <v>802226512</v>
      </c>
      <c r="I6999" t="s">
        <v>30</v>
      </c>
      <c r="J6999" t="s">
        <v>41</v>
      </c>
      <c r="K6999" t="s">
        <v>59</v>
      </c>
      <c r="Q6999">
        <v>0</v>
      </c>
      <c r="R6999">
        <v>0</v>
      </c>
      <c r="S6999">
        <v>0</v>
      </c>
      <c r="T6999" t="s">
        <v>26970</v>
      </c>
    </row>
    <row r="7000" spans="1:20" customFormat="1" ht="15" x14ac:dyDescent="0.25">
      <c r="A7000" t="s">
        <v>35</v>
      </c>
      <c r="B7000" t="s">
        <v>11871</v>
      </c>
      <c r="C7000" t="str">
        <f>"A0182391"</f>
        <v>A0182391</v>
      </c>
      <c r="D7000" t="s">
        <v>26971</v>
      </c>
      <c r="E7000" t="s">
        <v>26972</v>
      </c>
      <c r="F7000" t="s">
        <v>26973</v>
      </c>
      <c r="G7000" t="s">
        <v>190</v>
      </c>
      <c r="H7000">
        <v>812122090</v>
      </c>
      <c r="I7000" t="s">
        <v>30</v>
      </c>
      <c r="J7000" t="s">
        <v>41</v>
      </c>
      <c r="K7000" t="s">
        <v>59</v>
      </c>
      <c r="Q7000">
        <v>0</v>
      </c>
      <c r="R7000">
        <v>0</v>
      </c>
      <c r="S7000">
        <v>0</v>
      </c>
      <c r="T7000" t="s">
        <v>26974</v>
      </c>
    </row>
    <row r="7001" spans="1:20" customFormat="1" ht="15" x14ac:dyDescent="0.25">
      <c r="A7001" t="s">
        <v>35</v>
      </c>
      <c r="B7001" t="s">
        <v>15885</v>
      </c>
      <c r="C7001" t="str">
        <f>"A0182390"</f>
        <v>A0182390</v>
      </c>
      <c r="D7001" t="s">
        <v>26975</v>
      </c>
      <c r="E7001" t="s">
        <v>26976</v>
      </c>
      <c r="F7001" t="s">
        <v>2719</v>
      </c>
      <c r="G7001" t="s">
        <v>190</v>
      </c>
      <c r="H7001">
        <v>80210</v>
      </c>
      <c r="I7001" t="s">
        <v>30</v>
      </c>
      <c r="J7001" t="s">
        <v>41</v>
      </c>
      <c r="K7001" t="s">
        <v>59</v>
      </c>
      <c r="Q7001">
        <v>0</v>
      </c>
      <c r="R7001">
        <v>0</v>
      </c>
      <c r="S7001">
        <v>0</v>
      </c>
      <c r="T7001" t="s">
        <v>26977</v>
      </c>
    </row>
    <row r="7002" spans="1:20" customFormat="1" ht="15" x14ac:dyDescent="0.25">
      <c r="A7002" t="s">
        <v>35</v>
      </c>
      <c r="B7002" t="s">
        <v>61</v>
      </c>
      <c r="C7002" t="str">
        <f>"A0182389"</f>
        <v>A0182389</v>
      </c>
      <c r="D7002" t="s">
        <v>26978</v>
      </c>
      <c r="E7002" t="s">
        <v>26979</v>
      </c>
      <c r="F7002" t="s">
        <v>22501</v>
      </c>
      <c r="G7002" t="s">
        <v>1898</v>
      </c>
      <c r="H7002" t="s">
        <v>26980</v>
      </c>
      <c r="I7002" t="s">
        <v>30</v>
      </c>
      <c r="J7002" t="s">
        <v>41</v>
      </c>
      <c r="K7002" t="s">
        <v>59</v>
      </c>
      <c r="Q7002">
        <v>0</v>
      </c>
      <c r="R7002">
        <v>34</v>
      </c>
      <c r="S7002">
        <v>34</v>
      </c>
      <c r="T7002" t="s">
        <v>26981</v>
      </c>
    </row>
    <row r="7003" spans="1:20" customFormat="1" ht="15" x14ac:dyDescent="0.25">
      <c r="A7003" t="s">
        <v>35</v>
      </c>
      <c r="B7003" t="s">
        <v>61</v>
      </c>
      <c r="C7003" t="str">
        <f>"A0182388"</f>
        <v>A0182388</v>
      </c>
      <c r="D7003" t="s">
        <v>26982</v>
      </c>
      <c r="E7003" t="s">
        <v>26983</v>
      </c>
      <c r="F7003" t="s">
        <v>22501</v>
      </c>
      <c r="G7003" t="s">
        <v>1898</v>
      </c>
      <c r="H7003" t="s">
        <v>26984</v>
      </c>
      <c r="I7003" t="s">
        <v>30</v>
      </c>
      <c r="J7003" t="s">
        <v>41</v>
      </c>
      <c r="K7003" t="s">
        <v>59</v>
      </c>
      <c r="Q7003">
        <v>0</v>
      </c>
      <c r="R7003">
        <v>70</v>
      </c>
      <c r="S7003">
        <v>70</v>
      </c>
      <c r="T7003" t="s">
        <v>26981</v>
      </c>
    </row>
    <row r="7004" spans="1:20" customFormat="1" ht="15" x14ac:dyDescent="0.25">
      <c r="A7004" t="s">
        <v>35</v>
      </c>
      <c r="B7004" t="s">
        <v>26985</v>
      </c>
      <c r="C7004" t="str">
        <f>"A0182387"</f>
        <v>A0182387</v>
      </c>
      <c r="D7004" t="s">
        <v>26986</v>
      </c>
      <c r="E7004" t="s">
        <v>26987</v>
      </c>
      <c r="F7004" t="s">
        <v>8666</v>
      </c>
      <c r="G7004" t="s">
        <v>1898</v>
      </c>
      <c r="H7004" t="s">
        <v>26988</v>
      </c>
      <c r="I7004" t="s">
        <v>30</v>
      </c>
      <c r="J7004" t="s">
        <v>41</v>
      </c>
      <c r="K7004" t="s">
        <v>59</v>
      </c>
      <c r="Q7004">
        <v>0</v>
      </c>
      <c r="R7004">
        <v>186</v>
      </c>
      <c r="S7004">
        <v>186</v>
      </c>
      <c r="T7004" t="s">
        <v>26989</v>
      </c>
    </row>
    <row r="7005" spans="1:20" customFormat="1" ht="15" x14ac:dyDescent="0.25">
      <c r="A7005" t="s">
        <v>35</v>
      </c>
      <c r="B7005" t="s">
        <v>61</v>
      </c>
      <c r="C7005" t="str">
        <f>"A0182386"</f>
        <v>A0182386</v>
      </c>
      <c r="D7005" t="s">
        <v>26990</v>
      </c>
      <c r="E7005" t="s">
        <v>26991</v>
      </c>
      <c r="F7005" t="s">
        <v>1953</v>
      </c>
      <c r="G7005" t="s">
        <v>1898</v>
      </c>
      <c r="H7005" t="s">
        <v>26992</v>
      </c>
      <c r="I7005" t="s">
        <v>30</v>
      </c>
      <c r="J7005" t="s">
        <v>41</v>
      </c>
      <c r="K7005" t="s">
        <v>59</v>
      </c>
      <c r="Q7005">
        <v>0</v>
      </c>
      <c r="R7005">
        <v>75</v>
      </c>
      <c r="S7005">
        <v>75</v>
      </c>
      <c r="T7005" t="s">
        <v>26993</v>
      </c>
    </row>
    <row r="7006" spans="1:20" customFormat="1" ht="15" x14ac:dyDescent="0.25">
      <c r="A7006" t="s">
        <v>35</v>
      </c>
      <c r="B7006" t="s">
        <v>61</v>
      </c>
      <c r="C7006" t="str">
        <f>"A0182385"</f>
        <v>A0182385</v>
      </c>
      <c r="D7006" t="s">
        <v>26994</v>
      </c>
      <c r="E7006" t="s">
        <v>26995</v>
      </c>
      <c r="F7006" t="s">
        <v>4674</v>
      </c>
      <c r="G7006" t="s">
        <v>1898</v>
      </c>
      <c r="H7006" t="s">
        <v>26996</v>
      </c>
      <c r="I7006" t="s">
        <v>30</v>
      </c>
      <c r="J7006" t="s">
        <v>41</v>
      </c>
      <c r="K7006" t="s">
        <v>59</v>
      </c>
      <c r="Q7006">
        <v>0</v>
      </c>
      <c r="R7006">
        <v>146</v>
      </c>
      <c r="S7006">
        <v>146</v>
      </c>
      <c r="T7006" t="s">
        <v>26997</v>
      </c>
    </row>
    <row r="7007" spans="1:20" customFormat="1" ht="15" x14ac:dyDescent="0.25">
      <c r="A7007" t="s">
        <v>35</v>
      </c>
      <c r="B7007" t="s">
        <v>61</v>
      </c>
      <c r="C7007" t="str">
        <f>"A0182383"</f>
        <v>A0182383</v>
      </c>
      <c r="D7007" t="s">
        <v>26998</v>
      </c>
      <c r="E7007" t="s">
        <v>26999</v>
      </c>
      <c r="F7007" t="s">
        <v>27000</v>
      </c>
      <c r="G7007" t="s">
        <v>1898</v>
      </c>
      <c r="H7007" t="s">
        <v>27001</v>
      </c>
      <c r="I7007" t="s">
        <v>30</v>
      </c>
      <c r="J7007" t="s">
        <v>41</v>
      </c>
      <c r="K7007" t="s">
        <v>59</v>
      </c>
      <c r="Q7007">
        <v>0</v>
      </c>
      <c r="R7007">
        <v>0</v>
      </c>
      <c r="S7007">
        <v>0</v>
      </c>
      <c r="T7007" t="s">
        <v>27002</v>
      </c>
    </row>
    <row r="7008" spans="1:20" customFormat="1" ht="15" x14ac:dyDescent="0.25">
      <c r="A7008" t="s">
        <v>35</v>
      </c>
      <c r="B7008" t="s">
        <v>61</v>
      </c>
      <c r="C7008" t="str">
        <f>"A0182382"</f>
        <v>A0182382</v>
      </c>
      <c r="D7008" t="s">
        <v>27003</v>
      </c>
      <c r="E7008" t="s">
        <v>27004</v>
      </c>
      <c r="F7008" t="s">
        <v>13843</v>
      </c>
      <c r="G7008" t="s">
        <v>117</v>
      </c>
      <c r="H7008" t="s">
        <v>27005</v>
      </c>
      <c r="I7008" t="s">
        <v>30</v>
      </c>
      <c r="J7008" t="s">
        <v>41</v>
      </c>
      <c r="K7008" t="s">
        <v>59</v>
      </c>
      <c r="Q7008">
        <v>0</v>
      </c>
      <c r="R7008">
        <v>0</v>
      </c>
      <c r="S7008">
        <v>0</v>
      </c>
      <c r="T7008" t="s">
        <v>27006</v>
      </c>
    </row>
    <row r="7009" spans="1:20" customFormat="1" ht="15" x14ac:dyDescent="0.25">
      <c r="A7009" t="s">
        <v>35</v>
      </c>
      <c r="B7009" t="s">
        <v>27007</v>
      </c>
      <c r="C7009" t="str">
        <f>"A0182381"</f>
        <v>A0182381</v>
      </c>
      <c r="D7009" t="s">
        <v>27008</v>
      </c>
      <c r="E7009" t="s">
        <v>27009</v>
      </c>
      <c r="F7009" t="s">
        <v>9607</v>
      </c>
      <c r="G7009" t="s">
        <v>117</v>
      </c>
      <c r="H7009">
        <v>495441505</v>
      </c>
      <c r="I7009" t="s">
        <v>30</v>
      </c>
      <c r="J7009" t="s">
        <v>41</v>
      </c>
      <c r="K7009" t="s">
        <v>59</v>
      </c>
      <c r="Q7009">
        <v>0</v>
      </c>
      <c r="R7009">
        <v>207</v>
      </c>
      <c r="S7009">
        <v>88</v>
      </c>
      <c r="T7009" t="s">
        <v>27010</v>
      </c>
    </row>
    <row r="7010" spans="1:20" customFormat="1" ht="15" x14ac:dyDescent="0.25">
      <c r="A7010" t="s">
        <v>35</v>
      </c>
      <c r="B7010" t="s">
        <v>21240</v>
      </c>
      <c r="C7010" t="str">
        <f>"A0182380"</f>
        <v>A0182380</v>
      </c>
      <c r="D7010" t="s">
        <v>27011</v>
      </c>
      <c r="E7010" t="s">
        <v>27012</v>
      </c>
      <c r="F7010" t="s">
        <v>27013</v>
      </c>
      <c r="G7010" t="s">
        <v>117</v>
      </c>
      <c r="H7010">
        <v>496012699</v>
      </c>
      <c r="I7010" t="s">
        <v>30</v>
      </c>
      <c r="J7010" t="s">
        <v>41</v>
      </c>
      <c r="K7010" t="s">
        <v>59</v>
      </c>
      <c r="Q7010">
        <v>0</v>
      </c>
      <c r="R7010">
        <v>190</v>
      </c>
      <c r="S7010">
        <v>190</v>
      </c>
      <c r="T7010" t="s">
        <v>27014</v>
      </c>
    </row>
    <row r="7011" spans="1:20" customFormat="1" ht="15" x14ac:dyDescent="0.25">
      <c r="A7011" t="s">
        <v>35</v>
      </c>
      <c r="B7011" t="s">
        <v>21240</v>
      </c>
      <c r="C7011" t="str">
        <f>"A0182379"</f>
        <v>A0182379</v>
      </c>
      <c r="D7011" t="s">
        <v>27015</v>
      </c>
      <c r="E7011" t="s">
        <v>27016</v>
      </c>
      <c r="F7011" t="s">
        <v>27017</v>
      </c>
      <c r="G7011" t="s">
        <v>117</v>
      </c>
      <c r="H7011" t="s">
        <v>27018</v>
      </c>
      <c r="I7011" t="s">
        <v>30</v>
      </c>
      <c r="J7011" t="s">
        <v>41</v>
      </c>
      <c r="K7011" t="s">
        <v>59</v>
      </c>
      <c r="Q7011">
        <v>0</v>
      </c>
      <c r="R7011">
        <v>0</v>
      </c>
      <c r="S7011">
        <v>0</v>
      </c>
      <c r="T7011" t="s">
        <v>27019</v>
      </c>
    </row>
    <row r="7012" spans="1:20" customFormat="1" ht="15" x14ac:dyDescent="0.25">
      <c r="A7012" t="s">
        <v>35</v>
      </c>
      <c r="B7012" t="s">
        <v>61</v>
      </c>
      <c r="C7012" t="str">
        <f>"A0182378"</f>
        <v>A0182378</v>
      </c>
      <c r="D7012" t="s">
        <v>27020</v>
      </c>
      <c r="E7012" t="s">
        <v>27021</v>
      </c>
      <c r="F7012" t="s">
        <v>2719</v>
      </c>
      <c r="G7012" t="s">
        <v>190</v>
      </c>
      <c r="H7012">
        <v>802113601</v>
      </c>
      <c r="I7012" t="s">
        <v>30</v>
      </c>
      <c r="J7012" t="s">
        <v>41</v>
      </c>
      <c r="K7012" t="s">
        <v>59</v>
      </c>
      <c r="Q7012">
        <v>0</v>
      </c>
      <c r="R7012">
        <v>52</v>
      </c>
      <c r="S7012">
        <v>52</v>
      </c>
      <c r="T7012" t="s">
        <v>27022</v>
      </c>
    </row>
    <row r="7013" spans="1:20" customFormat="1" ht="15" x14ac:dyDescent="0.25">
      <c r="A7013" t="s">
        <v>35</v>
      </c>
      <c r="B7013" t="s">
        <v>61</v>
      </c>
      <c r="C7013" t="str">
        <f>"A0182377"</f>
        <v>A0182377</v>
      </c>
      <c r="D7013" t="s">
        <v>27023</v>
      </c>
      <c r="E7013" t="s">
        <v>27024</v>
      </c>
      <c r="F7013" t="s">
        <v>22696</v>
      </c>
      <c r="G7013" t="s">
        <v>1898</v>
      </c>
      <c r="H7013" t="s">
        <v>27025</v>
      </c>
      <c r="I7013" t="s">
        <v>30</v>
      </c>
      <c r="J7013" t="s">
        <v>41</v>
      </c>
      <c r="K7013" t="s">
        <v>59</v>
      </c>
      <c r="Q7013">
        <v>0</v>
      </c>
      <c r="R7013">
        <v>136</v>
      </c>
      <c r="S7013">
        <v>136</v>
      </c>
    </row>
    <row r="7014" spans="1:20" customFormat="1" ht="15" x14ac:dyDescent="0.25">
      <c r="A7014" t="s">
        <v>35</v>
      </c>
      <c r="B7014" t="s">
        <v>61</v>
      </c>
      <c r="C7014" t="str">
        <f>"A0182376"</f>
        <v>A0182376</v>
      </c>
      <c r="D7014" t="s">
        <v>27026</v>
      </c>
      <c r="E7014" t="s">
        <v>27027</v>
      </c>
      <c r="F7014" t="s">
        <v>11740</v>
      </c>
      <c r="G7014" t="s">
        <v>1898</v>
      </c>
      <c r="H7014" t="s">
        <v>27028</v>
      </c>
      <c r="I7014" t="s">
        <v>30</v>
      </c>
      <c r="J7014" t="s">
        <v>41</v>
      </c>
      <c r="K7014" t="s">
        <v>59</v>
      </c>
      <c r="Q7014">
        <v>0</v>
      </c>
      <c r="R7014">
        <v>237</v>
      </c>
      <c r="S7014">
        <v>237</v>
      </c>
      <c r="T7014" t="s">
        <v>27029</v>
      </c>
    </row>
    <row r="7015" spans="1:20" customFormat="1" ht="15" x14ac:dyDescent="0.25">
      <c r="A7015" t="s">
        <v>35</v>
      </c>
      <c r="B7015" t="s">
        <v>61</v>
      </c>
      <c r="C7015" t="str">
        <f>"A0182375"</f>
        <v>A0182375</v>
      </c>
      <c r="D7015" t="s">
        <v>27030</v>
      </c>
      <c r="E7015" t="s">
        <v>27031</v>
      </c>
      <c r="F7015" t="s">
        <v>27032</v>
      </c>
      <c r="G7015" t="s">
        <v>1898</v>
      </c>
      <c r="H7015">
        <v>50638</v>
      </c>
      <c r="I7015" t="s">
        <v>30</v>
      </c>
      <c r="J7015" t="s">
        <v>41</v>
      </c>
      <c r="K7015" t="s">
        <v>59</v>
      </c>
      <c r="Q7015">
        <v>0</v>
      </c>
      <c r="R7015">
        <v>0</v>
      </c>
      <c r="S7015">
        <v>0</v>
      </c>
      <c r="T7015" t="s">
        <v>27033</v>
      </c>
    </row>
    <row r="7016" spans="1:20" customFormat="1" ht="15" x14ac:dyDescent="0.25">
      <c r="A7016" t="s">
        <v>35</v>
      </c>
      <c r="B7016" t="s">
        <v>61</v>
      </c>
      <c r="C7016" t="str">
        <f>"A0182374"</f>
        <v>A0182374</v>
      </c>
      <c r="D7016" t="s">
        <v>27034</v>
      </c>
      <c r="E7016" t="s">
        <v>27035</v>
      </c>
      <c r="F7016" t="s">
        <v>12148</v>
      </c>
      <c r="G7016" t="s">
        <v>117</v>
      </c>
      <c r="H7016" t="s">
        <v>27036</v>
      </c>
      <c r="I7016" t="s">
        <v>30</v>
      </c>
      <c r="J7016" t="s">
        <v>41</v>
      </c>
      <c r="K7016" t="s">
        <v>59</v>
      </c>
      <c r="Q7016">
        <v>0</v>
      </c>
      <c r="R7016">
        <v>0</v>
      </c>
      <c r="S7016">
        <v>0</v>
      </c>
    </row>
    <row r="7017" spans="1:20" customFormat="1" ht="15" x14ac:dyDescent="0.25">
      <c r="A7017" t="s">
        <v>35</v>
      </c>
      <c r="B7017" t="s">
        <v>11386</v>
      </c>
      <c r="C7017" t="str">
        <f>"A0182373"</f>
        <v>A0182373</v>
      </c>
      <c r="D7017" t="s">
        <v>27037</v>
      </c>
      <c r="E7017" t="s">
        <v>27038</v>
      </c>
      <c r="F7017" t="s">
        <v>25665</v>
      </c>
      <c r="G7017" t="s">
        <v>117</v>
      </c>
      <c r="H7017">
        <v>483072705</v>
      </c>
      <c r="I7017" t="s">
        <v>30</v>
      </c>
      <c r="J7017" t="s">
        <v>41</v>
      </c>
      <c r="K7017" t="s">
        <v>59</v>
      </c>
      <c r="Q7017">
        <v>0</v>
      </c>
      <c r="R7017">
        <v>120</v>
      </c>
      <c r="S7017">
        <v>120</v>
      </c>
      <c r="T7017" t="s">
        <v>27039</v>
      </c>
    </row>
    <row r="7018" spans="1:20" customFormat="1" ht="15" x14ac:dyDescent="0.25">
      <c r="A7018" t="s">
        <v>35</v>
      </c>
      <c r="B7018" t="s">
        <v>11386</v>
      </c>
      <c r="C7018" t="str">
        <f>"A0182372"</f>
        <v>A0182372</v>
      </c>
      <c r="D7018" t="s">
        <v>27040</v>
      </c>
      <c r="E7018" t="s">
        <v>27041</v>
      </c>
      <c r="F7018" t="s">
        <v>11064</v>
      </c>
      <c r="G7018" t="s">
        <v>117</v>
      </c>
      <c r="H7018">
        <v>483563345</v>
      </c>
      <c r="I7018" t="s">
        <v>30</v>
      </c>
      <c r="J7018" t="s">
        <v>41</v>
      </c>
      <c r="K7018" t="s">
        <v>59</v>
      </c>
      <c r="Q7018">
        <v>0</v>
      </c>
      <c r="R7018">
        <v>0</v>
      </c>
      <c r="S7018">
        <v>0</v>
      </c>
      <c r="T7018" t="s">
        <v>27042</v>
      </c>
    </row>
    <row r="7019" spans="1:20" customFormat="1" ht="15" x14ac:dyDescent="0.25">
      <c r="A7019" t="s">
        <v>35</v>
      </c>
      <c r="B7019" t="s">
        <v>61</v>
      </c>
      <c r="C7019" t="str">
        <f>"A0182371"</f>
        <v>A0182371</v>
      </c>
      <c r="D7019" t="s">
        <v>27043</v>
      </c>
      <c r="E7019" t="s">
        <v>27044</v>
      </c>
      <c r="F7019" t="s">
        <v>11695</v>
      </c>
      <c r="G7019" t="s">
        <v>117</v>
      </c>
      <c r="H7019" t="s">
        <v>27045</v>
      </c>
      <c r="I7019" t="s">
        <v>30</v>
      </c>
      <c r="J7019" t="s">
        <v>41</v>
      </c>
      <c r="K7019" t="s">
        <v>59</v>
      </c>
      <c r="Q7019">
        <v>0</v>
      </c>
      <c r="R7019">
        <v>0</v>
      </c>
      <c r="S7019">
        <v>0</v>
      </c>
    </row>
    <row r="7020" spans="1:20" customFormat="1" ht="15" x14ac:dyDescent="0.25">
      <c r="A7020" t="s">
        <v>35</v>
      </c>
      <c r="B7020" t="s">
        <v>61</v>
      </c>
      <c r="C7020" t="str">
        <f>"A0182370"</f>
        <v>A0182370</v>
      </c>
      <c r="D7020" t="s">
        <v>27046</v>
      </c>
      <c r="E7020" t="s">
        <v>27047</v>
      </c>
      <c r="F7020" t="s">
        <v>27048</v>
      </c>
      <c r="G7020" t="s">
        <v>117</v>
      </c>
      <c r="H7020" t="s">
        <v>27049</v>
      </c>
      <c r="I7020" t="s">
        <v>30</v>
      </c>
      <c r="J7020" t="s">
        <v>41</v>
      </c>
      <c r="K7020" t="s">
        <v>59</v>
      </c>
      <c r="Q7020">
        <v>0</v>
      </c>
      <c r="R7020">
        <v>179</v>
      </c>
      <c r="S7020">
        <v>179</v>
      </c>
      <c r="T7020" t="s">
        <v>27050</v>
      </c>
    </row>
    <row r="7021" spans="1:20" customFormat="1" ht="15" x14ac:dyDescent="0.25">
      <c r="A7021" t="s">
        <v>35</v>
      </c>
      <c r="B7021" t="s">
        <v>61</v>
      </c>
      <c r="C7021" t="str">
        <f>"A0182369"</f>
        <v>A0182369</v>
      </c>
      <c r="D7021" t="s">
        <v>27051</v>
      </c>
      <c r="E7021" t="s">
        <v>27052</v>
      </c>
      <c r="F7021" t="s">
        <v>27053</v>
      </c>
      <c r="G7021" t="s">
        <v>117</v>
      </c>
      <c r="H7021" t="s">
        <v>27054</v>
      </c>
      <c r="I7021" t="s">
        <v>30</v>
      </c>
      <c r="J7021" t="s">
        <v>41</v>
      </c>
      <c r="K7021" t="s">
        <v>59</v>
      </c>
      <c r="Q7021">
        <v>0</v>
      </c>
      <c r="R7021">
        <v>0</v>
      </c>
      <c r="S7021">
        <v>0</v>
      </c>
      <c r="T7021" t="s">
        <v>27055</v>
      </c>
    </row>
    <row r="7022" spans="1:20" customFormat="1" ht="15" x14ac:dyDescent="0.25">
      <c r="A7022" t="s">
        <v>35</v>
      </c>
      <c r="B7022" t="s">
        <v>9604</v>
      </c>
      <c r="C7022" t="str">
        <f>"A0182368"</f>
        <v>A0182368</v>
      </c>
      <c r="D7022" t="s">
        <v>27056</v>
      </c>
      <c r="E7022" t="s">
        <v>27057</v>
      </c>
      <c r="F7022" t="s">
        <v>9621</v>
      </c>
      <c r="G7022" t="s">
        <v>117</v>
      </c>
      <c r="H7022">
        <v>481181369</v>
      </c>
      <c r="I7022" t="s">
        <v>30</v>
      </c>
      <c r="J7022" t="s">
        <v>41</v>
      </c>
      <c r="K7022" t="s">
        <v>59</v>
      </c>
      <c r="Q7022">
        <v>0</v>
      </c>
      <c r="R7022">
        <v>302</v>
      </c>
      <c r="S7022">
        <v>197</v>
      </c>
      <c r="T7022" t="s">
        <v>27058</v>
      </c>
    </row>
    <row r="7023" spans="1:20" customFormat="1" ht="15" x14ac:dyDescent="0.25">
      <c r="A7023" t="s">
        <v>35</v>
      </c>
      <c r="B7023" t="s">
        <v>61</v>
      </c>
      <c r="C7023" t="str">
        <f>"A0182367"</f>
        <v>A0182367</v>
      </c>
      <c r="D7023" t="s">
        <v>27059</v>
      </c>
      <c r="E7023" t="s">
        <v>17966</v>
      </c>
      <c r="F7023" t="s">
        <v>17967</v>
      </c>
      <c r="G7023" t="s">
        <v>1898</v>
      </c>
      <c r="H7023" t="s">
        <v>17968</v>
      </c>
      <c r="I7023" t="s">
        <v>30</v>
      </c>
      <c r="J7023" t="s">
        <v>41</v>
      </c>
      <c r="K7023" t="s">
        <v>59</v>
      </c>
      <c r="Q7023">
        <v>0</v>
      </c>
      <c r="R7023">
        <v>122</v>
      </c>
      <c r="S7023">
        <v>122</v>
      </c>
      <c r="T7023" t="s">
        <v>27060</v>
      </c>
    </row>
    <row r="7024" spans="1:20" customFormat="1" ht="15" x14ac:dyDescent="0.25">
      <c r="A7024" t="s">
        <v>35</v>
      </c>
      <c r="B7024" t="s">
        <v>61</v>
      </c>
      <c r="C7024" t="str">
        <f>"A0182366"</f>
        <v>A0182366</v>
      </c>
      <c r="D7024" t="s">
        <v>27061</v>
      </c>
      <c r="E7024" t="s">
        <v>26983</v>
      </c>
      <c r="F7024" t="s">
        <v>22501</v>
      </c>
      <c r="G7024" t="s">
        <v>1898</v>
      </c>
      <c r="H7024" t="s">
        <v>27062</v>
      </c>
      <c r="I7024" t="s">
        <v>30</v>
      </c>
      <c r="J7024" t="s">
        <v>41</v>
      </c>
      <c r="K7024" t="s">
        <v>59</v>
      </c>
      <c r="Q7024">
        <v>0</v>
      </c>
      <c r="R7024">
        <v>58</v>
      </c>
      <c r="S7024">
        <v>58</v>
      </c>
      <c r="T7024" t="s">
        <v>26981</v>
      </c>
    </row>
    <row r="7025" spans="1:20" customFormat="1" ht="15" x14ac:dyDescent="0.25">
      <c r="A7025" t="s">
        <v>35</v>
      </c>
      <c r="B7025" t="s">
        <v>11386</v>
      </c>
      <c r="C7025" t="str">
        <f>"A0182365"</f>
        <v>A0182365</v>
      </c>
      <c r="D7025" t="s">
        <v>27063</v>
      </c>
      <c r="E7025" t="s">
        <v>27064</v>
      </c>
      <c r="F7025" t="s">
        <v>27065</v>
      </c>
      <c r="G7025" t="s">
        <v>117</v>
      </c>
      <c r="H7025">
        <v>480262017</v>
      </c>
      <c r="I7025" t="s">
        <v>30</v>
      </c>
      <c r="J7025" t="s">
        <v>41</v>
      </c>
      <c r="K7025" t="s">
        <v>59</v>
      </c>
      <c r="Q7025">
        <v>0</v>
      </c>
      <c r="R7025">
        <v>212</v>
      </c>
      <c r="S7025">
        <v>212</v>
      </c>
      <c r="T7025" t="s">
        <v>27066</v>
      </c>
    </row>
    <row r="7026" spans="1:20" customFormat="1" ht="15" x14ac:dyDescent="0.25">
      <c r="A7026" t="s">
        <v>35</v>
      </c>
      <c r="B7026" t="s">
        <v>21240</v>
      </c>
      <c r="C7026" t="str">
        <f>"A0182364"</f>
        <v>A0182364</v>
      </c>
      <c r="D7026" t="s">
        <v>27067</v>
      </c>
      <c r="E7026" t="s">
        <v>27068</v>
      </c>
      <c r="F7026" t="s">
        <v>27069</v>
      </c>
      <c r="G7026" t="s">
        <v>117</v>
      </c>
      <c r="H7026">
        <v>49437</v>
      </c>
      <c r="I7026" t="s">
        <v>30</v>
      </c>
      <c r="J7026" t="s">
        <v>41</v>
      </c>
      <c r="K7026" t="s">
        <v>59</v>
      </c>
      <c r="Q7026">
        <v>0</v>
      </c>
      <c r="R7026">
        <v>0</v>
      </c>
      <c r="S7026">
        <v>0</v>
      </c>
      <c r="T7026" t="s">
        <v>27070</v>
      </c>
    </row>
    <row r="7027" spans="1:20" customFormat="1" ht="15" x14ac:dyDescent="0.25">
      <c r="A7027" t="s">
        <v>35</v>
      </c>
      <c r="B7027" t="s">
        <v>21240</v>
      </c>
      <c r="C7027" t="str">
        <f>"A0182363"</f>
        <v>A0182363</v>
      </c>
      <c r="D7027" t="s">
        <v>27071</v>
      </c>
      <c r="E7027" t="s">
        <v>27072</v>
      </c>
      <c r="F7027" t="s">
        <v>20312</v>
      </c>
      <c r="G7027" t="s">
        <v>117</v>
      </c>
      <c r="H7027" t="s">
        <v>27073</v>
      </c>
      <c r="I7027" t="s">
        <v>30</v>
      </c>
      <c r="J7027" t="s">
        <v>41</v>
      </c>
      <c r="K7027" t="s">
        <v>59</v>
      </c>
      <c r="Q7027">
        <v>0</v>
      </c>
      <c r="R7027">
        <v>0</v>
      </c>
      <c r="S7027">
        <v>0</v>
      </c>
      <c r="T7027" t="s">
        <v>27074</v>
      </c>
    </row>
    <row r="7028" spans="1:20" customFormat="1" ht="15" x14ac:dyDescent="0.25">
      <c r="A7028" t="s">
        <v>35</v>
      </c>
      <c r="B7028" t="s">
        <v>61</v>
      </c>
      <c r="C7028" t="str">
        <f>"A0182362"</f>
        <v>A0182362</v>
      </c>
      <c r="D7028" t="s">
        <v>27075</v>
      </c>
      <c r="E7028" t="s">
        <v>27076</v>
      </c>
      <c r="F7028" t="s">
        <v>27077</v>
      </c>
      <c r="G7028" t="s">
        <v>71</v>
      </c>
      <c r="H7028">
        <v>546369537</v>
      </c>
      <c r="I7028" t="s">
        <v>30</v>
      </c>
      <c r="J7028" t="s">
        <v>41</v>
      </c>
      <c r="K7028" t="s">
        <v>59</v>
      </c>
      <c r="Q7028">
        <v>0</v>
      </c>
      <c r="R7028">
        <v>0</v>
      </c>
      <c r="S7028">
        <v>0</v>
      </c>
    </row>
    <row r="7029" spans="1:20" customFormat="1" ht="15" x14ac:dyDescent="0.25">
      <c r="A7029" t="s">
        <v>35</v>
      </c>
      <c r="B7029" t="s">
        <v>15885</v>
      </c>
      <c r="C7029" t="str">
        <f>"A0182361"</f>
        <v>A0182361</v>
      </c>
      <c r="D7029" t="s">
        <v>27078</v>
      </c>
      <c r="E7029" t="s">
        <v>27079</v>
      </c>
      <c r="F7029" t="s">
        <v>27080</v>
      </c>
      <c r="G7029" t="s">
        <v>190</v>
      </c>
      <c r="H7029">
        <v>810043111</v>
      </c>
      <c r="I7029" t="s">
        <v>30</v>
      </c>
      <c r="J7029" t="s">
        <v>41</v>
      </c>
      <c r="K7029" t="s">
        <v>59</v>
      </c>
      <c r="Q7029">
        <v>0</v>
      </c>
      <c r="R7029">
        <v>0</v>
      </c>
      <c r="S7029">
        <v>0</v>
      </c>
      <c r="T7029" t="s">
        <v>27081</v>
      </c>
    </row>
    <row r="7030" spans="1:20" customFormat="1" ht="15" x14ac:dyDescent="0.25">
      <c r="A7030" t="s">
        <v>35</v>
      </c>
      <c r="B7030" t="s">
        <v>61</v>
      </c>
      <c r="C7030" t="str">
        <f>"A0182360"</f>
        <v>A0182360</v>
      </c>
      <c r="D7030" t="s">
        <v>27082</v>
      </c>
      <c r="E7030" t="s">
        <v>27083</v>
      </c>
      <c r="F7030" t="s">
        <v>4032</v>
      </c>
      <c r="G7030" t="s">
        <v>110</v>
      </c>
      <c r="H7030" t="s">
        <v>27084</v>
      </c>
      <c r="I7030" t="s">
        <v>30</v>
      </c>
      <c r="J7030" t="s">
        <v>41</v>
      </c>
      <c r="K7030" t="s">
        <v>59</v>
      </c>
      <c r="Q7030">
        <v>0</v>
      </c>
      <c r="R7030">
        <v>0</v>
      </c>
      <c r="S7030">
        <v>0</v>
      </c>
      <c r="T7030" t="s">
        <v>27085</v>
      </c>
    </row>
    <row r="7031" spans="1:20" customFormat="1" ht="15" x14ac:dyDescent="0.25">
      <c r="A7031" t="s">
        <v>35</v>
      </c>
      <c r="B7031" t="s">
        <v>61</v>
      </c>
      <c r="C7031" t="str">
        <f>"A0182359"</f>
        <v>A0182359</v>
      </c>
      <c r="D7031" t="s">
        <v>27086</v>
      </c>
      <c r="E7031" t="s">
        <v>27087</v>
      </c>
      <c r="F7031" t="s">
        <v>25685</v>
      </c>
      <c r="G7031" t="s">
        <v>110</v>
      </c>
      <c r="H7031" t="s">
        <v>27088</v>
      </c>
      <c r="I7031" t="s">
        <v>30</v>
      </c>
      <c r="J7031" t="s">
        <v>41</v>
      </c>
      <c r="K7031" t="s">
        <v>59</v>
      </c>
      <c r="Q7031">
        <v>0</v>
      </c>
      <c r="R7031">
        <v>0</v>
      </c>
      <c r="S7031">
        <v>0</v>
      </c>
    </row>
    <row r="7032" spans="1:20" customFormat="1" ht="15" x14ac:dyDescent="0.25">
      <c r="A7032" t="s">
        <v>35</v>
      </c>
      <c r="B7032" t="s">
        <v>61</v>
      </c>
      <c r="C7032" t="str">
        <f>"A0182358"</f>
        <v>A0182358</v>
      </c>
      <c r="D7032" t="s">
        <v>27089</v>
      </c>
      <c r="E7032" t="s">
        <v>27090</v>
      </c>
      <c r="F7032" t="s">
        <v>7362</v>
      </c>
      <c r="G7032" t="s">
        <v>110</v>
      </c>
      <c r="H7032" t="s">
        <v>27091</v>
      </c>
      <c r="I7032" t="s">
        <v>30</v>
      </c>
      <c r="J7032" t="s">
        <v>41</v>
      </c>
      <c r="K7032" t="s">
        <v>59</v>
      </c>
      <c r="Q7032">
        <v>0</v>
      </c>
      <c r="R7032">
        <v>0</v>
      </c>
      <c r="S7032">
        <v>0</v>
      </c>
      <c r="T7032" t="s">
        <v>27092</v>
      </c>
    </row>
    <row r="7033" spans="1:20" customFormat="1" ht="15" x14ac:dyDescent="0.25">
      <c r="A7033" t="s">
        <v>35</v>
      </c>
      <c r="B7033" t="s">
        <v>61</v>
      </c>
      <c r="C7033" t="str">
        <f>"A0182357"</f>
        <v>A0182357</v>
      </c>
      <c r="D7033" t="s">
        <v>27093</v>
      </c>
      <c r="E7033" t="s">
        <v>27094</v>
      </c>
      <c r="F7033" t="s">
        <v>22501</v>
      </c>
      <c r="G7033" t="s">
        <v>1898</v>
      </c>
      <c r="H7033" t="s">
        <v>27095</v>
      </c>
      <c r="I7033" t="s">
        <v>30</v>
      </c>
      <c r="J7033" t="s">
        <v>41</v>
      </c>
      <c r="K7033" t="s">
        <v>59</v>
      </c>
      <c r="Q7033">
        <v>0</v>
      </c>
      <c r="R7033">
        <v>36</v>
      </c>
      <c r="S7033">
        <v>36</v>
      </c>
      <c r="T7033" t="s">
        <v>27096</v>
      </c>
    </row>
    <row r="7034" spans="1:20" customFormat="1" ht="15" x14ac:dyDescent="0.25">
      <c r="A7034" t="s">
        <v>35</v>
      </c>
      <c r="B7034" t="s">
        <v>61</v>
      </c>
      <c r="C7034" t="str">
        <f>"A0182356"</f>
        <v>A0182356</v>
      </c>
      <c r="D7034" t="s">
        <v>27097</v>
      </c>
      <c r="E7034" t="s">
        <v>27098</v>
      </c>
      <c r="F7034" t="s">
        <v>3327</v>
      </c>
      <c r="G7034" t="s">
        <v>214</v>
      </c>
      <c r="H7034" t="s">
        <v>27099</v>
      </c>
      <c r="I7034" t="s">
        <v>30</v>
      </c>
      <c r="J7034" t="s">
        <v>41</v>
      </c>
      <c r="K7034" t="s">
        <v>59</v>
      </c>
      <c r="Q7034">
        <v>0</v>
      </c>
      <c r="R7034">
        <v>199</v>
      </c>
      <c r="S7034">
        <v>199</v>
      </c>
      <c r="T7034" t="s">
        <v>27100</v>
      </c>
    </row>
    <row r="7035" spans="1:20" customFormat="1" ht="15" x14ac:dyDescent="0.25">
      <c r="A7035" t="s">
        <v>35</v>
      </c>
      <c r="B7035" t="s">
        <v>11386</v>
      </c>
      <c r="C7035" t="str">
        <f>"A0182354"</f>
        <v>A0182354</v>
      </c>
      <c r="D7035" t="s">
        <v>27101</v>
      </c>
      <c r="E7035" t="s">
        <v>27102</v>
      </c>
      <c r="F7035" t="s">
        <v>8846</v>
      </c>
      <c r="G7035" t="s">
        <v>117</v>
      </c>
      <c r="H7035">
        <v>482213411</v>
      </c>
      <c r="I7035" t="s">
        <v>30</v>
      </c>
      <c r="J7035" t="s">
        <v>41</v>
      </c>
      <c r="K7035" t="s">
        <v>59</v>
      </c>
      <c r="Q7035">
        <v>0</v>
      </c>
      <c r="R7035">
        <v>0</v>
      </c>
      <c r="S7035">
        <v>0</v>
      </c>
      <c r="T7035" t="s">
        <v>27103</v>
      </c>
    </row>
    <row r="7036" spans="1:20" customFormat="1" ht="15" x14ac:dyDescent="0.25">
      <c r="A7036" t="s">
        <v>35</v>
      </c>
      <c r="B7036" t="s">
        <v>11386</v>
      </c>
      <c r="C7036" t="str">
        <f>"A0182353"</f>
        <v>A0182353</v>
      </c>
      <c r="D7036" t="s">
        <v>27104</v>
      </c>
      <c r="E7036" t="s">
        <v>27105</v>
      </c>
      <c r="F7036" t="s">
        <v>8846</v>
      </c>
      <c r="G7036" t="s">
        <v>117</v>
      </c>
      <c r="H7036">
        <v>482133449</v>
      </c>
      <c r="I7036" t="s">
        <v>30</v>
      </c>
      <c r="J7036" t="s">
        <v>41</v>
      </c>
      <c r="K7036" t="s">
        <v>59</v>
      </c>
      <c r="Q7036">
        <v>0</v>
      </c>
      <c r="R7036">
        <v>0</v>
      </c>
      <c r="S7036">
        <v>0</v>
      </c>
      <c r="T7036" t="s">
        <v>27106</v>
      </c>
    </row>
    <row r="7037" spans="1:20" customFormat="1" ht="15" x14ac:dyDescent="0.25">
      <c r="A7037" t="s">
        <v>35</v>
      </c>
      <c r="B7037" t="s">
        <v>61</v>
      </c>
      <c r="C7037" t="str">
        <f>"A0182352"</f>
        <v>A0182352</v>
      </c>
      <c r="D7037" t="s">
        <v>27107</v>
      </c>
      <c r="E7037" t="s">
        <v>27108</v>
      </c>
      <c r="F7037" t="s">
        <v>15601</v>
      </c>
      <c r="G7037" t="s">
        <v>1898</v>
      </c>
      <c r="H7037" t="s">
        <v>27109</v>
      </c>
      <c r="I7037" t="s">
        <v>30</v>
      </c>
      <c r="J7037" t="s">
        <v>41</v>
      </c>
      <c r="K7037" t="s">
        <v>59</v>
      </c>
      <c r="Q7037">
        <v>0</v>
      </c>
      <c r="R7037">
        <v>50</v>
      </c>
      <c r="S7037">
        <v>50</v>
      </c>
      <c r="T7037" t="s">
        <v>27110</v>
      </c>
    </row>
    <row r="7038" spans="1:20" customFormat="1" ht="15" x14ac:dyDescent="0.25">
      <c r="A7038" t="s">
        <v>35</v>
      </c>
      <c r="B7038" t="s">
        <v>61</v>
      </c>
      <c r="C7038" t="str">
        <f>"A0182351"</f>
        <v>A0182351</v>
      </c>
      <c r="D7038" t="s">
        <v>27111</v>
      </c>
      <c r="E7038" t="s">
        <v>27112</v>
      </c>
      <c r="F7038" t="s">
        <v>27113</v>
      </c>
      <c r="G7038" t="s">
        <v>1898</v>
      </c>
      <c r="H7038" t="s">
        <v>27114</v>
      </c>
      <c r="I7038" t="s">
        <v>30</v>
      </c>
      <c r="J7038" t="s">
        <v>41</v>
      </c>
      <c r="K7038" t="s">
        <v>59</v>
      </c>
      <c r="Q7038">
        <v>0</v>
      </c>
      <c r="R7038">
        <v>0</v>
      </c>
      <c r="S7038">
        <v>0</v>
      </c>
    </row>
    <row r="7039" spans="1:20" customFormat="1" ht="15" x14ac:dyDescent="0.25">
      <c r="A7039" t="s">
        <v>35</v>
      </c>
      <c r="B7039" t="s">
        <v>61</v>
      </c>
      <c r="C7039" t="str">
        <f>"A0182350"</f>
        <v>A0182350</v>
      </c>
      <c r="D7039" t="s">
        <v>27115</v>
      </c>
      <c r="E7039" t="s">
        <v>27116</v>
      </c>
      <c r="F7039" t="s">
        <v>460</v>
      </c>
      <c r="G7039" t="s">
        <v>117</v>
      </c>
      <c r="H7039" t="s">
        <v>27117</v>
      </c>
      <c r="I7039" t="s">
        <v>30</v>
      </c>
      <c r="J7039" t="s">
        <v>41</v>
      </c>
      <c r="K7039" t="s">
        <v>59</v>
      </c>
      <c r="Q7039">
        <v>0</v>
      </c>
      <c r="R7039">
        <v>79</v>
      </c>
      <c r="S7039">
        <v>79</v>
      </c>
      <c r="T7039" t="s">
        <v>27118</v>
      </c>
    </row>
    <row r="7040" spans="1:20" customFormat="1" ht="15" x14ac:dyDescent="0.25">
      <c r="A7040" t="s">
        <v>35</v>
      </c>
      <c r="B7040" t="s">
        <v>11386</v>
      </c>
      <c r="C7040" t="str">
        <f>"A0182349"</f>
        <v>A0182349</v>
      </c>
      <c r="D7040" t="s">
        <v>27119</v>
      </c>
      <c r="E7040" t="s">
        <v>27120</v>
      </c>
      <c r="F7040" t="s">
        <v>27121</v>
      </c>
      <c r="G7040" t="s">
        <v>117</v>
      </c>
      <c r="H7040">
        <v>480602079</v>
      </c>
      <c r="I7040" t="s">
        <v>30</v>
      </c>
      <c r="J7040" t="s">
        <v>41</v>
      </c>
      <c r="K7040" t="s">
        <v>59</v>
      </c>
      <c r="Q7040">
        <v>0</v>
      </c>
      <c r="R7040">
        <v>0</v>
      </c>
      <c r="S7040">
        <v>0</v>
      </c>
      <c r="T7040" t="s">
        <v>27122</v>
      </c>
    </row>
    <row r="7041" spans="1:20" customFormat="1" ht="15" x14ac:dyDescent="0.25">
      <c r="A7041" t="s">
        <v>35</v>
      </c>
      <c r="B7041" t="s">
        <v>11386</v>
      </c>
      <c r="C7041" t="str">
        <f>"A0182348"</f>
        <v>A0182348</v>
      </c>
      <c r="D7041" t="s">
        <v>27123</v>
      </c>
      <c r="E7041" t="s">
        <v>27124</v>
      </c>
      <c r="F7041" t="s">
        <v>27125</v>
      </c>
      <c r="G7041" t="s">
        <v>117</v>
      </c>
      <c r="H7041">
        <v>483623358</v>
      </c>
      <c r="I7041" t="s">
        <v>30</v>
      </c>
      <c r="J7041" t="s">
        <v>41</v>
      </c>
      <c r="K7041" t="s">
        <v>59</v>
      </c>
      <c r="Q7041">
        <v>0</v>
      </c>
      <c r="R7041">
        <v>0</v>
      </c>
      <c r="S7041">
        <v>0</v>
      </c>
      <c r="T7041" t="s">
        <v>27126</v>
      </c>
    </row>
    <row r="7042" spans="1:20" customFormat="1" ht="15" x14ac:dyDescent="0.25">
      <c r="A7042" t="s">
        <v>35</v>
      </c>
      <c r="B7042" t="s">
        <v>11892</v>
      </c>
      <c r="C7042" t="str">
        <f>"A0182347"</f>
        <v>A0182347</v>
      </c>
      <c r="D7042" t="s">
        <v>27127</v>
      </c>
      <c r="E7042" t="s">
        <v>27128</v>
      </c>
      <c r="F7042" t="s">
        <v>27129</v>
      </c>
      <c r="G7042" t="s">
        <v>117</v>
      </c>
      <c r="H7042" t="s">
        <v>27130</v>
      </c>
      <c r="I7042" t="s">
        <v>30</v>
      </c>
      <c r="J7042" t="s">
        <v>41</v>
      </c>
      <c r="K7042" t="s">
        <v>59</v>
      </c>
      <c r="Q7042">
        <v>0</v>
      </c>
      <c r="R7042">
        <v>0</v>
      </c>
      <c r="S7042">
        <v>0</v>
      </c>
      <c r="T7042" t="s">
        <v>27131</v>
      </c>
    </row>
    <row r="7043" spans="1:20" customFormat="1" ht="15" x14ac:dyDescent="0.25">
      <c r="A7043" t="s">
        <v>35</v>
      </c>
      <c r="B7043" t="s">
        <v>61</v>
      </c>
      <c r="C7043" t="str">
        <f>"A0182346"</f>
        <v>A0182346</v>
      </c>
      <c r="D7043" t="s">
        <v>27132</v>
      </c>
      <c r="E7043" t="s">
        <v>23748</v>
      </c>
      <c r="F7043" t="s">
        <v>3336</v>
      </c>
      <c r="G7043" t="s">
        <v>71</v>
      </c>
      <c r="H7043" t="s">
        <v>27133</v>
      </c>
      <c r="I7043" t="s">
        <v>30</v>
      </c>
      <c r="J7043" t="s">
        <v>41</v>
      </c>
      <c r="K7043" t="s">
        <v>59</v>
      </c>
      <c r="Q7043">
        <v>0</v>
      </c>
      <c r="R7043">
        <v>0</v>
      </c>
      <c r="S7043">
        <v>0</v>
      </c>
      <c r="T7043" t="s">
        <v>23695</v>
      </c>
    </row>
    <row r="7044" spans="1:20" customFormat="1" ht="15" x14ac:dyDescent="0.25">
      <c r="A7044" t="s">
        <v>35</v>
      </c>
      <c r="B7044" t="s">
        <v>61</v>
      </c>
      <c r="C7044" t="str">
        <f>"A0182345"</f>
        <v>A0182345</v>
      </c>
      <c r="D7044" t="s">
        <v>27134</v>
      </c>
      <c r="E7044" t="s">
        <v>26231</v>
      </c>
      <c r="F7044" t="s">
        <v>70</v>
      </c>
      <c r="G7044" t="s">
        <v>71</v>
      </c>
      <c r="H7044">
        <v>540204370</v>
      </c>
      <c r="I7044" t="s">
        <v>30</v>
      </c>
      <c r="J7044" t="s">
        <v>41</v>
      </c>
      <c r="K7044" t="s">
        <v>59</v>
      </c>
      <c r="Q7044">
        <v>0</v>
      </c>
      <c r="R7044">
        <v>18</v>
      </c>
      <c r="S7044">
        <v>18</v>
      </c>
    </row>
    <row r="7045" spans="1:20" customFormat="1" ht="15" x14ac:dyDescent="0.25">
      <c r="A7045" t="s">
        <v>35</v>
      </c>
      <c r="B7045" t="s">
        <v>25672</v>
      </c>
      <c r="C7045" t="str">
        <f>"A0182344"</f>
        <v>A0182344</v>
      </c>
      <c r="D7045" t="s">
        <v>27135</v>
      </c>
      <c r="E7045" t="s">
        <v>27136</v>
      </c>
      <c r="F7045" t="s">
        <v>27137</v>
      </c>
      <c r="G7045" t="s">
        <v>1898</v>
      </c>
      <c r="H7045">
        <v>527789568</v>
      </c>
      <c r="I7045" t="s">
        <v>30</v>
      </c>
      <c r="J7045" t="s">
        <v>41</v>
      </c>
      <c r="K7045" t="s">
        <v>59</v>
      </c>
      <c r="Q7045">
        <v>0</v>
      </c>
      <c r="R7045">
        <v>58</v>
      </c>
      <c r="S7045">
        <v>58</v>
      </c>
      <c r="T7045" t="s">
        <v>27138</v>
      </c>
    </row>
    <row r="7046" spans="1:20" customFormat="1" ht="15" x14ac:dyDescent="0.25">
      <c r="A7046" t="s">
        <v>35</v>
      </c>
      <c r="B7046" t="s">
        <v>61</v>
      </c>
      <c r="C7046" t="str">
        <f>"A0182343"</f>
        <v>A0182343</v>
      </c>
      <c r="D7046" t="s">
        <v>27139</v>
      </c>
      <c r="E7046" t="s">
        <v>27140</v>
      </c>
      <c r="F7046" t="s">
        <v>11919</v>
      </c>
      <c r="G7046" t="s">
        <v>117</v>
      </c>
      <c r="H7046" t="s">
        <v>27141</v>
      </c>
      <c r="I7046" t="s">
        <v>30</v>
      </c>
      <c r="J7046" t="s">
        <v>41</v>
      </c>
      <c r="K7046" t="s">
        <v>59</v>
      </c>
      <c r="Q7046">
        <v>0</v>
      </c>
      <c r="R7046">
        <v>0</v>
      </c>
      <c r="S7046">
        <v>0</v>
      </c>
    </row>
    <row r="7047" spans="1:20" customFormat="1" ht="15" x14ac:dyDescent="0.25">
      <c r="A7047" t="s">
        <v>35</v>
      </c>
      <c r="B7047" t="s">
        <v>61</v>
      </c>
      <c r="C7047" t="str">
        <f>"A0182342"</f>
        <v>A0182342</v>
      </c>
      <c r="D7047" t="s">
        <v>27142</v>
      </c>
      <c r="E7047" t="s">
        <v>27143</v>
      </c>
      <c r="F7047" t="s">
        <v>15636</v>
      </c>
      <c r="G7047" t="s">
        <v>117</v>
      </c>
      <c r="H7047" t="s">
        <v>27144</v>
      </c>
      <c r="I7047" t="s">
        <v>30</v>
      </c>
      <c r="J7047" t="s">
        <v>41</v>
      </c>
      <c r="K7047" t="s">
        <v>59</v>
      </c>
      <c r="Q7047">
        <v>0</v>
      </c>
      <c r="R7047">
        <v>226</v>
      </c>
      <c r="S7047">
        <v>226</v>
      </c>
      <c r="T7047" t="s">
        <v>26543</v>
      </c>
    </row>
    <row r="7048" spans="1:20" customFormat="1" ht="15" x14ac:dyDescent="0.25">
      <c r="A7048" t="s">
        <v>35</v>
      </c>
      <c r="B7048" t="s">
        <v>9604</v>
      </c>
      <c r="C7048" t="str">
        <f>"A0182341"</f>
        <v>A0182341</v>
      </c>
      <c r="D7048" t="s">
        <v>27145</v>
      </c>
      <c r="E7048" t="s">
        <v>27146</v>
      </c>
      <c r="F7048" t="s">
        <v>12532</v>
      </c>
      <c r="G7048" t="s">
        <v>117</v>
      </c>
      <c r="H7048">
        <v>49202</v>
      </c>
      <c r="I7048" t="s">
        <v>30</v>
      </c>
      <c r="J7048" t="s">
        <v>41</v>
      </c>
      <c r="K7048" t="s">
        <v>59</v>
      </c>
      <c r="Q7048">
        <v>0</v>
      </c>
      <c r="R7048">
        <v>0</v>
      </c>
      <c r="S7048">
        <v>60</v>
      </c>
      <c r="T7048" t="s">
        <v>27147</v>
      </c>
    </row>
    <row r="7049" spans="1:20" customFormat="1" ht="15" x14ac:dyDescent="0.25">
      <c r="A7049" t="s">
        <v>35</v>
      </c>
      <c r="B7049" t="s">
        <v>11386</v>
      </c>
      <c r="C7049" t="str">
        <f>"A0182340"</f>
        <v>A0182340</v>
      </c>
      <c r="D7049" t="s">
        <v>27148</v>
      </c>
      <c r="E7049" t="s">
        <v>27149</v>
      </c>
      <c r="F7049" t="s">
        <v>17583</v>
      </c>
      <c r="G7049" t="s">
        <v>117</v>
      </c>
      <c r="H7049">
        <v>481952292</v>
      </c>
      <c r="I7049" t="s">
        <v>30</v>
      </c>
      <c r="J7049" t="s">
        <v>41</v>
      </c>
      <c r="K7049" t="s">
        <v>59</v>
      </c>
      <c r="Q7049">
        <v>0</v>
      </c>
      <c r="R7049">
        <v>0</v>
      </c>
      <c r="S7049">
        <v>0</v>
      </c>
      <c r="T7049" t="s">
        <v>27150</v>
      </c>
    </row>
    <row r="7050" spans="1:20" customFormat="1" ht="15" x14ac:dyDescent="0.25">
      <c r="A7050" t="s">
        <v>35</v>
      </c>
      <c r="B7050" t="s">
        <v>11386</v>
      </c>
      <c r="C7050" t="str">
        <f>"A0182339"</f>
        <v>A0182339</v>
      </c>
      <c r="D7050" t="s">
        <v>27151</v>
      </c>
      <c r="E7050" t="s">
        <v>27152</v>
      </c>
      <c r="F7050" t="s">
        <v>15636</v>
      </c>
      <c r="G7050" t="s">
        <v>117</v>
      </c>
      <c r="H7050">
        <v>480355031</v>
      </c>
      <c r="I7050" t="s">
        <v>30</v>
      </c>
      <c r="J7050" t="s">
        <v>41</v>
      </c>
      <c r="K7050" t="s">
        <v>59</v>
      </c>
      <c r="Q7050">
        <v>0</v>
      </c>
      <c r="R7050">
        <v>0</v>
      </c>
      <c r="S7050">
        <v>0</v>
      </c>
      <c r="T7050" t="s">
        <v>27153</v>
      </c>
    </row>
    <row r="7051" spans="1:20" customFormat="1" ht="15" x14ac:dyDescent="0.25">
      <c r="A7051" t="s">
        <v>35</v>
      </c>
      <c r="B7051" t="s">
        <v>61</v>
      </c>
      <c r="C7051" t="str">
        <f>"A0182338"</f>
        <v>A0182338</v>
      </c>
      <c r="D7051" t="s">
        <v>27154</v>
      </c>
      <c r="E7051" t="s">
        <v>27155</v>
      </c>
      <c r="F7051" t="s">
        <v>8674</v>
      </c>
      <c r="G7051" t="s">
        <v>1898</v>
      </c>
      <c r="H7051" t="s">
        <v>27156</v>
      </c>
      <c r="I7051" t="s">
        <v>30</v>
      </c>
      <c r="J7051" t="s">
        <v>41</v>
      </c>
      <c r="K7051" t="s">
        <v>59</v>
      </c>
      <c r="Q7051">
        <v>0</v>
      </c>
      <c r="R7051">
        <v>95</v>
      </c>
      <c r="S7051">
        <v>95</v>
      </c>
      <c r="T7051" t="s">
        <v>27157</v>
      </c>
    </row>
    <row r="7052" spans="1:20" customFormat="1" ht="15" x14ac:dyDescent="0.25">
      <c r="A7052" t="s">
        <v>35</v>
      </c>
      <c r="B7052" t="s">
        <v>61</v>
      </c>
      <c r="C7052" t="str">
        <f>"A0182337"</f>
        <v>A0182337</v>
      </c>
      <c r="D7052" t="s">
        <v>27158</v>
      </c>
      <c r="E7052" t="s">
        <v>27159</v>
      </c>
      <c r="F7052" t="s">
        <v>15601</v>
      </c>
      <c r="G7052" t="s">
        <v>1898</v>
      </c>
      <c r="H7052" t="s">
        <v>27160</v>
      </c>
      <c r="I7052" t="s">
        <v>30</v>
      </c>
      <c r="J7052" t="s">
        <v>41</v>
      </c>
      <c r="K7052" t="s">
        <v>59</v>
      </c>
      <c r="Q7052">
        <v>0</v>
      </c>
      <c r="R7052">
        <v>99</v>
      </c>
      <c r="S7052">
        <v>99</v>
      </c>
      <c r="T7052" t="s">
        <v>27161</v>
      </c>
    </row>
    <row r="7053" spans="1:20" customFormat="1" ht="15" x14ac:dyDescent="0.25">
      <c r="A7053" t="s">
        <v>35</v>
      </c>
      <c r="B7053" t="s">
        <v>9604</v>
      </c>
      <c r="C7053" t="str">
        <f>"A0182336"</f>
        <v>A0182336</v>
      </c>
      <c r="D7053" t="s">
        <v>9604</v>
      </c>
      <c r="E7053" t="s">
        <v>27057</v>
      </c>
      <c r="F7053" t="s">
        <v>9621</v>
      </c>
      <c r="G7053" t="s">
        <v>117</v>
      </c>
      <c r="H7053">
        <v>481181376</v>
      </c>
      <c r="I7053" t="s">
        <v>30</v>
      </c>
      <c r="J7053" t="s">
        <v>41</v>
      </c>
      <c r="K7053" t="s">
        <v>290</v>
      </c>
      <c r="Q7053">
        <v>0</v>
      </c>
      <c r="R7053">
        <v>0</v>
      </c>
      <c r="S7053">
        <v>0</v>
      </c>
      <c r="T7053" t="s">
        <v>27058</v>
      </c>
    </row>
    <row r="7054" spans="1:20" customFormat="1" ht="15" x14ac:dyDescent="0.25">
      <c r="A7054" t="s">
        <v>35</v>
      </c>
      <c r="B7054" t="s">
        <v>61</v>
      </c>
      <c r="C7054" t="str">
        <f>"A0182335"</f>
        <v>A0182335</v>
      </c>
      <c r="D7054" t="s">
        <v>27162</v>
      </c>
      <c r="E7054" t="s">
        <v>22503</v>
      </c>
      <c r="F7054" t="s">
        <v>15601</v>
      </c>
      <c r="G7054" t="s">
        <v>1898</v>
      </c>
      <c r="H7054" t="s">
        <v>22504</v>
      </c>
      <c r="I7054" t="s">
        <v>30</v>
      </c>
      <c r="J7054" t="s">
        <v>41</v>
      </c>
      <c r="K7054" t="s">
        <v>59</v>
      </c>
      <c r="Q7054">
        <v>0</v>
      </c>
      <c r="R7054">
        <v>66</v>
      </c>
      <c r="S7054">
        <v>66</v>
      </c>
      <c r="T7054" t="s">
        <v>22505</v>
      </c>
    </row>
    <row r="7055" spans="1:20" customFormat="1" ht="15" x14ac:dyDescent="0.25">
      <c r="A7055" t="s">
        <v>35</v>
      </c>
      <c r="B7055" t="s">
        <v>61</v>
      </c>
      <c r="C7055" t="str">
        <f>"A0182334"</f>
        <v>A0182334</v>
      </c>
      <c r="D7055" t="s">
        <v>27163</v>
      </c>
      <c r="E7055" t="s">
        <v>27164</v>
      </c>
      <c r="F7055" t="s">
        <v>7317</v>
      </c>
      <c r="G7055" t="s">
        <v>1898</v>
      </c>
      <c r="H7055" t="s">
        <v>27165</v>
      </c>
      <c r="I7055" t="s">
        <v>30</v>
      </c>
      <c r="J7055" t="s">
        <v>41</v>
      </c>
      <c r="K7055" t="s">
        <v>59</v>
      </c>
      <c r="Q7055">
        <v>0</v>
      </c>
      <c r="R7055">
        <v>0</v>
      </c>
      <c r="S7055">
        <v>0</v>
      </c>
      <c r="T7055" t="s">
        <v>27166</v>
      </c>
    </row>
    <row r="7056" spans="1:20" customFormat="1" ht="15" x14ac:dyDescent="0.25">
      <c r="A7056" t="s">
        <v>35</v>
      </c>
      <c r="B7056" t="s">
        <v>61</v>
      </c>
      <c r="C7056" t="str">
        <f>"A0182333"</f>
        <v>A0182333</v>
      </c>
      <c r="D7056" t="s">
        <v>27167</v>
      </c>
      <c r="E7056" t="s">
        <v>27168</v>
      </c>
      <c r="F7056" t="s">
        <v>12212</v>
      </c>
      <c r="G7056" t="s">
        <v>1898</v>
      </c>
      <c r="H7056" t="s">
        <v>27169</v>
      </c>
      <c r="I7056" t="s">
        <v>30</v>
      </c>
      <c r="J7056" t="s">
        <v>41</v>
      </c>
      <c r="K7056" t="s">
        <v>59</v>
      </c>
      <c r="Q7056">
        <v>0</v>
      </c>
      <c r="R7056">
        <v>222</v>
      </c>
      <c r="S7056">
        <v>222</v>
      </c>
      <c r="T7056" t="s">
        <v>27170</v>
      </c>
    </row>
    <row r="7057" spans="1:20" customFormat="1" ht="15" x14ac:dyDescent="0.25">
      <c r="A7057" t="s">
        <v>35</v>
      </c>
      <c r="B7057" t="s">
        <v>61</v>
      </c>
      <c r="C7057" t="str">
        <f>"A0182332"</f>
        <v>A0182332</v>
      </c>
      <c r="D7057" t="s">
        <v>27171</v>
      </c>
      <c r="E7057" t="s">
        <v>27172</v>
      </c>
      <c r="F7057" t="s">
        <v>7317</v>
      </c>
      <c r="G7057" t="s">
        <v>1898</v>
      </c>
      <c r="H7057" t="s">
        <v>27173</v>
      </c>
      <c r="I7057" t="s">
        <v>30</v>
      </c>
      <c r="J7057" t="s">
        <v>41</v>
      </c>
      <c r="K7057" t="s">
        <v>59</v>
      </c>
      <c r="Q7057">
        <v>0</v>
      </c>
      <c r="R7057">
        <v>246</v>
      </c>
      <c r="S7057">
        <v>246</v>
      </c>
      <c r="T7057" t="s">
        <v>27174</v>
      </c>
    </row>
    <row r="7058" spans="1:20" customFormat="1" ht="15" x14ac:dyDescent="0.25">
      <c r="A7058" t="s">
        <v>35</v>
      </c>
      <c r="B7058" t="s">
        <v>61</v>
      </c>
      <c r="C7058" t="str">
        <f>"A0182331"</f>
        <v>A0182331</v>
      </c>
      <c r="D7058" t="s">
        <v>27175</v>
      </c>
      <c r="E7058" t="s">
        <v>27176</v>
      </c>
      <c r="F7058" t="s">
        <v>16030</v>
      </c>
      <c r="G7058" t="s">
        <v>71</v>
      </c>
      <c r="H7058" t="s">
        <v>27177</v>
      </c>
      <c r="I7058" t="s">
        <v>30</v>
      </c>
      <c r="J7058" t="s">
        <v>41</v>
      </c>
      <c r="K7058" t="s">
        <v>59</v>
      </c>
      <c r="Q7058">
        <v>0</v>
      </c>
      <c r="R7058">
        <v>90</v>
      </c>
      <c r="S7058">
        <v>90</v>
      </c>
      <c r="T7058" t="s">
        <v>27178</v>
      </c>
    </row>
    <row r="7059" spans="1:20" customFormat="1" ht="15" x14ac:dyDescent="0.25">
      <c r="A7059" t="s">
        <v>35</v>
      </c>
      <c r="B7059" t="s">
        <v>61</v>
      </c>
      <c r="C7059" t="str">
        <f>"A0182330"</f>
        <v>A0182330</v>
      </c>
      <c r="D7059" t="s">
        <v>27179</v>
      </c>
      <c r="E7059" t="s">
        <v>27180</v>
      </c>
      <c r="F7059" t="s">
        <v>24948</v>
      </c>
      <c r="G7059" t="s">
        <v>161</v>
      </c>
      <c r="H7059" t="s">
        <v>27181</v>
      </c>
      <c r="I7059" t="s">
        <v>30</v>
      </c>
      <c r="J7059" t="s">
        <v>41</v>
      </c>
      <c r="K7059" t="s">
        <v>59</v>
      </c>
      <c r="Q7059">
        <v>0</v>
      </c>
      <c r="R7059">
        <v>0</v>
      </c>
      <c r="S7059">
        <v>0</v>
      </c>
    </row>
    <row r="7060" spans="1:20" customFormat="1" ht="15" x14ac:dyDescent="0.25">
      <c r="A7060" t="s">
        <v>35</v>
      </c>
      <c r="B7060" t="s">
        <v>61</v>
      </c>
      <c r="C7060" t="str">
        <f>"A0182329"</f>
        <v>A0182329</v>
      </c>
      <c r="D7060" t="s">
        <v>27182</v>
      </c>
      <c r="E7060" t="s">
        <v>27183</v>
      </c>
      <c r="F7060" t="s">
        <v>27184</v>
      </c>
      <c r="G7060" t="s">
        <v>161</v>
      </c>
      <c r="H7060" t="s">
        <v>27185</v>
      </c>
      <c r="I7060" t="s">
        <v>30</v>
      </c>
      <c r="J7060" t="s">
        <v>41</v>
      </c>
      <c r="K7060" t="s">
        <v>59</v>
      </c>
      <c r="Q7060">
        <v>0</v>
      </c>
      <c r="R7060">
        <v>0</v>
      </c>
      <c r="S7060">
        <v>0</v>
      </c>
    </row>
    <row r="7061" spans="1:20" customFormat="1" ht="15" x14ac:dyDescent="0.25">
      <c r="A7061" t="s">
        <v>35</v>
      </c>
      <c r="B7061" t="s">
        <v>61</v>
      </c>
      <c r="C7061" t="str">
        <f>"A0182328"</f>
        <v>A0182328</v>
      </c>
      <c r="D7061" t="s">
        <v>27186</v>
      </c>
      <c r="E7061" t="s">
        <v>27187</v>
      </c>
      <c r="F7061" t="s">
        <v>10170</v>
      </c>
      <c r="G7061" t="s">
        <v>161</v>
      </c>
      <c r="H7061" t="s">
        <v>27188</v>
      </c>
      <c r="I7061" t="s">
        <v>30</v>
      </c>
      <c r="J7061" t="s">
        <v>41</v>
      </c>
      <c r="K7061" t="s">
        <v>59</v>
      </c>
      <c r="Q7061">
        <v>0</v>
      </c>
      <c r="R7061">
        <v>0</v>
      </c>
      <c r="S7061">
        <v>0</v>
      </c>
    </row>
    <row r="7062" spans="1:20" customFormat="1" ht="15" x14ac:dyDescent="0.25">
      <c r="A7062" t="s">
        <v>35</v>
      </c>
      <c r="B7062" t="s">
        <v>61</v>
      </c>
      <c r="C7062" t="str">
        <f>"A0182327"</f>
        <v>A0182327</v>
      </c>
      <c r="D7062" t="s">
        <v>27189</v>
      </c>
      <c r="E7062" t="s">
        <v>27190</v>
      </c>
      <c r="F7062" t="s">
        <v>27191</v>
      </c>
      <c r="G7062" t="s">
        <v>161</v>
      </c>
      <c r="H7062" t="s">
        <v>27192</v>
      </c>
      <c r="I7062" t="s">
        <v>30</v>
      </c>
      <c r="J7062" t="s">
        <v>41</v>
      </c>
      <c r="K7062" t="s">
        <v>59</v>
      </c>
      <c r="Q7062">
        <v>0</v>
      </c>
      <c r="R7062">
        <v>91</v>
      </c>
      <c r="S7062">
        <v>91</v>
      </c>
      <c r="T7062" t="s">
        <v>27193</v>
      </c>
    </row>
    <row r="7063" spans="1:20" customFormat="1" ht="15" x14ac:dyDescent="0.25">
      <c r="A7063" t="s">
        <v>35</v>
      </c>
      <c r="B7063" t="s">
        <v>61</v>
      </c>
      <c r="C7063" t="str">
        <f>"A0182326"</f>
        <v>A0182326</v>
      </c>
      <c r="D7063" t="s">
        <v>27194</v>
      </c>
      <c r="E7063" t="s">
        <v>27195</v>
      </c>
      <c r="F7063" t="s">
        <v>5196</v>
      </c>
      <c r="G7063" t="s">
        <v>161</v>
      </c>
      <c r="H7063">
        <v>558072428</v>
      </c>
      <c r="I7063" t="s">
        <v>30</v>
      </c>
      <c r="J7063" t="s">
        <v>41</v>
      </c>
      <c r="K7063" t="s">
        <v>59</v>
      </c>
      <c r="Q7063">
        <v>0</v>
      </c>
      <c r="R7063">
        <v>0</v>
      </c>
      <c r="S7063">
        <v>0</v>
      </c>
    </row>
    <row r="7064" spans="1:20" customFormat="1" ht="15" x14ac:dyDescent="0.25">
      <c r="A7064" t="s">
        <v>35</v>
      </c>
      <c r="B7064" t="s">
        <v>61</v>
      </c>
      <c r="C7064" t="str">
        <f>"A0182325"</f>
        <v>A0182325</v>
      </c>
      <c r="D7064" t="s">
        <v>27196</v>
      </c>
      <c r="E7064" t="s">
        <v>27197</v>
      </c>
      <c r="F7064" t="s">
        <v>1953</v>
      </c>
      <c r="G7064" t="s">
        <v>1898</v>
      </c>
      <c r="H7064" t="s">
        <v>27198</v>
      </c>
      <c r="I7064" t="s">
        <v>30</v>
      </c>
      <c r="J7064" t="s">
        <v>41</v>
      </c>
      <c r="K7064" t="s">
        <v>59</v>
      </c>
      <c r="Q7064">
        <v>0</v>
      </c>
      <c r="R7064">
        <v>64</v>
      </c>
      <c r="S7064">
        <v>64</v>
      </c>
      <c r="T7064" t="s">
        <v>27199</v>
      </c>
    </row>
    <row r="7065" spans="1:20" customFormat="1" ht="15" x14ac:dyDescent="0.25">
      <c r="A7065" t="s">
        <v>35</v>
      </c>
      <c r="B7065" t="s">
        <v>61</v>
      </c>
      <c r="C7065" t="str">
        <f>"A0182324"</f>
        <v>A0182324</v>
      </c>
      <c r="D7065" t="s">
        <v>27200</v>
      </c>
      <c r="E7065" t="s">
        <v>27201</v>
      </c>
      <c r="F7065" t="s">
        <v>27202</v>
      </c>
      <c r="G7065" t="s">
        <v>161</v>
      </c>
      <c r="H7065" t="s">
        <v>27203</v>
      </c>
      <c r="I7065" t="s">
        <v>30</v>
      </c>
      <c r="J7065" t="s">
        <v>41</v>
      </c>
      <c r="K7065" t="s">
        <v>59</v>
      </c>
      <c r="Q7065">
        <v>0</v>
      </c>
      <c r="R7065">
        <v>0</v>
      </c>
      <c r="S7065">
        <v>0</v>
      </c>
    </row>
    <row r="7066" spans="1:20" customFormat="1" ht="15" x14ac:dyDescent="0.25">
      <c r="A7066" t="s">
        <v>35</v>
      </c>
      <c r="B7066" t="s">
        <v>61</v>
      </c>
      <c r="C7066" t="str">
        <f>"A0182323"</f>
        <v>A0182323</v>
      </c>
      <c r="D7066" t="s">
        <v>27204</v>
      </c>
      <c r="E7066" t="s">
        <v>27205</v>
      </c>
      <c r="F7066" t="s">
        <v>27206</v>
      </c>
      <c r="G7066" t="s">
        <v>161</v>
      </c>
      <c r="H7066" t="s">
        <v>27207</v>
      </c>
      <c r="I7066" t="s">
        <v>30</v>
      </c>
      <c r="J7066" t="s">
        <v>41</v>
      </c>
      <c r="K7066" t="s">
        <v>59</v>
      </c>
      <c r="Q7066">
        <v>0</v>
      </c>
      <c r="R7066">
        <v>0</v>
      </c>
      <c r="S7066">
        <v>0</v>
      </c>
    </row>
    <row r="7067" spans="1:20" customFormat="1" ht="15" x14ac:dyDescent="0.25">
      <c r="A7067" t="s">
        <v>35</v>
      </c>
      <c r="B7067" t="s">
        <v>8663</v>
      </c>
      <c r="C7067" t="str">
        <f>"A0182322"</f>
        <v>A0182322</v>
      </c>
      <c r="D7067" t="s">
        <v>27208</v>
      </c>
      <c r="E7067" t="s">
        <v>27209</v>
      </c>
      <c r="F7067" t="s">
        <v>1977</v>
      </c>
      <c r="G7067" t="s">
        <v>161</v>
      </c>
      <c r="H7067">
        <v>55109</v>
      </c>
      <c r="I7067" t="s">
        <v>30</v>
      </c>
      <c r="J7067" t="s">
        <v>41</v>
      </c>
      <c r="K7067" t="s">
        <v>59</v>
      </c>
      <c r="Q7067">
        <v>0</v>
      </c>
      <c r="R7067">
        <v>0</v>
      </c>
      <c r="S7067">
        <v>0</v>
      </c>
    </row>
    <row r="7068" spans="1:20" customFormat="1" ht="15" x14ac:dyDescent="0.25">
      <c r="A7068" t="s">
        <v>35</v>
      </c>
      <c r="B7068" t="s">
        <v>61</v>
      </c>
      <c r="C7068" t="str">
        <f>"A0182321"</f>
        <v>A0182321</v>
      </c>
      <c r="D7068" t="s">
        <v>27210</v>
      </c>
      <c r="E7068" t="s">
        <v>27211</v>
      </c>
      <c r="F7068" t="s">
        <v>21579</v>
      </c>
      <c r="G7068" t="s">
        <v>161</v>
      </c>
      <c r="H7068" t="s">
        <v>27212</v>
      </c>
      <c r="I7068" t="s">
        <v>30</v>
      </c>
      <c r="J7068" t="s">
        <v>41</v>
      </c>
      <c r="K7068" t="s">
        <v>59</v>
      </c>
      <c r="Q7068">
        <v>0</v>
      </c>
      <c r="R7068">
        <v>0</v>
      </c>
      <c r="S7068">
        <v>0</v>
      </c>
    </row>
    <row r="7069" spans="1:20" customFormat="1" ht="15" x14ac:dyDescent="0.25">
      <c r="A7069" t="s">
        <v>35</v>
      </c>
      <c r="B7069" t="s">
        <v>21240</v>
      </c>
      <c r="C7069" t="str">
        <f>"A0182320"</f>
        <v>A0182320</v>
      </c>
      <c r="D7069" t="s">
        <v>21241</v>
      </c>
      <c r="E7069" t="s">
        <v>27213</v>
      </c>
      <c r="F7069" t="s">
        <v>3319</v>
      </c>
      <c r="G7069" t="s">
        <v>117</v>
      </c>
      <c r="H7069" t="s">
        <v>27214</v>
      </c>
      <c r="I7069" t="s">
        <v>30</v>
      </c>
      <c r="J7069" t="s">
        <v>41</v>
      </c>
      <c r="K7069" t="s">
        <v>59</v>
      </c>
      <c r="Q7069">
        <v>0</v>
      </c>
      <c r="R7069">
        <v>0</v>
      </c>
      <c r="S7069">
        <v>0</v>
      </c>
      <c r="T7069" t="s">
        <v>27215</v>
      </c>
    </row>
    <row r="7070" spans="1:20" customFormat="1" ht="15" x14ac:dyDescent="0.25">
      <c r="A7070" t="s">
        <v>35</v>
      </c>
      <c r="B7070" t="s">
        <v>61</v>
      </c>
      <c r="C7070" t="str">
        <f>"A0182319"</f>
        <v>A0182319</v>
      </c>
      <c r="D7070" t="s">
        <v>27216</v>
      </c>
      <c r="E7070" t="s">
        <v>27217</v>
      </c>
      <c r="F7070" t="s">
        <v>27218</v>
      </c>
      <c r="G7070" t="s">
        <v>161</v>
      </c>
      <c r="H7070" t="s">
        <v>27219</v>
      </c>
      <c r="I7070" t="s">
        <v>30</v>
      </c>
      <c r="J7070" t="s">
        <v>41</v>
      </c>
      <c r="K7070" t="s">
        <v>59</v>
      </c>
      <c r="Q7070">
        <v>0</v>
      </c>
      <c r="R7070">
        <v>102</v>
      </c>
      <c r="S7070">
        <v>102</v>
      </c>
      <c r="T7070" t="s">
        <v>27220</v>
      </c>
    </row>
    <row r="7071" spans="1:20" customFormat="1" ht="15" x14ac:dyDescent="0.25">
      <c r="A7071" t="s">
        <v>35</v>
      </c>
      <c r="B7071" t="s">
        <v>61</v>
      </c>
      <c r="C7071" t="str">
        <f>"A0182318"</f>
        <v>A0182318</v>
      </c>
      <c r="D7071" t="s">
        <v>27221</v>
      </c>
      <c r="E7071" t="s">
        <v>27222</v>
      </c>
      <c r="F7071" t="s">
        <v>27223</v>
      </c>
      <c r="G7071" t="s">
        <v>161</v>
      </c>
      <c r="H7071" t="s">
        <v>27224</v>
      </c>
      <c r="I7071" t="s">
        <v>30</v>
      </c>
      <c r="J7071" t="s">
        <v>41</v>
      </c>
      <c r="K7071" t="s">
        <v>59</v>
      </c>
      <c r="Q7071">
        <v>0</v>
      </c>
      <c r="R7071">
        <v>146</v>
      </c>
      <c r="S7071">
        <v>146</v>
      </c>
      <c r="T7071" t="s">
        <v>27225</v>
      </c>
    </row>
    <row r="7072" spans="1:20" customFormat="1" ht="15" x14ac:dyDescent="0.25">
      <c r="A7072" t="s">
        <v>35</v>
      </c>
      <c r="B7072" t="s">
        <v>61</v>
      </c>
      <c r="C7072" t="str">
        <f>"A0182317"</f>
        <v>A0182317</v>
      </c>
      <c r="D7072" t="s">
        <v>27226</v>
      </c>
      <c r="E7072" t="s">
        <v>27227</v>
      </c>
      <c r="F7072" t="s">
        <v>20801</v>
      </c>
      <c r="G7072" t="s">
        <v>161</v>
      </c>
      <c r="H7072" t="s">
        <v>27228</v>
      </c>
      <c r="I7072" t="s">
        <v>30</v>
      </c>
      <c r="J7072" t="s">
        <v>41</v>
      </c>
      <c r="K7072" t="s">
        <v>59</v>
      </c>
      <c r="Q7072">
        <v>0</v>
      </c>
      <c r="R7072">
        <v>0</v>
      </c>
      <c r="S7072">
        <v>0</v>
      </c>
    </row>
    <row r="7073" spans="1:20" customFormat="1" ht="15" x14ac:dyDescent="0.25">
      <c r="A7073" t="s">
        <v>35</v>
      </c>
      <c r="B7073" t="s">
        <v>61</v>
      </c>
      <c r="C7073" t="str">
        <f>"A0182316"</f>
        <v>A0182316</v>
      </c>
      <c r="D7073" t="s">
        <v>27229</v>
      </c>
      <c r="E7073" t="s">
        <v>27230</v>
      </c>
      <c r="F7073" t="s">
        <v>27231</v>
      </c>
      <c r="G7073" t="s">
        <v>161</v>
      </c>
      <c r="H7073" t="s">
        <v>27232</v>
      </c>
      <c r="I7073" t="s">
        <v>30</v>
      </c>
      <c r="J7073" t="s">
        <v>41</v>
      </c>
      <c r="K7073" t="s">
        <v>59</v>
      </c>
      <c r="Q7073">
        <v>0</v>
      </c>
      <c r="R7073">
        <v>109</v>
      </c>
      <c r="S7073">
        <v>109</v>
      </c>
      <c r="T7073" t="s">
        <v>27233</v>
      </c>
    </row>
    <row r="7074" spans="1:20" customFormat="1" ht="15" x14ac:dyDescent="0.25">
      <c r="A7074" t="s">
        <v>35</v>
      </c>
      <c r="B7074" t="s">
        <v>61</v>
      </c>
      <c r="C7074" t="str">
        <f>"A0182315"</f>
        <v>A0182315</v>
      </c>
      <c r="D7074" t="s">
        <v>27234</v>
      </c>
      <c r="E7074" t="s">
        <v>27235</v>
      </c>
      <c r="F7074" t="s">
        <v>1953</v>
      </c>
      <c r="G7074" t="s">
        <v>1898</v>
      </c>
      <c r="H7074" t="s">
        <v>27236</v>
      </c>
      <c r="I7074" t="s">
        <v>30</v>
      </c>
      <c r="J7074" t="s">
        <v>41</v>
      </c>
      <c r="K7074" t="s">
        <v>59</v>
      </c>
      <c r="Q7074">
        <v>0</v>
      </c>
      <c r="R7074">
        <v>0</v>
      </c>
      <c r="S7074">
        <v>0</v>
      </c>
      <c r="T7074" t="s">
        <v>27237</v>
      </c>
    </row>
    <row r="7075" spans="1:20" customFormat="1" ht="15" x14ac:dyDescent="0.25">
      <c r="A7075" t="s">
        <v>35</v>
      </c>
      <c r="B7075" t="s">
        <v>61</v>
      </c>
      <c r="C7075" t="str">
        <f>"A0182314"</f>
        <v>A0182314</v>
      </c>
      <c r="D7075" t="s">
        <v>27238</v>
      </c>
      <c r="E7075" t="s">
        <v>27239</v>
      </c>
      <c r="F7075" t="s">
        <v>19689</v>
      </c>
      <c r="G7075" t="s">
        <v>161</v>
      </c>
      <c r="H7075" t="s">
        <v>27240</v>
      </c>
      <c r="I7075" t="s">
        <v>30</v>
      </c>
      <c r="J7075" t="s">
        <v>41</v>
      </c>
      <c r="K7075" t="s">
        <v>59</v>
      </c>
      <c r="Q7075">
        <v>0</v>
      </c>
      <c r="R7075">
        <v>0</v>
      </c>
      <c r="S7075">
        <v>0</v>
      </c>
      <c r="T7075" t="s">
        <v>27241</v>
      </c>
    </row>
    <row r="7076" spans="1:20" customFormat="1" ht="15" x14ac:dyDescent="0.25">
      <c r="A7076" t="s">
        <v>35</v>
      </c>
      <c r="B7076" t="s">
        <v>61</v>
      </c>
      <c r="C7076" t="str">
        <f>"A0182313"</f>
        <v>A0182313</v>
      </c>
      <c r="D7076" t="s">
        <v>27242</v>
      </c>
      <c r="E7076" t="s">
        <v>27243</v>
      </c>
      <c r="F7076" t="s">
        <v>5196</v>
      </c>
      <c r="G7076" t="s">
        <v>161</v>
      </c>
      <c r="H7076" t="s">
        <v>27244</v>
      </c>
      <c r="I7076" t="s">
        <v>30</v>
      </c>
      <c r="J7076" t="s">
        <v>41</v>
      </c>
      <c r="K7076" t="s">
        <v>59</v>
      </c>
      <c r="Q7076">
        <v>0</v>
      </c>
      <c r="R7076">
        <v>0</v>
      </c>
      <c r="S7076">
        <v>0</v>
      </c>
    </row>
    <row r="7077" spans="1:20" customFormat="1" ht="15" x14ac:dyDescent="0.25">
      <c r="A7077" t="s">
        <v>35</v>
      </c>
      <c r="B7077" t="s">
        <v>61</v>
      </c>
      <c r="C7077" t="str">
        <f>"A0182312"</f>
        <v>A0182312</v>
      </c>
      <c r="D7077" t="s">
        <v>27245</v>
      </c>
      <c r="E7077" t="s">
        <v>27246</v>
      </c>
      <c r="F7077" t="s">
        <v>27247</v>
      </c>
      <c r="G7077" t="s">
        <v>161</v>
      </c>
      <c r="H7077">
        <v>55129</v>
      </c>
      <c r="I7077" t="s">
        <v>30</v>
      </c>
      <c r="J7077" t="s">
        <v>41</v>
      </c>
      <c r="K7077" t="s">
        <v>59</v>
      </c>
      <c r="Q7077">
        <v>0</v>
      </c>
      <c r="R7077">
        <v>0</v>
      </c>
      <c r="S7077">
        <v>0</v>
      </c>
    </row>
    <row r="7078" spans="1:20" customFormat="1" ht="15" x14ac:dyDescent="0.25">
      <c r="A7078" t="s">
        <v>35</v>
      </c>
      <c r="B7078" t="s">
        <v>61</v>
      </c>
      <c r="C7078" t="str">
        <f>"A0182311"</f>
        <v>A0182311</v>
      </c>
      <c r="D7078" t="s">
        <v>27248</v>
      </c>
      <c r="E7078" t="s">
        <v>27249</v>
      </c>
      <c r="F7078" t="s">
        <v>27250</v>
      </c>
      <c r="G7078" t="s">
        <v>161</v>
      </c>
      <c r="H7078" t="s">
        <v>27251</v>
      </c>
      <c r="I7078" t="s">
        <v>30</v>
      </c>
      <c r="J7078" t="s">
        <v>41</v>
      </c>
      <c r="K7078" t="s">
        <v>59</v>
      </c>
      <c r="Q7078">
        <v>0</v>
      </c>
      <c r="R7078">
        <v>0</v>
      </c>
      <c r="S7078">
        <v>0</v>
      </c>
    </row>
    <row r="7079" spans="1:20" customFormat="1" ht="15" x14ac:dyDescent="0.25">
      <c r="A7079" t="s">
        <v>35</v>
      </c>
      <c r="B7079" t="s">
        <v>61</v>
      </c>
      <c r="C7079" t="str">
        <f>"A0182310"</f>
        <v>A0182310</v>
      </c>
      <c r="D7079" t="s">
        <v>27252</v>
      </c>
      <c r="E7079" t="s">
        <v>27253</v>
      </c>
      <c r="F7079" t="s">
        <v>19821</v>
      </c>
      <c r="G7079" t="s">
        <v>161</v>
      </c>
      <c r="H7079" t="s">
        <v>27254</v>
      </c>
      <c r="I7079" t="s">
        <v>30</v>
      </c>
      <c r="J7079" t="s">
        <v>41</v>
      </c>
      <c r="K7079" t="s">
        <v>59</v>
      </c>
      <c r="Q7079">
        <v>0</v>
      </c>
      <c r="R7079">
        <v>0</v>
      </c>
      <c r="S7079">
        <v>0</v>
      </c>
      <c r="T7079" t="s">
        <v>27255</v>
      </c>
    </row>
    <row r="7080" spans="1:20" customFormat="1" ht="15" x14ac:dyDescent="0.25">
      <c r="A7080" t="s">
        <v>35</v>
      </c>
      <c r="B7080" t="s">
        <v>9604</v>
      </c>
      <c r="C7080" t="str">
        <f>"A0182309"</f>
        <v>A0182309</v>
      </c>
      <c r="D7080" t="s">
        <v>27256</v>
      </c>
      <c r="E7080" t="s">
        <v>27257</v>
      </c>
      <c r="F7080" t="s">
        <v>17360</v>
      </c>
      <c r="G7080" t="s">
        <v>117</v>
      </c>
      <c r="H7080">
        <v>481308700</v>
      </c>
      <c r="I7080" t="s">
        <v>30</v>
      </c>
      <c r="J7080" t="s">
        <v>41</v>
      </c>
      <c r="K7080" t="s">
        <v>59</v>
      </c>
      <c r="Q7080">
        <v>0</v>
      </c>
      <c r="R7080">
        <v>0</v>
      </c>
      <c r="S7080">
        <v>60</v>
      </c>
      <c r="T7080" t="s">
        <v>27258</v>
      </c>
    </row>
    <row r="7081" spans="1:20" customFormat="1" ht="15" x14ac:dyDescent="0.25">
      <c r="A7081" t="s">
        <v>35</v>
      </c>
      <c r="B7081" t="s">
        <v>61</v>
      </c>
      <c r="C7081" t="str">
        <f>"A0182308"</f>
        <v>A0182308</v>
      </c>
      <c r="D7081" t="s">
        <v>27259</v>
      </c>
      <c r="E7081" t="s">
        <v>27260</v>
      </c>
      <c r="F7081" t="s">
        <v>27261</v>
      </c>
      <c r="G7081" t="s">
        <v>433</v>
      </c>
      <c r="H7081">
        <v>83864</v>
      </c>
      <c r="I7081" t="s">
        <v>30</v>
      </c>
      <c r="J7081" t="s">
        <v>41</v>
      </c>
      <c r="K7081" t="s">
        <v>59</v>
      </c>
      <c r="Q7081">
        <v>0</v>
      </c>
      <c r="R7081">
        <v>0</v>
      </c>
      <c r="S7081">
        <v>0</v>
      </c>
    </row>
    <row r="7082" spans="1:20" customFormat="1" ht="15" x14ac:dyDescent="0.25">
      <c r="A7082" t="s">
        <v>35</v>
      </c>
      <c r="B7082" t="s">
        <v>61</v>
      </c>
      <c r="C7082" t="str">
        <f>"A0182307"</f>
        <v>A0182307</v>
      </c>
      <c r="D7082" t="s">
        <v>27262</v>
      </c>
      <c r="E7082" t="s">
        <v>27263</v>
      </c>
      <c r="F7082" t="s">
        <v>27264</v>
      </c>
      <c r="G7082" t="s">
        <v>1898</v>
      </c>
      <c r="H7082" t="s">
        <v>27265</v>
      </c>
      <c r="I7082" t="s">
        <v>30</v>
      </c>
      <c r="J7082" t="s">
        <v>41</v>
      </c>
      <c r="K7082" t="s">
        <v>59</v>
      </c>
      <c r="Q7082">
        <v>0</v>
      </c>
      <c r="R7082">
        <v>116</v>
      </c>
      <c r="S7082">
        <v>116</v>
      </c>
      <c r="T7082" t="s">
        <v>27266</v>
      </c>
    </row>
    <row r="7083" spans="1:20" customFormat="1" ht="15" x14ac:dyDescent="0.25">
      <c r="A7083" t="s">
        <v>35</v>
      </c>
      <c r="B7083" t="s">
        <v>61</v>
      </c>
      <c r="C7083" t="str">
        <f>"A0182305"</f>
        <v>A0182305</v>
      </c>
      <c r="D7083" t="s">
        <v>27267</v>
      </c>
      <c r="E7083" t="s">
        <v>27268</v>
      </c>
      <c r="F7083" t="s">
        <v>22501</v>
      </c>
      <c r="G7083" t="s">
        <v>1898</v>
      </c>
      <c r="H7083" t="s">
        <v>27269</v>
      </c>
      <c r="I7083" t="s">
        <v>30</v>
      </c>
      <c r="J7083" t="s">
        <v>41</v>
      </c>
      <c r="K7083" t="s">
        <v>59</v>
      </c>
      <c r="Q7083">
        <v>0</v>
      </c>
      <c r="R7083">
        <v>33</v>
      </c>
      <c r="S7083">
        <v>33</v>
      </c>
      <c r="T7083" t="s">
        <v>26981</v>
      </c>
    </row>
    <row r="7084" spans="1:20" customFormat="1" ht="15" x14ac:dyDescent="0.25">
      <c r="A7084" t="s">
        <v>35</v>
      </c>
      <c r="B7084" t="s">
        <v>61</v>
      </c>
      <c r="C7084" t="str">
        <f>"A0182304"</f>
        <v>A0182304</v>
      </c>
      <c r="D7084" t="s">
        <v>27270</v>
      </c>
      <c r="E7084" t="s">
        <v>27271</v>
      </c>
      <c r="F7084" t="s">
        <v>15601</v>
      </c>
      <c r="G7084" t="s">
        <v>1898</v>
      </c>
      <c r="H7084">
        <v>51301</v>
      </c>
      <c r="I7084" t="s">
        <v>30</v>
      </c>
      <c r="J7084" t="s">
        <v>41</v>
      </c>
      <c r="K7084" t="s">
        <v>59</v>
      </c>
      <c r="Q7084">
        <v>0</v>
      </c>
      <c r="R7084">
        <v>25</v>
      </c>
      <c r="S7084">
        <v>25</v>
      </c>
      <c r="T7084" t="s">
        <v>27161</v>
      </c>
    </row>
    <row r="7085" spans="1:20" customFormat="1" ht="15" x14ac:dyDescent="0.25">
      <c r="A7085" t="s">
        <v>35</v>
      </c>
      <c r="B7085" t="s">
        <v>61</v>
      </c>
      <c r="C7085" t="str">
        <f>"A0182303"</f>
        <v>A0182303</v>
      </c>
      <c r="D7085" t="s">
        <v>27272</v>
      </c>
      <c r="E7085" t="s">
        <v>27273</v>
      </c>
      <c r="F7085" t="s">
        <v>27274</v>
      </c>
      <c r="G7085" t="s">
        <v>117</v>
      </c>
      <c r="H7085">
        <v>49740</v>
      </c>
      <c r="I7085" t="s">
        <v>30</v>
      </c>
      <c r="J7085" t="s">
        <v>41</v>
      </c>
      <c r="K7085" t="s">
        <v>59</v>
      </c>
      <c r="Q7085">
        <v>0</v>
      </c>
      <c r="R7085">
        <v>0</v>
      </c>
      <c r="S7085">
        <v>0</v>
      </c>
      <c r="T7085" t="s">
        <v>17390</v>
      </c>
    </row>
    <row r="7086" spans="1:20" customFormat="1" ht="15" x14ac:dyDescent="0.25">
      <c r="A7086" t="s">
        <v>35</v>
      </c>
      <c r="B7086" t="s">
        <v>21240</v>
      </c>
      <c r="C7086" t="str">
        <f>"A0182302"</f>
        <v>A0182302</v>
      </c>
      <c r="D7086" t="s">
        <v>27275</v>
      </c>
      <c r="E7086" t="s">
        <v>27276</v>
      </c>
      <c r="F7086" t="s">
        <v>451</v>
      </c>
      <c r="G7086" t="s">
        <v>117</v>
      </c>
      <c r="H7086" t="s">
        <v>27277</v>
      </c>
      <c r="I7086" t="s">
        <v>30</v>
      </c>
      <c r="J7086" t="s">
        <v>41</v>
      </c>
      <c r="K7086" t="s">
        <v>59</v>
      </c>
      <c r="Q7086">
        <v>0</v>
      </c>
      <c r="R7086">
        <v>0</v>
      </c>
      <c r="S7086">
        <v>0</v>
      </c>
      <c r="T7086" t="s">
        <v>27278</v>
      </c>
    </row>
    <row r="7087" spans="1:20" customFormat="1" ht="15" x14ac:dyDescent="0.25">
      <c r="A7087" t="s">
        <v>35</v>
      </c>
      <c r="B7087" t="s">
        <v>61</v>
      </c>
      <c r="C7087" t="str">
        <f>"A0182301"</f>
        <v>A0182301</v>
      </c>
      <c r="D7087" t="s">
        <v>27279</v>
      </c>
      <c r="E7087" t="s">
        <v>27280</v>
      </c>
      <c r="F7087" t="s">
        <v>27281</v>
      </c>
      <c r="G7087" t="s">
        <v>161</v>
      </c>
      <c r="H7087">
        <v>550511110</v>
      </c>
      <c r="I7087" t="s">
        <v>30</v>
      </c>
      <c r="J7087" t="s">
        <v>41</v>
      </c>
      <c r="K7087" t="s">
        <v>59</v>
      </c>
      <c r="Q7087">
        <v>0</v>
      </c>
      <c r="R7087">
        <v>0</v>
      </c>
      <c r="S7087">
        <v>0</v>
      </c>
      <c r="T7087" t="s">
        <v>27282</v>
      </c>
    </row>
    <row r="7088" spans="1:20" customFormat="1" ht="15" x14ac:dyDescent="0.25">
      <c r="A7088" t="s">
        <v>35</v>
      </c>
      <c r="B7088" t="s">
        <v>61</v>
      </c>
      <c r="C7088" t="str">
        <f>"A0182300"</f>
        <v>A0182300</v>
      </c>
      <c r="D7088" t="s">
        <v>27283</v>
      </c>
      <c r="E7088" t="s">
        <v>27284</v>
      </c>
      <c r="F7088" t="s">
        <v>20801</v>
      </c>
      <c r="G7088" t="s">
        <v>161</v>
      </c>
      <c r="H7088" t="s">
        <v>27285</v>
      </c>
      <c r="I7088" t="s">
        <v>30</v>
      </c>
      <c r="J7088" t="s">
        <v>41</v>
      </c>
      <c r="K7088" t="s">
        <v>59</v>
      </c>
      <c r="Q7088">
        <v>0</v>
      </c>
      <c r="R7088">
        <v>0</v>
      </c>
      <c r="S7088">
        <v>0</v>
      </c>
    </row>
    <row r="7089" spans="1:20" customFormat="1" ht="15" x14ac:dyDescent="0.25">
      <c r="A7089" t="s">
        <v>35</v>
      </c>
      <c r="B7089" t="s">
        <v>61</v>
      </c>
      <c r="C7089" t="str">
        <f>"A0182299"</f>
        <v>A0182299</v>
      </c>
      <c r="D7089" t="s">
        <v>27286</v>
      </c>
      <c r="E7089" t="s">
        <v>27287</v>
      </c>
      <c r="F7089" t="s">
        <v>27288</v>
      </c>
      <c r="G7089" t="s">
        <v>214</v>
      </c>
      <c r="H7089" t="s">
        <v>27289</v>
      </c>
      <c r="I7089" t="s">
        <v>30</v>
      </c>
      <c r="J7089" t="s">
        <v>41</v>
      </c>
      <c r="K7089" t="s">
        <v>59</v>
      </c>
      <c r="Q7089">
        <v>0</v>
      </c>
      <c r="R7089">
        <v>118</v>
      </c>
      <c r="S7089">
        <v>118</v>
      </c>
      <c r="T7089" t="s">
        <v>27290</v>
      </c>
    </row>
    <row r="7090" spans="1:20" customFormat="1" ht="15" x14ac:dyDescent="0.25">
      <c r="A7090" t="s">
        <v>35</v>
      </c>
      <c r="B7090" t="s">
        <v>11871</v>
      </c>
      <c r="C7090" t="str">
        <f>"A0182298"</f>
        <v>A0182298</v>
      </c>
      <c r="D7090" t="s">
        <v>27291</v>
      </c>
      <c r="E7090" t="s">
        <v>27292</v>
      </c>
      <c r="F7090" t="s">
        <v>26644</v>
      </c>
      <c r="G7090" t="s">
        <v>214</v>
      </c>
      <c r="H7090" t="s">
        <v>27293</v>
      </c>
      <c r="I7090" t="s">
        <v>30</v>
      </c>
      <c r="J7090" t="s">
        <v>41</v>
      </c>
      <c r="K7090" t="s">
        <v>59</v>
      </c>
      <c r="Q7090">
        <v>0</v>
      </c>
      <c r="R7090">
        <v>72</v>
      </c>
      <c r="S7090">
        <v>72</v>
      </c>
      <c r="T7090" t="s">
        <v>27294</v>
      </c>
    </row>
    <row r="7091" spans="1:20" customFormat="1" ht="15" x14ac:dyDescent="0.25">
      <c r="A7091" t="s">
        <v>35</v>
      </c>
      <c r="B7091" t="s">
        <v>61</v>
      </c>
      <c r="C7091" t="str">
        <f>"A0182297"</f>
        <v>A0182297</v>
      </c>
      <c r="D7091" t="s">
        <v>27295</v>
      </c>
      <c r="E7091" t="s">
        <v>27296</v>
      </c>
      <c r="F7091" t="s">
        <v>8846</v>
      </c>
      <c r="G7091" t="s">
        <v>117</v>
      </c>
      <c r="H7091" t="s">
        <v>27297</v>
      </c>
      <c r="I7091" t="s">
        <v>30</v>
      </c>
      <c r="J7091" t="s">
        <v>41</v>
      </c>
      <c r="K7091" t="s">
        <v>59</v>
      </c>
      <c r="Q7091">
        <v>0</v>
      </c>
      <c r="R7091">
        <v>0</v>
      </c>
      <c r="S7091">
        <v>0</v>
      </c>
      <c r="T7091" t="s">
        <v>27298</v>
      </c>
    </row>
    <row r="7092" spans="1:20" customFormat="1" ht="15" x14ac:dyDescent="0.25">
      <c r="A7092" t="s">
        <v>35</v>
      </c>
      <c r="B7092" t="s">
        <v>61</v>
      </c>
      <c r="C7092" t="str">
        <f>"A0182296"</f>
        <v>A0182296</v>
      </c>
      <c r="D7092" t="s">
        <v>27299</v>
      </c>
      <c r="E7092" t="s">
        <v>27300</v>
      </c>
      <c r="F7092" t="s">
        <v>27301</v>
      </c>
      <c r="G7092" t="s">
        <v>117</v>
      </c>
      <c r="H7092" t="s">
        <v>27302</v>
      </c>
      <c r="I7092" t="s">
        <v>30</v>
      </c>
      <c r="J7092" t="s">
        <v>41</v>
      </c>
      <c r="K7092" t="s">
        <v>59</v>
      </c>
      <c r="Q7092">
        <v>0</v>
      </c>
      <c r="R7092">
        <v>0</v>
      </c>
      <c r="S7092">
        <v>0</v>
      </c>
      <c r="T7092" t="s">
        <v>27303</v>
      </c>
    </row>
    <row r="7093" spans="1:20" customFormat="1" ht="15" x14ac:dyDescent="0.25">
      <c r="A7093" t="s">
        <v>35</v>
      </c>
      <c r="B7093" t="s">
        <v>61</v>
      </c>
      <c r="C7093" t="str">
        <f>"A0182295"</f>
        <v>A0182295</v>
      </c>
      <c r="D7093" t="s">
        <v>27304</v>
      </c>
      <c r="E7093" t="s">
        <v>27305</v>
      </c>
      <c r="F7093" t="s">
        <v>9607</v>
      </c>
      <c r="G7093" t="s">
        <v>117</v>
      </c>
      <c r="H7093" t="s">
        <v>27306</v>
      </c>
      <c r="I7093" t="s">
        <v>30</v>
      </c>
      <c r="J7093" t="s">
        <v>41</v>
      </c>
      <c r="K7093" t="s">
        <v>59</v>
      </c>
      <c r="Q7093">
        <v>0</v>
      </c>
      <c r="R7093">
        <v>0</v>
      </c>
      <c r="S7093">
        <v>0</v>
      </c>
    </row>
    <row r="7094" spans="1:20" customFormat="1" ht="15" x14ac:dyDescent="0.25">
      <c r="A7094" t="s">
        <v>35</v>
      </c>
      <c r="B7094" t="s">
        <v>61</v>
      </c>
      <c r="C7094" t="str">
        <f>"A0182294"</f>
        <v>A0182294</v>
      </c>
      <c r="D7094" t="s">
        <v>27307</v>
      </c>
      <c r="E7094" t="s">
        <v>27308</v>
      </c>
      <c r="F7094" t="s">
        <v>22160</v>
      </c>
      <c r="G7094" t="s">
        <v>1898</v>
      </c>
      <c r="H7094" t="s">
        <v>27309</v>
      </c>
      <c r="I7094" t="s">
        <v>30</v>
      </c>
      <c r="J7094" t="s">
        <v>41</v>
      </c>
      <c r="K7094" t="s">
        <v>59</v>
      </c>
      <c r="Q7094">
        <v>0</v>
      </c>
      <c r="R7094">
        <v>211</v>
      </c>
      <c r="S7094">
        <v>211</v>
      </c>
      <c r="T7094" t="s">
        <v>27310</v>
      </c>
    </row>
    <row r="7095" spans="1:20" customFormat="1" ht="15" x14ac:dyDescent="0.25">
      <c r="A7095" t="s">
        <v>35</v>
      </c>
      <c r="B7095" t="s">
        <v>61</v>
      </c>
      <c r="C7095" t="str">
        <f>"A0182293"</f>
        <v>A0182293</v>
      </c>
      <c r="D7095" t="s">
        <v>27311</v>
      </c>
      <c r="E7095" t="s">
        <v>27312</v>
      </c>
      <c r="F7095" t="s">
        <v>11035</v>
      </c>
      <c r="G7095" t="s">
        <v>71</v>
      </c>
      <c r="H7095" t="s">
        <v>27313</v>
      </c>
      <c r="I7095" t="s">
        <v>30</v>
      </c>
      <c r="J7095" t="s">
        <v>41</v>
      </c>
      <c r="K7095" t="s">
        <v>59</v>
      </c>
      <c r="Q7095">
        <v>0</v>
      </c>
      <c r="R7095">
        <v>30</v>
      </c>
      <c r="S7095">
        <v>30</v>
      </c>
      <c r="T7095" t="s">
        <v>27314</v>
      </c>
    </row>
    <row r="7096" spans="1:20" customFormat="1" ht="15" x14ac:dyDescent="0.25">
      <c r="A7096" t="s">
        <v>35</v>
      </c>
      <c r="B7096" t="s">
        <v>61</v>
      </c>
      <c r="C7096" t="str">
        <f>"A0182292"</f>
        <v>A0182292</v>
      </c>
      <c r="D7096" t="s">
        <v>27315</v>
      </c>
      <c r="E7096" t="s">
        <v>27316</v>
      </c>
      <c r="F7096" t="s">
        <v>27317</v>
      </c>
      <c r="G7096" t="s">
        <v>161</v>
      </c>
      <c r="H7096">
        <v>55308</v>
      </c>
      <c r="I7096" t="s">
        <v>30</v>
      </c>
      <c r="J7096" t="s">
        <v>41</v>
      </c>
      <c r="K7096" t="s">
        <v>59</v>
      </c>
      <c r="Q7096">
        <v>0</v>
      </c>
      <c r="R7096">
        <v>0</v>
      </c>
      <c r="S7096">
        <v>0</v>
      </c>
    </row>
    <row r="7097" spans="1:20" customFormat="1" ht="15" x14ac:dyDescent="0.25">
      <c r="A7097" t="s">
        <v>35</v>
      </c>
      <c r="B7097" t="s">
        <v>61</v>
      </c>
      <c r="C7097" t="str">
        <f>"A0182291"</f>
        <v>A0182291</v>
      </c>
      <c r="D7097" t="s">
        <v>27318</v>
      </c>
      <c r="E7097" t="s">
        <v>27319</v>
      </c>
      <c r="F7097" t="s">
        <v>20926</v>
      </c>
      <c r="G7097" t="s">
        <v>161</v>
      </c>
      <c r="H7097" t="s">
        <v>27320</v>
      </c>
      <c r="I7097" t="s">
        <v>30</v>
      </c>
      <c r="J7097" t="s">
        <v>41</v>
      </c>
      <c r="K7097" t="s">
        <v>59</v>
      </c>
      <c r="Q7097">
        <v>0</v>
      </c>
      <c r="R7097">
        <v>0</v>
      </c>
      <c r="S7097">
        <v>0</v>
      </c>
      <c r="T7097" t="s">
        <v>27321</v>
      </c>
    </row>
    <row r="7098" spans="1:20" customFormat="1" ht="15" x14ac:dyDescent="0.25">
      <c r="A7098" t="s">
        <v>35</v>
      </c>
      <c r="B7098" t="s">
        <v>61</v>
      </c>
      <c r="C7098" t="str">
        <f>"A0182290"</f>
        <v>A0182290</v>
      </c>
      <c r="D7098" t="s">
        <v>27322</v>
      </c>
      <c r="E7098" t="s">
        <v>27323</v>
      </c>
      <c r="F7098" t="s">
        <v>6160</v>
      </c>
      <c r="G7098" t="s">
        <v>161</v>
      </c>
      <c r="H7098" t="s">
        <v>27324</v>
      </c>
      <c r="I7098" t="s">
        <v>30</v>
      </c>
      <c r="J7098" t="s">
        <v>41</v>
      </c>
      <c r="K7098" t="s">
        <v>59</v>
      </c>
      <c r="Q7098">
        <v>0</v>
      </c>
      <c r="R7098">
        <v>60</v>
      </c>
      <c r="S7098">
        <v>60</v>
      </c>
      <c r="T7098" t="s">
        <v>27325</v>
      </c>
    </row>
    <row r="7099" spans="1:20" customFormat="1" ht="15" x14ac:dyDescent="0.25">
      <c r="A7099" t="s">
        <v>35</v>
      </c>
      <c r="B7099" t="s">
        <v>61</v>
      </c>
      <c r="C7099" t="str">
        <f>"A0182289"</f>
        <v>A0182289</v>
      </c>
      <c r="D7099" t="s">
        <v>27326</v>
      </c>
      <c r="E7099" t="s">
        <v>27327</v>
      </c>
      <c r="F7099" t="s">
        <v>27328</v>
      </c>
      <c r="G7099" t="s">
        <v>161</v>
      </c>
      <c r="H7099" t="s">
        <v>27329</v>
      </c>
      <c r="I7099" t="s">
        <v>30</v>
      </c>
      <c r="J7099" t="s">
        <v>41</v>
      </c>
      <c r="K7099" t="s">
        <v>59</v>
      </c>
      <c r="Q7099">
        <v>0</v>
      </c>
      <c r="R7099">
        <v>42</v>
      </c>
      <c r="S7099">
        <v>42</v>
      </c>
      <c r="T7099" t="s">
        <v>27330</v>
      </c>
    </row>
    <row r="7100" spans="1:20" customFormat="1" ht="15" x14ac:dyDescent="0.25">
      <c r="A7100" t="s">
        <v>35</v>
      </c>
      <c r="B7100" t="s">
        <v>61</v>
      </c>
      <c r="C7100" t="str">
        <f>"A0182288"</f>
        <v>A0182288</v>
      </c>
      <c r="D7100" t="s">
        <v>27331</v>
      </c>
      <c r="E7100" t="s">
        <v>27159</v>
      </c>
      <c r="F7100" t="s">
        <v>15601</v>
      </c>
      <c r="G7100" t="s">
        <v>1898</v>
      </c>
      <c r="H7100" t="s">
        <v>27160</v>
      </c>
      <c r="I7100" t="s">
        <v>30</v>
      </c>
      <c r="J7100" t="s">
        <v>41</v>
      </c>
      <c r="K7100" t="s">
        <v>59</v>
      </c>
      <c r="Q7100">
        <v>0</v>
      </c>
      <c r="R7100">
        <v>0</v>
      </c>
      <c r="S7100">
        <v>0</v>
      </c>
      <c r="T7100" t="s">
        <v>27161</v>
      </c>
    </row>
    <row r="7101" spans="1:20" customFormat="1" ht="15" x14ac:dyDescent="0.25">
      <c r="A7101" t="s">
        <v>35</v>
      </c>
      <c r="B7101" t="s">
        <v>61</v>
      </c>
      <c r="C7101" t="str">
        <f>"A0182285"</f>
        <v>A0182285</v>
      </c>
      <c r="D7101" t="s">
        <v>27332</v>
      </c>
      <c r="E7101" t="s">
        <v>27333</v>
      </c>
      <c r="F7101" t="s">
        <v>12064</v>
      </c>
      <c r="G7101" t="s">
        <v>1898</v>
      </c>
      <c r="H7101" t="s">
        <v>27334</v>
      </c>
      <c r="I7101" t="s">
        <v>30</v>
      </c>
      <c r="J7101" t="s">
        <v>41</v>
      </c>
      <c r="K7101" t="s">
        <v>59</v>
      </c>
      <c r="Q7101">
        <v>0</v>
      </c>
      <c r="R7101">
        <v>35</v>
      </c>
      <c r="S7101">
        <v>35</v>
      </c>
      <c r="T7101" t="s">
        <v>27335</v>
      </c>
    </row>
    <row r="7102" spans="1:20" customFormat="1" ht="15" x14ac:dyDescent="0.25">
      <c r="A7102" t="s">
        <v>35</v>
      </c>
      <c r="B7102" t="s">
        <v>61</v>
      </c>
      <c r="C7102" t="str">
        <f>"A0182284"</f>
        <v>A0182284</v>
      </c>
      <c r="D7102" t="s">
        <v>27336</v>
      </c>
      <c r="E7102" t="s">
        <v>27337</v>
      </c>
      <c r="F7102" t="s">
        <v>13123</v>
      </c>
      <c r="G7102" t="s">
        <v>47</v>
      </c>
      <c r="H7102">
        <v>970345187</v>
      </c>
      <c r="I7102" t="s">
        <v>30</v>
      </c>
      <c r="J7102" t="s">
        <v>41</v>
      </c>
      <c r="K7102" t="s">
        <v>59</v>
      </c>
      <c r="Q7102">
        <v>0</v>
      </c>
      <c r="R7102">
        <v>94</v>
      </c>
      <c r="S7102">
        <v>94</v>
      </c>
      <c r="T7102" t="s">
        <v>27338</v>
      </c>
    </row>
    <row r="7103" spans="1:20" customFormat="1" ht="15" x14ac:dyDescent="0.25">
      <c r="A7103" t="s">
        <v>35</v>
      </c>
      <c r="B7103" t="s">
        <v>61</v>
      </c>
      <c r="C7103" t="str">
        <f>"A0182283"</f>
        <v>A0182283</v>
      </c>
      <c r="D7103" t="s">
        <v>27339</v>
      </c>
      <c r="E7103" t="s">
        <v>27340</v>
      </c>
      <c r="F7103" t="s">
        <v>27341</v>
      </c>
      <c r="G7103" t="s">
        <v>71</v>
      </c>
      <c r="H7103" t="s">
        <v>27342</v>
      </c>
      <c r="I7103" t="s">
        <v>30</v>
      </c>
      <c r="J7103" t="s">
        <v>41</v>
      </c>
      <c r="K7103" t="s">
        <v>59</v>
      </c>
      <c r="Q7103">
        <v>0</v>
      </c>
      <c r="R7103">
        <v>50</v>
      </c>
      <c r="S7103">
        <v>50</v>
      </c>
      <c r="T7103" t="s">
        <v>27343</v>
      </c>
    </row>
    <row r="7104" spans="1:20" customFormat="1" ht="15" x14ac:dyDescent="0.25">
      <c r="A7104" t="s">
        <v>35</v>
      </c>
      <c r="B7104" t="s">
        <v>61</v>
      </c>
      <c r="C7104" t="str">
        <f>"A0182282"</f>
        <v>A0182282</v>
      </c>
      <c r="D7104" t="s">
        <v>27344</v>
      </c>
      <c r="E7104" t="s">
        <v>27345</v>
      </c>
      <c r="F7104" t="s">
        <v>27346</v>
      </c>
      <c r="G7104" t="s">
        <v>161</v>
      </c>
      <c r="H7104" t="s">
        <v>27347</v>
      </c>
      <c r="I7104" t="s">
        <v>30</v>
      </c>
      <c r="J7104" t="s">
        <v>41</v>
      </c>
      <c r="K7104" t="s">
        <v>59</v>
      </c>
      <c r="Q7104">
        <v>0</v>
      </c>
      <c r="R7104">
        <v>0</v>
      </c>
      <c r="S7104">
        <v>0</v>
      </c>
      <c r="T7104" t="s">
        <v>27348</v>
      </c>
    </row>
    <row r="7105" spans="1:20" customFormat="1" ht="15" x14ac:dyDescent="0.25">
      <c r="A7105" t="s">
        <v>35</v>
      </c>
      <c r="B7105" t="s">
        <v>61</v>
      </c>
      <c r="C7105" t="str">
        <f>"A0182281"</f>
        <v>A0182281</v>
      </c>
      <c r="D7105" t="s">
        <v>27349</v>
      </c>
      <c r="E7105" t="s">
        <v>27350</v>
      </c>
      <c r="F7105" t="s">
        <v>27218</v>
      </c>
      <c r="G7105" t="s">
        <v>161</v>
      </c>
      <c r="H7105">
        <v>55057</v>
      </c>
      <c r="I7105" t="s">
        <v>30</v>
      </c>
      <c r="J7105" t="s">
        <v>41</v>
      </c>
      <c r="K7105" t="s">
        <v>59</v>
      </c>
      <c r="Q7105">
        <v>0</v>
      </c>
      <c r="R7105">
        <v>102</v>
      </c>
      <c r="S7105">
        <v>102</v>
      </c>
      <c r="T7105" t="s">
        <v>27220</v>
      </c>
    </row>
    <row r="7106" spans="1:20" customFormat="1" ht="15" x14ac:dyDescent="0.25">
      <c r="A7106" t="s">
        <v>35</v>
      </c>
      <c r="B7106" t="s">
        <v>61</v>
      </c>
      <c r="C7106" t="str">
        <f>"A0182280"</f>
        <v>A0182280</v>
      </c>
      <c r="D7106" t="s">
        <v>27351</v>
      </c>
      <c r="E7106" t="s">
        <v>27352</v>
      </c>
      <c r="F7106" t="s">
        <v>21303</v>
      </c>
      <c r="G7106" t="s">
        <v>110</v>
      </c>
      <c r="H7106">
        <v>954765301</v>
      </c>
      <c r="I7106" t="s">
        <v>30</v>
      </c>
      <c r="J7106" t="s">
        <v>41</v>
      </c>
      <c r="K7106" t="s">
        <v>59</v>
      </c>
      <c r="Q7106">
        <v>0</v>
      </c>
      <c r="R7106">
        <v>0</v>
      </c>
      <c r="S7106">
        <v>0</v>
      </c>
      <c r="T7106" t="s">
        <v>27353</v>
      </c>
    </row>
    <row r="7107" spans="1:20" customFormat="1" ht="15" x14ac:dyDescent="0.25">
      <c r="A7107" t="s">
        <v>35</v>
      </c>
      <c r="B7107" t="s">
        <v>61</v>
      </c>
      <c r="C7107" t="str">
        <f>"A0182279"</f>
        <v>A0182279</v>
      </c>
      <c r="D7107" t="s">
        <v>27354</v>
      </c>
      <c r="E7107" t="s">
        <v>27355</v>
      </c>
      <c r="F7107" t="s">
        <v>24471</v>
      </c>
      <c r="G7107" t="s">
        <v>3049</v>
      </c>
      <c r="H7107">
        <v>995024262</v>
      </c>
      <c r="I7107" t="s">
        <v>30</v>
      </c>
      <c r="J7107" t="s">
        <v>41</v>
      </c>
      <c r="K7107" t="s">
        <v>59</v>
      </c>
      <c r="Q7107">
        <v>0</v>
      </c>
      <c r="R7107">
        <v>20</v>
      </c>
      <c r="S7107">
        <v>20</v>
      </c>
      <c r="T7107" t="s">
        <v>27356</v>
      </c>
    </row>
    <row r="7108" spans="1:20" customFormat="1" ht="15" x14ac:dyDescent="0.25">
      <c r="A7108" t="s">
        <v>35</v>
      </c>
      <c r="B7108" t="s">
        <v>61</v>
      </c>
      <c r="C7108" t="str">
        <f>"A0182278"</f>
        <v>A0182278</v>
      </c>
      <c r="D7108" t="s">
        <v>27357</v>
      </c>
      <c r="E7108" t="s">
        <v>12237</v>
      </c>
      <c r="F7108" t="s">
        <v>12238</v>
      </c>
      <c r="G7108" t="s">
        <v>71</v>
      </c>
      <c r="H7108" t="s">
        <v>12239</v>
      </c>
      <c r="I7108" t="s">
        <v>30</v>
      </c>
      <c r="J7108" t="s">
        <v>41</v>
      </c>
      <c r="K7108" t="s">
        <v>59</v>
      </c>
      <c r="Q7108">
        <v>0</v>
      </c>
      <c r="R7108">
        <v>0</v>
      </c>
      <c r="S7108">
        <v>0</v>
      </c>
      <c r="T7108" t="s">
        <v>12240</v>
      </c>
    </row>
    <row r="7109" spans="1:20" customFormat="1" ht="15" x14ac:dyDescent="0.25">
      <c r="A7109" t="s">
        <v>35</v>
      </c>
      <c r="B7109" t="s">
        <v>61</v>
      </c>
      <c r="C7109" t="str">
        <f>"A0182277"</f>
        <v>A0182277</v>
      </c>
      <c r="D7109" t="s">
        <v>27358</v>
      </c>
      <c r="E7109" t="s">
        <v>27359</v>
      </c>
      <c r="F7109" t="s">
        <v>11602</v>
      </c>
      <c r="G7109" t="s">
        <v>71</v>
      </c>
      <c r="H7109">
        <v>546017212</v>
      </c>
      <c r="I7109" t="s">
        <v>30</v>
      </c>
      <c r="J7109" t="s">
        <v>41</v>
      </c>
      <c r="K7109" t="s">
        <v>59</v>
      </c>
      <c r="Q7109">
        <v>0</v>
      </c>
      <c r="R7109">
        <v>0</v>
      </c>
      <c r="S7109">
        <v>0</v>
      </c>
      <c r="T7109" t="s">
        <v>27360</v>
      </c>
    </row>
    <row r="7110" spans="1:20" customFormat="1" ht="15" x14ac:dyDescent="0.25">
      <c r="A7110" t="s">
        <v>35</v>
      </c>
      <c r="B7110" t="s">
        <v>61</v>
      </c>
      <c r="C7110" t="str">
        <f>"A0182276"</f>
        <v>A0182276</v>
      </c>
      <c r="D7110" t="s">
        <v>27361</v>
      </c>
      <c r="E7110" t="s">
        <v>27362</v>
      </c>
      <c r="F7110" t="s">
        <v>27363</v>
      </c>
      <c r="G7110" t="s">
        <v>161</v>
      </c>
      <c r="H7110" t="s">
        <v>27364</v>
      </c>
      <c r="I7110" t="s">
        <v>30</v>
      </c>
      <c r="J7110" t="s">
        <v>41</v>
      </c>
      <c r="K7110" t="s">
        <v>59</v>
      </c>
      <c r="Q7110">
        <v>0</v>
      </c>
      <c r="R7110">
        <v>103</v>
      </c>
      <c r="S7110">
        <v>103</v>
      </c>
      <c r="T7110" t="s">
        <v>27365</v>
      </c>
    </row>
    <row r="7111" spans="1:20" customFormat="1" ht="15" x14ac:dyDescent="0.25">
      <c r="A7111" t="s">
        <v>35</v>
      </c>
      <c r="B7111" t="s">
        <v>61</v>
      </c>
      <c r="C7111" t="str">
        <f>"A0182275"</f>
        <v>A0182275</v>
      </c>
      <c r="D7111" t="s">
        <v>27366</v>
      </c>
      <c r="E7111" t="s">
        <v>27367</v>
      </c>
      <c r="F7111" t="s">
        <v>2719</v>
      </c>
      <c r="G7111" t="s">
        <v>190</v>
      </c>
      <c r="H7111">
        <v>802055234</v>
      </c>
      <c r="I7111" t="s">
        <v>30</v>
      </c>
      <c r="J7111" t="s">
        <v>41</v>
      </c>
      <c r="K7111" t="s">
        <v>59</v>
      </c>
      <c r="Q7111">
        <v>0</v>
      </c>
      <c r="R7111">
        <v>0</v>
      </c>
      <c r="S7111">
        <v>0</v>
      </c>
    </row>
    <row r="7112" spans="1:20" customFormat="1" ht="15" x14ac:dyDescent="0.25">
      <c r="A7112" t="s">
        <v>35</v>
      </c>
      <c r="B7112" t="s">
        <v>61</v>
      </c>
      <c r="C7112" t="str">
        <f>"A0182274"</f>
        <v>A0182274</v>
      </c>
      <c r="D7112" t="s">
        <v>27368</v>
      </c>
      <c r="E7112" t="s">
        <v>27369</v>
      </c>
      <c r="F7112" t="s">
        <v>2719</v>
      </c>
      <c r="G7112" t="s">
        <v>190</v>
      </c>
      <c r="H7112">
        <v>802092908</v>
      </c>
      <c r="I7112" t="s">
        <v>30</v>
      </c>
      <c r="J7112" t="s">
        <v>41</v>
      </c>
      <c r="K7112" t="s">
        <v>59</v>
      </c>
      <c r="Q7112">
        <v>0</v>
      </c>
      <c r="R7112">
        <v>0</v>
      </c>
      <c r="S7112">
        <v>0</v>
      </c>
    </row>
    <row r="7113" spans="1:20" customFormat="1" ht="15" x14ac:dyDescent="0.25">
      <c r="A7113" t="s">
        <v>35</v>
      </c>
      <c r="B7113" t="s">
        <v>61</v>
      </c>
      <c r="C7113" t="str">
        <f>"A0182273"</f>
        <v>A0182273</v>
      </c>
      <c r="D7113" t="s">
        <v>27370</v>
      </c>
      <c r="E7113" t="s">
        <v>27371</v>
      </c>
      <c r="F7113" t="s">
        <v>7112</v>
      </c>
      <c r="G7113" t="s">
        <v>161</v>
      </c>
      <c r="H7113" t="s">
        <v>24516</v>
      </c>
      <c r="I7113" t="s">
        <v>30</v>
      </c>
      <c r="J7113" t="s">
        <v>41</v>
      </c>
      <c r="K7113" t="s">
        <v>59</v>
      </c>
      <c r="Q7113">
        <v>0</v>
      </c>
      <c r="R7113">
        <v>0</v>
      </c>
      <c r="S7113">
        <v>0</v>
      </c>
    </row>
    <row r="7114" spans="1:20" customFormat="1" ht="15" x14ac:dyDescent="0.25">
      <c r="A7114" t="s">
        <v>35</v>
      </c>
      <c r="B7114" t="s">
        <v>15885</v>
      </c>
      <c r="C7114" t="str">
        <f>"A0182272"</f>
        <v>A0182272</v>
      </c>
      <c r="D7114" t="s">
        <v>15885</v>
      </c>
      <c r="E7114" t="s">
        <v>27372</v>
      </c>
      <c r="F7114" t="s">
        <v>2719</v>
      </c>
      <c r="G7114" t="s">
        <v>190</v>
      </c>
      <c r="H7114">
        <v>802307030</v>
      </c>
      <c r="I7114" t="s">
        <v>30</v>
      </c>
      <c r="J7114" t="s">
        <v>41</v>
      </c>
      <c r="K7114" t="s">
        <v>290</v>
      </c>
      <c r="Q7114">
        <v>0</v>
      </c>
      <c r="R7114">
        <v>0</v>
      </c>
      <c r="S7114">
        <v>0</v>
      </c>
      <c r="T7114" t="s">
        <v>27373</v>
      </c>
    </row>
    <row r="7115" spans="1:20" customFormat="1" ht="15" x14ac:dyDescent="0.25">
      <c r="A7115" t="s">
        <v>35</v>
      </c>
      <c r="B7115" t="s">
        <v>61</v>
      </c>
      <c r="C7115" t="str">
        <f>"A0182271"</f>
        <v>A0182271</v>
      </c>
      <c r="D7115" t="s">
        <v>27374</v>
      </c>
      <c r="E7115" t="s">
        <v>26969</v>
      </c>
      <c r="F7115" t="s">
        <v>2719</v>
      </c>
      <c r="G7115" t="s">
        <v>190</v>
      </c>
      <c r="H7115">
        <v>802226512</v>
      </c>
      <c r="I7115" t="s">
        <v>30</v>
      </c>
      <c r="J7115" t="s">
        <v>41</v>
      </c>
      <c r="K7115" t="s">
        <v>59</v>
      </c>
      <c r="Q7115">
        <v>0</v>
      </c>
      <c r="R7115">
        <v>123</v>
      </c>
      <c r="S7115">
        <v>123</v>
      </c>
      <c r="T7115" t="s">
        <v>26970</v>
      </c>
    </row>
    <row r="7116" spans="1:20" customFormat="1" ht="15" x14ac:dyDescent="0.25">
      <c r="A7116" t="s">
        <v>35</v>
      </c>
      <c r="B7116" t="s">
        <v>61</v>
      </c>
      <c r="C7116" t="str">
        <f>"A0182270"</f>
        <v>A0182270</v>
      </c>
      <c r="D7116" t="s">
        <v>27375</v>
      </c>
      <c r="E7116" t="s">
        <v>27376</v>
      </c>
      <c r="F7116" t="s">
        <v>20275</v>
      </c>
      <c r="G7116" t="s">
        <v>110</v>
      </c>
      <c r="H7116">
        <v>947031558</v>
      </c>
      <c r="I7116" t="s">
        <v>30</v>
      </c>
      <c r="J7116" t="s">
        <v>41</v>
      </c>
      <c r="K7116" t="s">
        <v>59</v>
      </c>
      <c r="Q7116">
        <v>0</v>
      </c>
      <c r="R7116">
        <v>0</v>
      </c>
      <c r="S7116">
        <v>0</v>
      </c>
    </row>
    <row r="7117" spans="1:20" customFormat="1" ht="15" x14ac:dyDescent="0.25">
      <c r="A7117" t="s">
        <v>35</v>
      </c>
      <c r="B7117" t="s">
        <v>11871</v>
      </c>
      <c r="C7117" t="str">
        <f>"A0182269"</f>
        <v>A0182269</v>
      </c>
      <c r="D7117" t="s">
        <v>27377</v>
      </c>
      <c r="E7117" t="s">
        <v>27378</v>
      </c>
      <c r="F7117" t="s">
        <v>13113</v>
      </c>
      <c r="G7117" t="s">
        <v>190</v>
      </c>
      <c r="H7117">
        <v>800117184</v>
      </c>
      <c r="I7117" t="s">
        <v>30</v>
      </c>
      <c r="J7117" t="s">
        <v>41</v>
      </c>
      <c r="K7117" t="s">
        <v>59</v>
      </c>
      <c r="Q7117">
        <v>0</v>
      </c>
      <c r="R7117">
        <v>0</v>
      </c>
      <c r="S7117">
        <v>0</v>
      </c>
      <c r="T7117" t="s">
        <v>27379</v>
      </c>
    </row>
    <row r="7118" spans="1:20" customFormat="1" ht="15" x14ac:dyDescent="0.25">
      <c r="A7118" t="s">
        <v>35</v>
      </c>
      <c r="B7118" t="s">
        <v>61</v>
      </c>
      <c r="C7118" t="str">
        <f>"A0182268"</f>
        <v>A0182268</v>
      </c>
      <c r="D7118" t="s">
        <v>27380</v>
      </c>
      <c r="E7118" t="s">
        <v>27381</v>
      </c>
      <c r="F7118" t="s">
        <v>2719</v>
      </c>
      <c r="G7118" t="s">
        <v>190</v>
      </c>
      <c r="H7118">
        <v>802226588</v>
      </c>
      <c r="I7118" t="s">
        <v>30</v>
      </c>
      <c r="J7118" t="s">
        <v>41</v>
      </c>
      <c r="K7118" t="s">
        <v>59</v>
      </c>
      <c r="Q7118">
        <v>0</v>
      </c>
      <c r="R7118">
        <v>0</v>
      </c>
      <c r="S7118">
        <v>0</v>
      </c>
    </row>
    <row r="7119" spans="1:20" customFormat="1" ht="15" x14ac:dyDescent="0.25">
      <c r="A7119" t="s">
        <v>35</v>
      </c>
      <c r="B7119" t="s">
        <v>61</v>
      </c>
      <c r="C7119" t="str">
        <f>"A0182267"</f>
        <v>A0182267</v>
      </c>
      <c r="D7119" t="s">
        <v>27382</v>
      </c>
      <c r="E7119" t="s">
        <v>27383</v>
      </c>
      <c r="F7119" t="s">
        <v>20275</v>
      </c>
      <c r="G7119" t="s">
        <v>110</v>
      </c>
      <c r="H7119">
        <v>94703</v>
      </c>
      <c r="I7119" t="s">
        <v>30</v>
      </c>
      <c r="J7119" t="s">
        <v>41</v>
      </c>
      <c r="K7119" t="s">
        <v>59</v>
      </c>
      <c r="Q7119">
        <v>0</v>
      </c>
      <c r="R7119">
        <v>0</v>
      </c>
      <c r="S7119">
        <v>0</v>
      </c>
    </row>
    <row r="7120" spans="1:20" customFormat="1" ht="15" x14ac:dyDescent="0.25">
      <c r="A7120" t="s">
        <v>35</v>
      </c>
      <c r="B7120" t="s">
        <v>61</v>
      </c>
      <c r="C7120" t="str">
        <f>"A0182266"</f>
        <v>A0182266</v>
      </c>
      <c r="D7120" t="s">
        <v>27384</v>
      </c>
      <c r="E7120" t="s">
        <v>21953</v>
      </c>
      <c r="F7120" t="s">
        <v>12489</v>
      </c>
      <c r="G7120" t="s">
        <v>110</v>
      </c>
      <c r="H7120" t="s">
        <v>21954</v>
      </c>
      <c r="I7120" t="s">
        <v>30</v>
      </c>
      <c r="J7120" t="s">
        <v>41</v>
      </c>
      <c r="K7120" t="s">
        <v>59</v>
      </c>
      <c r="Q7120">
        <v>0</v>
      </c>
      <c r="R7120">
        <v>0</v>
      </c>
      <c r="S7120">
        <v>0</v>
      </c>
    </row>
    <row r="7121" spans="1:20" customFormat="1" ht="15" x14ac:dyDescent="0.25">
      <c r="A7121" t="s">
        <v>35</v>
      </c>
      <c r="B7121" t="s">
        <v>61</v>
      </c>
      <c r="C7121" t="str">
        <f>"A0182265"</f>
        <v>A0182265</v>
      </c>
      <c r="D7121" t="s">
        <v>27385</v>
      </c>
      <c r="E7121" t="s">
        <v>27386</v>
      </c>
      <c r="F7121" t="s">
        <v>9128</v>
      </c>
      <c r="G7121" t="s">
        <v>110</v>
      </c>
      <c r="H7121">
        <v>946061879</v>
      </c>
      <c r="I7121" t="s">
        <v>30</v>
      </c>
      <c r="J7121" t="s">
        <v>41</v>
      </c>
      <c r="K7121" t="s">
        <v>59</v>
      </c>
      <c r="Q7121">
        <v>0</v>
      </c>
      <c r="R7121">
        <v>0</v>
      </c>
      <c r="S7121">
        <v>0</v>
      </c>
    </row>
    <row r="7122" spans="1:20" customFormat="1" ht="15" x14ac:dyDescent="0.25">
      <c r="A7122" t="s">
        <v>35</v>
      </c>
      <c r="B7122" t="s">
        <v>61</v>
      </c>
      <c r="C7122" t="str">
        <f>"A0182264"</f>
        <v>A0182264</v>
      </c>
      <c r="D7122" t="s">
        <v>27387</v>
      </c>
      <c r="E7122" t="s">
        <v>27388</v>
      </c>
      <c r="F7122" t="s">
        <v>27389</v>
      </c>
      <c r="G7122" t="s">
        <v>161</v>
      </c>
      <c r="H7122" t="s">
        <v>27390</v>
      </c>
      <c r="I7122" t="s">
        <v>30</v>
      </c>
      <c r="J7122" t="s">
        <v>41</v>
      </c>
      <c r="K7122" t="s">
        <v>59</v>
      </c>
      <c r="Q7122">
        <v>0</v>
      </c>
      <c r="R7122">
        <v>0</v>
      </c>
      <c r="S7122">
        <v>0</v>
      </c>
      <c r="T7122" t="s">
        <v>27391</v>
      </c>
    </row>
    <row r="7123" spans="1:20" customFormat="1" ht="15" x14ac:dyDescent="0.25">
      <c r="A7123" t="s">
        <v>35</v>
      </c>
      <c r="B7123" t="s">
        <v>61</v>
      </c>
      <c r="C7123" t="str">
        <f>"A0182263"</f>
        <v>A0182263</v>
      </c>
      <c r="D7123" t="s">
        <v>27392</v>
      </c>
      <c r="E7123" t="s">
        <v>27393</v>
      </c>
      <c r="F7123" t="s">
        <v>25472</v>
      </c>
      <c r="G7123" t="s">
        <v>161</v>
      </c>
      <c r="H7123" t="s">
        <v>27394</v>
      </c>
      <c r="I7123" t="s">
        <v>30</v>
      </c>
      <c r="J7123" t="s">
        <v>41</v>
      </c>
      <c r="K7123" t="s">
        <v>59</v>
      </c>
      <c r="Q7123">
        <v>0</v>
      </c>
      <c r="R7123">
        <v>0</v>
      </c>
      <c r="S7123">
        <v>0</v>
      </c>
      <c r="T7123" t="s">
        <v>16916</v>
      </c>
    </row>
    <row r="7124" spans="1:20" customFormat="1" ht="15" x14ac:dyDescent="0.25">
      <c r="A7124" t="s">
        <v>35</v>
      </c>
      <c r="B7124" t="s">
        <v>27395</v>
      </c>
      <c r="C7124" t="str">
        <f>"A0182262"</f>
        <v>A0182262</v>
      </c>
      <c r="D7124" t="s">
        <v>27396</v>
      </c>
      <c r="E7124" t="s">
        <v>27397</v>
      </c>
      <c r="F7124" t="s">
        <v>27398</v>
      </c>
      <c r="G7124" t="s">
        <v>840</v>
      </c>
      <c r="H7124">
        <v>40041</v>
      </c>
      <c r="I7124" t="s">
        <v>30</v>
      </c>
      <c r="J7124" t="s">
        <v>41</v>
      </c>
      <c r="K7124" t="s">
        <v>59</v>
      </c>
      <c r="Q7124">
        <v>0</v>
      </c>
      <c r="R7124">
        <v>167</v>
      </c>
      <c r="S7124">
        <v>167</v>
      </c>
      <c r="T7124" t="s">
        <v>27399</v>
      </c>
    </row>
    <row r="7125" spans="1:20" customFormat="1" ht="15" x14ac:dyDescent="0.25">
      <c r="A7125" t="s">
        <v>35</v>
      </c>
      <c r="B7125" t="s">
        <v>11386</v>
      </c>
      <c r="C7125" t="str">
        <f>"A0182261"</f>
        <v>A0182261</v>
      </c>
      <c r="D7125" t="s">
        <v>27400</v>
      </c>
      <c r="E7125" t="s">
        <v>27401</v>
      </c>
      <c r="F7125" t="s">
        <v>26754</v>
      </c>
      <c r="G7125" t="s">
        <v>117</v>
      </c>
      <c r="H7125">
        <v>481612384</v>
      </c>
      <c r="I7125" t="s">
        <v>30</v>
      </c>
      <c r="J7125" t="s">
        <v>41</v>
      </c>
      <c r="K7125" t="s">
        <v>59</v>
      </c>
      <c r="Q7125">
        <v>0</v>
      </c>
      <c r="R7125">
        <v>0</v>
      </c>
      <c r="S7125">
        <v>0</v>
      </c>
      <c r="T7125" t="s">
        <v>27402</v>
      </c>
    </row>
    <row r="7126" spans="1:20" customFormat="1" ht="15" x14ac:dyDescent="0.25">
      <c r="A7126" t="s">
        <v>35</v>
      </c>
      <c r="B7126" t="s">
        <v>61</v>
      </c>
      <c r="C7126" t="str">
        <f>"A0182260"</f>
        <v>A0182260</v>
      </c>
      <c r="D7126" t="s">
        <v>27403</v>
      </c>
      <c r="E7126" t="s">
        <v>27404</v>
      </c>
      <c r="F7126" t="s">
        <v>27218</v>
      </c>
      <c r="G7126" t="s">
        <v>161</v>
      </c>
      <c r="H7126">
        <v>55057</v>
      </c>
      <c r="I7126" t="s">
        <v>30</v>
      </c>
      <c r="J7126" t="s">
        <v>41</v>
      </c>
      <c r="K7126" t="s">
        <v>59</v>
      </c>
      <c r="Q7126">
        <v>0</v>
      </c>
      <c r="R7126">
        <v>0</v>
      </c>
      <c r="S7126">
        <v>0</v>
      </c>
      <c r="T7126" t="s">
        <v>27405</v>
      </c>
    </row>
    <row r="7127" spans="1:20" customFormat="1" ht="15" x14ac:dyDescent="0.25">
      <c r="A7127" t="s">
        <v>35</v>
      </c>
      <c r="B7127" t="s">
        <v>61</v>
      </c>
      <c r="C7127" t="str">
        <f>"A0182259"</f>
        <v>A0182259</v>
      </c>
      <c r="D7127" t="s">
        <v>27406</v>
      </c>
      <c r="E7127" t="s">
        <v>27407</v>
      </c>
      <c r="F7127" t="s">
        <v>9437</v>
      </c>
      <c r="G7127" t="s">
        <v>161</v>
      </c>
      <c r="H7127">
        <v>55060</v>
      </c>
      <c r="I7127" t="s">
        <v>30</v>
      </c>
      <c r="J7127" t="s">
        <v>41</v>
      </c>
      <c r="K7127" t="s">
        <v>59</v>
      </c>
      <c r="Q7127">
        <v>0</v>
      </c>
      <c r="R7127">
        <v>0</v>
      </c>
      <c r="S7127">
        <v>0</v>
      </c>
    </row>
    <row r="7128" spans="1:20" customFormat="1" ht="15" x14ac:dyDescent="0.25">
      <c r="A7128" t="s">
        <v>35</v>
      </c>
      <c r="B7128" t="s">
        <v>61</v>
      </c>
      <c r="C7128" t="str">
        <f>"A0182258"</f>
        <v>A0182258</v>
      </c>
      <c r="D7128" t="s">
        <v>27408</v>
      </c>
      <c r="E7128" t="s">
        <v>27409</v>
      </c>
      <c r="F7128" t="s">
        <v>27410</v>
      </c>
      <c r="G7128" t="s">
        <v>161</v>
      </c>
      <c r="H7128" t="s">
        <v>27411</v>
      </c>
      <c r="I7128" t="s">
        <v>30</v>
      </c>
      <c r="J7128" t="s">
        <v>41</v>
      </c>
      <c r="K7128" t="s">
        <v>59</v>
      </c>
      <c r="Q7128">
        <v>0</v>
      </c>
      <c r="R7128">
        <v>159</v>
      </c>
      <c r="S7128">
        <v>159</v>
      </c>
      <c r="T7128" t="s">
        <v>27412</v>
      </c>
    </row>
    <row r="7129" spans="1:20" customFormat="1" ht="15" x14ac:dyDescent="0.25">
      <c r="A7129" t="s">
        <v>35</v>
      </c>
      <c r="B7129" t="s">
        <v>61</v>
      </c>
      <c r="C7129" t="str">
        <f>"A0182257"</f>
        <v>A0182257</v>
      </c>
      <c r="D7129" t="s">
        <v>27413</v>
      </c>
      <c r="E7129" t="s">
        <v>27414</v>
      </c>
      <c r="F7129" t="s">
        <v>27415</v>
      </c>
      <c r="G7129" t="s">
        <v>161</v>
      </c>
      <c r="H7129">
        <v>56007</v>
      </c>
      <c r="I7129" t="s">
        <v>30</v>
      </c>
      <c r="J7129" t="s">
        <v>41</v>
      </c>
      <c r="K7129" t="s">
        <v>59</v>
      </c>
      <c r="Q7129">
        <v>0</v>
      </c>
      <c r="R7129">
        <v>0</v>
      </c>
      <c r="S7129">
        <v>0</v>
      </c>
      <c r="T7129" t="s">
        <v>27416</v>
      </c>
    </row>
    <row r="7130" spans="1:20" customFormat="1" ht="15" x14ac:dyDescent="0.25">
      <c r="A7130" t="s">
        <v>35</v>
      </c>
      <c r="B7130" t="s">
        <v>61</v>
      </c>
      <c r="C7130" t="str">
        <f>"A0182256"</f>
        <v>A0182256</v>
      </c>
      <c r="D7130" t="s">
        <v>27417</v>
      </c>
      <c r="E7130" t="s">
        <v>27418</v>
      </c>
      <c r="F7130" t="s">
        <v>25377</v>
      </c>
      <c r="G7130" t="s">
        <v>161</v>
      </c>
      <c r="H7130" t="s">
        <v>27419</v>
      </c>
      <c r="I7130" t="s">
        <v>30</v>
      </c>
      <c r="J7130" t="s">
        <v>41</v>
      </c>
      <c r="K7130" t="s">
        <v>59</v>
      </c>
      <c r="Q7130">
        <v>0</v>
      </c>
      <c r="R7130">
        <v>0</v>
      </c>
      <c r="S7130">
        <v>0</v>
      </c>
    </row>
    <row r="7131" spans="1:20" customFormat="1" ht="15" x14ac:dyDescent="0.25">
      <c r="A7131" t="s">
        <v>35</v>
      </c>
      <c r="B7131" t="s">
        <v>61</v>
      </c>
      <c r="C7131" t="str">
        <f>"A0182255"</f>
        <v>A0182255</v>
      </c>
      <c r="D7131" t="s">
        <v>27420</v>
      </c>
      <c r="E7131" t="s">
        <v>27421</v>
      </c>
      <c r="F7131" t="s">
        <v>9607</v>
      </c>
      <c r="G7131" t="s">
        <v>161</v>
      </c>
      <c r="H7131" t="s">
        <v>27422</v>
      </c>
      <c r="I7131" t="s">
        <v>30</v>
      </c>
      <c r="J7131" t="s">
        <v>41</v>
      </c>
      <c r="K7131" t="s">
        <v>59</v>
      </c>
      <c r="Q7131">
        <v>0</v>
      </c>
      <c r="R7131">
        <v>0</v>
      </c>
      <c r="S7131">
        <v>0</v>
      </c>
    </row>
    <row r="7132" spans="1:20" customFormat="1" ht="15" x14ac:dyDescent="0.25">
      <c r="A7132" t="s">
        <v>35</v>
      </c>
      <c r="B7132" t="s">
        <v>61</v>
      </c>
      <c r="C7132" t="str">
        <f>"A0182254"</f>
        <v>A0182254</v>
      </c>
      <c r="D7132" t="s">
        <v>27423</v>
      </c>
      <c r="E7132" t="s">
        <v>27424</v>
      </c>
      <c r="F7132" t="s">
        <v>7095</v>
      </c>
      <c r="G7132" t="s">
        <v>1170</v>
      </c>
      <c r="H7132">
        <v>70122</v>
      </c>
      <c r="I7132" t="s">
        <v>30</v>
      </c>
      <c r="J7132" t="s">
        <v>41</v>
      </c>
      <c r="K7132" t="s">
        <v>59</v>
      </c>
      <c r="Q7132">
        <v>0</v>
      </c>
      <c r="R7132">
        <v>0</v>
      </c>
      <c r="S7132">
        <v>0</v>
      </c>
    </row>
    <row r="7133" spans="1:20" customFormat="1" ht="15" x14ac:dyDescent="0.25">
      <c r="A7133" t="s">
        <v>35</v>
      </c>
      <c r="B7133" t="s">
        <v>61</v>
      </c>
      <c r="C7133" t="str">
        <f>"A0182253"</f>
        <v>A0182253</v>
      </c>
      <c r="D7133" t="s">
        <v>27425</v>
      </c>
      <c r="E7133" t="s">
        <v>24562</v>
      </c>
      <c r="F7133" t="s">
        <v>15185</v>
      </c>
      <c r="G7133" t="s">
        <v>1170</v>
      </c>
      <c r="H7133" t="s">
        <v>24563</v>
      </c>
      <c r="I7133" t="s">
        <v>30</v>
      </c>
      <c r="J7133" t="s">
        <v>41</v>
      </c>
      <c r="K7133" t="s">
        <v>59</v>
      </c>
      <c r="Q7133">
        <v>0</v>
      </c>
      <c r="R7133">
        <v>0</v>
      </c>
      <c r="S7133">
        <v>0</v>
      </c>
      <c r="T7133" t="s">
        <v>24564</v>
      </c>
    </row>
    <row r="7134" spans="1:20" customFormat="1" ht="15" x14ac:dyDescent="0.25">
      <c r="A7134" t="s">
        <v>35</v>
      </c>
      <c r="B7134" t="s">
        <v>11871</v>
      </c>
      <c r="C7134" t="str">
        <f>"A0182252"</f>
        <v>A0182252</v>
      </c>
      <c r="D7134" t="s">
        <v>27426</v>
      </c>
      <c r="E7134" t="s">
        <v>27427</v>
      </c>
      <c r="F7134" t="s">
        <v>27428</v>
      </c>
      <c r="G7134" t="s">
        <v>1170</v>
      </c>
      <c r="H7134" t="s">
        <v>27429</v>
      </c>
      <c r="I7134" t="s">
        <v>30</v>
      </c>
      <c r="J7134" t="s">
        <v>41</v>
      </c>
      <c r="K7134" t="s">
        <v>59</v>
      </c>
      <c r="Q7134">
        <v>0</v>
      </c>
      <c r="R7134">
        <v>0</v>
      </c>
      <c r="S7134">
        <v>0</v>
      </c>
      <c r="T7134" t="s">
        <v>27430</v>
      </c>
    </row>
    <row r="7135" spans="1:20" customFormat="1" ht="15" x14ac:dyDescent="0.25">
      <c r="A7135" t="s">
        <v>35</v>
      </c>
      <c r="B7135" t="s">
        <v>11871</v>
      </c>
      <c r="C7135" t="str">
        <f>"A0182251"</f>
        <v>A0182251</v>
      </c>
      <c r="D7135" t="s">
        <v>27431</v>
      </c>
      <c r="E7135" t="s">
        <v>27432</v>
      </c>
      <c r="F7135" t="s">
        <v>27433</v>
      </c>
      <c r="G7135" t="s">
        <v>1170</v>
      </c>
      <c r="H7135" t="s">
        <v>27434</v>
      </c>
      <c r="I7135" t="s">
        <v>30</v>
      </c>
      <c r="J7135" t="s">
        <v>41</v>
      </c>
      <c r="K7135" t="s">
        <v>59</v>
      </c>
      <c r="Q7135">
        <v>0</v>
      </c>
      <c r="R7135">
        <v>0</v>
      </c>
      <c r="S7135">
        <v>0</v>
      </c>
      <c r="T7135" t="s">
        <v>27435</v>
      </c>
    </row>
    <row r="7136" spans="1:20" customFormat="1" ht="15" x14ac:dyDescent="0.25">
      <c r="A7136" t="s">
        <v>35</v>
      </c>
      <c r="B7136" t="s">
        <v>23900</v>
      </c>
      <c r="C7136" t="str">
        <f>"A0182250"</f>
        <v>A0182250</v>
      </c>
      <c r="D7136" t="s">
        <v>27436</v>
      </c>
      <c r="E7136" t="s">
        <v>27437</v>
      </c>
      <c r="F7136" t="s">
        <v>7095</v>
      </c>
      <c r="G7136" t="s">
        <v>1170</v>
      </c>
      <c r="H7136" t="s">
        <v>27438</v>
      </c>
      <c r="I7136" t="s">
        <v>30</v>
      </c>
      <c r="J7136" t="s">
        <v>41</v>
      </c>
      <c r="K7136" t="s">
        <v>59</v>
      </c>
      <c r="Q7136">
        <v>0</v>
      </c>
      <c r="R7136">
        <v>0</v>
      </c>
      <c r="S7136">
        <v>0</v>
      </c>
      <c r="T7136" t="s">
        <v>27439</v>
      </c>
    </row>
    <row r="7137" spans="1:20" customFormat="1" ht="15" x14ac:dyDescent="0.25">
      <c r="A7137" t="s">
        <v>35</v>
      </c>
      <c r="B7137" t="s">
        <v>61</v>
      </c>
      <c r="C7137" t="str">
        <f>"A0182249"</f>
        <v>A0182249</v>
      </c>
      <c r="D7137" t="s">
        <v>27440</v>
      </c>
      <c r="E7137" t="s">
        <v>27441</v>
      </c>
      <c r="F7137" t="s">
        <v>15516</v>
      </c>
      <c r="G7137" t="s">
        <v>161</v>
      </c>
      <c r="H7137" t="s">
        <v>27442</v>
      </c>
      <c r="I7137" t="s">
        <v>30</v>
      </c>
      <c r="J7137" t="s">
        <v>41</v>
      </c>
      <c r="K7137" t="s">
        <v>59</v>
      </c>
      <c r="Q7137">
        <v>0</v>
      </c>
      <c r="R7137">
        <v>84</v>
      </c>
      <c r="S7137">
        <v>84</v>
      </c>
      <c r="T7137" t="s">
        <v>27443</v>
      </c>
    </row>
    <row r="7138" spans="1:20" customFormat="1" ht="15" x14ac:dyDescent="0.25">
      <c r="A7138" t="s">
        <v>35</v>
      </c>
      <c r="B7138" t="s">
        <v>61</v>
      </c>
      <c r="C7138" t="str">
        <f>"A0182248"</f>
        <v>A0182248</v>
      </c>
      <c r="D7138" t="s">
        <v>27444</v>
      </c>
      <c r="E7138" t="s">
        <v>27445</v>
      </c>
      <c r="F7138" t="s">
        <v>27446</v>
      </c>
      <c r="G7138" t="s">
        <v>161</v>
      </c>
      <c r="H7138" t="s">
        <v>27447</v>
      </c>
      <c r="I7138" t="s">
        <v>30</v>
      </c>
      <c r="J7138" t="s">
        <v>41</v>
      </c>
      <c r="K7138" t="s">
        <v>59</v>
      </c>
      <c r="Q7138">
        <v>0</v>
      </c>
      <c r="R7138">
        <v>0</v>
      </c>
      <c r="S7138">
        <v>0</v>
      </c>
      <c r="T7138" t="s">
        <v>27448</v>
      </c>
    </row>
    <row r="7139" spans="1:20" customFormat="1" ht="15" x14ac:dyDescent="0.25">
      <c r="A7139" t="s">
        <v>35</v>
      </c>
      <c r="B7139" t="s">
        <v>61</v>
      </c>
      <c r="C7139" t="str">
        <f>"A0182247"</f>
        <v>A0182247</v>
      </c>
      <c r="D7139" t="s">
        <v>27449</v>
      </c>
      <c r="E7139" t="s">
        <v>27450</v>
      </c>
      <c r="F7139" t="s">
        <v>26823</v>
      </c>
      <c r="G7139" t="s">
        <v>190</v>
      </c>
      <c r="H7139">
        <v>80121</v>
      </c>
      <c r="I7139" t="s">
        <v>30</v>
      </c>
      <c r="J7139" t="s">
        <v>41</v>
      </c>
      <c r="K7139" t="s">
        <v>59</v>
      </c>
      <c r="Q7139">
        <v>0</v>
      </c>
      <c r="R7139">
        <v>0</v>
      </c>
      <c r="S7139">
        <v>0</v>
      </c>
      <c r="T7139" t="s">
        <v>27451</v>
      </c>
    </row>
    <row r="7140" spans="1:20" customFormat="1" ht="15" x14ac:dyDescent="0.25">
      <c r="A7140" t="s">
        <v>35</v>
      </c>
      <c r="B7140" t="s">
        <v>61</v>
      </c>
      <c r="C7140" t="str">
        <f>"A0182246"</f>
        <v>A0182246</v>
      </c>
      <c r="D7140" t="s">
        <v>27452</v>
      </c>
      <c r="E7140" t="s">
        <v>27453</v>
      </c>
      <c r="F7140" t="s">
        <v>7362</v>
      </c>
      <c r="G7140" t="s">
        <v>110</v>
      </c>
      <c r="H7140">
        <v>900182042</v>
      </c>
      <c r="I7140" t="s">
        <v>30</v>
      </c>
      <c r="J7140" t="s">
        <v>41</v>
      </c>
      <c r="K7140" t="s">
        <v>59</v>
      </c>
      <c r="Q7140">
        <v>0</v>
      </c>
      <c r="R7140">
        <v>131</v>
      </c>
      <c r="S7140">
        <v>131</v>
      </c>
      <c r="T7140" t="s">
        <v>27454</v>
      </c>
    </row>
    <row r="7141" spans="1:20" customFormat="1" ht="15" x14ac:dyDescent="0.25">
      <c r="A7141" t="s">
        <v>35</v>
      </c>
      <c r="B7141" t="s">
        <v>61</v>
      </c>
      <c r="C7141" t="str">
        <f>"A0182245"</f>
        <v>A0182245</v>
      </c>
      <c r="D7141" t="s">
        <v>27455</v>
      </c>
      <c r="E7141" t="s">
        <v>25937</v>
      </c>
      <c r="F7141" t="s">
        <v>4633</v>
      </c>
      <c r="G7141" t="s">
        <v>899</v>
      </c>
      <c r="H7141" t="s">
        <v>25938</v>
      </c>
      <c r="I7141" t="s">
        <v>30</v>
      </c>
      <c r="J7141" t="s">
        <v>41</v>
      </c>
      <c r="K7141" t="s">
        <v>59</v>
      </c>
      <c r="Q7141">
        <v>0</v>
      </c>
      <c r="R7141">
        <v>59</v>
      </c>
      <c r="S7141">
        <v>59</v>
      </c>
      <c r="T7141" t="s">
        <v>27456</v>
      </c>
    </row>
    <row r="7142" spans="1:20" customFormat="1" ht="15" x14ac:dyDescent="0.25">
      <c r="A7142" t="s">
        <v>35</v>
      </c>
      <c r="B7142" t="s">
        <v>61</v>
      </c>
      <c r="C7142" t="str">
        <f>"A0182244"</f>
        <v>A0182244</v>
      </c>
      <c r="D7142" t="s">
        <v>27457</v>
      </c>
      <c r="E7142" t="s">
        <v>27458</v>
      </c>
      <c r="F7142" t="s">
        <v>27459</v>
      </c>
      <c r="G7142" t="s">
        <v>899</v>
      </c>
      <c r="H7142" t="s">
        <v>27460</v>
      </c>
      <c r="I7142" t="s">
        <v>30</v>
      </c>
      <c r="J7142" t="s">
        <v>41</v>
      </c>
      <c r="K7142" t="s">
        <v>59</v>
      </c>
      <c r="Q7142">
        <v>0</v>
      </c>
      <c r="R7142">
        <v>0</v>
      </c>
      <c r="S7142">
        <v>0</v>
      </c>
    </row>
    <row r="7143" spans="1:20" customFormat="1" ht="15" x14ac:dyDescent="0.25">
      <c r="A7143" t="s">
        <v>35</v>
      </c>
      <c r="B7143" t="s">
        <v>61</v>
      </c>
      <c r="C7143" t="str">
        <f>"A0182243"</f>
        <v>A0182243</v>
      </c>
      <c r="D7143" t="s">
        <v>27461</v>
      </c>
      <c r="E7143" t="s">
        <v>27462</v>
      </c>
      <c r="F7143" t="s">
        <v>20926</v>
      </c>
      <c r="G7143" t="s">
        <v>161</v>
      </c>
      <c r="H7143" t="s">
        <v>27463</v>
      </c>
      <c r="I7143" t="s">
        <v>30</v>
      </c>
      <c r="J7143" t="s">
        <v>41</v>
      </c>
      <c r="K7143" t="s">
        <v>59</v>
      </c>
      <c r="Q7143">
        <v>0</v>
      </c>
      <c r="R7143">
        <v>13</v>
      </c>
      <c r="S7143">
        <v>13</v>
      </c>
      <c r="T7143" t="s">
        <v>27464</v>
      </c>
    </row>
    <row r="7144" spans="1:20" customFormat="1" ht="15" x14ac:dyDescent="0.25">
      <c r="A7144" t="s">
        <v>35</v>
      </c>
      <c r="B7144" t="s">
        <v>61</v>
      </c>
      <c r="C7144" t="str">
        <f>"A0182242"</f>
        <v>A0182242</v>
      </c>
      <c r="D7144" t="s">
        <v>27465</v>
      </c>
      <c r="E7144" t="s">
        <v>27466</v>
      </c>
      <c r="F7144" t="s">
        <v>27467</v>
      </c>
      <c r="G7144" t="s">
        <v>161</v>
      </c>
      <c r="H7144" t="s">
        <v>27468</v>
      </c>
      <c r="I7144" t="s">
        <v>30</v>
      </c>
      <c r="J7144" t="s">
        <v>41</v>
      </c>
      <c r="K7144" t="s">
        <v>59</v>
      </c>
      <c r="Q7144">
        <v>0</v>
      </c>
      <c r="R7144">
        <v>24</v>
      </c>
      <c r="S7144">
        <v>24</v>
      </c>
      <c r="T7144" t="s">
        <v>27469</v>
      </c>
    </row>
    <row r="7145" spans="1:20" customFormat="1" ht="15" x14ac:dyDescent="0.25">
      <c r="A7145" t="s">
        <v>35</v>
      </c>
      <c r="B7145" t="s">
        <v>61</v>
      </c>
      <c r="C7145" t="str">
        <f>"A0182241"</f>
        <v>A0182241</v>
      </c>
      <c r="D7145" t="s">
        <v>27470</v>
      </c>
      <c r="E7145" t="s">
        <v>27471</v>
      </c>
      <c r="F7145" t="s">
        <v>27472</v>
      </c>
      <c r="G7145" t="s">
        <v>161</v>
      </c>
      <c r="H7145" t="s">
        <v>27473</v>
      </c>
      <c r="I7145" t="s">
        <v>30</v>
      </c>
      <c r="J7145" t="s">
        <v>41</v>
      </c>
      <c r="K7145" t="s">
        <v>59</v>
      </c>
      <c r="Q7145">
        <v>0</v>
      </c>
      <c r="R7145">
        <v>0</v>
      </c>
      <c r="S7145">
        <v>0</v>
      </c>
      <c r="T7145" t="s">
        <v>27474</v>
      </c>
    </row>
    <row r="7146" spans="1:20" customFormat="1" ht="15" x14ac:dyDescent="0.25">
      <c r="A7146" t="s">
        <v>35</v>
      </c>
      <c r="B7146" t="s">
        <v>61</v>
      </c>
      <c r="C7146" t="str">
        <f>"A0182240"</f>
        <v>A0182240</v>
      </c>
      <c r="D7146" t="s">
        <v>27475</v>
      </c>
      <c r="E7146" t="s">
        <v>27476</v>
      </c>
      <c r="F7146" t="s">
        <v>27477</v>
      </c>
      <c r="G7146" t="s">
        <v>161</v>
      </c>
      <c r="H7146" t="s">
        <v>27478</v>
      </c>
      <c r="I7146" t="s">
        <v>30</v>
      </c>
      <c r="J7146" t="s">
        <v>41</v>
      </c>
      <c r="K7146" t="s">
        <v>59</v>
      </c>
      <c r="Q7146">
        <v>0</v>
      </c>
      <c r="R7146">
        <v>0</v>
      </c>
      <c r="S7146">
        <v>0</v>
      </c>
    </row>
    <row r="7147" spans="1:20" customFormat="1" ht="15" x14ac:dyDescent="0.25">
      <c r="A7147" t="s">
        <v>35</v>
      </c>
      <c r="B7147" t="s">
        <v>61</v>
      </c>
      <c r="C7147" t="str">
        <f>"A0182239"</f>
        <v>A0182239</v>
      </c>
      <c r="D7147" t="s">
        <v>27479</v>
      </c>
      <c r="E7147" t="s">
        <v>27480</v>
      </c>
      <c r="F7147" t="s">
        <v>24626</v>
      </c>
      <c r="G7147" t="s">
        <v>161</v>
      </c>
      <c r="H7147">
        <v>55013</v>
      </c>
      <c r="I7147" t="s">
        <v>30</v>
      </c>
      <c r="J7147" t="s">
        <v>41</v>
      </c>
      <c r="K7147" t="s">
        <v>59</v>
      </c>
      <c r="Q7147">
        <v>0</v>
      </c>
      <c r="R7147">
        <v>0</v>
      </c>
      <c r="S7147">
        <v>0</v>
      </c>
      <c r="T7147" t="s">
        <v>27481</v>
      </c>
    </row>
    <row r="7148" spans="1:20" customFormat="1" ht="15" x14ac:dyDescent="0.25">
      <c r="A7148" t="s">
        <v>35</v>
      </c>
      <c r="B7148" t="s">
        <v>61</v>
      </c>
      <c r="C7148" t="str">
        <f>"A0182238"</f>
        <v>A0182238</v>
      </c>
      <c r="D7148" t="s">
        <v>27482</v>
      </c>
      <c r="E7148" t="s">
        <v>27483</v>
      </c>
      <c r="F7148" t="s">
        <v>1948</v>
      </c>
      <c r="G7148" t="s">
        <v>190</v>
      </c>
      <c r="H7148">
        <v>802146023</v>
      </c>
      <c r="I7148" t="s">
        <v>30</v>
      </c>
      <c r="J7148" t="s">
        <v>41</v>
      </c>
      <c r="K7148" t="s">
        <v>59</v>
      </c>
      <c r="Q7148">
        <v>0</v>
      </c>
      <c r="R7148">
        <v>0</v>
      </c>
      <c r="S7148">
        <v>0</v>
      </c>
      <c r="T7148" t="s">
        <v>27484</v>
      </c>
    </row>
    <row r="7149" spans="1:20" customFormat="1" ht="15" x14ac:dyDescent="0.25">
      <c r="A7149" t="s">
        <v>35</v>
      </c>
      <c r="B7149" t="s">
        <v>61</v>
      </c>
      <c r="C7149" t="str">
        <f>"A0182237"</f>
        <v>A0182237</v>
      </c>
      <c r="D7149" t="s">
        <v>27485</v>
      </c>
      <c r="E7149" t="s">
        <v>27486</v>
      </c>
      <c r="F7149" t="s">
        <v>14704</v>
      </c>
      <c r="G7149" t="s">
        <v>110</v>
      </c>
      <c r="H7149" t="s">
        <v>27487</v>
      </c>
      <c r="I7149" t="s">
        <v>30</v>
      </c>
      <c r="J7149" t="s">
        <v>41</v>
      </c>
      <c r="K7149" t="s">
        <v>59</v>
      </c>
      <c r="Q7149">
        <v>0</v>
      </c>
      <c r="R7149">
        <v>0</v>
      </c>
      <c r="S7149">
        <v>0</v>
      </c>
      <c r="T7149" t="s">
        <v>27488</v>
      </c>
    </row>
    <row r="7150" spans="1:20" customFormat="1" ht="15" x14ac:dyDescent="0.25">
      <c r="A7150" t="s">
        <v>35</v>
      </c>
      <c r="B7150" t="s">
        <v>61</v>
      </c>
      <c r="C7150" t="str">
        <f>"A0182236"</f>
        <v>A0182236</v>
      </c>
      <c r="D7150" t="s">
        <v>27489</v>
      </c>
      <c r="E7150" t="s">
        <v>27490</v>
      </c>
      <c r="F7150" t="s">
        <v>8047</v>
      </c>
      <c r="G7150" t="s">
        <v>110</v>
      </c>
      <c r="H7150" t="s">
        <v>27491</v>
      </c>
      <c r="I7150" t="s">
        <v>30</v>
      </c>
      <c r="J7150" t="s">
        <v>41</v>
      </c>
      <c r="K7150" t="s">
        <v>59</v>
      </c>
      <c r="Q7150">
        <v>0</v>
      </c>
      <c r="R7150">
        <v>0</v>
      </c>
      <c r="S7150">
        <v>0</v>
      </c>
    </row>
    <row r="7151" spans="1:20" customFormat="1" ht="15" x14ac:dyDescent="0.25">
      <c r="A7151" t="s">
        <v>35</v>
      </c>
      <c r="B7151" t="s">
        <v>61</v>
      </c>
      <c r="C7151" t="str">
        <f>"A0182235"</f>
        <v>A0182235</v>
      </c>
      <c r="D7151" t="s">
        <v>27492</v>
      </c>
      <c r="E7151" t="s">
        <v>27493</v>
      </c>
      <c r="F7151" t="s">
        <v>9881</v>
      </c>
      <c r="G7151" t="s">
        <v>110</v>
      </c>
      <c r="H7151" t="s">
        <v>27494</v>
      </c>
      <c r="I7151" t="s">
        <v>30</v>
      </c>
      <c r="J7151" t="s">
        <v>41</v>
      </c>
      <c r="K7151" t="s">
        <v>59</v>
      </c>
      <c r="Q7151">
        <v>0</v>
      </c>
      <c r="R7151">
        <v>0</v>
      </c>
      <c r="S7151">
        <v>0</v>
      </c>
    </row>
    <row r="7152" spans="1:20" customFormat="1" ht="15" x14ac:dyDescent="0.25">
      <c r="A7152" t="s">
        <v>35</v>
      </c>
      <c r="B7152" t="s">
        <v>61</v>
      </c>
      <c r="C7152" t="str">
        <f>"A0182234"</f>
        <v>A0182234</v>
      </c>
      <c r="D7152" t="s">
        <v>27495</v>
      </c>
      <c r="E7152" t="s">
        <v>27496</v>
      </c>
      <c r="F7152" t="s">
        <v>9128</v>
      </c>
      <c r="G7152" t="s">
        <v>110</v>
      </c>
      <c r="H7152">
        <v>946052076</v>
      </c>
      <c r="I7152" t="s">
        <v>30</v>
      </c>
      <c r="J7152" t="s">
        <v>41</v>
      </c>
      <c r="K7152" t="s">
        <v>59</v>
      </c>
      <c r="Q7152">
        <v>0</v>
      </c>
      <c r="R7152">
        <v>0</v>
      </c>
      <c r="S7152">
        <v>0</v>
      </c>
    </row>
    <row r="7153" spans="1:20" customFormat="1" ht="15" x14ac:dyDescent="0.25">
      <c r="A7153" t="s">
        <v>35</v>
      </c>
      <c r="B7153" t="s">
        <v>61</v>
      </c>
      <c r="C7153" t="str">
        <f>"A0182233"</f>
        <v>A0182233</v>
      </c>
      <c r="D7153" t="s">
        <v>27497</v>
      </c>
      <c r="E7153" t="s">
        <v>27498</v>
      </c>
      <c r="F7153" t="s">
        <v>24406</v>
      </c>
      <c r="G7153" t="s">
        <v>190</v>
      </c>
      <c r="H7153">
        <v>80033</v>
      </c>
      <c r="I7153" t="s">
        <v>30</v>
      </c>
      <c r="J7153" t="s">
        <v>41</v>
      </c>
      <c r="K7153" t="s">
        <v>59</v>
      </c>
      <c r="Q7153">
        <v>0</v>
      </c>
      <c r="R7153">
        <v>168</v>
      </c>
      <c r="S7153">
        <v>168</v>
      </c>
      <c r="T7153" t="s">
        <v>27499</v>
      </c>
    </row>
    <row r="7154" spans="1:20" customFormat="1" ht="15" x14ac:dyDescent="0.25">
      <c r="A7154" t="s">
        <v>35</v>
      </c>
      <c r="B7154" t="s">
        <v>61</v>
      </c>
      <c r="C7154" t="str">
        <f>"A0182232"</f>
        <v>A0182232</v>
      </c>
      <c r="D7154" t="s">
        <v>27500</v>
      </c>
      <c r="E7154" t="s">
        <v>27501</v>
      </c>
      <c r="F7154" t="s">
        <v>8081</v>
      </c>
      <c r="G7154" t="s">
        <v>110</v>
      </c>
      <c r="H7154" t="s">
        <v>27502</v>
      </c>
      <c r="I7154" t="s">
        <v>30</v>
      </c>
      <c r="J7154" t="s">
        <v>41</v>
      </c>
      <c r="K7154" t="s">
        <v>59</v>
      </c>
      <c r="Q7154">
        <v>0</v>
      </c>
      <c r="R7154">
        <v>46</v>
      </c>
      <c r="S7154">
        <v>46</v>
      </c>
      <c r="T7154" t="s">
        <v>27503</v>
      </c>
    </row>
    <row r="7155" spans="1:20" customFormat="1" ht="15" x14ac:dyDescent="0.25">
      <c r="A7155" t="s">
        <v>35</v>
      </c>
      <c r="B7155" t="s">
        <v>61</v>
      </c>
      <c r="C7155" t="str">
        <f>"A0182231"</f>
        <v>A0182231</v>
      </c>
      <c r="D7155" t="s">
        <v>27504</v>
      </c>
      <c r="E7155" t="s">
        <v>27505</v>
      </c>
      <c r="F7155" t="s">
        <v>7362</v>
      </c>
      <c r="G7155" t="s">
        <v>110</v>
      </c>
      <c r="H7155" t="s">
        <v>27506</v>
      </c>
      <c r="I7155" t="s">
        <v>30</v>
      </c>
      <c r="J7155" t="s">
        <v>41</v>
      </c>
      <c r="K7155" t="s">
        <v>59</v>
      </c>
      <c r="Q7155">
        <v>0</v>
      </c>
      <c r="R7155">
        <v>0</v>
      </c>
      <c r="S7155">
        <v>0</v>
      </c>
    </row>
    <row r="7156" spans="1:20" customFormat="1" ht="15" x14ac:dyDescent="0.25">
      <c r="A7156" t="s">
        <v>35</v>
      </c>
      <c r="B7156" t="s">
        <v>61</v>
      </c>
      <c r="C7156" t="str">
        <f>"A0182230"</f>
        <v>A0182230</v>
      </c>
      <c r="D7156" t="s">
        <v>27507</v>
      </c>
      <c r="E7156" t="s">
        <v>27508</v>
      </c>
      <c r="F7156" t="s">
        <v>21579</v>
      </c>
      <c r="G7156" t="s">
        <v>161</v>
      </c>
      <c r="H7156" t="s">
        <v>27509</v>
      </c>
      <c r="I7156" t="s">
        <v>30</v>
      </c>
      <c r="J7156" t="s">
        <v>41</v>
      </c>
      <c r="K7156" t="s">
        <v>59</v>
      </c>
      <c r="Q7156">
        <v>0</v>
      </c>
      <c r="R7156">
        <v>0</v>
      </c>
      <c r="S7156">
        <v>0</v>
      </c>
    </row>
    <row r="7157" spans="1:20" customFormat="1" ht="15" x14ac:dyDescent="0.25">
      <c r="A7157" t="s">
        <v>35</v>
      </c>
      <c r="B7157" t="s">
        <v>61</v>
      </c>
      <c r="C7157" t="str">
        <f>"A0182229"</f>
        <v>A0182229</v>
      </c>
      <c r="D7157" t="s">
        <v>27510</v>
      </c>
      <c r="E7157" t="s">
        <v>27511</v>
      </c>
      <c r="F7157" t="s">
        <v>19689</v>
      </c>
      <c r="G7157" t="s">
        <v>161</v>
      </c>
      <c r="H7157" t="s">
        <v>27512</v>
      </c>
      <c r="I7157" t="s">
        <v>30</v>
      </c>
      <c r="J7157" t="s">
        <v>41</v>
      </c>
      <c r="K7157" t="s">
        <v>59</v>
      </c>
      <c r="Q7157">
        <v>0</v>
      </c>
      <c r="R7157">
        <v>0</v>
      </c>
      <c r="S7157">
        <v>0</v>
      </c>
      <c r="T7157" t="s">
        <v>27513</v>
      </c>
    </row>
    <row r="7158" spans="1:20" customFormat="1" ht="15" x14ac:dyDescent="0.25">
      <c r="A7158" t="s">
        <v>35</v>
      </c>
      <c r="B7158" t="s">
        <v>61</v>
      </c>
      <c r="C7158" t="str">
        <f>"A0182228"</f>
        <v>A0182228</v>
      </c>
      <c r="D7158" t="s">
        <v>27514</v>
      </c>
      <c r="E7158" t="s">
        <v>27515</v>
      </c>
      <c r="F7158" t="s">
        <v>26163</v>
      </c>
      <c r="G7158" t="s">
        <v>899</v>
      </c>
      <c r="H7158" t="s">
        <v>27516</v>
      </c>
      <c r="I7158" t="s">
        <v>30</v>
      </c>
      <c r="J7158" t="s">
        <v>41</v>
      </c>
      <c r="K7158" t="s">
        <v>59</v>
      </c>
      <c r="Q7158">
        <v>0</v>
      </c>
      <c r="R7158">
        <v>88</v>
      </c>
      <c r="S7158">
        <v>88</v>
      </c>
      <c r="T7158" t="s">
        <v>27517</v>
      </c>
    </row>
    <row r="7159" spans="1:20" customFormat="1" ht="15" x14ac:dyDescent="0.25">
      <c r="A7159" t="s">
        <v>35</v>
      </c>
      <c r="B7159" t="s">
        <v>61</v>
      </c>
      <c r="C7159" t="str">
        <f>"A0182227"</f>
        <v>A0182227</v>
      </c>
      <c r="D7159" t="s">
        <v>27518</v>
      </c>
      <c r="E7159" t="s">
        <v>27519</v>
      </c>
      <c r="F7159" t="s">
        <v>6019</v>
      </c>
      <c r="G7159" t="s">
        <v>899</v>
      </c>
      <c r="H7159" t="s">
        <v>27520</v>
      </c>
      <c r="I7159" t="s">
        <v>30</v>
      </c>
      <c r="J7159" t="s">
        <v>41</v>
      </c>
      <c r="K7159" t="s">
        <v>59</v>
      </c>
      <c r="Q7159">
        <v>0</v>
      </c>
      <c r="R7159">
        <v>0</v>
      </c>
      <c r="S7159">
        <v>0</v>
      </c>
      <c r="T7159" t="s">
        <v>27521</v>
      </c>
    </row>
    <row r="7160" spans="1:20" customFormat="1" ht="15" x14ac:dyDescent="0.25">
      <c r="A7160" t="s">
        <v>35</v>
      </c>
      <c r="B7160" t="s">
        <v>61</v>
      </c>
      <c r="C7160" t="str">
        <f>"A0182226"</f>
        <v>A0182226</v>
      </c>
      <c r="D7160" t="s">
        <v>27522</v>
      </c>
      <c r="E7160" t="s">
        <v>27523</v>
      </c>
      <c r="F7160" t="s">
        <v>25224</v>
      </c>
      <c r="G7160" t="s">
        <v>161</v>
      </c>
      <c r="H7160" t="s">
        <v>27524</v>
      </c>
      <c r="I7160" t="s">
        <v>30</v>
      </c>
      <c r="J7160" t="s">
        <v>41</v>
      </c>
      <c r="K7160" t="s">
        <v>59</v>
      </c>
      <c r="Q7160">
        <v>0</v>
      </c>
      <c r="R7160">
        <v>0</v>
      </c>
      <c r="S7160">
        <v>0</v>
      </c>
    </row>
    <row r="7161" spans="1:20" customFormat="1" ht="15" x14ac:dyDescent="0.25">
      <c r="A7161" t="s">
        <v>35</v>
      </c>
      <c r="B7161" t="s">
        <v>61</v>
      </c>
      <c r="C7161" t="str">
        <f>"A0182225"</f>
        <v>A0182225</v>
      </c>
      <c r="D7161" t="s">
        <v>10179</v>
      </c>
      <c r="E7161" t="s">
        <v>27525</v>
      </c>
      <c r="F7161" t="s">
        <v>25388</v>
      </c>
      <c r="G7161" t="s">
        <v>99</v>
      </c>
      <c r="H7161" t="s">
        <v>27526</v>
      </c>
      <c r="I7161" t="s">
        <v>30</v>
      </c>
      <c r="J7161" t="s">
        <v>41</v>
      </c>
      <c r="K7161" t="s">
        <v>59</v>
      </c>
      <c r="Q7161">
        <v>0</v>
      </c>
      <c r="R7161">
        <v>160</v>
      </c>
      <c r="S7161">
        <v>160</v>
      </c>
      <c r="T7161" t="s">
        <v>27527</v>
      </c>
    </row>
    <row r="7162" spans="1:20" customFormat="1" ht="15" x14ac:dyDescent="0.25">
      <c r="A7162" t="s">
        <v>35</v>
      </c>
      <c r="B7162" t="s">
        <v>61</v>
      </c>
      <c r="C7162" t="str">
        <f>"A0182224"</f>
        <v>A0182224</v>
      </c>
      <c r="D7162" t="s">
        <v>27528</v>
      </c>
      <c r="E7162" t="s">
        <v>27529</v>
      </c>
      <c r="F7162" t="s">
        <v>5772</v>
      </c>
      <c r="G7162" t="s">
        <v>99</v>
      </c>
      <c r="H7162" t="s">
        <v>26698</v>
      </c>
      <c r="I7162" t="s">
        <v>30</v>
      </c>
      <c r="J7162" t="s">
        <v>41</v>
      </c>
      <c r="K7162" t="s">
        <v>59</v>
      </c>
      <c r="Q7162">
        <v>0</v>
      </c>
      <c r="R7162">
        <v>0</v>
      </c>
      <c r="S7162">
        <v>0</v>
      </c>
      <c r="T7162" t="s">
        <v>27530</v>
      </c>
    </row>
    <row r="7163" spans="1:20" customFormat="1" ht="15" x14ac:dyDescent="0.25">
      <c r="A7163" t="s">
        <v>35</v>
      </c>
      <c r="B7163" t="s">
        <v>61</v>
      </c>
      <c r="C7163" t="str">
        <f>"A0182223"</f>
        <v>A0182223</v>
      </c>
      <c r="D7163" t="s">
        <v>27531</v>
      </c>
      <c r="E7163" t="s">
        <v>27532</v>
      </c>
      <c r="F7163" t="s">
        <v>5772</v>
      </c>
      <c r="G7163" t="s">
        <v>99</v>
      </c>
      <c r="H7163">
        <v>14612</v>
      </c>
      <c r="I7163" t="s">
        <v>30</v>
      </c>
      <c r="J7163" t="s">
        <v>41</v>
      </c>
      <c r="K7163" t="s">
        <v>59</v>
      </c>
      <c r="Q7163">
        <v>0</v>
      </c>
      <c r="R7163">
        <v>0</v>
      </c>
      <c r="S7163">
        <v>0</v>
      </c>
      <c r="T7163" t="s">
        <v>27533</v>
      </c>
    </row>
    <row r="7164" spans="1:20" customFormat="1" ht="15" x14ac:dyDescent="0.25">
      <c r="A7164" t="s">
        <v>35</v>
      </c>
      <c r="B7164" t="s">
        <v>61</v>
      </c>
      <c r="C7164" t="str">
        <f>"A0182222"</f>
        <v>A0182222</v>
      </c>
      <c r="D7164" t="s">
        <v>27534</v>
      </c>
      <c r="E7164" t="s">
        <v>27535</v>
      </c>
      <c r="F7164" t="s">
        <v>27536</v>
      </c>
      <c r="G7164" t="s">
        <v>99</v>
      </c>
      <c r="H7164" t="s">
        <v>27537</v>
      </c>
      <c r="I7164" t="s">
        <v>30</v>
      </c>
      <c r="J7164" t="s">
        <v>41</v>
      </c>
      <c r="K7164" t="s">
        <v>59</v>
      </c>
      <c r="Q7164">
        <v>0</v>
      </c>
      <c r="R7164">
        <v>350</v>
      </c>
      <c r="S7164">
        <v>350</v>
      </c>
      <c r="T7164" t="s">
        <v>27538</v>
      </c>
    </row>
    <row r="7165" spans="1:20" customFormat="1" ht="15" x14ac:dyDescent="0.25">
      <c r="A7165" t="s">
        <v>35</v>
      </c>
      <c r="B7165" t="s">
        <v>11871</v>
      </c>
      <c r="C7165" t="str">
        <f>"A0182221"</f>
        <v>A0182221</v>
      </c>
      <c r="D7165" t="s">
        <v>27539</v>
      </c>
      <c r="E7165" t="s">
        <v>26189</v>
      </c>
      <c r="F7165" t="s">
        <v>26190</v>
      </c>
      <c r="G7165" t="s">
        <v>99</v>
      </c>
      <c r="H7165" t="s">
        <v>26191</v>
      </c>
      <c r="I7165" t="s">
        <v>30</v>
      </c>
      <c r="J7165" t="s">
        <v>41</v>
      </c>
      <c r="K7165" t="s">
        <v>59</v>
      </c>
      <c r="Q7165">
        <v>0</v>
      </c>
      <c r="R7165">
        <v>0</v>
      </c>
      <c r="S7165">
        <v>0</v>
      </c>
      <c r="T7165" t="s">
        <v>27540</v>
      </c>
    </row>
    <row r="7166" spans="1:20" customFormat="1" ht="15" x14ac:dyDescent="0.25">
      <c r="A7166" t="s">
        <v>35</v>
      </c>
      <c r="B7166" t="s">
        <v>61</v>
      </c>
      <c r="C7166" t="str">
        <f>"A0182220"</f>
        <v>A0182220</v>
      </c>
      <c r="D7166" t="s">
        <v>27541</v>
      </c>
      <c r="E7166" t="s">
        <v>27542</v>
      </c>
      <c r="F7166" t="s">
        <v>18481</v>
      </c>
      <c r="G7166" t="s">
        <v>47</v>
      </c>
      <c r="H7166">
        <v>971321850</v>
      </c>
      <c r="I7166" t="s">
        <v>30</v>
      </c>
      <c r="J7166" t="s">
        <v>41</v>
      </c>
      <c r="K7166" t="s">
        <v>59</v>
      </c>
      <c r="Q7166">
        <v>0</v>
      </c>
      <c r="R7166">
        <v>29</v>
      </c>
      <c r="S7166">
        <v>29</v>
      </c>
      <c r="T7166" t="s">
        <v>27543</v>
      </c>
    </row>
    <row r="7167" spans="1:20" customFormat="1" ht="15" x14ac:dyDescent="0.25">
      <c r="A7167" t="s">
        <v>35</v>
      </c>
      <c r="B7167" t="s">
        <v>61</v>
      </c>
      <c r="C7167" t="str">
        <f>"A0182219"</f>
        <v>A0182219</v>
      </c>
      <c r="D7167" t="s">
        <v>27544</v>
      </c>
      <c r="E7167" t="s">
        <v>27545</v>
      </c>
      <c r="F7167" t="s">
        <v>9787</v>
      </c>
      <c r="G7167" t="s">
        <v>47</v>
      </c>
      <c r="H7167">
        <v>975264807</v>
      </c>
      <c r="I7167" t="s">
        <v>30</v>
      </c>
      <c r="J7167" t="s">
        <v>41</v>
      </c>
      <c r="K7167" t="s">
        <v>59</v>
      </c>
      <c r="Q7167">
        <v>0</v>
      </c>
      <c r="R7167">
        <v>0</v>
      </c>
      <c r="S7167">
        <v>0</v>
      </c>
    </row>
    <row r="7168" spans="1:20" customFormat="1" ht="15" x14ac:dyDescent="0.25">
      <c r="A7168" t="s">
        <v>35</v>
      </c>
      <c r="B7168" t="s">
        <v>61</v>
      </c>
      <c r="C7168" t="str">
        <f>"A0182218"</f>
        <v>A0182218</v>
      </c>
      <c r="D7168" t="s">
        <v>27546</v>
      </c>
      <c r="E7168" t="s">
        <v>27547</v>
      </c>
      <c r="F7168" t="s">
        <v>1431</v>
      </c>
      <c r="G7168" t="s">
        <v>47</v>
      </c>
      <c r="H7168">
        <v>972228030</v>
      </c>
      <c r="I7168" t="s">
        <v>30</v>
      </c>
      <c r="J7168" t="s">
        <v>41</v>
      </c>
      <c r="K7168" t="s">
        <v>59</v>
      </c>
      <c r="Q7168">
        <v>0</v>
      </c>
      <c r="R7168">
        <v>120</v>
      </c>
      <c r="S7168">
        <v>120</v>
      </c>
      <c r="T7168" t="s">
        <v>27548</v>
      </c>
    </row>
    <row r="7169" spans="1:20" customFormat="1" ht="15" x14ac:dyDescent="0.25">
      <c r="A7169" t="s">
        <v>35</v>
      </c>
      <c r="B7169" t="s">
        <v>61</v>
      </c>
      <c r="C7169" t="str">
        <f>"A0182217"</f>
        <v>A0182217</v>
      </c>
      <c r="D7169" t="s">
        <v>27549</v>
      </c>
      <c r="E7169" t="s">
        <v>27550</v>
      </c>
      <c r="F7169" t="s">
        <v>27551</v>
      </c>
      <c r="G7169" t="s">
        <v>47</v>
      </c>
      <c r="H7169">
        <v>974671791</v>
      </c>
      <c r="I7169" t="s">
        <v>30</v>
      </c>
      <c r="J7169" t="s">
        <v>41</v>
      </c>
      <c r="K7169" t="s">
        <v>59</v>
      </c>
      <c r="Q7169">
        <v>0</v>
      </c>
      <c r="R7169">
        <v>0</v>
      </c>
      <c r="S7169">
        <v>0</v>
      </c>
      <c r="T7169" t="s">
        <v>27552</v>
      </c>
    </row>
    <row r="7170" spans="1:20" customFormat="1" ht="15" x14ac:dyDescent="0.25">
      <c r="A7170" t="s">
        <v>35</v>
      </c>
      <c r="B7170" t="s">
        <v>15885</v>
      </c>
      <c r="C7170" t="str">
        <f>"A0182216"</f>
        <v>A0182216</v>
      </c>
      <c r="D7170" t="s">
        <v>27553</v>
      </c>
      <c r="E7170" t="s">
        <v>27554</v>
      </c>
      <c r="F7170" t="s">
        <v>1948</v>
      </c>
      <c r="G7170" t="s">
        <v>190</v>
      </c>
      <c r="H7170">
        <v>802262908</v>
      </c>
      <c r="I7170" t="s">
        <v>30</v>
      </c>
      <c r="J7170" t="s">
        <v>41</v>
      </c>
      <c r="K7170" t="s">
        <v>59</v>
      </c>
      <c r="Q7170">
        <v>0</v>
      </c>
      <c r="R7170">
        <v>0</v>
      </c>
      <c r="S7170">
        <v>0</v>
      </c>
      <c r="T7170" t="s">
        <v>27555</v>
      </c>
    </row>
    <row r="7171" spans="1:20" customFormat="1" ht="15" x14ac:dyDescent="0.25">
      <c r="A7171" t="s">
        <v>35</v>
      </c>
      <c r="B7171" t="s">
        <v>61</v>
      </c>
      <c r="C7171" t="str">
        <f>"A0182215"</f>
        <v>A0182215</v>
      </c>
      <c r="D7171" t="s">
        <v>27556</v>
      </c>
      <c r="E7171" t="s">
        <v>27557</v>
      </c>
      <c r="F7171" t="s">
        <v>26823</v>
      </c>
      <c r="G7171" t="s">
        <v>190</v>
      </c>
      <c r="H7171">
        <v>801222397</v>
      </c>
      <c r="I7171" t="s">
        <v>30</v>
      </c>
      <c r="J7171" t="s">
        <v>41</v>
      </c>
      <c r="K7171" t="s">
        <v>59</v>
      </c>
      <c r="Q7171">
        <v>0</v>
      </c>
      <c r="R7171">
        <v>0</v>
      </c>
      <c r="S7171">
        <v>0</v>
      </c>
    </row>
    <row r="7172" spans="1:20" customFormat="1" ht="15" x14ac:dyDescent="0.25">
      <c r="A7172" t="s">
        <v>35</v>
      </c>
      <c r="B7172" t="s">
        <v>61</v>
      </c>
      <c r="C7172" t="str">
        <f>"A0182214"</f>
        <v>A0182214</v>
      </c>
      <c r="D7172" t="s">
        <v>27558</v>
      </c>
      <c r="E7172" t="s">
        <v>27559</v>
      </c>
      <c r="F7172" t="s">
        <v>27560</v>
      </c>
      <c r="G7172" t="s">
        <v>190</v>
      </c>
      <c r="H7172">
        <v>801123861</v>
      </c>
      <c r="I7172" t="s">
        <v>30</v>
      </c>
      <c r="J7172" t="s">
        <v>41</v>
      </c>
      <c r="K7172" t="s">
        <v>59</v>
      </c>
      <c r="Q7172">
        <v>0</v>
      </c>
      <c r="R7172">
        <v>0</v>
      </c>
      <c r="S7172">
        <v>0</v>
      </c>
      <c r="T7172" t="s">
        <v>26824</v>
      </c>
    </row>
    <row r="7173" spans="1:20" customFormat="1" ht="15" x14ac:dyDescent="0.25">
      <c r="A7173" t="s">
        <v>35</v>
      </c>
      <c r="B7173" t="s">
        <v>61</v>
      </c>
      <c r="C7173" t="str">
        <f>"A0182213"</f>
        <v>A0182213</v>
      </c>
      <c r="D7173" t="s">
        <v>27561</v>
      </c>
      <c r="E7173" t="s">
        <v>27562</v>
      </c>
      <c r="F7173" t="s">
        <v>9135</v>
      </c>
      <c r="G7173" t="s">
        <v>110</v>
      </c>
      <c r="H7173" t="s">
        <v>27563</v>
      </c>
      <c r="I7173" t="s">
        <v>30</v>
      </c>
      <c r="J7173" t="s">
        <v>41</v>
      </c>
      <c r="K7173" t="s">
        <v>59</v>
      </c>
      <c r="Q7173">
        <v>0</v>
      </c>
      <c r="R7173">
        <v>0</v>
      </c>
      <c r="S7173">
        <v>0</v>
      </c>
      <c r="T7173" t="s">
        <v>27564</v>
      </c>
    </row>
    <row r="7174" spans="1:20" customFormat="1" ht="15" x14ac:dyDescent="0.25">
      <c r="A7174" t="s">
        <v>35</v>
      </c>
      <c r="B7174" t="s">
        <v>61</v>
      </c>
      <c r="C7174" t="str">
        <f>"A0182212"</f>
        <v>A0182212</v>
      </c>
      <c r="D7174" t="s">
        <v>27565</v>
      </c>
      <c r="E7174" t="s">
        <v>27566</v>
      </c>
      <c r="F7174" t="s">
        <v>21265</v>
      </c>
      <c r="G7174" t="s">
        <v>925</v>
      </c>
      <c r="H7174" t="s">
        <v>27567</v>
      </c>
      <c r="I7174" t="s">
        <v>30</v>
      </c>
      <c r="J7174" t="s">
        <v>41</v>
      </c>
      <c r="K7174" t="s">
        <v>59</v>
      </c>
      <c r="Q7174">
        <v>0</v>
      </c>
      <c r="R7174">
        <v>0</v>
      </c>
      <c r="S7174">
        <v>0</v>
      </c>
    </row>
    <row r="7175" spans="1:20" customFormat="1" ht="15" x14ac:dyDescent="0.25">
      <c r="A7175" t="s">
        <v>35</v>
      </c>
      <c r="B7175" t="s">
        <v>61</v>
      </c>
      <c r="C7175" t="str">
        <f>"A0182211"</f>
        <v>A0182211</v>
      </c>
      <c r="D7175" t="s">
        <v>24942</v>
      </c>
      <c r="E7175" t="s">
        <v>27568</v>
      </c>
      <c r="F7175" t="s">
        <v>21265</v>
      </c>
      <c r="G7175" t="s">
        <v>925</v>
      </c>
      <c r="H7175" t="s">
        <v>27569</v>
      </c>
      <c r="I7175" t="s">
        <v>30</v>
      </c>
      <c r="J7175" t="s">
        <v>41</v>
      </c>
      <c r="K7175" t="s">
        <v>59</v>
      </c>
      <c r="Q7175">
        <v>0</v>
      </c>
      <c r="R7175">
        <v>269</v>
      </c>
      <c r="S7175">
        <v>269</v>
      </c>
      <c r="T7175" t="s">
        <v>24945</v>
      </c>
    </row>
    <row r="7176" spans="1:20" customFormat="1" ht="15" x14ac:dyDescent="0.25">
      <c r="A7176" t="s">
        <v>35</v>
      </c>
      <c r="B7176" t="s">
        <v>61</v>
      </c>
      <c r="C7176" t="str">
        <f>"A0182210"</f>
        <v>A0182210</v>
      </c>
      <c r="D7176" t="s">
        <v>27570</v>
      </c>
      <c r="E7176" t="s">
        <v>27571</v>
      </c>
      <c r="F7176" t="s">
        <v>27572</v>
      </c>
      <c r="G7176" t="s">
        <v>925</v>
      </c>
      <c r="H7176" t="s">
        <v>27573</v>
      </c>
      <c r="I7176" t="s">
        <v>30</v>
      </c>
      <c r="J7176" t="s">
        <v>41</v>
      </c>
      <c r="K7176" t="s">
        <v>59</v>
      </c>
      <c r="Q7176">
        <v>0</v>
      </c>
      <c r="R7176">
        <v>45</v>
      </c>
      <c r="S7176">
        <v>45</v>
      </c>
      <c r="T7176" t="s">
        <v>27574</v>
      </c>
    </row>
    <row r="7177" spans="1:20" customFormat="1" ht="15" x14ac:dyDescent="0.25">
      <c r="A7177" t="s">
        <v>35</v>
      </c>
      <c r="B7177" t="s">
        <v>61</v>
      </c>
      <c r="C7177" t="str">
        <f>"A0182209"</f>
        <v>A0182209</v>
      </c>
      <c r="D7177" t="s">
        <v>27575</v>
      </c>
      <c r="E7177" t="s">
        <v>27576</v>
      </c>
      <c r="F7177" t="s">
        <v>25313</v>
      </c>
      <c r="G7177" t="s">
        <v>925</v>
      </c>
      <c r="H7177" t="s">
        <v>27577</v>
      </c>
      <c r="I7177" t="s">
        <v>30</v>
      </c>
      <c r="J7177" t="s">
        <v>41</v>
      </c>
      <c r="K7177" t="s">
        <v>59</v>
      </c>
      <c r="Q7177">
        <v>0</v>
      </c>
      <c r="R7177">
        <v>0</v>
      </c>
      <c r="S7177">
        <v>0</v>
      </c>
    </row>
    <row r="7178" spans="1:20" customFormat="1" ht="15" x14ac:dyDescent="0.25">
      <c r="A7178" t="s">
        <v>35</v>
      </c>
      <c r="B7178" t="s">
        <v>61</v>
      </c>
      <c r="C7178" t="str">
        <f>"A0182208"</f>
        <v>A0182208</v>
      </c>
      <c r="D7178" t="s">
        <v>27578</v>
      </c>
      <c r="E7178" t="s">
        <v>27579</v>
      </c>
      <c r="F7178" t="s">
        <v>2784</v>
      </c>
      <c r="G7178" t="s">
        <v>925</v>
      </c>
      <c r="H7178" t="s">
        <v>27580</v>
      </c>
      <c r="I7178" t="s">
        <v>30</v>
      </c>
      <c r="J7178" t="s">
        <v>41</v>
      </c>
      <c r="K7178" t="s">
        <v>59</v>
      </c>
      <c r="Q7178">
        <v>0</v>
      </c>
      <c r="R7178">
        <v>0</v>
      </c>
      <c r="S7178">
        <v>0</v>
      </c>
      <c r="T7178" t="s">
        <v>27581</v>
      </c>
    </row>
    <row r="7179" spans="1:20" customFormat="1" ht="15" x14ac:dyDescent="0.25">
      <c r="A7179" t="s">
        <v>35</v>
      </c>
      <c r="B7179" t="s">
        <v>61</v>
      </c>
      <c r="C7179" t="str">
        <f>"A0182207"</f>
        <v>A0182207</v>
      </c>
      <c r="D7179" t="s">
        <v>27582</v>
      </c>
      <c r="E7179" t="s">
        <v>27583</v>
      </c>
      <c r="F7179" t="s">
        <v>27584</v>
      </c>
      <c r="G7179" t="s">
        <v>1170</v>
      </c>
      <c r="H7179" t="s">
        <v>27585</v>
      </c>
      <c r="I7179" t="s">
        <v>30</v>
      </c>
      <c r="J7179" t="s">
        <v>41</v>
      </c>
      <c r="K7179" t="s">
        <v>59</v>
      </c>
      <c r="Q7179">
        <v>0</v>
      </c>
      <c r="R7179">
        <v>0</v>
      </c>
      <c r="S7179">
        <v>0</v>
      </c>
    </row>
    <row r="7180" spans="1:20" customFormat="1" ht="15" x14ac:dyDescent="0.25">
      <c r="A7180" t="s">
        <v>35</v>
      </c>
      <c r="B7180" t="s">
        <v>11892</v>
      </c>
      <c r="C7180" t="str">
        <f>"A0182206"</f>
        <v>A0182206</v>
      </c>
      <c r="D7180" t="s">
        <v>27586</v>
      </c>
      <c r="E7180" t="s">
        <v>27587</v>
      </c>
      <c r="F7180" t="s">
        <v>26876</v>
      </c>
      <c r="G7180" t="s">
        <v>117</v>
      </c>
      <c r="H7180" t="s">
        <v>27588</v>
      </c>
      <c r="I7180" t="s">
        <v>30</v>
      </c>
      <c r="J7180" t="s">
        <v>41</v>
      </c>
      <c r="K7180" t="s">
        <v>59</v>
      </c>
      <c r="Q7180">
        <v>0</v>
      </c>
      <c r="R7180">
        <v>40</v>
      </c>
      <c r="S7180">
        <v>40</v>
      </c>
      <c r="T7180" t="s">
        <v>27589</v>
      </c>
    </row>
    <row r="7181" spans="1:20" customFormat="1" ht="15" x14ac:dyDescent="0.25">
      <c r="A7181" t="s">
        <v>35</v>
      </c>
      <c r="B7181" t="s">
        <v>61</v>
      </c>
      <c r="C7181" t="str">
        <f>"A0182205"</f>
        <v>A0182205</v>
      </c>
      <c r="D7181" t="s">
        <v>27590</v>
      </c>
      <c r="E7181" t="s">
        <v>27591</v>
      </c>
      <c r="F7181" t="s">
        <v>7257</v>
      </c>
      <c r="G7181" t="s">
        <v>1898</v>
      </c>
      <c r="H7181" t="s">
        <v>27592</v>
      </c>
      <c r="I7181" t="s">
        <v>30</v>
      </c>
      <c r="J7181" t="s">
        <v>41</v>
      </c>
      <c r="K7181" t="s">
        <v>59</v>
      </c>
      <c r="Q7181">
        <v>0</v>
      </c>
      <c r="R7181">
        <v>145</v>
      </c>
      <c r="S7181">
        <v>145</v>
      </c>
      <c r="T7181" t="s">
        <v>27593</v>
      </c>
    </row>
    <row r="7182" spans="1:20" customFormat="1" ht="15" x14ac:dyDescent="0.25">
      <c r="A7182" t="s">
        <v>35</v>
      </c>
      <c r="B7182" t="s">
        <v>61</v>
      </c>
      <c r="C7182" t="str">
        <f>"A0182204"</f>
        <v>A0182204</v>
      </c>
      <c r="D7182" t="s">
        <v>27594</v>
      </c>
      <c r="E7182" t="s">
        <v>27595</v>
      </c>
      <c r="F7182" t="s">
        <v>7501</v>
      </c>
      <c r="G7182" t="s">
        <v>1898</v>
      </c>
      <c r="H7182">
        <v>503270946</v>
      </c>
      <c r="I7182" t="s">
        <v>30</v>
      </c>
      <c r="J7182" t="s">
        <v>41</v>
      </c>
      <c r="K7182" t="s">
        <v>59</v>
      </c>
      <c r="Q7182">
        <v>0</v>
      </c>
      <c r="R7182">
        <v>47</v>
      </c>
      <c r="S7182">
        <v>47</v>
      </c>
      <c r="T7182" t="s">
        <v>27596</v>
      </c>
    </row>
    <row r="7183" spans="1:20" customFormat="1" ht="15" x14ac:dyDescent="0.25">
      <c r="A7183" t="s">
        <v>35</v>
      </c>
      <c r="B7183" t="s">
        <v>61</v>
      </c>
      <c r="C7183" t="str">
        <f>"A0182203"</f>
        <v>A0182203</v>
      </c>
      <c r="D7183" t="s">
        <v>27597</v>
      </c>
      <c r="E7183" t="s">
        <v>27598</v>
      </c>
      <c r="F7183" t="s">
        <v>27599</v>
      </c>
      <c r="G7183" t="s">
        <v>1898</v>
      </c>
      <c r="H7183" t="s">
        <v>27600</v>
      </c>
      <c r="I7183" t="s">
        <v>30</v>
      </c>
      <c r="J7183" t="s">
        <v>41</v>
      </c>
      <c r="K7183" t="s">
        <v>59</v>
      </c>
      <c r="Q7183">
        <v>0</v>
      </c>
      <c r="R7183">
        <v>89</v>
      </c>
      <c r="S7183">
        <v>89</v>
      </c>
      <c r="T7183" t="s">
        <v>27601</v>
      </c>
    </row>
    <row r="7184" spans="1:20" customFormat="1" ht="15" x14ac:dyDescent="0.25">
      <c r="A7184" t="s">
        <v>35</v>
      </c>
      <c r="B7184" t="s">
        <v>61</v>
      </c>
      <c r="C7184" t="str">
        <f>"A0182202"</f>
        <v>A0182202</v>
      </c>
      <c r="D7184" t="s">
        <v>27602</v>
      </c>
      <c r="E7184" t="s">
        <v>27603</v>
      </c>
      <c r="F7184" t="s">
        <v>9128</v>
      </c>
      <c r="G7184" t="s">
        <v>110</v>
      </c>
      <c r="H7184">
        <v>946061684</v>
      </c>
      <c r="I7184" t="s">
        <v>30</v>
      </c>
      <c r="J7184" t="s">
        <v>41</v>
      </c>
      <c r="K7184" t="s">
        <v>59</v>
      </c>
      <c r="Q7184">
        <v>0</v>
      </c>
      <c r="R7184">
        <v>0</v>
      </c>
      <c r="S7184">
        <v>0</v>
      </c>
      <c r="T7184" t="s">
        <v>27604</v>
      </c>
    </row>
    <row r="7185" spans="1:20" customFormat="1" ht="15" x14ac:dyDescent="0.25">
      <c r="A7185" t="s">
        <v>35</v>
      </c>
      <c r="B7185" t="s">
        <v>61</v>
      </c>
      <c r="C7185" t="str">
        <f>"A0182201"</f>
        <v>A0182201</v>
      </c>
      <c r="D7185" t="s">
        <v>27605</v>
      </c>
      <c r="E7185" t="s">
        <v>27606</v>
      </c>
      <c r="F7185" t="s">
        <v>27607</v>
      </c>
      <c r="G7185" t="s">
        <v>110</v>
      </c>
      <c r="H7185" t="s">
        <v>27608</v>
      </c>
      <c r="I7185" t="s">
        <v>30</v>
      </c>
      <c r="J7185" t="s">
        <v>41</v>
      </c>
      <c r="K7185" t="s">
        <v>59</v>
      </c>
      <c r="Q7185">
        <v>0</v>
      </c>
      <c r="R7185">
        <v>0</v>
      </c>
      <c r="S7185">
        <v>0</v>
      </c>
      <c r="T7185" t="s">
        <v>27609</v>
      </c>
    </row>
    <row r="7186" spans="1:20" customFormat="1" ht="15" x14ac:dyDescent="0.25">
      <c r="A7186" t="s">
        <v>35</v>
      </c>
      <c r="B7186" t="s">
        <v>61</v>
      </c>
      <c r="C7186" t="str">
        <f>"A0182200"</f>
        <v>A0182200</v>
      </c>
      <c r="D7186" t="s">
        <v>27610</v>
      </c>
      <c r="E7186" t="s">
        <v>27611</v>
      </c>
      <c r="F7186" t="s">
        <v>27612</v>
      </c>
      <c r="G7186" t="s">
        <v>71</v>
      </c>
      <c r="H7186" t="s">
        <v>27613</v>
      </c>
      <c r="I7186" t="s">
        <v>30</v>
      </c>
      <c r="J7186" t="s">
        <v>41</v>
      </c>
      <c r="K7186" t="s">
        <v>59</v>
      </c>
      <c r="Q7186">
        <v>0</v>
      </c>
      <c r="R7186">
        <v>0</v>
      </c>
      <c r="S7186">
        <v>0</v>
      </c>
    </row>
    <row r="7187" spans="1:20" customFormat="1" ht="15" x14ac:dyDescent="0.25">
      <c r="A7187" t="s">
        <v>35</v>
      </c>
      <c r="B7187" t="s">
        <v>61</v>
      </c>
      <c r="C7187" t="str">
        <f>"A0182199"</f>
        <v>A0182199</v>
      </c>
      <c r="D7187" t="s">
        <v>27614</v>
      </c>
      <c r="E7187" t="s">
        <v>20320</v>
      </c>
      <c r="F7187" t="s">
        <v>19894</v>
      </c>
      <c r="G7187" t="s">
        <v>71</v>
      </c>
      <c r="H7187" t="s">
        <v>20321</v>
      </c>
      <c r="I7187" t="s">
        <v>30</v>
      </c>
      <c r="J7187" t="s">
        <v>41</v>
      </c>
      <c r="K7187" t="s">
        <v>59</v>
      </c>
      <c r="Q7187">
        <v>0</v>
      </c>
      <c r="R7187">
        <v>135</v>
      </c>
      <c r="S7187">
        <v>135</v>
      </c>
      <c r="T7187" t="s">
        <v>19896</v>
      </c>
    </row>
    <row r="7188" spans="1:20" customFormat="1" ht="15" x14ac:dyDescent="0.25">
      <c r="A7188" t="s">
        <v>35</v>
      </c>
      <c r="B7188" t="s">
        <v>12660</v>
      </c>
      <c r="C7188" t="str">
        <f>"A0182198"</f>
        <v>A0182198</v>
      </c>
      <c r="D7188" t="s">
        <v>27615</v>
      </c>
      <c r="E7188" t="s">
        <v>27616</v>
      </c>
      <c r="F7188" t="s">
        <v>27617</v>
      </c>
      <c r="G7188" t="s">
        <v>1170</v>
      </c>
      <c r="H7188">
        <v>704042365</v>
      </c>
      <c r="I7188" t="s">
        <v>30</v>
      </c>
      <c r="J7188" t="s">
        <v>41</v>
      </c>
      <c r="K7188" t="s">
        <v>59</v>
      </c>
      <c r="Q7188">
        <v>0</v>
      </c>
      <c r="R7188">
        <v>0</v>
      </c>
      <c r="S7188">
        <v>0</v>
      </c>
      <c r="T7188" t="s">
        <v>27618</v>
      </c>
    </row>
    <row r="7189" spans="1:20" customFormat="1" ht="15" x14ac:dyDescent="0.25">
      <c r="A7189" t="s">
        <v>35</v>
      </c>
      <c r="B7189" t="s">
        <v>61</v>
      </c>
      <c r="C7189" t="str">
        <f>"A0182197"</f>
        <v>A0182197</v>
      </c>
      <c r="D7189" t="s">
        <v>27619</v>
      </c>
      <c r="E7189" t="s">
        <v>27620</v>
      </c>
      <c r="F7189" t="s">
        <v>27621</v>
      </c>
      <c r="G7189" t="s">
        <v>1170</v>
      </c>
      <c r="H7189" t="s">
        <v>27622</v>
      </c>
      <c r="I7189" t="s">
        <v>30</v>
      </c>
      <c r="J7189" t="s">
        <v>41</v>
      </c>
      <c r="K7189" t="s">
        <v>59</v>
      </c>
      <c r="Q7189">
        <v>0</v>
      </c>
      <c r="R7189">
        <v>78</v>
      </c>
      <c r="S7189">
        <v>78</v>
      </c>
      <c r="T7189" t="s">
        <v>27623</v>
      </c>
    </row>
    <row r="7190" spans="1:20" customFormat="1" ht="15" x14ac:dyDescent="0.25">
      <c r="A7190" t="s">
        <v>35</v>
      </c>
      <c r="B7190" t="s">
        <v>11386</v>
      </c>
      <c r="C7190" t="str">
        <f>"A0182196"</f>
        <v>A0182196</v>
      </c>
      <c r="D7190" t="s">
        <v>27624</v>
      </c>
      <c r="E7190" t="s">
        <v>27625</v>
      </c>
      <c r="F7190" t="s">
        <v>8846</v>
      </c>
      <c r="G7190" t="s">
        <v>117</v>
      </c>
      <c r="H7190">
        <v>482144813</v>
      </c>
      <c r="I7190" t="s">
        <v>30</v>
      </c>
      <c r="J7190" t="s">
        <v>41</v>
      </c>
      <c r="K7190" t="s">
        <v>59</v>
      </c>
      <c r="Q7190">
        <v>0</v>
      </c>
      <c r="R7190">
        <v>0</v>
      </c>
      <c r="S7190">
        <v>0</v>
      </c>
      <c r="T7190" t="s">
        <v>27626</v>
      </c>
    </row>
    <row r="7191" spans="1:20" customFormat="1" ht="15" x14ac:dyDescent="0.25">
      <c r="A7191" t="s">
        <v>35</v>
      </c>
      <c r="B7191" t="s">
        <v>61</v>
      </c>
      <c r="C7191" t="str">
        <f>"A0182195"</f>
        <v>A0182195</v>
      </c>
      <c r="D7191" t="s">
        <v>27627</v>
      </c>
      <c r="E7191" t="s">
        <v>27628</v>
      </c>
      <c r="F7191" t="s">
        <v>5723</v>
      </c>
      <c r="G7191" t="s">
        <v>117</v>
      </c>
      <c r="H7191" t="s">
        <v>27629</v>
      </c>
      <c r="I7191" t="s">
        <v>30</v>
      </c>
      <c r="J7191" t="s">
        <v>41</v>
      </c>
      <c r="K7191" t="s">
        <v>59</v>
      </c>
      <c r="Q7191">
        <v>0</v>
      </c>
      <c r="R7191">
        <v>145</v>
      </c>
      <c r="S7191">
        <v>145</v>
      </c>
      <c r="T7191" t="s">
        <v>27630</v>
      </c>
    </row>
    <row r="7192" spans="1:20" customFormat="1" ht="15" x14ac:dyDescent="0.25">
      <c r="A7192" t="s">
        <v>35</v>
      </c>
      <c r="B7192" t="s">
        <v>61</v>
      </c>
      <c r="C7192" t="str">
        <f>"A0182194"</f>
        <v>A0182194</v>
      </c>
      <c r="D7192" t="s">
        <v>27631</v>
      </c>
      <c r="E7192" t="s">
        <v>27632</v>
      </c>
      <c r="F7192" t="s">
        <v>25495</v>
      </c>
      <c r="G7192" t="s">
        <v>1170</v>
      </c>
      <c r="H7192" t="s">
        <v>27633</v>
      </c>
      <c r="I7192" t="s">
        <v>30</v>
      </c>
      <c r="J7192" t="s">
        <v>41</v>
      </c>
      <c r="K7192" t="s">
        <v>59</v>
      </c>
      <c r="Q7192">
        <v>0</v>
      </c>
      <c r="R7192">
        <v>0</v>
      </c>
      <c r="S7192">
        <v>0</v>
      </c>
    </row>
    <row r="7193" spans="1:20" customFormat="1" ht="15" x14ac:dyDescent="0.25">
      <c r="A7193" t="s">
        <v>35</v>
      </c>
      <c r="B7193" t="s">
        <v>61</v>
      </c>
      <c r="C7193" t="str">
        <f>"A0182193"</f>
        <v>A0182193</v>
      </c>
      <c r="D7193" t="s">
        <v>27634</v>
      </c>
      <c r="E7193" t="s">
        <v>24562</v>
      </c>
      <c r="F7193" t="s">
        <v>15185</v>
      </c>
      <c r="G7193" t="s">
        <v>1170</v>
      </c>
      <c r="H7193" t="s">
        <v>24563</v>
      </c>
      <c r="I7193" t="s">
        <v>30</v>
      </c>
      <c r="J7193" t="s">
        <v>41</v>
      </c>
      <c r="K7193" t="s">
        <v>59</v>
      </c>
      <c r="Q7193">
        <v>0</v>
      </c>
      <c r="R7193">
        <v>0</v>
      </c>
      <c r="S7193">
        <v>0</v>
      </c>
      <c r="T7193" t="s">
        <v>24564</v>
      </c>
    </row>
    <row r="7194" spans="1:20" customFormat="1" ht="15" x14ac:dyDescent="0.25">
      <c r="A7194" t="s">
        <v>35</v>
      </c>
      <c r="B7194" t="s">
        <v>61</v>
      </c>
      <c r="C7194" t="str">
        <f>"A0182192"</f>
        <v>A0182192</v>
      </c>
      <c r="D7194" t="s">
        <v>27635</v>
      </c>
      <c r="E7194" t="s">
        <v>27636</v>
      </c>
      <c r="F7194" t="s">
        <v>27637</v>
      </c>
      <c r="G7194" t="s">
        <v>1170</v>
      </c>
      <c r="H7194" t="s">
        <v>27638</v>
      </c>
      <c r="I7194" t="s">
        <v>30</v>
      </c>
      <c r="J7194" t="s">
        <v>41</v>
      </c>
      <c r="K7194" t="s">
        <v>59</v>
      </c>
      <c r="Q7194">
        <v>0</v>
      </c>
      <c r="R7194">
        <v>37</v>
      </c>
      <c r="S7194">
        <v>37</v>
      </c>
      <c r="T7194" t="s">
        <v>27639</v>
      </c>
    </row>
    <row r="7195" spans="1:20" customFormat="1" ht="15" x14ac:dyDescent="0.25">
      <c r="A7195" t="s">
        <v>35</v>
      </c>
      <c r="B7195" t="s">
        <v>23900</v>
      </c>
      <c r="C7195" t="str">
        <f>"A0182191"</f>
        <v>A0182191</v>
      </c>
      <c r="D7195" t="s">
        <v>27640</v>
      </c>
      <c r="E7195" t="s">
        <v>27641</v>
      </c>
      <c r="F7195" t="s">
        <v>27584</v>
      </c>
      <c r="G7195" t="s">
        <v>1170</v>
      </c>
      <c r="H7195" t="s">
        <v>27642</v>
      </c>
      <c r="I7195" t="s">
        <v>30</v>
      </c>
      <c r="J7195" t="s">
        <v>41</v>
      </c>
      <c r="K7195" t="s">
        <v>59</v>
      </c>
      <c r="Q7195">
        <v>0</v>
      </c>
      <c r="R7195">
        <v>160</v>
      </c>
      <c r="S7195">
        <v>160</v>
      </c>
      <c r="T7195" t="s">
        <v>27643</v>
      </c>
    </row>
    <row r="7196" spans="1:20" customFormat="1" ht="15" x14ac:dyDescent="0.25">
      <c r="A7196" t="s">
        <v>35</v>
      </c>
      <c r="B7196" t="s">
        <v>23900</v>
      </c>
      <c r="C7196" t="str">
        <f>"A0182190"</f>
        <v>A0182190</v>
      </c>
      <c r="D7196" t="s">
        <v>27644</v>
      </c>
      <c r="E7196" t="s">
        <v>27645</v>
      </c>
      <c r="F7196" t="s">
        <v>25605</v>
      </c>
      <c r="G7196" t="s">
        <v>1170</v>
      </c>
      <c r="H7196" t="s">
        <v>27646</v>
      </c>
      <c r="I7196" t="s">
        <v>30</v>
      </c>
      <c r="J7196" t="s">
        <v>41</v>
      </c>
      <c r="K7196" t="s">
        <v>59</v>
      </c>
      <c r="Q7196">
        <v>0</v>
      </c>
      <c r="R7196">
        <v>0</v>
      </c>
      <c r="S7196">
        <v>0</v>
      </c>
      <c r="T7196" t="s">
        <v>27647</v>
      </c>
    </row>
    <row r="7197" spans="1:20" customFormat="1" ht="15" x14ac:dyDescent="0.25">
      <c r="A7197" t="s">
        <v>35</v>
      </c>
      <c r="B7197" t="s">
        <v>61</v>
      </c>
      <c r="C7197" t="str">
        <f>"A0182189"</f>
        <v>A0182189</v>
      </c>
      <c r="D7197" t="s">
        <v>27648</v>
      </c>
      <c r="E7197" t="s">
        <v>27649</v>
      </c>
      <c r="F7197" t="s">
        <v>27650</v>
      </c>
      <c r="G7197" t="s">
        <v>1363</v>
      </c>
      <c r="H7197" t="s">
        <v>27651</v>
      </c>
      <c r="I7197" t="s">
        <v>30</v>
      </c>
      <c r="J7197" t="s">
        <v>41</v>
      </c>
      <c r="K7197" t="s">
        <v>59</v>
      </c>
      <c r="Q7197">
        <v>0</v>
      </c>
      <c r="R7197">
        <v>101</v>
      </c>
      <c r="S7197">
        <v>101</v>
      </c>
      <c r="T7197" t="s">
        <v>27652</v>
      </c>
    </row>
    <row r="7198" spans="1:20" customFormat="1" ht="15" x14ac:dyDescent="0.25">
      <c r="A7198" t="s">
        <v>35</v>
      </c>
      <c r="B7198" t="s">
        <v>61</v>
      </c>
      <c r="C7198" t="str">
        <f>"A0182188"</f>
        <v>A0182188</v>
      </c>
      <c r="D7198" t="s">
        <v>27653</v>
      </c>
      <c r="E7198" t="s">
        <v>27654</v>
      </c>
      <c r="F7198" t="s">
        <v>27655</v>
      </c>
      <c r="G7198" t="s">
        <v>1363</v>
      </c>
      <c r="H7198" t="s">
        <v>27656</v>
      </c>
      <c r="I7198" t="s">
        <v>30</v>
      </c>
      <c r="J7198" t="s">
        <v>41</v>
      </c>
      <c r="K7198" t="s">
        <v>59</v>
      </c>
      <c r="Q7198">
        <v>0</v>
      </c>
      <c r="R7198">
        <v>0</v>
      </c>
      <c r="S7198">
        <v>0</v>
      </c>
      <c r="T7198" t="s">
        <v>27657</v>
      </c>
    </row>
    <row r="7199" spans="1:20" customFormat="1" ht="15" x14ac:dyDescent="0.25">
      <c r="A7199" t="s">
        <v>35</v>
      </c>
      <c r="B7199" t="s">
        <v>61</v>
      </c>
      <c r="C7199" t="str">
        <f>"A0182187"</f>
        <v>A0182187</v>
      </c>
      <c r="D7199" t="s">
        <v>27658</v>
      </c>
      <c r="E7199" t="s">
        <v>27659</v>
      </c>
      <c r="F7199" t="s">
        <v>4770</v>
      </c>
      <c r="G7199" t="s">
        <v>99</v>
      </c>
      <c r="H7199" t="s">
        <v>27660</v>
      </c>
      <c r="I7199" t="s">
        <v>30</v>
      </c>
      <c r="J7199" t="s">
        <v>41</v>
      </c>
      <c r="K7199" t="s">
        <v>59</v>
      </c>
      <c r="Q7199">
        <v>0</v>
      </c>
      <c r="R7199">
        <v>0</v>
      </c>
      <c r="S7199">
        <v>0</v>
      </c>
      <c r="T7199" t="s">
        <v>27661</v>
      </c>
    </row>
    <row r="7200" spans="1:20" customFormat="1" ht="15" x14ac:dyDescent="0.25">
      <c r="A7200" t="s">
        <v>35</v>
      </c>
      <c r="B7200" t="s">
        <v>61</v>
      </c>
      <c r="C7200" t="str">
        <f>"A0182186"</f>
        <v>A0182186</v>
      </c>
      <c r="D7200" t="s">
        <v>27662</v>
      </c>
      <c r="E7200" t="s">
        <v>27663</v>
      </c>
      <c r="F7200" t="s">
        <v>27664</v>
      </c>
      <c r="G7200" t="s">
        <v>99</v>
      </c>
      <c r="H7200" t="s">
        <v>27665</v>
      </c>
      <c r="I7200" t="s">
        <v>30</v>
      </c>
      <c r="J7200" t="s">
        <v>41</v>
      </c>
      <c r="K7200" t="s">
        <v>59</v>
      </c>
      <c r="Q7200">
        <v>0</v>
      </c>
      <c r="R7200">
        <v>80</v>
      </c>
      <c r="S7200">
        <v>80</v>
      </c>
      <c r="T7200" t="s">
        <v>27666</v>
      </c>
    </row>
    <row r="7201" spans="1:20" customFormat="1" ht="15" x14ac:dyDescent="0.25">
      <c r="A7201" t="s">
        <v>35</v>
      </c>
      <c r="B7201" t="s">
        <v>11386</v>
      </c>
      <c r="C7201" t="str">
        <f>"A0182185"</f>
        <v>A0182185</v>
      </c>
      <c r="D7201" t="s">
        <v>27667</v>
      </c>
      <c r="E7201" t="s">
        <v>27668</v>
      </c>
      <c r="F7201" t="s">
        <v>12460</v>
      </c>
      <c r="G7201" t="s">
        <v>117</v>
      </c>
      <c r="H7201">
        <v>484441426</v>
      </c>
      <c r="I7201" t="s">
        <v>30</v>
      </c>
      <c r="J7201" t="s">
        <v>41</v>
      </c>
      <c r="K7201" t="s">
        <v>59</v>
      </c>
      <c r="Q7201">
        <v>0</v>
      </c>
      <c r="R7201">
        <v>0</v>
      </c>
      <c r="S7201">
        <v>0</v>
      </c>
      <c r="T7201" t="s">
        <v>27669</v>
      </c>
    </row>
    <row r="7202" spans="1:20" customFormat="1" ht="15" x14ac:dyDescent="0.25">
      <c r="A7202" t="s">
        <v>35</v>
      </c>
      <c r="B7202" t="s">
        <v>21240</v>
      </c>
      <c r="C7202" t="str">
        <f>"A0182184"</f>
        <v>A0182184</v>
      </c>
      <c r="D7202" t="s">
        <v>27670</v>
      </c>
      <c r="E7202" t="s">
        <v>27671</v>
      </c>
      <c r="F7202" t="s">
        <v>1775</v>
      </c>
      <c r="G7202" t="s">
        <v>117</v>
      </c>
      <c r="H7202">
        <v>486023499</v>
      </c>
      <c r="I7202" t="s">
        <v>30</v>
      </c>
      <c r="J7202" t="s">
        <v>41</v>
      </c>
      <c r="K7202" t="s">
        <v>59</v>
      </c>
      <c r="Q7202">
        <v>0</v>
      </c>
      <c r="R7202">
        <v>98</v>
      </c>
      <c r="S7202">
        <v>98</v>
      </c>
      <c r="T7202" t="s">
        <v>27672</v>
      </c>
    </row>
    <row r="7203" spans="1:20" customFormat="1" ht="15" x14ac:dyDescent="0.25">
      <c r="A7203" t="s">
        <v>35</v>
      </c>
      <c r="B7203" t="s">
        <v>61</v>
      </c>
      <c r="C7203" t="str">
        <f>"A0182183"</f>
        <v>A0182183</v>
      </c>
      <c r="D7203" t="s">
        <v>27673</v>
      </c>
      <c r="E7203" t="s">
        <v>27674</v>
      </c>
      <c r="F7203" t="s">
        <v>5723</v>
      </c>
      <c r="G7203" t="s">
        <v>117</v>
      </c>
      <c r="H7203" t="s">
        <v>27675</v>
      </c>
      <c r="I7203" t="s">
        <v>30</v>
      </c>
      <c r="J7203" t="s">
        <v>41</v>
      </c>
      <c r="K7203" t="s">
        <v>59</v>
      </c>
      <c r="Q7203">
        <v>0</v>
      </c>
      <c r="R7203">
        <v>0</v>
      </c>
      <c r="S7203">
        <v>0</v>
      </c>
      <c r="T7203" t="s">
        <v>27676</v>
      </c>
    </row>
    <row r="7204" spans="1:20" customFormat="1" ht="15" x14ac:dyDescent="0.25">
      <c r="A7204" t="s">
        <v>35</v>
      </c>
      <c r="B7204" t="s">
        <v>61</v>
      </c>
      <c r="C7204" t="str">
        <f>"A0182182"</f>
        <v>A0182182</v>
      </c>
      <c r="D7204" t="s">
        <v>27677</v>
      </c>
      <c r="E7204" t="s">
        <v>27678</v>
      </c>
      <c r="F7204" t="s">
        <v>5723</v>
      </c>
      <c r="G7204" t="s">
        <v>117</v>
      </c>
      <c r="H7204" t="s">
        <v>27679</v>
      </c>
      <c r="I7204" t="s">
        <v>30</v>
      </c>
      <c r="J7204" t="s">
        <v>41</v>
      </c>
      <c r="K7204" t="s">
        <v>59</v>
      </c>
      <c r="Q7204">
        <v>0</v>
      </c>
      <c r="R7204">
        <v>0</v>
      </c>
      <c r="S7204">
        <v>0</v>
      </c>
      <c r="T7204" t="s">
        <v>27680</v>
      </c>
    </row>
    <row r="7205" spans="1:20" customFormat="1" ht="15" x14ac:dyDescent="0.25">
      <c r="A7205" t="s">
        <v>35</v>
      </c>
      <c r="B7205" t="s">
        <v>11892</v>
      </c>
      <c r="C7205" t="str">
        <f>"A0182181"</f>
        <v>A0182181</v>
      </c>
      <c r="D7205" t="s">
        <v>27681</v>
      </c>
      <c r="E7205" t="s">
        <v>27682</v>
      </c>
      <c r="F7205" t="s">
        <v>8846</v>
      </c>
      <c r="G7205" t="s">
        <v>117</v>
      </c>
      <c r="H7205" t="s">
        <v>27683</v>
      </c>
      <c r="I7205" t="s">
        <v>30</v>
      </c>
      <c r="J7205" t="s">
        <v>41</v>
      </c>
      <c r="K7205" t="s">
        <v>59</v>
      </c>
      <c r="Q7205">
        <v>0</v>
      </c>
      <c r="R7205">
        <v>0</v>
      </c>
      <c r="S7205">
        <v>0</v>
      </c>
      <c r="T7205" t="s">
        <v>27684</v>
      </c>
    </row>
    <row r="7206" spans="1:20" customFormat="1" ht="15" x14ac:dyDescent="0.25">
      <c r="A7206" t="s">
        <v>35</v>
      </c>
      <c r="B7206" t="s">
        <v>61</v>
      </c>
      <c r="C7206" t="str">
        <f>"A0182180"</f>
        <v>A0182180</v>
      </c>
      <c r="D7206" t="s">
        <v>27685</v>
      </c>
      <c r="E7206" t="s">
        <v>27686</v>
      </c>
      <c r="F7206" t="s">
        <v>2784</v>
      </c>
      <c r="G7206" t="s">
        <v>925</v>
      </c>
      <c r="H7206" t="s">
        <v>27687</v>
      </c>
      <c r="I7206" t="s">
        <v>30</v>
      </c>
      <c r="J7206" t="s">
        <v>41</v>
      </c>
      <c r="K7206" t="s">
        <v>59</v>
      </c>
      <c r="Q7206">
        <v>0</v>
      </c>
      <c r="R7206">
        <v>30</v>
      </c>
      <c r="S7206">
        <v>30</v>
      </c>
    </row>
    <row r="7207" spans="1:20" customFormat="1" ht="15" x14ac:dyDescent="0.25">
      <c r="A7207" t="s">
        <v>35</v>
      </c>
      <c r="B7207" t="s">
        <v>61</v>
      </c>
      <c r="C7207" t="str">
        <f>"A0182179"</f>
        <v>A0182179</v>
      </c>
      <c r="D7207" t="s">
        <v>27688</v>
      </c>
      <c r="E7207" t="s">
        <v>27689</v>
      </c>
      <c r="F7207" t="s">
        <v>14745</v>
      </c>
      <c r="G7207" t="s">
        <v>1363</v>
      </c>
      <c r="H7207" t="s">
        <v>27690</v>
      </c>
      <c r="I7207" t="s">
        <v>30</v>
      </c>
      <c r="J7207" t="s">
        <v>41</v>
      </c>
      <c r="K7207" t="s">
        <v>59</v>
      </c>
      <c r="Q7207">
        <v>0</v>
      </c>
      <c r="R7207">
        <v>545</v>
      </c>
      <c r="S7207">
        <v>545</v>
      </c>
      <c r="T7207" t="s">
        <v>27691</v>
      </c>
    </row>
    <row r="7208" spans="1:20" customFormat="1" ht="15" x14ac:dyDescent="0.25">
      <c r="A7208" t="s">
        <v>35</v>
      </c>
      <c r="B7208" t="s">
        <v>61</v>
      </c>
      <c r="C7208" t="str">
        <f>"A0182178"</f>
        <v>A0182178</v>
      </c>
      <c r="D7208" t="s">
        <v>25829</v>
      </c>
      <c r="E7208" t="s">
        <v>27692</v>
      </c>
      <c r="F7208" t="s">
        <v>25831</v>
      </c>
      <c r="G7208" t="s">
        <v>1363</v>
      </c>
      <c r="H7208">
        <v>3833</v>
      </c>
      <c r="I7208" t="s">
        <v>30</v>
      </c>
      <c r="J7208" t="s">
        <v>41</v>
      </c>
      <c r="K7208" t="s">
        <v>59</v>
      </c>
      <c r="Q7208">
        <v>0</v>
      </c>
      <c r="R7208">
        <v>691</v>
      </c>
      <c r="S7208">
        <v>691</v>
      </c>
      <c r="T7208" t="s">
        <v>25832</v>
      </c>
    </row>
    <row r="7209" spans="1:20" customFormat="1" ht="15" x14ac:dyDescent="0.25">
      <c r="A7209" t="s">
        <v>35</v>
      </c>
      <c r="B7209" t="s">
        <v>61</v>
      </c>
      <c r="C7209" t="str">
        <f>"A0182177"</f>
        <v>A0182177</v>
      </c>
      <c r="D7209" t="s">
        <v>27693</v>
      </c>
      <c r="E7209" t="s">
        <v>27694</v>
      </c>
      <c r="F7209" t="s">
        <v>9668</v>
      </c>
      <c r="G7209" t="s">
        <v>110</v>
      </c>
      <c r="H7209">
        <v>954054753</v>
      </c>
      <c r="I7209" t="s">
        <v>30</v>
      </c>
      <c r="J7209" t="s">
        <v>41</v>
      </c>
      <c r="K7209" t="s">
        <v>59</v>
      </c>
      <c r="Q7209">
        <v>0</v>
      </c>
      <c r="R7209">
        <v>0</v>
      </c>
      <c r="S7209">
        <v>0</v>
      </c>
      <c r="T7209" t="s">
        <v>27695</v>
      </c>
    </row>
    <row r="7210" spans="1:20" customFormat="1" ht="15" x14ac:dyDescent="0.25">
      <c r="A7210" t="s">
        <v>35</v>
      </c>
      <c r="B7210" t="s">
        <v>61</v>
      </c>
      <c r="C7210" t="str">
        <f>"A0182176"</f>
        <v>A0182176</v>
      </c>
      <c r="D7210" t="s">
        <v>27696</v>
      </c>
      <c r="E7210" t="s">
        <v>27697</v>
      </c>
      <c r="F7210" t="s">
        <v>27698</v>
      </c>
      <c r="G7210" t="s">
        <v>110</v>
      </c>
      <c r="H7210" t="s">
        <v>27699</v>
      </c>
      <c r="I7210" t="s">
        <v>30</v>
      </c>
      <c r="J7210" t="s">
        <v>41</v>
      </c>
      <c r="K7210" t="s">
        <v>59</v>
      </c>
      <c r="Q7210">
        <v>0</v>
      </c>
      <c r="R7210">
        <v>155</v>
      </c>
      <c r="S7210">
        <v>155</v>
      </c>
      <c r="T7210" t="s">
        <v>27700</v>
      </c>
    </row>
    <row r="7211" spans="1:20" customFormat="1" ht="15" x14ac:dyDescent="0.25">
      <c r="A7211" t="s">
        <v>35</v>
      </c>
      <c r="B7211" t="s">
        <v>61</v>
      </c>
      <c r="C7211" t="str">
        <f>"A0182175"</f>
        <v>A0182175</v>
      </c>
      <c r="D7211" t="s">
        <v>27701</v>
      </c>
      <c r="E7211" t="s">
        <v>27702</v>
      </c>
      <c r="F7211" t="s">
        <v>27703</v>
      </c>
      <c r="G7211" t="s">
        <v>110</v>
      </c>
      <c r="H7211" t="s">
        <v>27704</v>
      </c>
      <c r="I7211" t="s">
        <v>30</v>
      </c>
      <c r="J7211" t="s">
        <v>41</v>
      </c>
      <c r="K7211" t="s">
        <v>59</v>
      </c>
      <c r="Q7211">
        <v>0</v>
      </c>
      <c r="R7211">
        <v>0</v>
      </c>
      <c r="S7211">
        <v>0</v>
      </c>
      <c r="T7211" t="s">
        <v>27705</v>
      </c>
    </row>
    <row r="7212" spans="1:20" customFormat="1" ht="15" x14ac:dyDescent="0.25">
      <c r="A7212" t="s">
        <v>35</v>
      </c>
      <c r="B7212" t="s">
        <v>61</v>
      </c>
      <c r="C7212" t="str">
        <f>"A0182174"</f>
        <v>A0182174</v>
      </c>
      <c r="D7212" t="s">
        <v>27706</v>
      </c>
      <c r="E7212" t="s">
        <v>27707</v>
      </c>
      <c r="F7212" t="s">
        <v>4032</v>
      </c>
      <c r="G7212" t="s">
        <v>110</v>
      </c>
      <c r="H7212">
        <v>931082037</v>
      </c>
      <c r="I7212" t="s">
        <v>30</v>
      </c>
      <c r="J7212" t="s">
        <v>41</v>
      </c>
      <c r="K7212" t="s">
        <v>59</v>
      </c>
      <c r="Q7212">
        <v>0</v>
      </c>
      <c r="R7212">
        <v>73</v>
      </c>
      <c r="S7212">
        <v>73</v>
      </c>
      <c r="T7212" t="s">
        <v>27708</v>
      </c>
    </row>
    <row r="7213" spans="1:20" customFormat="1" ht="15" x14ac:dyDescent="0.25">
      <c r="A7213" t="s">
        <v>35</v>
      </c>
      <c r="B7213" t="s">
        <v>11871</v>
      </c>
      <c r="C7213" t="str">
        <f>"A0182173"</f>
        <v>A0182173</v>
      </c>
      <c r="D7213" t="s">
        <v>27709</v>
      </c>
      <c r="E7213" t="s">
        <v>27710</v>
      </c>
      <c r="F7213" t="s">
        <v>21186</v>
      </c>
      <c r="G7213" t="s">
        <v>925</v>
      </c>
      <c r="H7213" t="s">
        <v>27711</v>
      </c>
      <c r="I7213" t="s">
        <v>30</v>
      </c>
      <c r="J7213" t="s">
        <v>41</v>
      </c>
      <c r="K7213" t="s">
        <v>59</v>
      </c>
      <c r="Q7213">
        <v>0</v>
      </c>
      <c r="R7213">
        <v>0</v>
      </c>
      <c r="S7213">
        <v>0</v>
      </c>
      <c r="T7213" t="s">
        <v>27712</v>
      </c>
    </row>
    <row r="7214" spans="1:20" customFormat="1" ht="15" x14ac:dyDescent="0.25">
      <c r="A7214" t="s">
        <v>35</v>
      </c>
      <c r="B7214" t="s">
        <v>61</v>
      </c>
      <c r="C7214" t="str">
        <f>"A0182172"</f>
        <v>A0182172</v>
      </c>
      <c r="D7214" t="s">
        <v>27713</v>
      </c>
      <c r="E7214" t="s">
        <v>27714</v>
      </c>
      <c r="F7214" t="s">
        <v>25495</v>
      </c>
      <c r="G7214" t="s">
        <v>1170</v>
      </c>
      <c r="H7214" t="s">
        <v>27715</v>
      </c>
      <c r="I7214" t="s">
        <v>30</v>
      </c>
      <c r="J7214" t="s">
        <v>41</v>
      </c>
      <c r="K7214" t="s">
        <v>59</v>
      </c>
      <c r="Q7214">
        <v>0</v>
      </c>
      <c r="R7214">
        <v>0</v>
      </c>
      <c r="S7214">
        <v>0</v>
      </c>
      <c r="T7214" t="s">
        <v>27716</v>
      </c>
    </row>
    <row r="7215" spans="1:20" customFormat="1" ht="15" x14ac:dyDescent="0.25">
      <c r="A7215" t="s">
        <v>35</v>
      </c>
      <c r="B7215" t="s">
        <v>61</v>
      </c>
      <c r="C7215" t="str">
        <f>"A0182171"</f>
        <v>A0182171</v>
      </c>
      <c r="D7215" t="s">
        <v>27717</v>
      </c>
      <c r="E7215" t="s">
        <v>27718</v>
      </c>
      <c r="F7215" t="s">
        <v>27719</v>
      </c>
      <c r="G7215" t="s">
        <v>1170</v>
      </c>
      <c r="H7215" t="s">
        <v>27720</v>
      </c>
      <c r="I7215" t="s">
        <v>30</v>
      </c>
      <c r="J7215" t="s">
        <v>41</v>
      </c>
      <c r="K7215" t="s">
        <v>59</v>
      </c>
      <c r="Q7215">
        <v>0</v>
      </c>
      <c r="R7215">
        <v>0</v>
      </c>
      <c r="S7215">
        <v>0</v>
      </c>
      <c r="T7215" t="s">
        <v>27721</v>
      </c>
    </row>
    <row r="7216" spans="1:20" customFormat="1" ht="15" x14ac:dyDescent="0.25">
      <c r="A7216" t="s">
        <v>35</v>
      </c>
      <c r="B7216" t="s">
        <v>61</v>
      </c>
      <c r="C7216" t="str">
        <f>"A0182170"</f>
        <v>A0182170</v>
      </c>
      <c r="D7216" t="s">
        <v>27722</v>
      </c>
      <c r="E7216" t="s">
        <v>24562</v>
      </c>
      <c r="F7216" t="s">
        <v>15185</v>
      </c>
      <c r="G7216" t="s">
        <v>1170</v>
      </c>
      <c r="H7216" t="s">
        <v>24563</v>
      </c>
      <c r="I7216" t="s">
        <v>30</v>
      </c>
      <c r="J7216" t="s">
        <v>41</v>
      </c>
      <c r="K7216" t="s">
        <v>59</v>
      </c>
      <c r="Q7216">
        <v>0</v>
      </c>
      <c r="R7216">
        <v>0</v>
      </c>
      <c r="S7216">
        <v>0</v>
      </c>
      <c r="T7216" t="s">
        <v>24564</v>
      </c>
    </row>
    <row r="7217" spans="1:20" customFormat="1" ht="15" x14ac:dyDescent="0.25">
      <c r="A7217" t="s">
        <v>35</v>
      </c>
      <c r="B7217" t="s">
        <v>11871</v>
      </c>
      <c r="C7217" t="str">
        <f>"A0182169"</f>
        <v>A0182169</v>
      </c>
      <c r="D7217" t="s">
        <v>27723</v>
      </c>
      <c r="E7217" t="s">
        <v>27724</v>
      </c>
      <c r="F7217" t="s">
        <v>11800</v>
      </c>
      <c r="G7217" t="s">
        <v>99</v>
      </c>
      <c r="H7217" t="s">
        <v>27725</v>
      </c>
      <c r="I7217" t="s">
        <v>30</v>
      </c>
      <c r="J7217" t="s">
        <v>41</v>
      </c>
      <c r="K7217" t="s">
        <v>59</v>
      </c>
      <c r="Q7217">
        <v>0</v>
      </c>
      <c r="R7217">
        <v>0</v>
      </c>
      <c r="S7217">
        <v>0</v>
      </c>
      <c r="T7217" t="s">
        <v>27726</v>
      </c>
    </row>
    <row r="7218" spans="1:20" customFormat="1" ht="15" x14ac:dyDescent="0.25">
      <c r="A7218" t="s">
        <v>35</v>
      </c>
      <c r="B7218" t="s">
        <v>11871</v>
      </c>
      <c r="C7218" t="str">
        <f>"A0182168"</f>
        <v>A0182168</v>
      </c>
      <c r="D7218" t="s">
        <v>27727</v>
      </c>
      <c r="E7218" t="s">
        <v>27728</v>
      </c>
      <c r="F7218" t="s">
        <v>19577</v>
      </c>
      <c r="G7218" t="s">
        <v>99</v>
      </c>
      <c r="H7218" t="s">
        <v>27729</v>
      </c>
      <c r="I7218" t="s">
        <v>30</v>
      </c>
      <c r="J7218" t="s">
        <v>41</v>
      </c>
      <c r="K7218" t="s">
        <v>59</v>
      </c>
      <c r="Q7218">
        <v>0</v>
      </c>
      <c r="R7218">
        <v>0</v>
      </c>
      <c r="S7218">
        <v>0</v>
      </c>
      <c r="T7218" t="s">
        <v>27730</v>
      </c>
    </row>
    <row r="7219" spans="1:20" customFormat="1" ht="15" x14ac:dyDescent="0.25">
      <c r="A7219" t="s">
        <v>35</v>
      </c>
      <c r="B7219" t="s">
        <v>11871</v>
      </c>
      <c r="C7219" t="str">
        <f>"A0182167"</f>
        <v>A0182167</v>
      </c>
      <c r="D7219" t="s">
        <v>27731</v>
      </c>
      <c r="E7219" t="s">
        <v>27732</v>
      </c>
      <c r="F7219" t="s">
        <v>27733</v>
      </c>
      <c r="G7219" t="s">
        <v>99</v>
      </c>
      <c r="H7219" t="s">
        <v>27734</v>
      </c>
      <c r="I7219" t="s">
        <v>30</v>
      </c>
      <c r="J7219" t="s">
        <v>41</v>
      </c>
      <c r="K7219" t="s">
        <v>59</v>
      </c>
      <c r="Q7219">
        <v>0</v>
      </c>
      <c r="R7219">
        <v>0</v>
      </c>
      <c r="S7219">
        <v>0</v>
      </c>
      <c r="T7219" t="s">
        <v>27735</v>
      </c>
    </row>
    <row r="7220" spans="1:20" customFormat="1" ht="15" x14ac:dyDescent="0.25">
      <c r="A7220" t="s">
        <v>35</v>
      </c>
      <c r="B7220" t="s">
        <v>61</v>
      </c>
      <c r="C7220" t="str">
        <f>"A0182166"</f>
        <v>A0182166</v>
      </c>
      <c r="D7220" t="s">
        <v>27736</v>
      </c>
      <c r="E7220" t="s">
        <v>27737</v>
      </c>
      <c r="F7220" t="s">
        <v>27738</v>
      </c>
      <c r="G7220" t="s">
        <v>161</v>
      </c>
      <c r="H7220" t="s">
        <v>27739</v>
      </c>
      <c r="I7220" t="s">
        <v>30</v>
      </c>
      <c r="J7220" t="s">
        <v>41</v>
      </c>
      <c r="K7220" t="s">
        <v>59</v>
      </c>
      <c r="Q7220">
        <v>0</v>
      </c>
      <c r="R7220">
        <v>0</v>
      </c>
      <c r="S7220">
        <v>0</v>
      </c>
    </row>
    <row r="7221" spans="1:20" customFormat="1" ht="15" x14ac:dyDescent="0.25">
      <c r="A7221" t="s">
        <v>35</v>
      </c>
      <c r="B7221" t="s">
        <v>61</v>
      </c>
      <c r="C7221" t="str">
        <f>"A0182165"</f>
        <v>A0182165</v>
      </c>
      <c r="D7221" t="s">
        <v>27740</v>
      </c>
      <c r="E7221" t="s">
        <v>25179</v>
      </c>
      <c r="F7221" t="s">
        <v>27346</v>
      </c>
      <c r="G7221" t="s">
        <v>161</v>
      </c>
      <c r="H7221" t="s">
        <v>27741</v>
      </c>
      <c r="I7221" t="s">
        <v>30</v>
      </c>
      <c r="J7221" t="s">
        <v>41</v>
      </c>
      <c r="K7221" t="s">
        <v>59</v>
      </c>
      <c r="Q7221">
        <v>0</v>
      </c>
      <c r="R7221">
        <v>0</v>
      </c>
      <c r="S7221">
        <v>0</v>
      </c>
    </row>
    <row r="7222" spans="1:20" customFormat="1" ht="15" x14ac:dyDescent="0.25">
      <c r="A7222" t="s">
        <v>35</v>
      </c>
      <c r="B7222" t="s">
        <v>61</v>
      </c>
      <c r="C7222" t="str">
        <f>"A0182164"</f>
        <v>A0182164</v>
      </c>
      <c r="D7222" t="s">
        <v>27742</v>
      </c>
      <c r="E7222" t="s">
        <v>27743</v>
      </c>
      <c r="F7222" t="s">
        <v>27744</v>
      </c>
      <c r="G7222" t="s">
        <v>110</v>
      </c>
      <c r="H7222" t="s">
        <v>27745</v>
      </c>
      <c r="I7222" t="s">
        <v>30</v>
      </c>
      <c r="J7222" t="s">
        <v>41</v>
      </c>
      <c r="K7222" t="s">
        <v>59</v>
      </c>
      <c r="Q7222">
        <v>0</v>
      </c>
      <c r="R7222">
        <v>0</v>
      </c>
      <c r="S7222">
        <v>0</v>
      </c>
    </row>
    <row r="7223" spans="1:20" customFormat="1" ht="15" x14ac:dyDescent="0.25">
      <c r="A7223" t="s">
        <v>35</v>
      </c>
      <c r="B7223" t="s">
        <v>61</v>
      </c>
      <c r="C7223" t="str">
        <f>"A0182163"</f>
        <v>A0182163</v>
      </c>
      <c r="D7223" t="s">
        <v>27746</v>
      </c>
      <c r="E7223" t="s">
        <v>27747</v>
      </c>
      <c r="F7223" t="s">
        <v>17824</v>
      </c>
      <c r="G7223" t="s">
        <v>71</v>
      </c>
      <c r="H7223">
        <v>53022</v>
      </c>
      <c r="I7223" t="s">
        <v>30</v>
      </c>
      <c r="J7223" t="s">
        <v>41</v>
      </c>
      <c r="K7223" t="s">
        <v>59</v>
      </c>
      <c r="Q7223">
        <v>0</v>
      </c>
      <c r="R7223">
        <v>0</v>
      </c>
      <c r="S7223">
        <v>0</v>
      </c>
    </row>
    <row r="7224" spans="1:20" customFormat="1" ht="15" x14ac:dyDescent="0.25">
      <c r="A7224" t="s">
        <v>35</v>
      </c>
      <c r="B7224" t="s">
        <v>61</v>
      </c>
      <c r="C7224" t="str">
        <f>"A0182162"</f>
        <v>A0182162</v>
      </c>
      <c r="D7224" t="s">
        <v>27748</v>
      </c>
      <c r="E7224" t="s">
        <v>22368</v>
      </c>
      <c r="F7224" t="s">
        <v>16033</v>
      </c>
      <c r="G7224" t="s">
        <v>71</v>
      </c>
      <c r="H7224" t="s">
        <v>27749</v>
      </c>
      <c r="I7224" t="s">
        <v>30</v>
      </c>
      <c r="J7224" t="s">
        <v>41</v>
      </c>
      <c r="K7224" t="s">
        <v>59</v>
      </c>
      <c r="Q7224">
        <v>0</v>
      </c>
      <c r="R7224">
        <v>0</v>
      </c>
      <c r="S7224">
        <v>0</v>
      </c>
    </row>
    <row r="7225" spans="1:20" customFormat="1" ht="15" x14ac:dyDescent="0.25">
      <c r="A7225" t="s">
        <v>35</v>
      </c>
      <c r="B7225" t="s">
        <v>61</v>
      </c>
      <c r="C7225" t="str">
        <f>"A0182161"</f>
        <v>A0182161</v>
      </c>
      <c r="D7225" t="s">
        <v>27750</v>
      </c>
      <c r="E7225" t="s">
        <v>27751</v>
      </c>
      <c r="F7225" t="s">
        <v>27752</v>
      </c>
      <c r="G7225" t="s">
        <v>71</v>
      </c>
      <c r="H7225">
        <v>53581</v>
      </c>
      <c r="I7225" t="s">
        <v>30</v>
      </c>
      <c r="J7225" t="s">
        <v>41</v>
      </c>
      <c r="K7225" t="s">
        <v>59</v>
      </c>
      <c r="Q7225">
        <v>0</v>
      </c>
      <c r="R7225">
        <v>38</v>
      </c>
      <c r="S7225">
        <v>38</v>
      </c>
      <c r="T7225" t="s">
        <v>27753</v>
      </c>
    </row>
    <row r="7226" spans="1:20" customFormat="1" ht="15" x14ac:dyDescent="0.25">
      <c r="A7226" t="s">
        <v>35</v>
      </c>
      <c r="B7226" t="s">
        <v>61</v>
      </c>
      <c r="C7226" t="str">
        <f>"A0182160"</f>
        <v>A0182160</v>
      </c>
      <c r="D7226" t="s">
        <v>27754</v>
      </c>
      <c r="E7226" t="s">
        <v>27755</v>
      </c>
      <c r="F7226" t="s">
        <v>27756</v>
      </c>
      <c r="G7226" t="s">
        <v>71</v>
      </c>
      <c r="H7226" t="s">
        <v>27757</v>
      </c>
      <c r="I7226" t="s">
        <v>30</v>
      </c>
      <c r="J7226" t="s">
        <v>41</v>
      </c>
      <c r="K7226" t="s">
        <v>59</v>
      </c>
      <c r="Q7226">
        <v>0</v>
      </c>
      <c r="R7226">
        <v>157</v>
      </c>
      <c r="S7226">
        <v>157</v>
      </c>
      <c r="T7226" t="s">
        <v>27758</v>
      </c>
    </row>
    <row r="7227" spans="1:20" customFormat="1" ht="15" x14ac:dyDescent="0.25">
      <c r="A7227" t="s">
        <v>35</v>
      </c>
      <c r="B7227" t="s">
        <v>61</v>
      </c>
      <c r="C7227" t="str">
        <f>"A0182159"</f>
        <v>A0182159</v>
      </c>
      <c r="D7227" t="s">
        <v>27759</v>
      </c>
      <c r="E7227" t="s">
        <v>27760</v>
      </c>
      <c r="F7227" t="s">
        <v>1136</v>
      </c>
      <c r="G7227" t="s">
        <v>110</v>
      </c>
      <c r="H7227">
        <v>94301</v>
      </c>
      <c r="I7227" t="s">
        <v>30</v>
      </c>
      <c r="J7227" t="s">
        <v>41</v>
      </c>
      <c r="K7227" t="s">
        <v>59</v>
      </c>
      <c r="Q7227">
        <v>0</v>
      </c>
      <c r="R7227">
        <v>420</v>
      </c>
      <c r="S7227">
        <v>420</v>
      </c>
      <c r="T7227" t="s">
        <v>27761</v>
      </c>
    </row>
    <row r="7228" spans="1:20" customFormat="1" ht="15" x14ac:dyDescent="0.25">
      <c r="A7228" t="s">
        <v>35</v>
      </c>
      <c r="B7228" t="s">
        <v>61</v>
      </c>
      <c r="C7228" t="str">
        <f>"A0182158"</f>
        <v>A0182158</v>
      </c>
      <c r="D7228" t="s">
        <v>27762</v>
      </c>
      <c r="E7228" t="s">
        <v>27763</v>
      </c>
      <c r="F7228" t="s">
        <v>27764</v>
      </c>
      <c r="G7228" t="s">
        <v>110</v>
      </c>
      <c r="H7228" t="s">
        <v>27765</v>
      </c>
      <c r="I7228" t="s">
        <v>30</v>
      </c>
      <c r="J7228" t="s">
        <v>41</v>
      </c>
      <c r="K7228" t="s">
        <v>59</v>
      </c>
      <c r="Q7228">
        <v>0</v>
      </c>
      <c r="R7228">
        <v>0</v>
      </c>
      <c r="S7228">
        <v>0</v>
      </c>
      <c r="T7228" t="s">
        <v>27766</v>
      </c>
    </row>
    <row r="7229" spans="1:20" customFormat="1" ht="15" x14ac:dyDescent="0.25">
      <c r="A7229" t="s">
        <v>35</v>
      </c>
      <c r="B7229" t="s">
        <v>61</v>
      </c>
      <c r="C7229" t="str">
        <f>"A0182157"</f>
        <v>A0182157</v>
      </c>
      <c r="D7229" t="s">
        <v>27767</v>
      </c>
      <c r="E7229" t="s">
        <v>27768</v>
      </c>
      <c r="F7229" t="s">
        <v>9128</v>
      </c>
      <c r="G7229" t="s">
        <v>110</v>
      </c>
      <c r="H7229">
        <v>946062247</v>
      </c>
      <c r="I7229" t="s">
        <v>30</v>
      </c>
      <c r="J7229" t="s">
        <v>41</v>
      </c>
      <c r="K7229" t="s">
        <v>59</v>
      </c>
      <c r="Q7229">
        <v>0</v>
      </c>
      <c r="R7229">
        <v>0</v>
      </c>
      <c r="S7229">
        <v>0</v>
      </c>
      <c r="T7229" t="s">
        <v>27769</v>
      </c>
    </row>
    <row r="7230" spans="1:20" customFormat="1" ht="15" x14ac:dyDescent="0.25">
      <c r="A7230" t="s">
        <v>35</v>
      </c>
      <c r="B7230" t="s">
        <v>61</v>
      </c>
      <c r="C7230" t="str">
        <f>"A0182156"</f>
        <v>A0182156</v>
      </c>
      <c r="D7230" t="s">
        <v>27770</v>
      </c>
      <c r="E7230" t="s">
        <v>27771</v>
      </c>
      <c r="F7230" t="s">
        <v>27607</v>
      </c>
      <c r="G7230" t="s">
        <v>110</v>
      </c>
      <c r="H7230" t="s">
        <v>27772</v>
      </c>
      <c r="I7230" t="s">
        <v>30</v>
      </c>
      <c r="J7230" t="s">
        <v>41</v>
      </c>
      <c r="K7230" t="s">
        <v>59</v>
      </c>
      <c r="Q7230">
        <v>0</v>
      </c>
      <c r="R7230">
        <v>0</v>
      </c>
      <c r="S7230">
        <v>0</v>
      </c>
      <c r="T7230" t="s">
        <v>27773</v>
      </c>
    </row>
    <row r="7231" spans="1:20" customFormat="1" ht="15" x14ac:dyDescent="0.25">
      <c r="A7231" t="s">
        <v>35</v>
      </c>
      <c r="B7231" t="s">
        <v>61</v>
      </c>
      <c r="C7231" t="str">
        <f>"A0182155"</f>
        <v>A0182155</v>
      </c>
      <c r="D7231" t="s">
        <v>27774</v>
      </c>
      <c r="E7231" t="s">
        <v>27775</v>
      </c>
      <c r="F7231" t="s">
        <v>27776</v>
      </c>
      <c r="G7231" t="s">
        <v>85</v>
      </c>
      <c r="H7231">
        <v>726013078</v>
      </c>
      <c r="I7231" t="s">
        <v>30</v>
      </c>
      <c r="J7231" t="s">
        <v>41</v>
      </c>
      <c r="K7231" t="s">
        <v>59</v>
      </c>
      <c r="Q7231">
        <v>0</v>
      </c>
      <c r="R7231">
        <v>0</v>
      </c>
      <c r="S7231">
        <v>0</v>
      </c>
    </row>
    <row r="7232" spans="1:20" customFormat="1" ht="15" x14ac:dyDescent="0.25">
      <c r="A7232" t="s">
        <v>35</v>
      </c>
      <c r="B7232" t="s">
        <v>61</v>
      </c>
      <c r="C7232" t="str">
        <f>"A0182154"</f>
        <v>A0182154</v>
      </c>
      <c r="D7232" t="s">
        <v>27777</v>
      </c>
      <c r="E7232" t="s">
        <v>27778</v>
      </c>
      <c r="F7232" t="s">
        <v>27650</v>
      </c>
      <c r="G7232" t="s">
        <v>1363</v>
      </c>
      <c r="H7232" t="s">
        <v>27779</v>
      </c>
      <c r="I7232" t="s">
        <v>30</v>
      </c>
      <c r="J7232" t="s">
        <v>41</v>
      </c>
      <c r="K7232" t="s">
        <v>59</v>
      </c>
      <c r="Q7232">
        <v>0</v>
      </c>
      <c r="R7232">
        <v>138</v>
      </c>
      <c r="S7232">
        <v>138</v>
      </c>
      <c r="T7232" t="s">
        <v>27780</v>
      </c>
    </row>
    <row r="7233" spans="1:20" customFormat="1" ht="15" x14ac:dyDescent="0.25">
      <c r="A7233" t="s">
        <v>35</v>
      </c>
      <c r="B7233" t="s">
        <v>21240</v>
      </c>
      <c r="C7233" t="str">
        <f>"A0182153"</f>
        <v>A0182153</v>
      </c>
      <c r="D7233" t="s">
        <v>27781</v>
      </c>
      <c r="E7233" t="s">
        <v>27782</v>
      </c>
      <c r="F7233" t="s">
        <v>9617</v>
      </c>
      <c r="G7233" t="s">
        <v>117</v>
      </c>
      <c r="H7233" t="s">
        <v>27783</v>
      </c>
      <c r="I7233" t="s">
        <v>30</v>
      </c>
      <c r="J7233" t="s">
        <v>41</v>
      </c>
      <c r="K7233" t="s">
        <v>59</v>
      </c>
      <c r="Q7233">
        <v>0</v>
      </c>
      <c r="R7233">
        <v>0</v>
      </c>
      <c r="S7233">
        <v>0</v>
      </c>
      <c r="T7233" t="s">
        <v>27784</v>
      </c>
    </row>
    <row r="7234" spans="1:20" customFormat="1" ht="15" x14ac:dyDescent="0.25">
      <c r="A7234" t="s">
        <v>35</v>
      </c>
      <c r="B7234" t="s">
        <v>11892</v>
      </c>
      <c r="C7234" t="str">
        <f>"A0182152"</f>
        <v>A0182152</v>
      </c>
      <c r="D7234" t="s">
        <v>27785</v>
      </c>
      <c r="E7234" t="s">
        <v>27786</v>
      </c>
      <c r="F7234" t="s">
        <v>12532</v>
      </c>
      <c r="G7234" t="s">
        <v>117</v>
      </c>
      <c r="H7234" t="s">
        <v>27787</v>
      </c>
      <c r="I7234" t="s">
        <v>30</v>
      </c>
      <c r="J7234" t="s">
        <v>41</v>
      </c>
      <c r="K7234" t="s">
        <v>59</v>
      </c>
      <c r="Q7234">
        <v>0</v>
      </c>
      <c r="R7234">
        <v>60</v>
      </c>
      <c r="S7234">
        <v>60</v>
      </c>
      <c r="T7234" t="s">
        <v>27788</v>
      </c>
    </row>
    <row r="7235" spans="1:20" customFormat="1" ht="15" x14ac:dyDescent="0.25">
      <c r="A7235" t="s">
        <v>35</v>
      </c>
      <c r="B7235" t="s">
        <v>11892</v>
      </c>
      <c r="C7235" t="str">
        <f>"A0182151"</f>
        <v>A0182151</v>
      </c>
      <c r="D7235" t="s">
        <v>27789</v>
      </c>
      <c r="E7235" t="s">
        <v>27790</v>
      </c>
      <c r="F7235" t="s">
        <v>11695</v>
      </c>
      <c r="G7235" t="s">
        <v>117</v>
      </c>
      <c r="H7235" t="s">
        <v>27791</v>
      </c>
      <c r="I7235" t="s">
        <v>30</v>
      </c>
      <c r="J7235" t="s">
        <v>41</v>
      </c>
      <c r="K7235" t="s">
        <v>59</v>
      </c>
      <c r="Q7235">
        <v>0</v>
      </c>
      <c r="R7235">
        <v>45</v>
      </c>
      <c r="S7235">
        <v>45</v>
      </c>
      <c r="T7235" t="s">
        <v>27792</v>
      </c>
    </row>
    <row r="7236" spans="1:20" customFormat="1" ht="15" x14ac:dyDescent="0.25">
      <c r="A7236" t="s">
        <v>35</v>
      </c>
      <c r="B7236" t="s">
        <v>61</v>
      </c>
      <c r="C7236" t="str">
        <f>"A0182150"</f>
        <v>A0182150</v>
      </c>
      <c r="D7236" t="s">
        <v>27793</v>
      </c>
      <c r="E7236" t="s">
        <v>27794</v>
      </c>
      <c r="F7236" t="s">
        <v>27795</v>
      </c>
      <c r="G7236" t="s">
        <v>1898</v>
      </c>
      <c r="H7236" t="s">
        <v>27796</v>
      </c>
      <c r="I7236" t="s">
        <v>30</v>
      </c>
      <c r="J7236" t="s">
        <v>41</v>
      </c>
      <c r="K7236" t="s">
        <v>59</v>
      </c>
      <c r="Q7236">
        <v>0</v>
      </c>
      <c r="R7236">
        <v>0</v>
      </c>
      <c r="S7236">
        <v>0</v>
      </c>
    </row>
    <row r="7237" spans="1:20" customFormat="1" ht="15" x14ac:dyDescent="0.25">
      <c r="A7237" t="s">
        <v>35</v>
      </c>
      <c r="B7237" t="s">
        <v>27797</v>
      </c>
      <c r="C7237" t="str">
        <f>"A0182149"</f>
        <v>A0182149</v>
      </c>
      <c r="D7237" t="s">
        <v>27798</v>
      </c>
      <c r="E7237" t="s">
        <v>27799</v>
      </c>
      <c r="F7237" t="s">
        <v>7095</v>
      </c>
      <c r="G7237" t="s">
        <v>1170</v>
      </c>
      <c r="H7237" t="s">
        <v>27800</v>
      </c>
      <c r="I7237" t="s">
        <v>30</v>
      </c>
      <c r="J7237" t="s">
        <v>41</v>
      </c>
      <c r="K7237" t="s">
        <v>59</v>
      </c>
      <c r="Q7237">
        <v>0</v>
      </c>
      <c r="R7237">
        <v>0</v>
      </c>
      <c r="S7237">
        <v>0</v>
      </c>
      <c r="T7237" t="s">
        <v>27801</v>
      </c>
    </row>
    <row r="7238" spans="1:20" customFormat="1" ht="15" x14ac:dyDescent="0.25">
      <c r="A7238" t="s">
        <v>35</v>
      </c>
      <c r="B7238" t="s">
        <v>11871</v>
      </c>
      <c r="C7238" t="str">
        <f>"A0182148"</f>
        <v>A0182148</v>
      </c>
      <c r="D7238" t="s">
        <v>27802</v>
      </c>
      <c r="E7238" t="s">
        <v>27803</v>
      </c>
      <c r="F7238" t="s">
        <v>3123</v>
      </c>
      <c r="G7238" t="s">
        <v>1170</v>
      </c>
      <c r="H7238" t="s">
        <v>27804</v>
      </c>
      <c r="I7238" t="s">
        <v>30</v>
      </c>
      <c r="J7238" t="s">
        <v>41</v>
      </c>
      <c r="K7238" t="s">
        <v>59</v>
      </c>
      <c r="Q7238">
        <v>0</v>
      </c>
      <c r="R7238">
        <v>0</v>
      </c>
      <c r="S7238">
        <v>0</v>
      </c>
      <c r="T7238" t="s">
        <v>27805</v>
      </c>
    </row>
    <row r="7239" spans="1:20" customFormat="1" ht="15" x14ac:dyDescent="0.25">
      <c r="A7239" t="s">
        <v>35</v>
      </c>
      <c r="B7239" t="s">
        <v>61</v>
      </c>
      <c r="C7239" t="str">
        <f>"A0182147"</f>
        <v>A0182147</v>
      </c>
      <c r="D7239" t="s">
        <v>27806</v>
      </c>
      <c r="E7239" t="s">
        <v>27807</v>
      </c>
      <c r="F7239" t="s">
        <v>15202</v>
      </c>
      <c r="G7239" t="s">
        <v>1170</v>
      </c>
      <c r="H7239" t="s">
        <v>27808</v>
      </c>
      <c r="I7239" t="s">
        <v>30</v>
      </c>
      <c r="J7239" t="s">
        <v>41</v>
      </c>
      <c r="K7239" t="s">
        <v>59</v>
      </c>
      <c r="Q7239">
        <v>0</v>
      </c>
      <c r="R7239">
        <v>0</v>
      </c>
      <c r="S7239">
        <v>0</v>
      </c>
      <c r="T7239" t="s">
        <v>27809</v>
      </c>
    </row>
    <row r="7240" spans="1:20" customFormat="1" ht="15" x14ac:dyDescent="0.25">
      <c r="A7240" t="s">
        <v>35</v>
      </c>
      <c r="B7240" t="s">
        <v>23900</v>
      </c>
      <c r="C7240" t="str">
        <f>"A0182146"</f>
        <v>A0182146</v>
      </c>
      <c r="D7240" t="s">
        <v>27810</v>
      </c>
      <c r="E7240" t="s">
        <v>27811</v>
      </c>
      <c r="F7240" t="s">
        <v>7095</v>
      </c>
      <c r="G7240" t="s">
        <v>1170</v>
      </c>
      <c r="H7240" t="s">
        <v>27812</v>
      </c>
      <c r="I7240" t="s">
        <v>30</v>
      </c>
      <c r="J7240" t="s">
        <v>41</v>
      </c>
      <c r="K7240" t="s">
        <v>59</v>
      </c>
      <c r="Q7240">
        <v>0</v>
      </c>
      <c r="R7240">
        <v>0</v>
      </c>
      <c r="S7240">
        <v>0</v>
      </c>
      <c r="T7240" t="s">
        <v>27813</v>
      </c>
    </row>
    <row r="7241" spans="1:20" customFormat="1" ht="15" x14ac:dyDescent="0.25">
      <c r="A7241" t="s">
        <v>35</v>
      </c>
      <c r="B7241" t="s">
        <v>61</v>
      </c>
      <c r="C7241" t="str">
        <f>"A0182145"</f>
        <v>A0182145</v>
      </c>
      <c r="D7241" t="s">
        <v>27814</v>
      </c>
      <c r="E7241" t="s">
        <v>27815</v>
      </c>
      <c r="F7241" t="s">
        <v>27816</v>
      </c>
      <c r="G7241" t="s">
        <v>1363</v>
      </c>
      <c r="H7241" t="s">
        <v>27817</v>
      </c>
      <c r="I7241" t="s">
        <v>30</v>
      </c>
      <c r="J7241" t="s">
        <v>41</v>
      </c>
      <c r="K7241" t="s">
        <v>59</v>
      </c>
      <c r="Q7241">
        <v>0</v>
      </c>
      <c r="R7241">
        <v>141</v>
      </c>
      <c r="S7241">
        <v>141</v>
      </c>
      <c r="T7241" t="s">
        <v>27818</v>
      </c>
    </row>
    <row r="7242" spans="1:20" customFormat="1" ht="15" x14ac:dyDescent="0.25">
      <c r="A7242" t="s">
        <v>35</v>
      </c>
      <c r="B7242" t="s">
        <v>61</v>
      </c>
      <c r="C7242" t="str">
        <f>"A0182144"</f>
        <v>A0182144</v>
      </c>
      <c r="D7242" t="s">
        <v>27819</v>
      </c>
      <c r="E7242" t="s">
        <v>27820</v>
      </c>
      <c r="F7242" t="s">
        <v>3744</v>
      </c>
      <c r="G7242" t="s">
        <v>47</v>
      </c>
      <c r="H7242">
        <v>975048469</v>
      </c>
      <c r="I7242" t="s">
        <v>30</v>
      </c>
      <c r="J7242" t="s">
        <v>41</v>
      </c>
      <c r="K7242" t="s">
        <v>59</v>
      </c>
      <c r="Q7242">
        <v>0</v>
      </c>
      <c r="R7242">
        <v>0</v>
      </c>
      <c r="S7242">
        <v>0</v>
      </c>
      <c r="T7242" t="s">
        <v>27821</v>
      </c>
    </row>
    <row r="7243" spans="1:20" customFormat="1" ht="15" x14ac:dyDescent="0.25">
      <c r="A7243" t="s">
        <v>35</v>
      </c>
      <c r="B7243" t="s">
        <v>61</v>
      </c>
      <c r="C7243" t="str">
        <f>"A0182143"</f>
        <v>A0182143</v>
      </c>
      <c r="D7243" t="s">
        <v>27822</v>
      </c>
      <c r="E7243" t="s">
        <v>27823</v>
      </c>
      <c r="F7243" t="s">
        <v>27824</v>
      </c>
      <c r="G7243" t="s">
        <v>47</v>
      </c>
      <c r="H7243">
        <v>97756</v>
      </c>
      <c r="I7243" t="s">
        <v>30</v>
      </c>
      <c r="J7243" t="s">
        <v>41</v>
      </c>
      <c r="K7243" t="s">
        <v>59</v>
      </c>
      <c r="Q7243">
        <v>0</v>
      </c>
      <c r="R7243">
        <v>0</v>
      </c>
      <c r="S7243">
        <v>0</v>
      </c>
      <c r="T7243" t="s">
        <v>27825</v>
      </c>
    </row>
    <row r="7244" spans="1:20" customFormat="1" ht="15" x14ac:dyDescent="0.25">
      <c r="A7244" t="s">
        <v>35</v>
      </c>
      <c r="B7244" t="s">
        <v>61</v>
      </c>
      <c r="C7244" t="str">
        <f>"A0182142"</f>
        <v>A0182142</v>
      </c>
      <c r="D7244" t="s">
        <v>27826</v>
      </c>
      <c r="E7244" t="s">
        <v>27827</v>
      </c>
      <c r="F7244" t="s">
        <v>64</v>
      </c>
      <c r="G7244" t="s">
        <v>1369</v>
      </c>
      <c r="H7244" t="s">
        <v>27828</v>
      </c>
      <c r="I7244" t="s">
        <v>30</v>
      </c>
      <c r="J7244" t="s">
        <v>41</v>
      </c>
      <c r="K7244" t="s">
        <v>59</v>
      </c>
      <c r="Q7244">
        <v>0</v>
      </c>
      <c r="R7244">
        <v>0</v>
      </c>
      <c r="S7244">
        <v>0</v>
      </c>
      <c r="T7244" t="s">
        <v>27829</v>
      </c>
    </row>
    <row r="7245" spans="1:20" customFormat="1" ht="15" x14ac:dyDescent="0.25">
      <c r="A7245" t="s">
        <v>35</v>
      </c>
      <c r="B7245" t="s">
        <v>61</v>
      </c>
      <c r="C7245" t="str">
        <f>"A0182141"</f>
        <v>A0182141</v>
      </c>
      <c r="D7245" t="s">
        <v>27830</v>
      </c>
      <c r="E7245" t="s">
        <v>27831</v>
      </c>
      <c r="F7245" t="s">
        <v>1755</v>
      </c>
      <c r="G7245" t="s">
        <v>161</v>
      </c>
      <c r="H7245" t="s">
        <v>27832</v>
      </c>
      <c r="I7245" t="s">
        <v>30</v>
      </c>
      <c r="J7245" t="s">
        <v>41</v>
      </c>
      <c r="K7245" t="s">
        <v>59</v>
      </c>
      <c r="Q7245">
        <v>0</v>
      </c>
      <c r="R7245">
        <v>139</v>
      </c>
      <c r="S7245">
        <v>139</v>
      </c>
      <c r="T7245" t="s">
        <v>27833</v>
      </c>
    </row>
    <row r="7246" spans="1:20" customFormat="1" ht="15" x14ac:dyDescent="0.25">
      <c r="A7246" t="s">
        <v>35</v>
      </c>
      <c r="B7246" t="s">
        <v>11892</v>
      </c>
      <c r="C7246" t="str">
        <f>"A0182140"</f>
        <v>A0182140</v>
      </c>
      <c r="D7246" t="s">
        <v>27834</v>
      </c>
      <c r="E7246" t="s">
        <v>27835</v>
      </c>
      <c r="F7246" t="s">
        <v>5118</v>
      </c>
      <c r="G7246" t="s">
        <v>117</v>
      </c>
      <c r="H7246" t="s">
        <v>27836</v>
      </c>
      <c r="I7246" t="s">
        <v>30</v>
      </c>
      <c r="J7246" t="s">
        <v>41</v>
      </c>
      <c r="K7246" t="s">
        <v>59</v>
      </c>
      <c r="Q7246">
        <v>0</v>
      </c>
      <c r="R7246">
        <v>198</v>
      </c>
      <c r="S7246">
        <v>198</v>
      </c>
      <c r="T7246" t="s">
        <v>27837</v>
      </c>
    </row>
    <row r="7247" spans="1:20" customFormat="1" ht="15" x14ac:dyDescent="0.25">
      <c r="A7247" t="s">
        <v>35</v>
      </c>
      <c r="B7247" t="s">
        <v>61</v>
      </c>
      <c r="C7247" t="str">
        <f>"A0182139"</f>
        <v>A0182139</v>
      </c>
      <c r="D7247" t="s">
        <v>27838</v>
      </c>
      <c r="E7247" t="s">
        <v>27839</v>
      </c>
      <c r="F7247" t="s">
        <v>15965</v>
      </c>
      <c r="G7247" t="s">
        <v>110</v>
      </c>
      <c r="H7247" t="s">
        <v>27840</v>
      </c>
      <c r="I7247" t="s">
        <v>30</v>
      </c>
      <c r="J7247" t="s">
        <v>41</v>
      </c>
      <c r="K7247" t="s">
        <v>59</v>
      </c>
      <c r="Q7247">
        <v>0</v>
      </c>
      <c r="R7247">
        <v>0</v>
      </c>
      <c r="S7247">
        <v>0</v>
      </c>
      <c r="T7247" t="s">
        <v>27841</v>
      </c>
    </row>
    <row r="7248" spans="1:20" customFormat="1" ht="15" x14ac:dyDescent="0.25">
      <c r="A7248" t="s">
        <v>35</v>
      </c>
      <c r="B7248" t="s">
        <v>61</v>
      </c>
      <c r="C7248" t="str">
        <f>"A0182138"</f>
        <v>A0182138</v>
      </c>
      <c r="D7248" t="s">
        <v>27842</v>
      </c>
      <c r="E7248" t="s">
        <v>27843</v>
      </c>
      <c r="F7248" t="s">
        <v>9873</v>
      </c>
      <c r="G7248" t="s">
        <v>110</v>
      </c>
      <c r="H7248" t="s">
        <v>27844</v>
      </c>
      <c r="I7248" t="s">
        <v>30</v>
      </c>
      <c r="J7248" t="s">
        <v>41</v>
      </c>
      <c r="K7248" t="s">
        <v>59</v>
      </c>
      <c r="Q7248">
        <v>0</v>
      </c>
      <c r="R7248">
        <v>0</v>
      </c>
      <c r="S7248">
        <v>0</v>
      </c>
      <c r="T7248" t="s">
        <v>27845</v>
      </c>
    </row>
    <row r="7249" spans="1:20" customFormat="1" ht="15" x14ac:dyDescent="0.25">
      <c r="A7249" t="s">
        <v>35</v>
      </c>
      <c r="B7249" t="s">
        <v>61</v>
      </c>
      <c r="C7249" t="str">
        <f>"A0182137"</f>
        <v>A0182137</v>
      </c>
      <c r="D7249" t="s">
        <v>27846</v>
      </c>
      <c r="E7249" t="s">
        <v>27847</v>
      </c>
      <c r="F7249" t="s">
        <v>20275</v>
      </c>
      <c r="G7249" t="s">
        <v>110</v>
      </c>
      <c r="H7249">
        <v>94703</v>
      </c>
      <c r="I7249" t="s">
        <v>30</v>
      </c>
      <c r="J7249" t="s">
        <v>41</v>
      </c>
      <c r="K7249" t="s">
        <v>59</v>
      </c>
      <c r="Q7249">
        <v>0</v>
      </c>
      <c r="R7249">
        <v>0</v>
      </c>
      <c r="S7249">
        <v>0</v>
      </c>
    </row>
    <row r="7250" spans="1:20" customFormat="1" ht="15" x14ac:dyDescent="0.25">
      <c r="A7250" t="s">
        <v>35</v>
      </c>
      <c r="B7250" t="s">
        <v>61</v>
      </c>
      <c r="C7250" t="str">
        <f>"A0182136"</f>
        <v>A0182136</v>
      </c>
      <c r="D7250" t="s">
        <v>27848</v>
      </c>
      <c r="E7250" t="s">
        <v>27849</v>
      </c>
      <c r="F7250" t="s">
        <v>6988</v>
      </c>
      <c r="G7250" t="s">
        <v>110</v>
      </c>
      <c r="H7250" t="s">
        <v>27850</v>
      </c>
      <c r="I7250" t="s">
        <v>30</v>
      </c>
      <c r="J7250" t="s">
        <v>41</v>
      </c>
      <c r="K7250" t="s">
        <v>59</v>
      </c>
      <c r="Q7250">
        <v>0</v>
      </c>
      <c r="R7250">
        <v>0</v>
      </c>
      <c r="S7250">
        <v>0</v>
      </c>
      <c r="T7250" t="s">
        <v>27851</v>
      </c>
    </row>
    <row r="7251" spans="1:20" customFormat="1" ht="15" x14ac:dyDescent="0.25">
      <c r="A7251" t="s">
        <v>35</v>
      </c>
      <c r="B7251" t="s">
        <v>61</v>
      </c>
      <c r="C7251" t="str">
        <f>"A0182135"</f>
        <v>A0182135</v>
      </c>
      <c r="D7251" t="s">
        <v>27852</v>
      </c>
      <c r="E7251" t="s">
        <v>27853</v>
      </c>
      <c r="F7251" t="s">
        <v>19689</v>
      </c>
      <c r="G7251" t="s">
        <v>161</v>
      </c>
      <c r="H7251" t="s">
        <v>27854</v>
      </c>
      <c r="I7251" t="s">
        <v>30</v>
      </c>
      <c r="J7251" t="s">
        <v>41</v>
      </c>
      <c r="K7251" t="s">
        <v>59</v>
      </c>
      <c r="Q7251">
        <v>0</v>
      </c>
      <c r="R7251">
        <v>0</v>
      </c>
      <c r="S7251">
        <v>0</v>
      </c>
      <c r="T7251" t="s">
        <v>27855</v>
      </c>
    </row>
    <row r="7252" spans="1:20" customFormat="1" ht="15" x14ac:dyDescent="0.25">
      <c r="A7252" t="s">
        <v>35</v>
      </c>
      <c r="B7252" t="s">
        <v>61</v>
      </c>
      <c r="C7252" t="str">
        <f>"A0182134"</f>
        <v>A0182134</v>
      </c>
      <c r="D7252" t="s">
        <v>27856</v>
      </c>
      <c r="E7252" t="s">
        <v>27857</v>
      </c>
      <c r="F7252" t="s">
        <v>8081</v>
      </c>
      <c r="G7252" t="s">
        <v>110</v>
      </c>
      <c r="H7252">
        <v>941121510</v>
      </c>
      <c r="I7252" t="s">
        <v>30</v>
      </c>
      <c r="J7252" t="s">
        <v>41</v>
      </c>
      <c r="K7252" t="s">
        <v>59</v>
      </c>
      <c r="Q7252">
        <v>0</v>
      </c>
      <c r="R7252">
        <v>0</v>
      </c>
      <c r="S7252">
        <v>0</v>
      </c>
      <c r="T7252" t="s">
        <v>27858</v>
      </c>
    </row>
    <row r="7253" spans="1:20" customFormat="1" ht="15" x14ac:dyDescent="0.25">
      <c r="A7253" t="s">
        <v>35</v>
      </c>
      <c r="B7253" t="s">
        <v>61</v>
      </c>
      <c r="C7253" t="str">
        <f>"A0182133"</f>
        <v>A0182133</v>
      </c>
      <c r="D7253" t="s">
        <v>27859</v>
      </c>
      <c r="E7253" t="s">
        <v>27860</v>
      </c>
      <c r="F7253" t="s">
        <v>9128</v>
      </c>
      <c r="G7253" t="s">
        <v>110</v>
      </c>
      <c r="H7253">
        <v>946121757</v>
      </c>
      <c r="I7253" t="s">
        <v>30</v>
      </c>
      <c r="J7253" t="s">
        <v>41</v>
      </c>
      <c r="K7253" t="s">
        <v>59</v>
      </c>
      <c r="Q7253">
        <v>0</v>
      </c>
      <c r="R7253">
        <v>0</v>
      </c>
      <c r="S7253">
        <v>0</v>
      </c>
      <c r="T7253" t="s">
        <v>27861</v>
      </c>
    </row>
    <row r="7254" spans="1:20" customFormat="1" ht="15" x14ac:dyDescent="0.25">
      <c r="A7254" t="s">
        <v>35</v>
      </c>
      <c r="B7254" t="s">
        <v>61</v>
      </c>
      <c r="C7254" t="str">
        <f>"A0182132"</f>
        <v>A0182132</v>
      </c>
      <c r="D7254" t="s">
        <v>27862</v>
      </c>
      <c r="E7254" t="s">
        <v>27863</v>
      </c>
      <c r="F7254" t="s">
        <v>9128</v>
      </c>
      <c r="G7254" t="s">
        <v>110</v>
      </c>
      <c r="H7254">
        <v>946124152</v>
      </c>
      <c r="I7254" t="s">
        <v>30</v>
      </c>
      <c r="J7254" t="s">
        <v>41</v>
      </c>
      <c r="K7254" t="s">
        <v>59</v>
      </c>
      <c r="Q7254">
        <v>0</v>
      </c>
      <c r="R7254">
        <v>0</v>
      </c>
      <c r="S7254">
        <v>0</v>
      </c>
      <c r="T7254" t="s">
        <v>27864</v>
      </c>
    </row>
    <row r="7255" spans="1:20" customFormat="1" ht="15" x14ac:dyDescent="0.25">
      <c r="A7255" t="s">
        <v>35</v>
      </c>
      <c r="B7255" t="s">
        <v>61</v>
      </c>
      <c r="C7255" t="str">
        <f>"A0182131"</f>
        <v>A0182131</v>
      </c>
      <c r="D7255" t="s">
        <v>27865</v>
      </c>
      <c r="E7255" t="s">
        <v>27866</v>
      </c>
      <c r="F7255" t="s">
        <v>8081</v>
      </c>
      <c r="G7255" t="s">
        <v>110</v>
      </c>
      <c r="H7255">
        <v>941096840</v>
      </c>
      <c r="I7255" t="s">
        <v>30</v>
      </c>
      <c r="J7255" t="s">
        <v>41</v>
      </c>
      <c r="K7255" t="s">
        <v>59</v>
      </c>
      <c r="Q7255">
        <v>0</v>
      </c>
      <c r="R7255">
        <v>0</v>
      </c>
      <c r="S7255">
        <v>0</v>
      </c>
      <c r="T7255" t="s">
        <v>27867</v>
      </c>
    </row>
    <row r="7256" spans="1:20" customFormat="1" ht="15" x14ac:dyDescent="0.25">
      <c r="A7256" t="s">
        <v>35</v>
      </c>
      <c r="B7256" t="s">
        <v>61</v>
      </c>
      <c r="C7256" t="str">
        <f>"A0182130"</f>
        <v>A0182130</v>
      </c>
      <c r="D7256" t="s">
        <v>27868</v>
      </c>
      <c r="E7256" t="s">
        <v>27869</v>
      </c>
      <c r="F7256" t="s">
        <v>5459</v>
      </c>
      <c r="G7256" t="s">
        <v>110</v>
      </c>
      <c r="H7256" t="s">
        <v>27870</v>
      </c>
      <c r="I7256" t="s">
        <v>30</v>
      </c>
      <c r="J7256" t="s">
        <v>41</v>
      </c>
      <c r="K7256" t="s">
        <v>59</v>
      </c>
      <c r="Q7256">
        <v>0</v>
      </c>
      <c r="R7256">
        <v>0</v>
      </c>
      <c r="S7256">
        <v>0</v>
      </c>
      <c r="T7256" t="s">
        <v>27871</v>
      </c>
    </row>
    <row r="7257" spans="1:20" customFormat="1" ht="15" x14ac:dyDescent="0.25">
      <c r="A7257" t="s">
        <v>35</v>
      </c>
      <c r="B7257" t="s">
        <v>61</v>
      </c>
      <c r="C7257" t="str">
        <f>"A0182129"</f>
        <v>A0182129</v>
      </c>
      <c r="D7257" t="s">
        <v>27872</v>
      </c>
      <c r="E7257" t="s">
        <v>27873</v>
      </c>
      <c r="F7257" t="s">
        <v>24534</v>
      </c>
      <c r="G7257" t="s">
        <v>1184</v>
      </c>
      <c r="H7257">
        <v>598024167</v>
      </c>
      <c r="I7257" t="s">
        <v>30</v>
      </c>
      <c r="J7257" t="s">
        <v>41</v>
      </c>
      <c r="K7257" t="s">
        <v>59</v>
      </c>
      <c r="Q7257">
        <v>0</v>
      </c>
      <c r="R7257">
        <v>0</v>
      </c>
      <c r="S7257">
        <v>0</v>
      </c>
      <c r="T7257" t="s">
        <v>27874</v>
      </c>
    </row>
    <row r="7258" spans="1:20" customFormat="1" ht="15" x14ac:dyDescent="0.25">
      <c r="A7258" t="s">
        <v>35</v>
      </c>
      <c r="B7258" t="s">
        <v>61</v>
      </c>
      <c r="C7258" t="str">
        <f>"A0182128"</f>
        <v>A0182128</v>
      </c>
      <c r="D7258" t="s">
        <v>27875</v>
      </c>
      <c r="E7258" t="s">
        <v>27876</v>
      </c>
      <c r="F7258" t="s">
        <v>4023</v>
      </c>
      <c r="G7258" t="s">
        <v>161</v>
      </c>
      <c r="H7258">
        <v>55129</v>
      </c>
      <c r="I7258" t="s">
        <v>30</v>
      </c>
      <c r="J7258" t="s">
        <v>41</v>
      </c>
      <c r="K7258" t="s">
        <v>59</v>
      </c>
      <c r="Q7258">
        <v>0</v>
      </c>
      <c r="R7258">
        <v>0</v>
      </c>
      <c r="S7258">
        <v>0</v>
      </c>
    </row>
    <row r="7259" spans="1:20" customFormat="1" ht="15" x14ac:dyDescent="0.25">
      <c r="A7259" t="s">
        <v>35</v>
      </c>
      <c r="B7259" t="s">
        <v>61</v>
      </c>
      <c r="C7259" t="str">
        <f>"A0182127"</f>
        <v>A0182127</v>
      </c>
      <c r="D7259" t="s">
        <v>27877</v>
      </c>
      <c r="E7259" t="s">
        <v>27878</v>
      </c>
      <c r="F7259" t="s">
        <v>19689</v>
      </c>
      <c r="G7259" t="s">
        <v>161</v>
      </c>
      <c r="H7259">
        <v>55419</v>
      </c>
      <c r="I7259" t="s">
        <v>30</v>
      </c>
      <c r="J7259" t="s">
        <v>41</v>
      </c>
      <c r="K7259" t="s">
        <v>59</v>
      </c>
      <c r="Q7259">
        <v>0</v>
      </c>
      <c r="R7259">
        <v>0</v>
      </c>
      <c r="S7259">
        <v>0</v>
      </c>
      <c r="T7259" t="s">
        <v>27879</v>
      </c>
    </row>
    <row r="7260" spans="1:20" customFormat="1" ht="15" x14ac:dyDescent="0.25">
      <c r="A7260" t="s">
        <v>35</v>
      </c>
      <c r="B7260" t="s">
        <v>61</v>
      </c>
      <c r="C7260" t="str">
        <f>"A0182126"</f>
        <v>A0182126</v>
      </c>
      <c r="D7260" t="s">
        <v>27880</v>
      </c>
      <c r="E7260" t="s">
        <v>27881</v>
      </c>
      <c r="F7260" t="s">
        <v>20926</v>
      </c>
      <c r="G7260" t="s">
        <v>161</v>
      </c>
      <c r="H7260" t="s">
        <v>27882</v>
      </c>
      <c r="I7260" t="s">
        <v>30</v>
      </c>
      <c r="J7260" t="s">
        <v>41</v>
      </c>
      <c r="K7260" t="s">
        <v>59</v>
      </c>
      <c r="Q7260">
        <v>0</v>
      </c>
      <c r="R7260">
        <v>0</v>
      </c>
      <c r="S7260">
        <v>0</v>
      </c>
      <c r="T7260" t="s">
        <v>27883</v>
      </c>
    </row>
    <row r="7261" spans="1:20" customFormat="1" ht="15" x14ac:dyDescent="0.25">
      <c r="A7261" t="s">
        <v>35</v>
      </c>
      <c r="B7261" t="s">
        <v>61</v>
      </c>
      <c r="C7261" t="str">
        <f>"A0182125"</f>
        <v>A0182125</v>
      </c>
      <c r="D7261" t="s">
        <v>27884</v>
      </c>
      <c r="E7261" t="s">
        <v>27885</v>
      </c>
      <c r="F7261" t="s">
        <v>1431</v>
      </c>
      <c r="G7261" t="s">
        <v>47</v>
      </c>
      <c r="H7261">
        <v>972113069</v>
      </c>
      <c r="I7261" t="s">
        <v>30</v>
      </c>
      <c r="J7261" t="s">
        <v>41</v>
      </c>
      <c r="K7261" t="s">
        <v>59</v>
      </c>
      <c r="Q7261">
        <v>0</v>
      </c>
      <c r="R7261">
        <v>0</v>
      </c>
      <c r="S7261">
        <v>0</v>
      </c>
      <c r="T7261" t="s">
        <v>27886</v>
      </c>
    </row>
    <row r="7262" spans="1:20" customFormat="1" ht="15" x14ac:dyDescent="0.25">
      <c r="A7262" t="s">
        <v>35</v>
      </c>
      <c r="B7262" t="s">
        <v>61</v>
      </c>
      <c r="C7262" t="str">
        <f>"A0182124"</f>
        <v>A0182124</v>
      </c>
      <c r="D7262" t="s">
        <v>27887</v>
      </c>
      <c r="E7262" t="s">
        <v>27888</v>
      </c>
      <c r="F7262" t="s">
        <v>12474</v>
      </c>
      <c r="G7262" t="s">
        <v>47</v>
      </c>
      <c r="H7262">
        <v>977017666</v>
      </c>
      <c r="I7262" t="s">
        <v>30</v>
      </c>
      <c r="J7262" t="s">
        <v>41</v>
      </c>
      <c r="K7262" t="s">
        <v>59</v>
      </c>
      <c r="Q7262">
        <v>0</v>
      </c>
      <c r="R7262">
        <v>0</v>
      </c>
      <c r="S7262">
        <v>0</v>
      </c>
      <c r="T7262" t="s">
        <v>27889</v>
      </c>
    </row>
    <row r="7263" spans="1:20" customFormat="1" ht="15" x14ac:dyDescent="0.25">
      <c r="A7263" t="s">
        <v>35</v>
      </c>
      <c r="B7263" t="s">
        <v>61</v>
      </c>
      <c r="C7263" t="str">
        <f>"A0182123"</f>
        <v>A0182123</v>
      </c>
      <c r="D7263" t="s">
        <v>27890</v>
      </c>
      <c r="E7263" t="s">
        <v>27891</v>
      </c>
      <c r="F7263" t="s">
        <v>9787</v>
      </c>
      <c r="G7263" t="s">
        <v>47</v>
      </c>
      <c r="H7263">
        <v>975264158</v>
      </c>
      <c r="I7263" t="s">
        <v>30</v>
      </c>
      <c r="J7263" t="s">
        <v>41</v>
      </c>
      <c r="K7263" t="s">
        <v>59</v>
      </c>
      <c r="Q7263">
        <v>0</v>
      </c>
      <c r="R7263">
        <v>0</v>
      </c>
      <c r="S7263">
        <v>0</v>
      </c>
      <c r="T7263" t="s">
        <v>27892</v>
      </c>
    </row>
    <row r="7264" spans="1:20" customFormat="1" ht="15" x14ac:dyDescent="0.25">
      <c r="A7264" t="s">
        <v>35</v>
      </c>
      <c r="B7264" t="s">
        <v>61</v>
      </c>
      <c r="C7264" t="str">
        <f>"A0182122"</f>
        <v>A0182122</v>
      </c>
      <c r="D7264" t="s">
        <v>27893</v>
      </c>
      <c r="E7264" t="s">
        <v>27894</v>
      </c>
      <c r="F7264" t="s">
        <v>22374</v>
      </c>
      <c r="G7264" t="s">
        <v>47</v>
      </c>
      <c r="H7264">
        <v>97321</v>
      </c>
      <c r="I7264" t="s">
        <v>30</v>
      </c>
      <c r="J7264" t="s">
        <v>41</v>
      </c>
      <c r="K7264" t="s">
        <v>59</v>
      </c>
      <c r="Q7264">
        <v>0</v>
      </c>
      <c r="R7264">
        <v>193</v>
      </c>
      <c r="S7264">
        <v>193</v>
      </c>
      <c r="T7264" t="s">
        <v>27895</v>
      </c>
    </row>
    <row r="7265" spans="1:20" customFormat="1" ht="15" x14ac:dyDescent="0.25">
      <c r="A7265" t="s">
        <v>35</v>
      </c>
      <c r="B7265" t="s">
        <v>61</v>
      </c>
      <c r="C7265" t="str">
        <f>"A0182121"</f>
        <v>A0182121</v>
      </c>
      <c r="D7265" t="s">
        <v>27896</v>
      </c>
      <c r="E7265" t="s">
        <v>27897</v>
      </c>
      <c r="F7265" t="s">
        <v>27898</v>
      </c>
      <c r="G7265" t="s">
        <v>47</v>
      </c>
      <c r="H7265">
        <v>978011871</v>
      </c>
      <c r="I7265" t="s">
        <v>30</v>
      </c>
      <c r="J7265" t="s">
        <v>41</v>
      </c>
      <c r="K7265" t="s">
        <v>59</v>
      </c>
      <c r="Q7265">
        <v>0</v>
      </c>
      <c r="R7265">
        <v>0</v>
      </c>
      <c r="S7265">
        <v>0</v>
      </c>
      <c r="T7265" t="s">
        <v>27899</v>
      </c>
    </row>
    <row r="7266" spans="1:20" customFormat="1" ht="15" x14ac:dyDescent="0.25">
      <c r="A7266" t="s">
        <v>35</v>
      </c>
      <c r="B7266" t="s">
        <v>11828</v>
      </c>
      <c r="C7266" t="str">
        <f>"A0182120"</f>
        <v>A0182120</v>
      </c>
      <c r="D7266" t="s">
        <v>27900</v>
      </c>
      <c r="E7266" t="s">
        <v>27901</v>
      </c>
      <c r="F7266" t="s">
        <v>11831</v>
      </c>
      <c r="G7266" t="s">
        <v>161</v>
      </c>
      <c r="H7266" t="s">
        <v>11981</v>
      </c>
      <c r="I7266" t="s">
        <v>30</v>
      </c>
      <c r="J7266" t="s">
        <v>41</v>
      </c>
      <c r="K7266" t="s">
        <v>59</v>
      </c>
      <c r="Q7266">
        <v>0</v>
      </c>
      <c r="R7266">
        <v>120</v>
      </c>
      <c r="S7266">
        <v>120</v>
      </c>
      <c r="T7266" t="s">
        <v>27902</v>
      </c>
    </row>
    <row r="7267" spans="1:20" customFormat="1" ht="15" x14ac:dyDescent="0.25">
      <c r="A7267" t="s">
        <v>35</v>
      </c>
      <c r="B7267" t="s">
        <v>61</v>
      </c>
      <c r="C7267" t="str">
        <f>"A0182119"</f>
        <v>A0182119</v>
      </c>
      <c r="D7267" t="s">
        <v>27903</v>
      </c>
      <c r="E7267" t="s">
        <v>27904</v>
      </c>
      <c r="F7267" t="s">
        <v>22374</v>
      </c>
      <c r="G7267" t="s">
        <v>161</v>
      </c>
      <c r="H7267" t="s">
        <v>27905</v>
      </c>
      <c r="I7267" t="s">
        <v>30</v>
      </c>
      <c r="J7267" t="s">
        <v>41</v>
      </c>
      <c r="K7267" t="s">
        <v>59</v>
      </c>
      <c r="Q7267">
        <v>0</v>
      </c>
      <c r="R7267">
        <v>0</v>
      </c>
      <c r="S7267">
        <v>0</v>
      </c>
    </row>
    <row r="7268" spans="1:20" customFormat="1" ht="15" x14ac:dyDescent="0.25">
      <c r="A7268" t="s">
        <v>35</v>
      </c>
      <c r="B7268" t="s">
        <v>61</v>
      </c>
      <c r="C7268" t="str">
        <f>"A0182118"</f>
        <v>A0182118</v>
      </c>
      <c r="D7268" t="s">
        <v>27906</v>
      </c>
      <c r="E7268" t="s">
        <v>27907</v>
      </c>
      <c r="F7268" t="s">
        <v>24626</v>
      </c>
      <c r="G7268" t="s">
        <v>161</v>
      </c>
      <c r="H7268">
        <v>55013</v>
      </c>
      <c r="I7268" t="s">
        <v>30</v>
      </c>
      <c r="J7268" t="s">
        <v>41</v>
      </c>
      <c r="K7268" t="s">
        <v>59</v>
      </c>
      <c r="Q7268">
        <v>0</v>
      </c>
      <c r="R7268">
        <v>0</v>
      </c>
      <c r="S7268">
        <v>0</v>
      </c>
      <c r="T7268" t="s">
        <v>27908</v>
      </c>
    </row>
    <row r="7269" spans="1:20" customFormat="1" ht="15" x14ac:dyDescent="0.25">
      <c r="A7269" t="s">
        <v>35</v>
      </c>
      <c r="B7269" t="s">
        <v>61</v>
      </c>
      <c r="C7269" t="str">
        <f>"A0182117"</f>
        <v>A0182117</v>
      </c>
      <c r="D7269" t="s">
        <v>27909</v>
      </c>
      <c r="E7269" t="s">
        <v>27910</v>
      </c>
      <c r="F7269" t="s">
        <v>19203</v>
      </c>
      <c r="G7269" t="s">
        <v>161</v>
      </c>
      <c r="H7269" t="s">
        <v>27911</v>
      </c>
      <c r="I7269" t="s">
        <v>30</v>
      </c>
      <c r="J7269" t="s">
        <v>41</v>
      </c>
      <c r="K7269" t="s">
        <v>59</v>
      </c>
      <c r="Q7269">
        <v>0</v>
      </c>
      <c r="R7269">
        <v>0</v>
      </c>
      <c r="S7269">
        <v>0</v>
      </c>
      <c r="T7269" t="s">
        <v>27912</v>
      </c>
    </row>
    <row r="7270" spans="1:20" customFormat="1" ht="15" x14ac:dyDescent="0.25">
      <c r="A7270" t="s">
        <v>35</v>
      </c>
      <c r="B7270" t="s">
        <v>61</v>
      </c>
      <c r="C7270" t="str">
        <f>"A0182116"</f>
        <v>A0182116</v>
      </c>
      <c r="D7270" t="s">
        <v>27913</v>
      </c>
      <c r="E7270" t="s">
        <v>27914</v>
      </c>
      <c r="F7270" t="s">
        <v>9187</v>
      </c>
      <c r="G7270" t="s">
        <v>161</v>
      </c>
      <c r="H7270" t="s">
        <v>27915</v>
      </c>
      <c r="I7270" t="s">
        <v>30</v>
      </c>
      <c r="J7270" t="s">
        <v>41</v>
      </c>
      <c r="K7270" t="s">
        <v>59</v>
      </c>
      <c r="Q7270">
        <v>0</v>
      </c>
      <c r="R7270">
        <v>0</v>
      </c>
      <c r="S7270">
        <v>0</v>
      </c>
      <c r="T7270" t="s">
        <v>27916</v>
      </c>
    </row>
    <row r="7271" spans="1:20" customFormat="1" ht="15" x14ac:dyDescent="0.25">
      <c r="A7271" t="s">
        <v>35</v>
      </c>
      <c r="B7271" t="s">
        <v>61</v>
      </c>
      <c r="C7271" t="str">
        <f>"A0182115"</f>
        <v>A0182115</v>
      </c>
      <c r="D7271" t="s">
        <v>27917</v>
      </c>
      <c r="E7271" t="s">
        <v>27918</v>
      </c>
      <c r="F7271" t="s">
        <v>27919</v>
      </c>
      <c r="G7271" t="s">
        <v>71</v>
      </c>
      <c r="H7271" t="s">
        <v>27920</v>
      </c>
      <c r="I7271" t="s">
        <v>30</v>
      </c>
      <c r="J7271" t="s">
        <v>41</v>
      </c>
      <c r="K7271" t="s">
        <v>59</v>
      </c>
      <c r="Q7271">
        <v>0</v>
      </c>
      <c r="R7271">
        <v>0</v>
      </c>
      <c r="S7271">
        <v>0</v>
      </c>
    </row>
    <row r="7272" spans="1:20" customFormat="1" ht="15" x14ac:dyDescent="0.25">
      <c r="A7272" t="s">
        <v>35</v>
      </c>
      <c r="B7272" t="s">
        <v>23900</v>
      </c>
      <c r="C7272" t="str">
        <f>"A0182113"</f>
        <v>A0182113</v>
      </c>
      <c r="D7272" t="s">
        <v>27921</v>
      </c>
      <c r="E7272" t="s">
        <v>27922</v>
      </c>
      <c r="F7272" t="s">
        <v>7095</v>
      </c>
      <c r="G7272" t="s">
        <v>1170</v>
      </c>
      <c r="H7272">
        <v>701226601</v>
      </c>
      <c r="I7272" t="s">
        <v>30</v>
      </c>
      <c r="J7272" t="s">
        <v>41</v>
      </c>
      <c r="K7272" t="s">
        <v>59</v>
      </c>
      <c r="Q7272">
        <v>0</v>
      </c>
      <c r="R7272">
        <v>0</v>
      </c>
      <c r="S7272">
        <v>0</v>
      </c>
      <c r="T7272" t="s">
        <v>27923</v>
      </c>
    </row>
    <row r="7273" spans="1:20" customFormat="1" ht="15" x14ac:dyDescent="0.25">
      <c r="A7273" t="s">
        <v>35</v>
      </c>
      <c r="B7273" t="s">
        <v>23900</v>
      </c>
      <c r="C7273" t="str">
        <f>"A0182112"</f>
        <v>A0182112</v>
      </c>
      <c r="D7273" t="s">
        <v>27924</v>
      </c>
      <c r="E7273" t="s">
        <v>27925</v>
      </c>
      <c r="F7273" t="s">
        <v>27926</v>
      </c>
      <c r="G7273" t="s">
        <v>1170</v>
      </c>
      <c r="H7273" t="s">
        <v>27927</v>
      </c>
      <c r="I7273" t="s">
        <v>30</v>
      </c>
      <c r="J7273" t="s">
        <v>41</v>
      </c>
      <c r="K7273" t="s">
        <v>59</v>
      </c>
      <c r="Q7273">
        <v>0</v>
      </c>
      <c r="R7273">
        <v>0</v>
      </c>
      <c r="S7273">
        <v>0</v>
      </c>
      <c r="T7273" t="s">
        <v>27928</v>
      </c>
    </row>
    <row r="7274" spans="1:20" customFormat="1" ht="15" x14ac:dyDescent="0.25">
      <c r="A7274" t="s">
        <v>35</v>
      </c>
      <c r="B7274" t="s">
        <v>61</v>
      </c>
      <c r="C7274" t="str">
        <f>"A0182111"</f>
        <v>A0182111</v>
      </c>
      <c r="D7274" t="s">
        <v>25829</v>
      </c>
      <c r="E7274" t="s">
        <v>27929</v>
      </c>
      <c r="F7274" t="s">
        <v>25831</v>
      </c>
      <c r="G7274" t="s">
        <v>1363</v>
      </c>
      <c r="H7274" t="s">
        <v>27930</v>
      </c>
      <c r="I7274" t="s">
        <v>30</v>
      </c>
      <c r="J7274" t="s">
        <v>41</v>
      </c>
      <c r="K7274" t="s">
        <v>59</v>
      </c>
      <c r="Q7274">
        <v>0</v>
      </c>
      <c r="R7274">
        <v>691</v>
      </c>
      <c r="S7274">
        <v>691</v>
      </c>
      <c r="T7274" t="s">
        <v>25832</v>
      </c>
    </row>
    <row r="7275" spans="1:20" customFormat="1" ht="15" x14ac:dyDescent="0.25">
      <c r="A7275" t="s">
        <v>35</v>
      </c>
      <c r="B7275" t="s">
        <v>61</v>
      </c>
      <c r="C7275" t="str">
        <f>"A0182110"</f>
        <v>A0182110</v>
      </c>
      <c r="D7275" t="s">
        <v>1762</v>
      </c>
      <c r="E7275" t="s">
        <v>27931</v>
      </c>
      <c r="F7275" t="s">
        <v>27932</v>
      </c>
      <c r="G7275" t="s">
        <v>161</v>
      </c>
      <c r="H7275" t="s">
        <v>27933</v>
      </c>
      <c r="I7275" t="s">
        <v>30</v>
      </c>
      <c r="J7275" t="s">
        <v>41</v>
      </c>
      <c r="K7275" t="s">
        <v>59</v>
      </c>
      <c r="Q7275">
        <v>0</v>
      </c>
      <c r="R7275">
        <v>0</v>
      </c>
      <c r="S7275">
        <v>0</v>
      </c>
      <c r="T7275" t="s">
        <v>27934</v>
      </c>
    </row>
    <row r="7276" spans="1:20" customFormat="1" ht="15" x14ac:dyDescent="0.25">
      <c r="A7276" t="s">
        <v>35</v>
      </c>
      <c r="B7276" t="s">
        <v>61</v>
      </c>
      <c r="C7276" t="str">
        <f>"A0182109"</f>
        <v>A0182109</v>
      </c>
      <c r="D7276" t="s">
        <v>27935</v>
      </c>
      <c r="E7276" t="s">
        <v>27936</v>
      </c>
      <c r="F7276" t="s">
        <v>4133</v>
      </c>
      <c r="G7276" t="s">
        <v>161</v>
      </c>
      <c r="H7276" t="s">
        <v>27937</v>
      </c>
      <c r="I7276" t="s">
        <v>30</v>
      </c>
      <c r="J7276" t="s">
        <v>41</v>
      </c>
      <c r="K7276" t="s">
        <v>59</v>
      </c>
      <c r="Q7276">
        <v>0</v>
      </c>
      <c r="R7276">
        <v>59</v>
      </c>
      <c r="S7276">
        <v>59</v>
      </c>
      <c r="T7276" t="s">
        <v>27938</v>
      </c>
    </row>
    <row r="7277" spans="1:20" customFormat="1" ht="15" x14ac:dyDescent="0.25">
      <c r="A7277" t="s">
        <v>35</v>
      </c>
      <c r="B7277" t="s">
        <v>61</v>
      </c>
      <c r="C7277" t="str">
        <f>"A0182108"</f>
        <v>A0182108</v>
      </c>
      <c r="D7277" t="s">
        <v>27939</v>
      </c>
      <c r="E7277" t="s">
        <v>25562</v>
      </c>
      <c r="F7277" t="s">
        <v>7112</v>
      </c>
      <c r="G7277" t="s">
        <v>161</v>
      </c>
      <c r="H7277" t="s">
        <v>25563</v>
      </c>
      <c r="I7277" t="s">
        <v>30</v>
      </c>
      <c r="J7277" t="s">
        <v>41</v>
      </c>
      <c r="K7277" t="s">
        <v>59</v>
      </c>
      <c r="Q7277">
        <v>0</v>
      </c>
      <c r="R7277">
        <v>0</v>
      </c>
      <c r="S7277">
        <v>0</v>
      </c>
    </row>
    <row r="7278" spans="1:20" customFormat="1" ht="15" x14ac:dyDescent="0.25">
      <c r="A7278" t="s">
        <v>35</v>
      </c>
      <c r="B7278" t="s">
        <v>61</v>
      </c>
      <c r="C7278" t="str">
        <f>"A0182107"</f>
        <v>A0182107</v>
      </c>
      <c r="D7278" t="s">
        <v>27940</v>
      </c>
      <c r="E7278" t="s">
        <v>27941</v>
      </c>
      <c r="F7278" t="s">
        <v>25224</v>
      </c>
      <c r="G7278" t="s">
        <v>161</v>
      </c>
      <c r="H7278" t="s">
        <v>27942</v>
      </c>
      <c r="I7278" t="s">
        <v>30</v>
      </c>
      <c r="J7278" t="s">
        <v>41</v>
      </c>
      <c r="K7278" t="s">
        <v>59</v>
      </c>
      <c r="Q7278">
        <v>0</v>
      </c>
      <c r="R7278">
        <v>0</v>
      </c>
      <c r="S7278">
        <v>0</v>
      </c>
    </row>
    <row r="7279" spans="1:20" customFormat="1" ht="15" x14ac:dyDescent="0.25">
      <c r="A7279" t="s">
        <v>35</v>
      </c>
      <c r="B7279" t="s">
        <v>61</v>
      </c>
      <c r="C7279" t="str">
        <f>"A0182106"</f>
        <v>A0182106</v>
      </c>
      <c r="D7279" t="s">
        <v>27943</v>
      </c>
      <c r="E7279" t="s">
        <v>27944</v>
      </c>
      <c r="F7279" t="s">
        <v>20360</v>
      </c>
      <c r="G7279" t="s">
        <v>161</v>
      </c>
      <c r="H7279">
        <v>55330</v>
      </c>
      <c r="I7279" t="s">
        <v>30</v>
      </c>
      <c r="J7279" t="s">
        <v>41</v>
      </c>
      <c r="K7279" t="s">
        <v>59</v>
      </c>
      <c r="Q7279">
        <v>0</v>
      </c>
      <c r="R7279">
        <v>0</v>
      </c>
      <c r="S7279">
        <v>0</v>
      </c>
    </row>
    <row r="7280" spans="1:20" customFormat="1" ht="15" x14ac:dyDescent="0.25">
      <c r="A7280" t="s">
        <v>35</v>
      </c>
      <c r="B7280" t="s">
        <v>61</v>
      </c>
      <c r="C7280" t="str">
        <f>"A0182105"</f>
        <v>A0182105</v>
      </c>
      <c r="D7280" t="s">
        <v>25829</v>
      </c>
      <c r="E7280" t="s">
        <v>27945</v>
      </c>
      <c r="F7280" t="s">
        <v>25831</v>
      </c>
      <c r="G7280" t="s">
        <v>1363</v>
      </c>
      <c r="H7280" t="s">
        <v>27946</v>
      </c>
      <c r="I7280" t="s">
        <v>30</v>
      </c>
      <c r="J7280" t="s">
        <v>41</v>
      </c>
      <c r="K7280" t="s">
        <v>59</v>
      </c>
      <c r="Q7280">
        <v>0</v>
      </c>
      <c r="R7280">
        <v>691</v>
      </c>
      <c r="S7280">
        <v>691</v>
      </c>
      <c r="T7280" t="s">
        <v>25832</v>
      </c>
    </row>
    <row r="7281" spans="1:20" customFormat="1" ht="15" x14ac:dyDescent="0.25">
      <c r="A7281" t="s">
        <v>35</v>
      </c>
      <c r="B7281" t="s">
        <v>61</v>
      </c>
      <c r="C7281" t="str">
        <f>"A0182104"</f>
        <v>A0182104</v>
      </c>
      <c r="D7281" t="s">
        <v>27947</v>
      </c>
      <c r="E7281" t="s">
        <v>27948</v>
      </c>
      <c r="F7281" t="s">
        <v>19203</v>
      </c>
      <c r="G7281" t="s">
        <v>161</v>
      </c>
      <c r="H7281" t="s">
        <v>27949</v>
      </c>
      <c r="I7281" t="s">
        <v>30</v>
      </c>
      <c r="J7281" t="s">
        <v>41</v>
      </c>
      <c r="K7281" t="s">
        <v>59</v>
      </c>
      <c r="Q7281">
        <v>0</v>
      </c>
      <c r="R7281">
        <v>180</v>
      </c>
      <c r="S7281">
        <v>180</v>
      </c>
      <c r="T7281" t="s">
        <v>27950</v>
      </c>
    </row>
    <row r="7282" spans="1:20" customFormat="1" ht="15" x14ac:dyDescent="0.25">
      <c r="A7282" t="s">
        <v>35</v>
      </c>
      <c r="B7282" t="s">
        <v>61</v>
      </c>
      <c r="C7282" t="str">
        <f>"A0182103"</f>
        <v>A0182103</v>
      </c>
      <c r="D7282" t="s">
        <v>27951</v>
      </c>
      <c r="E7282" t="s">
        <v>27952</v>
      </c>
      <c r="F7282" t="s">
        <v>20360</v>
      </c>
      <c r="G7282" t="s">
        <v>161</v>
      </c>
      <c r="H7282" t="s">
        <v>27953</v>
      </c>
      <c r="I7282" t="s">
        <v>30</v>
      </c>
      <c r="J7282" t="s">
        <v>41</v>
      </c>
      <c r="K7282" t="s">
        <v>59</v>
      </c>
      <c r="Q7282">
        <v>0</v>
      </c>
      <c r="R7282">
        <v>36</v>
      </c>
      <c r="S7282">
        <v>36</v>
      </c>
      <c r="T7282" t="s">
        <v>27954</v>
      </c>
    </row>
    <row r="7283" spans="1:20" customFormat="1" ht="15" x14ac:dyDescent="0.25">
      <c r="A7283" t="s">
        <v>35</v>
      </c>
      <c r="B7283" t="s">
        <v>61</v>
      </c>
      <c r="C7283" t="str">
        <f>"A0182102"</f>
        <v>A0182102</v>
      </c>
      <c r="D7283" t="s">
        <v>27955</v>
      </c>
      <c r="E7283" t="s">
        <v>27956</v>
      </c>
      <c r="F7283" t="s">
        <v>27957</v>
      </c>
      <c r="G7283" t="s">
        <v>71</v>
      </c>
      <c r="H7283" t="s">
        <v>27958</v>
      </c>
      <c r="I7283" t="s">
        <v>30</v>
      </c>
      <c r="J7283" t="s">
        <v>41</v>
      </c>
      <c r="K7283" t="s">
        <v>59</v>
      </c>
      <c r="Q7283">
        <v>0</v>
      </c>
      <c r="R7283">
        <v>0</v>
      </c>
      <c r="S7283">
        <v>0</v>
      </c>
    </row>
    <row r="7284" spans="1:20" customFormat="1" ht="15" x14ac:dyDescent="0.25">
      <c r="A7284" t="s">
        <v>35</v>
      </c>
      <c r="B7284" t="s">
        <v>61</v>
      </c>
      <c r="C7284" t="str">
        <f>"A0182101"</f>
        <v>A0182101</v>
      </c>
      <c r="D7284" t="s">
        <v>27959</v>
      </c>
      <c r="E7284" t="s">
        <v>27960</v>
      </c>
      <c r="F7284" t="s">
        <v>22374</v>
      </c>
      <c r="G7284" t="s">
        <v>99</v>
      </c>
      <c r="H7284" t="s">
        <v>27961</v>
      </c>
      <c r="I7284" t="s">
        <v>30</v>
      </c>
      <c r="J7284" t="s">
        <v>41</v>
      </c>
      <c r="K7284" t="s">
        <v>59</v>
      </c>
      <c r="Q7284">
        <v>0</v>
      </c>
      <c r="R7284">
        <v>0</v>
      </c>
      <c r="S7284">
        <v>0</v>
      </c>
      <c r="T7284" t="s">
        <v>27962</v>
      </c>
    </row>
    <row r="7285" spans="1:20" customFormat="1" ht="15" x14ac:dyDescent="0.25">
      <c r="A7285" t="s">
        <v>35</v>
      </c>
      <c r="B7285" t="s">
        <v>61</v>
      </c>
      <c r="C7285" t="str">
        <f>"A0182100"</f>
        <v>A0182100</v>
      </c>
      <c r="D7285" t="s">
        <v>27963</v>
      </c>
      <c r="E7285" t="s">
        <v>27964</v>
      </c>
      <c r="F7285" t="s">
        <v>11800</v>
      </c>
      <c r="G7285" t="s">
        <v>99</v>
      </c>
      <c r="H7285" t="s">
        <v>27965</v>
      </c>
      <c r="I7285" t="s">
        <v>30</v>
      </c>
      <c r="J7285" t="s">
        <v>41</v>
      </c>
      <c r="K7285" t="s">
        <v>59</v>
      </c>
      <c r="Q7285">
        <v>0</v>
      </c>
      <c r="R7285">
        <v>75</v>
      </c>
      <c r="S7285">
        <v>75</v>
      </c>
      <c r="T7285" t="s">
        <v>26585</v>
      </c>
    </row>
    <row r="7286" spans="1:20" customFormat="1" ht="15" x14ac:dyDescent="0.25">
      <c r="A7286" t="s">
        <v>35</v>
      </c>
      <c r="B7286" t="s">
        <v>61</v>
      </c>
      <c r="C7286" t="str">
        <f>"A0182099"</f>
        <v>A0182099</v>
      </c>
      <c r="D7286" t="s">
        <v>27966</v>
      </c>
      <c r="E7286" t="s">
        <v>27967</v>
      </c>
      <c r="F7286" t="s">
        <v>20721</v>
      </c>
      <c r="G7286" t="s">
        <v>99</v>
      </c>
      <c r="H7286" t="s">
        <v>27968</v>
      </c>
      <c r="I7286" t="s">
        <v>30</v>
      </c>
      <c r="J7286" t="s">
        <v>41</v>
      </c>
      <c r="K7286" t="s">
        <v>59</v>
      </c>
      <c r="Q7286">
        <v>0</v>
      </c>
      <c r="R7286">
        <v>0</v>
      </c>
      <c r="S7286">
        <v>0</v>
      </c>
    </row>
    <row r="7287" spans="1:20" customFormat="1" ht="15" x14ac:dyDescent="0.25">
      <c r="A7287" t="s">
        <v>35</v>
      </c>
      <c r="B7287" t="s">
        <v>11871</v>
      </c>
      <c r="C7287" t="str">
        <f>"A0182098"</f>
        <v>A0182098</v>
      </c>
      <c r="D7287" t="s">
        <v>27969</v>
      </c>
      <c r="E7287" t="s">
        <v>27970</v>
      </c>
      <c r="F7287" t="s">
        <v>26552</v>
      </c>
      <c r="G7287" t="s">
        <v>99</v>
      </c>
      <c r="H7287" t="s">
        <v>27971</v>
      </c>
      <c r="I7287" t="s">
        <v>30</v>
      </c>
      <c r="J7287" t="s">
        <v>41</v>
      </c>
      <c r="K7287" t="s">
        <v>59</v>
      </c>
      <c r="Q7287">
        <v>0</v>
      </c>
      <c r="R7287">
        <v>0</v>
      </c>
      <c r="S7287">
        <v>0</v>
      </c>
      <c r="T7287" t="s">
        <v>27972</v>
      </c>
    </row>
    <row r="7288" spans="1:20" customFormat="1" ht="15" x14ac:dyDescent="0.25">
      <c r="A7288" t="s">
        <v>35</v>
      </c>
      <c r="B7288" t="s">
        <v>20322</v>
      </c>
      <c r="C7288" t="str">
        <f>"A0182097"</f>
        <v>A0182097</v>
      </c>
      <c r="D7288" t="s">
        <v>27973</v>
      </c>
      <c r="E7288" t="s">
        <v>27974</v>
      </c>
      <c r="F7288" t="s">
        <v>11884</v>
      </c>
      <c r="G7288" t="s">
        <v>71</v>
      </c>
      <c r="H7288">
        <v>549024155</v>
      </c>
      <c r="I7288" t="s">
        <v>30</v>
      </c>
      <c r="J7288" t="s">
        <v>41</v>
      </c>
      <c r="K7288" t="s">
        <v>59</v>
      </c>
      <c r="Q7288">
        <v>0</v>
      </c>
      <c r="R7288">
        <v>0</v>
      </c>
      <c r="S7288">
        <v>0</v>
      </c>
      <c r="T7288" t="s">
        <v>20325</v>
      </c>
    </row>
    <row r="7289" spans="1:20" customFormat="1" ht="15" x14ac:dyDescent="0.25">
      <c r="A7289" t="s">
        <v>35</v>
      </c>
      <c r="B7289" t="s">
        <v>61</v>
      </c>
      <c r="C7289" t="str">
        <f>"A0182096"</f>
        <v>A0182096</v>
      </c>
      <c r="D7289" t="s">
        <v>27975</v>
      </c>
      <c r="E7289" t="s">
        <v>27976</v>
      </c>
      <c r="F7289" t="s">
        <v>1373</v>
      </c>
      <c r="G7289" t="s">
        <v>71</v>
      </c>
      <c r="H7289">
        <v>53718</v>
      </c>
      <c r="I7289" t="s">
        <v>30</v>
      </c>
      <c r="J7289" t="s">
        <v>41</v>
      </c>
      <c r="K7289" t="s">
        <v>59</v>
      </c>
      <c r="Q7289">
        <v>0</v>
      </c>
      <c r="R7289">
        <v>0</v>
      </c>
      <c r="S7289">
        <v>0</v>
      </c>
    </row>
    <row r="7290" spans="1:20" customFormat="1" ht="15" x14ac:dyDescent="0.25">
      <c r="A7290" t="s">
        <v>35</v>
      </c>
      <c r="B7290" t="s">
        <v>61</v>
      </c>
      <c r="C7290" t="str">
        <f>"A0182095"</f>
        <v>A0182095</v>
      </c>
      <c r="D7290" t="s">
        <v>27977</v>
      </c>
      <c r="E7290" t="s">
        <v>27978</v>
      </c>
      <c r="F7290" t="s">
        <v>3339</v>
      </c>
      <c r="G7290" t="s">
        <v>71</v>
      </c>
      <c r="H7290">
        <v>53098</v>
      </c>
      <c r="I7290" t="s">
        <v>30</v>
      </c>
      <c r="J7290" t="s">
        <v>41</v>
      </c>
      <c r="K7290" t="s">
        <v>59</v>
      </c>
      <c r="Q7290">
        <v>0</v>
      </c>
      <c r="R7290">
        <v>0</v>
      </c>
      <c r="S7290">
        <v>0</v>
      </c>
      <c r="T7290" t="s">
        <v>27979</v>
      </c>
    </row>
    <row r="7291" spans="1:20" customFormat="1" ht="15" x14ac:dyDescent="0.25">
      <c r="A7291" t="s">
        <v>35</v>
      </c>
      <c r="B7291" t="s">
        <v>61</v>
      </c>
      <c r="C7291" t="str">
        <f>"A0182093"</f>
        <v>A0182093</v>
      </c>
      <c r="D7291" t="s">
        <v>27980</v>
      </c>
      <c r="E7291" t="s">
        <v>27981</v>
      </c>
      <c r="F7291" t="s">
        <v>6270</v>
      </c>
      <c r="G7291" t="s">
        <v>71</v>
      </c>
      <c r="H7291" t="s">
        <v>27982</v>
      </c>
      <c r="I7291" t="s">
        <v>30</v>
      </c>
      <c r="J7291" t="s">
        <v>41</v>
      </c>
      <c r="K7291" t="s">
        <v>59</v>
      </c>
      <c r="Q7291">
        <v>0</v>
      </c>
      <c r="R7291">
        <v>0</v>
      </c>
      <c r="S7291">
        <v>0</v>
      </c>
      <c r="T7291" t="s">
        <v>27983</v>
      </c>
    </row>
    <row r="7292" spans="1:20" customFormat="1" ht="15" x14ac:dyDescent="0.25">
      <c r="A7292" t="s">
        <v>35</v>
      </c>
      <c r="B7292" t="s">
        <v>61</v>
      </c>
      <c r="C7292" t="str">
        <f>"A0182092"</f>
        <v>A0182092</v>
      </c>
      <c r="D7292" t="s">
        <v>27984</v>
      </c>
      <c r="E7292" t="s">
        <v>27985</v>
      </c>
      <c r="F7292" t="s">
        <v>27986</v>
      </c>
      <c r="G7292" t="s">
        <v>47</v>
      </c>
      <c r="H7292">
        <v>974577480</v>
      </c>
      <c r="I7292" t="s">
        <v>30</v>
      </c>
      <c r="J7292" t="s">
        <v>41</v>
      </c>
      <c r="K7292" t="s">
        <v>59</v>
      </c>
      <c r="Q7292">
        <v>0</v>
      </c>
      <c r="R7292">
        <v>24</v>
      </c>
      <c r="S7292">
        <v>24</v>
      </c>
      <c r="T7292" t="s">
        <v>27987</v>
      </c>
    </row>
    <row r="7293" spans="1:20" customFormat="1" ht="15" x14ac:dyDescent="0.25">
      <c r="A7293" t="s">
        <v>35</v>
      </c>
      <c r="B7293" t="s">
        <v>61</v>
      </c>
      <c r="C7293" t="str">
        <f>"A0182091"</f>
        <v>A0182091</v>
      </c>
      <c r="D7293" t="s">
        <v>27988</v>
      </c>
      <c r="E7293" t="s">
        <v>27989</v>
      </c>
      <c r="F7293" t="s">
        <v>25851</v>
      </c>
      <c r="G7293" t="s">
        <v>161</v>
      </c>
      <c r="H7293" t="s">
        <v>27990</v>
      </c>
      <c r="I7293" t="s">
        <v>30</v>
      </c>
      <c r="J7293" t="s">
        <v>41</v>
      </c>
      <c r="K7293" t="s">
        <v>59</v>
      </c>
      <c r="Q7293">
        <v>0</v>
      </c>
      <c r="R7293">
        <v>65</v>
      </c>
      <c r="S7293">
        <v>65</v>
      </c>
      <c r="T7293" t="s">
        <v>27991</v>
      </c>
    </row>
    <row r="7294" spans="1:20" customFormat="1" ht="15" x14ac:dyDescent="0.25">
      <c r="A7294" t="s">
        <v>35</v>
      </c>
      <c r="B7294" t="s">
        <v>61</v>
      </c>
      <c r="C7294" t="str">
        <f>"A0182090"</f>
        <v>A0182090</v>
      </c>
      <c r="D7294" t="s">
        <v>27992</v>
      </c>
      <c r="E7294" t="s">
        <v>27993</v>
      </c>
      <c r="F7294" t="s">
        <v>9187</v>
      </c>
      <c r="G7294" t="s">
        <v>161</v>
      </c>
      <c r="H7294" t="s">
        <v>27994</v>
      </c>
      <c r="I7294" t="s">
        <v>30</v>
      </c>
      <c r="J7294" t="s">
        <v>41</v>
      </c>
      <c r="K7294" t="s">
        <v>59</v>
      </c>
      <c r="Q7294">
        <v>0</v>
      </c>
      <c r="R7294">
        <v>1</v>
      </c>
      <c r="S7294">
        <v>1</v>
      </c>
      <c r="T7294" t="s">
        <v>25776</v>
      </c>
    </row>
    <row r="7295" spans="1:20" customFormat="1" ht="15" x14ac:dyDescent="0.25">
      <c r="A7295" t="s">
        <v>35</v>
      </c>
      <c r="B7295" t="s">
        <v>61</v>
      </c>
      <c r="C7295" t="str">
        <f>"A0182089"</f>
        <v>A0182089</v>
      </c>
      <c r="D7295" t="s">
        <v>27995</v>
      </c>
      <c r="E7295" t="s">
        <v>27996</v>
      </c>
      <c r="F7295" t="s">
        <v>27997</v>
      </c>
      <c r="G7295" t="s">
        <v>161</v>
      </c>
      <c r="H7295">
        <v>562014944</v>
      </c>
      <c r="I7295" t="s">
        <v>30</v>
      </c>
      <c r="J7295" t="s">
        <v>41</v>
      </c>
      <c r="K7295" t="s">
        <v>59</v>
      </c>
      <c r="Q7295">
        <v>0</v>
      </c>
      <c r="R7295">
        <v>0</v>
      </c>
      <c r="S7295">
        <v>0</v>
      </c>
      <c r="T7295" t="s">
        <v>27998</v>
      </c>
    </row>
    <row r="7296" spans="1:20" customFormat="1" ht="15" x14ac:dyDescent="0.25">
      <c r="A7296" t="s">
        <v>35</v>
      </c>
      <c r="B7296" t="s">
        <v>61</v>
      </c>
      <c r="C7296" t="str">
        <f>"A0182088"</f>
        <v>A0182088</v>
      </c>
      <c r="D7296" t="s">
        <v>27999</v>
      </c>
      <c r="E7296" t="s">
        <v>27888</v>
      </c>
      <c r="F7296" t="s">
        <v>12474</v>
      </c>
      <c r="G7296" t="s">
        <v>47</v>
      </c>
      <c r="H7296">
        <v>977017666</v>
      </c>
      <c r="I7296" t="s">
        <v>30</v>
      </c>
      <c r="J7296" t="s">
        <v>41</v>
      </c>
      <c r="K7296" t="s">
        <v>59</v>
      </c>
      <c r="Q7296">
        <v>0</v>
      </c>
      <c r="R7296">
        <v>0</v>
      </c>
      <c r="S7296">
        <v>0</v>
      </c>
      <c r="T7296" t="s">
        <v>27889</v>
      </c>
    </row>
    <row r="7297" spans="1:20" customFormat="1" ht="15" x14ac:dyDescent="0.25">
      <c r="A7297" t="s">
        <v>35</v>
      </c>
      <c r="B7297" t="s">
        <v>61</v>
      </c>
      <c r="C7297" t="str">
        <f>"A0182087"</f>
        <v>A0182087</v>
      </c>
      <c r="D7297" t="s">
        <v>28000</v>
      </c>
      <c r="E7297" t="s">
        <v>28001</v>
      </c>
      <c r="F7297" t="s">
        <v>3744</v>
      </c>
      <c r="G7297" t="s">
        <v>47</v>
      </c>
      <c r="H7297">
        <v>975048738</v>
      </c>
      <c r="I7297" t="s">
        <v>30</v>
      </c>
      <c r="J7297" t="s">
        <v>41</v>
      </c>
      <c r="K7297" t="s">
        <v>59</v>
      </c>
      <c r="Q7297">
        <v>0</v>
      </c>
      <c r="R7297">
        <v>0</v>
      </c>
      <c r="S7297">
        <v>0</v>
      </c>
      <c r="T7297" t="s">
        <v>28002</v>
      </c>
    </row>
    <row r="7298" spans="1:20" customFormat="1" ht="15" x14ac:dyDescent="0.25">
      <c r="A7298" t="s">
        <v>35</v>
      </c>
      <c r="B7298" t="s">
        <v>61</v>
      </c>
      <c r="C7298" t="str">
        <f>"A0182086"</f>
        <v>A0182086</v>
      </c>
      <c r="D7298" t="s">
        <v>28003</v>
      </c>
      <c r="E7298" t="s">
        <v>25138</v>
      </c>
      <c r="F7298" t="s">
        <v>13957</v>
      </c>
      <c r="G7298" t="s">
        <v>99</v>
      </c>
      <c r="H7298" t="s">
        <v>25139</v>
      </c>
      <c r="I7298" t="s">
        <v>30</v>
      </c>
      <c r="J7298" t="s">
        <v>41</v>
      </c>
      <c r="K7298" t="s">
        <v>59</v>
      </c>
      <c r="Q7298">
        <v>0</v>
      </c>
      <c r="R7298">
        <v>0</v>
      </c>
      <c r="S7298">
        <v>0</v>
      </c>
      <c r="T7298" t="s">
        <v>28004</v>
      </c>
    </row>
    <row r="7299" spans="1:20" customFormat="1" ht="15" x14ac:dyDescent="0.25">
      <c r="A7299" t="s">
        <v>35</v>
      </c>
      <c r="B7299" t="s">
        <v>61</v>
      </c>
      <c r="C7299" t="str">
        <f>"A0182084"</f>
        <v>A0182084</v>
      </c>
      <c r="D7299" t="s">
        <v>28005</v>
      </c>
      <c r="E7299" t="s">
        <v>28006</v>
      </c>
      <c r="F7299" t="s">
        <v>7501</v>
      </c>
      <c r="G7299" t="s">
        <v>110</v>
      </c>
      <c r="H7299">
        <v>94523</v>
      </c>
      <c r="I7299" t="s">
        <v>30</v>
      </c>
      <c r="J7299" t="s">
        <v>41</v>
      </c>
      <c r="K7299" t="s">
        <v>59</v>
      </c>
      <c r="Q7299">
        <v>0</v>
      </c>
      <c r="R7299">
        <v>0</v>
      </c>
      <c r="S7299">
        <v>0</v>
      </c>
    </row>
    <row r="7300" spans="1:20" customFormat="1" ht="15" x14ac:dyDescent="0.25">
      <c r="A7300" t="s">
        <v>35</v>
      </c>
      <c r="B7300" t="s">
        <v>61</v>
      </c>
      <c r="C7300" t="str">
        <f>"A0182083"</f>
        <v>A0182083</v>
      </c>
      <c r="D7300" t="s">
        <v>28007</v>
      </c>
      <c r="E7300" t="s">
        <v>28008</v>
      </c>
      <c r="F7300" t="s">
        <v>28009</v>
      </c>
      <c r="G7300" t="s">
        <v>47</v>
      </c>
      <c r="H7300">
        <v>975249559</v>
      </c>
      <c r="I7300" t="s">
        <v>30</v>
      </c>
      <c r="J7300" t="s">
        <v>41</v>
      </c>
      <c r="K7300" t="s">
        <v>59</v>
      </c>
      <c r="Q7300">
        <v>0</v>
      </c>
      <c r="R7300">
        <v>0</v>
      </c>
      <c r="S7300">
        <v>0</v>
      </c>
      <c r="T7300" t="s">
        <v>28010</v>
      </c>
    </row>
    <row r="7301" spans="1:20" customFormat="1" ht="15" x14ac:dyDescent="0.25">
      <c r="A7301" t="s">
        <v>35</v>
      </c>
      <c r="B7301" t="s">
        <v>61</v>
      </c>
      <c r="C7301" t="str">
        <f>"A0182082"</f>
        <v>A0182082</v>
      </c>
      <c r="D7301" t="s">
        <v>28011</v>
      </c>
      <c r="E7301" t="s">
        <v>28012</v>
      </c>
      <c r="F7301" t="s">
        <v>9791</v>
      </c>
      <c r="G7301" t="s">
        <v>47</v>
      </c>
      <c r="H7301">
        <v>974053373</v>
      </c>
      <c r="I7301" t="s">
        <v>30</v>
      </c>
      <c r="J7301" t="s">
        <v>41</v>
      </c>
      <c r="K7301" t="s">
        <v>59</v>
      </c>
      <c r="Q7301">
        <v>0</v>
      </c>
      <c r="R7301">
        <v>22</v>
      </c>
      <c r="S7301">
        <v>22</v>
      </c>
      <c r="T7301" t="s">
        <v>28013</v>
      </c>
    </row>
    <row r="7302" spans="1:20" customFormat="1" ht="15" x14ac:dyDescent="0.25">
      <c r="A7302" t="s">
        <v>35</v>
      </c>
      <c r="B7302" t="s">
        <v>61</v>
      </c>
      <c r="C7302" t="str">
        <f>"A0182081"</f>
        <v>A0182081</v>
      </c>
      <c r="D7302" t="s">
        <v>28014</v>
      </c>
      <c r="E7302" t="s">
        <v>28015</v>
      </c>
      <c r="F7302" t="s">
        <v>15516</v>
      </c>
      <c r="G7302" t="s">
        <v>71</v>
      </c>
      <c r="H7302">
        <v>54767</v>
      </c>
      <c r="I7302" t="s">
        <v>30</v>
      </c>
      <c r="J7302" t="s">
        <v>41</v>
      </c>
      <c r="K7302" t="s">
        <v>59</v>
      </c>
      <c r="Q7302">
        <v>0</v>
      </c>
      <c r="R7302">
        <v>0</v>
      </c>
      <c r="S7302">
        <v>0</v>
      </c>
    </row>
    <row r="7303" spans="1:20" customFormat="1" ht="15" x14ac:dyDescent="0.25">
      <c r="A7303" t="s">
        <v>35</v>
      </c>
      <c r="B7303" t="s">
        <v>61</v>
      </c>
      <c r="C7303" t="str">
        <f>"A0182080"</f>
        <v>A0182080</v>
      </c>
      <c r="D7303" t="s">
        <v>28016</v>
      </c>
      <c r="E7303" t="s">
        <v>20420</v>
      </c>
      <c r="F7303" t="s">
        <v>11795</v>
      </c>
      <c r="G7303" t="s">
        <v>71</v>
      </c>
      <c r="H7303" t="s">
        <v>20421</v>
      </c>
      <c r="I7303" t="s">
        <v>30</v>
      </c>
      <c r="J7303" t="s">
        <v>41</v>
      </c>
      <c r="K7303" t="s">
        <v>59</v>
      </c>
      <c r="Q7303">
        <v>0</v>
      </c>
      <c r="R7303">
        <v>207</v>
      </c>
      <c r="S7303">
        <v>207</v>
      </c>
      <c r="T7303" t="s">
        <v>19635</v>
      </c>
    </row>
    <row r="7304" spans="1:20" customFormat="1" ht="15" x14ac:dyDescent="0.25">
      <c r="A7304" t="s">
        <v>35</v>
      </c>
      <c r="B7304" t="s">
        <v>61</v>
      </c>
      <c r="C7304" t="str">
        <f>"A0182079"</f>
        <v>A0182079</v>
      </c>
      <c r="D7304" t="s">
        <v>22254</v>
      </c>
      <c r="E7304" t="s">
        <v>28017</v>
      </c>
      <c r="F7304" t="s">
        <v>3319</v>
      </c>
      <c r="G7304" t="s">
        <v>71</v>
      </c>
      <c r="H7304" t="s">
        <v>28018</v>
      </c>
      <c r="I7304" t="s">
        <v>30</v>
      </c>
      <c r="J7304" t="s">
        <v>41</v>
      </c>
      <c r="K7304" t="s">
        <v>59</v>
      </c>
      <c r="Q7304">
        <v>0</v>
      </c>
      <c r="R7304">
        <v>0</v>
      </c>
      <c r="S7304">
        <v>0</v>
      </c>
      <c r="T7304" t="s">
        <v>28019</v>
      </c>
    </row>
    <row r="7305" spans="1:20" customFormat="1" ht="15" x14ac:dyDescent="0.25">
      <c r="A7305" t="s">
        <v>35</v>
      </c>
      <c r="B7305" t="s">
        <v>61</v>
      </c>
      <c r="C7305" t="str">
        <f>"A0182078"</f>
        <v>A0182078</v>
      </c>
      <c r="D7305" t="s">
        <v>28020</v>
      </c>
      <c r="E7305" t="s">
        <v>28021</v>
      </c>
      <c r="F7305" t="s">
        <v>23452</v>
      </c>
      <c r="G7305" t="s">
        <v>71</v>
      </c>
      <c r="H7305" t="s">
        <v>28022</v>
      </c>
      <c r="I7305" t="s">
        <v>30</v>
      </c>
      <c r="J7305" t="s">
        <v>41</v>
      </c>
      <c r="K7305" t="s">
        <v>59</v>
      </c>
      <c r="Q7305">
        <v>0</v>
      </c>
      <c r="R7305">
        <v>0</v>
      </c>
      <c r="S7305">
        <v>0</v>
      </c>
      <c r="T7305" t="s">
        <v>28023</v>
      </c>
    </row>
    <row r="7306" spans="1:20" customFormat="1" ht="15" x14ac:dyDescent="0.25">
      <c r="A7306" t="s">
        <v>35</v>
      </c>
      <c r="B7306" t="s">
        <v>61</v>
      </c>
      <c r="C7306" t="str">
        <f>"A0182077"</f>
        <v>A0182077</v>
      </c>
      <c r="D7306" t="s">
        <v>28024</v>
      </c>
      <c r="E7306" t="s">
        <v>28025</v>
      </c>
      <c r="F7306" t="s">
        <v>10813</v>
      </c>
      <c r="G7306" t="s">
        <v>71</v>
      </c>
      <c r="H7306" t="s">
        <v>28026</v>
      </c>
      <c r="I7306" t="s">
        <v>30</v>
      </c>
      <c r="J7306" t="s">
        <v>41</v>
      </c>
      <c r="K7306" t="s">
        <v>59</v>
      </c>
      <c r="Q7306">
        <v>0</v>
      </c>
      <c r="R7306">
        <v>0</v>
      </c>
      <c r="S7306">
        <v>0</v>
      </c>
      <c r="T7306" t="s">
        <v>28027</v>
      </c>
    </row>
    <row r="7307" spans="1:20" customFormat="1" ht="15" x14ac:dyDescent="0.25">
      <c r="A7307" t="s">
        <v>35</v>
      </c>
      <c r="B7307" t="s">
        <v>61</v>
      </c>
      <c r="C7307" t="str">
        <f>"A0182076"</f>
        <v>A0182076</v>
      </c>
      <c r="D7307" t="s">
        <v>28028</v>
      </c>
      <c r="E7307" t="s">
        <v>28029</v>
      </c>
      <c r="F7307" t="s">
        <v>28030</v>
      </c>
      <c r="G7307" t="s">
        <v>47</v>
      </c>
      <c r="H7307">
        <v>970134051</v>
      </c>
      <c r="I7307" t="s">
        <v>30</v>
      </c>
      <c r="J7307" t="s">
        <v>41</v>
      </c>
      <c r="K7307" t="s">
        <v>59</v>
      </c>
      <c r="Q7307">
        <v>0</v>
      </c>
      <c r="R7307">
        <v>0</v>
      </c>
      <c r="S7307">
        <v>0</v>
      </c>
      <c r="T7307" t="s">
        <v>28031</v>
      </c>
    </row>
    <row r="7308" spans="1:20" customFormat="1" ht="15" x14ac:dyDescent="0.25">
      <c r="A7308" t="s">
        <v>35</v>
      </c>
      <c r="B7308" t="s">
        <v>61</v>
      </c>
      <c r="C7308" t="str">
        <f>"A0182075"</f>
        <v>A0182075</v>
      </c>
      <c r="D7308" t="s">
        <v>28032</v>
      </c>
      <c r="E7308" t="s">
        <v>28033</v>
      </c>
      <c r="F7308" t="s">
        <v>12934</v>
      </c>
      <c r="G7308" t="s">
        <v>161</v>
      </c>
      <c r="H7308" t="s">
        <v>28034</v>
      </c>
      <c r="I7308" t="s">
        <v>30</v>
      </c>
      <c r="J7308" t="s">
        <v>41</v>
      </c>
      <c r="K7308" t="s">
        <v>59</v>
      </c>
      <c r="Q7308">
        <v>0</v>
      </c>
      <c r="R7308">
        <v>218</v>
      </c>
      <c r="S7308">
        <v>218</v>
      </c>
      <c r="T7308" t="s">
        <v>28035</v>
      </c>
    </row>
    <row r="7309" spans="1:20" customFormat="1" ht="15" x14ac:dyDescent="0.25">
      <c r="A7309" t="s">
        <v>35</v>
      </c>
      <c r="B7309" t="s">
        <v>17792</v>
      </c>
      <c r="C7309" t="str">
        <f>"A0182074"</f>
        <v>A0182074</v>
      </c>
      <c r="D7309" t="s">
        <v>28036</v>
      </c>
      <c r="E7309" t="s">
        <v>28037</v>
      </c>
      <c r="F7309" t="s">
        <v>28038</v>
      </c>
      <c r="G7309" t="s">
        <v>161</v>
      </c>
      <c r="H7309">
        <v>554487579</v>
      </c>
      <c r="I7309" t="s">
        <v>30</v>
      </c>
      <c r="J7309" t="s">
        <v>41</v>
      </c>
      <c r="K7309" t="s">
        <v>59</v>
      </c>
      <c r="Q7309">
        <v>0</v>
      </c>
      <c r="R7309">
        <v>0</v>
      </c>
      <c r="S7309">
        <v>0</v>
      </c>
      <c r="T7309" t="s">
        <v>28039</v>
      </c>
    </row>
    <row r="7310" spans="1:20" customFormat="1" ht="15" x14ac:dyDescent="0.25">
      <c r="A7310" t="s">
        <v>35</v>
      </c>
      <c r="B7310" t="s">
        <v>11871</v>
      </c>
      <c r="C7310" t="str">
        <f>"A0182073"</f>
        <v>A0182073</v>
      </c>
      <c r="D7310" t="s">
        <v>28040</v>
      </c>
      <c r="E7310" t="s">
        <v>28041</v>
      </c>
      <c r="F7310" t="s">
        <v>10577</v>
      </c>
      <c r="G7310" t="s">
        <v>99</v>
      </c>
      <c r="H7310" t="s">
        <v>28042</v>
      </c>
      <c r="I7310" t="s">
        <v>30</v>
      </c>
      <c r="J7310" t="s">
        <v>41</v>
      </c>
      <c r="K7310" t="s">
        <v>59</v>
      </c>
      <c r="Q7310">
        <v>0</v>
      </c>
      <c r="R7310">
        <v>0</v>
      </c>
      <c r="S7310">
        <v>0</v>
      </c>
      <c r="T7310" t="s">
        <v>28043</v>
      </c>
    </row>
    <row r="7311" spans="1:20" customFormat="1" ht="15" x14ac:dyDescent="0.25">
      <c r="A7311" t="s">
        <v>35</v>
      </c>
      <c r="B7311" t="s">
        <v>61</v>
      </c>
      <c r="C7311" t="str">
        <f>"A0182072"</f>
        <v>A0182072</v>
      </c>
      <c r="D7311" t="s">
        <v>28044</v>
      </c>
      <c r="E7311" t="s">
        <v>28045</v>
      </c>
      <c r="F7311" t="s">
        <v>4112</v>
      </c>
      <c r="G7311" t="s">
        <v>71</v>
      </c>
      <c r="H7311" t="s">
        <v>28046</v>
      </c>
      <c r="I7311" t="s">
        <v>30</v>
      </c>
      <c r="J7311" t="s">
        <v>41</v>
      </c>
      <c r="K7311" t="s">
        <v>59</v>
      </c>
      <c r="Q7311">
        <v>0</v>
      </c>
      <c r="R7311">
        <v>0</v>
      </c>
      <c r="S7311">
        <v>0</v>
      </c>
    </row>
    <row r="7312" spans="1:20" customFormat="1" ht="15" x14ac:dyDescent="0.25">
      <c r="A7312" t="s">
        <v>35</v>
      </c>
      <c r="B7312" t="s">
        <v>61</v>
      </c>
      <c r="C7312" t="str">
        <f>"A0182071"</f>
        <v>A0182071</v>
      </c>
      <c r="D7312" t="s">
        <v>28047</v>
      </c>
      <c r="E7312" t="s">
        <v>28048</v>
      </c>
      <c r="F7312" t="s">
        <v>635</v>
      </c>
      <c r="G7312" t="s">
        <v>71</v>
      </c>
      <c r="H7312" t="s">
        <v>28049</v>
      </c>
      <c r="I7312" t="s">
        <v>30</v>
      </c>
      <c r="J7312" t="s">
        <v>41</v>
      </c>
      <c r="K7312" t="s">
        <v>59</v>
      </c>
      <c r="Q7312">
        <v>0</v>
      </c>
      <c r="R7312">
        <v>0</v>
      </c>
      <c r="S7312">
        <v>0</v>
      </c>
    </row>
    <row r="7313" spans="1:20" customFormat="1" ht="15" x14ac:dyDescent="0.25">
      <c r="A7313" t="s">
        <v>35</v>
      </c>
      <c r="B7313" t="s">
        <v>61</v>
      </c>
      <c r="C7313" t="str">
        <f>"A0182070"</f>
        <v>A0182070</v>
      </c>
      <c r="D7313" t="s">
        <v>28050</v>
      </c>
      <c r="E7313" t="s">
        <v>28051</v>
      </c>
      <c r="F7313" t="s">
        <v>28052</v>
      </c>
      <c r="G7313" t="s">
        <v>71</v>
      </c>
      <c r="H7313" t="s">
        <v>28053</v>
      </c>
      <c r="I7313" t="s">
        <v>30</v>
      </c>
      <c r="J7313" t="s">
        <v>41</v>
      </c>
      <c r="K7313" t="s">
        <v>59</v>
      </c>
      <c r="Q7313">
        <v>0</v>
      </c>
      <c r="R7313">
        <v>0</v>
      </c>
      <c r="S7313">
        <v>0</v>
      </c>
      <c r="T7313" t="s">
        <v>28054</v>
      </c>
    </row>
    <row r="7314" spans="1:20" customFormat="1" ht="15" x14ac:dyDescent="0.25">
      <c r="A7314" t="s">
        <v>35</v>
      </c>
      <c r="B7314" t="s">
        <v>61</v>
      </c>
      <c r="C7314" t="str">
        <f>"A0182069"</f>
        <v>A0182069</v>
      </c>
      <c r="D7314" t="s">
        <v>28055</v>
      </c>
      <c r="E7314" t="s">
        <v>28056</v>
      </c>
      <c r="F7314" t="s">
        <v>1373</v>
      </c>
      <c r="G7314" t="s">
        <v>71</v>
      </c>
      <c r="H7314" t="s">
        <v>28057</v>
      </c>
      <c r="I7314" t="s">
        <v>30</v>
      </c>
      <c r="J7314" t="s">
        <v>41</v>
      </c>
      <c r="K7314" t="s">
        <v>59</v>
      </c>
      <c r="Q7314">
        <v>0</v>
      </c>
      <c r="R7314">
        <v>0</v>
      </c>
      <c r="S7314">
        <v>0</v>
      </c>
    </row>
    <row r="7315" spans="1:20" customFormat="1" ht="15" x14ac:dyDescent="0.25">
      <c r="A7315" t="s">
        <v>35</v>
      </c>
      <c r="B7315" t="s">
        <v>61</v>
      </c>
      <c r="C7315" t="str">
        <f>"A0182068"</f>
        <v>A0182068</v>
      </c>
      <c r="D7315" t="s">
        <v>28058</v>
      </c>
      <c r="E7315" t="s">
        <v>28059</v>
      </c>
      <c r="F7315" t="s">
        <v>28060</v>
      </c>
      <c r="G7315" t="s">
        <v>47</v>
      </c>
      <c r="H7315">
        <v>97479</v>
      </c>
      <c r="I7315" t="s">
        <v>30</v>
      </c>
      <c r="J7315" t="s">
        <v>41</v>
      </c>
      <c r="K7315" t="s">
        <v>59</v>
      </c>
      <c r="Q7315">
        <v>0</v>
      </c>
      <c r="R7315">
        <v>0</v>
      </c>
      <c r="S7315">
        <v>0</v>
      </c>
      <c r="T7315" t="s">
        <v>28061</v>
      </c>
    </row>
    <row r="7316" spans="1:20" customFormat="1" ht="15" x14ac:dyDescent="0.25">
      <c r="A7316" t="s">
        <v>35</v>
      </c>
      <c r="B7316" t="s">
        <v>61</v>
      </c>
      <c r="C7316" t="str">
        <f>"A0182067"</f>
        <v>A0182067</v>
      </c>
      <c r="D7316" t="s">
        <v>28062</v>
      </c>
      <c r="E7316" t="s">
        <v>28063</v>
      </c>
      <c r="F7316" t="s">
        <v>1431</v>
      </c>
      <c r="G7316" t="s">
        <v>47</v>
      </c>
      <c r="H7316">
        <v>972211019</v>
      </c>
      <c r="I7316" t="s">
        <v>30</v>
      </c>
      <c r="J7316" t="s">
        <v>41</v>
      </c>
      <c r="K7316" t="s">
        <v>59</v>
      </c>
      <c r="Q7316">
        <v>0</v>
      </c>
      <c r="R7316">
        <v>0</v>
      </c>
      <c r="S7316">
        <v>0</v>
      </c>
    </row>
    <row r="7317" spans="1:20" customFormat="1" ht="15" x14ac:dyDescent="0.25">
      <c r="A7317" t="s">
        <v>35</v>
      </c>
      <c r="B7317" t="s">
        <v>61</v>
      </c>
      <c r="C7317" t="str">
        <f>"A0182066"</f>
        <v>A0182066</v>
      </c>
      <c r="D7317" t="s">
        <v>28064</v>
      </c>
      <c r="E7317" t="s">
        <v>28065</v>
      </c>
      <c r="F7317" t="s">
        <v>28066</v>
      </c>
      <c r="G7317" t="s">
        <v>1369</v>
      </c>
      <c r="H7317" t="s">
        <v>28067</v>
      </c>
      <c r="I7317" t="s">
        <v>30</v>
      </c>
      <c r="J7317" t="s">
        <v>41</v>
      </c>
      <c r="K7317" t="s">
        <v>59</v>
      </c>
      <c r="Q7317">
        <v>0</v>
      </c>
      <c r="R7317">
        <v>0</v>
      </c>
      <c r="S7317">
        <v>0</v>
      </c>
      <c r="T7317" t="s">
        <v>28068</v>
      </c>
    </row>
    <row r="7318" spans="1:20" customFormat="1" ht="15" x14ac:dyDescent="0.25">
      <c r="A7318" t="s">
        <v>35</v>
      </c>
      <c r="B7318" t="s">
        <v>61</v>
      </c>
      <c r="C7318" t="str">
        <f>"A0182065"</f>
        <v>A0182065</v>
      </c>
      <c r="D7318" t="s">
        <v>28069</v>
      </c>
      <c r="E7318" t="s">
        <v>28070</v>
      </c>
      <c r="F7318" t="s">
        <v>12532</v>
      </c>
      <c r="G7318" t="s">
        <v>1369</v>
      </c>
      <c r="H7318" t="s">
        <v>28071</v>
      </c>
      <c r="I7318" t="s">
        <v>30</v>
      </c>
      <c r="J7318" t="s">
        <v>41</v>
      </c>
      <c r="K7318" t="s">
        <v>59</v>
      </c>
      <c r="Q7318">
        <v>0</v>
      </c>
      <c r="R7318">
        <v>64</v>
      </c>
      <c r="S7318">
        <v>64</v>
      </c>
      <c r="T7318" t="s">
        <v>28072</v>
      </c>
    </row>
    <row r="7319" spans="1:20" customFormat="1" ht="15" x14ac:dyDescent="0.25">
      <c r="A7319" t="s">
        <v>35</v>
      </c>
      <c r="B7319" t="s">
        <v>61</v>
      </c>
      <c r="C7319" t="str">
        <f>"A0182064"</f>
        <v>A0182064</v>
      </c>
      <c r="D7319" t="s">
        <v>28073</v>
      </c>
      <c r="E7319" t="s">
        <v>28074</v>
      </c>
      <c r="F7319" t="s">
        <v>27655</v>
      </c>
      <c r="G7319" t="s">
        <v>1363</v>
      </c>
      <c r="H7319" t="s">
        <v>28075</v>
      </c>
      <c r="I7319" t="s">
        <v>30</v>
      </c>
      <c r="J7319" t="s">
        <v>41</v>
      </c>
      <c r="K7319" t="s">
        <v>59</v>
      </c>
      <c r="Q7319">
        <v>0</v>
      </c>
      <c r="R7319">
        <v>65</v>
      </c>
      <c r="S7319">
        <v>65</v>
      </c>
    </row>
    <row r="7320" spans="1:20" customFormat="1" ht="15" x14ac:dyDescent="0.25">
      <c r="A7320" t="s">
        <v>35</v>
      </c>
      <c r="B7320" t="s">
        <v>61</v>
      </c>
      <c r="C7320" t="str">
        <f>"A0182063"</f>
        <v>A0182063</v>
      </c>
      <c r="D7320" t="s">
        <v>28076</v>
      </c>
      <c r="E7320" t="s">
        <v>28077</v>
      </c>
      <c r="F7320" t="s">
        <v>22046</v>
      </c>
      <c r="G7320" t="s">
        <v>1363</v>
      </c>
      <c r="H7320" t="s">
        <v>28078</v>
      </c>
      <c r="I7320" t="s">
        <v>30</v>
      </c>
      <c r="J7320" t="s">
        <v>41</v>
      </c>
      <c r="K7320" t="s">
        <v>59</v>
      </c>
      <c r="Q7320">
        <v>0</v>
      </c>
      <c r="R7320">
        <v>80</v>
      </c>
      <c r="S7320">
        <v>80</v>
      </c>
      <c r="T7320" t="s">
        <v>28079</v>
      </c>
    </row>
    <row r="7321" spans="1:20" customFormat="1" ht="15" x14ac:dyDescent="0.25">
      <c r="A7321" t="s">
        <v>35</v>
      </c>
      <c r="B7321" t="s">
        <v>61</v>
      </c>
      <c r="C7321" t="str">
        <f>"A0182062"</f>
        <v>A0182062</v>
      </c>
      <c r="D7321" t="s">
        <v>28080</v>
      </c>
      <c r="E7321" t="s">
        <v>23425</v>
      </c>
      <c r="F7321" t="s">
        <v>23426</v>
      </c>
      <c r="G7321" t="s">
        <v>71</v>
      </c>
      <c r="H7321">
        <v>530121707</v>
      </c>
      <c r="I7321" t="s">
        <v>30</v>
      </c>
      <c r="J7321" t="s">
        <v>41</v>
      </c>
      <c r="K7321" t="s">
        <v>59</v>
      </c>
      <c r="Q7321">
        <v>0</v>
      </c>
      <c r="R7321">
        <v>256</v>
      </c>
      <c r="S7321">
        <v>256</v>
      </c>
      <c r="T7321" t="s">
        <v>23427</v>
      </c>
    </row>
    <row r="7322" spans="1:20" customFormat="1" ht="15" x14ac:dyDescent="0.25">
      <c r="A7322" t="s">
        <v>35</v>
      </c>
      <c r="B7322" t="s">
        <v>61</v>
      </c>
      <c r="C7322" t="str">
        <f>"A0182061"</f>
        <v>A0182061</v>
      </c>
      <c r="D7322" t="s">
        <v>28081</v>
      </c>
      <c r="E7322" t="s">
        <v>22364</v>
      </c>
      <c r="F7322" t="s">
        <v>16033</v>
      </c>
      <c r="G7322" t="s">
        <v>71</v>
      </c>
      <c r="H7322" t="s">
        <v>22365</v>
      </c>
      <c r="I7322" t="s">
        <v>30</v>
      </c>
      <c r="J7322" t="s">
        <v>41</v>
      </c>
      <c r="K7322" t="s">
        <v>59</v>
      </c>
      <c r="Q7322">
        <v>0</v>
      </c>
      <c r="R7322">
        <v>0</v>
      </c>
      <c r="S7322">
        <v>0</v>
      </c>
    </row>
    <row r="7323" spans="1:20" customFormat="1" ht="15" x14ac:dyDescent="0.25">
      <c r="A7323" t="s">
        <v>35</v>
      </c>
      <c r="B7323" t="s">
        <v>61</v>
      </c>
      <c r="C7323" t="str">
        <f>"A0182060"</f>
        <v>A0182060</v>
      </c>
      <c r="D7323" t="s">
        <v>28082</v>
      </c>
      <c r="E7323" t="s">
        <v>28083</v>
      </c>
      <c r="F7323" t="s">
        <v>28084</v>
      </c>
      <c r="G7323" t="s">
        <v>71</v>
      </c>
      <c r="H7323" t="s">
        <v>28085</v>
      </c>
      <c r="I7323" t="s">
        <v>30</v>
      </c>
      <c r="J7323" t="s">
        <v>41</v>
      </c>
      <c r="K7323" t="s">
        <v>59</v>
      </c>
      <c r="Q7323">
        <v>0</v>
      </c>
      <c r="R7323">
        <v>82</v>
      </c>
      <c r="S7323">
        <v>82</v>
      </c>
      <c r="T7323" t="s">
        <v>28086</v>
      </c>
    </row>
    <row r="7324" spans="1:20" customFormat="1" ht="15" x14ac:dyDescent="0.25">
      <c r="A7324" t="s">
        <v>35</v>
      </c>
      <c r="B7324" t="s">
        <v>61</v>
      </c>
      <c r="C7324" t="str">
        <f>"A0182059"</f>
        <v>A0182059</v>
      </c>
      <c r="D7324" t="s">
        <v>28087</v>
      </c>
      <c r="E7324" t="s">
        <v>28088</v>
      </c>
      <c r="F7324" t="s">
        <v>20432</v>
      </c>
      <c r="G7324" t="s">
        <v>161</v>
      </c>
      <c r="H7324">
        <v>553503302</v>
      </c>
      <c r="I7324" t="s">
        <v>30</v>
      </c>
      <c r="J7324" t="s">
        <v>41</v>
      </c>
      <c r="K7324" t="s">
        <v>59</v>
      </c>
      <c r="Q7324">
        <v>0</v>
      </c>
      <c r="R7324">
        <v>0</v>
      </c>
      <c r="S7324">
        <v>0</v>
      </c>
      <c r="T7324" t="s">
        <v>28089</v>
      </c>
    </row>
    <row r="7325" spans="1:20" customFormat="1" ht="15" x14ac:dyDescent="0.25">
      <c r="A7325" t="s">
        <v>35</v>
      </c>
      <c r="B7325" t="s">
        <v>61</v>
      </c>
      <c r="C7325" t="str">
        <f>"A0182058"</f>
        <v>A0182058</v>
      </c>
      <c r="D7325" t="s">
        <v>28090</v>
      </c>
      <c r="E7325" t="s">
        <v>28091</v>
      </c>
      <c r="F7325" t="s">
        <v>20926</v>
      </c>
      <c r="G7325" t="s">
        <v>161</v>
      </c>
      <c r="H7325" t="s">
        <v>28092</v>
      </c>
      <c r="I7325" t="s">
        <v>30</v>
      </c>
      <c r="J7325" t="s">
        <v>41</v>
      </c>
      <c r="K7325" t="s">
        <v>59</v>
      </c>
      <c r="Q7325">
        <v>0</v>
      </c>
      <c r="R7325">
        <v>0</v>
      </c>
      <c r="S7325">
        <v>0</v>
      </c>
      <c r="T7325" t="s">
        <v>28093</v>
      </c>
    </row>
    <row r="7326" spans="1:20" customFormat="1" ht="15" x14ac:dyDescent="0.25">
      <c r="A7326" t="s">
        <v>35</v>
      </c>
      <c r="B7326" t="s">
        <v>61</v>
      </c>
      <c r="C7326" t="str">
        <f>"A0182057"</f>
        <v>A0182057</v>
      </c>
      <c r="D7326" t="s">
        <v>28094</v>
      </c>
      <c r="E7326" t="s">
        <v>28095</v>
      </c>
      <c r="F7326" t="s">
        <v>1607</v>
      </c>
      <c r="G7326" t="s">
        <v>161</v>
      </c>
      <c r="H7326" t="s">
        <v>28096</v>
      </c>
      <c r="I7326" t="s">
        <v>30</v>
      </c>
      <c r="J7326" t="s">
        <v>41</v>
      </c>
      <c r="K7326" t="s">
        <v>59</v>
      </c>
      <c r="Q7326">
        <v>0</v>
      </c>
      <c r="R7326">
        <v>0</v>
      </c>
      <c r="S7326">
        <v>0</v>
      </c>
    </row>
    <row r="7327" spans="1:20" customFormat="1" ht="15" x14ac:dyDescent="0.25">
      <c r="A7327" t="s">
        <v>35</v>
      </c>
      <c r="B7327" t="s">
        <v>61</v>
      </c>
      <c r="C7327" t="str">
        <f>"A0182056"</f>
        <v>A0182056</v>
      </c>
      <c r="D7327" t="s">
        <v>28097</v>
      </c>
      <c r="E7327" t="s">
        <v>28098</v>
      </c>
      <c r="F7327" t="s">
        <v>20926</v>
      </c>
      <c r="G7327" t="s">
        <v>161</v>
      </c>
      <c r="H7327" t="s">
        <v>28099</v>
      </c>
      <c r="I7327" t="s">
        <v>30</v>
      </c>
      <c r="J7327" t="s">
        <v>41</v>
      </c>
      <c r="K7327" t="s">
        <v>59</v>
      </c>
      <c r="Q7327">
        <v>0</v>
      </c>
      <c r="R7327">
        <v>49</v>
      </c>
      <c r="S7327">
        <v>49</v>
      </c>
      <c r="T7327" t="s">
        <v>28100</v>
      </c>
    </row>
    <row r="7328" spans="1:20" customFormat="1" ht="15" x14ac:dyDescent="0.25">
      <c r="A7328" t="s">
        <v>35</v>
      </c>
      <c r="B7328" t="s">
        <v>11871</v>
      </c>
      <c r="C7328" t="str">
        <f>"A0182055"</f>
        <v>A0182055</v>
      </c>
      <c r="D7328" t="s">
        <v>28101</v>
      </c>
      <c r="E7328" t="s">
        <v>28102</v>
      </c>
      <c r="F7328" t="s">
        <v>27048</v>
      </c>
      <c r="G7328" t="s">
        <v>99</v>
      </c>
      <c r="H7328" t="s">
        <v>28103</v>
      </c>
      <c r="I7328" t="s">
        <v>30</v>
      </c>
      <c r="J7328" t="s">
        <v>41</v>
      </c>
      <c r="K7328" t="s">
        <v>59</v>
      </c>
      <c r="Q7328">
        <v>0</v>
      </c>
      <c r="R7328">
        <v>0</v>
      </c>
      <c r="S7328">
        <v>0</v>
      </c>
      <c r="T7328" t="s">
        <v>28104</v>
      </c>
    </row>
    <row r="7329" spans="1:20" customFormat="1" ht="15" x14ac:dyDescent="0.25">
      <c r="A7329" t="s">
        <v>35</v>
      </c>
      <c r="B7329" t="s">
        <v>11871</v>
      </c>
      <c r="C7329" t="str">
        <f>"A0182054"</f>
        <v>A0182054</v>
      </c>
      <c r="D7329" t="s">
        <v>28105</v>
      </c>
      <c r="E7329" t="s">
        <v>28106</v>
      </c>
      <c r="F7329" t="s">
        <v>26552</v>
      </c>
      <c r="G7329" t="s">
        <v>99</v>
      </c>
      <c r="H7329">
        <v>14304</v>
      </c>
      <c r="I7329" t="s">
        <v>30</v>
      </c>
      <c r="J7329" t="s">
        <v>41</v>
      </c>
      <c r="K7329" t="s">
        <v>59</v>
      </c>
      <c r="Q7329">
        <v>0</v>
      </c>
      <c r="R7329">
        <v>0</v>
      </c>
      <c r="S7329">
        <v>0</v>
      </c>
    </row>
    <row r="7330" spans="1:20" customFormat="1" ht="15" x14ac:dyDescent="0.25">
      <c r="A7330" t="s">
        <v>35</v>
      </c>
      <c r="B7330" t="s">
        <v>61</v>
      </c>
      <c r="C7330" t="str">
        <f>"A0182053"</f>
        <v>A0182053</v>
      </c>
      <c r="D7330" t="s">
        <v>28107</v>
      </c>
      <c r="E7330" t="s">
        <v>25138</v>
      </c>
      <c r="F7330" t="s">
        <v>13957</v>
      </c>
      <c r="G7330" t="s">
        <v>99</v>
      </c>
      <c r="H7330" t="s">
        <v>25139</v>
      </c>
      <c r="I7330" t="s">
        <v>30</v>
      </c>
      <c r="J7330" t="s">
        <v>41</v>
      </c>
      <c r="K7330" t="s">
        <v>59</v>
      </c>
      <c r="Q7330">
        <v>0</v>
      </c>
      <c r="R7330">
        <v>0</v>
      </c>
      <c r="S7330">
        <v>0</v>
      </c>
      <c r="T7330" t="s">
        <v>28004</v>
      </c>
    </row>
    <row r="7331" spans="1:20" customFormat="1" ht="15" x14ac:dyDescent="0.25">
      <c r="A7331" t="s">
        <v>35</v>
      </c>
      <c r="B7331" t="s">
        <v>61</v>
      </c>
      <c r="C7331" t="str">
        <f>"A0182052"</f>
        <v>A0182052</v>
      </c>
      <c r="D7331" t="s">
        <v>28108</v>
      </c>
      <c r="E7331" t="s">
        <v>25227</v>
      </c>
      <c r="F7331" t="s">
        <v>3193</v>
      </c>
      <c r="G7331" t="s">
        <v>99</v>
      </c>
      <c r="H7331" t="s">
        <v>25228</v>
      </c>
      <c r="I7331" t="s">
        <v>30</v>
      </c>
      <c r="J7331" t="s">
        <v>41</v>
      </c>
      <c r="K7331" t="s">
        <v>59</v>
      </c>
      <c r="Q7331">
        <v>0</v>
      </c>
      <c r="R7331">
        <v>348</v>
      </c>
      <c r="S7331">
        <v>348</v>
      </c>
      <c r="T7331" t="s">
        <v>25355</v>
      </c>
    </row>
    <row r="7332" spans="1:20" customFormat="1" ht="15" x14ac:dyDescent="0.25">
      <c r="A7332" t="s">
        <v>35</v>
      </c>
      <c r="B7332" t="s">
        <v>26985</v>
      </c>
      <c r="C7332" t="str">
        <f>"A0182051"</f>
        <v>A0182051</v>
      </c>
      <c r="D7332" t="s">
        <v>26986</v>
      </c>
      <c r="E7332" t="s">
        <v>28109</v>
      </c>
      <c r="F7332" t="s">
        <v>25724</v>
      </c>
      <c r="G7332" t="s">
        <v>99</v>
      </c>
      <c r="H7332" t="s">
        <v>28110</v>
      </c>
      <c r="I7332" t="s">
        <v>30</v>
      </c>
      <c r="J7332" t="s">
        <v>41</v>
      </c>
      <c r="K7332" t="s">
        <v>59</v>
      </c>
      <c r="Q7332">
        <v>0</v>
      </c>
      <c r="R7332">
        <v>0</v>
      </c>
      <c r="S7332">
        <v>0</v>
      </c>
      <c r="T7332" t="s">
        <v>28111</v>
      </c>
    </row>
    <row r="7333" spans="1:20" customFormat="1" ht="15" x14ac:dyDescent="0.25">
      <c r="A7333" t="s">
        <v>35</v>
      </c>
      <c r="B7333" t="s">
        <v>61</v>
      </c>
      <c r="C7333" t="str">
        <f>"A0182050"</f>
        <v>A0182050</v>
      </c>
      <c r="D7333" t="s">
        <v>28112</v>
      </c>
      <c r="E7333" t="s">
        <v>25723</v>
      </c>
      <c r="F7333" t="s">
        <v>25724</v>
      </c>
      <c r="G7333" t="s">
        <v>99</v>
      </c>
      <c r="H7333" t="s">
        <v>25725</v>
      </c>
      <c r="I7333" t="s">
        <v>30</v>
      </c>
      <c r="J7333" t="s">
        <v>41</v>
      </c>
      <c r="K7333" t="s">
        <v>59</v>
      </c>
      <c r="Q7333">
        <v>0</v>
      </c>
      <c r="R7333">
        <v>0</v>
      </c>
      <c r="S7333">
        <v>0</v>
      </c>
    </row>
    <row r="7334" spans="1:20" customFormat="1" ht="15" x14ac:dyDescent="0.25">
      <c r="A7334" t="s">
        <v>35</v>
      </c>
      <c r="B7334" t="s">
        <v>61</v>
      </c>
      <c r="C7334" t="str">
        <f>"A0182049"</f>
        <v>A0182049</v>
      </c>
      <c r="D7334" t="s">
        <v>28113</v>
      </c>
      <c r="E7334" t="s">
        <v>28114</v>
      </c>
      <c r="F7334" t="s">
        <v>16033</v>
      </c>
      <c r="G7334" t="s">
        <v>71</v>
      </c>
      <c r="H7334" t="s">
        <v>28115</v>
      </c>
      <c r="I7334" t="s">
        <v>30</v>
      </c>
      <c r="J7334" t="s">
        <v>41</v>
      </c>
      <c r="K7334" t="s">
        <v>59</v>
      </c>
      <c r="Q7334">
        <v>0</v>
      </c>
      <c r="R7334">
        <v>0</v>
      </c>
      <c r="S7334">
        <v>0</v>
      </c>
      <c r="T7334" t="s">
        <v>28116</v>
      </c>
    </row>
    <row r="7335" spans="1:20" customFormat="1" ht="15" x14ac:dyDescent="0.25">
      <c r="A7335" t="s">
        <v>35</v>
      </c>
      <c r="B7335" t="s">
        <v>61</v>
      </c>
      <c r="C7335" t="str">
        <f>"A0182048"</f>
        <v>A0182048</v>
      </c>
      <c r="D7335" t="s">
        <v>28117</v>
      </c>
      <c r="E7335" t="s">
        <v>28118</v>
      </c>
      <c r="F7335" t="s">
        <v>28119</v>
      </c>
      <c r="G7335" t="s">
        <v>161</v>
      </c>
      <c r="H7335" t="s">
        <v>28120</v>
      </c>
      <c r="I7335" t="s">
        <v>30</v>
      </c>
      <c r="J7335" t="s">
        <v>41</v>
      </c>
      <c r="K7335" t="s">
        <v>59</v>
      </c>
      <c r="Q7335">
        <v>0</v>
      </c>
      <c r="R7335">
        <v>91</v>
      </c>
      <c r="S7335">
        <v>91</v>
      </c>
      <c r="T7335" t="s">
        <v>28121</v>
      </c>
    </row>
    <row r="7336" spans="1:20" customFormat="1" ht="15" x14ac:dyDescent="0.25">
      <c r="A7336" t="s">
        <v>35</v>
      </c>
      <c r="B7336" t="s">
        <v>61</v>
      </c>
      <c r="C7336" t="str">
        <f>"A0182047"</f>
        <v>A0182047</v>
      </c>
      <c r="D7336" t="s">
        <v>28122</v>
      </c>
      <c r="E7336" t="s">
        <v>28123</v>
      </c>
      <c r="F7336" t="s">
        <v>1431</v>
      </c>
      <c r="G7336" t="s">
        <v>47</v>
      </c>
      <c r="H7336">
        <v>97201</v>
      </c>
      <c r="I7336" t="s">
        <v>30</v>
      </c>
      <c r="J7336" t="s">
        <v>41</v>
      </c>
      <c r="K7336" t="s">
        <v>59</v>
      </c>
      <c r="Q7336">
        <v>0</v>
      </c>
      <c r="R7336">
        <v>0</v>
      </c>
      <c r="S7336">
        <v>0</v>
      </c>
    </row>
    <row r="7337" spans="1:20" customFormat="1" ht="15" x14ac:dyDescent="0.25">
      <c r="A7337" t="s">
        <v>35</v>
      </c>
      <c r="B7337" t="s">
        <v>61</v>
      </c>
      <c r="C7337" t="str">
        <f>"A0182046"</f>
        <v>A0182046</v>
      </c>
      <c r="D7337" t="s">
        <v>28124</v>
      </c>
      <c r="E7337" t="s">
        <v>28125</v>
      </c>
      <c r="F7337" t="s">
        <v>1705</v>
      </c>
      <c r="G7337" t="s">
        <v>1706</v>
      </c>
      <c r="H7337" t="s">
        <v>28126</v>
      </c>
      <c r="I7337" t="s">
        <v>30</v>
      </c>
      <c r="J7337" t="s">
        <v>41</v>
      </c>
      <c r="K7337" t="s">
        <v>59</v>
      </c>
      <c r="Q7337">
        <v>0</v>
      </c>
      <c r="R7337">
        <v>105</v>
      </c>
      <c r="S7337">
        <v>105</v>
      </c>
      <c r="T7337" t="s">
        <v>28127</v>
      </c>
    </row>
    <row r="7338" spans="1:20" customFormat="1" ht="15" x14ac:dyDescent="0.25">
      <c r="A7338" t="s">
        <v>35</v>
      </c>
      <c r="B7338" t="s">
        <v>61</v>
      </c>
      <c r="C7338" t="str">
        <f>"A0182045"</f>
        <v>A0182045</v>
      </c>
      <c r="D7338" t="s">
        <v>28128</v>
      </c>
      <c r="E7338" t="s">
        <v>28129</v>
      </c>
      <c r="F7338" t="s">
        <v>28130</v>
      </c>
      <c r="G7338" t="s">
        <v>161</v>
      </c>
      <c r="H7338">
        <v>55040</v>
      </c>
      <c r="I7338" t="s">
        <v>30</v>
      </c>
      <c r="J7338" t="s">
        <v>41</v>
      </c>
      <c r="K7338" t="s">
        <v>59</v>
      </c>
      <c r="Q7338">
        <v>0</v>
      </c>
      <c r="R7338">
        <v>0</v>
      </c>
      <c r="S7338">
        <v>0</v>
      </c>
      <c r="T7338" t="s">
        <v>28131</v>
      </c>
    </row>
    <row r="7339" spans="1:20" customFormat="1" ht="15" x14ac:dyDescent="0.25">
      <c r="A7339" t="s">
        <v>35</v>
      </c>
      <c r="B7339" t="s">
        <v>61</v>
      </c>
      <c r="C7339" t="str">
        <f>"A0182044"</f>
        <v>A0182044</v>
      </c>
      <c r="D7339" t="s">
        <v>28132</v>
      </c>
      <c r="E7339" t="s">
        <v>28133</v>
      </c>
      <c r="F7339" t="s">
        <v>19689</v>
      </c>
      <c r="G7339" t="s">
        <v>161</v>
      </c>
      <c r="H7339" t="s">
        <v>28134</v>
      </c>
      <c r="I7339" t="s">
        <v>30</v>
      </c>
      <c r="J7339" t="s">
        <v>41</v>
      </c>
      <c r="K7339" t="s">
        <v>59</v>
      </c>
      <c r="Q7339">
        <v>0</v>
      </c>
      <c r="R7339">
        <v>16</v>
      </c>
      <c r="S7339">
        <v>16</v>
      </c>
      <c r="T7339" t="s">
        <v>28135</v>
      </c>
    </row>
    <row r="7340" spans="1:20" customFormat="1" ht="15" x14ac:dyDescent="0.25">
      <c r="A7340" t="s">
        <v>35</v>
      </c>
      <c r="B7340" t="s">
        <v>61</v>
      </c>
      <c r="C7340" t="str">
        <f>"A0182043"</f>
        <v>A0182043</v>
      </c>
      <c r="D7340" t="s">
        <v>28136</v>
      </c>
      <c r="E7340" t="s">
        <v>28137</v>
      </c>
      <c r="F7340" t="s">
        <v>25467</v>
      </c>
      <c r="G7340" t="s">
        <v>161</v>
      </c>
      <c r="H7340" t="s">
        <v>28138</v>
      </c>
      <c r="I7340" t="s">
        <v>30</v>
      </c>
      <c r="J7340" t="s">
        <v>41</v>
      </c>
      <c r="K7340" t="s">
        <v>59</v>
      </c>
      <c r="Q7340">
        <v>0</v>
      </c>
      <c r="R7340">
        <v>0</v>
      </c>
      <c r="S7340">
        <v>0</v>
      </c>
      <c r="T7340" t="s">
        <v>27879</v>
      </c>
    </row>
    <row r="7341" spans="1:20" customFormat="1" ht="15" x14ac:dyDescent="0.25">
      <c r="A7341" t="s">
        <v>35</v>
      </c>
      <c r="B7341" t="s">
        <v>61</v>
      </c>
      <c r="C7341" t="str">
        <f>"A0182042"</f>
        <v>A0182042</v>
      </c>
      <c r="D7341" t="s">
        <v>28139</v>
      </c>
      <c r="E7341" t="s">
        <v>28140</v>
      </c>
      <c r="F7341" t="s">
        <v>28141</v>
      </c>
      <c r="G7341" t="s">
        <v>71</v>
      </c>
      <c r="H7341" t="s">
        <v>28142</v>
      </c>
      <c r="I7341" t="s">
        <v>30</v>
      </c>
      <c r="J7341" t="s">
        <v>41</v>
      </c>
      <c r="K7341" t="s">
        <v>59</v>
      </c>
      <c r="Q7341">
        <v>0</v>
      </c>
      <c r="R7341">
        <v>0</v>
      </c>
      <c r="S7341">
        <v>0</v>
      </c>
      <c r="T7341" t="s">
        <v>28143</v>
      </c>
    </row>
    <row r="7342" spans="1:20" customFormat="1" ht="15" x14ac:dyDescent="0.25">
      <c r="A7342" t="s">
        <v>35</v>
      </c>
      <c r="B7342" t="s">
        <v>61</v>
      </c>
      <c r="C7342" t="str">
        <f>"A0182041"</f>
        <v>A0182041</v>
      </c>
      <c r="D7342" t="s">
        <v>28144</v>
      </c>
      <c r="E7342" t="s">
        <v>28145</v>
      </c>
      <c r="F7342" t="s">
        <v>16033</v>
      </c>
      <c r="G7342" t="s">
        <v>71</v>
      </c>
      <c r="H7342" t="s">
        <v>28146</v>
      </c>
      <c r="I7342" t="s">
        <v>30</v>
      </c>
      <c r="J7342" t="s">
        <v>41</v>
      </c>
      <c r="K7342" t="s">
        <v>59</v>
      </c>
      <c r="Q7342">
        <v>0</v>
      </c>
      <c r="R7342">
        <v>0</v>
      </c>
      <c r="S7342">
        <v>0</v>
      </c>
    </row>
    <row r="7343" spans="1:20" customFormat="1" ht="15" x14ac:dyDescent="0.25">
      <c r="A7343" t="s">
        <v>35</v>
      </c>
      <c r="B7343" t="s">
        <v>61</v>
      </c>
      <c r="C7343" t="str">
        <f>"A0182040"</f>
        <v>A0182040</v>
      </c>
      <c r="D7343" t="s">
        <v>28147</v>
      </c>
      <c r="E7343" t="s">
        <v>28148</v>
      </c>
      <c r="F7343" t="s">
        <v>23452</v>
      </c>
      <c r="G7343" t="s">
        <v>71</v>
      </c>
      <c r="H7343" t="s">
        <v>28149</v>
      </c>
      <c r="I7343" t="s">
        <v>30</v>
      </c>
      <c r="J7343" t="s">
        <v>41</v>
      </c>
      <c r="K7343" t="s">
        <v>59</v>
      </c>
      <c r="Q7343">
        <v>0</v>
      </c>
      <c r="R7343">
        <v>0</v>
      </c>
      <c r="S7343">
        <v>0</v>
      </c>
    </row>
    <row r="7344" spans="1:20" customFormat="1" ht="15" x14ac:dyDescent="0.25">
      <c r="A7344" t="s">
        <v>35</v>
      </c>
      <c r="B7344" t="s">
        <v>61</v>
      </c>
      <c r="C7344" t="str">
        <f>"A0182039"</f>
        <v>A0182039</v>
      </c>
      <c r="D7344" t="s">
        <v>28150</v>
      </c>
      <c r="E7344" t="s">
        <v>28151</v>
      </c>
      <c r="F7344" t="s">
        <v>1731</v>
      </c>
      <c r="G7344" t="s">
        <v>71</v>
      </c>
      <c r="H7344">
        <v>54733</v>
      </c>
      <c r="I7344" t="s">
        <v>30</v>
      </c>
      <c r="J7344" t="s">
        <v>41</v>
      </c>
      <c r="K7344" t="s">
        <v>59</v>
      </c>
      <c r="Q7344">
        <v>0</v>
      </c>
      <c r="R7344">
        <v>0</v>
      </c>
      <c r="S7344">
        <v>0</v>
      </c>
    </row>
    <row r="7345" spans="1:20" customFormat="1" ht="15" x14ac:dyDescent="0.25">
      <c r="A7345" t="s">
        <v>35</v>
      </c>
      <c r="B7345" t="s">
        <v>61</v>
      </c>
      <c r="C7345" t="str">
        <f>"A0182038"</f>
        <v>A0182038</v>
      </c>
      <c r="D7345" t="s">
        <v>28152</v>
      </c>
      <c r="E7345" t="s">
        <v>28153</v>
      </c>
      <c r="F7345" t="s">
        <v>28154</v>
      </c>
      <c r="G7345" t="s">
        <v>1706</v>
      </c>
      <c r="H7345" t="s">
        <v>28155</v>
      </c>
      <c r="I7345" t="s">
        <v>30</v>
      </c>
      <c r="J7345" t="s">
        <v>41</v>
      </c>
      <c r="K7345" t="s">
        <v>59</v>
      </c>
      <c r="Q7345">
        <v>0</v>
      </c>
      <c r="R7345">
        <v>224</v>
      </c>
      <c r="S7345">
        <v>224</v>
      </c>
      <c r="T7345" t="s">
        <v>28156</v>
      </c>
    </row>
    <row r="7346" spans="1:20" customFormat="1" ht="15" x14ac:dyDescent="0.25">
      <c r="A7346" t="s">
        <v>35</v>
      </c>
      <c r="B7346" t="s">
        <v>61</v>
      </c>
      <c r="C7346" t="str">
        <f>"A0182037"</f>
        <v>A0182037</v>
      </c>
      <c r="D7346" t="s">
        <v>28157</v>
      </c>
      <c r="E7346" t="s">
        <v>28158</v>
      </c>
      <c r="F7346" t="s">
        <v>28159</v>
      </c>
      <c r="G7346" t="s">
        <v>161</v>
      </c>
      <c r="H7346" t="s">
        <v>28160</v>
      </c>
      <c r="I7346" t="s">
        <v>30</v>
      </c>
      <c r="J7346" t="s">
        <v>41</v>
      </c>
      <c r="K7346" t="s">
        <v>59</v>
      </c>
      <c r="Q7346">
        <v>0</v>
      </c>
      <c r="R7346">
        <v>0</v>
      </c>
      <c r="S7346">
        <v>0</v>
      </c>
    </row>
    <row r="7347" spans="1:20" customFormat="1" ht="15" x14ac:dyDescent="0.25">
      <c r="A7347" t="s">
        <v>35</v>
      </c>
      <c r="B7347" t="s">
        <v>61</v>
      </c>
      <c r="C7347" t="str">
        <f>"A0182036"</f>
        <v>A0182036</v>
      </c>
      <c r="D7347" t="s">
        <v>28161</v>
      </c>
      <c r="E7347" t="s">
        <v>28162</v>
      </c>
      <c r="F7347" t="s">
        <v>19689</v>
      </c>
      <c r="G7347" t="s">
        <v>161</v>
      </c>
      <c r="H7347" t="s">
        <v>28163</v>
      </c>
      <c r="I7347" t="s">
        <v>30</v>
      </c>
      <c r="J7347" t="s">
        <v>41</v>
      </c>
      <c r="K7347" t="s">
        <v>59</v>
      </c>
      <c r="Q7347">
        <v>0</v>
      </c>
      <c r="R7347">
        <v>0</v>
      </c>
      <c r="S7347">
        <v>0</v>
      </c>
      <c r="T7347" t="s">
        <v>28164</v>
      </c>
    </row>
    <row r="7348" spans="1:20" customFormat="1" ht="15" x14ac:dyDescent="0.25">
      <c r="A7348" t="s">
        <v>35</v>
      </c>
      <c r="B7348" t="s">
        <v>61</v>
      </c>
      <c r="C7348" t="str">
        <f>"A0182035"</f>
        <v>A0182035</v>
      </c>
      <c r="D7348" t="s">
        <v>28165</v>
      </c>
      <c r="E7348" t="s">
        <v>28166</v>
      </c>
      <c r="F7348" t="s">
        <v>28167</v>
      </c>
      <c r="G7348" t="s">
        <v>47</v>
      </c>
      <c r="H7348">
        <v>971033709</v>
      </c>
      <c r="I7348" t="s">
        <v>30</v>
      </c>
      <c r="J7348" t="s">
        <v>41</v>
      </c>
      <c r="K7348" t="s">
        <v>59</v>
      </c>
      <c r="Q7348">
        <v>0</v>
      </c>
      <c r="R7348">
        <v>0</v>
      </c>
      <c r="S7348">
        <v>0</v>
      </c>
      <c r="T7348" t="s">
        <v>28168</v>
      </c>
    </row>
    <row r="7349" spans="1:20" customFormat="1" ht="15" x14ac:dyDescent="0.25">
      <c r="A7349" t="s">
        <v>35</v>
      </c>
      <c r="B7349" t="s">
        <v>61</v>
      </c>
      <c r="C7349" t="str">
        <f>"A0182034"</f>
        <v>A0182034</v>
      </c>
      <c r="D7349" t="s">
        <v>28169</v>
      </c>
      <c r="E7349" t="s">
        <v>28170</v>
      </c>
      <c r="F7349" t="s">
        <v>13538</v>
      </c>
      <c r="G7349" t="s">
        <v>1369</v>
      </c>
      <c r="H7349" t="s">
        <v>28171</v>
      </c>
      <c r="I7349" t="s">
        <v>30</v>
      </c>
      <c r="J7349" t="s">
        <v>41</v>
      </c>
      <c r="K7349" t="s">
        <v>59</v>
      </c>
      <c r="Q7349">
        <v>0</v>
      </c>
      <c r="R7349">
        <v>10</v>
      </c>
      <c r="S7349">
        <v>10</v>
      </c>
      <c r="T7349" t="s">
        <v>28172</v>
      </c>
    </row>
    <row r="7350" spans="1:20" customFormat="1" ht="15" x14ac:dyDescent="0.25">
      <c r="A7350" t="s">
        <v>35</v>
      </c>
      <c r="B7350" t="s">
        <v>11871</v>
      </c>
      <c r="C7350" t="str">
        <f>"A0182033"</f>
        <v>A0182033</v>
      </c>
      <c r="D7350" t="s">
        <v>28173</v>
      </c>
      <c r="E7350" t="s">
        <v>28174</v>
      </c>
      <c r="F7350" t="s">
        <v>28175</v>
      </c>
      <c r="G7350" t="s">
        <v>99</v>
      </c>
      <c r="H7350" t="s">
        <v>28176</v>
      </c>
      <c r="I7350" t="s">
        <v>30</v>
      </c>
      <c r="J7350" t="s">
        <v>41</v>
      </c>
      <c r="K7350" t="s">
        <v>59</v>
      </c>
      <c r="Q7350">
        <v>0</v>
      </c>
      <c r="R7350">
        <v>0</v>
      </c>
      <c r="S7350">
        <v>0</v>
      </c>
      <c r="T7350" t="s">
        <v>28177</v>
      </c>
    </row>
    <row r="7351" spans="1:20" customFormat="1" ht="15" x14ac:dyDescent="0.25">
      <c r="A7351" t="s">
        <v>35</v>
      </c>
      <c r="B7351" t="s">
        <v>61</v>
      </c>
      <c r="C7351" t="str">
        <f>"A0182032"</f>
        <v>A0182032</v>
      </c>
      <c r="D7351" t="s">
        <v>28178</v>
      </c>
      <c r="E7351" t="s">
        <v>22206</v>
      </c>
      <c r="F7351" t="s">
        <v>4269</v>
      </c>
      <c r="G7351" t="s">
        <v>99</v>
      </c>
      <c r="H7351" t="s">
        <v>22207</v>
      </c>
      <c r="I7351" t="s">
        <v>30</v>
      </c>
      <c r="J7351" t="s">
        <v>41</v>
      </c>
      <c r="K7351" t="s">
        <v>59</v>
      </c>
      <c r="Q7351">
        <v>0</v>
      </c>
      <c r="R7351">
        <v>0</v>
      </c>
      <c r="S7351">
        <v>0</v>
      </c>
      <c r="T7351" t="s">
        <v>28179</v>
      </c>
    </row>
    <row r="7352" spans="1:20" customFormat="1" ht="15" x14ac:dyDescent="0.25">
      <c r="A7352" t="s">
        <v>35</v>
      </c>
      <c r="B7352" t="s">
        <v>61</v>
      </c>
      <c r="C7352" t="str">
        <f>"A0182031"</f>
        <v>A0182031</v>
      </c>
      <c r="D7352" t="s">
        <v>28180</v>
      </c>
      <c r="E7352" t="s">
        <v>28181</v>
      </c>
      <c r="F7352" t="s">
        <v>28182</v>
      </c>
      <c r="G7352" t="s">
        <v>161</v>
      </c>
      <c r="H7352" t="s">
        <v>28183</v>
      </c>
      <c r="I7352" t="s">
        <v>30</v>
      </c>
      <c r="J7352" t="s">
        <v>41</v>
      </c>
      <c r="K7352" t="s">
        <v>59</v>
      </c>
      <c r="Q7352">
        <v>0</v>
      </c>
      <c r="R7352">
        <v>62</v>
      </c>
      <c r="S7352">
        <v>62</v>
      </c>
      <c r="T7352" t="s">
        <v>28184</v>
      </c>
    </row>
    <row r="7353" spans="1:20" customFormat="1" ht="15" x14ac:dyDescent="0.25">
      <c r="A7353" t="s">
        <v>35</v>
      </c>
      <c r="B7353" t="s">
        <v>61</v>
      </c>
      <c r="C7353" t="str">
        <f>"A0182030"</f>
        <v>A0182030</v>
      </c>
      <c r="D7353" t="s">
        <v>28185</v>
      </c>
      <c r="E7353" t="s">
        <v>28186</v>
      </c>
      <c r="F7353" t="s">
        <v>7112</v>
      </c>
      <c r="G7353" t="s">
        <v>161</v>
      </c>
      <c r="H7353" t="s">
        <v>24516</v>
      </c>
      <c r="I7353" t="s">
        <v>30</v>
      </c>
      <c r="J7353" t="s">
        <v>41</v>
      </c>
      <c r="K7353" t="s">
        <v>59</v>
      </c>
      <c r="Q7353">
        <v>0</v>
      </c>
      <c r="R7353">
        <v>0</v>
      </c>
      <c r="S7353">
        <v>0</v>
      </c>
    </row>
    <row r="7354" spans="1:20" customFormat="1" ht="15" x14ac:dyDescent="0.25">
      <c r="A7354" t="s">
        <v>35</v>
      </c>
      <c r="B7354" t="s">
        <v>61</v>
      </c>
      <c r="C7354" t="str">
        <f>"A0182029"</f>
        <v>A0182029</v>
      </c>
      <c r="D7354" t="s">
        <v>28187</v>
      </c>
      <c r="E7354" t="s">
        <v>28188</v>
      </c>
      <c r="F7354" t="s">
        <v>19689</v>
      </c>
      <c r="G7354" t="s">
        <v>161</v>
      </c>
      <c r="H7354" t="s">
        <v>28189</v>
      </c>
      <c r="I7354" t="s">
        <v>30</v>
      </c>
      <c r="J7354" t="s">
        <v>41</v>
      </c>
      <c r="K7354" t="s">
        <v>59</v>
      </c>
      <c r="Q7354">
        <v>0</v>
      </c>
      <c r="R7354">
        <v>0</v>
      </c>
      <c r="S7354">
        <v>0</v>
      </c>
    </row>
    <row r="7355" spans="1:20" customFormat="1" ht="15" x14ac:dyDescent="0.25">
      <c r="A7355" t="s">
        <v>35</v>
      </c>
      <c r="B7355" t="s">
        <v>61</v>
      </c>
      <c r="C7355" t="str">
        <f>"A0182028"</f>
        <v>A0182028</v>
      </c>
      <c r="D7355" t="s">
        <v>7086</v>
      </c>
      <c r="E7355" t="s">
        <v>28190</v>
      </c>
      <c r="F7355" t="s">
        <v>28191</v>
      </c>
      <c r="G7355" t="s">
        <v>99</v>
      </c>
      <c r="H7355">
        <v>144721159</v>
      </c>
      <c r="I7355" t="s">
        <v>30</v>
      </c>
      <c r="J7355" t="s">
        <v>41</v>
      </c>
      <c r="K7355" t="s">
        <v>59</v>
      </c>
      <c r="Q7355">
        <v>0</v>
      </c>
      <c r="R7355">
        <v>68</v>
      </c>
      <c r="S7355">
        <v>68</v>
      </c>
      <c r="T7355" t="s">
        <v>28192</v>
      </c>
    </row>
    <row r="7356" spans="1:20" customFormat="1" ht="15" x14ac:dyDescent="0.25">
      <c r="A7356" t="s">
        <v>35</v>
      </c>
      <c r="B7356" t="s">
        <v>61</v>
      </c>
      <c r="C7356" t="str">
        <f>"A0182027"</f>
        <v>A0182027</v>
      </c>
      <c r="D7356" t="s">
        <v>28193</v>
      </c>
      <c r="E7356" t="s">
        <v>28194</v>
      </c>
      <c r="F7356" t="s">
        <v>20360</v>
      </c>
      <c r="G7356" t="s">
        <v>161</v>
      </c>
      <c r="H7356" t="s">
        <v>28195</v>
      </c>
      <c r="I7356" t="s">
        <v>30</v>
      </c>
      <c r="J7356" t="s">
        <v>41</v>
      </c>
      <c r="K7356" t="s">
        <v>59</v>
      </c>
      <c r="Q7356">
        <v>0</v>
      </c>
      <c r="R7356">
        <v>0</v>
      </c>
      <c r="S7356">
        <v>0</v>
      </c>
      <c r="T7356" t="s">
        <v>28196</v>
      </c>
    </row>
    <row r="7357" spans="1:20" customFormat="1" ht="15" x14ac:dyDescent="0.25">
      <c r="A7357" t="s">
        <v>35</v>
      </c>
      <c r="B7357" t="s">
        <v>61</v>
      </c>
      <c r="C7357" t="str">
        <f>"A0182026"</f>
        <v>A0182026</v>
      </c>
      <c r="D7357" t="s">
        <v>28197</v>
      </c>
      <c r="E7357" t="s">
        <v>28198</v>
      </c>
      <c r="F7357" t="s">
        <v>5322</v>
      </c>
      <c r="G7357" t="s">
        <v>161</v>
      </c>
      <c r="H7357" t="s">
        <v>28199</v>
      </c>
      <c r="I7357" t="s">
        <v>30</v>
      </c>
      <c r="J7357" t="s">
        <v>41</v>
      </c>
      <c r="K7357" t="s">
        <v>59</v>
      </c>
      <c r="Q7357">
        <v>0</v>
      </c>
      <c r="R7357">
        <v>0</v>
      </c>
      <c r="S7357">
        <v>0</v>
      </c>
    </row>
    <row r="7358" spans="1:20" customFormat="1" ht="15" x14ac:dyDescent="0.25">
      <c r="A7358" t="s">
        <v>35</v>
      </c>
      <c r="B7358" t="s">
        <v>61</v>
      </c>
      <c r="C7358" t="str">
        <f>"A0182025"</f>
        <v>A0182025</v>
      </c>
      <c r="D7358" t="s">
        <v>28200</v>
      </c>
      <c r="E7358" t="s">
        <v>28201</v>
      </c>
      <c r="F7358" t="s">
        <v>5050</v>
      </c>
      <c r="G7358" t="s">
        <v>161</v>
      </c>
      <c r="H7358">
        <v>55441</v>
      </c>
      <c r="I7358" t="s">
        <v>30</v>
      </c>
      <c r="J7358" t="s">
        <v>41</v>
      </c>
      <c r="K7358" t="s">
        <v>59</v>
      </c>
      <c r="Q7358">
        <v>0</v>
      </c>
      <c r="R7358">
        <v>0</v>
      </c>
      <c r="S7358">
        <v>0</v>
      </c>
    </row>
    <row r="7359" spans="1:20" customFormat="1" ht="15" x14ac:dyDescent="0.25">
      <c r="A7359" t="s">
        <v>35</v>
      </c>
      <c r="B7359" t="s">
        <v>61</v>
      </c>
      <c r="C7359" t="str">
        <f>"A0182024"</f>
        <v>A0182024</v>
      </c>
      <c r="D7359" t="s">
        <v>28202</v>
      </c>
      <c r="E7359" t="s">
        <v>28203</v>
      </c>
      <c r="F7359" t="s">
        <v>20926</v>
      </c>
      <c r="G7359" t="s">
        <v>161</v>
      </c>
      <c r="H7359" t="s">
        <v>28204</v>
      </c>
      <c r="I7359" t="s">
        <v>30</v>
      </c>
      <c r="J7359" t="s">
        <v>41</v>
      </c>
      <c r="K7359" t="s">
        <v>59</v>
      </c>
      <c r="Q7359">
        <v>0</v>
      </c>
      <c r="R7359">
        <v>0</v>
      </c>
      <c r="S7359">
        <v>0</v>
      </c>
      <c r="T7359" t="s">
        <v>28205</v>
      </c>
    </row>
    <row r="7360" spans="1:20" customFormat="1" ht="15" x14ac:dyDescent="0.25">
      <c r="A7360" t="s">
        <v>35</v>
      </c>
      <c r="B7360" t="s">
        <v>61</v>
      </c>
      <c r="C7360" t="str">
        <f>"A0182023"</f>
        <v>A0182023</v>
      </c>
      <c r="D7360" t="s">
        <v>28206</v>
      </c>
      <c r="E7360" t="s">
        <v>28207</v>
      </c>
      <c r="F7360" t="s">
        <v>28208</v>
      </c>
      <c r="G7360" t="s">
        <v>161</v>
      </c>
      <c r="H7360">
        <v>56001</v>
      </c>
      <c r="I7360" t="s">
        <v>30</v>
      </c>
      <c r="J7360" t="s">
        <v>41</v>
      </c>
      <c r="K7360" t="s">
        <v>59</v>
      </c>
      <c r="Q7360">
        <v>0</v>
      </c>
      <c r="R7360">
        <v>0</v>
      </c>
      <c r="S7360">
        <v>0</v>
      </c>
    </row>
    <row r="7361" spans="1:20" customFormat="1" ht="15" x14ac:dyDescent="0.25">
      <c r="A7361" t="s">
        <v>35</v>
      </c>
      <c r="B7361" t="s">
        <v>61</v>
      </c>
      <c r="C7361" t="str">
        <f>"A0182022"</f>
        <v>A0182022</v>
      </c>
      <c r="D7361" t="s">
        <v>28209</v>
      </c>
      <c r="E7361" t="s">
        <v>28210</v>
      </c>
      <c r="F7361" t="s">
        <v>28211</v>
      </c>
      <c r="G7361" t="s">
        <v>161</v>
      </c>
      <c r="H7361" t="s">
        <v>28212</v>
      </c>
      <c r="I7361" t="s">
        <v>30</v>
      </c>
      <c r="J7361" t="s">
        <v>41</v>
      </c>
      <c r="K7361" t="s">
        <v>59</v>
      </c>
      <c r="Q7361">
        <v>0</v>
      </c>
      <c r="R7361">
        <v>0</v>
      </c>
      <c r="S7361">
        <v>0</v>
      </c>
      <c r="T7361" t="s">
        <v>28213</v>
      </c>
    </row>
    <row r="7362" spans="1:20" customFormat="1" ht="15" x14ac:dyDescent="0.25">
      <c r="A7362" t="s">
        <v>35</v>
      </c>
      <c r="B7362" t="s">
        <v>61</v>
      </c>
      <c r="C7362" t="str">
        <f>"A0182021"</f>
        <v>A0182021</v>
      </c>
      <c r="D7362" t="s">
        <v>28214</v>
      </c>
      <c r="E7362" t="s">
        <v>28215</v>
      </c>
      <c r="F7362" t="s">
        <v>24626</v>
      </c>
      <c r="G7362" t="s">
        <v>161</v>
      </c>
      <c r="H7362">
        <v>55013</v>
      </c>
      <c r="I7362" t="s">
        <v>30</v>
      </c>
      <c r="J7362" t="s">
        <v>41</v>
      </c>
      <c r="K7362" t="s">
        <v>59</v>
      </c>
      <c r="Q7362">
        <v>0</v>
      </c>
      <c r="R7362">
        <v>0</v>
      </c>
      <c r="S7362">
        <v>0</v>
      </c>
    </row>
    <row r="7363" spans="1:20" customFormat="1" ht="15" x14ac:dyDescent="0.25">
      <c r="A7363" t="s">
        <v>35</v>
      </c>
      <c r="B7363" t="s">
        <v>61</v>
      </c>
      <c r="C7363" t="str">
        <f>"A0182020"</f>
        <v>A0182020</v>
      </c>
      <c r="D7363" t="s">
        <v>28216</v>
      </c>
      <c r="E7363" t="s">
        <v>28217</v>
      </c>
      <c r="F7363" t="s">
        <v>28218</v>
      </c>
      <c r="G7363" t="s">
        <v>161</v>
      </c>
      <c r="H7363" t="s">
        <v>28219</v>
      </c>
      <c r="I7363" t="s">
        <v>30</v>
      </c>
      <c r="J7363" t="s">
        <v>41</v>
      </c>
      <c r="K7363" t="s">
        <v>59</v>
      </c>
      <c r="Q7363">
        <v>0</v>
      </c>
      <c r="R7363">
        <v>104</v>
      </c>
      <c r="S7363">
        <v>104</v>
      </c>
      <c r="T7363" t="s">
        <v>28220</v>
      </c>
    </row>
    <row r="7364" spans="1:20" customFormat="1" ht="15" x14ac:dyDescent="0.25">
      <c r="A7364" t="s">
        <v>35</v>
      </c>
      <c r="B7364" t="s">
        <v>61</v>
      </c>
      <c r="C7364" t="str">
        <f>"A0182019"</f>
        <v>A0182019</v>
      </c>
      <c r="D7364" t="s">
        <v>21498</v>
      </c>
      <c r="E7364" t="s">
        <v>21283</v>
      </c>
      <c r="F7364" t="s">
        <v>21284</v>
      </c>
      <c r="G7364" t="s">
        <v>161</v>
      </c>
      <c r="H7364" t="s">
        <v>28221</v>
      </c>
      <c r="I7364" t="s">
        <v>30</v>
      </c>
      <c r="J7364" t="s">
        <v>41</v>
      </c>
      <c r="K7364" t="s">
        <v>59</v>
      </c>
      <c r="Q7364">
        <v>0</v>
      </c>
      <c r="R7364">
        <v>0</v>
      </c>
      <c r="S7364">
        <v>0</v>
      </c>
      <c r="T7364" t="s">
        <v>28222</v>
      </c>
    </row>
    <row r="7365" spans="1:20" customFormat="1" ht="15" x14ac:dyDescent="0.25">
      <c r="A7365" t="s">
        <v>35</v>
      </c>
      <c r="B7365" t="s">
        <v>61</v>
      </c>
      <c r="C7365" t="str">
        <f>"A0182018"</f>
        <v>A0182018</v>
      </c>
      <c r="D7365" t="s">
        <v>28223</v>
      </c>
      <c r="E7365" t="s">
        <v>28224</v>
      </c>
      <c r="F7365" t="s">
        <v>20926</v>
      </c>
      <c r="G7365" t="s">
        <v>161</v>
      </c>
      <c r="H7365" t="s">
        <v>28225</v>
      </c>
      <c r="I7365" t="s">
        <v>30</v>
      </c>
      <c r="J7365" t="s">
        <v>41</v>
      </c>
      <c r="K7365" t="s">
        <v>59</v>
      </c>
      <c r="Q7365">
        <v>0</v>
      </c>
      <c r="R7365">
        <v>140</v>
      </c>
      <c r="S7365">
        <v>140</v>
      </c>
      <c r="T7365" t="s">
        <v>28226</v>
      </c>
    </row>
    <row r="7366" spans="1:20" customFormat="1" ht="15" x14ac:dyDescent="0.25">
      <c r="A7366" t="s">
        <v>35</v>
      </c>
      <c r="B7366" t="s">
        <v>61</v>
      </c>
      <c r="C7366" t="str">
        <f>"A0182017"</f>
        <v>A0182017</v>
      </c>
      <c r="D7366" t="s">
        <v>28227</v>
      </c>
      <c r="E7366" t="s">
        <v>28228</v>
      </c>
      <c r="F7366" t="s">
        <v>28229</v>
      </c>
      <c r="G7366" t="s">
        <v>161</v>
      </c>
      <c r="H7366" t="s">
        <v>28230</v>
      </c>
      <c r="I7366" t="s">
        <v>30</v>
      </c>
      <c r="J7366" t="s">
        <v>41</v>
      </c>
      <c r="K7366" t="s">
        <v>59</v>
      </c>
      <c r="Q7366">
        <v>0</v>
      </c>
      <c r="R7366">
        <v>0</v>
      </c>
      <c r="S7366">
        <v>0</v>
      </c>
    </row>
    <row r="7367" spans="1:20" customFormat="1" ht="15" x14ac:dyDescent="0.25">
      <c r="A7367" t="s">
        <v>35</v>
      </c>
      <c r="B7367" t="s">
        <v>61</v>
      </c>
      <c r="C7367" t="str">
        <f>"A0182016"</f>
        <v>A0182016</v>
      </c>
      <c r="D7367" t="s">
        <v>28231</v>
      </c>
      <c r="E7367" t="s">
        <v>28232</v>
      </c>
      <c r="F7367" t="s">
        <v>25490</v>
      </c>
      <c r="G7367" t="s">
        <v>71</v>
      </c>
      <c r="H7367" t="s">
        <v>28233</v>
      </c>
      <c r="I7367" t="s">
        <v>30</v>
      </c>
      <c r="J7367" t="s">
        <v>41</v>
      </c>
      <c r="K7367" t="s">
        <v>59</v>
      </c>
      <c r="Q7367">
        <v>0</v>
      </c>
      <c r="R7367">
        <v>0</v>
      </c>
      <c r="S7367">
        <v>0</v>
      </c>
      <c r="T7367" t="s">
        <v>28234</v>
      </c>
    </row>
    <row r="7368" spans="1:20" customFormat="1" ht="15" x14ac:dyDescent="0.25">
      <c r="A7368" t="s">
        <v>35</v>
      </c>
      <c r="B7368" t="s">
        <v>61</v>
      </c>
      <c r="C7368" t="str">
        <f>"A0182015"</f>
        <v>A0182015</v>
      </c>
      <c r="D7368" t="s">
        <v>28235</v>
      </c>
      <c r="E7368" t="s">
        <v>28236</v>
      </c>
      <c r="F7368" t="s">
        <v>28237</v>
      </c>
      <c r="G7368" t="s">
        <v>71</v>
      </c>
      <c r="H7368" t="s">
        <v>28238</v>
      </c>
      <c r="I7368" t="s">
        <v>30</v>
      </c>
      <c r="J7368" t="s">
        <v>41</v>
      </c>
      <c r="K7368" t="s">
        <v>59</v>
      </c>
      <c r="Q7368">
        <v>0</v>
      </c>
      <c r="R7368">
        <v>0</v>
      </c>
      <c r="S7368">
        <v>0</v>
      </c>
      <c r="T7368" t="s">
        <v>28239</v>
      </c>
    </row>
    <row r="7369" spans="1:20" customFormat="1" ht="15" x14ac:dyDescent="0.25">
      <c r="A7369" t="s">
        <v>35</v>
      </c>
      <c r="B7369" t="s">
        <v>61</v>
      </c>
      <c r="C7369" t="str">
        <f>"A0182014"</f>
        <v>A0182014</v>
      </c>
      <c r="D7369" t="s">
        <v>28240</v>
      </c>
      <c r="E7369" t="s">
        <v>28241</v>
      </c>
      <c r="F7369" t="s">
        <v>1373</v>
      </c>
      <c r="G7369" t="s">
        <v>71</v>
      </c>
      <c r="H7369">
        <v>53704</v>
      </c>
      <c r="I7369" t="s">
        <v>30</v>
      </c>
      <c r="J7369" t="s">
        <v>41</v>
      </c>
      <c r="K7369" t="s">
        <v>59</v>
      </c>
      <c r="Q7369">
        <v>0</v>
      </c>
      <c r="R7369">
        <v>0</v>
      </c>
      <c r="S7369">
        <v>0</v>
      </c>
    </row>
    <row r="7370" spans="1:20" customFormat="1" ht="15" x14ac:dyDescent="0.25">
      <c r="A7370" t="s">
        <v>35</v>
      </c>
      <c r="B7370" t="s">
        <v>61</v>
      </c>
      <c r="C7370" t="str">
        <f>"A0182013"</f>
        <v>A0182013</v>
      </c>
      <c r="D7370" t="s">
        <v>28242</v>
      </c>
      <c r="E7370" t="s">
        <v>25138</v>
      </c>
      <c r="F7370" t="s">
        <v>13957</v>
      </c>
      <c r="G7370" t="s">
        <v>99</v>
      </c>
      <c r="H7370" t="s">
        <v>25139</v>
      </c>
      <c r="I7370" t="s">
        <v>30</v>
      </c>
      <c r="J7370" t="s">
        <v>41</v>
      </c>
      <c r="K7370" t="s">
        <v>59</v>
      </c>
      <c r="Q7370">
        <v>0</v>
      </c>
      <c r="R7370">
        <v>0</v>
      </c>
      <c r="S7370">
        <v>0</v>
      </c>
      <c r="T7370" t="s">
        <v>28004</v>
      </c>
    </row>
    <row r="7371" spans="1:20" customFormat="1" ht="15" x14ac:dyDescent="0.25">
      <c r="A7371" t="s">
        <v>35</v>
      </c>
      <c r="B7371" t="s">
        <v>61</v>
      </c>
      <c r="C7371" t="str">
        <f>"A0182012"</f>
        <v>A0182012</v>
      </c>
      <c r="D7371" t="s">
        <v>28243</v>
      </c>
      <c r="E7371" t="s">
        <v>28244</v>
      </c>
      <c r="F7371" t="s">
        <v>28245</v>
      </c>
      <c r="G7371" t="s">
        <v>99</v>
      </c>
      <c r="H7371" t="s">
        <v>28246</v>
      </c>
      <c r="I7371" t="s">
        <v>30</v>
      </c>
      <c r="J7371" t="s">
        <v>41</v>
      </c>
      <c r="K7371" t="s">
        <v>59</v>
      </c>
      <c r="Q7371">
        <v>0</v>
      </c>
      <c r="R7371">
        <v>154</v>
      </c>
      <c r="S7371">
        <v>154</v>
      </c>
      <c r="T7371" t="s">
        <v>28247</v>
      </c>
    </row>
    <row r="7372" spans="1:20" customFormat="1" ht="15" x14ac:dyDescent="0.25">
      <c r="A7372" t="s">
        <v>35</v>
      </c>
      <c r="B7372" t="s">
        <v>61</v>
      </c>
      <c r="C7372" t="str">
        <f>"A0182011"</f>
        <v>A0182011</v>
      </c>
      <c r="D7372" t="s">
        <v>28248</v>
      </c>
      <c r="E7372" t="s">
        <v>28249</v>
      </c>
      <c r="F7372" t="s">
        <v>22196</v>
      </c>
      <c r="G7372" t="s">
        <v>161</v>
      </c>
      <c r="H7372" t="s">
        <v>28250</v>
      </c>
      <c r="I7372" t="s">
        <v>30</v>
      </c>
      <c r="J7372" t="s">
        <v>41</v>
      </c>
      <c r="K7372" t="s">
        <v>59</v>
      </c>
      <c r="Q7372">
        <v>0</v>
      </c>
      <c r="R7372">
        <v>178</v>
      </c>
      <c r="S7372">
        <v>178</v>
      </c>
      <c r="T7372" t="s">
        <v>28251</v>
      </c>
    </row>
    <row r="7373" spans="1:20" customFormat="1" ht="15" x14ac:dyDescent="0.25">
      <c r="A7373" t="s">
        <v>35</v>
      </c>
      <c r="B7373" t="s">
        <v>61</v>
      </c>
      <c r="C7373" t="str">
        <f>"A0182010"</f>
        <v>A0182010</v>
      </c>
      <c r="D7373" t="s">
        <v>28252</v>
      </c>
      <c r="E7373" t="s">
        <v>28253</v>
      </c>
      <c r="F7373" t="s">
        <v>28254</v>
      </c>
      <c r="G7373" t="s">
        <v>71</v>
      </c>
      <c r="H7373" t="s">
        <v>28255</v>
      </c>
      <c r="I7373" t="s">
        <v>30</v>
      </c>
      <c r="J7373" t="s">
        <v>41</v>
      </c>
      <c r="K7373" t="s">
        <v>59</v>
      </c>
      <c r="Q7373">
        <v>0</v>
      </c>
      <c r="R7373">
        <v>97</v>
      </c>
      <c r="S7373">
        <v>97</v>
      </c>
      <c r="T7373" t="s">
        <v>28256</v>
      </c>
    </row>
    <row r="7374" spans="1:20" customFormat="1" ht="15" x14ac:dyDescent="0.25">
      <c r="A7374" t="s">
        <v>35</v>
      </c>
      <c r="B7374" t="s">
        <v>61</v>
      </c>
      <c r="C7374" t="str">
        <f>"A0182009"</f>
        <v>A0182009</v>
      </c>
      <c r="D7374" t="s">
        <v>28257</v>
      </c>
      <c r="E7374" t="s">
        <v>28258</v>
      </c>
      <c r="F7374" t="s">
        <v>6156</v>
      </c>
      <c r="G7374" t="s">
        <v>99</v>
      </c>
      <c r="H7374">
        <v>10463</v>
      </c>
      <c r="I7374" t="s">
        <v>30</v>
      </c>
      <c r="J7374" t="s">
        <v>41</v>
      </c>
      <c r="K7374" t="s">
        <v>59</v>
      </c>
      <c r="Q7374">
        <v>0</v>
      </c>
      <c r="R7374">
        <v>0</v>
      </c>
      <c r="S7374">
        <v>0</v>
      </c>
    </row>
    <row r="7375" spans="1:20" customFormat="1" ht="15" x14ac:dyDescent="0.25">
      <c r="A7375" t="s">
        <v>35</v>
      </c>
      <c r="B7375" t="s">
        <v>61</v>
      </c>
      <c r="C7375" t="str">
        <f>"A0182008"</f>
        <v>A0182008</v>
      </c>
      <c r="D7375" t="s">
        <v>28259</v>
      </c>
      <c r="E7375" t="s">
        <v>28260</v>
      </c>
      <c r="F7375" t="s">
        <v>4269</v>
      </c>
      <c r="G7375" t="s">
        <v>99</v>
      </c>
      <c r="H7375" t="s">
        <v>28261</v>
      </c>
      <c r="I7375" t="s">
        <v>30</v>
      </c>
      <c r="J7375" t="s">
        <v>41</v>
      </c>
      <c r="K7375" t="s">
        <v>59</v>
      </c>
      <c r="Q7375">
        <v>0</v>
      </c>
      <c r="R7375">
        <v>157</v>
      </c>
      <c r="S7375">
        <v>157</v>
      </c>
      <c r="T7375" t="s">
        <v>28262</v>
      </c>
    </row>
    <row r="7376" spans="1:20" customFormat="1" ht="15" x14ac:dyDescent="0.25">
      <c r="A7376" t="s">
        <v>35</v>
      </c>
      <c r="B7376" t="s">
        <v>21059</v>
      </c>
      <c r="C7376" t="str">
        <f>"A0182007"</f>
        <v>A0182007</v>
      </c>
      <c r="D7376" t="s">
        <v>28263</v>
      </c>
      <c r="E7376" t="s">
        <v>28264</v>
      </c>
      <c r="F7376" t="s">
        <v>28265</v>
      </c>
      <c r="G7376" t="s">
        <v>99</v>
      </c>
      <c r="H7376" t="s">
        <v>28266</v>
      </c>
      <c r="I7376" t="s">
        <v>30</v>
      </c>
      <c r="J7376" t="s">
        <v>41</v>
      </c>
      <c r="K7376" t="s">
        <v>59</v>
      </c>
      <c r="Q7376">
        <v>0</v>
      </c>
      <c r="R7376">
        <v>53</v>
      </c>
      <c r="S7376">
        <v>53</v>
      </c>
      <c r="T7376" t="s">
        <v>28267</v>
      </c>
    </row>
    <row r="7377" spans="1:20" customFormat="1" ht="15" x14ac:dyDescent="0.25">
      <c r="A7377" t="s">
        <v>35</v>
      </c>
      <c r="B7377" t="s">
        <v>15885</v>
      </c>
      <c r="C7377" t="str">
        <f>"A0182006"</f>
        <v>A0182006</v>
      </c>
      <c r="D7377" t="s">
        <v>28268</v>
      </c>
      <c r="E7377" t="s">
        <v>28269</v>
      </c>
      <c r="F7377" t="s">
        <v>28270</v>
      </c>
      <c r="G7377" t="s">
        <v>190</v>
      </c>
      <c r="H7377">
        <v>81623</v>
      </c>
      <c r="I7377" t="s">
        <v>30</v>
      </c>
      <c r="J7377" t="s">
        <v>41</v>
      </c>
      <c r="K7377" t="s">
        <v>59</v>
      </c>
      <c r="Q7377">
        <v>0</v>
      </c>
      <c r="R7377">
        <v>0</v>
      </c>
      <c r="S7377">
        <v>0</v>
      </c>
      <c r="T7377" t="s">
        <v>28271</v>
      </c>
    </row>
    <row r="7378" spans="1:20" customFormat="1" ht="15" x14ac:dyDescent="0.25">
      <c r="A7378" t="s">
        <v>35</v>
      </c>
      <c r="B7378" t="s">
        <v>61</v>
      </c>
      <c r="C7378" t="str">
        <f>"A0182005"</f>
        <v>A0182005</v>
      </c>
      <c r="D7378" t="s">
        <v>26821</v>
      </c>
      <c r="E7378" t="s">
        <v>28272</v>
      </c>
      <c r="F7378" t="s">
        <v>2719</v>
      </c>
      <c r="G7378" t="s">
        <v>190</v>
      </c>
      <c r="H7378">
        <v>802242849</v>
      </c>
      <c r="I7378" t="s">
        <v>30</v>
      </c>
      <c r="J7378" t="s">
        <v>41</v>
      </c>
      <c r="K7378" t="s">
        <v>59</v>
      </c>
      <c r="Q7378">
        <v>0</v>
      </c>
      <c r="R7378">
        <v>0</v>
      </c>
      <c r="S7378">
        <v>0</v>
      </c>
      <c r="T7378" t="s">
        <v>28273</v>
      </c>
    </row>
    <row r="7379" spans="1:20" customFormat="1" ht="15" x14ac:dyDescent="0.25">
      <c r="A7379" t="s">
        <v>35</v>
      </c>
      <c r="B7379" t="s">
        <v>61</v>
      </c>
      <c r="C7379" t="str">
        <f>"A0182004"</f>
        <v>A0182004</v>
      </c>
      <c r="D7379" t="s">
        <v>28274</v>
      </c>
      <c r="E7379" t="s">
        <v>21353</v>
      </c>
      <c r="F7379" t="s">
        <v>1439</v>
      </c>
      <c r="G7379" t="s">
        <v>110</v>
      </c>
      <c r="H7379" t="s">
        <v>21354</v>
      </c>
      <c r="I7379" t="s">
        <v>30</v>
      </c>
      <c r="J7379" t="s">
        <v>41</v>
      </c>
      <c r="K7379" t="s">
        <v>59</v>
      </c>
      <c r="Q7379">
        <v>0</v>
      </c>
      <c r="R7379">
        <v>0</v>
      </c>
      <c r="S7379">
        <v>0</v>
      </c>
    </row>
    <row r="7380" spans="1:20" customFormat="1" ht="15" x14ac:dyDescent="0.25">
      <c r="A7380" t="s">
        <v>35</v>
      </c>
      <c r="B7380" t="s">
        <v>61</v>
      </c>
      <c r="C7380" t="str">
        <f>"A0182003"</f>
        <v>A0182003</v>
      </c>
      <c r="D7380" t="s">
        <v>28275</v>
      </c>
      <c r="E7380" t="s">
        <v>28276</v>
      </c>
      <c r="F7380" t="s">
        <v>20660</v>
      </c>
      <c r="G7380" t="s">
        <v>110</v>
      </c>
      <c r="H7380" t="s">
        <v>28277</v>
      </c>
      <c r="I7380" t="s">
        <v>30</v>
      </c>
      <c r="J7380" t="s">
        <v>41</v>
      </c>
      <c r="K7380" t="s">
        <v>59</v>
      </c>
      <c r="Q7380">
        <v>0</v>
      </c>
      <c r="R7380">
        <v>0</v>
      </c>
      <c r="S7380">
        <v>0</v>
      </c>
      <c r="T7380" t="s">
        <v>28278</v>
      </c>
    </row>
    <row r="7381" spans="1:20" customFormat="1" ht="15" x14ac:dyDescent="0.25">
      <c r="A7381" t="s">
        <v>35</v>
      </c>
      <c r="B7381" t="s">
        <v>61</v>
      </c>
      <c r="C7381" t="str">
        <f>"A0182002"</f>
        <v>A0182002</v>
      </c>
      <c r="D7381" t="s">
        <v>28279</v>
      </c>
      <c r="E7381" t="s">
        <v>28280</v>
      </c>
      <c r="F7381" t="s">
        <v>28281</v>
      </c>
      <c r="G7381" t="s">
        <v>1170</v>
      </c>
      <c r="H7381">
        <v>70360</v>
      </c>
      <c r="I7381" t="s">
        <v>30</v>
      </c>
      <c r="J7381" t="s">
        <v>41</v>
      </c>
      <c r="K7381" t="s">
        <v>59</v>
      </c>
      <c r="Q7381">
        <v>0</v>
      </c>
      <c r="R7381">
        <v>0</v>
      </c>
      <c r="S7381">
        <v>0</v>
      </c>
    </row>
    <row r="7382" spans="1:20" customFormat="1" ht="15" x14ac:dyDescent="0.25">
      <c r="A7382" t="s">
        <v>35</v>
      </c>
      <c r="B7382" t="s">
        <v>61</v>
      </c>
      <c r="C7382" t="str">
        <f>"A0182001"</f>
        <v>A0182001</v>
      </c>
      <c r="D7382" t="s">
        <v>28282</v>
      </c>
      <c r="E7382" t="s">
        <v>28283</v>
      </c>
      <c r="F7382" t="s">
        <v>1634</v>
      </c>
      <c r="G7382" t="s">
        <v>110</v>
      </c>
      <c r="H7382" t="s">
        <v>28284</v>
      </c>
      <c r="I7382" t="s">
        <v>30</v>
      </c>
      <c r="J7382" t="s">
        <v>41</v>
      </c>
      <c r="K7382" t="s">
        <v>59</v>
      </c>
      <c r="Q7382">
        <v>0</v>
      </c>
      <c r="R7382">
        <v>0</v>
      </c>
      <c r="S7382">
        <v>0</v>
      </c>
      <c r="T7382" t="s">
        <v>28285</v>
      </c>
    </row>
    <row r="7383" spans="1:20" customFormat="1" ht="15" x14ac:dyDescent="0.25">
      <c r="A7383" t="s">
        <v>35</v>
      </c>
      <c r="B7383" t="s">
        <v>61</v>
      </c>
      <c r="C7383" t="str">
        <f>"A0182000"</f>
        <v>A0182000</v>
      </c>
      <c r="D7383" t="s">
        <v>28286</v>
      </c>
      <c r="E7383" t="s">
        <v>28287</v>
      </c>
      <c r="F7383" t="s">
        <v>460</v>
      </c>
      <c r="G7383" t="s">
        <v>117</v>
      </c>
      <c r="H7383" t="s">
        <v>28288</v>
      </c>
      <c r="I7383" t="s">
        <v>30</v>
      </c>
      <c r="J7383" t="s">
        <v>41</v>
      </c>
      <c r="K7383" t="s">
        <v>59</v>
      </c>
      <c r="Q7383">
        <v>0</v>
      </c>
      <c r="R7383">
        <v>144</v>
      </c>
      <c r="S7383">
        <v>144</v>
      </c>
      <c r="T7383" t="s">
        <v>28289</v>
      </c>
    </row>
    <row r="7384" spans="1:20" customFormat="1" ht="15" x14ac:dyDescent="0.25">
      <c r="A7384" t="s">
        <v>35</v>
      </c>
      <c r="B7384" t="s">
        <v>21240</v>
      </c>
      <c r="C7384" t="str">
        <f>"A0181999"</f>
        <v>A0181999</v>
      </c>
      <c r="D7384" t="s">
        <v>28290</v>
      </c>
      <c r="E7384" t="s">
        <v>28291</v>
      </c>
      <c r="F7384" t="s">
        <v>9607</v>
      </c>
      <c r="G7384" t="s">
        <v>117</v>
      </c>
      <c r="H7384" t="s">
        <v>28292</v>
      </c>
      <c r="I7384" t="s">
        <v>30</v>
      </c>
      <c r="J7384" t="s">
        <v>41</v>
      </c>
      <c r="K7384" t="s">
        <v>59</v>
      </c>
      <c r="Q7384">
        <v>0</v>
      </c>
      <c r="R7384">
        <v>0</v>
      </c>
      <c r="S7384">
        <v>0</v>
      </c>
      <c r="T7384" t="s">
        <v>28293</v>
      </c>
    </row>
    <row r="7385" spans="1:20" customFormat="1" ht="15" x14ac:dyDescent="0.25">
      <c r="A7385" t="s">
        <v>35</v>
      </c>
      <c r="B7385" t="s">
        <v>11892</v>
      </c>
      <c r="C7385" t="str">
        <f>"A0181998"</f>
        <v>A0181998</v>
      </c>
      <c r="D7385" t="s">
        <v>28294</v>
      </c>
      <c r="E7385" t="s">
        <v>28295</v>
      </c>
      <c r="F7385" t="s">
        <v>12532</v>
      </c>
      <c r="G7385" t="s">
        <v>117</v>
      </c>
      <c r="H7385" t="s">
        <v>28296</v>
      </c>
      <c r="I7385" t="s">
        <v>30</v>
      </c>
      <c r="J7385" t="s">
        <v>41</v>
      </c>
      <c r="K7385" t="s">
        <v>59</v>
      </c>
      <c r="Q7385">
        <v>0</v>
      </c>
      <c r="R7385">
        <v>39</v>
      </c>
      <c r="S7385">
        <v>39</v>
      </c>
      <c r="T7385" t="s">
        <v>25671</v>
      </c>
    </row>
    <row r="7386" spans="1:20" customFormat="1" ht="15" x14ac:dyDescent="0.25">
      <c r="A7386" t="s">
        <v>35</v>
      </c>
      <c r="B7386" t="s">
        <v>11871</v>
      </c>
      <c r="C7386" t="str">
        <f>"A0181997"</f>
        <v>A0181997</v>
      </c>
      <c r="D7386" t="s">
        <v>28297</v>
      </c>
      <c r="E7386" t="s">
        <v>28298</v>
      </c>
      <c r="F7386" t="s">
        <v>21186</v>
      </c>
      <c r="G7386" t="s">
        <v>925</v>
      </c>
      <c r="H7386" t="s">
        <v>28299</v>
      </c>
      <c r="I7386" t="s">
        <v>30</v>
      </c>
      <c r="J7386" t="s">
        <v>41</v>
      </c>
      <c r="K7386" t="s">
        <v>59</v>
      </c>
      <c r="Q7386">
        <v>0</v>
      </c>
      <c r="R7386">
        <v>0</v>
      </c>
      <c r="S7386">
        <v>0</v>
      </c>
      <c r="T7386" t="s">
        <v>27712</v>
      </c>
    </row>
    <row r="7387" spans="1:20" customFormat="1" ht="15" x14ac:dyDescent="0.25">
      <c r="A7387" t="s">
        <v>35</v>
      </c>
      <c r="B7387" t="s">
        <v>61</v>
      </c>
      <c r="C7387" t="str">
        <f>"A0181996"</f>
        <v>A0181996</v>
      </c>
      <c r="D7387" t="s">
        <v>28300</v>
      </c>
      <c r="E7387" t="s">
        <v>28301</v>
      </c>
      <c r="F7387" t="s">
        <v>5742</v>
      </c>
      <c r="G7387" t="s">
        <v>110</v>
      </c>
      <c r="H7387" t="s">
        <v>28302</v>
      </c>
      <c r="I7387" t="s">
        <v>30</v>
      </c>
      <c r="J7387" t="s">
        <v>41</v>
      </c>
      <c r="K7387" t="s">
        <v>59</v>
      </c>
      <c r="Q7387">
        <v>0</v>
      </c>
      <c r="R7387">
        <v>0</v>
      </c>
      <c r="S7387">
        <v>0</v>
      </c>
      <c r="T7387" t="s">
        <v>28303</v>
      </c>
    </row>
    <row r="7388" spans="1:20" customFormat="1" ht="15" x14ac:dyDescent="0.25">
      <c r="A7388" t="s">
        <v>35</v>
      </c>
      <c r="B7388" t="s">
        <v>61</v>
      </c>
      <c r="C7388" t="str">
        <f>"A0181995"</f>
        <v>A0181995</v>
      </c>
      <c r="D7388" t="s">
        <v>28304</v>
      </c>
      <c r="E7388" t="s">
        <v>28305</v>
      </c>
      <c r="F7388" t="s">
        <v>24033</v>
      </c>
      <c r="G7388" t="s">
        <v>110</v>
      </c>
      <c r="H7388">
        <v>954724215</v>
      </c>
      <c r="I7388" t="s">
        <v>30</v>
      </c>
      <c r="J7388" t="s">
        <v>41</v>
      </c>
      <c r="K7388" t="s">
        <v>59</v>
      </c>
      <c r="Q7388">
        <v>0</v>
      </c>
      <c r="R7388">
        <v>0</v>
      </c>
      <c r="S7388">
        <v>0</v>
      </c>
    </row>
    <row r="7389" spans="1:20" customFormat="1" ht="15" x14ac:dyDescent="0.25">
      <c r="A7389" t="s">
        <v>35</v>
      </c>
      <c r="B7389" t="s">
        <v>61</v>
      </c>
      <c r="C7389" t="str">
        <f>"A0181994"</f>
        <v>A0181994</v>
      </c>
      <c r="D7389" t="s">
        <v>2292</v>
      </c>
      <c r="E7389" t="s">
        <v>28306</v>
      </c>
      <c r="F7389" t="s">
        <v>2294</v>
      </c>
      <c r="G7389" t="s">
        <v>110</v>
      </c>
      <c r="H7389">
        <v>945339711</v>
      </c>
      <c r="I7389" t="s">
        <v>30</v>
      </c>
      <c r="J7389" t="s">
        <v>41</v>
      </c>
      <c r="K7389" t="s">
        <v>59</v>
      </c>
      <c r="Q7389">
        <v>0</v>
      </c>
      <c r="R7389">
        <v>60</v>
      </c>
      <c r="S7389">
        <v>60</v>
      </c>
      <c r="T7389" t="s">
        <v>2295</v>
      </c>
    </row>
    <row r="7390" spans="1:20" customFormat="1" ht="15" x14ac:dyDescent="0.25">
      <c r="A7390" t="s">
        <v>35</v>
      </c>
      <c r="B7390" t="s">
        <v>21240</v>
      </c>
      <c r="C7390" t="str">
        <f>"A0181993"</f>
        <v>A0181993</v>
      </c>
      <c r="D7390" t="s">
        <v>28307</v>
      </c>
      <c r="E7390" t="s">
        <v>28308</v>
      </c>
      <c r="F7390" t="s">
        <v>8846</v>
      </c>
      <c r="G7390" t="s">
        <v>117</v>
      </c>
      <c r="H7390">
        <v>48214</v>
      </c>
      <c r="I7390" t="s">
        <v>30</v>
      </c>
      <c r="J7390" t="s">
        <v>41</v>
      </c>
      <c r="K7390" t="s">
        <v>59</v>
      </c>
      <c r="Q7390">
        <v>0</v>
      </c>
      <c r="R7390">
        <v>0</v>
      </c>
      <c r="S7390">
        <v>0</v>
      </c>
      <c r="T7390" t="s">
        <v>28309</v>
      </c>
    </row>
    <row r="7391" spans="1:20" customFormat="1" ht="15" x14ac:dyDescent="0.25">
      <c r="A7391" t="s">
        <v>35</v>
      </c>
      <c r="B7391" t="s">
        <v>21240</v>
      </c>
      <c r="C7391" t="str">
        <f>"A0181992"</f>
        <v>A0181992</v>
      </c>
      <c r="D7391" t="s">
        <v>28310</v>
      </c>
      <c r="E7391" t="s">
        <v>28311</v>
      </c>
      <c r="F7391" t="s">
        <v>28312</v>
      </c>
      <c r="G7391" t="s">
        <v>117</v>
      </c>
      <c r="H7391" t="s">
        <v>28313</v>
      </c>
      <c r="I7391" t="s">
        <v>30</v>
      </c>
      <c r="J7391" t="s">
        <v>41</v>
      </c>
      <c r="K7391" t="s">
        <v>59</v>
      </c>
      <c r="Q7391">
        <v>0</v>
      </c>
      <c r="R7391">
        <v>0</v>
      </c>
      <c r="S7391">
        <v>0</v>
      </c>
      <c r="T7391" t="s">
        <v>28314</v>
      </c>
    </row>
    <row r="7392" spans="1:20" customFormat="1" ht="15" x14ac:dyDescent="0.25">
      <c r="A7392" t="s">
        <v>35</v>
      </c>
      <c r="B7392" t="s">
        <v>61</v>
      </c>
      <c r="C7392" t="str">
        <f>"A0181991"</f>
        <v>A0181991</v>
      </c>
      <c r="D7392" t="s">
        <v>28315</v>
      </c>
      <c r="E7392" t="s">
        <v>28316</v>
      </c>
      <c r="F7392" t="s">
        <v>11585</v>
      </c>
      <c r="G7392" t="s">
        <v>110</v>
      </c>
      <c r="H7392">
        <v>950705927</v>
      </c>
      <c r="I7392" t="s">
        <v>30</v>
      </c>
      <c r="J7392" t="s">
        <v>41</v>
      </c>
      <c r="K7392" t="s">
        <v>59</v>
      </c>
      <c r="Q7392">
        <v>0</v>
      </c>
      <c r="R7392">
        <v>85</v>
      </c>
      <c r="S7392">
        <v>85</v>
      </c>
      <c r="T7392" t="s">
        <v>28317</v>
      </c>
    </row>
    <row r="7393" spans="1:20" customFormat="1" ht="15" x14ac:dyDescent="0.25">
      <c r="A7393" t="s">
        <v>35</v>
      </c>
      <c r="B7393" t="s">
        <v>61</v>
      </c>
      <c r="C7393" t="str">
        <f>"A0181990"</f>
        <v>A0181990</v>
      </c>
      <c r="D7393" t="s">
        <v>28318</v>
      </c>
      <c r="E7393" t="s">
        <v>28319</v>
      </c>
      <c r="F7393" t="s">
        <v>9128</v>
      </c>
      <c r="G7393" t="s">
        <v>110</v>
      </c>
      <c r="H7393">
        <v>94601</v>
      </c>
      <c r="I7393" t="s">
        <v>30</v>
      </c>
      <c r="J7393" t="s">
        <v>41</v>
      </c>
      <c r="K7393" t="s">
        <v>59</v>
      </c>
      <c r="Q7393">
        <v>0</v>
      </c>
      <c r="R7393">
        <v>0</v>
      </c>
      <c r="S7393">
        <v>0</v>
      </c>
    </row>
    <row r="7394" spans="1:20" customFormat="1" ht="15" x14ac:dyDescent="0.25">
      <c r="A7394" t="s">
        <v>35</v>
      </c>
      <c r="B7394" t="s">
        <v>61</v>
      </c>
      <c r="C7394" t="str">
        <f>"A0181989"</f>
        <v>A0181989</v>
      </c>
      <c r="D7394" t="s">
        <v>28320</v>
      </c>
      <c r="E7394" t="s">
        <v>28321</v>
      </c>
      <c r="F7394" t="s">
        <v>9128</v>
      </c>
      <c r="G7394" t="s">
        <v>110</v>
      </c>
      <c r="H7394">
        <v>94612</v>
      </c>
      <c r="I7394" t="s">
        <v>30</v>
      </c>
      <c r="J7394" t="s">
        <v>41</v>
      </c>
      <c r="K7394" t="s">
        <v>59</v>
      </c>
      <c r="Q7394">
        <v>0</v>
      </c>
      <c r="R7394">
        <v>0</v>
      </c>
      <c r="S7394">
        <v>0</v>
      </c>
    </row>
    <row r="7395" spans="1:20" customFormat="1" ht="15" x14ac:dyDescent="0.25">
      <c r="A7395" t="s">
        <v>35</v>
      </c>
      <c r="B7395" t="s">
        <v>61</v>
      </c>
      <c r="C7395" t="str">
        <f>"A0181988"</f>
        <v>A0181988</v>
      </c>
      <c r="D7395" t="s">
        <v>28322</v>
      </c>
      <c r="E7395" t="s">
        <v>28323</v>
      </c>
      <c r="F7395" t="s">
        <v>7095</v>
      </c>
      <c r="G7395" t="s">
        <v>1170</v>
      </c>
      <c r="H7395" t="s">
        <v>28324</v>
      </c>
      <c r="I7395" t="s">
        <v>30</v>
      </c>
      <c r="J7395" t="s">
        <v>41</v>
      </c>
      <c r="K7395" t="s">
        <v>59</v>
      </c>
      <c r="Q7395">
        <v>0</v>
      </c>
      <c r="R7395">
        <v>0</v>
      </c>
      <c r="S7395">
        <v>0</v>
      </c>
    </row>
    <row r="7396" spans="1:20" customFormat="1" ht="15" x14ac:dyDescent="0.25">
      <c r="A7396" t="s">
        <v>35</v>
      </c>
      <c r="B7396" t="s">
        <v>61</v>
      </c>
      <c r="C7396" t="str">
        <f>"A0181987"</f>
        <v>A0181987</v>
      </c>
      <c r="D7396" t="s">
        <v>28325</v>
      </c>
      <c r="E7396" t="s">
        <v>28326</v>
      </c>
      <c r="F7396" t="s">
        <v>25495</v>
      </c>
      <c r="G7396" t="s">
        <v>1170</v>
      </c>
      <c r="H7396" t="s">
        <v>28327</v>
      </c>
      <c r="I7396" t="s">
        <v>30</v>
      </c>
      <c r="J7396" t="s">
        <v>41</v>
      </c>
      <c r="K7396" t="s">
        <v>59</v>
      </c>
      <c r="Q7396">
        <v>0</v>
      </c>
      <c r="R7396">
        <v>64</v>
      </c>
      <c r="S7396">
        <v>64</v>
      </c>
      <c r="T7396" t="s">
        <v>28328</v>
      </c>
    </row>
    <row r="7397" spans="1:20" customFormat="1" ht="15" x14ac:dyDescent="0.25">
      <c r="A7397" t="s">
        <v>35</v>
      </c>
      <c r="B7397" t="s">
        <v>61</v>
      </c>
      <c r="C7397" t="str">
        <f>"A0181986"</f>
        <v>A0181986</v>
      </c>
      <c r="D7397" t="s">
        <v>28329</v>
      </c>
      <c r="E7397" t="s">
        <v>28330</v>
      </c>
      <c r="F7397" t="s">
        <v>28331</v>
      </c>
      <c r="G7397" t="s">
        <v>161</v>
      </c>
      <c r="H7397" t="s">
        <v>28332</v>
      </c>
      <c r="I7397" t="s">
        <v>30</v>
      </c>
      <c r="J7397" t="s">
        <v>41</v>
      </c>
      <c r="K7397" t="s">
        <v>59</v>
      </c>
      <c r="Q7397">
        <v>0</v>
      </c>
      <c r="R7397">
        <v>0</v>
      </c>
      <c r="S7397">
        <v>0</v>
      </c>
    </row>
    <row r="7398" spans="1:20" customFormat="1" ht="15" x14ac:dyDescent="0.25">
      <c r="A7398" t="s">
        <v>35</v>
      </c>
      <c r="B7398" t="s">
        <v>61</v>
      </c>
      <c r="C7398" t="str">
        <f>"A0181985"</f>
        <v>A0181985</v>
      </c>
      <c r="D7398" t="s">
        <v>28333</v>
      </c>
      <c r="E7398" t="s">
        <v>28334</v>
      </c>
      <c r="F7398" t="s">
        <v>25472</v>
      </c>
      <c r="G7398" t="s">
        <v>161</v>
      </c>
      <c r="H7398">
        <v>55344</v>
      </c>
      <c r="I7398" t="s">
        <v>30</v>
      </c>
      <c r="J7398" t="s">
        <v>41</v>
      </c>
      <c r="K7398" t="s">
        <v>59</v>
      </c>
      <c r="Q7398">
        <v>0</v>
      </c>
      <c r="R7398">
        <v>0</v>
      </c>
      <c r="S7398">
        <v>0</v>
      </c>
      <c r="T7398" t="s">
        <v>28335</v>
      </c>
    </row>
    <row r="7399" spans="1:20" customFormat="1" ht="15" x14ac:dyDescent="0.25">
      <c r="A7399" t="s">
        <v>35</v>
      </c>
      <c r="B7399" t="s">
        <v>61</v>
      </c>
      <c r="C7399" t="str">
        <f>"A0181984"</f>
        <v>A0181984</v>
      </c>
      <c r="D7399" t="s">
        <v>28336</v>
      </c>
      <c r="E7399" t="s">
        <v>28337</v>
      </c>
      <c r="F7399" t="s">
        <v>25536</v>
      </c>
      <c r="G7399" t="s">
        <v>99</v>
      </c>
      <c r="H7399" t="s">
        <v>28246</v>
      </c>
      <c r="I7399" t="s">
        <v>30</v>
      </c>
      <c r="J7399" t="s">
        <v>41</v>
      </c>
      <c r="K7399" t="s">
        <v>59</v>
      </c>
      <c r="Q7399">
        <v>0</v>
      </c>
      <c r="R7399">
        <v>0</v>
      </c>
      <c r="S7399">
        <v>0</v>
      </c>
    </row>
    <row r="7400" spans="1:20" customFormat="1" ht="15" x14ac:dyDescent="0.25">
      <c r="A7400" t="s">
        <v>35</v>
      </c>
      <c r="B7400" t="s">
        <v>61</v>
      </c>
      <c r="C7400" t="str">
        <f>"A0181983"</f>
        <v>A0181983</v>
      </c>
      <c r="D7400" t="s">
        <v>28338</v>
      </c>
      <c r="E7400" t="s">
        <v>28339</v>
      </c>
      <c r="F7400" t="s">
        <v>28340</v>
      </c>
      <c r="G7400" t="s">
        <v>71</v>
      </c>
      <c r="H7400" t="s">
        <v>28341</v>
      </c>
      <c r="I7400" t="s">
        <v>30</v>
      </c>
      <c r="J7400" t="s">
        <v>41</v>
      </c>
      <c r="K7400" t="s">
        <v>59</v>
      </c>
      <c r="Q7400">
        <v>0</v>
      </c>
      <c r="R7400">
        <v>76</v>
      </c>
      <c r="S7400">
        <v>76</v>
      </c>
      <c r="T7400" t="s">
        <v>28342</v>
      </c>
    </row>
    <row r="7401" spans="1:20" customFormat="1" ht="15" x14ac:dyDescent="0.25">
      <c r="A7401" t="s">
        <v>35</v>
      </c>
      <c r="B7401" t="s">
        <v>61</v>
      </c>
      <c r="C7401" t="str">
        <f>"A0181982"</f>
        <v>A0181982</v>
      </c>
      <c r="D7401" t="s">
        <v>28343</v>
      </c>
      <c r="E7401" t="s">
        <v>28344</v>
      </c>
      <c r="F7401" t="s">
        <v>16033</v>
      </c>
      <c r="G7401" t="s">
        <v>71</v>
      </c>
      <c r="H7401">
        <v>54703</v>
      </c>
      <c r="I7401" t="s">
        <v>30</v>
      </c>
      <c r="J7401" t="s">
        <v>41</v>
      </c>
      <c r="K7401" t="s">
        <v>59</v>
      </c>
      <c r="Q7401">
        <v>0</v>
      </c>
      <c r="R7401">
        <v>0</v>
      </c>
      <c r="S7401">
        <v>0</v>
      </c>
    </row>
    <row r="7402" spans="1:20" customFormat="1" ht="15" x14ac:dyDescent="0.25">
      <c r="A7402" t="s">
        <v>35</v>
      </c>
      <c r="B7402" t="s">
        <v>61</v>
      </c>
      <c r="C7402" t="str">
        <f>"A0181981"</f>
        <v>A0181981</v>
      </c>
      <c r="D7402" t="s">
        <v>28345</v>
      </c>
      <c r="E7402" t="s">
        <v>28346</v>
      </c>
      <c r="F7402" t="s">
        <v>28347</v>
      </c>
      <c r="G7402" t="s">
        <v>161</v>
      </c>
      <c r="H7402">
        <v>56072</v>
      </c>
      <c r="I7402" t="s">
        <v>30</v>
      </c>
      <c r="J7402" t="s">
        <v>41</v>
      </c>
      <c r="K7402" t="s">
        <v>59</v>
      </c>
      <c r="Q7402">
        <v>0</v>
      </c>
      <c r="R7402">
        <v>0</v>
      </c>
      <c r="S7402">
        <v>0</v>
      </c>
    </row>
    <row r="7403" spans="1:20" customFormat="1" ht="15" x14ac:dyDescent="0.25">
      <c r="A7403" t="s">
        <v>35</v>
      </c>
      <c r="B7403" t="s">
        <v>61</v>
      </c>
      <c r="C7403" t="str">
        <f>"A0181980"</f>
        <v>A0181980</v>
      </c>
      <c r="D7403" t="s">
        <v>28348</v>
      </c>
      <c r="E7403" t="s">
        <v>28349</v>
      </c>
      <c r="F7403" t="s">
        <v>27218</v>
      </c>
      <c r="G7403" t="s">
        <v>161</v>
      </c>
      <c r="H7403" t="s">
        <v>28350</v>
      </c>
      <c r="I7403" t="s">
        <v>30</v>
      </c>
      <c r="J7403" t="s">
        <v>41</v>
      </c>
      <c r="K7403" t="s">
        <v>59</v>
      </c>
      <c r="Q7403">
        <v>0</v>
      </c>
      <c r="R7403">
        <v>0</v>
      </c>
      <c r="S7403">
        <v>0</v>
      </c>
      <c r="T7403" t="s">
        <v>28351</v>
      </c>
    </row>
    <row r="7404" spans="1:20" customFormat="1" ht="15" x14ac:dyDescent="0.25">
      <c r="A7404" t="s">
        <v>35</v>
      </c>
      <c r="B7404" t="s">
        <v>61</v>
      </c>
      <c r="C7404" t="str">
        <f>"A0181979"</f>
        <v>A0181979</v>
      </c>
      <c r="D7404" t="s">
        <v>28352</v>
      </c>
      <c r="E7404" t="s">
        <v>28353</v>
      </c>
      <c r="F7404" t="s">
        <v>25434</v>
      </c>
      <c r="G7404" t="s">
        <v>161</v>
      </c>
      <c r="H7404" t="s">
        <v>28354</v>
      </c>
      <c r="I7404" t="s">
        <v>30</v>
      </c>
      <c r="J7404" t="s">
        <v>41</v>
      </c>
      <c r="K7404" t="s">
        <v>59</v>
      </c>
      <c r="Q7404">
        <v>0</v>
      </c>
      <c r="R7404">
        <v>0</v>
      </c>
      <c r="S7404">
        <v>0</v>
      </c>
    </row>
    <row r="7405" spans="1:20" customFormat="1" ht="15" x14ac:dyDescent="0.25">
      <c r="A7405" t="s">
        <v>35</v>
      </c>
      <c r="B7405" t="s">
        <v>61</v>
      </c>
      <c r="C7405" t="str">
        <f>"A0181978"</f>
        <v>A0181978</v>
      </c>
      <c r="D7405" t="s">
        <v>28355</v>
      </c>
      <c r="E7405" t="s">
        <v>28356</v>
      </c>
      <c r="F7405" t="s">
        <v>20926</v>
      </c>
      <c r="G7405" t="s">
        <v>161</v>
      </c>
      <c r="H7405" t="s">
        <v>28357</v>
      </c>
      <c r="I7405" t="s">
        <v>30</v>
      </c>
      <c r="J7405" t="s">
        <v>41</v>
      </c>
      <c r="K7405" t="s">
        <v>59</v>
      </c>
      <c r="Q7405">
        <v>0</v>
      </c>
      <c r="R7405">
        <v>0</v>
      </c>
      <c r="S7405">
        <v>0</v>
      </c>
      <c r="T7405" t="s">
        <v>28358</v>
      </c>
    </row>
    <row r="7406" spans="1:20" customFormat="1" ht="15" x14ac:dyDescent="0.25">
      <c r="A7406" t="s">
        <v>35</v>
      </c>
      <c r="B7406" t="s">
        <v>61</v>
      </c>
      <c r="C7406" t="str">
        <f>"A0181977"</f>
        <v>A0181977</v>
      </c>
      <c r="D7406" t="s">
        <v>28359</v>
      </c>
      <c r="E7406" t="s">
        <v>28360</v>
      </c>
      <c r="F7406" t="s">
        <v>28361</v>
      </c>
      <c r="G7406" t="s">
        <v>338</v>
      </c>
      <c r="H7406">
        <v>8053</v>
      </c>
      <c r="I7406" t="s">
        <v>30</v>
      </c>
      <c r="J7406" t="s">
        <v>41</v>
      </c>
      <c r="K7406" t="s">
        <v>59</v>
      </c>
      <c r="Q7406">
        <v>0</v>
      </c>
      <c r="R7406">
        <v>61</v>
      </c>
      <c r="S7406">
        <v>61</v>
      </c>
      <c r="T7406" t="s">
        <v>28362</v>
      </c>
    </row>
    <row r="7407" spans="1:20" customFormat="1" ht="15" x14ac:dyDescent="0.25">
      <c r="A7407" t="s">
        <v>35</v>
      </c>
      <c r="B7407" t="s">
        <v>61</v>
      </c>
      <c r="C7407" t="str">
        <f>"A0181976"</f>
        <v>A0181976</v>
      </c>
      <c r="D7407" t="s">
        <v>28363</v>
      </c>
      <c r="E7407" t="s">
        <v>28364</v>
      </c>
      <c r="F7407" t="s">
        <v>28365</v>
      </c>
      <c r="G7407" t="s">
        <v>338</v>
      </c>
      <c r="H7407" t="s">
        <v>28366</v>
      </c>
      <c r="I7407" t="s">
        <v>30</v>
      </c>
      <c r="J7407" t="s">
        <v>41</v>
      </c>
      <c r="K7407" t="s">
        <v>59</v>
      </c>
      <c r="Q7407">
        <v>0</v>
      </c>
      <c r="R7407">
        <v>132</v>
      </c>
      <c r="S7407">
        <v>132</v>
      </c>
      <c r="T7407" t="s">
        <v>28367</v>
      </c>
    </row>
    <row r="7408" spans="1:20" customFormat="1" ht="15" x14ac:dyDescent="0.25">
      <c r="A7408" t="s">
        <v>35</v>
      </c>
      <c r="B7408" t="s">
        <v>61</v>
      </c>
      <c r="C7408" t="str">
        <f>"A0181975"</f>
        <v>A0181975</v>
      </c>
      <c r="D7408" t="s">
        <v>28368</v>
      </c>
      <c r="E7408" t="s">
        <v>28369</v>
      </c>
      <c r="F7408" t="s">
        <v>28370</v>
      </c>
      <c r="G7408" t="s">
        <v>338</v>
      </c>
      <c r="H7408" t="s">
        <v>28371</v>
      </c>
      <c r="I7408" t="s">
        <v>30</v>
      </c>
      <c r="J7408" t="s">
        <v>41</v>
      </c>
      <c r="K7408" t="s">
        <v>59</v>
      </c>
      <c r="Q7408">
        <v>0</v>
      </c>
      <c r="R7408">
        <v>0</v>
      </c>
      <c r="S7408">
        <v>0</v>
      </c>
      <c r="T7408" t="s">
        <v>28372</v>
      </c>
    </row>
    <row r="7409" spans="1:20" customFormat="1" ht="15" x14ac:dyDescent="0.25">
      <c r="A7409" t="s">
        <v>35</v>
      </c>
      <c r="B7409" t="s">
        <v>61</v>
      </c>
      <c r="C7409" t="str">
        <f>"A0181974"</f>
        <v>A0181974</v>
      </c>
      <c r="D7409" t="s">
        <v>28373</v>
      </c>
      <c r="E7409" t="s">
        <v>28374</v>
      </c>
      <c r="F7409" t="s">
        <v>20926</v>
      </c>
      <c r="G7409" t="s">
        <v>161</v>
      </c>
      <c r="H7409" t="s">
        <v>28375</v>
      </c>
      <c r="I7409" t="s">
        <v>30</v>
      </c>
      <c r="J7409" t="s">
        <v>41</v>
      </c>
      <c r="K7409" t="s">
        <v>59</v>
      </c>
      <c r="Q7409">
        <v>0</v>
      </c>
      <c r="R7409">
        <v>0</v>
      </c>
      <c r="S7409">
        <v>0</v>
      </c>
      <c r="T7409" t="s">
        <v>28376</v>
      </c>
    </row>
    <row r="7410" spans="1:20" customFormat="1" ht="15" x14ac:dyDescent="0.25">
      <c r="A7410" t="s">
        <v>35</v>
      </c>
      <c r="B7410" t="s">
        <v>11898</v>
      </c>
      <c r="C7410" t="str">
        <f>"A0181973"</f>
        <v>A0181973</v>
      </c>
      <c r="D7410" t="s">
        <v>28377</v>
      </c>
      <c r="E7410" t="s">
        <v>28378</v>
      </c>
      <c r="F7410" t="s">
        <v>5772</v>
      </c>
      <c r="G7410" t="s">
        <v>99</v>
      </c>
      <c r="H7410">
        <v>146183957</v>
      </c>
      <c r="I7410" t="s">
        <v>30</v>
      </c>
      <c r="J7410" t="s">
        <v>41</v>
      </c>
      <c r="K7410" t="s">
        <v>59</v>
      </c>
      <c r="Q7410">
        <v>0</v>
      </c>
      <c r="R7410">
        <v>362</v>
      </c>
      <c r="S7410">
        <v>362</v>
      </c>
      <c r="T7410" t="s">
        <v>28379</v>
      </c>
    </row>
    <row r="7411" spans="1:20" customFormat="1" ht="15" x14ac:dyDescent="0.25">
      <c r="A7411" t="s">
        <v>35</v>
      </c>
      <c r="B7411" t="s">
        <v>61</v>
      </c>
      <c r="C7411" t="str">
        <f>"A0181972"</f>
        <v>A0181972</v>
      </c>
      <c r="D7411" t="s">
        <v>28380</v>
      </c>
      <c r="E7411" t="s">
        <v>28381</v>
      </c>
      <c r="F7411" t="s">
        <v>5772</v>
      </c>
      <c r="G7411" t="s">
        <v>99</v>
      </c>
      <c r="H7411">
        <v>14610</v>
      </c>
      <c r="I7411" t="s">
        <v>30</v>
      </c>
      <c r="J7411" t="s">
        <v>41</v>
      </c>
      <c r="K7411" t="s">
        <v>59</v>
      </c>
      <c r="Q7411">
        <v>0</v>
      </c>
      <c r="R7411">
        <v>10</v>
      </c>
      <c r="S7411">
        <v>10</v>
      </c>
      <c r="T7411" t="s">
        <v>28382</v>
      </c>
    </row>
    <row r="7412" spans="1:20" customFormat="1" ht="15" x14ac:dyDescent="0.25">
      <c r="A7412" t="s">
        <v>35</v>
      </c>
      <c r="B7412" t="s">
        <v>61</v>
      </c>
      <c r="C7412" t="str">
        <f>"A0181971"</f>
        <v>A0181971</v>
      </c>
      <c r="D7412" t="s">
        <v>28383</v>
      </c>
      <c r="E7412" t="s">
        <v>28384</v>
      </c>
      <c r="F7412" t="s">
        <v>7362</v>
      </c>
      <c r="G7412" t="s">
        <v>110</v>
      </c>
      <c r="H7412" t="s">
        <v>28385</v>
      </c>
      <c r="I7412" t="s">
        <v>30</v>
      </c>
      <c r="J7412" t="s">
        <v>41</v>
      </c>
      <c r="K7412" t="s">
        <v>59</v>
      </c>
      <c r="Q7412">
        <v>0</v>
      </c>
      <c r="R7412">
        <v>0</v>
      </c>
      <c r="S7412">
        <v>0</v>
      </c>
    </row>
    <row r="7413" spans="1:20" customFormat="1" ht="15" x14ac:dyDescent="0.25">
      <c r="A7413" t="s">
        <v>35</v>
      </c>
      <c r="B7413" t="s">
        <v>61</v>
      </c>
      <c r="C7413" t="str">
        <f>"A0181970"</f>
        <v>A0181970</v>
      </c>
      <c r="D7413" t="s">
        <v>28386</v>
      </c>
      <c r="E7413" t="s">
        <v>28387</v>
      </c>
      <c r="F7413" t="s">
        <v>20275</v>
      </c>
      <c r="G7413" t="s">
        <v>110</v>
      </c>
      <c r="H7413">
        <v>947022740</v>
      </c>
      <c r="I7413" t="s">
        <v>30</v>
      </c>
      <c r="J7413" t="s">
        <v>41</v>
      </c>
      <c r="K7413" t="s">
        <v>59</v>
      </c>
      <c r="Q7413">
        <v>0</v>
      </c>
      <c r="R7413">
        <v>0</v>
      </c>
      <c r="S7413">
        <v>0</v>
      </c>
    </row>
    <row r="7414" spans="1:20" customFormat="1" ht="15" x14ac:dyDescent="0.25">
      <c r="A7414" t="s">
        <v>35</v>
      </c>
      <c r="B7414" t="s">
        <v>61</v>
      </c>
      <c r="C7414" t="str">
        <f>"A0181969"</f>
        <v>A0181969</v>
      </c>
      <c r="D7414" t="s">
        <v>28388</v>
      </c>
      <c r="E7414" t="s">
        <v>28389</v>
      </c>
      <c r="F7414" t="s">
        <v>9128</v>
      </c>
      <c r="G7414" t="s">
        <v>110</v>
      </c>
      <c r="H7414">
        <v>946124258</v>
      </c>
      <c r="I7414" t="s">
        <v>30</v>
      </c>
      <c r="J7414" t="s">
        <v>41</v>
      </c>
      <c r="K7414" t="s">
        <v>59</v>
      </c>
      <c r="Q7414">
        <v>0</v>
      </c>
      <c r="R7414">
        <v>0</v>
      </c>
      <c r="S7414">
        <v>0</v>
      </c>
      <c r="T7414" t="s">
        <v>28390</v>
      </c>
    </row>
    <row r="7415" spans="1:20" customFormat="1" ht="15" x14ac:dyDescent="0.25">
      <c r="A7415" t="s">
        <v>35</v>
      </c>
      <c r="B7415" t="s">
        <v>61</v>
      </c>
      <c r="C7415" t="str">
        <f>"A0181968"</f>
        <v>A0181968</v>
      </c>
      <c r="D7415" t="s">
        <v>28391</v>
      </c>
      <c r="E7415" t="s">
        <v>28392</v>
      </c>
      <c r="F7415" t="s">
        <v>7095</v>
      </c>
      <c r="G7415" t="s">
        <v>1170</v>
      </c>
      <c r="H7415" t="s">
        <v>28393</v>
      </c>
      <c r="I7415" t="s">
        <v>30</v>
      </c>
      <c r="J7415" t="s">
        <v>41</v>
      </c>
      <c r="K7415" t="s">
        <v>59</v>
      </c>
      <c r="Q7415">
        <v>0</v>
      </c>
      <c r="R7415">
        <v>75</v>
      </c>
      <c r="S7415">
        <v>75</v>
      </c>
      <c r="T7415" t="s">
        <v>28394</v>
      </c>
    </row>
    <row r="7416" spans="1:20" customFormat="1" ht="15" x14ac:dyDescent="0.25">
      <c r="A7416" t="s">
        <v>35</v>
      </c>
      <c r="B7416" t="s">
        <v>61</v>
      </c>
      <c r="C7416" t="str">
        <f>"A0181967"</f>
        <v>A0181967</v>
      </c>
      <c r="D7416" t="s">
        <v>28395</v>
      </c>
      <c r="E7416" t="s">
        <v>24562</v>
      </c>
      <c r="F7416" t="s">
        <v>15185</v>
      </c>
      <c r="G7416" t="s">
        <v>1170</v>
      </c>
      <c r="H7416" t="s">
        <v>24563</v>
      </c>
      <c r="I7416" t="s">
        <v>30</v>
      </c>
      <c r="J7416" t="s">
        <v>41</v>
      </c>
      <c r="K7416" t="s">
        <v>59</v>
      </c>
      <c r="Q7416">
        <v>0</v>
      </c>
      <c r="R7416">
        <v>0</v>
      </c>
      <c r="S7416">
        <v>0</v>
      </c>
      <c r="T7416" t="s">
        <v>24564</v>
      </c>
    </row>
    <row r="7417" spans="1:20" customFormat="1" ht="15" x14ac:dyDescent="0.25">
      <c r="A7417" t="s">
        <v>35</v>
      </c>
      <c r="B7417" t="s">
        <v>11871</v>
      </c>
      <c r="C7417" t="str">
        <f>"A0181965"</f>
        <v>A0181965</v>
      </c>
      <c r="D7417" t="s">
        <v>28396</v>
      </c>
      <c r="E7417" t="s">
        <v>28397</v>
      </c>
      <c r="F7417" t="s">
        <v>25495</v>
      </c>
      <c r="G7417" t="s">
        <v>1170</v>
      </c>
      <c r="H7417" t="s">
        <v>28398</v>
      </c>
      <c r="I7417" t="s">
        <v>30</v>
      </c>
      <c r="J7417" t="s">
        <v>41</v>
      </c>
      <c r="K7417" t="s">
        <v>59</v>
      </c>
      <c r="Q7417">
        <v>0</v>
      </c>
      <c r="R7417">
        <v>0</v>
      </c>
      <c r="S7417">
        <v>0</v>
      </c>
      <c r="T7417" t="s">
        <v>28399</v>
      </c>
    </row>
    <row r="7418" spans="1:20" customFormat="1" ht="15" x14ac:dyDescent="0.25">
      <c r="A7418" t="s">
        <v>35</v>
      </c>
      <c r="B7418" t="s">
        <v>61</v>
      </c>
      <c r="C7418" t="str">
        <f>"A0181964"</f>
        <v>A0181964</v>
      </c>
      <c r="D7418" t="s">
        <v>28400</v>
      </c>
      <c r="E7418" t="s">
        <v>27235</v>
      </c>
      <c r="F7418" t="s">
        <v>1953</v>
      </c>
      <c r="G7418" t="s">
        <v>1898</v>
      </c>
      <c r="H7418" t="s">
        <v>27236</v>
      </c>
      <c r="I7418" t="s">
        <v>30</v>
      </c>
      <c r="J7418" t="s">
        <v>41</v>
      </c>
      <c r="K7418" t="s">
        <v>59</v>
      </c>
      <c r="Q7418">
        <v>0</v>
      </c>
      <c r="R7418">
        <v>0</v>
      </c>
      <c r="S7418">
        <v>0</v>
      </c>
      <c r="T7418" t="s">
        <v>27237</v>
      </c>
    </row>
    <row r="7419" spans="1:20" customFormat="1" ht="15" x14ac:dyDescent="0.25">
      <c r="A7419" t="s">
        <v>35</v>
      </c>
      <c r="B7419" t="s">
        <v>61</v>
      </c>
      <c r="C7419" t="str">
        <f>"A0181963"</f>
        <v>A0181963</v>
      </c>
      <c r="D7419" t="s">
        <v>28401</v>
      </c>
      <c r="E7419" t="s">
        <v>28402</v>
      </c>
      <c r="F7419" t="s">
        <v>5772</v>
      </c>
      <c r="G7419" t="s">
        <v>99</v>
      </c>
      <c r="H7419" t="s">
        <v>28403</v>
      </c>
      <c r="I7419" t="s">
        <v>30</v>
      </c>
      <c r="J7419" t="s">
        <v>41</v>
      </c>
      <c r="K7419" t="s">
        <v>59</v>
      </c>
      <c r="Q7419">
        <v>0</v>
      </c>
      <c r="R7419">
        <v>0</v>
      </c>
      <c r="S7419">
        <v>0</v>
      </c>
      <c r="T7419" t="s">
        <v>28404</v>
      </c>
    </row>
    <row r="7420" spans="1:20" customFormat="1" ht="15" x14ac:dyDescent="0.25">
      <c r="A7420" t="s">
        <v>35</v>
      </c>
      <c r="B7420" t="s">
        <v>61</v>
      </c>
      <c r="C7420" t="str">
        <f>"A0181962"</f>
        <v>A0181962</v>
      </c>
      <c r="D7420" t="s">
        <v>28405</v>
      </c>
      <c r="E7420" t="s">
        <v>26625</v>
      </c>
      <c r="F7420" t="s">
        <v>26626</v>
      </c>
      <c r="G7420" t="s">
        <v>99</v>
      </c>
      <c r="H7420" t="s">
        <v>26627</v>
      </c>
      <c r="I7420" t="s">
        <v>30</v>
      </c>
      <c r="J7420" t="s">
        <v>41</v>
      </c>
      <c r="K7420" t="s">
        <v>59</v>
      </c>
      <c r="Q7420">
        <v>0</v>
      </c>
      <c r="R7420">
        <v>0</v>
      </c>
      <c r="S7420">
        <v>0</v>
      </c>
      <c r="T7420" t="s">
        <v>28406</v>
      </c>
    </row>
    <row r="7421" spans="1:20" customFormat="1" ht="15" x14ac:dyDescent="0.25">
      <c r="A7421" t="s">
        <v>35</v>
      </c>
      <c r="B7421" t="s">
        <v>61</v>
      </c>
      <c r="C7421" t="str">
        <f>"A0181961"</f>
        <v>A0181961</v>
      </c>
      <c r="D7421" t="s">
        <v>28407</v>
      </c>
      <c r="E7421" t="s">
        <v>28408</v>
      </c>
      <c r="F7421" t="s">
        <v>5772</v>
      </c>
      <c r="G7421" t="s">
        <v>99</v>
      </c>
      <c r="H7421">
        <v>146162724</v>
      </c>
      <c r="I7421" t="s">
        <v>30</v>
      </c>
      <c r="J7421" t="s">
        <v>41</v>
      </c>
      <c r="K7421" t="s">
        <v>59</v>
      </c>
      <c r="Q7421">
        <v>0</v>
      </c>
      <c r="R7421">
        <v>73</v>
      </c>
      <c r="S7421">
        <v>73</v>
      </c>
      <c r="T7421" t="s">
        <v>28409</v>
      </c>
    </row>
    <row r="7422" spans="1:20" customFormat="1" ht="15" x14ac:dyDescent="0.25">
      <c r="A7422" t="s">
        <v>35</v>
      </c>
      <c r="B7422" t="s">
        <v>61</v>
      </c>
      <c r="C7422" t="str">
        <f>"A0181960"</f>
        <v>A0181960</v>
      </c>
      <c r="D7422" t="s">
        <v>28410</v>
      </c>
      <c r="E7422" t="s">
        <v>28411</v>
      </c>
      <c r="F7422" t="s">
        <v>22374</v>
      </c>
      <c r="G7422" t="s">
        <v>99</v>
      </c>
      <c r="H7422" t="s">
        <v>28412</v>
      </c>
      <c r="I7422" t="s">
        <v>30</v>
      </c>
      <c r="J7422" t="s">
        <v>41</v>
      </c>
      <c r="K7422" t="s">
        <v>59</v>
      </c>
      <c r="Q7422">
        <v>0</v>
      </c>
      <c r="R7422">
        <v>0</v>
      </c>
      <c r="S7422">
        <v>0</v>
      </c>
      <c r="T7422" t="s">
        <v>28413</v>
      </c>
    </row>
    <row r="7423" spans="1:20" customFormat="1" ht="15" x14ac:dyDescent="0.25">
      <c r="A7423" t="s">
        <v>35</v>
      </c>
      <c r="B7423" t="s">
        <v>61</v>
      </c>
      <c r="C7423" t="str">
        <f>"A0181959"</f>
        <v>A0181959</v>
      </c>
      <c r="D7423" t="s">
        <v>28414</v>
      </c>
      <c r="E7423" t="s">
        <v>28415</v>
      </c>
      <c r="F7423" t="s">
        <v>7670</v>
      </c>
      <c r="G7423" t="s">
        <v>99</v>
      </c>
      <c r="H7423">
        <v>11432</v>
      </c>
      <c r="I7423" t="s">
        <v>30</v>
      </c>
      <c r="J7423" t="s">
        <v>41</v>
      </c>
      <c r="K7423" t="s">
        <v>59</v>
      </c>
      <c r="Q7423">
        <v>0</v>
      </c>
      <c r="R7423">
        <v>200</v>
      </c>
      <c r="S7423">
        <v>200</v>
      </c>
      <c r="T7423" t="s">
        <v>28416</v>
      </c>
    </row>
    <row r="7424" spans="1:20" customFormat="1" ht="15" x14ac:dyDescent="0.25">
      <c r="A7424" t="s">
        <v>35</v>
      </c>
      <c r="B7424" t="s">
        <v>61</v>
      </c>
      <c r="C7424" t="str">
        <f>"A0181958"</f>
        <v>A0181958</v>
      </c>
      <c r="D7424" t="s">
        <v>28417</v>
      </c>
      <c r="E7424" t="s">
        <v>28418</v>
      </c>
      <c r="F7424" t="s">
        <v>10272</v>
      </c>
      <c r="G7424" t="s">
        <v>161</v>
      </c>
      <c r="H7424" t="s">
        <v>28419</v>
      </c>
      <c r="I7424" t="s">
        <v>30</v>
      </c>
      <c r="J7424" t="s">
        <v>41</v>
      </c>
      <c r="K7424" t="s">
        <v>59</v>
      </c>
      <c r="Q7424">
        <v>0</v>
      </c>
      <c r="R7424">
        <v>140</v>
      </c>
      <c r="S7424">
        <v>140</v>
      </c>
      <c r="T7424" t="s">
        <v>28420</v>
      </c>
    </row>
    <row r="7425" spans="1:20" customFormat="1" ht="15" x14ac:dyDescent="0.25">
      <c r="A7425" t="s">
        <v>35</v>
      </c>
      <c r="B7425" t="s">
        <v>61</v>
      </c>
      <c r="C7425" t="str">
        <f>"A0181957"</f>
        <v>A0181957</v>
      </c>
      <c r="D7425" t="s">
        <v>28421</v>
      </c>
      <c r="E7425" t="s">
        <v>28422</v>
      </c>
      <c r="F7425" t="s">
        <v>24915</v>
      </c>
      <c r="G7425" t="s">
        <v>1170</v>
      </c>
      <c r="H7425" t="s">
        <v>28423</v>
      </c>
      <c r="I7425" t="s">
        <v>30</v>
      </c>
      <c r="J7425" t="s">
        <v>41</v>
      </c>
      <c r="K7425" t="s">
        <v>59</v>
      </c>
      <c r="Q7425">
        <v>0</v>
      </c>
      <c r="R7425">
        <v>0</v>
      </c>
      <c r="S7425">
        <v>0</v>
      </c>
      <c r="T7425" t="s">
        <v>28424</v>
      </c>
    </row>
    <row r="7426" spans="1:20" customFormat="1" ht="15" x14ac:dyDescent="0.25">
      <c r="A7426" t="s">
        <v>35</v>
      </c>
      <c r="B7426" t="s">
        <v>11871</v>
      </c>
      <c r="C7426" t="str">
        <f>"A0181956"</f>
        <v>A0181956</v>
      </c>
      <c r="D7426" t="s">
        <v>28425</v>
      </c>
      <c r="E7426" t="s">
        <v>27427</v>
      </c>
      <c r="F7426" t="s">
        <v>27428</v>
      </c>
      <c r="G7426" t="s">
        <v>1170</v>
      </c>
      <c r="H7426" t="s">
        <v>27429</v>
      </c>
      <c r="I7426" t="s">
        <v>30</v>
      </c>
      <c r="J7426" t="s">
        <v>41</v>
      </c>
      <c r="K7426" t="s">
        <v>59</v>
      </c>
      <c r="Q7426">
        <v>0</v>
      </c>
      <c r="R7426">
        <v>0</v>
      </c>
      <c r="S7426">
        <v>0</v>
      </c>
      <c r="T7426" t="s">
        <v>27430</v>
      </c>
    </row>
    <row r="7427" spans="1:20" customFormat="1" ht="15" x14ac:dyDescent="0.25">
      <c r="A7427" t="s">
        <v>35</v>
      </c>
      <c r="B7427" t="s">
        <v>12660</v>
      </c>
      <c r="C7427" t="str">
        <f>"A0181955"</f>
        <v>A0181955</v>
      </c>
      <c r="D7427" t="s">
        <v>23349</v>
      </c>
      <c r="E7427" t="s">
        <v>27616</v>
      </c>
      <c r="F7427" t="s">
        <v>27617</v>
      </c>
      <c r="G7427" t="s">
        <v>1170</v>
      </c>
      <c r="H7427">
        <v>704034000</v>
      </c>
      <c r="I7427" t="s">
        <v>30</v>
      </c>
      <c r="J7427" t="s">
        <v>41</v>
      </c>
      <c r="K7427" t="s">
        <v>59</v>
      </c>
      <c r="Q7427">
        <v>0</v>
      </c>
      <c r="R7427">
        <v>0</v>
      </c>
      <c r="S7427">
        <v>0</v>
      </c>
      <c r="T7427" t="s">
        <v>23351</v>
      </c>
    </row>
    <row r="7428" spans="1:20" customFormat="1" ht="15" x14ac:dyDescent="0.25">
      <c r="A7428" t="s">
        <v>35</v>
      </c>
      <c r="B7428" t="s">
        <v>61</v>
      </c>
      <c r="C7428" t="str">
        <f>"A0181954"</f>
        <v>A0181954</v>
      </c>
      <c r="D7428" t="s">
        <v>28426</v>
      </c>
      <c r="E7428" t="s">
        <v>28427</v>
      </c>
      <c r="F7428" t="s">
        <v>1378</v>
      </c>
      <c r="G7428" t="s">
        <v>110</v>
      </c>
      <c r="H7428" t="s">
        <v>28428</v>
      </c>
      <c r="I7428" t="s">
        <v>30</v>
      </c>
      <c r="J7428" t="s">
        <v>41</v>
      </c>
      <c r="K7428" t="s">
        <v>59</v>
      </c>
      <c r="Q7428">
        <v>0</v>
      </c>
      <c r="R7428">
        <v>0</v>
      </c>
      <c r="S7428">
        <v>0</v>
      </c>
      <c r="T7428" t="s">
        <v>28429</v>
      </c>
    </row>
    <row r="7429" spans="1:20" customFormat="1" ht="15" x14ac:dyDescent="0.25">
      <c r="A7429" t="s">
        <v>35</v>
      </c>
      <c r="B7429" t="s">
        <v>61</v>
      </c>
      <c r="C7429" t="str">
        <f>"A0181953"</f>
        <v>A0181953</v>
      </c>
      <c r="D7429" t="s">
        <v>28430</v>
      </c>
      <c r="E7429" t="s">
        <v>26201</v>
      </c>
      <c r="F7429" t="s">
        <v>11795</v>
      </c>
      <c r="G7429" t="s">
        <v>71</v>
      </c>
      <c r="H7429" t="s">
        <v>28431</v>
      </c>
      <c r="I7429" t="s">
        <v>30</v>
      </c>
      <c r="J7429" t="s">
        <v>41</v>
      </c>
      <c r="K7429" t="s">
        <v>59</v>
      </c>
      <c r="Q7429">
        <v>0</v>
      </c>
      <c r="R7429">
        <v>0</v>
      </c>
      <c r="S7429">
        <v>0</v>
      </c>
    </row>
    <row r="7430" spans="1:20" customFormat="1" ht="15" x14ac:dyDescent="0.25">
      <c r="A7430" t="s">
        <v>35</v>
      </c>
      <c r="B7430" t="s">
        <v>61</v>
      </c>
      <c r="C7430" t="str">
        <f>"A0181952"</f>
        <v>A0181952</v>
      </c>
      <c r="D7430" t="s">
        <v>28432</v>
      </c>
      <c r="E7430" t="s">
        <v>28433</v>
      </c>
      <c r="F7430" t="s">
        <v>8039</v>
      </c>
      <c r="G7430" t="s">
        <v>161</v>
      </c>
      <c r="H7430" t="s">
        <v>28434</v>
      </c>
      <c r="I7430" t="s">
        <v>30</v>
      </c>
      <c r="J7430" t="s">
        <v>41</v>
      </c>
      <c r="K7430" t="s">
        <v>59</v>
      </c>
      <c r="Q7430">
        <v>0</v>
      </c>
      <c r="R7430">
        <v>0</v>
      </c>
      <c r="S7430">
        <v>0</v>
      </c>
    </row>
    <row r="7431" spans="1:20" customFormat="1" ht="15" x14ac:dyDescent="0.25">
      <c r="A7431" t="s">
        <v>35</v>
      </c>
      <c r="B7431" t="s">
        <v>61</v>
      </c>
      <c r="C7431" t="str">
        <f>"A0181951"</f>
        <v>A0181951</v>
      </c>
      <c r="D7431" t="s">
        <v>28435</v>
      </c>
      <c r="E7431" t="s">
        <v>28436</v>
      </c>
      <c r="F7431" t="s">
        <v>28038</v>
      </c>
      <c r="G7431" t="s">
        <v>161</v>
      </c>
      <c r="H7431">
        <v>55448</v>
      </c>
      <c r="I7431" t="s">
        <v>30</v>
      </c>
      <c r="J7431" t="s">
        <v>41</v>
      </c>
      <c r="K7431" t="s">
        <v>59</v>
      </c>
      <c r="Q7431">
        <v>0</v>
      </c>
      <c r="R7431">
        <v>0</v>
      </c>
      <c r="S7431">
        <v>0</v>
      </c>
    </row>
    <row r="7432" spans="1:20" customFormat="1" ht="15" x14ac:dyDescent="0.25">
      <c r="A7432" t="s">
        <v>35</v>
      </c>
      <c r="B7432" t="s">
        <v>61</v>
      </c>
      <c r="C7432" t="str">
        <f>"A0181950"</f>
        <v>A0181950</v>
      </c>
      <c r="D7432" t="s">
        <v>28437</v>
      </c>
      <c r="E7432" t="s">
        <v>28438</v>
      </c>
      <c r="F7432" t="s">
        <v>28439</v>
      </c>
      <c r="G7432" t="s">
        <v>161</v>
      </c>
      <c r="H7432" t="s">
        <v>28440</v>
      </c>
      <c r="I7432" t="s">
        <v>30</v>
      </c>
      <c r="J7432" t="s">
        <v>41</v>
      </c>
      <c r="K7432" t="s">
        <v>59</v>
      </c>
      <c r="Q7432">
        <v>0</v>
      </c>
      <c r="R7432">
        <v>0</v>
      </c>
      <c r="S7432">
        <v>0</v>
      </c>
    </row>
    <row r="7433" spans="1:20" customFormat="1" ht="15" x14ac:dyDescent="0.25">
      <c r="A7433" t="s">
        <v>35</v>
      </c>
      <c r="B7433" t="s">
        <v>61</v>
      </c>
      <c r="C7433" t="str">
        <f>"A0181949"</f>
        <v>A0181949</v>
      </c>
      <c r="D7433" t="s">
        <v>28441</v>
      </c>
      <c r="E7433" t="s">
        <v>28442</v>
      </c>
      <c r="F7433" t="s">
        <v>28443</v>
      </c>
      <c r="G7433" t="s">
        <v>71</v>
      </c>
      <c r="H7433" t="s">
        <v>28444</v>
      </c>
      <c r="I7433" t="s">
        <v>30</v>
      </c>
      <c r="J7433" t="s">
        <v>41</v>
      </c>
      <c r="K7433" t="s">
        <v>59</v>
      </c>
      <c r="Q7433">
        <v>0</v>
      </c>
      <c r="R7433">
        <v>63</v>
      </c>
      <c r="S7433">
        <v>63</v>
      </c>
      <c r="T7433" t="s">
        <v>28445</v>
      </c>
    </row>
    <row r="7434" spans="1:20" customFormat="1" ht="15" x14ac:dyDescent="0.25">
      <c r="A7434" t="s">
        <v>35</v>
      </c>
      <c r="B7434" t="s">
        <v>61</v>
      </c>
      <c r="C7434" t="str">
        <f>"A0181948"</f>
        <v>A0181948</v>
      </c>
      <c r="D7434" t="s">
        <v>28446</v>
      </c>
      <c r="E7434" t="s">
        <v>28447</v>
      </c>
      <c r="F7434" t="s">
        <v>9607</v>
      </c>
      <c r="G7434" t="s">
        <v>161</v>
      </c>
      <c r="H7434">
        <v>55744</v>
      </c>
      <c r="I7434" t="s">
        <v>30</v>
      </c>
      <c r="J7434" t="s">
        <v>41</v>
      </c>
      <c r="K7434" t="s">
        <v>59</v>
      </c>
      <c r="Q7434">
        <v>0</v>
      </c>
      <c r="R7434">
        <v>0</v>
      </c>
      <c r="S7434">
        <v>0</v>
      </c>
    </row>
    <row r="7435" spans="1:20" customFormat="1" ht="15" x14ac:dyDescent="0.25">
      <c r="A7435" t="s">
        <v>35</v>
      </c>
      <c r="B7435" t="s">
        <v>61</v>
      </c>
      <c r="C7435" t="str">
        <f>"A0181947"</f>
        <v>A0181947</v>
      </c>
      <c r="D7435" t="s">
        <v>28448</v>
      </c>
      <c r="E7435" t="s">
        <v>28449</v>
      </c>
      <c r="F7435" t="s">
        <v>12934</v>
      </c>
      <c r="G7435" t="s">
        <v>161</v>
      </c>
      <c r="H7435">
        <v>55437</v>
      </c>
      <c r="I7435" t="s">
        <v>30</v>
      </c>
      <c r="J7435" t="s">
        <v>41</v>
      </c>
      <c r="K7435" t="s">
        <v>59</v>
      </c>
      <c r="Q7435">
        <v>0</v>
      </c>
      <c r="R7435">
        <v>0</v>
      </c>
      <c r="S7435">
        <v>0</v>
      </c>
    </row>
    <row r="7436" spans="1:20" customFormat="1" ht="15" x14ac:dyDescent="0.25">
      <c r="A7436" t="s">
        <v>35</v>
      </c>
      <c r="B7436" t="s">
        <v>61</v>
      </c>
      <c r="C7436" t="str">
        <f>"A0181946"</f>
        <v>A0181946</v>
      </c>
      <c r="D7436" t="s">
        <v>28450</v>
      </c>
      <c r="E7436" t="s">
        <v>28224</v>
      </c>
      <c r="F7436" t="s">
        <v>20926</v>
      </c>
      <c r="G7436" t="s">
        <v>161</v>
      </c>
      <c r="H7436" t="s">
        <v>28225</v>
      </c>
      <c r="I7436" t="s">
        <v>30</v>
      </c>
      <c r="J7436" t="s">
        <v>41</v>
      </c>
      <c r="K7436" t="s">
        <v>59</v>
      </c>
      <c r="Q7436">
        <v>0</v>
      </c>
      <c r="R7436">
        <v>0</v>
      </c>
      <c r="S7436">
        <v>0</v>
      </c>
      <c r="T7436" t="s">
        <v>28226</v>
      </c>
    </row>
    <row r="7437" spans="1:20" customFormat="1" ht="15" x14ac:dyDescent="0.25">
      <c r="A7437" t="s">
        <v>35</v>
      </c>
      <c r="B7437" t="s">
        <v>61</v>
      </c>
      <c r="C7437" t="str">
        <f>"A0181945"</f>
        <v>A0181945</v>
      </c>
      <c r="D7437" t="s">
        <v>28451</v>
      </c>
      <c r="E7437" t="s">
        <v>19493</v>
      </c>
      <c r="F7437" t="s">
        <v>28452</v>
      </c>
      <c r="G7437" t="s">
        <v>161</v>
      </c>
      <c r="H7437">
        <v>56085</v>
      </c>
      <c r="I7437" t="s">
        <v>30</v>
      </c>
      <c r="J7437" t="s">
        <v>41</v>
      </c>
      <c r="K7437" t="s">
        <v>59</v>
      </c>
      <c r="Q7437">
        <v>0</v>
      </c>
      <c r="R7437">
        <v>58</v>
      </c>
      <c r="S7437">
        <v>58</v>
      </c>
      <c r="T7437" t="s">
        <v>28453</v>
      </c>
    </row>
    <row r="7438" spans="1:20" customFormat="1" ht="15" x14ac:dyDescent="0.25">
      <c r="A7438" t="s">
        <v>35</v>
      </c>
      <c r="B7438" t="s">
        <v>61</v>
      </c>
      <c r="C7438" t="str">
        <f>"A0181944"</f>
        <v>A0181944</v>
      </c>
      <c r="D7438" t="s">
        <v>28454</v>
      </c>
      <c r="E7438" t="s">
        <v>28455</v>
      </c>
      <c r="F7438" t="s">
        <v>11884</v>
      </c>
      <c r="G7438" t="s">
        <v>71</v>
      </c>
      <c r="H7438" t="s">
        <v>28456</v>
      </c>
      <c r="I7438" t="s">
        <v>30</v>
      </c>
      <c r="J7438" t="s">
        <v>41</v>
      </c>
      <c r="K7438" t="s">
        <v>59</v>
      </c>
      <c r="Q7438">
        <v>0</v>
      </c>
      <c r="R7438">
        <v>0</v>
      </c>
      <c r="S7438">
        <v>0</v>
      </c>
    </row>
    <row r="7439" spans="1:20" customFormat="1" ht="15" x14ac:dyDescent="0.25">
      <c r="A7439" t="s">
        <v>35</v>
      </c>
      <c r="B7439" t="s">
        <v>61</v>
      </c>
      <c r="C7439" t="str">
        <f>"A0181943"</f>
        <v>A0181943</v>
      </c>
      <c r="D7439" t="s">
        <v>28457</v>
      </c>
      <c r="E7439" t="s">
        <v>28458</v>
      </c>
      <c r="F7439" t="s">
        <v>3762</v>
      </c>
      <c r="G7439" t="s">
        <v>71</v>
      </c>
      <c r="H7439" t="s">
        <v>28459</v>
      </c>
      <c r="I7439" t="s">
        <v>30</v>
      </c>
      <c r="J7439" t="s">
        <v>41</v>
      </c>
      <c r="K7439" t="s">
        <v>59</v>
      </c>
      <c r="Q7439">
        <v>0</v>
      </c>
      <c r="R7439">
        <v>0</v>
      </c>
      <c r="S7439">
        <v>0</v>
      </c>
    </row>
    <row r="7440" spans="1:20" customFormat="1" ht="15" x14ac:dyDescent="0.25">
      <c r="A7440" t="s">
        <v>35</v>
      </c>
      <c r="B7440" t="s">
        <v>61</v>
      </c>
      <c r="C7440" t="str">
        <f>"A0181940"</f>
        <v>A0181940</v>
      </c>
      <c r="D7440" t="s">
        <v>28460</v>
      </c>
      <c r="E7440" t="s">
        <v>28461</v>
      </c>
      <c r="F7440" t="s">
        <v>26383</v>
      </c>
      <c r="G7440" t="s">
        <v>71</v>
      </c>
      <c r="H7440" t="s">
        <v>28462</v>
      </c>
      <c r="I7440" t="s">
        <v>30</v>
      </c>
      <c r="J7440" t="s">
        <v>41</v>
      </c>
      <c r="K7440" t="s">
        <v>59</v>
      </c>
      <c r="Q7440">
        <v>0</v>
      </c>
      <c r="R7440">
        <v>0</v>
      </c>
      <c r="S7440">
        <v>0</v>
      </c>
    </row>
    <row r="7441" spans="1:20" customFormat="1" ht="15" x14ac:dyDescent="0.25">
      <c r="A7441" t="s">
        <v>35</v>
      </c>
      <c r="B7441" t="s">
        <v>21240</v>
      </c>
      <c r="C7441" t="str">
        <f>"A0181939"</f>
        <v>A0181939</v>
      </c>
      <c r="D7441" t="s">
        <v>28463</v>
      </c>
      <c r="E7441" t="s">
        <v>28464</v>
      </c>
      <c r="F7441" t="s">
        <v>28465</v>
      </c>
      <c r="G7441" t="s">
        <v>117</v>
      </c>
      <c r="H7441" t="s">
        <v>28466</v>
      </c>
      <c r="I7441" t="s">
        <v>30</v>
      </c>
      <c r="J7441" t="s">
        <v>41</v>
      </c>
      <c r="K7441" t="s">
        <v>59</v>
      </c>
      <c r="Q7441">
        <v>0</v>
      </c>
      <c r="R7441">
        <v>0</v>
      </c>
      <c r="S7441">
        <v>0</v>
      </c>
      <c r="T7441" t="s">
        <v>28467</v>
      </c>
    </row>
    <row r="7442" spans="1:20" customFormat="1" ht="15" x14ac:dyDescent="0.25">
      <c r="A7442" t="s">
        <v>35</v>
      </c>
      <c r="B7442" t="s">
        <v>61</v>
      </c>
      <c r="C7442" t="str">
        <f>"A0181938"</f>
        <v>A0181938</v>
      </c>
      <c r="D7442" t="s">
        <v>28468</v>
      </c>
      <c r="E7442" t="s">
        <v>28469</v>
      </c>
      <c r="F7442" t="s">
        <v>5723</v>
      </c>
      <c r="G7442" t="s">
        <v>117</v>
      </c>
      <c r="H7442" t="s">
        <v>27675</v>
      </c>
      <c r="I7442" t="s">
        <v>30</v>
      </c>
      <c r="J7442" t="s">
        <v>41</v>
      </c>
      <c r="K7442" t="s">
        <v>59</v>
      </c>
      <c r="Q7442">
        <v>0</v>
      </c>
      <c r="R7442">
        <v>0</v>
      </c>
      <c r="S7442">
        <v>0</v>
      </c>
      <c r="T7442" t="s">
        <v>27680</v>
      </c>
    </row>
    <row r="7443" spans="1:20" customFormat="1" ht="15" x14ac:dyDescent="0.25">
      <c r="A7443" t="s">
        <v>35</v>
      </c>
      <c r="B7443" t="s">
        <v>61</v>
      </c>
      <c r="C7443" t="str">
        <f>"A0181937"</f>
        <v>A0181937</v>
      </c>
      <c r="D7443" t="s">
        <v>28470</v>
      </c>
      <c r="E7443" t="s">
        <v>28471</v>
      </c>
      <c r="F7443" t="s">
        <v>9791</v>
      </c>
      <c r="G7443" t="s">
        <v>47</v>
      </c>
      <c r="H7443">
        <v>974011736</v>
      </c>
      <c r="I7443" t="s">
        <v>30</v>
      </c>
      <c r="J7443" t="s">
        <v>41</v>
      </c>
      <c r="K7443" t="s">
        <v>59</v>
      </c>
      <c r="Q7443">
        <v>0</v>
      </c>
      <c r="R7443">
        <v>0</v>
      </c>
      <c r="S7443">
        <v>0</v>
      </c>
      <c r="T7443" t="s">
        <v>28472</v>
      </c>
    </row>
    <row r="7444" spans="1:20" customFormat="1" ht="15" x14ac:dyDescent="0.25">
      <c r="A7444" t="s">
        <v>35</v>
      </c>
      <c r="B7444" t="s">
        <v>61</v>
      </c>
      <c r="C7444" t="str">
        <f>"A0181936"</f>
        <v>A0181936</v>
      </c>
      <c r="D7444" t="s">
        <v>28473</v>
      </c>
      <c r="E7444" t="s">
        <v>28474</v>
      </c>
      <c r="F7444" t="s">
        <v>7095</v>
      </c>
      <c r="G7444" t="s">
        <v>1170</v>
      </c>
      <c r="H7444">
        <v>70119</v>
      </c>
      <c r="I7444" t="s">
        <v>30</v>
      </c>
      <c r="J7444" t="s">
        <v>41</v>
      </c>
      <c r="K7444" t="s">
        <v>59</v>
      </c>
      <c r="Q7444">
        <v>0</v>
      </c>
      <c r="R7444">
        <v>0</v>
      </c>
      <c r="S7444">
        <v>0</v>
      </c>
    </row>
    <row r="7445" spans="1:20" customFormat="1" ht="15" x14ac:dyDescent="0.25">
      <c r="A7445" t="s">
        <v>35</v>
      </c>
      <c r="B7445" t="s">
        <v>23900</v>
      </c>
      <c r="C7445" t="str">
        <f>"A0181935"</f>
        <v>A0181935</v>
      </c>
      <c r="D7445" t="s">
        <v>28475</v>
      </c>
      <c r="E7445" t="s">
        <v>28422</v>
      </c>
      <c r="F7445" t="s">
        <v>24915</v>
      </c>
      <c r="G7445" t="s">
        <v>1170</v>
      </c>
      <c r="H7445" t="s">
        <v>28423</v>
      </c>
      <c r="I7445" t="s">
        <v>30</v>
      </c>
      <c r="J7445" t="s">
        <v>41</v>
      </c>
      <c r="K7445" t="s">
        <v>59</v>
      </c>
      <c r="Q7445">
        <v>0</v>
      </c>
      <c r="R7445">
        <v>287</v>
      </c>
      <c r="S7445">
        <v>287</v>
      </c>
      <c r="T7445" t="s">
        <v>28424</v>
      </c>
    </row>
    <row r="7446" spans="1:20" customFormat="1" ht="15" x14ac:dyDescent="0.25">
      <c r="A7446" t="s">
        <v>35</v>
      </c>
      <c r="B7446" t="s">
        <v>61</v>
      </c>
      <c r="C7446" t="str">
        <f>"A0181934"</f>
        <v>A0181934</v>
      </c>
      <c r="D7446" t="s">
        <v>25829</v>
      </c>
      <c r="E7446" t="s">
        <v>28476</v>
      </c>
      <c r="F7446" t="s">
        <v>25831</v>
      </c>
      <c r="G7446" t="s">
        <v>1363</v>
      </c>
      <c r="H7446" t="s">
        <v>28477</v>
      </c>
      <c r="I7446" t="s">
        <v>30</v>
      </c>
      <c r="J7446" t="s">
        <v>41</v>
      </c>
      <c r="K7446" t="s">
        <v>59</v>
      </c>
      <c r="Q7446">
        <v>0</v>
      </c>
      <c r="R7446">
        <v>691</v>
      </c>
      <c r="S7446">
        <v>691</v>
      </c>
      <c r="T7446" t="s">
        <v>25832</v>
      </c>
    </row>
    <row r="7447" spans="1:20" customFormat="1" ht="15" x14ac:dyDescent="0.25">
      <c r="A7447" t="s">
        <v>35</v>
      </c>
      <c r="B7447" t="s">
        <v>61</v>
      </c>
      <c r="C7447" t="str">
        <f>"A0181933"</f>
        <v>A0181933</v>
      </c>
      <c r="D7447" t="s">
        <v>28478</v>
      </c>
      <c r="E7447" t="s">
        <v>28479</v>
      </c>
      <c r="F7447" t="s">
        <v>9128</v>
      </c>
      <c r="G7447" t="s">
        <v>110</v>
      </c>
      <c r="H7447">
        <v>946074789</v>
      </c>
      <c r="I7447" t="s">
        <v>30</v>
      </c>
      <c r="J7447" t="s">
        <v>41</v>
      </c>
      <c r="K7447" t="s">
        <v>59</v>
      </c>
      <c r="Q7447">
        <v>0</v>
      </c>
      <c r="R7447">
        <v>0</v>
      </c>
      <c r="S7447">
        <v>0</v>
      </c>
    </row>
    <row r="7448" spans="1:20" customFormat="1" ht="15" x14ac:dyDescent="0.25">
      <c r="A7448" t="s">
        <v>35</v>
      </c>
      <c r="B7448" t="s">
        <v>61</v>
      </c>
      <c r="C7448" t="str">
        <f>"A0181932"</f>
        <v>A0181932</v>
      </c>
      <c r="D7448" t="s">
        <v>21768</v>
      </c>
      <c r="E7448" t="s">
        <v>28480</v>
      </c>
      <c r="F7448" t="s">
        <v>8081</v>
      </c>
      <c r="G7448" t="s">
        <v>110</v>
      </c>
      <c r="H7448" t="s">
        <v>28481</v>
      </c>
      <c r="I7448" t="s">
        <v>30</v>
      </c>
      <c r="J7448" t="s">
        <v>41</v>
      </c>
      <c r="K7448" t="s">
        <v>59</v>
      </c>
      <c r="Q7448">
        <v>0</v>
      </c>
      <c r="R7448">
        <v>151</v>
      </c>
      <c r="S7448">
        <v>151</v>
      </c>
      <c r="T7448" t="s">
        <v>28482</v>
      </c>
    </row>
    <row r="7449" spans="1:20" customFormat="1" ht="15" x14ac:dyDescent="0.25">
      <c r="A7449" t="s">
        <v>35</v>
      </c>
      <c r="B7449" t="s">
        <v>61</v>
      </c>
      <c r="C7449" t="str">
        <f>"A0181931"</f>
        <v>A0181931</v>
      </c>
      <c r="D7449" t="s">
        <v>28483</v>
      </c>
      <c r="E7449" t="s">
        <v>28484</v>
      </c>
      <c r="F7449" t="s">
        <v>9128</v>
      </c>
      <c r="G7449" t="s">
        <v>110</v>
      </c>
      <c r="H7449">
        <v>946062247</v>
      </c>
      <c r="I7449" t="s">
        <v>30</v>
      </c>
      <c r="J7449" t="s">
        <v>41</v>
      </c>
      <c r="K7449" t="s">
        <v>59</v>
      </c>
      <c r="Q7449">
        <v>0</v>
      </c>
      <c r="R7449">
        <v>0</v>
      </c>
      <c r="S7449">
        <v>0</v>
      </c>
      <c r="T7449" t="s">
        <v>28485</v>
      </c>
    </row>
    <row r="7450" spans="1:20" customFormat="1" ht="15" x14ac:dyDescent="0.25">
      <c r="A7450" t="s">
        <v>35</v>
      </c>
      <c r="B7450" t="s">
        <v>61</v>
      </c>
      <c r="C7450" t="str">
        <f>"A0181930"</f>
        <v>A0181930</v>
      </c>
      <c r="D7450" t="s">
        <v>28486</v>
      </c>
      <c r="E7450" t="s">
        <v>26401</v>
      </c>
      <c r="F7450" t="s">
        <v>26402</v>
      </c>
      <c r="G7450" t="s">
        <v>161</v>
      </c>
      <c r="H7450">
        <v>55616</v>
      </c>
      <c r="I7450" t="s">
        <v>30</v>
      </c>
      <c r="J7450" t="s">
        <v>41</v>
      </c>
      <c r="K7450" t="s">
        <v>59</v>
      </c>
      <c r="Q7450">
        <v>0</v>
      </c>
      <c r="R7450">
        <v>55</v>
      </c>
      <c r="S7450">
        <v>55</v>
      </c>
      <c r="T7450" t="s">
        <v>28487</v>
      </c>
    </row>
    <row r="7451" spans="1:20" customFormat="1" ht="15" x14ac:dyDescent="0.25">
      <c r="A7451" t="s">
        <v>35</v>
      </c>
      <c r="B7451" t="s">
        <v>61</v>
      </c>
      <c r="C7451" t="str">
        <f>"A0181929"</f>
        <v>A0181929</v>
      </c>
      <c r="D7451" t="s">
        <v>28488</v>
      </c>
      <c r="E7451" t="s">
        <v>28489</v>
      </c>
      <c r="F7451" t="s">
        <v>14148</v>
      </c>
      <c r="G7451" t="s">
        <v>161</v>
      </c>
      <c r="H7451" t="s">
        <v>28490</v>
      </c>
      <c r="I7451" t="s">
        <v>30</v>
      </c>
      <c r="J7451" t="s">
        <v>41</v>
      </c>
      <c r="K7451" t="s">
        <v>59</v>
      </c>
      <c r="Q7451">
        <v>0</v>
      </c>
      <c r="R7451">
        <v>0</v>
      </c>
      <c r="S7451">
        <v>0</v>
      </c>
      <c r="T7451" t="s">
        <v>28491</v>
      </c>
    </row>
    <row r="7452" spans="1:20" customFormat="1" ht="15" x14ac:dyDescent="0.25">
      <c r="A7452" t="s">
        <v>35</v>
      </c>
      <c r="B7452" t="s">
        <v>61</v>
      </c>
      <c r="C7452" t="str">
        <f>"A0181928"</f>
        <v>A0181928</v>
      </c>
      <c r="D7452" t="s">
        <v>28492</v>
      </c>
      <c r="E7452" t="s">
        <v>28493</v>
      </c>
      <c r="F7452" t="s">
        <v>15552</v>
      </c>
      <c r="G7452" t="s">
        <v>161</v>
      </c>
      <c r="H7452">
        <v>55355</v>
      </c>
      <c r="I7452" t="s">
        <v>30</v>
      </c>
      <c r="J7452" t="s">
        <v>41</v>
      </c>
      <c r="K7452" t="s">
        <v>59</v>
      </c>
      <c r="Q7452">
        <v>0</v>
      </c>
      <c r="R7452">
        <v>0</v>
      </c>
      <c r="S7452">
        <v>0</v>
      </c>
      <c r="T7452" t="s">
        <v>26791</v>
      </c>
    </row>
    <row r="7453" spans="1:20" customFormat="1" ht="15" x14ac:dyDescent="0.25">
      <c r="A7453" t="s">
        <v>35</v>
      </c>
      <c r="B7453" t="s">
        <v>61</v>
      </c>
      <c r="C7453" t="str">
        <f>"A0181927"</f>
        <v>A0181927</v>
      </c>
      <c r="D7453" t="s">
        <v>28494</v>
      </c>
      <c r="E7453" t="s">
        <v>28495</v>
      </c>
      <c r="F7453" t="s">
        <v>28496</v>
      </c>
      <c r="G7453" t="s">
        <v>161</v>
      </c>
      <c r="H7453">
        <v>55321</v>
      </c>
      <c r="I7453" t="s">
        <v>30</v>
      </c>
      <c r="J7453" t="s">
        <v>41</v>
      </c>
      <c r="K7453" t="s">
        <v>59</v>
      </c>
      <c r="Q7453">
        <v>0</v>
      </c>
      <c r="R7453">
        <v>0</v>
      </c>
      <c r="S7453">
        <v>0</v>
      </c>
      <c r="T7453" t="s">
        <v>28497</v>
      </c>
    </row>
    <row r="7454" spans="1:20" customFormat="1" ht="15" x14ac:dyDescent="0.25">
      <c r="A7454" t="s">
        <v>35</v>
      </c>
      <c r="B7454" t="s">
        <v>61</v>
      </c>
      <c r="C7454" t="str">
        <f>"A0181926"</f>
        <v>A0181926</v>
      </c>
      <c r="D7454" t="s">
        <v>28498</v>
      </c>
      <c r="E7454" t="s">
        <v>28499</v>
      </c>
      <c r="F7454" t="s">
        <v>28500</v>
      </c>
      <c r="G7454" t="s">
        <v>161</v>
      </c>
      <c r="H7454" t="s">
        <v>28501</v>
      </c>
      <c r="I7454" t="s">
        <v>30</v>
      </c>
      <c r="J7454" t="s">
        <v>41</v>
      </c>
      <c r="K7454" t="s">
        <v>59</v>
      </c>
      <c r="Q7454">
        <v>0</v>
      </c>
      <c r="R7454">
        <v>0</v>
      </c>
      <c r="S7454">
        <v>0</v>
      </c>
    </row>
    <row r="7455" spans="1:20" customFormat="1" ht="15" x14ac:dyDescent="0.25">
      <c r="A7455" t="s">
        <v>35</v>
      </c>
      <c r="B7455" t="s">
        <v>61</v>
      </c>
      <c r="C7455" t="str">
        <f>"A0181925"</f>
        <v>A0181925</v>
      </c>
      <c r="D7455" t="s">
        <v>28502</v>
      </c>
      <c r="E7455" t="s">
        <v>28503</v>
      </c>
      <c r="F7455" t="s">
        <v>1431</v>
      </c>
      <c r="G7455" t="s">
        <v>47</v>
      </c>
      <c r="H7455">
        <v>972324412</v>
      </c>
      <c r="I7455" t="s">
        <v>30</v>
      </c>
      <c r="J7455" t="s">
        <v>41</v>
      </c>
      <c r="K7455" t="s">
        <v>59</v>
      </c>
      <c r="Q7455">
        <v>0</v>
      </c>
      <c r="R7455">
        <v>85</v>
      </c>
      <c r="S7455">
        <v>85</v>
      </c>
      <c r="T7455" t="s">
        <v>28504</v>
      </c>
    </row>
    <row r="7456" spans="1:20" customFormat="1" ht="15" x14ac:dyDescent="0.25">
      <c r="A7456" t="s">
        <v>35</v>
      </c>
      <c r="B7456" t="s">
        <v>61</v>
      </c>
      <c r="C7456" t="str">
        <f>"A0181924"</f>
        <v>A0181924</v>
      </c>
      <c r="D7456" t="s">
        <v>28505</v>
      </c>
      <c r="E7456" t="s">
        <v>28506</v>
      </c>
      <c r="F7456" t="s">
        <v>1431</v>
      </c>
      <c r="G7456" t="s">
        <v>47</v>
      </c>
      <c r="H7456">
        <v>972091649</v>
      </c>
      <c r="I7456" t="s">
        <v>30</v>
      </c>
      <c r="J7456" t="s">
        <v>41</v>
      </c>
      <c r="K7456" t="s">
        <v>59</v>
      </c>
      <c r="Q7456">
        <v>0</v>
      </c>
      <c r="R7456">
        <v>0</v>
      </c>
      <c r="S7456">
        <v>0</v>
      </c>
      <c r="T7456" t="s">
        <v>27886</v>
      </c>
    </row>
    <row r="7457" spans="1:20" customFormat="1" ht="15" x14ac:dyDescent="0.25">
      <c r="A7457" t="s">
        <v>35</v>
      </c>
      <c r="B7457" t="s">
        <v>61</v>
      </c>
      <c r="C7457" t="str">
        <f>"A0181923"</f>
        <v>A0181923</v>
      </c>
      <c r="D7457" t="s">
        <v>28507</v>
      </c>
      <c r="E7457" t="s">
        <v>28508</v>
      </c>
      <c r="F7457" t="s">
        <v>28509</v>
      </c>
      <c r="G7457" t="s">
        <v>1369</v>
      </c>
      <c r="H7457" t="s">
        <v>28510</v>
      </c>
      <c r="I7457" t="s">
        <v>30</v>
      </c>
      <c r="J7457" t="s">
        <v>41</v>
      </c>
      <c r="K7457" t="s">
        <v>59</v>
      </c>
      <c r="Q7457">
        <v>0</v>
      </c>
      <c r="R7457">
        <v>0</v>
      </c>
      <c r="S7457">
        <v>0</v>
      </c>
    </row>
    <row r="7458" spans="1:20" customFormat="1" ht="15" x14ac:dyDescent="0.25">
      <c r="A7458" t="s">
        <v>35</v>
      </c>
      <c r="B7458" t="s">
        <v>61</v>
      </c>
      <c r="C7458" t="str">
        <f>"A0181922"</f>
        <v>A0181922</v>
      </c>
      <c r="D7458" t="s">
        <v>28511</v>
      </c>
      <c r="E7458" t="s">
        <v>28512</v>
      </c>
      <c r="F7458" t="s">
        <v>14745</v>
      </c>
      <c r="G7458" t="s">
        <v>1363</v>
      </c>
      <c r="H7458">
        <v>3301</v>
      </c>
      <c r="I7458" t="s">
        <v>30</v>
      </c>
      <c r="J7458" t="s">
        <v>41</v>
      </c>
      <c r="K7458" t="s">
        <v>59</v>
      </c>
      <c r="Q7458">
        <v>0</v>
      </c>
      <c r="R7458">
        <v>0</v>
      </c>
      <c r="S7458">
        <v>0</v>
      </c>
      <c r="T7458" t="s">
        <v>28513</v>
      </c>
    </row>
    <row r="7459" spans="1:20" customFormat="1" ht="15" x14ac:dyDescent="0.25">
      <c r="A7459" t="s">
        <v>35</v>
      </c>
      <c r="B7459" t="s">
        <v>61</v>
      </c>
      <c r="C7459" t="str">
        <f>"A0181921"</f>
        <v>A0181921</v>
      </c>
      <c r="D7459" t="s">
        <v>25829</v>
      </c>
      <c r="E7459" t="s">
        <v>28514</v>
      </c>
      <c r="F7459" t="s">
        <v>25831</v>
      </c>
      <c r="G7459" t="s">
        <v>1363</v>
      </c>
      <c r="H7459" t="s">
        <v>28515</v>
      </c>
      <c r="I7459" t="s">
        <v>30</v>
      </c>
      <c r="J7459" t="s">
        <v>41</v>
      </c>
      <c r="K7459" t="s">
        <v>59</v>
      </c>
      <c r="Q7459">
        <v>0</v>
      </c>
      <c r="R7459">
        <v>691</v>
      </c>
      <c r="S7459">
        <v>691</v>
      </c>
      <c r="T7459" t="s">
        <v>25832</v>
      </c>
    </row>
    <row r="7460" spans="1:20" customFormat="1" ht="15" x14ac:dyDescent="0.25">
      <c r="A7460" t="s">
        <v>35</v>
      </c>
      <c r="B7460" t="s">
        <v>61</v>
      </c>
      <c r="C7460" t="str">
        <f>"A0181920"</f>
        <v>A0181920</v>
      </c>
      <c r="D7460" t="s">
        <v>28516</v>
      </c>
      <c r="E7460" t="s">
        <v>28517</v>
      </c>
      <c r="F7460" t="s">
        <v>24626</v>
      </c>
      <c r="G7460" t="s">
        <v>161</v>
      </c>
      <c r="H7460">
        <v>55013</v>
      </c>
      <c r="I7460" t="s">
        <v>30</v>
      </c>
      <c r="J7460" t="s">
        <v>41</v>
      </c>
      <c r="K7460" t="s">
        <v>59</v>
      </c>
      <c r="Q7460">
        <v>0</v>
      </c>
      <c r="R7460">
        <v>16</v>
      </c>
      <c r="S7460">
        <v>16</v>
      </c>
    </row>
    <row r="7461" spans="1:20" customFormat="1" ht="15" x14ac:dyDescent="0.25">
      <c r="A7461" t="s">
        <v>35</v>
      </c>
      <c r="B7461" t="s">
        <v>61</v>
      </c>
      <c r="C7461" t="str">
        <f>"A0181919"</f>
        <v>A0181919</v>
      </c>
      <c r="D7461" t="s">
        <v>28518</v>
      </c>
      <c r="E7461" t="s">
        <v>28519</v>
      </c>
      <c r="F7461" t="s">
        <v>5742</v>
      </c>
      <c r="G7461" t="s">
        <v>110</v>
      </c>
      <c r="H7461" t="s">
        <v>28520</v>
      </c>
      <c r="I7461" t="s">
        <v>30</v>
      </c>
      <c r="J7461" t="s">
        <v>41</v>
      </c>
      <c r="K7461" t="s">
        <v>59</v>
      </c>
      <c r="Q7461">
        <v>0</v>
      </c>
      <c r="R7461">
        <v>0</v>
      </c>
      <c r="S7461">
        <v>0</v>
      </c>
    </row>
    <row r="7462" spans="1:20" customFormat="1" ht="15" x14ac:dyDescent="0.25">
      <c r="A7462" t="s">
        <v>35</v>
      </c>
      <c r="B7462" t="s">
        <v>61</v>
      </c>
      <c r="C7462" t="str">
        <f>"A0181918"</f>
        <v>A0181918</v>
      </c>
      <c r="D7462" t="s">
        <v>28521</v>
      </c>
      <c r="E7462" t="s">
        <v>24232</v>
      </c>
      <c r="F7462" t="s">
        <v>8081</v>
      </c>
      <c r="G7462" t="s">
        <v>110</v>
      </c>
      <c r="H7462">
        <v>941082252</v>
      </c>
      <c r="I7462" t="s">
        <v>30</v>
      </c>
      <c r="J7462" t="s">
        <v>41</v>
      </c>
      <c r="K7462" t="s">
        <v>59</v>
      </c>
      <c r="Q7462">
        <v>0</v>
      </c>
      <c r="R7462">
        <v>0</v>
      </c>
      <c r="S7462">
        <v>0</v>
      </c>
    </row>
    <row r="7463" spans="1:20" customFormat="1" ht="15" x14ac:dyDescent="0.25">
      <c r="A7463" t="s">
        <v>35</v>
      </c>
      <c r="B7463" t="s">
        <v>61</v>
      </c>
      <c r="C7463" t="str">
        <f>"A0181917"</f>
        <v>A0181917</v>
      </c>
      <c r="D7463" t="s">
        <v>28522</v>
      </c>
      <c r="E7463" t="s">
        <v>28523</v>
      </c>
      <c r="F7463" t="s">
        <v>12216</v>
      </c>
      <c r="G7463" t="s">
        <v>71</v>
      </c>
      <c r="H7463" t="s">
        <v>28524</v>
      </c>
      <c r="I7463" t="s">
        <v>30</v>
      </c>
      <c r="J7463" t="s">
        <v>41</v>
      </c>
      <c r="K7463" t="s">
        <v>59</v>
      </c>
      <c r="Q7463">
        <v>0</v>
      </c>
      <c r="R7463">
        <v>0</v>
      </c>
      <c r="S7463">
        <v>0</v>
      </c>
    </row>
    <row r="7464" spans="1:20" customFormat="1" ht="15" x14ac:dyDescent="0.25">
      <c r="A7464" t="s">
        <v>35</v>
      </c>
      <c r="B7464" t="s">
        <v>61</v>
      </c>
      <c r="C7464" t="str">
        <f>"A0181916"</f>
        <v>A0181916</v>
      </c>
      <c r="D7464" t="s">
        <v>28525</v>
      </c>
      <c r="E7464" t="s">
        <v>28526</v>
      </c>
      <c r="F7464" t="s">
        <v>11884</v>
      </c>
      <c r="G7464" t="s">
        <v>71</v>
      </c>
      <c r="H7464" t="s">
        <v>28527</v>
      </c>
      <c r="I7464" t="s">
        <v>30</v>
      </c>
      <c r="J7464" t="s">
        <v>41</v>
      </c>
      <c r="K7464" t="s">
        <v>59</v>
      </c>
      <c r="Q7464">
        <v>0</v>
      </c>
      <c r="R7464">
        <v>0</v>
      </c>
      <c r="S7464">
        <v>0</v>
      </c>
    </row>
    <row r="7465" spans="1:20" customFormat="1" ht="15" x14ac:dyDescent="0.25">
      <c r="A7465" t="s">
        <v>35</v>
      </c>
      <c r="B7465" t="s">
        <v>20322</v>
      </c>
      <c r="C7465" t="str">
        <f>"A0181915"</f>
        <v>A0181915</v>
      </c>
      <c r="D7465" t="s">
        <v>28528</v>
      </c>
      <c r="E7465" t="s">
        <v>28529</v>
      </c>
      <c r="F7465" t="s">
        <v>11884</v>
      </c>
      <c r="G7465" t="s">
        <v>71</v>
      </c>
      <c r="H7465">
        <v>549024155</v>
      </c>
      <c r="I7465" t="s">
        <v>30</v>
      </c>
      <c r="J7465" t="s">
        <v>41</v>
      </c>
      <c r="K7465" t="s">
        <v>59</v>
      </c>
      <c r="Q7465">
        <v>0</v>
      </c>
      <c r="R7465">
        <v>0</v>
      </c>
      <c r="S7465">
        <v>0</v>
      </c>
      <c r="T7465" t="s">
        <v>20325</v>
      </c>
    </row>
    <row r="7466" spans="1:20" customFormat="1" ht="15" x14ac:dyDescent="0.25">
      <c r="A7466" t="s">
        <v>35</v>
      </c>
      <c r="B7466" t="s">
        <v>61</v>
      </c>
      <c r="C7466" t="str">
        <f>"A0181914"</f>
        <v>A0181914</v>
      </c>
      <c r="D7466" t="s">
        <v>28530</v>
      </c>
      <c r="E7466" t="s">
        <v>28531</v>
      </c>
      <c r="F7466" t="s">
        <v>1373</v>
      </c>
      <c r="G7466" t="s">
        <v>71</v>
      </c>
      <c r="H7466" t="s">
        <v>28532</v>
      </c>
      <c r="I7466" t="s">
        <v>30</v>
      </c>
      <c r="J7466" t="s">
        <v>41</v>
      </c>
      <c r="K7466" t="s">
        <v>59</v>
      </c>
      <c r="Q7466">
        <v>0</v>
      </c>
      <c r="R7466">
        <v>0</v>
      </c>
      <c r="S7466">
        <v>0</v>
      </c>
      <c r="T7466" t="s">
        <v>28533</v>
      </c>
    </row>
    <row r="7467" spans="1:20" customFormat="1" ht="15" x14ac:dyDescent="0.25">
      <c r="A7467" t="s">
        <v>35</v>
      </c>
      <c r="B7467" t="s">
        <v>61</v>
      </c>
      <c r="C7467" t="str">
        <f>"A0181913"</f>
        <v>A0181913</v>
      </c>
      <c r="D7467" t="s">
        <v>28534</v>
      </c>
      <c r="E7467" t="s">
        <v>28535</v>
      </c>
      <c r="F7467" t="s">
        <v>28536</v>
      </c>
      <c r="G7467" t="s">
        <v>161</v>
      </c>
      <c r="H7467">
        <v>56531</v>
      </c>
      <c r="I7467" t="s">
        <v>30</v>
      </c>
      <c r="J7467" t="s">
        <v>41</v>
      </c>
      <c r="K7467" t="s">
        <v>59</v>
      </c>
      <c r="Q7467">
        <v>0</v>
      </c>
      <c r="R7467">
        <v>0</v>
      </c>
      <c r="S7467">
        <v>0</v>
      </c>
    </row>
    <row r="7468" spans="1:20" customFormat="1" ht="15" x14ac:dyDescent="0.25">
      <c r="A7468" t="s">
        <v>35</v>
      </c>
      <c r="B7468" t="s">
        <v>61</v>
      </c>
      <c r="C7468" t="str">
        <f>"A0181912"</f>
        <v>A0181912</v>
      </c>
      <c r="D7468" t="s">
        <v>28537</v>
      </c>
      <c r="E7468" t="s">
        <v>28194</v>
      </c>
      <c r="F7468" t="s">
        <v>20360</v>
      </c>
      <c r="G7468" t="s">
        <v>161</v>
      </c>
      <c r="H7468" t="s">
        <v>28195</v>
      </c>
      <c r="I7468" t="s">
        <v>30</v>
      </c>
      <c r="J7468" t="s">
        <v>41</v>
      </c>
      <c r="K7468" t="s">
        <v>59</v>
      </c>
      <c r="Q7468">
        <v>0</v>
      </c>
      <c r="R7468">
        <v>0</v>
      </c>
      <c r="S7468">
        <v>0</v>
      </c>
      <c r="T7468" t="s">
        <v>28196</v>
      </c>
    </row>
    <row r="7469" spans="1:20" customFormat="1" ht="15" x14ac:dyDescent="0.25">
      <c r="A7469" t="s">
        <v>35</v>
      </c>
      <c r="B7469" t="s">
        <v>61</v>
      </c>
      <c r="C7469" t="str">
        <f>"A0181911"</f>
        <v>A0181911</v>
      </c>
      <c r="D7469" t="s">
        <v>28538</v>
      </c>
      <c r="E7469" t="s">
        <v>28539</v>
      </c>
      <c r="F7469" t="s">
        <v>28540</v>
      </c>
      <c r="G7469" t="s">
        <v>161</v>
      </c>
      <c r="H7469">
        <v>55342</v>
      </c>
      <c r="I7469" t="s">
        <v>30</v>
      </c>
      <c r="J7469" t="s">
        <v>41</v>
      </c>
      <c r="K7469" t="s">
        <v>59</v>
      </c>
      <c r="Q7469">
        <v>0</v>
      </c>
      <c r="R7469">
        <v>0</v>
      </c>
      <c r="S7469">
        <v>0</v>
      </c>
    </row>
    <row r="7470" spans="1:20" customFormat="1" ht="15" x14ac:dyDescent="0.25">
      <c r="A7470" t="s">
        <v>35</v>
      </c>
      <c r="B7470" t="s">
        <v>61</v>
      </c>
      <c r="C7470" t="str">
        <f>"A0181910"</f>
        <v>A0181910</v>
      </c>
      <c r="D7470" t="s">
        <v>28541</v>
      </c>
      <c r="E7470" t="s">
        <v>28542</v>
      </c>
      <c r="F7470" t="s">
        <v>26046</v>
      </c>
      <c r="G7470" t="s">
        <v>71</v>
      </c>
      <c r="H7470" t="s">
        <v>28543</v>
      </c>
      <c r="I7470" t="s">
        <v>30</v>
      </c>
      <c r="J7470" t="s">
        <v>41</v>
      </c>
      <c r="K7470" t="s">
        <v>59</v>
      </c>
      <c r="Q7470">
        <v>0</v>
      </c>
      <c r="R7470">
        <v>0</v>
      </c>
      <c r="S7470">
        <v>0</v>
      </c>
      <c r="T7470" t="s">
        <v>28544</v>
      </c>
    </row>
    <row r="7471" spans="1:20" customFormat="1" ht="15" x14ac:dyDescent="0.25">
      <c r="A7471" t="s">
        <v>35</v>
      </c>
      <c r="B7471" t="s">
        <v>61</v>
      </c>
      <c r="C7471" t="str">
        <f>"A0181909"</f>
        <v>A0181909</v>
      </c>
      <c r="D7471" t="s">
        <v>28545</v>
      </c>
      <c r="E7471" t="s">
        <v>28546</v>
      </c>
      <c r="F7471" t="s">
        <v>28038</v>
      </c>
      <c r="G7471" t="s">
        <v>161</v>
      </c>
      <c r="H7471" t="s">
        <v>28547</v>
      </c>
      <c r="I7471" t="s">
        <v>30</v>
      </c>
      <c r="J7471" t="s">
        <v>41</v>
      </c>
      <c r="K7471" t="s">
        <v>59</v>
      </c>
      <c r="Q7471">
        <v>0</v>
      </c>
      <c r="R7471">
        <v>107</v>
      </c>
      <c r="S7471">
        <v>107</v>
      </c>
      <c r="T7471" t="s">
        <v>28548</v>
      </c>
    </row>
    <row r="7472" spans="1:20" customFormat="1" ht="15" x14ac:dyDescent="0.25">
      <c r="A7472" t="s">
        <v>35</v>
      </c>
      <c r="B7472" t="s">
        <v>61</v>
      </c>
      <c r="C7472" t="str">
        <f>"A0181908"</f>
        <v>A0181908</v>
      </c>
      <c r="D7472" t="s">
        <v>28549</v>
      </c>
      <c r="E7472" t="s">
        <v>28550</v>
      </c>
      <c r="F7472" t="s">
        <v>25472</v>
      </c>
      <c r="G7472" t="s">
        <v>161</v>
      </c>
      <c r="H7472" t="s">
        <v>28551</v>
      </c>
      <c r="I7472" t="s">
        <v>30</v>
      </c>
      <c r="J7472" t="s">
        <v>41</v>
      </c>
      <c r="K7472" t="s">
        <v>59</v>
      </c>
      <c r="Q7472">
        <v>0</v>
      </c>
      <c r="R7472">
        <v>0</v>
      </c>
      <c r="S7472">
        <v>0</v>
      </c>
      <c r="T7472" t="s">
        <v>28552</v>
      </c>
    </row>
    <row r="7473" spans="1:20" customFormat="1" ht="15" x14ac:dyDescent="0.25">
      <c r="A7473" t="s">
        <v>35</v>
      </c>
      <c r="B7473" t="s">
        <v>61</v>
      </c>
      <c r="C7473" t="str">
        <f>"A0181907"</f>
        <v>A0181907</v>
      </c>
      <c r="D7473" t="s">
        <v>28553</v>
      </c>
      <c r="E7473" t="s">
        <v>28554</v>
      </c>
      <c r="F7473" t="s">
        <v>27202</v>
      </c>
      <c r="G7473" t="s">
        <v>161</v>
      </c>
      <c r="H7473">
        <v>55124</v>
      </c>
      <c r="I7473" t="s">
        <v>30</v>
      </c>
      <c r="J7473" t="s">
        <v>41</v>
      </c>
      <c r="K7473" t="s">
        <v>59</v>
      </c>
      <c r="Q7473">
        <v>0</v>
      </c>
      <c r="R7473">
        <v>0</v>
      </c>
      <c r="S7473">
        <v>0</v>
      </c>
      <c r="T7473" t="s">
        <v>28555</v>
      </c>
    </row>
    <row r="7474" spans="1:20" customFormat="1" ht="15" x14ac:dyDescent="0.25">
      <c r="A7474" t="s">
        <v>35</v>
      </c>
      <c r="B7474" t="s">
        <v>61</v>
      </c>
      <c r="C7474" t="str">
        <f>"A0181906"</f>
        <v>A0181906</v>
      </c>
      <c r="D7474" t="s">
        <v>28556</v>
      </c>
      <c r="E7474" t="s">
        <v>28557</v>
      </c>
      <c r="F7474" t="s">
        <v>28558</v>
      </c>
      <c r="G7474" t="s">
        <v>161</v>
      </c>
      <c r="H7474">
        <v>55422</v>
      </c>
      <c r="I7474" t="s">
        <v>30</v>
      </c>
      <c r="J7474" t="s">
        <v>41</v>
      </c>
      <c r="K7474" t="s">
        <v>59</v>
      </c>
      <c r="Q7474">
        <v>0</v>
      </c>
      <c r="R7474">
        <v>0</v>
      </c>
      <c r="S7474">
        <v>0</v>
      </c>
      <c r="T7474" t="s">
        <v>28559</v>
      </c>
    </row>
    <row r="7475" spans="1:20" customFormat="1" ht="15" x14ac:dyDescent="0.25">
      <c r="A7475" t="s">
        <v>35</v>
      </c>
      <c r="B7475" t="s">
        <v>61</v>
      </c>
      <c r="C7475" t="str">
        <f>"A0181905"</f>
        <v>A0181905</v>
      </c>
      <c r="D7475" t="s">
        <v>28560</v>
      </c>
      <c r="E7475" t="s">
        <v>28561</v>
      </c>
      <c r="F7475" t="s">
        <v>20355</v>
      </c>
      <c r="G7475" t="s">
        <v>71</v>
      </c>
      <c r="H7475" t="s">
        <v>28562</v>
      </c>
      <c r="I7475" t="s">
        <v>30</v>
      </c>
      <c r="J7475" t="s">
        <v>41</v>
      </c>
      <c r="K7475" t="s">
        <v>59</v>
      </c>
      <c r="Q7475">
        <v>0</v>
      </c>
      <c r="R7475">
        <v>0</v>
      </c>
      <c r="S7475">
        <v>0</v>
      </c>
    </row>
    <row r="7476" spans="1:20" customFormat="1" ht="15" x14ac:dyDescent="0.25">
      <c r="A7476" t="s">
        <v>35</v>
      </c>
      <c r="B7476" t="s">
        <v>61</v>
      </c>
      <c r="C7476" t="str">
        <f>"A0181904"</f>
        <v>A0181904</v>
      </c>
      <c r="D7476" t="s">
        <v>28563</v>
      </c>
      <c r="E7476" t="s">
        <v>28564</v>
      </c>
      <c r="F7476" t="s">
        <v>28565</v>
      </c>
      <c r="G7476" t="s">
        <v>71</v>
      </c>
      <c r="H7476" t="s">
        <v>28566</v>
      </c>
      <c r="I7476" t="s">
        <v>30</v>
      </c>
      <c r="J7476" t="s">
        <v>41</v>
      </c>
      <c r="K7476" t="s">
        <v>59</v>
      </c>
      <c r="Q7476">
        <v>0</v>
      </c>
      <c r="R7476">
        <v>0</v>
      </c>
      <c r="S7476">
        <v>0</v>
      </c>
      <c r="T7476" t="s">
        <v>28567</v>
      </c>
    </row>
    <row r="7477" spans="1:20" customFormat="1" ht="15" x14ac:dyDescent="0.25">
      <c r="A7477" t="s">
        <v>35</v>
      </c>
      <c r="B7477" t="s">
        <v>61</v>
      </c>
      <c r="C7477" t="str">
        <f>"A0181903"</f>
        <v>A0181903</v>
      </c>
      <c r="D7477" t="s">
        <v>28568</v>
      </c>
      <c r="E7477" t="s">
        <v>28569</v>
      </c>
      <c r="F7477" t="s">
        <v>1373</v>
      </c>
      <c r="G7477" t="s">
        <v>71</v>
      </c>
      <c r="H7477" t="s">
        <v>28570</v>
      </c>
      <c r="I7477" t="s">
        <v>30</v>
      </c>
      <c r="J7477" t="s">
        <v>41</v>
      </c>
      <c r="K7477" t="s">
        <v>59</v>
      </c>
      <c r="Q7477">
        <v>0</v>
      </c>
      <c r="R7477">
        <v>0</v>
      </c>
      <c r="S7477">
        <v>0</v>
      </c>
      <c r="T7477" t="s">
        <v>28571</v>
      </c>
    </row>
    <row r="7478" spans="1:20" customFormat="1" ht="15" x14ac:dyDescent="0.25">
      <c r="A7478" t="s">
        <v>35</v>
      </c>
      <c r="B7478" t="s">
        <v>61</v>
      </c>
      <c r="C7478" t="str">
        <f>"A0181902"</f>
        <v>A0181902</v>
      </c>
      <c r="D7478" t="s">
        <v>28572</v>
      </c>
      <c r="E7478" t="s">
        <v>28573</v>
      </c>
      <c r="F7478" t="s">
        <v>12238</v>
      </c>
      <c r="G7478" t="s">
        <v>71</v>
      </c>
      <c r="H7478">
        <v>54665</v>
      </c>
      <c r="I7478" t="s">
        <v>30</v>
      </c>
      <c r="J7478" t="s">
        <v>41</v>
      </c>
      <c r="K7478" t="s">
        <v>59</v>
      </c>
      <c r="Q7478">
        <v>0</v>
      </c>
      <c r="R7478">
        <v>0</v>
      </c>
      <c r="S7478">
        <v>0</v>
      </c>
    </row>
    <row r="7479" spans="1:20" customFormat="1" ht="15" x14ac:dyDescent="0.25">
      <c r="A7479" t="s">
        <v>35</v>
      </c>
      <c r="B7479" t="s">
        <v>61</v>
      </c>
      <c r="C7479" t="str">
        <f>"A0181901"</f>
        <v>A0181901</v>
      </c>
      <c r="D7479" t="s">
        <v>28574</v>
      </c>
      <c r="E7479" t="s">
        <v>28575</v>
      </c>
      <c r="F7479" t="s">
        <v>6270</v>
      </c>
      <c r="G7479" t="s">
        <v>71</v>
      </c>
      <c r="H7479">
        <v>53402</v>
      </c>
      <c r="I7479" t="s">
        <v>30</v>
      </c>
      <c r="J7479" t="s">
        <v>41</v>
      </c>
      <c r="K7479" t="s">
        <v>59</v>
      </c>
      <c r="Q7479">
        <v>0</v>
      </c>
      <c r="R7479">
        <v>0</v>
      </c>
      <c r="S7479">
        <v>0</v>
      </c>
    </row>
    <row r="7480" spans="1:20" customFormat="1" ht="15" x14ac:dyDescent="0.25">
      <c r="A7480" t="s">
        <v>35</v>
      </c>
      <c r="B7480" t="s">
        <v>61</v>
      </c>
      <c r="C7480" t="str">
        <f>"A0181900"</f>
        <v>A0181900</v>
      </c>
      <c r="D7480" t="s">
        <v>28576</v>
      </c>
      <c r="E7480" t="s">
        <v>28577</v>
      </c>
      <c r="F7480" t="s">
        <v>21565</v>
      </c>
      <c r="G7480" t="s">
        <v>71</v>
      </c>
      <c r="H7480">
        <v>531901133</v>
      </c>
      <c r="I7480" t="s">
        <v>30</v>
      </c>
      <c r="J7480" t="s">
        <v>41</v>
      </c>
      <c r="K7480" t="s">
        <v>59</v>
      </c>
      <c r="Q7480">
        <v>0</v>
      </c>
      <c r="R7480">
        <v>107</v>
      </c>
      <c r="S7480">
        <v>107</v>
      </c>
      <c r="T7480" t="s">
        <v>28578</v>
      </c>
    </row>
    <row r="7481" spans="1:20" customFormat="1" ht="15" x14ac:dyDescent="0.25">
      <c r="A7481" t="s">
        <v>35</v>
      </c>
      <c r="B7481" t="s">
        <v>61</v>
      </c>
      <c r="C7481" t="str">
        <f>"A0181899"</f>
        <v>A0181899</v>
      </c>
      <c r="D7481" t="s">
        <v>28579</v>
      </c>
      <c r="E7481" t="s">
        <v>28580</v>
      </c>
      <c r="F7481" t="s">
        <v>28581</v>
      </c>
      <c r="G7481" t="s">
        <v>71</v>
      </c>
      <c r="H7481">
        <v>54812</v>
      </c>
      <c r="I7481" t="s">
        <v>30</v>
      </c>
      <c r="J7481" t="s">
        <v>41</v>
      </c>
      <c r="K7481" t="s">
        <v>59</v>
      </c>
      <c r="Q7481">
        <v>0</v>
      </c>
      <c r="R7481">
        <v>0</v>
      </c>
      <c r="S7481">
        <v>0</v>
      </c>
    </row>
    <row r="7482" spans="1:20" customFormat="1" ht="15" x14ac:dyDescent="0.25">
      <c r="A7482" t="s">
        <v>35</v>
      </c>
      <c r="B7482" t="s">
        <v>61</v>
      </c>
      <c r="C7482" t="str">
        <f>"A0181898"</f>
        <v>A0181898</v>
      </c>
      <c r="D7482" t="s">
        <v>28582</v>
      </c>
      <c r="E7482" t="s">
        <v>28583</v>
      </c>
      <c r="F7482" t="s">
        <v>28500</v>
      </c>
      <c r="G7482" t="s">
        <v>161</v>
      </c>
      <c r="H7482" t="s">
        <v>28584</v>
      </c>
      <c r="I7482" t="s">
        <v>30</v>
      </c>
      <c r="J7482" t="s">
        <v>41</v>
      </c>
      <c r="K7482" t="s">
        <v>59</v>
      </c>
      <c r="Q7482">
        <v>0</v>
      </c>
      <c r="R7482">
        <v>0</v>
      </c>
      <c r="S7482">
        <v>0</v>
      </c>
      <c r="T7482" t="s">
        <v>28585</v>
      </c>
    </row>
    <row r="7483" spans="1:20" customFormat="1" ht="15" x14ac:dyDescent="0.25">
      <c r="A7483" t="s">
        <v>35</v>
      </c>
      <c r="B7483" t="s">
        <v>61</v>
      </c>
      <c r="C7483" t="str">
        <f>"A0181897"</f>
        <v>A0181897</v>
      </c>
      <c r="D7483" t="s">
        <v>28586</v>
      </c>
      <c r="E7483" t="s">
        <v>28587</v>
      </c>
      <c r="F7483" t="s">
        <v>28439</v>
      </c>
      <c r="G7483" t="s">
        <v>161</v>
      </c>
      <c r="H7483" t="s">
        <v>28588</v>
      </c>
      <c r="I7483" t="s">
        <v>30</v>
      </c>
      <c r="J7483" t="s">
        <v>41</v>
      </c>
      <c r="K7483" t="s">
        <v>59</v>
      </c>
      <c r="Q7483">
        <v>0</v>
      </c>
      <c r="R7483">
        <v>0</v>
      </c>
      <c r="S7483">
        <v>0</v>
      </c>
      <c r="T7483" t="s">
        <v>28589</v>
      </c>
    </row>
    <row r="7484" spans="1:20" customFormat="1" ht="15" x14ac:dyDescent="0.25">
      <c r="A7484" t="s">
        <v>35</v>
      </c>
      <c r="B7484" t="s">
        <v>61</v>
      </c>
      <c r="C7484" t="str">
        <f>"A0181896"</f>
        <v>A0181896</v>
      </c>
      <c r="D7484" t="s">
        <v>28590</v>
      </c>
      <c r="E7484" t="s">
        <v>28591</v>
      </c>
      <c r="F7484" t="s">
        <v>28592</v>
      </c>
      <c r="G7484" t="s">
        <v>161</v>
      </c>
      <c r="H7484" t="s">
        <v>28593</v>
      </c>
      <c r="I7484" t="s">
        <v>30</v>
      </c>
      <c r="J7484" t="s">
        <v>41</v>
      </c>
      <c r="K7484" t="s">
        <v>59</v>
      </c>
      <c r="Q7484">
        <v>0</v>
      </c>
      <c r="R7484">
        <v>0</v>
      </c>
      <c r="S7484">
        <v>0</v>
      </c>
    </row>
    <row r="7485" spans="1:20" customFormat="1" ht="15" x14ac:dyDescent="0.25">
      <c r="A7485" t="s">
        <v>35</v>
      </c>
      <c r="B7485" t="s">
        <v>61</v>
      </c>
      <c r="C7485" t="str">
        <f>"A0181895"</f>
        <v>A0181895</v>
      </c>
      <c r="D7485" t="s">
        <v>28594</v>
      </c>
      <c r="E7485" t="s">
        <v>28595</v>
      </c>
      <c r="F7485" t="s">
        <v>28218</v>
      </c>
      <c r="G7485" t="s">
        <v>161</v>
      </c>
      <c r="H7485">
        <v>55987</v>
      </c>
      <c r="I7485" t="s">
        <v>30</v>
      </c>
      <c r="J7485" t="s">
        <v>41</v>
      </c>
      <c r="K7485" t="s">
        <v>59</v>
      </c>
      <c r="Q7485">
        <v>0</v>
      </c>
      <c r="R7485">
        <v>0</v>
      </c>
      <c r="S7485">
        <v>0</v>
      </c>
      <c r="T7485" t="s">
        <v>28596</v>
      </c>
    </row>
    <row r="7486" spans="1:20" customFormat="1" ht="15" x14ac:dyDescent="0.25">
      <c r="A7486" t="s">
        <v>35</v>
      </c>
      <c r="B7486" t="s">
        <v>61</v>
      </c>
      <c r="C7486" t="str">
        <f>"A0181894"</f>
        <v>A0181894</v>
      </c>
      <c r="D7486" t="s">
        <v>28597</v>
      </c>
      <c r="E7486" t="s">
        <v>28598</v>
      </c>
      <c r="F7486" t="s">
        <v>27477</v>
      </c>
      <c r="G7486" t="s">
        <v>161</v>
      </c>
      <c r="H7486">
        <v>55110</v>
      </c>
      <c r="I7486" t="s">
        <v>30</v>
      </c>
      <c r="J7486" t="s">
        <v>41</v>
      </c>
      <c r="K7486" t="s">
        <v>59</v>
      </c>
      <c r="Q7486">
        <v>0</v>
      </c>
      <c r="R7486">
        <v>0</v>
      </c>
      <c r="S7486">
        <v>0</v>
      </c>
      <c r="T7486" t="s">
        <v>28599</v>
      </c>
    </row>
    <row r="7487" spans="1:20" customFormat="1" ht="15" x14ac:dyDescent="0.25">
      <c r="A7487" t="s">
        <v>35</v>
      </c>
      <c r="B7487" t="s">
        <v>61</v>
      </c>
      <c r="C7487" t="str">
        <f>"A0181893"</f>
        <v>A0181893</v>
      </c>
      <c r="D7487" t="s">
        <v>28600</v>
      </c>
      <c r="E7487" t="s">
        <v>28601</v>
      </c>
      <c r="F7487" t="s">
        <v>1977</v>
      </c>
      <c r="G7487" t="s">
        <v>161</v>
      </c>
      <c r="H7487">
        <v>55109</v>
      </c>
      <c r="I7487" t="s">
        <v>30</v>
      </c>
      <c r="J7487" t="s">
        <v>41</v>
      </c>
      <c r="K7487" t="s">
        <v>59</v>
      </c>
      <c r="Q7487">
        <v>0</v>
      </c>
      <c r="R7487">
        <v>130</v>
      </c>
      <c r="S7487">
        <v>130</v>
      </c>
      <c r="T7487" t="s">
        <v>28602</v>
      </c>
    </row>
    <row r="7488" spans="1:20" customFormat="1" ht="15" x14ac:dyDescent="0.25">
      <c r="A7488" t="s">
        <v>35</v>
      </c>
      <c r="B7488" t="s">
        <v>61</v>
      </c>
      <c r="C7488" t="str">
        <f>"A0181892"</f>
        <v>A0181892</v>
      </c>
      <c r="D7488" t="s">
        <v>28603</v>
      </c>
      <c r="E7488" t="s">
        <v>28604</v>
      </c>
      <c r="F7488" t="s">
        <v>25851</v>
      </c>
      <c r="G7488" t="s">
        <v>161</v>
      </c>
      <c r="H7488">
        <v>55430</v>
      </c>
      <c r="I7488" t="s">
        <v>30</v>
      </c>
      <c r="J7488" t="s">
        <v>41</v>
      </c>
      <c r="K7488" t="s">
        <v>59</v>
      </c>
      <c r="Q7488">
        <v>0</v>
      </c>
      <c r="R7488">
        <v>0</v>
      </c>
      <c r="S7488">
        <v>0</v>
      </c>
      <c r="T7488" t="s">
        <v>28605</v>
      </c>
    </row>
    <row r="7489" spans="1:20" customFormat="1" ht="15" x14ac:dyDescent="0.25">
      <c r="A7489" t="s">
        <v>35</v>
      </c>
      <c r="B7489" t="s">
        <v>61</v>
      </c>
      <c r="C7489" t="str">
        <f>"A0181891"</f>
        <v>A0181891</v>
      </c>
      <c r="D7489" t="s">
        <v>28606</v>
      </c>
      <c r="E7489" t="s">
        <v>28607</v>
      </c>
      <c r="F7489" t="s">
        <v>26797</v>
      </c>
      <c r="G7489" t="s">
        <v>161</v>
      </c>
      <c r="H7489">
        <v>56501</v>
      </c>
      <c r="I7489" t="s">
        <v>30</v>
      </c>
      <c r="J7489" t="s">
        <v>41</v>
      </c>
      <c r="K7489" t="s">
        <v>59</v>
      </c>
      <c r="Q7489">
        <v>0</v>
      </c>
      <c r="R7489">
        <v>0</v>
      </c>
      <c r="S7489">
        <v>0</v>
      </c>
      <c r="T7489" t="s">
        <v>28608</v>
      </c>
    </row>
    <row r="7490" spans="1:20" customFormat="1" ht="15" x14ac:dyDescent="0.25">
      <c r="A7490" t="s">
        <v>35</v>
      </c>
      <c r="B7490" t="s">
        <v>61</v>
      </c>
      <c r="C7490" t="str">
        <f>"A0181890"</f>
        <v>A0181890</v>
      </c>
      <c r="D7490" t="s">
        <v>23294</v>
      </c>
      <c r="E7490" t="s">
        <v>28609</v>
      </c>
      <c r="F7490" t="s">
        <v>6270</v>
      </c>
      <c r="G7490" t="s">
        <v>71</v>
      </c>
      <c r="H7490" t="s">
        <v>28610</v>
      </c>
      <c r="I7490" t="s">
        <v>30</v>
      </c>
      <c r="J7490" t="s">
        <v>41</v>
      </c>
      <c r="K7490" t="s">
        <v>59</v>
      </c>
      <c r="Q7490">
        <v>0</v>
      </c>
      <c r="R7490">
        <v>0</v>
      </c>
      <c r="S7490">
        <v>0</v>
      </c>
      <c r="T7490" t="s">
        <v>28611</v>
      </c>
    </row>
    <row r="7491" spans="1:20" customFormat="1" ht="15" x14ac:dyDescent="0.25">
      <c r="A7491" t="s">
        <v>35</v>
      </c>
      <c r="B7491" t="s">
        <v>61</v>
      </c>
      <c r="C7491" t="str">
        <f>"A0181889"</f>
        <v>A0181889</v>
      </c>
      <c r="D7491" t="s">
        <v>28612</v>
      </c>
      <c r="E7491" t="s">
        <v>28613</v>
      </c>
      <c r="F7491" t="s">
        <v>11795</v>
      </c>
      <c r="G7491" t="s">
        <v>71</v>
      </c>
      <c r="H7491" t="s">
        <v>28614</v>
      </c>
      <c r="I7491" t="s">
        <v>30</v>
      </c>
      <c r="J7491" t="s">
        <v>41</v>
      </c>
      <c r="K7491" t="s">
        <v>59</v>
      </c>
      <c r="Q7491">
        <v>0</v>
      </c>
      <c r="R7491">
        <v>0</v>
      </c>
      <c r="S7491">
        <v>0</v>
      </c>
    </row>
    <row r="7492" spans="1:20" customFormat="1" ht="15" x14ac:dyDescent="0.25">
      <c r="A7492" t="s">
        <v>35</v>
      </c>
      <c r="B7492" t="s">
        <v>61</v>
      </c>
      <c r="C7492" t="str">
        <f>"A0181888"</f>
        <v>A0181888</v>
      </c>
      <c r="D7492" t="s">
        <v>28615</v>
      </c>
      <c r="E7492" t="s">
        <v>28616</v>
      </c>
      <c r="F7492" t="s">
        <v>8417</v>
      </c>
      <c r="G7492" t="s">
        <v>71</v>
      </c>
      <c r="H7492">
        <v>54656</v>
      </c>
      <c r="I7492" t="s">
        <v>30</v>
      </c>
      <c r="J7492" t="s">
        <v>41</v>
      </c>
      <c r="K7492" t="s">
        <v>59</v>
      </c>
      <c r="Q7492">
        <v>0</v>
      </c>
      <c r="R7492">
        <v>175</v>
      </c>
      <c r="S7492">
        <v>175</v>
      </c>
      <c r="T7492" t="s">
        <v>28617</v>
      </c>
    </row>
    <row r="7493" spans="1:20" customFormat="1" ht="15" x14ac:dyDescent="0.25">
      <c r="A7493" t="s">
        <v>35</v>
      </c>
      <c r="B7493" t="s">
        <v>11892</v>
      </c>
      <c r="C7493" t="str">
        <f>"A0181887"</f>
        <v>A0181887</v>
      </c>
      <c r="D7493" t="s">
        <v>28618</v>
      </c>
      <c r="E7493" t="s">
        <v>28619</v>
      </c>
      <c r="F7493" t="s">
        <v>460</v>
      </c>
      <c r="G7493" t="s">
        <v>117</v>
      </c>
      <c r="H7493" t="s">
        <v>28620</v>
      </c>
      <c r="I7493" t="s">
        <v>30</v>
      </c>
      <c r="J7493" t="s">
        <v>41</v>
      </c>
      <c r="K7493" t="s">
        <v>59</v>
      </c>
      <c r="Q7493">
        <v>0</v>
      </c>
      <c r="R7493">
        <v>0</v>
      </c>
      <c r="S7493">
        <v>0</v>
      </c>
      <c r="T7493" t="s">
        <v>28621</v>
      </c>
    </row>
    <row r="7494" spans="1:20" customFormat="1" ht="15" x14ac:dyDescent="0.25">
      <c r="A7494" t="s">
        <v>35</v>
      </c>
      <c r="B7494" t="s">
        <v>11871</v>
      </c>
      <c r="C7494" t="str">
        <f>"A0181886"</f>
        <v>A0181886</v>
      </c>
      <c r="D7494" t="s">
        <v>28622</v>
      </c>
      <c r="E7494" t="s">
        <v>28623</v>
      </c>
      <c r="F7494" t="s">
        <v>15185</v>
      </c>
      <c r="G7494" t="s">
        <v>1170</v>
      </c>
      <c r="H7494" t="s">
        <v>28624</v>
      </c>
      <c r="I7494" t="s">
        <v>30</v>
      </c>
      <c r="J7494" t="s">
        <v>41</v>
      </c>
      <c r="K7494" t="s">
        <v>59</v>
      </c>
      <c r="Q7494">
        <v>0</v>
      </c>
      <c r="R7494">
        <v>0</v>
      </c>
      <c r="S7494">
        <v>0</v>
      </c>
      <c r="T7494" t="s">
        <v>28625</v>
      </c>
    </row>
    <row r="7495" spans="1:20" customFormat="1" ht="15" x14ac:dyDescent="0.25">
      <c r="A7495" t="s">
        <v>35</v>
      </c>
      <c r="B7495" t="s">
        <v>61</v>
      </c>
      <c r="C7495" t="str">
        <f>"A0181885"</f>
        <v>A0181885</v>
      </c>
      <c r="D7495" t="s">
        <v>28626</v>
      </c>
      <c r="E7495" t="s">
        <v>28627</v>
      </c>
      <c r="F7495" t="s">
        <v>28628</v>
      </c>
      <c r="G7495" t="s">
        <v>161</v>
      </c>
      <c r="H7495" t="s">
        <v>28629</v>
      </c>
      <c r="I7495" t="s">
        <v>30</v>
      </c>
      <c r="J7495" t="s">
        <v>41</v>
      </c>
      <c r="K7495" t="s">
        <v>59</v>
      </c>
      <c r="Q7495">
        <v>0</v>
      </c>
      <c r="R7495">
        <v>75</v>
      </c>
      <c r="S7495">
        <v>75</v>
      </c>
      <c r="T7495" t="s">
        <v>28630</v>
      </c>
    </row>
    <row r="7496" spans="1:20" customFormat="1" ht="15" x14ac:dyDescent="0.25">
      <c r="A7496" t="s">
        <v>35</v>
      </c>
      <c r="B7496" t="s">
        <v>61</v>
      </c>
      <c r="C7496" t="str">
        <f>"A0181884"</f>
        <v>A0181884</v>
      </c>
      <c r="D7496" t="s">
        <v>28631</v>
      </c>
      <c r="E7496" t="s">
        <v>28632</v>
      </c>
      <c r="F7496" t="s">
        <v>20926</v>
      </c>
      <c r="G7496" t="s">
        <v>161</v>
      </c>
      <c r="H7496" t="s">
        <v>28633</v>
      </c>
      <c r="I7496" t="s">
        <v>30</v>
      </c>
      <c r="J7496" t="s">
        <v>41</v>
      </c>
      <c r="K7496" t="s">
        <v>59</v>
      </c>
      <c r="Q7496">
        <v>0</v>
      </c>
      <c r="R7496">
        <v>40</v>
      </c>
      <c r="S7496">
        <v>40</v>
      </c>
      <c r="T7496" t="s">
        <v>28634</v>
      </c>
    </row>
    <row r="7497" spans="1:20" customFormat="1" ht="15" x14ac:dyDescent="0.25">
      <c r="A7497" t="s">
        <v>35</v>
      </c>
      <c r="B7497" t="s">
        <v>61</v>
      </c>
      <c r="C7497" t="str">
        <f>"A0181883"</f>
        <v>A0181883</v>
      </c>
      <c r="D7497" t="s">
        <v>28635</v>
      </c>
      <c r="E7497" t="s">
        <v>28636</v>
      </c>
      <c r="F7497" t="s">
        <v>28208</v>
      </c>
      <c r="G7497" t="s">
        <v>161</v>
      </c>
      <c r="H7497">
        <v>56003</v>
      </c>
      <c r="I7497" t="s">
        <v>30</v>
      </c>
      <c r="J7497" t="s">
        <v>41</v>
      </c>
      <c r="K7497" t="s">
        <v>59</v>
      </c>
      <c r="Q7497">
        <v>0</v>
      </c>
      <c r="R7497">
        <v>0</v>
      </c>
      <c r="S7497">
        <v>0</v>
      </c>
      <c r="T7497" t="s">
        <v>28637</v>
      </c>
    </row>
    <row r="7498" spans="1:20" customFormat="1" ht="15" x14ac:dyDescent="0.25">
      <c r="A7498" t="s">
        <v>35</v>
      </c>
      <c r="B7498" t="s">
        <v>61</v>
      </c>
      <c r="C7498" t="str">
        <f>"A0181882"</f>
        <v>A0181882</v>
      </c>
      <c r="D7498" t="s">
        <v>28638</v>
      </c>
      <c r="E7498" t="s">
        <v>27350</v>
      </c>
      <c r="F7498" t="s">
        <v>27218</v>
      </c>
      <c r="G7498" t="s">
        <v>161</v>
      </c>
      <c r="H7498" t="s">
        <v>27219</v>
      </c>
      <c r="I7498" t="s">
        <v>30</v>
      </c>
      <c r="J7498" t="s">
        <v>41</v>
      </c>
      <c r="K7498" t="s">
        <v>59</v>
      </c>
      <c r="Q7498">
        <v>0</v>
      </c>
      <c r="R7498">
        <v>0</v>
      </c>
      <c r="S7498">
        <v>0</v>
      </c>
      <c r="T7498" t="s">
        <v>27220</v>
      </c>
    </row>
    <row r="7499" spans="1:20" customFormat="1" ht="15" x14ac:dyDescent="0.25">
      <c r="A7499" t="s">
        <v>35</v>
      </c>
      <c r="B7499" t="s">
        <v>61</v>
      </c>
      <c r="C7499" t="str">
        <f>"A0181881"</f>
        <v>A0181881</v>
      </c>
      <c r="D7499" t="s">
        <v>28639</v>
      </c>
      <c r="E7499" t="s">
        <v>28323</v>
      </c>
      <c r="F7499" t="s">
        <v>7095</v>
      </c>
      <c r="G7499" t="s">
        <v>1170</v>
      </c>
      <c r="H7499" t="s">
        <v>28324</v>
      </c>
      <c r="I7499" t="s">
        <v>30</v>
      </c>
      <c r="J7499" t="s">
        <v>41</v>
      </c>
      <c r="K7499" t="s">
        <v>59</v>
      </c>
      <c r="Q7499">
        <v>0</v>
      </c>
      <c r="R7499">
        <v>0</v>
      </c>
      <c r="S7499">
        <v>0</v>
      </c>
    </row>
    <row r="7500" spans="1:20" customFormat="1" ht="15" x14ac:dyDescent="0.25">
      <c r="A7500" t="s">
        <v>35</v>
      </c>
      <c r="B7500" t="s">
        <v>61</v>
      </c>
      <c r="C7500" t="str">
        <f>"A0181880"</f>
        <v>A0181880</v>
      </c>
      <c r="D7500" t="s">
        <v>24022</v>
      </c>
      <c r="E7500" t="s">
        <v>28640</v>
      </c>
      <c r="F7500" t="s">
        <v>28641</v>
      </c>
      <c r="G7500" t="s">
        <v>1363</v>
      </c>
      <c r="H7500" t="s">
        <v>28642</v>
      </c>
      <c r="I7500" t="s">
        <v>30</v>
      </c>
      <c r="J7500" t="s">
        <v>41</v>
      </c>
      <c r="K7500" t="s">
        <v>59</v>
      </c>
      <c r="Q7500">
        <v>0</v>
      </c>
      <c r="R7500">
        <v>321</v>
      </c>
      <c r="S7500">
        <v>321</v>
      </c>
      <c r="T7500" t="s">
        <v>28643</v>
      </c>
    </row>
    <row r="7501" spans="1:20" customFormat="1" ht="15" x14ac:dyDescent="0.25">
      <c r="A7501" t="s">
        <v>35</v>
      </c>
      <c r="B7501" t="s">
        <v>61</v>
      </c>
      <c r="C7501" t="str">
        <f>"A0181879"</f>
        <v>A0181879</v>
      </c>
      <c r="D7501" t="s">
        <v>28644</v>
      </c>
      <c r="E7501" t="s">
        <v>28645</v>
      </c>
      <c r="F7501" t="s">
        <v>25831</v>
      </c>
      <c r="G7501" t="s">
        <v>1363</v>
      </c>
      <c r="H7501">
        <v>3833</v>
      </c>
      <c r="I7501" t="s">
        <v>30</v>
      </c>
      <c r="J7501" t="s">
        <v>41</v>
      </c>
      <c r="K7501" t="s">
        <v>59</v>
      </c>
      <c r="Q7501">
        <v>0</v>
      </c>
      <c r="R7501">
        <v>0</v>
      </c>
      <c r="S7501">
        <v>0</v>
      </c>
      <c r="T7501" t="s">
        <v>25832</v>
      </c>
    </row>
    <row r="7502" spans="1:20" customFormat="1" ht="15" x14ac:dyDescent="0.25">
      <c r="A7502" t="s">
        <v>35</v>
      </c>
      <c r="B7502" t="s">
        <v>61</v>
      </c>
      <c r="C7502" t="str">
        <f>"A0181878"</f>
        <v>A0181878</v>
      </c>
      <c r="D7502" t="s">
        <v>28646</v>
      </c>
      <c r="E7502" t="s">
        <v>28647</v>
      </c>
      <c r="F7502" t="s">
        <v>25685</v>
      </c>
      <c r="G7502" t="s">
        <v>110</v>
      </c>
      <c r="H7502" t="s">
        <v>28648</v>
      </c>
      <c r="I7502" t="s">
        <v>30</v>
      </c>
      <c r="J7502" t="s">
        <v>41</v>
      </c>
      <c r="K7502" t="s">
        <v>59</v>
      </c>
      <c r="Q7502">
        <v>0</v>
      </c>
      <c r="R7502">
        <v>0</v>
      </c>
      <c r="S7502">
        <v>0</v>
      </c>
      <c r="T7502" t="s">
        <v>28649</v>
      </c>
    </row>
    <row r="7503" spans="1:20" customFormat="1" ht="15" x14ac:dyDescent="0.25">
      <c r="A7503" t="s">
        <v>35</v>
      </c>
      <c r="B7503" t="s">
        <v>61</v>
      </c>
      <c r="C7503" t="str">
        <f>"A0181877"</f>
        <v>A0181877</v>
      </c>
      <c r="D7503" t="s">
        <v>28650</v>
      </c>
      <c r="E7503" t="s">
        <v>28651</v>
      </c>
      <c r="F7503" t="s">
        <v>11795</v>
      </c>
      <c r="G7503" t="s">
        <v>71</v>
      </c>
      <c r="H7503" t="s">
        <v>28652</v>
      </c>
      <c r="I7503" t="s">
        <v>30</v>
      </c>
      <c r="J7503" t="s">
        <v>41</v>
      </c>
      <c r="K7503" t="s">
        <v>59</v>
      </c>
      <c r="Q7503">
        <v>0</v>
      </c>
      <c r="R7503">
        <v>0</v>
      </c>
      <c r="S7503">
        <v>0</v>
      </c>
    </row>
    <row r="7504" spans="1:20" customFormat="1" ht="15" x14ac:dyDescent="0.25">
      <c r="A7504" t="s">
        <v>35</v>
      </c>
      <c r="B7504" t="s">
        <v>61</v>
      </c>
      <c r="C7504" t="str">
        <f>"A0181876"</f>
        <v>A0181876</v>
      </c>
      <c r="D7504" t="s">
        <v>28653</v>
      </c>
      <c r="E7504" t="s">
        <v>28654</v>
      </c>
      <c r="F7504" t="s">
        <v>5196</v>
      </c>
      <c r="G7504" t="s">
        <v>161</v>
      </c>
      <c r="H7504">
        <v>55803</v>
      </c>
      <c r="I7504" t="s">
        <v>30</v>
      </c>
      <c r="J7504" t="s">
        <v>41</v>
      </c>
      <c r="K7504" t="s">
        <v>59</v>
      </c>
      <c r="Q7504">
        <v>0</v>
      </c>
      <c r="R7504">
        <v>0</v>
      </c>
      <c r="S7504">
        <v>0</v>
      </c>
    </row>
    <row r="7505" spans="1:20" customFormat="1" ht="15" x14ac:dyDescent="0.25">
      <c r="A7505" t="s">
        <v>35</v>
      </c>
      <c r="B7505" t="s">
        <v>61</v>
      </c>
      <c r="C7505" t="str">
        <f>"A0181875"</f>
        <v>A0181875</v>
      </c>
      <c r="D7505" t="s">
        <v>28655</v>
      </c>
      <c r="E7505" t="s">
        <v>28656</v>
      </c>
      <c r="F7505" t="s">
        <v>7112</v>
      </c>
      <c r="G7505" t="s">
        <v>161</v>
      </c>
      <c r="H7505" t="s">
        <v>28657</v>
      </c>
      <c r="I7505" t="s">
        <v>30</v>
      </c>
      <c r="J7505" t="s">
        <v>41</v>
      </c>
      <c r="K7505" t="s">
        <v>59</v>
      </c>
      <c r="Q7505">
        <v>0</v>
      </c>
      <c r="R7505">
        <v>0</v>
      </c>
      <c r="S7505">
        <v>0</v>
      </c>
    </row>
    <row r="7506" spans="1:20" customFormat="1" ht="15" x14ac:dyDescent="0.25">
      <c r="A7506" t="s">
        <v>35</v>
      </c>
      <c r="B7506" t="s">
        <v>61</v>
      </c>
      <c r="C7506" t="str">
        <f>"A0181874"</f>
        <v>A0181874</v>
      </c>
      <c r="D7506" t="s">
        <v>28658</v>
      </c>
      <c r="E7506" t="s">
        <v>28659</v>
      </c>
      <c r="F7506" t="s">
        <v>5772</v>
      </c>
      <c r="G7506" t="s">
        <v>99</v>
      </c>
      <c r="H7506">
        <v>14612</v>
      </c>
      <c r="I7506" t="s">
        <v>30</v>
      </c>
      <c r="J7506" t="s">
        <v>41</v>
      </c>
      <c r="K7506" t="s">
        <v>59</v>
      </c>
      <c r="Q7506">
        <v>0</v>
      </c>
      <c r="R7506">
        <v>120</v>
      </c>
      <c r="S7506">
        <v>120</v>
      </c>
      <c r="T7506" t="s">
        <v>28660</v>
      </c>
    </row>
    <row r="7507" spans="1:20" customFormat="1" ht="15" x14ac:dyDescent="0.25">
      <c r="A7507" t="s">
        <v>35</v>
      </c>
      <c r="B7507" t="s">
        <v>61</v>
      </c>
      <c r="C7507" t="str">
        <f>"A0181873"</f>
        <v>A0181873</v>
      </c>
      <c r="D7507" t="s">
        <v>28661</v>
      </c>
      <c r="E7507" t="s">
        <v>28662</v>
      </c>
      <c r="F7507" t="s">
        <v>22419</v>
      </c>
      <c r="G7507" t="s">
        <v>99</v>
      </c>
      <c r="H7507" t="s">
        <v>28663</v>
      </c>
      <c r="I7507" t="s">
        <v>30</v>
      </c>
      <c r="J7507" t="s">
        <v>41</v>
      </c>
      <c r="K7507" t="s">
        <v>59</v>
      </c>
      <c r="Q7507">
        <v>0</v>
      </c>
      <c r="R7507">
        <v>0</v>
      </c>
      <c r="S7507">
        <v>0</v>
      </c>
    </row>
    <row r="7508" spans="1:20" customFormat="1" ht="15" x14ac:dyDescent="0.25">
      <c r="A7508" t="s">
        <v>35</v>
      </c>
      <c r="B7508" t="s">
        <v>61</v>
      </c>
      <c r="C7508" t="str">
        <f>"A0181872"</f>
        <v>A0181872</v>
      </c>
      <c r="D7508" t="s">
        <v>28664</v>
      </c>
      <c r="E7508" t="s">
        <v>28665</v>
      </c>
      <c r="F7508" t="s">
        <v>21937</v>
      </c>
      <c r="G7508" t="s">
        <v>99</v>
      </c>
      <c r="H7508" t="s">
        <v>28666</v>
      </c>
      <c r="I7508" t="s">
        <v>30</v>
      </c>
      <c r="J7508" t="s">
        <v>41</v>
      </c>
      <c r="K7508" t="s">
        <v>59</v>
      </c>
      <c r="Q7508">
        <v>0</v>
      </c>
      <c r="R7508">
        <v>0</v>
      </c>
      <c r="S7508">
        <v>0</v>
      </c>
      <c r="T7508" t="s">
        <v>28667</v>
      </c>
    </row>
    <row r="7509" spans="1:20" customFormat="1" ht="15" x14ac:dyDescent="0.25">
      <c r="A7509" t="s">
        <v>35</v>
      </c>
      <c r="B7509" t="s">
        <v>61</v>
      </c>
      <c r="C7509" t="str">
        <f>"A0181871"</f>
        <v>A0181871</v>
      </c>
      <c r="D7509" t="s">
        <v>28668</v>
      </c>
      <c r="E7509" t="s">
        <v>28669</v>
      </c>
      <c r="F7509" t="s">
        <v>28670</v>
      </c>
      <c r="G7509" t="s">
        <v>1170</v>
      </c>
      <c r="H7509" t="s">
        <v>28671</v>
      </c>
      <c r="I7509" t="s">
        <v>30</v>
      </c>
      <c r="J7509" t="s">
        <v>41</v>
      </c>
      <c r="K7509" t="s">
        <v>59</v>
      </c>
      <c r="Q7509">
        <v>0</v>
      </c>
      <c r="R7509">
        <v>0</v>
      </c>
      <c r="S7509">
        <v>0</v>
      </c>
    </row>
    <row r="7510" spans="1:20" customFormat="1" ht="15" x14ac:dyDescent="0.25">
      <c r="A7510" t="s">
        <v>35</v>
      </c>
      <c r="B7510" t="s">
        <v>61</v>
      </c>
      <c r="C7510" t="str">
        <f>"A0181870"</f>
        <v>A0181870</v>
      </c>
      <c r="D7510" t="s">
        <v>28672</v>
      </c>
      <c r="E7510" t="s">
        <v>28673</v>
      </c>
      <c r="F7510" t="s">
        <v>23897</v>
      </c>
      <c r="G7510" t="s">
        <v>1170</v>
      </c>
      <c r="H7510" t="s">
        <v>28674</v>
      </c>
      <c r="I7510" t="s">
        <v>30</v>
      </c>
      <c r="J7510" t="s">
        <v>41</v>
      </c>
      <c r="K7510" t="s">
        <v>59</v>
      </c>
      <c r="Q7510">
        <v>0</v>
      </c>
      <c r="R7510">
        <v>115</v>
      </c>
      <c r="S7510">
        <v>115</v>
      </c>
      <c r="T7510" t="s">
        <v>28675</v>
      </c>
    </row>
    <row r="7511" spans="1:20" customFormat="1" ht="15" x14ac:dyDescent="0.25">
      <c r="A7511" t="s">
        <v>35</v>
      </c>
      <c r="B7511" t="s">
        <v>61</v>
      </c>
      <c r="C7511" t="str">
        <f>"A0181869"</f>
        <v>A0181869</v>
      </c>
      <c r="D7511" t="s">
        <v>28676</v>
      </c>
      <c r="E7511" t="s">
        <v>28677</v>
      </c>
      <c r="F7511" t="s">
        <v>28678</v>
      </c>
      <c r="G7511" t="s">
        <v>1170</v>
      </c>
      <c r="H7511" t="s">
        <v>28679</v>
      </c>
      <c r="I7511" t="s">
        <v>30</v>
      </c>
      <c r="J7511" t="s">
        <v>41</v>
      </c>
      <c r="K7511" t="s">
        <v>59</v>
      </c>
      <c r="Q7511">
        <v>0</v>
      </c>
      <c r="R7511">
        <v>54</v>
      </c>
      <c r="S7511">
        <v>54</v>
      </c>
      <c r="T7511" t="s">
        <v>28680</v>
      </c>
    </row>
    <row r="7512" spans="1:20" customFormat="1" ht="15" x14ac:dyDescent="0.25">
      <c r="A7512" t="s">
        <v>35</v>
      </c>
      <c r="B7512" t="s">
        <v>23900</v>
      </c>
      <c r="C7512" t="str">
        <f>"A0181868"</f>
        <v>A0181868</v>
      </c>
      <c r="D7512" t="s">
        <v>28681</v>
      </c>
      <c r="E7512" t="s">
        <v>28682</v>
      </c>
      <c r="F7512" t="s">
        <v>25605</v>
      </c>
      <c r="G7512" t="s">
        <v>1170</v>
      </c>
      <c r="H7512" t="s">
        <v>28683</v>
      </c>
      <c r="I7512" t="s">
        <v>30</v>
      </c>
      <c r="J7512" t="s">
        <v>41</v>
      </c>
      <c r="K7512" t="s">
        <v>59</v>
      </c>
      <c r="Q7512">
        <v>0</v>
      </c>
      <c r="R7512">
        <v>0</v>
      </c>
      <c r="S7512">
        <v>0</v>
      </c>
      <c r="T7512" t="s">
        <v>27647</v>
      </c>
    </row>
    <row r="7513" spans="1:20" customFormat="1" ht="15" x14ac:dyDescent="0.25">
      <c r="A7513" t="s">
        <v>35</v>
      </c>
      <c r="B7513" t="s">
        <v>23900</v>
      </c>
      <c r="C7513" t="str">
        <f>"A0181867"</f>
        <v>A0181867</v>
      </c>
      <c r="D7513" t="s">
        <v>28684</v>
      </c>
      <c r="E7513" t="s">
        <v>27641</v>
      </c>
      <c r="F7513" t="s">
        <v>27584</v>
      </c>
      <c r="G7513" t="s">
        <v>1170</v>
      </c>
      <c r="H7513" t="s">
        <v>27642</v>
      </c>
      <c r="I7513" t="s">
        <v>30</v>
      </c>
      <c r="J7513" t="s">
        <v>41</v>
      </c>
      <c r="K7513" t="s">
        <v>59</v>
      </c>
      <c r="Q7513">
        <v>0</v>
      </c>
      <c r="R7513">
        <v>160</v>
      </c>
      <c r="S7513">
        <v>160</v>
      </c>
      <c r="T7513" t="s">
        <v>27643</v>
      </c>
    </row>
    <row r="7514" spans="1:20" customFormat="1" ht="15" x14ac:dyDescent="0.25">
      <c r="A7514" t="s">
        <v>35</v>
      </c>
      <c r="B7514" t="s">
        <v>23900</v>
      </c>
      <c r="C7514" t="str">
        <f>"A0181866"</f>
        <v>A0181866</v>
      </c>
      <c r="D7514" t="s">
        <v>28685</v>
      </c>
      <c r="E7514" t="s">
        <v>28422</v>
      </c>
      <c r="F7514" t="s">
        <v>24915</v>
      </c>
      <c r="G7514" t="s">
        <v>1170</v>
      </c>
      <c r="H7514" t="s">
        <v>28423</v>
      </c>
      <c r="I7514" t="s">
        <v>30</v>
      </c>
      <c r="J7514" t="s">
        <v>41</v>
      </c>
      <c r="K7514" t="s">
        <v>59</v>
      </c>
      <c r="Q7514">
        <v>0</v>
      </c>
      <c r="R7514">
        <v>0</v>
      </c>
      <c r="S7514">
        <v>0</v>
      </c>
      <c r="T7514" t="s">
        <v>28424</v>
      </c>
    </row>
    <row r="7515" spans="1:20" customFormat="1" ht="15" x14ac:dyDescent="0.25">
      <c r="A7515" t="s">
        <v>35</v>
      </c>
      <c r="B7515" t="s">
        <v>23900</v>
      </c>
      <c r="C7515" t="str">
        <f>"A0181865"</f>
        <v>A0181865</v>
      </c>
      <c r="D7515" t="s">
        <v>28686</v>
      </c>
      <c r="E7515" t="s">
        <v>28392</v>
      </c>
      <c r="F7515" t="s">
        <v>7095</v>
      </c>
      <c r="G7515" t="s">
        <v>1170</v>
      </c>
      <c r="H7515" t="s">
        <v>28687</v>
      </c>
      <c r="I7515" t="s">
        <v>30</v>
      </c>
      <c r="J7515" t="s">
        <v>41</v>
      </c>
      <c r="K7515" t="s">
        <v>59</v>
      </c>
      <c r="Q7515">
        <v>0</v>
      </c>
      <c r="R7515">
        <v>77</v>
      </c>
      <c r="S7515">
        <v>77</v>
      </c>
      <c r="T7515" t="s">
        <v>28688</v>
      </c>
    </row>
    <row r="7516" spans="1:20" customFormat="1" ht="15" x14ac:dyDescent="0.25">
      <c r="A7516" t="s">
        <v>35</v>
      </c>
      <c r="B7516" t="s">
        <v>23900</v>
      </c>
      <c r="C7516" t="str">
        <f>"A0181864"</f>
        <v>A0181864</v>
      </c>
      <c r="D7516" t="s">
        <v>28689</v>
      </c>
      <c r="E7516" t="s">
        <v>28690</v>
      </c>
      <c r="F7516" t="s">
        <v>27584</v>
      </c>
      <c r="G7516" t="s">
        <v>1170</v>
      </c>
      <c r="H7516" t="s">
        <v>28691</v>
      </c>
      <c r="I7516" t="s">
        <v>30</v>
      </c>
      <c r="J7516" t="s">
        <v>41</v>
      </c>
      <c r="K7516" t="s">
        <v>59</v>
      </c>
      <c r="Q7516">
        <v>0</v>
      </c>
      <c r="R7516">
        <v>202</v>
      </c>
      <c r="S7516">
        <v>202</v>
      </c>
      <c r="T7516" t="s">
        <v>28692</v>
      </c>
    </row>
    <row r="7517" spans="1:20" customFormat="1" ht="15" x14ac:dyDescent="0.25">
      <c r="A7517" t="s">
        <v>35</v>
      </c>
      <c r="B7517" t="s">
        <v>61</v>
      </c>
      <c r="C7517" t="str">
        <f>"A0181863"</f>
        <v>A0181863</v>
      </c>
      <c r="D7517" t="s">
        <v>28693</v>
      </c>
      <c r="E7517" t="s">
        <v>28694</v>
      </c>
      <c r="F7517" t="s">
        <v>28695</v>
      </c>
      <c r="G7517" t="s">
        <v>110</v>
      </c>
      <c r="H7517" t="s">
        <v>28696</v>
      </c>
      <c r="I7517" t="s">
        <v>30</v>
      </c>
      <c r="J7517" t="s">
        <v>41</v>
      </c>
      <c r="K7517" t="s">
        <v>59</v>
      </c>
      <c r="Q7517">
        <v>0</v>
      </c>
      <c r="R7517">
        <v>0</v>
      </c>
      <c r="S7517">
        <v>0</v>
      </c>
    </row>
    <row r="7518" spans="1:20" customFormat="1" ht="15" x14ac:dyDescent="0.25">
      <c r="A7518" t="s">
        <v>35</v>
      </c>
      <c r="B7518" t="s">
        <v>61</v>
      </c>
      <c r="C7518" t="str">
        <f>"A0181862"</f>
        <v>A0181862</v>
      </c>
      <c r="D7518" t="s">
        <v>28697</v>
      </c>
      <c r="E7518" t="s">
        <v>28698</v>
      </c>
      <c r="F7518" t="s">
        <v>28699</v>
      </c>
      <c r="G7518" t="s">
        <v>110</v>
      </c>
      <c r="H7518">
        <v>92708</v>
      </c>
      <c r="I7518" t="s">
        <v>30</v>
      </c>
      <c r="J7518" t="s">
        <v>41</v>
      </c>
      <c r="K7518" t="s">
        <v>59</v>
      </c>
      <c r="Q7518">
        <v>0</v>
      </c>
      <c r="R7518">
        <v>0</v>
      </c>
      <c r="S7518">
        <v>0</v>
      </c>
    </row>
    <row r="7519" spans="1:20" customFormat="1" ht="15" x14ac:dyDescent="0.25">
      <c r="A7519" t="s">
        <v>35</v>
      </c>
      <c r="B7519" t="s">
        <v>61</v>
      </c>
      <c r="C7519" t="str">
        <f>"A0181861"</f>
        <v>A0181861</v>
      </c>
      <c r="D7519" t="s">
        <v>28700</v>
      </c>
      <c r="E7519" t="s">
        <v>28701</v>
      </c>
      <c r="F7519" t="s">
        <v>7362</v>
      </c>
      <c r="G7519" t="s">
        <v>110</v>
      </c>
      <c r="H7519" t="s">
        <v>28702</v>
      </c>
      <c r="I7519" t="s">
        <v>30</v>
      </c>
      <c r="J7519" t="s">
        <v>41</v>
      </c>
      <c r="K7519" t="s">
        <v>59</v>
      </c>
      <c r="Q7519">
        <v>0</v>
      </c>
      <c r="R7519">
        <v>0</v>
      </c>
      <c r="S7519">
        <v>0</v>
      </c>
    </row>
    <row r="7520" spans="1:20" customFormat="1" ht="15" x14ac:dyDescent="0.25">
      <c r="A7520" t="s">
        <v>35</v>
      </c>
      <c r="B7520" t="s">
        <v>61</v>
      </c>
      <c r="C7520" t="str">
        <f>"A0181860"</f>
        <v>A0181860</v>
      </c>
      <c r="D7520" t="s">
        <v>28703</v>
      </c>
      <c r="E7520" t="s">
        <v>20118</v>
      </c>
      <c r="F7520" t="s">
        <v>11455</v>
      </c>
      <c r="G7520" t="s">
        <v>71</v>
      </c>
      <c r="H7520" t="s">
        <v>20119</v>
      </c>
      <c r="I7520" t="s">
        <v>30</v>
      </c>
      <c r="J7520" t="s">
        <v>41</v>
      </c>
      <c r="K7520" t="s">
        <v>59</v>
      </c>
      <c r="Q7520">
        <v>0</v>
      </c>
      <c r="R7520">
        <v>0</v>
      </c>
      <c r="S7520">
        <v>0</v>
      </c>
    </row>
    <row r="7521" spans="1:20" customFormat="1" ht="15" x14ac:dyDescent="0.25">
      <c r="A7521" t="s">
        <v>35</v>
      </c>
      <c r="B7521" t="s">
        <v>61</v>
      </c>
      <c r="C7521" t="str">
        <f>"A0181859"</f>
        <v>A0181859</v>
      </c>
      <c r="D7521" t="s">
        <v>28704</v>
      </c>
      <c r="E7521" t="s">
        <v>28705</v>
      </c>
      <c r="F7521" t="s">
        <v>4112</v>
      </c>
      <c r="G7521" t="s">
        <v>71</v>
      </c>
      <c r="H7521">
        <v>53222</v>
      </c>
      <c r="I7521" t="s">
        <v>30</v>
      </c>
      <c r="J7521" t="s">
        <v>41</v>
      </c>
      <c r="K7521" t="s">
        <v>59</v>
      </c>
      <c r="Q7521">
        <v>0</v>
      </c>
      <c r="R7521">
        <v>149</v>
      </c>
      <c r="S7521">
        <v>149</v>
      </c>
      <c r="T7521" t="s">
        <v>28706</v>
      </c>
    </row>
    <row r="7522" spans="1:20" customFormat="1" ht="15" x14ac:dyDescent="0.25">
      <c r="A7522" t="s">
        <v>35</v>
      </c>
      <c r="B7522" t="s">
        <v>61</v>
      </c>
      <c r="C7522" t="str">
        <f>"A0181858"</f>
        <v>A0181858</v>
      </c>
      <c r="D7522" t="s">
        <v>28707</v>
      </c>
      <c r="E7522" t="s">
        <v>28708</v>
      </c>
      <c r="F7522" t="s">
        <v>28709</v>
      </c>
      <c r="G7522" t="s">
        <v>161</v>
      </c>
      <c r="H7522" t="s">
        <v>28710</v>
      </c>
      <c r="I7522" t="s">
        <v>30</v>
      </c>
      <c r="J7522" t="s">
        <v>41</v>
      </c>
      <c r="K7522" t="s">
        <v>59</v>
      </c>
      <c r="Q7522">
        <v>0</v>
      </c>
      <c r="R7522">
        <v>0</v>
      </c>
      <c r="S7522">
        <v>0</v>
      </c>
      <c r="T7522" t="s">
        <v>28711</v>
      </c>
    </row>
    <row r="7523" spans="1:20" customFormat="1" ht="15" x14ac:dyDescent="0.25">
      <c r="A7523" t="s">
        <v>35</v>
      </c>
      <c r="B7523" t="s">
        <v>61</v>
      </c>
      <c r="C7523" t="str">
        <f>"A0181857"</f>
        <v>A0181857</v>
      </c>
      <c r="D7523" t="s">
        <v>28712</v>
      </c>
      <c r="E7523" t="s">
        <v>28713</v>
      </c>
      <c r="F7523" t="s">
        <v>19203</v>
      </c>
      <c r="G7523" t="s">
        <v>161</v>
      </c>
      <c r="H7523">
        <v>563082362</v>
      </c>
      <c r="I7523" t="s">
        <v>30</v>
      </c>
      <c r="J7523" t="s">
        <v>41</v>
      </c>
      <c r="K7523" t="s">
        <v>59</v>
      </c>
      <c r="Q7523">
        <v>0</v>
      </c>
      <c r="R7523">
        <v>0</v>
      </c>
      <c r="S7523">
        <v>0</v>
      </c>
      <c r="T7523" t="s">
        <v>28714</v>
      </c>
    </row>
    <row r="7524" spans="1:20" customFormat="1" ht="15" x14ac:dyDescent="0.25">
      <c r="A7524" t="s">
        <v>35</v>
      </c>
      <c r="B7524" t="s">
        <v>61</v>
      </c>
      <c r="C7524" t="str">
        <f>"A0181856"</f>
        <v>A0181856</v>
      </c>
      <c r="D7524" t="s">
        <v>28715</v>
      </c>
      <c r="E7524" t="s">
        <v>28716</v>
      </c>
      <c r="F7524" t="s">
        <v>27415</v>
      </c>
      <c r="G7524" t="s">
        <v>161</v>
      </c>
      <c r="H7524">
        <v>560071667</v>
      </c>
      <c r="I7524" t="s">
        <v>30</v>
      </c>
      <c r="J7524" t="s">
        <v>41</v>
      </c>
      <c r="K7524" t="s">
        <v>59</v>
      </c>
      <c r="Q7524">
        <v>0</v>
      </c>
      <c r="R7524">
        <v>0</v>
      </c>
      <c r="S7524">
        <v>0</v>
      </c>
      <c r="T7524" t="s">
        <v>28717</v>
      </c>
    </row>
    <row r="7525" spans="1:20" customFormat="1" ht="15" x14ac:dyDescent="0.25">
      <c r="A7525" t="s">
        <v>35</v>
      </c>
      <c r="B7525" t="s">
        <v>61</v>
      </c>
      <c r="C7525" t="str">
        <f>"A0181855"</f>
        <v>A0181855</v>
      </c>
      <c r="D7525" t="s">
        <v>28718</v>
      </c>
      <c r="E7525" t="s">
        <v>28719</v>
      </c>
      <c r="F7525" t="s">
        <v>28720</v>
      </c>
      <c r="G7525" t="s">
        <v>71</v>
      </c>
      <c r="H7525" t="s">
        <v>28721</v>
      </c>
      <c r="I7525" t="s">
        <v>30</v>
      </c>
      <c r="J7525" t="s">
        <v>41</v>
      </c>
      <c r="K7525" t="s">
        <v>59</v>
      </c>
      <c r="Q7525">
        <v>0</v>
      </c>
      <c r="R7525">
        <v>0</v>
      </c>
      <c r="S7525">
        <v>0</v>
      </c>
    </row>
    <row r="7526" spans="1:20" customFormat="1" ht="15" x14ac:dyDescent="0.25">
      <c r="A7526" t="s">
        <v>35</v>
      </c>
      <c r="B7526" t="s">
        <v>61</v>
      </c>
      <c r="C7526" t="str">
        <f>"A0181854"</f>
        <v>A0181854</v>
      </c>
      <c r="D7526" t="s">
        <v>28722</v>
      </c>
      <c r="E7526" t="s">
        <v>28021</v>
      </c>
      <c r="F7526" t="s">
        <v>23452</v>
      </c>
      <c r="G7526" t="s">
        <v>71</v>
      </c>
      <c r="H7526" t="s">
        <v>28022</v>
      </c>
      <c r="I7526" t="s">
        <v>30</v>
      </c>
      <c r="J7526" t="s">
        <v>41</v>
      </c>
      <c r="K7526" t="s">
        <v>59</v>
      </c>
      <c r="Q7526">
        <v>0</v>
      </c>
      <c r="R7526">
        <v>0</v>
      </c>
      <c r="S7526">
        <v>0</v>
      </c>
    </row>
    <row r="7527" spans="1:20" customFormat="1" ht="15" x14ac:dyDescent="0.25">
      <c r="A7527" t="s">
        <v>35</v>
      </c>
      <c r="B7527" t="s">
        <v>61</v>
      </c>
      <c r="C7527" t="str">
        <f>"A0181853"</f>
        <v>A0181853</v>
      </c>
      <c r="D7527" t="s">
        <v>28723</v>
      </c>
      <c r="E7527" t="s">
        <v>28724</v>
      </c>
      <c r="F7527" t="s">
        <v>3733</v>
      </c>
      <c r="G7527" t="s">
        <v>71</v>
      </c>
      <c r="H7527">
        <v>54868</v>
      </c>
      <c r="I7527" t="s">
        <v>30</v>
      </c>
      <c r="J7527" t="s">
        <v>41</v>
      </c>
      <c r="K7527" t="s">
        <v>59</v>
      </c>
      <c r="Q7527">
        <v>0</v>
      </c>
      <c r="R7527">
        <v>0</v>
      </c>
      <c r="S7527">
        <v>0</v>
      </c>
    </row>
    <row r="7528" spans="1:20" customFormat="1" ht="15" x14ac:dyDescent="0.25">
      <c r="A7528" t="s">
        <v>35</v>
      </c>
      <c r="B7528" t="s">
        <v>61</v>
      </c>
      <c r="C7528" t="str">
        <f>"A0181852"</f>
        <v>A0181852</v>
      </c>
      <c r="D7528" t="s">
        <v>28725</v>
      </c>
      <c r="E7528" t="s">
        <v>26398</v>
      </c>
      <c r="F7528" t="s">
        <v>26394</v>
      </c>
      <c r="G7528" t="s">
        <v>71</v>
      </c>
      <c r="H7528" t="s">
        <v>26399</v>
      </c>
      <c r="I7528" t="s">
        <v>30</v>
      </c>
      <c r="J7528" t="s">
        <v>41</v>
      </c>
      <c r="K7528" t="s">
        <v>59</v>
      </c>
      <c r="Q7528">
        <v>0</v>
      </c>
      <c r="R7528">
        <v>0</v>
      </c>
      <c r="S7528">
        <v>0</v>
      </c>
      <c r="T7528" t="s">
        <v>26396</v>
      </c>
    </row>
    <row r="7529" spans="1:20" customFormat="1" ht="15" x14ac:dyDescent="0.25">
      <c r="A7529" t="s">
        <v>35</v>
      </c>
      <c r="B7529" t="s">
        <v>61</v>
      </c>
      <c r="C7529" t="str">
        <f>"A0181851"</f>
        <v>A0181851</v>
      </c>
      <c r="D7529" t="s">
        <v>28726</v>
      </c>
      <c r="E7529" t="s">
        <v>28727</v>
      </c>
      <c r="F7529" t="s">
        <v>28728</v>
      </c>
      <c r="G7529" t="s">
        <v>71</v>
      </c>
      <c r="H7529" t="s">
        <v>28729</v>
      </c>
      <c r="I7529" t="s">
        <v>30</v>
      </c>
      <c r="J7529" t="s">
        <v>41</v>
      </c>
      <c r="K7529" t="s">
        <v>59</v>
      </c>
      <c r="Q7529">
        <v>0</v>
      </c>
      <c r="R7529">
        <v>0</v>
      </c>
      <c r="S7529">
        <v>0</v>
      </c>
      <c r="T7529" t="s">
        <v>28730</v>
      </c>
    </row>
    <row r="7530" spans="1:20" customFormat="1" ht="15" x14ac:dyDescent="0.25">
      <c r="A7530" t="s">
        <v>35</v>
      </c>
      <c r="B7530" t="s">
        <v>11871</v>
      </c>
      <c r="C7530" t="str">
        <f>"A0181850"</f>
        <v>A0181850</v>
      </c>
      <c r="D7530" t="s">
        <v>28731</v>
      </c>
      <c r="E7530" t="s">
        <v>28732</v>
      </c>
      <c r="F7530" t="s">
        <v>28733</v>
      </c>
      <c r="G7530" t="s">
        <v>99</v>
      </c>
      <c r="H7530" t="s">
        <v>28734</v>
      </c>
      <c r="I7530" t="s">
        <v>30</v>
      </c>
      <c r="J7530" t="s">
        <v>41</v>
      </c>
      <c r="K7530" t="s">
        <v>59</v>
      </c>
      <c r="Q7530">
        <v>0</v>
      </c>
      <c r="R7530">
        <v>0</v>
      </c>
      <c r="S7530">
        <v>0</v>
      </c>
      <c r="T7530" t="s">
        <v>28735</v>
      </c>
    </row>
    <row r="7531" spans="1:20" customFormat="1" ht="15" x14ac:dyDescent="0.25">
      <c r="A7531" t="s">
        <v>35</v>
      </c>
      <c r="B7531" t="s">
        <v>61</v>
      </c>
      <c r="C7531" t="str">
        <f>"A0181849"</f>
        <v>A0181849</v>
      </c>
      <c r="D7531" t="s">
        <v>28736</v>
      </c>
      <c r="E7531" t="s">
        <v>28737</v>
      </c>
      <c r="F7531" t="s">
        <v>27250</v>
      </c>
      <c r="G7531" t="s">
        <v>161</v>
      </c>
      <c r="H7531" t="s">
        <v>28738</v>
      </c>
      <c r="I7531" t="s">
        <v>30</v>
      </c>
      <c r="J7531" t="s">
        <v>41</v>
      </c>
      <c r="K7531" t="s">
        <v>59</v>
      </c>
      <c r="Q7531">
        <v>0</v>
      </c>
      <c r="R7531">
        <v>0</v>
      </c>
      <c r="S7531">
        <v>0</v>
      </c>
    </row>
    <row r="7532" spans="1:20" customFormat="1" ht="15" x14ac:dyDescent="0.25">
      <c r="A7532" t="s">
        <v>35</v>
      </c>
      <c r="B7532" t="s">
        <v>61</v>
      </c>
      <c r="C7532" t="str">
        <f>"A0181848"</f>
        <v>A0181848</v>
      </c>
      <c r="D7532" t="s">
        <v>28739</v>
      </c>
      <c r="E7532" t="s">
        <v>28740</v>
      </c>
      <c r="F7532" t="s">
        <v>21288</v>
      </c>
      <c r="G7532" t="s">
        <v>161</v>
      </c>
      <c r="H7532" t="s">
        <v>28741</v>
      </c>
      <c r="I7532" t="s">
        <v>30</v>
      </c>
      <c r="J7532" t="s">
        <v>41</v>
      </c>
      <c r="K7532" t="s">
        <v>59</v>
      </c>
      <c r="Q7532">
        <v>0</v>
      </c>
      <c r="R7532">
        <v>0</v>
      </c>
      <c r="S7532">
        <v>0</v>
      </c>
    </row>
    <row r="7533" spans="1:20" customFormat="1" ht="15" x14ac:dyDescent="0.25">
      <c r="A7533" t="s">
        <v>35</v>
      </c>
      <c r="B7533" t="s">
        <v>61</v>
      </c>
      <c r="C7533" t="str">
        <f>"A0181847"</f>
        <v>A0181847</v>
      </c>
      <c r="D7533" t="s">
        <v>28742</v>
      </c>
      <c r="E7533" t="s">
        <v>28743</v>
      </c>
      <c r="F7533" t="s">
        <v>28744</v>
      </c>
      <c r="G7533" t="s">
        <v>110</v>
      </c>
      <c r="H7533" t="s">
        <v>28745</v>
      </c>
      <c r="I7533" t="s">
        <v>30</v>
      </c>
      <c r="J7533" t="s">
        <v>41</v>
      </c>
      <c r="K7533" t="s">
        <v>59</v>
      </c>
      <c r="Q7533">
        <v>0</v>
      </c>
      <c r="R7533">
        <v>0</v>
      </c>
      <c r="S7533">
        <v>0</v>
      </c>
    </row>
    <row r="7534" spans="1:20" customFormat="1" ht="15" x14ac:dyDescent="0.25">
      <c r="A7534" t="s">
        <v>35</v>
      </c>
      <c r="B7534" t="s">
        <v>61</v>
      </c>
      <c r="C7534" t="str">
        <f>"A0181846"</f>
        <v>A0181846</v>
      </c>
      <c r="D7534" t="s">
        <v>28746</v>
      </c>
      <c r="E7534" t="s">
        <v>18659</v>
      </c>
      <c r="F7534" t="s">
        <v>1431</v>
      </c>
      <c r="G7534" t="s">
        <v>47</v>
      </c>
      <c r="H7534">
        <v>972662285</v>
      </c>
      <c r="I7534" t="s">
        <v>30</v>
      </c>
      <c r="J7534" t="s">
        <v>41</v>
      </c>
      <c r="K7534" t="s">
        <v>59</v>
      </c>
      <c r="Q7534">
        <v>0</v>
      </c>
      <c r="R7534">
        <v>0</v>
      </c>
      <c r="S7534">
        <v>0</v>
      </c>
      <c r="T7534" t="s">
        <v>18660</v>
      </c>
    </row>
    <row r="7535" spans="1:20" customFormat="1" ht="15" x14ac:dyDescent="0.25">
      <c r="A7535" t="s">
        <v>35</v>
      </c>
      <c r="B7535" t="s">
        <v>61</v>
      </c>
      <c r="C7535" t="str">
        <f>"A0181845"</f>
        <v>A0181845</v>
      </c>
      <c r="D7535" t="s">
        <v>28747</v>
      </c>
      <c r="E7535" t="s">
        <v>18659</v>
      </c>
      <c r="F7535" t="s">
        <v>1431</v>
      </c>
      <c r="G7535" t="s">
        <v>47</v>
      </c>
      <c r="H7535">
        <v>972662285</v>
      </c>
      <c r="I7535" t="s">
        <v>30</v>
      </c>
      <c r="J7535" t="s">
        <v>41</v>
      </c>
      <c r="K7535" t="s">
        <v>59</v>
      </c>
      <c r="Q7535">
        <v>0</v>
      </c>
      <c r="R7535">
        <v>0</v>
      </c>
      <c r="S7535">
        <v>0</v>
      </c>
      <c r="T7535" t="s">
        <v>28748</v>
      </c>
    </row>
    <row r="7536" spans="1:20" customFormat="1" ht="15" x14ac:dyDescent="0.25">
      <c r="A7536" t="s">
        <v>35</v>
      </c>
      <c r="B7536" t="s">
        <v>61</v>
      </c>
      <c r="C7536" t="str">
        <f>"A0181844"</f>
        <v>A0181844</v>
      </c>
      <c r="D7536" t="s">
        <v>28749</v>
      </c>
      <c r="E7536" t="s">
        <v>28750</v>
      </c>
      <c r="F7536" t="s">
        <v>27986</v>
      </c>
      <c r="G7536" t="s">
        <v>47</v>
      </c>
      <c r="H7536">
        <v>974577473</v>
      </c>
      <c r="I7536" t="s">
        <v>30</v>
      </c>
      <c r="J7536" t="s">
        <v>41</v>
      </c>
      <c r="K7536" t="s">
        <v>59</v>
      </c>
      <c r="Q7536">
        <v>0</v>
      </c>
      <c r="R7536">
        <v>0</v>
      </c>
      <c r="S7536">
        <v>0</v>
      </c>
      <c r="T7536" t="s">
        <v>27987</v>
      </c>
    </row>
    <row r="7537" spans="1:20" customFormat="1" ht="15" x14ac:dyDescent="0.25">
      <c r="A7537" t="s">
        <v>35</v>
      </c>
      <c r="B7537" t="s">
        <v>61</v>
      </c>
      <c r="C7537" t="str">
        <f>"A0181843"</f>
        <v>A0181843</v>
      </c>
      <c r="D7537" t="s">
        <v>28751</v>
      </c>
      <c r="E7537" t="s">
        <v>28752</v>
      </c>
      <c r="F7537" t="s">
        <v>967</v>
      </c>
      <c r="G7537" t="s">
        <v>47</v>
      </c>
      <c r="H7537">
        <v>975201491</v>
      </c>
      <c r="I7537" t="s">
        <v>30</v>
      </c>
      <c r="J7537" t="s">
        <v>41</v>
      </c>
      <c r="K7537" t="s">
        <v>59</v>
      </c>
      <c r="Q7537">
        <v>0</v>
      </c>
      <c r="R7537">
        <v>0</v>
      </c>
      <c r="S7537">
        <v>0</v>
      </c>
      <c r="T7537" t="s">
        <v>28753</v>
      </c>
    </row>
    <row r="7538" spans="1:20" customFormat="1" ht="15" x14ac:dyDescent="0.25">
      <c r="A7538" t="s">
        <v>35</v>
      </c>
      <c r="B7538" t="s">
        <v>61</v>
      </c>
      <c r="C7538" t="str">
        <f>"A0181842"</f>
        <v>A0181842</v>
      </c>
      <c r="D7538" t="s">
        <v>28754</v>
      </c>
      <c r="E7538" t="s">
        <v>28755</v>
      </c>
      <c r="F7538" t="s">
        <v>9787</v>
      </c>
      <c r="G7538" t="s">
        <v>47</v>
      </c>
      <c r="H7538">
        <v>975276371</v>
      </c>
      <c r="I7538" t="s">
        <v>30</v>
      </c>
      <c r="J7538" t="s">
        <v>41</v>
      </c>
      <c r="K7538" t="s">
        <v>59</v>
      </c>
      <c r="Q7538">
        <v>0</v>
      </c>
      <c r="R7538">
        <v>0</v>
      </c>
      <c r="S7538">
        <v>0</v>
      </c>
      <c r="T7538" t="s">
        <v>28756</v>
      </c>
    </row>
    <row r="7539" spans="1:20" customFormat="1" ht="15" x14ac:dyDescent="0.25">
      <c r="A7539" t="s">
        <v>35</v>
      </c>
      <c r="B7539" t="s">
        <v>61</v>
      </c>
      <c r="C7539" t="str">
        <f>"A0181841"</f>
        <v>A0181841</v>
      </c>
      <c r="D7539" t="s">
        <v>28757</v>
      </c>
      <c r="E7539" t="s">
        <v>28758</v>
      </c>
      <c r="F7539" t="s">
        <v>20926</v>
      </c>
      <c r="G7539" t="s">
        <v>161</v>
      </c>
      <c r="H7539" t="s">
        <v>28759</v>
      </c>
      <c r="I7539" t="s">
        <v>30</v>
      </c>
      <c r="J7539" t="s">
        <v>41</v>
      </c>
      <c r="K7539" t="s">
        <v>59</v>
      </c>
      <c r="Q7539">
        <v>0</v>
      </c>
      <c r="R7539">
        <v>0</v>
      </c>
      <c r="S7539">
        <v>0</v>
      </c>
      <c r="T7539" t="s">
        <v>28760</v>
      </c>
    </row>
    <row r="7540" spans="1:20" customFormat="1" ht="15" x14ac:dyDescent="0.25">
      <c r="A7540" t="s">
        <v>35</v>
      </c>
      <c r="B7540" t="s">
        <v>61</v>
      </c>
      <c r="C7540" t="str">
        <f>"A0181840"</f>
        <v>A0181840</v>
      </c>
      <c r="D7540" t="s">
        <v>28761</v>
      </c>
      <c r="E7540" t="s">
        <v>28762</v>
      </c>
      <c r="F7540" t="s">
        <v>28763</v>
      </c>
      <c r="G7540" t="s">
        <v>161</v>
      </c>
      <c r="H7540">
        <v>560313528</v>
      </c>
      <c r="I7540" t="s">
        <v>30</v>
      </c>
      <c r="J7540" t="s">
        <v>41</v>
      </c>
      <c r="K7540" t="s">
        <v>59</v>
      </c>
      <c r="Q7540">
        <v>0</v>
      </c>
      <c r="R7540">
        <v>0</v>
      </c>
      <c r="S7540">
        <v>0</v>
      </c>
    </row>
    <row r="7541" spans="1:20" customFormat="1" ht="15" x14ac:dyDescent="0.25">
      <c r="A7541" t="s">
        <v>35</v>
      </c>
      <c r="B7541" t="s">
        <v>61</v>
      </c>
      <c r="C7541" t="str">
        <f>"A0181839"</f>
        <v>A0181839</v>
      </c>
      <c r="D7541" t="s">
        <v>28764</v>
      </c>
      <c r="E7541" t="s">
        <v>28765</v>
      </c>
      <c r="F7541" t="s">
        <v>20360</v>
      </c>
      <c r="G7541" t="s">
        <v>161</v>
      </c>
      <c r="H7541">
        <v>553302604</v>
      </c>
      <c r="I7541" t="s">
        <v>30</v>
      </c>
      <c r="J7541" t="s">
        <v>41</v>
      </c>
      <c r="K7541" t="s">
        <v>59</v>
      </c>
      <c r="Q7541">
        <v>0</v>
      </c>
      <c r="R7541">
        <v>120</v>
      </c>
      <c r="S7541">
        <v>120</v>
      </c>
      <c r="T7541" t="s">
        <v>28766</v>
      </c>
    </row>
    <row r="7542" spans="1:20" customFormat="1" ht="15" x14ac:dyDescent="0.25">
      <c r="A7542" t="s">
        <v>35</v>
      </c>
      <c r="B7542" t="s">
        <v>61</v>
      </c>
      <c r="C7542" t="str">
        <f>"A0181838"</f>
        <v>A0181838</v>
      </c>
      <c r="D7542" t="s">
        <v>28767</v>
      </c>
      <c r="E7542" t="s">
        <v>28768</v>
      </c>
      <c r="F7542" t="s">
        <v>28769</v>
      </c>
      <c r="G7542" t="s">
        <v>47</v>
      </c>
      <c r="H7542">
        <v>976016400</v>
      </c>
      <c r="I7542" t="s">
        <v>30</v>
      </c>
      <c r="J7542" t="s">
        <v>41</v>
      </c>
      <c r="K7542" t="s">
        <v>59</v>
      </c>
      <c r="Q7542">
        <v>0</v>
      </c>
      <c r="R7542">
        <v>0</v>
      </c>
      <c r="S7542">
        <v>0</v>
      </c>
      <c r="T7542" t="s">
        <v>28770</v>
      </c>
    </row>
    <row r="7543" spans="1:20" customFormat="1" ht="15" x14ac:dyDescent="0.25">
      <c r="A7543" t="s">
        <v>35</v>
      </c>
      <c r="B7543" t="s">
        <v>61</v>
      </c>
      <c r="C7543" t="str">
        <f>"A0181837"</f>
        <v>A0181837</v>
      </c>
      <c r="D7543" t="s">
        <v>28771</v>
      </c>
      <c r="E7543" t="s">
        <v>28772</v>
      </c>
      <c r="F7543" t="s">
        <v>28773</v>
      </c>
      <c r="G7543" t="s">
        <v>47</v>
      </c>
      <c r="H7543">
        <v>97738</v>
      </c>
      <c r="I7543" t="s">
        <v>30</v>
      </c>
      <c r="J7543" t="s">
        <v>41</v>
      </c>
      <c r="K7543" t="s">
        <v>59</v>
      </c>
      <c r="Q7543">
        <v>0</v>
      </c>
      <c r="R7543">
        <v>0</v>
      </c>
      <c r="S7543">
        <v>0</v>
      </c>
      <c r="T7543" t="s">
        <v>28774</v>
      </c>
    </row>
    <row r="7544" spans="1:20" customFormat="1" ht="15" x14ac:dyDescent="0.25">
      <c r="A7544" t="s">
        <v>35</v>
      </c>
      <c r="B7544" t="s">
        <v>61</v>
      </c>
      <c r="C7544" t="str">
        <f>"A0181836"</f>
        <v>A0181836</v>
      </c>
      <c r="D7544" t="s">
        <v>28775</v>
      </c>
      <c r="E7544" t="s">
        <v>28776</v>
      </c>
      <c r="F7544" t="s">
        <v>46</v>
      </c>
      <c r="G7544" t="s">
        <v>47</v>
      </c>
      <c r="H7544">
        <v>974711261</v>
      </c>
      <c r="I7544" t="s">
        <v>30</v>
      </c>
      <c r="J7544" t="s">
        <v>41</v>
      </c>
      <c r="K7544" t="s">
        <v>59</v>
      </c>
      <c r="Q7544">
        <v>0</v>
      </c>
      <c r="R7544">
        <v>0</v>
      </c>
      <c r="S7544">
        <v>0</v>
      </c>
      <c r="T7544" t="s">
        <v>28777</v>
      </c>
    </row>
    <row r="7545" spans="1:20" customFormat="1" ht="15" x14ac:dyDescent="0.25">
      <c r="A7545" t="s">
        <v>35</v>
      </c>
      <c r="B7545" t="s">
        <v>61</v>
      </c>
      <c r="C7545" t="str">
        <f>"A0181835"</f>
        <v>A0181835</v>
      </c>
      <c r="D7545" t="s">
        <v>12656</v>
      </c>
      <c r="E7545" t="s">
        <v>28778</v>
      </c>
      <c r="F7545" t="s">
        <v>8047</v>
      </c>
      <c r="G7545" t="s">
        <v>110</v>
      </c>
      <c r="H7545" t="s">
        <v>28779</v>
      </c>
      <c r="I7545" t="s">
        <v>30</v>
      </c>
      <c r="J7545" t="s">
        <v>41</v>
      </c>
      <c r="K7545" t="s">
        <v>59</v>
      </c>
      <c r="Q7545">
        <v>0</v>
      </c>
      <c r="R7545">
        <v>0</v>
      </c>
      <c r="S7545">
        <v>0</v>
      </c>
      <c r="T7545" t="s">
        <v>28780</v>
      </c>
    </row>
    <row r="7546" spans="1:20" customFormat="1" ht="15" x14ac:dyDescent="0.25">
      <c r="A7546" t="s">
        <v>35</v>
      </c>
      <c r="B7546" t="s">
        <v>61</v>
      </c>
      <c r="C7546" t="str">
        <f>"A0181834"</f>
        <v>A0181834</v>
      </c>
      <c r="D7546" t="s">
        <v>28781</v>
      </c>
      <c r="E7546" t="s">
        <v>28782</v>
      </c>
      <c r="F7546" t="s">
        <v>15965</v>
      </c>
      <c r="G7546" t="s">
        <v>110</v>
      </c>
      <c r="H7546" t="s">
        <v>28783</v>
      </c>
      <c r="I7546" t="s">
        <v>30</v>
      </c>
      <c r="J7546" t="s">
        <v>41</v>
      </c>
      <c r="K7546" t="s">
        <v>59</v>
      </c>
      <c r="Q7546">
        <v>0</v>
      </c>
      <c r="R7546">
        <v>100</v>
      </c>
      <c r="S7546">
        <v>100</v>
      </c>
      <c r="T7546" t="s">
        <v>28784</v>
      </c>
    </row>
    <row r="7547" spans="1:20" customFormat="1" ht="15" x14ac:dyDescent="0.25">
      <c r="A7547" t="s">
        <v>35</v>
      </c>
      <c r="B7547" t="s">
        <v>61</v>
      </c>
      <c r="C7547" t="str">
        <f>"A0181833"</f>
        <v>A0181833</v>
      </c>
      <c r="D7547" t="s">
        <v>28785</v>
      </c>
      <c r="E7547" t="s">
        <v>28786</v>
      </c>
      <c r="F7547" t="s">
        <v>9128</v>
      </c>
      <c r="G7547" t="s">
        <v>110</v>
      </c>
      <c r="H7547">
        <v>946211419</v>
      </c>
      <c r="I7547" t="s">
        <v>30</v>
      </c>
      <c r="J7547" t="s">
        <v>41</v>
      </c>
      <c r="K7547" t="s">
        <v>59</v>
      </c>
      <c r="Q7547">
        <v>0</v>
      </c>
      <c r="R7547">
        <v>0</v>
      </c>
      <c r="S7547">
        <v>0</v>
      </c>
      <c r="T7547" t="s">
        <v>28787</v>
      </c>
    </row>
    <row r="7548" spans="1:20" customFormat="1" ht="15" x14ac:dyDescent="0.25">
      <c r="A7548" t="s">
        <v>35</v>
      </c>
      <c r="B7548" t="s">
        <v>61</v>
      </c>
      <c r="C7548" t="str">
        <f>"A0181832"</f>
        <v>A0181832</v>
      </c>
      <c r="D7548" t="s">
        <v>28788</v>
      </c>
      <c r="E7548" t="s">
        <v>28789</v>
      </c>
      <c r="F7548" t="s">
        <v>27752</v>
      </c>
      <c r="G7548" t="s">
        <v>71</v>
      </c>
      <c r="H7548" t="s">
        <v>28790</v>
      </c>
      <c r="I7548" t="s">
        <v>30</v>
      </c>
      <c r="J7548" t="s">
        <v>41</v>
      </c>
      <c r="K7548" t="s">
        <v>59</v>
      </c>
      <c r="Q7548">
        <v>0</v>
      </c>
      <c r="R7548">
        <v>38</v>
      </c>
      <c r="S7548">
        <v>38</v>
      </c>
    </row>
    <row r="7549" spans="1:20" customFormat="1" ht="15" x14ac:dyDescent="0.25">
      <c r="A7549" t="s">
        <v>35</v>
      </c>
      <c r="B7549" t="s">
        <v>61</v>
      </c>
      <c r="C7549" t="str">
        <f>"A0181831"</f>
        <v>A0181831</v>
      </c>
      <c r="D7549" t="s">
        <v>28791</v>
      </c>
      <c r="E7549" t="s">
        <v>28792</v>
      </c>
      <c r="F7549" t="s">
        <v>28793</v>
      </c>
      <c r="G7549" t="s">
        <v>71</v>
      </c>
      <c r="H7549">
        <v>53122</v>
      </c>
      <c r="I7549" t="s">
        <v>30</v>
      </c>
      <c r="J7549" t="s">
        <v>41</v>
      </c>
      <c r="K7549" t="s">
        <v>59</v>
      </c>
      <c r="Q7549">
        <v>0</v>
      </c>
      <c r="R7549">
        <v>0</v>
      </c>
      <c r="S7549">
        <v>0</v>
      </c>
      <c r="T7549" t="s">
        <v>28794</v>
      </c>
    </row>
    <row r="7550" spans="1:20" customFormat="1" ht="15" x14ac:dyDescent="0.25">
      <c r="A7550" t="s">
        <v>35</v>
      </c>
      <c r="B7550" t="s">
        <v>61</v>
      </c>
      <c r="C7550" t="str">
        <f>"A0181830"</f>
        <v>A0181830</v>
      </c>
      <c r="D7550" t="s">
        <v>28795</v>
      </c>
      <c r="E7550" t="s">
        <v>28796</v>
      </c>
      <c r="F7550" t="s">
        <v>13957</v>
      </c>
      <c r="G7550" t="s">
        <v>99</v>
      </c>
      <c r="H7550" t="s">
        <v>28797</v>
      </c>
      <c r="I7550" t="s">
        <v>30</v>
      </c>
      <c r="J7550" t="s">
        <v>41</v>
      </c>
      <c r="K7550" t="s">
        <v>59</v>
      </c>
      <c r="Q7550">
        <v>0</v>
      </c>
      <c r="R7550">
        <v>0</v>
      </c>
      <c r="S7550">
        <v>0</v>
      </c>
      <c r="T7550" t="s">
        <v>28798</v>
      </c>
    </row>
    <row r="7551" spans="1:20" customFormat="1" ht="15" x14ac:dyDescent="0.25">
      <c r="A7551" t="s">
        <v>35</v>
      </c>
      <c r="B7551" t="s">
        <v>61</v>
      </c>
      <c r="C7551" t="str">
        <f>"A0181829"</f>
        <v>A0181829</v>
      </c>
      <c r="D7551" t="s">
        <v>28799</v>
      </c>
      <c r="E7551" t="s">
        <v>25138</v>
      </c>
      <c r="F7551" t="s">
        <v>13957</v>
      </c>
      <c r="G7551" t="s">
        <v>99</v>
      </c>
      <c r="H7551" t="s">
        <v>25139</v>
      </c>
      <c r="I7551" t="s">
        <v>30</v>
      </c>
      <c r="J7551" t="s">
        <v>41</v>
      </c>
      <c r="K7551" t="s">
        <v>59</v>
      </c>
      <c r="Q7551">
        <v>0</v>
      </c>
      <c r="R7551">
        <v>0</v>
      </c>
      <c r="S7551">
        <v>0</v>
      </c>
      <c r="T7551" t="s">
        <v>28004</v>
      </c>
    </row>
    <row r="7552" spans="1:20" customFormat="1" ht="15" x14ac:dyDescent="0.25">
      <c r="A7552" t="s">
        <v>35</v>
      </c>
      <c r="B7552" t="s">
        <v>61</v>
      </c>
      <c r="C7552" t="str">
        <f>"A0181828"</f>
        <v>A0181828</v>
      </c>
      <c r="D7552" t="s">
        <v>28800</v>
      </c>
      <c r="E7552" t="s">
        <v>26625</v>
      </c>
      <c r="F7552" t="s">
        <v>26626</v>
      </c>
      <c r="G7552" t="s">
        <v>99</v>
      </c>
      <c r="H7552" t="s">
        <v>26627</v>
      </c>
      <c r="I7552" t="s">
        <v>30</v>
      </c>
      <c r="J7552" t="s">
        <v>41</v>
      </c>
      <c r="K7552" t="s">
        <v>59</v>
      </c>
      <c r="Q7552">
        <v>0</v>
      </c>
      <c r="R7552">
        <v>0</v>
      </c>
      <c r="S7552">
        <v>0</v>
      </c>
      <c r="T7552" t="s">
        <v>26628</v>
      </c>
    </row>
    <row r="7553" spans="1:20" customFormat="1" ht="15" x14ac:dyDescent="0.25">
      <c r="A7553" t="s">
        <v>35</v>
      </c>
      <c r="B7553" t="s">
        <v>61</v>
      </c>
      <c r="C7553" t="str">
        <f>"A0181827"</f>
        <v>A0181827</v>
      </c>
      <c r="D7553" t="s">
        <v>28801</v>
      </c>
      <c r="E7553" t="s">
        <v>28802</v>
      </c>
      <c r="F7553" t="s">
        <v>28803</v>
      </c>
      <c r="G7553" t="s">
        <v>99</v>
      </c>
      <c r="H7553">
        <v>144679156</v>
      </c>
      <c r="I7553" t="s">
        <v>30</v>
      </c>
      <c r="J7553" t="s">
        <v>41</v>
      </c>
      <c r="K7553" t="s">
        <v>59</v>
      </c>
      <c r="Q7553">
        <v>0</v>
      </c>
      <c r="R7553">
        <v>51</v>
      </c>
      <c r="S7553">
        <v>51</v>
      </c>
      <c r="T7553" t="s">
        <v>28804</v>
      </c>
    </row>
    <row r="7554" spans="1:20" customFormat="1" ht="15" x14ac:dyDescent="0.25">
      <c r="A7554" t="s">
        <v>35</v>
      </c>
      <c r="B7554" t="s">
        <v>61</v>
      </c>
      <c r="C7554" t="str">
        <f>"A0181826"</f>
        <v>A0181826</v>
      </c>
      <c r="D7554" t="s">
        <v>28805</v>
      </c>
      <c r="E7554" t="s">
        <v>28806</v>
      </c>
      <c r="F7554" t="s">
        <v>26635</v>
      </c>
      <c r="G7554" t="s">
        <v>99</v>
      </c>
      <c r="H7554" t="s">
        <v>28807</v>
      </c>
      <c r="I7554" t="s">
        <v>30</v>
      </c>
      <c r="J7554" t="s">
        <v>41</v>
      </c>
      <c r="K7554" t="s">
        <v>59</v>
      </c>
      <c r="Q7554">
        <v>0</v>
      </c>
      <c r="R7554">
        <v>0</v>
      </c>
      <c r="S7554">
        <v>0</v>
      </c>
      <c r="T7554" t="s">
        <v>28808</v>
      </c>
    </row>
    <row r="7555" spans="1:20" customFormat="1" ht="15" x14ac:dyDescent="0.25">
      <c r="A7555" t="s">
        <v>35</v>
      </c>
      <c r="B7555" t="s">
        <v>61</v>
      </c>
      <c r="C7555" t="str">
        <f>"A0181825"</f>
        <v>A0181825</v>
      </c>
      <c r="D7555" t="s">
        <v>28809</v>
      </c>
      <c r="E7555" t="s">
        <v>28810</v>
      </c>
      <c r="F7555" t="s">
        <v>20926</v>
      </c>
      <c r="G7555" t="s">
        <v>161</v>
      </c>
      <c r="H7555" t="s">
        <v>28811</v>
      </c>
      <c r="I7555" t="s">
        <v>30</v>
      </c>
      <c r="J7555" t="s">
        <v>41</v>
      </c>
      <c r="K7555" t="s">
        <v>59</v>
      </c>
      <c r="Q7555">
        <v>0</v>
      </c>
      <c r="R7555">
        <v>285</v>
      </c>
      <c r="S7555">
        <v>285</v>
      </c>
      <c r="T7555" t="s">
        <v>28812</v>
      </c>
    </row>
    <row r="7556" spans="1:20" customFormat="1" ht="15" x14ac:dyDescent="0.25">
      <c r="A7556" t="s">
        <v>35</v>
      </c>
      <c r="B7556" t="s">
        <v>61</v>
      </c>
      <c r="C7556" t="str">
        <f>"A0181824"</f>
        <v>A0181824</v>
      </c>
      <c r="D7556" t="s">
        <v>28813</v>
      </c>
      <c r="E7556" t="s">
        <v>28814</v>
      </c>
      <c r="F7556" t="s">
        <v>25847</v>
      </c>
      <c r="G7556" t="s">
        <v>161</v>
      </c>
      <c r="H7556" t="s">
        <v>28815</v>
      </c>
      <c r="I7556" t="s">
        <v>30</v>
      </c>
      <c r="J7556" t="s">
        <v>41</v>
      </c>
      <c r="K7556" t="s">
        <v>59</v>
      </c>
      <c r="Q7556">
        <v>0</v>
      </c>
      <c r="R7556">
        <v>0</v>
      </c>
      <c r="S7556">
        <v>0</v>
      </c>
    </row>
    <row r="7557" spans="1:20" customFormat="1" ht="15" x14ac:dyDescent="0.25">
      <c r="A7557" t="s">
        <v>35</v>
      </c>
      <c r="B7557" t="s">
        <v>61</v>
      </c>
      <c r="C7557" t="str">
        <f>"A0181823"</f>
        <v>A0181823</v>
      </c>
      <c r="D7557" t="s">
        <v>27475</v>
      </c>
      <c r="E7557" t="s">
        <v>28816</v>
      </c>
      <c r="F7557" t="s">
        <v>4023</v>
      </c>
      <c r="G7557" t="s">
        <v>161</v>
      </c>
      <c r="H7557" t="s">
        <v>25835</v>
      </c>
      <c r="I7557" t="s">
        <v>30</v>
      </c>
      <c r="J7557" t="s">
        <v>41</v>
      </c>
      <c r="K7557" t="s">
        <v>59</v>
      </c>
      <c r="Q7557">
        <v>0</v>
      </c>
      <c r="R7557">
        <v>0</v>
      </c>
      <c r="S7557">
        <v>0</v>
      </c>
    </row>
    <row r="7558" spans="1:20" customFormat="1" ht="15" x14ac:dyDescent="0.25">
      <c r="A7558" t="s">
        <v>35</v>
      </c>
      <c r="B7558" t="s">
        <v>61</v>
      </c>
      <c r="C7558" t="str">
        <f>"A0181822"</f>
        <v>A0181822</v>
      </c>
      <c r="D7558" t="s">
        <v>28817</v>
      </c>
      <c r="E7558" t="s">
        <v>28818</v>
      </c>
      <c r="F7558" t="s">
        <v>27223</v>
      </c>
      <c r="G7558" t="s">
        <v>161</v>
      </c>
      <c r="H7558" t="s">
        <v>28819</v>
      </c>
      <c r="I7558" t="s">
        <v>30</v>
      </c>
      <c r="J7558" t="s">
        <v>41</v>
      </c>
      <c r="K7558" t="s">
        <v>59</v>
      </c>
      <c r="Q7558">
        <v>0</v>
      </c>
      <c r="R7558">
        <v>0</v>
      </c>
      <c r="S7558">
        <v>0</v>
      </c>
      <c r="T7558" t="s">
        <v>28820</v>
      </c>
    </row>
    <row r="7559" spans="1:20" customFormat="1" ht="15" x14ac:dyDescent="0.25">
      <c r="A7559" t="s">
        <v>35</v>
      </c>
      <c r="B7559" t="s">
        <v>5469</v>
      </c>
      <c r="C7559" t="str">
        <f>"A0181821"</f>
        <v>A0181821</v>
      </c>
      <c r="D7559" t="s">
        <v>28821</v>
      </c>
      <c r="E7559" t="s">
        <v>28822</v>
      </c>
      <c r="F7559" t="s">
        <v>11919</v>
      </c>
      <c r="G7559" t="s">
        <v>1369</v>
      </c>
      <c r="H7559">
        <v>386557372</v>
      </c>
      <c r="I7559" t="s">
        <v>30</v>
      </c>
      <c r="J7559" t="s">
        <v>41</v>
      </c>
      <c r="K7559" t="s">
        <v>59</v>
      </c>
      <c r="Q7559">
        <v>0</v>
      </c>
      <c r="R7559">
        <v>0</v>
      </c>
      <c r="S7559">
        <v>0</v>
      </c>
      <c r="T7559" t="s">
        <v>28823</v>
      </c>
    </row>
    <row r="7560" spans="1:20" customFormat="1" ht="15" x14ac:dyDescent="0.25">
      <c r="A7560" t="s">
        <v>35</v>
      </c>
      <c r="B7560" t="s">
        <v>61</v>
      </c>
      <c r="C7560" t="str">
        <f>"A0181820"</f>
        <v>A0181820</v>
      </c>
      <c r="D7560" t="s">
        <v>28824</v>
      </c>
      <c r="E7560" t="s">
        <v>28825</v>
      </c>
      <c r="F7560" t="s">
        <v>5772</v>
      </c>
      <c r="G7560" t="s">
        <v>161</v>
      </c>
      <c r="H7560" t="s">
        <v>28826</v>
      </c>
      <c r="I7560" t="s">
        <v>30</v>
      </c>
      <c r="J7560" t="s">
        <v>41</v>
      </c>
      <c r="K7560" t="s">
        <v>59</v>
      </c>
      <c r="Q7560">
        <v>0</v>
      </c>
      <c r="R7560">
        <v>0</v>
      </c>
      <c r="S7560">
        <v>0</v>
      </c>
    </row>
    <row r="7561" spans="1:20" customFormat="1" ht="15" x14ac:dyDescent="0.25">
      <c r="A7561" t="s">
        <v>35</v>
      </c>
      <c r="B7561" t="s">
        <v>61</v>
      </c>
      <c r="C7561" t="str">
        <f>"A0181819"</f>
        <v>A0181819</v>
      </c>
      <c r="D7561" t="s">
        <v>28827</v>
      </c>
      <c r="E7561" t="s">
        <v>24335</v>
      </c>
      <c r="F7561" t="s">
        <v>12934</v>
      </c>
      <c r="G7561" t="s">
        <v>161</v>
      </c>
      <c r="H7561">
        <v>55431</v>
      </c>
      <c r="I7561" t="s">
        <v>30</v>
      </c>
      <c r="J7561" t="s">
        <v>41</v>
      </c>
      <c r="K7561" t="s">
        <v>59</v>
      </c>
      <c r="Q7561">
        <v>0</v>
      </c>
      <c r="R7561">
        <v>0</v>
      </c>
      <c r="S7561">
        <v>0</v>
      </c>
    </row>
    <row r="7562" spans="1:20" customFormat="1" ht="15" x14ac:dyDescent="0.25">
      <c r="A7562" t="s">
        <v>35</v>
      </c>
      <c r="B7562" t="s">
        <v>61</v>
      </c>
      <c r="C7562" t="str">
        <f>"A0181818"</f>
        <v>A0181818</v>
      </c>
      <c r="D7562" t="s">
        <v>28828</v>
      </c>
      <c r="E7562" t="s">
        <v>28829</v>
      </c>
      <c r="F7562" t="s">
        <v>10801</v>
      </c>
      <c r="G7562" t="s">
        <v>161</v>
      </c>
      <c r="H7562" t="s">
        <v>28830</v>
      </c>
      <c r="I7562" t="s">
        <v>30</v>
      </c>
      <c r="J7562" t="s">
        <v>41</v>
      </c>
      <c r="K7562" t="s">
        <v>59</v>
      </c>
      <c r="Q7562">
        <v>0</v>
      </c>
      <c r="R7562">
        <v>0</v>
      </c>
      <c r="S7562">
        <v>0</v>
      </c>
      <c r="T7562" t="s">
        <v>28831</v>
      </c>
    </row>
    <row r="7563" spans="1:20" customFormat="1" ht="15" x14ac:dyDescent="0.25">
      <c r="A7563" t="s">
        <v>35</v>
      </c>
      <c r="B7563" t="s">
        <v>61</v>
      </c>
      <c r="C7563" t="str">
        <f>"A0181816"</f>
        <v>A0181816</v>
      </c>
      <c r="D7563" t="s">
        <v>28832</v>
      </c>
      <c r="E7563" t="s">
        <v>28833</v>
      </c>
      <c r="F7563" t="s">
        <v>1394</v>
      </c>
      <c r="G7563" t="s">
        <v>161</v>
      </c>
      <c r="H7563">
        <v>55114</v>
      </c>
      <c r="I7563" t="s">
        <v>30</v>
      </c>
      <c r="J7563" t="s">
        <v>41</v>
      </c>
      <c r="K7563" t="s">
        <v>59</v>
      </c>
      <c r="Q7563">
        <v>0</v>
      </c>
      <c r="R7563">
        <v>0</v>
      </c>
      <c r="S7563">
        <v>0</v>
      </c>
    </row>
    <row r="7564" spans="1:20" customFormat="1" ht="15" x14ac:dyDescent="0.25">
      <c r="A7564" t="s">
        <v>35</v>
      </c>
      <c r="B7564" t="s">
        <v>61</v>
      </c>
      <c r="C7564" t="str">
        <f>"A0181815"</f>
        <v>A0181815</v>
      </c>
      <c r="D7564" t="s">
        <v>28834</v>
      </c>
      <c r="E7564" t="s">
        <v>28835</v>
      </c>
      <c r="F7564" t="s">
        <v>20360</v>
      </c>
      <c r="G7564" t="s">
        <v>161</v>
      </c>
      <c r="H7564">
        <v>553301874</v>
      </c>
      <c r="I7564" t="s">
        <v>30</v>
      </c>
      <c r="J7564" t="s">
        <v>41</v>
      </c>
      <c r="K7564" t="s">
        <v>59</v>
      </c>
      <c r="Q7564">
        <v>0</v>
      </c>
      <c r="R7564">
        <v>0</v>
      </c>
      <c r="S7564">
        <v>0</v>
      </c>
      <c r="T7564" t="s">
        <v>28836</v>
      </c>
    </row>
    <row r="7565" spans="1:20" customFormat="1" ht="15" x14ac:dyDescent="0.25">
      <c r="A7565" t="s">
        <v>35</v>
      </c>
      <c r="B7565" t="s">
        <v>61</v>
      </c>
      <c r="C7565" t="str">
        <f>"A0181814"</f>
        <v>A0181814</v>
      </c>
      <c r="D7565" t="s">
        <v>28837</v>
      </c>
      <c r="E7565" t="s">
        <v>28838</v>
      </c>
      <c r="F7565" t="s">
        <v>9607</v>
      </c>
      <c r="G7565" t="s">
        <v>161</v>
      </c>
      <c r="H7565">
        <v>55744</v>
      </c>
      <c r="I7565" t="s">
        <v>30</v>
      </c>
      <c r="J7565" t="s">
        <v>41</v>
      </c>
      <c r="K7565" t="s">
        <v>59</v>
      </c>
      <c r="Q7565">
        <v>0</v>
      </c>
      <c r="R7565">
        <v>0</v>
      </c>
      <c r="S7565">
        <v>0</v>
      </c>
    </row>
    <row r="7566" spans="1:20" customFormat="1" ht="15" x14ac:dyDescent="0.25">
      <c r="A7566" t="s">
        <v>35</v>
      </c>
      <c r="B7566" t="s">
        <v>61</v>
      </c>
      <c r="C7566" t="str">
        <f>"A0181813"</f>
        <v>A0181813</v>
      </c>
      <c r="D7566" t="s">
        <v>28839</v>
      </c>
      <c r="E7566" t="s">
        <v>12242</v>
      </c>
      <c r="F7566" t="s">
        <v>10813</v>
      </c>
      <c r="G7566" t="s">
        <v>71</v>
      </c>
      <c r="H7566" t="s">
        <v>12243</v>
      </c>
      <c r="I7566" t="s">
        <v>30</v>
      </c>
      <c r="J7566" t="s">
        <v>41</v>
      </c>
      <c r="K7566" t="s">
        <v>59</v>
      </c>
      <c r="Q7566">
        <v>0</v>
      </c>
      <c r="R7566">
        <v>0</v>
      </c>
      <c r="S7566">
        <v>0</v>
      </c>
      <c r="T7566" t="s">
        <v>28027</v>
      </c>
    </row>
    <row r="7567" spans="1:20" customFormat="1" ht="15" x14ac:dyDescent="0.25">
      <c r="A7567" t="s">
        <v>35</v>
      </c>
      <c r="B7567" t="s">
        <v>61</v>
      </c>
      <c r="C7567" t="str">
        <f>"A0181812"</f>
        <v>A0181812</v>
      </c>
      <c r="D7567" t="s">
        <v>28840</v>
      </c>
      <c r="E7567" t="s">
        <v>28841</v>
      </c>
      <c r="F7567" t="s">
        <v>28842</v>
      </c>
      <c r="G7567" t="s">
        <v>99</v>
      </c>
      <c r="H7567">
        <v>12550</v>
      </c>
      <c r="I7567" t="s">
        <v>30</v>
      </c>
      <c r="J7567" t="s">
        <v>41</v>
      </c>
      <c r="K7567" t="s">
        <v>59</v>
      </c>
      <c r="Q7567">
        <v>0</v>
      </c>
      <c r="R7567">
        <v>190</v>
      </c>
      <c r="S7567">
        <v>190</v>
      </c>
      <c r="T7567" t="s">
        <v>28843</v>
      </c>
    </row>
    <row r="7568" spans="1:20" customFormat="1" ht="15" x14ac:dyDescent="0.25">
      <c r="A7568" t="s">
        <v>35</v>
      </c>
      <c r="B7568" t="s">
        <v>61</v>
      </c>
      <c r="C7568" t="str">
        <f>"A0181811"</f>
        <v>A0181811</v>
      </c>
      <c r="D7568" t="s">
        <v>28844</v>
      </c>
      <c r="E7568" t="s">
        <v>28845</v>
      </c>
      <c r="F7568" t="s">
        <v>23825</v>
      </c>
      <c r="G7568" t="s">
        <v>99</v>
      </c>
      <c r="H7568" t="s">
        <v>28846</v>
      </c>
      <c r="I7568" t="s">
        <v>30</v>
      </c>
      <c r="J7568" t="s">
        <v>41</v>
      </c>
      <c r="K7568" t="s">
        <v>59</v>
      </c>
      <c r="Q7568">
        <v>0</v>
      </c>
      <c r="R7568">
        <v>0</v>
      </c>
      <c r="S7568">
        <v>0</v>
      </c>
      <c r="T7568" t="s">
        <v>28847</v>
      </c>
    </row>
    <row r="7569" spans="1:20" customFormat="1" ht="15" x14ac:dyDescent="0.25">
      <c r="A7569" t="s">
        <v>35</v>
      </c>
      <c r="B7569" t="s">
        <v>61</v>
      </c>
      <c r="C7569" t="str">
        <f>"A0181810"</f>
        <v>A0181810</v>
      </c>
      <c r="D7569" t="s">
        <v>28848</v>
      </c>
      <c r="E7569" t="s">
        <v>28849</v>
      </c>
      <c r="F7569" t="s">
        <v>11831</v>
      </c>
      <c r="G7569" t="s">
        <v>161</v>
      </c>
      <c r="H7569" t="s">
        <v>28850</v>
      </c>
      <c r="I7569" t="s">
        <v>30</v>
      </c>
      <c r="J7569" t="s">
        <v>41</v>
      </c>
      <c r="K7569" t="s">
        <v>59</v>
      </c>
      <c r="Q7569">
        <v>0</v>
      </c>
      <c r="R7569">
        <v>0</v>
      </c>
      <c r="S7569">
        <v>0</v>
      </c>
    </row>
    <row r="7570" spans="1:20" customFormat="1" ht="15" x14ac:dyDescent="0.25">
      <c r="A7570" t="s">
        <v>35</v>
      </c>
      <c r="B7570" t="s">
        <v>61</v>
      </c>
      <c r="C7570" t="str">
        <f>"A0181809"</f>
        <v>A0181809</v>
      </c>
      <c r="D7570" t="s">
        <v>28851</v>
      </c>
      <c r="E7570" t="s">
        <v>28852</v>
      </c>
      <c r="F7570" t="s">
        <v>27053</v>
      </c>
      <c r="G7570" t="s">
        <v>161</v>
      </c>
      <c r="H7570">
        <v>55330</v>
      </c>
      <c r="I7570" t="s">
        <v>30</v>
      </c>
      <c r="J7570" t="s">
        <v>41</v>
      </c>
      <c r="K7570" t="s">
        <v>59</v>
      </c>
      <c r="Q7570">
        <v>0</v>
      </c>
      <c r="R7570">
        <v>0</v>
      </c>
      <c r="S7570">
        <v>0</v>
      </c>
    </row>
    <row r="7571" spans="1:20" customFormat="1" ht="15" x14ac:dyDescent="0.25">
      <c r="A7571" t="s">
        <v>35</v>
      </c>
      <c r="B7571" t="s">
        <v>61</v>
      </c>
      <c r="C7571" t="str">
        <f>"A0181808"</f>
        <v>A0181808</v>
      </c>
      <c r="D7571" t="s">
        <v>28853</v>
      </c>
      <c r="E7571" t="s">
        <v>28854</v>
      </c>
      <c r="F7571" t="s">
        <v>27986</v>
      </c>
      <c r="G7571" t="s">
        <v>47</v>
      </c>
      <c r="H7571">
        <v>97457</v>
      </c>
      <c r="I7571" t="s">
        <v>30</v>
      </c>
      <c r="J7571" t="s">
        <v>41</v>
      </c>
      <c r="K7571" t="s">
        <v>59</v>
      </c>
      <c r="Q7571">
        <v>0</v>
      </c>
      <c r="R7571">
        <v>0</v>
      </c>
      <c r="S7571">
        <v>0</v>
      </c>
      <c r="T7571" t="s">
        <v>28855</v>
      </c>
    </row>
    <row r="7572" spans="1:20" customFormat="1" ht="15" x14ac:dyDescent="0.25">
      <c r="A7572" t="s">
        <v>35</v>
      </c>
      <c r="B7572" t="s">
        <v>61</v>
      </c>
      <c r="C7572" t="str">
        <f>"A0181807"</f>
        <v>A0181807</v>
      </c>
      <c r="D7572" t="s">
        <v>28856</v>
      </c>
      <c r="E7572" t="s">
        <v>28857</v>
      </c>
      <c r="F7572" t="s">
        <v>28858</v>
      </c>
      <c r="G7572" t="s">
        <v>1369</v>
      </c>
      <c r="H7572">
        <v>39465</v>
      </c>
      <c r="I7572" t="s">
        <v>30</v>
      </c>
      <c r="J7572" t="s">
        <v>41</v>
      </c>
      <c r="K7572" t="s">
        <v>59</v>
      </c>
      <c r="Q7572">
        <v>0</v>
      </c>
      <c r="R7572">
        <v>0</v>
      </c>
      <c r="S7572">
        <v>0</v>
      </c>
      <c r="T7572" t="s">
        <v>28859</v>
      </c>
    </row>
    <row r="7573" spans="1:20" customFormat="1" ht="15" x14ac:dyDescent="0.25">
      <c r="A7573" t="s">
        <v>35</v>
      </c>
      <c r="B7573" t="s">
        <v>61</v>
      </c>
      <c r="C7573" t="str">
        <f>"A0181806"</f>
        <v>A0181806</v>
      </c>
      <c r="D7573" t="s">
        <v>28860</v>
      </c>
      <c r="E7573" t="s">
        <v>28353</v>
      </c>
      <c r="F7573" t="s">
        <v>25434</v>
      </c>
      <c r="G7573" t="s">
        <v>161</v>
      </c>
      <c r="H7573" t="s">
        <v>28354</v>
      </c>
      <c r="I7573" t="s">
        <v>30</v>
      </c>
      <c r="J7573" t="s">
        <v>41</v>
      </c>
      <c r="K7573" t="s">
        <v>59</v>
      </c>
      <c r="Q7573">
        <v>0</v>
      </c>
      <c r="R7573">
        <v>0</v>
      </c>
      <c r="S7573">
        <v>0</v>
      </c>
    </row>
    <row r="7574" spans="1:20" customFormat="1" ht="15" x14ac:dyDescent="0.25">
      <c r="A7574" t="s">
        <v>35</v>
      </c>
      <c r="B7574" t="s">
        <v>61</v>
      </c>
      <c r="C7574" t="str">
        <f>"A0181805"</f>
        <v>A0181805</v>
      </c>
      <c r="D7574" t="s">
        <v>28861</v>
      </c>
      <c r="E7574" t="s">
        <v>28862</v>
      </c>
      <c r="F7574" t="s">
        <v>19689</v>
      </c>
      <c r="G7574" t="s">
        <v>161</v>
      </c>
      <c r="H7574" t="s">
        <v>28863</v>
      </c>
      <c r="I7574" t="s">
        <v>30</v>
      </c>
      <c r="J7574" t="s">
        <v>41</v>
      </c>
      <c r="K7574" t="s">
        <v>59</v>
      </c>
      <c r="Q7574">
        <v>0</v>
      </c>
      <c r="R7574">
        <v>0</v>
      </c>
      <c r="S7574">
        <v>0</v>
      </c>
    </row>
    <row r="7575" spans="1:20" customFormat="1" ht="15" x14ac:dyDescent="0.25">
      <c r="A7575" t="s">
        <v>35</v>
      </c>
      <c r="B7575" t="s">
        <v>61</v>
      </c>
      <c r="C7575" t="str">
        <f>"A0181804"</f>
        <v>A0181804</v>
      </c>
      <c r="D7575" t="s">
        <v>28864</v>
      </c>
      <c r="E7575" t="s">
        <v>28865</v>
      </c>
      <c r="F7575" t="s">
        <v>4069</v>
      </c>
      <c r="G7575" t="s">
        <v>99</v>
      </c>
      <c r="H7575">
        <v>12932</v>
      </c>
      <c r="I7575" t="s">
        <v>30</v>
      </c>
      <c r="J7575" t="s">
        <v>41</v>
      </c>
      <c r="K7575" t="s">
        <v>59</v>
      </c>
      <c r="Q7575">
        <v>0</v>
      </c>
      <c r="R7575">
        <v>100</v>
      </c>
      <c r="S7575">
        <v>100</v>
      </c>
      <c r="T7575" t="s">
        <v>28866</v>
      </c>
    </row>
    <row r="7576" spans="1:20" customFormat="1" ht="15" x14ac:dyDescent="0.25">
      <c r="A7576" t="s">
        <v>35</v>
      </c>
      <c r="B7576" t="s">
        <v>28867</v>
      </c>
      <c r="C7576" t="str">
        <f>"A0181803"</f>
        <v>A0181803</v>
      </c>
      <c r="D7576" t="s">
        <v>28868</v>
      </c>
      <c r="E7576" t="s">
        <v>28869</v>
      </c>
      <c r="F7576" t="s">
        <v>28870</v>
      </c>
      <c r="G7576" t="s">
        <v>99</v>
      </c>
      <c r="H7576" t="s">
        <v>28871</v>
      </c>
      <c r="I7576" t="s">
        <v>30</v>
      </c>
      <c r="J7576" t="s">
        <v>41</v>
      </c>
      <c r="K7576" t="s">
        <v>59</v>
      </c>
      <c r="Q7576">
        <v>0</v>
      </c>
      <c r="R7576">
        <v>82</v>
      </c>
      <c r="S7576">
        <v>82</v>
      </c>
      <c r="T7576" t="s">
        <v>28872</v>
      </c>
    </row>
    <row r="7577" spans="1:20" customFormat="1" ht="15" x14ac:dyDescent="0.25">
      <c r="A7577" t="s">
        <v>35</v>
      </c>
      <c r="B7577" t="s">
        <v>61</v>
      </c>
      <c r="C7577" t="str">
        <f>"A0181802"</f>
        <v>A0181802</v>
      </c>
      <c r="D7577" t="s">
        <v>28873</v>
      </c>
      <c r="E7577" t="s">
        <v>28874</v>
      </c>
      <c r="F7577" t="s">
        <v>25303</v>
      </c>
      <c r="G7577" t="s">
        <v>99</v>
      </c>
      <c r="H7577" t="s">
        <v>28875</v>
      </c>
      <c r="I7577" t="s">
        <v>30</v>
      </c>
      <c r="J7577" t="s">
        <v>41</v>
      </c>
      <c r="K7577" t="s">
        <v>59</v>
      </c>
      <c r="Q7577">
        <v>0</v>
      </c>
      <c r="R7577">
        <v>151</v>
      </c>
      <c r="S7577">
        <v>151</v>
      </c>
      <c r="T7577" t="s">
        <v>28876</v>
      </c>
    </row>
    <row r="7578" spans="1:20" customFormat="1" ht="15" x14ac:dyDescent="0.25">
      <c r="A7578" t="s">
        <v>35</v>
      </c>
      <c r="B7578" t="s">
        <v>61</v>
      </c>
      <c r="C7578" t="str">
        <f>"A0181801"</f>
        <v>A0181801</v>
      </c>
      <c r="D7578" t="s">
        <v>28877</v>
      </c>
      <c r="E7578" t="s">
        <v>28878</v>
      </c>
      <c r="F7578" t="s">
        <v>28879</v>
      </c>
      <c r="G7578" t="s">
        <v>99</v>
      </c>
      <c r="H7578">
        <v>12144</v>
      </c>
      <c r="I7578" t="s">
        <v>30</v>
      </c>
      <c r="J7578" t="s">
        <v>41</v>
      </c>
      <c r="K7578" t="s">
        <v>59</v>
      </c>
      <c r="Q7578">
        <v>0</v>
      </c>
      <c r="R7578">
        <v>0</v>
      </c>
      <c r="S7578">
        <v>0</v>
      </c>
      <c r="T7578" t="s">
        <v>28880</v>
      </c>
    </row>
    <row r="7579" spans="1:20" customFormat="1" ht="15" x14ac:dyDescent="0.25">
      <c r="A7579" t="s">
        <v>35</v>
      </c>
      <c r="B7579" t="s">
        <v>61</v>
      </c>
      <c r="C7579" t="str">
        <f>"A0181800"</f>
        <v>A0181800</v>
      </c>
      <c r="D7579" t="s">
        <v>28881</v>
      </c>
      <c r="E7579" t="s">
        <v>28882</v>
      </c>
      <c r="F7579" t="s">
        <v>21284</v>
      </c>
      <c r="G7579" t="s">
        <v>161</v>
      </c>
      <c r="H7579" t="s">
        <v>28883</v>
      </c>
      <c r="I7579" t="s">
        <v>30</v>
      </c>
      <c r="J7579" t="s">
        <v>41</v>
      </c>
      <c r="K7579" t="s">
        <v>59</v>
      </c>
      <c r="Q7579">
        <v>0</v>
      </c>
      <c r="R7579">
        <v>0</v>
      </c>
      <c r="S7579">
        <v>0</v>
      </c>
    </row>
    <row r="7580" spans="1:20" customFormat="1" ht="15" x14ac:dyDescent="0.25">
      <c r="A7580" t="s">
        <v>35</v>
      </c>
      <c r="B7580" t="s">
        <v>61</v>
      </c>
      <c r="C7580" t="str">
        <f>"A0181799"</f>
        <v>A0181799</v>
      </c>
      <c r="D7580" t="s">
        <v>28884</v>
      </c>
      <c r="E7580" t="s">
        <v>28885</v>
      </c>
      <c r="F7580" t="s">
        <v>28886</v>
      </c>
      <c r="G7580" t="s">
        <v>1369</v>
      </c>
      <c r="H7580" t="s">
        <v>28887</v>
      </c>
      <c r="I7580" t="s">
        <v>30</v>
      </c>
      <c r="J7580" t="s">
        <v>41</v>
      </c>
      <c r="K7580" t="s">
        <v>59</v>
      </c>
      <c r="Q7580">
        <v>0</v>
      </c>
      <c r="R7580">
        <v>0</v>
      </c>
      <c r="S7580">
        <v>0</v>
      </c>
      <c r="T7580" t="s">
        <v>28888</v>
      </c>
    </row>
    <row r="7581" spans="1:20" customFormat="1" ht="15" x14ac:dyDescent="0.25">
      <c r="A7581" t="s">
        <v>35</v>
      </c>
      <c r="B7581" t="s">
        <v>61</v>
      </c>
      <c r="C7581" t="str">
        <f>"A0181798"</f>
        <v>A0181798</v>
      </c>
      <c r="D7581" t="s">
        <v>28889</v>
      </c>
      <c r="E7581" t="s">
        <v>28890</v>
      </c>
      <c r="F7581" t="s">
        <v>1705</v>
      </c>
      <c r="G7581" t="s">
        <v>1706</v>
      </c>
      <c r="H7581" t="s">
        <v>23642</v>
      </c>
      <c r="I7581" t="s">
        <v>30</v>
      </c>
      <c r="J7581" t="s">
        <v>41</v>
      </c>
      <c r="K7581" t="s">
        <v>59</v>
      </c>
      <c r="Q7581">
        <v>0</v>
      </c>
      <c r="R7581">
        <v>0</v>
      </c>
      <c r="S7581">
        <v>0</v>
      </c>
      <c r="T7581" t="s">
        <v>23643</v>
      </c>
    </row>
    <row r="7582" spans="1:20" customFormat="1" ht="15" x14ac:dyDescent="0.25">
      <c r="A7582" t="s">
        <v>35</v>
      </c>
      <c r="B7582" t="s">
        <v>61</v>
      </c>
      <c r="C7582" t="str">
        <f>"A0181797"</f>
        <v>A0181797</v>
      </c>
      <c r="D7582" t="s">
        <v>28891</v>
      </c>
      <c r="E7582" t="s">
        <v>28892</v>
      </c>
      <c r="F7582" t="s">
        <v>19203</v>
      </c>
      <c r="G7582" t="s">
        <v>161</v>
      </c>
      <c r="H7582" t="s">
        <v>28893</v>
      </c>
      <c r="I7582" t="s">
        <v>30</v>
      </c>
      <c r="J7582" t="s">
        <v>41</v>
      </c>
      <c r="K7582" t="s">
        <v>59</v>
      </c>
      <c r="Q7582">
        <v>0</v>
      </c>
      <c r="R7582">
        <v>167</v>
      </c>
      <c r="S7582">
        <v>167</v>
      </c>
      <c r="T7582" t="s">
        <v>28894</v>
      </c>
    </row>
    <row r="7583" spans="1:20" customFormat="1" ht="15" x14ac:dyDescent="0.25">
      <c r="A7583" t="s">
        <v>35</v>
      </c>
      <c r="B7583" t="s">
        <v>61</v>
      </c>
      <c r="C7583" t="str">
        <f>"A0181796"</f>
        <v>A0181796</v>
      </c>
      <c r="D7583" t="s">
        <v>28895</v>
      </c>
      <c r="E7583" t="s">
        <v>28896</v>
      </c>
      <c r="F7583" t="s">
        <v>19203</v>
      </c>
      <c r="G7583" t="s">
        <v>161</v>
      </c>
      <c r="H7583" t="s">
        <v>28893</v>
      </c>
      <c r="I7583" t="s">
        <v>30</v>
      </c>
      <c r="J7583" t="s">
        <v>41</v>
      </c>
      <c r="K7583" t="s">
        <v>59</v>
      </c>
      <c r="Q7583">
        <v>0</v>
      </c>
      <c r="R7583">
        <v>0</v>
      </c>
      <c r="S7583">
        <v>0</v>
      </c>
    </row>
    <row r="7584" spans="1:20" customFormat="1" ht="15" x14ac:dyDescent="0.25">
      <c r="A7584" t="s">
        <v>35</v>
      </c>
      <c r="B7584" t="s">
        <v>61</v>
      </c>
      <c r="C7584" t="str">
        <f>"A0181795"</f>
        <v>A0181795</v>
      </c>
      <c r="D7584" t="s">
        <v>28897</v>
      </c>
      <c r="E7584" t="s">
        <v>28898</v>
      </c>
      <c r="F7584" t="s">
        <v>5196</v>
      </c>
      <c r="G7584" t="s">
        <v>161</v>
      </c>
      <c r="H7584" t="s">
        <v>28899</v>
      </c>
      <c r="I7584" t="s">
        <v>30</v>
      </c>
      <c r="J7584" t="s">
        <v>41</v>
      </c>
      <c r="K7584" t="s">
        <v>59</v>
      </c>
      <c r="Q7584">
        <v>0</v>
      </c>
      <c r="R7584">
        <v>0</v>
      </c>
      <c r="S7584">
        <v>0</v>
      </c>
      <c r="T7584" t="s">
        <v>28900</v>
      </c>
    </row>
    <row r="7585" spans="1:20" customFormat="1" ht="15" x14ac:dyDescent="0.25">
      <c r="A7585" t="s">
        <v>35</v>
      </c>
      <c r="B7585" t="s">
        <v>61</v>
      </c>
      <c r="C7585" t="str">
        <f>"A0181794"</f>
        <v>A0181794</v>
      </c>
      <c r="D7585" t="s">
        <v>28901</v>
      </c>
      <c r="E7585" t="s">
        <v>25766</v>
      </c>
      <c r="F7585" t="s">
        <v>20721</v>
      </c>
      <c r="G7585" t="s">
        <v>99</v>
      </c>
      <c r="H7585" t="s">
        <v>25767</v>
      </c>
      <c r="I7585" t="s">
        <v>30</v>
      </c>
      <c r="J7585" t="s">
        <v>41</v>
      </c>
      <c r="K7585" t="s">
        <v>59</v>
      </c>
      <c r="Q7585">
        <v>0</v>
      </c>
      <c r="R7585">
        <v>0</v>
      </c>
      <c r="S7585">
        <v>0</v>
      </c>
    </row>
    <row r="7586" spans="1:20" customFormat="1" ht="15" x14ac:dyDescent="0.25">
      <c r="A7586" t="s">
        <v>35</v>
      </c>
      <c r="B7586" t="s">
        <v>61</v>
      </c>
      <c r="C7586" t="str">
        <f>"A0181793"</f>
        <v>A0181793</v>
      </c>
      <c r="D7586" t="s">
        <v>28902</v>
      </c>
      <c r="E7586" t="s">
        <v>28903</v>
      </c>
      <c r="F7586" t="s">
        <v>3009</v>
      </c>
      <c r="G7586" t="s">
        <v>99</v>
      </c>
      <c r="H7586">
        <v>14086</v>
      </c>
      <c r="I7586" t="s">
        <v>30</v>
      </c>
      <c r="J7586" t="s">
        <v>41</v>
      </c>
      <c r="K7586" t="s">
        <v>59</v>
      </c>
      <c r="Q7586">
        <v>0</v>
      </c>
      <c r="R7586">
        <v>0</v>
      </c>
      <c r="S7586">
        <v>0</v>
      </c>
      <c r="T7586" t="s">
        <v>28904</v>
      </c>
    </row>
    <row r="7587" spans="1:20" customFormat="1" ht="15" x14ac:dyDescent="0.25">
      <c r="A7587" t="s">
        <v>35</v>
      </c>
      <c r="B7587" t="s">
        <v>11871</v>
      </c>
      <c r="C7587" t="str">
        <f>"A0181792"</f>
        <v>A0181792</v>
      </c>
      <c r="D7587" t="s">
        <v>28905</v>
      </c>
      <c r="E7587" t="s">
        <v>28906</v>
      </c>
      <c r="F7587" t="s">
        <v>21748</v>
      </c>
      <c r="G7587" t="s">
        <v>99</v>
      </c>
      <c r="H7587" t="s">
        <v>28907</v>
      </c>
      <c r="I7587" t="s">
        <v>30</v>
      </c>
      <c r="J7587" t="s">
        <v>41</v>
      </c>
      <c r="K7587" t="s">
        <v>59</v>
      </c>
      <c r="Q7587">
        <v>0</v>
      </c>
      <c r="R7587">
        <v>0</v>
      </c>
      <c r="S7587">
        <v>0</v>
      </c>
      <c r="T7587" t="s">
        <v>28908</v>
      </c>
    </row>
    <row r="7588" spans="1:20" customFormat="1" ht="15" x14ac:dyDescent="0.25">
      <c r="A7588" t="s">
        <v>35</v>
      </c>
      <c r="B7588" t="s">
        <v>11871</v>
      </c>
      <c r="C7588" t="str">
        <f>"A0181791"</f>
        <v>A0181791</v>
      </c>
      <c r="D7588" t="s">
        <v>28909</v>
      </c>
      <c r="E7588" t="s">
        <v>28910</v>
      </c>
      <c r="F7588" t="s">
        <v>28911</v>
      </c>
      <c r="G7588" t="s">
        <v>99</v>
      </c>
      <c r="H7588" t="s">
        <v>28912</v>
      </c>
      <c r="I7588" t="s">
        <v>30</v>
      </c>
      <c r="J7588" t="s">
        <v>41</v>
      </c>
      <c r="K7588" t="s">
        <v>59</v>
      </c>
      <c r="Q7588">
        <v>0</v>
      </c>
      <c r="R7588">
        <v>0</v>
      </c>
      <c r="S7588">
        <v>0</v>
      </c>
      <c r="T7588" t="s">
        <v>28913</v>
      </c>
    </row>
    <row r="7589" spans="1:20" customFormat="1" ht="15" x14ac:dyDescent="0.25">
      <c r="A7589" t="s">
        <v>35</v>
      </c>
      <c r="B7589" t="s">
        <v>11871</v>
      </c>
      <c r="C7589" t="str">
        <f>"A0181790"</f>
        <v>A0181790</v>
      </c>
      <c r="D7589" t="s">
        <v>28914</v>
      </c>
      <c r="E7589" t="s">
        <v>28915</v>
      </c>
      <c r="F7589" t="s">
        <v>28916</v>
      </c>
      <c r="G7589" t="s">
        <v>99</v>
      </c>
      <c r="H7589" t="s">
        <v>28917</v>
      </c>
      <c r="I7589" t="s">
        <v>30</v>
      </c>
      <c r="J7589" t="s">
        <v>41</v>
      </c>
      <c r="K7589" t="s">
        <v>59</v>
      </c>
      <c r="Q7589">
        <v>0</v>
      </c>
      <c r="R7589">
        <v>0</v>
      </c>
      <c r="S7589">
        <v>0</v>
      </c>
      <c r="T7589" t="s">
        <v>28918</v>
      </c>
    </row>
    <row r="7590" spans="1:20" customFormat="1" ht="15" x14ac:dyDescent="0.25">
      <c r="A7590" t="s">
        <v>35</v>
      </c>
      <c r="B7590" t="s">
        <v>61</v>
      </c>
      <c r="C7590" t="str">
        <f>"A0181789"</f>
        <v>A0181789</v>
      </c>
      <c r="D7590" t="s">
        <v>28919</v>
      </c>
      <c r="E7590" t="s">
        <v>28920</v>
      </c>
      <c r="F7590" t="s">
        <v>28921</v>
      </c>
      <c r="G7590" t="s">
        <v>338</v>
      </c>
      <c r="H7590">
        <v>8807</v>
      </c>
      <c r="I7590" t="s">
        <v>30</v>
      </c>
      <c r="J7590" t="s">
        <v>41</v>
      </c>
      <c r="K7590" t="s">
        <v>59</v>
      </c>
      <c r="Q7590">
        <v>0</v>
      </c>
      <c r="R7590">
        <v>50</v>
      </c>
      <c r="S7590">
        <v>50</v>
      </c>
      <c r="T7590" t="s">
        <v>28922</v>
      </c>
    </row>
    <row r="7591" spans="1:20" customFormat="1" ht="15" x14ac:dyDescent="0.25">
      <c r="A7591" t="s">
        <v>35</v>
      </c>
      <c r="B7591" t="s">
        <v>61</v>
      </c>
      <c r="C7591" t="str">
        <f>"A0181788"</f>
        <v>A0181788</v>
      </c>
      <c r="D7591" t="s">
        <v>28923</v>
      </c>
      <c r="E7591" t="s">
        <v>28924</v>
      </c>
      <c r="F7591" t="s">
        <v>19689</v>
      </c>
      <c r="G7591" t="s">
        <v>161</v>
      </c>
      <c r="H7591">
        <v>55411</v>
      </c>
      <c r="I7591" t="s">
        <v>30</v>
      </c>
      <c r="J7591" t="s">
        <v>41</v>
      </c>
      <c r="K7591" t="s">
        <v>59</v>
      </c>
      <c r="Q7591">
        <v>0</v>
      </c>
      <c r="R7591">
        <v>0</v>
      </c>
      <c r="S7591">
        <v>0</v>
      </c>
      <c r="T7591" t="s">
        <v>28925</v>
      </c>
    </row>
    <row r="7592" spans="1:20" customFormat="1" ht="15" x14ac:dyDescent="0.25">
      <c r="A7592" t="s">
        <v>35</v>
      </c>
      <c r="B7592" t="s">
        <v>61</v>
      </c>
      <c r="C7592" t="str">
        <f>"A0181787"</f>
        <v>A0181787</v>
      </c>
      <c r="D7592" t="s">
        <v>28926</v>
      </c>
      <c r="E7592" t="s">
        <v>26796</v>
      </c>
      <c r="F7592" t="s">
        <v>26797</v>
      </c>
      <c r="G7592" t="s">
        <v>161</v>
      </c>
      <c r="H7592">
        <v>56501</v>
      </c>
      <c r="I7592" t="s">
        <v>30</v>
      </c>
      <c r="J7592" t="s">
        <v>41</v>
      </c>
      <c r="K7592" t="s">
        <v>59</v>
      </c>
      <c r="Q7592">
        <v>0</v>
      </c>
      <c r="R7592">
        <v>0</v>
      </c>
      <c r="S7592">
        <v>0</v>
      </c>
      <c r="T7592" t="s">
        <v>28927</v>
      </c>
    </row>
    <row r="7593" spans="1:20" customFormat="1" ht="15" x14ac:dyDescent="0.25">
      <c r="A7593" t="s">
        <v>35</v>
      </c>
      <c r="B7593" t="s">
        <v>61</v>
      </c>
      <c r="C7593" t="str">
        <f>"A0181786"</f>
        <v>A0181786</v>
      </c>
      <c r="D7593" t="s">
        <v>28928</v>
      </c>
      <c r="E7593" t="s">
        <v>28929</v>
      </c>
      <c r="F7593" t="s">
        <v>28930</v>
      </c>
      <c r="G7593" t="s">
        <v>161</v>
      </c>
      <c r="H7593">
        <v>55126</v>
      </c>
      <c r="I7593" t="s">
        <v>30</v>
      </c>
      <c r="J7593" t="s">
        <v>41</v>
      </c>
      <c r="K7593" t="s">
        <v>59</v>
      </c>
      <c r="Q7593">
        <v>0</v>
      </c>
      <c r="R7593">
        <v>0</v>
      </c>
      <c r="S7593">
        <v>0</v>
      </c>
      <c r="T7593" t="s">
        <v>28931</v>
      </c>
    </row>
    <row r="7594" spans="1:20" customFormat="1" ht="15" x14ac:dyDescent="0.25">
      <c r="A7594" t="s">
        <v>35</v>
      </c>
      <c r="B7594" t="s">
        <v>61</v>
      </c>
      <c r="C7594" t="str">
        <f>"A0181785"</f>
        <v>A0181785</v>
      </c>
      <c r="D7594" t="s">
        <v>28932</v>
      </c>
      <c r="E7594" t="s">
        <v>28933</v>
      </c>
      <c r="F7594" t="s">
        <v>11159</v>
      </c>
      <c r="G7594" t="s">
        <v>110</v>
      </c>
      <c r="H7594" t="s">
        <v>28934</v>
      </c>
      <c r="I7594" t="s">
        <v>30</v>
      </c>
      <c r="J7594" t="s">
        <v>41</v>
      </c>
      <c r="K7594" t="s">
        <v>59</v>
      </c>
      <c r="Q7594">
        <v>0</v>
      </c>
      <c r="R7594">
        <v>0</v>
      </c>
      <c r="S7594">
        <v>0</v>
      </c>
      <c r="T7594" t="s">
        <v>28935</v>
      </c>
    </row>
    <row r="7595" spans="1:20" customFormat="1" ht="15" x14ac:dyDescent="0.25">
      <c r="A7595" t="s">
        <v>35</v>
      </c>
      <c r="B7595" t="s">
        <v>61</v>
      </c>
      <c r="C7595" t="str">
        <f>"A0181784"</f>
        <v>A0181784</v>
      </c>
      <c r="D7595" t="s">
        <v>28936</v>
      </c>
      <c r="E7595" t="s">
        <v>28708</v>
      </c>
      <c r="F7595" t="s">
        <v>28709</v>
      </c>
      <c r="G7595" t="s">
        <v>161</v>
      </c>
      <c r="H7595" t="s">
        <v>28710</v>
      </c>
      <c r="I7595" t="s">
        <v>30</v>
      </c>
      <c r="J7595" t="s">
        <v>41</v>
      </c>
      <c r="K7595" t="s">
        <v>59</v>
      </c>
      <c r="Q7595">
        <v>0</v>
      </c>
      <c r="R7595">
        <v>0</v>
      </c>
      <c r="S7595">
        <v>0</v>
      </c>
      <c r="T7595" t="s">
        <v>28711</v>
      </c>
    </row>
    <row r="7596" spans="1:20" customFormat="1" ht="15" x14ac:dyDescent="0.25">
      <c r="A7596" t="s">
        <v>35</v>
      </c>
      <c r="B7596" t="s">
        <v>61</v>
      </c>
      <c r="C7596" t="str">
        <f>"A0181783"</f>
        <v>A0181783</v>
      </c>
      <c r="D7596" t="s">
        <v>28937</v>
      </c>
      <c r="E7596" t="s">
        <v>28938</v>
      </c>
      <c r="F7596" t="s">
        <v>9187</v>
      </c>
      <c r="G7596" t="s">
        <v>161</v>
      </c>
      <c r="H7596">
        <v>55305</v>
      </c>
      <c r="I7596" t="s">
        <v>30</v>
      </c>
      <c r="J7596" t="s">
        <v>41</v>
      </c>
      <c r="K7596" t="s">
        <v>59</v>
      </c>
      <c r="Q7596">
        <v>0</v>
      </c>
      <c r="R7596">
        <v>0</v>
      </c>
      <c r="S7596">
        <v>0</v>
      </c>
      <c r="T7596" t="s">
        <v>28939</v>
      </c>
    </row>
    <row r="7597" spans="1:20" customFormat="1" ht="15" x14ac:dyDescent="0.25">
      <c r="A7597" t="s">
        <v>35</v>
      </c>
      <c r="B7597" t="s">
        <v>61</v>
      </c>
      <c r="C7597" t="str">
        <f>"A0181782"</f>
        <v>A0181782</v>
      </c>
      <c r="D7597" t="s">
        <v>28940</v>
      </c>
      <c r="E7597" t="s">
        <v>28941</v>
      </c>
      <c r="F7597" t="s">
        <v>19203</v>
      </c>
      <c r="G7597" t="s">
        <v>161</v>
      </c>
      <c r="H7597" t="s">
        <v>28942</v>
      </c>
      <c r="I7597" t="s">
        <v>30</v>
      </c>
      <c r="J7597" t="s">
        <v>41</v>
      </c>
      <c r="K7597" t="s">
        <v>59</v>
      </c>
      <c r="Q7597">
        <v>0</v>
      </c>
      <c r="R7597">
        <v>0</v>
      </c>
      <c r="S7597">
        <v>0</v>
      </c>
    </row>
    <row r="7598" spans="1:20" customFormat="1" ht="15" x14ac:dyDescent="0.25">
      <c r="A7598" t="s">
        <v>35</v>
      </c>
      <c r="B7598" t="s">
        <v>61</v>
      </c>
      <c r="C7598" t="str">
        <f>"A0181781"</f>
        <v>A0181781</v>
      </c>
      <c r="D7598" t="s">
        <v>28943</v>
      </c>
      <c r="E7598" t="s">
        <v>28944</v>
      </c>
      <c r="F7598" t="s">
        <v>14373</v>
      </c>
      <c r="G7598" t="s">
        <v>161</v>
      </c>
      <c r="H7598" t="s">
        <v>28945</v>
      </c>
      <c r="I7598" t="s">
        <v>30</v>
      </c>
      <c r="J7598" t="s">
        <v>41</v>
      </c>
      <c r="K7598" t="s">
        <v>59</v>
      </c>
      <c r="Q7598">
        <v>0</v>
      </c>
      <c r="R7598">
        <v>88</v>
      </c>
      <c r="S7598">
        <v>88</v>
      </c>
      <c r="T7598" t="s">
        <v>28946</v>
      </c>
    </row>
    <row r="7599" spans="1:20" customFormat="1" ht="15" x14ac:dyDescent="0.25">
      <c r="A7599" t="s">
        <v>35</v>
      </c>
      <c r="B7599" t="s">
        <v>11871</v>
      </c>
      <c r="C7599" t="str">
        <f>"A0181780"</f>
        <v>A0181780</v>
      </c>
      <c r="D7599" t="s">
        <v>28947</v>
      </c>
      <c r="E7599" t="s">
        <v>28948</v>
      </c>
      <c r="F7599" t="s">
        <v>28949</v>
      </c>
      <c r="G7599" t="s">
        <v>99</v>
      </c>
      <c r="H7599" t="s">
        <v>28950</v>
      </c>
      <c r="I7599" t="s">
        <v>30</v>
      </c>
      <c r="J7599" t="s">
        <v>41</v>
      </c>
      <c r="K7599" t="s">
        <v>59</v>
      </c>
      <c r="Q7599">
        <v>0</v>
      </c>
      <c r="R7599">
        <v>0</v>
      </c>
      <c r="S7599">
        <v>0</v>
      </c>
      <c r="T7599" t="s">
        <v>28951</v>
      </c>
    </row>
    <row r="7600" spans="1:20" customFormat="1" ht="15" x14ac:dyDescent="0.25">
      <c r="A7600" t="s">
        <v>35</v>
      </c>
      <c r="B7600" t="s">
        <v>61</v>
      </c>
      <c r="C7600" t="str">
        <f>"A0181779"</f>
        <v>A0181779</v>
      </c>
      <c r="D7600" t="s">
        <v>28952</v>
      </c>
      <c r="E7600" t="s">
        <v>27976</v>
      </c>
      <c r="F7600" t="s">
        <v>1373</v>
      </c>
      <c r="G7600" t="s">
        <v>71</v>
      </c>
      <c r="H7600" t="s">
        <v>28953</v>
      </c>
      <c r="I7600" t="s">
        <v>30</v>
      </c>
      <c r="J7600" t="s">
        <v>41</v>
      </c>
      <c r="K7600" t="s">
        <v>59</v>
      </c>
      <c r="Q7600">
        <v>0</v>
      </c>
      <c r="R7600">
        <v>0</v>
      </c>
      <c r="S7600">
        <v>0</v>
      </c>
    </row>
    <row r="7601" spans="1:20" customFormat="1" ht="15" x14ac:dyDescent="0.25">
      <c r="A7601" t="s">
        <v>35</v>
      </c>
      <c r="B7601" t="s">
        <v>61</v>
      </c>
      <c r="C7601" t="str">
        <f>"A0181778"</f>
        <v>A0181778</v>
      </c>
      <c r="D7601" t="s">
        <v>28954</v>
      </c>
      <c r="E7601" t="s">
        <v>28955</v>
      </c>
      <c r="F7601" t="s">
        <v>20348</v>
      </c>
      <c r="G7601" t="s">
        <v>71</v>
      </c>
      <c r="H7601" t="s">
        <v>28956</v>
      </c>
      <c r="I7601" t="s">
        <v>30</v>
      </c>
      <c r="J7601" t="s">
        <v>41</v>
      </c>
      <c r="K7601" t="s">
        <v>59</v>
      </c>
      <c r="Q7601">
        <v>0</v>
      </c>
      <c r="R7601">
        <v>0</v>
      </c>
      <c r="S7601">
        <v>0</v>
      </c>
    </row>
    <row r="7602" spans="1:20" customFormat="1" ht="15" x14ac:dyDescent="0.25">
      <c r="A7602" t="s">
        <v>35</v>
      </c>
      <c r="B7602" t="s">
        <v>61</v>
      </c>
      <c r="C7602" t="str">
        <f>"A0181777"</f>
        <v>A0181777</v>
      </c>
      <c r="D7602" t="s">
        <v>22367</v>
      </c>
      <c r="E7602" t="s">
        <v>28957</v>
      </c>
      <c r="F7602" t="s">
        <v>16033</v>
      </c>
      <c r="G7602" t="s">
        <v>71</v>
      </c>
      <c r="H7602" t="s">
        <v>28958</v>
      </c>
      <c r="I7602" t="s">
        <v>30</v>
      </c>
      <c r="J7602" t="s">
        <v>41</v>
      </c>
      <c r="K7602" t="s">
        <v>59</v>
      </c>
      <c r="Q7602">
        <v>0</v>
      </c>
      <c r="R7602">
        <v>0</v>
      </c>
      <c r="S7602">
        <v>0</v>
      </c>
      <c r="T7602" t="s">
        <v>28959</v>
      </c>
    </row>
    <row r="7603" spans="1:20" customFormat="1" ht="15" x14ac:dyDescent="0.25">
      <c r="A7603" t="s">
        <v>35</v>
      </c>
      <c r="B7603" t="s">
        <v>61</v>
      </c>
      <c r="C7603" t="str">
        <f>"A0181776"</f>
        <v>A0181776</v>
      </c>
      <c r="D7603" t="s">
        <v>28960</v>
      </c>
      <c r="E7603" t="s">
        <v>28561</v>
      </c>
      <c r="F7603" t="s">
        <v>20355</v>
      </c>
      <c r="G7603" t="s">
        <v>71</v>
      </c>
      <c r="H7603" t="s">
        <v>28562</v>
      </c>
      <c r="I7603" t="s">
        <v>30</v>
      </c>
      <c r="J7603" t="s">
        <v>41</v>
      </c>
      <c r="K7603" t="s">
        <v>59</v>
      </c>
      <c r="Q7603">
        <v>0</v>
      </c>
      <c r="R7603">
        <v>0</v>
      </c>
      <c r="S7603">
        <v>0</v>
      </c>
    </row>
    <row r="7604" spans="1:20" customFormat="1" ht="15" x14ac:dyDescent="0.25">
      <c r="A7604" t="s">
        <v>35</v>
      </c>
      <c r="B7604" t="s">
        <v>61</v>
      </c>
      <c r="C7604" t="str">
        <f>"A0181774"</f>
        <v>A0181774</v>
      </c>
      <c r="D7604" t="s">
        <v>28961</v>
      </c>
      <c r="E7604" t="s">
        <v>28962</v>
      </c>
      <c r="F7604" t="s">
        <v>25366</v>
      </c>
      <c r="G7604" t="s">
        <v>99</v>
      </c>
      <c r="H7604" t="s">
        <v>28963</v>
      </c>
      <c r="I7604" t="s">
        <v>30</v>
      </c>
      <c r="J7604" t="s">
        <v>41</v>
      </c>
      <c r="K7604" t="s">
        <v>59</v>
      </c>
      <c r="Q7604">
        <v>0</v>
      </c>
      <c r="R7604">
        <v>0</v>
      </c>
      <c r="S7604">
        <v>0</v>
      </c>
      <c r="T7604" t="s">
        <v>28964</v>
      </c>
    </row>
    <row r="7605" spans="1:20" customFormat="1" ht="15" x14ac:dyDescent="0.25">
      <c r="A7605" t="s">
        <v>35</v>
      </c>
      <c r="B7605" t="s">
        <v>61</v>
      </c>
      <c r="C7605" t="str">
        <f>"A0181773"</f>
        <v>A0181773</v>
      </c>
      <c r="D7605" t="s">
        <v>28965</v>
      </c>
      <c r="E7605" t="s">
        <v>28966</v>
      </c>
      <c r="F7605" t="s">
        <v>22374</v>
      </c>
      <c r="G7605" t="s">
        <v>99</v>
      </c>
      <c r="H7605" t="s">
        <v>28967</v>
      </c>
      <c r="I7605" t="s">
        <v>30</v>
      </c>
      <c r="J7605" t="s">
        <v>41</v>
      </c>
      <c r="K7605" t="s">
        <v>59</v>
      </c>
      <c r="Q7605">
        <v>0</v>
      </c>
      <c r="R7605">
        <v>0</v>
      </c>
      <c r="S7605">
        <v>0</v>
      </c>
      <c r="T7605" t="s">
        <v>28968</v>
      </c>
    </row>
    <row r="7606" spans="1:20" customFormat="1" ht="15" x14ac:dyDescent="0.25">
      <c r="A7606" t="s">
        <v>35</v>
      </c>
      <c r="B7606" t="s">
        <v>61</v>
      </c>
      <c r="C7606" t="str">
        <f>"A0181772"</f>
        <v>A0181772</v>
      </c>
      <c r="D7606" t="s">
        <v>28969</v>
      </c>
      <c r="E7606" t="s">
        <v>28970</v>
      </c>
      <c r="F7606" t="s">
        <v>20926</v>
      </c>
      <c r="G7606" t="s">
        <v>161</v>
      </c>
      <c r="H7606" t="s">
        <v>28971</v>
      </c>
      <c r="I7606" t="s">
        <v>30</v>
      </c>
      <c r="J7606" t="s">
        <v>41</v>
      </c>
      <c r="K7606" t="s">
        <v>59</v>
      </c>
      <c r="Q7606">
        <v>0</v>
      </c>
      <c r="R7606">
        <v>49</v>
      </c>
      <c r="S7606">
        <v>49</v>
      </c>
      <c r="T7606" t="s">
        <v>28972</v>
      </c>
    </row>
    <row r="7607" spans="1:20" customFormat="1" ht="15" x14ac:dyDescent="0.25">
      <c r="A7607" t="s">
        <v>35</v>
      </c>
      <c r="B7607" t="s">
        <v>61</v>
      </c>
      <c r="C7607" t="str">
        <f>"A0181771"</f>
        <v>A0181771</v>
      </c>
      <c r="D7607" t="s">
        <v>28973</v>
      </c>
      <c r="E7607" t="s">
        <v>28974</v>
      </c>
      <c r="F7607" t="s">
        <v>19203</v>
      </c>
      <c r="G7607" t="s">
        <v>161</v>
      </c>
      <c r="H7607">
        <v>56308</v>
      </c>
      <c r="I7607" t="s">
        <v>30</v>
      </c>
      <c r="J7607" t="s">
        <v>41</v>
      </c>
      <c r="K7607" t="s">
        <v>59</v>
      </c>
      <c r="Q7607">
        <v>0</v>
      </c>
      <c r="R7607">
        <v>0</v>
      </c>
      <c r="S7607">
        <v>0</v>
      </c>
      <c r="T7607" t="s">
        <v>28975</v>
      </c>
    </row>
    <row r="7608" spans="1:20" customFormat="1" ht="15" x14ac:dyDescent="0.25">
      <c r="A7608" t="s">
        <v>35</v>
      </c>
      <c r="B7608" t="s">
        <v>61</v>
      </c>
      <c r="C7608" t="str">
        <f>"A0181770"</f>
        <v>A0181770</v>
      </c>
      <c r="D7608" t="s">
        <v>28976</v>
      </c>
      <c r="E7608" t="s">
        <v>28591</v>
      </c>
      <c r="F7608" t="s">
        <v>28592</v>
      </c>
      <c r="G7608" t="s">
        <v>161</v>
      </c>
      <c r="H7608" t="s">
        <v>28593</v>
      </c>
      <c r="I7608" t="s">
        <v>30</v>
      </c>
      <c r="J7608" t="s">
        <v>41</v>
      </c>
      <c r="K7608" t="s">
        <v>59</v>
      </c>
      <c r="Q7608">
        <v>0</v>
      </c>
      <c r="R7608">
        <v>0</v>
      </c>
      <c r="S7608">
        <v>0</v>
      </c>
      <c r="T7608" t="s">
        <v>28196</v>
      </c>
    </row>
    <row r="7609" spans="1:20" customFormat="1" ht="15" x14ac:dyDescent="0.25">
      <c r="A7609" t="s">
        <v>35</v>
      </c>
      <c r="B7609" t="s">
        <v>61</v>
      </c>
      <c r="C7609" t="str">
        <f>"A0181769"</f>
        <v>A0181769</v>
      </c>
      <c r="D7609" t="s">
        <v>28977</v>
      </c>
      <c r="E7609" t="s">
        <v>28978</v>
      </c>
      <c r="F7609" t="s">
        <v>3009</v>
      </c>
      <c r="G7609" t="s">
        <v>99</v>
      </c>
      <c r="H7609" t="s">
        <v>28979</v>
      </c>
      <c r="I7609" t="s">
        <v>30</v>
      </c>
      <c r="J7609" t="s">
        <v>41</v>
      </c>
      <c r="K7609" t="s">
        <v>59</v>
      </c>
      <c r="Q7609">
        <v>0</v>
      </c>
      <c r="R7609">
        <v>0</v>
      </c>
      <c r="S7609">
        <v>0</v>
      </c>
    </row>
    <row r="7610" spans="1:20" customFormat="1" ht="15" x14ac:dyDescent="0.25">
      <c r="A7610" t="s">
        <v>35</v>
      </c>
      <c r="B7610" t="s">
        <v>11871</v>
      </c>
      <c r="C7610" t="str">
        <f>"A0181768"</f>
        <v>A0181768</v>
      </c>
      <c r="D7610" t="s">
        <v>28980</v>
      </c>
      <c r="E7610" t="s">
        <v>28981</v>
      </c>
      <c r="F7610" t="s">
        <v>20312</v>
      </c>
      <c r="G7610" t="s">
        <v>99</v>
      </c>
      <c r="H7610" t="s">
        <v>28982</v>
      </c>
      <c r="I7610" t="s">
        <v>30</v>
      </c>
      <c r="J7610" t="s">
        <v>41</v>
      </c>
      <c r="K7610" t="s">
        <v>59</v>
      </c>
      <c r="Q7610">
        <v>0</v>
      </c>
      <c r="R7610">
        <v>0</v>
      </c>
      <c r="S7610">
        <v>0</v>
      </c>
      <c r="T7610" t="s">
        <v>28983</v>
      </c>
    </row>
    <row r="7611" spans="1:20" customFormat="1" ht="15" x14ac:dyDescent="0.25">
      <c r="A7611" t="s">
        <v>35</v>
      </c>
      <c r="B7611" t="s">
        <v>11871</v>
      </c>
      <c r="C7611" t="str">
        <f>"A0181767"</f>
        <v>A0181767</v>
      </c>
      <c r="D7611" t="s">
        <v>28984</v>
      </c>
      <c r="E7611" t="s">
        <v>28985</v>
      </c>
      <c r="F7611" t="s">
        <v>26190</v>
      </c>
      <c r="G7611" t="s">
        <v>99</v>
      </c>
      <c r="H7611">
        <v>13815</v>
      </c>
      <c r="I7611" t="s">
        <v>30</v>
      </c>
      <c r="J7611" t="s">
        <v>41</v>
      </c>
      <c r="K7611" t="s">
        <v>59</v>
      </c>
      <c r="Q7611">
        <v>0</v>
      </c>
      <c r="R7611">
        <v>0</v>
      </c>
      <c r="S7611">
        <v>0</v>
      </c>
    </row>
    <row r="7612" spans="1:20" customFormat="1" ht="15" x14ac:dyDescent="0.25">
      <c r="A7612" t="s">
        <v>35</v>
      </c>
      <c r="B7612" t="s">
        <v>11871</v>
      </c>
      <c r="C7612" t="str">
        <f>"A0181766"</f>
        <v>A0181766</v>
      </c>
      <c r="D7612" t="s">
        <v>28986</v>
      </c>
      <c r="E7612" t="s">
        <v>28987</v>
      </c>
      <c r="F7612" t="s">
        <v>4276</v>
      </c>
      <c r="G7612" t="s">
        <v>99</v>
      </c>
      <c r="H7612" t="s">
        <v>28988</v>
      </c>
      <c r="I7612" t="s">
        <v>30</v>
      </c>
      <c r="J7612" t="s">
        <v>41</v>
      </c>
      <c r="K7612" t="s">
        <v>59</v>
      </c>
      <c r="Q7612">
        <v>0</v>
      </c>
      <c r="R7612">
        <v>0</v>
      </c>
      <c r="S7612">
        <v>0</v>
      </c>
      <c r="T7612" t="s">
        <v>28989</v>
      </c>
    </row>
    <row r="7613" spans="1:20" customFormat="1" ht="15" x14ac:dyDescent="0.25">
      <c r="A7613" t="s">
        <v>35</v>
      </c>
      <c r="B7613" t="s">
        <v>61</v>
      </c>
      <c r="C7613" t="str">
        <f>"A0181765"</f>
        <v>A0181765</v>
      </c>
      <c r="D7613" t="s">
        <v>28990</v>
      </c>
      <c r="E7613" t="s">
        <v>28991</v>
      </c>
      <c r="F7613" t="s">
        <v>24693</v>
      </c>
      <c r="G7613" t="s">
        <v>99</v>
      </c>
      <c r="H7613" t="s">
        <v>28992</v>
      </c>
      <c r="I7613" t="s">
        <v>30</v>
      </c>
      <c r="J7613" t="s">
        <v>41</v>
      </c>
      <c r="K7613" t="s">
        <v>59</v>
      </c>
      <c r="Q7613">
        <v>0</v>
      </c>
      <c r="R7613">
        <v>0</v>
      </c>
      <c r="S7613">
        <v>0</v>
      </c>
      <c r="T7613" t="s">
        <v>28993</v>
      </c>
    </row>
    <row r="7614" spans="1:20" customFormat="1" ht="15" x14ac:dyDescent="0.25">
      <c r="A7614" t="s">
        <v>35</v>
      </c>
      <c r="B7614" t="s">
        <v>61</v>
      </c>
      <c r="C7614" t="str">
        <f>"A0181764"</f>
        <v>A0181764</v>
      </c>
      <c r="D7614" t="s">
        <v>28994</v>
      </c>
      <c r="E7614" t="s">
        <v>24692</v>
      </c>
      <c r="F7614" t="s">
        <v>24693</v>
      </c>
      <c r="G7614" t="s">
        <v>99</v>
      </c>
      <c r="H7614" t="s">
        <v>28992</v>
      </c>
      <c r="I7614" t="s">
        <v>30</v>
      </c>
      <c r="J7614" t="s">
        <v>41</v>
      </c>
      <c r="K7614" t="s">
        <v>59</v>
      </c>
      <c r="Q7614">
        <v>0</v>
      </c>
      <c r="R7614">
        <v>460</v>
      </c>
      <c r="S7614">
        <v>460</v>
      </c>
      <c r="T7614" t="s">
        <v>26770</v>
      </c>
    </row>
    <row r="7615" spans="1:20" customFormat="1" ht="15" x14ac:dyDescent="0.25">
      <c r="A7615" t="s">
        <v>35</v>
      </c>
      <c r="B7615" t="s">
        <v>61</v>
      </c>
      <c r="C7615" t="str">
        <f>"A0181763"</f>
        <v>A0181763</v>
      </c>
      <c r="D7615" t="s">
        <v>28995</v>
      </c>
      <c r="E7615" t="s">
        <v>28996</v>
      </c>
      <c r="F7615" t="s">
        <v>9151</v>
      </c>
      <c r="G7615" t="s">
        <v>338</v>
      </c>
      <c r="H7615">
        <v>7003</v>
      </c>
      <c r="I7615" t="s">
        <v>30</v>
      </c>
      <c r="J7615" t="s">
        <v>41</v>
      </c>
      <c r="K7615" t="s">
        <v>59</v>
      </c>
      <c r="Q7615">
        <v>0</v>
      </c>
      <c r="R7615">
        <v>30</v>
      </c>
      <c r="S7615">
        <v>30</v>
      </c>
      <c r="T7615" t="s">
        <v>28997</v>
      </c>
    </row>
    <row r="7616" spans="1:20" customFormat="1" ht="15" x14ac:dyDescent="0.25">
      <c r="A7616" t="s">
        <v>35</v>
      </c>
      <c r="B7616" t="s">
        <v>61</v>
      </c>
      <c r="C7616" t="str">
        <f>"A0181762"</f>
        <v>A0181762</v>
      </c>
      <c r="D7616" t="s">
        <v>28998</v>
      </c>
      <c r="E7616" t="s">
        <v>28999</v>
      </c>
      <c r="F7616" t="s">
        <v>22286</v>
      </c>
      <c r="G7616" t="s">
        <v>99</v>
      </c>
      <c r="H7616" t="s">
        <v>29000</v>
      </c>
      <c r="I7616" t="s">
        <v>30</v>
      </c>
      <c r="J7616" t="s">
        <v>41</v>
      </c>
      <c r="K7616" t="s">
        <v>59</v>
      </c>
      <c r="Q7616">
        <v>0</v>
      </c>
      <c r="R7616">
        <v>0</v>
      </c>
      <c r="S7616">
        <v>0</v>
      </c>
    </row>
    <row r="7617" spans="1:20" customFormat="1" ht="15" x14ac:dyDescent="0.25">
      <c r="A7617" t="s">
        <v>35</v>
      </c>
      <c r="B7617" t="s">
        <v>61</v>
      </c>
      <c r="C7617" t="str">
        <f>"A0181761"</f>
        <v>A0181761</v>
      </c>
      <c r="D7617" t="s">
        <v>29001</v>
      </c>
      <c r="E7617" t="s">
        <v>29002</v>
      </c>
      <c r="F7617" t="s">
        <v>20087</v>
      </c>
      <c r="G7617" t="s">
        <v>71</v>
      </c>
      <c r="H7617" t="s">
        <v>29003</v>
      </c>
      <c r="I7617" t="s">
        <v>30</v>
      </c>
      <c r="J7617" t="s">
        <v>41</v>
      </c>
      <c r="K7617" t="s">
        <v>59</v>
      </c>
      <c r="Q7617">
        <v>0</v>
      </c>
      <c r="R7617">
        <v>0</v>
      </c>
      <c r="S7617">
        <v>0</v>
      </c>
    </row>
    <row r="7618" spans="1:20" customFormat="1" ht="15" x14ac:dyDescent="0.25">
      <c r="A7618" t="s">
        <v>35</v>
      </c>
      <c r="B7618" t="s">
        <v>61</v>
      </c>
      <c r="C7618" t="str">
        <f>"A0181760"</f>
        <v>A0181760</v>
      </c>
      <c r="D7618" t="s">
        <v>29004</v>
      </c>
      <c r="E7618" t="s">
        <v>29005</v>
      </c>
      <c r="F7618" t="s">
        <v>29006</v>
      </c>
      <c r="G7618" t="s">
        <v>71</v>
      </c>
      <c r="H7618">
        <v>54742</v>
      </c>
      <c r="I7618" t="s">
        <v>30</v>
      </c>
      <c r="J7618" t="s">
        <v>41</v>
      </c>
      <c r="K7618" t="s">
        <v>59</v>
      </c>
      <c r="Q7618">
        <v>0</v>
      </c>
      <c r="R7618">
        <v>0</v>
      </c>
      <c r="S7618">
        <v>0</v>
      </c>
    </row>
    <row r="7619" spans="1:20" customFormat="1" ht="15" x14ac:dyDescent="0.25">
      <c r="A7619" t="s">
        <v>35</v>
      </c>
      <c r="B7619" t="s">
        <v>61</v>
      </c>
      <c r="C7619" t="str">
        <f>"A0181759"</f>
        <v>A0181759</v>
      </c>
      <c r="D7619" t="s">
        <v>29007</v>
      </c>
      <c r="E7619" t="s">
        <v>29008</v>
      </c>
      <c r="F7619" t="s">
        <v>4112</v>
      </c>
      <c r="G7619" t="s">
        <v>71</v>
      </c>
      <c r="H7619" t="s">
        <v>29009</v>
      </c>
      <c r="I7619" t="s">
        <v>30</v>
      </c>
      <c r="J7619" t="s">
        <v>41</v>
      </c>
      <c r="K7619" t="s">
        <v>59</v>
      </c>
      <c r="Q7619">
        <v>0</v>
      </c>
      <c r="R7619">
        <v>90</v>
      </c>
      <c r="S7619">
        <v>90</v>
      </c>
      <c r="T7619" t="s">
        <v>29010</v>
      </c>
    </row>
    <row r="7620" spans="1:20" customFormat="1" ht="15" x14ac:dyDescent="0.25">
      <c r="A7620" t="s">
        <v>35</v>
      </c>
      <c r="B7620" t="s">
        <v>61</v>
      </c>
      <c r="C7620" t="str">
        <f>"A0181758"</f>
        <v>A0181758</v>
      </c>
      <c r="D7620" t="s">
        <v>29011</v>
      </c>
      <c r="E7620" t="s">
        <v>29012</v>
      </c>
      <c r="F7620" t="s">
        <v>20926</v>
      </c>
      <c r="G7620" t="s">
        <v>161</v>
      </c>
      <c r="H7620" t="s">
        <v>29013</v>
      </c>
      <c r="I7620" t="s">
        <v>30</v>
      </c>
      <c r="J7620" t="s">
        <v>41</v>
      </c>
      <c r="K7620" t="s">
        <v>59</v>
      </c>
      <c r="Q7620">
        <v>0</v>
      </c>
      <c r="R7620">
        <v>49</v>
      </c>
      <c r="S7620">
        <v>49</v>
      </c>
      <c r="T7620" t="s">
        <v>29014</v>
      </c>
    </row>
    <row r="7621" spans="1:20" customFormat="1" ht="15" x14ac:dyDescent="0.25">
      <c r="A7621" t="s">
        <v>35</v>
      </c>
      <c r="B7621" t="s">
        <v>11871</v>
      </c>
      <c r="C7621" t="str">
        <f>"A0181757"</f>
        <v>A0181757</v>
      </c>
      <c r="D7621" t="s">
        <v>29015</v>
      </c>
      <c r="E7621" t="s">
        <v>29016</v>
      </c>
      <c r="F7621" t="s">
        <v>27664</v>
      </c>
      <c r="G7621" t="s">
        <v>99</v>
      </c>
      <c r="H7621" t="s">
        <v>29017</v>
      </c>
      <c r="I7621" t="s">
        <v>30</v>
      </c>
      <c r="J7621" t="s">
        <v>41</v>
      </c>
      <c r="K7621" t="s">
        <v>59</v>
      </c>
      <c r="Q7621">
        <v>0</v>
      </c>
      <c r="R7621">
        <v>0</v>
      </c>
      <c r="S7621">
        <v>0</v>
      </c>
      <c r="T7621" t="s">
        <v>29018</v>
      </c>
    </row>
    <row r="7622" spans="1:20" customFormat="1" ht="15" x14ac:dyDescent="0.25">
      <c r="A7622" t="s">
        <v>35</v>
      </c>
      <c r="B7622" t="s">
        <v>61</v>
      </c>
      <c r="C7622" t="str">
        <f>"A0181756"</f>
        <v>A0181756</v>
      </c>
      <c r="D7622" t="s">
        <v>29019</v>
      </c>
      <c r="E7622" t="s">
        <v>29020</v>
      </c>
      <c r="F7622" t="s">
        <v>29021</v>
      </c>
      <c r="G7622" t="s">
        <v>338</v>
      </c>
      <c r="H7622" t="s">
        <v>29022</v>
      </c>
      <c r="I7622" t="s">
        <v>30</v>
      </c>
      <c r="J7622" t="s">
        <v>41</v>
      </c>
      <c r="K7622" t="s">
        <v>59</v>
      </c>
      <c r="Q7622">
        <v>0</v>
      </c>
      <c r="R7622">
        <v>60</v>
      </c>
      <c r="S7622">
        <v>60</v>
      </c>
      <c r="T7622" t="s">
        <v>29023</v>
      </c>
    </row>
    <row r="7623" spans="1:20" customFormat="1" ht="15" x14ac:dyDescent="0.25">
      <c r="A7623" t="s">
        <v>35</v>
      </c>
      <c r="B7623" t="s">
        <v>61</v>
      </c>
      <c r="C7623" t="str">
        <f>"A0181755"</f>
        <v>A0181755</v>
      </c>
      <c r="D7623" t="s">
        <v>29024</v>
      </c>
      <c r="E7623" t="s">
        <v>29025</v>
      </c>
      <c r="F7623" t="s">
        <v>9187</v>
      </c>
      <c r="G7623" t="s">
        <v>161</v>
      </c>
      <c r="H7623" t="s">
        <v>29026</v>
      </c>
      <c r="I7623" t="s">
        <v>30</v>
      </c>
      <c r="J7623" t="s">
        <v>41</v>
      </c>
      <c r="K7623" t="s">
        <v>59</v>
      </c>
      <c r="Q7623">
        <v>0</v>
      </c>
      <c r="R7623">
        <v>0</v>
      </c>
      <c r="S7623">
        <v>0</v>
      </c>
    </row>
    <row r="7624" spans="1:20" customFormat="1" ht="15" x14ac:dyDescent="0.25">
      <c r="A7624" t="s">
        <v>35</v>
      </c>
      <c r="B7624" t="s">
        <v>61</v>
      </c>
      <c r="C7624" t="str">
        <f>"A0181754"</f>
        <v>A0181754</v>
      </c>
      <c r="D7624" t="s">
        <v>29027</v>
      </c>
      <c r="E7624" t="s">
        <v>29028</v>
      </c>
      <c r="F7624" t="s">
        <v>24507</v>
      </c>
      <c r="G7624" t="s">
        <v>71</v>
      </c>
      <c r="H7624" t="s">
        <v>29029</v>
      </c>
      <c r="I7624" t="s">
        <v>30</v>
      </c>
      <c r="J7624" t="s">
        <v>41</v>
      </c>
      <c r="K7624" t="s">
        <v>59</v>
      </c>
      <c r="Q7624">
        <v>0</v>
      </c>
      <c r="R7624">
        <v>0</v>
      </c>
      <c r="S7624">
        <v>0</v>
      </c>
    </row>
    <row r="7625" spans="1:20" customFormat="1" ht="15" x14ac:dyDescent="0.25">
      <c r="A7625" t="s">
        <v>35</v>
      </c>
      <c r="B7625" t="s">
        <v>61</v>
      </c>
      <c r="C7625" t="str">
        <f>"A0181753"</f>
        <v>A0181753</v>
      </c>
      <c r="D7625" t="s">
        <v>29030</v>
      </c>
      <c r="E7625" t="s">
        <v>29031</v>
      </c>
      <c r="F7625" t="s">
        <v>26786</v>
      </c>
      <c r="G7625" t="s">
        <v>161</v>
      </c>
      <c r="H7625" t="s">
        <v>29032</v>
      </c>
      <c r="I7625" t="s">
        <v>30</v>
      </c>
      <c r="J7625" t="s">
        <v>41</v>
      </c>
      <c r="K7625" t="s">
        <v>59</v>
      </c>
      <c r="Q7625">
        <v>0</v>
      </c>
      <c r="R7625">
        <v>0</v>
      </c>
      <c r="S7625">
        <v>0</v>
      </c>
      <c r="T7625" t="s">
        <v>29033</v>
      </c>
    </row>
    <row r="7626" spans="1:20" customFormat="1" ht="15" x14ac:dyDescent="0.25">
      <c r="A7626" t="s">
        <v>35</v>
      </c>
      <c r="B7626" t="s">
        <v>61</v>
      </c>
      <c r="C7626" t="str">
        <f>"A0181752"</f>
        <v>A0181752</v>
      </c>
      <c r="D7626" t="s">
        <v>29034</v>
      </c>
      <c r="E7626" t="s">
        <v>29035</v>
      </c>
      <c r="F7626" t="s">
        <v>26786</v>
      </c>
      <c r="G7626" t="s">
        <v>161</v>
      </c>
      <c r="H7626">
        <v>56560</v>
      </c>
      <c r="I7626" t="s">
        <v>30</v>
      </c>
      <c r="J7626" t="s">
        <v>41</v>
      </c>
      <c r="K7626" t="s">
        <v>59</v>
      </c>
      <c r="Q7626">
        <v>0</v>
      </c>
      <c r="R7626">
        <v>0</v>
      </c>
      <c r="S7626">
        <v>0</v>
      </c>
      <c r="T7626" t="s">
        <v>29033</v>
      </c>
    </row>
    <row r="7627" spans="1:20" customFormat="1" ht="15" x14ac:dyDescent="0.25">
      <c r="A7627" t="s">
        <v>35</v>
      </c>
      <c r="B7627" t="s">
        <v>61</v>
      </c>
      <c r="C7627" t="str">
        <f>"A0181751"</f>
        <v>A0181751</v>
      </c>
      <c r="D7627" t="s">
        <v>29036</v>
      </c>
      <c r="E7627" t="s">
        <v>29037</v>
      </c>
      <c r="F7627" t="s">
        <v>20926</v>
      </c>
      <c r="G7627" t="s">
        <v>161</v>
      </c>
      <c r="H7627" t="s">
        <v>29038</v>
      </c>
      <c r="I7627" t="s">
        <v>30</v>
      </c>
      <c r="J7627" t="s">
        <v>41</v>
      </c>
      <c r="K7627" t="s">
        <v>59</v>
      </c>
      <c r="Q7627">
        <v>0</v>
      </c>
      <c r="R7627">
        <v>50</v>
      </c>
      <c r="S7627">
        <v>50</v>
      </c>
    </row>
    <row r="7628" spans="1:20" customFormat="1" ht="15" x14ac:dyDescent="0.25">
      <c r="A7628" t="s">
        <v>35</v>
      </c>
      <c r="B7628" t="s">
        <v>61</v>
      </c>
      <c r="C7628" t="str">
        <f>"A0181750"</f>
        <v>A0181750</v>
      </c>
      <c r="D7628" t="s">
        <v>29039</v>
      </c>
      <c r="E7628" t="s">
        <v>29040</v>
      </c>
      <c r="F7628" t="s">
        <v>20360</v>
      </c>
      <c r="G7628" t="s">
        <v>161</v>
      </c>
      <c r="H7628" t="s">
        <v>29041</v>
      </c>
      <c r="I7628" t="s">
        <v>30</v>
      </c>
      <c r="J7628" t="s">
        <v>41</v>
      </c>
      <c r="K7628" t="s">
        <v>59</v>
      </c>
      <c r="Q7628">
        <v>0</v>
      </c>
      <c r="R7628">
        <v>0</v>
      </c>
      <c r="S7628">
        <v>0</v>
      </c>
      <c r="T7628" t="s">
        <v>29042</v>
      </c>
    </row>
    <row r="7629" spans="1:20" customFormat="1" ht="15" x14ac:dyDescent="0.25">
      <c r="A7629" t="s">
        <v>35</v>
      </c>
      <c r="B7629" t="s">
        <v>61</v>
      </c>
      <c r="C7629" t="str">
        <f>"A0181749"</f>
        <v>A0181749</v>
      </c>
      <c r="D7629" t="s">
        <v>29043</v>
      </c>
      <c r="E7629" t="s">
        <v>12237</v>
      </c>
      <c r="F7629" t="s">
        <v>12238</v>
      </c>
      <c r="G7629" t="s">
        <v>71</v>
      </c>
      <c r="H7629" t="s">
        <v>12239</v>
      </c>
      <c r="I7629" t="s">
        <v>30</v>
      </c>
      <c r="J7629" t="s">
        <v>41</v>
      </c>
      <c r="K7629" t="s">
        <v>59</v>
      </c>
      <c r="Q7629">
        <v>0</v>
      </c>
      <c r="R7629">
        <v>0</v>
      </c>
      <c r="S7629">
        <v>0</v>
      </c>
    </row>
    <row r="7630" spans="1:20" customFormat="1" ht="15" x14ac:dyDescent="0.25">
      <c r="A7630" t="s">
        <v>35</v>
      </c>
      <c r="B7630" t="s">
        <v>61</v>
      </c>
      <c r="C7630" t="str">
        <f>"A0181748"</f>
        <v>A0181748</v>
      </c>
      <c r="D7630" t="s">
        <v>29044</v>
      </c>
      <c r="E7630" t="s">
        <v>29045</v>
      </c>
      <c r="F7630" t="s">
        <v>16914</v>
      </c>
      <c r="G7630" t="s">
        <v>110</v>
      </c>
      <c r="H7630">
        <v>93923</v>
      </c>
      <c r="I7630" t="s">
        <v>30</v>
      </c>
      <c r="J7630" t="s">
        <v>41</v>
      </c>
      <c r="K7630" t="s">
        <v>59</v>
      </c>
      <c r="Q7630">
        <v>0</v>
      </c>
      <c r="R7630">
        <v>60</v>
      </c>
      <c r="S7630">
        <v>60</v>
      </c>
      <c r="T7630" t="s">
        <v>29046</v>
      </c>
    </row>
    <row r="7631" spans="1:20" customFormat="1" ht="15" x14ac:dyDescent="0.25">
      <c r="A7631" t="s">
        <v>35</v>
      </c>
      <c r="B7631" t="s">
        <v>11871</v>
      </c>
      <c r="C7631" t="str">
        <f>"A0181747"</f>
        <v>A0181747</v>
      </c>
      <c r="D7631" t="s">
        <v>23988</v>
      </c>
      <c r="E7631" t="s">
        <v>29047</v>
      </c>
      <c r="F7631" t="s">
        <v>11963</v>
      </c>
      <c r="G7631" t="s">
        <v>99</v>
      </c>
      <c r="H7631" t="s">
        <v>29048</v>
      </c>
      <c r="I7631" t="s">
        <v>30</v>
      </c>
      <c r="J7631" t="s">
        <v>41</v>
      </c>
      <c r="K7631" t="s">
        <v>59</v>
      </c>
      <c r="Q7631">
        <v>0</v>
      </c>
      <c r="R7631">
        <v>0</v>
      </c>
      <c r="S7631">
        <v>0</v>
      </c>
      <c r="T7631" t="s">
        <v>29049</v>
      </c>
    </row>
    <row r="7632" spans="1:20" customFormat="1" ht="15" x14ac:dyDescent="0.25">
      <c r="A7632" t="s">
        <v>35</v>
      </c>
      <c r="B7632" t="s">
        <v>61</v>
      </c>
      <c r="C7632" t="str">
        <f>"A0181746"</f>
        <v>A0181746</v>
      </c>
      <c r="D7632" t="s">
        <v>29050</v>
      </c>
      <c r="E7632" t="s">
        <v>29051</v>
      </c>
      <c r="F7632" t="s">
        <v>23833</v>
      </c>
      <c r="G7632" t="s">
        <v>99</v>
      </c>
      <c r="H7632" t="s">
        <v>29052</v>
      </c>
      <c r="I7632" t="s">
        <v>30</v>
      </c>
      <c r="J7632" t="s">
        <v>41</v>
      </c>
      <c r="K7632" t="s">
        <v>59</v>
      </c>
      <c r="Q7632">
        <v>0</v>
      </c>
      <c r="R7632">
        <v>0</v>
      </c>
      <c r="S7632">
        <v>0</v>
      </c>
      <c r="T7632" t="s">
        <v>29053</v>
      </c>
    </row>
    <row r="7633" spans="1:20" customFormat="1" ht="15" x14ac:dyDescent="0.25">
      <c r="A7633" t="s">
        <v>35</v>
      </c>
      <c r="B7633" t="s">
        <v>61</v>
      </c>
      <c r="C7633" t="str">
        <f>"A0181745"</f>
        <v>A0181745</v>
      </c>
      <c r="D7633" t="s">
        <v>29054</v>
      </c>
      <c r="E7633" t="s">
        <v>29055</v>
      </c>
      <c r="F7633" t="s">
        <v>4269</v>
      </c>
      <c r="G7633" t="s">
        <v>99</v>
      </c>
      <c r="H7633" t="s">
        <v>29056</v>
      </c>
      <c r="I7633" t="s">
        <v>30</v>
      </c>
      <c r="J7633" t="s">
        <v>41</v>
      </c>
      <c r="K7633" t="s">
        <v>59</v>
      </c>
      <c r="Q7633">
        <v>0</v>
      </c>
      <c r="R7633">
        <v>510</v>
      </c>
      <c r="S7633">
        <v>510</v>
      </c>
      <c r="T7633" t="s">
        <v>29057</v>
      </c>
    </row>
    <row r="7634" spans="1:20" customFormat="1" ht="15" x14ac:dyDescent="0.25">
      <c r="A7634" t="s">
        <v>35</v>
      </c>
      <c r="B7634" t="s">
        <v>61</v>
      </c>
      <c r="C7634" t="str">
        <f>"A0181744"</f>
        <v>A0181744</v>
      </c>
      <c r="D7634" t="s">
        <v>29058</v>
      </c>
      <c r="E7634" t="s">
        <v>25138</v>
      </c>
      <c r="F7634" t="s">
        <v>13957</v>
      </c>
      <c r="G7634" t="s">
        <v>99</v>
      </c>
      <c r="H7634" t="s">
        <v>25139</v>
      </c>
      <c r="I7634" t="s">
        <v>30</v>
      </c>
      <c r="J7634" t="s">
        <v>41</v>
      </c>
      <c r="K7634" t="s">
        <v>59</v>
      </c>
      <c r="Q7634">
        <v>0</v>
      </c>
      <c r="R7634">
        <v>0</v>
      </c>
      <c r="S7634">
        <v>0</v>
      </c>
      <c r="T7634" t="s">
        <v>28004</v>
      </c>
    </row>
    <row r="7635" spans="1:20" customFormat="1" ht="15" x14ac:dyDescent="0.25">
      <c r="A7635" t="s">
        <v>35</v>
      </c>
      <c r="B7635" t="s">
        <v>61</v>
      </c>
      <c r="C7635" t="str">
        <f>"A0181743"</f>
        <v>A0181743</v>
      </c>
      <c r="D7635" t="s">
        <v>29059</v>
      </c>
      <c r="E7635" t="s">
        <v>29060</v>
      </c>
      <c r="F7635" t="s">
        <v>29061</v>
      </c>
      <c r="G7635" t="s">
        <v>99</v>
      </c>
      <c r="H7635" t="s">
        <v>29062</v>
      </c>
      <c r="I7635" t="s">
        <v>30</v>
      </c>
      <c r="J7635" t="s">
        <v>41</v>
      </c>
      <c r="K7635" t="s">
        <v>59</v>
      </c>
      <c r="Q7635">
        <v>0</v>
      </c>
      <c r="R7635">
        <v>0</v>
      </c>
      <c r="S7635">
        <v>0</v>
      </c>
      <c r="T7635" t="s">
        <v>29063</v>
      </c>
    </row>
    <row r="7636" spans="1:20" customFormat="1" ht="15" x14ac:dyDescent="0.25">
      <c r="A7636" t="s">
        <v>35</v>
      </c>
      <c r="B7636" t="s">
        <v>61</v>
      </c>
      <c r="C7636" t="str">
        <f>"A0181742"</f>
        <v>A0181742</v>
      </c>
      <c r="D7636" t="s">
        <v>29064</v>
      </c>
      <c r="E7636" t="s">
        <v>29065</v>
      </c>
      <c r="F7636" t="s">
        <v>29066</v>
      </c>
      <c r="G7636" t="s">
        <v>99</v>
      </c>
      <c r="H7636" t="s">
        <v>29067</v>
      </c>
      <c r="I7636" t="s">
        <v>30</v>
      </c>
      <c r="J7636" t="s">
        <v>41</v>
      </c>
      <c r="K7636" t="s">
        <v>59</v>
      </c>
      <c r="Q7636">
        <v>0</v>
      </c>
      <c r="R7636">
        <v>0</v>
      </c>
      <c r="S7636">
        <v>0</v>
      </c>
      <c r="T7636" t="s">
        <v>29068</v>
      </c>
    </row>
    <row r="7637" spans="1:20" customFormat="1" ht="15" x14ac:dyDescent="0.25">
      <c r="A7637" t="s">
        <v>35</v>
      </c>
      <c r="B7637" t="s">
        <v>61</v>
      </c>
      <c r="C7637" t="str">
        <f>"A0181741"</f>
        <v>A0181741</v>
      </c>
      <c r="D7637" t="s">
        <v>29069</v>
      </c>
      <c r="E7637" t="s">
        <v>29070</v>
      </c>
      <c r="F7637" t="s">
        <v>23833</v>
      </c>
      <c r="G7637" t="s">
        <v>99</v>
      </c>
      <c r="H7637">
        <v>10003</v>
      </c>
      <c r="I7637" t="s">
        <v>30</v>
      </c>
      <c r="J7637" t="s">
        <v>41</v>
      </c>
      <c r="K7637" t="s">
        <v>59</v>
      </c>
      <c r="Q7637">
        <v>0</v>
      </c>
      <c r="R7637">
        <v>0</v>
      </c>
      <c r="S7637">
        <v>0</v>
      </c>
      <c r="T7637" t="s">
        <v>29071</v>
      </c>
    </row>
    <row r="7638" spans="1:20" customFormat="1" ht="15" x14ac:dyDescent="0.25">
      <c r="A7638" t="s">
        <v>35</v>
      </c>
      <c r="B7638" t="s">
        <v>61</v>
      </c>
      <c r="C7638" t="str">
        <f>"A0181740"</f>
        <v>A0181740</v>
      </c>
      <c r="D7638" t="s">
        <v>29072</v>
      </c>
      <c r="E7638" t="s">
        <v>29073</v>
      </c>
      <c r="F7638" t="s">
        <v>11919</v>
      </c>
      <c r="G7638" t="s">
        <v>338</v>
      </c>
      <c r="H7638" t="s">
        <v>29074</v>
      </c>
      <c r="I7638" t="s">
        <v>30</v>
      </c>
      <c r="J7638" t="s">
        <v>41</v>
      </c>
      <c r="K7638" t="s">
        <v>59</v>
      </c>
      <c r="Q7638">
        <v>0</v>
      </c>
      <c r="R7638">
        <v>180</v>
      </c>
      <c r="S7638">
        <v>180</v>
      </c>
      <c r="T7638" t="s">
        <v>29075</v>
      </c>
    </row>
    <row r="7639" spans="1:20" customFormat="1" ht="15" x14ac:dyDescent="0.25">
      <c r="A7639" t="s">
        <v>35</v>
      </c>
      <c r="B7639" t="s">
        <v>61</v>
      </c>
      <c r="C7639" t="str">
        <f>"A0181739"</f>
        <v>A0181739</v>
      </c>
      <c r="D7639" t="s">
        <v>29076</v>
      </c>
      <c r="E7639" t="s">
        <v>29077</v>
      </c>
      <c r="F7639" t="s">
        <v>29078</v>
      </c>
      <c r="G7639" t="s">
        <v>338</v>
      </c>
      <c r="H7639" t="s">
        <v>29079</v>
      </c>
      <c r="I7639" t="s">
        <v>30</v>
      </c>
      <c r="J7639" t="s">
        <v>41</v>
      </c>
      <c r="K7639" t="s">
        <v>59</v>
      </c>
      <c r="Q7639">
        <v>0</v>
      </c>
      <c r="R7639">
        <v>0</v>
      </c>
      <c r="S7639">
        <v>0</v>
      </c>
      <c r="T7639" t="s">
        <v>29080</v>
      </c>
    </row>
    <row r="7640" spans="1:20" customFormat="1" ht="15" x14ac:dyDescent="0.25">
      <c r="A7640" t="s">
        <v>35</v>
      </c>
      <c r="B7640" t="s">
        <v>61</v>
      </c>
      <c r="C7640" t="str">
        <f>"A0181738"</f>
        <v>A0181738</v>
      </c>
      <c r="D7640" t="s">
        <v>29081</v>
      </c>
      <c r="E7640" t="s">
        <v>29082</v>
      </c>
      <c r="F7640" t="s">
        <v>29083</v>
      </c>
      <c r="G7640" t="s">
        <v>338</v>
      </c>
      <c r="H7640">
        <v>8057</v>
      </c>
      <c r="I7640" t="s">
        <v>30</v>
      </c>
      <c r="J7640" t="s">
        <v>41</v>
      </c>
      <c r="K7640" t="s">
        <v>59</v>
      </c>
      <c r="Q7640">
        <v>0</v>
      </c>
      <c r="R7640">
        <v>56</v>
      </c>
      <c r="S7640">
        <v>56</v>
      </c>
      <c r="T7640" t="s">
        <v>29084</v>
      </c>
    </row>
    <row r="7641" spans="1:20" customFormat="1" ht="15" x14ac:dyDescent="0.25">
      <c r="A7641" t="s">
        <v>35</v>
      </c>
      <c r="B7641" t="s">
        <v>61</v>
      </c>
      <c r="C7641" t="str">
        <f>"A0181737"</f>
        <v>A0181737</v>
      </c>
      <c r="D7641" t="s">
        <v>29085</v>
      </c>
      <c r="E7641" t="s">
        <v>29086</v>
      </c>
      <c r="F7641" t="s">
        <v>26797</v>
      </c>
      <c r="G7641" t="s">
        <v>161</v>
      </c>
      <c r="H7641">
        <v>56501</v>
      </c>
      <c r="I7641" t="s">
        <v>30</v>
      </c>
      <c r="J7641" t="s">
        <v>41</v>
      </c>
      <c r="K7641" t="s">
        <v>59</v>
      </c>
      <c r="Q7641">
        <v>0</v>
      </c>
      <c r="R7641">
        <v>0</v>
      </c>
      <c r="S7641">
        <v>0</v>
      </c>
      <c r="T7641" t="s">
        <v>26798</v>
      </c>
    </row>
    <row r="7642" spans="1:20" customFormat="1" ht="15" x14ac:dyDescent="0.25">
      <c r="A7642" t="s">
        <v>35</v>
      </c>
      <c r="B7642" t="s">
        <v>61</v>
      </c>
      <c r="C7642" t="str">
        <f>"A0181736"</f>
        <v>A0181736</v>
      </c>
      <c r="D7642" t="s">
        <v>29087</v>
      </c>
      <c r="E7642" t="s">
        <v>29088</v>
      </c>
      <c r="F7642" t="s">
        <v>28763</v>
      </c>
      <c r="G7642" t="s">
        <v>161</v>
      </c>
      <c r="H7642" t="s">
        <v>29089</v>
      </c>
      <c r="I7642" t="s">
        <v>30</v>
      </c>
      <c r="J7642" t="s">
        <v>41</v>
      </c>
      <c r="K7642" t="s">
        <v>59</v>
      </c>
      <c r="Q7642">
        <v>0</v>
      </c>
      <c r="R7642">
        <v>154</v>
      </c>
      <c r="S7642">
        <v>154</v>
      </c>
      <c r="T7642" t="s">
        <v>29090</v>
      </c>
    </row>
    <row r="7643" spans="1:20" customFormat="1" ht="15" x14ac:dyDescent="0.25">
      <c r="A7643" t="s">
        <v>35</v>
      </c>
      <c r="B7643" t="s">
        <v>61</v>
      </c>
      <c r="C7643" t="str">
        <f>"A0181735"</f>
        <v>A0181735</v>
      </c>
      <c r="D7643" t="s">
        <v>29091</v>
      </c>
      <c r="E7643" t="s">
        <v>29092</v>
      </c>
      <c r="F7643" t="s">
        <v>25173</v>
      </c>
      <c r="G7643" t="s">
        <v>161</v>
      </c>
      <c r="H7643" t="s">
        <v>29093</v>
      </c>
      <c r="I7643" t="s">
        <v>30</v>
      </c>
      <c r="J7643" t="s">
        <v>41</v>
      </c>
      <c r="K7643" t="s">
        <v>59</v>
      </c>
      <c r="Q7643">
        <v>0</v>
      </c>
      <c r="R7643">
        <v>0</v>
      </c>
      <c r="S7643">
        <v>0</v>
      </c>
      <c r="T7643" t="s">
        <v>29094</v>
      </c>
    </row>
    <row r="7644" spans="1:20" customFormat="1" ht="15" x14ac:dyDescent="0.25">
      <c r="A7644" t="s">
        <v>35</v>
      </c>
      <c r="B7644" t="s">
        <v>61</v>
      </c>
      <c r="C7644" t="str">
        <f>"A0181734"</f>
        <v>A0181734</v>
      </c>
      <c r="D7644" t="s">
        <v>29095</v>
      </c>
      <c r="E7644" t="s">
        <v>29096</v>
      </c>
      <c r="F7644" t="s">
        <v>20926</v>
      </c>
      <c r="G7644" t="s">
        <v>161</v>
      </c>
      <c r="H7644">
        <v>55104</v>
      </c>
      <c r="I7644" t="s">
        <v>30</v>
      </c>
      <c r="J7644" t="s">
        <v>41</v>
      </c>
      <c r="K7644" t="s">
        <v>59</v>
      </c>
      <c r="Q7644">
        <v>0</v>
      </c>
      <c r="R7644">
        <v>0</v>
      </c>
      <c r="S7644">
        <v>0</v>
      </c>
    </row>
    <row r="7645" spans="1:20" customFormat="1" ht="15" x14ac:dyDescent="0.25">
      <c r="A7645" t="s">
        <v>35</v>
      </c>
      <c r="B7645" t="s">
        <v>61</v>
      </c>
      <c r="C7645" t="str">
        <f>"A0181733"</f>
        <v>A0181733</v>
      </c>
      <c r="D7645" t="s">
        <v>29097</v>
      </c>
      <c r="E7645" t="s">
        <v>28118</v>
      </c>
      <c r="F7645" t="s">
        <v>28119</v>
      </c>
      <c r="G7645" t="s">
        <v>161</v>
      </c>
      <c r="H7645" t="s">
        <v>28120</v>
      </c>
      <c r="I7645" t="s">
        <v>30</v>
      </c>
      <c r="J7645" t="s">
        <v>41</v>
      </c>
      <c r="K7645" t="s">
        <v>59</v>
      </c>
      <c r="Q7645">
        <v>0</v>
      </c>
      <c r="R7645">
        <v>0</v>
      </c>
      <c r="S7645">
        <v>0</v>
      </c>
    </row>
    <row r="7646" spans="1:20" customFormat="1" ht="15" x14ac:dyDescent="0.25">
      <c r="A7646" t="s">
        <v>35</v>
      </c>
      <c r="B7646" t="s">
        <v>61</v>
      </c>
      <c r="C7646" t="str">
        <f>"A0181732"</f>
        <v>A0181732</v>
      </c>
      <c r="D7646" t="s">
        <v>29098</v>
      </c>
      <c r="E7646" t="s">
        <v>29099</v>
      </c>
      <c r="F7646" t="s">
        <v>6729</v>
      </c>
      <c r="G7646" t="s">
        <v>161</v>
      </c>
      <c r="H7646" t="s">
        <v>29100</v>
      </c>
      <c r="I7646" t="s">
        <v>30</v>
      </c>
      <c r="J7646" t="s">
        <v>41</v>
      </c>
      <c r="K7646" t="s">
        <v>59</v>
      </c>
      <c r="Q7646">
        <v>0</v>
      </c>
      <c r="R7646">
        <v>0</v>
      </c>
      <c r="S7646">
        <v>0</v>
      </c>
    </row>
    <row r="7647" spans="1:20" customFormat="1" ht="15" x14ac:dyDescent="0.25">
      <c r="A7647" t="s">
        <v>35</v>
      </c>
      <c r="B7647" t="s">
        <v>61</v>
      </c>
      <c r="C7647" t="str">
        <f>"A0181731"</f>
        <v>A0181731</v>
      </c>
      <c r="D7647" t="s">
        <v>29101</v>
      </c>
      <c r="E7647" t="s">
        <v>29102</v>
      </c>
      <c r="F7647" t="s">
        <v>29103</v>
      </c>
      <c r="G7647" t="s">
        <v>161</v>
      </c>
      <c r="H7647" t="s">
        <v>29104</v>
      </c>
      <c r="I7647" t="s">
        <v>30</v>
      </c>
      <c r="J7647" t="s">
        <v>41</v>
      </c>
      <c r="K7647" t="s">
        <v>59</v>
      </c>
      <c r="Q7647">
        <v>0</v>
      </c>
      <c r="R7647">
        <v>120</v>
      </c>
      <c r="S7647">
        <v>120</v>
      </c>
      <c r="T7647" t="s">
        <v>29105</v>
      </c>
    </row>
    <row r="7648" spans="1:20" customFormat="1" ht="15" x14ac:dyDescent="0.25">
      <c r="A7648" t="s">
        <v>35</v>
      </c>
      <c r="B7648" t="s">
        <v>61</v>
      </c>
      <c r="C7648" t="str">
        <f>"A0181730"</f>
        <v>A0181730</v>
      </c>
      <c r="D7648" t="s">
        <v>29106</v>
      </c>
      <c r="E7648" t="s">
        <v>29107</v>
      </c>
      <c r="F7648" t="s">
        <v>19689</v>
      </c>
      <c r="G7648" t="s">
        <v>161</v>
      </c>
      <c r="H7648" t="s">
        <v>29108</v>
      </c>
      <c r="I7648" t="s">
        <v>30</v>
      </c>
      <c r="J7648" t="s">
        <v>41</v>
      </c>
      <c r="K7648" t="s">
        <v>59</v>
      </c>
      <c r="Q7648">
        <v>0</v>
      </c>
      <c r="R7648">
        <v>214</v>
      </c>
      <c r="S7648">
        <v>214</v>
      </c>
      <c r="T7648" t="s">
        <v>29109</v>
      </c>
    </row>
    <row r="7649" spans="1:20" customFormat="1" ht="15" x14ac:dyDescent="0.25">
      <c r="A7649" t="s">
        <v>35</v>
      </c>
      <c r="B7649" t="s">
        <v>61</v>
      </c>
      <c r="C7649" t="str">
        <f>"A0181729"</f>
        <v>A0181729</v>
      </c>
      <c r="D7649" t="s">
        <v>29110</v>
      </c>
      <c r="E7649" t="s">
        <v>29111</v>
      </c>
      <c r="F7649" t="s">
        <v>29112</v>
      </c>
      <c r="G7649" t="s">
        <v>161</v>
      </c>
      <c r="H7649" t="s">
        <v>29113</v>
      </c>
      <c r="I7649" t="s">
        <v>30</v>
      </c>
      <c r="J7649" t="s">
        <v>41</v>
      </c>
      <c r="K7649" t="s">
        <v>59</v>
      </c>
      <c r="Q7649">
        <v>0</v>
      </c>
      <c r="R7649">
        <v>0</v>
      </c>
      <c r="S7649">
        <v>0</v>
      </c>
      <c r="T7649" t="s">
        <v>29114</v>
      </c>
    </row>
    <row r="7650" spans="1:20" customFormat="1" ht="15" x14ac:dyDescent="0.25">
      <c r="A7650" t="s">
        <v>35</v>
      </c>
      <c r="B7650" t="s">
        <v>61</v>
      </c>
      <c r="C7650" t="str">
        <f>"A0181728"</f>
        <v>A0181728</v>
      </c>
      <c r="D7650" t="s">
        <v>29115</v>
      </c>
      <c r="E7650" t="s">
        <v>29116</v>
      </c>
      <c r="F7650" t="s">
        <v>13957</v>
      </c>
      <c r="G7650" t="s">
        <v>99</v>
      </c>
      <c r="H7650" t="s">
        <v>29117</v>
      </c>
      <c r="I7650" t="s">
        <v>30</v>
      </c>
      <c r="J7650" t="s">
        <v>41</v>
      </c>
      <c r="K7650" t="s">
        <v>59</v>
      </c>
      <c r="Q7650">
        <v>0</v>
      </c>
      <c r="R7650">
        <v>0</v>
      </c>
      <c r="S7650">
        <v>0</v>
      </c>
    </row>
    <row r="7651" spans="1:20" customFormat="1" ht="15" x14ac:dyDescent="0.25">
      <c r="A7651" t="s">
        <v>35</v>
      </c>
      <c r="B7651" t="s">
        <v>61</v>
      </c>
      <c r="C7651" t="str">
        <f>"A0181727"</f>
        <v>A0181727</v>
      </c>
      <c r="D7651" t="s">
        <v>29118</v>
      </c>
      <c r="E7651" t="s">
        <v>29119</v>
      </c>
      <c r="F7651" t="s">
        <v>22374</v>
      </c>
      <c r="G7651" t="s">
        <v>99</v>
      </c>
      <c r="H7651" t="s">
        <v>29120</v>
      </c>
      <c r="I7651" t="s">
        <v>30</v>
      </c>
      <c r="J7651" t="s">
        <v>41</v>
      </c>
      <c r="K7651" t="s">
        <v>59</v>
      </c>
      <c r="Q7651">
        <v>0</v>
      </c>
      <c r="R7651">
        <v>0</v>
      </c>
      <c r="S7651">
        <v>0</v>
      </c>
      <c r="T7651" t="s">
        <v>29121</v>
      </c>
    </row>
    <row r="7652" spans="1:20" customFormat="1" ht="15" x14ac:dyDescent="0.25">
      <c r="A7652" t="s">
        <v>35</v>
      </c>
      <c r="B7652" t="s">
        <v>61</v>
      </c>
      <c r="C7652" t="str">
        <f>"A0181726"</f>
        <v>A0181726</v>
      </c>
      <c r="D7652" t="s">
        <v>29122</v>
      </c>
      <c r="E7652" t="s">
        <v>29123</v>
      </c>
      <c r="F7652" t="s">
        <v>28879</v>
      </c>
      <c r="G7652" t="s">
        <v>99</v>
      </c>
      <c r="H7652" t="s">
        <v>29124</v>
      </c>
      <c r="I7652" t="s">
        <v>30</v>
      </c>
      <c r="J7652" t="s">
        <v>41</v>
      </c>
      <c r="K7652" t="s">
        <v>59</v>
      </c>
      <c r="Q7652">
        <v>0</v>
      </c>
      <c r="R7652">
        <v>0</v>
      </c>
      <c r="S7652">
        <v>0</v>
      </c>
      <c r="T7652" t="s">
        <v>29125</v>
      </c>
    </row>
    <row r="7653" spans="1:20" customFormat="1" ht="15" x14ac:dyDescent="0.25">
      <c r="A7653" t="s">
        <v>35</v>
      </c>
      <c r="B7653" t="s">
        <v>61</v>
      </c>
      <c r="C7653" t="str">
        <f>"A0181725"</f>
        <v>A0181725</v>
      </c>
      <c r="D7653" t="s">
        <v>29126</v>
      </c>
      <c r="E7653" t="s">
        <v>29127</v>
      </c>
      <c r="F7653" t="s">
        <v>4586</v>
      </c>
      <c r="G7653" t="s">
        <v>338</v>
      </c>
      <c r="H7653" t="s">
        <v>29128</v>
      </c>
      <c r="I7653" t="s">
        <v>30</v>
      </c>
      <c r="J7653" t="s">
        <v>41</v>
      </c>
      <c r="K7653" t="s">
        <v>59</v>
      </c>
      <c r="Q7653">
        <v>0</v>
      </c>
      <c r="R7653">
        <v>122</v>
      </c>
      <c r="S7653">
        <v>122</v>
      </c>
      <c r="T7653" t="s">
        <v>29129</v>
      </c>
    </row>
    <row r="7654" spans="1:20" customFormat="1" ht="15" x14ac:dyDescent="0.25">
      <c r="A7654" t="s">
        <v>35</v>
      </c>
      <c r="B7654" t="s">
        <v>61</v>
      </c>
      <c r="C7654" t="str">
        <f>"A0181724"</f>
        <v>A0181724</v>
      </c>
      <c r="D7654" t="s">
        <v>29130</v>
      </c>
      <c r="E7654" t="s">
        <v>29131</v>
      </c>
      <c r="F7654" t="s">
        <v>29132</v>
      </c>
      <c r="G7654" t="s">
        <v>71</v>
      </c>
      <c r="H7654">
        <v>54956</v>
      </c>
      <c r="I7654" t="s">
        <v>30</v>
      </c>
      <c r="J7654" t="s">
        <v>41</v>
      </c>
      <c r="K7654" t="s">
        <v>59</v>
      </c>
      <c r="Q7654">
        <v>0</v>
      </c>
      <c r="R7654">
        <v>0</v>
      </c>
      <c r="S7654">
        <v>0</v>
      </c>
    </row>
    <row r="7655" spans="1:20" customFormat="1" ht="15" x14ac:dyDescent="0.25">
      <c r="A7655" t="s">
        <v>35</v>
      </c>
      <c r="B7655" t="s">
        <v>61</v>
      </c>
      <c r="C7655" t="str">
        <f>"A0181723"</f>
        <v>A0181723</v>
      </c>
      <c r="D7655" t="s">
        <v>29133</v>
      </c>
      <c r="E7655" t="s">
        <v>29134</v>
      </c>
      <c r="F7655" t="s">
        <v>21686</v>
      </c>
      <c r="G7655" t="s">
        <v>161</v>
      </c>
      <c r="H7655">
        <v>56187</v>
      </c>
      <c r="I7655" t="s">
        <v>30</v>
      </c>
      <c r="J7655" t="s">
        <v>41</v>
      </c>
      <c r="K7655" t="s">
        <v>59</v>
      </c>
      <c r="Q7655">
        <v>0</v>
      </c>
      <c r="R7655">
        <v>66</v>
      </c>
      <c r="S7655">
        <v>66</v>
      </c>
      <c r="T7655" t="s">
        <v>29135</v>
      </c>
    </row>
    <row r="7656" spans="1:20" customFormat="1" ht="15" x14ac:dyDescent="0.25">
      <c r="A7656" t="s">
        <v>35</v>
      </c>
      <c r="B7656" t="s">
        <v>61</v>
      </c>
      <c r="C7656" t="str">
        <f>"A0181722"</f>
        <v>A0181722</v>
      </c>
      <c r="D7656" t="s">
        <v>29136</v>
      </c>
      <c r="E7656" t="s">
        <v>29137</v>
      </c>
      <c r="F7656" t="s">
        <v>4133</v>
      </c>
      <c r="G7656" t="s">
        <v>161</v>
      </c>
      <c r="H7656">
        <v>55912</v>
      </c>
      <c r="I7656" t="s">
        <v>30</v>
      </c>
      <c r="J7656" t="s">
        <v>41</v>
      </c>
      <c r="K7656" t="s">
        <v>59</v>
      </c>
      <c r="Q7656">
        <v>0</v>
      </c>
      <c r="R7656">
        <v>0</v>
      </c>
      <c r="S7656">
        <v>0</v>
      </c>
      <c r="T7656" t="s">
        <v>29138</v>
      </c>
    </row>
    <row r="7657" spans="1:20" customFormat="1" ht="15" x14ac:dyDescent="0.25">
      <c r="A7657" t="s">
        <v>35</v>
      </c>
      <c r="B7657" t="s">
        <v>61</v>
      </c>
      <c r="C7657" t="str">
        <f>"A0181721"</f>
        <v>A0181721</v>
      </c>
      <c r="D7657" t="s">
        <v>29139</v>
      </c>
      <c r="E7657" t="s">
        <v>29140</v>
      </c>
      <c r="F7657" t="s">
        <v>28439</v>
      </c>
      <c r="G7657" t="s">
        <v>161</v>
      </c>
      <c r="H7657" t="s">
        <v>29141</v>
      </c>
      <c r="I7657" t="s">
        <v>30</v>
      </c>
      <c r="J7657" t="s">
        <v>41</v>
      </c>
      <c r="K7657" t="s">
        <v>59</v>
      </c>
      <c r="Q7657">
        <v>0</v>
      </c>
      <c r="R7657">
        <v>69</v>
      </c>
      <c r="S7657">
        <v>69</v>
      </c>
      <c r="T7657" t="s">
        <v>29142</v>
      </c>
    </row>
    <row r="7658" spans="1:20" customFormat="1" ht="15" x14ac:dyDescent="0.25">
      <c r="A7658" t="s">
        <v>35</v>
      </c>
      <c r="B7658" t="s">
        <v>61</v>
      </c>
      <c r="C7658" t="str">
        <f>"A0181720"</f>
        <v>A0181720</v>
      </c>
      <c r="D7658" t="s">
        <v>29143</v>
      </c>
      <c r="E7658" t="s">
        <v>28493</v>
      </c>
      <c r="F7658" t="s">
        <v>15552</v>
      </c>
      <c r="G7658" t="s">
        <v>161</v>
      </c>
      <c r="H7658">
        <v>55355</v>
      </c>
      <c r="I7658" t="s">
        <v>30</v>
      </c>
      <c r="J7658" t="s">
        <v>41</v>
      </c>
      <c r="K7658" t="s">
        <v>59</v>
      </c>
      <c r="Q7658">
        <v>0</v>
      </c>
      <c r="R7658">
        <v>0</v>
      </c>
      <c r="S7658">
        <v>0</v>
      </c>
      <c r="T7658" t="s">
        <v>26791</v>
      </c>
    </row>
    <row r="7659" spans="1:20" customFormat="1" ht="15" x14ac:dyDescent="0.25">
      <c r="A7659" t="s">
        <v>35</v>
      </c>
      <c r="B7659" t="s">
        <v>61</v>
      </c>
      <c r="C7659" t="str">
        <f>"A0181719"</f>
        <v>A0181719</v>
      </c>
      <c r="D7659" t="s">
        <v>29144</v>
      </c>
      <c r="E7659" t="s">
        <v>26625</v>
      </c>
      <c r="F7659" t="s">
        <v>26626</v>
      </c>
      <c r="G7659" t="s">
        <v>99</v>
      </c>
      <c r="H7659" t="s">
        <v>26627</v>
      </c>
      <c r="I7659" t="s">
        <v>30</v>
      </c>
      <c r="J7659" t="s">
        <v>41</v>
      </c>
      <c r="K7659" t="s">
        <v>59</v>
      </c>
      <c r="Q7659">
        <v>0</v>
      </c>
      <c r="R7659">
        <v>196</v>
      </c>
      <c r="S7659">
        <v>196</v>
      </c>
      <c r="T7659" t="s">
        <v>29145</v>
      </c>
    </row>
    <row r="7660" spans="1:20" customFormat="1" ht="15" x14ac:dyDescent="0.25">
      <c r="A7660" t="s">
        <v>35</v>
      </c>
      <c r="B7660" t="s">
        <v>61</v>
      </c>
      <c r="C7660" t="str">
        <f>"A0181718"</f>
        <v>A0181718</v>
      </c>
      <c r="D7660" t="s">
        <v>29146</v>
      </c>
      <c r="E7660" t="s">
        <v>29147</v>
      </c>
      <c r="F7660" t="s">
        <v>5772</v>
      </c>
      <c r="G7660" t="s">
        <v>99</v>
      </c>
      <c r="H7660">
        <v>146202251</v>
      </c>
      <c r="I7660" t="s">
        <v>30</v>
      </c>
      <c r="J7660" t="s">
        <v>41</v>
      </c>
      <c r="K7660" t="s">
        <v>59</v>
      </c>
      <c r="Q7660">
        <v>0</v>
      </c>
      <c r="R7660">
        <v>0</v>
      </c>
      <c r="S7660">
        <v>0</v>
      </c>
      <c r="T7660" t="s">
        <v>29148</v>
      </c>
    </row>
    <row r="7661" spans="1:20" customFormat="1" ht="15" x14ac:dyDescent="0.25">
      <c r="A7661" t="s">
        <v>35</v>
      </c>
      <c r="B7661" t="s">
        <v>61</v>
      </c>
      <c r="C7661" t="str">
        <f>"A0181717"</f>
        <v>A0181717</v>
      </c>
      <c r="D7661" t="s">
        <v>29149</v>
      </c>
      <c r="E7661" t="s">
        <v>26625</v>
      </c>
      <c r="F7661" t="s">
        <v>26626</v>
      </c>
      <c r="G7661" t="s">
        <v>99</v>
      </c>
      <c r="H7661" t="s">
        <v>26627</v>
      </c>
      <c r="I7661" t="s">
        <v>30</v>
      </c>
      <c r="J7661" t="s">
        <v>41</v>
      </c>
      <c r="K7661" t="s">
        <v>59</v>
      </c>
      <c r="Q7661">
        <v>0</v>
      </c>
      <c r="R7661">
        <v>0</v>
      </c>
      <c r="S7661">
        <v>0</v>
      </c>
      <c r="T7661" t="s">
        <v>26628</v>
      </c>
    </row>
    <row r="7662" spans="1:20" customFormat="1" ht="15" x14ac:dyDescent="0.25">
      <c r="A7662" t="s">
        <v>35</v>
      </c>
      <c r="B7662" t="s">
        <v>61</v>
      </c>
      <c r="C7662" t="str">
        <f>"A0181716"</f>
        <v>A0181716</v>
      </c>
      <c r="D7662" t="s">
        <v>29150</v>
      </c>
      <c r="E7662" t="s">
        <v>29151</v>
      </c>
      <c r="F7662" t="s">
        <v>5772</v>
      </c>
      <c r="G7662" t="s">
        <v>99</v>
      </c>
      <c r="H7662">
        <v>146242469</v>
      </c>
      <c r="I7662" t="s">
        <v>30</v>
      </c>
      <c r="J7662" t="s">
        <v>41</v>
      </c>
      <c r="K7662" t="s">
        <v>59</v>
      </c>
      <c r="Q7662">
        <v>0</v>
      </c>
      <c r="R7662">
        <v>0</v>
      </c>
      <c r="S7662">
        <v>0</v>
      </c>
      <c r="T7662" t="s">
        <v>29152</v>
      </c>
    </row>
    <row r="7663" spans="1:20" customFormat="1" ht="15" x14ac:dyDescent="0.25">
      <c r="A7663" t="s">
        <v>35</v>
      </c>
      <c r="B7663" t="s">
        <v>61</v>
      </c>
      <c r="C7663" t="str">
        <f>"A0181715"</f>
        <v>A0181715</v>
      </c>
      <c r="D7663" t="s">
        <v>29153</v>
      </c>
      <c r="E7663" t="s">
        <v>22415</v>
      </c>
      <c r="F7663" t="s">
        <v>5772</v>
      </c>
      <c r="G7663" t="s">
        <v>99</v>
      </c>
      <c r="H7663">
        <v>146202251</v>
      </c>
      <c r="I7663" t="s">
        <v>30</v>
      </c>
      <c r="J7663" t="s">
        <v>41</v>
      </c>
      <c r="K7663" t="s">
        <v>59</v>
      </c>
      <c r="Q7663">
        <v>0</v>
      </c>
      <c r="R7663">
        <v>0</v>
      </c>
      <c r="S7663">
        <v>0</v>
      </c>
      <c r="T7663" t="s">
        <v>29154</v>
      </c>
    </row>
    <row r="7664" spans="1:20" customFormat="1" ht="15" x14ac:dyDescent="0.25">
      <c r="A7664" t="s">
        <v>35</v>
      </c>
      <c r="B7664" t="s">
        <v>61</v>
      </c>
      <c r="C7664" t="str">
        <f>"A0181714"</f>
        <v>A0181714</v>
      </c>
      <c r="D7664" t="s">
        <v>29155</v>
      </c>
      <c r="E7664" t="s">
        <v>29156</v>
      </c>
      <c r="F7664" t="s">
        <v>4203</v>
      </c>
      <c r="G7664" t="s">
        <v>99</v>
      </c>
      <c r="H7664" t="s">
        <v>29157</v>
      </c>
      <c r="I7664" t="s">
        <v>30</v>
      </c>
      <c r="J7664" t="s">
        <v>41</v>
      </c>
      <c r="K7664" t="s">
        <v>59</v>
      </c>
      <c r="Q7664">
        <v>0</v>
      </c>
      <c r="R7664">
        <v>380</v>
      </c>
      <c r="S7664">
        <v>380</v>
      </c>
      <c r="T7664" t="s">
        <v>29158</v>
      </c>
    </row>
    <row r="7665" spans="1:20" customFormat="1" ht="15" x14ac:dyDescent="0.25">
      <c r="A7665" t="s">
        <v>35</v>
      </c>
      <c r="B7665" t="s">
        <v>61</v>
      </c>
      <c r="C7665" t="str">
        <f>"A0181713"</f>
        <v>A0181713</v>
      </c>
      <c r="D7665" t="s">
        <v>29159</v>
      </c>
      <c r="E7665" t="s">
        <v>29160</v>
      </c>
      <c r="F7665" t="s">
        <v>8070</v>
      </c>
      <c r="G7665" t="s">
        <v>99</v>
      </c>
      <c r="H7665">
        <v>13753</v>
      </c>
      <c r="I7665" t="s">
        <v>30</v>
      </c>
      <c r="J7665" t="s">
        <v>41</v>
      </c>
      <c r="K7665" t="s">
        <v>59</v>
      </c>
      <c r="Q7665">
        <v>0</v>
      </c>
      <c r="R7665">
        <v>0</v>
      </c>
      <c r="S7665">
        <v>0</v>
      </c>
      <c r="T7665" t="s">
        <v>29161</v>
      </c>
    </row>
    <row r="7666" spans="1:20" customFormat="1" ht="15" x14ac:dyDescent="0.25">
      <c r="A7666" t="s">
        <v>35</v>
      </c>
      <c r="B7666" t="s">
        <v>61</v>
      </c>
      <c r="C7666" t="str">
        <f>"A0181712"</f>
        <v>A0181712</v>
      </c>
      <c r="D7666" t="s">
        <v>29162</v>
      </c>
      <c r="E7666" t="s">
        <v>29163</v>
      </c>
      <c r="F7666" t="s">
        <v>29164</v>
      </c>
      <c r="G7666" t="s">
        <v>161</v>
      </c>
      <c r="H7666">
        <v>55056</v>
      </c>
      <c r="I7666" t="s">
        <v>30</v>
      </c>
      <c r="J7666" t="s">
        <v>41</v>
      </c>
      <c r="K7666" t="s">
        <v>59</v>
      </c>
      <c r="Q7666">
        <v>0</v>
      </c>
      <c r="R7666">
        <v>0</v>
      </c>
      <c r="S7666">
        <v>0</v>
      </c>
      <c r="T7666" t="s">
        <v>29165</v>
      </c>
    </row>
    <row r="7667" spans="1:20" customFormat="1" ht="15" x14ac:dyDescent="0.25">
      <c r="A7667" t="s">
        <v>35</v>
      </c>
      <c r="B7667" t="s">
        <v>61</v>
      </c>
      <c r="C7667" t="str">
        <f>"A0181711"</f>
        <v>A0181711</v>
      </c>
      <c r="D7667" t="s">
        <v>29166</v>
      </c>
      <c r="E7667" t="s">
        <v>29140</v>
      </c>
      <c r="F7667" t="s">
        <v>28439</v>
      </c>
      <c r="G7667" t="s">
        <v>161</v>
      </c>
      <c r="H7667">
        <v>56001</v>
      </c>
      <c r="I7667" t="s">
        <v>30</v>
      </c>
      <c r="J7667" t="s">
        <v>41</v>
      </c>
      <c r="K7667" t="s">
        <v>59</v>
      </c>
      <c r="Q7667">
        <v>0</v>
      </c>
      <c r="R7667">
        <v>69</v>
      </c>
      <c r="S7667">
        <v>69</v>
      </c>
      <c r="T7667" t="s">
        <v>29142</v>
      </c>
    </row>
    <row r="7668" spans="1:20" customFormat="1" ht="15" x14ac:dyDescent="0.25">
      <c r="A7668" t="s">
        <v>35</v>
      </c>
      <c r="B7668" t="s">
        <v>61</v>
      </c>
      <c r="C7668" t="str">
        <f>"A0181710"</f>
        <v>A0181710</v>
      </c>
      <c r="D7668" t="s">
        <v>21373</v>
      </c>
      <c r="E7668" t="s">
        <v>29167</v>
      </c>
      <c r="F7668" t="s">
        <v>5322</v>
      </c>
      <c r="G7668" t="s">
        <v>161</v>
      </c>
      <c r="H7668" t="s">
        <v>29168</v>
      </c>
      <c r="I7668" t="s">
        <v>30</v>
      </c>
      <c r="J7668" t="s">
        <v>41</v>
      </c>
      <c r="K7668" t="s">
        <v>59</v>
      </c>
      <c r="Q7668">
        <v>0</v>
      </c>
      <c r="R7668">
        <v>0</v>
      </c>
      <c r="S7668">
        <v>0</v>
      </c>
      <c r="T7668" t="s">
        <v>29169</v>
      </c>
    </row>
    <row r="7669" spans="1:20" customFormat="1" ht="15" x14ac:dyDescent="0.25">
      <c r="A7669" t="s">
        <v>35</v>
      </c>
      <c r="B7669" t="s">
        <v>61</v>
      </c>
      <c r="C7669" t="str">
        <f>"A0181709"</f>
        <v>A0181709</v>
      </c>
      <c r="D7669" t="s">
        <v>29170</v>
      </c>
      <c r="E7669" t="s">
        <v>12242</v>
      </c>
      <c r="F7669" t="s">
        <v>10813</v>
      </c>
      <c r="G7669" t="s">
        <v>71</v>
      </c>
      <c r="H7669" t="s">
        <v>12243</v>
      </c>
      <c r="I7669" t="s">
        <v>30</v>
      </c>
      <c r="J7669" t="s">
        <v>41</v>
      </c>
      <c r="K7669" t="s">
        <v>59</v>
      </c>
      <c r="Q7669">
        <v>0</v>
      </c>
      <c r="R7669">
        <v>0</v>
      </c>
      <c r="S7669">
        <v>0</v>
      </c>
    </row>
    <row r="7670" spans="1:20" customFormat="1" ht="15" x14ac:dyDescent="0.25">
      <c r="A7670" t="s">
        <v>35</v>
      </c>
      <c r="B7670" t="s">
        <v>61</v>
      </c>
      <c r="C7670" t="str">
        <f>"A0181708"</f>
        <v>A0181708</v>
      </c>
      <c r="D7670" t="s">
        <v>29171</v>
      </c>
      <c r="E7670" t="s">
        <v>29172</v>
      </c>
      <c r="F7670" t="s">
        <v>29173</v>
      </c>
      <c r="G7670" t="s">
        <v>71</v>
      </c>
      <c r="H7670" t="s">
        <v>29174</v>
      </c>
      <c r="I7670" t="s">
        <v>30</v>
      </c>
      <c r="J7670" t="s">
        <v>41</v>
      </c>
      <c r="K7670" t="s">
        <v>59</v>
      </c>
      <c r="Q7670">
        <v>0</v>
      </c>
      <c r="R7670">
        <v>0</v>
      </c>
      <c r="S7670">
        <v>0</v>
      </c>
      <c r="T7670" t="s">
        <v>29175</v>
      </c>
    </row>
    <row r="7671" spans="1:20" customFormat="1" ht="15" x14ac:dyDescent="0.25">
      <c r="A7671" t="s">
        <v>35</v>
      </c>
      <c r="B7671" t="s">
        <v>29176</v>
      </c>
      <c r="C7671" t="str">
        <f>"A0181707"</f>
        <v>A0181707</v>
      </c>
      <c r="D7671" t="s">
        <v>29177</v>
      </c>
      <c r="E7671" t="s">
        <v>29178</v>
      </c>
      <c r="F7671" t="s">
        <v>17171</v>
      </c>
      <c r="G7671" t="s">
        <v>289</v>
      </c>
      <c r="H7671">
        <v>62269</v>
      </c>
      <c r="I7671" t="s">
        <v>30</v>
      </c>
      <c r="J7671" t="s">
        <v>41</v>
      </c>
      <c r="K7671" t="s">
        <v>59</v>
      </c>
      <c r="Q7671">
        <v>0</v>
      </c>
      <c r="R7671">
        <v>149</v>
      </c>
      <c r="S7671">
        <v>149</v>
      </c>
      <c r="T7671" t="s">
        <v>29179</v>
      </c>
    </row>
    <row r="7672" spans="1:20" customFormat="1" ht="15" x14ac:dyDescent="0.25">
      <c r="A7672" t="s">
        <v>35</v>
      </c>
      <c r="B7672" t="s">
        <v>61</v>
      </c>
      <c r="C7672" t="str">
        <f>"A0181706"</f>
        <v>A0181706</v>
      </c>
      <c r="D7672" t="s">
        <v>29180</v>
      </c>
      <c r="E7672" t="s">
        <v>29181</v>
      </c>
      <c r="F7672" t="s">
        <v>29182</v>
      </c>
      <c r="G7672" t="s">
        <v>161</v>
      </c>
      <c r="H7672">
        <v>56082</v>
      </c>
      <c r="I7672" t="s">
        <v>30</v>
      </c>
      <c r="J7672" t="s">
        <v>41</v>
      </c>
      <c r="K7672" t="s">
        <v>59</v>
      </c>
      <c r="Q7672">
        <v>0</v>
      </c>
      <c r="R7672">
        <v>63</v>
      </c>
      <c r="S7672">
        <v>63</v>
      </c>
      <c r="T7672" t="s">
        <v>29183</v>
      </c>
    </row>
    <row r="7673" spans="1:20" customFormat="1" ht="15" x14ac:dyDescent="0.25">
      <c r="A7673" t="s">
        <v>35</v>
      </c>
      <c r="B7673" t="s">
        <v>61</v>
      </c>
      <c r="C7673" t="str">
        <f>"A0181705"</f>
        <v>A0181705</v>
      </c>
      <c r="D7673" t="s">
        <v>29184</v>
      </c>
      <c r="E7673" t="s">
        <v>29185</v>
      </c>
      <c r="F7673" t="s">
        <v>29186</v>
      </c>
      <c r="G7673" t="s">
        <v>161</v>
      </c>
      <c r="H7673">
        <v>56057</v>
      </c>
      <c r="I7673" t="s">
        <v>30</v>
      </c>
      <c r="J7673" t="s">
        <v>41</v>
      </c>
      <c r="K7673" t="s">
        <v>59</v>
      </c>
      <c r="Q7673">
        <v>0</v>
      </c>
      <c r="R7673">
        <v>0</v>
      </c>
      <c r="S7673">
        <v>0</v>
      </c>
      <c r="T7673" t="s">
        <v>29187</v>
      </c>
    </row>
    <row r="7674" spans="1:20" customFormat="1" ht="15" x14ac:dyDescent="0.25">
      <c r="A7674" t="s">
        <v>35</v>
      </c>
      <c r="B7674" t="s">
        <v>61</v>
      </c>
      <c r="C7674" t="str">
        <f>"A0181704"</f>
        <v>A0181704</v>
      </c>
      <c r="D7674" t="s">
        <v>29188</v>
      </c>
      <c r="E7674" t="s">
        <v>29189</v>
      </c>
      <c r="F7674" t="s">
        <v>5196</v>
      </c>
      <c r="G7674" t="s">
        <v>161</v>
      </c>
      <c r="H7674">
        <v>55804</v>
      </c>
      <c r="I7674" t="s">
        <v>30</v>
      </c>
      <c r="J7674" t="s">
        <v>41</v>
      </c>
      <c r="K7674" t="s">
        <v>59</v>
      </c>
      <c r="Q7674">
        <v>0</v>
      </c>
      <c r="R7674">
        <v>0</v>
      </c>
      <c r="S7674">
        <v>0</v>
      </c>
      <c r="T7674" t="s">
        <v>29190</v>
      </c>
    </row>
    <row r="7675" spans="1:20" customFormat="1" ht="15" x14ac:dyDescent="0.25">
      <c r="A7675" t="s">
        <v>35</v>
      </c>
      <c r="B7675" t="s">
        <v>61</v>
      </c>
      <c r="C7675" t="str">
        <f>"A0181703"</f>
        <v>A0181703</v>
      </c>
      <c r="D7675" t="s">
        <v>29191</v>
      </c>
      <c r="E7675" t="s">
        <v>26796</v>
      </c>
      <c r="F7675" t="s">
        <v>26797</v>
      </c>
      <c r="G7675" t="s">
        <v>161</v>
      </c>
      <c r="H7675">
        <v>56501</v>
      </c>
      <c r="I7675" t="s">
        <v>30</v>
      </c>
      <c r="J7675" t="s">
        <v>41</v>
      </c>
      <c r="K7675" t="s">
        <v>59</v>
      </c>
      <c r="Q7675">
        <v>0</v>
      </c>
      <c r="R7675">
        <v>144</v>
      </c>
      <c r="S7675">
        <v>144</v>
      </c>
      <c r="T7675" t="s">
        <v>26798</v>
      </c>
    </row>
    <row r="7676" spans="1:20" customFormat="1" ht="15" x14ac:dyDescent="0.25">
      <c r="A7676" t="s">
        <v>35</v>
      </c>
      <c r="B7676" t="s">
        <v>61</v>
      </c>
      <c r="C7676" t="str">
        <f>"A0181702"</f>
        <v>A0181702</v>
      </c>
      <c r="D7676" t="s">
        <v>29192</v>
      </c>
      <c r="E7676" t="s">
        <v>28493</v>
      </c>
      <c r="F7676" t="s">
        <v>15552</v>
      </c>
      <c r="G7676" t="s">
        <v>161</v>
      </c>
      <c r="H7676">
        <v>55355</v>
      </c>
      <c r="I7676" t="s">
        <v>30</v>
      </c>
      <c r="J7676" t="s">
        <v>41</v>
      </c>
      <c r="K7676" t="s">
        <v>59</v>
      </c>
      <c r="Q7676">
        <v>0</v>
      </c>
      <c r="R7676">
        <v>0</v>
      </c>
      <c r="S7676">
        <v>0</v>
      </c>
    </row>
    <row r="7677" spans="1:20" customFormat="1" ht="15" x14ac:dyDescent="0.25">
      <c r="A7677" t="s">
        <v>35</v>
      </c>
      <c r="B7677" t="s">
        <v>61</v>
      </c>
      <c r="C7677" t="str">
        <f>"A0181701"</f>
        <v>A0181701</v>
      </c>
      <c r="D7677" t="s">
        <v>29193</v>
      </c>
      <c r="E7677" t="s">
        <v>29194</v>
      </c>
      <c r="F7677" t="s">
        <v>27446</v>
      </c>
      <c r="G7677" t="s">
        <v>161</v>
      </c>
      <c r="H7677" t="s">
        <v>29195</v>
      </c>
      <c r="I7677" t="s">
        <v>30</v>
      </c>
      <c r="J7677" t="s">
        <v>41</v>
      </c>
      <c r="K7677" t="s">
        <v>59</v>
      </c>
      <c r="Q7677">
        <v>0</v>
      </c>
      <c r="R7677">
        <v>0</v>
      </c>
      <c r="S7677">
        <v>0</v>
      </c>
      <c r="T7677" t="s">
        <v>29196</v>
      </c>
    </row>
    <row r="7678" spans="1:20" customFormat="1" ht="15" x14ac:dyDescent="0.25">
      <c r="A7678" t="s">
        <v>35</v>
      </c>
      <c r="B7678" t="s">
        <v>61</v>
      </c>
      <c r="C7678" t="str">
        <f>"A0181700"</f>
        <v>A0181700</v>
      </c>
      <c r="D7678" t="s">
        <v>29197</v>
      </c>
      <c r="E7678" t="s">
        <v>29198</v>
      </c>
      <c r="F7678" t="s">
        <v>19689</v>
      </c>
      <c r="G7678" t="s">
        <v>161</v>
      </c>
      <c r="H7678" t="s">
        <v>29199</v>
      </c>
      <c r="I7678" t="s">
        <v>30</v>
      </c>
      <c r="J7678" t="s">
        <v>41</v>
      </c>
      <c r="K7678" t="s">
        <v>59</v>
      </c>
      <c r="Q7678">
        <v>0</v>
      </c>
      <c r="R7678">
        <v>0</v>
      </c>
      <c r="S7678">
        <v>0</v>
      </c>
    </row>
    <row r="7679" spans="1:20" customFormat="1" ht="15" x14ac:dyDescent="0.25">
      <c r="A7679" t="s">
        <v>35</v>
      </c>
      <c r="B7679" t="s">
        <v>61</v>
      </c>
      <c r="C7679" t="str">
        <f>"A0181699"</f>
        <v>A0181699</v>
      </c>
      <c r="D7679" t="s">
        <v>29200</v>
      </c>
      <c r="E7679" t="s">
        <v>29201</v>
      </c>
      <c r="F7679" t="s">
        <v>27472</v>
      </c>
      <c r="G7679" t="s">
        <v>161</v>
      </c>
      <c r="H7679">
        <v>56572</v>
      </c>
      <c r="I7679" t="s">
        <v>30</v>
      </c>
      <c r="J7679" t="s">
        <v>41</v>
      </c>
      <c r="K7679" t="s">
        <v>59</v>
      </c>
      <c r="Q7679">
        <v>0</v>
      </c>
      <c r="R7679">
        <v>0</v>
      </c>
      <c r="S7679">
        <v>0</v>
      </c>
      <c r="T7679" t="s">
        <v>29202</v>
      </c>
    </row>
    <row r="7680" spans="1:20" customFormat="1" ht="15" x14ac:dyDescent="0.25">
      <c r="A7680" t="s">
        <v>35</v>
      </c>
      <c r="B7680" t="s">
        <v>61</v>
      </c>
      <c r="C7680" t="str">
        <f>"A0181698"</f>
        <v>A0181698</v>
      </c>
      <c r="D7680" t="s">
        <v>29203</v>
      </c>
      <c r="E7680" t="s">
        <v>29204</v>
      </c>
      <c r="F7680" t="s">
        <v>839</v>
      </c>
      <c r="G7680" t="s">
        <v>840</v>
      </c>
      <c r="H7680" t="s">
        <v>29205</v>
      </c>
      <c r="I7680" t="s">
        <v>30</v>
      </c>
      <c r="J7680" t="s">
        <v>41</v>
      </c>
      <c r="K7680" t="s">
        <v>59</v>
      </c>
      <c r="Q7680">
        <v>0</v>
      </c>
      <c r="R7680">
        <v>0</v>
      </c>
      <c r="S7680">
        <v>0</v>
      </c>
    </row>
    <row r="7681" spans="1:20" customFormat="1" ht="15" x14ac:dyDescent="0.25">
      <c r="A7681" t="s">
        <v>35</v>
      </c>
      <c r="B7681" t="s">
        <v>61</v>
      </c>
      <c r="C7681" t="str">
        <f>"A0181697"</f>
        <v>A0181697</v>
      </c>
      <c r="D7681" t="s">
        <v>21084</v>
      </c>
      <c r="E7681" t="s">
        <v>29172</v>
      </c>
      <c r="F7681" t="s">
        <v>29173</v>
      </c>
      <c r="G7681" t="s">
        <v>71</v>
      </c>
      <c r="H7681" t="s">
        <v>29206</v>
      </c>
      <c r="I7681" t="s">
        <v>30</v>
      </c>
      <c r="J7681" t="s">
        <v>41</v>
      </c>
      <c r="K7681" t="s">
        <v>59</v>
      </c>
      <c r="Q7681">
        <v>0</v>
      </c>
      <c r="R7681">
        <v>139</v>
      </c>
      <c r="S7681">
        <v>139</v>
      </c>
      <c r="T7681" t="s">
        <v>29175</v>
      </c>
    </row>
    <row r="7682" spans="1:20" customFormat="1" ht="15" x14ac:dyDescent="0.25">
      <c r="A7682" t="s">
        <v>35</v>
      </c>
      <c r="B7682" t="s">
        <v>61</v>
      </c>
      <c r="C7682" t="str">
        <f>"A0181696"</f>
        <v>A0181696</v>
      </c>
      <c r="D7682" t="s">
        <v>29207</v>
      </c>
      <c r="E7682" t="s">
        <v>29208</v>
      </c>
      <c r="F7682" t="s">
        <v>26163</v>
      </c>
      <c r="G7682" t="s">
        <v>899</v>
      </c>
      <c r="H7682">
        <v>1701</v>
      </c>
      <c r="I7682" t="s">
        <v>30</v>
      </c>
      <c r="J7682" t="s">
        <v>41</v>
      </c>
      <c r="K7682" t="s">
        <v>59</v>
      </c>
      <c r="Q7682">
        <v>0</v>
      </c>
      <c r="R7682">
        <v>333</v>
      </c>
      <c r="S7682">
        <v>333</v>
      </c>
      <c r="T7682" t="s">
        <v>29209</v>
      </c>
    </row>
    <row r="7683" spans="1:20" customFormat="1" ht="15" x14ac:dyDescent="0.25">
      <c r="A7683" t="s">
        <v>35</v>
      </c>
      <c r="B7683" t="s">
        <v>61</v>
      </c>
      <c r="C7683" t="str">
        <f>"A0181695"</f>
        <v>A0181695</v>
      </c>
      <c r="D7683" t="s">
        <v>29210</v>
      </c>
      <c r="E7683" t="s">
        <v>29211</v>
      </c>
      <c r="F7683" t="s">
        <v>21288</v>
      </c>
      <c r="G7683" t="s">
        <v>161</v>
      </c>
      <c r="H7683" t="s">
        <v>28741</v>
      </c>
      <c r="I7683" t="s">
        <v>30</v>
      </c>
      <c r="J7683" t="s">
        <v>41</v>
      </c>
      <c r="K7683" t="s">
        <v>59</v>
      </c>
      <c r="Q7683">
        <v>0</v>
      </c>
      <c r="R7683">
        <v>0</v>
      </c>
      <c r="S7683">
        <v>0</v>
      </c>
      <c r="T7683" t="s">
        <v>29212</v>
      </c>
    </row>
    <row r="7684" spans="1:20" customFormat="1" ht="15" x14ac:dyDescent="0.25">
      <c r="A7684" t="s">
        <v>35</v>
      </c>
      <c r="B7684" t="s">
        <v>61</v>
      </c>
      <c r="C7684" t="str">
        <f>"A0181694"</f>
        <v>A0181694</v>
      </c>
      <c r="D7684" t="s">
        <v>29213</v>
      </c>
      <c r="E7684" t="s">
        <v>29214</v>
      </c>
      <c r="F7684" t="s">
        <v>25472</v>
      </c>
      <c r="G7684" t="s">
        <v>161</v>
      </c>
      <c r="H7684" t="s">
        <v>29215</v>
      </c>
      <c r="I7684" t="s">
        <v>30</v>
      </c>
      <c r="J7684" t="s">
        <v>41</v>
      </c>
      <c r="K7684" t="s">
        <v>59</v>
      </c>
      <c r="Q7684">
        <v>0</v>
      </c>
      <c r="R7684">
        <v>0</v>
      </c>
      <c r="S7684">
        <v>0</v>
      </c>
      <c r="T7684" t="s">
        <v>29216</v>
      </c>
    </row>
    <row r="7685" spans="1:20" customFormat="1" ht="15" x14ac:dyDescent="0.25">
      <c r="A7685" t="s">
        <v>35</v>
      </c>
      <c r="B7685" t="s">
        <v>61</v>
      </c>
      <c r="C7685" t="str">
        <f>"A0181693"</f>
        <v>A0181693</v>
      </c>
      <c r="D7685" t="s">
        <v>29217</v>
      </c>
      <c r="E7685" t="s">
        <v>29218</v>
      </c>
      <c r="F7685" t="s">
        <v>1795</v>
      </c>
      <c r="G7685" t="s">
        <v>840</v>
      </c>
      <c r="H7685" t="s">
        <v>29219</v>
      </c>
      <c r="I7685" t="s">
        <v>30</v>
      </c>
      <c r="J7685" t="s">
        <v>41</v>
      </c>
      <c r="K7685" t="s">
        <v>59</v>
      </c>
      <c r="Q7685">
        <v>0</v>
      </c>
      <c r="R7685">
        <v>99</v>
      </c>
      <c r="S7685">
        <v>99</v>
      </c>
      <c r="T7685" t="s">
        <v>29220</v>
      </c>
    </row>
    <row r="7686" spans="1:20" customFormat="1" ht="15" x14ac:dyDescent="0.25">
      <c r="A7686" t="s">
        <v>35</v>
      </c>
      <c r="B7686" t="s">
        <v>61</v>
      </c>
      <c r="C7686" t="str">
        <f>"A0181692"</f>
        <v>A0181692</v>
      </c>
      <c r="D7686" t="s">
        <v>29221</v>
      </c>
      <c r="E7686" t="s">
        <v>29222</v>
      </c>
      <c r="F7686" t="s">
        <v>3339</v>
      </c>
      <c r="G7686" t="s">
        <v>161</v>
      </c>
      <c r="H7686" t="s">
        <v>29223</v>
      </c>
      <c r="I7686" t="s">
        <v>30</v>
      </c>
      <c r="J7686" t="s">
        <v>41</v>
      </c>
      <c r="K7686" t="s">
        <v>59</v>
      </c>
      <c r="Q7686">
        <v>0</v>
      </c>
      <c r="R7686">
        <v>0</v>
      </c>
      <c r="S7686">
        <v>0</v>
      </c>
      <c r="T7686" t="s">
        <v>29224</v>
      </c>
    </row>
    <row r="7687" spans="1:20" customFormat="1" ht="15" x14ac:dyDescent="0.25">
      <c r="A7687" t="s">
        <v>35</v>
      </c>
      <c r="B7687" t="s">
        <v>61</v>
      </c>
      <c r="C7687" t="str">
        <f>"A0181691"</f>
        <v>A0181691</v>
      </c>
      <c r="D7687" t="s">
        <v>29225</v>
      </c>
      <c r="E7687" t="s">
        <v>29140</v>
      </c>
      <c r="F7687" t="s">
        <v>28439</v>
      </c>
      <c r="G7687" t="s">
        <v>161</v>
      </c>
      <c r="H7687">
        <v>56001</v>
      </c>
      <c r="I7687" t="s">
        <v>30</v>
      </c>
      <c r="J7687" t="s">
        <v>41</v>
      </c>
      <c r="K7687" t="s">
        <v>59</v>
      </c>
      <c r="Q7687">
        <v>0</v>
      </c>
      <c r="R7687">
        <v>69</v>
      </c>
      <c r="S7687">
        <v>69</v>
      </c>
      <c r="T7687" t="s">
        <v>29142</v>
      </c>
    </row>
    <row r="7688" spans="1:20" customFormat="1" ht="15" x14ac:dyDescent="0.25">
      <c r="A7688" t="s">
        <v>35</v>
      </c>
      <c r="B7688" t="s">
        <v>61</v>
      </c>
      <c r="C7688" t="str">
        <f>"A0181690"</f>
        <v>A0181690</v>
      </c>
      <c r="D7688" t="s">
        <v>29226</v>
      </c>
      <c r="E7688" t="s">
        <v>29227</v>
      </c>
      <c r="F7688" t="s">
        <v>29228</v>
      </c>
      <c r="G7688" t="s">
        <v>99</v>
      </c>
      <c r="H7688">
        <v>10522</v>
      </c>
      <c r="I7688" t="s">
        <v>30</v>
      </c>
      <c r="J7688" t="s">
        <v>41</v>
      </c>
      <c r="K7688" t="s">
        <v>59</v>
      </c>
      <c r="Q7688">
        <v>0</v>
      </c>
      <c r="R7688">
        <v>304</v>
      </c>
      <c r="S7688">
        <v>304</v>
      </c>
      <c r="T7688" t="s">
        <v>29229</v>
      </c>
    </row>
    <row r="7689" spans="1:20" customFormat="1" ht="15" x14ac:dyDescent="0.25">
      <c r="A7689" t="s">
        <v>35</v>
      </c>
      <c r="B7689" t="s">
        <v>61</v>
      </c>
      <c r="C7689" t="str">
        <f>"A0181689"</f>
        <v>A0181689</v>
      </c>
      <c r="D7689" t="s">
        <v>29230</v>
      </c>
      <c r="E7689" t="s">
        <v>29231</v>
      </c>
      <c r="F7689" t="s">
        <v>3744</v>
      </c>
      <c r="G7689" t="s">
        <v>338</v>
      </c>
      <c r="H7689">
        <v>8055</v>
      </c>
      <c r="I7689" t="s">
        <v>30</v>
      </c>
      <c r="J7689" t="s">
        <v>41</v>
      </c>
      <c r="K7689" t="s">
        <v>59</v>
      </c>
      <c r="Q7689">
        <v>0</v>
      </c>
      <c r="R7689">
        <v>67</v>
      </c>
      <c r="S7689">
        <v>67</v>
      </c>
      <c r="T7689" t="s">
        <v>29232</v>
      </c>
    </row>
    <row r="7690" spans="1:20" customFormat="1" ht="15" x14ac:dyDescent="0.25">
      <c r="A7690" t="s">
        <v>35</v>
      </c>
      <c r="B7690" t="s">
        <v>61</v>
      </c>
      <c r="C7690" t="str">
        <f>"A0181688"</f>
        <v>A0181688</v>
      </c>
      <c r="D7690" t="s">
        <v>29233</v>
      </c>
      <c r="E7690" t="s">
        <v>29234</v>
      </c>
      <c r="F7690" t="s">
        <v>27389</v>
      </c>
      <c r="G7690" t="s">
        <v>161</v>
      </c>
      <c r="H7690" t="s">
        <v>29235</v>
      </c>
      <c r="I7690" t="s">
        <v>30</v>
      </c>
      <c r="J7690" t="s">
        <v>41</v>
      </c>
      <c r="K7690" t="s">
        <v>59</v>
      </c>
      <c r="Q7690">
        <v>0</v>
      </c>
      <c r="R7690">
        <v>0</v>
      </c>
      <c r="S7690">
        <v>0</v>
      </c>
      <c r="T7690" t="s">
        <v>29236</v>
      </c>
    </row>
    <row r="7691" spans="1:20" customFormat="1" ht="15" x14ac:dyDescent="0.25">
      <c r="A7691" t="s">
        <v>35</v>
      </c>
      <c r="B7691" t="s">
        <v>61</v>
      </c>
      <c r="C7691" t="str">
        <f>"A0181687"</f>
        <v>A0181687</v>
      </c>
      <c r="D7691" t="s">
        <v>29237</v>
      </c>
      <c r="E7691" t="s">
        <v>29238</v>
      </c>
      <c r="F7691" t="s">
        <v>27389</v>
      </c>
      <c r="G7691" t="s">
        <v>161</v>
      </c>
      <c r="H7691" t="s">
        <v>29239</v>
      </c>
      <c r="I7691" t="s">
        <v>30</v>
      </c>
      <c r="J7691" t="s">
        <v>41</v>
      </c>
      <c r="K7691" t="s">
        <v>59</v>
      </c>
      <c r="Q7691">
        <v>0</v>
      </c>
      <c r="R7691">
        <v>0</v>
      </c>
      <c r="S7691">
        <v>0</v>
      </c>
      <c r="T7691" t="s">
        <v>29240</v>
      </c>
    </row>
    <row r="7692" spans="1:20" customFormat="1" ht="15" x14ac:dyDescent="0.25">
      <c r="A7692" t="s">
        <v>35</v>
      </c>
      <c r="B7692" t="s">
        <v>1432</v>
      </c>
      <c r="C7692" t="str">
        <f>"A0181686"</f>
        <v>A0181686</v>
      </c>
      <c r="D7692" t="s">
        <v>29241</v>
      </c>
      <c r="E7692" t="s">
        <v>29242</v>
      </c>
      <c r="F7692" t="s">
        <v>19689</v>
      </c>
      <c r="G7692" t="s">
        <v>161</v>
      </c>
      <c r="H7692">
        <v>554224446</v>
      </c>
      <c r="I7692" t="s">
        <v>30</v>
      </c>
      <c r="J7692" t="s">
        <v>41</v>
      </c>
      <c r="K7692" t="s">
        <v>59</v>
      </c>
      <c r="Q7692">
        <v>0</v>
      </c>
      <c r="R7692">
        <v>234</v>
      </c>
      <c r="S7692">
        <v>234</v>
      </c>
      <c r="T7692" t="s">
        <v>29243</v>
      </c>
    </row>
    <row r="7693" spans="1:20" customFormat="1" ht="15" x14ac:dyDescent="0.25">
      <c r="A7693" t="s">
        <v>35</v>
      </c>
      <c r="B7693" t="s">
        <v>61</v>
      </c>
      <c r="C7693" t="str">
        <f>"A0181685"</f>
        <v>A0181685</v>
      </c>
      <c r="D7693" t="s">
        <v>29244</v>
      </c>
      <c r="E7693" t="s">
        <v>29245</v>
      </c>
      <c r="F7693" t="s">
        <v>24415</v>
      </c>
      <c r="G7693" t="s">
        <v>161</v>
      </c>
      <c r="H7693" t="s">
        <v>29246</v>
      </c>
      <c r="I7693" t="s">
        <v>30</v>
      </c>
      <c r="J7693" t="s">
        <v>41</v>
      </c>
      <c r="K7693" t="s">
        <v>59</v>
      </c>
      <c r="Q7693">
        <v>0</v>
      </c>
      <c r="R7693">
        <v>0</v>
      </c>
      <c r="S7693">
        <v>0</v>
      </c>
    </row>
    <row r="7694" spans="1:20" customFormat="1" ht="15" x14ac:dyDescent="0.25">
      <c r="A7694" t="s">
        <v>35</v>
      </c>
      <c r="B7694" t="s">
        <v>61</v>
      </c>
      <c r="C7694" t="str">
        <f>"A0181684"</f>
        <v>A0181684</v>
      </c>
      <c r="D7694" t="s">
        <v>29247</v>
      </c>
      <c r="E7694" t="s">
        <v>29248</v>
      </c>
      <c r="F7694" t="s">
        <v>19689</v>
      </c>
      <c r="G7694" t="s">
        <v>161</v>
      </c>
      <c r="H7694">
        <v>55404</v>
      </c>
      <c r="I7694" t="s">
        <v>30</v>
      </c>
      <c r="J7694" t="s">
        <v>41</v>
      </c>
      <c r="K7694" t="s">
        <v>59</v>
      </c>
      <c r="Q7694">
        <v>0</v>
      </c>
      <c r="R7694">
        <v>42</v>
      </c>
      <c r="S7694">
        <v>42</v>
      </c>
      <c r="T7694" t="s">
        <v>29249</v>
      </c>
    </row>
    <row r="7695" spans="1:20" customFormat="1" ht="15" x14ac:dyDescent="0.25">
      <c r="A7695" t="s">
        <v>35</v>
      </c>
      <c r="B7695" t="s">
        <v>61</v>
      </c>
      <c r="C7695" t="str">
        <f>"A0181683"</f>
        <v>A0181683</v>
      </c>
      <c r="D7695" t="s">
        <v>29250</v>
      </c>
      <c r="E7695" t="s">
        <v>29251</v>
      </c>
      <c r="F7695" t="s">
        <v>29252</v>
      </c>
      <c r="G7695" t="s">
        <v>161</v>
      </c>
      <c r="H7695" t="s">
        <v>29253</v>
      </c>
      <c r="I7695" t="s">
        <v>30</v>
      </c>
      <c r="J7695" t="s">
        <v>41</v>
      </c>
      <c r="K7695" t="s">
        <v>59</v>
      </c>
      <c r="Q7695">
        <v>0</v>
      </c>
      <c r="R7695">
        <v>0</v>
      </c>
      <c r="S7695">
        <v>0</v>
      </c>
    </row>
    <row r="7696" spans="1:20" customFormat="1" ht="15" x14ac:dyDescent="0.25">
      <c r="A7696" t="s">
        <v>35</v>
      </c>
      <c r="B7696" t="s">
        <v>61</v>
      </c>
      <c r="C7696" t="str">
        <f>"A0181682"</f>
        <v>A0181682</v>
      </c>
      <c r="D7696" t="s">
        <v>29254</v>
      </c>
      <c r="E7696" t="s">
        <v>29255</v>
      </c>
      <c r="F7696" t="s">
        <v>19689</v>
      </c>
      <c r="G7696" t="s">
        <v>161</v>
      </c>
      <c r="H7696">
        <v>55401</v>
      </c>
      <c r="I7696" t="s">
        <v>30</v>
      </c>
      <c r="J7696" t="s">
        <v>41</v>
      </c>
      <c r="K7696" t="s">
        <v>59</v>
      </c>
      <c r="Q7696">
        <v>0</v>
      </c>
      <c r="R7696">
        <v>0</v>
      </c>
      <c r="S7696">
        <v>0</v>
      </c>
    </row>
    <row r="7697" spans="1:20" customFormat="1" ht="15" x14ac:dyDescent="0.25">
      <c r="A7697" t="s">
        <v>35</v>
      </c>
      <c r="B7697" t="s">
        <v>61</v>
      </c>
      <c r="C7697" t="str">
        <f>"A0181681"</f>
        <v>A0181681</v>
      </c>
      <c r="D7697" t="s">
        <v>29256</v>
      </c>
      <c r="E7697" t="s">
        <v>29257</v>
      </c>
      <c r="F7697" t="s">
        <v>19689</v>
      </c>
      <c r="G7697" t="s">
        <v>161</v>
      </c>
      <c r="H7697" t="s">
        <v>29258</v>
      </c>
      <c r="I7697" t="s">
        <v>30</v>
      </c>
      <c r="J7697" t="s">
        <v>41</v>
      </c>
      <c r="K7697" t="s">
        <v>59</v>
      </c>
      <c r="Q7697">
        <v>0</v>
      </c>
      <c r="R7697">
        <v>35</v>
      </c>
      <c r="S7697">
        <v>35</v>
      </c>
    </row>
    <row r="7698" spans="1:20" customFormat="1" ht="15" x14ac:dyDescent="0.25">
      <c r="A7698" t="s">
        <v>35</v>
      </c>
      <c r="B7698" t="s">
        <v>61</v>
      </c>
      <c r="C7698" t="str">
        <f>"A0181680"</f>
        <v>A0181680</v>
      </c>
      <c r="D7698" t="s">
        <v>29259</v>
      </c>
      <c r="E7698" t="s">
        <v>29260</v>
      </c>
      <c r="F7698" t="s">
        <v>27446</v>
      </c>
      <c r="G7698" t="s">
        <v>161</v>
      </c>
      <c r="H7698" t="s">
        <v>29261</v>
      </c>
      <c r="I7698" t="s">
        <v>30</v>
      </c>
      <c r="J7698" t="s">
        <v>41</v>
      </c>
      <c r="K7698" t="s">
        <v>59</v>
      </c>
      <c r="Q7698">
        <v>0</v>
      </c>
      <c r="R7698">
        <v>107</v>
      </c>
      <c r="S7698">
        <v>107</v>
      </c>
      <c r="T7698" t="s">
        <v>29196</v>
      </c>
    </row>
    <row r="7699" spans="1:20" customFormat="1" ht="15" x14ac:dyDescent="0.25">
      <c r="A7699" t="s">
        <v>35</v>
      </c>
      <c r="B7699" t="s">
        <v>61</v>
      </c>
      <c r="C7699" t="str">
        <f>"A0181679"</f>
        <v>A0181679</v>
      </c>
      <c r="D7699" t="s">
        <v>29262</v>
      </c>
      <c r="E7699" t="s">
        <v>29263</v>
      </c>
      <c r="F7699" t="s">
        <v>25481</v>
      </c>
      <c r="G7699" t="s">
        <v>338</v>
      </c>
      <c r="H7699" t="s">
        <v>29264</v>
      </c>
      <c r="I7699" t="s">
        <v>30</v>
      </c>
      <c r="J7699" t="s">
        <v>41</v>
      </c>
      <c r="K7699" t="s">
        <v>59</v>
      </c>
      <c r="Q7699">
        <v>0</v>
      </c>
      <c r="R7699">
        <v>0</v>
      </c>
      <c r="S7699">
        <v>0</v>
      </c>
      <c r="T7699" t="s">
        <v>29265</v>
      </c>
    </row>
    <row r="7700" spans="1:20" customFormat="1" ht="15" x14ac:dyDescent="0.25">
      <c r="A7700" t="s">
        <v>35</v>
      </c>
      <c r="B7700" t="s">
        <v>61</v>
      </c>
      <c r="C7700" t="str">
        <f>"A0181678"</f>
        <v>A0181678</v>
      </c>
      <c r="D7700" t="s">
        <v>29266</v>
      </c>
      <c r="E7700" t="s">
        <v>29267</v>
      </c>
      <c r="F7700" t="s">
        <v>29268</v>
      </c>
      <c r="G7700" t="s">
        <v>338</v>
      </c>
      <c r="H7700" t="s">
        <v>29269</v>
      </c>
      <c r="I7700" t="s">
        <v>30</v>
      </c>
      <c r="J7700" t="s">
        <v>41</v>
      </c>
      <c r="K7700" t="s">
        <v>59</v>
      </c>
      <c r="Q7700">
        <v>0</v>
      </c>
      <c r="R7700">
        <v>100</v>
      </c>
      <c r="S7700">
        <v>100</v>
      </c>
      <c r="T7700" t="s">
        <v>29270</v>
      </c>
    </row>
    <row r="7701" spans="1:20" customFormat="1" ht="15" x14ac:dyDescent="0.25">
      <c r="A7701" t="s">
        <v>35</v>
      </c>
      <c r="B7701" t="s">
        <v>61</v>
      </c>
      <c r="C7701" t="str">
        <f>"A0181677"</f>
        <v>A0181677</v>
      </c>
      <c r="D7701" t="s">
        <v>29271</v>
      </c>
      <c r="E7701" t="s">
        <v>28493</v>
      </c>
      <c r="F7701" t="s">
        <v>15552</v>
      </c>
      <c r="G7701" t="s">
        <v>161</v>
      </c>
      <c r="H7701">
        <v>55355</v>
      </c>
      <c r="I7701" t="s">
        <v>30</v>
      </c>
      <c r="J7701" t="s">
        <v>41</v>
      </c>
      <c r="K7701" t="s">
        <v>59</v>
      </c>
      <c r="Q7701">
        <v>0</v>
      </c>
      <c r="R7701">
        <v>0</v>
      </c>
      <c r="S7701">
        <v>0</v>
      </c>
      <c r="T7701" t="s">
        <v>26791</v>
      </c>
    </row>
    <row r="7702" spans="1:20" customFormat="1" ht="15" x14ac:dyDescent="0.25">
      <c r="A7702" t="s">
        <v>35</v>
      </c>
      <c r="B7702" t="s">
        <v>61</v>
      </c>
      <c r="C7702" t="str">
        <f>"A0181676"</f>
        <v>A0181676</v>
      </c>
      <c r="D7702" t="s">
        <v>29272</v>
      </c>
      <c r="E7702" t="s">
        <v>29273</v>
      </c>
      <c r="F7702" t="s">
        <v>29186</v>
      </c>
      <c r="G7702" t="s">
        <v>161</v>
      </c>
      <c r="H7702" t="s">
        <v>29274</v>
      </c>
      <c r="I7702" t="s">
        <v>30</v>
      </c>
      <c r="J7702" t="s">
        <v>41</v>
      </c>
      <c r="K7702" t="s">
        <v>59</v>
      </c>
      <c r="Q7702">
        <v>0</v>
      </c>
      <c r="R7702">
        <v>0</v>
      </c>
      <c r="S7702">
        <v>0</v>
      </c>
    </row>
    <row r="7703" spans="1:20" customFormat="1" ht="15" x14ac:dyDescent="0.25">
      <c r="A7703" t="s">
        <v>35</v>
      </c>
      <c r="B7703" t="s">
        <v>61</v>
      </c>
      <c r="C7703" t="str">
        <f>"A0181675"</f>
        <v>A0181675</v>
      </c>
      <c r="D7703" t="s">
        <v>29275</v>
      </c>
      <c r="E7703" t="s">
        <v>26688</v>
      </c>
      <c r="F7703" t="s">
        <v>16033</v>
      </c>
      <c r="G7703" t="s">
        <v>71</v>
      </c>
      <c r="H7703" t="s">
        <v>26689</v>
      </c>
      <c r="I7703" t="s">
        <v>30</v>
      </c>
      <c r="J7703" t="s">
        <v>41</v>
      </c>
      <c r="K7703" t="s">
        <v>59</v>
      </c>
      <c r="Q7703">
        <v>0</v>
      </c>
      <c r="R7703">
        <v>0</v>
      </c>
      <c r="S7703">
        <v>0</v>
      </c>
    </row>
    <row r="7704" spans="1:20" customFormat="1" ht="15" x14ac:dyDescent="0.25">
      <c r="A7704" t="s">
        <v>35</v>
      </c>
      <c r="B7704" t="s">
        <v>61</v>
      </c>
      <c r="C7704" t="str">
        <f>"A0181674"</f>
        <v>A0181674</v>
      </c>
      <c r="D7704" t="s">
        <v>29276</v>
      </c>
      <c r="E7704" t="s">
        <v>29277</v>
      </c>
      <c r="F7704" t="s">
        <v>28439</v>
      </c>
      <c r="G7704" t="s">
        <v>161</v>
      </c>
      <c r="H7704">
        <v>56001</v>
      </c>
      <c r="I7704" t="s">
        <v>30</v>
      </c>
      <c r="J7704" t="s">
        <v>41</v>
      </c>
      <c r="K7704" t="s">
        <v>59</v>
      </c>
      <c r="Q7704">
        <v>0</v>
      </c>
      <c r="R7704">
        <v>0</v>
      </c>
      <c r="S7704">
        <v>0</v>
      </c>
      <c r="T7704" t="s">
        <v>29278</v>
      </c>
    </row>
    <row r="7705" spans="1:20" customFormat="1" ht="15" x14ac:dyDescent="0.25">
      <c r="A7705" t="s">
        <v>35</v>
      </c>
      <c r="B7705" t="s">
        <v>61</v>
      </c>
      <c r="C7705" t="str">
        <f>"A0181673"</f>
        <v>A0181673</v>
      </c>
      <c r="D7705" t="s">
        <v>29279</v>
      </c>
      <c r="E7705" t="s">
        <v>29280</v>
      </c>
      <c r="F7705" t="s">
        <v>5196</v>
      </c>
      <c r="G7705" t="s">
        <v>161</v>
      </c>
      <c r="H7705">
        <v>55804</v>
      </c>
      <c r="I7705" t="s">
        <v>30</v>
      </c>
      <c r="J7705" t="s">
        <v>41</v>
      </c>
      <c r="K7705" t="s">
        <v>59</v>
      </c>
      <c r="Q7705">
        <v>0</v>
      </c>
      <c r="R7705">
        <v>46</v>
      </c>
      <c r="S7705">
        <v>46</v>
      </c>
      <c r="T7705" t="s">
        <v>29281</v>
      </c>
    </row>
    <row r="7706" spans="1:20" customFormat="1" ht="15" x14ac:dyDescent="0.25">
      <c r="A7706" t="s">
        <v>35</v>
      </c>
      <c r="B7706" t="s">
        <v>61</v>
      </c>
      <c r="C7706" t="str">
        <f>"A0181672"</f>
        <v>A0181672</v>
      </c>
      <c r="D7706" t="s">
        <v>29282</v>
      </c>
      <c r="E7706" t="s">
        <v>29283</v>
      </c>
      <c r="F7706" t="s">
        <v>9437</v>
      </c>
      <c r="G7706" t="s">
        <v>161</v>
      </c>
      <c r="H7706">
        <v>55060</v>
      </c>
      <c r="I7706" t="s">
        <v>30</v>
      </c>
      <c r="J7706" t="s">
        <v>41</v>
      </c>
      <c r="K7706" t="s">
        <v>59</v>
      </c>
      <c r="Q7706">
        <v>0</v>
      </c>
      <c r="R7706">
        <v>0</v>
      </c>
      <c r="S7706">
        <v>0</v>
      </c>
      <c r="T7706" t="s">
        <v>29284</v>
      </c>
    </row>
    <row r="7707" spans="1:20" customFormat="1" ht="15" x14ac:dyDescent="0.25">
      <c r="A7707" t="s">
        <v>35</v>
      </c>
      <c r="B7707" t="s">
        <v>61</v>
      </c>
      <c r="C7707" t="str">
        <f>"A0181671"</f>
        <v>A0181671</v>
      </c>
      <c r="D7707" t="s">
        <v>29285</v>
      </c>
      <c r="E7707" t="s">
        <v>29286</v>
      </c>
      <c r="F7707" t="s">
        <v>29103</v>
      </c>
      <c r="G7707" t="s">
        <v>161</v>
      </c>
      <c r="H7707">
        <v>56265</v>
      </c>
      <c r="I7707" t="s">
        <v>30</v>
      </c>
      <c r="J7707" t="s">
        <v>41</v>
      </c>
      <c r="K7707" t="s">
        <v>59</v>
      </c>
      <c r="Q7707">
        <v>0</v>
      </c>
      <c r="R7707">
        <v>0</v>
      </c>
      <c r="S7707">
        <v>0</v>
      </c>
      <c r="T7707" t="s">
        <v>29287</v>
      </c>
    </row>
    <row r="7708" spans="1:20" customFormat="1" ht="15" x14ac:dyDescent="0.25">
      <c r="A7708" t="s">
        <v>35</v>
      </c>
      <c r="B7708" t="s">
        <v>61</v>
      </c>
      <c r="C7708" t="str">
        <f>"A0181670"</f>
        <v>A0181670</v>
      </c>
      <c r="D7708" t="s">
        <v>29288</v>
      </c>
      <c r="E7708" t="s">
        <v>29289</v>
      </c>
      <c r="F7708" t="s">
        <v>19203</v>
      </c>
      <c r="G7708" t="s">
        <v>161</v>
      </c>
      <c r="H7708">
        <v>56308</v>
      </c>
      <c r="I7708" t="s">
        <v>30</v>
      </c>
      <c r="J7708" t="s">
        <v>41</v>
      </c>
      <c r="K7708" t="s">
        <v>59</v>
      </c>
      <c r="Q7708">
        <v>0</v>
      </c>
      <c r="R7708">
        <v>0</v>
      </c>
      <c r="S7708">
        <v>0</v>
      </c>
      <c r="T7708" t="s">
        <v>29290</v>
      </c>
    </row>
    <row r="7709" spans="1:20" customFormat="1" ht="15" x14ac:dyDescent="0.25">
      <c r="A7709" t="s">
        <v>35</v>
      </c>
      <c r="B7709" t="s">
        <v>17792</v>
      </c>
      <c r="C7709" t="str">
        <f>"A0181669"</f>
        <v>A0181669</v>
      </c>
      <c r="D7709" t="s">
        <v>29291</v>
      </c>
      <c r="E7709" t="s">
        <v>29292</v>
      </c>
      <c r="F7709" t="s">
        <v>19689</v>
      </c>
      <c r="G7709" t="s">
        <v>161</v>
      </c>
      <c r="H7709">
        <v>554131931</v>
      </c>
      <c r="I7709" t="s">
        <v>30</v>
      </c>
      <c r="J7709" t="s">
        <v>41</v>
      </c>
      <c r="K7709" t="s">
        <v>59</v>
      </c>
      <c r="Q7709">
        <v>0</v>
      </c>
      <c r="R7709">
        <v>0</v>
      </c>
      <c r="S7709">
        <v>0</v>
      </c>
      <c r="T7709" t="s">
        <v>29293</v>
      </c>
    </row>
    <row r="7710" spans="1:20" customFormat="1" ht="15" x14ac:dyDescent="0.25">
      <c r="A7710" t="s">
        <v>35</v>
      </c>
      <c r="B7710" t="s">
        <v>61</v>
      </c>
      <c r="C7710" t="str">
        <f>"A0181668"</f>
        <v>A0181668</v>
      </c>
      <c r="D7710" t="s">
        <v>29294</v>
      </c>
      <c r="E7710" t="s">
        <v>29295</v>
      </c>
      <c r="F7710" t="s">
        <v>2572</v>
      </c>
      <c r="G7710" t="s">
        <v>161</v>
      </c>
      <c r="H7710" t="s">
        <v>29296</v>
      </c>
      <c r="I7710" t="s">
        <v>30</v>
      </c>
      <c r="J7710" t="s">
        <v>41</v>
      </c>
      <c r="K7710" t="s">
        <v>59</v>
      </c>
      <c r="Q7710">
        <v>0</v>
      </c>
      <c r="R7710">
        <v>0</v>
      </c>
      <c r="S7710">
        <v>0</v>
      </c>
      <c r="T7710" t="s">
        <v>29297</v>
      </c>
    </row>
    <row r="7711" spans="1:20" customFormat="1" ht="15" x14ac:dyDescent="0.25">
      <c r="A7711" t="s">
        <v>35</v>
      </c>
      <c r="B7711" t="s">
        <v>61</v>
      </c>
      <c r="C7711" t="str">
        <f>"A0181667"</f>
        <v>A0181667</v>
      </c>
      <c r="D7711" t="s">
        <v>29298</v>
      </c>
      <c r="E7711" t="s">
        <v>29299</v>
      </c>
      <c r="F7711" t="s">
        <v>21392</v>
      </c>
      <c r="G7711" t="s">
        <v>161</v>
      </c>
      <c r="H7711" t="s">
        <v>29300</v>
      </c>
      <c r="I7711" t="s">
        <v>30</v>
      </c>
      <c r="J7711" t="s">
        <v>41</v>
      </c>
      <c r="K7711" t="s">
        <v>59</v>
      </c>
      <c r="Q7711">
        <v>0</v>
      </c>
      <c r="R7711">
        <v>0</v>
      </c>
      <c r="S7711">
        <v>0</v>
      </c>
      <c r="T7711" t="s">
        <v>29301</v>
      </c>
    </row>
    <row r="7712" spans="1:20" customFormat="1" ht="15" x14ac:dyDescent="0.25">
      <c r="A7712" t="s">
        <v>35</v>
      </c>
      <c r="B7712" t="s">
        <v>61</v>
      </c>
      <c r="C7712" t="str">
        <f>"A0181666"</f>
        <v>A0181666</v>
      </c>
      <c r="D7712" t="s">
        <v>29302</v>
      </c>
      <c r="E7712" t="s">
        <v>29303</v>
      </c>
      <c r="F7712" t="s">
        <v>29304</v>
      </c>
      <c r="G7712" t="s">
        <v>899</v>
      </c>
      <c r="H7712">
        <v>2026</v>
      </c>
      <c r="I7712" t="s">
        <v>30</v>
      </c>
      <c r="J7712" t="s">
        <v>41</v>
      </c>
      <c r="K7712" t="s">
        <v>59</v>
      </c>
      <c r="Q7712">
        <v>0</v>
      </c>
      <c r="R7712">
        <v>359</v>
      </c>
      <c r="S7712">
        <v>359</v>
      </c>
      <c r="T7712" t="s">
        <v>29305</v>
      </c>
    </row>
    <row r="7713" spans="1:20" customFormat="1" ht="15" x14ac:dyDescent="0.25">
      <c r="A7713" t="s">
        <v>35</v>
      </c>
      <c r="B7713" t="s">
        <v>61</v>
      </c>
      <c r="C7713" t="str">
        <f>"A0181665"</f>
        <v>A0181665</v>
      </c>
      <c r="D7713" t="s">
        <v>29306</v>
      </c>
      <c r="E7713" t="s">
        <v>29307</v>
      </c>
      <c r="F7713" t="s">
        <v>898</v>
      </c>
      <c r="G7713" t="s">
        <v>899</v>
      </c>
      <c r="H7713" t="s">
        <v>29308</v>
      </c>
      <c r="I7713" t="s">
        <v>30</v>
      </c>
      <c r="J7713" t="s">
        <v>41</v>
      </c>
      <c r="K7713" t="s">
        <v>59</v>
      </c>
      <c r="Q7713">
        <v>0</v>
      </c>
      <c r="R7713">
        <v>110</v>
      </c>
      <c r="S7713">
        <v>110</v>
      </c>
      <c r="T7713" t="s">
        <v>29309</v>
      </c>
    </row>
    <row r="7714" spans="1:20" customFormat="1" ht="15" x14ac:dyDescent="0.25">
      <c r="A7714" t="s">
        <v>35</v>
      </c>
      <c r="B7714" t="s">
        <v>61</v>
      </c>
      <c r="C7714" t="str">
        <f>"A0181664"</f>
        <v>A0181664</v>
      </c>
      <c r="D7714" t="s">
        <v>10187</v>
      </c>
      <c r="E7714" t="s">
        <v>29310</v>
      </c>
      <c r="F7714" t="s">
        <v>25941</v>
      </c>
      <c r="G7714" t="s">
        <v>899</v>
      </c>
      <c r="H7714">
        <v>1832</v>
      </c>
      <c r="I7714" t="s">
        <v>30</v>
      </c>
      <c r="J7714" t="s">
        <v>41</v>
      </c>
      <c r="K7714" t="s">
        <v>59</v>
      </c>
      <c r="Q7714">
        <v>0</v>
      </c>
      <c r="R7714">
        <v>96</v>
      </c>
      <c r="S7714">
        <v>96</v>
      </c>
      <c r="T7714" t="s">
        <v>29311</v>
      </c>
    </row>
    <row r="7715" spans="1:20" customFormat="1" ht="15" x14ac:dyDescent="0.25">
      <c r="A7715" t="s">
        <v>35</v>
      </c>
      <c r="B7715" t="s">
        <v>61</v>
      </c>
      <c r="C7715" t="str">
        <f>"A0181663"</f>
        <v>A0181663</v>
      </c>
      <c r="D7715" t="s">
        <v>29312</v>
      </c>
      <c r="E7715" t="s">
        <v>29313</v>
      </c>
      <c r="F7715" t="s">
        <v>595</v>
      </c>
      <c r="G7715" t="s">
        <v>338</v>
      </c>
      <c r="H7715" t="s">
        <v>29314</v>
      </c>
      <c r="I7715" t="s">
        <v>30</v>
      </c>
      <c r="J7715" t="s">
        <v>41</v>
      </c>
      <c r="K7715" t="s">
        <v>59</v>
      </c>
      <c r="Q7715">
        <v>0</v>
      </c>
      <c r="R7715">
        <v>0</v>
      </c>
      <c r="S7715">
        <v>0</v>
      </c>
      <c r="T7715" t="s">
        <v>29315</v>
      </c>
    </row>
    <row r="7716" spans="1:20" customFormat="1" ht="15" x14ac:dyDescent="0.25">
      <c r="A7716" t="s">
        <v>35</v>
      </c>
      <c r="B7716" t="s">
        <v>61</v>
      </c>
      <c r="C7716" t="str">
        <f>"A0181662"</f>
        <v>A0181662</v>
      </c>
      <c r="D7716" t="s">
        <v>29316</v>
      </c>
      <c r="E7716" t="s">
        <v>29317</v>
      </c>
      <c r="F7716" t="s">
        <v>566</v>
      </c>
      <c r="G7716" t="s">
        <v>338</v>
      </c>
      <c r="H7716" t="s">
        <v>29318</v>
      </c>
      <c r="I7716" t="s">
        <v>30</v>
      </c>
      <c r="J7716" t="s">
        <v>41</v>
      </c>
      <c r="K7716" t="s">
        <v>59</v>
      </c>
      <c r="Q7716">
        <v>0</v>
      </c>
      <c r="R7716">
        <v>86</v>
      </c>
      <c r="S7716">
        <v>86</v>
      </c>
      <c r="T7716" t="s">
        <v>29319</v>
      </c>
    </row>
    <row r="7717" spans="1:20" customFormat="1" ht="15" x14ac:dyDescent="0.25">
      <c r="A7717" t="s">
        <v>35</v>
      </c>
      <c r="B7717" t="s">
        <v>61</v>
      </c>
      <c r="C7717" t="str">
        <f>"A0181661"</f>
        <v>A0181661</v>
      </c>
      <c r="D7717" t="s">
        <v>29320</v>
      </c>
      <c r="E7717" t="s">
        <v>29321</v>
      </c>
      <c r="F7717" t="s">
        <v>19203</v>
      </c>
      <c r="G7717" t="s">
        <v>161</v>
      </c>
      <c r="H7717">
        <v>56308</v>
      </c>
      <c r="I7717" t="s">
        <v>30</v>
      </c>
      <c r="J7717" t="s">
        <v>41</v>
      </c>
      <c r="K7717" t="s">
        <v>59</v>
      </c>
      <c r="Q7717">
        <v>0</v>
      </c>
      <c r="R7717">
        <v>0</v>
      </c>
      <c r="S7717">
        <v>0</v>
      </c>
      <c r="T7717" t="s">
        <v>29290</v>
      </c>
    </row>
    <row r="7718" spans="1:20" customFormat="1" ht="15" x14ac:dyDescent="0.25">
      <c r="A7718" t="s">
        <v>35</v>
      </c>
      <c r="B7718" t="s">
        <v>61</v>
      </c>
      <c r="C7718" t="str">
        <f>"A0181660"</f>
        <v>A0181660</v>
      </c>
      <c r="D7718" t="s">
        <v>29322</v>
      </c>
      <c r="E7718" t="s">
        <v>29323</v>
      </c>
      <c r="F7718" t="s">
        <v>27202</v>
      </c>
      <c r="G7718" t="s">
        <v>161</v>
      </c>
      <c r="H7718" t="s">
        <v>29324</v>
      </c>
      <c r="I7718" t="s">
        <v>30</v>
      </c>
      <c r="J7718" t="s">
        <v>41</v>
      </c>
      <c r="K7718" t="s">
        <v>59</v>
      </c>
      <c r="Q7718">
        <v>0</v>
      </c>
      <c r="R7718">
        <v>0</v>
      </c>
      <c r="S7718">
        <v>0</v>
      </c>
      <c r="T7718" t="s">
        <v>29325</v>
      </c>
    </row>
    <row r="7719" spans="1:20" customFormat="1" ht="15" x14ac:dyDescent="0.25">
      <c r="A7719" t="s">
        <v>35</v>
      </c>
      <c r="B7719" t="s">
        <v>61</v>
      </c>
      <c r="C7719" t="str">
        <f>"A0181659"</f>
        <v>A0181659</v>
      </c>
      <c r="D7719" t="s">
        <v>29326</v>
      </c>
      <c r="E7719" t="s">
        <v>29327</v>
      </c>
      <c r="F7719" t="s">
        <v>28930</v>
      </c>
      <c r="G7719" t="s">
        <v>161</v>
      </c>
      <c r="H7719" t="s">
        <v>29328</v>
      </c>
      <c r="I7719" t="s">
        <v>30</v>
      </c>
      <c r="J7719" t="s">
        <v>41</v>
      </c>
      <c r="K7719" t="s">
        <v>59</v>
      </c>
      <c r="Q7719">
        <v>0</v>
      </c>
      <c r="R7719">
        <v>0</v>
      </c>
      <c r="S7719">
        <v>0</v>
      </c>
      <c r="T7719" t="s">
        <v>29329</v>
      </c>
    </row>
    <row r="7720" spans="1:20" customFormat="1" ht="15" x14ac:dyDescent="0.25">
      <c r="A7720" t="s">
        <v>35</v>
      </c>
      <c r="B7720" t="s">
        <v>61</v>
      </c>
      <c r="C7720" t="str">
        <f>"A0181658"</f>
        <v>A0181658</v>
      </c>
      <c r="D7720" t="s">
        <v>29330</v>
      </c>
      <c r="E7720" t="s">
        <v>29331</v>
      </c>
      <c r="F7720" t="s">
        <v>29332</v>
      </c>
      <c r="G7720" t="s">
        <v>161</v>
      </c>
      <c r="H7720" t="s">
        <v>29333</v>
      </c>
      <c r="I7720" t="s">
        <v>30</v>
      </c>
      <c r="J7720" t="s">
        <v>41</v>
      </c>
      <c r="K7720" t="s">
        <v>59</v>
      </c>
      <c r="Q7720">
        <v>0</v>
      </c>
      <c r="R7720">
        <v>0</v>
      </c>
      <c r="S7720">
        <v>0</v>
      </c>
      <c r="T7720" t="s">
        <v>29334</v>
      </c>
    </row>
    <row r="7721" spans="1:20" customFormat="1" ht="15" x14ac:dyDescent="0.25">
      <c r="A7721" t="s">
        <v>35</v>
      </c>
      <c r="B7721" t="s">
        <v>61</v>
      </c>
      <c r="C7721" t="str">
        <f>"A0181657"</f>
        <v>A0181657</v>
      </c>
      <c r="D7721" t="s">
        <v>29335</v>
      </c>
      <c r="E7721" t="s">
        <v>29336</v>
      </c>
      <c r="F7721" t="s">
        <v>11602</v>
      </c>
      <c r="G7721" t="s">
        <v>71</v>
      </c>
      <c r="H7721">
        <v>54602</v>
      </c>
      <c r="I7721" t="s">
        <v>30</v>
      </c>
      <c r="J7721" t="s">
        <v>41</v>
      </c>
      <c r="K7721" t="s">
        <v>59</v>
      </c>
      <c r="Q7721">
        <v>0</v>
      </c>
      <c r="R7721">
        <v>0</v>
      </c>
      <c r="S7721">
        <v>0</v>
      </c>
      <c r="T7721" t="s">
        <v>29337</v>
      </c>
    </row>
    <row r="7722" spans="1:20" customFormat="1" ht="15" x14ac:dyDescent="0.25">
      <c r="A7722" t="s">
        <v>35</v>
      </c>
      <c r="B7722" t="s">
        <v>61</v>
      </c>
      <c r="C7722" t="str">
        <f>"A0181656"</f>
        <v>A0181656</v>
      </c>
      <c r="D7722" t="s">
        <v>29338</v>
      </c>
      <c r="E7722" t="s">
        <v>29339</v>
      </c>
      <c r="F7722" t="s">
        <v>29173</v>
      </c>
      <c r="G7722" t="s">
        <v>71</v>
      </c>
      <c r="H7722" t="s">
        <v>29340</v>
      </c>
      <c r="I7722" t="s">
        <v>30</v>
      </c>
      <c r="J7722" t="s">
        <v>41</v>
      </c>
      <c r="K7722" t="s">
        <v>59</v>
      </c>
      <c r="Q7722">
        <v>0</v>
      </c>
      <c r="R7722">
        <v>139</v>
      </c>
      <c r="S7722">
        <v>139</v>
      </c>
      <c r="T7722" t="s">
        <v>29175</v>
      </c>
    </row>
    <row r="7723" spans="1:20" customFormat="1" ht="15" x14ac:dyDescent="0.25">
      <c r="A7723" t="s">
        <v>35</v>
      </c>
      <c r="B7723" t="s">
        <v>61</v>
      </c>
      <c r="C7723" t="str">
        <f>"A0181655"</f>
        <v>A0181655</v>
      </c>
      <c r="D7723" t="s">
        <v>29341</v>
      </c>
      <c r="E7723" t="s">
        <v>29342</v>
      </c>
      <c r="F7723" t="s">
        <v>23599</v>
      </c>
      <c r="G7723" t="s">
        <v>338</v>
      </c>
      <c r="H7723" t="s">
        <v>29343</v>
      </c>
      <c r="I7723" t="s">
        <v>30</v>
      </c>
      <c r="J7723" t="s">
        <v>41</v>
      </c>
      <c r="K7723" t="s">
        <v>59</v>
      </c>
      <c r="Q7723">
        <v>0</v>
      </c>
      <c r="R7723">
        <v>240</v>
      </c>
      <c r="S7723">
        <v>240</v>
      </c>
      <c r="T7723" t="s">
        <v>29344</v>
      </c>
    </row>
    <row r="7724" spans="1:20" customFormat="1" ht="15" x14ac:dyDescent="0.25">
      <c r="A7724" t="s">
        <v>35</v>
      </c>
      <c r="B7724" t="s">
        <v>61</v>
      </c>
      <c r="C7724" t="str">
        <f>"A0181654"</f>
        <v>A0181654</v>
      </c>
      <c r="D7724" t="s">
        <v>29345</v>
      </c>
      <c r="E7724" t="s">
        <v>29346</v>
      </c>
      <c r="F7724" t="s">
        <v>10272</v>
      </c>
      <c r="G7724" t="s">
        <v>338</v>
      </c>
      <c r="H7724" t="s">
        <v>29347</v>
      </c>
      <c r="I7724" t="s">
        <v>30</v>
      </c>
      <c r="J7724" t="s">
        <v>41</v>
      </c>
      <c r="K7724" t="s">
        <v>59</v>
      </c>
      <c r="Q7724">
        <v>0</v>
      </c>
      <c r="R7724">
        <v>0</v>
      </c>
      <c r="S7724">
        <v>0</v>
      </c>
      <c r="T7724" t="s">
        <v>29348</v>
      </c>
    </row>
    <row r="7725" spans="1:20" customFormat="1" ht="15" x14ac:dyDescent="0.25">
      <c r="A7725" t="s">
        <v>35</v>
      </c>
      <c r="B7725" t="s">
        <v>61</v>
      </c>
      <c r="C7725" t="str">
        <f>"A0181653"</f>
        <v>A0181653</v>
      </c>
      <c r="D7725" t="s">
        <v>29349</v>
      </c>
      <c r="E7725" t="s">
        <v>29350</v>
      </c>
      <c r="F7725" t="s">
        <v>8417</v>
      </c>
      <c r="G7725" t="s">
        <v>338</v>
      </c>
      <c r="H7725" t="s">
        <v>29351</v>
      </c>
      <c r="I7725" t="s">
        <v>30</v>
      </c>
      <c r="J7725" t="s">
        <v>41</v>
      </c>
      <c r="K7725" t="s">
        <v>59</v>
      </c>
      <c r="Q7725">
        <v>0</v>
      </c>
      <c r="R7725">
        <v>32</v>
      </c>
      <c r="S7725">
        <v>32</v>
      </c>
      <c r="T7725" t="s">
        <v>29352</v>
      </c>
    </row>
    <row r="7726" spans="1:20" customFormat="1" ht="15" x14ac:dyDescent="0.25">
      <c r="A7726" t="s">
        <v>35</v>
      </c>
      <c r="B7726" t="s">
        <v>61</v>
      </c>
      <c r="C7726" t="str">
        <f>"A0181652"</f>
        <v>A0181652</v>
      </c>
      <c r="D7726" t="s">
        <v>29353</v>
      </c>
      <c r="E7726" t="s">
        <v>29354</v>
      </c>
      <c r="F7726" t="s">
        <v>29355</v>
      </c>
      <c r="G7726" t="s">
        <v>615</v>
      </c>
      <c r="H7726" t="s">
        <v>29356</v>
      </c>
      <c r="I7726" t="s">
        <v>30</v>
      </c>
      <c r="J7726" t="s">
        <v>41</v>
      </c>
      <c r="K7726" t="s">
        <v>59</v>
      </c>
      <c r="Q7726">
        <v>0</v>
      </c>
      <c r="R7726">
        <v>0</v>
      </c>
      <c r="S7726">
        <v>0</v>
      </c>
    </row>
    <row r="7727" spans="1:20" customFormat="1" ht="15" x14ac:dyDescent="0.25">
      <c r="A7727" t="s">
        <v>35</v>
      </c>
      <c r="B7727" t="s">
        <v>61</v>
      </c>
      <c r="C7727" t="str">
        <f>"A0181651"</f>
        <v>A0181651</v>
      </c>
      <c r="D7727" t="s">
        <v>29357</v>
      </c>
      <c r="E7727" t="s">
        <v>29358</v>
      </c>
      <c r="F7727" t="s">
        <v>1634</v>
      </c>
      <c r="G7727" t="s">
        <v>615</v>
      </c>
      <c r="H7727" t="s">
        <v>29359</v>
      </c>
      <c r="I7727" t="s">
        <v>30</v>
      </c>
      <c r="J7727" t="s">
        <v>41</v>
      </c>
      <c r="K7727" t="s">
        <v>59</v>
      </c>
      <c r="Q7727">
        <v>0</v>
      </c>
      <c r="R7727">
        <v>0</v>
      </c>
      <c r="S7727">
        <v>0</v>
      </c>
      <c r="T7727" t="s">
        <v>29360</v>
      </c>
    </row>
    <row r="7728" spans="1:20" customFormat="1" ht="15" x14ac:dyDescent="0.25">
      <c r="A7728" t="s">
        <v>35</v>
      </c>
      <c r="B7728" t="s">
        <v>61</v>
      </c>
      <c r="C7728" t="str">
        <f>"A0181650"</f>
        <v>A0181650</v>
      </c>
      <c r="D7728" t="s">
        <v>29361</v>
      </c>
      <c r="E7728" t="s">
        <v>29362</v>
      </c>
      <c r="F7728" t="s">
        <v>29363</v>
      </c>
      <c r="G7728" t="s">
        <v>615</v>
      </c>
      <c r="H7728" t="s">
        <v>29364</v>
      </c>
      <c r="I7728" t="s">
        <v>30</v>
      </c>
      <c r="J7728" t="s">
        <v>41</v>
      </c>
      <c r="K7728" t="s">
        <v>59</v>
      </c>
      <c r="Q7728">
        <v>0</v>
      </c>
      <c r="R7728">
        <v>0</v>
      </c>
      <c r="S7728">
        <v>0</v>
      </c>
    </row>
    <row r="7729" spans="1:20" customFormat="1" ht="15" x14ac:dyDescent="0.25">
      <c r="A7729" t="s">
        <v>35</v>
      </c>
      <c r="B7729" t="s">
        <v>61</v>
      </c>
      <c r="C7729" t="str">
        <f>"A0181649"</f>
        <v>A0181649</v>
      </c>
      <c r="D7729" t="s">
        <v>29365</v>
      </c>
      <c r="E7729" t="s">
        <v>29366</v>
      </c>
      <c r="F7729" t="s">
        <v>624</v>
      </c>
      <c r="G7729" t="s">
        <v>615</v>
      </c>
      <c r="H7729" t="s">
        <v>29367</v>
      </c>
      <c r="I7729" t="s">
        <v>30</v>
      </c>
      <c r="J7729" t="s">
        <v>41</v>
      </c>
      <c r="K7729" t="s">
        <v>59</v>
      </c>
      <c r="Q7729">
        <v>0</v>
      </c>
      <c r="R7729">
        <v>120</v>
      </c>
      <c r="S7729">
        <v>120</v>
      </c>
      <c r="T7729" t="s">
        <v>29368</v>
      </c>
    </row>
    <row r="7730" spans="1:20" customFormat="1" ht="15" x14ac:dyDescent="0.25">
      <c r="A7730" t="s">
        <v>35</v>
      </c>
      <c r="B7730" t="s">
        <v>61</v>
      </c>
      <c r="C7730" t="str">
        <f>"A0181648"</f>
        <v>A0181648</v>
      </c>
      <c r="D7730" t="s">
        <v>29369</v>
      </c>
      <c r="E7730" t="s">
        <v>29370</v>
      </c>
      <c r="F7730" t="s">
        <v>4116</v>
      </c>
      <c r="G7730" t="s">
        <v>615</v>
      </c>
      <c r="H7730" t="s">
        <v>29371</v>
      </c>
      <c r="I7730" t="s">
        <v>30</v>
      </c>
      <c r="J7730" t="s">
        <v>41</v>
      </c>
      <c r="K7730" t="s">
        <v>59</v>
      </c>
      <c r="Q7730">
        <v>0</v>
      </c>
      <c r="R7730">
        <v>0</v>
      </c>
      <c r="S7730">
        <v>0</v>
      </c>
      <c r="T7730" t="s">
        <v>29372</v>
      </c>
    </row>
    <row r="7731" spans="1:20" customFormat="1" ht="15" x14ac:dyDescent="0.25">
      <c r="A7731" t="s">
        <v>35</v>
      </c>
      <c r="B7731" t="s">
        <v>61</v>
      </c>
      <c r="C7731" t="str">
        <f>"A0181647"</f>
        <v>A0181647</v>
      </c>
      <c r="D7731" t="s">
        <v>29373</v>
      </c>
      <c r="E7731" t="s">
        <v>29374</v>
      </c>
      <c r="F7731" t="s">
        <v>29375</v>
      </c>
      <c r="G7731" t="s">
        <v>615</v>
      </c>
      <c r="H7731" t="s">
        <v>29376</v>
      </c>
      <c r="I7731" t="s">
        <v>30</v>
      </c>
      <c r="J7731" t="s">
        <v>41</v>
      </c>
      <c r="K7731" t="s">
        <v>59</v>
      </c>
      <c r="Q7731">
        <v>0</v>
      </c>
      <c r="R7731">
        <v>0</v>
      </c>
      <c r="S7731">
        <v>0</v>
      </c>
      <c r="T7731" t="s">
        <v>29377</v>
      </c>
    </row>
    <row r="7732" spans="1:20" customFormat="1" ht="15" x14ac:dyDescent="0.25">
      <c r="A7732" t="s">
        <v>35</v>
      </c>
      <c r="B7732" t="s">
        <v>61</v>
      </c>
      <c r="C7732" t="str">
        <f>"A0181646"</f>
        <v>A0181646</v>
      </c>
      <c r="D7732" t="s">
        <v>29378</v>
      </c>
      <c r="E7732" t="s">
        <v>29379</v>
      </c>
      <c r="F7732" t="s">
        <v>29380</v>
      </c>
      <c r="G7732" t="s">
        <v>338</v>
      </c>
      <c r="H7732">
        <v>8071</v>
      </c>
      <c r="I7732" t="s">
        <v>30</v>
      </c>
      <c r="J7732" t="s">
        <v>41</v>
      </c>
      <c r="K7732" t="s">
        <v>59</v>
      </c>
      <c r="Q7732">
        <v>0</v>
      </c>
      <c r="R7732">
        <v>70</v>
      </c>
      <c r="S7732">
        <v>70</v>
      </c>
      <c r="T7732" t="s">
        <v>29381</v>
      </c>
    </row>
    <row r="7733" spans="1:20" customFormat="1" ht="15" x14ac:dyDescent="0.25">
      <c r="A7733" t="s">
        <v>35</v>
      </c>
      <c r="B7733" t="s">
        <v>61</v>
      </c>
      <c r="C7733" t="str">
        <f>"A0181645"</f>
        <v>A0181645</v>
      </c>
      <c r="D7733" t="s">
        <v>29382</v>
      </c>
      <c r="E7733" t="s">
        <v>29383</v>
      </c>
      <c r="F7733" t="s">
        <v>29384</v>
      </c>
      <c r="G7733" t="s">
        <v>615</v>
      </c>
      <c r="H7733" t="s">
        <v>29385</v>
      </c>
      <c r="I7733" t="s">
        <v>30</v>
      </c>
      <c r="J7733" t="s">
        <v>41</v>
      </c>
      <c r="K7733" t="s">
        <v>59</v>
      </c>
      <c r="Q7733">
        <v>0</v>
      </c>
      <c r="R7733">
        <v>353</v>
      </c>
      <c r="S7733">
        <v>353</v>
      </c>
      <c r="T7733" t="s">
        <v>29386</v>
      </c>
    </row>
    <row r="7734" spans="1:20" customFormat="1" ht="15" x14ac:dyDescent="0.25">
      <c r="A7734" t="s">
        <v>35</v>
      </c>
      <c r="B7734" t="s">
        <v>61</v>
      </c>
      <c r="C7734" t="str">
        <f>"A0181644"</f>
        <v>A0181644</v>
      </c>
      <c r="D7734" t="s">
        <v>29387</v>
      </c>
      <c r="E7734" t="s">
        <v>29388</v>
      </c>
      <c r="F7734" t="s">
        <v>29389</v>
      </c>
      <c r="G7734" t="s">
        <v>161</v>
      </c>
      <c r="H7734">
        <v>56055</v>
      </c>
      <c r="I7734" t="s">
        <v>30</v>
      </c>
      <c r="J7734" t="s">
        <v>41</v>
      </c>
      <c r="K7734" t="s">
        <v>59</v>
      </c>
      <c r="Q7734">
        <v>0</v>
      </c>
      <c r="R7734">
        <v>0</v>
      </c>
      <c r="S7734">
        <v>0</v>
      </c>
      <c r="T7734" t="s">
        <v>29390</v>
      </c>
    </row>
    <row r="7735" spans="1:20" customFormat="1" ht="15" x14ac:dyDescent="0.25">
      <c r="A7735" t="s">
        <v>35</v>
      </c>
      <c r="B7735" t="s">
        <v>61</v>
      </c>
      <c r="C7735" t="str">
        <f>"A0181642"</f>
        <v>A0181642</v>
      </c>
      <c r="D7735" t="s">
        <v>29391</v>
      </c>
      <c r="E7735" t="s">
        <v>29392</v>
      </c>
      <c r="F7735" t="s">
        <v>27202</v>
      </c>
      <c r="G7735" t="s">
        <v>161</v>
      </c>
      <c r="H7735" t="s">
        <v>29393</v>
      </c>
      <c r="I7735" t="s">
        <v>30</v>
      </c>
      <c r="J7735" t="s">
        <v>41</v>
      </c>
      <c r="K7735" t="s">
        <v>59</v>
      </c>
      <c r="Q7735">
        <v>0</v>
      </c>
      <c r="R7735">
        <v>0</v>
      </c>
      <c r="S7735">
        <v>0</v>
      </c>
      <c r="T7735" t="s">
        <v>29394</v>
      </c>
    </row>
    <row r="7736" spans="1:20" customFormat="1" ht="15" x14ac:dyDescent="0.25">
      <c r="A7736" t="s">
        <v>35</v>
      </c>
      <c r="B7736" t="s">
        <v>61</v>
      </c>
      <c r="C7736" t="str">
        <f>"A0181641"</f>
        <v>A0181641</v>
      </c>
      <c r="D7736" t="s">
        <v>29395</v>
      </c>
      <c r="E7736" t="s">
        <v>29396</v>
      </c>
      <c r="F7736" t="s">
        <v>27997</v>
      </c>
      <c r="G7736" t="s">
        <v>161</v>
      </c>
      <c r="H7736" t="s">
        <v>29397</v>
      </c>
      <c r="I7736" t="s">
        <v>30</v>
      </c>
      <c r="J7736" t="s">
        <v>41</v>
      </c>
      <c r="K7736" t="s">
        <v>59</v>
      </c>
      <c r="Q7736">
        <v>0</v>
      </c>
      <c r="R7736">
        <v>248</v>
      </c>
      <c r="S7736">
        <v>248</v>
      </c>
      <c r="T7736" t="s">
        <v>29398</v>
      </c>
    </row>
    <row r="7737" spans="1:20" customFormat="1" ht="15" x14ac:dyDescent="0.25">
      <c r="A7737" t="s">
        <v>35</v>
      </c>
      <c r="B7737" t="s">
        <v>61</v>
      </c>
      <c r="C7737" t="str">
        <f>"A0181640"</f>
        <v>A0181640</v>
      </c>
      <c r="D7737" t="s">
        <v>29399</v>
      </c>
      <c r="E7737" t="s">
        <v>29400</v>
      </c>
      <c r="F7737" t="s">
        <v>27415</v>
      </c>
      <c r="G7737" t="s">
        <v>161</v>
      </c>
      <c r="H7737">
        <v>56007</v>
      </c>
      <c r="I7737" t="s">
        <v>30</v>
      </c>
      <c r="J7737" t="s">
        <v>41</v>
      </c>
      <c r="K7737" t="s">
        <v>59</v>
      </c>
      <c r="Q7737">
        <v>0</v>
      </c>
      <c r="R7737">
        <v>64</v>
      </c>
      <c r="S7737">
        <v>64</v>
      </c>
      <c r="T7737" t="s">
        <v>29401</v>
      </c>
    </row>
    <row r="7738" spans="1:20" customFormat="1" ht="15" x14ac:dyDescent="0.25">
      <c r="A7738" t="s">
        <v>35</v>
      </c>
      <c r="B7738" t="s">
        <v>61</v>
      </c>
      <c r="C7738" t="str">
        <f>"A0181639"</f>
        <v>A0181639</v>
      </c>
      <c r="D7738" t="s">
        <v>29402</v>
      </c>
      <c r="E7738" t="s">
        <v>29403</v>
      </c>
      <c r="F7738" t="s">
        <v>839</v>
      </c>
      <c r="G7738" t="s">
        <v>840</v>
      </c>
      <c r="H7738" t="s">
        <v>29404</v>
      </c>
      <c r="I7738" t="s">
        <v>30</v>
      </c>
      <c r="J7738" t="s">
        <v>41</v>
      </c>
      <c r="K7738" t="s">
        <v>59</v>
      </c>
      <c r="Q7738">
        <v>0</v>
      </c>
      <c r="R7738">
        <v>122</v>
      </c>
      <c r="S7738">
        <v>122</v>
      </c>
      <c r="T7738" t="s">
        <v>29405</v>
      </c>
    </row>
    <row r="7739" spans="1:20" customFormat="1" ht="15" x14ac:dyDescent="0.25">
      <c r="A7739" t="s">
        <v>35</v>
      </c>
      <c r="B7739" t="s">
        <v>61</v>
      </c>
      <c r="C7739" t="str">
        <f>"A0181638"</f>
        <v>A0181638</v>
      </c>
      <c r="D7739" t="s">
        <v>29406</v>
      </c>
      <c r="E7739" t="s">
        <v>29407</v>
      </c>
      <c r="F7739" t="s">
        <v>29252</v>
      </c>
      <c r="G7739" t="s">
        <v>161</v>
      </c>
      <c r="H7739">
        <v>553182072</v>
      </c>
      <c r="I7739" t="s">
        <v>30</v>
      </c>
      <c r="J7739" t="s">
        <v>41</v>
      </c>
      <c r="K7739" t="s">
        <v>59</v>
      </c>
      <c r="Q7739">
        <v>0</v>
      </c>
      <c r="R7739">
        <v>0</v>
      </c>
      <c r="S7739">
        <v>0</v>
      </c>
    </row>
    <row r="7740" spans="1:20" customFormat="1" ht="15" x14ac:dyDescent="0.25">
      <c r="A7740" t="s">
        <v>35</v>
      </c>
      <c r="B7740" t="s">
        <v>61</v>
      </c>
      <c r="C7740" t="str">
        <f>"A0181637"</f>
        <v>A0181637</v>
      </c>
      <c r="D7740" t="s">
        <v>29408</v>
      </c>
      <c r="E7740" t="s">
        <v>29409</v>
      </c>
      <c r="F7740" t="s">
        <v>1689</v>
      </c>
      <c r="G7740" t="s">
        <v>840</v>
      </c>
      <c r="H7740" t="s">
        <v>29410</v>
      </c>
      <c r="I7740" t="s">
        <v>30</v>
      </c>
      <c r="J7740" t="s">
        <v>41</v>
      </c>
      <c r="K7740" t="s">
        <v>59</v>
      </c>
      <c r="Q7740">
        <v>0</v>
      </c>
      <c r="R7740">
        <v>0</v>
      </c>
      <c r="S7740">
        <v>0</v>
      </c>
      <c r="T7740" t="s">
        <v>29411</v>
      </c>
    </row>
    <row r="7741" spans="1:20" customFormat="1" ht="15" x14ac:dyDescent="0.25">
      <c r="A7741" t="s">
        <v>35</v>
      </c>
      <c r="B7741" t="s">
        <v>61</v>
      </c>
      <c r="C7741" t="str">
        <f>"A0181635"</f>
        <v>A0181635</v>
      </c>
      <c r="D7741" t="s">
        <v>26346</v>
      </c>
      <c r="E7741" t="s">
        <v>29412</v>
      </c>
      <c r="F7741" t="s">
        <v>898</v>
      </c>
      <c r="G7741" t="s">
        <v>899</v>
      </c>
      <c r="H7741" t="s">
        <v>29413</v>
      </c>
      <c r="I7741" t="s">
        <v>30</v>
      </c>
      <c r="J7741" t="s">
        <v>41</v>
      </c>
      <c r="K7741" t="s">
        <v>59</v>
      </c>
      <c r="Q7741">
        <v>0</v>
      </c>
      <c r="R7741">
        <v>0</v>
      </c>
      <c r="S7741">
        <v>0</v>
      </c>
      <c r="T7741" t="s">
        <v>29414</v>
      </c>
    </row>
    <row r="7742" spans="1:20" customFormat="1" ht="15" x14ac:dyDescent="0.25">
      <c r="A7742" t="s">
        <v>35</v>
      </c>
      <c r="B7742" t="s">
        <v>61</v>
      </c>
      <c r="C7742" t="str">
        <f>"A0181634"</f>
        <v>A0181634</v>
      </c>
      <c r="D7742" t="s">
        <v>29415</v>
      </c>
      <c r="E7742" t="s">
        <v>29416</v>
      </c>
      <c r="F7742" t="s">
        <v>26129</v>
      </c>
      <c r="G7742" t="s">
        <v>899</v>
      </c>
      <c r="H7742" t="s">
        <v>29417</v>
      </c>
      <c r="I7742" t="s">
        <v>30</v>
      </c>
      <c r="J7742" t="s">
        <v>41</v>
      </c>
      <c r="K7742" t="s">
        <v>59</v>
      </c>
      <c r="Q7742">
        <v>0</v>
      </c>
      <c r="R7742">
        <v>48</v>
      </c>
      <c r="S7742">
        <v>48</v>
      </c>
    </row>
    <row r="7743" spans="1:20" customFormat="1" ht="15" x14ac:dyDescent="0.25">
      <c r="A7743" t="s">
        <v>35</v>
      </c>
      <c r="B7743" t="s">
        <v>61</v>
      </c>
      <c r="C7743" t="str">
        <f>"A0181633"</f>
        <v>A0181633</v>
      </c>
      <c r="D7743" t="s">
        <v>29418</v>
      </c>
      <c r="E7743" t="s">
        <v>29419</v>
      </c>
      <c r="F7743" t="s">
        <v>26091</v>
      </c>
      <c r="G7743" t="s">
        <v>899</v>
      </c>
      <c r="H7743" t="s">
        <v>29420</v>
      </c>
      <c r="I7743" t="s">
        <v>30</v>
      </c>
      <c r="J7743" t="s">
        <v>41</v>
      </c>
      <c r="K7743" t="s">
        <v>59</v>
      </c>
      <c r="Q7743">
        <v>0</v>
      </c>
      <c r="R7743">
        <v>61</v>
      </c>
      <c r="S7743">
        <v>61</v>
      </c>
      <c r="T7743" t="s">
        <v>29421</v>
      </c>
    </row>
    <row r="7744" spans="1:20" customFormat="1" ht="15" x14ac:dyDescent="0.25">
      <c r="A7744" t="s">
        <v>35</v>
      </c>
      <c r="B7744" t="s">
        <v>61</v>
      </c>
      <c r="C7744" t="str">
        <f>"A0181632"</f>
        <v>A0181632</v>
      </c>
      <c r="D7744" t="s">
        <v>29422</v>
      </c>
      <c r="E7744" t="s">
        <v>29423</v>
      </c>
      <c r="F7744" t="s">
        <v>29384</v>
      </c>
      <c r="G7744" t="s">
        <v>615</v>
      </c>
      <c r="H7744" t="s">
        <v>29424</v>
      </c>
      <c r="I7744" t="s">
        <v>30</v>
      </c>
      <c r="J7744" t="s">
        <v>41</v>
      </c>
      <c r="K7744" t="s">
        <v>59</v>
      </c>
      <c r="Q7744">
        <v>0</v>
      </c>
      <c r="R7744">
        <v>482</v>
      </c>
      <c r="S7744">
        <v>482</v>
      </c>
      <c r="T7744" t="s">
        <v>29425</v>
      </c>
    </row>
    <row r="7745" spans="1:20" customFormat="1" ht="15" x14ac:dyDescent="0.25">
      <c r="A7745" t="s">
        <v>35</v>
      </c>
      <c r="B7745" t="s">
        <v>61</v>
      </c>
      <c r="C7745" t="str">
        <f>"A0181631"</f>
        <v>A0181631</v>
      </c>
      <c r="D7745" t="s">
        <v>29426</v>
      </c>
      <c r="E7745" t="s">
        <v>29427</v>
      </c>
      <c r="F7745" t="s">
        <v>11879</v>
      </c>
      <c r="G7745" t="s">
        <v>615</v>
      </c>
      <c r="H7745" t="s">
        <v>29428</v>
      </c>
      <c r="I7745" t="s">
        <v>30</v>
      </c>
      <c r="J7745" t="s">
        <v>41</v>
      </c>
      <c r="K7745" t="s">
        <v>59</v>
      </c>
      <c r="Q7745">
        <v>0</v>
      </c>
      <c r="R7745">
        <v>91</v>
      </c>
      <c r="S7745">
        <v>91</v>
      </c>
      <c r="T7745" t="s">
        <v>29429</v>
      </c>
    </row>
    <row r="7746" spans="1:20" customFormat="1" ht="15" x14ac:dyDescent="0.25">
      <c r="A7746" t="s">
        <v>35</v>
      </c>
      <c r="B7746" t="s">
        <v>61</v>
      </c>
      <c r="C7746" t="str">
        <f>"A0181630"</f>
        <v>A0181630</v>
      </c>
      <c r="D7746" t="s">
        <v>29430</v>
      </c>
      <c r="E7746" t="s">
        <v>29431</v>
      </c>
      <c r="F7746" t="s">
        <v>10276</v>
      </c>
      <c r="G7746" t="s">
        <v>846</v>
      </c>
      <c r="H7746">
        <v>30329</v>
      </c>
      <c r="I7746" t="s">
        <v>30</v>
      </c>
      <c r="J7746" t="s">
        <v>41</v>
      </c>
      <c r="K7746" t="s">
        <v>59</v>
      </c>
      <c r="Q7746">
        <v>0</v>
      </c>
      <c r="R7746">
        <v>22</v>
      </c>
      <c r="S7746">
        <v>22</v>
      </c>
      <c r="T7746" t="s">
        <v>29432</v>
      </c>
    </row>
    <row r="7747" spans="1:20" customFormat="1" ht="15" x14ac:dyDescent="0.25">
      <c r="A7747" t="s">
        <v>35</v>
      </c>
      <c r="B7747" t="s">
        <v>61</v>
      </c>
      <c r="C7747" t="str">
        <f>"A0181629"</f>
        <v>A0181629</v>
      </c>
      <c r="D7747" t="s">
        <v>29433</v>
      </c>
      <c r="E7747" t="s">
        <v>29434</v>
      </c>
      <c r="F7747" t="s">
        <v>5196</v>
      </c>
      <c r="G7747" t="s">
        <v>846</v>
      </c>
      <c r="H7747" t="s">
        <v>29435</v>
      </c>
      <c r="I7747" t="s">
        <v>30</v>
      </c>
      <c r="J7747" t="s">
        <v>41</v>
      </c>
      <c r="K7747" t="s">
        <v>59</v>
      </c>
      <c r="Q7747">
        <v>0</v>
      </c>
      <c r="R7747">
        <v>0</v>
      </c>
      <c r="S7747">
        <v>0</v>
      </c>
    </row>
    <row r="7748" spans="1:20" customFormat="1" ht="15" x14ac:dyDescent="0.25">
      <c r="A7748" t="s">
        <v>35</v>
      </c>
      <c r="B7748" t="s">
        <v>61</v>
      </c>
      <c r="C7748" t="str">
        <f>"A0181628"</f>
        <v>A0181628</v>
      </c>
      <c r="D7748" t="s">
        <v>29436</v>
      </c>
      <c r="E7748" t="s">
        <v>29437</v>
      </c>
      <c r="F7748" t="s">
        <v>29438</v>
      </c>
      <c r="G7748" t="s">
        <v>846</v>
      </c>
      <c r="H7748" t="s">
        <v>29439</v>
      </c>
      <c r="I7748" t="s">
        <v>30</v>
      </c>
      <c r="J7748" t="s">
        <v>41</v>
      </c>
      <c r="K7748" t="s">
        <v>59</v>
      </c>
      <c r="Q7748">
        <v>0</v>
      </c>
      <c r="R7748">
        <v>0</v>
      </c>
      <c r="S7748">
        <v>0</v>
      </c>
      <c r="T7748" t="s">
        <v>29440</v>
      </c>
    </row>
    <row r="7749" spans="1:20" customFormat="1" ht="15" x14ac:dyDescent="0.25">
      <c r="A7749" t="s">
        <v>35</v>
      </c>
      <c r="B7749" t="s">
        <v>61</v>
      </c>
      <c r="C7749" t="str">
        <f>"A0181627"</f>
        <v>A0181627</v>
      </c>
      <c r="D7749" t="s">
        <v>29441</v>
      </c>
      <c r="E7749" t="s">
        <v>29442</v>
      </c>
      <c r="F7749" t="s">
        <v>10276</v>
      </c>
      <c r="G7749" t="s">
        <v>846</v>
      </c>
      <c r="H7749">
        <v>30324</v>
      </c>
      <c r="I7749" t="s">
        <v>30</v>
      </c>
      <c r="J7749" t="s">
        <v>41</v>
      </c>
      <c r="K7749" t="s">
        <v>59</v>
      </c>
      <c r="Q7749">
        <v>0</v>
      </c>
      <c r="R7749">
        <v>0</v>
      </c>
      <c r="S7749">
        <v>0</v>
      </c>
      <c r="T7749" t="s">
        <v>29443</v>
      </c>
    </row>
    <row r="7750" spans="1:20" customFormat="1" ht="15" x14ac:dyDescent="0.25">
      <c r="A7750" t="s">
        <v>35</v>
      </c>
      <c r="B7750" t="s">
        <v>61</v>
      </c>
      <c r="C7750" t="str">
        <f>"A0181626"</f>
        <v>A0181626</v>
      </c>
      <c r="D7750" t="s">
        <v>29444</v>
      </c>
      <c r="E7750" t="s">
        <v>29445</v>
      </c>
      <c r="F7750" t="s">
        <v>19689</v>
      </c>
      <c r="G7750" t="s">
        <v>161</v>
      </c>
      <c r="H7750" t="s">
        <v>29446</v>
      </c>
      <c r="I7750" t="s">
        <v>30</v>
      </c>
      <c r="J7750" t="s">
        <v>41</v>
      </c>
      <c r="K7750" t="s">
        <v>59</v>
      </c>
      <c r="Q7750">
        <v>0</v>
      </c>
      <c r="R7750">
        <v>0</v>
      </c>
      <c r="S7750">
        <v>0</v>
      </c>
      <c r="T7750" t="s">
        <v>29447</v>
      </c>
    </row>
    <row r="7751" spans="1:20" customFormat="1" ht="15" x14ac:dyDescent="0.25">
      <c r="A7751" t="s">
        <v>35</v>
      </c>
      <c r="B7751" t="s">
        <v>61</v>
      </c>
      <c r="C7751" t="str">
        <f>"A0181625"</f>
        <v>A0181625</v>
      </c>
      <c r="D7751" t="s">
        <v>29448</v>
      </c>
      <c r="E7751" t="s">
        <v>29248</v>
      </c>
      <c r="F7751" t="s">
        <v>19689</v>
      </c>
      <c r="G7751" t="s">
        <v>161</v>
      </c>
      <c r="H7751">
        <v>55404</v>
      </c>
      <c r="I7751" t="s">
        <v>30</v>
      </c>
      <c r="J7751" t="s">
        <v>41</v>
      </c>
      <c r="K7751" t="s">
        <v>59</v>
      </c>
      <c r="Q7751">
        <v>0</v>
      </c>
      <c r="R7751">
        <v>42</v>
      </c>
      <c r="S7751">
        <v>42</v>
      </c>
      <c r="T7751" t="s">
        <v>29249</v>
      </c>
    </row>
    <row r="7752" spans="1:20" customFormat="1" ht="15" x14ac:dyDescent="0.25">
      <c r="A7752" t="s">
        <v>35</v>
      </c>
      <c r="B7752" t="s">
        <v>61</v>
      </c>
      <c r="C7752" t="str">
        <f>"A0181624"</f>
        <v>A0181624</v>
      </c>
      <c r="D7752" t="s">
        <v>29449</v>
      </c>
      <c r="E7752" t="s">
        <v>29450</v>
      </c>
      <c r="F7752" t="s">
        <v>380</v>
      </c>
      <c r="G7752" t="s">
        <v>840</v>
      </c>
      <c r="H7752" t="s">
        <v>29451</v>
      </c>
      <c r="I7752" t="s">
        <v>30</v>
      </c>
      <c r="J7752" t="s">
        <v>41</v>
      </c>
      <c r="K7752" t="s">
        <v>59</v>
      </c>
      <c r="Q7752">
        <v>0</v>
      </c>
      <c r="R7752">
        <v>0</v>
      </c>
      <c r="S7752">
        <v>0</v>
      </c>
    </row>
    <row r="7753" spans="1:20" customFormat="1" ht="15" x14ac:dyDescent="0.25">
      <c r="A7753" t="s">
        <v>35</v>
      </c>
      <c r="B7753" t="s">
        <v>61</v>
      </c>
      <c r="C7753" t="str">
        <f>"A0181623"</f>
        <v>A0181623</v>
      </c>
      <c r="D7753" t="s">
        <v>29452</v>
      </c>
      <c r="E7753" t="s">
        <v>29453</v>
      </c>
      <c r="F7753" t="s">
        <v>9169</v>
      </c>
      <c r="G7753" t="s">
        <v>840</v>
      </c>
      <c r="H7753" t="s">
        <v>29454</v>
      </c>
      <c r="I7753" t="s">
        <v>30</v>
      </c>
      <c r="J7753" t="s">
        <v>41</v>
      </c>
      <c r="K7753" t="s">
        <v>59</v>
      </c>
      <c r="Q7753">
        <v>0</v>
      </c>
      <c r="R7753">
        <v>40</v>
      </c>
      <c r="S7753">
        <v>40</v>
      </c>
      <c r="T7753" t="s">
        <v>29455</v>
      </c>
    </row>
    <row r="7754" spans="1:20" customFormat="1" ht="15" x14ac:dyDescent="0.25">
      <c r="A7754" t="s">
        <v>35</v>
      </c>
      <c r="B7754" t="s">
        <v>61</v>
      </c>
      <c r="C7754" t="str">
        <f>"A0181622"</f>
        <v>A0181622</v>
      </c>
      <c r="D7754" t="s">
        <v>29456</v>
      </c>
      <c r="E7754" t="s">
        <v>29457</v>
      </c>
      <c r="F7754" t="s">
        <v>8024</v>
      </c>
      <c r="G7754" t="s">
        <v>840</v>
      </c>
      <c r="H7754" t="s">
        <v>29458</v>
      </c>
      <c r="I7754" t="s">
        <v>30</v>
      </c>
      <c r="J7754" t="s">
        <v>41</v>
      </c>
      <c r="K7754" t="s">
        <v>59</v>
      </c>
      <c r="Q7754">
        <v>0</v>
      </c>
      <c r="R7754">
        <v>20</v>
      </c>
      <c r="S7754">
        <v>20</v>
      </c>
      <c r="T7754" t="s">
        <v>29459</v>
      </c>
    </row>
    <row r="7755" spans="1:20" customFormat="1" ht="15" x14ac:dyDescent="0.25">
      <c r="A7755" t="s">
        <v>35</v>
      </c>
      <c r="B7755" t="s">
        <v>61</v>
      </c>
      <c r="C7755" t="str">
        <f>"A0181621"</f>
        <v>A0181621</v>
      </c>
      <c r="D7755" t="s">
        <v>29460</v>
      </c>
      <c r="E7755" t="s">
        <v>29461</v>
      </c>
      <c r="F7755" t="s">
        <v>1689</v>
      </c>
      <c r="G7755" t="s">
        <v>840</v>
      </c>
      <c r="H7755">
        <v>40511</v>
      </c>
      <c r="I7755" t="s">
        <v>30</v>
      </c>
      <c r="J7755" t="s">
        <v>41</v>
      </c>
      <c r="K7755" t="s">
        <v>59</v>
      </c>
      <c r="Q7755">
        <v>0</v>
      </c>
      <c r="R7755">
        <v>40</v>
      </c>
      <c r="S7755">
        <v>40</v>
      </c>
      <c r="T7755" t="s">
        <v>29462</v>
      </c>
    </row>
    <row r="7756" spans="1:20" customFormat="1" ht="15" x14ac:dyDescent="0.25">
      <c r="A7756" t="s">
        <v>35</v>
      </c>
      <c r="B7756" t="s">
        <v>61</v>
      </c>
      <c r="C7756" t="str">
        <f>"A0181620"</f>
        <v>A0181620</v>
      </c>
      <c r="D7756" t="s">
        <v>29463</v>
      </c>
      <c r="E7756" t="s">
        <v>29464</v>
      </c>
      <c r="F7756" t="s">
        <v>12537</v>
      </c>
      <c r="G7756" t="s">
        <v>840</v>
      </c>
      <c r="H7756">
        <v>40347</v>
      </c>
      <c r="I7756" t="s">
        <v>30</v>
      </c>
      <c r="J7756" t="s">
        <v>41</v>
      </c>
      <c r="K7756" t="s">
        <v>59</v>
      </c>
      <c r="Q7756">
        <v>0</v>
      </c>
      <c r="R7756">
        <v>0</v>
      </c>
      <c r="S7756">
        <v>0</v>
      </c>
    </row>
    <row r="7757" spans="1:20" customFormat="1" ht="15" x14ac:dyDescent="0.25">
      <c r="A7757" t="s">
        <v>35</v>
      </c>
      <c r="B7757" t="s">
        <v>5690</v>
      </c>
      <c r="C7757" t="str">
        <f>"A0181619"</f>
        <v>A0181619</v>
      </c>
      <c r="D7757" t="s">
        <v>29465</v>
      </c>
      <c r="E7757" t="s">
        <v>29466</v>
      </c>
      <c r="F7757" t="s">
        <v>29467</v>
      </c>
      <c r="G7757" t="s">
        <v>840</v>
      </c>
      <c r="H7757">
        <v>400477143</v>
      </c>
      <c r="I7757" t="s">
        <v>30</v>
      </c>
      <c r="J7757" t="s">
        <v>41</v>
      </c>
      <c r="K7757" t="s">
        <v>59</v>
      </c>
      <c r="Q7757">
        <v>0</v>
      </c>
      <c r="R7757">
        <v>122</v>
      </c>
      <c r="S7757">
        <v>122</v>
      </c>
      <c r="T7757" t="s">
        <v>29468</v>
      </c>
    </row>
    <row r="7758" spans="1:20" customFormat="1" ht="15" x14ac:dyDescent="0.25">
      <c r="A7758" t="s">
        <v>35</v>
      </c>
      <c r="B7758" t="s">
        <v>61</v>
      </c>
      <c r="C7758" t="str">
        <f>"A0181618"</f>
        <v>A0181618</v>
      </c>
      <c r="D7758" t="s">
        <v>29469</v>
      </c>
      <c r="E7758" t="s">
        <v>29470</v>
      </c>
      <c r="F7758" t="s">
        <v>19101</v>
      </c>
      <c r="G7758" t="s">
        <v>840</v>
      </c>
      <c r="H7758" t="s">
        <v>29471</v>
      </c>
      <c r="I7758" t="s">
        <v>30</v>
      </c>
      <c r="J7758" t="s">
        <v>41</v>
      </c>
      <c r="K7758" t="s">
        <v>59</v>
      </c>
      <c r="Q7758">
        <v>0</v>
      </c>
      <c r="R7758">
        <v>0</v>
      </c>
      <c r="S7758">
        <v>0</v>
      </c>
    </row>
    <row r="7759" spans="1:20" customFormat="1" ht="15" x14ac:dyDescent="0.25">
      <c r="A7759" t="s">
        <v>35</v>
      </c>
      <c r="B7759" t="s">
        <v>61</v>
      </c>
      <c r="C7759" t="str">
        <f>"A0181616"</f>
        <v>A0181616</v>
      </c>
      <c r="D7759" t="s">
        <v>29472</v>
      </c>
      <c r="E7759" t="s">
        <v>29473</v>
      </c>
      <c r="F7759" t="s">
        <v>29474</v>
      </c>
      <c r="G7759" t="s">
        <v>840</v>
      </c>
      <c r="H7759" t="s">
        <v>29475</v>
      </c>
      <c r="I7759" t="s">
        <v>30</v>
      </c>
      <c r="J7759" t="s">
        <v>41</v>
      </c>
      <c r="K7759" t="s">
        <v>59</v>
      </c>
      <c r="Q7759">
        <v>0</v>
      </c>
      <c r="R7759">
        <v>0</v>
      </c>
      <c r="S7759">
        <v>0</v>
      </c>
    </row>
    <row r="7760" spans="1:20" customFormat="1" ht="15" x14ac:dyDescent="0.25">
      <c r="A7760" t="s">
        <v>35</v>
      </c>
      <c r="B7760" t="s">
        <v>61</v>
      </c>
      <c r="C7760" t="str">
        <f>"A0181615"</f>
        <v>A0181615</v>
      </c>
      <c r="D7760" t="s">
        <v>29476</v>
      </c>
      <c r="E7760" t="s">
        <v>29477</v>
      </c>
      <c r="F7760" t="s">
        <v>29478</v>
      </c>
      <c r="G7760" t="s">
        <v>161</v>
      </c>
      <c r="H7760" t="s">
        <v>29479</v>
      </c>
      <c r="I7760" t="s">
        <v>30</v>
      </c>
      <c r="J7760" t="s">
        <v>41</v>
      </c>
      <c r="K7760" t="s">
        <v>59</v>
      </c>
      <c r="Q7760">
        <v>0</v>
      </c>
      <c r="R7760">
        <v>0</v>
      </c>
      <c r="S7760">
        <v>0</v>
      </c>
      <c r="T7760" t="s">
        <v>29480</v>
      </c>
    </row>
    <row r="7761" spans="1:20" customFormat="1" ht="15" x14ac:dyDescent="0.25">
      <c r="A7761" t="s">
        <v>35</v>
      </c>
      <c r="B7761" t="s">
        <v>61</v>
      </c>
      <c r="C7761" t="str">
        <f>"A0181614"</f>
        <v>A0181614</v>
      </c>
      <c r="D7761" t="s">
        <v>29481</v>
      </c>
      <c r="E7761" t="s">
        <v>29482</v>
      </c>
      <c r="F7761" t="s">
        <v>29483</v>
      </c>
      <c r="G7761" t="s">
        <v>840</v>
      </c>
      <c r="H7761">
        <v>403909631</v>
      </c>
      <c r="I7761" t="s">
        <v>30</v>
      </c>
      <c r="J7761" t="s">
        <v>41</v>
      </c>
      <c r="K7761" t="s">
        <v>59</v>
      </c>
      <c r="Q7761">
        <v>0</v>
      </c>
      <c r="R7761">
        <v>36</v>
      </c>
      <c r="S7761">
        <v>36</v>
      </c>
      <c r="T7761" t="s">
        <v>29484</v>
      </c>
    </row>
    <row r="7762" spans="1:20" customFormat="1" ht="15" x14ac:dyDescent="0.25">
      <c r="A7762" t="s">
        <v>35</v>
      </c>
      <c r="B7762" t="s">
        <v>61</v>
      </c>
      <c r="C7762" t="str">
        <f>"A0181613"</f>
        <v>A0181613</v>
      </c>
      <c r="D7762" t="s">
        <v>29485</v>
      </c>
      <c r="E7762" t="s">
        <v>29486</v>
      </c>
      <c r="F7762" t="s">
        <v>1689</v>
      </c>
      <c r="G7762" t="s">
        <v>840</v>
      </c>
      <c r="H7762">
        <v>40517</v>
      </c>
      <c r="I7762" t="s">
        <v>30</v>
      </c>
      <c r="J7762" t="s">
        <v>41</v>
      </c>
      <c r="K7762" t="s">
        <v>59</v>
      </c>
      <c r="Q7762">
        <v>0</v>
      </c>
      <c r="R7762">
        <v>0</v>
      </c>
      <c r="S7762">
        <v>0</v>
      </c>
    </row>
    <row r="7763" spans="1:20" customFormat="1" ht="15" x14ac:dyDescent="0.25">
      <c r="A7763" t="s">
        <v>35</v>
      </c>
      <c r="B7763" t="s">
        <v>61</v>
      </c>
      <c r="C7763" t="str">
        <f>"A0181612"</f>
        <v>A0181612</v>
      </c>
      <c r="D7763" t="s">
        <v>29487</v>
      </c>
      <c r="E7763" t="s">
        <v>29488</v>
      </c>
      <c r="F7763" t="s">
        <v>839</v>
      </c>
      <c r="G7763" t="s">
        <v>840</v>
      </c>
      <c r="H7763">
        <v>40206</v>
      </c>
      <c r="I7763" t="s">
        <v>30</v>
      </c>
      <c r="J7763" t="s">
        <v>41</v>
      </c>
      <c r="K7763" t="s">
        <v>59</v>
      </c>
      <c r="Q7763">
        <v>0</v>
      </c>
      <c r="R7763">
        <v>76</v>
      </c>
      <c r="S7763">
        <v>76</v>
      </c>
      <c r="T7763" t="s">
        <v>29489</v>
      </c>
    </row>
    <row r="7764" spans="1:20" customFormat="1" ht="15" x14ac:dyDescent="0.25">
      <c r="A7764" t="s">
        <v>35</v>
      </c>
      <c r="B7764" t="s">
        <v>61</v>
      </c>
      <c r="C7764" t="str">
        <f>"A0181611"</f>
        <v>A0181611</v>
      </c>
      <c r="D7764" t="s">
        <v>29490</v>
      </c>
      <c r="E7764" t="s">
        <v>29491</v>
      </c>
      <c r="F7764" t="s">
        <v>29492</v>
      </c>
      <c r="G7764" t="s">
        <v>840</v>
      </c>
      <c r="H7764">
        <v>40059</v>
      </c>
      <c r="I7764" t="s">
        <v>30</v>
      </c>
      <c r="J7764" t="s">
        <v>41</v>
      </c>
      <c r="K7764" t="s">
        <v>59</v>
      </c>
      <c r="Q7764">
        <v>0</v>
      </c>
      <c r="R7764">
        <v>0</v>
      </c>
      <c r="S7764">
        <v>0</v>
      </c>
      <c r="T7764" t="s">
        <v>29493</v>
      </c>
    </row>
    <row r="7765" spans="1:20" customFormat="1" ht="15" x14ac:dyDescent="0.25">
      <c r="A7765" t="s">
        <v>35</v>
      </c>
      <c r="B7765" t="s">
        <v>61</v>
      </c>
      <c r="C7765" t="str">
        <f>"A0181610"</f>
        <v>A0181610</v>
      </c>
      <c r="D7765" t="s">
        <v>29494</v>
      </c>
      <c r="E7765" t="s">
        <v>29495</v>
      </c>
      <c r="F7765" t="s">
        <v>26786</v>
      </c>
      <c r="G7765" t="s">
        <v>161</v>
      </c>
      <c r="H7765">
        <v>56560</v>
      </c>
      <c r="I7765" t="s">
        <v>30</v>
      </c>
      <c r="J7765" t="s">
        <v>41</v>
      </c>
      <c r="K7765" t="s">
        <v>59</v>
      </c>
      <c r="Q7765">
        <v>0</v>
      </c>
      <c r="R7765">
        <v>0</v>
      </c>
      <c r="S7765">
        <v>0</v>
      </c>
      <c r="T7765" t="s">
        <v>29496</v>
      </c>
    </row>
    <row r="7766" spans="1:20" customFormat="1" ht="15" x14ac:dyDescent="0.25">
      <c r="A7766" t="s">
        <v>35</v>
      </c>
      <c r="B7766" t="s">
        <v>61</v>
      </c>
      <c r="C7766" t="str">
        <f>"A0181609"</f>
        <v>A0181609</v>
      </c>
      <c r="D7766" t="s">
        <v>29497</v>
      </c>
      <c r="E7766" t="s">
        <v>29498</v>
      </c>
      <c r="F7766" t="s">
        <v>29499</v>
      </c>
      <c r="G7766" t="s">
        <v>161</v>
      </c>
      <c r="H7766">
        <v>553014735</v>
      </c>
      <c r="I7766" t="s">
        <v>30</v>
      </c>
      <c r="J7766" t="s">
        <v>41</v>
      </c>
      <c r="K7766" t="s">
        <v>59</v>
      </c>
      <c r="Q7766">
        <v>0</v>
      </c>
      <c r="R7766">
        <v>0</v>
      </c>
      <c r="S7766">
        <v>0</v>
      </c>
    </row>
    <row r="7767" spans="1:20" customFormat="1" ht="15" x14ac:dyDescent="0.25">
      <c r="A7767" t="s">
        <v>35</v>
      </c>
      <c r="B7767" t="s">
        <v>61</v>
      </c>
      <c r="C7767" t="str">
        <f>"A0181608"</f>
        <v>A0181608</v>
      </c>
      <c r="D7767" t="s">
        <v>29500</v>
      </c>
      <c r="E7767" t="s">
        <v>29501</v>
      </c>
      <c r="F7767" t="s">
        <v>19689</v>
      </c>
      <c r="G7767" t="s">
        <v>161</v>
      </c>
      <c r="H7767" t="s">
        <v>29502</v>
      </c>
      <c r="I7767" t="s">
        <v>30</v>
      </c>
      <c r="J7767" t="s">
        <v>41</v>
      </c>
      <c r="K7767" t="s">
        <v>59</v>
      </c>
      <c r="Q7767">
        <v>0</v>
      </c>
      <c r="R7767">
        <v>0</v>
      </c>
      <c r="S7767">
        <v>0</v>
      </c>
    </row>
    <row r="7768" spans="1:20" customFormat="1" ht="15" x14ac:dyDescent="0.25">
      <c r="A7768" t="s">
        <v>35</v>
      </c>
      <c r="B7768" t="s">
        <v>61</v>
      </c>
      <c r="C7768" t="str">
        <f>"A0181607"</f>
        <v>A0181607</v>
      </c>
      <c r="D7768" t="s">
        <v>29503</v>
      </c>
      <c r="E7768" t="s">
        <v>29504</v>
      </c>
      <c r="F7768" t="s">
        <v>25945</v>
      </c>
      <c r="G7768" t="s">
        <v>899</v>
      </c>
      <c r="H7768" t="s">
        <v>29505</v>
      </c>
      <c r="I7768" t="s">
        <v>30</v>
      </c>
      <c r="J7768" t="s">
        <v>41</v>
      </c>
      <c r="K7768" t="s">
        <v>59</v>
      </c>
      <c r="Q7768">
        <v>0</v>
      </c>
      <c r="R7768">
        <v>83</v>
      </c>
      <c r="S7768">
        <v>83</v>
      </c>
      <c r="T7768" t="s">
        <v>29506</v>
      </c>
    </row>
    <row r="7769" spans="1:20" customFormat="1" ht="15" x14ac:dyDescent="0.25">
      <c r="A7769" t="s">
        <v>35</v>
      </c>
      <c r="B7769" t="s">
        <v>61</v>
      </c>
      <c r="C7769" t="str">
        <f>"A0181606"</f>
        <v>A0181606</v>
      </c>
      <c r="D7769" t="s">
        <v>29507</v>
      </c>
      <c r="E7769" t="s">
        <v>29508</v>
      </c>
      <c r="F7769" t="s">
        <v>839</v>
      </c>
      <c r="G7769" t="s">
        <v>840</v>
      </c>
      <c r="H7769" t="s">
        <v>29509</v>
      </c>
      <c r="I7769" t="s">
        <v>30</v>
      </c>
      <c r="J7769" t="s">
        <v>41</v>
      </c>
      <c r="K7769" t="s">
        <v>59</v>
      </c>
      <c r="Q7769">
        <v>0</v>
      </c>
      <c r="R7769">
        <v>0</v>
      </c>
      <c r="S7769">
        <v>0</v>
      </c>
      <c r="T7769" t="s">
        <v>29510</v>
      </c>
    </row>
    <row r="7770" spans="1:20" customFormat="1" ht="15" x14ac:dyDescent="0.25">
      <c r="A7770" t="s">
        <v>35</v>
      </c>
      <c r="B7770" t="s">
        <v>61</v>
      </c>
      <c r="C7770" t="str">
        <f>"A0181605"</f>
        <v>A0181605</v>
      </c>
      <c r="D7770" t="s">
        <v>29511</v>
      </c>
      <c r="E7770" t="s">
        <v>29512</v>
      </c>
      <c r="F7770" t="s">
        <v>1689</v>
      </c>
      <c r="G7770" t="s">
        <v>840</v>
      </c>
      <c r="H7770" t="s">
        <v>29513</v>
      </c>
      <c r="I7770" t="s">
        <v>30</v>
      </c>
      <c r="J7770" t="s">
        <v>41</v>
      </c>
      <c r="K7770" t="s">
        <v>59</v>
      </c>
      <c r="Q7770">
        <v>0</v>
      </c>
      <c r="R7770">
        <v>0</v>
      </c>
      <c r="S7770">
        <v>0</v>
      </c>
    </row>
    <row r="7771" spans="1:20" customFormat="1" ht="15" x14ac:dyDescent="0.25">
      <c r="A7771" t="s">
        <v>35</v>
      </c>
      <c r="B7771" t="s">
        <v>61</v>
      </c>
      <c r="C7771" t="str">
        <f>"A0181604"</f>
        <v>A0181604</v>
      </c>
      <c r="D7771" t="s">
        <v>29514</v>
      </c>
      <c r="E7771" t="s">
        <v>26611</v>
      </c>
      <c r="F7771" t="s">
        <v>25945</v>
      </c>
      <c r="G7771" t="s">
        <v>899</v>
      </c>
      <c r="H7771" t="s">
        <v>25950</v>
      </c>
      <c r="I7771" t="s">
        <v>30</v>
      </c>
      <c r="J7771" t="s">
        <v>41</v>
      </c>
      <c r="K7771" t="s">
        <v>59</v>
      </c>
      <c r="Q7771">
        <v>0</v>
      </c>
      <c r="R7771">
        <v>0</v>
      </c>
      <c r="S7771">
        <v>0</v>
      </c>
    </row>
    <row r="7772" spans="1:20" customFormat="1" ht="15" x14ac:dyDescent="0.25">
      <c r="A7772" t="s">
        <v>35</v>
      </c>
      <c r="B7772" t="s">
        <v>61</v>
      </c>
      <c r="C7772" t="str">
        <f>"A0181603"</f>
        <v>A0181603</v>
      </c>
      <c r="D7772" t="s">
        <v>29515</v>
      </c>
      <c r="E7772" t="s">
        <v>29516</v>
      </c>
      <c r="F7772" t="s">
        <v>898</v>
      </c>
      <c r="G7772" t="s">
        <v>899</v>
      </c>
      <c r="H7772" t="s">
        <v>29517</v>
      </c>
      <c r="I7772" t="s">
        <v>30</v>
      </c>
      <c r="J7772" t="s">
        <v>41</v>
      </c>
      <c r="K7772" t="s">
        <v>59</v>
      </c>
      <c r="Q7772">
        <v>0</v>
      </c>
      <c r="R7772">
        <v>0</v>
      </c>
      <c r="S7772">
        <v>0</v>
      </c>
      <c r="T7772" t="s">
        <v>29518</v>
      </c>
    </row>
    <row r="7773" spans="1:20" customFormat="1" ht="15" x14ac:dyDescent="0.25">
      <c r="A7773" t="s">
        <v>35</v>
      </c>
      <c r="B7773" t="s">
        <v>61</v>
      </c>
      <c r="C7773" t="str">
        <f>"A0181602"</f>
        <v>A0181602</v>
      </c>
      <c r="D7773" t="s">
        <v>29519</v>
      </c>
      <c r="E7773" t="s">
        <v>29520</v>
      </c>
      <c r="F7773" t="s">
        <v>29521</v>
      </c>
      <c r="G7773" t="s">
        <v>899</v>
      </c>
      <c r="H7773" t="s">
        <v>29522</v>
      </c>
      <c r="I7773" t="s">
        <v>30</v>
      </c>
      <c r="J7773" t="s">
        <v>41</v>
      </c>
      <c r="K7773" t="s">
        <v>59</v>
      </c>
      <c r="Q7773">
        <v>0</v>
      </c>
      <c r="R7773">
        <v>0</v>
      </c>
      <c r="S7773">
        <v>0</v>
      </c>
      <c r="T7773" t="s">
        <v>29523</v>
      </c>
    </row>
    <row r="7774" spans="1:20" customFormat="1" ht="15" x14ac:dyDescent="0.25">
      <c r="A7774" t="s">
        <v>35</v>
      </c>
      <c r="B7774" t="s">
        <v>61</v>
      </c>
      <c r="C7774" t="str">
        <f>"A0181601"</f>
        <v>A0181601</v>
      </c>
      <c r="D7774" t="s">
        <v>29524</v>
      </c>
      <c r="E7774" t="s">
        <v>29525</v>
      </c>
      <c r="F7774" t="s">
        <v>14745</v>
      </c>
      <c r="G7774" t="s">
        <v>899</v>
      </c>
      <c r="H7774" t="s">
        <v>29526</v>
      </c>
      <c r="I7774" t="s">
        <v>30</v>
      </c>
      <c r="J7774" t="s">
        <v>41</v>
      </c>
      <c r="K7774" t="s">
        <v>59</v>
      </c>
      <c r="Q7774">
        <v>0</v>
      </c>
      <c r="R7774">
        <v>0</v>
      </c>
      <c r="S7774">
        <v>0</v>
      </c>
      <c r="T7774" t="s">
        <v>29527</v>
      </c>
    </row>
    <row r="7775" spans="1:20" customFormat="1" ht="15" x14ac:dyDescent="0.25">
      <c r="A7775" t="s">
        <v>35</v>
      </c>
      <c r="B7775" t="s">
        <v>61</v>
      </c>
      <c r="C7775" t="str">
        <f>"A0181600"</f>
        <v>A0181600</v>
      </c>
      <c r="D7775" t="s">
        <v>29528</v>
      </c>
      <c r="E7775" t="s">
        <v>29529</v>
      </c>
      <c r="F7775" t="s">
        <v>26492</v>
      </c>
      <c r="G7775" t="s">
        <v>899</v>
      </c>
      <c r="H7775" t="s">
        <v>29530</v>
      </c>
      <c r="I7775" t="s">
        <v>30</v>
      </c>
      <c r="J7775" t="s">
        <v>41</v>
      </c>
      <c r="K7775" t="s">
        <v>59</v>
      </c>
      <c r="Q7775">
        <v>0</v>
      </c>
      <c r="R7775">
        <v>66</v>
      </c>
      <c r="S7775">
        <v>66</v>
      </c>
      <c r="T7775" t="s">
        <v>29531</v>
      </c>
    </row>
    <row r="7776" spans="1:20" customFormat="1" ht="15" x14ac:dyDescent="0.25">
      <c r="A7776" t="s">
        <v>35</v>
      </c>
      <c r="B7776" t="s">
        <v>61</v>
      </c>
      <c r="C7776" t="str">
        <f>"A0181599"</f>
        <v>A0181599</v>
      </c>
      <c r="D7776" t="s">
        <v>29532</v>
      </c>
      <c r="E7776" t="s">
        <v>29533</v>
      </c>
      <c r="F7776" t="s">
        <v>26137</v>
      </c>
      <c r="G7776" t="s">
        <v>899</v>
      </c>
      <c r="H7776" t="s">
        <v>26145</v>
      </c>
      <c r="I7776" t="s">
        <v>30</v>
      </c>
      <c r="J7776" t="s">
        <v>41</v>
      </c>
      <c r="K7776" t="s">
        <v>59</v>
      </c>
      <c r="Q7776">
        <v>0</v>
      </c>
      <c r="R7776">
        <v>76</v>
      </c>
      <c r="S7776">
        <v>76</v>
      </c>
      <c r="T7776" t="s">
        <v>29534</v>
      </c>
    </row>
    <row r="7777" spans="1:20" customFormat="1" ht="15" x14ac:dyDescent="0.25">
      <c r="A7777" t="s">
        <v>35</v>
      </c>
      <c r="B7777" t="s">
        <v>61</v>
      </c>
      <c r="C7777" t="str">
        <f>"A0181598"</f>
        <v>A0181598</v>
      </c>
      <c r="D7777" t="s">
        <v>29535</v>
      </c>
      <c r="E7777" t="s">
        <v>29536</v>
      </c>
      <c r="F7777" t="s">
        <v>898</v>
      </c>
      <c r="G7777" t="s">
        <v>899</v>
      </c>
      <c r="H7777" t="s">
        <v>29537</v>
      </c>
      <c r="I7777" t="s">
        <v>30</v>
      </c>
      <c r="J7777" t="s">
        <v>41</v>
      </c>
      <c r="K7777" t="s">
        <v>59</v>
      </c>
      <c r="Q7777">
        <v>0</v>
      </c>
      <c r="R7777">
        <v>0</v>
      </c>
      <c r="S7777">
        <v>0</v>
      </c>
      <c r="T7777" t="s">
        <v>29538</v>
      </c>
    </row>
    <row r="7778" spans="1:20" customFormat="1" ht="15" x14ac:dyDescent="0.25">
      <c r="A7778" t="s">
        <v>35</v>
      </c>
      <c r="B7778" t="s">
        <v>61</v>
      </c>
      <c r="C7778" t="str">
        <f>"A0181597"</f>
        <v>A0181597</v>
      </c>
      <c r="D7778" t="s">
        <v>29539</v>
      </c>
      <c r="E7778" t="s">
        <v>29540</v>
      </c>
      <c r="F7778" t="s">
        <v>839</v>
      </c>
      <c r="G7778" t="s">
        <v>840</v>
      </c>
      <c r="H7778" t="s">
        <v>29541</v>
      </c>
      <c r="I7778" t="s">
        <v>30</v>
      </c>
      <c r="J7778" t="s">
        <v>41</v>
      </c>
      <c r="K7778" t="s">
        <v>59</v>
      </c>
      <c r="Q7778">
        <v>0</v>
      </c>
      <c r="R7778">
        <v>139</v>
      </c>
      <c r="S7778">
        <v>139</v>
      </c>
      <c r="T7778" t="s">
        <v>29542</v>
      </c>
    </row>
    <row r="7779" spans="1:20" customFormat="1" ht="15" x14ac:dyDescent="0.25">
      <c r="A7779" t="s">
        <v>35</v>
      </c>
      <c r="B7779" t="s">
        <v>61</v>
      </c>
      <c r="C7779" t="str">
        <f>"A0181595"</f>
        <v>A0181595</v>
      </c>
      <c r="D7779" t="s">
        <v>29543</v>
      </c>
      <c r="E7779" t="s">
        <v>29544</v>
      </c>
      <c r="F7779" t="s">
        <v>29545</v>
      </c>
      <c r="G7779" t="s">
        <v>840</v>
      </c>
      <c r="H7779" t="s">
        <v>29546</v>
      </c>
      <c r="I7779" t="s">
        <v>30</v>
      </c>
      <c r="J7779" t="s">
        <v>41</v>
      </c>
      <c r="K7779" t="s">
        <v>59</v>
      </c>
      <c r="Q7779">
        <v>0</v>
      </c>
      <c r="R7779">
        <v>0</v>
      </c>
      <c r="S7779">
        <v>0</v>
      </c>
      <c r="T7779" t="s">
        <v>29547</v>
      </c>
    </row>
    <row r="7780" spans="1:20" customFormat="1" ht="15" x14ac:dyDescent="0.25">
      <c r="A7780" t="s">
        <v>35</v>
      </c>
      <c r="B7780" t="s">
        <v>61</v>
      </c>
      <c r="C7780" t="str">
        <f>"A0181594"</f>
        <v>A0181594</v>
      </c>
      <c r="D7780" t="s">
        <v>29548</v>
      </c>
      <c r="E7780" t="s">
        <v>29549</v>
      </c>
      <c r="F7780" t="s">
        <v>1689</v>
      </c>
      <c r="G7780" t="s">
        <v>840</v>
      </c>
      <c r="H7780" t="s">
        <v>29550</v>
      </c>
      <c r="I7780" t="s">
        <v>30</v>
      </c>
      <c r="J7780" t="s">
        <v>41</v>
      </c>
      <c r="K7780" t="s">
        <v>59</v>
      </c>
      <c r="Q7780">
        <v>0</v>
      </c>
      <c r="R7780">
        <v>42</v>
      </c>
      <c r="S7780">
        <v>42</v>
      </c>
    </row>
    <row r="7781" spans="1:20" customFormat="1" ht="15" x14ac:dyDescent="0.25">
      <c r="A7781" t="s">
        <v>35</v>
      </c>
      <c r="B7781" t="s">
        <v>61</v>
      </c>
      <c r="C7781" t="str">
        <f>"A0181593"</f>
        <v>A0181593</v>
      </c>
      <c r="D7781" t="s">
        <v>29551</v>
      </c>
      <c r="E7781" t="s">
        <v>29552</v>
      </c>
      <c r="F7781" t="s">
        <v>26129</v>
      </c>
      <c r="G7781" t="s">
        <v>899</v>
      </c>
      <c r="H7781" t="s">
        <v>29553</v>
      </c>
      <c r="I7781" t="s">
        <v>30</v>
      </c>
      <c r="J7781" t="s">
        <v>41</v>
      </c>
      <c r="K7781" t="s">
        <v>59</v>
      </c>
      <c r="Q7781">
        <v>0</v>
      </c>
      <c r="R7781">
        <v>50</v>
      </c>
      <c r="S7781">
        <v>50</v>
      </c>
      <c r="T7781" t="s">
        <v>29554</v>
      </c>
    </row>
    <row r="7782" spans="1:20" customFormat="1" ht="15" x14ac:dyDescent="0.25">
      <c r="A7782" t="s">
        <v>35</v>
      </c>
      <c r="B7782" t="s">
        <v>61</v>
      </c>
      <c r="C7782" t="str">
        <f>"A0181592"</f>
        <v>A0181592</v>
      </c>
      <c r="D7782" t="s">
        <v>29555</v>
      </c>
      <c r="E7782" t="s">
        <v>29556</v>
      </c>
      <c r="F7782" t="s">
        <v>10889</v>
      </c>
      <c r="G7782" t="s">
        <v>615</v>
      </c>
      <c r="H7782" t="s">
        <v>29557</v>
      </c>
      <c r="I7782" t="s">
        <v>30</v>
      </c>
      <c r="J7782" t="s">
        <v>41</v>
      </c>
      <c r="K7782" t="s">
        <v>59</v>
      </c>
      <c r="Q7782">
        <v>0</v>
      </c>
      <c r="R7782">
        <v>0</v>
      </c>
      <c r="S7782">
        <v>0</v>
      </c>
      <c r="T7782" t="s">
        <v>29558</v>
      </c>
    </row>
    <row r="7783" spans="1:20" customFormat="1" ht="15" x14ac:dyDescent="0.25">
      <c r="A7783" t="s">
        <v>35</v>
      </c>
      <c r="B7783" t="s">
        <v>61</v>
      </c>
      <c r="C7783" t="str">
        <f>"A0181591"</f>
        <v>A0181591</v>
      </c>
      <c r="D7783" t="s">
        <v>29559</v>
      </c>
      <c r="E7783" t="s">
        <v>29560</v>
      </c>
      <c r="F7783" t="s">
        <v>5288</v>
      </c>
      <c r="G7783" t="s">
        <v>615</v>
      </c>
      <c r="H7783" t="s">
        <v>29561</v>
      </c>
      <c r="I7783" t="s">
        <v>30</v>
      </c>
      <c r="J7783" t="s">
        <v>41</v>
      </c>
      <c r="K7783" t="s">
        <v>59</v>
      </c>
      <c r="Q7783">
        <v>0</v>
      </c>
      <c r="R7783">
        <v>88</v>
      </c>
      <c r="S7783">
        <v>88</v>
      </c>
      <c r="T7783" t="s">
        <v>29562</v>
      </c>
    </row>
    <row r="7784" spans="1:20" customFormat="1" ht="15" x14ac:dyDescent="0.25">
      <c r="A7784" t="s">
        <v>35</v>
      </c>
      <c r="B7784" t="s">
        <v>61</v>
      </c>
      <c r="C7784" t="str">
        <f>"A0181590"</f>
        <v>A0181590</v>
      </c>
      <c r="D7784" t="s">
        <v>29563</v>
      </c>
      <c r="E7784" t="s">
        <v>29564</v>
      </c>
      <c r="F7784" t="s">
        <v>16935</v>
      </c>
      <c r="G7784" t="s">
        <v>840</v>
      </c>
      <c r="H7784" t="s">
        <v>29565</v>
      </c>
      <c r="I7784" t="s">
        <v>30</v>
      </c>
      <c r="J7784" t="s">
        <v>41</v>
      </c>
      <c r="K7784" t="s">
        <v>59</v>
      </c>
      <c r="Q7784">
        <v>0</v>
      </c>
      <c r="R7784">
        <v>0</v>
      </c>
      <c r="S7784">
        <v>0</v>
      </c>
    </row>
    <row r="7785" spans="1:20" customFormat="1" ht="15" x14ac:dyDescent="0.25">
      <c r="A7785" t="s">
        <v>35</v>
      </c>
      <c r="B7785" t="s">
        <v>61</v>
      </c>
      <c r="C7785" t="str">
        <f>"A0181589"</f>
        <v>A0181589</v>
      </c>
      <c r="D7785" t="s">
        <v>29566</v>
      </c>
      <c r="E7785" t="s">
        <v>29567</v>
      </c>
      <c r="F7785" t="s">
        <v>1634</v>
      </c>
      <c r="G7785" t="s">
        <v>899</v>
      </c>
      <c r="H7785" t="s">
        <v>29568</v>
      </c>
      <c r="I7785" t="s">
        <v>30</v>
      </c>
      <c r="J7785" t="s">
        <v>41</v>
      </c>
      <c r="K7785" t="s">
        <v>59</v>
      </c>
      <c r="Q7785">
        <v>0</v>
      </c>
      <c r="R7785">
        <v>0</v>
      </c>
      <c r="S7785">
        <v>0</v>
      </c>
      <c r="T7785" t="s">
        <v>29569</v>
      </c>
    </row>
    <row r="7786" spans="1:20" customFormat="1" ht="15" x14ac:dyDescent="0.25">
      <c r="A7786" t="s">
        <v>35</v>
      </c>
      <c r="B7786" t="s">
        <v>61</v>
      </c>
      <c r="C7786" t="str">
        <f>"A0181588"</f>
        <v>A0181588</v>
      </c>
      <c r="D7786" t="s">
        <v>29570</v>
      </c>
      <c r="E7786" t="s">
        <v>25583</v>
      </c>
      <c r="F7786" t="s">
        <v>898</v>
      </c>
      <c r="G7786" t="s">
        <v>899</v>
      </c>
      <c r="H7786" t="s">
        <v>25584</v>
      </c>
      <c r="I7786" t="s">
        <v>30</v>
      </c>
      <c r="J7786" t="s">
        <v>41</v>
      </c>
      <c r="K7786" t="s">
        <v>59</v>
      </c>
      <c r="Q7786">
        <v>0</v>
      </c>
      <c r="R7786">
        <v>108</v>
      </c>
      <c r="S7786">
        <v>108</v>
      </c>
      <c r="T7786" t="s">
        <v>29571</v>
      </c>
    </row>
    <row r="7787" spans="1:20" customFormat="1" ht="15" x14ac:dyDescent="0.25">
      <c r="A7787" t="s">
        <v>35</v>
      </c>
      <c r="B7787" t="s">
        <v>61</v>
      </c>
      <c r="C7787" t="str">
        <f>"A0181587"</f>
        <v>A0181587</v>
      </c>
      <c r="D7787" t="s">
        <v>25939</v>
      </c>
      <c r="E7787" t="s">
        <v>29572</v>
      </c>
      <c r="F7787" t="s">
        <v>25941</v>
      </c>
      <c r="G7787" t="s">
        <v>899</v>
      </c>
      <c r="H7787" t="s">
        <v>29573</v>
      </c>
      <c r="I7787" t="s">
        <v>30</v>
      </c>
      <c r="J7787" t="s">
        <v>41</v>
      </c>
      <c r="K7787" t="s">
        <v>59</v>
      </c>
      <c r="Q7787">
        <v>0</v>
      </c>
      <c r="R7787">
        <v>0</v>
      </c>
      <c r="S7787">
        <v>0</v>
      </c>
      <c r="T7787" t="s">
        <v>29574</v>
      </c>
    </row>
    <row r="7788" spans="1:20" customFormat="1" ht="15" x14ac:dyDescent="0.25">
      <c r="A7788" t="s">
        <v>35</v>
      </c>
      <c r="B7788" t="s">
        <v>61</v>
      </c>
      <c r="C7788" t="str">
        <f>"A0181586"</f>
        <v>A0181586</v>
      </c>
      <c r="D7788" t="s">
        <v>29575</v>
      </c>
      <c r="E7788" t="s">
        <v>29576</v>
      </c>
      <c r="F7788" t="s">
        <v>898</v>
      </c>
      <c r="G7788" t="s">
        <v>899</v>
      </c>
      <c r="H7788" t="s">
        <v>29577</v>
      </c>
      <c r="I7788" t="s">
        <v>30</v>
      </c>
      <c r="J7788" t="s">
        <v>41</v>
      </c>
      <c r="K7788" t="s">
        <v>59</v>
      </c>
      <c r="Q7788">
        <v>0</v>
      </c>
      <c r="R7788">
        <v>0</v>
      </c>
      <c r="S7788">
        <v>0</v>
      </c>
      <c r="T7788" t="s">
        <v>29578</v>
      </c>
    </row>
    <row r="7789" spans="1:20" customFormat="1" ht="15" x14ac:dyDescent="0.25">
      <c r="A7789" t="s">
        <v>35</v>
      </c>
      <c r="B7789" t="s">
        <v>61</v>
      </c>
      <c r="C7789" t="str">
        <f>"A0181585"</f>
        <v>A0181585</v>
      </c>
      <c r="D7789" t="s">
        <v>29579</v>
      </c>
      <c r="E7789" t="s">
        <v>29580</v>
      </c>
      <c r="F7789" t="s">
        <v>488</v>
      </c>
      <c r="G7789" t="s">
        <v>899</v>
      </c>
      <c r="H7789" t="s">
        <v>29581</v>
      </c>
      <c r="I7789" t="s">
        <v>30</v>
      </c>
      <c r="J7789" t="s">
        <v>41</v>
      </c>
      <c r="K7789" t="s">
        <v>59</v>
      </c>
      <c r="Q7789">
        <v>0</v>
      </c>
      <c r="R7789">
        <v>0</v>
      </c>
      <c r="S7789">
        <v>0</v>
      </c>
      <c r="T7789" t="s">
        <v>29582</v>
      </c>
    </row>
    <row r="7790" spans="1:20" customFormat="1" ht="15" x14ac:dyDescent="0.25">
      <c r="A7790" t="s">
        <v>35</v>
      </c>
      <c r="B7790" t="s">
        <v>61</v>
      </c>
      <c r="C7790" t="str">
        <f>"A0181584"</f>
        <v>A0181584</v>
      </c>
      <c r="D7790" t="s">
        <v>29583</v>
      </c>
      <c r="E7790" t="s">
        <v>29584</v>
      </c>
      <c r="F7790" t="s">
        <v>27459</v>
      </c>
      <c r="G7790" t="s">
        <v>899</v>
      </c>
      <c r="H7790" t="s">
        <v>29585</v>
      </c>
      <c r="I7790" t="s">
        <v>30</v>
      </c>
      <c r="J7790" t="s">
        <v>41</v>
      </c>
      <c r="K7790" t="s">
        <v>59</v>
      </c>
      <c r="Q7790">
        <v>0</v>
      </c>
      <c r="R7790">
        <v>46</v>
      </c>
      <c r="S7790">
        <v>46</v>
      </c>
    </row>
    <row r="7791" spans="1:20" customFormat="1" ht="15" x14ac:dyDescent="0.25">
      <c r="A7791" t="s">
        <v>35</v>
      </c>
      <c r="B7791" t="s">
        <v>61</v>
      </c>
      <c r="C7791" t="str">
        <f>"A0181583"</f>
        <v>A0181583</v>
      </c>
      <c r="D7791" t="s">
        <v>29586</v>
      </c>
      <c r="E7791" t="s">
        <v>29416</v>
      </c>
      <c r="F7791" t="s">
        <v>26129</v>
      </c>
      <c r="G7791" t="s">
        <v>899</v>
      </c>
      <c r="H7791" t="s">
        <v>29417</v>
      </c>
      <c r="I7791" t="s">
        <v>30</v>
      </c>
      <c r="J7791" t="s">
        <v>41</v>
      </c>
      <c r="K7791" t="s">
        <v>59</v>
      </c>
      <c r="Q7791">
        <v>0</v>
      </c>
      <c r="R7791">
        <v>48</v>
      </c>
      <c r="S7791">
        <v>48</v>
      </c>
    </row>
    <row r="7792" spans="1:20" customFormat="1" ht="15" x14ac:dyDescent="0.25">
      <c r="A7792" t="s">
        <v>35</v>
      </c>
      <c r="B7792" t="s">
        <v>61</v>
      </c>
      <c r="C7792" t="str">
        <f>"A0181582"</f>
        <v>A0181582</v>
      </c>
      <c r="D7792" t="s">
        <v>29587</v>
      </c>
      <c r="E7792" t="s">
        <v>29588</v>
      </c>
      <c r="F7792" t="s">
        <v>27281</v>
      </c>
      <c r="G7792" t="s">
        <v>161</v>
      </c>
      <c r="H7792" t="s">
        <v>29589</v>
      </c>
      <c r="I7792" t="s">
        <v>30</v>
      </c>
      <c r="J7792" t="s">
        <v>41</v>
      </c>
      <c r="K7792" t="s">
        <v>59</v>
      </c>
      <c r="Q7792">
        <v>0</v>
      </c>
      <c r="R7792">
        <v>0</v>
      </c>
      <c r="S7792">
        <v>0</v>
      </c>
    </row>
    <row r="7793" spans="1:20" customFormat="1" ht="15" x14ac:dyDescent="0.25">
      <c r="A7793" t="s">
        <v>35</v>
      </c>
      <c r="B7793" t="s">
        <v>61</v>
      </c>
      <c r="C7793" t="str">
        <f>"A0181581"</f>
        <v>A0181581</v>
      </c>
      <c r="D7793" t="s">
        <v>29590</v>
      </c>
      <c r="E7793" t="s">
        <v>29591</v>
      </c>
      <c r="F7793" t="s">
        <v>839</v>
      </c>
      <c r="G7793" t="s">
        <v>840</v>
      </c>
      <c r="H7793" t="s">
        <v>29592</v>
      </c>
      <c r="I7793" t="s">
        <v>30</v>
      </c>
      <c r="J7793" t="s">
        <v>41</v>
      </c>
      <c r="K7793" t="s">
        <v>59</v>
      </c>
      <c r="Q7793">
        <v>0</v>
      </c>
      <c r="R7793">
        <v>0</v>
      </c>
      <c r="S7793">
        <v>0</v>
      </c>
    </row>
    <row r="7794" spans="1:20" customFormat="1" ht="15" x14ac:dyDescent="0.25">
      <c r="A7794" t="s">
        <v>35</v>
      </c>
      <c r="B7794" t="s">
        <v>61</v>
      </c>
      <c r="C7794" t="str">
        <f>"A0181580"</f>
        <v>A0181580</v>
      </c>
      <c r="D7794" t="s">
        <v>29593</v>
      </c>
      <c r="E7794" t="s">
        <v>29594</v>
      </c>
      <c r="F7794" t="s">
        <v>16880</v>
      </c>
      <c r="G7794" t="s">
        <v>840</v>
      </c>
      <c r="H7794" t="s">
        <v>29595</v>
      </c>
      <c r="I7794" t="s">
        <v>30</v>
      </c>
      <c r="J7794" t="s">
        <v>41</v>
      </c>
      <c r="K7794" t="s">
        <v>59</v>
      </c>
      <c r="Q7794">
        <v>0</v>
      </c>
      <c r="R7794">
        <v>0</v>
      </c>
      <c r="S7794">
        <v>0</v>
      </c>
    </row>
    <row r="7795" spans="1:20" customFormat="1" ht="15" x14ac:dyDescent="0.25">
      <c r="A7795" t="s">
        <v>35</v>
      </c>
      <c r="B7795" t="s">
        <v>61</v>
      </c>
      <c r="C7795" t="str">
        <f>"A0181579"</f>
        <v>A0181579</v>
      </c>
      <c r="D7795" t="s">
        <v>29511</v>
      </c>
      <c r="E7795" t="s">
        <v>29549</v>
      </c>
      <c r="F7795" t="s">
        <v>1689</v>
      </c>
      <c r="G7795" t="s">
        <v>840</v>
      </c>
      <c r="H7795" t="s">
        <v>29550</v>
      </c>
      <c r="I7795" t="s">
        <v>30</v>
      </c>
      <c r="J7795" t="s">
        <v>41</v>
      </c>
      <c r="K7795" t="s">
        <v>59</v>
      </c>
      <c r="Q7795">
        <v>0</v>
      </c>
      <c r="R7795">
        <v>0</v>
      </c>
      <c r="S7795">
        <v>0</v>
      </c>
    </row>
    <row r="7796" spans="1:20" customFormat="1" ht="15" x14ac:dyDescent="0.25">
      <c r="A7796" t="s">
        <v>35</v>
      </c>
      <c r="B7796" t="s">
        <v>61</v>
      </c>
      <c r="C7796" t="str">
        <f>"A0181578"</f>
        <v>A0181578</v>
      </c>
      <c r="D7796" t="s">
        <v>29596</v>
      </c>
      <c r="E7796" t="s">
        <v>29512</v>
      </c>
      <c r="F7796" t="s">
        <v>1689</v>
      </c>
      <c r="G7796" t="s">
        <v>840</v>
      </c>
      <c r="H7796" t="s">
        <v>29513</v>
      </c>
      <c r="I7796" t="s">
        <v>30</v>
      </c>
      <c r="J7796" t="s">
        <v>41</v>
      </c>
      <c r="K7796" t="s">
        <v>59</v>
      </c>
      <c r="Q7796">
        <v>0</v>
      </c>
      <c r="R7796">
        <v>0</v>
      </c>
      <c r="S7796">
        <v>0</v>
      </c>
      <c r="T7796" t="s">
        <v>29597</v>
      </c>
    </row>
    <row r="7797" spans="1:20" customFormat="1" ht="15" x14ac:dyDescent="0.25">
      <c r="A7797" t="s">
        <v>35</v>
      </c>
      <c r="B7797" t="s">
        <v>27395</v>
      </c>
      <c r="C7797" t="str">
        <f>"A0181577"</f>
        <v>A0181577</v>
      </c>
      <c r="D7797" t="s">
        <v>29598</v>
      </c>
      <c r="E7797" t="s">
        <v>29599</v>
      </c>
      <c r="F7797" t="s">
        <v>27398</v>
      </c>
      <c r="G7797" t="s">
        <v>840</v>
      </c>
      <c r="H7797">
        <v>40041</v>
      </c>
      <c r="I7797" t="s">
        <v>30</v>
      </c>
      <c r="J7797" t="s">
        <v>41</v>
      </c>
      <c r="K7797" t="s">
        <v>59</v>
      </c>
      <c r="Q7797">
        <v>0</v>
      </c>
      <c r="R7797">
        <v>0</v>
      </c>
      <c r="S7797">
        <v>0</v>
      </c>
      <c r="T7797" t="s">
        <v>29600</v>
      </c>
    </row>
    <row r="7798" spans="1:20" customFormat="1" ht="15" x14ac:dyDescent="0.25">
      <c r="A7798" t="s">
        <v>35</v>
      </c>
      <c r="B7798" t="s">
        <v>61</v>
      </c>
      <c r="C7798" t="str">
        <f>"A0181576"</f>
        <v>A0181576</v>
      </c>
      <c r="D7798" t="s">
        <v>29601</v>
      </c>
      <c r="E7798" t="s">
        <v>29602</v>
      </c>
      <c r="F7798" t="s">
        <v>898</v>
      </c>
      <c r="G7798" t="s">
        <v>899</v>
      </c>
      <c r="H7798" t="s">
        <v>29603</v>
      </c>
      <c r="I7798" t="s">
        <v>30</v>
      </c>
      <c r="J7798" t="s">
        <v>41</v>
      </c>
      <c r="K7798" t="s">
        <v>59</v>
      </c>
      <c r="Q7798">
        <v>0</v>
      </c>
      <c r="R7798">
        <v>110</v>
      </c>
      <c r="S7798">
        <v>110</v>
      </c>
      <c r="T7798" t="s">
        <v>29309</v>
      </c>
    </row>
    <row r="7799" spans="1:20" customFormat="1" ht="15" x14ac:dyDescent="0.25">
      <c r="A7799" t="s">
        <v>35</v>
      </c>
      <c r="B7799" t="s">
        <v>61</v>
      </c>
      <c r="C7799" t="str">
        <f>"A0181575"</f>
        <v>A0181575</v>
      </c>
      <c r="D7799" t="s">
        <v>29604</v>
      </c>
      <c r="E7799" t="s">
        <v>29198</v>
      </c>
      <c r="F7799" t="s">
        <v>19689</v>
      </c>
      <c r="G7799" t="s">
        <v>161</v>
      </c>
      <c r="H7799" t="s">
        <v>29605</v>
      </c>
      <c r="I7799" t="s">
        <v>30</v>
      </c>
      <c r="J7799" t="s">
        <v>41</v>
      </c>
      <c r="K7799" t="s">
        <v>59</v>
      </c>
      <c r="Q7799">
        <v>0</v>
      </c>
      <c r="R7799">
        <v>355</v>
      </c>
      <c r="S7799">
        <v>355</v>
      </c>
      <c r="T7799" t="s">
        <v>29447</v>
      </c>
    </row>
    <row r="7800" spans="1:20" customFormat="1" ht="15" x14ac:dyDescent="0.25">
      <c r="A7800" t="s">
        <v>35</v>
      </c>
      <c r="B7800" t="s">
        <v>61</v>
      </c>
      <c r="C7800" t="str">
        <f>"A0181574"</f>
        <v>A0181574</v>
      </c>
      <c r="D7800" t="s">
        <v>29606</v>
      </c>
      <c r="E7800" t="s">
        <v>29198</v>
      </c>
      <c r="F7800" t="s">
        <v>19689</v>
      </c>
      <c r="G7800" t="s">
        <v>161</v>
      </c>
      <c r="H7800" t="s">
        <v>29199</v>
      </c>
      <c r="I7800" t="s">
        <v>30</v>
      </c>
      <c r="J7800" t="s">
        <v>41</v>
      </c>
      <c r="K7800" t="s">
        <v>59</v>
      </c>
      <c r="Q7800">
        <v>0</v>
      </c>
      <c r="R7800">
        <v>0</v>
      </c>
      <c r="S7800">
        <v>0</v>
      </c>
      <c r="T7800" t="s">
        <v>29447</v>
      </c>
    </row>
    <row r="7801" spans="1:20" customFormat="1" ht="15" x14ac:dyDescent="0.25">
      <c r="A7801" t="s">
        <v>35</v>
      </c>
      <c r="B7801" t="s">
        <v>61</v>
      </c>
      <c r="C7801" t="str">
        <f>"A0181573"</f>
        <v>A0181573</v>
      </c>
      <c r="D7801" t="s">
        <v>29607</v>
      </c>
      <c r="E7801" t="s">
        <v>29608</v>
      </c>
      <c r="F7801" t="s">
        <v>21392</v>
      </c>
      <c r="G7801" t="s">
        <v>161</v>
      </c>
      <c r="H7801" t="s">
        <v>29609</v>
      </c>
      <c r="I7801" t="s">
        <v>30</v>
      </c>
      <c r="J7801" t="s">
        <v>41</v>
      </c>
      <c r="K7801" t="s">
        <v>59</v>
      </c>
      <c r="Q7801">
        <v>0</v>
      </c>
      <c r="R7801">
        <v>0</v>
      </c>
      <c r="S7801">
        <v>0</v>
      </c>
      <c r="T7801" t="s">
        <v>29610</v>
      </c>
    </row>
    <row r="7802" spans="1:20" customFormat="1" ht="15" x14ac:dyDescent="0.25">
      <c r="A7802" t="s">
        <v>35</v>
      </c>
      <c r="B7802" t="s">
        <v>61</v>
      </c>
      <c r="C7802" t="str">
        <f>"A0181572"</f>
        <v>A0181572</v>
      </c>
      <c r="D7802" t="s">
        <v>29611</v>
      </c>
      <c r="E7802" t="s">
        <v>29612</v>
      </c>
      <c r="F7802" t="s">
        <v>11476</v>
      </c>
      <c r="G7802" t="s">
        <v>161</v>
      </c>
      <c r="H7802" t="s">
        <v>29613</v>
      </c>
      <c r="I7802" t="s">
        <v>30</v>
      </c>
      <c r="J7802" t="s">
        <v>41</v>
      </c>
      <c r="K7802" t="s">
        <v>59</v>
      </c>
      <c r="Q7802">
        <v>0</v>
      </c>
      <c r="R7802">
        <v>0</v>
      </c>
      <c r="S7802">
        <v>0</v>
      </c>
      <c r="T7802" t="s">
        <v>29614</v>
      </c>
    </row>
    <row r="7803" spans="1:20" customFormat="1" ht="15" x14ac:dyDescent="0.25">
      <c r="A7803" t="s">
        <v>35</v>
      </c>
      <c r="B7803" t="s">
        <v>61</v>
      </c>
      <c r="C7803" t="str">
        <f>"A0181571"</f>
        <v>A0181571</v>
      </c>
      <c r="D7803" t="s">
        <v>29615</v>
      </c>
      <c r="E7803" t="s">
        <v>29616</v>
      </c>
      <c r="F7803" t="s">
        <v>13867</v>
      </c>
      <c r="G7803" t="s">
        <v>840</v>
      </c>
      <c r="H7803" t="s">
        <v>29617</v>
      </c>
      <c r="I7803" t="s">
        <v>30</v>
      </c>
      <c r="J7803" t="s">
        <v>41</v>
      </c>
      <c r="K7803" t="s">
        <v>59</v>
      </c>
      <c r="Q7803">
        <v>0</v>
      </c>
      <c r="R7803">
        <v>0</v>
      </c>
      <c r="S7803">
        <v>0</v>
      </c>
      <c r="T7803" t="s">
        <v>29618</v>
      </c>
    </row>
    <row r="7804" spans="1:20" customFormat="1" ht="15" x14ac:dyDescent="0.25">
      <c r="A7804" t="s">
        <v>35</v>
      </c>
      <c r="B7804" t="s">
        <v>61</v>
      </c>
      <c r="C7804" t="str">
        <f>"A0181570"</f>
        <v>A0181570</v>
      </c>
      <c r="D7804" t="s">
        <v>29619</v>
      </c>
      <c r="E7804" t="s">
        <v>29620</v>
      </c>
      <c r="F7804" t="s">
        <v>26129</v>
      </c>
      <c r="G7804" t="s">
        <v>899</v>
      </c>
      <c r="H7804" t="s">
        <v>29621</v>
      </c>
      <c r="I7804" t="s">
        <v>30</v>
      </c>
      <c r="J7804" t="s">
        <v>41</v>
      </c>
      <c r="K7804" t="s">
        <v>59</v>
      </c>
      <c r="Q7804">
        <v>0</v>
      </c>
      <c r="R7804">
        <v>134</v>
      </c>
      <c r="S7804">
        <v>134</v>
      </c>
      <c r="T7804" t="s">
        <v>29622</v>
      </c>
    </row>
    <row r="7805" spans="1:20" customFormat="1" ht="15" x14ac:dyDescent="0.25">
      <c r="A7805" t="s">
        <v>35</v>
      </c>
      <c r="B7805" t="s">
        <v>61</v>
      </c>
      <c r="C7805" t="str">
        <f>"A0181569"</f>
        <v>A0181569</v>
      </c>
      <c r="D7805" t="s">
        <v>29623</v>
      </c>
      <c r="E7805" t="s">
        <v>29624</v>
      </c>
      <c r="F7805" t="s">
        <v>26129</v>
      </c>
      <c r="G7805" t="s">
        <v>899</v>
      </c>
      <c r="H7805" t="s">
        <v>29625</v>
      </c>
      <c r="I7805" t="s">
        <v>30</v>
      </c>
      <c r="J7805" t="s">
        <v>41</v>
      </c>
      <c r="K7805" t="s">
        <v>59</v>
      </c>
      <c r="Q7805">
        <v>0</v>
      </c>
      <c r="R7805">
        <v>0</v>
      </c>
      <c r="S7805">
        <v>0</v>
      </c>
      <c r="T7805" t="s">
        <v>29626</v>
      </c>
    </row>
    <row r="7806" spans="1:20" customFormat="1" ht="15" x14ac:dyDescent="0.25">
      <c r="A7806" t="s">
        <v>35</v>
      </c>
      <c r="B7806" t="s">
        <v>61</v>
      </c>
      <c r="C7806" t="str">
        <f>"A0181568"</f>
        <v>A0181568</v>
      </c>
      <c r="D7806" t="s">
        <v>29627</v>
      </c>
      <c r="E7806" t="s">
        <v>29628</v>
      </c>
      <c r="F7806" t="s">
        <v>898</v>
      </c>
      <c r="G7806" t="s">
        <v>899</v>
      </c>
      <c r="H7806" t="s">
        <v>29629</v>
      </c>
      <c r="I7806" t="s">
        <v>30</v>
      </c>
      <c r="J7806" t="s">
        <v>41</v>
      </c>
      <c r="K7806" t="s">
        <v>59</v>
      </c>
      <c r="Q7806">
        <v>0</v>
      </c>
      <c r="R7806">
        <v>0</v>
      </c>
      <c r="S7806">
        <v>0</v>
      </c>
      <c r="T7806" t="s">
        <v>29630</v>
      </c>
    </row>
    <row r="7807" spans="1:20" customFormat="1" ht="15" x14ac:dyDescent="0.25">
      <c r="A7807" t="s">
        <v>35</v>
      </c>
      <c r="B7807" t="s">
        <v>61</v>
      </c>
      <c r="C7807" t="str">
        <f>"A0181567"</f>
        <v>A0181567</v>
      </c>
      <c r="D7807" t="s">
        <v>29631</v>
      </c>
      <c r="E7807" t="s">
        <v>29632</v>
      </c>
      <c r="F7807" t="s">
        <v>1634</v>
      </c>
      <c r="G7807" t="s">
        <v>899</v>
      </c>
      <c r="H7807" t="s">
        <v>29633</v>
      </c>
      <c r="I7807" t="s">
        <v>30</v>
      </c>
      <c r="J7807" t="s">
        <v>41</v>
      </c>
      <c r="K7807" t="s">
        <v>59</v>
      </c>
      <c r="Q7807">
        <v>0</v>
      </c>
      <c r="R7807">
        <v>0</v>
      </c>
      <c r="S7807">
        <v>0</v>
      </c>
      <c r="T7807" t="s">
        <v>29634</v>
      </c>
    </row>
    <row r="7808" spans="1:20" customFormat="1" ht="15" x14ac:dyDescent="0.25">
      <c r="A7808" t="s">
        <v>35</v>
      </c>
      <c r="B7808" t="s">
        <v>61</v>
      </c>
      <c r="C7808" t="str">
        <f>"A0181566"</f>
        <v>A0181566</v>
      </c>
      <c r="D7808" t="s">
        <v>29635</v>
      </c>
      <c r="E7808" t="s">
        <v>29636</v>
      </c>
      <c r="F7808" t="s">
        <v>3119</v>
      </c>
      <c r="G7808" t="s">
        <v>899</v>
      </c>
      <c r="H7808" t="s">
        <v>29637</v>
      </c>
      <c r="I7808" t="s">
        <v>30</v>
      </c>
      <c r="J7808" t="s">
        <v>41</v>
      </c>
      <c r="K7808" t="s">
        <v>59</v>
      </c>
      <c r="Q7808">
        <v>0</v>
      </c>
      <c r="R7808">
        <v>118</v>
      </c>
      <c r="S7808">
        <v>118</v>
      </c>
      <c r="T7808" t="s">
        <v>29638</v>
      </c>
    </row>
    <row r="7809" spans="1:20" customFormat="1" ht="15" x14ac:dyDescent="0.25">
      <c r="A7809" t="s">
        <v>35</v>
      </c>
      <c r="B7809" t="s">
        <v>61</v>
      </c>
      <c r="C7809" t="str">
        <f>"A0181565"</f>
        <v>A0181565</v>
      </c>
      <c r="D7809" t="s">
        <v>29639</v>
      </c>
      <c r="E7809" t="s">
        <v>29640</v>
      </c>
      <c r="F7809" t="s">
        <v>29641</v>
      </c>
      <c r="G7809" t="s">
        <v>899</v>
      </c>
      <c r="H7809" t="s">
        <v>29642</v>
      </c>
      <c r="I7809" t="s">
        <v>30</v>
      </c>
      <c r="J7809" t="s">
        <v>41</v>
      </c>
      <c r="K7809" t="s">
        <v>59</v>
      </c>
      <c r="Q7809">
        <v>0</v>
      </c>
      <c r="R7809">
        <v>0</v>
      </c>
      <c r="S7809">
        <v>0</v>
      </c>
      <c r="T7809" t="s">
        <v>29643</v>
      </c>
    </row>
    <row r="7810" spans="1:20" customFormat="1" ht="15" x14ac:dyDescent="0.25">
      <c r="A7810" t="s">
        <v>35</v>
      </c>
      <c r="B7810" t="s">
        <v>61</v>
      </c>
      <c r="C7810" t="str">
        <f>"A0181564"</f>
        <v>A0181564</v>
      </c>
      <c r="D7810" t="s">
        <v>29644</v>
      </c>
      <c r="E7810" t="s">
        <v>29645</v>
      </c>
      <c r="F7810" t="s">
        <v>25591</v>
      </c>
      <c r="G7810" t="s">
        <v>899</v>
      </c>
      <c r="H7810" t="s">
        <v>29646</v>
      </c>
      <c r="I7810" t="s">
        <v>30</v>
      </c>
      <c r="J7810" t="s">
        <v>41</v>
      </c>
      <c r="K7810" t="s">
        <v>59</v>
      </c>
      <c r="Q7810">
        <v>0</v>
      </c>
      <c r="R7810">
        <v>0</v>
      </c>
      <c r="S7810">
        <v>0</v>
      </c>
      <c r="T7810" t="s">
        <v>29647</v>
      </c>
    </row>
    <row r="7811" spans="1:20" customFormat="1" ht="15" x14ac:dyDescent="0.25">
      <c r="A7811" t="s">
        <v>35</v>
      </c>
      <c r="B7811" t="s">
        <v>61</v>
      </c>
      <c r="C7811" t="str">
        <f>"A0181563"</f>
        <v>A0181563</v>
      </c>
      <c r="D7811" t="s">
        <v>29648</v>
      </c>
      <c r="E7811" t="s">
        <v>29649</v>
      </c>
      <c r="F7811" t="s">
        <v>29650</v>
      </c>
      <c r="G7811" t="s">
        <v>615</v>
      </c>
      <c r="H7811" t="s">
        <v>29651</v>
      </c>
      <c r="I7811" t="s">
        <v>30</v>
      </c>
      <c r="J7811" t="s">
        <v>41</v>
      </c>
      <c r="K7811" t="s">
        <v>59</v>
      </c>
      <c r="Q7811">
        <v>0</v>
      </c>
      <c r="R7811">
        <v>0</v>
      </c>
      <c r="S7811">
        <v>0</v>
      </c>
      <c r="T7811" t="s">
        <v>29652</v>
      </c>
    </row>
    <row r="7812" spans="1:20" customFormat="1" ht="15" x14ac:dyDescent="0.25">
      <c r="A7812" t="s">
        <v>35</v>
      </c>
      <c r="B7812" t="s">
        <v>61</v>
      </c>
      <c r="C7812" t="str">
        <f>"A0181562"</f>
        <v>A0181562</v>
      </c>
      <c r="D7812" t="s">
        <v>29653</v>
      </c>
      <c r="E7812" t="s">
        <v>29654</v>
      </c>
      <c r="F7812" t="s">
        <v>3707</v>
      </c>
      <c r="G7812" t="s">
        <v>615</v>
      </c>
      <c r="H7812" t="s">
        <v>29655</v>
      </c>
      <c r="I7812" t="s">
        <v>30</v>
      </c>
      <c r="J7812" t="s">
        <v>41</v>
      </c>
      <c r="K7812" t="s">
        <v>59</v>
      </c>
      <c r="Q7812">
        <v>0</v>
      </c>
      <c r="R7812">
        <v>105</v>
      </c>
      <c r="S7812">
        <v>105</v>
      </c>
      <c r="T7812" t="s">
        <v>29656</v>
      </c>
    </row>
    <row r="7813" spans="1:20" customFormat="1" ht="15" x14ac:dyDescent="0.25">
      <c r="A7813" t="s">
        <v>35</v>
      </c>
      <c r="B7813" t="s">
        <v>61</v>
      </c>
      <c r="C7813" t="str">
        <f>"A0181561"</f>
        <v>A0181561</v>
      </c>
      <c r="D7813" t="s">
        <v>29657</v>
      </c>
      <c r="E7813" t="s">
        <v>29658</v>
      </c>
      <c r="F7813" t="s">
        <v>29659</v>
      </c>
      <c r="G7813" t="s">
        <v>615</v>
      </c>
      <c r="H7813" t="s">
        <v>29660</v>
      </c>
      <c r="I7813" t="s">
        <v>30</v>
      </c>
      <c r="J7813" t="s">
        <v>41</v>
      </c>
      <c r="K7813" t="s">
        <v>59</v>
      </c>
      <c r="Q7813">
        <v>0</v>
      </c>
      <c r="R7813">
        <v>0</v>
      </c>
      <c r="S7813">
        <v>0</v>
      </c>
      <c r="T7813" t="s">
        <v>29661</v>
      </c>
    </row>
    <row r="7814" spans="1:20" customFormat="1" ht="15" x14ac:dyDescent="0.25">
      <c r="A7814" t="s">
        <v>35</v>
      </c>
      <c r="B7814" t="s">
        <v>61</v>
      </c>
      <c r="C7814" t="str">
        <f>"A0181560"</f>
        <v>A0181560</v>
      </c>
      <c r="D7814" t="s">
        <v>29662</v>
      </c>
      <c r="E7814" t="s">
        <v>29663</v>
      </c>
      <c r="F7814" t="s">
        <v>5772</v>
      </c>
      <c r="G7814" t="s">
        <v>161</v>
      </c>
      <c r="H7814" t="s">
        <v>29664</v>
      </c>
      <c r="I7814" t="s">
        <v>30</v>
      </c>
      <c r="J7814" t="s">
        <v>41</v>
      </c>
      <c r="K7814" t="s">
        <v>59</v>
      </c>
      <c r="Q7814">
        <v>0</v>
      </c>
      <c r="R7814">
        <v>0</v>
      </c>
      <c r="S7814">
        <v>0</v>
      </c>
    </row>
    <row r="7815" spans="1:20" customFormat="1" ht="15" x14ac:dyDescent="0.25">
      <c r="A7815" t="s">
        <v>35</v>
      </c>
      <c r="B7815" t="s">
        <v>61</v>
      </c>
      <c r="C7815" t="str">
        <f>"A0181559"</f>
        <v>A0181559</v>
      </c>
      <c r="D7815" t="s">
        <v>21059</v>
      </c>
      <c r="E7815" t="s">
        <v>29665</v>
      </c>
      <c r="F7815" t="s">
        <v>839</v>
      </c>
      <c r="G7815" t="s">
        <v>840</v>
      </c>
      <c r="H7815" t="s">
        <v>29666</v>
      </c>
      <c r="I7815" t="s">
        <v>30</v>
      </c>
      <c r="J7815" t="s">
        <v>41</v>
      </c>
      <c r="K7815" t="s">
        <v>59</v>
      </c>
      <c r="Q7815">
        <v>0</v>
      </c>
      <c r="R7815">
        <v>35</v>
      </c>
      <c r="S7815">
        <v>35</v>
      </c>
      <c r="T7815" t="s">
        <v>29667</v>
      </c>
    </row>
    <row r="7816" spans="1:20" customFormat="1" ht="15" x14ac:dyDescent="0.25">
      <c r="A7816" t="s">
        <v>35</v>
      </c>
      <c r="B7816" t="s">
        <v>61</v>
      </c>
      <c r="C7816" t="str">
        <f>"A0181558"</f>
        <v>A0181558</v>
      </c>
      <c r="D7816" t="s">
        <v>29668</v>
      </c>
      <c r="E7816" t="s">
        <v>29669</v>
      </c>
      <c r="F7816" t="s">
        <v>1689</v>
      </c>
      <c r="G7816" t="s">
        <v>840</v>
      </c>
      <c r="H7816" t="s">
        <v>29670</v>
      </c>
      <c r="I7816" t="s">
        <v>30</v>
      </c>
      <c r="J7816" t="s">
        <v>41</v>
      </c>
      <c r="K7816" t="s">
        <v>59</v>
      </c>
      <c r="Q7816">
        <v>0</v>
      </c>
      <c r="R7816">
        <v>98</v>
      </c>
      <c r="S7816">
        <v>98</v>
      </c>
      <c r="T7816" t="s">
        <v>29671</v>
      </c>
    </row>
    <row r="7817" spans="1:20" customFormat="1" ht="15" x14ac:dyDescent="0.25">
      <c r="A7817" t="s">
        <v>35</v>
      </c>
      <c r="B7817" t="s">
        <v>27395</v>
      </c>
      <c r="C7817" t="str">
        <f>"A0181557"</f>
        <v>A0181557</v>
      </c>
      <c r="D7817" t="s">
        <v>29672</v>
      </c>
      <c r="E7817" t="s">
        <v>29673</v>
      </c>
      <c r="F7817" t="s">
        <v>27398</v>
      </c>
      <c r="G7817" t="s">
        <v>840</v>
      </c>
      <c r="H7817" t="s">
        <v>29674</v>
      </c>
      <c r="I7817" t="s">
        <v>30</v>
      </c>
      <c r="J7817" t="s">
        <v>41</v>
      </c>
      <c r="K7817" t="s">
        <v>59</v>
      </c>
      <c r="Q7817">
        <v>0</v>
      </c>
      <c r="R7817">
        <v>0</v>
      </c>
      <c r="S7817">
        <v>0</v>
      </c>
      <c r="T7817" t="s">
        <v>29675</v>
      </c>
    </row>
    <row r="7818" spans="1:20" customFormat="1" ht="15" x14ac:dyDescent="0.25">
      <c r="A7818" t="s">
        <v>35</v>
      </c>
      <c r="B7818" t="s">
        <v>27395</v>
      </c>
      <c r="C7818" t="str">
        <f>"A0181556"</f>
        <v>A0181556</v>
      </c>
      <c r="D7818" t="s">
        <v>29676</v>
      </c>
      <c r="E7818" t="s">
        <v>29677</v>
      </c>
      <c r="F7818" t="s">
        <v>27398</v>
      </c>
      <c r="G7818" t="s">
        <v>840</v>
      </c>
      <c r="H7818" t="s">
        <v>29678</v>
      </c>
      <c r="I7818" t="s">
        <v>30</v>
      </c>
      <c r="J7818" t="s">
        <v>41</v>
      </c>
      <c r="K7818" t="s">
        <v>59</v>
      </c>
      <c r="Q7818">
        <v>0</v>
      </c>
      <c r="R7818">
        <v>0</v>
      </c>
      <c r="S7818">
        <v>0</v>
      </c>
      <c r="T7818" t="s">
        <v>29679</v>
      </c>
    </row>
    <row r="7819" spans="1:20" customFormat="1" ht="15" x14ac:dyDescent="0.25">
      <c r="A7819" t="s">
        <v>35</v>
      </c>
      <c r="B7819" t="s">
        <v>61</v>
      </c>
      <c r="C7819" t="str">
        <f>"A0181555"</f>
        <v>A0181555</v>
      </c>
      <c r="D7819" t="s">
        <v>29680</v>
      </c>
      <c r="E7819" t="s">
        <v>29681</v>
      </c>
      <c r="F7819" t="s">
        <v>6019</v>
      </c>
      <c r="G7819" t="s">
        <v>899</v>
      </c>
      <c r="H7819" t="s">
        <v>29682</v>
      </c>
      <c r="I7819" t="s">
        <v>30</v>
      </c>
      <c r="J7819" t="s">
        <v>41</v>
      </c>
      <c r="K7819" t="s">
        <v>59</v>
      </c>
      <c r="Q7819">
        <v>0</v>
      </c>
      <c r="R7819">
        <v>25</v>
      </c>
      <c r="S7819">
        <v>25</v>
      </c>
      <c r="T7819" t="s">
        <v>27521</v>
      </c>
    </row>
    <row r="7820" spans="1:20" customFormat="1" ht="15" x14ac:dyDescent="0.25">
      <c r="A7820" t="s">
        <v>35</v>
      </c>
      <c r="B7820" t="s">
        <v>61</v>
      </c>
      <c r="C7820" t="str">
        <f>"A0181554"</f>
        <v>A0181554</v>
      </c>
      <c r="D7820" t="s">
        <v>29683</v>
      </c>
      <c r="E7820" t="s">
        <v>29684</v>
      </c>
      <c r="F7820" t="s">
        <v>28038</v>
      </c>
      <c r="G7820" t="s">
        <v>161</v>
      </c>
      <c r="H7820" t="s">
        <v>29685</v>
      </c>
      <c r="I7820" t="s">
        <v>30</v>
      </c>
      <c r="J7820" t="s">
        <v>41</v>
      </c>
      <c r="K7820" t="s">
        <v>59</v>
      </c>
      <c r="Q7820">
        <v>0</v>
      </c>
      <c r="R7820">
        <v>0</v>
      </c>
      <c r="S7820">
        <v>0</v>
      </c>
      <c r="T7820" t="s">
        <v>29686</v>
      </c>
    </row>
    <row r="7821" spans="1:20" customFormat="1" ht="15" x14ac:dyDescent="0.25">
      <c r="A7821" t="s">
        <v>35</v>
      </c>
      <c r="B7821" t="s">
        <v>61</v>
      </c>
      <c r="C7821" t="str">
        <f>"A0181553"</f>
        <v>A0181553</v>
      </c>
      <c r="D7821" t="s">
        <v>29687</v>
      </c>
      <c r="E7821" t="s">
        <v>29688</v>
      </c>
      <c r="F7821" t="s">
        <v>28038</v>
      </c>
      <c r="G7821" t="s">
        <v>161</v>
      </c>
      <c r="H7821" t="s">
        <v>29689</v>
      </c>
      <c r="I7821" t="s">
        <v>30</v>
      </c>
      <c r="J7821" t="s">
        <v>41</v>
      </c>
      <c r="K7821" t="s">
        <v>59</v>
      </c>
      <c r="Q7821">
        <v>0</v>
      </c>
      <c r="R7821">
        <v>0</v>
      </c>
      <c r="S7821">
        <v>0</v>
      </c>
      <c r="T7821" t="s">
        <v>21618</v>
      </c>
    </row>
    <row r="7822" spans="1:20" customFormat="1" ht="15" x14ac:dyDescent="0.25">
      <c r="A7822" t="s">
        <v>35</v>
      </c>
      <c r="B7822" t="s">
        <v>61</v>
      </c>
      <c r="C7822" t="str">
        <f>"A0181552"</f>
        <v>A0181552</v>
      </c>
      <c r="D7822" t="s">
        <v>29690</v>
      </c>
      <c r="E7822" t="s">
        <v>29691</v>
      </c>
      <c r="F7822" t="s">
        <v>10801</v>
      </c>
      <c r="G7822" t="s">
        <v>161</v>
      </c>
      <c r="H7822" t="s">
        <v>29692</v>
      </c>
      <c r="I7822" t="s">
        <v>30</v>
      </c>
      <c r="J7822" t="s">
        <v>41</v>
      </c>
      <c r="K7822" t="s">
        <v>59</v>
      </c>
      <c r="Q7822">
        <v>0</v>
      </c>
      <c r="R7822">
        <v>0</v>
      </c>
      <c r="S7822">
        <v>0</v>
      </c>
    </row>
    <row r="7823" spans="1:20" customFormat="1" ht="15" x14ac:dyDescent="0.25">
      <c r="A7823" t="s">
        <v>35</v>
      </c>
      <c r="B7823" t="s">
        <v>61</v>
      </c>
      <c r="C7823" t="str">
        <f>"A0181551"</f>
        <v>A0181551</v>
      </c>
      <c r="D7823" t="s">
        <v>29693</v>
      </c>
      <c r="E7823" t="s">
        <v>29694</v>
      </c>
      <c r="F7823" t="s">
        <v>27398</v>
      </c>
      <c r="G7823" t="s">
        <v>840</v>
      </c>
      <c r="H7823" t="s">
        <v>29695</v>
      </c>
      <c r="I7823" t="s">
        <v>30</v>
      </c>
      <c r="J7823" t="s">
        <v>41</v>
      </c>
      <c r="K7823" t="s">
        <v>59</v>
      </c>
      <c r="Q7823">
        <v>0</v>
      </c>
      <c r="R7823">
        <v>0</v>
      </c>
      <c r="S7823">
        <v>0</v>
      </c>
    </row>
    <row r="7824" spans="1:20" customFormat="1" ht="15" x14ac:dyDescent="0.25">
      <c r="A7824" t="s">
        <v>35</v>
      </c>
      <c r="B7824" t="s">
        <v>27395</v>
      </c>
      <c r="C7824" t="str">
        <f>"A0181550"</f>
        <v>A0181550</v>
      </c>
      <c r="D7824" t="s">
        <v>29696</v>
      </c>
      <c r="E7824" t="s">
        <v>29697</v>
      </c>
      <c r="F7824" t="s">
        <v>27398</v>
      </c>
      <c r="G7824" t="s">
        <v>840</v>
      </c>
      <c r="H7824">
        <v>40041</v>
      </c>
      <c r="I7824" t="s">
        <v>30</v>
      </c>
      <c r="J7824" t="s">
        <v>41</v>
      </c>
      <c r="K7824" t="s">
        <v>59</v>
      </c>
      <c r="Q7824">
        <v>0</v>
      </c>
      <c r="R7824">
        <v>0</v>
      </c>
      <c r="S7824">
        <v>0</v>
      </c>
      <c r="T7824" t="s">
        <v>29698</v>
      </c>
    </row>
    <row r="7825" spans="1:20" customFormat="1" ht="15" x14ac:dyDescent="0.25">
      <c r="A7825" t="s">
        <v>35</v>
      </c>
      <c r="B7825" t="s">
        <v>27395</v>
      </c>
      <c r="C7825" t="str">
        <f>"A0181549"</f>
        <v>A0181549</v>
      </c>
      <c r="D7825" t="s">
        <v>29699</v>
      </c>
      <c r="E7825" t="s">
        <v>29673</v>
      </c>
      <c r="F7825" t="s">
        <v>27398</v>
      </c>
      <c r="G7825" t="s">
        <v>840</v>
      </c>
      <c r="H7825" t="s">
        <v>29700</v>
      </c>
      <c r="I7825" t="s">
        <v>30</v>
      </c>
      <c r="J7825" t="s">
        <v>41</v>
      </c>
      <c r="K7825" t="s">
        <v>59</v>
      </c>
      <c r="Q7825">
        <v>0</v>
      </c>
      <c r="R7825">
        <v>0</v>
      </c>
      <c r="S7825">
        <v>0</v>
      </c>
      <c r="T7825" t="s">
        <v>29600</v>
      </c>
    </row>
    <row r="7826" spans="1:20" customFormat="1" ht="15" x14ac:dyDescent="0.25">
      <c r="A7826" t="s">
        <v>35</v>
      </c>
      <c r="B7826" t="s">
        <v>61</v>
      </c>
      <c r="C7826" t="str">
        <f>"A0181548"</f>
        <v>A0181548</v>
      </c>
      <c r="D7826" t="s">
        <v>29701</v>
      </c>
      <c r="E7826" t="s">
        <v>29702</v>
      </c>
      <c r="F7826" t="s">
        <v>1689</v>
      </c>
      <c r="G7826" t="s">
        <v>899</v>
      </c>
      <c r="H7826" t="s">
        <v>29703</v>
      </c>
      <c r="I7826" t="s">
        <v>30</v>
      </c>
      <c r="J7826" t="s">
        <v>41</v>
      </c>
      <c r="K7826" t="s">
        <v>59</v>
      </c>
      <c r="Q7826">
        <v>0</v>
      </c>
      <c r="R7826">
        <v>14</v>
      </c>
      <c r="S7826">
        <v>14</v>
      </c>
      <c r="T7826" t="s">
        <v>29704</v>
      </c>
    </row>
    <row r="7827" spans="1:20" customFormat="1" ht="15" x14ac:dyDescent="0.25">
      <c r="A7827" t="s">
        <v>35</v>
      </c>
      <c r="B7827" t="s">
        <v>61</v>
      </c>
      <c r="C7827" t="str">
        <f>"A0181547"</f>
        <v>A0181547</v>
      </c>
      <c r="D7827" t="s">
        <v>29705</v>
      </c>
      <c r="E7827" t="s">
        <v>26128</v>
      </c>
      <c r="F7827" t="s">
        <v>26129</v>
      </c>
      <c r="G7827" t="s">
        <v>899</v>
      </c>
      <c r="H7827" t="s">
        <v>29706</v>
      </c>
      <c r="I7827" t="s">
        <v>30</v>
      </c>
      <c r="J7827" t="s">
        <v>41</v>
      </c>
      <c r="K7827" t="s">
        <v>59</v>
      </c>
      <c r="Q7827">
        <v>0</v>
      </c>
      <c r="R7827">
        <v>725</v>
      </c>
      <c r="S7827">
        <v>725</v>
      </c>
      <c r="T7827" t="s">
        <v>29707</v>
      </c>
    </row>
    <row r="7828" spans="1:20" customFormat="1" ht="15" x14ac:dyDescent="0.25">
      <c r="A7828" t="s">
        <v>35</v>
      </c>
      <c r="B7828" t="s">
        <v>61</v>
      </c>
      <c r="C7828" t="str">
        <f>"A0181546"</f>
        <v>A0181546</v>
      </c>
      <c r="D7828" t="s">
        <v>29708</v>
      </c>
      <c r="E7828" t="s">
        <v>29709</v>
      </c>
      <c r="F7828" t="s">
        <v>29710</v>
      </c>
      <c r="G7828" t="s">
        <v>899</v>
      </c>
      <c r="H7828" t="s">
        <v>29711</v>
      </c>
      <c r="I7828" t="s">
        <v>30</v>
      </c>
      <c r="J7828" t="s">
        <v>41</v>
      </c>
      <c r="K7828" t="s">
        <v>59</v>
      </c>
      <c r="Q7828">
        <v>0</v>
      </c>
      <c r="R7828">
        <v>0</v>
      </c>
      <c r="S7828">
        <v>0</v>
      </c>
      <c r="T7828" t="s">
        <v>29712</v>
      </c>
    </row>
    <row r="7829" spans="1:20" customFormat="1" ht="15" x14ac:dyDescent="0.25">
      <c r="A7829" t="s">
        <v>35</v>
      </c>
      <c r="B7829" t="s">
        <v>61</v>
      </c>
      <c r="C7829" t="str">
        <f>"A0181545"</f>
        <v>A0181545</v>
      </c>
      <c r="D7829" t="s">
        <v>29713</v>
      </c>
      <c r="E7829" t="s">
        <v>29714</v>
      </c>
      <c r="F7829" t="s">
        <v>25941</v>
      </c>
      <c r="G7829" t="s">
        <v>899</v>
      </c>
      <c r="H7829">
        <v>1830</v>
      </c>
      <c r="I7829" t="s">
        <v>30</v>
      </c>
      <c r="J7829" t="s">
        <v>41</v>
      </c>
      <c r="K7829" t="s">
        <v>59</v>
      </c>
      <c r="Q7829">
        <v>0</v>
      </c>
      <c r="R7829">
        <v>117</v>
      </c>
      <c r="S7829">
        <v>117</v>
      </c>
      <c r="T7829" t="s">
        <v>29715</v>
      </c>
    </row>
    <row r="7830" spans="1:20" customFormat="1" ht="15" x14ac:dyDescent="0.25">
      <c r="A7830" t="s">
        <v>35</v>
      </c>
      <c r="B7830" t="s">
        <v>61</v>
      </c>
      <c r="C7830" t="str">
        <f>"A0181544"</f>
        <v>A0181544</v>
      </c>
      <c r="D7830" t="s">
        <v>29716</v>
      </c>
      <c r="E7830" t="s">
        <v>26451</v>
      </c>
      <c r="F7830" t="s">
        <v>9621</v>
      </c>
      <c r="G7830" t="s">
        <v>899</v>
      </c>
      <c r="H7830" t="s">
        <v>26452</v>
      </c>
      <c r="I7830" t="s">
        <v>30</v>
      </c>
      <c r="J7830" t="s">
        <v>41</v>
      </c>
      <c r="K7830" t="s">
        <v>59</v>
      </c>
      <c r="Q7830">
        <v>0</v>
      </c>
      <c r="R7830">
        <v>0</v>
      </c>
      <c r="S7830">
        <v>0</v>
      </c>
      <c r="T7830" t="s">
        <v>26453</v>
      </c>
    </row>
    <row r="7831" spans="1:20" customFormat="1" ht="15" x14ac:dyDescent="0.25">
      <c r="A7831" t="s">
        <v>35</v>
      </c>
      <c r="B7831" t="s">
        <v>61</v>
      </c>
      <c r="C7831" t="str">
        <f>"A0181543"</f>
        <v>A0181543</v>
      </c>
      <c r="D7831" t="s">
        <v>29717</v>
      </c>
      <c r="E7831" t="s">
        <v>29718</v>
      </c>
      <c r="F7831" t="s">
        <v>29719</v>
      </c>
      <c r="G7831" t="s">
        <v>615</v>
      </c>
      <c r="H7831">
        <v>68303941</v>
      </c>
      <c r="I7831" t="s">
        <v>30</v>
      </c>
      <c r="J7831" t="s">
        <v>41</v>
      </c>
      <c r="K7831" t="s">
        <v>229</v>
      </c>
      <c r="Q7831">
        <v>0</v>
      </c>
      <c r="R7831">
        <v>202</v>
      </c>
      <c r="S7831">
        <v>202</v>
      </c>
      <c r="T7831" t="s">
        <v>29720</v>
      </c>
    </row>
    <row r="7832" spans="1:20" customFormat="1" ht="15" x14ac:dyDescent="0.25">
      <c r="A7832" t="s">
        <v>35</v>
      </c>
      <c r="B7832" t="s">
        <v>61</v>
      </c>
      <c r="C7832" t="str">
        <f>"A0181542"</f>
        <v>A0181542</v>
      </c>
      <c r="D7832" t="s">
        <v>29721</v>
      </c>
      <c r="E7832" t="s">
        <v>29722</v>
      </c>
      <c r="F7832" t="s">
        <v>2294</v>
      </c>
      <c r="G7832" t="s">
        <v>615</v>
      </c>
      <c r="H7832" t="s">
        <v>29723</v>
      </c>
      <c r="I7832" t="s">
        <v>30</v>
      </c>
      <c r="J7832" t="s">
        <v>41</v>
      </c>
      <c r="K7832" t="s">
        <v>59</v>
      </c>
      <c r="Q7832">
        <v>0</v>
      </c>
      <c r="R7832">
        <v>0</v>
      </c>
      <c r="S7832">
        <v>0</v>
      </c>
      <c r="T7832" t="s">
        <v>29724</v>
      </c>
    </row>
    <row r="7833" spans="1:20" customFormat="1" ht="15" x14ac:dyDescent="0.25">
      <c r="A7833" t="s">
        <v>35</v>
      </c>
      <c r="B7833" t="s">
        <v>61</v>
      </c>
      <c r="C7833" t="str">
        <f>"A0181541"</f>
        <v>A0181541</v>
      </c>
      <c r="D7833" t="s">
        <v>29725</v>
      </c>
      <c r="E7833" t="s">
        <v>29726</v>
      </c>
      <c r="F7833" t="s">
        <v>27398</v>
      </c>
      <c r="G7833" t="s">
        <v>840</v>
      </c>
      <c r="H7833" t="s">
        <v>29727</v>
      </c>
      <c r="I7833" t="s">
        <v>30</v>
      </c>
      <c r="J7833" t="s">
        <v>41</v>
      </c>
      <c r="K7833" t="s">
        <v>59</v>
      </c>
      <c r="Q7833">
        <v>0</v>
      </c>
      <c r="R7833">
        <v>0</v>
      </c>
      <c r="S7833">
        <v>0</v>
      </c>
    </row>
    <row r="7834" spans="1:20" customFormat="1" ht="15" x14ac:dyDescent="0.25">
      <c r="A7834" t="s">
        <v>35</v>
      </c>
      <c r="B7834" t="s">
        <v>61</v>
      </c>
      <c r="C7834" t="str">
        <f>"A0181539"</f>
        <v>A0181539</v>
      </c>
      <c r="D7834" t="s">
        <v>837</v>
      </c>
      <c r="E7834" t="s">
        <v>29728</v>
      </c>
      <c r="F7834" t="s">
        <v>839</v>
      </c>
      <c r="G7834" t="s">
        <v>840</v>
      </c>
      <c r="H7834" t="s">
        <v>29729</v>
      </c>
      <c r="I7834" t="s">
        <v>30</v>
      </c>
      <c r="J7834" t="s">
        <v>41</v>
      </c>
      <c r="K7834" t="s">
        <v>59</v>
      </c>
      <c r="Q7834">
        <v>0</v>
      </c>
      <c r="R7834">
        <v>0</v>
      </c>
      <c r="S7834">
        <v>0</v>
      </c>
      <c r="T7834" t="s">
        <v>842</v>
      </c>
    </row>
    <row r="7835" spans="1:20" customFormat="1" ht="15" x14ac:dyDescent="0.25">
      <c r="A7835" t="s">
        <v>35</v>
      </c>
      <c r="B7835" t="s">
        <v>61</v>
      </c>
      <c r="C7835" t="str">
        <f>"A0181538"</f>
        <v>A0181538</v>
      </c>
      <c r="D7835" t="s">
        <v>29730</v>
      </c>
      <c r="E7835" t="s">
        <v>26098</v>
      </c>
      <c r="F7835" t="s">
        <v>24507</v>
      </c>
      <c r="G7835" t="s">
        <v>71</v>
      </c>
      <c r="H7835" t="s">
        <v>26099</v>
      </c>
      <c r="I7835" t="s">
        <v>30</v>
      </c>
      <c r="J7835" t="s">
        <v>41</v>
      </c>
      <c r="K7835" t="s">
        <v>59</v>
      </c>
      <c r="Q7835">
        <v>0</v>
      </c>
      <c r="R7835">
        <v>0</v>
      </c>
      <c r="S7835">
        <v>0</v>
      </c>
    </row>
    <row r="7836" spans="1:20" customFormat="1" ht="15" x14ac:dyDescent="0.25">
      <c r="A7836" t="s">
        <v>35</v>
      </c>
      <c r="B7836" t="s">
        <v>61</v>
      </c>
      <c r="C7836" t="str">
        <f>"A0181537"</f>
        <v>A0181537</v>
      </c>
      <c r="D7836" t="s">
        <v>29731</v>
      </c>
      <c r="E7836" t="s">
        <v>29732</v>
      </c>
      <c r="F7836" t="s">
        <v>29733</v>
      </c>
      <c r="G7836" t="s">
        <v>161</v>
      </c>
      <c r="H7836" t="s">
        <v>29734</v>
      </c>
      <c r="I7836" t="s">
        <v>30</v>
      </c>
      <c r="J7836" t="s">
        <v>41</v>
      </c>
      <c r="K7836" t="s">
        <v>59</v>
      </c>
      <c r="Q7836">
        <v>0</v>
      </c>
      <c r="R7836">
        <v>214</v>
      </c>
      <c r="S7836">
        <v>214</v>
      </c>
      <c r="T7836" t="s">
        <v>29735</v>
      </c>
    </row>
    <row r="7837" spans="1:20" customFormat="1" ht="15" x14ac:dyDescent="0.25">
      <c r="A7837" t="s">
        <v>35</v>
      </c>
      <c r="B7837" t="s">
        <v>61</v>
      </c>
      <c r="C7837" t="str">
        <f>"A0181536"</f>
        <v>A0181536</v>
      </c>
      <c r="D7837" t="s">
        <v>29736</v>
      </c>
      <c r="E7837" t="s">
        <v>29737</v>
      </c>
      <c r="F7837" t="s">
        <v>29738</v>
      </c>
      <c r="G7837" t="s">
        <v>161</v>
      </c>
      <c r="H7837">
        <v>56329</v>
      </c>
      <c r="I7837" t="s">
        <v>30</v>
      </c>
      <c r="J7837" t="s">
        <v>41</v>
      </c>
      <c r="K7837" t="s">
        <v>59</v>
      </c>
      <c r="Q7837">
        <v>0</v>
      </c>
      <c r="R7837">
        <v>0</v>
      </c>
      <c r="S7837">
        <v>0</v>
      </c>
      <c r="T7837" t="s">
        <v>29739</v>
      </c>
    </row>
    <row r="7838" spans="1:20" customFormat="1" ht="15" x14ac:dyDescent="0.25">
      <c r="A7838" t="s">
        <v>35</v>
      </c>
      <c r="B7838" t="s">
        <v>61</v>
      </c>
      <c r="C7838" t="str">
        <f>"A0181535"</f>
        <v>A0181535</v>
      </c>
      <c r="D7838" t="s">
        <v>29740</v>
      </c>
      <c r="E7838" t="s">
        <v>29741</v>
      </c>
      <c r="F7838" t="s">
        <v>27738</v>
      </c>
      <c r="G7838" t="s">
        <v>161</v>
      </c>
      <c r="H7838" t="s">
        <v>29742</v>
      </c>
      <c r="I7838" t="s">
        <v>30</v>
      </c>
      <c r="J7838" t="s">
        <v>41</v>
      </c>
      <c r="K7838" t="s">
        <v>59</v>
      </c>
      <c r="Q7838">
        <v>0</v>
      </c>
      <c r="R7838">
        <v>24</v>
      </c>
      <c r="S7838">
        <v>24</v>
      </c>
      <c r="T7838" t="s">
        <v>29743</v>
      </c>
    </row>
    <row r="7839" spans="1:20" customFormat="1" ht="15" x14ac:dyDescent="0.25">
      <c r="A7839" t="s">
        <v>35</v>
      </c>
      <c r="B7839" t="s">
        <v>61</v>
      </c>
      <c r="C7839" t="str">
        <f>"A0181534"</f>
        <v>A0181534</v>
      </c>
      <c r="D7839" t="s">
        <v>29744</v>
      </c>
      <c r="E7839" t="s">
        <v>29536</v>
      </c>
      <c r="F7839" t="s">
        <v>898</v>
      </c>
      <c r="G7839" t="s">
        <v>899</v>
      </c>
      <c r="H7839" t="s">
        <v>29537</v>
      </c>
      <c r="I7839" t="s">
        <v>30</v>
      </c>
      <c r="J7839" t="s">
        <v>41</v>
      </c>
      <c r="K7839" t="s">
        <v>59</v>
      </c>
      <c r="Q7839">
        <v>0</v>
      </c>
      <c r="R7839">
        <v>0</v>
      </c>
      <c r="S7839">
        <v>0</v>
      </c>
      <c r="T7839" t="s">
        <v>29538</v>
      </c>
    </row>
    <row r="7840" spans="1:20" customFormat="1" ht="15" x14ac:dyDescent="0.25">
      <c r="A7840" t="s">
        <v>35</v>
      </c>
      <c r="B7840" t="s">
        <v>61</v>
      </c>
      <c r="C7840" t="str">
        <f>"A0181533"</f>
        <v>A0181533</v>
      </c>
      <c r="D7840" t="s">
        <v>29745</v>
      </c>
      <c r="E7840" t="s">
        <v>29746</v>
      </c>
      <c r="F7840" t="s">
        <v>29747</v>
      </c>
      <c r="G7840" t="s">
        <v>615</v>
      </c>
      <c r="H7840" t="s">
        <v>29748</v>
      </c>
      <c r="I7840" t="s">
        <v>30</v>
      </c>
      <c r="J7840" t="s">
        <v>41</v>
      </c>
      <c r="K7840" t="s">
        <v>59</v>
      </c>
      <c r="Q7840">
        <v>0</v>
      </c>
      <c r="R7840">
        <v>51</v>
      </c>
      <c r="S7840">
        <v>51</v>
      </c>
      <c r="T7840" t="s">
        <v>29749</v>
      </c>
    </row>
    <row r="7841" spans="1:20" customFormat="1" ht="15" x14ac:dyDescent="0.25">
      <c r="A7841" t="s">
        <v>35</v>
      </c>
      <c r="B7841" t="s">
        <v>61</v>
      </c>
      <c r="C7841" t="str">
        <f>"A0181532"</f>
        <v>A0181532</v>
      </c>
      <c r="D7841" t="s">
        <v>29750</v>
      </c>
      <c r="E7841" t="s">
        <v>29751</v>
      </c>
      <c r="F7841" t="s">
        <v>23825</v>
      </c>
      <c r="G7841" t="s">
        <v>99</v>
      </c>
      <c r="H7841" t="s">
        <v>29752</v>
      </c>
      <c r="I7841" t="s">
        <v>30</v>
      </c>
      <c r="J7841" t="s">
        <v>41</v>
      </c>
      <c r="K7841" t="s">
        <v>59</v>
      </c>
      <c r="Q7841">
        <v>0</v>
      </c>
      <c r="R7841">
        <v>0</v>
      </c>
      <c r="S7841">
        <v>0</v>
      </c>
      <c r="T7841" t="s">
        <v>29753</v>
      </c>
    </row>
    <row r="7842" spans="1:20" customFormat="1" ht="15" x14ac:dyDescent="0.25">
      <c r="A7842" t="s">
        <v>35</v>
      </c>
      <c r="B7842" t="s">
        <v>61</v>
      </c>
      <c r="C7842" t="str">
        <f>"A0181531"</f>
        <v>A0181531</v>
      </c>
      <c r="D7842" t="s">
        <v>29754</v>
      </c>
      <c r="E7842" t="s">
        <v>29755</v>
      </c>
      <c r="F7842" t="s">
        <v>29756</v>
      </c>
      <c r="G7842" t="s">
        <v>338</v>
      </c>
      <c r="H7842" t="s">
        <v>29757</v>
      </c>
      <c r="I7842" t="s">
        <v>30</v>
      </c>
      <c r="J7842" t="s">
        <v>41</v>
      </c>
      <c r="K7842" t="s">
        <v>59</v>
      </c>
      <c r="Q7842">
        <v>0</v>
      </c>
      <c r="R7842">
        <v>0</v>
      </c>
      <c r="S7842">
        <v>0</v>
      </c>
    </row>
    <row r="7843" spans="1:20" customFormat="1" ht="15" x14ac:dyDescent="0.25">
      <c r="A7843" t="s">
        <v>35</v>
      </c>
      <c r="B7843" t="s">
        <v>61</v>
      </c>
      <c r="C7843" t="str">
        <f>"A0181530"</f>
        <v>A0181530</v>
      </c>
      <c r="D7843" t="s">
        <v>29758</v>
      </c>
      <c r="E7843" t="s">
        <v>29759</v>
      </c>
      <c r="F7843" t="s">
        <v>29760</v>
      </c>
      <c r="G7843" t="s">
        <v>338</v>
      </c>
      <c r="H7843">
        <v>7508</v>
      </c>
      <c r="I7843" t="s">
        <v>30</v>
      </c>
      <c r="J7843" t="s">
        <v>41</v>
      </c>
      <c r="K7843" t="s">
        <v>59</v>
      </c>
      <c r="Q7843">
        <v>0</v>
      </c>
      <c r="R7843">
        <v>52</v>
      </c>
      <c r="S7843">
        <v>52</v>
      </c>
      <c r="T7843" t="s">
        <v>29761</v>
      </c>
    </row>
    <row r="7844" spans="1:20" customFormat="1" ht="15" x14ac:dyDescent="0.25">
      <c r="A7844" t="s">
        <v>35</v>
      </c>
      <c r="B7844" t="s">
        <v>27395</v>
      </c>
      <c r="C7844" t="str">
        <f>"A0181529"</f>
        <v>A0181529</v>
      </c>
      <c r="D7844" t="s">
        <v>29762</v>
      </c>
      <c r="E7844" t="s">
        <v>29763</v>
      </c>
      <c r="F7844" t="s">
        <v>29764</v>
      </c>
      <c r="G7844" t="s">
        <v>840</v>
      </c>
      <c r="H7844" t="s">
        <v>29765</v>
      </c>
      <c r="I7844" t="s">
        <v>30</v>
      </c>
      <c r="J7844" t="s">
        <v>41</v>
      </c>
      <c r="K7844" t="s">
        <v>59</v>
      </c>
      <c r="Q7844">
        <v>0</v>
      </c>
      <c r="R7844">
        <v>0</v>
      </c>
      <c r="S7844">
        <v>0</v>
      </c>
      <c r="T7844" t="s">
        <v>29766</v>
      </c>
    </row>
    <row r="7845" spans="1:20" customFormat="1" ht="15" x14ac:dyDescent="0.25">
      <c r="A7845" t="s">
        <v>35</v>
      </c>
      <c r="B7845" t="s">
        <v>61</v>
      </c>
      <c r="C7845" t="str">
        <f>"A0181528"</f>
        <v>A0181528</v>
      </c>
      <c r="D7845" t="s">
        <v>29767</v>
      </c>
      <c r="E7845" t="s">
        <v>29768</v>
      </c>
      <c r="F7845" t="s">
        <v>839</v>
      </c>
      <c r="G7845" t="s">
        <v>840</v>
      </c>
      <c r="H7845" t="s">
        <v>29769</v>
      </c>
      <c r="I7845" t="s">
        <v>30</v>
      </c>
      <c r="J7845" t="s">
        <v>41</v>
      </c>
      <c r="K7845" t="s">
        <v>59</v>
      </c>
      <c r="Q7845">
        <v>0</v>
      </c>
      <c r="R7845">
        <v>0</v>
      </c>
      <c r="S7845">
        <v>0</v>
      </c>
      <c r="T7845" t="s">
        <v>29770</v>
      </c>
    </row>
    <row r="7846" spans="1:20" customFormat="1" ht="15" x14ac:dyDescent="0.25">
      <c r="A7846" t="s">
        <v>35</v>
      </c>
      <c r="B7846" t="s">
        <v>61</v>
      </c>
      <c r="C7846" t="str">
        <f>"A0181527"</f>
        <v>A0181527</v>
      </c>
      <c r="D7846" t="s">
        <v>29771</v>
      </c>
      <c r="E7846" t="s">
        <v>29772</v>
      </c>
      <c r="F7846" t="s">
        <v>1423</v>
      </c>
      <c r="G7846" t="s">
        <v>899</v>
      </c>
      <c r="H7846" t="s">
        <v>29773</v>
      </c>
      <c r="I7846" t="s">
        <v>30</v>
      </c>
      <c r="J7846" t="s">
        <v>41</v>
      </c>
      <c r="K7846" t="s">
        <v>59</v>
      </c>
      <c r="Q7846">
        <v>0</v>
      </c>
      <c r="R7846">
        <v>0</v>
      </c>
      <c r="S7846">
        <v>0</v>
      </c>
      <c r="T7846" t="s">
        <v>29774</v>
      </c>
    </row>
    <row r="7847" spans="1:20" customFormat="1" ht="15" x14ac:dyDescent="0.25">
      <c r="A7847" t="s">
        <v>35</v>
      </c>
      <c r="B7847" t="s">
        <v>61</v>
      </c>
      <c r="C7847" t="str">
        <f>"A0181526"</f>
        <v>A0181526</v>
      </c>
      <c r="D7847" t="s">
        <v>29775</v>
      </c>
      <c r="E7847" t="s">
        <v>29776</v>
      </c>
      <c r="F7847" t="s">
        <v>9151</v>
      </c>
      <c r="G7847" t="s">
        <v>615</v>
      </c>
      <c r="H7847" t="s">
        <v>29777</v>
      </c>
      <c r="I7847" t="s">
        <v>30</v>
      </c>
      <c r="J7847" t="s">
        <v>41</v>
      </c>
      <c r="K7847" t="s">
        <v>59</v>
      </c>
      <c r="Q7847">
        <v>0</v>
      </c>
      <c r="R7847">
        <v>334</v>
      </c>
      <c r="S7847">
        <v>334</v>
      </c>
      <c r="T7847" t="s">
        <v>29778</v>
      </c>
    </row>
    <row r="7848" spans="1:20" customFormat="1" ht="15" x14ac:dyDescent="0.25">
      <c r="A7848" t="s">
        <v>35</v>
      </c>
      <c r="B7848" t="s">
        <v>61</v>
      </c>
      <c r="C7848" t="str">
        <f>"A0181525"</f>
        <v>A0181525</v>
      </c>
      <c r="D7848" t="s">
        <v>29779</v>
      </c>
      <c r="E7848" t="s">
        <v>29780</v>
      </c>
      <c r="F7848" t="s">
        <v>5491</v>
      </c>
      <c r="G7848" t="s">
        <v>615</v>
      </c>
      <c r="H7848" t="s">
        <v>29781</v>
      </c>
      <c r="I7848" t="s">
        <v>30</v>
      </c>
      <c r="J7848" t="s">
        <v>41</v>
      </c>
      <c r="K7848" t="s">
        <v>59</v>
      </c>
      <c r="Q7848">
        <v>0</v>
      </c>
      <c r="R7848">
        <v>0</v>
      </c>
      <c r="S7848">
        <v>0</v>
      </c>
      <c r="T7848" t="s">
        <v>29782</v>
      </c>
    </row>
    <row r="7849" spans="1:20" customFormat="1" ht="15" x14ac:dyDescent="0.25">
      <c r="A7849" t="s">
        <v>35</v>
      </c>
      <c r="B7849" t="s">
        <v>61</v>
      </c>
      <c r="C7849" t="str">
        <f>"A0181524"</f>
        <v>A0181524</v>
      </c>
      <c r="D7849" t="s">
        <v>29783</v>
      </c>
      <c r="E7849" t="s">
        <v>29784</v>
      </c>
      <c r="F7849" t="s">
        <v>29785</v>
      </c>
      <c r="G7849" t="s">
        <v>615</v>
      </c>
      <c r="H7849">
        <v>6111</v>
      </c>
      <c r="I7849" t="s">
        <v>30</v>
      </c>
      <c r="J7849" t="s">
        <v>41</v>
      </c>
      <c r="K7849" t="s">
        <v>59</v>
      </c>
      <c r="Q7849">
        <v>0</v>
      </c>
      <c r="R7849">
        <v>34</v>
      </c>
      <c r="S7849">
        <v>34</v>
      </c>
      <c r="T7849" t="s">
        <v>29786</v>
      </c>
    </row>
    <row r="7850" spans="1:20" customFormat="1" ht="15" x14ac:dyDescent="0.25">
      <c r="A7850" t="s">
        <v>35</v>
      </c>
      <c r="B7850" t="s">
        <v>61</v>
      </c>
      <c r="C7850" t="str">
        <f>"A0181523"</f>
        <v>A0181523</v>
      </c>
      <c r="D7850" t="s">
        <v>29787</v>
      </c>
      <c r="E7850" t="s">
        <v>29788</v>
      </c>
      <c r="F7850" t="s">
        <v>8004</v>
      </c>
      <c r="G7850" t="s">
        <v>615</v>
      </c>
      <c r="H7850">
        <v>6470</v>
      </c>
      <c r="I7850" t="s">
        <v>30</v>
      </c>
      <c r="J7850" t="s">
        <v>41</v>
      </c>
      <c r="K7850" t="s">
        <v>59</v>
      </c>
      <c r="Q7850">
        <v>0</v>
      </c>
      <c r="R7850">
        <v>0</v>
      </c>
      <c r="S7850">
        <v>0</v>
      </c>
    </row>
    <row r="7851" spans="1:20" customFormat="1" ht="15" x14ac:dyDescent="0.25">
      <c r="A7851" t="s">
        <v>35</v>
      </c>
      <c r="B7851" t="s">
        <v>61</v>
      </c>
      <c r="C7851" t="str">
        <f>"A0181522"</f>
        <v>A0181522</v>
      </c>
      <c r="D7851" t="s">
        <v>29789</v>
      </c>
      <c r="E7851" t="s">
        <v>29790</v>
      </c>
      <c r="F7851" t="s">
        <v>29375</v>
      </c>
      <c r="G7851" t="s">
        <v>615</v>
      </c>
      <c r="H7851" t="s">
        <v>29791</v>
      </c>
      <c r="I7851" t="s">
        <v>30</v>
      </c>
      <c r="J7851" t="s">
        <v>41</v>
      </c>
      <c r="K7851" t="s">
        <v>59</v>
      </c>
      <c r="Q7851">
        <v>0</v>
      </c>
      <c r="R7851">
        <v>49</v>
      </c>
      <c r="S7851">
        <v>49</v>
      </c>
      <c r="T7851" t="s">
        <v>29792</v>
      </c>
    </row>
    <row r="7852" spans="1:20" customFormat="1" ht="15" x14ac:dyDescent="0.25">
      <c r="A7852" t="s">
        <v>35</v>
      </c>
      <c r="B7852" t="s">
        <v>61</v>
      </c>
      <c r="C7852" t="str">
        <f>"A0181521"</f>
        <v>A0181521</v>
      </c>
      <c r="D7852" t="s">
        <v>29793</v>
      </c>
      <c r="E7852" t="s">
        <v>29794</v>
      </c>
      <c r="F7852" t="s">
        <v>29795</v>
      </c>
      <c r="G7852" t="s">
        <v>615</v>
      </c>
      <c r="H7852" t="s">
        <v>29796</v>
      </c>
      <c r="I7852" t="s">
        <v>30</v>
      </c>
      <c r="J7852" t="s">
        <v>41</v>
      </c>
      <c r="K7852" t="s">
        <v>59</v>
      </c>
      <c r="Q7852">
        <v>0</v>
      </c>
      <c r="R7852">
        <v>0</v>
      </c>
      <c r="S7852">
        <v>0</v>
      </c>
    </row>
    <row r="7853" spans="1:20" customFormat="1" ht="15" x14ac:dyDescent="0.25">
      <c r="A7853" t="s">
        <v>35</v>
      </c>
      <c r="B7853" t="s">
        <v>27395</v>
      </c>
      <c r="C7853" t="str">
        <f>"A0181520"</f>
        <v>A0181520</v>
      </c>
      <c r="D7853" t="s">
        <v>29797</v>
      </c>
      <c r="E7853" t="s">
        <v>29673</v>
      </c>
      <c r="F7853" t="s">
        <v>27398</v>
      </c>
      <c r="G7853" t="s">
        <v>840</v>
      </c>
      <c r="H7853" t="s">
        <v>29674</v>
      </c>
      <c r="I7853" t="s">
        <v>30</v>
      </c>
      <c r="J7853" t="s">
        <v>41</v>
      </c>
      <c r="K7853" t="s">
        <v>59</v>
      </c>
      <c r="Q7853">
        <v>0</v>
      </c>
      <c r="R7853">
        <v>0</v>
      </c>
      <c r="S7853">
        <v>0</v>
      </c>
    </row>
    <row r="7854" spans="1:20" customFormat="1" ht="15" x14ac:dyDescent="0.25">
      <c r="A7854" t="s">
        <v>35</v>
      </c>
      <c r="B7854" t="s">
        <v>61</v>
      </c>
      <c r="C7854" t="str">
        <f>"A0181519"</f>
        <v>A0181519</v>
      </c>
      <c r="D7854" t="s">
        <v>29798</v>
      </c>
      <c r="E7854" t="s">
        <v>29799</v>
      </c>
      <c r="F7854" t="s">
        <v>29800</v>
      </c>
      <c r="G7854" t="s">
        <v>615</v>
      </c>
      <c r="H7854" t="s">
        <v>29801</v>
      </c>
      <c r="I7854" t="s">
        <v>30</v>
      </c>
      <c r="J7854" t="s">
        <v>41</v>
      </c>
      <c r="K7854" t="s">
        <v>59</v>
      </c>
      <c r="Q7854">
        <v>0</v>
      </c>
      <c r="R7854">
        <v>112</v>
      </c>
      <c r="S7854">
        <v>112</v>
      </c>
      <c r="T7854" t="s">
        <v>29802</v>
      </c>
    </row>
    <row r="7855" spans="1:20" customFormat="1" ht="15" x14ac:dyDescent="0.25">
      <c r="A7855" t="s">
        <v>35</v>
      </c>
      <c r="B7855" t="s">
        <v>61</v>
      </c>
      <c r="C7855" t="str">
        <f>"A0181518"</f>
        <v>A0181518</v>
      </c>
      <c r="D7855" t="s">
        <v>29803</v>
      </c>
      <c r="E7855" t="s">
        <v>29804</v>
      </c>
      <c r="F7855" t="s">
        <v>29805</v>
      </c>
      <c r="G7855" t="s">
        <v>615</v>
      </c>
      <c r="H7855" t="s">
        <v>29806</v>
      </c>
      <c r="I7855" t="s">
        <v>30</v>
      </c>
      <c r="J7855" t="s">
        <v>41</v>
      </c>
      <c r="K7855" t="s">
        <v>59</v>
      </c>
      <c r="Q7855">
        <v>0</v>
      </c>
      <c r="R7855">
        <v>0</v>
      </c>
      <c r="S7855">
        <v>0</v>
      </c>
      <c r="T7855" t="s">
        <v>29807</v>
      </c>
    </row>
    <row r="7856" spans="1:20" customFormat="1" ht="15" x14ac:dyDescent="0.25">
      <c r="A7856" t="s">
        <v>35</v>
      </c>
      <c r="B7856" t="s">
        <v>61</v>
      </c>
      <c r="C7856" t="str">
        <f>"A0181517"</f>
        <v>A0181517</v>
      </c>
      <c r="D7856" t="s">
        <v>29808</v>
      </c>
      <c r="E7856" t="s">
        <v>29809</v>
      </c>
      <c r="F7856" t="s">
        <v>14745</v>
      </c>
      <c r="G7856" t="s">
        <v>899</v>
      </c>
      <c r="H7856" t="s">
        <v>29810</v>
      </c>
      <c r="I7856" t="s">
        <v>30</v>
      </c>
      <c r="J7856" t="s">
        <v>41</v>
      </c>
      <c r="K7856" t="s">
        <v>59</v>
      </c>
      <c r="Q7856">
        <v>0</v>
      </c>
      <c r="R7856">
        <v>0</v>
      </c>
      <c r="S7856">
        <v>0</v>
      </c>
      <c r="T7856" t="s">
        <v>29811</v>
      </c>
    </row>
    <row r="7857" spans="1:20" customFormat="1" ht="15" x14ac:dyDescent="0.25">
      <c r="A7857" t="s">
        <v>35</v>
      </c>
      <c r="B7857" t="s">
        <v>61</v>
      </c>
      <c r="C7857" t="str">
        <f>"A0181516"</f>
        <v>A0181516</v>
      </c>
      <c r="D7857" t="s">
        <v>29812</v>
      </c>
      <c r="E7857" t="s">
        <v>29813</v>
      </c>
      <c r="F7857" t="s">
        <v>25902</v>
      </c>
      <c r="G7857" t="s">
        <v>899</v>
      </c>
      <c r="H7857" t="s">
        <v>29814</v>
      </c>
      <c r="I7857" t="s">
        <v>30</v>
      </c>
      <c r="J7857" t="s">
        <v>41</v>
      </c>
      <c r="K7857" t="s">
        <v>59</v>
      </c>
      <c r="Q7857">
        <v>0</v>
      </c>
      <c r="R7857">
        <v>40</v>
      </c>
      <c r="S7857">
        <v>40</v>
      </c>
      <c r="T7857" t="s">
        <v>29815</v>
      </c>
    </row>
    <row r="7858" spans="1:20" customFormat="1" ht="15" x14ac:dyDescent="0.25">
      <c r="A7858" t="s">
        <v>35</v>
      </c>
      <c r="B7858" t="s">
        <v>61</v>
      </c>
      <c r="C7858" t="str">
        <f>"A0181515"</f>
        <v>A0181515</v>
      </c>
      <c r="D7858" t="s">
        <v>29644</v>
      </c>
      <c r="E7858" t="s">
        <v>29816</v>
      </c>
      <c r="F7858" t="s">
        <v>3744</v>
      </c>
      <c r="G7858" t="s">
        <v>899</v>
      </c>
      <c r="H7858">
        <v>2156</v>
      </c>
      <c r="I7858" t="s">
        <v>30</v>
      </c>
      <c r="J7858" t="s">
        <v>41</v>
      </c>
      <c r="K7858" t="s">
        <v>59</v>
      </c>
      <c r="Q7858">
        <v>0</v>
      </c>
      <c r="R7858">
        <v>0</v>
      </c>
      <c r="S7858">
        <v>0</v>
      </c>
      <c r="T7858" t="s">
        <v>29817</v>
      </c>
    </row>
    <row r="7859" spans="1:20" customFormat="1" ht="15" x14ac:dyDescent="0.25">
      <c r="A7859" t="s">
        <v>35</v>
      </c>
      <c r="B7859" t="s">
        <v>61</v>
      </c>
      <c r="C7859" t="str">
        <f>"A0181514"</f>
        <v>A0181514</v>
      </c>
      <c r="D7859" t="s">
        <v>29818</v>
      </c>
      <c r="E7859" t="s">
        <v>29819</v>
      </c>
      <c r="F7859" t="s">
        <v>4116</v>
      </c>
      <c r="G7859" t="s">
        <v>615</v>
      </c>
      <c r="H7859" t="s">
        <v>29820</v>
      </c>
      <c r="I7859" t="s">
        <v>30</v>
      </c>
      <c r="J7859" t="s">
        <v>41</v>
      </c>
      <c r="K7859" t="s">
        <v>59</v>
      </c>
      <c r="Q7859">
        <v>0</v>
      </c>
      <c r="R7859">
        <v>50</v>
      </c>
      <c r="S7859">
        <v>50</v>
      </c>
      <c r="T7859" t="s">
        <v>29821</v>
      </c>
    </row>
    <row r="7860" spans="1:20" customFormat="1" ht="15" x14ac:dyDescent="0.25">
      <c r="A7860" t="s">
        <v>35</v>
      </c>
      <c r="B7860" t="s">
        <v>61</v>
      </c>
      <c r="C7860" t="str">
        <f>"A0181513"</f>
        <v>A0181513</v>
      </c>
      <c r="D7860" t="s">
        <v>29822</v>
      </c>
      <c r="E7860" t="s">
        <v>29823</v>
      </c>
      <c r="F7860" t="s">
        <v>29824</v>
      </c>
      <c r="G7860" t="s">
        <v>615</v>
      </c>
      <c r="H7860" t="s">
        <v>29825</v>
      </c>
      <c r="I7860" t="s">
        <v>30</v>
      </c>
      <c r="J7860" t="s">
        <v>41</v>
      </c>
      <c r="K7860" t="s">
        <v>59</v>
      </c>
      <c r="Q7860">
        <v>0</v>
      </c>
      <c r="R7860">
        <v>0</v>
      </c>
      <c r="S7860">
        <v>0</v>
      </c>
      <c r="T7860" t="s">
        <v>29826</v>
      </c>
    </row>
    <row r="7861" spans="1:20" customFormat="1" ht="15" x14ac:dyDescent="0.25">
      <c r="A7861" t="s">
        <v>35</v>
      </c>
      <c r="B7861" t="s">
        <v>61</v>
      </c>
      <c r="C7861" t="str">
        <f>"A0181512"</f>
        <v>A0181512</v>
      </c>
      <c r="D7861" t="s">
        <v>29827</v>
      </c>
      <c r="E7861" t="s">
        <v>29828</v>
      </c>
      <c r="F7861" t="s">
        <v>4219</v>
      </c>
      <c r="G7861" t="s">
        <v>99</v>
      </c>
      <c r="H7861" t="s">
        <v>29829</v>
      </c>
      <c r="I7861" t="s">
        <v>30</v>
      </c>
      <c r="J7861" t="s">
        <v>41</v>
      </c>
      <c r="K7861" t="s">
        <v>59</v>
      </c>
      <c r="Q7861">
        <v>0</v>
      </c>
      <c r="R7861">
        <v>0</v>
      </c>
      <c r="S7861">
        <v>0</v>
      </c>
      <c r="T7861" t="s">
        <v>29830</v>
      </c>
    </row>
    <row r="7862" spans="1:20" customFormat="1" ht="15" x14ac:dyDescent="0.25">
      <c r="A7862" t="s">
        <v>35</v>
      </c>
      <c r="B7862" t="s">
        <v>61</v>
      </c>
      <c r="C7862" t="str">
        <f>"A0181511"</f>
        <v>A0181511</v>
      </c>
      <c r="D7862" t="s">
        <v>29831</v>
      </c>
      <c r="E7862" t="s">
        <v>29832</v>
      </c>
      <c r="F7862" t="s">
        <v>29833</v>
      </c>
      <c r="G7862" t="s">
        <v>615</v>
      </c>
      <c r="H7862">
        <v>6410</v>
      </c>
      <c r="I7862" t="s">
        <v>30</v>
      </c>
      <c r="J7862" t="s">
        <v>41</v>
      </c>
      <c r="K7862" t="s">
        <v>59</v>
      </c>
      <c r="Q7862">
        <v>0</v>
      </c>
      <c r="R7862">
        <v>90</v>
      </c>
      <c r="S7862">
        <v>90</v>
      </c>
      <c r="T7862" t="s">
        <v>29834</v>
      </c>
    </row>
    <row r="7863" spans="1:20" customFormat="1" ht="15" x14ac:dyDescent="0.25">
      <c r="A7863" t="s">
        <v>35</v>
      </c>
      <c r="B7863" t="s">
        <v>61</v>
      </c>
      <c r="C7863" t="str">
        <f>"A0181510"</f>
        <v>A0181510</v>
      </c>
      <c r="D7863" t="s">
        <v>29835</v>
      </c>
      <c r="E7863" t="s">
        <v>29836</v>
      </c>
      <c r="F7863" t="s">
        <v>29837</v>
      </c>
      <c r="G7863" t="s">
        <v>615</v>
      </c>
      <c r="H7863">
        <v>6355</v>
      </c>
      <c r="I7863" t="s">
        <v>30</v>
      </c>
      <c r="J7863" t="s">
        <v>41</v>
      </c>
      <c r="K7863" t="s">
        <v>59</v>
      </c>
      <c r="Q7863">
        <v>0</v>
      </c>
      <c r="R7863">
        <v>0</v>
      </c>
      <c r="S7863">
        <v>0</v>
      </c>
      <c r="T7863" t="s">
        <v>29838</v>
      </c>
    </row>
    <row r="7864" spans="1:20" customFormat="1" ht="15" x14ac:dyDescent="0.25">
      <c r="A7864" t="s">
        <v>35</v>
      </c>
      <c r="B7864" t="s">
        <v>61</v>
      </c>
      <c r="C7864" t="str">
        <f>"A0181509"</f>
        <v>A0181509</v>
      </c>
      <c r="D7864" t="s">
        <v>29839</v>
      </c>
      <c r="E7864" t="s">
        <v>29840</v>
      </c>
      <c r="F7864" t="s">
        <v>26635</v>
      </c>
      <c r="G7864" t="s">
        <v>99</v>
      </c>
      <c r="H7864" t="s">
        <v>29841</v>
      </c>
      <c r="I7864" t="s">
        <v>30</v>
      </c>
      <c r="J7864" t="s">
        <v>41</v>
      </c>
      <c r="K7864" t="s">
        <v>59</v>
      </c>
      <c r="Q7864">
        <v>0</v>
      </c>
      <c r="R7864">
        <v>0</v>
      </c>
      <c r="S7864">
        <v>0</v>
      </c>
      <c r="T7864" t="s">
        <v>28808</v>
      </c>
    </row>
    <row r="7865" spans="1:20" customFormat="1" ht="15" x14ac:dyDescent="0.25">
      <c r="A7865" t="s">
        <v>35</v>
      </c>
      <c r="B7865" t="s">
        <v>61</v>
      </c>
      <c r="C7865" t="str">
        <f>"A0181508"</f>
        <v>A0181508</v>
      </c>
      <c r="D7865" t="s">
        <v>29842</v>
      </c>
      <c r="E7865" t="s">
        <v>29843</v>
      </c>
      <c r="F7865" t="s">
        <v>26635</v>
      </c>
      <c r="G7865" t="s">
        <v>99</v>
      </c>
      <c r="H7865" t="s">
        <v>29844</v>
      </c>
      <c r="I7865" t="s">
        <v>30</v>
      </c>
      <c r="J7865" t="s">
        <v>41</v>
      </c>
      <c r="K7865" t="s">
        <v>59</v>
      </c>
      <c r="Q7865">
        <v>0</v>
      </c>
      <c r="R7865">
        <v>0</v>
      </c>
      <c r="S7865">
        <v>0</v>
      </c>
      <c r="T7865" t="s">
        <v>29845</v>
      </c>
    </row>
    <row r="7866" spans="1:20" customFormat="1" ht="15" x14ac:dyDescent="0.25">
      <c r="A7866" t="s">
        <v>35</v>
      </c>
      <c r="B7866" t="s">
        <v>61</v>
      </c>
      <c r="C7866" t="str">
        <f>"A0181507"</f>
        <v>A0181507</v>
      </c>
      <c r="D7866" t="s">
        <v>29846</v>
      </c>
      <c r="E7866" t="s">
        <v>29847</v>
      </c>
      <c r="F7866" t="s">
        <v>10801</v>
      </c>
      <c r="G7866" t="s">
        <v>99</v>
      </c>
      <c r="H7866">
        <v>14214</v>
      </c>
      <c r="I7866" t="s">
        <v>30</v>
      </c>
      <c r="J7866" t="s">
        <v>41</v>
      </c>
      <c r="K7866" t="s">
        <v>59</v>
      </c>
      <c r="Q7866">
        <v>0</v>
      </c>
      <c r="R7866">
        <v>0</v>
      </c>
      <c r="S7866">
        <v>0</v>
      </c>
      <c r="T7866" t="s">
        <v>29848</v>
      </c>
    </row>
    <row r="7867" spans="1:20" customFormat="1" ht="15" x14ac:dyDescent="0.25">
      <c r="A7867" t="s">
        <v>35</v>
      </c>
      <c r="B7867" t="s">
        <v>61</v>
      </c>
      <c r="C7867" t="str">
        <f>"A0181506"</f>
        <v>A0181506</v>
      </c>
      <c r="D7867" t="s">
        <v>29849</v>
      </c>
      <c r="E7867" t="s">
        <v>29850</v>
      </c>
      <c r="F7867" t="s">
        <v>4633</v>
      </c>
      <c r="G7867" t="s">
        <v>899</v>
      </c>
      <c r="H7867" t="s">
        <v>29851</v>
      </c>
      <c r="I7867" t="s">
        <v>30</v>
      </c>
      <c r="J7867" t="s">
        <v>41</v>
      </c>
      <c r="K7867" t="s">
        <v>59</v>
      </c>
      <c r="Q7867">
        <v>0</v>
      </c>
      <c r="R7867">
        <v>62</v>
      </c>
      <c r="S7867">
        <v>62</v>
      </c>
      <c r="T7867" t="s">
        <v>29852</v>
      </c>
    </row>
    <row r="7868" spans="1:20" customFormat="1" ht="15" x14ac:dyDescent="0.25">
      <c r="A7868" t="s">
        <v>35</v>
      </c>
      <c r="B7868" t="s">
        <v>61</v>
      </c>
      <c r="C7868" t="str">
        <f>"A0181505"</f>
        <v>A0181505</v>
      </c>
      <c r="D7868" t="s">
        <v>29644</v>
      </c>
      <c r="E7868" t="s">
        <v>29853</v>
      </c>
      <c r="F7868" t="s">
        <v>5775</v>
      </c>
      <c r="G7868" t="s">
        <v>899</v>
      </c>
      <c r="H7868" t="s">
        <v>29854</v>
      </c>
      <c r="I7868" t="s">
        <v>30</v>
      </c>
      <c r="J7868" t="s">
        <v>41</v>
      </c>
      <c r="K7868" t="s">
        <v>59</v>
      </c>
      <c r="Q7868">
        <v>0</v>
      </c>
      <c r="R7868">
        <v>0</v>
      </c>
      <c r="S7868">
        <v>0</v>
      </c>
      <c r="T7868" t="s">
        <v>29855</v>
      </c>
    </row>
    <row r="7869" spans="1:20" customFormat="1" ht="15" x14ac:dyDescent="0.25">
      <c r="A7869" t="s">
        <v>35</v>
      </c>
      <c r="B7869" t="s">
        <v>27395</v>
      </c>
      <c r="C7869" t="str">
        <f>"A0181504"</f>
        <v>A0181504</v>
      </c>
      <c r="D7869" t="s">
        <v>29856</v>
      </c>
      <c r="E7869" t="s">
        <v>29857</v>
      </c>
      <c r="F7869" t="s">
        <v>27398</v>
      </c>
      <c r="G7869" t="s">
        <v>840</v>
      </c>
      <c r="H7869" t="s">
        <v>29858</v>
      </c>
      <c r="I7869" t="s">
        <v>30</v>
      </c>
      <c r="J7869" t="s">
        <v>41</v>
      </c>
      <c r="K7869" t="s">
        <v>59</v>
      </c>
      <c r="Q7869">
        <v>0</v>
      </c>
      <c r="R7869">
        <v>0</v>
      </c>
      <c r="S7869">
        <v>0</v>
      </c>
      <c r="T7869" t="s">
        <v>29600</v>
      </c>
    </row>
    <row r="7870" spans="1:20" customFormat="1" ht="15" x14ac:dyDescent="0.25">
      <c r="A7870" t="s">
        <v>35</v>
      </c>
      <c r="B7870" t="s">
        <v>61</v>
      </c>
      <c r="C7870" t="str">
        <f>"A0181503"</f>
        <v>A0181503</v>
      </c>
      <c r="D7870" t="s">
        <v>29859</v>
      </c>
      <c r="E7870" t="s">
        <v>29860</v>
      </c>
      <c r="F7870" t="s">
        <v>29861</v>
      </c>
      <c r="G7870" t="s">
        <v>615</v>
      </c>
      <c r="H7870">
        <v>6840</v>
      </c>
      <c r="I7870" t="s">
        <v>30</v>
      </c>
      <c r="J7870" t="s">
        <v>41</v>
      </c>
      <c r="K7870" t="s">
        <v>59</v>
      </c>
      <c r="Q7870">
        <v>0</v>
      </c>
      <c r="R7870">
        <v>53</v>
      </c>
      <c r="S7870">
        <v>53</v>
      </c>
      <c r="T7870" t="s">
        <v>29862</v>
      </c>
    </row>
    <row r="7871" spans="1:20" customFormat="1" ht="15" x14ac:dyDescent="0.25">
      <c r="A7871" t="s">
        <v>35</v>
      </c>
      <c r="B7871" t="s">
        <v>61</v>
      </c>
      <c r="C7871" t="str">
        <f>"A0181502"</f>
        <v>A0181502</v>
      </c>
      <c r="D7871" t="s">
        <v>29863</v>
      </c>
      <c r="E7871" t="s">
        <v>29864</v>
      </c>
      <c r="F7871" t="s">
        <v>10622</v>
      </c>
      <c r="G7871" t="s">
        <v>615</v>
      </c>
      <c r="H7871" t="s">
        <v>29865</v>
      </c>
      <c r="I7871" t="s">
        <v>30</v>
      </c>
      <c r="J7871" t="s">
        <v>41</v>
      </c>
      <c r="K7871" t="s">
        <v>59</v>
      </c>
      <c r="Q7871">
        <v>0</v>
      </c>
      <c r="R7871">
        <v>0</v>
      </c>
      <c r="S7871">
        <v>0</v>
      </c>
      <c r="T7871" t="s">
        <v>29866</v>
      </c>
    </row>
    <row r="7872" spans="1:20" customFormat="1" ht="15" x14ac:dyDescent="0.25">
      <c r="A7872" t="s">
        <v>35</v>
      </c>
      <c r="B7872" t="s">
        <v>61</v>
      </c>
      <c r="C7872" t="str">
        <f>"A0181501"</f>
        <v>A0181501</v>
      </c>
      <c r="D7872" t="s">
        <v>29867</v>
      </c>
      <c r="E7872" t="s">
        <v>29549</v>
      </c>
      <c r="F7872" t="s">
        <v>1689</v>
      </c>
      <c r="G7872" t="s">
        <v>840</v>
      </c>
      <c r="H7872" t="s">
        <v>29550</v>
      </c>
      <c r="I7872" t="s">
        <v>30</v>
      </c>
      <c r="J7872" t="s">
        <v>41</v>
      </c>
      <c r="K7872" t="s">
        <v>59</v>
      </c>
      <c r="Q7872">
        <v>0</v>
      </c>
      <c r="R7872">
        <v>0</v>
      </c>
      <c r="S7872">
        <v>0</v>
      </c>
    </row>
    <row r="7873" spans="1:20" customFormat="1" ht="15" x14ac:dyDescent="0.25">
      <c r="A7873" t="s">
        <v>35</v>
      </c>
      <c r="B7873" t="s">
        <v>61</v>
      </c>
      <c r="C7873" t="str">
        <f>"A0181500"</f>
        <v>A0181500</v>
      </c>
      <c r="D7873" t="s">
        <v>29868</v>
      </c>
      <c r="E7873" t="s">
        <v>29869</v>
      </c>
      <c r="F7873" t="s">
        <v>7073</v>
      </c>
      <c r="G7873" t="s">
        <v>840</v>
      </c>
      <c r="H7873">
        <v>42025</v>
      </c>
      <c r="I7873" t="s">
        <v>30</v>
      </c>
      <c r="J7873" t="s">
        <v>41</v>
      </c>
      <c r="K7873" t="s">
        <v>59</v>
      </c>
      <c r="Q7873">
        <v>0</v>
      </c>
      <c r="R7873">
        <v>0</v>
      </c>
      <c r="S7873">
        <v>0</v>
      </c>
    </row>
    <row r="7874" spans="1:20" customFormat="1" ht="15" x14ac:dyDescent="0.25">
      <c r="A7874" t="s">
        <v>35</v>
      </c>
      <c r="B7874" t="s">
        <v>61</v>
      </c>
      <c r="C7874" t="str">
        <f>"A0181499"</f>
        <v>A0181499</v>
      </c>
      <c r="D7874" t="s">
        <v>29870</v>
      </c>
      <c r="E7874" t="s">
        <v>29549</v>
      </c>
      <c r="F7874" t="s">
        <v>1689</v>
      </c>
      <c r="G7874" t="s">
        <v>840</v>
      </c>
      <c r="H7874" t="s">
        <v>29550</v>
      </c>
      <c r="I7874" t="s">
        <v>30</v>
      </c>
      <c r="J7874" t="s">
        <v>41</v>
      </c>
      <c r="K7874" t="s">
        <v>59</v>
      </c>
      <c r="Q7874">
        <v>0</v>
      </c>
      <c r="R7874">
        <v>101</v>
      </c>
      <c r="S7874">
        <v>101</v>
      </c>
      <c r="T7874" t="s">
        <v>29671</v>
      </c>
    </row>
    <row r="7875" spans="1:20" customFormat="1" ht="15" x14ac:dyDescent="0.25">
      <c r="A7875" t="s">
        <v>35</v>
      </c>
      <c r="B7875" t="s">
        <v>61</v>
      </c>
      <c r="C7875" t="str">
        <f>"A0181498"</f>
        <v>A0181498</v>
      </c>
      <c r="D7875" t="s">
        <v>29548</v>
      </c>
      <c r="E7875" t="s">
        <v>29871</v>
      </c>
      <c r="F7875" t="s">
        <v>1689</v>
      </c>
      <c r="G7875" t="s">
        <v>840</v>
      </c>
      <c r="H7875" t="s">
        <v>29872</v>
      </c>
      <c r="I7875" t="s">
        <v>30</v>
      </c>
      <c r="J7875" t="s">
        <v>41</v>
      </c>
      <c r="K7875" t="s">
        <v>59</v>
      </c>
      <c r="Q7875">
        <v>0</v>
      </c>
      <c r="R7875">
        <v>42</v>
      </c>
      <c r="S7875">
        <v>42</v>
      </c>
    </row>
    <row r="7876" spans="1:20" customFormat="1" ht="15" x14ac:dyDescent="0.25">
      <c r="A7876" t="s">
        <v>35</v>
      </c>
      <c r="B7876" t="s">
        <v>61</v>
      </c>
      <c r="C7876" t="str">
        <f>"A0181497"</f>
        <v>A0181497</v>
      </c>
      <c r="D7876" t="s">
        <v>29873</v>
      </c>
      <c r="E7876" t="s">
        <v>29874</v>
      </c>
      <c r="F7876" t="s">
        <v>6022</v>
      </c>
      <c r="G7876" t="s">
        <v>899</v>
      </c>
      <c r="H7876" t="s">
        <v>29875</v>
      </c>
      <c r="I7876" t="s">
        <v>30</v>
      </c>
      <c r="J7876" t="s">
        <v>41</v>
      </c>
      <c r="K7876" t="s">
        <v>59</v>
      </c>
      <c r="Q7876">
        <v>0</v>
      </c>
      <c r="R7876">
        <v>105</v>
      </c>
      <c r="S7876">
        <v>105</v>
      </c>
      <c r="T7876" t="s">
        <v>29876</v>
      </c>
    </row>
    <row r="7877" spans="1:20" customFormat="1" ht="15" x14ac:dyDescent="0.25">
      <c r="A7877" t="s">
        <v>35</v>
      </c>
      <c r="B7877" t="s">
        <v>61</v>
      </c>
      <c r="C7877" t="str">
        <f>"A0181496"</f>
        <v>A0181496</v>
      </c>
      <c r="D7877" t="s">
        <v>29877</v>
      </c>
      <c r="E7877" t="s">
        <v>29878</v>
      </c>
      <c r="F7877" t="s">
        <v>898</v>
      </c>
      <c r="G7877" t="s">
        <v>899</v>
      </c>
      <c r="H7877" t="s">
        <v>29879</v>
      </c>
      <c r="I7877" t="s">
        <v>30</v>
      </c>
      <c r="J7877" t="s">
        <v>41</v>
      </c>
      <c r="K7877" t="s">
        <v>59</v>
      </c>
      <c r="Q7877">
        <v>0</v>
      </c>
      <c r="R7877">
        <v>75</v>
      </c>
      <c r="S7877">
        <v>75</v>
      </c>
      <c r="T7877" t="s">
        <v>29880</v>
      </c>
    </row>
    <row r="7878" spans="1:20" customFormat="1" ht="15" x14ac:dyDescent="0.25">
      <c r="A7878" t="s">
        <v>35</v>
      </c>
      <c r="B7878" t="s">
        <v>61</v>
      </c>
      <c r="C7878" t="str">
        <f>"A0181495"</f>
        <v>A0181495</v>
      </c>
      <c r="D7878" t="s">
        <v>29881</v>
      </c>
      <c r="E7878" t="s">
        <v>29860</v>
      </c>
      <c r="F7878" t="s">
        <v>29861</v>
      </c>
      <c r="G7878" t="s">
        <v>615</v>
      </c>
      <c r="H7878" t="s">
        <v>29882</v>
      </c>
      <c r="I7878" t="s">
        <v>30</v>
      </c>
      <c r="J7878" t="s">
        <v>41</v>
      </c>
      <c r="K7878" t="s">
        <v>59</v>
      </c>
      <c r="Q7878">
        <v>0</v>
      </c>
      <c r="R7878">
        <v>0</v>
      </c>
      <c r="S7878">
        <v>0</v>
      </c>
      <c r="T7878" t="s">
        <v>29883</v>
      </c>
    </row>
    <row r="7879" spans="1:20" customFormat="1" ht="15" x14ac:dyDescent="0.25">
      <c r="A7879" t="s">
        <v>35</v>
      </c>
      <c r="B7879" t="s">
        <v>61</v>
      </c>
      <c r="C7879" t="str">
        <f>"A0181494"</f>
        <v>A0181494</v>
      </c>
      <c r="D7879" t="s">
        <v>29884</v>
      </c>
      <c r="E7879" t="s">
        <v>29885</v>
      </c>
      <c r="F7879" t="s">
        <v>29886</v>
      </c>
      <c r="G7879" t="s">
        <v>615</v>
      </c>
      <c r="H7879" t="s">
        <v>29887</v>
      </c>
      <c r="I7879" t="s">
        <v>30</v>
      </c>
      <c r="J7879" t="s">
        <v>41</v>
      </c>
      <c r="K7879" t="s">
        <v>59</v>
      </c>
      <c r="Q7879">
        <v>0</v>
      </c>
      <c r="R7879">
        <v>0</v>
      </c>
      <c r="S7879">
        <v>0</v>
      </c>
    </row>
    <row r="7880" spans="1:20" customFormat="1" ht="15" x14ac:dyDescent="0.25">
      <c r="A7880" t="s">
        <v>35</v>
      </c>
      <c r="B7880" t="s">
        <v>61</v>
      </c>
      <c r="C7880" t="str">
        <f>"A0181493"</f>
        <v>A0181493</v>
      </c>
      <c r="D7880" t="s">
        <v>29888</v>
      </c>
      <c r="E7880" t="s">
        <v>29885</v>
      </c>
      <c r="F7880" t="s">
        <v>29886</v>
      </c>
      <c r="G7880" t="s">
        <v>615</v>
      </c>
      <c r="H7880" t="s">
        <v>29887</v>
      </c>
      <c r="I7880" t="s">
        <v>30</v>
      </c>
      <c r="J7880" t="s">
        <v>41</v>
      </c>
      <c r="K7880" t="s">
        <v>59</v>
      </c>
      <c r="Q7880">
        <v>0</v>
      </c>
      <c r="R7880">
        <v>0</v>
      </c>
      <c r="S7880">
        <v>0</v>
      </c>
    </row>
    <row r="7881" spans="1:20" customFormat="1" ht="15" x14ac:dyDescent="0.25">
      <c r="A7881" t="s">
        <v>35</v>
      </c>
      <c r="B7881" t="s">
        <v>27395</v>
      </c>
      <c r="C7881" t="str">
        <f>"A0181492"</f>
        <v>A0181492</v>
      </c>
      <c r="D7881" t="s">
        <v>29889</v>
      </c>
      <c r="E7881" t="s">
        <v>29890</v>
      </c>
      <c r="F7881" t="s">
        <v>27398</v>
      </c>
      <c r="G7881" t="s">
        <v>840</v>
      </c>
      <c r="H7881">
        <v>40041</v>
      </c>
      <c r="I7881" t="s">
        <v>30</v>
      </c>
      <c r="J7881" t="s">
        <v>41</v>
      </c>
      <c r="K7881" t="s">
        <v>59</v>
      </c>
      <c r="Q7881">
        <v>0</v>
      </c>
      <c r="R7881">
        <v>0</v>
      </c>
      <c r="S7881">
        <v>0</v>
      </c>
    </row>
    <row r="7882" spans="1:20" customFormat="1" ht="15" x14ac:dyDescent="0.25">
      <c r="A7882" t="s">
        <v>35</v>
      </c>
      <c r="B7882" t="s">
        <v>61</v>
      </c>
      <c r="C7882" t="str">
        <f>"A0181491"</f>
        <v>A0181491</v>
      </c>
      <c r="D7882" t="s">
        <v>29891</v>
      </c>
      <c r="E7882" t="s">
        <v>29892</v>
      </c>
      <c r="F7882" t="s">
        <v>546</v>
      </c>
      <c r="G7882" t="s">
        <v>338</v>
      </c>
      <c r="H7882" t="s">
        <v>29893</v>
      </c>
      <c r="I7882" t="s">
        <v>30</v>
      </c>
      <c r="J7882" t="s">
        <v>41</v>
      </c>
      <c r="K7882" t="s">
        <v>59</v>
      </c>
      <c r="Q7882">
        <v>0</v>
      </c>
      <c r="R7882">
        <v>0</v>
      </c>
      <c r="S7882">
        <v>0</v>
      </c>
      <c r="T7882" t="s">
        <v>29894</v>
      </c>
    </row>
    <row r="7883" spans="1:20" customFormat="1" ht="15" x14ac:dyDescent="0.25">
      <c r="A7883" t="s">
        <v>35</v>
      </c>
      <c r="B7883" t="s">
        <v>61</v>
      </c>
      <c r="C7883" t="str">
        <f>"A0181490"</f>
        <v>A0181490</v>
      </c>
      <c r="D7883" t="s">
        <v>29895</v>
      </c>
      <c r="E7883" t="s">
        <v>29896</v>
      </c>
      <c r="F7883" t="s">
        <v>29897</v>
      </c>
      <c r="G7883" t="s">
        <v>338</v>
      </c>
      <c r="H7883">
        <v>8226</v>
      </c>
      <c r="I7883" t="s">
        <v>30</v>
      </c>
      <c r="J7883" t="s">
        <v>41</v>
      </c>
      <c r="K7883" t="s">
        <v>59</v>
      </c>
      <c r="Q7883">
        <v>0</v>
      </c>
      <c r="R7883">
        <v>0</v>
      </c>
      <c r="S7883">
        <v>0</v>
      </c>
      <c r="T7883" t="s">
        <v>29898</v>
      </c>
    </row>
    <row r="7884" spans="1:20" customFormat="1" ht="15" x14ac:dyDescent="0.25">
      <c r="A7884" t="s">
        <v>35</v>
      </c>
      <c r="B7884" t="s">
        <v>61</v>
      </c>
      <c r="C7884" t="str">
        <f>"A0181489"</f>
        <v>A0181489</v>
      </c>
      <c r="D7884" t="s">
        <v>24220</v>
      </c>
      <c r="E7884" t="s">
        <v>29899</v>
      </c>
      <c r="F7884" t="s">
        <v>598</v>
      </c>
      <c r="G7884" t="s">
        <v>338</v>
      </c>
      <c r="H7884">
        <v>7060</v>
      </c>
      <c r="I7884" t="s">
        <v>30</v>
      </c>
      <c r="J7884" t="s">
        <v>41</v>
      </c>
      <c r="K7884" t="s">
        <v>59</v>
      </c>
      <c r="Q7884">
        <v>0</v>
      </c>
      <c r="R7884">
        <v>0</v>
      </c>
      <c r="S7884">
        <v>0</v>
      </c>
      <c r="T7884" t="s">
        <v>29900</v>
      </c>
    </row>
    <row r="7885" spans="1:20" customFormat="1" ht="15" x14ac:dyDescent="0.25">
      <c r="A7885" t="s">
        <v>35</v>
      </c>
      <c r="B7885" t="s">
        <v>27395</v>
      </c>
      <c r="C7885" t="str">
        <f>"A0181488"</f>
        <v>A0181488</v>
      </c>
      <c r="D7885" t="s">
        <v>29901</v>
      </c>
      <c r="E7885" t="s">
        <v>29902</v>
      </c>
      <c r="F7885" t="s">
        <v>27398</v>
      </c>
      <c r="G7885" t="s">
        <v>840</v>
      </c>
      <c r="H7885">
        <v>40041</v>
      </c>
      <c r="I7885" t="s">
        <v>30</v>
      </c>
      <c r="J7885" t="s">
        <v>41</v>
      </c>
      <c r="K7885" t="s">
        <v>59</v>
      </c>
      <c r="Q7885">
        <v>0</v>
      </c>
      <c r="R7885">
        <v>0</v>
      </c>
      <c r="S7885">
        <v>0</v>
      </c>
      <c r="T7885" t="s">
        <v>29903</v>
      </c>
    </row>
    <row r="7886" spans="1:20" customFormat="1" ht="15" x14ac:dyDescent="0.25">
      <c r="A7886" t="s">
        <v>35</v>
      </c>
      <c r="B7886" t="s">
        <v>61</v>
      </c>
      <c r="C7886" t="str">
        <f>"A0181487"</f>
        <v>A0181487</v>
      </c>
      <c r="D7886" t="s">
        <v>29904</v>
      </c>
      <c r="E7886" t="s">
        <v>29905</v>
      </c>
      <c r="F7886" t="s">
        <v>28558</v>
      </c>
      <c r="G7886" t="s">
        <v>161</v>
      </c>
      <c r="H7886" t="s">
        <v>29906</v>
      </c>
      <c r="I7886" t="s">
        <v>30</v>
      </c>
      <c r="J7886" t="s">
        <v>41</v>
      </c>
      <c r="K7886" t="s">
        <v>59</v>
      </c>
      <c r="Q7886">
        <v>0</v>
      </c>
      <c r="R7886">
        <v>0</v>
      </c>
      <c r="S7886">
        <v>0</v>
      </c>
    </row>
    <row r="7887" spans="1:20" customFormat="1" ht="15" x14ac:dyDescent="0.25">
      <c r="A7887" t="s">
        <v>35</v>
      </c>
      <c r="B7887" t="s">
        <v>61</v>
      </c>
      <c r="C7887" t="str">
        <f>"A0181486"</f>
        <v>A0181486</v>
      </c>
      <c r="D7887" t="s">
        <v>29907</v>
      </c>
      <c r="E7887" t="s">
        <v>29908</v>
      </c>
      <c r="F7887" t="s">
        <v>9151</v>
      </c>
      <c r="G7887" t="s">
        <v>615</v>
      </c>
      <c r="H7887" t="s">
        <v>29909</v>
      </c>
      <c r="I7887" t="s">
        <v>30</v>
      </c>
      <c r="J7887" t="s">
        <v>41</v>
      </c>
      <c r="K7887" t="s">
        <v>59</v>
      </c>
      <c r="Q7887">
        <v>0</v>
      </c>
      <c r="R7887">
        <v>60</v>
      </c>
      <c r="S7887">
        <v>60</v>
      </c>
      <c r="T7887" t="s">
        <v>29910</v>
      </c>
    </row>
    <row r="7888" spans="1:20" customFormat="1" ht="15" x14ac:dyDescent="0.25">
      <c r="A7888" t="s">
        <v>35</v>
      </c>
      <c r="B7888" t="s">
        <v>61</v>
      </c>
      <c r="C7888" t="str">
        <f>"A0181485"</f>
        <v>A0181485</v>
      </c>
      <c r="D7888" t="s">
        <v>29911</v>
      </c>
      <c r="E7888" t="s">
        <v>29912</v>
      </c>
      <c r="F7888" t="s">
        <v>29913</v>
      </c>
      <c r="G7888" t="s">
        <v>615</v>
      </c>
      <c r="H7888" t="s">
        <v>29914</v>
      </c>
      <c r="I7888" t="s">
        <v>30</v>
      </c>
      <c r="J7888" t="s">
        <v>41</v>
      </c>
      <c r="K7888" t="s">
        <v>59</v>
      </c>
      <c r="Q7888">
        <v>0</v>
      </c>
      <c r="R7888">
        <v>0</v>
      </c>
      <c r="S7888">
        <v>0</v>
      </c>
      <c r="T7888" t="s">
        <v>29915</v>
      </c>
    </row>
    <row r="7889" spans="1:20" customFormat="1" ht="15" x14ac:dyDescent="0.25">
      <c r="A7889" t="s">
        <v>35</v>
      </c>
      <c r="B7889" t="s">
        <v>61</v>
      </c>
      <c r="C7889" t="str">
        <f>"A0181484"</f>
        <v>A0181484</v>
      </c>
      <c r="D7889" t="s">
        <v>29916</v>
      </c>
      <c r="E7889" t="s">
        <v>29917</v>
      </c>
      <c r="F7889" t="s">
        <v>29659</v>
      </c>
      <c r="G7889" t="s">
        <v>615</v>
      </c>
      <c r="H7889" t="s">
        <v>29918</v>
      </c>
      <c r="I7889" t="s">
        <v>30</v>
      </c>
      <c r="J7889" t="s">
        <v>41</v>
      </c>
      <c r="K7889" t="s">
        <v>59</v>
      </c>
      <c r="Q7889">
        <v>0</v>
      </c>
      <c r="R7889">
        <v>0</v>
      </c>
      <c r="S7889">
        <v>0</v>
      </c>
    </row>
    <row r="7890" spans="1:20" customFormat="1" ht="15" x14ac:dyDescent="0.25">
      <c r="A7890" t="s">
        <v>35</v>
      </c>
      <c r="B7890" t="s">
        <v>61</v>
      </c>
      <c r="C7890" t="str">
        <f>"A0181483"</f>
        <v>A0181483</v>
      </c>
      <c r="D7890" t="s">
        <v>29919</v>
      </c>
      <c r="E7890" t="s">
        <v>29920</v>
      </c>
      <c r="F7890" t="s">
        <v>29921</v>
      </c>
      <c r="G7890" t="s">
        <v>846</v>
      </c>
      <c r="H7890" t="s">
        <v>29922</v>
      </c>
      <c r="I7890" t="s">
        <v>30</v>
      </c>
      <c r="J7890" t="s">
        <v>41</v>
      </c>
      <c r="K7890" t="s">
        <v>59</v>
      </c>
      <c r="Q7890">
        <v>0</v>
      </c>
      <c r="R7890">
        <v>21</v>
      </c>
      <c r="S7890">
        <v>21</v>
      </c>
      <c r="T7890" t="s">
        <v>29923</v>
      </c>
    </row>
    <row r="7891" spans="1:20" customFormat="1" ht="15" x14ac:dyDescent="0.25">
      <c r="A7891" t="s">
        <v>35</v>
      </c>
      <c r="B7891" t="s">
        <v>61</v>
      </c>
      <c r="C7891" t="str">
        <f>"A0181482"</f>
        <v>A0181482</v>
      </c>
      <c r="D7891" t="s">
        <v>29924</v>
      </c>
      <c r="E7891" t="s">
        <v>29925</v>
      </c>
      <c r="F7891" t="s">
        <v>9255</v>
      </c>
      <c r="G7891" t="s">
        <v>846</v>
      </c>
      <c r="H7891">
        <v>30033</v>
      </c>
      <c r="I7891" t="s">
        <v>30</v>
      </c>
      <c r="J7891" t="s">
        <v>41</v>
      </c>
      <c r="K7891" t="s">
        <v>59</v>
      </c>
      <c r="Q7891">
        <v>0</v>
      </c>
      <c r="R7891">
        <v>0</v>
      </c>
      <c r="S7891">
        <v>0</v>
      </c>
      <c r="T7891" t="s">
        <v>29926</v>
      </c>
    </row>
    <row r="7892" spans="1:20" customFormat="1" ht="15" x14ac:dyDescent="0.25">
      <c r="A7892" t="s">
        <v>35</v>
      </c>
      <c r="B7892" t="s">
        <v>61</v>
      </c>
      <c r="C7892" t="str">
        <f>"A0181481"</f>
        <v>A0181481</v>
      </c>
      <c r="D7892" t="s">
        <v>29927</v>
      </c>
      <c r="E7892" t="s">
        <v>29928</v>
      </c>
      <c r="F7892" t="s">
        <v>10276</v>
      </c>
      <c r="G7892" t="s">
        <v>846</v>
      </c>
      <c r="H7892" t="s">
        <v>29929</v>
      </c>
      <c r="I7892" t="s">
        <v>30</v>
      </c>
      <c r="J7892" t="s">
        <v>41</v>
      </c>
      <c r="K7892" t="s">
        <v>59</v>
      </c>
      <c r="Q7892">
        <v>0</v>
      </c>
      <c r="R7892">
        <v>160</v>
      </c>
      <c r="S7892">
        <v>160</v>
      </c>
      <c r="T7892" t="s">
        <v>29930</v>
      </c>
    </row>
    <row r="7893" spans="1:20" customFormat="1" ht="15" x14ac:dyDescent="0.25">
      <c r="A7893" t="s">
        <v>35</v>
      </c>
      <c r="B7893" t="s">
        <v>61</v>
      </c>
      <c r="C7893" t="str">
        <f>"A0181480"</f>
        <v>A0181480</v>
      </c>
      <c r="D7893" t="s">
        <v>29931</v>
      </c>
      <c r="E7893" t="s">
        <v>29932</v>
      </c>
      <c r="F7893" t="s">
        <v>29933</v>
      </c>
      <c r="G7893" t="s">
        <v>338</v>
      </c>
      <c r="H7893">
        <v>7042</v>
      </c>
      <c r="I7893" t="s">
        <v>30</v>
      </c>
      <c r="J7893" t="s">
        <v>41</v>
      </c>
      <c r="K7893" t="s">
        <v>59</v>
      </c>
      <c r="Q7893">
        <v>0</v>
      </c>
      <c r="R7893">
        <v>0</v>
      </c>
      <c r="S7893">
        <v>0</v>
      </c>
      <c r="T7893" t="s">
        <v>29934</v>
      </c>
    </row>
    <row r="7894" spans="1:20" customFormat="1" ht="15" x14ac:dyDescent="0.25">
      <c r="A7894" t="s">
        <v>35</v>
      </c>
      <c r="B7894" t="s">
        <v>61</v>
      </c>
      <c r="C7894" t="str">
        <f>"A0181478"</f>
        <v>A0181478</v>
      </c>
      <c r="D7894" t="s">
        <v>29935</v>
      </c>
      <c r="E7894" t="s">
        <v>29936</v>
      </c>
      <c r="F7894" t="s">
        <v>2294</v>
      </c>
      <c r="G7894" t="s">
        <v>615</v>
      </c>
      <c r="H7894" t="s">
        <v>29937</v>
      </c>
      <c r="I7894" t="s">
        <v>30</v>
      </c>
      <c r="J7894" t="s">
        <v>41</v>
      </c>
      <c r="K7894" t="s">
        <v>59</v>
      </c>
      <c r="Q7894">
        <v>0</v>
      </c>
      <c r="R7894">
        <v>0</v>
      </c>
      <c r="S7894">
        <v>0</v>
      </c>
      <c r="T7894" t="s">
        <v>29938</v>
      </c>
    </row>
    <row r="7895" spans="1:20" customFormat="1" ht="15" x14ac:dyDescent="0.25">
      <c r="A7895" t="s">
        <v>35</v>
      </c>
      <c r="B7895" t="s">
        <v>61</v>
      </c>
      <c r="C7895" t="str">
        <f>"A0181477"</f>
        <v>A0181477</v>
      </c>
      <c r="D7895" t="s">
        <v>29939</v>
      </c>
      <c r="E7895" t="s">
        <v>29940</v>
      </c>
      <c r="F7895" t="s">
        <v>29941</v>
      </c>
      <c r="G7895" t="s">
        <v>338</v>
      </c>
      <c r="H7895">
        <v>7666</v>
      </c>
      <c r="I7895" t="s">
        <v>30</v>
      </c>
      <c r="J7895" t="s">
        <v>41</v>
      </c>
      <c r="K7895" t="s">
        <v>59</v>
      </c>
      <c r="Q7895">
        <v>0</v>
      </c>
      <c r="R7895">
        <v>0</v>
      </c>
      <c r="S7895">
        <v>0</v>
      </c>
      <c r="T7895" t="s">
        <v>29942</v>
      </c>
    </row>
    <row r="7896" spans="1:20" customFormat="1" ht="15" x14ac:dyDescent="0.25">
      <c r="A7896" t="s">
        <v>35</v>
      </c>
      <c r="B7896" t="s">
        <v>61</v>
      </c>
      <c r="C7896" t="str">
        <f>"A0181476"</f>
        <v>A0181476</v>
      </c>
      <c r="D7896" t="s">
        <v>29943</v>
      </c>
      <c r="E7896" t="s">
        <v>29944</v>
      </c>
      <c r="F7896" t="s">
        <v>22399</v>
      </c>
      <c r="G7896" t="s">
        <v>338</v>
      </c>
      <c r="H7896">
        <v>7701</v>
      </c>
      <c r="I7896" t="s">
        <v>30</v>
      </c>
      <c r="J7896" t="s">
        <v>41</v>
      </c>
      <c r="K7896" t="s">
        <v>59</v>
      </c>
      <c r="Q7896">
        <v>0</v>
      </c>
      <c r="R7896">
        <v>0</v>
      </c>
      <c r="S7896">
        <v>0</v>
      </c>
      <c r="T7896" t="s">
        <v>29945</v>
      </c>
    </row>
    <row r="7897" spans="1:20" customFormat="1" ht="15" x14ac:dyDescent="0.25">
      <c r="A7897" t="s">
        <v>35</v>
      </c>
      <c r="B7897" t="s">
        <v>61</v>
      </c>
      <c r="C7897" t="str">
        <f>"A0181475"</f>
        <v>A0181475</v>
      </c>
      <c r="D7897" t="s">
        <v>29946</v>
      </c>
      <c r="E7897" t="s">
        <v>29947</v>
      </c>
      <c r="F7897" t="s">
        <v>29948</v>
      </c>
      <c r="G7897" t="s">
        <v>338</v>
      </c>
      <c r="H7897">
        <v>7753</v>
      </c>
      <c r="I7897" t="s">
        <v>30</v>
      </c>
      <c r="J7897" t="s">
        <v>41</v>
      </c>
      <c r="K7897" t="s">
        <v>59</v>
      </c>
      <c r="Q7897">
        <v>0</v>
      </c>
      <c r="R7897">
        <v>0</v>
      </c>
      <c r="S7897">
        <v>0</v>
      </c>
      <c r="T7897" t="s">
        <v>29949</v>
      </c>
    </row>
    <row r="7898" spans="1:20" customFormat="1" ht="15" x14ac:dyDescent="0.25">
      <c r="A7898" t="s">
        <v>35</v>
      </c>
      <c r="B7898" t="s">
        <v>61</v>
      </c>
      <c r="C7898" t="str">
        <f>"A0181474"</f>
        <v>A0181474</v>
      </c>
      <c r="D7898" t="s">
        <v>29950</v>
      </c>
      <c r="E7898" t="s">
        <v>29951</v>
      </c>
      <c r="F7898" t="s">
        <v>26305</v>
      </c>
      <c r="G7898" t="s">
        <v>338</v>
      </c>
      <c r="H7898" t="s">
        <v>29952</v>
      </c>
      <c r="I7898" t="s">
        <v>30</v>
      </c>
      <c r="J7898" t="s">
        <v>41</v>
      </c>
      <c r="K7898" t="s">
        <v>59</v>
      </c>
      <c r="Q7898">
        <v>0</v>
      </c>
      <c r="R7898">
        <v>80</v>
      </c>
      <c r="S7898">
        <v>80</v>
      </c>
      <c r="T7898" t="s">
        <v>29953</v>
      </c>
    </row>
    <row r="7899" spans="1:20" customFormat="1" ht="15" x14ac:dyDescent="0.25">
      <c r="A7899" t="s">
        <v>35</v>
      </c>
      <c r="B7899" t="s">
        <v>61</v>
      </c>
      <c r="C7899" t="str">
        <f>"A0181473"</f>
        <v>A0181473</v>
      </c>
      <c r="D7899" t="s">
        <v>29954</v>
      </c>
      <c r="E7899" t="s">
        <v>29955</v>
      </c>
      <c r="F7899" t="s">
        <v>546</v>
      </c>
      <c r="G7899" t="s">
        <v>338</v>
      </c>
      <c r="H7899">
        <v>8873</v>
      </c>
      <c r="I7899" t="s">
        <v>30</v>
      </c>
      <c r="J7899" t="s">
        <v>41</v>
      </c>
      <c r="K7899" t="s">
        <v>59</v>
      </c>
      <c r="Q7899">
        <v>0</v>
      </c>
      <c r="R7899">
        <v>0</v>
      </c>
      <c r="S7899">
        <v>0</v>
      </c>
      <c r="T7899" t="s">
        <v>29956</v>
      </c>
    </row>
    <row r="7900" spans="1:20" customFormat="1" ht="15" x14ac:dyDescent="0.25">
      <c r="A7900" t="s">
        <v>35</v>
      </c>
      <c r="B7900" t="s">
        <v>61</v>
      </c>
      <c r="C7900" t="str">
        <f>"A0181472"</f>
        <v>A0181472</v>
      </c>
      <c r="D7900" t="s">
        <v>29957</v>
      </c>
      <c r="E7900" t="s">
        <v>29958</v>
      </c>
      <c r="F7900" t="s">
        <v>9151</v>
      </c>
      <c r="G7900" t="s">
        <v>615</v>
      </c>
      <c r="H7900" t="s">
        <v>29959</v>
      </c>
      <c r="I7900" t="s">
        <v>30</v>
      </c>
      <c r="J7900" t="s">
        <v>41</v>
      </c>
      <c r="K7900" t="s">
        <v>59</v>
      </c>
      <c r="Q7900">
        <v>0</v>
      </c>
      <c r="R7900">
        <v>0</v>
      </c>
      <c r="S7900">
        <v>0</v>
      </c>
      <c r="T7900" t="s">
        <v>29960</v>
      </c>
    </row>
    <row r="7901" spans="1:20" customFormat="1" ht="15" x14ac:dyDescent="0.25">
      <c r="A7901" t="s">
        <v>35</v>
      </c>
      <c r="B7901" t="s">
        <v>61</v>
      </c>
      <c r="C7901" t="str">
        <f>"A0181471"</f>
        <v>A0181471</v>
      </c>
      <c r="D7901" t="s">
        <v>29961</v>
      </c>
      <c r="E7901" t="s">
        <v>29962</v>
      </c>
      <c r="F7901" t="s">
        <v>29963</v>
      </c>
      <c r="G7901" t="s">
        <v>615</v>
      </c>
      <c r="H7901">
        <v>6241</v>
      </c>
      <c r="I7901" t="s">
        <v>30</v>
      </c>
      <c r="J7901" t="s">
        <v>41</v>
      </c>
      <c r="K7901" t="s">
        <v>59</v>
      </c>
      <c r="Q7901">
        <v>0</v>
      </c>
      <c r="R7901">
        <v>0</v>
      </c>
      <c r="S7901">
        <v>0</v>
      </c>
      <c r="T7901" t="s">
        <v>29964</v>
      </c>
    </row>
    <row r="7902" spans="1:20" customFormat="1" ht="15" x14ac:dyDescent="0.25">
      <c r="A7902" t="s">
        <v>35</v>
      </c>
      <c r="B7902" t="s">
        <v>61</v>
      </c>
      <c r="C7902" t="str">
        <f>"A0181470"</f>
        <v>A0181470</v>
      </c>
      <c r="D7902" t="s">
        <v>29965</v>
      </c>
      <c r="E7902" t="s">
        <v>29966</v>
      </c>
      <c r="F7902" t="s">
        <v>5491</v>
      </c>
      <c r="G7902" t="s">
        <v>615</v>
      </c>
      <c r="H7902" t="s">
        <v>29967</v>
      </c>
      <c r="I7902" t="s">
        <v>30</v>
      </c>
      <c r="J7902" t="s">
        <v>41</v>
      </c>
      <c r="K7902" t="s">
        <v>59</v>
      </c>
      <c r="Q7902">
        <v>0</v>
      </c>
      <c r="R7902">
        <v>0</v>
      </c>
      <c r="S7902">
        <v>0</v>
      </c>
      <c r="T7902" t="s">
        <v>29968</v>
      </c>
    </row>
    <row r="7903" spans="1:20" customFormat="1" ht="15" x14ac:dyDescent="0.25">
      <c r="A7903" t="s">
        <v>35</v>
      </c>
      <c r="B7903" t="s">
        <v>61</v>
      </c>
      <c r="C7903" t="str">
        <f>"A0181469"</f>
        <v>A0181469</v>
      </c>
      <c r="D7903" t="s">
        <v>29969</v>
      </c>
      <c r="E7903" t="s">
        <v>29970</v>
      </c>
      <c r="F7903" t="s">
        <v>2294</v>
      </c>
      <c r="G7903" t="s">
        <v>615</v>
      </c>
      <c r="H7903" t="s">
        <v>29971</v>
      </c>
      <c r="I7903" t="s">
        <v>30</v>
      </c>
      <c r="J7903" t="s">
        <v>41</v>
      </c>
      <c r="K7903" t="s">
        <v>59</v>
      </c>
      <c r="Q7903">
        <v>0</v>
      </c>
      <c r="R7903">
        <v>312</v>
      </c>
      <c r="S7903">
        <v>312</v>
      </c>
      <c r="T7903" t="s">
        <v>29972</v>
      </c>
    </row>
    <row r="7904" spans="1:20" customFormat="1" ht="15" x14ac:dyDescent="0.25">
      <c r="A7904" t="s">
        <v>35</v>
      </c>
      <c r="B7904" t="s">
        <v>61</v>
      </c>
      <c r="C7904" t="str">
        <f>"A0181468"</f>
        <v>A0181468</v>
      </c>
      <c r="D7904" t="s">
        <v>29973</v>
      </c>
      <c r="E7904" t="s">
        <v>29974</v>
      </c>
      <c r="F7904" t="s">
        <v>29078</v>
      </c>
      <c r="G7904" t="s">
        <v>338</v>
      </c>
      <c r="H7904" t="s">
        <v>29975</v>
      </c>
      <c r="I7904" t="s">
        <v>30</v>
      </c>
      <c r="J7904" t="s">
        <v>41</v>
      </c>
      <c r="K7904" t="s">
        <v>59</v>
      </c>
      <c r="Q7904">
        <v>0</v>
      </c>
      <c r="R7904">
        <v>0</v>
      </c>
      <c r="S7904">
        <v>0</v>
      </c>
      <c r="T7904" t="s">
        <v>29080</v>
      </c>
    </row>
    <row r="7905" spans="1:20" customFormat="1" ht="15" x14ac:dyDescent="0.25">
      <c r="A7905" t="s">
        <v>35</v>
      </c>
      <c r="B7905" t="s">
        <v>61</v>
      </c>
      <c r="C7905" t="str">
        <f>"A0181467"</f>
        <v>A0181467</v>
      </c>
      <c r="D7905" t="s">
        <v>29976</v>
      </c>
      <c r="E7905" t="s">
        <v>29977</v>
      </c>
      <c r="F7905" t="s">
        <v>25481</v>
      </c>
      <c r="G7905" t="s">
        <v>338</v>
      </c>
      <c r="H7905" t="s">
        <v>29978</v>
      </c>
      <c r="I7905" t="s">
        <v>30</v>
      </c>
      <c r="J7905" t="s">
        <v>41</v>
      </c>
      <c r="K7905" t="s">
        <v>59</v>
      </c>
      <c r="Q7905">
        <v>0</v>
      </c>
      <c r="R7905">
        <v>0</v>
      </c>
      <c r="S7905">
        <v>0</v>
      </c>
      <c r="T7905" t="s">
        <v>29979</v>
      </c>
    </row>
    <row r="7906" spans="1:20" customFormat="1" ht="15" x14ac:dyDescent="0.25">
      <c r="A7906" t="s">
        <v>35</v>
      </c>
      <c r="B7906" t="s">
        <v>61</v>
      </c>
      <c r="C7906" t="str">
        <f>"A0181466"</f>
        <v>A0181466</v>
      </c>
      <c r="D7906" t="s">
        <v>29980</v>
      </c>
      <c r="E7906" t="s">
        <v>29981</v>
      </c>
      <c r="F7906" t="s">
        <v>29982</v>
      </c>
      <c r="G7906" t="s">
        <v>615</v>
      </c>
      <c r="H7906" t="s">
        <v>29983</v>
      </c>
      <c r="I7906" t="s">
        <v>30</v>
      </c>
      <c r="J7906" t="s">
        <v>41</v>
      </c>
      <c r="K7906" t="s">
        <v>59</v>
      </c>
      <c r="Q7906">
        <v>0</v>
      </c>
      <c r="R7906">
        <v>0</v>
      </c>
      <c r="S7906">
        <v>0</v>
      </c>
      <c r="T7906" t="s">
        <v>29984</v>
      </c>
    </row>
    <row r="7907" spans="1:20" customFormat="1" ht="15" x14ac:dyDescent="0.25">
      <c r="A7907" t="s">
        <v>35</v>
      </c>
      <c r="B7907" t="s">
        <v>61</v>
      </c>
      <c r="C7907" t="str">
        <f>"A0181465"</f>
        <v>A0181465</v>
      </c>
      <c r="D7907" t="s">
        <v>29985</v>
      </c>
      <c r="E7907" t="s">
        <v>29986</v>
      </c>
      <c r="F7907" t="s">
        <v>29659</v>
      </c>
      <c r="G7907" t="s">
        <v>615</v>
      </c>
      <c r="H7907">
        <v>6492</v>
      </c>
      <c r="I7907" t="s">
        <v>30</v>
      </c>
      <c r="J7907" t="s">
        <v>41</v>
      </c>
      <c r="K7907" t="s">
        <v>59</v>
      </c>
      <c r="Q7907">
        <v>0</v>
      </c>
      <c r="R7907">
        <v>0</v>
      </c>
      <c r="S7907">
        <v>0</v>
      </c>
      <c r="T7907" t="s">
        <v>29987</v>
      </c>
    </row>
    <row r="7908" spans="1:20" customFormat="1" ht="15" x14ac:dyDescent="0.25">
      <c r="A7908" t="s">
        <v>35</v>
      </c>
      <c r="B7908" t="s">
        <v>61</v>
      </c>
      <c r="C7908" t="str">
        <f>"A0181464"</f>
        <v>A0181464</v>
      </c>
      <c r="D7908" t="s">
        <v>29988</v>
      </c>
      <c r="E7908" t="s">
        <v>29989</v>
      </c>
      <c r="F7908" t="s">
        <v>29747</v>
      </c>
      <c r="G7908" t="s">
        <v>615</v>
      </c>
      <c r="H7908" t="s">
        <v>29990</v>
      </c>
      <c r="I7908" t="s">
        <v>30</v>
      </c>
      <c r="J7908" t="s">
        <v>41</v>
      </c>
      <c r="K7908" t="s">
        <v>59</v>
      </c>
      <c r="Q7908">
        <v>0</v>
      </c>
      <c r="R7908">
        <v>0</v>
      </c>
      <c r="S7908">
        <v>0</v>
      </c>
      <c r="T7908" t="s">
        <v>29991</v>
      </c>
    </row>
    <row r="7909" spans="1:20" customFormat="1" ht="15" x14ac:dyDescent="0.25">
      <c r="A7909" t="s">
        <v>35</v>
      </c>
      <c r="B7909" t="s">
        <v>61</v>
      </c>
      <c r="C7909" t="str">
        <f>"A0181463"</f>
        <v>A0181463</v>
      </c>
      <c r="D7909" t="s">
        <v>29992</v>
      </c>
      <c r="E7909" t="s">
        <v>29993</v>
      </c>
      <c r="F7909" t="s">
        <v>10276</v>
      </c>
      <c r="G7909" t="s">
        <v>846</v>
      </c>
      <c r="H7909" t="s">
        <v>29994</v>
      </c>
      <c r="I7909" t="s">
        <v>30</v>
      </c>
      <c r="J7909" t="s">
        <v>41</v>
      </c>
      <c r="K7909" t="s">
        <v>59</v>
      </c>
      <c r="Q7909">
        <v>0</v>
      </c>
      <c r="R7909">
        <v>0</v>
      </c>
      <c r="S7909">
        <v>0</v>
      </c>
      <c r="T7909" t="s">
        <v>29995</v>
      </c>
    </row>
    <row r="7910" spans="1:20" customFormat="1" ht="15" x14ac:dyDescent="0.25">
      <c r="A7910" t="s">
        <v>35</v>
      </c>
      <c r="B7910" t="s">
        <v>61</v>
      </c>
      <c r="C7910" t="str">
        <f>"A0181462"</f>
        <v>A0181462</v>
      </c>
      <c r="D7910" t="s">
        <v>29996</v>
      </c>
      <c r="E7910" t="s">
        <v>29997</v>
      </c>
      <c r="F7910" t="s">
        <v>9255</v>
      </c>
      <c r="G7910" t="s">
        <v>846</v>
      </c>
      <c r="H7910" t="s">
        <v>29998</v>
      </c>
      <c r="I7910" t="s">
        <v>30</v>
      </c>
      <c r="J7910" t="s">
        <v>41</v>
      </c>
      <c r="K7910" t="s">
        <v>59</v>
      </c>
      <c r="Q7910">
        <v>0</v>
      </c>
      <c r="R7910">
        <v>0</v>
      </c>
      <c r="S7910">
        <v>0</v>
      </c>
      <c r="T7910" t="s">
        <v>29999</v>
      </c>
    </row>
    <row r="7911" spans="1:20" customFormat="1" ht="15" x14ac:dyDescent="0.25">
      <c r="A7911" t="s">
        <v>35</v>
      </c>
      <c r="B7911" t="s">
        <v>61</v>
      </c>
      <c r="C7911" t="str">
        <f>"A0181461"</f>
        <v>A0181461</v>
      </c>
      <c r="D7911" t="s">
        <v>30000</v>
      </c>
      <c r="E7911" t="s">
        <v>30001</v>
      </c>
      <c r="F7911" t="s">
        <v>10276</v>
      </c>
      <c r="G7911" t="s">
        <v>846</v>
      </c>
      <c r="H7911" t="s">
        <v>30002</v>
      </c>
      <c r="I7911" t="s">
        <v>30</v>
      </c>
      <c r="J7911" t="s">
        <v>41</v>
      </c>
      <c r="K7911" t="s">
        <v>59</v>
      </c>
      <c r="Q7911">
        <v>0</v>
      </c>
      <c r="R7911">
        <v>0</v>
      </c>
      <c r="S7911">
        <v>0</v>
      </c>
    </row>
    <row r="7912" spans="1:20" customFormat="1" ht="15" x14ac:dyDescent="0.25">
      <c r="A7912" t="s">
        <v>35</v>
      </c>
      <c r="B7912" t="s">
        <v>61</v>
      </c>
      <c r="C7912" t="str">
        <f>"A0181460"</f>
        <v>A0181460</v>
      </c>
      <c r="D7912" t="s">
        <v>30003</v>
      </c>
      <c r="E7912" t="s">
        <v>30004</v>
      </c>
      <c r="F7912" t="s">
        <v>4227</v>
      </c>
      <c r="G7912" t="s">
        <v>846</v>
      </c>
      <c r="H7912">
        <v>30606</v>
      </c>
      <c r="I7912" t="s">
        <v>30</v>
      </c>
      <c r="J7912" t="s">
        <v>41</v>
      </c>
      <c r="K7912" t="s">
        <v>59</v>
      </c>
      <c r="Q7912">
        <v>0</v>
      </c>
      <c r="R7912">
        <v>230</v>
      </c>
      <c r="S7912">
        <v>230</v>
      </c>
      <c r="T7912" t="s">
        <v>30005</v>
      </c>
    </row>
    <row r="7913" spans="1:20" customFormat="1" ht="15" x14ac:dyDescent="0.25">
      <c r="A7913" t="s">
        <v>35</v>
      </c>
      <c r="B7913" t="s">
        <v>61</v>
      </c>
      <c r="C7913" t="str">
        <f>"A0181459"</f>
        <v>A0181459</v>
      </c>
      <c r="D7913" t="s">
        <v>30006</v>
      </c>
      <c r="E7913" t="s">
        <v>30007</v>
      </c>
      <c r="F7913" t="s">
        <v>30008</v>
      </c>
      <c r="G7913" t="s">
        <v>846</v>
      </c>
      <c r="H7913">
        <v>30809</v>
      </c>
      <c r="I7913" t="s">
        <v>30</v>
      </c>
      <c r="J7913" t="s">
        <v>41</v>
      </c>
      <c r="K7913" t="s">
        <v>59</v>
      </c>
      <c r="Q7913">
        <v>0</v>
      </c>
      <c r="R7913">
        <v>0</v>
      </c>
      <c r="S7913">
        <v>0</v>
      </c>
    </row>
    <row r="7914" spans="1:20" customFormat="1" ht="15" x14ac:dyDescent="0.25">
      <c r="A7914" t="s">
        <v>35</v>
      </c>
      <c r="B7914" t="s">
        <v>61</v>
      </c>
      <c r="C7914" t="str">
        <f>"A0181458"</f>
        <v>A0181458</v>
      </c>
      <c r="D7914" t="s">
        <v>30009</v>
      </c>
      <c r="E7914" t="s">
        <v>30010</v>
      </c>
      <c r="F7914" t="s">
        <v>29078</v>
      </c>
      <c r="G7914" t="s">
        <v>338</v>
      </c>
      <c r="H7914" t="s">
        <v>30011</v>
      </c>
      <c r="I7914" t="s">
        <v>30</v>
      </c>
      <c r="J7914" t="s">
        <v>41</v>
      </c>
      <c r="K7914" t="s">
        <v>59</v>
      </c>
      <c r="Q7914">
        <v>0</v>
      </c>
      <c r="R7914">
        <v>54</v>
      </c>
      <c r="S7914">
        <v>54</v>
      </c>
      <c r="T7914" t="s">
        <v>30012</v>
      </c>
    </row>
    <row r="7915" spans="1:20" customFormat="1" ht="15" x14ac:dyDescent="0.25">
      <c r="A7915" t="s">
        <v>35</v>
      </c>
      <c r="B7915" t="s">
        <v>61</v>
      </c>
      <c r="C7915" t="str">
        <f>"A0181457"</f>
        <v>A0181457</v>
      </c>
      <c r="D7915" t="s">
        <v>30013</v>
      </c>
      <c r="E7915" t="s">
        <v>30014</v>
      </c>
      <c r="F7915" t="s">
        <v>30015</v>
      </c>
      <c r="G7915" t="s">
        <v>338</v>
      </c>
      <c r="H7915" t="s">
        <v>30016</v>
      </c>
      <c r="I7915" t="s">
        <v>30</v>
      </c>
      <c r="J7915" t="s">
        <v>41</v>
      </c>
      <c r="K7915" t="s">
        <v>59</v>
      </c>
      <c r="Q7915">
        <v>0</v>
      </c>
      <c r="R7915">
        <v>0</v>
      </c>
      <c r="S7915">
        <v>0</v>
      </c>
    </row>
    <row r="7916" spans="1:20" customFormat="1" ht="15" x14ac:dyDescent="0.25">
      <c r="A7916" t="s">
        <v>35</v>
      </c>
      <c r="B7916" t="s">
        <v>61</v>
      </c>
      <c r="C7916" t="str">
        <f>"A0181456"</f>
        <v>A0181456</v>
      </c>
      <c r="D7916" t="s">
        <v>30017</v>
      </c>
      <c r="E7916" t="s">
        <v>30018</v>
      </c>
      <c r="F7916" t="s">
        <v>29897</v>
      </c>
      <c r="G7916" t="s">
        <v>338</v>
      </c>
      <c r="H7916">
        <v>8826</v>
      </c>
      <c r="I7916" t="s">
        <v>30</v>
      </c>
      <c r="J7916" t="s">
        <v>41</v>
      </c>
      <c r="K7916" t="s">
        <v>59</v>
      </c>
      <c r="Q7916">
        <v>0</v>
      </c>
      <c r="R7916">
        <v>60</v>
      </c>
      <c r="S7916">
        <v>60</v>
      </c>
      <c r="T7916" t="s">
        <v>30019</v>
      </c>
    </row>
    <row r="7917" spans="1:20" customFormat="1" ht="15" x14ac:dyDescent="0.25">
      <c r="A7917" t="s">
        <v>35</v>
      </c>
      <c r="B7917" t="s">
        <v>61</v>
      </c>
      <c r="C7917" t="str">
        <f>"A0181455"</f>
        <v>A0181455</v>
      </c>
      <c r="D7917" t="s">
        <v>30020</v>
      </c>
      <c r="E7917" t="s">
        <v>30021</v>
      </c>
      <c r="F7917" t="s">
        <v>638</v>
      </c>
      <c r="G7917" t="s">
        <v>338</v>
      </c>
      <c r="H7917">
        <v>7860</v>
      </c>
      <c r="I7917" t="s">
        <v>30</v>
      </c>
      <c r="J7917" t="s">
        <v>41</v>
      </c>
      <c r="K7917" t="s">
        <v>59</v>
      </c>
      <c r="Q7917">
        <v>0</v>
      </c>
      <c r="R7917">
        <v>60</v>
      </c>
      <c r="S7917">
        <v>60</v>
      </c>
      <c r="T7917" t="s">
        <v>30022</v>
      </c>
    </row>
    <row r="7918" spans="1:20" customFormat="1" ht="15" x14ac:dyDescent="0.25">
      <c r="A7918" t="s">
        <v>35</v>
      </c>
      <c r="B7918" t="s">
        <v>61</v>
      </c>
      <c r="C7918" t="str">
        <f>"A0181454"</f>
        <v>A0181454</v>
      </c>
      <c r="D7918" t="s">
        <v>30023</v>
      </c>
      <c r="E7918" t="s">
        <v>30024</v>
      </c>
      <c r="F7918" t="s">
        <v>4269</v>
      </c>
      <c r="G7918" t="s">
        <v>615</v>
      </c>
      <c r="H7918" t="s">
        <v>30025</v>
      </c>
      <c r="I7918" t="s">
        <v>30</v>
      </c>
      <c r="J7918" t="s">
        <v>41</v>
      </c>
      <c r="K7918" t="s">
        <v>59</v>
      </c>
      <c r="Q7918">
        <v>0</v>
      </c>
      <c r="R7918">
        <v>0</v>
      </c>
      <c r="S7918">
        <v>0</v>
      </c>
      <c r="T7918" t="s">
        <v>30026</v>
      </c>
    </row>
    <row r="7919" spans="1:20" customFormat="1" ht="15" x14ac:dyDescent="0.25">
      <c r="A7919" t="s">
        <v>35</v>
      </c>
      <c r="B7919" t="s">
        <v>61</v>
      </c>
      <c r="C7919" t="str">
        <f>"A0181453"</f>
        <v>A0181453</v>
      </c>
      <c r="D7919" t="s">
        <v>30027</v>
      </c>
      <c r="E7919" t="s">
        <v>30028</v>
      </c>
      <c r="F7919" t="s">
        <v>10276</v>
      </c>
      <c r="G7919" t="s">
        <v>846</v>
      </c>
      <c r="H7919" t="s">
        <v>30029</v>
      </c>
      <c r="I7919" t="s">
        <v>30</v>
      </c>
      <c r="J7919" t="s">
        <v>41</v>
      </c>
      <c r="K7919" t="s">
        <v>59</v>
      </c>
      <c r="Q7919">
        <v>0</v>
      </c>
      <c r="R7919">
        <v>0</v>
      </c>
      <c r="S7919">
        <v>0</v>
      </c>
      <c r="T7919" t="s">
        <v>30030</v>
      </c>
    </row>
    <row r="7920" spans="1:20" customFormat="1" ht="15" x14ac:dyDescent="0.25">
      <c r="A7920" t="s">
        <v>35</v>
      </c>
      <c r="B7920" t="s">
        <v>61</v>
      </c>
      <c r="C7920" t="str">
        <f>"A0181452"</f>
        <v>A0181452</v>
      </c>
      <c r="D7920" t="s">
        <v>30031</v>
      </c>
      <c r="E7920" t="s">
        <v>30032</v>
      </c>
      <c r="F7920" t="s">
        <v>10276</v>
      </c>
      <c r="G7920" t="s">
        <v>846</v>
      </c>
      <c r="H7920" t="s">
        <v>30002</v>
      </c>
      <c r="I7920" t="s">
        <v>30</v>
      </c>
      <c r="J7920" t="s">
        <v>41</v>
      </c>
      <c r="K7920" t="s">
        <v>59</v>
      </c>
      <c r="Q7920">
        <v>0</v>
      </c>
      <c r="R7920">
        <v>0</v>
      </c>
      <c r="S7920">
        <v>0</v>
      </c>
      <c r="T7920" t="s">
        <v>30033</v>
      </c>
    </row>
    <row r="7921" spans="1:20" customFormat="1" ht="15" x14ac:dyDescent="0.25">
      <c r="A7921" t="s">
        <v>35</v>
      </c>
      <c r="B7921" t="s">
        <v>61</v>
      </c>
      <c r="C7921" t="str">
        <f>"A0181451"</f>
        <v>A0181451</v>
      </c>
      <c r="D7921" t="s">
        <v>30034</v>
      </c>
      <c r="E7921" t="s">
        <v>30035</v>
      </c>
      <c r="F7921" t="s">
        <v>30036</v>
      </c>
      <c r="G7921" t="s">
        <v>846</v>
      </c>
      <c r="H7921" t="s">
        <v>30037</v>
      </c>
      <c r="I7921" t="s">
        <v>30</v>
      </c>
      <c r="J7921" t="s">
        <v>41</v>
      </c>
      <c r="K7921" t="s">
        <v>59</v>
      </c>
      <c r="Q7921">
        <v>0</v>
      </c>
      <c r="R7921">
        <v>0</v>
      </c>
      <c r="S7921">
        <v>0</v>
      </c>
    </row>
    <row r="7922" spans="1:20" customFormat="1" ht="15" x14ac:dyDescent="0.25">
      <c r="A7922" t="s">
        <v>35</v>
      </c>
      <c r="B7922" t="s">
        <v>61</v>
      </c>
      <c r="C7922" t="str">
        <f>"A0181450"</f>
        <v>A0181450</v>
      </c>
      <c r="D7922" t="s">
        <v>30038</v>
      </c>
      <c r="E7922" t="s">
        <v>30039</v>
      </c>
      <c r="F7922" t="s">
        <v>10276</v>
      </c>
      <c r="G7922" t="s">
        <v>846</v>
      </c>
      <c r="H7922" t="s">
        <v>30040</v>
      </c>
      <c r="I7922" t="s">
        <v>30</v>
      </c>
      <c r="J7922" t="s">
        <v>41</v>
      </c>
      <c r="K7922" t="s">
        <v>59</v>
      </c>
      <c r="Q7922">
        <v>0</v>
      </c>
      <c r="R7922">
        <v>0</v>
      </c>
      <c r="S7922">
        <v>0</v>
      </c>
    </row>
    <row r="7923" spans="1:20" customFormat="1" ht="15" x14ac:dyDescent="0.25">
      <c r="A7923" t="s">
        <v>35</v>
      </c>
      <c r="B7923" t="s">
        <v>61</v>
      </c>
      <c r="C7923" t="str">
        <f>"A0181449"</f>
        <v>A0181449</v>
      </c>
      <c r="D7923" t="s">
        <v>30041</v>
      </c>
      <c r="E7923" t="s">
        <v>30042</v>
      </c>
      <c r="F7923" t="s">
        <v>30043</v>
      </c>
      <c r="G7923" t="s">
        <v>615</v>
      </c>
      <c r="H7923" t="s">
        <v>30044</v>
      </c>
      <c r="I7923" t="s">
        <v>30</v>
      </c>
      <c r="J7923" t="s">
        <v>41</v>
      </c>
      <c r="K7923" t="s">
        <v>59</v>
      </c>
      <c r="Q7923">
        <v>0</v>
      </c>
      <c r="R7923">
        <v>100</v>
      </c>
      <c r="S7923">
        <v>100</v>
      </c>
      <c r="T7923" t="s">
        <v>30045</v>
      </c>
    </row>
    <row r="7924" spans="1:20" customFormat="1" ht="15" x14ac:dyDescent="0.25">
      <c r="A7924" t="s">
        <v>35</v>
      </c>
      <c r="B7924" t="s">
        <v>61</v>
      </c>
      <c r="C7924" t="str">
        <f>"A0181448"</f>
        <v>A0181448</v>
      </c>
      <c r="D7924" t="s">
        <v>30046</v>
      </c>
      <c r="E7924" t="s">
        <v>30047</v>
      </c>
      <c r="F7924" t="s">
        <v>29747</v>
      </c>
      <c r="G7924" t="s">
        <v>615</v>
      </c>
      <c r="H7924" t="s">
        <v>30048</v>
      </c>
      <c r="I7924" t="s">
        <v>30</v>
      </c>
      <c r="J7924" t="s">
        <v>41</v>
      </c>
      <c r="K7924" t="s">
        <v>59</v>
      </c>
      <c r="Q7924">
        <v>0</v>
      </c>
      <c r="R7924">
        <v>0</v>
      </c>
      <c r="S7924">
        <v>0</v>
      </c>
      <c r="T7924" t="s">
        <v>30049</v>
      </c>
    </row>
    <row r="7925" spans="1:20" customFormat="1" ht="15" x14ac:dyDescent="0.25">
      <c r="A7925" t="s">
        <v>35</v>
      </c>
      <c r="B7925" t="s">
        <v>61</v>
      </c>
      <c r="C7925" t="str">
        <f>"A0181447"</f>
        <v>A0181447</v>
      </c>
      <c r="D7925" t="s">
        <v>30050</v>
      </c>
      <c r="E7925" t="s">
        <v>30051</v>
      </c>
      <c r="F7925" t="s">
        <v>7801</v>
      </c>
      <c r="G7925" t="s">
        <v>846</v>
      </c>
      <c r="H7925" t="s">
        <v>30052</v>
      </c>
      <c r="I7925" t="s">
        <v>30</v>
      </c>
      <c r="J7925" t="s">
        <v>41</v>
      </c>
      <c r="K7925" t="s">
        <v>59</v>
      </c>
      <c r="Q7925">
        <v>0</v>
      </c>
      <c r="R7925">
        <v>0</v>
      </c>
      <c r="S7925">
        <v>0</v>
      </c>
    </row>
    <row r="7926" spans="1:20" customFormat="1" ht="15" x14ac:dyDescent="0.25">
      <c r="A7926" t="s">
        <v>35</v>
      </c>
      <c r="B7926" t="s">
        <v>61</v>
      </c>
      <c r="C7926" t="str">
        <f>"A0181446"</f>
        <v>A0181446</v>
      </c>
      <c r="D7926" t="s">
        <v>30053</v>
      </c>
      <c r="E7926" t="s">
        <v>30054</v>
      </c>
      <c r="F7926" t="s">
        <v>17801</v>
      </c>
      <c r="G7926" t="s">
        <v>846</v>
      </c>
      <c r="H7926">
        <v>30901</v>
      </c>
      <c r="I7926" t="s">
        <v>30</v>
      </c>
      <c r="J7926" t="s">
        <v>41</v>
      </c>
      <c r="K7926" t="s">
        <v>59</v>
      </c>
      <c r="Q7926">
        <v>0</v>
      </c>
      <c r="R7926">
        <v>15</v>
      </c>
      <c r="S7926">
        <v>15</v>
      </c>
      <c r="T7926" t="s">
        <v>30055</v>
      </c>
    </row>
    <row r="7927" spans="1:20" customFormat="1" ht="15" x14ac:dyDescent="0.25">
      <c r="A7927" t="s">
        <v>35</v>
      </c>
      <c r="B7927" t="s">
        <v>61</v>
      </c>
      <c r="C7927" t="str">
        <f>"A0181445"</f>
        <v>A0181445</v>
      </c>
      <c r="D7927" t="s">
        <v>30056</v>
      </c>
      <c r="E7927" t="s">
        <v>30028</v>
      </c>
      <c r="F7927" t="s">
        <v>10276</v>
      </c>
      <c r="G7927" t="s">
        <v>846</v>
      </c>
      <c r="H7927" t="s">
        <v>30029</v>
      </c>
      <c r="I7927" t="s">
        <v>30</v>
      </c>
      <c r="J7927" t="s">
        <v>41</v>
      </c>
      <c r="K7927" t="s">
        <v>59</v>
      </c>
      <c r="Q7927">
        <v>0</v>
      </c>
      <c r="R7927">
        <v>0</v>
      </c>
      <c r="S7927">
        <v>0</v>
      </c>
    </row>
    <row r="7928" spans="1:20" customFormat="1" ht="15" x14ac:dyDescent="0.25">
      <c r="A7928" t="s">
        <v>35</v>
      </c>
      <c r="B7928" t="s">
        <v>61</v>
      </c>
      <c r="C7928" t="str">
        <f>"A0181444"</f>
        <v>A0181444</v>
      </c>
      <c r="D7928" t="s">
        <v>30057</v>
      </c>
      <c r="E7928" t="s">
        <v>30058</v>
      </c>
      <c r="F7928" t="s">
        <v>30059</v>
      </c>
      <c r="G7928" t="s">
        <v>846</v>
      </c>
      <c r="H7928" t="s">
        <v>30060</v>
      </c>
      <c r="I7928" t="s">
        <v>30</v>
      </c>
      <c r="J7928" t="s">
        <v>41</v>
      </c>
      <c r="K7928" t="s">
        <v>59</v>
      </c>
      <c r="Q7928">
        <v>0</v>
      </c>
      <c r="R7928">
        <v>0</v>
      </c>
      <c r="S7928">
        <v>0</v>
      </c>
    </row>
    <row r="7929" spans="1:20" customFormat="1" ht="15" x14ac:dyDescent="0.25">
      <c r="A7929" t="s">
        <v>35</v>
      </c>
      <c r="B7929" t="s">
        <v>61</v>
      </c>
      <c r="C7929" t="str">
        <f>"A0181443"</f>
        <v>A0181443</v>
      </c>
      <c r="D7929" t="s">
        <v>30061</v>
      </c>
      <c r="E7929" t="s">
        <v>30062</v>
      </c>
      <c r="F7929" t="s">
        <v>10276</v>
      </c>
      <c r="G7929" t="s">
        <v>846</v>
      </c>
      <c r="H7929" t="s">
        <v>30063</v>
      </c>
      <c r="I7929" t="s">
        <v>30</v>
      </c>
      <c r="J7929" t="s">
        <v>41</v>
      </c>
      <c r="K7929" t="s">
        <v>59</v>
      </c>
      <c r="Q7929">
        <v>0</v>
      </c>
      <c r="R7929">
        <v>36</v>
      </c>
      <c r="S7929">
        <v>36</v>
      </c>
      <c r="T7929" t="s">
        <v>30064</v>
      </c>
    </row>
    <row r="7930" spans="1:20" customFormat="1" ht="15" x14ac:dyDescent="0.25">
      <c r="A7930" t="s">
        <v>35</v>
      </c>
      <c r="B7930" t="s">
        <v>30065</v>
      </c>
      <c r="C7930" t="str">
        <f>"A0181442"</f>
        <v>A0181442</v>
      </c>
      <c r="D7930" t="s">
        <v>30066</v>
      </c>
      <c r="E7930" t="s">
        <v>30067</v>
      </c>
      <c r="F7930" t="s">
        <v>510</v>
      </c>
      <c r="G7930" t="s">
        <v>289</v>
      </c>
      <c r="H7930">
        <v>61920</v>
      </c>
      <c r="I7930" t="s">
        <v>30</v>
      </c>
      <c r="J7930" t="s">
        <v>41</v>
      </c>
      <c r="K7930" t="s">
        <v>59</v>
      </c>
      <c r="Q7930">
        <v>0</v>
      </c>
      <c r="R7930">
        <v>50</v>
      </c>
      <c r="S7930">
        <v>50</v>
      </c>
      <c r="T7930" t="s">
        <v>30068</v>
      </c>
    </row>
    <row r="7931" spans="1:20" customFormat="1" ht="15" x14ac:dyDescent="0.25">
      <c r="A7931" t="s">
        <v>35</v>
      </c>
      <c r="B7931" t="s">
        <v>61</v>
      </c>
      <c r="C7931" t="str">
        <f>"A0181441"</f>
        <v>A0181441</v>
      </c>
      <c r="D7931" t="s">
        <v>30069</v>
      </c>
      <c r="E7931" t="s">
        <v>30070</v>
      </c>
      <c r="F7931" t="s">
        <v>10276</v>
      </c>
      <c r="G7931" t="s">
        <v>846</v>
      </c>
      <c r="H7931" t="s">
        <v>30071</v>
      </c>
      <c r="I7931" t="s">
        <v>30</v>
      </c>
      <c r="J7931" t="s">
        <v>41</v>
      </c>
      <c r="K7931" t="s">
        <v>59</v>
      </c>
      <c r="Q7931">
        <v>0</v>
      </c>
      <c r="R7931">
        <v>22</v>
      </c>
      <c r="S7931">
        <v>22</v>
      </c>
      <c r="T7931" t="s">
        <v>30072</v>
      </c>
    </row>
    <row r="7932" spans="1:20" customFormat="1" ht="15" x14ac:dyDescent="0.25">
      <c r="A7932" t="s">
        <v>35</v>
      </c>
      <c r="B7932" t="s">
        <v>30073</v>
      </c>
      <c r="C7932" t="str">
        <f>"A0181440"</f>
        <v>A0181440</v>
      </c>
      <c r="D7932" t="s">
        <v>30074</v>
      </c>
      <c r="E7932" t="s">
        <v>30075</v>
      </c>
      <c r="F7932" t="s">
        <v>30076</v>
      </c>
      <c r="G7932" t="s">
        <v>117</v>
      </c>
      <c r="H7932">
        <v>48658</v>
      </c>
      <c r="I7932" t="s">
        <v>30</v>
      </c>
      <c r="J7932" t="s">
        <v>41</v>
      </c>
      <c r="K7932" t="s">
        <v>59</v>
      </c>
      <c r="Q7932">
        <v>0</v>
      </c>
      <c r="R7932">
        <v>50</v>
      </c>
      <c r="S7932">
        <v>50</v>
      </c>
      <c r="T7932" t="s">
        <v>30077</v>
      </c>
    </row>
    <row r="7933" spans="1:20" customFormat="1" ht="15" x14ac:dyDescent="0.25">
      <c r="A7933" t="s">
        <v>35</v>
      </c>
      <c r="B7933" t="s">
        <v>30073</v>
      </c>
      <c r="C7933" t="str">
        <f>"A0181439"</f>
        <v>A0181439</v>
      </c>
      <c r="D7933" t="s">
        <v>30078</v>
      </c>
      <c r="E7933" t="s">
        <v>30079</v>
      </c>
      <c r="F7933" t="s">
        <v>8381</v>
      </c>
      <c r="G7933" t="s">
        <v>117</v>
      </c>
      <c r="H7933">
        <v>48617</v>
      </c>
      <c r="I7933" t="s">
        <v>30</v>
      </c>
      <c r="J7933" t="s">
        <v>41</v>
      </c>
      <c r="K7933" t="s">
        <v>59</v>
      </c>
      <c r="Q7933">
        <v>0</v>
      </c>
      <c r="R7933">
        <v>50</v>
      </c>
      <c r="S7933">
        <v>50</v>
      </c>
      <c r="T7933" t="s">
        <v>30080</v>
      </c>
    </row>
    <row r="7934" spans="1:20" customFormat="1" ht="15" x14ac:dyDescent="0.25">
      <c r="A7934" t="s">
        <v>35</v>
      </c>
      <c r="B7934" t="s">
        <v>61</v>
      </c>
      <c r="C7934" t="str">
        <f>"A0181438"</f>
        <v>A0181438</v>
      </c>
      <c r="D7934" t="s">
        <v>30081</v>
      </c>
      <c r="E7934" t="s">
        <v>29776</v>
      </c>
      <c r="F7934" t="s">
        <v>9151</v>
      </c>
      <c r="G7934" t="s">
        <v>615</v>
      </c>
      <c r="H7934" t="s">
        <v>29777</v>
      </c>
      <c r="I7934" t="s">
        <v>30</v>
      </c>
      <c r="J7934" t="s">
        <v>41</v>
      </c>
      <c r="K7934" t="s">
        <v>59</v>
      </c>
      <c r="Q7934">
        <v>0</v>
      </c>
      <c r="R7934">
        <v>300</v>
      </c>
      <c r="S7934">
        <v>300</v>
      </c>
      <c r="T7934" t="s">
        <v>30082</v>
      </c>
    </row>
    <row r="7935" spans="1:20" customFormat="1" ht="15" x14ac:dyDescent="0.25">
      <c r="A7935" t="s">
        <v>35</v>
      </c>
      <c r="B7935" t="s">
        <v>61</v>
      </c>
      <c r="C7935" t="str">
        <f>"A0181437"</f>
        <v>A0181437</v>
      </c>
      <c r="D7935" t="s">
        <v>30083</v>
      </c>
      <c r="E7935" t="s">
        <v>30084</v>
      </c>
      <c r="F7935" t="s">
        <v>29659</v>
      </c>
      <c r="G7935" t="s">
        <v>615</v>
      </c>
      <c r="H7935">
        <v>6492</v>
      </c>
      <c r="I7935" t="s">
        <v>30</v>
      </c>
      <c r="J7935" t="s">
        <v>41</v>
      </c>
      <c r="K7935" t="s">
        <v>59</v>
      </c>
      <c r="Q7935">
        <v>0</v>
      </c>
      <c r="R7935">
        <v>0</v>
      </c>
      <c r="S7935">
        <v>0</v>
      </c>
    </row>
    <row r="7936" spans="1:20" customFormat="1" ht="15" x14ac:dyDescent="0.25">
      <c r="A7936" t="s">
        <v>35</v>
      </c>
      <c r="B7936" t="s">
        <v>61</v>
      </c>
      <c r="C7936" t="str">
        <f>"A0181436"</f>
        <v>A0181436</v>
      </c>
      <c r="D7936" t="s">
        <v>30085</v>
      </c>
      <c r="E7936" t="s">
        <v>30086</v>
      </c>
      <c r="F7936" t="s">
        <v>30087</v>
      </c>
      <c r="G7936" t="s">
        <v>615</v>
      </c>
      <c r="H7936" t="s">
        <v>30088</v>
      </c>
      <c r="I7936" t="s">
        <v>30</v>
      </c>
      <c r="J7936" t="s">
        <v>41</v>
      </c>
      <c r="K7936" t="s">
        <v>59</v>
      </c>
      <c r="Q7936">
        <v>0</v>
      </c>
      <c r="R7936">
        <v>0</v>
      </c>
      <c r="S7936">
        <v>0</v>
      </c>
      <c r="T7936" t="s">
        <v>30089</v>
      </c>
    </row>
    <row r="7937" spans="1:20" customFormat="1" ht="15" x14ac:dyDescent="0.25">
      <c r="A7937" t="s">
        <v>35</v>
      </c>
      <c r="B7937" t="s">
        <v>11871</v>
      </c>
      <c r="C7937" t="str">
        <f>"A0181435"</f>
        <v>A0181435</v>
      </c>
      <c r="D7937" t="s">
        <v>30090</v>
      </c>
      <c r="E7937" t="s">
        <v>30091</v>
      </c>
      <c r="F7937" t="s">
        <v>4116</v>
      </c>
      <c r="G7937" t="s">
        <v>615</v>
      </c>
      <c r="H7937" t="s">
        <v>30092</v>
      </c>
      <c r="I7937" t="s">
        <v>30</v>
      </c>
      <c r="J7937" t="s">
        <v>41</v>
      </c>
      <c r="K7937" t="s">
        <v>59</v>
      </c>
      <c r="Q7937">
        <v>0</v>
      </c>
      <c r="R7937">
        <v>0</v>
      </c>
      <c r="S7937">
        <v>0</v>
      </c>
      <c r="T7937" t="s">
        <v>30093</v>
      </c>
    </row>
    <row r="7938" spans="1:20" customFormat="1" ht="15" x14ac:dyDescent="0.25">
      <c r="A7938" t="s">
        <v>35</v>
      </c>
      <c r="B7938" t="s">
        <v>61</v>
      </c>
      <c r="C7938" t="str">
        <f>"A0181434"</f>
        <v>A0181434</v>
      </c>
      <c r="D7938" t="s">
        <v>30094</v>
      </c>
      <c r="E7938" t="s">
        <v>29423</v>
      </c>
      <c r="F7938" t="s">
        <v>29384</v>
      </c>
      <c r="G7938" t="s">
        <v>615</v>
      </c>
      <c r="H7938" t="s">
        <v>29424</v>
      </c>
      <c r="I7938" t="s">
        <v>30</v>
      </c>
      <c r="J7938" t="s">
        <v>41</v>
      </c>
      <c r="K7938" t="s">
        <v>59</v>
      </c>
      <c r="Q7938">
        <v>0</v>
      </c>
      <c r="R7938">
        <v>0</v>
      </c>
      <c r="S7938">
        <v>0</v>
      </c>
      <c r="T7938" t="s">
        <v>30095</v>
      </c>
    </row>
    <row r="7939" spans="1:20" customFormat="1" ht="15" x14ac:dyDescent="0.25">
      <c r="A7939" t="s">
        <v>35</v>
      </c>
      <c r="B7939" t="s">
        <v>61</v>
      </c>
      <c r="C7939" t="str">
        <f>"A0181433"</f>
        <v>A0181433</v>
      </c>
      <c r="D7939" t="s">
        <v>30096</v>
      </c>
      <c r="E7939" t="s">
        <v>30097</v>
      </c>
      <c r="F7939" t="s">
        <v>29785</v>
      </c>
      <c r="G7939" t="s">
        <v>615</v>
      </c>
      <c r="H7939" t="s">
        <v>30098</v>
      </c>
      <c r="I7939" t="s">
        <v>30</v>
      </c>
      <c r="J7939" t="s">
        <v>41</v>
      </c>
      <c r="K7939" t="s">
        <v>59</v>
      </c>
      <c r="Q7939">
        <v>0</v>
      </c>
      <c r="R7939">
        <v>104</v>
      </c>
      <c r="S7939">
        <v>104</v>
      </c>
      <c r="T7939" t="s">
        <v>30099</v>
      </c>
    </row>
    <row r="7940" spans="1:20" customFormat="1" ht="15" x14ac:dyDescent="0.25">
      <c r="A7940" t="s">
        <v>35</v>
      </c>
      <c r="B7940" t="s">
        <v>61</v>
      </c>
      <c r="C7940" t="str">
        <f>"A0181432"</f>
        <v>A0181432</v>
      </c>
      <c r="D7940" t="s">
        <v>30100</v>
      </c>
      <c r="E7940" t="s">
        <v>30101</v>
      </c>
      <c r="F7940" t="s">
        <v>30102</v>
      </c>
      <c r="G7940" t="s">
        <v>338</v>
      </c>
      <c r="H7940" t="s">
        <v>30103</v>
      </c>
      <c r="I7940" t="s">
        <v>30</v>
      </c>
      <c r="J7940" t="s">
        <v>41</v>
      </c>
      <c r="K7940" t="s">
        <v>59</v>
      </c>
      <c r="Q7940">
        <v>0</v>
      </c>
      <c r="R7940">
        <v>180</v>
      </c>
      <c r="S7940">
        <v>180</v>
      </c>
      <c r="T7940" t="s">
        <v>30104</v>
      </c>
    </row>
    <row r="7941" spans="1:20" customFormat="1" ht="15" x14ac:dyDescent="0.25">
      <c r="A7941" t="s">
        <v>35</v>
      </c>
      <c r="B7941" t="s">
        <v>61</v>
      </c>
      <c r="C7941" t="str">
        <f>"A0181431"</f>
        <v>A0181431</v>
      </c>
      <c r="D7941" t="s">
        <v>30105</v>
      </c>
      <c r="E7941" t="s">
        <v>30106</v>
      </c>
      <c r="F7941" t="s">
        <v>608</v>
      </c>
      <c r="G7941" t="s">
        <v>338</v>
      </c>
      <c r="H7941">
        <v>7756</v>
      </c>
      <c r="I7941" t="s">
        <v>30</v>
      </c>
      <c r="J7941" t="s">
        <v>41</v>
      </c>
      <c r="K7941" t="s">
        <v>59</v>
      </c>
      <c r="Q7941">
        <v>0</v>
      </c>
      <c r="R7941">
        <v>0</v>
      </c>
      <c r="S7941">
        <v>0</v>
      </c>
      <c r="T7941" t="s">
        <v>30107</v>
      </c>
    </row>
    <row r="7942" spans="1:20" customFormat="1" ht="15" x14ac:dyDescent="0.25">
      <c r="A7942" t="s">
        <v>35</v>
      </c>
      <c r="B7942" t="s">
        <v>61</v>
      </c>
      <c r="C7942" t="str">
        <f>"A0181430"</f>
        <v>A0181430</v>
      </c>
      <c r="D7942" t="s">
        <v>30108</v>
      </c>
      <c r="E7942" t="s">
        <v>30084</v>
      </c>
      <c r="F7942" t="s">
        <v>29659</v>
      </c>
      <c r="G7942" t="s">
        <v>615</v>
      </c>
      <c r="H7942">
        <v>6492</v>
      </c>
      <c r="I7942" t="s">
        <v>30</v>
      </c>
      <c r="J7942" t="s">
        <v>41</v>
      </c>
      <c r="K7942" t="s">
        <v>59</v>
      </c>
      <c r="Q7942">
        <v>0</v>
      </c>
      <c r="R7942">
        <v>0</v>
      </c>
      <c r="S7942">
        <v>0</v>
      </c>
      <c r="T7942" t="s">
        <v>30109</v>
      </c>
    </row>
    <row r="7943" spans="1:20" customFormat="1" ht="15" x14ac:dyDescent="0.25">
      <c r="A7943" t="s">
        <v>35</v>
      </c>
      <c r="B7943" t="s">
        <v>61</v>
      </c>
      <c r="C7943" t="str">
        <f>"A0181429"</f>
        <v>A0181429</v>
      </c>
      <c r="D7943" t="s">
        <v>30110</v>
      </c>
      <c r="E7943" t="s">
        <v>30111</v>
      </c>
      <c r="F7943" t="s">
        <v>3180</v>
      </c>
      <c r="G7943" t="s">
        <v>846</v>
      </c>
      <c r="H7943" t="s">
        <v>30002</v>
      </c>
      <c r="I7943" t="s">
        <v>30</v>
      </c>
      <c r="J7943" t="s">
        <v>41</v>
      </c>
      <c r="K7943" t="s">
        <v>59</v>
      </c>
      <c r="Q7943">
        <v>0</v>
      </c>
      <c r="R7943">
        <v>0</v>
      </c>
      <c r="S7943">
        <v>0</v>
      </c>
    </row>
    <row r="7944" spans="1:20" customFormat="1" ht="15" x14ac:dyDescent="0.25">
      <c r="A7944" t="s">
        <v>35</v>
      </c>
      <c r="B7944" t="s">
        <v>61</v>
      </c>
      <c r="C7944" t="str">
        <f>"A0181428"</f>
        <v>A0181428</v>
      </c>
      <c r="D7944" t="s">
        <v>30112</v>
      </c>
      <c r="E7944" t="s">
        <v>30113</v>
      </c>
      <c r="F7944" t="s">
        <v>1391</v>
      </c>
      <c r="G7944" t="s">
        <v>846</v>
      </c>
      <c r="H7944" t="s">
        <v>30114</v>
      </c>
      <c r="I7944" t="s">
        <v>30</v>
      </c>
      <c r="J7944" t="s">
        <v>41</v>
      </c>
      <c r="K7944" t="s">
        <v>59</v>
      </c>
      <c r="Q7944">
        <v>0</v>
      </c>
      <c r="R7944">
        <v>0</v>
      </c>
      <c r="S7944">
        <v>0</v>
      </c>
    </row>
    <row r="7945" spans="1:20" customFormat="1" ht="15" x14ac:dyDescent="0.25">
      <c r="A7945" t="s">
        <v>35</v>
      </c>
      <c r="B7945" t="s">
        <v>61</v>
      </c>
      <c r="C7945" t="str">
        <f>"A0181427"</f>
        <v>A0181427</v>
      </c>
      <c r="D7945" t="s">
        <v>30115</v>
      </c>
      <c r="E7945" t="s">
        <v>30116</v>
      </c>
      <c r="F7945" t="s">
        <v>30117</v>
      </c>
      <c r="G7945" t="s">
        <v>338</v>
      </c>
      <c r="H7945">
        <v>8402</v>
      </c>
      <c r="I7945" t="s">
        <v>30</v>
      </c>
      <c r="J7945" t="s">
        <v>41</v>
      </c>
      <c r="K7945" t="s">
        <v>59</v>
      </c>
      <c r="Q7945">
        <v>0</v>
      </c>
      <c r="R7945">
        <v>121</v>
      </c>
      <c r="S7945">
        <v>121</v>
      </c>
      <c r="T7945" t="s">
        <v>30118</v>
      </c>
    </row>
    <row r="7946" spans="1:20" customFormat="1" ht="15" x14ac:dyDescent="0.25">
      <c r="A7946" t="s">
        <v>35</v>
      </c>
      <c r="B7946" t="s">
        <v>61</v>
      </c>
      <c r="C7946" t="str">
        <f>"A0181426"</f>
        <v>A0181426</v>
      </c>
      <c r="D7946" t="s">
        <v>30119</v>
      </c>
      <c r="E7946" t="s">
        <v>30120</v>
      </c>
      <c r="F7946" t="s">
        <v>554</v>
      </c>
      <c r="G7946" t="s">
        <v>338</v>
      </c>
      <c r="H7946" t="s">
        <v>30121</v>
      </c>
      <c r="I7946" t="s">
        <v>30</v>
      </c>
      <c r="J7946" t="s">
        <v>41</v>
      </c>
      <c r="K7946" t="s">
        <v>59</v>
      </c>
      <c r="Q7946">
        <v>0</v>
      </c>
      <c r="R7946">
        <v>162</v>
      </c>
      <c r="S7946">
        <v>162</v>
      </c>
      <c r="T7946" t="s">
        <v>30122</v>
      </c>
    </row>
    <row r="7947" spans="1:20" customFormat="1" ht="15" x14ac:dyDescent="0.25">
      <c r="A7947" t="s">
        <v>35</v>
      </c>
      <c r="B7947" t="s">
        <v>61</v>
      </c>
      <c r="C7947" t="str">
        <f>"A0181425"</f>
        <v>A0181425</v>
      </c>
      <c r="D7947" t="s">
        <v>30123</v>
      </c>
      <c r="E7947" t="s">
        <v>30124</v>
      </c>
      <c r="F7947" t="s">
        <v>592</v>
      </c>
      <c r="G7947" t="s">
        <v>338</v>
      </c>
      <c r="H7947" t="s">
        <v>30125</v>
      </c>
      <c r="I7947" t="s">
        <v>30</v>
      </c>
      <c r="J7947" t="s">
        <v>41</v>
      </c>
      <c r="K7947" t="s">
        <v>59</v>
      </c>
      <c r="Q7947">
        <v>0</v>
      </c>
      <c r="R7947">
        <v>0</v>
      </c>
      <c r="S7947">
        <v>0</v>
      </c>
      <c r="T7947" t="s">
        <v>30126</v>
      </c>
    </row>
    <row r="7948" spans="1:20" customFormat="1" ht="15" x14ac:dyDescent="0.25">
      <c r="A7948" t="s">
        <v>35</v>
      </c>
      <c r="B7948" t="s">
        <v>61</v>
      </c>
      <c r="C7948" t="str">
        <f>"A0181424"</f>
        <v>A0181424</v>
      </c>
      <c r="D7948" t="s">
        <v>30127</v>
      </c>
      <c r="E7948" t="s">
        <v>30128</v>
      </c>
      <c r="F7948" t="s">
        <v>647</v>
      </c>
      <c r="G7948" t="s">
        <v>338</v>
      </c>
      <c r="H7948" t="s">
        <v>30129</v>
      </c>
      <c r="I7948" t="s">
        <v>30</v>
      </c>
      <c r="J7948" t="s">
        <v>41</v>
      </c>
      <c r="K7948" t="s">
        <v>59</v>
      </c>
      <c r="Q7948">
        <v>0</v>
      </c>
      <c r="R7948">
        <v>67</v>
      </c>
      <c r="S7948">
        <v>67</v>
      </c>
      <c r="T7948" t="s">
        <v>30130</v>
      </c>
    </row>
    <row r="7949" spans="1:20" customFormat="1" ht="15" x14ac:dyDescent="0.25">
      <c r="A7949" t="s">
        <v>35</v>
      </c>
      <c r="B7949" t="s">
        <v>61</v>
      </c>
      <c r="C7949" t="str">
        <f>"A0181423"</f>
        <v>A0181423</v>
      </c>
      <c r="D7949" t="s">
        <v>30131</v>
      </c>
      <c r="E7949" t="s">
        <v>30132</v>
      </c>
      <c r="F7949" t="s">
        <v>30133</v>
      </c>
      <c r="G7949" t="s">
        <v>615</v>
      </c>
      <c r="H7949" t="s">
        <v>30134</v>
      </c>
      <c r="I7949" t="s">
        <v>30</v>
      </c>
      <c r="J7949" t="s">
        <v>41</v>
      </c>
      <c r="K7949" t="s">
        <v>59</v>
      </c>
      <c r="Q7949">
        <v>0</v>
      </c>
      <c r="R7949">
        <v>0</v>
      </c>
      <c r="S7949">
        <v>0</v>
      </c>
      <c r="T7949" t="s">
        <v>30135</v>
      </c>
    </row>
    <row r="7950" spans="1:20" customFormat="1" ht="15" x14ac:dyDescent="0.25">
      <c r="A7950" t="s">
        <v>35</v>
      </c>
      <c r="B7950" t="s">
        <v>61</v>
      </c>
      <c r="C7950" t="str">
        <f>"A0181422"</f>
        <v>A0181422</v>
      </c>
      <c r="D7950" t="s">
        <v>30136</v>
      </c>
      <c r="E7950" t="s">
        <v>30137</v>
      </c>
      <c r="F7950" t="s">
        <v>30138</v>
      </c>
      <c r="G7950" t="s">
        <v>615</v>
      </c>
      <c r="H7950" t="s">
        <v>30139</v>
      </c>
      <c r="I7950" t="s">
        <v>30</v>
      </c>
      <c r="J7950" t="s">
        <v>41</v>
      </c>
      <c r="K7950" t="s">
        <v>59</v>
      </c>
      <c r="Q7950">
        <v>0</v>
      </c>
      <c r="R7950">
        <v>0</v>
      </c>
      <c r="S7950">
        <v>0</v>
      </c>
      <c r="T7950" t="s">
        <v>30140</v>
      </c>
    </row>
    <row r="7951" spans="1:20" customFormat="1" ht="15" x14ac:dyDescent="0.25">
      <c r="A7951" t="s">
        <v>35</v>
      </c>
      <c r="B7951" t="s">
        <v>61</v>
      </c>
      <c r="C7951" t="str">
        <f>"A0181421"</f>
        <v>A0181421</v>
      </c>
      <c r="D7951" t="s">
        <v>30141</v>
      </c>
      <c r="E7951" t="s">
        <v>30142</v>
      </c>
      <c r="F7951" t="s">
        <v>30143</v>
      </c>
      <c r="G7951" t="s">
        <v>615</v>
      </c>
      <c r="H7951" t="s">
        <v>30144</v>
      </c>
      <c r="I7951" t="s">
        <v>30</v>
      </c>
      <c r="J7951" t="s">
        <v>41</v>
      </c>
      <c r="K7951" t="s">
        <v>59</v>
      </c>
      <c r="Q7951">
        <v>0</v>
      </c>
      <c r="R7951">
        <v>0</v>
      </c>
      <c r="S7951">
        <v>0</v>
      </c>
      <c r="T7951" t="s">
        <v>30145</v>
      </c>
    </row>
    <row r="7952" spans="1:20" customFormat="1" ht="15" x14ac:dyDescent="0.25">
      <c r="A7952" t="s">
        <v>35</v>
      </c>
      <c r="B7952" t="s">
        <v>61</v>
      </c>
      <c r="C7952" t="str">
        <f>"A0181420"</f>
        <v>A0181420</v>
      </c>
      <c r="D7952" t="s">
        <v>30146</v>
      </c>
      <c r="E7952" t="s">
        <v>30147</v>
      </c>
      <c r="F7952" t="s">
        <v>19594</v>
      </c>
      <c r="G7952" t="s">
        <v>846</v>
      </c>
      <c r="H7952">
        <v>31204</v>
      </c>
      <c r="I7952" t="s">
        <v>30</v>
      </c>
      <c r="J7952" t="s">
        <v>41</v>
      </c>
      <c r="K7952" t="s">
        <v>59</v>
      </c>
      <c r="Q7952">
        <v>0</v>
      </c>
      <c r="R7952">
        <v>0</v>
      </c>
      <c r="S7952">
        <v>0</v>
      </c>
      <c r="T7952" t="s">
        <v>30148</v>
      </c>
    </row>
    <row r="7953" spans="1:20" customFormat="1" ht="15" x14ac:dyDescent="0.25">
      <c r="A7953" t="s">
        <v>35</v>
      </c>
      <c r="B7953" t="s">
        <v>61</v>
      </c>
      <c r="C7953" t="str">
        <f>"A0181419"</f>
        <v>A0181419</v>
      </c>
      <c r="D7953" t="s">
        <v>30149</v>
      </c>
      <c r="E7953" t="s">
        <v>30150</v>
      </c>
      <c r="F7953" t="s">
        <v>7801</v>
      </c>
      <c r="G7953" t="s">
        <v>846</v>
      </c>
      <c r="H7953" t="s">
        <v>30151</v>
      </c>
      <c r="I7953" t="s">
        <v>30</v>
      </c>
      <c r="J7953" t="s">
        <v>41</v>
      </c>
      <c r="K7953" t="s">
        <v>59</v>
      </c>
      <c r="Q7953">
        <v>0</v>
      </c>
      <c r="R7953">
        <v>0</v>
      </c>
      <c r="S7953">
        <v>0</v>
      </c>
      <c r="T7953" t="s">
        <v>30152</v>
      </c>
    </row>
    <row r="7954" spans="1:20" customFormat="1" ht="15" x14ac:dyDescent="0.25">
      <c r="A7954" t="s">
        <v>35</v>
      </c>
      <c r="B7954" t="s">
        <v>61</v>
      </c>
      <c r="C7954" t="str">
        <f>"A0181418"</f>
        <v>A0181418</v>
      </c>
      <c r="D7954" t="s">
        <v>30153</v>
      </c>
      <c r="E7954" t="s">
        <v>30154</v>
      </c>
      <c r="F7954" t="s">
        <v>10291</v>
      </c>
      <c r="G7954" t="s">
        <v>846</v>
      </c>
      <c r="H7954" t="s">
        <v>30155</v>
      </c>
      <c r="I7954" t="s">
        <v>30</v>
      </c>
      <c r="J7954" t="s">
        <v>41</v>
      </c>
      <c r="K7954" t="s">
        <v>59</v>
      </c>
      <c r="Q7954">
        <v>0</v>
      </c>
      <c r="R7954">
        <v>100</v>
      </c>
      <c r="S7954">
        <v>100</v>
      </c>
      <c r="T7954" t="s">
        <v>30156</v>
      </c>
    </row>
    <row r="7955" spans="1:20" customFormat="1" ht="15" x14ac:dyDescent="0.25">
      <c r="A7955" t="s">
        <v>35</v>
      </c>
      <c r="B7955" t="s">
        <v>61</v>
      </c>
      <c r="C7955" t="str">
        <f>"A0181417"</f>
        <v>A0181417</v>
      </c>
      <c r="D7955" t="s">
        <v>30157</v>
      </c>
      <c r="E7955" t="s">
        <v>30158</v>
      </c>
      <c r="F7955" t="s">
        <v>10276</v>
      </c>
      <c r="G7955" t="s">
        <v>846</v>
      </c>
      <c r="H7955" t="s">
        <v>30159</v>
      </c>
      <c r="I7955" t="s">
        <v>30</v>
      </c>
      <c r="J7955" t="s">
        <v>41</v>
      </c>
      <c r="K7955" t="s">
        <v>59</v>
      </c>
      <c r="Q7955">
        <v>0</v>
      </c>
      <c r="R7955">
        <v>0</v>
      </c>
      <c r="S7955">
        <v>0</v>
      </c>
      <c r="T7955" t="s">
        <v>30160</v>
      </c>
    </row>
    <row r="7956" spans="1:20" customFormat="1" ht="15" x14ac:dyDescent="0.25">
      <c r="A7956" t="s">
        <v>35</v>
      </c>
      <c r="B7956" t="s">
        <v>61</v>
      </c>
      <c r="C7956" t="str">
        <f>"A0181416"</f>
        <v>A0181416</v>
      </c>
      <c r="D7956" t="s">
        <v>30161</v>
      </c>
      <c r="E7956" t="s">
        <v>30162</v>
      </c>
      <c r="F7956" t="s">
        <v>30163</v>
      </c>
      <c r="G7956" t="s">
        <v>338</v>
      </c>
      <c r="H7956" t="s">
        <v>30164</v>
      </c>
      <c r="I7956" t="s">
        <v>30</v>
      </c>
      <c r="J7956" t="s">
        <v>41</v>
      </c>
      <c r="K7956" t="s">
        <v>59</v>
      </c>
      <c r="Q7956">
        <v>0</v>
      </c>
      <c r="R7956">
        <v>50</v>
      </c>
      <c r="S7956">
        <v>50</v>
      </c>
      <c r="T7956" t="s">
        <v>30165</v>
      </c>
    </row>
    <row r="7957" spans="1:20" customFormat="1" ht="15" x14ac:dyDescent="0.25">
      <c r="A7957" t="s">
        <v>35</v>
      </c>
      <c r="B7957" t="s">
        <v>61</v>
      </c>
      <c r="C7957" t="str">
        <f>"A0181414"</f>
        <v>A0181414</v>
      </c>
      <c r="D7957" t="s">
        <v>30166</v>
      </c>
      <c r="E7957" t="s">
        <v>22532</v>
      </c>
      <c r="F7957" t="s">
        <v>22533</v>
      </c>
      <c r="G7957" t="s">
        <v>338</v>
      </c>
      <c r="H7957" t="s">
        <v>22534</v>
      </c>
      <c r="I7957" t="s">
        <v>30</v>
      </c>
      <c r="J7957" t="s">
        <v>41</v>
      </c>
      <c r="K7957" t="s">
        <v>59</v>
      </c>
      <c r="Q7957">
        <v>0</v>
      </c>
      <c r="R7957">
        <v>0</v>
      </c>
      <c r="S7957">
        <v>0</v>
      </c>
      <c r="T7957" t="s">
        <v>30167</v>
      </c>
    </row>
    <row r="7958" spans="1:20" customFormat="1" ht="15" x14ac:dyDescent="0.25">
      <c r="A7958" t="s">
        <v>35</v>
      </c>
      <c r="B7958" t="s">
        <v>61</v>
      </c>
      <c r="C7958" t="str">
        <f>"A0181413"</f>
        <v>A0181413</v>
      </c>
      <c r="D7958" t="s">
        <v>30168</v>
      </c>
      <c r="E7958" t="s">
        <v>30169</v>
      </c>
      <c r="F7958" t="s">
        <v>546</v>
      </c>
      <c r="G7958" t="s">
        <v>338</v>
      </c>
      <c r="H7958" t="s">
        <v>30170</v>
      </c>
      <c r="I7958" t="s">
        <v>30</v>
      </c>
      <c r="J7958" t="s">
        <v>41</v>
      </c>
      <c r="K7958" t="s">
        <v>59</v>
      </c>
      <c r="Q7958">
        <v>0</v>
      </c>
      <c r="R7958">
        <v>86</v>
      </c>
      <c r="S7958">
        <v>86</v>
      </c>
      <c r="T7958" t="s">
        <v>30171</v>
      </c>
    </row>
    <row r="7959" spans="1:20" customFormat="1" ht="15" x14ac:dyDescent="0.25">
      <c r="A7959" t="s">
        <v>35</v>
      </c>
      <c r="B7959" t="s">
        <v>61</v>
      </c>
      <c r="C7959" t="str">
        <f>"A0181412"</f>
        <v>A0181412</v>
      </c>
      <c r="D7959" t="s">
        <v>14879</v>
      </c>
      <c r="E7959" t="s">
        <v>29885</v>
      </c>
      <c r="F7959" t="s">
        <v>29886</v>
      </c>
      <c r="G7959" t="s">
        <v>615</v>
      </c>
      <c r="H7959" t="s">
        <v>30172</v>
      </c>
      <c r="I7959" t="s">
        <v>30</v>
      </c>
      <c r="J7959" t="s">
        <v>41</v>
      </c>
      <c r="K7959" t="s">
        <v>59</v>
      </c>
      <c r="Q7959">
        <v>0</v>
      </c>
      <c r="R7959">
        <v>187</v>
      </c>
      <c r="S7959">
        <v>187</v>
      </c>
      <c r="T7959" t="s">
        <v>30173</v>
      </c>
    </row>
    <row r="7960" spans="1:20" customFormat="1" ht="15" x14ac:dyDescent="0.25">
      <c r="A7960" t="s">
        <v>35</v>
      </c>
      <c r="B7960" t="s">
        <v>61</v>
      </c>
      <c r="C7960" t="str">
        <f>"A0181411"</f>
        <v>A0181411</v>
      </c>
      <c r="D7960" t="s">
        <v>30174</v>
      </c>
      <c r="E7960" t="s">
        <v>30175</v>
      </c>
      <c r="F7960" t="s">
        <v>10276</v>
      </c>
      <c r="G7960" t="s">
        <v>846</v>
      </c>
      <c r="H7960" t="s">
        <v>30176</v>
      </c>
      <c r="I7960" t="s">
        <v>30</v>
      </c>
      <c r="J7960" t="s">
        <v>41</v>
      </c>
      <c r="K7960" t="s">
        <v>59</v>
      </c>
      <c r="Q7960">
        <v>0</v>
      </c>
      <c r="R7960">
        <v>0</v>
      </c>
      <c r="S7960">
        <v>0</v>
      </c>
    </row>
    <row r="7961" spans="1:20" customFormat="1" ht="15" x14ac:dyDescent="0.25">
      <c r="A7961" t="s">
        <v>35</v>
      </c>
      <c r="B7961" t="s">
        <v>61</v>
      </c>
      <c r="C7961" t="str">
        <f>"A0181410"</f>
        <v>A0181410</v>
      </c>
      <c r="D7961" t="s">
        <v>30177</v>
      </c>
      <c r="E7961" t="s">
        <v>30178</v>
      </c>
      <c r="F7961" t="s">
        <v>64</v>
      </c>
      <c r="G7961" t="s">
        <v>846</v>
      </c>
      <c r="H7961">
        <v>31904</v>
      </c>
      <c r="I7961" t="s">
        <v>30</v>
      </c>
      <c r="J7961" t="s">
        <v>41</v>
      </c>
      <c r="K7961" t="s">
        <v>59</v>
      </c>
      <c r="Q7961">
        <v>0</v>
      </c>
      <c r="R7961">
        <v>0</v>
      </c>
      <c r="S7961">
        <v>0</v>
      </c>
      <c r="T7961" t="s">
        <v>30179</v>
      </c>
    </row>
    <row r="7962" spans="1:20" customFormat="1" ht="15" x14ac:dyDescent="0.25">
      <c r="A7962" t="s">
        <v>35</v>
      </c>
      <c r="B7962" t="s">
        <v>61</v>
      </c>
      <c r="C7962" t="str">
        <f>"A0181409"</f>
        <v>A0181409</v>
      </c>
      <c r="D7962" t="s">
        <v>30180</v>
      </c>
      <c r="E7962" t="s">
        <v>30181</v>
      </c>
      <c r="F7962" t="s">
        <v>10276</v>
      </c>
      <c r="G7962" t="s">
        <v>846</v>
      </c>
      <c r="H7962" t="s">
        <v>30182</v>
      </c>
      <c r="I7962" t="s">
        <v>30</v>
      </c>
      <c r="J7962" t="s">
        <v>41</v>
      </c>
      <c r="K7962" t="s">
        <v>59</v>
      </c>
      <c r="Q7962">
        <v>0</v>
      </c>
      <c r="R7962">
        <v>30</v>
      </c>
      <c r="S7962">
        <v>30</v>
      </c>
      <c r="T7962" t="s">
        <v>30183</v>
      </c>
    </row>
    <row r="7963" spans="1:20" customFormat="1" ht="15" x14ac:dyDescent="0.25">
      <c r="A7963" t="s">
        <v>35</v>
      </c>
      <c r="B7963" t="s">
        <v>61</v>
      </c>
      <c r="C7963" t="str">
        <f>"A0181408"</f>
        <v>A0181408</v>
      </c>
      <c r="D7963" t="s">
        <v>30184</v>
      </c>
      <c r="E7963" t="s">
        <v>29997</v>
      </c>
      <c r="F7963" t="s">
        <v>9255</v>
      </c>
      <c r="G7963" t="s">
        <v>846</v>
      </c>
      <c r="H7963" t="s">
        <v>29998</v>
      </c>
      <c r="I7963" t="s">
        <v>30</v>
      </c>
      <c r="J7963" t="s">
        <v>41</v>
      </c>
      <c r="K7963" t="s">
        <v>59</v>
      </c>
      <c r="Q7963">
        <v>0</v>
      </c>
      <c r="R7963">
        <v>0</v>
      </c>
      <c r="S7963">
        <v>0</v>
      </c>
      <c r="T7963" t="s">
        <v>30185</v>
      </c>
    </row>
    <row r="7964" spans="1:20" customFormat="1" ht="15" x14ac:dyDescent="0.25">
      <c r="A7964" t="s">
        <v>35</v>
      </c>
      <c r="B7964" t="s">
        <v>61</v>
      </c>
      <c r="C7964" t="str">
        <f>"A0181407"</f>
        <v>A0181407</v>
      </c>
      <c r="D7964" t="s">
        <v>30186</v>
      </c>
      <c r="E7964" t="s">
        <v>30187</v>
      </c>
      <c r="F7964" t="s">
        <v>30188</v>
      </c>
      <c r="G7964" t="s">
        <v>846</v>
      </c>
      <c r="H7964" t="s">
        <v>30189</v>
      </c>
      <c r="I7964" t="s">
        <v>30</v>
      </c>
      <c r="J7964" t="s">
        <v>41</v>
      </c>
      <c r="K7964" t="s">
        <v>59</v>
      </c>
      <c r="Q7964">
        <v>0</v>
      </c>
      <c r="R7964">
        <v>0</v>
      </c>
      <c r="S7964">
        <v>0</v>
      </c>
      <c r="T7964" t="s">
        <v>30190</v>
      </c>
    </row>
    <row r="7965" spans="1:20" customFormat="1" ht="15" x14ac:dyDescent="0.25">
      <c r="A7965" t="s">
        <v>35</v>
      </c>
      <c r="B7965" t="s">
        <v>61</v>
      </c>
      <c r="C7965" t="str">
        <f>"A0181406"</f>
        <v>A0181406</v>
      </c>
      <c r="D7965" t="s">
        <v>30191</v>
      </c>
      <c r="E7965" t="s">
        <v>30192</v>
      </c>
      <c r="F7965" t="s">
        <v>618</v>
      </c>
      <c r="G7965" t="s">
        <v>615</v>
      </c>
      <c r="H7965">
        <v>64508309</v>
      </c>
      <c r="I7965" t="s">
        <v>30</v>
      </c>
      <c r="J7965" t="s">
        <v>41</v>
      </c>
      <c r="K7965" t="s">
        <v>59</v>
      </c>
      <c r="Q7965">
        <v>0</v>
      </c>
      <c r="R7965">
        <v>98</v>
      </c>
      <c r="S7965">
        <v>98</v>
      </c>
      <c r="T7965" t="s">
        <v>30193</v>
      </c>
    </row>
    <row r="7966" spans="1:20" customFormat="1" ht="15" x14ac:dyDescent="0.25">
      <c r="A7966" t="s">
        <v>35</v>
      </c>
      <c r="B7966" t="s">
        <v>61</v>
      </c>
      <c r="C7966" t="str">
        <f>"A0181405"</f>
        <v>A0181405</v>
      </c>
      <c r="D7966" t="s">
        <v>30194</v>
      </c>
      <c r="E7966" t="s">
        <v>30195</v>
      </c>
      <c r="F7966" t="s">
        <v>29384</v>
      </c>
      <c r="G7966" t="s">
        <v>615</v>
      </c>
      <c r="H7966" t="s">
        <v>30196</v>
      </c>
      <c r="I7966" t="s">
        <v>30</v>
      </c>
      <c r="J7966" t="s">
        <v>41</v>
      </c>
      <c r="K7966" t="s">
        <v>59</v>
      </c>
      <c r="Q7966">
        <v>0</v>
      </c>
      <c r="R7966">
        <v>0</v>
      </c>
      <c r="S7966">
        <v>0</v>
      </c>
      <c r="T7966" t="s">
        <v>30197</v>
      </c>
    </row>
    <row r="7967" spans="1:20" customFormat="1" ht="15" x14ac:dyDescent="0.25">
      <c r="A7967" t="s">
        <v>35</v>
      </c>
      <c r="B7967" t="s">
        <v>61</v>
      </c>
      <c r="C7967" t="str">
        <f>"A0181404"</f>
        <v>A0181404</v>
      </c>
      <c r="D7967" t="s">
        <v>30198</v>
      </c>
      <c r="E7967" t="s">
        <v>30199</v>
      </c>
      <c r="F7967" t="s">
        <v>29747</v>
      </c>
      <c r="G7967" t="s">
        <v>615</v>
      </c>
      <c r="H7967" t="s">
        <v>29990</v>
      </c>
      <c r="I7967" t="s">
        <v>30</v>
      </c>
      <c r="J7967" t="s">
        <v>41</v>
      </c>
      <c r="K7967" t="s">
        <v>59</v>
      </c>
      <c r="Q7967">
        <v>0</v>
      </c>
      <c r="R7967">
        <v>0</v>
      </c>
      <c r="S7967">
        <v>0</v>
      </c>
      <c r="T7967" t="s">
        <v>30200</v>
      </c>
    </row>
    <row r="7968" spans="1:20" customFormat="1" ht="15" x14ac:dyDescent="0.25">
      <c r="A7968" t="s">
        <v>35</v>
      </c>
      <c r="B7968" t="s">
        <v>61</v>
      </c>
      <c r="C7968" t="str">
        <f>"A0181403"</f>
        <v>A0181403</v>
      </c>
      <c r="D7968" t="s">
        <v>30201</v>
      </c>
      <c r="E7968" t="s">
        <v>30202</v>
      </c>
      <c r="F7968" t="s">
        <v>30188</v>
      </c>
      <c r="G7968" t="s">
        <v>846</v>
      </c>
      <c r="H7968">
        <v>30265</v>
      </c>
      <c r="I7968" t="s">
        <v>30</v>
      </c>
      <c r="J7968" t="s">
        <v>41</v>
      </c>
      <c r="K7968" t="s">
        <v>59</v>
      </c>
      <c r="Q7968">
        <v>0</v>
      </c>
      <c r="R7968">
        <v>107</v>
      </c>
      <c r="S7968">
        <v>107</v>
      </c>
      <c r="T7968" t="s">
        <v>30203</v>
      </c>
    </row>
    <row r="7969" spans="1:20" customFormat="1" ht="15" x14ac:dyDescent="0.25">
      <c r="A7969" t="s">
        <v>35</v>
      </c>
      <c r="B7969" t="s">
        <v>61</v>
      </c>
      <c r="C7969" t="str">
        <f>"A0181402"</f>
        <v>A0181402</v>
      </c>
      <c r="D7969" t="s">
        <v>30204</v>
      </c>
      <c r="E7969" t="s">
        <v>30205</v>
      </c>
      <c r="F7969" t="s">
        <v>30206</v>
      </c>
      <c r="G7969" t="s">
        <v>846</v>
      </c>
      <c r="H7969" t="s">
        <v>30207</v>
      </c>
      <c r="I7969" t="s">
        <v>30</v>
      </c>
      <c r="J7969" t="s">
        <v>41</v>
      </c>
      <c r="K7969" t="s">
        <v>59</v>
      </c>
      <c r="Q7969">
        <v>0</v>
      </c>
      <c r="R7969">
        <v>0</v>
      </c>
      <c r="S7969">
        <v>0</v>
      </c>
      <c r="T7969" t="s">
        <v>30208</v>
      </c>
    </row>
    <row r="7970" spans="1:20" customFormat="1" ht="15" x14ac:dyDescent="0.25">
      <c r="A7970" t="s">
        <v>35</v>
      </c>
      <c r="B7970" t="s">
        <v>61</v>
      </c>
      <c r="C7970" t="str">
        <f>"A0181401"</f>
        <v>A0181401</v>
      </c>
      <c r="D7970" t="s">
        <v>30209</v>
      </c>
      <c r="E7970" t="s">
        <v>30210</v>
      </c>
      <c r="F7970" t="s">
        <v>29861</v>
      </c>
      <c r="G7970" t="s">
        <v>615</v>
      </c>
      <c r="H7970" t="s">
        <v>30211</v>
      </c>
      <c r="I7970" t="s">
        <v>30</v>
      </c>
      <c r="J7970" t="s">
        <v>41</v>
      </c>
      <c r="K7970" t="s">
        <v>59</v>
      </c>
      <c r="Q7970">
        <v>0</v>
      </c>
      <c r="R7970">
        <v>36</v>
      </c>
      <c r="S7970">
        <v>36</v>
      </c>
      <c r="T7970" t="s">
        <v>30212</v>
      </c>
    </row>
    <row r="7971" spans="1:20" customFormat="1" ht="15" x14ac:dyDescent="0.25">
      <c r="A7971" t="s">
        <v>35</v>
      </c>
      <c r="B7971" t="s">
        <v>61</v>
      </c>
      <c r="C7971" t="str">
        <f>"A0181400"</f>
        <v>A0181400</v>
      </c>
      <c r="D7971" t="s">
        <v>30213</v>
      </c>
      <c r="E7971" t="s">
        <v>30214</v>
      </c>
      <c r="F7971" t="s">
        <v>29375</v>
      </c>
      <c r="G7971" t="s">
        <v>615</v>
      </c>
      <c r="H7971" t="s">
        <v>30215</v>
      </c>
      <c r="I7971" t="s">
        <v>30</v>
      </c>
      <c r="J7971" t="s">
        <v>41</v>
      </c>
      <c r="K7971" t="s">
        <v>59</v>
      </c>
      <c r="Q7971">
        <v>0</v>
      </c>
      <c r="R7971">
        <v>0</v>
      </c>
      <c r="S7971">
        <v>0</v>
      </c>
      <c r="T7971" t="s">
        <v>30216</v>
      </c>
    </row>
    <row r="7972" spans="1:20" customFormat="1" ht="15" x14ac:dyDescent="0.25">
      <c r="A7972" t="s">
        <v>35</v>
      </c>
      <c r="B7972" t="s">
        <v>61</v>
      </c>
      <c r="C7972" t="str">
        <f>"A0181399"</f>
        <v>A0181399</v>
      </c>
      <c r="D7972" t="s">
        <v>30217</v>
      </c>
      <c r="E7972" t="s">
        <v>30218</v>
      </c>
      <c r="F7972" t="s">
        <v>11868</v>
      </c>
      <c r="G7972" t="s">
        <v>615</v>
      </c>
      <c r="H7972" t="s">
        <v>30219</v>
      </c>
      <c r="I7972" t="s">
        <v>30</v>
      </c>
      <c r="J7972" t="s">
        <v>41</v>
      </c>
      <c r="K7972" t="s">
        <v>59</v>
      </c>
      <c r="Q7972">
        <v>0</v>
      </c>
      <c r="R7972">
        <v>126</v>
      </c>
      <c r="S7972">
        <v>126</v>
      </c>
      <c r="T7972" t="s">
        <v>30220</v>
      </c>
    </row>
    <row r="7973" spans="1:20" customFormat="1" ht="15" x14ac:dyDescent="0.25">
      <c r="A7973" t="s">
        <v>35</v>
      </c>
      <c r="B7973" t="s">
        <v>61</v>
      </c>
      <c r="C7973" t="str">
        <f>"A0181398"</f>
        <v>A0181398</v>
      </c>
      <c r="D7973" t="s">
        <v>30221</v>
      </c>
      <c r="E7973" t="s">
        <v>30222</v>
      </c>
      <c r="F7973" t="s">
        <v>30223</v>
      </c>
      <c r="G7973" t="s">
        <v>846</v>
      </c>
      <c r="H7973">
        <v>30075</v>
      </c>
      <c r="I7973" t="s">
        <v>30</v>
      </c>
      <c r="J7973" t="s">
        <v>41</v>
      </c>
      <c r="K7973" t="s">
        <v>59</v>
      </c>
      <c r="Q7973">
        <v>0</v>
      </c>
      <c r="R7973">
        <v>0</v>
      </c>
      <c r="S7973">
        <v>0</v>
      </c>
      <c r="T7973" t="s">
        <v>30224</v>
      </c>
    </row>
    <row r="7974" spans="1:20" customFormat="1" ht="15" x14ac:dyDescent="0.25">
      <c r="A7974" t="s">
        <v>35</v>
      </c>
      <c r="B7974" t="s">
        <v>61</v>
      </c>
      <c r="C7974" t="str">
        <f>"A0181397"</f>
        <v>A0181397</v>
      </c>
      <c r="D7974" t="s">
        <v>30225</v>
      </c>
      <c r="E7974" t="s">
        <v>30226</v>
      </c>
      <c r="F7974" t="s">
        <v>7801</v>
      </c>
      <c r="G7974" t="s">
        <v>846</v>
      </c>
      <c r="H7974" t="s">
        <v>30227</v>
      </c>
      <c r="I7974" t="s">
        <v>30</v>
      </c>
      <c r="J7974" t="s">
        <v>41</v>
      </c>
      <c r="K7974" t="s">
        <v>59</v>
      </c>
      <c r="Q7974">
        <v>0</v>
      </c>
      <c r="R7974">
        <v>0</v>
      </c>
      <c r="S7974">
        <v>0</v>
      </c>
      <c r="T7974" t="s">
        <v>30228</v>
      </c>
    </row>
    <row r="7975" spans="1:20" customFormat="1" ht="15" x14ac:dyDescent="0.25">
      <c r="A7975" t="s">
        <v>35</v>
      </c>
      <c r="B7975" t="s">
        <v>61</v>
      </c>
      <c r="C7975" t="str">
        <f>"A0181396"</f>
        <v>A0181396</v>
      </c>
      <c r="D7975" t="s">
        <v>30229</v>
      </c>
      <c r="E7975" t="s">
        <v>30230</v>
      </c>
      <c r="F7975" t="s">
        <v>10276</v>
      </c>
      <c r="G7975" t="s">
        <v>846</v>
      </c>
      <c r="H7975">
        <v>30319</v>
      </c>
      <c r="I7975" t="s">
        <v>30</v>
      </c>
      <c r="J7975" t="s">
        <v>41</v>
      </c>
      <c r="K7975" t="s">
        <v>59</v>
      </c>
      <c r="Q7975">
        <v>0</v>
      </c>
      <c r="R7975">
        <v>0</v>
      </c>
      <c r="S7975">
        <v>0</v>
      </c>
    </row>
    <row r="7976" spans="1:20" customFormat="1" ht="15" x14ac:dyDescent="0.25">
      <c r="A7976" t="s">
        <v>35</v>
      </c>
      <c r="B7976" t="s">
        <v>61</v>
      </c>
      <c r="C7976" t="str">
        <f>"A0181395"</f>
        <v>A0181395</v>
      </c>
      <c r="D7976" t="s">
        <v>30231</v>
      </c>
      <c r="E7976" t="s">
        <v>30232</v>
      </c>
      <c r="F7976" t="s">
        <v>10276</v>
      </c>
      <c r="G7976" t="s">
        <v>846</v>
      </c>
      <c r="H7976">
        <v>30329</v>
      </c>
      <c r="I7976" t="s">
        <v>30</v>
      </c>
      <c r="J7976" t="s">
        <v>41</v>
      </c>
      <c r="K7976" t="s">
        <v>59</v>
      </c>
      <c r="Q7976">
        <v>0</v>
      </c>
      <c r="R7976">
        <v>30</v>
      </c>
      <c r="S7976">
        <v>30</v>
      </c>
      <c r="T7976" t="s">
        <v>30233</v>
      </c>
    </row>
    <row r="7977" spans="1:20" customFormat="1" ht="15" x14ac:dyDescent="0.25">
      <c r="A7977" t="s">
        <v>35</v>
      </c>
      <c r="B7977" t="s">
        <v>61</v>
      </c>
      <c r="C7977" t="str">
        <f>"A0181394"</f>
        <v>A0181394</v>
      </c>
      <c r="D7977" t="s">
        <v>30234</v>
      </c>
      <c r="E7977" t="s">
        <v>30235</v>
      </c>
      <c r="F7977" t="s">
        <v>10276</v>
      </c>
      <c r="G7977" t="s">
        <v>846</v>
      </c>
      <c r="H7977" t="s">
        <v>30236</v>
      </c>
      <c r="I7977" t="s">
        <v>30</v>
      </c>
      <c r="J7977" t="s">
        <v>41</v>
      </c>
      <c r="K7977" t="s">
        <v>59</v>
      </c>
      <c r="Q7977">
        <v>0</v>
      </c>
      <c r="R7977">
        <v>0</v>
      </c>
      <c r="S7977">
        <v>0</v>
      </c>
      <c r="T7977" t="s">
        <v>30237</v>
      </c>
    </row>
    <row r="7978" spans="1:20" customFormat="1" ht="15" x14ac:dyDescent="0.25">
      <c r="A7978" t="s">
        <v>35</v>
      </c>
      <c r="B7978" t="s">
        <v>61</v>
      </c>
      <c r="C7978" t="str">
        <f>"A0181393"</f>
        <v>A0181393</v>
      </c>
      <c r="D7978" t="s">
        <v>30238</v>
      </c>
      <c r="E7978" t="s">
        <v>30239</v>
      </c>
      <c r="F7978" t="s">
        <v>30240</v>
      </c>
      <c r="G7978" t="s">
        <v>29</v>
      </c>
      <c r="H7978">
        <v>22844</v>
      </c>
      <c r="I7978" t="s">
        <v>30</v>
      </c>
      <c r="J7978" t="s">
        <v>41</v>
      </c>
      <c r="K7978" t="s">
        <v>59</v>
      </c>
      <c r="Q7978">
        <v>0</v>
      </c>
      <c r="R7978">
        <v>30</v>
      </c>
      <c r="S7978">
        <v>30</v>
      </c>
      <c r="T7978" t="s">
        <v>30241</v>
      </c>
    </row>
    <row r="7979" spans="1:20" customFormat="1" ht="15" x14ac:dyDescent="0.25">
      <c r="A7979" t="s">
        <v>35</v>
      </c>
      <c r="B7979" t="s">
        <v>61</v>
      </c>
      <c r="C7979" t="str">
        <f>"A0181392"</f>
        <v>A0181392</v>
      </c>
      <c r="D7979" t="s">
        <v>19983</v>
      </c>
      <c r="E7979" t="s">
        <v>30242</v>
      </c>
      <c r="F7979" t="s">
        <v>30243</v>
      </c>
      <c r="G7979" t="s">
        <v>846</v>
      </c>
      <c r="H7979" t="s">
        <v>30244</v>
      </c>
      <c r="I7979" t="s">
        <v>30</v>
      </c>
      <c r="J7979" t="s">
        <v>41</v>
      </c>
      <c r="K7979" t="s">
        <v>59</v>
      </c>
      <c r="Q7979">
        <v>0</v>
      </c>
      <c r="R7979">
        <v>0</v>
      </c>
      <c r="S7979">
        <v>0</v>
      </c>
      <c r="T7979" t="s">
        <v>19986</v>
      </c>
    </row>
    <row r="7980" spans="1:20" customFormat="1" ht="15" x14ac:dyDescent="0.25">
      <c r="A7980" t="s">
        <v>35</v>
      </c>
      <c r="B7980" t="s">
        <v>30073</v>
      </c>
      <c r="C7980" t="str">
        <f>"A0181391"</f>
        <v>A0181391</v>
      </c>
      <c r="D7980" t="s">
        <v>30245</v>
      </c>
      <c r="E7980" t="s">
        <v>30246</v>
      </c>
      <c r="F7980" t="s">
        <v>30247</v>
      </c>
      <c r="G7980" t="s">
        <v>117</v>
      </c>
      <c r="H7980">
        <v>49660</v>
      </c>
      <c r="I7980" t="s">
        <v>30</v>
      </c>
      <c r="J7980" t="s">
        <v>41</v>
      </c>
      <c r="K7980" t="s">
        <v>59</v>
      </c>
      <c r="Q7980">
        <v>0</v>
      </c>
      <c r="R7980">
        <v>40</v>
      </c>
      <c r="S7980">
        <v>40</v>
      </c>
      <c r="T7980" t="s">
        <v>30248</v>
      </c>
    </row>
    <row r="7981" spans="1:20" customFormat="1" ht="15" x14ac:dyDescent="0.25">
      <c r="A7981" t="s">
        <v>35</v>
      </c>
      <c r="B7981" t="s">
        <v>61</v>
      </c>
      <c r="C7981" t="str">
        <f>"A0181390"</f>
        <v>A0181390</v>
      </c>
      <c r="D7981" t="s">
        <v>30249</v>
      </c>
      <c r="E7981" t="s">
        <v>30250</v>
      </c>
      <c r="F7981" t="s">
        <v>30251</v>
      </c>
      <c r="G7981" t="s">
        <v>846</v>
      </c>
      <c r="H7981" t="s">
        <v>30252</v>
      </c>
      <c r="I7981" t="s">
        <v>30</v>
      </c>
      <c r="J7981" t="s">
        <v>41</v>
      </c>
      <c r="K7981" t="s">
        <v>59</v>
      </c>
      <c r="Q7981">
        <v>0</v>
      </c>
      <c r="R7981">
        <v>0</v>
      </c>
      <c r="S7981">
        <v>0</v>
      </c>
    </row>
    <row r="7982" spans="1:20" customFormat="1" ht="15" x14ac:dyDescent="0.25">
      <c r="A7982" t="s">
        <v>35</v>
      </c>
      <c r="B7982" t="s">
        <v>61</v>
      </c>
      <c r="C7982" t="str">
        <f>"A0181389"</f>
        <v>A0181389</v>
      </c>
      <c r="D7982" t="s">
        <v>30253</v>
      </c>
      <c r="E7982" t="s">
        <v>30254</v>
      </c>
      <c r="F7982" t="s">
        <v>10276</v>
      </c>
      <c r="G7982" t="s">
        <v>846</v>
      </c>
      <c r="H7982" t="s">
        <v>30255</v>
      </c>
      <c r="I7982" t="s">
        <v>30</v>
      </c>
      <c r="J7982" t="s">
        <v>41</v>
      </c>
      <c r="K7982" t="s">
        <v>59</v>
      </c>
      <c r="Q7982">
        <v>0</v>
      </c>
      <c r="R7982">
        <v>0</v>
      </c>
      <c r="S7982">
        <v>0</v>
      </c>
    </row>
    <row r="7983" spans="1:20" customFormat="1" ht="15" x14ac:dyDescent="0.25">
      <c r="A7983" t="s">
        <v>35</v>
      </c>
      <c r="B7983" t="s">
        <v>61</v>
      </c>
      <c r="C7983" t="str">
        <f>"A0181388"</f>
        <v>A0181388</v>
      </c>
      <c r="D7983" t="s">
        <v>19983</v>
      </c>
      <c r="E7983" t="s">
        <v>30256</v>
      </c>
      <c r="F7983" t="s">
        <v>30257</v>
      </c>
      <c r="G7983" t="s">
        <v>846</v>
      </c>
      <c r="H7983" t="s">
        <v>30258</v>
      </c>
      <c r="I7983" t="s">
        <v>30</v>
      </c>
      <c r="J7983" t="s">
        <v>41</v>
      </c>
      <c r="K7983" t="s">
        <v>59</v>
      </c>
      <c r="Q7983">
        <v>0</v>
      </c>
      <c r="R7983">
        <v>0</v>
      </c>
      <c r="S7983">
        <v>0</v>
      </c>
      <c r="T7983" t="s">
        <v>19986</v>
      </c>
    </row>
    <row r="7984" spans="1:20" customFormat="1" ht="15" x14ac:dyDescent="0.25">
      <c r="A7984" t="s">
        <v>35</v>
      </c>
      <c r="B7984" t="s">
        <v>30065</v>
      </c>
      <c r="C7984" t="str">
        <f>"A0181387"</f>
        <v>A0181387</v>
      </c>
      <c r="D7984" t="s">
        <v>30259</v>
      </c>
      <c r="E7984" t="s">
        <v>30260</v>
      </c>
      <c r="F7984" t="s">
        <v>510</v>
      </c>
      <c r="G7984" t="s">
        <v>289</v>
      </c>
      <c r="H7984">
        <v>61920</v>
      </c>
      <c r="I7984" t="s">
        <v>30</v>
      </c>
      <c r="J7984" t="s">
        <v>41</v>
      </c>
      <c r="K7984" t="s">
        <v>59</v>
      </c>
      <c r="Q7984">
        <v>0</v>
      </c>
      <c r="R7984">
        <v>50</v>
      </c>
      <c r="S7984">
        <v>50</v>
      </c>
      <c r="T7984" t="s">
        <v>30261</v>
      </c>
    </row>
    <row r="7985" spans="1:20" customFormat="1" ht="15" x14ac:dyDescent="0.25">
      <c r="A7985" t="s">
        <v>35</v>
      </c>
      <c r="B7985" t="s">
        <v>17792</v>
      </c>
      <c r="C7985" t="str">
        <f>"A0181386"</f>
        <v>A0181386</v>
      </c>
      <c r="D7985" t="s">
        <v>30262</v>
      </c>
      <c r="E7985" t="s">
        <v>30263</v>
      </c>
      <c r="F7985" t="s">
        <v>30264</v>
      </c>
      <c r="G7985" t="s">
        <v>846</v>
      </c>
      <c r="H7985">
        <v>315228898</v>
      </c>
      <c r="I7985" t="s">
        <v>30</v>
      </c>
      <c r="J7985" t="s">
        <v>41</v>
      </c>
      <c r="K7985" t="s">
        <v>59</v>
      </c>
      <c r="Q7985">
        <v>0</v>
      </c>
      <c r="R7985">
        <v>0</v>
      </c>
      <c r="S7985">
        <v>0</v>
      </c>
      <c r="T7985" t="s">
        <v>30265</v>
      </c>
    </row>
    <row r="7986" spans="1:20" customFormat="1" ht="15" x14ac:dyDescent="0.25">
      <c r="A7986" t="s">
        <v>35</v>
      </c>
      <c r="B7986" t="s">
        <v>61</v>
      </c>
      <c r="C7986" t="str">
        <f>"A0181385"</f>
        <v>A0181385</v>
      </c>
      <c r="D7986" t="s">
        <v>30266</v>
      </c>
      <c r="E7986" t="s">
        <v>30267</v>
      </c>
      <c r="F7986" t="s">
        <v>10276</v>
      </c>
      <c r="G7986" t="s">
        <v>846</v>
      </c>
      <c r="H7986" t="s">
        <v>30268</v>
      </c>
      <c r="I7986" t="s">
        <v>30</v>
      </c>
      <c r="J7986" t="s">
        <v>41</v>
      </c>
      <c r="K7986" t="s">
        <v>59</v>
      </c>
      <c r="Q7986">
        <v>0</v>
      </c>
      <c r="R7986">
        <v>0</v>
      </c>
      <c r="S7986">
        <v>0</v>
      </c>
      <c r="T7986" t="s">
        <v>30269</v>
      </c>
    </row>
    <row r="7987" spans="1:20" customFormat="1" ht="15" x14ac:dyDescent="0.25">
      <c r="A7987" t="s">
        <v>35</v>
      </c>
      <c r="B7987" t="s">
        <v>61</v>
      </c>
      <c r="C7987" t="str">
        <f>"A0181384"</f>
        <v>A0181384</v>
      </c>
      <c r="D7987" t="s">
        <v>30270</v>
      </c>
      <c r="E7987" t="s">
        <v>30271</v>
      </c>
      <c r="F7987" t="s">
        <v>10276</v>
      </c>
      <c r="G7987" t="s">
        <v>846</v>
      </c>
      <c r="H7987" t="s">
        <v>30272</v>
      </c>
      <c r="I7987" t="s">
        <v>30</v>
      </c>
      <c r="J7987" t="s">
        <v>41</v>
      </c>
      <c r="K7987" t="s">
        <v>59</v>
      </c>
      <c r="Q7987">
        <v>0</v>
      </c>
      <c r="R7987">
        <v>0</v>
      </c>
      <c r="S7987">
        <v>0</v>
      </c>
      <c r="T7987" t="s">
        <v>29443</v>
      </c>
    </row>
    <row r="7988" spans="1:20" customFormat="1" ht="15" x14ac:dyDescent="0.25">
      <c r="A7988" t="s">
        <v>35</v>
      </c>
      <c r="B7988" t="s">
        <v>30073</v>
      </c>
      <c r="C7988" t="str">
        <f>"A0181383"</f>
        <v>A0181383</v>
      </c>
      <c r="D7988" t="s">
        <v>30273</v>
      </c>
      <c r="E7988" t="s">
        <v>30274</v>
      </c>
      <c r="F7988" t="s">
        <v>25591</v>
      </c>
      <c r="G7988" t="s">
        <v>117</v>
      </c>
      <c r="H7988">
        <v>49331</v>
      </c>
      <c r="I7988" t="s">
        <v>30</v>
      </c>
      <c r="J7988" t="s">
        <v>41</v>
      </c>
      <c r="K7988" t="s">
        <v>59</v>
      </c>
      <c r="Q7988">
        <v>0</v>
      </c>
      <c r="R7988">
        <v>54</v>
      </c>
      <c r="S7988">
        <v>54</v>
      </c>
      <c r="T7988" t="s">
        <v>30275</v>
      </c>
    </row>
    <row r="7989" spans="1:20" customFormat="1" ht="15" x14ac:dyDescent="0.25">
      <c r="A7989" t="s">
        <v>35</v>
      </c>
      <c r="B7989" t="s">
        <v>61</v>
      </c>
      <c r="C7989" t="str">
        <f>"A0181382"</f>
        <v>A0181382</v>
      </c>
      <c r="D7989" t="s">
        <v>30276</v>
      </c>
      <c r="E7989" t="s">
        <v>29885</v>
      </c>
      <c r="F7989" t="s">
        <v>29886</v>
      </c>
      <c r="G7989" t="s">
        <v>615</v>
      </c>
      <c r="H7989" t="s">
        <v>29887</v>
      </c>
      <c r="I7989" t="s">
        <v>30</v>
      </c>
      <c r="J7989" t="s">
        <v>41</v>
      </c>
      <c r="K7989" t="s">
        <v>59</v>
      </c>
      <c r="Q7989">
        <v>0</v>
      </c>
      <c r="R7989">
        <v>0</v>
      </c>
      <c r="S7989">
        <v>0</v>
      </c>
    </row>
    <row r="7990" spans="1:20" customFormat="1" ht="15" x14ac:dyDescent="0.25">
      <c r="A7990" t="s">
        <v>35</v>
      </c>
      <c r="B7990" t="s">
        <v>61</v>
      </c>
      <c r="C7990" t="str">
        <f>"A0181381"</f>
        <v>A0181381</v>
      </c>
      <c r="D7990" t="s">
        <v>30277</v>
      </c>
      <c r="E7990" t="s">
        <v>30278</v>
      </c>
      <c r="F7990" t="s">
        <v>30279</v>
      </c>
      <c r="G7990" t="s">
        <v>615</v>
      </c>
      <c r="H7990" t="s">
        <v>30280</v>
      </c>
      <c r="I7990" t="s">
        <v>30</v>
      </c>
      <c r="J7990" t="s">
        <v>41</v>
      </c>
      <c r="K7990" t="s">
        <v>59</v>
      </c>
      <c r="Q7990">
        <v>0</v>
      </c>
      <c r="R7990">
        <v>0</v>
      </c>
      <c r="S7990">
        <v>0</v>
      </c>
      <c r="T7990" t="s">
        <v>30281</v>
      </c>
    </row>
    <row r="7991" spans="1:20" customFormat="1" ht="15" x14ac:dyDescent="0.25">
      <c r="A7991" t="s">
        <v>35</v>
      </c>
      <c r="B7991" t="s">
        <v>61</v>
      </c>
      <c r="C7991" t="str">
        <f>"A0181380"</f>
        <v>A0181380</v>
      </c>
      <c r="D7991" t="s">
        <v>29881</v>
      </c>
      <c r="E7991" t="s">
        <v>29860</v>
      </c>
      <c r="F7991" t="s">
        <v>29861</v>
      </c>
      <c r="G7991" t="s">
        <v>615</v>
      </c>
      <c r="H7991">
        <v>6840</v>
      </c>
      <c r="I7991" t="s">
        <v>30</v>
      </c>
      <c r="J7991" t="s">
        <v>41</v>
      </c>
      <c r="K7991" t="s">
        <v>59</v>
      </c>
      <c r="Q7991">
        <v>0</v>
      </c>
      <c r="R7991">
        <v>129</v>
      </c>
      <c r="S7991">
        <v>129</v>
      </c>
      <c r="T7991" t="s">
        <v>29862</v>
      </c>
    </row>
    <row r="7992" spans="1:20" customFormat="1" ht="15" x14ac:dyDescent="0.25">
      <c r="A7992" t="s">
        <v>35</v>
      </c>
      <c r="B7992" t="s">
        <v>61</v>
      </c>
      <c r="C7992" t="str">
        <f>"A0181379"</f>
        <v>A0181379</v>
      </c>
      <c r="D7992" t="s">
        <v>30282</v>
      </c>
      <c r="E7992" t="s">
        <v>30283</v>
      </c>
      <c r="F7992" t="s">
        <v>29861</v>
      </c>
      <c r="G7992" t="s">
        <v>615</v>
      </c>
      <c r="H7992" t="s">
        <v>30284</v>
      </c>
      <c r="I7992" t="s">
        <v>30</v>
      </c>
      <c r="J7992" t="s">
        <v>41</v>
      </c>
      <c r="K7992" t="s">
        <v>59</v>
      </c>
      <c r="Q7992">
        <v>0</v>
      </c>
      <c r="R7992">
        <v>0</v>
      </c>
      <c r="S7992">
        <v>0</v>
      </c>
      <c r="T7992" t="s">
        <v>30285</v>
      </c>
    </row>
    <row r="7993" spans="1:20" customFormat="1" ht="15" x14ac:dyDescent="0.25">
      <c r="A7993" t="s">
        <v>35</v>
      </c>
      <c r="B7993" t="s">
        <v>61</v>
      </c>
      <c r="C7993" t="str">
        <f>"A0181378"</f>
        <v>A0181378</v>
      </c>
      <c r="D7993" t="s">
        <v>30286</v>
      </c>
      <c r="E7993" t="s">
        <v>30287</v>
      </c>
      <c r="F7993" t="s">
        <v>19113</v>
      </c>
      <c r="G7993" t="s">
        <v>615</v>
      </c>
      <c r="H7993" t="s">
        <v>30288</v>
      </c>
      <c r="I7993" t="s">
        <v>30</v>
      </c>
      <c r="J7993" t="s">
        <v>41</v>
      </c>
      <c r="K7993" t="s">
        <v>59</v>
      </c>
      <c r="Q7993">
        <v>0</v>
      </c>
      <c r="R7993">
        <v>0</v>
      </c>
      <c r="S7993">
        <v>0</v>
      </c>
      <c r="T7993" t="s">
        <v>30289</v>
      </c>
    </row>
    <row r="7994" spans="1:20" customFormat="1" ht="15" x14ac:dyDescent="0.25">
      <c r="A7994" t="s">
        <v>35</v>
      </c>
      <c r="B7994" t="s">
        <v>61</v>
      </c>
      <c r="C7994" t="str">
        <f>"A0181377"</f>
        <v>A0181377</v>
      </c>
      <c r="D7994" t="s">
        <v>30290</v>
      </c>
      <c r="E7994" t="s">
        <v>29383</v>
      </c>
      <c r="F7994" t="s">
        <v>29384</v>
      </c>
      <c r="G7994" t="s">
        <v>615</v>
      </c>
      <c r="H7994" t="s">
        <v>29385</v>
      </c>
      <c r="I7994" t="s">
        <v>30</v>
      </c>
      <c r="J7994" t="s">
        <v>41</v>
      </c>
      <c r="K7994" t="s">
        <v>59</v>
      </c>
      <c r="Q7994">
        <v>0</v>
      </c>
      <c r="R7994">
        <v>0</v>
      </c>
      <c r="S7994">
        <v>0</v>
      </c>
      <c r="T7994" t="s">
        <v>29386</v>
      </c>
    </row>
    <row r="7995" spans="1:20" customFormat="1" ht="15" x14ac:dyDescent="0.25">
      <c r="A7995" t="s">
        <v>35</v>
      </c>
      <c r="B7995" t="s">
        <v>61</v>
      </c>
      <c r="C7995" t="str">
        <f>"A0181376"</f>
        <v>A0181376</v>
      </c>
      <c r="D7995" t="s">
        <v>30291</v>
      </c>
      <c r="E7995" t="s">
        <v>29804</v>
      </c>
      <c r="F7995" t="s">
        <v>29805</v>
      </c>
      <c r="G7995" t="s">
        <v>615</v>
      </c>
      <c r="H7995" t="s">
        <v>29806</v>
      </c>
      <c r="I7995" t="s">
        <v>30</v>
      </c>
      <c r="J7995" t="s">
        <v>41</v>
      </c>
      <c r="K7995" t="s">
        <v>59</v>
      </c>
      <c r="Q7995">
        <v>0</v>
      </c>
      <c r="R7995">
        <v>90</v>
      </c>
      <c r="S7995">
        <v>90</v>
      </c>
      <c r="T7995" t="s">
        <v>29807</v>
      </c>
    </row>
    <row r="7996" spans="1:20" customFormat="1" ht="15" x14ac:dyDescent="0.25">
      <c r="A7996" t="s">
        <v>35</v>
      </c>
      <c r="B7996" t="s">
        <v>61</v>
      </c>
      <c r="C7996" t="str">
        <f>"A0181375"</f>
        <v>A0181375</v>
      </c>
      <c r="D7996" t="s">
        <v>30292</v>
      </c>
      <c r="E7996" t="s">
        <v>30293</v>
      </c>
      <c r="F7996" t="s">
        <v>29747</v>
      </c>
      <c r="G7996" t="s">
        <v>615</v>
      </c>
      <c r="H7996" t="s">
        <v>30294</v>
      </c>
      <c r="I7996" t="s">
        <v>30</v>
      </c>
      <c r="J7996" t="s">
        <v>41</v>
      </c>
      <c r="K7996" t="s">
        <v>59</v>
      </c>
      <c r="Q7996">
        <v>0</v>
      </c>
      <c r="R7996">
        <v>199</v>
      </c>
      <c r="S7996">
        <v>199</v>
      </c>
      <c r="T7996" t="s">
        <v>30295</v>
      </c>
    </row>
    <row r="7997" spans="1:20" customFormat="1" ht="15" x14ac:dyDescent="0.25">
      <c r="A7997" t="s">
        <v>35</v>
      </c>
      <c r="B7997" t="s">
        <v>61</v>
      </c>
      <c r="C7997" t="str">
        <f>"A0181374"</f>
        <v>A0181374</v>
      </c>
      <c r="D7997" t="s">
        <v>30296</v>
      </c>
      <c r="E7997" t="s">
        <v>30297</v>
      </c>
      <c r="F7997" t="s">
        <v>30298</v>
      </c>
      <c r="G7997" t="s">
        <v>615</v>
      </c>
      <c r="H7997" t="s">
        <v>30299</v>
      </c>
      <c r="I7997" t="s">
        <v>30</v>
      </c>
      <c r="J7997" t="s">
        <v>41</v>
      </c>
      <c r="K7997" t="s">
        <v>59</v>
      </c>
      <c r="Q7997">
        <v>0</v>
      </c>
      <c r="R7997">
        <v>134</v>
      </c>
      <c r="S7997">
        <v>134</v>
      </c>
      <c r="T7997" t="s">
        <v>30300</v>
      </c>
    </row>
    <row r="7998" spans="1:20" customFormat="1" ht="15" x14ac:dyDescent="0.25">
      <c r="A7998" t="s">
        <v>35</v>
      </c>
      <c r="B7998" t="s">
        <v>61</v>
      </c>
      <c r="C7998" t="str">
        <f>"A0181373"</f>
        <v>A0181373</v>
      </c>
      <c r="D7998" t="s">
        <v>30301</v>
      </c>
      <c r="E7998" t="s">
        <v>30205</v>
      </c>
      <c r="F7998" t="s">
        <v>30206</v>
      </c>
      <c r="G7998" t="s">
        <v>846</v>
      </c>
      <c r="H7998" t="s">
        <v>30207</v>
      </c>
      <c r="I7998" t="s">
        <v>30</v>
      </c>
      <c r="J7998" t="s">
        <v>41</v>
      </c>
      <c r="K7998" t="s">
        <v>59</v>
      </c>
      <c r="Q7998">
        <v>0</v>
      </c>
      <c r="R7998">
        <v>0</v>
      </c>
      <c r="S7998">
        <v>0</v>
      </c>
      <c r="T7998" t="s">
        <v>30302</v>
      </c>
    </row>
    <row r="7999" spans="1:20" customFormat="1" ht="15" x14ac:dyDescent="0.25">
      <c r="A7999" t="s">
        <v>35</v>
      </c>
      <c r="B7999" t="s">
        <v>61</v>
      </c>
      <c r="C7999" t="str">
        <f>"A0181372"</f>
        <v>A0181372</v>
      </c>
      <c r="D7999" t="s">
        <v>30303</v>
      </c>
      <c r="E7999" t="s">
        <v>30304</v>
      </c>
      <c r="F7999" t="s">
        <v>30043</v>
      </c>
      <c r="G7999" t="s">
        <v>615</v>
      </c>
      <c r="H7999" t="s">
        <v>30305</v>
      </c>
      <c r="I7999" t="s">
        <v>30</v>
      </c>
      <c r="J7999" t="s">
        <v>41</v>
      </c>
      <c r="K7999" t="s">
        <v>59</v>
      </c>
      <c r="Q7999">
        <v>0</v>
      </c>
      <c r="R7999">
        <v>0</v>
      </c>
      <c r="S7999">
        <v>0</v>
      </c>
      <c r="T7999" t="s">
        <v>30306</v>
      </c>
    </row>
    <row r="8000" spans="1:20" customFormat="1" ht="15" x14ac:dyDescent="0.25">
      <c r="A8000" t="s">
        <v>35</v>
      </c>
      <c r="B8000" t="s">
        <v>61</v>
      </c>
      <c r="C8000" t="str">
        <f>"A0181371"</f>
        <v>A0181371</v>
      </c>
      <c r="D8000" t="s">
        <v>30307</v>
      </c>
      <c r="E8000" t="s">
        <v>30308</v>
      </c>
      <c r="F8000" t="s">
        <v>30309</v>
      </c>
      <c r="G8000" t="s">
        <v>338</v>
      </c>
      <c r="H8000" t="s">
        <v>30310</v>
      </c>
      <c r="I8000" t="s">
        <v>30</v>
      </c>
      <c r="J8000" t="s">
        <v>41</v>
      </c>
      <c r="K8000" t="s">
        <v>59</v>
      </c>
      <c r="Q8000">
        <v>0</v>
      </c>
      <c r="R8000">
        <v>0</v>
      </c>
      <c r="S8000">
        <v>0</v>
      </c>
      <c r="T8000" t="s">
        <v>30311</v>
      </c>
    </row>
    <row r="8001" spans="1:20" customFormat="1" ht="15" x14ac:dyDescent="0.25">
      <c r="A8001" t="s">
        <v>35</v>
      </c>
      <c r="B8001" t="s">
        <v>61</v>
      </c>
      <c r="C8001" t="str">
        <f>"A0181370"</f>
        <v>A0181370</v>
      </c>
      <c r="D8001" t="s">
        <v>30312</v>
      </c>
      <c r="E8001" t="s">
        <v>30313</v>
      </c>
      <c r="F8001" t="s">
        <v>30314</v>
      </c>
      <c r="G8001" t="s">
        <v>338</v>
      </c>
      <c r="H8001">
        <v>8108</v>
      </c>
      <c r="I8001" t="s">
        <v>30</v>
      </c>
      <c r="J8001" t="s">
        <v>41</v>
      </c>
      <c r="K8001" t="s">
        <v>59</v>
      </c>
      <c r="Q8001">
        <v>0</v>
      </c>
      <c r="R8001">
        <v>60</v>
      </c>
      <c r="S8001">
        <v>60</v>
      </c>
      <c r="T8001" t="s">
        <v>30315</v>
      </c>
    </row>
    <row r="8002" spans="1:20" customFormat="1" ht="15" x14ac:dyDescent="0.25">
      <c r="A8002" t="s">
        <v>35</v>
      </c>
      <c r="B8002" t="s">
        <v>61</v>
      </c>
      <c r="C8002" t="str">
        <f>"A0181369"</f>
        <v>A0181369</v>
      </c>
      <c r="D8002" t="s">
        <v>30316</v>
      </c>
      <c r="E8002" t="s">
        <v>30317</v>
      </c>
      <c r="F8002" t="s">
        <v>27137</v>
      </c>
      <c r="G8002" t="s">
        <v>615</v>
      </c>
      <c r="H8002" t="s">
        <v>30318</v>
      </c>
      <c r="I8002" t="s">
        <v>30</v>
      </c>
      <c r="J8002" t="s">
        <v>41</v>
      </c>
      <c r="K8002" t="s">
        <v>59</v>
      </c>
      <c r="Q8002">
        <v>0</v>
      </c>
      <c r="R8002">
        <v>0</v>
      </c>
      <c r="S8002">
        <v>0</v>
      </c>
      <c r="T8002" t="s">
        <v>30319</v>
      </c>
    </row>
    <row r="8003" spans="1:20" customFormat="1" ht="15" x14ac:dyDescent="0.25">
      <c r="A8003" t="s">
        <v>35</v>
      </c>
      <c r="B8003" t="s">
        <v>61</v>
      </c>
      <c r="C8003" t="str">
        <f>"A0181368"</f>
        <v>A0181368</v>
      </c>
      <c r="D8003" t="s">
        <v>30320</v>
      </c>
      <c r="E8003" t="s">
        <v>30321</v>
      </c>
      <c r="F8003" t="s">
        <v>30322</v>
      </c>
      <c r="G8003" t="s">
        <v>615</v>
      </c>
      <c r="H8003" t="s">
        <v>30323</v>
      </c>
      <c r="I8003" t="s">
        <v>30</v>
      </c>
      <c r="J8003" t="s">
        <v>41</v>
      </c>
      <c r="K8003" t="s">
        <v>59</v>
      </c>
      <c r="Q8003">
        <v>0</v>
      </c>
      <c r="R8003">
        <v>0</v>
      </c>
      <c r="S8003">
        <v>0</v>
      </c>
      <c r="T8003" t="s">
        <v>30285</v>
      </c>
    </row>
    <row r="8004" spans="1:20" customFormat="1" ht="15" x14ac:dyDescent="0.25">
      <c r="A8004" t="s">
        <v>35</v>
      </c>
      <c r="B8004" t="s">
        <v>61</v>
      </c>
      <c r="C8004" t="str">
        <f>"A0181367"</f>
        <v>A0181367</v>
      </c>
      <c r="D8004" t="s">
        <v>30324</v>
      </c>
      <c r="E8004" t="s">
        <v>30325</v>
      </c>
      <c r="F8004" t="s">
        <v>29837</v>
      </c>
      <c r="G8004" t="s">
        <v>615</v>
      </c>
      <c r="H8004">
        <v>6355</v>
      </c>
      <c r="I8004" t="s">
        <v>30</v>
      </c>
      <c r="J8004" t="s">
        <v>41</v>
      </c>
      <c r="K8004" t="s">
        <v>59</v>
      </c>
      <c r="Q8004">
        <v>0</v>
      </c>
      <c r="R8004">
        <v>0</v>
      </c>
      <c r="S8004">
        <v>0</v>
      </c>
    </row>
    <row r="8005" spans="1:20" customFormat="1" ht="15" x14ac:dyDescent="0.25">
      <c r="A8005" t="s">
        <v>35</v>
      </c>
      <c r="B8005" t="s">
        <v>11898</v>
      </c>
      <c r="C8005" t="str">
        <f>"A0181366"</f>
        <v>A0181366</v>
      </c>
      <c r="D8005" t="s">
        <v>30326</v>
      </c>
      <c r="E8005" t="s">
        <v>30327</v>
      </c>
      <c r="F8005" t="s">
        <v>30328</v>
      </c>
      <c r="G8005" t="s">
        <v>615</v>
      </c>
      <c r="H8005">
        <v>60851458</v>
      </c>
      <c r="I8005" t="s">
        <v>30</v>
      </c>
      <c r="J8005" t="s">
        <v>41</v>
      </c>
      <c r="K8005" t="s">
        <v>59</v>
      </c>
      <c r="Q8005">
        <v>0</v>
      </c>
      <c r="R8005">
        <v>0</v>
      </c>
      <c r="S8005">
        <v>0</v>
      </c>
      <c r="T8005" t="s">
        <v>30329</v>
      </c>
    </row>
    <row r="8006" spans="1:20" customFormat="1" ht="15" x14ac:dyDescent="0.25">
      <c r="A8006" t="s">
        <v>35</v>
      </c>
      <c r="B8006" t="s">
        <v>61</v>
      </c>
      <c r="C8006" t="str">
        <f>"A0181365"</f>
        <v>A0181365</v>
      </c>
      <c r="D8006" t="s">
        <v>30330</v>
      </c>
      <c r="E8006" t="s">
        <v>30331</v>
      </c>
      <c r="F8006" t="s">
        <v>30332</v>
      </c>
      <c r="G8006" t="s">
        <v>846</v>
      </c>
      <c r="H8006">
        <v>30341</v>
      </c>
      <c r="I8006" t="s">
        <v>30</v>
      </c>
      <c r="J8006" t="s">
        <v>41</v>
      </c>
      <c r="K8006" t="s">
        <v>59</v>
      </c>
      <c r="Q8006">
        <v>0</v>
      </c>
      <c r="R8006">
        <v>0</v>
      </c>
      <c r="S8006">
        <v>0</v>
      </c>
    </row>
    <row r="8007" spans="1:20" customFormat="1" ht="15" x14ac:dyDescent="0.25">
      <c r="A8007" t="s">
        <v>35</v>
      </c>
      <c r="B8007" t="s">
        <v>61</v>
      </c>
      <c r="C8007" t="str">
        <f>"A0181364"</f>
        <v>A0181364</v>
      </c>
      <c r="D8007" t="s">
        <v>30333</v>
      </c>
      <c r="E8007" t="s">
        <v>30334</v>
      </c>
      <c r="F8007" t="s">
        <v>30335</v>
      </c>
      <c r="G8007" t="s">
        <v>846</v>
      </c>
      <c r="H8007" t="s">
        <v>30336</v>
      </c>
      <c r="I8007" t="s">
        <v>30</v>
      </c>
      <c r="J8007" t="s">
        <v>41</v>
      </c>
      <c r="K8007" t="s">
        <v>59</v>
      </c>
      <c r="Q8007">
        <v>0</v>
      </c>
      <c r="R8007">
        <v>0</v>
      </c>
      <c r="S8007">
        <v>0</v>
      </c>
    </row>
    <row r="8008" spans="1:20" customFormat="1" ht="15" x14ac:dyDescent="0.25">
      <c r="A8008" t="s">
        <v>35</v>
      </c>
      <c r="B8008" t="s">
        <v>61</v>
      </c>
      <c r="C8008" t="str">
        <f>"A0181363"</f>
        <v>A0181363</v>
      </c>
      <c r="D8008" t="s">
        <v>30337</v>
      </c>
      <c r="E8008" t="s">
        <v>30222</v>
      </c>
      <c r="F8008" t="s">
        <v>30223</v>
      </c>
      <c r="G8008" t="s">
        <v>846</v>
      </c>
      <c r="H8008">
        <v>300752228</v>
      </c>
      <c r="I8008" t="s">
        <v>30</v>
      </c>
      <c r="J8008" t="s">
        <v>41</v>
      </c>
      <c r="K8008" t="s">
        <v>59</v>
      </c>
      <c r="Q8008">
        <v>0</v>
      </c>
      <c r="R8008">
        <v>0</v>
      </c>
      <c r="S8008">
        <v>0</v>
      </c>
      <c r="T8008" t="s">
        <v>30338</v>
      </c>
    </row>
    <row r="8009" spans="1:20" customFormat="1" ht="15" x14ac:dyDescent="0.25">
      <c r="A8009" t="s">
        <v>35</v>
      </c>
      <c r="B8009" t="s">
        <v>61</v>
      </c>
      <c r="C8009" t="str">
        <f>"A0181362"</f>
        <v>A0181362</v>
      </c>
      <c r="D8009" t="s">
        <v>30339</v>
      </c>
      <c r="E8009" t="s">
        <v>30340</v>
      </c>
      <c r="F8009" t="s">
        <v>10276</v>
      </c>
      <c r="G8009" t="s">
        <v>846</v>
      </c>
      <c r="H8009" t="s">
        <v>30341</v>
      </c>
      <c r="I8009" t="s">
        <v>30</v>
      </c>
      <c r="J8009" t="s">
        <v>41</v>
      </c>
      <c r="K8009" t="s">
        <v>59</v>
      </c>
      <c r="Q8009">
        <v>0</v>
      </c>
      <c r="R8009">
        <v>46</v>
      </c>
      <c r="S8009">
        <v>46</v>
      </c>
      <c r="T8009" t="s">
        <v>30342</v>
      </c>
    </row>
    <row r="8010" spans="1:20" customFormat="1" ht="15" x14ac:dyDescent="0.25">
      <c r="A8010" t="s">
        <v>35</v>
      </c>
      <c r="B8010" t="s">
        <v>61</v>
      </c>
      <c r="C8010" t="str">
        <f>"A0181361"</f>
        <v>A0181361</v>
      </c>
      <c r="D8010" t="s">
        <v>30343</v>
      </c>
      <c r="E8010" t="s">
        <v>30344</v>
      </c>
      <c r="F8010" t="s">
        <v>10276</v>
      </c>
      <c r="G8010" t="s">
        <v>846</v>
      </c>
      <c r="H8010" t="s">
        <v>30345</v>
      </c>
      <c r="I8010" t="s">
        <v>30</v>
      </c>
      <c r="J8010" t="s">
        <v>41</v>
      </c>
      <c r="K8010" t="s">
        <v>59</v>
      </c>
      <c r="Q8010">
        <v>0</v>
      </c>
      <c r="R8010">
        <v>0</v>
      </c>
      <c r="S8010">
        <v>0</v>
      </c>
      <c r="T8010" t="s">
        <v>30346</v>
      </c>
    </row>
    <row r="8011" spans="1:20" customFormat="1" ht="15" x14ac:dyDescent="0.25">
      <c r="A8011" t="s">
        <v>35</v>
      </c>
      <c r="B8011" t="s">
        <v>4767</v>
      </c>
      <c r="C8011" t="str">
        <f>"A0181360"</f>
        <v>A0181360</v>
      </c>
      <c r="D8011" t="s">
        <v>30347</v>
      </c>
      <c r="E8011" t="s">
        <v>30348</v>
      </c>
      <c r="F8011" t="s">
        <v>13792</v>
      </c>
      <c r="G8011" t="s">
        <v>899</v>
      </c>
      <c r="H8011">
        <v>2476</v>
      </c>
      <c r="I8011" t="s">
        <v>30</v>
      </c>
      <c r="J8011" t="s">
        <v>41</v>
      </c>
      <c r="K8011" t="s">
        <v>59</v>
      </c>
      <c r="Q8011">
        <v>0</v>
      </c>
      <c r="R8011">
        <v>89</v>
      </c>
      <c r="S8011">
        <v>89</v>
      </c>
      <c r="T8011" t="s">
        <v>30349</v>
      </c>
    </row>
    <row r="8012" spans="1:20" customFormat="1" ht="15" x14ac:dyDescent="0.25">
      <c r="A8012" t="s">
        <v>35</v>
      </c>
      <c r="B8012" t="s">
        <v>61</v>
      </c>
      <c r="C8012" t="str">
        <f>"A0181359"</f>
        <v>A0181359</v>
      </c>
      <c r="D8012" t="s">
        <v>30350</v>
      </c>
      <c r="E8012" t="s">
        <v>30351</v>
      </c>
      <c r="F8012" t="s">
        <v>30352</v>
      </c>
      <c r="G8012" t="s">
        <v>615</v>
      </c>
      <c r="H8012" t="s">
        <v>30353</v>
      </c>
      <c r="I8012" t="s">
        <v>30</v>
      </c>
      <c r="J8012" t="s">
        <v>41</v>
      </c>
      <c r="K8012" t="s">
        <v>59</v>
      </c>
      <c r="Q8012">
        <v>0</v>
      </c>
      <c r="R8012">
        <v>76</v>
      </c>
      <c r="S8012">
        <v>76</v>
      </c>
      <c r="T8012" t="s">
        <v>30354</v>
      </c>
    </row>
    <row r="8013" spans="1:20" customFormat="1" ht="15" x14ac:dyDescent="0.25">
      <c r="A8013" t="s">
        <v>35</v>
      </c>
      <c r="B8013" t="s">
        <v>61</v>
      </c>
      <c r="C8013" t="str">
        <f>"A0181358"</f>
        <v>A0181358</v>
      </c>
      <c r="D8013" t="s">
        <v>30355</v>
      </c>
      <c r="E8013" t="s">
        <v>30356</v>
      </c>
      <c r="F8013" t="s">
        <v>30357</v>
      </c>
      <c r="G8013" t="s">
        <v>846</v>
      </c>
      <c r="H8013" t="s">
        <v>30358</v>
      </c>
      <c r="I8013" t="s">
        <v>30</v>
      </c>
      <c r="J8013" t="s">
        <v>41</v>
      </c>
      <c r="K8013" t="s">
        <v>59</v>
      </c>
      <c r="Q8013">
        <v>0</v>
      </c>
      <c r="R8013">
        <v>0</v>
      </c>
      <c r="S8013">
        <v>0</v>
      </c>
      <c r="T8013" t="s">
        <v>30359</v>
      </c>
    </row>
    <row r="8014" spans="1:20" customFormat="1" ht="15" x14ac:dyDescent="0.25">
      <c r="A8014" t="s">
        <v>35</v>
      </c>
      <c r="B8014" t="s">
        <v>61</v>
      </c>
      <c r="C8014" t="str">
        <f>"A0181357"</f>
        <v>A0181357</v>
      </c>
      <c r="D8014" t="s">
        <v>30360</v>
      </c>
      <c r="E8014" t="s">
        <v>30361</v>
      </c>
      <c r="F8014" t="s">
        <v>30362</v>
      </c>
      <c r="G8014" t="s">
        <v>846</v>
      </c>
      <c r="H8014" t="s">
        <v>30363</v>
      </c>
      <c r="I8014" t="s">
        <v>30</v>
      </c>
      <c r="J8014" t="s">
        <v>41</v>
      </c>
      <c r="K8014" t="s">
        <v>59</v>
      </c>
      <c r="Q8014">
        <v>0</v>
      </c>
      <c r="R8014">
        <v>0</v>
      </c>
      <c r="S8014">
        <v>0</v>
      </c>
      <c r="T8014" t="s">
        <v>30364</v>
      </c>
    </row>
    <row r="8015" spans="1:20" customFormat="1" ht="15" x14ac:dyDescent="0.25">
      <c r="A8015" t="s">
        <v>35</v>
      </c>
      <c r="B8015" t="s">
        <v>61</v>
      </c>
      <c r="C8015" t="str">
        <f>"A0181356"</f>
        <v>A0181356</v>
      </c>
      <c r="D8015" t="s">
        <v>30365</v>
      </c>
      <c r="E8015" t="s">
        <v>30366</v>
      </c>
      <c r="F8015" t="s">
        <v>10276</v>
      </c>
      <c r="G8015" t="s">
        <v>846</v>
      </c>
      <c r="H8015" t="s">
        <v>30367</v>
      </c>
      <c r="I8015" t="s">
        <v>30</v>
      </c>
      <c r="J8015" t="s">
        <v>41</v>
      </c>
      <c r="K8015" t="s">
        <v>59</v>
      </c>
      <c r="Q8015">
        <v>0</v>
      </c>
      <c r="R8015">
        <v>0</v>
      </c>
      <c r="S8015">
        <v>0</v>
      </c>
      <c r="T8015" t="s">
        <v>30368</v>
      </c>
    </row>
    <row r="8016" spans="1:20" customFormat="1" ht="15" x14ac:dyDescent="0.25">
      <c r="A8016" t="s">
        <v>35</v>
      </c>
      <c r="B8016" t="s">
        <v>61</v>
      </c>
      <c r="C8016" t="str">
        <f>"A0181355"</f>
        <v>A0181355</v>
      </c>
      <c r="D8016" t="s">
        <v>30369</v>
      </c>
      <c r="E8016" t="s">
        <v>30370</v>
      </c>
      <c r="F8016" t="s">
        <v>4098</v>
      </c>
      <c r="G8016" t="s">
        <v>846</v>
      </c>
      <c r="H8016" t="s">
        <v>30371</v>
      </c>
      <c r="I8016" t="s">
        <v>30</v>
      </c>
      <c r="J8016" t="s">
        <v>41</v>
      </c>
      <c r="K8016" t="s">
        <v>59</v>
      </c>
      <c r="Q8016">
        <v>0</v>
      </c>
      <c r="R8016">
        <v>0</v>
      </c>
      <c r="S8016">
        <v>0</v>
      </c>
    </row>
    <row r="8017" spans="1:20" customFormat="1" ht="15" x14ac:dyDescent="0.25">
      <c r="A8017" t="s">
        <v>35</v>
      </c>
      <c r="B8017" t="s">
        <v>61</v>
      </c>
      <c r="C8017" t="str">
        <f>"A0181354"</f>
        <v>A0181354</v>
      </c>
      <c r="D8017" t="s">
        <v>30372</v>
      </c>
      <c r="E8017" t="s">
        <v>30373</v>
      </c>
      <c r="F8017" t="s">
        <v>6290</v>
      </c>
      <c r="G8017" t="s">
        <v>846</v>
      </c>
      <c r="H8017" t="s">
        <v>30374</v>
      </c>
      <c r="I8017" t="s">
        <v>30</v>
      </c>
      <c r="J8017" t="s">
        <v>41</v>
      </c>
      <c r="K8017" t="s">
        <v>59</v>
      </c>
      <c r="Q8017">
        <v>0</v>
      </c>
      <c r="R8017">
        <v>0</v>
      </c>
      <c r="S8017">
        <v>0</v>
      </c>
      <c r="T8017" t="s">
        <v>30375</v>
      </c>
    </row>
    <row r="8018" spans="1:20" customFormat="1" ht="15" x14ac:dyDescent="0.25">
      <c r="A8018" t="s">
        <v>35</v>
      </c>
      <c r="B8018" t="s">
        <v>61</v>
      </c>
      <c r="C8018" t="str">
        <f>"A0181353"</f>
        <v>A0181353</v>
      </c>
      <c r="D8018" t="s">
        <v>30376</v>
      </c>
      <c r="E8018" t="s">
        <v>30377</v>
      </c>
      <c r="F8018" t="s">
        <v>30378</v>
      </c>
      <c r="G8018" t="s">
        <v>846</v>
      </c>
      <c r="H8018" t="s">
        <v>30379</v>
      </c>
      <c r="I8018" t="s">
        <v>30</v>
      </c>
      <c r="J8018" t="s">
        <v>41</v>
      </c>
      <c r="K8018" t="s">
        <v>59</v>
      </c>
      <c r="Q8018">
        <v>0</v>
      </c>
      <c r="R8018">
        <v>0</v>
      </c>
      <c r="S8018">
        <v>0</v>
      </c>
      <c r="T8018" t="s">
        <v>30380</v>
      </c>
    </row>
    <row r="8019" spans="1:20" customFormat="1" ht="15" x14ac:dyDescent="0.25">
      <c r="A8019" t="s">
        <v>35</v>
      </c>
      <c r="B8019" t="s">
        <v>61</v>
      </c>
      <c r="C8019" t="str">
        <f>"A0181352"</f>
        <v>A0181352</v>
      </c>
      <c r="D8019" t="s">
        <v>30381</v>
      </c>
      <c r="E8019" t="s">
        <v>30382</v>
      </c>
      <c r="F8019" t="s">
        <v>9255</v>
      </c>
      <c r="G8019" t="s">
        <v>846</v>
      </c>
      <c r="H8019" t="s">
        <v>30383</v>
      </c>
      <c r="I8019" t="s">
        <v>30</v>
      </c>
      <c r="J8019" t="s">
        <v>41</v>
      </c>
      <c r="K8019" t="s">
        <v>59</v>
      </c>
      <c r="Q8019">
        <v>0</v>
      </c>
      <c r="R8019">
        <v>5</v>
      </c>
      <c r="S8019">
        <v>5</v>
      </c>
      <c r="T8019" t="s">
        <v>30384</v>
      </c>
    </row>
    <row r="8020" spans="1:20" customFormat="1" ht="15" x14ac:dyDescent="0.25">
      <c r="A8020" t="s">
        <v>35</v>
      </c>
      <c r="B8020" t="s">
        <v>61</v>
      </c>
      <c r="C8020" t="str">
        <f>"A0181351"</f>
        <v>A0181351</v>
      </c>
      <c r="D8020" t="s">
        <v>30385</v>
      </c>
      <c r="E8020" t="s">
        <v>30386</v>
      </c>
      <c r="F8020" t="s">
        <v>30387</v>
      </c>
      <c r="G8020" t="s">
        <v>846</v>
      </c>
      <c r="H8020" t="s">
        <v>30388</v>
      </c>
      <c r="I8020" t="s">
        <v>30</v>
      </c>
      <c r="J8020" t="s">
        <v>41</v>
      </c>
      <c r="K8020" t="s">
        <v>59</v>
      </c>
      <c r="Q8020">
        <v>0</v>
      </c>
      <c r="R8020">
        <v>0</v>
      </c>
      <c r="S8020">
        <v>0</v>
      </c>
      <c r="T8020" t="s">
        <v>30389</v>
      </c>
    </row>
    <row r="8021" spans="1:20" customFormat="1" ht="15" x14ac:dyDescent="0.25">
      <c r="A8021" t="s">
        <v>35</v>
      </c>
      <c r="B8021" t="s">
        <v>61</v>
      </c>
      <c r="C8021" t="str">
        <f>"A0181350"</f>
        <v>A0181350</v>
      </c>
      <c r="D8021" t="s">
        <v>30390</v>
      </c>
      <c r="E8021" t="s">
        <v>30391</v>
      </c>
      <c r="F8021" t="s">
        <v>30392</v>
      </c>
      <c r="G8021" t="s">
        <v>289</v>
      </c>
      <c r="H8021">
        <v>61951</v>
      </c>
      <c r="I8021" t="s">
        <v>30</v>
      </c>
      <c r="J8021" t="s">
        <v>41</v>
      </c>
      <c r="K8021" t="s">
        <v>59</v>
      </c>
      <c r="Q8021">
        <v>0</v>
      </c>
      <c r="R8021">
        <v>16</v>
      </c>
      <c r="S8021">
        <v>16</v>
      </c>
      <c r="T8021" t="s">
        <v>30393</v>
      </c>
    </row>
    <row r="8022" spans="1:20" customFormat="1" ht="15" x14ac:dyDescent="0.25">
      <c r="A8022" t="s">
        <v>35</v>
      </c>
      <c r="B8022" t="s">
        <v>30065</v>
      </c>
      <c r="C8022" t="str">
        <f>"A0181349"</f>
        <v>A0181349</v>
      </c>
      <c r="D8022" t="s">
        <v>30394</v>
      </c>
      <c r="E8022" t="s">
        <v>30395</v>
      </c>
      <c r="F8022" t="s">
        <v>510</v>
      </c>
      <c r="G8022" t="s">
        <v>289</v>
      </c>
      <c r="H8022">
        <v>61920</v>
      </c>
      <c r="I8022" t="s">
        <v>30</v>
      </c>
      <c r="J8022" t="s">
        <v>41</v>
      </c>
      <c r="K8022" t="s">
        <v>59</v>
      </c>
      <c r="Q8022">
        <v>0</v>
      </c>
      <c r="R8022">
        <v>50</v>
      </c>
      <c r="S8022">
        <v>50</v>
      </c>
      <c r="T8022" t="s">
        <v>30396</v>
      </c>
    </row>
    <row r="8023" spans="1:20" customFormat="1" ht="15" x14ac:dyDescent="0.25">
      <c r="A8023" t="s">
        <v>35</v>
      </c>
      <c r="B8023" t="s">
        <v>14156</v>
      </c>
      <c r="C8023" t="str">
        <f>"A0181348"</f>
        <v>A0181348</v>
      </c>
      <c r="D8023" t="s">
        <v>9478</v>
      </c>
      <c r="E8023" t="s">
        <v>30397</v>
      </c>
      <c r="F8023" t="s">
        <v>30398</v>
      </c>
      <c r="G8023" t="s">
        <v>153</v>
      </c>
      <c r="H8023">
        <v>84106</v>
      </c>
      <c r="I8023" t="s">
        <v>30</v>
      </c>
      <c r="J8023" t="s">
        <v>41</v>
      </c>
      <c r="K8023" t="s">
        <v>59</v>
      </c>
      <c r="Q8023">
        <v>0</v>
      </c>
      <c r="R8023">
        <v>46</v>
      </c>
      <c r="S8023">
        <v>46</v>
      </c>
      <c r="T8023" t="s">
        <v>30399</v>
      </c>
    </row>
    <row r="8024" spans="1:20" customFormat="1" ht="15" x14ac:dyDescent="0.25">
      <c r="A8024" t="s">
        <v>35</v>
      </c>
      <c r="B8024" t="s">
        <v>1918</v>
      </c>
      <c r="C8024" t="str">
        <f>"A0181347"</f>
        <v>A0181347</v>
      </c>
      <c r="D8024" t="s">
        <v>30400</v>
      </c>
      <c r="E8024" t="s">
        <v>30401</v>
      </c>
      <c r="F8024" t="s">
        <v>13940</v>
      </c>
      <c r="G8024" t="s">
        <v>81</v>
      </c>
      <c r="H8024">
        <v>32789</v>
      </c>
      <c r="I8024" t="s">
        <v>30</v>
      </c>
      <c r="J8024" t="s">
        <v>441</v>
      </c>
      <c r="K8024" t="s">
        <v>442</v>
      </c>
      <c r="Q8024">
        <v>0</v>
      </c>
      <c r="R8024">
        <v>0</v>
      </c>
      <c r="S8024">
        <v>0</v>
      </c>
      <c r="T8024" t="s">
        <v>30402</v>
      </c>
    </row>
    <row r="8025" spans="1:20" customFormat="1" ht="15" x14ac:dyDescent="0.25">
      <c r="A8025" t="s">
        <v>35</v>
      </c>
      <c r="B8025" t="s">
        <v>1918</v>
      </c>
      <c r="C8025" t="str">
        <f>"A0181346"</f>
        <v>A0181346</v>
      </c>
      <c r="D8025" t="s">
        <v>30403</v>
      </c>
      <c r="E8025" t="s">
        <v>30404</v>
      </c>
      <c r="F8025" t="s">
        <v>8028</v>
      </c>
      <c r="G8025" t="s">
        <v>110</v>
      </c>
      <c r="H8025">
        <v>92024</v>
      </c>
      <c r="I8025" t="s">
        <v>30</v>
      </c>
      <c r="J8025" t="s">
        <v>441</v>
      </c>
      <c r="K8025" t="s">
        <v>442</v>
      </c>
      <c r="Q8025">
        <v>0</v>
      </c>
      <c r="R8025">
        <v>0</v>
      </c>
      <c r="S8025">
        <v>0</v>
      </c>
      <c r="T8025" t="s">
        <v>30405</v>
      </c>
    </row>
    <row r="8026" spans="1:20" customFormat="1" ht="15" x14ac:dyDescent="0.25">
      <c r="A8026" t="s">
        <v>35</v>
      </c>
      <c r="B8026" t="s">
        <v>1918</v>
      </c>
      <c r="C8026" t="str">
        <f>"A0181345"</f>
        <v>A0181345</v>
      </c>
      <c r="D8026" t="s">
        <v>30406</v>
      </c>
      <c r="E8026" t="s">
        <v>30407</v>
      </c>
      <c r="F8026" t="s">
        <v>13940</v>
      </c>
      <c r="G8026" t="s">
        <v>81</v>
      </c>
      <c r="H8026">
        <v>32789</v>
      </c>
      <c r="I8026" t="s">
        <v>30</v>
      </c>
      <c r="J8026" t="s">
        <v>441</v>
      </c>
      <c r="K8026" t="s">
        <v>442</v>
      </c>
      <c r="Q8026">
        <v>0</v>
      </c>
      <c r="R8026">
        <v>0</v>
      </c>
      <c r="S8026">
        <v>0</v>
      </c>
      <c r="T8026" t="s">
        <v>30402</v>
      </c>
    </row>
    <row r="8027" spans="1:20" customFormat="1" ht="15" x14ac:dyDescent="0.25">
      <c r="A8027" t="s">
        <v>35</v>
      </c>
      <c r="B8027" t="s">
        <v>61</v>
      </c>
      <c r="C8027" t="str">
        <f>"A0181344"</f>
        <v>A0181344</v>
      </c>
      <c r="D8027" t="s">
        <v>30408</v>
      </c>
      <c r="E8027" t="s">
        <v>30409</v>
      </c>
      <c r="F8027" t="s">
        <v>19203</v>
      </c>
      <c r="G8027" t="s">
        <v>840</v>
      </c>
      <c r="H8027">
        <v>41001</v>
      </c>
      <c r="I8027" t="s">
        <v>30</v>
      </c>
      <c r="J8027" t="s">
        <v>41</v>
      </c>
      <c r="K8027" t="s">
        <v>9956</v>
      </c>
      <c r="Q8027">
        <v>0</v>
      </c>
      <c r="R8027">
        <v>117</v>
      </c>
      <c r="S8027">
        <v>117</v>
      </c>
      <c r="T8027" t="s">
        <v>30410</v>
      </c>
    </row>
    <row r="8028" spans="1:20" customFormat="1" ht="15" x14ac:dyDescent="0.25">
      <c r="A8028" t="s">
        <v>35</v>
      </c>
      <c r="B8028" t="s">
        <v>61</v>
      </c>
      <c r="C8028" t="str">
        <f>"A0181343"</f>
        <v>A0181343</v>
      </c>
      <c r="D8028" t="s">
        <v>30411</v>
      </c>
      <c r="E8028" t="s">
        <v>30412</v>
      </c>
      <c r="F8028" t="s">
        <v>8622</v>
      </c>
      <c r="G8028" t="s">
        <v>381</v>
      </c>
      <c r="H8028" t="s">
        <v>30413</v>
      </c>
      <c r="I8028" t="s">
        <v>30</v>
      </c>
      <c r="J8028" t="s">
        <v>41</v>
      </c>
      <c r="K8028" t="s">
        <v>9956</v>
      </c>
      <c r="Q8028">
        <v>0</v>
      </c>
      <c r="R8028">
        <v>160</v>
      </c>
      <c r="S8028">
        <v>160</v>
      </c>
      <c r="T8028" t="s">
        <v>30414</v>
      </c>
    </row>
    <row r="8029" spans="1:20" customFormat="1" ht="15" x14ac:dyDescent="0.25">
      <c r="A8029" t="s">
        <v>35</v>
      </c>
      <c r="B8029" t="s">
        <v>61</v>
      </c>
      <c r="C8029" t="str">
        <f>"A0181342"</f>
        <v>A0181342</v>
      </c>
      <c r="D8029" t="s">
        <v>30415</v>
      </c>
      <c r="E8029" t="s">
        <v>30416</v>
      </c>
      <c r="F8029" t="s">
        <v>8622</v>
      </c>
      <c r="G8029" t="s">
        <v>381</v>
      </c>
      <c r="H8029" t="s">
        <v>30417</v>
      </c>
      <c r="I8029" t="s">
        <v>30</v>
      </c>
      <c r="J8029" t="s">
        <v>41</v>
      </c>
      <c r="K8029" t="s">
        <v>9956</v>
      </c>
      <c r="Q8029">
        <v>0</v>
      </c>
      <c r="R8029">
        <v>0</v>
      </c>
      <c r="S8029">
        <v>0</v>
      </c>
      <c r="T8029" t="s">
        <v>30418</v>
      </c>
    </row>
    <row r="8030" spans="1:20" customFormat="1" ht="15" x14ac:dyDescent="0.25">
      <c r="A8030" t="s">
        <v>35</v>
      </c>
      <c r="B8030" t="s">
        <v>61</v>
      </c>
      <c r="C8030" t="str">
        <f>"A0181341"</f>
        <v>A0181341</v>
      </c>
      <c r="D8030" t="s">
        <v>30419</v>
      </c>
      <c r="E8030" t="s">
        <v>30420</v>
      </c>
      <c r="F8030" t="s">
        <v>16826</v>
      </c>
      <c r="G8030" t="s">
        <v>840</v>
      </c>
      <c r="H8030">
        <v>41018</v>
      </c>
      <c r="I8030" t="s">
        <v>30</v>
      </c>
      <c r="J8030" t="s">
        <v>41</v>
      </c>
      <c r="K8030" t="s">
        <v>9956</v>
      </c>
      <c r="Q8030">
        <v>0</v>
      </c>
      <c r="R8030">
        <v>100</v>
      </c>
      <c r="S8030">
        <v>100</v>
      </c>
      <c r="T8030" t="s">
        <v>30421</v>
      </c>
    </row>
    <row r="8031" spans="1:20" customFormat="1" ht="15" x14ac:dyDescent="0.25">
      <c r="A8031" t="s">
        <v>35</v>
      </c>
      <c r="B8031" t="s">
        <v>16873</v>
      </c>
      <c r="C8031" t="str">
        <f>"A0181340"</f>
        <v>A0181340</v>
      </c>
      <c r="D8031" t="s">
        <v>30422</v>
      </c>
      <c r="E8031" t="s">
        <v>30423</v>
      </c>
      <c r="F8031" t="s">
        <v>23705</v>
      </c>
      <c r="G8031" t="s">
        <v>840</v>
      </c>
      <c r="H8031" t="s">
        <v>30424</v>
      </c>
      <c r="I8031" t="s">
        <v>30</v>
      </c>
      <c r="J8031" t="s">
        <v>41</v>
      </c>
      <c r="K8031" t="s">
        <v>9956</v>
      </c>
      <c r="Q8031">
        <v>0</v>
      </c>
      <c r="R8031">
        <v>16</v>
      </c>
      <c r="S8031">
        <v>16</v>
      </c>
      <c r="T8031" t="s">
        <v>30425</v>
      </c>
    </row>
    <row r="8032" spans="1:20" customFormat="1" ht="15" x14ac:dyDescent="0.25">
      <c r="A8032" t="s">
        <v>35</v>
      </c>
      <c r="B8032" t="s">
        <v>61</v>
      </c>
      <c r="C8032" t="str">
        <f>"A0181339"</f>
        <v>A0181339</v>
      </c>
      <c r="D8032" t="s">
        <v>30426</v>
      </c>
      <c r="E8032" t="s">
        <v>30427</v>
      </c>
      <c r="F8032" t="s">
        <v>30428</v>
      </c>
      <c r="G8032" t="s">
        <v>1508</v>
      </c>
      <c r="H8032">
        <v>82410</v>
      </c>
      <c r="I8032" t="s">
        <v>30</v>
      </c>
      <c r="J8032" t="s">
        <v>41</v>
      </c>
      <c r="K8032" t="s">
        <v>9956</v>
      </c>
      <c r="Q8032">
        <v>0</v>
      </c>
      <c r="R8032">
        <v>90</v>
      </c>
      <c r="S8032">
        <v>90</v>
      </c>
      <c r="T8032" t="s">
        <v>30429</v>
      </c>
    </row>
    <row r="8033" spans="1:20" customFormat="1" ht="15" x14ac:dyDescent="0.25">
      <c r="A8033" t="s">
        <v>35</v>
      </c>
      <c r="B8033" t="s">
        <v>61</v>
      </c>
      <c r="C8033" t="str">
        <f>"A0181338"</f>
        <v>A0181338</v>
      </c>
      <c r="D8033" t="s">
        <v>30430</v>
      </c>
      <c r="E8033" t="s">
        <v>30431</v>
      </c>
      <c r="F8033" t="s">
        <v>1669</v>
      </c>
      <c r="G8033" t="s">
        <v>137</v>
      </c>
      <c r="H8033">
        <v>63025</v>
      </c>
      <c r="I8033" t="s">
        <v>30</v>
      </c>
      <c r="J8033" t="s">
        <v>41</v>
      </c>
      <c r="K8033" t="s">
        <v>9956</v>
      </c>
      <c r="Q8033">
        <v>0</v>
      </c>
      <c r="R8033">
        <v>126</v>
      </c>
      <c r="S8033">
        <v>126</v>
      </c>
      <c r="T8033" t="s">
        <v>30432</v>
      </c>
    </row>
    <row r="8034" spans="1:20" customFormat="1" ht="15" x14ac:dyDescent="0.25">
      <c r="A8034" t="s">
        <v>35</v>
      </c>
      <c r="B8034" t="s">
        <v>61</v>
      </c>
      <c r="C8034" t="str">
        <f>"A0181337"</f>
        <v>A0181337</v>
      </c>
      <c r="D8034" t="s">
        <v>30433</v>
      </c>
      <c r="E8034" t="s">
        <v>30434</v>
      </c>
      <c r="F8034" t="s">
        <v>30435</v>
      </c>
      <c r="G8034" t="s">
        <v>1508</v>
      </c>
      <c r="H8034">
        <v>82520</v>
      </c>
      <c r="I8034" t="s">
        <v>30</v>
      </c>
      <c r="J8034" t="s">
        <v>41</v>
      </c>
      <c r="K8034" t="s">
        <v>9956</v>
      </c>
      <c r="Q8034">
        <v>0</v>
      </c>
      <c r="R8034">
        <v>150</v>
      </c>
      <c r="S8034">
        <v>150</v>
      </c>
      <c r="T8034" t="s">
        <v>30436</v>
      </c>
    </row>
    <row r="8035" spans="1:20" customFormat="1" ht="15" x14ac:dyDescent="0.25">
      <c r="A8035" t="s">
        <v>35</v>
      </c>
      <c r="B8035" t="s">
        <v>61</v>
      </c>
      <c r="C8035" t="str">
        <f>"A0181336"</f>
        <v>A0181336</v>
      </c>
      <c r="D8035" t="s">
        <v>30437</v>
      </c>
      <c r="E8035" t="s">
        <v>30438</v>
      </c>
      <c r="F8035" t="s">
        <v>24415</v>
      </c>
      <c r="G8035" t="s">
        <v>137</v>
      </c>
      <c r="H8035" t="s">
        <v>30439</v>
      </c>
      <c r="I8035" t="s">
        <v>30</v>
      </c>
      <c r="J8035" t="s">
        <v>41</v>
      </c>
      <c r="K8035" t="s">
        <v>9956</v>
      </c>
      <c r="Q8035">
        <v>0</v>
      </c>
      <c r="R8035">
        <v>60</v>
      </c>
      <c r="S8035">
        <v>60</v>
      </c>
      <c r="T8035" t="s">
        <v>30440</v>
      </c>
    </row>
    <row r="8036" spans="1:20" customFormat="1" ht="15" x14ac:dyDescent="0.25">
      <c r="A8036" t="s">
        <v>35</v>
      </c>
      <c r="B8036" t="s">
        <v>61</v>
      </c>
      <c r="C8036" t="str">
        <f>"A0181335"</f>
        <v>A0181335</v>
      </c>
      <c r="D8036" t="s">
        <v>30441</v>
      </c>
      <c r="E8036" t="s">
        <v>30442</v>
      </c>
      <c r="F8036" t="s">
        <v>9143</v>
      </c>
      <c r="G8036" t="s">
        <v>381</v>
      </c>
      <c r="H8036" t="s">
        <v>30443</v>
      </c>
      <c r="I8036" t="s">
        <v>30</v>
      </c>
      <c r="J8036" t="s">
        <v>41</v>
      </c>
      <c r="K8036" t="s">
        <v>9956</v>
      </c>
      <c r="Q8036">
        <v>0</v>
      </c>
      <c r="R8036">
        <v>60</v>
      </c>
      <c r="S8036">
        <v>60</v>
      </c>
      <c r="T8036" t="s">
        <v>30444</v>
      </c>
    </row>
    <row r="8037" spans="1:20" customFormat="1" ht="15" x14ac:dyDescent="0.25">
      <c r="A8037" t="s">
        <v>35</v>
      </c>
      <c r="B8037" t="s">
        <v>61</v>
      </c>
      <c r="C8037" t="str">
        <f>"A0181334"</f>
        <v>A0181334</v>
      </c>
      <c r="D8037" t="s">
        <v>30445</v>
      </c>
      <c r="E8037" t="s">
        <v>30446</v>
      </c>
      <c r="F8037" t="s">
        <v>30447</v>
      </c>
      <c r="G8037" t="s">
        <v>381</v>
      </c>
      <c r="H8037">
        <v>47535</v>
      </c>
      <c r="I8037" t="s">
        <v>30</v>
      </c>
      <c r="J8037" t="s">
        <v>41</v>
      </c>
      <c r="K8037" t="s">
        <v>9956</v>
      </c>
      <c r="Q8037">
        <v>0</v>
      </c>
      <c r="R8037">
        <v>50</v>
      </c>
      <c r="S8037">
        <v>50</v>
      </c>
      <c r="T8037" t="s">
        <v>30448</v>
      </c>
    </row>
    <row r="8038" spans="1:20" customFormat="1" ht="15" x14ac:dyDescent="0.25">
      <c r="A8038" t="s">
        <v>35</v>
      </c>
      <c r="B8038" t="s">
        <v>61</v>
      </c>
      <c r="C8038" t="str">
        <f>"A0181333"</f>
        <v>A0181333</v>
      </c>
      <c r="D8038" t="s">
        <v>30449</v>
      </c>
      <c r="E8038" t="s">
        <v>30450</v>
      </c>
      <c r="F8038" t="s">
        <v>17167</v>
      </c>
      <c r="G8038" t="s">
        <v>137</v>
      </c>
      <c r="H8038" t="s">
        <v>30451</v>
      </c>
      <c r="I8038" t="s">
        <v>30</v>
      </c>
      <c r="J8038" t="s">
        <v>41</v>
      </c>
      <c r="K8038" t="s">
        <v>9956</v>
      </c>
      <c r="Q8038">
        <v>0</v>
      </c>
      <c r="R8038">
        <v>150</v>
      </c>
      <c r="S8038">
        <v>150</v>
      </c>
      <c r="T8038" t="s">
        <v>30452</v>
      </c>
    </row>
    <row r="8039" spans="1:20" customFormat="1" ht="15" x14ac:dyDescent="0.25">
      <c r="A8039" t="s">
        <v>35</v>
      </c>
      <c r="B8039" t="s">
        <v>61</v>
      </c>
      <c r="C8039" t="str">
        <f>"A0181332"</f>
        <v>A0181332</v>
      </c>
      <c r="D8039" t="s">
        <v>30453</v>
      </c>
      <c r="E8039" t="s">
        <v>30454</v>
      </c>
      <c r="F8039" t="s">
        <v>30455</v>
      </c>
      <c r="G8039" t="s">
        <v>381</v>
      </c>
      <c r="H8039">
        <v>47562</v>
      </c>
      <c r="I8039" t="s">
        <v>30</v>
      </c>
      <c r="J8039" t="s">
        <v>41</v>
      </c>
      <c r="K8039" t="s">
        <v>9956</v>
      </c>
      <c r="Q8039">
        <v>0</v>
      </c>
      <c r="R8039">
        <v>62</v>
      </c>
      <c r="S8039">
        <v>62</v>
      </c>
      <c r="T8039" t="s">
        <v>30456</v>
      </c>
    </row>
    <row r="8040" spans="1:20" customFormat="1" ht="15" x14ac:dyDescent="0.25">
      <c r="A8040" t="s">
        <v>35</v>
      </c>
      <c r="B8040" t="s">
        <v>61</v>
      </c>
      <c r="C8040" t="str">
        <f>"A0181331"</f>
        <v>A0181331</v>
      </c>
      <c r="D8040" t="s">
        <v>30457</v>
      </c>
      <c r="E8040" t="s">
        <v>30458</v>
      </c>
      <c r="F8040" t="s">
        <v>1669</v>
      </c>
      <c r="G8040" t="s">
        <v>137</v>
      </c>
      <c r="H8040">
        <v>630252321</v>
      </c>
      <c r="I8040" t="s">
        <v>30</v>
      </c>
      <c r="J8040" t="s">
        <v>41</v>
      </c>
      <c r="K8040" t="s">
        <v>9956</v>
      </c>
      <c r="Q8040">
        <v>0</v>
      </c>
      <c r="R8040">
        <v>106</v>
      </c>
      <c r="S8040">
        <v>106</v>
      </c>
      <c r="T8040" t="s">
        <v>30459</v>
      </c>
    </row>
    <row r="8041" spans="1:20" customFormat="1" ht="15" x14ac:dyDescent="0.25">
      <c r="A8041" t="s">
        <v>35</v>
      </c>
      <c r="B8041" t="s">
        <v>61</v>
      </c>
      <c r="C8041" t="str">
        <f>"A0181329"</f>
        <v>A0181329</v>
      </c>
      <c r="D8041" t="s">
        <v>30460</v>
      </c>
      <c r="E8041" t="s">
        <v>30461</v>
      </c>
      <c r="F8041" t="s">
        <v>30462</v>
      </c>
      <c r="G8041" t="s">
        <v>40</v>
      </c>
      <c r="H8041" t="s">
        <v>30463</v>
      </c>
      <c r="I8041" t="s">
        <v>30</v>
      </c>
      <c r="J8041" t="s">
        <v>41</v>
      </c>
      <c r="K8041" t="s">
        <v>9956</v>
      </c>
      <c r="Q8041">
        <v>0</v>
      </c>
      <c r="R8041">
        <v>40</v>
      </c>
      <c r="S8041">
        <v>40</v>
      </c>
      <c r="T8041" t="s">
        <v>30464</v>
      </c>
    </row>
    <row r="8042" spans="1:20" customFormat="1" ht="15" x14ac:dyDescent="0.25">
      <c r="A8042" t="s">
        <v>35</v>
      </c>
      <c r="B8042" t="s">
        <v>61</v>
      </c>
      <c r="C8042" t="str">
        <f>"A0181328"</f>
        <v>A0181328</v>
      </c>
      <c r="D8042" t="s">
        <v>30465</v>
      </c>
      <c r="E8042" t="s">
        <v>30466</v>
      </c>
      <c r="F8042" t="s">
        <v>17235</v>
      </c>
      <c r="G8042" t="s">
        <v>40</v>
      </c>
      <c r="H8042">
        <v>73502</v>
      </c>
      <c r="I8042" t="s">
        <v>30</v>
      </c>
      <c r="J8042" t="s">
        <v>41</v>
      </c>
      <c r="K8042" t="s">
        <v>9956</v>
      </c>
      <c r="Q8042">
        <v>0</v>
      </c>
      <c r="R8042">
        <v>146</v>
      </c>
      <c r="S8042">
        <v>146</v>
      </c>
      <c r="T8042" t="s">
        <v>30467</v>
      </c>
    </row>
    <row r="8043" spans="1:20" customFormat="1" ht="15" x14ac:dyDescent="0.25">
      <c r="A8043" t="s">
        <v>35</v>
      </c>
      <c r="B8043" t="s">
        <v>61</v>
      </c>
      <c r="C8043" t="str">
        <f>"A0181327"</f>
        <v>A0181327</v>
      </c>
      <c r="D8043" t="s">
        <v>30468</v>
      </c>
      <c r="E8043" t="s">
        <v>30469</v>
      </c>
      <c r="F8043" t="s">
        <v>525</v>
      </c>
      <c r="G8043" t="s">
        <v>137</v>
      </c>
      <c r="H8043" t="s">
        <v>30470</v>
      </c>
      <c r="I8043" t="s">
        <v>30</v>
      </c>
      <c r="J8043" t="s">
        <v>41</v>
      </c>
      <c r="K8043" t="s">
        <v>9956</v>
      </c>
      <c r="Q8043">
        <v>0</v>
      </c>
      <c r="R8043">
        <v>52</v>
      </c>
      <c r="S8043">
        <v>52</v>
      </c>
      <c r="T8043" t="s">
        <v>30471</v>
      </c>
    </row>
    <row r="8044" spans="1:20" customFormat="1" ht="15" x14ac:dyDescent="0.25">
      <c r="A8044" t="s">
        <v>35</v>
      </c>
      <c r="B8044" t="s">
        <v>61</v>
      </c>
      <c r="C8044" t="str">
        <f>"A0181326"</f>
        <v>A0181326</v>
      </c>
      <c r="D8044" t="s">
        <v>30472</v>
      </c>
      <c r="E8044" t="s">
        <v>30473</v>
      </c>
      <c r="F8044" t="s">
        <v>30474</v>
      </c>
      <c r="G8044" t="s">
        <v>137</v>
      </c>
      <c r="H8044">
        <v>65265</v>
      </c>
      <c r="I8044" t="s">
        <v>30</v>
      </c>
      <c r="J8044" t="s">
        <v>41</v>
      </c>
      <c r="K8044" t="s">
        <v>9956</v>
      </c>
      <c r="Q8044">
        <v>0</v>
      </c>
      <c r="R8044">
        <v>33</v>
      </c>
      <c r="S8044">
        <v>33</v>
      </c>
    </row>
    <row r="8045" spans="1:20" customFormat="1" ht="15" x14ac:dyDescent="0.25">
      <c r="A8045" t="s">
        <v>35</v>
      </c>
      <c r="B8045" t="s">
        <v>61</v>
      </c>
      <c r="C8045" t="str">
        <f>"A0181325"</f>
        <v>A0181325</v>
      </c>
      <c r="D8045" t="s">
        <v>30475</v>
      </c>
      <c r="E8045" t="s">
        <v>17530</v>
      </c>
      <c r="F8045" t="s">
        <v>17000</v>
      </c>
      <c r="G8045" t="s">
        <v>137</v>
      </c>
      <c r="H8045" t="s">
        <v>17531</v>
      </c>
      <c r="I8045" t="s">
        <v>30</v>
      </c>
      <c r="J8045" t="s">
        <v>41</v>
      </c>
      <c r="K8045" t="s">
        <v>9956</v>
      </c>
      <c r="Q8045">
        <v>0</v>
      </c>
      <c r="R8045">
        <v>400</v>
      </c>
      <c r="S8045">
        <v>400</v>
      </c>
      <c r="T8045" t="s">
        <v>30476</v>
      </c>
    </row>
    <row r="8046" spans="1:20" customFormat="1" ht="15" x14ac:dyDescent="0.25">
      <c r="A8046" t="s">
        <v>35</v>
      </c>
      <c r="B8046" t="s">
        <v>61</v>
      </c>
      <c r="C8046" t="str">
        <f>"A0181324"</f>
        <v>A0181324</v>
      </c>
      <c r="D8046" t="s">
        <v>30477</v>
      </c>
      <c r="E8046" t="s">
        <v>30478</v>
      </c>
      <c r="F8046" t="s">
        <v>4863</v>
      </c>
      <c r="G8046" t="s">
        <v>137</v>
      </c>
      <c r="H8046" t="s">
        <v>30479</v>
      </c>
      <c r="I8046" t="s">
        <v>30</v>
      </c>
      <c r="J8046" t="s">
        <v>41</v>
      </c>
      <c r="K8046" t="s">
        <v>9956</v>
      </c>
      <c r="Q8046">
        <v>0</v>
      </c>
      <c r="R8046">
        <v>120</v>
      </c>
      <c r="S8046">
        <v>120</v>
      </c>
      <c r="T8046" t="s">
        <v>30480</v>
      </c>
    </row>
    <row r="8047" spans="1:20" customFormat="1" ht="15" x14ac:dyDescent="0.25">
      <c r="A8047" t="s">
        <v>35</v>
      </c>
      <c r="B8047" t="s">
        <v>61</v>
      </c>
      <c r="C8047" t="str">
        <f>"A0181323"</f>
        <v>A0181323</v>
      </c>
      <c r="D8047" t="s">
        <v>30481</v>
      </c>
      <c r="E8047" t="s">
        <v>17530</v>
      </c>
      <c r="F8047" t="s">
        <v>17167</v>
      </c>
      <c r="G8047" t="s">
        <v>137</v>
      </c>
      <c r="H8047" t="s">
        <v>17531</v>
      </c>
      <c r="I8047" t="s">
        <v>30</v>
      </c>
      <c r="J8047" t="s">
        <v>41</v>
      </c>
      <c r="K8047" t="s">
        <v>9956</v>
      </c>
      <c r="Q8047">
        <v>0</v>
      </c>
      <c r="R8047">
        <v>400</v>
      </c>
      <c r="S8047">
        <v>400</v>
      </c>
      <c r="T8047" t="s">
        <v>30476</v>
      </c>
    </row>
    <row r="8048" spans="1:20" customFormat="1" ht="15" x14ac:dyDescent="0.25">
      <c r="A8048" t="s">
        <v>35</v>
      </c>
      <c r="B8048" t="s">
        <v>61</v>
      </c>
      <c r="C8048" t="str">
        <f>"A0181322"</f>
        <v>A0181322</v>
      </c>
      <c r="D8048" t="s">
        <v>30482</v>
      </c>
      <c r="E8048" t="s">
        <v>30483</v>
      </c>
      <c r="F8048" t="s">
        <v>30484</v>
      </c>
      <c r="G8048" t="s">
        <v>40</v>
      </c>
      <c r="H8048" t="s">
        <v>30485</v>
      </c>
      <c r="I8048" t="s">
        <v>30</v>
      </c>
      <c r="J8048" t="s">
        <v>41</v>
      </c>
      <c r="K8048" t="s">
        <v>9956</v>
      </c>
      <c r="Q8048">
        <v>0</v>
      </c>
      <c r="R8048">
        <v>40</v>
      </c>
      <c r="S8048">
        <v>40</v>
      </c>
      <c r="T8048" t="s">
        <v>30486</v>
      </c>
    </row>
    <row r="8049" spans="1:20" customFormat="1" ht="15" x14ac:dyDescent="0.25">
      <c r="A8049" t="s">
        <v>35</v>
      </c>
      <c r="B8049" t="s">
        <v>61</v>
      </c>
      <c r="C8049" t="str">
        <f>"A0181321"</f>
        <v>A0181321</v>
      </c>
      <c r="D8049" t="s">
        <v>30487</v>
      </c>
      <c r="E8049" t="s">
        <v>30488</v>
      </c>
      <c r="F8049" t="s">
        <v>30489</v>
      </c>
      <c r="G8049" t="s">
        <v>40</v>
      </c>
      <c r="H8049" t="s">
        <v>30490</v>
      </c>
      <c r="I8049" t="s">
        <v>30</v>
      </c>
      <c r="J8049" t="s">
        <v>41</v>
      </c>
      <c r="K8049" t="s">
        <v>9956</v>
      </c>
      <c r="Q8049">
        <v>0</v>
      </c>
      <c r="R8049">
        <v>52</v>
      </c>
      <c r="S8049">
        <v>52</v>
      </c>
      <c r="T8049" t="s">
        <v>30491</v>
      </c>
    </row>
    <row r="8050" spans="1:20" customFormat="1" ht="15" x14ac:dyDescent="0.25">
      <c r="A8050" t="s">
        <v>35</v>
      </c>
      <c r="B8050" t="s">
        <v>61</v>
      </c>
      <c r="C8050" t="str">
        <f>"A0181320"</f>
        <v>A0181320</v>
      </c>
      <c r="D8050" t="s">
        <v>30492</v>
      </c>
      <c r="E8050" t="s">
        <v>30493</v>
      </c>
      <c r="F8050" t="s">
        <v>17486</v>
      </c>
      <c r="G8050" t="s">
        <v>40</v>
      </c>
      <c r="H8050" t="s">
        <v>30494</v>
      </c>
      <c r="I8050" t="s">
        <v>30</v>
      </c>
      <c r="J8050" t="s">
        <v>41</v>
      </c>
      <c r="K8050" t="s">
        <v>9956</v>
      </c>
      <c r="Q8050">
        <v>0</v>
      </c>
      <c r="R8050">
        <v>80</v>
      </c>
      <c r="S8050">
        <v>80</v>
      </c>
      <c r="T8050" t="s">
        <v>30495</v>
      </c>
    </row>
    <row r="8051" spans="1:20" customFormat="1" ht="15" x14ac:dyDescent="0.25">
      <c r="A8051" t="s">
        <v>35</v>
      </c>
      <c r="B8051" t="s">
        <v>61</v>
      </c>
      <c r="C8051" t="str">
        <f>"A0181319"</f>
        <v>A0181319</v>
      </c>
      <c r="D8051" t="s">
        <v>30496</v>
      </c>
      <c r="E8051" t="s">
        <v>30497</v>
      </c>
      <c r="F8051" t="s">
        <v>30498</v>
      </c>
      <c r="G8051" t="s">
        <v>40</v>
      </c>
      <c r="H8051" t="s">
        <v>30499</v>
      </c>
      <c r="I8051" t="s">
        <v>30</v>
      </c>
      <c r="J8051" t="s">
        <v>41</v>
      </c>
      <c r="K8051" t="s">
        <v>9956</v>
      </c>
      <c r="Q8051">
        <v>0</v>
      </c>
      <c r="R8051">
        <v>31</v>
      </c>
      <c r="S8051">
        <v>31</v>
      </c>
      <c r="T8051" t="s">
        <v>30500</v>
      </c>
    </row>
    <row r="8052" spans="1:20" customFormat="1" ht="15" x14ac:dyDescent="0.25">
      <c r="A8052" t="s">
        <v>35</v>
      </c>
      <c r="B8052" t="s">
        <v>61</v>
      </c>
      <c r="C8052" t="str">
        <f>"A0181318"</f>
        <v>A0181318</v>
      </c>
      <c r="D8052" t="s">
        <v>30501</v>
      </c>
      <c r="E8052" t="s">
        <v>17517</v>
      </c>
      <c r="F8052" t="s">
        <v>17000</v>
      </c>
      <c r="G8052" t="s">
        <v>137</v>
      </c>
      <c r="H8052" t="s">
        <v>30502</v>
      </c>
      <c r="I8052" t="s">
        <v>30</v>
      </c>
      <c r="J8052" t="s">
        <v>41</v>
      </c>
      <c r="K8052" t="s">
        <v>9956</v>
      </c>
      <c r="Q8052">
        <v>0</v>
      </c>
      <c r="R8052">
        <v>230</v>
      </c>
      <c r="S8052">
        <v>230</v>
      </c>
      <c r="T8052" t="s">
        <v>30503</v>
      </c>
    </row>
    <row r="8053" spans="1:20" customFormat="1" ht="15" x14ac:dyDescent="0.25">
      <c r="A8053" t="s">
        <v>35</v>
      </c>
      <c r="B8053" t="s">
        <v>61</v>
      </c>
      <c r="C8053" t="str">
        <f>"A0181317"</f>
        <v>A0181317</v>
      </c>
      <c r="D8053" t="s">
        <v>30504</v>
      </c>
      <c r="E8053" t="s">
        <v>30505</v>
      </c>
      <c r="F8053" t="s">
        <v>17074</v>
      </c>
      <c r="G8053" t="s">
        <v>137</v>
      </c>
      <c r="H8053" t="s">
        <v>30506</v>
      </c>
      <c r="I8053" t="s">
        <v>30</v>
      </c>
      <c r="J8053" t="s">
        <v>41</v>
      </c>
      <c r="K8053" t="s">
        <v>9956</v>
      </c>
      <c r="Q8053">
        <v>0</v>
      </c>
      <c r="R8053">
        <v>210</v>
      </c>
      <c r="S8053">
        <v>210</v>
      </c>
      <c r="T8053" t="s">
        <v>30507</v>
      </c>
    </row>
    <row r="8054" spans="1:20" customFormat="1" ht="15" x14ac:dyDescent="0.25">
      <c r="A8054" t="s">
        <v>35</v>
      </c>
      <c r="B8054" t="s">
        <v>61</v>
      </c>
      <c r="C8054" t="str">
        <f>"A0181316"</f>
        <v>A0181316</v>
      </c>
      <c r="D8054" t="s">
        <v>30508</v>
      </c>
      <c r="E8054" t="s">
        <v>30509</v>
      </c>
      <c r="F8054" t="s">
        <v>30510</v>
      </c>
      <c r="G8054" t="s">
        <v>40</v>
      </c>
      <c r="H8054" t="s">
        <v>30511</v>
      </c>
      <c r="I8054" t="s">
        <v>30</v>
      </c>
      <c r="J8054" t="s">
        <v>41</v>
      </c>
      <c r="K8054" t="s">
        <v>9956</v>
      </c>
      <c r="Q8054">
        <v>0</v>
      </c>
      <c r="R8054">
        <v>66</v>
      </c>
      <c r="S8054">
        <v>66</v>
      </c>
      <c r="T8054" t="s">
        <v>30512</v>
      </c>
    </row>
    <row r="8055" spans="1:20" customFormat="1" ht="15" x14ac:dyDescent="0.25">
      <c r="A8055" t="s">
        <v>35</v>
      </c>
      <c r="B8055" t="s">
        <v>11931</v>
      </c>
      <c r="C8055" t="str">
        <f>"A0181315"</f>
        <v>A0181315</v>
      </c>
      <c r="D8055" t="s">
        <v>30513</v>
      </c>
      <c r="E8055" t="s">
        <v>11932</v>
      </c>
      <c r="F8055" t="s">
        <v>11933</v>
      </c>
      <c r="G8055" t="s">
        <v>40</v>
      </c>
      <c r="H8055" t="s">
        <v>11934</v>
      </c>
      <c r="I8055" t="s">
        <v>30</v>
      </c>
      <c r="J8055" t="s">
        <v>41</v>
      </c>
      <c r="K8055" t="s">
        <v>9956</v>
      </c>
      <c r="Q8055">
        <v>0</v>
      </c>
      <c r="R8055">
        <v>60</v>
      </c>
      <c r="S8055">
        <v>60</v>
      </c>
      <c r="T8055" t="s">
        <v>30514</v>
      </c>
    </row>
    <row r="8056" spans="1:20" customFormat="1" ht="15" x14ac:dyDescent="0.25">
      <c r="A8056" t="s">
        <v>35</v>
      </c>
      <c r="B8056" t="s">
        <v>61</v>
      </c>
      <c r="C8056" t="str">
        <f>"A0181314"</f>
        <v>A0181314</v>
      </c>
      <c r="D8056" t="s">
        <v>30515</v>
      </c>
      <c r="E8056" t="s">
        <v>30516</v>
      </c>
      <c r="F8056" t="s">
        <v>30517</v>
      </c>
      <c r="G8056" t="s">
        <v>40</v>
      </c>
      <c r="H8056">
        <v>73762</v>
      </c>
      <c r="I8056" t="s">
        <v>30</v>
      </c>
      <c r="J8056" t="s">
        <v>41</v>
      </c>
      <c r="K8056" t="s">
        <v>9956</v>
      </c>
      <c r="Q8056">
        <v>0</v>
      </c>
      <c r="R8056">
        <v>70</v>
      </c>
      <c r="S8056">
        <v>70</v>
      </c>
      <c r="T8056" t="s">
        <v>30518</v>
      </c>
    </row>
    <row r="8057" spans="1:20" customFormat="1" ht="15" x14ac:dyDescent="0.25">
      <c r="A8057" t="s">
        <v>35</v>
      </c>
      <c r="B8057" t="s">
        <v>61</v>
      </c>
      <c r="C8057" t="str">
        <f>"A0181313"</f>
        <v>A0181313</v>
      </c>
      <c r="D8057" t="s">
        <v>30519</v>
      </c>
      <c r="E8057" t="s">
        <v>30520</v>
      </c>
      <c r="F8057" t="s">
        <v>18438</v>
      </c>
      <c r="G8057" t="s">
        <v>40</v>
      </c>
      <c r="H8057" t="s">
        <v>30521</v>
      </c>
      <c r="I8057" t="s">
        <v>30</v>
      </c>
      <c r="J8057" t="s">
        <v>41</v>
      </c>
      <c r="K8057" t="s">
        <v>9956</v>
      </c>
      <c r="Q8057">
        <v>0</v>
      </c>
      <c r="R8057">
        <v>110</v>
      </c>
      <c r="S8057">
        <v>110</v>
      </c>
      <c r="T8057" t="s">
        <v>30522</v>
      </c>
    </row>
    <row r="8058" spans="1:20" customFormat="1" ht="15" x14ac:dyDescent="0.25">
      <c r="A8058" t="s">
        <v>35</v>
      </c>
      <c r="B8058" t="s">
        <v>61</v>
      </c>
      <c r="C8058" t="str">
        <f>"A0181312"</f>
        <v>A0181312</v>
      </c>
      <c r="D8058" t="s">
        <v>30523</v>
      </c>
      <c r="E8058" t="s">
        <v>30524</v>
      </c>
      <c r="F8058" t="s">
        <v>30525</v>
      </c>
      <c r="G8058" t="s">
        <v>40</v>
      </c>
      <c r="H8058" t="s">
        <v>30526</v>
      </c>
      <c r="I8058" t="s">
        <v>30</v>
      </c>
      <c r="J8058" t="s">
        <v>41</v>
      </c>
      <c r="K8058" t="s">
        <v>9956</v>
      </c>
      <c r="Q8058">
        <v>0</v>
      </c>
      <c r="R8058">
        <v>100</v>
      </c>
      <c r="S8058">
        <v>100</v>
      </c>
      <c r="T8058" t="s">
        <v>30527</v>
      </c>
    </row>
    <row r="8059" spans="1:20" customFormat="1" ht="15" x14ac:dyDescent="0.25">
      <c r="A8059" t="s">
        <v>35</v>
      </c>
      <c r="B8059" t="s">
        <v>61</v>
      </c>
      <c r="C8059" t="str">
        <f>"A0181311"</f>
        <v>A0181311</v>
      </c>
      <c r="D8059" t="s">
        <v>30528</v>
      </c>
      <c r="E8059" t="s">
        <v>30529</v>
      </c>
      <c r="F8059" t="s">
        <v>946</v>
      </c>
      <c r="G8059" t="s">
        <v>2450</v>
      </c>
      <c r="H8059" t="s">
        <v>30530</v>
      </c>
      <c r="I8059" t="s">
        <v>30</v>
      </c>
      <c r="J8059" t="s">
        <v>41</v>
      </c>
      <c r="K8059" t="s">
        <v>9956</v>
      </c>
      <c r="Q8059">
        <v>0</v>
      </c>
      <c r="R8059">
        <v>210</v>
      </c>
      <c r="S8059">
        <v>210</v>
      </c>
      <c r="T8059" t="s">
        <v>30531</v>
      </c>
    </row>
    <row r="8060" spans="1:20" customFormat="1" ht="15" x14ac:dyDescent="0.25">
      <c r="A8060" t="s">
        <v>35</v>
      </c>
      <c r="B8060" t="s">
        <v>61</v>
      </c>
      <c r="C8060" t="str">
        <f>"A0181310"</f>
        <v>A0181310</v>
      </c>
      <c r="D8060" t="s">
        <v>30532</v>
      </c>
      <c r="E8060" t="s">
        <v>30533</v>
      </c>
      <c r="F8060" t="s">
        <v>380</v>
      </c>
      <c r="G8060" t="s">
        <v>880</v>
      </c>
      <c r="H8060" t="s">
        <v>30534</v>
      </c>
      <c r="I8060" t="s">
        <v>30</v>
      </c>
      <c r="J8060" t="s">
        <v>41</v>
      </c>
      <c r="K8060" t="s">
        <v>9956</v>
      </c>
      <c r="Q8060">
        <v>0</v>
      </c>
      <c r="R8060">
        <v>56</v>
      </c>
      <c r="S8060">
        <v>56</v>
      </c>
      <c r="T8060" t="s">
        <v>30535</v>
      </c>
    </row>
    <row r="8061" spans="1:20" customFormat="1" ht="15" x14ac:dyDescent="0.25">
      <c r="A8061" t="s">
        <v>35</v>
      </c>
      <c r="B8061" t="s">
        <v>61</v>
      </c>
      <c r="C8061" t="str">
        <f>"A0181308"</f>
        <v>A0181308</v>
      </c>
      <c r="D8061" t="s">
        <v>30536</v>
      </c>
      <c r="E8061" t="s">
        <v>30537</v>
      </c>
      <c r="F8061" t="s">
        <v>17257</v>
      </c>
      <c r="G8061" t="s">
        <v>40</v>
      </c>
      <c r="H8061" t="s">
        <v>30538</v>
      </c>
      <c r="I8061" t="s">
        <v>30</v>
      </c>
      <c r="J8061" t="s">
        <v>41</v>
      </c>
      <c r="K8061" t="s">
        <v>9956</v>
      </c>
      <c r="Q8061">
        <v>0</v>
      </c>
      <c r="R8061">
        <v>92</v>
      </c>
      <c r="S8061">
        <v>92</v>
      </c>
      <c r="T8061" t="s">
        <v>30539</v>
      </c>
    </row>
    <row r="8062" spans="1:20" customFormat="1" ht="15" x14ac:dyDescent="0.25">
      <c r="A8062" t="s">
        <v>35</v>
      </c>
      <c r="B8062" t="s">
        <v>61</v>
      </c>
      <c r="C8062" t="str">
        <f>"A0181306"</f>
        <v>A0181306</v>
      </c>
      <c r="D8062" t="s">
        <v>30540</v>
      </c>
      <c r="E8062" t="s">
        <v>30541</v>
      </c>
      <c r="F8062" t="s">
        <v>30542</v>
      </c>
      <c r="G8062" t="s">
        <v>197</v>
      </c>
      <c r="H8062">
        <v>85634</v>
      </c>
      <c r="I8062" t="s">
        <v>30</v>
      </c>
      <c r="J8062" t="s">
        <v>41</v>
      </c>
      <c r="K8062" t="s">
        <v>9956</v>
      </c>
      <c r="Q8062">
        <v>0</v>
      </c>
      <c r="R8062">
        <v>0</v>
      </c>
      <c r="S8062">
        <v>0</v>
      </c>
      <c r="T8062" t="s">
        <v>30543</v>
      </c>
    </row>
    <row r="8063" spans="1:20" customFormat="1" ht="15" x14ac:dyDescent="0.25">
      <c r="A8063" t="s">
        <v>35</v>
      </c>
      <c r="B8063" t="s">
        <v>61</v>
      </c>
      <c r="C8063" t="str">
        <f>"A0181305"</f>
        <v>A0181305</v>
      </c>
      <c r="D8063" t="s">
        <v>30544</v>
      </c>
      <c r="E8063" t="s">
        <v>30545</v>
      </c>
      <c r="F8063" t="s">
        <v>3674</v>
      </c>
      <c r="G8063" t="s">
        <v>117</v>
      </c>
      <c r="H8063">
        <v>48154</v>
      </c>
      <c r="I8063" t="s">
        <v>30</v>
      </c>
      <c r="J8063" t="s">
        <v>41</v>
      </c>
      <c r="K8063" t="s">
        <v>9956</v>
      </c>
      <c r="Q8063">
        <v>0</v>
      </c>
      <c r="R8063">
        <v>120</v>
      </c>
      <c r="S8063">
        <v>120</v>
      </c>
      <c r="T8063" t="s">
        <v>30546</v>
      </c>
    </row>
    <row r="8064" spans="1:20" customFormat="1" ht="15" x14ac:dyDescent="0.25">
      <c r="A8064" t="s">
        <v>35</v>
      </c>
      <c r="B8064" t="s">
        <v>61</v>
      </c>
      <c r="C8064" t="str">
        <f>"A0181304"</f>
        <v>A0181304</v>
      </c>
      <c r="D8064" t="s">
        <v>30547</v>
      </c>
      <c r="E8064" t="s">
        <v>30548</v>
      </c>
      <c r="F8064" t="s">
        <v>30549</v>
      </c>
      <c r="G8064" t="s">
        <v>117</v>
      </c>
      <c r="H8064" t="s">
        <v>30550</v>
      </c>
      <c r="I8064" t="s">
        <v>30</v>
      </c>
      <c r="J8064" t="s">
        <v>41</v>
      </c>
      <c r="K8064" t="s">
        <v>9956</v>
      </c>
      <c r="Q8064">
        <v>0</v>
      </c>
      <c r="R8064">
        <v>1</v>
      </c>
      <c r="S8064">
        <v>1</v>
      </c>
      <c r="T8064" t="s">
        <v>30551</v>
      </c>
    </row>
    <row r="8065" spans="1:20" customFormat="1" ht="15" x14ac:dyDescent="0.25">
      <c r="A8065" t="s">
        <v>35</v>
      </c>
      <c r="B8065" t="s">
        <v>61</v>
      </c>
      <c r="C8065" t="str">
        <f>"A0181303"</f>
        <v>A0181303</v>
      </c>
      <c r="D8065" t="s">
        <v>30552</v>
      </c>
      <c r="E8065" t="s">
        <v>30553</v>
      </c>
      <c r="F8065" t="s">
        <v>20988</v>
      </c>
      <c r="G8065" t="s">
        <v>52</v>
      </c>
      <c r="H8065" t="s">
        <v>30554</v>
      </c>
      <c r="I8065" t="s">
        <v>30</v>
      </c>
      <c r="J8065" t="s">
        <v>41</v>
      </c>
      <c r="K8065" t="s">
        <v>9956</v>
      </c>
      <c r="Q8065">
        <v>0</v>
      </c>
      <c r="R8065">
        <v>128</v>
      </c>
      <c r="S8065">
        <v>128</v>
      </c>
      <c r="T8065" t="s">
        <v>30555</v>
      </c>
    </row>
    <row r="8066" spans="1:20" customFormat="1" ht="15" x14ac:dyDescent="0.25">
      <c r="A8066" t="s">
        <v>35</v>
      </c>
      <c r="B8066" t="s">
        <v>61</v>
      </c>
      <c r="C8066" t="str">
        <f>"A0181302"</f>
        <v>A0181302</v>
      </c>
      <c r="D8066" t="s">
        <v>30556</v>
      </c>
      <c r="E8066" t="s">
        <v>30557</v>
      </c>
      <c r="F8066" t="s">
        <v>12115</v>
      </c>
      <c r="G8066" t="s">
        <v>76</v>
      </c>
      <c r="H8066">
        <v>989023321</v>
      </c>
      <c r="I8066" t="s">
        <v>30</v>
      </c>
      <c r="J8066" t="s">
        <v>41</v>
      </c>
      <c r="K8066" t="s">
        <v>9956</v>
      </c>
      <c r="Q8066">
        <v>0</v>
      </c>
      <c r="R8066">
        <v>101</v>
      </c>
      <c r="S8066">
        <v>101</v>
      </c>
      <c r="T8066" t="s">
        <v>30558</v>
      </c>
    </row>
    <row r="8067" spans="1:20" customFormat="1" ht="15" x14ac:dyDescent="0.25">
      <c r="A8067" t="s">
        <v>35</v>
      </c>
      <c r="B8067" t="s">
        <v>61</v>
      </c>
      <c r="C8067" t="str">
        <f>"A0181301"</f>
        <v>A0181301</v>
      </c>
      <c r="D8067" t="s">
        <v>30559</v>
      </c>
      <c r="E8067" t="s">
        <v>30560</v>
      </c>
      <c r="F8067" t="s">
        <v>30561</v>
      </c>
      <c r="G8067" t="s">
        <v>289</v>
      </c>
      <c r="H8067" t="s">
        <v>30562</v>
      </c>
      <c r="I8067" t="s">
        <v>30</v>
      </c>
      <c r="J8067" t="s">
        <v>41</v>
      </c>
      <c r="K8067" t="s">
        <v>9956</v>
      </c>
      <c r="Q8067">
        <v>0</v>
      </c>
      <c r="R8067">
        <v>183</v>
      </c>
      <c r="S8067">
        <v>183</v>
      </c>
      <c r="T8067" t="s">
        <v>30563</v>
      </c>
    </row>
    <row r="8068" spans="1:20" customFormat="1" ht="15" x14ac:dyDescent="0.25">
      <c r="A8068" t="s">
        <v>35</v>
      </c>
      <c r="B8068" t="s">
        <v>61</v>
      </c>
      <c r="C8068" t="str">
        <f>"A0181300"</f>
        <v>A0181300</v>
      </c>
      <c r="D8068" t="s">
        <v>30564</v>
      </c>
      <c r="E8068" t="s">
        <v>30565</v>
      </c>
      <c r="F8068" t="s">
        <v>30566</v>
      </c>
      <c r="G8068" t="s">
        <v>117</v>
      </c>
      <c r="H8068" t="s">
        <v>30567</v>
      </c>
      <c r="I8068" t="s">
        <v>30</v>
      </c>
      <c r="J8068" t="s">
        <v>41</v>
      </c>
      <c r="K8068" t="s">
        <v>9956</v>
      </c>
      <c r="Q8068">
        <v>0</v>
      </c>
      <c r="R8068">
        <v>0</v>
      </c>
      <c r="S8068">
        <v>0</v>
      </c>
    </row>
    <row r="8069" spans="1:20" customFormat="1" ht="15" x14ac:dyDescent="0.25">
      <c r="A8069" t="s">
        <v>35</v>
      </c>
      <c r="B8069" t="s">
        <v>61</v>
      </c>
      <c r="C8069" t="str">
        <f>"A0181299"</f>
        <v>A0181299</v>
      </c>
      <c r="D8069" t="s">
        <v>30568</v>
      </c>
      <c r="E8069" t="s">
        <v>30569</v>
      </c>
      <c r="F8069" t="s">
        <v>30570</v>
      </c>
      <c r="G8069" t="s">
        <v>90</v>
      </c>
      <c r="H8069" t="s">
        <v>30571</v>
      </c>
      <c r="I8069" t="s">
        <v>30</v>
      </c>
      <c r="J8069" t="s">
        <v>41</v>
      </c>
      <c r="K8069" t="s">
        <v>9956</v>
      </c>
      <c r="Q8069">
        <v>0</v>
      </c>
      <c r="R8069">
        <v>43</v>
      </c>
      <c r="S8069">
        <v>43</v>
      </c>
      <c r="T8069" t="s">
        <v>30572</v>
      </c>
    </row>
    <row r="8070" spans="1:20" customFormat="1" ht="15" x14ac:dyDescent="0.25">
      <c r="A8070" t="s">
        <v>35</v>
      </c>
      <c r="B8070" t="s">
        <v>17698</v>
      </c>
      <c r="C8070" t="str">
        <f>"A0181298"</f>
        <v>A0181298</v>
      </c>
      <c r="D8070" t="s">
        <v>30573</v>
      </c>
      <c r="E8070" t="s">
        <v>30574</v>
      </c>
      <c r="F8070" t="s">
        <v>12220</v>
      </c>
      <c r="G8070" t="s">
        <v>76</v>
      </c>
      <c r="H8070">
        <v>981333838</v>
      </c>
      <c r="I8070" t="s">
        <v>30</v>
      </c>
      <c r="J8070" t="s">
        <v>41</v>
      </c>
      <c r="K8070" t="s">
        <v>9956</v>
      </c>
      <c r="Q8070">
        <v>0</v>
      </c>
      <c r="R8070">
        <v>132</v>
      </c>
      <c r="S8070">
        <v>132</v>
      </c>
      <c r="T8070" t="s">
        <v>30575</v>
      </c>
    </row>
    <row r="8071" spans="1:20" customFormat="1" ht="15" x14ac:dyDescent="0.25">
      <c r="A8071" t="s">
        <v>35</v>
      </c>
      <c r="B8071" t="s">
        <v>61</v>
      </c>
      <c r="C8071" t="str">
        <f>"A0181296"</f>
        <v>A0181296</v>
      </c>
      <c r="D8071" t="s">
        <v>30576</v>
      </c>
      <c r="E8071" t="s">
        <v>18301</v>
      </c>
      <c r="F8071" t="s">
        <v>5775</v>
      </c>
      <c r="G8071" t="s">
        <v>76</v>
      </c>
      <c r="H8071">
        <v>982014147</v>
      </c>
      <c r="I8071" t="s">
        <v>30</v>
      </c>
      <c r="J8071" t="s">
        <v>41</v>
      </c>
      <c r="K8071" t="s">
        <v>9956</v>
      </c>
      <c r="Q8071">
        <v>0</v>
      </c>
      <c r="R8071">
        <v>111</v>
      </c>
      <c r="S8071">
        <v>111</v>
      </c>
      <c r="T8071" t="s">
        <v>18302</v>
      </c>
    </row>
    <row r="8072" spans="1:20" customFormat="1" ht="15" x14ac:dyDescent="0.25">
      <c r="A8072" t="s">
        <v>35</v>
      </c>
      <c r="B8072" t="s">
        <v>17698</v>
      </c>
      <c r="C8072" t="str">
        <f>"A0181295"</f>
        <v>A0181295</v>
      </c>
      <c r="D8072" t="s">
        <v>30577</v>
      </c>
      <c r="E8072" t="s">
        <v>12219</v>
      </c>
      <c r="F8072" t="s">
        <v>12220</v>
      </c>
      <c r="G8072" t="s">
        <v>76</v>
      </c>
      <c r="H8072">
        <v>981333800</v>
      </c>
      <c r="I8072" t="s">
        <v>30</v>
      </c>
      <c r="J8072" t="s">
        <v>41</v>
      </c>
      <c r="K8072" t="s">
        <v>9956</v>
      </c>
      <c r="Q8072">
        <v>0</v>
      </c>
      <c r="R8072">
        <v>132</v>
      </c>
      <c r="S8072">
        <v>132</v>
      </c>
      <c r="T8072" t="s">
        <v>30575</v>
      </c>
    </row>
    <row r="8073" spans="1:20" customFormat="1" ht="15" x14ac:dyDescent="0.25">
      <c r="A8073" t="s">
        <v>35</v>
      </c>
      <c r="B8073" t="s">
        <v>61</v>
      </c>
      <c r="C8073" t="str">
        <f>"A0181294"</f>
        <v>A0181294</v>
      </c>
      <c r="D8073" t="s">
        <v>30578</v>
      </c>
      <c r="E8073" t="s">
        <v>30579</v>
      </c>
      <c r="F8073" t="s">
        <v>30580</v>
      </c>
      <c r="G8073" t="s">
        <v>76</v>
      </c>
      <c r="H8073">
        <v>983319120</v>
      </c>
      <c r="I8073" t="s">
        <v>30</v>
      </c>
      <c r="J8073" t="s">
        <v>41</v>
      </c>
      <c r="K8073" t="s">
        <v>9956</v>
      </c>
      <c r="Q8073">
        <v>0</v>
      </c>
      <c r="R8073">
        <v>20</v>
      </c>
      <c r="S8073">
        <v>20</v>
      </c>
      <c r="T8073" t="s">
        <v>30581</v>
      </c>
    </row>
    <row r="8074" spans="1:20" customFormat="1" ht="15" x14ac:dyDescent="0.25">
      <c r="A8074" t="s">
        <v>35</v>
      </c>
      <c r="B8074" t="s">
        <v>61</v>
      </c>
      <c r="C8074" t="str">
        <f>"A0181293"</f>
        <v>A0181293</v>
      </c>
      <c r="D8074" t="s">
        <v>30582</v>
      </c>
      <c r="E8074" t="s">
        <v>30583</v>
      </c>
      <c r="F8074" t="s">
        <v>1431</v>
      </c>
      <c r="G8074" t="s">
        <v>47</v>
      </c>
      <c r="H8074">
        <v>972102828</v>
      </c>
      <c r="I8074" t="s">
        <v>30</v>
      </c>
      <c r="J8074" t="s">
        <v>41</v>
      </c>
      <c r="K8074" t="s">
        <v>9956</v>
      </c>
      <c r="Q8074">
        <v>0</v>
      </c>
      <c r="R8074">
        <v>0</v>
      </c>
      <c r="S8074">
        <v>0</v>
      </c>
      <c r="T8074" t="s">
        <v>30584</v>
      </c>
    </row>
    <row r="8075" spans="1:20" customFormat="1" ht="15" x14ac:dyDescent="0.25">
      <c r="A8075" t="s">
        <v>35</v>
      </c>
      <c r="B8075" t="s">
        <v>61</v>
      </c>
      <c r="C8075" t="str">
        <f>"A0181292"</f>
        <v>A0181292</v>
      </c>
      <c r="D8075" t="s">
        <v>30585</v>
      </c>
      <c r="E8075" t="s">
        <v>30586</v>
      </c>
      <c r="F8075" t="s">
        <v>24381</v>
      </c>
      <c r="G8075" t="s">
        <v>81</v>
      </c>
      <c r="H8075" t="s">
        <v>30587</v>
      </c>
      <c r="I8075" t="s">
        <v>30</v>
      </c>
      <c r="J8075" t="s">
        <v>41</v>
      </c>
      <c r="K8075" t="s">
        <v>9956</v>
      </c>
      <c r="Q8075">
        <v>0</v>
      </c>
      <c r="R8075">
        <v>0</v>
      </c>
      <c r="S8075">
        <v>0</v>
      </c>
      <c r="T8075" t="s">
        <v>30588</v>
      </c>
    </row>
    <row r="8076" spans="1:20" customFormat="1" ht="15" x14ac:dyDescent="0.25">
      <c r="A8076" t="s">
        <v>35</v>
      </c>
      <c r="B8076" t="s">
        <v>61</v>
      </c>
      <c r="C8076" t="str">
        <f>"A0181291"</f>
        <v>A0181291</v>
      </c>
      <c r="D8076" t="s">
        <v>30589</v>
      </c>
      <c r="E8076" t="s">
        <v>30590</v>
      </c>
      <c r="F8076" t="s">
        <v>30591</v>
      </c>
      <c r="G8076" t="s">
        <v>103</v>
      </c>
      <c r="H8076" t="s">
        <v>30592</v>
      </c>
      <c r="I8076" t="s">
        <v>30</v>
      </c>
      <c r="J8076" t="s">
        <v>41</v>
      </c>
      <c r="K8076" t="s">
        <v>9956</v>
      </c>
      <c r="Q8076">
        <v>0</v>
      </c>
      <c r="R8076">
        <v>180</v>
      </c>
      <c r="S8076">
        <v>180</v>
      </c>
      <c r="T8076" t="s">
        <v>30593</v>
      </c>
    </row>
    <row r="8077" spans="1:20" customFormat="1" ht="15" x14ac:dyDescent="0.25">
      <c r="A8077" t="s">
        <v>35</v>
      </c>
      <c r="B8077" t="s">
        <v>61</v>
      </c>
      <c r="C8077" t="str">
        <f>"A0181290"</f>
        <v>A0181290</v>
      </c>
      <c r="D8077" t="s">
        <v>30594</v>
      </c>
      <c r="E8077" t="s">
        <v>30595</v>
      </c>
      <c r="F8077" t="s">
        <v>1302</v>
      </c>
      <c r="G8077" t="s">
        <v>103</v>
      </c>
      <c r="H8077">
        <v>17201</v>
      </c>
      <c r="I8077" t="s">
        <v>30</v>
      </c>
      <c r="J8077" t="s">
        <v>41</v>
      </c>
      <c r="K8077" t="s">
        <v>9956</v>
      </c>
      <c r="Q8077">
        <v>0</v>
      </c>
      <c r="R8077">
        <v>64</v>
      </c>
      <c r="S8077">
        <v>64</v>
      </c>
      <c r="T8077" t="s">
        <v>30596</v>
      </c>
    </row>
    <row r="8078" spans="1:20" customFormat="1" ht="15" x14ac:dyDescent="0.25">
      <c r="A8078" t="s">
        <v>35</v>
      </c>
      <c r="B8078" t="s">
        <v>61</v>
      </c>
      <c r="C8078" t="str">
        <f>"A0181289"</f>
        <v>A0181289</v>
      </c>
      <c r="D8078" t="s">
        <v>30597</v>
      </c>
      <c r="E8078" t="s">
        <v>30598</v>
      </c>
      <c r="F8078" t="s">
        <v>6729</v>
      </c>
      <c r="G8078" t="s">
        <v>289</v>
      </c>
      <c r="H8078" t="s">
        <v>30599</v>
      </c>
      <c r="I8078" t="s">
        <v>30</v>
      </c>
      <c r="J8078" t="s">
        <v>41</v>
      </c>
      <c r="K8078" t="s">
        <v>9956</v>
      </c>
      <c r="Q8078">
        <v>0</v>
      </c>
      <c r="R8078">
        <v>100</v>
      </c>
      <c r="S8078">
        <v>100</v>
      </c>
      <c r="T8078" t="s">
        <v>30600</v>
      </c>
    </row>
    <row r="8079" spans="1:20" customFormat="1" ht="15" x14ac:dyDescent="0.25">
      <c r="A8079" t="s">
        <v>35</v>
      </c>
      <c r="B8079" t="s">
        <v>61</v>
      </c>
      <c r="C8079" t="str">
        <f>"A0181288"</f>
        <v>A0181288</v>
      </c>
      <c r="D8079" t="s">
        <v>30601</v>
      </c>
      <c r="E8079" t="s">
        <v>30602</v>
      </c>
      <c r="F8079" t="s">
        <v>5775</v>
      </c>
      <c r="G8079" t="s">
        <v>76</v>
      </c>
      <c r="H8079">
        <v>982086030</v>
      </c>
      <c r="I8079" t="s">
        <v>30</v>
      </c>
      <c r="J8079" t="s">
        <v>41</v>
      </c>
      <c r="K8079" t="s">
        <v>9956</v>
      </c>
      <c r="Q8079">
        <v>0</v>
      </c>
      <c r="R8079">
        <v>120</v>
      </c>
      <c r="S8079">
        <v>120</v>
      </c>
      <c r="T8079" t="s">
        <v>30603</v>
      </c>
    </row>
    <row r="8080" spans="1:20" customFormat="1" ht="15" x14ac:dyDescent="0.25">
      <c r="A8080" t="s">
        <v>35</v>
      </c>
      <c r="B8080" t="s">
        <v>61</v>
      </c>
      <c r="C8080" t="str">
        <f>"A0181287"</f>
        <v>A0181287</v>
      </c>
      <c r="D8080" t="s">
        <v>30604</v>
      </c>
      <c r="E8080" t="s">
        <v>30605</v>
      </c>
      <c r="F8080" t="s">
        <v>5781</v>
      </c>
      <c r="G8080" t="s">
        <v>103</v>
      </c>
      <c r="H8080" t="s">
        <v>30606</v>
      </c>
      <c r="I8080" t="s">
        <v>30</v>
      </c>
      <c r="J8080" t="s">
        <v>41</v>
      </c>
      <c r="K8080" t="s">
        <v>9956</v>
      </c>
      <c r="Q8080">
        <v>0</v>
      </c>
      <c r="R8080">
        <v>52</v>
      </c>
      <c r="S8080">
        <v>52</v>
      </c>
      <c r="T8080" t="s">
        <v>30607</v>
      </c>
    </row>
    <row r="8081" spans="1:20" customFormat="1" ht="15" x14ac:dyDescent="0.25">
      <c r="A8081" t="s">
        <v>35</v>
      </c>
      <c r="B8081" t="s">
        <v>61</v>
      </c>
      <c r="C8081" t="str">
        <f>"A0181286"</f>
        <v>A0181286</v>
      </c>
      <c r="D8081" t="s">
        <v>30608</v>
      </c>
      <c r="E8081" t="s">
        <v>30609</v>
      </c>
      <c r="F8081" t="s">
        <v>14097</v>
      </c>
      <c r="G8081" t="s">
        <v>90</v>
      </c>
      <c r="H8081" t="s">
        <v>30610</v>
      </c>
      <c r="I8081" t="s">
        <v>30</v>
      </c>
      <c r="J8081" t="s">
        <v>41</v>
      </c>
      <c r="K8081" t="s">
        <v>9956</v>
      </c>
      <c r="Q8081">
        <v>0</v>
      </c>
      <c r="R8081">
        <v>47</v>
      </c>
      <c r="S8081">
        <v>47</v>
      </c>
      <c r="T8081" t="s">
        <v>30611</v>
      </c>
    </row>
    <row r="8082" spans="1:20" customFormat="1" ht="15" x14ac:dyDescent="0.25">
      <c r="A8082" t="s">
        <v>35</v>
      </c>
      <c r="B8082" t="s">
        <v>61</v>
      </c>
      <c r="C8082" t="str">
        <f>"A0181285"</f>
        <v>A0181285</v>
      </c>
      <c r="D8082" t="s">
        <v>30612</v>
      </c>
      <c r="E8082" t="s">
        <v>30613</v>
      </c>
      <c r="F8082" t="s">
        <v>19113</v>
      </c>
      <c r="G8082" t="s">
        <v>90</v>
      </c>
      <c r="H8082">
        <v>28427014</v>
      </c>
      <c r="I8082" t="s">
        <v>30</v>
      </c>
      <c r="J8082" t="s">
        <v>41</v>
      </c>
      <c r="K8082" t="s">
        <v>9956</v>
      </c>
      <c r="Q8082">
        <v>0</v>
      </c>
      <c r="R8082">
        <v>60</v>
      </c>
      <c r="S8082">
        <v>60</v>
      </c>
      <c r="T8082" t="s">
        <v>30614</v>
      </c>
    </row>
    <row r="8083" spans="1:20" customFormat="1" ht="15" x14ac:dyDescent="0.25">
      <c r="A8083" t="s">
        <v>35</v>
      </c>
      <c r="B8083" t="s">
        <v>61</v>
      </c>
      <c r="C8083" t="str">
        <f>"A0181284"</f>
        <v>A0181284</v>
      </c>
      <c r="D8083" t="s">
        <v>30615</v>
      </c>
      <c r="E8083" t="s">
        <v>30616</v>
      </c>
      <c r="F8083" t="s">
        <v>16813</v>
      </c>
      <c r="G8083" t="s">
        <v>103</v>
      </c>
      <c r="H8083" t="s">
        <v>30617</v>
      </c>
      <c r="I8083" t="s">
        <v>30</v>
      </c>
      <c r="J8083" t="s">
        <v>41</v>
      </c>
      <c r="K8083" t="s">
        <v>9956</v>
      </c>
      <c r="Q8083">
        <v>0</v>
      </c>
      <c r="R8083">
        <v>173</v>
      </c>
      <c r="S8083">
        <v>173</v>
      </c>
      <c r="T8083" t="s">
        <v>30618</v>
      </c>
    </row>
    <row r="8084" spans="1:20" customFormat="1" ht="15" x14ac:dyDescent="0.25">
      <c r="A8084" t="s">
        <v>35</v>
      </c>
      <c r="B8084" t="s">
        <v>61</v>
      </c>
      <c r="C8084" t="str">
        <f>"A0181283"</f>
        <v>A0181283</v>
      </c>
      <c r="D8084" t="s">
        <v>30619</v>
      </c>
      <c r="E8084" t="s">
        <v>30620</v>
      </c>
      <c r="F8084" t="s">
        <v>18630</v>
      </c>
      <c r="G8084" t="s">
        <v>90</v>
      </c>
      <c r="H8084" t="s">
        <v>30621</v>
      </c>
      <c r="I8084" t="s">
        <v>30</v>
      </c>
      <c r="J8084" t="s">
        <v>41</v>
      </c>
      <c r="K8084" t="s">
        <v>9956</v>
      </c>
      <c r="Q8084">
        <v>0</v>
      </c>
      <c r="R8084">
        <v>84</v>
      </c>
      <c r="S8084">
        <v>84</v>
      </c>
      <c r="T8084" t="s">
        <v>30622</v>
      </c>
    </row>
    <row r="8085" spans="1:20" customFormat="1" ht="15" x14ac:dyDescent="0.25">
      <c r="A8085" t="s">
        <v>35</v>
      </c>
      <c r="B8085" t="s">
        <v>61</v>
      </c>
      <c r="C8085" t="str">
        <f>"A0181282"</f>
        <v>A0181282</v>
      </c>
      <c r="D8085" t="s">
        <v>20331</v>
      </c>
      <c r="E8085" t="s">
        <v>30623</v>
      </c>
      <c r="F8085" t="s">
        <v>1423</v>
      </c>
      <c r="G8085" t="s">
        <v>52</v>
      </c>
      <c r="H8085" t="s">
        <v>30624</v>
      </c>
      <c r="I8085" t="s">
        <v>30</v>
      </c>
      <c r="J8085" t="s">
        <v>41</v>
      </c>
      <c r="K8085" t="s">
        <v>9956</v>
      </c>
      <c r="Q8085">
        <v>0</v>
      </c>
      <c r="R8085">
        <v>22</v>
      </c>
      <c r="S8085">
        <v>22</v>
      </c>
      <c r="T8085" t="s">
        <v>30625</v>
      </c>
    </row>
    <row r="8086" spans="1:20" customFormat="1" ht="15" x14ac:dyDescent="0.25">
      <c r="A8086" t="s">
        <v>35</v>
      </c>
      <c r="B8086" t="s">
        <v>61</v>
      </c>
      <c r="C8086" t="str">
        <f>"A0181281"</f>
        <v>A0181281</v>
      </c>
      <c r="D8086" t="s">
        <v>30626</v>
      </c>
      <c r="E8086" t="s">
        <v>30627</v>
      </c>
      <c r="F8086" t="s">
        <v>30628</v>
      </c>
      <c r="G8086" t="s">
        <v>52</v>
      </c>
      <c r="H8086" t="s">
        <v>30629</v>
      </c>
      <c r="I8086" t="s">
        <v>30</v>
      </c>
      <c r="J8086" t="s">
        <v>41</v>
      </c>
      <c r="K8086" t="s">
        <v>9956</v>
      </c>
      <c r="Q8086">
        <v>0</v>
      </c>
      <c r="R8086">
        <v>61</v>
      </c>
      <c r="S8086">
        <v>61</v>
      </c>
      <c r="T8086" t="s">
        <v>30630</v>
      </c>
    </row>
    <row r="8087" spans="1:20" customFormat="1" ht="15" x14ac:dyDescent="0.25">
      <c r="A8087" t="s">
        <v>35</v>
      </c>
      <c r="B8087" t="s">
        <v>61</v>
      </c>
      <c r="C8087" t="str">
        <f>"A0181280"</f>
        <v>A0181280</v>
      </c>
      <c r="D8087" t="s">
        <v>30631</v>
      </c>
      <c r="E8087" t="s">
        <v>19301</v>
      </c>
      <c r="F8087" t="s">
        <v>19302</v>
      </c>
      <c r="G8087" t="s">
        <v>103</v>
      </c>
      <c r="H8087" t="s">
        <v>19303</v>
      </c>
      <c r="I8087" t="s">
        <v>30</v>
      </c>
      <c r="J8087" t="s">
        <v>41</v>
      </c>
      <c r="K8087" t="s">
        <v>9956</v>
      </c>
      <c r="Q8087">
        <v>0</v>
      </c>
      <c r="R8087">
        <v>140</v>
      </c>
      <c r="S8087">
        <v>140</v>
      </c>
      <c r="T8087" t="s">
        <v>30632</v>
      </c>
    </row>
    <row r="8088" spans="1:20" customFormat="1" ht="15" x14ac:dyDescent="0.25">
      <c r="A8088" t="s">
        <v>35</v>
      </c>
      <c r="B8088" t="s">
        <v>61</v>
      </c>
      <c r="C8088" t="str">
        <f>"A0181278"</f>
        <v>A0181278</v>
      </c>
      <c r="D8088" t="s">
        <v>30633</v>
      </c>
      <c r="E8088" t="s">
        <v>30634</v>
      </c>
      <c r="F8088" t="s">
        <v>30635</v>
      </c>
      <c r="G8088" t="s">
        <v>90</v>
      </c>
      <c r="H8088" t="s">
        <v>30636</v>
      </c>
      <c r="I8088" t="s">
        <v>30</v>
      </c>
      <c r="J8088" t="s">
        <v>41</v>
      </c>
      <c r="K8088" t="s">
        <v>9956</v>
      </c>
      <c r="Q8088">
        <v>0</v>
      </c>
      <c r="R8088">
        <v>98</v>
      </c>
      <c r="S8088">
        <v>98</v>
      </c>
      <c r="T8088" t="s">
        <v>30637</v>
      </c>
    </row>
    <row r="8089" spans="1:20" customFormat="1" ht="15" x14ac:dyDescent="0.25">
      <c r="A8089" t="s">
        <v>35</v>
      </c>
      <c r="B8089" t="s">
        <v>61</v>
      </c>
      <c r="C8089" t="str">
        <f>"A0181276"</f>
        <v>A0181276</v>
      </c>
      <c r="D8089" t="s">
        <v>30638</v>
      </c>
      <c r="E8089" t="s">
        <v>30639</v>
      </c>
      <c r="F8089" t="s">
        <v>19508</v>
      </c>
      <c r="G8089" t="s">
        <v>103</v>
      </c>
      <c r="H8089" t="s">
        <v>30640</v>
      </c>
      <c r="I8089" t="s">
        <v>30</v>
      </c>
      <c r="J8089" t="s">
        <v>41</v>
      </c>
      <c r="K8089" t="s">
        <v>9956</v>
      </c>
      <c r="Q8089">
        <v>0</v>
      </c>
      <c r="R8089">
        <v>139</v>
      </c>
      <c r="S8089">
        <v>139</v>
      </c>
      <c r="T8089" t="s">
        <v>30641</v>
      </c>
    </row>
    <row r="8090" spans="1:20" customFormat="1" ht="15" x14ac:dyDescent="0.25">
      <c r="A8090" t="s">
        <v>35</v>
      </c>
      <c r="B8090" t="s">
        <v>61</v>
      </c>
      <c r="C8090" t="str">
        <f>"A0181275"</f>
        <v>A0181275</v>
      </c>
      <c r="D8090" t="s">
        <v>30642</v>
      </c>
      <c r="E8090" t="s">
        <v>30643</v>
      </c>
      <c r="F8090" t="s">
        <v>11476</v>
      </c>
      <c r="G8090" t="s">
        <v>103</v>
      </c>
      <c r="H8090">
        <v>17086</v>
      </c>
      <c r="I8090" t="s">
        <v>30</v>
      </c>
      <c r="J8090" t="s">
        <v>41</v>
      </c>
      <c r="K8090" t="s">
        <v>9956</v>
      </c>
      <c r="Q8090">
        <v>0</v>
      </c>
      <c r="R8090">
        <v>1</v>
      </c>
      <c r="S8090">
        <v>1</v>
      </c>
      <c r="T8090" t="s">
        <v>30644</v>
      </c>
    </row>
    <row r="8091" spans="1:20" customFormat="1" ht="15" x14ac:dyDescent="0.25">
      <c r="A8091" t="s">
        <v>35</v>
      </c>
      <c r="B8091" t="s">
        <v>61</v>
      </c>
      <c r="C8091" t="str">
        <f>"A0181274"</f>
        <v>A0181274</v>
      </c>
      <c r="D8091" t="s">
        <v>30645</v>
      </c>
      <c r="E8091" t="s">
        <v>30646</v>
      </c>
      <c r="F8091" t="s">
        <v>18501</v>
      </c>
      <c r="G8091" t="s">
        <v>103</v>
      </c>
      <c r="H8091" t="s">
        <v>30647</v>
      </c>
      <c r="I8091" t="s">
        <v>30</v>
      </c>
      <c r="J8091" t="s">
        <v>41</v>
      </c>
      <c r="K8091" t="s">
        <v>9956</v>
      </c>
      <c r="Q8091">
        <v>0</v>
      </c>
      <c r="R8091">
        <v>142</v>
      </c>
      <c r="S8091">
        <v>142</v>
      </c>
      <c r="T8091" t="s">
        <v>30648</v>
      </c>
    </row>
    <row r="8092" spans="1:20" customFormat="1" ht="15" x14ac:dyDescent="0.25">
      <c r="A8092" t="s">
        <v>35</v>
      </c>
      <c r="B8092" t="s">
        <v>61</v>
      </c>
      <c r="C8092" t="str">
        <f>"A0181273"</f>
        <v>A0181273</v>
      </c>
      <c r="D8092" t="s">
        <v>30649</v>
      </c>
      <c r="E8092" t="s">
        <v>30650</v>
      </c>
      <c r="F8092" t="s">
        <v>3301</v>
      </c>
      <c r="G8092" t="s">
        <v>103</v>
      </c>
      <c r="H8092">
        <v>18701</v>
      </c>
      <c r="I8092" t="s">
        <v>30</v>
      </c>
      <c r="J8092" t="s">
        <v>41</v>
      </c>
      <c r="K8092" t="s">
        <v>9956</v>
      </c>
      <c r="Q8092">
        <v>0</v>
      </c>
      <c r="R8092">
        <v>167</v>
      </c>
      <c r="S8092">
        <v>167</v>
      </c>
      <c r="T8092" t="s">
        <v>30651</v>
      </c>
    </row>
    <row r="8093" spans="1:20" customFormat="1" ht="15" x14ac:dyDescent="0.25">
      <c r="A8093" t="s">
        <v>35</v>
      </c>
      <c r="B8093" t="s">
        <v>61</v>
      </c>
      <c r="C8093" t="str">
        <f>"A0181272"</f>
        <v>A0181272</v>
      </c>
      <c r="D8093" t="s">
        <v>30652</v>
      </c>
      <c r="E8093" t="s">
        <v>30653</v>
      </c>
      <c r="F8093" t="s">
        <v>30654</v>
      </c>
      <c r="G8093" t="s">
        <v>52</v>
      </c>
      <c r="H8093" t="s">
        <v>30655</v>
      </c>
      <c r="I8093" t="s">
        <v>30</v>
      </c>
      <c r="J8093" t="s">
        <v>41</v>
      </c>
      <c r="K8093" t="s">
        <v>9956</v>
      </c>
      <c r="Q8093">
        <v>0</v>
      </c>
      <c r="R8093">
        <v>58</v>
      </c>
      <c r="S8093">
        <v>58</v>
      </c>
      <c r="T8093" t="s">
        <v>30656</v>
      </c>
    </row>
    <row r="8094" spans="1:20" customFormat="1" ht="15" x14ac:dyDescent="0.25">
      <c r="A8094" t="s">
        <v>35</v>
      </c>
      <c r="B8094" t="s">
        <v>61</v>
      </c>
      <c r="C8094" t="str">
        <f>"A0181271"</f>
        <v>A0181271</v>
      </c>
      <c r="D8094" t="s">
        <v>21498</v>
      </c>
      <c r="E8094" t="s">
        <v>30657</v>
      </c>
      <c r="F8094" t="s">
        <v>3301</v>
      </c>
      <c r="G8094" t="s">
        <v>103</v>
      </c>
      <c r="H8094" t="s">
        <v>30658</v>
      </c>
      <c r="I8094" t="s">
        <v>30</v>
      </c>
      <c r="J8094" t="s">
        <v>41</v>
      </c>
      <c r="K8094" t="s">
        <v>9956</v>
      </c>
      <c r="Q8094">
        <v>0</v>
      </c>
      <c r="R8094">
        <v>50</v>
      </c>
      <c r="S8094">
        <v>50</v>
      </c>
      <c r="T8094" t="s">
        <v>30659</v>
      </c>
    </row>
    <row r="8095" spans="1:20" customFormat="1" ht="15" x14ac:dyDescent="0.25">
      <c r="A8095" t="s">
        <v>35</v>
      </c>
      <c r="B8095" t="s">
        <v>61</v>
      </c>
      <c r="C8095" t="str">
        <f>"A0181270"</f>
        <v>A0181270</v>
      </c>
      <c r="D8095" t="s">
        <v>30660</v>
      </c>
      <c r="E8095" t="s">
        <v>30661</v>
      </c>
      <c r="F8095" t="s">
        <v>5781</v>
      </c>
      <c r="G8095" t="s">
        <v>103</v>
      </c>
      <c r="H8095" t="s">
        <v>30662</v>
      </c>
      <c r="I8095" t="s">
        <v>30</v>
      </c>
      <c r="J8095" t="s">
        <v>41</v>
      </c>
      <c r="K8095" t="s">
        <v>9956</v>
      </c>
      <c r="Q8095">
        <v>0</v>
      </c>
      <c r="R8095">
        <v>53</v>
      </c>
      <c r="S8095">
        <v>53</v>
      </c>
      <c r="T8095" t="s">
        <v>30663</v>
      </c>
    </row>
    <row r="8096" spans="1:20" customFormat="1" ht="15" x14ac:dyDescent="0.25">
      <c r="A8096" t="s">
        <v>35</v>
      </c>
      <c r="B8096" t="s">
        <v>61</v>
      </c>
      <c r="C8096" t="str">
        <f>"A0181269"</f>
        <v>A0181269</v>
      </c>
      <c r="D8096" t="s">
        <v>30664</v>
      </c>
      <c r="E8096" t="s">
        <v>30665</v>
      </c>
      <c r="F8096" t="s">
        <v>19345</v>
      </c>
      <c r="G8096" t="s">
        <v>103</v>
      </c>
      <c r="H8096">
        <v>18640</v>
      </c>
      <c r="I8096" t="s">
        <v>30</v>
      </c>
      <c r="J8096" t="s">
        <v>41</v>
      </c>
      <c r="K8096" t="s">
        <v>9956</v>
      </c>
      <c r="Q8096">
        <v>0</v>
      </c>
      <c r="R8096">
        <v>0</v>
      </c>
      <c r="S8096">
        <v>0</v>
      </c>
      <c r="T8096" t="s">
        <v>19347</v>
      </c>
    </row>
    <row r="8097" spans="1:20" customFormat="1" ht="15" x14ac:dyDescent="0.25">
      <c r="A8097" t="s">
        <v>35</v>
      </c>
      <c r="B8097" t="s">
        <v>61</v>
      </c>
      <c r="C8097" t="str">
        <f>"A0181268"</f>
        <v>A0181268</v>
      </c>
      <c r="D8097" t="s">
        <v>30666</v>
      </c>
      <c r="E8097" t="s">
        <v>30667</v>
      </c>
      <c r="F8097" t="s">
        <v>19333</v>
      </c>
      <c r="G8097" t="s">
        <v>103</v>
      </c>
      <c r="H8097" t="s">
        <v>30668</v>
      </c>
      <c r="I8097" t="s">
        <v>30</v>
      </c>
      <c r="J8097" t="s">
        <v>41</v>
      </c>
      <c r="K8097" t="s">
        <v>9956</v>
      </c>
      <c r="Q8097">
        <v>0</v>
      </c>
      <c r="R8097">
        <v>0</v>
      </c>
      <c r="S8097">
        <v>0</v>
      </c>
    </row>
    <row r="8098" spans="1:20" customFormat="1" ht="15" x14ac:dyDescent="0.25">
      <c r="A8098" t="s">
        <v>35</v>
      </c>
      <c r="B8098" t="s">
        <v>61</v>
      </c>
      <c r="C8098" t="str">
        <f>"A0181266"</f>
        <v>A0181266</v>
      </c>
      <c r="D8098" t="s">
        <v>30669</v>
      </c>
      <c r="E8098" t="s">
        <v>30670</v>
      </c>
      <c r="F8098" t="s">
        <v>30671</v>
      </c>
      <c r="G8098" t="s">
        <v>103</v>
      </c>
      <c r="H8098" t="s">
        <v>30672</v>
      </c>
      <c r="I8098" t="s">
        <v>30</v>
      </c>
      <c r="J8098" t="s">
        <v>41</v>
      </c>
      <c r="K8098" t="s">
        <v>9956</v>
      </c>
      <c r="Q8098">
        <v>0</v>
      </c>
      <c r="R8098">
        <v>127</v>
      </c>
      <c r="S8098">
        <v>127</v>
      </c>
      <c r="T8098" t="s">
        <v>30673</v>
      </c>
    </row>
    <row r="8099" spans="1:20" customFormat="1" ht="15" x14ac:dyDescent="0.25">
      <c r="A8099" t="s">
        <v>35</v>
      </c>
      <c r="B8099" t="s">
        <v>61</v>
      </c>
      <c r="C8099" t="str">
        <f>"A0181265"</f>
        <v>A0181265</v>
      </c>
      <c r="D8099" t="s">
        <v>30674</v>
      </c>
      <c r="E8099" t="s">
        <v>30675</v>
      </c>
      <c r="F8099" t="s">
        <v>1731</v>
      </c>
      <c r="G8099" t="s">
        <v>103</v>
      </c>
      <c r="H8099" t="s">
        <v>30676</v>
      </c>
      <c r="I8099" t="s">
        <v>30</v>
      </c>
      <c r="J8099" t="s">
        <v>41</v>
      </c>
      <c r="K8099" t="s">
        <v>9956</v>
      </c>
      <c r="Q8099">
        <v>0</v>
      </c>
      <c r="R8099">
        <v>130</v>
      </c>
      <c r="S8099">
        <v>130</v>
      </c>
      <c r="T8099" t="s">
        <v>30677</v>
      </c>
    </row>
    <row r="8100" spans="1:20" customFormat="1" ht="15" x14ac:dyDescent="0.25">
      <c r="A8100" t="s">
        <v>35</v>
      </c>
      <c r="B8100" t="s">
        <v>61</v>
      </c>
      <c r="C8100" t="str">
        <f>"A0181264"</f>
        <v>A0181264</v>
      </c>
      <c r="D8100" t="s">
        <v>30678</v>
      </c>
      <c r="E8100" t="s">
        <v>30679</v>
      </c>
      <c r="F8100" t="s">
        <v>30680</v>
      </c>
      <c r="G8100" t="s">
        <v>289</v>
      </c>
      <c r="H8100" t="s">
        <v>30681</v>
      </c>
      <c r="I8100" t="s">
        <v>30</v>
      </c>
      <c r="J8100" t="s">
        <v>41</v>
      </c>
      <c r="K8100" t="s">
        <v>9956</v>
      </c>
      <c r="Q8100">
        <v>0</v>
      </c>
      <c r="R8100">
        <v>117</v>
      </c>
      <c r="S8100">
        <v>117</v>
      </c>
      <c r="T8100" t="s">
        <v>30682</v>
      </c>
    </row>
    <row r="8101" spans="1:20" customFormat="1" ht="15" x14ac:dyDescent="0.25">
      <c r="A8101" t="s">
        <v>35</v>
      </c>
      <c r="B8101" t="s">
        <v>61</v>
      </c>
      <c r="C8101" t="str">
        <f>"A0181263"</f>
        <v>A0181263</v>
      </c>
      <c r="D8101" t="s">
        <v>30683</v>
      </c>
      <c r="E8101" t="s">
        <v>30684</v>
      </c>
      <c r="F8101" t="s">
        <v>30685</v>
      </c>
      <c r="G8101" t="s">
        <v>52</v>
      </c>
      <c r="H8101" t="s">
        <v>30686</v>
      </c>
      <c r="I8101" t="s">
        <v>30</v>
      </c>
      <c r="J8101" t="s">
        <v>41</v>
      </c>
      <c r="K8101" t="s">
        <v>9956</v>
      </c>
      <c r="Q8101">
        <v>0</v>
      </c>
      <c r="R8101">
        <v>94</v>
      </c>
      <c r="S8101">
        <v>94</v>
      </c>
      <c r="T8101" t="s">
        <v>30687</v>
      </c>
    </row>
    <row r="8102" spans="1:20" customFormat="1" ht="15" x14ac:dyDescent="0.25">
      <c r="A8102" t="s">
        <v>35</v>
      </c>
      <c r="B8102" t="s">
        <v>61</v>
      </c>
      <c r="C8102" t="str">
        <f>"A0181262"</f>
        <v>A0181262</v>
      </c>
      <c r="D8102" t="s">
        <v>30688</v>
      </c>
      <c r="E8102" t="s">
        <v>30689</v>
      </c>
      <c r="F8102" t="s">
        <v>30690</v>
      </c>
      <c r="G8102" t="s">
        <v>52</v>
      </c>
      <c r="H8102" t="s">
        <v>30691</v>
      </c>
      <c r="I8102" t="s">
        <v>30</v>
      </c>
      <c r="J8102" t="s">
        <v>41</v>
      </c>
      <c r="K8102" t="s">
        <v>9956</v>
      </c>
      <c r="Q8102">
        <v>0</v>
      </c>
      <c r="R8102">
        <v>56</v>
      </c>
      <c r="S8102">
        <v>56</v>
      </c>
      <c r="T8102" t="s">
        <v>30692</v>
      </c>
    </row>
    <row r="8103" spans="1:20" customFormat="1" ht="15" x14ac:dyDescent="0.25">
      <c r="A8103" t="s">
        <v>35</v>
      </c>
      <c r="B8103" t="s">
        <v>61</v>
      </c>
      <c r="C8103" t="str">
        <f>"A0181261"</f>
        <v>A0181261</v>
      </c>
      <c r="D8103" t="s">
        <v>30693</v>
      </c>
      <c r="E8103" t="s">
        <v>20208</v>
      </c>
      <c r="F8103" t="s">
        <v>9735</v>
      </c>
      <c r="G8103" t="s">
        <v>71</v>
      </c>
      <c r="H8103">
        <v>54304</v>
      </c>
      <c r="I8103" t="s">
        <v>30</v>
      </c>
      <c r="J8103" t="s">
        <v>41</v>
      </c>
      <c r="K8103" t="s">
        <v>9956</v>
      </c>
      <c r="Q8103">
        <v>0</v>
      </c>
      <c r="R8103">
        <v>130</v>
      </c>
      <c r="S8103">
        <v>130</v>
      </c>
      <c r="T8103" t="s">
        <v>20209</v>
      </c>
    </row>
    <row r="8104" spans="1:20" customFormat="1" ht="15" x14ac:dyDescent="0.25">
      <c r="A8104" t="s">
        <v>35</v>
      </c>
      <c r="B8104" t="s">
        <v>61</v>
      </c>
      <c r="C8104" t="str">
        <f>"A0181260"</f>
        <v>A0181260</v>
      </c>
      <c r="D8104" t="s">
        <v>30694</v>
      </c>
      <c r="E8104" t="s">
        <v>30695</v>
      </c>
      <c r="F8104" t="s">
        <v>19869</v>
      </c>
      <c r="G8104" t="s">
        <v>103</v>
      </c>
      <c r="H8104" t="s">
        <v>30696</v>
      </c>
      <c r="I8104" t="s">
        <v>30</v>
      </c>
      <c r="J8104" t="s">
        <v>41</v>
      </c>
      <c r="K8104" t="s">
        <v>9956</v>
      </c>
      <c r="Q8104">
        <v>0</v>
      </c>
      <c r="R8104">
        <v>0</v>
      </c>
      <c r="S8104">
        <v>0</v>
      </c>
      <c r="T8104" t="s">
        <v>30697</v>
      </c>
    </row>
    <row r="8105" spans="1:20" customFormat="1" ht="15" x14ac:dyDescent="0.25">
      <c r="A8105" t="s">
        <v>35</v>
      </c>
      <c r="B8105" t="s">
        <v>61</v>
      </c>
      <c r="C8105" t="str">
        <f>"A0181259"</f>
        <v>A0181259</v>
      </c>
      <c r="D8105" t="s">
        <v>30698</v>
      </c>
      <c r="E8105" t="s">
        <v>30699</v>
      </c>
      <c r="F8105" t="s">
        <v>28728</v>
      </c>
      <c r="G8105" t="s">
        <v>71</v>
      </c>
      <c r="H8105" t="s">
        <v>30700</v>
      </c>
      <c r="I8105" t="s">
        <v>30</v>
      </c>
      <c r="J8105" t="s">
        <v>41</v>
      </c>
      <c r="K8105" t="s">
        <v>9956</v>
      </c>
      <c r="Q8105">
        <v>0</v>
      </c>
      <c r="R8105">
        <v>80</v>
      </c>
      <c r="S8105">
        <v>80</v>
      </c>
      <c r="T8105" t="s">
        <v>28730</v>
      </c>
    </row>
    <row r="8106" spans="1:20" customFormat="1" ht="15" x14ac:dyDescent="0.25">
      <c r="A8106" t="s">
        <v>35</v>
      </c>
      <c r="B8106" t="s">
        <v>61</v>
      </c>
      <c r="C8106" t="str">
        <f>"A0181258"</f>
        <v>A0181258</v>
      </c>
      <c r="D8106" t="s">
        <v>30701</v>
      </c>
      <c r="E8106" t="s">
        <v>30702</v>
      </c>
      <c r="F8106" t="s">
        <v>23495</v>
      </c>
      <c r="G8106" t="s">
        <v>103</v>
      </c>
      <c r="H8106" t="s">
        <v>30703</v>
      </c>
      <c r="I8106" t="s">
        <v>30</v>
      </c>
      <c r="J8106" t="s">
        <v>41</v>
      </c>
      <c r="K8106" t="s">
        <v>9956</v>
      </c>
      <c r="Q8106">
        <v>0</v>
      </c>
      <c r="R8106">
        <v>120</v>
      </c>
      <c r="S8106">
        <v>120</v>
      </c>
      <c r="T8106" t="s">
        <v>30704</v>
      </c>
    </row>
    <row r="8107" spans="1:20" customFormat="1" ht="15" x14ac:dyDescent="0.25">
      <c r="A8107" t="s">
        <v>35</v>
      </c>
      <c r="B8107" t="s">
        <v>61</v>
      </c>
      <c r="C8107" t="str">
        <f>"A0181257"</f>
        <v>A0181257</v>
      </c>
      <c r="D8107" t="s">
        <v>30705</v>
      </c>
      <c r="E8107" t="s">
        <v>30706</v>
      </c>
      <c r="F8107" t="s">
        <v>30707</v>
      </c>
      <c r="G8107" t="s">
        <v>103</v>
      </c>
      <c r="H8107" t="s">
        <v>30708</v>
      </c>
      <c r="I8107" t="s">
        <v>30</v>
      </c>
      <c r="J8107" t="s">
        <v>41</v>
      </c>
      <c r="K8107" t="s">
        <v>9956</v>
      </c>
      <c r="Q8107">
        <v>0</v>
      </c>
      <c r="R8107">
        <v>139</v>
      </c>
      <c r="S8107">
        <v>139</v>
      </c>
      <c r="T8107" t="s">
        <v>30709</v>
      </c>
    </row>
    <row r="8108" spans="1:20" customFormat="1" ht="15" x14ac:dyDescent="0.25">
      <c r="A8108" t="s">
        <v>35</v>
      </c>
      <c r="B8108" t="s">
        <v>61</v>
      </c>
      <c r="C8108" t="str">
        <f>"A0181256"</f>
        <v>A0181256</v>
      </c>
      <c r="D8108" t="s">
        <v>30710</v>
      </c>
      <c r="E8108" t="s">
        <v>30711</v>
      </c>
      <c r="F8108" t="s">
        <v>30712</v>
      </c>
      <c r="G8108" t="s">
        <v>71</v>
      </c>
      <c r="H8108" t="s">
        <v>30713</v>
      </c>
      <c r="I8108" t="s">
        <v>30</v>
      </c>
      <c r="J8108" t="s">
        <v>41</v>
      </c>
      <c r="K8108" t="s">
        <v>9956</v>
      </c>
      <c r="Q8108">
        <v>0</v>
      </c>
      <c r="R8108">
        <v>61</v>
      </c>
      <c r="S8108">
        <v>61</v>
      </c>
      <c r="T8108" t="s">
        <v>30714</v>
      </c>
    </row>
    <row r="8109" spans="1:20" customFormat="1" ht="15" x14ac:dyDescent="0.25">
      <c r="A8109" t="s">
        <v>35</v>
      </c>
      <c r="B8109" t="s">
        <v>61</v>
      </c>
      <c r="C8109" t="str">
        <f>"A0181255"</f>
        <v>A0181255</v>
      </c>
      <c r="D8109" t="s">
        <v>30715</v>
      </c>
      <c r="E8109" t="s">
        <v>30716</v>
      </c>
      <c r="F8109" t="s">
        <v>102</v>
      </c>
      <c r="G8109" t="s">
        <v>103</v>
      </c>
      <c r="H8109" t="s">
        <v>30717</v>
      </c>
      <c r="I8109" t="s">
        <v>30</v>
      </c>
      <c r="J8109" t="s">
        <v>41</v>
      </c>
      <c r="K8109" t="s">
        <v>9956</v>
      </c>
      <c r="Q8109">
        <v>0</v>
      </c>
      <c r="R8109">
        <v>159</v>
      </c>
      <c r="S8109">
        <v>159</v>
      </c>
      <c r="T8109" t="s">
        <v>30718</v>
      </c>
    </row>
    <row r="8110" spans="1:20" customFormat="1" ht="15" x14ac:dyDescent="0.25">
      <c r="A8110" t="s">
        <v>35</v>
      </c>
      <c r="B8110" t="s">
        <v>61</v>
      </c>
      <c r="C8110" t="str">
        <f>"A0181254"</f>
        <v>A0181254</v>
      </c>
      <c r="D8110" t="s">
        <v>30719</v>
      </c>
      <c r="E8110" t="s">
        <v>20111</v>
      </c>
      <c r="F8110" t="s">
        <v>30720</v>
      </c>
      <c r="G8110" t="s">
        <v>71</v>
      </c>
      <c r="H8110" t="s">
        <v>20112</v>
      </c>
      <c r="I8110" t="s">
        <v>30</v>
      </c>
      <c r="J8110" t="s">
        <v>41</v>
      </c>
      <c r="K8110" t="s">
        <v>9956</v>
      </c>
      <c r="Q8110">
        <v>0</v>
      </c>
      <c r="R8110">
        <v>168</v>
      </c>
      <c r="S8110">
        <v>168</v>
      </c>
      <c r="T8110" t="s">
        <v>19891</v>
      </c>
    </row>
    <row r="8111" spans="1:20" customFormat="1" ht="15" x14ac:dyDescent="0.25">
      <c r="A8111" t="s">
        <v>35</v>
      </c>
      <c r="B8111" t="s">
        <v>61</v>
      </c>
      <c r="C8111" t="str">
        <f>"A0181253"</f>
        <v>A0181253</v>
      </c>
      <c r="D8111" t="s">
        <v>30721</v>
      </c>
      <c r="E8111" t="s">
        <v>30722</v>
      </c>
      <c r="F8111" t="s">
        <v>3740</v>
      </c>
      <c r="G8111" t="s">
        <v>71</v>
      </c>
      <c r="H8111" t="s">
        <v>30723</v>
      </c>
      <c r="I8111" t="s">
        <v>30</v>
      </c>
      <c r="J8111" t="s">
        <v>41</v>
      </c>
      <c r="K8111" t="s">
        <v>9956</v>
      </c>
      <c r="Q8111">
        <v>0</v>
      </c>
      <c r="R8111">
        <v>137</v>
      </c>
      <c r="S8111">
        <v>137</v>
      </c>
      <c r="T8111" t="s">
        <v>20345</v>
      </c>
    </row>
    <row r="8112" spans="1:20" customFormat="1" ht="15" x14ac:dyDescent="0.25">
      <c r="A8112" t="s">
        <v>35</v>
      </c>
      <c r="B8112" t="s">
        <v>61</v>
      </c>
      <c r="C8112" t="str">
        <f>"A0181252"</f>
        <v>A0181252</v>
      </c>
      <c r="D8112" t="s">
        <v>30724</v>
      </c>
      <c r="E8112" t="s">
        <v>20111</v>
      </c>
      <c r="F8112" t="s">
        <v>30720</v>
      </c>
      <c r="G8112" t="s">
        <v>71</v>
      </c>
      <c r="H8112" t="s">
        <v>20112</v>
      </c>
      <c r="I8112" t="s">
        <v>30</v>
      </c>
      <c r="J8112" t="s">
        <v>41</v>
      </c>
      <c r="K8112" t="s">
        <v>9956</v>
      </c>
      <c r="Q8112">
        <v>0</v>
      </c>
      <c r="R8112">
        <v>20</v>
      </c>
      <c r="S8112">
        <v>20</v>
      </c>
      <c r="T8112" t="s">
        <v>19891</v>
      </c>
    </row>
    <row r="8113" spans="1:20" customFormat="1" ht="15" x14ac:dyDescent="0.25">
      <c r="A8113" t="s">
        <v>35</v>
      </c>
      <c r="B8113" t="s">
        <v>61</v>
      </c>
      <c r="C8113" t="str">
        <f>"A0181251"</f>
        <v>A0181251</v>
      </c>
      <c r="D8113" t="s">
        <v>30725</v>
      </c>
      <c r="E8113" t="s">
        <v>30726</v>
      </c>
      <c r="F8113" t="s">
        <v>24507</v>
      </c>
      <c r="G8113" t="s">
        <v>71</v>
      </c>
      <c r="H8113" t="s">
        <v>30727</v>
      </c>
      <c r="I8113" t="s">
        <v>30</v>
      </c>
      <c r="J8113" t="s">
        <v>41</v>
      </c>
      <c r="K8113" t="s">
        <v>9956</v>
      </c>
      <c r="Q8113">
        <v>0</v>
      </c>
      <c r="R8113">
        <v>131</v>
      </c>
      <c r="S8113">
        <v>131</v>
      </c>
      <c r="T8113" t="s">
        <v>30728</v>
      </c>
    </row>
    <row r="8114" spans="1:20" customFormat="1" ht="15" x14ac:dyDescent="0.25">
      <c r="A8114" t="s">
        <v>35</v>
      </c>
      <c r="B8114" t="s">
        <v>61</v>
      </c>
      <c r="C8114" t="str">
        <f>"A0181250"</f>
        <v>A0181250</v>
      </c>
      <c r="D8114" t="s">
        <v>30729</v>
      </c>
      <c r="E8114" t="s">
        <v>30730</v>
      </c>
      <c r="F8114" t="s">
        <v>1731</v>
      </c>
      <c r="G8114" t="s">
        <v>103</v>
      </c>
      <c r="H8114" t="s">
        <v>30731</v>
      </c>
      <c r="I8114" t="s">
        <v>30</v>
      </c>
      <c r="J8114" t="s">
        <v>41</v>
      </c>
      <c r="K8114" t="s">
        <v>9956</v>
      </c>
      <c r="Q8114">
        <v>0</v>
      </c>
      <c r="R8114">
        <v>130</v>
      </c>
      <c r="S8114">
        <v>130</v>
      </c>
      <c r="T8114" t="s">
        <v>30677</v>
      </c>
    </row>
    <row r="8115" spans="1:20" customFormat="1" ht="15" x14ac:dyDescent="0.25">
      <c r="A8115" t="s">
        <v>35</v>
      </c>
      <c r="B8115" t="s">
        <v>61</v>
      </c>
      <c r="C8115" t="str">
        <f>"A0181249"</f>
        <v>A0181249</v>
      </c>
      <c r="D8115" t="s">
        <v>30732</v>
      </c>
      <c r="E8115" t="s">
        <v>30733</v>
      </c>
      <c r="F8115" t="s">
        <v>30734</v>
      </c>
      <c r="G8115" t="s">
        <v>3236</v>
      </c>
      <c r="H8115">
        <v>577832203</v>
      </c>
      <c r="I8115" t="s">
        <v>30</v>
      </c>
      <c r="J8115" t="s">
        <v>41</v>
      </c>
      <c r="K8115" t="s">
        <v>9956</v>
      </c>
      <c r="Q8115">
        <v>0</v>
      </c>
      <c r="R8115">
        <v>95</v>
      </c>
      <c r="S8115">
        <v>95</v>
      </c>
      <c r="T8115" t="s">
        <v>30735</v>
      </c>
    </row>
    <row r="8116" spans="1:20" customFormat="1" ht="15" x14ac:dyDescent="0.25">
      <c r="A8116" t="s">
        <v>35</v>
      </c>
      <c r="B8116" t="s">
        <v>61</v>
      </c>
      <c r="C8116" t="str">
        <f>"A0181248"</f>
        <v>A0181248</v>
      </c>
      <c r="D8116" t="s">
        <v>30736</v>
      </c>
      <c r="E8116" t="s">
        <v>30737</v>
      </c>
      <c r="F8116" t="s">
        <v>30738</v>
      </c>
      <c r="G8116" t="s">
        <v>71</v>
      </c>
      <c r="H8116" t="s">
        <v>30739</v>
      </c>
      <c r="I8116" t="s">
        <v>30</v>
      </c>
      <c r="J8116" t="s">
        <v>41</v>
      </c>
      <c r="K8116" t="s">
        <v>9956</v>
      </c>
      <c r="Q8116">
        <v>0</v>
      </c>
      <c r="R8116">
        <v>41</v>
      </c>
      <c r="S8116">
        <v>41</v>
      </c>
      <c r="T8116" t="s">
        <v>30740</v>
      </c>
    </row>
    <row r="8117" spans="1:20" customFormat="1" ht="15" x14ac:dyDescent="0.25">
      <c r="A8117" t="s">
        <v>35</v>
      </c>
      <c r="B8117" t="s">
        <v>61</v>
      </c>
      <c r="C8117" t="str">
        <f>"A0181247"</f>
        <v>A0181247</v>
      </c>
      <c r="D8117" t="s">
        <v>30741</v>
      </c>
      <c r="E8117" t="s">
        <v>30742</v>
      </c>
      <c r="F8117" t="s">
        <v>2467</v>
      </c>
      <c r="G8117" t="s">
        <v>3236</v>
      </c>
      <c r="H8117">
        <v>577471374</v>
      </c>
      <c r="I8117" t="s">
        <v>30</v>
      </c>
      <c r="J8117" t="s">
        <v>41</v>
      </c>
      <c r="K8117" t="s">
        <v>9956</v>
      </c>
      <c r="Q8117">
        <v>0</v>
      </c>
      <c r="R8117">
        <v>48</v>
      </c>
      <c r="S8117">
        <v>48</v>
      </c>
      <c r="T8117" t="s">
        <v>30743</v>
      </c>
    </row>
    <row r="8118" spans="1:20" customFormat="1" ht="15" x14ac:dyDescent="0.25">
      <c r="A8118" t="s">
        <v>35</v>
      </c>
      <c r="B8118" t="s">
        <v>61</v>
      </c>
      <c r="C8118" t="str">
        <f>"A0181246"</f>
        <v>A0181246</v>
      </c>
      <c r="D8118" t="s">
        <v>30744</v>
      </c>
      <c r="E8118" t="s">
        <v>30745</v>
      </c>
      <c r="F8118" t="s">
        <v>30746</v>
      </c>
      <c r="G8118" t="s">
        <v>52</v>
      </c>
      <c r="H8118" t="s">
        <v>30747</v>
      </c>
      <c r="I8118" t="s">
        <v>30</v>
      </c>
      <c r="J8118" t="s">
        <v>41</v>
      </c>
      <c r="K8118" t="s">
        <v>9956</v>
      </c>
      <c r="Q8118">
        <v>0</v>
      </c>
      <c r="R8118">
        <v>160</v>
      </c>
      <c r="S8118">
        <v>160</v>
      </c>
      <c r="T8118" t="s">
        <v>30748</v>
      </c>
    </row>
    <row r="8119" spans="1:20" customFormat="1" ht="15" x14ac:dyDescent="0.25">
      <c r="A8119" t="s">
        <v>35</v>
      </c>
      <c r="B8119" t="s">
        <v>61</v>
      </c>
      <c r="C8119" t="str">
        <f>"A0181245"</f>
        <v>A0181245</v>
      </c>
      <c r="D8119" t="s">
        <v>30749</v>
      </c>
      <c r="E8119" t="s">
        <v>30750</v>
      </c>
      <c r="F8119" t="s">
        <v>24998</v>
      </c>
      <c r="G8119" t="s">
        <v>65</v>
      </c>
      <c r="H8119" t="s">
        <v>30751</v>
      </c>
      <c r="I8119" t="s">
        <v>30</v>
      </c>
      <c r="J8119" t="s">
        <v>41</v>
      </c>
      <c r="K8119" t="s">
        <v>9956</v>
      </c>
      <c r="Q8119">
        <v>0</v>
      </c>
      <c r="R8119">
        <v>198</v>
      </c>
      <c r="S8119">
        <v>198</v>
      </c>
      <c r="T8119" t="s">
        <v>30752</v>
      </c>
    </row>
    <row r="8120" spans="1:20" customFormat="1" ht="15" x14ac:dyDescent="0.25">
      <c r="A8120" t="s">
        <v>35</v>
      </c>
      <c r="B8120" t="s">
        <v>61</v>
      </c>
      <c r="C8120" t="str">
        <f>"A0181242"</f>
        <v>A0181242</v>
      </c>
      <c r="D8120" t="s">
        <v>30753</v>
      </c>
      <c r="E8120" t="s">
        <v>20620</v>
      </c>
      <c r="F8120" t="s">
        <v>20621</v>
      </c>
      <c r="G8120" t="s">
        <v>103</v>
      </c>
      <c r="H8120" t="s">
        <v>20622</v>
      </c>
      <c r="I8120" t="s">
        <v>30</v>
      </c>
      <c r="J8120" t="s">
        <v>41</v>
      </c>
      <c r="K8120" t="s">
        <v>9956</v>
      </c>
      <c r="Q8120">
        <v>0</v>
      </c>
      <c r="R8120">
        <v>200</v>
      </c>
      <c r="S8120">
        <v>200</v>
      </c>
      <c r="T8120" t="s">
        <v>20623</v>
      </c>
    </row>
    <row r="8121" spans="1:20" customFormat="1" ht="15" x14ac:dyDescent="0.25">
      <c r="A8121" t="s">
        <v>35</v>
      </c>
      <c r="B8121" t="s">
        <v>61</v>
      </c>
      <c r="C8121" t="str">
        <f>"A0181241"</f>
        <v>A0181241</v>
      </c>
      <c r="D8121" t="s">
        <v>30754</v>
      </c>
      <c r="E8121" t="s">
        <v>30755</v>
      </c>
      <c r="F8121" t="s">
        <v>30756</v>
      </c>
      <c r="G8121" t="s">
        <v>925</v>
      </c>
      <c r="H8121" t="s">
        <v>30757</v>
      </c>
      <c r="I8121" t="s">
        <v>30</v>
      </c>
      <c r="J8121" t="s">
        <v>41</v>
      </c>
      <c r="K8121" t="s">
        <v>9956</v>
      </c>
      <c r="Q8121">
        <v>0</v>
      </c>
      <c r="R8121">
        <v>51</v>
      </c>
      <c r="S8121">
        <v>51</v>
      </c>
      <c r="T8121" t="s">
        <v>30758</v>
      </c>
    </row>
    <row r="8122" spans="1:20" customFormat="1" ht="15" x14ac:dyDescent="0.25">
      <c r="A8122" t="s">
        <v>35</v>
      </c>
      <c r="B8122" t="s">
        <v>61</v>
      </c>
      <c r="C8122" t="str">
        <f>"A0181240"</f>
        <v>A0181240</v>
      </c>
      <c r="D8122" t="s">
        <v>30759</v>
      </c>
      <c r="E8122" t="s">
        <v>30760</v>
      </c>
      <c r="F8122" t="s">
        <v>30761</v>
      </c>
      <c r="G8122" t="s">
        <v>99</v>
      </c>
      <c r="H8122" t="s">
        <v>30762</v>
      </c>
      <c r="I8122" t="s">
        <v>30</v>
      </c>
      <c r="J8122" t="s">
        <v>41</v>
      </c>
      <c r="K8122" t="s">
        <v>9956</v>
      </c>
      <c r="Q8122">
        <v>0</v>
      </c>
      <c r="R8122">
        <v>356</v>
      </c>
      <c r="S8122">
        <v>356</v>
      </c>
      <c r="T8122" t="s">
        <v>30763</v>
      </c>
    </row>
    <row r="8123" spans="1:20" customFormat="1" ht="15" x14ac:dyDescent="0.25">
      <c r="A8123" t="s">
        <v>35</v>
      </c>
      <c r="B8123" t="s">
        <v>61</v>
      </c>
      <c r="C8123" t="str">
        <f>"A0181239"</f>
        <v>A0181239</v>
      </c>
      <c r="D8123" t="s">
        <v>30764</v>
      </c>
      <c r="E8123" t="s">
        <v>30726</v>
      </c>
      <c r="F8123" t="s">
        <v>24507</v>
      </c>
      <c r="G8123" t="s">
        <v>71</v>
      </c>
      <c r="H8123">
        <v>530952531</v>
      </c>
      <c r="I8123" t="s">
        <v>30</v>
      </c>
      <c r="J8123" t="s">
        <v>41</v>
      </c>
      <c r="K8123" t="s">
        <v>9956</v>
      </c>
      <c r="Q8123">
        <v>0</v>
      </c>
      <c r="R8123">
        <v>131</v>
      </c>
      <c r="S8123">
        <v>131</v>
      </c>
      <c r="T8123" t="s">
        <v>30765</v>
      </c>
    </row>
    <row r="8124" spans="1:20" customFormat="1" ht="15" x14ac:dyDescent="0.25">
      <c r="A8124" t="s">
        <v>35</v>
      </c>
      <c r="B8124" t="s">
        <v>61</v>
      </c>
      <c r="C8124" t="str">
        <f>"A0181238"</f>
        <v>A0181238</v>
      </c>
      <c r="D8124" t="s">
        <v>30766</v>
      </c>
      <c r="E8124" t="s">
        <v>30726</v>
      </c>
      <c r="F8124" t="s">
        <v>24507</v>
      </c>
      <c r="G8124" t="s">
        <v>71</v>
      </c>
      <c r="H8124" t="s">
        <v>30727</v>
      </c>
      <c r="I8124" t="s">
        <v>30</v>
      </c>
      <c r="J8124" t="s">
        <v>41</v>
      </c>
      <c r="K8124" t="s">
        <v>9956</v>
      </c>
      <c r="Q8124">
        <v>0</v>
      </c>
      <c r="R8124">
        <v>131</v>
      </c>
      <c r="S8124">
        <v>131</v>
      </c>
      <c r="T8124" t="s">
        <v>30728</v>
      </c>
    </row>
    <row r="8125" spans="1:20" customFormat="1" ht="15" x14ac:dyDescent="0.25">
      <c r="A8125" t="s">
        <v>35</v>
      </c>
      <c r="B8125" t="s">
        <v>61</v>
      </c>
      <c r="C8125" t="str">
        <f>"A0181237"</f>
        <v>A0181237</v>
      </c>
      <c r="D8125" t="s">
        <v>30767</v>
      </c>
      <c r="E8125" t="s">
        <v>24766</v>
      </c>
      <c r="F8125" t="s">
        <v>6738</v>
      </c>
      <c r="G8125" t="s">
        <v>81</v>
      </c>
      <c r="H8125" t="s">
        <v>24767</v>
      </c>
      <c r="I8125" t="s">
        <v>30</v>
      </c>
      <c r="J8125" t="s">
        <v>41</v>
      </c>
      <c r="K8125" t="s">
        <v>9956</v>
      </c>
      <c r="Q8125">
        <v>0</v>
      </c>
      <c r="R8125">
        <v>0</v>
      </c>
      <c r="S8125">
        <v>0</v>
      </c>
      <c r="T8125" t="s">
        <v>24768</v>
      </c>
    </row>
    <row r="8126" spans="1:20" customFormat="1" ht="15" x14ac:dyDescent="0.25">
      <c r="A8126" t="s">
        <v>35</v>
      </c>
      <c r="B8126" t="s">
        <v>61</v>
      </c>
      <c r="C8126" t="str">
        <f>"A0181236"</f>
        <v>A0181236</v>
      </c>
      <c r="D8126" t="s">
        <v>30768</v>
      </c>
      <c r="E8126" t="s">
        <v>30769</v>
      </c>
      <c r="F8126" t="s">
        <v>30770</v>
      </c>
      <c r="G8126" t="s">
        <v>52</v>
      </c>
      <c r="H8126" t="s">
        <v>30771</v>
      </c>
      <c r="I8126" t="s">
        <v>30</v>
      </c>
      <c r="J8126" t="s">
        <v>41</v>
      </c>
      <c r="K8126" t="s">
        <v>9956</v>
      </c>
      <c r="Q8126">
        <v>0</v>
      </c>
      <c r="R8126">
        <v>70</v>
      </c>
      <c r="S8126">
        <v>70</v>
      </c>
      <c r="T8126" t="s">
        <v>30772</v>
      </c>
    </row>
    <row r="8127" spans="1:20" customFormat="1" ht="15" x14ac:dyDescent="0.25">
      <c r="A8127" t="s">
        <v>35</v>
      </c>
      <c r="B8127" t="s">
        <v>61</v>
      </c>
      <c r="C8127" t="str">
        <f>"A0181235"</f>
        <v>A0181235</v>
      </c>
      <c r="D8127" t="s">
        <v>30773</v>
      </c>
      <c r="E8127" t="s">
        <v>30774</v>
      </c>
      <c r="F8127" t="s">
        <v>28496</v>
      </c>
      <c r="G8127" t="s">
        <v>161</v>
      </c>
      <c r="H8127" t="s">
        <v>30775</v>
      </c>
      <c r="I8127" t="s">
        <v>30</v>
      </c>
      <c r="J8127" t="s">
        <v>41</v>
      </c>
      <c r="K8127" t="s">
        <v>9956</v>
      </c>
      <c r="Q8127">
        <v>0</v>
      </c>
      <c r="R8127">
        <v>0</v>
      </c>
      <c r="S8127">
        <v>0</v>
      </c>
      <c r="T8127" t="s">
        <v>30776</v>
      </c>
    </row>
    <row r="8128" spans="1:20" customFormat="1" ht="15" x14ac:dyDescent="0.25">
      <c r="A8128" t="s">
        <v>35</v>
      </c>
      <c r="B8128" t="s">
        <v>61</v>
      </c>
      <c r="C8128" t="str">
        <f>"A0181234"</f>
        <v>A0181234</v>
      </c>
      <c r="D8128" t="s">
        <v>30777</v>
      </c>
      <c r="E8128" t="s">
        <v>30778</v>
      </c>
      <c r="F8128" t="s">
        <v>30779</v>
      </c>
      <c r="G8128" t="s">
        <v>110</v>
      </c>
      <c r="H8128" t="s">
        <v>30780</v>
      </c>
      <c r="I8128" t="s">
        <v>30</v>
      </c>
      <c r="J8128" t="s">
        <v>41</v>
      </c>
      <c r="K8128" t="s">
        <v>9956</v>
      </c>
      <c r="Q8128">
        <v>0</v>
      </c>
      <c r="R8128">
        <v>31</v>
      </c>
      <c r="S8128">
        <v>31</v>
      </c>
      <c r="T8128" t="s">
        <v>30781</v>
      </c>
    </row>
    <row r="8129" spans="1:20" customFormat="1" ht="15" x14ac:dyDescent="0.25">
      <c r="A8129" t="s">
        <v>35</v>
      </c>
      <c r="B8129" t="s">
        <v>61</v>
      </c>
      <c r="C8129" t="str">
        <f>"A0181233"</f>
        <v>A0181233</v>
      </c>
      <c r="D8129" t="s">
        <v>30782</v>
      </c>
      <c r="E8129" t="s">
        <v>30783</v>
      </c>
      <c r="F8129" t="s">
        <v>7549</v>
      </c>
      <c r="G8129" t="s">
        <v>289</v>
      </c>
      <c r="H8129" t="s">
        <v>30784</v>
      </c>
      <c r="I8129" t="s">
        <v>30</v>
      </c>
      <c r="J8129" t="s">
        <v>41</v>
      </c>
      <c r="K8129" t="s">
        <v>9956</v>
      </c>
      <c r="Q8129">
        <v>0</v>
      </c>
      <c r="R8129">
        <v>240</v>
      </c>
      <c r="S8129">
        <v>240</v>
      </c>
      <c r="T8129" t="s">
        <v>30785</v>
      </c>
    </row>
    <row r="8130" spans="1:20" customFormat="1" ht="15" x14ac:dyDescent="0.25">
      <c r="A8130" t="s">
        <v>35</v>
      </c>
      <c r="B8130" t="s">
        <v>61</v>
      </c>
      <c r="C8130" t="str">
        <f>"A0181232"</f>
        <v>A0181232</v>
      </c>
      <c r="D8130" t="s">
        <v>30786</v>
      </c>
      <c r="E8130" t="s">
        <v>30787</v>
      </c>
      <c r="F8130" t="s">
        <v>30788</v>
      </c>
      <c r="G8130" t="s">
        <v>52</v>
      </c>
      <c r="H8130" t="s">
        <v>30789</v>
      </c>
      <c r="I8130" t="s">
        <v>30</v>
      </c>
      <c r="J8130" t="s">
        <v>41</v>
      </c>
      <c r="K8130" t="s">
        <v>9956</v>
      </c>
      <c r="Q8130">
        <v>0</v>
      </c>
      <c r="R8130">
        <v>60</v>
      </c>
      <c r="S8130">
        <v>60</v>
      </c>
      <c r="T8130" t="s">
        <v>30790</v>
      </c>
    </row>
    <row r="8131" spans="1:20" customFormat="1" ht="15" x14ac:dyDescent="0.25">
      <c r="A8131" t="s">
        <v>35</v>
      </c>
      <c r="B8131" t="s">
        <v>61</v>
      </c>
      <c r="C8131" t="str">
        <f>"A0181231"</f>
        <v>A0181231</v>
      </c>
      <c r="D8131" t="s">
        <v>30791</v>
      </c>
      <c r="E8131" t="s">
        <v>30792</v>
      </c>
      <c r="F8131" t="s">
        <v>21492</v>
      </c>
      <c r="G8131" t="s">
        <v>289</v>
      </c>
      <c r="H8131" t="s">
        <v>30793</v>
      </c>
      <c r="I8131" t="s">
        <v>30</v>
      </c>
      <c r="J8131" t="s">
        <v>41</v>
      </c>
      <c r="K8131" t="s">
        <v>9956</v>
      </c>
      <c r="Q8131">
        <v>0</v>
      </c>
      <c r="R8131">
        <v>68</v>
      </c>
      <c r="S8131">
        <v>68</v>
      </c>
      <c r="T8131" t="s">
        <v>30794</v>
      </c>
    </row>
    <row r="8132" spans="1:20" customFormat="1" ht="15" x14ac:dyDescent="0.25">
      <c r="A8132" t="s">
        <v>35</v>
      </c>
      <c r="B8132" t="s">
        <v>61</v>
      </c>
      <c r="C8132" t="str">
        <f>"A0181230"</f>
        <v>A0181230</v>
      </c>
      <c r="D8132" t="s">
        <v>30795</v>
      </c>
      <c r="E8132" t="s">
        <v>30796</v>
      </c>
      <c r="F8132" t="s">
        <v>30797</v>
      </c>
      <c r="G8132" t="s">
        <v>289</v>
      </c>
      <c r="H8132" t="s">
        <v>30798</v>
      </c>
      <c r="I8132" t="s">
        <v>30</v>
      </c>
      <c r="J8132" t="s">
        <v>41</v>
      </c>
      <c r="K8132" t="s">
        <v>9956</v>
      </c>
      <c r="Q8132">
        <v>0</v>
      </c>
      <c r="R8132">
        <v>75</v>
      </c>
      <c r="S8132">
        <v>75</v>
      </c>
      <c r="T8132" t="s">
        <v>30799</v>
      </c>
    </row>
    <row r="8133" spans="1:20" customFormat="1" ht="15" x14ac:dyDescent="0.25">
      <c r="A8133" t="s">
        <v>35</v>
      </c>
      <c r="B8133" t="s">
        <v>61</v>
      </c>
      <c r="C8133" t="str">
        <f>"A0181228"</f>
        <v>A0181228</v>
      </c>
      <c r="D8133" t="s">
        <v>30800</v>
      </c>
      <c r="E8133" t="s">
        <v>30801</v>
      </c>
      <c r="F8133" t="s">
        <v>30802</v>
      </c>
      <c r="G8133" t="s">
        <v>289</v>
      </c>
      <c r="H8133" t="s">
        <v>30803</v>
      </c>
      <c r="I8133" t="s">
        <v>30</v>
      </c>
      <c r="J8133" t="s">
        <v>41</v>
      </c>
      <c r="K8133" t="s">
        <v>9956</v>
      </c>
      <c r="Q8133">
        <v>0</v>
      </c>
      <c r="R8133">
        <v>129</v>
      </c>
      <c r="S8133">
        <v>129</v>
      </c>
      <c r="T8133" t="s">
        <v>30804</v>
      </c>
    </row>
    <row r="8134" spans="1:20" customFormat="1" ht="15" x14ac:dyDescent="0.25">
      <c r="A8134" t="s">
        <v>35</v>
      </c>
      <c r="B8134" t="s">
        <v>61</v>
      </c>
      <c r="C8134" t="str">
        <f>"A0181227"</f>
        <v>A0181227</v>
      </c>
      <c r="D8134" t="s">
        <v>30805</v>
      </c>
      <c r="E8134" t="s">
        <v>30806</v>
      </c>
      <c r="F8134" t="s">
        <v>7292</v>
      </c>
      <c r="G8134" t="s">
        <v>289</v>
      </c>
      <c r="H8134" t="s">
        <v>30807</v>
      </c>
      <c r="I8134" t="s">
        <v>30</v>
      </c>
      <c r="J8134" t="s">
        <v>41</v>
      </c>
      <c r="K8134" t="s">
        <v>9956</v>
      </c>
      <c r="Q8134">
        <v>0</v>
      </c>
      <c r="R8134">
        <v>206</v>
      </c>
      <c r="S8134">
        <v>206</v>
      </c>
      <c r="T8134" t="s">
        <v>30808</v>
      </c>
    </row>
    <row r="8135" spans="1:20" customFormat="1" ht="15" x14ac:dyDescent="0.25">
      <c r="A8135" t="s">
        <v>35</v>
      </c>
      <c r="B8135" t="s">
        <v>61</v>
      </c>
      <c r="C8135" t="str">
        <f>"A0181225"</f>
        <v>A0181225</v>
      </c>
      <c r="D8135" t="s">
        <v>30809</v>
      </c>
      <c r="E8135" t="s">
        <v>30810</v>
      </c>
      <c r="F8135" t="s">
        <v>1072</v>
      </c>
      <c r="G8135" t="s">
        <v>925</v>
      </c>
      <c r="H8135">
        <v>66048</v>
      </c>
      <c r="I8135" t="s">
        <v>30</v>
      </c>
      <c r="J8135" t="s">
        <v>41</v>
      </c>
      <c r="K8135" t="s">
        <v>9956</v>
      </c>
      <c r="Q8135">
        <v>0</v>
      </c>
      <c r="R8135">
        <v>46</v>
      </c>
      <c r="S8135">
        <v>46</v>
      </c>
    </row>
    <row r="8136" spans="1:20" customFormat="1" ht="15" x14ac:dyDescent="0.25">
      <c r="A8136" t="s">
        <v>35</v>
      </c>
      <c r="B8136" t="s">
        <v>61</v>
      </c>
      <c r="C8136" t="str">
        <f>"A0181224"</f>
        <v>A0181224</v>
      </c>
      <c r="D8136" t="s">
        <v>30811</v>
      </c>
      <c r="E8136" t="s">
        <v>30812</v>
      </c>
      <c r="F8136" t="s">
        <v>30813</v>
      </c>
      <c r="G8136" t="s">
        <v>925</v>
      </c>
      <c r="H8136">
        <v>67865</v>
      </c>
      <c r="I8136" t="s">
        <v>30</v>
      </c>
      <c r="J8136" t="s">
        <v>41</v>
      </c>
      <c r="K8136" t="s">
        <v>9956</v>
      </c>
      <c r="Q8136">
        <v>0</v>
      </c>
      <c r="R8136">
        <v>36</v>
      </c>
      <c r="S8136">
        <v>36</v>
      </c>
      <c r="T8136" t="s">
        <v>30814</v>
      </c>
    </row>
    <row r="8137" spans="1:20" customFormat="1" ht="15" x14ac:dyDescent="0.25">
      <c r="A8137" t="s">
        <v>35</v>
      </c>
      <c r="B8137" t="s">
        <v>61</v>
      </c>
      <c r="C8137" t="str">
        <f>"A0181223"</f>
        <v>A0181223</v>
      </c>
      <c r="D8137" t="s">
        <v>30815</v>
      </c>
      <c r="E8137" t="s">
        <v>30816</v>
      </c>
      <c r="F8137" t="s">
        <v>30817</v>
      </c>
      <c r="G8137" t="s">
        <v>925</v>
      </c>
      <c r="H8137" t="s">
        <v>30818</v>
      </c>
      <c r="I8137" t="s">
        <v>30</v>
      </c>
      <c r="J8137" t="s">
        <v>41</v>
      </c>
      <c r="K8137" t="s">
        <v>9956</v>
      </c>
      <c r="Q8137">
        <v>0</v>
      </c>
      <c r="R8137">
        <v>60</v>
      </c>
      <c r="S8137">
        <v>60</v>
      </c>
      <c r="T8137" t="s">
        <v>30819</v>
      </c>
    </row>
    <row r="8138" spans="1:20" customFormat="1" ht="15" x14ac:dyDescent="0.25">
      <c r="A8138" t="s">
        <v>35</v>
      </c>
      <c r="B8138" t="s">
        <v>61</v>
      </c>
      <c r="C8138" t="str">
        <f>"A0181222"</f>
        <v>A0181222</v>
      </c>
      <c r="D8138" t="s">
        <v>30820</v>
      </c>
      <c r="E8138" t="s">
        <v>30821</v>
      </c>
      <c r="F8138" t="s">
        <v>1439</v>
      </c>
      <c r="G8138" t="s">
        <v>110</v>
      </c>
      <c r="H8138" t="s">
        <v>30822</v>
      </c>
      <c r="I8138" t="s">
        <v>30</v>
      </c>
      <c r="J8138" t="s">
        <v>41</v>
      </c>
      <c r="K8138" t="s">
        <v>9956</v>
      </c>
      <c r="Q8138">
        <v>0</v>
      </c>
      <c r="R8138">
        <v>1</v>
      </c>
      <c r="S8138">
        <v>1</v>
      </c>
      <c r="T8138" t="s">
        <v>30823</v>
      </c>
    </row>
    <row r="8139" spans="1:20" customFormat="1" ht="15" x14ac:dyDescent="0.25">
      <c r="A8139" t="s">
        <v>35</v>
      </c>
      <c r="B8139" t="s">
        <v>61</v>
      </c>
      <c r="C8139" t="str">
        <f>"A0181221"</f>
        <v>A0181221</v>
      </c>
      <c r="D8139" t="s">
        <v>30824</v>
      </c>
      <c r="E8139" t="s">
        <v>30825</v>
      </c>
      <c r="F8139" t="s">
        <v>30826</v>
      </c>
      <c r="G8139" t="s">
        <v>161</v>
      </c>
      <c r="H8139" t="s">
        <v>30827</v>
      </c>
      <c r="I8139" t="s">
        <v>30</v>
      </c>
      <c r="J8139" t="s">
        <v>41</v>
      </c>
      <c r="K8139" t="s">
        <v>9956</v>
      </c>
      <c r="Q8139">
        <v>0</v>
      </c>
      <c r="R8139">
        <v>0</v>
      </c>
      <c r="S8139">
        <v>0</v>
      </c>
      <c r="T8139" t="s">
        <v>30828</v>
      </c>
    </row>
    <row r="8140" spans="1:20" customFormat="1" ht="15" x14ac:dyDescent="0.25">
      <c r="A8140" t="s">
        <v>35</v>
      </c>
      <c r="B8140" t="s">
        <v>61</v>
      </c>
      <c r="C8140" t="str">
        <f>"A0181220"</f>
        <v>A0181220</v>
      </c>
      <c r="D8140" t="s">
        <v>30829</v>
      </c>
      <c r="E8140" t="s">
        <v>30830</v>
      </c>
      <c r="F8140" t="s">
        <v>5240</v>
      </c>
      <c r="G8140" t="s">
        <v>52</v>
      </c>
      <c r="H8140" t="s">
        <v>30831</v>
      </c>
      <c r="I8140" t="s">
        <v>30</v>
      </c>
      <c r="J8140" t="s">
        <v>41</v>
      </c>
      <c r="K8140" t="s">
        <v>9956</v>
      </c>
      <c r="Q8140">
        <v>0</v>
      </c>
      <c r="R8140">
        <v>51</v>
      </c>
      <c r="S8140">
        <v>51</v>
      </c>
      <c r="T8140" t="s">
        <v>30832</v>
      </c>
    </row>
    <row r="8141" spans="1:20" customFormat="1" ht="15" x14ac:dyDescent="0.25">
      <c r="A8141" t="s">
        <v>35</v>
      </c>
      <c r="B8141" t="s">
        <v>61</v>
      </c>
      <c r="C8141" t="str">
        <f>"A0181219"</f>
        <v>A0181219</v>
      </c>
      <c r="D8141" t="s">
        <v>30833</v>
      </c>
      <c r="E8141" t="s">
        <v>30834</v>
      </c>
      <c r="F8141" t="s">
        <v>5476</v>
      </c>
      <c r="G8141" t="s">
        <v>52</v>
      </c>
      <c r="H8141">
        <v>76306</v>
      </c>
      <c r="I8141" t="s">
        <v>30</v>
      </c>
      <c r="J8141" t="s">
        <v>41</v>
      </c>
      <c r="K8141" t="s">
        <v>9956</v>
      </c>
      <c r="Q8141">
        <v>0</v>
      </c>
      <c r="R8141">
        <v>295</v>
      </c>
      <c r="S8141">
        <v>295</v>
      </c>
      <c r="T8141" t="s">
        <v>30835</v>
      </c>
    </row>
    <row r="8142" spans="1:20" customFormat="1" ht="15" x14ac:dyDescent="0.25">
      <c r="A8142" t="s">
        <v>35</v>
      </c>
      <c r="B8142" t="s">
        <v>61</v>
      </c>
      <c r="C8142" t="str">
        <f>"A0181218"</f>
        <v>A0181218</v>
      </c>
      <c r="D8142" t="s">
        <v>30836</v>
      </c>
      <c r="E8142" t="s">
        <v>30837</v>
      </c>
      <c r="F8142" t="s">
        <v>11919</v>
      </c>
      <c r="G8142" t="s">
        <v>925</v>
      </c>
      <c r="H8142" t="s">
        <v>30838</v>
      </c>
      <c r="I8142" t="s">
        <v>30</v>
      </c>
      <c r="J8142" t="s">
        <v>41</v>
      </c>
      <c r="K8142" t="s">
        <v>9956</v>
      </c>
      <c r="Q8142">
        <v>0</v>
      </c>
      <c r="R8142">
        <v>50</v>
      </c>
      <c r="S8142">
        <v>50</v>
      </c>
      <c r="T8142" t="s">
        <v>30839</v>
      </c>
    </row>
    <row r="8143" spans="1:20" customFormat="1" ht="15" x14ac:dyDescent="0.25">
      <c r="A8143" t="s">
        <v>35</v>
      </c>
      <c r="B8143" t="s">
        <v>61</v>
      </c>
      <c r="C8143" t="str">
        <f>"A0181217"</f>
        <v>A0181217</v>
      </c>
      <c r="D8143" t="s">
        <v>30840</v>
      </c>
      <c r="E8143" t="s">
        <v>30841</v>
      </c>
      <c r="F8143" t="s">
        <v>3722</v>
      </c>
      <c r="G8143" t="s">
        <v>52</v>
      </c>
      <c r="H8143" t="s">
        <v>30842</v>
      </c>
      <c r="I8143" t="s">
        <v>30</v>
      </c>
      <c r="J8143" t="s">
        <v>41</v>
      </c>
      <c r="K8143" t="s">
        <v>9956</v>
      </c>
      <c r="Q8143">
        <v>0</v>
      </c>
      <c r="R8143">
        <v>42</v>
      </c>
      <c r="S8143">
        <v>42</v>
      </c>
      <c r="T8143" t="s">
        <v>30843</v>
      </c>
    </row>
    <row r="8144" spans="1:20" customFormat="1" ht="15" x14ac:dyDescent="0.25">
      <c r="A8144" t="s">
        <v>35</v>
      </c>
      <c r="B8144" t="s">
        <v>61</v>
      </c>
      <c r="C8144" t="str">
        <f>"A0181216"</f>
        <v>A0181216</v>
      </c>
      <c r="D8144" t="s">
        <v>30844</v>
      </c>
      <c r="E8144" t="s">
        <v>30845</v>
      </c>
      <c r="F8144" t="s">
        <v>4753</v>
      </c>
      <c r="G8144" t="s">
        <v>65</v>
      </c>
      <c r="H8144" t="s">
        <v>30846</v>
      </c>
      <c r="I8144" t="s">
        <v>30</v>
      </c>
      <c r="J8144" t="s">
        <v>41</v>
      </c>
      <c r="K8144" t="s">
        <v>9956</v>
      </c>
      <c r="Q8144">
        <v>0</v>
      </c>
      <c r="R8144">
        <v>100</v>
      </c>
      <c r="S8144">
        <v>100</v>
      </c>
      <c r="T8144" t="s">
        <v>30847</v>
      </c>
    </row>
    <row r="8145" spans="1:20" customFormat="1" ht="15" x14ac:dyDescent="0.25">
      <c r="A8145" t="s">
        <v>35</v>
      </c>
      <c r="B8145" t="s">
        <v>61</v>
      </c>
      <c r="C8145" t="str">
        <f>"A0181215"</f>
        <v>A0181215</v>
      </c>
      <c r="D8145" t="s">
        <v>30848</v>
      </c>
      <c r="E8145" t="s">
        <v>30849</v>
      </c>
      <c r="F8145" t="s">
        <v>5240</v>
      </c>
      <c r="G8145" t="s">
        <v>52</v>
      </c>
      <c r="H8145" t="s">
        <v>30850</v>
      </c>
      <c r="I8145" t="s">
        <v>30</v>
      </c>
      <c r="J8145" t="s">
        <v>41</v>
      </c>
      <c r="K8145" t="s">
        <v>9956</v>
      </c>
      <c r="Q8145">
        <v>0</v>
      </c>
      <c r="R8145">
        <v>60</v>
      </c>
      <c r="S8145">
        <v>60</v>
      </c>
      <c r="T8145" t="s">
        <v>30851</v>
      </c>
    </row>
    <row r="8146" spans="1:20" customFormat="1" ht="15" x14ac:dyDescent="0.25">
      <c r="A8146" t="s">
        <v>35</v>
      </c>
      <c r="B8146" t="s">
        <v>61</v>
      </c>
      <c r="C8146" t="str">
        <f>"A0181214"</f>
        <v>A0181214</v>
      </c>
      <c r="D8146" t="s">
        <v>30852</v>
      </c>
      <c r="E8146" t="s">
        <v>30853</v>
      </c>
      <c r="F8146" t="s">
        <v>4599</v>
      </c>
      <c r="G8146" t="s">
        <v>65</v>
      </c>
      <c r="H8146" t="s">
        <v>30854</v>
      </c>
      <c r="I8146" t="s">
        <v>30</v>
      </c>
      <c r="J8146" t="s">
        <v>41</v>
      </c>
      <c r="K8146" t="s">
        <v>9956</v>
      </c>
      <c r="Q8146">
        <v>0</v>
      </c>
      <c r="R8146">
        <v>104</v>
      </c>
      <c r="S8146">
        <v>104</v>
      </c>
      <c r="T8146" t="s">
        <v>30855</v>
      </c>
    </row>
    <row r="8147" spans="1:20" customFormat="1" ht="15" x14ac:dyDescent="0.25">
      <c r="A8147" t="s">
        <v>35</v>
      </c>
      <c r="B8147" t="s">
        <v>61</v>
      </c>
      <c r="C8147" t="str">
        <f>"A0181213"</f>
        <v>A0181213</v>
      </c>
      <c r="D8147" t="s">
        <v>30856</v>
      </c>
      <c r="E8147" t="s">
        <v>30857</v>
      </c>
      <c r="F8147" t="s">
        <v>30858</v>
      </c>
      <c r="G8147" t="s">
        <v>925</v>
      </c>
      <c r="H8147" t="s">
        <v>30859</v>
      </c>
      <c r="I8147" t="s">
        <v>30</v>
      </c>
      <c r="J8147" t="s">
        <v>41</v>
      </c>
      <c r="K8147" t="s">
        <v>9956</v>
      </c>
      <c r="Q8147">
        <v>0</v>
      </c>
      <c r="R8147">
        <v>0</v>
      </c>
      <c r="S8147">
        <v>0</v>
      </c>
      <c r="T8147" t="s">
        <v>30860</v>
      </c>
    </row>
    <row r="8148" spans="1:20" customFormat="1" ht="15" x14ac:dyDescent="0.25">
      <c r="A8148" t="s">
        <v>35</v>
      </c>
      <c r="B8148" t="s">
        <v>61</v>
      </c>
      <c r="C8148" t="str">
        <f>"A0181212"</f>
        <v>A0181212</v>
      </c>
      <c r="D8148" t="s">
        <v>30861</v>
      </c>
      <c r="E8148" t="s">
        <v>30862</v>
      </c>
      <c r="F8148" t="s">
        <v>30863</v>
      </c>
      <c r="G8148" t="s">
        <v>161</v>
      </c>
      <c r="H8148" t="s">
        <v>30864</v>
      </c>
      <c r="I8148" t="s">
        <v>30</v>
      </c>
      <c r="J8148" t="s">
        <v>41</v>
      </c>
      <c r="K8148" t="s">
        <v>9956</v>
      </c>
      <c r="Q8148">
        <v>0</v>
      </c>
      <c r="R8148">
        <v>0</v>
      </c>
      <c r="S8148">
        <v>0</v>
      </c>
      <c r="T8148" t="s">
        <v>30865</v>
      </c>
    </row>
    <row r="8149" spans="1:20" customFormat="1" ht="15" x14ac:dyDescent="0.25">
      <c r="A8149" t="s">
        <v>35</v>
      </c>
      <c r="B8149" t="s">
        <v>61</v>
      </c>
      <c r="C8149" t="str">
        <f>"A0181211"</f>
        <v>A0181211</v>
      </c>
      <c r="D8149" t="s">
        <v>30866</v>
      </c>
      <c r="E8149" t="s">
        <v>30867</v>
      </c>
      <c r="F8149" t="s">
        <v>30868</v>
      </c>
      <c r="G8149" t="s">
        <v>925</v>
      </c>
      <c r="H8149" t="s">
        <v>30869</v>
      </c>
      <c r="I8149" t="s">
        <v>30</v>
      </c>
      <c r="J8149" t="s">
        <v>41</v>
      </c>
      <c r="K8149" t="s">
        <v>9956</v>
      </c>
      <c r="Q8149">
        <v>0</v>
      </c>
      <c r="R8149">
        <v>46</v>
      </c>
      <c r="S8149">
        <v>46</v>
      </c>
      <c r="T8149" t="s">
        <v>30870</v>
      </c>
    </row>
    <row r="8150" spans="1:20" customFormat="1" ht="15" x14ac:dyDescent="0.25">
      <c r="A8150" t="s">
        <v>35</v>
      </c>
      <c r="B8150" t="s">
        <v>61</v>
      </c>
      <c r="C8150" t="str">
        <f>"A0181210"</f>
        <v>A0181210</v>
      </c>
      <c r="D8150" t="s">
        <v>30871</v>
      </c>
      <c r="E8150" t="s">
        <v>30872</v>
      </c>
      <c r="F8150" t="s">
        <v>6220</v>
      </c>
      <c r="G8150" t="s">
        <v>925</v>
      </c>
      <c r="H8150" t="s">
        <v>30873</v>
      </c>
      <c r="I8150" t="s">
        <v>30</v>
      </c>
      <c r="J8150" t="s">
        <v>41</v>
      </c>
      <c r="K8150" t="s">
        <v>9956</v>
      </c>
      <c r="Q8150">
        <v>0</v>
      </c>
      <c r="R8150">
        <v>60</v>
      </c>
      <c r="S8150">
        <v>60</v>
      </c>
      <c r="T8150" t="s">
        <v>30874</v>
      </c>
    </row>
    <row r="8151" spans="1:20" customFormat="1" ht="15" x14ac:dyDescent="0.25">
      <c r="A8151" t="s">
        <v>35</v>
      </c>
      <c r="B8151" t="s">
        <v>61</v>
      </c>
      <c r="C8151" t="str">
        <f>"A0181209"</f>
        <v>A0181209</v>
      </c>
      <c r="D8151" t="s">
        <v>30875</v>
      </c>
      <c r="E8151" t="s">
        <v>30876</v>
      </c>
      <c r="F8151" t="s">
        <v>30877</v>
      </c>
      <c r="G8151" t="s">
        <v>925</v>
      </c>
      <c r="H8151" t="s">
        <v>30878</v>
      </c>
      <c r="I8151" t="s">
        <v>30</v>
      </c>
      <c r="J8151" t="s">
        <v>41</v>
      </c>
      <c r="K8151" t="s">
        <v>9956</v>
      </c>
      <c r="Q8151">
        <v>0</v>
      </c>
      <c r="R8151">
        <v>21</v>
      </c>
      <c r="S8151">
        <v>21</v>
      </c>
      <c r="T8151" t="s">
        <v>30879</v>
      </c>
    </row>
    <row r="8152" spans="1:20" customFormat="1" ht="15" x14ac:dyDescent="0.25">
      <c r="A8152" t="s">
        <v>35</v>
      </c>
      <c r="B8152" t="s">
        <v>61</v>
      </c>
      <c r="C8152" t="str">
        <f>"A0181207"</f>
        <v>A0181207</v>
      </c>
      <c r="D8152" t="s">
        <v>30880</v>
      </c>
      <c r="E8152" t="s">
        <v>23437</v>
      </c>
      <c r="F8152" t="s">
        <v>938</v>
      </c>
      <c r="G8152" t="s">
        <v>71</v>
      </c>
      <c r="H8152" t="s">
        <v>23438</v>
      </c>
      <c r="I8152" t="s">
        <v>30</v>
      </c>
      <c r="J8152" t="s">
        <v>41</v>
      </c>
      <c r="K8152" t="s">
        <v>9956</v>
      </c>
      <c r="Q8152">
        <v>0</v>
      </c>
      <c r="R8152">
        <v>0</v>
      </c>
      <c r="S8152">
        <v>0</v>
      </c>
      <c r="T8152" t="s">
        <v>23439</v>
      </c>
    </row>
    <row r="8153" spans="1:20" customFormat="1" ht="15" x14ac:dyDescent="0.25">
      <c r="A8153" t="s">
        <v>35</v>
      </c>
      <c r="B8153" t="s">
        <v>61</v>
      </c>
      <c r="C8153" t="str">
        <f>"A0181205"</f>
        <v>A0181205</v>
      </c>
      <c r="D8153" t="s">
        <v>30881</v>
      </c>
      <c r="E8153" t="s">
        <v>30882</v>
      </c>
      <c r="F8153" t="s">
        <v>22624</v>
      </c>
      <c r="G8153" t="s">
        <v>338</v>
      </c>
      <c r="H8153">
        <v>8831</v>
      </c>
      <c r="I8153" t="s">
        <v>30</v>
      </c>
      <c r="J8153" t="s">
        <v>41</v>
      </c>
      <c r="K8153" t="s">
        <v>9956</v>
      </c>
      <c r="Q8153">
        <v>0</v>
      </c>
      <c r="R8153">
        <v>0</v>
      </c>
      <c r="S8153">
        <v>0</v>
      </c>
    </row>
    <row r="8154" spans="1:20" customFormat="1" ht="15" x14ac:dyDescent="0.25">
      <c r="A8154" t="s">
        <v>35</v>
      </c>
      <c r="B8154" t="s">
        <v>61</v>
      </c>
      <c r="C8154" t="str">
        <f>"A0181204"</f>
        <v>A0181204</v>
      </c>
      <c r="D8154" t="s">
        <v>30883</v>
      </c>
      <c r="E8154" t="s">
        <v>30884</v>
      </c>
      <c r="F8154" t="s">
        <v>30885</v>
      </c>
      <c r="G8154" t="s">
        <v>338</v>
      </c>
      <c r="H8154">
        <v>8901</v>
      </c>
      <c r="I8154" t="s">
        <v>30</v>
      </c>
      <c r="J8154" t="s">
        <v>41</v>
      </c>
      <c r="K8154" t="s">
        <v>9956</v>
      </c>
      <c r="Q8154">
        <v>0</v>
      </c>
      <c r="R8154">
        <v>51</v>
      </c>
      <c r="S8154">
        <v>51</v>
      </c>
      <c r="T8154" t="s">
        <v>30886</v>
      </c>
    </row>
    <row r="8155" spans="1:20" customFormat="1" ht="15" x14ac:dyDescent="0.25">
      <c r="A8155" t="s">
        <v>35</v>
      </c>
      <c r="B8155" t="s">
        <v>61</v>
      </c>
      <c r="C8155" t="str">
        <f>"A0181203"</f>
        <v>A0181203</v>
      </c>
      <c r="D8155" t="s">
        <v>30887</v>
      </c>
      <c r="E8155" t="s">
        <v>30888</v>
      </c>
      <c r="F8155" t="s">
        <v>26129</v>
      </c>
      <c r="G8155" t="s">
        <v>899</v>
      </c>
      <c r="H8155" t="s">
        <v>30889</v>
      </c>
      <c r="I8155" t="s">
        <v>30</v>
      </c>
      <c r="J8155" t="s">
        <v>41</v>
      </c>
      <c r="K8155" t="s">
        <v>9956</v>
      </c>
      <c r="Q8155">
        <v>0</v>
      </c>
      <c r="R8155">
        <v>164</v>
      </c>
      <c r="S8155">
        <v>164</v>
      </c>
      <c r="T8155" t="s">
        <v>30890</v>
      </c>
    </row>
    <row r="8156" spans="1:20" customFormat="1" ht="15" x14ac:dyDescent="0.25">
      <c r="A8156" t="s">
        <v>35</v>
      </c>
      <c r="B8156" t="s">
        <v>61</v>
      </c>
      <c r="C8156" t="str">
        <f>"A0181202"</f>
        <v>A0181202</v>
      </c>
      <c r="D8156" t="s">
        <v>30891</v>
      </c>
      <c r="E8156" t="s">
        <v>30892</v>
      </c>
      <c r="F8156" t="s">
        <v>29268</v>
      </c>
      <c r="G8156" t="s">
        <v>338</v>
      </c>
      <c r="H8156" t="s">
        <v>30893</v>
      </c>
      <c r="I8156" t="s">
        <v>30</v>
      </c>
      <c r="J8156" t="s">
        <v>41</v>
      </c>
      <c r="K8156" t="s">
        <v>9956</v>
      </c>
      <c r="Q8156">
        <v>0</v>
      </c>
      <c r="R8156">
        <v>0</v>
      </c>
      <c r="S8156">
        <v>0</v>
      </c>
      <c r="T8156" t="s">
        <v>30894</v>
      </c>
    </row>
    <row r="8157" spans="1:20" customFormat="1" ht="15" x14ac:dyDescent="0.25">
      <c r="A8157" t="s">
        <v>35</v>
      </c>
      <c r="B8157" t="s">
        <v>61</v>
      </c>
      <c r="C8157" t="str">
        <f>"A0181201"</f>
        <v>A0181201</v>
      </c>
      <c r="D8157" t="s">
        <v>30895</v>
      </c>
      <c r="E8157" t="s">
        <v>22602</v>
      </c>
      <c r="F8157" t="s">
        <v>22603</v>
      </c>
      <c r="G8157" t="s">
        <v>338</v>
      </c>
      <c r="H8157">
        <v>7481</v>
      </c>
      <c r="I8157" t="s">
        <v>30</v>
      </c>
      <c r="J8157" t="s">
        <v>41</v>
      </c>
      <c r="K8157" t="s">
        <v>9956</v>
      </c>
      <c r="Q8157">
        <v>0</v>
      </c>
      <c r="R8157">
        <v>0</v>
      </c>
      <c r="S8157">
        <v>0</v>
      </c>
    </row>
    <row r="8158" spans="1:20" customFormat="1" ht="15" x14ac:dyDescent="0.25">
      <c r="A8158" t="s">
        <v>35</v>
      </c>
      <c r="B8158" t="s">
        <v>61</v>
      </c>
      <c r="C8158" t="str">
        <f>"A0181200"</f>
        <v>A0181200</v>
      </c>
      <c r="D8158" t="s">
        <v>17583</v>
      </c>
      <c r="E8158" t="s">
        <v>22602</v>
      </c>
      <c r="F8158" t="s">
        <v>22603</v>
      </c>
      <c r="G8158" t="s">
        <v>338</v>
      </c>
      <c r="H8158">
        <v>7481</v>
      </c>
      <c r="I8158" t="s">
        <v>30</v>
      </c>
      <c r="J8158" t="s">
        <v>41</v>
      </c>
      <c r="K8158" t="s">
        <v>9956</v>
      </c>
      <c r="Q8158">
        <v>0</v>
      </c>
      <c r="R8158">
        <v>0</v>
      </c>
      <c r="S8158">
        <v>0</v>
      </c>
    </row>
    <row r="8159" spans="1:20" customFormat="1" ht="15" x14ac:dyDescent="0.25">
      <c r="A8159" t="s">
        <v>35</v>
      </c>
      <c r="B8159" t="s">
        <v>61</v>
      </c>
      <c r="C8159" t="str">
        <f>"A0181199"</f>
        <v>A0181199</v>
      </c>
      <c r="D8159" t="s">
        <v>30896</v>
      </c>
      <c r="E8159" t="s">
        <v>30897</v>
      </c>
      <c r="F8159" t="s">
        <v>22624</v>
      </c>
      <c r="G8159" t="s">
        <v>338</v>
      </c>
      <c r="H8159">
        <v>88312945</v>
      </c>
      <c r="I8159" t="s">
        <v>30</v>
      </c>
      <c r="J8159" t="s">
        <v>41</v>
      </c>
      <c r="K8159" t="s">
        <v>9956</v>
      </c>
      <c r="Q8159">
        <v>0</v>
      </c>
      <c r="R8159">
        <v>96</v>
      </c>
      <c r="S8159">
        <v>96</v>
      </c>
      <c r="T8159" t="s">
        <v>30898</v>
      </c>
    </row>
    <row r="8160" spans="1:20" customFormat="1" ht="15" x14ac:dyDescent="0.25">
      <c r="A8160" t="s">
        <v>35</v>
      </c>
      <c r="B8160" t="s">
        <v>61</v>
      </c>
      <c r="C8160" t="str">
        <f>"A0181198"</f>
        <v>A0181198</v>
      </c>
      <c r="D8160" t="s">
        <v>30899</v>
      </c>
      <c r="E8160" t="s">
        <v>11177</v>
      </c>
      <c r="F8160" t="s">
        <v>546</v>
      </c>
      <c r="G8160" t="s">
        <v>338</v>
      </c>
      <c r="H8160">
        <v>8873</v>
      </c>
      <c r="I8160" t="s">
        <v>30</v>
      </c>
      <c r="J8160" t="s">
        <v>41</v>
      </c>
      <c r="K8160" t="s">
        <v>9956</v>
      </c>
      <c r="Q8160">
        <v>0</v>
      </c>
      <c r="R8160">
        <v>120</v>
      </c>
      <c r="S8160">
        <v>120</v>
      </c>
      <c r="T8160" t="s">
        <v>30900</v>
      </c>
    </row>
    <row r="8161" spans="1:20" customFormat="1" ht="15" x14ac:dyDescent="0.25">
      <c r="A8161" t="s">
        <v>35</v>
      </c>
      <c r="B8161" t="s">
        <v>61</v>
      </c>
      <c r="C8161" t="str">
        <f>"A0181197"</f>
        <v>A0181197</v>
      </c>
      <c r="D8161" t="s">
        <v>30901</v>
      </c>
      <c r="E8161" t="s">
        <v>30902</v>
      </c>
      <c r="F8161" t="s">
        <v>898</v>
      </c>
      <c r="G8161" t="s">
        <v>899</v>
      </c>
      <c r="H8161" t="s">
        <v>30903</v>
      </c>
      <c r="I8161" t="s">
        <v>30</v>
      </c>
      <c r="J8161" t="s">
        <v>41</v>
      </c>
      <c r="K8161" t="s">
        <v>9956</v>
      </c>
      <c r="Q8161">
        <v>0</v>
      </c>
      <c r="R8161">
        <v>164</v>
      </c>
      <c r="S8161">
        <v>164</v>
      </c>
      <c r="T8161" t="s">
        <v>30904</v>
      </c>
    </row>
    <row r="8162" spans="1:20" customFormat="1" ht="15" x14ac:dyDescent="0.25">
      <c r="A8162" t="s">
        <v>35</v>
      </c>
      <c r="B8162" t="s">
        <v>61</v>
      </c>
      <c r="C8162" t="str">
        <f>"A0181196"</f>
        <v>A0181196</v>
      </c>
      <c r="D8162" t="s">
        <v>30905</v>
      </c>
      <c r="E8162" t="s">
        <v>30906</v>
      </c>
      <c r="F8162" t="s">
        <v>30907</v>
      </c>
      <c r="G8162" t="s">
        <v>52</v>
      </c>
      <c r="H8162">
        <v>76302</v>
      </c>
      <c r="I8162" t="s">
        <v>30</v>
      </c>
      <c r="J8162" t="s">
        <v>41</v>
      </c>
      <c r="K8162" t="s">
        <v>9956</v>
      </c>
      <c r="Q8162">
        <v>0</v>
      </c>
      <c r="R8162">
        <v>60</v>
      </c>
      <c r="S8162">
        <v>60</v>
      </c>
      <c r="T8162" t="s">
        <v>30908</v>
      </c>
    </row>
    <row r="8163" spans="1:20" customFormat="1" ht="15" x14ac:dyDescent="0.25">
      <c r="A8163" t="s">
        <v>35</v>
      </c>
      <c r="B8163" t="s">
        <v>61</v>
      </c>
      <c r="C8163" t="str">
        <f>"A0181195"</f>
        <v>A0181195</v>
      </c>
      <c r="D8163" t="s">
        <v>30909</v>
      </c>
      <c r="E8163" t="s">
        <v>30910</v>
      </c>
      <c r="F8163" t="s">
        <v>7544</v>
      </c>
      <c r="G8163" t="s">
        <v>71</v>
      </c>
      <c r="H8163">
        <v>53151</v>
      </c>
      <c r="I8163" t="s">
        <v>30</v>
      </c>
      <c r="J8163" t="s">
        <v>41</v>
      </c>
      <c r="K8163" t="s">
        <v>9956</v>
      </c>
      <c r="Q8163">
        <v>0</v>
      </c>
      <c r="R8163">
        <v>135</v>
      </c>
      <c r="S8163">
        <v>135</v>
      </c>
      <c r="T8163" t="s">
        <v>30911</v>
      </c>
    </row>
    <row r="8164" spans="1:20" customFormat="1" ht="15" x14ac:dyDescent="0.25">
      <c r="A8164" t="s">
        <v>35</v>
      </c>
      <c r="B8164" t="s">
        <v>61</v>
      </c>
      <c r="C8164" t="str">
        <f>"A0181194"</f>
        <v>A0181194</v>
      </c>
      <c r="D8164" t="s">
        <v>30912</v>
      </c>
      <c r="E8164" t="s">
        <v>30913</v>
      </c>
      <c r="F8164" t="s">
        <v>27957</v>
      </c>
      <c r="G8164" t="s">
        <v>71</v>
      </c>
      <c r="H8164" t="s">
        <v>30914</v>
      </c>
      <c r="I8164" t="s">
        <v>30</v>
      </c>
      <c r="J8164" t="s">
        <v>41</v>
      </c>
      <c r="K8164" t="s">
        <v>9956</v>
      </c>
      <c r="Q8164">
        <v>0</v>
      </c>
      <c r="R8164">
        <v>56</v>
      </c>
      <c r="S8164">
        <v>56</v>
      </c>
      <c r="T8164" t="s">
        <v>30915</v>
      </c>
    </row>
    <row r="8165" spans="1:20" customFormat="1" ht="15" x14ac:dyDescent="0.25">
      <c r="A8165" t="s">
        <v>35</v>
      </c>
      <c r="B8165" t="s">
        <v>61</v>
      </c>
      <c r="C8165" t="str">
        <f>"A0181193"</f>
        <v>A0181193</v>
      </c>
      <c r="D8165" t="s">
        <v>30916</v>
      </c>
      <c r="E8165" t="s">
        <v>30917</v>
      </c>
      <c r="F8165" t="s">
        <v>30918</v>
      </c>
      <c r="G8165" t="s">
        <v>71</v>
      </c>
      <c r="H8165" t="s">
        <v>30919</v>
      </c>
      <c r="I8165" t="s">
        <v>30</v>
      </c>
      <c r="J8165" t="s">
        <v>41</v>
      </c>
      <c r="K8165" t="s">
        <v>9956</v>
      </c>
      <c r="Q8165">
        <v>0</v>
      </c>
      <c r="R8165">
        <v>135</v>
      </c>
      <c r="S8165">
        <v>135</v>
      </c>
      <c r="T8165" t="s">
        <v>30920</v>
      </c>
    </row>
    <row r="8166" spans="1:20" customFormat="1" ht="15" x14ac:dyDescent="0.25">
      <c r="A8166" t="s">
        <v>35</v>
      </c>
      <c r="B8166" t="s">
        <v>61</v>
      </c>
      <c r="C8166" t="str">
        <f>"A0181192"</f>
        <v>A0181192</v>
      </c>
      <c r="D8166" t="s">
        <v>30921</v>
      </c>
      <c r="E8166" t="s">
        <v>30922</v>
      </c>
      <c r="F8166" t="s">
        <v>1755</v>
      </c>
      <c r="G8166" t="s">
        <v>65</v>
      </c>
      <c r="H8166">
        <v>45504</v>
      </c>
      <c r="I8166" t="s">
        <v>30</v>
      </c>
      <c r="J8166" t="s">
        <v>41</v>
      </c>
      <c r="K8166" t="s">
        <v>9956</v>
      </c>
      <c r="Q8166">
        <v>0</v>
      </c>
      <c r="R8166">
        <v>298</v>
      </c>
      <c r="S8166">
        <v>298</v>
      </c>
      <c r="T8166" t="s">
        <v>23262</v>
      </c>
    </row>
    <row r="8167" spans="1:20" customFormat="1" ht="15" x14ac:dyDescent="0.25">
      <c r="A8167" t="s">
        <v>35</v>
      </c>
      <c r="B8167" t="s">
        <v>61</v>
      </c>
      <c r="C8167" t="str">
        <f>"A0181191"</f>
        <v>A0181191</v>
      </c>
      <c r="D8167" t="s">
        <v>30923</v>
      </c>
      <c r="E8167" t="s">
        <v>9355</v>
      </c>
      <c r="F8167" t="s">
        <v>3339</v>
      </c>
      <c r="G8167" t="s">
        <v>71</v>
      </c>
      <c r="H8167" t="s">
        <v>9356</v>
      </c>
      <c r="I8167" t="s">
        <v>30</v>
      </c>
      <c r="J8167" t="s">
        <v>41</v>
      </c>
      <c r="K8167" t="s">
        <v>9956</v>
      </c>
      <c r="Q8167">
        <v>0</v>
      </c>
      <c r="R8167">
        <v>188</v>
      </c>
      <c r="S8167">
        <v>188</v>
      </c>
      <c r="T8167" t="s">
        <v>11043</v>
      </c>
    </row>
    <row r="8168" spans="1:20" customFormat="1" ht="15" x14ac:dyDescent="0.25">
      <c r="A8168" t="s">
        <v>35</v>
      </c>
      <c r="B8168" t="s">
        <v>61</v>
      </c>
      <c r="C8168" t="str">
        <f>"A0181190"</f>
        <v>A0181190</v>
      </c>
      <c r="D8168" t="s">
        <v>30924</v>
      </c>
      <c r="E8168" t="s">
        <v>23432</v>
      </c>
      <c r="F8168" t="s">
        <v>23433</v>
      </c>
      <c r="G8168" t="s">
        <v>71</v>
      </c>
      <c r="H8168" t="s">
        <v>23434</v>
      </c>
      <c r="I8168" t="s">
        <v>30</v>
      </c>
      <c r="J8168" t="s">
        <v>41</v>
      </c>
      <c r="K8168" t="s">
        <v>9956</v>
      </c>
      <c r="Q8168">
        <v>0</v>
      </c>
      <c r="R8168">
        <v>81</v>
      </c>
      <c r="S8168">
        <v>81</v>
      </c>
      <c r="T8168" t="s">
        <v>23435</v>
      </c>
    </row>
    <row r="8169" spans="1:20" customFormat="1" ht="15" x14ac:dyDescent="0.25">
      <c r="A8169" t="s">
        <v>35</v>
      </c>
      <c r="B8169" t="s">
        <v>61</v>
      </c>
      <c r="C8169" t="str">
        <f>"A0181189"</f>
        <v>A0181189</v>
      </c>
      <c r="D8169" t="s">
        <v>30925</v>
      </c>
      <c r="E8169" t="s">
        <v>30926</v>
      </c>
      <c r="F8169" t="s">
        <v>504</v>
      </c>
      <c r="G8169" t="s">
        <v>71</v>
      </c>
      <c r="H8169">
        <v>53188</v>
      </c>
      <c r="I8169" t="s">
        <v>30</v>
      </c>
      <c r="J8169" t="s">
        <v>41</v>
      </c>
      <c r="K8169" t="s">
        <v>9956</v>
      </c>
      <c r="Q8169">
        <v>0</v>
      </c>
      <c r="R8169">
        <v>135</v>
      </c>
      <c r="S8169">
        <v>135</v>
      </c>
      <c r="T8169" t="s">
        <v>30927</v>
      </c>
    </row>
    <row r="8170" spans="1:20" customFormat="1" ht="15" x14ac:dyDescent="0.25">
      <c r="A8170" t="s">
        <v>35</v>
      </c>
      <c r="B8170" t="s">
        <v>61</v>
      </c>
      <c r="C8170" t="str">
        <f>"A0181186"</f>
        <v>A0181186</v>
      </c>
      <c r="D8170" t="s">
        <v>30928</v>
      </c>
      <c r="E8170" t="s">
        <v>30929</v>
      </c>
      <c r="F8170" t="s">
        <v>11482</v>
      </c>
      <c r="G8170" t="s">
        <v>71</v>
      </c>
      <c r="H8170">
        <v>54669</v>
      </c>
      <c r="I8170" t="s">
        <v>30</v>
      </c>
      <c r="J8170" t="s">
        <v>41</v>
      </c>
      <c r="K8170" t="s">
        <v>9956</v>
      </c>
      <c r="Q8170">
        <v>0</v>
      </c>
      <c r="R8170">
        <v>0</v>
      </c>
      <c r="S8170">
        <v>0</v>
      </c>
      <c r="T8170" t="s">
        <v>30930</v>
      </c>
    </row>
    <row r="8171" spans="1:20" customFormat="1" ht="15" x14ac:dyDescent="0.25">
      <c r="A8171" t="s">
        <v>35</v>
      </c>
      <c r="B8171" t="s">
        <v>61</v>
      </c>
      <c r="C8171" t="str">
        <f>"A0181185"</f>
        <v>A0181185</v>
      </c>
      <c r="D8171" t="s">
        <v>30931</v>
      </c>
      <c r="E8171" t="s">
        <v>23585</v>
      </c>
      <c r="F8171" t="s">
        <v>5133</v>
      </c>
      <c r="G8171" t="s">
        <v>52</v>
      </c>
      <c r="H8171" t="s">
        <v>23586</v>
      </c>
      <c r="I8171" t="s">
        <v>30</v>
      </c>
      <c r="J8171" t="s">
        <v>41</v>
      </c>
      <c r="K8171" t="s">
        <v>9956</v>
      </c>
      <c r="Q8171">
        <v>0</v>
      </c>
      <c r="R8171">
        <v>277</v>
      </c>
      <c r="S8171">
        <v>277</v>
      </c>
      <c r="T8171" t="s">
        <v>30932</v>
      </c>
    </row>
    <row r="8172" spans="1:20" customFormat="1" ht="15" x14ac:dyDescent="0.25">
      <c r="A8172" t="s">
        <v>35</v>
      </c>
      <c r="B8172" t="s">
        <v>61</v>
      </c>
      <c r="C8172" t="str">
        <f>"A0181184"</f>
        <v>A0181184</v>
      </c>
      <c r="D8172" t="s">
        <v>30933</v>
      </c>
      <c r="E8172" t="s">
        <v>23585</v>
      </c>
      <c r="F8172" t="s">
        <v>5133</v>
      </c>
      <c r="G8172" t="s">
        <v>52</v>
      </c>
      <c r="H8172" t="s">
        <v>23586</v>
      </c>
      <c r="I8172" t="s">
        <v>30</v>
      </c>
      <c r="J8172" t="s">
        <v>41</v>
      </c>
      <c r="K8172" t="s">
        <v>9956</v>
      </c>
      <c r="Q8172">
        <v>0</v>
      </c>
      <c r="R8172">
        <v>277</v>
      </c>
      <c r="S8172">
        <v>277</v>
      </c>
      <c r="T8172" t="s">
        <v>30932</v>
      </c>
    </row>
    <row r="8173" spans="1:20" customFormat="1" ht="15" x14ac:dyDescent="0.25">
      <c r="A8173" t="s">
        <v>35</v>
      </c>
      <c r="B8173" t="s">
        <v>61</v>
      </c>
      <c r="C8173" t="str">
        <f>"A0181183"</f>
        <v>A0181183</v>
      </c>
      <c r="D8173" t="s">
        <v>30934</v>
      </c>
      <c r="E8173" t="s">
        <v>23585</v>
      </c>
      <c r="F8173" t="s">
        <v>5133</v>
      </c>
      <c r="G8173" t="s">
        <v>52</v>
      </c>
      <c r="H8173" t="s">
        <v>23586</v>
      </c>
      <c r="I8173" t="s">
        <v>30</v>
      </c>
      <c r="J8173" t="s">
        <v>41</v>
      </c>
      <c r="K8173" t="s">
        <v>9956</v>
      </c>
      <c r="Q8173">
        <v>0</v>
      </c>
      <c r="R8173">
        <v>277</v>
      </c>
      <c r="S8173">
        <v>277</v>
      </c>
      <c r="T8173" t="s">
        <v>30932</v>
      </c>
    </row>
    <row r="8174" spans="1:20" customFormat="1" ht="15" x14ac:dyDescent="0.25">
      <c r="A8174" t="s">
        <v>35</v>
      </c>
      <c r="B8174" t="s">
        <v>11871</v>
      </c>
      <c r="C8174" t="str">
        <f>"A0181182"</f>
        <v>A0181182</v>
      </c>
      <c r="D8174" t="s">
        <v>30935</v>
      </c>
      <c r="E8174" t="s">
        <v>30936</v>
      </c>
      <c r="F8174" t="s">
        <v>22946</v>
      </c>
      <c r="G8174" t="s">
        <v>65</v>
      </c>
      <c r="H8174">
        <v>442232510</v>
      </c>
      <c r="I8174" t="s">
        <v>30</v>
      </c>
      <c r="J8174" t="s">
        <v>41</v>
      </c>
      <c r="K8174" t="s">
        <v>9956</v>
      </c>
      <c r="Q8174">
        <v>0</v>
      </c>
      <c r="R8174">
        <v>0</v>
      </c>
      <c r="S8174">
        <v>0</v>
      </c>
      <c r="T8174" t="s">
        <v>30937</v>
      </c>
    </row>
    <row r="8175" spans="1:20" customFormat="1" ht="15" x14ac:dyDescent="0.25">
      <c r="A8175" t="s">
        <v>35</v>
      </c>
      <c r="B8175" t="s">
        <v>61</v>
      </c>
      <c r="C8175" t="str">
        <f>"A0181181"</f>
        <v>A0181181</v>
      </c>
      <c r="D8175" t="s">
        <v>30938</v>
      </c>
      <c r="E8175" t="s">
        <v>30939</v>
      </c>
      <c r="F8175" t="s">
        <v>488</v>
      </c>
      <c r="G8175" t="s">
        <v>103</v>
      </c>
      <c r="H8175">
        <v>19601</v>
      </c>
      <c r="I8175" t="s">
        <v>30</v>
      </c>
      <c r="J8175" t="s">
        <v>41</v>
      </c>
      <c r="K8175" t="s">
        <v>9956</v>
      </c>
      <c r="Q8175">
        <v>0</v>
      </c>
      <c r="R8175">
        <v>58</v>
      </c>
      <c r="S8175">
        <v>58</v>
      </c>
      <c r="T8175" t="s">
        <v>30940</v>
      </c>
    </row>
    <row r="8176" spans="1:20" customFormat="1" ht="15" x14ac:dyDescent="0.25">
      <c r="A8176" t="s">
        <v>35</v>
      </c>
      <c r="B8176" t="s">
        <v>61</v>
      </c>
      <c r="C8176" t="str">
        <f>"A0181180"</f>
        <v>A0181180</v>
      </c>
      <c r="D8176" t="s">
        <v>22948</v>
      </c>
      <c r="E8176" t="s">
        <v>30941</v>
      </c>
      <c r="F8176" t="s">
        <v>11035</v>
      </c>
      <c r="G8176" t="s">
        <v>71</v>
      </c>
      <c r="H8176" t="s">
        <v>27313</v>
      </c>
      <c r="I8176" t="s">
        <v>30</v>
      </c>
      <c r="J8176" t="s">
        <v>41</v>
      </c>
      <c r="K8176" t="s">
        <v>9956</v>
      </c>
      <c r="Q8176">
        <v>0</v>
      </c>
      <c r="R8176">
        <v>107</v>
      </c>
      <c r="S8176">
        <v>107</v>
      </c>
      <c r="T8176" t="s">
        <v>30942</v>
      </c>
    </row>
    <row r="8177" spans="1:20" customFormat="1" ht="15" x14ac:dyDescent="0.25">
      <c r="A8177" t="s">
        <v>35</v>
      </c>
      <c r="B8177" t="s">
        <v>61</v>
      </c>
      <c r="C8177" t="str">
        <f>"A0181179"</f>
        <v>A0181179</v>
      </c>
      <c r="D8177" t="s">
        <v>30943</v>
      </c>
      <c r="E8177" t="s">
        <v>30944</v>
      </c>
      <c r="F8177" t="s">
        <v>10817</v>
      </c>
      <c r="G8177" t="s">
        <v>52</v>
      </c>
      <c r="H8177" t="s">
        <v>30945</v>
      </c>
      <c r="I8177" t="s">
        <v>30</v>
      </c>
      <c r="J8177" t="s">
        <v>41</v>
      </c>
      <c r="K8177" t="s">
        <v>9956</v>
      </c>
      <c r="Q8177">
        <v>0</v>
      </c>
      <c r="R8177">
        <v>164</v>
      </c>
      <c r="S8177">
        <v>164</v>
      </c>
      <c r="T8177" t="s">
        <v>30946</v>
      </c>
    </row>
    <row r="8178" spans="1:20" customFormat="1" ht="15" x14ac:dyDescent="0.25">
      <c r="A8178" t="s">
        <v>35</v>
      </c>
      <c r="B8178" t="s">
        <v>61</v>
      </c>
      <c r="C8178" t="str">
        <f>"A0181178"</f>
        <v>A0181178</v>
      </c>
      <c r="D8178" t="s">
        <v>30947</v>
      </c>
      <c r="E8178" t="s">
        <v>30948</v>
      </c>
      <c r="F8178" t="s">
        <v>4770</v>
      </c>
      <c r="G8178" t="s">
        <v>99</v>
      </c>
      <c r="H8178" t="s">
        <v>30949</v>
      </c>
      <c r="I8178" t="s">
        <v>30</v>
      </c>
      <c r="J8178" t="s">
        <v>41</v>
      </c>
      <c r="K8178" t="s">
        <v>9956</v>
      </c>
      <c r="Q8178">
        <v>0</v>
      </c>
      <c r="R8178">
        <v>362</v>
      </c>
      <c r="S8178">
        <v>362</v>
      </c>
      <c r="T8178" t="s">
        <v>30950</v>
      </c>
    </row>
    <row r="8179" spans="1:20" customFormat="1" ht="15" x14ac:dyDescent="0.25">
      <c r="A8179" t="s">
        <v>35</v>
      </c>
      <c r="B8179" t="s">
        <v>61</v>
      </c>
      <c r="C8179" t="str">
        <f>"A0181177"</f>
        <v>A0181177</v>
      </c>
      <c r="D8179" t="s">
        <v>30951</v>
      </c>
      <c r="E8179" t="s">
        <v>30952</v>
      </c>
      <c r="F8179" t="s">
        <v>24841</v>
      </c>
      <c r="G8179" t="s">
        <v>99</v>
      </c>
      <c r="H8179" t="s">
        <v>30953</v>
      </c>
      <c r="I8179" t="s">
        <v>30</v>
      </c>
      <c r="J8179" t="s">
        <v>41</v>
      </c>
      <c r="K8179" t="s">
        <v>9956</v>
      </c>
      <c r="Q8179">
        <v>0</v>
      </c>
      <c r="R8179">
        <v>120</v>
      </c>
      <c r="S8179">
        <v>120</v>
      </c>
      <c r="T8179" t="s">
        <v>24838</v>
      </c>
    </row>
    <row r="8180" spans="1:20" customFormat="1" ht="15" x14ac:dyDescent="0.25">
      <c r="A8180" t="s">
        <v>35</v>
      </c>
      <c r="B8180" t="s">
        <v>61</v>
      </c>
      <c r="C8180" t="str">
        <f>"A0181176"</f>
        <v>A0181176</v>
      </c>
      <c r="D8180" t="s">
        <v>30954</v>
      </c>
      <c r="E8180" t="s">
        <v>30955</v>
      </c>
      <c r="F8180" t="s">
        <v>4645</v>
      </c>
      <c r="G8180" t="s">
        <v>81</v>
      </c>
      <c r="H8180" t="s">
        <v>30956</v>
      </c>
      <c r="I8180" t="s">
        <v>30</v>
      </c>
      <c r="J8180" t="s">
        <v>41</v>
      </c>
      <c r="K8180" t="s">
        <v>9956</v>
      </c>
      <c r="Q8180">
        <v>0</v>
      </c>
      <c r="R8180">
        <v>120</v>
      </c>
      <c r="S8180">
        <v>120</v>
      </c>
      <c r="T8180" t="s">
        <v>30957</v>
      </c>
    </row>
    <row r="8181" spans="1:20" customFormat="1" ht="15" x14ac:dyDescent="0.25">
      <c r="A8181" t="s">
        <v>35</v>
      </c>
      <c r="B8181" t="s">
        <v>61</v>
      </c>
      <c r="C8181" t="str">
        <f>"A0181175"</f>
        <v>A0181175</v>
      </c>
      <c r="D8181" t="s">
        <v>30958</v>
      </c>
      <c r="E8181" t="s">
        <v>23585</v>
      </c>
      <c r="F8181" t="s">
        <v>5133</v>
      </c>
      <c r="G8181" t="s">
        <v>52</v>
      </c>
      <c r="H8181" t="s">
        <v>23586</v>
      </c>
      <c r="I8181" t="s">
        <v>30</v>
      </c>
      <c r="J8181" t="s">
        <v>41</v>
      </c>
      <c r="K8181" t="s">
        <v>9956</v>
      </c>
      <c r="Q8181">
        <v>0</v>
      </c>
      <c r="R8181">
        <v>277</v>
      </c>
      <c r="S8181">
        <v>277</v>
      </c>
      <c r="T8181" t="s">
        <v>30932</v>
      </c>
    </row>
    <row r="8182" spans="1:20" customFormat="1" ht="15" x14ac:dyDescent="0.25">
      <c r="A8182" t="s">
        <v>35</v>
      </c>
      <c r="B8182" t="s">
        <v>61</v>
      </c>
      <c r="C8182" t="str">
        <f>"A0181174"</f>
        <v>A0181174</v>
      </c>
      <c r="D8182" t="s">
        <v>30959</v>
      </c>
      <c r="E8182" t="s">
        <v>30960</v>
      </c>
      <c r="F8182" t="s">
        <v>18470</v>
      </c>
      <c r="G8182" t="s">
        <v>52</v>
      </c>
      <c r="H8182" t="s">
        <v>30961</v>
      </c>
      <c r="I8182" t="s">
        <v>30</v>
      </c>
      <c r="J8182" t="s">
        <v>41</v>
      </c>
      <c r="K8182" t="s">
        <v>9956</v>
      </c>
      <c r="Q8182">
        <v>0</v>
      </c>
      <c r="R8182">
        <v>120</v>
      </c>
      <c r="S8182">
        <v>120</v>
      </c>
      <c r="T8182" t="s">
        <v>30962</v>
      </c>
    </row>
    <row r="8183" spans="1:20" customFormat="1" ht="15" x14ac:dyDescent="0.25">
      <c r="A8183" t="s">
        <v>35</v>
      </c>
      <c r="B8183" t="s">
        <v>61</v>
      </c>
      <c r="C8183" t="str">
        <f>"A0181173"</f>
        <v>A0181173</v>
      </c>
      <c r="D8183" t="s">
        <v>30963</v>
      </c>
      <c r="E8183" t="s">
        <v>30964</v>
      </c>
      <c r="F8183" t="s">
        <v>12133</v>
      </c>
      <c r="G8183" t="s">
        <v>925</v>
      </c>
      <c r="H8183">
        <v>67843</v>
      </c>
      <c r="I8183" t="s">
        <v>30</v>
      </c>
      <c r="J8183" t="s">
        <v>41</v>
      </c>
      <c r="K8183" t="s">
        <v>9956</v>
      </c>
      <c r="Q8183">
        <v>0</v>
      </c>
      <c r="R8183">
        <v>1</v>
      </c>
      <c r="S8183">
        <v>1</v>
      </c>
      <c r="T8183" t="s">
        <v>30965</v>
      </c>
    </row>
    <row r="8184" spans="1:20" customFormat="1" ht="15" x14ac:dyDescent="0.25">
      <c r="A8184" t="s">
        <v>35</v>
      </c>
      <c r="B8184" t="s">
        <v>61</v>
      </c>
      <c r="C8184" t="str">
        <f>"A0181172"</f>
        <v>A0181172</v>
      </c>
      <c r="D8184" t="s">
        <v>30966</v>
      </c>
      <c r="E8184" t="s">
        <v>30967</v>
      </c>
      <c r="F8184" t="s">
        <v>30968</v>
      </c>
      <c r="G8184" t="s">
        <v>99</v>
      </c>
      <c r="H8184">
        <v>14094</v>
      </c>
      <c r="I8184" t="s">
        <v>30</v>
      </c>
      <c r="J8184" t="s">
        <v>41</v>
      </c>
      <c r="K8184" t="s">
        <v>9956</v>
      </c>
      <c r="Q8184">
        <v>0</v>
      </c>
      <c r="R8184">
        <v>120</v>
      </c>
      <c r="S8184">
        <v>120</v>
      </c>
      <c r="T8184" t="s">
        <v>30969</v>
      </c>
    </row>
    <row r="8185" spans="1:20" customFormat="1" ht="15" x14ac:dyDescent="0.25">
      <c r="A8185" t="s">
        <v>35</v>
      </c>
      <c r="B8185" t="s">
        <v>61</v>
      </c>
      <c r="C8185" t="str">
        <f>"A0181171"</f>
        <v>A0181171</v>
      </c>
      <c r="D8185" t="s">
        <v>30970</v>
      </c>
      <c r="E8185" t="s">
        <v>30971</v>
      </c>
      <c r="F8185" t="s">
        <v>8432</v>
      </c>
      <c r="G8185" t="s">
        <v>81</v>
      </c>
      <c r="H8185" t="s">
        <v>30972</v>
      </c>
      <c r="I8185" t="s">
        <v>30</v>
      </c>
      <c r="J8185" t="s">
        <v>41</v>
      </c>
      <c r="K8185" t="s">
        <v>9956</v>
      </c>
      <c r="Q8185">
        <v>0</v>
      </c>
      <c r="R8185">
        <v>0</v>
      </c>
      <c r="S8185">
        <v>0</v>
      </c>
      <c r="T8185" t="s">
        <v>30973</v>
      </c>
    </row>
    <row r="8186" spans="1:20" customFormat="1" ht="15" x14ac:dyDescent="0.25">
      <c r="A8186" t="s">
        <v>35</v>
      </c>
      <c r="B8186" t="s">
        <v>61</v>
      </c>
      <c r="C8186" t="str">
        <f>"A0181170"</f>
        <v>A0181170</v>
      </c>
      <c r="D8186" t="s">
        <v>30974</v>
      </c>
      <c r="E8186" t="s">
        <v>30975</v>
      </c>
      <c r="F8186" t="s">
        <v>13538</v>
      </c>
      <c r="G8186" t="s">
        <v>81</v>
      </c>
      <c r="H8186">
        <v>34601</v>
      </c>
      <c r="I8186" t="s">
        <v>30</v>
      </c>
      <c r="J8186" t="s">
        <v>41</v>
      </c>
      <c r="K8186" t="s">
        <v>9956</v>
      </c>
      <c r="Q8186">
        <v>0</v>
      </c>
      <c r="R8186">
        <v>150</v>
      </c>
      <c r="S8186">
        <v>150</v>
      </c>
      <c r="T8186" t="s">
        <v>30976</v>
      </c>
    </row>
    <row r="8187" spans="1:20" customFormat="1" ht="15" x14ac:dyDescent="0.25">
      <c r="A8187" t="s">
        <v>35</v>
      </c>
      <c r="B8187" t="s">
        <v>61</v>
      </c>
      <c r="C8187" t="str">
        <f>"A0181169"</f>
        <v>A0181169</v>
      </c>
      <c r="D8187" t="s">
        <v>30977</v>
      </c>
      <c r="E8187" t="s">
        <v>30978</v>
      </c>
      <c r="F8187" t="s">
        <v>13542</v>
      </c>
      <c r="G8187" t="s">
        <v>81</v>
      </c>
      <c r="H8187">
        <v>34652</v>
      </c>
      <c r="I8187" t="s">
        <v>30</v>
      </c>
      <c r="J8187" t="s">
        <v>41</v>
      </c>
      <c r="K8187" t="s">
        <v>9956</v>
      </c>
      <c r="Q8187">
        <v>0</v>
      </c>
      <c r="R8187">
        <v>120</v>
      </c>
      <c r="S8187">
        <v>120</v>
      </c>
      <c r="T8187" t="s">
        <v>30979</v>
      </c>
    </row>
    <row r="8188" spans="1:20" customFormat="1" ht="15" x14ac:dyDescent="0.25">
      <c r="A8188" t="s">
        <v>35</v>
      </c>
      <c r="B8188" t="s">
        <v>61</v>
      </c>
      <c r="C8188" t="str">
        <f>"A0181168"</f>
        <v>A0181168</v>
      </c>
      <c r="D8188" t="s">
        <v>30980</v>
      </c>
      <c r="E8188" t="s">
        <v>30981</v>
      </c>
      <c r="F8188" t="s">
        <v>2784</v>
      </c>
      <c r="G8188" t="s">
        <v>925</v>
      </c>
      <c r="H8188" t="s">
        <v>30982</v>
      </c>
      <c r="I8188" t="s">
        <v>30</v>
      </c>
      <c r="J8188" t="s">
        <v>41</v>
      </c>
      <c r="K8188" t="s">
        <v>9956</v>
      </c>
      <c r="Q8188">
        <v>0</v>
      </c>
      <c r="R8188">
        <v>80</v>
      </c>
      <c r="S8188">
        <v>80</v>
      </c>
      <c r="T8188" t="s">
        <v>30983</v>
      </c>
    </row>
    <row r="8189" spans="1:20" customFormat="1" ht="15" x14ac:dyDescent="0.25">
      <c r="A8189" t="s">
        <v>35</v>
      </c>
      <c r="B8189" t="s">
        <v>61</v>
      </c>
      <c r="C8189" t="str">
        <f>"A0181167"</f>
        <v>A0181167</v>
      </c>
      <c r="D8189" t="s">
        <v>30984</v>
      </c>
      <c r="E8189" t="s">
        <v>30985</v>
      </c>
      <c r="F8189" t="s">
        <v>30986</v>
      </c>
      <c r="G8189" t="s">
        <v>925</v>
      </c>
      <c r="H8189" t="s">
        <v>30987</v>
      </c>
      <c r="I8189" t="s">
        <v>30</v>
      </c>
      <c r="J8189" t="s">
        <v>41</v>
      </c>
      <c r="K8189" t="s">
        <v>9956</v>
      </c>
      <c r="Q8189">
        <v>0</v>
      </c>
      <c r="R8189">
        <v>60</v>
      </c>
      <c r="S8189">
        <v>60</v>
      </c>
      <c r="T8189" t="s">
        <v>30988</v>
      </c>
    </row>
    <row r="8190" spans="1:20" customFormat="1" ht="15" x14ac:dyDescent="0.25">
      <c r="A8190" t="s">
        <v>35</v>
      </c>
      <c r="B8190" t="s">
        <v>61</v>
      </c>
      <c r="C8190" t="str">
        <f>"A0181166"</f>
        <v>A0181166</v>
      </c>
      <c r="D8190" t="s">
        <v>30989</v>
      </c>
      <c r="E8190" t="s">
        <v>28188</v>
      </c>
      <c r="F8190" t="s">
        <v>12934</v>
      </c>
      <c r="G8190" t="s">
        <v>161</v>
      </c>
      <c r="H8190" t="s">
        <v>28189</v>
      </c>
      <c r="I8190" t="s">
        <v>30</v>
      </c>
      <c r="J8190" t="s">
        <v>41</v>
      </c>
      <c r="K8190" t="s">
        <v>9956</v>
      </c>
      <c r="Q8190">
        <v>0</v>
      </c>
      <c r="R8190">
        <v>80</v>
      </c>
      <c r="S8190">
        <v>80</v>
      </c>
      <c r="T8190" t="s">
        <v>30990</v>
      </c>
    </row>
    <row r="8191" spans="1:20" customFormat="1" ht="15" x14ac:dyDescent="0.25">
      <c r="A8191" t="s">
        <v>35</v>
      </c>
      <c r="B8191" t="s">
        <v>61</v>
      </c>
      <c r="C8191" t="str">
        <f>"A0181165"</f>
        <v>A0181165</v>
      </c>
      <c r="D8191" t="s">
        <v>30991</v>
      </c>
      <c r="E8191" t="s">
        <v>30992</v>
      </c>
      <c r="F8191" t="s">
        <v>30993</v>
      </c>
      <c r="G8191" t="s">
        <v>161</v>
      </c>
      <c r="H8191">
        <v>55992</v>
      </c>
      <c r="I8191" t="s">
        <v>30</v>
      </c>
      <c r="J8191" t="s">
        <v>41</v>
      </c>
      <c r="K8191" t="s">
        <v>9956</v>
      </c>
      <c r="Q8191">
        <v>0</v>
      </c>
      <c r="R8191">
        <v>0</v>
      </c>
      <c r="S8191">
        <v>0</v>
      </c>
      <c r="T8191" t="s">
        <v>30994</v>
      </c>
    </row>
    <row r="8192" spans="1:20" customFormat="1" ht="15" x14ac:dyDescent="0.25">
      <c r="A8192" t="s">
        <v>35</v>
      </c>
      <c r="B8192" t="s">
        <v>61</v>
      </c>
      <c r="C8192" t="str">
        <f>"A0181164"</f>
        <v>A0181164</v>
      </c>
      <c r="D8192" t="s">
        <v>30995</v>
      </c>
      <c r="E8192" t="s">
        <v>30996</v>
      </c>
      <c r="F8192" t="s">
        <v>21288</v>
      </c>
      <c r="G8192" t="s">
        <v>161</v>
      </c>
      <c r="H8192" t="s">
        <v>30997</v>
      </c>
      <c r="I8192" t="s">
        <v>30</v>
      </c>
      <c r="J8192" t="s">
        <v>41</v>
      </c>
      <c r="K8192" t="s">
        <v>9956</v>
      </c>
      <c r="Q8192">
        <v>0</v>
      </c>
      <c r="R8192">
        <v>110</v>
      </c>
      <c r="S8192">
        <v>110</v>
      </c>
      <c r="T8192" t="s">
        <v>30998</v>
      </c>
    </row>
    <row r="8193" spans="1:20" customFormat="1" ht="15" x14ac:dyDescent="0.25">
      <c r="A8193" t="s">
        <v>35</v>
      </c>
      <c r="B8193" t="s">
        <v>61</v>
      </c>
      <c r="C8193" t="str">
        <f>"A0181163"</f>
        <v>A0181163</v>
      </c>
      <c r="D8193" t="s">
        <v>30999</v>
      </c>
      <c r="E8193" t="s">
        <v>31000</v>
      </c>
      <c r="F8193" t="s">
        <v>27206</v>
      </c>
      <c r="G8193" t="s">
        <v>161</v>
      </c>
      <c r="H8193" t="s">
        <v>31001</v>
      </c>
      <c r="I8193" t="s">
        <v>30</v>
      </c>
      <c r="J8193" t="s">
        <v>41</v>
      </c>
      <c r="K8193" t="s">
        <v>9956</v>
      </c>
      <c r="Q8193">
        <v>0</v>
      </c>
      <c r="R8193">
        <v>0</v>
      </c>
      <c r="S8193">
        <v>0</v>
      </c>
      <c r="T8193" t="s">
        <v>31002</v>
      </c>
    </row>
    <row r="8194" spans="1:20" customFormat="1" ht="15" x14ac:dyDescent="0.25">
      <c r="A8194" t="s">
        <v>35</v>
      </c>
      <c r="B8194" t="s">
        <v>61</v>
      </c>
      <c r="C8194" t="str">
        <f>"A0181162"</f>
        <v>A0181162</v>
      </c>
      <c r="D8194" t="s">
        <v>31003</v>
      </c>
      <c r="E8194" t="s">
        <v>31004</v>
      </c>
      <c r="F8194" t="s">
        <v>31005</v>
      </c>
      <c r="G8194" t="s">
        <v>161</v>
      </c>
      <c r="H8194" t="s">
        <v>31006</v>
      </c>
      <c r="I8194" t="s">
        <v>30</v>
      </c>
      <c r="J8194" t="s">
        <v>41</v>
      </c>
      <c r="K8194" t="s">
        <v>9956</v>
      </c>
      <c r="Q8194">
        <v>0</v>
      </c>
      <c r="R8194">
        <v>76</v>
      </c>
      <c r="S8194">
        <v>76</v>
      </c>
      <c r="T8194" t="s">
        <v>31007</v>
      </c>
    </row>
    <row r="8195" spans="1:20" customFormat="1" ht="15" x14ac:dyDescent="0.25">
      <c r="A8195" t="s">
        <v>35</v>
      </c>
      <c r="B8195" t="s">
        <v>61</v>
      </c>
      <c r="C8195" t="str">
        <f>"A0181161"</f>
        <v>A0181161</v>
      </c>
      <c r="D8195" t="s">
        <v>31008</v>
      </c>
      <c r="E8195" t="s">
        <v>31009</v>
      </c>
      <c r="F8195" t="s">
        <v>20926</v>
      </c>
      <c r="G8195" t="s">
        <v>161</v>
      </c>
      <c r="H8195" t="s">
        <v>31010</v>
      </c>
      <c r="I8195" t="s">
        <v>30</v>
      </c>
      <c r="J8195" t="s">
        <v>41</v>
      </c>
      <c r="K8195" t="s">
        <v>9956</v>
      </c>
      <c r="Q8195">
        <v>0</v>
      </c>
      <c r="R8195">
        <v>143</v>
      </c>
      <c r="S8195">
        <v>143</v>
      </c>
      <c r="T8195" t="s">
        <v>31011</v>
      </c>
    </row>
    <row r="8196" spans="1:20" customFormat="1" ht="15" x14ac:dyDescent="0.25">
      <c r="A8196" t="s">
        <v>35</v>
      </c>
      <c r="B8196" t="s">
        <v>61</v>
      </c>
      <c r="C8196" t="str">
        <f>"A0181160"</f>
        <v>A0181160</v>
      </c>
      <c r="D8196" t="s">
        <v>31012</v>
      </c>
      <c r="E8196" t="s">
        <v>31013</v>
      </c>
      <c r="F8196" t="s">
        <v>22286</v>
      </c>
      <c r="G8196" t="s">
        <v>99</v>
      </c>
      <c r="H8196" t="s">
        <v>31014</v>
      </c>
      <c r="I8196" t="s">
        <v>30</v>
      </c>
      <c r="J8196" t="s">
        <v>41</v>
      </c>
      <c r="K8196" t="s">
        <v>9956</v>
      </c>
      <c r="Q8196">
        <v>0</v>
      </c>
      <c r="R8196">
        <v>46</v>
      </c>
      <c r="S8196">
        <v>46</v>
      </c>
      <c r="T8196" t="s">
        <v>31015</v>
      </c>
    </row>
    <row r="8197" spans="1:20" customFormat="1" ht="15" x14ac:dyDescent="0.25">
      <c r="A8197" t="s">
        <v>35</v>
      </c>
      <c r="B8197" t="s">
        <v>61</v>
      </c>
      <c r="C8197" t="str">
        <f>"A0181159"</f>
        <v>A0181159</v>
      </c>
      <c r="D8197" t="s">
        <v>31016</v>
      </c>
      <c r="E8197" t="s">
        <v>31017</v>
      </c>
      <c r="F8197" t="s">
        <v>31018</v>
      </c>
      <c r="G8197" t="s">
        <v>99</v>
      </c>
      <c r="H8197" t="s">
        <v>31019</v>
      </c>
      <c r="I8197" t="s">
        <v>30</v>
      </c>
      <c r="J8197" t="s">
        <v>41</v>
      </c>
      <c r="K8197" t="s">
        <v>9956</v>
      </c>
      <c r="Q8197">
        <v>0</v>
      </c>
      <c r="R8197">
        <v>49</v>
      </c>
      <c r="S8197">
        <v>49</v>
      </c>
      <c r="T8197" t="s">
        <v>31020</v>
      </c>
    </row>
    <row r="8198" spans="1:20" customFormat="1" ht="15" x14ac:dyDescent="0.25">
      <c r="A8198" t="s">
        <v>35</v>
      </c>
      <c r="B8198" t="s">
        <v>61</v>
      </c>
      <c r="C8198" t="str">
        <f>"A0181158"</f>
        <v>A0181158</v>
      </c>
      <c r="D8198" t="s">
        <v>31021</v>
      </c>
      <c r="E8198" t="s">
        <v>31022</v>
      </c>
      <c r="F8198" t="s">
        <v>29332</v>
      </c>
      <c r="G8198" t="s">
        <v>161</v>
      </c>
      <c r="H8198" t="s">
        <v>31023</v>
      </c>
      <c r="I8198" t="s">
        <v>30</v>
      </c>
      <c r="J8198" t="s">
        <v>41</v>
      </c>
      <c r="K8198" t="s">
        <v>9956</v>
      </c>
      <c r="Q8198">
        <v>0</v>
      </c>
      <c r="R8198">
        <v>173</v>
      </c>
      <c r="S8198">
        <v>173</v>
      </c>
      <c r="T8198" t="s">
        <v>31024</v>
      </c>
    </row>
    <row r="8199" spans="1:20" customFormat="1" ht="15" x14ac:dyDescent="0.25">
      <c r="A8199" t="s">
        <v>35</v>
      </c>
      <c r="B8199" t="s">
        <v>61</v>
      </c>
      <c r="C8199" t="str">
        <f>"A0181156"</f>
        <v>A0181156</v>
      </c>
      <c r="D8199" t="s">
        <v>31025</v>
      </c>
      <c r="E8199" t="s">
        <v>31026</v>
      </c>
      <c r="F8199" t="s">
        <v>26552</v>
      </c>
      <c r="G8199" t="s">
        <v>99</v>
      </c>
      <c r="H8199" t="s">
        <v>31027</v>
      </c>
      <c r="I8199" t="s">
        <v>30</v>
      </c>
      <c r="J8199" t="s">
        <v>41</v>
      </c>
      <c r="K8199" t="s">
        <v>9956</v>
      </c>
      <c r="Q8199">
        <v>0</v>
      </c>
      <c r="R8199">
        <v>120</v>
      </c>
      <c r="S8199">
        <v>120</v>
      </c>
      <c r="T8199" t="s">
        <v>31028</v>
      </c>
    </row>
    <row r="8200" spans="1:20" customFormat="1" ht="15" x14ac:dyDescent="0.25">
      <c r="A8200" t="s">
        <v>35</v>
      </c>
      <c r="B8200" t="s">
        <v>61</v>
      </c>
      <c r="C8200" t="str">
        <f>"A0181155"</f>
        <v>A0181155</v>
      </c>
      <c r="D8200" t="s">
        <v>31029</v>
      </c>
      <c r="E8200" t="s">
        <v>25227</v>
      </c>
      <c r="F8200" t="s">
        <v>3193</v>
      </c>
      <c r="G8200" t="s">
        <v>99</v>
      </c>
      <c r="H8200" t="s">
        <v>25228</v>
      </c>
      <c r="I8200" t="s">
        <v>30</v>
      </c>
      <c r="J8200" t="s">
        <v>41</v>
      </c>
      <c r="K8200" t="s">
        <v>9956</v>
      </c>
      <c r="Q8200">
        <v>0</v>
      </c>
      <c r="R8200">
        <v>120</v>
      </c>
      <c r="S8200">
        <v>120</v>
      </c>
      <c r="T8200" t="s">
        <v>25355</v>
      </c>
    </row>
    <row r="8201" spans="1:20" customFormat="1" ht="15" x14ac:dyDescent="0.25">
      <c r="A8201" t="s">
        <v>35</v>
      </c>
      <c r="B8201" t="s">
        <v>61</v>
      </c>
      <c r="C8201" t="str">
        <f>"A0181154"</f>
        <v>A0181154</v>
      </c>
      <c r="D8201" t="s">
        <v>31030</v>
      </c>
      <c r="E8201" t="s">
        <v>31031</v>
      </c>
      <c r="F8201" t="s">
        <v>25347</v>
      </c>
      <c r="G8201" t="s">
        <v>99</v>
      </c>
      <c r="H8201" t="s">
        <v>31032</v>
      </c>
      <c r="I8201" t="s">
        <v>30</v>
      </c>
      <c r="J8201" t="s">
        <v>41</v>
      </c>
      <c r="K8201" t="s">
        <v>9956</v>
      </c>
      <c r="Q8201">
        <v>0</v>
      </c>
      <c r="R8201">
        <v>120</v>
      </c>
      <c r="S8201">
        <v>120</v>
      </c>
      <c r="T8201" t="s">
        <v>31033</v>
      </c>
    </row>
    <row r="8202" spans="1:20" customFormat="1" ht="15" x14ac:dyDescent="0.25">
      <c r="A8202" t="s">
        <v>35</v>
      </c>
      <c r="B8202" t="s">
        <v>61</v>
      </c>
      <c r="C8202" t="str">
        <f>"A0181153"</f>
        <v>A0181153</v>
      </c>
      <c r="D8202" t="s">
        <v>31034</v>
      </c>
      <c r="E8202" t="s">
        <v>31035</v>
      </c>
      <c r="F8202" t="s">
        <v>5772</v>
      </c>
      <c r="G8202" t="s">
        <v>99</v>
      </c>
      <c r="H8202" t="s">
        <v>31036</v>
      </c>
      <c r="I8202" t="s">
        <v>30</v>
      </c>
      <c r="J8202" t="s">
        <v>41</v>
      </c>
      <c r="K8202" t="s">
        <v>9956</v>
      </c>
      <c r="Q8202">
        <v>0</v>
      </c>
      <c r="R8202">
        <v>566</v>
      </c>
      <c r="S8202">
        <v>566</v>
      </c>
      <c r="T8202" t="s">
        <v>31037</v>
      </c>
    </row>
    <row r="8203" spans="1:20" customFormat="1" ht="15" x14ac:dyDescent="0.25">
      <c r="A8203" t="s">
        <v>35</v>
      </c>
      <c r="B8203" t="s">
        <v>61</v>
      </c>
      <c r="C8203" t="str">
        <f>"A0181152"</f>
        <v>A0181152</v>
      </c>
      <c r="D8203" t="s">
        <v>31038</v>
      </c>
      <c r="E8203" t="s">
        <v>31039</v>
      </c>
      <c r="F8203" t="s">
        <v>10801</v>
      </c>
      <c r="G8203" t="s">
        <v>99</v>
      </c>
      <c r="H8203">
        <v>14201</v>
      </c>
      <c r="I8203" t="s">
        <v>30</v>
      </c>
      <c r="J8203" t="s">
        <v>41</v>
      </c>
      <c r="K8203" t="s">
        <v>9956</v>
      </c>
      <c r="Q8203">
        <v>0</v>
      </c>
      <c r="R8203">
        <v>167</v>
      </c>
      <c r="S8203">
        <v>167</v>
      </c>
      <c r="T8203" t="s">
        <v>31040</v>
      </c>
    </row>
    <row r="8204" spans="1:20" customFormat="1" ht="15" x14ac:dyDescent="0.25">
      <c r="A8204" t="s">
        <v>35</v>
      </c>
      <c r="B8204" t="s">
        <v>61</v>
      </c>
      <c r="C8204" t="str">
        <f>"A0181151"</f>
        <v>A0181151</v>
      </c>
      <c r="D8204" t="s">
        <v>31041</v>
      </c>
      <c r="E8204" t="s">
        <v>31042</v>
      </c>
      <c r="F8204" t="s">
        <v>5317</v>
      </c>
      <c r="G8204" t="s">
        <v>99</v>
      </c>
      <c r="H8204" t="s">
        <v>31043</v>
      </c>
      <c r="I8204" t="s">
        <v>30</v>
      </c>
      <c r="J8204" t="s">
        <v>41</v>
      </c>
      <c r="K8204" t="s">
        <v>9956</v>
      </c>
      <c r="Q8204">
        <v>0</v>
      </c>
      <c r="R8204">
        <v>80</v>
      </c>
      <c r="S8204">
        <v>80</v>
      </c>
      <c r="T8204" t="s">
        <v>31044</v>
      </c>
    </row>
    <row r="8205" spans="1:20" customFormat="1" ht="15" x14ac:dyDescent="0.25">
      <c r="A8205" t="s">
        <v>35</v>
      </c>
      <c r="B8205" t="s">
        <v>61</v>
      </c>
      <c r="C8205" t="str">
        <f>"A0181150"</f>
        <v>A0181150</v>
      </c>
      <c r="D8205" t="s">
        <v>31045</v>
      </c>
      <c r="E8205" t="s">
        <v>31046</v>
      </c>
      <c r="F8205" t="s">
        <v>22374</v>
      </c>
      <c r="G8205" t="s">
        <v>99</v>
      </c>
      <c r="H8205">
        <v>12208</v>
      </c>
      <c r="I8205" t="s">
        <v>30</v>
      </c>
      <c r="J8205" t="s">
        <v>41</v>
      </c>
      <c r="K8205" t="s">
        <v>9956</v>
      </c>
      <c r="Q8205">
        <v>0</v>
      </c>
      <c r="R8205">
        <v>58</v>
      </c>
      <c r="S8205">
        <v>58</v>
      </c>
      <c r="T8205" t="s">
        <v>31047</v>
      </c>
    </row>
    <row r="8206" spans="1:20" customFormat="1" ht="15" x14ac:dyDescent="0.25">
      <c r="A8206" t="s">
        <v>35</v>
      </c>
      <c r="B8206" t="s">
        <v>61</v>
      </c>
      <c r="C8206" t="str">
        <f>"A0181149"</f>
        <v>A0181149</v>
      </c>
      <c r="D8206" t="s">
        <v>31048</v>
      </c>
      <c r="E8206" t="s">
        <v>31049</v>
      </c>
      <c r="F8206" t="s">
        <v>31050</v>
      </c>
      <c r="G8206" t="s">
        <v>99</v>
      </c>
      <c r="H8206" t="s">
        <v>31051</v>
      </c>
      <c r="I8206" t="s">
        <v>30</v>
      </c>
      <c r="J8206" t="s">
        <v>41</v>
      </c>
      <c r="K8206" t="s">
        <v>9956</v>
      </c>
      <c r="Q8206">
        <v>0</v>
      </c>
      <c r="R8206">
        <v>120</v>
      </c>
      <c r="S8206">
        <v>120</v>
      </c>
      <c r="T8206" t="s">
        <v>31052</v>
      </c>
    </row>
    <row r="8207" spans="1:20" customFormat="1" ht="15" x14ac:dyDescent="0.25">
      <c r="A8207" t="s">
        <v>35</v>
      </c>
      <c r="B8207" t="s">
        <v>61</v>
      </c>
      <c r="C8207" t="str">
        <f>"A0181148"</f>
        <v>A0181148</v>
      </c>
      <c r="D8207" t="s">
        <v>31053</v>
      </c>
      <c r="E8207" t="s">
        <v>31054</v>
      </c>
      <c r="F8207" t="s">
        <v>31055</v>
      </c>
      <c r="G8207" t="s">
        <v>161</v>
      </c>
      <c r="H8207">
        <v>56284</v>
      </c>
      <c r="I8207" t="s">
        <v>30</v>
      </c>
      <c r="J8207" t="s">
        <v>41</v>
      </c>
      <c r="K8207" t="s">
        <v>9956</v>
      </c>
      <c r="Q8207">
        <v>0</v>
      </c>
      <c r="R8207">
        <v>0</v>
      </c>
      <c r="S8207">
        <v>0</v>
      </c>
      <c r="T8207" t="s">
        <v>31056</v>
      </c>
    </row>
    <row r="8208" spans="1:20" customFormat="1" ht="15" x14ac:dyDescent="0.25">
      <c r="A8208" t="s">
        <v>35</v>
      </c>
      <c r="B8208" t="s">
        <v>61</v>
      </c>
      <c r="C8208" t="str">
        <f>"A0181147"</f>
        <v>A0181147</v>
      </c>
      <c r="D8208" t="s">
        <v>31057</v>
      </c>
      <c r="E8208" t="s">
        <v>31058</v>
      </c>
      <c r="F8208" t="s">
        <v>5196</v>
      </c>
      <c r="G8208" t="s">
        <v>161</v>
      </c>
      <c r="H8208" t="s">
        <v>31059</v>
      </c>
      <c r="I8208" t="s">
        <v>30</v>
      </c>
      <c r="J8208" t="s">
        <v>41</v>
      </c>
      <c r="K8208" t="s">
        <v>9956</v>
      </c>
      <c r="Q8208">
        <v>0</v>
      </c>
      <c r="R8208">
        <v>48</v>
      </c>
      <c r="S8208">
        <v>48</v>
      </c>
      <c r="T8208" t="s">
        <v>31060</v>
      </c>
    </row>
    <row r="8209" spans="1:20" customFormat="1" ht="15" x14ac:dyDescent="0.25">
      <c r="A8209" t="s">
        <v>35</v>
      </c>
      <c r="B8209" t="s">
        <v>61</v>
      </c>
      <c r="C8209" t="str">
        <f>"A0181146"</f>
        <v>A0181146</v>
      </c>
      <c r="D8209" t="s">
        <v>31061</v>
      </c>
      <c r="E8209" t="s">
        <v>31062</v>
      </c>
      <c r="F8209" t="s">
        <v>23833</v>
      </c>
      <c r="G8209" t="s">
        <v>99</v>
      </c>
      <c r="H8209" t="s">
        <v>31063</v>
      </c>
      <c r="I8209" t="s">
        <v>30</v>
      </c>
      <c r="J8209" t="s">
        <v>41</v>
      </c>
      <c r="K8209" t="s">
        <v>9956</v>
      </c>
      <c r="Q8209">
        <v>0</v>
      </c>
      <c r="R8209">
        <v>35</v>
      </c>
      <c r="S8209">
        <v>35</v>
      </c>
      <c r="T8209" t="s">
        <v>31064</v>
      </c>
    </row>
    <row r="8210" spans="1:20" customFormat="1" ht="15" x14ac:dyDescent="0.25">
      <c r="A8210" t="s">
        <v>35</v>
      </c>
      <c r="B8210" t="s">
        <v>61</v>
      </c>
      <c r="C8210" t="str">
        <f>"A0181145"</f>
        <v>A0181145</v>
      </c>
      <c r="D8210" t="s">
        <v>31065</v>
      </c>
      <c r="E8210" t="s">
        <v>31066</v>
      </c>
      <c r="F8210" t="s">
        <v>4219</v>
      </c>
      <c r="G8210" t="s">
        <v>99</v>
      </c>
      <c r="H8210" t="s">
        <v>31067</v>
      </c>
      <c r="I8210" t="s">
        <v>30</v>
      </c>
      <c r="J8210" t="s">
        <v>41</v>
      </c>
      <c r="K8210" t="s">
        <v>9956</v>
      </c>
      <c r="Q8210">
        <v>0</v>
      </c>
      <c r="R8210">
        <v>202</v>
      </c>
      <c r="S8210">
        <v>202</v>
      </c>
      <c r="T8210" t="s">
        <v>31068</v>
      </c>
    </row>
    <row r="8211" spans="1:20" customFormat="1" ht="15" x14ac:dyDescent="0.25">
      <c r="A8211" t="s">
        <v>35</v>
      </c>
      <c r="B8211" t="s">
        <v>61</v>
      </c>
      <c r="C8211" t="str">
        <f>"A0181144"</f>
        <v>A0181144</v>
      </c>
      <c r="D8211" t="s">
        <v>31069</v>
      </c>
      <c r="E8211" t="s">
        <v>31070</v>
      </c>
      <c r="F8211" t="s">
        <v>14670</v>
      </c>
      <c r="G8211" t="s">
        <v>925</v>
      </c>
      <c r="H8211" t="s">
        <v>31071</v>
      </c>
      <c r="I8211" t="s">
        <v>30</v>
      </c>
      <c r="J8211" t="s">
        <v>41</v>
      </c>
      <c r="K8211" t="s">
        <v>9956</v>
      </c>
      <c r="Q8211">
        <v>0</v>
      </c>
      <c r="R8211">
        <v>44</v>
      </c>
      <c r="S8211">
        <v>44</v>
      </c>
      <c r="T8211" t="s">
        <v>31072</v>
      </c>
    </row>
    <row r="8212" spans="1:20" customFormat="1" ht="15" x14ac:dyDescent="0.25">
      <c r="A8212" t="s">
        <v>35</v>
      </c>
      <c r="B8212" t="s">
        <v>61</v>
      </c>
      <c r="C8212" t="str">
        <f>"A0181143"</f>
        <v>A0181143</v>
      </c>
      <c r="D8212" t="s">
        <v>31073</v>
      </c>
      <c r="E8212" t="s">
        <v>31074</v>
      </c>
      <c r="F8212" t="s">
        <v>30868</v>
      </c>
      <c r="G8212" t="s">
        <v>925</v>
      </c>
      <c r="H8212" t="s">
        <v>31075</v>
      </c>
      <c r="I8212" t="s">
        <v>30</v>
      </c>
      <c r="J8212" t="s">
        <v>41</v>
      </c>
      <c r="K8212" t="s">
        <v>9956</v>
      </c>
      <c r="Q8212">
        <v>0</v>
      </c>
      <c r="R8212">
        <v>60</v>
      </c>
      <c r="S8212">
        <v>60</v>
      </c>
      <c r="T8212" t="s">
        <v>31076</v>
      </c>
    </row>
    <row r="8213" spans="1:20" customFormat="1" ht="15" x14ac:dyDescent="0.25">
      <c r="A8213" t="s">
        <v>35</v>
      </c>
      <c r="B8213" t="s">
        <v>61</v>
      </c>
      <c r="C8213" t="str">
        <f>"A0181142"</f>
        <v>A0181142</v>
      </c>
      <c r="D8213" t="s">
        <v>31077</v>
      </c>
      <c r="E8213" t="s">
        <v>31078</v>
      </c>
      <c r="F8213" t="s">
        <v>17993</v>
      </c>
      <c r="G8213" t="s">
        <v>925</v>
      </c>
      <c r="H8213" t="s">
        <v>31079</v>
      </c>
      <c r="I8213" t="s">
        <v>30</v>
      </c>
      <c r="J8213" t="s">
        <v>41</v>
      </c>
      <c r="K8213" t="s">
        <v>9956</v>
      </c>
      <c r="Q8213">
        <v>0</v>
      </c>
      <c r="R8213">
        <v>40</v>
      </c>
      <c r="S8213">
        <v>40</v>
      </c>
      <c r="T8213" t="s">
        <v>31080</v>
      </c>
    </row>
    <row r="8214" spans="1:20" customFormat="1" ht="15" x14ac:dyDescent="0.25">
      <c r="A8214" t="s">
        <v>35</v>
      </c>
      <c r="B8214" t="s">
        <v>61</v>
      </c>
      <c r="C8214" t="str">
        <f>"A0181141"</f>
        <v>A0181141</v>
      </c>
      <c r="D8214" t="s">
        <v>31081</v>
      </c>
      <c r="E8214" t="s">
        <v>21830</v>
      </c>
      <c r="F8214" t="s">
        <v>3009</v>
      </c>
      <c r="G8214" t="s">
        <v>110</v>
      </c>
      <c r="H8214" t="s">
        <v>31082</v>
      </c>
      <c r="I8214" t="s">
        <v>30</v>
      </c>
      <c r="J8214" t="s">
        <v>41</v>
      </c>
      <c r="K8214" t="s">
        <v>9956</v>
      </c>
      <c r="Q8214">
        <v>0</v>
      </c>
      <c r="R8214">
        <v>48</v>
      </c>
      <c r="S8214">
        <v>48</v>
      </c>
      <c r="T8214" t="s">
        <v>31083</v>
      </c>
    </row>
    <row r="8215" spans="1:20" customFormat="1" ht="15" x14ac:dyDescent="0.25">
      <c r="A8215" t="s">
        <v>35</v>
      </c>
      <c r="B8215" t="s">
        <v>61</v>
      </c>
      <c r="C8215" t="str">
        <f>"A0181140"</f>
        <v>A0181140</v>
      </c>
      <c r="D8215" t="s">
        <v>31084</v>
      </c>
      <c r="E8215" t="s">
        <v>31085</v>
      </c>
      <c r="F8215" t="s">
        <v>21632</v>
      </c>
      <c r="G8215" t="s">
        <v>925</v>
      </c>
      <c r="H8215" t="s">
        <v>31086</v>
      </c>
      <c r="I8215" t="s">
        <v>30</v>
      </c>
      <c r="J8215" t="s">
        <v>41</v>
      </c>
      <c r="K8215" t="s">
        <v>9956</v>
      </c>
      <c r="Q8215">
        <v>0</v>
      </c>
      <c r="R8215">
        <v>60</v>
      </c>
      <c r="S8215">
        <v>60</v>
      </c>
      <c r="T8215" t="s">
        <v>31087</v>
      </c>
    </row>
    <row r="8216" spans="1:20" customFormat="1" ht="15" x14ac:dyDescent="0.25">
      <c r="A8216" t="s">
        <v>35</v>
      </c>
      <c r="B8216" t="s">
        <v>61</v>
      </c>
      <c r="C8216" t="str">
        <f>"A0181139"</f>
        <v>A0181139</v>
      </c>
      <c r="D8216" t="s">
        <v>31088</v>
      </c>
      <c r="E8216" t="s">
        <v>31089</v>
      </c>
      <c r="F8216" t="s">
        <v>31090</v>
      </c>
      <c r="G8216" t="s">
        <v>161</v>
      </c>
      <c r="H8216">
        <v>55127</v>
      </c>
      <c r="I8216" t="s">
        <v>30</v>
      </c>
      <c r="J8216" t="s">
        <v>41</v>
      </c>
      <c r="K8216" t="s">
        <v>9956</v>
      </c>
      <c r="Q8216">
        <v>0</v>
      </c>
      <c r="R8216">
        <v>60</v>
      </c>
      <c r="S8216">
        <v>60</v>
      </c>
      <c r="T8216" t="s">
        <v>31091</v>
      </c>
    </row>
    <row r="8217" spans="1:20" customFormat="1" ht="15" x14ac:dyDescent="0.25">
      <c r="A8217" t="s">
        <v>35</v>
      </c>
      <c r="B8217" t="s">
        <v>61</v>
      </c>
      <c r="C8217" t="str">
        <f>"A0181138"</f>
        <v>A0181138</v>
      </c>
      <c r="D8217" t="s">
        <v>31092</v>
      </c>
      <c r="E8217" t="s">
        <v>31093</v>
      </c>
      <c r="F8217" t="s">
        <v>28916</v>
      </c>
      <c r="G8217" t="s">
        <v>99</v>
      </c>
      <c r="H8217" t="s">
        <v>31094</v>
      </c>
      <c r="I8217" t="s">
        <v>30</v>
      </c>
      <c r="J8217" t="s">
        <v>41</v>
      </c>
      <c r="K8217" t="s">
        <v>9956</v>
      </c>
      <c r="Q8217">
        <v>0</v>
      </c>
      <c r="R8217">
        <v>190</v>
      </c>
      <c r="S8217">
        <v>190</v>
      </c>
      <c r="T8217" t="s">
        <v>31095</v>
      </c>
    </row>
    <row r="8218" spans="1:20" customFormat="1" ht="15" x14ac:dyDescent="0.25">
      <c r="A8218" t="s">
        <v>35</v>
      </c>
      <c r="B8218" t="s">
        <v>61</v>
      </c>
      <c r="C8218" t="str">
        <f>"A0181136"</f>
        <v>A0181136</v>
      </c>
      <c r="D8218" t="s">
        <v>31096</v>
      </c>
      <c r="E8218" t="s">
        <v>31097</v>
      </c>
      <c r="F8218" t="s">
        <v>5196</v>
      </c>
      <c r="G8218" t="s">
        <v>161</v>
      </c>
      <c r="H8218" t="s">
        <v>31098</v>
      </c>
      <c r="I8218" t="s">
        <v>30</v>
      </c>
      <c r="J8218" t="s">
        <v>41</v>
      </c>
      <c r="K8218" t="s">
        <v>9956</v>
      </c>
      <c r="Q8218">
        <v>0</v>
      </c>
      <c r="R8218">
        <v>129</v>
      </c>
      <c r="S8218">
        <v>129</v>
      </c>
      <c r="T8218" t="s">
        <v>31099</v>
      </c>
    </row>
    <row r="8219" spans="1:20" customFormat="1" ht="15" x14ac:dyDescent="0.25">
      <c r="A8219" t="s">
        <v>35</v>
      </c>
      <c r="B8219" t="s">
        <v>61</v>
      </c>
      <c r="C8219" t="str">
        <f>"A0181135"</f>
        <v>A0181135</v>
      </c>
      <c r="D8219" t="s">
        <v>31100</v>
      </c>
      <c r="E8219" t="s">
        <v>31101</v>
      </c>
      <c r="F8219" t="s">
        <v>4211</v>
      </c>
      <c r="G8219" t="s">
        <v>99</v>
      </c>
      <c r="H8219" t="s">
        <v>31102</v>
      </c>
      <c r="I8219" t="s">
        <v>30</v>
      </c>
      <c r="J8219" t="s">
        <v>41</v>
      </c>
      <c r="K8219" t="s">
        <v>9956</v>
      </c>
      <c r="Q8219">
        <v>0</v>
      </c>
      <c r="R8219">
        <v>84</v>
      </c>
      <c r="S8219">
        <v>84</v>
      </c>
      <c r="T8219" t="s">
        <v>31103</v>
      </c>
    </row>
    <row r="8220" spans="1:20" customFormat="1" ht="15" x14ac:dyDescent="0.25">
      <c r="A8220" t="s">
        <v>35</v>
      </c>
      <c r="B8220" t="s">
        <v>61</v>
      </c>
      <c r="C8220" t="str">
        <f>"A0181134"</f>
        <v>A0181134</v>
      </c>
      <c r="D8220" t="s">
        <v>31104</v>
      </c>
      <c r="E8220" t="s">
        <v>31105</v>
      </c>
      <c r="F8220" t="s">
        <v>26190</v>
      </c>
      <c r="G8220" t="s">
        <v>99</v>
      </c>
      <c r="H8220" t="s">
        <v>31106</v>
      </c>
      <c r="I8220" t="s">
        <v>30</v>
      </c>
      <c r="J8220" t="s">
        <v>41</v>
      </c>
      <c r="K8220" t="s">
        <v>9956</v>
      </c>
      <c r="Q8220">
        <v>0</v>
      </c>
      <c r="R8220">
        <v>78</v>
      </c>
      <c r="S8220">
        <v>78</v>
      </c>
      <c r="T8220" t="s">
        <v>31107</v>
      </c>
    </row>
    <row r="8221" spans="1:20" customFormat="1" ht="15" x14ac:dyDescent="0.25">
      <c r="A8221" t="s">
        <v>35</v>
      </c>
      <c r="B8221" t="s">
        <v>61</v>
      </c>
      <c r="C8221" t="str">
        <f>"A0181133"</f>
        <v>A0181133</v>
      </c>
      <c r="D8221" t="s">
        <v>31108</v>
      </c>
      <c r="E8221" t="s">
        <v>31109</v>
      </c>
      <c r="F8221" t="s">
        <v>31110</v>
      </c>
      <c r="G8221" t="s">
        <v>161</v>
      </c>
      <c r="H8221" t="s">
        <v>31111</v>
      </c>
      <c r="I8221" t="s">
        <v>30</v>
      </c>
      <c r="J8221" t="s">
        <v>41</v>
      </c>
      <c r="K8221" t="s">
        <v>9956</v>
      </c>
      <c r="Q8221">
        <v>0</v>
      </c>
      <c r="R8221">
        <v>55</v>
      </c>
      <c r="S8221">
        <v>55</v>
      </c>
      <c r="T8221" t="s">
        <v>31112</v>
      </c>
    </row>
    <row r="8222" spans="1:20" customFormat="1" ht="15" x14ac:dyDescent="0.25">
      <c r="A8222" t="s">
        <v>35</v>
      </c>
      <c r="B8222" t="s">
        <v>61</v>
      </c>
      <c r="C8222" t="str">
        <f>"A0181132"</f>
        <v>A0181132</v>
      </c>
      <c r="D8222" t="s">
        <v>31113</v>
      </c>
      <c r="E8222" t="s">
        <v>31114</v>
      </c>
      <c r="F8222" t="s">
        <v>2766</v>
      </c>
      <c r="G8222" t="s">
        <v>99</v>
      </c>
      <c r="H8222" t="s">
        <v>31115</v>
      </c>
      <c r="I8222" t="s">
        <v>30</v>
      </c>
      <c r="J8222" t="s">
        <v>41</v>
      </c>
      <c r="K8222" t="s">
        <v>9956</v>
      </c>
      <c r="Q8222">
        <v>0</v>
      </c>
      <c r="R8222">
        <v>98</v>
      </c>
      <c r="S8222">
        <v>98</v>
      </c>
      <c r="T8222" t="s">
        <v>31116</v>
      </c>
    </row>
    <row r="8223" spans="1:20" customFormat="1" ht="15" x14ac:dyDescent="0.25">
      <c r="A8223" t="s">
        <v>35</v>
      </c>
      <c r="B8223" t="s">
        <v>61</v>
      </c>
      <c r="C8223" t="str">
        <f>"A0181131"</f>
        <v>A0181131</v>
      </c>
      <c r="D8223" t="s">
        <v>31117</v>
      </c>
      <c r="E8223" t="s">
        <v>31118</v>
      </c>
      <c r="F8223" t="s">
        <v>22374</v>
      </c>
      <c r="G8223" t="s">
        <v>99</v>
      </c>
      <c r="H8223" t="s">
        <v>31119</v>
      </c>
      <c r="I8223" t="s">
        <v>30</v>
      </c>
      <c r="J8223" t="s">
        <v>41</v>
      </c>
      <c r="K8223" t="s">
        <v>9956</v>
      </c>
      <c r="Q8223">
        <v>0</v>
      </c>
      <c r="R8223">
        <v>420</v>
      </c>
      <c r="S8223">
        <v>420</v>
      </c>
      <c r="T8223" t="s">
        <v>31120</v>
      </c>
    </row>
    <row r="8224" spans="1:20" customFormat="1" ht="15" x14ac:dyDescent="0.25">
      <c r="A8224" t="s">
        <v>35</v>
      </c>
      <c r="B8224" t="s">
        <v>61</v>
      </c>
      <c r="C8224" t="str">
        <f>"A0181130"</f>
        <v>A0181130</v>
      </c>
      <c r="D8224" t="s">
        <v>31121</v>
      </c>
      <c r="E8224" t="s">
        <v>31122</v>
      </c>
      <c r="F8224" t="s">
        <v>31123</v>
      </c>
      <c r="G8224" t="s">
        <v>99</v>
      </c>
      <c r="H8224" t="s">
        <v>31124</v>
      </c>
      <c r="I8224" t="s">
        <v>30</v>
      </c>
      <c r="J8224" t="s">
        <v>41</v>
      </c>
      <c r="K8224" t="s">
        <v>9956</v>
      </c>
      <c r="Q8224">
        <v>0</v>
      </c>
      <c r="R8224">
        <v>89</v>
      </c>
      <c r="S8224">
        <v>89</v>
      </c>
      <c r="T8224" t="s">
        <v>31125</v>
      </c>
    </row>
    <row r="8225" spans="1:20" customFormat="1" ht="15" x14ac:dyDescent="0.25">
      <c r="A8225" t="s">
        <v>35</v>
      </c>
      <c r="B8225" t="s">
        <v>61</v>
      </c>
      <c r="C8225" t="str">
        <f>"A0181129"</f>
        <v>A0181129</v>
      </c>
      <c r="D8225" t="s">
        <v>31126</v>
      </c>
      <c r="E8225" t="s">
        <v>31127</v>
      </c>
      <c r="F8225" t="s">
        <v>4269</v>
      </c>
      <c r="G8225" t="s">
        <v>99</v>
      </c>
      <c r="H8225" t="s">
        <v>31128</v>
      </c>
      <c r="I8225" t="s">
        <v>30</v>
      </c>
      <c r="J8225" t="s">
        <v>41</v>
      </c>
      <c r="K8225" t="s">
        <v>9956</v>
      </c>
      <c r="Q8225">
        <v>0</v>
      </c>
      <c r="R8225">
        <v>320</v>
      </c>
      <c r="S8225">
        <v>320</v>
      </c>
      <c r="T8225" t="s">
        <v>31129</v>
      </c>
    </row>
    <row r="8226" spans="1:20" customFormat="1" ht="15" x14ac:dyDescent="0.25">
      <c r="A8226" t="s">
        <v>35</v>
      </c>
      <c r="B8226" t="s">
        <v>61</v>
      </c>
      <c r="C8226" t="str">
        <f>"A0181128"</f>
        <v>A0181128</v>
      </c>
      <c r="D8226" t="s">
        <v>31130</v>
      </c>
      <c r="E8226" t="s">
        <v>31131</v>
      </c>
      <c r="F8226" t="s">
        <v>10577</v>
      </c>
      <c r="G8226" t="s">
        <v>81</v>
      </c>
      <c r="H8226" t="s">
        <v>31132</v>
      </c>
      <c r="I8226" t="s">
        <v>30</v>
      </c>
      <c r="J8226" t="s">
        <v>41</v>
      </c>
      <c r="K8226" t="s">
        <v>9956</v>
      </c>
      <c r="Q8226">
        <v>0</v>
      </c>
      <c r="R8226">
        <v>0</v>
      </c>
      <c r="S8226">
        <v>0</v>
      </c>
      <c r="T8226" t="s">
        <v>31133</v>
      </c>
    </row>
    <row r="8227" spans="1:20" customFormat="1" ht="15" x14ac:dyDescent="0.25">
      <c r="A8227" t="s">
        <v>35</v>
      </c>
      <c r="B8227" t="s">
        <v>61</v>
      </c>
      <c r="C8227" t="str">
        <f>"A0181127"</f>
        <v>A0181127</v>
      </c>
      <c r="D8227" t="s">
        <v>31134</v>
      </c>
      <c r="E8227" t="s">
        <v>31135</v>
      </c>
      <c r="F8227" t="s">
        <v>31136</v>
      </c>
      <c r="G8227" t="s">
        <v>99</v>
      </c>
      <c r="H8227">
        <v>12983</v>
      </c>
      <c r="I8227" t="s">
        <v>30</v>
      </c>
      <c r="J8227" t="s">
        <v>41</v>
      </c>
      <c r="K8227" t="s">
        <v>9956</v>
      </c>
      <c r="Q8227">
        <v>0</v>
      </c>
      <c r="R8227">
        <v>0</v>
      </c>
      <c r="S8227">
        <v>0</v>
      </c>
    </row>
    <row r="8228" spans="1:20" customFormat="1" ht="15" x14ac:dyDescent="0.25">
      <c r="A8228" t="s">
        <v>35</v>
      </c>
      <c r="B8228" t="s">
        <v>61</v>
      </c>
      <c r="C8228" t="str">
        <f>"A0181126"</f>
        <v>A0181126</v>
      </c>
      <c r="D8228" t="s">
        <v>31137</v>
      </c>
      <c r="E8228" t="s">
        <v>31138</v>
      </c>
      <c r="F8228" t="s">
        <v>1948</v>
      </c>
      <c r="G8228" t="s">
        <v>190</v>
      </c>
      <c r="H8228">
        <v>80214</v>
      </c>
      <c r="I8228" t="s">
        <v>30</v>
      </c>
      <c r="J8228" t="s">
        <v>41</v>
      </c>
      <c r="K8228" t="s">
        <v>9956</v>
      </c>
      <c r="Q8228">
        <v>0</v>
      </c>
      <c r="R8228">
        <v>154</v>
      </c>
      <c r="S8228">
        <v>154</v>
      </c>
      <c r="T8228" t="s">
        <v>31139</v>
      </c>
    </row>
    <row r="8229" spans="1:20" customFormat="1" ht="15" x14ac:dyDescent="0.25">
      <c r="A8229" t="s">
        <v>35</v>
      </c>
      <c r="B8229" t="s">
        <v>61</v>
      </c>
      <c r="C8229" t="str">
        <f>"A0181125"</f>
        <v>A0181125</v>
      </c>
      <c r="D8229" t="s">
        <v>31140</v>
      </c>
      <c r="E8229" t="s">
        <v>25770</v>
      </c>
      <c r="F8229" t="s">
        <v>8039</v>
      </c>
      <c r="G8229" t="s">
        <v>161</v>
      </c>
      <c r="H8229" t="s">
        <v>25771</v>
      </c>
      <c r="I8229" t="s">
        <v>30</v>
      </c>
      <c r="J8229" t="s">
        <v>41</v>
      </c>
      <c r="K8229" t="s">
        <v>9956</v>
      </c>
      <c r="Q8229">
        <v>0</v>
      </c>
      <c r="R8229">
        <v>0</v>
      </c>
      <c r="S8229">
        <v>0</v>
      </c>
      <c r="T8229" t="s">
        <v>25772</v>
      </c>
    </row>
    <row r="8230" spans="1:20" customFormat="1" ht="15" x14ac:dyDescent="0.25">
      <c r="A8230" t="s">
        <v>35</v>
      </c>
      <c r="B8230" t="s">
        <v>61</v>
      </c>
      <c r="C8230" t="str">
        <f>"A0181124"</f>
        <v>A0181124</v>
      </c>
      <c r="D8230" t="s">
        <v>31141</v>
      </c>
      <c r="E8230" t="s">
        <v>31142</v>
      </c>
      <c r="F8230" t="s">
        <v>31143</v>
      </c>
      <c r="G8230" t="s">
        <v>925</v>
      </c>
      <c r="H8230">
        <v>66967</v>
      </c>
      <c r="I8230" t="s">
        <v>30</v>
      </c>
      <c r="J8230" t="s">
        <v>41</v>
      </c>
      <c r="K8230" t="s">
        <v>9956</v>
      </c>
      <c r="Q8230">
        <v>0</v>
      </c>
      <c r="R8230">
        <v>0</v>
      </c>
      <c r="S8230">
        <v>0</v>
      </c>
      <c r="T8230" t="s">
        <v>31144</v>
      </c>
    </row>
    <row r="8231" spans="1:20" customFormat="1" ht="15" x14ac:dyDescent="0.25">
      <c r="A8231" t="s">
        <v>35</v>
      </c>
      <c r="B8231" t="s">
        <v>61</v>
      </c>
      <c r="C8231" t="str">
        <f>"A0181123"</f>
        <v>A0181123</v>
      </c>
      <c r="D8231" t="s">
        <v>31145</v>
      </c>
      <c r="E8231" t="s">
        <v>31146</v>
      </c>
      <c r="F8231" t="s">
        <v>31147</v>
      </c>
      <c r="G8231" t="s">
        <v>99</v>
      </c>
      <c r="H8231">
        <v>12075</v>
      </c>
      <c r="I8231" t="s">
        <v>30</v>
      </c>
      <c r="J8231" t="s">
        <v>41</v>
      </c>
      <c r="K8231" t="s">
        <v>9956</v>
      </c>
      <c r="Q8231">
        <v>0</v>
      </c>
      <c r="R8231">
        <v>120</v>
      </c>
      <c r="S8231">
        <v>120</v>
      </c>
      <c r="T8231" t="s">
        <v>31148</v>
      </c>
    </row>
    <row r="8232" spans="1:20" customFormat="1" ht="15" x14ac:dyDescent="0.25">
      <c r="A8232" t="s">
        <v>35</v>
      </c>
      <c r="B8232" t="s">
        <v>61</v>
      </c>
      <c r="C8232" t="str">
        <f>"A0181122"</f>
        <v>A0181122</v>
      </c>
      <c r="D8232" t="s">
        <v>31149</v>
      </c>
      <c r="E8232" t="s">
        <v>31150</v>
      </c>
      <c r="F8232" t="s">
        <v>31151</v>
      </c>
      <c r="G8232" t="s">
        <v>99</v>
      </c>
      <c r="H8232" t="s">
        <v>31152</v>
      </c>
      <c r="I8232" t="s">
        <v>30</v>
      </c>
      <c r="J8232" t="s">
        <v>41</v>
      </c>
      <c r="K8232" t="s">
        <v>9956</v>
      </c>
      <c r="Q8232">
        <v>0</v>
      </c>
      <c r="R8232">
        <v>200</v>
      </c>
      <c r="S8232">
        <v>200</v>
      </c>
      <c r="T8232" t="s">
        <v>31153</v>
      </c>
    </row>
    <row r="8233" spans="1:20" customFormat="1" ht="15" x14ac:dyDescent="0.25">
      <c r="A8233" t="s">
        <v>35</v>
      </c>
      <c r="B8233" t="s">
        <v>61</v>
      </c>
      <c r="C8233" t="str">
        <f>"A0181121"</f>
        <v>A0181121</v>
      </c>
      <c r="D8233" t="s">
        <v>31154</v>
      </c>
      <c r="E8233" t="s">
        <v>31155</v>
      </c>
      <c r="F8233" t="s">
        <v>14151</v>
      </c>
      <c r="G8233" t="s">
        <v>99</v>
      </c>
      <c r="H8233" t="s">
        <v>31156</v>
      </c>
      <c r="I8233" t="s">
        <v>30</v>
      </c>
      <c r="J8233" t="s">
        <v>41</v>
      </c>
      <c r="K8233" t="s">
        <v>9956</v>
      </c>
      <c r="Q8233">
        <v>0</v>
      </c>
      <c r="R8233">
        <v>216</v>
      </c>
      <c r="S8233">
        <v>216</v>
      </c>
      <c r="T8233" t="s">
        <v>31157</v>
      </c>
    </row>
    <row r="8234" spans="1:20" customFormat="1" ht="15" x14ac:dyDescent="0.25">
      <c r="A8234" t="s">
        <v>35</v>
      </c>
      <c r="B8234" t="s">
        <v>61</v>
      </c>
      <c r="C8234" t="str">
        <f>"A0181120"</f>
        <v>A0181120</v>
      </c>
      <c r="D8234" t="s">
        <v>31158</v>
      </c>
      <c r="E8234" t="s">
        <v>31159</v>
      </c>
      <c r="F8234" t="s">
        <v>31160</v>
      </c>
      <c r="G8234" t="s">
        <v>161</v>
      </c>
      <c r="H8234">
        <v>56431</v>
      </c>
      <c r="I8234" t="s">
        <v>30</v>
      </c>
      <c r="J8234" t="s">
        <v>41</v>
      </c>
      <c r="K8234" t="s">
        <v>9956</v>
      </c>
      <c r="Q8234">
        <v>0</v>
      </c>
      <c r="R8234">
        <v>0</v>
      </c>
      <c r="S8234">
        <v>0</v>
      </c>
      <c r="T8234" t="s">
        <v>31161</v>
      </c>
    </row>
    <row r="8235" spans="1:20" customFormat="1" ht="15" x14ac:dyDescent="0.25">
      <c r="A8235" t="s">
        <v>35</v>
      </c>
      <c r="B8235" t="s">
        <v>61</v>
      </c>
      <c r="C8235" t="str">
        <f>"A0181119"</f>
        <v>A0181119</v>
      </c>
      <c r="D8235" t="s">
        <v>31162</v>
      </c>
      <c r="E8235" t="s">
        <v>31163</v>
      </c>
      <c r="F8235" t="s">
        <v>19763</v>
      </c>
      <c r="G8235" t="s">
        <v>161</v>
      </c>
      <c r="H8235" t="s">
        <v>31164</v>
      </c>
      <c r="I8235" t="s">
        <v>30</v>
      </c>
      <c r="J8235" t="s">
        <v>41</v>
      </c>
      <c r="K8235" t="s">
        <v>9956</v>
      </c>
      <c r="Q8235">
        <v>0</v>
      </c>
      <c r="R8235">
        <v>192</v>
      </c>
      <c r="S8235">
        <v>192</v>
      </c>
      <c r="T8235" t="s">
        <v>31165</v>
      </c>
    </row>
    <row r="8236" spans="1:20" customFormat="1" ht="15" x14ac:dyDescent="0.25">
      <c r="A8236" t="s">
        <v>35</v>
      </c>
      <c r="B8236" t="s">
        <v>61</v>
      </c>
      <c r="C8236" t="str">
        <f>"A0181118"</f>
        <v>A0181118</v>
      </c>
      <c r="D8236" t="s">
        <v>31166</v>
      </c>
      <c r="E8236" t="s">
        <v>31167</v>
      </c>
      <c r="F8236" t="s">
        <v>23833</v>
      </c>
      <c r="G8236" t="s">
        <v>99</v>
      </c>
      <c r="H8236" t="s">
        <v>31168</v>
      </c>
      <c r="I8236" t="s">
        <v>30</v>
      </c>
      <c r="J8236" t="s">
        <v>41</v>
      </c>
      <c r="K8236" t="s">
        <v>9956</v>
      </c>
      <c r="Q8236">
        <v>0</v>
      </c>
      <c r="R8236">
        <v>136</v>
      </c>
      <c r="S8236">
        <v>136</v>
      </c>
      <c r="T8236" t="s">
        <v>31169</v>
      </c>
    </row>
    <row r="8237" spans="1:20" customFormat="1" ht="15" x14ac:dyDescent="0.25">
      <c r="A8237" t="s">
        <v>35</v>
      </c>
      <c r="B8237" t="s">
        <v>61</v>
      </c>
      <c r="C8237" t="str">
        <f>"A0181117"</f>
        <v>A0181117</v>
      </c>
      <c r="D8237" t="s">
        <v>31170</v>
      </c>
      <c r="E8237" t="s">
        <v>31171</v>
      </c>
      <c r="F8237" t="s">
        <v>25146</v>
      </c>
      <c r="G8237" t="s">
        <v>99</v>
      </c>
      <c r="H8237" t="s">
        <v>31172</v>
      </c>
      <c r="I8237" t="s">
        <v>30</v>
      </c>
      <c r="J8237" t="s">
        <v>41</v>
      </c>
      <c r="K8237" t="s">
        <v>9956</v>
      </c>
      <c r="Q8237">
        <v>0</v>
      </c>
      <c r="R8237">
        <v>0</v>
      </c>
      <c r="S8237">
        <v>0</v>
      </c>
      <c r="T8237" t="s">
        <v>31173</v>
      </c>
    </row>
    <row r="8238" spans="1:20" customFormat="1" ht="15" x14ac:dyDescent="0.25">
      <c r="A8238" t="s">
        <v>35</v>
      </c>
      <c r="B8238" t="s">
        <v>61</v>
      </c>
      <c r="C8238" t="str">
        <f>"A0181116"</f>
        <v>A0181116</v>
      </c>
      <c r="D8238" t="s">
        <v>31174</v>
      </c>
      <c r="E8238" t="s">
        <v>31175</v>
      </c>
      <c r="F8238" t="s">
        <v>6228</v>
      </c>
      <c r="G8238" t="s">
        <v>99</v>
      </c>
      <c r="H8238" t="s">
        <v>31176</v>
      </c>
      <c r="I8238" t="s">
        <v>30</v>
      </c>
      <c r="J8238" t="s">
        <v>41</v>
      </c>
      <c r="K8238" t="s">
        <v>9956</v>
      </c>
      <c r="Q8238">
        <v>0</v>
      </c>
      <c r="R8238">
        <v>40</v>
      </c>
      <c r="S8238">
        <v>40</v>
      </c>
      <c r="T8238" t="s">
        <v>31177</v>
      </c>
    </row>
    <row r="8239" spans="1:20" customFormat="1" ht="15" x14ac:dyDescent="0.25">
      <c r="A8239" t="s">
        <v>35</v>
      </c>
      <c r="B8239" t="s">
        <v>61</v>
      </c>
      <c r="C8239" t="str">
        <f>"A0181115"</f>
        <v>A0181115</v>
      </c>
      <c r="D8239" t="s">
        <v>31178</v>
      </c>
      <c r="E8239" t="s">
        <v>31179</v>
      </c>
      <c r="F8239" t="s">
        <v>31180</v>
      </c>
      <c r="G8239" t="s">
        <v>99</v>
      </c>
      <c r="H8239" t="s">
        <v>31181</v>
      </c>
      <c r="I8239" t="s">
        <v>30</v>
      </c>
      <c r="J8239" t="s">
        <v>41</v>
      </c>
      <c r="K8239" t="s">
        <v>9956</v>
      </c>
      <c r="Q8239">
        <v>0</v>
      </c>
      <c r="R8239">
        <v>80</v>
      </c>
      <c r="S8239">
        <v>80</v>
      </c>
      <c r="T8239" t="s">
        <v>31182</v>
      </c>
    </row>
    <row r="8240" spans="1:20" customFormat="1" ht="15" x14ac:dyDescent="0.25">
      <c r="A8240" t="s">
        <v>35</v>
      </c>
      <c r="B8240" t="s">
        <v>61</v>
      </c>
      <c r="C8240" t="str">
        <f>"A0181114"</f>
        <v>A0181114</v>
      </c>
      <c r="D8240" t="s">
        <v>31183</v>
      </c>
      <c r="E8240" t="s">
        <v>31184</v>
      </c>
      <c r="F8240" t="s">
        <v>31185</v>
      </c>
      <c r="G8240" t="s">
        <v>99</v>
      </c>
      <c r="H8240" t="s">
        <v>31186</v>
      </c>
      <c r="I8240" t="s">
        <v>30</v>
      </c>
      <c r="J8240" t="s">
        <v>41</v>
      </c>
      <c r="K8240" t="s">
        <v>9956</v>
      </c>
      <c r="Q8240">
        <v>0</v>
      </c>
      <c r="R8240">
        <v>240</v>
      </c>
      <c r="S8240">
        <v>240</v>
      </c>
      <c r="T8240" t="s">
        <v>31187</v>
      </c>
    </row>
    <row r="8241" spans="1:20" customFormat="1" ht="15" x14ac:dyDescent="0.25">
      <c r="A8241" t="s">
        <v>35</v>
      </c>
      <c r="B8241" t="s">
        <v>61</v>
      </c>
      <c r="C8241" t="str">
        <f>"A0181113"</f>
        <v>A0181113</v>
      </c>
      <c r="D8241" t="s">
        <v>31188</v>
      </c>
      <c r="E8241" t="s">
        <v>31189</v>
      </c>
      <c r="F8241" t="s">
        <v>22419</v>
      </c>
      <c r="G8241" t="s">
        <v>99</v>
      </c>
      <c r="H8241">
        <v>13669</v>
      </c>
      <c r="I8241" t="s">
        <v>30</v>
      </c>
      <c r="J8241" t="s">
        <v>41</v>
      </c>
      <c r="K8241" t="s">
        <v>9956</v>
      </c>
      <c r="Q8241">
        <v>0</v>
      </c>
      <c r="R8241">
        <v>0</v>
      </c>
      <c r="S8241">
        <v>0</v>
      </c>
      <c r="T8241" t="s">
        <v>31190</v>
      </c>
    </row>
    <row r="8242" spans="1:20" customFormat="1" ht="15" x14ac:dyDescent="0.25">
      <c r="A8242" t="s">
        <v>35</v>
      </c>
      <c r="B8242" t="s">
        <v>11386</v>
      </c>
      <c r="C8242" t="str">
        <f>"A0181112"</f>
        <v>A0181112</v>
      </c>
      <c r="D8242" t="s">
        <v>31191</v>
      </c>
      <c r="E8242" t="s">
        <v>31192</v>
      </c>
      <c r="F8242" t="s">
        <v>9617</v>
      </c>
      <c r="G8242" t="s">
        <v>117</v>
      </c>
      <c r="H8242">
        <v>494441814</v>
      </c>
      <c r="I8242" t="s">
        <v>30</v>
      </c>
      <c r="J8242" t="s">
        <v>41</v>
      </c>
      <c r="K8242" t="s">
        <v>9956</v>
      </c>
      <c r="Q8242">
        <v>0</v>
      </c>
      <c r="R8242">
        <v>98</v>
      </c>
      <c r="S8242">
        <v>98</v>
      </c>
      <c r="T8242" t="s">
        <v>31193</v>
      </c>
    </row>
    <row r="8243" spans="1:20" customFormat="1" ht="15" x14ac:dyDescent="0.25">
      <c r="A8243" t="s">
        <v>35</v>
      </c>
      <c r="B8243" t="s">
        <v>61</v>
      </c>
      <c r="C8243" t="str">
        <f>"A0181111"</f>
        <v>A0181111</v>
      </c>
      <c r="D8243" t="s">
        <v>31194</v>
      </c>
      <c r="E8243" t="s">
        <v>31195</v>
      </c>
      <c r="F8243" t="s">
        <v>624</v>
      </c>
      <c r="G8243" t="s">
        <v>99</v>
      </c>
      <c r="H8243" t="s">
        <v>31196</v>
      </c>
      <c r="I8243" t="s">
        <v>30</v>
      </c>
      <c r="J8243" t="s">
        <v>41</v>
      </c>
      <c r="K8243" t="s">
        <v>9956</v>
      </c>
      <c r="Q8243">
        <v>0</v>
      </c>
      <c r="R8243">
        <v>80</v>
      </c>
      <c r="S8243">
        <v>80</v>
      </c>
      <c r="T8243" t="s">
        <v>31197</v>
      </c>
    </row>
    <row r="8244" spans="1:20" customFormat="1" ht="15" x14ac:dyDescent="0.25">
      <c r="A8244" t="s">
        <v>35</v>
      </c>
      <c r="B8244" t="s">
        <v>61</v>
      </c>
      <c r="C8244" t="str">
        <f>"A0181110"</f>
        <v>A0181110</v>
      </c>
      <c r="D8244" t="s">
        <v>31198</v>
      </c>
      <c r="E8244" t="s">
        <v>31199</v>
      </c>
      <c r="F8244" t="s">
        <v>4241</v>
      </c>
      <c r="G8244" t="s">
        <v>99</v>
      </c>
      <c r="H8244" t="s">
        <v>31200</v>
      </c>
      <c r="I8244" t="s">
        <v>30</v>
      </c>
      <c r="J8244" t="s">
        <v>41</v>
      </c>
      <c r="K8244" t="s">
        <v>9956</v>
      </c>
      <c r="Q8244">
        <v>0</v>
      </c>
      <c r="R8244">
        <v>120</v>
      </c>
      <c r="S8244">
        <v>120</v>
      </c>
      <c r="T8244" t="s">
        <v>31201</v>
      </c>
    </row>
    <row r="8245" spans="1:20" customFormat="1" ht="15" x14ac:dyDescent="0.25">
      <c r="A8245" t="s">
        <v>35</v>
      </c>
      <c r="B8245" t="s">
        <v>61</v>
      </c>
      <c r="C8245" t="str">
        <f>"A0181109"</f>
        <v>A0181109</v>
      </c>
      <c r="D8245" t="s">
        <v>31202</v>
      </c>
      <c r="E8245" t="s">
        <v>31203</v>
      </c>
      <c r="F8245" t="s">
        <v>20175</v>
      </c>
      <c r="G8245" t="s">
        <v>71</v>
      </c>
      <c r="H8245" t="s">
        <v>31204</v>
      </c>
      <c r="I8245" t="s">
        <v>30</v>
      </c>
      <c r="J8245" t="s">
        <v>41</v>
      </c>
      <c r="K8245" t="s">
        <v>9956</v>
      </c>
      <c r="Q8245">
        <v>0</v>
      </c>
      <c r="R8245">
        <v>50</v>
      </c>
      <c r="S8245">
        <v>50</v>
      </c>
      <c r="T8245" t="s">
        <v>31205</v>
      </c>
    </row>
    <row r="8246" spans="1:20" customFormat="1" ht="15" x14ac:dyDescent="0.25">
      <c r="A8246" t="s">
        <v>35</v>
      </c>
      <c r="B8246" t="s">
        <v>61</v>
      </c>
      <c r="C8246" t="str">
        <f>"A0181108"</f>
        <v>A0181108</v>
      </c>
      <c r="D8246" t="s">
        <v>31206</v>
      </c>
      <c r="E8246" t="s">
        <v>31207</v>
      </c>
      <c r="F8246" t="s">
        <v>31208</v>
      </c>
      <c r="G8246" t="s">
        <v>99</v>
      </c>
      <c r="H8246" t="s">
        <v>31209</v>
      </c>
      <c r="I8246" t="s">
        <v>30</v>
      </c>
      <c r="J8246" t="s">
        <v>41</v>
      </c>
      <c r="K8246" t="s">
        <v>9956</v>
      </c>
      <c r="Q8246">
        <v>0</v>
      </c>
      <c r="R8246">
        <v>160</v>
      </c>
      <c r="S8246">
        <v>160</v>
      </c>
      <c r="T8246" t="s">
        <v>31210</v>
      </c>
    </row>
    <row r="8247" spans="1:20" customFormat="1" ht="15" x14ac:dyDescent="0.25">
      <c r="A8247" t="s">
        <v>35</v>
      </c>
      <c r="B8247" t="s">
        <v>61</v>
      </c>
      <c r="C8247" t="str">
        <f>"A0181107"</f>
        <v>A0181107</v>
      </c>
      <c r="D8247" t="s">
        <v>31211</v>
      </c>
      <c r="E8247" t="s">
        <v>31212</v>
      </c>
      <c r="F8247" t="s">
        <v>20926</v>
      </c>
      <c r="G8247" t="s">
        <v>161</v>
      </c>
      <c r="H8247" t="s">
        <v>31213</v>
      </c>
      <c r="I8247" t="s">
        <v>30</v>
      </c>
      <c r="J8247" t="s">
        <v>41</v>
      </c>
      <c r="K8247" t="s">
        <v>9956</v>
      </c>
      <c r="Q8247">
        <v>0</v>
      </c>
      <c r="R8247">
        <v>130</v>
      </c>
      <c r="S8247">
        <v>130</v>
      </c>
      <c r="T8247" t="s">
        <v>28376</v>
      </c>
    </row>
    <row r="8248" spans="1:20" customFormat="1" ht="15" x14ac:dyDescent="0.25">
      <c r="A8248" t="s">
        <v>35</v>
      </c>
      <c r="B8248" t="s">
        <v>61</v>
      </c>
      <c r="C8248" t="str">
        <f>"A0181106"</f>
        <v>A0181106</v>
      </c>
      <c r="D8248" t="s">
        <v>31214</v>
      </c>
      <c r="E8248" t="s">
        <v>31215</v>
      </c>
      <c r="F8248" t="s">
        <v>20926</v>
      </c>
      <c r="G8248" t="s">
        <v>161</v>
      </c>
      <c r="H8248">
        <v>55117</v>
      </c>
      <c r="I8248" t="s">
        <v>30</v>
      </c>
      <c r="J8248" t="s">
        <v>41</v>
      </c>
      <c r="K8248" t="s">
        <v>9956</v>
      </c>
      <c r="Q8248">
        <v>0</v>
      </c>
      <c r="R8248">
        <v>88</v>
      </c>
      <c r="S8248">
        <v>88</v>
      </c>
      <c r="T8248" t="s">
        <v>31216</v>
      </c>
    </row>
    <row r="8249" spans="1:20" customFormat="1" ht="15" x14ac:dyDescent="0.25">
      <c r="A8249" t="s">
        <v>35</v>
      </c>
      <c r="B8249" t="s">
        <v>61</v>
      </c>
      <c r="C8249" t="str">
        <f>"A0181105"</f>
        <v>A0181105</v>
      </c>
      <c r="D8249" t="s">
        <v>31217</v>
      </c>
      <c r="E8249" t="s">
        <v>31218</v>
      </c>
      <c r="F8249" t="s">
        <v>4269</v>
      </c>
      <c r="G8249" t="s">
        <v>99</v>
      </c>
      <c r="H8249" t="s">
        <v>31219</v>
      </c>
      <c r="I8249" t="s">
        <v>30</v>
      </c>
      <c r="J8249" t="s">
        <v>41</v>
      </c>
      <c r="K8249" t="s">
        <v>9956</v>
      </c>
      <c r="Q8249">
        <v>0</v>
      </c>
      <c r="R8249">
        <v>520</v>
      </c>
      <c r="S8249">
        <v>520</v>
      </c>
      <c r="T8249" t="s">
        <v>31220</v>
      </c>
    </row>
    <row r="8250" spans="1:20" customFormat="1" ht="15" x14ac:dyDescent="0.25">
      <c r="A8250" t="s">
        <v>35</v>
      </c>
      <c r="B8250" t="s">
        <v>61</v>
      </c>
      <c r="C8250" t="str">
        <f>"A0181104"</f>
        <v>A0181104</v>
      </c>
      <c r="D8250" t="s">
        <v>31221</v>
      </c>
      <c r="E8250" t="s">
        <v>31222</v>
      </c>
      <c r="F8250" t="s">
        <v>3748</v>
      </c>
      <c r="G8250" t="s">
        <v>71</v>
      </c>
      <c r="H8250" t="s">
        <v>31223</v>
      </c>
      <c r="I8250" t="s">
        <v>30</v>
      </c>
      <c r="J8250" t="s">
        <v>41</v>
      </c>
      <c r="K8250" t="s">
        <v>9956</v>
      </c>
      <c r="Q8250">
        <v>0</v>
      </c>
      <c r="R8250">
        <v>99</v>
      </c>
      <c r="S8250">
        <v>99</v>
      </c>
      <c r="T8250" t="s">
        <v>31224</v>
      </c>
    </row>
    <row r="8251" spans="1:20" customFormat="1" ht="15" x14ac:dyDescent="0.25">
      <c r="A8251" t="s">
        <v>35</v>
      </c>
      <c r="B8251" t="s">
        <v>61</v>
      </c>
      <c r="C8251" t="str">
        <f>"A0181103"</f>
        <v>A0181103</v>
      </c>
      <c r="D8251" t="s">
        <v>31225</v>
      </c>
      <c r="E8251" t="s">
        <v>31226</v>
      </c>
      <c r="F8251" t="s">
        <v>7544</v>
      </c>
      <c r="G8251" t="s">
        <v>99</v>
      </c>
      <c r="H8251" t="s">
        <v>31227</v>
      </c>
      <c r="I8251" t="s">
        <v>30</v>
      </c>
      <c r="J8251" t="s">
        <v>41</v>
      </c>
      <c r="K8251" t="s">
        <v>9956</v>
      </c>
      <c r="Q8251">
        <v>0</v>
      </c>
      <c r="R8251">
        <v>112</v>
      </c>
      <c r="S8251">
        <v>112</v>
      </c>
      <c r="T8251" t="s">
        <v>31228</v>
      </c>
    </row>
    <row r="8252" spans="1:20" customFormat="1" ht="15" x14ac:dyDescent="0.25">
      <c r="A8252" t="s">
        <v>35</v>
      </c>
      <c r="B8252" t="s">
        <v>61</v>
      </c>
      <c r="C8252" t="str">
        <f>"A0181102"</f>
        <v>A0181102</v>
      </c>
      <c r="D8252" t="s">
        <v>31229</v>
      </c>
      <c r="E8252" t="s">
        <v>31230</v>
      </c>
      <c r="F8252" t="s">
        <v>25141</v>
      </c>
      <c r="G8252" t="s">
        <v>99</v>
      </c>
      <c r="H8252" t="s">
        <v>31231</v>
      </c>
      <c r="I8252" t="s">
        <v>30</v>
      </c>
      <c r="J8252" t="s">
        <v>41</v>
      </c>
      <c r="K8252" t="s">
        <v>9956</v>
      </c>
      <c r="Q8252">
        <v>0</v>
      </c>
      <c r="R8252">
        <v>120</v>
      </c>
      <c r="S8252">
        <v>120</v>
      </c>
      <c r="T8252" t="s">
        <v>31232</v>
      </c>
    </row>
    <row r="8253" spans="1:20" customFormat="1" ht="15" x14ac:dyDescent="0.25">
      <c r="A8253" t="s">
        <v>35</v>
      </c>
      <c r="B8253" t="s">
        <v>61</v>
      </c>
      <c r="C8253" t="str">
        <f>"A0181101"</f>
        <v>A0181101</v>
      </c>
      <c r="D8253" t="s">
        <v>31233</v>
      </c>
      <c r="E8253" t="s">
        <v>31234</v>
      </c>
      <c r="F8253" t="s">
        <v>4207</v>
      </c>
      <c r="G8253" t="s">
        <v>99</v>
      </c>
      <c r="H8253" t="s">
        <v>31235</v>
      </c>
      <c r="I8253" t="s">
        <v>30</v>
      </c>
      <c r="J8253" t="s">
        <v>41</v>
      </c>
      <c r="K8253" t="s">
        <v>9956</v>
      </c>
      <c r="Q8253">
        <v>0</v>
      </c>
      <c r="R8253">
        <v>262</v>
      </c>
      <c r="S8253">
        <v>262</v>
      </c>
      <c r="T8253" t="s">
        <v>31236</v>
      </c>
    </row>
    <row r="8254" spans="1:20" customFormat="1" ht="15" x14ac:dyDescent="0.25">
      <c r="A8254" t="s">
        <v>35</v>
      </c>
      <c r="B8254" t="s">
        <v>61</v>
      </c>
      <c r="C8254" t="str">
        <f>"A0181100"</f>
        <v>A0181100</v>
      </c>
      <c r="D8254" t="s">
        <v>31237</v>
      </c>
      <c r="E8254" t="s">
        <v>31238</v>
      </c>
      <c r="F8254" t="s">
        <v>31239</v>
      </c>
      <c r="G8254" t="s">
        <v>99</v>
      </c>
      <c r="H8254" t="s">
        <v>31240</v>
      </c>
      <c r="I8254" t="s">
        <v>30</v>
      </c>
      <c r="J8254" t="s">
        <v>41</v>
      </c>
      <c r="K8254" t="s">
        <v>9956</v>
      </c>
      <c r="Q8254">
        <v>0</v>
      </c>
      <c r="R8254">
        <v>197</v>
      </c>
      <c r="S8254">
        <v>197</v>
      </c>
      <c r="T8254" t="s">
        <v>31241</v>
      </c>
    </row>
    <row r="8255" spans="1:20" customFormat="1" ht="15" x14ac:dyDescent="0.25">
      <c r="A8255" t="s">
        <v>35</v>
      </c>
      <c r="B8255" t="s">
        <v>61</v>
      </c>
      <c r="C8255" t="str">
        <f>"A0181099"</f>
        <v>A0181099</v>
      </c>
      <c r="D8255" t="s">
        <v>31242</v>
      </c>
      <c r="E8255" t="s">
        <v>31243</v>
      </c>
      <c r="F8255" t="s">
        <v>4259</v>
      </c>
      <c r="G8255" t="s">
        <v>99</v>
      </c>
      <c r="H8255" t="s">
        <v>31244</v>
      </c>
      <c r="I8255" t="s">
        <v>30</v>
      </c>
      <c r="J8255" t="s">
        <v>41</v>
      </c>
      <c r="K8255" t="s">
        <v>9956</v>
      </c>
      <c r="Q8255">
        <v>0</v>
      </c>
      <c r="R8255">
        <v>120</v>
      </c>
      <c r="S8255">
        <v>120</v>
      </c>
      <c r="T8255" t="s">
        <v>31245</v>
      </c>
    </row>
    <row r="8256" spans="1:20" customFormat="1" ht="15" x14ac:dyDescent="0.25">
      <c r="A8256" t="s">
        <v>35</v>
      </c>
      <c r="B8256" t="s">
        <v>21059</v>
      </c>
      <c r="C8256" t="str">
        <f>"A0181098"</f>
        <v>A0181098</v>
      </c>
      <c r="D8256" t="s">
        <v>31246</v>
      </c>
      <c r="E8256" t="s">
        <v>31247</v>
      </c>
      <c r="F8256" t="s">
        <v>31248</v>
      </c>
      <c r="G8256" t="s">
        <v>338</v>
      </c>
      <c r="H8256" t="s">
        <v>31249</v>
      </c>
      <c r="I8256" t="s">
        <v>30</v>
      </c>
      <c r="J8256" t="s">
        <v>41</v>
      </c>
      <c r="K8256" t="s">
        <v>9956</v>
      </c>
      <c r="Q8256">
        <v>0</v>
      </c>
      <c r="R8256">
        <v>44</v>
      </c>
      <c r="S8256">
        <v>44</v>
      </c>
      <c r="T8256" t="s">
        <v>31250</v>
      </c>
    </row>
    <row r="8257" spans="1:20" customFormat="1" ht="15" x14ac:dyDescent="0.25">
      <c r="A8257" t="s">
        <v>35</v>
      </c>
      <c r="B8257" t="s">
        <v>61</v>
      </c>
      <c r="C8257" t="str">
        <f>"A0181097"</f>
        <v>A0181097</v>
      </c>
      <c r="D8257" t="s">
        <v>31251</v>
      </c>
      <c r="E8257" t="s">
        <v>31252</v>
      </c>
      <c r="F8257" t="s">
        <v>31253</v>
      </c>
      <c r="G8257" t="s">
        <v>899</v>
      </c>
      <c r="H8257" t="s">
        <v>31254</v>
      </c>
      <c r="I8257" t="s">
        <v>30</v>
      </c>
      <c r="J8257" t="s">
        <v>41</v>
      </c>
      <c r="K8257" t="s">
        <v>9956</v>
      </c>
      <c r="Q8257">
        <v>0</v>
      </c>
      <c r="R8257">
        <v>188</v>
      </c>
      <c r="S8257">
        <v>188</v>
      </c>
      <c r="T8257" t="s">
        <v>31255</v>
      </c>
    </row>
    <row r="8258" spans="1:20" customFormat="1" ht="15" x14ac:dyDescent="0.25">
      <c r="A8258" t="s">
        <v>35</v>
      </c>
      <c r="B8258" t="s">
        <v>61</v>
      </c>
      <c r="C8258" t="str">
        <f>"A0181096"</f>
        <v>A0181096</v>
      </c>
      <c r="D8258" t="s">
        <v>31256</v>
      </c>
      <c r="E8258" t="s">
        <v>11601</v>
      </c>
      <c r="F8258" t="s">
        <v>11602</v>
      </c>
      <c r="G8258" t="s">
        <v>71</v>
      </c>
      <c r="H8258">
        <v>546018037</v>
      </c>
      <c r="I8258" t="s">
        <v>30</v>
      </c>
      <c r="J8258" t="s">
        <v>41</v>
      </c>
      <c r="K8258" t="s">
        <v>9956</v>
      </c>
      <c r="Q8258">
        <v>0</v>
      </c>
      <c r="R8258">
        <v>160</v>
      </c>
      <c r="S8258">
        <v>160</v>
      </c>
      <c r="T8258" t="s">
        <v>11603</v>
      </c>
    </row>
    <row r="8259" spans="1:20" customFormat="1" ht="15" x14ac:dyDescent="0.25">
      <c r="A8259" t="s">
        <v>35</v>
      </c>
      <c r="B8259" t="s">
        <v>61</v>
      </c>
      <c r="C8259" t="str">
        <f>"A0181095"</f>
        <v>A0181095</v>
      </c>
      <c r="D8259" t="s">
        <v>31257</v>
      </c>
      <c r="E8259" t="s">
        <v>31258</v>
      </c>
      <c r="F8259" t="s">
        <v>31259</v>
      </c>
      <c r="G8259" t="s">
        <v>899</v>
      </c>
      <c r="H8259" t="s">
        <v>31260</v>
      </c>
      <c r="I8259" t="s">
        <v>30</v>
      </c>
      <c r="J8259" t="s">
        <v>41</v>
      </c>
      <c r="K8259" t="s">
        <v>9956</v>
      </c>
      <c r="Q8259">
        <v>0</v>
      </c>
      <c r="R8259">
        <v>60</v>
      </c>
      <c r="S8259">
        <v>60</v>
      </c>
      <c r="T8259" t="s">
        <v>31261</v>
      </c>
    </row>
    <row r="8260" spans="1:20" customFormat="1" ht="15" x14ac:dyDescent="0.25">
      <c r="A8260" t="s">
        <v>35</v>
      </c>
      <c r="B8260" t="s">
        <v>61</v>
      </c>
      <c r="C8260" t="str">
        <f>"A0181094"</f>
        <v>A0181094</v>
      </c>
      <c r="D8260" t="s">
        <v>31262</v>
      </c>
      <c r="E8260" t="s">
        <v>11883</v>
      </c>
      <c r="F8260" t="s">
        <v>11884</v>
      </c>
      <c r="G8260" t="s">
        <v>71</v>
      </c>
      <c r="H8260" t="s">
        <v>26208</v>
      </c>
      <c r="I8260" t="s">
        <v>30</v>
      </c>
      <c r="J8260" t="s">
        <v>41</v>
      </c>
      <c r="K8260" t="s">
        <v>9956</v>
      </c>
      <c r="Q8260">
        <v>0</v>
      </c>
      <c r="R8260">
        <v>108</v>
      </c>
      <c r="S8260">
        <v>108</v>
      </c>
      <c r="T8260" t="s">
        <v>11886</v>
      </c>
    </row>
    <row r="8261" spans="1:20" customFormat="1" ht="15" x14ac:dyDescent="0.25">
      <c r="A8261" t="s">
        <v>35</v>
      </c>
      <c r="B8261" t="s">
        <v>61</v>
      </c>
      <c r="C8261" t="str">
        <f>"A0181093"</f>
        <v>A0181093</v>
      </c>
      <c r="D8261" t="s">
        <v>31263</v>
      </c>
      <c r="E8261" t="s">
        <v>31264</v>
      </c>
      <c r="F8261" t="s">
        <v>31265</v>
      </c>
      <c r="G8261" t="s">
        <v>71</v>
      </c>
      <c r="H8261">
        <v>53515</v>
      </c>
      <c r="I8261" t="s">
        <v>30</v>
      </c>
      <c r="J8261" t="s">
        <v>41</v>
      </c>
      <c r="K8261" t="s">
        <v>9956</v>
      </c>
      <c r="Q8261">
        <v>0</v>
      </c>
      <c r="R8261">
        <v>50</v>
      </c>
      <c r="S8261">
        <v>50</v>
      </c>
      <c r="T8261" t="s">
        <v>31266</v>
      </c>
    </row>
    <row r="8262" spans="1:20" customFormat="1" ht="15" x14ac:dyDescent="0.25">
      <c r="A8262" t="s">
        <v>35</v>
      </c>
      <c r="B8262" t="s">
        <v>61</v>
      </c>
      <c r="C8262" t="str">
        <f>"A0181092"</f>
        <v>A0181092</v>
      </c>
      <c r="D8262" t="s">
        <v>31267</v>
      </c>
      <c r="E8262" t="s">
        <v>31268</v>
      </c>
      <c r="F8262" t="s">
        <v>26604</v>
      </c>
      <c r="G8262" t="s">
        <v>899</v>
      </c>
      <c r="H8262" t="s">
        <v>31269</v>
      </c>
      <c r="I8262" t="s">
        <v>30</v>
      </c>
      <c r="J8262" t="s">
        <v>41</v>
      </c>
      <c r="K8262" t="s">
        <v>9956</v>
      </c>
      <c r="Q8262">
        <v>0</v>
      </c>
      <c r="R8262">
        <v>45</v>
      </c>
      <c r="S8262">
        <v>45</v>
      </c>
      <c r="T8262" t="s">
        <v>31270</v>
      </c>
    </row>
    <row r="8263" spans="1:20" customFormat="1" ht="15" x14ac:dyDescent="0.25">
      <c r="A8263" t="s">
        <v>35</v>
      </c>
      <c r="B8263" t="s">
        <v>61</v>
      </c>
      <c r="C8263" t="str">
        <f>"A0181091"</f>
        <v>A0181091</v>
      </c>
      <c r="D8263" t="s">
        <v>31271</v>
      </c>
      <c r="E8263" t="s">
        <v>31272</v>
      </c>
      <c r="F8263" t="s">
        <v>7544</v>
      </c>
      <c r="G8263" t="s">
        <v>71</v>
      </c>
      <c r="H8263">
        <v>53151</v>
      </c>
      <c r="I8263" t="s">
        <v>30</v>
      </c>
      <c r="J8263" t="s">
        <v>41</v>
      </c>
      <c r="K8263" t="s">
        <v>9956</v>
      </c>
      <c r="Q8263">
        <v>0</v>
      </c>
      <c r="R8263">
        <v>135</v>
      </c>
      <c r="S8263">
        <v>135</v>
      </c>
      <c r="T8263" t="s">
        <v>30911</v>
      </c>
    </row>
    <row r="8264" spans="1:20" customFormat="1" ht="15" x14ac:dyDescent="0.25">
      <c r="A8264" t="s">
        <v>35</v>
      </c>
      <c r="B8264" t="s">
        <v>61</v>
      </c>
      <c r="C8264" t="str">
        <f>"A0181090"</f>
        <v>A0181090</v>
      </c>
      <c r="D8264" t="s">
        <v>31273</v>
      </c>
      <c r="E8264" t="s">
        <v>31274</v>
      </c>
      <c r="F8264" t="s">
        <v>6022</v>
      </c>
      <c r="G8264" t="s">
        <v>899</v>
      </c>
      <c r="H8264" t="s">
        <v>31275</v>
      </c>
      <c r="I8264" t="s">
        <v>30</v>
      </c>
      <c r="J8264" t="s">
        <v>41</v>
      </c>
      <c r="K8264" t="s">
        <v>9956</v>
      </c>
      <c r="Q8264">
        <v>0</v>
      </c>
      <c r="R8264">
        <v>84</v>
      </c>
      <c r="S8264">
        <v>84</v>
      </c>
      <c r="T8264" t="s">
        <v>31276</v>
      </c>
    </row>
    <row r="8265" spans="1:20" customFormat="1" ht="15" x14ac:dyDescent="0.25">
      <c r="A8265" t="s">
        <v>35</v>
      </c>
      <c r="B8265" t="s">
        <v>61</v>
      </c>
      <c r="C8265" t="str">
        <f>"A0181088"</f>
        <v>A0181088</v>
      </c>
      <c r="D8265" t="s">
        <v>31277</v>
      </c>
      <c r="E8265" t="s">
        <v>31278</v>
      </c>
      <c r="F8265" t="s">
        <v>898</v>
      </c>
      <c r="G8265" t="s">
        <v>899</v>
      </c>
      <c r="H8265" t="s">
        <v>31279</v>
      </c>
      <c r="I8265" t="s">
        <v>30</v>
      </c>
      <c r="J8265" t="s">
        <v>41</v>
      </c>
      <c r="K8265" t="s">
        <v>9956</v>
      </c>
      <c r="Q8265">
        <v>0</v>
      </c>
      <c r="R8265">
        <v>113</v>
      </c>
      <c r="S8265">
        <v>113</v>
      </c>
      <c r="T8265" t="s">
        <v>31280</v>
      </c>
    </row>
    <row r="8266" spans="1:20" customFormat="1" ht="15" x14ac:dyDescent="0.25">
      <c r="A8266" t="s">
        <v>35</v>
      </c>
      <c r="B8266" t="s">
        <v>61</v>
      </c>
      <c r="C8266" t="str">
        <f>"A0181087"</f>
        <v>A0181087</v>
      </c>
      <c r="D8266" t="s">
        <v>31281</v>
      </c>
      <c r="E8266" t="s">
        <v>31282</v>
      </c>
      <c r="F8266" t="s">
        <v>25591</v>
      </c>
      <c r="G8266" t="s">
        <v>899</v>
      </c>
      <c r="H8266">
        <v>1854</v>
      </c>
      <c r="I8266" t="s">
        <v>30</v>
      </c>
      <c r="J8266" t="s">
        <v>41</v>
      </c>
      <c r="K8266" t="s">
        <v>9956</v>
      </c>
      <c r="Q8266">
        <v>0</v>
      </c>
      <c r="R8266">
        <v>0</v>
      </c>
      <c r="S8266">
        <v>0</v>
      </c>
      <c r="T8266" t="s">
        <v>31283</v>
      </c>
    </row>
    <row r="8267" spans="1:20" customFormat="1" ht="15" x14ac:dyDescent="0.25">
      <c r="A8267" t="s">
        <v>35</v>
      </c>
      <c r="B8267" t="s">
        <v>61</v>
      </c>
      <c r="C8267" t="str">
        <f>"A0181086"</f>
        <v>A0181086</v>
      </c>
      <c r="D8267" t="s">
        <v>31284</v>
      </c>
      <c r="E8267" t="s">
        <v>31285</v>
      </c>
      <c r="F8267" t="s">
        <v>26383</v>
      </c>
      <c r="G8267" t="s">
        <v>71</v>
      </c>
      <c r="H8267">
        <v>54650</v>
      </c>
      <c r="I8267" t="s">
        <v>30</v>
      </c>
      <c r="J8267" t="s">
        <v>41</v>
      </c>
      <c r="K8267" t="s">
        <v>9956</v>
      </c>
      <c r="Q8267">
        <v>0</v>
      </c>
      <c r="R8267">
        <v>104</v>
      </c>
      <c r="S8267">
        <v>104</v>
      </c>
      <c r="T8267" t="s">
        <v>31286</v>
      </c>
    </row>
    <row r="8268" spans="1:20" customFormat="1" ht="15" x14ac:dyDescent="0.25">
      <c r="A8268" t="s">
        <v>35</v>
      </c>
      <c r="B8268" t="s">
        <v>61</v>
      </c>
      <c r="C8268" t="str">
        <f>"A0181085"</f>
        <v>A0181085</v>
      </c>
      <c r="D8268" t="s">
        <v>31287</v>
      </c>
      <c r="E8268" t="s">
        <v>31288</v>
      </c>
      <c r="F8268" t="s">
        <v>26935</v>
      </c>
      <c r="G8268" t="s">
        <v>71</v>
      </c>
      <c r="H8268">
        <v>54667</v>
      </c>
      <c r="I8268" t="s">
        <v>30</v>
      </c>
      <c r="J8268" t="s">
        <v>41</v>
      </c>
      <c r="K8268" t="s">
        <v>9956</v>
      </c>
      <c r="Q8268">
        <v>0</v>
      </c>
      <c r="R8268">
        <v>59</v>
      </c>
      <c r="S8268">
        <v>59</v>
      </c>
      <c r="T8268" t="s">
        <v>31289</v>
      </c>
    </row>
    <row r="8269" spans="1:20" customFormat="1" ht="15" x14ac:dyDescent="0.25">
      <c r="A8269" t="s">
        <v>35</v>
      </c>
      <c r="B8269" t="s">
        <v>61</v>
      </c>
      <c r="C8269" t="str">
        <f>"A0181084"</f>
        <v>A0181084</v>
      </c>
      <c r="D8269" t="s">
        <v>31290</v>
      </c>
      <c r="E8269" t="s">
        <v>31291</v>
      </c>
      <c r="F8269" t="s">
        <v>2770</v>
      </c>
      <c r="G8269" t="s">
        <v>899</v>
      </c>
      <c r="H8269" t="s">
        <v>31292</v>
      </c>
      <c r="I8269" t="s">
        <v>30</v>
      </c>
      <c r="J8269" t="s">
        <v>41</v>
      </c>
      <c r="K8269" t="s">
        <v>9956</v>
      </c>
      <c r="Q8269">
        <v>0</v>
      </c>
      <c r="R8269">
        <v>0</v>
      </c>
      <c r="S8269">
        <v>0</v>
      </c>
      <c r="T8269" t="s">
        <v>31293</v>
      </c>
    </row>
    <row r="8270" spans="1:20" customFormat="1" ht="15" x14ac:dyDescent="0.25">
      <c r="A8270" t="s">
        <v>35</v>
      </c>
      <c r="B8270" t="s">
        <v>61</v>
      </c>
      <c r="C8270" t="str">
        <f>"A0181083"</f>
        <v>A0181083</v>
      </c>
      <c r="D8270" t="s">
        <v>31294</v>
      </c>
      <c r="E8270" t="s">
        <v>31295</v>
      </c>
      <c r="F8270" t="s">
        <v>31296</v>
      </c>
      <c r="G8270" t="s">
        <v>161</v>
      </c>
      <c r="H8270" t="s">
        <v>31297</v>
      </c>
      <c r="I8270" t="s">
        <v>30</v>
      </c>
      <c r="J8270" t="s">
        <v>41</v>
      </c>
      <c r="K8270" t="s">
        <v>9956</v>
      </c>
      <c r="Q8270">
        <v>0</v>
      </c>
      <c r="R8270">
        <v>41</v>
      </c>
      <c r="S8270">
        <v>41</v>
      </c>
      <c r="T8270" t="s">
        <v>31298</v>
      </c>
    </row>
    <row r="8271" spans="1:20" customFormat="1" ht="15" x14ac:dyDescent="0.25">
      <c r="A8271" t="s">
        <v>35</v>
      </c>
      <c r="B8271" t="s">
        <v>61</v>
      </c>
      <c r="C8271" t="str">
        <f>"A0181082"</f>
        <v>A0181082</v>
      </c>
      <c r="D8271" t="s">
        <v>31299</v>
      </c>
      <c r="E8271" t="s">
        <v>31300</v>
      </c>
      <c r="F8271" t="s">
        <v>25591</v>
      </c>
      <c r="G8271" t="s">
        <v>899</v>
      </c>
      <c r="H8271" t="s">
        <v>31301</v>
      </c>
      <c r="I8271" t="s">
        <v>30</v>
      </c>
      <c r="J8271" t="s">
        <v>41</v>
      </c>
      <c r="K8271" t="s">
        <v>9956</v>
      </c>
      <c r="Q8271">
        <v>0</v>
      </c>
      <c r="R8271">
        <v>208</v>
      </c>
      <c r="S8271">
        <v>208</v>
      </c>
      <c r="T8271" t="s">
        <v>31302</v>
      </c>
    </row>
    <row r="8272" spans="1:20" customFormat="1" ht="15" x14ac:dyDescent="0.25">
      <c r="A8272" t="s">
        <v>35</v>
      </c>
      <c r="B8272" t="s">
        <v>61</v>
      </c>
      <c r="C8272" t="str">
        <f>"A0181081"</f>
        <v>A0181081</v>
      </c>
      <c r="D8272" t="s">
        <v>31303</v>
      </c>
      <c r="E8272" t="s">
        <v>31304</v>
      </c>
      <c r="F8272" t="s">
        <v>3119</v>
      </c>
      <c r="G8272" t="s">
        <v>899</v>
      </c>
      <c r="H8272" t="s">
        <v>31305</v>
      </c>
      <c r="I8272" t="s">
        <v>30</v>
      </c>
      <c r="J8272" t="s">
        <v>41</v>
      </c>
      <c r="K8272" t="s">
        <v>9956</v>
      </c>
      <c r="Q8272">
        <v>0</v>
      </c>
      <c r="R8272">
        <v>123</v>
      </c>
      <c r="S8272">
        <v>123</v>
      </c>
      <c r="T8272" t="s">
        <v>31306</v>
      </c>
    </row>
    <row r="8273" spans="1:20" customFormat="1" ht="15" x14ac:dyDescent="0.25">
      <c r="A8273" t="s">
        <v>35</v>
      </c>
      <c r="B8273" t="s">
        <v>61</v>
      </c>
      <c r="C8273" t="str">
        <f>"A0181080"</f>
        <v>A0181080</v>
      </c>
      <c r="D8273" t="s">
        <v>31307</v>
      </c>
      <c r="E8273" t="s">
        <v>31308</v>
      </c>
      <c r="F8273" t="s">
        <v>4269</v>
      </c>
      <c r="G8273" t="s">
        <v>99</v>
      </c>
      <c r="H8273" t="s">
        <v>31309</v>
      </c>
      <c r="I8273" t="s">
        <v>30</v>
      </c>
      <c r="J8273" t="s">
        <v>41</v>
      </c>
      <c r="K8273" t="s">
        <v>9956</v>
      </c>
      <c r="Q8273">
        <v>0</v>
      </c>
      <c r="R8273">
        <v>123</v>
      </c>
      <c r="S8273">
        <v>123</v>
      </c>
      <c r="T8273" t="s">
        <v>31310</v>
      </c>
    </row>
    <row r="8274" spans="1:20" customFormat="1" ht="15" x14ac:dyDescent="0.25">
      <c r="A8274" t="s">
        <v>35</v>
      </c>
      <c r="B8274" t="s">
        <v>3381</v>
      </c>
      <c r="C8274" t="str">
        <f>"A0181079"</f>
        <v>A0181079</v>
      </c>
      <c r="D8274" t="s">
        <v>31311</v>
      </c>
      <c r="E8274" t="s">
        <v>31312</v>
      </c>
      <c r="F8274" t="s">
        <v>25941</v>
      </c>
      <c r="G8274" t="s">
        <v>899</v>
      </c>
      <c r="H8274">
        <v>18306213</v>
      </c>
      <c r="I8274" t="s">
        <v>30</v>
      </c>
      <c r="J8274" t="s">
        <v>41</v>
      </c>
      <c r="K8274" t="s">
        <v>229</v>
      </c>
      <c r="Q8274">
        <v>0</v>
      </c>
      <c r="R8274">
        <v>160</v>
      </c>
      <c r="S8274">
        <v>160</v>
      </c>
      <c r="T8274" t="s">
        <v>31313</v>
      </c>
    </row>
    <row r="8275" spans="1:20" customFormat="1" ht="15" x14ac:dyDescent="0.25">
      <c r="A8275" t="s">
        <v>35</v>
      </c>
      <c r="B8275" t="s">
        <v>61</v>
      </c>
      <c r="C8275" t="str">
        <f>"A0181078"</f>
        <v>A0181078</v>
      </c>
      <c r="D8275" t="s">
        <v>31314</v>
      </c>
      <c r="E8275" t="s">
        <v>31315</v>
      </c>
      <c r="F8275" t="s">
        <v>22374</v>
      </c>
      <c r="G8275" t="s">
        <v>99</v>
      </c>
      <c r="H8275" t="s">
        <v>31316</v>
      </c>
      <c r="I8275" t="s">
        <v>30</v>
      </c>
      <c r="J8275" t="s">
        <v>41</v>
      </c>
      <c r="K8275" t="s">
        <v>9956</v>
      </c>
      <c r="Q8275">
        <v>0</v>
      </c>
      <c r="R8275">
        <v>300</v>
      </c>
      <c r="S8275">
        <v>300</v>
      </c>
      <c r="T8275" t="s">
        <v>31317</v>
      </c>
    </row>
    <row r="8276" spans="1:20" customFormat="1" ht="15" x14ac:dyDescent="0.25">
      <c r="A8276" t="s">
        <v>35</v>
      </c>
      <c r="B8276" t="s">
        <v>61</v>
      </c>
      <c r="C8276" t="str">
        <f>"A0181077"</f>
        <v>A0181077</v>
      </c>
      <c r="D8276" t="s">
        <v>31318</v>
      </c>
      <c r="E8276" t="s">
        <v>31319</v>
      </c>
      <c r="F8276" t="s">
        <v>22374</v>
      </c>
      <c r="G8276" t="s">
        <v>99</v>
      </c>
      <c r="H8276" t="s">
        <v>31320</v>
      </c>
      <c r="I8276" t="s">
        <v>30</v>
      </c>
      <c r="J8276" t="s">
        <v>41</v>
      </c>
      <c r="K8276" t="s">
        <v>9956</v>
      </c>
      <c r="Q8276">
        <v>0</v>
      </c>
      <c r="R8276">
        <v>160</v>
      </c>
      <c r="S8276">
        <v>160</v>
      </c>
      <c r="T8276" t="s">
        <v>31321</v>
      </c>
    </row>
    <row r="8277" spans="1:20" customFormat="1" ht="15" x14ac:dyDescent="0.25">
      <c r="A8277" t="s">
        <v>35</v>
      </c>
      <c r="B8277" t="s">
        <v>61</v>
      </c>
      <c r="C8277" t="str">
        <f>"A0181076"</f>
        <v>A0181076</v>
      </c>
      <c r="D8277" t="s">
        <v>31322</v>
      </c>
      <c r="E8277" t="s">
        <v>31323</v>
      </c>
      <c r="F8277" t="s">
        <v>22419</v>
      </c>
      <c r="G8277" t="s">
        <v>99</v>
      </c>
      <c r="H8277" t="s">
        <v>31324</v>
      </c>
      <c r="I8277" t="s">
        <v>30</v>
      </c>
      <c r="J8277" t="s">
        <v>41</v>
      </c>
      <c r="K8277" t="s">
        <v>9956</v>
      </c>
      <c r="Q8277">
        <v>0</v>
      </c>
      <c r="R8277">
        <v>0</v>
      </c>
      <c r="S8277">
        <v>0</v>
      </c>
      <c r="T8277" t="s">
        <v>31190</v>
      </c>
    </row>
    <row r="8278" spans="1:20" customFormat="1" ht="15" x14ac:dyDescent="0.25">
      <c r="A8278" t="s">
        <v>35</v>
      </c>
      <c r="B8278" t="s">
        <v>61</v>
      </c>
      <c r="C8278" t="str">
        <f>"A0181075"</f>
        <v>A0181075</v>
      </c>
      <c r="D8278" t="s">
        <v>31325</v>
      </c>
      <c r="E8278" t="s">
        <v>31326</v>
      </c>
      <c r="F8278" t="s">
        <v>31327</v>
      </c>
      <c r="G8278" t="s">
        <v>99</v>
      </c>
      <c r="H8278" t="s">
        <v>31328</v>
      </c>
      <c r="I8278" t="s">
        <v>30</v>
      </c>
      <c r="J8278" t="s">
        <v>41</v>
      </c>
      <c r="K8278" t="s">
        <v>9956</v>
      </c>
      <c r="Q8278">
        <v>0</v>
      </c>
      <c r="R8278">
        <v>120</v>
      </c>
      <c r="S8278">
        <v>120</v>
      </c>
      <c r="T8278" t="s">
        <v>31329</v>
      </c>
    </row>
    <row r="8279" spans="1:20" customFormat="1" ht="15" x14ac:dyDescent="0.25">
      <c r="A8279" t="s">
        <v>35</v>
      </c>
      <c r="B8279" t="s">
        <v>61</v>
      </c>
      <c r="C8279" t="str">
        <f>"A0181074"</f>
        <v>A0181074</v>
      </c>
      <c r="D8279" t="s">
        <v>31330</v>
      </c>
      <c r="E8279" t="s">
        <v>26583</v>
      </c>
      <c r="F8279" t="s">
        <v>5772</v>
      </c>
      <c r="G8279" t="s">
        <v>99</v>
      </c>
      <c r="H8279" t="s">
        <v>26584</v>
      </c>
      <c r="I8279" t="s">
        <v>30</v>
      </c>
      <c r="J8279" t="s">
        <v>41</v>
      </c>
      <c r="K8279" t="s">
        <v>9956</v>
      </c>
      <c r="Q8279">
        <v>0</v>
      </c>
      <c r="R8279">
        <v>591</v>
      </c>
      <c r="S8279">
        <v>591</v>
      </c>
      <c r="T8279" t="s">
        <v>26585</v>
      </c>
    </row>
    <row r="8280" spans="1:20" customFormat="1" ht="15" x14ac:dyDescent="0.25">
      <c r="A8280" t="s">
        <v>35</v>
      </c>
      <c r="B8280" t="s">
        <v>61</v>
      </c>
      <c r="C8280" t="str">
        <f>"A0181073"</f>
        <v>A0181073</v>
      </c>
      <c r="D8280" t="s">
        <v>31331</v>
      </c>
      <c r="E8280" t="s">
        <v>31332</v>
      </c>
      <c r="F8280" t="s">
        <v>22300</v>
      </c>
      <c r="G8280" t="s">
        <v>899</v>
      </c>
      <c r="H8280" t="s">
        <v>31333</v>
      </c>
      <c r="I8280" t="s">
        <v>30</v>
      </c>
      <c r="J8280" t="s">
        <v>41</v>
      </c>
      <c r="K8280" t="s">
        <v>9956</v>
      </c>
      <c r="Q8280">
        <v>0</v>
      </c>
      <c r="R8280">
        <v>83</v>
      </c>
      <c r="S8280">
        <v>83</v>
      </c>
      <c r="T8280" t="s">
        <v>31334</v>
      </c>
    </row>
    <row r="8281" spans="1:20" customFormat="1" ht="15" x14ac:dyDescent="0.25">
      <c r="A8281" t="s">
        <v>35</v>
      </c>
      <c r="B8281" t="s">
        <v>61</v>
      </c>
      <c r="C8281" t="str">
        <f>"A0181072"</f>
        <v>A0181072</v>
      </c>
      <c r="D8281" t="s">
        <v>31335</v>
      </c>
      <c r="E8281" t="s">
        <v>31336</v>
      </c>
      <c r="F8281" t="s">
        <v>31337</v>
      </c>
      <c r="G8281" t="s">
        <v>1898</v>
      </c>
      <c r="H8281">
        <v>52654</v>
      </c>
      <c r="I8281" t="s">
        <v>30</v>
      </c>
      <c r="J8281" t="s">
        <v>41</v>
      </c>
      <c r="K8281" t="s">
        <v>229</v>
      </c>
      <c r="Q8281">
        <v>0</v>
      </c>
      <c r="R8281">
        <v>62</v>
      </c>
      <c r="S8281">
        <v>34</v>
      </c>
      <c r="T8281" t="s">
        <v>31338</v>
      </c>
    </row>
    <row r="8282" spans="1:20" customFormat="1" ht="15" x14ac:dyDescent="0.25">
      <c r="A8282" t="s">
        <v>35</v>
      </c>
      <c r="B8282" t="s">
        <v>61</v>
      </c>
      <c r="C8282" t="str">
        <f>"A0181071"</f>
        <v>A0181071</v>
      </c>
      <c r="D8282" t="s">
        <v>31339</v>
      </c>
      <c r="E8282" t="s">
        <v>26571</v>
      </c>
      <c r="F8282" t="s">
        <v>8284</v>
      </c>
      <c r="G8282" t="s">
        <v>99</v>
      </c>
      <c r="H8282" t="s">
        <v>26572</v>
      </c>
      <c r="I8282" t="s">
        <v>30</v>
      </c>
      <c r="J8282" t="s">
        <v>41</v>
      </c>
      <c r="K8282" t="s">
        <v>9956</v>
      </c>
      <c r="Q8282">
        <v>0</v>
      </c>
      <c r="R8282">
        <v>122</v>
      </c>
      <c r="S8282">
        <v>122</v>
      </c>
      <c r="T8282" t="s">
        <v>26573</v>
      </c>
    </row>
    <row r="8283" spans="1:20" customFormat="1" ht="15" x14ac:dyDescent="0.25">
      <c r="A8283" t="s">
        <v>35</v>
      </c>
      <c r="B8283" t="s">
        <v>61</v>
      </c>
      <c r="C8283" t="str">
        <f>"A0181070"</f>
        <v>A0181070</v>
      </c>
      <c r="D8283" t="s">
        <v>31340</v>
      </c>
      <c r="E8283" t="s">
        <v>31341</v>
      </c>
      <c r="F8283" t="s">
        <v>4219</v>
      </c>
      <c r="G8283" t="s">
        <v>99</v>
      </c>
      <c r="H8283" t="s">
        <v>31342</v>
      </c>
      <c r="I8283" t="s">
        <v>30</v>
      </c>
      <c r="J8283" t="s">
        <v>41</v>
      </c>
      <c r="K8283" t="s">
        <v>9956</v>
      </c>
      <c r="Q8283">
        <v>0</v>
      </c>
      <c r="R8283">
        <v>264</v>
      </c>
      <c r="S8283">
        <v>264</v>
      </c>
      <c r="T8283" t="s">
        <v>31343</v>
      </c>
    </row>
    <row r="8284" spans="1:20" customFormat="1" ht="15" x14ac:dyDescent="0.25">
      <c r="A8284" t="s">
        <v>35</v>
      </c>
      <c r="B8284" t="s">
        <v>61</v>
      </c>
      <c r="C8284" t="str">
        <f>"A0181069"</f>
        <v>A0181069</v>
      </c>
      <c r="D8284" t="s">
        <v>31344</v>
      </c>
      <c r="E8284" t="s">
        <v>31345</v>
      </c>
      <c r="F8284" t="s">
        <v>31346</v>
      </c>
      <c r="G8284" t="s">
        <v>71</v>
      </c>
      <c r="H8284" t="s">
        <v>31347</v>
      </c>
      <c r="I8284" t="s">
        <v>30</v>
      </c>
      <c r="J8284" t="s">
        <v>41</v>
      </c>
      <c r="K8284" t="s">
        <v>9956</v>
      </c>
      <c r="Q8284">
        <v>0</v>
      </c>
      <c r="R8284">
        <v>114</v>
      </c>
      <c r="S8284">
        <v>114</v>
      </c>
      <c r="T8284" t="s">
        <v>31348</v>
      </c>
    </row>
    <row r="8285" spans="1:20" customFormat="1" ht="15" x14ac:dyDescent="0.25">
      <c r="A8285" t="s">
        <v>35</v>
      </c>
      <c r="B8285" t="s">
        <v>61</v>
      </c>
      <c r="C8285" t="str">
        <f>"A0181068"</f>
        <v>A0181068</v>
      </c>
      <c r="D8285" t="s">
        <v>31349</v>
      </c>
      <c r="E8285" t="s">
        <v>31350</v>
      </c>
      <c r="F8285" t="s">
        <v>25517</v>
      </c>
      <c r="G8285" t="s">
        <v>99</v>
      </c>
      <c r="H8285" t="s">
        <v>25518</v>
      </c>
      <c r="I8285" t="s">
        <v>30</v>
      </c>
      <c r="J8285" t="s">
        <v>41</v>
      </c>
      <c r="K8285" t="s">
        <v>9956</v>
      </c>
      <c r="Q8285">
        <v>0</v>
      </c>
      <c r="R8285">
        <v>120</v>
      </c>
      <c r="S8285">
        <v>120</v>
      </c>
      <c r="T8285" t="s">
        <v>31351</v>
      </c>
    </row>
    <row r="8286" spans="1:20" customFormat="1" ht="15" x14ac:dyDescent="0.25">
      <c r="A8286" t="s">
        <v>35</v>
      </c>
      <c r="B8286" t="s">
        <v>61</v>
      </c>
      <c r="C8286" t="str">
        <f>"A0181067"</f>
        <v>A0181067</v>
      </c>
      <c r="D8286" t="s">
        <v>31352</v>
      </c>
      <c r="E8286" t="s">
        <v>31353</v>
      </c>
      <c r="F8286" t="s">
        <v>11919</v>
      </c>
      <c r="G8286" t="s">
        <v>99</v>
      </c>
      <c r="H8286" t="s">
        <v>31354</v>
      </c>
      <c r="I8286" t="s">
        <v>30</v>
      </c>
      <c r="J8286" t="s">
        <v>41</v>
      </c>
      <c r="K8286" t="s">
        <v>9956</v>
      </c>
      <c r="Q8286">
        <v>0</v>
      </c>
      <c r="R8286">
        <v>242</v>
      </c>
      <c r="S8286">
        <v>242</v>
      </c>
      <c r="T8286" t="s">
        <v>31355</v>
      </c>
    </row>
    <row r="8287" spans="1:20" customFormat="1" ht="15" x14ac:dyDescent="0.25">
      <c r="A8287" t="s">
        <v>35</v>
      </c>
      <c r="B8287" t="s">
        <v>61</v>
      </c>
      <c r="C8287" t="str">
        <f>"A0181066"</f>
        <v>A0181066</v>
      </c>
      <c r="D8287" t="s">
        <v>31356</v>
      </c>
      <c r="E8287" t="s">
        <v>31357</v>
      </c>
      <c r="F8287" t="s">
        <v>5772</v>
      </c>
      <c r="G8287" t="s">
        <v>99</v>
      </c>
      <c r="H8287">
        <v>146202291</v>
      </c>
      <c r="I8287" t="s">
        <v>30</v>
      </c>
      <c r="J8287" t="s">
        <v>41</v>
      </c>
      <c r="K8287" t="s">
        <v>9956</v>
      </c>
      <c r="Q8287">
        <v>0</v>
      </c>
      <c r="R8287">
        <v>80</v>
      </c>
      <c r="S8287">
        <v>80</v>
      </c>
    </row>
    <row r="8288" spans="1:20" customFormat="1" ht="15" x14ac:dyDescent="0.25">
      <c r="A8288" t="s">
        <v>35</v>
      </c>
      <c r="B8288" t="s">
        <v>61</v>
      </c>
      <c r="C8288" t="str">
        <f>"A0181065"</f>
        <v>A0181065</v>
      </c>
      <c r="D8288" t="s">
        <v>31358</v>
      </c>
      <c r="E8288" t="s">
        <v>31359</v>
      </c>
      <c r="F8288" t="s">
        <v>5221</v>
      </c>
      <c r="G8288" t="s">
        <v>117</v>
      </c>
      <c r="H8288" t="s">
        <v>31360</v>
      </c>
      <c r="I8288" t="s">
        <v>30</v>
      </c>
      <c r="J8288" t="s">
        <v>41</v>
      </c>
      <c r="K8288" t="s">
        <v>9956</v>
      </c>
      <c r="Q8288">
        <v>0</v>
      </c>
      <c r="R8288">
        <v>52</v>
      </c>
      <c r="S8288">
        <v>52</v>
      </c>
      <c r="T8288" t="s">
        <v>31361</v>
      </c>
    </row>
    <row r="8289" spans="1:20" customFormat="1" ht="15" x14ac:dyDescent="0.25">
      <c r="A8289" t="s">
        <v>35</v>
      </c>
      <c r="B8289" t="s">
        <v>61</v>
      </c>
      <c r="C8289" t="str">
        <f>"A0181064"</f>
        <v>A0181064</v>
      </c>
      <c r="D8289" t="s">
        <v>31335</v>
      </c>
      <c r="E8289" t="s">
        <v>31362</v>
      </c>
      <c r="F8289" t="s">
        <v>2719</v>
      </c>
      <c r="G8289" t="s">
        <v>190</v>
      </c>
      <c r="H8289">
        <v>802194004</v>
      </c>
      <c r="I8289" t="s">
        <v>30</v>
      </c>
      <c r="J8289" t="s">
        <v>41</v>
      </c>
      <c r="K8289" t="s">
        <v>9956</v>
      </c>
      <c r="Q8289">
        <v>0</v>
      </c>
      <c r="R8289">
        <v>50</v>
      </c>
      <c r="S8289">
        <v>50</v>
      </c>
      <c r="T8289" t="s">
        <v>31363</v>
      </c>
    </row>
    <row r="8290" spans="1:20" customFormat="1" ht="15" x14ac:dyDescent="0.25">
      <c r="A8290" t="s">
        <v>35</v>
      </c>
      <c r="B8290" t="s">
        <v>61</v>
      </c>
      <c r="C8290" t="str">
        <f>"A0181063"</f>
        <v>A0181063</v>
      </c>
      <c r="D8290" t="s">
        <v>31364</v>
      </c>
      <c r="E8290" t="s">
        <v>31365</v>
      </c>
      <c r="F8290" t="s">
        <v>31366</v>
      </c>
      <c r="G8290" t="s">
        <v>71</v>
      </c>
      <c r="H8290" t="s">
        <v>31367</v>
      </c>
      <c r="I8290" t="s">
        <v>30</v>
      </c>
      <c r="J8290" t="s">
        <v>41</v>
      </c>
      <c r="K8290" t="s">
        <v>9956</v>
      </c>
      <c r="Q8290">
        <v>0</v>
      </c>
      <c r="R8290">
        <v>50</v>
      </c>
      <c r="S8290">
        <v>50</v>
      </c>
      <c r="T8290" t="s">
        <v>31368</v>
      </c>
    </row>
    <row r="8291" spans="1:20" customFormat="1" ht="15" x14ac:dyDescent="0.25">
      <c r="A8291" t="s">
        <v>35</v>
      </c>
      <c r="B8291" t="s">
        <v>31369</v>
      </c>
      <c r="C8291" t="str">
        <f>"A0181062"</f>
        <v>A0181062</v>
      </c>
      <c r="D8291" t="s">
        <v>31370</v>
      </c>
      <c r="E8291" t="s">
        <v>31371</v>
      </c>
      <c r="F8291" t="s">
        <v>31372</v>
      </c>
      <c r="G8291" t="s">
        <v>1898</v>
      </c>
      <c r="H8291">
        <v>505332477</v>
      </c>
      <c r="I8291" t="s">
        <v>30</v>
      </c>
      <c r="J8291" t="s">
        <v>41</v>
      </c>
      <c r="K8291" t="s">
        <v>9956</v>
      </c>
      <c r="Q8291">
        <v>0</v>
      </c>
      <c r="R8291">
        <v>51</v>
      </c>
      <c r="S8291">
        <v>51</v>
      </c>
      <c r="T8291" t="s">
        <v>31373</v>
      </c>
    </row>
    <row r="8292" spans="1:20" customFormat="1" ht="15" x14ac:dyDescent="0.25">
      <c r="A8292" t="s">
        <v>35</v>
      </c>
      <c r="B8292" t="s">
        <v>61</v>
      </c>
      <c r="C8292" t="str">
        <f>"A0181061"</f>
        <v>A0181061</v>
      </c>
      <c r="D8292" t="s">
        <v>31374</v>
      </c>
      <c r="E8292" t="s">
        <v>31375</v>
      </c>
      <c r="F8292" t="s">
        <v>26215</v>
      </c>
      <c r="G8292" t="s">
        <v>71</v>
      </c>
      <c r="H8292">
        <v>546306400</v>
      </c>
      <c r="I8292" t="s">
        <v>30</v>
      </c>
      <c r="J8292" t="s">
        <v>41</v>
      </c>
      <c r="K8292" t="s">
        <v>9956</v>
      </c>
      <c r="Q8292">
        <v>0</v>
      </c>
      <c r="R8292">
        <v>59</v>
      </c>
      <c r="S8292">
        <v>59</v>
      </c>
      <c r="T8292" t="s">
        <v>26216</v>
      </c>
    </row>
    <row r="8293" spans="1:20" customFormat="1" ht="15" x14ac:dyDescent="0.25">
      <c r="A8293" t="s">
        <v>35</v>
      </c>
      <c r="B8293" t="s">
        <v>11386</v>
      </c>
      <c r="C8293" t="str">
        <f>"A0181060"</f>
        <v>A0181060</v>
      </c>
      <c r="D8293" t="s">
        <v>31376</v>
      </c>
      <c r="E8293" t="s">
        <v>31377</v>
      </c>
      <c r="F8293" t="s">
        <v>9617</v>
      </c>
      <c r="G8293" t="s">
        <v>117</v>
      </c>
      <c r="H8293">
        <v>494422308</v>
      </c>
      <c r="I8293" t="s">
        <v>30</v>
      </c>
      <c r="J8293" t="s">
        <v>41</v>
      </c>
      <c r="K8293" t="s">
        <v>9956</v>
      </c>
      <c r="Q8293">
        <v>0</v>
      </c>
      <c r="R8293">
        <v>99</v>
      </c>
      <c r="S8293">
        <v>99</v>
      </c>
      <c r="T8293" t="s">
        <v>31378</v>
      </c>
    </row>
    <row r="8294" spans="1:20" customFormat="1" ht="15" x14ac:dyDescent="0.25">
      <c r="A8294" t="s">
        <v>35</v>
      </c>
      <c r="B8294" t="s">
        <v>61</v>
      </c>
      <c r="C8294" t="str">
        <f>"A0181059"</f>
        <v>A0181059</v>
      </c>
      <c r="D8294" t="s">
        <v>31379</v>
      </c>
      <c r="E8294" t="s">
        <v>31380</v>
      </c>
      <c r="F8294" t="s">
        <v>1431</v>
      </c>
      <c r="G8294" t="s">
        <v>47</v>
      </c>
      <c r="H8294">
        <v>97201</v>
      </c>
      <c r="I8294" t="s">
        <v>30</v>
      </c>
      <c r="J8294" t="s">
        <v>41</v>
      </c>
      <c r="K8294" t="s">
        <v>9956</v>
      </c>
      <c r="Q8294">
        <v>0</v>
      </c>
      <c r="R8294">
        <v>1</v>
      </c>
      <c r="S8294">
        <v>1</v>
      </c>
      <c r="T8294" t="s">
        <v>18475</v>
      </c>
    </row>
    <row r="8295" spans="1:20" customFormat="1" ht="15" x14ac:dyDescent="0.25">
      <c r="A8295" t="s">
        <v>35</v>
      </c>
      <c r="B8295" t="s">
        <v>61</v>
      </c>
      <c r="C8295" t="str">
        <f>"A0181058"</f>
        <v>A0181058</v>
      </c>
      <c r="D8295" t="s">
        <v>31381</v>
      </c>
      <c r="E8295" t="s">
        <v>31382</v>
      </c>
      <c r="F8295" t="s">
        <v>31383</v>
      </c>
      <c r="G8295" t="s">
        <v>161</v>
      </c>
      <c r="H8295" t="s">
        <v>31384</v>
      </c>
      <c r="I8295" t="s">
        <v>30</v>
      </c>
      <c r="J8295" t="s">
        <v>41</v>
      </c>
      <c r="K8295" t="s">
        <v>9956</v>
      </c>
      <c r="Q8295">
        <v>0</v>
      </c>
      <c r="R8295">
        <v>0</v>
      </c>
      <c r="S8295">
        <v>0</v>
      </c>
      <c r="T8295" t="s">
        <v>31385</v>
      </c>
    </row>
    <row r="8296" spans="1:20" customFormat="1" ht="15" x14ac:dyDescent="0.25">
      <c r="A8296" t="s">
        <v>35</v>
      </c>
      <c r="B8296" t="s">
        <v>61</v>
      </c>
      <c r="C8296" t="str">
        <f>"A0181057"</f>
        <v>A0181057</v>
      </c>
      <c r="D8296" t="s">
        <v>31386</v>
      </c>
      <c r="E8296" t="s">
        <v>31387</v>
      </c>
      <c r="F8296" t="s">
        <v>5772</v>
      </c>
      <c r="G8296" t="s">
        <v>161</v>
      </c>
      <c r="H8296" t="s">
        <v>31388</v>
      </c>
      <c r="I8296" t="s">
        <v>30</v>
      </c>
      <c r="J8296" t="s">
        <v>41</v>
      </c>
      <c r="K8296" t="s">
        <v>9956</v>
      </c>
      <c r="Q8296">
        <v>0</v>
      </c>
      <c r="R8296">
        <v>120</v>
      </c>
      <c r="S8296">
        <v>120</v>
      </c>
      <c r="T8296" t="s">
        <v>31389</v>
      </c>
    </row>
    <row r="8297" spans="1:20" customFormat="1" ht="15" x14ac:dyDescent="0.25">
      <c r="A8297" t="s">
        <v>35</v>
      </c>
      <c r="B8297" t="s">
        <v>61</v>
      </c>
      <c r="C8297" t="str">
        <f>"A0181056"</f>
        <v>A0181056</v>
      </c>
      <c r="D8297" t="s">
        <v>31390</v>
      </c>
      <c r="E8297" t="s">
        <v>31391</v>
      </c>
      <c r="F8297" t="s">
        <v>31392</v>
      </c>
      <c r="G8297" t="s">
        <v>161</v>
      </c>
      <c r="H8297" t="s">
        <v>31393</v>
      </c>
      <c r="I8297" t="s">
        <v>30</v>
      </c>
      <c r="J8297" t="s">
        <v>41</v>
      </c>
      <c r="K8297" t="s">
        <v>9956</v>
      </c>
      <c r="Q8297">
        <v>0</v>
      </c>
      <c r="R8297">
        <v>72</v>
      </c>
      <c r="S8297">
        <v>72</v>
      </c>
      <c r="T8297" t="s">
        <v>31394</v>
      </c>
    </row>
    <row r="8298" spans="1:20" customFormat="1" ht="15" x14ac:dyDescent="0.25">
      <c r="A8298" t="s">
        <v>35</v>
      </c>
      <c r="B8298" t="s">
        <v>61</v>
      </c>
      <c r="C8298" t="str">
        <f>"A0181055"</f>
        <v>A0181055</v>
      </c>
      <c r="D8298" t="s">
        <v>31395</v>
      </c>
      <c r="E8298" t="s">
        <v>31396</v>
      </c>
      <c r="F8298" t="s">
        <v>31397</v>
      </c>
      <c r="G8298" t="s">
        <v>161</v>
      </c>
      <c r="H8298" t="s">
        <v>31398</v>
      </c>
      <c r="I8298" t="s">
        <v>30</v>
      </c>
      <c r="J8298" t="s">
        <v>41</v>
      </c>
      <c r="K8298" t="s">
        <v>9956</v>
      </c>
      <c r="Q8298">
        <v>0</v>
      </c>
      <c r="R8298">
        <v>41</v>
      </c>
      <c r="S8298">
        <v>41</v>
      </c>
      <c r="T8298" t="s">
        <v>31399</v>
      </c>
    </row>
    <row r="8299" spans="1:20" customFormat="1" ht="15" x14ac:dyDescent="0.25">
      <c r="A8299" t="s">
        <v>35</v>
      </c>
      <c r="B8299" t="s">
        <v>61</v>
      </c>
      <c r="C8299" t="str">
        <f>"A0181054"</f>
        <v>A0181054</v>
      </c>
      <c r="D8299" t="s">
        <v>31400</v>
      </c>
      <c r="E8299" t="s">
        <v>31401</v>
      </c>
      <c r="F8299" t="s">
        <v>31402</v>
      </c>
      <c r="G8299" t="s">
        <v>71</v>
      </c>
      <c r="H8299" t="s">
        <v>31403</v>
      </c>
      <c r="I8299" t="s">
        <v>30</v>
      </c>
      <c r="J8299" t="s">
        <v>41</v>
      </c>
      <c r="K8299" t="s">
        <v>9956</v>
      </c>
      <c r="Q8299">
        <v>0</v>
      </c>
      <c r="R8299">
        <v>50</v>
      </c>
      <c r="S8299">
        <v>50</v>
      </c>
      <c r="T8299" t="s">
        <v>31404</v>
      </c>
    </row>
    <row r="8300" spans="1:20" customFormat="1" ht="15" x14ac:dyDescent="0.25">
      <c r="A8300" t="s">
        <v>35</v>
      </c>
      <c r="B8300" t="s">
        <v>61</v>
      </c>
      <c r="C8300" t="str">
        <f>"A0181053"</f>
        <v>A0181053</v>
      </c>
      <c r="D8300" t="s">
        <v>31405</v>
      </c>
      <c r="E8300" t="s">
        <v>31406</v>
      </c>
      <c r="F8300" t="s">
        <v>31407</v>
      </c>
      <c r="G8300" t="s">
        <v>71</v>
      </c>
      <c r="H8300" t="s">
        <v>31408</v>
      </c>
      <c r="I8300" t="s">
        <v>30</v>
      </c>
      <c r="J8300" t="s">
        <v>41</v>
      </c>
      <c r="K8300" t="s">
        <v>9956</v>
      </c>
      <c r="Q8300">
        <v>0</v>
      </c>
      <c r="R8300">
        <v>43</v>
      </c>
      <c r="S8300">
        <v>43</v>
      </c>
      <c r="T8300" t="s">
        <v>31409</v>
      </c>
    </row>
    <row r="8301" spans="1:20" customFormat="1" ht="15" x14ac:dyDescent="0.25">
      <c r="A8301" t="s">
        <v>35</v>
      </c>
      <c r="B8301" t="s">
        <v>61</v>
      </c>
      <c r="C8301" t="str">
        <f>"A0181052"</f>
        <v>A0181052</v>
      </c>
      <c r="D8301" t="s">
        <v>31410</v>
      </c>
      <c r="E8301" t="s">
        <v>31411</v>
      </c>
      <c r="F8301" t="s">
        <v>3009</v>
      </c>
      <c r="G8301" t="s">
        <v>99</v>
      </c>
      <c r="H8301" t="s">
        <v>28979</v>
      </c>
      <c r="I8301" t="s">
        <v>30</v>
      </c>
      <c r="J8301" t="s">
        <v>41</v>
      </c>
      <c r="K8301" t="s">
        <v>9956</v>
      </c>
      <c r="Q8301">
        <v>0</v>
      </c>
      <c r="R8301">
        <v>160</v>
      </c>
      <c r="S8301">
        <v>160</v>
      </c>
      <c r="T8301" t="s">
        <v>31412</v>
      </c>
    </row>
    <row r="8302" spans="1:20" customFormat="1" ht="15" x14ac:dyDescent="0.25">
      <c r="A8302" t="s">
        <v>35</v>
      </c>
      <c r="B8302" t="s">
        <v>61</v>
      </c>
      <c r="C8302" t="str">
        <f>"A0181051"</f>
        <v>A0181051</v>
      </c>
      <c r="D8302" t="s">
        <v>31413</v>
      </c>
      <c r="E8302" t="s">
        <v>31414</v>
      </c>
      <c r="F8302" t="s">
        <v>4112</v>
      </c>
      <c r="G8302" t="s">
        <v>71</v>
      </c>
      <c r="H8302" t="s">
        <v>31415</v>
      </c>
      <c r="I8302" t="s">
        <v>30</v>
      </c>
      <c r="J8302" t="s">
        <v>41</v>
      </c>
      <c r="K8302" t="s">
        <v>9956</v>
      </c>
      <c r="Q8302">
        <v>0</v>
      </c>
      <c r="R8302">
        <v>99</v>
      </c>
      <c r="S8302">
        <v>99</v>
      </c>
      <c r="T8302" t="s">
        <v>31416</v>
      </c>
    </row>
    <row r="8303" spans="1:20" customFormat="1" ht="15" x14ac:dyDescent="0.25">
      <c r="A8303" t="s">
        <v>35</v>
      </c>
      <c r="B8303" t="s">
        <v>61</v>
      </c>
      <c r="C8303" t="str">
        <f>"A0181050"</f>
        <v>A0181050</v>
      </c>
      <c r="D8303" t="s">
        <v>31417</v>
      </c>
      <c r="E8303" t="s">
        <v>31418</v>
      </c>
      <c r="F8303" t="s">
        <v>31419</v>
      </c>
      <c r="G8303" t="s">
        <v>71</v>
      </c>
      <c r="H8303">
        <v>54853</v>
      </c>
      <c r="I8303" t="s">
        <v>30</v>
      </c>
      <c r="J8303" t="s">
        <v>41</v>
      </c>
      <c r="K8303" t="s">
        <v>9956</v>
      </c>
      <c r="Q8303">
        <v>0</v>
      </c>
      <c r="R8303">
        <v>50</v>
      </c>
      <c r="S8303">
        <v>50</v>
      </c>
      <c r="T8303" t="s">
        <v>31420</v>
      </c>
    </row>
    <row r="8304" spans="1:20" customFormat="1" ht="15" x14ac:dyDescent="0.25">
      <c r="A8304" t="s">
        <v>35</v>
      </c>
      <c r="B8304" t="s">
        <v>61</v>
      </c>
      <c r="C8304" t="str">
        <f>"A0181049"</f>
        <v>A0181049</v>
      </c>
      <c r="D8304" t="s">
        <v>31421</v>
      </c>
      <c r="E8304" t="s">
        <v>31422</v>
      </c>
      <c r="F8304" t="s">
        <v>15500</v>
      </c>
      <c r="G8304" t="s">
        <v>1898</v>
      </c>
      <c r="H8304" t="s">
        <v>31423</v>
      </c>
      <c r="I8304" t="s">
        <v>30</v>
      </c>
      <c r="J8304" t="s">
        <v>41</v>
      </c>
      <c r="K8304" t="s">
        <v>9956</v>
      </c>
      <c r="Q8304">
        <v>0</v>
      </c>
      <c r="R8304">
        <v>32</v>
      </c>
      <c r="S8304">
        <v>32</v>
      </c>
      <c r="T8304" t="s">
        <v>31424</v>
      </c>
    </row>
    <row r="8305" spans="1:20" customFormat="1" ht="15" x14ac:dyDescent="0.25">
      <c r="A8305" t="s">
        <v>35</v>
      </c>
      <c r="B8305" t="s">
        <v>31425</v>
      </c>
      <c r="C8305" t="str">
        <f>"A0181048"</f>
        <v>A0181048</v>
      </c>
      <c r="D8305" t="s">
        <v>31426</v>
      </c>
      <c r="E8305" t="s">
        <v>31427</v>
      </c>
      <c r="F8305" t="s">
        <v>31428</v>
      </c>
      <c r="G8305" t="s">
        <v>71</v>
      </c>
      <c r="H8305">
        <v>544561708</v>
      </c>
      <c r="I8305" t="s">
        <v>30</v>
      </c>
      <c r="J8305" t="s">
        <v>41</v>
      </c>
      <c r="K8305" t="s">
        <v>9956</v>
      </c>
      <c r="Q8305">
        <v>0</v>
      </c>
      <c r="R8305">
        <v>60</v>
      </c>
      <c r="S8305">
        <v>60</v>
      </c>
      <c r="T8305" t="s">
        <v>31429</v>
      </c>
    </row>
    <row r="8306" spans="1:20" customFormat="1" ht="15" x14ac:dyDescent="0.25">
      <c r="A8306" t="s">
        <v>35</v>
      </c>
      <c r="B8306" t="s">
        <v>61</v>
      </c>
      <c r="C8306" t="str">
        <f>"A0181047"</f>
        <v>A0181047</v>
      </c>
      <c r="D8306" t="s">
        <v>31430</v>
      </c>
      <c r="E8306" t="s">
        <v>31431</v>
      </c>
      <c r="F8306" t="s">
        <v>31432</v>
      </c>
      <c r="G8306" t="s">
        <v>161</v>
      </c>
      <c r="H8306">
        <v>56129</v>
      </c>
      <c r="I8306" t="s">
        <v>30</v>
      </c>
      <c r="J8306" t="s">
        <v>41</v>
      </c>
      <c r="K8306" t="s">
        <v>9956</v>
      </c>
      <c r="Q8306">
        <v>0</v>
      </c>
      <c r="R8306">
        <v>60</v>
      </c>
      <c r="S8306">
        <v>60</v>
      </c>
      <c r="T8306" t="s">
        <v>31433</v>
      </c>
    </row>
    <row r="8307" spans="1:20" customFormat="1" ht="15" x14ac:dyDescent="0.25">
      <c r="A8307" t="s">
        <v>35</v>
      </c>
      <c r="B8307" t="s">
        <v>61</v>
      </c>
      <c r="C8307" t="str">
        <f>"A0181046"</f>
        <v>A0181046</v>
      </c>
      <c r="D8307" t="s">
        <v>31434</v>
      </c>
      <c r="E8307" t="s">
        <v>31435</v>
      </c>
      <c r="F8307" t="s">
        <v>27472</v>
      </c>
      <c r="G8307" t="s">
        <v>161</v>
      </c>
      <c r="H8307">
        <v>56572</v>
      </c>
      <c r="I8307" t="s">
        <v>30</v>
      </c>
      <c r="J8307" t="s">
        <v>41</v>
      </c>
      <c r="K8307" t="s">
        <v>9956</v>
      </c>
      <c r="Q8307">
        <v>0</v>
      </c>
      <c r="R8307">
        <v>46</v>
      </c>
      <c r="S8307">
        <v>46</v>
      </c>
      <c r="T8307" t="s">
        <v>31436</v>
      </c>
    </row>
    <row r="8308" spans="1:20" customFormat="1" ht="15" x14ac:dyDescent="0.25">
      <c r="A8308" t="s">
        <v>35</v>
      </c>
      <c r="B8308" t="s">
        <v>61</v>
      </c>
      <c r="C8308" t="str">
        <f>"A0181045"</f>
        <v>A0181045</v>
      </c>
      <c r="D8308" t="s">
        <v>31437</v>
      </c>
      <c r="E8308" t="s">
        <v>31438</v>
      </c>
      <c r="F8308" t="s">
        <v>26754</v>
      </c>
      <c r="G8308" t="s">
        <v>71</v>
      </c>
      <c r="H8308" t="s">
        <v>31439</v>
      </c>
      <c r="I8308" t="s">
        <v>30</v>
      </c>
      <c r="J8308" t="s">
        <v>41</v>
      </c>
      <c r="K8308" t="s">
        <v>9956</v>
      </c>
      <c r="Q8308">
        <v>0</v>
      </c>
      <c r="R8308">
        <v>130</v>
      </c>
      <c r="S8308">
        <v>130</v>
      </c>
      <c r="T8308" t="s">
        <v>31440</v>
      </c>
    </row>
    <row r="8309" spans="1:20" customFormat="1" ht="15" x14ac:dyDescent="0.25">
      <c r="A8309" t="s">
        <v>35</v>
      </c>
      <c r="B8309" t="s">
        <v>61</v>
      </c>
      <c r="C8309" t="str">
        <f>"A0181044"</f>
        <v>A0181044</v>
      </c>
      <c r="D8309" t="s">
        <v>31441</v>
      </c>
      <c r="E8309" t="s">
        <v>31442</v>
      </c>
      <c r="F8309" t="s">
        <v>31443</v>
      </c>
      <c r="G8309" t="s">
        <v>99</v>
      </c>
      <c r="H8309" t="s">
        <v>31444</v>
      </c>
      <c r="I8309" t="s">
        <v>30</v>
      </c>
      <c r="J8309" t="s">
        <v>41</v>
      </c>
      <c r="K8309" t="s">
        <v>9956</v>
      </c>
      <c r="Q8309">
        <v>0</v>
      </c>
      <c r="R8309">
        <v>432</v>
      </c>
      <c r="S8309">
        <v>432</v>
      </c>
      <c r="T8309" t="s">
        <v>31445</v>
      </c>
    </row>
    <row r="8310" spans="1:20" customFormat="1" ht="15" x14ac:dyDescent="0.25">
      <c r="A8310" t="s">
        <v>35</v>
      </c>
      <c r="B8310" t="s">
        <v>61</v>
      </c>
      <c r="C8310" t="str">
        <f>"A0181043"</f>
        <v>A0181043</v>
      </c>
      <c r="D8310" t="s">
        <v>31446</v>
      </c>
      <c r="E8310" t="s">
        <v>31447</v>
      </c>
      <c r="F8310" t="s">
        <v>7112</v>
      </c>
      <c r="G8310" t="s">
        <v>161</v>
      </c>
      <c r="H8310">
        <v>55008</v>
      </c>
      <c r="I8310" t="s">
        <v>30</v>
      </c>
      <c r="J8310" t="s">
        <v>41</v>
      </c>
      <c r="K8310" t="s">
        <v>9956</v>
      </c>
      <c r="Q8310">
        <v>0</v>
      </c>
      <c r="R8310">
        <v>222</v>
      </c>
      <c r="S8310">
        <v>222</v>
      </c>
      <c r="T8310" t="s">
        <v>24517</v>
      </c>
    </row>
    <row r="8311" spans="1:20" customFormat="1" ht="15" x14ac:dyDescent="0.25">
      <c r="A8311" t="s">
        <v>35</v>
      </c>
      <c r="B8311" t="s">
        <v>61</v>
      </c>
      <c r="C8311" t="str">
        <f>"A0181042"</f>
        <v>A0181042</v>
      </c>
      <c r="D8311" t="s">
        <v>31448</v>
      </c>
      <c r="E8311" t="s">
        <v>31449</v>
      </c>
      <c r="F8311" t="s">
        <v>11404</v>
      </c>
      <c r="G8311" t="s">
        <v>1706</v>
      </c>
      <c r="H8311" t="s">
        <v>31450</v>
      </c>
      <c r="I8311" t="s">
        <v>30</v>
      </c>
      <c r="J8311" t="s">
        <v>41</v>
      </c>
      <c r="K8311" t="s">
        <v>9956</v>
      </c>
      <c r="Q8311">
        <v>0</v>
      </c>
      <c r="R8311">
        <v>98</v>
      </c>
      <c r="S8311">
        <v>98</v>
      </c>
      <c r="T8311" t="s">
        <v>31451</v>
      </c>
    </row>
    <row r="8312" spans="1:20" customFormat="1" ht="15" x14ac:dyDescent="0.25">
      <c r="A8312" t="s">
        <v>35</v>
      </c>
      <c r="B8312" t="s">
        <v>61</v>
      </c>
      <c r="C8312" t="str">
        <f>"A0181041"</f>
        <v>A0181041</v>
      </c>
      <c r="D8312" t="s">
        <v>31452</v>
      </c>
      <c r="E8312" t="s">
        <v>31453</v>
      </c>
      <c r="F8312" t="s">
        <v>31454</v>
      </c>
      <c r="G8312" t="s">
        <v>71</v>
      </c>
      <c r="H8312" t="s">
        <v>31455</v>
      </c>
      <c r="I8312" t="s">
        <v>30</v>
      </c>
      <c r="J8312" t="s">
        <v>41</v>
      </c>
      <c r="K8312" t="s">
        <v>9956</v>
      </c>
      <c r="Q8312">
        <v>0</v>
      </c>
      <c r="R8312">
        <v>132</v>
      </c>
      <c r="S8312">
        <v>132</v>
      </c>
      <c r="T8312" t="s">
        <v>31456</v>
      </c>
    </row>
    <row r="8313" spans="1:20" customFormat="1" ht="15" x14ac:dyDescent="0.25">
      <c r="A8313" t="s">
        <v>35</v>
      </c>
      <c r="B8313" t="s">
        <v>61</v>
      </c>
      <c r="C8313" t="str">
        <f>"A0181040"</f>
        <v>A0181040</v>
      </c>
      <c r="D8313" t="s">
        <v>31457</v>
      </c>
      <c r="E8313" t="s">
        <v>31458</v>
      </c>
      <c r="F8313" t="s">
        <v>11795</v>
      </c>
      <c r="G8313" t="s">
        <v>71</v>
      </c>
      <c r="H8313">
        <v>542209208</v>
      </c>
      <c r="I8313" t="s">
        <v>30</v>
      </c>
      <c r="J8313" t="s">
        <v>41</v>
      </c>
      <c r="K8313" t="s">
        <v>9956</v>
      </c>
      <c r="Q8313">
        <v>0</v>
      </c>
      <c r="R8313">
        <v>150</v>
      </c>
      <c r="S8313">
        <v>150</v>
      </c>
      <c r="T8313" t="s">
        <v>31459</v>
      </c>
    </row>
    <row r="8314" spans="1:20" customFormat="1" ht="15" x14ac:dyDescent="0.25">
      <c r="A8314" t="s">
        <v>35</v>
      </c>
      <c r="B8314" t="s">
        <v>61</v>
      </c>
      <c r="C8314" t="str">
        <f>"A0181039"</f>
        <v>A0181039</v>
      </c>
      <c r="D8314" t="s">
        <v>31460</v>
      </c>
      <c r="E8314" t="s">
        <v>31461</v>
      </c>
      <c r="F8314" t="s">
        <v>17085</v>
      </c>
      <c r="G8314" t="s">
        <v>71</v>
      </c>
      <c r="H8314" t="s">
        <v>31462</v>
      </c>
      <c r="I8314" t="s">
        <v>30</v>
      </c>
      <c r="J8314" t="s">
        <v>41</v>
      </c>
      <c r="K8314" t="s">
        <v>9956</v>
      </c>
      <c r="Q8314">
        <v>0</v>
      </c>
      <c r="R8314">
        <v>131</v>
      </c>
      <c r="S8314">
        <v>131</v>
      </c>
      <c r="T8314" t="s">
        <v>31463</v>
      </c>
    </row>
    <row r="8315" spans="1:20" customFormat="1" ht="15" x14ac:dyDescent="0.25">
      <c r="A8315" t="s">
        <v>35</v>
      </c>
      <c r="B8315" t="s">
        <v>61</v>
      </c>
      <c r="C8315" t="str">
        <f>"A0181038"</f>
        <v>A0181038</v>
      </c>
      <c r="D8315" t="s">
        <v>31464</v>
      </c>
      <c r="E8315" t="s">
        <v>28215</v>
      </c>
      <c r="F8315" t="s">
        <v>24626</v>
      </c>
      <c r="G8315" t="s">
        <v>161</v>
      </c>
      <c r="H8315" t="s">
        <v>31465</v>
      </c>
      <c r="I8315" t="s">
        <v>30</v>
      </c>
      <c r="J8315" t="s">
        <v>41</v>
      </c>
      <c r="K8315" t="s">
        <v>9956</v>
      </c>
      <c r="Q8315">
        <v>0</v>
      </c>
      <c r="R8315">
        <v>101</v>
      </c>
      <c r="S8315">
        <v>101</v>
      </c>
      <c r="T8315" t="s">
        <v>31466</v>
      </c>
    </row>
    <row r="8316" spans="1:20" customFormat="1" ht="15" x14ac:dyDescent="0.25">
      <c r="A8316" t="s">
        <v>35</v>
      </c>
      <c r="B8316" t="s">
        <v>61</v>
      </c>
      <c r="C8316" t="str">
        <f>"A0181037"</f>
        <v>A0181037</v>
      </c>
      <c r="D8316" t="s">
        <v>31467</v>
      </c>
      <c r="E8316" t="s">
        <v>31468</v>
      </c>
      <c r="F8316" t="s">
        <v>19689</v>
      </c>
      <c r="G8316" t="s">
        <v>161</v>
      </c>
      <c r="H8316">
        <v>55430</v>
      </c>
      <c r="I8316" t="s">
        <v>30</v>
      </c>
      <c r="J8316" t="s">
        <v>41</v>
      </c>
      <c r="K8316" t="s">
        <v>9956</v>
      </c>
      <c r="Q8316">
        <v>0</v>
      </c>
      <c r="R8316">
        <v>87</v>
      </c>
      <c r="S8316">
        <v>87</v>
      </c>
      <c r="T8316" t="s">
        <v>31469</v>
      </c>
    </row>
    <row r="8317" spans="1:20" customFormat="1" ht="15" x14ac:dyDescent="0.25">
      <c r="A8317" t="s">
        <v>35</v>
      </c>
      <c r="B8317" t="s">
        <v>61</v>
      </c>
      <c r="C8317" t="str">
        <f>"A0181036"</f>
        <v>A0181036</v>
      </c>
      <c r="D8317" t="s">
        <v>21373</v>
      </c>
      <c r="E8317" t="s">
        <v>29111</v>
      </c>
      <c r="F8317" t="s">
        <v>29112</v>
      </c>
      <c r="G8317" t="s">
        <v>161</v>
      </c>
      <c r="H8317" t="s">
        <v>31470</v>
      </c>
      <c r="I8317" t="s">
        <v>30</v>
      </c>
      <c r="J8317" t="s">
        <v>41</v>
      </c>
      <c r="K8317" t="s">
        <v>9956</v>
      </c>
      <c r="Q8317">
        <v>0</v>
      </c>
      <c r="R8317">
        <v>85</v>
      </c>
      <c r="S8317">
        <v>85</v>
      </c>
      <c r="T8317" t="s">
        <v>29114</v>
      </c>
    </row>
    <row r="8318" spans="1:20" customFormat="1" ht="15" x14ac:dyDescent="0.25">
      <c r="A8318" t="s">
        <v>35</v>
      </c>
      <c r="B8318" t="s">
        <v>61</v>
      </c>
      <c r="C8318" t="str">
        <f>"A0181035"</f>
        <v>A0181035</v>
      </c>
      <c r="D8318" t="s">
        <v>31471</v>
      </c>
      <c r="E8318" t="s">
        <v>31472</v>
      </c>
      <c r="F8318" t="s">
        <v>15500</v>
      </c>
      <c r="G8318" t="s">
        <v>161</v>
      </c>
      <c r="H8318" t="s">
        <v>31473</v>
      </c>
      <c r="I8318" t="s">
        <v>30</v>
      </c>
      <c r="J8318" t="s">
        <v>41</v>
      </c>
      <c r="K8318" t="s">
        <v>9956</v>
      </c>
      <c r="Q8318">
        <v>0</v>
      </c>
      <c r="R8318">
        <v>100</v>
      </c>
      <c r="S8318">
        <v>100</v>
      </c>
      <c r="T8318" t="s">
        <v>31474</v>
      </c>
    </row>
    <row r="8319" spans="1:20" customFormat="1" ht="15" x14ac:dyDescent="0.25">
      <c r="A8319" t="s">
        <v>35</v>
      </c>
      <c r="B8319" t="s">
        <v>61</v>
      </c>
      <c r="C8319" t="str">
        <f>"A0181034"</f>
        <v>A0181034</v>
      </c>
      <c r="D8319" t="s">
        <v>31475</v>
      </c>
      <c r="E8319" t="s">
        <v>31476</v>
      </c>
      <c r="F8319" t="s">
        <v>15552</v>
      </c>
      <c r="G8319" t="s">
        <v>161</v>
      </c>
      <c r="H8319">
        <v>55355</v>
      </c>
      <c r="I8319" t="s">
        <v>30</v>
      </c>
      <c r="J8319" t="s">
        <v>41</v>
      </c>
      <c r="K8319" t="s">
        <v>9956</v>
      </c>
      <c r="Q8319">
        <v>0</v>
      </c>
      <c r="R8319">
        <v>120</v>
      </c>
      <c r="S8319">
        <v>120</v>
      </c>
      <c r="T8319" t="s">
        <v>31477</v>
      </c>
    </row>
    <row r="8320" spans="1:20" customFormat="1" ht="15" x14ac:dyDescent="0.25">
      <c r="A8320" t="s">
        <v>35</v>
      </c>
      <c r="B8320" t="s">
        <v>61</v>
      </c>
      <c r="C8320" t="str">
        <f>"A0181033"</f>
        <v>A0181033</v>
      </c>
      <c r="D8320" t="s">
        <v>31478</v>
      </c>
      <c r="E8320" t="s">
        <v>31479</v>
      </c>
      <c r="F8320" t="s">
        <v>31480</v>
      </c>
      <c r="G8320" t="s">
        <v>161</v>
      </c>
      <c r="H8320" t="s">
        <v>31481</v>
      </c>
      <c r="I8320" t="s">
        <v>30</v>
      </c>
      <c r="J8320" t="s">
        <v>41</v>
      </c>
      <c r="K8320" t="s">
        <v>9956</v>
      </c>
      <c r="Q8320">
        <v>0</v>
      </c>
      <c r="R8320">
        <v>47</v>
      </c>
      <c r="S8320">
        <v>47</v>
      </c>
      <c r="T8320" t="s">
        <v>31482</v>
      </c>
    </row>
    <row r="8321" spans="1:20" customFormat="1" ht="15" x14ac:dyDescent="0.25">
      <c r="A8321" t="s">
        <v>35</v>
      </c>
      <c r="B8321" t="s">
        <v>61</v>
      </c>
      <c r="C8321" t="str">
        <f>"A0181032"</f>
        <v>A0181032</v>
      </c>
      <c r="D8321" t="s">
        <v>31483</v>
      </c>
      <c r="E8321" t="s">
        <v>31484</v>
      </c>
      <c r="F8321" t="s">
        <v>13957</v>
      </c>
      <c r="G8321" t="s">
        <v>99</v>
      </c>
      <c r="H8321" t="s">
        <v>31485</v>
      </c>
      <c r="I8321" t="s">
        <v>30</v>
      </c>
      <c r="J8321" t="s">
        <v>41</v>
      </c>
      <c r="K8321" t="s">
        <v>9956</v>
      </c>
      <c r="Q8321">
        <v>0</v>
      </c>
      <c r="R8321">
        <v>149</v>
      </c>
      <c r="S8321">
        <v>149</v>
      </c>
      <c r="T8321" t="s">
        <v>31486</v>
      </c>
    </row>
    <row r="8322" spans="1:20" customFormat="1" ht="15" x14ac:dyDescent="0.25">
      <c r="A8322" t="s">
        <v>35</v>
      </c>
      <c r="B8322" t="s">
        <v>61</v>
      </c>
      <c r="C8322" t="str">
        <f>"A0181031"</f>
        <v>A0181031</v>
      </c>
      <c r="D8322" t="s">
        <v>31487</v>
      </c>
      <c r="E8322" t="s">
        <v>31488</v>
      </c>
      <c r="F8322" t="s">
        <v>3339</v>
      </c>
      <c r="G8322" t="s">
        <v>161</v>
      </c>
      <c r="H8322" t="s">
        <v>31489</v>
      </c>
      <c r="I8322" t="s">
        <v>30</v>
      </c>
      <c r="J8322" t="s">
        <v>41</v>
      </c>
      <c r="K8322" t="s">
        <v>9956</v>
      </c>
      <c r="Q8322">
        <v>0</v>
      </c>
      <c r="R8322">
        <v>55</v>
      </c>
      <c r="S8322">
        <v>55</v>
      </c>
      <c r="T8322" t="s">
        <v>31490</v>
      </c>
    </row>
    <row r="8323" spans="1:20" customFormat="1" ht="15" x14ac:dyDescent="0.25">
      <c r="A8323" t="s">
        <v>35</v>
      </c>
      <c r="B8323" t="s">
        <v>61</v>
      </c>
      <c r="C8323" t="str">
        <f>"A0181030"</f>
        <v>A0181030</v>
      </c>
      <c r="D8323" t="s">
        <v>31491</v>
      </c>
      <c r="E8323" t="s">
        <v>31492</v>
      </c>
      <c r="F8323" t="s">
        <v>31407</v>
      </c>
      <c r="G8323" t="s">
        <v>71</v>
      </c>
      <c r="H8323">
        <v>53547</v>
      </c>
      <c r="I8323" t="s">
        <v>30</v>
      </c>
      <c r="J8323" t="s">
        <v>41</v>
      </c>
      <c r="K8323" t="s">
        <v>9956</v>
      </c>
      <c r="Q8323">
        <v>0</v>
      </c>
      <c r="R8323">
        <v>384</v>
      </c>
      <c r="S8323">
        <v>384</v>
      </c>
      <c r="T8323" t="s">
        <v>31493</v>
      </c>
    </row>
    <row r="8324" spans="1:20" customFormat="1" ht="15" x14ac:dyDescent="0.25">
      <c r="A8324" t="s">
        <v>35</v>
      </c>
      <c r="B8324" t="s">
        <v>61</v>
      </c>
      <c r="C8324" t="str">
        <f>"A0181029"</f>
        <v>A0181029</v>
      </c>
      <c r="D8324" t="s">
        <v>31494</v>
      </c>
      <c r="E8324" t="s">
        <v>31495</v>
      </c>
      <c r="F8324" t="s">
        <v>19113</v>
      </c>
      <c r="G8324" t="s">
        <v>99</v>
      </c>
      <c r="H8324" t="s">
        <v>31496</v>
      </c>
      <c r="I8324" t="s">
        <v>30</v>
      </c>
      <c r="J8324" t="s">
        <v>41</v>
      </c>
      <c r="K8324" t="s">
        <v>9956</v>
      </c>
      <c r="Q8324">
        <v>0</v>
      </c>
      <c r="R8324">
        <v>98</v>
      </c>
      <c r="S8324">
        <v>98</v>
      </c>
      <c r="T8324" t="s">
        <v>31497</v>
      </c>
    </row>
    <row r="8325" spans="1:20" customFormat="1" ht="15" x14ac:dyDescent="0.25">
      <c r="A8325" t="s">
        <v>35</v>
      </c>
      <c r="B8325" t="s">
        <v>61</v>
      </c>
      <c r="C8325" t="str">
        <f>"A0181028"</f>
        <v>A0181028</v>
      </c>
      <c r="D8325" t="s">
        <v>31498</v>
      </c>
      <c r="E8325" t="s">
        <v>31499</v>
      </c>
      <c r="F8325" t="s">
        <v>5772</v>
      </c>
      <c r="G8325" t="s">
        <v>99</v>
      </c>
      <c r="H8325" t="s">
        <v>31500</v>
      </c>
      <c r="I8325" t="s">
        <v>30</v>
      </c>
      <c r="J8325" t="s">
        <v>41</v>
      </c>
      <c r="K8325" t="s">
        <v>9956</v>
      </c>
      <c r="Q8325">
        <v>0</v>
      </c>
      <c r="R8325">
        <v>202</v>
      </c>
      <c r="S8325">
        <v>202</v>
      </c>
      <c r="T8325" t="s">
        <v>31501</v>
      </c>
    </row>
    <row r="8326" spans="1:20" customFormat="1" ht="15" x14ac:dyDescent="0.25">
      <c r="A8326" t="s">
        <v>35</v>
      </c>
      <c r="B8326" t="s">
        <v>61</v>
      </c>
      <c r="C8326" t="str">
        <f>"A0181027"</f>
        <v>A0181027</v>
      </c>
      <c r="D8326" t="s">
        <v>31502</v>
      </c>
      <c r="E8326" t="s">
        <v>31503</v>
      </c>
      <c r="F8326" t="s">
        <v>31504</v>
      </c>
      <c r="G8326" t="s">
        <v>161</v>
      </c>
      <c r="H8326" t="s">
        <v>31505</v>
      </c>
      <c r="I8326" t="s">
        <v>30</v>
      </c>
      <c r="J8326" t="s">
        <v>41</v>
      </c>
      <c r="K8326" t="s">
        <v>9956</v>
      </c>
      <c r="Q8326">
        <v>0</v>
      </c>
      <c r="R8326">
        <v>78</v>
      </c>
      <c r="S8326">
        <v>78</v>
      </c>
      <c r="T8326" t="s">
        <v>31506</v>
      </c>
    </row>
    <row r="8327" spans="1:20" customFormat="1" ht="15" x14ac:dyDescent="0.25">
      <c r="A8327" t="s">
        <v>35</v>
      </c>
      <c r="B8327" t="s">
        <v>61</v>
      </c>
      <c r="C8327" t="str">
        <f>"A0181026"</f>
        <v>A0181026</v>
      </c>
      <c r="D8327" t="s">
        <v>31507</v>
      </c>
      <c r="E8327" t="s">
        <v>31508</v>
      </c>
      <c r="F8327" t="s">
        <v>31509</v>
      </c>
      <c r="G8327" t="s">
        <v>71</v>
      </c>
      <c r="H8327" t="s">
        <v>31510</v>
      </c>
      <c r="I8327" t="s">
        <v>30</v>
      </c>
      <c r="J8327" t="s">
        <v>41</v>
      </c>
      <c r="K8327" t="s">
        <v>9956</v>
      </c>
      <c r="Q8327">
        <v>0</v>
      </c>
      <c r="R8327">
        <v>235</v>
      </c>
      <c r="S8327">
        <v>235</v>
      </c>
      <c r="T8327" t="s">
        <v>31511</v>
      </c>
    </row>
    <row r="8328" spans="1:20" customFormat="1" ht="15" x14ac:dyDescent="0.25">
      <c r="A8328" t="s">
        <v>35</v>
      </c>
      <c r="B8328" t="s">
        <v>61</v>
      </c>
      <c r="C8328" t="str">
        <f>"A0181025"</f>
        <v>A0181025</v>
      </c>
      <c r="D8328" t="s">
        <v>31512</v>
      </c>
      <c r="E8328" t="s">
        <v>31513</v>
      </c>
      <c r="F8328" t="s">
        <v>4704</v>
      </c>
      <c r="G8328" t="s">
        <v>99</v>
      </c>
      <c r="H8328" t="s">
        <v>31514</v>
      </c>
      <c r="I8328" t="s">
        <v>30</v>
      </c>
      <c r="J8328" t="s">
        <v>41</v>
      </c>
      <c r="K8328" t="s">
        <v>9956</v>
      </c>
      <c r="Q8328">
        <v>0</v>
      </c>
      <c r="R8328">
        <v>126</v>
      </c>
      <c r="S8328">
        <v>126</v>
      </c>
      <c r="T8328" t="s">
        <v>31515</v>
      </c>
    </row>
    <row r="8329" spans="1:20" customFormat="1" ht="15" x14ac:dyDescent="0.25">
      <c r="A8329" t="s">
        <v>35</v>
      </c>
      <c r="B8329" t="s">
        <v>61</v>
      </c>
      <c r="C8329" t="str">
        <f>"A0181024"</f>
        <v>A0181024</v>
      </c>
      <c r="D8329" t="s">
        <v>31516</v>
      </c>
      <c r="E8329" t="s">
        <v>31517</v>
      </c>
      <c r="F8329" t="s">
        <v>2784</v>
      </c>
      <c r="G8329" t="s">
        <v>925</v>
      </c>
      <c r="H8329" t="s">
        <v>31518</v>
      </c>
      <c r="I8329" t="s">
        <v>30</v>
      </c>
      <c r="J8329" t="s">
        <v>41</v>
      </c>
      <c r="K8329" t="s">
        <v>9956</v>
      </c>
      <c r="Q8329">
        <v>0</v>
      </c>
      <c r="R8329">
        <v>48</v>
      </c>
      <c r="S8329">
        <v>48</v>
      </c>
      <c r="T8329" t="s">
        <v>31519</v>
      </c>
    </row>
    <row r="8330" spans="1:20" customFormat="1" ht="15" x14ac:dyDescent="0.25">
      <c r="A8330" t="s">
        <v>35</v>
      </c>
      <c r="B8330" t="s">
        <v>61</v>
      </c>
      <c r="C8330" t="str">
        <f>"A0181023"</f>
        <v>A0181023</v>
      </c>
      <c r="D8330" t="s">
        <v>31520</v>
      </c>
      <c r="E8330" t="s">
        <v>31521</v>
      </c>
      <c r="F8330" t="s">
        <v>24109</v>
      </c>
      <c r="G8330" t="s">
        <v>925</v>
      </c>
      <c r="H8330" t="s">
        <v>31522</v>
      </c>
      <c r="I8330" t="s">
        <v>30</v>
      </c>
      <c r="J8330" t="s">
        <v>41</v>
      </c>
      <c r="K8330" t="s">
        <v>9956</v>
      </c>
      <c r="Q8330">
        <v>0</v>
      </c>
      <c r="R8330">
        <v>65</v>
      </c>
      <c r="S8330">
        <v>65</v>
      </c>
      <c r="T8330" t="s">
        <v>31523</v>
      </c>
    </row>
    <row r="8331" spans="1:20" customFormat="1" ht="15" x14ac:dyDescent="0.25">
      <c r="A8331" t="s">
        <v>35</v>
      </c>
      <c r="B8331" t="s">
        <v>61</v>
      </c>
      <c r="C8331" t="str">
        <f>"A0181022"</f>
        <v>A0181022</v>
      </c>
      <c r="D8331" t="s">
        <v>31524</v>
      </c>
      <c r="E8331" t="s">
        <v>31525</v>
      </c>
      <c r="F8331" t="s">
        <v>26786</v>
      </c>
      <c r="G8331" t="s">
        <v>161</v>
      </c>
      <c r="H8331" t="s">
        <v>31526</v>
      </c>
      <c r="I8331" t="s">
        <v>30</v>
      </c>
      <c r="J8331" t="s">
        <v>41</v>
      </c>
      <c r="K8331" t="s">
        <v>9956</v>
      </c>
      <c r="Q8331">
        <v>0</v>
      </c>
      <c r="R8331">
        <v>195</v>
      </c>
      <c r="S8331">
        <v>195</v>
      </c>
      <c r="T8331" t="s">
        <v>29033</v>
      </c>
    </row>
    <row r="8332" spans="1:20" customFormat="1" ht="15" x14ac:dyDescent="0.25">
      <c r="A8332" t="s">
        <v>35</v>
      </c>
      <c r="B8332" t="s">
        <v>61</v>
      </c>
      <c r="C8332" t="str">
        <f>"A0181021"</f>
        <v>A0181021</v>
      </c>
      <c r="D8332" t="s">
        <v>31527</v>
      </c>
      <c r="E8332" t="s">
        <v>31528</v>
      </c>
      <c r="F8332" t="s">
        <v>20926</v>
      </c>
      <c r="G8332" t="s">
        <v>161</v>
      </c>
      <c r="H8332">
        <v>55104</v>
      </c>
      <c r="I8332" t="s">
        <v>30</v>
      </c>
      <c r="J8332" t="s">
        <v>41</v>
      </c>
      <c r="K8332" t="s">
        <v>9956</v>
      </c>
      <c r="Q8332">
        <v>0</v>
      </c>
      <c r="R8332">
        <v>120</v>
      </c>
      <c r="S8332">
        <v>120</v>
      </c>
      <c r="T8332" t="s">
        <v>31529</v>
      </c>
    </row>
    <row r="8333" spans="1:20" customFormat="1" ht="15" x14ac:dyDescent="0.25">
      <c r="A8333" t="s">
        <v>35</v>
      </c>
      <c r="B8333" t="s">
        <v>61</v>
      </c>
      <c r="C8333" t="str">
        <f>"A0181020"</f>
        <v>A0181020</v>
      </c>
      <c r="D8333" t="s">
        <v>31530</v>
      </c>
      <c r="E8333" t="s">
        <v>31531</v>
      </c>
      <c r="F8333" t="s">
        <v>19528</v>
      </c>
      <c r="G8333" t="s">
        <v>338</v>
      </c>
      <c r="H8333" t="s">
        <v>31532</v>
      </c>
      <c r="I8333" t="s">
        <v>30</v>
      </c>
      <c r="J8333" t="s">
        <v>41</v>
      </c>
      <c r="K8333" t="s">
        <v>9956</v>
      </c>
      <c r="Q8333">
        <v>0</v>
      </c>
      <c r="R8333">
        <v>303</v>
      </c>
      <c r="S8333">
        <v>303</v>
      </c>
      <c r="T8333" t="s">
        <v>31533</v>
      </c>
    </row>
    <row r="8334" spans="1:20" customFormat="1" ht="15" x14ac:dyDescent="0.25">
      <c r="A8334" t="s">
        <v>35</v>
      </c>
      <c r="B8334" t="s">
        <v>61</v>
      </c>
      <c r="C8334" t="str">
        <f>"A0181019"</f>
        <v>A0181019</v>
      </c>
      <c r="D8334" t="s">
        <v>31534</v>
      </c>
      <c r="E8334" t="s">
        <v>31535</v>
      </c>
      <c r="F8334" t="s">
        <v>27218</v>
      </c>
      <c r="G8334" t="s">
        <v>161</v>
      </c>
      <c r="H8334" t="s">
        <v>31536</v>
      </c>
      <c r="I8334" t="s">
        <v>30</v>
      </c>
      <c r="J8334" t="s">
        <v>41</v>
      </c>
      <c r="K8334" t="s">
        <v>9956</v>
      </c>
      <c r="Q8334">
        <v>0</v>
      </c>
      <c r="R8334">
        <v>40</v>
      </c>
      <c r="S8334">
        <v>40</v>
      </c>
      <c r="T8334" t="s">
        <v>31537</v>
      </c>
    </row>
    <row r="8335" spans="1:20" customFormat="1" ht="15" x14ac:dyDescent="0.25">
      <c r="A8335" t="s">
        <v>35</v>
      </c>
      <c r="B8335" t="s">
        <v>61</v>
      </c>
      <c r="C8335" t="str">
        <f>"A0181018"</f>
        <v>A0181018</v>
      </c>
      <c r="D8335" t="s">
        <v>31538</v>
      </c>
      <c r="E8335" t="s">
        <v>31539</v>
      </c>
      <c r="F8335" t="s">
        <v>31540</v>
      </c>
      <c r="G8335" t="s">
        <v>161</v>
      </c>
      <c r="H8335" t="s">
        <v>31541</v>
      </c>
      <c r="I8335" t="s">
        <v>30</v>
      </c>
      <c r="J8335" t="s">
        <v>41</v>
      </c>
      <c r="K8335" t="s">
        <v>9956</v>
      </c>
      <c r="Q8335">
        <v>0</v>
      </c>
      <c r="R8335">
        <v>48</v>
      </c>
      <c r="S8335">
        <v>48</v>
      </c>
      <c r="T8335" t="s">
        <v>31542</v>
      </c>
    </row>
    <row r="8336" spans="1:20" customFormat="1" ht="15" x14ac:dyDescent="0.25">
      <c r="A8336" t="s">
        <v>35</v>
      </c>
      <c r="B8336" t="s">
        <v>61</v>
      </c>
      <c r="C8336" t="str">
        <f>"A0181017"</f>
        <v>A0181017</v>
      </c>
      <c r="D8336" t="s">
        <v>31543</v>
      </c>
      <c r="E8336" t="s">
        <v>31544</v>
      </c>
      <c r="F8336" t="s">
        <v>31545</v>
      </c>
      <c r="G8336" t="s">
        <v>71</v>
      </c>
      <c r="H8336" t="s">
        <v>31546</v>
      </c>
      <c r="I8336" t="s">
        <v>30</v>
      </c>
      <c r="J8336" t="s">
        <v>41</v>
      </c>
      <c r="K8336" t="s">
        <v>9956</v>
      </c>
      <c r="Q8336">
        <v>0</v>
      </c>
      <c r="R8336">
        <v>0</v>
      </c>
      <c r="S8336">
        <v>0</v>
      </c>
      <c r="T8336" t="s">
        <v>31547</v>
      </c>
    </row>
    <row r="8337" spans="1:20" customFormat="1" ht="15" x14ac:dyDescent="0.25">
      <c r="A8337" t="s">
        <v>35</v>
      </c>
      <c r="B8337" t="s">
        <v>61</v>
      </c>
      <c r="C8337" t="str">
        <f>"A0181016"</f>
        <v>A0181016</v>
      </c>
      <c r="D8337" t="s">
        <v>31548</v>
      </c>
      <c r="E8337" t="s">
        <v>31549</v>
      </c>
      <c r="F8337" t="s">
        <v>31550</v>
      </c>
      <c r="G8337" t="s">
        <v>161</v>
      </c>
      <c r="H8337" t="s">
        <v>31551</v>
      </c>
      <c r="I8337" t="s">
        <v>30</v>
      </c>
      <c r="J8337" t="s">
        <v>41</v>
      </c>
      <c r="K8337" t="s">
        <v>9956</v>
      </c>
      <c r="Q8337">
        <v>0</v>
      </c>
      <c r="R8337">
        <v>67</v>
      </c>
      <c r="S8337">
        <v>67</v>
      </c>
      <c r="T8337" t="s">
        <v>31552</v>
      </c>
    </row>
    <row r="8338" spans="1:20" customFormat="1" ht="15" x14ac:dyDescent="0.25">
      <c r="A8338" t="s">
        <v>35</v>
      </c>
      <c r="B8338" t="s">
        <v>61</v>
      </c>
      <c r="C8338" t="str">
        <f>"A0181015"</f>
        <v>A0181015</v>
      </c>
      <c r="D8338" t="s">
        <v>31553</v>
      </c>
      <c r="E8338" t="s">
        <v>31554</v>
      </c>
      <c r="F8338" t="s">
        <v>29164</v>
      </c>
      <c r="G8338" t="s">
        <v>161</v>
      </c>
      <c r="H8338">
        <v>55056</v>
      </c>
      <c r="I8338" t="s">
        <v>30</v>
      </c>
      <c r="J8338" t="s">
        <v>41</v>
      </c>
      <c r="K8338" t="s">
        <v>9956</v>
      </c>
      <c r="Q8338">
        <v>0</v>
      </c>
      <c r="R8338">
        <v>135</v>
      </c>
      <c r="S8338">
        <v>135</v>
      </c>
      <c r="T8338" t="s">
        <v>31555</v>
      </c>
    </row>
    <row r="8339" spans="1:20" customFormat="1" ht="15" x14ac:dyDescent="0.25">
      <c r="A8339" t="s">
        <v>35</v>
      </c>
      <c r="B8339" t="s">
        <v>61</v>
      </c>
      <c r="C8339" t="str">
        <f>"A0181014"</f>
        <v>A0181014</v>
      </c>
      <c r="D8339" t="s">
        <v>31556</v>
      </c>
      <c r="E8339" t="s">
        <v>31557</v>
      </c>
      <c r="F8339" t="s">
        <v>31558</v>
      </c>
      <c r="G8339" t="s">
        <v>161</v>
      </c>
      <c r="H8339">
        <v>56554</v>
      </c>
      <c r="I8339" t="s">
        <v>30</v>
      </c>
      <c r="J8339" t="s">
        <v>41</v>
      </c>
      <c r="K8339" t="s">
        <v>9956</v>
      </c>
      <c r="Q8339">
        <v>0</v>
      </c>
      <c r="R8339">
        <v>34</v>
      </c>
      <c r="S8339">
        <v>34</v>
      </c>
      <c r="T8339" t="s">
        <v>31559</v>
      </c>
    </row>
    <row r="8340" spans="1:20" customFormat="1" ht="15" x14ac:dyDescent="0.25">
      <c r="A8340" t="s">
        <v>35</v>
      </c>
      <c r="B8340" t="s">
        <v>61</v>
      </c>
      <c r="C8340" t="str">
        <f>"A0181013"</f>
        <v>A0181013</v>
      </c>
      <c r="D8340" t="s">
        <v>31560</v>
      </c>
      <c r="E8340" t="s">
        <v>31561</v>
      </c>
      <c r="F8340" t="s">
        <v>31562</v>
      </c>
      <c r="G8340" t="s">
        <v>71</v>
      </c>
      <c r="H8340" t="s">
        <v>31563</v>
      </c>
      <c r="I8340" t="s">
        <v>30</v>
      </c>
      <c r="J8340" t="s">
        <v>41</v>
      </c>
      <c r="K8340" t="s">
        <v>9956</v>
      </c>
      <c r="Q8340">
        <v>0</v>
      </c>
      <c r="R8340">
        <v>85</v>
      </c>
      <c r="S8340">
        <v>85</v>
      </c>
      <c r="T8340" t="s">
        <v>31564</v>
      </c>
    </row>
    <row r="8341" spans="1:20" customFormat="1" ht="15" x14ac:dyDescent="0.25">
      <c r="A8341" t="s">
        <v>35</v>
      </c>
      <c r="B8341" t="s">
        <v>61</v>
      </c>
      <c r="C8341" t="str">
        <f>"A0181012"</f>
        <v>A0181012</v>
      </c>
      <c r="D8341" t="s">
        <v>31565</v>
      </c>
      <c r="E8341" t="s">
        <v>31566</v>
      </c>
      <c r="F8341" t="s">
        <v>31567</v>
      </c>
      <c r="G8341" t="s">
        <v>161</v>
      </c>
      <c r="H8341" t="s">
        <v>31568</v>
      </c>
      <c r="I8341" t="s">
        <v>30</v>
      </c>
      <c r="J8341" t="s">
        <v>41</v>
      </c>
      <c r="K8341" t="s">
        <v>9956</v>
      </c>
      <c r="Q8341">
        <v>0</v>
      </c>
      <c r="R8341">
        <v>82</v>
      </c>
      <c r="S8341">
        <v>82</v>
      </c>
      <c r="T8341" t="s">
        <v>31569</v>
      </c>
    </row>
    <row r="8342" spans="1:20" customFormat="1" ht="15" x14ac:dyDescent="0.25">
      <c r="A8342" t="s">
        <v>35</v>
      </c>
      <c r="B8342" t="s">
        <v>61</v>
      </c>
      <c r="C8342" t="str">
        <f>"A0181011"</f>
        <v>A0181011</v>
      </c>
      <c r="D8342" t="s">
        <v>31570</v>
      </c>
      <c r="E8342" t="s">
        <v>31571</v>
      </c>
      <c r="F8342" t="s">
        <v>11884</v>
      </c>
      <c r="G8342" t="s">
        <v>71</v>
      </c>
      <c r="H8342" t="s">
        <v>31572</v>
      </c>
      <c r="I8342" t="s">
        <v>30</v>
      </c>
      <c r="J8342" t="s">
        <v>41</v>
      </c>
      <c r="K8342" t="s">
        <v>9956</v>
      </c>
      <c r="Q8342">
        <v>0</v>
      </c>
      <c r="R8342">
        <v>168</v>
      </c>
      <c r="S8342">
        <v>168</v>
      </c>
      <c r="T8342" t="s">
        <v>31573</v>
      </c>
    </row>
    <row r="8343" spans="1:20" customFormat="1" ht="15" x14ac:dyDescent="0.25">
      <c r="A8343" t="s">
        <v>35</v>
      </c>
      <c r="B8343" t="s">
        <v>61</v>
      </c>
      <c r="C8343" t="str">
        <f>"A0181010"</f>
        <v>A0181010</v>
      </c>
      <c r="D8343" t="s">
        <v>31574</v>
      </c>
      <c r="E8343" t="s">
        <v>31575</v>
      </c>
      <c r="F8343" t="s">
        <v>5050</v>
      </c>
      <c r="G8343" t="s">
        <v>161</v>
      </c>
      <c r="H8343" t="s">
        <v>31576</v>
      </c>
      <c r="I8343" t="s">
        <v>30</v>
      </c>
      <c r="J8343" t="s">
        <v>41</v>
      </c>
      <c r="K8343" t="s">
        <v>9956</v>
      </c>
      <c r="Q8343">
        <v>0</v>
      </c>
      <c r="R8343">
        <v>104</v>
      </c>
      <c r="S8343">
        <v>104</v>
      </c>
      <c r="T8343" t="s">
        <v>31577</v>
      </c>
    </row>
    <row r="8344" spans="1:20" customFormat="1" ht="15" x14ac:dyDescent="0.25">
      <c r="A8344" t="s">
        <v>35</v>
      </c>
      <c r="B8344" t="s">
        <v>61</v>
      </c>
      <c r="C8344" t="str">
        <f>"A0181009"</f>
        <v>A0181009</v>
      </c>
      <c r="D8344" t="s">
        <v>31578</v>
      </c>
      <c r="E8344" t="s">
        <v>31579</v>
      </c>
      <c r="F8344" t="s">
        <v>6270</v>
      </c>
      <c r="G8344" t="s">
        <v>71</v>
      </c>
      <c r="H8344" t="s">
        <v>31580</v>
      </c>
      <c r="I8344" t="s">
        <v>30</v>
      </c>
      <c r="J8344" t="s">
        <v>41</v>
      </c>
      <c r="K8344" t="s">
        <v>9956</v>
      </c>
      <c r="Q8344">
        <v>0</v>
      </c>
      <c r="R8344">
        <v>122</v>
      </c>
      <c r="S8344">
        <v>122</v>
      </c>
      <c r="T8344" t="s">
        <v>31581</v>
      </c>
    </row>
    <row r="8345" spans="1:20" customFormat="1" ht="15" x14ac:dyDescent="0.25">
      <c r="A8345" t="s">
        <v>35</v>
      </c>
      <c r="B8345" t="s">
        <v>61</v>
      </c>
      <c r="C8345" t="str">
        <f>"A0181008"</f>
        <v>A0181008</v>
      </c>
      <c r="D8345" t="s">
        <v>15929</v>
      </c>
      <c r="E8345" t="s">
        <v>31582</v>
      </c>
      <c r="F8345" t="s">
        <v>12238</v>
      </c>
      <c r="G8345" t="s">
        <v>71</v>
      </c>
      <c r="H8345">
        <v>54665</v>
      </c>
      <c r="I8345" t="s">
        <v>30</v>
      </c>
      <c r="J8345" t="s">
        <v>41</v>
      </c>
      <c r="K8345" t="s">
        <v>9956</v>
      </c>
      <c r="Q8345">
        <v>0</v>
      </c>
      <c r="R8345">
        <v>104</v>
      </c>
      <c r="S8345">
        <v>104</v>
      </c>
      <c r="T8345" t="s">
        <v>31583</v>
      </c>
    </row>
    <row r="8346" spans="1:20" customFormat="1" ht="15" x14ac:dyDescent="0.25">
      <c r="A8346" t="s">
        <v>35</v>
      </c>
      <c r="B8346" t="s">
        <v>61</v>
      </c>
      <c r="C8346" t="str">
        <f>"A0181007"</f>
        <v>A0181007</v>
      </c>
      <c r="D8346" t="s">
        <v>31584</v>
      </c>
      <c r="E8346" t="s">
        <v>31585</v>
      </c>
      <c r="F8346" t="s">
        <v>4219</v>
      </c>
      <c r="G8346" t="s">
        <v>99</v>
      </c>
      <c r="H8346" t="s">
        <v>31586</v>
      </c>
      <c r="I8346" t="s">
        <v>30</v>
      </c>
      <c r="J8346" t="s">
        <v>41</v>
      </c>
      <c r="K8346" t="s">
        <v>9956</v>
      </c>
      <c r="Q8346">
        <v>0</v>
      </c>
      <c r="R8346">
        <v>120</v>
      </c>
      <c r="S8346">
        <v>120</v>
      </c>
      <c r="T8346" t="s">
        <v>31587</v>
      </c>
    </row>
    <row r="8347" spans="1:20" customFormat="1" ht="15" x14ac:dyDescent="0.25">
      <c r="A8347" t="s">
        <v>35</v>
      </c>
      <c r="B8347" t="s">
        <v>61</v>
      </c>
      <c r="C8347" t="str">
        <f>"A0181006"</f>
        <v>A0181006</v>
      </c>
      <c r="D8347" t="s">
        <v>31588</v>
      </c>
      <c r="E8347" t="s">
        <v>31589</v>
      </c>
      <c r="F8347" t="s">
        <v>7670</v>
      </c>
      <c r="G8347" t="s">
        <v>99</v>
      </c>
      <c r="H8347" t="s">
        <v>31590</v>
      </c>
      <c r="I8347" t="s">
        <v>30</v>
      </c>
      <c r="J8347" t="s">
        <v>41</v>
      </c>
      <c r="K8347" t="s">
        <v>9956</v>
      </c>
      <c r="Q8347">
        <v>0</v>
      </c>
      <c r="R8347">
        <v>250</v>
      </c>
      <c r="S8347">
        <v>250</v>
      </c>
      <c r="T8347" t="s">
        <v>31591</v>
      </c>
    </row>
    <row r="8348" spans="1:20" customFormat="1" ht="15" x14ac:dyDescent="0.25">
      <c r="A8348" t="s">
        <v>35</v>
      </c>
      <c r="B8348" t="s">
        <v>61</v>
      </c>
      <c r="C8348" t="str">
        <f>"A0181005"</f>
        <v>A0181005</v>
      </c>
      <c r="D8348" t="s">
        <v>31592</v>
      </c>
      <c r="E8348" t="s">
        <v>25296</v>
      </c>
      <c r="F8348" t="s">
        <v>22374</v>
      </c>
      <c r="G8348" t="s">
        <v>161</v>
      </c>
      <c r="H8348" t="s">
        <v>31593</v>
      </c>
      <c r="I8348" t="s">
        <v>30</v>
      </c>
      <c r="J8348" t="s">
        <v>41</v>
      </c>
      <c r="K8348" t="s">
        <v>9956</v>
      </c>
      <c r="Q8348">
        <v>0</v>
      </c>
      <c r="R8348">
        <v>73</v>
      </c>
      <c r="S8348">
        <v>73</v>
      </c>
      <c r="T8348" t="s">
        <v>31594</v>
      </c>
    </row>
    <row r="8349" spans="1:20" customFormat="1" ht="15" x14ac:dyDescent="0.25">
      <c r="A8349" t="s">
        <v>35</v>
      </c>
      <c r="B8349" t="s">
        <v>61</v>
      </c>
      <c r="C8349" t="str">
        <f>"A0181004"</f>
        <v>A0181004</v>
      </c>
      <c r="D8349" t="s">
        <v>31595</v>
      </c>
      <c r="E8349" t="s">
        <v>31596</v>
      </c>
      <c r="F8349" t="s">
        <v>25224</v>
      </c>
      <c r="G8349" t="s">
        <v>161</v>
      </c>
      <c r="H8349">
        <v>560731554</v>
      </c>
      <c r="I8349" t="s">
        <v>30</v>
      </c>
      <c r="J8349" t="s">
        <v>41</v>
      </c>
      <c r="K8349" t="s">
        <v>9956</v>
      </c>
      <c r="Q8349">
        <v>0</v>
      </c>
      <c r="R8349">
        <v>110</v>
      </c>
      <c r="S8349">
        <v>110</v>
      </c>
      <c r="T8349" t="s">
        <v>31597</v>
      </c>
    </row>
    <row r="8350" spans="1:20" customFormat="1" ht="15" x14ac:dyDescent="0.25">
      <c r="A8350" t="s">
        <v>35</v>
      </c>
      <c r="B8350" t="s">
        <v>61</v>
      </c>
      <c r="C8350" t="str">
        <f>"A0181003"</f>
        <v>A0181003</v>
      </c>
      <c r="D8350" t="s">
        <v>31598</v>
      </c>
      <c r="E8350" t="s">
        <v>31599</v>
      </c>
      <c r="F8350" t="s">
        <v>31600</v>
      </c>
      <c r="G8350" t="s">
        <v>161</v>
      </c>
      <c r="H8350" t="s">
        <v>31601</v>
      </c>
      <c r="I8350" t="s">
        <v>30</v>
      </c>
      <c r="J8350" t="s">
        <v>41</v>
      </c>
      <c r="K8350" t="s">
        <v>9956</v>
      </c>
      <c r="Q8350">
        <v>0</v>
      </c>
      <c r="R8350">
        <v>49</v>
      </c>
      <c r="S8350">
        <v>49</v>
      </c>
      <c r="T8350" t="s">
        <v>31602</v>
      </c>
    </row>
    <row r="8351" spans="1:20" customFormat="1" ht="15" x14ac:dyDescent="0.25">
      <c r="A8351" t="s">
        <v>35</v>
      </c>
      <c r="B8351" t="s">
        <v>61</v>
      </c>
      <c r="C8351" t="str">
        <f>"A0181002"</f>
        <v>A0181002</v>
      </c>
      <c r="D8351" t="s">
        <v>31603</v>
      </c>
      <c r="E8351" t="s">
        <v>31604</v>
      </c>
      <c r="F8351" t="s">
        <v>31605</v>
      </c>
      <c r="G8351" t="s">
        <v>161</v>
      </c>
      <c r="H8351">
        <v>56241</v>
      </c>
      <c r="I8351" t="s">
        <v>30</v>
      </c>
      <c r="J8351" t="s">
        <v>41</v>
      </c>
      <c r="K8351" t="s">
        <v>9956</v>
      </c>
      <c r="Q8351">
        <v>0</v>
      </c>
      <c r="R8351">
        <v>64</v>
      </c>
      <c r="S8351">
        <v>64</v>
      </c>
      <c r="T8351" t="s">
        <v>31606</v>
      </c>
    </row>
    <row r="8352" spans="1:20" customFormat="1" ht="15" x14ac:dyDescent="0.25">
      <c r="A8352" t="s">
        <v>35</v>
      </c>
      <c r="B8352" t="s">
        <v>61</v>
      </c>
      <c r="C8352" t="str">
        <f>"A0181001"</f>
        <v>A0181001</v>
      </c>
      <c r="D8352" t="s">
        <v>31607</v>
      </c>
      <c r="E8352" t="s">
        <v>31608</v>
      </c>
      <c r="F8352" t="s">
        <v>16062</v>
      </c>
      <c r="G8352" t="s">
        <v>71</v>
      </c>
      <c r="H8352" t="s">
        <v>31609</v>
      </c>
      <c r="I8352" t="s">
        <v>30</v>
      </c>
      <c r="J8352" t="s">
        <v>41</v>
      </c>
      <c r="K8352" t="s">
        <v>9956</v>
      </c>
      <c r="Q8352">
        <v>0</v>
      </c>
      <c r="R8352">
        <v>154</v>
      </c>
      <c r="S8352">
        <v>154</v>
      </c>
      <c r="T8352" t="s">
        <v>31610</v>
      </c>
    </row>
    <row r="8353" spans="1:20" customFormat="1" ht="15" x14ac:dyDescent="0.25">
      <c r="A8353" t="s">
        <v>35</v>
      </c>
      <c r="B8353" t="s">
        <v>61</v>
      </c>
      <c r="C8353" t="str">
        <f>"A0181000"</f>
        <v>A0181000</v>
      </c>
      <c r="D8353" t="s">
        <v>31611</v>
      </c>
      <c r="E8353" t="s">
        <v>31612</v>
      </c>
      <c r="F8353" t="s">
        <v>931</v>
      </c>
      <c r="G8353" t="s">
        <v>71</v>
      </c>
      <c r="H8353">
        <v>549146444</v>
      </c>
      <c r="I8353" t="s">
        <v>30</v>
      </c>
      <c r="J8353" t="s">
        <v>41</v>
      </c>
      <c r="K8353" t="s">
        <v>9956</v>
      </c>
      <c r="Q8353">
        <v>0</v>
      </c>
      <c r="R8353">
        <v>204</v>
      </c>
      <c r="S8353">
        <v>204</v>
      </c>
      <c r="T8353" t="s">
        <v>31613</v>
      </c>
    </row>
    <row r="8354" spans="1:20" customFormat="1" ht="15" x14ac:dyDescent="0.25">
      <c r="A8354" t="s">
        <v>35</v>
      </c>
      <c r="B8354" t="s">
        <v>61</v>
      </c>
      <c r="C8354" t="str">
        <f>"A0180999"</f>
        <v>A0180999</v>
      </c>
      <c r="D8354" t="s">
        <v>31614</v>
      </c>
      <c r="E8354" t="s">
        <v>31615</v>
      </c>
      <c r="F8354" t="s">
        <v>31616</v>
      </c>
      <c r="G8354" t="s">
        <v>338</v>
      </c>
      <c r="H8354">
        <v>70952614</v>
      </c>
      <c r="I8354" t="s">
        <v>30</v>
      </c>
      <c r="J8354" t="s">
        <v>41</v>
      </c>
      <c r="K8354" t="s">
        <v>9956</v>
      </c>
      <c r="Q8354">
        <v>0</v>
      </c>
      <c r="R8354">
        <v>111</v>
      </c>
      <c r="S8354">
        <v>111</v>
      </c>
      <c r="T8354" t="s">
        <v>31617</v>
      </c>
    </row>
    <row r="8355" spans="1:20" customFormat="1" ht="15" x14ac:dyDescent="0.25">
      <c r="A8355" t="s">
        <v>35</v>
      </c>
      <c r="B8355" t="s">
        <v>61</v>
      </c>
      <c r="C8355" t="str">
        <f>"A0180998"</f>
        <v>A0180998</v>
      </c>
      <c r="D8355" t="s">
        <v>31618</v>
      </c>
      <c r="E8355" t="s">
        <v>28063</v>
      </c>
      <c r="F8355" t="s">
        <v>1431</v>
      </c>
      <c r="G8355" t="s">
        <v>47</v>
      </c>
      <c r="H8355">
        <v>972211019</v>
      </c>
      <c r="I8355" t="s">
        <v>30</v>
      </c>
      <c r="J8355" t="s">
        <v>41</v>
      </c>
      <c r="K8355" t="s">
        <v>9956</v>
      </c>
      <c r="Q8355">
        <v>0</v>
      </c>
      <c r="R8355">
        <v>124</v>
      </c>
      <c r="S8355">
        <v>124</v>
      </c>
      <c r="T8355" t="s">
        <v>31619</v>
      </c>
    </row>
    <row r="8356" spans="1:20" customFormat="1" ht="15" x14ac:dyDescent="0.25">
      <c r="A8356" t="s">
        <v>35</v>
      </c>
      <c r="B8356" t="s">
        <v>61</v>
      </c>
      <c r="C8356" t="str">
        <f>"A0180997"</f>
        <v>A0180997</v>
      </c>
      <c r="D8356" t="s">
        <v>31620</v>
      </c>
      <c r="E8356" t="s">
        <v>28166</v>
      </c>
      <c r="F8356" t="s">
        <v>28167</v>
      </c>
      <c r="G8356" t="s">
        <v>47</v>
      </c>
      <c r="H8356">
        <v>971033709</v>
      </c>
      <c r="I8356" t="s">
        <v>30</v>
      </c>
      <c r="J8356" t="s">
        <v>41</v>
      </c>
      <c r="K8356" t="s">
        <v>9956</v>
      </c>
      <c r="Q8356">
        <v>0</v>
      </c>
      <c r="R8356">
        <v>65</v>
      </c>
      <c r="S8356">
        <v>65</v>
      </c>
      <c r="T8356" t="s">
        <v>28168</v>
      </c>
    </row>
    <row r="8357" spans="1:20" customFormat="1" ht="15" x14ac:dyDescent="0.25">
      <c r="A8357" t="s">
        <v>35</v>
      </c>
      <c r="B8357" t="s">
        <v>61</v>
      </c>
      <c r="C8357" t="str">
        <f>"A0180996"</f>
        <v>A0180996</v>
      </c>
      <c r="D8357" t="s">
        <v>31621</v>
      </c>
      <c r="E8357" t="s">
        <v>28091</v>
      </c>
      <c r="F8357" t="s">
        <v>20926</v>
      </c>
      <c r="G8357" t="s">
        <v>161</v>
      </c>
      <c r="H8357">
        <v>55108</v>
      </c>
      <c r="I8357" t="s">
        <v>30</v>
      </c>
      <c r="J8357" t="s">
        <v>41</v>
      </c>
      <c r="K8357" t="s">
        <v>9956</v>
      </c>
      <c r="Q8357">
        <v>0</v>
      </c>
      <c r="R8357">
        <v>256</v>
      </c>
      <c r="S8357">
        <v>256</v>
      </c>
      <c r="T8357" t="s">
        <v>31622</v>
      </c>
    </row>
    <row r="8358" spans="1:20" customFormat="1" ht="15" x14ac:dyDescent="0.25">
      <c r="A8358" t="s">
        <v>35</v>
      </c>
      <c r="B8358" t="s">
        <v>61</v>
      </c>
      <c r="C8358" t="str">
        <f>"A0180995"</f>
        <v>A0180995</v>
      </c>
      <c r="D8358" t="s">
        <v>31623</v>
      </c>
      <c r="E8358" t="s">
        <v>31624</v>
      </c>
      <c r="F8358" t="s">
        <v>10801</v>
      </c>
      <c r="G8358" t="s">
        <v>161</v>
      </c>
      <c r="H8358" t="s">
        <v>31625</v>
      </c>
      <c r="I8358" t="s">
        <v>30</v>
      </c>
      <c r="J8358" t="s">
        <v>41</v>
      </c>
      <c r="K8358" t="s">
        <v>9956</v>
      </c>
      <c r="Q8358">
        <v>0</v>
      </c>
      <c r="R8358">
        <v>65</v>
      </c>
      <c r="S8358">
        <v>65</v>
      </c>
      <c r="T8358" t="s">
        <v>31626</v>
      </c>
    </row>
    <row r="8359" spans="1:20" customFormat="1" ht="15" x14ac:dyDescent="0.25">
      <c r="A8359" t="s">
        <v>35</v>
      </c>
      <c r="B8359" t="s">
        <v>61</v>
      </c>
      <c r="C8359" t="str">
        <f>"A0180994"</f>
        <v>A0180994</v>
      </c>
      <c r="D8359" t="s">
        <v>31627</v>
      </c>
      <c r="E8359" t="s">
        <v>27529</v>
      </c>
      <c r="F8359" t="s">
        <v>5772</v>
      </c>
      <c r="G8359" t="s">
        <v>99</v>
      </c>
      <c r="H8359">
        <v>14611</v>
      </c>
      <c r="I8359" t="s">
        <v>30</v>
      </c>
      <c r="J8359" t="s">
        <v>41</v>
      </c>
      <c r="K8359" t="s">
        <v>9956</v>
      </c>
      <c r="Q8359">
        <v>0</v>
      </c>
      <c r="R8359">
        <v>120</v>
      </c>
      <c r="S8359">
        <v>120</v>
      </c>
      <c r="T8359" t="s">
        <v>31628</v>
      </c>
    </row>
    <row r="8360" spans="1:20" customFormat="1" ht="15" x14ac:dyDescent="0.25">
      <c r="A8360" t="s">
        <v>35</v>
      </c>
      <c r="B8360" t="s">
        <v>61</v>
      </c>
      <c r="C8360" t="str">
        <f>"A0180993"</f>
        <v>A0180993</v>
      </c>
      <c r="D8360" t="s">
        <v>31629</v>
      </c>
      <c r="E8360" t="s">
        <v>31630</v>
      </c>
      <c r="F8360" t="s">
        <v>25510</v>
      </c>
      <c r="G8360" t="s">
        <v>99</v>
      </c>
      <c r="H8360" t="s">
        <v>31631</v>
      </c>
      <c r="I8360" t="s">
        <v>30</v>
      </c>
      <c r="J8360" t="s">
        <v>41</v>
      </c>
      <c r="K8360" t="s">
        <v>9956</v>
      </c>
      <c r="Q8360">
        <v>0</v>
      </c>
      <c r="R8360">
        <v>142</v>
      </c>
      <c r="S8360">
        <v>142</v>
      </c>
      <c r="T8360" t="s">
        <v>31632</v>
      </c>
    </row>
    <row r="8361" spans="1:20" customFormat="1" ht="15" x14ac:dyDescent="0.25">
      <c r="A8361" t="s">
        <v>35</v>
      </c>
      <c r="B8361" t="s">
        <v>61</v>
      </c>
      <c r="C8361" t="str">
        <f>"A0180992"</f>
        <v>A0180992</v>
      </c>
      <c r="D8361" t="s">
        <v>31633</v>
      </c>
      <c r="E8361" t="s">
        <v>31634</v>
      </c>
      <c r="F8361" t="s">
        <v>11035</v>
      </c>
      <c r="G8361" t="s">
        <v>71</v>
      </c>
      <c r="H8361" t="s">
        <v>31635</v>
      </c>
      <c r="I8361" t="s">
        <v>30</v>
      </c>
      <c r="J8361" t="s">
        <v>41</v>
      </c>
      <c r="K8361" t="s">
        <v>9956</v>
      </c>
      <c r="Q8361">
        <v>0</v>
      </c>
      <c r="R8361">
        <v>117</v>
      </c>
      <c r="S8361">
        <v>117</v>
      </c>
      <c r="T8361" t="s">
        <v>31636</v>
      </c>
    </row>
    <row r="8362" spans="1:20" customFormat="1" ht="15" x14ac:dyDescent="0.25">
      <c r="A8362" t="s">
        <v>35</v>
      </c>
      <c r="B8362" t="s">
        <v>61</v>
      </c>
      <c r="C8362" t="str">
        <f>"A0180991"</f>
        <v>A0180991</v>
      </c>
      <c r="D8362" t="s">
        <v>31637</v>
      </c>
      <c r="E8362" t="s">
        <v>31638</v>
      </c>
      <c r="F8362" t="s">
        <v>26693</v>
      </c>
      <c r="G8362" t="s">
        <v>161</v>
      </c>
      <c r="H8362">
        <v>56353</v>
      </c>
      <c r="I8362" t="s">
        <v>30</v>
      </c>
      <c r="J8362" t="s">
        <v>41</v>
      </c>
      <c r="K8362" t="s">
        <v>9956</v>
      </c>
      <c r="Q8362">
        <v>0</v>
      </c>
      <c r="R8362">
        <v>119</v>
      </c>
      <c r="S8362">
        <v>119</v>
      </c>
      <c r="T8362" t="s">
        <v>31639</v>
      </c>
    </row>
    <row r="8363" spans="1:20" customFormat="1" ht="15" x14ac:dyDescent="0.25">
      <c r="A8363" t="s">
        <v>35</v>
      </c>
      <c r="B8363" t="s">
        <v>61</v>
      </c>
      <c r="C8363" t="str">
        <f>"A0180990"</f>
        <v>A0180990</v>
      </c>
      <c r="D8363" t="s">
        <v>31640</v>
      </c>
      <c r="E8363" t="s">
        <v>31525</v>
      </c>
      <c r="F8363" t="s">
        <v>26786</v>
      </c>
      <c r="G8363" t="s">
        <v>161</v>
      </c>
      <c r="H8363" t="s">
        <v>31641</v>
      </c>
      <c r="I8363" t="s">
        <v>30</v>
      </c>
      <c r="J8363" t="s">
        <v>41</v>
      </c>
      <c r="K8363" t="s">
        <v>9956</v>
      </c>
      <c r="Q8363">
        <v>0</v>
      </c>
      <c r="R8363">
        <v>195</v>
      </c>
      <c r="S8363">
        <v>195</v>
      </c>
    </row>
    <row r="8364" spans="1:20" customFormat="1" ht="15" x14ac:dyDescent="0.25">
      <c r="A8364" t="s">
        <v>35</v>
      </c>
      <c r="B8364" t="s">
        <v>61</v>
      </c>
      <c r="C8364" t="str">
        <f>"A0180989"</f>
        <v>A0180989</v>
      </c>
      <c r="D8364" t="s">
        <v>31642</v>
      </c>
      <c r="E8364" t="s">
        <v>28829</v>
      </c>
      <c r="F8364" t="s">
        <v>10801</v>
      </c>
      <c r="G8364" t="s">
        <v>161</v>
      </c>
      <c r="H8364" t="s">
        <v>28830</v>
      </c>
      <c r="I8364" t="s">
        <v>30</v>
      </c>
      <c r="J8364" t="s">
        <v>41</v>
      </c>
      <c r="K8364" t="s">
        <v>9956</v>
      </c>
      <c r="Q8364">
        <v>0</v>
      </c>
      <c r="R8364">
        <v>154</v>
      </c>
      <c r="S8364">
        <v>154</v>
      </c>
      <c r="T8364" t="s">
        <v>28831</v>
      </c>
    </row>
    <row r="8365" spans="1:20" customFormat="1" ht="15" x14ac:dyDescent="0.25">
      <c r="A8365" t="s">
        <v>35</v>
      </c>
      <c r="B8365" t="s">
        <v>61</v>
      </c>
      <c r="C8365" t="str">
        <f>"A0180988"</f>
        <v>A0180988</v>
      </c>
      <c r="D8365" t="s">
        <v>31643</v>
      </c>
      <c r="E8365" t="s">
        <v>31644</v>
      </c>
      <c r="F8365" t="s">
        <v>31645</v>
      </c>
      <c r="G8365" t="s">
        <v>161</v>
      </c>
      <c r="H8365" t="s">
        <v>31646</v>
      </c>
      <c r="I8365" t="s">
        <v>30</v>
      </c>
      <c r="J8365" t="s">
        <v>41</v>
      </c>
      <c r="K8365" t="s">
        <v>9956</v>
      </c>
      <c r="Q8365">
        <v>0</v>
      </c>
      <c r="R8365">
        <v>0</v>
      </c>
      <c r="S8365">
        <v>0</v>
      </c>
      <c r="T8365" t="s">
        <v>31647</v>
      </c>
    </row>
    <row r="8366" spans="1:20" customFormat="1" ht="15" x14ac:dyDescent="0.25">
      <c r="A8366" t="s">
        <v>35</v>
      </c>
      <c r="B8366" t="s">
        <v>61</v>
      </c>
      <c r="C8366" t="str">
        <f>"A0180987"</f>
        <v>A0180987</v>
      </c>
      <c r="D8366" t="s">
        <v>31648</v>
      </c>
      <c r="E8366" t="s">
        <v>31649</v>
      </c>
      <c r="F8366" t="s">
        <v>26801</v>
      </c>
      <c r="G8366" t="s">
        <v>161</v>
      </c>
      <c r="H8366" t="s">
        <v>31650</v>
      </c>
      <c r="I8366" t="s">
        <v>30</v>
      </c>
      <c r="J8366" t="s">
        <v>41</v>
      </c>
      <c r="K8366" t="s">
        <v>9956</v>
      </c>
      <c r="Q8366">
        <v>0</v>
      </c>
      <c r="R8366">
        <v>80</v>
      </c>
      <c r="S8366">
        <v>80</v>
      </c>
      <c r="T8366" t="s">
        <v>31651</v>
      </c>
    </row>
    <row r="8367" spans="1:20" customFormat="1" ht="15" x14ac:dyDescent="0.25">
      <c r="A8367" t="s">
        <v>35</v>
      </c>
      <c r="B8367" t="s">
        <v>61</v>
      </c>
      <c r="C8367" t="str">
        <f>"A0180986"</f>
        <v>A0180986</v>
      </c>
      <c r="D8367" t="s">
        <v>31652</v>
      </c>
      <c r="E8367" t="s">
        <v>31653</v>
      </c>
      <c r="F8367" t="s">
        <v>5196</v>
      </c>
      <c r="G8367" t="s">
        <v>161</v>
      </c>
      <c r="H8367">
        <v>55804</v>
      </c>
      <c r="I8367" t="s">
        <v>30</v>
      </c>
      <c r="J8367" t="s">
        <v>41</v>
      </c>
      <c r="K8367" t="s">
        <v>9956</v>
      </c>
      <c r="Q8367">
        <v>0</v>
      </c>
      <c r="R8367">
        <v>60</v>
      </c>
      <c r="S8367">
        <v>60</v>
      </c>
      <c r="T8367" t="s">
        <v>31654</v>
      </c>
    </row>
    <row r="8368" spans="1:20" customFormat="1" ht="15" x14ac:dyDescent="0.25">
      <c r="A8368" t="s">
        <v>35</v>
      </c>
      <c r="B8368" t="s">
        <v>61</v>
      </c>
      <c r="C8368" t="str">
        <f>"A0180985"</f>
        <v>A0180985</v>
      </c>
      <c r="D8368" t="s">
        <v>31655</v>
      </c>
      <c r="E8368" t="s">
        <v>31656</v>
      </c>
      <c r="F8368" t="s">
        <v>14373</v>
      </c>
      <c r="G8368" t="s">
        <v>161</v>
      </c>
      <c r="H8368">
        <v>56470</v>
      </c>
      <c r="I8368" t="s">
        <v>30</v>
      </c>
      <c r="J8368" t="s">
        <v>41</v>
      </c>
      <c r="K8368" t="s">
        <v>9956</v>
      </c>
      <c r="Q8368">
        <v>0</v>
      </c>
      <c r="R8368">
        <v>0</v>
      </c>
      <c r="S8368">
        <v>0</v>
      </c>
      <c r="T8368" t="s">
        <v>31657</v>
      </c>
    </row>
    <row r="8369" spans="1:20" customFormat="1" ht="15" x14ac:dyDescent="0.25">
      <c r="A8369" t="s">
        <v>35</v>
      </c>
      <c r="B8369" t="s">
        <v>61</v>
      </c>
      <c r="C8369" t="str">
        <f>"A0180984"</f>
        <v>A0180984</v>
      </c>
      <c r="D8369" t="s">
        <v>31658</v>
      </c>
      <c r="E8369" t="s">
        <v>31659</v>
      </c>
      <c r="F8369" t="s">
        <v>19689</v>
      </c>
      <c r="G8369" t="s">
        <v>161</v>
      </c>
      <c r="H8369" t="s">
        <v>31660</v>
      </c>
      <c r="I8369" t="s">
        <v>30</v>
      </c>
      <c r="J8369" t="s">
        <v>41</v>
      </c>
      <c r="K8369" t="s">
        <v>9956</v>
      </c>
      <c r="Q8369">
        <v>0</v>
      </c>
      <c r="R8369">
        <v>147</v>
      </c>
      <c r="S8369">
        <v>147</v>
      </c>
      <c r="T8369" t="s">
        <v>31661</v>
      </c>
    </row>
    <row r="8370" spans="1:20" customFormat="1" ht="15" x14ac:dyDescent="0.25">
      <c r="A8370" t="s">
        <v>35</v>
      </c>
      <c r="B8370" t="s">
        <v>61</v>
      </c>
      <c r="C8370" t="str">
        <f>"A0180983"</f>
        <v>A0180983</v>
      </c>
      <c r="D8370" t="s">
        <v>31662</v>
      </c>
      <c r="E8370" t="s">
        <v>31663</v>
      </c>
      <c r="F8370" t="s">
        <v>31664</v>
      </c>
      <c r="G8370" t="s">
        <v>71</v>
      </c>
      <c r="H8370">
        <v>53969</v>
      </c>
      <c r="I8370" t="s">
        <v>30</v>
      </c>
      <c r="J8370" t="s">
        <v>41</v>
      </c>
      <c r="K8370" t="s">
        <v>9956</v>
      </c>
      <c r="Q8370">
        <v>0</v>
      </c>
      <c r="R8370">
        <v>117</v>
      </c>
      <c r="S8370">
        <v>117</v>
      </c>
      <c r="T8370" t="s">
        <v>31665</v>
      </c>
    </row>
    <row r="8371" spans="1:20" customFormat="1" ht="15" x14ac:dyDescent="0.25">
      <c r="A8371" t="s">
        <v>35</v>
      </c>
      <c r="B8371" t="s">
        <v>61</v>
      </c>
      <c r="C8371" t="str">
        <f>"A0180982"</f>
        <v>A0180982</v>
      </c>
      <c r="D8371" t="s">
        <v>31666</v>
      </c>
      <c r="E8371" t="s">
        <v>31667</v>
      </c>
      <c r="F8371" t="s">
        <v>21292</v>
      </c>
      <c r="G8371" t="s">
        <v>161</v>
      </c>
      <c r="H8371" t="s">
        <v>31668</v>
      </c>
      <c r="I8371" t="s">
        <v>30</v>
      </c>
      <c r="J8371" t="s">
        <v>41</v>
      </c>
      <c r="K8371" t="s">
        <v>9956</v>
      </c>
      <c r="Q8371">
        <v>0</v>
      </c>
      <c r="R8371">
        <v>76</v>
      </c>
      <c r="S8371">
        <v>76</v>
      </c>
      <c r="T8371" t="s">
        <v>31669</v>
      </c>
    </row>
    <row r="8372" spans="1:20" customFormat="1" ht="15" x14ac:dyDescent="0.25">
      <c r="A8372" t="s">
        <v>35</v>
      </c>
      <c r="B8372" t="s">
        <v>61</v>
      </c>
      <c r="C8372" t="str">
        <f>"A0180981"</f>
        <v>A0180981</v>
      </c>
      <c r="D8372" t="s">
        <v>31670</v>
      </c>
      <c r="E8372" t="s">
        <v>31671</v>
      </c>
      <c r="F8372" t="s">
        <v>4133</v>
      </c>
      <c r="G8372" t="s">
        <v>161</v>
      </c>
      <c r="H8372">
        <v>55912</v>
      </c>
      <c r="I8372" t="s">
        <v>30</v>
      </c>
      <c r="J8372" t="s">
        <v>41</v>
      </c>
      <c r="K8372" t="s">
        <v>9956</v>
      </c>
      <c r="Q8372">
        <v>0</v>
      </c>
      <c r="R8372">
        <v>153</v>
      </c>
      <c r="S8372">
        <v>153</v>
      </c>
      <c r="T8372" t="s">
        <v>31672</v>
      </c>
    </row>
    <row r="8373" spans="1:20" customFormat="1" ht="15" x14ac:dyDescent="0.25">
      <c r="A8373" t="s">
        <v>35</v>
      </c>
      <c r="B8373" t="s">
        <v>61</v>
      </c>
      <c r="C8373" t="str">
        <f>"A0180980"</f>
        <v>A0180980</v>
      </c>
      <c r="D8373" t="s">
        <v>31673</v>
      </c>
      <c r="E8373" t="s">
        <v>31674</v>
      </c>
      <c r="F8373" t="s">
        <v>10801</v>
      </c>
      <c r="G8373" t="s">
        <v>99</v>
      </c>
      <c r="H8373" t="s">
        <v>31675</v>
      </c>
      <c r="I8373" t="s">
        <v>30</v>
      </c>
      <c r="J8373" t="s">
        <v>41</v>
      </c>
      <c r="K8373" t="s">
        <v>9956</v>
      </c>
      <c r="Q8373">
        <v>0</v>
      </c>
      <c r="R8373">
        <v>120</v>
      </c>
      <c r="S8373">
        <v>120</v>
      </c>
      <c r="T8373" t="s">
        <v>31676</v>
      </c>
    </row>
    <row r="8374" spans="1:20" customFormat="1" ht="15" x14ac:dyDescent="0.25">
      <c r="A8374" t="s">
        <v>35</v>
      </c>
      <c r="B8374" t="s">
        <v>61</v>
      </c>
      <c r="C8374" t="str">
        <f>"A0180979"</f>
        <v>A0180979</v>
      </c>
      <c r="D8374" t="s">
        <v>31677</v>
      </c>
      <c r="E8374" t="s">
        <v>29238</v>
      </c>
      <c r="F8374" t="s">
        <v>19689</v>
      </c>
      <c r="G8374" t="s">
        <v>161</v>
      </c>
      <c r="H8374" t="s">
        <v>29239</v>
      </c>
      <c r="I8374" t="s">
        <v>30</v>
      </c>
      <c r="J8374" t="s">
        <v>41</v>
      </c>
      <c r="K8374" t="s">
        <v>9956</v>
      </c>
      <c r="Q8374">
        <v>0</v>
      </c>
      <c r="R8374">
        <v>122</v>
      </c>
      <c r="S8374">
        <v>122</v>
      </c>
      <c r="T8374" t="s">
        <v>29240</v>
      </c>
    </row>
    <row r="8375" spans="1:20" customFormat="1" ht="15" x14ac:dyDescent="0.25">
      <c r="A8375" t="s">
        <v>35</v>
      </c>
      <c r="B8375" t="s">
        <v>17792</v>
      </c>
      <c r="C8375" t="str">
        <f>"A0180978"</f>
        <v>A0180978</v>
      </c>
      <c r="D8375" t="s">
        <v>31678</v>
      </c>
      <c r="E8375" t="s">
        <v>30774</v>
      </c>
      <c r="F8375" t="s">
        <v>28496</v>
      </c>
      <c r="G8375" t="s">
        <v>161</v>
      </c>
      <c r="H8375">
        <v>553219620</v>
      </c>
      <c r="I8375" t="s">
        <v>30</v>
      </c>
      <c r="J8375" t="s">
        <v>41</v>
      </c>
      <c r="K8375" t="s">
        <v>9956</v>
      </c>
      <c r="Q8375">
        <v>0</v>
      </c>
      <c r="R8375">
        <v>66</v>
      </c>
      <c r="S8375">
        <v>66</v>
      </c>
      <c r="T8375" t="s">
        <v>31679</v>
      </c>
    </row>
    <row r="8376" spans="1:20" customFormat="1" ht="15" x14ac:dyDescent="0.25">
      <c r="A8376" t="s">
        <v>35</v>
      </c>
      <c r="B8376" t="s">
        <v>61</v>
      </c>
      <c r="C8376" t="str">
        <f>"A0180977"</f>
        <v>A0180977</v>
      </c>
      <c r="D8376" t="s">
        <v>31680</v>
      </c>
      <c r="E8376" t="s">
        <v>31681</v>
      </c>
      <c r="F8376" t="s">
        <v>31682</v>
      </c>
      <c r="G8376" t="s">
        <v>161</v>
      </c>
      <c r="H8376">
        <v>56150</v>
      </c>
      <c r="I8376" t="s">
        <v>30</v>
      </c>
      <c r="J8376" t="s">
        <v>41</v>
      </c>
      <c r="K8376" t="s">
        <v>9956</v>
      </c>
      <c r="Q8376">
        <v>0</v>
      </c>
      <c r="R8376">
        <v>54</v>
      </c>
      <c r="S8376">
        <v>54</v>
      </c>
      <c r="T8376" t="s">
        <v>31683</v>
      </c>
    </row>
    <row r="8377" spans="1:20" customFormat="1" ht="15" x14ac:dyDescent="0.25">
      <c r="A8377" t="s">
        <v>35</v>
      </c>
      <c r="B8377" t="s">
        <v>61</v>
      </c>
      <c r="C8377" t="str">
        <f>"A0180976"</f>
        <v>A0180976</v>
      </c>
      <c r="D8377" t="s">
        <v>31684</v>
      </c>
      <c r="E8377" t="s">
        <v>31685</v>
      </c>
      <c r="F8377" t="s">
        <v>21392</v>
      </c>
      <c r="G8377" t="s">
        <v>161</v>
      </c>
      <c r="H8377" t="s">
        <v>31686</v>
      </c>
      <c r="I8377" t="s">
        <v>30</v>
      </c>
      <c r="J8377" t="s">
        <v>41</v>
      </c>
      <c r="K8377" t="s">
        <v>9956</v>
      </c>
      <c r="Q8377">
        <v>0</v>
      </c>
      <c r="R8377">
        <v>128</v>
      </c>
      <c r="S8377">
        <v>128</v>
      </c>
      <c r="T8377" t="s">
        <v>31687</v>
      </c>
    </row>
    <row r="8378" spans="1:20" customFormat="1" ht="15" x14ac:dyDescent="0.25">
      <c r="A8378" t="s">
        <v>35</v>
      </c>
      <c r="B8378" t="s">
        <v>61</v>
      </c>
      <c r="C8378" t="str">
        <f>"A0180975"</f>
        <v>A0180975</v>
      </c>
      <c r="D8378" t="s">
        <v>31688</v>
      </c>
      <c r="E8378" t="s">
        <v>31689</v>
      </c>
      <c r="F8378" t="s">
        <v>19689</v>
      </c>
      <c r="G8378" t="s">
        <v>161</v>
      </c>
      <c r="H8378" t="s">
        <v>31690</v>
      </c>
      <c r="I8378" t="s">
        <v>30</v>
      </c>
      <c r="J8378" t="s">
        <v>41</v>
      </c>
      <c r="K8378" t="s">
        <v>9956</v>
      </c>
      <c r="Q8378">
        <v>0</v>
      </c>
      <c r="R8378">
        <v>130</v>
      </c>
      <c r="S8378">
        <v>130</v>
      </c>
      <c r="T8378" t="s">
        <v>31691</v>
      </c>
    </row>
    <row r="8379" spans="1:20" customFormat="1" ht="15" x14ac:dyDescent="0.25">
      <c r="A8379" t="s">
        <v>35</v>
      </c>
      <c r="B8379" t="s">
        <v>61</v>
      </c>
      <c r="C8379" t="str">
        <f>"A0180974"</f>
        <v>A0180974</v>
      </c>
      <c r="D8379" t="s">
        <v>31692</v>
      </c>
      <c r="E8379" t="s">
        <v>31693</v>
      </c>
      <c r="F8379" t="s">
        <v>2743</v>
      </c>
      <c r="G8379" t="s">
        <v>338</v>
      </c>
      <c r="H8379" t="s">
        <v>31694</v>
      </c>
      <c r="I8379" t="s">
        <v>30</v>
      </c>
      <c r="J8379" t="s">
        <v>41</v>
      </c>
      <c r="K8379" t="s">
        <v>9956</v>
      </c>
      <c r="Q8379">
        <v>0</v>
      </c>
      <c r="R8379">
        <v>64</v>
      </c>
      <c r="S8379">
        <v>64</v>
      </c>
      <c r="T8379" t="s">
        <v>31695</v>
      </c>
    </row>
    <row r="8380" spans="1:20" customFormat="1" ht="15" x14ac:dyDescent="0.25">
      <c r="A8380" t="s">
        <v>35</v>
      </c>
      <c r="B8380" t="s">
        <v>61</v>
      </c>
      <c r="C8380" t="str">
        <f>"A0180973"</f>
        <v>A0180973</v>
      </c>
      <c r="D8380" t="s">
        <v>31696</v>
      </c>
      <c r="E8380" t="s">
        <v>31697</v>
      </c>
      <c r="F8380" t="s">
        <v>15552</v>
      </c>
      <c r="G8380" t="s">
        <v>161</v>
      </c>
      <c r="H8380">
        <v>55355</v>
      </c>
      <c r="I8380" t="s">
        <v>30</v>
      </c>
      <c r="J8380" t="s">
        <v>41</v>
      </c>
      <c r="K8380" t="s">
        <v>9956</v>
      </c>
      <c r="Q8380">
        <v>0</v>
      </c>
      <c r="R8380">
        <v>52</v>
      </c>
      <c r="S8380">
        <v>52</v>
      </c>
      <c r="T8380" t="s">
        <v>31698</v>
      </c>
    </row>
    <row r="8381" spans="1:20" customFormat="1" ht="15" x14ac:dyDescent="0.25">
      <c r="A8381" t="s">
        <v>35</v>
      </c>
      <c r="B8381" t="s">
        <v>61</v>
      </c>
      <c r="C8381" t="str">
        <f>"A0180972"</f>
        <v>A0180972</v>
      </c>
      <c r="D8381" t="s">
        <v>31699</v>
      </c>
      <c r="E8381" t="s">
        <v>31700</v>
      </c>
      <c r="F8381" t="s">
        <v>29478</v>
      </c>
      <c r="G8381" t="s">
        <v>161</v>
      </c>
      <c r="H8381" t="s">
        <v>29479</v>
      </c>
      <c r="I8381" t="s">
        <v>30</v>
      </c>
      <c r="J8381" t="s">
        <v>41</v>
      </c>
      <c r="K8381" t="s">
        <v>9956</v>
      </c>
      <c r="Q8381">
        <v>0</v>
      </c>
      <c r="R8381">
        <v>64</v>
      </c>
      <c r="S8381">
        <v>64</v>
      </c>
      <c r="T8381" t="s">
        <v>29480</v>
      </c>
    </row>
    <row r="8382" spans="1:20" customFormat="1" ht="15" x14ac:dyDescent="0.25">
      <c r="A8382" t="s">
        <v>35</v>
      </c>
      <c r="B8382" t="s">
        <v>61</v>
      </c>
      <c r="C8382" t="str">
        <f>"A0180971"</f>
        <v>A0180971</v>
      </c>
      <c r="D8382" t="s">
        <v>31701</v>
      </c>
      <c r="E8382" t="s">
        <v>31702</v>
      </c>
      <c r="F8382" t="s">
        <v>11602</v>
      </c>
      <c r="G8382" t="s">
        <v>71</v>
      </c>
      <c r="H8382">
        <v>54601</v>
      </c>
      <c r="I8382" t="s">
        <v>30</v>
      </c>
      <c r="J8382" t="s">
        <v>41</v>
      </c>
      <c r="K8382" t="s">
        <v>9956</v>
      </c>
      <c r="Q8382">
        <v>0</v>
      </c>
      <c r="R8382">
        <v>0</v>
      </c>
      <c r="S8382">
        <v>0</v>
      </c>
      <c r="T8382" t="s">
        <v>31703</v>
      </c>
    </row>
    <row r="8383" spans="1:20" customFormat="1" ht="15" x14ac:dyDescent="0.25">
      <c r="A8383" t="s">
        <v>35</v>
      </c>
      <c r="B8383" t="s">
        <v>61</v>
      </c>
      <c r="C8383" t="str">
        <f>"A0180970"</f>
        <v>A0180970</v>
      </c>
      <c r="D8383" t="s">
        <v>31704</v>
      </c>
      <c r="E8383" t="s">
        <v>31705</v>
      </c>
      <c r="F8383" t="s">
        <v>11602</v>
      </c>
      <c r="G8383" t="s">
        <v>71</v>
      </c>
      <c r="H8383" t="s">
        <v>31706</v>
      </c>
      <c r="I8383" t="s">
        <v>30</v>
      </c>
      <c r="J8383" t="s">
        <v>41</v>
      </c>
      <c r="K8383" t="s">
        <v>9956</v>
      </c>
      <c r="Q8383">
        <v>0</v>
      </c>
      <c r="R8383">
        <v>0</v>
      </c>
      <c r="S8383">
        <v>0</v>
      </c>
      <c r="T8383" t="s">
        <v>31703</v>
      </c>
    </row>
    <row r="8384" spans="1:20" customFormat="1" ht="15" x14ac:dyDescent="0.25">
      <c r="A8384" t="s">
        <v>35</v>
      </c>
      <c r="B8384" t="s">
        <v>61</v>
      </c>
      <c r="C8384" t="str">
        <f>"A0180969"</f>
        <v>A0180969</v>
      </c>
      <c r="D8384" t="s">
        <v>31707</v>
      </c>
      <c r="E8384" t="s">
        <v>31708</v>
      </c>
      <c r="F8384" t="s">
        <v>25472</v>
      </c>
      <c r="G8384" t="s">
        <v>161</v>
      </c>
      <c r="H8384" t="s">
        <v>31709</v>
      </c>
      <c r="I8384" t="s">
        <v>30</v>
      </c>
      <c r="J8384" t="s">
        <v>41</v>
      </c>
      <c r="K8384" t="s">
        <v>9956</v>
      </c>
      <c r="Q8384">
        <v>0</v>
      </c>
      <c r="R8384">
        <v>61</v>
      </c>
      <c r="S8384">
        <v>61</v>
      </c>
      <c r="T8384" t="s">
        <v>31710</v>
      </c>
    </row>
    <row r="8385" spans="1:20" customFormat="1" ht="15" x14ac:dyDescent="0.25">
      <c r="A8385" t="s">
        <v>35</v>
      </c>
      <c r="B8385" t="s">
        <v>21059</v>
      </c>
      <c r="C8385" t="str">
        <f>"A0180968"</f>
        <v>A0180968</v>
      </c>
      <c r="D8385" t="s">
        <v>31711</v>
      </c>
      <c r="E8385" t="s">
        <v>31712</v>
      </c>
      <c r="F8385" t="s">
        <v>31713</v>
      </c>
      <c r="G8385" t="s">
        <v>899</v>
      </c>
      <c r="H8385" t="s">
        <v>31714</v>
      </c>
      <c r="I8385" t="s">
        <v>30</v>
      </c>
      <c r="J8385" t="s">
        <v>41</v>
      </c>
      <c r="K8385" t="s">
        <v>9956</v>
      </c>
      <c r="Q8385">
        <v>0</v>
      </c>
      <c r="R8385">
        <v>84</v>
      </c>
      <c r="S8385">
        <v>84</v>
      </c>
      <c r="T8385" t="s">
        <v>31715</v>
      </c>
    </row>
    <row r="8386" spans="1:20" customFormat="1" ht="15" x14ac:dyDescent="0.25">
      <c r="A8386" t="s">
        <v>35</v>
      </c>
      <c r="B8386" t="s">
        <v>61</v>
      </c>
      <c r="C8386" t="str">
        <f>"A0180967"</f>
        <v>A0180967</v>
      </c>
      <c r="D8386" t="s">
        <v>31716</v>
      </c>
      <c r="E8386" t="s">
        <v>29407</v>
      </c>
      <c r="F8386" t="s">
        <v>29252</v>
      </c>
      <c r="G8386" t="s">
        <v>161</v>
      </c>
      <c r="H8386">
        <v>553182072</v>
      </c>
      <c r="I8386" t="s">
        <v>30</v>
      </c>
      <c r="J8386" t="s">
        <v>41</v>
      </c>
      <c r="K8386" t="s">
        <v>9956</v>
      </c>
      <c r="Q8386">
        <v>0</v>
      </c>
      <c r="R8386">
        <v>61</v>
      </c>
      <c r="S8386">
        <v>61</v>
      </c>
      <c r="T8386" t="s">
        <v>31717</v>
      </c>
    </row>
    <row r="8387" spans="1:20" customFormat="1" ht="15" x14ac:dyDescent="0.25">
      <c r="A8387" t="s">
        <v>35</v>
      </c>
      <c r="B8387" t="s">
        <v>61</v>
      </c>
      <c r="C8387" t="str">
        <f>"A0180966"</f>
        <v>A0180966</v>
      </c>
      <c r="D8387" t="s">
        <v>31718</v>
      </c>
      <c r="E8387" t="s">
        <v>31719</v>
      </c>
      <c r="F8387" t="s">
        <v>29483</v>
      </c>
      <c r="G8387" t="s">
        <v>840</v>
      </c>
      <c r="H8387" t="s">
        <v>31720</v>
      </c>
      <c r="I8387" t="s">
        <v>30</v>
      </c>
      <c r="J8387" t="s">
        <v>41</v>
      </c>
      <c r="K8387" t="s">
        <v>9956</v>
      </c>
      <c r="Q8387">
        <v>0</v>
      </c>
      <c r="R8387">
        <v>1</v>
      </c>
      <c r="S8387">
        <v>1</v>
      </c>
      <c r="T8387" t="s">
        <v>31721</v>
      </c>
    </row>
    <row r="8388" spans="1:20" customFormat="1" ht="15" x14ac:dyDescent="0.25">
      <c r="A8388" t="s">
        <v>35</v>
      </c>
      <c r="B8388" t="s">
        <v>61</v>
      </c>
      <c r="C8388" t="str">
        <f>"A0180965"</f>
        <v>A0180965</v>
      </c>
      <c r="D8388" t="s">
        <v>31722</v>
      </c>
      <c r="E8388" t="s">
        <v>31723</v>
      </c>
      <c r="F8388" t="s">
        <v>12532</v>
      </c>
      <c r="G8388" t="s">
        <v>840</v>
      </c>
      <c r="H8388">
        <v>41339</v>
      </c>
      <c r="I8388" t="s">
        <v>30</v>
      </c>
      <c r="J8388" t="s">
        <v>41</v>
      </c>
      <c r="K8388" t="s">
        <v>9956</v>
      </c>
      <c r="Q8388">
        <v>0</v>
      </c>
      <c r="R8388">
        <v>120</v>
      </c>
      <c r="S8388">
        <v>120</v>
      </c>
      <c r="T8388" t="s">
        <v>31724</v>
      </c>
    </row>
    <row r="8389" spans="1:20" customFormat="1" ht="15" x14ac:dyDescent="0.25">
      <c r="A8389" t="s">
        <v>35</v>
      </c>
      <c r="B8389" t="s">
        <v>61</v>
      </c>
      <c r="C8389" t="str">
        <f>"A0180964"</f>
        <v>A0180964</v>
      </c>
      <c r="D8389" t="s">
        <v>31725</v>
      </c>
      <c r="E8389" t="s">
        <v>31726</v>
      </c>
      <c r="F8389" t="s">
        <v>31727</v>
      </c>
      <c r="G8389" t="s">
        <v>840</v>
      </c>
      <c r="H8389" t="s">
        <v>31728</v>
      </c>
      <c r="I8389" t="s">
        <v>30</v>
      </c>
      <c r="J8389" t="s">
        <v>41</v>
      </c>
      <c r="K8389" t="s">
        <v>9956</v>
      </c>
      <c r="Q8389">
        <v>0</v>
      </c>
      <c r="R8389">
        <v>104</v>
      </c>
      <c r="S8389">
        <v>104</v>
      </c>
      <c r="T8389" t="s">
        <v>31729</v>
      </c>
    </row>
    <row r="8390" spans="1:20" customFormat="1" ht="15" x14ac:dyDescent="0.25">
      <c r="A8390" t="s">
        <v>35</v>
      </c>
      <c r="B8390" t="s">
        <v>61</v>
      </c>
      <c r="C8390" t="str">
        <f>"A0180963"</f>
        <v>A0180963</v>
      </c>
      <c r="D8390" t="s">
        <v>31730</v>
      </c>
      <c r="E8390" t="s">
        <v>31731</v>
      </c>
      <c r="F8390" t="s">
        <v>31732</v>
      </c>
      <c r="G8390" t="s">
        <v>899</v>
      </c>
      <c r="H8390" t="s">
        <v>31733</v>
      </c>
      <c r="I8390" t="s">
        <v>30</v>
      </c>
      <c r="J8390" t="s">
        <v>41</v>
      </c>
      <c r="K8390" t="s">
        <v>9956</v>
      </c>
      <c r="Q8390">
        <v>0</v>
      </c>
      <c r="R8390">
        <v>123</v>
      </c>
      <c r="S8390">
        <v>123</v>
      </c>
      <c r="T8390" t="s">
        <v>31734</v>
      </c>
    </row>
    <row r="8391" spans="1:20" customFormat="1" ht="15" x14ac:dyDescent="0.25">
      <c r="A8391" t="s">
        <v>35</v>
      </c>
      <c r="B8391" t="s">
        <v>61</v>
      </c>
      <c r="C8391" t="str">
        <f>"A0180962"</f>
        <v>A0180962</v>
      </c>
      <c r="D8391" t="s">
        <v>31735</v>
      </c>
      <c r="E8391" t="s">
        <v>29525</v>
      </c>
      <c r="F8391" t="s">
        <v>14745</v>
      </c>
      <c r="G8391" t="s">
        <v>899</v>
      </c>
      <c r="H8391" t="s">
        <v>31736</v>
      </c>
      <c r="I8391" t="s">
        <v>30</v>
      </c>
      <c r="J8391" t="s">
        <v>41</v>
      </c>
      <c r="K8391" t="s">
        <v>9956</v>
      </c>
      <c r="Q8391">
        <v>0</v>
      </c>
      <c r="R8391">
        <v>108</v>
      </c>
      <c r="S8391">
        <v>108</v>
      </c>
      <c r="T8391" t="s">
        <v>31737</v>
      </c>
    </row>
    <row r="8392" spans="1:20" customFormat="1" ht="15" x14ac:dyDescent="0.25">
      <c r="A8392" t="s">
        <v>35</v>
      </c>
      <c r="B8392" t="s">
        <v>61</v>
      </c>
      <c r="C8392" t="str">
        <f>"A0180961"</f>
        <v>A0180961</v>
      </c>
      <c r="D8392" t="s">
        <v>31738</v>
      </c>
      <c r="E8392" t="s">
        <v>31739</v>
      </c>
      <c r="F8392" t="s">
        <v>898</v>
      </c>
      <c r="G8392" t="s">
        <v>899</v>
      </c>
      <c r="H8392">
        <v>1605</v>
      </c>
      <c r="I8392" t="s">
        <v>30</v>
      </c>
      <c r="J8392" t="s">
        <v>41</v>
      </c>
      <c r="K8392" t="s">
        <v>9956</v>
      </c>
      <c r="Q8392">
        <v>0</v>
      </c>
      <c r="R8392">
        <v>123</v>
      </c>
      <c r="S8392">
        <v>123</v>
      </c>
      <c r="T8392" t="s">
        <v>31740</v>
      </c>
    </row>
    <row r="8393" spans="1:20" customFormat="1" ht="15" x14ac:dyDescent="0.25">
      <c r="A8393" t="s">
        <v>35</v>
      </c>
      <c r="B8393" t="s">
        <v>61</v>
      </c>
      <c r="C8393" t="str">
        <f>"A0180960"</f>
        <v>A0180960</v>
      </c>
      <c r="D8393" t="s">
        <v>31741</v>
      </c>
      <c r="E8393" t="s">
        <v>31742</v>
      </c>
      <c r="F8393" t="s">
        <v>31743</v>
      </c>
      <c r="G8393" t="s">
        <v>161</v>
      </c>
      <c r="H8393">
        <v>55787</v>
      </c>
      <c r="I8393" t="s">
        <v>30</v>
      </c>
      <c r="J8393" t="s">
        <v>41</v>
      </c>
      <c r="K8393" t="s">
        <v>9956</v>
      </c>
      <c r="Q8393">
        <v>0</v>
      </c>
      <c r="R8393">
        <v>72</v>
      </c>
      <c r="S8393">
        <v>72</v>
      </c>
      <c r="T8393" t="s">
        <v>31744</v>
      </c>
    </row>
    <row r="8394" spans="1:20" customFormat="1" ht="15" x14ac:dyDescent="0.25">
      <c r="A8394" t="s">
        <v>35</v>
      </c>
      <c r="B8394" t="s">
        <v>61</v>
      </c>
      <c r="C8394" t="str">
        <f>"A0180959"</f>
        <v>A0180959</v>
      </c>
      <c r="D8394" t="s">
        <v>31745</v>
      </c>
      <c r="E8394" t="s">
        <v>31746</v>
      </c>
      <c r="F8394" t="s">
        <v>31747</v>
      </c>
      <c r="G8394" t="s">
        <v>161</v>
      </c>
      <c r="H8394">
        <v>553874578</v>
      </c>
      <c r="I8394" t="s">
        <v>30</v>
      </c>
      <c r="J8394" t="s">
        <v>41</v>
      </c>
      <c r="K8394" t="s">
        <v>9956</v>
      </c>
      <c r="Q8394">
        <v>0</v>
      </c>
      <c r="R8394">
        <v>0</v>
      </c>
      <c r="S8394">
        <v>0</v>
      </c>
      <c r="T8394" t="s">
        <v>31748</v>
      </c>
    </row>
    <row r="8395" spans="1:20" customFormat="1" ht="15" x14ac:dyDescent="0.25">
      <c r="A8395" t="s">
        <v>35</v>
      </c>
      <c r="B8395" t="s">
        <v>61</v>
      </c>
      <c r="C8395" t="str">
        <f>"A0180958"</f>
        <v>A0180958</v>
      </c>
      <c r="D8395" t="s">
        <v>31749</v>
      </c>
      <c r="E8395" t="s">
        <v>31750</v>
      </c>
      <c r="F8395" t="s">
        <v>21284</v>
      </c>
      <c r="G8395" t="s">
        <v>161</v>
      </c>
      <c r="H8395" t="s">
        <v>31751</v>
      </c>
      <c r="I8395" t="s">
        <v>30</v>
      </c>
      <c r="J8395" t="s">
        <v>41</v>
      </c>
      <c r="K8395" t="s">
        <v>9956</v>
      </c>
      <c r="Q8395">
        <v>0</v>
      </c>
      <c r="R8395">
        <v>64</v>
      </c>
      <c r="S8395">
        <v>64</v>
      </c>
      <c r="T8395" t="s">
        <v>31752</v>
      </c>
    </row>
    <row r="8396" spans="1:20" customFormat="1" ht="15" x14ac:dyDescent="0.25">
      <c r="A8396" t="s">
        <v>35</v>
      </c>
      <c r="B8396" t="s">
        <v>61</v>
      </c>
      <c r="C8396" t="str">
        <f>"A0180957"</f>
        <v>A0180957</v>
      </c>
      <c r="D8396" t="s">
        <v>31753</v>
      </c>
      <c r="E8396" t="s">
        <v>31754</v>
      </c>
      <c r="F8396" t="s">
        <v>31755</v>
      </c>
      <c r="G8396" t="s">
        <v>338</v>
      </c>
      <c r="H8396" t="s">
        <v>31756</v>
      </c>
      <c r="I8396" t="s">
        <v>30</v>
      </c>
      <c r="J8396" t="s">
        <v>41</v>
      </c>
      <c r="K8396" t="s">
        <v>9956</v>
      </c>
      <c r="Q8396">
        <v>0</v>
      </c>
      <c r="R8396">
        <v>78</v>
      </c>
      <c r="S8396">
        <v>78</v>
      </c>
      <c r="T8396" t="s">
        <v>31757</v>
      </c>
    </row>
    <row r="8397" spans="1:20" customFormat="1" ht="15" x14ac:dyDescent="0.25">
      <c r="A8397" t="s">
        <v>35</v>
      </c>
      <c r="B8397" t="s">
        <v>61</v>
      </c>
      <c r="C8397" t="str">
        <f>"A0180956"</f>
        <v>A0180956</v>
      </c>
      <c r="D8397" t="s">
        <v>31758</v>
      </c>
      <c r="E8397" t="s">
        <v>31759</v>
      </c>
      <c r="F8397" t="s">
        <v>27137</v>
      </c>
      <c r="G8397" t="s">
        <v>615</v>
      </c>
      <c r="H8397" t="s">
        <v>31760</v>
      </c>
      <c r="I8397" t="s">
        <v>30</v>
      </c>
      <c r="J8397" t="s">
        <v>41</v>
      </c>
      <c r="K8397" t="s">
        <v>9956</v>
      </c>
      <c r="Q8397">
        <v>0</v>
      </c>
      <c r="R8397">
        <v>40</v>
      </c>
      <c r="S8397">
        <v>40</v>
      </c>
      <c r="T8397" t="s">
        <v>31761</v>
      </c>
    </row>
    <row r="8398" spans="1:20" customFormat="1" ht="15" x14ac:dyDescent="0.25">
      <c r="A8398" t="s">
        <v>35</v>
      </c>
      <c r="B8398" t="s">
        <v>61</v>
      </c>
      <c r="C8398" t="str">
        <f>"A0180955"</f>
        <v>A0180955</v>
      </c>
      <c r="D8398" t="s">
        <v>31762</v>
      </c>
      <c r="E8398" t="s">
        <v>31763</v>
      </c>
      <c r="F8398" t="s">
        <v>10889</v>
      </c>
      <c r="G8398" t="s">
        <v>615</v>
      </c>
      <c r="H8398" t="s">
        <v>31764</v>
      </c>
      <c r="I8398" t="s">
        <v>30</v>
      </c>
      <c r="J8398" t="s">
        <v>41</v>
      </c>
      <c r="K8398" t="s">
        <v>9956</v>
      </c>
      <c r="Q8398">
        <v>0</v>
      </c>
      <c r="R8398">
        <v>0</v>
      </c>
      <c r="S8398">
        <v>0</v>
      </c>
      <c r="T8398" t="s">
        <v>31765</v>
      </c>
    </row>
    <row r="8399" spans="1:20" customFormat="1" ht="15" x14ac:dyDescent="0.25">
      <c r="A8399" t="s">
        <v>35</v>
      </c>
      <c r="B8399" t="s">
        <v>61</v>
      </c>
      <c r="C8399" t="str">
        <f>"A0180954"</f>
        <v>A0180954</v>
      </c>
      <c r="D8399" t="s">
        <v>31766</v>
      </c>
      <c r="E8399" t="s">
        <v>31767</v>
      </c>
      <c r="F8399" t="s">
        <v>31768</v>
      </c>
      <c r="G8399" t="s">
        <v>615</v>
      </c>
      <c r="H8399" t="s">
        <v>31769</v>
      </c>
      <c r="I8399" t="s">
        <v>30</v>
      </c>
      <c r="J8399" t="s">
        <v>41</v>
      </c>
      <c r="K8399" t="s">
        <v>9956</v>
      </c>
      <c r="Q8399">
        <v>0</v>
      </c>
      <c r="R8399">
        <v>48</v>
      </c>
      <c r="S8399">
        <v>48</v>
      </c>
      <c r="T8399" t="s">
        <v>31770</v>
      </c>
    </row>
    <row r="8400" spans="1:20" customFormat="1" ht="15" x14ac:dyDescent="0.25">
      <c r="A8400" t="s">
        <v>35</v>
      </c>
      <c r="B8400" t="s">
        <v>61</v>
      </c>
      <c r="C8400" t="str">
        <f>"A0180953"</f>
        <v>A0180953</v>
      </c>
      <c r="D8400" t="s">
        <v>31771</v>
      </c>
      <c r="E8400" t="s">
        <v>31772</v>
      </c>
      <c r="F8400" t="s">
        <v>4269</v>
      </c>
      <c r="G8400" t="s">
        <v>615</v>
      </c>
      <c r="H8400" t="s">
        <v>31773</v>
      </c>
      <c r="I8400" t="s">
        <v>30</v>
      </c>
      <c r="J8400" t="s">
        <v>41</v>
      </c>
      <c r="K8400" t="s">
        <v>9956</v>
      </c>
      <c r="Q8400">
        <v>0</v>
      </c>
      <c r="R8400">
        <v>82</v>
      </c>
      <c r="S8400">
        <v>82</v>
      </c>
      <c r="T8400" t="s">
        <v>31774</v>
      </c>
    </row>
    <row r="8401" spans="1:20" customFormat="1" ht="15" x14ac:dyDescent="0.25">
      <c r="A8401" t="s">
        <v>35</v>
      </c>
      <c r="B8401" t="s">
        <v>61</v>
      </c>
      <c r="C8401" t="str">
        <f>"A0180952"</f>
        <v>A0180952</v>
      </c>
      <c r="D8401" t="s">
        <v>31775</v>
      </c>
      <c r="E8401" t="s">
        <v>31776</v>
      </c>
      <c r="F8401" t="s">
        <v>31777</v>
      </c>
      <c r="G8401" t="s">
        <v>615</v>
      </c>
      <c r="H8401" t="s">
        <v>31778</v>
      </c>
      <c r="I8401" t="s">
        <v>30</v>
      </c>
      <c r="J8401" t="s">
        <v>41</v>
      </c>
      <c r="K8401" t="s">
        <v>9956</v>
      </c>
      <c r="Q8401">
        <v>0</v>
      </c>
      <c r="R8401">
        <v>0</v>
      </c>
      <c r="S8401">
        <v>0</v>
      </c>
      <c r="T8401" t="s">
        <v>31779</v>
      </c>
    </row>
    <row r="8402" spans="1:20" customFormat="1" ht="15" x14ac:dyDescent="0.25">
      <c r="A8402" t="s">
        <v>35</v>
      </c>
      <c r="B8402" t="s">
        <v>61</v>
      </c>
      <c r="C8402" t="str">
        <f>"A0180951"</f>
        <v>A0180951</v>
      </c>
      <c r="D8402" t="s">
        <v>31780</v>
      </c>
      <c r="E8402" t="s">
        <v>31781</v>
      </c>
      <c r="F8402" t="s">
        <v>31782</v>
      </c>
      <c r="G8402" t="s">
        <v>99</v>
      </c>
      <c r="H8402" t="s">
        <v>31783</v>
      </c>
      <c r="I8402" t="s">
        <v>30</v>
      </c>
      <c r="J8402" t="s">
        <v>41</v>
      </c>
      <c r="K8402" t="s">
        <v>9956</v>
      </c>
      <c r="Q8402">
        <v>0</v>
      </c>
      <c r="R8402">
        <v>160</v>
      </c>
      <c r="S8402">
        <v>160</v>
      </c>
      <c r="T8402" t="s">
        <v>31784</v>
      </c>
    </row>
    <row r="8403" spans="1:20" customFormat="1" ht="15" x14ac:dyDescent="0.25">
      <c r="A8403" t="s">
        <v>35</v>
      </c>
      <c r="B8403" t="s">
        <v>61</v>
      </c>
      <c r="C8403" t="str">
        <f>"A0180950"</f>
        <v>A0180950</v>
      </c>
      <c r="D8403" t="s">
        <v>31785</v>
      </c>
      <c r="E8403" t="s">
        <v>31786</v>
      </c>
      <c r="F8403" t="s">
        <v>31787</v>
      </c>
      <c r="G8403" t="s">
        <v>899</v>
      </c>
      <c r="H8403">
        <v>1902</v>
      </c>
      <c r="I8403" t="s">
        <v>30</v>
      </c>
      <c r="J8403" t="s">
        <v>41</v>
      </c>
      <c r="K8403" t="s">
        <v>9956</v>
      </c>
      <c r="Q8403">
        <v>0</v>
      </c>
      <c r="R8403">
        <v>55</v>
      </c>
      <c r="S8403">
        <v>55</v>
      </c>
      <c r="T8403" t="s">
        <v>31788</v>
      </c>
    </row>
    <row r="8404" spans="1:20" customFormat="1" ht="15" x14ac:dyDescent="0.25">
      <c r="A8404" t="s">
        <v>35</v>
      </c>
      <c r="B8404" t="s">
        <v>61</v>
      </c>
      <c r="C8404" t="str">
        <f>"A0180949"</f>
        <v>A0180949</v>
      </c>
      <c r="D8404" t="s">
        <v>31789</v>
      </c>
      <c r="E8404" t="s">
        <v>28845</v>
      </c>
      <c r="F8404" t="s">
        <v>23825</v>
      </c>
      <c r="G8404" t="s">
        <v>99</v>
      </c>
      <c r="H8404" t="s">
        <v>28846</v>
      </c>
      <c r="I8404" t="s">
        <v>30</v>
      </c>
      <c r="J8404" t="s">
        <v>41</v>
      </c>
      <c r="K8404" t="s">
        <v>9956</v>
      </c>
      <c r="Q8404">
        <v>0</v>
      </c>
      <c r="R8404">
        <v>22</v>
      </c>
      <c r="S8404">
        <v>22</v>
      </c>
      <c r="T8404" t="s">
        <v>28847</v>
      </c>
    </row>
    <row r="8405" spans="1:20" customFormat="1" ht="15" x14ac:dyDescent="0.25">
      <c r="A8405" t="s">
        <v>35</v>
      </c>
      <c r="B8405" t="s">
        <v>61</v>
      </c>
      <c r="C8405" t="str">
        <f>"A0180948"</f>
        <v>A0180948</v>
      </c>
      <c r="D8405" t="s">
        <v>31790</v>
      </c>
      <c r="E8405" t="s">
        <v>31791</v>
      </c>
      <c r="F8405" t="s">
        <v>10801</v>
      </c>
      <c r="G8405" t="s">
        <v>99</v>
      </c>
      <c r="H8405" t="s">
        <v>31792</v>
      </c>
      <c r="I8405" t="s">
        <v>30</v>
      </c>
      <c r="J8405" t="s">
        <v>41</v>
      </c>
      <c r="K8405" t="s">
        <v>9956</v>
      </c>
      <c r="Q8405">
        <v>0</v>
      </c>
      <c r="R8405">
        <v>84</v>
      </c>
      <c r="S8405">
        <v>84</v>
      </c>
      <c r="T8405" t="s">
        <v>31793</v>
      </c>
    </row>
    <row r="8406" spans="1:20" customFormat="1" ht="15" x14ac:dyDescent="0.25">
      <c r="A8406" t="s">
        <v>35</v>
      </c>
      <c r="B8406" t="s">
        <v>61</v>
      </c>
      <c r="C8406" t="str">
        <f>"A0180947"</f>
        <v>A0180947</v>
      </c>
      <c r="D8406" t="s">
        <v>31794</v>
      </c>
      <c r="E8406" t="s">
        <v>28845</v>
      </c>
      <c r="F8406" t="s">
        <v>23825</v>
      </c>
      <c r="G8406" t="s">
        <v>99</v>
      </c>
      <c r="H8406" t="s">
        <v>28846</v>
      </c>
      <c r="I8406" t="s">
        <v>30</v>
      </c>
      <c r="J8406" t="s">
        <v>41</v>
      </c>
      <c r="K8406" t="s">
        <v>9956</v>
      </c>
      <c r="Q8406">
        <v>0</v>
      </c>
      <c r="R8406">
        <v>250</v>
      </c>
      <c r="S8406">
        <v>250</v>
      </c>
      <c r="T8406" t="s">
        <v>31795</v>
      </c>
    </row>
    <row r="8407" spans="1:20" customFormat="1" ht="15" x14ac:dyDescent="0.25">
      <c r="A8407" t="s">
        <v>35</v>
      </c>
      <c r="B8407" t="s">
        <v>61</v>
      </c>
      <c r="C8407" t="str">
        <f>"A0180946"</f>
        <v>A0180946</v>
      </c>
      <c r="D8407" t="s">
        <v>31796</v>
      </c>
      <c r="E8407" t="s">
        <v>31797</v>
      </c>
      <c r="F8407" t="s">
        <v>618</v>
      </c>
      <c r="G8407" t="s">
        <v>615</v>
      </c>
      <c r="H8407" t="s">
        <v>31798</v>
      </c>
      <c r="I8407" t="s">
        <v>30</v>
      </c>
      <c r="J8407" t="s">
        <v>41</v>
      </c>
      <c r="K8407" t="s">
        <v>9956</v>
      </c>
      <c r="Q8407">
        <v>0</v>
      </c>
      <c r="R8407">
        <v>30</v>
      </c>
      <c r="S8407">
        <v>30</v>
      </c>
      <c r="T8407" t="s">
        <v>31799</v>
      </c>
    </row>
    <row r="8408" spans="1:20" customFormat="1" ht="15" x14ac:dyDescent="0.25">
      <c r="A8408" t="s">
        <v>35</v>
      </c>
      <c r="B8408" t="s">
        <v>61</v>
      </c>
      <c r="C8408" t="str">
        <f>"A0180945"</f>
        <v>A0180945</v>
      </c>
      <c r="D8408" t="s">
        <v>31800</v>
      </c>
      <c r="E8408" t="s">
        <v>31801</v>
      </c>
      <c r="F8408" t="s">
        <v>10276</v>
      </c>
      <c r="G8408" t="s">
        <v>846</v>
      </c>
      <c r="H8408" t="s">
        <v>30029</v>
      </c>
      <c r="I8408" t="s">
        <v>30</v>
      </c>
      <c r="J8408" t="s">
        <v>41</v>
      </c>
      <c r="K8408" t="s">
        <v>9956</v>
      </c>
      <c r="Q8408">
        <v>0</v>
      </c>
      <c r="R8408">
        <v>150</v>
      </c>
      <c r="S8408">
        <v>150</v>
      </c>
      <c r="T8408" t="s">
        <v>31802</v>
      </c>
    </row>
    <row r="8409" spans="1:20" customFormat="1" ht="15" x14ac:dyDescent="0.25">
      <c r="A8409" t="s">
        <v>35</v>
      </c>
      <c r="B8409" t="s">
        <v>61</v>
      </c>
      <c r="C8409" t="str">
        <f>"A0180944"</f>
        <v>A0180944</v>
      </c>
      <c r="D8409" t="s">
        <v>31803</v>
      </c>
      <c r="E8409" t="s">
        <v>31804</v>
      </c>
      <c r="F8409" t="s">
        <v>4116</v>
      </c>
      <c r="G8409" t="s">
        <v>615</v>
      </c>
      <c r="H8409" t="s">
        <v>31805</v>
      </c>
      <c r="I8409" t="s">
        <v>30</v>
      </c>
      <c r="J8409" t="s">
        <v>41</v>
      </c>
      <c r="K8409" t="s">
        <v>9956</v>
      </c>
      <c r="Q8409">
        <v>0</v>
      </c>
      <c r="R8409">
        <v>128</v>
      </c>
      <c r="S8409">
        <v>128</v>
      </c>
      <c r="T8409" t="s">
        <v>31806</v>
      </c>
    </row>
    <row r="8410" spans="1:20" customFormat="1" ht="15" x14ac:dyDescent="0.25">
      <c r="A8410" t="s">
        <v>35</v>
      </c>
      <c r="B8410" t="s">
        <v>61</v>
      </c>
      <c r="C8410" t="str">
        <f>"A0180943"</f>
        <v>A0180943</v>
      </c>
      <c r="D8410" t="s">
        <v>31807</v>
      </c>
      <c r="E8410" t="s">
        <v>31808</v>
      </c>
      <c r="F8410" t="s">
        <v>31809</v>
      </c>
      <c r="G8410" t="s">
        <v>615</v>
      </c>
      <c r="H8410">
        <v>6268</v>
      </c>
      <c r="I8410" t="s">
        <v>30</v>
      </c>
      <c r="J8410" t="s">
        <v>41</v>
      </c>
      <c r="K8410" t="s">
        <v>9956</v>
      </c>
      <c r="Q8410">
        <v>0</v>
      </c>
      <c r="R8410">
        <v>98</v>
      </c>
      <c r="S8410">
        <v>98</v>
      </c>
      <c r="T8410" t="s">
        <v>31810</v>
      </c>
    </row>
    <row r="8411" spans="1:20" customFormat="1" ht="15" x14ac:dyDescent="0.25">
      <c r="A8411" t="s">
        <v>35</v>
      </c>
      <c r="B8411" t="s">
        <v>61</v>
      </c>
      <c r="C8411" t="str">
        <f>"A0180942"</f>
        <v>A0180942</v>
      </c>
      <c r="D8411" t="s">
        <v>31811</v>
      </c>
      <c r="E8411" t="s">
        <v>31812</v>
      </c>
      <c r="F8411" t="s">
        <v>29384</v>
      </c>
      <c r="G8411" t="s">
        <v>615</v>
      </c>
      <c r="H8411" t="s">
        <v>30196</v>
      </c>
      <c r="I8411" t="s">
        <v>30</v>
      </c>
      <c r="J8411" t="s">
        <v>41</v>
      </c>
      <c r="K8411" t="s">
        <v>9956</v>
      </c>
      <c r="Q8411">
        <v>0</v>
      </c>
      <c r="R8411">
        <v>59</v>
      </c>
      <c r="S8411">
        <v>59</v>
      </c>
      <c r="T8411" t="s">
        <v>31813</v>
      </c>
    </row>
    <row r="8412" spans="1:20" customFormat="1" ht="15" x14ac:dyDescent="0.25">
      <c r="A8412" t="s">
        <v>35</v>
      </c>
      <c r="B8412" t="s">
        <v>61</v>
      </c>
      <c r="C8412" t="str">
        <f>"A0180941"</f>
        <v>A0180941</v>
      </c>
      <c r="D8412" t="s">
        <v>31814</v>
      </c>
      <c r="E8412" t="s">
        <v>31815</v>
      </c>
      <c r="F8412" t="s">
        <v>29375</v>
      </c>
      <c r="G8412" t="s">
        <v>615</v>
      </c>
      <c r="H8412" t="s">
        <v>31816</v>
      </c>
      <c r="I8412" t="s">
        <v>30</v>
      </c>
      <c r="J8412" t="s">
        <v>41</v>
      </c>
      <c r="K8412" t="s">
        <v>9956</v>
      </c>
      <c r="Q8412">
        <v>0</v>
      </c>
      <c r="R8412">
        <v>150</v>
      </c>
      <c r="S8412">
        <v>150</v>
      </c>
      <c r="T8412" t="s">
        <v>31817</v>
      </c>
    </row>
    <row r="8413" spans="1:20" customFormat="1" ht="15" x14ac:dyDescent="0.25">
      <c r="A8413" t="s">
        <v>35</v>
      </c>
      <c r="B8413" t="s">
        <v>61</v>
      </c>
      <c r="C8413" t="str">
        <f>"A0180940"</f>
        <v>A0180940</v>
      </c>
      <c r="D8413" t="s">
        <v>31818</v>
      </c>
      <c r="E8413" t="s">
        <v>31819</v>
      </c>
      <c r="F8413" t="s">
        <v>10276</v>
      </c>
      <c r="G8413" t="s">
        <v>846</v>
      </c>
      <c r="H8413" t="s">
        <v>31820</v>
      </c>
      <c r="I8413" t="s">
        <v>30</v>
      </c>
      <c r="J8413" t="s">
        <v>41</v>
      </c>
      <c r="K8413" t="s">
        <v>9956</v>
      </c>
      <c r="Q8413">
        <v>0</v>
      </c>
      <c r="R8413">
        <v>138</v>
      </c>
      <c r="S8413">
        <v>138</v>
      </c>
      <c r="T8413" t="s">
        <v>31821</v>
      </c>
    </row>
    <row r="8414" spans="1:20" customFormat="1" ht="15" x14ac:dyDescent="0.25">
      <c r="A8414" t="s">
        <v>35</v>
      </c>
      <c r="B8414" t="s">
        <v>61</v>
      </c>
      <c r="C8414" t="str">
        <f>"A0180939"</f>
        <v>A0180939</v>
      </c>
      <c r="D8414" t="s">
        <v>31822</v>
      </c>
      <c r="E8414" t="s">
        <v>31823</v>
      </c>
      <c r="F8414" t="s">
        <v>5688</v>
      </c>
      <c r="G8414" t="s">
        <v>846</v>
      </c>
      <c r="H8414" t="s">
        <v>31824</v>
      </c>
      <c r="I8414" t="s">
        <v>30</v>
      </c>
      <c r="J8414" t="s">
        <v>41</v>
      </c>
      <c r="K8414" t="s">
        <v>9956</v>
      </c>
      <c r="Q8414">
        <v>0</v>
      </c>
      <c r="R8414">
        <v>130</v>
      </c>
      <c r="S8414">
        <v>130</v>
      </c>
      <c r="T8414" t="s">
        <v>31825</v>
      </c>
    </row>
    <row r="8415" spans="1:20" customFormat="1" ht="15" x14ac:dyDescent="0.25">
      <c r="A8415" t="s">
        <v>35</v>
      </c>
      <c r="B8415" t="s">
        <v>61</v>
      </c>
      <c r="C8415" t="str">
        <f>"A0180938"</f>
        <v>A0180938</v>
      </c>
      <c r="D8415" t="s">
        <v>31826</v>
      </c>
      <c r="E8415" t="s">
        <v>31827</v>
      </c>
      <c r="F8415" t="s">
        <v>638</v>
      </c>
      <c r="G8415" t="s">
        <v>338</v>
      </c>
      <c r="H8415" t="s">
        <v>31828</v>
      </c>
      <c r="I8415" t="s">
        <v>30</v>
      </c>
      <c r="J8415" t="s">
        <v>41</v>
      </c>
      <c r="K8415" t="s">
        <v>9956</v>
      </c>
      <c r="Q8415">
        <v>0</v>
      </c>
      <c r="R8415">
        <v>102</v>
      </c>
      <c r="S8415">
        <v>102</v>
      </c>
      <c r="T8415" t="s">
        <v>31829</v>
      </c>
    </row>
    <row r="8416" spans="1:20" customFormat="1" ht="15" x14ac:dyDescent="0.25">
      <c r="A8416" t="s">
        <v>35</v>
      </c>
      <c r="B8416" t="s">
        <v>61</v>
      </c>
      <c r="C8416" t="str">
        <f>"A0180937"</f>
        <v>A0180937</v>
      </c>
      <c r="D8416" t="s">
        <v>31830</v>
      </c>
      <c r="E8416" t="s">
        <v>31831</v>
      </c>
      <c r="F8416" t="s">
        <v>3707</v>
      </c>
      <c r="G8416" t="s">
        <v>615</v>
      </c>
      <c r="H8416" t="s">
        <v>31832</v>
      </c>
      <c r="I8416" t="s">
        <v>30</v>
      </c>
      <c r="J8416" t="s">
        <v>41</v>
      </c>
      <c r="K8416" t="s">
        <v>9956</v>
      </c>
      <c r="Q8416">
        <v>0</v>
      </c>
      <c r="R8416">
        <v>40</v>
      </c>
      <c r="S8416">
        <v>40</v>
      </c>
      <c r="T8416" t="s">
        <v>31833</v>
      </c>
    </row>
    <row r="8417" spans="1:20" customFormat="1" ht="15" x14ac:dyDescent="0.25">
      <c r="A8417" t="s">
        <v>35</v>
      </c>
      <c r="B8417" t="s">
        <v>61</v>
      </c>
      <c r="C8417" t="str">
        <f>"A0180936"</f>
        <v>A0180936</v>
      </c>
      <c r="D8417" t="s">
        <v>31834</v>
      </c>
      <c r="E8417" t="s">
        <v>31835</v>
      </c>
      <c r="F8417" t="s">
        <v>31836</v>
      </c>
      <c r="G8417" t="s">
        <v>846</v>
      </c>
      <c r="H8417" t="s">
        <v>31837</v>
      </c>
      <c r="I8417" t="s">
        <v>30</v>
      </c>
      <c r="J8417" t="s">
        <v>41</v>
      </c>
      <c r="K8417" t="s">
        <v>9956</v>
      </c>
      <c r="Q8417">
        <v>0</v>
      </c>
      <c r="R8417">
        <v>100</v>
      </c>
      <c r="S8417">
        <v>100</v>
      </c>
      <c r="T8417" t="s">
        <v>31838</v>
      </c>
    </row>
    <row r="8418" spans="1:20" customFormat="1" ht="15" x14ac:dyDescent="0.25">
      <c r="A8418" t="s">
        <v>35</v>
      </c>
      <c r="B8418" t="s">
        <v>61</v>
      </c>
      <c r="C8418" t="str">
        <f>"A0180935"</f>
        <v>A0180935</v>
      </c>
      <c r="D8418" t="s">
        <v>31839</v>
      </c>
      <c r="E8418" t="s">
        <v>30142</v>
      </c>
      <c r="F8418" t="s">
        <v>30143</v>
      </c>
      <c r="G8418" t="s">
        <v>615</v>
      </c>
      <c r="H8418" t="s">
        <v>30144</v>
      </c>
      <c r="I8418" t="s">
        <v>30</v>
      </c>
      <c r="J8418" t="s">
        <v>41</v>
      </c>
      <c r="K8418" t="s">
        <v>9956</v>
      </c>
      <c r="Q8418">
        <v>0</v>
      </c>
      <c r="R8418">
        <v>130</v>
      </c>
      <c r="S8418">
        <v>130</v>
      </c>
      <c r="T8418" t="s">
        <v>31840</v>
      </c>
    </row>
    <row r="8419" spans="1:20" customFormat="1" ht="15" x14ac:dyDescent="0.25">
      <c r="A8419" t="s">
        <v>35</v>
      </c>
      <c r="B8419" t="s">
        <v>61</v>
      </c>
      <c r="C8419" t="str">
        <f>"A0180934"</f>
        <v>A0180934</v>
      </c>
      <c r="D8419" t="s">
        <v>31841</v>
      </c>
      <c r="E8419" t="s">
        <v>31842</v>
      </c>
      <c r="F8419" t="s">
        <v>9675</v>
      </c>
      <c r="G8419" t="s">
        <v>29</v>
      </c>
      <c r="H8419">
        <v>22191</v>
      </c>
      <c r="I8419" t="s">
        <v>30</v>
      </c>
      <c r="J8419" t="s">
        <v>41</v>
      </c>
      <c r="K8419" t="s">
        <v>2463</v>
      </c>
      <c r="Q8419">
        <v>0</v>
      </c>
      <c r="R8419">
        <v>100</v>
      </c>
      <c r="S8419">
        <v>100</v>
      </c>
      <c r="T8419" t="s">
        <v>31843</v>
      </c>
    </row>
    <row r="8420" spans="1:20" customFormat="1" ht="15" x14ac:dyDescent="0.25">
      <c r="A8420" t="s">
        <v>35</v>
      </c>
      <c r="B8420" t="s">
        <v>61</v>
      </c>
      <c r="C8420" t="str">
        <f>"A0180933"</f>
        <v>A0180933</v>
      </c>
      <c r="D8420" t="s">
        <v>31844</v>
      </c>
      <c r="E8420" t="s">
        <v>31845</v>
      </c>
      <c r="F8420" t="s">
        <v>31846</v>
      </c>
      <c r="G8420" t="s">
        <v>65</v>
      </c>
      <c r="H8420">
        <v>45154</v>
      </c>
      <c r="I8420" t="s">
        <v>30</v>
      </c>
      <c r="J8420" t="s">
        <v>41</v>
      </c>
      <c r="K8420" t="s">
        <v>461</v>
      </c>
      <c r="Q8420">
        <v>0</v>
      </c>
      <c r="R8420">
        <v>56</v>
      </c>
      <c r="S8420">
        <v>56</v>
      </c>
      <c r="T8420" t="s">
        <v>31847</v>
      </c>
    </row>
    <row r="8421" spans="1:20" customFormat="1" ht="15" x14ac:dyDescent="0.25">
      <c r="A8421" t="s">
        <v>35</v>
      </c>
      <c r="B8421" t="s">
        <v>61</v>
      </c>
      <c r="C8421" t="str">
        <f>"A0180932"</f>
        <v>A0180932</v>
      </c>
      <c r="D8421" t="s">
        <v>5046</v>
      </c>
      <c r="E8421" t="s">
        <v>31848</v>
      </c>
      <c r="F8421" t="s">
        <v>102</v>
      </c>
      <c r="G8421" t="s">
        <v>103</v>
      </c>
      <c r="H8421">
        <v>15222</v>
      </c>
      <c r="I8421" t="s">
        <v>30</v>
      </c>
      <c r="J8421" t="s">
        <v>41</v>
      </c>
      <c r="K8421" t="s">
        <v>391</v>
      </c>
      <c r="Q8421">
        <v>0</v>
      </c>
      <c r="R8421">
        <v>0</v>
      </c>
      <c r="S8421">
        <v>0</v>
      </c>
      <c r="T8421" t="s">
        <v>31849</v>
      </c>
    </row>
    <row r="8422" spans="1:20" customFormat="1" ht="15" x14ac:dyDescent="0.25">
      <c r="A8422" t="s">
        <v>35</v>
      </c>
      <c r="B8422" t="s">
        <v>61</v>
      </c>
      <c r="C8422" t="str">
        <f>"A0180931"</f>
        <v>A0180931</v>
      </c>
      <c r="D8422" t="s">
        <v>31850</v>
      </c>
      <c r="E8422" t="s">
        <v>31851</v>
      </c>
      <c r="F8422" t="s">
        <v>31852</v>
      </c>
      <c r="G8422" t="s">
        <v>289</v>
      </c>
      <c r="H8422">
        <v>61550</v>
      </c>
      <c r="I8422" t="s">
        <v>30</v>
      </c>
      <c r="J8422" t="s">
        <v>41</v>
      </c>
      <c r="K8422" t="s">
        <v>391</v>
      </c>
      <c r="Q8422">
        <v>0</v>
      </c>
      <c r="R8422">
        <v>0</v>
      </c>
      <c r="S8422">
        <v>0</v>
      </c>
      <c r="T8422" t="s">
        <v>31853</v>
      </c>
    </row>
    <row r="8423" spans="1:20" customFormat="1" ht="15" x14ac:dyDescent="0.25">
      <c r="A8423" t="s">
        <v>35</v>
      </c>
      <c r="B8423" t="s">
        <v>4767</v>
      </c>
      <c r="C8423" t="str">
        <f>"A0180930"</f>
        <v>A0180930</v>
      </c>
      <c r="D8423" t="s">
        <v>4767</v>
      </c>
      <c r="E8423" t="s">
        <v>31854</v>
      </c>
      <c r="F8423" t="s">
        <v>4269</v>
      </c>
      <c r="G8423" t="s">
        <v>99</v>
      </c>
      <c r="H8423">
        <v>11230</v>
      </c>
      <c r="I8423" t="s">
        <v>30</v>
      </c>
      <c r="J8423" t="s">
        <v>41</v>
      </c>
      <c r="K8423" t="s">
        <v>290</v>
      </c>
      <c r="Q8423">
        <v>0</v>
      </c>
      <c r="R8423">
        <v>0</v>
      </c>
      <c r="S8423">
        <v>0</v>
      </c>
      <c r="T8423" t="s">
        <v>72</v>
      </c>
    </row>
    <row r="8424" spans="1:20" customFormat="1" ht="15" x14ac:dyDescent="0.25">
      <c r="A8424" t="s">
        <v>35</v>
      </c>
      <c r="B8424" t="s">
        <v>16766</v>
      </c>
      <c r="C8424" t="str">
        <f>"A0180929"</f>
        <v>A0180929</v>
      </c>
      <c r="D8424" t="s">
        <v>16766</v>
      </c>
      <c r="E8424" t="s">
        <v>31855</v>
      </c>
      <c r="F8424" t="s">
        <v>5304</v>
      </c>
      <c r="G8424" t="s">
        <v>52</v>
      </c>
      <c r="H8424">
        <v>75039</v>
      </c>
      <c r="I8424" t="s">
        <v>30</v>
      </c>
      <c r="J8424" t="s">
        <v>41</v>
      </c>
      <c r="K8424" t="s">
        <v>290</v>
      </c>
      <c r="Q8424">
        <v>0</v>
      </c>
      <c r="R8424">
        <v>0</v>
      </c>
      <c r="S8424">
        <v>0</v>
      </c>
      <c r="T8424" t="s">
        <v>72</v>
      </c>
    </row>
    <row r="8425" spans="1:20" customFormat="1" ht="15" x14ac:dyDescent="0.25">
      <c r="A8425" t="s">
        <v>35</v>
      </c>
      <c r="B8425" t="s">
        <v>16755</v>
      </c>
      <c r="C8425" t="str">
        <f>"A0180928"</f>
        <v>A0180928</v>
      </c>
      <c r="D8425" t="s">
        <v>31856</v>
      </c>
      <c r="E8425" t="s">
        <v>31857</v>
      </c>
      <c r="F8425" t="s">
        <v>1948</v>
      </c>
      <c r="G8425" t="s">
        <v>338</v>
      </c>
      <c r="H8425">
        <v>8701</v>
      </c>
      <c r="I8425" t="s">
        <v>30</v>
      </c>
      <c r="J8425" t="s">
        <v>41</v>
      </c>
      <c r="K8425" t="s">
        <v>290</v>
      </c>
      <c r="Q8425">
        <v>0</v>
      </c>
      <c r="R8425">
        <v>0</v>
      </c>
      <c r="S8425">
        <v>0</v>
      </c>
      <c r="T8425" t="s">
        <v>31858</v>
      </c>
    </row>
    <row r="8426" spans="1:20" customFormat="1" ht="15" x14ac:dyDescent="0.25">
      <c r="A8426" t="s">
        <v>35</v>
      </c>
      <c r="B8426" t="s">
        <v>31859</v>
      </c>
      <c r="C8426" t="str">
        <f>"A0180927"</f>
        <v>A0180927</v>
      </c>
      <c r="D8426" t="s">
        <v>31860</v>
      </c>
      <c r="E8426" t="s">
        <v>31861</v>
      </c>
      <c r="F8426" t="s">
        <v>31862</v>
      </c>
      <c r="G8426" t="s">
        <v>1369</v>
      </c>
      <c r="H8426">
        <v>39158</v>
      </c>
      <c r="I8426" t="s">
        <v>30</v>
      </c>
      <c r="J8426" t="s">
        <v>41</v>
      </c>
      <c r="K8426" t="s">
        <v>290</v>
      </c>
      <c r="Q8426">
        <v>0</v>
      </c>
      <c r="R8426">
        <v>0</v>
      </c>
      <c r="S8426">
        <v>0</v>
      </c>
      <c r="T8426" t="s">
        <v>31863</v>
      </c>
    </row>
    <row r="8427" spans="1:20" customFormat="1" ht="15" x14ac:dyDescent="0.25">
      <c r="A8427" t="s">
        <v>35</v>
      </c>
      <c r="B8427" t="s">
        <v>31864</v>
      </c>
      <c r="C8427" t="str">
        <f>"A0180926"</f>
        <v>A0180926</v>
      </c>
      <c r="D8427" t="s">
        <v>31865</v>
      </c>
      <c r="E8427" t="s">
        <v>31866</v>
      </c>
      <c r="F8427" t="s">
        <v>19624</v>
      </c>
      <c r="G8427" t="s">
        <v>103</v>
      </c>
      <c r="H8427">
        <v>19020</v>
      </c>
      <c r="I8427" t="s">
        <v>30</v>
      </c>
      <c r="J8427" t="s">
        <v>41</v>
      </c>
      <c r="K8427" t="s">
        <v>66</v>
      </c>
      <c r="Q8427">
        <v>0</v>
      </c>
      <c r="R8427">
        <v>100</v>
      </c>
      <c r="S8427">
        <v>100</v>
      </c>
      <c r="T8427" t="s">
        <v>31867</v>
      </c>
    </row>
    <row r="8428" spans="1:20" customFormat="1" ht="15" x14ac:dyDescent="0.25">
      <c r="A8428" t="s">
        <v>35</v>
      </c>
      <c r="B8428" t="s">
        <v>36</v>
      </c>
      <c r="C8428" t="str">
        <f>"A0180925"</f>
        <v>A0180925</v>
      </c>
      <c r="D8428" t="s">
        <v>31868</v>
      </c>
      <c r="E8428" t="s">
        <v>31869</v>
      </c>
      <c r="F8428" t="s">
        <v>31870</v>
      </c>
      <c r="G8428" t="s">
        <v>52</v>
      </c>
      <c r="H8428">
        <v>77511</v>
      </c>
      <c r="I8428" t="s">
        <v>30</v>
      </c>
      <c r="J8428" t="s">
        <v>41</v>
      </c>
      <c r="K8428" t="s">
        <v>42</v>
      </c>
      <c r="Q8428">
        <v>0</v>
      </c>
      <c r="R8428">
        <v>0</v>
      </c>
      <c r="S8428">
        <v>0</v>
      </c>
      <c r="T8428" t="s">
        <v>31871</v>
      </c>
    </row>
    <row r="8429" spans="1:20" customFormat="1" ht="15" x14ac:dyDescent="0.25">
      <c r="A8429" t="s">
        <v>35</v>
      </c>
      <c r="B8429" t="s">
        <v>36</v>
      </c>
      <c r="C8429" t="str">
        <f>"A0180924"</f>
        <v>A0180924</v>
      </c>
      <c r="D8429" t="s">
        <v>31872</v>
      </c>
      <c r="E8429" t="s">
        <v>31873</v>
      </c>
      <c r="F8429" t="s">
        <v>31874</v>
      </c>
      <c r="G8429" t="s">
        <v>29</v>
      </c>
      <c r="H8429">
        <v>22602</v>
      </c>
      <c r="I8429" t="s">
        <v>30</v>
      </c>
      <c r="J8429" t="s">
        <v>41</v>
      </c>
      <c r="K8429" t="s">
        <v>42</v>
      </c>
      <c r="Q8429">
        <v>0</v>
      </c>
      <c r="R8429">
        <v>0</v>
      </c>
      <c r="S8429">
        <v>0</v>
      </c>
      <c r="T8429" t="s">
        <v>31875</v>
      </c>
    </row>
    <row r="8430" spans="1:20" customFormat="1" ht="15" x14ac:dyDescent="0.25">
      <c r="A8430" t="s">
        <v>35</v>
      </c>
      <c r="B8430" t="s">
        <v>36</v>
      </c>
      <c r="C8430" t="str">
        <f>"A0180923"</f>
        <v>A0180923</v>
      </c>
      <c r="D8430" t="s">
        <v>31876</v>
      </c>
      <c r="E8430" t="s">
        <v>31877</v>
      </c>
      <c r="F8430" t="s">
        <v>4108</v>
      </c>
      <c r="G8430" t="s">
        <v>29</v>
      </c>
      <c r="H8430">
        <v>24018</v>
      </c>
      <c r="I8430" t="s">
        <v>30</v>
      </c>
      <c r="J8430" t="s">
        <v>41</v>
      </c>
      <c r="K8430" t="s">
        <v>42</v>
      </c>
      <c r="Q8430">
        <v>0</v>
      </c>
      <c r="R8430">
        <v>0</v>
      </c>
      <c r="S8430">
        <v>0</v>
      </c>
      <c r="T8430" t="s">
        <v>31878</v>
      </c>
    </row>
    <row r="8431" spans="1:20" customFormat="1" ht="15" x14ac:dyDescent="0.25">
      <c r="A8431" t="s">
        <v>35</v>
      </c>
      <c r="B8431" t="s">
        <v>36</v>
      </c>
      <c r="C8431" t="str">
        <f>"A0180922"</f>
        <v>A0180922</v>
      </c>
      <c r="D8431" t="s">
        <v>31879</v>
      </c>
      <c r="E8431" t="s">
        <v>31880</v>
      </c>
      <c r="F8431" t="s">
        <v>3193</v>
      </c>
      <c r="G8431" t="s">
        <v>85</v>
      </c>
      <c r="H8431">
        <v>72031</v>
      </c>
      <c r="I8431" t="s">
        <v>30</v>
      </c>
      <c r="J8431" t="s">
        <v>41</v>
      </c>
      <c r="K8431" t="s">
        <v>42</v>
      </c>
      <c r="Q8431">
        <v>0</v>
      </c>
      <c r="R8431">
        <v>0</v>
      </c>
      <c r="S8431">
        <v>0</v>
      </c>
      <c r="T8431" t="s">
        <v>31881</v>
      </c>
    </row>
    <row r="8432" spans="1:20" customFormat="1" ht="15" x14ac:dyDescent="0.25">
      <c r="A8432" t="s">
        <v>35</v>
      </c>
      <c r="B8432" t="s">
        <v>36</v>
      </c>
      <c r="C8432" t="str">
        <f>"A0180921"</f>
        <v>A0180921</v>
      </c>
      <c r="D8432" t="s">
        <v>31882</v>
      </c>
      <c r="E8432" t="s">
        <v>31883</v>
      </c>
      <c r="F8432" t="s">
        <v>31884</v>
      </c>
      <c r="G8432" t="s">
        <v>58</v>
      </c>
      <c r="H8432">
        <v>29631</v>
      </c>
      <c r="I8432" t="s">
        <v>30</v>
      </c>
      <c r="J8432" t="s">
        <v>41</v>
      </c>
      <c r="K8432" t="s">
        <v>42</v>
      </c>
      <c r="Q8432">
        <v>0</v>
      </c>
      <c r="R8432">
        <v>0</v>
      </c>
      <c r="S8432">
        <v>0</v>
      </c>
      <c r="T8432" t="s">
        <v>31885</v>
      </c>
    </row>
    <row r="8433" spans="1:20" customFormat="1" ht="15" x14ac:dyDescent="0.25">
      <c r="A8433" t="s">
        <v>35</v>
      </c>
      <c r="B8433" t="s">
        <v>36</v>
      </c>
      <c r="C8433" t="str">
        <f>"A0180920"</f>
        <v>A0180920</v>
      </c>
      <c r="D8433" t="s">
        <v>31886</v>
      </c>
      <c r="E8433" t="s">
        <v>31887</v>
      </c>
      <c r="F8433" t="s">
        <v>24471</v>
      </c>
      <c r="G8433" t="s">
        <v>3049</v>
      </c>
      <c r="H8433">
        <v>99504</v>
      </c>
      <c r="I8433" t="s">
        <v>30</v>
      </c>
      <c r="J8433" t="s">
        <v>41</v>
      </c>
      <c r="K8433" t="s">
        <v>42</v>
      </c>
      <c r="Q8433">
        <v>0</v>
      </c>
      <c r="R8433">
        <v>0</v>
      </c>
      <c r="S8433">
        <v>0</v>
      </c>
      <c r="T8433" t="s">
        <v>31888</v>
      </c>
    </row>
    <row r="8434" spans="1:20" customFormat="1" ht="15" x14ac:dyDescent="0.25">
      <c r="A8434" t="s">
        <v>35</v>
      </c>
      <c r="B8434" t="s">
        <v>61</v>
      </c>
      <c r="C8434" t="str">
        <f>"A0180919"</f>
        <v>A0180919</v>
      </c>
      <c r="D8434" t="s">
        <v>31889</v>
      </c>
      <c r="E8434" t="s">
        <v>31890</v>
      </c>
      <c r="F8434" t="s">
        <v>14097</v>
      </c>
      <c r="G8434" t="s">
        <v>840</v>
      </c>
      <c r="H8434" t="s">
        <v>31891</v>
      </c>
      <c r="I8434" t="s">
        <v>30</v>
      </c>
      <c r="J8434" t="s">
        <v>41</v>
      </c>
      <c r="K8434" t="s">
        <v>482</v>
      </c>
      <c r="Q8434">
        <v>0</v>
      </c>
      <c r="R8434">
        <v>0</v>
      </c>
      <c r="S8434">
        <v>0</v>
      </c>
      <c r="T8434" t="s">
        <v>31892</v>
      </c>
    </row>
    <row r="8435" spans="1:20" customFormat="1" ht="15" x14ac:dyDescent="0.25">
      <c r="A8435" t="s">
        <v>35</v>
      </c>
      <c r="B8435" t="s">
        <v>61</v>
      </c>
      <c r="C8435" t="str">
        <f>"A0180918"</f>
        <v>A0180918</v>
      </c>
      <c r="D8435" t="s">
        <v>31893</v>
      </c>
      <c r="E8435" t="s">
        <v>31890</v>
      </c>
      <c r="F8435" t="s">
        <v>14097</v>
      </c>
      <c r="G8435" t="s">
        <v>840</v>
      </c>
      <c r="H8435">
        <v>41071</v>
      </c>
      <c r="I8435" t="s">
        <v>30</v>
      </c>
      <c r="J8435" t="s">
        <v>41</v>
      </c>
      <c r="K8435" t="s">
        <v>482</v>
      </c>
      <c r="Q8435">
        <v>0</v>
      </c>
      <c r="R8435">
        <v>0</v>
      </c>
      <c r="S8435">
        <v>0</v>
      </c>
      <c r="T8435" t="s">
        <v>31892</v>
      </c>
    </row>
    <row r="8436" spans="1:20" customFormat="1" ht="15" x14ac:dyDescent="0.25">
      <c r="A8436" t="s">
        <v>35</v>
      </c>
      <c r="B8436" t="s">
        <v>61</v>
      </c>
      <c r="C8436" t="str">
        <f>"A0180917"</f>
        <v>A0180917</v>
      </c>
      <c r="D8436" t="s">
        <v>31894</v>
      </c>
      <c r="E8436" t="s">
        <v>31895</v>
      </c>
      <c r="F8436" t="s">
        <v>16826</v>
      </c>
      <c r="G8436" t="s">
        <v>840</v>
      </c>
      <c r="H8436">
        <v>41018</v>
      </c>
      <c r="I8436" t="s">
        <v>30</v>
      </c>
      <c r="J8436" t="s">
        <v>41</v>
      </c>
      <c r="K8436" t="s">
        <v>482</v>
      </c>
      <c r="Q8436">
        <v>0</v>
      </c>
      <c r="R8436">
        <v>0</v>
      </c>
      <c r="S8436">
        <v>0</v>
      </c>
      <c r="T8436" t="s">
        <v>31896</v>
      </c>
    </row>
    <row r="8437" spans="1:20" customFormat="1" ht="15" x14ac:dyDescent="0.25">
      <c r="A8437" t="s">
        <v>35</v>
      </c>
      <c r="B8437" t="s">
        <v>61</v>
      </c>
      <c r="C8437" t="str">
        <f>"A0180916"</f>
        <v>A0180916</v>
      </c>
      <c r="D8437" t="s">
        <v>31897</v>
      </c>
      <c r="E8437" t="s">
        <v>31898</v>
      </c>
      <c r="F8437" t="s">
        <v>17000</v>
      </c>
      <c r="G8437" t="s">
        <v>137</v>
      </c>
      <c r="H8437" t="s">
        <v>30502</v>
      </c>
      <c r="I8437" t="s">
        <v>30</v>
      </c>
      <c r="J8437" t="s">
        <v>41</v>
      </c>
      <c r="K8437" t="s">
        <v>482</v>
      </c>
      <c r="Q8437">
        <v>0</v>
      </c>
      <c r="R8437">
        <v>160</v>
      </c>
      <c r="S8437">
        <v>160</v>
      </c>
      <c r="T8437" t="s">
        <v>30503</v>
      </c>
    </row>
    <row r="8438" spans="1:20" customFormat="1" ht="15" x14ac:dyDescent="0.25">
      <c r="A8438" t="s">
        <v>35</v>
      </c>
      <c r="B8438" t="s">
        <v>61</v>
      </c>
      <c r="C8438" t="str">
        <f>"A0180915"</f>
        <v>A0180915</v>
      </c>
      <c r="D8438" t="s">
        <v>31899</v>
      </c>
      <c r="E8438" t="s">
        <v>31900</v>
      </c>
      <c r="F8438" t="s">
        <v>10807</v>
      </c>
      <c r="G8438" t="s">
        <v>137</v>
      </c>
      <c r="H8438">
        <v>630442722</v>
      </c>
      <c r="I8438" t="s">
        <v>30</v>
      </c>
      <c r="J8438" t="s">
        <v>41</v>
      </c>
      <c r="K8438" t="s">
        <v>482</v>
      </c>
      <c r="Q8438">
        <v>0</v>
      </c>
      <c r="R8438">
        <v>35</v>
      </c>
      <c r="S8438">
        <v>35</v>
      </c>
      <c r="T8438" t="s">
        <v>31901</v>
      </c>
    </row>
    <row r="8439" spans="1:20" customFormat="1" ht="15" x14ac:dyDescent="0.25">
      <c r="A8439" t="s">
        <v>35</v>
      </c>
      <c r="B8439" t="s">
        <v>61</v>
      </c>
      <c r="C8439" t="str">
        <f>"A0180914"</f>
        <v>A0180914</v>
      </c>
      <c r="D8439" t="s">
        <v>31902</v>
      </c>
      <c r="E8439" t="s">
        <v>31903</v>
      </c>
      <c r="F8439" t="s">
        <v>31904</v>
      </c>
      <c r="G8439" t="s">
        <v>1508</v>
      </c>
      <c r="H8439">
        <v>824432451</v>
      </c>
      <c r="I8439" t="s">
        <v>30</v>
      </c>
      <c r="J8439" t="s">
        <v>41</v>
      </c>
      <c r="K8439" t="s">
        <v>482</v>
      </c>
      <c r="Q8439">
        <v>0</v>
      </c>
      <c r="R8439">
        <v>70</v>
      </c>
      <c r="S8439">
        <v>70</v>
      </c>
      <c r="T8439" t="s">
        <v>31905</v>
      </c>
    </row>
    <row r="8440" spans="1:20" customFormat="1" ht="15" x14ac:dyDescent="0.25">
      <c r="A8440" t="s">
        <v>35</v>
      </c>
      <c r="B8440" t="s">
        <v>61</v>
      </c>
      <c r="C8440" t="str">
        <f>"A0180913"</f>
        <v>A0180913</v>
      </c>
      <c r="D8440" t="s">
        <v>24075</v>
      </c>
      <c r="E8440" t="s">
        <v>31906</v>
      </c>
      <c r="F8440" t="s">
        <v>1755</v>
      </c>
      <c r="G8440" t="s">
        <v>137</v>
      </c>
      <c r="H8440" t="s">
        <v>31907</v>
      </c>
      <c r="I8440" t="s">
        <v>30</v>
      </c>
      <c r="J8440" t="s">
        <v>41</v>
      </c>
      <c r="K8440" t="s">
        <v>482</v>
      </c>
      <c r="Q8440">
        <v>0</v>
      </c>
      <c r="R8440">
        <v>148</v>
      </c>
      <c r="S8440">
        <v>148</v>
      </c>
      <c r="T8440" t="s">
        <v>31908</v>
      </c>
    </row>
    <row r="8441" spans="1:20" customFormat="1" ht="15" x14ac:dyDescent="0.25">
      <c r="A8441" t="s">
        <v>35</v>
      </c>
      <c r="B8441" t="s">
        <v>17792</v>
      </c>
      <c r="C8441" t="str">
        <f>"A0180912"</f>
        <v>A0180912</v>
      </c>
      <c r="D8441" t="s">
        <v>31909</v>
      </c>
      <c r="E8441" t="s">
        <v>31910</v>
      </c>
      <c r="F8441" t="s">
        <v>17000</v>
      </c>
      <c r="G8441" t="s">
        <v>137</v>
      </c>
      <c r="H8441">
        <v>631172038</v>
      </c>
      <c r="I8441" t="s">
        <v>30</v>
      </c>
      <c r="J8441" t="s">
        <v>41</v>
      </c>
      <c r="K8441" t="s">
        <v>482</v>
      </c>
      <c r="Q8441">
        <v>0</v>
      </c>
      <c r="R8441">
        <v>99</v>
      </c>
      <c r="S8441">
        <v>99</v>
      </c>
      <c r="T8441" t="s">
        <v>31911</v>
      </c>
    </row>
    <row r="8442" spans="1:20" customFormat="1" ht="15" x14ac:dyDescent="0.25">
      <c r="A8442" t="s">
        <v>35</v>
      </c>
      <c r="B8442" t="s">
        <v>61</v>
      </c>
      <c r="C8442" t="str">
        <f>"A0180911"</f>
        <v>A0180911</v>
      </c>
      <c r="D8442" t="s">
        <v>31912</v>
      </c>
      <c r="E8442" t="s">
        <v>17533</v>
      </c>
      <c r="F8442" t="s">
        <v>17000</v>
      </c>
      <c r="G8442" t="s">
        <v>137</v>
      </c>
      <c r="H8442" t="s">
        <v>17535</v>
      </c>
      <c r="I8442" t="s">
        <v>30</v>
      </c>
      <c r="J8442" t="s">
        <v>41</v>
      </c>
      <c r="K8442" t="s">
        <v>482</v>
      </c>
      <c r="Q8442">
        <v>0</v>
      </c>
      <c r="R8442">
        <v>18</v>
      </c>
      <c r="S8442">
        <v>18</v>
      </c>
      <c r="T8442" t="s">
        <v>31913</v>
      </c>
    </row>
    <row r="8443" spans="1:20" customFormat="1" ht="15" x14ac:dyDescent="0.25">
      <c r="A8443" t="s">
        <v>35</v>
      </c>
      <c r="B8443" t="s">
        <v>61</v>
      </c>
      <c r="C8443" t="str">
        <f>"A0180910"</f>
        <v>A0180910</v>
      </c>
      <c r="D8443" t="s">
        <v>31914</v>
      </c>
      <c r="E8443" t="s">
        <v>31915</v>
      </c>
      <c r="F8443" t="s">
        <v>10807</v>
      </c>
      <c r="G8443" t="s">
        <v>137</v>
      </c>
      <c r="H8443" t="s">
        <v>31916</v>
      </c>
      <c r="I8443" t="s">
        <v>30</v>
      </c>
      <c r="J8443" t="s">
        <v>41</v>
      </c>
      <c r="K8443" t="s">
        <v>482</v>
      </c>
      <c r="Q8443">
        <v>0</v>
      </c>
      <c r="R8443">
        <v>98</v>
      </c>
      <c r="S8443">
        <v>98</v>
      </c>
      <c r="T8443" t="s">
        <v>31917</v>
      </c>
    </row>
    <row r="8444" spans="1:20" customFormat="1" ht="15" x14ac:dyDescent="0.25">
      <c r="A8444" t="s">
        <v>35</v>
      </c>
      <c r="B8444" t="s">
        <v>61</v>
      </c>
      <c r="C8444" t="str">
        <f>"A0180909"</f>
        <v>A0180909</v>
      </c>
      <c r="D8444" t="s">
        <v>31918</v>
      </c>
      <c r="E8444" t="s">
        <v>31919</v>
      </c>
      <c r="F8444" t="s">
        <v>11451</v>
      </c>
      <c r="G8444" t="s">
        <v>40</v>
      </c>
      <c r="H8444" t="s">
        <v>31920</v>
      </c>
      <c r="I8444" t="s">
        <v>30</v>
      </c>
      <c r="J8444" t="s">
        <v>41</v>
      </c>
      <c r="K8444" t="s">
        <v>482</v>
      </c>
      <c r="Q8444">
        <v>0</v>
      </c>
      <c r="R8444">
        <v>48</v>
      </c>
      <c r="S8444">
        <v>48</v>
      </c>
      <c r="T8444" t="s">
        <v>31921</v>
      </c>
    </row>
    <row r="8445" spans="1:20" customFormat="1" ht="15" x14ac:dyDescent="0.25">
      <c r="A8445" t="s">
        <v>35</v>
      </c>
      <c r="B8445" t="s">
        <v>61</v>
      </c>
      <c r="C8445" t="str">
        <f>"A0180908"</f>
        <v>A0180908</v>
      </c>
      <c r="D8445" t="s">
        <v>31922</v>
      </c>
      <c r="E8445" t="s">
        <v>31923</v>
      </c>
      <c r="F8445" t="s">
        <v>31924</v>
      </c>
      <c r="G8445" t="s">
        <v>40</v>
      </c>
      <c r="H8445" t="s">
        <v>31925</v>
      </c>
      <c r="I8445" t="s">
        <v>30</v>
      </c>
      <c r="J8445" t="s">
        <v>41</v>
      </c>
      <c r="K8445" t="s">
        <v>482</v>
      </c>
      <c r="Q8445">
        <v>0</v>
      </c>
      <c r="R8445">
        <v>0</v>
      </c>
      <c r="S8445">
        <v>0</v>
      </c>
    </row>
    <row r="8446" spans="1:20" customFormat="1" ht="15" x14ac:dyDescent="0.25">
      <c r="A8446" t="s">
        <v>35</v>
      </c>
      <c r="B8446" t="s">
        <v>61</v>
      </c>
      <c r="C8446" t="str">
        <f>"A0180907"</f>
        <v>A0180907</v>
      </c>
      <c r="D8446" t="s">
        <v>31926</v>
      </c>
      <c r="E8446" t="s">
        <v>31927</v>
      </c>
      <c r="F8446" t="s">
        <v>24948</v>
      </c>
      <c r="G8446" t="s">
        <v>137</v>
      </c>
      <c r="H8446" t="s">
        <v>31928</v>
      </c>
      <c r="I8446" t="s">
        <v>30</v>
      </c>
      <c r="J8446" t="s">
        <v>41</v>
      </c>
      <c r="K8446" t="s">
        <v>482</v>
      </c>
      <c r="Q8446">
        <v>0</v>
      </c>
      <c r="R8446">
        <v>32</v>
      </c>
      <c r="S8446">
        <v>32</v>
      </c>
      <c r="T8446" t="s">
        <v>31929</v>
      </c>
    </row>
    <row r="8447" spans="1:20" customFormat="1" ht="15" x14ac:dyDescent="0.25">
      <c r="A8447" t="s">
        <v>35</v>
      </c>
      <c r="B8447" t="s">
        <v>61</v>
      </c>
      <c r="C8447" t="str">
        <f>"A0180906"</f>
        <v>A0180906</v>
      </c>
      <c r="D8447" t="s">
        <v>31930</v>
      </c>
      <c r="E8447" t="s">
        <v>31931</v>
      </c>
      <c r="F8447" t="s">
        <v>17000</v>
      </c>
      <c r="G8447" t="s">
        <v>137</v>
      </c>
      <c r="H8447" t="s">
        <v>31932</v>
      </c>
      <c r="I8447" t="s">
        <v>30</v>
      </c>
      <c r="J8447" t="s">
        <v>41</v>
      </c>
      <c r="K8447" t="s">
        <v>482</v>
      </c>
      <c r="Q8447">
        <v>0</v>
      </c>
      <c r="R8447">
        <v>69</v>
      </c>
      <c r="S8447">
        <v>69</v>
      </c>
      <c r="T8447" t="s">
        <v>31933</v>
      </c>
    </row>
    <row r="8448" spans="1:20" customFormat="1" ht="15" x14ac:dyDescent="0.25">
      <c r="A8448" t="s">
        <v>35</v>
      </c>
      <c r="B8448" t="s">
        <v>61</v>
      </c>
      <c r="C8448" t="str">
        <f>"A0180905"</f>
        <v>A0180905</v>
      </c>
      <c r="D8448" t="s">
        <v>31934</v>
      </c>
      <c r="E8448" t="s">
        <v>31935</v>
      </c>
      <c r="F8448" t="s">
        <v>17000</v>
      </c>
      <c r="G8448" t="s">
        <v>137</v>
      </c>
      <c r="H8448" t="s">
        <v>31936</v>
      </c>
      <c r="I8448" t="s">
        <v>30</v>
      </c>
      <c r="J8448" t="s">
        <v>41</v>
      </c>
      <c r="K8448" t="s">
        <v>482</v>
      </c>
      <c r="Q8448">
        <v>0</v>
      </c>
      <c r="R8448">
        <v>60</v>
      </c>
      <c r="S8448">
        <v>60</v>
      </c>
      <c r="T8448" t="s">
        <v>31937</v>
      </c>
    </row>
    <row r="8449" spans="1:20" customFormat="1" ht="15" x14ac:dyDescent="0.25">
      <c r="A8449" t="s">
        <v>35</v>
      </c>
      <c r="B8449" t="s">
        <v>61</v>
      </c>
      <c r="C8449" t="str">
        <f>"A0180904"</f>
        <v>A0180904</v>
      </c>
      <c r="D8449" t="s">
        <v>31938</v>
      </c>
      <c r="E8449" t="s">
        <v>31939</v>
      </c>
      <c r="F8449" t="s">
        <v>17061</v>
      </c>
      <c r="G8449" t="s">
        <v>40</v>
      </c>
      <c r="H8449" t="s">
        <v>31940</v>
      </c>
      <c r="I8449" t="s">
        <v>30</v>
      </c>
      <c r="J8449" t="s">
        <v>41</v>
      </c>
      <c r="K8449" t="s">
        <v>482</v>
      </c>
      <c r="Q8449">
        <v>0</v>
      </c>
      <c r="R8449">
        <v>0</v>
      </c>
      <c r="S8449">
        <v>0</v>
      </c>
    </row>
    <row r="8450" spans="1:20" customFormat="1" ht="15" x14ac:dyDescent="0.25">
      <c r="A8450" t="s">
        <v>35</v>
      </c>
      <c r="B8450" t="s">
        <v>61</v>
      </c>
      <c r="C8450" t="str">
        <f>"A0180903"</f>
        <v>A0180903</v>
      </c>
      <c r="D8450" t="s">
        <v>31941</v>
      </c>
      <c r="E8450" t="s">
        <v>31942</v>
      </c>
      <c r="F8450" t="s">
        <v>4037</v>
      </c>
      <c r="G8450" t="s">
        <v>40</v>
      </c>
      <c r="H8450">
        <v>73109</v>
      </c>
      <c r="I8450" t="s">
        <v>30</v>
      </c>
      <c r="J8450" t="s">
        <v>41</v>
      </c>
      <c r="K8450" t="s">
        <v>482</v>
      </c>
      <c r="Q8450">
        <v>0</v>
      </c>
      <c r="R8450">
        <v>110</v>
      </c>
      <c r="S8450">
        <v>110</v>
      </c>
      <c r="T8450" t="s">
        <v>31943</v>
      </c>
    </row>
    <row r="8451" spans="1:20" customFormat="1" ht="15" x14ac:dyDescent="0.25">
      <c r="A8451" t="s">
        <v>35</v>
      </c>
      <c r="B8451" t="s">
        <v>61</v>
      </c>
      <c r="C8451" t="str">
        <f>"A0180902"</f>
        <v>A0180902</v>
      </c>
      <c r="D8451" t="s">
        <v>31944</v>
      </c>
      <c r="E8451" t="s">
        <v>31945</v>
      </c>
      <c r="F8451" t="s">
        <v>17000</v>
      </c>
      <c r="G8451" t="s">
        <v>137</v>
      </c>
      <c r="H8451" t="s">
        <v>31946</v>
      </c>
      <c r="I8451" t="s">
        <v>30</v>
      </c>
      <c r="J8451" t="s">
        <v>41</v>
      </c>
      <c r="K8451" t="s">
        <v>482</v>
      </c>
      <c r="Q8451">
        <v>0</v>
      </c>
      <c r="R8451">
        <v>50</v>
      </c>
      <c r="S8451">
        <v>50</v>
      </c>
      <c r="T8451" t="s">
        <v>31947</v>
      </c>
    </row>
    <row r="8452" spans="1:20" customFormat="1" ht="15" x14ac:dyDescent="0.25">
      <c r="A8452" t="s">
        <v>35</v>
      </c>
      <c r="B8452" t="s">
        <v>11871</v>
      </c>
      <c r="C8452" t="str">
        <f>"A0180901"</f>
        <v>A0180901</v>
      </c>
      <c r="D8452" t="s">
        <v>26232</v>
      </c>
      <c r="E8452" t="s">
        <v>31948</v>
      </c>
      <c r="F8452" t="s">
        <v>75</v>
      </c>
      <c r="G8452" t="s">
        <v>76</v>
      </c>
      <c r="H8452">
        <v>992075181</v>
      </c>
      <c r="I8452" t="s">
        <v>30</v>
      </c>
      <c r="J8452" t="s">
        <v>41</v>
      </c>
      <c r="K8452" t="s">
        <v>482</v>
      </c>
      <c r="Q8452">
        <v>0</v>
      </c>
      <c r="R8452">
        <v>155</v>
      </c>
      <c r="S8452">
        <v>155</v>
      </c>
      <c r="T8452" t="s">
        <v>31949</v>
      </c>
    </row>
    <row r="8453" spans="1:20" customFormat="1" ht="15" x14ac:dyDescent="0.25">
      <c r="A8453" t="s">
        <v>35</v>
      </c>
      <c r="B8453" t="s">
        <v>61</v>
      </c>
      <c r="C8453" t="str">
        <f>"A0180899"</f>
        <v>A0180899</v>
      </c>
      <c r="D8453" t="s">
        <v>31950</v>
      </c>
      <c r="E8453" t="s">
        <v>31951</v>
      </c>
      <c r="F8453" t="s">
        <v>29438</v>
      </c>
      <c r="G8453" t="s">
        <v>2450</v>
      </c>
      <c r="H8453" t="s">
        <v>31952</v>
      </c>
      <c r="I8453" t="s">
        <v>30</v>
      </c>
      <c r="J8453" t="s">
        <v>41</v>
      </c>
      <c r="K8453" t="s">
        <v>482</v>
      </c>
      <c r="Q8453">
        <v>0</v>
      </c>
      <c r="R8453">
        <v>16</v>
      </c>
      <c r="S8453">
        <v>16</v>
      </c>
      <c r="T8453" t="s">
        <v>31953</v>
      </c>
    </row>
    <row r="8454" spans="1:20" customFormat="1" ht="15" x14ac:dyDescent="0.25">
      <c r="A8454" t="s">
        <v>35</v>
      </c>
      <c r="B8454" t="s">
        <v>61</v>
      </c>
      <c r="C8454" t="str">
        <f>"A0180898"</f>
        <v>A0180898</v>
      </c>
      <c r="D8454" t="s">
        <v>31954</v>
      </c>
      <c r="E8454" t="s">
        <v>31955</v>
      </c>
      <c r="F8454" t="s">
        <v>31956</v>
      </c>
      <c r="G8454" t="s">
        <v>40</v>
      </c>
      <c r="H8454">
        <v>73644</v>
      </c>
      <c r="I8454" t="s">
        <v>30</v>
      </c>
      <c r="J8454" t="s">
        <v>41</v>
      </c>
      <c r="K8454" t="s">
        <v>482</v>
      </c>
      <c r="Q8454">
        <v>0</v>
      </c>
      <c r="R8454">
        <v>60</v>
      </c>
      <c r="S8454">
        <v>60</v>
      </c>
      <c r="T8454" t="s">
        <v>31957</v>
      </c>
    </row>
    <row r="8455" spans="1:20" customFormat="1" ht="15" x14ac:dyDescent="0.25">
      <c r="A8455" t="s">
        <v>35</v>
      </c>
      <c r="B8455" t="s">
        <v>61</v>
      </c>
      <c r="C8455" t="str">
        <f>"A0180897"</f>
        <v>A0180897</v>
      </c>
      <c r="D8455" t="s">
        <v>31958</v>
      </c>
      <c r="E8455" t="s">
        <v>31959</v>
      </c>
      <c r="F8455" t="s">
        <v>9808</v>
      </c>
      <c r="G8455" t="s">
        <v>47</v>
      </c>
      <c r="H8455">
        <v>973302182</v>
      </c>
      <c r="I8455" t="s">
        <v>30</v>
      </c>
      <c r="J8455" t="s">
        <v>41</v>
      </c>
      <c r="K8455" t="s">
        <v>482</v>
      </c>
      <c r="Q8455">
        <v>0</v>
      </c>
      <c r="R8455">
        <v>60</v>
      </c>
      <c r="S8455">
        <v>60</v>
      </c>
      <c r="T8455" t="s">
        <v>31960</v>
      </c>
    </row>
    <row r="8456" spans="1:20" customFormat="1" ht="15" x14ac:dyDescent="0.25">
      <c r="A8456" t="s">
        <v>35</v>
      </c>
      <c r="B8456" t="s">
        <v>61</v>
      </c>
      <c r="C8456" t="str">
        <f>"A0180895"</f>
        <v>A0180895</v>
      </c>
      <c r="D8456" t="s">
        <v>31961</v>
      </c>
      <c r="E8456" t="s">
        <v>31962</v>
      </c>
      <c r="F8456" t="s">
        <v>31963</v>
      </c>
      <c r="G8456" t="s">
        <v>47</v>
      </c>
      <c r="H8456">
        <v>970511169</v>
      </c>
      <c r="I8456" t="s">
        <v>30</v>
      </c>
      <c r="J8456" t="s">
        <v>41</v>
      </c>
      <c r="K8456" t="s">
        <v>482</v>
      </c>
      <c r="Q8456">
        <v>0</v>
      </c>
      <c r="R8456">
        <v>35</v>
      </c>
      <c r="S8456">
        <v>35</v>
      </c>
      <c r="T8456" t="s">
        <v>31964</v>
      </c>
    </row>
    <row r="8457" spans="1:20" customFormat="1" ht="15" x14ac:dyDescent="0.25">
      <c r="A8457" t="s">
        <v>35</v>
      </c>
      <c r="B8457" t="s">
        <v>61</v>
      </c>
      <c r="C8457" t="str">
        <f>"A0180894"</f>
        <v>A0180894</v>
      </c>
      <c r="D8457" t="s">
        <v>31965</v>
      </c>
      <c r="E8457" t="s">
        <v>31966</v>
      </c>
      <c r="F8457" t="s">
        <v>5240</v>
      </c>
      <c r="G8457" t="s">
        <v>52</v>
      </c>
      <c r="H8457" t="s">
        <v>31967</v>
      </c>
      <c r="I8457" t="s">
        <v>30</v>
      </c>
      <c r="J8457" t="s">
        <v>41</v>
      </c>
      <c r="K8457" t="s">
        <v>482</v>
      </c>
      <c r="Q8457">
        <v>0</v>
      </c>
      <c r="R8457">
        <v>54</v>
      </c>
      <c r="S8457">
        <v>54</v>
      </c>
      <c r="T8457" t="s">
        <v>31968</v>
      </c>
    </row>
    <row r="8458" spans="1:20" customFormat="1" ht="15" x14ac:dyDescent="0.25">
      <c r="A8458" t="s">
        <v>35</v>
      </c>
      <c r="B8458" t="s">
        <v>61</v>
      </c>
      <c r="C8458" t="str">
        <f>"A0180893"</f>
        <v>A0180893</v>
      </c>
      <c r="D8458" t="s">
        <v>31969</v>
      </c>
      <c r="E8458" t="s">
        <v>31970</v>
      </c>
      <c r="F8458" t="s">
        <v>8634</v>
      </c>
      <c r="G8458" t="s">
        <v>81</v>
      </c>
      <c r="H8458">
        <v>32905</v>
      </c>
      <c r="I8458" t="s">
        <v>30</v>
      </c>
      <c r="J8458" t="s">
        <v>41</v>
      </c>
      <c r="K8458" t="s">
        <v>482</v>
      </c>
      <c r="Q8458">
        <v>0</v>
      </c>
      <c r="R8458">
        <v>0</v>
      </c>
      <c r="S8458">
        <v>0</v>
      </c>
      <c r="T8458" t="s">
        <v>31971</v>
      </c>
    </row>
    <row r="8459" spans="1:20" customFormat="1" ht="15" x14ac:dyDescent="0.25">
      <c r="A8459" t="s">
        <v>35</v>
      </c>
      <c r="B8459" t="s">
        <v>11692</v>
      </c>
      <c r="C8459" t="str">
        <f>"A0180892"</f>
        <v>A0180892</v>
      </c>
      <c r="D8459" t="s">
        <v>31972</v>
      </c>
      <c r="E8459" t="s">
        <v>31973</v>
      </c>
      <c r="F8459" t="s">
        <v>11695</v>
      </c>
      <c r="G8459" t="s">
        <v>117</v>
      </c>
      <c r="H8459">
        <v>490016513</v>
      </c>
      <c r="I8459" t="s">
        <v>30</v>
      </c>
      <c r="J8459" t="s">
        <v>41</v>
      </c>
      <c r="K8459" t="s">
        <v>482</v>
      </c>
      <c r="Q8459">
        <v>0</v>
      </c>
      <c r="R8459">
        <v>0</v>
      </c>
      <c r="S8459">
        <v>0</v>
      </c>
    </row>
    <row r="8460" spans="1:20" customFormat="1" ht="15" x14ac:dyDescent="0.25">
      <c r="A8460" t="s">
        <v>35</v>
      </c>
      <c r="B8460" t="s">
        <v>61</v>
      </c>
      <c r="C8460" t="str">
        <f>"A0180891"</f>
        <v>A0180891</v>
      </c>
      <c r="D8460" t="s">
        <v>31974</v>
      </c>
      <c r="E8460" t="s">
        <v>31975</v>
      </c>
      <c r="F8460" t="s">
        <v>5775</v>
      </c>
      <c r="G8460" t="s">
        <v>76</v>
      </c>
      <c r="H8460">
        <v>982088315</v>
      </c>
      <c r="I8460" t="s">
        <v>30</v>
      </c>
      <c r="J8460" t="s">
        <v>41</v>
      </c>
      <c r="K8460" t="s">
        <v>482</v>
      </c>
      <c r="Q8460">
        <v>0</v>
      </c>
      <c r="R8460">
        <v>58</v>
      </c>
      <c r="S8460">
        <v>58</v>
      </c>
      <c r="T8460" t="s">
        <v>31976</v>
      </c>
    </row>
    <row r="8461" spans="1:20" customFormat="1" ht="15" x14ac:dyDescent="0.25">
      <c r="A8461" t="s">
        <v>35</v>
      </c>
      <c r="B8461" t="s">
        <v>17242</v>
      </c>
      <c r="C8461" t="str">
        <f>"A0180890"</f>
        <v>A0180890</v>
      </c>
      <c r="D8461" t="s">
        <v>31977</v>
      </c>
      <c r="E8461" t="s">
        <v>31978</v>
      </c>
      <c r="F8461" t="s">
        <v>13336</v>
      </c>
      <c r="G8461" t="s">
        <v>117</v>
      </c>
      <c r="H8461">
        <v>49017</v>
      </c>
      <c r="I8461" t="s">
        <v>30</v>
      </c>
      <c r="J8461" t="s">
        <v>41</v>
      </c>
      <c r="K8461" t="s">
        <v>482</v>
      </c>
      <c r="Q8461">
        <v>0</v>
      </c>
      <c r="R8461">
        <v>50</v>
      </c>
      <c r="S8461">
        <v>50</v>
      </c>
      <c r="T8461" t="s">
        <v>31979</v>
      </c>
    </row>
    <row r="8462" spans="1:20" customFormat="1" ht="15" x14ac:dyDescent="0.25">
      <c r="A8462" t="s">
        <v>35</v>
      </c>
      <c r="B8462" t="s">
        <v>11692</v>
      </c>
      <c r="C8462" t="str">
        <f>"A0180889"</f>
        <v>A0180889</v>
      </c>
      <c r="D8462" t="s">
        <v>31980</v>
      </c>
      <c r="E8462" t="s">
        <v>31981</v>
      </c>
      <c r="F8462" t="s">
        <v>11695</v>
      </c>
      <c r="G8462" t="s">
        <v>117</v>
      </c>
      <c r="H8462">
        <v>490016513</v>
      </c>
      <c r="I8462" t="s">
        <v>30</v>
      </c>
      <c r="J8462" t="s">
        <v>41</v>
      </c>
      <c r="K8462" t="s">
        <v>482</v>
      </c>
      <c r="Q8462">
        <v>0</v>
      </c>
      <c r="R8462">
        <v>0</v>
      </c>
      <c r="S8462">
        <v>0</v>
      </c>
    </row>
    <row r="8463" spans="1:20" customFormat="1" ht="15" x14ac:dyDescent="0.25">
      <c r="A8463" t="s">
        <v>35</v>
      </c>
      <c r="B8463" t="s">
        <v>61</v>
      </c>
      <c r="C8463" t="str">
        <f>"A0180887"</f>
        <v>A0180887</v>
      </c>
      <c r="D8463" t="s">
        <v>31982</v>
      </c>
      <c r="E8463" t="s">
        <v>31983</v>
      </c>
      <c r="F8463" t="s">
        <v>31984</v>
      </c>
      <c r="G8463" t="s">
        <v>47</v>
      </c>
      <c r="H8463">
        <v>979133442</v>
      </c>
      <c r="I8463" t="s">
        <v>30</v>
      </c>
      <c r="J8463" t="s">
        <v>41</v>
      </c>
      <c r="K8463" t="s">
        <v>482</v>
      </c>
      <c r="Q8463">
        <v>0</v>
      </c>
      <c r="R8463">
        <v>0</v>
      </c>
      <c r="S8463">
        <v>0</v>
      </c>
      <c r="T8463" t="s">
        <v>31985</v>
      </c>
    </row>
    <row r="8464" spans="1:20" customFormat="1" ht="15" x14ac:dyDescent="0.25">
      <c r="A8464" t="s">
        <v>35</v>
      </c>
      <c r="B8464" t="s">
        <v>61</v>
      </c>
      <c r="C8464" t="str">
        <f>"A0180886"</f>
        <v>A0180886</v>
      </c>
      <c r="D8464" t="s">
        <v>31986</v>
      </c>
      <c r="E8464" t="s">
        <v>31987</v>
      </c>
      <c r="F8464" t="s">
        <v>4746</v>
      </c>
      <c r="G8464" t="s">
        <v>47</v>
      </c>
      <c r="H8464">
        <v>973553193</v>
      </c>
      <c r="I8464" t="s">
        <v>30</v>
      </c>
      <c r="J8464" t="s">
        <v>41</v>
      </c>
      <c r="K8464" t="s">
        <v>482</v>
      </c>
      <c r="Q8464">
        <v>0</v>
      </c>
      <c r="R8464">
        <v>42</v>
      </c>
      <c r="S8464">
        <v>42</v>
      </c>
      <c r="T8464" t="s">
        <v>31988</v>
      </c>
    </row>
    <row r="8465" spans="1:20" customFormat="1" ht="15" x14ac:dyDescent="0.25">
      <c r="A8465" t="s">
        <v>35</v>
      </c>
      <c r="B8465" t="s">
        <v>61</v>
      </c>
      <c r="C8465" t="str">
        <f>"A0180885"</f>
        <v>A0180885</v>
      </c>
      <c r="D8465" t="s">
        <v>31989</v>
      </c>
      <c r="E8465" t="s">
        <v>31990</v>
      </c>
      <c r="F8465" t="s">
        <v>1431</v>
      </c>
      <c r="G8465" t="s">
        <v>47</v>
      </c>
      <c r="H8465">
        <v>97205</v>
      </c>
      <c r="I8465" t="s">
        <v>30</v>
      </c>
      <c r="J8465" t="s">
        <v>41</v>
      </c>
      <c r="K8465" t="s">
        <v>482</v>
      </c>
      <c r="Q8465">
        <v>0</v>
      </c>
      <c r="R8465">
        <v>80</v>
      </c>
      <c r="S8465">
        <v>80</v>
      </c>
      <c r="T8465" t="s">
        <v>31991</v>
      </c>
    </row>
    <row r="8466" spans="1:20" customFormat="1" ht="15" x14ac:dyDescent="0.25">
      <c r="A8466" t="s">
        <v>35</v>
      </c>
      <c r="B8466" t="s">
        <v>61</v>
      </c>
      <c r="C8466" t="str">
        <f>"A0180884"</f>
        <v>A0180884</v>
      </c>
      <c r="D8466" t="s">
        <v>31992</v>
      </c>
      <c r="E8466" t="s">
        <v>31993</v>
      </c>
      <c r="F8466" t="s">
        <v>31994</v>
      </c>
      <c r="G8466" t="s">
        <v>2391</v>
      </c>
      <c r="H8466" t="s">
        <v>31995</v>
      </c>
      <c r="I8466" t="s">
        <v>30</v>
      </c>
      <c r="J8466" t="s">
        <v>41</v>
      </c>
      <c r="K8466" t="s">
        <v>482</v>
      </c>
      <c r="Q8466">
        <v>0</v>
      </c>
      <c r="R8466">
        <v>29</v>
      </c>
      <c r="S8466">
        <v>29</v>
      </c>
      <c r="T8466" t="s">
        <v>31996</v>
      </c>
    </row>
    <row r="8467" spans="1:20" customFormat="1" ht="15" x14ac:dyDescent="0.25">
      <c r="A8467" t="s">
        <v>35</v>
      </c>
      <c r="B8467" t="s">
        <v>61</v>
      </c>
      <c r="C8467" t="str">
        <f>"A0180883"</f>
        <v>A0180883</v>
      </c>
      <c r="D8467" t="s">
        <v>31997</v>
      </c>
      <c r="E8467" t="s">
        <v>3192</v>
      </c>
      <c r="F8467" t="s">
        <v>3193</v>
      </c>
      <c r="G8467" t="s">
        <v>58</v>
      </c>
      <c r="H8467" t="s">
        <v>31998</v>
      </c>
      <c r="I8467" t="s">
        <v>30</v>
      </c>
      <c r="J8467" t="s">
        <v>41</v>
      </c>
      <c r="K8467" t="s">
        <v>482</v>
      </c>
      <c r="Q8467">
        <v>0</v>
      </c>
      <c r="R8467">
        <v>15</v>
      </c>
      <c r="S8467">
        <v>15</v>
      </c>
      <c r="T8467" t="s">
        <v>31999</v>
      </c>
    </row>
    <row r="8468" spans="1:20" customFormat="1" ht="15" x14ac:dyDescent="0.25">
      <c r="A8468" t="s">
        <v>35</v>
      </c>
      <c r="B8468" t="s">
        <v>61</v>
      </c>
      <c r="C8468" t="str">
        <f>"A0180882"</f>
        <v>A0180882</v>
      </c>
      <c r="D8468" t="s">
        <v>32000</v>
      </c>
      <c r="E8468" t="s">
        <v>19048</v>
      </c>
      <c r="F8468" t="s">
        <v>2670</v>
      </c>
      <c r="G8468" t="s">
        <v>880</v>
      </c>
      <c r="H8468" t="s">
        <v>32001</v>
      </c>
      <c r="I8468" t="s">
        <v>30</v>
      </c>
      <c r="J8468" t="s">
        <v>41</v>
      </c>
      <c r="K8468" t="s">
        <v>482</v>
      </c>
      <c r="Q8468">
        <v>0</v>
      </c>
      <c r="R8468">
        <v>50</v>
      </c>
      <c r="S8468">
        <v>50</v>
      </c>
      <c r="T8468" t="s">
        <v>32002</v>
      </c>
    </row>
    <row r="8469" spans="1:20" customFormat="1" ht="15" x14ac:dyDescent="0.25">
      <c r="A8469" t="s">
        <v>35</v>
      </c>
      <c r="B8469" t="s">
        <v>61</v>
      </c>
      <c r="C8469" t="str">
        <f>"A0180881"</f>
        <v>A0180881</v>
      </c>
      <c r="D8469" t="s">
        <v>32003</v>
      </c>
      <c r="E8469" t="s">
        <v>32004</v>
      </c>
      <c r="F8469" t="s">
        <v>31956</v>
      </c>
      <c r="G8469" t="s">
        <v>40</v>
      </c>
      <c r="H8469">
        <v>73644</v>
      </c>
      <c r="I8469" t="s">
        <v>30</v>
      </c>
      <c r="J8469" t="s">
        <v>41</v>
      </c>
      <c r="K8469" t="s">
        <v>482</v>
      </c>
      <c r="Q8469">
        <v>0</v>
      </c>
      <c r="R8469">
        <v>60</v>
      </c>
      <c r="S8469">
        <v>60</v>
      </c>
    </row>
    <row r="8470" spans="1:20" customFormat="1" ht="15" x14ac:dyDescent="0.25">
      <c r="A8470" t="s">
        <v>35</v>
      </c>
      <c r="B8470" t="s">
        <v>61</v>
      </c>
      <c r="C8470" t="str">
        <f>"A0180880"</f>
        <v>A0180880</v>
      </c>
      <c r="D8470" t="s">
        <v>32005</v>
      </c>
      <c r="E8470" t="s">
        <v>32006</v>
      </c>
      <c r="F8470" t="s">
        <v>20911</v>
      </c>
      <c r="G8470" t="s">
        <v>52</v>
      </c>
      <c r="H8470" t="s">
        <v>32007</v>
      </c>
      <c r="I8470" t="s">
        <v>30</v>
      </c>
      <c r="J8470" t="s">
        <v>41</v>
      </c>
      <c r="K8470" t="s">
        <v>482</v>
      </c>
      <c r="Q8470">
        <v>0</v>
      </c>
      <c r="R8470">
        <v>62</v>
      </c>
      <c r="S8470">
        <v>62</v>
      </c>
      <c r="T8470" t="s">
        <v>32008</v>
      </c>
    </row>
    <row r="8471" spans="1:20" customFormat="1" ht="15" x14ac:dyDescent="0.25">
      <c r="A8471" t="s">
        <v>35</v>
      </c>
      <c r="B8471" t="s">
        <v>32009</v>
      </c>
      <c r="C8471" t="str">
        <f>"A0180879"</f>
        <v>A0180879</v>
      </c>
      <c r="D8471" t="s">
        <v>32010</v>
      </c>
      <c r="E8471" t="s">
        <v>32011</v>
      </c>
      <c r="F8471" t="s">
        <v>1444</v>
      </c>
      <c r="G8471" t="s">
        <v>76</v>
      </c>
      <c r="H8471">
        <v>981186425</v>
      </c>
      <c r="I8471" t="s">
        <v>30</v>
      </c>
      <c r="J8471" t="s">
        <v>41</v>
      </c>
      <c r="K8471" t="s">
        <v>482</v>
      </c>
      <c r="Q8471">
        <v>0</v>
      </c>
      <c r="R8471">
        <v>100</v>
      </c>
      <c r="S8471">
        <v>100</v>
      </c>
      <c r="T8471" t="s">
        <v>32012</v>
      </c>
    </row>
    <row r="8472" spans="1:20" customFormat="1" ht="15" x14ac:dyDescent="0.25">
      <c r="A8472" t="s">
        <v>35</v>
      </c>
      <c r="B8472" t="s">
        <v>61</v>
      </c>
      <c r="C8472" t="str">
        <f>"A0180878"</f>
        <v>A0180878</v>
      </c>
      <c r="D8472" t="s">
        <v>32013</v>
      </c>
      <c r="E8472" t="s">
        <v>32014</v>
      </c>
      <c r="F8472" t="s">
        <v>23046</v>
      </c>
      <c r="G8472" t="s">
        <v>103</v>
      </c>
      <c r="H8472">
        <v>19565</v>
      </c>
      <c r="I8472" t="s">
        <v>30</v>
      </c>
      <c r="J8472" t="s">
        <v>41</v>
      </c>
      <c r="K8472" t="s">
        <v>482</v>
      </c>
      <c r="Q8472">
        <v>0</v>
      </c>
      <c r="R8472">
        <v>55</v>
      </c>
      <c r="S8472">
        <v>55</v>
      </c>
      <c r="T8472" t="s">
        <v>32015</v>
      </c>
    </row>
    <row r="8473" spans="1:20" customFormat="1" ht="15" x14ac:dyDescent="0.25">
      <c r="A8473" t="s">
        <v>35</v>
      </c>
      <c r="B8473" t="s">
        <v>61</v>
      </c>
      <c r="C8473" t="str">
        <f>"A0180877"</f>
        <v>A0180877</v>
      </c>
      <c r="D8473" t="s">
        <v>32016</v>
      </c>
      <c r="E8473" t="s">
        <v>32017</v>
      </c>
      <c r="F8473" t="s">
        <v>32018</v>
      </c>
      <c r="G8473" t="s">
        <v>90</v>
      </c>
      <c r="H8473" t="s">
        <v>32019</v>
      </c>
      <c r="I8473" t="s">
        <v>30</v>
      </c>
      <c r="J8473" t="s">
        <v>41</v>
      </c>
      <c r="K8473" t="s">
        <v>482</v>
      </c>
      <c r="Q8473">
        <v>0</v>
      </c>
      <c r="R8473">
        <v>39</v>
      </c>
      <c r="S8473">
        <v>39</v>
      </c>
      <c r="T8473" t="s">
        <v>32020</v>
      </c>
    </row>
    <row r="8474" spans="1:20" customFormat="1" ht="15" x14ac:dyDescent="0.25">
      <c r="A8474" t="s">
        <v>35</v>
      </c>
      <c r="B8474" t="s">
        <v>61</v>
      </c>
      <c r="C8474" t="str">
        <f>"A0180876"</f>
        <v>A0180876</v>
      </c>
      <c r="D8474" t="s">
        <v>32021</v>
      </c>
      <c r="E8474" t="s">
        <v>32022</v>
      </c>
      <c r="F8474" t="s">
        <v>19233</v>
      </c>
      <c r="G8474" t="s">
        <v>289</v>
      </c>
      <c r="H8474" t="s">
        <v>32023</v>
      </c>
      <c r="I8474" t="s">
        <v>30</v>
      </c>
      <c r="J8474" t="s">
        <v>41</v>
      </c>
      <c r="K8474" t="s">
        <v>482</v>
      </c>
      <c r="Q8474">
        <v>0</v>
      </c>
      <c r="R8474">
        <v>46</v>
      </c>
      <c r="S8474">
        <v>46</v>
      </c>
      <c r="T8474" t="s">
        <v>32024</v>
      </c>
    </row>
    <row r="8475" spans="1:20" customFormat="1" ht="15" x14ac:dyDescent="0.25">
      <c r="A8475" t="s">
        <v>35</v>
      </c>
      <c r="B8475" t="s">
        <v>61</v>
      </c>
      <c r="C8475" t="str">
        <f>"A0180875"</f>
        <v>A0180875</v>
      </c>
      <c r="D8475" t="s">
        <v>32025</v>
      </c>
      <c r="E8475" t="s">
        <v>32026</v>
      </c>
      <c r="F8475" t="s">
        <v>32027</v>
      </c>
      <c r="G8475" t="s">
        <v>289</v>
      </c>
      <c r="H8475" t="s">
        <v>32028</v>
      </c>
      <c r="I8475" t="s">
        <v>30</v>
      </c>
      <c r="J8475" t="s">
        <v>41</v>
      </c>
      <c r="K8475" t="s">
        <v>482</v>
      </c>
      <c r="Q8475">
        <v>0</v>
      </c>
      <c r="R8475">
        <v>80</v>
      </c>
      <c r="S8475">
        <v>80</v>
      </c>
      <c r="T8475" t="s">
        <v>32029</v>
      </c>
    </row>
    <row r="8476" spans="1:20" customFormat="1" ht="15" x14ac:dyDescent="0.25">
      <c r="A8476" t="s">
        <v>35</v>
      </c>
      <c r="B8476" t="s">
        <v>61</v>
      </c>
      <c r="C8476" t="str">
        <f>"A0180874"</f>
        <v>A0180874</v>
      </c>
      <c r="D8476" t="s">
        <v>32030</v>
      </c>
      <c r="E8476" t="s">
        <v>32031</v>
      </c>
      <c r="F8476" t="s">
        <v>1423</v>
      </c>
      <c r="G8476" t="s">
        <v>52</v>
      </c>
      <c r="H8476" t="s">
        <v>32032</v>
      </c>
      <c r="I8476" t="s">
        <v>30</v>
      </c>
      <c r="J8476" t="s">
        <v>41</v>
      </c>
      <c r="K8476" t="s">
        <v>482</v>
      </c>
      <c r="Q8476">
        <v>0</v>
      </c>
      <c r="R8476">
        <v>60</v>
      </c>
      <c r="S8476">
        <v>60</v>
      </c>
      <c r="T8476" t="s">
        <v>19158</v>
      </c>
    </row>
    <row r="8477" spans="1:20" customFormat="1" ht="15" x14ac:dyDescent="0.25">
      <c r="A8477" t="s">
        <v>35</v>
      </c>
      <c r="B8477" t="s">
        <v>61</v>
      </c>
      <c r="C8477" t="str">
        <f>"A0180873"</f>
        <v>A0180873</v>
      </c>
      <c r="D8477" t="s">
        <v>32033</v>
      </c>
      <c r="E8477" t="s">
        <v>32034</v>
      </c>
      <c r="F8477" t="s">
        <v>4629</v>
      </c>
      <c r="G8477" t="s">
        <v>103</v>
      </c>
      <c r="H8477" t="s">
        <v>32035</v>
      </c>
      <c r="I8477" t="s">
        <v>30</v>
      </c>
      <c r="J8477" t="s">
        <v>41</v>
      </c>
      <c r="K8477" t="s">
        <v>482</v>
      </c>
      <c r="Q8477">
        <v>0</v>
      </c>
      <c r="R8477">
        <v>45</v>
      </c>
      <c r="S8477">
        <v>45</v>
      </c>
      <c r="T8477" t="s">
        <v>32036</v>
      </c>
    </row>
    <row r="8478" spans="1:20" customFormat="1" ht="15" x14ac:dyDescent="0.25">
      <c r="A8478" t="s">
        <v>35</v>
      </c>
      <c r="B8478" t="s">
        <v>61</v>
      </c>
      <c r="C8478" t="str">
        <f>"A0180872"</f>
        <v>A0180872</v>
      </c>
      <c r="D8478" t="s">
        <v>32037</v>
      </c>
      <c r="E8478" t="s">
        <v>32038</v>
      </c>
      <c r="F8478" t="s">
        <v>1755</v>
      </c>
      <c r="G8478" t="s">
        <v>289</v>
      </c>
      <c r="H8478" t="s">
        <v>32039</v>
      </c>
      <c r="I8478" t="s">
        <v>30</v>
      </c>
      <c r="J8478" t="s">
        <v>41</v>
      </c>
      <c r="K8478" t="s">
        <v>482</v>
      </c>
      <c r="Q8478">
        <v>0</v>
      </c>
      <c r="R8478">
        <v>0</v>
      </c>
      <c r="S8478">
        <v>0</v>
      </c>
      <c r="T8478" t="s">
        <v>32040</v>
      </c>
    </row>
    <row r="8479" spans="1:20" customFormat="1" ht="15" x14ac:dyDescent="0.25">
      <c r="A8479" t="s">
        <v>35</v>
      </c>
      <c r="B8479" t="s">
        <v>61</v>
      </c>
      <c r="C8479" t="str">
        <f>"A0180871"</f>
        <v>A0180871</v>
      </c>
      <c r="D8479" t="s">
        <v>32041</v>
      </c>
      <c r="E8479" t="s">
        <v>32042</v>
      </c>
      <c r="F8479" t="s">
        <v>18797</v>
      </c>
      <c r="G8479" t="s">
        <v>103</v>
      </c>
      <c r="H8479" t="s">
        <v>32043</v>
      </c>
      <c r="I8479" t="s">
        <v>30</v>
      </c>
      <c r="J8479" t="s">
        <v>41</v>
      </c>
      <c r="K8479" t="s">
        <v>482</v>
      </c>
      <c r="Q8479">
        <v>0</v>
      </c>
      <c r="R8479">
        <v>48</v>
      </c>
      <c r="S8479">
        <v>48</v>
      </c>
      <c r="T8479" t="s">
        <v>32044</v>
      </c>
    </row>
    <row r="8480" spans="1:20" customFormat="1" ht="15" x14ac:dyDescent="0.25">
      <c r="A8480" t="s">
        <v>35</v>
      </c>
      <c r="B8480" t="s">
        <v>61</v>
      </c>
      <c r="C8480" t="str">
        <f>"A0180870"</f>
        <v>A0180870</v>
      </c>
      <c r="D8480" t="s">
        <v>32045</v>
      </c>
      <c r="E8480" t="s">
        <v>32046</v>
      </c>
      <c r="F8480" t="s">
        <v>32047</v>
      </c>
      <c r="G8480" t="s">
        <v>103</v>
      </c>
      <c r="H8480" t="s">
        <v>32048</v>
      </c>
      <c r="I8480" t="s">
        <v>30</v>
      </c>
      <c r="J8480" t="s">
        <v>41</v>
      </c>
      <c r="K8480" t="s">
        <v>482</v>
      </c>
      <c r="Q8480">
        <v>0</v>
      </c>
      <c r="R8480">
        <v>102</v>
      </c>
      <c r="S8480">
        <v>102</v>
      </c>
      <c r="T8480" t="s">
        <v>32049</v>
      </c>
    </row>
    <row r="8481" spans="1:20" customFormat="1" ht="15" x14ac:dyDescent="0.25">
      <c r="A8481" t="s">
        <v>35</v>
      </c>
      <c r="B8481" t="s">
        <v>61</v>
      </c>
      <c r="C8481" t="str">
        <f>"A0180869"</f>
        <v>A0180869</v>
      </c>
      <c r="D8481" t="s">
        <v>32050</v>
      </c>
      <c r="E8481" t="s">
        <v>32051</v>
      </c>
      <c r="F8481" t="s">
        <v>32052</v>
      </c>
      <c r="G8481" t="s">
        <v>103</v>
      </c>
      <c r="H8481" t="s">
        <v>32053</v>
      </c>
      <c r="I8481" t="s">
        <v>30</v>
      </c>
      <c r="J8481" t="s">
        <v>41</v>
      </c>
      <c r="K8481" t="s">
        <v>482</v>
      </c>
      <c r="Q8481">
        <v>0</v>
      </c>
      <c r="R8481">
        <v>32</v>
      </c>
      <c r="S8481">
        <v>32</v>
      </c>
      <c r="T8481" t="s">
        <v>32054</v>
      </c>
    </row>
    <row r="8482" spans="1:20" customFormat="1" ht="15" x14ac:dyDescent="0.25">
      <c r="A8482" t="s">
        <v>35</v>
      </c>
      <c r="B8482" t="s">
        <v>61</v>
      </c>
      <c r="C8482" t="str">
        <f>"A0180868"</f>
        <v>A0180868</v>
      </c>
      <c r="D8482" t="s">
        <v>32055</v>
      </c>
      <c r="E8482" t="s">
        <v>32056</v>
      </c>
      <c r="F8482" t="s">
        <v>510</v>
      </c>
      <c r="G8482" t="s">
        <v>58</v>
      </c>
      <c r="H8482" t="s">
        <v>32057</v>
      </c>
      <c r="I8482" t="s">
        <v>30</v>
      </c>
      <c r="J8482" t="s">
        <v>41</v>
      </c>
      <c r="K8482" t="s">
        <v>482</v>
      </c>
      <c r="Q8482">
        <v>0</v>
      </c>
      <c r="R8482">
        <v>25</v>
      </c>
      <c r="S8482">
        <v>25</v>
      </c>
      <c r="T8482" t="s">
        <v>32058</v>
      </c>
    </row>
    <row r="8483" spans="1:20" customFormat="1" ht="15" x14ac:dyDescent="0.25">
      <c r="A8483" t="s">
        <v>35</v>
      </c>
      <c r="B8483" t="s">
        <v>61</v>
      </c>
      <c r="C8483" t="str">
        <f>"A0180867"</f>
        <v>A0180867</v>
      </c>
      <c r="D8483" t="s">
        <v>32059</v>
      </c>
      <c r="E8483" t="s">
        <v>32060</v>
      </c>
      <c r="F8483" t="s">
        <v>488</v>
      </c>
      <c r="G8483" t="s">
        <v>103</v>
      </c>
      <c r="H8483" t="s">
        <v>32061</v>
      </c>
      <c r="I8483" t="s">
        <v>30</v>
      </c>
      <c r="J8483" t="s">
        <v>41</v>
      </c>
      <c r="K8483" t="s">
        <v>482</v>
      </c>
      <c r="Q8483">
        <v>0</v>
      </c>
      <c r="R8483">
        <v>42</v>
      </c>
      <c r="S8483">
        <v>42</v>
      </c>
      <c r="T8483" t="s">
        <v>32062</v>
      </c>
    </row>
    <row r="8484" spans="1:20" customFormat="1" ht="15" x14ac:dyDescent="0.25">
      <c r="A8484" t="s">
        <v>35</v>
      </c>
      <c r="B8484" t="s">
        <v>61</v>
      </c>
      <c r="C8484" t="str">
        <f>"A0180866"</f>
        <v>A0180866</v>
      </c>
      <c r="D8484" t="s">
        <v>32063</v>
      </c>
      <c r="E8484" t="s">
        <v>32064</v>
      </c>
      <c r="F8484" t="s">
        <v>32065</v>
      </c>
      <c r="G8484" t="s">
        <v>103</v>
      </c>
      <c r="H8484" t="s">
        <v>32066</v>
      </c>
      <c r="I8484" t="s">
        <v>30</v>
      </c>
      <c r="J8484" t="s">
        <v>41</v>
      </c>
      <c r="K8484" t="s">
        <v>482</v>
      </c>
      <c r="Q8484">
        <v>0</v>
      </c>
      <c r="R8484">
        <v>38</v>
      </c>
      <c r="S8484">
        <v>38</v>
      </c>
      <c r="T8484" t="s">
        <v>32067</v>
      </c>
    </row>
    <row r="8485" spans="1:20" customFormat="1" ht="15" x14ac:dyDescent="0.25">
      <c r="A8485" t="s">
        <v>35</v>
      </c>
      <c r="B8485" t="s">
        <v>11871</v>
      </c>
      <c r="C8485" t="str">
        <f>"A0180865"</f>
        <v>A0180865</v>
      </c>
      <c r="D8485" t="s">
        <v>27431</v>
      </c>
      <c r="E8485" t="s">
        <v>20620</v>
      </c>
      <c r="F8485" t="s">
        <v>20621</v>
      </c>
      <c r="G8485" t="s">
        <v>103</v>
      </c>
      <c r="H8485" t="s">
        <v>20622</v>
      </c>
      <c r="I8485" t="s">
        <v>30</v>
      </c>
      <c r="J8485" t="s">
        <v>41</v>
      </c>
      <c r="K8485" t="s">
        <v>482</v>
      </c>
      <c r="Q8485">
        <v>0</v>
      </c>
      <c r="R8485">
        <v>0</v>
      </c>
      <c r="S8485">
        <v>0</v>
      </c>
      <c r="T8485" t="s">
        <v>32068</v>
      </c>
    </row>
    <row r="8486" spans="1:20" customFormat="1" ht="15" x14ac:dyDescent="0.25">
      <c r="A8486" t="s">
        <v>35</v>
      </c>
      <c r="B8486" t="s">
        <v>61</v>
      </c>
      <c r="C8486" t="str">
        <f>"A0180864"</f>
        <v>A0180864</v>
      </c>
      <c r="D8486" t="s">
        <v>32069</v>
      </c>
      <c r="E8486" t="s">
        <v>32070</v>
      </c>
      <c r="F8486" t="s">
        <v>4112</v>
      </c>
      <c r="G8486" t="s">
        <v>71</v>
      </c>
      <c r="H8486" t="s">
        <v>32071</v>
      </c>
      <c r="I8486" t="s">
        <v>30</v>
      </c>
      <c r="J8486" t="s">
        <v>41</v>
      </c>
      <c r="K8486" t="s">
        <v>482</v>
      </c>
      <c r="Q8486">
        <v>0</v>
      </c>
      <c r="R8486">
        <v>90</v>
      </c>
      <c r="S8486">
        <v>90</v>
      </c>
      <c r="T8486" t="s">
        <v>20120</v>
      </c>
    </row>
    <row r="8487" spans="1:20" customFormat="1" ht="15" x14ac:dyDescent="0.25">
      <c r="A8487" t="s">
        <v>35</v>
      </c>
      <c r="B8487" t="s">
        <v>61</v>
      </c>
      <c r="C8487" t="str">
        <f>"A0180863"</f>
        <v>A0180863</v>
      </c>
      <c r="D8487" t="s">
        <v>32072</v>
      </c>
      <c r="E8487" t="s">
        <v>32073</v>
      </c>
      <c r="F8487" t="s">
        <v>20911</v>
      </c>
      <c r="G8487" t="s">
        <v>52</v>
      </c>
      <c r="H8487" t="s">
        <v>32074</v>
      </c>
      <c r="I8487" t="s">
        <v>30</v>
      </c>
      <c r="J8487" t="s">
        <v>41</v>
      </c>
      <c r="K8487" t="s">
        <v>482</v>
      </c>
      <c r="Q8487">
        <v>0</v>
      </c>
      <c r="R8487">
        <v>62</v>
      </c>
      <c r="S8487">
        <v>62</v>
      </c>
      <c r="T8487" t="s">
        <v>32008</v>
      </c>
    </row>
    <row r="8488" spans="1:20" customFormat="1" ht="15" x14ac:dyDescent="0.25">
      <c r="A8488" t="s">
        <v>35</v>
      </c>
      <c r="B8488" t="s">
        <v>61</v>
      </c>
      <c r="C8488" t="str">
        <f>"A0180862"</f>
        <v>A0180862</v>
      </c>
      <c r="D8488" t="s">
        <v>32075</v>
      </c>
      <c r="E8488" t="s">
        <v>32076</v>
      </c>
      <c r="F8488" t="s">
        <v>28208</v>
      </c>
      <c r="G8488" t="s">
        <v>161</v>
      </c>
      <c r="H8488" t="s">
        <v>32077</v>
      </c>
      <c r="I8488" t="s">
        <v>30</v>
      </c>
      <c r="J8488" t="s">
        <v>41</v>
      </c>
      <c r="K8488" t="s">
        <v>482</v>
      </c>
      <c r="Q8488">
        <v>0</v>
      </c>
      <c r="R8488">
        <v>30</v>
      </c>
      <c r="S8488">
        <v>30</v>
      </c>
      <c r="T8488" t="s">
        <v>32078</v>
      </c>
    </row>
    <row r="8489" spans="1:20" customFormat="1" ht="15" x14ac:dyDescent="0.25">
      <c r="A8489" t="s">
        <v>35</v>
      </c>
      <c r="B8489" t="s">
        <v>61</v>
      </c>
      <c r="C8489" t="str">
        <f>"A0180861"</f>
        <v>A0180861</v>
      </c>
      <c r="D8489" t="s">
        <v>32079</v>
      </c>
      <c r="E8489" t="s">
        <v>32080</v>
      </c>
      <c r="F8489" t="s">
        <v>32081</v>
      </c>
      <c r="G8489" t="s">
        <v>103</v>
      </c>
      <c r="H8489" t="s">
        <v>32082</v>
      </c>
      <c r="I8489" t="s">
        <v>30</v>
      </c>
      <c r="J8489" t="s">
        <v>41</v>
      </c>
      <c r="K8489" t="s">
        <v>482</v>
      </c>
      <c r="Q8489">
        <v>0</v>
      </c>
      <c r="R8489">
        <v>64</v>
      </c>
      <c r="S8489">
        <v>64</v>
      </c>
      <c r="T8489" t="s">
        <v>32083</v>
      </c>
    </row>
    <row r="8490" spans="1:20" customFormat="1" ht="15" x14ac:dyDescent="0.25">
      <c r="A8490" t="s">
        <v>35</v>
      </c>
      <c r="B8490" t="s">
        <v>61</v>
      </c>
      <c r="C8490" t="str">
        <f>"A0180860"</f>
        <v>A0180860</v>
      </c>
      <c r="D8490" t="s">
        <v>32084</v>
      </c>
      <c r="E8490" t="s">
        <v>32085</v>
      </c>
      <c r="F8490" t="s">
        <v>1977</v>
      </c>
      <c r="G8490" t="s">
        <v>161</v>
      </c>
      <c r="H8490" t="s">
        <v>32086</v>
      </c>
      <c r="I8490" t="s">
        <v>30</v>
      </c>
      <c r="J8490" t="s">
        <v>41</v>
      </c>
      <c r="K8490" t="s">
        <v>482</v>
      </c>
      <c r="Q8490">
        <v>0</v>
      </c>
      <c r="R8490">
        <v>62</v>
      </c>
      <c r="S8490">
        <v>62</v>
      </c>
      <c r="T8490" t="s">
        <v>32087</v>
      </c>
    </row>
    <row r="8491" spans="1:20" customFormat="1" ht="15" x14ac:dyDescent="0.25">
      <c r="A8491" t="s">
        <v>35</v>
      </c>
      <c r="B8491" t="s">
        <v>61</v>
      </c>
      <c r="C8491" t="str">
        <f>"A0180859"</f>
        <v>A0180859</v>
      </c>
      <c r="D8491" t="s">
        <v>32088</v>
      </c>
      <c r="E8491" t="s">
        <v>32089</v>
      </c>
      <c r="F8491" t="s">
        <v>4674</v>
      </c>
      <c r="G8491" t="s">
        <v>103</v>
      </c>
      <c r="H8491" t="s">
        <v>22954</v>
      </c>
      <c r="I8491" t="s">
        <v>30</v>
      </c>
      <c r="J8491" t="s">
        <v>41</v>
      </c>
      <c r="K8491" t="s">
        <v>482</v>
      </c>
      <c r="Q8491">
        <v>0</v>
      </c>
      <c r="R8491">
        <v>60</v>
      </c>
      <c r="S8491">
        <v>60</v>
      </c>
      <c r="T8491" t="s">
        <v>22955</v>
      </c>
    </row>
    <row r="8492" spans="1:20" customFormat="1" ht="15" x14ac:dyDescent="0.25">
      <c r="A8492" t="s">
        <v>35</v>
      </c>
      <c r="B8492" t="s">
        <v>61</v>
      </c>
      <c r="C8492" t="str">
        <f>"A0180858"</f>
        <v>A0180858</v>
      </c>
      <c r="D8492" t="s">
        <v>32090</v>
      </c>
      <c r="E8492" t="s">
        <v>32091</v>
      </c>
      <c r="F8492" t="s">
        <v>9735</v>
      </c>
      <c r="G8492" t="s">
        <v>71</v>
      </c>
      <c r="H8492">
        <v>54304</v>
      </c>
      <c r="I8492" t="s">
        <v>30</v>
      </c>
      <c r="J8492" t="s">
        <v>41</v>
      </c>
      <c r="K8492" t="s">
        <v>482</v>
      </c>
      <c r="Q8492">
        <v>0</v>
      </c>
      <c r="R8492">
        <v>98</v>
      </c>
      <c r="S8492">
        <v>98</v>
      </c>
      <c r="T8492" t="s">
        <v>32092</v>
      </c>
    </row>
    <row r="8493" spans="1:20" customFormat="1" ht="15" x14ac:dyDescent="0.25">
      <c r="A8493" t="s">
        <v>35</v>
      </c>
      <c r="B8493" t="s">
        <v>61</v>
      </c>
      <c r="C8493" t="str">
        <f>"A0180857"</f>
        <v>A0180857</v>
      </c>
      <c r="D8493" t="s">
        <v>32093</v>
      </c>
      <c r="E8493" t="s">
        <v>32094</v>
      </c>
      <c r="F8493" t="s">
        <v>19333</v>
      </c>
      <c r="G8493" t="s">
        <v>103</v>
      </c>
      <c r="H8493" t="s">
        <v>32095</v>
      </c>
      <c r="I8493" t="s">
        <v>30</v>
      </c>
      <c r="J8493" t="s">
        <v>41</v>
      </c>
      <c r="K8493" t="s">
        <v>482</v>
      </c>
      <c r="Q8493">
        <v>0</v>
      </c>
      <c r="R8493">
        <v>0</v>
      </c>
      <c r="S8493">
        <v>0</v>
      </c>
      <c r="T8493" t="s">
        <v>32096</v>
      </c>
    </row>
    <row r="8494" spans="1:20" customFormat="1" ht="15" x14ac:dyDescent="0.25">
      <c r="A8494" t="s">
        <v>35</v>
      </c>
      <c r="B8494" t="s">
        <v>61</v>
      </c>
      <c r="C8494" t="str">
        <f>"A0180856"</f>
        <v>A0180856</v>
      </c>
      <c r="D8494" t="s">
        <v>32097</v>
      </c>
      <c r="E8494" t="s">
        <v>32098</v>
      </c>
      <c r="F8494" t="s">
        <v>5292</v>
      </c>
      <c r="G8494" t="s">
        <v>427</v>
      </c>
      <c r="H8494">
        <v>685166634</v>
      </c>
      <c r="I8494" t="s">
        <v>30</v>
      </c>
      <c r="J8494" t="s">
        <v>41</v>
      </c>
      <c r="K8494" t="s">
        <v>482</v>
      </c>
      <c r="Q8494">
        <v>0</v>
      </c>
      <c r="R8494">
        <v>30</v>
      </c>
      <c r="S8494">
        <v>30</v>
      </c>
      <c r="T8494" t="s">
        <v>32099</v>
      </c>
    </row>
    <row r="8495" spans="1:20" customFormat="1" ht="15" x14ac:dyDescent="0.25">
      <c r="A8495" t="s">
        <v>35</v>
      </c>
      <c r="B8495" t="s">
        <v>61</v>
      </c>
      <c r="C8495" t="str">
        <f>"A0180855"</f>
        <v>A0180855</v>
      </c>
      <c r="D8495" t="s">
        <v>32100</v>
      </c>
      <c r="E8495" t="s">
        <v>32101</v>
      </c>
      <c r="F8495" t="s">
        <v>102</v>
      </c>
      <c r="G8495" t="s">
        <v>103</v>
      </c>
      <c r="H8495" t="s">
        <v>18794</v>
      </c>
      <c r="I8495" t="s">
        <v>30</v>
      </c>
      <c r="J8495" t="s">
        <v>41</v>
      </c>
      <c r="K8495" t="s">
        <v>482</v>
      </c>
      <c r="Q8495">
        <v>0</v>
      </c>
      <c r="R8495">
        <v>40</v>
      </c>
      <c r="S8495">
        <v>40</v>
      </c>
      <c r="T8495" t="s">
        <v>32102</v>
      </c>
    </row>
    <row r="8496" spans="1:20" customFormat="1" ht="15" x14ac:dyDescent="0.25">
      <c r="A8496" t="s">
        <v>35</v>
      </c>
      <c r="B8496" t="s">
        <v>61</v>
      </c>
      <c r="C8496" t="str">
        <f>"A0180854"</f>
        <v>A0180854</v>
      </c>
      <c r="D8496" t="s">
        <v>32103</v>
      </c>
      <c r="E8496" t="s">
        <v>20114</v>
      </c>
      <c r="F8496" t="s">
        <v>20087</v>
      </c>
      <c r="G8496" t="s">
        <v>71</v>
      </c>
      <c r="H8496" t="s">
        <v>29003</v>
      </c>
      <c r="I8496" t="s">
        <v>30</v>
      </c>
      <c r="J8496" t="s">
        <v>41</v>
      </c>
      <c r="K8496" t="s">
        <v>482</v>
      </c>
      <c r="Q8496">
        <v>0</v>
      </c>
      <c r="R8496">
        <v>20</v>
      </c>
      <c r="S8496">
        <v>20</v>
      </c>
      <c r="T8496" t="s">
        <v>32104</v>
      </c>
    </row>
    <row r="8497" spans="1:20" customFormat="1" ht="15" x14ac:dyDescent="0.25">
      <c r="A8497" t="s">
        <v>35</v>
      </c>
      <c r="B8497" t="s">
        <v>61</v>
      </c>
      <c r="C8497" t="str">
        <f>"A0180853"</f>
        <v>A0180853</v>
      </c>
      <c r="D8497" t="s">
        <v>32105</v>
      </c>
      <c r="E8497" t="s">
        <v>32106</v>
      </c>
      <c r="F8497" t="s">
        <v>20312</v>
      </c>
      <c r="G8497" t="s">
        <v>71</v>
      </c>
      <c r="H8497" t="s">
        <v>32107</v>
      </c>
      <c r="I8497" t="s">
        <v>30</v>
      </c>
      <c r="J8497" t="s">
        <v>41</v>
      </c>
      <c r="K8497" t="s">
        <v>482</v>
      </c>
      <c r="Q8497">
        <v>0</v>
      </c>
      <c r="R8497">
        <v>18</v>
      </c>
      <c r="S8497">
        <v>18</v>
      </c>
      <c r="T8497" t="s">
        <v>20314</v>
      </c>
    </row>
    <row r="8498" spans="1:20" customFormat="1" ht="15" x14ac:dyDescent="0.25">
      <c r="A8498" t="s">
        <v>35</v>
      </c>
      <c r="B8498" t="s">
        <v>61</v>
      </c>
      <c r="C8498" t="str">
        <f>"A0180852"</f>
        <v>A0180852</v>
      </c>
      <c r="D8498" t="s">
        <v>32108</v>
      </c>
      <c r="E8498" t="s">
        <v>27976</v>
      </c>
      <c r="F8498" t="s">
        <v>1373</v>
      </c>
      <c r="G8498" t="s">
        <v>71</v>
      </c>
      <c r="H8498" t="s">
        <v>28953</v>
      </c>
      <c r="I8498" t="s">
        <v>30</v>
      </c>
      <c r="J8498" t="s">
        <v>41</v>
      </c>
      <c r="K8498" t="s">
        <v>482</v>
      </c>
      <c r="Q8498">
        <v>0</v>
      </c>
      <c r="R8498">
        <v>40</v>
      </c>
      <c r="S8498">
        <v>40</v>
      </c>
      <c r="T8498" t="s">
        <v>32109</v>
      </c>
    </row>
    <row r="8499" spans="1:20" customFormat="1" ht="15" x14ac:dyDescent="0.25">
      <c r="A8499" t="s">
        <v>35</v>
      </c>
      <c r="B8499" t="s">
        <v>61</v>
      </c>
      <c r="C8499" t="str">
        <f>"A0180851"</f>
        <v>A0180851</v>
      </c>
      <c r="D8499" t="s">
        <v>32110</v>
      </c>
      <c r="E8499" t="s">
        <v>27976</v>
      </c>
      <c r="F8499" t="s">
        <v>1373</v>
      </c>
      <c r="G8499" t="s">
        <v>71</v>
      </c>
      <c r="H8499" t="s">
        <v>28953</v>
      </c>
      <c r="I8499" t="s">
        <v>30</v>
      </c>
      <c r="J8499" t="s">
        <v>41</v>
      </c>
      <c r="K8499" t="s">
        <v>482</v>
      </c>
      <c r="Q8499">
        <v>0</v>
      </c>
      <c r="R8499">
        <v>20</v>
      </c>
      <c r="S8499">
        <v>20</v>
      </c>
      <c r="T8499" t="s">
        <v>32109</v>
      </c>
    </row>
    <row r="8500" spans="1:20" customFormat="1" ht="15" x14ac:dyDescent="0.25">
      <c r="A8500" t="s">
        <v>35</v>
      </c>
      <c r="B8500" t="s">
        <v>61</v>
      </c>
      <c r="C8500" t="str">
        <f>"A0180850"</f>
        <v>A0180850</v>
      </c>
      <c r="D8500" t="s">
        <v>32111</v>
      </c>
      <c r="E8500" t="s">
        <v>32112</v>
      </c>
      <c r="F8500" t="s">
        <v>1439</v>
      </c>
      <c r="G8500" t="s">
        <v>110</v>
      </c>
      <c r="H8500" t="s">
        <v>32113</v>
      </c>
      <c r="I8500" t="s">
        <v>30</v>
      </c>
      <c r="J8500" t="s">
        <v>41</v>
      </c>
      <c r="K8500" t="s">
        <v>482</v>
      </c>
      <c r="Q8500">
        <v>0</v>
      </c>
      <c r="R8500">
        <v>0</v>
      </c>
      <c r="S8500">
        <v>0</v>
      </c>
      <c r="T8500" t="s">
        <v>32114</v>
      </c>
    </row>
    <row r="8501" spans="1:20" customFormat="1" ht="15" x14ac:dyDescent="0.25">
      <c r="A8501" t="s">
        <v>35</v>
      </c>
      <c r="B8501" t="s">
        <v>61</v>
      </c>
      <c r="C8501" t="str">
        <f>"A0180849"</f>
        <v>A0180849</v>
      </c>
      <c r="D8501" t="s">
        <v>32115</v>
      </c>
      <c r="E8501" t="s">
        <v>32116</v>
      </c>
      <c r="F8501" t="s">
        <v>1373</v>
      </c>
      <c r="G8501" t="s">
        <v>71</v>
      </c>
      <c r="H8501" t="s">
        <v>32117</v>
      </c>
      <c r="I8501" t="s">
        <v>30</v>
      </c>
      <c r="J8501" t="s">
        <v>41</v>
      </c>
      <c r="K8501" t="s">
        <v>482</v>
      </c>
      <c r="Q8501">
        <v>0</v>
      </c>
      <c r="R8501">
        <v>40</v>
      </c>
      <c r="S8501">
        <v>40</v>
      </c>
      <c r="T8501" t="s">
        <v>32118</v>
      </c>
    </row>
    <row r="8502" spans="1:20" customFormat="1" ht="15" x14ac:dyDescent="0.25">
      <c r="A8502" t="s">
        <v>35</v>
      </c>
      <c r="B8502" t="s">
        <v>61</v>
      </c>
      <c r="C8502" t="str">
        <f>"A0180848"</f>
        <v>A0180848</v>
      </c>
      <c r="D8502" t="s">
        <v>32119</v>
      </c>
      <c r="E8502" t="s">
        <v>30922</v>
      </c>
      <c r="F8502" t="s">
        <v>1755</v>
      </c>
      <c r="G8502" t="s">
        <v>65</v>
      </c>
      <c r="H8502">
        <v>455043695</v>
      </c>
      <c r="I8502" t="s">
        <v>30</v>
      </c>
      <c r="J8502" t="s">
        <v>41</v>
      </c>
      <c r="K8502" t="s">
        <v>482</v>
      </c>
      <c r="Q8502">
        <v>0</v>
      </c>
      <c r="R8502">
        <v>108</v>
      </c>
      <c r="S8502">
        <v>108</v>
      </c>
      <c r="T8502" t="s">
        <v>32120</v>
      </c>
    </row>
    <row r="8503" spans="1:20" customFormat="1" ht="15" x14ac:dyDescent="0.25">
      <c r="A8503" t="s">
        <v>35</v>
      </c>
      <c r="B8503" t="s">
        <v>20322</v>
      </c>
      <c r="C8503" t="str">
        <f>"A0180847"</f>
        <v>A0180847</v>
      </c>
      <c r="D8503" t="s">
        <v>32121</v>
      </c>
      <c r="E8503" t="s">
        <v>32122</v>
      </c>
      <c r="F8503" t="s">
        <v>11884</v>
      </c>
      <c r="G8503" t="s">
        <v>71</v>
      </c>
      <c r="H8503">
        <v>549024177</v>
      </c>
      <c r="I8503" t="s">
        <v>30</v>
      </c>
      <c r="J8503" t="s">
        <v>41</v>
      </c>
      <c r="K8503" t="s">
        <v>482</v>
      </c>
      <c r="Q8503">
        <v>0</v>
      </c>
      <c r="R8503">
        <v>39</v>
      </c>
      <c r="S8503">
        <v>39</v>
      </c>
      <c r="T8503" t="s">
        <v>32123</v>
      </c>
    </row>
    <row r="8504" spans="1:20" customFormat="1" ht="15" x14ac:dyDescent="0.25">
      <c r="A8504" t="s">
        <v>35</v>
      </c>
      <c r="B8504" t="s">
        <v>61</v>
      </c>
      <c r="C8504" t="str">
        <f>"A0180846"</f>
        <v>A0180846</v>
      </c>
      <c r="D8504" t="s">
        <v>32124</v>
      </c>
      <c r="E8504" t="s">
        <v>32125</v>
      </c>
      <c r="F8504" t="s">
        <v>1373</v>
      </c>
      <c r="G8504" t="s">
        <v>71</v>
      </c>
      <c r="H8504" t="s">
        <v>32117</v>
      </c>
      <c r="I8504" t="s">
        <v>30</v>
      </c>
      <c r="J8504" t="s">
        <v>41</v>
      </c>
      <c r="K8504" t="s">
        <v>482</v>
      </c>
      <c r="Q8504">
        <v>0</v>
      </c>
      <c r="R8504">
        <v>60</v>
      </c>
      <c r="S8504">
        <v>60</v>
      </c>
      <c r="T8504" t="s">
        <v>32118</v>
      </c>
    </row>
    <row r="8505" spans="1:20" customFormat="1" ht="15" x14ac:dyDescent="0.25">
      <c r="A8505" t="s">
        <v>35</v>
      </c>
      <c r="B8505" t="s">
        <v>61</v>
      </c>
      <c r="C8505" t="str">
        <f>"A0180845"</f>
        <v>A0180845</v>
      </c>
      <c r="D8505" t="s">
        <v>32126</v>
      </c>
      <c r="E8505" t="s">
        <v>32127</v>
      </c>
      <c r="F8505" t="s">
        <v>504</v>
      </c>
      <c r="G8505" t="s">
        <v>71</v>
      </c>
      <c r="H8505">
        <v>53188</v>
      </c>
      <c r="I8505" t="s">
        <v>30</v>
      </c>
      <c r="J8505" t="s">
        <v>41</v>
      </c>
      <c r="K8505" t="s">
        <v>482</v>
      </c>
      <c r="Q8505">
        <v>0</v>
      </c>
      <c r="R8505">
        <v>60</v>
      </c>
      <c r="S8505">
        <v>60</v>
      </c>
      <c r="T8505" t="s">
        <v>32128</v>
      </c>
    </row>
    <row r="8506" spans="1:20" customFormat="1" ht="15" x14ac:dyDescent="0.25">
      <c r="A8506" t="s">
        <v>35</v>
      </c>
      <c r="B8506" t="s">
        <v>61</v>
      </c>
      <c r="C8506" t="str">
        <f>"A0180844"</f>
        <v>A0180844</v>
      </c>
      <c r="D8506" t="s">
        <v>32129</v>
      </c>
      <c r="E8506" t="s">
        <v>19241</v>
      </c>
      <c r="F8506" t="s">
        <v>7638</v>
      </c>
      <c r="G8506" t="s">
        <v>52</v>
      </c>
      <c r="H8506">
        <v>75150</v>
      </c>
      <c r="I8506" t="s">
        <v>30</v>
      </c>
      <c r="J8506" t="s">
        <v>41</v>
      </c>
      <c r="K8506" t="s">
        <v>482</v>
      </c>
      <c r="Q8506">
        <v>0</v>
      </c>
      <c r="R8506">
        <v>0</v>
      </c>
      <c r="S8506">
        <v>0</v>
      </c>
    </row>
    <row r="8507" spans="1:20" customFormat="1" ht="15" x14ac:dyDescent="0.25">
      <c r="A8507" t="s">
        <v>35</v>
      </c>
      <c r="B8507" t="s">
        <v>61</v>
      </c>
      <c r="C8507" t="str">
        <f>"A0180843"</f>
        <v>A0180843</v>
      </c>
      <c r="D8507" t="s">
        <v>32130</v>
      </c>
      <c r="E8507" t="s">
        <v>21504</v>
      </c>
      <c r="F8507" t="s">
        <v>102</v>
      </c>
      <c r="G8507" t="s">
        <v>103</v>
      </c>
      <c r="H8507" t="s">
        <v>21505</v>
      </c>
      <c r="I8507" t="s">
        <v>30</v>
      </c>
      <c r="J8507" t="s">
        <v>41</v>
      </c>
      <c r="K8507" t="s">
        <v>482</v>
      </c>
      <c r="Q8507">
        <v>0</v>
      </c>
      <c r="R8507">
        <v>54</v>
      </c>
      <c r="S8507">
        <v>54</v>
      </c>
      <c r="T8507" t="s">
        <v>32131</v>
      </c>
    </row>
    <row r="8508" spans="1:20" customFormat="1" ht="15" x14ac:dyDescent="0.25">
      <c r="A8508" t="s">
        <v>35</v>
      </c>
      <c r="B8508" t="s">
        <v>61</v>
      </c>
      <c r="C8508" t="str">
        <f>"A0180842"</f>
        <v>A0180842</v>
      </c>
      <c r="D8508" t="s">
        <v>32132</v>
      </c>
      <c r="E8508" t="s">
        <v>32133</v>
      </c>
      <c r="F8508" t="s">
        <v>4586</v>
      </c>
      <c r="G8508" t="s">
        <v>289</v>
      </c>
      <c r="H8508" t="s">
        <v>32134</v>
      </c>
      <c r="I8508" t="s">
        <v>30</v>
      </c>
      <c r="J8508" t="s">
        <v>41</v>
      </c>
      <c r="K8508" t="s">
        <v>482</v>
      </c>
      <c r="Q8508">
        <v>0</v>
      </c>
      <c r="R8508">
        <v>30</v>
      </c>
      <c r="S8508">
        <v>30</v>
      </c>
      <c r="T8508" t="s">
        <v>32135</v>
      </c>
    </row>
    <row r="8509" spans="1:20" customFormat="1" ht="15" x14ac:dyDescent="0.25">
      <c r="A8509" t="s">
        <v>35</v>
      </c>
      <c r="B8509" t="s">
        <v>61</v>
      </c>
      <c r="C8509" t="str">
        <f>"A0180840"</f>
        <v>A0180840</v>
      </c>
      <c r="D8509" t="s">
        <v>32136</v>
      </c>
      <c r="E8509" t="s">
        <v>32137</v>
      </c>
      <c r="F8509" t="s">
        <v>32138</v>
      </c>
      <c r="G8509" t="s">
        <v>103</v>
      </c>
      <c r="H8509" t="s">
        <v>32139</v>
      </c>
      <c r="I8509" t="s">
        <v>30</v>
      </c>
      <c r="J8509" t="s">
        <v>41</v>
      </c>
      <c r="K8509" t="s">
        <v>482</v>
      </c>
      <c r="Q8509">
        <v>0</v>
      </c>
      <c r="R8509">
        <v>42</v>
      </c>
      <c r="S8509">
        <v>42</v>
      </c>
      <c r="T8509" t="s">
        <v>32140</v>
      </c>
    </row>
    <row r="8510" spans="1:20" customFormat="1" ht="15" x14ac:dyDescent="0.25">
      <c r="A8510" t="s">
        <v>35</v>
      </c>
      <c r="B8510" t="s">
        <v>61</v>
      </c>
      <c r="C8510" t="str">
        <f>"A0180839"</f>
        <v>A0180839</v>
      </c>
      <c r="D8510" t="s">
        <v>32141</v>
      </c>
      <c r="E8510" t="s">
        <v>27579</v>
      </c>
      <c r="F8510" t="s">
        <v>2784</v>
      </c>
      <c r="G8510" t="s">
        <v>925</v>
      </c>
      <c r="H8510" t="s">
        <v>27580</v>
      </c>
      <c r="I8510" t="s">
        <v>30</v>
      </c>
      <c r="J8510" t="s">
        <v>41</v>
      </c>
      <c r="K8510" t="s">
        <v>482</v>
      </c>
      <c r="Q8510">
        <v>0</v>
      </c>
      <c r="R8510">
        <v>0</v>
      </c>
      <c r="S8510">
        <v>0</v>
      </c>
    </row>
    <row r="8511" spans="1:20" customFormat="1" ht="15" x14ac:dyDescent="0.25">
      <c r="A8511" t="s">
        <v>35</v>
      </c>
      <c r="B8511" t="s">
        <v>32142</v>
      </c>
      <c r="C8511" t="str">
        <f>"A0180838"</f>
        <v>A0180838</v>
      </c>
      <c r="D8511" t="s">
        <v>32143</v>
      </c>
      <c r="E8511" t="s">
        <v>32144</v>
      </c>
      <c r="F8511" t="s">
        <v>6244</v>
      </c>
      <c r="G8511" t="s">
        <v>110</v>
      </c>
      <c r="H8511">
        <v>937203240</v>
      </c>
      <c r="I8511" t="s">
        <v>30</v>
      </c>
      <c r="J8511" t="s">
        <v>41</v>
      </c>
      <c r="K8511" t="s">
        <v>482</v>
      </c>
      <c r="Q8511">
        <v>0</v>
      </c>
      <c r="R8511">
        <v>0</v>
      </c>
      <c r="S8511">
        <v>0</v>
      </c>
      <c r="T8511" t="s">
        <v>32145</v>
      </c>
    </row>
    <row r="8512" spans="1:20" customFormat="1" ht="15" x14ac:dyDescent="0.25">
      <c r="A8512" t="s">
        <v>35</v>
      </c>
      <c r="B8512" t="s">
        <v>11871</v>
      </c>
      <c r="C8512" t="str">
        <f>"A0180837"</f>
        <v>A0180837</v>
      </c>
      <c r="D8512" t="s">
        <v>32146</v>
      </c>
      <c r="E8512" t="s">
        <v>32147</v>
      </c>
      <c r="F8512" t="s">
        <v>20394</v>
      </c>
      <c r="G8512" t="s">
        <v>65</v>
      </c>
      <c r="H8512">
        <v>430269549</v>
      </c>
      <c r="I8512" t="s">
        <v>30</v>
      </c>
      <c r="J8512" t="s">
        <v>41</v>
      </c>
      <c r="K8512" t="s">
        <v>482</v>
      </c>
      <c r="Q8512">
        <v>0</v>
      </c>
      <c r="R8512">
        <v>105</v>
      </c>
      <c r="S8512">
        <v>105</v>
      </c>
      <c r="T8512" t="s">
        <v>32148</v>
      </c>
    </row>
    <row r="8513" spans="1:20" customFormat="1" ht="15" x14ac:dyDescent="0.25">
      <c r="A8513" t="s">
        <v>35</v>
      </c>
      <c r="B8513" t="s">
        <v>61</v>
      </c>
      <c r="C8513" t="str">
        <f>"A0180836"</f>
        <v>A0180836</v>
      </c>
      <c r="D8513" t="s">
        <v>32149</v>
      </c>
      <c r="E8513" t="s">
        <v>30695</v>
      </c>
      <c r="F8513" t="s">
        <v>19869</v>
      </c>
      <c r="G8513" t="s">
        <v>103</v>
      </c>
      <c r="H8513" t="s">
        <v>30696</v>
      </c>
      <c r="I8513" t="s">
        <v>30</v>
      </c>
      <c r="J8513" t="s">
        <v>41</v>
      </c>
      <c r="K8513" t="s">
        <v>482</v>
      </c>
      <c r="Q8513">
        <v>0</v>
      </c>
      <c r="R8513">
        <v>0</v>
      </c>
      <c r="S8513">
        <v>0</v>
      </c>
      <c r="T8513" t="s">
        <v>19871</v>
      </c>
    </row>
    <row r="8514" spans="1:20" customFormat="1" ht="15" x14ac:dyDescent="0.25">
      <c r="A8514" t="s">
        <v>35</v>
      </c>
      <c r="B8514" t="s">
        <v>61</v>
      </c>
      <c r="C8514" t="str">
        <f>"A0180834"</f>
        <v>A0180834</v>
      </c>
      <c r="D8514" t="s">
        <v>32150</v>
      </c>
      <c r="E8514" t="s">
        <v>22500</v>
      </c>
      <c r="F8514" t="s">
        <v>22501</v>
      </c>
      <c r="G8514" t="s">
        <v>1898</v>
      </c>
      <c r="H8514" t="s">
        <v>27062</v>
      </c>
      <c r="I8514" t="s">
        <v>30</v>
      </c>
      <c r="J8514" t="s">
        <v>41</v>
      </c>
      <c r="K8514" t="s">
        <v>482</v>
      </c>
      <c r="Q8514">
        <v>0</v>
      </c>
      <c r="R8514">
        <v>80</v>
      </c>
      <c r="S8514">
        <v>80</v>
      </c>
      <c r="T8514" t="s">
        <v>22693</v>
      </c>
    </row>
    <row r="8515" spans="1:20" customFormat="1" ht="15" x14ac:dyDescent="0.25">
      <c r="A8515" t="s">
        <v>35</v>
      </c>
      <c r="B8515" t="s">
        <v>61</v>
      </c>
      <c r="C8515" t="str">
        <f>"A0180833"</f>
        <v>A0180833</v>
      </c>
      <c r="D8515" t="s">
        <v>32151</v>
      </c>
      <c r="E8515" t="s">
        <v>32152</v>
      </c>
      <c r="F8515" t="s">
        <v>21203</v>
      </c>
      <c r="G8515" t="s">
        <v>144</v>
      </c>
      <c r="H8515" t="s">
        <v>32153</v>
      </c>
      <c r="I8515" t="s">
        <v>30</v>
      </c>
      <c r="J8515" t="s">
        <v>41</v>
      </c>
      <c r="K8515" t="s">
        <v>482</v>
      </c>
      <c r="Q8515">
        <v>0</v>
      </c>
      <c r="R8515">
        <v>48</v>
      </c>
      <c r="S8515">
        <v>48</v>
      </c>
      <c r="T8515" t="s">
        <v>32154</v>
      </c>
    </row>
    <row r="8516" spans="1:20" customFormat="1" ht="15" x14ac:dyDescent="0.25">
      <c r="A8516" t="s">
        <v>35</v>
      </c>
      <c r="B8516" t="s">
        <v>61</v>
      </c>
      <c r="C8516" t="str">
        <f>"A0180832"</f>
        <v>A0180832</v>
      </c>
      <c r="D8516" t="s">
        <v>32155</v>
      </c>
      <c r="E8516" t="s">
        <v>32156</v>
      </c>
      <c r="F8516" t="s">
        <v>7638</v>
      </c>
      <c r="G8516" t="s">
        <v>52</v>
      </c>
      <c r="H8516">
        <v>751501400</v>
      </c>
      <c r="I8516" t="s">
        <v>30</v>
      </c>
      <c r="J8516" t="s">
        <v>41</v>
      </c>
      <c r="K8516" t="s">
        <v>482</v>
      </c>
      <c r="Q8516">
        <v>0</v>
      </c>
      <c r="R8516">
        <v>44</v>
      </c>
      <c r="S8516">
        <v>44</v>
      </c>
      <c r="T8516" t="s">
        <v>32157</v>
      </c>
    </row>
    <row r="8517" spans="1:20" customFormat="1" ht="15" x14ac:dyDescent="0.25">
      <c r="A8517" t="s">
        <v>35</v>
      </c>
      <c r="B8517" t="s">
        <v>61</v>
      </c>
      <c r="C8517" t="str">
        <f>"A0180831"</f>
        <v>A0180831</v>
      </c>
      <c r="D8517" t="s">
        <v>32075</v>
      </c>
      <c r="E8517" t="s">
        <v>32158</v>
      </c>
      <c r="F8517" t="s">
        <v>9437</v>
      </c>
      <c r="G8517" t="s">
        <v>161</v>
      </c>
      <c r="H8517" t="s">
        <v>32159</v>
      </c>
      <c r="I8517" t="s">
        <v>30</v>
      </c>
      <c r="J8517" t="s">
        <v>41</v>
      </c>
      <c r="K8517" t="s">
        <v>482</v>
      </c>
      <c r="Q8517">
        <v>0</v>
      </c>
      <c r="R8517">
        <v>30</v>
      </c>
      <c r="S8517">
        <v>30</v>
      </c>
      <c r="T8517" t="s">
        <v>32078</v>
      </c>
    </row>
    <row r="8518" spans="1:20" customFormat="1" ht="15" x14ac:dyDescent="0.25">
      <c r="A8518" t="s">
        <v>35</v>
      </c>
      <c r="B8518" t="s">
        <v>61</v>
      </c>
      <c r="C8518" t="str">
        <f>"A0180830"</f>
        <v>A0180830</v>
      </c>
      <c r="D8518" t="s">
        <v>32160</v>
      </c>
      <c r="E8518" t="s">
        <v>30750</v>
      </c>
      <c r="F8518" t="s">
        <v>24998</v>
      </c>
      <c r="G8518" t="s">
        <v>65</v>
      </c>
      <c r="H8518" t="s">
        <v>30751</v>
      </c>
      <c r="I8518" t="s">
        <v>30</v>
      </c>
      <c r="J8518" t="s">
        <v>41</v>
      </c>
      <c r="K8518" t="s">
        <v>482</v>
      </c>
      <c r="Q8518">
        <v>0</v>
      </c>
      <c r="R8518">
        <v>28</v>
      </c>
      <c r="S8518">
        <v>28</v>
      </c>
      <c r="T8518" t="s">
        <v>30752</v>
      </c>
    </row>
    <row r="8519" spans="1:20" customFormat="1" ht="15" x14ac:dyDescent="0.25">
      <c r="A8519" t="s">
        <v>35</v>
      </c>
      <c r="B8519" t="s">
        <v>18151</v>
      </c>
      <c r="C8519" t="str">
        <f>"A0180829"</f>
        <v>A0180829</v>
      </c>
      <c r="D8519" t="s">
        <v>32161</v>
      </c>
      <c r="E8519" t="s">
        <v>32162</v>
      </c>
      <c r="F8519" t="s">
        <v>32163</v>
      </c>
      <c r="G8519" t="s">
        <v>161</v>
      </c>
      <c r="H8519">
        <v>55713</v>
      </c>
      <c r="I8519" t="s">
        <v>30</v>
      </c>
      <c r="J8519" t="s">
        <v>41</v>
      </c>
      <c r="K8519" t="s">
        <v>482</v>
      </c>
      <c r="Q8519">
        <v>0</v>
      </c>
      <c r="R8519">
        <v>20</v>
      </c>
      <c r="S8519">
        <v>20</v>
      </c>
      <c r="T8519" t="s">
        <v>32164</v>
      </c>
    </row>
    <row r="8520" spans="1:20" customFormat="1" ht="15" x14ac:dyDescent="0.25">
      <c r="A8520" t="s">
        <v>35</v>
      </c>
      <c r="B8520" t="s">
        <v>61</v>
      </c>
      <c r="C8520" t="str">
        <f>"A0180828"</f>
        <v>A0180828</v>
      </c>
      <c r="D8520" t="s">
        <v>32165</v>
      </c>
      <c r="E8520" t="s">
        <v>32166</v>
      </c>
      <c r="F8520" t="s">
        <v>32167</v>
      </c>
      <c r="G8520" t="s">
        <v>99</v>
      </c>
      <c r="H8520" t="s">
        <v>32168</v>
      </c>
      <c r="I8520" t="s">
        <v>30</v>
      </c>
      <c r="J8520" t="s">
        <v>41</v>
      </c>
      <c r="K8520" t="s">
        <v>482</v>
      </c>
      <c r="Q8520">
        <v>0</v>
      </c>
      <c r="R8520">
        <v>0</v>
      </c>
      <c r="S8520">
        <v>0</v>
      </c>
      <c r="T8520" t="s">
        <v>32169</v>
      </c>
    </row>
    <row r="8521" spans="1:20" customFormat="1" ht="15" x14ac:dyDescent="0.25">
      <c r="A8521" t="s">
        <v>35</v>
      </c>
      <c r="B8521" t="s">
        <v>32170</v>
      </c>
      <c r="C8521" t="str">
        <f>"A0180827"</f>
        <v>A0180827</v>
      </c>
      <c r="D8521" t="s">
        <v>32171</v>
      </c>
      <c r="E8521" t="s">
        <v>32172</v>
      </c>
      <c r="F8521" t="s">
        <v>7784</v>
      </c>
      <c r="G8521" t="s">
        <v>289</v>
      </c>
      <c r="H8521">
        <v>61822</v>
      </c>
      <c r="I8521" t="s">
        <v>30</v>
      </c>
      <c r="J8521" t="s">
        <v>41</v>
      </c>
      <c r="K8521" t="s">
        <v>482</v>
      </c>
      <c r="Q8521">
        <v>0</v>
      </c>
      <c r="R8521">
        <v>0</v>
      </c>
      <c r="S8521">
        <v>0</v>
      </c>
      <c r="T8521" t="s">
        <v>32173</v>
      </c>
    </row>
    <row r="8522" spans="1:20" customFormat="1" ht="15" x14ac:dyDescent="0.25">
      <c r="A8522" t="s">
        <v>35</v>
      </c>
      <c r="B8522" t="s">
        <v>61</v>
      </c>
      <c r="C8522" t="str">
        <f>"A0180826"</f>
        <v>A0180826</v>
      </c>
      <c r="D8522" t="s">
        <v>32174</v>
      </c>
      <c r="E8522" t="s">
        <v>32175</v>
      </c>
      <c r="F8522" t="s">
        <v>23833</v>
      </c>
      <c r="G8522" t="s">
        <v>99</v>
      </c>
      <c r="H8522" t="s">
        <v>32176</v>
      </c>
      <c r="I8522" t="s">
        <v>30</v>
      </c>
      <c r="J8522" t="s">
        <v>41</v>
      </c>
      <c r="K8522" t="s">
        <v>482</v>
      </c>
      <c r="Q8522">
        <v>0</v>
      </c>
      <c r="R8522">
        <v>0</v>
      </c>
      <c r="S8522">
        <v>0</v>
      </c>
      <c r="T8522" t="s">
        <v>32177</v>
      </c>
    </row>
    <row r="8523" spans="1:20" customFormat="1" ht="15" x14ac:dyDescent="0.25">
      <c r="A8523" t="s">
        <v>35</v>
      </c>
      <c r="B8523" t="s">
        <v>61</v>
      </c>
      <c r="C8523" t="str">
        <f>"A0180825"</f>
        <v>A0180825</v>
      </c>
      <c r="D8523" t="s">
        <v>32178</v>
      </c>
      <c r="E8523" t="s">
        <v>22602</v>
      </c>
      <c r="F8523" t="s">
        <v>22603</v>
      </c>
      <c r="G8523" t="s">
        <v>338</v>
      </c>
      <c r="H8523">
        <v>7481</v>
      </c>
      <c r="I8523" t="s">
        <v>30</v>
      </c>
      <c r="J8523" t="s">
        <v>41</v>
      </c>
      <c r="K8523" t="s">
        <v>482</v>
      </c>
      <c r="Q8523">
        <v>0</v>
      </c>
      <c r="R8523">
        <v>0</v>
      </c>
      <c r="S8523">
        <v>0</v>
      </c>
    </row>
    <row r="8524" spans="1:20" customFormat="1" ht="15" x14ac:dyDescent="0.25">
      <c r="A8524" t="s">
        <v>35</v>
      </c>
      <c r="B8524" t="s">
        <v>61</v>
      </c>
      <c r="C8524" t="str">
        <f>"A0180824"</f>
        <v>A0180824</v>
      </c>
      <c r="D8524" t="s">
        <v>32179</v>
      </c>
      <c r="E8524" t="s">
        <v>32180</v>
      </c>
      <c r="F8524" t="s">
        <v>4310</v>
      </c>
      <c r="G8524" t="s">
        <v>899</v>
      </c>
      <c r="H8524" t="s">
        <v>32181</v>
      </c>
      <c r="I8524" t="s">
        <v>30</v>
      </c>
      <c r="J8524" t="s">
        <v>41</v>
      </c>
      <c r="K8524" t="s">
        <v>482</v>
      </c>
      <c r="Q8524">
        <v>0</v>
      </c>
      <c r="R8524">
        <v>9</v>
      </c>
      <c r="S8524">
        <v>9</v>
      </c>
      <c r="T8524" t="s">
        <v>32182</v>
      </c>
    </row>
    <row r="8525" spans="1:20" customFormat="1" ht="15" x14ac:dyDescent="0.25">
      <c r="A8525" t="s">
        <v>35</v>
      </c>
      <c r="B8525" t="s">
        <v>61</v>
      </c>
      <c r="C8525" t="str">
        <f>"A0180823"</f>
        <v>A0180823</v>
      </c>
      <c r="D8525" t="s">
        <v>32183</v>
      </c>
      <c r="E8525" t="s">
        <v>32184</v>
      </c>
      <c r="F8525" t="s">
        <v>32185</v>
      </c>
      <c r="G8525" t="s">
        <v>899</v>
      </c>
      <c r="H8525" t="s">
        <v>32186</v>
      </c>
      <c r="I8525" t="s">
        <v>30</v>
      </c>
      <c r="J8525" t="s">
        <v>41</v>
      </c>
      <c r="K8525" t="s">
        <v>482</v>
      </c>
      <c r="Q8525">
        <v>0</v>
      </c>
      <c r="R8525">
        <v>20</v>
      </c>
      <c r="S8525">
        <v>20</v>
      </c>
      <c r="T8525" t="s">
        <v>32187</v>
      </c>
    </row>
    <row r="8526" spans="1:20" customFormat="1" ht="15" x14ac:dyDescent="0.25">
      <c r="A8526" t="s">
        <v>35</v>
      </c>
      <c r="B8526" t="s">
        <v>11871</v>
      </c>
      <c r="C8526" t="str">
        <f>"A0180822"</f>
        <v>A0180822</v>
      </c>
      <c r="D8526" t="s">
        <v>32188</v>
      </c>
      <c r="E8526" t="s">
        <v>32189</v>
      </c>
      <c r="F8526" t="s">
        <v>15307</v>
      </c>
      <c r="G8526" t="s">
        <v>65</v>
      </c>
      <c r="H8526">
        <v>430819345</v>
      </c>
      <c r="I8526" t="s">
        <v>30</v>
      </c>
      <c r="J8526" t="s">
        <v>41</v>
      </c>
      <c r="K8526" t="s">
        <v>482</v>
      </c>
      <c r="Q8526">
        <v>0</v>
      </c>
      <c r="R8526">
        <v>0</v>
      </c>
      <c r="S8526">
        <v>0</v>
      </c>
    </row>
    <row r="8527" spans="1:20" customFormat="1" ht="15" x14ac:dyDescent="0.25">
      <c r="A8527" t="s">
        <v>35</v>
      </c>
      <c r="B8527" t="s">
        <v>11386</v>
      </c>
      <c r="C8527" t="str">
        <f>"A0180821"</f>
        <v>A0180821</v>
      </c>
      <c r="D8527" t="s">
        <v>32190</v>
      </c>
      <c r="E8527" t="s">
        <v>32191</v>
      </c>
      <c r="F8527" t="s">
        <v>4619</v>
      </c>
      <c r="G8527" t="s">
        <v>117</v>
      </c>
      <c r="H8527">
        <v>481147382</v>
      </c>
      <c r="I8527" t="s">
        <v>30</v>
      </c>
      <c r="J8527" t="s">
        <v>41</v>
      </c>
      <c r="K8527" t="s">
        <v>482</v>
      </c>
      <c r="Q8527">
        <v>0</v>
      </c>
      <c r="R8527">
        <v>40</v>
      </c>
      <c r="S8527">
        <v>40</v>
      </c>
      <c r="T8527" t="s">
        <v>32192</v>
      </c>
    </row>
    <row r="8528" spans="1:20" customFormat="1" ht="15" x14ac:dyDescent="0.25">
      <c r="A8528" t="s">
        <v>35</v>
      </c>
      <c r="B8528" t="s">
        <v>61</v>
      </c>
      <c r="C8528" t="str">
        <f>"A0180820"</f>
        <v>A0180820</v>
      </c>
      <c r="D8528" t="s">
        <v>32193</v>
      </c>
      <c r="E8528" t="s">
        <v>22602</v>
      </c>
      <c r="F8528" t="s">
        <v>22603</v>
      </c>
      <c r="G8528" t="s">
        <v>338</v>
      </c>
      <c r="H8528">
        <v>7481</v>
      </c>
      <c r="I8528" t="s">
        <v>30</v>
      </c>
      <c r="J8528" t="s">
        <v>41</v>
      </c>
      <c r="K8528" t="s">
        <v>482</v>
      </c>
      <c r="Q8528">
        <v>0</v>
      </c>
      <c r="R8528">
        <v>0</v>
      </c>
      <c r="S8528">
        <v>0</v>
      </c>
    </row>
    <row r="8529" spans="1:20" customFormat="1" ht="15" x14ac:dyDescent="0.25">
      <c r="A8529" t="s">
        <v>35</v>
      </c>
      <c r="B8529" t="s">
        <v>61</v>
      </c>
      <c r="C8529" t="str">
        <f>"A0180819"</f>
        <v>A0180819</v>
      </c>
      <c r="D8529" t="s">
        <v>32194</v>
      </c>
      <c r="E8529" t="s">
        <v>22620</v>
      </c>
      <c r="F8529" t="s">
        <v>22621</v>
      </c>
      <c r="G8529" t="s">
        <v>338</v>
      </c>
      <c r="H8529">
        <v>8904</v>
      </c>
      <c r="I8529" t="s">
        <v>30</v>
      </c>
      <c r="J8529" t="s">
        <v>41</v>
      </c>
      <c r="K8529" t="s">
        <v>482</v>
      </c>
      <c r="Q8529">
        <v>0</v>
      </c>
      <c r="R8529">
        <v>0</v>
      </c>
      <c r="S8529">
        <v>0</v>
      </c>
      <c r="T8529" t="s">
        <v>32195</v>
      </c>
    </row>
    <row r="8530" spans="1:20" customFormat="1" ht="15" x14ac:dyDescent="0.25">
      <c r="A8530" t="s">
        <v>35</v>
      </c>
      <c r="B8530" t="s">
        <v>61</v>
      </c>
      <c r="C8530" t="str">
        <f>"A0180818"</f>
        <v>A0180818</v>
      </c>
      <c r="D8530" t="s">
        <v>32196</v>
      </c>
      <c r="E8530" t="s">
        <v>32197</v>
      </c>
      <c r="F8530" t="s">
        <v>32198</v>
      </c>
      <c r="G8530" t="s">
        <v>52</v>
      </c>
      <c r="H8530">
        <v>75002</v>
      </c>
      <c r="I8530" t="s">
        <v>30</v>
      </c>
      <c r="J8530" t="s">
        <v>41</v>
      </c>
      <c r="K8530" t="s">
        <v>482</v>
      </c>
      <c r="Q8530">
        <v>0</v>
      </c>
      <c r="R8530">
        <v>0</v>
      </c>
      <c r="S8530">
        <v>0</v>
      </c>
      <c r="T8530" t="s">
        <v>32199</v>
      </c>
    </row>
    <row r="8531" spans="1:20" customFormat="1" ht="15" x14ac:dyDescent="0.25">
      <c r="A8531" t="s">
        <v>35</v>
      </c>
      <c r="B8531" t="s">
        <v>61</v>
      </c>
      <c r="C8531" t="str">
        <f>"A0180817"</f>
        <v>A0180817</v>
      </c>
      <c r="D8531" t="s">
        <v>30680</v>
      </c>
      <c r="E8531" t="s">
        <v>11039</v>
      </c>
      <c r="F8531" t="s">
        <v>3339</v>
      </c>
      <c r="G8531" t="s">
        <v>71</v>
      </c>
      <c r="H8531" t="s">
        <v>11040</v>
      </c>
      <c r="I8531" t="s">
        <v>30</v>
      </c>
      <c r="J8531" t="s">
        <v>41</v>
      </c>
      <c r="K8531" t="s">
        <v>482</v>
      </c>
      <c r="Q8531">
        <v>0</v>
      </c>
      <c r="R8531">
        <v>48</v>
      </c>
      <c r="S8531">
        <v>48</v>
      </c>
      <c r="T8531" t="s">
        <v>27979</v>
      </c>
    </row>
    <row r="8532" spans="1:20" customFormat="1" ht="15" x14ac:dyDescent="0.25">
      <c r="A8532" t="s">
        <v>35</v>
      </c>
      <c r="B8532" t="s">
        <v>61</v>
      </c>
      <c r="C8532" t="str">
        <f>"A0180816"</f>
        <v>A0180816</v>
      </c>
      <c r="D8532" t="s">
        <v>32200</v>
      </c>
      <c r="E8532" t="s">
        <v>20620</v>
      </c>
      <c r="F8532" t="s">
        <v>20621</v>
      </c>
      <c r="G8532" t="s">
        <v>103</v>
      </c>
      <c r="H8532" t="s">
        <v>20622</v>
      </c>
      <c r="I8532" t="s">
        <v>30</v>
      </c>
      <c r="J8532" t="s">
        <v>41</v>
      </c>
      <c r="K8532" t="s">
        <v>482</v>
      </c>
      <c r="Q8532">
        <v>0</v>
      </c>
      <c r="R8532">
        <v>121</v>
      </c>
      <c r="S8532">
        <v>121</v>
      </c>
      <c r="T8532" t="s">
        <v>32201</v>
      </c>
    </row>
    <row r="8533" spans="1:20" customFormat="1" ht="15" x14ac:dyDescent="0.25">
      <c r="A8533" t="s">
        <v>35</v>
      </c>
      <c r="B8533" t="s">
        <v>61</v>
      </c>
      <c r="C8533" t="str">
        <f>"A0180815"</f>
        <v>A0180815</v>
      </c>
      <c r="D8533" t="s">
        <v>32202</v>
      </c>
      <c r="E8533" t="s">
        <v>32203</v>
      </c>
      <c r="F8533" t="s">
        <v>11459</v>
      </c>
      <c r="G8533" t="s">
        <v>71</v>
      </c>
      <c r="H8533" t="s">
        <v>32204</v>
      </c>
      <c r="I8533" t="s">
        <v>30</v>
      </c>
      <c r="J8533" t="s">
        <v>41</v>
      </c>
      <c r="K8533" t="s">
        <v>482</v>
      </c>
      <c r="Q8533">
        <v>0</v>
      </c>
      <c r="R8533">
        <v>16</v>
      </c>
      <c r="S8533">
        <v>16</v>
      </c>
      <c r="T8533" t="s">
        <v>32205</v>
      </c>
    </row>
    <row r="8534" spans="1:20" customFormat="1" ht="15" x14ac:dyDescent="0.25">
      <c r="A8534" t="s">
        <v>35</v>
      </c>
      <c r="B8534" t="s">
        <v>61</v>
      </c>
      <c r="C8534" t="str">
        <f>"A0180814"</f>
        <v>A0180814</v>
      </c>
      <c r="D8534" t="s">
        <v>32206</v>
      </c>
      <c r="E8534" t="s">
        <v>32207</v>
      </c>
      <c r="F8534" t="s">
        <v>2636</v>
      </c>
      <c r="G8534" t="s">
        <v>52</v>
      </c>
      <c r="H8534" t="s">
        <v>32208</v>
      </c>
      <c r="I8534" t="s">
        <v>30</v>
      </c>
      <c r="J8534" t="s">
        <v>41</v>
      </c>
      <c r="K8534" t="s">
        <v>482</v>
      </c>
      <c r="Q8534">
        <v>0</v>
      </c>
      <c r="R8534">
        <v>68</v>
      </c>
      <c r="S8534">
        <v>68</v>
      </c>
      <c r="T8534" t="s">
        <v>32209</v>
      </c>
    </row>
    <row r="8535" spans="1:20" customFormat="1" ht="15" x14ac:dyDescent="0.25">
      <c r="A8535" t="s">
        <v>35</v>
      </c>
      <c r="B8535" t="s">
        <v>61</v>
      </c>
      <c r="C8535" t="str">
        <f>"A0180813"</f>
        <v>A0180813</v>
      </c>
      <c r="D8535" t="s">
        <v>32210</v>
      </c>
      <c r="E8535" t="s">
        <v>32211</v>
      </c>
      <c r="F8535" t="s">
        <v>16030</v>
      </c>
      <c r="G8535" t="s">
        <v>71</v>
      </c>
      <c r="H8535">
        <v>544034219</v>
      </c>
      <c r="I8535" t="s">
        <v>30</v>
      </c>
      <c r="J8535" t="s">
        <v>41</v>
      </c>
      <c r="K8535" t="s">
        <v>482</v>
      </c>
      <c r="Q8535">
        <v>0</v>
      </c>
      <c r="R8535">
        <v>80</v>
      </c>
      <c r="S8535">
        <v>80</v>
      </c>
      <c r="T8535" t="s">
        <v>32212</v>
      </c>
    </row>
    <row r="8536" spans="1:20" customFormat="1" ht="15" x14ac:dyDescent="0.25">
      <c r="A8536" t="s">
        <v>35</v>
      </c>
      <c r="B8536" t="s">
        <v>61</v>
      </c>
      <c r="C8536" t="str">
        <f>"A0180812"</f>
        <v>A0180812</v>
      </c>
      <c r="D8536" t="s">
        <v>32213</v>
      </c>
      <c r="E8536" t="s">
        <v>32214</v>
      </c>
      <c r="F8536" t="s">
        <v>11884</v>
      </c>
      <c r="G8536" t="s">
        <v>71</v>
      </c>
      <c r="H8536">
        <v>54902</v>
      </c>
      <c r="I8536" t="s">
        <v>30</v>
      </c>
      <c r="J8536" t="s">
        <v>41</v>
      </c>
      <c r="K8536" t="s">
        <v>482</v>
      </c>
      <c r="Q8536">
        <v>0</v>
      </c>
      <c r="R8536">
        <v>20</v>
      </c>
      <c r="S8536">
        <v>20</v>
      </c>
      <c r="T8536" t="s">
        <v>11886</v>
      </c>
    </row>
    <row r="8537" spans="1:20" customFormat="1" ht="15" x14ac:dyDescent="0.25">
      <c r="A8537" t="s">
        <v>35</v>
      </c>
      <c r="B8537" t="s">
        <v>61</v>
      </c>
      <c r="C8537" t="str">
        <f>"A0180811"</f>
        <v>A0180811</v>
      </c>
      <c r="D8537" t="s">
        <v>32215</v>
      </c>
      <c r="E8537" t="s">
        <v>32216</v>
      </c>
      <c r="F8537" t="s">
        <v>22666</v>
      </c>
      <c r="G8537" t="s">
        <v>81</v>
      </c>
      <c r="H8537" t="s">
        <v>32217</v>
      </c>
      <c r="I8537" t="s">
        <v>30</v>
      </c>
      <c r="J8537" t="s">
        <v>41</v>
      </c>
      <c r="K8537" t="s">
        <v>482</v>
      </c>
      <c r="Q8537">
        <v>0</v>
      </c>
      <c r="R8537">
        <v>65</v>
      </c>
      <c r="S8537">
        <v>65</v>
      </c>
      <c r="T8537" t="s">
        <v>32218</v>
      </c>
    </row>
    <row r="8538" spans="1:20" customFormat="1" ht="15" x14ac:dyDescent="0.25">
      <c r="A8538" t="s">
        <v>35</v>
      </c>
      <c r="B8538" t="s">
        <v>61</v>
      </c>
      <c r="C8538" t="str">
        <f>"A0180810"</f>
        <v>A0180810</v>
      </c>
      <c r="D8538" t="s">
        <v>32219</v>
      </c>
      <c r="E8538" t="s">
        <v>32220</v>
      </c>
      <c r="F8538" t="s">
        <v>12216</v>
      </c>
      <c r="G8538" t="s">
        <v>71</v>
      </c>
      <c r="H8538" t="s">
        <v>32221</v>
      </c>
      <c r="I8538" t="s">
        <v>30</v>
      </c>
      <c r="J8538" t="s">
        <v>41</v>
      </c>
      <c r="K8538" t="s">
        <v>482</v>
      </c>
      <c r="Q8538">
        <v>0</v>
      </c>
      <c r="R8538">
        <v>48</v>
      </c>
      <c r="S8538">
        <v>48</v>
      </c>
      <c r="T8538" t="s">
        <v>32222</v>
      </c>
    </row>
    <row r="8539" spans="1:20" customFormat="1" ht="15" x14ac:dyDescent="0.25">
      <c r="A8539" t="s">
        <v>35</v>
      </c>
      <c r="B8539" t="s">
        <v>61</v>
      </c>
      <c r="C8539" t="str">
        <f>"A0180809"</f>
        <v>A0180809</v>
      </c>
      <c r="D8539" t="s">
        <v>32223</v>
      </c>
      <c r="E8539" t="s">
        <v>32224</v>
      </c>
      <c r="F8539" t="s">
        <v>504</v>
      </c>
      <c r="G8539" t="s">
        <v>71</v>
      </c>
      <c r="H8539">
        <v>53188</v>
      </c>
      <c r="I8539" t="s">
        <v>30</v>
      </c>
      <c r="J8539" t="s">
        <v>41</v>
      </c>
      <c r="K8539" t="s">
        <v>482</v>
      </c>
      <c r="Q8539">
        <v>0</v>
      </c>
      <c r="R8539">
        <v>24</v>
      </c>
      <c r="S8539">
        <v>24</v>
      </c>
      <c r="T8539" t="s">
        <v>30927</v>
      </c>
    </row>
    <row r="8540" spans="1:20" customFormat="1" ht="15" x14ac:dyDescent="0.25">
      <c r="A8540" t="s">
        <v>35</v>
      </c>
      <c r="B8540" t="s">
        <v>61</v>
      </c>
      <c r="C8540" t="str">
        <f>"A0180808"</f>
        <v>A0180808</v>
      </c>
      <c r="D8540" t="s">
        <v>32225</v>
      </c>
      <c r="E8540" t="s">
        <v>32226</v>
      </c>
      <c r="F8540" t="s">
        <v>5133</v>
      </c>
      <c r="G8540" t="s">
        <v>52</v>
      </c>
      <c r="H8540" t="s">
        <v>32227</v>
      </c>
      <c r="I8540" t="s">
        <v>30</v>
      </c>
      <c r="J8540" t="s">
        <v>41</v>
      </c>
      <c r="K8540" t="s">
        <v>482</v>
      </c>
      <c r="Q8540">
        <v>0</v>
      </c>
      <c r="R8540">
        <v>63</v>
      </c>
      <c r="S8540">
        <v>63</v>
      </c>
      <c r="T8540" t="s">
        <v>23587</v>
      </c>
    </row>
    <row r="8541" spans="1:20" customFormat="1" ht="15" x14ac:dyDescent="0.25">
      <c r="A8541" t="s">
        <v>35</v>
      </c>
      <c r="B8541" t="s">
        <v>61</v>
      </c>
      <c r="C8541" t="str">
        <f>"A0180807"</f>
        <v>A0180807</v>
      </c>
      <c r="D8541" t="s">
        <v>32228</v>
      </c>
      <c r="E8541" t="s">
        <v>32229</v>
      </c>
      <c r="F8541" t="s">
        <v>13068</v>
      </c>
      <c r="G8541" t="s">
        <v>52</v>
      </c>
      <c r="H8541" t="s">
        <v>32230</v>
      </c>
      <c r="I8541" t="s">
        <v>30</v>
      </c>
      <c r="J8541" t="s">
        <v>41</v>
      </c>
      <c r="K8541" t="s">
        <v>482</v>
      </c>
      <c r="Q8541">
        <v>0</v>
      </c>
      <c r="R8541">
        <v>15</v>
      </c>
      <c r="S8541">
        <v>15</v>
      </c>
      <c r="T8541" t="s">
        <v>23629</v>
      </c>
    </row>
    <row r="8542" spans="1:20" customFormat="1" ht="15" x14ac:dyDescent="0.25">
      <c r="A8542" t="s">
        <v>35</v>
      </c>
      <c r="B8542" t="s">
        <v>61</v>
      </c>
      <c r="C8542" t="str">
        <f>"A0180806"</f>
        <v>A0180806</v>
      </c>
      <c r="D8542" t="s">
        <v>32231</v>
      </c>
      <c r="E8542" t="s">
        <v>32232</v>
      </c>
      <c r="F8542" t="s">
        <v>16033</v>
      </c>
      <c r="G8542" t="s">
        <v>71</v>
      </c>
      <c r="H8542" t="s">
        <v>32233</v>
      </c>
      <c r="I8542" t="s">
        <v>30</v>
      </c>
      <c r="J8542" t="s">
        <v>41</v>
      </c>
      <c r="K8542" t="s">
        <v>482</v>
      </c>
      <c r="Q8542">
        <v>0</v>
      </c>
      <c r="R8542">
        <v>24</v>
      </c>
      <c r="S8542">
        <v>24</v>
      </c>
      <c r="T8542" t="s">
        <v>32234</v>
      </c>
    </row>
    <row r="8543" spans="1:20" customFormat="1" ht="15" x14ac:dyDescent="0.25">
      <c r="A8543" t="s">
        <v>35</v>
      </c>
      <c r="B8543" t="s">
        <v>61</v>
      </c>
      <c r="C8543" t="str">
        <f>"A0180805"</f>
        <v>A0180805</v>
      </c>
      <c r="D8543" t="s">
        <v>32235</v>
      </c>
      <c r="E8543" t="s">
        <v>32236</v>
      </c>
      <c r="F8543" t="s">
        <v>1431</v>
      </c>
      <c r="G8543" t="s">
        <v>47</v>
      </c>
      <c r="H8543">
        <v>972093646</v>
      </c>
      <c r="I8543" t="s">
        <v>30</v>
      </c>
      <c r="J8543" t="s">
        <v>41</v>
      </c>
      <c r="K8543" t="s">
        <v>482</v>
      </c>
      <c r="Q8543">
        <v>0</v>
      </c>
      <c r="R8543">
        <v>54</v>
      </c>
      <c r="S8543">
        <v>54</v>
      </c>
      <c r="T8543" t="s">
        <v>32237</v>
      </c>
    </row>
    <row r="8544" spans="1:20" customFormat="1" ht="15" x14ac:dyDescent="0.25">
      <c r="A8544" t="s">
        <v>35</v>
      </c>
      <c r="B8544" t="s">
        <v>61</v>
      </c>
      <c r="C8544" t="str">
        <f>"A0180804"</f>
        <v>A0180804</v>
      </c>
      <c r="D8544" t="s">
        <v>32238</v>
      </c>
      <c r="E8544" t="s">
        <v>32239</v>
      </c>
      <c r="F8544" t="s">
        <v>32240</v>
      </c>
      <c r="G8544" t="s">
        <v>1170</v>
      </c>
      <c r="H8544" t="s">
        <v>32241</v>
      </c>
      <c r="I8544" t="s">
        <v>30</v>
      </c>
      <c r="J8544" t="s">
        <v>41</v>
      </c>
      <c r="K8544" t="s">
        <v>482</v>
      </c>
      <c r="Q8544">
        <v>0</v>
      </c>
      <c r="R8544">
        <v>0</v>
      </c>
      <c r="S8544">
        <v>0</v>
      </c>
    </row>
    <row r="8545" spans="1:20" customFormat="1" ht="15" x14ac:dyDescent="0.25">
      <c r="A8545" t="s">
        <v>35</v>
      </c>
      <c r="B8545" t="s">
        <v>61</v>
      </c>
      <c r="C8545" t="str">
        <f>"A0180803"</f>
        <v>A0180803</v>
      </c>
      <c r="D8545" t="s">
        <v>32242</v>
      </c>
      <c r="E8545" t="s">
        <v>32243</v>
      </c>
      <c r="F8545" t="s">
        <v>31055</v>
      </c>
      <c r="G8545" t="s">
        <v>161</v>
      </c>
      <c r="H8545">
        <v>56284</v>
      </c>
      <c r="I8545" t="s">
        <v>30</v>
      </c>
      <c r="J8545" t="s">
        <v>41</v>
      </c>
      <c r="K8545" t="s">
        <v>482</v>
      </c>
      <c r="Q8545">
        <v>0</v>
      </c>
      <c r="R8545">
        <v>42</v>
      </c>
      <c r="S8545">
        <v>42</v>
      </c>
      <c r="T8545" t="s">
        <v>32244</v>
      </c>
    </row>
    <row r="8546" spans="1:20" customFormat="1" ht="15" x14ac:dyDescent="0.25">
      <c r="A8546" t="s">
        <v>35</v>
      </c>
      <c r="B8546" t="s">
        <v>61</v>
      </c>
      <c r="C8546" t="str">
        <f>"A0180802"</f>
        <v>A0180802</v>
      </c>
      <c r="D8546" t="s">
        <v>32245</v>
      </c>
      <c r="E8546" t="s">
        <v>32246</v>
      </c>
      <c r="F8546" t="s">
        <v>8039</v>
      </c>
      <c r="G8546" t="s">
        <v>161</v>
      </c>
      <c r="H8546" t="s">
        <v>32247</v>
      </c>
      <c r="I8546" t="s">
        <v>30</v>
      </c>
      <c r="J8546" t="s">
        <v>41</v>
      </c>
      <c r="K8546" t="s">
        <v>482</v>
      </c>
      <c r="Q8546">
        <v>0</v>
      </c>
      <c r="R8546">
        <v>1</v>
      </c>
      <c r="S8546">
        <v>1</v>
      </c>
      <c r="T8546" t="s">
        <v>32248</v>
      </c>
    </row>
    <row r="8547" spans="1:20" customFormat="1" ht="15" x14ac:dyDescent="0.25">
      <c r="A8547" t="s">
        <v>35</v>
      </c>
      <c r="B8547" t="s">
        <v>61</v>
      </c>
      <c r="C8547" t="str">
        <f>"A0180801"</f>
        <v>A0180801</v>
      </c>
      <c r="D8547" t="s">
        <v>32249</v>
      </c>
      <c r="E8547" t="s">
        <v>32250</v>
      </c>
      <c r="F8547" t="s">
        <v>25388</v>
      </c>
      <c r="G8547" t="s">
        <v>99</v>
      </c>
      <c r="H8547" t="s">
        <v>32251</v>
      </c>
      <c r="I8547" t="s">
        <v>30</v>
      </c>
      <c r="J8547" t="s">
        <v>41</v>
      </c>
      <c r="K8547" t="s">
        <v>482</v>
      </c>
      <c r="Q8547">
        <v>0</v>
      </c>
      <c r="R8547">
        <v>6</v>
      </c>
      <c r="S8547">
        <v>6</v>
      </c>
      <c r="T8547" t="s">
        <v>32252</v>
      </c>
    </row>
    <row r="8548" spans="1:20" customFormat="1" ht="15" x14ac:dyDescent="0.25">
      <c r="A8548" t="s">
        <v>35</v>
      </c>
      <c r="B8548" t="s">
        <v>61</v>
      </c>
      <c r="C8548" t="str">
        <f>"A0180800"</f>
        <v>A0180800</v>
      </c>
      <c r="D8548" t="s">
        <v>32253</v>
      </c>
      <c r="E8548" t="s">
        <v>32254</v>
      </c>
      <c r="F8548" t="s">
        <v>4133</v>
      </c>
      <c r="G8548" t="s">
        <v>52</v>
      </c>
      <c r="H8548" t="s">
        <v>32255</v>
      </c>
      <c r="I8548" t="s">
        <v>30</v>
      </c>
      <c r="J8548" t="s">
        <v>41</v>
      </c>
      <c r="K8548" t="s">
        <v>482</v>
      </c>
      <c r="Q8548">
        <v>0</v>
      </c>
      <c r="R8548">
        <v>42</v>
      </c>
      <c r="S8548">
        <v>42</v>
      </c>
      <c r="T8548" t="s">
        <v>32256</v>
      </c>
    </row>
    <row r="8549" spans="1:20" customFormat="1" ht="15" x14ac:dyDescent="0.25">
      <c r="A8549" t="s">
        <v>35</v>
      </c>
      <c r="B8549" t="s">
        <v>61</v>
      </c>
      <c r="C8549" t="str">
        <f>"A0180799"</f>
        <v>A0180799</v>
      </c>
      <c r="D8549" t="s">
        <v>32257</v>
      </c>
      <c r="E8549" t="s">
        <v>24616</v>
      </c>
      <c r="F8549" t="s">
        <v>5050</v>
      </c>
      <c r="G8549" t="s">
        <v>161</v>
      </c>
      <c r="H8549" t="s">
        <v>24617</v>
      </c>
      <c r="I8549" t="s">
        <v>30</v>
      </c>
      <c r="J8549" t="s">
        <v>41</v>
      </c>
      <c r="K8549" t="s">
        <v>482</v>
      </c>
      <c r="Q8549">
        <v>0</v>
      </c>
      <c r="R8549">
        <v>1</v>
      </c>
      <c r="S8549">
        <v>1</v>
      </c>
      <c r="T8549" t="s">
        <v>24618</v>
      </c>
    </row>
    <row r="8550" spans="1:20" customFormat="1" ht="15" x14ac:dyDescent="0.25">
      <c r="A8550" t="s">
        <v>35</v>
      </c>
      <c r="B8550" t="s">
        <v>61</v>
      </c>
      <c r="C8550" t="str">
        <f>"A0180798"</f>
        <v>A0180798</v>
      </c>
      <c r="D8550" t="s">
        <v>32258</v>
      </c>
      <c r="E8550" t="s">
        <v>32259</v>
      </c>
      <c r="F8550" t="s">
        <v>30993</v>
      </c>
      <c r="G8550" t="s">
        <v>161</v>
      </c>
      <c r="H8550" t="s">
        <v>32260</v>
      </c>
      <c r="I8550" t="s">
        <v>30</v>
      </c>
      <c r="J8550" t="s">
        <v>41</v>
      </c>
      <c r="K8550" t="s">
        <v>482</v>
      </c>
      <c r="Q8550">
        <v>0</v>
      </c>
      <c r="R8550">
        <v>0</v>
      </c>
      <c r="S8550">
        <v>0</v>
      </c>
      <c r="T8550" t="s">
        <v>32261</v>
      </c>
    </row>
    <row r="8551" spans="1:20" customFormat="1" ht="15" x14ac:dyDescent="0.25">
      <c r="A8551" t="s">
        <v>35</v>
      </c>
      <c r="B8551" t="s">
        <v>61</v>
      </c>
      <c r="C8551" t="str">
        <f>"A0180797"</f>
        <v>A0180797</v>
      </c>
      <c r="D8551" t="s">
        <v>32262</v>
      </c>
      <c r="E8551" t="s">
        <v>24519</v>
      </c>
      <c r="F8551" t="s">
        <v>16802</v>
      </c>
      <c r="G8551" t="s">
        <v>161</v>
      </c>
      <c r="H8551" t="s">
        <v>24520</v>
      </c>
      <c r="I8551" t="s">
        <v>30</v>
      </c>
      <c r="J8551" t="s">
        <v>41</v>
      </c>
      <c r="K8551" t="s">
        <v>482</v>
      </c>
      <c r="Q8551">
        <v>0</v>
      </c>
      <c r="R8551">
        <v>51</v>
      </c>
      <c r="S8551">
        <v>51</v>
      </c>
      <c r="T8551" t="s">
        <v>24521</v>
      </c>
    </row>
    <row r="8552" spans="1:20" customFormat="1" ht="15" x14ac:dyDescent="0.25">
      <c r="A8552" t="s">
        <v>35</v>
      </c>
      <c r="B8552" t="s">
        <v>18151</v>
      </c>
      <c r="C8552" t="str">
        <f>"A0180796"</f>
        <v>A0180796</v>
      </c>
      <c r="D8552" t="s">
        <v>32263</v>
      </c>
      <c r="E8552" t="s">
        <v>32264</v>
      </c>
      <c r="F8552" t="s">
        <v>1655</v>
      </c>
      <c r="G8552" t="s">
        <v>161</v>
      </c>
      <c r="H8552">
        <v>55750</v>
      </c>
      <c r="I8552" t="s">
        <v>30</v>
      </c>
      <c r="J8552" t="s">
        <v>41</v>
      </c>
      <c r="K8552" t="s">
        <v>482</v>
      </c>
      <c r="Q8552">
        <v>0</v>
      </c>
      <c r="R8552">
        <v>20</v>
      </c>
      <c r="S8552">
        <v>20</v>
      </c>
      <c r="T8552" t="s">
        <v>32265</v>
      </c>
    </row>
    <row r="8553" spans="1:20" customFormat="1" ht="15" x14ac:dyDescent="0.25">
      <c r="A8553" t="s">
        <v>35</v>
      </c>
      <c r="B8553" t="s">
        <v>61</v>
      </c>
      <c r="C8553" t="str">
        <f>"A0180795"</f>
        <v>A0180795</v>
      </c>
      <c r="D8553" t="s">
        <v>32266</v>
      </c>
      <c r="E8553" t="s">
        <v>22602</v>
      </c>
      <c r="F8553" t="s">
        <v>22603</v>
      </c>
      <c r="G8553" t="s">
        <v>338</v>
      </c>
      <c r="H8553">
        <v>7481</v>
      </c>
      <c r="I8553" t="s">
        <v>30</v>
      </c>
      <c r="J8553" t="s">
        <v>41</v>
      </c>
      <c r="K8553" t="s">
        <v>482</v>
      </c>
      <c r="Q8553">
        <v>0</v>
      </c>
      <c r="R8553">
        <v>0</v>
      </c>
      <c r="S8553">
        <v>0</v>
      </c>
    </row>
    <row r="8554" spans="1:20" customFormat="1" ht="15" x14ac:dyDescent="0.25">
      <c r="A8554" t="s">
        <v>35</v>
      </c>
      <c r="B8554" t="s">
        <v>61</v>
      </c>
      <c r="C8554" t="str">
        <f>"A0180794"</f>
        <v>A0180794</v>
      </c>
      <c r="D8554" t="s">
        <v>32267</v>
      </c>
      <c r="E8554" t="s">
        <v>32268</v>
      </c>
      <c r="F8554" t="s">
        <v>26172</v>
      </c>
      <c r="G8554" t="s">
        <v>899</v>
      </c>
      <c r="H8554" t="s">
        <v>32269</v>
      </c>
      <c r="I8554" t="s">
        <v>30</v>
      </c>
      <c r="J8554" t="s">
        <v>41</v>
      </c>
      <c r="K8554" t="s">
        <v>482</v>
      </c>
      <c r="Q8554">
        <v>0</v>
      </c>
      <c r="R8554">
        <v>0</v>
      </c>
      <c r="S8554">
        <v>0</v>
      </c>
    </row>
    <row r="8555" spans="1:20" customFormat="1" ht="15" x14ac:dyDescent="0.25">
      <c r="A8555" t="s">
        <v>35</v>
      </c>
      <c r="B8555" t="s">
        <v>61</v>
      </c>
      <c r="C8555" t="str">
        <f>"A0180793"</f>
        <v>A0180793</v>
      </c>
      <c r="D8555" t="s">
        <v>32270</v>
      </c>
      <c r="E8555" t="s">
        <v>32271</v>
      </c>
      <c r="F8555" t="s">
        <v>14093</v>
      </c>
      <c r="G8555" t="s">
        <v>85</v>
      </c>
      <c r="H8555">
        <v>729088776</v>
      </c>
      <c r="I8555" t="s">
        <v>30</v>
      </c>
      <c r="J8555" t="s">
        <v>41</v>
      </c>
      <c r="K8555" t="s">
        <v>482</v>
      </c>
      <c r="Q8555">
        <v>0</v>
      </c>
      <c r="R8555">
        <v>0</v>
      </c>
      <c r="S8555">
        <v>0</v>
      </c>
    </row>
    <row r="8556" spans="1:20" customFormat="1" ht="15" x14ac:dyDescent="0.25">
      <c r="A8556" t="s">
        <v>35</v>
      </c>
      <c r="B8556" t="s">
        <v>61</v>
      </c>
      <c r="C8556" t="str">
        <f>"A0180792"</f>
        <v>A0180792</v>
      </c>
      <c r="D8556" t="s">
        <v>32272</v>
      </c>
      <c r="E8556" t="s">
        <v>32273</v>
      </c>
      <c r="F8556" t="s">
        <v>30968</v>
      </c>
      <c r="G8556" t="s">
        <v>99</v>
      </c>
      <c r="H8556" t="s">
        <v>32274</v>
      </c>
      <c r="I8556" t="s">
        <v>30</v>
      </c>
      <c r="J8556" t="s">
        <v>41</v>
      </c>
      <c r="K8556" t="s">
        <v>482</v>
      </c>
      <c r="Q8556">
        <v>0</v>
      </c>
      <c r="R8556">
        <v>0</v>
      </c>
      <c r="S8556">
        <v>0</v>
      </c>
      <c r="T8556" t="s">
        <v>32275</v>
      </c>
    </row>
    <row r="8557" spans="1:20" customFormat="1" ht="15" x14ac:dyDescent="0.25">
      <c r="A8557" t="s">
        <v>35</v>
      </c>
      <c r="B8557" t="s">
        <v>61</v>
      </c>
      <c r="C8557" t="str">
        <f>"A0180791"</f>
        <v>A0180791</v>
      </c>
      <c r="D8557" t="s">
        <v>32276</v>
      </c>
      <c r="E8557" t="s">
        <v>28708</v>
      </c>
      <c r="F8557" t="s">
        <v>28709</v>
      </c>
      <c r="G8557" t="s">
        <v>161</v>
      </c>
      <c r="H8557" t="s">
        <v>28710</v>
      </c>
      <c r="I8557" t="s">
        <v>30</v>
      </c>
      <c r="J8557" t="s">
        <v>41</v>
      </c>
      <c r="K8557" t="s">
        <v>482</v>
      </c>
      <c r="Q8557">
        <v>0</v>
      </c>
      <c r="R8557">
        <v>1</v>
      </c>
      <c r="S8557">
        <v>1</v>
      </c>
      <c r="T8557" t="s">
        <v>28711</v>
      </c>
    </row>
    <row r="8558" spans="1:20" customFormat="1" ht="15" x14ac:dyDescent="0.25">
      <c r="A8558" t="s">
        <v>35</v>
      </c>
      <c r="B8558" t="s">
        <v>61</v>
      </c>
      <c r="C8558" t="str">
        <f>"A0180790"</f>
        <v>A0180790</v>
      </c>
      <c r="D8558" t="s">
        <v>32277</v>
      </c>
      <c r="E8558" t="s">
        <v>24620</v>
      </c>
      <c r="F8558" t="s">
        <v>24621</v>
      </c>
      <c r="G8558" t="s">
        <v>161</v>
      </c>
      <c r="H8558" t="s">
        <v>24622</v>
      </c>
      <c r="I8558" t="s">
        <v>30</v>
      </c>
      <c r="J8558" t="s">
        <v>41</v>
      </c>
      <c r="K8558" t="s">
        <v>482</v>
      </c>
      <c r="Q8558">
        <v>0</v>
      </c>
      <c r="R8558">
        <v>1</v>
      </c>
      <c r="S8558">
        <v>1</v>
      </c>
      <c r="T8558" t="s">
        <v>24623</v>
      </c>
    </row>
    <row r="8559" spans="1:20" customFormat="1" ht="15" x14ac:dyDescent="0.25">
      <c r="A8559" t="s">
        <v>35</v>
      </c>
      <c r="B8559" t="s">
        <v>61</v>
      </c>
      <c r="C8559" t="str">
        <f>"A0180789"</f>
        <v>A0180789</v>
      </c>
      <c r="D8559" t="s">
        <v>32278</v>
      </c>
      <c r="E8559" t="s">
        <v>32279</v>
      </c>
      <c r="F8559" t="s">
        <v>31713</v>
      </c>
      <c r="G8559" t="s">
        <v>899</v>
      </c>
      <c r="H8559" t="s">
        <v>32280</v>
      </c>
      <c r="I8559" t="s">
        <v>30</v>
      </c>
      <c r="J8559" t="s">
        <v>41</v>
      </c>
      <c r="K8559" t="s">
        <v>482</v>
      </c>
      <c r="Q8559">
        <v>0</v>
      </c>
      <c r="R8559">
        <v>59</v>
      </c>
      <c r="S8559">
        <v>59</v>
      </c>
      <c r="T8559" t="s">
        <v>32281</v>
      </c>
    </row>
    <row r="8560" spans="1:20" customFormat="1" ht="15" x14ac:dyDescent="0.25">
      <c r="A8560" t="s">
        <v>35</v>
      </c>
      <c r="B8560" t="s">
        <v>61</v>
      </c>
      <c r="C8560" t="str">
        <f>"A0180788"</f>
        <v>A0180788</v>
      </c>
      <c r="D8560" t="s">
        <v>32282</v>
      </c>
      <c r="E8560" t="s">
        <v>32283</v>
      </c>
      <c r="F8560" t="s">
        <v>25941</v>
      </c>
      <c r="G8560" t="s">
        <v>899</v>
      </c>
      <c r="H8560">
        <v>1830</v>
      </c>
      <c r="I8560" t="s">
        <v>30</v>
      </c>
      <c r="J8560" t="s">
        <v>41</v>
      </c>
      <c r="K8560" t="s">
        <v>482</v>
      </c>
      <c r="Q8560">
        <v>0</v>
      </c>
      <c r="R8560">
        <v>30</v>
      </c>
      <c r="S8560">
        <v>30</v>
      </c>
      <c r="T8560" t="s">
        <v>32284</v>
      </c>
    </row>
    <row r="8561" spans="1:20" customFormat="1" ht="15" x14ac:dyDescent="0.25">
      <c r="A8561" t="s">
        <v>35</v>
      </c>
      <c r="B8561" t="s">
        <v>61</v>
      </c>
      <c r="C8561" t="str">
        <f>"A0180787"</f>
        <v>A0180787</v>
      </c>
      <c r="D8561" t="s">
        <v>32285</v>
      </c>
      <c r="E8561" t="s">
        <v>32286</v>
      </c>
      <c r="F8561" t="s">
        <v>32287</v>
      </c>
      <c r="G8561" t="s">
        <v>899</v>
      </c>
      <c r="H8561" t="s">
        <v>32288</v>
      </c>
      <c r="I8561" t="s">
        <v>30</v>
      </c>
      <c r="J8561" t="s">
        <v>41</v>
      </c>
      <c r="K8561" t="s">
        <v>482</v>
      </c>
      <c r="Q8561">
        <v>0</v>
      </c>
      <c r="R8561">
        <v>41</v>
      </c>
      <c r="S8561">
        <v>41</v>
      </c>
      <c r="T8561" t="s">
        <v>32289</v>
      </c>
    </row>
    <row r="8562" spans="1:20" customFormat="1" ht="15" x14ac:dyDescent="0.25">
      <c r="A8562" t="s">
        <v>35</v>
      </c>
      <c r="B8562" t="s">
        <v>61</v>
      </c>
      <c r="C8562" t="str">
        <f>"A0180786"</f>
        <v>A0180786</v>
      </c>
      <c r="D8562" t="s">
        <v>32290</v>
      </c>
      <c r="E8562" t="s">
        <v>32291</v>
      </c>
      <c r="F8562" t="s">
        <v>32292</v>
      </c>
      <c r="G8562" t="s">
        <v>899</v>
      </c>
      <c r="H8562" t="s">
        <v>32293</v>
      </c>
      <c r="I8562" t="s">
        <v>30</v>
      </c>
      <c r="J8562" t="s">
        <v>41</v>
      </c>
      <c r="K8562" t="s">
        <v>482</v>
      </c>
      <c r="Q8562">
        <v>0</v>
      </c>
      <c r="R8562">
        <v>40</v>
      </c>
      <c r="S8562">
        <v>40</v>
      </c>
      <c r="T8562" t="s">
        <v>32294</v>
      </c>
    </row>
    <row r="8563" spans="1:20" customFormat="1" ht="15" x14ac:dyDescent="0.25">
      <c r="A8563" t="s">
        <v>35</v>
      </c>
      <c r="B8563" t="s">
        <v>61</v>
      </c>
      <c r="C8563" t="str">
        <f>"A0180785"</f>
        <v>A0180785</v>
      </c>
      <c r="D8563" t="s">
        <v>32295</v>
      </c>
      <c r="E8563" t="s">
        <v>11883</v>
      </c>
      <c r="F8563" t="s">
        <v>11884</v>
      </c>
      <c r="G8563" t="s">
        <v>71</v>
      </c>
      <c r="H8563" t="s">
        <v>11885</v>
      </c>
      <c r="I8563" t="s">
        <v>30</v>
      </c>
      <c r="J8563" t="s">
        <v>41</v>
      </c>
      <c r="K8563" t="s">
        <v>482</v>
      </c>
      <c r="Q8563">
        <v>0</v>
      </c>
      <c r="R8563">
        <v>20</v>
      </c>
      <c r="S8563">
        <v>20</v>
      </c>
      <c r="T8563" t="s">
        <v>11886</v>
      </c>
    </row>
    <row r="8564" spans="1:20" customFormat="1" ht="15" x14ac:dyDescent="0.25">
      <c r="A8564" t="s">
        <v>35</v>
      </c>
      <c r="B8564" t="s">
        <v>61</v>
      </c>
      <c r="C8564" t="str">
        <f>"A0180784"</f>
        <v>A0180784</v>
      </c>
      <c r="D8564" t="s">
        <v>32296</v>
      </c>
      <c r="E8564" t="s">
        <v>32297</v>
      </c>
      <c r="F8564" t="s">
        <v>27957</v>
      </c>
      <c r="G8564" t="s">
        <v>71</v>
      </c>
      <c r="H8564" t="s">
        <v>30914</v>
      </c>
      <c r="I8564" t="s">
        <v>30</v>
      </c>
      <c r="J8564" t="s">
        <v>41</v>
      </c>
      <c r="K8564" t="s">
        <v>482</v>
      </c>
      <c r="Q8564">
        <v>0</v>
      </c>
      <c r="R8564">
        <v>20</v>
      </c>
      <c r="S8564">
        <v>20</v>
      </c>
      <c r="T8564" t="s">
        <v>30915</v>
      </c>
    </row>
    <row r="8565" spans="1:20" customFormat="1" ht="15" x14ac:dyDescent="0.25">
      <c r="A8565" t="s">
        <v>35</v>
      </c>
      <c r="B8565" t="s">
        <v>61</v>
      </c>
      <c r="C8565" t="str">
        <f>"A0180783"</f>
        <v>A0180783</v>
      </c>
      <c r="D8565" t="s">
        <v>32210</v>
      </c>
      <c r="E8565" t="s">
        <v>32298</v>
      </c>
      <c r="F8565" t="s">
        <v>16030</v>
      </c>
      <c r="G8565" t="s">
        <v>71</v>
      </c>
      <c r="H8565" t="s">
        <v>32299</v>
      </c>
      <c r="I8565" t="s">
        <v>30</v>
      </c>
      <c r="J8565" t="s">
        <v>41</v>
      </c>
      <c r="K8565" t="s">
        <v>482</v>
      </c>
      <c r="Q8565">
        <v>0</v>
      </c>
      <c r="R8565">
        <v>26</v>
      </c>
      <c r="S8565">
        <v>26</v>
      </c>
      <c r="T8565" t="s">
        <v>32300</v>
      </c>
    </row>
    <row r="8566" spans="1:20" customFormat="1" ht="15" x14ac:dyDescent="0.25">
      <c r="A8566" t="s">
        <v>35</v>
      </c>
      <c r="B8566" t="s">
        <v>61</v>
      </c>
      <c r="C8566" t="str">
        <f>"A0180782"</f>
        <v>A0180782</v>
      </c>
      <c r="D8566" t="s">
        <v>32301</v>
      </c>
      <c r="E8566" t="s">
        <v>32302</v>
      </c>
      <c r="F8566" t="s">
        <v>24507</v>
      </c>
      <c r="G8566" t="s">
        <v>71</v>
      </c>
      <c r="H8566" t="s">
        <v>32303</v>
      </c>
      <c r="I8566" t="s">
        <v>30</v>
      </c>
      <c r="J8566" t="s">
        <v>41</v>
      </c>
      <c r="K8566" t="s">
        <v>482</v>
      </c>
      <c r="Q8566">
        <v>0</v>
      </c>
      <c r="R8566">
        <v>60</v>
      </c>
      <c r="S8566">
        <v>60</v>
      </c>
      <c r="T8566" t="s">
        <v>32304</v>
      </c>
    </row>
    <row r="8567" spans="1:20" customFormat="1" ht="15" x14ac:dyDescent="0.25">
      <c r="A8567" t="s">
        <v>35</v>
      </c>
      <c r="B8567" t="s">
        <v>61</v>
      </c>
      <c r="C8567" t="str">
        <f>"A0180781"</f>
        <v>A0180781</v>
      </c>
      <c r="D8567" t="s">
        <v>32305</v>
      </c>
      <c r="E8567" t="s">
        <v>32306</v>
      </c>
      <c r="F8567" t="s">
        <v>26383</v>
      </c>
      <c r="G8567" t="s">
        <v>71</v>
      </c>
      <c r="H8567">
        <v>546502855</v>
      </c>
      <c r="I8567" t="s">
        <v>30</v>
      </c>
      <c r="J8567" t="s">
        <v>41</v>
      </c>
      <c r="K8567" t="s">
        <v>482</v>
      </c>
      <c r="Q8567">
        <v>0</v>
      </c>
      <c r="R8567">
        <v>22</v>
      </c>
      <c r="S8567">
        <v>22</v>
      </c>
      <c r="T8567" t="s">
        <v>32307</v>
      </c>
    </row>
    <row r="8568" spans="1:20" customFormat="1" ht="15" x14ac:dyDescent="0.25">
      <c r="A8568" t="s">
        <v>35</v>
      </c>
      <c r="B8568" t="s">
        <v>61</v>
      </c>
      <c r="C8568" t="str">
        <f>"A0180780"</f>
        <v>A0180780</v>
      </c>
      <c r="D8568" t="s">
        <v>32308</v>
      </c>
      <c r="E8568" t="s">
        <v>32309</v>
      </c>
      <c r="F8568" t="s">
        <v>12532</v>
      </c>
      <c r="G8568" t="s">
        <v>117</v>
      </c>
      <c r="H8568" t="s">
        <v>32310</v>
      </c>
      <c r="I8568" t="s">
        <v>30</v>
      </c>
      <c r="J8568" t="s">
        <v>41</v>
      </c>
      <c r="K8568" t="s">
        <v>482</v>
      </c>
      <c r="Q8568">
        <v>0</v>
      </c>
      <c r="R8568">
        <v>48</v>
      </c>
      <c r="S8568">
        <v>48</v>
      </c>
      <c r="T8568" t="s">
        <v>32311</v>
      </c>
    </row>
    <row r="8569" spans="1:20" customFormat="1" ht="15" x14ac:dyDescent="0.25">
      <c r="A8569" t="s">
        <v>35</v>
      </c>
      <c r="B8569" t="s">
        <v>61</v>
      </c>
      <c r="C8569" t="str">
        <f>"A0180779"</f>
        <v>A0180779</v>
      </c>
      <c r="D8569" t="s">
        <v>32312</v>
      </c>
      <c r="E8569" t="s">
        <v>23432</v>
      </c>
      <c r="F8569" t="s">
        <v>23433</v>
      </c>
      <c r="G8569" t="s">
        <v>71</v>
      </c>
      <c r="H8569">
        <v>544999040</v>
      </c>
      <c r="I8569" t="s">
        <v>30</v>
      </c>
      <c r="J8569" t="s">
        <v>41</v>
      </c>
      <c r="K8569" t="s">
        <v>482</v>
      </c>
      <c r="Q8569">
        <v>0</v>
      </c>
      <c r="R8569">
        <v>31</v>
      </c>
      <c r="S8569">
        <v>31</v>
      </c>
      <c r="T8569" t="s">
        <v>32313</v>
      </c>
    </row>
    <row r="8570" spans="1:20" customFormat="1" ht="15" x14ac:dyDescent="0.25">
      <c r="A8570" t="s">
        <v>35</v>
      </c>
      <c r="B8570" t="s">
        <v>61</v>
      </c>
      <c r="C8570" t="str">
        <f>"A0180778"</f>
        <v>A0180778</v>
      </c>
      <c r="D8570" t="s">
        <v>32210</v>
      </c>
      <c r="E8570" t="s">
        <v>32314</v>
      </c>
      <c r="F8570" t="s">
        <v>16030</v>
      </c>
      <c r="G8570" t="s">
        <v>71</v>
      </c>
      <c r="H8570" t="s">
        <v>32315</v>
      </c>
      <c r="I8570" t="s">
        <v>30</v>
      </c>
      <c r="J8570" t="s">
        <v>41</v>
      </c>
      <c r="K8570" t="s">
        <v>482</v>
      </c>
      <c r="Q8570">
        <v>0</v>
      </c>
      <c r="R8570">
        <v>16</v>
      </c>
      <c r="S8570">
        <v>16</v>
      </c>
      <c r="T8570" t="s">
        <v>32316</v>
      </c>
    </row>
    <row r="8571" spans="1:20" customFormat="1" ht="15" x14ac:dyDescent="0.25">
      <c r="A8571" t="s">
        <v>35</v>
      </c>
      <c r="B8571" t="s">
        <v>61</v>
      </c>
      <c r="C8571" t="str">
        <f>"A0180777"</f>
        <v>A0180777</v>
      </c>
      <c r="D8571" t="s">
        <v>32317</v>
      </c>
      <c r="E8571" t="s">
        <v>32318</v>
      </c>
      <c r="F8571" t="s">
        <v>4681</v>
      </c>
      <c r="G8571" t="s">
        <v>899</v>
      </c>
      <c r="H8571" t="s">
        <v>32319</v>
      </c>
      <c r="I8571" t="s">
        <v>30</v>
      </c>
      <c r="J8571" t="s">
        <v>41</v>
      </c>
      <c r="K8571" t="s">
        <v>482</v>
      </c>
      <c r="Q8571">
        <v>0</v>
      </c>
      <c r="R8571">
        <v>10</v>
      </c>
      <c r="S8571">
        <v>10</v>
      </c>
      <c r="T8571" t="s">
        <v>32320</v>
      </c>
    </row>
    <row r="8572" spans="1:20" customFormat="1" ht="15" x14ac:dyDescent="0.25">
      <c r="A8572" t="s">
        <v>35</v>
      </c>
      <c r="B8572" t="s">
        <v>61</v>
      </c>
      <c r="C8572" t="str">
        <f>"A0180776"</f>
        <v>A0180776</v>
      </c>
      <c r="D8572" t="s">
        <v>32321</v>
      </c>
      <c r="E8572" t="s">
        <v>32322</v>
      </c>
      <c r="F8572" t="s">
        <v>26091</v>
      </c>
      <c r="G8572" t="s">
        <v>899</v>
      </c>
      <c r="H8572">
        <v>10604160</v>
      </c>
      <c r="I8572" t="s">
        <v>30</v>
      </c>
      <c r="J8572" t="s">
        <v>41</v>
      </c>
      <c r="K8572" t="s">
        <v>482</v>
      </c>
      <c r="Q8572">
        <v>0</v>
      </c>
      <c r="R8572">
        <v>39</v>
      </c>
      <c r="S8572">
        <v>39</v>
      </c>
      <c r="T8572" t="s">
        <v>32323</v>
      </c>
    </row>
    <row r="8573" spans="1:20" customFormat="1" ht="15" x14ac:dyDescent="0.25">
      <c r="A8573" t="s">
        <v>35</v>
      </c>
      <c r="B8573" t="s">
        <v>61</v>
      </c>
      <c r="C8573" t="str">
        <f>"A0180775"</f>
        <v>A0180775</v>
      </c>
      <c r="D8573" t="s">
        <v>32324</v>
      </c>
      <c r="E8573" t="s">
        <v>32325</v>
      </c>
      <c r="F8573" t="s">
        <v>6022</v>
      </c>
      <c r="G8573" t="s">
        <v>899</v>
      </c>
      <c r="H8573" t="s">
        <v>32326</v>
      </c>
      <c r="I8573" t="s">
        <v>30</v>
      </c>
      <c r="J8573" t="s">
        <v>41</v>
      </c>
      <c r="K8573" t="s">
        <v>482</v>
      </c>
      <c r="Q8573">
        <v>0</v>
      </c>
      <c r="R8573">
        <v>55</v>
      </c>
      <c r="S8573">
        <v>55</v>
      </c>
      <c r="T8573" t="s">
        <v>32327</v>
      </c>
    </row>
    <row r="8574" spans="1:20" customFormat="1" ht="15" x14ac:dyDescent="0.25">
      <c r="A8574" t="s">
        <v>35</v>
      </c>
      <c r="B8574" t="s">
        <v>61</v>
      </c>
      <c r="C8574" t="str">
        <f>"A0180773"</f>
        <v>A0180773</v>
      </c>
      <c r="D8574" t="s">
        <v>32328</v>
      </c>
      <c r="E8574" t="s">
        <v>32329</v>
      </c>
      <c r="F8574" t="s">
        <v>10801</v>
      </c>
      <c r="G8574" t="s">
        <v>99</v>
      </c>
      <c r="H8574">
        <v>14209</v>
      </c>
      <c r="I8574" t="s">
        <v>30</v>
      </c>
      <c r="J8574" t="s">
        <v>41</v>
      </c>
      <c r="K8574" t="s">
        <v>482</v>
      </c>
      <c r="Q8574">
        <v>0</v>
      </c>
      <c r="R8574">
        <v>0</v>
      </c>
      <c r="S8574">
        <v>0</v>
      </c>
      <c r="T8574" t="s">
        <v>32330</v>
      </c>
    </row>
    <row r="8575" spans="1:20" customFormat="1" ht="15" x14ac:dyDescent="0.25">
      <c r="A8575" t="s">
        <v>35</v>
      </c>
      <c r="B8575" t="s">
        <v>61</v>
      </c>
      <c r="C8575" t="str">
        <f>"A0180772"</f>
        <v>A0180772</v>
      </c>
      <c r="D8575" t="s">
        <v>32331</v>
      </c>
      <c r="E8575" t="s">
        <v>32332</v>
      </c>
      <c r="F8575" t="s">
        <v>29641</v>
      </c>
      <c r="G8575" t="s">
        <v>899</v>
      </c>
      <c r="H8575" t="s">
        <v>32333</v>
      </c>
      <c r="I8575" t="s">
        <v>30</v>
      </c>
      <c r="J8575" t="s">
        <v>41</v>
      </c>
      <c r="K8575" t="s">
        <v>482</v>
      </c>
      <c r="Q8575">
        <v>0</v>
      </c>
      <c r="R8575">
        <v>12</v>
      </c>
      <c r="S8575">
        <v>12</v>
      </c>
      <c r="T8575" t="s">
        <v>32334</v>
      </c>
    </row>
    <row r="8576" spans="1:20" customFormat="1" ht="15" x14ac:dyDescent="0.25">
      <c r="A8576" t="s">
        <v>35</v>
      </c>
      <c r="B8576" t="s">
        <v>61</v>
      </c>
      <c r="C8576" t="str">
        <f>"A0180771"</f>
        <v>A0180771</v>
      </c>
      <c r="D8576" t="s">
        <v>32335</v>
      </c>
      <c r="E8576" t="s">
        <v>32336</v>
      </c>
      <c r="F8576" t="s">
        <v>11695</v>
      </c>
      <c r="G8576" t="s">
        <v>117</v>
      </c>
      <c r="H8576" t="s">
        <v>32337</v>
      </c>
      <c r="I8576" t="s">
        <v>30</v>
      </c>
      <c r="J8576" t="s">
        <v>41</v>
      </c>
      <c r="K8576" t="s">
        <v>482</v>
      </c>
      <c r="Q8576">
        <v>0</v>
      </c>
      <c r="R8576">
        <v>240</v>
      </c>
      <c r="S8576">
        <v>240</v>
      </c>
      <c r="T8576" t="s">
        <v>32338</v>
      </c>
    </row>
    <row r="8577" spans="1:20" customFormat="1" ht="15" x14ac:dyDescent="0.25">
      <c r="A8577" t="s">
        <v>35</v>
      </c>
      <c r="B8577" t="s">
        <v>61</v>
      </c>
      <c r="C8577" t="str">
        <f>"A0180770"</f>
        <v>A0180770</v>
      </c>
      <c r="D8577" t="s">
        <v>32339</v>
      </c>
      <c r="E8577" t="s">
        <v>12242</v>
      </c>
      <c r="F8577" t="s">
        <v>10813</v>
      </c>
      <c r="G8577" t="s">
        <v>71</v>
      </c>
      <c r="H8577" t="s">
        <v>12243</v>
      </c>
      <c r="I8577" t="s">
        <v>30</v>
      </c>
      <c r="J8577" t="s">
        <v>41</v>
      </c>
      <c r="K8577" t="s">
        <v>482</v>
      </c>
      <c r="Q8577">
        <v>0</v>
      </c>
      <c r="R8577">
        <v>92</v>
      </c>
      <c r="S8577">
        <v>92</v>
      </c>
      <c r="T8577" t="s">
        <v>28027</v>
      </c>
    </row>
    <row r="8578" spans="1:20" customFormat="1" ht="15" x14ac:dyDescent="0.25">
      <c r="A8578" t="s">
        <v>35</v>
      </c>
      <c r="B8578" t="s">
        <v>61</v>
      </c>
      <c r="C8578" t="str">
        <f>"A0180769"</f>
        <v>A0180769</v>
      </c>
      <c r="D8578" t="s">
        <v>32340</v>
      </c>
      <c r="E8578" t="s">
        <v>17383</v>
      </c>
      <c r="F8578" t="s">
        <v>9939</v>
      </c>
      <c r="G8578" t="s">
        <v>117</v>
      </c>
      <c r="H8578" t="s">
        <v>17384</v>
      </c>
      <c r="I8578" t="s">
        <v>30</v>
      </c>
      <c r="J8578" t="s">
        <v>41</v>
      </c>
      <c r="K8578" t="s">
        <v>482</v>
      </c>
      <c r="Q8578">
        <v>0</v>
      </c>
      <c r="R8578">
        <v>0</v>
      </c>
      <c r="S8578">
        <v>0</v>
      </c>
    </row>
    <row r="8579" spans="1:20" customFormat="1" ht="15" x14ac:dyDescent="0.25">
      <c r="A8579" t="s">
        <v>35</v>
      </c>
      <c r="B8579" t="s">
        <v>61</v>
      </c>
      <c r="C8579" t="str">
        <f>"A0180768"</f>
        <v>A0180768</v>
      </c>
      <c r="D8579" t="s">
        <v>32341</v>
      </c>
      <c r="E8579" t="s">
        <v>32342</v>
      </c>
      <c r="F8579" t="s">
        <v>32343</v>
      </c>
      <c r="G8579" t="s">
        <v>190</v>
      </c>
      <c r="H8579">
        <v>801042605</v>
      </c>
      <c r="I8579" t="s">
        <v>30</v>
      </c>
      <c r="J8579" t="s">
        <v>41</v>
      </c>
      <c r="K8579" t="s">
        <v>482</v>
      </c>
      <c r="Q8579">
        <v>0</v>
      </c>
      <c r="R8579">
        <v>13</v>
      </c>
      <c r="S8579">
        <v>13</v>
      </c>
      <c r="T8579" t="s">
        <v>32344</v>
      </c>
    </row>
    <row r="8580" spans="1:20" customFormat="1" ht="15" x14ac:dyDescent="0.25">
      <c r="A8580" t="s">
        <v>35</v>
      </c>
      <c r="B8580" t="s">
        <v>61</v>
      </c>
      <c r="C8580" t="str">
        <f>"A0180767"</f>
        <v>A0180767</v>
      </c>
      <c r="D8580" t="s">
        <v>32345</v>
      </c>
      <c r="E8580" t="s">
        <v>22500</v>
      </c>
      <c r="F8580" t="s">
        <v>22501</v>
      </c>
      <c r="G8580" t="s">
        <v>1898</v>
      </c>
      <c r="H8580">
        <v>50613</v>
      </c>
      <c r="I8580" t="s">
        <v>30</v>
      </c>
      <c r="J8580" t="s">
        <v>41</v>
      </c>
      <c r="K8580" t="s">
        <v>482</v>
      </c>
      <c r="Q8580">
        <v>0</v>
      </c>
      <c r="R8580">
        <v>121</v>
      </c>
      <c r="S8580">
        <v>121</v>
      </c>
      <c r="T8580" t="s">
        <v>22693</v>
      </c>
    </row>
    <row r="8581" spans="1:20" customFormat="1" ht="15" x14ac:dyDescent="0.25">
      <c r="A8581" t="s">
        <v>35</v>
      </c>
      <c r="B8581" t="s">
        <v>61</v>
      </c>
      <c r="C8581" t="str">
        <f>"A0180766"</f>
        <v>A0180766</v>
      </c>
      <c r="D8581" t="s">
        <v>32346</v>
      </c>
      <c r="E8581" t="s">
        <v>32347</v>
      </c>
      <c r="F8581" t="s">
        <v>8145</v>
      </c>
      <c r="G8581" t="s">
        <v>1898</v>
      </c>
      <c r="H8581" t="s">
        <v>32348</v>
      </c>
      <c r="I8581" t="s">
        <v>30</v>
      </c>
      <c r="J8581" t="s">
        <v>41</v>
      </c>
      <c r="K8581" t="s">
        <v>482</v>
      </c>
      <c r="Q8581">
        <v>0</v>
      </c>
      <c r="R8581">
        <v>15</v>
      </c>
      <c r="S8581">
        <v>15</v>
      </c>
      <c r="T8581" t="s">
        <v>32349</v>
      </c>
    </row>
    <row r="8582" spans="1:20" customFormat="1" ht="15" x14ac:dyDescent="0.25">
      <c r="A8582" t="s">
        <v>35</v>
      </c>
      <c r="B8582" t="s">
        <v>61</v>
      </c>
      <c r="C8582" t="str">
        <f>"A0180765"</f>
        <v>A0180765</v>
      </c>
      <c r="D8582" t="s">
        <v>32350</v>
      </c>
      <c r="E8582" t="s">
        <v>32351</v>
      </c>
      <c r="F8582" t="s">
        <v>27077</v>
      </c>
      <c r="G8582" t="s">
        <v>71</v>
      </c>
      <c r="H8582">
        <v>54636</v>
      </c>
      <c r="I8582" t="s">
        <v>30</v>
      </c>
      <c r="J8582" t="s">
        <v>41</v>
      </c>
      <c r="K8582" t="s">
        <v>482</v>
      </c>
      <c r="Q8582">
        <v>0</v>
      </c>
      <c r="R8582">
        <v>0</v>
      </c>
      <c r="S8582">
        <v>0</v>
      </c>
      <c r="T8582" t="s">
        <v>32352</v>
      </c>
    </row>
    <row r="8583" spans="1:20" customFormat="1" ht="15" x14ac:dyDescent="0.25">
      <c r="A8583" t="s">
        <v>35</v>
      </c>
      <c r="B8583" t="s">
        <v>61</v>
      </c>
      <c r="C8583" t="str">
        <f>"A0180764"</f>
        <v>A0180764</v>
      </c>
      <c r="D8583" t="s">
        <v>32353</v>
      </c>
      <c r="E8583" t="s">
        <v>32354</v>
      </c>
      <c r="F8583" t="s">
        <v>26949</v>
      </c>
      <c r="G8583" t="s">
        <v>1898</v>
      </c>
      <c r="H8583" t="s">
        <v>32355</v>
      </c>
      <c r="I8583" t="s">
        <v>30</v>
      </c>
      <c r="J8583" t="s">
        <v>41</v>
      </c>
      <c r="K8583" t="s">
        <v>482</v>
      </c>
      <c r="Q8583">
        <v>0</v>
      </c>
      <c r="R8583">
        <v>96</v>
      </c>
      <c r="S8583">
        <v>96</v>
      </c>
      <c r="T8583" t="s">
        <v>32356</v>
      </c>
    </row>
    <row r="8584" spans="1:20" customFormat="1" ht="15" x14ac:dyDescent="0.25">
      <c r="A8584" t="s">
        <v>35</v>
      </c>
      <c r="B8584" t="s">
        <v>61</v>
      </c>
      <c r="C8584" t="str">
        <f>"A0180763"</f>
        <v>A0180763</v>
      </c>
      <c r="D8584" t="s">
        <v>26566</v>
      </c>
      <c r="E8584" t="s">
        <v>32357</v>
      </c>
      <c r="F8584" t="s">
        <v>894</v>
      </c>
      <c r="G8584" t="s">
        <v>117</v>
      </c>
      <c r="H8584" t="s">
        <v>32358</v>
      </c>
      <c r="I8584" t="s">
        <v>30</v>
      </c>
      <c r="J8584" t="s">
        <v>41</v>
      </c>
      <c r="K8584" t="s">
        <v>482</v>
      </c>
      <c r="Q8584">
        <v>0</v>
      </c>
      <c r="R8584">
        <v>59</v>
      </c>
      <c r="S8584">
        <v>59</v>
      </c>
      <c r="T8584" t="s">
        <v>32359</v>
      </c>
    </row>
    <row r="8585" spans="1:20" customFormat="1" ht="15" x14ac:dyDescent="0.25">
      <c r="A8585" t="s">
        <v>35</v>
      </c>
      <c r="B8585" t="s">
        <v>61</v>
      </c>
      <c r="C8585" t="str">
        <f>"A0180762"</f>
        <v>A0180762</v>
      </c>
      <c r="D8585" t="s">
        <v>32360</v>
      </c>
      <c r="E8585" t="s">
        <v>32361</v>
      </c>
      <c r="F8585" t="s">
        <v>11602</v>
      </c>
      <c r="G8585" t="s">
        <v>71</v>
      </c>
      <c r="H8585">
        <v>54601</v>
      </c>
      <c r="I8585" t="s">
        <v>30</v>
      </c>
      <c r="J8585" t="s">
        <v>41</v>
      </c>
      <c r="K8585" t="s">
        <v>482</v>
      </c>
      <c r="Q8585">
        <v>0</v>
      </c>
      <c r="R8585">
        <v>30</v>
      </c>
      <c r="S8585">
        <v>30</v>
      </c>
      <c r="T8585" t="s">
        <v>32362</v>
      </c>
    </row>
    <row r="8586" spans="1:20" customFormat="1" ht="15" x14ac:dyDescent="0.25">
      <c r="A8586" t="s">
        <v>35</v>
      </c>
      <c r="B8586" t="s">
        <v>61</v>
      </c>
      <c r="C8586" t="str">
        <f>"A0180761"</f>
        <v>A0180761</v>
      </c>
      <c r="D8586" t="s">
        <v>32363</v>
      </c>
      <c r="E8586" t="s">
        <v>32364</v>
      </c>
      <c r="F8586" t="s">
        <v>32365</v>
      </c>
      <c r="G8586" t="s">
        <v>190</v>
      </c>
      <c r="H8586">
        <v>801383818</v>
      </c>
      <c r="I8586" t="s">
        <v>30</v>
      </c>
      <c r="J8586" t="s">
        <v>41</v>
      </c>
      <c r="K8586" t="s">
        <v>482</v>
      </c>
      <c r="Q8586">
        <v>0</v>
      </c>
      <c r="R8586">
        <v>22</v>
      </c>
      <c r="S8586">
        <v>22</v>
      </c>
      <c r="T8586" t="s">
        <v>32366</v>
      </c>
    </row>
    <row r="8587" spans="1:20" customFormat="1" ht="15" x14ac:dyDescent="0.25">
      <c r="A8587" t="s">
        <v>35</v>
      </c>
      <c r="B8587" t="s">
        <v>11386</v>
      </c>
      <c r="C8587" t="str">
        <f>"A0180760"</f>
        <v>A0180760</v>
      </c>
      <c r="D8587" t="s">
        <v>32367</v>
      </c>
      <c r="E8587" t="s">
        <v>32368</v>
      </c>
      <c r="F8587" t="s">
        <v>15844</v>
      </c>
      <c r="G8587" t="s">
        <v>117</v>
      </c>
      <c r="H8587">
        <v>480593886</v>
      </c>
      <c r="I8587" t="s">
        <v>30</v>
      </c>
      <c r="J8587" t="s">
        <v>41</v>
      </c>
      <c r="K8587" t="s">
        <v>482</v>
      </c>
      <c r="Q8587">
        <v>0</v>
      </c>
      <c r="R8587">
        <v>44</v>
      </c>
      <c r="S8587">
        <v>44</v>
      </c>
      <c r="T8587" t="s">
        <v>32369</v>
      </c>
    </row>
    <row r="8588" spans="1:20" customFormat="1" ht="15" x14ac:dyDescent="0.25">
      <c r="A8588" t="s">
        <v>35</v>
      </c>
      <c r="B8588" t="s">
        <v>61</v>
      </c>
      <c r="C8588" t="str">
        <f>"A0180759"</f>
        <v>A0180759</v>
      </c>
      <c r="D8588" t="s">
        <v>32370</v>
      </c>
      <c r="E8588" t="s">
        <v>26417</v>
      </c>
      <c r="F8588" t="s">
        <v>11602</v>
      </c>
      <c r="G8588" t="s">
        <v>71</v>
      </c>
      <c r="H8588" t="s">
        <v>31706</v>
      </c>
      <c r="I8588" t="s">
        <v>30</v>
      </c>
      <c r="J8588" t="s">
        <v>41</v>
      </c>
      <c r="K8588" t="s">
        <v>482</v>
      </c>
      <c r="Q8588">
        <v>0</v>
      </c>
      <c r="R8588">
        <v>12</v>
      </c>
      <c r="S8588">
        <v>12</v>
      </c>
      <c r="T8588" t="s">
        <v>32371</v>
      </c>
    </row>
    <row r="8589" spans="1:20" customFormat="1" ht="15" x14ac:dyDescent="0.25">
      <c r="A8589" t="s">
        <v>35</v>
      </c>
      <c r="B8589" t="s">
        <v>61</v>
      </c>
      <c r="C8589" t="str">
        <f>"A0180758"</f>
        <v>A0180758</v>
      </c>
      <c r="D8589" t="s">
        <v>32372</v>
      </c>
      <c r="E8589" t="s">
        <v>32373</v>
      </c>
      <c r="F8589" t="s">
        <v>27341</v>
      </c>
      <c r="G8589" t="s">
        <v>71</v>
      </c>
      <c r="H8589" t="s">
        <v>32374</v>
      </c>
      <c r="I8589" t="s">
        <v>30</v>
      </c>
      <c r="J8589" t="s">
        <v>41</v>
      </c>
      <c r="K8589" t="s">
        <v>482</v>
      </c>
      <c r="Q8589">
        <v>0</v>
      </c>
      <c r="R8589">
        <v>0</v>
      </c>
      <c r="S8589">
        <v>0</v>
      </c>
      <c r="T8589" t="s">
        <v>32375</v>
      </c>
    </row>
    <row r="8590" spans="1:20" customFormat="1" ht="15" x14ac:dyDescent="0.25">
      <c r="A8590" t="s">
        <v>35</v>
      </c>
      <c r="B8590" t="s">
        <v>61</v>
      </c>
      <c r="C8590" t="str">
        <f>"A0180757"</f>
        <v>A0180757</v>
      </c>
      <c r="D8590" t="s">
        <v>32376</v>
      </c>
      <c r="E8590" t="s">
        <v>32377</v>
      </c>
      <c r="F8590" t="s">
        <v>31366</v>
      </c>
      <c r="G8590" t="s">
        <v>71</v>
      </c>
      <c r="H8590" t="s">
        <v>31367</v>
      </c>
      <c r="I8590" t="s">
        <v>30</v>
      </c>
      <c r="J8590" t="s">
        <v>41</v>
      </c>
      <c r="K8590" t="s">
        <v>482</v>
      </c>
      <c r="Q8590">
        <v>0</v>
      </c>
      <c r="R8590">
        <v>0</v>
      </c>
      <c r="S8590">
        <v>0</v>
      </c>
    </row>
    <row r="8591" spans="1:20" customFormat="1" ht="15" x14ac:dyDescent="0.25">
      <c r="A8591" t="s">
        <v>35</v>
      </c>
      <c r="B8591" t="s">
        <v>61</v>
      </c>
      <c r="C8591" t="str">
        <f>"A0180756"</f>
        <v>A0180756</v>
      </c>
      <c r="D8591" t="s">
        <v>32378</v>
      </c>
      <c r="E8591" t="s">
        <v>26417</v>
      </c>
      <c r="F8591" t="s">
        <v>11602</v>
      </c>
      <c r="G8591" t="s">
        <v>71</v>
      </c>
      <c r="H8591" t="s">
        <v>31706</v>
      </c>
      <c r="I8591" t="s">
        <v>30</v>
      </c>
      <c r="J8591" t="s">
        <v>41</v>
      </c>
      <c r="K8591" t="s">
        <v>482</v>
      </c>
      <c r="Q8591">
        <v>0</v>
      </c>
      <c r="R8591">
        <v>12</v>
      </c>
      <c r="S8591">
        <v>12</v>
      </c>
      <c r="T8591" t="s">
        <v>32379</v>
      </c>
    </row>
    <row r="8592" spans="1:20" customFormat="1" ht="15" x14ac:dyDescent="0.25">
      <c r="A8592" t="s">
        <v>35</v>
      </c>
      <c r="B8592" t="s">
        <v>61</v>
      </c>
      <c r="C8592" t="str">
        <f>"A0180755"</f>
        <v>A0180755</v>
      </c>
      <c r="D8592" t="s">
        <v>32380</v>
      </c>
      <c r="E8592" t="s">
        <v>25926</v>
      </c>
      <c r="F8592" t="s">
        <v>3740</v>
      </c>
      <c r="G8592" t="s">
        <v>71</v>
      </c>
      <c r="H8592" t="s">
        <v>25927</v>
      </c>
      <c r="I8592" t="s">
        <v>30</v>
      </c>
      <c r="J8592" t="s">
        <v>41</v>
      </c>
      <c r="K8592" t="s">
        <v>482</v>
      </c>
      <c r="Q8592">
        <v>0</v>
      </c>
      <c r="R8592">
        <v>32</v>
      </c>
      <c r="S8592">
        <v>32</v>
      </c>
      <c r="T8592" t="s">
        <v>25928</v>
      </c>
    </row>
    <row r="8593" spans="1:20" customFormat="1" ht="15" x14ac:dyDescent="0.25">
      <c r="A8593" t="s">
        <v>35</v>
      </c>
      <c r="B8593" t="s">
        <v>61</v>
      </c>
      <c r="C8593" t="str">
        <f>"A0180754"</f>
        <v>A0180754</v>
      </c>
      <c r="D8593" t="s">
        <v>32381</v>
      </c>
      <c r="E8593" t="s">
        <v>32382</v>
      </c>
      <c r="F8593" t="s">
        <v>11035</v>
      </c>
      <c r="G8593" t="s">
        <v>71</v>
      </c>
      <c r="H8593" t="s">
        <v>32383</v>
      </c>
      <c r="I8593" t="s">
        <v>30</v>
      </c>
      <c r="J8593" t="s">
        <v>41</v>
      </c>
      <c r="K8593" t="s">
        <v>482</v>
      </c>
      <c r="Q8593">
        <v>0</v>
      </c>
      <c r="R8593">
        <v>13</v>
      </c>
      <c r="S8593">
        <v>13</v>
      </c>
      <c r="T8593" t="s">
        <v>30942</v>
      </c>
    </row>
    <row r="8594" spans="1:20" customFormat="1" ht="15" x14ac:dyDescent="0.25">
      <c r="A8594" t="s">
        <v>35</v>
      </c>
      <c r="B8594" t="s">
        <v>11386</v>
      </c>
      <c r="C8594" t="str">
        <f>"A0180753"</f>
        <v>A0180753</v>
      </c>
      <c r="D8594" t="s">
        <v>32384</v>
      </c>
      <c r="E8594" t="s">
        <v>32385</v>
      </c>
      <c r="F8594" t="s">
        <v>451</v>
      </c>
      <c r="G8594" t="s">
        <v>117</v>
      </c>
      <c r="H8594">
        <v>48103</v>
      </c>
      <c r="I8594" t="s">
        <v>30</v>
      </c>
      <c r="J8594" t="s">
        <v>41</v>
      </c>
      <c r="K8594" t="s">
        <v>482</v>
      </c>
      <c r="Q8594">
        <v>0</v>
      </c>
      <c r="R8594">
        <v>40</v>
      </c>
      <c r="S8594">
        <v>40</v>
      </c>
      <c r="T8594" t="s">
        <v>32386</v>
      </c>
    </row>
    <row r="8595" spans="1:20" customFormat="1" ht="15" x14ac:dyDescent="0.25">
      <c r="A8595" t="s">
        <v>35</v>
      </c>
      <c r="B8595" t="s">
        <v>61</v>
      </c>
      <c r="C8595" t="str">
        <f>"A0180752"</f>
        <v>A0180752</v>
      </c>
      <c r="D8595" t="s">
        <v>32387</v>
      </c>
      <c r="E8595" t="s">
        <v>32388</v>
      </c>
      <c r="F8595" t="s">
        <v>11602</v>
      </c>
      <c r="G8595" t="s">
        <v>71</v>
      </c>
      <c r="H8595">
        <v>54601</v>
      </c>
      <c r="I8595" t="s">
        <v>30</v>
      </c>
      <c r="J8595" t="s">
        <v>41</v>
      </c>
      <c r="K8595" t="s">
        <v>482</v>
      </c>
      <c r="Q8595">
        <v>0</v>
      </c>
      <c r="R8595">
        <v>42</v>
      </c>
      <c r="S8595">
        <v>42</v>
      </c>
      <c r="T8595" t="s">
        <v>32389</v>
      </c>
    </row>
    <row r="8596" spans="1:20" customFormat="1" ht="15" x14ac:dyDescent="0.25">
      <c r="A8596" t="s">
        <v>35</v>
      </c>
      <c r="B8596" t="s">
        <v>61</v>
      </c>
      <c r="C8596" t="str">
        <f>"A0180751"</f>
        <v>A0180751</v>
      </c>
      <c r="D8596" t="s">
        <v>32390</v>
      </c>
      <c r="E8596" t="s">
        <v>32391</v>
      </c>
      <c r="F8596" t="s">
        <v>11831</v>
      </c>
      <c r="G8596" t="s">
        <v>161</v>
      </c>
      <c r="H8596" t="s">
        <v>11981</v>
      </c>
      <c r="I8596" t="s">
        <v>30</v>
      </c>
      <c r="J8596" t="s">
        <v>41</v>
      </c>
      <c r="K8596" t="s">
        <v>482</v>
      </c>
      <c r="Q8596">
        <v>0</v>
      </c>
      <c r="R8596">
        <v>36</v>
      </c>
      <c r="S8596">
        <v>36</v>
      </c>
      <c r="T8596" t="s">
        <v>32392</v>
      </c>
    </row>
    <row r="8597" spans="1:20" customFormat="1" ht="15" x14ac:dyDescent="0.25">
      <c r="A8597" t="s">
        <v>35</v>
      </c>
      <c r="B8597" t="s">
        <v>61</v>
      </c>
      <c r="C8597" t="str">
        <f>"A0180750"</f>
        <v>A0180750</v>
      </c>
      <c r="D8597" t="s">
        <v>32393</v>
      </c>
      <c r="E8597" t="s">
        <v>32394</v>
      </c>
      <c r="F8597" t="s">
        <v>32395</v>
      </c>
      <c r="G8597" t="s">
        <v>161</v>
      </c>
      <c r="H8597" t="s">
        <v>32396</v>
      </c>
      <c r="I8597" t="s">
        <v>30</v>
      </c>
      <c r="J8597" t="s">
        <v>41</v>
      </c>
      <c r="K8597" t="s">
        <v>482</v>
      </c>
      <c r="Q8597">
        <v>0</v>
      </c>
      <c r="R8597">
        <v>28</v>
      </c>
      <c r="S8597">
        <v>28</v>
      </c>
      <c r="T8597" t="s">
        <v>32397</v>
      </c>
    </row>
    <row r="8598" spans="1:20" customFormat="1" ht="15" x14ac:dyDescent="0.25">
      <c r="A8598" t="s">
        <v>35</v>
      </c>
      <c r="B8598" t="s">
        <v>61</v>
      </c>
      <c r="C8598" t="str">
        <f>"A0180749"</f>
        <v>A0180749</v>
      </c>
      <c r="D8598" t="s">
        <v>32398</v>
      </c>
      <c r="E8598" t="s">
        <v>32399</v>
      </c>
      <c r="F8598" t="s">
        <v>27202</v>
      </c>
      <c r="G8598" t="s">
        <v>161</v>
      </c>
      <c r="H8598">
        <v>55124</v>
      </c>
      <c r="I8598" t="s">
        <v>30</v>
      </c>
      <c r="J8598" t="s">
        <v>41</v>
      </c>
      <c r="K8598" t="s">
        <v>482</v>
      </c>
      <c r="Q8598">
        <v>0</v>
      </c>
      <c r="R8598">
        <v>0</v>
      </c>
      <c r="S8598">
        <v>0</v>
      </c>
      <c r="T8598" t="s">
        <v>32400</v>
      </c>
    </row>
    <row r="8599" spans="1:20" customFormat="1" ht="15" x14ac:dyDescent="0.25">
      <c r="A8599" t="s">
        <v>35</v>
      </c>
      <c r="B8599" t="s">
        <v>61</v>
      </c>
      <c r="C8599" t="str">
        <f>"A0180748"</f>
        <v>A0180748</v>
      </c>
      <c r="D8599" t="s">
        <v>32401</v>
      </c>
      <c r="E8599" t="s">
        <v>32402</v>
      </c>
      <c r="F8599" t="s">
        <v>27389</v>
      </c>
      <c r="G8599" t="s">
        <v>161</v>
      </c>
      <c r="H8599" t="s">
        <v>32403</v>
      </c>
      <c r="I8599" t="s">
        <v>30</v>
      </c>
      <c r="J8599" t="s">
        <v>41</v>
      </c>
      <c r="K8599" t="s">
        <v>482</v>
      </c>
      <c r="Q8599">
        <v>0</v>
      </c>
      <c r="R8599">
        <v>50</v>
      </c>
      <c r="S8599">
        <v>50</v>
      </c>
      <c r="T8599" t="s">
        <v>32404</v>
      </c>
    </row>
    <row r="8600" spans="1:20" customFormat="1" ht="15" x14ac:dyDescent="0.25">
      <c r="A8600" t="s">
        <v>35</v>
      </c>
      <c r="B8600" t="s">
        <v>61</v>
      </c>
      <c r="C8600" t="str">
        <f>"A0180747"</f>
        <v>A0180747</v>
      </c>
      <c r="D8600" t="s">
        <v>32405</v>
      </c>
      <c r="E8600" t="s">
        <v>32406</v>
      </c>
      <c r="F8600" t="s">
        <v>28728</v>
      </c>
      <c r="G8600" t="s">
        <v>71</v>
      </c>
      <c r="H8600" t="s">
        <v>32407</v>
      </c>
      <c r="I8600" t="s">
        <v>30</v>
      </c>
      <c r="J8600" t="s">
        <v>41</v>
      </c>
      <c r="K8600" t="s">
        <v>482</v>
      </c>
      <c r="Q8600">
        <v>0</v>
      </c>
      <c r="R8600">
        <v>21</v>
      </c>
      <c r="S8600">
        <v>21</v>
      </c>
      <c r="T8600" t="s">
        <v>28730</v>
      </c>
    </row>
    <row r="8601" spans="1:20" customFormat="1" ht="15" x14ac:dyDescent="0.25">
      <c r="A8601" t="s">
        <v>35</v>
      </c>
      <c r="B8601" t="s">
        <v>61</v>
      </c>
      <c r="C8601" t="str">
        <f>"A0180746"</f>
        <v>A0180746</v>
      </c>
      <c r="D8601" t="s">
        <v>32341</v>
      </c>
      <c r="E8601" t="s">
        <v>32408</v>
      </c>
      <c r="F8601" t="s">
        <v>32343</v>
      </c>
      <c r="G8601" t="s">
        <v>190</v>
      </c>
      <c r="H8601">
        <v>801042911</v>
      </c>
      <c r="I8601" t="s">
        <v>30</v>
      </c>
      <c r="J8601" t="s">
        <v>41</v>
      </c>
      <c r="K8601" t="s">
        <v>482</v>
      </c>
      <c r="Q8601">
        <v>0</v>
      </c>
      <c r="R8601">
        <v>20</v>
      </c>
      <c r="S8601">
        <v>20</v>
      </c>
      <c r="T8601" t="s">
        <v>32409</v>
      </c>
    </row>
    <row r="8602" spans="1:20" customFormat="1" ht="15" x14ac:dyDescent="0.25">
      <c r="A8602" t="s">
        <v>35</v>
      </c>
      <c r="B8602" t="s">
        <v>61</v>
      </c>
      <c r="C8602" t="str">
        <f>"A0180745"</f>
        <v>A0180745</v>
      </c>
      <c r="D8602" t="s">
        <v>32410</v>
      </c>
      <c r="E8602" t="s">
        <v>32411</v>
      </c>
      <c r="F8602" t="s">
        <v>7112</v>
      </c>
      <c r="G8602" t="s">
        <v>899</v>
      </c>
      <c r="H8602">
        <v>21385525</v>
      </c>
      <c r="I8602" t="s">
        <v>30</v>
      </c>
      <c r="J8602" t="s">
        <v>41</v>
      </c>
      <c r="K8602" t="s">
        <v>482</v>
      </c>
      <c r="Q8602">
        <v>0</v>
      </c>
      <c r="R8602">
        <v>44</v>
      </c>
      <c r="S8602">
        <v>44</v>
      </c>
      <c r="T8602" t="s">
        <v>32412</v>
      </c>
    </row>
    <row r="8603" spans="1:20" customFormat="1" ht="15" x14ac:dyDescent="0.25">
      <c r="A8603" t="s">
        <v>35</v>
      </c>
      <c r="B8603" t="s">
        <v>61</v>
      </c>
      <c r="C8603" t="str">
        <f>"A0180744"</f>
        <v>A0180744</v>
      </c>
      <c r="D8603" t="s">
        <v>32413</v>
      </c>
      <c r="E8603" t="s">
        <v>32414</v>
      </c>
      <c r="F8603" t="s">
        <v>26129</v>
      </c>
      <c r="G8603" t="s">
        <v>899</v>
      </c>
      <c r="H8603" t="s">
        <v>32415</v>
      </c>
      <c r="I8603" t="s">
        <v>30</v>
      </c>
      <c r="J8603" t="s">
        <v>41</v>
      </c>
      <c r="K8603" t="s">
        <v>482</v>
      </c>
      <c r="Q8603">
        <v>0</v>
      </c>
      <c r="R8603">
        <v>60</v>
      </c>
      <c r="S8603">
        <v>60</v>
      </c>
      <c r="T8603" t="s">
        <v>32416</v>
      </c>
    </row>
    <row r="8604" spans="1:20" customFormat="1" ht="15" x14ac:dyDescent="0.25">
      <c r="A8604" t="s">
        <v>35</v>
      </c>
      <c r="B8604" t="s">
        <v>61</v>
      </c>
      <c r="C8604" t="str">
        <f>"A0180743"</f>
        <v>A0180743</v>
      </c>
      <c r="D8604" t="s">
        <v>32417</v>
      </c>
      <c r="E8604" t="s">
        <v>32418</v>
      </c>
      <c r="F8604" t="s">
        <v>2644</v>
      </c>
      <c r="G8604" t="s">
        <v>899</v>
      </c>
      <c r="H8604" t="s">
        <v>32419</v>
      </c>
      <c r="I8604" t="s">
        <v>30</v>
      </c>
      <c r="J8604" t="s">
        <v>41</v>
      </c>
      <c r="K8604" t="s">
        <v>482</v>
      </c>
      <c r="Q8604">
        <v>0</v>
      </c>
      <c r="R8604">
        <v>55</v>
      </c>
      <c r="S8604">
        <v>55</v>
      </c>
      <c r="T8604" t="s">
        <v>32420</v>
      </c>
    </row>
    <row r="8605" spans="1:20" customFormat="1" ht="15" x14ac:dyDescent="0.25">
      <c r="A8605" t="s">
        <v>35</v>
      </c>
      <c r="B8605" t="s">
        <v>61</v>
      </c>
      <c r="C8605" t="str">
        <f>"A0180742"</f>
        <v>A0180742</v>
      </c>
      <c r="D8605" t="s">
        <v>32421</v>
      </c>
      <c r="E8605" t="s">
        <v>32422</v>
      </c>
      <c r="F8605" t="s">
        <v>22300</v>
      </c>
      <c r="G8605" t="s">
        <v>899</v>
      </c>
      <c r="H8605" t="s">
        <v>32423</v>
      </c>
      <c r="I8605" t="s">
        <v>30</v>
      </c>
      <c r="J8605" t="s">
        <v>41</v>
      </c>
      <c r="K8605" t="s">
        <v>482</v>
      </c>
      <c r="Q8605">
        <v>0</v>
      </c>
      <c r="R8605">
        <v>60</v>
      </c>
      <c r="S8605">
        <v>60</v>
      </c>
      <c r="T8605" t="s">
        <v>32424</v>
      </c>
    </row>
    <row r="8606" spans="1:20" customFormat="1" ht="15" x14ac:dyDescent="0.25">
      <c r="A8606" t="s">
        <v>35</v>
      </c>
      <c r="B8606" t="s">
        <v>61</v>
      </c>
      <c r="C8606" t="str">
        <f>"A0180741"</f>
        <v>A0180741</v>
      </c>
      <c r="D8606" t="s">
        <v>32425</v>
      </c>
      <c r="E8606" t="s">
        <v>32426</v>
      </c>
      <c r="F8606" t="s">
        <v>27218</v>
      </c>
      <c r="G8606" t="s">
        <v>161</v>
      </c>
      <c r="H8606" t="s">
        <v>32427</v>
      </c>
      <c r="I8606" t="s">
        <v>30</v>
      </c>
      <c r="J8606" t="s">
        <v>41</v>
      </c>
      <c r="K8606" t="s">
        <v>482</v>
      </c>
      <c r="Q8606">
        <v>0</v>
      </c>
      <c r="R8606">
        <v>44</v>
      </c>
      <c r="S8606">
        <v>44</v>
      </c>
      <c r="T8606" t="s">
        <v>32428</v>
      </c>
    </row>
    <row r="8607" spans="1:20" customFormat="1" ht="15" x14ac:dyDescent="0.25">
      <c r="A8607" t="s">
        <v>35</v>
      </c>
      <c r="B8607" t="s">
        <v>61</v>
      </c>
      <c r="C8607" t="str">
        <f>"A0180740"</f>
        <v>A0180740</v>
      </c>
      <c r="D8607" t="s">
        <v>32429</v>
      </c>
      <c r="E8607" t="s">
        <v>32430</v>
      </c>
      <c r="F8607" t="s">
        <v>27218</v>
      </c>
      <c r="G8607" t="s">
        <v>161</v>
      </c>
      <c r="H8607" t="s">
        <v>32431</v>
      </c>
      <c r="I8607" t="s">
        <v>30</v>
      </c>
      <c r="J8607" t="s">
        <v>41</v>
      </c>
      <c r="K8607" t="s">
        <v>482</v>
      </c>
      <c r="Q8607">
        <v>0</v>
      </c>
      <c r="R8607">
        <v>34</v>
      </c>
      <c r="S8607">
        <v>34</v>
      </c>
      <c r="T8607" t="s">
        <v>32432</v>
      </c>
    </row>
    <row r="8608" spans="1:20" customFormat="1" ht="15" x14ac:dyDescent="0.25">
      <c r="A8608" t="s">
        <v>35</v>
      </c>
      <c r="B8608" t="s">
        <v>61</v>
      </c>
      <c r="C8608" t="str">
        <f>"A0180739"</f>
        <v>A0180739</v>
      </c>
      <c r="D8608" t="s">
        <v>32433</v>
      </c>
      <c r="E8608" t="s">
        <v>32434</v>
      </c>
      <c r="F8608" t="s">
        <v>32435</v>
      </c>
      <c r="G8608" t="s">
        <v>161</v>
      </c>
      <c r="H8608">
        <v>56082</v>
      </c>
      <c r="I8608" t="s">
        <v>30</v>
      </c>
      <c r="J8608" t="s">
        <v>41</v>
      </c>
      <c r="K8608" t="s">
        <v>482</v>
      </c>
      <c r="Q8608">
        <v>0</v>
      </c>
      <c r="R8608">
        <v>0</v>
      </c>
      <c r="S8608">
        <v>0</v>
      </c>
      <c r="T8608" t="s">
        <v>32436</v>
      </c>
    </row>
    <row r="8609" spans="1:20" customFormat="1" ht="15" x14ac:dyDescent="0.25">
      <c r="A8609" t="s">
        <v>35</v>
      </c>
      <c r="B8609" t="s">
        <v>61</v>
      </c>
      <c r="C8609" t="str">
        <f>"A0180738"</f>
        <v>A0180738</v>
      </c>
      <c r="D8609" t="s">
        <v>32437</v>
      </c>
      <c r="E8609" t="s">
        <v>32438</v>
      </c>
      <c r="F8609" t="s">
        <v>32439</v>
      </c>
      <c r="G8609" t="s">
        <v>110</v>
      </c>
      <c r="H8609" t="s">
        <v>32440</v>
      </c>
      <c r="I8609" t="s">
        <v>30</v>
      </c>
      <c r="J8609" t="s">
        <v>41</v>
      </c>
      <c r="K8609" t="s">
        <v>482</v>
      </c>
      <c r="Q8609">
        <v>0</v>
      </c>
      <c r="R8609">
        <v>1</v>
      </c>
      <c r="S8609">
        <v>1</v>
      </c>
      <c r="T8609" t="s">
        <v>32441</v>
      </c>
    </row>
    <row r="8610" spans="1:20" customFormat="1" ht="15" x14ac:dyDescent="0.25">
      <c r="A8610" t="s">
        <v>35</v>
      </c>
      <c r="B8610" t="s">
        <v>61</v>
      </c>
      <c r="C8610" t="str">
        <f>"A0180737"</f>
        <v>A0180737</v>
      </c>
      <c r="D8610" t="s">
        <v>32442</v>
      </c>
      <c r="E8610" t="s">
        <v>32443</v>
      </c>
      <c r="F8610" t="s">
        <v>12489</v>
      </c>
      <c r="G8610" t="s">
        <v>110</v>
      </c>
      <c r="H8610">
        <v>960033710</v>
      </c>
      <c r="I8610" t="s">
        <v>30</v>
      </c>
      <c r="J8610" t="s">
        <v>41</v>
      </c>
      <c r="K8610" t="s">
        <v>482</v>
      </c>
      <c r="Q8610">
        <v>0</v>
      </c>
      <c r="R8610">
        <v>0</v>
      </c>
      <c r="S8610">
        <v>60</v>
      </c>
    </row>
    <row r="8611" spans="1:20" customFormat="1" ht="15" x14ac:dyDescent="0.25">
      <c r="A8611" t="s">
        <v>35</v>
      </c>
      <c r="B8611" t="s">
        <v>11386</v>
      </c>
      <c r="C8611" t="str">
        <f>"A0180736"</f>
        <v>A0180736</v>
      </c>
      <c r="D8611" t="s">
        <v>32444</v>
      </c>
      <c r="E8611" t="s">
        <v>32445</v>
      </c>
      <c r="F8611" t="s">
        <v>9617</v>
      </c>
      <c r="G8611" t="s">
        <v>117</v>
      </c>
      <c r="H8611">
        <v>494424282</v>
      </c>
      <c r="I8611" t="s">
        <v>30</v>
      </c>
      <c r="J8611" t="s">
        <v>41</v>
      </c>
      <c r="K8611" t="s">
        <v>482</v>
      </c>
      <c r="Q8611">
        <v>0</v>
      </c>
      <c r="R8611">
        <v>41</v>
      </c>
      <c r="S8611">
        <v>41</v>
      </c>
      <c r="T8611" t="s">
        <v>32446</v>
      </c>
    </row>
    <row r="8612" spans="1:20" customFormat="1" ht="15" x14ac:dyDescent="0.25">
      <c r="A8612" t="s">
        <v>35</v>
      </c>
      <c r="B8612" t="s">
        <v>61</v>
      </c>
      <c r="C8612" t="str">
        <f>"A0180735"</f>
        <v>A0180735</v>
      </c>
      <c r="D8612" t="s">
        <v>32447</v>
      </c>
      <c r="E8612" t="s">
        <v>32448</v>
      </c>
      <c r="F8612" t="s">
        <v>5723</v>
      </c>
      <c r="G8612" t="s">
        <v>117</v>
      </c>
      <c r="H8612" t="s">
        <v>32449</v>
      </c>
      <c r="I8612" t="s">
        <v>30</v>
      </c>
      <c r="J8612" t="s">
        <v>41</v>
      </c>
      <c r="K8612" t="s">
        <v>482</v>
      </c>
      <c r="Q8612">
        <v>0</v>
      </c>
      <c r="R8612">
        <v>98</v>
      </c>
      <c r="S8612">
        <v>98</v>
      </c>
      <c r="T8612" t="s">
        <v>32450</v>
      </c>
    </row>
    <row r="8613" spans="1:20" customFormat="1" ht="15" x14ac:dyDescent="0.25">
      <c r="A8613" t="s">
        <v>35</v>
      </c>
      <c r="B8613" t="s">
        <v>61</v>
      </c>
      <c r="C8613" t="str">
        <f>"A0180734"</f>
        <v>A0180734</v>
      </c>
      <c r="D8613" t="s">
        <v>32451</v>
      </c>
      <c r="E8613" t="s">
        <v>32452</v>
      </c>
      <c r="F8613" t="s">
        <v>7317</v>
      </c>
      <c r="G8613" t="s">
        <v>1898</v>
      </c>
      <c r="H8613" t="s">
        <v>32453</v>
      </c>
      <c r="I8613" t="s">
        <v>30</v>
      </c>
      <c r="J8613" t="s">
        <v>41</v>
      </c>
      <c r="K8613" t="s">
        <v>482</v>
      </c>
      <c r="Q8613">
        <v>0</v>
      </c>
      <c r="R8613">
        <v>54</v>
      </c>
      <c r="S8613">
        <v>54</v>
      </c>
      <c r="T8613" t="s">
        <v>32454</v>
      </c>
    </row>
    <row r="8614" spans="1:20" customFormat="1" ht="15" x14ac:dyDescent="0.25">
      <c r="A8614" t="s">
        <v>35</v>
      </c>
      <c r="B8614" t="s">
        <v>61</v>
      </c>
      <c r="C8614" t="str">
        <f>"A0180733"</f>
        <v>A0180733</v>
      </c>
      <c r="D8614" t="s">
        <v>32455</v>
      </c>
      <c r="E8614" t="s">
        <v>32456</v>
      </c>
      <c r="F8614" t="s">
        <v>6758</v>
      </c>
      <c r="G8614" t="s">
        <v>1170</v>
      </c>
      <c r="H8614">
        <v>70601</v>
      </c>
      <c r="I8614" t="s">
        <v>30</v>
      </c>
      <c r="J8614" t="s">
        <v>41</v>
      </c>
      <c r="K8614" t="s">
        <v>482</v>
      </c>
      <c r="Q8614">
        <v>0</v>
      </c>
      <c r="R8614">
        <v>62</v>
      </c>
      <c r="S8614">
        <v>62</v>
      </c>
      <c r="T8614" t="s">
        <v>32457</v>
      </c>
    </row>
    <row r="8615" spans="1:20" customFormat="1" ht="15" x14ac:dyDescent="0.25">
      <c r="A8615" t="s">
        <v>35</v>
      </c>
      <c r="B8615" t="s">
        <v>61</v>
      </c>
      <c r="C8615" t="str">
        <f>"A0180732"</f>
        <v>A0180732</v>
      </c>
      <c r="D8615" t="s">
        <v>32458</v>
      </c>
      <c r="E8615" t="s">
        <v>32459</v>
      </c>
      <c r="F8615" t="s">
        <v>32460</v>
      </c>
      <c r="G8615" t="s">
        <v>161</v>
      </c>
      <c r="H8615" t="s">
        <v>32461</v>
      </c>
      <c r="I8615" t="s">
        <v>30</v>
      </c>
      <c r="J8615" t="s">
        <v>41</v>
      </c>
      <c r="K8615" t="s">
        <v>482</v>
      </c>
      <c r="Q8615">
        <v>0</v>
      </c>
      <c r="R8615">
        <v>39</v>
      </c>
      <c r="S8615">
        <v>39</v>
      </c>
      <c r="T8615" t="s">
        <v>32462</v>
      </c>
    </row>
    <row r="8616" spans="1:20" customFormat="1" ht="15" x14ac:dyDescent="0.25">
      <c r="A8616" t="s">
        <v>35</v>
      </c>
      <c r="B8616" t="s">
        <v>61</v>
      </c>
      <c r="C8616" t="str">
        <f>"A0180731"</f>
        <v>A0180731</v>
      </c>
      <c r="D8616" t="s">
        <v>32463</v>
      </c>
      <c r="E8616" t="s">
        <v>32464</v>
      </c>
      <c r="F8616" t="s">
        <v>28773</v>
      </c>
      <c r="G8616" t="s">
        <v>47</v>
      </c>
      <c r="H8616">
        <v>977389406</v>
      </c>
      <c r="I8616" t="s">
        <v>30</v>
      </c>
      <c r="J8616" t="s">
        <v>41</v>
      </c>
      <c r="K8616" t="s">
        <v>482</v>
      </c>
      <c r="Q8616">
        <v>0</v>
      </c>
      <c r="R8616">
        <v>40</v>
      </c>
      <c r="S8616">
        <v>40</v>
      </c>
      <c r="T8616" t="s">
        <v>32465</v>
      </c>
    </row>
    <row r="8617" spans="1:20" customFormat="1" ht="15" x14ac:dyDescent="0.25">
      <c r="A8617" t="s">
        <v>35</v>
      </c>
      <c r="B8617" t="s">
        <v>61</v>
      </c>
      <c r="C8617" t="str">
        <f>"A0180730"</f>
        <v>A0180730</v>
      </c>
      <c r="D8617" t="s">
        <v>32466</v>
      </c>
      <c r="E8617" t="s">
        <v>32467</v>
      </c>
      <c r="F8617" t="s">
        <v>19689</v>
      </c>
      <c r="G8617" t="s">
        <v>161</v>
      </c>
      <c r="H8617" t="s">
        <v>32468</v>
      </c>
      <c r="I8617" t="s">
        <v>30</v>
      </c>
      <c r="J8617" t="s">
        <v>41</v>
      </c>
      <c r="K8617" t="s">
        <v>482</v>
      </c>
      <c r="Q8617">
        <v>0</v>
      </c>
      <c r="R8617">
        <v>0</v>
      </c>
      <c r="S8617">
        <v>0</v>
      </c>
    </row>
    <row r="8618" spans="1:20" customFormat="1" ht="15" x14ac:dyDescent="0.25">
      <c r="A8618" t="s">
        <v>35</v>
      </c>
      <c r="B8618" t="s">
        <v>61</v>
      </c>
      <c r="C8618" t="str">
        <f>"A0180729"</f>
        <v>A0180729</v>
      </c>
      <c r="D8618" t="s">
        <v>32469</v>
      </c>
      <c r="E8618" t="s">
        <v>28215</v>
      </c>
      <c r="F8618" t="s">
        <v>24626</v>
      </c>
      <c r="G8618" t="s">
        <v>161</v>
      </c>
      <c r="H8618">
        <v>55013</v>
      </c>
      <c r="I8618" t="s">
        <v>30</v>
      </c>
      <c r="J8618" t="s">
        <v>41</v>
      </c>
      <c r="K8618" t="s">
        <v>482</v>
      </c>
      <c r="Q8618">
        <v>0</v>
      </c>
      <c r="R8618">
        <v>0</v>
      </c>
      <c r="S8618">
        <v>0</v>
      </c>
    </row>
    <row r="8619" spans="1:20" customFormat="1" ht="15" x14ac:dyDescent="0.25">
      <c r="A8619" t="s">
        <v>35</v>
      </c>
      <c r="B8619" t="s">
        <v>61</v>
      </c>
      <c r="C8619" t="str">
        <f>"A0180728"</f>
        <v>A0180728</v>
      </c>
      <c r="D8619" t="s">
        <v>32470</v>
      </c>
      <c r="E8619" t="s">
        <v>32471</v>
      </c>
      <c r="F8619" t="s">
        <v>32472</v>
      </c>
      <c r="G8619" t="s">
        <v>1363</v>
      </c>
      <c r="H8619" t="s">
        <v>32473</v>
      </c>
      <c r="I8619" t="s">
        <v>30</v>
      </c>
      <c r="J8619" t="s">
        <v>41</v>
      </c>
      <c r="K8619" t="s">
        <v>482</v>
      </c>
      <c r="Q8619">
        <v>0</v>
      </c>
      <c r="R8619">
        <v>126</v>
      </c>
      <c r="S8619">
        <v>126</v>
      </c>
      <c r="T8619" t="s">
        <v>32474</v>
      </c>
    </row>
    <row r="8620" spans="1:20" customFormat="1" ht="15" x14ac:dyDescent="0.25">
      <c r="A8620" t="s">
        <v>35</v>
      </c>
      <c r="B8620" t="s">
        <v>61</v>
      </c>
      <c r="C8620" t="str">
        <f>"A0180727"</f>
        <v>A0180727</v>
      </c>
      <c r="D8620" t="s">
        <v>32475</v>
      </c>
      <c r="E8620" t="s">
        <v>32476</v>
      </c>
      <c r="F8620" t="s">
        <v>19689</v>
      </c>
      <c r="G8620" t="s">
        <v>161</v>
      </c>
      <c r="H8620" t="s">
        <v>32477</v>
      </c>
      <c r="I8620" t="s">
        <v>30</v>
      </c>
      <c r="J8620" t="s">
        <v>41</v>
      </c>
      <c r="K8620" t="s">
        <v>482</v>
      </c>
      <c r="Q8620">
        <v>0</v>
      </c>
      <c r="R8620">
        <v>0</v>
      </c>
      <c r="S8620">
        <v>0</v>
      </c>
      <c r="T8620" t="s">
        <v>32478</v>
      </c>
    </row>
    <row r="8621" spans="1:20" customFormat="1" ht="15" x14ac:dyDescent="0.25">
      <c r="A8621" t="s">
        <v>35</v>
      </c>
      <c r="B8621" t="s">
        <v>61</v>
      </c>
      <c r="C8621" t="str">
        <f>"A0180726"</f>
        <v>A0180726</v>
      </c>
      <c r="D8621" t="s">
        <v>32479</v>
      </c>
      <c r="E8621" t="s">
        <v>32480</v>
      </c>
      <c r="F8621" t="s">
        <v>28119</v>
      </c>
      <c r="G8621" t="s">
        <v>161</v>
      </c>
      <c r="H8621" t="s">
        <v>32481</v>
      </c>
      <c r="I8621" t="s">
        <v>30</v>
      </c>
      <c r="J8621" t="s">
        <v>41</v>
      </c>
      <c r="K8621" t="s">
        <v>482</v>
      </c>
      <c r="Q8621">
        <v>0</v>
      </c>
      <c r="R8621">
        <v>0</v>
      </c>
      <c r="S8621">
        <v>0</v>
      </c>
    </row>
    <row r="8622" spans="1:20" customFormat="1" ht="15" x14ac:dyDescent="0.25">
      <c r="A8622" t="s">
        <v>35</v>
      </c>
      <c r="B8622" t="s">
        <v>61</v>
      </c>
      <c r="C8622" t="str">
        <f>"A0180725"</f>
        <v>A0180725</v>
      </c>
      <c r="D8622" t="s">
        <v>32482</v>
      </c>
      <c r="E8622" t="s">
        <v>32483</v>
      </c>
      <c r="F8622" t="s">
        <v>21565</v>
      </c>
      <c r="G8622" t="s">
        <v>71</v>
      </c>
      <c r="H8622" t="s">
        <v>32484</v>
      </c>
      <c r="I8622" t="s">
        <v>30</v>
      </c>
      <c r="J8622" t="s">
        <v>41</v>
      </c>
      <c r="K8622" t="s">
        <v>482</v>
      </c>
      <c r="Q8622">
        <v>0</v>
      </c>
      <c r="R8622">
        <v>48</v>
      </c>
      <c r="S8622">
        <v>48</v>
      </c>
      <c r="T8622" t="s">
        <v>32485</v>
      </c>
    </row>
    <row r="8623" spans="1:20" customFormat="1" ht="15" x14ac:dyDescent="0.25">
      <c r="A8623" t="s">
        <v>35</v>
      </c>
      <c r="B8623" t="s">
        <v>61</v>
      </c>
      <c r="C8623" t="str">
        <f>"A0180724"</f>
        <v>A0180724</v>
      </c>
      <c r="D8623" t="s">
        <v>32486</v>
      </c>
      <c r="E8623" t="s">
        <v>32487</v>
      </c>
      <c r="F8623" t="s">
        <v>28167</v>
      </c>
      <c r="G8623" t="s">
        <v>47</v>
      </c>
      <c r="H8623">
        <v>971035560</v>
      </c>
      <c r="I8623" t="s">
        <v>30</v>
      </c>
      <c r="J8623" t="s">
        <v>41</v>
      </c>
      <c r="K8623" t="s">
        <v>482</v>
      </c>
      <c r="Q8623">
        <v>0</v>
      </c>
      <c r="R8623">
        <v>69</v>
      </c>
      <c r="S8623">
        <v>69</v>
      </c>
      <c r="T8623" t="s">
        <v>32488</v>
      </c>
    </row>
    <row r="8624" spans="1:20" customFormat="1" ht="15" x14ac:dyDescent="0.25">
      <c r="A8624" t="s">
        <v>35</v>
      </c>
      <c r="B8624" t="s">
        <v>61</v>
      </c>
      <c r="C8624" t="str">
        <f>"A0180723"</f>
        <v>A0180723</v>
      </c>
      <c r="D8624" t="s">
        <v>32489</v>
      </c>
      <c r="E8624" t="s">
        <v>32490</v>
      </c>
      <c r="F8624" t="s">
        <v>32491</v>
      </c>
      <c r="G8624" t="s">
        <v>110</v>
      </c>
      <c r="H8624" t="s">
        <v>32492</v>
      </c>
      <c r="I8624" t="s">
        <v>30</v>
      </c>
      <c r="J8624" t="s">
        <v>41</v>
      </c>
      <c r="K8624" t="s">
        <v>482</v>
      </c>
      <c r="Q8624">
        <v>0</v>
      </c>
      <c r="R8624">
        <v>0</v>
      </c>
      <c r="S8624">
        <v>0</v>
      </c>
      <c r="T8624" t="s">
        <v>32493</v>
      </c>
    </row>
    <row r="8625" spans="1:20" customFormat="1" ht="15" x14ac:dyDescent="0.25">
      <c r="A8625" t="s">
        <v>35</v>
      </c>
      <c r="B8625" t="s">
        <v>61</v>
      </c>
      <c r="C8625" t="str">
        <f>"A0180722"</f>
        <v>A0180722</v>
      </c>
      <c r="D8625" t="s">
        <v>32494</v>
      </c>
      <c r="E8625" t="s">
        <v>32495</v>
      </c>
      <c r="F8625" t="s">
        <v>32496</v>
      </c>
      <c r="G8625" t="s">
        <v>110</v>
      </c>
      <c r="H8625">
        <v>930131480</v>
      </c>
      <c r="I8625" t="s">
        <v>30</v>
      </c>
      <c r="J8625" t="s">
        <v>41</v>
      </c>
      <c r="K8625" t="s">
        <v>482</v>
      </c>
      <c r="Q8625">
        <v>0</v>
      </c>
      <c r="R8625">
        <v>0</v>
      </c>
      <c r="S8625">
        <v>0</v>
      </c>
      <c r="T8625" t="s">
        <v>32497</v>
      </c>
    </row>
    <row r="8626" spans="1:20" customFormat="1" ht="15" x14ac:dyDescent="0.25">
      <c r="A8626" t="s">
        <v>35</v>
      </c>
      <c r="B8626" t="s">
        <v>61</v>
      </c>
      <c r="C8626" t="str">
        <f>"A0180720"</f>
        <v>A0180720</v>
      </c>
      <c r="D8626" t="s">
        <v>32498</v>
      </c>
      <c r="E8626" t="s">
        <v>12242</v>
      </c>
      <c r="F8626" t="s">
        <v>10813</v>
      </c>
      <c r="G8626" t="s">
        <v>71</v>
      </c>
      <c r="H8626" t="s">
        <v>12243</v>
      </c>
      <c r="I8626" t="s">
        <v>30</v>
      </c>
      <c r="J8626" t="s">
        <v>41</v>
      </c>
      <c r="K8626" t="s">
        <v>482</v>
      </c>
      <c r="Q8626">
        <v>0</v>
      </c>
      <c r="R8626">
        <v>26</v>
      </c>
      <c r="S8626">
        <v>26</v>
      </c>
      <c r="T8626" t="s">
        <v>28027</v>
      </c>
    </row>
    <row r="8627" spans="1:20" customFormat="1" ht="15" x14ac:dyDescent="0.25">
      <c r="A8627" t="s">
        <v>35</v>
      </c>
      <c r="B8627" t="s">
        <v>61</v>
      </c>
      <c r="C8627" t="str">
        <f>"A0180719"</f>
        <v>A0180719</v>
      </c>
      <c r="D8627" t="s">
        <v>32499</v>
      </c>
      <c r="E8627" t="s">
        <v>32500</v>
      </c>
      <c r="F8627" t="s">
        <v>9808</v>
      </c>
      <c r="G8627" t="s">
        <v>47</v>
      </c>
      <c r="H8627">
        <v>973304481</v>
      </c>
      <c r="I8627" t="s">
        <v>30</v>
      </c>
      <c r="J8627" t="s">
        <v>41</v>
      </c>
      <c r="K8627" t="s">
        <v>482</v>
      </c>
      <c r="Q8627">
        <v>0</v>
      </c>
      <c r="R8627">
        <v>0</v>
      </c>
      <c r="S8627">
        <v>0</v>
      </c>
      <c r="T8627" t="s">
        <v>32501</v>
      </c>
    </row>
    <row r="8628" spans="1:20" customFormat="1" ht="15" x14ac:dyDescent="0.25">
      <c r="A8628" t="s">
        <v>35</v>
      </c>
      <c r="B8628" t="s">
        <v>61</v>
      </c>
      <c r="C8628" t="str">
        <f>"A0180718"</f>
        <v>A0180718</v>
      </c>
      <c r="D8628" t="s">
        <v>32502</v>
      </c>
      <c r="E8628" t="s">
        <v>32351</v>
      </c>
      <c r="F8628" t="s">
        <v>27077</v>
      </c>
      <c r="G8628" t="s">
        <v>71</v>
      </c>
      <c r="H8628" t="s">
        <v>32503</v>
      </c>
      <c r="I8628" t="s">
        <v>30</v>
      </c>
      <c r="J8628" t="s">
        <v>41</v>
      </c>
      <c r="K8628" t="s">
        <v>482</v>
      </c>
      <c r="Q8628">
        <v>0</v>
      </c>
      <c r="R8628">
        <v>12</v>
      </c>
      <c r="S8628">
        <v>12</v>
      </c>
      <c r="T8628" t="s">
        <v>32504</v>
      </c>
    </row>
    <row r="8629" spans="1:20" customFormat="1" ht="15" x14ac:dyDescent="0.25">
      <c r="A8629" t="s">
        <v>35</v>
      </c>
      <c r="B8629" t="s">
        <v>61</v>
      </c>
      <c r="C8629" t="str">
        <f>"A0180716"</f>
        <v>A0180716</v>
      </c>
      <c r="D8629" t="s">
        <v>32505</v>
      </c>
      <c r="E8629" t="s">
        <v>32506</v>
      </c>
      <c r="F8629" t="s">
        <v>11715</v>
      </c>
      <c r="G8629" t="s">
        <v>1363</v>
      </c>
      <c r="H8629" t="s">
        <v>32507</v>
      </c>
      <c r="I8629" t="s">
        <v>30</v>
      </c>
      <c r="J8629" t="s">
        <v>41</v>
      </c>
      <c r="K8629" t="s">
        <v>482</v>
      </c>
      <c r="Q8629">
        <v>0</v>
      </c>
      <c r="R8629">
        <v>71</v>
      </c>
      <c r="S8629">
        <v>71</v>
      </c>
      <c r="T8629" t="s">
        <v>32508</v>
      </c>
    </row>
    <row r="8630" spans="1:20" customFormat="1" ht="15" x14ac:dyDescent="0.25">
      <c r="A8630" t="s">
        <v>35</v>
      </c>
      <c r="B8630" t="s">
        <v>61</v>
      </c>
      <c r="C8630" t="str">
        <f>"A0180715"</f>
        <v>A0180715</v>
      </c>
      <c r="D8630" t="s">
        <v>32509</v>
      </c>
      <c r="E8630" t="s">
        <v>32510</v>
      </c>
      <c r="F8630" t="s">
        <v>26786</v>
      </c>
      <c r="G8630" t="s">
        <v>161</v>
      </c>
      <c r="H8630" t="s">
        <v>32511</v>
      </c>
      <c r="I8630" t="s">
        <v>30</v>
      </c>
      <c r="J8630" t="s">
        <v>41</v>
      </c>
      <c r="K8630" t="s">
        <v>482</v>
      </c>
      <c r="Q8630">
        <v>0</v>
      </c>
      <c r="R8630">
        <v>0</v>
      </c>
      <c r="S8630">
        <v>0</v>
      </c>
      <c r="T8630" t="s">
        <v>29033</v>
      </c>
    </row>
    <row r="8631" spans="1:20" customFormat="1" ht="15" x14ac:dyDescent="0.25">
      <c r="A8631" t="s">
        <v>35</v>
      </c>
      <c r="B8631" t="s">
        <v>61</v>
      </c>
      <c r="C8631" t="str">
        <f>"A0180714"</f>
        <v>A0180714</v>
      </c>
      <c r="D8631" t="s">
        <v>32512</v>
      </c>
      <c r="E8631" t="s">
        <v>32513</v>
      </c>
      <c r="F8631" t="s">
        <v>20926</v>
      </c>
      <c r="G8631" t="s">
        <v>161</v>
      </c>
      <c r="H8631" t="s">
        <v>32514</v>
      </c>
      <c r="I8631" t="s">
        <v>30</v>
      </c>
      <c r="J8631" t="s">
        <v>41</v>
      </c>
      <c r="K8631" t="s">
        <v>482</v>
      </c>
      <c r="Q8631">
        <v>0</v>
      </c>
      <c r="R8631">
        <v>58</v>
      </c>
      <c r="S8631">
        <v>58</v>
      </c>
      <c r="T8631" t="s">
        <v>32515</v>
      </c>
    </row>
    <row r="8632" spans="1:20" customFormat="1" ht="15" x14ac:dyDescent="0.25">
      <c r="A8632" t="s">
        <v>35</v>
      </c>
      <c r="B8632" t="s">
        <v>21240</v>
      </c>
      <c r="C8632" t="str">
        <f>"A0180713"</f>
        <v>A0180713</v>
      </c>
      <c r="D8632" t="s">
        <v>32516</v>
      </c>
      <c r="E8632" t="s">
        <v>32517</v>
      </c>
      <c r="F8632" t="s">
        <v>32518</v>
      </c>
      <c r="G8632" t="s">
        <v>117</v>
      </c>
      <c r="H8632" t="s">
        <v>32519</v>
      </c>
      <c r="I8632" t="s">
        <v>30</v>
      </c>
      <c r="J8632" t="s">
        <v>41</v>
      </c>
      <c r="K8632" t="s">
        <v>482</v>
      </c>
      <c r="Q8632">
        <v>0</v>
      </c>
      <c r="R8632">
        <v>18</v>
      </c>
      <c r="S8632">
        <v>18</v>
      </c>
    </row>
    <row r="8633" spans="1:20" customFormat="1" ht="15" x14ac:dyDescent="0.25">
      <c r="A8633" t="s">
        <v>35</v>
      </c>
      <c r="B8633" t="s">
        <v>61</v>
      </c>
      <c r="C8633" t="str">
        <f>"A0180712"</f>
        <v>A0180712</v>
      </c>
      <c r="D8633" t="s">
        <v>32520</v>
      </c>
      <c r="E8633" t="s">
        <v>32521</v>
      </c>
      <c r="F8633" t="s">
        <v>10801</v>
      </c>
      <c r="G8633" t="s">
        <v>161</v>
      </c>
      <c r="H8633">
        <v>55313</v>
      </c>
      <c r="I8633" t="s">
        <v>30</v>
      </c>
      <c r="J8633" t="s">
        <v>41</v>
      </c>
      <c r="K8633" t="s">
        <v>482</v>
      </c>
      <c r="Q8633">
        <v>0</v>
      </c>
      <c r="R8633">
        <v>0</v>
      </c>
      <c r="S8633">
        <v>0</v>
      </c>
      <c r="T8633" t="s">
        <v>32522</v>
      </c>
    </row>
    <row r="8634" spans="1:20" customFormat="1" ht="15" x14ac:dyDescent="0.25">
      <c r="A8634" t="s">
        <v>35</v>
      </c>
      <c r="B8634" t="s">
        <v>61</v>
      </c>
      <c r="C8634" t="str">
        <f>"A0180711"</f>
        <v>A0180711</v>
      </c>
      <c r="D8634" t="s">
        <v>32523</v>
      </c>
      <c r="E8634" t="s">
        <v>32524</v>
      </c>
      <c r="F8634" t="s">
        <v>28038</v>
      </c>
      <c r="G8634" t="s">
        <v>161</v>
      </c>
      <c r="H8634">
        <v>55433</v>
      </c>
      <c r="I8634" t="s">
        <v>30</v>
      </c>
      <c r="J8634" t="s">
        <v>41</v>
      </c>
      <c r="K8634" t="s">
        <v>482</v>
      </c>
      <c r="Q8634">
        <v>0</v>
      </c>
      <c r="R8634">
        <v>174</v>
      </c>
      <c r="S8634">
        <v>174</v>
      </c>
      <c r="T8634" t="s">
        <v>32525</v>
      </c>
    </row>
    <row r="8635" spans="1:20" customFormat="1" ht="15" x14ac:dyDescent="0.25">
      <c r="A8635" t="s">
        <v>35</v>
      </c>
      <c r="B8635" t="s">
        <v>61</v>
      </c>
      <c r="C8635" t="str">
        <f>"A0180710"</f>
        <v>A0180710</v>
      </c>
      <c r="D8635" t="s">
        <v>23294</v>
      </c>
      <c r="E8635" t="s">
        <v>32526</v>
      </c>
      <c r="F8635" t="s">
        <v>19894</v>
      </c>
      <c r="G8635" t="s">
        <v>71</v>
      </c>
      <c r="H8635" t="s">
        <v>32527</v>
      </c>
      <c r="I8635" t="s">
        <v>30</v>
      </c>
      <c r="J8635" t="s">
        <v>41</v>
      </c>
      <c r="K8635" t="s">
        <v>482</v>
      </c>
      <c r="Q8635">
        <v>0</v>
      </c>
      <c r="R8635">
        <v>32</v>
      </c>
      <c r="S8635">
        <v>32</v>
      </c>
      <c r="T8635" t="s">
        <v>19896</v>
      </c>
    </row>
    <row r="8636" spans="1:20" customFormat="1" ht="15" x14ac:dyDescent="0.25">
      <c r="A8636" t="s">
        <v>35</v>
      </c>
      <c r="B8636" t="s">
        <v>61</v>
      </c>
      <c r="C8636" t="str">
        <f>"A0180709"</f>
        <v>A0180709</v>
      </c>
      <c r="D8636" t="s">
        <v>32528</v>
      </c>
      <c r="E8636" t="s">
        <v>32529</v>
      </c>
      <c r="F8636" t="s">
        <v>1973</v>
      </c>
      <c r="G8636" t="s">
        <v>161</v>
      </c>
      <c r="H8636" t="s">
        <v>32530</v>
      </c>
      <c r="I8636" t="s">
        <v>30</v>
      </c>
      <c r="J8636" t="s">
        <v>41</v>
      </c>
      <c r="K8636" t="s">
        <v>482</v>
      </c>
      <c r="Q8636">
        <v>0</v>
      </c>
      <c r="R8636">
        <v>152</v>
      </c>
      <c r="S8636">
        <v>152</v>
      </c>
      <c r="T8636" t="s">
        <v>32531</v>
      </c>
    </row>
    <row r="8637" spans="1:20" customFormat="1" ht="15" x14ac:dyDescent="0.25">
      <c r="A8637" t="s">
        <v>35</v>
      </c>
      <c r="B8637" t="s">
        <v>61</v>
      </c>
      <c r="C8637" t="str">
        <f>"A0180708"</f>
        <v>A0180708</v>
      </c>
      <c r="D8637" t="s">
        <v>32532</v>
      </c>
      <c r="E8637" t="s">
        <v>32533</v>
      </c>
      <c r="F8637" t="s">
        <v>20432</v>
      </c>
      <c r="G8637" t="s">
        <v>161</v>
      </c>
      <c r="H8637">
        <v>55350</v>
      </c>
      <c r="I8637" t="s">
        <v>30</v>
      </c>
      <c r="J8637" t="s">
        <v>41</v>
      </c>
      <c r="K8637" t="s">
        <v>482</v>
      </c>
      <c r="Q8637">
        <v>0</v>
      </c>
      <c r="R8637">
        <v>50</v>
      </c>
      <c r="S8637">
        <v>50</v>
      </c>
      <c r="T8637" t="s">
        <v>32534</v>
      </c>
    </row>
    <row r="8638" spans="1:20" customFormat="1" ht="15" x14ac:dyDescent="0.25">
      <c r="A8638" t="s">
        <v>35</v>
      </c>
      <c r="B8638" t="s">
        <v>61</v>
      </c>
      <c r="C8638" t="str">
        <f>"A0180707"</f>
        <v>A0180707</v>
      </c>
      <c r="D8638" t="s">
        <v>32535</v>
      </c>
      <c r="E8638" t="s">
        <v>32536</v>
      </c>
      <c r="F8638" t="s">
        <v>32537</v>
      </c>
      <c r="G8638" t="s">
        <v>161</v>
      </c>
      <c r="H8638">
        <v>55368</v>
      </c>
      <c r="I8638" t="s">
        <v>30</v>
      </c>
      <c r="J8638" t="s">
        <v>41</v>
      </c>
      <c r="K8638" t="s">
        <v>482</v>
      </c>
      <c r="Q8638">
        <v>0</v>
      </c>
      <c r="R8638">
        <v>0</v>
      </c>
      <c r="S8638">
        <v>0</v>
      </c>
      <c r="T8638" t="s">
        <v>32538</v>
      </c>
    </row>
    <row r="8639" spans="1:20" customFormat="1" ht="15" x14ac:dyDescent="0.25">
      <c r="A8639" t="s">
        <v>35</v>
      </c>
      <c r="B8639" t="s">
        <v>61</v>
      </c>
      <c r="C8639" t="str">
        <f>"A0180706"</f>
        <v>A0180706</v>
      </c>
      <c r="D8639" t="s">
        <v>32539</v>
      </c>
      <c r="E8639" t="s">
        <v>32540</v>
      </c>
      <c r="F8639" t="s">
        <v>3009</v>
      </c>
      <c r="G8639" t="s">
        <v>99</v>
      </c>
      <c r="H8639">
        <v>14086</v>
      </c>
      <c r="I8639" t="s">
        <v>30</v>
      </c>
      <c r="J8639" t="s">
        <v>41</v>
      </c>
      <c r="K8639" t="s">
        <v>482</v>
      </c>
      <c r="Q8639">
        <v>0</v>
      </c>
      <c r="R8639">
        <v>49</v>
      </c>
      <c r="S8639">
        <v>49</v>
      </c>
      <c r="T8639" t="s">
        <v>28904</v>
      </c>
    </row>
    <row r="8640" spans="1:20" customFormat="1" ht="15" x14ac:dyDescent="0.25">
      <c r="A8640" t="s">
        <v>35</v>
      </c>
      <c r="B8640" t="s">
        <v>61</v>
      </c>
      <c r="C8640" t="str">
        <f>"A0180705"</f>
        <v>A0180705</v>
      </c>
      <c r="D8640" t="s">
        <v>32541</v>
      </c>
      <c r="E8640" t="s">
        <v>32542</v>
      </c>
      <c r="F8640" t="s">
        <v>25495</v>
      </c>
      <c r="G8640" t="s">
        <v>1170</v>
      </c>
      <c r="H8640" t="s">
        <v>32543</v>
      </c>
      <c r="I8640" t="s">
        <v>30</v>
      </c>
      <c r="J8640" t="s">
        <v>41</v>
      </c>
      <c r="K8640" t="s">
        <v>482</v>
      </c>
      <c r="Q8640">
        <v>0</v>
      </c>
      <c r="R8640">
        <v>21</v>
      </c>
      <c r="S8640">
        <v>21</v>
      </c>
      <c r="T8640" t="s">
        <v>32544</v>
      </c>
    </row>
    <row r="8641" spans="1:20" customFormat="1" ht="15" x14ac:dyDescent="0.25">
      <c r="A8641" t="s">
        <v>35</v>
      </c>
      <c r="B8641" t="s">
        <v>61</v>
      </c>
      <c r="C8641" t="str">
        <f>"A0180704"</f>
        <v>A0180704</v>
      </c>
      <c r="D8641" t="s">
        <v>32545</v>
      </c>
      <c r="E8641" t="s">
        <v>32546</v>
      </c>
      <c r="F8641" t="s">
        <v>32547</v>
      </c>
      <c r="G8641" t="s">
        <v>71</v>
      </c>
      <c r="H8641">
        <v>53537</v>
      </c>
      <c r="I8641" t="s">
        <v>30</v>
      </c>
      <c r="J8641" t="s">
        <v>41</v>
      </c>
      <c r="K8641" t="s">
        <v>482</v>
      </c>
      <c r="Q8641">
        <v>0</v>
      </c>
      <c r="R8641">
        <v>73</v>
      </c>
      <c r="S8641">
        <v>73</v>
      </c>
      <c r="T8641" t="s">
        <v>32548</v>
      </c>
    </row>
    <row r="8642" spans="1:20" customFormat="1" ht="15" x14ac:dyDescent="0.25">
      <c r="A8642" t="s">
        <v>35</v>
      </c>
      <c r="B8642" t="s">
        <v>61</v>
      </c>
      <c r="C8642" t="str">
        <f>"A0180703"</f>
        <v>A0180703</v>
      </c>
      <c r="D8642" t="s">
        <v>32549</v>
      </c>
      <c r="E8642" t="s">
        <v>25296</v>
      </c>
      <c r="F8642" t="s">
        <v>22374</v>
      </c>
      <c r="G8642" t="s">
        <v>161</v>
      </c>
      <c r="H8642" t="s">
        <v>32550</v>
      </c>
      <c r="I8642" t="s">
        <v>30</v>
      </c>
      <c r="J8642" t="s">
        <v>41</v>
      </c>
      <c r="K8642" t="s">
        <v>482</v>
      </c>
      <c r="Q8642">
        <v>0</v>
      </c>
      <c r="R8642">
        <v>46</v>
      </c>
      <c r="S8642">
        <v>46</v>
      </c>
    </row>
    <row r="8643" spans="1:20" customFormat="1" ht="15" x14ac:dyDescent="0.25">
      <c r="A8643" t="s">
        <v>35</v>
      </c>
      <c r="B8643" t="s">
        <v>61</v>
      </c>
      <c r="C8643" t="str">
        <f>"A0180702"</f>
        <v>A0180702</v>
      </c>
      <c r="D8643" t="s">
        <v>32551</v>
      </c>
      <c r="E8643" t="s">
        <v>32552</v>
      </c>
      <c r="F8643" t="s">
        <v>24471</v>
      </c>
      <c r="G8643" t="s">
        <v>3049</v>
      </c>
      <c r="H8643">
        <v>995043658</v>
      </c>
      <c r="I8643" t="s">
        <v>30</v>
      </c>
      <c r="J8643" t="s">
        <v>41</v>
      </c>
      <c r="K8643" t="s">
        <v>482</v>
      </c>
      <c r="Q8643">
        <v>0</v>
      </c>
      <c r="R8643">
        <v>20</v>
      </c>
      <c r="S8643">
        <v>20</v>
      </c>
      <c r="T8643" t="s">
        <v>32553</v>
      </c>
    </row>
    <row r="8644" spans="1:20" customFormat="1" ht="15" x14ac:dyDescent="0.25">
      <c r="A8644" t="s">
        <v>35</v>
      </c>
      <c r="B8644" t="s">
        <v>61</v>
      </c>
      <c r="C8644" t="str">
        <f>"A0180701"</f>
        <v>A0180701</v>
      </c>
      <c r="D8644" t="s">
        <v>32554</v>
      </c>
      <c r="E8644" t="s">
        <v>32555</v>
      </c>
      <c r="F8644" t="s">
        <v>32556</v>
      </c>
      <c r="G8644" t="s">
        <v>47</v>
      </c>
      <c r="H8644">
        <v>977399481</v>
      </c>
      <c r="I8644" t="s">
        <v>30</v>
      </c>
      <c r="J8644" t="s">
        <v>41</v>
      </c>
      <c r="K8644" t="s">
        <v>482</v>
      </c>
      <c r="Q8644">
        <v>0</v>
      </c>
      <c r="R8644">
        <v>0</v>
      </c>
      <c r="S8644">
        <v>0</v>
      </c>
      <c r="T8644" t="s">
        <v>32557</v>
      </c>
    </row>
    <row r="8645" spans="1:20" customFormat="1" ht="15" x14ac:dyDescent="0.25">
      <c r="A8645" t="s">
        <v>35</v>
      </c>
      <c r="B8645" t="s">
        <v>61</v>
      </c>
      <c r="C8645" t="str">
        <f>"A0180700"</f>
        <v>A0180700</v>
      </c>
      <c r="D8645" t="s">
        <v>32558</v>
      </c>
      <c r="E8645" t="s">
        <v>32559</v>
      </c>
      <c r="F8645" t="s">
        <v>27218</v>
      </c>
      <c r="G8645" t="s">
        <v>161</v>
      </c>
      <c r="H8645" t="s">
        <v>27219</v>
      </c>
      <c r="I8645" t="s">
        <v>30</v>
      </c>
      <c r="J8645" t="s">
        <v>41</v>
      </c>
      <c r="K8645" t="s">
        <v>482</v>
      </c>
      <c r="Q8645">
        <v>0</v>
      </c>
      <c r="R8645">
        <v>8</v>
      </c>
      <c r="S8645">
        <v>8</v>
      </c>
      <c r="T8645" t="s">
        <v>32560</v>
      </c>
    </row>
    <row r="8646" spans="1:20" customFormat="1" ht="15" x14ac:dyDescent="0.25">
      <c r="A8646" t="s">
        <v>35</v>
      </c>
      <c r="B8646" t="s">
        <v>61</v>
      </c>
      <c r="C8646" t="str">
        <f>"A0180699"</f>
        <v>A0180699</v>
      </c>
      <c r="D8646" t="s">
        <v>28897</v>
      </c>
      <c r="E8646" t="s">
        <v>32561</v>
      </c>
      <c r="F8646" t="s">
        <v>21910</v>
      </c>
      <c r="G8646" t="s">
        <v>161</v>
      </c>
      <c r="H8646">
        <v>55731</v>
      </c>
      <c r="I8646" t="s">
        <v>30</v>
      </c>
      <c r="J8646" t="s">
        <v>41</v>
      </c>
      <c r="K8646" t="s">
        <v>482</v>
      </c>
      <c r="Q8646">
        <v>0</v>
      </c>
      <c r="R8646">
        <v>12</v>
      </c>
      <c r="S8646">
        <v>12</v>
      </c>
      <c r="T8646" t="s">
        <v>32562</v>
      </c>
    </row>
    <row r="8647" spans="1:20" customFormat="1" ht="15" x14ac:dyDescent="0.25">
      <c r="A8647" t="s">
        <v>35</v>
      </c>
      <c r="B8647" t="s">
        <v>61</v>
      </c>
      <c r="C8647" t="str">
        <f>"A0180698"</f>
        <v>A0180698</v>
      </c>
      <c r="D8647" t="s">
        <v>32563</v>
      </c>
      <c r="E8647" t="s">
        <v>32564</v>
      </c>
      <c r="F8647" t="s">
        <v>1431</v>
      </c>
      <c r="G8647" t="s">
        <v>47</v>
      </c>
      <c r="H8647">
        <v>972211065</v>
      </c>
      <c r="I8647" t="s">
        <v>30</v>
      </c>
      <c r="J8647" t="s">
        <v>41</v>
      </c>
      <c r="K8647" t="s">
        <v>482</v>
      </c>
      <c r="Q8647">
        <v>0</v>
      </c>
      <c r="R8647">
        <v>108</v>
      </c>
      <c r="S8647">
        <v>108</v>
      </c>
      <c r="T8647" t="s">
        <v>32565</v>
      </c>
    </row>
    <row r="8648" spans="1:20" customFormat="1" ht="15" x14ac:dyDescent="0.25">
      <c r="A8648" t="s">
        <v>35</v>
      </c>
      <c r="B8648" t="s">
        <v>61</v>
      </c>
      <c r="C8648" t="str">
        <f>"A0180697"</f>
        <v>A0180697</v>
      </c>
      <c r="D8648" t="s">
        <v>32566</v>
      </c>
      <c r="E8648" t="s">
        <v>32567</v>
      </c>
      <c r="F8648" t="s">
        <v>30015</v>
      </c>
      <c r="G8648" t="s">
        <v>338</v>
      </c>
      <c r="H8648">
        <v>7756</v>
      </c>
      <c r="I8648" t="s">
        <v>30</v>
      </c>
      <c r="J8648" t="s">
        <v>41</v>
      </c>
      <c r="K8648" t="s">
        <v>482</v>
      </c>
      <c r="Q8648">
        <v>0</v>
      </c>
      <c r="R8648">
        <v>131</v>
      </c>
      <c r="S8648">
        <v>131</v>
      </c>
      <c r="T8648" t="s">
        <v>32568</v>
      </c>
    </row>
    <row r="8649" spans="1:20" customFormat="1" ht="15" x14ac:dyDescent="0.25">
      <c r="A8649" t="s">
        <v>35</v>
      </c>
      <c r="B8649" t="s">
        <v>61</v>
      </c>
      <c r="C8649" t="str">
        <f>"A0180696"</f>
        <v>A0180696</v>
      </c>
      <c r="D8649" t="s">
        <v>32569</v>
      </c>
      <c r="E8649" t="s">
        <v>32570</v>
      </c>
      <c r="F8649" t="s">
        <v>28439</v>
      </c>
      <c r="G8649" t="s">
        <v>161</v>
      </c>
      <c r="H8649">
        <v>56001</v>
      </c>
      <c r="I8649" t="s">
        <v>30</v>
      </c>
      <c r="J8649" t="s">
        <v>41</v>
      </c>
      <c r="K8649" t="s">
        <v>482</v>
      </c>
      <c r="Q8649">
        <v>0</v>
      </c>
      <c r="R8649">
        <v>69</v>
      </c>
      <c r="S8649">
        <v>69</v>
      </c>
      <c r="T8649" t="s">
        <v>32571</v>
      </c>
    </row>
    <row r="8650" spans="1:20" customFormat="1" ht="15" x14ac:dyDescent="0.25">
      <c r="A8650" t="s">
        <v>35</v>
      </c>
      <c r="B8650" t="s">
        <v>61</v>
      </c>
      <c r="C8650" t="str">
        <f>"A0180695"</f>
        <v>A0180695</v>
      </c>
      <c r="D8650" t="s">
        <v>32572</v>
      </c>
      <c r="E8650" t="s">
        <v>32573</v>
      </c>
      <c r="F8650" t="s">
        <v>5050</v>
      </c>
      <c r="G8650" t="s">
        <v>161</v>
      </c>
      <c r="H8650" t="s">
        <v>32574</v>
      </c>
      <c r="I8650" t="s">
        <v>30</v>
      </c>
      <c r="J8650" t="s">
        <v>41</v>
      </c>
      <c r="K8650" t="s">
        <v>482</v>
      </c>
      <c r="Q8650">
        <v>0</v>
      </c>
      <c r="R8650">
        <v>0</v>
      </c>
      <c r="S8650">
        <v>0</v>
      </c>
      <c r="T8650" t="s">
        <v>32575</v>
      </c>
    </row>
    <row r="8651" spans="1:20" customFormat="1" ht="15" x14ac:dyDescent="0.25">
      <c r="A8651" t="s">
        <v>35</v>
      </c>
      <c r="B8651" t="s">
        <v>61</v>
      </c>
      <c r="C8651" t="str">
        <f>"A0180694"</f>
        <v>A0180694</v>
      </c>
      <c r="D8651" t="s">
        <v>32576</v>
      </c>
      <c r="E8651" t="s">
        <v>32577</v>
      </c>
      <c r="F8651" t="s">
        <v>3009</v>
      </c>
      <c r="G8651" t="s">
        <v>99</v>
      </c>
      <c r="H8651" t="s">
        <v>28979</v>
      </c>
      <c r="I8651" t="s">
        <v>30</v>
      </c>
      <c r="J8651" t="s">
        <v>41</v>
      </c>
      <c r="K8651" t="s">
        <v>482</v>
      </c>
      <c r="Q8651">
        <v>0</v>
      </c>
      <c r="R8651">
        <v>65</v>
      </c>
      <c r="S8651">
        <v>65</v>
      </c>
      <c r="T8651" t="s">
        <v>32578</v>
      </c>
    </row>
    <row r="8652" spans="1:20" customFormat="1" ht="15" x14ac:dyDescent="0.25">
      <c r="A8652" t="s">
        <v>35</v>
      </c>
      <c r="B8652" t="s">
        <v>61</v>
      </c>
      <c r="C8652" t="str">
        <f>"A0180693"</f>
        <v>A0180693</v>
      </c>
      <c r="D8652" t="s">
        <v>32579</v>
      </c>
      <c r="E8652" t="s">
        <v>32580</v>
      </c>
      <c r="F8652" t="s">
        <v>17085</v>
      </c>
      <c r="G8652" t="s">
        <v>71</v>
      </c>
      <c r="H8652" t="s">
        <v>32581</v>
      </c>
      <c r="I8652" t="s">
        <v>30</v>
      </c>
      <c r="J8652" t="s">
        <v>41</v>
      </c>
      <c r="K8652" t="s">
        <v>482</v>
      </c>
      <c r="Q8652">
        <v>0</v>
      </c>
      <c r="R8652">
        <v>36</v>
      </c>
      <c r="S8652">
        <v>36</v>
      </c>
      <c r="T8652" t="s">
        <v>32582</v>
      </c>
    </row>
    <row r="8653" spans="1:20" customFormat="1" ht="15" x14ac:dyDescent="0.25">
      <c r="A8653" t="s">
        <v>35</v>
      </c>
      <c r="B8653" t="s">
        <v>61</v>
      </c>
      <c r="C8653" t="str">
        <f>"A0180692"</f>
        <v>A0180692</v>
      </c>
      <c r="D8653" t="s">
        <v>32583</v>
      </c>
      <c r="E8653" t="s">
        <v>32584</v>
      </c>
      <c r="F8653" t="s">
        <v>20926</v>
      </c>
      <c r="G8653" t="s">
        <v>161</v>
      </c>
      <c r="H8653" t="s">
        <v>32585</v>
      </c>
      <c r="I8653" t="s">
        <v>30</v>
      </c>
      <c r="J8653" t="s">
        <v>41</v>
      </c>
      <c r="K8653" t="s">
        <v>482</v>
      </c>
      <c r="Q8653">
        <v>0</v>
      </c>
      <c r="R8653">
        <v>0</v>
      </c>
      <c r="S8653">
        <v>0</v>
      </c>
      <c r="T8653" t="s">
        <v>32586</v>
      </c>
    </row>
    <row r="8654" spans="1:20" customFormat="1" ht="15" x14ac:dyDescent="0.25">
      <c r="A8654" t="s">
        <v>35</v>
      </c>
      <c r="B8654" t="s">
        <v>61</v>
      </c>
      <c r="C8654" t="str">
        <f>"A0180691"</f>
        <v>A0180691</v>
      </c>
      <c r="D8654" t="s">
        <v>32587</v>
      </c>
      <c r="E8654" t="s">
        <v>32588</v>
      </c>
      <c r="F8654" t="s">
        <v>31550</v>
      </c>
      <c r="G8654" t="s">
        <v>161</v>
      </c>
      <c r="H8654">
        <v>55359</v>
      </c>
      <c r="I8654" t="s">
        <v>30</v>
      </c>
      <c r="J8654" t="s">
        <v>41</v>
      </c>
      <c r="K8654" t="s">
        <v>482</v>
      </c>
      <c r="Q8654">
        <v>0</v>
      </c>
      <c r="R8654">
        <v>21</v>
      </c>
      <c r="S8654">
        <v>21</v>
      </c>
      <c r="T8654" t="s">
        <v>32589</v>
      </c>
    </row>
    <row r="8655" spans="1:20" customFormat="1" ht="15" x14ac:dyDescent="0.25">
      <c r="A8655" t="s">
        <v>35</v>
      </c>
      <c r="B8655" t="s">
        <v>61</v>
      </c>
      <c r="C8655" t="str">
        <f>"A0180690"</f>
        <v>A0180690</v>
      </c>
      <c r="D8655" t="s">
        <v>11956</v>
      </c>
      <c r="E8655" t="s">
        <v>28796</v>
      </c>
      <c r="F8655" t="s">
        <v>13957</v>
      </c>
      <c r="G8655" t="s">
        <v>99</v>
      </c>
      <c r="H8655" t="s">
        <v>28797</v>
      </c>
      <c r="I8655" t="s">
        <v>30</v>
      </c>
      <c r="J8655" t="s">
        <v>41</v>
      </c>
      <c r="K8655" t="s">
        <v>482</v>
      </c>
      <c r="Q8655">
        <v>0</v>
      </c>
      <c r="R8655">
        <v>52</v>
      </c>
      <c r="S8655">
        <v>52</v>
      </c>
      <c r="T8655" t="s">
        <v>32590</v>
      </c>
    </row>
    <row r="8656" spans="1:20" customFormat="1" ht="15" x14ac:dyDescent="0.25">
      <c r="A8656" t="s">
        <v>35</v>
      </c>
      <c r="B8656" t="s">
        <v>61</v>
      </c>
      <c r="C8656" t="str">
        <f>"A0180689"</f>
        <v>A0180689</v>
      </c>
      <c r="D8656" t="s">
        <v>32591</v>
      </c>
      <c r="E8656" t="s">
        <v>32592</v>
      </c>
      <c r="F8656" t="s">
        <v>10801</v>
      </c>
      <c r="G8656" t="s">
        <v>161</v>
      </c>
      <c r="H8656" t="s">
        <v>31625</v>
      </c>
      <c r="I8656" t="s">
        <v>30</v>
      </c>
      <c r="J8656" t="s">
        <v>41</v>
      </c>
      <c r="K8656" t="s">
        <v>482</v>
      </c>
      <c r="Q8656">
        <v>0</v>
      </c>
      <c r="R8656">
        <v>0</v>
      </c>
      <c r="S8656">
        <v>0</v>
      </c>
      <c r="T8656" t="s">
        <v>32593</v>
      </c>
    </row>
    <row r="8657" spans="1:20" customFormat="1" ht="15" x14ac:dyDescent="0.25">
      <c r="A8657" t="s">
        <v>35</v>
      </c>
      <c r="B8657" t="s">
        <v>61</v>
      </c>
      <c r="C8657" t="str">
        <f>"A0180688"</f>
        <v>A0180688</v>
      </c>
      <c r="D8657" t="s">
        <v>32594</v>
      </c>
      <c r="E8657" t="s">
        <v>32595</v>
      </c>
      <c r="F8657" t="s">
        <v>10272</v>
      </c>
      <c r="G8657" t="s">
        <v>161</v>
      </c>
      <c r="H8657" t="s">
        <v>32596</v>
      </c>
      <c r="I8657" t="s">
        <v>30</v>
      </c>
      <c r="J8657" t="s">
        <v>41</v>
      </c>
      <c r="K8657" t="s">
        <v>482</v>
      </c>
      <c r="Q8657">
        <v>0</v>
      </c>
      <c r="R8657">
        <v>30</v>
      </c>
      <c r="S8657">
        <v>30</v>
      </c>
      <c r="T8657" t="s">
        <v>32597</v>
      </c>
    </row>
    <row r="8658" spans="1:20" customFormat="1" ht="15" x14ac:dyDescent="0.25">
      <c r="A8658" t="s">
        <v>35</v>
      </c>
      <c r="B8658" t="s">
        <v>61</v>
      </c>
      <c r="C8658" t="str">
        <f>"A0180687"</f>
        <v>A0180687</v>
      </c>
      <c r="D8658" t="s">
        <v>12044</v>
      </c>
      <c r="E8658" t="s">
        <v>32598</v>
      </c>
      <c r="F8658" t="s">
        <v>20432</v>
      </c>
      <c r="G8658" t="s">
        <v>161</v>
      </c>
      <c r="H8658">
        <v>55350</v>
      </c>
      <c r="I8658" t="s">
        <v>30</v>
      </c>
      <c r="J8658" t="s">
        <v>41</v>
      </c>
      <c r="K8658" t="s">
        <v>482</v>
      </c>
      <c r="Q8658">
        <v>0</v>
      </c>
      <c r="R8658">
        <v>42</v>
      </c>
      <c r="S8658">
        <v>42</v>
      </c>
      <c r="T8658" t="s">
        <v>20579</v>
      </c>
    </row>
    <row r="8659" spans="1:20" customFormat="1" ht="15" x14ac:dyDescent="0.25">
      <c r="A8659" t="s">
        <v>35</v>
      </c>
      <c r="B8659" t="s">
        <v>61</v>
      </c>
      <c r="C8659" t="str">
        <f>"A0180686"</f>
        <v>A0180686</v>
      </c>
      <c r="D8659" t="s">
        <v>32599</v>
      </c>
      <c r="E8659" t="s">
        <v>32600</v>
      </c>
      <c r="F8659" t="s">
        <v>5196</v>
      </c>
      <c r="G8659" t="s">
        <v>161</v>
      </c>
      <c r="H8659">
        <v>55804</v>
      </c>
      <c r="I8659" t="s">
        <v>30</v>
      </c>
      <c r="J8659" t="s">
        <v>41</v>
      </c>
      <c r="K8659" t="s">
        <v>482</v>
      </c>
      <c r="Q8659">
        <v>0</v>
      </c>
      <c r="R8659">
        <v>60</v>
      </c>
      <c r="S8659">
        <v>60</v>
      </c>
      <c r="T8659" t="s">
        <v>32601</v>
      </c>
    </row>
    <row r="8660" spans="1:20" customFormat="1" ht="15" x14ac:dyDescent="0.25">
      <c r="A8660" t="s">
        <v>35</v>
      </c>
      <c r="B8660" t="s">
        <v>61</v>
      </c>
      <c r="C8660" t="str">
        <f>"A0180685"</f>
        <v>A0180685</v>
      </c>
      <c r="D8660" t="s">
        <v>32602</v>
      </c>
      <c r="E8660" t="s">
        <v>32603</v>
      </c>
      <c r="F8660" t="s">
        <v>93</v>
      </c>
      <c r="G8660" t="s">
        <v>71</v>
      </c>
      <c r="H8660">
        <v>54942</v>
      </c>
      <c r="I8660" t="s">
        <v>30</v>
      </c>
      <c r="J8660" t="s">
        <v>41</v>
      </c>
      <c r="K8660" t="s">
        <v>482</v>
      </c>
      <c r="Q8660">
        <v>0</v>
      </c>
      <c r="R8660">
        <v>16</v>
      </c>
      <c r="S8660">
        <v>16</v>
      </c>
      <c r="T8660" t="s">
        <v>32604</v>
      </c>
    </row>
    <row r="8661" spans="1:20" customFormat="1" ht="15" x14ac:dyDescent="0.25">
      <c r="A8661" t="s">
        <v>35</v>
      </c>
      <c r="B8661" t="s">
        <v>61</v>
      </c>
      <c r="C8661" t="str">
        <f>"A0180684"</f>
        <v>A0180684</v>
      </c>
      <c r="D8661" t="s">
        <v>32605</v>
      </c>
      <c r="E8661" t="s">
        <v>32606</v>
      </c>
      <c r="F8661" t="s">
        <v>20360</v>
      </c>
      <c r="G8661" t="s">
        <v>161</v>
      </c>
      <c r="H8661">
        <v>553302713</v>
      </c>
      <c r="I8661" t="s">
        <v>30</v>
      </c>
      <c r="J8661" t="s">
        <v>41</v>
      </c>
      <c r="K8661" t="s">
        <v>482</v>
      </c>
      <c r="Q8661">
        <v>0</v>
      </c>
      <c r="R8661">
        <v>60</v>
      </c>
      <c r="S8661">
        <v>60</v>
      </c>
      <c r="T8661" t="s">
        <v>32607</v>
      </c>
    </row>
    <row r="8662" spans="1:20" customFormat="1" ht="15" x14ac:dyDescent="0.25">
      <c r="A8662" t="s">
        <v>35</v>
      </c>
      <c r="B8662" t="s">
        <v>61</v>
      </c>
      <c r="C8662" t="str">
        <f>"A0180683"</f>
        <v>A0180683</v>
      </c>
      <c r="D8662" t="s">
        <v>32608</v>
      </c>
      <c r="E8662" t="s">
        <v>32609</v>
      </c>
      <c r="F8662" t="s">
        <v>26786</v>
      </c>
      <c r="G8662" t="s">
        <v>161</v>
      </c>
      <c r="H8662" t="s">
        <v>32610</v>
      </c>
      <c r="I8662" t="s">
        <v>30</v>
      </c>
      <c r="J8662" t="s">
        <v>41</v>
      </c>
      <c r="K8662" t="s">
        <v>482</v>
      </c>
      <c r="Q8662">
        <v>0</v>
      </c>
      <c r="R8662">
        <v>94</v>
      </c>
      <c r="S8662">
        <v>94</v>
      </c>
      <c r="T8662" t="s">
        <v>32611</v>
      </c>
    </row>
    <row r="8663" spans="1:20" customFormat="1" ht="15" x14ac:dyDescent="0.25">
      <c r="A8663" t="s">
        <v>35</v>
      </c>
      <c r="B8663" t="s">
        <v>61</v>
      </c>
      <c r="C8663" t="str">
        <f>"A0180682"</f>
        <v>A0180682</v>
      </c>
      <c r="D8663" t="s">
        <v>32612</v>
      </c>
      <c r="E8663" t="s">
        <v>32613</v>
      </c>
      <c r="F8663" t="s">
        <v>20926</v>
      </c>
      <c r="G8663" t="s">
        <v>161</v>
      </c>
      <c r="H8663" t="s">
        <v>32614</v>
      </c>
      <c r="I8663" t="s">
        <v>30</v>
      </c>
      <c r="J8663" t="s">
        <v>41</v>
      </c>
      <c r="K8663" t="s">
        <v>482</v>
      </c>
      <c r="Q8663">
        <v>0</v>
      </c>
      <c r="R8663">
        <v>0</v>
      </c>
      <c r="S8663">
        <v>0</v>
      </c>
      <c r="T8663" t="s">
        <v>32615</v>
      </c>
    </row>
    <row r="8664" spans="1:20" customFormat="1" ht="15" x14ac:dyDescent="0.25">
      <c r="A8664" t="s">
        <v>35</v>
      </c>
      <c r="B8664" t="s">
        <v>61</v>
      </c>
      <c r="C8664" t="str">
        <f>"A0180681"</f>
        <v>A0180681</v>
      </c>
      <c r="D8664" t="s">
        <v>32616</v>
      </c>
      <c r="E8664" t="s">
        <v>31554</v>
      </c>
      <c r="F8664" t="s">
        <v>29164</v>
      </c>
      <c r="G8664" t="s">
        <v>161</v>
      </c>
      <c r="H8664">
        <v>55056</v>
      </c>
      <c r="I8664" t="s">
        <v>30</v>
      </c>
      <c r="J8664" t="s">
        <v>41</v>
      </c>
      <c r="K8664" t="s">
        <v>482</v>
      </c>
      <c r="Q8664">
        <v>0</v>
      </c>
      <c r="R8664">
        <v>71</v>
      </c>
      <c r="S8664">
        <v>71</v>
      </c>
      <c r="T8664" t="s">
        <v>31555</v>
      </c>
    </row>
    <row r="8665" spans="1:20" customFormat="1" ht="15" x14ac:dyDescent="0.25">
      <c r="A8665" t="s">
        <v>35</v>
      </c>
      <c r="B8665" t="s">
        <v>61</v>
      </c>
      <c r="C8665" t="str">
        <f>"A0180680"</f>
        <v>A0180680</v>
      </c>
      <c r="D8665" t="s">
        <v>32617</v>
      </c>
      <c r="E8665" t="s">
        <v>32618</v>
      </c>
      <c r="F8665" t="s">
        <v>29182</v>
      </c>
      <c r="G8665" t="s">
        <v>161</v>
      </c>
      <c r="H8665">
        <v>56082</v>
      </c>
      <c r="I8665" t="s">
        <v>30</v>
      </c>
      <c r="J8665" t="s">
        <v>41</v>
      </c>
      <c r="K8665" t="s">
        <v>482</v>
      </c>
      <c r="Q8665">
        <v>0</v>
      </c>
      <c r="R8665">
        <v>0</v>
      </c>
      <c r="S8665">
        <v>0</v>
      </c>
      <c r="T8665" t="s">
        <v>32619</v>
      </c>
    </row>
    <row r="8666" spans="1:20" customFormat="1" ht="15" x14ac:dyDescent="0.25">
      <c r="A8666" t="s">
        <v>35</v>
      </c>
      <c r="B8666" t="s">
        <v>61</v>
      </c>
      <c r="C8666" t="str">
        <f>"A0180679"</f>
        <v>A0180679</v>
      </c>
      <c r="D8666" t="s">
        <v>32612</v>
      </c>
      <c r="E8666" t="s">
        <v>32620</v>
      </c>
      <c r="F8666" t="s">
        <v>26801</v>
      </c>
      <c r="G8666" t="s">
        <v>161</v>
      </c>
      <c r="H8666">
        <v>55119</v>
      </c>
      <c r="I8666" t="s">
        <v>30</v>
      </c>
      <c r="J8666" t="s">
        <v>41</v>
      </c>
      <c r="K8666" t="s">
        <v>482</v>
      </c>
      <c r="Q8666">
        <v>0</v>
      </c>
      <c r="R8666">
        <v>0</v>
      </c>
      <c r="S8666">
        <v>0</v>
      </c>
      <c r="T8666" t="s">
        <v>32615</v>
      </c>
    </row>
    <row r="8667" spans="1:20" customFormat="1" ht="15" x14ac:dyDescent="0.25">
      <c r="A8667" t="s">
        <v>35</v>
      </c>
      <c r="B8667" t="s">
        <v>61</v>
      </c>
      <c r="C8667" t="str">
        <f>"A0180678"</f>
        <v>A0180678</v>
      </c>
      <c r="D8667" t="s">
        <v>32621</v>
      </c>
      <c r="E8667" t="s">
        <v>32622</v>
      </c>
      <c r="F8667" t="s">
        <v>31747</v>
      </c>
      <c r="G8667" t="s">
        <v>161</v>
      </c>
      <c r="H8667" t="s">
        <v>32623</v>
      </c>
      <c r="I8667" t="s">
        <v>30</v>
      </c>
      <c r="J8667" t="s">
        <v>41</v>
      </c>
      <c r="K8667" t="s">
        <v>482</v>
      </c>
      <c r="Q8667">
        <v>0</v>
      </c>
      <c r="R8667">
        <v>0</v>
      </c>
      <c r="S8667">
        <v>0</v>
      </c>
      <c r="T8667" t="s">
        <v>32624</v>
      </c>
    </row>
    <row r="8668" spans="1:20" customFormat="1" ht="15" x14ac:dyDescent="0.25">
      <c r="A8668" t="s">
        <v>35</v>
      </c>
      <c r="B8668" t="s">
        <v>61</v>
      </c>
      <c r="C8668" t="str">
        <f>"A0180677"</f>
        <v>A0180677</v>
      </c>
      <c r="D8668" t="s">
        <v>32625</v>
      </c>
      <c r="E8668" t="s">
        <v>32626</v>
      </c>
      <c r="F8668" t="s">
        <v>26402</v>
      </c>
      <c r="G8668" t="s">
        <v>161</v>
      </c>
      <c r="H8668">
        <v>55616</v>
      </c>
      <c r="I8668" t="s">
        <v>30</v>
      </c>
      <c r="J8668" t="s">
        <v>41</v>
      </c>
      <c r="K8668" t="s">
        <v>482</v>
      </c>
      <c r="Q8668">
        <v>0</v>
      </c>
      <c r="R8668">
        <v>41</v>
      </c>
      <c r="S8668">
        <v>41</v>
      </c>
      <c r="T8668" t="s">
        <v>32627</v>
      </c>
    </row>
    <row r="8669" spans="1:20" customFormat="1" ht="15" x14ac:dyDescent="0.25">
      <c r="A8669" t="s">
        <v>35</v>
      </c>
      <c r="B8669" t="s">
        <v>61</v>
      </c>
      <c r="C8669" t="str">
        <f>"A0180676"</f>
        <v>A0180676</v>
      </c>
      <c r="D8669" t="s">
        <v>32628</v>
      </c>
      <c r="E8669" t="s">
        <v>32629</v>
      </c>
      <c r="F8669" t="s">
        <v>4622</v>
      </c>
      <c r="G8669" t="s">
        <v>840</v>
      </c>
      <c r="H8669" t="s">
        <v>32630</v>
      </c>
      <c r="I8669" t="s">
        <v>30</v>
      </c>
      <c r="J8669" t="s">
        <v>41</v>
      </c>
      <c r="K8669" t="s">
        <v>482</v>
      </c>
      <c r="Q8669">
        <v>0</v>
      </c>
      <c r="R8669">
        <v>0</v>
      </c>
      <c r="S8669">
        <v>0</v>
      </c>
      <c r="T8669" t="s">
        <v>32631</v>
      </c>
    </row>
    <row r="8670" spans="1:20" customFormat="1" ht="15" x14ac:dyDescent="0.25">
      <c r="A8670" t="s">
        <v>35</v>
      </c>
      <c r="B8670" t="s">
        <v>61</v>
      </c>
      <c r="C8670" t="str">
        <f>"A0180675"</f>
        <v>A0180675</v>
      </c>
      <c r="D8670" t="s">
        <v>32632</v>
      </c>
      <c r="E8670" t="s">
        <v>32633</v>
      </c>
      <c r="F8670" t="s">
        <v>29252</v>
      </c>
      <c r="G8670" t="s">
        <v>161</v>
      </c>
      <c r="H8670">
        <v>553182072</v>
      </c>
      <c r="I8670" t="s">
        <v>30</v>
      </c>
      <c r="J8670" t="s">
        <v>41</v>
      </c>
      <c r="K8670" t="s">
        <v>482</v>
      </c>
      <c r="Q8670">
        <v>0</v>
      </c>
      <c r="R8670">
        <v>0</v>
      </c>
      <c r="S8670">
        <v>0</v>
      </c>
      <c r="T8670" t="s">
        <v>31717</v>
      </c>
    </row>
    <row r="8671" spans="1:20" customFormat="1" ht="15" x14ac:dyDescent="0.25">
      <c r="A8671" t="s">
        <v>35</v>
      </c>
      <c r="B8671" t="s">
        <v>61</v>
      </c>
      <c r="C8671" t="str">
        <f>"A0180674"</f>
        <v>A0180674</v>
      </c>
      <c r="D8671" t="s">
        <v>32634</v>
      </c>
      <c r="E8671" t="s">
        <v>32635</v>
      </c>
      <c r="F8671" t="s">
        <v>4203</v>
      </c>
      <c r="G8671" t="s">
        <v>99</v>
      </c>
      <c r="H8671" t="s">
        <v>29157</v>
      </c>
      <c r="I8671" t="s">
        <v>30</v>
      </c>
      <c r="J8671" t="s">
        <v>41</v>
      </c>
      <c r="K8671" t="s">
        <v>482</v>
      </c>
      <c r="Q8671">
        <v>0</v>
      </c>
      <c r="R8671">
        <v>75</v>
      </c>
      <c r="S8671">
        <v>75</v>
      </c>
      <c r="T8671" t="s">
        <v>32636</v>
      </c>
    </row>
    <row r="8672" spans="1:20" customFormat="1" ht="15" x14ac:dyDescent="0.25">
      <c r="A8672" t="s">
        <v>35</v>
      </c>
      <c r="B8672" t="s">
        <v>61</v>
      </c>
      <c r="C8672" t="str">
        <f>"A0180673"</f>
        <v>A0180673</v>
      </c>
      <c r="D8672" t="s">
        <v>32637</v>
      </c>
      <c r="E8672" t="s">
        <v>32638</v>
      </c>
      <c r="F8672" t="s">
        <v>27446</v>
      </c>
      <c r="G8672" t="s">
        <v>161</v>
      </c>
      <c r="H8672" t="s">
        <v>32639</v>
      </c>
      <c r="I8672" t="s">
        <v>30</v>
      </c>
      <c r="J8672" t="s">
        <v>41</v>
      </c>
      <c r="K8672" t="s">
        <v>482</v>
      </c>
      <c r="Q8672">
        <v>0</v>
      </c>
      <c r="R8672">
        <v>0</v>
      </c>
      <c r="S8672">
        <v>0</v>
      </c>
    </row>
    <row r="8673" spans="1:20" customFormat="1" ht="15" x14ac:dyDescent="0.25">
      <c r="A8673" t="s">
        <v>35</v>
      </c>
      <c r="B8673" t="s">
        <v>61</v>
      </c>
      <c r="C8673" t="str">
        <f>"A0180672"</f>
        <v>A0180672</v>
      </c>
      <c r="D8673" t="s">
        <v>32640</v>
      </c>
      <c r="E8673" t="s">
        <v>32641</v>
      </c>
      <c r="F8673" t="s">
        <v>4133</v>
      </c>
      <c r="G8673" t="s">
        <v>161</v>
      </c>
      <c r="H8673" t="s">
        <v>32642</v>
      </c>
      <c r="I8673" t="s">
        <v>30</v>
      </c>
      <c r="J8673" t="s">
        <v>41</v>
      </c>
      <c r="K8673" t="s">
        <v>482</v>
      </c>
      <c r="Q8673">
        <v>0</v>
      </c>
      <c r="R8673">
        <v>0</v>
      </c>
      <c r="S8673">
        <v>0</v>
      </c>
      <c r="T8673" t="s">
        <v>32643</v>
      </c>
    </row>
    <row r="8674" spans="1:20" customFormat="1" ht="15" x14ac:dyDescent="0.25">
      <c r="A8674" t="s">
        <v>35</v>
      </c>
      <c r="B8674" t="s">
        <v>61</v>
      </c>
      <c r="C8674" t="str">
        <f>"A0180671"</f>
        <v>A0180671</v>
      </c>
      <c r="D8674" t="s">
        <v>32644</v>
      </c>
      <c r="E8674" t="s">
        <v>32645</v>
      </c>
      <c r="F8674" t="s">
        <v>24685</v>
      </c>
      <c r="G8674" t="s">
        <v>161</v>
      </c>
      <c r="H8674" t="s">
        <v>32646</v>
      </c>
      <c r="I8674" t="s">
        <v>30</v>
      </c>
      <c r="J8674" t="s">
        <v>41</v>
      </c>
      <c r="K8674" t="s">
        <v>482</v>
      </c>
      <c r="Q8674">
        <v>0</v>
      </c>
      <c r="R8674">
        <v>0</v>
      </c>
      <c r="S8674">
        <v>0</v>
      </c>
      <c r="T8674" t="s">
        <v>32647</v>
      </c>
    </row>
    <row r="8675" spans="1:20" customFormat="1" ht="15" x14ac:dyDescent="0.25">
      <c r="A8675" t="s">
        <v>35</v>
      </c>
      <c r="B8675" t="s">
        <v>61</v>
      </c>
      <c r="C8675" t="str">
        <f>"A0180670"</f>
        <v>A0180670</v>
      </c>
      <c r="D8675" t="s">
        <v>32648</v>
      </c>
      <c r="E8675" t="s">
        <v>32649</v>
      </c>
      <c r="F8675" t="s">
        <v>27389</v>
      </c>
      <c r="G8675" t="s">
        <v>161</v>
      </c>
      <c r="H8675" t="s">
        <v>32650</v>
      </c>
      <c r="I8675" t="s">
        <v>30</v>
      </c>
      <c r="J8675" t="s">
        <v>41</v>
      </c>
      <c r="K8675" t="s">
        <v>482</v>
      </c>
      <c r="Q8675">
        <v>0</v>
      </c>
      <c r="R8675">
        <v>64</v>
      </c>
      <c r="S8675">
        <v>64</v>
      </c>
      <c r="T8675" t="s">
        <v>32651</v>
      </c>
    </row>
    <row r="8676" spans="1:20" customFormat="1" ht="15" x14ac:dyDescent="0.25">
      <c r="A8676" t="s">
        <v>35</v>
      </c>
      <c r="B8676" t="s">
        <v>61</v>
      </c>
      <c r="C8676" t="str">
        <f>"A0180669"</f>
        <v>A0180669</v>
      </c>
      <c r="D8676" t="s">
        <v>32652</v>
      </c>
      <c r="E8676" t="s">
        <v>32653</v>
      </c>
      <c r="F8676" t="s">
        <v>32654</v>
      </c>
      <c r="G8676" t="s">
        <v>161</v>
      </c>
      <c r="H8676" t="s">
        <v>32655</v>
      </c>
      <c r="I8676" t="s">
        <v>30</v>
      </c>
      <c r="J8676" t="s">
        <v>41</v>
      </c>
      <c r="K8676" t="s">
        <v>482</v>
      </c>
      <c r="Q8676">
        <v>0</v>
      </c>
      <c r="R8676">
        <v>30</v>
      </c>
      <c r="S8676">
        <v>30</v>
      </c>
      <c r="T8676" t="s">
        <v>31744</v>
      </c>
    </row>
    <row r="8677" spans="1:20" customFormat="1" ht="15" x14ac:dyDescent="0.25">
      <c r="A8677" t="s">
        <v>35</v>
      </c>
      <c r="B8677" t="s">
        <v>61</v>
      </c>
      <c r="C8677" t="str">
        <f>"A0180668"</f>
        <v>A0180668</v>
      </c>
      <c r="D8677" t="s">
        <v>32656</v>
      </c>
      <c r="E8677" t="s">
        <v>32657</v>
      </c>
      <c r="F8677" t="s">
        <v>9187</v>
      </c>
      <c r="G8677" t="s">
        <v>161</v>
      </c>
      <c r="H8677" t="s">
        <v>32658</v>
      </c>
      <c r="I8677" t="s">
        <v>30</v>
      </c>
      <c r="J8677" t="s">
        <v>41</v>
      </c>
      <c r="K8677" t="s">
        <v>482</v>
      </c>
      <c r="Q8677">
        <v>0</v>
      </c>
      <c r="R8677">
        <v>38</v>
      </c>
      <c r="S8677">
        <v>38</v>
      </c>
      <c r="T8677" t="s">
        <v>32659</v>
      </c>
    </row>
    <row r="8678" spans="1:20" customFormat="1" ht="15" x14ac:dyDescent="0.25">
      <c r="A8678" t="s">
        <v>35</v>
      </c>
      <c r="B8678" t="s">
        <v>61</v>
      </c>
      <c r="C8678" t="str">
        <f>"A0180667"</f>
        <v>A0180667</v>
      </c>
      <c r="D8678" t="s">
        <v>32660</v>
      </c>
      <c r="E8678" t="s">
        <v>32661</v>
      </c>
      <c r="F8678" t="s">
        <v>32654</v>
      </c>
      <c r="G8678" t="s">
        <v>161</v>
      </c>
      <c r="H8678" t="s">
        <v>32662</v>
      </c>
      <c r="I8678" t="s">
        <v>30</v>
      </c>
      <c r="J8678" t="s">
        <v>41</v>
      </c>
      <c r="K8678" t="s">
        <v>482</v>
      </c>
      <c r="Q8678">
        <v>0</v>
      </c>
      <c r="R8678">
        <v>0</v>
      </c>
      <c r="S8678">
        <v>0</v>
      </c>
    </row>
    <row r="8679" spans="1:20" customFormat="1" ht="15" x14ac:dyDescent="0.25">
      <c r="A8679" t="s">
        <v>35</v>
      </c>
      <c r="B8679" t="s">
        <v>61</v>
      </c>
      <c r="C8679" t="str">
        <f>"A0180666"</f>
        <v>A0180666</v>
      </c>
      <c r="D8679" t="s">
        <v>32663</v>
      </c>
      <c r="E8679" t="s">
        <v>32664</v>
      </c>
      <c r="F8679" t="s">
        <v>898</v>
      </c>
      <c r="G8679" t="s">
        <v>899</v>
      </c>
      <c r="H8679" t="s">
        <v>32665</v>
      </c>
      <c r="I8679" t="s">
        <v>30</v>
      </c>
      <c r="J8679" t="s">
        <v>41</v>
      </c>
      <c r="K8679" t="s">
        <v>482</v>
      </c>
      <c r="Q8679">
        <v>0</v>
      </c>
      <c r="R8679">
        <v>32</v>
      </c>
      <c r="S8679">
        <v>32</v>
      </c>
      <c r="T8679" t="s">
        <v>32666</v>
      </c>
    </row>
    <row r="8680" spans="1:20" customFormat="1" ht="15" x14ac:dyDescent="0.25">
      <c r="A8680" t="s">
        <v>35</v>
      </c>
      <c r="B8680" t="s">
        <v>61</v>
      </c>
      <c r="C8680" t="str">
        <f>"A0180665"</f>
        <v>A0180665</v>
      </c>
      <c r="D8680" t="s">
        <v>32640</v>
      </c>
      <c r="E8680" t="s">
        <v>32667</v>
      </c>
      <c r="F8680" t="s">
        <v>4133</v>
      </c>
      <c r="G8680" t="s">
        <v>161</v>
      </c>
      <c r="H8680">
        <v>55912</v>
      </c>
      <c r="I8680" t="s">
        <v>30</v>
      </c>
      <c r="J8680" t="s">
        <v>41</v>
      </c>
      <c r="K8680" t="s">
        <v>482</v>
      </c>
      <c r="Q8680">
        <v>0</v>
      </c>
      <c r="R8680">
        <v>0</v>
      </c>
      <c r="S8680">
        <v>0</v>
      </c>
      <c r="T8680" t="s">
        <v>32643</v>
      </c>
    </row>
    <row r="8681" spans="1:20" customFormat="1" ht="15" x14ac:dyDescent="0.25">
      <c r="A8681" t="s">
        <v>35</v>
      </c>
      <c r="B8681" t="s">
        <v>61</v>
      </c>
      <c r="C8681" t="str">
        <f>"A0180664"</f>
        <v>A0180664</v>
      </c>
      <c r="D8681" t="s">
        <v>32668</v>
      </c>
      <c r="E8681" t="s">
        <v>32669</v>
      </c>
      <c r="F8681" t="s">
        <v>28496</v>
      </c>
      <c r="G8681" t="s">
        <v>161</v>
      </c>
      <c r="H8681" t="s">
        <v>32670</v>
      </c>
      <c r="I8681" t="s">
        <v>30</v>
      </c>
      <c r="J8681" t="s">
        <v>41</v>
      </c>
      <c r="K8681" t="s">
        <v>482</v>
      </c>
      <c r="Q8681">
        <v>0</v>
      </c>
      <c r="R8681">
        <v>16</v>
      </c>
      <c r="S8681">
        <v>16</v>
      </c>
      <c r="T8681" t="s">
        <v>32671</v>
      </c>
    </row>
    <row r="8682" spans="1:20" customFormat="1" ht="15" x14ac:dyDescent="0.25">
      <c r="A8682" t="s">
        <v>35</v>
      </c>
      <c r="B8682" t="s">
        <v>61</v>
      </c>
      <c r="C8682" t="str">
        <f>"A0180663"</f>
        <v>A0180663</v>
      </c>
      <c r="D8682" t="s">
        <v>32672</v>
      </c>
      <c r="E8682" t="s">
        <v>32673</v>
      </c>
      <c r="F8682" t="s">
        <v>2572</v>
      </c>
      <c r="G8682" t="s">
        <v>161</v>
      </c>
      <c r="H8682" t="s">
        <v>32674</v>
      </c>
      <c r="I8682" t="s">
        <v>30</v>
      </c>
      <c r="J8682" t="s">
        <v>41</v>
      </c>
      <c r="K8682" t="s">
        <v>482</v>
      </c>
      <c r="Q8682">
        <v>0</v>
      </c>
      <c r="R8682">
        <v>60</v>
      </c>
      <c r="S8682">
        <v>60</v>
      </c>
      <c r="T8682" t="s">
        <v>32647</v>
      </c>
    </row>
    <row r="8683" spans="1:20" customFormat="1" ht="15" x14ac:dyDescent="0.25">
      <c r="A8683" t="s">
        <v>35</v>
      </c>
      <c r="B8683" t="s">
        <v>61</v>
      </c>
      <c r="C8683" t="str">
        <f>"A0180662"</f>
        <v>A0180662</v>
      </c>
      <c r="D8683" t="s">
        <v>32675</v>
      </c>
      <c r="E8683" t="s">
        <v>32676</v>
      </c>
      <c r="F8683" t="s">
        <v>18671</v>
      </c>
      <c r="G8683" t="s">
        <v>161</v>
      </c>
      <c r="H8683" t="s">
        <v>32677</v>
      </c>
      <c r="I8683" t="s">
        <v>30</v>
      </c>
      <c r="J8683" t="s">
        <v>41</v>
      </c>
      <c r="K8683" t="s">
        <v>482</v>
      </c>
      <c r="Q8683">
        <v>0</v>
      </c>
      <c r="R8683">
        <v>0</v>
      </c>
      <c r="S8683">
        <v>0</v>
      </c>
      <c r="T8683" t="s">
        <v>32647</v>
      </c>
    </row>
    <row r="8684" spans="1:20" customFormat="1" ht="15" x14ac:dyDescent="0.25">
      <c r="A8684" t="s">
        <v>35</v>
      </c>
      <c r="B8684" t="s">
        <v>61</v>
      </c>
      <c r="C8684" t="str">
        <f>"A0180661"</f>
        <v>A0180661</v>
      </c>
      <c r="D8684" t="s">
        <v>32678</v>
      </c>
      <c r="E8684" t="s">
        <v>32679</v>
      </c>
      <c r="F8684" t="s">
        <v>22300</v>
      </c>
      <c r="G8684" t="s">
        <v>899</v>
      </c>
      <c r="H8684" t="s">
        <v>22301</v>
      </c>
      <c r="I8684" t="s">
        <v>30</v>
      </c>
      <c r="J8684" t="s">
        <v>41</v>
      </c>
      <c r="K8684" t="s">
        <v>482</v>
      </c>
      <c r="Q8684">
        <v>0</v>
      </c>
      <c r="R8684">
        <v>49</v>
      </c>
      <c r="S8684">
        <v>49</v>
      </c>
      <c r="T8684" t="s">
        <v>32680</v>
      </c>
    </row>
    <row r="8685" spans="1:20" customFormat="1" ht="15" x14ac:dyDescent="0.25">
      <c r="A8685" t="s">
        <v>35</v>
      </c>
      <c r="B8685" t="s">
        <v>61</v>
      </c>
      <c r="C8685" t="str">
        <f>"A0180660"</f>
        <v>A0180660</v>
      </c>
      <c r="D8685" t="s">
        <v>32681</v>
      </c>
      <c r="E8685" t="s">
        <v>32682</v>
      </c>
      <c r="F8685" t="s">
        <v>3119</v>
      </c>
      <c r="G8685" t="s">
        <v>899</v>
      </c>
      <c r="H8685" t="s">
        <v>32683</v>
      </c>
      <c r="I8685" t="s">
        <v>30</v>
      </c>
      <c r="J8685" t="s">
        <v>41</v>
      </c>
      <c r="K8685" t="s">
        <v>482</v>
      </c>
      <c r="Q8685">
        <v>0</v>
      </c>
      <c r="R8685">
        <v>86</v>
      </c>
      <c r="S8685">
        <v>86</v>
      </c>
      <c r="T8685" t="s">
        <v>32684</v>
      </c>
    </row>
    <row r="8686" spans="1:20" customFormat="1" ht="15" x14ac:dyDescent="0.25">
      <c r="A8686" t="s">
        <v>35</v>
      </c>
      <c r="B8686" t="s">
        <v>61</v>
      </c>
      <c r="C8686" t="str">
        <f>"A0180659"</f>
        <v>A0180659</v>
      </c>
      <c r="D8686" t="s">
        <v>32685</v>
      </c>
      <c r="E8686" t="s">
        <v>32686</v>
      </c>
      <c r="F8686" t="s">
        <v>3699</v>
      </c>
      <c r="G8686" t="s">
        <v>615</v>
      </c>
      <c r="H8686" t="s">
        <v>32687</v>
      </c>
      <c r="I8686" t="s">
        <v>30</v>
      </c>
      <c r="J8686" t="s">
        <v>41</v>
      </c>
      <c r="K8686" t="s">
        <v>482</v>
      </c>
      <c r="Q8686">
        <v>0</v>
      </c>
      <c r="R8686">
        <v>35</v>
      </c>
      <c r="S8686">
        <v>35</v>
      </c>
      <c r="T8686" t="s">
        <v>32688</v>
      </c>
    </row>
    <row r="8687" spans="1:20" customFormat="1" ht="15" x14ac:dyDescent="0.25">
      <c r="A8687" t="s">
        <v>35</v>
      </c>
      <c r="B8687" t="s">
        <v>61</v>
      </c>
      <c r="C8687" t="str">
        <f>"A0180658"</f>
        <v>A0180658</v>
      </c>
      <c r="D8687" t="s">
        <v>32689</v>
      </c>
      <c r="E8687" t="s">
        <v>32690</v>
      </c>
      <c r="F8687" t="s">
        <v>1755</v>
      </c>
      <c r="G8687" t="s">
        <v>899</v>
      </c>
      <c r="H8687" t="s">
        <v>32691</v>
      </c>
      <c r="I8687" t="s">
        <v>30</v>
      </c>
      <c r="J8687" t="s">
        <v>41</v>
      </c>
      <c r="K8687" t="s">
        <v>482</v>
      </c>
      <c r="Q8687">
        <v>0</v>
      </c>
      <c r="R8687">
        <v>89</v>
      </c>
      <c r="S8687">
        <v>89</v>
      </c>
      <c r="T8687" t="s">
        <v>32692</v>
      </c>
    </row>
    <row r="8688" spans="1:20" customFormat="1" ht="15" x14ac:dyDescent="0.25">
      <c r="A8688" t="s">
        <v>35</v>
      </c>
      <c r="B8688" t="s">
        <v>61</v>
      </c>
      <c r="C8688" t="str">
        <f>"A0180657"</f>
        <v>A0180657</v>
      </c>
      <c r="D8688" t="s">
        <v>32693</v>
      </c>
      <c r="E8688" t="s">
        <v>32694</v>
      </c>
      <c r="F8688" t="s">
        <v>31682</v>
      </c>
      <c r="G8688" t="s">
        <v>161</v>
      </c>
      <c r="H8688">
        <v>56150</v>
      </c>
      <c r="I8688" t="s">
        <v>30</v>
      </c>
      <c r="J8688" t="s">
        <v>41</v>
      </c>
      <c r="K8688" t="s">
        <v>482</v>
      </c>
      <c r="Q8688">
        <v>0</v>
      </c>
      <c r="R8688">
        <v>0</v>
      </c>
      <c r="S8688">
        <v>0</v>
      </c>
    </row>
    <row r="8689" spans="1:25" customFormat="1" ht="15" x14ac:dyDescent="0.25">
      <c r="A8689" t="s">
        <v>35</v>
      </c>
      <c r="B8689" t="s">
        <v>61</v>
      </c>
      <c r="C8689" t="str">
        <f>"A0180656"</f>
        <v>A0180656</v>
      </c>
      <c r="D8689" t="s">
        <v>32695</v>
      </c>
      <c r="E8689" t="s">
        <v>32696</v>
      </c>
      <c r="F8689" t="s">
        <v>32697</v>
      </c>
      <c r="G8689" t="s">
        <v>338</v>
      </c>
      <c r="H8689" t="s">
        <v>32698</v>
      </c>
      <c r="I8689" t="s">
        <v>30</v>
      </c>
      <c r="J8689" t="s">
        <v>41</v>
      </c>
      <c r="K8689" t="s">
        <v>482</v>
      </c>
      <c r="Q8689">
        <v>0</v>
      </c>
      <c r="R8689">
        <v>124</v>
      </c>
      <c r="S8689">
        <v>124</v>
      </c>
      <c r="T8689" t="s">
        <v>32699</v>
      </c>
    </row>
    <row r="8690" spans="1:25" customFormat="1" ht="15" x14ac:dyDescent="0.25">
      <c r="A8690" t="s">
        <v>35</v>
      </c>
      <c r="B8690" t="s">
        <v>61</v>
      </c>
      <c r="C8690" t="str">
        <f>"A0180655"</f>
        <v>A0180655</v>
      </c>
      <c r="D8690" t="s">
        <v>32700</v>
      </c>
      <c r="E8690" t="s">
        <v>32701</v>
      </c>
      <c r="F8690" t="s">
        <v>9621</v>
      </c>
      <c r="G8690" t="s">
        <v>899</v>
      </c>
      <c r="H8690" t="s">
        <v>32702</v>
      </c>
      <c r="I8690" t="s">
        <v>30</v>
      </c>
      <c r="J8690" t="s">
        <v>41</v>
      </c>
      <c r="K8690" t="s">
        <v>482</v>
      </c>
      <c r="Q8690">
        <v>0</v>
      </c>
      <c r="R8690">
        <v>36</v>
      </c>
      <c r="S8690">
        <v>36</v>
      </c>
      <c r="T8690" t="s">
        <v>26449</v>
      </c>
    </row>
    <row r="8691" spans="1:25" customFormat="1" ht="15" x14ac:dyDescent="0.25">
      <c r="A8691" t="s">
        <v>35</v>
      </c>
      <c r="B8691" t="s">
        <v>61</v>
      </c>
      <c r="C8691" t="str">
        <f>"A0180654"</f>
        <v>A0180654</v>
      </c>
      <c r="D8691" t="s">
        <v>32703</v>
      </c>
      <c r="E8691" t="s">
        <v>32704</v>
      </c>
      <c r="F8691" t="s">
        <v>30143</v>
      </c>
      <c r="G8691" t="s">
        <v>615</v>
      </c>
      <c r="H8691">
        <v>6489</v>
      </c>
      <c r="I8691" t="s">
        <v>30</v>
      </c>
      <c r="J8691" t="s">
        <v>41</v>
      </c>
      <c r="K8691" t="s">
        <v>482</v>
      </c>
      <c r="Q8691">
        <v>0</v>
      </c>
      <c r="R8691">
        <v>37</v>
      </c>
      <c r="S8691">
        <v>37</v>
      </c>
      <c r="T8691" t="s">
        <v>32705</v>
      </c>
    </row>
    <row r="8692" spans="1:25" customFormat="1" ht="15" x14ac:dyDescent="0.25">
      <c r="A8692" t="s">
        <v>35</v>
      </c>
      <c r="B8692" t="s">
        <v>61</v>
      </c>
      <c r="C8692" t="str">
        <f>"A0180653"</f>
        <v>A0180653</v>
      </c>
      <c r="D8692" t="s">
        <v>32706</v>
      </c>
      <c r="E8692" t="s">
        <v>32707</v>
      </c>
      <c r="F8692" t="s">
        <v>64</v>
      </c>
      <c r="G8692" t="s">
        <v>846</v>
      </c>
      <c r="H8692" t="s">
        <v>32708</v>
      </c>
      <c r="I8692" t="s">
        <v>30</v>
      </c>
      <c r="J8692" t="s">
        <v>41</v>
      </c>
      <c r="K8692" t="s">
        <v>482</v>
      </c>
      <c r="Q8692">
        <v>0</v>
      </c>
      <c r="R8692">
        <v>0</v>
      </c>
      <c r="S8692">
        <v>0</v>
      </c>
      <c r="T8692" t="s">
        <v>32709</v>
      </c>
    </row>
    <row r="8693" spans="1:25" customFormat="1" ht="15" x14ac:dyDescent="0.25">
      <c r="A8693" t="s">
        <v>35</v>
      </c>
      <c r="B8693" t="s">
        <v>61</v>
      </c>
      <c r="C8693" t="str">
        <f>"A0180652"</f>
        <v>A0180652</v>
      </c>
      <c r="D8693" t="s">
        <v>32710</v>
      </c>
      <c r="E8693" t="s">
        <v>32711</v>
      </c>
      <c r="F8693" t="s">
        <v>10889</v>
      </c>
      <c r="G8693" t="s">
        <v>615</v>
      </c>
      <c r="H8693" t="s">
        <v>32712</v>
      </c>
      <c r="I8693" t="s">
        <v>30</v>
      </c>
      <c r="J8693" t="s">
        <v>41</v>
      </c>
      <c r="K8693" t="s">
        <v>482</v>
      </c>
      <c r="Q8693">
        <v>0</v>
      </c>
      <c r="R8693">
        <v>68</v>
      </c>
      <c r="S8693">
        <v>68</v>
      </c>
      <c r="T8693" t="s">
        <v>32713</v>
      </c>
    </row>
    <row r="8694" spans="1:25" customFormat="1" ht="15" x14ac:dyDescent="0.25">
      <c r="A8694" t="s">
        <v>35</v>
      </c>
      <c r="B8694" t="s">
        <v>61</v>
      </c>
      <c r="C8694" t="str">
        <f>"A0180651"</f>
        <v>A0180651</v>
      </c>
      <c r="D8694" t="s">
        <v>32714</v>
      </c>
      <c r="E8694" t="s">
        <v>32715</v>
      </c>
      <c r="F8694" t="s">
        <v>25510</v>
      </c>
      <c r="G8694" t="s">
        <v>99</v>
      </c>
      <c r="H8694" t="s">
        <v>32716</v>
      </c>
      <c r="I8694" t="s">
        <v>30</v>
      </c>
      <c r="J8694" t="s">
        <v>41</v>
      </c>
      <c r="K8694" t="s">
        <v>482</v>
      </c>
      <c r="Q8694">
        <v>0</v>
      </c>
      <c r="R8694">
        <v>0</v>
      </c>
      <c r="S8694">
        <v>0</v>
      </c>
      <c r="T8694" t="s">
        <v>32717</v>
      </c>
    </row>
    <row r="8695" spans="1:25" customFormat="1" ht="15" x14ac:dyDescent="0.25">
      <c r="A8695" t="s">
        <v>35</v>
      </c>
      <c r="B8695" t="s">
        <v>61</v>
      </c>
      <c r="C8695" t="str">
        <f>"A0180650"</f>
        <v>A0180650</v>
      </c>
      <c r="D8695" t="s">
        <v>32718</v>
      </c>
      <c r="E8695" t="s">
        <v>32719</v>
      </c>
      <c r="F8695" t="s">
        <v>1391</v>
      </c>
      <c r="G8695" t="s">
        <v>846</v>
      </c>
      <c r="H8695" t="s">
        <v>32720</v>
      </c>
      <c r="I8695" t="s">
        <v>30</v>
      </c>
      <c r="J8695" t="s">
        <v>41</v>
      </c>
      <c r="K8695" t="s">
        <v>482</v>
      </c>
      <c r="Q8695">
        <v>0</v>
      </c>
      <c r="R8695">
        <v>0</v>
      </c>
      <c r="S8695">
        <v>0</v>
      </c>
    </row>
    <row r="8696" spans="1:25" customFormat="1" ht="15" x14ac:dyDescent="0.25">
      <c r="A8696" t="s">
        <v>35</v>
      </c>
      <c r="B8696" t="s">
        <v>1441</v>
      </c>
      <c r="C8696" t="str">
        <f>"A0180649"</f>
        <v>A0180649</v>
      </c>
      <c r="D8696" t="s">
        <v>32721</v>
      </c>
      <c r="E8696" t="s">
        <v>32722</v>
      </c>
      <c r="F8696" t="s">
        <v>5752</v>
      </c>
      <c r="G8696" t="s">
        <v>76</v>
      </c>
      <c r="H8696">
        <v>98004</v>
      </c>
      <c r="I8696" t="s">
        <v>30</v>
      </c>
      <c r="J8696" t="s">
        <v>41</v>
      </c>
      <c r="K8696" t="s">
        <v>482</v>
      </c>
      <c r="Q8696">
        <v>0</v>
      </c>
      <c r="R8696">
        <v>0</v>
      </c>
      <c r="S8696">
        <v>0</v>
      </c>
      <c r="T8696" t="s">
        <v>32723</v>
      </c>
    </row>
    <row r="8697" spans="1:25" customFormat="1" ht="15" x14ac:dyDescent="0.25">
      <c r="A8697" t="s">
        <v>35</v>
      </c>
      <c r="B8697" t="s">
        <v>61</v>
      </c>
      <c r="C8697" t="str">
        <f>"A0180648"</f>
        <v>A0180648</v>
      </c>
      <c r="D8697" t="s">
        <v>32724</v>
      </c>
      <c r="E8697" t="s">
        <v>32725</v>
      </c>
      <c r="F8697" t="s">
        <v>31777</v>
      </c>
      <c r="G8697" t="s">
        <v>615</v>
      </c>
      <c r="H8697" t="s">
        <v>32726</v>
      </c>
      <c r="I8697" t="s">
        <v>30</v>
      </c>
      <c r="J8697" t="s">
        <v>41</v>
      </c>
      <c r="K8697" t="s">
        <v>482</v>
      </c>
      <c r="Q8697">
        <v>0</v>
      </c>
      <c r="R8697">
        <v>24</v>
      </c>
      <c r="S8697">
        <v>24</v>
      </c>
      <c r="T8697" t="s">
        <v>32727</v>
      </c>
    </row>
    <row r="8698" spans="1:25" customFormat="1" ht="15" x14ac:dyDescent="0.25">
      <c r="A8698" t="s">
        <v>35</v>
      </c>
      <c r="B8698" t="s">
        <v>61</v>
      </c>
      <c r="C8698" t="str">
        <f>"A0180647"</f>
        <v>A0180647</v>
      </c>
      <c r="D8698" t="s">
        <v>32728</v>
      </c>
      <c r="E8698" t="s">
        <v>32729</v>
      </c>
      <c r="F8698" t="s">
        <v>647</v>
      </c>
      <c r="G8698" t="s">
        <v>338</v>
      </c>
      <c r="H8698" t="s">
        <v>30129</v>
      </c>
      <c r="I8698" t="s">
        <v>30</v>
      </c>
      <c r="J8698" t="s">
        <v>41</v>
      </c>
      <c r="K8698" t="s">
        <v>482</v>
      </c>
      <c r="Q8698">
        <v>0</v>
      </c>
      <c r="R8698">
        <v>44</v>
      </c>
      <c r="S8698">
        <v>44</v>
      </c>
      <c r="T8698" t="s">
        <v>32730</v>
      </c>
    </row>
    <row r="8699" spans="1:25" customFormat="1" ht="15" x14ac:dyDescent="0.25">
      <c r="A8699" t="s">
        <v>35</v>
      </c>
      <c r="B8699" t="s">
        <v>61</v>
      </c>
      <c r="C8699" t="str">
        <f>"A0180646"</f>
        <v>A0180646</v>
      </c>
      <c r="D8699" t="s">
        <v>32731</v>
      </c>
      <c r="E8699" t="s">
        <v>28364</v>
      </c>
      <c r="F8699" t="s">
        <v>28365</v>
      </c>
      <c r="G8699" t="s">
        <v>338</v>
      </c>
      <c r="H8699" t="s">
        <v>28366</v>
      </c>
      <c r="I8699" t="s">
        <v>30</v>
      </c>
      <c r="J8699" t="s">
        <v>41</v>
      </c>
      <c r="K8699" t="s">
        <v>482</v>
      </c>
      <c r="Q8699">
        <v>0</v>
      </c>
      <c r="R8699">
        <v>0</v>
      </c>
      <c r="S8699">
        <v>0</v>
      </c>
      <c r="T8699" t="s">
        <v>28367</v>
      </c>
    </row>
    <row r="8700" spans="1:25" customFormat="1" ht="15" x14ac:dyDescent="0.25">
      <c r="A8700" t="s">
        <v>35</v>
      </c>
      <c r="B8700" t="s">
        <v>1441</v>
      </c>
      <c r="C8700" t="str">
        <f>"A0180645"</f>
        <v>A0180645</v>
      </c>
      <c r="D8700" t="s">
        <v>32732</v>
      </c>
      <c r="E8700" t="s">
        <v>32733</v>
      </c>
      <c r="F8700" t="s">
        <v>11421</v>
      </c>
      <c r="G8700" t="s">
        <v>76</v>
      </c>
      <c r="H8700">
        <v>98033</v>
      </c>
      <c r="I8700" t="s">
        <v>30</v>
      </c>
      <c r="J8700" t="s">
        <v>41</v>
      </c>
      <c r="K8700" t="s">
        <v>482</v>
      </c>
      <c r="Q8700">
        <v>0</v>
      </c>
      <c r="R8700">
        <v>0</v>
      </c>
      <c r="S8700">
        <v>0</v>
      </c>
      <c r="T8700" t="s">
        <v>32734</v>
      </c>
    </row>
    <row r="8701" spans="1:25" customFormat="1" ht="15" x14ac:dyDescent="0.25">
      <c r="A8701" t="s">
        <v>35</v>
      </c>
      <c r="B8701" t="s">
        <v>32735</v>
      </c>
      <c r="C8701" t="str">
        <f>"A0180644"</f>
        <v>A0180644</v>
      </c>
      <c r="D8701" t="s">
        <v>32736</v>
      </c>
      <c r="E8701" t="s">
        <v>32737</v>
      </c>
      <c r="F8701" t="s">
        <v>24033</v>
      </c>
      <c r="G8701" t="s">
        <v>110</v>
      </c>
      <c r="H8701">
        <v>95472</v>
      </c>
      <c r="I8701" t="s">
        <v>30</v>
      </c>
      <c r="J8701" t="s">
        <v>41</v>
      </c>
      <c r="K8701" t="s">
        <v>3713</v>
      </c>
      <c r="Q8701">
        <v>0</v>
      </c>
      <c r="R8701">
        <v>70</v>
      </c>
      <c r="S8701">
        <v>70</v>
      </c>
      <c r="T8701" t="s">
        <v>32738</v>
      </c>
    </row>
    <row r="8702" spans="1:25" hidden="1" x14ac:dyDescent="0.25">
      <c r="A8702" s="3" t="s">
        <v>24</v>
      </c>
      <c r="B8702" s="3" t="s">
        <v>32739</v>
      </c>
      <c r="C8702" s="3" t="str">
        <f>"A0180502"</f>
        <v>A0180502</v>
      </c>
      <c r="D8702" s="3" t="s">
        <v>32740</v>
      </c>
      <c r="E8702" s="3" t="s">
        <v>32741</v>
      </c>
      <c r="F8702" s="3" t="s">
        <v>32742</v>
      </c>
      <c r="G8702" s="3" t="s">
        <v>32743</v>
      </c>
      <c r="H8702" s="3">
        <v>39890</v>
      </c>
      <c r="I8702" s="3" t="s">
        <v>2408</v>
      </c>
      <c r="J8702" s="3" t="s">
        <v>206</v>
      </c>
      <c r="K8702" s="3" t="s">
        <v>32744</v>
      </c>
      <c r="N8702" s="3" t="s">
        <v>32745</v>
      </c>
      <c r="O8702" s="3" t="s">
        <v>32746</v>
      </c>
      <c r="Q8702" s="3">
        <v>0</v>
      </c>
      <c r="R8702" s="3">
        <v>34</v>
      </c>
      <c r="S8702" s="3">
        <v>0</v>
      </c>
      <c r="T8702" s="3" t="s">
        <v>32747</v>
      </c>
    </row>
    <row r="8703" spans="1:25" x14ac:dyDescent="0.25">
      <c r="A8703" s="5" t="s">
        <v>24</v>
      </c>
      <c r="B8703" s="5" t="s">
        <v>976</v>
      </c>
      <c r="C8703" s="5" t="str">
        <f>"A0075519"</f>
        <v>A0075519</v>
      </c>
      <c r="D8703" s="5" t="s">
        <v>64094</v>
      </c>
      <c r="E8703" s="5" t="s">
        <v>64095</v>
      </c>
      <c r="F8703" s="5" t="s">
        <v>6947</v>
      </c>
      <c r="G8703" s="5" t="s">
        <v>52</v>
      </c>
      <c r="H8703" s="5">
        <v>78041</v>
      </c>
      <c r="I8703" s="5" t="s">
        <v>30</v>
      </c>
      <c r="J8703" s="5" t="s">
        <v>162</v>
      </c>
      <c r="K8703" s="5" t="s">
        <v>266</v>
      </c>
      <c r="L8703" s="5"/>
      <c r="M8703" s="5"/>
      <c r="N8703" s="5" t="s">
        <v>64096</v>
      </c>
      <c r="O8703" s="5" t="s">
        <v>64097</v>
      </c>
      <c r="P8703" s="5"/>
      <c r="Q8703" s="5">
        <v>0</v>
      </c>
      <c r="R8703" s="5">
        <v>154</v>
      </c>
      <c r="S8703" s="5">
        <v>0</v>
      </c>
      <c r="T8703" s="5" t="s">
        <v>64098</v>
      </c>
      <c r="U8703" s="5"/>
      <c r="V8703" s="5"/>
      <c r="W8703" s="5"/>
      <c r="X8703" s="5"/>
      <c r="Y8703" s="5"/>
    </row>
    <row r="8704" spans="1:25" customFormat="1" ht="15" hidden="1" x14ac:dyDescent="0.25">
      <c r="A8704" t="s">
        <v>24</v>
      </c>
      <c r="B8704" t="s">
        <v>5435</v>
      </c>
      <c r="C8704" t="str">
        <f>"A0180149"</f>
        <v>A0180149</v>
      </c>
      <c r="D8704" t="s">
        <v>32753</v>
      </c>
      <c r="E8704" t="s">
        <v>32754</v>
      </c>
      <c r="F8704" t="s">
        <v>5438</v>
      </c>
      <c r="G8704" t="s">
        <v>5439</v>
      </c>
      <c r="H8704" t="s">
        <v>32755</v>
      </c>
      <c r="I8704" t="s">
        <v>1459</v>
      </c>
      <c r="J8704" t="s">
        <v>171</v>
      </c>
      <c r="K8704" t="s">
        <v>1331</v>
      </c>
      <c r="N8704" t="s">
        <v>32756</v>
      </c>
      <c r="O8704" t="s">
        <v>32757</v>
      </c>
      <c r="Q8704">
        <v>0</v>
      </c>
      <c r="R8704">
        <v>290</v>
      </c>
      <c r="S8704">
        <v>0</v>
      </c>
      <c r="T8704" t="s">
        <v>32758</v>
      </c>
    </row>
    <row r="8705" spans="1:20" customFormat="1" ht="15" hidden="1" x14ac:dyDescent="0.25">
      <c r="A8705" t="s">
        <v>24</v>
      </c>
      <c r="B8705" t="s">
        <v>11010</v>
      </c>
      <c r="C8705" t="str">
        <f>"A0180640"</f>
        <v>A0180640</v>
      </c>
      <c r="D8705" t="s">
        <v>32759</v>
      </c>
      <c r="E8705" t="s">
        <v>32760</v>
      </c>
      <c r="F8705" t="s">
        <v>32761</v>
      </c>
      <c r="G8705" t="s">
        <v>5424</v>
      </c>
      <c r="H8705">
        <v>77400</v>
      </c>
      <c r="I8705" t="s">
        <v>2408</v>
      </c>
      <c r="J8705" t="s">
        <v>162</v>
      </c>
      <c r="K8705" t="s">
        <v>11013</v>
      </c>
      <c r="N8705" t="s">
        <v>32762</v>
      </c>
      <c r="Q8705">
        <v>0</v>
      </c>
      <c r="R8705">
        <v>84</v>
      </c>
      <c r="S8705">
        <v>0</v>
      </c>
      <c r="T8705" t="s">
        <v>32763</v>
      </c>
    </row>
    <row r="8706" spans="1:20" customFormat="1" ht="15" hidden="1" x14ac:dyDescent="0.25">
      <c r="A8706" t="s">
        <v>24</v>
      </c>
      <c r="B8706" t="s">
        <v>11010</v>
      </c>
      <c r="C8706" t="str">
        <f>"A0180639"</f>
        <v>A0180639</v>
      </c>
      <c r="D8706" t="s">
        <v>32764</v>
      </c>
      <c r="E8706" t="s">
        <v>32765</v>
      </c>
      <c r="F8706" t="s">
        <v>32766</v>
      </c>
      <c r="G8706" t="s">
        <v>32767</v>
      </c>
      <c r="H8706">
        <v>68000</v>
      </c>
      <c r="I8706" t="s">
        <v>2408</v>
      </c>
      <c r="J8706" t="s">
        <v>162</v>
      </c>
      <c r="K8706" t="s">
        <v>11013</v>
      </c>
      <c r="N8706" t="s">
        <v>32768</v>
      </c>
      <c r="Q8706">
        <v>0</v>
      </c>
      <c r="R8706">
        <v>26</v>
      </c>
      <c r="S8706">
        <v>0</v>
      </c>
      <c r="T8706" t="s">
        <v>32769</v>
      </c>
    </row>
    <row r="8707" spans="1:20" customFormat="1" ht="15" hidden="1" x14ac:dyDescent="0.25">
      <c r="A8707" t="s">
        <v>24</v>
      </c>
      <c r="B8707" t="s">
        <v>11010</v>
      </c>
      <c r="C8707" t="str">
        <f>"A0180638"</f>
        <v>A0180638</v>
      </c>
      <c r="D8707" t="s">
        <v>32770</v>
      </c>
      <c r="E8707" t="s">
        <v>32771</v>
      </c>
      <c r="F8707" t="s">
        <v>9760</v>
      </c>
      <c r="G8707" t="s">
        <v>5862</v>
      </c>
      <c r="H8707">
        <v>63734</v>
      </c>
      <c r="I8707" t="s">
        <v>2408</v>
      </c>
      <c r="J8707" t="s">
        <v>162</v>
      </c>
      <c r="K8707" t="s">
        <v>11013</v>
      </c>
      <c r="N8707" t="s">
        <v>32772</v>
      </c>
      <c r="Q8707">
        <v>0</v>
      </c>
      <c r="R8707">
        <v>36</v>
      </c>
      <c r="S8707">
        <v>0</v>
      </c>
      <c r="T8707" t="s">
        <v>32763</v>
      </c>
    </row>
    <row r="8708" spans="1:20" customFormat="1" ht="15" x14ac:dyDescent="0.25">
      <c r="A8708" t="s">
        <v>24</v>
      </c>
      <c r="B8708" t="s">
        <v>63821</v>
      </c>
      <c r="C8708" t="str">
        <f>"A0064566"</f>
        <v>A0064566</v>
      </c>
      <c r="D8708" t="s">
        <v>64099</v>
      </c>
      <c r="E8708" t="s">
        <v>64100</v>
      </c>
      <c r="F8708" t="s">
        <v>220</v>
      </c>
      <c r="G8708" t="s">
        <v>221</v>
      </c>
      <c r="H8708">
        <v>89109</v>
      </c>
      <c r="I8708" t="s">
        <v>30</v>
      </c>
      <c r="J8708" t="s">
        <v>162</v>
      </c>
      <c r="K8708" t="s">
        <v>266</v>
      </c>
      <c r="N8708" t="s">
        <v>64101</v>
      </c>
      <c r="O8708" t="s">
        <v>64102</v>
      </c>
      <c r="Q8708">
        <v>0</v>
      </c>
      <c r="R8708">
        <v>286</v>
      </c>
      <c r="S8708">
        <v>0</v>
      </c>
      <c r="T8708" t="s">
        <v>64103</v>
      </c>
    </row>
    <row r="8709" spans="1:20" customFormat="1" ht="15" x14ac:dyDescent="0.25">
      <c r="A8709" t="s">
        <v>35</v>
      </c>
      <c r="B8709" t="s">
        <v>61</v>
      </c>
      <c r="C8709" t="str">
        <f>"A0179723"</f>
        <v>A0179723</v>
      </c>
      <c r="D8709" t="s">
        <v>32778</v>
      </c>
      <c r="E8709" t="s">
        <v>32779</v>
      </c>
      <c r="F8709" t="s">
        <v>32780</v>
      </c>
      <c r="G8709" t="s">
        <v>846</v>
      </c>
      <c r="H8709">
        <v>30127</v>
      </c>
      <c r="I8709" t="s">
        <v>30</v>
      </c>
      <c r="J8709" t="s">
        <v>41</v>
      </c>
      <c r="K8709" t="s">
        <v>229</v>
      </c>
      <c r="Q8709">
        <v>0</v>
      </c>
      <c r="R8709">
        <v>208</v>
      </c>
      <c r="S8709">
        <v>208</v>
      </c>
      <c r="T8709" t="s">
        <v>32781</v>
      </c>
    </row>
    <row r="8710" spans="1:20" customFormat="1" ht="15" x14ac:dyDescent="0.25">
      <c r="A8710" t="s">
        <v>35</v>
      </c>
      <c r="B8710" t="s">
        <v>3381</v>
      </c>
      <c r="C8710" t="str">
        <f>"A0126361"</f>
        <v>A0126361</v>
      </c>
      <c r="D8710" t="s">
        <v>32782</v>
      </c>
      <c r="E8710" t="s">
        <v>32783</v>
      </c>
      <c r="F8710" t="s">
        <v>22666</v>
      </c>
      <c r="G8710" t="s">
        <v>81</v>
      </c>
      <c r="H8710">
        <v>34203</v>
      </c>
      <c r="I8710" t="s">
        <v>30</v>
      </c>
      <c r="J8710" t="s">
        <v>41</v>
      </c>
      <c r="K8710" t="s">
        <v>229</v>
      </c>
      <c r="Q8710">
        <v>0</v>
      </c>
      <c r="R8710">
        <v>120</v>
      </c>
      <c r="S8710">
        <v>120</v>
      </c>
      <c r="T8710" t="s">
        <v>32784</v>
      </c>
    </row>
    <row r="8711" spans="1:20" customFormat="1" ht="15" x14ac:dyDescent="0.25">
      <c r="A8711" t="s">
        <v>35</v>
      </c>
      <c r="B8711" t="s">
        <v>61</v>
      </c>
      <c r="C8711" t="str">
        <f>"A0128709"</f>
        <v>A0128709</v>
      </c>
      <c r="D8711" t="s">
        <v>32785</v>
      </c>
      <c r="E8711" t="s">
        <v>32786</v>
      </c>
      <c r="F8711" t="s">
        <v>7095</v>
      </c>
      <c r="G8711" t="s">
        <v>1170</v>
      </c>
      <c r="H8711">
        <v>70115</v>
      </c>
      <c r="I8711" t="s">
        <v>30</v>
      </c>
      <c r="J8711" t="s">
        <v>41</v>
      </c>
      <c r="K8711" t="s">
        <v>229</v>
      </c>
      <c r="Q8711">
        <v>0</v>
      </c>
      <c r="R8711">
        <v>116</v>
      </c>
      <c r="S8711">
        <v>116</v>
      </c>
      <c r="T8711" t="s">
        <v>32787</v>
      </c>
    </row>
    <row r="8712" spans="1:20" customFormat="1" ht="15" x14ac:dyDescent="0.25">
      <c r="A8712" t="s">
        <v>35</v>
      </c>
      <c r="B8712" t="s">
        <v>61</v>
      </c>
      <c r="C8712" t="str">
        <f>"A0127395"</f>
        <v>A0127395</v>
      </c>
      <c r="D8712" t="s">
        <v>32788</v>
      </c>
      <c r="E8712" t="s">
        <v>32789</v>
      </c>
      <c r="F8712" t="s">
        <v>30059</v>
      </c>
      <c r="G8712" t="s">
        <v>846</v>
      </c>
      <c r="H8712">
        <v>30083</v>
      </c>
      <c r="I8712" t="s">
        <v>30</v>
      </c>
      <c r="J8712" t="s">
        <v>41</v>
      </c>
      <c r="K8712" t="s">
        <v>229</v>
      </c>
      <c r="Q8712">
        <v>0</v>
      </c>
      <c r="R8712">
        <v>149</v>
      </c>
      <c r="S8712">
        <v>149</v>
      </c>
      <c r="T8712" t="s">
        <v>32790</v>
      </c>
    </row>
    <row r="8713" spans="1:20" customFormat="1" ht="15" x14ac:dyDescent="0.25">
      <c r="A8713" t="s">
        <v>35</v>
      </c>
      <c r="B8713" t="s">
        <v>61</v>
      </c>
      <c r="C8713" t="str">
        <f>"A0126296"</f>
        <v>A0126296</v>
      </c>
      <c r="D8713" t="s">
        <v>32791</v>
      </c>
      <c r="E8713" t="s">
        <v>32792</v>
      </c>
      <c r="F8713" t="s">
        <v>5556</v>
      </c>
      <c r="G8713" t="s">
        <v>81</v>
      </c>
      <c r="H8713">
        <v>34655</v>
      </c>
      <c r="I8713" t="s">
        <v>30</v>
      </c>
      <c r="J8713" t="s">
        <v>41</v>
      </c>
      <c r="K8713" t="s">
        <v>229</v>
      </c>
      <c r="Q8713">
        <v>0</v>
      </c>
      <c r="R8713">
        <v>120</v>
      </c>
      <c r="S8713">
        <v>120</v>
      </c>
      <c r="T8713" t="s">
        <v>32793</v>
      </c>
    </row>
    <row r="8714" spans="1:20" customFormat="1" ht="15" x14ac:dyDescent="0.25">
      <c r="A8714" t="s">
        <v>35</v>
      </c>
      <c r="B8714" t="s">
        <v>61</v>
      </c>
      <c r="C8714" t="str">
        <f>"A0128708"</f>
        <v>A0128708</v>
      </c>
      <c r="D8714" t="s">
        <v>32794</v>
      </c>
      <c r="E8714" t="s">
        <v>32795</v>
      </c>
      <c r="F8714" t="s">
        <v>25495</v>
      </c>
      <c r="G8714" t="s">
        <v>1170</v>
      </c>
      <c r="H8714">
        <v>70816</v>
      </c>
      <c r="I8714" t="s">
        <v>30</v>
      </c>
      <c r="J8714" t="s">
        <v>41</v>
      </c>
      <c r="K8714" t="s">
        <v>229</v>
      </c>
      <c r="Q8714">
        <v>0</v>
      </c>
      <c r="R8714">
        <v>120</v>
      </c>
      <c r="S8714">
        <v>120</v>
      </c>
      <c r="T8714" t="s">
        <v>32796</v>
      </c>
    </row>
    <row r="8715" spans="1:20" customFormat="1" ht="15" x14ac:dyDescent="0.25">
      <c r="A8715" t="s">
        <v>35</v>
      </c>
      <c r="B8715" t="s">
        <v>61</v>
      </c>
      <c r="C8715" t="str">
        <f>"A0128652"</f>
        <v>A0128652</v>
      </c>
      <c r="D8715" t="s">
        <v>32797</v>
      </c>
      <c r="E8715" t="s">
        <v>32798</v>
      </c>
      <c r="F8715" t="s">
        <v>32799</v>
      </c>
      <c r="G8715" t="s">
        <v>1170</v>
      </c>
      <c r="H8715">
        <v>70791</v>
      </c>
      <c r="I8715" t="s">
        <v>30</v>
      </c>
      <c r="J8715" t="s">
        <v>41</v>
      </c>
      <c r="K8715" t="s">
        <v>59</v>
      </c>
      <c r="Q8715">
        <v>0</v>
      </c>
      <c r="R8715">
        <v>80</v>
      </c>
      <c r="S8715">
        <v>80</v>
      </c>
      <c r="T8715" t="s">
        <v>32800</v>
      </c>
    </row>
    <row r="8716" spans="1:20" customFormat="1" ht="15" x14ac:dyDescent="0.25">
      <c r="A8716" t="s">
        <v>35</v>
      </c>
      <c r="B8716" t="s">
        <v>61</v>
      </c>
      <c r="C8716" t="str">
        <f>"A0127398"</f>
        <v>A0127398</v>
      </c>
      <c r="D8716" t="s">
        <v>32801</v>
      </c>
      <c r="E8716" t="s">
        <v>32802</v>
      </c>
      <c r="F8716" t="s">
        <v>10283</v>
      </c>
      <c r="G8716" t="s">
        <v>846</v>
      </c>
      <c r="H8716">
        <v>30121</v>
      </c>
      <c r="I8716" t="s">
        <v>30</v>
      </c>
      <c r="J8716" t="s">
        <v>41</v>
      </c>
      <c r="K8716" t="s">
        <v>229</v>
      </c>
      <c r="Q8716">
        <v>0</v>
      </c>
      <c r="R8716">
        <v>74</v>
      </c>
      <c r="S8716">
        <v>74</v>
      </c>
      <c r="T8716" t="s">
        <v>32803</v>
      </c>
    </row>
    <row r="8717" spans="1:20" customFormat="1" ht="15" x14ac:dyDescent="0.25">
      <c r="A8717" t="s">
        <v>35</v>
      </c>
      <c r="B8717" t="s">
        <v>61</v>
      </c>
      <c r="C8717" t="str">
        <f>"A0125827"</f>
        <v>A0125827</v>
      </c>
      <c r="D8717" t="s">
        <v>32804</v>
      </c>
      <c r="E8717" t="s">
        <v>32805</v>
      </c>
      <c r="F8717" t="s">
        <v>32806</v>
      </c>
      <c r="G8717" t="s">
        <v>29</v>
      </c>
      <c r="H8717">
        <v>23323</v>
      </c>
      <c r="I8717" t="s">
        <v>30</v>
      </c>
      <c r="J8717" t="s">
        <v>41</v>
      </c>
      <c r="K8717" t="s">
        <v>229</v>
      </c>
      <c r="Q8717">
        <v>0</v>
      </c>
      <c r="R8717">
        <v>120</v>
      </c>
      <c r="S8717">
        <v>120</v>
      </c>
      <c r="T8717" t="s">
        <v>32807</v>
      </c>
    </row>
    <row r="8718" spans="1:20" customFormat="1" ht="15" x14ac:dyDescent="0.25">
      <c r="A8718" t="s">
        <v>35</v>
      </c>
      <c r="B8718" t="s">
        <v>61</v>
      </c>
      <c r="C8718" t="str">
        <f>"A0119244"</f>
        <v>A0119244</v>
      </c>
      <c r="D8718" t="s">
        <v>32808</v>
      </c>
      <c r="E8718" t="s">
        <v>32809</v>
      </c>
      <c r="F8718" t="s">
        <v>32810</v>
      </c>
      <c r="G8718" t="s">
        <v>110</v>
      </c>
      <c r="H8718">
        <v>92324</v>
      </c>
      <c r="I8718" t="s">
        <v>30</v>
      </c>
      <c r="J8718" t="s">
        <v>41</v>
      </c>
      <c r="K8718" t="s">
        <v>229</v>
      </c>
      <c r="Q8718">
        <v>0</v>
      </c>
      <c r="R8718">
        <v>213</v>
      </c>
      <c r="S8718">
        <v>213</v>
      </c>
      <c r="T8718" t="s">
        <v>32811</v>
      </c>
    </row>
    <row r="8719" spans="1:20" customFormat="1" ht="15" x14ac:dyDescent="0.25">
      <c r="A8719" t="s">
        <v>24</v>
      </c>
      <c r="B8719" t="s">
        <v>2380</v>
      </c>
      <c r="C8719" t="str">
        <f>"A0090264"</f>
        <v>A0090264</v>
      </c>
      <c r="D8719" t="s">
        <v>64104</v>
      </c>
      <c r="E8719" t="s">
        <v>64105</v>
      </c>
      <c r="F8719" t="s">
        <v>14609</v>
      </c>
      <c r="G8719" t="s">
        <v>110</v>
      </c>
      <c r="H8719">
        <v>90245</v>
      </c>
      <c r="I8719" t="s">
        <v>30</v>
      </c>
      <c r="J8719" t="s">
        <v>162</v>
      </c>
      <c r="K8719" t="s">
        <v>266</v>
      </c>
      <c r="N8719" t="s">
        <v>64106</v>
      </c>
      <c r="O8719" t="s">
        <v>64107</v>
      </c>
      <c r="Q8719">
        <v>0</v>
      </c>
      <c r="R8719">
        <v>349</v>
      </c>
      <c r="S8719">
        <v>0</v>
      </c>
      <c r="T8719" t="s">
        <v>64108</v>
      </c>
    </row>
    <row r="8720" spans="1:20" customFormat="1" ht="15" x14ac:dyDescent="0.25">
      <c r="A8720" t="s">
        <v>35</v>
      </c>
      <c r="B8720" t="s">
        <v>61</v>
      </c>
      <c r="C8720" t="str">
        <f>"A0127400"</f>
        <v>A0127400</v>
      </c>
      <c r="D8720" t="s">
        <v>32817</v>
      </c>
      <c r="E8720" t="s">
        <v>32818</v>
      </c>
      <c r="F8720" t="s">
        <v>32819</v>
      </c>
      <c r="G8720" t="s">
        <v>846</v>
      </c>
      <c r="H8720">
        <v>30213</v>
      </c>
      <c r="I8720" t="s">
        <v>30</v>
      </c>
      <c r="J8720" t="s">
        <v>41</v>
      </c>
      <c r="K8720" t="s">
        <v>229</v>
      </c>
      <c r="Q8720">
        <v>0</v>
      </c>
      <c r="R8720">
        <v>120</v>
      </c>
      <c r="S8720">
        <v>120</v>
      </c>
      <c r="T8720" t="s">
        <v>32820</v>
      </c>
    </row>
    <row r="8721" spans="1:20" customFormat="1" ht="15" x14ac:dyDescent="0.25">
      <c r="A8721" t="s">
        <v>35</v>
      </c>
      <c r="B8721" t="s">
        <v>61</v>
      </c>
      <c r="C8721" t="str">
        <f>"A0127396"</f>
        <v>A0127396</v>
      </c>
      <c r="D8721" t="s">
        <v>32821</v>
      </c>
      <c r="E8721" t="s">
        <v>32822</v>
      </c>
      <c r="F8721" t="s">
        <v>32823</v>
      </c>
      <c r="G8721" t="s">
        <v>846</v>
      </c>
      <c r="H8721">
        <v>30143</v>
      </c>
      <c r="I8721" t="s">
        <v>30</v>
      </c>
      <c r="J8721" t="s">
        <v>41</v>
      </c>
      <c r="K8721" t="s">
        <v>229</v>
      </c>
      <c r="Q8721">
        <v>0</v>
      </c>
      <c r="R8721">
        <v>60</v>
      </c>
      <c r="S8721">
        <v>60</v>
      </c>
      <c r="T8721" t="s">
        <v>32824</v>
      </c>
    </row>
    <row r="8722" spans="1:20" customFormat="1" ht="15" x14ac:dyDescent="0.25">
      <c r="A8722" t="s">
        <v>35</v>
      </c>
      <c r="B8722" t="s">
        <v>1432</v>
      </c>
      <c r="C8722" t="str">
        <f>"A0121246"</f>
        <v>A0121246</v>
      </c>
      <c r="D8722" t="s">
        <v>32825</v>
      </c>
      <c r="E8722" t="s">
        <v>32826</v>
      </c>
      <c r="F8722" t="s">
        <v>7549</v>
      </c>
      <c r="G8722" t="s">
        <v>289</v>
      </c>
      <c r="H8722">
        <v>60077</v>
      </c>
      <c r="I8722" t="s">
        <v>30</v>
      </c>
      <c r="J8722" t="s">
        <v>41</v>
      </c>
      <c r="K8722" t="s">
        <v>59</v>
      </c>
      <c r="Q8722">
        <v>0</v>
      </c>
      <c r="R8722">
        <v>100</v>
      </c>
      <c r="S8722">
        <v>100</v>
      </c>
      <c r="T8722" t="s">
        <v>32827</v>
      </c>
    </row>
    <row r="8723" spans="1:20" customFormat="1" ht="15" hidden="1" x14ac:dyDescent="0.25">
      <c r="A8723" t="s">
        <v>24</v>
      </c>
      <c r="B8723" t="s">
        <v>1548</v>
      </c>
      <c r="C8723" t="str">
        <f>"A0180526"</f>
        <v>A0180526</v>
      </c>
      <c r="D8723" t="s">
        <v>32828</v>
      </c>
      <c r="E8723" t="s">
        <v>32829</v>
      </c>
      <c r="F8723" t="s">
        <v>32830</v>
      </c>
      <c r="G8723" t="s">
        <v>2206</v>
      </c>
      <c r="H8723" t="s">
        <v>32831</v>
      </c>
      <c r="I8723" t="s">
        <v>1459</v>
      </c>
      <c r="J8723" t="s">
        <v>31</v>
      </c>
      <c r="K8723" t="s">
        <v>282</v>
      </c>
      <c r="N8723" t="s">
        <v>32832</v>
      </c>
      <c r="Q8723">
        <v>0</v>
      </c>
      <c r="R8723">
        <v>105</v>
      </c>
      <c r="S8723">
        <v>0</v>
      </c>
      <c r="T8723" t="s">
        <v>32833</v>
      </c>
    </row>
    <row r="8724" spans="1:20" customFormat="1" ht="15" x14ac:dyDescent="0.25">
      <c r="A8724" t="s">
        <v>24</v>
      </c>
      <c r="B8724" t="s">
        <v>56277</v>
      </c>
      <c r="C8724" t="str">
        <f>"A0059802"</f>
        <v>A0059802</v>
      </c>
      <c r="D8724" t="s">
        <v>64109</v>
      </c>
      <c r="E8724" t="s">
        <v>64110</v>
      </c>
      <c r="F8724" t="s">
        <v>3041</v>
      </c>
      <c r="G8724" t="s">
        <v>840</v>
      </c>
      <c r="H8724">
        <v>40511</v>
      </c>
      <c r="I8724" t="s">
        <v>30</v>
      </c>
      <c r="J8724" t="s">
        <v>162</v>
      </c>
      <c r="K8724" t="s">
        <v>266</v>
      </c>
      <c r="N8724" t="s">
        <v>13774</v>
      </c>
      <c r="O8724" t="s">
        <v>64111</v>
      </c>
      <c r="Q8724">
        <v>0</v>
      </c>
      <c r="R8724">
        <v>230</v>
      </c>
      <c r="S8724">
        <v>0</v>
      </c>
      <c r="T8724" t="s">
        <v>64112</v>
      </c>
    </row>
    <row r="8725" spans="1:20" customFormat="1" ht="15" x14ac:dyDescent="0.25">
      <c r="A8725" t="s">
        <v>35</v>
      </c>
      <c r="B8725" t="s">
        <v>61</v>
      </c>
      <c r="C8725" t="str">
        <f>"A0128707"</f>
        <v>A0128707</v>
      </c>
      <c r="D8725" t="s">
        <v>32838</v>
      </c>
      <c r="E8725" t="s">
        <v>32839</v>
      </c>
      <c r="F8725" t="s">
        <v>25495</v>
      </c>
      <c r="G8725" t="s">
        <v>1170</v>
      </c>
      <c r="H8725">
        <v>70816</v>
      </c>
      <c r="I8725" t="s">
        <v>30</v>
      </c>
      <c r="J8725" t="s">
        <v>41</v>
      </c>
      <c r="K8725" t="s">
        <v>229</v>
      </c>
      <c r="Q8725">
        <v>0</v>
      </c>
      <c r="R8725">
        <v>54</v>
      </c>
      <c r="S8725">
        <v>54</v>
      </c>
      <c r="T8725" t="s">
        <v>32840</v>
      </c>
    </row>
    <row r="8726" spans="1:20" customFormat="1" ht="15" x14ac:dyDescent="0.25">
      <c r="A8726" t="s">
        <v>35</v>
      </c>
      <c r="B8726" t="s">
        <v>61</v>
      </c>
      <c r="C8726" t="str">
        <f>"A0127394"</f>
        <v>A0127394</v>
      </c>
      <c r="D8726" t="s">
        <v>32841</v>
      </c>
      <c r="E8726" t="s">
        <v>32842</v>
      </c>
      <c r="F8726" t="s">
        <v>9255</v>
      </c>
      <c r="G8726" t="s">
        <v>846</v>
      </c>
      <c r="H8726">
        <v>30030</v>
      </c>
      <c r="I8726" t="s">
        <v>30</v>
      </c>
      <c r="J8726" t="s">
        <v>41</v>
      </c>
      <c r="K8726" t="s">
        <v>229</v>
      </c>
      <c r="Q8726">
        <v>0</v>
      </c>
      <c r="R8726">
        <v>103</v>
      </c>
      <c r="S8726">
        <v>103</v>
      </c>
      <c r="T8726" t="s">
        <v>32843</v>
      </c>
    </row>
    <row r="8727" spans="1:20" customFormat="1" ht="15" x14ac:dyDescent="0.25">
      <c r="A8727" t="s">
        <v>35</v>
      </c>
      <c r="B8727" t="s">
        <v>61</v>
      </c>
      <c r="C8727" t="str">
        <f>"A0131211"</f>
        <v>A0131211</v>
      </c>
      <c r="D8727" t="s">
        <v>32844</v>
      </c>
      <c r="E8727" t="s">
        <v>32845</v>
      </c>
      <c r="F8727" t="s">
        <v>32846</v>
      </c>
      <c r="G8727" t="s">
        <v>137</v>
      </c>
      <c r="H8727">
        <v>63301</v>
      </c>
      <c r="I8727" t="s">
        <v>30</v>
      </c>
      <c r="J8727" t="s">
        <v>41</v>
      </c>
      <c r="K8727" t="s">
        <v>59</v>
      </c>
      <c r="Q8727">
        <v>0</v>
      </c>
      <c r="R8727">
        <v>263</v>
      </c>
      <c r="S8727">
        <v>263</v>
      </c>
      <c r="T8727" t="s">
        <v>32847</v>
      </c>
    </row>
    <row r="8728" spans="1:20" customFormat="1" ht="15" x14ac:dyDescent="0.25">
      <c r="A8728" t="s">
        <v>35</v>
      </c>
      <c r="B8728" t="s">
        <v>61</v>
      </c>
      <c r="C8728" t="str">
        <f>"A0128706"</f>
        <v>A0128706</v>
      </c>
      <c r="D8728" t="s">
        <v>32848</v>
      </c>
      <c r="E8728" t="s">
        <v>32849</v>
      </c>
      <c r="F8728" t="s">
        <v>20388</v>
      </c>
      <c r="G8728" t="s">
        <v>1170</v>
      </c>
      <c r="H8728">
        <v>71075</v>
      </c>
      <c r="I8728" t="s">
        <v>30</v>
      </c>
      <c r="J8728" t="s">
        <v>41</v>
      </c>
      <c r="K8728" t="s">
        <v>229</v>
      </c>
      <c r="Q8728">
        <v>0</v>
      </c>
      <c r="R8728">
        <v>153</v>
      </c>
      <c r="S8728">
        <v>153</v>
      </c>
      <c r="T8728" t="s">
        <v>32850</v>
      </c>
    </row>
    <row r="8729" spans="1:20" customFormat="1" ht="15" x14ac:dyDescent="0.25">
      <c r="A8729" t="s">
        <v>35</v>
      </c>
      <c r="B8729" t="s">
        <v>61</v>
      </c>
      <c r="C8729" t="str">
        <f>"A0128687"</f>
        <v>A0128687</v>
      </c>
      <c r="D8729" t="s">
        <v>32851</v>
      </c>
      <c r="E8729" t="s">
        <v>32852</v>
      </c>
      <c r="F8729" t="s">
        <v>25495</v>
      </c>
      <c r="G8729" t="s">
        <v>1170</v>
      </c>
      <c r="H8729">
        <v>70809</v>
      </c>
      <c r="I8729" t="s">
        <v>30</v>
      </c>
      <c r="J8729" t="s">
        <v>41</v>
      </c>
      <c r="K8729" t="s">
        <v>2477</v>
      </c>
      <c r="Q8729">
        <v>0</v>
      </c>
      <c r="R8729">
        <v>216</v>
      </c>
      <c r="S8729">
        <v>216</v>
      </c>
      <c r="T8729" t="s">
        <v>32853</v>
      </c>
    </row>
    <row r="8730" spans="1:20" customFormat="1" ht="15" x14ac:dyDescent="0.25">
      <c r="A8730" t="s">
        <v>35</v>
      </c>
      <c r="B8730" t="s">
        <v>61</v>
      </c>
      <c r="C8730" t="str">
        <f>"A0127397"</f>
        <v>A0127397</v>
      </c>
      <c r="D8730" t="s">
        <v>32854</v>
      </c>
      <c r="E8730" t="s">
        <v>32855</v>
      </c>
      <c r="F8730" t="s">
        <v>32856</v>
      </c>
      <c r="G8730" t="s">
        <v>846</v>
      </c>
      <c r="H8730">
        <v>30705</v>
      </c>
      <c r="I8730" t="s">
        <v>30</v>
      </c>
      <c r="J8730" t="s">
        <v>41</v>
      </c>
      <c r="K8730" t="s">
        <v>229</v>
      </c>
      <c r="Q8730">
        <v>0</v>
      </c>
      <c r="R8730">
        <v>120</v>
      </c>
      <c r="S8730">
        <v>120</v>
      </c>
      <c r="T8730" t="s">
        <v>32857</v>
      </c>
    </row>
    <row r="8731" spans="1:20" customFormat="1" ht="15" x14ac:dyDescent="0.25">
      <c r="A8731" t="s">
        <v>35</v>
      </c>
      <c r="B8731" t="s">
        <v>61</v>
      </c>
      <c r="C8731" t="str">
        <f>"A0126295"</f>
        <v>A0126295</v>
      </c>
      <c r="D8731" t="s">
        <v>32858</v>
      </c>
      <c r="E8731" t="s">
        <v>32859</v>
      </c>
      <c r="F8731" t="s">
        <v>3653</v>
      </c>
      <c r="G8731" t="s">
        <v>81</v>
      </c>
      <c r="H8731">
        <v>33716</v>
      </c>
      <c r="I8731" t="s">
        <v>30</v>
      </c>
      <c r="J8731" t="s">
        <v>41</v>
      </c>
      <c r="K8731" t="s">
        <v>229</v>
      </c>
      <c r="Q8731">
        <v>0</v>
      </c>
      <c r="R8731">
        <v>120</v>
      </c>
      <c r="S8731">
        <v>120</v>
      </c>
      <c r="T8731" t="s">
        <v>32860</v>
      </c>
    </row>
    <row r="8732" spans="1:20" customFormat="1" ht="15" x14ac:dyDescent="0.25">
      <c r="A8732" t="s">
        <v>35</v>
      </c>
      <c r="B8732" t="s">
        <v>61</v>
      </c>
      <c r="C8732" t="str">
        <f>"A0125826"</f>
        <v>A0125826</v>
      </c>
      <c r="D8732" t="s">
        <v>32861</v>
      </c>
      <c r="E8732" t="s">
        <v>32862</v>
      </c>
      <c r="F8732" t="s">
        <v>32863</v>
      </c>
      <c r="G8732" t="s">
        <v>29</v>
      </c>
      <c r="H8732">
        <v>22560</v>
      </c>
      <c r="I8732" t="s">
        <v>30</v>
      </c>
      <c r="J8732" t="s">
        <v>41</v>
      </c>
      <c r="K8732" t="s">
        <v>229</v>
      </c>
      <c r="Q8732">
        <v>0</v>
      </c>
      <c r="R8732">
        <v>60</v>
      </c>
      <c r="S8732">
        <v>60</v>
      </c>
      <c r="T8732" t="s">
        <v>32864</v>
      </c>
    </row>
    <row r="8733" spans="1:20" customFormat="1" ht="15" x14ac:dyDescent="0.25">
      <c r="A8733" t="s">
        <v>35</v>
      </c>
      <c r="B8733" t="s">
        <v>61</v>
      </c>
      <c r="C8733" t="str">
        <f>"A0128705"</f>
        <v>A0128705</v>
      </c>
      <c r="D8733" t="s">
        <v>32865</v>
      </c>
      <c r="E8733" t="s">
        <v>32866</v>
      </c>
      <c r="F8733" t="s">
        <v>32867</v>
      </c>
      <c r="G8733" t="s">
        <v>1170</v>
      </c>
      <c r="H8733">
        <v>70115</v>
      </c>
      <c r="I8733" t="s">
        <v>30</v>
      </c>
      <c r="J8733" t="s">
        <v>41</v>
      </c>
      <c r="K8733" t="s">
        <v>229</v>
      </c>
      <c r="Q8733">
        <v>0</v>
      </c>
      <c r="R8733">
        <v>186</v>
      </c>
      <c r="S8733">
        <v>186</v>
      </c>
      <c r="T8733" t="s">
        <v>32868</v>
      </c>
    </row>
    <row r="8734" spans="1:20" customFormat="1" ht="15" x14ac:dyDescent="0.25">
      <c r="A8734" t="s">
        <v>35</v>
      </c>
      <c r="B8734" t="s">
        <v>61</v>
      </c>
      <c r="C8734" t="str">
        <f>"A0128704"</f>
        <v>A0128704</v>
      </c>
      <c r="D8734" t="s">
        <v>32869</v>
      </c>
      <c r="E8734" t="s">
        <v>32870</v>
      </c>
      <c r="F8734" t="s">
        <v>25495</v>
      </c>
      <c r="G8734" t="s">
        <v>1170</v>
      </c>
      <c r="H8734">
        <v>70809</v>
      </c>
      <c r="I8734" t="s">
        <v>30</v>
      </c>
      <c r="J8734" t="s">
        <v>41</v>
      </c>
      <c r="K8734" t="s">
        <v>59</v>
      </c>
      <c r="Q8734">
        <v>0</v>
      </c>
      <c r="R8734">
        <v>141</v>
      </c>
      <c r="S8734">
        <v>141</v>
      </c>
      <c r="T8734" t="s">
        <v>32871</v>
      </c>
    </row>
    <row r="8735" spans="1:20" customFormat="1" ht="15" x14ac:dyDescent="0.25">
      <c r="A8735" t="s">
        <v>35</v>
      </c>
      <c r="B8735" t="s">
        <v>61</v>
      </c>
      <c r="C8735" t="str">
        <f>"A0126293"</f>
        <v>A0126293</v>
      </c>
      <c r="D8735" t="s">
        <v>32872</v>
      </c>
      <c r="E8735" t="s">
        <v>1911</v>
      </c>
      <c r="F8735" t="s">
        <v>1912</v>
      </c>
      <c r="G8735" t="s">
        <v>29</v>
      </c>
      <c r="H8735">
        <v>24368</v>
      </c>
      <c r="I8735" t="s">
        <v>30</v>
      </c>
      <c r="J8735" t="s">
        <v>41</v>
      </c>
      <c r="K8735" t="s">
        <v>59</v>
      </c>
      <c r="Q8735">
        <v>0</v>
      </c>
      <c r="R8735">
        <v>120</v>
      </c>
      <c r="S8735">
        <v>120</v>
      </c>
      <c r="T8735" t="s">
        <v>1913</v>
      </c>
    </row>
    <row r="8736" spans="1:20" customFormat="1" ht="15" x14ac:dyDescent="0.25">
      <c r="A8736" t="s">
        <v>35</v>
      </c>
      <c r="B8736" t="s">
        <v>61</v>
      </c>
      <c r="C8736" t="str">
        <f>"A0125828"</f>
        <v>A0125828</v>
      </c>
      <c r="D8736" t="s">
        <v>32873</v>
      </c>
      <c r="E8736" t="s">
        <v>32874</v>
      </c>
      <c r="F8736" t="s">
        <v>32875</v>
      </c>
      <c r="G8736" t="s">
        <v>29</v>
      </c>
      <c r="H8736">
        <v>24382</v>
      </c>
      <c r="I8736" t="s">
        <v>30</v>
      </c>
      <c r="J8736" t="s">
        <v>41</v>
      </c>
      <c r="K8736" t="s">
        <v>229</v>
      </c>
      <c r="Q8736">
        <v>0</v>
      </c>
      <c r="R8736">
        <v>246</v>
      </c>
      <c r="S8736">
        <v>246</v>
      </c>
      <c r="T8736" t="s">
        <v>32876</v>
      </c>
    </row>
    <row r="8737" spans="1:20" customFormat="1" ht="15" x14ac:dyDescent="0.25">
      <c r="A8737" t="s">
        <v>24</v>
      </c>
      <c r="B8737" t="s">
        <v>56277</v>
      </c>
      <c r="C8737" t="str">
        <f>"A0055836"</f>
        <v>A0055836</v>
      </c>
      <c r="D8737" t="s">
        <v>64113</v>
      </c>
      <c r="E8737" t="s">
        <v>64114</v>
      </c>
      <c r="F8737" t="s">
        <v>13473</v>
      </c>
      <c r="G8737" t="s">
        <v>427</v>
      </c>
      <c r="H8737">
        <v>68508</v>
      </c>
      <c r="I8737" t="s">
        <v>30</v>
      </c>
      <c r="J8737" t="s">
        <v>162</v>
      </c>
      <c r="K8737" t="s">
        <v>266</v>
      </c>
      <c r="N8737" t="s">
        <v>64115</v>
      </c>
      <c r="O8737" t="s">
        <v>64116</v>
      </c>
      <c r="Q8737">
        <v>0</v>
      </c>
      <c r="R8737">
        <v>252</v>
      </c>
      <c r="S8737">
        <v>0</v>
      </c>
      <c r="T8737" t="s">
        <v>64117</v>
      </c>
    </row>
    <row r="8738" spans="1:20" customFormat="1" ht="15" x14ac:dyDescent="0.25">
      <c r="A8738" t="s">
        <v>24</v>
      </c>
      <c r="B8738" t="s">
        <v>56277</v>
      </c>
      <c r="C8738" t="str">
        <f>"A0055803"</f>
        <v>A0055803</v>
      </c>
      <c r="D8738" t="s">
        <v>64118</v>
      </c>
      <c r="E8738" t="s">
        <v>64119</v>
      </c>
      <c r="F8738" t="s">
        <v>4334</v>
      </c>
      <c r="G8738" t="s">
        <v>85</v>
      </c>
      <c r="H8738">
        <v>72211</v>
      </c>
      <c r="I8738" t="s">
        <v>30</v>
      </c>
      <c r="J8738" t="s">
        <v>162</v>
      </c>
      <c r="K8738" t="s">
        <v>266</v>
      </c>
      <c r="N8738" t="s">
        <v>64120</v>
      </c>
      <c r="Q8738">
        <v>0</v>
      </c>
      <c r="R8738">
        <v>251</v>
      </c>
      <c r="S8738">
        <v>0</v>
      </c>
      <c r="T8738" t="s">
        <v>64121</v>
      </c>
    </row>
    <row r="8739" spans="1:20" customFormat="1" ht="15" x14ac:dyDescent="0.25">
      <c r="A8739" t="s">
        <v>35</v>
      </c>
      <c r="B8739" t="s">
        <v>61</v>
      </c>
      <c r="C8739" t="str">
        <f>"A0125825"</f>
        <v>A0125825</v>
      </c>
      <c r="D8739" t="s">
        <v>32889</v>
      </c>
      <c r="E8739" t="s">
        <v>32890</v>
      </c>
      <c r="F8739" t="s">
        <v>32891</v>
      </c>
      <c r="G8739" t="s">
        <v>29</v>
      </c>
      <c r="H8739">
        <v>24083</v>
      </c>
      <c r="I8739" t="s">
        <v>30</v>
      </c>
      <c r="J8739" t="s">
        <v>41</v>
      </c>
      <c r="K8739" t="s">
        <v>229</v>
      </c>
      <c r="Q8739">
        <v>0</v>
      </c>
      <c r="R8739">
        <v>90</v>
      </c>
      <c r="S8739">
        <v>90</v>
      </c>
      <c r="T8739" t="s">
        <v>32892</v>
      </c>
    </row>
    <row r="8740" spans="1:20" customFormat="1" ht="15" x14ac:dyDescent="0.25">
      <c r="A8740" t="s">
        <v>35</v>
      </c>
      <c r="B8740" t="s">
        <v>61</v>
      </c>
      <c r="C8740" t="str">
        <f>"A0127399"</f>
        <v>A0127399</v>
      </c>
      <c r="D8740" t="s">
        <v>32893</v>
      </c>
      <c r="E8740" t="s">
        <v>32894</v>
      </c>
      <c r="F8740" t="s">
        <v>32895</v>
      </c>
      <c r="G8740" t="s">
        <v>846</v>
      </c>
      <c r="H8740">
        <v>30701</v>
      </c>
      <c r="I8740" t="s">
        <v>30</v>
      </c>
      <c r="J8740" t="s">
        <v>41</v>
      </c>
      <c r="K8740" t="s">
        <v>229</v>
      </c>
      <c r="Q8740">
        <v>0</v>
      </c>
      <c r="R8740">
        <v>100</v>
      </c>
      <c r="S8740">
        <v>100</v>
      </c>
      <c r="T8740" t="s">
        <v>32896</v>
      </c>
    </row>
    <row r="8741" spans="1:20" customFormat="1" ht="15" x14ac:dyDescent="0.25">
      <c r="A8741" t="s">
        <v>35</v>
      </c>
      <c r="B8741" t="s">
        <v>61</v>
      </c>
      <c r="C8741" t="str">
        <f>"A0128703"</f>
        <v>A0128703</v>
      </c>
      <c r="D8741" t="s">
        <v>32897</v>
      </c>
      <c r="E8741" t="s">
        <v>32898</v>
      </c>
      <c r="F8741" t="s">
        <v>32899</v>
      </c>
      <c r="G8741" t="s">
        <v>1170</v>
      </c>
      <c r="H8741">
        <v>70003</v>
      </c>
      <c r="I8741" t="s">
        <v>30</v>
      </c>
      <c r="J8741" t="s">
        <v>41</v>
      </c>
      <c r="K8741" t="s">
        <v>59</v>
      </c>
      <c r="Q8741">
        <v>0</v>
      </c>
      <c r="R8741">
        <v>80</v>
      </c>
      <c r="S8741">
        <v>80</v>
      </c>
      <c r="T8741" t="s">
        <v>32900</v>
      </c>
    </row>
    <row r="8742" spans="1:20" customFormat="1" ht="15" x14ac:dyDescent="0.25">
      <c r="A8742" t="s">
        <v>35</v>
      </c>
      <c r="B8742" t="s">
        <v>61</v>
      </c>
      <c r="C8742" t="str">
        <f>"A0128702"</f>
        <v>A0128702</v>
      </c>
      <c r="D8742" t="s">
        <v>32901</v>
      </c>
      <c r="E8742" t="s">
        <v>32902</v>
      </c>
      <c r="F8742" t="s">
        <v>25495</v>
      </c>
      <c r="G8742" t="s">
        <v>1170</v>
      </c>
      <c r="H8742">
        <v>70809</v>
      </c>
      <c r="I8742" t="s">
        <v>30</v>
      </c>
      <c r="J8742" t="s">
        <v>41</v>
      </c>
      <c r="K8742" t="s">
        <v>59</v>
      </c>
      <c r="Q8742">
        <v>0</v>
      </c>
      <c r="R8742">
        <v>45</v>
      </c>
      <c r="S8742">
        <v>45</v>
      </c>
      <c r="T8742" t="s">
        <v>32903</v>
      </c>
    </row>
    <row r="8743" spans="1:20" customFormat="1" ht="15" x14ac:dyDescent="0.25">
      <c r="A8743" t="s">
        <v>35</v>
      </c>
      <c r="B8743" t="s">
        <v>61</v>
      </c>
      <c r="C8743" t="str">
        <f>"A0128701"</f>
        <v>A0128701</v>
      </c>
      <c r="D8743" t="s">
        <v>32904</v>
      </c>
      <c r="E8743" t="s">
        <v>32905</v>
      </c>
      <c r="F8743" t="s">
        <v>25495</v>
      </c>
      <c r="G8743" t="s">
        <v>1170</v>
      </c>
      <c r="H8743">
        <v>70806</v>
      </c>
      <c r="I8743" t="s">
        <v>30</v>
      </c>
      <c r="J8743" t="s">
        <v>41</v>
      </c>
      <c r="K8743" t="s">
        <v>229</v>
      </c>
      <c r="Q8743">
        <v>0</v>
      </c>
      <c r="R8743">
        <v>184</v>
      </c>
      <c r="S8743">
        <v>184</v>
      </c>
      <c r="T8743" t="s">
        <v>32906</v>
      </c>
    </row>
    <row r="8744" spans="1:20" customFormat="1" ht="15" x14ac:dyDescent="0.25">
      <c r="A8744" t="s">
        <v>35</v>
      </c>
      <c r="B8744" t="s">
        <v>32907</v>
      </c>
      <c r="C8744" t="str">
        <f>"A0122934"</f>
        <v>A0122934</v>
      </c>
      <c r="D8744" t="s">
        <v>32908</v>
      </c>
      <c r="E8744" t="s">
        <v>32909</v>
      </c>
      <c r="F8744" t="s">
        <v>1444</v>
      </c>
      <c r="G8744" t="s">
        <v>76</v>
      </c>
      <c r="H8744">
        <v>98125</v>
      </c>
      <c r="I8744" t="s">
        <v>30</v>
      </c>
      <c r="J8744" t="s">
        <v>41</v>
      </c>
      <c r="K8744" t="s">
        <v>2468</v>
      </c>
      <c r="Q8744">
        <v>0</v>
      </c>
      <c r="R8744">
        <v>1</v>
      </c>
      <c r="S8744">
        <v>1</v>
      </c>
      <c r="T8744" t="s">
        <v>32910</v>
      </c>
    </row>
    <row r="8745" spans="1:20" customFormat="1" ht="15" x14ac:dyDescent="0.25">
      <c r="A8745" t="s">
        <v>35</v>
      </c>
      <c r="B8745" t="s">
        <v>32907</v>
      </c>
      <c r="C8745" t="str">
        <f>"A0122933"</f>
        <v>A0122933</v>
      </c>
      <c r="D8745" t="s">
        <v>32911</v>
      </c>
      <c r="E8745" t="s">
        <v>32912</v>
      </c>
      <c r="F8745" t="s">
        <v>1444</v>
      </c>
      <c r="G8745" t="s">
        <v>76</v>
      </c>
      <c r="H8745">
        <v>98125</v>
      </c>
      <c r="I8745" t="s">
        <v>30</v>
      </c>
      <c r="J8745" t="s">
        <v>41</v>
      </c>
      <c r="K8745" t="s">
        <v>2468</v>
      </c>
      <c r="Q8745">
        <v>0</v>
      </c>
      <c r="R8745">
        <v>1</v>
      </c>
      <c r="S8745">
        <v>1</v>
      </c>
      <c r="T8745" t="s">
        <v>32910</v>
      </c>
    </row>
    <row r="8746" spans="1:20" customFormat="1" ht="15" x14ac:dyDescent="0.25">
      <c r="A8746" t="s">
        <v>35</v>
      </c>
      <c r="B8746" t="s">
        <v>32907</v>
      </c>
      <c r="C8746" t="str">
        <f>"A0122939"</f>
        <v>A0122939</v>
      </c>
      <c r="D8746" t="s">
        <v>32913</v>
      </c>
      <c r="E8746" t="s">
        <v>32914</v>
      </c>
      <c r="F8746" t="s">
        <v>1444</v>
      </c>
      <c r="G8746" t="s">
        <v>76</v>
      </c>
      <c r="H8746">
        <v>98146</v>
      </c>
      <c r="I8746" t="s">
        <v>30</v>
      </c>
      <c r="J8746" t="s">
        <v>41</v>
      </c>
      <c r="K8746" t="s">
        <v>418</v>
      </c>
      <c r="Q8746">
        <v>0</v>
      </c>
      <c r="R8746">
        <v>8</v>
      </c>
      <c r="S8746">
        <v>8</v>
      </c>
      <c r="T8746" t="s">
        <v>32910</v>
      </c>
    </row>
    <row r="8747" spans="1:20" customFormat="1" ht="15" x14ac:dyDescent="0.25">
      <c r="A8747" t="s">
        <v>35</v>
      </c>
      <c r="B8747" t="s">
        <v>32907</v>
      </c>
      <c r="C8747" t="str">
        <f>"A0122940"</f>
        <v>A0122940</v>
      </c>
      <c r="D8747" t="s">
        <v>32915</v>
      </c>
      <c r="E8747" t="s">
        <v>32916</v>
      </c>
      <c r="F8747" t="s">
        <v>1444</v>
      </c>
      <c r="G8747" t="s">
        <v>76</v>
      </c>
      <c r="H8747">
        <v>98125</v>
      </c>
      <c r="I8747" t="s">
        <v>30</v>
      </c>
      <c r="J8747" t="s">
        <v>41</v>
      </c>
      <c r="K8747" t="s">
        <v>4020</v>
      </c>
      <c r="Q8747">
        <v>0</v>
      </c>
      <c r="R8747">
        <v>0</v>
      </c>
      <c r="S8747">
        <v>0</v>
      </c>
      <c r="T8747" t="s">
        <v>32917</v>
      </c>
    </row>
    <row r="8748" spans="1:20" customFormat="1" ht="15" x14ac:dyDescent="0.25">
      <c r="A8748" t="s">
        <v>35</v>
      </c>
      <c r="B8748" t="s">
        <v>32907</v>
      </c>
      <c r="C8748" t="str">
        <f>"A0122932"</f>
        <v>A0122932</v>
      </c>
      <c r="D8748" t="s">
        <v>32918</v>
      </c>
      <c r="E8748" t="s">
        <v>32919</v>
      </c>
      <c r="F8748" t="s">
        <v>1444</v>
      </c>
      <c r="G8748" t="s">
        <v>76</v>
      </c>
      <c r="H8748">
        <v>98125</v>
      </c>
      <c r="I8748" t="s">
        <v>30</v>
      </c>
      <c r="J8748" t="s">
        <v>41</v>
      </c>
      <c r="K8748" t="s">
        <v>2468</v>
      </c>
      <c r="Q8748">
        <v>0</v>
      </c>
      <c r="R8748">
        <v>1</v>
      </c>
      <c r="S8748">
        <v>1</v>
      </c>
      <c r="T8748" t="s">
        <v>32910</v>
      </c>
    </row>
    <row r="8749" spans="1:20" customFormat="1" ht="15" x14ac:dyDescent="0.25">
      <c r="A8749" t="s">
        <v>35</v>
      </c>
      <c r="B8749" t="s">
        <v>32907</v>
      </c>
      <c r="C8749" t="str">
        <f>"A0122937"</f>
        <v>A0122937</v>
      </c>
      <c r="D8749" t="s">
        <v>32920</v>
      </c>
      <c r="E8749" t="s">
        <v>32921</v>
      </c>
      <c r="F8749" t="s">
        <v>1444</v>
      </c>
      <c r="G8749" t="s">
        <v>76</v>
      </c>
      <c r="H8749">
        <v>98125</v>
      </c>
      <c r="I8749" t="s">
        <v>30</v>
      </c>
      <c r="J8749" t="s">
        <v>41</v>
      </c>
      <c r="K8749" t="s">
        <v>2468</v>
      </c>
      <c r="Q8749">
        <v>0</v>
      </c>
      <c r="R8749">
        <v>0</v>
      </c>
      <c r="S8749">
        <v>0</v>
      </c>
      <c r="T8749" t="s">
        <v>32910</v>
      </c>
    </row>
    <row r="8750" spans="1:20" customFormat="1" ht="15" x14ac:dyDescent="0.25">
      <c r="A8750" t="s">
        <v>35</v>
      </c>
      <c r="B8750" t="s">
        <v>32907</v>
      </c>
      <c r="C8750" t="str">
        <f>"A0122931"</f>
        <v>A0122931</v>
      </c>
      <c r="D8750" t="s">
        <v>32922</v>
      </c>
      <c r="E8750" t="s">
        <v>32923</v>
      </c>
      <c r="F8750" t="s">
        <v>1444</v>
      </c>
      <c r="G8750" t="s">
        <v>76</v>
      </c>
      <c r="H8750">
        <v>98125</v>
      </c>
      <c r="I8750" t="s">
        <v>30</v>
      </c>
      <c r="J8750" t="s">
        <v>41</v>
      </c>
      <c r="K8750" t="s">
        <v>2468</v>
      </c>
      <c r="Q8750">
        <v>0</v>
      </c>
      <c r="R8750">
        <v>1</v>
      </c>
      <c r="S8750">
        <v>1</v>
      </c>
      <c r="T8750" t="s">
        <v>32910</v>
      </c>
    </row>
    <row r="8751" spans="1:20" customFormat="1" ht="15" x14ac:dyDescent="0.25">
      <c r="A8751" t="s">
        <v>35</v>
      </c>
      <c r="B8751" t="s">
        <v>32907</v>
      </c>
      <c r="C8751" t="str">
        <f>"A0122938"</f>
        <v>A0122938</v>
      </c>
      <c r="D8751" t="s">
        <v>32924</v>
      </c>
      <c r="E8751" t="s">
        <v>32925</v>
      </c>
      <c r="F8751" t="s">
        <v>1444</v>
      </c>
      <c r="G8751" t="s">
        <v>76</v>
      </c>
      <c r="H8751">
        <v>98125</v>
      </c>
      <c r="I8751" t="s">
        <v>30</v>
      </c>
      <c r="J8751" t="s">
        <v>41</v>
      </c>
      <c r="K8751" t="s">
        <v>2468</v>
      </c>
      <c r="Q8751">
        <v>0</v>
      </c>
      <c r="R8751">
        <v>0</v>
      </c>
      <c r="S8751">
        <v>0</v>
      </c>
      <c r="T8751" t="s">
        <v>32910</v>
      </c>
    </row>
    <row r="8752" spans="1:20" customFormat="1" ht="15" hidden="1" x14ac:dyDescent="0.25">
      <c r="A8752" t="s">
        <v>24</v>
      </c>
      <c r="B8752" t="s">
        <v>32926</v>
      </c>
      <c r="C8752" t="str">
        <f>"A0098926"</f>
        <v>A0098926</v>
      </c>
      <c r="D8752" t="s">
        <v>32927</v>
      </c>
      <c r="E8752" t="s">
        <v>32928</v>
      </c>
      <c r="F8752" t="s">
        <v>9989</v>
      </c>
      <c r="G8752" t="s">
        <v>4481</v>
      </c>
      <c r="H8752">
        <v>45050</v>
      </c>
      <c r="I8752" t="s">
        <v>2408</v>
      </c>
      <c r="J8752" t="s">
        <v>171</v>
      </c>
      <c r="K8752" t="s">
        <v>2077</v>
      </c>
      <c r="N8752" t="s">
        <v>32929</v>
      </c>
      <c r="O8752" t="s">
        <v>32930</v>
      </c>
      <c r="Q8752">
        <v>0</v>
      </c>
      <c r="R8752">
        <v>178</v>
      </c>
      <c r="S8752">
        <v>0</v>
      </c>
      <c r="T8752" t="s">
        <v>32931</v>
      </c>
    </row>
    <row r="8753" spans="1:20" customFormat="1" ht="15" x14ac:dyDescent="0.25">
      <c r="A8753" t="s">
        <v>24</v>
      </c>
      <c r="B8753" t="s">
        <v>976</v>
      </c>
      <c r="C8753" t="str">
        <f>"A0064556"</f>
        <v>A0064556</v>
      </c>
      <c r="D8753" t="s">
        <v>64122</v>
      </c>
      <c r="E8753" t="s">
        <v>64123</v>
      </c>
      <c r="F8753" t="s">
        <v>6348</v>
      </c>
      <c r="G8753" t="s">
        <v>117</v>
      </c>
      <c r="H8753">
        <v>48152</v>
      </c>
      <c r="I8753" t="s">
        <v>30</v>
      </c>
      <c r="J8753" t="s">
        <v>162</v>
      </c>
      <c r="K8753" t="s">
        <v>266</v>
      </c>
      <c r="N8753" t="s">
        <v>64124</v>
      </c>
      <c r="Q8753">
        <v>0</v>
      </c>
      <c r="R8753">
        <v>239</v>
      </c>
      <c r="S8753">
        <v>0</v>
      </c>
      <c r="T8753" t="s">
        <v>64125</v>
      </c>
    </row>
    <row r="8754" spans="1:20" customFormat="1" ht="15" x14ac:dyDescent="0.25">
      <c r="A8754" t="s">
        <v>24</v>
      </c>
      <c r="B8754" t="s">
        <v>63821</v>
      </c>
      <c r="C8754" t="str">
        <f>"A0064558"</f>
        <v>A0064558</v>
      </c>
      <c r="D8754" t="s">
        <v>64126</v>
      </c>
      <c r="E8754" t="s">
        <v>64127</v>
      </c>
      <c r="F8754" t="s">
        <v>64128</v>
      </c>
      <c r="G8754" t="s">
        <v>110</v>
      </c>
      <c r="H8754">
        <v>93436</v>
      </c>
      <c r="I8754" t="s">
        <v>30</v>
      </c>
      <c r="J8754" t="s">
        <v>162</v>
      </c>
      <c r="K8754" t="s">
        <v>266</v>
      </c>
      <c r="N8754" t="s">
        <v>64129</v>
      </c>
      <c r="Q8754">
        <v>0</v>
      </c>
      <c r="R8754">
        <v>155</v>
      </c>
      <c r="S8754">
        <v>0</v>
      </c>
      <c r="T8754" t="s">
        <v>64130</v>
      </c>
    </row>
    <row r="8755" spans="1:20" customFormat="1" ht="15" x14ac:dyDescent="0.25">
      <c r="A8755" t="s">
        <v>24</v>
      </c>
      <c r="B8755" t="s">
        <v>140</v>
      </c>
      <c r="C8755" t="str">
        <f>"A0147931"</f>
        <v>A0147931</v>
      </c>
      <c r="D8755" t="s">
        <v>32944</v>
      </c>
      <c r="E8755" t="s">
        <v>32945</v>
      </c>
      <c r="F8755" t="s">
        <v>1564</v>
      </c>
      <c r="G8755" t="s">
        <v>52</v>
      </c>
      <c r="H8755">
        <v>77092</v>
      </c>
      <c r="I8755" t="s">
        <v>30</v>
      </c>
      <c r="J8755" t="s">
        <v>31</v>
      </c>
      <c r="K8755" t="s">
        <v>32</v>
      </c>
      <c r="N8755" t="s">
        <v>32946</v>
      </c>
      <c r="O8755" t="s">
        <v>32947</v>
      </c>
      <c r="Q8755">
        <v>0</v>
      </c>
      <c r="R8755">
        <v>90</v>
      </c>
      <c r="S8755">
        <v>0</v>
      </c>
      <c r="T8755" t="s">
        <v>32948</v>
      </c>
    </row>
    <row r="8756" spans="1:20" customFormat="1" ht="15" x14ac:dyDescent="0.25">
      <c r="A8756" t="s">
        <v>35</v>
      </c>
      <c r="B8756" t="s">
        <v>9670</v>
      </c>
      <c r="C8756" t="str">
        <f>"A0125667"</f>
        <v>A0125667</v>
      </c>
      <c r="D8756" t="s">
        <v>32949</v>
      </c>
      <c r="E8756" t="s">
        <v>32950</v>
      </c>
      <c r="F8756" t="s">
        <v>2756</v>
      </c>
      <c r="G8756" t="s">
        <v>29</v>
      </c>
      <c r="H8756">
        <v>20186</v>
      </c>
      <c r="I8756" t="s">
        <v>30</v>
      </c>
      <c r="J8756" t="s">
        <v>41</v>
      </c>
      <c r="K8756" t="s">
        <v>59</v>
      </c>
      <c r="Q8756">
        <v>0</v>
      </c>
      <c r="R8756">
        <v>42</v>
      </c>
      <c r="S8756">
        <v>42</v>
      </c>
      <c r="T8756" t="s">
        <v>32951</v>
      </c>
    </row>
    <row r="8757" spans="1:20" customFormat="1" ht="15" x14ac:dyDescent="0.25">
      <c r="A8757" t="s">
        <v>35</v>
      </c>
      <c r="B8757" t="s">
        <v>9670</v>
      </c>
      <c r="C8757" t="str">
        <f>"A0125668"</f>
        <v>A0125668</v>
      </c>
      <c r="D8757" t="s">
        <v>32952</v>
      </c>
      <c r="E8757" t="s">
        <v>32953</v>
      </c>
      <c r="F8757" t="s">
        <v>32954</v>
      </c>
      <c r="G8757" t="s">
        <v>29</v>
      </c>
      <c r="H8757">
        <v>24073</v>
      </c>
      <c r="I8757" t="s">
        <v>30</v>
      </c>
      <c r="J8757" t="s">
        <v>41</v>
      </c>
      <c r="K8757" t="s">
        <v>59</v>
      </c>
      <c r="Q8757">
        <v>0</v>
      </c>
      <c r="R8757">
        <v>69</v>
      </c>
      <c r="S8757">
        <v>69</v>
      </c>
      <c r="T8757" t="s">
        <v>32955</v>
      </c>
    </row>
    <row r="8758" spans="1:20" customFormat="1" ht="15" x14ac:dyDescent="0.25">
      <c r="A8758" t="s">
        <v>35</v>
      </c>
      <c r="B8758" t="s">
        <v>9670</v>
      </c>
      <c r="C8758" t="str">
        <f>"A0125666"</f>
        <v>A0125666</v>
      </c>
      <c r="D8758" t="s">
        <v>32956</v>
      </c>
      <c r="E8758" t="s">
        <v>32957</v>
      </c>
      <c r="F8758" t="s">
        <v>32958</v>
      </c>
      <c r="G8758" t="s">
        <v>29</v>
      </c>
      <c r="H8758">
        <v>23093</v>
      </c>
      <c r="I8758" t="s">
        <v>30</v>
      </c>
      <c r="J8758" t="s">
        <v>41</v>
      </c>
      <c r="K8758" t="s">
        <v>59</v>
      </c>
      <c r="Q8758">
        <v>0</v>
      </c>
      <c r="R8758">
        <v>27</v>
      </c>
      <c r="S8758">
        <v>27</v>
      </c>
      <c r="T8758" t="s">
        <v>32959</v>
      </c>
    </row>
    <row r="8759" spans="1:20" customFormat="1" ht="15" x14ac:dyDescent="0.25">
      <c r="A8759" t="s">
        <v>35</v>
      </c>
      <c r="B8759" t="s">
        <v>9670</v>
      </c>
      <c r="C8759" t="str">
        <f>"A0125665"</f>
        <v>A0125665</v>
      </c>
      <c r="D8759" t="s">
        <v>32960</v>
      </c>
      <c r="E8759" t="s">
        <v>32961</v>
      </c>
      <c r="F8759" t="s">
        <v>32962</v>
      </c>
      <c r="G8759" t="s">
        <v>29</v>
      </c>
      <c r="H8759">
        <v>27701</v>
      </c>
      <c r="I8759" t="s">
        <v>30</v>
      </c>
      <c r="J8759" t="s">
        <v>41</v>
      </c>
      <c r="K8759" t="s">
        <v>59</v>
      </c>
      <c r="Q8759">
        <v>0</v>
      </c>
      <c r="R8759">
        <v>27</v>
      </c>
      <c r="S8759">
        <v>27</v>
      </c>
      <c r="T8759" t="s">
        <v>32963</v>
      </c>
    </row>
    <row r="8760" spans="1:20" customFormat="1" ht="15" x14ac:dyDescent="0.25">
      <c r="A8760" t="s">
        <v>35</v>
      </c>
      <c r="B8760" t="s">
        <v>9670</v>
      </c>
      <c r="C8760" t="str">
        <f>"A0125874"</f>
        <v>A0125874</v>
      </c>
      <c r="D8760" t="s">
        <v>32964</v>
      </c>
      <c r="E8760" t="s">
        <v>32965</v>
      </c>
      <c r="F8760" t="s">
        <v>8642</v>
      </c>
      <c r="G8760" t="s">
        <v>29</v>
      </c>
      <c r="H8760">
        <v>24523</v>
      </c>
      <c r="I8760" t="s">
        <v>30</v>
      </c>
      <c r="J8760" t="s">
        <v>41</v>
      </c>
      <c r="K8760" t="s">
        <v>59</v>
      </c>
      <c r="Q8760">
        <v>0</v>
      </c>
      <c r="R8760">
        <v>180</v>
      </c>
      <c r="S8760">
        <v>180</v>
      </c>
      <c r="T8760" t="s">
        <v>32966</v>
      </c>
    </row>
    <row r="8761" spans="1:20" customFormat="1" ht="15" x14ac:dyDescent="0.25">
      <c r="A8761" t="s">
        <v>24</v>
      </c>
      <c r="B8761" t="s">
        <v>56277</v>
      </c>
      <c r="C8761" t="str">
        <f>"A0087904"</f>
        <v>A0087904</v>
      </c>
      <c r="D8761" t="s">
        <v>64131</v>
      </c>
      <c r="E8761" t="s">
        <v>64132</v>
      </c>
      <c r="F8761" t="s">
        <v>60963</v>
      </c>
      <c r="G8761" t="s">
        <v>190</v>
      </c>
      <c r="H8761">
        <v>80538</v>
      </c>
      <c r="I8761" t="s">
        <v>30</v>
      </c>
      <c r="J8761" t="s">
        <v>162</v>
      </c>
      <c r="K8761" t="s">
        <v>266</v>
      </c>
      <c r="N8761" t="s">
        <v>64133</v>
      </c>
      <c r="O8761" t="s">
        <v>64134</v>
      </c>
      <c r="Q8761">
        <v>0</v>
      </c>
      <c r="R8761">
        <v>250</v>
      </c>
      <c r="S8761">
        <v>0</v>
      </c>
      <c r="T8761" t="s">
        <v>64135</v>
      </c>
    </row>
    <row r="8762" spans="1:20" customFormat="1" ht="15" x14ac:dyDescent="0.25">
      <c r="A8762" t="s">
        <v>24</v>
      </c>
      <c r="B8762" t="s">
        <v>976</v>
      </c>
      <c r="C8762" t="str">
        <f>"A0064564"</f>
        <v>A0064564</v>
      </c>
      <c r="D8762" t="s">
        <v>64136</v>
      </c>
      <c r="E8762" t="s">
        <v>64137</v>
      </c>
      <c r="F8762" t="s">
        <v>14487</v>
      </c>
      <c r="G8762" t="s">
        <v>76</v>
      </c>
      <c r="H8762">
        <v>98036</v>
      </c>
      <c r="I8762" t="s">
        <v>30</v>
      </c>
      <c r="J8762" t="s">
        <v>162</v>
      </c>
      <c r="K8762" t="s">
        <v>266</v>
      </c>
      <c r="N8762" t="s">
        <v>64138</v>
      </c>
      <c r="Q8762">
        <v>0</v>
      </c>
      <c r="R8762">
        <v>240</v>
      </c>
      <c r="S8762">
        <v>0</v>
      </c>
      <c r="T8762" t="s">
        <v>64139</v>
      </c>
    </row>
    <row r="8763" spans="1:20" customFormat="1" ht="15" x14ac:dyDescent="0.25">
      <c r="A8763" t="s">
        <v>24</v>
      </c>
      <c r="B8763" t="s">
        <v>2380</v>
      </c>
      <c r="C8763" t="str">
        <f>"A0088718"</f>
        <v>A0088718</v>
      </c>
      <c r="D8763" t="s">
        <v>64140</v>
      </c>
      <c r="E8763" t="s">
        <v>64141</v>
      </c>
      <c r="F8763" t="s">
        <v>64142</v>
      </c>
      <c r="G8763" t="s">
        <v>110</v>
      </c>
      <c r="H8763">
        <v>93035</v>
      </c>
      <c r="I8763" t="s">
        <v>30</v>
      </c>
      <c r="J8763" t="s">
        <v>162</v>
      </c>
      <c r="K8763" t="s">
        <v>266</v>
      </c>
      <c r="N8763" t="s">
        <v>64143</v>
      </c>
      <c r="Q8763">
        <v>0</v>
      </c>
      <c r="R8763">
        <v>274</v>
      </c>
      <c r="S8763">
        <v>0</v>
      </c>
      <c r="T8763" t="s">
        <v>64144</v>
      </c>
    </row>
    <row r="8764" spans="1:20" customFormat="1" ht="15" x14ac:dyDescent="0.25">
      <c r="A8764" t="s">
        <v>35</v>
      </c>
      <c r="B8764" t="s">
        <v>12720</v>
      </c>
      <c r="C8764" t="str">
        <f>"A0122827"</f>
        <v>A0122827</v>
      </c>
      <c r="D8764" t="s">
        <v>32980</v>
      </c>
      <c r="E8764" t="s">
        <v>32981</v>
      </c>
      <c r="F8764" t="s">
        <v>5317</v>
      </c>
      <c r="G8764" t="s">
        <v>76</v>
      </c>
      <c r="H8764">
        <v>98002</v>
      </c>
      <c r="I8764" t="s">
        <v>30</v>
      </c>
      <c r="J8764" t="s">
        <v>41</v>
      </c>
      <c r="K8764" t="s">
        <v>229</v>
      </c>
      <c r="Q8764">
        <v>0</v>
      </c>
      <c r="R8764">
        <v>96</v>
      </c>
      <c r="S8764">
        <v>96</v>
      </c>
      <c r="T8764" t="s">
        <v>32982</v>
      </c>
    </row>
    <row r="8765" spans="1:20" customFormat="1" ht="15" x14ac:dyDescent="0.25">
      <c r="A8765" t="s">
        <v>35</v>
      </c>
      <c r="B8765" t="s">
        <v>32983</v>
      </c>
      <c r="C8765" t="str">
        <f>"A0118242"</f>
        <v>A0118242</v>
      </c>
      <c r="D8765" t="s">
        <v>32983</v>
      </c>
      <c r="E8765" t="s">
        <v>32984</v>
      </c>
      <c r="F8765" t="s">
        <v>5752</v>
      </c>
      <c r="G8765" t="s">
        <v>433</v>
      </c>
      <c r="H8765">
        <v>83313</v>
      </c>
      <c r="I8765" t="s">
        <v>30</v>
      </c>
      <c r="J8765" t="s">
        <v>41</v>
      </c>
      <c r="K8765" t="s">
        <v>290</v>
      </c>
      <c r="Q8765">
        <v>0</v>
      </c>
      <c r="R8765">
        <v>1</v>
      </c>
      <c r="S8765">
        <v>1</v>
      </c>
      <c r="T8765" t="s">
        <v>32985</v>
      </c>
    </row>
    <row r="8766" spans="1:20" customFormat="1" ht="15" x14ac:dyDescent="0.25">
      <c r="A8766" t="s">
        <v>35</v>
      </c>
      <c r="B8766" t="s">
        <v>32983</v>
      </c>
      <c r="C8766" t="str">
        <f>"A0118274"</f>
        <v>A0118274</v>
      </c>
      <c r="D8766" t="s">
        <v>32986</v>
      </c>
      <c r="E8766" t="s">
        <v>32987</v>
      </c>
      <c r="F8766" t="s">
        <v>436</v>
      </c>
      <c r="G8766" t="s">
        <v>433</v>
      </c>
      <c r="H8766">
        <v>83204</v>
      </c>
      <c r="I8766" t="s">
        <v>30</v>
      </c>
      <c r="J8766" t="s">
        <v>41</v>
      </c>
      <c r="K8766" t="s">
        <v>3713</v>
      </c>
      <c r="Q8766">
        <v>0</v>
      </c>
      <c r="R8766">
        <v>20</v>
      </c>
      <c r="S8766">
        <v>20</v>
      </c>
      <c r="T8766" t="s">
        <v>32988</v>
      </c>
    </row>
    <row r="8767" spans="1:20" customFormat="1" ht="15" x14ac:dyDescent="0.25">
      <c r="A8767" t="s">
        <v>35</v>
      </c>
      <c r="B8767" t="s">
        <v>32983</v>
      </c>
      <c r="C8767" t="str">
        <f>"A0118243"</f>
        <v>A0118243</v>
      </c>
      <c r="D8767" t="s">
        <v>32983</v>
      </c>
      <c r="E8767" t="s">
        <v>32989</v>
      </c>
      <c r="F8767" t="s">
        <v>5752</v>
      </c>
      <c r="G8767" t="s">
        <v>433</v>
      </c>
      <c r="H8767">
        <v>83313</v>
      </c>
      <c r="I8767" t="s">
        <v>30</v>
      </c>
      <c r="J8767" t="s">
        <v>41</v>
      </c>
      <c r="K8767" t="s">
        <v>59</v>
      </c>
      <c r="Q8767">
        <v>0</v>
      </c>
      <c r="R8767">
        <v>10</v>
      </c>
      <c r="S8767">
        <v>10</v>
      </c>
      <c r="T8767" t="s">
        <v>32990</v>
      </c>
    </row>
    <row r="8768" spans="1:20" customFormat="1" ht="15" x14ac:dyDescent="0.25">
      <c r="A8768" t="s">
        <v>35</v>
      </c>
      <c r="B8768" t="s">
        <v>32991</v>
      </c>
      <c r="C8768" t="str">
        <f>"A0118246"</f>
        <v>A0118246</v>
      </c>
      <c r="D8768" t="s">
        <v>32992</v>
      </c>
      <c r="E8768" t="s">
        <v>32993</v>
      </c>
      <c r="F8768" t="s">
        <v>12938</v>
      </c>
      <c r="G8768" t="s">
        <v>433</v>
      </c>
      <c r="H8768">
        <v>83330</v>
      </c>
      <c r="I8768" t="s">
        <v>30</v>
      </c>
      <c r="J8768" t="s">
        <v>41</v>
      </c>
      <c r="K8768" t="s">
        <v>59</v>
      </c>
      <c r="Q8768">
        <v>0</v>
      </c>
      <c r="R8768">
        <v>10</v>
      </c>
      <c r="S8768">
        <v>10</v>
      </c>
      <c r="T8768" t="s">
        <v>32994</v>
      </c>
    </row>
    <row r="8769" spans="1:20" customFormat="1" ht="15" x14ac:dyDescent="0.25">
      <c r="A8769" t="s">
        <v>35</v>
      </c>
      <c r="B8769" t="s">
        <v>32991</v>
      </c>
      <c r="C8769" t="str">
        <f>"A0118245"</f>
        <v>A0118245</v>
      </c>
      <c r="D8769" t="s">
        <v>32995</v>
      </c>
      <c r="E8769" t="s">
        <v>32996</v>
      </c>
      <c r="F8769" t="s">
        <v>32997</v>
      </c>
      <c r="G8769" t="s">
        <v>433</v>
      </c>
      <c r="H8769">
        <v>83226</v>
      </c>
      <c r="I8769" t="s">
        <v>30</v>
      </c>
      <c r="J8769" t="s">
        <v>41</v>
      </c>
      <c r="K8769" t="s">
        <v>59</v>
      </c>
      <c r="Q8769">
        <v>0</v>
      </c>
      <c r="R8769">
        <v>10</v>
      </c>
      <c r="S8769">
        <v>10</v>
      </c>
      <c r="T8769" t="s">
        <v>32998</v>
      </c>
    </row>
    <row r="8770" spans="1:20" customFormat="1" ht="15" x14ac:dyDescent="0.25">
      <c r="A8770" t="s">
        <v>35</v>
      </c>
      <c r="B8770" t="s">
        <v>32991</v>
      </c>
      <c r="C8770" t="str">
        <f>"A0118244"</f>
        <v>A0118244</v>
      </c>
      <c r="D8770" t="s">
        <v>32999</v>
      </c>
      <c r="E8770" t="s">
        <v>33000</v>
      </c>
      <c r="F8770" t="s">
        <v>33001</v>
      </c>
      <c r="G8770" t="s">
        <v>433</v>
      </c>
      <c r="H8770">
        <v>83318</v>
      </c>
      <c r="I8770" t="s">
        <v>30</v>
      </c>
      <c r="J8770" t="s">
        <v>41</v>
      </c>
      <c r="K8770" t="s">
        <v>59</v>
      </c>
      <c r="Q8770">
        <v>0</v>
      </c>
      <c r="R8770">
        <v>10</v>
      </c>
      <c r="S8770">
        <v>10</v>
      </c>
      <c r="T8770" t="s">
        <v>33002</v>
      </c>
    </row>
    <row r="8771" spans="1:20" customFormat="1" ht="15" x14ac:dyDescent="0.25">
      <c r="A8771" t="s">
        <v>35</v>
      </c>
      <c r="B8771" t="s">
        <v>33003</v>
      </c>
      <c r="C8771" t="str">
        <f>"A0150936"</f>
        <v>A0150936</v>
      </c>
      <c r="D8771" t="s">
        <v>33003</v>
      </c>
      <c r="E8771" t="s">
        <v>33004</v>
      </c>
      <c r="F8771" t="s">
        <v>15832</v>
      </c>
      <c r="G8771" t="s">
        <v>1184</v>
      </c>
      <c r="H8771">
        <v>59601</v>
      </c>
      <c r="I8771" t="s">
        <v>30</v>
      </c>
      <c r="J8771" t="s">
        <v>41</v>
      </c>
      <c r="K8771" t="s">
        <v>131</v>
      </c>
      <c r="Q8771">
        <v>0</v>
      </c>
      <c r="R8771">
        <v>0</v>
      </c>
      <c r="S8771">
        <v>0</v>
      </c>
      <c r="T8771" t="s">
        <v>33005</v>
      </c>
    </row>
    <row r="8772" spans="1:20" customFormat="1" ht="15" x14ac:dyDescent="0.25">
      <c r="A8772" t="s">
        <v>35</v>
      </c>
      <c r="B8772" t="s">
        <v>12720</v>
      </c>
      <c r="C8772" t="str">
        <f>"A0158075"</f>
        <v>A0158075</v>
      </c>
      <c r="D8772" t="s">
        <v>33006</v>
      </c>
      <c r="E8772" t="s">
        <v>33007</v>
      </c>
      <c r="F8772" t="s">
        <v>33008</v>
      </c>
      <c r="G8772" t="s">
        <v>76</v>
      </c>
      <c r="H8772">
        <v>98503</v>
      </c>
      <c r="I8772" t="s">
        <v>30</v>
      </c>
      <c r="J8772" t="s">
        <v>41</v>
      </c>
      <c r="K8772" t="s">
        <v>59</v>
      </c>
      <c r="Q8772">
        <v>0</v>
      </c>
      <c r="R8772">
        <v>96</v>
      </c>
      <c r="S8772">
        <v>96</v>
      </c>
      <c r="T8772" t="s">
        <v>33009</v>
      </c>
    </row>
    <row r="8773" spans="1:20" customFormat="1" ht="15" x14ac:dyDescent="0.25">
      <c r="A8773" t="s">
        <v>35</v>
      </c>
      <c r="B8773" t="s">
        <v>32907</v>
      </c>
      <c r="C8773" t="str">
        <f>"A0122935"</f>
        <v>A0122935</v>
      </c>
      <c r="D8773" t="s">
        <v>33010</v>
      </c>
      <c r="E8773" t="s">
        <v>32921</v>
      </c>
      <c r="F8773" t="s">
        <v>1444</v>
      </c>
      <c r="G8773" t="s">
        <v>76</v>
      </c>
      <c r="H8773">
        <v>98125</v>
      </c>
      <c r="I8773" t="s">
        <v>30</v>
      </c>
      <c r="J8773" t="s">
        <v>41</v>
      </c>
      <c r="K8773" t="s">
        <v>2468</v>
      </c>
      <c r="Q8773">
        <v>0</v>
      </c>
      <c r="R8773">
        <v>1</v>
      </c>
      <c r="S8773">
        <v>1</v>
      </c>
      <c r="T8773" t="s">
        <v>32910</v>
      </c>
    </row>
    <row r="8774" spans="1:20" customFormat="1" ht="15" x14ac:dyDescent="0.25">
      <c r="A8774" t="s">
        <v>35</v>
      </c>
      <c r="B8774" t="s">
        <v>8021</v>
      </c>
      <c r="C8774" t="str">
        <f>"A0125408"</f>
        <v>A0125408</v>
      </c>
      <c r="D8774" t="s">
        <v>33011</v>
      </c>
      <c r="E8774" t="s">
        <v>33012</v>
      </c>
      <c r="F8774" t="s">
        <v>17235</v>
      </c>
      <c r="G8774" t="s">
        <v>40</v>
      </c>
      <c r="H8774">
        <v>73505</v>
      </c>
      <c r="I8774" t="s">
        <v>30</v>
      </c>
      <c r="J8774" t="s">
        <v>41</v>
      </c>
      <c r="K8774" t="s">
        <v>59</v>
      </c>
      <c r="Q8774">
        <v>0</v>
      </c>
      <c r="R8774">
        <v>59</v>
      </c>
      <c r="S8774">
        <v>59</v>
      </c>
      <c r="T8774" t="s">
        <v>33013</v>
      </c>
    </row>
    <row r="8775" spans="1:20" customFormat="1" ht="15" x14ac:dyDescent="0.25">
      <c r="A8775" t="s">
        <v>35</v>
      </c>
      <c r="B8775" t="s">
        <v>8021</v>
      </c>
      <c r="C8775" t="str">
        <f>"A0121482"</f>
        <v>A0121482</v>
      </c>
      <c r="D8775" t="s">
        <v>33014</v>
      </c>
      <c r="E8775" t="s">
        <v>33015</v>
      </c>
      <c r="F8775" t="s">
        <v>16848</v>
      </c>
      <c r="G8775" t="s">
        <v>1587</v>
      </c>
      <c r="H8775">
        <v>87114</v>
      </c>
      <c r="I8775" t="s">
        <v>30</v>
      </c>
      <c r="J8775" t="s">
        <v>41</v>
      </c>
      <c r="K8775" t="s">
        <v>59</v>
      </c>
      <c r="Q8775">
        <v>0</v>
      </c>
      <c r="R8775">
        <v>45</v>
      </c>
      <c r="S8775">
        <v>45</v>
      </c>
      <c r="T8775" t="s">
        <v>33016</v>
      </c>
    </row>
    <row r="8776" spans="1:20" customFormat="1" ht="15" x14ac:dyDescent="0.25">
      <c r="A8776" t="s">
        <v>35</v>
      </c>
      <c r="B8776" t="s">
        <v>33017</v>
      </c>
      <c r="C8776" t="str">
        <f>"A0122754"</f>
        <v>A0122754</v>
      </c>
      <c r="D8776" t="s">
        <v>33018</v>
      </c>
      <c r="E8776" t="s">
        <v>33019</v>
      </c>
      <c r="F8776" t="s">
        <v>10889</v>
      </c>
      <c r="G8776" t="s">
        <v>76</v>
      </c>
      <c r="H8776">
        <v>98584</v>
      </c>
      <c r="I8776" t="s">
        <v>30</v>
      </c>
      <c r="J8776" t="s">
        <v>41</v>
      </c>
      <c r="K8776" t="s">
        <v>1440</v>
      </c>
      <c r="Q8776">
        <v>0</v>
      </c>
      <c r="R8776">
        <v>120</v>
      </c>
      <c r="S8776">
        <v>120</v>
      </c>
      <c r="T8776" t="s">
        <v>33020</v>
      </c>
    </row>
    <row r="8777" spans="1:20" customFormat="1" ht="15" x14ac:dyDescent="0.25">
      <c r="A8777" t="s">
        <v>35</v>
      </c>
      <c r="B8777" t="s">
        <v>61</v>
      </c>
      <c r="C8777" t="str">
        <f>"A0130115"</f>
        <v>A0130115</v>
      </c>
      <c r="D8777" t="s">
        <v>33021</v>
      </c>
      <c r="E8777" t="s">
        <v>33022</v>
      </c>
      <c r="F8777" t="s">
        <v>23698</v>
      </c>
      <c r="G8777" t="s">
        <v>71</v>
      </c>
      <c r="H8777">
        <v>53581</v>
      </c>
      <c r="I8777" t="s">
        <v>30</v>
      </c>
      <c r="J8777" t="s">
        <v>41</v>
      </c>
      <c r="K8777" t="s">
        <v>229</v>
      </c>
      <c r="Q8777">
        <v>0</v>
      </c>
      <c r="R8777">
        <v>104</v>
      </c>
      <c r="S8777">
        <v>104</v>
      </c>
      <c r="T8777" t="s">
        <v>33023</v>
      </c>
    </row>
    <row r="8778" spans="1:20" customFormat="1" ht="15" hidden="1" x14ac:dyDescent="0.25">
      <c r="A8778" t="s">
        <v>24</v>
      </c>
      <c r="B8778" t="s">
        <v>8771</v>
      </c>
      <c r="C8778" t="str">
        <f>"A0180582"</f>
        <v>A0180582</v>
      </c>
      <c r="D8778" t="s">
        <v>33024</v>
      </c>
      <c r="E8778" t="s">
        <v>33025</v>
      </c>
      <c r="F8778" t="s">
        <v>13344</v>
      </c>
      <c r="G8778" t="s">
        <v>13345</v>
      </c>
      <c r="H8778">
        <v>53500</v>
      </c>
      <c r="I8778" t="s">
        <v>2408</v>
      </c>
      <c r="J8778" t="s">
        <v>162</v>
      </c>
      <c r="K8778" t="s">
        <v>13257</v>
      </c>
      <c r="N8778" t="s">
        <v>33026</v>
      </c>
      <c r="Q8778">
        <v>0</v>
      </c>
      <c r="R8778">
        <v>168</v>
      </c>
      <c r="S8778">
        <v>0</v>
      </c>
      <c r="T8778" t="s">
        <v>33027</v>
      </c>
    </row>
    <row r="8779" spans="1:20" customFormat="1" ht="15" x14ac:dyDescent="0.25">
      <c r="A8779" t="s">
        <v>24</v>
      </c>
      <c r="B8779" t="s">
        <v>2360</v>
      </c>
      <c r="C8779" t="str">
        <f>"A0049311"</f>
        <v>A0049311</v>
      </c>
      <c r="D8779" t="s">
        <v>33028</v>
      </c>
      <c r="E8779" t="s">
        <v>33029</v>
      </c>
      <c r="F8779" t="s">
        <v>5706</v>
      </c>
      <c r="G8779" t="s">
        <v>1706</v>
      </c>
      <c r="H8779">
        <v>35244</v>
      </c>
      <c r="I8779" t="s">
        <v>30</v>
      </c>
      <c r="J8779" t="s">
        <v>178</v>
      </c>
      <c r="K8779" t="s">
        <v>2364</v>
      </c>
      <c r="N8779" t="s">
        <v>33030</v>
      </c>
      <c r="Q8779">
        <v>0</v>
      </c>
      <c r="R8779">
        <v>0</v>
      </c>
      <c r="S8779">
        <v>0</v>
      </c>
      <c r="T8779" t="s">
        <v>33031</v>
      </c>
    </row>
    <row r="8780" spans="1:20" customFormat="1" ht="15" x14ac:dyDescent="0.25">
      <c r="A8780" t="s">
        <v>24</v>
      </c>
      <c r="B8780" t="s">
        <v>193</v>
      </c>
      <c r="C8780" t="str">
        <f>"A0050136"</f>
        <v>A0050136</v>
      </c>
      <c r="D8780" t="s">
        <v>33032</v>
      </c>
      <c r="E8780" t="s">
        <v>33033</v>
      </c>
      <c r="F8780" t="s">
        <v>33034</v>
      </c>
      <c r="G8780" t="s">
        <v>110</v>
      </c>
      <c r="H8780">
        <v>93010</v>
      </c>
      <c r="I8780" t="s">
        <v>30</v>
      </c>
      <c r="J8780" t="s">
        <v>178</v>
      </c>
      <c r="K8780" t="s">
        <v>179</v>
      </c>
      <c r="Q8780">
        <v>1</v>
      </c>
      <c r="R8780">
        <v>0</v>
      </c>
      <c r="S8780">
        <v>0</v>
      </c>
      <c r="T8780" t="s">
        <v>33035</v>
      </c>
    </row>
    <row r="8781" spans="1:20" customFormat="1" ht="15" x14ac:dyDescent="0.25">
      <c r="A8781" t="s">
        <v>24</v>
      </c>
      <c r="B8781" t="s">
        <v>1849</v>
      </c>
      <c r="C8781" t="str">
        <f>"A0087516"</f>
        <v>A0087516</v>
      </c>
      <c r="D8781" t="s">
        <v>64145</v>
      </c>
      <c r="E8781" t="s">
        <v>64146</v>
      </c>
      <c r="F8781" t="s">
        <v>61011</v>
      </c>
      <c r="G8781" t="s">
        <v>899</v>
      </c>
      <c r="H8781">
        <v>1752</v>
      </c>
      <c r="I8781" t="s">
        <v>30</v>
      </c>
      <c r="J8781" t="s">
        <v>162</v>
      </c>
      <c r="K8781" t="s">
        <v>266</v>
      </c>
      <c r="N8781" t="s">
        <v>64147</v>
      </c>
      <c r="Q8781">
        <v>0</v>
      </c>
      <c r="R8781">
        <v>229</v>
      </c>
      <c r="S8781">
        <v>0</v>
      </c>
      <c r="T8781" t="s">
        <v>64148</v>
      </c>
    </row>
    <row r="8782" spans="1:20" customFormat="1" ht="15" x14ac:dyDescent="0.25">
      <c r="A8782" t="s">
        <v>24</v>
      </c>
      <c r="B8782" t="s">
        <v>2812</v>
      </c>
      <c r="C8782" t="str">
        <f>"A0180577"</f>
        <v>A0180577</v>
      </c>
      <c r="D8782" t="s">
        <v>33042</v>
      </c>
      <c r="E8782" t="s">
        <v>33043</v>
      </c>
      <c r="F8782" t="s">
        <v>1258</v>
      </c>
      <c r="G8782" t="s">
        <v>81</v>
      </c>
      <c r="H8782">
        <v>32118</v>
      </c>
      <c r="I8782" t="s">
        <v>30</v>
      </c>
      <c r="J8782" t="s">
        <v>31</v>
      </c>
      <c r="K8782" t="s">
        <v>163</v>
      </c>
      <c r="N8782" t="s">
        <v>33044</v>
      </c>
      <c r="O8782" t="s">
        <v>33045</v>
      </c>
      <c r="Q8782">
        <v>0</v>
      </c>
      <c r="R8782">
        <v>99</v>
      </c>
      <c r="S8782">
        <v>0</v>
      </c>
      <c r="T8782" t="s">
        <v>33046</v>
      </c>
    </row>
    <row r="8783" spans="1:20" customFormat="1" ht="15" x14ac:dyDescent="0.25">
      <c r="A8783" t="s">
        <v>35</v>
      </c>
      <c r="B8783" t="s">
        <v>9206</v>
      </c>
      <c r="C8783" t="str">
        <f>"A0167307"</f>
        <v>A0167307</v>
      </c>
      <c r="D8783" t="s">
        <v>33047</v>
      </c>
      <c r="E8783" t="s">
        <v>33048</v>
      </c>
      <c r="F8783" t="s">
        <v>2748</v>
      </c>
      <c r="G8783" t="s">
        <v>65</v>
      </c>
      <c r="H8783">
        <v>43617</v>
      </c>
      <c r="I8783" t="s">
        <v>30</v>
      </c>
      <c r="J8783" t="s">
        <v>41</v>
      </c>
      <c r="K8783" t="s">
        <v>461</v>
      </c>
      <c r="Q8783">
        <v>0</v>
      </c>
      <c r="R8783">
        <v>32</v>
      </c>
      <c r="S8783">
        <v>32</v>
      </c>
      <c r="T8783" t="s">
        <v>33049</v>
      </c>
    </row>
    <row r="8784" spans="1:20" customFormat="1" ht="15" x14ac:dyDescent="0.25">
      <c r="A8784" t="s">
        <v>35</v>
      </c>
      <c r="B8784" t="s">
        <v>9206</v>
      </c>
      <c r="C8784" t="str">
        <f>"A0167306"</f>
        <v>A0167306</v>
      </c>
      <c r="D8784" t="s">
        <v>33050</v>
      </c>
      <c r="E8784" t="s">
        <v>33051</v>
      </c>
      <c r="F8784" t="s">
        <v>2748</v>
      </c>
      <c r="G8784" t="s">
        <v>65</v>
      </c>
      <c r="H8784">
        <v>43617</v>
      </c>
      <c r="I8784" t="s">
        <v>30</v>
      </c>
      <c r="J8784" t="s">
        <v>41</v>
      </c>
      <c r="K8784" t="s">
        <v>461</v>
      </c>
      <c r="Q8784">
        <v>0</v>
      </c>
      <c r="R8784">
        <v>44</v>
      </c>
      <c r="S8784">
        <v>44</v>
      </c>
      <c r="T8784" t="s">
        <v>33049</v>
      </c>
    </row>
    <row r="8785" spans="1:25" customFormat="1" ht="15" x14ac:dyDescent="0.25">
      <c r="A8785" t="s">
        <v>35</v>
      </c>
      <c r="B8785" t="s">
        <v>9206</v>
      </c>
      <c r="C8785" t="str">
        <f>"A0167305"</f>
        <v>A0167305</v>
      </c>
      <c r="D8785" t="s">
        <v>33052</v>
      </c>
      <c r="E8785" t="s">
        <v>33053</v>
      </c>
      <c r="F8785" t="s">
        <v>2748</v>
      </c>
      <c r="G8785" t="s">
        <v>65</v>
      </c>
      <c r="H8785">
        <v>43617</v>
      </c>
      <c r="I8785" t="s">
        <v>30</v>
      </c>
      <c r="J8785" t="s">
        <v>41</v>
      </c>
      <c r="K8785" t="s">
        <v>461</v>
      </c>
      <c r="Q8785">
        <v>0</v>
      </c>
      <c r="R8785">
        <v>101</v>
      </c>
      <c r="S8785">
        <v>101</v>
      </c>
      <c r="T8785" t="s">
        <v>33049</v>
      </c>
    </row>
    <row r="8786" spans="1:25" customFormat="1" ht="15" x14ac:dyDescent="0.25">
      <c r="A8786" t="s">
        <v>35</v>
      </c>
      <c r="B8786" t="s">
        <v>9206</v>
      </c>
      <c r="C8786" t="str">
        <f>"A0167303"</f>
        <v>A0167303</v>
      </c>
      <c r="D8786" t="s">
        <v>33054</v>
      </c>
      <c r="E8786" t="s">
        <v>33055</v>
      </c>
      <c r="F8786" t="s">
        <v>2748</v>
      </c>
      <c r="G8786" t="s">
        <v>65</v>
      </c>
      <c r="H8786">
        <v>43617</v>
      </c>
      <c r="I8786" t="s">
        <v>30</v>
      </c>
      <c r="J8786" t="s">
        <v>41</v>
      </c>
      <c r="K8786" t="s">
        <v>461</v>
      </c>
      <c r="Q8786">
        <v>0</v>
      </c>
      <c r="R8786">
        <v>0</v>
      </c>
      <c r="S8786">
        <v>0</v>
      </c>
      <c r="T8786" t="s">
        <v>33056</v>
      </c>
    </row>
    <row r="8787" spans="1:25" customFormat="1" ht="15" x14ac:dyDescent="0.25">
      <c r="A8787" t="s">
        <v>35</v>
      </c>
      <c r="B8787" t="s">
        <v>9206</v>
      </c>
      <c r="C8787" t="str">
        <f>"A0167309"</f>
        <v>A0167309</v>
      </c>
      <c r="D8787" t="s">
        <v>33057</v>
      </c>
      <c r="E8787" t="s">
        <v>33051</v>
      </c>
      <c r="F8787" t="s">
        <v>2748</v>
      </c>
      <c r="G8787" t="s">
        <v>65</v>
      </c>
      <c r="H8787">
        <v>43606</v>
      </c>
      <c r="I8787" t="s">
        <v>30</v>
      </c>
      <c r="J8787" t="s">
        <v>41</v>
      </c>
      <c r="K8787" t="s">
        <v>461</v>
      </c>
      <c r="Q8787">
        <v>0</v>
      </c>
      <c r="R8787">
        <v>22</v>
      </c>
      <c r="S8787">
        <v>22</v>
      </c>
      <c r="T8787" t="s">
        <v>33058</v>
      </c>
    </row>
    <row r="8788" spans="1:25" customFormat="1" ht="15" x14ac:dyDescent="0.25">
      <c r="A8788" t="s">
        <v>35</v>
      </c>
      <c r="B8788" t="s">
        <v>9206</v>
      </c>
      <c r="C8788" t="str">
        <f>"A0167308"</f>
        <v>A0167308</v>
      </c>
      <c r="D8788" t="s">
        <v>33059</v>
      </c>
      <c r="E8788" t="s">
        <v>33060</v>
      </c>
      <c r="F8788" t="s">
        <v>2748</v>
      </c>
      <c r="G8788" t="s">
        <v>65</v>
      </c>
      <c r="H8788">
        <v>43617</v>
      </c>
      <c r="I8788" t="s">
        <v>30</v>
      </c>
      <c r="J8788" t="s">
        <v>41</v>
      </c>
      <c r="K8788" t="s">
        <v>461</v>
      </c>
      <c r="Q8788">
        <v>0</v>
      </c>
      <c r="R8788">
        <v>22</v>
      </c>
      <c r="S8788">
        <v>22</v>
      </c>
      <c r="T8788" t="s">
        <v>33049</v>
      </c>
    </row>
    <row r="8789" spans="1:25" customFormat="1" ht="15" x14ac:dyDescent="0.25">
      <c r="A8789" t="s">
        <v>35</v>
      </c>
      <c r="B8789" t="s">
        <v>9206</v>
      </c>
      <c r="C8789" t="str">
        <f>"A0167304"</f>
        <v>A0167304</v>
      </c>
      <c r="D8789" t="s">
        <v>33061</v>
      </c>
      <c r="E8789" t="s">
        <v>33062</v>
      </c>
      <c r="F8789" t="s">
        <v>2748</v>
      </c>
      <c r="G8789" t="s">
        <v>65</v>
      </c>
      <c r="H8789">
        <v>43617</v>
      </c>
      <c r="I8789" t="s">
        <v>30</v>
      </c>
      <c r="J8789" t="s">
        <v>41</v>
      </c>
      <c r="K8789" t="s">
        <v>461</v>
      </c>
      <c r="Q8789">
        <v>0</v>
      </c>
      <c r="R8789">
        <v>44</v>
      </c>
      <c r="S8789">
        <v>44</v>
      </c>
      <c r="T8789" t="s">
        <v>33049</v>
      </c>
    </row>
    <row r="8790" spans="1:25" customFormat="1" ht="15" x14ac:dyDescent="0.25">
      <c r="A8790" t="s">
        <v>35</v>
      </c>
      <c r="B8790" t="s">
        <v>9206</v>
      </c>
      <c r="C8790" t="str">
        <f>"A0167302"</f>
        <v>A0167302</v>
      </c>
      <c r="D8790" t="s">
        <v>33063</v>
      </c>
      <c r="E8790" t="s">
        <v>33064</v>
      </c>
      <c r="F8790" t="s">
        <v>33065</v>
      </c>
      <c r="G8790" t="s">
        <v>65</v>
      </c>
      <c r="H8790">
        <v>43617</v>
      </c>
      <c r="I8790" t="s">
        <v>30</v>
      </c>
      <c r="J8790" t="s">
        <v>41</v>
      </c>
      <c r="K8790" t="s">
        <v>461</v>
      </c>
      <c r="Q8790">
        <v>0</v>
      </c>
      <c r="R8790">
        <v>56</v>
      </c>
      <c r="S8790">
        <v>56</v>
      </c>
      <c r="T8790" t="s">
        <v>33049</v>
      </c>
    </row>
    <row r="8791" spans="1:25" customFormat="1" ht="15" x14ac:dyDescent="0.25">
      <c r="A8791" t="s">
        <v>35</v>
      </c>
      <c r="B8791" t="s">
        <v>9206</v>
      </c>
      <c r="C8791" t="str">
        <f>"A0167301"</f>
        <v>A0167301</v>
      </c>
      <c r="D8791" t="s">
        <v>33066</v>
      </c>
      <c r="E8791" t="s">
        <v>33067</v>
      </c>
      <c r="F8791" t="s">
        <v>2748</v>
      </c>
      <c r="G8791" t="s">
        <v>65</v>
      </c>
      <c r="H8791">
        <v>43617</v>
      </c>
      <c r="I8791" t="s">
        <v>30</v>
      </c>
      <c r="J8791" t="s">
        <v>41</v>
      </c>
      <c r="K8791" t="s">
        <v>461</v>
      </c>
      <c r="Q8791">
        <v>0</v>
      </c>
      <c r="R8791">
        <v>0</v>
      </c>
      <c r="S8791">
        <v>0</v>
      </c>
      <c r="T8791" t="s">
        <v>33049</v>
      </c>
    </row>
    <row r="8792" spans="1:25" customFormat="1" ht="15" x14ac:dyDescent="0.25">
      <c r="A8792" t="s">
        <v>24</v>
      </c>
      <c r="B8792" t="s">
        <v>2380</v>
      </c>
      <c r="C8792" t="str">
        <f>"A0090266"</f>
        <v>A0090266</v>
      </c>
      <c r="D8792" t="s">
        <v>64149</v>
      </c>
      <c r="E8792" t="s">
        <v>64150</v>
      </c>
      <c r="F8792" t="s">
        <v>1889</v>
      </c>
      <c r="G8792" t="s">
        <v>81</v>
      </c>
      <c r="H8792">
        <v>33142</v>
      </c>
      <c r="I8792" t="s">
        <v>30</v>
      </c>
      <c r="J8792" t="s">
        <v>162</v>
      </c>
      <c r="K8792" t="s">
        <v>266</v>
      </c>
      <c r="N8792" t="s">
        <v>64151</v>
      </c>
      <c r="Q8792">
        <v>0</v>
      </c>
      <c r="R8792">
        <v>318</v>
      </c>
      <c r="S8792">
        <v>0</v>
      </c>
      <c r="T8792" t="s">
        <v>64152</v>
      </c>
    </row>
    <row r="8793" spans="1:25" customFormat="1" ht="15" x14ac:dyDescent="0.25">
      <c r="A8793" t="s">
        <v>24</v>
      </c>
      <c r="B8793" t="s">
        <v>33074</v>
      </c>
      <c r="C8793" t="str">
        <f>"A0075734"</f>
        <v>A0075734</v>
      </c>
      <c r="D8793" t="s">
        <v>33075</v>
      </c>
      <c r="E8793" t="s">
        <v>33076</v>
      </c>
      <c r="F8793" t="s">
        <v>7699</v>
      </c>
      <c r="G8793" t="s">
        <v>81</v>
      </c>
      <c r="H8793">
        <v>33762</v>
      </c>
      <c r="I8793" t="s">
        <v>30</v>
      </c>
      <c r="J8793" t="s">
        <v>31</v>
      </c>
      <c r="K8793" t="s">
        <v>255</v>
      </c>
      <c r="N8793" t="s">
        <v>33077</v>
      </c>
      <c r="Q8793">
        <v>0</v>
      </c>
      <c r="R8793">
        <v>79</v>
      </c>
      <c r="S8793">
        <v>0</v>
      </c>
      <c r="T8793" t="s">
        <v>33078</v>
      </c>
    </row>
    <row r="8794" spans="1:25" customFormat="1" ht="15" x14ac:dyDescent="0.25">
      <c r="A8794" t="s">
        <v>24</v>
      </c>
      <c r="B8794" t="s">
        <v>33079</v>
      </c>
      <c r="C8794" t="str">
        <f>"A0073360"</f>
        <v>A0073360</v>
      </c>
      <c r="D8794" t="s">
        <v>33080</v>
      </c>
      <c r="E8794" t="s">
        <v>33081</v>
      </c>
      <c r="F8794" t="s">
        <v>33082</v>
      </c>
      <c r="G8794" t="s">
        <v>381</v>
      </c>
      <c r="H8794">
        <v>46060</v>
      </c>
      <c r="I8794" t="s">
        <v>30</v>
      </c>
      <c r="J8794" t="s">
        <v>31</v>
      </c>
      <c r="K8794" t="s">
        <v>32</v>
      </c>
      <c r="N8794" t="s">
        <v>33083</v>
      </c>
      <c r="O8794" t="s">
        <v>33084</v>
      </c>
      <c r="Q8794">
        <v>0</v>
      </c>
      <c r="R8794">
        <v>59</v>
      </c>
      <c r="S8794">
        <v>0</v>
      </c>
      <c r="T8794" t="s">
        <v>33085</v>
      </c>
    </row>
    <row r="8795" spans="1:25" customFormat="1" ht="15" hidden="1" x14ac:dyDescent="0.25">
      <c r="A8795" t="s">
        <v>24</v>
      </c>
      <c r="B8795" t="s">
        <v>193</v>
      </c>
      <c r="C8795" t="str">
        <f>"A0094442"</f>
        <v>A0094442</v>
      </c>
      <c r="D8795" t="s">
        <v>33086</v>
      </c>
      <c r="E8795" t="s">
        <v>33087</v>
      </c>
      <c r="F8795" t="s">
        <v>15261</v>
      </c>
      <c r="G8795" t="s">
        <v>11118</v>
      </c>
      <c r="H8795" t="s">
        <v>33088</v>
      </c>
      <c r="I8795" t="s">
        <v>1459</v>
      </c>
      <c r="J8795" t="s">
        <v>31</v>
      </c>
      <c r="K8795" t="s">
        <v>282</v>
      </c>
      <c r="N8795" t="s">
        <v>33089</v>
      </c>
      <c r="O8795" t="s">
        <v>33090</v>
      </c>
      <c r="Q8795">
        <v>0</v>
      </c>
      <c r="R8795">
        <v>120</v>
      </c>
      <c r="S8795">
        <v>0</v>
      </c>
      <c r="T8795" t="s">
        <v>33091</v>
      </c>
    </row>
    <row r="8796" spans="1:25" customFormat="1" ht="15" x14ac:dyDescent="0.25">
      <c r="A8796" t="s">
        <v>24</v>
      </c>
      <c r="B8796" t="s">
        <v>193</v>
      </c>
      <c r="C8796" t="str">
        <f>"A0084353"</f>
        <v>A0084353</v>
      </c>
      <c r="D8796" t="s">
        <v>33092</v>
      </c>
      <c r="E8796" t="s">
        <v>33093</v>
      </c>
      <c r="F8796" t="s">
        <v>33094</v>
      </c>
      <c r="G8796" t="s">
        <v>289</v>
      </c>
      <c r="H8796">
        <v>60506</v>
      </c>
      <c r="I8796" t="s">
        <v>30</v>
      </c>
      <c r="J8796" t="s">
        <v>31</v>
      </c>
      <c r="K8796" t="s">
        <v>854</v>
      </c>
      <c r="N8796" t="s">
        <v>33095</v>
      </c>
      <c r="O8796" t="s">
        <v>33096</v>
      </c>
      <c r="Q8796">
        <v>0</v>
      </c>
      <c r="R8796">
        <v>82</v>
      </c>
      <c r="S8796">
        <v>0</v>
      </c>
      <c r="T8796" t="s">
        <v>33097</v>
      </c>
    </row>
    <row r="8797" spans="1:25" customFormat="1" ht="15" x14ac:dyDescent="0.25">
      <c r="A8797" t="s">
        <v>24</v>
      </c>
      <c r="B8797" t="s">
        <v>2380</v>
      </c>
      <c r="C8797" t="str">
        <f>"A0088430"</f>
        <v>A0088430</v>
      </c>
      <c r="D8797" t="s">
        <v>64153</v>
      </c>
      <c r="E8797" t="s">
        <v>64154</v>
      </c>
      <c r="F8797" t="s">
        <v>35211</v>
      </c>
      <c r="G8797" t="s">
        <v>110</v>
      </c>
      <c r="H8797">
        <v>95035</v>
      </c>
      <c r="I8797" t="s">
        <v>30</v>
      </c>
      <c r="J8797" t="s">
        <v>162</v>
      </c>
      <c r="K8797" t="s">
        <v>266</v>
      </c>
      <c r="N8797" t="s">
        <v>64155</v>
      </c>
      <c r="O8797" t="s">
        <v>64156</v>
      </c>
      <c r="Q8797">
        <v>0</v>
      </c>
      <c r="R8797">
        <v>266</v>
      </c>
      <c r="S8797">
        <v>0</v>
      </c>
      <c r="T8797" t="s">
        <v>64157</v>
      </c>
    </row>
    <row r="8798" spans="1:25" customFormat="1" ht="15" x14ac:dyDescent="0.25">
      <c r="A8798" t="s">
        <v>24</v>
      </c>
      <c r="B8798" t="s">
        <v>56277</v>
      </c>
      <c r="C8798" t="str">
        <f>"A0055760"</f>
        <v>A0055760</v>
      </c>
      <c r="D8798" t="s">
        <v>64158</v>
      </c>
      <c r="E8798" t="s">
        <v>64159</v>
      </c>
      <c r="F8798" t="s">
        <v>64160</v>
      </c>
      <c r="G8798" t="s">
        <v>110</v>
      </c>
      <c r="H8798">
        <v>93955</v>
      </c>
      <c r="I8798" t="s">
        <v>30</v>
      </c>
      <c r="J8798" t="s">
        <v>162</v>
      </c>
      <c r="K8798" t="s">
        <v>266</v>
      </c>
      <c r="N8798" t="s">
        <v>64161</v>
      </c>
      <c r="O8798" t="s">
        <v>64162</v>
      </c>
      <c r="Q8798">
        <v>0</v>
      </c>
      <c r="R8798">
        <v>225</v>
      </c>
      <c r="S8798">
        <v>0</v>
      </c>
      <c r="T8798" t="s">
        <v>64163</v>
      </c>
    </row>
    <row r="8799" spans="1:25" x14ac:dyDescent="0.25">
      <c r="A8799" s="5" t="s">
        <v>24</v>
      </c>
      <c r="B8799" s="5" t="s">
        <v>56277</v>
      </c>
      <c r="C8799" s="5" t="str">
        <f>"A0055802"</f>
        <v>A0055802</v>
      </c>
      <c r="D8799" s="5" t="s">
        <v>64164</v>
      </c>
      <c r="E8799" s="5" t="s">
        <v>64165</v>
      </c>
      <c r="F8799" s="5" t="s">
        <v>8562</v>
      </c>
      <c r="G8799" s="5" t="s">
        <v>1706</v>
      </c>
      <c r="H8799" s="5">
        <v>36104</v>
      </c>
      <c r="I8799" s="5" t="s">
        <v>30</v>
      </c>
      <c r="J8799" s="5" t="s">
        <v>162</v>
      </c>
      <c r="K8799" s="5" t="s">
        <v>266</v>
      </c>
      <c r="L8799" s="5"/>
      <c r="M8799" s="5"/>
      <c r="N8799" s="5" t="s">
        <v>64166</v>
      </c>
      <c r="O8799" s="5" t="s">
        <v>63935</v>
      </c>
      <c r="P8799" s="5"/>
      <c r="Q8799" s="5">
        <v>0</v>
      </c>
      <c r="R8799" s="5">
        <v>237</v>
      </c>
      <c r="S8799" s="5">
        <v>0</v>
      </c>
      <c r="T8799" s="5" t="s">
        <v>64167</v>
      </c>
      <c r="U8799" s="5"/>
      <c r="V8799" s="5"/>
      <c r="W8799" s="5"/>
      <c r="X8799" s="5"/>
      <c r="Y8799" s="5"/>
    </row>
    <row r="8800" spans="1:25" customFormat="1" ht="15" x14ac:dyDescent="0.25">
      <c r="A8800" t="s">
        <v>35</v>
      </c>
      <c r="B8800" t="s">
        <v>33109</v>
      </c>
      <c r="C8800" t="str">
        <f>"A0180563"</f>
        <v>A0180563</v>
      </c>
      <c r="D8800" t="s">
        <v>33110</v>
      </c>
      <c r="E8800" t="s">
        <v>33111</v>
      </c>
      <c r="F8800" t="s">
        <v>1731</v>
      </c>
      <c r="G8800" t="s">
        <v>52</v>
      </c>
      <c r="H8800">
        <v>75231</v>
      </c>
      <c r="I8800" t="s">
        <v>30</v>
      </c>
      <c r="J8800" t="s">
        <v>41</v>
      </c>
      <c r="K8800" t="s">
        <v>59</v>
      </c>
      <c r="Q8800">
        <v>0</v>
      </c>
      <c r="R8800">
        <v>100</v>
      </c>
      <c r="S8800">
        <v>100</v>
      </c>
      <c r="T8800" t="s">
        <v>33112</v>
      </c>
    </row>
    <row r="8801" spans="1:20" customFormat="1" ht="15" x14ac:dyDescent="0.25">
      <c r="A8801" t="s">
        <v>35</v>
      </c>
      <c r="B8801" t="s">
        <v>1918</v>
      </c>
      <c r="C8801" t="str">
        <f>"A0180562"</f>
        <v>A0180562</v>
      </c>
      <c r="D8801" t="s">
        <v>33113</v>
      </c>
      <c r="E8801" t="s">
        <v>33114</v>
      </c>
      <c r="F8801" t="s">
        <v>9628</v>
      </c>
      <c r="G8801" t="s">
        <v>81</v>
      </c>
      <c r="H8801">
        <v>32931</v>
      </c>
      <c r="I8801" t="s">
        <v>30</v>
      </c>
      <c r="J8801" t="s">
        <v>441</v>
      </c>
      <c r="K8801" t="s">
        <v>442</v>
      </c>
      <c r="Q8801">
        <v>0</v>
      </c>
      <c r="R8801">
        <v>0</v>
      </c>
      <c r="S8801">
        <v>0</v>
      </c>
      <c r="T8801" t="s">
        <v>33115</v>
      </c>
    </row>
    <row r="8802" spans="1:20" customFormat="1" ht="15" x14ac:dyDescent="0.25">
      <c r="A8802" t="s">
        <v>35</v>
      </c>
      <c r="B8802" t="s">
        <v>61</v>
      </c>
      <c r="C8802" t="str">
        <f>"A0180561"</f>
        <v>A0180561</v>
      </c>
      <c r="D8802" t="s">
        <v>33116</v>
      </c>
      <c r="E8802" t="s">
        <v>33117</v>
      </c>
      <c r="F8802" t="s">
        <v>13575</v>
      </c>
      <c r="G8802" t="s">
        <v>65</v>
      </c>
      <c r="H8802">
        <v>45322</v>
      </c>
      <c r="I8802" t="s">
        <v>30</v>
      </c>
      <c r="J8802" t="s">
        <v>41</v>
      </c>
      <c r="K8802" t="s">
        <v>2477</v>
      </c>
      <c r="Q8802">
        <v>0</v>
      </c>
      <c r="R8802">
        <v>0</v>
      </c>
      <c r="S8802">
        <v>0</v>
      </c>
      <c r="T8802" t="s">
        <v>33118</v>
      </c>
    </row>
    <row r="8803" spans="1:20" customFormat="1" ht="15" x14ac:dyDescent="0.25">
      <c r="A8803" t="s">
        <v>35</v>
      </c>
      <c r="B8803" t="s">
        <v>33119</v>
      </c>
      <c r="C8803" t="str">
        <f>"A0180560"</f>
        <v>A0180560</v>
      </c>
      <c r="D8803" t="s">
        <v>33120</v>
      </c>
      <c r="E8803" t="s">
        <v>33121</v>
      </c>
      <c r="F8803" t="s">
        <v>10821</v>
      </c>
      <c r="G8803" t="s">
        <v>137</v>
      </c>
      <c r="H8803">
        <v>64501</v>
      </c>
      <c r="I8803" t="s">
        <v>30</v>
      </c>
      <c r="J8803" t="s">
        <v>41</v>
      </c>
      <c r="K8803" t="s">
        <v>2463</v>
      </c>
      <c r="Q8803">
        <v>0</v>
      </c>
      <c r="R8803">
        <v>0</v>
      </c>
      <c r="S8803">
        <v>0</v>
      </c>
      <c r="T8803" t="s">
        <v>33122</v>
      </c>
    </row>
    <row r="8804" spans="1:20" customFormat="1" ht="15" x14ac:dyDescent="0.25">
      <c r="A8804" t="s">
        <v>35</v>
      </c>
      <c r="B8804" t="s">
        <v>61</v>
      </c>
      <c r="C8804" t="str">
        <f>"A0180559"</f>
        <v>A0180559</v>
      </c>
      <c r="D8804" t="s">
        <v>33123</v>
      </c>
      <c r="E8804" t="s">
        <v>33124</v>
      </c>
      <c r="F8804" t="s">
        <v>33125</v>
      </c>
      <c r="G8804" t="s">
        <v>190</v>
      </c>
      <c r="H8804">
        <v>80829</v>
      </c>
      <c r="I8804" t="s">
        <v>30</v>
      </c>
      <c r="J8804" t="s">
        <v>41</v>
      </c>
      <c r="K8804" t="s">
        <v>4317</v>
      </c>
      <c r="Q8804">
        <v>0</v>
      </c>
      <c r="R8804">
        <v>0</v>
      </c>
      <c r="S8804">
        <v>0</v>
      </c>
      <c r="T8804" t="s">
        <v>33126</v>
      </c>
    </row>
    <row r="8805" spans="1:20" customFormat="1" ht="15" x14ac:dyDescent="0.25">
      <c r="A8805" t="s">
        <v>35</v>
      </c>
      <c r="B8805" t="s">
        <v>9206</v>
      </c>
      <c r="C8805" t="str">
        <f>"A0180558"</f>
        <v>A0180558</v>
      </c>
      <c r="D8805" t="s">
        <v>33127</v>
      </c>
      <c r="E8805" t="s">
        <v>33128</v>
      </c>
      <c r="F8805" t="s">
        <v>14745</v>
      </c>
      <c r="G8805" t="s">
        <v>1363</v>
      </c>
      <c r="H8805">
        <v>3301</v>
      </c>
      <c r="I8805" t="s">
        <v>30</v>
      </c>
      <c r="J8805" t="s">
        <v>41</v>
      </c>
      <c r="K8805" t="s">
        <v>461</v>
      </c>
      <c r="Q8805">
        <v>0</v>
      </c>
      <c r="R8805">
        <v>0</v>
      </c>
      <c r="S8805">
        <v>0</v>
      </c>
      <c r="T8805" t="s">
        <v>72</v>
      </c>
    </row>
    <row r="8806" spans="1:20" customFormat="1" ht="15" x14ac:dyDescent="0.25">
      <c r="A8806" t="s">
        <v>35</v>
      </c>
      <c r="B8806" t="s">
        <v>9206</v>
      </c>
      <c r="C8806" t="str">
        <f>"A0180557"</f>
        <v>A0180557</v>
      </c>
      <c r="D8806" t="s">
        <v>33129</v>
      </c>
      <c r="E8806" t="s">
        <v>33130</v>
      </c>
      <c r="F8806" t="s">
        <v>531</v>
      </c>
      <c r="G8806" t="s">
        <v>1363</v>
      </c>
      <c r="H8806">
        <v>3820</v>
      </c>
      <c r="I8806" t="s">
        <v>30</v>
      </c>
      <c r="J8806" t="s">
        <v>41</v>
      </c>
      <c r="K8806" t="s">
        <v>461</v>
      </c>
      <c r="Q8806">
        <v>0</v>
      </c>
      <c r="R8806">
        <v>0</v>
      </c>
      <c r="S8806">
        <v>0</v>
      </c>
      <c r="T8806" t="s">
        <v>72</v>
      </c>
    </row>
    <row r="8807" spans="1:20" customFormat="1" ht="15" x14ac:dyDescent="0.25">
      <c r="A8807" t="s">
        <v>35</v>
      </c>
      <c r="B8807" t="s">
        <v>61</v>
      </c>
      <c r="C8807" t="str">
        <f>"A0180556"</f>
        <v>A0180556</v>
      </c>
      <c r="D8807" t="s">
        <v>33131</v>
      </c>
      <c r="E8807" t="s">
        <v>33132</v>
      </c>
      <c r="F8807" t="s">
        <v>1770</v>
      </c>
      <c r="G8807" t="s">
        <v>65</v>
      </c>
      <c r="H8807">
        <v>43402</v>
      </c>
      <c r="I8807" t="s">
        <v>30</v>
      </c>
      <c r="J8807" t="s">
        <v>41</v>
      </c>
      <c r="K8807" t="s">
        <v>131</v>
      </c>
      <c r="Q8807">
        <v>0</v>
      </c>
      <c r="R8807">
        <v>0</v>
      </c>
      <c r="S8807">
        <v>0</v>
      </c>
      <c r="T8807" t="s">
        <v>33133</v>
      </c>
    </row>
    <row r="8808" spans="1:20" customFormat="1" ht="15" x14ac:dyDescent="0.25">
      <c r="A8808" t="s">
        <v>35</v>
      </c>
      <c r="B8808" t="s">
        <v>61</v>
      </c>
      <c r="C8808" t="str">
        <f>"A0180555"</f>
        <v>A0180555</v>
      </c>
      <c r="D8808" t="s">
        <v>33134</v>
      </c>
      <c r="E8808" t="s">
        <v>33135</v>
      </c>
      <c r="F8808" t="s">
        <v>33136</v>
      </c>
      <c r="G8808" t="s">
        <v>65</v>
      </c>
      <c r="H8808">
        <v>45066</v>
      </c>
      <c r="I8808" t="s">
        <v>30</v>
      </c>
      <c r="J8808" t="s">
        <v>41</v>
      </c>
      <c r="K8808" t="s">
        <v>391</v>
      </c>
      <c r="Q8808">
        <v>0</v>
      </c>
      <c r="R8808">
        <v>0</v>
      </c>
      <c r="S8808">
        <v>0</v>
      </c>
      <c r="T8808" t="s">
        <v>33137</v>
      </c>
    </row>
    <row r="8809" spans="1:20" customFormat="1" ht="15" x14ac:dyDescent="0.25">
      <c r="A8809" t="s">
        <v>35</v>
      </c>
      <c r="B8809" t="s">
        <v>61</v>
      </c>
      <c r="C8809" t="str">
        <f>"A0180554"</f>
        <v>A0180554</v>
      </c>
      <c r="D8809" t="s">
        <v>33138</v>
      </c>
      <c r="E8809" t="s">
        <v>33139</v>
      </c>
      <c r="F8809" t="s">
        <v>130</v>
      </c>
      <c r="G8809" t="s">
        <v>40</v>
      </c>
      <c r="H8809">
        <v>73701</v>
      </c>
      <c r="I8809" t="s">
        <v>30</v>
      </c>
      <c r="J8809" t="s">
        <v>41</v>
      </c>
      <c r="K8809" t="s">
        <v>9463</v>
      </c>
      <c r="Q8809">
        <v>0</v>
      </c>
      <c r="R8809">
        <v>204</v>
      </c>
      <c r="S8809">
        <v>204</v>
      </c>
      <c r="T8809" t="s">
        <v>33140</v>
      </c>
    </row>
    <row r="8810" spans="1:20" customFormat="1" ht="15" x14ac:dyDescent="0.25">
      <c r="A8810" t="s">
        <v>35</v>
      </c>
      <c r="B8810" t="s">
        <v>7943</v>
      </c>
      <c r="C8810" t="str">
        <f>"A0180553"</f>
        <v>A0180553</v>
      </c>
      <c r="D8810" t="s">
        <v>33141</v>
      </c>
      <c r="E8810" t="s">
        <v>33142</v>
      </c>
      <c r="F8810" t="s">
        <v>2994</v>
      </c>
      <c r="G8810" t="s">
        <v>103</v>
      </c>
      <c r="H8810">
        <v>19610</v>
      </c>
      <c r="I8810" t="s">
        <v>30</v>
      </c>
      <c r="J8810" t="s">
        <v>41</v>
      </c>
      <c r="K8810" t="s">
        <v>290</v>
      </c>
      <c r="Q8810">
        <v>0</v>
      </c>
      <c r="R8810">
        <v>0</v>
      </c>
      <c r="S8810">
        <v>0</v>
      </c>
      <c r="T8810" t="s">
        <v>33143</v>
      </c>
    </row>
    <row r="8811" spans="1:20" customFormat="1" ht="15" x14ac:dyDescent="0.25">
      <c r="A8811" t="s">
        <v>35</v>
      </c>
      <c r="B8811" t="s">
        <v>33144</v>
      </c>
      <c r="C8811" t="str">
        <f>"A0180552"</f>
        <v>A0180552</v>
      </c>
      <c r="D8811" t="s">
        <v>33144</v>
      </c>
      <c r="E8811" t="s">
        <v>33145</v>
      </c>
      <c r="F8811" t="s">
        <v>4269</v>
      </c>
      <c r="G8811" t="s">
        <v>99</v>
      </c>
      <c r="H8811">
        <v>11232</v>
      </c>
      <c r="I8811" t="s">
        <v>30</v>
      </c>
      <c r="J8811" t="s">
        <v>41</v>
      </c>
      <c r="K8811" t="s">
        <v>290</v>
      </c>
      <c r="Q8811">
        <v>0</v>
      </c>
      <c r="R8811">
        <v>0</v>
      </c>
      <c r="S8811">
        <v>0</v>
      </c>
      <c r="T8811" t="s">
        <v>72</v>
      </c>
    </row>
    <row r="8812" spans="1:20" customFormat="1" ht="15" x14ac:dyDescent="0.25">
      <c r="A8812" t="s">
        <v>35</v>
      </c>
      <c r="B8812" t="s">
        <v>33146</v>
      </c>
      <c r="C8812" t="str">
        <f>"A0180551"</f>
        <v>A0180551</v>
      </c>
      <c r="D8812" t="s">
        <v>33146</v>
      </c>
      <c r="E8812" t="s">
        <v>33147</v>
      </c>
      <c r="F8812" t="s">
        <v>3315</v>
      </c>
      <c r="G8812" t="s">
        <v>214</v>
      </c>
      <c r="H8812">
        <v>27513</v>
      </c>
      <c r="I8812" t="s">
        <v>30</v>
      </c>
      <c r="J8812" t="s">
        <v>41</v>
      </c>
      <c r="K8812" t="s">
        <v>290</v>
      </c>
      <c r="Q8812">
        <v>0</v>
      </c>
      <c r="R8812">
        <v>0</v>
      </c>
      <c r="S8812">
        <v>0</v>
      </c>
      <c r="T8812" t="s">
        <v>33148</v>
      </c>
    </row>
    <row r="8813" spans="1:20" customFormat="1" ht="15" x14ac:dyDescent="0.25">
      <c r="A8813" t="s">
        <v>35</v>
      </c>
      <c r="B8813" t="s">
        <v>36</v>
      </c>
      <c r="C8813" t="str">
        <f>"A0180550"</f>
        <v>A0180550</v>
      </c>
      <c r="D8813" t="s">
        <v>33149</v>
      </c>
      <c r="E8813" t="s">
        <v>33150</v>
      </c>
      <c r="F8813" t="s">
        <v>21673</v>
      </c>
      <c r="G8813" t="s">
        <v>52</v>
      </c>
      <c r="H8813">
        <v>78681</v>
      </c>
      <c r="I8813" t="s">
        <v>30</v>
      </c>
      <c r="J8813" t="s">
        <v>41</v>
      </c>
      <c r="K8813" t="s">
        <v>42</v>
      </c>
      <c r="Q8813">
        <v>0</v>
      </c>
      <c r="R8813">
        <v>0</v>
      </c>
      <c r="S8813">
        <v>0</v>
      </c>
      <c r="T8813" t="s">
        <v>33151</v>
      </c>
    </row>
    <row r="8814" spans="1:20" customFormat="1" ht="15" x14ac:dyDescent="0.25">
      <c r="A8814" t="s">
        <v>35</v>
      </c>
      <c r="B8814" t="s">
        <v>36</v>
      </c>
      <c r="C8814" t="str">
        <f>"A0180549"</f>
        <v>A0180549</v>
      </c>
      <c r="D8814" t="s">
        <v>33152</v>
      </c>
      <c r="E8814" t="s">
        <v>33153</v>
      </c>
      <c r="F8814" t="s">
        <v>33154</v>
      </c>
      <c r="G8814" t="s">
        <v>123</v>
      </c>
      <c r="H8814">
        <v>21921</v>
      </c>
      <c r="I8814" t="s">
        <v>30</v>
      </c>
      <c r="J8814" t="s">
        <v>41</v>
      </c>
      <c r="K8814" t="s">
        <v>42</v>
      </c>
      <c r="Q8814">
        <v>0</v>
      </c>
      <c r="R8814">
        <v>0</v>
      </c>
      <c r="S8814">
        <v>0</v>
      </c>
      <c r="T8814" t="s">
        <v>33155</v>
      </c>
    </row>
    <row r="8815" spans="1:20" customFormat="1" ht="15" x14ac:dyDescent="0.25">
      <c r="A8815" t="s">
        <v>35</v>
      </c>
      <c r="B8815" t="s">
        <v>36</v>
      </c>
      <c r="C8815" t="str">
        <f>"A0180548"</f>
        <v>A0180548</v>
      </c>
      <c r="D8815" t="s">
        <v>33156</v>
      </c>
      <c r="E8815" t="s">
        <v>33157</v>
      </c>
      <c r="F8815" t="s">
        <v>6310</v>
      </c>
      <c r="G8815" t="s">
        <v>90</v>
      </c>
      <c r="H8815">
        <v>2806</v>
      </c>
      <c r="I8815" t="s">
        <v>30</v>
      </c>
      <c r="J8815" t="s">
        <v>41</v>
      </c>
      <c r="K8815" t="s">
        <v>42</v>
      </c>
      <c r="Q8815">
        <v>0</v>
      </c>
      <c r="R8815">
        <v>0</v>
      </c>
      <c r="S8815">
        <v>0</v>
      </c>
      <c r="T8815" t="s">
        <v>33158</v>
      </c>
    </row>
    <row r="8816" spans="1:20" customFormat="1" ht="15" x14ac:dyDescent="0.25">
      <c r="A8816" t="s">
        <v>35</v>
      </c>
      <c r="B8816" t="s">
        <v>36</v>
      </c>
      <c r="C8816" t="str">
        <f>"A0180547"</f>
        <v>A0180547</v>
      </c>
      <c r="D8816" t="s">
        <v>33159</v>
      </c>
      <c r="E8816" t="s">
        <v>33160</v>
      </c>
      <c r="F8816" t="s">
        <v>8198</v>
      </c>
      <c r="G8816" t="s">
        <v>214</v>
      </c>
      <c r="H8816">
        <v>28805</v>
      </c>
      <c r="I8816" t="s">
        <v>30</v>
      </c>
      <c r="J8816" t="s">
        <v>41</v>
      </c>
      <c r="K8816" t="s">
        <v>42</v>
      </c>
      <c r="Q8816">
        <v>0</v>
      </c>
      <c r="R8816">
        <v>0</v>
      </c>
      <c r="S8816">
        <v>0</v>
      </c>
      <c r="T8816" t="s">
        <v>33161</v>
      </c>
    </row>
    <row r="8817" spans="1:20" customFormat="1" ht="15" x14ac:dyDescent="0.25">
      <c r="A8817" t="s">
        <v>35</v>
      </c>
      <c r="B8817" t="s">
        <v>36</v>
      </c>
      <c r="C8817" t="str">
        <f>"A0180546"</f>
        <v>A0180546</v>
      </c>
      <c r="D8817" t="s">
        <v>33162</v>
      </c>
      <c r="E8817" t="s">
        <v>33163</v>
      </c>
      <c r="F8817" t="s">
        <v>30357</v>
      </c>
      <c r="G8817" t="s">
        <v>880</v>
      </c>
      <c r="H8817">
        <v>37167</v>
      </c>
      <c r="I8817" t="s">
        <v>30</v>
      </c>
      <c r="J8817" t="s">
        <v>41</v>
      </c>
      <c r="K8817" t="s">
        <v>42</v>
      </c>
      <c r="Q8817">
        <v>0</v>
      </c>
      <c r="R8817">
        <v>0</v>
      </c>
      <c r="S8817">
        <v>0</v>
      </c>
      <c r="T8817" t="s">
        <v>33164</v>
      </c>
    </row>
    <row r="8818" spans="1:20" customFormat="1" ht="15" x14ac:dyDescent="0.25">
      <c r="A8818" t="s">
        <v>35</v>
      </c>
      <c r="B8818" t="s">
        <v>33109</v>
      </c>
      <c r="C8818" t="str">
        <f>"A0180545"</f>
        <v>A0180545</v>
      </c>
      <c r="D8818" t="s">
        <v>33165</v>
      </c>
      <c r="E8818" t="s">
        <v>33166</v>
      </c>
      <c r="F8818" t="s">
        <v>1731</v>
      </c>
      <c r="G8818" t="s">
        <v>52</v>
      </c>
      <c r="H8818">
        <v>75231</v>
      </c>
      <c r="I8818" t="s">
        <v>30</v>
      </c>
      <c r="J8818" t="s">
        <v>41</v>
      </c>
      <c r="K8818" t="s">
        <v>482</v>
      </c>
      <c r="Q8818">
        <v>0</v>
      </c>
      <c r="R8818">
        <v>100</v>
      </c>
      <c r="S8818">
        <v>100</v>
      </c>
      <c r="T8818" t="s">
        <v>33167</v>
      </c>
    </row>
    <row r="8819" spans="1:20" customFormat="1" ht="15" x14ac:dyDescent="0.25">
      <c r="A8819" t="s">
        <v>24</v>
      </c>
      <c r="B8819" t="s">
        <v>33168</v>
      </c>
      <c r="C8819" t="str">
        <f>"A0180365"</f>
        <v>A0180365</v>
      </c>
      <c r="D8819" t="s">
        <v>33169</v>
      </c>
      <c r="E8819" t="s">
        <v>33170</v>
      </c>
      <c r="F8819" t="s">
        <v>33171</v>
      </c>
      <c r="G8819" t="s">
        <v>52</v>
      </c>
      <c r="H8819">
        <v>79735</v>
      </c>
      <c r="I8819" t="s">
        <v>30</v>
      </c>
      <c r="J8819" t="s">
        <v>145</v>
      </c>
      <c r="K8819" t="s">
        <v>1353</v>
      </c>
      <c r="N8819" t="s">
        <v>33172</v>
      </c>
      <c r="Q8819">
        <v>0</v>
      </c>
      <c r="R8819">
        <v>95</v>
      </c>
      <c r="S8819">
        <v>0</v>
      </c>
      <c r="T8819" t="s">
        <v>33173</v>
      </c>
    </row>
    <row r="8820" spans="1:20" customFormat="1" ht="15" x14ac:dyDescent="0.25">
      <c r="A8820" t="s">
        <v>24</v>
      </c>
      <c r="B8820" t="s">
        <v>13730</v>
      </c>
      <c r="C8820" t="str">
        <f>"A0085012"</f>
        <v>A0085012</v>
      </c>
      <c r="D8820" t="s">
        <v>64168</v>
      </c>
      <c r="E8820" t="s">
        <v>64169</v>
      </c>
      <c r="F8820" t="s">
        <v>1420</v>
      </c>
      <c r="G8820" t="s">
        <v>880</v>
      </c>
      <c r="H8820">
        <v>37214</v>
      </c>
      <c r="I8820" t="s">
        <v>30</v>
      </c>
      <c r="J8820" t="s">
        <v>162</v>
      </c>
      <c r="K8820" t="s">
        <v>266</v>
      </c>
      <c r="N8820" t="s">
        <v>64170</v>
      </c>
      <c r="O8820" t="s">
        <v>64171</v>
      </c>
      <c r="Q8820">
        <v>0</v>
      </c>
      <c r="R8820">
        <v>296</v>
      </c>
      <c r="S8820">
        <v>0</v>
      </c>
      <c r="T8820" t="s">
        <v>64172</v>
      </c>
    </row>
    <row r="8821" spans="1:20" customFormat="1" ht="15" x14ac:dyDescent="0.25">
      <c r="A8821" t="s">
        <v>24</v>
      </c>
      <c r="B8821" t="s">
        <v>56277</v>
      </c>
      <c r="C8821" t="str">
        <f>"A0087898"</f>
        <v>A0087898</v>
      </c>
      <c r="D8821" t="s">
        <v>64173</v>
      </c>
      <c r="E8821" t="s">
        <v>64174</v>
      </c>
      <c r="F8821" t="s">
        <v>12806</v>
      </c>
      <c r="G8821" t="s">
        <v>880</v>
      </c>
      <c r="H8821">
        <v>37129</v>
      </c>
      <c r="I8821" t="s">
        <v>30</v>
      </c>
      <c r="J8821" t="s">
        <v>162</v>
      </c>
      <c r="K8821" t="s">
        <v>266</v>
      </c>
      <c r="N8821" t="s">
        <v>63400</v>
      </c>
      <c r="Q8821">
        <v>0</v>
      </c>
      <c r="R8821">
        <v>220</v>
      </c>
      <c r="S8821">
        <v>0</v>
      </c>
      <c r="T8821" t="s">
        <v>64175</v>
      </c>
    </row>
    <row r="8822" spans="1:20" customFormat="1" ht="15" x14ac:dyDescent="0.25">
      <c r="A8822" t="s">
        <v>24</v>
      </c>
      <c r="B8822" t="s">
        <v>33168</v>
      </c>
      <c r="C8822" t="str">
        <f>"A0055927"</f>
        <v>A0055927</v>
      </c>
      <c r="D8822" t="s">
        <v>33183</v>
      </c>
      <c r="E8822" t="s">
        <v>33184</v>
      </c>
      <c r="F8822" t="s">
        <v>33171</v>
      </c>
      <c r="G8822" t="s">
        <v>52</v>
      </c>
      <c r="H8822">
        <v>79735</v>
      </c>
      <c r="I8822" t="s">
        <v>30</v>
      </c>
      <c r="J8822" t="s">
        <v>31</v>
      </c>
      <c r="K8822" t="s">
        <v>321</v>
      </c>
      <c r="N8822" t="s">
        <v>33185</v>
      </c>
      <c r="Q8822">
        <v>0</v>
      </c>
      <c r="R8822">
        <v>83</v>
      </c>
      <c r="S8822">
        <v>0</v>
      </c>
      <c r="T8822" t="s">
        <v>33186</v>
      </c>
    </row>
    <row r="8823" spans="1:20" customFormat="1" ht="15" x14ac:dyDescent="0.25">
      <c r="A8823" t="s">
        <v>24</v>
      </c>
      <c r="B8823" t="s">
        <v>33168</v>
      </c>
      <c r="C8823" t="str">
        <f>"A0180371"</f>
        <v>A0180371</v>
      </c>
      <c r="D8823" t="s">
        <v>33187</v>
      </c>
      <c r="E8823" t="s">
        <v>33188</v>
      </c>
      <c r="F8823" t="s">
        <v>2856</v>
      </c>
      <c r="G8823" t="s">
        <v>52</v>
      </c>
      <c r="H8823">
        <v>79938</v>
      </c>
      <c r="I8823" t="s">
        <v>30</v>
      </c>
      <c r="J8823" t="s">
        <v>31</v>
      </c>
      <c r="K8823" t="s">
        <v>321</v>
      </c>
      <c r="N8823" t="s">
        <v>33189</v>
      </c>
      <c r="Q8823">
        <v>0</v>
      </c>
      <c r="R8823">
        <v>83</v>
      </c>
      <c r="S8823">
        <v>0</v>
      </c>
      <c r="T8823" t="s">
        <v>33190</v>
      </c>
    </row>
    <row r="8824" spans="1:20" customFormat="1" ht="15" x14ac:dyDescent="0.25">
      <c r="A8824" t="s">
        <v>24</v>
      </c>
      <c r="B8824" t="s">
        <v>33168</v>
      </c>
      <c r="C8824" t="str">
        <f>"A0180369"</f>
        <v>A0180369</v>
      </c>
      <c r="D8824" t="s">
        <v>33191</v>
      </c>
      <c r="E8824" t="s">
        <v>33192</v>
      </c>
      <c r="F8824" t="s">
        <v>33193</v>
      </c>
      <c r="G8824" t="s">
        <v>1587</v>
      </c>
      <c r="H8824">
        <v>88346</v>
      </c>
      <c r="I8824" t="s">
        <v>30</v>
      </c>
      <c r="J8824" t="s">
        <v>145</v>
      </c>
      <c r="K8824" t="s">
        <v>1185</v>
      </c>
      <c r="N8824" t="s">
        <v>33194</v>
      </c>
      <c r="Q8824">
        <v>0</v>
      </c>
      <c r="R8824">
        <v>49</v>
      </c>
      <c r="S8824">
        <v>0</v>
      </c>
      <c r="T8824" t="s">
        <v>33195</v>
      </c>
    </row>
    <row r="8825" spans="1:20" customFormat="1" ht="15" x14ac:dyDescent="0.25">
      <c r="A8825" t="s">
        <v>24</v>
      </c>
      <c r="B8825" t="s">
        <v>33168</v>
      </c>
      <c r="C8825" t="str">
        <f>"A0180368"</f>
        <v>A0180368</v>
      </c>
      <c r="D8825" t="s">
        <v>33196</v>
      </c>
      <c r="E8825" t="s">
        <v>33197</v>
      </c>
      <c r="F8825" t="s">
        <v>33198</v>
      </c>
      <c r="G8825" t="s">
        <v>52</v>
      </c>
      <c r="H8825">
        <v>79734</v>
      </c>
      <c r="I8825" t="s">
        <v>30</v>
      </c>
      <c r="J8825" t="s">
        <v>145</v>
      </c>
      <c r="K8825" t="s">
        <v>163</v>
      </c>
      <c r="N8825" t="s">
        <v>33199</v>
      </c>
      <c r="Q8825">
        <v>0</v>
      </c>
      <c r="R8825">
        <v>48</v>
      </c>
      <c r="S8825">
        <v>0</v>
      </c>
      <c r="T8825" t="s">
        <v>33200</v>
      </c>
    </row>
    <row r="8826" spans="1:20" customFormat="1" ht="15" x14ac:dyDescent="0.25">
      <c r="A8826" t="s">
        <v>24</v>
      </c>
      <c r="B8826" t="s">
        <v>56277</v>
      </c>
      <c r="C8826" t="str">
        <f>"A0055850"</f>
        <v>A0055850</v>
      </c>
      <c r="D8826" t="s">
        <v>64176</v>
      </c>
      <c r="E8826" t="s">
        <v>64177</v>
      </c>
      <c r="F8826" t="s">
        <v>7921</v>
      </c>
      <c r="G8826" t="s">
        <v>880</v>
      </c>
      <c r="H8826">
        <v>37067</v>
      </c>
      <c r="I8826" t="s">
        <v>30</v>
      </c>
      <c r="J8826" t="s">
        <v>162</v>
      </c>
      <c r="K8826" t="s">
        <v>266</v>
      </c>
      <c r="N8826" t="s">
        <v>64178</v>
      </c>
      <c r="O8826" t="s">
        <v>64179</v>
      </c>
      <c r="Q8826">
        <v>0</v>
      </c>
      <c r="R8826">
        <v>250</v>
      </c>
      <c r="S8826">
        <v>0</v>
      </c>
      <c r="T8826" t="s">
        <v>64180</v>
      </c>
    </row>
    <row r="8827" spans="1:20" customFormat="1" ht="15" x14ac:dyDescent="0.25">
      <c r="A8827" t="s">
        <v>24</v>
      </c>
      <c r="B8827" t="s">
        <v>33426</v>
      </c>
      <c r="C8827" t="str">
        <f>"A0085941"</f>
        <v>A0085941</v>
      </c>
      <c r="D8827" t="s">
        <v>64181</v>
      </c>
      <c r="E8827" t="s">
        <v>64182</v>
      </c>
      <c r="F8827" t="s">
        <v>2971</v>
      </c>
      <c r="G8827" t="s">
        <v>880</v>
      </c>
      <c r="H8827">
        <v>37203</v>
      </c>
      <c r="I8827" t="s">
        <v>30</v>
      </c>
      <c r="J8827" t="s">
        <v>162</v>
      </c>
      <c r="K8827" t="s">
        <v>266</v>
      </c>
      <c r="Q8827">
        <v>0</v>
      </c>
      <c r="R8827">
        <v>208</v>
      </c>
      <c r="S8827">
        <v>0</v>
      </c>
      <c r="T8827" t="s">
        <v>64183</v>
      </c>
    </row>
    <row r="8828" spans="1:20" customFormat="1" ht="15" x14ac:dyDescent="0.25">
      <c r="A8828" t="s">
        <v>24</v>
      </c>
      <c r="B8828" t="s">
        <v>8579</v>
      </c>
      <c r="C8828" t="str">
        <f>"A0088726"</f>
        <v>A0088726</v>
      </c>
      <c r="D8828" t="s">
        <v>64184</v>
      </c>
      <c r="E8828" t="s">
        <v>64185</v>
      </c>
      <c r="F8828" t="s">
        <v>2069</v>
      </c>
      <c r="G8828" t="s">
        <v>1170</v>
      </c>
      <c r="H8828">
        <v>70130</v>
      </c>
      <c r="I8828" t="s">
        <v>30</v>
      </c>
      <c r="J8828" t="s">
        <v>162</v>
      </c>
      <c r="K8828" t="s">
        <v>266</v>
      </c>
      <c r="N8828" t="s">
        <v>64186</v>
      </c>
      <c r="O8828" t="s">
        <v>64187</v>
      </c>
      <c r="Q8828">
        <v>0</v>
      </c>
      <c r="R8828">
        <v>370</v>
      </c>
      <c r="S8828">
        <v>0</v>
      </c>
      <c r="T8828" t="s">
        <v>64188</v>
      </c>
    </row>
    <row r="8829" spans="1:20" customFormat="1" ht="15" x14ac:dyDescent="0.25">
      <c r="A8829" t="s">
        <v>35</v>
      </c>
      <c r="B8829" t="s">
        <v>33109</v>
      </c>
      <c r="C8829" t="str">
        <f>"A0180020"</f>
        <v>A0180020</v>
      </c>
      <c r="D8829" t="s">
        <v>33214</v>
      </c>
      <c r="E8829" t="s">
        <v>33215</v>
      </c>
      <c r="F8829" t="s">
        <v>1731</v>
      </c>
      <c r="G8829" t="s">
        <v>52</v>
      </c>
      <c r="H8829">
        <v>75231</v>
      </c>
      <c r="I8829" t="s">
        <v>30</v>
      </c>
      <c r="J8829" t="s">
        <v>41</v>
      </c>
      <c r="K8829" t="s">
        <v>229</v>
      </c>
      <c r="Q8829">
        <v>0</v>
      </c>
      <c r="R8829">
        <v>80</v>
      </c>
      <c r="S8829">
        <v>80</v>
      </c>
      <c r="T8829" t="s">
        <v>33216</v>
      </c>
    </row>
    <row r="8830" spans="1:20" customFormat="1" ht="15" x14ac:dyDescent="0.25">
      <c r="A8830" t="s">
        <v>24</v>
      </c>
      <c r="B8830" t="s">
        <v>56277</v>
      </c>
      <c r="C8830" t="str">
        <f>"A0087906"</f>
        <v>A0087906</v>
      </c>
      <c r="D8830" t="s">
        <v>64189</v>
      </c>
      <c r="E8830" t="s">
        <v>64190</v>
      </c>
      <c r="F8830" t="s">
        <v>61280</v>
      </c>
      <c r="G8830" t="s">
        <v>40</v>
      </c>
      <c r="H8830">
        <v>73069</v>
      </c>
      <c r="I8830" t="s">
        <v>30</v>
      </c>
      <c r="J8830" t="s">
        <v>162</v>
      </c>
      <c r="K8830" t="s">
        <v>266</v>
      </c>
      <c r="N8830" t="s">
        <v>64191</v>
      </c>
      <c r="Q8830">
        <v>0</v>
      </c>
      <c r="R8830">
        <v>220</v>
      </c>
      <c r="S8830">
        <v>0</v>
      </c>
      <c r="T8830" t="s">
        <v>64192</v>
      </c>
    </row>
    <row r="8831" spans="1:20" customFormat="1" ht="15" x14ac:dyDescent="0.25">
      <c r="A8831" t="s">
        <v>24</v>
      </c>
      <c r="B8831" t="s">
        <v>193</v>
      </c>
      <c r="C8831" t="str">
        <f>"A0075352"</f>
        <v>A0075352</v>
      </c>
      <c r="D8831" t="s">
        <v>33222</v>
      </c>
      <c r="E8831" t="s">
        <v>33223</v>
      </c>
      <c r="F8831" t="s">
        <v>196</v>
      </c>
      <c r="G8831" t="s">
        <v>197</v>
      </c>
      <c r="H8831">
        <v>85029</v>
      </c>
      <c r="I8831" t="s">
        <v>30</v>
      </c>
      <c r="J8831" t="s">
        <v>15047</v>
      </c>
      <c r="K8831" t="s">
        <v>163</v>
      </c>
      <c r="N8831" t="s">
        <v>33224</v>
      </c>
      <c r="O8831" t="s">
        <v>33225</v>
      </c>
      <c r="Q8831">
        <v>0</v>
      </c>
      <c r="R8831">
        <v>248</v>
      </c>
      <c r="S8831">
        <v>0</v>
      </c>
      <c r="T8831" t="s">
        <v>33226</v>
      </c>
    </row>
    <row r="8832" spans="1:20" customFormat="1" ht="15" x14ac:dyDescent="0.25">
      <c r="A8832" t="s">
        <v>24</v>
      </c>
      <c r="B8832" t="s">
        <v>33227</v>
      </c>
      <c r="C8832" t="str">
        <f>"A0180523"</f>
        <v>A0180523</v>
      </c>
      <c r="D8832" t="s">
        <v>33228</v>
      </c>
      <c r="E8832" t="s">
        <v>33229</v>
      </c>
      <c r="F8832" t="s">
        <v>33230</v>
      </c>
      <c r="G8832" t="s">
        <v>99</v>
      </c>
      <c r="H8832">
        <v>10543</v>
      </c>
      <c r="I8832" t="s">
        <v>30</v>
      </c>
      <c r="J8832" t="s">
        <v>191</v>
      </c>
      <c r="K8832" t="s">
        <v>11889</v>
      </c>
      <c r="N8832" t="s">
        <v>33231</v>
      </c>
      <c r="Q8832">
        <v>0</v>
      </c>
      <c r="R8832">
        <v>0</v>
      </c>
      <c r="S8832">
        <v>0</v>
      </c>
      <c r="T8832" t="s">
        <v>33232</v>
      </c>
    </row>
    <row r="8833" spans="1:20" customFormat="1" ht="15" x14ac:dyDescent="0.25">
      <c r="A8833" t="s">
        <v>35</v>
      </c>
      <c r="B8833" t="s">
        <v>33119</v>
      </c>
      <c r="C8833" t="str">
        <f>"A0179682"</f>
        <v>A0179682</v>
      </c>
      <c r="D8833" t="s">
        <v>33233</v>
      </c>
      <c r="E8833" t="s">
        <v>33234</v>
      </c>
      <c r="F8833" t="s">
        <v>5467</v>
      </c>
      <c r="G8833" t="s">
        <v>110</v>
      </c>
      <c r="H8833">
        <v>95991</v>
      </c>
      <c r="I8833" t="s">
        <v>30</v>
      </c>
      <c r="J8833" t="s">
        <v>41</v>
      </c>
      <c r="K8833" t="s">
        <v>59</v>
      </c>
      <c r="Q8833">
        <v>0</v>
      </c>
      <c r="R8833">
        <v>68</v>
      </c>
      <c r="S8833">
        <v>68</v>
      </c>
      <c r="T8833" t="s">
        <v>33235</v>
      </c>
    </row>
    <row r="8834" spans="1:20" customFormat="1" ht="15" x14ac:dyDescent="0.25">
      <c r="A8834" t="s">
        <v>24</v>
      </c>
      <c r="B8834" t="s">
        <v>56277</v>
      </c>
      <c r="C8834" t="str">
        <f>"A0073445"</f>
        <v>A0073445</v>
      </c>
      <c r="D8834" t="s">
        <v>64193</v>
      </c>
      <c r="E8834" t="s">
        <v>64194</v>
      </c>
      <c r="F8834" t="s">
        <v>14072</v>
      </c>
      <c r="G8834" t="s">
        <v>85</v>
      </c>
      <c r="H8834">
        <v>72758</v>
      </c>
      <c r="I8834" t="s">
        <v>30</v>
      </c>
      <c r="J8834" t="s">
        <v>162</v>
      </c>
      <c r="K8834" t="s">
        <v>266</v>
      </c>
      <c r="N8834" t="s">
        <v>64195</v>
      </c>
      <c r="Q8834">
        <v>0</v>
      </c>
      <c r="R8834">
        <v>248</v>
      </c>
      <c r="S8834">
        <v>0</v>
      </c>
      <c r="T8834" t="s">
        <v>64196</v>
      </c>
    </row>
    <row r="8835" spans="1:20" customFormat="1" ht="15" x14ac:dyDescent="0.25">
      <c r="A8835" t="s">
        <v>24</v>
      </c>
      <c r="B8835" t="s">
        <v>1323</v>
      </c>
      <c r="C8835" t="str">
        <f>"A0179574"</f>
        <v>A0179574</v>
      </c>
      <c r="D8835" t="s">
        <v>33239</v>
      </c>
      <c r="E8835" t="s">
        <v>33240</v>
      </c>
      <c r="F8835" t="s">
        <v>33241</v>
      </c>
      <c r="G8835" t="s">
        <v>846</v>
      </c>
      <c r="H8835">
        <v>31407</v>
      </c>
      <c r="I8835" t="s">
        <v>30</v>
      </c>
      <c r="J8835" t="s">
        <v>31</v>
      </c>
      <c r="K8835" t="s">
        <v>32</v>
      </c>
      <c r="N8835" t="s">
        <v>33242</v>
      </c>
      <c r="Q8835">
        <v>0</v>
      </c>
      <c r="R8835">
        <v>95</v>
      </c>
      <c r="S8835">
        <v>0</v>
      </c>
      <c r="T8835" t="s">
        <v>33243</v>
      </c>
    </row>
    <row r="8836" spans="1:20" customFormat="1" ht="15" x14ac:dyDescent="0.25">
      <c r="A8836" t="s">
        <v>35</v>
      </c>
      <c r="B8836" t="s">
        <v>16067</v>
      </c>
      <c r="C8836" t="str">
        <f>"A0130675"</f>
        <v>A0130675</v>
      </c>
      <c r="D8836" t="s">
        <v>33244</v>
      </c>
      <c r="E8836" t="s">
        <v>33245</v>
      </c>
      <c r="F8836" t="s">
        <v>33246</v>
      </c>
      <c r="G8836" t="s">
        <v>1898</v>
      </c>
      <c r="H8836">
        <v>52302</v>
      </c>
      <c r="I8836" t="s">
        <v>30</v>
      </c>
      <c r="J8836" t="s">
        <v>41</v>
      </c>
      <c r="K8836" t="s">
        <v>1440</v>
      </c>
      <c r="Q8836">
        <v>0</v>
      </c>
      <c r="R8836">
        <v>74</v>
      </c>
      <c r="S8836">
        <v>74</v>
      </c>
      <c r="T8836" t="s">
        <v>33247</v>
      </c>
    </row>
    <row r="8837" spans="1:20" customFormat="1" ht="15" x14ac:dyDescent="0.25">
      <c r="A8837" t="s">
        <v>24</v>
      </c>
      <c r="B8837" t="s">
        <v>1323</v>
      </c>
      <c r="C8837" t="str">
        <f>"A0180273"</f>
        <v>A0180273</v>
      </c>
      <c r="D8837" t="s">
        <v>33248</v>
      </c>
      <c r="E8837" t="s">
        <v>33249</v>
      </c>
      <c r="F8837" t="s">
        <v>985</v>
      </c>
      <c r="G8837" t="s">
        <v>81</v>
      </c>
      <c r="H8837">
        <v>32819</v>
      </c>
      <c r="I8837" t="s">
        <v>30</v>
      </c>
      <c r="J8837" t="s">
        <v>31</v>
      </c>
      <c r="K8837" t="s">
        <v>222</v>
      </c>
      <c r="N8837" t="s">
        <v>33250</v>
      </c>
      <c r="Q8837">
        <v>0</v>
      </c>
      <c r="R8837">
        <v>160</v>
      </c>
      <c r="S8837">
        <v>0</v>
      </c>
      <c r="T8837" t="s">
        <v>33251</v>
      </c>
    </row>
    <row r="8838" spans="1:20" customFormat="1" ht="15" x14ac:dyDescent="0.25">
      <c r="A8838" t="s">
        <v>24</v>
      </c>
      <c r="B8838" t="s">
        <v>13150</v>
      </c>
      <c r="C8838" t="str">
        <f>"A0073277"</f>
        <v>A0073277</v>
      </c>
      <c r="D8838" t="s">
        <v>33252</v>
      </c>
      <c r="E8838" t="s">
        <v>33253</v>
      </c>
      <c r="F8838" t="s">
        <v>1809</v>
      </c>
      <c r="G8838" t="s">
        <v>58</v>
      </c>
      <c r="H8838">
        <v>29910</v>
      </c>
      <c r="I8838" t="s">
        <v>30</v>
      </c>
      <c r="J8838" t="s">
        <v>31</v>
      </c>
      <c r="K8838" t="s">
        <v>296</v>
      </c>
      <c r="N8838" t="s">
        <v>33254</v>
      </c>
      <c r="Q8838">
        <v>0</v>
      </c>
      <c r="R8838">
        <v>102</v>
      </c>
      <c r="S8838">
        <v>0</v>
      </c>
      <c r="T8838" t="s">
        <v>33255</v>
      </c>
    </row>
    <row r="8839" spans="1:20" customFormat="1" ht="15" x14ac:dyDescent="0.25">
      <c r="A8839" t="s">
        <v>35</v>
      </c>
      <c r="B8839" t="s">
        <v>54</v>
      </c>
      <c r="C8839" t="str">
        <f>"A0131229"</f>
        <v>A0131229</v>
      </c>
      <c r="D8839" t="s">
        <v>33256</v>
      </c>
      <c r="E8839" t="s">
        <v>33257</v>
      </c>
      <c r="F8839" t="s">
        <v>1743</v>
      </c>
      <c r="G8839" t="s">
        <v>85</v>
      </c>
      <c r="H8839">
        <v>72404</v>
      </c>
      <c r="I8839" t="s">
        <v>30</v>
      </c>
      <c r="J8839" t="s">
        <v>41</v>
      </c>
      <c r="K8839" t="s">
        <v>229</v>
      </c>
      <c r="Q8839">
        <v>0</v>
      </c>
      <c r="R8839">
        <v>136</v>
      </c>
      <c r="S8839">
        <v>136</v>
      </c>
      <c r="T8839" t="s">
        <v>33258</v>
      </c>
    </row>
    <row r="8840" spans="1:20" customFormat="1" ht="15" x14ac:dyDescent="0.25">
      <c r="A8840" t="s">
        <v>35</v>
      </c>
      <c r="B8840" t="s">
        <v>54</v>
      </c>
      <c r="C8840" t="str">
        <f>"A0131222"</f>
        <v>A0131222</v>
      </c>
      <c r="D8840" t="s">
        <v>33259</v>
      </c>
      <c r="E8840" t="s">
        <v>33260</v>
      </c>
      <c r="F8840" t="s">
        <v>33261</v>
      </c>
      <c r="G8840" t="s">
        <v>85</v>
      </c>
      <c r="H8840">
        <v>71753</v>
      </c>
      <c r="I8840" t="s">
        <v>30</v>
      </c>
      <c r="J8840" t="s">
        <v>41</v>
      </c>
      <c r="K8840" t="s">
        <v>229</v>
      </c>
      <c r="Q8840">
        <v>0</v>
      </c>
      <c r="R8840">
        <v>140</v>
      </c>
      <c r="S8840">
        <v>140</v>
      </c>
      <c r="T8840" t="s">
        <v>33262</v>
      </c>
    </row>
    <row r="8841" spans="1:20" customFormat="1" ht="15" x14ac:dyDescent="0.25">
      <c r="A8841" t="s">
        <v>35</v>
      </c>
      <c r="B8841" t="s">
        <v>54</v>
      </c>
      <c r="C8841" t="str">
        <f>"A0131224"</f>
        <v>A0131224</v>
      </c>
      <c r="D8841" t="s">
        <v>33263</v>
      </c>
      <c r="E8841" t="s">
        <v>33264</v>
      </c>
      <c r="F8841" t="s">
        <v>33265</v>
      </c>
      <c r="G8841" t="s">
        <v>85</v>
      </c>
      <c r="H8841">
        <v>72143</v>
      </c>
      <c r="I8841" t="s">
        <v>30</v>
      </c>
      <c r="J8841" t="s">
        <v>41</v>
      </c>
      <c r="K8841" t="s">
        <v>229</v>
      </c>
      <c r="Q8841">
        <v>0</v>
      </c>
      <c r="R8841">
        <v>245</v>
      </c>
      <c r="S8841">
        <v>245</v>
      </c>
      <c r="T8841" t="s">
        <v>33266</v>
      </c>
    </row>
    <row r="8842" spans="1:20" customFormat="1" ht="15" x14ac:dyDescent="0.25">
      <c r="A8842" t="s">
        <v>35</v>
      </c>
      <c r="B8842" t="s">
        <v>54</v>
      </c>
      <c r="C8842" t="str">
        <f>"A0131223"</f>
        <v>A0131223</v>
      </c>
      <c r="D8842" t="s">
        <v>33267</v>
      </c>
      <c r="E8842" t="s">
        <v>33268</v>
      </c>
      <c r="F8842" t="s">
        <v>1420</v>
      </c>
      <c r="G8842" t="s">
        <v>85</v>
      </c>
      <c r="H8842">
        <v>71852</v>
      </c>
      <c r="I8842" t="s">
        <v>30</v>
      </c>
      <c r="J8842" t="s">
        <v>41</v>
      </c>
      <c r="K8842" t="s">
        <v>229</v>
      </c>
      <c r="Q8842">
        <v>0</v>
      </c>
      <c r="R8842">
        <v>78</v>
      </c>
      <c r="S8842">
        <v>78</v>
      </c>
      <c r="T8842" t="s">
        <v>33269</v>
      </c>
    </row>
    <row r="8843" spans="1:20" customFormat="1" ht="15" x14ac:dyDescent="0.25">
      <c r="A8843" t="s">
        <v>35</v>
      </c>
      <c r="B8843" t="s">
        <v>5690</v>
      </c>
      <c r="C8843" t="str">
        <f>"A0121927"</f>
        <v>A0121927</v>
      </c>
      <c r="D8843" t="s">
        <v>33270</v>
      </c>
      <c r="E8843" t="s">
        <v>33271</v>
      </c>
      <c r="F8843" t="s">
        <v>3339</v>
      </c>
      <c r="G8843" t="s">
        <v>71</v>
      </c>
      <c r="H8843">
        <v>53098</v>
      </c>
      <c r="I8843" t="s">
        <v>30</v>
      </c>
      <c r="J8843" t="s">
        <v>41</v>
      </c>
      <c r="K8843" t="s">
        <v>229</v>
      </c>
      <c r="Q8843">
        <v>0</v>
      </c>
      <c r="R8843">
        <v>112</v>
      </c>
      <c r="S8843">
        <v>112</v>
      </c>
      <c r="T8843" t="s">
        <v>33272</v>
      </c>
    </row>
    <row r="8844" spans="1:20" customFormat="1" ht="15" x14ac:dyDescent="0.25">
      <c r="A8844" t="s">
        <v>35</v>
      </c>
      <c r="B8844" t="s">
        <v>5690</v>
      </c>
      <c r="C8844" t="str">
        <f>"A0121928"</f>
        <v>A0121928</v>
      </c>
      <c r="D8844" t="s">
        <v>33273</v>
      </c>
      <c r="E8844" t="s">
        <v>33274</v>
      </c>
      <c r="F8844" t="s">
        <v>33275</v>
      </c>
      <c r="G8844" t="s">
        <v>71</v>
      </c>
      <c r="H8844">
        <v>53573</v>
      </c>
      <c r="I8844" t="s">
        <v>30</v>
      </c>
      <c r="J8844" t="s">
        <v>41</v>
      </c>
      <c r="K8844" t="s">
        <v>229</v>
      </c>
      <c r="Q8844">
        <v>0</v>
      </c>
      <c r="R8844">
        <v>58</v>
      </c>
      <c r="S8844">
        <v>58</v>
      </c>
      <c r="T8844" t="s">
        <v>33276</v>
      </c>
    </row>
    <row r="8845" spans="1:20" customFormat="1" ht="15" x14ac:dyDescent="0.25">
      <c r="A8845" t="s">
        <v>35</v>
      </c>
      <c r="B8845" t="s">
        <v>5690</v>
      </c>
      <c r="C8845" t="str">
        <f>"A0121926"</f>
        <v>A0121926</v>
      </c>
      <c r="D8845" t="s">
        <v>33277</v>
      </c>
      <c r="E8845" t="s">
        <v>33278</v>
      </c>
      <c r="F8845" t="s">
        <v>33279</v>
      </c>
      <c r="G8845" t="s">
        <v>71</v>
      </c>
      <c r="H8845">
        <v>53538</v>
      </c>
      <c r="I8845" t="s">
        <v>30</v>
      </c>
      <c r="J8845" t="s">
        <v>41</v>
      </c>
      <c r="K8845" t="s">
        <v>229</v>
      </c>
      <c r="Q8845">
        <v>0</v>
      </c>
      <c r="R8845">
        <v>87</v>
      </c>
      <c r="S8845">
        <v>87</v>
      </c>
      <c r="T8845" t="s">
        <v>33280</v>
      </c>
    </row>
    <row r="8846" spans="1:20" customFormat="1" ht="15" x14ac:dyDescent="0.25">
      <c r="A8846" t="s">
        <v>35</v>
      </c>
      <c r="B8846" t="s">
        <v>5690</v>
      </c>
      <c r="C8846" t="str">
        <f>"A0121924"</f>
        <v>A0121924</v>
      </c>
      <c r="D8846" t="s">
        <v>33281</v>
      </c>
      <c r="E8846" t="s">
        <v>33282</v>
      </c>
      <c r="F8846" t="s">
        <v>501</v>
      </c>
      <c r="G8846" t="s">
        <v>71</v>
      </c>
      <c r="H8846">
        <v>53209</v>
      </c>
      <c r="I8846" t="s">
        <v>30</v>
      </c>
      <c r="J8846" t="s">
        <v>41</v>
      </c>
      <c r="K8846" t="s">
        <v>229</v>
      </c>
      <c r="Q8846">
        <v>0</v>
      </c>
      <c r="R8846">
        <v>112</v>
      </c>
      <c r="S8846">
        <v>112</v>
      </c>
      <c r="T8846" t="s">
        <v>33283</v>
      </c>
    </row>
    <row r="8847" spans="1:20" customFormat="1" ht="15" x14ac:dyDescent="0.25">
      <c r="A8847" t="s">
        <v>35</v>
      </c>
      <c r="B8847" t="s">
        <v>5690</v>
      </c>
      <c r="C8847" t="str">
        <f>"A0121923"</f>
        <v>A0121923</v>
      </c>
      <c r="D8847" t="s">
        <v>33284</v>
      </c>
      <c r="E8847" t="s">
        <v>33285</v>
      </c>
      <c r="F8847" t="s">
        <v>33286</v>
      </c>
      <c r="G8847" t="s">
        <v>71</v>
      </c>
      <c r="H8847">
        <v>53129</v>
      </c>
      <c r="I8847" t="s">
        <v>30</v>
      </c>
      <c r="J8847" t="s">
        <v>41</v>
      </c>
      <c r="K8847" t="s">
        <v>229</v>
      </c>
      <c r="Q8847">
        <v>0</v>
      </c>
      <c r="R8847">
        <v>100</v>
      </c>
      <c r="S8847">
        <v>100</v>
      </c>
      <c r="T8847" t="s">
        <v>33287</v>
      </c>
    </row>
    <row r="8848" spans="1:20" customFormat="1" ht="15" x14ac:dyDescent="0.25">
      <c r="A8848" t="s">
        <v>35</v>
      </c>
      <c r="B8848" t="s">
        <v>5690</v>
      </c>
      <c r="C8848" t="str">
        <f>"A0121930"</f>
        <v>A0121930</v>
      </c>
      <c r="D8848" t="s">
        <v>33288</v>
      </c>
      <c r="E8848" t="s">
        <v>33289</v>
      </c>
      <c r="F8848" t="s">
        <v>33290</v>
      </c>
      <c r="G8848" t="s">
        <v>71</v>
      </c>
      <c r="H8848">
        <v>53916</v>
      </c>
      <c r="I8848" t="s">
        <v>30</v>
      </c>
      <c r="J8848" t="s">
        <v>41</v>
      </c>
      <c r="K8848" t="s">
        <v>229</v>
      </c>
      <c r="Q8848">
        <v>0</v>
      </c>
      <c r="R8848">
        <v>90</v>
      </c>
      <c r="S8848">
        <v>90</v>
      </c>
      <c r="T8848" t="s">
        <v>33291</v>
      </c>
    </row>
    <row r="8849" spans="1:20" customFormat="1" ht="15" x14ac:dyDescent="0.25">
      <c r="A8849" t="s">
        <v>35</v>
      </c>
      <c r="B8849" t="s">
        <v>5690</v>
      </c>
      <c r="C8849" t="str">
        <f>"A0121929"</f>
        <v>A0121929</v>
      </c>
      <c r="D8849" t="s">
        <v>33292</v>
      </c>
      <c r="E8849" t="s">
        <v>33293</v>
      </c>
      <c r="F8849" t="s">
        <v>3768</v>
      </c>
      <c r="G8849" t="s">
        <v>71</v>
      </c>
      <c r="H8849">
        <v>54405</v>
      </c>
      <c r="I8849" t="s">
        <v>30</v>
      </c>
      <c r="J8849" t="s">
        <v>41</v>
      </c>
      <c r="K8849" t="s">
        <v>229</v>
      </c>
      <c r="Q8849">
        <v>0</v>
      </c>
      <c r="R8849">
        <v>78</v>
      </c>
      <c r="S8849">
        <v>78</v>
      </c>
      <c r="T8849" t="s">
        <v>33294</v>
      </c>
    </row>
    <row r="8850" spans="1:20" customFormat="1" ht="15" x14ac:dyDescent="0.25">
      <c r="A8850" t="s">
        <v>35</v>
      </c>
      <c r="B8850" t="s">
        <v>61</v>
      </c>
      <c r="C8850" t="str">
        <f>"A0118258"</f>
        <v>A0118258</v>
      </c>
      <c r="D8850" t="s">
        <v>33295</v>
      </c>
      <c r="E8850" t="s">
        <v>33296</v>
      </c>
      <c r="F8850" t="s">
        <v>26754</v>
      </c>
      <c r="G8850" t="s">
        <v>153</v>
      </c>
      <c r="H8850">
        <v>84754</v>
      </c>
      <c r="I8850" t="s">
        <v>30</v>
      </c>
      <c r="J8850" t="s">
        <v>41</v>
      </c>
      <c r="K8850" t="s">
        <v>59</v>
      </c>
      <c r="Q8850">
        <v>0</v>
      </c>
      <c r="R8850">
        <v>26</v>
      </c>
      <c r="S8850">
        <v>26</v>
      </c>
      <c r="T8850" t="s">
        <v>33297</v>
      </c>
    </row>
    <row r="8851" spans="1:20" customFormat="1" ht="15" x14ac:dyDescent="0.25">
      <c r="A8851" t="s">
        <v>35</v>
      </c>
      <c r="B8851" t="s">
        <v>225</v>
      </c>
      <c r="C8851" t="str">
        <f>"A0127048"</f>
        <v>A0127048</v>
      </c>
      <c r="D8851" t="s">
        <v>33298</v>
      </c>
      <c r="E8851" t="s">
        <v>33299</v>
      </c>
      <c r="F8851" t="s">
        <v>2789</v>
      </c>
      <c r="G8851" t="s">
        <v>103</v>
      </c>
      <c r="H8851">
        <v>18042</v>
      </c>
      <c r="I8851" t="s">
        <v>30</v>
      </c>
      <c r="J8851" t="s">
        <v>41</v>
      </c>
      <c r="K8851" t="s">
        <v>229</v>
      </c>
      <c r="Q8851">
        <v>0</v>
      </c>
      <c r="R8851">
        <v>115</v>
      </c>
      <c r="S8851">
        <v>115</v>
      </c>
      <c r="T8851" t="s">
        <v>33300</v>
      </c>
    </row>
    <row r="8852" spans="1:20" customFormat="1" ht="15" x14ac:dyDescent="0.25">
      <c r="A8852" t="s">
        <v>24</v>
      </c>
      <c r="B8852" t="s">
        <v>33301</v>
      </c>
      <c r="C8852" t="str">
        <f>"A0180518"</f>
        <v>A0180518</v>
      </c>
      <c r="D8852" t="s">
        <v>33302</v>
      </c>
      <c r="E8852" t="s">
        <v>33303</v>
      </c>
      <c r="F8852" t="s">
        <v>796</v>
      </c>
      <c r="G8852" t="s">
        <v>197</v>
      </c>
      <c r="H8852">
        <v>85756</v>
      </c>
      <c r="I8852" t="s">
        <v>30</v>
      </c>
      <c r="J8852" t="s">
        <v>31</v>
      </c>
      <c r="K8852" t="s">
        <v>261</v>
      </c>
      <c r="N8852" t="s">
        <v>33304</v>
      </c>
      <c r="Q8852">
        <v>0</v>
      </c>
      <c r="R8852">
        <v>123</v>
      </c>
      <c r="S8852">
        <v>0</v>
      </c>
      <c r="T8852" t="s">
        <v>33305</v>
      </c>
    </row>
    <row r="8853" spans="1:20" customFormat="1" ht="15" x14ac:dyDescent="0.25">
      <c r="A8853" t="s">
        <v>24</v>
      </c>
      <c r="B8853" t="s">
        <v>33306</v>
      </c>
      <c r="C8853" t="str">
        <f>"A0165864"</f>
        <v>A0165864</v>
      </c>
      <c r="D8853" t="s">
        <v>33307</v>
      </c>
      <c r="E8853" t="s">
        <v>33308</v>
      </c>
      <c r="F8853" t="s">
        <v>33309</v>
      </c>
      <c r="G8853" t="s">
        <v>81</v>
      </c>
      <c r="H8853">
        <v>34292</v>
      </c>
      <c r="I8853" t="s">
        <v>30</v>
      </c>
      <c r="J8853" t="s">
        <v>31</v>
      </c>
      <c r="K8853" t="s">
        <v>222</v>
      </c>
      <c r="N8853" t="s">
        <v>33310</v>
      </c>
      <c r="Q8853">
        <v>0</v>
      </c>
      <c r="R8853">
        <v>86</v>
      </c>
      <c r="S8853">
        <v>0</v>
      </c>
      <c r="T8853" t="s">
        <v>33311</v>
      </c>
    </row>
    <row r="8854" spans="1:20" customFormat="1" ht="15" x14ac:dyDescent="0.25">
      <c r="A8854" t="s">
        <v>35</v>
      </c>
      <c r="B8854" t="s">
        <v>225</v>
      </c>
      <c r="C8854" t="str">
        <f>"A0127050"</f>
        <v>A0127050</v>
      </c>
      <c r="D8854" t="s">
        <v>33312</v>
      </c>
      <c r="E8854" t="s">
        <v>33313</v>
      </c>
      <c r="F8854" t="s">
        <v>33314</v>
      </c>
      <c r="G8854" t="s">
        <v>103</v>
      </c>
      <c r="H8854">
        <v>17578</v>
      </c>
      <c r="I8854" t="s">
        <v>30</v>
      </c>
      <c r="J8854" t="s">
        <v>41</v>
      </c>
      <c r="K8854" t="s">
        <v>229</v>
      </c>
      <c r="Q8854">
        <v>0</v>
      </c>
      <c r="R8854">
        <v>82</v>
      </c>
      <c r="S8854">
        <v>82</v>
      </c>
      <c r="T8854" t="s">
        <v>33315</v>
      </c>
    </row>
    <row r="8855" spans="1:20" customFormat="1" ht="15" x14ac:dyDescent="0.25">
      <c r="A8855" t="s">
        <v>35</v>
      </c>
      <c r="B8855" t="s">
        <v>225</v>
      </c>
      <c r="C8855" t="str">
        <f>"A0127054"</f>
        <v>A0127054</v>
      </c>
      <c r="D8855" t="s">
        <v>33316</v>
      </c>
      <c r="E8855" t="s">
        <v>33317</v>
      </c>
      <c r="F8855" t="s">
        <v>33318</v>
      </c>
      <c r="G8855" t="s">
        <v>103</v>
      </c>
      <c r="H8855">
        <v>17859</v>
      </c>
      <c r="I8855" t="s">
        <v>30</v>
      </c>
      <c r="J8855" t="s">
        <v>41</v>
      </c>
      <c r="K8855" t="s">
        <v>229</v>
      </c>
      <c r="Q8855">
        <v>0</v>
      </c>
      <c r="R8855">
        <v>120</v>
      </c>
      <c r="S8855">
        <v>120</v>
      </c>
      <c r="T8855" t="s">
        <v>33319</v>
      </c>
    </row>
    <row r="8856" spans="1:20" customFormat="1" ht="15" x14ac:dyDescent="0.25">
      <c r="A8856" t="s">
        <v>35</v>
      </c>
      <c r="B8856" t="s">
        <v>61</v>
      </c>
      <c r="C8856" t="str">
        <f>"A0180517"</f>
        <v>A0180517</v>
      </c>
      <c r="D8856" t="s">
        <v>33320</v>
      </c>
      <c r="E8856" t="s">
        <v>33321</v>
      </c>
      <c r="F8856" t="s">
        <v>16521</v>
      </c>
      <c r="G8856" t="s">
        <v>197</v>
      </c>
      <c r="H8856">
        <v>85383</v>
      </c>
      <c r="I8856" t="s">
        <v>30</v>
      </c>
      <c r="J8856" t="s">
        <v>41</v>
      </c>
      <c r="K8856" t="s">
        <v>229</v>
      </c>
      <c r="Q8856">
        <v>0</v>
      </c>
      <c r="R8856">
        <v>0</v>
      </c>
      <c r="S8856">
        <v>0</v>
      </c>
      <c r="T8856" t="s">
        <v>33322</v>
      </c>
    </row>
    <row r="8857" spans="1:20" customFormat="1" ht="15" x14ac:dyDescent="0.25">
      <c r="A8857" t="s">
        <v>35</v>
      </c>
      <c r="B8857" t="s">
        <v>33323</v>
      </c>
      <c r="C8857" t="str">
        <f>"A0180516"</f>
        <v>A0180516</v>
      </c>
      <c r="D8857" t="s">
        <v>33324</v>
      </c>
      <c r="E8857" t="s">
        <v>33325</v>
      </c>
      <c r="F8857" t="s">
        <v>238</v>
      </c>
      <c r="G8857" t="s">
        <v>528</v>
      </c>
      <c r="H8857">
        <v>19963</v>
      </c>
      <c r="I8857" t="s">
        <v>30</v>
      </c>
      <c r="J8857" t="s">
        <v>41</v>
      </c>
      <c r="K8857" t="s">
        <v>229</v>
      </c>
      <c r="Q8857">
        <v>0</v>
      </c>
      <c r="R8857">
        <v>26</v>
      </c>
      <c r="S8857">
        <v>26</v>
      </c>
      <c r="T8857" t="s">
        <v>33326</v>
      </c>
    </row>
    <row r="8858" spans="1:20" customFormat="1" ht="15" x14ac:dyDescent="0.25">
      <c r="A8858" t="s">
        <v>35</v>
      </c>
      <c r="B8858" t="s">
        <v>33327</v>
      </c>
      <c r="C8858" t="str">
        <f>"A0180515"</f>
        <v>A0180515</v>
      </c>
      <c r="D8858" t="s">
        <v>33328</v>
      </c>
      <c r="E8858" t="s">
        <v>33329</v>
      </c>
      <c r="F8858" t="s">
        <v>2719</v>
      </c>
      <c r="G8858" t="s">
        <v>190</v>
      </c>
      <c r="H8858">
        <v>80237</v>
      </c>
      <c r="I8858" t="s">
        <v>30</v>
      </c>
      <c r="J8858" t="s">
        <v>41</v>
      </c>
      <c r="K8858" t="s">
        <v>59</v>
      </c>
      <c r="Q8858">
        <v>0</v>
      </c>
      <c r="R8858">
        <v>163</v>
      </c>
      <c r="S8858">
        <v>163</v>
      </c>
      <c r="T8858" t="s">
        <v>33330</v>
      </c>
    </row>
    <row r="8859" spans="1:20" customFormat="1" ht="15" x14ac:dyDescent="0.25">
      <c r="A8859" t="s">
        <v>35</v>
      </c>
      <c r="B8859" t="s">
        <v>54</v>
      </c>
      <c r="C8859" t="str">
        <f>"A0180514"</f>
        <v>A0180514</v>
      </c>
      <c r="D8859" t="s">
        <v>33331</v>
      </c>
      <c r="E8859" t="s">
        <v>33332</v>
      </c>
      <c r="F8859" t="s">
        <v>24503</v>
      </c>
      <c r="G8859" t="s">
        <v>85</v>
      </c>
      <c r="H8859">
        <v>72301</v>
      </c>
      <c r="I8859" t="s">
        <v>30</v>
      </c>
      <c r="J8859" t="s">
        <v>41</v>
      </c>
      <c r="K8859" t="s">
        <v>59</v>
      </c>
      <c r="Q8859">
        <v>0</v>
      </c>
      <c r="R8859">
        <v>153</v>
      </c>
      <c r="S8859">
        <v>153</v>
      </c>
      <c r="T8859" t="s">
        <v>33333</v>
      </c>
    </row>
    <row r="8860" spans="1:20" customFormat="1" ht="15" x14ac:dyDescent="0.25">
      <c r="A8860" t="s">
        <v>35</v>
      </c>
      <c r="B8860" t="s">
        <v>1797</v>
      </c>
      <c r="C8860" t="str">
        <f>"A0180513"</f>
        <v>A0180513</v>
      </c>
      <c r="D8860" t="s">
        <v>33334</v>
      </c>
      <c r="E8860" t="s">
        <v>33335</v>
      </c>
      <c r="F8860" t="s">
        <v>33336</v>
      </c>
      <c r="G8860" t="s">
        <v>117</v>
      </c>
      <c r="H8860">
        <v>48144</v>
      </c>
      <c r="I8860" t="s">
        <v>30</v>
      </c>
      <c r="J8860" t="s">
        <v>41</v>
      </c>
      <c r="K8860" t="s">
        <v>59</v>
      </c>
      <c r="Q8860">
        <v>0</v>
      </c>
      <c r="R8860">
        <v>100</v>
      </c>
      <c r="S8860">
        <v>100</v>
      </c>
      <c r="T8860" t="s">
        <v>33337</v>
      </c>
    </row>
    <row r="8861" spans="1:20" customFormat="1" ht="15" x14ac:dyDescent="0.25">
      <c r="A8861" t="s">
        <v>35</v>
      </c>
      <c r="B8861" t="s">
        <v>61</v>
      </c>
      <c r="C8861" t="str">
        <f>"A0180512"</f>
        <v>A0180512</v>
      </c>
      <c r="D8861" t="s">
        <v>33338</v>
      </c>
      <c r="E8861" t="s">
        <v>33339</v>
      </c>
      <c r="F8861" t="s">
        <v>501</v>
      </c>
      <c r="G8861" t="s">
        <v>197</v>
      </c>
      <c r="H8861">
        <v>85308</v>
      </c>
      <c r="I8861" t="s">
        <v>30</v>
      </c>
      <c r="J8861" t="s">
        <v>41</v>
      </c>
      <c r="K8861" t="s">
        <v>59</v>
      </c>
      <c r="Q8861">
        <v>0</v>
      </c>
      <c r="R8861">
        <v>0</v>
      </c>
      <c r="S8861">
        <v>0</v>
      </c>
      <c r="T8861" t="s">
        <v>33340</v>
      </c>
    </row>
    <row r="8862" spans="1:20" customFormat="1" ht="15" x14ac:dyDescent="0.25">
      <c r="A8862" t="s">
        <v>35</v>
      </c>
      <c r="B8862" t="s">
        <v>11539</v>
      </c>
      <c r="C8862" t="str">
        <f>"A0180511"</f>
        <v>A0180511</v>
      </c>
      <c r="D8862" t="s">
        <v>33341</v>
      </c>
      <c r="E8862" t="s">
        <v>33342</v>
      </c>
      <c r="F8862" t="s">
        <v>33343</v>
      </c>
      <c r="G8862" t="s">
        <v>289</v>
      </c>
      <c r="H8862">
        <v>62996</v>
      </c>
      <c r="I8862" t="s">
        <v>30</v>
      </c>
      <c r="J8862" t="s">
        <v>41</v>
      </c>
      <c r="K8862" t="s">
        <v>59</v>
      </c>
      <c r="Q8862">
        <v>0</v>
      </c>
      <c r="R8862">
        <v>0</v>
      </c>
      <c r="S8862">
        <v>0</v>
      </c>
      <c r="T8862" t="s">
        <v>33344</v>
      </c>
    </row>
    <row r="8863" spans="1:20" customFormat="1" ht="15" x14ac:dyDescent="0.25">
      <c r="A8863" t="s">
        <v>35</v>
      </c>
      <c r="B8863" t="s">
        <v>1918</v>
      </c>
      <c r="C8863" t="str">
        <f>"A0180510"</f>
        <v>A0180510</v>
      </c>
      <c r="D8863" t="s">
        <v>33345</v>
      </c>
      <c r="E8863" t="s">
        <v>33346</v>
      </c>
      <c r="F8863" t="s">
        <v>33347</v>
      </c>
      <c r="G8863" t="s">
        <v>81</v>
      </c>
      <c r="H8863">
        <v>32780</v>
      </c>
      <c r="I8863" t="s">
        <v>30</v>
      </c>
      <c r="J8863" t="s">
        <v>441</v>
      </c>
      <c r="K8863" t="s">
        <v>442</v>
      </c>
      <c r="Q8863">
        <v>0</v>
      </c>
      <c r="R8863">
        <v>0</v>
      </c>
      <c r="S8863">
        <v>0</v>
      </c>
      <c r="T8863" t="s">
        <v>33348</v>
      </c>
    </row>
    <row r="8864" spans="1:20" customFormat="1" ht="15" x14ac:dyDescent="0.25">
      <c r="A8864" t="s">
        <v>35</v>
      </c>
      <c r="B8864" t="s">
        <v>225</v>
      </c>
      <c r="C8864" t="str">
        <f>"A0180509"</f>
        <v>A0180509</v>
      </c>
      <c r="D8864" t="s">
        <v>33349</v>
      </c>
      <c r="E8864" t="s">
        <v>33350</v>
      </c>
      <c r="F8864" t="s">
        <v>5201</v>
      </c>
      <c r="G8864" t="s">
        <v>338</v>
      </c>
      <c r="H8864">
        <v>7731</v>
      </c>
      <c r="I8864" t="s">
        <v>30</v>
      </c>
      <c r="J8864" t="s">
        <v>41</v>
      </c>
      <c r="K8864" t="s">
        <v>290</v>
      </c>
      <c r="Q8864">
        <v>0</v>
      </c>
      <c r="R8864">
        <v>0</v>
      </c>
      <c r="S8864">
        <v>0</v>
      </c>
      <c r="T8864" t="s">
        <v>33351</v>
      </c>
    </row>
    <row r="8865" spans="1:25" customFormat="1" ht="15" x14ac:dyDescent="0.25">
      <c r="A8865" t="s">
        <v>35</v>
      </c>
      <c r="B8865" t="s">
        <v>225</v>
      </c>
      <c r="C8865" t="str">
        <f>"A0127051"</f>
        <v>A0127051</v>
      </c>
      <c r="D8865" t="s">
        <v>33352</v>
      </c>
      <c r="E8865" t="s">
        <v>33353</v>
      </c>
      <c r="F8865" t="s">
        <v>33354</v>
      </c>
      <c r="G8865" t="s">
        <v>103</v>
      </c>
      <c r="H8865">
        <v>17846</v>
      </c>
      <c r="I8865" t="s">
        <v>30</v>
      </c>
      <c r="J8865" t="s">
        <v>41</v>
      </c>
      <c r="K8865" t="s">
        <v>229</v>
      </c>
      <c r="Q8865">
        <v>0</v>
      </c>
      <c r="R8865">
        <v>110</v>
      </c>
      <c r="S8865">
        <v>110</v>
      </c>
      <c r="T8865" t="s">
        <v>33355</v>
      </c>
    </row>
    <row r="8866" spans="1:25" customFormat="1" ht="15" x14ac:dyDescent="0.25">
      <c r="A8866" t="s">
        <v>35</v>
      </c>
      <c r="B8866" t="s">
        <v>225</v>
      </c>
      <c r="C8866" t="str">
        <f>"A0127047"</f>
        <v>A0127047</v>
      </c>
      <c r="D8866" t="s">
        <v>33356</v>
      </c>
      <c r="E8866" t="s">
        <v>33357</v>
      </c>
      <c r="F8866" t="s">
        <v>2789</v>
      </c>
      <c r="G8866" t="s">
        <v>103</v>
      </c>
      <c r="H8866">
        <v>18042</v>
      </c>
      <c r="I8866" t="s">
        <v>30</v>
      </c>
      <c r="J8866" t="s">
        <v>41</v>
      </c>
      <c r="K8866" t="s">
        <v>229</v>
      </c>
      <c r="Q8866">
        <v>0</v>
      </c>
      <c r="R8866">
        <v>181</v>
      </c>
      <c r="S8866">
        <v>181</v>
      </c>
      <c r="T8866" t="s">
        <v>33358</v>
      </c>
    </row>
    <row r="8867" spans="1:25" customFormat="1" ht="15" x14ac:dyDescent="0.25">
      <c r="A8867" t="s">
        <v>24</v>
      </c>
      <c r="B8867" t="s">
        <v>1567</v>
      </c>
      <c r="C8867" t="str">
        <f>"A0093120"</f>
        <v>A0093120</v>
      </c>
      <c r="D8867" t="s">
        <v>64197</v>
      </c>
      <c r="E8867" t="s">
        <v>64198</v>
      </c>
      <c r="F8867" t="s">
        <v>866</v>
      </c>
      <c r="G8867" t="s">
        <v>40</v>
      </c>
      <c r="H8867">
        <v>73108</v>
      </c>
      <c r="I8867" t="s">
        <v>30</v>
      </c>
      <c r="J8867" t="s">
        <v>162</v>
      </c>
      <c r="K8867" t="s">
        <v>266</v>
      </c>
      <c r="N8867" t="s">
        <v>64199</v>
      </c>
      <c r="Q8867">
        <v>0</v>
      </c>
      <c r="R8867">
        <v>175</v>
      </c>
      <c r="S8867">
        <v>0</v>
      </c>
      <c r="T8867" t="s">
        <v>64200</v>
      </c>
    </row>
    <row r="8868" spans="1:25" customFormat="1" ht="15" x14ac:dyDescent="0.25">
      <c r="A8868" t="s">
        <v>24</v>
      </c>
      <c r="B8868" t="s">
        <v>33363</v>
      </c>
      <c r="C8868" t="str">
        <f>"432VD"</f>
        <v>432VD</v>
      </c>
      <c r="D8868" t="s">
        <v>33364</v>
      </c>
      <c r="E8868" t="s">
        <v>33365</v>
      </c>
      <c r="F8868" t="s">
        <v>33366</v>
      </c>
      <c r="G8868" t="s">
        <v>433</v>
      </c>
      <c r="H8868">
        <v>83402</v>
      </c>
      <c r="I8868" t="s">
        <v>30</v>
      </c>
      <c r="J8868" t="s">
        <v>31</v>
      </c>
      <c r="K8868" t="s">
        <v>32</v>
      </c>
      <c r="N8868" t="s">
        <v>33367</v>
      </c>
      <c r="Q8868">
        <v>0</v>
      </c>
      <c r="R8868">
        <v>81</v>
      </c>
      <c r="S8868">
        <v>0</v>
      </c>
      <c r="T8868" t="s">
        <v>33368</v>
      </c>
    </row>
    <row r="8869" spans="1:25" customFormat="1" ht="15" x14ac:dyDescent="0.25">
      <c r="A8869" t="s">
        <v>24</v>
      </c>
      <c r="B8869" t="s">
        <v>762</v>
      </c>
      <c r="C8869" t="str">
        <f>"A0095605"</f>
        <v>A0095605</v>
      </c>
      <c r="D8869" t="s">
        <v>64201</v>
      </c>
      <c r="E8869" t="s">
        <v>64202</v>
      </c>
      <c r="F8869" t="s">
        <v>866</v>
      </c>
      <c r="G8869" t="s">
        <v>40</v>
      </c>
      <c r="H8869">
        <v>73104</v>
      </c>
      <c r="I8869" t="s">
        <v>30</v>
      </c>
      <c r="J8869" t="s">
        <v>162</v>
      </c>
      <c r="K8869" t="s">
        <v>266</v>
      </c>
      <c r="N8869" t="s">
        <v>64203</v>
      </c>
      <c r="Q8869">
        <v>0</v>
      </c>
      <c r="R8869">
        <v>195</v>
      </c>
      <c r="S8869">
        <v>0</v>
      </c>
      <c r="T8869" t="s">
        <v>64204</v>
      </c>
    </row>
    <row r="8870" spans="1:25" customFormat="1" ht="15" x14ac:dyDescent="0.25">
      <c r="A8870" t="s">
        <v>24</v>
      </c>
      <c r="B8870" t="s">
        <v>56277</v>
      </c>
      <c r="C8870" t="str">
        <f>"A0055837"</f>
        <v>A0055837</v>
      </c>
      <c r="D8870" t="s">
        <v>64205</v>
      </c>
      <c r="E8870" t="s">
        <v>64206</v>
      </c>
      <c r="F8870" t="s">
        <v>1541</v>
      </c>
      <c r="G8870" t="s">
        <v>427</v>
      </c>
      <c r="H8870">
        <v>68102</v>
      </c>
      <c r="I8870" t="s">
        <v>30</v>
      </c>
      <c r="J8870" t="s">
        <v>162</v>
      </c>
      <c r="K8870" t="s">
        <v>266</v>
      </c>
      <c r="N8870" t="s">
        <v>64207</v>
      </c>
      <c r="Q8870">
        <v>0</v>
      </c>
      <c r="R8870">
        <v>249</v>
      </c>
      <c r="S8870">
        <v>0</v>
      </c>
      <c r="T8870" t="s">
        <v>64208</v>
      </c>
    </row>
    <row r="8871" spans="1:25" customFormat="1" ht="15" x14ac:dyDescent="0.25">
      <c r="A8871" t="s">
        <v>24</v>
      </c>
      <c r="B8871" t="s">
        <v>33380</v>
      </c>
      <c r="C8871" t="str">
        <f>"A0180093"</f>
        <v>A0180093</v>
      </c>
      <c r="D8871" t="s">
        <v>33381</v>
      </c>
      <c r="E8871" t="s">
        <v>33382</v>
      </c>
      <c r="F8871" t="s">
        <v>33383</v>
      </c>
      <c r="G8871" t="s">
        <v>117</v>
      </c>
      <c r="H8871">
        <v>49855</v>
      </c>
      <c r="I8871" t="s">
        <v>30</v>
      </c>
      <c r="J8871" t="s">
        <v>31</v>
      </c>
      <c r="K8871" t="s">
        <v>32</v>
      </c>
      <c r="N8871" t="s">
        <v>33384</v>
      </c>
      <c r="Q8871">
        <v>0</v>
      </c>
      <c r="R8871">
        <v>92</v>
      </c>
      <c r="S8871">
        <v>0</v>
      </c>
      <c r="T8871" t="s">
        <v>33385</v>
      </c>
    </row>
    <row r="8872" spans="1:25" customFormat="1" ht="15" x14ac:dyDescent="0.25">
      <c r="A8872" t="s">
        <v>24</v>
      </c>
      <c r="B8872" t="s">
        <v>56277</v>
      </c>
      <c r="C8872" t="str">
        <f>"A0087903"</f>
        <v>A0087903</v>
      </c>
      <c r="D8872" t="s">
        <v>64209</v>
      </c>
      <c r="E8872" t="s">
        <v>64210</v>
      </c>
      <c r="F8872" t="s">
        <v>61346</v>
      </c>
      <c r="G8872" t="s">
        <v>427</v>
      </c>
      <c r="H8872">
        <v>68128</v>
      </c>
      <c r="I8872" t="s">
        <v>30</v>
      </c>
      <c r="J8872" t="s">
        <v>162</v>
      </c>
      <c r="K8872" t="s">
        <v>266</v>
      </c>
      <c r="N8872" t="s">
        <v>61347</v>
      </c>
      <c r="O8872" t="s">
        <v>64211</v>
      </c>
      <c r="Q8872">
        <v>0</v>
      </c>
      <c r="R8872">
        <v>255</v>
      </c>
      <c r="S8872">
        <v>0</v>
      </c>
      <c r="T8872" t="s">
        <v>64212</v>
      </c>
    </row>
    <row r="8873" spans="1:25" customFormat="1" ht="15" x14ac:dyDescent="0.25">
      <c r="A8873" t="s">
        <v>24</v>
      </c>
      <c r="B8873" t="s">
        <v>2955</v>
      </c>
      <c r="C8873" t="str">
        <f>"A0087950"</f>
        <v>A0087950</v>
      </c>
      <c r="D8873" t="s">
        <v>64213</v>
      </c>
      <c r="E8873" t="s">
        <v>64214</v>
      </c>
      <c r="F8873" t="s">
        <v>64215</v>
      </c>
      <c r="G8873" t="s">
        <v>81</v>
      </c>
      <c r="H8873">
        <v>32819</v>
      </c>
      <c r="I8873" t="s">
        <v>30</v>
      </c>
      <c r="J8873" t="s">
        <v>162</v>
      </c>
      <c r="K8873" t="s">
        <v>266</v>
      </c>
      <c r="N8873" t="s">
        <v>64216</v>
      </c>
      <c r="O8873" t="s">
        <v>3486</v>
      </c>
      <c r="Q8873">
        <v>0</v>
      </c>
      <c r="R8873">
        <v>246</v>
      </c>
      <c r="S8873">
        <v>0</v>
      </c>
      <c r="T8873" t="s">
        <v>64217</v>
      </c>
    </row>
    <row r="8874" spans="1:25" customFormat="1" ht="15" x14ac:dyDescent="0.25">
      <c r="A8874" t="s">
        <v>24</v>
      </c>
      <c r="B8874" t="s">
        <v>33398</v>
      </c>
      <c r="C8874" t="str">
        <f>"A0147854"</f>
        <v>A0147854</v>
      </c>
      <c r="D8874" t="s">
        <v>33399</v>
      </c>
      <c r="E8874" t="s">
        <v>33400</v>
      </c>
      <c r="F8874" t="s">
        <v>33401</v>
      </c>
      <c r="G8874" t="s">
        <v>925</v>
      </c>
      <c r="H8874">
        <v>66208</v>
      </c>
      <c r="I8874" t="s">
        <v>30</v>
      </c>
      <c r="J8874" t="s">
        <v>2558</v>
      </c>
      <c r="K8874" t="s">
        <v>163</v>
      </c>
      <c r="N8874" t="s">
        <v>33402</v>
      </c>
      <c r="Q8874">
        <v>0</v>
      </c>
      <c r="R8874">
        <v>0</v>
      </c>
      <c r="S8874">
        <v>0</v>
      </c>
      <c r="T8874" t="s">
        <v>33403</v>
      </c>
    </row>
    <row r="8875" spans="1:25" x14ac:dyDescent="0.25">
      <c r="A8875" s="5" t="s">
        <v>24</v>
      </c>
      <c r="B8875" s="5" t="s">
        <v>33426</v>
      </c>
      <c r="C8875" s="5" t="str">
        <f>"A0085942"</f>
        <v>A0085942</v>
      </c>
      <c r="D8875" s="5" t="s">
        <v>64218</v>
      </c>
      <c r="E8875" s="5" t="s">
        <v>64219</v>
      </c>
      <c r="F8875" s="5" t="s">
        <v>14530</v>
      </c>
      <c r="G8875" s="5" t="s">
        <v>81</v>
      </c>
      <c r="H8875" s="5">
        <v>32701</v>
      </c>
      <c r="I8875" s="5" t="s">
        <v>30</v>
      </c>
      <c r="J8875" s="5" t="s">
        <v>162</v>
      </c>
      <c r="K8875" s="5" t="s">
        <v>266</v>
      </c>
      <c r="L8875" s="5"/>
      <c r="M8875" s="5"/>
      <c r="N8875" s="5" t="s">
        <v>64220</v>
      </c>
      <c r="O8875" s="5" t="s">
        <v>64221</v>
      </c>
      <c r="P8875" s="5"/>
      <c r="Q8875" s="5">
        <v>0</v>
      </c>
      <c r="R8875" s="5">
        <v>210</v>
      </c>
      <c r="S8875" s="5">
        <v>0</v>
      </c>
      <c r="T8875" s="5" t="s">
        <v>64222</v>
      </c>
      <c r="U8875" s="5"/>
      <c r="V8875" s="5"/>
      <c r="W8875" s="5"/>
      <c r="X8875" s="5"/>
      <c r="Y8875" s="5"/>
    </row>
    <row r="8876" spans="1:25" customFormat="1" ht="15" hidden="1" x14ac:dyDescent="0.25">
      <c r="A8876" t="s">
        <v>24</v>
      </c>
      <c r="B8876" t="s">
        <v>33410</v>
      </c>
      <c r="C8876" t="str">
        <f>"A0162006"</f>
        <v>A0162006</v>
      </c>
      <c r="D8876" t="s">
        <v>33411</v>
      </c>
      <c r="E8876" t="s">
        <v>33412</v>
      </c>
      <c r="F8876" t="s">
        <v>33413</v>
      </c>
      <c r="G8876" t="s">
        <v>2270</v>
      </c>
      <c r="H8876" t="s">
        <v>33414</v>
      </c>
      <c r="I8876" t="s">
        <v>1459</v>
      </c>
      <c r="J8876" t="s">
        <v>31</v>
      </c>
      <c r="K8876" t="s">
        <v>32</v>
      </c>
      <c r="Q8876">
        <v>0</v>
      </c>
      <c r="R8876">
        <v>95</v>
      </c>
      <c r="S8876">
        <v>0</v>
      </c>
      <c r="T8876" t="s">
        <v>33415</v>
      </c>
    </row>
    <row r="8877" spans="1:25" customFormat="1" ht="15" hidden="1" x14ac:dyDescent="0.25">
      <c r="A8877" t="s">
        <v>24</v>
      </c>
      <c r="B8877" t="s">
        <v>33410</v>
      </c>
      <c r="C8877" t="str">
        <f>"A0098534"</f>
        <v>A0098534</v>
      </c>
      <c r="D8877" t="s">
        <v>33416</v>
      </c>
      <c r="E8877" t="s">
        <v>33417</v>
      </c>
      <c r="F8877" t="s">
        <v>10945</v>
      </c>
      <c r="G8877" t="s">
        <v>2270</v>
      </c>
      <c r="H8877" t="s">
        <v>10946</v>
      </c>
      <c r="I8877" t="s">
        <v>1459</v>
      </c>
      <c r="J8877" t="s">
        <v>31</v>
      </c>
      <c r="K8877" t="s">
        <v>32</v>
      </c>
      <c r="N8877" t="s">
        <v>33418</v>
      </c>
      <c r="Q8877">
        <v>0</v>
      </c>
      <c r="R8877">
        <v>98</v>
      </c>
      <c r="S8877">
        <v>0</v>
      </c>
      <c r="T8877" t="s">
        <v>33419</v>
      </c>
    </row>
    <row r="8878" spans="1:25" customFormat="1" ht="15" x14ac:dyDescent="0.25">
      <c r="A8878" t="s">
        <v>24</v>
      </c>
      <c r="B8878" t="s">
        <v>193</v>
      </c>
      <c r="C8878" t="str">
        <f>"A0153589"</f>
        <v>A0153589</v>
      </c>
      <c r="D8878" t="s">
        <v>33420</v>
      </c>
      <c r="E8878" t="s">
        <v>33421</v>
      </c>
      <c r="F8878" t="s">
        <v>33422</v>
      </c>
      <c r="G8878" t="s">
        <v>123</v>
      </c>
      <c r="H8878" t="s">
        <v>33423</v>
      </c>
      <c r="I8878" t="s">
        <v>30</v>
      </c>
      <c r="J8878" t="s">
        <v>178</v>
      </c>
      <c r="K8878" t="s">
        <v>179</v>
      </c>
      <c r="N8878" t="s">
        <v>33424</v>
      </c>
      <c r="Q8878">
        <v>0</v>
      </c>
      <c r="R8878">
        <v>0</v>
      </c>
      <c r="S8878">
        <v>0</v>
      </c>
      <c r="T8878" t="s">
        <v>33425</v>
      </c>
    </row>
    <row r="8879" spans="1:25" customFormat="1" ht="15" x14ac:dyDescent="0.25">
      <c r="A8879" t="s">
        <v>24</v>
      </c>
      <c r="B8879" t="s">
        <v>13730</v>
      </c>
      <c r="C8879" t="str">
        <f>"A0064559"</f>
        <v>A0064559</v>
      </c>
      <c r="D8879" t="s">
        <v>64223</v>
      </c>
      <c r="E8879" t="s">
        <v>64224</v>
      </c>
      <c r="F8879" t="s">
        <v>196</v>
      </c>
      <c r="G8879" t="s">
        <v>197</v>
      </c>
      <c r="H8879">
        <v>85032</v>
      </c>
      <c r="I8879" t="s">
        <v>30</v>
      </c>
      <c r="J8879" t="s">
        <v>162</v>
      </c>
      <c r="K8879" t="s">
        <v>266</v>
      </c>
      <c r="N8879" t="s">
        <v>64225</v>
      </c>
      <c r="O8879" t="s">
        <v>64226</v>
      </c>
      <c r="Q8879">
        <v>0</v>
      </c>
      <c r="R8879">
        <v>270</v>
      </c>
      <c r="S8879">
        <v>0</v>
      </c>
      <c r="T8879" t="s">
        <v>64227</v>
      </c>
    </row>
    <row r="8880" spans="1:25" customFormat="1" ht="15" x14ac:dyDescent="0.25">
      <c r="A8880" t="s">
        <v>24</v>
      </c>
      <c r="B8880" t="s">
        <v>56277</v>
      </c>
      <c r="C8880" t="str">
        <f>"A0055841"</f>
        <v>A0055841</v>
      </c>
      <c r="D8880" t="s">
        <v>64228</v>
      </c>
      <c r="E8880" t="s">
        <v>64229</v>
      </c>
      <c r="F8880" t="s">
        <v>6593</v>
      </c>
      <c r="G8880" t="s">
        <v>47</v>
      </c>
      <c r="H8880">
        <v>97220</v>
      </c>
      <c r="I8880" t="s">
        <v>30</v>
      </c>
      <c r="J8880" t="s">
        <v>162</v>
      </c>
      <c r="K8880" t="s">
        <v>266</v>
      </c>
      <c r="N8880" t="s">
        <v>64230</v>
      </c>
      <c r="O8880" t="s">
        <v>64231</v>
      </c>
      <c r="Q8880">
        <v>0</v>
      </c>
      <c r="R8880">
        <v>251</v>
      </c>
      <c r="S8880">
        <v>0</v>
      </c>
      <c r="T8880" t="s">
        <v>64232</v>
      </c>
    </row>
    <row r="8881" spans="1:20" customFormat="1" ht="15" x14ac:dyDescent="0.25">
      <c r="A8881" t="s">
        <v>24</v>
      </c>
      <c r="B8881" t="s">
        <v>193</v>
      </c>
      <c r="C8881" t="str">
        <f>"A0060716"</f>
        <v>A0060716</v>
      </c>
      <c r="D8881" t="s">
        <v>33437</v>
      </c>
      <c r="E8881" t="s">
        <v>33438</v>
      </c>
      <c r="F8881" t="s">
        <v>33439</v>
      </c>
      <c r="G8881" t="s">
        <v>71</v>
      </c>
      <c r="H8881">
        <v>54902</v>
      </c>
      <c r="I8881" t="s">
        <v>30</v>
      </c>
      <c r="J8881" t="s">
        <v>31</v>
      </c>
      <c r="K8881" t="s">
        <v>5885</v>
      </c>
      <c r="N8881" t="s">
        <v>33440</v>
      </c>
      <c r="Q8881">
        <v>0</v>
      </c>
      <c r="R8881">
        <v>64</v>
      </c>
      <c r="S8881">
        <v>0</v>
      </c>
      <c r="T8881" t="s">
        <v>33441</v>
      </c>
    </row>
    <row r="8882" spans="1:20" customFormat="1" ht="15" x14ac:dyDescent="0.25">
      <c r="A8882" t="s">
        <v>24</v>
      </c>
      <c r="B8882" t="s">
        <v>13299</v>
      </c>
      <c r="C8882" t="str">
        <f>"A0094127"</f>
        <v>A0094127</v>
      </c>
      <c r="D8882" t="s">
        <v>64233</v>
      </c>
      <c r="E8882" t="s">
        <v>64234</v>
      </c>
      <c r="F8882" t="s">
        <v>64235</v>
      </c>
      <c r="G8882" t="s">
        <v>214</v>
      </c>
      <c r="H8882">
        <v>27612</v>
      </c>
      <c r="I8882" t="s">
        <v>30</v>
      </c>
      <c r="J8882" t="s">
        <v>162</v>
      </c>
      <c r="K8882" t="s">
        <v>266</v>
      </c>
      <c r="N8882" t="s">
        <v>64236</v>
      </c>
      <c r="O8882" t="s">
        <v>64237</v>
      </c>
      <c r="Q8882">
        <v>0</v>
      </c>
      <c r="R8882">
        <v>225</v>
      </c>
      <c r="S8882">
        <v>0</v>
      </c>
      <c r="T8882" t="s">
        <v>64238</v>
      </c>
    </row>
    <row r="8883" spans="1:20" customFormat="1" ht="15" x14ac:dyDescent="0.25">
      <c r="A8883" t="s">
        <v>24</v>
      </c>
      <c r="B8883" t="s">
        <v>56277</v>
      </c>
      <c r="C8883" t="str">
        <f>"A0055805"</f>
        <v>A0055805</v>
      </c>
      <c r="D8883" t="s">
        <v>64239</v>
      </c>
      <c r="E8883" t="s">
        <v>64240</v>
      </c>
      <c r="F8883" t="s">
        <v>6927</v>
      </c>
      <c r="G8883" t="s">
        <v>214</v>
      </c>
      <c r="H8883">
        <v>27513</v>
      </c>
      <c r="I8883" t="s">
        <v>30</v>
      </c>
      <c r="J8883" t="s">
        <v>162</v>
      </c>
      <c r="K8883" t="s">
        <v>266</v>
      </c>
      <c r="N8883" t="s">
        <v>64241</v>
      </c>
      <c r="O8883" t="s">
        <v>64242</v>
      </c>
      <c r="Q8883">
        <v>0</v>
      </c>
      <c r="R8883">
        <v>273</v>
      </c>
      <c r="S8883">
        <v>0</v>
      </c>
      <c r="T8883" t="s">
        <v>64243</v>
      </c>
    </row>
    <row r="8884" spans="1:20" customFormat="1" ht="15" x14ac:dyDescent="0.25">
      <c r="A8884" t="s">
        <v>24</v>
      </c>
      <c r="B8884" t="s">
        <v>13679</v>
      </c>
      <c r="C8884" t="str">
        <f>"A0091054"</f>
        <v>A0091054</v>
      </c>
      <c r="D8884" t="s">
        <v>64244</v>
      </c>
      <c r="E8884" t="s">
        <v>64245</v>
      </c>
      <c r="F8884" t="s">
        <v>356</v>
      </c>
      <c r="G8884" t="s">
        <v>52</v>
      </c>
      <c r="H8884">
        <v>78205</v>
      </c>
      <c r="I8884" t="s">
        <v>30</v>
      </c>
      <c r="J8884" t="s">
        <v>162</v>
      </c>
      <c r="K8884" t="s">
        <v>266</v>
      </c>
      <c r="N8884" t="s">
        <v>64246</v>
      </c>
      <c r="Q8884">
        <v>0</v>
      </c>
      <c r="R8884">
        <v>285</v>
      </c>
      <c r="S8884">
        <v>0</v>
      </c>
      <c r="T8884" t="s">
        <v>64247</v>
      </c>
    </row>
    <row r="8885" spans="1:20" customFormat="1" ht="15" x14ac:dyDescent="0.25">
      <c r="A8885" t="s">
        <v>35</v>
      </c>
      <c r="B8885" t="s">
        <v>119</v>
      </c>
      <c r="C8885" t="str">
        <f>"A0180459"</f>
        <v>A0180459</v>
      </c>
      <c r="D8885" t="s">
        <v>33456</v>
      </c>
      <c r="E8885" t="s">
        <v>33457</v>
      </c>
      <c r="F8885" t="s">
        <v>9365</v>
      </c>
      <c r="G8885" t="s">
        <v>29</v>
      </c>
      <c r="H8885">
        <v>23116</v>
      </c>
      <c r="I8885" t="s">
        <v>30</v>
      </c>
      <c r="J8885" t="s">
        <v>41</v>
      </c>
      <c r="K8885" t="s">
        <v>229</v>
      </c>
      <c r="Q8885">
        <v>0</v>
      </c>
      <c r="R8885">
        <v>137</v>
      </c>
      <c r="S8885">
        <v>137</v>
      </c>
      <c r="T8885" t="s">
        <v>126</v>
      </c>
    </row>
    <row r="8886" spans="1:20" customFormat="1" ht="15" x14ac:dyDescent="0.25">
      <c r="A8886" t="s">
        <v>35</v>
      </c>
      <c r="B8886" t="s">
        <v>61</v>
      </c>
      <c r="C8886" t="str">
        <f>"A0180458"</f>
        <v>A0180458</v>
      </c>
      <c r="D8886" t="s">
        <v>33458</v>
      </c>
      <c r="E8886" t="s">
        <v>22725</v>
      </c>
      <c r="F8886" t="s">
        <v>33459</v>
      </c>
      <c r="G8886" t="s">
        <v>81</v>
      </c>
      <c r="H8886">
        <v>32079</v>
      </c>
      <c r="I8886" t="s">
        <v>30</v>
      </c>
      <c r="J8886" t="s">
        <v>41</v>
      </c>
      <c r="K8886" t="s">
        <v>229</v>
      </c>
      <c r="Q8886">
        <v>0</v>
      </c>
      <c r="R8886">
        <v>0</v>
      </c>
      <c r="S8886">
        <v>0</v>
      </c>
      <c r="T8886" t="s">
        <v>72</v>
      </c>
    </row>
    <row r="8887" spans="1:20" customFormat="1" ht="15" x14ac:dyDescent="0.25">
      <c r="A8887" t="s">
        <v>35</v>
      </c>
      <c r="B8887" t="s">
        <v>54</v>
      </c>
      <c r="C8887" t="str">
        <f>"A0180457"</f>
        <v>A0180457</v>
      </c>
      <c r="D8887" t="s">
        <v>33460</v>
      </c>
      <c r="E8887" t="s">
        <v>33461</v>
      </c>
      <c r="F8887" t="s">
        <v>33462</v>
      </c>
      <c r="G8887" t="s">
        <v>85</v>
      </c>
      <c r="H8887">
        <v>72501</v>
      </c>
      <c r="I8887" t="s">
        <v>30</v>
      </c>
      <c r="J8887" t="s">
        <v>41</v>
      </c>
      <c r="K8887" t="s">
        <v>229</v>
      </c>
      <c r="Q8887">
        <v>0</v>
      </c>
      <c r="R8887">
        <v>150</v>
      </c>
      <c r="S8887">
        <v>150</v>
      </c>
      <c r="T8887" t="s">
        <v>33463</v>
      </c>
    </row>
    <row r="8888" spans="1:20" customFormat="1" ht="15" x14ac:dyDescent="0.25">
      <c r="A8888" t="s">
        <v>35</v>
      </c>
      <c r="B8888" t="s">
        <v>5690</v>
      </c>
      <c r="C8888" t="str">
        <f>"A0180456"</f>
        <v>A0180456</v>
      </c>
      <c r="D8888" t="s">
        <v>33464</v>
      </c>
      <c r="E8888" t="s">
        <v>33465</v>
      </c>
      <c r="F8888" t="s">
        <v>11777</v>
      </c>
      <c r="G8888" t="s">
        <v>880</v>
      </c>
      <c r="H8888">
        <v>37043</v>
      </c>
      <c r="I8888" t="s">
        <v>30</v>
      </c>
      <c r="J8888" t="s">
        <v>41</v>
      </c>
      <c r="K8888" t="s">
        <v>229</v>
      </c>
      <c r="Q8888">
        <v>0</v>
      </c>
      <c r="R8888">
        <v>121</v>
      </c>
      <c r="S8888">
        <v>121</v>
      </c>
      <c r="T8888" t="s">
        <v>33466</v>
      </c>
    </row>
    <row r="8889" spans="1:20" customFormat="1" ht="15" x14ac:dyDescent="0.25">
      <c r="A8889" t="s">
        <v>35</v>
      </c>
      <c r="B8889" t="s">
        <v>61</v>
      </c>
      <c r="C8889" t="str">
        <f>"A0180455"</f>
        <v>A0180455</v>
      </c>
      <c r="D8889" t="s">
        <v>33467</v>
      </c>
      <c r="E8889" t="s">
        <v>33468</v>
      </c>
      <c r="F8889" t="s">
        <v>21958</v>
      </c>
      <c r="G8889" t="s">
        <v>110</v>
      </c>
      <c r="H8889">
        <v>94952</v>
      </c>
      <c r="I8889" t="s">
        <v>30</v>
      </c>
      <c r="J8889" t="s">
        <v>41</v>
      </c>
      <c r="K8889" t="s">
        <v>229</v>
      </c>
      <c r="Q8889">
        <v>0</v>
      </c>
      <c r="R8889">
        <v>98</v>
      </c>
      <c r="S8889">
        <v>98</v>
      </c>
      <c r="T8889" t="s">
        <v>33469</v>
      </c>
    </row>
    <row r="8890" spans="1:20" customFormat="1" ht="15" x14ac:dyDescent="0.25">
      <c r="A8890" t="s">
        <v>35</v>
      </c>
      <c r="B8890" t="s">
        <v>61</v>
      </c>
      <c r="C8890" t="str">
        <f>"A0180454"</f>
        <v>A0180454</v>
      </c>
      <c r="D8890" t="s">
        <v>33470</v>
      </c>
      <c r="E8890" t="s">
        <v>33471</v>
      </c>
      <c r="F8890" t="s">
        <v>14657</v>
      </c>
      <c r="G8890" t="s">
        <v>840</v>
      </c>
      <c r="H8890">
        <v>40741</v>
      </c>
      <c r="I8890" t="s">
        <v>30</v>
      </c>
      <c r="J8890" t="s">
        <v>41</v>
      </c>
      <c r="K8890" t="s">
        <v>229</v>
      </c>
      <c r="Q8890">
        <v>0</v>
      </c>
      <c r="R8890">
        <v>160</v>
      </c>
      <c r="S8890">
        <v>160</v>
      </c>
      <c r="T8890" t="s">
        <v>33472</v>
      </c>
    </row>
    <row r="8891" spans="1:20" customFormat="1" ht="15" x14ac:dyDescent="0.25">
      <c r="A8891" t="s">
        <v>35</v>
      </c>
      <c r="B8891" t="s">
        <v>61</v>
      </c>
      <c r="C8891" t="str">
        <f>"A0180453"</f>
        <v>A0180453</v>
      </c>
      <c r="D8891" t="s">
        <v>33473</v>
      </c>
      <c r="E8891" t="s">
        <v>33474</v>
      </c>
      <c r="F8891" t="s">
        <v>8024</v>
      </c>
      <c r="G8891" t="s">
        <v>90</v>
      </c>
      <c r="H8891">
        <v>2907</v>
      </c>
      <c r="I8891" t="s">
        <v>30</v>
      </c>
      <c r="J8891" t="s">
        <v>41</v>
      </c>
      <c r="K8891" t="s">
        <v>59</v>
      </c>
      <c r="Q8891">
        <v>0</v>
      </c>
      <c r="R8891">
        <v>0</v>
      </c>
      <c r="S8891">
        <v>0</v>
      </c>
      <c r="T8891" t="s">
        <v>33475</v>
      </c>
    </row>
    <row r="8892" spans="1:20" customFormat="1" ht="15" x14ac:dyDescent="0.25">
      <c r="A8892" t="s">
        <v>35</v>
      </c>
      <c r="B8892" t="s">
        <v>61</v>
      </c>
      <c r="C8892" t="str">
        <f>"A0180452"</f>
        <v>A0180452</v>
      </c>
      <c r="D8892" t="s">
        <v>33476</v>
      </c>
      <c r="E8892" t="s">
        <v>33477</v>
      </c>
      <c r="F8892" t="s">
        <v>16826</v>
      </c>
      <c r="G8892" t="s">
        <v>840</v>
      </c>
      <c r="H8892">
        <v>41018</v>
      </c>
      <c r="I8892" t="s">
        <v>30</v>
      </c>
      <c r="J8892" t="s">
        <v>41</v>
      </c>
      <c r="K8892" t="s">
        <v>59</v>
      </c>
      <c r="Q8892">
        <v>0</v>
      </c>
      <c r="R8892">
        <v>0</v>
      </c>
      <c r="S8892">
        <v>0</v>
      </c>
      <c r="T8892" t="s">
        <v>33478</v>
      </c>
    </row>
    <row r="8893" spans="1:20" customFormat="1" ht="15" x14ac:dyDescent="0.25">
      <c r="A8893" t="s">
        <v>35</v>
      </c>
      <c r="B8893" t="s">
        <v>61</v>
      </c>
      <c r="C8893" t="str">
        <f>"A0180451"</f>
        <v>A0180451</v>
      </c>
      <c r="D8893" t="s">
        <v>33479</v>
      </c>
      <c r="E8893" t="s">
        <v>33480</v>
      </c>
      <c r="F8893" t="s">
        <v>19689</v>
      </c>
      <c r="G8893" t="s">
        <v>161</v>
      </c>
      <c r="H8893">
        <v>55405</v>
      </c>
      <c r="I8893" t="s">
        <v>30</v>
      </c>
      <c r="J8893" t="s">
        <v>41</v>
      </c>
      <c r="K8893" t="s">
        <v>59</v>
      </c>
      <c r="Q8893">
        <v>0</v>
      </c>
      <c r="R8893">
        <v>0</v>
      </c>
      <c r="S8893">
        <v>0</v>
      </c>
      <c r="T8893" t="s">
        <v>72</v>
      </c>
    </row>
    <row r="8894" spans="1:20" customFormat="1" ht="15" x14ac:dyDescent="0.25">
      <c r="A8894" t="s">
        <v>35</v>
      </c>
      <c r="B8894" t="s">
        <v>61</v>
      </c>
      <c r="C8894" t="str">
        <f>"A0180450"</f>
        <v>A0180450</v>
      </c>
      <c r="D8894" t="s">
        <v>33481</v>
      </c>
      <c r="E8894" t="s">
        <v>33482</v>
      </c>
      <c r="F8894" t="s">
        <v>11884</v>
      </c>
      <c r="G8894" t="s">
        <v>71</v>
      </c>
      <c r="H8894">
        <v>54904</v>
      </c>
      <c r="I8894" t="s">
        <v>30</v>
      </c>
      <c r="J8894" t="s">
        <v>41</v>
      </c>
      <c r="K8894" t="s">
        <v>59</v>
      </c>
      <c r="Q8894">
        <v>0</v>
      </c>
      <c r="R8894">
        <v>0</v>
      </c>
      <c r="S8894">
        <v>0</v>
      </c>
      <c r="T8894" t="s">
        <v>72</v>
      </c>
    </row>
    <row r="8895" spans="1:20" customFormat="1" ht="15" x14ac:dyDescent="0.25">
      <c r="A8895" t="s">
        <v>35</v>
      </c>
      <c r="B8895" t="s">
        <v>61</v>
      </c>
      <c r="C8895" t="str">
        <f>"A0180449"</f>
        <v>A0180449</v>
      </c>
      <c r="D8895" t="s">
        <v>33483</v>
      </c>
      <c r="E8895" t="s">
        <v>33484</v>
      </c>
      <c r="F8895" t="s">
        <v>11831</v>
      </c>
      <c r="G8895" t="s">
        <v>161</v>
      </c>
      <c r="H8895">
        <v>56537</v>
      </c>
      <c r="I8895" t="s">
        <v>30</v>
      </c>
      <c r="J8895" t="s">
        <v>41</v>
      </c>
      <c r="K8895" t="s">
        <v>59</v>
      </c>
      <c r="Q8895">
        <v>0</v>
      </c>
      <c r="R8895">
        <v>0</v>
      </c>
      <c r="S8895">
        <v>0</v>
      </c>
      <c r="T8895" t="s">
        <v>72</v>
      </c>
    </row>
    <row r="8896" spans="1:20" customFormat="1" ht="15" x14ac:dyDescent="0.25">
      <c r="A8896" t="s">
        <v>35</v>
      </c>
      <c r="B8896" t="s">
        <v>119</v>
      </c>
      <c r="C8896" t="str">
        <f>"A0180448"</f>
        <v>A0180448</v>
      </c>
      <c r="D8896" t="s">
        <v>33485</v>
      </c>
      <c r="E8896" t="s">
        <v>33486</v>
      </c>
      <c r="F8896" t="s">
        <v>15684</v>
      </c>
      <c r="G8896" t="s">
        <v>214</v>
      </c>
      <c r="H8896">
        <v>27106</v>
      </c>
      <c r="I8896" t="s">
        <v>30</v>
      </c>
      <c r="J8896" t="s">
        <v>41</v>
      </c>
      <c r="K8896" t="s">
        <v>59</v>
      </c>
      <c r="Q8896">
        <v>0</v>
      </c>
      <c r="R8896">
        <v>157</v>
      </c>
      <c r="S8896">
        <v>157</v>
      </c>
      <c r="T8896" t="s">
        <v>33487</v>
      </c>
    </row>
    <row r="8897" spans="1:20" customFormat="1" ht="15" x14ac:dyDescent="0.25">
      <c r="A8897" t="s">
        <v>35</v>
      </c>
      <c r="B8897" t="s">
        <v>61</v>
      </c>
      <c r="C8897" t="str">
        <f>"A0180447"</f>
        <v>A0180447</v>
      </c>
      <c r="D8897" t="s">
        <v>33488</v>
      </c>
      <c r="E8897" t="s">
        <v>33489</v>
      </c>
      <c r="F8897" t="s">
        <v>89</v>
      </c>
      <c r="G8897" t="s">
        <v>90</v>
      </c>
      <c r="H8897">
        <v>2886</v>
      </c>
      <c r="I8897" t="s">
        <v>30</v>
      </c>
      <c r="J8897" t="s">
        <v>41</v>
      </c>
      <c r="K8897" t="s">
        <v>59</v>
      </c>
      <c r="Q8897">
        <v>0</v>
      </c>
      <c r="R8897">
        <v>0</v>
      </c>
      <c r="S8897">
        <v>0</v>
      </c>
      <c r="T8897" t="s">
        <v>33490</v>
      </c>
    </row>
    <row r="8898" spans="1:20" customFormat="1" ht="15" x14ac:dyDescent="0.25">
      <c r="A8898" t="s">
        <v>35</v>
      </c>
      <c r="B8898" t="s">
        <v>54</v>
      </c>
      <c r="C8898" t="str">
        <f>"A0180446"</f>
        <v>A0180446</v>
      </c>
      <c r="D8898" t="s">
        <v>33491</v>
      </c>
      <c r="E8898" t="s">
        <v>33492</v>
      </c>
      <c r="F8898" t="s">
        <v>24503</v>
      </c>
      <c r="G8898" t="s">
        <v>880</v>
      </c>
      <c r="H8898">
        <v>72301</v>
      </c>
      <c r="I8898" t="s">
        <v>30</v>
      </c>
      <c r="J8898" t="s">
        <v>41</v>
      </c>
      <c r="K8898" t="s">
        <v>59</v>
      </c>
      <c r="Q8898">
        <v>0</v>
      </c>
      <c r="R8898">
        <v>119</v>
      </c>
      <c r="S8898">
        <v>119</v>
      </c>
      <c r="T8898" t="s">
        <v>33493</v>
      </c>
    </row>
    <row r="8899" spans="1:20" customFormat="1" ht="15" x14ac:dyDescent="0.25">
      <c r="A8899" t="s">
        <v>35</v>
      </c>
      <c r="B8899" t="s">
        <v>61</v>
      </c>
      <c r="C8899" t="str">
        <f>"A0180445"</f>
        <v>A0180445</v>
      </c>
      <c r="D8899" t="s">
        <v>33494</v>
      </c>
      <c r="E8899" t="s">
        <v>33495</v>
      </c>
      <c r="F8899" t="s">
        <v>33496</v>
      </c>
      <c r="G8899" t="s">
        <v>144</v>
      </c>
      <c r="H8899">
        <v>58503</v>
      </c>
      <c r="I8899" t="s">
        <v>30</v>
      </c>
      <c r="J8899" t="s">
        <v>41</v>
      </c>
      <c r="K8899" t="s">
        <v>59</v>
      </c>
      <c r="Q8899">
        <v>0</v>
      </c>
      <c r="R8899">
        <v>0</v>
      </c>
      <c r="S8899">
        <v>0</v>
      </c>
      <c r="T8899" t="s">
        <v>72</v>
      </c>
    </row>
    <row r="8900" spans="1:20" customFormat="1" ht="15" x14ac:dyDescent="0.25">
      <c r="A8900" t="s">
        <v>35</v>
      </c>
      <c r="B8900" t="s">
        <v>119</v>
      </c>
      <c r="C8900" t="str">
        <f>"A0180444"</f>
        <v>A0180444</v>
      </c>
      <c r="D8900" t="s">
        <v>33497</v>
      </c>
      <c r="E8900" t="s">
        <v>33457</v>
      </c>
      <c r="F8900" t="s">
        <v>9365</v>
      </c>
      <c r="G8900" t="s">
        <v>29</v>
      </c>
      <c r="H8900">
        <v>23116</v>
      </c>
      <c r="I8900" t="s">
        <v>30</v>
      </c>
      <c r="J8900" t="s">
        <v>41</v>
      </c>
      <c r="K8900" t="s">
        <v>59</v>
      </c>
      <c r="Q8900">
        <v>0</v>
      </c>
      <c r="R8900">
        <v>137</v>
      </c>
      <c r="S8900">
        <v>137</v>
      </c>
      <c r="T8900" t="s">
        <v>126</v>
      </c>
    </row>
    <row r="8901" spans="1:20" customFormat="1" ht="15" x14ac:dyDescent="0.25">
      <c r="A8901" t="s">
        <v>35</v>
      </c>
      <c r="B8901" t="s">
        <v>61</v>
      </c>
      <c r="C8901" t="str">
        <f>"A0180443"</f>
        <v>A0180443</v>
      </c>
      <c r="D8901" t="s">
        <v>33498</v>
      </c>
      <c r="E8901" t="s">
        <v>33499</v>
      </c>
      <c r="F8901" t="s">
        <v>1394</v>
      </c>
      <c r="G8901" t="s">
        <v>161</v>
      </c>
      <c r="H8901">
        <v>55407</v>
      </c>
      <c r="I8901" t="s">
        <v>30</v>
      </c>
      <c r="J8901" t="s">
        <v>41</v>
      </c>
      <c r="K8901" t="s">
        <v>59</v>
      </c>
      <c r="Q8901">
        <v>0</v>
      </c>
      <c r="R8901">
        <v>0</v>
      </c>
      <c r="S8901">
        <v>0</v>
      </c>
      <c r="T8901" t="s">
        <v>72</v>
      </c>
    </row>
    <row r="8902" spans="1:20" customFormat="1" ht="15" x14ac:dyDescent="0.25">
      <c r="A8902" t="s">
        <v>35</v>
      </c>
      <c r="B8902" t="s">
        <v>54</v>
      </c>
      <c r="C8902" t="str">
        <f>"A0180442"</f>
        <v>A0180442</v>
      </c>
      <c r="D8902" t="s">
        <v>33500</v>
      </c>
      <c r="E8902" t="s">
        <v>33501</v>
      </c>
      <c r="F8902" t="s">
        <v>1916</v>
      </c>
      <c r="G8902" t="s">
        <v>880</v>
      </c>
      <c r="H8902">
        <v>37620</v>
      </c>
      <c r="I8902" t="s">
        <v>30</v>
      </c>
      <c r="J8902" t="s">
        <v>41</v>
      </c>
      <c r="K8902" t="s">
        <v>59</v>
      </c>
      <c r="Q8902">
        <v>0</v>
      </c>
      <c r="R8902">
        <v>130</v>
      </c>
      <c r="S8902">
        <v>130</v>
      </c>
      <c r="T8902" t="s">
        <v>33502</v>
      </c>
    </row>
    <row r="8903" spans="1:20" customFormat="1" ht="15" x14ac:dyDescent="0.25">
      <c r="A8903" t="s">
        <v>35</v>
      </c>
      <c r="B8903" t="s">
        <v>61</v>
      </c>
      <c r="C8903" t="str">
        <f>"A0180441"</f>
        <v>A0180441</v>
      </c>
      <c r="D8903" t="s">
        <v>33503</v>
      </c>
      <c r="E8903" t="s">
        <v>33504</v>
      </c>
      <c r="F8903" t="s">
        <v>19689</v>
      </c>
      <c r="G8903" t="s">
        <v>161</v>
      </c>
      <c r="H8903">
        <v>55405</v>
      </c>
      <c r="I8903" t="s">
        <v>30</v>
      </c>
      <c r="J8903" t="s">
        <v>41</v>
      </c>
      <c r="K8903" t="s">
        <v>59</v>
      </c>
      <c r="Q8903">
        <v>0</v>
      </c>
      <c r="R8903">
        <v>0</v>
      </c>
      <c r="S8903">
        <v>0</v>
      </c>
      <c r="T8903" t="s">
        <v>72</v>
      </c>
    </row>
    <row r="8904" spans="1:20" customFormat="1" ht="15" x14ac:dyDescent="0.25">
      <c r="A8904" t="s">
        <v>35</v>
      </c>
      <c r="B8904" t="s">
        <v>61</v>
      </c>
      <c r="C8904" t="str">
        <f>"A0180440"</f>
        <v>A0180440</v>
      </c>
      <c r="D8904" t="s">
        <v>33505</v>
      </c>
      <c r="E8904" t="s">
        <v>33506</v>
      </c>
      <c r="F8904" t="s">
        <v>33507</v>
      </c>
      <c r="G8904" t="s">
        <v>81</v>
      </c>
      <c r="H8904">
        <v>33160</v>
      </c>
      <c r="I8904" t="s">
        <v>30</v>
      </c>
      <c r="J8904" t="s">
        <v>41</v>
      </c>
      <c r="K8904" t="s">
        <v>59</v>
      </c>
      <c r="Q8904">
        <v>0</v>
      </c>
      <c r="R8904">
        <v>0</v>
      </c>
      <c r="S8904">
        <v>0</v>
      </c>
      <c r="T8904" t="s">
        <v>33508</v>
      </c>
    </row>
    <row r="8905" spans="1:20" customFormat="1" ht="15" x14ac:dyDescent="0.25">
      <c r="A8905" t="s">
        <v>35</v>
      </c>
      <c r="B8905" t="s">
        <v>61</v>
      </c>
      <c r="C8905" t="str">
        <f>"A0180439"</f>
        <v>A0180439</v>
      </c>
      <c r="D8905" t="s">
        <v>33509</v>
      </c>
      <c r="E8905" t="s">
        <v>33510</v>
      </c>
      <c r="F8905" t="s">
        <v>30240</v>
      </c>
      <c r="G8905" t="s">
        <v>29</v>
      </c>
      <c r="H8905">
        <v>22844</v>
      </c>
      <c r="I8905" t="s">
        <v>30</v>
      </c>
      <c r="J8905" t="s">
        <v>41</v>
      </c>
      <c r="K8905" t="s">
        <v>59</v>
      </c>
      <c r="Q8905">
        <v>0</v>
      </c>
      <c r="R8905">
        <v>30</v>
      </c>
      <c r="S8905">
        <v>30</v>
      </c>
      <c r="T8905" t="s">
        <v>33511</v>
      </c>
    </row>
    <row r="8906" spans="1:20" customFormat="1" ht="15" x14ac:dyDescent="0.25">
      <c r="A8906" t="s">
        <v>35</v>
      </c>
      <c r="B8906" t="s">
        <v>61</v>
      </c>
      <c r="C8906" t="str">
        <f>"A0180438"</f>
        <v>A0180438</v>
      </c>
      <c r="D8906" t="s">
        <v>33512</v>
      </c>
      <c r="E8906" t="s">
        <v>33513</v>
      </c>
      <c r="F8906" t="s">
        <v>5772</v>
      </c>
      <c r="G8906" t="s">
        <v>161</v>
      </c>
      <c r="H8906">
        <v>55901</v>
      </c>
      <c r="I8906" t="s">
        <v>30</v>
      </c>
      <c r="J8906" t="s">
        <v>41</v>
      </c>
      <c r="K8906" t="s">
        <v>59</v>
      </c>
      <c r="Q8906">
        <v>0</v>
      </c>
      <c r="R8906">
        <v>0</v>
      </c>
      <c r="S8906">
        <v>0</v>
      </c>
      <c r="T8906" t="s">
        <v>72</v>
      </c>
    </row>
    <row r="8907" spans="1:20" customFormat="1" ht="15" x14ac:dyDescent="0.25">
      <c r="A8907" t="s">
        <v>35</v>
      </c>
      <c r="B8907" t="s">
        <v>54</v>
      </c>
      <c r="C8907" t="str">
        <f>"A0180437"</f>
        <v>A0180437</v>
      </c>
      <c r="D8907" t="s">
        <v>33514</v>
      </c>
      <c r="E8907" t="s">
        <v>33492</v>
      </c>
      <c r="F8907" t="s">
        <v>24503</v>
      </c>
      <c r="G8907" t="s">
        <v>85</v>
      </c>
      <c r="H8907">
        <v>72301</v>
      </c>
      <c r="I8907" t="s">
        <v>30</v>
      </c>
      <c r="J8907" t="s">
        <v>41</v>
      </c>
      <c r="K8907" t="s">
        <v>59</v>
      </c>
      <c r="Q8907">
        <v>0</v>
      </c>
      <c r="R8907">
        <v>0</v>
      </c>
      <c r="S8907">
        <v>0</v>
      </c>
      <c r="T8907" t="s">
        <v>33493</v>
      </c>
    </row>
    <row r="8908" spans="1:20" customFormat="1" ht="15" x14ac:dyDescent="0.25">
      <c r="A8908" t="s">
        <v>35</v>
      </c>
      <c r="B8908" t="s">
        <v>61</v>
      </c>
      <c r="C8908" t="str">
        <f>"A0180436"</f>
        <v>A0180436</v>
      </c>
      <c r="D8908" t="s">
        <v>33515</v>
      </c>
      <c r="E8908" t="s">
        <v>33516</v>
      </c>
      <c r="F8908" t="s">
        <v>11740</v>
      </c>
      <c r="G8908" t="s">
        <v>1898</v>
      </c>
      <c r="H8908">
        <v>52404</v>
      </c>
      <c r="I8908" t="s">
        <v>30</v>
      </c>
      <c r="J8908" t="s">
        <v>41</v>
      </c>
      <c r="K8908" t="s">
        <v>59</v>
      </c>
      <c r="Q8908">
        <v>0</v>
      </c>
      <c r="R8908">
        <v>0</v>
      </c>
      <c r="S8908">
        <v>0</v>
      </c>
      <c r="T8908" t="s">
        <v>72</v>
      </c>
    </row>
    <row r="8909" spans="1:20" customFormat="1" ht="15" x14ac:dyDescent="0.25">
      <c r="A8909" t="s">
        <v>35</v>
      </c>
      <c r="B8909" t="s">
        <v>61</v>
      </c>
      <c r="C8909" t="str">
        <f>"A0180435"</f>
        <v>A0180435</v>
      </c>
      <c r="D8909" t="s">
        <v>33517</v>
      </c>
      <c r="E8909" t="s">
        <v>33518</v>
      </c>
      <c r="F8909" t="s">
        <v>89</v>
      </c>
      <c r="G8909" t="s">
        <v>90</v>
      </c>
      <c r="H8909">
        <v>2889</v>
      </c>
      <c r="I8909" t="s">
        <v>30</v>
      </c>
      <c r="J8909" t="s">
        <v>41</v>
      </c>
      <c r="K8909" t="s">
        <v>59</v>
      </c>
      <c r="Q8909">
        <v>0</v>
      </c>
      <c r="R8909">
        <v>0</v>
      </c>
      <c r="S8909">
        <v>0</v>
      </c>
      <c r="T8909" t="s">
        <v>33519</v>
      </c>
    </row>
    <row r="8910" spans="1:20" customFormat="1" ht="15" x14ac:dyDescent="0.25">
      <c r="A8910" t="s">
        <v>35</v>
      </c>
      <c r="B8910" t="s">
        <v>61</v>
      </c>
      <c r="C8910" t="str">
        <f>"A0180434"</f>
        <v>A0180434</v>
      </c>
      <c r="D8910" t="s">
        <v>33520</v>
      </c>
      <c r="E8910" t="s">
        <v>33521</v>
      </c>
      <c r="F8910" t="s">
        <v>33522</v>
      </c>
      <c r="G8910" t="s">
        <v>161</v>
      </c>
      <c r="H8910">
        <v>56071</v>
      </c>
      <c r="I8910" t="s">
        <v>30</v>
      </c>
      <c r="J8910" t="s">
        <v>41</v>
      </c>
      <c r="K8910" t="s">
        <v>59</v>
      </c>
      <c r="Q8910">
        <v>0</v>
      </c>
      <c r="R8910">
        <v>0</v>
      </c>
      <c r="S8910">
        <v>0</v>
      </c>
      <c r="T8910" t="s">
        <v>72</v>
      </c>
    </row>
    <row r="8911" spans="1:20" customFormat="1" ht="15" x14ac:dyDescent="0.25">
      <c r="A8911" t="s">
        <v>35</v>
      </c>
      <c r="B8911" t="s">
        <v>54</v>
      </c>
      <c r="C8911" t="str">
        <f>"A0180433"</f>
        <v>A0180433</v>
      </c>
      <c r="D8911" t="s">
        <v>33523</v>
      </c>
      <c r="E8911" t="s">
        <v>33524</v>
      </c>
      <c r="F8911" t="s">
        <v>1743</v>
      </c>
      <c r="G8911" t="s">
        <v>85</v>
      </c>
      <c r="H8911">
        <v>72404</v>
      </c>
      <c r="I8911" t="s">
        <v>30</v>
      </c>
      <c r="J8911" t="s">
        <v>41</v>
      </c>
      <c r="K8911" t="s">
        <v>59</v>
      </c>
      <c r="Q8911">
        <v>0</v>
      </c>
      <c r="R8911">
        <v>0</v>
      </c>
      <c r="S8911">
        <v>0</v>
      </c>
      <c r="T8911" t="s">
        <v>33258</v>
      </c>
    </row>
    <row r="8912" spans="1:20" customFormat="1" ht="15" x14ac:dyDescent="0.25">
      <c r="A8912" t="s">
        <v>35</v>
      </c>
      <c r="B8912" t="s">
        <v>54</v>
      </c>
      <c r="C8912" t="str">
        <f>"A0180432"</f>
        <v>A0180432</v>
      </c>
      <c r="D8912" t="s">
        <v>33525</v>
      </c>
      <c r="E8912" t="s">
        <v>33526</v>
      </c>
      <c r="F8912" t="s">
        <v>1420</v>
      </c>
      <c r="G8912" t="s">
        <v>85</v>
      </c>
      <c r="H8912">
        <v>72301</v>
      </c>
      <c r="I8912" t="s">
        <v>30</v>
      </c>
      <c r="J8912" t="s">
        <v>41</v>
      </c>
      <c r="K8912" t="s">
        <v>59</v>
      </c>
      <c r="Q8912">
        <v>0</v>
      </c>
      <c r="R8912">
        <v>0</v>
      </c>
      <c r="S8912">
        <v>0</v>
      </c>
      <c r="T8912" t="s">
        <v>33527</v>
      </c>
    </row>
    <row r="8913" spans="1:20" customFormat="1" ht="15" x14ac:dyDescent="0.25">
      <c r="A8913" t="s">
        <v>35</v>
      </c>
      <c r="B8913" t="s">
        <v>61</v>
      </c>
      <c r="C8913" t="str">
        <f>"A0180431"</f>
        <v>A0180431</v>
      </c>
      <c r="D8913" t="s">
        <v>33528</v>
      </c>
      <c r="E8913" t="s">
        <v>33529</v>
      </c>
      <c r="F8913" t="s">
        <v>1431</v>
      </c>
      <c r="G8913" t="s">
        <v>47</v>
      </c>
      <c r="H8913">
        <v>97221</v>
      </c>
      <c r="I8913" t="s">
        <v>30</v>
      </c>
      <c r="J8913" t="s">
        <v>41</v>
      </c>
      <c r="K8913" t="s">
        <v>2477</v>
      </c>
      <c r="Q8913">
        <v>0</v>
      </c>
      <c r="R8913">
        <v>0</v>
      </c>
      <c r="S8913">
        <v>0</v>
      </c>
      <c r="T8913" t="s">
        <v>33530</v>
      </c>
    </row>
    <row r="8914" spans="1:20" customFormat="1" ht="15" x14ac:dyDescent="0.25">
      <c r="A8914" t="s">
        <v>35</v>
      </c>
      <c r="B8914" t="s">
        <v>61</v>
      </c>
      <c r="C8914" t="str">
        <f>"A0180430"</f>
        <v>A0180430</v>
      </c>
      <c r="D8914" t="s">
        <v>33531</v>
      </c>
      <c r="E8914" t="s">
        <v>33532</v>
      </c>
      <c r="F8914" t="s">
        <v>33533</v>
      </c>
      <c r="G8914" t="s">
        <v>58</v>
      </c>
      <c r="H8914">
        <v>29036</v>
      </c>
      <c r="I8914" t="s">
        <v>30</v>
      </c>
      <c r="J8914" t="s">
        <v>41</v>
      </c>
      <c r="K8914" t="s">
        <v>456</v>
      </c>
      <c r="Q8914">
        <v>0</v>
      </c>
      <c r="R8914">
        <v>0</v>
      </c>
      <c r="S8914">
        <v>0</v>
      </c>
      <c r="T8914" t="s">
        <v>72</v>
      </c>
    </row>
    <row r="8915" spans="1:20" customFormat="1" ht="15" x14ac:dyDescent="0.25">
      <c r="A8915" t="s">
        <v>35</v>
      </c>
      <c r="B8915" t="s">
        <v>61</v>
      </c>
      <c r="C8915" t="str">
        <f>"A0180429"</f>
        <v>A0180429</v>
      </c>
      <c r="D8915" t="s">
        <v>33534</v>
      </c>
      <c r="E8915" t="s">
        <v>33535</v>
      </c>
      <c r="F8915" t="s">
        <v>23833</v>
      </c>
      <c r="G8915" t="s">
        <v>99</v>
      </c>
      <c r="H8915">
        <v>10021</v>
      </c>
      <c r="I8915" t="s">
        <v>30</v>
      </c>
      <c r="J8915" t="s">
        <v>41</v>
      </c>
      <c r="K8915" t="s">
        <v>33536</v>
      </c>
      <c r="Q8915">
        <v>0</v>
      </c>
      <c r="R8915">
        <v>0</v>
      </c>
      <c r="S8915">
        <v>0</v>
      </c>
      <c r="T8915" t="s">
        <v>72</v>
      </c>
    </row>
    <row r="8916" spans="1:20" customFormat="1" ht="15" x14ac:dyDescent="0.25">
      <c r="A8916" t="s">
        <v>35</v>
      </c>
      <c r="B8916" t="s">
        <v>61</v>
      </c>
      <c r="C8916" t="str">
        <f>"A0180428"</f>
        <v>A0180428</v>
      </c>
      <c r="D8916" t="s">
        <v>33537</v>
      </c>
      <c r="E8916" t="s">
        <v>33538</v>
      </c>
      <c r="F8916" t="s">
        <v>9365</v>
      </c>
      <c r="G8916" t="s">
        <v>29</v>
      </c>
      <c r="H8916">
        <v>23111</v>
      </c>
      <c r="I8916" t="s">
        <v>30</v>
      </c>
      <c r="J8916" t="s">
        <v>41</v>
      </c>
      <c r="K8916" t="s">
        <v>1412</v>
      </c>
      <c r="Q8916">
        <v>0</v>
      </c>
      <c r="R8916">
        <v>0</v>
      </c>
      <c r="S8916">
        <v>0</v>
      </c>
      <c r="T8916" t="s">
        <v>33539</v>
      </c>
    </row>
    <row r="8917" spans="1:20" customFormat="1" ht="15" x14ac:dyDescent="0.25">
      <c r="A8917" t="s">
        <v>35</v>
      </c>
      <c r="B8917" t="s">
        <v>4109</v>
      </c>
      <c r="C8917" t="str">
        <f>"A0180427"</f>
        <v>A0180427</v>
      </c>
      <c r="D8917" t="s">
        <v>33540</v>
      </c>
      <c r="E8917" t="s">
        <v>33541</v>
      </c>
      <c r="F8917" t="s">
        <v>1039</v>
      </c>
      <c r="G8917" t="s">
        <v>76</v>
      </c>
      <c r="H8917">
        <v>98446</v>
      </c>
      <c r="I8917" t="s">
        <v>30</v>
      </c>
      <c r="J8917" t="s">
        <v>41</v>
      </c>
      <c r="K8917" t="s">
        <v>461</v>
      </c>
      <c r="Q8917">
        <v>0</v>
      </c>
      <c r="R8917">
        <v>40</v>
      </c>
      <c r="S8917">
        <v>40</v>
      </c>
      <c r="T8917" t="s">
        <v>33542</v>
      </c>
    </row>
    <row r="8918" spans="1:20" customFormat="1" ht="15" x14ac:dyDescent="0.25">
      <c r="A8918" t="s">
        <v>35</v>
      </c>
      <c r="B8918" t="s">
        <v>33003</v>
      </c>
      <c r="C8918" t="str">
        <f>"A0180426"</f>
        <v>A0180426</v>
      </c>
      <c r="D8918" t="s">
        <v>33543</v>
      </c>
      <c r="E8918" t="s">
        <v>33544</v>
      </c>
      <c r="F8918" t="s">
        <v>29021</v>
      </c>
      <c r="G8918" t="s">
        <v>338</v>
      </c>
      <c r="H8918">
        <v>8098</v>
      </c>
      <c r="I8918" t="s">
        <v>30</v>
      </c>
      <c r="J8918" t="s">
        <v>41</v>
      </c>
      <c r="K8918" t="s">
        <v>131</v>
      </c>
      <c r="Q8918">
        <v>0</v>
      </c>
      <c r="R8918">
        <v>0</v>
      </c>
      <c r="S8918">
        <v>0</v>
      </c>
      <c r="T8918" t="s">
        <v>72</v>
      </c>
    </row>
    <row r="8919" spans="1:20" customFormat="1" ht="15" x14ac:dyDescent="0.25">
      <c r="A8919" t="s">
        <v>35</v>
      </c>
      <c r="B8919" t="s">
        <v>33003</v>
      </c>
      <c r="C8919" t="str">
        <f>"A0180425"</f>
        <v>A0180425</v>
      </c>
      <c r="D8919" t="s">
        <v>33003</v>
      </c>
      <c r="E8919" t="s">
        <v>33545</v>
      </c>
      <c r="F8919" t="s">
        <v>3478</v>
      </c>
      <c r="G8919" t="s">
        <v>65</v>
      </c>
      <c r="H8919">
        <v>45414</v>
      </c>
      <c r="I8919" t="s">
        <v>30</v>
      </c>
      <c r="J8919" t="s">
        <v>41</v>
      </c>
      <c r="K8919" t="s">
        <v>131</v>
      </c>
      <c r="Q8919">
        <v>0</v>
      </c>
      <c r="R8919">
        <v>0</v>
      </c>
      <c r="S8919">
        <v>0</v>
      </c>
      <c r="T8919" t="s">
        <v>72</v>
      </c>
    </row>
    <row r="8920" spans="1:20" customFormat="1" ht="15" x14ac:dyDescent="0.25">
      <c r="A8920" t="s">
        <v>35</v>
      </c>
      <c r="B8920" t="s">
        <v>33003</v>
      </c>
      <c r="C8920" t="str">
        <f>"A0180424"</f>
        <v>A0180424</v>
      </c>
      <c r="D8920" t="s">
        <v>33003</v>
      </c>
      <c r="E8920" t="s">
        <v>33546</v>
      </c>
      <c r="F8920" t="s">
        <v>9690</v>
      </c>
      <c r="G8920" t="s">
        <v>65</v>
      </c>
      <c r="H8920">
        <v>45069</v>
      </c>
      <c r="I8920" t="s">
        <v>30</v>
      </c>
      <c r="J8920" t="s">
        <v>41</v>
      </c>
      <c r="K8920" t="s">
        <v>131</v>
      </c>
      <c r="Q8920">
        <v>0</v>
      </c>
      <c r="R8920">
        <v>0</v>
      </c>
      <c r="S8920">
        <v>0</v>
      </c>
      <c r="T8920" t="s">
        <v>72</v>
      </c>
    </row>
    <row r="8921" spans="1:20" customFormat="1" ht="15" x14ac:dyDescent="0.25">
      <c r="A8921" t="s">
        <v>35</v>
      </c>
      <c r="B8921" t="s">
        <v>33003</v>
      </c>
      <c r="C8921" t="str">
        <f>"A0180423"</f>
        <v>A0180423</v>
      </c>
      <c r="D8921" t="s">
        <v>33003</v>
      </c>
      <c r="E8921" t="s">
        <v>33547</v>
      </c>
      <c r="F8921" t="s">
        <v>7801</v>
      </c>
      <c r="G8921" t="s">
        <v>846</v>
      </c>
      <c r="H8921">
        <v>31410</v>
      </c>
      <c r="I8921" t="s">
        <v>30</v>
      </c>
      <c r="J8921" t="s">
        <v>41</v>
      </c>
      <c r="K8921" t="s">
        <v>131</v>
      </c>
      <c r="Q8921">
        <v>0</v>
      </c>
      <c r="R8921">
        <v>0</v>
      </c>
      <c r="S8921">
        <v>0</v>
      </c>
      <c r="T8921" t="s">
        <v>72</v>
      </c>
    </row>
    <row r="8922" spans="1:20" customFormat="1" ht="15" x14ac:dyDescent="0.25">
      <c r="A8922" t="s">
        <v>35</v>
      </c>
      <c r="B8922" t="s">
        <v>33003</v>
      </c>
      <c r="C8922" t="str">
        <f>"A0180422"</f>
        <v>A0180422</v>
      </c>
      <c r="D8922" t="s">
        <v>33003</v>
      </c>
      <c r="E8922" t="s">
        <v>33548</v>
      </c>
      <c r="F8922" t="s">
        <v>9690</v>
      </c>
      <c r="G8922" t="s">
        <v>65</v>
      </c>
      <c r="H8922">
        <v>45069</v>
      </c>
      <c r="I8922" t="s">
        <v>30</v>
      </c>
      <c r="J8922" t="s">
        <v>41</v>
      </c>
      <c r="K8922" t="s">
        <v>131</v>
      </c>
      <c r="Q8922">
        <v>0</v>
      </c>
      <c r="R8922">
        <v>0</v>
      </c>
      <c r="S8922">
        <v>0</v>
      </c>
      <c r="T8922" t="s">
        <v>72</v>
      </c>
    </row>
    <row r="8923" spans="1:20" customFormat="1" ht="15" x14ac:dyDescent="0.25">
      <c r="A8923" t="s">
        <v>35</v>
      </c>
      <c r="B8923" t="s">
        <v>2452</v>
      </c>
      <c r="C8923" t="str">
        <f>"A0180421"</f>
        <v>A0180421</v>
      </c>
      <c r="D8923" t="s">
        <v>33549</v>
      </c>
      <c r="E8923" t="s">
        <v>33550</v>
      </c>
      <c r="F8923" t="s">
        <v>3744</v>
      </c>
      <c r="G8923" t="s">
        <v>338</v>
      </c>
      <c r="H8923">
        <v>8055</v>
      </c>
      <c r="I8923" t="s">
        <v>30</v>
      </c>
      <c r="J8923" t="s">
        <v>41</v>
      </c>
      <c r="K8923" t="s">
        <v>131</v>
      </c>
      <c r="Q8923">
        <v>0</v>
      </c>
      <c r="R8923">
        <v>0</v>
      </c>
      <c r="S8923">
        <v>0</v>
      </c>
      <c r="T8923" t="s">
        <v>72</v>
      </c>
    </row>
    <row r="8924" spans="1:20" customFormat="1" ht="15" x14ac:dyDescent="0.25">
      <c r="A8924" t="s">
        <v>35</v>
      </c>
      <c r="B8924" t="s">
        <v>61</v>
      </c>
      <c r="C8924" t="str">
        <f>"A0180420"</f>
        <v>A0180420</v>
      </c>
      <c r="D8924" t="s">
        <v>33551</v>
      </c>
      <c r="E8924" t="s">
        <v>33552</v>
      </c>
      <c r="F8924" t="s">
        <v>10272</v>
      </c>
      <c r="G8924" t="s">
        <v>161</v>
      </c>
      <c r="H8924">
        <v>55371</v>
      </c>
      <c r="I8924" t="s">
        <v>30</v>
      </c>
      <c r="J8924" t="s">
        <v>41</v>
      </c>
      <c r="K8924" t="s">
        <v>391</v>
      </c>
      <c r="Q8924">
        <v>0</v>
      </c>
      <c r="R8924">
        <v>0</v>
      </c>
      <c r="S8924">
        <v>0</v>
      </c>
      <c r="T8924" t="s">
        <v>72</v>
      </c>
    </row>
    <row r="8925" spans="1:20" customFormat="1" ht="15" x14ac:dyDescent="0.25">
      <c r="A8925" t="s">
        <v>35</v>
      </c>
      <c r="B8925" t="s">
        <v>61</v>
      </c>
      <c r="C8925" t="str">
        <f>"A0180419"</f>
        <v>A0180419</v>
      </c>
      <c r="D8925" t="s">
        <v>33553</v>
      </c>
      <c r="E8925" t="s">
        <v>33554</v>
      </c>
      <c r="F8925" t="s">
        <v>89</v>
      </c>
      <c r="G8925" t="s">
        <v>90</v>
      </c>
      <c r="H8925">
        <v>2886</v>
      </c>
      <c r="I8925" t="s">
        <v>30</v>
      </c>
      <c r="J8925" t="s">
        <v>41</v>
      </c>
      <c r="K8925" t="s">
        <v>391</v>
      </c>
      <c r="Q8925">
        <v>0</v>
      </c>
      <c r="R8925">
        <v>0</v>
      </c>
      <c r="S8925">
        <v>0</v>
      </c>
      <c r="T8925" t="s">
        <v>33555</v>
      </c>
    </row>
    <row r="8926" spans="1:20" customFormat="1" ht="15" x14ac:dyDescent="0.25">
      <c r="A8926" t="s">
        <v>35</v>
      </c>
      <c r="B8926" t="s">
        <v>61</v>
      </c>
      <c r="C8926" t="str">
        <f>"A0180418"</f>
        <v>A0180418</v>
      </c>
      <c r="D8926" t="s">
        <v>33556</v>
      </c>
      <c r="E8926" t="s">
        <v>33557</v>
      </c>
      <c r="F8926" t="s">
        <v>89</v>
      </c>
      <c r="G8926" t="s">
        <v>90</v>
      </c>
      <c r="H8926">
        <v>2889</v>
      </c>
      <c r="I8926" t="s">
        <v>30</v>
      </c>
      <c r="J8926" t="s">
        <v>41</v>
      </c>
      <c r="K8926" t="s">
        <v>391</v>
      </c>
      <c r="Q8926">
        <v>0</v>
      </c>
      <c r="R8926">
        <v>0</v>
      </c>
      <c r="S8926">
        <v>0</v>
      </c>
      <c r="T8926" t="s">
        <v>33558</v>
      </c>
    </row>
    <row r="8927" spans="1:20" customFormat="1" ht="15" x14ac:dyDescent="0.25">
      <c r="A8927" t="s">
        <v>35</v>
      </c>
      <c r="B8927" t="s">
        <v>61</v>
      </c>
      <c r="C8927" t="str">
        <f>"A0180417"</f>
        <v>A0180417</v>
      </c>
      <c r="D8927" t="s">
        <v>33559</v>
      </c>
      <c r="E8927" t="s">
        <v>33560</v>
      </c>
      <c r="F8927" t="s">
        <v>1916</v>
      </c>
      <c r="G8927" t="s">
        <v>90</v>
      </c>
      <c r="H8927">
        <v>2809</v>
      </c>
      <c r="I8927" t="s">
        <v>30</v>
      </c>
      <c r="J8927" t="s">
        <v>41</v>
      </c>
      <c r="K8927" t="s">
        <v>391</v>
      </c>
      <c r="Q8927">
        <v>0</v>
      </c>
      <c r="R8927">
        <v>0</v>
      </c>
      <c r="S8927">
        <v>0</v>
      </c>
      <c r="T8927" t="s">
        <v>33561</v>
      </c>
    </row>
    <row r="8928" spans="1:20" customFormat="1" ht="15" x14ac:dyDescent="0.25">
      <c r="A8928" t="s">
        <v>35</v>
      </c>
      <c r="B8928" t="s">
        <v>36</v>
      </c>
      <c r="C8928" t="str">
        <f>"A0180416"</f>
        <v>A0180416</v>
      </c>
      <c r="D8928" t="s">
        <v>33562</v>
      </c>
      <c r="E8928" t="s">
        <v>33563</v>
      </c>
      <c r="F8928" t="s">
        <v>853</v>
      </c>
      <c r="G8928" t="s">
        <v>52</v>
      </c>
      <c r="H8928">
        <v>76133</v>
      </c>
      <c r="I8928" t="s">
        <v>30</v>
      </c>
      <c r="J8928" t="s">
        <v>41</v>
      </c>
      <c r="K8928" t="s">
        <v>42</v>
      </c>
      <c r="Q8928">
        <v>0</v>
      </c>
      <c r="R8928">
        <v>0</v>
      </c>
      <c r="S8928">
        <v>0</v>
      </c>
      <c r="T8928" t="s">
        <v>33564</v>
      </c>
    </row>
    <row r="8929" spans="1:20" customFormat="1" ht="15" x14ac:dyDescent="0.25">
      <c r="A8929" t="s">
        <v>35</v>
      </c>
      <c r="B8929" t="s">
        <v>61</v>
      </c>
      <c r="C8929" t="str">
        <f>"A0180415"</f>
        <v>A0180415</v>
      </c>
      <c r="D8929" t="s">
        <v>33565</v>
      </c>
      <c r="E8929" t="s">
        <v>33566</v>
      </c>
      <c r="F8929" t="s">
        <v>33459</v>
      </c>
      <c r="G8929" t="s">
        <v>81</v>
      </c>
      <c r="H8929">
        <v>32079</v>
      </c>
      <c r="I8929" t="s">
        <v>30</v>
      </c>
      <c r="J8929" t="s">
        <v>41</v>
      </c>
      <c r="K8929" t="s">
        <v>482</v>
      </c>
      <c r="Q8929">
        <v>0</v>
      </c>
      <c r="R8929">
        <v>0</v>
      </c>
      <c r="S8929">
        <v>0</v>
      </c>
      <c r="T8929" t="s">
        <v>72</v>
      </c>
    </row>
    <row r="8930" spans="1:20" customFormat="1" ht="15" x14ac:dyDescent="0.25">
      <c r="A8930" t="s">
        <v>35</v>
      </c>
      <c r="B8930" t="s">
        <v>61</v>
      </c>
      <c r="C8930" t="str">
        <f>"A0180414"</f>
        <v>A0180414</v>
      </c>
      <c r="D8930" t="s">
        <v>33567</v>
      </c>
      <c r="E8930" t="s">
        <v>33568</v>
      </c>
      <c r="F8930" t="s">
        <v>33569</v>
      </c>
      <c r="G8930" t="s">
        <v>58</v>
      </c>
      <c r="H8930">
        <v>29678</v>
      </c>
      <c r="I8930" t="s">
        <v>30</v>
      </c>
      <c r="J8930" t="s">
        <v>41</v>
      </c>
      <c r="K8930" t="s">
        <v>482</v>
      </c>
      <c r="Q8930">
        <v>0</v>
      </c>
      <c r="R8930">
        <v>80</v>
      </c>
      <c r="S8930">
        <v>80</v>
      </c>
      <c r="T8930" t="s">
        <v>33570</v>
      </c>
    </row>
    <row r="8931" spans="1:20" customFormat="1" ht="15" x14ac:dyDescent="0.25">
      <c r="A8931" t="s">
        <v>35</v>
      </c>
      <c r="B8931" t="s">
        <v>61</v>
      </c>
      <c r="C8931" t="str">
        <f>"A0180413"</f>
        <v>A0180413</v>
      </c>
      <c r="D8931" t="s">
        <v>33571</v>
      </c>
      <c r="E8931" t="s">
        <v>22725</v>
      </c>
      <c r="F8931" t="s">
        <v>33459</v>
      </c>
      <c r="G8931" t="s">
        <v>81</v>
      </c>
      <c r="H8931">
        <v>32079</v>
      </c>
      <c r="I8931" t="s">
        <v>30</v>
      </c>
      <c r="J8931" t="s">
        <v>41</v>
      </c>
      <c r="K8931" t="s">
        <v>482</v>
      </c>
      <c r="Q8931">
        <v>0</v>
      </c>
      <c r="R8931">
        <v>0</v>
      </c>
      <c r="S8931">
        <v>0</v>
      </c>
      <c r="T8931" t="s">
        <v>72</v>
      </c>
    </row>
    <row r="8932" spans="1:20" customFormat="1" ht="15" x14ac:dyDescent="0.25">
      <c r="A8932" t="s">
        <v>35</v>
      </c>
      <c r="B8932" t="s">
        <v>61</v>
      </c>
      <c r="C8932" t="str">
        <f>"A0180412"</f>
        <v>A0180412</v>
      </c>
      <c r="D8932" t="s">
        <v>33572</v>
      </c>
      <c r="E8932" t="s">
        <v>33573</v>
      </c>
      <c r="F8932" t="s">
        <v>33574</v>
      </c>
      <c r="G8932" t="s">
        <v>161</v>
      </c>
      <c r="H8932">
        <v>55446</v>
      </c>
      <c r="I8932" t="s">
        <v>30</v>
      </c>
      <c r="J8932" t="s">
        <v>41</v>
      </c>
      <c r="K8932" t="s">
        <v>1032</v>
      </c>
      <c r="Q8932">
        <v>0</v>
      </c>
      <c r="R8932">
        <v>0</v>
      </c>
      <c r="S8932">
        <v>0</v>
      </c>
      <c r="T8932" t="s">
        <v>72</v>
      </c>
    </row>
    <row r="8933" spans="1:20" customFormat="1" ht="15" x14ac:dyDescent="0.25">
      <c r="A8933" t="s">
        <v>24</v>
      </c>
      <c r="B8933" t="s">
        <v>2373</v>
      </c>
      <c r="C8933" t="str">
        <f>"A0092014"</f>
        <v>A0092014</v>
      </c>
      <c r="D8933" t="s">
        <v>64248</v>
      </c>
      <c r="E8933" t="s">
        <v>64249</v>
      </c>
      <c r="F8933" t="s">
        <v>2978</v>
      </c>
      <c r="G8933" t="s">
        <v>110</v>
      </c>
      <c r="H8933">
        <v>92101</v>
      </c>
      <c r="I8933" t="s">
        <v>30</v>
      </c>
      <c r="J8933" t="s">
        <v>162</v>
      </c>
      <c r="K8933" t="s">
        <v>266</v>
      </c>
      <c r="N8933" t="s">
        <v>64250</v>
      </c>
      <c r="Q8933">
        <v>0</v>
      </c>
      <c r="R8933">
        <v>341</v>
      </c>
      <c r="S8933">
        <v>0</v>
      </c>
      <c r="T8933" t="s">
        <v>64251</v>
      </c>
    </row>
    <row r="8934" spans="1:20" customFormat="1" ht="15" x14ac:dyDescent="0.25">
      <c r="A8934" t="s">
        <v>24</v>
      </c>
      <c r="B8934" t="s">
        <v>13267</v>
      </c>
      <c r="C8934" t="str">
        <f>"A0093211"</f>
        <v>A0093211</v>
      </c>
      <c r="D8934" t="s">
        <v>33581</v>
      </c>
      <c r="E8934" t="s">
        <v>33582</v>
      </c>
      <c r="F8934" t="s">
        <v>16578</v>
      </c>
      <c r="G8934" t="s">
        <v>197</v>
      </c>
      <c r="H8934">
        <v>86403</v>
      </c>
      <c r="I8934" t="s">
        <v>30</v>
      </c>
      <c r="J8934" t="s">
        <v>31</v>
      </c>
      <c r="K8934" t="s">
        <v>163</v>
      </c>
      <c r="N8934" t="s">
        <v>33583</v>
      </c>
      <c r="Q8934">
        <v>0</v>
      </c>
      <c r="R8934">
        <v>117</v>
      </c>
      <c r="S8934">
        <v>0</v>
      </c>
      <c r="T8934" t="s">
        <v>33584</v>
      </c>
    </row>
    <row r="8935" spans="1:20" customFormat="1" ht="15" x14ac:dyDescent="0.25">
      <c r="A8935" t="s">
        <v>24</v>
      </c>
      <c r="B8935" t="s">
        <v>13267</v>
      </c>
      <c r="C8935" t="str">
        <f>"A0093209"</f>
        <v>A0093209</v>
      </c>
      <c r="D8935" t="s">
        <v>33585</v>
      </c>
      <c r="E8935" t="s">
        <v>33586</v>
      </c>
      <c r="F8935" t="s">
        <v>33587</v>
      </c>
      <c r="G8935" t="s">
        <v>197</v>
      </c>
      <c r="H8935">
        <v>86046</v>
      </c>
      <c r="I8935" t="s">
        <v>30</v>
      </c>
      <c r="J8935" t="s">
        <v>145</v>
      </c>
      <c r="K8935" t="s">
        <v>154</v>
      </c>
      <c r="N8935" t="s">
        <v>33588</v>
      </c>
      <c r="Q8935">
        <v>0</v>
      </c>
      <c r="R8935">
        <v>52</v>
      </c>
      <c r="S8935">
        <v>0</v>
      </c>
      <c r="T8935" t="s">
        <v>33589</v>
      </c>
    </row>
    <row r="8936" spans="1:20" customFormat="1" ht="15" x14ac:dyDescent="0.25">
      <c r="A8936" t="s">
        <v>24</v>
      </c>
      <c r="B8936" t="s">
        <v>2340</v>
      </c>
      <c r="C8936" t="str">
        <f>"A0180402"</f>
        <v>A0180402</v>
      </c>
      <c r="D8936" t="s">
        <v>33590</v>
      </c>
      <c r="E8936" t="s">
        <v>33591</v>
      </c>
      <c r="F8936" t="s">
        <v>33592</v>
      </c>
      <c r="G8936" t="s">
        <v>123</v>
      </c>
      <c r="H8936">
        <v>21076</v>
      </c>
      <c r="I8936" t="s">
        <v>30</v>
      </c>
      <c r="J8936" t="s">
        <v>31</v>
      </c>
      <c r="K8936" t="s">
        <v>261</v>
      </c>
      <c r="N8936" t="s">
        <v>33593</v>
      </c>
      <c r="Q8936">
        <v>0</v>
      </c>
      <c r="R8936">
        <v>80</v>
      </c>
      <c r="S8936">
        <v>0</v>
      </c>
      <c r="T8936" t="s">
        <v>33594</v>
      </c>
    </row>
    <row r="8937" spans="1:20" customFormat="1" ht="15" x14ac:dyDescent="0.25">
      <c r="A8937" t="s">
        <v>24</v>
      </c>
      <c r="B8937" t="s">
        <v>2380</v>
      </c>
      <c r="C8937" t="str">
        <f>"A0071851"</f>
        <v>A0071851</v>
      </c>
      <c r="D8937" t="s">
        <v>64252</v>
      </c>
      <c r="E8937" t="s">
        <v>64253</v>
      </c>
      <c r="F8937" t="s">
        <v>62288</v>
      </c>
      <c r="G8937" t="s">
        <v>110</v>
      </c>
      <c r="H8937">
        <v>94010</v>
      </c>
      <c r="I8937" t="s">
        <v>30</v>
      </c>
      <c r="J8937" t="s">
        <v>162</v>
      </c>
      <c r="K8937" t="s">
        <v>266</v>
      </c>
      <c r="N8937" t="s">
        <v>64254</v>
      </c>
      <c r="Q8937">
        <v>0</v>
      </c>
      <c r="R8937">
        <v>340</v>
      </c>
      <c r="S8937">
        <v>0</v>
      </c>
      <c r="T8937" t="s">
        <v>64255</v>
      </c>
    </row>
    <row r="8938" spans="1:20" customFormat="1" ht="15" x14ac:dyDescent="0.25">
      <c r="A8938" t="s">
        <v>24</v>
      </c>
      <c r="B8938" t="s">
        <v>649</v>
      </c>
      <c r="C8938" t="str">
        <f>"A0180399"</f>
        <v>A0180399</v>
      </c>
      <c r="D8938" t="s">
        <v>33600</v>
      </c>
      <c r="E8938" t="s">
        <v>33601</v>
      </c>
      <c r="F8938" t="s">
        <v>33602</v>
      </c>
      <c r="G8938" t="s">
        <v>81</v>
      </c>
      <c r="H8938">
        <v>33913</v>
      </c>
      <c r="I8938" t="s">
        <v>30</v>
      </c>
      <c r="J8938" t="s">
        <v>31</v>
      </c>
      <c r="K8938" t="s">
        <v>282</v>
      </c>
      <c r="N8938" t="s">
        <v>33603</v>
      </c>
      <c r="Q8938">
        <v>0</v>
      </c>
      <c r="R8938">
        <v>101</v>
      </c>
      <c r="S8938">
        <v>0</v>
      </c>
      <c r="T8938" t="s">
        <v>33604</v>
      </c>
    </row>
    <row r="8939" spans="1:20" customFormat="1" ht="15" x14ac:dyDescent="0.25">
      <c r="A8939" t="s">
        <v>24</v>
      </c>
      <c r="B8939" t="s">
        <v>63821</v>
      </c>
      <c r="C8939" t="str">
        <f>"A0064561"</f>
        <v>A0064561</v>
      </c>
      <c r="D8939" t="s">
        <v>64256</v>
      </c>
      <c r="E8939" t="s">
        <v>64257</v>
      </c>
      <c r="F8939" t="s">
        <v>53690</v>
      </c>
      <c r="G8939" t="s">
        <v>110</v>
      </c>
      <c r="H8939">
        <v>93405</v>
      </c>
      <c r="I8939" t="s">
        <v>30</v>
      </c>
      <c r="J8939" t="s">
        <v>162</v>
      </c>
      <c r="K8939" t="s">
        <v>266</v>
      </c>
      <c r="N8939" t="s">
        <v>64258</v>
      </c>
      <c r="Q8939">
        <v>0</v>
      </c>
      <c r="R8939">
        <v>196</v>
      </c>
      <c r="S8939">
        <v>0</v>
      </c>
      <c r="T8939" t="s">
        <v>64259</v>
      </c>
    </row>
    <row r="8940" spans="1:20" customFormat="1" ht="15" x14ac:dyDescent="0.25">
      <c r="A8940" t="s">
        <v>24</v>
      </c>
      <c r="B8940" t="s">
        <v>33608</v>
      </c>
      <c r="C8940" t="str">
        <f>"A0051959"</f>
        <v>A0051959</v>
      </c>
      <c r="D8940" t="s">
        <v>33609</v>
      </c>
      <c r="E8940" t="s">
        <v>33610</v>
      </c>
      <c r="F8940" t="s">
        <v>33611</v>
      </c>
      <c r="G8940" t="s">
        <v>65</v>
      </c>
      <c r="H8940">
        <v>43107</v>
      </c>
      <c r="I8940" t="s">
        <v>30</v>
      </c>
      <c r="J8940" t="s">
        <v>178</v>
      </c>
      <c r="K8940" t="s">
        <v>179</v>
      </c>
      <c r="N8940" t="s">
        <v>33612</v>
      </c>
      <c r="O8940" t="s">
        <v>33613</v>
      </c>
      <c r="Q8940">
        <v>0</v>
      </c>
      <c r="R8940">
        <v>9</v>
      </c>
      <c r="S8940">
        <v>0</v>
      </c>
      <c r="T8940" t="s">
        <v>33614</v>
      </c>
    </row>
    <row r="8941" spans="1:20" customFormat="1" ht="15" x14ac:dyDescent="0.25">
      <c r="A8941" t="s">
        <v>24</v>
      </c>
      <c r="B8941" t="s">
        <v>33615</v>
      </c>
      <c r="C8941" t="str">
        <f>"88CI139"</f>
        <v>88CI139</v>
      </c>
      <c r="D8941" t="s">
        <v>33616</v>
      </c>
      <c r="E8941" t="s">
        <v>33617</v>
      </c>
      <c r="F8941" t="s">
        <v>33618</v>
      </c>
      <c r="G8941" t="s">
        <v>840</v>
      </c>
      <c r="H8941">
        <v>41071</v>
      </c>
      <c r="I8941" t="s">
        <v>30</v>
      </c>
      <c r="J8941" t="s">
        <v>31</v>
      </c>
      <c r="K8941" t="s">
        <v>296</v>
      </c>
      <c r="N8941" t="s">
        <v>33619</v>
      </c>
      <c r="Q8941">
        <v>0</v>
      </c>
      <c r="R8941">
        <v>124</v>
      </c>
      <c r="S8941">
        <v>0</v>
      </c>
      <c r="T8941" t="s">
        <v>33620</v>
      </c>
    </row>
    <row r="8942" spans="1:20" customFormat="1" ht="15" x14ac:dyDescent="0.25">
      <c r="A8942" t="s">
        <v>24</v>
      </c>
      <c r="B8942" t="s">
        <v>6811</v>
      </c>
      <c r="C8942" t="str">
        <f>"A0180383"</f>
        <v>A0180383</v>
      </c>
      <c r="D8942" t="s">
        <v>33621</v>
      </c>
      <c r="E8942" t="s">
        <v>33622</v>
      </c>
      <c r="F8942" t="s">
        <v>2443</v>
      </c>
      <c r="G8942" t="s">
        <v>81</v>
      </c>
      <c r="H8942">
        <v>32250</v>
      </c>
      <c r="I8942" t="s">
        <v>30</v>
      </c>
      <c r="J8942" t="s">
        <v>31</v>
      </c>
      <c r="K8942" t="s">
        <v>1890</v>
      </c>
      <c r="N8942" t="s">
        <v>33623</v>
      </c>
      <c r="Q8942">
        <v>0</v>
      </c>
      <c r="R8942">
        <v>80</v>
      </c>
      <c r="S8942">
        <v>0</v>
      </c>
      <c r="T8942" t="s">
        <v>33624</v>
      </c>
    </row>
    <row r="8943" spans="1:20" customFormat="1" ht="15" x14ac:dyDescent="0.25">
      <c r="A8943" t="s">
        <v>24</v>
      </c>
      <c r="B8943" t="s">
        <v>7602</v>
      </c>
      <c r="C8943" t="str">
        <f>"A0180377"</f>
        <v>A0180377</v>
      </c>
      <c r="D8943" t="s">
        <v>33625</v>
      </c>
      <c r="E8943" t="s">
        <v>33626</v>
      </c>
      <c r="F8943" t="s">
        <v>13610</v>
      </c>
      <c r="G8943" t="s">
        <v>40</v>
      </c>
      <c r="H8943">
        <v>73036</v>
      </c>
      <c r="I8943" t="s">
        <v>30</v>
      </c>
      <c r="J8943" t="s">
        <v>31</v>
      </c>
      <c r="K8943" t="s">
        <v>282</v>
      </c>
      <c r="N8943" t="s">
        <v>33627</v>
      </c>
      <c r="Q8943">
        <v>0</v>
      </c>
      <c r="R8943">
        <v>79</v>
      </c>
      <c r="S8943">
        <v>0</v>
      </c>
      <c r="T8943" t="s">
        <v>33628</v>
      </c>
    </row>
    <row r="8944" spans="1:20" customFormat="1" ht="15" x14ac:dyDescent="0.25">
      <c r="A8944" t="s">
        <v>24</v>
      </c>
      <c r="B8944" t="s">
        <v>193</v>
      </c>
      <c r="C8944" t="str">
        <f>"A0088329"</f>
        <v>A0088329</v>
      </c>
      <c r="D8944" t="s">
        <v>33629</v>
      </c>
      <c r="E8944" t="s">
        <v>33630</v>
      </c>
      <c r="F8944" t="s">
        <v>2094</v>
      </c>
      <c r="G8944" t="s">
        <v>52</v>
      </c>
      <c r="H8944">
        <v>75390</v>
      </c>
      <c r="I8944" t="s">
        <v>30</v>
      </c>
      <c r="J8944" t="s">
        <v>7657</v>
      </c>
      <c r="K8944" t="s">
        <v>163</v>
      </c>
      <c r="Q8944">
        <v>0</v>
      </c>
      <c r="R8944">
        <v>0</v>
      </c>
      <c r="S8944">
        <v>0</v>
      </c>
      <c r="T8944" t="s">
        <v>33631</v>
      </c>
    </row>
    <row r="8945" spans="1:20" customFormat="1" ht="15" x14ac:dyDescent="0.25">
      <c r="A8945" t="s">
        <v>24</v>
      </c>
      <c r="B8945" t="s">
        <v>193</v>
      </c>
      <c r="C8945" t="str">
        <f>"A0085956"</f>
        <v>A0085956</v>
      </c>
      <c r="D8945" t="s">
        <v>33632</v>
      </c>
      <c r="E8945" t="s">
        <v>33633</v>
      </c>
      <c r="F8945" t="s">
        <v>2094</v>
      </c>
      <c r="G8945" t="s">
        <v>52</v>
      </c>
      <c r="H8945">
        <v>75390</v>
      </c>
      <c r="I8945" t="s">
        <v>30</v>
      </c>
      <c r="J8945" t="s">
        <v>7657</v>
      </c>
      <c r="K8945" t="s">
        <v>163</v>
      </c>
      <c r="Q8945">
        <v>0</v>
      </c>
      <c r="R8945">
        <v>0</v>
      </c>
      <c r="S8945">
        <v>0</v>
      </c>
      <c r="T8945" t="s">
        <v>33634</v>
      </c>
    </row>
    <row r="8946" spans="1:20" customFormat="1" ht="15" x14ac:dyDescent="0.25">
      <c r="A8946" t="s">
        <v>24</v>
      </c>
      <c r="B8946" t="s">
        <v>193</v>
      </c>
      <c r="C8946" t="str">
        <f>"A0098769"</f>
        <v>A0098769</v>
      </c>
      <c r="D8946" t="s">
        <v>33635</v>
      </c>
      <c r="E8946" t="s">
        <v>33636</v>
      </c>
      <c r="F8946" t="s">
        <v>4348</v>
      </c>
      <c r="G8946" t="s">
        <v>846</v>
      </c>
      <c r="H8946">
        <v>30253</v>
      </c>
      <c r="I8946" t="s">
        <v>30</v>
      </c>
      <c r="J8946" t="s">
        <v>31</v>
      </c>
      <c r="K8946" t="s">
        <v>1196</v>
      </c>
      <c r="N8946" t="s">
        <v>33637</v>
      </c>
      <c r="Q8946">
        <v>0</v>
      </c>
      <c r="R8946">
        <v>90</v>
      </c>
      <c r="S8946">
        <v>0</v>
      </c>
      <c r="T8946" t="s">
        <v>33638</v>
      </c>
    </row>
    <row r="8947" spans="1:20" customFormat="1" ht="15" x14ac:dyDescent="0.25">
      <c r="A8947" t="s">
        <v>24</v>
      </c>
      <c r="B8947" t="s">
        <v>56277</v>
      </c>
      <c r="C8947" t="str">
        <f>"A0087647"</f>
        <v>A0087647</v>
      </c>
      <c r="D8947" t="s">
        <v>64260</v>
      </c>
      <c r="E8947" t="s">
        <v>64261</v>
      </c>
      <c r="F8947" t="s">
        <v>64262</v>
      </c>
      <c r="G8947" t="s">
        <v>52</v>
      </c>
      <c r="H8947">
        <v>78666</v>
      </c>
      <c r="I8947" t="s">
        <v>30</v>
      </c>
      <c r="J8947" t="s">
        <v>162</v>
      </c>
      <c r="K8947" t="s">
        <v>266</v>
      </c>
      <c r="N8947" t="s">
        <v>64263</v>
      </c>
      <c r="Q8947">
        <v>0</v>
      </c>
      <c r="R8947">
        <v>220</v>
      </c>
      <c r="S8947">
        <v>0</v>
      </c>
      <c r="T8947" t="s">
        <v>64264</v>
      </c>
    </row>
    <row r="8948" spans="1:20" customFormat="1" ht="15" x14ac:dyDescent="0.25">
      <c r="A8948" t="s">
        <v>24</v>
      </c>
      <c r="B8948" t="s">
        <v>257</v>
      </c>
      <c r="C8948" t="str">
        <f>"A0100249"</f>
        <v>A0100249</v>
      </c>
      <c r="D8948" t="s">
        <v>33643</v>
      </c>
      <c r="E8948" t="s">
        <v>33644</v>
      </c>
      <c r="F8948" t="s">
        <v>8225</v>
      </c>
      <c r="G8948" t="s">
        <v>110</v>
      </c>
      <c r="H8948">
        <v>94568</v>
      </c>
      <c r="I8948" t="s">
        <v>30</v>
      </c>
      <c r="J8948" t="s">
        <v>31</v>
      </c>
      <c r="K8948" t="s">
        <v>277</v>
      </c>
      <c r="N8948" t="s">
        <v>33645</v>
      </c>
      <c r="Q8948">
        <v>0</v>
      </c>
      <c r="R8948">
        <v>127</v>
      </c>
      <c r="S8948">
        <v>0</v>
      </c>
      <c r="T8948" t="s">
        <v>33646</v>
      </c>
    </row>
    <row r="8949" spans="1:20" customFormat="1" ht="15" x14ac:dyDescent="0.25">
      <c r="A8949" t="s">
        <v>24</v>
      </c>
      <c r="B8949" t="s">
        <v>257</v>
      </c>
      <c r="C8949" t="str">
        <f>"A0180374"</f>
        <v>A0180374</v>
      </c>
      <c r="D8949" t="s">
        <v>33647</v>
      </c>
      <c r="E8949" t="s">
        <v>33648</v>
      </c>
      <c r="F8949" t="s">
        <v>4802</v>
      </c>
      <c r="G8949" t="s">
        <v>110</v>
      </c>
      <c r="H8949">
        <v>95131</v>
      </c>
      <c r="I8949" t="s">
        <v>30</v>
      </c>
      <c r="J8949" t="s">
        <v>31</v>
      </c>
      <c r="K8949" t="s">
        <v>321</v>
      </c>
      <c r="N8949" t="s">
        <v>33649</v>
      </c>
      <c r="Q8949">
        <v>0</v>
      </c>
      <c r="R8949">
        <v>145</v>
      </c>
      <c r="S8949">
        <v>0</v>
      </c>
      <c r="T8949" t="s">
        <v>33650</v>
      </c>
    </row>
    <row r="8950" spans="1:20" customFormat="1" ht="15" x14ac:dyDescent="0.25">
      <c r="A8950" t="s">
        <v>24</v>
      </c>
      <c r="B8950" t="s">
        <v>257</v>
      </c>
      <c r="C8950" t="str">
        <f>"SF02001"</f>
        <v>SF02001</v>
      </c>
      <c r="D8950" t="s">
        <v>33651</v>
      </c>
      <c r="E8950" t="s">
        <v>33652</v>
      </c>
      <c r="F8950" t="s">
        <v>33653</v>
      </c>
      <c r="G8950" t="s">
        <v>110</v>
      </c>
      <c r="H8950">
        <v>95358</v>
      </c>
      <c r="I8950" t="s">
        <v>30</v>
      </c>
      <c r="J8950" t="s">
        <v>31</v>
      </c>
      <c r="K8950" t="s">
        <v>710</v>
      </c>
      <c r="N8950" t="s">
        <v>33654</v>
      </c>
      <c r="Q8950">
        <v>0</v>
      </c>
      <c r="R8950">
        <v>67</v>
      </c>
      <c r="S8950">
        <v>0</v>
      </c>
      <c r="T8950" t="s">
        <v>33655</v>
      </c>
    </row>
    <row r="8951" spans="1:20" customFormat="1" ht="15" x14ac:dyDescent="0.25">
      <c r="A8951" t="s">
        <v>24</v>
      </c>
      <c r="B8951" t="s">
        <v>63821</v>
      </c>
      <c r="C8951" t="str">
        <f>"A0064562"</f>
        <v>A0064562</v>
      </c>
      <c r="D8951" t="s">
        <v>64265</v>
      </c>
      <c r="E8951" t="s">
        <v>64266</v>
      </c>
      <c r="F8951" t="s">
        <v>35086</v>
      </c>
      <c r="G8951" t="s">
        <v>110</v>
      </c>
      <c r="H8951">
        <v>92705</v>
      </c>
      <c r="I8951" t="s">
        <v>30</v>
      </c>
      <c r="J8951" t="s">
        <v>162</v>
      </c>
      <c r="K8951" t="s">
        <v>266</v>
      </c>
      <c r="N8951" t="s">
        <v>64267</v>
      </c>
      <c r="Q8951">
        <v>0</v>
      </c>
      <c r="R8951">
        <v>300</v>
      </c>
      <c r="S8951">
        <v>0</v>
      </c>
      <c r="T8951" t="s">
        <v>64268</v>
      </c>
    </row>
    <row r="8952" spans="1:20" customFormat="1" ht="15" x14ac:dyDescent="0.25">
      <c r="A8952" t="s">
        <v>24</v>
      </c>
      <c r="B8952" t="s">
        <v>2812</v>
      </c>
      <c r="C8952" t="str">
        <f>"A0054748"</f>
        <v>A0054748</v>
      </c>
      <c r="D8952" t="s">
        <v>64269</v>
      </c>
      <c r="E8952" t="s">
        <v>64270</v>
      </c>
      <c r="F8952" t="s">
        <v>3645</v>
      </c>
      <c r="G8952" t="s">
        <v>197</v>
      </c>
      <c r="H8952">
        <v>85250</v>
      </c>
      <c r="I8952" t="s">
        <v>30</v>
      </c>
      <c r="J8952" t="s">
        <v>162</v>
      </c>
      <c r="K8952" t="s">
        <v>266</v>
      </c>
      <c r="Q8952">
        <v>0</v>
      </c>
      <c r="R8952">
        <v>312</v>
      </c>
      <c r="S8952">
        <v>0</v>
      </c>
      <c r="T8952" t="s">
        <v>64271</v>
      </c>
    </row>
    <row r="8953" spans="1:20" customFormat="1" ht="15" x14ac:dyDescent="0.25">
      <c r="A8953" t="s">
        <v>24</v>
      </c>
      <c r="B8953" t="s">
        <v>257</v>
      </c>
      <c r="C8953" t="str">
        <f>"A0084115"</f>
        <v>A0084115</v>
      </c>
      <c r="D8953" t="s">
        <v>33665</v>
      </c>
      <c r="E8953" t="s">
        <v>33666</v>
      </c>
      <c r="F8953" t="s">
        <v>33653</v>
      </c>
      <c r="G8953" t="s">
        <v>110</v>
      </c>
      <c r="H8953">
        <v>95356</v>
      </c>
      <c r="I8953" t="s">
        <v>30</v>
      </c>
      <c r="J8953" t="s">
        <v>31</v>
      </c>
      <c r="K8953" t="s">
        <v>282</v>
      </c>
      <c r="N8953" t="s">
        <v>33645</v>
      </c>
      <c r="O8953" t="s">
        <v>33667</v>
      </c>
      <c r="Q8953">
        <v>0</v>
      </c>
      <c r="R8953">
        <v>95</v>
      </c>
      <c r="S8953">
        <v>0</v>
      </c>
      <c r="T8953" t="s">
        <v>33668</v>
      </c>
    </row>
    <row r="8954" spans="1:20" customFormat="1" ht="15" x14ac:dyDescent="0.25">
      <c r="A8954" t="s">
        <v>24</v>
      </c>
      <c r="B8954" t="s">
        <v>13679</v>
      </c>
      <c r="C8954" t="str">
        <f>"A0071877"</f>
        <v>A0071877</v>
      </c>
      <c r="D8954" t="s">
        <v>33669</v>
      </c>
      <c r="E8954" t="s">
        <v>33670</v>
      </c>
      <c r="F8954" t="s">
        <v>33671</v>
      </c>
      <c r="G8954" t="s">
        <v>81</v>
      </c>
      <c r="H8954">
        <v>33301</v>
      </c>
      <c r="I8954" t="s">
        <v>30</v>
      </c>
      <c r="J8954" t="s">
        <v>31</v>
      </c>
      <c r="K8954" t="s">
        <v>198</v>
      </c>
      <c r="N8954" t="s">
        <v>33672</v>
      </c>
      <c r="O8954" t="s">
        <v>33673</v>
      </c>
      <c r="Q8954">
        <v>0</v>
      </c>
      <c r="R8954">
        <v>156</v>
      </c>
      <c r="S8954">
        <v>0</v>
      </c>
      <c r="T8954" t="s">
        <v>33674</v>
      </c>
    </row>
    <row r="8955" spans="1:20" customFormat="1" ht="15" x14ac:dyDescent="0.25">
      <c r="A8955" t="s">
        <v>24</v>
      </c>
      <c r="B8955" t="s">
        <v>2380</v>
      </c>
      <c r="C8955" t="str">
        <f>"A0088720"</f>
        <v>A0088720</v>
      </c>
      <c r="D8955" t="s">
        <v>64272</v>
      </c>
      <c r="E8955" t="s">
        <v>61606</v>
      </c>
      <c r="F8955" t="s">
        <v>64273</v>
      </c>
      <c r="G8955" t="s">
        <v>110</v>
      </c>
      <c r="H8955">
        <v>94080</v>
      </c>
      <c r="I8955" t="s">
        <v>30</v>
      </c>
      <c r="J8955" t="s">
        <v>162</v>
      </c>
      <c r="K8955" t="s">
        <v>266</v>
      </c>
      <c r="Q8955">
        <v>0</v>
      </c>
      <c r="R8955">
        <v>312</v>
      </c>
      <c r="S8955">
        <v>0</v>
      </c>
      <c r="T8955" t="s">
        <v>64274</v>
      </c>
    </row>
    <row r="8956" spans="1:20" customFormat="1" ht="15" x14ac:dyDescent="0.25">
      <c r="A8956" t="s">
        <v>24</v>
      </c>
      <c r="B8956" t="s">
        <v>4410</v>
      </c>
      <c r="C8956" t="str">
        <f>"A0098828"</f>
        <v>A0098828</v>
      </c>
      <c r="D8956" t="s">
        <v>33679</v>
      </c>
      <c r="E8956" t="s">
        <v>33657</v>
      </c>
      <c r="F8956" t="s">
        <v>5597</v>
      </c>
      <c r="G8956" t="s">
        <v>190</v>
      </c>
      <c r="H8956">
        <v>80021</v>
      </c>
      <c r="I8956" t="s">
        <v>30</v>
      </c>
      <c r="J8956" t="s">
        <v>31</v>
      </c>
      <c r="K8956" t="s">
        <v>32</v>
      </c>
      <c r="N8956" t="s">
        <v>33658</v>
      </c>
      <c r="Q8956">
        <v>0</v>
      </c>
      <c r="R8956">
        <v>90</v>
      </c>
      <c r="S8956">
        <v>0</v>
      </c>
      <c r="T8956" t="s">
        <v>33680</v>
      </c>
    </row>
    <row r="8957" spans="1:20" customFormat="1" ht="15" x14ac:dyDescent="0.25">
      <c r="A8957" t="s">
        <v>24</v>
      </c>
      <c r="B8957" t="s">
        <v>2528</v>
      </c>
      <c r="C8957" t="str">
        <f>"A0092387"</f>
        <v>A0092387</v>
      </c>
      <c r="D8957" t="s">
        <v>64275</v>
      </c>
      <c r="E8957" t="s">
        <v>64276</v>
      </c>
      <c r="F8957" t="s">
        <v>3837</v>
      </c>
      <c r="G8957" t="s">
        <v>29</v>
      </c>
      <c r="H8957">
        <v>22150</v>
      </c>
      <c r="I8957" t="s">
        <v>30</v>
      </c>
      <c r="J8957" t="s">
        <v>162</v>
      </c>
      <c r="K8957" t="s">
        <v>266</v>
      </c>
      <c r="N8957" t="s">
        <v>64277</v>
      </c>
      <c r="Q8957">
        <v>0</v>
      </c>
      <c r="R8957">
        <v>219</v>
      </c>
      <c r="S8957">
        <v>0</v>
      </c>
      <c r="T8957" t="s">
        <v>64278</v>
      </c>
    </row>
    <row r="8958" spans="1:20" customFormat="1" ht="15" x14ac:dyDescent="0.25">
      <c r="A8958" t="s">
        <v>24</v>
      </c>
      <c r="B8958" t="s">
        <v>56277</v>
      </c>
      <c r="C8958" t="str">
        <f>"A0085982"</f>
        <v>A0085982</v>
      </c>
      <c r="D8958" t="s">
        <v>64279</v>
      </c>
      <c r="E8958" t="s">
        <v>64280</v>
      </c>
      <c r="F8958" t="s">
        <v>64281</v>
      </c>
      <c r="G8958" t="s">
        <v>137</v>
      </c>
      <c r="H8958">
        <v>63303</v>
      </c>
      <c r="I8958" t="s">
        <v>30</v>
      </c>
      <c r="J8958" t="s">
        <v>162</v>
      </c>
      <c r="K8958" t="s">
        <v>266</v>
      </c>
      <c r="N8958" t="s">
        <v>64282</v>
      </c>
      <c r="O8958" t="s">
        <v>64283</v>
      </c>
      <c r="Q8958">
        <v>0</v>
      </c>
      <c r="R8958">
        <v>296</v>
      </c>
      <c r="S8958">
        <v>0</v>
      </c>
      <c r="T8958" t="s">
        <v>64284</v>
      </c>
    </row>
    <row r="8959" spans="1:20" customFormat="1" ht="15" x14ac:dyDescent="0.25">
      <c r="A8959" t="s">
        <v>24</v>
      </c>
      <c r="B8959" t="s">
        <v>56277</v>
      </c>
      <c r="C8959" t="str">
        <f>"A0055766"</f>
        <v>A0055766</v>
      </c>
      <c r="D8959" t="s">
        <v>64285</v>
      </c>
      <c r="E8959" t="s">
        <v>64286</v>
      </c>
      <c r="F8959" t="s">
        <v>3955</v>
      </c>
      <c r="G8959" t="s">
        <v>81</v>
      </c>
      <c r="H8959">
        <v>33612</v>
      </c>
      <c r="I8959" t="s">
        <v>30</v>
      </c>
      <c r="J8959" t="s">
        <v>162</v>
      </c>
      <c r="K8959" t="s">
        <v>266</v>
      </c>
      <c r="N8959" t="s">
        <v>64287</v>
      </c>
      <c r="O8959" t="s">
        <v>64288</v>
      </c>
      <c r="Q8959">
        <v>0</v>
      </c>
      <c r="R8959">
        <v>247</v>
      </c>
      <c r="S8959">
        <v>0</v>
      </c>
      <c r="T8959" t="s">
        <v>64289</v>
      </c>
    </row>
    <row r="8960" spans="1:20" customFormat="1" ht="15" x14ac:dyDescent="0.25">
      <c r="A8960" t="s">
        <v>24</v>
      </c>
      <c r="B8960" t="s">
        <v>1020</v>
      </c>
      <c r="C8960" t="str">
        <f>"A0084489"</f>
        <v>A0084489</v>
      </c>
      <c r="D8960" t="s">
        <v>64290</v>
      </c>
      <c r="E8960" t="s">
        <v>64291</v>
      </c>
      <c r="F8960" t="s">
        <v>3955</v>
      </c>
      <c r="G8960" t="s">
        <v>81</v>
      </c>
      <c r="H8960">
        <v>33619</v>
      </c>
      <c r="I8960" t="s">
        <v>30</v>
      </c>
      <c r="J8960" t="s">
        <v>162</v>
      </c>
      <c r="K8960" t="s">
        <v>266</v>
      </c>
      <c r="N8960" t="s">
        <v>64292</v>
      </c>
      <c r="Q8960">
        <v>0</v>
      </c>
      <c r="R8960">
        <v>147</v>
      </c>
      <c r="S8960">
        <v>0</v>
      </c>
      <c r="T8960" t="s">
        <v>64293</v>
      </c>
    </row>
    <row r="8961" spans="1:25" customFormat="1" ht="15" x14ac:dyDescent="0.25">
      <c r="A8961" t="s">
        <v>24</v>
      </c>
      <c r="B8961" t="s">
        <v>13730</v>
      </c>
      <c r="C8961" t="str">
        <f>"A0061233"</f>
        <v>A0061233</v>
      </c>
      <c r="D8961" t="s">
        <v>64294</v>
      </c>
      <c r="E8961" t="s">
        <v>64295</v>
      </c>
      <c r="F8961" t="s">
        <v>3955</v>
      </c>
      <c r="G8961" t="s">
        <v>81</v>
      </c>
      <c r="H8961">
        <v>33609</v>
      </c>
      <c r="I8961" t="s">
        <v>30</v>
      </c>
      <c r="J8961" t="s">
        <v>162</v>
      </c>
      <c r="K8961" t="s">
        <v>266</v>
      </c>
      <c r="N8961" t="s">
        <v>64296</v>
      </c>
      <c r="O8961" t="s">
        <v>64297</v>
      </c>
      <c r="Q8961">
        <v>0</v>
      </c>
      <c r="R8961">
        <v>243</v>
      </c>
      <c r="S8961">
        <v>0</v>
      </c>
      <c r="T8961" t="s">
        <v>64298</v>
      </c>
    </row>
    <row r="8962" spans="1:25" customFormat="1" ht="15" x14ac:dyDescent="0.25">
      <c r="A8962" t="s">
        <v>24</v>
      </c>
      <c r="B8962" t="s">
        <v>9391</v>
      </c>
      <c r="C8962" t="str">
        <f>"A0166492"</f>
        <v>A0166492</v>
      </c>
      <c r="D8962" t="s">
        <v>33706</v>
      </c>
      <c r="E8962" t="s">
        <v>33707</v>
      </c>
      <c r="F8962" t="s">
        <v>1346</v>
      </c>
      <c r="G8962" t="s">
        <v>880</v>
      </c>
      <c r="H8962">
        <v>37421</v>
      </c>
      <c r="I8962" t="s">
        <v>30</v>
      </c>
      <c r="J8962" t="s">
        <v>31</v>
      </c>
      <c r="K8962" t="s">
        <v>277</v>
      </c>
      <c r="N8962" t="s">
        <v>33708</v>
      </c>
      <c r="Q8962">
        <v>0</v>
      </c>
      <c r="R8962">
        <v>135</v>
      </c>
      <c r="S8962">
        <v>0</v>
      </c>
      <c r="T8962" t="s">
        <v>33709</v>
      </c>
    </row>
    <row r="8963" spans="1:25" customFormat="1" ht="15" x14ac:dyDescent="0.25">
      <c r="A8963" t="s">
        <v>24</v>
      </c>
      <c r="B8963" t="s">
        <v>63821</v>
      </c>
      <c r="C8963" t="str">
        <f>"A0064567"</f>
        <v>A0064567</v>
      </c>
      <c r="D8963" t="s">
        <v>64299</v>
      </c>
      <c r="E8963" t="s">
        <v>64300</v>
      </c>
      <c r="F8963" t="s">
        <v>13270</v>
      </c>
      <c r="G8963" t="s">
        <v>110</v>
      </c>
      <c r="H8963">
        <v>92591</v>
      </c>
      <c r="I8963" t="s">
        <v>30</v>
      </c>
      <c r="J8963" t="s">
        <v>162</v>
      </c>
      <c r="K8963" t="s">
        <v>266</v>
      </c>
      <c r="N8963" t="s">
        <v>64301</v>
      </c>
      <c r="Q8963">
        <v>0</v>
      </c>
      <c r="R8963">
        <v>176</v>
      </c>
      <c r="S8963">
        <v>0</v>
      </c>
      <c r="T8963" t="s">
        <v>64302</v>
      </c>
    </row>
    <row r="8964" spans="1:25" x14ac:dyDescent="0.25">
      <c r="A8964" s="5" t="s">
        <v>24</v>
      </c>
      <c r="B8964" s="5" t="s">
        <v>762</v>
      </c>
      <c r="C8964" s="5" t="str">
        <f>"A0059571"</f>
        <v>A0059571</v>
      </c>
      <c r="D8964" s="5" t="s">
        <v>64303</v>
      </c>
      <c r="E8964" s="5" t="s">
        <v>64304</v>
      </c>
      <c r="F8964" s="5" t="s">
        <v>796</v>
      </c>
      <c r="G8964" s="5" t="s">
        <v>197</v>
      </c>
      <c r="H8964" s="5">
        <v>85710</v>
      </c>
      <c r="I8964" s="5" t="s">
        <v>30</v>
      </c>
      <c r="J8964" s="5" t="s">
        <v>162</v>
      </c>
      <c r="K8964" s="5" t="s">
        <v>266</v>
      </c>
      <c r="L8964" s="5"/>
      <c r="M8964" s="5"/>
      <c r="N8964" s="5" t="s">
        <v>64305</v>
      </c>
      <c r="O8964" s="5" t="s">
        <v>64306</v>
      </c>
      <c r="P8964" s="5"/>
      <c r="Q8964" s="5">
        <v>0</v>
      </c>
      <c r="R8964" s="5">
        <v>299</v>
      </c>
      <c r="S8964" s="5">
        <v>0</v>
      </c>
      <c r="T8964" s="5" t="s">
        <v>64307</v>
      </c>
      <c r="U8964" s="5"/>
      <c r="V8964" s="5"/>
      <c r="W8964" s="5"/>
      <c r="X8964" s="5"/>
      <c r="Y8964" s="5"/>
    </row>
    <row r="8965" spans="1:25" customFormat="1" ht="15" x14ac:dyDescent="0.25">
      <c r="A8965" t="s">
        <v>24</v>
      </c>
      <c r="B8965" t="s">
        <v>850</v>
      </c>
      <c r="C8965" t="str">
        <f>"A0153196"</f>
        <v>A0153196</v>
      </c>
      <c r="D8965" t="s">
        <v>64308</v>
      </c>
      <c r="E8965" t="s">
        <v>64309</v>
      </c>
      <c r="F8965" t="s">
        <v>34042</v>
      </c>
      <c r="G8965" t="s">
        <v>1706</v>
      </c>
      <c r="H8965">
        <v>35401</v>
      </c>
      <c r="I8965" t="s">
        <v>30</v>
      </c>
      <c r="J8965" t="s">
        <v>162</v>
      </c>
      <c r="K8965" t="s">
        <v>266</v>
      </c>
      <c r="N8965" t="s">
        <v>35819</v>
      </c>
      <c r="O8965" t="s">
        <v>64310</v>
      </c>
      <c r="Q8965">
        <v>0</v>
      </c>
      <c r="R8965">
        <v>150</v>
      </c>
      <c r="S8965">
        <v>0</v>
      </c>
      <c r="T8965" t="s">
        <v>64311</v>
      </c>
    </row>
    <row r="8966" spans="1:25" customFormat="1" ht="15" x14ac:dyDescent="0.25">
      <c r="A8966" t="s">
        <v>24</v>
      </c>
      <c r="B8966" t="s">
        <v>2373</v>
      </c>
      <c r="C8966" t="str">
        <f>"A0085521"</f>
        <v>A0085521</v>
      </c>
      <c r="D8966" t="s">
        <v>64312</v>
      </c>
      <c r="E8966" t="s">
        <v>64313</v>
      </c>
      <c r="F8966" t="s">
        <v>60374</v>
      </c>
      <c r="G8966" t="s">
        <v>29</v>
      </c>
      <c r="H8966">
        <v>22182</v>
      </c>
      <c r="I8966" t="s">
        <v>30</v>
      </c>
      <c r="J8966" t="s">
        <v>162</v>
      </c>
      <c r="K8966" t="s">
        <v>266</v>
      </c>
      <c r="N8966" t="s">
        <v>64314</v>
      </c>
      <c r="Q8966">
        <v>0</v>
      </c>
      <c r="R8966">
        <v>234</v>
      </c>
      <c r="S8966">
        <v>0</v>
      </c>
      <c r="T8966" t="s">
        <v>64315</v>
      </c>
    </row>
    <row r="8967" spans="1:25" customFormat="1" ht="15" x14ac:dyDescent="0.25">
      <c r="A8967" t="s">
        <v>24</v>
      </c>
      <c r="B8967" t="s">
        <v>16658</v>
      </c>
      <c r="C8967" t="str">
        <f>"A0096540"</f>
        <v>A0096540</v>
      </c>
      <c r="D8967" t="s">
        <v>33728</v>
      </c>
      <c r="E8967" t="s">
        <v>33729</v>
      </c>
      <c r="F8967" t="s">
        <v>14951</v>
      </c>
      <c r="G8967" t="s">
        <v>1184</v>
      </c>
      <c r="H8967">
        <v>59102</v>
      </c>
      <c r="I8967" t="s">
        <v>30</v>
      </c>
      <c r="J8967" t="s">
        <v>31</v>
      </c>
      <c r="K8967" t="s">
        <v>261</v>
      </c>
      <c r="N8967" t="s">
        <v>33730</v>
      </c>
      <c r="Q8967">
        <v>0</v>
      </c>
      <c r="R8967">
        <v>95</v>
      </c>
      <c r="S8967">
        <v>0</v>
      </c>
      <c r="T8967" t="s">
        <v>33731</v>
      </c>
    </row>
    <row r="8968" spans="1:25" customFormat="1" ht="15" x14ac:dyDescent="0.25">
      <c r="A8968" t="s">
        <v>35</v>
      </c>
      <c r="B8968" t="s">
        <v>33732</v>
      </c>
      <c r="C8968" t="str">
        <f>"A0122581"</f>
        <v>A0122581</v>
      </c>
      <c r="D8968" t="s">
        <v>33733</v>
      </c>
      <c r="E8968" t="s">
        <v>33734</v>
      </c>
      <c r="F8968" t="s">
        <v>12220</v>
      </c>
      <c r="G8968" t="s">
        <v>76</v>
      </c>
      <c r="H8968">
        <v>98155</v>
      </c>
      <c r="I8968" t="s">
        <v>30</v>
      </c>
      <c r="J8968" t="s">
        <v>41</v>
      </c>
      <c r="K8968" t="s">
        <v>229</v>
      </c>
      <c r="Q8968">
        <v>0</v>
      </c>
      <c r="R8968">
        <v>114</v>
      </c>
      <c r="S8968">
        <v>114</v>
      </c>
      <c r="T8968" t="s">
        <v>33735</v>
      </c>
    </row>
    <row r="8969" spans="1:25" customFormat="1" ht="15" x14ac:dyDescent="0.25">
      <c r="A8969" t="s">
        <v>24</v>
      </c>
      <c r="B8969" t="s">
        <v>2955</v>
      </c>
      <c r="C8969" t="str">
        <f>"88IN007"</f>
        <v>88IN007</v>
      </c>
      <c r="D8969" t="s">
        <v>64320</v>
      </c>
      <c r="E8969" t="s">
        <v>64321</v>
      </c>
      <c r="F8969" t="s">
        <v>845</v>
      </c>
      <c r="G8969" t="s">
        <v>846</v>
      </c>
      <c r="H8969">
        <v>30329</v>
      </c>
      <c r="I8969" t="s">
        <v>30</v>
      </c>
      <c r="J8969" t="s">
        <v>162</v>
      </c>
      <c r="K8969" t="s">
        <v>13697</v>
      </c>
      <c r="N8969" t="s">
        <v>64322</v>
      </c>
      <c r="O8969" t="s">
        <v>7435</v>
      </c>
      <c r="Q8969">
        <v>0</v>
      </c>
      <c r="R8969">
        <v>201</v>
      </c>
      <c r="S8969">
        <v>0</v>
      </c>
      <c r="T8969" t="s">
        <v>64323</v>
      </c>
    </row>
    <row r="8970" spans="1:25" customFormat="1" ht="15" x14ac:dyDescent="0.25">
      <c r="A8970" t="s">
        <v>24</v>
      </c>
      <c r="B8970" t="s">
        <v>1548</v>
      </c>
      <c r="C8970" t="str">
        <f>"A0074934"</f>
        <v>A0074934</v>
      </c>
      <c r="D8970" t="s">
        <v>64387</v>
      </c>
      <c r="E8970" t="s">
        <v>64388</v>
      </c>
      <c r="F8970" t="s">
        <v>12811</v>
      </c>
      <c r="G8970" t="s">
        <v>29</v>
      </c>
      <c r="H8970">
        <v>22033</v>
      </c>
      <c r="I8970" t="s">
        <v>30</v>
      </c>
      <c r="J8970" t="s">
        <v>162</v>
      </c>
      <c r="K8970" t="s">
        <v>1490</v>
      </c>
      <c r="N8970" t="s">
        <v>64389</v>
      </c>
      <c r="O8970" t="s">
        <v>4398</v>
      </c>
      <c r="Q8970">
        <v>0</v>
      </c>
      <c r="R8970">
        <v>301</v>
      </c>
      <c r="S8970">
        <v>0</v>
      </c>
      <c r="T8970" t="s">
        <v>64390</v>
      </c>
    </row>
    <row r="8971" spans="1:25" customFormat="1" ht="15" x14ac:dyDescent="0.25">
      <c r="A8971" t="s">
        <v>24</v>
      </c>
      <c r="B8971" t="s">
        <v>1561</v>
      </c>
      <c r="C8971" t="str">
        <f>"A0151286"</f>
        <v>A0151286</v>
      </c>
      <c r="D8971" t="s">
        <v>33744</v>
      </c>
      <c r="E8971" t="s">
        <v>33745</v>
      </c>
      <c r="F8971" t="s">
        <v>242</v>
      </c>
      <c r="G8971" t="s">
        <v>214</v>
      </c>
      <c r="H8971">
        <v>28273</v>
      </c>
      <c r="I8971" t="s">
        <v>30</v>
      </c>
      <c r="J8971" t="s">
        <v>31</v>
      </c>
      <c r="K8971" t="s">
        <v>255</v>
      </c>
      <c r="N8971" t="s">
        <v>33746</v>
      </c>
      <c r="Q8971">
        <v>0</v>
      </c>
      <c r="R8971">
        <v>124</v>
      </c>
      <c r="S8971">
        <v>0</v>
      </c>
      <c r="T8971" t="s">
        <v>33747</v>
      </c>
    </row>
    <row r="8972" spans="1:25" customFormat="1" ht="15" x14ac:dyDescent="0.25">
      <c r="A8972" t="s">
        <v>24</v>
      </c>
      <c r="B8972" t="s">
        <v>66079</v>
      </c>
      <c r="C8972" t="str">
        <f>"A0098968"</f>
        <v>A0098968</v>
      </c>
      <c r="D8972" t="s">
        <v>66080</v>
      </c>
      <c r="E8972" t="s">
        <v>66081</v>
      </c>
      <c r="F8972" t="s">
        <v>2971</v>
      </c>
      <c r="G8972" t="s">
        <v>880</v>
      </c>
      <c r="H8972">
        <v>37219</v>
      </c>
      <c r="I8972" t="s">
        <v>30</v>
      </c>
      <c r="J8972" t="s">
        <v>162</v>
      </c>
      <c r="K8972" t="s">
        <v>163</v>
      </c>
      <c r="N8972" t="s">
        <v>66082</v>
      </c>
      <c r="O8972" t="s">
        <v>66083</v>
      </c>
      <c r="Q8972">
        <v>0</v>
      </c>
      <c r="R8972">
        <v>81</v>
      </c>
      <c r="S8972">
        <v>0</v>
      </c>
      <c r="T8972" t="s">
        <v>66084</v>
      </c>
    </row>
    <row r="8973" spans="1:25" customFormat="1" ht="15" x14ac:dyDescent="0.25">
      <c r="A8973" t="s">
        <v>24</v>
      </c>
      <c r="B8973" t="s">
        <v>2380</v>
      </c>
      <c r="C8973" t="str">
        <f>"A0090265"</f>
        <v>A0090265</v>
      </c>
      <c r="D8973" t="s">
        <v>66190</v>
      </c>
      <c r="E8973" t="s">
        <v>66191</v>
      </c>
      <c r="F8973" t="s">
        <v>196</v>
      </c>
      <c r="G8973" t="s">
        <v>197</v>
      </c>
      <c r="H8973">
        <v>85016</v>
      </c>
      <c r="I8973" t="s">
        <v>30</v>
      </c>
      <c r="J8973" t="s">
        <v>162</v>
      </c>
      <c r="K8973" t="s">
        <v>266</v>
      </c>
      <c r="N8973" t="s">
        <v>66192</v>
      </c>
      <c r="O8973" t="s">
        <v>66193</v>
      </c>
      <c r="Q8973">
        <v>0</v>
      </c>
      <c r="R8973">
        <v>232</v>
      </c>
      <c r="S8973">
        <v>0</v>
      </c>
      <c r="T8973" t="s">
        <v>66194</v>
      </c>
    </row>
    <row r="8974" spans="1:25" customFormat="1" ht="15" x14ac:dyDescent="0.25">
      <c r="A8974" t="s">
        <v>24</v>
      </c>
      <c r="B8974" t="s">
        <v>56277</v>
      </c>
      <c r="C8974" t="str">
        <f>"A0055764"</f>
        <v>A0055764</v>
      </c>
      <c r="D8974" t="s">
        <v>66238</v>
      </c>
      <c r="E8974" t="s">
        <v>66239</v>
      </c>
      <c r="F8974" t="s">
        <v>66240</v>
      </c>
      <c r="G8974" t="s">
        <v>81</v>
      </c>
      <c r="H8974">
        <v>33076</v>
      </c>
      <c r="I8974" t="s">
        <v>30</v>
      </c>
      <c r="J8974" t="s">
        <v>162</v>
      </c>
      <c r="K8974" t="s">
        <v>1490</v>
      </c>
      <c r="N8974" t="s">
        <v>66241</v>
      </c>
      <c r="O8974" t="s">
        <v>66242</v>
      </c>
      <c r="Q8974">
        <v>0</v>
      </c>
      <c r="R8974">
        <v>224</v>
      </c>
      <c r="S8974">
        <v>0</v>
      </c>
      <c r="T8974" t="s">
        <v>66243</v>
      </c>
    </row>
    <row r="8975" spans="1:25" customFormat="1" ht="15" x14ac:dyDescent="0.25">
      <c r="A8975" t="s">
        <v>35</v>
      </c>
      <c r="B8975" t="s">
        <v>225</v>
      </c>
      <c r="C8975" t="str">
        <f>"A0180364"</f>
        <v>A0180364</v>
      </c>
      <c r="D8975" t="s">
        <v>33760</v>
      </c>
      <c r="E8975" t="s">
        <v>33761</v>
      </c>
      <c r="F8975" t="s">
        <v>33762</v>
      </c>
      <c r="G8975" t="s">
        <v>381</v>
      </c>
      <c r="H8975">
        <v>46714</v>
      </c>
      <c r="I8975" t="s">
        <v>30</v>
      </c>
      <c r="J8975" t="s">
        <v>41</v>
      </c>
      <c r="K8975" t="s">
        <v>229</v>
      </c>
      <c r="Q8975">
        <v>0</v>
      </c>
      <c r="R8975">
        <v>139</v>
      </c>
      <c r="S8975">
        <v>139</v>
      </c>
      <c r="T8975" t="s">
        <v>33763</v>
      </c>
    </row>
    <row r="8976" spans="1:25" customFormat="1" ht="15" x14ac:dyDescent="0.25">
      <c r="A8976" t="s">
        <v>35</v>
      </c>
      <c r="B8976" t="s">
        <v>225</v>
      </c>
      <c r="C8976" t="str">
        <f>"A0180363"</f>
        <v>A0180363</v>
      </c>
      <c r="D8976" t="s">
        <v>33764</v>
      </c>
      <c r="E8976" t="s">
        <v>33765</v>
      </c>
      <c r="F8976" t="s">
        <v>475</v>
      </c>
      <c r="G8976" t="s">
        <v>381</v>
      </c>
      <c r="H8976">
        <v>46514</v>
      </c>
      <c r="I8976" t="s">
        <v>30</v>
      </c>
      <c r="J8976" t="s">
        <v>41</v>
      </c>
      <c r="K8976" t="s">
        <v>229</v>
      </c>
      <c r="Q8976">
        <v>0</v>
      </c>
      <c r="R8976">
        <v>80</v>
      </c>
      <c r="S8976">
        <v>80</v>
      </c>
      <c r="T8976" t="s">
        <v>33766</v>
      </c>
    </row>
    <row r="8977" spans="1:20" customFormat="1" ht="15" x14ac:dyDescent="0.25">
      <c r="A8977" t="s">
        <v>35</v>
      </c>
      <c r="B8977" t="s">
        <v>225</v>
      </c>
      <c r="C8977" t="str">
        <f>"A0180362"</f>
        <v>A0180362</v>
      </c>
      <c r="D8977" t="s">
        <v>33767</v>
      </c>
      <c r="E8977" t="s">
        <v>33768</v>
      </c>
      <c r="F8977" t="s">
        <v>9169</v>
      </c>
      <c r="G8977" t="s">
        <v>381</v>
      </c>
      <c r="H8977">
        <v>47042</v>
      </c>
      <c r="I8977" t="s">
        <v>30</v>
      </c>
      <c r="J8977" t="s">
        <v>41</v>
      </c>
      <c r="K8977" t="s">
        <v>229</v>
      </c>
      <c r="Q8977">
        <v>0</v>
      </c>
      <c r="R8977">
        <v>29</v>
      </c>
      <c r="S8977">
        <v>29</v>
      </c>
      <c r="T8977" t="s">
        <v>33769</v>
      </c>
    </row>
    <row r="8978" spans="1:20" customFormat="1" ht="15" x14ac:dyDescent="0.25">
      <c r="A8978" t="s">
        <v>35</v>
      </c>
      <c r="B8978" t="s">
        <v>225</v>
      </c>
      <c r="C8978" t="str">
        <f>"A0180361"</f>
        <v>A0180361</v>
      </c>
      <c r="D8978" t="s">
        <v>33770</v>
      </c>
      <c r="E8978" t="s">
        <v>33771</v>
      </c>
      <c r="F8978" t="s">
        <v>33772</v>
      </c>
      <c r="G8978" t="s">
        <v>899</v>
      </c>
      <c r="H8978">
        <v>1453</v>
      </c>
      <c r="I8978" t="s">
        <v>30</v>
      </c>
      <c r="J8978" t="s">
        <v>41</v>
      </c>
      <c r="K8978" t="s">
        <v>229</v>
      </c>
      <c r="Q8978">
        <v>0</v>
      </c>
      <c r="R8978">
        <v>106</v>
      </c>
      <c r="S8978">
        <v>106</v>
      </c>
      <c r="T8978" t="s">
        <v>33773</v>
      </c>
    </row>
    <row r="8979" spans="1:20" customFormat="1" ht="15" x14ac:dyDescent="0.25">
      <c r="A8979" t="s">
        <v>35</v>
      </c>
      <c r="B8979" t="s">
        <v>225</v>
      </c>
      <c r="C8979" t="str">
        <f>"A0180360"</f>
        <v>A0180360</v>
      </c>
      <c r="D8979" t="s">
        <v>33774</v>
      </c>
      <c r="E8979" t="s">
        <v>33775</v>
      </c>
      <c r="F8979" t="s">
        <v>890</v>
      </c>
      <c r="G8979" t="s">
        <v>381</v>
      </c>
      <c r="H8979">
        <v>46307</v>
      </c>
      <c r="I8979" t="s">
        <v>30</v>
      </c>
      <c r="J8979" t="s">
        <v>41</v>
      </c>
      <c r="K8979" t="s">
        <v>229</v>
      </c>
      <c r="Q8979">
        <v>0</v>
      </c>
      <c r="R8979">
        <v>55</v>
      </c>
      <c r="S8979">
        <v>55</v>
      </c>
      <c r="T8979" t="s">
        <v>33776</v>
      </c>
    </row>
    <row r="8980" spans="1:20" customFormat="1" ht="15" x14ac:dyDescent="0.25">
      <c r="A8980" t="s">
        <v>35</v>
      </c>
      <c r="B8980" t="s">
        <v>225</v>
      </c>
      <c r="C8980" t="str">
        <f>"A0180359"</f>
        <v>A0180359</v>
      </c>
      <c r="D8980" t="s">
        <v>33777</v>
      </c>
      <c r="E8980" t="s">
        <v>33778</v>
      </c>
      <c r="F8980" t="s">
        <v>11963</v>
      </c>
      <c r="G8980" t="s">
        <v>381</v>
      </c>
      <c r="H8980">
        <v>46580</v>
      </c>
      <c r="I8980" t="s">
        <v>30</v>
      </c>
      <c r="J8980" t="s">
        <v>41</v>
      </c>
      <c r="K8980" t="s">
        <v>229</v>
      </c>
      <c r="Q8980">
        <v>0</v>
      </c>
      <c r="R8980">
        <v>80</v>
      </c>
      <c r="S8980">
        <v>80</v>
      </c>
      <c r="T8980" t="s">
        <v>33779</v>
      </c>
    </row>
    <row r="8981" spans="1:20" customFormat="1" ht="15" x14ac:dyDescent="0.25">
      <c r="A8981" t="s">
        <v>35</v>
      </c>
      <c r="B8981" t="s">
        <v>225</v>
      </c>
      <c r="C8981" t="str">
        <f>"A0180358"</f>
        <v>A0180358</v>
      </c>
      <c r="D8981" t="s">
        <v>33780</v>
      </c>
      <c r="E8981" t="s">
        <v>33781</v>
      </c>
      <c r="F8981" t="s">
        <v>13059</v>
      </c>
      <c r="G8981" t="s">
        <v>381</v>
      </c>
      <c r="H8981">
        <v>47396</v>
      </c>
      <c r="I8981" t="s">
        <v>30</v>
      </c>
      <c r="J8981" t="s">
        <v>41</v>
      </c>
      <c r="K8981" t="s">
        <v>229</v>
      </c>
      <c r="Q8981">
        <v>0</v>
      </c>
      <c r="R8981">
        <v>100</v>
      </c>
      <c r="S8981">
        <v>100</v>
      </c>
      <c r="T8981" t="s">
        <v>33782</v>
      </c>
    </row>
    <row r="8982" spans="1:20" customFormat="1" ht="15" x14ac:dyDescent="0.25">
      <c r="A8982" t="s">
        <v>35</v>
      </c>
      <c r="B8982" t="s">
        <v>225</v>
      </c>
      <c r="C8982" t="str">
        <f>"A0180357"</f>
        <v>A0180357</v>
      </c>
      <c r="D8982" t="s">
        <v>33783</v>
      </c>
      <c r="E8982" t="s">
        <v>33784</v>
      </c>
      <c r="F8982" t="s">
        <v>33785</v>
      </c>
      <c r="G8982" t="s">
        <v>899</v>
      </c>
      <c r="H8982">
        <v>1440</v>
      </c>
      <c r="I8982" t="s">
        <v>30</v>
      </c>
      <c r="J8982" t="s">
        <v>41</v>
      </c>
      <c r="K8982" t="s">
        <v>229</v>
      </c>
      <c r="Q8982">
        <v>0</v>
      </c>
      <c r="R8982">
        <v>96</v>
      </c>
      <c r="S8982">
        <v>96</v>
      </c>
      <c r="T8982" t="s">
        <v>33786</v>
      </c>
    </row>
    <row r="8983" spans="1:20" customFormat="1" ht="15" x14ac:dyDescent="0.25">
      <c r="A8983" t="s">
        <v>35</v>
      </c>
      <c r="B8983" t="s">
        <v>225</v>
      </c>
      <c r="C8983" t="str">
        <f>"A0180356"</f>
        <v>A0180356</v>
      </c>
      <c r="D8983" t="s">
        <v>33787</v>
      </c>
      <c r="E8983" t="s">
        <v>33788</v>
      </c>
      <c r="F8983" t="s">
        <v>33789</v>
      </c>
      <c r="G8983" t="s">
        <v>381</v>
      </c>
      <c r="H8983">
        <v>47561</v>
      </c>
      <c r="I8983" t="s">
        <v>30</v>
      </c>
      <c r="J8983" t="s">
        <v>41</v>
      </c>
      <c r="K8983" t="s">
        <v>229</v>
      </c>
      <c r="Q8983">
        <v>0</v>
      </c>
      <c r="R8983">
        <v>50</v>
      </c>
      <c r="S8983">
        <v>50</v>
      </c>
      <c r="T8983" t="s">
        <v>33790</v>
      </c>
    </row>
    <row r="8984" spans="1:20" customFormat="1" ht="15" x14ac:dyDescent="0.25">
      <c r="A8984" t="s">
        <v>35</v>
      </c>
      <c r="B8984" t="s">
        <v>225</v>
      </c>
      <c r="C8984" t="str">
        <f>"A0180355"</f>
        <v>A0180355</v>
      </c>
      <c r="D8984" t="s">
        <v>33791</v>
      </c>
      <c r="E8984" t="s">
        <v>33792</v>
      </c>
      <c r="F8984" t="s">
        <v>33793</v>
      </c>
      <c r="G8984" t="s">
        <v>381</v>
      </c>
      <c r="H8984">
        <v>46755</v>
      </c>
      <c r="I8984" t="s">
        <v>30</v>
      </c>
      <c r="J8984" t="s">
        <v>41</v>
      </c>
      <c r="K8984" t="s">
        <v>229</v>
      </c>
      <c r="Q8984">
        <v>0</v>
      </c>
      <c r="R8984">
        <v>45</v>
      </c>
      <c r="S8984">
        <v>45</v>
      </c>
      <c r="T8984" t="s">
        <v>33794</v>
      </c>
    </row>
    <row r="8985" spans="1:20" customFormat="1" ht="15" x14ac:dyDescent="0.25">
      <c r="A8985" t="s">
        <v>35</v>
      </c>
      <c r="B8985" t="s">
        <v>225</v>
      </c>
      <c r="C8985" t="str">
        <f>"A0180354"</f>
        <v>A0180354</v>
      </c>
      <c r="D8985" t="s">
        <v>33795</v>
      </c>
      <c r="E8985" t="s">
        <v>33796</v>
      </c>
      <c r="F8985" t="s">
        <v>33797</v>
      </c>
      <c r="G8985" t="s">
        <v>381</v>
      </c>
      <c r="H8985">
        <v>46304</v>
      </c>
      <c r="I8985" t="s">
        <v>30</v>
      </c>
      <c r="J8985" t="s">
        <v>41</v>
      </c>
      <c r="K8985" t="s">
        <v>229</v>
      </c>
      <c r="Q8985">
        <v>0</v>
      </c>
      <c r="R8985">
        <v>102</v>
      </c>
      <c r="S8985">
        <v>102</v>
      </c>
      <c r="T8985" t="s">
        <v>33798</v>
      </c>
    </row>
    <row r="8986" spans="1:20" customFormat="1" ht="15" x14ac:dyDescent="0.25">
      <c r="A8986" t="s">
        <v>35</v>
      </c>
      <c r="B8986" t="s">
        <v>225</v>
      </c>
      <c r="C8986" t="str">
        <f>"A0180353"</f>
        <v>A0180353</v>
      </c>
      <c r="D8986" t="s">
        <v>33799</v>
      </c>
      <c r="E8986" t="s">
        <v>33800</v>
      </c>
      <c r="F8986" t="s">
        <v>33801</v>
      </c>
      <c r="G8986" t="s">
        <v>381</v>
      </c>
      <c r="H8986">
        <v>47857</v>
      </c>
      <c r="I8986" t="s">
        <v>30</v>
      </c>
      <c r="J8986" t="s">
        <v>41</v>
      </c>
      <c r="K8986" t="s">
        <v>59</v>
      </c>
      <c r="Q8986">
        <v>0</v>
      </c>
      <c r="R8986">
        <v>100</v>
      </c>
      <c r="S8986">
        <v>100</v>
      </c>
      <c r="T8986" t="s">
        <v>33802</v>
      </c>
    </row>
    <row r="8987" spans="1:20" customFormat="1" ht="15" x14ac:dyDescent="0.25">
      <c r="A8987" t="s">
        <v>35</v>
      </c>
      <c r="B8987" t="s">
        <v>1797</v>
      </c>
      <c r="C8987" t="str">
        <f>"A0180352"</f>
        <v>A0180352</v>
      </c>
      <c r="D8987" t="s">
        <v>33803</v>
      </c>
      <c r="E8987" t="s">
        <v>33804</v>
      </c>
      <c r="F8987" t="s">
        <v>2770</v>
      </c>
      <c r="G8987" t="s">
        <v>117</v>
      </c>
      <c r="H8987">
        <v>48157</v>
      </c>
      <c r="I8987" t="s">
        <v>30</v>
      </c>
      <c r="J8987" t="s">
        <v>41</v>
      </c>
      <c r="K8987" t="s">
        <v>59</v>
      </c>
      <c r="Q8987">
        <v>0</v>
      </c>
      <c r="R8987">
        <v>80</v>
      </c>
      <c r="S8987">
        <v>80</v>
      </c>
      <c r="T8987" t="s">
        <v>33805</v>
      </c>
    </row>
    <row r="8988" spans="1:20" customFormat="1" ht="15" x14ac:dyDescent="0.25">
      <c r="A8988" t="s">
        <v>35</v>
      </c>
      <c r="B8988" t="s">
        <v>119</v>
      </c>
      <c r="C8988" t="str">
        <f>"A0180351"</f>
        <v>A0180351</v>
      </c>
      <c r="D8988" t="s">
        <v>33806</v>
      </c>
      <c r="E8988" t="s">
        <v>33807</v>
      </c>
      <c r="F8988" t="s">
        <v>1420</v>
      </c>
      <c r="G8988" t="s">
        <v>880</v>
      </c>
      <c r="H8988">
        <v>37221</v>
      </c>
      <c r="I8988" t="s">
        <v>30</v>
      </c>
      <c r="J8988" t="s">
        <v>41</v>
      </c>
      <c r="K8988" t="s">
        <v>59</v>
      </c>
      <c r="Q8988">
        <v>0</v>
      </c>
      <c r="R8988">
        <v>148</v>
      </c>
      <c r="S8988">
        <v>148</v>
      </c>
      <c r="T8988" t="s">
        <v>33808</v>
      </c>
    </row>
    <row r="8989" spans="1:20" customFormat="1" ht="15" x14ac:dyDescent="0.25">
      <c r="A8989" t="s">
        <v>35</v>
      </c>
      <c r="B8989" t="s">
        <v>119</v>
      </c>
      <c r="C8989" t="str">
        <f>"A0180350"</f>
        <v>A0180350</v>
      </c>
      <c r="D8989" t="s">
        <v>33809</v>
      </c>
      <c r="E8989" t="s">
        <v>33807</v>
      </c>
      <c r="F8989" t="s">
        <v>1420</v>
      </c>
      <c r="G8989" t="s">
        <v>880</v>
      </c>
      <c r="H8989">
        <v>37221</v>
      </c>
      <c r="I8989" t="s">
        <v>30</v>
      </c>
      <c r="J8989" t="s">
        <v>41</v>
      </c>
      <c r="K8989" t="s">
        <v>59</v>
      </c>
      <c r="Q8989">
        <v>0</v>
      </c>
      <c r="R8989">
        <v>148</v>
      </c>
      <c r="S8989">
        <v>148</v>
      </c>
      <c r="T8989" t="s">
        <v>33808</v>
      </c>
    </row>
    <row r="8990" spans="1:20" customFormat="1" ht="15" x14ac:dyDescent="0.25">
      <c r="A8990" t="s">
        <v>35</v>
      </c>
      <c r="B8990" t="s">
        <v>20322</v>
      </c>
      <c r="C8990" t="str">
        <f>"A0180349"</f>
        <v>A0180349</v>
      </c>
      <c r="D8990" t="s">
        <v>33810</v>
      </c>
      <c r="E8990" t="s">
        <v>22961</v>
      </c>
      <c r="F8990" t="s">
        <v>11884</v>
      </c>
      <c r="G8990" t="s">
        <v>71</v>
      </c>
      <c r="H8990">
        <v>54902</v>
      </c>
      <c r="I8990" t="s">
        <v>30</v>
      </c>
      <c r="J8990" t="s">
        <v>41</v>
      </c>
      <c r="K8990" t="s">
        <v>482</v>
      </c>
      <c r="Q8990">
        <v>0</v>
      </c>
      <c r="R8990">
        <v>0</v>
      </c>
      <c r="S8990">
        <v>0</v>
      </c>
      <c r="T8990" t="s">
        <v>22962</v>
      </c>
    </row>
    <row r="8991" spans="1:20" customFormat="1" ht="15" x14ac:dyDescent="0.25">
      <c r="A8991" t="s">
        <v>35</v>
      </c>
      <c r="B8991" t="s">
        <v>20322</v>
      </c>
      <c r="C8991" t="str">
        <f>"A0180348"</f>
        <v>A0180348</v>
      </c>
      <c r="D8991" t="s">
        <v>33811</v>
      </c>
      <c r="E8991" t="s">
        <v>33482</v>
      </c>
      <c r="F8991" t="s">
        <v>11884</v>
      </c>
      <c r="G8991" t="s">
        <v>71</v>
      </c>
      <c r="H8991">
        <v>54904</v>
      </c>
      <c r="I8991" t="s">
        <v>30</v>
      </c>
      <c r="J8991" t="s">
        <v>41</v>
      </c>
      <c r="K8991" t="s">
        <v>482</v>
      </c>
      <c r="Q8991">
        <v>0</v>
      </c>
      <c r="R8991">
        <v>0</v>
      </c>
      <c r="S8991">
        <v>0</v>
      </c>
      <c r="T8991" t="s">
        <v>33812</v>
      </c>
    </row>
    <row r="8992" spans="1:20" customFormat="1" ht="15" x14ac:dyDescent="0.25">
      <c r="A8992" t="s">
        <v>35</v>
      </c>
      <c r="B8992" t="s">
        <v>20322</v>
      </c>
      <c r="C8992" t="str">
        <f>"A0180347"</f>
        <v>A0180347</v>
      </c>
      <c r="D8992" t="s">
        <v>33813</v>
      </c>
      <c r="E8992" t="s">
        <v>33814</v>
      </c>
      <c r="F8992" t="s">
        <v>11884</v>
      </c>
      <c r="G8992" t="s">
        <v>71</v>
      </c>
      <c r="H8992">
        <v>54902</v>
      </c>
      <c r="I8992" t="s">
        <v>30</v>
      </c>
      <c r="J8992" t="s">
        <v>41</v>
      </c>
      <c r="K8992" t="s">
        <v>482</v>
      </c>
      <c r="Q8992">
        <v>0</v>
      </c>
      <c r="R8992">
        <v>0</v>
      </c>
      <c r="S8992">
        <v>0</v>
      </c>
      <c r="T8992" t="s">
        <v>33815</v>
      </c>
    </row>
    <row r="8993" spans="1:25" customFormat="1" ht="15" x14ac:dyDescent="0.25">
      <c r="A8993" t="s">
        <v>24</v>
      </c>
      <c r="B8993" t="s">
        <v>2221</v>
      </c>
      <c r="C8993" t="str">
        <f>"A0058864"</f>
        <v>A0058864</v>
      </c>
      <c r="D8993" t="s">
        <v>66269</v>
      </c>
      <c r="E8993" t="s">
        <v>66270</v>
      </c>
      <c r="F8993" t="s">
        <v>3505</v>
      </c>
      <c r="G8993" t="s">
        <v>52</v>
      </c>
      <c r="H8993">
        <v>76102</v>
      </c>
      <c r="I8993" t="s">
        <v>30</v>
      </c>
      <c r="J8993" t="s">
        <v>162</v>
      </c>
      <c r="K8993" t="s">
        <v>4809</v>
      </c>
      <c r="N8993" t="s">
        <v>56226</v>
      </c>
      <c r="O8993" t="s">
        <v>66271</v>
      </c>
      <c r="Q8993">
        <v>0</v>
      </c>
      <c r="R8993">
        <v>294</v>
      </c>
      <c r="S8993">
        <v>0</v>
      </c>
      <c r="T8993" t="s">
        <v>66272</v>
      </c>
    </row>
    <row r="8994" spans="1:25" customFormat="1" ht="15" x14ac:dyDescent="0.25">
      <c r="A8994" t="s">
        <v>24</v>
      </c>
      <c r="B8994" t="s">
        <v>33821</v>
      </c>
      <c r="C8994" t="str">
        <f>"A0088931"</f>
        <v>A0088931</v>
      </c>
      <c r="D8994" t="s">
        <v>33822</v>
      </c>
      <c r="E8994" t="s">
        <v>33823</v>
      </c>
      <c r="F8994" t="s">
        <v>7699</v>
      </c>
      <c r="G8994" t="s">
        <v>81</v>
      </c>
      <c r="H8994">
        <v>33763</v>
      </c>
      <c r="I8994" t="s">
        <v>30</v>
      </c>
      <c r="J8994" t="s">
        <v>191</v>
      </c>
      <c r="K8994" t="s">
        <v>13697</v>
      </c>
      <c r="N8994" t="s">
        <v>33824</v>
      </c>
      <c r="Q8994">
        <v>0</v>
      </c>
      <c r="R8994">
        <v>0</v>
      </c>
      <c r="S8994">
        <v>0</v>
      </c>
      <c r="T8994" t="s">
        <v>33825</v>
      </c>
    </row>
    <row r="8995" spans="1:25" customFormat="1" ht="15" x14ac:dyDescent="0.25">
      <c r="A8995" t="s">
        <v>35</v>
      </c>
      <c r="B8995" t="s">
        <v>61</v>
      </c>
      <c r="C8995" t="str">
        <f>"A0130877"</f>
        <v>A0130877</v>
      </c>
      <c r="D8995" t="s">
        <v>33826</v>
      </c>
      <c r="E8995" t="s">
        <v>33827</v>
      </c>
      <c r="F8995" t="s">
        <v>33828</v>
      </c>
      <c r="G8995" t="s">
        <v>85</v>
      </c>
      <c r="H8995">
        <v>72958</v>
      </c>
      <c r="I8995" t="s">
        <v>30</v>
      </c>
      <c r="J8995" t="s">
        <v>41</v>
      </c>
      <c r="K8995" t="s">
        <v>229</v>
      </c>
      <c r="Q8995">
        <v>0</v>
      </c>
      <c r="R8995">
        <v>105</v>
      </c>
      <c r="S8995">
        <v>105</v>
      </c>
      <c r="T8995" t="s">
        <v>33829</v>
      </c>
    </row>
    <row r="8996" spans="1:25" customFormat="1" ht="15" x14ac:dyDescent="0.25">
      <c r="A8996" t="s">
        <v>35</v>
      </c>
      <c r="B8996" t="s">
        <v>437</v>
      </c>
      <c r="C8996" t="str">
        <f>"A0133926"</f>
        <v>A0133926</v>
      </c>
      <c r="D8996" t="s">
        <v>33830</v>
      </c>
      <c r="E8996" t="s">
        <v>33831</v>
      </c>
      <c r="F8996" t="s">
        <v>4288</v>
      </c>
      <c r="G8996" t="s">
        <v>110</v>
      </c>
      <c r="H8996">
        <v>92503</v>
      </c>
      <c r="I8996" t="s">
        <v>30</v>
      </c>
      <c r="J8996" t="s">
        <v>441</v>
      </c>
      <c r="K8996" t="s">
        <v>442</v>
      </c>
      <c r="Q8996">
        <v>0</v>
      </c>
      <c r="R8996">
        <v>0</v>
      </c>
      <c r="S8996">
        <v>0</v>
      </c>
      <c r="T8996" t="s">
        <v>33832</v>
      </c>
    </row>
    <row r="8997" spans="1:25" x14ac:dyDescent="0.25">
      <c r="A8997" s="5" t="s">
        <v>24</v>
      </c>
      <c r="B8997" s="5" t="s">
        <v>6363</v>
      </c>
      <c r="C8997" s="5" t="str">
        <f>"34219"</f>
        <v>34219</v>
      </c>
      <c r="D8997" s="5" t="s">
        <v>66587</v>
      </c>
      <c r="E8997" s="5" t="s">
        <v>66588</v>
      </c>
      <c r="F8997" s="5" t="s">
        <v>7921</v>
      </c>
      <c r="G8997" s="5" t="s">
        <v>880</v>
      </c>
      <c r="H8997" s="5">
        <v>37067</v>
      </c>
      <c r="I8997" s="5" t="s">
        <v>30</v>
      </c>
      <c r="J8997" s="5" t="s">
        <v>162</v>
      </c>
      <c r="K8997" s="5" t="s">
        <v>1490</v>
      </c>
      <c r="L8997" s="5"/>
      <c r="M8997" s="5"/>
      <c r="N8997" s="5" t="s">
        <v>66589</v>
      </c>
      <c r="O8997" s="5"/>
      <c r="P8997" s="5"/>
      <c r="Q8997" s="5">
        <v>0</v>
      </c>
      <c r="R8997" s="5">
        <v>300</v>
      </c>
      <c r="S8997" s="5">
        <v>0</v>
      </c>
      <c r="T8997" s="5" t="s">
        <v>66590</v>
      </c>
      <c r="U8997" s="5"/>
      <c r="V8997" s="5"/>
      <c r="W8997" s="5"/>
      <c r="X8997" s="5"/>
      <c r="Y8997" s="5"/>
    </row>
    <row r="8998" spans="1:25" customFormat="1" ht="15" x14ac:dyDescent="0.25">
      <c r="A8998" t="s">
        <v>24</v>
      </c>
      <c r="B8998" t="s">
        <v>193</v>
      </c>
      <c r="C8998" t="str">
        <f>"CL0183"</f>
        <v>CL0183</v>
      </c>
      <c r="D8998" t="s">
        <v>33836</v>
      </c>
      <c r="E8998" t="s">
        <v>33837</v>
      </c>
      <c r="F8998" t="s">
        <v>33838</v>
      </c>
      <c r="G8998" t="s">
        <v>65</v>
      </c>
      <c r="H8998">
        <v>45423</v>
      </c>
      <c r="I8998" t="s">
        <v>30</v>
      </c>
      <c r="J8998" t="s">
        <v>2558</v>
      </c>
      <c r="K8998" t="s">
        <v>163</v>
      </c>
      <c r="Q8998">
        <v>0</v>
      </c>
      <c r="R8998">
        <v>0</v>
      </c>
      <c r="S8998">
        <v>0</v>
      </c>
      <c r="T8998" t="s">
        <v>33839</v>
      </c>
    </row>
    <row r="8999" spans="1:25" customFormat="1" ht="15" x14ac:dyDescent="0.25">
      <c r="A8999" t="s">
        <v>24</v>
      </c>
      <c r="B8999" t="s">
        <v>1528</v>
      </c>
      <c r="C8999" t="str">
        <f>"A0180331"</f>
        <v>A0180331</v>
      </c>
      <c r="D8999" t="s">
        <v>33840</v>
      </c>
      <c r="E8999" t="s">
        <v>33841</v>
      </c>
      <c r="F8999" t="s">
        <v>33842</v>
      </c>
      <c r="G8999" t="s">
        <v>76</v>
      </c>
      <c r="H8999">
        <v>98926</v>
      </c>
      <c r="I8999" t="s">
        <v>30</v>
      </c>
      <c r="J8999" t="s">
        <v>1004</v>
      </c>
      <c r="K8999" t="s">
        <v>163</v>
      </c>
      <c r="N8999" t="s">
        <v>33843</v>
      </c>
      <c r="O8999" t="s">
        <v>33844</v>
      </c>
      <c r="Q8999">
        <v>0</v>
      </c>
      <c r="R8999">
        <v>0</v>
      </c>
      <c r="S8999">
        <v>0</v>
      </c>
      <c r="T8999" t="s">
        <v>33845</v>
      </c>
    </row>
    <row r="9000" spans="1:25" customFormat="1" ht="15" x14ac:dyDescent="0.25">
      <c r="A9000" t="s">
        <v>24</v>
      </c>
      <c r="B9000" t="s">
        <v>66599</v>
      </c>
      <c r="C9000" t="str">
        <f>"A0098781"</f>
        <v>A0098781</v>
      </c>
      <c r="D9000" t="s">
        <v>66604</v>
      </c>
      <c r="E9000" t="s">
        <v>66605</v>
      </c>
      <c r="F9000" t="s">
        <v>1519</v>
      </c>
      <c r="G9000" t="s">
        <v>110</v>
      </c>
      <c r="H9000">
        <v>90014</v>
      </c>
      <c r="I9000" t="s">
        <v>30</v>
      </c>
      <c r="J9000" t="s">
        <v>162</v>
      </c>
      <c r="K9000" t="s">
        <v>163</v>
      </c>
      <c r="N9000" t="s">
        <v>66606</v>
      </c>
      <c r="Q9000">
        <v>0</v>
      </c>
      <c r="R9000">
        <v>226</v>
      </c>
      <c r="S9000">
        <v>0</v>
      </c>
      <c r="T9000" t="s">
        <v>66607</v>
      </c>
    </row>
    <row r="9001" spans="1:25" customFormat="1" ht="15" x14ac:dyDescent="0.25">
      <c r="A9001" t="s">
        <v>24</v>
      </c>
      <c r="B9001" t="s">
        <v>11506</v>
      </c>
      <c r="C9001" t="str">
        <f>"A0162070"</f>
        <v>A0162070</v>
      </c>
      <c r="D9001" t="s">
        <v>33849</v>
      </c>
      <c r="E9001" t="s">
        <v>33850</v>
      </c>
      <c r="F9001" t="s">
        <v>9431</v>
      </c>
      <c r="G9001" t="s">
        <v>381</v>
      </c>
      <c r="H9001">
        <v>46225</v>
      </c>
      <c r="I9001" t="s">
        <v>30</v>
      </c>
      <c r="J9001" t="s">
        <v>31</v>
      </c>
      <c r="K9001" t="s">
        <v>222</v>
      </c>
      <c r="N9001" t="s">
        <v>33851</v>
      </c>
      <c r="Q9001">
        <v>0</v>
      </c>
      <c r="R9001">
        <v>146</v>
      </c>
      <c r="S9001">
        <v>0</v>
      </c>
      <c r="T9001" t="s">
        <v>33852</v>
      </c>
    </row>
    <row r="9002" spans="1:25" x14ac:dyDescent="0.25">
      <c r="A9002" s="5" t="s">
        <v>24</v>
      </c>
      <c r="B9002" s="5" t="s">
        <v>66599</v>
      </c>
      <c r="C9002" s="5" t="str">
        <f>"A0095642"</f>
        <v>A0095642</v>
      </c>
      <c r="D9002" s="5" t="s">
        <v>66608</v>
      </c>
      <c r="E9002" s="5" t="s">
        <v>66609</v>
      </c>
      <c r="F9002" s="5" t="s">
        <v>1889</v>
      </c>
      <c r="G9002" s="5" t="s">
        <v>81</v>
      </c>
      <c r="H9002" s="5">
        <v>33140</v>
      </c>
      <c r="I9002" s="5" t="s">
        <v>30</v>
      </c>
      <c r="J9002" s="5" t="s">
        <v>162</v>
      </c>
      <c r="K9002" s="5" t="s">
        <v>163</v>
      </c>
      <c r="L9002" s="5"/>
      <c r="M9002" s="5"/>
      <c r="N9002" s="5" t="s">
        <v>66610</v>
      </c>
      <c r="O9002" s="5"/>
      <c r="P9002" s="5"/>
      <c r="Q9002" s="5">
        <v>0</v>
      </c>
      <c r="R9002" s="5">
        <v>63</v>
      </c>
      <c r="S9002" s="5">
        <v>0</v>
      </c>
      <c r="T9002" s="5" t="s">
        <v>66611</v>
      </c>
      <c r="U9002" s="5"/>
      <c r="V9002" s="5"/>
      <c r="W9002" s="5"/>
      <c r="X9002" s="5"/>
      <c r="Y9002" s="5"/>
    </row>
    <row r="9003" spans="1:25" customFormat="1" ht="15" x14ac:dyDescent="0.25">
      <c r="A9003" t="s">
        <v>24</v>
      </c>
      <c r="B9003" t="s">
        <v>210</v>
      </c>
      <c r="C9003" t="str">
        <f>"A0180251"</f>
        <v>A0180251</v>
      </c>
      <c r="D9003" t="s">
        <v>33858</v>
      </c>
      <c r="E9003" t="s">
        <v>33859</v>
      </c>
      <c r="F9003" t="s">
        <v>33860</v>
      </c>
      <c r="G9003" t="s">
        <v>58</v>
      </c>
      <c r="H9003">
        <v>29150</v>
      </c>
      <c r="I9003" t="s">
        <v>30</v>
      </c>
      <c r="J9003" t="s">
        <v>145</v>
      </c>
      <c r="K9003" t="s">
        <v>163</v>
      </c>
      <c r="N9003" t="s">
        <v>33861</v>
      </c>
      <c r="Q9003">
        <v>0</v>
      </c>
      <c r="R9003">
        <v>86</v>
      </c>
      <c r="S9003">
        <v>0</v>
      </c>
      <c r="T9003" t="s">
        <v>33862</v>
      </c>
    </row>
    <row r="9004" spans="1:25" customFormat="1" ht="15" x14ac:dyDescent="0.25">
      <c r="A9004" t="s">
        <v>24</v>
      </c>
      <c r="B9004" t="s">
        <v>210</v>
      </c>
      <c r="C9004" t="str">
        <f>"A0180250"</f>
        <v>A0180250</v>
      </c>
      <c r="D9004" t="s">
        <v>33863</v>
      </c>
      <c r="E9004" t="s">
        <v>33864</v>
      </c>
      <c r="F9004" t="s">
        <v>11381</v>
      </c>
      <c r="G9004" t="s">
        <v>846</v>
      </c>
      <c r="H9004">
        <v>30087</v>
      </c>
      <c r="I9004" t="s">
        <v>30</v>
      </c>
      <c r="J9004" t="s">
        <v>31</v>
      </c>
      <c r="K9004" t="s">
        <v>296</v>
      </c>
      <c r="N9004" t="s">
        <v>33865</v>
      </c>
      <c r="Q9004">
        <v>0</v>
      </c>
      <c r="R9004">
        <v>57</v>
      </c>
      <c r="S9004">
        <v>0</v>
      </c>
      <c r="T9004" t="s">
        <v>33866</v>
      </c>
    </row>
    <row r="9005" spans="1:25" customFormat="1" ht="15" x14ac:dyDescent="0.25">
      <c r="A9005" t="s">
        <v>24</v>
      </c>
      <c r="B9005" t="s">
        <v>66599</v>
      </c>
      <c r="C9005" t="str">
        <f>"A0099403"</f>
        <v>A0099403</v>
      </c>
      <c r="D9005" t="s">
        <v>66612</v>
      </c>
      <c r="E9005" t="s">
        <v>66613</v>
      </c>
      <c r="F9005" t="s">
        <v>997</v>
      </c>
      <c r="G9005" t="s">
        <v>99</v>
      </c>
      <c r="H9005">
        <v>10010</v>
      </c>
      <c r="I9005" t="s">
        <v>30</v>
      </c>
      <c r="J9005" t="s">
        <v>162</v>
      </c>
      <c r="K9005" t="s">
        <v>163</v>
      </c>
      <c r="N9005" t="s">
        <v>66614</v>
      </c>
      <c r="O9005" t="s">
        <v>66615</v>
      </c>
      <c r="Q9005">
        <v>0</v>
      </c>
      <c r="R9005">
        <v>396</v>
      </c>
      <c r="S9005">
        <v>0</v>
      </c>
      <c r="T9005" t="s">
        <v>66616</v>
      </c>
    </row>
    <row r="9006" spans="1:25" customFormat="1" ht="15" x14ac:dyDescent="0.25">
      <c r="A9006" t="s">
        <v>24</v>
      </c>
      <c r="B9006" t="s">
        <v>210</v>
      </c>
      <c r="C9006" t="str">
        <f>"A0180249"</f>
        <v>A0180249</v>
      </c>
      <c r="D9006" t="s">
        <v>33869</v>
      </c>
      <c r="E9006" t="s">
        <v>33870</v>
      </c>
      <c r="F9006" t="s">
        <v>213</v>
      </c>
      <c r="G9006" t="s">
        <v>214</v>
      </c>
      <c r="H9006">
        <v>28786</v>
      </c>
      <c r="I9006" t="s">
        <v>30</v>
      </c>
      <c r="J9006" t="s">
        <v>145</v>
      </c>
      <c r="K9006" t="s">
        <v>1185</v>
      </c>
      <c r="N9006" t="s">
        <v>13026</v>
      </c>
      <c r="Q9006">
        <v>0</v>
      </c>
      <c r="R9006">
        <v>38</v>
      </c>
      <c r="S9006">
        <v>0</v>
      </c>
      <c r="T9006" t="s">
        <v>216</v>
      </c>
    </row>
    <row r="9007" spans="1:25" customFormat="1" ht="15" x14ac:dyDescent="0.25">
      <c r="A9007" t="s">
        <v>24</v>
      </c>
      <c r="B9007" t="s">
        <v>2221</v>
      </c>
      <c r="C9007" t="str">
        <f>"337W3"</f>
        <v>337W3</v>
      </c>
      <c r="D9007" t="s">
        <v>66626</v>
      </c>
      <c r="E9007" t="s">
        <v>66627</v>
      </c>
      <c r="F9007" t="s">
        <v>5791</v>
      </c>
      <c r="G9007" t="s">
        <v>110</v>
      </c>
      <c r="H9007">
        <v>94538</v>
      </c>
      <c r="I9007" t="s">
        <v>30</v>
      </c>
      <c r="J9007" t="s">
        <v>162</v>
      </c>
      <c r="K9007" t="s">
        <v>1490</v>
      </c>
      <c r="N9007" t="s">
        <v>66628</v>
      </c>
      <c r="Q9007">
        <v>0</v>
      </c>
      <c r="R9007">
        <v>357</v>
      </c>
      <c r="S9007">
        <v>0</v>
      </c>
      <c r="T9007" t="s">
        <v>66629</v>
      </c>
    </row>
    <row r="9008" spans="1:25" customFormat="1" ht="15" x14ac:dyDescent="0.25">
      <c r="A9008" t="s">
        <v>24</v>
      </c>
      <c r="B9008" t="s">
        <v>33875</v>
      </c>
      <c r="C9008" t="str">
        <f>"A0093769"</f>
        <v>A0093769</v>
      </c>
      <c r="D9008" t="s">
        <v>33876</v>
      </c>
      <c r="E9008" t="s">
        <v>33877</v>
      </c>
      <c r="F9008" t="s">
        <v>33878</v>
      </c>
      <c r="G9008" t="s">
        <v>846</v>
      </c>
      <c r="H9008">
        <v>30223</v>
      </c>
      <c r="I9008" t="s">
        <v>30</v>
      </c>
      <c r="J9008" t="s">
        <v>178</v>
      </c>
      <c r="K9008" t="s">
        <v>163</v>
      </c>
      <c r="N9008" t="s">
        <v>33879</v>
      </c>
      <c r="O9008" t="s">
        <v>33880</v>
      </c>
      <c r="Q9008">
        <v>1</v>
      </c>
      <c r="R9008">
        <v>0</v>
      </c>
      <c r="S9008">
        <v>0</v>
      </c>
      <c r="T9008" t="s">
        <v>33881</v>
      </c>
    </row>
    <row r="9009" spans="1:25" x14ac:dyDescent="0.25">
      <c r="A9009" s="5" t="s">
        <v>24</v>
      </c>
      <c r="B9009" s="5" t="s">
        <v>1528</v>
      </c>
      <c r="C9009" s="5" t="str">
        <f>"A0085856"</f>
        <v>A0085856</v>
      </c>
      <c r="D9009" s="5" t="s">
        <v>66660</v>
      </c>
      <c r="E9009" s="5" t="s">
        <v>66661</v>
      </c>
      <c r="F9009" s="5" t="s">
        <v>66662</v>
      </c>
      <c r="G9009" s="5" t="s">
        <v>76</v>
      </c>
      <c r="H9009" s="5">
        <v>98250</v>
      </c>
      <c r="I9009" s="5" t="s">
        <v>30</v>
      </c>
      <c r="J9009" s="5" t="s">
        <v>162</v>
      </c>
      <c r="K9009" s="5" t="s">
        <v>163</v>
      </c>
      <c r="L9009" s="5"/>
      <c r="M9009" s="5"/>
      <c r="N9009" s="5" t="s">
        <v>66663</v>
      </c>
      <c r="O9009" s="5" t="s">
        <v>66664</v>
      </c>
      <c r="P9009" s="5"/>
      <c r="Q9009" s="5">
        <v>0</v>
      </c>
      <c r="R9009" s="5">
        <v>23</v>
      </c>
      <c r="S9009" s="5">
        <v>0</v>
      </c>
      <c r="T9009" s="5" t="s">
        <v>66665</v>
      </c>
      <c r="U9009" s="5"/>
      <c r="V9009" s="5"/>
      <c r="W9009" s="5"/>
      <c r="X9009" s="5"/>
      <c r="Y9009" s="5"/>
    </row>
    <row r="9010" spans="1:25" customFormat="1" ht="15" x14ac:dyDescent="0.25">
      <c r="A9010" t="s">
        <v>24</v>
      </c>
      <c r="B9010" t="s">
        <v>7373</v>
      </c>
      <c r="C9010" t="str">
        <f>"A0055922"</f>
        <v>A0055922</v>
      </c>
      <c r="D9010" t="s">
        <v>33886</v>
      </c>
      <c r="E9010" t="s">
        <v>33887</v>
      </c>
      <c r="F9010" t="s">
        <v>2856</v>
      </c>
      <c r="G9010" t="s">
        <v>52</v>
      </c>
      <c r="H9010">
        <v>79905</v>
      </c>
      <c r="I9010" t="s">
        <v>30</v>
      </c>
      <c r="J9010" t="s">
        <v>31</v>
      </c>
      <c r="K9010" t="s">
        <v>321</v>
      </c>
      <c r="N9010" t="s">
        <v>33888</v>
      </c>
      <c r="Q9010">
        <v>0</v>
      </c>
      <c r="R9010">
        <v>121</v>
      </c>
      <c r="S9010">
        <v>0</v>
      </c>
      <c r="T9010" t="s">
        <v>33889</v>
      </c>
    </row>
    <row r="9011" spans="1:25" customFormat="1" ht="15" x14ac:dyDescent="0.25">
      <c r="A9011" t="s">
        <v>24</v>
      </c>
      <c r="B9011" t="s">
        <v>649</v>
      </c>
      <c r="C9011" t="str">
        <f>"A0165866"</f>
        <v>A0165866</v>
      </c>
      <c r="D9011" t="s">
        <v>33890</v>
      </c>
      <c r="E9011" t="s">
        <v>33891</v>
      </c>
      <c r="F9011" t="s">
        <v>11318</v>
      </c>
      <c r="G9011" t="s">
        <v>925</v>
      </c>
      <c r="H9011">
        <v>66614</v>
      </c>
      <c r="I9011" t="s">
        <v>30</v>
      </c>
      <c r="J9011" t="s">
        <v>31</v>
      </c>
      <c r="K9011" t="s">
        <v>255</v>
      </c>
      <c r="N9011" t="s">
        <v>33892</v>
      </c>
      <c r="Q9011">
        <v>0</v>
      </c>
      <c r="R9011">
        <v>88</v>
      </c>
      <c r="S9011">
        <v>0</v>
      </c>
      <c r="T9011" t="s">
        <v>33893</v>
      </c>
    </row>
    <row r="9012" spans="1:25" x14ac:dyDescent="0.25">
      <c r="A9012" s="5" t="s">
        <v>24</v>
      </c>
      <c r="B9012" s="5" t="s">
        <v>4855</v>
      </c>
      <c r="C9012" s="5" t="str">
        <f>"A0090974"</f>
        <v>A0090974</v>
      </c>
      <c r="D9012" s="5" t="s">
        <v>66666</v>
      </c>
      <c r="E9012" s="5" t="s">
        <v>66667</v>
      </c>
      <c r="F9012" s="5" t="s">
        <v>64455</v>
      </c>
      <c r="G9012" s="5" t="s">
        <v>110</v>
      </c>
      <c r="H9012" s="5">
        <v>96007</v>
      </c>
      <c r="I9012" s="5" t="s">
        <v>30</v>
      </c>
      <c r="J9012" s="5" t="s">
        <v>162</v>
      </c>
      <c r="K9012" s="5" t="s">
        <v>163</v>
      </c>
      <c r="L9012" s="5"/>
      <c r="M9012" s="5"/>
      <c r="N9012" s="5" t="s">
        <v>66668</v>
      </c>
      <c r="O9012" s="5"/>
      <c r="P9012" s="5"/>
      <c r="Q9012" s="5">
        <v>0</v>
      </c>
      <c r="R9012" s="5">
        <v>120</v>
      </c>
      <c r="S9012" s="5">
        <v>0</v>
      </c>
      <c r="T9012" s="5" t="s">
        <v>66669</v>
      </c>
      <c r="U9012" s="5"/>
      <c r="V9012" s="5"/>
      <c r="W9012" s="5"/>
      <c r="X9012" s="5"/>
      <c r="Y9012" s="5"/>
    </row>
    <row r="9013" spans="1:25" customFormat="1" ht="15" x14ac:dyDescent="0.25">
      <c r="A9013" t="s">
        <v>24</v>
      </c>
      <c r="B9013" t="s">
        <v>1020</v>
      </c>
      <c r="C9013" t="str">
        <f>"A0083759"</f>
        <v>A0083759</v>
      </c>
      <c r="D9013" t="s">
        <v>66681</v>
      </c>
      <c r="E9013" t="s">
        <v>66682</v>
      </c>
      <c r="F9013" t="s">
        <v>1308</v>
      </c>
      <c r="G9013" t="s">
        <v>99</v>
      </c>
      <c r="H9013">
        <v>11430</v>
      </c>
      <c r="I9013" t="s">
        <v>30</v>
      </c>
      <c r="J9013" t="s">
        <v>162</v>
      </c>
      <c r="K9013" t="s">
        <v>163</v>
      </c>
      <c r="N9013" t="s">
        <v>66683</v>
      </c>
      <c r="Q9013">
        <v>0</v>
      </c>
      <c r="R9013">
        <v>150</v>
      </c>
      <c r="S9013">
        <v>0</v>
      </c>
      <c r="T9013" t="s">
        <v>66684</v>
      </c>
    </row>
    <row r="9014" spans="1:25" customFormat="1" ht="15" x14ac:dyDescent="0.25">
      <c r="A9014" t="s">
        <v>24</v>
      </c>
      <c r="B9014" t="s">
        <v>675</v>
      </c>
      <c r="C9014" t="str">
        <f>"A0088462"</f>
        <v>A0088462</v>
      </c>
      <c r="D9014" t="s">
        <v>66685</v>
      </c>
      <c r="E9014" t="s">
        <v>66686</v>
      </c>
      <c r="F9014" t="s">
        <v>66687</v>
      </c>
      <c r="G9014" t="s">
        <v>123</v>
      </c>
      <c r="H9014">
        <v>20745</v>
      </c>
      <c r="I9014" t="s">
        <v>30</v>
      </c>
      <c r="J9014" t="s">
        <v>162</v>
      </c>
      <c r="K9014" t="s">
        <v>64967</v>
      </c>
      <c r="N9014" t="s">
        <v>66688</v>
      </c>
      <c r="Q9014">
        <v>0</v>
      </c>
      <c r="R9014">
        <v>2000</v>
      </c>
      <c r="S9014">
        <v>0</v>
      </c>
      <c r="T9014" t="s">
        <v>66689</v>
      </c>
    </row>
    <row r="9015" spans="1:25" customFormat="1" ht="15" hidden="1" x14ac:dyDescent="0.25">
      <c r="A9015" t="s">
        <v>24</v>
      </c>
      <c r="B9015" t="s">
        <v>675</v>
      </c>
      <c r="C9015" t="str">
        <f>"A0146998"</f>
        <v>A0146998</v>
      </c>
      <c r="D9015" t="s">
        <v>33906</v>
      </c>
      <c r="E9015" t="s">
        <v>33907</v>
      </c>
      <c r="F9015" t="s">
        <v>33908</v>
      </c>
      <c r="G9015" t="s">
        <v>4528</v>
      </c>
      <c r="H9015">
        <v>36275</v>
      </c>
      <c r="I9015" t="s">
        <v>2408</v>
      </c>
      <c r="J9015" t="s">
        <v>31</v>
      </c>
      <c r="K9015" t="s">
        <v>32</v>
      </c>
      <c r="N9015" t="s">
        <v>33909</v>
      </c>
      <c r="O9015" t="s">
        <v>33910</v>
      </c>
      <c r="Q9015">
        <v>0</v>
      </c>
      <c r="R9015">
        <v>120</v>
      </c>
      <c r="S9015">
        <v>0</v>
      </c>
      <c r="T9015" t="s">
        <v>33911</v>
      </c>
    </row>
    <row r="9016" spans="1:25" customFormat="1" ht="15" x14ac:dyDescent="0.25">
      <c r="A9016" t="s">
        <v>24</v>
      </c>
      <c r="B9016" t="s">
        <v>675</v>
      </c>
      <c r="C9016" t="str">
        <f>"A0054377"</f>
        <v>A0054377</v>
      </c>
      <c r="D9016" t="s">
        <v>66690</v>
      </c>
      <c r="E9016" t="s">
        <v>66691</v>
      </c>
      <c r="F9016" t="s">
        <v>1420</v>
      </c>
      <c r="G9016" t="s">
        <v>880</v>
      </c>
      <c r="H9016">
        <v>37214</v>
      </c>
      <c r="I9016" t="s">
        <v>30</v>
      </c>
      <c r="J9016" t="s">
        <v>162</v>
      </c>
      <c r="K9016" t="s">
        <v>64967</v>
      </c>
      <c r="N9016" t="s">
        <v>66692</v>
      </c>
      <c r="O9016" t="s">
        <v>66693</v>
      </c>
      <c r="Q9016">
        <v>0</v>
      </c>
      <c r="R9016">
        <v>2883</v>
      </c>
      <c r="S9016">
        <v>0</v>
      </c>
      <c r="T9016" t="s">
        <v>66694</v>
      </c>
    </row>
    <row r="9017" spans="1:25" customFormat="1" ht="15" x14ac:dyDescent="0.25">
      <c r="A9017" t="s">
        <v>24</v>
      </c>
      <c r="B9017" t="s">
        <v>675</v>
      </c>
      <c r="C9017" t="str">
        <f>"A0063638"</f>
        <v>A0063638</v>
      </c>
      <c r="D9017" t="s">
        <v>66695</v>
      </c>
      <c r="E9017" t="s">
        <v>66696</v>
      </c>
      <c r="F9017" t="s">
        <v>58598</v>
      </c>
      <c r="G9017" t="s">
        <v>81</v>
      </c>
      <c r="H9017">
        <v>34746</v>
      </c>
      <c r="I9017" t="s">
        <v>30</v>
      </c>
      <c r="J9017" t="s">
        <v>162</v>
      </c>
      <c r="K9017" t="s">
        <v>64967</v>
      </c>
      <c r="N9017" t="s">
        <v>66697</v>
      </c>
      <c r="O9017" t="s">
        <v>66698</v>
      </c>
      <c r="Q9017">
        <v>0</v>
      </c>
      <c r="R9017">
        <v>1406</v>
      </c>
      <c r="S9017">
        <v>0</v>
      </c>
      <c r="T9017" t="s">
        <v>66699</v>
      </c>
    </row>
    <row r="9018" spans="1:25" customFormat="1" ht="15" x14ac:dyDescent="0.25">
      <c r="A9018" t="s">
        <v>24</v>
      </c>
      <c r="B9018" t="s">
        <v>33920</v>
      </c>
      <c r="C9018" t="str">
        <f>"A0180316"</f>
        <v>A0180316</v>
      </c>
      <c r="D9018" t="s">
        <v>33921</v>
      </c>
      <c r="E9018" t="s">
        <v>33922</v>
      </c>
      <c r="F9018" t="s">
        <v>33923</v>
      </c>
      <c r="G9018" t="s">
        <v>81</v>
      </c>
      <c r="H9018">
        <v>32176</v>
      </c>
      <c r="I9018" t="s">
        <v>30</v>
      </c>
      <c r="J9018" t="s">
        <v>31</v>
      </c>
      <c r="K9018" t="s">
        <v>163</v>
      </c>
      <c r="N9018" t="s">
        <v>33924</v>
      </c>
      <c r="Q9018">
        <v>0</v>
      </c>
      <c r="R9018">
        <v>56</v>
      </c>
      <c r="S9018">
        <v>0</v>
      </c>
      <c r="T9018" t="s">
        <v>33925</v>
      </c>
    </row>
    <row r="9019" spans="1:25" customFormat="1" ht="15" x14ac:dyDescent="0.25">
      <c r="A9019" t="s">
        <v>35</v>
      </c>
      <c r="B9019" t="s">
        <v>33926</v>
      </c>
      <c r="C9019" t="str">
        <f>"A0128888"</f>
        <v>A0128888</v>
      </c>
      <c r="D9019" t="s">
        <v>33927</v>
      </c>
      <c r="E9019" t="s">
        <v>33928</v>
      </c>
      <c r="F9019" t="s">
        <v>4662</v>
      </c>
      <c r="G9019" t="s">
        <v>289</v>
      </c>
      <c r="H9019">
        <v>66226</v>
      </c>
      <c r="I9019" t="s">
        <v>30</v>
      </c>
      <c r="J9019" t="s">
        <v>41</v>
      </c>
      <c r="K9019" t="s">
        <v>229</v>
      </c>
      <c r="Q9019">
        <v>0</v>
      </c>
      <c r="R9019">
        <v>94</v>
      </c>
      <c r="S9019">
        <v>94</v>
      </c>
      <c r="T9019" t="s">
        <v>33929</v>
      </c>
    </row>
    <row r="9020" spans="1:25" customFormat="1" ht="15" x14ac:dyDescent="0.25">
      <c r="A9020" t="s">
        <v>35</v>
      </c>
      <c r="B9020" t="s">
        <v>4771</v>
      </c>
      <c r="C9020" t="str">
        <f>"A0164529"</f>
        <v>A0164529</v>
      </c>
      <c r="D9020" t="s">
        <v>33930</v>
      </c>
      <c r="E9020" t="s">
        <v>33931</v>
      </c>
      <c r="F9020" t="s">
        <v>22759</v>
      </c>
      <c r="G9020" t="s">
        <v>880</v>
      </c>
      <c r="H9020">
        <v>77380</v>
      </c>
      <c r="I9020" t="s">
        <v>30</v>
      </c>
      <c r="J9020" t="s">
        <v>41</v>
      </c>
      <c r="K9020" t="s">
        <v>456</v>
      </c>
      <c r="Q9020">
        <v>0</v>
      </c>
      <c r="R9020">
        <v>0</v>
      </c>
      <c r="S9020">
        <v>0</v>
      </c>
      <c r="T9020" t="s">
        <v>72</v>
      </c>
    </row>
    <row r="9021" spans="1:25" customFormat="1" ht="15" x14ac:dyDescent="0.25">
      <c r="A9021" t="s">
        <v>35</v>
      </c>
      <c r="B9021" t="s">
        <v>33932</v>
      </c>
      <c r="C9021" t="str">
        <f>"A0117692"</f>
        <v>A0117692</v>
      </c>
      <c r="D9021" t="s">
        <v>33933</v>
      </c>
      <c r="E9021" t="s">
        <v>33934</v>
      </c>
      <c r="F9021" t="s">
        <v>1795</v>
      </c>
      <c r="G9021" t="s">
        <v>29</v>
      </c>
      <c r="H9021">
        <v>93233</v>
      </c>
      <c r="I9021" t="s">
        <v>30</v>
      </c>
      <c r="J9021" t="s">
        <v>41</v>
      </c>
      <c r="K9021" t="s">
        <v>59</v>
      </c>
      <c r="Q9021">
        <v>0</v>
      </c>
      <c r="R9021">
        <v>48</v>
      </c>
      <c r="S9021">
        <v>48</v>
      </c>
      <c r="T9021" t="s">
        <v>33935</v>
      </c>
    </row>
    <row r="9022" spans="1:25" customFormat="1" ht="15" x14ac:dyDescent="0.25">
      <c r="A9022" t="s">
        <v>35</v>
      </c>
      <c r="B9022" t="s">
        <v>36</v>
      </c>
      <c r="C9022" t="str">
        <f>"A0122419"</f>
        <v>A0122419</v>
      </c>
      <c r="D9022" t="s">
        <v>33936</v>
      </c>
      <c r="E9022" t="s">
        <v>33937</v>
      </c>
      <c r="F9022" t="s">
        <v>33938</v>
      </c>
      <c r="G9022" t="s">
        <v>29</v>
      </c>
      <c r="H9022">
        <v>66052</v>
      </c>
      <c r="I9022" t="s">
        <v>30</v>
      </c>
      <c r="J9022" t="s">
        <v>41</v>
      </c>
      <c r="K9022" t="s">
        <v>42</v>
      </c>
      <c r="Q9022">
        <v>0</v>
      </c>
      <c r="R9022">
        <v>0</v>
      </c>
      <c r="S9022">
        <v>0</v>
      </c>
      <c r="T9022" t="s">
        <v>33939</v>
      </c>
    </row>
    <row r="9023" spans="1:25" customFormat="1" ht="15" x14ac:dyDescent="0.25">
      <c r="A9023" t="s">
        <v>24</v>
      </c>
      <c r="B9023" t="s">
        <v>33940</v>
      </c>
      <c r="C9023" t="str">
        <f>"A0180168"</f>
        <v>A0180168</v>
      </c>
      <c r="D9023" t="s">
        <v>33941</v>
      </c>
      <c r="E9023" t="s">
        <v>33942</v>
      </c>
      <c r="F9023" t="s">
        <v>33943</v>
      </c>
      <c r="G9023" t="s">
        <v>197</v>
      </c>
      <c r="H9023">
        <v>86322</v>
      </c>
      <c r="I9023" t="s">
        <v>30</v>
      </c>
      <c r="J9023" t="s">
        <v>145</v>
      </c>
      <c r="K9023" t="s">
        <v>163</v>
      </c>
      <c r="N9023" t="s">
        <v>33944</v>
      </c>
      <c r="O9023" t="s">
        <v>33945</v>
      </c>
      <c r="Q9023">
        <v>0</v>
      </c>
      <c r="R9023">
        <v>6</v>
      </c>
      <c r="S9023">
        <v>0</v>
      </c>
      <c r="T9023" t="s">
        <v>33946</v>
      </c>
    </row>
    <row r="9024" spans="1:25" customFormat="1" ht="15" x14ac:dyDescent="0.25">
      <c r="A9024" t="s">
        <v>24</v>
      </c>
      <c r="B9024" t="s">
        <v>33940</v>
      </c>
      <c r="C9024" t="str">
        <f>"A0180167"</f>
        <v>A0180167</v>
      </c>
      <c r="D9024" t="s">
        <v>33947</v>
      </c>
      <c r="E9024" t="s">
        <v>33948</v>
      </c>
      <c r="F9024" t="s">
        <v>33943</v>
      </c>
      <c r="G9024" t="s">
        <v>197</v>
      </c>
      <c r="H9024">
        <v>86322</v>
      </c>
      <c r="I9024" t="s">
        <v>30</v>
      </c>
      <c r="J9024" t="s">
        <v>145</v>
      </c>
      <c r="K9024" t="s">
        <v>163</v>
      </c>
      <c r="N9024" t="s">
        <v>33949</v>
      </c>
      <c r="O9024" t="s">
        <v>33950</v>
      </c>
      <c r="Q9024">
        <v>0</v>
      </c>
      <c r="R9024">
        <v>22</v>
      </c>
      <c r="S9024">
        <v>0</v>
      </c>
      <c r="T9024" t="s">
        <v>33951</v>
      </c>
    </row>
    <row r="9025" spans="1:20" customFormat="1" ht="15" x14ac:dyDescent="0.25">
      <c r="A9025" t="s">
        <v>24</v>
      </c>
      <c r="B9025" t="s">
        <v>762</v>
      </c>
      <c r="C9025" t="str">
        <f>"A0180313"</f>
        <v>A0180313</v>
      </c>
      <c r="D9025" t="s">
        <v>33952</v>
      </c>
      <c r="E9025" t="s">
        <v>33953</v>
      </c>
      <c r="F9025" t="s">
        <v>33954</v>
      </c>
      <c r="G9025" t="s">
        <v>52</v>
      </c>
      <c r="H9025">
        <v>77515</v>
      </c>
      <c r="I9025" t="s">
        <v>30</v>
      </c>
      <c r="J9025" t="s">
        <v>31</v>
      </c>
      <c r="K9025" t="s">
        <v>321</v>
      </c>
      <c r="N9025" t="s">
        <v>33955</v>
      </c>
      <c r="Q9025">
        <v>0</v>
      </c>
      <c r="R9025">
        <v>55</v>
      </c>
      <c r="S9025">
        <v>0</v>
      </c>
      <c r="T9025" t="s">
        <v>33956</v>
      </c>
    </row>
    <row r="9026" spans="1:20" customFormat="1" ht="15" x14ac:dyDescent="0.25">
      <c r="A9026" t="s">
        <v>24</v>
      </c>
      <c r="B9026" t="s">
        <v>675</v>
      </c>
      <c r="C9026" t="str">
        <f>"A0101137"</f>
        <v>A0101137</v>
      </c>
      <c r="D9026" t="s">
        <v>66700</v>
      </c>
      <c r="E9026" t="s">
        <v>66701</v>
      </c>
      <c r="F9026" t="s">
        <v>33094</v>
      </c>
      <c r="G9026" t="s">
        <v>190</v>
      </c>
      <c r="H9026">
        <v>80019</v>
      </c>
      <c r="I9026" t="s">
        <v>30</v>
      </c>
      <c r="J9026" t="s">
        <v>162</v>
      </c>
      <c r="K9026" t="s">
        <v>64967</v>
      </c>
      <c r="N9026" t="s">
        <v>66702</v>
      </c>
      <c r="O9026" t="s">
        <v>66703</v>
      </c>
      <c r="Q9026">
        <v>0</v>
      </c>
      <c r="R9026">
        <v>1501</v>
      </c>
      <c r="S9026">
        <v>0</v>
      </c>
      <c r="T9026" t="s">
        <v>66704</v>
      </c>
    </row>
    <row r="9027" spans="1:20" customFormat="1" ht="15" x14ac:dyDescent="0.25">
      <c r="A9027" t="s">
        <v>24</v>
      </c>
      <c r="B9027" t="s">
        <v>1288</v>
      </c>
      <c r="C9027" t="str">
        <f>"A0086871"</f>
        <v>A0086871</v>
      </c>
      <c r="D9027" t="s">
        <v>33960</v>
      </c>
      <c r="E9027" t="s">
        <v>33961</v>
      </c>
      <c r="F9027" t="s">
        <v>10379</v>
      </c>
      <c r="G9027" t="s">
        <v>81</v>
      </c>
      <c r="H9027">
        <v>34117</v>
      </c>
      <c r="I9027" t="s">
        <v>30</v>
      </c>
      <c r="J9027" t="s">
        <v>31</v>
      </c>
      <c r="K9027" t="s">
        <v>255</v>
      </c>
      <c r="N9027" t="s">
        <v>33962</v>
      </c>
      <c r="Q9027">
        <v>0</v>
      </c>
      <c r="R9027">
        <v>102</v>
      </c>
      <c r="S9027">
        <v>0</v>
      </c>
      <c r="T9027" t="s">
        <v>33963</v>
      </c>
    </row>
    <row r="9028" spans="1:20" customFormat="1" ht="15" x14ac:dyDescent="0.25">
      <c r="A9028" t="s">
        <v>24</v>
      </c>
      <c r="B9028" t="s">
        <v>675</v>
      </c>
      <c r="C9028" t="str">
        <f>"A0057356"</f>
        <v>A0057356</v>
      </c>
      <c r="D9028" t="s">
        <v>66710</v>
      </c>
      <c r="E9028" t="s">
        <v>66711</v>
      </c>
      <c r="F9028" t="s">
        <v>2110</v>
      </c>
      <c r="G9028" t="s">
        <v>52</v>
      </c>
      <c r="H9028">
        <v>76051</v>
      </c>
      <c r="I9028" t="s">
        <v>30</v>
      </c>
      <c r="J9028" t="s">
        <v>162</v>
      </c>
      <c r="K9028" t="s">
        <v>64967</v>
      </c>
      <c r="N9028" t="s">
        <v>66712</v>
      </c>
      <c r="O9028" t="s">
        <v>66713</v>
      </c>
      <c r="Q9028">
        <v>0</v>
      </c>
      <c r="R9028">
        <v>1814</v>
      </c>
      <c r="S9028">
        <v>0</v>
      </c>
      <c r="T9028" t="s">
        <v>66714</v>
      </c>
    </row>
    <row r="9029" spans="1:20" customFormat="1" ht="15" x14ac:dyDescent="0.25">
      <c r="A9029" t="s">
        <v>24</v>
      </c>
      <c r="B9029" t="s">
        <v>2955</v>
      </c>
      <c r="C9029" t="str">
        <f>"A0066875"</f>
        <v>A0066875</v>
      </c>
      <c r="D9029" t="s">
        <v>66731</v>
      </c>
      <c r="E9029" t="s">
        <v>66732</v>
      </c>
      <c r="F9029" t="s">
        <v>845</v>
      </c>
      <c r="G9029" t="s">
        <v>846</v>
      </c>
      <c r="H9029">
        <v>30308</v>
      </c>
      <c r="I9029" t="s">
        <v>30</v>
      </c>
      <c r="J9029" t="s">
        <v>162</v>
      </c>
      <c r="K9029" t="s">
        <v>13697</v>
      </c>
      <c r="N9029" t="s">
        <v>66733</v>
      </c>
      <c r="Q9029">
        <v>0</v>
      </c>
      <c r="R9029">
        <v>252</v>
      </c>
      <c r="S9029">
        <v>0</v>
      </c>
      <c r="T9029" t="s">
        <v>66734</v>
      </c>
    </row>
    <row r="9030" spans="1:20" customFormat="1" ht="15" x14ac:dyDescent="0.25">
      <c r="A9030" t="s">
        <v>24</v>
      </c>
      <c r="B9030" t="s">
        <v>1288</v>
      </c>
      <c r="C9030" t="str">
        <f>"A0078500"</f>
        <v>A0078500</v>
      </c>
      <c r="D9030" t="s">
        <v>33974</v>
      </c>
      <c r="E9030" t="s">
        <v>33975</v>
      </c>
      <c r="F9030" t="s">
        <v>33976</v>
      </c>
      <c r="G9030" t="s">
        <v>81</v>
      </c>
      <c r="H9030">
        <v>33928</v>
      </c>
      <c r="I9030" t="s">
        <v>30</v>
      </c>
      <c r="J9030" t="s">
        <v>31</v>
      </c>
      <c r="K9030" t="s">
        <v>198</v>
      </c>
      <c r="N9030" t="s">
        <v>33977</v>
      </c>
      <c r="Q9030">
        <v>0</v>
      </c>
      <c r="R9030">
        <v>100</v>
      </c>
      <c r="S9030">
        <v>0</v>
      </c>
      <c r="T9030" t="s">
        <v>33978</v>
      </c>
    </row>
    <row r="9031" spans="1:20" customFormat="1" ht="15" x14ac:dyDescent="0.25">
      <c r="A9031" t="s">
        <v>24</v>
      </c>
      <c r="B9031" t="s">
        <v>2011</v>
      </c>
      <c r="C9031" t="str">
        <f>"A0095020"</f>
        <v>A0095020</v>
      </c>
      <c r="D9031" t="s">
        <v>66735</v>
      </c>
      <c r="E9031" t="s">
        <v>66736</v>
      </c>
      <c r="F9031" t="s">
        <v>997</v>
      </c>
      <c r="G9031" t="s">
        <v>99</v>
      </c>
      <c r="H9031">
        <v>10038</v>
      </c>
      <c r="I9031" t="s">
        <v>30</v>
      </c>
      <c r="J9031" t="s">
        <v>162</v>
      </c>
      <c r="K9031" t="s">
        <v>7012</v>
      </c>
      <c r="N9031" t="s">
        <v>66737</v>
      </c>
      <c r="O9031" t="s">
        <v>66738</v>
      </c>
      <c r="Q9031">
        <v>0</v>
      </c>
      <c r="R9031">
        <v>126</v>
      </c>
      <c r="S9031">
        <v>0</v>
      </c>
      <c r="T9031" t="s">
        <v>66739</v>
      </c>
    </row>
    <row r="9032" spans="1:20" customFormat="1" ht="15" x14ac:dyDescent="0.25">
      <c r="A9032" t="s">
        <v>24</v>
      </c>
      <c r="B9032" t="s">
        <v>1288</v>
      </c>
      <c r="C9032" t="str">
        <f>"A0059844"</f>
        <v>A0059844</v>
      </c>
      <c r="D9032" t="s">
        <v>33984</v>
      </c>
      <c r="E9032" t="s">
        <v>33985</v>
      </c>
      <c r="F9032" t="s">
        <v>242</v>
      </c>
      <c r="G9032" t="s">
        <v>214</v>
      </c>
      <c r="H9032">
        <v>28262</v>
      </c>
      <c r="I9032" t="s">
        <v>30</v>
      </c>
      <c r="J9032" t="s">
        <v>31</v>
      </c>
      <c r="K9032" t="s">
        <v>198</v>
      </c>
      <c r="N9032" t="s">
        <v>33986</v>
      </c>
      <c r="Q9032">
        <v>0</v>
      </c>
      <c r="R9032">
        <v>126</v>
      </c>
      <c r="S9032">
        <v>0</v>
      </c>
      <c r="T9032" t="s">
        <v>33987</v>
      </c>
    </row>
    <row r="9033" spans="1:20" customFormat="1" ht="15" x14ac:dyDescent="0.25">
      <c r="A9033" t="s">
        <v>24</v>
      </c>
      <c r="B9033" t="s">
        <v>1288</v>
      </c>
      <c r="C9033" t="str">
        <f>"A0059842"</f>
        <v>A0059842</v>
      </c>
      <c r="D9033" t="s">
        <v>33988</v>
      </c>
      <c r="E9033" t="s">
        <v>33989</v>
      </c>
      <c r="F9033" t="s">
        <v>6927</v>
      </c>
      <c r="G9033" t="s">
        <v>214</v>
      </c>
      <c r="H9033">
        <v>27511</v>
      </c>
      <c r="I9033" t="s">
        <v>30</v>
      </c>
      <c r="J9033" t="s">
        <v>31</v>
      </c>
      <c r="K9033" t="s">
        <v>198</v>
      </c>
      <c r="N9033" t="s">
        <v>33990</v>
      </c>
      <c r="O9033" t="s">
        <v>33991</v>
      </c>
      <c r="Q9033">
        <v>0</v>
      </c>
      <c r="R9033">
        <v>129</v>
      </c>
      <c r="S9033">
        <v>0</v>
      </c>
      <c r="T9033" t="s">
        <v>33992</v>
      </c>
    </row>
    <row r="9034" spans="1:20" customFormat="1" ht="15" x14ac:dyDescent="0.25">
      <c r="A9034" t="s">
        <v>24</v>
      </c>
      <c r="B9034" t="s">
        <v>814</v>
      </c>
      <c r="C9034" t="str">
        <f>"A0091112"</f>
        <v>A0091112</v>
      </c>
      <c r="D9034" t="s">
        <v>66740</v>
      </c>
      <c r="E9034" t="s">
        <v>66741</v>
      </c>
      <c r="F9034" t="s">
        <v>58598</v>
      </c>
      <c r="G9034" t="s">
        <v>81</v>
      </c>
      <c r="H9034">
        <v>34746</v>
      </c>
      <c r="I9034" t="s">
        <v>30</v>
      </c>
      <c r="J9034" t="s">
        <v>162</v>
      </c>
      <c r="K9034" t="s">
        <v>163</v>
      </c>
      <c r="N9034" t="s">
        <v>66742</v>
      </c>
      <c r="Q9034">
        <v>0</v>
      </c>
      <c r="R9034">
        <v>156</v>
      </c>
      <c r="S9034">
        <v>0</v>
      </c>
      <c r="T9034" t="s">
        <v>66743</v>
      </c>
    </row>
    <row r="9035" spans="1:20" customFormat="1" ht="15" x14ac:dyDescent="0.25">
      <c r="A9035" t="s">
        <v>24</v>
      </c>
      <c r="B9035" t="s">
        <v>1288</v>
      </c>
      <c r="C9035" t="str">
        <f>"A0059793"</f>
        <v>A0059793</v>
      </c>
      <c r="D9035" t="s">
        <v>33997</v>
      </c>
      <c r="E9035" t="s">
        <v>33998</v>
      </c>
      <c r="F9035" t="s">
        <v>845</v>
      </c>
      <c r="G9035" t="s">
        <v>846</v>
      </c>
      <c r="H9035">
        <v>30328</v>
      </c>
      <c r="I9035" t="s">
        <v>30</v>
      </c>
      <c r="J9035" t="s">
        <v>31</v>
      </c>
      <c r="K9035" t="s">
        <v>198</v>
      </c>
      <c r="N9035" t="s">
        <v>33999</v>
      </c>
      <c r="O9035" t="s">
        <v>34000</v>
      </c>
      <c r="Q9035">
        <v>0</v>
      </c>
      <c r="R9035">
        <v>131</v>
      </c>
      <c r="S9035">
        <v>0</v>
      </c>
      <c r="T9035" t="s">
        <v>34001</v>
      </c>
    </row>
    <row r="9036" spans="1:20" customFormat="1" ht="15" x14ac:dyDescent="0.25">
      <c r="A9036" t="s">
        <v>24</v>
      </c>
      <c r="B9036" t="s">
        <v>7953</v>
      </c>
      <c r="C9036" t="str">
        <f>"A0145432"</f>
        <v>A0145432</v>
      </c>
      <c r="D9036" t="s">
        <v>66759</v>
      </c>
      <c r="E9036" t="s">
        <v>66760</v>
      </c>
      <c r="F9036" t="s">
        <v>33663</v>
      </c>
      <c r="G9036" t="s">
        <v>110</v>
      </c>
      <c r="H9036">
        <v>90028</v>
      </c>
      <c r="I9036" t="s">
        <v>30</v>
      </c>
      <c r="J9036" t="s">
        <v>162</v>
      </c>
      <c r="K9036" t="s">
        <v>163</v>
      </c>
      <c r="Q9036">
        <v>0</v>
      </c>
      <c r="R9036">
        <v>220</v>
      </c>
      <c r="S9036">
        <v>0</v>
      </c>
      <c r="T9036" t="s">
        <v>66761</v>
      </c>
    </row>
    <row r="9037" spans="1:20" customFormat="1" ht="15" x14ac:dyDescent="0.25">
      <c r="A9037" t="s">
        <v>24</v>
      </c>
      <c r="B9037" t="s">
        <v>1288</v>
      </c>
      <c r="C9037" t="str">
        <f>"A0086933"</f>
        <v>A0086933</v>
      </c>
      <c r="D9037" t="s">
        <v>34007</v>
      </c>
      <c r="E9037" t="s">
        <v>34008</v>
      </c>
      <c r="F9037" t="s">
        <v>10379</v>
      </c>
      <c r="G9037" t="s">
        <v>81</v>
      </c>
      <c r="H9037">
        <v>34117</v>
      </c>
      <c r="I9037" t="s">
        <v>30</v>
      </c>
      <c r="J9037" t="s">
        <v>31</v>
      </c>
      <c r="K9037" t="s">
        <v>32</v>
      </c>
      <c r="N9037" t="s">
        <v>33962</v>
      </c>
      <c r="O9037" t="s">
        <v>34009</v>
      </c>
      <c r="Q9037">
        <v>0</v>
      </c>
      <c r="R9037">
        <v>100</v>
      </c>
      <c r="S9037">
        <v>0</v>
      </c>
      <c r="T9037" t="s">
        <v>34010</v>
      </c>
    </row>
    <row r="9038" spans="1:20" customFormat="1" ht="15" x14ac:dyDescent="0.25">
      <c r="A9038" t="s">
        <v>24</v>
      </c>
      <c r="B9038" t="s">
        <v>1288</v>
      </c>
      <c r="C9038" t="str">
        <f>"A0086487"</f>
        <v>A0086487</v>
      </c>
      <c r="D9038" t="s">
        <v>34011</v>
      </c>
      <c r="E9038" t="s">
        <v>34012</v>
      </c>
      <c r="F9038" t="s">
        <v>12098</v>
      </c>
      <c r="G9038" t="s">
        <v>81</v>
      </c>
      <c r="H9038">
        <v>34994</v>
      </c>
      <c r="I9038" t="s">
        <v>30</v>
      </c>
      <c r="J9038" t="s">
        <v>31</v>
      </c>
      <c r="K9038" t="s">
        <v>198</v>
      </c>
      <c r="N9038" t="s">
        <v>34013</v>
      </c>
      <c r="Q9038">
        <v>0</v>
      </c>
      <c r="R9038">
        <v>100</v>
      </c>
      <c r="S9038">
        <v>0</v>
      </c>
      <c r="T9038" t="s">
        <v>34014</v>
      </c>
    </row>
    <row r="9039" spans="1:20" customFormat="1" ht="15" x14ac:dyDescent="0.25">
      <c r="A9039" t="s">
        <v>24</v>
      </c>
      <c r="B9039" t="s">
        <v>1288</v>
      </c>
      <c r="C9039" t="str">
        <f>"A0078340"</f>
        <v>A0078340</v>
      </c>
      <c r="D9039" t="s">
        <v>34015</v>
      </c>
      <c r="E9039" t="s">
        <v>34016</v>
      </c>
      <c r="F9039" t="s">
        <v>34017</v>
      </c>
      <c r="G9039" t="s">
        <v>81</v>
      </c>
      <c r="H9039">
        <v>34711</v>
      </c>
      <c r="I9039" t="s">
        <v>30</v>
      </c>
      <c r="J9039" t="s">
        <v>31</v>
      </c>
      <c r="K9039" t="s">
        <v>198</v>
      </c>
      <c r="N9039" t="s">
        <v>34018</v>
      </c>
      <c r="Q9039">
        <v>0</v>
      </c>
      <c r="R9039">
        <v>87</v>
      </c>
      <c r="S9039">
        <v>0</v>
      </c>
      <c r="T9039" t="s">
        <v>34019</v>
      </c>
    </row>
    <row r="9040" spans="1:20" customFormat="1" ht="15" x14ac:dyDescent="0.25">
      <c r="A9040" t="s">
        <v>24</v>
      </c>
      <c r="B9040" t="s">
        <v>4400</v>
      </c>
      <c r="C9040" t="str">
        <f>"A0095883"</f>
        <v>A0095883</v>
      </c>
      <c r="D9040" t="s">
        <v>66810</v>
      </c>
      <c r="E9040" t="s">
        <v>66811</v>
      </c>
      <c r="F9040" t="s">
        <v>6840</v>
      </c>
      <c r="G9040" t="s">
        <v>117</v>
      </c>
      <c r="H9040">
        <v>48104</v>
      </c>
      <c r="I9040" t="s">
        <v>30</v>
      </c>
      <c r="J9040" t="s">
        <v>162</v>
      </c>
      <c r="K9040" t="s">
        <v>33433</v>
      </c>
      <c r="N9040" t="s">
        <v>33435</v>
      </c>
      <c r="O9040" t="s">
        <v>66812</v>
      </c>
      <c r="Q9040">
        <v>0</v>
      </c>
      <c r="R9040">
        <v>204</v>
      </c>
      <c r="S9040">
        <v>0</v>
      </c>
      <c r="T9040" t="s">
        <v>66813</v>
      </c>
    </row>
    <row r="9041" spans="1:25" customFormat="1" ht="15" x14ac:dyDescent="0.25">
      <c r="A9041" t="s">
        <v>24</v>
      </c>
      <c r="B9041" t="s">
        <v>1288</v>
      </c>
      <c r="C9041" t="str">
        <f>"4321Y"</f>
        <v>4321Y</v>
      </c>
      <c r="D9041" t="s">
        <v>34025</v>
      </c>
      <c r="E9041" t="s">
        <v>34026</v>
      </c>
      <c r="F9041" t="s">
        <v>985</v>
      </c>
      <c r="G9041" t="s">
        <v>81</v>
      </c>
      <c r="H9041">
        <v>32819</v>
      </c>
      <c r="I9041" t="s">
        <v>30</v>
      </c>
      <c r="J9041" t="s">
        <v>31</v>
      </c>
      <c r="K9041" t="s">
        <v>32</v>
      </c>
      <c r="N9041" t="s">
        <v>34027</v>
      </c>
      <c r="Q9041">
        <v>0</v>
      </c>
      <c r="R9041">
        <v>116</v>
      </c>
      <c r="S9041">
        <v>0</v>
      </c>
      <c r="T9041" t="s">
        <v>34028</v>
      </c>
    </row>
    <row r="9042" spans="1:25" customFormat="1" ht="15" x14ac:dyDescent="0.25">
      <c r="A9042" t="s">
        <v>24</v>
      </c>
      <c r="B9042" t="s">
        <v>1288</v>
      </c>
      <c r="C9042" t="str">
        <f>"A0074654"</f>
        <v>A0074654</v>
      </c>
      <c r="D9042" t="s">
        <v>34029</v>
      </c>
      <c r="E9042" t="s">
        <v>34030</v>
      </c>
      <c r="F9042" t="s">
        <v>3540</v>
      </c>
      <c r="G9042" t="s">
        <v>214</v>
      </c>
      <c r="H9042">
        <v>28314</v>
      </c>
      <c r="I9042" t="s">
        <v>30</v>
      </c>
      <c r="J9042" t="s">
        <v>31</v>
      </c>
      <c r="K9042" t="s">
        <v>296</v>
      </c>
      <c r="N9042" t="s">
        <v>34031</v>
      </c>
      <c r="Q9042">
        <v>0</v>
      </c>
      <c r="R9042">
        <v>176</v>
      </c>
      <c r="S9042">
        <v>0</v>
      </c>
      <c r="T9042" t="s">
        <v>34032</v>
      </c>
    </row>
    <row r="9043" spans="1:25" customFormat="1" ht="15" x14ac:dyDescent="0.25">
      <c r="A9043" t="s">
        <v>24</v>
      </c>
      <c r="B9043" t="s">
        <v>34033</v>
      </c>
      <c r="C9043" t="str">
        <f>"A0180311"</f>
        <v>A0180311</v>
      </c>
      <c r="D9043" t="s">
        <v>34034</v>
      </c>
      <c r="E9043" t="s">
        <v>34035</v>
      </c>
      <c r="F9043" t="s">
        <v>34036</v>
      </c>
      <c r="G9043" t="s">
        <v>81</v>
      </c>
      <c r="H9043">
        <v>32561</v>
      </c>
      <c r="I9043" t="s">
        <v>30</v>
      </c>
      <c r="J9043" t="s">
        <v>31</v>
      </c>
      <c r="K9043" t="s">
        <v>261</v>
      </c>
      <c r="N9043" t="s">
        <v>34037</v>
      </c>
      <c r="Q9043">
        <v>0</v>
      </c>
      <c r="R9043">
        <v>109</v>
      </c>
      <c r="S9043">
        <v>0</v>
      </c>
      <c r="T9043" t="s">
        <v>34038</v>
      </c>
    </row>
    <row r="9044" spans="1:25" customFormat="1" ht="15" x14ac:dyDescent="0.25">
      <c r="A9044" t="s">
        <v>24</v>
      </c>
      <c r="B9044" t="s">
        <v>4400</v>
      </c>
      <c r="C9044" t="str">
        <f>"A0056588"</f>
        <v>A0056588</v>
      </c>
      <c r="D9044" t="s">
        <v>66814</v>
      </c>
      <c r="E9044" t="s">
        <v>66815</v>
      </c>
      <c r="F9044" t="s">
        <v>281</v>
      </c>
      <c r="G9044" t="s">
        <v>123</v>
      </c>
      <c r="H9044">
        <v>21401</v>
      </c>
      <c r="I9044" t="s">
        <v>30</v>
      </c>
      <c r="J9044" t="s">
        <v>162</v>
      </c>
      <c r="K9044" t="s">
        <v>33433</v>
      </c>
      <c r="N9044" t="s">
        <v>66816</v>
      </c>
      <c r="O9044" t="s">
        <v>66817</v>
      </c>
      <c r="Q9044">
        <v>0</v>
      </c>
      <c r="R9044">
        <v>215</v>
      </c>
      <c r="S9044">
        <v>0</v>
      </c>
      <c r="T9044" t="s">
        <v>66818</v>
      </c>
    </row>
    <row r="9045" spans="1:25" customFormat="1" ht="15" x14ac:dyDescent="0.25">
      <c r="A9045" t="s">
        <v>24</v>
      </c>
      <c r="B9045" t="s">
        <v>4400</v>
      </c>
      <c r="C9045" t="str">
        <f>"A0058764"</f>
        <v>A0058764</v>
      </c>
      <c r="D9045" t="s">
        <v>66819</v>
      </c>
      <c r="E9045" t="s">
        <v>66820</v>
      </c>
      <c r="F9045" t="s">
        <v>3358</v>
      </c>
      <c r="G9045" t="s">
        <v>846</v>
      </c>
      <c r="H9045">
        <v>30601</v>
      </c>
      <c r="I9045" t="s">
        <v>30</v>
      </c>
      <c r="J9045" t="s">
        <v>162</v>
      </c>
      <c r="K9045" t="s">
        <v>33433</v>
      </c>
      <c r="N9045" t="s">
        <v>66821</v>
      </c>
      <c r="Q9045">
        <v>0</v>
      </c>
      <c r="R9045">
        <v>122</v>
      </c>
      <c r="S9045">
        <v>0</v>
      </c>
      <c r="T9045" t="s">
        <v>66822</v>
      </c>
    </row>
    <row r="9046" spans="1:25" customFormat="1" ht="15" x14ac:dyDescent="0.25">
      <c r="A9046" t="s">
        <v>24</v>
      </c>
      <c r="B9046" t="s">
        <v>2005</v>
      </c>
      <c r="C9046" t="str">
        <f>"A0179577"</f>
        <v>A0179577</v>
      </c>
      <c r="D9046" t="s">
        <v>34049</v>
      </c>
      <c r="E9046" t="s">
        <v>34050</v>
      </c>
      <c r="F9046" t="s">
        <v>34051</v>
      </c>
      <c r="G9046" t="s">
        <v>880</v>
      </c>
      <c r="H9046">
        <v>37701</v>
      </c>
      <c r="I9046" t="s">
        <v>30</v>
      </c>
      <c r="J9046" t="s">
        <v>31</v>
      </c>
      <c r="K9046" t="s">
        <v>32</v>
      </c>
      <c r="N9046" t="s">
        <v>34052</v>
      </c>
      <c r="Q9046">
        <v>0</v>
      </c>
      <c r="R9046">
        <v>87</v>
      </c>
      <c r="S9046">
        <v>0</v>
      </c>
      <c r="T9046" t="s">
        <v>34053</v>
      </c>
    </row>
    <row r="9047" spans="1:25" customFormat="1" ht="15" x14ac:dyDescent="0.25">
      <c r="A9047" t="s">
        <v>24</v>
      </c>
      <c r="B9047" t="s">
        <v>4400</v>
      </c>
      <c r="C9047" t="str">
        <f>"A0057583"</f>
        <v>A0057583</v>
      </c>
      <c r="D9047" t="s">
        <v>66823</v>
      </c>
      <c r="E9047" t="s">
        <v>66824</v>
      </c>
      <c r="F9047" t="s">
        <v>16124</v>
      </c>
      <c r="G9047" t="s">
        <v>110</v>
      </c>
      <c r="H9047">
        <v>94704</v>
      </c>
      <c r="I9047" t="s">
        <v>30</v>
      </c>
      <c r="J9047" t="s">
        <v>162</v>
      </c>
      <c r="K9047" t="s">
        <v>33433</v>
      </c>
      <c r="N9047" t="s">
        <v>66825</v>
      </c>
      <c r="O9047" t="s">
        <v>66826</v>
      </c>
      <c r="Q9047">
        <v>0</v>
      </c>
      <c r="R9047">
        <v>144</v>
      </c>
      <c r="S9047">
        <v>0</v>
      </c>
      <c r="T9047" t="s">
        <v>66827</v>
      </c>
    </row>
    <row r="9048" spans="1:25" x14ac:dyDescent="0.25">
      <c r="A9048" s="5" t="s">
        <v>24</v>
      </c>
      <c r="B9048" s="5" t="s">
        <v>4400</v>
      </c>
      <c r="C9048" s="5" t="str">
        <f>"A0146929"</f>
        <v>A0146929</v>
      </c>
      <c r="D9048" s="5" t="s">
        <v>66828</v>
      </c>
      <c r="E9048" s="5" t="s">
        <v>66829</v>
      </c>
      <c r="F9048" s="5" t="s">
        <v>3455</v>
      </c>
      <c r="G9048" s="5" t="s">
        <v>381</v>
      </c>
      <c r="H9048" s="5">
        <v>47408</v>
      </c>
      <c r="I9048" s="5" t="s">
        <v>30</v>
      </c>
      <c r="J9048" s="5" t="s">
        <v>162</v>
      </c>
      <c r="K9048" s="5" t="s">
        <v>33433</v>
      </c>
      <c r="L9048" s="5"/>
      <c r="M9048" s="5"/>
      <c r="N9048" s="5" t="s">
        <v>66830</v>
      </c>
      <c r="O9048" s="5"/>
      <c r="P9048" s="5"/>
      <c r="Q9048" s="5">
        <v>0</v>
      </c>
      <c r="R9048" s="5">
        <v>150</v>
      </c>
      <c r="S9048" s="5">
        <v>0</v>
      </c>
      <c r="T9048" s="5" t="s">
        <v>66831</v>
      </c>
      <c r="U9048" s="5"/>
      <c r="V9048" s="5"/>
      <c r="W9048" s="5"/>
      <c r="X9048" s="5"/>
      <c r="Y9048" s="5"/>
    </row>
    <row r="9049" spans="1:25" customFormat="1" ht="15" x14ac:dyDescent="0.25">
      <c r="A9049" t="s">
        <v>24</v>
      </c>
      <c r="B9049" t="s">
        <v>4400</v>
      </c>
      <c r="C9049" t="str">
        <f>"A0094525"</f>
        <v>A0094525</v>
      </c>
      <c r="D9049" t="s">
        <v>66832</v>
      </c>
      <c r="E9049" t="s">
        <v>66833</v>
      </c>
      <c r="F9049" t="s">
        <v>66834</v>
      </c>
      <c r="G9049" t="s">
        <v>29</v>
      </c>
      <c r="H9049">
        <v>22903</v>
      </c>
      <c r="I9049" t="s">
        <v>30</v>
      </c>
      <c r="J9049" t="s">
        <v>162</v>
      </c>
      <c r="K9049" t="s">
        <v>33433</v>
      </c>
      <c r="N9049" t="s">
        <v>66835</v>
      </c>
      <c r="Q9049">
        <v>0</v>
      </c>
      <c r="R9049">
        <v>134</v>
      </c>
      <c r="S9049">
        <v>0</v>
      </c>
      <c r="T9049" t="s">
        <v>66836</v>
      </c>
    </row>
    <row r="9050" spans="1:25" customFormat="1" ht="15" hidden="1" x14ac:dyDescent="0.25">
      <c r="A9050" t="s">
        <v>24</v>
      </c>
      <c r="B9050" t="s">
        <v>193</v>
      </c>
      <c r="C9050" t="str">
        <f>"A0145949"</f>
        <v>A0145949</v>
      </c>
      <c r="D9050" t="s">
        <v>34068</v>
      </c>
      <c r="E9050" t="s">
        <v>34069</v>
      </c>
      <c r="F9050" t="s">
        <v>5101</v>
      </c>
      <c r="G9050" t="s">
        <v>1457</v>
      </c>
      <c r="H9050" t="s">
        <v>13173</v>
      </c>
      <c r="I9050" t="s">
        <v>1459</v>
      </c>
      <c r="J9050" t="s">
        <v>31</v>
      </c>
      <c r="K9050" t="s">
        <v>163</v>
      </c>
      <c r="N9050" t="s">
        <v>34070</v>
      </c>
      <c r="Q9050">
        <v>0</v>
      </c>
      <c r="R9050">
        <v>62</v>
      </c>
      <c r="S9050">
        <v>0</v>
      </c>
      <c r="T9050" t="s">
        <v>34071</v>
      </c>
    </row>
    <row r="9051" spans="1:25" customFormat="1" ht="15" x14ac:dyDescent="0.25">
      <c r="A9051" t="s">
        <v>24</v>
      </c>
      <c r="B9051" t="s">
        <v>4400</v>
      </c>
      <c r="C9051" t="str">
        <f>"61AA9"</f>
        <v>61AA9</v>
      </c>
      <c r="D9051" t="s">
        <v>66837</v>
      </c>
      <c r="E9051" t="s">
        <v>66838</v>
      </c>
      <c r="F9051" t="s">
        <v>13716</v>
      </c>
      <c r="G9051" t="s">
        <v>65</v>
      </c>
      <c r="H9051">
        <v>45219</v>
      </c>
      <c r="I9051" t="s">
        <v>30</v>
      </c>
      <c r="J9051" t="s">
        <v>162</v>
      </c>
      <c r="K9051" t="s">
        <v>33433</v>
      </c>
      <c r="N9051" t="s">
        <v>66839</v>
      </c>
      <c r="O9051" t="s">
        <v>66840</v>
      </c>
      <c r="Q9051">
        <v>0</v>
      </c>
      <c r="R9051">
        <v>206</v>
      </c>
      <c r="S9051">
        <v>0</v>
      </c>
      <c r="T9051" t="s">
        <v>66841</v>
      </c>
    </row>
    <row r="9052" spans="1:25" customFormat="1" ht="15" x14ac:dyDescent="0.25">
      <c r="A9052" t="s">
        <v>35</v>
      </c>
      <c r="B9052" t="s">
        <v>14342</v>
      </c>
      <c r="C9052" t="str">
        <f>"A0180304"</f>
        <v>A0180304</v>
      </c>
      <c r="D9052" t="s">
        <v>34075</v>
      </c>
      <c r="E9052" t="s">
        <v>34076</v>
      </c>
      <c r="F9052" t="s">
        <v>853</v>
      </c>
      <c r="G9052" t="s">
        <v>52</v>
      </c>
      <c r="H9052">
        <v>76119</v>
      </c>
      <c r="I9052" t="s">
        <v>30</v>
      </c>
      <c r="J9052" t="s">
        <v>41</v>
      </c>
      <c r="K9052" t="s">
        <v>229</v>
      </c>
      <c r="Q9052">
        <v>0</v>
      </c>
      <c r="R9052">
        <v>80</v>
      </c>
      <c r="S9052">
        <v>80</v>
      </c>
      <c r="T9052" t="s">
        <v>34077</v>
      </c>
    </row>
    <row r="9053" spans="1:25" customFormat="1" ht="15" x14ac:dyDescent="0.25">
      <c r="A9053" t="s">
        <v>35</v>
      </c>
      <c r="B9053" t="s">
        <v>119</v>
      </c>
      <c r="C9053" t="str">
        <f>"A0180303"</f>
        <v>A0180303</v>
      </c>
      <c r="D9053" t="s">
        <v>34078</v>
      </c>
      <c r="E9053" t="s">
        <v>34079</v>
      </c>
      <c r="F9053" t="s">
        <v>34080</v>
      </c>
      <c r="G9053" t="s">
        <v>880</v>
      </c>
      <c r="H9053">
        <v>37122</v>
      </c>
      <c r="I9053" t="s">
        <v>30</v>
      </c>
      <c r="J9053" t="s">
        <v>41</v>
      </c>
      <c r="K9053" t="s">
        <v>59</v>
      </c>
      <c r="Q9053">
        <v>0</v>
      </c>
      <c r="R9053">
        <v>200</v>
      </c>
      <c r="S9053">
        <v>200</v>
      </c>
      <c r="T9053" t="s">
        <v>34081</v>
      </c>
    </row>
    <row r="9054" spans="1:25" customFormat="1" ht="15" x14ac:dyDescent="0.25">
      <c r="A9054" t="s">
        <v>35</v>
      </c>
      <c r="B9054" t="s">
        <v>5469</v>
      </c>
      <c r="C9054" t="str">
        <f>"A0180302"</f>
        <v>A0180302</v>
      </c>
      <c r="D9054" t="s">
        <v>34082</v>
      </c>
      <c r="E9054" t="s">
        <v>34083</v>
      </c>
      <c r="F9054" t="s">
        <v>34084</v>
      </c>
      <c r="G9054" t="s">
        <v>81</v>
      </c>
      <c r="H9054">
        <v>34987</v>
      </c>
      <c r="I9054" t="s">
        <v>30</v>
      </c>
      <c r="J9054" t="s">
        <v>41</v>
      </c>
      <c r="K9054" t="s">
        <v>59</v>
      </c>
      <c r="Q9054">
        <v>0</v>
      </c>
      <c r="R9054">
        <v>0</v>
      </c>
      <c r="S9054">
        <v>0</v>
      </c>
      <c r="T9054" t="s">
        <v>34085</v>
      </c>
    </row>
    <row r="9055" spans="1:25" customFormat="1" ht="15" x14ac:dyDescent="0.25">
      <c r="A9055" t="s">
        <v>35</v>
      </c>
      <c r="B9055" t="s">
        <v>61</v>
      </c>
      <c r="C9055" t="str">
        <f>"A0180301"</f>
        <v>A0180301</v>
      </c>
      <c r="D9055" t="s">
        <v>34086</v>
      </c>
      <c r="E9055" t="s">
        <v>34087</v>
      </c>
      <c r="F9055" t="s">
        <v>34088</v>
      </c>
      <c r="G9055" t="s">
        <v>117</v>
      </c>
      <c r="H9055">
        <v>43791</v>
      </c>
      <c r="I9055" t="s">
        <v>30</v>
      </c>
      <c r="J9055" t="s">
        <v>41</v>
      </c>
      <c r="K9055" t="s">
        <v>59</v>
      </c>
      <c r="Q9055">
        <v>0</v>
      </c>
      <c r="R9055">
        <v>0</v>
      </c>
      <c r="S9055">
        <v>0</v>
      </c>
      <c r="T9055" t="s">
        <v>34089</v>
      </c>
    </row>
    <row r="9056" spans="1:25" customFormat="1" ht="15" x14ac:dyDescent="0.25">
      <c r="A9056" t="s">
        <v>35</v>
      </c>
      <c r="B9056" t="s">
        <v>34090</v>
      </c>
      <c r="C9056" t="str">
        <f>"A0180300"</f>
        <v>A0180300</v>
      </c>
      <c r="D9056" t="s">
        <v>34091</v>
      </c>
      <c r="E9056" t="s">
        <v>34092</v>
      </c>
      <c r="F9056" t="s">
        <v>34093</v>
      </c>
      <c r="G9056" t="s">
        <v>65</v>
      </c>
      <c r="H9056">
        <v>44143</v>
      </c>
      <c r="I9056" t="s">
        <v>30</v>
      </c>
      <c r="J9056" t="s">
        <v>41</v>
      </c>
      <c r="K9056" t="s">
        <v>59</v>
      </c>
      <c r="Q9056">
        <v>0</v>
      </c>
      <c r="R9056">
        <v>16</v>
      </c>
      <c r="S9056">
        <v>16</v>
      </c>
      <c r="T9056" t="s">
        <v>34094</v>
      </c>
    </row>
    <row r="9057" spans="1:20" customFormat="1" ht="15" x14ac:dyDescent="0.25">
      <c r="A9057" t="s">
        <v>35</v>
      </c>
      <c r="B9057" t="s">
        <v>119</v>
      </c>
      <c r="C9057" t="str">
        <f>"A0180299"</f>
        <v>A0180299</v>
      </c>
      <c r="D9057" t="s">
        <v>34095</v>
      </c>
      <c r="E9057" t="s">
        <v>34079</v>
      </c>
      <c r="F9057" t="s">
        <v>34080</v>
      </c>
      <c r="G9057" t="s">
        <v>880</v>
      </c>
      <c r="H9057">
        <v>37122</v>
      </c>
      <c r="I9057" t="s">
        <v>30</v>
      </c>
      <c r="J9057" t="s">
        <v>41</v>
      </c>
      <c r="K9057" t="s">
        <v>59</v>
      </c>
      <c r="Q9057">
        <v>0</v>
      </c>
      <c r="R9057">
        <v>200</v>
      </c>
      <c r="S9057">
        <v>200</v>
      </c>
      <c r="T9057" t="s">
        <v>34081</v>
      </c>
    </row>
    <row r="9058" spans="1:20" customFormat="1" ht="15" x14ac:dyDescent="0.25">
      <c r="A9058" t="s">
        <v>35</v>
      </c>
      <c r="B9058" t="s">
        <v>34090</v>
      </c>
      <c r="C9058" t="str">
        <f>"A0180298"</f>
        <v>A0180298</v>
      </c>
      <c r="D9058" t="s">
        <v>34096</v>
      </c>
      <c r="E9058" t="s">
        <v>34097</v>
      </c>
      <c r="F9058" t="s">
        <v>34093</v>
      </c>
      <c r="G9058" t="s">
        <v>65</v>
      </c>
      <c r="H9058">
        <v>44143</v>
      </c>
      <c r="I9058" t="s">
        <v>30</v>
      </c>
      <c r="J9058" t="s">
        <v>41</v>
      </c>
      <c r="K9058" t="s">
        <v>59</v>
      </c>
      <c r="Q9058">
        <v>0</v>
      </c>
      <c r="R9058">
        <v>18</v>
      </c>
      <c r="S9058">
        <v>18</v>
      </c>
      <c r="T9058" t="s">
        <v>34094</v>
      </c>
    </row>
    <row r="9059" spans="1:20" customFormat="1" ht="15" x14ac:dyDescent="0.25">
      <c r="A9059" t="s">
        <v>35</v>
      </c>
      <c r="B9059" t="s">
        <v>61</v>
      </c>
      <c r="C9059" t="str">
        <f>"A0180297"</f>
        <v>A0180297</v>
      </c>
      <c r="D9059" t="s">
        <v>34098</v>
      </c>
      <c r="E9059" t="s">
        <v>34099</v>
      </c>
      <c r="F9059" t="s">
        <v>9939</v>
      </c>
      <c r="G9059" t="s">
        <v>117</v>
      </c>
      <c r="H9059">
        <v>48340</v>
      </c>
      <c r="I9059" t="s">
        <v>30</v>
      </c>
      <c r="J9059" t="s">
        <v>41</v>
      </c>
      <c r="K9059" t="s">
        <v>59</v>
      </c>
      <c r="Q9059">
        <v>0</v>
      </c>
      <c r="R9059">
        <v>134</v>
      </c>
      <c r="S9059">
        <v>134</v>
      </c>
      <c r="T9059" t="s">
        <v>34100</v>
      </c>
    </row>
    <row r="9060" spans="1:20" customFormat="1" ht="15" x14ac:dyDescent="0.25">
      <c r="A9060" t="s">
        <v>35</v>
      </c>
      <c r="B9060" t="s">
        <v>1918</v>
      </c>
      <c r="C9060" t="str">
        <f>"A0180296"</f>
        <v>A0180296</v>
      </c>
      <c r="D9060" t="s">
        <v>34101</v>
      </c>
      <c r="E9060" t="s">
        <v>34102</v>
      </c>
      <c r="F9060" t="s">
        <v>14714</v>
      </c>
      <c r="G9060" t="s">
        <v>110</v>
      </c>
      <c r="H9060">
        <v>92646</v>
      </c>
      <c r="I9060" t="s">
        <v>30</v>
      </c>
      <c r="J9060" t="s">
        <v>441</v>
      </c>
      <c r="K9060" t="s">
        <v>442</v>
      </c>
      <c r="Q9060">
        <v>0</v>
      </c>
      <c r="R9060">
        <v>0</v>
      </c>
      <c r="S9060">
        <v>0</v>
      </c>
      <c r="T9060" t="s">
        <v>34103</v>
      </c>
    </row>
    <row r="9061" spans="1:20" customFormat="1" ht="15" x14ac:dyDescent="0.25">
      <c r="A9061" t="s">
        <v>35</v>
      </c>
      <c r="B9061" t="s">
        <v>5041</v>
      </c>
      <c r="C9061" t="str">
        <f>"A0180295"</f>
        <v>A0180295</v>
      </c>
      <c r="D9061" t="s">
        <v>34104</v>
      </c>
      <c r="E9061" t="s">
        <v>34105</v>
      </c>
      <c r="F9061" t="s">
        <v>6278</v>
      </c>
      <c r="G9061" t="s">
        <v>880</v>
      </c>
      <c r="H9061">
        <v>38344</v>
      </c>
      <c r="I9061" t="s">
        <v>30</v>
      </c>
      <c r="J9061" t="s">
        <v>41</v>
      </c>
      <c r="K9061" t="s">
        <v>131</v>
      </c>
      <c r="Q9061">
        <v>0</v>
      </c>
      <c r="R9061">
        <v>0</v>
      </c>
      <c r="S9061">
        <v>0</v>
      </c>
      <c r="T9061" t="s">
        <v>72</v>
      </c>
    </row>
    <row r="9062" spans="1:20" customFormat="1" ht="15" x14ac:dyDescent="0.25">
      <c r="A9062" t="s">
        <v>35</v>
      </c>
      <c r="B9062" t="s">
        <v>5041</v>
      </c>
      <c r="C9062" t="str">
        <f>"A0180294"</f>
        <v>A0180294</v>
      </c>
      <c r="D9062" t="s">
        <v>34106</v>
      </c>
      <c r="E9062" t="s">
        <v>34107</v>
      </c>
      <c r="F9062" t="s">
        <v>1501</v>
      </c>
      <c r="G9062" t="s">
        <v>880</v>
      </c>
      <c r="H9062">
        <v>38109</v>
      </c>
      <c r="I9062" t="s">
        <v>30</v>
      </c>
      <c r="J9062" t="s">
        <v>41</v>
      </c>
      <c r="K9062" t="s">
        <v>131</v>
      </c>
      <c r="Q9062">
        <v>0</v>
      </c>
      <c r="R9062">
        <v>0</v>
      </c>
      <c r="S9062">
        <v>0</v>
      </c>
      <c r="T9062" t="s">
        <v>72</v>
      </c>
    </row>
    <row r="9063" spans="1:20" customFormat="1" ht="15" x14ac:dyDescent="0.25">
      <c r="A9063" t="s">
        <v>35</v>
      </c>
      <c r="B9063" t="s">
        <v>34108</v>
      </c>
      <c r="C9063" t="str">
        <f>"A0180293"</f>
        <v>A0180293</v>
      </c>
      <c r="D9063" t="s">
        <v>34109</v>
      </c>
      <c r="E9063" t="s">
        <v>34110</v>
      </c>
      <c r="F9063" t="s">
        <v>34111</v>
      </c>
      <c r="G9063" t="s">
        <v>65</v>
      </c>
      <c r="H9063">
        <v>45039</v>
      </c>
      <c r="I9063" t="s">
        <v>30</v>
      </c>
      <c r="J9063" t="s">
        <v>41</v>
      </c>
      <c r="K9063" t="s">
        <v>391</v>
      </c>
      <c r="Q9063">
        <v>0</v>
      </c>
      <c r="R9063">
        <v>0</v>
      </c>
      <c r="S9063">
        <v>0</v>
      </c>
      <c r="T9063" t="s">
        <v>34112</v>
      </c>
    </row>
    <row r="9064" spans="1:20" customFormat="1" ht="15" x14ac:dyDescent="0.25">
      <c r="A9064" t="s">
        <v>35</v>
      </c>
      <c r="B9064" t="s">
        <v>34108</v>
      </c>
      <c r="C9064" t="str">
        <f>"A0180292"</f>
        <v>A0180292</v>
      </c>
      <c r="D9064" t="s">
        <v>34113</v>
      </c>
      <c r="E9064" t="s">
        <v>34114</v>
      </c>
      <c r="F9064" t="s">
        <v>7333</v>
      </c>
      <c r="G9064" t="s">
        <v>65</v>
      </c>
      <c r="H9064">
        <v>45040</v>
      </c>
      <c r="I9064" t="s">
        <v>30</v>
      </c>
      <c r="J9064" t="s">
        <v>41</v>
      </c>
      <c r="K9064" t="s">
        <v>391</v>
      </c>
      <c r="Q9064">
        <v>0</v>
      </c>
      <c r="R9064">
        <v>0</v>
      </c>
      <c r="S9064">
        <v>0</v>
      </c>
      <c r="T9064" t="s">
        <v>34115</v>
      </c>
    </row>
    <row r="9065" spans="1:20" customFormat="1" ht="15" x14ac:dyDescent="0.25">
      <c r="A9065" t="s">
        <v>35</v>
      </c>
      <c r="B9065" t="s">
        <v>34108</v>
      </c>
      <c r="C9065" t="str">
        <f>"A0180291"</f>
        <v>A0180291</v>
      </c>
      <c r="D9065" t="s">
        <v>34116</v>
      </c>
      <c r="E9065" t="s">
        <v>34117</v>
      </c>
      <c r="F9065" t="s">
        <v>2294</v>
      </c>
      <c r="G9065" t="s">
        <v>65</v>
      </c>
      <c r="H9065">
        <v>45014</v>
      </c>
      <c r="I9065" t="s">
        <v>30</v>
      </c>
      <c r="J9065" t="s">
        <v>41</v>
      </c>
      <c r="K9065" t="s">
        <v>391</v>
      </c>
      <c r="Q9065">
        <v>0</v>
      </c>
      <c r="R9065">
        <v>0</v>
      </c>
      <c r="S9065">
        <v>0</v>
      </c>
      <c r="T9065" t="s">
        <v>34118</v>
      </c>
    </row>
    <row r="9066" spans="1:20" customFormat="1" ht="15" x14ac:dyDescent="0.25">
      <c r="A9066" t="s">
        <v>35</v>
      </c>
      <c r="B9066" t="s">
        <v>34108</v>
      </c>
      <c r="C9066" t="str">
        <f>"A0180290"</f>
        <v>A0180290</v>
      </c>
      <c r="D9066" t="s">
        <v>34119</v>
      </c>
      <c r="E9066" t="s">
        <v>34120</v>
      </c>
      <c r="F9066" t="s">
        <v>9690</v>
      </c>
      <c r="G9066" t="s">
        <v>65</v>
      </c>
      <c r="H9066">
        <v>45069</v>
      </c>
      <c r="I9066" t="s">
        <v>30</v>
      </c>
      <c r="J9066" t="s">
        <v>41</v>
      </c>
      <c r="K9066" t="s">
        <v>391</v>
      </c>
      <c r="Q9066">
        <v>0</v>
      </c>
      <c r="R9066">
        <v>0</v>
      </c>
      <c r="S9066">
        <v>0</v>
      </c>
      <c r="T9066" t="s">
        <v>34121</v>
      </c>
    </row>
    <row r="9067" spans="1:20" customFormat="1" ht="15" x14ac:dyDescent="0.25">
      <c r="A9067" t="s">
        <v>35</v>
      </c>
      <c r="B9067" t="s">
        <v>34108</v>
      </c>
      <c r="C9067" t="str">
        <f>"A0180289"</f>
        <v>A0180289</v>
      </c>
      <c r="D9067" t="s">
        <v>34122</v>
      </c>
      <c r="E9067" t="s">
        <v>34123</v>
      </c>
      <c r="F9067" t="s">
        <v>34124</v>
      </c>
      <c r="G9067" t="s">
        <v>65</v>
      </c>
      <c r="H9067">
        <v>45011</v>
      </c>
      <c r="I9067" t="s">
        <v>30</v>
      </c>
      <c r="J9067" t="s">
        <v>41</v>
      </c>
      <c r="K9067" t="s">
        <v>391</v>
      </c>
      <c r="Q9067">
        <v>0</v>
      </c>
      <c r="R9067">
        <v>0</v>
      </c>
      <c r="S9067">
        <v>0</v>
      </c>
      <c r="T9067" t="s">
        <v>34125</v>
      </c>
    </row>
    <row r="9068" spans="1:20" customFormat="1" ht="15" x14ac:dyDescent="0.25">
      <c r="A9068" t="s">
        <v>35</v>
      </c>
      <c r="B9068" t="s">
        <v>34126</v>
      </c>
      <c r="C9068" t="str">
        <f>"A0180288"</f>
        <v>A0180288</v>
      </c>
      <c r="D9068" t="s">
        <v>34127</v>
      </c>
      <c r="E9068" t="s">
        <v>34128</v>
      </c>
      <c r="F9068" t="s">
        <v>32895</v>
      </c>
      <c r="G9068" t="s">
        <v>846</v>
      </c>
      <c r="H9068">
        <v>30701</v>
      </c>
      <c r="I9068" t="s">
        <v>30</v>
      </c>
      <c r="J9068" t="s">
        <v>41</v>
      </c>
      <c r="K9068" t="s">
        <v>2715</v>
      </c>
      <c r="Q9068">
        <v>0</v>
      </c>
      <c r="R9068">
        <v>0</v>
      </c>
      <c r="S9068">
        <v>0</v>
      </c>
      <c r="T9068" t="s">
        <v>72</v>
      </c>
    </row>
    <row r="9069" spans="1:20" customFormat="1" ht="15" x14ac:dyDescent="0.25">
      <c r="A9069" t="s">
        <v>35</v>
      </c>
      <c r="B9069" t="s">
        <v>36</v>
      </c>
      <c r="C9069" t="str">
        <f>"A0180287"</f>
        <v>A0180287</v>
      </c>
      <c r="D9069" t="s">
        <v>34129</v>
      </c>
      <c r="E9069" t="s">
        <v>34130</v>
      </c>
      <c r="F9069" t="s">
        <v>9731</v>
      </c>
      <c r="G9069" t="s">
        <v>76</v>
      </c>
      <c r="H9069">
        <v>98662</v>
      </c>
      <c r="I9069" t="s">
        <v>30</v>
      </c>
      <c r="J9069" t="s">
        <v>41</v>
      </c>
      <c r="K9069" t="s">
        <v>42</v>
      </c>
      <c r="Q9069">
        <v>0</v>
      </c>
      <c r="R9069">
        <v>0</v>
      </c>
      <c r="S9069">
        <v>0</v>
      </c>
      <c r="T9069" t="s">
        <v>34131</v>
      </c>
    </row>
    <row r="9070" spans="1:20" customFormat="1" ht="15" x14ac:dyDescent="0.25">
      <c r="A9070" t="s">
        <v>24</v>
      </c>
      <c r="B9070" t="s">
        <v>1473</v>
      </c>
      <c r="C9070" t="str">
        <f>"A0180271"</f>
        <v>A0180271</v>
      </c>
      <c r="D9070" t="s">
        <v>34132</v>
      </c>
      <c r="E9070" t="s">
        <v>34133</v>
      </c>
      <c r="F9070" t="s">
        <v>34134</v>
      </c>
      <c r="G9070" t="s">
        <v>880</v>
      </c>
      <c r="H9070">
        <v>37013</v>
      </c>
      <c r="I9070" t="s">
        <v>30</v>
      </c>
      <c r="J9070" t="s">
        <v>31</v>
      </c>
      <c r="K9070" t="s">
        <v>2524</v>
      </c>
      <c r="N9070" t="s">
        <v>34135</v>
      </c>
      <c r="Q9070">
        <v>0</v>
      </c>
      <c r="R9070">
        <v>82</v>
      </c>
      <c r="S9070">
        <v>0</v>
      </c>
      <c r="T9070" t="s">
        <v>34136</v>
      </c>
    </row>
    <row r="9071" spans="1:20" customFormat="1" ht="15" x14ac:dyDescent="0.25">
      <c r="A9071" t="s">
        <v>24</v>
      </c>
      <c r="B9071" t="s">
        <v>6570</v>
      </c>
      <c r="C9071" t="str">
        <f>"A0097675"</f>
        <v>A0097675</v>
      </c>
      <c r="D9071" t="s">
        <v>34137</v>
      </c>
      <c r="E9071" t="s">
        <v>34138</v>
      </c>
      <c r="F9071" t="s">
        <v>1541</v>
      </c>
      <c r="G9071" t="s">
        <v>427</v>
      </c>
      <c r="H9071">
        <v>68102</v>
      </c>
      <c r="I9071" t="s">
        <v>30</v>
      </c>
      <c r="J9071" t="s">
        <v>31</v>
      </c>
      <c r="K9071" t="s">
        <v>163</v>
      </c>
      <c r="N9071" t="s">
        <v>34139</v>
      </c>
      <c r="Q9071">
        <v>0</v>
      </c>
      <c r="R9071">
        <v>60</v>
      </c>
      <c r="S9071">
        <v>0</v>
      </c>
      <c r="T9071" t="s">
        <v>34140</v>
      </c>
    </row>
    <row r="9072" spans="1:20" customFormat="1" ht="15" x14ac:dyDescent="0.25">
      <c r="A9072" t="s">
        <v>24</v>
      </c>
      <c r="B9072" t="s">
        <v>6570</v>
      </c>
      <c r="C9072" t="str">
        <f>"A0097007"</f>
        <v>A0097007</v>
      </c>
      <c r="D9072" t="s">
        <v>34141</v>
      </c>
      <c r="E9072" t="s">
        <v>34142</v>
      </c>
      <c r="F9072" t="s">
        <v>1871</v>
      </c>
      <c r="G9072" t="s">
        <v>925</v>
      </c>
      <c r="H9072">
        <v>67214</v>
      </c>
      <c r="I9072" t="s">
        <v>30</v>
      </c>
      <c r="J9072" t="s">
        <v>31</v>
      </c>
      <c r="K9072" t="s">
        <v>163</v>
      </c>
      <c r="N9072" t="s">
        <v>34143</v>
      </c>
      <c r="Q9072">
        <v>0</v>
      </c>
      <c r="R9072">
        <v>55</v>
      </c>
      <c r="S9072">
        <v>0</v>
      </c>
      <c r="T9072" t="s">
        <v>34144</v>
      </c>
    </row>
    <row r="9073" spans="1:25" customFormat="1" ht="15" x14ac:dyDescent="0.25">
      <c r="A9073" t="s">
        <v>24</v>
      </c>
      <c r="B9073" t="s">
        <v>6570</v>
      </c>
      <c r="C9073" t="str">
        <f>"SF03587"</f>
        <v>SF03587</v>
      </c>
      <c r="D9073" t="s">
        <v>34145</v>
      </c>
      <c r="E9073" t="s">
        <v>34146</v>
      </c>
      <c r="F9073" t="s">
        <v>8703</v>
      </c>
      <c r="G9073" t="s">
        <v>137</v>
      </c>
      <c r="H9073">
        <v>64111</v>
      </c>
      <c r="I9073" t="s">
        <v>30</v>
      </c>
      <c r="J9073" t="s">
        <v>31</v>
      </c>
      <c r="K9073" t="s">
        <v>163</v>
      </c>
      <c r="N9073" t="s">
        <v>34147</v>
      </c>
      <c r="O9073" t="s">
        <v>34148</v>
      </c>
      <c r="Q9073">
        <v>0</v>
      </c>
      <c r="R9073">
        <v>109</v>
      </c>
      <c r="S9073">
        <v>0</v>
      </c>
      <c r="T9073" t="s">
        <v>34149</v>
      </c>
    </row>
    <row r="9074" spans="1:25" customFormat="1" ht="15" hidden="1" x14ac:dyDescent="0.25">
      <c r="A9074" t="s">
        <v>24</v>
      </c>
      <c r="B9074" t="s">
        <v>34150</v>
      </c>
      <c r="C9074" t="str">
        <f>"A0099211"</f>
        <v>A0099211</v>
      </c>
      <c r="D9074" t="s">
        <v>34151</v>
      </c>
      <c r="E9074" t="s">
        <v>34152</v>
      </c>
      <c r="F9074" t="s">
        <v>10769</v>
      </c>
      <c r="G9074" t="s">
        <v>4481</v>
      </c>
      <c r="H9074">
        <v>44610</v>
      </c>
      <c r="I9074" t="s">
        <v>2408</v>
      </c>
      <c r="J9074" t="s">
        <v>31</v>
      </c>
      <c r="K9074" t="s">
        <v>163</v>
      </c>
      <c r="Q9074">
        <v>0</v>
      </c>
      <c r="R9074">
        <v>142</v>
      </c>
      <c r="S9074">
        <v>0</v>
      </c>
      <c r="T9074" t="s">
        <v>34153</v>
      </c>
    </row>
    <row r="9075" spans="1:25" customFormat="1" ht="15" x14ac:dyDescent="0.25">
      <c r="A9075" t="s">
        <v>24</v>
      </c>
      <c r="B9075" t="s">
        <v>34154</v>
      </c>
      <c r="C9075" t="str">
        <f>"A0162087"</f>
        <v>A0162087</v>
      </c>
      <c r="D9075" t="s">
        <v>34155</v>
      </c>
      <c r="E9075" t="s">
        <v>34156</v>
      </c>
      <c r="F9075" t="s">
        <v>3955</v>
      </c>
      <c r="G9075" t="s">
        <v>81</v>
      </c>
      <c r="H9075">
        <v>33619</v>
      </c>
      <c r="I9075" t="s">
        <v>30</v>
      </c>
      <c r="J9075" t="s">
        <v>31</v>
      </c>
      <c r="K9075" t="s">
        <v>222</v>
      </c>
      <c r="N9075" t="s">
        <v>34157</v>
      </c>
      <c r="Q9075">
        <v>0</v>
      </c>
      <c r="R9075">
        <v>96</v>
      </c>
      <c r="S9075">
        <v>0</v>
      </c>
      <c r="T9075" t="s">
        <v>34158</v>
      </c>
    </row>
    <row r="9076" spans="1:25" customFormat="1" ht="15" x14ac:dyDescent="0.25">
      <c r="A9076" t="s">
        <v>24</v>
      </c>
      <c r="B9076" t="s">
        <v>649</v>
      </c>
      <c r="C9076" t="str">
        <f>"A0162092"</f>
        <v>A0162092</v>
      </c>
      <c r="D9076" t="s">
        <v>34159</v>
      </c>
      <c r="E9076" t="s">
        <v>34160</v>
      </c>
      <c r="F9076" t="s">
        <v>9822</v>
      </c>
      <c r="G9076" t="s">
        <v>58</v>
      </c>
      <c r="H9076">
        <v>29708</v>
      </c>
      <c r="I9076" t="s">
        <v>30</v>
      </c>
      <c r="J9076" t="s">
        <v>31</v>
      </c>
      <c r="K9076" t="s">
        <v>222</v>
      </c>
      <c r="N9076" t="s">
        <v>34161</v>
      </c>
      <c r="Q9076">
        <v>0</v>
      </c>
      <c r="R9076">
        <v>113</v>
      </c>
      <c r="S9076">
        <v>0</v>
      </c>
      <c r="T9076" t="s">
        <v>34162</v>
      </c>
    </row>
    <row r="9077" spans="1:25" x14ac:dyDescent="0.25">
      <c r="A9077" s="5" t="s">
        <v>24</v>
      </c>
      <c r="B9077" s="5" t="s">
        <v>4400</v>
      </c>
      <c r="C9077" s="5" t="str">
        <f>"A0075862"</f>
        <v>A0075862</v>
      </c>
      <c r="D9077" s="5" t="s">
        <v>66842</v>
      </c>
      <c r="E9077" s="5" t="s">
        <v>66843</v>
      </c>
      <c r="F9077" s="5" t="s">
        <v>4909</v>
      </c>
      <c r="G9077" s="5" t="s">
        <v>58</v>
      </c>
      <c r="H9077" s="5">
        <v>29201</v>
      </c>
      <c r="I9077" s="5" t="s">
        <v>30</v>
      </c>
      <c r="J9077" s="5" t="s">
        <v>162</v>
      </c>
      <c r="K9077" s="5" t="s">
        <v>33433</v>
      </c>
      <c r="L9077" s="5"/>
      <c r="M9077" s="5"/>
      <c r="N9077" s="5" t="s">
        <v>66844</v>
      </c>
      <c r="O9077" s="5"/>
      <c r="P9077" s="5"/>
      <c r="Q9077" s="5">
        <v>0</v>
      </c>
      <c r="R9077" s="5">
        <v>116</v>
      </c>
      <c r="S9077" s="5">
        <v>0</v>
      </c>
      <c r="T9077" s="5" t="s">
        <v>66845</v>
      </c>
      <c r="U9077" s="5"/>
      <c r="V9077" s="5"/>
      <c r="W9077" s="5"/>
      <c r="X9077" s="5"/>
      <c r="Y9077" s="5"/>
    </row>
    <row r="9078" spans="1:25" customFormat="1" ht="15" x14ac:dyDescent="0.25">
      <c r="A9078" t="s">
        <v>24</v>
      </c>
      <c r="B9078" t="s">
        <v>186</v>
      </c>
      <c r="C9078" t="str">
        <f>"A0180267"</f>
        <v>A0180267</v>
      </c>
      <c r="D9078" t="s">
        <v>34167</v>
      </c>
      <c r="E9078" t="s">
        <v>34168</v>
      </c>
      <c r="F9078" t="s">
        <v>34169</v>
      </c>
      <c r="G9078" t="s">
        <v>190</v>
      </c>
      <c r="H9078">
        <v>81615</v>
      </c>
      <c r="I9078" t="s">
        <v>30</v>
      </c>
      <c r="J9078" t="s">
        <v>1004</v>
      </c>
      <c r="K9078" t="s">
        <v>163</v>
      </c>
      <c r="Q9078">
        <v>0</v>
      </c>
      <c r="R9078">
        <v>0</v>
      </c>
      <c r="S9078">
        <v>0</v>
      </c>
      <c r="T9078" t="s">
        <v>192</v>
      </c>
    </row>
    <row r="9079" spans="1:25" customFormat="1" ht="15" hidden="1" x14ac:dyDescent="0.25">
      <c r="A9079" t="s">
        <v>24</v>
      </c>
      <c r="B9079" t="s">
        <v>34170</v>
      </c>
      <c r="C9079" t="str">
        <f>"A0101206"</f>
        <v>A0101206</v>
      </c>
      <c r="D9079" t="s">
        <v>34171</v>
      </c>
      <c r="E9079" t="s">
        <v>34172</v>
      </c>
      <c r="F9079" t="s">
        <v>4527</v>
      </c>
      <c r="G9079" t="s">
        <v>4528</v>
      </c>
      <c r="H9079">
        <v>36630</v>
      </c>
      <c r="I9079" t="s">
        <v>2408</v>
      </c>
      <c r="J9079" t="s">
        <v>31</v>
      </c>
      <c r="K9079" t="s">
        <v>34173</v>
      </c>
      <c r="N9079" t="s">
        <v>34174</v>
      </c>
      <c r="O9079" t="s">
        <v>34175</v>
      </c>
      <c r="Q9079">
        <v>0</v>
      </c>
      <c r="R9079">
        <v>140</v>
      </c>
      <c r="S9079">
        <v>0</v>
      </c>
      <c r="T9079" t="s">
        <v>34176</v>
      </c>
    </row>
    <row r="9080" spans="1:25" customFormat="1" ht="15" x14ac:dyDescent="0.25">
      <c r="A9080" t="s">
        <v>35</v>
      </c>
      <c r="B9080" t="s">
        <v>36</v>
      </c>
      <c r="C9080" t="str">
        <f>"A0121012"</f>
        <v>A0121012</v>
      </c>
      <c r="D9080" t="s">
        <v>34177</v>
      </c>
      <c r="E9080" t="s">
        <v>34178</v>
      </c>
      <c r="F9080" t="s">
        <v>34179</v>
      </c>
      <c r="G9080" t="s">
        <v>76</v>
      </c>
      <c r="H9080">
        <v>25545</v>
      </c>
      <c r="I9080" t="s">
        <v>30</v>
      </c>
      <c r="J9080" t="s">
        <v>41</v>
      </c>
      <c r="K9080" t="s">
        <v>42</v>
      </c>
      <c r="Q9080">
        <v>0</v>
      </c>
      <c r="R9080">
        <v>0</v>
      </c>
      <c r="S9080">
        <v>0</v>
      </c>
      <c r="T9080" t="s">
        <v>34180</v>
      </c>
    </row>
    <row r="9081" spans="1:25" customFormat="1" ht="15" x14ac:dyDescent="0.25">
      <c r="A9081" t="s">
        <v>24</v>
      </c>
      <c r="B9081" t="s">
        <v>4400</v>
      </c>
      <c r="C9081" t="str">
        <f>"88HL009"</f>
        <v>88HL009</v>
      </c>
      <c r="D9081" t="s">
        <v>66846</v>
      </c>
      <c r="E9081" t="s">
        <v>66847</v>
      </c>
      <c r="F9081" t="s">
        <v>260</v>
      </c>
      <c r="G9081" t="s">
        <v>47</v>
      </c>
      <c r="H9081">
        <v>97401</v>
      </c>
      <c r="I9081" t="s">
        <v>30</v>
      </c>
      <c r="J9081" t="s">
        <v>162</v>
      </c>
      <c r="K9081" t="s">
        <v>33433</v>
      </c>
      <c r="N9081" t="s">
        <v>66848</v>
      </c>
      <c r="O9081" t="s">
        <v>66849</v>
      </c>
      <c r="Q9081">
        <v>0</v>
      </c>
      <c r="R9081">
        <v>274</v>
      </c>
      <c r="S9081">
        <v>0</v>
      </c>
      <c r="T9081" t="s">
        <v>66850</v>
      </c>
    </row>
    <row r="9082" spans="1:25" x14ac:dyDescent="0.25">
      <c r="A9082" s="5" t="s">
        <v>24</v>
      </c>
      <c r="B9082" s="5" t="s">
        <v>4400</v>
      </c>
      <c r="C9082" s="5" t="str">
        <f>"A0058801"</f>
        <v>A0058801</v>
      </c>
      <c r="D9082" s="5" t="s">
        <v>66851</v>
      </c>
      <c r="E9082" s="5" t="s">
        <v>66852</v>
      </c>
      <c r="F9082" s="5" t="s">
        <v>3540</v>
      </c>
      <c r="G9082" s="5" t="s">
        <v>85</v>
      </c>
      <c r="H9082" s="5">
        <v>72701</v>
      </c>
      <c r="I9082" s="5" t="s">
        <v>30</v>
      </c>
      <c r="J9082" s="5" t="s">
        <v>162</v>
      </c>
      <c r="K9082" s="5" t="s">
        <v>33433</v>
      </c>
      <c r="L9082" s="5"/>
      <c r="M9082" s="5"/>
      <c r="N9082" s="5"/>
      <c r="O9082" s="5"/>
      <c r="P9082" s="5"/>
      <c r="Q9082" s="5">
        <v>0</v>
      </c>
      <c r="R9082" s="5">
        <v>206</v>
      </c>
      <c r="S9082" s="5">
        <v>0</v>
      </c>
      <c r="T9082" s="5" t="s">
        <v>66853</v>
      </c>
      <c r="U9082" s="5"/>
      <c r="V9082" s="5"/>
      <c r="W9082" s="5"/>
      <c r="X9082" s="5"/>
      <c r="Y9082" s="5"/>
    </row>
    <row r="9083" spans="1:25" customFormat="1" ht="15" x14ac:dyDescent="0.25">
      <c r="A9083" t="s">
        <v>24</v>
      </c>
      <c r="B9083" t="s">
        <v>4400</v>
      </c>
      <c r="C9083" t="str">
        <f>"A0153997"</f>
        <v>A0153997</v>
      </c>
      <c r="D9083" t="s">
        <v>66854</v>
      </c>
      <c r="E9083" t="s">
        <v>66855</v>
      </c>
      <c r="F9083" t="s">
        <v>1525</v>
      </c>
      <c r="G9083" t="s">
        <v>65</v>
      </c>
      <c r="H9083">
        <v>43215</v>
      </c>
      <c r="I9083" t="s">
        <v>30</v>
      </c>
      <c r="J9083" t="s">
        <v>162</v>
      </c>
      <c r="K9083" t="s">
        <v>33433</v>
      </c>
      <c r="N9083" t="s">
        <v>66856</v>
      </c>
      <c r="O9083" t="s">
        <v>66857</v>
      </c>
      <c r="Q9083">
        <v>0</v>
      </c>
      <c r="R9083">
        <v>171</v>
      </c>
      <c r="S9083">
        <v>0</v>
      </c>
      <c r="T9083" t="s">
        <v>192</v>
      </c>
    </row>
    <row r="9084" spans="1:25" customFormat="1" ht="15" x14ac:dyDescent="0.25">
      <c r="A9084" t="s">
        <v>24</v>
      </c>
      <c r="B9084" t="s">
        <v>4400</v>
      </c>
      <c r="C9084" t="str">
        <f>"A0153948"</f>
        <v>A0153948</v>
      </c>
      <c r="D9084" t="s">
        <v>66858</v>
      </c>
      <c r="E9084" t="s">
        <v>66859</v>
      </c>
      <c r="F9084" t="s">
        <v>2971</v>
      </c>
      <c r="G9084" t="s">
        <v>880</v>
      </c>
      <c r="H9084">
        <v>37212</v>
      </c>
      <c r="I9084" t="s">
        <v>30</v>
      </c>
      <c r="J9084" t="s">
        <v>162</v>
      </c>
      <c r="K9084" t="s">
        <v>33433</v>
      </c>
      <c r="N9084" t="s">
        <v>66860</v>
      </c>
      <c r="O9084" t="s">
        <v>66861</v>
      </c>
      <c r="Q9084">
        <v>0</v>
      </c>
      <c r="R9084">
        <v>205</v>
      </c>
      <c r="S9084">
        <v>0</v>
      </c>
      <c r="T9084" t="s">
        <v>66862</v>
      </c>
    </row>
    <row r="9085" spans="1:25" customFormat="1" ht="15" x14ac:dyDescent="0.25">
      <c r="A9085" t="s">
        <v>24</v>
      </c>
      <c r="B9085" t="s">
        <v>34201</v>
      </c>
      <c r="C9085" t="str">
        <f>"A0180031"</f>
        <v>A0180031</v>
      </c>
      <c r="D9085" t="s">
        <v>34202</v>
      </c>
      <c r="E9085" t="s">
        <v>34203</v>
      </c>
      <c r="F9085" t="s">
        <v>34204</v>
      </c>
      <c r="G9085" t="s">
        <v>289</v>
      </c>
      <c r="H9085">
        <v>60441</v>
      </c>
      <c r="I9085" t="s">
        <v>30</v>
      </c>
      <c r="J9085" t="s">
        <v>31</v>
      </c>
      <c r="K9085" t="s">
        <v>282</v>
      </c>
      <c r="N9085" t="s">
        <v>34205</v>
      </c>
      <c r="Q9085">
        <v>0</v>
      </c>
      <c r="R9085">
        <v>81</v>
      </c>
      <c r="S9085">
        <v>0</v>
      </c>
      <c r="T9085" t="s">
        <v>34206</v>
      </c>
    </row>
    <row r="9086" spans="1:25" customFormat="1" ht="15" x14ac:dyDescent="0.25">
      <c r="A9086" t="s">
        <v>24</v>
      </c>
      <c r="B9086" t="s">
        <v>4400</v>
      </c>
      <c r="C9086" t="str">
        <f>"A0153949"</f>
        <v>A0153949</v>
      </c>
      <c r="D9086" t="s">
        <v>66863</v>
      </c>
      <c r="E9086" t="s">
        <v>66864</v>
      </c>
      <c r="F9086" t="s">
        <v>6558</v>
      </c>
      <c r="G9086" t="s">
        <v>615</v>
      </c>
      <c r="H9086">
        <v>6511</v>
      </c>
      <c r="I9086" t="s">
        <v>30</v>
      </c>
      <c r="J9086" t="s">
        <v>162</v>
      </c>
      <c r="K9086" t="s">
        <v>33433</v>
      </c>
      <c r="N9086" t="s">
        <v>66865</v>
      </c>
      <c r="O9086" t="s">
        <v>66866</v>
      </c>
      <c r="Q9086">
        <v>0</v>
      </c>
      <c r="R9086">
        <v>72</v>
      </c>
      <c r="S9086">
        <v>0</v>
      </c>
      <c r="T9086" t="s">
        <v>66867</v>
      </c>
    </row>
    <row r="9087" spans="1:25" customFormat="1" ht="15" x14ac:dyDescent="0.25">
      <c r="A9087" t="s">
        <v>24</v>
      </c>
      <c r="B9087" t="s">
        <v>34212</v>
      </c>
      <c r="C9087" t="str">
        <f>"A0154211"</f>
        <v>A0154211</v>
      </c>
      <c r="D9087" t="s">
        <v>34213</v>
      </c>
      <c r="E9087" t="s">
        <v>34214</v>
      </c>
      <c r="F9087" t="s">
        <v>34215</v>
      </c>
      <c r="G9087" t="s">
        <v>29</v>
      </c>
      <c r="H9087">
        <v>22701</v>
      </c>
      <c r="I9087" t="s">
        <v>30</v>
      </c>
      <c r="J9087" t="s">
        <v>145</v>
      </c>
      <c r="K9087" t="s">
        <v>4520</v>
      </c>
      <c r="N9087" t="s">
        <v>34216</v>
      </c>
      <c r="Q9087">
        <v>0</v>
      </c>
      <c r="R9087">
        <v>59</v>
      </c>
      <c r="S9087">
        <v>0</v>
      </c>
      <c r="T9087" t="s">
        <v>34217</v>
      </c>
    </row>
    <row r="9088" spans="1:25" customFormat="1" ht="15" x14ac:dyDescent="0.25">
      <c r="A9088" t="s">
        <v>24</v>
      </c>
      <c r="B9088" t="s">
        <v>34212</v>
      </c>
      <c r="C9088" t="str">
        <f>"A0098094"</f>
        <v>A0098094</v>
      </c>
      <c r="D9088" t="s">
        <v>34218</v>
      </c>
      <c r="E9088" t="s">
        <v>34219</v>
      </c>
      <c r="F9088" t="s">
        <v>34220</v>
      </c>
      <c r="G9088" t="s">
        <v>29</v>
      </c>
      <c r="H9088">
        <v>23112</v>
      </c>
      <c r="I9088" t="s">
        <v>30</v>
      </c>
      <c r="J9088" t="s">
        <v>145</v>
      </c>
      <c r="K9088" t="s">
        <v>302</v>
      </c>
      <c r="N9088" t="s">
        <v>34221</v>
      </c>
      <c r="O9088" t="s">
        <v>6489</v>
      </c>
      <c r="Q9088">
        <v>0</v>
      </c>
      <c r="R9088">
        <v>50</v>
      </c>
      <c r="S9088">
        <v>0</v>
      </c>
      <c r="T9088" t="s">
        <v>34222</v>
      </c>
    </row>
    <row r="9089" spans="1:25" customFormat="1" ht="15" x14ac:dyDescent="0.25">
      <c r="A9089" t="s">
        <v>24</v>
      </c>
      <c r="B9089" t="s">
        <v>4400</v>
      </c>
      <c r="C9089" t="str">
        <f>"A0056838"</f>
        <v>A0056838</v>
      </c>
      <c r="D9089" t="s">
        <v>66868</v>
      </c>
      <c r="E9089" t="s">
        <v>66869</v>
      </c>
      <c r="F9089" t="s">
        <v>10126</v>
      </c>
      <c r="G9089" t="s">
        <v>1898</v>
      </c>
      <c r="H9089">
        <v>52240</v>
      </c>
      <c r="I9089" t="s">
        <v>30</v>
      </c>
      <c r="J9089" t="s">
        <v>162</v>
      </c>
      <c r="K9089" t="s">
        <v>33433</v>
      </c>
      <c r="N9089" t="s">
        <v>66870</v>
      </c>
      <c r="O9089" t="s">
        <v>66871</v>
      </c>
      <c r="Q9089">
        <v>0</v>
      </c>
      <c r="R9089">
        <v>231</v>
      </c>
      <c r="S9089">
        <v>0</v>
      </c>
      <c r="T9089" t="s">
        <v>66872</v>
      </c>
    </row>
    <row r="9090" spans="1:25" customFormat="1" ht="15" x14ac:dyDescent="0.25">
      <c r="A9090" t="s">
        <v>24</v>
      </c>
      <c r="B9090" t="s">
        <v>34212</v>
      </c>
      <c r="C9090" t="str">
        <f>"A0092140"</f>
        <v>A0092140</v>
      </c>
      <c r="D9090" t="s">
        <v>34228</v>
      </c>
      <c r="E9090" t="s">
        <v>34229</v>
      </c>
      <c r="F9090" t="s">
        <v>12883</v>
      </c>
      <c r="G9090" t="s">
        <v>29</v>
      </c>
      <c r="H9090">
        <v>20166</v>
      </c>
      <c r="I9090" t="s">
        <v>30</v>
      </c>
      <c r="J9090" t="s">
        <v>31</v>
      </c>
      <c r="K9090" t="s">
        <v>308</v>
      </c>
      <c r="N9090" t="s">
        <v>11302</v>
      </c>
      <c r="Q9090">
        <v>0</v>
      </c>
      <c r="R9090">
        <v>59</v>
      </c>
      <c r="S9090">
        <v>0</v>
      </c>
      <c r="T9090" t="s">
        <v>34230</v>
      </c>
    </row>
    <row r="9091" spans="1:25" customFormat="1" ht="15" x14ac:dyDescent="0.25">
      <c r="A9091" t="s">
        <v>24</v>
      </c>
      <c r="B9091" t="s">
        <v>34212</v>
      </c>
      <c r="C9091" t="str">
        <f>"A0085307"</f>
        <v>A0085307</v>
      </c>
      <c r="D9091" t="s">
        <v>34231</v>
      </c>
      <c r="E9091" t="s">
        <v>34232</v>
      </c>
      <c r="F9091" t="s">
        <v>34233</v>
      </c>
      <c r="G9091" t="s">
        <v>123</v>
      </c>
      <c r="H9091">
        <v>21090</v>
      </c>
      <c r="I9091" t="s">
        <v>30</v>
      </c>
      <c r="J9091" t="s">
        <v>31</v>
      </c>
      <c r="K9091" t="s">
        <v>308</v>
      </c>
      <c r="N9091" t="s">
        <v>34234</v>
      </c>
      <c r="Q9091">
        <v>0</v>
      </c>
      <c r="R9091">
        <v>107</v>
      </c>
      <c r="S9091">
        <v>0</v>
      </c>
      <c r="T9091" t="s">
        <v>34235</v>
      </c>
    </row>
    <row r="9092" spans="1:25" customFormat="1" ht="15" x14ac:dyDescent="0.25">
      <c r="A9092" t="s">
        <v>24</v>
      </c>
      <c r="B9092" t="s">
        <v>34212</v>
      </c>
      <c r="C9092" t="str">
        <f>"A0095586"</f>
        <v>A0095586</v>
      </c>
      <c r="D9092" t="s">
        <v>34236</v>
      </c>
      <c r="E9092" t="s">
        <v>34237</v>
      </c>
      <c r="F9092" t="s">
        <v>12888</v>
      </c>
      <c r="G9092" t="s">
        <v>29</v>
      </c>
      <c r="H9092">
        <v>20148</v>
      </c>
      <c r="I9092" t="s">
        <v>30</v>
      </c>
      <c r="J9092" t="s">
        <v>31</v>
      </c>
      <c r="K9092" t="s">
        <v>277</v>
      </c>
      <c r="N9092" t="s">
        <v>34238</v>
      </c>
      <c r="O9092" t="s">
        <v>34239</v>
      </c>
      <c r="Q9092">
        <v>0</v>
      </c>
      <c r="R9092">
        <v>136</v>
      </c>
      <c r="S9092">
        <v>0</v>
      </c>
      <c r="T9092" t="s">
        <v>34240</v>
      </c>
    </row>
    <row r="9093" spans="1:25" x14ac:dyDescent="0.25">
      <c r="A9093" s="5" t="s">
        <v>24</v>
      </c>
      <c r="B9093" s="5" t="s">
        <v>4400</v>
      </c>
      <c r="C9093" s="5" t="str">
        <f>"A0151649"</f>
        <v>A0151649</v>
      </c>
      <c r="D9093" s="5" t="s">
        <v>66873</v>
      </c>
      <c r="E9093" s="5" t="s">
        <v>66874</v>
      </c>
      <c r="F9093" s="5" t="s">
        <v>12348</v>
      </c>
      <c r="G9093" s="5" t="s">
        <v>880</v>
      </c>
      <c r="H9093" s="5">
        <v>37916</v>
      </c>
      <c r="I9093" s="5" t="s">
        <v>30</v>
      </c>
      <c r="J9093" s="5" t="s">
        <v>162</v>
      </c>
      <c r="K9093" s="5" t="s">
        <v>33433</v>
      </c>
      <c r="L9093" s="5"/>
      <c r="M9093" s="5"/>
      <c r="N9093" s="5" t="s">
        <v>66875</v>
      </c>
      <c r="O9093" s="5"/>
      <c r="P9093" s="5"/>
      <c r="Q9093" s="5">
        <v>0</v>
      </c>
      <c r="R9093" s="5">
        <v>112</v>
      </c>
      <c r="S9093" s="5">
        <v>0</v>
      </c>
      <c r="T9093" s="5" t="s">
        <v>66876</v>
      </c>
      <c r="U9093" s="5"/>
      <c r="V9093" s="5"/>
      <c r="W9093" s="5"/>
      <c r="X9093" s="5"/>
      <c r="Y9093" s="5"/>
    </row>
    <row r="9094" spans="1:25" customFormat="1" ht="15" x14ac:dyDescent="0.25">
      <c r="A9094" t="s">
        <v>24</v>
      </c>
      <c r="B9094" t="s">
        <v>34154</v>
      </c>
      <c r="C9094" t="str">
        <f>"A0180228"</f>
        <v>A0180228</v>
      </c>
      <c r="D9094" t="s">
        <v>34247</v>
      </c>
      <c r="E9094" t="s">
        <v>34248</v>
      </c>
      <c r="F9094" t="s">
        <v>34249</v>
      </c>
      <c r="G9094" t="s">
        <v>81</v>
      </c>
      <c r="H9094">
        <v>33563</v>
      </c>
      <c r="I9094" t="s">
        <v>30</v>
      </c>
      <c r="J9094" t="s">
        <v>31</v>
      </c>
      <c r="K9094" t="s">
        <v>222</v>
      </c>
      <c r="N9094" t="s">
        <v>34250</v>
      </c>
      <c r="Q9094">
        <v>0</v>
      </c>
      <c r="R9094">
        <v>95</v>
      </c>
      <c r="S9094">
        <v>0</v>
      </c>
      <c r="T9094" t="s">
        <v>34251</v>
      </c>
    </row>
    <row r="9095" spans="1:25" x14ac:dyDescent="0.25">
      <c r="A9095" s="5" t="s">
        <v>24</v>
      </c>
      <c r="B9095" s="5" t="s">
        <v>4400</v>
      </c>
      <c r="C9095" s="5" t="str">
        <f>"SF09019"</f>
        <v>SF09019</v>
      </c>
      <c r="D9095" s="5" t="s">
        <v>66877</v>
      </c>
      <c r="E9095" s="5" t="s">
        <v>66878</v>
      </c>
      <c r="F9095" s="5" t="s">
        <v>13473</v>
      </c>
      <c r="G9095" s="5" t="s">
        <v>427</v>
      </c>
      <c r="H9095" s="5">
        <v>68508</v>
      </c>
      <c r="I9095" s="5" t="s">
        <v>30</v>
      </c>
      <c r="J9095" s="5" t="s">
        <v>162</v>
      </c>
      <c r="K9095" s="5" t="s">
        <v>33433</v>
      </c>
      <c r="L9095" s="5"/>
      <c r="M9095" s="5"/>
      <c r="N9095" s="5" t="s">
        <v>66879</v>
      </c>
      <c r="O9095" s="5" t="s">
        <v>66880</v>
      </c>
      <c r="P9095" s="5"/>
      <c r="Q9095" s="5">
        <v>0</v>
      </c>
      <c r="R9095" s="5">
        <v>231</v>
      </c>
      <c r="S9095" s="5">
        <v>0</v>
      </c>
      <c r="T9095" s="5" t="s">
        <v>66881</v>
      </c>
      <c r="U9095" s="5"/>
      <c r="V9095" s="5"/>
      <c r="W9095" s="5"/>
      <c r="X9095" s="5"/>
      <c r="Y9095" s="5"/>
    </row>
    <row r="9096" spans="1:25" customFormat="1" ht="15" x14ac:dyDescent="0.25">
      <c r="A9096" t="s">
        <v>35</v>
      </c>
      <c r="B9096" t="s">
        <v>34256</v>
      </c>
      <c r="C9096" t="str">
        <f>"A0180227"</f>
        <v>A0180227</v>
      </c>
      <c r="D9096" t="s">
        <v>34257</v>
      </c>
      <c r="E9096" t="s">
        <v>34258</v>
      </c>
      <c r="F9096" t="s">
        <v>3319</v>
      </c>
      <c r="G9096" t="s">
        <v>52</v>
      </c>
      <c r="H9096">
        <v>75455</v>
      </c>
      <c r="I9096" t="s">
        <v>30</v>
      </c>
      <c r="J9096" t="s">
        <v>41</v>
      </c>
      <c r="K9096" t="s">
        <v>229</v>
      </c>
      <c r="Q9096">
        <v>0</v>
      </c>
      <c r="R9096">
        <v>120</v>
      </c>
      <c r="S9096">
        <v>120</v>
      </c>
      <c r="T9096" t="s">
        <v>34259</v>
      </c>
    </row>
    <row r="9097" spans="1:25" customFormat="1" ht="15" x14ac:dyDescent="0.25">
      <c r="A9097" t="s">
        <v>35</v>
      </c>
      <c r="B9097" t="s">
        <v>34256</v>
      </c>
      <c r="C9097" t="str">
        <f>"A0180226"</f>
        <v>A0180226</v>
      </c>
      <c r="D9097" t="s">
        <v>34260</v>
      </c>
      <c r="E9097" t="s">
        <v>34261</v>
      </c>
      <c r="F9097" t="s">
        <v>34262</v>
      </c>
      <c r="G9097" t="s">
        <v>52</v>
      </c>
      <c r="H9097">
        <v>79731</v>
      </c>
      <c r="I9097" t="s">
        <v>30</v>
      </c>
      <c r="J9097" t="s">
        <v>41</v>
      </c>
      <c r="K9097" t="s">
        <v>229</v>
      </c>
      <c r="Q9097">
        <v>0</v>
      </c>
      <c r="R9097">
        <v>110</v>
      </c>
      <c r="S9097">
        <v>110</v>
      </c>
      <c r="T9097" t="s">
        <v>34263</v>
      </c>
    </row>
    <row r="9098" spans="1:25" customFormat="1" ht="15" x14ac:dyDescent="0.25">
      <c r="A9098" t="s">
        <v>35</v>
      </c>
      <c r="B9098" t="s">
        <v>34256</v>
      </c>
      <c r="C9098" t="str">
        <f>"A0180225"</f>
        <v>A0180225</v>
      </c>
      <c r="D9098" t="s">
        <v>34264</v>
      </c>
      <c r="E9098" t="s">
        <v>34265</v>
      </c>
      <c r="F9098" t="s">
        <v>23230</v>
      </c>
      <c r="G9098" t="s">
        <v>52</v>
      </c>
      <c r="H9098">
        <v>78408</v>
      </c>
      <c r="I9098" t="s">
        <v>30</v>
      </c>
      <c r="J9098" t="s">
        <v>41</v>
      </c>
      <c r="K9098" t="s">
        <v>229</v>
      </c>
      <c r="Q9098">
        <v>0</v>
      </c>
      <c r="R9098">
        <v>0</v>
      </c>
      <c r="S9098">
        <v>0</v>
      </c>
      <c r="T9098" t="s">
        <v>34266</v>
      </c>
    </row>
    <row r="9099" spans="1:25" customFormat="1" ht="15" x14ac:dyDescent="0.25">
      <c r="A9099" t="s">
        <v>35</v>
      </c>
      <c r="B9099" t="s">
        <v>34256</v>
      </c>
      <c r="C9099" t="str">
        <f>"A0180224"</f>
        <v>A0180224</v>
      </c>
      <c r="D9099" t="s">
        <v>34267</v>
      </c>
      <c r="E9099" t="s">
        <v>34268</v>
      </c>
      <c r="F9099" t="s">
        <v>11800</v>
      </c>
      <c r="G9099" t="s">
        <v>52</v>
      </c>
      <c r="H9099">
        <v>77598</v>
      </c>
      <c r="I9099" t="s">
        <v>30</v>
      </c>
      <c r="J9099" t="s">
        <v>41</v>
      </c>
      <c r="K9099" t="s">
        <v>229</v>
      </c>
      <c r="Q9099">
        <v>0</v>
      </c>
      <c r="R9099">
        <v>120</v>
      </c>
      <c r="S9099">
        <v>120</v>
      </c>
      <c r="T9099" t="s">
        <v>34269</v>
      </c>
    </row>
    <row r="9100" spans="1:25" customFormat="1" ht="15" x14ac:dyDescent="0.25">
      <c r="A9100" t="s">
        <v>35</v>
      </c>
      <c r="B9100" t="s">
        <v>34256</v>
      </c>
      <c r="C9100" t="str">
        <f>"A0180223"</f>
        <v>A0180223</v>
      </c>
      <c r="D9100" t="s">
        <v>34270</v>
      </c>
      <c r="E9100" t="s">
        <v>34271</v>
      </c>
      <c r="F9100" t="s">
        <v>34272</v>
      </c>
      <c r="G9100" t="s">
        <v>52</v>
      </c>
      <c r="H9100">
        <v>77338</v>
      </c>
      <c r="I9100" t="s">
        <v>30</v>
      </c>
      <c r="J9100" t="s">
        <v>41</v>
      </c>
      <c r="K9100" t="s">
        <v>229</v>
      </c>
      <c r="Q9100">
        <v>0</v>
      </c>
      <c r="R9100">
        <v>130</v>
      </c>
      <c r="S9100">
        <v>130</v>
      </c>
      <c r="T9100" t="s">
        <v>34273</v>
      </c>
    </row>
    <row r="9101" spans="1:25" customFormat="1" ht="15" x14ac:dyDescent="0.25">
      <c r="A9101" t="s">
        <v>35</v>
      </c>
      <c r="B9101" t="s">
        <v>34256</v>
      </c>
      <c r="C9101" t="str">
        <f>"A0180222"</f>
        <v>A0180222</v>
      </c>
      <c r="D9101" t="s">
        <v>34274</v>
      </c>
      <c r="E9101" t="s">
        <v>34275</v>
      </c>
      <c r="F9101" t="s">
        <v>34276</v>
      </c>
      <c r="G9101" t="s">
        <v>52</v>
      </c>
      <c r="H9101">
        <v>75563</v>
      </c>
      <c r="I9101" t="s">
        <v>30</v>
      </c>
      <c r="J9101" t="s">
        <v>41</v>
      </c>
      <c r="K9101" t="s">
        <v>229</v>
      </c>
      <c r="Q9101">
        <v>0</v>
      </c>
      <c r="R9101">
        <v>120</v>
      </c>
      <c r="S9101">
        <v>120</v>
      </c>
      <c r="T9101" t="s">
        <v>34277</v>
      </c>
    </row>
    <row r="9102" spans="1:25" customFormat="1" ht="15" x14ac:dyDescent="0.25">
      <c r="A9102" t="s">
        <v>35</v>
      </c>
      <c r="B9102" t="s">
        <v>34256</v>
      </c>
      <c r="C9102" t="str">
        <f>"A0180221"</f>
        <v>A0180221</v>
      </c>
      <c r="D9102" t="s">
        <v>34278</v>
      </c>
      <c r="E9102" t="s">
        <v>34279</v>
      </c>
      <c r="F9102" t="s">
        <v>11777</v>
      </c>
      <c r="G9102" t="s">
        <v>52</v>
      </c>
      <c r="H9102">
        <v>75426</v>
      </c>
      <c r="I9102" t="s">
        <v>30</v>
      </c>
      <c r="J9102" t="s">
        <v>41</v>
      </c>
      <c r="K9102" t="s">
        <v>229</v>
      </c>
      <c r="Q9102">
        <v>0</v>
      </c>
      <c r="R9102">
        <v>80</v>
      </c>
      <c r="S9102">
        <v>80</v>
      </c>
      <c r="T9102" t="s">
        <v>34280</v>
      </c>
    </row>
    <row r="9103" spans="1:25" customFormat="1" ht="15" x14ac:dyDescent="0.25">
      <c r="A9103" t="s">
        <v>35</v>
      </c>
      <c r="B9103" t="s">
        <v>34256</v>
      </c>
      <c r="C9103" t="str">
        <f>"A0180220"</f>
        <v>A0180220</v>
      </c>
      <c r="D9103" t="s">
        <v>34281</v>
      </c>
      <c r="E9103" t="s">
        <v>34282</v>
      </c>
      <c r="F9103" t="s">
        <v>34283</v>
      </c>
      <c r="G9103" t="s">
        <v>52</v>
      </c>
      <c r="H9103">
        <v>79331</v>
      </c>
      <c r="I9103" t="s">
        <v>30</v>
      </c>
      <c r="J9103" t="s">
        <v>41</v>
      </c>
      <c r="K9103" t="s">
        <v>229</v>
      </c>
      <c r="Q9103">
        <v>0</v>
      </c>
      <c r="R9103">
        <v>80</v>
      </c>
      <c r="S9103">
        <v>80</v>
      </c>
      <c r="T9103" t="s">
        <v>34284</v>
      </c>
    </row>
    <row r="9104" spans="1:25" customFormat="1" ht="15" x14ac:dyDescent="0.25">
      <c r="A9104" t="s">
        <v>35</v>
      </c>
      <c r="B9104" t="s">
        <v>34256</v>
      </c>
      <c r="C9104" t="str">
        <f>"A0180219"</f>
        <v>A0180219</v>
      </c>
      <c r="D9104" t="s">
        <v>34285</v>
      </c>
      <c r="E9104" t="s">
        <v>34286</v>
      </c>
      <c r="F9104" t="s">
        <v>19676</v>
      </c>
      <c r="G9104" t="s">
        <v>52</v>
      </c>
      <c r="H9104">
        <v>77072</v>
      </c>
      <c r="I9104" t="s">
        <v>30</v>
      </c>
      <c r="J9104" t="s">
        <v>41</v>
      </c>
      <c r="K9104" t="s">
        <v>229</v>
      </c>
      <c r="Q9104">
        <v>0</v>
      </c>
      <c r="R9104">
        <v>120</v>
      </c>
      <c r="S9104">
        <v>120</v>
      </c>
      <c r="T9104" t="s">
        <v>34287</v>
      </c>
    </row>
    <row r="9105" spans="1:20" customFormat="1" ht="15" x14ac:dyDescent="0.25">
      <c r="A9105" t="s">
        <v>35</v>
      </c>
      <c r="B9105" t="s">
        <v>34288</v>
      </c>
      <c r="C9105" t="str">
        <f>"A0180218"</f>
        <v>A0180218</v>
      </c>
      <c r="D9105" t="s">
        <v>34289</v>
      </c>
      <c r="E9105" t="s">
        <v>34290</v>
      </c>
      <c r="F9105" t="s">
        <v>13792</v>
      </c>
      <c r="G9105" t="s">
        <v>52</v>
      </c>
      <c r="H9105">
        <v>76011</v>
      </c>
      <c r="I9105" t="s">
        <v>30</v>
      </c>
      <c r="J9105" t="s">
        <v>41</v>
      </c>
      <c r="K9105" t="s">
        <v>229</v>
      </c>
      <c r="Q9105">
        <v>0</v>
      </c>
      <c r="R9105">
        <v>0</v>
      </c>
      <c r="S9105">
        <v>0</v>
      </c>
      <c r="T9105" t="s">
        <v>34291</v>
      </c>
    </row>
    <row r="9106" spans="1:20" customFormat="1" ht="15" x14ac:dyDescent="0.25">
      <c r="A9106" t="s">
        <v>35</v>
      </c>
      <c r="B9106" t="s">
        <v>34256</v>
      </c>
      <c r="C9106" t="str">
        <f>"A0180217"</f>
        <v>A0180217</v>
      </c>
      <c r="D9106" t="s">
        <v>34292</v>
      </c>
      <c r="E9106" t="s">
        <v>34293</v>
      </c>
      <c r="F9106" t="s">
        <v>9836</v>
      </c>
      <c r="G9106" t="s">
        <v>52</v>
      </c>
      <c r="H9106">
        <v>77504</v>
      </c>
      <c r="I9106" t="s">
        <v>30</v>
      </c>
      <c r="J9106" t="s">
        <v>41</v>
      </c>
      <c r="K9106" t="s">
        <v>229</v>
      </c>
      <c r="Q9106">
        <v>0</v>
      </c>
      <c r="R9106">
        <v>125</v>
      </c>
      <c r="S9106">
        <v>125</v>
      </c>
      <c r="T9106" t="s">
        <v>34294</v>
      </c>
    </row>
    <row r="9107" spans="1:20" customFormat="1" ht="15" x14ac:dyDescent="0.25">
      <c r="A9107" t="s">
        <v>35</v>
      </c>
      <c r="B9107" t="s">
        <v>34256</v>
      </c>
      <c r="C9107" t="str">
        <f>"A0180216"</f>
        <v>A0180216</v>
      </c>
      <c r="D9107" t="s">
        <v>34295</v>
      </c>
      <c r="E9107" t="s">
        <v>34296</v>
      </c>
      <c r="F9107" t="s">
        <v>5133</v>
      </c>
      <c r="G9107" t="s">
        <v>52</v>
      </c>
      <c r="H9107">
        <v>79705</v>
      </c>
      <c r="I9107" t="s">
        <v>30</v>
      </c>
      <c r="J9107" t="s">
        <v>41</v>
      </c>
      <c r="K9107" t="s">
        <v>229</v>
      </c>
      <c r="Q9107">
        <v>0</v>
      </c>
      <c r="R9107">
        <v>112</v>
      </c>
      <c r="S9107">
        <v>112</v>
      </c>
      <c r="T9107" t="s">
        <v>34297</v>
      </c>
    </row>
    <row r="9108" spans="1:20" customFormat="1" ht="15" x14ac:dyDescent="0.25">
      <c r="A9108" t="s">
        <v>35</v>
      </c>
      <c r="B9108" t="s">
        <v>34256</v>
      </c>
      <c r="C9108" t="str">
        <f>"A0180215"</f>
        <v>A0180215</v>
      </c>
      <c r="D9108" t="s">
        <v>34298</v>
      </c>
      <c r="E9108" t="s">
        <v>34299</v>
      </c>
      <c r="F9108" t="s">
        <v>5133</v>
      </c>
      <c r="G9108" t="s">
        <v>52</v>
      </c>
      <c r="H9108">
        <v>79705</v>
      </c>
      <c r="I9108" t="s">
        <v>30</v>
      </c>
      <c r="J9108" t="s">
        <v>41</v>
      </c>
      <c r="K9108" t="s">
        <v>229</v>
      </c>
      <c r="Q9108">
        <v>0</v>
      </c>
      <c r="R9108">
        <v>106</v>
      </c>
      <c r="S9108">
        <v>106</v>
      </c>
      <c r="T9108" t="s">
        <v>34300</v>
      </c>
    </row>
    <row r="9109" spans="1:20" customFormat="1" ht="15" x14ac:dyDescent="0.25">
      <c r="A9109" t="s">
        <v>35</v>
      </c>
      <c r="B9109" t="s">
        <v>1772</v>
      </c>
      <c r="C9109" t="str">
        <f>"A0180214"</f>
        <v>A0180214</v>
      </c>
      <c r="D9109" t="s">
        <v>34301</v>
      </c>
      <c r="E9109" t="s">
        <v>34302</v>
      </c>
      <c r="F9109" t="s">
        <v>34303</v>
      </c>
      <c r="G9109" t="s">
        <v>52</v>
      </c>
      <c r="H9109">
        <v>75143</v>
      </c>
      <c r="I9109" t="s">
        <v>30</v>
      </c>
      <c r="J9109" t="s">
        <v>41</v>
      </c>
      <c r="K9109" t="s">
        <v>229</v>
      </c>
      <c r="Q9109">
        <v>0</v>
      </c>
      <c r="R9109">
        <v>0</v>
      </c>
      <c r="S9109">
        <v>0</v>
      </c>
      <c r="T9109" t="s">
        <v>34304</v>
      </c>
    </row>
    <row r="9110" spans="1:20" customFormat="1" ht="15" x14ac:dyDescent="0.25">
      <c r="A9110" t="s">
        <v>35</v>
      </c>
      <c r="B9110" t="s">
        <v>34256</v>
      </c>
      <c r="C9110" t="str">
        <f>"A0180213"</f>
        <v>A0180213</v>
      </c>
      <c r="D9110" t="s">
        <v>34305</v>
      </c>
      <c r="E9110" t="s">
        <v>34306</v>
      </c>
      <c r="F9110" t="s">
        <v>4133</v>
      </c>
      <c r="G9110" t="s">
        <v>52</v>
      </c>
      <c r="H9110">
        <v>78704</v>
      </c>
      <c r="I9110" t="s">
        <v>30</v>
      </c>
      <c r="J9110" t="s">
        <v>41</v>
      </c>
      <c r="K9110" t="s">
        <v>229</v>
      </c>
      <c r="Q9110">
        <v>0</v>
      </c>
      <c r="R9110">
        <v>80</v>
      </c>
      <c r="S9110">
        <v>80</v>
      </c>
      <c r="T9110" t="s">
        <v>34307</v>
      </c>
    </row>
    <row r="9111" spans="1:20" customFormat="1" ht="15" x14ac:dyDescent="0.25">
      <c r="A9111" t="s">
        <v>35</v>
      </c>
      <c r="B9111" t="s">
        <v>34256</v>
      </c>
      <c r="C9111" t="str">
        <f>"A0180212"</f>
        <v>A0180212</v>
      </c>
      <c r="D9111" t="s">
        <v>34308</v>
      </c>
      <c r="E9111" t="s">
        <v>34309</v>
      </c>
      <c r="F9111" t="s">
        <v>34310</v>
      </c>
      <c r="G9111" t="s">
        <v>52</v>
      </c>
      <c r="H9111">
        <v>75090</v>
      </c>
      <c r="I9111" t="s">
        <v>30</v>
      </c>
      <c r="J9111" t="s">
        <v>41</v>
      </c>
      <c r="K9111" t="s">
        <v>229</v>
      </c>
      <c r="Q9111">
        <v>0</v>
      </c>
      <c r="R9111">
        <v>110</v>
      </c>
      <c r="S9111">
        <v>110</v>
      </c>
      <c r="T9111" t="s">
        <v>34311</v>
      </c>
    </row>
    <row r="9112" spans="1:20" customFormat="1" ht="15" x14ac:dyDescent="0.25">
      <c r="A9112" t="s">
        <v>35</v>
      </c>
      <c r="B9112" t="s">
        <v>34256</v>
      </c>
      <c r="C9112" t="str">
        <f>"A0180211"</f>
        <v>A0180211</v>
      </c>
      <c r="D9112" t="s">
        <v>34312</v>
      </c>
      <c r="E9112" t="s">
        <v>34313</v>
      </c>
      <c r="F9112" t="s">
        <v>1634</v>
      </c>
      <c r="G9112" t="s">
        <v>52</v>
      </c>
      <c r="H9112">
        <v>77632</v>
      </c>
      <c r="I9112" t="s">
        <v>30</v>
      </c>
      <c r="J9112" t="s">
        <v>41</v>
      </c>
      <c r="K9112" t="s">
        <v>229</v>
      </c>
      <c r="Q9112">
        <v>0</v>
      </c>
      <c r="R9112">
        <v>120</v>
      </c>
      <c r="S9112">
        <v>120</v>
      </c>
      <c r="T9112" t="s">
        <v>34314</v>
      </c>
    </row>
    <row r="9113" spans="1:20" customFormat="1" ht="15" x14ac:dyDescent="0.25">
      <c r="A9113" t="s">
        <v>35</v>
      </c>
      <c r="B9113" t="s">
        <v>34256</v>
      </c>
      <c r="C9113" t="str">
        <f>"A0180210"</f>
        <v>A0180210</v>
      </c>
      <c r="D9113" t="s">
        <v>34315</v>
      </c>
      <c r="E9113" t="s">
        <v>34316</v>
      </c>
      <c r="F9113" t="s">
        <v>23386</v>
      </c>
      <c r="G9113" t="s">
        <v>52</v>
      </c>
      <c r="H9113">
        <v>77340</v>
      </c>
      <c r="I9113" t="s">
        <v>30</v>
      </c>
      <c r="J9113" t="s">
        <v>41</v>
      </c>
      <c r="K9113" t="s">
        <v>229</v>
      </c>
      <c r="Q9113">
        <v>0</v>
      </c>
      <c r="R9113">
        <v>80</v>
      </c>
      <c r="S9113">
        <v>80</v>
      </c>
      <c r="T9113" t="s">
        <v>34317</v>
      </c>
    </row>
    <row r="9114" spans="1:20" customFormat="1" ht="15" x14ac:dyDescent="0.25">
      <c r="A9114" t="s">
        <v>35</v>
      </c>
      <c r="B9114" t="s">
        <v>34256</v>
      </c>
      <c r="C9114" t="str">
        <f>"A0180209"</f>
        <v>A0180209</v>
      </c>
      <c r="D9114" t="s">
        <v>34318</v>
      </c>
      <c r="E9114" t="s">
        <v>34319</v>
      </c>
      <c r="F9114" t="s">
        <v>23599</v>
      </c>
      <c r="G9114" t="s">
        <v>52</v>
      </c>
      <c r="H9114">
        <v>76531</v>
      </c>
      <c r="I9114" t="s">
        <v>30</v>
      </c>
      <c r="J9114" t="s">
        <v>41</v>
      </c>
      <c r="K9114" t="s">
        <v>229</v>
      </c>
      <c r="Q9114">
        <v>0</v>
      </c>
      <c r="R9114">
        <v>0</v>
      </c>
      <c r="S9114">
        <v>0</v>
      </c>
      <c r="T9114" t="s">
        <v>34320</v>
      </c>
    </row>
    <row r="9115" spans="1:20" customFormat="1" ht="15" x14ac:dyDescent="0.25">
      <c r="A9115" t="s">
        <v>35</v>
      </c>
      <c r="B9115" t="s">
        <v>61</v>
      </c>
      <c r="C9115" t="str">
        <f>"A0180208"</f>
        <v>A0180208</v>
      </c>
      <c r="D9115" t="s">
        <v>34321</v>
      </c>
      <c r="E9115" t="s">
        <v>34322</v>
      </c>
      <c r="F9115" t="s">
        <v>27655</v>
      </c>
      <c r="G9115" t="s">
        <v>1363</v>
      </c>
      <c r="H9115">
        <v>3062</v>
      </c>
      <c r="I9115" t="s">
        <v>30</v>
      </c>
      <c r="J9115" t="s">
        <v>41</v>
      </c>
      <c r="K9115" t="s">
        <v>229</v>
      </c>
      <c r="Q9115">
        <v>0</v>
      </c>
      <c r="R9115">
        <v>290</v>
      </c>
      <c r="S9115">
        <v>290</v>
      </c>
      <c r="T9115" t="s">
        <v>34323</v>
      </c>
    </row>
    <row r="9116" spans="1:20" customFormat="1" ht="15" x14ac:dyDescent="0.25">
      <c r="A9116" t="s">
        <v>35</v>
      </c>
      <c r="B9116" t="s">
        <v>34256</v>
      </c>
      <c r="C9116" t="str">
        <f>"A0180207"</f>
        <v>A0180207</v>
      </c>
      <c r="D9116" t="s">
        <v>34324</v>
      </c>
      <c r="E9116" t="s">
        <v>34325</v>
      </c>
      <c r="F9116" t="s">
        <v>22868</v>
      </c>
      <c r="G9116" t="s">
        <v>52</v>
      </c>
      <c r="H9116">
        <v>75165</v>
      </c>
      <c r="I9116" t="s">
        <v>30</v>
      </c>
      <c r="J9116" t="s">
        <v>41</v>
      </c>
      <c r="K9116" t="s">
        <v>229</v>
      </c>
      <c r="Q9116">
        <v>0</v>
      </c>
      <c r="R9116">
        <v>140</v>
      </c>
      <c r="S9116">
        <v>140</v>
      </c>
      <c r="T9116" t="s">
        <v>34326</v>
      </c>
    </row>
    <row r="9117" spans="1:20" customFormat="1" ht="15" x14ac:dyDescent="0.25">
      <c r="A9117" t="s">
        <v>35</v>
      </c>
      <c r="B9117" t="s">
        <v>34256</v>
      </c>
      <c r="C9117" t="str">
        <f>"A0180206"</f>
        <v>A0180206</v>
      </c>
      <c r="D9117" t="s">
        <v>34327</v>
      </c>
      <c r="E9117" t="s">
        <v>34328</v>
      </c>
      <c r="F9117" t="s">
        <v>13395</v>
      </c>
      <c r="G9117" t="s">
        <v>52</v>
      </c>
      <c r="H9117">
        <v>77707</v>
      </c>
      <c r="I9117" t="s">
        <v>30</v>
      </c>
      <c r="J9117" t="s">
        <v>41</v>
      </c>
      <c r="K9117" t="s">
        <v>229</v>
      </c>
      <c r="Q9117">
        <v>0</v>
      </c>
      <c r="R9117">
        <v>120</v>
      </c>
      <c r="S9117">
        <v>120</v>
      </c>
      <c r="T9117" t="s">
        <v>34329</v>
      </c>
    </row>
    <row r="9118" spans="1:20" customFormat="1" ht="15" x14ac:dyDescent="0.25">
      <c r="A9118" t="s">
        <v>35</v>
      </c>
      <c r="B9118" t="s">
        <v>34256</v>
      </c>
      <c r="C9118" t="str">
        <f>"A0180205"</f>
        <v>A0180205</v>
      </c>
      <c r="D9118" t="s">
        <v>34330</v>
      </c>
      <c r="E9118" t="s">
        <v>34331</v>
      </c>
      <c r="F9118" t="s">
        <v>34332</v>
      </c>
      <c r="G9118" t="s">
        <v>52</v>
      </c>
      <c r="H9118">
        <v>79756</v>
      </c>
      <c r="I9118" t="s">
        <v>30</v>
      </c>
      <c r="J9118" t="s">
        <v>41</v>
      </c>
      <c r="K9118" t="s">
        <v>229</v>
      </c>
      <c r="Q9118">
        <v>0</v>
      </c>
      <c r="R9118">
        <v>92</v>
      </c>
      <c r="S9118">
        <v>92</v>
      </c>
      <c r="T9118" t="s">
        <v>34333</v>
      </c>
    </row>
    <row r="9119" spans="1:20" customFormat="1" ht="15" x14ac:dyDescent="0.25">
      <c r="A9119" t="s">
        <v>35</v>
      </c>
      <c r="B9119" t="s">
        <v>34256</v>
      </c>
      <c r="C9119" t="str">
        <f>"A0180204"</f>
        <v>A0180204</v>
      </c>
      <c r="D9119" t="s">
        <v>34334</v>
      </c>
      <c r="E9119" t="s">
        <v>34335</v>
      </c>
      <c r="F9119" t="s">
        <v>19676</v>
      </c>
      <c r="G9119" t="s">
        <v>52</v>
      </c>
      <c r="H9119">
        <v>77521</v>
      </c>
      <c r="I9119" t="s">
        <v>30</v>
      </c>
      <c r="J9119" t="s">
        <v>41</v>
      </c>
      <c r="K9119" t="s">
        <v>229</v>
      </c>
      <c r="Q9119">
        <v>0</v>
      </c>
      <c r="R9119">
        <v>125</v>
      </c>
      <c r="S9119">
        <v>125</v>
      </c>
      <c r="T9119" t="s">
        <v>34336</v>
      </c>
    </row>
    <row r="9120" spans="1:20" customFormat="1" ht="15" x14ac:dyDescent="0.25">
      <c r="A9120" t="s">
        <v>35</v>
      </c>
      <c r="B9120" t="s">
        <v>34256</v>
      </c>
      <c r="C9120" t="str">
        <f>"A0180203"</f>
        <v>A0180203</v>
      </c>
      <c r="D9120" t="s">
        <v>34337</v>
      </c>
      <c r="E9120" t="s">
        <v>34338</v>
      </c>
      <c r="F9120" t="s">
        <v>34339</v>
      </c>
      <c r="G9120" t="s">
        <v>52</v>
      </c>
      <c r="H9120">
        <v>75935</v>
      </c>
      <c r="I9120" t="s">
        <v>30</v>
      </c>
      <c r="J9120" t="s">
        <v>41</v>
      </c>
      <c r="K9120" t="s">
        <v>229</v>
      </c>
      <c r="Q9120">
        <v>0</v>
      </c>
      <c r="R9120">
        <v>90</v>
      </c>
      <c r="S9120">
        <v>90</v>
      </c>
      <c r="T9120" t="s">
        <v>34340</v>
      </c>
    </row>
    <row r="9121" spans="1:20" customFormat="1" ht="15" x14ac:dyDescent="0.25">
      <c r="A9121" t="s">
        <v>35</v>
      </c>
      <c r="B9121" t="s">
        <v>34256</v>
      </c>
      <c r="C9121" t="str">
        <f>"A0180202"</f>
        <v>A0180202</v>
      </c>
      <c r="D9121" t="s">
        <v>34341</v>
      </c>
      <c r="E9121" t="s">
        <v>34342</v>
      </c>
      <c r="F9121" t="s">
        <v>5257</v>
      </c>
      <c r="G9121" t="s">
        <v>52</v>
      </c>
      <c r="H9121">
        <v>77099</v>
      </c>
      <c r="I9121" t="s">
        <v>30</v>
      </c>
      <c r="J9121" t="s">
        <v>41</v>
      </c>
      <c r="K9121" t="s">
        <v>229</v>
      </c>
      <c r="Q9121">
        <v>0</v>
      </c>
      <c r="R9121">
        <v>110</v>
      </c>
      <c r="S9121">
        <v>110</v>
      </c>
      <c r="T9121" t="s">
        <v>34343</v>
      </c>
    </row>
    <row r="9122" spans="1:20" customFormat="1" ht="15" x14ac:dyDescent="0.25">
      <c r="A9122" t="s">
        <v>35</v>
      </c>
      <c r="B9122" t="s">
        <v>61</v>
      </c>
      <c r="C9122" t="str">
        <f>"A0180201"</f>
        <v>A0180201</v>
      </c>
      <c r="D9122" t="s">
        <v>34344</v>
      </c>
      <c r="E9122" t="s">
        <v>34345</v>
      </c>
      <c r="F9122" t="s">
        <v>28270</v>
      </c>
      <c r="G9122" t="s">
        <v>103</v>
      </c>
      <c r="H9122">
        <v>18407</v>
      </c>
      <c r="I9122" t="s">
        <v>30</v>
      </c>
      <c r="J9122" t="s">
        <v>41</v>
      </c>
      <c r="K9122" t="s">
        <v>229</v>
      </c>
      <c r="Q9122">
        <v>0</v>
      </c>
      <c r="R9122">
        <v>120</v>
      </c>
      <c r="S9122">
        <v>120</v>
      </c>
      <c r="T9122" t="s">
        <v>34346</v>
      </c>
    </row>
    <row r="9123" spans="1:20" customFormat="1" ht="15" x14ac:dyDescent="0.25">
      <c r="A9123" t="s">
        <v>35</v>
      </c>
      <c r="B9123" t="s">
        <v>34256</v>
      </c>
      <c r="C9123" t="str">
        <f>"A0180200"</f>
        <v>A0180200</v>
      </c>
      <c r="D9123" t="s">
        <v>34347</v>
      </c>
      <c r="E9123" t="s">
        <v>34348</v>
      </c>
      <c r="F9123" t="s">
        <v>5257</v>
      </c>
      <c r="G9123" t="s">
        <v>52</v>
      </c>
      <c r="H9123">
        <v>77072</v>
      </c>
      <c r="I9123" t="s">
        <v>30</v>
      </c>
      <c r="J9123" t="s">
        <v>41</v>
      </c>
      <c r="K9123" t="s">
        <v>229</v>
      </c>
      <c r="Q9123">
        <v>0</v>
      </c>
      <c r="R9123">
        <v>140</v>
      </c>
      <c r="S9123">
        <v>140</v>
      </c>
      <c r="T9123" t="s">
        <v>34349</v>
      </c>
    </row>
    <row r="9124" spans="1:20" customFormat="1" ht="15" x14ac:dyDescent="0.25">
      <c r="A9124" t="s">
        <v>35</v>
      </c>
      <c r="B9124" t="s">
        <v>34256</v>
      </c>
      <c r="C9124" t="str">
        <f>"A0180199"</f>
        <v>A0180199</v>
      </c>
      <c r="D9124" t="s">
        <v>34350</v>
      </c>
      <c r="E9124" t="s">
        <v>34351</v>
      </c>
      <c r="F9124" t="s">
        <v>19676</v>
      </c>
      <c r="G9124" t="s">
        <v>52</v>
      </c>
      <c r="H9124">
        <v>77520</v>
      </c>
      <c r="I9124" t="s">
        <v>30</v>
      </c>
      <c r="J9124" t="s">
        <v>41</v>
      </c>
      <c r="K9124" t="s">
        <v>229</v>
      </c>
      <c r="Q9124">
        <v>0</v>
      </c>
      <c r="R9124">
        <v>100</v>
      </c>
      <c r="S9124">
        <v>100</v>
      </c>
      <c r="T9124" t="s">
        <v>34352</v>
      </c>
    </row>
    <row r="9125" spans="1:20" customFormat="1" ht="15" x14ac:dyDescent="0.25">
      <c r="A9125" t="s">
        <v>35</v>
      </c>
      <c r="B9125" t="s">
        <v>34256</v>
      </c>
      <c r="C9125" t="str">
        <f>"A0180198"</f>
        <v>A0180198</v>
      </c>
      <c r="D9125" t="s">
        <v>34353</v>
      </c>
      <c r="E9125" t="s">
        <v>34354</v>
      </c>
      <c r="F9125" t="s">
        <v>34355</v>
      </c>
      <c r="G9125" t="s">
        <v>52</v>
      </c>
      <c r="H9125">
        <v>79772</v>
      </c>
      <c r="I9125" t="s">
        <v>30</v>
      </c>
      <c r="J9125" t="s">
        <v>41</v>
      </c>
      <c r="K9125" t="s">
        <v>229</v>
      </c>
      <c r="Q9125">
        <v>0</v>
      </c>
      <c r="R9125">
        <v>90</v>
      </c>
      <c r="S9125">
        <v>90</v>
      </c>
      <c r="T9125" t="s">
        <v>34356</v>
      </c>
    </row>
    <row r="9126" spans="1:20" customFormat="1" ht="15" x14ac:dyDescent="0.25">
      <c r="A9126" t="s">
        <v>35</v>
      </c>
      <c r="B9126" t="s">
        <v>34256</v>
      </c>
      <c r="C9126" t="str">
        <f>"A0180197"</f>
        <v>A0180197</v>
      </c>
      <c r="D9126" t="s">
        <v>34357</v>
      </c>
      <c r="E9126" t="s">
        <v>34358</v>
      </c>
      <c r="F9126" t="s">
        <v>19676</v>
      </c>
      <c r="G9126" t="s">
        <v>52</v>
      </c>
      <c r="H9126">
        <v>77520</v>
      </c>
      <c r="I9126" t="s">
        <v>30</v>
      </c>
      <c r="J9126" t="s">
        <v>41</v>
      </c>
      <c r="K9126" t="s">
        <v>229</v>
      </c>
      <c r="Q9126">
        <v>0</v>
      </c>
      <c r="R9126">
        <v>120</v>
      </c>
      <c r="S9126">
        <v>120</v>
      </c>
      <c r="T9126" t="s">
        <v>34359</v>
      </c>
    </row>
    <row r="9127" spans="1:20" customFormat="1" ht="15" x14ac:dyDescent="0.25">
      <c r="A9127" t="s">
        <v>35</v>
      </c>
      <c r="B9127" t="s">
        <v>34256</v>
      </c>
      <c r="C9127" t="str">
        <f>"A0180196"</f>
        <v>A0180196</v>
      </c>
      <c r="D9127" t="s">
        <v>34360</v>
      </c>
      <c r="E9127" t="s">
        <v>34361</v>
      </c>
      <c r="F9127" t="s">
        <v>34362</v>
      </c>
      <c r="G9127" t="s">
        <v>52</v>
      </c>
      <c r="H9127">
        <v>79735</v>
      </c>
      <c r="I9127" t="s">
        <v>30</v>
      </c>
      <c r="J9127" t="s">
        <v>41</v>
      </c>
      <c r="K9127" t="s">
        <v>229</v>
      </c>
      <c r="Q9127">
        <v>0</v>
      </c>
      <c r="R9127">
        <v>120</v>
      </c>
      <c r="S9127">
        <v>120</v>
      </c>
      <c r="T9127" t="s">
        <v>34263</v>
      </c>
    </row>
    <row r="9128" spans="1:20" customFormat="1" ht="15" x14ac:dyDescent="0.25">
      <c r="A9128" t="s">
        <v>35</v>
      </c>
      <c r="B9128" t="s">
        <v>34256</v>
      </c>
      <c r="C9128" t="str">
        <f>"A0180195"</f>
        <v>A0180195</v>
      </c>
      <c r="D9128" t="s">
        <v>34363</v>
      </c>
      <c r="E9128" t="s">
        <v>34364</v>
      </c>
      <c r="F9128" t="s">
        <v>18222</v>
      </c>
      <c r="G9128" t="s">
        <v>52</v>
      </c>
      <c r="H9128">
        <v>79763</v>
      </c>
      <c r="I9128" t="s">
        <v>30</v>
      </c>
      <c r="J9128" t="s">
        <v>41</v>
      </c>
      <c r="K9128" t="s">
        <v>229</v>
      </c>
      <c r="Q9128">
        <v>0</v>
      </c>
      <c r="R9128">
        <v>75</v>
      </c>
      <c r="S9128">
        <v>75</v>
      </c>
      <c r="T9128" t="s">
        <v>34365</v>
      </c>
    </row>
    <row r="9129" spans="1:20" customFormat="1" ht="15" x14ac:dyDescent="0.25">
      <c r="A9129" t="s">
        <v>35</v>
      </c>
      <c r="B9129" t="s">
        <v>34256</v>
      </c>
      <c r="C9129" t="str">
        <f>"A0180194"</f>
        <v>A0180194</v>
      </c>
      <c r="D9129" t="s">
        <v>34366</v>
      </c>
      <c r="E9129" t="s">
        <v>34367</v>
      </c>
      <c r="F9129" t="s">
        <v>34368</v>
      </c>
      <c r="G9129" t="s">
        <v>52</v>
      </c>
      <c r="H9129">
        <v>75644</v>
      </c>
      <c r="I9129" t="s">
        <v>30</v>
      </c>
      <c r="J9129" t="s">
        <v>41</v>
      </c>
      <c r="K9129" t="s">
        <v>229</v>
      </c>
      <c r="Q9129">
        <v>0</v>
      </c>
      <c r="R9129">
        <v>110</v>
      </c>
      <c r="S9129">
        <v>110</v>
      </c>
      <c r="T9129" t="s">
        <v>34369</v>
      </c>
    </row>
    <row r="9130" spans="1:20" customFormat="1" ht="15" x14ac:dyDescent="0.25">
      <c r="A9130" t="s">
        <v>35</v>
      </c>
      <c r="B9130" t="s">
        <v>34256</v>
      </c>
      <c r="C9130" t="str">
        <f>"A0180193"</f>
        <v>A0180193</v>
      </c>
      <c r="D9130" t="s">
        <v>34370</v>
      </c>
      <c r="E9130" t="s">
        <v>34371</v>
      </c>
      <c r="F9130" t="s">
        <v>20988</v>
      </c>
      <c r="G9130" t="s">
        <v>52</v>
      </c>
      <c r="H9130">
        <v>77833</v>
      </c>
      <c r="I9130" t="s">
        <v>30</v>
      </c>
      <c r="J9130" t="s">
        <v>41</v>
      </c>
      <c r="K9130" t="s">
        <v>229</v>
      </c>
      <c r="Q9130">
        <v>0</v>
      </c>
      <c r="R9130">
        <v>80</v>
      </c>
      <c r="S9130">
        <v>80</v>
      </c>
      <c r="T9130" t="s">
        <v>34372</v>
      </c>
    </row>
    <row r="9131" spans="1:20" customFormat="1" ht="15" x14ac:dyDescent="0.25">
      <c r="A9131" t="s">
        <v>35</v>
      </c>
      <c r="B9131" t="s">
        <v>34373</v>
      </c>
      <c r="C9131" t="str">
        <f>"A0180191"</f>
        <v>A0180191</v>
      </c>
      <c r="D9131" t="s">
        <v>34373</v>
      </c>
      <c r="E9131" t="s">
        <v>34374</v>
      </c>
      <c r="F9131" t="s">
        <v>15984</v>
      </c>
      <c r="G9131" t="s">
        <v>427</v>
      </c>
      <c r="H9131">
        <v>68450</v>
      </c>
      <c r="I9131" t="s">
        <v>30</v>
      </c>
      <c r="J9131" t="s">
        <v>41</v>
      </c>
      <c r="K9131" t="s">
        <v>59</v>
      </c>
      <c r="Q9131">
        <v>0</v>
      </c>
      <c r="R9131">
        <v>67</v>
      </c>
      <c r="S9131">
        <v>67</v>
      </c>
      <c r="T9131" t="s">
        <v>34375</v>
      </c>
    </row>
    <row r="9132" spans="1:20" customFormat="1" ht="15" x14ac:dyDescent="0.25">
      <c r="A9132" t="s">
        <v>35</v>
      </c>
      <c r="B9132" t="s">
        <v>7943</v>
      </c>
      <c r="C9132" t="str">
        <f>"A0180190"</f>
        <v>A0180190</v>
      </c>
      <c r="D9132" t="s">
        <v>34376</v>
      </c>
      <c r="E9132" t="s">
        <v>34377</v>
      </c>
      <c r="F9132" t="s">
        <v>4133</v>
      </c>
      <c r="G9132" t="s">
        <v>52</v>
      </c>
      <c r="H9132">
        <v>78759</v>
      </c>
      <c r="I9132" t="s">
        <v>30</v>
      </c>
      <c r="J9132" t="s">
        <v>41</v>
      </c>
      <c r="K9132" t="s">
        <v>59</v>
      </c>
      <c r="Q9132">
        <v>0</v>
      </c>
      <c r="R9132">
        <v>60</v>
      </c>
      <c r="S9132">
        <v>60</v>
      </c>
      <c r="T9132" t="s">
        <v>34378</v>
      </c>
    </row>
    <row r="9133" spans="1:20" customFormat="1" ht="15" x14ac:dyDescent="0.25">
      <c r="A9133" t="s">
        <v>35</v>
      </c>
      <c r="B9133" t="s">
        <v>7943</v>
      </c>
      <c r="C9133" t="str">
        <f>"A0180189"</f>
        <v>A0180189</v>
      </c>
      <c r="D9133" t="s">
        <v>34379</v>
      </c>
      <c r="E9133" t="s">
        <v>34380</v>
      </c>
      <c r="F9133" t="s">
        <v>34381</v>
      </c>
      <c r="G9133" t="s">
        <v>52</v>
      </c>
      <c r="H9133">
        <v>77477</v>
      </c>
      <c r="I9133" t="s">
        <v>30</v>
      </c>
      <c r="J9133" t="s">
        <v>41</v>
      </c>
      <c r="K9133" t="s">
        <v>59</v>
      </c>
      <c r="Q9133">
        <v>0</v>
      </c>
      <c r="R9133">
        <v>75</v>
      </c>
      <c r="S9133">
        <v>75</v>
      </c>
      <c r="T9133" t="s">
        <v>34382</v>
      </c>
    </row>
    <row r="9134" spans="1:20" customFormat="1" ht="15" x14ac:dyDescent="0.25">
      <c r="A9134" t="s">
        <v>35</v>
      </c>
      <c r="B9134" t="s">
        <v>1679</v>
      </c>
      <c r="C9134" t="str">
        <f>"A0180188"</f>
        <v>A0180188</v>
      </c>
      <c r="D9134" t="s">
        <v>34383</v>
      </c>
      <c r="E9134" t="s">
        <v>34384</v>
      </c>
      <c r="F9134" t="s">
        <v>34385</v>
      </c>
      <c r="G9134" t="s">
        <v>58</v>
      </c>
      <c r="H9134">
        <v>29650</v>
      </c>
      <c r="I9134" t="s">
        <v>30</v>
      </c>
      <c r="J9134" t="s">
        <v>41</v>
      </c>
      <c r="K9134" t="s">
        <v>59</v>
      </c>
      <c r="Q9134">
        <v>0</v>
      </c>
      <c r="R9134">
        <v>0</v>
      </c>
      <c r="S9134">
        <v>0</v>
      </c>
      <c r="T9134" t="s">
        <v>72</v>
      </c>
    </row>
    <row r="9135" spans="1:20" customFormat="1" ht="15" x14ac:dyDescent="0.25">
      <c r="A9135" t="s">
        <v>35</v>
      </c>
      <c r="B9135" t="s">
        <v>34256</v>
      </c>
      <c r="C9135" t="str">
        <f>"A0180187"</f>
        <v>A0180187</v>
      </c>
      <c r="D9135" t="s">
        <v>34256</v>
      </c>
      <c r="E9135" t="s">
        <v>34386</v>
      </c>
      <c r="F9135" t="s">
        <v>853</v>
      </c>
      <c r="G9135" t="s">
        <v>52</v>
      </c>
      <c r="H9135">
        <v>76102</v>
      </c>
      <c r="I9135" t="s">
        <v>30</v>
      </c>
      <c r="J9135" t="s">
        <v>41</v>
      </c>
      <c r="K9135" t="s">
        <v>290</v>
      </c>
      <c r="Q9135">
        <v>0</v>
      </c>
      <c r="R9135">
        <v>0</v>
      </c>
      <c r="S9135">
        <v>0</v>
      </c>
      <c r="T9135" t="s">
        <v>34387</v>
      </c>
    </row>
    <row r="9136" spans="1:20" customFormat="1" ht="15" x14ac:dyDescent="0.25">
      <c r="A9136" t="s">
        <v>35</v>
      </c>
      <c r="B9136" t="s">
        <v>9670</v>
      </c>
      <c r="C9136" t="str">
        <f>"A0180186"</f>
        <v>A0180186</v>
      </c>
      <c r="D9136" t="s">
        <v>34388</v>
      </c>
      <c r="E9136" t="s">
        <v>34389</v>
      </c>
      <c r="F9136" t="s">
        <v>22399</v>
      </c>
      <c r="G9136" t="s">
        <v>338</v>
      </c>
      <c r="H9136">
        <v>7701</v>
      </c>
      <c r="I9136" t="s">
        <v>30</v>
      </c>
      <c r="J9136" t="s">
        <v>41</v>
      </c>
      <c r="K9136" t="s">
        <v>290</v>
      </c>
      <c r="Q9136">
        <v>0</v>
      </c>
      <c r="R9136">
        <v>0</v>
      </c>
      <c r="S9136">
        <v>0</v>
      </c>
      <c r="T9136" t="s">
        <v>72</v>
      </c>
    </row>
    <row r="9137" spans="1:20" customFormat="1" ht="15" x14ac:dyDescent="0.25">
      <c r="A9137" t="s">
        <v>35</v>
      </c>
      <c r="B9137" t="s">
        <v>36</v>
      </c>
      <c r="C9137" t="str">
        <f>"A0180184"</f>
        <v>A0180184</v>
      </c>
      <c r="D9137" t="s">
        <v>34390</v>
      </c>
      <c r="E9137" t="s">
        <v>34391</v>
      </c>
      <c r="F9137" t="s">
        <v>34392</v>
      </c>
      <c r="G9137" t="s">
        <v>52</v>
      </c>
      <c r="H9137">
        <v>76801</v>
      </c>
      <c r="I9137" t="s">
        <v>30</v>
      </c>
      <c r="J9137" t="s">
        <v>41</v>
      </c>
      <c r="K9137" t="s">
        <v>42</v>
      </c>
      <c r="Q9137">
        <v>0</v>
      </c>
      <c r="R9137">
        <v>0</v>
      </c>
      <c r="S9137">
        <v>0</v>
      </c>
      <c r="T9137" t="s">
        <v>34393</v>
      </c>
    </row>
    <row r="9138" spans="1:20" customFormat="1" ht="15" x14ac:dyDescent="0.25">
      <c r="A9138" t="s">
        <v>35</v>
      </c>
      <c r="B9138" t="s">
        <v>36</v>
      </c>
      <c r="C9138" t="str">
        <f>"A0180183"</f>
        <v>A0180183</v>
      </c>
      <c r="D9138" t="s">
        <v>34394</v>
      </c>
      <c r="E9138" t="s">
        <v>34395</v>
      </c>
      <c r="F9138" t="s">
        <v>426</v>
      </c>
      <c r="G9138" t="s">
        <v>427</v>
      </c>
      <c r="H9138">
        <v>68105</v>
      </c>
      <c r="I9138" t="s">
        <v>30</v>
      </c>
      <c r="J9138" t="s">
        <v>41</v>
      </c>
      <c r="K9138" t="s">
        <v>42</v>
      </c>
      <c r="Q9138">
        <v>0</v>
      </c>
      <c r="R9138">
        <v>0</v>
      </c>
      <c r="S9138">
        <v>0</v>
      </c>
      <c r="T9138" t="s">
        <v>34396</v>
      </c>
    </row>
    <row r="9139" spans="1:20" customFormat="1" ht="15" x14ac:dyDescent="0.25">
      <c r="A9139" t="s">
        <v>24</v>
      </c>
      <c r="B9139" t="s">
        <v>4400</v>
      </c>
      <c r="C9139" t="str">
        <f>"A0096418"</f>
        <v>A0096418</v>
      </c>
      <c r="D9139" t="s">
        <v>66882</v>
      </c>
      <c r="E9139" t="s">
        <v>66883</v>
      </c>
      <c r="F9139" t="s">
        <v>11991</v>
      </c>
      <c r="G9139" t="s">
        <v>71</v>
      </c>
      <c r="H9139">
        <v>53703</v>
      </c>
      <c r="I9139" t="s">
        <v>30</v>
      </c>
      <c r="J9139" t="s">
        <v>162</v>
      </c>
      <c r="K9139" t="s">
        <v>33433</v>
      </c>
      <c r="N9139" t="s">
        <v>66884</v>
      </c>
      <c r="O9139" t="s">
        <v>66885</v>
      </c>
      <c r="Q9139">
        <v>0</v>
      </c>
      <c r="R9139">
        <v>72</v>
      </c>
      <c r="S9139">
        <v>0</v>
      </c>
      <c r="T9139" t="s">
        <v>66886</v>
      </c>
    </row>
    <row r="9140" spans="1:20" customFormat="1" ht="15" x14ac:dyDescent="0.25">
      <c r="A9140" t="s">
        <v>24</v>
      </c>
      <c r="B9140" t="s">
        <v>4400</v>
      </c>
      <c r="C9140" t="str">
        <f>"A0098578"</f>
        <v>A0098578</v>
      </c>
      <c r="D9140" t="s">
        <v>66887</v>
      </c>
      <c r="E9140" t="s">
        <v>66888</v>
      </c>
      <c r="F9140" t="s">
        <v>6404</v>
      </c>
      <c r="G9140" t="s">
        <v>161</v>
      </c>
      <c r="H9140">
        <v>55414</v>
      </c>
      <c r="I9140" t="s">
        <v>30</v>
      </c>
      <c r="J9140" t="s">
        <v>162</v>
      </c>
      <c r="K9140" t="s">
        <v>33433</v>
      </c>
      <c r="N9140" t="s">
        <v>66880</v>
      </c>
      <c r="O9140" t="s">
        <v>66889</v>
      </c>
      <c r="Q9140">
        <v>0</v>
      </c>
      <c r="R9140">
        <v>304</v>
      </c>
      <c r="S9140">
        <v>0</v>
      </c>
      <c r="T9140" t="s">
        <v>66890</v>
      </c>
    </row>
    <row r="9141" spans="1:20" customFormat="1" ht="15" x14ac:dyDescent="0.25">
      <c r="A9141" t="s">
        <v>24</v>
      </c>
      <c r="B9141" t="s">
        <v>4400</v>
      </c>
      <c r="C9141" t="str">
        <f>"A0094524"</f>
        <v>A0094524</v>
      </c>
      <c r="D9141" t="s">
        <v>66891</v>
      </c>
      <c r="E9141" t="s">
        <v>66892</v>
      </c>
      <c r="F9141" t="s">
        <v>61372</v>
      </c>
      <c r="G9141" t="s">
        <v>1369</v>
      </c>
      <c r="H9141">
        <v>38655</v>
      </c>
      <c r="I9141" t="s">
        <v>30</v>
      </c>
      <c r="J9141" t="s">
        <v>162</v>
      </c>
      <c r="K9141" t="s">
        <v>33433</v>
      </c>
      <c r="N9141" t="s">
        <v>66893</v>
      </c>
      <c r="Q9141">
        <v>0</v>
      </c>
      <c r="R9141">
        <v>136</v>
      </c>
      <c r="S9141">
        <v>0</v>
      </c>
      <c r="T9141" t="s">
        <v>66894</v>
      </c>
    </row>
    <row r="9142" spans="1:20" customFormat="1" ht="15" x14ac:dyDescent="0.25">
      <c r="A9142" t="s">
        <v>24</v>
      </c>
      <c r="B9142" t="s">
        <v>34409</v>
      </c>
      <c r="C9142" t="str">
        <f>"A0099721"</f>
        <v>A0099721</v>
      </c>
      <c r="D9142" t="s">
        <v>34410</v>
      </c>
      <c r="E9142" t="s">
        <v>34411</v>
      </c>
      <c r="F9142" t="s">
        <v>34412</v>
      </c>
      <c r="G9142" t="s">
        <v>110</v>
      </c>
      <c r="H9142">
        <v>92660</v>
      </c>
      <c r="I9142" t="s">
        <v>30</v>
      </c>
      <c r="J9142" t="s">
        <v>3881</v>
      </c>
      <c r="K9142" t="s">
        <v>163</v>
      </c>
      <c r="N9142" t="s">
        <v>34413</v>
      </c>
      <c r="Q9142">
        <v>0</v>
      </c>
      <c r="R9142">
        <v>863</v>
      </c>
      <c r="S9142">
        <v>0</v>
      </c>
      <c r="T9142" t="s">
        <v>34414</v>
      </c>
    </row>
    <row r="9143" spans="1:20" customFormat="1" ht="15" x14ac:dyDescent="0.25">
      <c r="A9143" t="s">
        <v>24</v>
      </c>
      <c r="B9143" t="s">
        <v>146</v>
      </c>
      <c r="C9143" t="str">
        <f>"645A8"</f>
        <v>645A8</v>
      </c>
      <c r="D9143" t="s">
        <v>34415</v>
      </c>
      <c r="E9143" t="s">
        <v>34416</v>
      </c>
      <c r="F9143" t="s">
        <v>1223</v>
      </c>
      <c r="G9143" t="s">
        <v>846</v>
      </c>
      <c r="H9143">
        <v>30071</v>
      </c>
      <c r="I9143" t="s">
        <v>30</v>
      </c>
      <c r="J9143" t="s">
        <v>145</v>
      </c>
      <c r="K9143" t="s">
        <v>146</v>
      </c>
      <c r="N9143" t="s">
        <v>34417</v>
      </c>
      <c r="Q9143">
        <v>0</v>
      </c>
      <c r="R9143">
        <v>95</v>
      </c>
      <c r="S9143">
        <v>0</v>
      </c>
      <c r="T9143" t="s">
        <v>34418</v>
      </c>
    </row>
    <row r="9144" spans="1:20" customFormat="1" ht="15" x14ac:dyDescent="0.25">
      <c r="A9144" t="s">
        <v>24</v>
      </c>
      <c r="B9144" t="s">
        <v>146</v>
      </c>
      <c r="C9144" t="str">
        <f>"645A4"</f>
        <v>645A4</v>
      </c>
      <c r="D9144" t="s">
        <v>34419</v>
      </c>
      <c r="E9144" t="s">
        <v>34420</v>
      </c>
      <c r="F9144" t="s">
        <v>16350</v>
      </c>
      <c r="G9144" t="s">
        <v>29</v>
      </c>
      <c r="H9144">
        <v>23060</v>
      </c>
      <c r="I9144" t="s">
        <v>30</v>
      </c>
      <c r="J9144" t="s">
        <v>145</v>
      </c>
      <c r="K9144" t="s">
        <v>146</v>
      </c>
      <c r="N9144" t="s">
        <v>34421</v>
      </c>
      <c r="Q9144">
        <v>0</v>
      </c>
      <c r="R9144">
        <v>95</v>
      </c>
      <c r="S9144">
        <v>0</v>
      </c>
      <c r="T9144" t="s">
        <v>34422</v>
      </c>
    </row>
    <row r="9145" spans="1:20" customFormat="1" ht="15" x14ac:dyDescent="0.25">
      <c r="A9145" t="s">
        <v>24</v>
      </c>
      <c r="B9145" t="s">
        <v>193</v>
      </c>
      <c r="C9145" t="str">
        <f>"A0059583"</f>
        <v>A0059583</v>
      </c>
      <c r="D9145" t="s">
        <v>34423</v>
      </c>
      <c r="E9145" t="s">
        <v>34424</v>
      </c>
      <c r="F9145" t="s">
        <v>12359</v>
      </c>
      <c r="G9145" t="s">
        <v>289</v>
      </c>
      <c r="H9145">
        <v>60440</v>
      </c>
      <c r="I9145" t="s">
        <v>30</v>
      </c>
      <c r="J9145" t="s">
        <v>31</v>
      </c>
      <c r="K9145" t="s">
        <v>2524</v>
      </c>
      <c r="N9145" t="s">
        <v>12360</v>
      </c>
      <c r="Q9145">
        <v>0</v>
      </c>
      <c r="R9145">
        <v>99</v>
      </c>
      <c r="S9145">
        <v>0</v>
      </c>
      <c r="T9145" t="s">
        <v>34425</v>
      </c>
    </row>
    <row r="9146" spans="1:20" customFormat="1" ht="15" x14ac:dyDescent="0.25">
      <c r="A9146" t="s">
        <v>24</v>
      </c>
      <c r="B9146" t="s">
        <v>146</v>
      </c>
      <c r="C9146" t="str">
        <f>"645AE"</f>
        <v>645AE</v>
      </c>
      <c r="D9146" t="s">
        <v>34426</v>
      </c>
      <c r="E9146" t="s">
        <v>34427</v>
      </c>
      <c r="F9146" t="s">
        <v>34428</v>
      </c>
      <c r="G9146" t="s">
        <v>289</v>
      </c>
      <c r="H9146">
        <v>60118</v>
      </c>
      <c r="I9146" t="s">
        <v>30</v>
      </c>
      <c r="J9146" t="s">
        <v>145</v>
      </c>
      <c r="K9146" t="s">
        <v>146</v>
      </c>
      <c r="N9146" t="s">
        <v>34429</v>
      </c>
      <c r="O9146" t="s">
        <v>34430</v>
      </c>
      <c r="Q9146">
        <v>0</v>
      </c>
      <c r="R9146">
        <v>143</v>
      </c>
      <c r="S9146">
        <v>0</v>
      </c>
      <c r="T9146" t="s">
        <v>34431</v>
      </c>
    </row>
    <row r="9147" spans="1:20" customFormat="1" ht="15" x14ac:dyDescent="0.25">
      <c r="A9147" t="s">
        <v>24</v>
      </c>
      <c r="B9147" t="s">
        <v>146</v>
      </c>
      <c r="C9147" t="str">
        <f>"645A1"</f>
        <v>645A1</v>
      </c>
      <c r="D9147" t="s">
        <v>34432</v>
      </c>
      <c r="E9147" t="s">
        <v>34433</v>
      </c>
      <c r="F9147" t="s">
        <v>34434</v>
      </c>
      <c r="G9147" t="s">
        <v>29</v>
      </c>
      <c r="H9147">
        <v>23693</v>
      </c>
      <c r="I9147" t="s">
        <v>30</v>
      </c>
      <c r="J9147" t="s">
        <v>145</v>
      </c>
      <c r="K9147" t="s">
        <v>146</v>
      </c>
      <c r="N9147" t="s">
        <v>34435</v>
      </c>
      <c r="O9147" t="s">
        <v>34436</v>
      </c>
      <c r="Q9147">
        <v>0</v>
      </c>
      <c r="R9147">
        <v>95</v>
      </c>
      <c r="S9147">
        <v>0</v>
      </c>
      <c r="T9147" t="s">
        <v>34437</v>
      </c>
    </row>
    <row r="9148" spans="1:20" customFormat="1" ht="15" x14ac:dyDescent="0.25">
      <c r="A9148" t="s">
        <v>24</v>
      </c>
      <c r="B9148" t="s">
        <v>193</v>
      </c>
      <c r="C9148" t="str">
        <f>"645AX"</f>
        <v>645AX</v>
      </c>
      <c r="D9148" t="s">
        <v>34438</v>
      </c>
      <c r="E9148" t="s">
        <v>34439</v>
      </c>
      <c r="F9148" t="s">
        <v>3490</v>
      </c>
      <c r="G9148" t="s">
        <v>899</v>
      </c>
      <c r="H9148">
        <v>1923</v>
      </c>
      <c r="I9148" t="s">
        <v>30</v>
      </c>
      <c r="J9148" t="s">
        <v>31</v>
      </c>
      <c r="K9148" t="s">
        <v>3155</v>
      </c>
      <c r="N9148" t="s">
        <v>34440</v>
      </c>
      <c r="O9148" t="s">
        <v>34441</v>
      </c>
      <c r="Q9148">
        <v>0</v>
      </c>
      <c r="R9148">
        <v>127</v>
      </c>
      <c r="S9148">
        <v>0</v>
      </c>
      <c r="T9148" t="s">
        <v>34442</v>
      </c>
    </row>
    <row r="9149" spans="1:20" customFormat="1" ht="15" x14ac:dyDescent="0.25">
      <c r="A9149" t="s">
        <v>24</v>
      </c>
      <c r="B9149" t="s">
        <v>146</v>
      </c>
      <c r="C9149" t="str">
        <f>"645A9"</f>
        <v>645A9</v>
      </c>
      <c r="D9149" t="s">
        <v>34443</v>
      </c>
      <c r="E9149" t="s">
        <v>34444</v>
      </c>
      <c r="F9149" t="s">
        <v>845</v>
      </c>
      <c r="G9149" t="s">
        <v>846</v>
      </c>
      <c r="H9149">
        <v>30345</v>
      </c>
      <c r="I9149" t="s">
        <v>30</v>
      </c>
      <c r="J9149" t="s">
        <v>145</v>
      </c>
      <c r="K9149" t="s">
        <v>146</v>
      </c>
      <c r="N9149" t="s">
        <v>34445</v>
      </c>
      <c r="Q9149">
        <v>0</v>
      </c>
      <c r="R9149">
        <v>98</v>
      </c>
      <c r="S9149">
        <v>0</v>
      </c>
      <c r="T9149" t="s">
        <v>34446</v>
      </c>
    </row>
    <row r="9150" spans="1:20" customFormat="1" ht="15" x14ac:dyDescent="0.25">
      <c r="A9150" t="s">
        <v>24</v>
      </c>
      <c r="B9150" t="s">
        <v>4400</v>
      </c>
      <c r="C9150" t="str">
        <f>"A0060522"</f>
        <v>A0060522</v>
      </c>
      <c r="D9150" t="s">
        <v>66895</v>
      </c>
      <c r="E9150" t="s">
        <v>66896</v>
      </c>
      <c r="F9150" t="s">
        <v>5620</v>
      </c>
      <c r="G9150" t="s">
        <v>29</v>
      </c>
      <c r="H9150">
        <v>23220</v>
      </c>
      <c r="I9150" t="s">
        <v>30</v>
      </c>
      <c r="J9150" t="s">
        <v>162</v>
      </c>
      <c r="K9150" t="s">
        <v>33433</v>
      </c>
      <c r="N9150" t="s">
        <v>66835</v>
      </c>
      <c r="O9150" t="s">
        <v>66897</v>
      </c>
      <c r="Q9150">
        <v>0</v>
      </c>
      <c r="R9150">
        <v>205</v>
      </c>
      <c r="S9150">
        <v>0</v>
      </c>
      <c r="T9150" t="s">
        <v>66898</v>
      </c>
    </row>
    <row r="9151" spans="1:20" customFormat="1" ht="15" x14ac:dyDescent="0.25">
      <c r="A9151" t="s">
        <v>24</v>
      </c>
      <c r="B9151" t="s">
        <v>13267</v>
      </c>
      <c r="C9151" t="str">
        <f>"A0180154"</f>
        <v>A0180154</v>
      </c>
      <c r="D9151" t="s">
        <v>34451</v>
      </c>
      <c r="E9151" t="s">
        <v>34452</v>
      </c>
      <c r="F9151" t="s">
        <v>34453</v>
      </c>
      <c r="G9151" t="s">
        <v>197</v>
      </c>
      <c r="H9151">
        <v>86401</v>
      </c>
      <c r="I9151" t="s">
        <v>30</v>
      </c>
      <c r="J9151" t="s">
        <v>145</v>
      </c>
      <c r="K9151" t="s">
        <v>1185</v>
      </c>
      <c r="N9151" t="s">
        <v>34454</v>
      </c>
      <c r="Q9151">
        <v>0</v>
      </c>
      <c r="R9151">
        <v>42</v>
      </c>
      <c r="S9151">
        <v>0</v>
      </c>
      <c r="T9151" t="s">
        <v>34455</v>
      </c>
    </row>
    <row r="9152" spans="1:20" customFormat="1" ht="15" x14ac:dyDescent="0.25">
      <c r="A9152" t="s">
        <v>24</v>
      </c>
      <c r="B9152" t="s">
        <v>4400</v>
      </c>
      <c r="C9152" t="str">
        <f>"A0146966"</f>
        <v>A0146966</v>
      </c>
      <c r="D9152" t="s">
        <v>66899</v>
      </c>
      <c r="E9152" t="s">
        <v>66900</v>
      </c>
      <c r="F9152" t="s">
        <v>65592</v>
      </c>
      <c r="G9152" t="s">
        <v>103</v>
      </c>
      <c r="H9152">
        <v>16801</v>
      </c>
      <c r="I9152" t="s">
        <v>30</v>
      </c>
      <c r="J9152" t="s">
        <v>162</v>
      </c>
      <c r="K9152" t="s">
        <v>33433</v>
      </c>
      <c r="N9152" t="s">
        <v>66901</v>
      </c>
      <c r="O9152" t="s">
        <v>66902</v>
      </c>
      <c r="Q9152">
        <v>0</v>
      </c>
      <c r="R9152">
        <v>149</v>
      </c>
      <c r="S9152">
        <v>0</v>
      </c>
      <c r="T9152" t="s">
        <v>66903</v>
      </c>
    </row>
    <row r="9153" spans="1:25" customFormat="1" ht="15" x14ac:dyDescent="0.25">
      <c r="A9153" t="s">
        <v>24</v>
      </c>
      <c r="B9153" t="s">
        <v>4400</v>
      </c>
      <c r="C9153" t="str">
        <f>"A0056788"</f>
        <v>A0056788</v>
      </c>
      <c r="D9153" t="s">
        <v>66904</v>
      </c>
      <c r="E9153" t="s">
        <v>66905</v>
      </c>
      <c r="F9153" t="s">
        <v>66906</v>
      </c>
      <c r="G9153" t="s">
        <v>615</v>
      </c>
      <c r="H9153">
        <v>6268</v>
      </c>
      <c r="I9153" t="s">
        <v>30</v>
      </c>
      <c r="J9153" t="s">
        <v>162</v>
      </c>
      <c r="K9153" t="s">
        <v>33433</v>
      </c>
      <c r="N9153" t="s">
        <v>66907</v>
      </c>
      <c r="O9153" t="s">
        <v>66908</v>
      </c>
      <c r="Q9153">
        <v>0</v>
      </c>
      <c r="R9153">
        <v>98</v>
      </c>
      <c r="S9153">
        <v>0</v>
      </c>
      <c r="T9153" t="s">
        <v>66909</v>
      </c>
    </row>
    <row r="9154" spans="1:25" customFormat="1" ht="15" x14ac:dyDescent="0.25">
      <c r="A9154" t="s">
        <v>24</v>
      </c>
      <c r="B9154" t="s">
        <v>34465</v>
      </c>
      <c r="C9154" t="str">
        <f>"A0051581"</f>
        <v>A0051581</v>
      </c>
      <c r="D9154" t="s">
        <v>34466</v>
      </c>
      <c r="E9154" t="s">
        <v>34467</v>
      </c>
      <c r="F9154" t="s">
        <v>34468</v>
      </c>
      <c r="G9154" t="s">
        <v>103</v>
      </c>
      <c r="H9154">
        <v>19035</v>
      </c>
      <c r="I9154" t="s">
        <v>30</v>
      </c>
      <c r="J9154" t="s">
        <v>178</v>
      </c>
      <c r="K9154" t="s">
        <v>179</v>
      </c>
      <c r="N9154" t="s">
        <v>34469</v>
      </c>
      <c r="Q9154">
        <v>0</v>
      </c>
      <c r="R9154">
        <v>27</v>
      </c>
      <c r="S9154">
        <v>0</v>
      </c>
      <c r="T9154" t="s">
        <v>34470</v>
      </c>
    </row>
    <row r="9155" spans="1:25" x14ac:dyDescent="0.25">
      <c r="A9155" s="5" t="s">
        <v>24</v>
      </c>
      <c r="B9155" s="5" t="s">
        <v>4400</v>
      </c>
      <c r="C9155" s="5" t="str">
        <f>"A0084378"</f>
        <v>A0084378</v>
      </c>
      <c r="D9155" s="5" t="s">
        <v>66910</v>
      </c>
      <c r="E9155" s="5" t="s">
        <v>66911</v>
      </c>
      <c r="F9155" s="5" t="s">
        <v>1592</v>
      </c>
      <c r="G9155" s="5" t="s">
        <v>197</v>
      </c>
      <c r="H9155" s="5">
        <v>85281</v>
      </c>
      <c r="I9155" s="5" t="s">
        <v>30</v>
      </c>
      <c r="J9155" s="5" t="s">
        <v>162</v>
      </c>
      <c r="K9155" s="5" t="s">
        <v>33433</v>
      </c>
      <c r="L9155" s="5"/>
      <c r="M9155" s="5"/>
      <c r="N9155" s="5" t="s">
        <v>66912</v>
      </c>
      <c r="O9155" s="5"/>
      <c r="P9155" s="5"/>
      <c r="Q9155" s="5">
        <v>0</v>
      </c>
      <c r="R9155" s="5">
        <v>140</v>
      </c>
      <c r="S9155" s="5">
        <v>0</v>
      </c>
      <c r="T9155" s="5" t="s">
        <v>66913</v>
      </c>
      <c r="U9155" s="5"/>
      <c r="V9155" s="5"/>
      <c r="W9155" s="5"/>
      <c r="X9155" s="5"/>
      <c r="Y9155" s="5"/>
    </row>
    <row r="9156" spans="1:25" customFormat="1" ht="15" x14ac:dyDescent="0.25">
      <c r="A9156" t="s">
        <v>24</v>
      </c>
      <c r="B9156" t="s">
        <v>5104</v>
      </c>
      <c r="C9156" t="str">
        <f>"A0092214"</f>
        <v>A0092214</v>
      </c>
      <c r="D9156" t="s">
        <v>34476</v>
      </c>
      <c r="E9156" t="s">
        <v>34477</v>
      </c>
      <c r="F9156" t="s">
        <v>3880</v>
      </c>
      <c r="G9156" t="s">
        <v>99</v>
      </c>
      <c r="H9156">
        <v>10001</v>
      </c>
      <c r="I9156" t="s">
        <v>30</v>
      </c>
      <c r="J9156" t="s">
        <v>31</v>
      </c>
      <c r="K9156" t="s">
        <v>32</v>
      </c>
      <c r="N9156" t="s">
        <v>34478</v>
      </c>
      <c r="O9156" t="s">
        <v>34479</v>
      </c>
      <c r="Q9156">
        <v>0</v>
      </c>
      <c r="R9156">
        <v>239</v>
      </c>
      <c r="S9156">
        <v>0</v>
      </c>
      <c r="T9156" t="s">
        <v>34480</v>
      </c>
    </row>
    <row r="9157" spans="1:25" customFormat="1" ht="15" x14ac:dyDescent="0.25">
      <c r="A9157" t="s">
        <v>24</v>
      </c>
      <c r="B9157" t="s">
        <v>4400</v>
      </c>
      <c r="C9157" t="str">
        <f>"A0165075"</f>
        <v>A0165075</v>
      </c>
      <c r="D9157" t="s">
        <v>66914</v>
      </c>
      <c r="E9157" t="s">
        <v>66915</v>
      </c>
      <c r="F9157" t="s">
        <v>796</v>
      </c>
      <c r="G9157" t="s">
        <v>197</v>
      </c>
      <c r="H9157">
        <v>85719</v>
      </c>
      <c r="I9157" t="s">
        <v>30</v>
      </c>
      <c r="J9157" t="s">
        <v>162</v>
      </c>
      <c r="K9157" t="s">
        <v>33433</v>
      </c>
      <c r="N9157" t="s">
        <v>66916</v>
      </c>
      <c r="Q9157">
        <v>0</v>
      </c>
      <c r="R9157">
        <v>164</v>
      </c>
      <c r="S9157">
        <v>0</v>
      </c>
      <c r="T9157" t="s">
        <v>192</v>
      </c>
    </row>
    <row r="9158" spans="1:25" customFormat="1" ht="15" x14ac:dyDescent="0.25">
      <c r="A9158" t="s">
        <v>24</v>
      </c>
      <c r="B9158" t="s">
        <v>3367</v>
      </c>
      <c r="C9158" t="str">
        <f>"A0056503"</f>
        <v>A0056503</v>
      </c>
      <c r="D9158" t="s">
        <v>66933</v>
      </c>
      <c r="E9158" t="s">
        <v>66934</v>
      </c>
      <c r="F9158" t="s">
        <v>54959</v>
      </c>
      <c r="G9158" t="s">
        <v>71</v>
      </c>
      <c r="H9158">
        <v>53147</v>
      </c>
      <c r="I9158" t="s">
        <v>30</v>
      </c>
      <c r="J9158" t="s">
        <v>162</v>
      </c>
      <c r="K9158" t="s">
        <v>163</v>
      </c>
      <c r="N9158" t="s">
        <v>66935</v>
      </c>
      <c r="O9158" t="s">
        <v>66936</v>
      </c>
      <c r="P9158" t="s">
        <v>3998</v>
      </c>
      <c r="Q9158">
        <v>2</v>
      </c>
      <c r="R9158">
        <v>355</v>
      </c>
      <c r="S9158">
        <v>0</v>
      </c>
      <c r="T9158" t="s">
        <v>66937</v>
      </c>
    </row>
    <row r="9159" spans="1:25" customFormat="1" ht="15" x14ac:dyDescent="0.25">
      <c r="A9159" t="s">
        <v>24</v>
      </c>
      <c r="B9159" t="s">
        <v>1528</v>
      </c>
      <c r="C9159" t="str">
        <f>"A0180054"</f>
        <v>A0180054</v>
      </c>
      <c r="D9159" t="s">
        <v>34490</v>
      </c>
      <c r="E9159" t="s">
        <v>34491</v>
      </c>
      <c r="F9159" t="s">
        <v>2900</v>
      </c>
      <c r="G9159" t="s">
        <v>76</v>
      </c>
      <c r="H9159">
        <v>98121</v>
      </c>
      <c r="I9159" t="s">
        <v>30</v>
      </c>
      <c r="J9159" t="s">
        <v>2272</v>
      </c>
      <c r="K9159" t="s">
        <v>163</v>
      </c>
      <c r="N9159" t="s">
        <v>34492</v>
      </c>
      <c r="O9159" t="s">
        <v>34493</v>
      </c>
      <c r="Q9159">
        <v>0</v>
      </c>
      <c r="R9159">
        <v>174</v>
      </c>
      <c r="S9159">
        <v>0</v>
      </c>
      <c r="T9159" t="s">
        <v>34494</v>
      </c>
    </row>
    <row r="9160" spans="1:25" customFormat="1" ht="15" x14ac:dyDescent="0.25">
      <c r="A9160" t="s">
        <v>35</v>
      </c>
      <c r="B9160" t="s">
        <v>34288</v>
      </c>
      <c r="C9160" t="str">
        <f>"A0133757"</f>
        <v>A0133757</v>
      </c>
      <c r="D9160" t="s">
        <v>34495</v>
      </c>
      <c r="E9160" t="s">
        <v>34496</v>
      </c>
      <c r="F9160" t="s">
        <v>13792</v>
      </c>
      <c r="G9160" t="s">
        <v>52</v>
      </c>
      <c r="H9160">
        <v>76011</v>
      </c>
      <c r="I9160" t="s">
        <v>30</v>
      </c>
      <c r="J9160" t="s">
        <v>41</v>
      </c>
      <c r="K9160" t="s">
        <v>229</v>
      </c>
      <c r="Q9160">
        <v>0</v>
      </c>
      <c r="R9160">
        <v>118</v>
      </c>
      <c r="S9160">
        <v>118</v>
      </c>
      <c r="T9160" t="s">
        <v>34497</v>
      </c>
    </row>
    <row r="9161" spans="1:25" customFormat="1" ht="15" x14ac:dyDescent="0.25">
      <c r="A9161" t="s">
        <v>24</v>
      </c>
      <c r="B9161" t="s">
        <v>2011</v>
      </c>
      <c r="C9161" t="str">
        <f>"A0148599"</f>
        <v>A0148599</v>
      </c>
      <c r="D9161" t="s">
        <v>66950</v>
      </c>
      <c r="E9161" t="s">
        <v>66951</v>
      </c>
      <c r="F9161" t="s">
        <v>748</v>
      </c>
      <c r="G9161" t="s">
        <v>110</v>
      </c>
      <c r="H9161">
        <v>94128</v>
      </c>
      <c r="I9161" t="s">
        <v>30</v>
      </c>
      <c r="J9161" t="s">
        <v>162</v>
      </c>
      <c r="K9161" t="s">
        <v>66947</v>
      </c>
      <c r="N9161" t="s">
        <v>66952</v>
      </c>
      <c r="Q9161">
        <v>0</v>
      </c>
      <c r="R9161">
        <v>351</v>
      </c>
      <c r="S9161">
        <v>0</v>
      </c>
      <c r="T9161" t="s">
        <v>66953</v>
      </c>
    </row>
    <row r="9162" spans="1:25" customFormat="1" ht="15" x14ac:dyDescent="0.25">
      <c r="A9162" t="s">
        <v>24</v>
      </c>
      <c r="B9162" t="s">
        <v>2011</v>
      </c>
      <c r="C9162" t="str">
        <f>"HY09089"</f>
        <v>HY09089</v>
      </c>
      <c r="D9162" t="s">
        <v>66954</v>
      </c>
      <c r="E9162" t="s">
        <v>66955</v>
      </c>
      <c r="F9162" t="s">
        <v>845</v>
      </c>
      <c r="G9162" t="s">
        <v>846</v>
      </c>
      <c r="H9162">
        <v>30305</v>
      </c>
      <c r="I9162" t="s">
        <v>30</v>
      </c>
      <c r="J9162" t="s">
        <v>162</v>
      </c>
      <c r="K9162" t="s">
        <v>66947</v>
      </c>
      <c r="N9162" t="s">
        <v>66956</v>
      </c>
      <c r="O9162" t="s">
        <v>66957</v>
      </c>
      <c r="Q9162">
        <v>0</v>
      </c>
      <c r="R9162">
        <v>438</v>
      </c>
      <c r="S9162">
        <v>0</v>
      </c>
      <c r="T9162" t="s">
        <v>66958</v>
      </c>
    </row>
    <row r="9163" spans="1:25" customFormat="1" ht="15" x14ac:dyDescent="0.25">
      <c r="A9163" t="s">
        <v>24</v>
      </c>
      <c r="B9163" t="s">
        <v>2011</v>
      </c>
      <c r="C9163" t="str">
        <f>"HY09785"</f>
        <v>HY09785</v>
      </c>
      <c r="D9163" t="s">
        <v>66959</v>
      </c>
      <c r="E9163" t="s">
        <v>66960</v>
      </c>
      <c r="F9163" t="s">
        <v>972</v>
      </c>
      <c r="G9163" t="s">
        <v>190</v>
      </c>
      <c r="H9163">
        <v>80202</v>
      </c>
      <c r="I9163" t="s">
        <v>30</v>
      </c>
      <c r="J9163" t="s">
        <v>162</v>
      </c>
      <c r="K9163" t="s">
        <v>66947</v>
      </c>
      <c r="N9163" t="s">
        <v>66961</v>
      </c>
      <c r="O9163" t="s">
        <v>66962</v>
      </c>
      <c r="Q9163">
        <v>0</v>
      </c>
      <c r="R9163">
        <v>513</v>
      </c>
      <c r="S9163">
        <v>0</v>
      </c>
      <c r="T9163" t="s">
        <v>66963</v>
      </c>
    </row>
    <row r="9164" spans="1:25" customFormat="1" ht="15" x14ac:dyDescent="0.25">
      <c r="A9164" t="s">
        <v>24</v>
      </c>
      <c r="B9164" t="s">
        <v>2011</v>
      </c>
      <c r="C9164" t="str">
        <f>"A0074976"</f>
        <v>A0074976</v>
      </c>
      <c r="D9164" t="s">
        <v>66964</v>
      </c>
      <c r="E9164" t="s">
        <v>66965</v>
      </c>
      <c r="F9164" t="s">
        <v>66966</v>
      </c>
      <c r="G9164" t="s">
        <v>52</v>
      </c>
      <c r="H9164">
        <v>75261</v>
      </c>
      <c r="I9164" t="s">
        <v>30</v>
      </c>
      <c r="J9164" t="s">
        <v>162</v>
      </c>
      <c r="K9164" t="s">
        <v>66947</v>
      </c>
      <c r="N9164" t="s">
        <v>66967</v>
      </c>
      <c r="O9164" t="s">
        <v>66968</v>
      </c>
      <c r="Q9164">
        <v>0</v>
      </c>
      <c r="R9164">
        <v>298</v>
      </c>
      <c r="S9164">
        <v>0</v>
      </c>
      <c r="T9164" t="s">
        <v>66969</v>
      </c>
    </row>
    <row r="9165" spans="1:25" x14ac:dyDescent="0.25">
      <c r="A9165" s="5" t="s">
        <v>24</v>
      </c>
      <c r="B9165" s="5" t="s">
        <v>2011</v>
      </c>
      <c r="C9165" s="5" t="str">
        <f>"HY09587"</f>
        <v>HY09587</v>
      </c>
      <c r="D9165" s="5" t="s">
        <v>66970</v>
      </c>
      <c r="E9165" s="5" t="s">
        <v>66971</v>
      </c>
      <c r="F9165" s="5" t="s">
        <v>66972</v>
      </c>
      <c r="G9165" s="5" t="s">
        <v>4815</v>
      </c>
      <c r="H9165" s="5">
        <v>96756</v>
      </c>
      <c r="I9165" s="5" t="s">
        <v>30</v>
      </c>
      <c r="J9165" s="5" t="s">
        <v>162</v>
      </c>
      <c r="K9165" s="5" t="s">
        <v>66947</v>
      </c>
      <c r="L9165" s="5"/>
      <c r="M9165" s="5"/>
      <c r="N9165" s="5" t="s">
        <v>66973</v>
      </c>
      <c r="O9165" s="5" t="s">
        <v>66974</v>
      </c>
      <c r="P9165" s="5" t="s">
        <v>3998</v>
      </c>
      <c r="Q9165" s="5">
        <v>0</v>
      </c>
      <c r="R9165" s="5">
        <v>540</v>
      </c>
      <c r="S9165" s="5">
        <v>0</v>
      </c>
      <c r="T9165" s="5" t="s">
        <v>66975</v>
      </c>
      <c r="U9165" s="5"/>
      <c r="V9165" s="5"/>
      <c r="W9165" s="5"/>
      <c r="X9165" s="5"/>
      <c r="Y9165" s="5"/>
    </row>
    <row r="9166" spans="1:25" customFormat="1" ht="15" x14ac:dyDescent="0.25">
      <c r="A9166" t="s">
        <v>24</v>
      </c>
      <c r="B9166" t="s">
        <v>13679</v>
      </c>
      <c r="C9166" t="str">
        <f>"A0146886"</f>
        <v>A0146886</v>
      </c>
      <c r="D9166" t="s">
        <v>66976</v>
      </c>
      <c r="E9166" t="s">
        <v>66977</v>
      </c>
      <c r="F9166" t="s">
        <v>2971</v>
      </c>
      <c r="G9166" t="s">
        <v>880</v>
      </c>
      <c r="H9166">
        <v>37203</v>
      </c>
      <c r="I9166" t="s">
        <v>30</v>
      </c>
      <c r="J9166" t="s">
        <v>162</v>
      </c>
      <c r="K9166" t="s">
        <v>66947</v>
      </c>
      <c r="N9166" t="s">
        <v>66978</v>
      </c>
      <c r="Q9166">
        <v>0</v>
      </c>
      <c r="R9166">
        <v>591</v>
      </c>
      <c r="S9166">
        <v>0</v>
      </c>
      <c r="T9166" t="s">
        <v>66979</v>
      </c>
    </row>
    <row r="9167" spans="1:25" customFormat="1" ht="15" x14ac:dyDescent="0.25">
      <c r="A9167" t="s">
        <v>24</v>
      </c>
      <c r="B9167" t="s">
        <v>2011</v>
      </c>
      <c r="C9167" t="str">
        <f>"A0083034"</f>
        <v>A0083034</v>
      </c>
      <c r="D9167" t="s">
        <v>66985</v>
      </c>
      <c r="E9167" t="s">
        <v>66986</v>
      </c>
      <c r="F9167" t="s">
        <v>356</v>
      </c>
      <c r="G9167" t="s">
        <v>52</v>
      </c>
      <c r="H9167">
        <v>78205</v>
      </c>
      <c r="I9167" t="s">
        <v>30</v>
      </c>
      <c r="J9167" t="s">
        <v>162</v>
      </c>
      <c r="K9167" t="s">
        <v>66947</v>
      </c>
      <c r="Q9167">
        <v>0</v>
      </c>
      <c r="R9167">
        <v>947</v>
      </c>
      <c r="S9167">
        <v>0</v>
      </c>
      <c r="T9167" t="s">
        <v>66987</v>
      </c>
    </row>
    <row r="9168" spans="1:25" customFormat="1" ht="15" x14ac:dyDescent="0.25">
      <c r="A9168" t="s">
        <v>24</v>
      </c>
      <c r="B9168" t="s">
        <v>2011</v>
      </c>
      <c r="C9168" t="str">
        <f>"HY09128"</f>
        <v>HY09128</v>
      </c>
      <c r="D9168" t="s">
        <v>66988</v>
      </c>
      <c r="E9168" t="s">
        <v>66989</v>
      </c>
      <c r="F9168" t="s">
        <v>748</v>
      </c>
      <c r="G9168" t="s">
        <v>110</v>
      </c>
      <c r="H9168">
        <v>94108</v>
      </c>
      <c r="I9168" t="s">
        <v>30</v>
      </c>
      <c r="J9168" t="s">
        <v>162</v>
      </c>
      <c r="K9168" t="s">
        <v>66947</v>
      </c>
      <c r="N9168" t="s">
        <v>66990</v>
      </c>
      <c r="O9168" t="s">
        <v>66991</v>
      </c>
      <c r="P9168" t="s">
        <v>6426</v>
      </c>
      <c r="Q9168">
        <v>0</v>
      </c>
      <c r="R9168">
        <v>685</v>
      </c>
      <c r="S9168">
        <v>0</v>
      </c>
      <c r="T9168" t="s">
        <v>66992</v>
      </c>
    </row>
    <row r="9169" spans="1:25" customFormat="1" ht="15" x14ac:dyDescent="0.25">
      <c r="A9169" t="s">
        <v>24</v>
      </c>
      <c r="B9169" t="s">
        <v>11587</v>
      </c>
      <c r="C9169" t="str">
        <f>"A0097756"</f>
        <v>A0097756</v>
      </c>
      <c r="D9169" t="s">
        <v>34535</v>
      </c>
      <c r="E9169" t="s">
        <v>34536</v>
      </c>
      <c r="F9169" t="s">
        <v>2352</v>
      </c>
      <c r="G9169" t="s">
        <v>58</v>
      </c>
      <c r="H9169">
        <v>29501</v>
      </c>
      <c r="I9169" t="s">
        <v>30</v>
      </c>
      <c r="J9169" t="s">
        <v>31</v>
      </c>
      <c r="K9169" t="s">
        <v>32</v>
      </c>
      <c r="N9169" t="s">
        <v>34537</v>
      </c>
      <c r="Q9169">
        <v>0</v>
      </c>
      <c r="R9169">
        <v>92</v>
      </c>
      <c r="S9169">
        <v>0</v>
      </c>
      <c r="T9169" t="s">
        <v>34538</v>
      </c>
    </row>
    <row r="9170" spans="1:25" customFormat="1" ht="15" x14ac:dyDescent="0.25">
      <c r="A9170" t="s">
        <v>24</v>
      </c>
      <c r="B9170" t="s">
        <v>11587</v>
      </c>
      <c r="C9170" t="str">
        <f>"A0096171"</f>
        <v>A0096171</v>
      </c>
      <c r="D9170" t="s">
        <v>34539</v>
      </c>
      <c r="E9170" t="s">
        <v>34540</v>
      </c>
      <c r="F9170" t="s">
        <v>34402</v>
      </c>
      <c r="G9170" t="s">
        <v>58</v>
      </c>
      <c r="H9170">
        <v>29464</v>
      </c>
      <c r="I9170" t="s">
        <v>30</v>
      </c>
      <c r="J9170" t="s">
        <v>31</v>
      </c>
      <c r="K9170" t="s">
        <v>255</v>
      </c>
      <c r="N9170" t="s">
        <v>34541</v>
      </c>
      <c r="O9170" t="s">
        <v>34542</v>
      </c>
      <c r="Q9170">
        <v>0</v>
      </c>
      <c r="R9170">
        <v>110</v>
      </c>
      <c r="S9170">
        <v>0</v>
      </c>
      <c r="T9170" t="s">
        <v>34543</v>
      </c>
    </row>
    <row r="9171" spans="1:25" customFormat="1" ht="15" x14ac:dyDescent="0.25">
      <c r="A9171" t="s">
        <v>24</v>
      </c>
      <c r="B9171" t="s">
        <v>11587</v>
      </c>
      <c r="C9171" t="str">
        <f>"A0167511"</f>
        <v>A0167511</v>
      </c>
      <c r="D9171" t="s">
        <v>34544</v>
      </c>
      <c r="E9171" t="s">
        <v>34545</v>
      </c>
      <c r="F9171" t="s">
        <v>2352</v>
      </c>
      <c r="G9171" t="s">
        <v>58</v>
      </c>
      <c r="H9171">
        <v>29501</v>
      </c>
      <c r="I9171" t="s">
        <v>30</v>
      </c>
      <c r="J9171" t="s">
        <v>31</v>
      </c>
      <c r="K9171" t="s">
        <v>296</v>
      </c>
      <c r="N9171" t="s">
        <v>34546</v>
      </c>
      <c r="O9171" t="s">
        <v>34547</v>
      </c>
      <c r="Q9171">
        <v>0</v>
      </c>
      <c r="R9171">
        <v>89</v>
      </c>
      <c r="S9171">
        <v>0</v>
      </c>
      <c r="T9171" t="s">
        <v>34548</v>
      </c>
    </row>
    <row r="9172" spans="1:25" customFormat="1" ht="15" x14ac:dyDescent="0.25">
      <c r="A9172" t="s">
        <v>24</v>
      </c>
      <c r="B9172" t="s">
        <v>2011</v>
      </c>
      <c r="C9172" t="str">
        <f>"HY09003"</f>
        <v>HY09003</v>
      </c>
      <c r="D9172" t="s">
        <v>66993</v>
      </c>
      <c r="E9172" t="s">
        <v>66994</v>
      </c>
      <c r="F9172" t="s">
        <v>2900</v>
      </c>
      <c r="G9172" t="s">
        <v>76</v>
      </c>
      <c r="H9172">
        <v>98101</v>
      </c>
      <c r="I9172" t="s">
        <v>30</v>
      </c>
      <c r="J9172" t="s">
        <v>162</v>
      </c>
      <c r="K9172" t="s">
        <v>66947</v>
      </c>
      <c r="N9172" t="s">
        <v>66995</v>
      </c>
      <c r="O9172" t="s">
        <v>66996</v>
      </c>
      <c r="Q9172">
        <v>0</v>
      </c>
      <c r="R9172">
        <v>425</v>
      </c>
      <c r="S9172">
        <v>0</v>
      </c>
      <c r="T9172" t="s">
        <v>66997</v>
      </c>
    </row>
    <row r="9173" spans="1:25" customFormat="1" ht="15" x14ac:dyDescent="0.25">
      <c r="A9173" t="s">
        <v>24</v>
      </c>
      <c r="B9173" t="s">
        <v>11587</v>
      </c>
      <c r="C9173" t="str">
        <f>"A0167508"</f>
        <v>A0167508</v>
      </c>
      <c r="D9173" t="s">
        <v>34553</v>
      </c>
      <c r="E9173" t="s">
        <v>34554</v>
      </c>
      <c r="F9173" t="s">
        <v>4909</v>
      </c>
      <c r="G9173" t="s">
        <v>58</v>
      </c>
      <c r="H9173">
        <v>29203</v>
      </c>
      <c r="I9173" t="s">
        <v>30</v>
      </c>
      <c r="J9173" t="s">
        <v>31</v>
      </c>
      <c r="K9173" t="s">
        <v>198</v>
      </c>
      <c r="N9173" t="s">
        <v>34555</v>
      </c>
      <c r="Q9173">
        <v>0</v>
      </c>
      <c r="R9173">
        <v>108</v>
      </c>
      <c r="S9173">
        <v>0</v>
      </c>
      <c r="T9173" t="s">
        <v>34556</v>
      </c>
    </row>
    <row r="9174" spans="1:25" customFormat="1" ht="15" x14ac:dyDescent="0.25">
      <c r="A9174" t="s">
        <v>24</v>
      </c>
      <c r="B9174" t="s">
        <v>2011</v>
      </c>
      <c r="C9174" t="str">
        <f>"HY09771"</f>
        <v>HY09771</v>
      </c>
      <c r="D9174" t="s">
        <v>66998</v>
      </c>
      <c r="E9174" t="s">
        <v>66999</v>
      </c>
      <c r="F9174" t="s">
        <v>3955</v>
      </c>
      <c r="G9174" t="s">
        <v>81</v>
      </c>
      <c r="H9174">
        <v>33607</v>
      </c>
      <c r="I9174" t="s">
        <v>30</v>
      </c>
      <c r="J9174" t="s">
        <v>162</v>
      </c>
      <c r="K9174" t="s">
        <v>66947</v>
      </c>
      <c r="N9174" t="s">
        <v>67000</v>
      </c>
      <c r="O9174" t="s">
        <v>67001</v>
      </c>
      <c r="P9174" t="s">
        <v>6426</v>
      </c>
      <c r="Q9174">
        <v>0</v>
      </c>
      <c r="R9174">
        <v>442</v>
      </c>
      <c r="S9174">
        <v>0</v>
      </c>
      <c r="T9174" t="s">
        <v>67002</v>
      </c>
    </row>
    <row r="9175" spans="1:25" customFormat="1" ht="15" x14ac:dyDescent="0.25">
      <c r="A9175" t="s">
        <v>24</v>
      </c>
      <c r="B9175" t="s">
        <v>2011</v>
      </c>
      <c r="C9175" t="str">
        <f>"A0062438"</f>
        <v>A0062438</v>
      </c>
      <c r="D9175" t="s">
        <v>67003</v>
      </c>
      <c r="E9175" t="s">
        <v>67004</v>
      </c>
      <c r="F9175" t="s">
        <v>58023</v>
      </c>
      <c r="G9175" t="s">
        <v>190</v>
      </c>
      <c r="H9175">
        <v>81657</v>
      </c>
      <c r="I9175" t="s">
        <v>30</v>
      </c>
      <c r="J9175" t="s">
        <v>162</v>
      </c>
      <c r="K9175" t="s">
        <v>66947</v>
      </c>
      <c r="N9175" t="s">
        <v>67005</v>
      </c>
      <c r="O9175" t="s">
        <v>67006</v>
      </c>
      <c r="Q9175">
        <v>0</v>
      </c>
      <c r="R9175">
        <v>285</v>
      </c>
      <c r="S9175">
        <v>0</v>
      </c>
      <c r="T9175" t="s">
        <v>67007</v>
      </c>
    </row>
    <row r="9176" spans="1:25" x14ac:dyDescent="0.25">
      <c r="A9176" s="5" t="s">
        <v>24</v>
      </c>
      <c r="B9176" s="5" t="s">
        <v>2011</v>
      </c>
      <c r="C9176" s="5" t="str">
        <f>"HY09767"</f>
        <v>HY09767</v>
      </c>
      <c r="D9176" s="5" t="s">
        <v>67008</v>
      </c>
      <c r="E9176" s="5" t="s">
        <v>67009</v>
      </c>
      <c r="F9176" s="5" t="s">
        <v>313</v>
      </c>
      <c r="G9176" s="5" t="s">
        <v>314</v>
      </c>
      <c r="H9176" s="5">
        <v>20001</v>
      </c>
      <c r="I9176" s="5" t="s">
        <v>30</v>
      </c>
      <c r="J9176" s="5" t="s">
        <v>162</v>
      </c>
      <c r="K9176" s="5" t="s">
        <v>66947</v>
      </c>
      <c r="L9176" s="5"/>
      <c r="M9176" s="5"/>
      <c r="N9176" s="5" t="s">
        <v>67010</v>
      </c>
      <c r="O9176" s="5" t="s">
        <v>67011</v>
      </c>
      <c r="P9176" s="5"/>
      <c r="Q9176" s="5">
        <v>0</v>
      </c>
      <c r="R9176" s="5">
        <v>888</v>
      </c>
      <c r="S9176" s="5">
        <v>0</v>
      </c>
      <c r="T9176" s="5" t="s">
        <v>67012</v>
      </c>
      <c r="U9176" s="5"/>
      <c r="V9176" s="5"/>
      <c r="W9176" s="5"/>
      <c r="X9176" s="5"/>
      <c r="Y9176" s="5"/>
    </row>
    <row r="9177" spans="1:25" customFormat="1" ht="15" x14ac:dyDescent="0.25">
      <c r="A9177" t="s">
        <v>24</v>
      </c>
      <c r="B9177" t="s">
        <v>2812</v>
      </c>
      <c r="C9177" t="str">
        <f>"337A2"</f>
        <v>337A2</v>
      </c>
      <c r="D9177" t="s">
        <v>67066</v>
      </c>
      <c r="E9177" t="s">
        <v>67067</v>
      </c>
      <c r="F9177" t="s">
        <v>9498</v>
      </c>
      <c r="G9177" t="s">
        <v>214</v>
      </c>
      <c r="H9177">
        <v>27409</v>
      </c>
      <c r="I9177" t="s">
        <v>30</v>
      </c>
      <c r="J9177" t="s">
        <v>162</v>
      </c>
      <c r="K9177" t="s">
        <v>1490</v>
      </c>
      <c r="N9177" t="s">
        <v>67068</v>
      </c>
      <c r="Q9177">
        <v>0</v>
      </c>
      <c r="R9177">
        <v>299</v>
      </c>
      <c r="S9177">
        <v>0</v>
      </c>
      <c r="T9177" t="s">
        <v>67069</v>
      </c>
    </row>
    <row r="9178" spans="1:25" customFormat="1" ht="15" x14ac:dyDescent="0.25">
      <c r="A9178" t="s">
        <v>24</v>
      </c>
      <c r="B9178" t="s">
        <v>11587</v>
      </c>
      <c r="C9178" t="str">
        <f>"A0093884"</f>
        <v>A0093884</v>
      </c>
      <c r="D9178" t="s">
        <v>34573</v>
      </c>
      <c r="E9178" t="s">
        <v>34574</v>
      </c>
      <c r="F9178" t="s">
        <v>2352</v>
      </c>
      <c r="G9178" t="s">
        <v>58</v>
      </c>
      <c r="H9178">
        <v>29501</v>
      </c>
      <c r="I9178" t="s">
        <v>30</v>
      </c>
      <c r="J9178" t="s">
        <v>31</v>
      </c>
      <c r="K9178" t="s">
        <v>222</v>
      </c>
      <c r="N9178" t="s">
        <v>34575</v>
      </c>
      <c r="Q9178">
        <v>0</v>
      </c>
      <c r="R9178">
        <v>89</v>
      </c>
      <c r="S9178">
        <v>0</v>
      </c>
      <c r="T9178" t="s">
        <v>34576</v>
      </c>
    </row>
    <row r="9179" spans="1:25" customFormat="1" ht="15" x14ac:dyDescent="0.25">
      <c r="A9179" t="s">
        <v>24</v>
      </c>
      <c r="B9179" t="s">
        <v>8579</v>
      </c>
      <c r="C9179" t="str">
        <f>"A0180150"</f>
        <v>A0180150</v>
      </c>
      <c r="D9179" t="s">
        <v>34577</v>
      </c>
      <c r="E9179" t="s">
        <v>34578</v>
      </c>
      <c r="F9179" t="s">
        <v>34579</v>
      </c>
      <c r="G9179" t="s">
        <v>899</v>
      </c>
      <c r="H9179">
        <v>2472</v>
      </c>
      <c r="I9179" t="s">
        <v>30</v>
      </c>
      <c r="J9179" t="s">
        <v>31</v>
      </c>
      <c r="K9179" t="s">
        <v>198</v>
      </c>
      <c r="N9179" t="s">
        <v>34580</v>
      </c>
      <c r="O9179" t="s">
        <v>34581</v>
      </c>
      <c r="Q9179">
        <v>0</v>
      </c>
      <c r="R9179">
        <v>147</v>
      </c>
      <c r="S9179">
        <v>0</v>
      </c>
      <c r="T9179" t="s">
        <v>34582</v>
      </c>
    </row>
    <row r="9180" spans="1:25" customFormat="1" ht="15" x14ac:dyDescent="0.25">
      <c r="A9180" t="s">
        <v>24</v>
      </c>
      <c r="B9180" t="s">
        <v>34583</v>
      </c>
      <c r="C9180" t="str">
        <f>"A0086193"</f>
        <v>A0086193</v>
      </c>
      <c r="D9180" t="s">
        <v>34584</v>
      </c>
      <c r="E9180" t="s">
        <v>34585</v>
      </c>
      <c r="F9180" t="s">
        <v>13127</v>
      </c>
      <c r="G9180" t="s">
        <v>925</v>
      </c>
      <c r="H9180">
        <v>66213</v>
      </c>
      <c r="I9180" t="s">
        <v>30</v>
      </c>
      <c r="J9180" t="s">
        <v>31</v>
      </c>
      <c r="K9180" t="s">
        <v>32</v>
      </c>
      <c r="N9180" t="s">
        <v>34586</v>
      </c>
      <c r="Q9180">
        <v>0</v>
      </c>
      <c r="R9180">
        <v>110</v>
      </c>
      <c r="S9180">
        <v>0</v>
      </c>
      <c r="T9180" t="s">
        <v>34587</v>
      </c>
    </row>
    <row r="9181" spans="1:25" customFormat="1" ht="15" x14ac:dyDescent="0.25">
      <c r="A9181" t="s">
        <v>24</v>
      </c>
      <c r="B9181" t="s">
        <v>34588</v>
      </c>
      <c r="C9181" t="str">
        <f>"202BW"</f>
        <v>202BW</v>
      </c>
      <c r="D9181" t="s">
        <v>34589</v>
      </c>
      <c r="E9181" t="s">
        <v>34590</v>
      </c>
      <c r="F9181" t="s">
        <v>13414</v>
      </c>
      <c r="G9181" t="s">
        <v>925</v>
      </c>
      <c r="H9181">
        <v>66213</v>
      </c>
      <c r="I9181" t="s">
        <v>30</v>
      </c>
      <c r="J9181" t="s">
        <v>31</v>
      </c>
      <c r="K9181" t="s">
        <v>255</v>
      </c>
      <c r="N9181" t="s">
        <v>34591</v>
      </c>
      <c r="Q9181">
        <v>0</v>
      </c>
      <c r="R9181">
        <v>102</v>
      </c>
      <c r="S9181">
        <v>0</v>
      </c>
      <c r="T9181" t="s">
        <v>34592</v>
      </c>
    </row>
    <row r="9182" spans="1:25" customFormat="1" ht="15" x14ac:dyDescent="0.25">
      <c r="A9182" t="s">
        <v>24</v>
      </c>
      <c r="B9182" t="s">
        <v>67081</v>
      </c>
      <c r="C9182" t="str">
        <f>"HY09755"</f>
        <v>HY09755</v>
      </c>
      <c r="D9182" t="s">
        <v>67082</v>
      </c>
      <c r="E9182" t="s">
        <v>67083</v>
      </c>
      <c r="F9182" t="s">
        <v>33618</v>
      </c>
      <c r="G9182" t="s">
        <v>90</v>
      </c>
      <c r="H9182">
        <v>2840</v>
      </c>
      <c r="I9182" t="s">
        <v>30</v>
      </c>
      <c r="J9182" t="s">
        <v>162</v>
      </c>
      <c r="K9182" t="s">
        <v>163</v>
      </c>
      <c r="N9182" t="s">
        <v>67084</v>
      </c>
      <c r="P9182" t="s">
        <v>6426</v>
      </c>
      <c r="Q9182">
        <v>0</v>
      </c>
      <c r="R9182">
        <v>257</v>
      </c>
      <c r="S9182">
        <v>0</v>
      </c>
      <c r="T9182" t="s">
        <v>67085</v>
      </c>
    </row>
    <row r="9183" spans="1:25" customFormat="1" ht="15" x14ac:dyDescent="0.25">
      <c r="A9183" t="s">
        <v>24</v>
      </c>
      <c r="B9183" t="s">
        <v>67081</v>
      </c>
      <c r="C9183" t="str">
        <f>"A0054419"</f>
        <v>A0054419</v>
      </c>
      <c r="D9183" t="s">
        <v>67092</v>
      </c>
      <c r="E9183" t="s">
        <v>67093</v>
      </c>
      <c r="F9183" t="s">
        <v>67088</v>
      </c>
      <c r="G9183" t="s">
        <v>99</v>
      </c>
      <c r="H9183">
        <v>11954</v>
      </c>
      <c r="I9183" t="s">
        <v>30</v>
      </c>
      <c r="J9183" t="s">
        <v>162</v>
      </c>
      <c r="K9183" t="s">
        <v>163</v>
      </c>
      <c r="N9183" t="s">
        <v>67094</v>
      </c>
      <c r="Q9183">
        <v>0</v>
      </c>
      <c r="R9183">
        <v>107</v>
      </c>
      <c r="S9183">
        <v>0</v>
      </c>
      <c r="T9183" t="s">
        <v>67095</v>
      </c>
    </row>
    <row r="9184" spans="1:25" customFormat="1" ht="15" hidden="1" x14ac:dyDescent="0.25">
      <c r="A9184" t="s">
        <v>24</v>
      </c>
      <c r="B9184" t="s">
        <v>193</v>
      </c>
      <c r="C9184" t="str">
        <f>"SC028"</f>
        <v>SC028</v>
      </c>
      <c r="D9184" t="s">
        <v>34603</v>
      </c>
      <c r="E9184" t="s">
        <v>34604</v>
      </c>
      <c r="F9184" t="s">
        <v>13197</v>
      </c>
      <c r="G9184" t="s">
        <v>2206</v>
      </c>
      <c r="H9184" t="s">
        <v>34605</v>
      </c>
      <c r="I9184" t="s">
        <v>1459</v>
      </c>
      <c r="J9184" t="s">
        <v>162</v>
      </c>
      <c r="K9184" t="s">
        <v>854</v>
      </c>
      <c r="N9184" t="s">
        <v>34606</v>
      </c>
      <c r="Q9184">
        <v>0</v>
      </c>
      <c r="R9184">
        <v>370</v>
      </c>
      <c r="S9184">
        <v>0</v>
      </c>
      <c r="T9184" t="s">
        <v>34607</v>
      </c>
    </row>
    <row r="9185" spans="1:20" customFormat="1" ht="15" x14ac:dyDescent="0.25">
      <c r="A9185" t="s">
        <v>24</v>
      </c>
      <c r="B9185" t="s">
        <v>3459</v>
      </c>
      <c r="C9185" t="str">
        <f>"A0094254"</f>
        <v>A0094254</v>
      </c>
      <c r="D9185" t="s">
        <v>67119</v>
      </c>
      <c r="E9185" t="s">
        <v>67120</v>
      </c>
      <c r="F9185" t="s">
        <v>972</v>
      </c>
      <c r="G9185" t="s">
        <v>190</v>
      </c>
      <c r="H9185">
        <v>80206</v>
      </c>
      <c r="I9185" t="s">
        <v>30</v>
      </c>
      <c r="J9185" t="s">
        <v>162</v>
      </c>
      <c r="K9185" t="s">
        <v>163</v>
      </c>
      <c r="N9185" t="s">
        <v>67121</v>
      </c>
      <c r="O9185" t="s">
        <v>67122</v>
      </c>
      <c r="Q9185">
        <v>0</v>
      </c>
      <c r="R9185">
        <v>154</v>
      </c>
      <c r="S9185">
        <v>0</v>
      </c>
      <c r="T9185" t="s">
        <v>67123</v>
      </c>
    </row>
    <row r="9186" spans="1:20" customFormat="1" ht="15" x14ac:dyDescent="0.25">
      <c r="A9186" t="s">
        <v>24</v>
      </c>
      <c r="B9186" t="s">
        <v>11587</v>
      </c>
      <c r="C9186" t="str">
        <f>"A0067286"</f>
        <v>A0067286</v>
      </c>
      <c r="D9186" t="s">
        <v>34613</v>
      </c>
      <c r="E9186" t="s">
        <v>34614</v>
      </c>
      <c r="F9186" t="s">
        <v>2352</v>
      </c>
      <c r="G9186" t="s">
        <v>58</v>
      </c>
      <c r="H9186">
        <v>29501</v>
      </c>
      <c r="I9186" t="s">
        <v>30</v>
      </c>
      <c r="J9186" t="s">
        <v>31</v>
      </c>
      <c r="K9186" t="s">
        <v>255</v>
      </c>
      <c r="N9186" t="s">
        <v>34615</v>
      </c>
      <c r="Q9186">
        <v>0</v>
      </c>
      <c r="R9186">
        <v>95</v>
      </c>
      <c r="S9186">
        <v>0</v>
      </c>
      <c r="T9186" t="s">
        <v>34616</v>
      </c>
    </row>
    <row r="9187" spans="1:20" customFormat="1" ht="15" x14ac:dyDescent="0.25">
      <c r="A9187" t="s">
        <v>24</v>
      </c>
      <c r="B9187" t="s">
        <v>1548</v>
      </c>
      <c r="C9187" t="str">
        <f>"A0147918"</f>
        <v>A0147918</v>
      </c>
      <c r="D9187" t="s">
        <v>67145</v>
      </c>
      <c r="E9187" t="s">
        <v>67146</v>
      </c>
      <c r="F9187" t="s">
        <v>2094</v>
      </c>
      <c r="G9187" t="s">
        <v>52</v>
      </c>
      <c r="H9187">
        <v>75201</v>
      </c>
      <c r="I9187" t="s">
        <v>30</v>
      </c>
      <c r="J9187" t="s">
        <v>162</v>
      </c>
      <c r="K9187" t="s">
        <v>163</v>
      </c>
      <c r="N9187" t="s">
        <v>67147</v>
      </c>
      <c r="O9187" t="s">
        <v>67148</v>
      </c>
      <c r="Q9187">
        <v>0</v>
      </c>
      <c r="R9187">
        <v>184</v>
      </c>
      <c r="S9187">
        <v>0</v>
      </c>
      <c r="T9187" t="s">
        <v>192</v>
      </c>
    </row>
    <row r="9188" spans="1:20" customFormat="1" ht="15" x14ac:dyDescent="0.25">
      <c r="A9188" t="s">
        <v>24</v>
      </c>
      <c r="B9188" t="s">
        <v>67149</v>
      </c>
      <c r="C9188" t="str">
        <f>"A0100735"</f>
        <v>A0100735</v>
      </c>
      <c r="D9188" t="s">
        <v>67150</v>
      </c>
      <c r="E9188" t="s">
        <v>67151</v>
      </c>
      <c r="F9188" t="s">
        <v>313</v>
      </c>
      <c r="G9188" t="s">
        <v>314</v>
      </c>
      <c r="H9188">
        <v>20005</v>
      </c>
      <c r="I9188" t="s">
        <v>30</v>
      </c>
      <c r="J9188" t="s">
        <v>162</v>
      </c>
      <c r="K9188" t="s">
        <v>163</v>
      </c>
      <c r="N9188" t="s">
        <v>67152</v>
      </c>
      <c r="O9188" t="s">
        <v>67153</v>
      </c>
      <c r="Q9188">
        <v>0</v>
      </c>
      <c r="R9188">
        <v>318</v>
      </c>
      <c r="S9188">
        <v>0</v>
      </c>
      <c r="T9188" t="s">
        <v>67154</v>
      </c>
    </row>
    <row r="9189" spans="1:20" customFormat="1" ht="15" x14ac:dyDescent="0.25">
      <c r="A9189" t="s">
        <v>24</v>
      </c>
      <c r="B9189" t="s">
        <v>805</v>
      </c>
      <c r="C9189" t="str">
        <f>"A0059756"</f>
        <v>A0059756</v>
      </c>
      <c r="D9189" t="s">
        <v>34624</v>
      </c>
      <c r="E9189" t="s">
        <v>34625</v>
      </c>
      <c r="F9189" t="s">
        <v>4802</v>
      </c>
      <c r="G9189" t="s">
        <v>110</v>
      </c>
      <c r="H9189">
        <v>95112</v>
      </c>
      <c r="I9189" t="s">
        <v>30</v>
      </c>
      <c r="J9189" t="s">
        <v>31</v>
      </c>
      <c r="K9189" t="s">
        <v>34626</v>
      </c>
      <c r="N9189" t="s">
        <v>34627</v>
      </c>
      <c r="O9189" t="s">
        <v>34628</v>
      </c>
      <c r="Q9189">
        <v>0</v>
      </c>
      <c r="R9189">
        <v>114</v>
      </c>
      <c r="S9189">
        <v>0</v>
      </c>
      <c r="T9189" t="s">
        <v>34629</v>
      </c>
    </row>
    <row r="9190" spans="1:20" customFormat="1" ht="15" x14ac:dyDescent="0.25">
      <c r="A9190" t="s">
        <v>24</v>
      </c>
      <c r="B9190" t="s">
        <v>805</v>
      </c>
      <c r="C9190" t="str">
        <f>"A0059964"</f>
        <v>A0059964</v>
      </c>
      <c r="D9190" t="s">
        <v>34630</v>
      </c>
      <c r="E9190" t="s">
        <v>34631</v>
      </c>
      <c r="F9190" t="s">
        <v>5946</v>
      </c>
      <c r="G9190" t="s">
        <v>110</v>
      </c>
      <c r="H9190">
        <v>90503</v>
      </c>
      <c r="I9190" t="s">
        <v>30</v>
      </c>
      <c r="J9190" t="s">
        <v>31</v>
      </c>
      <c r="K9190" t="s">
        <v>34626</v>
      </c>
      <c r="N9190" t="s">
        <v>34632</v>
      </c>
      <c r="O9190" t="s">
        <v>34633</v>
      </c>
      <c r="Q9190">
        <v>0</v>
      </c>
      <c r="R9190">
        <v>144</v>
      </c>
      <c r="S9190">
        <v>0</v>
      </c>
      <c r="T9190" t="s">
        <v>34634</v>
      </c>
    </row>
    <row r="9191" spans="1:20" customFormat="1" ht="15" x14ac:dyDescent="0.25">
      <c r="A9191" t="s">
        <v>24</v>
      </c>
      <c r="B9191" t="s">
        <v>805</v>
      </c>
      <c r="C9191" t="str">
        <f>"SC166"</f>
        <v>SC166</v>
      </c>
      <c r="D9191" t="s">
        <v>34635</v>
      </c>
      <c r="E9191" t="s">
        <v>34636</v>
      </c>
      <c r="F9191" t="s">
        <v>5651</v>
      </c>
      <c r="G9191" t="s">
        <v>110</v>
      </c>
      <c r="H9191">
        <v>92802</v>
      </c>
      <c r="I9191" t="s">
        <v>30</v>
      </c>
      <c r="J9191" t="s">
        <v>31</v>
      </c>
      <c r="K9191" t="s">
        <v>34626</v>
      </c>
      <c r="N9191" t="s">
        <v>34637</v>
      </c>
      <c r="O9191" t="s">
        <v>34638</v>
      </c>
      <c r="Q9191">
        <v>0</v>
      </c>
      <c r="R9191">
        <v>143</v>
      </c>
      <c r="S9191">
        <v>0</v>
      </c>
      <c r="T9191" t="s">
        <v>34639</v>
      </c>
    </row>
    <row r="9192" spans="1:20" customFormat="1" ht="15" x14ac:dyDescent="0.25">
      <c r="A9192" t="s">
        <v>24</v>
      </c>
      <c r="B9192" t="s">
        <v>805</v>
      </c>
      <c r="C9192" t="str">
        <f>"A0068079"</f>
        <v>A0068079</v>
      </c>
      <c r="D9192" t="s">
        <v>34640</v>
      </c>
      <c r="E9192" t="s">
        <v>34641</v>
      </c>
      <c r="F9192" t="s">
        <v>1131</v>
      </c>
      <c r="G9192" t="s">
        <v>52</v>
      </c>
      <c r="H9192">
        <v>76006</v>
      </c>
      <c r="I9192" t="s">
        <v>30</v>
      </c>
      <c r="J9192" t="s">
        <v>31</v>
      </c>
      <c r="K9192" t="s">
        <v>34642</v>
      </c>
      <c r="N9192" t="s">
        <v>34643</v>
      </c>
      <c r="O9192" t="s">
        <v>34644</v>
      </c>
      <c r="Q9192">
        <v>0</v>
      </c>
      <c r="R9192">
        <v>125</v>
      </c>
      <c r="S9192">
        <v>0</v>
      </c>
      <c r="T9192" t="s">
        <v>34645</v>
      </c>
    </row>
    <row r="9193" spans="1:20" customFormat="1" ht="15" x14ac:dyDescent="0.25">
      <c r="A9193" t="s">
        <v>35</v>
      </c>
      <c r="B9193" t="s">
        <v>34646</v>
      </c>
      <c r="C9193" t="str">
        <f>"A0180148"</f>
        <v>A0180148</v>
      </c>
      <c r="D9193" t="s">
        <v>34647</v>
      </c>
      <c r="E9193" t="s">
        <v>34648</v>
      </c>
      <c r="F9193" t="s">
        <v>5459</v>
      </c>
      <c r="G9193" t="s">
        <v>110</v>
      </c>
      <c r="H9193">
        <v>95691</v>
      </c>
      <c r="I9193" t="s">
        <v>30</v>
      </c>
      <c r="J9193" t="s">
        <v>41</v>
      </c>
      <c r="K9193" t="s">
        <v>59</v>
      </c>
      <c r="Q9193">
        <v>0</v>
      </c>
      <c r="R9193">
        <v>32</v>
      </c>
      <c r="S9193">
        <v>32</v>
      </c>
      <c r="T9193" t="s">
        <v>34649</v>
      </c>
    </row>
    <row r="9194" spans="1:20" customFormat="1" ht="15" x14ac:dyDescent="0.25">
      <c r="A9194" t="s">
        <v>35</v>
      </c>
      <c r="B9194" t="s">
        <v>61</v>
      </c>
      <c r="C9194" t="str">
        <f>"A0180147"</f>
        <v>A0180147</v>
      </c>
      <c r="D9194" t="s">
        <v>34650</v>
      </c>
      <c r="E9194" t="s">
        <v>34651</v>
      </c>
      <c r="F9194" t="s">
        <v>14414</v>
      </c>
      <c r="G9194" t="s">
        <v>197</v>
      </c>
      <c r="H9194">
        <v>85374</v>
      </c>
      <c r="I9194" t="s">
        <v>30</v>
      </c>
      <c r="J9194" t="s">
        <v>41</v>
      </c>
      <c r="K9194" t="s">
        <v>59</v>
      </c>
      <c r="Q9194">
        <v>0</v>
      </c>
      <c r="R9194">
        <v>0</v>
      </c>
      <c r="S9194">
        <v>0</v>
      </c>
      <c r="T9194" t="s">
        <v>34652</v>
      </c>
    </row>
    <row r="9195" spans="1:20" customFormat="1" ht="15" x14ac:dyDescent="0.25">
      <c r="A9195" t="s">
        <v>35</v>
      </c>
      <c r="B9195" t="s">
        <v>4771</v>
      </c>
      <c r="C9195" t="str">
        <f>"A0180146"</f>
        <v>A0180146</v>
      </c>
      <c r="D9195" t="s">
        <v>34653</v>
      </c>
      <c r="E9195" t="s">
        <v>34654</v>
      </c>
      <c r="F9195" t="s">
        <v>14689</v>
      </c>
      <c r="G9195" t="s">
        <v>110</v>
      </c>
      <c r="H9195">
        <v>93063</v>
      </c>
      <c r="I9195" t="s">
        <v>30</v>
      </c>
      <c r="J9195" t="s">
        <v>41</v>
      </c>
      <c r="K9195" t="s">
        <v>456</v>
      </c>
      <c r="Q9195">
        <v>0</v>
      </c>
      <c r="R9195">
        <v>0</v>
      </c>
      <c r="S9195">
        <v>0</v>
      </c>
      <c r="T9195" t="s">
        <v>72</v>
      </c>
    </row>
    <row r="9196" spans="1:20" customFormat="1" ht="15" x14ac:dyDescent="0.25">
      <c r="A9196" t="s">
        <v>35</v>
      </c>
      <c r="B9196" t="s">
        <v>4771</v>
      </c>
      <c r="C9196" t="str">
        <f>"A0180145"</f>
        <v>A0180145</v>
      </c>
      <c r="D9196" t="s">
        <v>34655</v>
      </c>
      <c r="E9196" t="s">
        <v>34656</v>
      </c>
      <c r="F9196" t="s">
        <v>24370</v>
      </c>
      <c r="G9196" t="s">
        <v>110</v>
      </c>
      <c r="H9196">
        <v>92626</v>
      </c>
      <c r="I9196" t="s">
        <v>30</v>
      </c>
      <c r="J9196" t="s">
        <v>41</v>
      </c>
      <c r="K9196" t="s">
        <v>456</v>
      </c>
      <c r="Q9196">
        <v>0</v>
      </c>
      <c r="R9196">
        <v>0</v>
      </c>
      <c r="S9196">
        <v>0</v>
      </c>
      <c r="T9196" t="s">
        <v>72</v>
      </c>
    </row>
    <row r="9197" spans="1:20" customFormat="1" ht="15" x14ac:dyDescent="0.25">
      <c r="A9197" t="s">
        <v>35</v>
      </c>
      <c r="B9197" t="s">
        <v>4771</v>
      </c>
      <c r="C9197" t="str">
        <f>"A0180144"</f>
        <v>A0180144</v>
      </c>
      <c r="D9197" t="s">
        <v>34657</v>
      </c>
      <c r="E9197" t="s">
        <v>34658</v>
      </c>
      <c r="F9197" t="s">
        <v>7734</v>
      </c>
      <c r="G9197" t="s">
        <v>197</v>
      </c>
      <c r="H9197">
        <v>85715</v>
      </c>
      <c r="I9197" t="s">
        <v>30</v>
      </c>
      <c r="J9197" t="s">
        <v>41</v>
      </c>
      <c r="K9197" t="s">
        <v>456</v>
      </c>
      <c r="Q9197">
        <v>0</v>
      </c>
      <c r="R9197">
        <v>0</v>
      </c>
      <c r="S9197">
        <v>0</v>
      </c>
      <c r="T9197" t="s">
        <v>72</v>
      </c>
    </row>
    <row r="9198" spans="1:20" customFormat="1" ht="15" x14ac:dyDescent="0.25">
      <c r="A9198" t="s">
        <v>35</v>
      </c>
      <c r="B9198" t="s">
        <v>4771</v>
      </c>
      <c r="C9198" t="str">
        <f>"A0180143"</f>
        <v>A0180143</v>
      </c>
      <c r="D9198" t="s">
        <v>34659</v>
      </c>
      <c r="E9198" t="s">
        <v>34660</v>
      </c>
      <c r="F9198" t="s">
        <v>501</v>
      </c>
      <c r="G9198" t="s">
        <v>110</v>
      </c>
      <c r="H9198">
        <v>91203</v>
      </c>
      <c r="I9198" t="s">
        <v>30</v>
      </c>
      <c r="J9198" t="s">
        <v>41</v>
      </c>
      <c r="K9198" t="s">
        <v>456</v>
      </c>
      <c r="Q9198">
        <v>0</v>
      </c>
      <c r="R9198">
        <v>0</v>
      </c>
      <c r="S9198">
        <v>0</v>
      </c>
      <c r="T9198" t="s">
        <v>72</v>
      </c>
    </row>
    <row r="9199" spans="1:20" customFormat="1" ht="15" x14ac:dyDescent="0.25">
      <c r="A9199" t="s">
        <v>35</v>
      </c>
      <c r="B9199" t="s">
        <v>4771</v>
      </c>
      <c r="C9199" t="str">
        <f>"A0180142"</f>
        <v>A0180142</v>
      </c>
      <c r="D9199" t="s">
        <v>34661</v>
      </c>
      <c r="E9199" t="s">
        <v>34662</v>
      </c>
      <c r="F9199" t="s">
        <v>1948</v>
      </c>
      <c r="G9199" t="s">
        <v>110</v>
      </c>
      <c r="H9199">
        <v>90712</v>
      </c>
      <c r="I9199" t="s">
        <v>30</v>
      </c>
      <c r="J9199" t="s">
        <v>41</v>
      </c>
      <c r="K9199" t="s">
        <v>456</v>
      </c>
      <c r="Q9199">
        <v>0</v>
      </c>
      <c r="R9199">
        <v>0</v>
      </c>
      <c r="S9199">
        <v>0</v>
      </c>
      <c r="T9199" t="s">
        <v>72</v>
      </c>
    </row>
    <row r="9200" spans="1:20" customFormat="1" ht="15" x14ac:dyDescent="0.25">
      <c r="A9200" t="s">
        <v>35</v>
      </c>
      <c r="B9200" t="s">
        <v>4771</v>
      </c>
      <c r="C9200" t="str">
        <f>"A0180141"</f>
        <v>A0180141</v>
      </c>
      <c r="D9200" t="s">
        <v>34663</v>
      </c>
      <c r="E9200" t="s">
        <v>34664</v>
      </c>
      <c r="F9200" t="s">
        <v>902</v>
      </c>
      <c r="G9200" t="s">
        <v>221</v>
      </c>
      <c r="H9200">
        <v>89119</v>
      </c>
      <c r="I9200" t="s">
        <v>30</v>
      </c>
      <c r="J9200" t="s">
        <v>41</v>
      </c>
      <c r="K9200" t="s">
        <v>456</v>
      </c>
      <c r="Q9200">
        <v>0</v>
      </c>
      <c r="R9200">
        <v>0</v>
      </c>
      <c r="S9200">
        <v>0</v>
      </c>
      <c r="T9200" t="s">
        <v>72</v>
      </c>
    </row>
    <row r="9201" spans="1:20" customFormat="1" ht="15" x14ac:dyDescent="0.25">
      <c r="A9201" t="s">
        <v>35</v>
      </c>
      <c r="B9201" t="s">
        <v>4771</v>
      </c>
      <c r="C9201" t="str">
        <f>"A0180140"</f>
        <v>A0180140</v>
      </c>
      <c r="D9201" t="s">
        <v>34665</v>
      </c>
      <c r="E9201" t="s">
        <v>34666</v>
      </c>
      <c r="F9201" t="s">
        <v>13382</v>
      </c>
      <c r="G9201" t="s">
        <v>110</v>
      </c>
      <c r="H9201">
        <v>91730</v>
      </c>
      <c r="I9201" t="s">
        <v>30</v>
      </c>
      <c r="J9201" t="s">
        <v>41</v>
      </c>
      <c r="K9201" t="s">
        <v>456</v>
      </c>
      <c r="Q9201">
        <v>0</v>
      </c>
      <c r="R9201">
        <v>0</v>
      </c>
      <c r="S9201">
        <v>0</v>
      </c>
      <c r="T9201" t="s">
        <v>72</v>
      </c>
    </row>
    <row r="9202" spans="1:20" customFormat="1" ht="15" x14ac:dyDescent="0.25">
      <c r="A9202" t="s">
        <v>35</v>
      </c>
      <c r="B9202" t="s">
        <v>61</v>
      </c>
      <c r="C9202" t="str">
        <f>"A0180139"</f>
        <v>A0180139</v>
      </c>
      <c r="D9202" t="s">
        <v>34667</v>
      </c>
      <c r="E9202" t="s">
        <v>34668</v>
      </c>
      <c r="F9202" t="s">
        <v>3661</v>
      </c>
      <c r="G9202" t="s">
        <v>65</v>
      </c>
      <c r="H9202">
        <v>45225</v>
      </c>
      <c r="I9202" t="s">
        <v>30</v>
      </c>
      <c r="J9202" t="s">
        <v>41</v>
      </c>
      <c r="K9202" t="s">
        <v>1412</v>
      </c>
      <c r="Q9202">
        <v>0</v>
      </c>
      <c r="R9202">
        <v>0</v>
      </c>
      <c r="S9202">
        <v>0</v>
      </c>
      <c r="T9202" t="s">
        <v>34669</v>
      </c>
    </row>
    <row r="9203" spans="1:20" customFormat="1" ht="15" x14ac:dyDescent="0.25">
      <c r="A9203" t="s">
        <v>35</v>
      </c>
      <c r="B9203" t="s">
        <v>34670</v>
      </c>
      <c r="C9203" t="str">
        <f>"A0180138"</f>
        <v>A0180138</v>
      </c>
      <c r="D9203" t="s">
        <v>34671</v>
      </c>
      <c r="E9203" t="s">
        <v>34672</v>
      </c>
      <c r="F9203" t="s">
        <v>4753</v>
      </c>
      <c r="G9203" t="s">
        <v>65</v>
      </c>
      <c r="H9203">
        <v>44132</v>
      </c>
      <c r="I9203" t="s">
        <v>30</v>
      </c>
      <c r="J9203" t="s">
        <v>41</v>
      </c>
      <c r="K9203" t="s">
        <v>391</v>
      </c>
      <c r="Q9203">
        <v>0</v>
      </c>
      <c r="R9203">
        <v>0</v>
      </c>
      <c r="S9203">
        <v>0</v>
      </c>
      <c r="T9203" t="s">
        <v>34673</v>
      </c>
    </row>
    <row r="9204" spans="1:20" customFormat="1" ht="15" x14ac:dyDescent="0.25">
      <c r="A9204" t="s">
        <v>35</v>
      </c>
      <c r="B9204" t="s">
        <v>36</v>
      </c>
      <c r="C9204" t="str">
        <f>"A0180137"</f>
        <v>A0180137</v>
      </c>
      <c r="D9204" t="s">
        <v>34674</v>
      </c>
      <c r="E9204" t="s">
        <v>34675</v>
      </c>
      <c r="F9204" t="s">
        <v>34676</v>
      </c>
      <c r="G9204" t="s">
        <v>846</v>
      </c>
      <c r="H9204">
        <v>30010</v>
      </c>
      <c r="I9204" t="s">
        <v>30</v>
      </c>
      <c r="J9204" t="s">
        <v>41</v>
      </c>
      <c r="K9204" t="s">
        <v>42</v>
      </c>
      <c r="Q9204">
        <v>0</v>
      </c>
      <c r="R9204">
        <v>0</v>
      </c>
      <c r="S9204">
        <v>0</v>
      </c>
      <c r="T9204" t="s">
        <v>34677</v>
      </c>
    </row>
    <row r="9205" spans="1:20" customFormat="1" ht="15" x14ac:dyDescent="0.25">
      <c r="A9205" t="s">
        <v>35</v>
      </c>
      <c r="B9205" t="s">
        <v>36</v>
      </c>
      <c r="C9205" t="str">
        <f>"A0180136"</f>
        <v>A0180136</v>
      </c>
      <c r="D9205" t="s">
        <v>34678</v>
      </c>
      <c r="E9205" t="s">
        <v>34679</v>
      </c>
      <c r="F9205" t="s">
        <v>34680</v>
      </c>
      <c r="G9205" t="s">
        <v>507</v>
      </c>
      <c r="H9205">
        <v>24931</v>
      </c>
      <c r="I9205" t="s">
        <v>30</v>
      </c>
      <c r="J9205" t="s">
        <v>41</v>
      </c>
      <c r="K9205" t="s">
        <v>42</v>
      </c>
      <c r="Q9205">
        <v>0</v>
      </c>
      <c r="R9205">
        <v>0</v>
      </c>
      <c r="S9205">
        <v>0</v>
      </c>
      <c r="T9205" t="s">
        <v>34681</v>
      </c>
    </row>
    <row r="9206" spans="1:20" customFormat="1" ht="15" x14ac:dyDescent="0.25">
      <c r="A9206" t="s">
        <v>24</v>
      </c>
      <c r="B9206" t="s">
        <v>2836</v>
      </c>
      <c r="C9206" t="str">
        <f>"A0071713"</f>
        <v>A0071713</v>
      </c>
      <c r="D9206" t="s">
        <v>67595</v>
      </c>
      <c r="E9206" t="s">
        <v>67596</v>
      </c>
      <c r="F9206" t="s">
        <v>2069</v>
      </c>
      <c r="G9206" t="s">
        <v>1170</v>
      </c>
      <c r="H9206">
        <v>70115</v>
      </c>
      <c r="I9206" t="s">
        <v>30</v>
      </c>
      <c r="J9206" t="s">
        <v>162</v>
      </c>
      <c r="K9206" t="s">
        <v>198</v>
      </c>
      <c r="N9206" t="s">
        <v>60443</v>
      </c>
      <c r="O9206" t="s">
        <v>53841</v>
      </c>
      <c r="Q9206">
        <v>0</v>
      </c>
      <c r="R9206">
        <v>104</v>
      </c>
      <c r="S9206">
        <v>0</v>
      </c>
      <c r="T9206" t="s">
        <v>67597</v>
      </c>
    </row>
    <row r="9207" spans="1:20" customFormat="1" ht="15" x14ac:dyDescent="0.25">
      <c r="A9207" t="s">
        <v>24</v>
      </c>
      <c r="B9207" t="s">
        <v>3221</v>
      </c>
      <c r="C9207" t="str">
        <f>"A0061278"</f>
        <v>A0061278</v>
      </c>
      <c r="D9207" t="s">
        <v>68642</v>
      </c>
      <c r="E9207" t="s">
        <v>68643</v>
      </c>
      <c r="F9207" t="s">
        <v>4532</v>
      </c>
      <c r="G9207" t="s">
        <v>899</v>
      </c>
      <c r="H9207">
        <v>2657</v>
      </c>
      <c r="I9207" t="s">
        <v>30</v>
      </c>
      <c r="J9207" t="s">
        <v>162</v>
      </c>
      <c r="K9207" t="s">
        <v>163</v>
      </c>
      <c r="N9207" t="s">
        <v>56231</v>
      </c>
      <c r="O9207" t="s">
        <v>68644</v>
      </c>
      <c r="Q9207">
        <v>0</v>
      </c>
      <c r="R9207">
        <v>129</v>
      </c>
      <c r="S9207">
        <v>0</v>
      </c>
      <c r="T9207" t="s">
        <v>68645</v>
      </c>
    </row>
    <row r="9208" spans="1:20" customFormat="1" ht="15" x14ac:dyDescent="0.25">
      <c r="A9208" t="s">
        <v>24</v>
      </c>
      <c r="B9208" t="s">
        <v>6647</v>
      </c>
      <c r="C9208" t="str">
        <f>"A0056585"</f>
        <v>A0056585</v>
      </c>
      <c r="D9208" t="s">
        <v>68673</v>
      </c>
      <c r="E9208" t="s">
        <v>68674</v>
      </c>
      <c r="F9208" t="s">
        <v>985</v>
      </c>
      <c r="G9208" t="s">
        <v>81</v>
      </c>
      <c r="H9208">
        <v>32819</v>
      </c>
      <c r="I9208" t="s">
        <v>30</v>
      </c>
      <c r="J9208" t="s">
        <v>162</v>
      </c>
      <c r="K9208" t="s">
        <v>13697</v>
      </c>
      <c r="N9208" t="s">
        <v>6652</v>
      </c>
      <c r="O9208" t="s">
        <v>68675</v>
      </c>
      <c r="Q9208">
        <v>0</v>
      </c>
      <c r="R9208">
        <v>650</v>
      </c>
      <c r="S9208">
        <v>0</v>
      </c>
      <c r="T9208" t="s">
        <v>68676</v>
      </c>
    </row>
    <row r="9209" spans="1:20" customFormat="1" ht="15" x14ac:dyDescent="0.25">
      <c r="A9209" t="s">
        <v>24</v>
      </c>
      <c r="B9209" t="s">
        <v>32773</v>
      </c>
      <c r="C9209" t="str">
        <f>"A0178633"</f>
        <v>A0178633</v>
      </c>
      <c r="D9209" t="s">
        <v>34696</v>
      </c>
      <c r="E9209" t="s">
        <v>34697</v>
      </c>
      <c r="F9209" t="s">
        <v>3466</v>
      </c>
      <c r="G9209" t="s">
        <v>840</v>
      </c>
      <c r="H9209">
        <v>40202</v>
      </c>
      <c r="I9209" t="s">
        <v>30</v>
      </c>
      <c r="J9209" t="s">
        <v>31</v>
      </c>
      <c r="K9209" t="s">
        <v>222</v>
      </c>
      <c r="N9209" t="s">
        <v>34698</v>
      </c>
      <c r="Q9209">
        <v>0</v>
      </c>
      <c r="R9209">
        <v>120</v>
      </c>
      <c r="S9209">
        <v>0</v>
      </c>
      <c r="T9209" t="s">
        <v>34699</v>
      </c>
    </row>
    <row r="9210" spans="1:20" customFormat="1" ht="15" x14ac:dyDescent="0.25">
      <c r="A9210" t="s">
        <v>24</v>
      </c>
      <c r="B9210" t="s">
        <v>1317</v>
      </c>
      <c r="C9210" t="str">
        <f>"A0158094"</f>
        <v>A0158094</v>
      </c>
      <c r="D9210" t="s">
        <v>34700</v>
      </c>
      <c r="E9210" t="s">
        <v>34701</v>
      </c>
      <c r="F9210" t="s">
        <v>32880</v>
      </c>
      <c r="G9210" t="s">
        <v>110</v>
      </c>
      <c r="H9210">
        <v>94087</v>
      </c>
      <c r="I9210" t="s">
        <v>30</v>
      </c>
      <c r="J9210" t="s">
        <v>31</v>
      </c>
      <c r="K9210" t="s">
        <v>198</v>
      </c>
      <c r="N9210" t="s">
        <v>34702</v>
      </c>
      <c r="Q9210">
        <v>0</v>
      </c>
      <c r="R9210">
        <v>162</v>
      </c>
      <c r="S9210">
        <v>0</v>
      </c>
      <c r="T9210" t="s">
        <v>34703</v>
      </c>
    </row>
    <row r="9211" spans="1:20" customFormat="1" ht="15" x14ac:dyDescent="0.25">
      <c r="A9211" t="s">
        <v>24</v>
      </c>
      <c r="B9211" t="s">
        <v>193</v>
      </c>
      <c r="C9211" t="str">
        <f>"A0059579"</f>
        <v>A0059579</v>
      </c>
      <c r="D9211" t="s">
        <v>34704</v>
      </c>
      <c r="E9211" t="s">
        <v>34705</v>
      </c>
      <c r="F9211" t="s">
        <v>2978</v>
      </c>
      <c r="G9211" t="s">
        <v>110</v>
      </c>
      <c r="H9211">
        <v>92108</v>
      </c>
      <c r="I9211" t="s">
        <v>30</v>
      </c>
      <c r="J9211" t="s">
        <v>15047</v>
      </c>
      <c r="K9211" t="s">
        <v>163</v>
      </c>
      <c r="N9211" t="s">
        <v>34706</v>
      </c>
      <c r="Q9211">
        <v>0</v>
      </c>
      <c r="R9211">
        <v>192</v>
      </c>
      <c r="S9211">
        <v>0</v>
      </c>
      <c r="T9211" t="s">
        <v>34707</v>
      </c>
    </row>
    <row r="9212" spans="1:20" customFormat="1" ht="15" x14ac:dyDescent="0.25">
      <c r="A9212" t="s">
        <v>24</v>
      </c>
      <c r="B9212" t="s">
        <v>805</v>
      </c>
      <c r="C9212" t="str">
        <f>"A0061119"</f>
        <v>A0061119</v>
      </c>
      <c r="D9212" t="s">
        <v>34708</v>
      </c>
      <c r="E9212" t="s">
        <v>34709</v>
      </c>
      <c r="F9212" t="s">
        <v>271</v>
      </c>
      <c r="G9212" t="s">
        <v>103</v>
      </c>
      <c r="H9212">
        <v>15275</v>
      </c>
      <c r="I9212" t="s">
        <v>30</v>
      </c>
      <c r="J9212" t="s">
        <v>31</v>
      </c>
      <c r="K9212" t="s">
        <v>34642</v>
      </c>
      <c r="N9212" t="s">
        <v>34710</v>
      </c>
      <c r="O9212" t="s">
        <v>16557</v>
      </c>
      <c r="Q9212">
        <v>0</v>
      </c>
      <c r="R9212">
        <v>123</v>
      </c>
      <c r="S9212">
        <v>0</v>
      </c>
      <c r="T9212" t="s">
        <v>34711</v>
      </c>
    </row>
    <row r="9213" spans="1:20" customFormat="1" ht="15" x14ac:dyDescent="0.25">
      <c r="A9213" t="s">
        <v>24</v>
      </c>
      <c r="B9213" t="s">
        <v>805</v>
      </c>
      <c r="C9213" t="str">
        <f>"A0060001"</f>
        <v>A0060001</v>
      </c>
      <c r="D9213" t="s">
        <v>34712</v>
      </c>
      <c r="E9213" t="s">
        <v>34713</v>
      </c>
      <c r="F9213" t="s">
        <v>32880</v>
      </c>
      <c r="G9213" t="s">
        <v>110</v>
      </c>
      <c r="H9213">
        <v>94089</v>
      </c>
      <c r="I9213" t="s">
        <v>30</v>
      </c>
      <c r="J9213" t="s">
        <v>31</v>
      </c>
      <c r="K9213" t="s">
        <v>34626</v>
      </c>
      <c r="N9213" t="s">
        <v>11336</v>
      </c>
      <c r="O9213" t="s">
        <v>34714</v>
      </c>
      <c r="Q9213">
        <v>0</v>
      </c>
      <c r="R9213">
        <v>138</v>
      </c>
      <c r="S9213">
        <v>0</v>
      </c>
      <c r="T9213" t="s">
        <v>34715</v>
      </c>
    </row>
    <row r="9214" spans="1:20" customFormat="1" ht="15" x14ac:dyDescent="0.25">
      <c r="A9214" t="s">
        <v>24</v>
      </c>
      <c r="B9214" t="s">
        <v>193</v>
      </c>
      <c r="C9214" t="str">
        <f>"645A2"</f>
        <v>645A2</v>
      </c>
      <c r="D9214" t="s">
        <v>34716</v>
      </c>
      <c r="E9214" t="s">
        <v>34717</v>
      </c>
      <c r="F9214" t="s">
        <v>28</v>
      </c>
      <c r="G9214" t="s">
        <v>29</v>
      </c>
      <c r="H9214">
        <v>20151</v>
      </c>
      <c r="I9214" t="s">
        <v>30</v>
      </c>
      <c r="J9214" t="s">
        <v>145</v>
      </c>
      <c r="K9214" t="s">
        <v>146</v>
      </c>
      <c r="N9214" t="s">
        <v>34718</v>
      </c>
      <c r="O9214" t="s">
        <v>34719</v>
      </c>
      <c r="Q9214">
        <v>0</v>
      </c>
      <c r="R9214">
        <v>95</v>
      </c>
      <c r="S9214">
        <v>0</v>
      </c>
      <c r="T9214" t="s">
        <v>34720</v>
      </c>
    </row>
    <row r="9215" spans="1:20" customFormat="1" ht="15" x14ac:dyDescent="0.25">
      <c r="A9215" t="s">
        <v>24</v>
      </c>
      <c r="B9215" t="s">
        <v>193</v>
      </c>
      <c r="C9215" t="str">
        <f>"645AG"</f>
        <v>645AG</v>
      </c>
      <c r="D9215" t="s">
        <v>34721</v>
      </c>
      <c r="E9215" t="s">
        <v>34722</v>
      </c>
      <c r="F9215" t="s">
        <v>16267</v>
      </c>
      <c r="G9215" t="s">
        <v>29</v>
      </c>
      <c r="H9215">
        <v>23462</v>
      </c>
      <c r="I9215" t="s">
        <v>30</v>
      </c>
      <c r="J9215" t="s">
        <v>31</v>
      </c>
      <c r="K9215" t="s">
        <v>163</v>
      </c>
      <c r="N9215" t="s">
        <v>34723</v>
      </c>
      <c r="O9215" t="s">
        <v>34724</v>
      </c>
      <c r="Q9215">
        <v>0</v>
      </c>
      <c r="R9215">
        <v>95</v>
      </c>
      <c r="S9215">
        <v>0</v>
      </c>
      <c r="T9215" t="s">
        <v>34725</v>
      </c>
    </row>
    <row r="9216" spans="1:20" customFormat="1" ht="15" x14ac:dyDescent="0.25">
      <c r="A9216" t="s">
        <v>24</v>
      </c>
      <c r="B9216" t="s">
        <v>2812</v>
      </c>
      <c r="C9216" t="str">
        <f>"A0098246"</f>
        <v>A0098246</v>
      </c>
      <c r="D9216" t="s">
        <v>68677</v>
      </c>
      <c r="E9216" t="s">
        <v>68678</v>
      </c>
      <c r="F9216" t="s">
        <v>1258</v>
      </c>
      <c r="G9216" t="s">
        <v>81</v>
      </c>
      <c r="H9216">
        <v>32118</v>
      </c>
      <c r="I9216" t="s">
        <v>30</v>
      </c>
      <c r="J9216" t="s">
        <v>162</v>
      </c>
      <c r="K9216" t="s">
        <v>163</v>
      </c>
      <c r="N9216" t="s">
        <v>33044</v>
      </c>
      <c r="Q9216">
        <v>0</v>
      </c>
      <c r="R9216">
        <v>200</v>
      </c>
      <c r="S9216">
        <v>0</v>
      </c>
      <c r="T9216" t="s">
        <v>68679</v>
      </c>
    </row>
    <row r="9217" spans="1:20" customFormat="1" ht="15" x14ac:dyDescent="0.25">
      <c r="A9217" t="s">
        <v>24</v>
      </c>
      <c r="B9217" t="s">
        <v>193</v>
      </c>
      <c r="C9217" t="str">
        <f>"56987"</f>
        <v>56987</v>
      </c>
      <c r="D9217" t="s">
        <v>34731</v>
      </c>
      <c r="E9217" t="s">
        <v>34732</v>
      </c>
      <c r="F9217" t="s">
        <v>2978</v>
      </c>
      <c r="G9217" t="s">
        <v>110</v>
      </c>
      <c r="H9217">
        <v>92111</v>
      </c>
      <c r="I9217" t="s">
        <v>30</v>
      </c>
      <c r="J9217" t="s">
        <v>31</v>
      </c>
      <c r="K9217" t="s">
        <v>163</v>
      </c>
      <c r="N9217" t="s">
        <v>34733</v>
      </c>
      <c r="Q9217">
        <v>0</v>
      </c>
      <c r="R9217">
        <v>144</v>
      </c>
      <c r="S9217">
        <v>0</v>
      </c>
      <c r="T9217" t="s">
        <v>34734</v>
      </c>
    </row>
    <row r="9218" spans="1:20" customFormat="1" ht="15" x14ac:dyDescent="0.25">
      <c r="A9218" t="s">
        <v>24</v>
      </c>
      <c r="B9218" t="s">
        <v>57258</v>
      </c>
      <c r="C9218" t="str">
        <f>"A0076939"</f>
        <v>A0076939</v>
      </c>
      <c r="D9218" t="s">
        <v>68684</v>
      </c>
      <c r="E9218" t="s">
        <v>68685</v>
      </c>
      <c r="F9218" t="s">
        <v>68686</v>
      </c>
      <c r="G9218" t="s">
        <v>110</v>
      </c>
      <c r="H9218">
        <v>94574</v>
      </c>
      <c r="I9218" t="s">
        <v>30</v>
      </c>
      <c r="J9218" t="s">
        <v>162</v>
      </c>
      <c r="K9218" t="s">
        <v>163</v>
      </c>
      <c r="N9218" t="s">
        <v>68687</v>
      </c>
      <c r="Q9218">
        <v>0</v>
      </c>
      <c r="R9218">
        <v>78</v>
      </c>
      <c r="S9218">
        <v>0</v>
      </c>
      <c r="T9218" t="s">
        <v>68688</v>
      </c>
    </row>
    <row r="9219" spans="1:20" customFormat="1" ht="15" x14ac:dyDescent="0.25">
      <c r="A9219" t="s">
        <v>24</v>
      </c>
      <c r="B9219" t="s">
        <v>1528</v>
      </c>
      <c r="C9219" t="str">
        <f>"A0085078"</f>
        <v>A0085078</v>
      </c>
      <c r="D9219" t="s">
        <v>68735</v>
      </c>
      <c r="E9219" t="s">
        <v>68736</v>
      </c>
      <c r="F9219" t="s">
        <v>11421</v>
      </c>
      <c r="G9219" t="s">
        <v>76</v>
      </c>
      <c r="H9219">
        <v>98033</v>
      </c>
      <c r="I9219" t="s">
        <v>30</v>
      </c>
      <c r="J9219" t="s">
        <v>162</v>
      </c>
      <c r="K9219" t="s">
        <v>163</v>
      </c>
      <c r="N9219" t="s">
        <v>68737</v>
      </c>
      <c r="Q9219">
        <v>0</v>
      </c>
      <c r="R9219">
        <v>91</v>
      </c>
      <c r="S9219">
        <v>0</v>
      </c>
      <c r="T9219" t="s">
        <v>68738</v>
      </c>
    </row>
    <row r="9220" spans="1:20" customFormat="1" ht="15" x14ac:dyDescent="0.25">
      <c r="A9220" t="s">
        <v>24</v>
      </c>
      <c r="B9220" t="s">
        <v>10734</v>
      </c>
      <c r="C9220" t="str">
        <f>"A0058195"</f>
        <v>A0058195</v>
      </c>
      <c r="D9220" t="s">
        <v>68739</v>
      </c>
      <c r="E9220" t="s">
        <v>68740</v>
      </c>
      <c r="F9220" t="s">
        <v>6593</v>
      </c>
      <c r="G9220" t="s">
        <v>47</v>
      </c>
      <c r="H9220">
        <v>97205</v>
      </c>
      <c r="I9220" t="s">
        <v>30</v>
      </c>
      <c r="J9220" t="s">
        <v>162</v>
      </c>
      <c r="K9220" t="s">
        <v>163</v>
      </c>
      <c r="N9220" t="s">
        <v>68741</v>
      </c>
      <c r="Q9220">
        <v>0</v>
      </c>
      <c r="R9220">
        <v>300</v>
      </c>
      <c r="S9220">
        <v>0</v>
      </c>
      <c r="T9220" t="s">
        <v>68742</v>
      </c>
    </row>
    <row r="9221" spans="1:20" customFormat="1" ht="15" x14ac:dyDescent="0.25">
      <c r="A9221" t="s">
        <v>24</v>
      </c>
      <c r="B9221" t="s">
        <v>34154</v>
      </c>
      <c r="C9221" t="str">
        <f>"A0180091"</f>
        <v>A0180091</v>
      </c>
      <c r="D9221" t="s">
        <v>34748</v>
      </c>
      <c r="E9221" t="s">
        <v>34749</v>
      </c>
      <c r="F9221" t="s">
        <v>34750</v>
      </c>
      <c r="G9221" t="s">
        <v>81</v>
      </c>
      <c r="H9221">
        <v>34748</v>
      </c>
      <c r="I9221" t="s">
        <v>30</v>
      </c>
      <c r="J9221" t="s">
        <v>31</v>
      </c>
      <c r="K9221" t="s">
        <v>222</v>
      </c>
      <c r="N9221" t="s">
        <v>11291</v>
      </c>
      <c r="Q9221">
        <v>0</v>
      </c>
      <c r="R9221">
        <v>94</v>
      </c>
      <c r="S9221">
        <v>0</v>
      </c>
      <c r="T9221" t="s">
        <v>34751</v>
      </c>
    </row>
    <row r="9222" spans="1:20" customFormat="1" ht="15" x14ac:dyDescent="0.25">
      <c r="A9222" t="s">
        <v>24</v>
      </c>
      <c r="B9222" t="s">
        <v>805</v>
      </c>
      <c r="C9222" t="str">
        <f>"A0054843"</f>
        <v>A0054843</v>
      </c>
      <c r="D9222" t="s">
        <v>34752</v>
      </c>
      <c r="E9222" t="s">
        <v>34753</v>
      </c>
      <c r="F9222" t="s">
        <v>372</v>
      </c>
      <c r="G9222" t="s">
        <v>52</v>
      </c>
      <c r="H9222">
        <v>78745</v>
      </c>
      <c r="I9222" t="s">
        <v>30</v>
      </c>
      <c r="J9222" t="s">
        <v>31</v>
      </c>
      <c r="K9222" t="s">
        <v>34642</v>
      </c>
      <c r="N9222" t="s">
        <v>34754</v>
      </c>
      <c r="O9222" t="s">
        <v>34755</v>
      </c>
      <c r="Q9222">
        <v>0</v>
      </c>
      <c r="R9222">
        <v>122</v>
      </c>
      <c r="S9222">
        <v>0</v>
      </c>
      <c r="T9222" t="s">
        <v>34756</v>
      </c>
    </row>
    <row r="9223" spans="1:20" customFormat="1" ht="15" x14ac:dyDescent="0.25">
      <c r="A9223" t="s">
        <v>24</v>
      </c>
      <c r="B9223" t="s">
        <v>805</v>
      </c>
      <c r="C9223" t="str">
        <f>"SC162"</f>
        <v>SC162</v>
      </c>
      <c r="D9223" t="s">
        <v>34757</v>
      </c>
      <c r="E9223" t="s">
        <v>34758</v>
      </c>
      <c r="F9223" t="s">
        <v>2269</v>
      </c>
      <c r="G9223" t="s">
        <v>76</v>
      </c>
      <c r="H9223">
        <v>98662</v>
      </c>
      <c r="I9223" t="s">
        <v>30</v>
      </c>
      <c r="J9223" t="s">
        <v>31</v>
      </c>
      <c r="K9223" t="s">
        <v>34626</v>
      </c>
      <c r="N9223" t="s">
        <v>34759</v>
      </c>
      <c r="O9223" t="s">
        <v>34760</v>
      </c>
      <c r="Q9223">
        <v>0</v>
      </c>
      <c r="R9223">
        <v>117</v>
      </c>
      <c r="S9223">
        <v>0</v>
      </c>
      <c r="T9223" t="s">
        <v>34761</v>
      </c>
    </row>
    <row r="9224" spans="1:20" customFormat="1" ht="15" x14ac:dyDescent="0.25">
      <c r="A9224" t="s">
        <v>24</v>
      </c>
      <c r="B9224" t="s">
        <v>805</v>
      </c>
      <c r="C9224" t="str">
        <f>"A0059875"</f>
        <v>A0059875</v>
      </c>
      <c r="D9224" t="s">
        <v>34762</v>
      </c>
      <c r="E9224" t="s">
        <v>34763</v>
      </c>
      <c r="F9224" t="s">
        <v>34764</v>
      </c>
      <c r="G9224" t="s">
        <v>29</v>
      </c>
      <c r="H9224">
        <v>20171</v>
      </c>
      <c r="I9224" t="s">
        <v>30</v>
      </c>
      <c r="J9224" t="s">
        <v>31</v>
      </c>
      <c r="K9224" t="s">
        <v>34626</v>
      </c>
      <c r="N9224" t="s">
        <v>34765</v>
      </c>
      <c r="O9224" t="s">
        <v>34766</v>
      </c>
      <c r="Q9224">
        <v>0</v>
      </c>
      <c r="R9224">
        <v>112</v>
      </c>
      <c r="S9224">
        <v>0</v>
      </c>
      <c r="T9224" t="s">
        <v>34767</v>
      </c>
    </row>
    <row r="9225" spans="1:20" customFormat="1" ht="15" x14ac:dyDescent="0.25">
      <c r="A9225" t="s">
        <v>24</v>
      </c>
      <c r="B9225" t="s">
        <v>805</v>
      </c>
      <c r="C9225" t="str">
        <f>"A0054935"</f>
        <v>A0054935</v>
      </c>
      <c r="D9225" t="s">
        <v>34768</v>
      </c>
      <c r="E9225" t="s">
        <v>34769</v>
      </c>
      <c r="F9225" t="s">
        <v>34770</v>
      </c>
      <c r="G9225" t="s">
        <v>29</v>
      </c>
      <c r="H9225">
        <v>23666</v>
      </c>
      <c r="I9225" t="s">
        <v>30</v>
      </c>
      <c r="J9225" t="s">
        <v>31</v>
      </c>
      <c r="K9225" t="s">
        <v>34642</v>
      </c>
      <c r="N9225" t="s">
        <v>34771</v>
      </c>
      <c r="O9225" t="s">
        <v>34772</v>
      </c>
      <c r="Q9225">
        <v>0</v>
      </c>
      <c r="R9225">
        <v>98</v>
      </c>
      <c r="S9225">
        <v>0</v>
      </c>
      <c r="T9225" t="s">
        <v>34773</v>
      </c>
    </row>
    <row r="9226" spans="1:20" customFormat="1" ht="15" x14ac:dyDescent="0.25">
      <c r="A9226" t="s">
        <v>24</v>
      </c>
      <c r="B9226" t="s">
        <v>805</v>
      </c>
      <c r="C9226" t="str">
        <f>"A0054925"</f>
        <v>A0054925</v>
      </c>
      <c r="D9226" t="s">
        <v>34774</v>
      </c>
      <c r="E9226" t="s">
        <v>34775</v>
      </c>
      <c r="F9226" t="s">
        <v>4541</v>
      </c>
      <c r="G9226" t="s">
        <v>153</v>
      </c>
      <c r="H9226">
        <v>84116</v>
      </c>
      <c r="I9226" t="s">
        <v>30</v>
      </c>
      <c r="J9226" t="s">
        <v>31</v>
      </c>
      <c r="K9226" t="s">
        <v>34642</v>
      </c>
      <c r="N9226" t="s">
        <v>34776</v>
      </c>
      <c r="O9226" t="s">
        <v>34777</v>
      </c>
      <c r="Q9226">
        <v>0</v>
      </c>
      <c r="R9226">
        <v>122</v>
      </c>
      <c r="S9226">
        <v>0</v>
      </c>
      <c r="T9226" t="s">
        <v>34778</v>
      </c>
    </row>
    <row r="9227" spans="1:20" customFormat="1" ht="15" x14ac:dyDescent="0.25">
      <c r="A9227" t="s">
        <v>24</v>
      </c>
      <c r="B9227" t="s">
        <v>805</v>
      </c>
      <c r="C9227" t="str">
        <f>"SC128"</f>
        <v>SC128</v>
      </c>
      <c r="D9227" t="s">
        <v>34779</v>
      </c>
      <c r="E9227" t="s">
        <v>34780</v>
      </c>
      <c r="F9227" t="s">
        <v>372</v>
      </c>
      <c r="G9227" t="s">
        <v>52</v>
      </c>
      <c r="H9227">
        <v>78759</v>
      </c>
      <c r="I9227" t="s">
        <v>30</v>
      </c>
      <c r="J9227" t="s">
        <v>31</v>
      </c>
      <c r="K9227" t="s">
        <v>34626</v>
      </c>
      <c r="N9227" t="s">
        <v>34781</v>
      </c>
      <c r="O9227" t="s">
        <v>34754</v>
      </c>
      <c r="Q9227">
        <v>0</v>
      </c>
      <c r="R9227">
        <v>121</v>
      </c>
      <c r="S9227">
        <v>0</v>
      </c>
      <c r="T9227" t="s">
        <v>34782</v>
      </c>
    </row>
    <row r="9228" spans="1:20" customFormat="1" ht="15" x14ac:dyDescent="0.25">
      <c r="A9228" t="s">
        <v>24</v>
      </c>
      <c r="B9228" t="s">
        <v>805</v>
      </c>
      <c r="C9228" t="str">
        <f>"SC149"</f>
        <v>SC149</v>
      </c>
      <c r="D9228" t="s">
        <v>34783</v>
      </c>
      <c r="E9228" t="s">
        <v>34784</v>
      </c>
      <c r="F9228" t="s">
        <v>4829</v>
      </c>
      <c r="G9228" t="s">
        <v>52</v>
      </c>
      <c r="H9228">
        <v>75038</v>
      </c>
      <c r="I9228" t="s">
        <v>30</v>
      </c>
      <c r="J9228" t="s">
        <v>31</v>
      </c>
      <c r="K9228" t="s">
        <v>34626</v>
      </c>
      <c r="N9228" t="s">
        <v>34785</v>
      </c>
      <c r="O9228" t="s">
        <v>34786</v>
      </c>
      <c r="Q9228">
        <v>0</v>
      </c>
      <c r="R9228">
        <v>117</v>
      </c>
      <c r="S9228">
        <v>0</v>
      </c>
      <c r="T9228" t="s">
        <v>34787</v>
      </c>
    </row>
    <row r="9229" spans="1:20" customFormat="1" ht="15" x14ac:dyDescent="0.25">
      <c r="A9229" t="s">
        <v>24</v>
      </c>
      <c r="B9229" t="s">
        <v>805</v>
      </c>
      <c r="C9229" t="str">
        <f>"SC159"</f>
        <v>SC159</v>
      </c>
      <c r="D9229" t="s">
        <v>34788</v>
      </c>
      <c r="E9229" t="s">
        <v>34789</v>
      </c>
      <c r="F9229" t="s">
        <v>356</v>
      </c>
      <c r="G9229" t="s">
        <v>52</v>
      </c>
      <c r="H9229">
        <v>78230</v>
      </c>
      <c r="I9229" t="s">
        <v>30</v>
      </c>
      <c r="J9229" t="s">
        <v>31</v>
      </c>
      <c r="K9229" t="s">
        <v>34626</v>
      </c>
      <c r="N9229" t="s">
        <v>34790</v>
      </c>
      <c r="O9229" t="s">
        <v>34791</v>
      </c>
      <c r="Q9229">
        <v>0</v>
      </c>
      <c r="R9229">
        <v>118</v>
      </c>
      <c r="S9229">
        <v>0</v>
      </c>
      <c r="T9229" t="s">
        <v>34792</v>
      </c>
    </row>
    <row r="9230" spans="1:20" customFormat="1" ht="15" x14ac:dyDescent="0.25">
      <c r="A9230" t="s">
        <v>24</v>
      </c>
      <c r="B9230" t="s">
        <v>805</v>
      </c>
      <c r="C9230" t="str">
        <f>"A0054881"</f>
        <v>A0054881</v>
      </c>
      <c r="D9230" t="s">
        <v>34793</v>
      </c>
      <c r="E9230" t="s">
        <v>34794</v>
      </c>
      <c r="F9230" t="s">
        <v>4829</v>
      </c>
      <c r="G9230" t="s">
        <v>52</v>
      </c>
      <c r="H9230">
        <v>75243</v>
      </c>
      <c r="I9230" t="s">
        <v>30</v>
      </c>
      <c r="J9230" t="s">
        <v>31</v>
      </c>
      <c r="K9230" t="s">
        <v>34642</v>
      </c>
      <c r="N9230" t="s">
        <v>34795</v>
      </c>
      <c r="O9230" t="s">
        <v>34796</v>
      </c>
      <c r="Q9230">
        <v>0</v>
      </c>
      <c r="R9230">
        <v>117</v>
      </c>
      <c r="S9230">
        <v>0</v>
      </c>
      <c r="T9230" t="s">
        <v>34797</v>
      </c>
    </row>
    <row r="9231" spans="1:20" customFormat="1" ht="15" x14ac:dyDescent="0.25">
      <c r="A9231" t="s">
        <v>24</v>
      </c>
      <c r="B9231" t="s">
        <v>805</v>
      </c>
      <c r="C9231" t="str">
        <f>"A0054866"</f>
        <v>A0054866</v>
      </c>
      <c r="D9231" t="s">
        <v>34798</v>
      </c>
      <c r="E9231" t="s">
        <v>34799</v>
      </c>
      <c r="F9231" t="s">
        <v>1564</v>
      </c>
      <c r="G9231" t="s">
        <v>52</v>
      </c>
      <c r="H9231">
        <v>77042</v>
      </c>
      <c r="I9231" t="s">
        <v>30</v>
      </c>
      <c r="J9231" t="s">
        <v>31</v>
      </c>
      <c r="K9231" t="s">
        <v>34642</v>
      </c>
      <c r="N9231" t="s">
        <v>34800</v>
      </c>
      <c r="O9231" t="s">
        <v>34801</v>
      </c>
      <c r="Q9231">
        <v>0</v>
      </c>
      <c r="R9231">
        <v>123</v>
      </c>
      <c r="S9231">
        <v>0</v>
      </c>
      <c r="T9231" t="s">
        <v>34802</v>
      </c>
    </row>
    <row r="9232" spans="1:20" customFormat="1" ht="15" x14ac:dyDescent="0.25">
      <c r="A9232" t="s">
        <v>24</v>
      </c>
      <c r="B9232" t="s">
        <v>805</v>
      </c>
      <c r="C9232" t="str">
        <f>"A0068083"</f>
        <v>A0068083</v>
      </c>
      <c r="D9232" t="s">
        <v>34803</v>
      </c>
      <c r="E9232" t="s">
        <v>34804</v>
      </c>
      <c r="F9232" t="s">
        <v>34805</v>
      </c>
      <c r="G9232" t="s">
        <v>52</v>
      </c>
      <c r="H9232">
        <v>77058</v>
      </c>
      <c r="I9232" t="s">
        <v>30</v>
      </c>
      <c r="J9232" t="s">
        <v>31</v>
      </c>
      <c r="K9232" t="s">
        <v>34642</v>
      </c>
      <c r="N9232" t="s">
        <v>34806</v>
      </c>
      <c r="O9232" t="s">
        <v>34807</v>
      </c>
      <c r="Q9232">
        <v>0</v>
      </c>
      <c r="R9232">
        <v>122</v>
      </c>
      <c r="S9232">
        <v>0</v>
      </c>
      <c r="T9232" t="s">
        <v>34808</v>
      </c>
    </row>
    <row r="9233" spans="1:20" customFormat="1" ht="15" x14ac:dyDescent="0.25">
      <c r="A9233" t="s">
        <v>24</v>
      </c>
      <c r="B9233" t="s">
        <v>805</v>
      </c>
      <c r="C9233" t="str">
        <f>"A0054857"</f>
        <v>A0054857</v>
      </c>
      <c r="D9233" t="s">
        <v>34809</v>
      </c>
      <c r="E9233" t="s">
        <v>34810</v>
      </c>
      <c r="F9233" t="s">
        <v>372</v>
      </c>
      <c r="G9233" t="s">
        <v>52</v>
      </c>
      <c r="H9233">
        <v>78664</v>
      </c>
      <c r="I9233" t="s">
        <v>30</v>
      </c>
      <c r="J9233" t="s">
        <v>31</v>
      </c>
      <c r="K9233" t="s">
        <v>34642</v>
      </c>
      <c r="N9233" t="s">
        <v>34811</v>
      </c>
      <c r="O9233" t="s">
        <v>34812</v>
      </c>
      <c r="Q9233">
        <v>0</v>
      </c>
      <c r="R9233">
        <v>125</v>
      </c>
      <c r="S9233">
        <v>0</v>
      </c>
      <c r="T9233" t="s">
        <v>34813</v>
      </c>
    </row>
    <row r="9234" spans="1:20" customFormat="1" ht="15" x14ac:dyDescent="0.25">
      <c r="A9234" t="s">
        <v>24</v>
      </c>
      <c r="B9234" t="s">
        <v>805</v>
      </c>
      <c r="C9234" t="str">
        <f>"A0068088"</f>
        <v>A0068088</v>
      </c>
      <c r="D9234" t="s">
        <v>34814</v>
      </c>
      <c r="E9234" t="s">
        <v>34815</v>
      </c>
      <c r="F9234" t="s">
        <v>356</v>
      </c>
      <c r="G9234" t="s">
        <v>52</v>
      </c>
      <c r="H9234">
        <v>78230</v>
      </c>
      <c r="I9234" t="s">
        <v>30</v>
      </c>
      <c r="J9234" t="s">
        <v>31</v>
      </c>
      <c r="K9234" t="s">
        <v>34642</v>
      </c>
      <c r="N9234" t="s">
        <v>34816</v>
      </c>
      <c r="Q9234">
        <v>0</v>
      </c>
      <c r="R9234">
        <v>113</v>
      </c>
      <c r="S9234">
        <v>0</v>
      </c>
      <c r="T9234" t="s">
        <v>34817</v>
      </c>
    </row>
    <row r="9235" spans="1:20" customFormat="1" ht="15" x14ac:dyDescent="0.25">
      <c r="A9235" t="s">
        <v>24</v>
      </c>
      <c r="B9235" t="s">
        <v>805</v>
      </c>
      <c r="C9235" t="str">
        <f>"A0068087"</f>
        <v>A0068087</v>
      </c>
      <c r="D9235" t="s">
        <v>34818</v>
      </c>
      <c r="E9235" t="s">
        <v>34819</v>
      </c>
      <c r="F9235" t="s">
        <v>2128</v>
      </c>
      <c r="G9235" t="s">
        <v>52</v>
      </c>
      <c r="H9235">
        <v>75024</v>
      </c>
      <c r="I9235" t="s">
        <v>30</v>
      </c>
      <c r="J9235" t="s">
        <v>31</v>
      </c>
      <c r="K9235" t="s">
        <v>34642</v>
      </c>
      <c r="N9235" t="s">
        <v>34820</v>
      </c>
      <c r="O9235" t="s">
        <v>34821</v>
      </c>
      <c r="Q9235">
        <v>0</v>
      </c>
      <c r="R9235">
        <v>122</v>
      </c>
      <c r="S9235">
        <v>0</v>
      </c>
      <c r="T9235" t="s">
        <v>34822</v>
      </c>
    </row>
    <row r="9236" spans="1:20" customFormat="1" ht="15" x14ac:dyDescent="0.25">
      <c r="A9236" t="s">
        <v>24</v>
      </c>
      <c r="B9236" t="s">
        <v>805</v>
      </c>
      <c r="C9236" t="str">
        <f>"A0068082"</f>
        <v>A0068082</v>
      </c>
      <c r="D9236" t="s">
        <v>34823</v>
      </c>
      <c r="E9236" t="s">
        <v>34824</v>
      </c>
      <c r="F9236" t="s">
        <v>3505</v>
      </c>
      <c r="G9236" t="s">
        <v>52</v>
      </c>
      <c r="H9236">
        <v>75038</v>
      </c>
      <c r="I9236" t="s">
        <v>30</v>
      </c>
      <c r="J9236" t="s">
        <v>31</v>
      </c>
      <c r="K9236" t="s">
        <v>34642</v>
      </c>
      <c r="N9236" t="s">
        <v>34825</v>
      </c>
      <c r="O9236" t="s">
        <v>34826</v>
      </c>
      <c r="Q9236">
        <v>0</v>
      </c>
      <c r="R9236">
        <v>98</v>
      </c>
      <c r="S9236">
        <v>0</v>
      </c>
      <c r="T9236" t="s">
        <v>34827</v>
      </c>
    </row>
    <row r="9237" spans="1:20" customFormat="1" ht="15" x14ac:dyDescent="0.25">
      <c r="A9237" t="s">
        <v>24</v>
      </c>
      <c r="B9237" t="s">
        <v>805</v>
      </c>
      <c r="C9237" t="str">
        <f>"A0068081"</f>
        <v>A0068081</v>
      </c>
      <c r="D9237" t="s">
        <v>34828</v>
      </c>
      <c r="E9237" t="s">
        <v>34829</v>
      </c>
      <c r="F9237" t="s">
        <v>2094</v>
      </c>
      <c r="G9237" t="s">
        <v>52</v>
      </c>
      <c r="H9237">
        <v>75243</v>
      </c>
      <c r="I9237" t="s">
        <v>30</v>
      </c>
      <c r="J9237" t="s">
        <v>31</v>
      </c>
      <c r="K9237" t="s">
        <v>34642</v>
      </c>
      <c r="N9237" t="s">
        <v>34795</v>
      </c>
      <c r="O9237" t="s">
        <v>34830</v>
      </c>
      <c r="Q9237">
        <v>0</v>
      </c>
      <c r="R9237">
        <v>122</v>
      </c>
      <c r="S9237">
        <v>0</v>
      </c>
      <c r="T9237" t="s">
        <v>34831</v>
      </c>
    </row>
    <row r="9238" spans="1:20" customFormat="1" ht="15" x14ac:dyDescent="0.25">
      <c r="A9238" t="s">
        <v>24</v>
      </c>
      <c r="B9238" t="s">
        <v>805</v>
      </c>
      <c r="C9238" t="str">
        <f>"A0068080"</f>
        <v>A0068080</v>
      </c>
      <c r="D9238" t="s">
        <v>34832</v>
      </c>
      <c r="E9238" t="s">
        <v>34833</v>
      </c>
      <c r="F9238" t="s">
        <v>2094</v>
      </c>
      <c r="G9238" t="s">
        <v>52</v>
      </c>
      <c r="H9238">
        <v>76137</v>
      </c>
      <c r="I9238" t="s">
        <v>30</v>
      </c>
      <c r="J9238" t="s">
        <v>31</v>
      </c>
      <c r="K9238" t="s">
        <v>34642</v>
      </c>
      <c r="N9238" t="s">
        <v>34834</v>
      </c>
      <c r="O9238" t="s">
        <v>34835</v>
      </c>
      <c r="Q9238">
        <v>0</v>
      </c>
      <c r="R9238">
        <v>134</v>
      </c>
      <c r="S9238">
        <v>0</v>
      </c>
      <c r="T9238" t="s">
        <v>34836</v>
      </c>
    </row>
    <row r="9239" spans="1:20" customFormat="1" ht="15" x14ac:dyDescent="0.25">
      <c r="A9239" t="s">
        <v>24</v>
      </c>
      <c r="B9239" t="s">
        <v>805</v>
      </c>
      <c r="C9239" t="str">
        <f>"A0068085"</f>
        <v>A0068085</v>
      </c>
      <c r="D9239" t="s">
        <v>34837</v>
      </c>
      <c r="E9239" t="s">
        <v>34838</v>
      </c>
      <c r="F9239" t="s">
        <v>1564</v>
      </c>
      <c r="G9239" t="s">
        <v>52</v>
      </c>
      <c r="H9239">
        <v>77081</v>
      </c>
      <c r="I9239" t="s">
        <v>30</v>
      </c>
      <c r="J9239" t="s">
        <v>31</v>
      </c>
      <c r="K9239" t="s">
        <v>34642</v>
      </c>
      <c r="N9239" t="s">
        <v>34839</v>
      </c>
      <c r="O9239" t="s">
        <v>34840</v>
      </c>
      <c r="Q9239">
        <v>0</v>
      </c>
      <c r="R9239">
        <v>122</v>
      </c>
      <c r="S9239">
        <v>0</v>
      </c>
      <c r="T9239" t="s">
        <v>34841</v>
      </c>
    </row>
    <row r="9240" spans="1:20" customFormat="1" ht="15" x14ac:dyDescent="0.25">
      <c r="A9240" t="s">
        <v>24</v>
      </c>
      <c r="B9240" t="s">
        <v>805</v>
      </c>
      <c r="C9240" t="str">
        <f>"A0068076"</f>
        <v>A0068076</v>
      </c>
      <c r="D9240" t="s">
        <v>34842</v>
      </c>
      <c r="E9240" t="s">
        <v>34843</v>
      </c>
      <c r="F9240" t="s">
        <v>9846</v>
      </c>
      <c r="G9240" t="s">
        <v>880</v>
      </c>
      <c r="H9240">
        <v>37027</v>
      </c>
      <c r="I9240" t="s">
        <v>30</v>
      </c>
      <c r="J9240" t="s">
        <v>31</v>
      </c>
      <c r="K9240" t="s">
        <v>34642</v>
      </c>
      <c r="N9240" t="s">
        <v>34844</v>
      </c>
      <c r="Q9240">
        <v>0</v>
      </c>
      <c r="R9240">
        <v>122</v>
      </c>
      <c r="S9240">
        <v>0</v>
      </c>
      <c r="T9240" t="s">
        <v>34845</v>
      </c>
    </row>
    <row r="9241" spans="1:20" customFormat="1" ht="15" x14ac:dyDescent="0.25">
      <c r="A9241" t="s">
        <v>24</v>
      </c>
      <c r="B9241" t="s">
        <v>805</v>
      </c>
      <c r="C9241" t="str">
        <f>"A0054865"</f>
        <v>A0054865</v>
      </c>
      <c r="D9241" t="s">
        <v>34846</v>
      </c>
      <c r="E9241" t="s">
        <v>34847</v>
      </c>
      <c r="F9241" t="s">
        <v>1564</v>
      </c>
      <c r="G9241" t="s">
        <v>52</v>
      </c>
      <c r="H9241">
        <v>78230</v>
      </c>
      <c r="I9241" t="s">
        <v>30</v>
      </c>
      <c r="J9241" t="s">
        <v>31</v>
      </c>
      <c r="K9241" t="s">
        <v>34642</v>
      </c>
      <c r="N9241" t="s">
        <v>34840</v>
      </c>
      <c r="O9241" t="s">
        <v>34848</v>
      </c>
      <c r="Q9241">
        <v>0</v>
      </c>
      <c r="R9241">
        <v>122</v>
      </c>
      <c r="S9241">
        <v>0</v>
      </c>
      <c r="T9241" t="s">
        <v>34849</v>
      </c>
    </row>
    <row r="9242" spans="1:20" customFormat="1" ht="15" x14ac:dyDescent="0.25">
      <c r="A9242" t="s">
        <v>24</v>
      </c>
      <c r="B9242" t="s">
        <v>805</v>
      </c>
      <c r="C9242" t="str">
        <f>"A0068078"</f>
        <v>A0068078</v>
      </c>
      <c r="D9242" t="s">
        <v>34850</v>
      </c>
      <c r="E9242" t="s">
        <v>34851</v>
      </c>
      <c r="F9242" t="s">
        <v>12348</v>
      </c>
      <c r="G9242" t="s">
        <v>880</v>
      </c>
      <c r="H9242">
        <v>37027</v>
      </c>
      <c r="I9242" t="s">
        <v>30</v>
      </c>
      <c r="J9242" t="s">
        <v>31</v>
      </c>
      <c r="K9242" t="s">
        <v>34642</v>
      </c>
      <c r="N9242" t="s">
        <v>34852</v>
      </c>
      <c r="O9242" t="s">
        <v>34853</v>
      </c>
      <c r="Q9242">
        <v>0</v>
      </c>
      <c r="R9242">
        <v>98</v>
      </c>
      <c r="S9242">
        <v>0</v>
      </c>
      <c r="T9242" t="s">
        <v>34854</v>
      </c>
    </row>
    <row r="9243" spans="1:20" customFormat="1" ht="15" x14ac:dyDescent="0.25">
      <c r="A9243" t="s">
        <v>24</v>
      </c>
      <c r="B9243" t="s">
        <v>805</v>
      </c>
      <c r="C9243" t="str">
        <f>"A0054846"</f>
        <v>A0054846</v>
      </c>
      <c r="D9243" t="s">
        <v>34855</v>
      </c>
      <c r="E9243" t="s">
        <v>34856</v>
      </c>
      <c r="F9243" t="s">
        <v>14442</v>
      </c>
      <c r="G9243" t="s">
        <v>103</v>
      </c>
      <c r="H9243">
        <v>19044</v>
      </c>
      <c r="I9243" t="s">
        <v>30</v>
      </c>
      <c r="J9243" t="s">
        <v>31</v>
      </c>
      <c r="K9243" t="s">
        <v>34642</v>
      </c>
      <c r="N9243" t="s">
        <v>34857</v>
      </c>
      <c r="O9243" t="s">
        <v>34858</v>
      </c>
      <c r="Q9243">
        <v>0</v>
      </c>
      <c r="R9243">
        <v>110</v>
      </c>
      <c r="S9243">
        <v>0</v>
      </c>
      <c r="T9243" t="s">
        <v>34859</v>
      </c>
    </row>
    <row r="9244" spans="1:20" customFormat="1" ht="15" x14ac:dyDescent="0.25">
      <c r="A9244" t="s">
        <v>24</v>
      </c>
      <c r="B9244" t="s">
        <v>805</v>
      </c>
      <c r="C9244" t="str">
        <f>"A0054974"</f>
        <v>A0054974</v>
      </c>
      <c r="D9244" t="s">
        <v>34860</v>
      </c>
      <c r="E9244" t="s">
        <v>34861</v>
      </c>
      <c r="F9244" t="s">
        <v>5706</v>
      </c>
      <c r="G9244" t="s">
        <v>1706</v>
      </c>
      <c r="H9244">
        <v>35242</v>
      </c>
      <c r="I9244" t="s">
        <v>30</v>
      </c>
      <c r="J9244" t="s">
        <v>31</v>
      </c>
      <c r="K9244" t="s">
        <v>34642</v>
      </c>
      <c r="N9244" t="s">
        <v>34862</v>
      </c>
      <c r="O9244" t="s">
        <v>34863</v>
      </c>
      <c r="Q9244">
        <v>0</v>
      </c>
      <c r="R9244">
        <v>98</v>
      </c>
      <c r="S9244">
        <v>0</v>
      </c>
      <c r="T9244" t="s">
        <v>34864</v>
      </c>
    </row>
    <row r="9245" spans="1:20" customFormat="1" ht="15" x14ac:dyDescent="0.25">
      <c r="A9245" t="s">
        <v>24</v>
      </c>
      <c r="B9245" t="s">
        <v>805</v>
      </c>
      <c r="C9245" t="str">
        <f>"A0068074"</f>
        <v>A0068074</v>
      </c>
      <c r="D9245" t="s">
        <v>34865</v>
      </c>
      <c r="E9245" t="s">
        <v>34866</v>
      </c>
      <c r="F9245" t="s">
        <v>866</v>
      </c>
      <c r="G9245" t="s">
        <v>40</v>
      </c>
      <c r="H9245">
        <v>73108</v>
      </c>
      <c r="I9245" t="s">
        <v>30</v>
      </c>
      <c r="J9245" t="s">
        <v>31</v>
      </c>
      <c r="K9245" t="s">
        <v>34642</v>
      </c>
      <c r="N9245" t="s">
        <v>34867</v>
      </c>
      <c r="O9245" t="s">
        <v>34868</v>
      </c>
      <c r="Q9245">
        <v>0</v>
      </c>
      <c r="R9245">
        <v>122</v>
      </c>
      <c r="S9245">
        <v>0</v>
      </c>
      <c r="T9245" t="s">
        <v>34869</v>
      </c>
    </row>
    <row r="9246" spans="1:20" customFormat="1" ht="15" hidden="1" x14ac:dyDescent="0.25">
      <c r="A9246" t="s">
        <v>24</v>
      </c>
      <c r="B9246" t="s">
        <v>805</v>
      </c>
      <c r="C9246" t="str">
        <f>"SC030"</f>
        <v>SC030</v>
      </c>
      <c r="D9246" t="s">
        <v>34870</v>
      </c>
      <c r="E9246" t="s">
        <v>34871</v>
      </c>
      <c r="F9246" t="s">
        <v>34872</v>
      </c>
      <c r="G9246" t="s">
        <v>2206</v>
      </c>
      <c r="H9246" t="s">
        <v>34873</v>
      </c>
      <c r="I9246" t="s">
        <v>1459</v>
      </c>
      <c r="J9246" t="s">
        <v>31</v>
      </c>
      <c r="K9246" t="s">
        <v>34626</v>
      </c>
      <c r="N9246" t="s">
        <v>34874</v>
      </c>
      <c r="Q9246">
        <v>0</v>
      </c>
      <c r="R9246">
        <v>120</v>
      </c>
      <c r="S9246">
        <v>0</v>
      </c>
      <c r="T9246" t="s">
        <v>34875</v>
      </c>
    </row>
    <row r="9247" spans="1:20" customFormat="1" ht="15" x14ac:dyDescent="0.25">
      <c r="A9247" t="s">
        <v>24</v>
      </c>
      <c r="B9247" t="s">
        <v>805</v>
      </c>
      <c r="C9247" t="str">
        <f>"A0068073"</f>
        <v>A0068073</v>
      </c>
      <c r="D9247" t="s">
        <v>34876</v>
      </c>
      <c r="E9247" t="s">
        <v>34877</v>
      </c>
      <c r="F9247" t="s">
        <v>34878</v>
      </c>
      <c r="G9247" t="s">
        <v>65</v>
      </c>
      <c r="H9247">
        <v>44070</v>
      </c>
      <c r="I9247" t="s">
        <v>30</v>
      </c>
      <c r="J9247" t="s">
        <v>31</v>
      </c>
      <c r="K9247" t="s">
        <v>34642</v>
      </c>
      <c r="N9247" t="s">
        <v>34879</v>
      </c>
      <c r="O9247" t="s">
        <v>34880</v>
      </c>
      <c r="Q9247">
        <v>0</v>
      </c>
      <c r="R9247">
        <v>125</v>
      </c>
      <c r="S9247">
        <v>0</v>
      </c>
      <c r="T9247" t="s">
        <v>34881</v>
      </c>
    </row>
    <row r="9248" spans="1:20" customFormat="1" ht="15" x14ac:dyDescent="0.25">
      <c r="A9248" t="s">
        <v>24</v>
      </c>
      <c r="B9248" t="s">
        <v>805</v>
      </c>
      <c r="C9248" t="str">
        <f>"A0068072"</f>
        <v>A0068072</v>
      </c>
      <c r="D9248" t="s">
        <v>34882</v>
      </c>
      <c r="E9248" t="s">
        <v>34883</v>
      </c>
      <c r="F9248" t="s">
        <v>1525</v>
      </c>
      <c r="G9248" t="s">
        <v>65</v>
      </c>
      <c r="H9248">
        <v>43230</v>
      </c>
      <c r="I9248" t="s">
        <v>30</v>
      </c>
      <c r="J9248" t="s">
        <v>31</v>
      </c>
      <c r="K9248" t="s">
        <v>34642</v>
      </c>
      <c r="N9248" t="s">
        <v>34884</v>
      </c>
      <c r="O9248" t="s">
        <v>34885</v>
      </c>
      <c r="Q9248">
        <v>0</v>
      </c>
      <c r="R9248">
        <v>122</v>
      </c>
      <c r="S9248">
        <v>0</v>
      </c>
      <c r="T9248" t="s">
        <v>34886</v>
      </c>
    </row>
    <row r="9249" spans="1:20" customFormat="1" ht="15" x14ac:dyDescent="0.25">
      <c r="A9249" t="s">
        <v>24</v>
      </c>
      <c r="B9249" t="s">
        <v>805</v>
      </c>
      <c r="C9249" t="str">
        <f>"A0068071"</f>
        <v>A0068071</v>
      </c>
      <c r="D9249" t="s">
        <v>34887</v>
      </c>
      <c r="E9249" t="s">
        <v>34888</v>
      </c>
      <c r="F9249" t="s">
        <v>220</v>
      </c>
      <c r="G9249" t="s">
        <v>221</v>
      </c>
      <c r="H9249">
        <v>89109</v>
      </c>
      <c r="I9249" t="s">
        <v>30</v>
      </c>
      <c r="J9249" t="s">
        <v>31</v>
      </c>
      <c r="K9249" t="s">
        <v>34642</v>
      </c>
      <c r="N9249" t="s">
        <v>34889</v>
      </c>
      <c r="O9249" t="s">
        <v>34890</v>
      </c>
      <c r="Q9249">
        <v>0</v>
      </c>
      <c r="R9249">
        <v>276</v>
      </c>
      <c r="S9249">
        <v>0</v>
      </c>
      <c r="T9249" t="s">
        <v>34891</v>
      </c>
    </row>
    <row r="9250" spans="1:20" customFormat="1" ht="15" x14ac:dyDescent="0.25">
      <c r="A9250" t="s">
        <v>24</v>
      </c>
      <c r="B9250" t="s">
        <v>805</v>
      </c>
      <c r="C9250" t="str">
        <f>"A0068070"</f>
        <v>A0068070</v>
      </c>
      <c r="D9250" t="s">
        <v>34892</v>
      </c>
      <c r="E9250" t="s">
        <v>34893</v>
      </c>
      <c r="F9250" t="s">
        <v>34894</v>
      </c>
      <c r="G9250" t="s">
        <v>99</v>
      </c>
      <c r="H9250">
        <v>10954</v>
      </c>
      <c r="I9250" t="s">
        <v>30</v>
      </c>
      <c r="J9250" t="s">
        <v>31</v>
      </c>
      <c r="K9250" t="s">
        <v>34642</v>
      </c>
      <c r="N9250" t="s">
        <v>34895</v>
      </c>
      <c r="O9250" t="s">
        <v>34896</v>
      </c>
      <c r="Q9250">
        <v>0</v>
      </c>
      <c r="R9250">
        <v>124</v>
      </c>
      <c r="S9250">
        <v>0</v>
      </c>
      <c r="T9250" t="s">
        <v>34897</v>
      </c>
    </row>
    <row r="9251" spans="1:20" customFormat="1" ht="15" x14ac:dyDescent="0.25">
      <c r="A9251" t="s">
        <v>24</v>
      </c>
      <c r="B9251" t="s">
        <v>805</v>
      </c>
      <c r="C9251" t="str">
        <f>"A0054886"</f>
        <v>A0054886</v>
      </c>
      <c r="D9251" t="s">
        <v>34898</v>
      </c>
      <c r="E9251" t="s">
        <v>34899</v>
      </c>
      <c r="F9251" t="s">
        <v>34900</v>
      </c>
      <c r="G9251" t="s">
        <v>1587</v>
      </c>
      <c r="H9251">
        <v>87107</v>
      </c>
      <c r="I9251" t="s">
        <v>30</v>
      </c>
      <c r="J9251" t="s">
        <v>31</v>
      </c>
      <c r="K9251" t="s">
        <v>34642</v>
      </c>
      <c r="N9251" t="s">
        <v>34901</v>
      </c>
      <c r="O9251" t="s">
        <v>34902</v>
      </c>
      <c r="Q9251">
        <v>0</v>
      </c>
      <c r="R9251">
        <v>123</v>
      </c>
      <c r="S9251">
        <v>0</v>
      </c>
      <c r="T9251" t="s">
        <v>34903</v>
      </c>
    </row>
    <row r="9252" spans="1:20" customFormat="1" ht="15" x14ac:dyDescent="0.25">
      <c r="A9252" t="s">
        <v>24</v>
      </c>
      <c r="B9252" t="s">
        <v>805</v>
      </c>
      <c r="C9252" t="str">
        <f>"A0054883"</f>
        <v>A0054883</v>
      </c>
      <c r="D9252" t="s">
        <v>34904</v>
      </c>
      <c r="E9252" t="s">
        <v>34905</v>
      </c>
      <c r="F9252" t="s">
        <v>16314</v>
      </c>
      <c r="G9252" t="s">
        <v>338</v>
      </c>
      <c r="H9252">
        <v>8873</v>
      </c>
      <c r="I9252" t="s">
        <v>30</v>
      </c>
      <c r="J9252" t="s">
        <v>31</v>
      </c>
      <c r="K9252" t="s">
        <v>34642</v>
      </c>
      <c r="N9252" t="s">
        <v>34906</v>
      </c>
      <c r="O9252" t="s">
        <v>34907</v>
      </c>
      <c r="Q9252">
        <v>0</v>
      </c>
      <c r="R9252">
        <v>110</v>
      </c>
      <c r="S9252">
        <v>0</v>
      </c>
      <c r="T9252" t="s">
        <v>34908</v>
      </c>
    </row>
    <row r="9253" spans="1:20" customFormat="1" ht="15" x14ac:dyDescent="0.25">
      <c r="A9253" t="s">
        <v>24</v>
      </c>
      <c r="B9253" t="s">
        <v>805</v>
      </c>
      <c r="C9253" t="str">
        <f>"A0068067"</f>
        <v>A0068067</v>
      </c>
      <c r="D9253" t="s">
        <v>34909</v>
      </c>
      <c r="E9253" t="s">
        <v>34910</v>
      </c>
      <c r="F9253" t="s">
        <v>14600</v>
      </c>
      <c r="G9253" t="s">
        <v>338</v>
      </c>
      <c r="H9253">
        <v>8054</v>
      </c>
      <c r="I9253" t="s">
        <v>30</v>
      </c>
      <c r="J9253" t="s">
        <v>31</v>
      </c>
      <c r="K9253" t="s">
        <v>34642</v>
      </c>
      <c r="N9253" t="s">
        <v>34911</v>
      </c>
      <c r="Q9253">
        <v>0</v>
      </c>
      <c r="R9253">
        <v>123</v>
      </c>
      <c r="S9253">
        <v>0</v>
      </c>
      <c r="T9253" t="s">
        <v>34912</v>
      </c>
    </row>
    <row r="9254" spans="1:20" customFormat="1" ht="15" x14ac:dyDescent="0.25">
      <c r="A9254" t="s">
        <v>24</v>
      </c>
      <c r="B9254" t="s">
        <v>805</v>
      </c>
      <c r="C9254" t="str">
        <f>"A0068066"</f>
        <v>A0068066</v>
      </c>
      <c r="D9254" t="s">
        <v>34913</v>
      </c>
      <c r="E9254" t="s">
        <v>34914</v>
      </c>
      <c r="F9254" t="s">
        <v>34915</v>
      </c>
      <c r="G9254" t="s">
        <v>338</v>
      </c>
      <c r="H9254">
        <v>7950</v>
      </c>
      <c r="I9254" t="s">
        <v>30</v>
      </c>
      <c r="J9254" t="s">
        <v>31</v>
      </c>
      <c r="K9254" t="s">
        <v>34642</v>
      </c>
      <c r="N9254" t="s">
        <v>34916</v>
      </c>
      <c r="O9254" t="s">
        <v>34917</v>
      </c>
      <c r="Q9254">
        <v>0</v>
      </c>
      <c r="R9254">
        <v>122</v>
      </c>
      <c r="S9254">
        <v>0</v>
      </c>
      <c r="T9254" t="s">
        <v>34918</v>
      </c>
    </row>
    <row r="9255" spans="1:20" customFormat="1" ht="15" x14ac:dyDescent="0.25">
      <c r="A9255" t="s">
        <v>24</v>
      </c>
      <c r="B9255" t="s">
        <v>805</v>
      </c>
      <c r="C9255" t="str">
        <f>"A0068065"</f>
        <v>A0068065</v>
      </c>
      <c r="D9255" t="s">
        <v>34919</v>
      </c>
      <c r="E9255" t="s">
        <v>34920</v>
      </c>
      <c r="F9255" t="s">
        <v>337</v>
      </c>
      <c r="G9255" t="s">
        <v>338</v>
      </c>
      <c r="H9255">
        <v>7302</v>
      </c>
      <c r="I9255" t="s">
        <v>30</v>
      </c>
      <c r="J9255" t="s">
        <v>31</v>
      </c>
      <c r="K9255" t="s">
        <v>34642</v>
      </c>
      <c r="N9255" t="s">
        <v>34921</v>
      </c>
      <c r="O9255" t="s">
        <v>34922</v>
      </c>
      <c r="Q9255">
        <v>0</v>
      </c>
      <c r="R9255">
        <v>214</v>
      </c>
      <c r="S9255">
        <v>0</v>
      </c>
      <c r="T9255" t="s">
        <v>34923</v>
      </c>
    </row>
    <row r="9256" spans="1:20" customFormat="1" ht="15" x14ac:dyDescent="0.25">
      <c r="A9256" t="s">
        <v>24</v>
      </c>
      <c r="B9256" t="s">
        <v>805</v>
      </c>
      <c r="C9256" t="str">
        <f>"A0068062"</f>
        <v>A0068062</v>
      </c>
      <c r="D9256" t="s">
        <v>34924</v>
      </c>
      <c r="E9256" t="s">
        <v>34925</v>
      </c>
      <c r="F9256" t="s">
        <v>242</v>
      </c>
      <c r="G9256" t="s">
        <v>214</v>
      </c>
      <c r="H9256">
        <v>28213</v>
      </c>
      <c r="I9256" t="s">
        <v>30</v>
      </c>
      <c r="J9256" t="s">
        <v>31</v>
      </c>
      <c r="K9256" t="s">
        <v>34642</v>
      </c>
      <c r="N9256" t="s">
        <v>34926</v>
      </c>
      <c r="O9256" t="s">
        <v>34927</v>
      </c>
      <c r="Q9256">
        <v>0</v>
      </c>
      <c r="R9256">
        <v>122</v>
      </c>
      <c r="S9256">
        <v>0</v>
      </c>
      <c r="T9256" t="s">
        <v>34928</v>
      </c>
    </row>
    <row r="9257" spans="1:20" customFormat="1" ht="15" x14ac:dyDescent="0.25">
      <c r="A9257" t="s">
        <v>24</v>
      </c>
      <c r="B9257" t="s">
        <v>805</v>
      </c>
      <c r="C9257" t="str">
        <f>"A0068061"</f>
        <v>A0068061</v>
      </c>
      <c r="D9257" t="s">
        <v>34929</v>
      </c>
      <c r="E9257" t="s">
        <v>34930</v>
      </c>
      <c r="F9257" t="s">
        <v>34931</v>
      </c>
      <c r="G9257" t="s">
        <v>137</v>
      </c>
      <c r="H9257">
        <v>63045</v>
      </c>
      <c r="I9257" t="s">
        <v>30</v>
      </c>
      <c r="J9257" t="s">
        <v>31</v>
      </c>
      <c r="K9257" t="s">
        <v>34642</v>
      </c>
      <c r="N9257" t="s">
        <v>34932</v>
      </c>
      <c r="O9257" t="s">
        <v>34933</v>
      </c>
      <c r="Q9257">
        <v>0</v>
      </c>
      <c r="R9257">
        <v>122</v>
      </c>
      <c r="S9257">
        <v>0</v>
      </c>
      <c r="T9257" t="s">
        <v>34934</v>
      </c>
    </row>
    <row r="9258" spans="1:20" customFormat="1" ht="15" x14ac:dyDescent="0.25">
      <c r="A9258" t="s">
        <v>24</v>
      </c>
      <c r="B9258" t="s">
        <v>805</v>
      </c>
      <c r="C9258" t="str">
        <f>"A0055017"</f>
        <v>A0055017</v>
      </c>
      <c r="D9258" t="s">
        <v>34935</v>
      </c>
      <c r="E9258" t="s">
        <v>34936</v>
      </c>
      <c r="F9258" t="s">
        <v>6404</v>
      </c>
      <c r="G9258" t="s">
        <v>161</v>
      </c>
      <c r="H9258">
        <v>55423</v>
      </c>
      <c r="I9258" t="s">
        <v>30</v>
      </c>
      <c r="J9258" t="s">
        <v>31</v>
      </c>
      <c r="K9258" t="s">
        <v>34642</v>
      </c>
      <c r="N9258" t="s">
        <v>34937</v>
      </c>
      <c r="Q9258">
        <v>0</v>
      </c>
      <c r="R9258">
        <v>134</v>
      </c>
      <c r="S9258">
        <v>0</v>
      </c>
      <c r="T9258" t="s">
        <v>34938</v>
      </c>
    </row>
    <row r="9259" spans="1:20" customFormat="1" ht="15" x14ac:dyDescent="0.25">
      <c r="A9259" t="s">
        <v>24</v>
      </c>
      <c r="B9259" t="s">
        <v>805</v>
      </c>
      <c r="C9259" t="str">
        <f>"A0068060"</f>
        <v>A0068060</v>
      </c>
      <c r="D9259" t="s">
        <v>34939</v>
      </c>
      <c r="E9259" t="s">
        <v>34940</v>
      </c>
      <c r="F9259" t="s">
        <v>6314</v>
      </c>
      <c r="G9259" t="s">
        <v>117</v>
      </c>
      <c r="H9259">
        <v>48084</v>
      </c>
      <c r="I9259" t="s">
        <v>30</v>
      </c>
      <c r="J9259" t="s">
        <v>31</v>
      </c>
      <c r="K9259" t="s">
        <v>34642</v>
      </c>
      <c r="N9259" t="s">
        <v>34941</v>
      </c>
      <c r="O9259" t="s">
        <v>34942</v>
      </c>
      <c r="Q9259">
        <v>0</v>
      </c>
      <c r="R9259">
        <v>118</v>
      </c>
      <c r="S9259">
        <v>0</v>
      </c>
      <c r="T9259" t="s">
        <v>34943</v>
      </c>
    </row>
    <row r="9260" spans="1:20" customFormat="1" ht="15" x14ac:dyDescent="0.25">
      <c r="A9260" t="s">
        <v>24</v>
      </c>
      <c r="B9260" t="s">
        <v>805</v>
      </c>
      <c r="C9260" t="str">
        <f>"A0055014"</f>
        <v>A0055014</v>
      </c>
      <c r="D9260" t="s">
        <v>34944</v>
      </c>
      <c r="E9260" t="s">
        <v>34945</v>
      </c>
      <c r="F9260" t="s">
        <v>34946</v>
      </c>
      <c r="G9260" t="s">
        <v>117</v>
      </c>
      <c r="H9260">
        <v>48092</v>
      </c>
      <c r="I9260" t="s">
        <v>30</v>
      </c>
      <c r="J9260" t="s">
        <v>31</v>
      </c>
      <c r="K9260" t="s">
        <v>34642</v>
      </c>
      <c r="N9260" t="s">
        <v>34947</v>
      </c>
      <c r="O9260" t="s">
        <v>34948</v>
      </c>
      <c r="Q9260">
        <v>0</v>
      </c>
      <c r="R9260">
        <v>122</v>
      </c>
      <c r="S9260">
        <v>0</v>
      </c>
      <c r="T9260" t="s">
        <v>34949</v>
      </c>
    </row>
    <row r="9261" spans="1:20" customFormat="1" ht="15" x14ac:dyDescent="0.25">
      <c r="A9261" t="s">
        <v>24</v>
      </c>
      <c r="B9261" t="s">
        <v>14919</v>
      </c>
      <c r="C9261" t="str">
        <f>"A0083710"</f>
        <v>A0083710</v>
      </c>
      <c r="D9261" t="s">
        <v>68762</v>
      </c>
      <c r="E9261" t="s">
        <v>62957</v>
      </c>
      <c r="F9261" t="s">
        <v>14922</v>
      </c>
      <c r="G9261" t="s">
        <v>103</v>
      </c>
      <c r="H9261">
        <v>17033</v>
      </c>
      <c r="I9261" t="s">
        <v>30</v>
      </c>
      <c r="J9261" t="s">
        <v>162</v>
      </c>
      <c r="K9261" t="s">
        <v>163</v>
      </c>
      <c r="N9261" t="s">
        <v>62958</v>
      </c>
      <c r="O9261" t="s">
        <v>68763</v>
      </c>
      <c r="Q9261">
        <v>0</v>
      </c>
      <c r="R9261">
        <v>0</v>
      </c>
      <c r="S9261">
        <v>0</v>
      </c>
      <c r="T9261" t="s">
        <v>68764</v>
      </c>
    </row>
    <row r="9262" spans="1:20" customFormat="1" ht="15" x14ac:dyDescent="0.25">
      <c r="A9262" t="s">
        <v>24</v>
      </c>
      <c r="B9262" t="s">
        <v>805</v>
      </c>
      <c r="C9262" t="str">
        <f>"A0068059"</f>
        <v>A0068059</v>
      </c>
      <c r="D9262" t="s">
        <v>34955</v>
      </c>
      <c r="E9262" t="s">
        <v>34956</v>
      </c>
      <c r="F9262" t="s">
        <v>34957</v>
      </c>
      <c r="G9262" t="s">
        <v>117</v>
      </c>
      <c r="H9262">
        <v>48076</v>
      </c>
      <c r="I9262" t="s">
        <v>30</v>
      </c>
      <c r="J9262" t="s">
        <v>31</v>
      </c>
      <c r="K9262" t="s">
        <v>34642</v>
      </c>
      <c r="N9262" t="s">
        <v>34958</v>
      </c>
      <c r="O9262" t="s">
        <v>34959</v>
      </c>
      <c r="Q9262">
        <v>0</v>
      </c>
      <c r="R9262">
        <v>121</v>
      </c>
      <c r="S9262">
        <v>0</v>
      </c>
      <c r="T9262" t="s">
        <v>34960</v>
      </c>
    </row>
    <row r="9263" spans="1:20" customFormat="1" ht="15" x14ac:dyDescent="0.25">
      <c r="A9263" t="s">
        <v>24</v>
      </c>
      <c r="B9263" t="s">
        <v>805</v>
      </c>
      <c r="C9263" t="str">
        <f>"A0068035"</f>
        <v>A0068035</v>
      </c>
      <c r="D9263" t="s">
        <v>34961</v>
      </c>
      <c r="E9263" t="s">
        <v>34962</v>
      </c>
      <c r="F9263" t="s">
        <v>6840</v>
      </c>
      <c r="G9263" t="s">
        <v>117</v>
      </c>
      <c r="H9263">
        <v>48103</v>
      </c>
      <c r="I9263" t="s">
        <v>30</v>
      </c>
      <c r="J9263" t="s">
        <v>31</v>
      </c>
      <c r="K9263" t="s">
        <v>34642</v>
      </c>
      <c r="N9263" t="s">
        <v>34963</v>
      </c>
      <c r="O9263" t="s">
        <v>34964</v>
      </c>
      <c r="Q9263">
        <v>0</v>
      </c>
      <c r="R9263">
        <v>122</v>
      </c>
      <c r="S9263">
        <v>0</v>
      </c>
      <c r="T9263" t="s">
        <v>34965</v>
      </c>
    </row>
    <row r="9264" spans="1:20" customFormat="1" ht="15" x14ac:dyDescent="0.25">
      <c r="A9264" t="s">
        <v>24</v>
      </c>
      <c r="B9264" t="s">
        <v>805</v>
      </c>
      <c r="C9264" t="str">
        <f>"A0055002"</f>
        <v>A0055002</v>
      </c>
      <c r="D9264" t="s">
        <v>34966</v>
      </c>
      <c r="E9264" t="s">
        <v>34967</v>
      </c>
      <c r="F9264" t="s">
        <v>34968</v>
      </c>
      <c r="G9264" t="s">
        <v>899</v>
      </c>
      <c r="H9264">
        <v>2184</v>
      </c>
      <c r="I9264" t="s">
        <v>30</v>
      </c>
      <c r="J9264" t="s">
        <v>31</v>
      </c>
      <c r="K9264" t="s">
        <v>34642</v>
      </c>
      <c r="N9264" t="s">
        <v>34969</v>
      </c>
      <c r="O9264" t="s">
        <v>34970</v>
      </c>
      <c r="Q9264">
        <v>0</v>
      </c>
      <c r="R9264">
        <v>133</v>
      </c>
      <c r="S9264">
        <v>0</v>
      </c>
      <c r="T9264" t="s">
        <v>34971</v>
      </c>
    </row>
    <row r="9265" spans="1:20" customFormat="1" ht="15" x14ac:dyDescent="0.25">
      <c r="A9265" t="s">
        <v>24</v>
      </c>
      <c r="B9265" t="s">
        <v>805</v>
      </c>
      <c r="C9265" t="str">
        <f>"A0054995"</f>
        <v>A0054995</v>
      </c>
      <c r="D9265" t="s">
        <v>34972</v>
      </c>
      <c r="E9265" t="s">
        <v>34973</v>
      </c>
      <c r="F9265" t="s">
        <v>2531</v>
      </c>
      <c r="G9265" t="s">
        <v>123</v>
      </c>
      <c r="H9265">
        <v>21090</v>
      </c>
      <c r="I9265" t="s">
        <v>30</v>
      </c>
      <c r="J9265" t="s">
        <v>31</v>
      </c>
      <c r="K9265" t="s">
        <v>34642</v>
      </c>
      <c r="N9265" t="s">
        <v>34974</v>
      </c>
      <c r="O9265" t="s">
        <v>34975</v>
      </c>
      <c r="Q9265">
        <v>0</v>
      </c>
      <c r="R9265">
        <v>125</v>
      </c>
      <c r="S9265">
        <v>0</v>
      </c>
      <c r="T9265" t="s">
        <v>34976</v>
      </c>
    </row>
    <row r="9266" spans="1:20" customFormat="1" ht="15" x14ac:dyDescent="0.25">
      <c r="A9266" t="s">
        <v>24</v>
      </c>
      <c r="B9266" t="s">
        <v>805</v>
      </c>
      <c r="C9266" t="str">
        <f>"A0087691"</f>
        <v>A0087691</v>
      </c>
      <c r="D9266" t="s">
        <v>34977</v>
      </c>
      <c r="E9266" t="s">
        <v>34978</v>
      </c>
      <c r="F9266" t="s">
        <v>34979</v>
      </c>
      <c r="G9266" t="s">
        <v>1170</v>
      </c>
      <c r="H9266">
        <v>70808</v>
      </c>
      <c r="I9266" t="s">
        <v>30</v>
      </c>
      <c r="J9266" t="s">
        <v>31</v>
      </c>
      <c r="K9266" t="s">
        <v>34626</v>
      </c>
      <c r="N9266" t="s">
        <v>34980</v>
      </c>
      <c r="O9266" t="s">
        <v>34981</v>
      </c>
      <c r="Q9266">
        <v>0</v>
      </c>
      <c r="R9266">
        <v>117</v>
      </c>
      <c r="S9266">
        <v>0</v>
      </c>
      <c r="T9266" t="s">
        <v>34982</v>
      </c>
    </row>
    <row r="9267" spans="1:20" customFormat="1" ht="15" x14ac:dyDescent="0.25">
      <c r="A9267" t="s">
        <v>24</v>
      </c>
      <c r="B9267" t="s">
        <v>805</v>
      </c>
      <c r="C9267" t="str">
        <f>"A0068033"</f>
        <v>A0068033</v>
      </c>
      <c r="D9267" t="s">
        <v>34983</v>
      </c>
      <c r="E9267" t="s">
        <v>34984</v>
      </c>
      <c r="F9267" t="s">
        <v>2390</v>
      </c>
      <c r="G9267" t="s">
        <v>899</v>
      </c>
      <c r="H9267">
        <v>1803</v>
      </c>
      <c r="I9267" t="s">
        <v>30</v>
      </c>
      <c r="J9267" t="s">
        <v>31</v>
      </c>
      <c r="K9267" t="s">
        <v>34642</v>
      </c>
      <c r="N9267" t="s">
        <v>34985</v>
      </c>
      <c r="O9267" t="s">
        <v>34986</v>
      </c>
      <c r="Q9267">
        <v>0</v>
      </c>
      <c r="R9267">
        <v>149</v>
      </c>
      <c r="S9267">
        <v>0</v>
      </c>
      <c r="T9267" t="s">
        <v>34987</v>
      </c>
    </row>
    <row r="9268" spans="1:20" customFormat="1" ht="15" x14ac:dyDescent="0.25">
      <c r="A9268" t="s">
        <v>24</v>
      </c>
      <c r="B9268" t="s">
        <v>805</v>
      </c>
      <c r="C9268" t="str">
        <f>"A0068032"</f>
        <v>A0068032</v>
      </c>
      <c r="D9268" t="s">
        <v>34988</v>
      </c>
      <c r="E9268" t="s">
        <v>34989</v>
      </c>
      <c r="F9268" t="s">
        <v>1871</v>
      </c>
      <c r="G9268" t="s">
        <v>925</v>
      </c>
      <c r="H9268">
        <v>67209</v>
      </c>
      <c r="I9268" t="s">
        <v>30</v>
      </c>
      <c r="J9268" t="s">
        <v>31</v>
      </c>
      <c r="K9268" t="s">
        <v>34642</v>
      </c>
      <c r="N9268" t="s">
        <v>34990</v>
      </c>
      <c r="O9268" t="s">
        <v>34991</v>
      </c>
      <c r="Q9268">
        <v>0</v>
      </c>
      <c r="R9268">
        <v>81</v>
      </c>
      <c r="S9268">
        <v>0</v>
      </c>
      <c r="T9268" t="s">
        <v>34992</v>
      </c>
    </row>
    <row r="9269" spans="1:20" customFormat="1" ht="15" x14ac:dyDescent="0.25">
      <c r="A9269" t="s">
        <v>24</v>
      </c>
      <c r="B9269" t="s">
        <v>805</v>
      </c>
      <c r="C9269" t="str">
        <f>"A0068031"</f>
        <v>A0068031</v>
      </c>
      <c r="D9269" t="s">
        <v>34993</v>
      </c>
      <c r="E9269" t="s">
        <v>34994</v>
      </c>
      <c r="F9269" t="s">
        <v>13414</v>
      </c>
      <c r="G9269" t="s">
        <v>925</v>
      </c>
      <c r="H9269">
        <v>66210</v>
      </c>
      <c r="I9269" t="s">
        <v>30</v>
      </c>
      <c r="J9269" t="s">
        <v>31</v>
      </c>
      <c r="K9269" t="s">
        <v>34642</v>
      </c>
      <c r="N9269" t="s">
        <v>34995</v>
      </c>
      <c r="O9269" t="s">
        <v>34996</v>
      </c>
      <c r="Q9269">
        <v>0</v>
      </c>
      <c r="R9269">
        <v>122</v>
      </c>
      <c r="S9269">
        <v>0</v>
      </c>
      <c r="T9269" t="s">
        <v>34997</v>
      </c>
    </row>
    <row r="9270" spans="1:20" customFormat="1" ht="15" x14ac:dyDescent="0.25">
      <c r="A9270" t="s">
        <v>24</v>
      </c>
      <c r="B9270" t="s">
        <v>805</v>
      </c>
      <c r="C9270" t="str">
        <f>"A0068027"</f>
        <v>A0068027</v>
      </c>
      <c r="D9270" t="s">
        <v>34998</v>
      </c>
      <c r="E9270" t="s">
        <v>34999</v>
      </c>
      <c r="F9270" t="s">
        <v>35000</v>
      </c>
      <c r="G9270" t="s">
        <v>289</v>
      </c>
      <c r="H9270">
        <v>60176</v>
      </c>
      <c r="I9270" t="s">
        <v>30</v>
      </c>
      <c r="J9270" t="s">
        <v>31</v>
      </c>
      <c r="K9270" t="s">
        <v>34642</v>
      </c>
      <c r="N9270" t="s">
        <v>35001</v>
      </c>
      <c r="O9270" t="s">
        <v>35002</v>
      </c>
      <c r="Q9270">
        <v>0</v>
      </c>
      <c r="R9270">
        <v>160</v>
      </c>
      <c r="S9270">
        <v>0</v>
      </c>
      <c r="T9270" t="s">
        <v>35003</v>
      </c>
    </row>
    <row r="9271" spans="1:20" customFormat="1" ht="15" x14ac:dyDescent="0.25">
      <c r="A9271" t="s">
        <v>24</v>
      </c>
      <c r="B9271" t="s">
        <v>805</v>
      </c>
      <c r="C9271" t="str">
        <f>"A0054998"</f>
        <v>A0054998</v>
      </c>
      <c r="D9271" t="s">
        <v>35004</v>
      </c>
      <c r="E9271" t="s">
        <v>35005</v>
      </c>
      <c r="F9271" t="s">
        <v>1871</v>
      </c>
      <c r="G9271" t="s">
        <v>925</v>
      </c>
      <c r="H9271">
        <v>67226</v>
      </c>
      <c r="I9271" t="s">
        <v>30</v>
      </c>
      <c r="J9271" t="s">
        <v>31</v>
      </c>
      <c r="K9271" t="s">
        <v>34642</v>
      </c>
      <c r="N9271" t="s">
        <v>34990</v>
      </c>
      <c r="O9271" t="s">
        <v>35006</v>
      </c>
      <c r="Q9271">
        <v>0</v>
      </c>
      <c r="R9271">
        <v>108</v>
      </c>
      <c r="S9271">
        <v>0</v>
      </c>
      <c r="T9271" t="s">
        <v>35007</v>
      </c>
    </row>
    <row r="9272" spans="1:20" customFormat="1" ht="15" x14ac:dyDescent="0.25">
      <c r="A9272" t="s">
        <v>24</v>
      </c>
      <c r="B9272" t="s">
        <v>805</v>
      </c>
      <c r="C9272" t="str">
        <f>"A0068029"</f>
        <v>A0068029</v>
      </c>
      <c r="D9272" t="s">
        <v>35008</v>
      </c>
      <c r="E9272" t="s">
        <v>35009</v>
      </c>
      <c r="F9272" t="s">
        <v>35010</v>
      </c>
      <c r="G9272" t="s">
        <v>289</v>
      </c>
      <c r="H9272">
        <v>60085</v>
      </c>
      <c r="I9272" t="s">
        <v>30</v>
      </c>
      <c r="J9272" t="s">
        <v>31</v>
      </c>
      <c r="K9272" t="s">
        <v>34642</v>
      </c>
      <c r="N9272" t="s">
        <v>35011</v>
      </c>
      <c r="O9272" t="s">
        <v>35012</v>
      </c>
      <c r="Q9272">
        <v>0</v>
      </c>
      <c r="R9272">
        <v>122</v>
      </c>
      <c r="S9272">
        <v>0</v>
      </c>
      <c r="T9272" t="s">
        <v>35013</v>
      </c>
    </row>
    <row r="9273" spans="1:20" customFormat="1" ht="15" x14ac:dyDescent="0.25">
      <c r="A9273" t="s">
        <v>24</v>
      </c>
      <c r="B9273" t="s">
        <v>805</v>
      </c>
      <c r="C9273" t="str">
        <f>"A0068028"</f>
        <v>A0068028</v>
      </c>
      <c r="D9273" t="s">
        <v>35014</v>
      </c>
      <c r="E9273" t="s">
        <v>35015</v>
      </c>
      <c r="F9273" t="s">
        <v>13288</v>
      </c>
      <c r="G9273" t="s">
        <v>289</v>
      </c>
      <c r="H9273">
        <v>60555</v>
      </c>
      <c r="I9273" t="s">
        <v>30</v>
      </c>
      <c r="J9273" t="s">
        <v>31</v>
      </c>
      <c r="K9273" t="s">
        <v>34642</v>
      </c>
      <c r="N9273" t="s">
        <v>35016</v>
      </c>
      <c r="O9273" t="s">
        <v>35017</v>
      </c>
      <c r="Q9273">
        <v>0</v>
      </c>
      <c r="R9273">
        <v>122</v>
      </c>
      <c r="S9273">
        <v>0</v>
      </c>
      <c r="T9273" t="s">
        <v>35018</v>
      </c>
    </row>
    <row r="9274" spans="1:20" customFormat="1" ht="15" x14ac:dyDescent="0.25">
      <c r="A9274" t="s">
        <v>24</v>
      </c>
      <c r="B9274" t="s">
        <v>805</v>
      </c>
      <c r="C9274" t="str">
        <f>"A0068025"</f>
        <v>A0068025</v>
      </c>
      <c r="D9274" t="s">
        <v>35019</v>
      </c>
      <c r="E9274" t="s">
        <v>35020</v>
      </c>
      <c r="F9274" t="s">
        <v>35021</v>
      </c>
      <c r="G9274" t="s">
        <v>289</v>
      </c>
      <c r="H9274">
        <v>60048</v>
      </c>
      <c r="I9274" t="s">
        <v>30</v>
      </c>
      <c r="J9274" t="s">
        <v>31</v>
      </c>
      <c r="K9274" t="s">
        <v>34642</v>
      </c>
      <c r="N9274" t="s">
        <v>35022</v>
      </c>
      <c r="O9274" t="s">
        <v>35023</v>
      </c>
      <c r="Q9274">
        <v>0</v>
      </c>
      <c r="R9274">
        <v>122</v>
      </c>
      <c r="S9274">
        <v>0</v>
      </c>
      <c r="T9274" t="s">
        <v>35024</v>
      </c>
    </row>
    <row r="9275" spans="1:20" customFormat="1" ht="15" x14ac:dyDescent="0.25">
      <c r="A9275" t="s">
        <v>24</v>
      </c>
      <c r="B9275" t="s">
        <v>805</v>
      </c>
      <c r="C9275" t="str">
        <f>"A0068023"</f>
        <v>A0068023</v>
      </c>
      <c r="D9275" t="s">
        <v>35025</v>
      </c>
      <c r="E9275" t="s">
        <v>35026</v>
      </c>
      <c r="F9275" t="s">
        <v>2263</v>
      </c>
      <c r="G9275" t="s">
        <v>1898</v>
      </c>
      <c r="H9275">
        <v>50266</v>
      </c>
      <c r="I9275" t="s">
        <v>30</v>
      </c>
      <c r="J9275" t="s">
        <v>31</v>
      </c>
      <c r="K9275" t="s">
        <v>34642</v>
      </c>
      <c r="N9275" t="s">
        <v>35027</v>
      </c>
      <c r="O9275" t="s">
        <v>35028</v>
      </c>
      <c r="Q9275">
        <v>0</v>
      </c>
      <c r="R9275">
        <v>98</v>
      </c>
      <c r="S9275">
        <v>0</v>
      </c>
      <c r="T9275" t="s">
        <v>35029</v>
      </c>
    </row>
    <row r="9276" spans="1:20" customFormat="1" ht="15" x14ac:dyDescent="0.25">
      <c r="A9276" t="s">
        <v>24</v>
      </c>
      <c r="B9276" t="s">
        <v>805</v>
      </c>
      <c r="C9276" t="str">
        <f>"SC044"</f>
        <v>SC044</v>
      </c>
      <c r="D9276" t="s">
        <v>35030</v>
      </c>
      <c r="E9276" t="s">
        <v>35031</v>
      </c>
      <c r="F9276" t="s">
        <v>1883</v>
      </c>
      <c r="G9276" t="s">
        <v>846</v>
      </c>
      <c r="H9276">
        <v>30005</v>
      </c>
      <c r="I9276" t="s">
        <v>30</v>
      </c>
      <c r="J9276" t="s">
        <v>31</v>
      </c>
      <c r="K9276" t="s">
        <v>34626</v>
      </c>
      <c r="N9276" t="s">
        <v>35032</v>
      </c>
      <c r="O9276" t="s">
        <v>35033</v>
      </c>
      <c r="Q9276">
        <v>0</v>
      </c>
      <c r="R9276">
        <v>118</v>
      </c>
      <c r="S9276">
        <v>0</v>
      </c>
      <c r="T9276" t="s">
        <v>35034</v>
      </c>
    </row>
    <row r="9277" spans="1:20" customFormat="1" ht="15" x14ac:dyDescent="0.25">
      <c r="A9277" t="s">
        <v>24</v>
      </c>
      <c r="B9277" t="s">
        <v>805</v>
      </c>
      <c r="C9277" t="str">
        <f>"A0068022"</f>
        <v>A0068022</v>
      </c>
      <c r="D9277" t="s">
        <v>35035</v>
      </c>
      <c r="E9277" t="s">
        <v>35036</v>
      </c>
      <c r="F9277" t="s">
        <v>2051</v>
      </c>
      <c r="G9277" t="s">
        <v>846</v>
      </c>
      <c r="H9277">
        <v>30096</v>
      </c>
      <c r="I9277" t="s">
        <v>30</v>
      </c>
      <c r="J9277" t="s">
        <v>31</v>
      </c>
      <c r="K9277" t="s">
        <v>34642</v>
      </c>
      <c r="N9277" t="s">
        <v>35037</v>
      </c>
      <c r="O9277" t="s">
        <v>35038</v>
      </c>
      <c r="Q9277">
        <v>0</v>
      </c>
      <c r="R9277">
        <v>122</v>
      </c>
      <c r="S9277">
        <v>0</v>
      </c>
      <c r="T9277" t="s">
        <v>35039</v>
      </c>
    </row>
    <row r="9278" spans="1:20" customFormat="1" ht="15" x14ac:dyDescent="0.25">
      <c r="A9278" t="s">
        <v>24</v>
      </c>
      <c r="B9278" t="s">
        <v>805</v>
      </c>
      <c r="C9278" t="str">
        <f>"A0055006"</f>
        <v>A0055006</v>
      </c>
      <c r="D9278" t="s">
        <v>35040</v>
      </c>
      <c r="E9278" t="s">
        <v>35041</v>
      </c>
      <c r="F9278" t="s">
        <v>985</v>
      </c>
      <c r="G9278" t="s">
        <v>81</v>
      </c>
      <c r="H9278">
        <v>32836</v>
      </c>
      <c r="I9278" t="s">
        <v>30</v>
      </c>
      <c r="J9278" t="s">
        <v>31</v>
      </c>
      <c r="K9278" t="s">
        <v>34626</v>
      </c>
      <c r="N9278" t="s">
        <v>35042</v>
      </c>
      <c r="O9278" t="s">
        <v>35043</v>
      </c>
      <c r="Q9278">
        <v>0</v>
      </c>
      <c r="R9278">
        <v>150</v>
      </c>
      <c r="S9278">
        <v>0</v>
      </c>
      <c r="T9278" t="s">
        <v>35044</v>
      </c>
    </row>
    <row r="9279" spans="1:20" customFormat="1" ht="15" x14ac:dyDescent="0.25">
      <c r="A9279" t="s">
        <v>24</v>
      </c>
      <c r="B9279" t="s">
        <v>805</v>
      </c>
      <c r="C9279" t="str">
        <f>"SC053"</f>
        <v>SC053</v>
      </c>
      <c r="D9279" t="s">
        <v>35045</v>
      </c>
      <c r="E9279" t="s">
        <v>35046</v>
      </c>
      <c r="F9279" t="s">
        <v>845</v>
      </c>
      <c r="G9279" t="s">
        <v>846</v>
      </c>
      <c r="H9279">
        <v>30338</v>
      </c>
      <c r="I9279" t="s">
        <v>30</v>
      </c>
      <c r="J9279" t="s">
        <v>31</v>
      </c>
      <c r="K9279" t="s">
        <v>34626</v>
      </c>
      <c r="N9279" t="s">
        <v>35047</v>
      </c>
      <c r="O9279" t="s">
        <v>35048</v>
      </c>
      <c r="Q9279">
        <v>0</v>
      </c>
      <c r="R9279">
        <v>143</v>
      </c>
      <c r="S9279">
        <v>0</v>
      </c>
      <c r="T9279" t="s">
        <v>35049</v>
      </c>
    </row>
    <row r="9280" spans="1:20" customFormat="1" ht="15" x14ac:dyDescent="0.25">
      <c r="A9280" t="s">
        <v>24</v>
      </c>
      <c r="B9280" t="s">
        <v>805</v>
      </c>
      <c r="C9280" t="str">
        <f>"A0054963"</f>
        <v>A0054963</v>
      </c>
      <c r="D9280" t="s">
        <v>35050</v>
      </c>
      <c r="E9280" t="s">
        <v>35051</v>
      </c>
      <c r="F9280" t="s">
        <v>2443</v>
      </c>
      <c r="G9280" t="s">
        <v>81</v>
      </c>
      <c r="H9280">
        <v>32256</v>
      </c>
      <c r="I9280" t="s">
        <v>30</v>
      </c>
      <c r="J9280" t="s">
        <v>31</v>
      </c>
      <c r="K9280" t="s">
        <v>34642</v>
      </c>
      <c r="N9280" t="s">
        <v>35052</v>
      </c>
      <c r="O9280" t="s">
        <v>35053</v>
      </c>
      <c r="Q9280">
        <v>0</v>
      </c>
      <c r="R9280">
        <v>111</v>
      </c>
      <c r="S9280">
        <v>0</v>
      </c>
      <c r="T9280" t="s">
        <v>35054</v>
      </c>
    </row>
    <row r="9281" spans="1:20" customFormat="1" ht="15" x14ac:dyDescent="0.25">
      <c r="A9281" t="s">
        <v>24</v>
      </c>
      <c r="B9281" t="s">
        <v>805</v>
      </c>
      <c r="C9281" t="str">
        <f>"SC042"</f>
        <v>SC042</v>
      </c>
      <c r="D9281" t="s">
        <v>35055</v>
      </c>
      <c r="E9281" t="s">
        <v>35056</v>
      </c>
      <c r="F9281" t="s">
        <v>1570</v>
      </c>
      <c r="G9281" t="s">
        <v>81</v>
      </c>
      <c r="H9281">
        <v>33324</v>
      </c>
      <c r="I9281" t="s">
        <v>30</v>
      </c>
      <c r="J9281" t="s">
        <v>31</v>
      </c>
      <c r="K9281" t="s">
        <v>34626</v>
      </c>
      <c r="N9281" t="s">
        <v>35057</v>
      </c>
      <c r="O9281" t="s">
        <v>35058</v>
      </c>
      <c r="Q9281">
        <v>0</v>
      </c>
      <c r="R9281">
        <v>141</v>
      </c>
      <c r="S9281">
        <v>0</v>
      </c>
      <c r="T9281" t="s">
        <v>35059</v>
      </c>
    </row>
    <row r="9282" spans="1:20" customFormat="1" ht="15" x14ac:dyDescent="0.25">
      <c r="A9282" t="s">
        <v>24</v>
      </c>
      <c r="B9282" t="s">
        <v>805</v>
      </c>
      <c r="C9282" t="str">
        <f>"A0068021"</f>
        <v>A0068021</v>
      </c>
      <c r="D9282" t="s">
        <v>35060</v>
      </c>
      <c r="E9282" t="s">
        <v>35061</v>
      </c>
      <c r="F9282" t="s">
        <v>1889</v>
      </c>
      <c r="G9282" t="s">
        <v>81</v>
      </c>
      <c r="H9282">
        <v>33172</v>
      </c>
      <c r="I9282" t="s">
        <v>30</v>
      </c>
      <c r="J9282" t="s">
        <v>31</v>
      </c>
      <c r="K9282" t="s">
        <v>34642</v>
      </c>
      <c r="N9282" t="s">
        <v>35062</v>
      </c>
      <c r="Q9282">
        <v>0</v>
      </c>
      <c r="R9282">
        <v>128</v>
      </c>
      <c r="S9282">
        <v>0</v>
      </c>
      <c r="T9282" t="s">
        <v>35063</v>
      </c>
    </row>
    <row r="9283" spans="1:20" customFormat="1" ht="15" x14ac:dyDescent="0.25">
      <c r="A9283" t="s">
        <v>24</v>
      </c>
      <c r="B9283" t="s">
        <v>805</v>
      </c>
      <c r="C9283" t="str">
        <f>"A0068020"</f>
        <v>A0068020</v>
      </c>
      <c r="D9283" t="s">
        <v>35064</v>
      </c>
      <c r="E9283" t="s">
        <v>35065</v>
      </c>
      <c r="F9283" t="s">
        <v>7699</v>
      </c>
      <c r="G9283" t="s">
        <v>81</v>
      </c>
      <c r="H9283">
        <v>33762</v>
      </c>
      <c r="I9283" t="s">
        <v>30</v>
      </c>
      <c r="J9283" t="s">
        <v>31</v>
      </c>
      <c r="K9283" t="s">
        <v>34642</v>
      </c>
      <c r="N9283" t="s">
        <v>34969</v>
      </c>
      <c r="O9283" t="s">
        <v>35066</v>
      </c>
      <c r="Q9283">
        <v>0</v>
      </c>
      <c r="R9283">
        <v>104</v>
      </c>
      <c r="S9283">
        <v>0</v>
      </c>
      <c r="T9283" t="s">
        <v>35067</v>
      </c>
    </row>
    <row r="9284" spans="1:20" customFormat="1" ht="15" x14ac:dyDescent="0.25">
      <c r="A9284" t="s">
        <v>24</v>
      </c>
      <c r="B9284" t="s">
        <v>805</v>
      </c>
      <c r="C9284" t="str">
        <f>"A0054944"</f>
        <v>A0054944</v>
      </c>
      <c r="D9284" t="s">
        <v>35068</v>
      </c>
      <c r="E9284" t="s">
        <v>35069</v>
      </c>
      <c r="F9284" t="s">
        <v>12619</v>
      </c>
      <c r="G9284" t="s">
        <v>190</v>
      </c>
      <c r="H9284">
        <v>80401</v>
      </c>
      <c r="I9284" t="s">
        <v>30</v>
      </c>
      <c r="J9284" t="s">
        <v>31</v>
      </c>
      <c r="K9284" t="s">
        <v>34642</v>
      </c>
      <c r="N9284" t="s">
        <v>35070</v>
      </c>
      <c r="O9284" t="s">
        <v>35071</v>
      </c>
      <c r="Q9284">
        <v>0</v>
      </c>
      <c r="R9284">
        <v>122</v>
      </c>
      <c r="S9284">
        <v>0</v>
      </c>
      <c r="T9284" t="s">
        <v>35072</v>
      </c>
    </row>
    <row r="9285" spans="1:20" customFormat="1" ht="15" x14ac:dyDescent="0.25">
      <c r="A9285" t="s">
        <v>24</v>
      </c>
      <c r="B9285" t="s">
        <v>805</v>
      </c>
      <c r="C9285" t="str">
        <f>"SC031"</f>
        <v>SC031</v>
      </c>
      <c r="D9285" t="s">
        <v>35073</v>
      </c>
      <c r="E9285" t="s">
        <v>35074</v>
      </c>
      <c r="F9285" t="s">
        <v>35075</v>
      </c>
      <c r="G9285" t="s">
        <v>190</v>
      </c>
      <c r="H9285">
        <v>80124</v>
      </c>
      <c r="I9285" t="s">
        <v>30</v>
      </c>
      <c r="J9285" t="s">
        <v>31</v>
      </c>
      <c r="K9285" t="s">
        <v>34626</v>
      </c>
      <c r="N9285" t="s">
        <v>35076</v>
      </c>
      <c r="O9285" t="s">
        <v>35077</v>
      </c>
      <c r="Q9285">
        <v>0</v>
      </c>
      <c r="R9285">
        <v>115</v>
      </c>
      <c r="S9285">
        <v>0</v>
      </c>
      <c r="T9285" t="s">
        <v>35078</v>
      </c>
    </row>
    <row r="9286" spans="1:20" customFormat="1" ht="15" x14ac:dyDescent="0.25">
      <c r="A9286" t="s">
        <v>24</v>
      </c>
      <c r="B9286" t="s">
        <v>805</v>
      </c>
      <c r="C9286" t="str">
        <f>"A0068017"</f>
        <v>A0068017</v>
      </c>
      <c r="D9286" t="s">
        <v>35079</v>
      </c>
      <c r="E9286" t="s">
        <v>35080</v>
      </c>
      <c r="F9286" t="s">
        <v>5123</v>
      </c>
      <c r="G9286" t="s">
        <v>110</v>
      </c>
      <c r="H9286">
        <v>95050</v>
      </c>
      <c r="I9286" t="s">
        <v>30</v>
      </c>
      <c r="J9286" t="s">
        <v>31</v>
      </c>
      <c r="K9286" t="s">
        <v>34642</v>
      </c>
      <c r="N9286" t="s">
        <v>35081</v>
      </c>
      <c r="O9286" t="s">
        <v>35082</v>
      </c>
      <c r="Q9286">
        <v>0</v>
      </c>
      <c r="R9286">
        <v>122</v>
      </c>
      <c r="S9286">
        <v>0</v>
      </c>
      <c r="T9286" t="s">
        <v>35083</v>
      </c>
    </row>
    <row r="9287" spans="1:20" customFormat="1" ht="15" x14ac:dyDescent="0.25">
      <c r="A9287" t="s">
        <v>24</v>
      </c>
      <c r="B9287" t="s">
        <v>805</v>
      </c>
      <c r="C9287" t="str">
        <f>"A0068016"</f>
        <v>A0068016</v>
      </c>
      <c r="D9287" t="s">
        <v>35084</v>
      </c>
      <c r="E9287" t="s">
        <v>35085</v>
      </c>
      <c r="F9287" t="s">
        <v>35086</v>
      </c>
      <c r="G9287" t="s">
        <v>110</v>
      </c>
      <c r="H9287">
        <v>92705</v>
      </c>
      <c r="I9287" t="s">
        <v>30</v>
      </c>
      <c r="J9287" t="s">
        <v>31</v>
      </c>
      <c r="K9287" t="s">
        <v>34642</v>
      </c>
      <c r="N9287" t="s">
        <v>34637</v>
      </c>
      <c r="O9287" t="s">
        <v>35087</v>
      </c>
      <c r="Q9287">
        <v>0</v>
      </c>
      <c r="R9287">
        <v>122</v>
      </c>
      <c r="S9287">
        <v>0</v>
      </c>
      <c r="T9287" t="s">
        <v>35088</v>
      </c>
    </row>
    <row r="9288" spans="1:20" customFormat="1" ht="15" x14ac:dyDescent="0.25">
      <c r="A9288" t="s">
        <v>24</v>
      </c>
      <c r="B9288" t="s">
        <v>805</v>
      </c>
      <c r="C9288" t="str">
        <f>"A0068014"</f>
        <v>A0068014</v>
      </c>
      <c r="D9288" t="s">
        <v>35089</v>
      </c>
      <c r="E9288" t="s">
        <v>35090</v>
      </c>
      <c r="F9288" t="s">
        <v>808</v>
      </c>
      <c r="G9288" t="s">
        <v>110</v>
      </c>
      <c r="H9288">
        <v>92618</v>
      </c>
      <c r="I9288" t="s">
        <v>30</v>
      </c>
      <c r="J9288" t="s">
        <v>31</v>
      </c>
      <c r="K9288" t="s">
        <v>34642</v>
      </c>
      <c r="N9288" t="s">
        <v>35091</v>
      </c>
      <c r="O9288" t="s">
        <v>35092</v>
      </c>
      <c r="Q9288">
        <v>0</v>
      </c>
      <c r="R9288">
        <v>122</v>
      </c>
      <c r="S9288">
        <v>0</v>
      </c>
      <c r="T9288" t="s">
        <v>35093</v>
      </c>
    </row>
    <row r="9289" spans="1:20" customFormat="1" ht="15" x14ac:dyDescent="0.25">
      <c r="A9289" t="s">
        <v>24</v>
      </c>
      <c r="B9289" t="s">
        <v>805</v>
      </c>
      <c r="C9289" t="str">
        <f>"A0068010"</f>
        <v>A0068010</v>
      </c>
      <c r="D9289" t="s">
        <v>35094</v>
      </c>
      <c r="E9289" t="s">
        <v>35095</v>
      </c>
      <c r="F9289" t="s">
        <v>8319</v>
      </c>
      <c r="G9289" t="s">
        <v>110</v>
      </c>
      <c r="H9289">
        <v>92843</v>
      </c>
      <c r="I9289" t="s">
        <v>30</v>
      </c>
      <c r="J9289" t="s">
        <v>31</v>
      </c>
      <c r="K9289" t="s">
        <v>34642</v>
      </c>
      <c r="N9289" t="s">
        <v>35096</v>
      </c>
      <c r="O9289" t="s">
        <v>35097</v>
      </c>
      <c r="Q9289">
        <v>0</v>
      </c>
      <c r="R9289">
        <v>133</v>
      </c>
      <c r="S9289">
        <v>0</v>
      </c>
      <c r="T9289" t="s">
        <v>35098</v>
      </c>
    </row>
    <row r="9290" spans="1:20" customFormat="1" ht="15" x14ac:dyDescent="0.25">
      <c r="A9290" t="s">
        <v>24</v>
      </c>
      <c r="B9290" t="s">
        <v>805</v>
      </c>
      <c r="C9290" t="str">
        <f>"A0059753"</f>
        <v>A0059753</v>
      </c>
      <c r="D9290" t="s">
        <v>35099</v>
      </c>
      <c r="E9290" t="s">
        <v>35100</v>
      </c>
      <c r="F9290" t="s">
        <v>35101</v>
      </c>
      <c r="G9290" t="s">
        <v>110</v>
      </c>
      <c r="H9290">
        <v>94066</v>
      </c>
      <c r="I9290" t="s">
        <v>30</v>
      </c>
      <c r="J9290" t="s">
        <v>31</v>
      </c>
      <c r="K9290" t="s">
        <v>34626</v>
      </c>
      <c r="N9290" t="s">
        <v>35102</v>
      </c>
      <c r="Q9290">
        <v>0</v>
      </c>
      <c r="R9290">
        <v>92</v>
      </c>
      <c r="S9290">
        <v>0</v>
      </c>
      <c r="T9290" t="s">
        <v>35103</v>
      </c>
    </row>
    <row r="9291" spans="1:20" customFormat="1" ht="15" x14ac:dyDescent="0.25">
      <c r="A9291" t="s">
        <v>24</v>
      </c>
      <c r="B9291" t="s">
        <v>805</v>
      </c>
      <c r="C9291" t="str">
        <f>"A0059744"</f>
        <v>A0059744</v>
      </c>
      <c r="D9291" t="s">
        <v>35104</v>
      </c>
      <c r="E9291" t="s">
        <v>35105</v>
      </c>
      <c r="F9291" t="s">
        <v>35106</v>
      </c>
      <c r="G9291" t="s">
        <v>110</v>
      </c>
      <c r="H9291">
        <v>91311</v>
      </c>
      <c r="I9291" t="s">
        <v>30</v>
      </c>
      <c r="J9291" t="s">
        <v>31</v>
      </c>
      <c r="K9291" t="s">
        <v>34626</v>
      </c>
      <c r="N9291" t="s">
        <v>35107</v>
      </c>
      <c r="O9291" t="s">
        <v>35108</v>
      </c>
      <c r="Q9291">
        <v>0</v>
      </c>
      <c r="R9291">
        <v>114</v>
      </c>
      <c r="S9291">
        <v>0</v>
      </c>
      <c r="T9291" t="s">
        <v>35109</v>
      </c>
    </row>
    <row r="9292" spans="1:20" customFormat="1" ht="15" x14ac:dyDescent="0.25">
      <c r="A9292" t="s">
        <v>24</v>
      </c>
      <c r="B9292" t="s">
        <v>805</v>
      </c>
      <c r="C9292" t="str">
        <f>"SC170"</f>
        <v>SC170</v>
      </c>
      <c r="D9292" t="s">
        <v>35110</v>
      </c>
      <c r="E9292" t="s">
        <v>35111</v>
      </c>
      <c r="F9292" t="s">
        <v>2978</v>
      </c>
      <c r="G9292" t="s">
        <v>110</v>
      </c>
      <c r="H9292">
        <v>92121</v>
      </c>
      <c r="I9292" t="s">
        <v>30</v>
      </c>
      <c r="J9292" t="s">
        <v>31</v>
      </c>
      <c r="K9292" t="s">
        <v>34626</v>
      </c>
      <c r="N9292" t="s">
        <v>35112</v>
      </c>
      <c r="O9292" t="s">
        <v>35113</v>
      </c>
      <c r="Q9292">
        <v>0</v>
      </c>
      <c r="R9292">
        <v>131</v>
      </c>
      <c r="S9292">
        <v>0</v>
      </c>
      <c r="T9292" t="s">
        <v>35114</v>
      </c>
    </row>
    <row r="9293" spans="1:20" customFormat="1" ht="15" x14ac:dyDescent="0.25">
      <c r="A9293" t="s">
        <v>24</v>
      </c>
      <c r="B9293" t="s">
        <v>805</v>
      </c>
      <c r="C9293" t="str">
        <f>"SC167"</f>
        <v>SC167</v>
      </c>
      <c r="D9293" t="s">
        <v>35115</v>
      </c>
      <c r="E9293" t="s">
        <v>35116</v>
      </c>
      <c r="F9293" t="s">
        <v>2978</v>
      </c>
      <c r="G9293" t="s">
        <v>110</v>
      </c>
      <c r="H9293">
        <v>92128</v>
      </c>
      <c r="I9293" t="s">
        <v>30</v>
      </c>
      <c r="J9293" t="s">
        <v>31</v>
      </c>
      <c r="K9293" t="s">
        <v>34626</v>
      </c>
      <c r="N9293" t="s">
        <v>35117</v>
      </c>
      <c r="O9293" t="s">
        <v>35118</v>
      </c>
      <c r="Q9293">
        <v>0</v>
      </c>
      <c r="R9293">
        <v>116</v>
      </c>
      <c r="S9293">
        <v>0</v>
      </c>
      <c r="T9293" t="s">
        <v>35119</v>
      </c>
    </row>
    <row r="9294" spans="1:20" customFormat="1" ht="15" x14ac:dyDescent="0.25">
      <c r="A9294" t="s">
        <v>24</v>
      </c>
      <c r="B9294" t="s">
        <v>805</v>
      </c>
      <c r="C9294" t="str">
        <f>"A0068015"</f>
        <v>A0068015</v>
      </c>
      <c r="D9294" t="s">
        <v>35120</v>
      </c>
      <c r="E9294" t="s">
        <v>35121</v>
      </c>
      <c r="F9294" t="s">
        <v>34209</v>
      </c>
      <c r="G9294" t="s">
        <v>110</v>
      </c>
      <c r="H9294">
        <v>92630</v>
      </c>
      <c r="I9294" t="s">
        <v>30</v>
      </c>
      <c r="J9294" t="s">
        <v>31</v>
      </c>
      <c r="K9294" t="s">
        <v>34642</v>
      </c>
      <c r="N9294" t="s">
        <v>35122</v>
      </c>
      <c r="O9294" t="s">
        <v>35123</v>
      </c>
      <c r="Q9294">
        <v>0</v>
      </c>
      <c r="R9294">
        <v>122</v>
      </c>
      <c r="S9294">
        <v>0</v>
      </c>
      <c r="T9294" t="s">
        <v>35124</v>
      </c>
    </row>
    <row r="9295" spans="1:20" customFormat="1" ht="15" x14ac:dyDescent="0.25">
      <c r="A9295" t="s">
        <v>24</v>
      </c>
      <c r="B9295" t="s">
        <v>805</v>
      </c>
      <c r="C9295" t="str">
        <f>"A0054987"</f>
        <v>A0054987</v>
      </c>
      <c r="D9295" t="s">
        <v>35125</v>
      </c>
      <c r="E9295" t="s">
        <v>35126</v>
      </c>
      <c r="F9295" t="s">
        <v>1592</v>
      </c>
      <c r="G9295" t="s">
        <v>197</v>
      </c>
      <c r="H9295">
        <v>85283</v>
      </c>
      <c r="I9295" t="s">
        <v>30</v>
      </c>
      <c r="J9295" t="s">
        <v>31</v>
      </c>
      <c r="K9295" t="s">
        <v>34642</v>
      </c>
      <c r="N9295" t="s">
        <v>35127</v>
      </c>
      <c r="O9295" t="s">
        <v>35128</v>
      </c>
      <c r="Q9295">
        <v>0</v>
      </c>
      <c r="R9295">
        <v>122</v>
      </c>
      <c r="S9295">
        <v>0</v>
      </c>
      <c r="T9295" t="s">
        <v>35129</v>
      </c>
    </row>
    <row r="9296" spans="1:20" customFormat="1" ht="15" x14ac:dyDescent="0.25">
      <c r="A9296" t="s">
        <v>24</v>
      </c>
      <c r="B9296" t="s">
        <v>805</v>
      </c>
      <c r="C9296" t="str">
        <f>"A0054994"</f>
        <v>A0054994</v>
      </c>
      <c r="D9296" t="s">
        <v>35130</v>
      </c>
      <c r="E9296" t="s">
        <v>35131</v>
      </c>
      <c r="F9296" t="s">
        <v>196</v>
      </c>
      <c r="G9296" t="s">
        <v>197</v>
      </c>
      <c r="H9296">
        <v>85029</v>
      </c>
      <c r="I9296" t="s">
        <v>30</v>
      </c>
      <c r="J9296" t="s">
        <v>31</v>
      </c>
      <c r="K9296" t="s">
        <v>34642</v>
      </c>
      <c r="N9296" t="s">
        <v>35132</v>
      </c>
      <c r="O9296" t="s">
        <v>35133</v>
      </c>
      <c r="Q9296">
        <v>0</v>
      </c>
      <c r="R9296">
        <v>98</v>
      </c>
      <c r="S9296">
        <v>0</v>
      </c>
      <c r="T9296" t="s">
        <v>35134</v>
      </c>
    </row>
    <row r="9297" spans="1:20" customFormat="1" ht="15" x14ac:dyDescent="0.25">
      <c r="A9297" t="s">
        <v>24</v>
      </c>
      <c r="B9297" t="s">
        <v>805</v>
      </c>
      <c r="C9297" t="str">
        <f>"A0054977"</f>
        <v>A0054977</v>
      </c>
      <c r="D9297" t="s">
        <v>35135</v>
      </c>
      <c r="E9297" t="s">
        <v>35136</v>
      </c>
      <c r="F9297" t="s">
        <v>3545</v>
      </c>
      <c r="G9297" t="s">
        <v>1706</v>
      </c>
      <c r="H9297">
        <v>35806</v>
      </c>
      <c r="I9297" t="s">
        <v>30</v>
      </c>
      <c r="J9297" t="s">
        <v>31</v>
      </c>
      <c r="K9297" t="s">
        <v>34642</v>
      </c>
      <c r="N9297" t="s">
        <v>35137</v>
      </c>
      <c r="O9297" t="s">
        <v>35138</v>
      </c>
      <c r="Q9297">
        <v>0</v>
      </c>
      <c r="R9297">
        <v>123</v>
      </c>
      <c r="S9297">
        <v>0</v>
      </c>
      <c r="T9297" t="s">
        <v>35139</v>
      </c>
    </row>
    <row r="9298" spans="1:20" customFormat="1" ht="15" x14ac:dyDescent="0.25">
      <c r="A9298" t="s">
        <v>24</v>
      </c>
      <c r="B9298" t="s">
        <v>14919</v>
      </c>
      <c r="C9298" t="str">
        <f>"A0062835"</f>
        <v>A0062835</v>
      </c>
      <c r="D9298" t="s">
        <v>68765</v>
      </c>
      <c r="E9298" t="s">
        <v>68766</v>
      </c>
      <c r="F9298" t="s">
        <v>14922</v>
      </c>
      <c r="G9298" t="s">
        <v>103</v>
      </c>
      <c r="H9298">
        <v>17033</v>
      </c>
      <c r="I9298" t="s">
        <v>30</v>
      </c>
      <c r="J9298" t="s">
        <v>162</v>
      </c>
      <c r="K9298" t="s">
        <v>13697</v>
      </c>
      <c r="N9298" t="s">
        <v>68767</v>
      </c>
      <c r="O9298" t="s">
        <v>68768</v>
      </c>
      <c r="Q9298">
        <v>0</v>
      </c>
      <c r="R9298">
        <v>665</v>
      </c>
      <c r="S9298">
        <v>0</v>
      </c>
      <c r="T9298" t="s">
        <v>68769</v>
      </c>
    </row>
    <row r="9299" spans="1:20" customFormat="1" ht="15" x14ac:dyDescent="0.25">
      <c r="A9299" t="s">
        <v>24</v>
      </c>
      <c r="B9299" t="s">
        <v>33690</v>
      </c>
      <c r="C9299" t="str">
        <f>"A0098219"</f>
        <v>A0098219</v>
      </c>
      <c r="D9299" t="s">
        <v>68770</v>
      </c>
      <c r="E9299" t="s">
        <v>68771</v>
      </c>
      <c r="F9299" t="s">
        <v>6404</v>
      </c>
      <c r="G9299" t="s">
        <v>161</v>
      </c>
      <c r="H9299">
        <v>55401</v>
      </c>
      <c r="I9299" t="s">
        <v>30</v>
      </c>
      <c r="J9299" t="s">
        <v>162</v>
      </c>
      <c r="K9299" t="s">
        <v>163</v>
      </c>
      <c r="N9299" t="s">
        <v>68772</v>
      </c>
      <c r="Q9299">
        <v>0</v>
      </c>
      <c r="R9299">
        <v>124</v>
      </c>
      <c r="S9299">
        <v>0</v>
      </c>
      <c r="T9299" t="s">
        <v>68773</v>
      </c>
    </row>
    <row r="9300" spans="1:20" customFormat="1" ht="15" x14ac:dyDescent="0.25">
      <c r="A9300" t="s">
        <v>24</v>
      </c>
      <c r="B9300" t="s">
        <v>976</v>
      </c>
      <c r="C9300" t="str">
        <f>"A0095625"</f>
        <v>A0095625</v>
      </c>
      <c r="D9300" t="s">
        <v>68786</v>
      </c>
      <c r="E9300" t="s">
        <v>68787</v>
      </c>
      <c r="F9300" t="s">
        <v>67484</v>
      </c>
      <c r="G9300" t="s">
        <v>99</v>
      </c>
      <c r="H9300">
        <v>12946</v>
      </c>
      <c r="I9300" t="s">
        <v>30</v>
      </c>
      <c r="J9300" t="s">
        <v>162</v>
      </c>
      <c r="K9300" t="s">
        <v>163</v>
      </c>
      <c r="N9300" t="s">
        <v>68788</v>
      </c>
      <c r="O9300" t="s">
        <v>68789</v>
      </c>
      <c r="Q9300">
        <v>0</v>
      </c>
      <c r="R9300">
        <v>177</v>
      </c>
      <c r="S9300">
        <v>0</v>
      </c>
      <c r="T9300" t="s">
        <v>68790</v>
      </c>
    </row>
    <row r="9301" spans="1:20" customFormat="1" ht="15" hidden="1" x14ac:dyDescent="0.25">
      <c r="A9301" t="s">
        <v>24</v>
      </c>
      <c r="B9301" t="s">
        <v>805</v>
      </c>
      <c r="C9301" t="str">
        <f>"A0180036"</f>
        <v>A0180036</v>
      </c>
      <c r="D9301" t="s">
        <v>35152</v>
      </c>
      <c r="E9301" t="s">
        <v>35153</v>
      </c>
      <c r="F9301" t="s">
        <v>14902</v>
      </c>
      <c r="G9301" t="s">
        <v>9901</v>
      </c>
      <c r="H9301">
        <v>979</v>
      </c>
      <c r="I9301" t="s">
        <v>9902</v>
      </c>
      <c r="J9301" t="s">
        <v>162</v>
      </c>
      <c r="K9301" t="s">
        <v>6405</v>
      </c>
      <c r="N9301" t="s">
        <v>35154</v>
      </c>
      <c r="O9301" t="s">
        <v>35155</v>
      </c>
      <c r="Q9301">
        <v>0</v>
      </c>
      <c r="R9301">
        <v>402</v>
      </c>
      <c r="S9301">
        <v>0</v>
      </c>
      <c r="T9301" t="s">
        <v>35156</v>
      </c>
    </row>
    <row r="9302" spans="1:20" customFormat="1" ht="15" x14ac:dyDescent="0.25">
      <c r="A9302" t="s">
        <v>24</v>
      </c>
      <c r="B9302" t="s">
        <v>1548</v>
      </c>
      <c r="C9302" t="str">
        <f>"A0074151"</f>
        <v>A0074151</v>
      </c>
      <c r="D9302" t="s">
        <v>68803</v>
      </c>
      <c r="E9302" t="s">
        <v>68804</v>
      </c>
      <c r="F9302" t="s">
        <v>58023</v>
      </c>
      <c r="G9302" t="s">
        <v>190</v>
      </c>
      <c r="H9302">
        <v>81657</v>
      </c>
      <c r="I9302" t="s">
        <v>30</v>
      </c>
      <c r="J9302" t="s">
        <v>162</v>
      </c>
      <c r="K9302" t="s">
        <v>759</v>
      </c>
      <c r="N9302" t="s">
        <v>68805</v>
      </c>
      <c r="O9302" t="s">
        <v>15708</v>
      </c>
      <c r="Q9302">
        <v>0</v>
      </c>
      <c r="R9302">
        <v>116</v>
      </c>
      <c r="S9302">
        <v>0</v>
      </c>
      <c r="T9302" t="s">
        <v>68806</v>
      </c>
    </row>
    <row r="9303" spans="1:20" customFormat="1" ht="15" x14ac:dyDescent="0.25">
      <c r="A9303" t="s">
        <v>24</v>
      </c>
      <c r="B9303" t="s">
        <v>2373</v>
      </c>
      <c r="C9303" t="str">
        <f>"88HL006"</f>
        <v>88HL006</v>
      </c>
      <c r="D9303" t="s">
        <v>68820</v>
      </c>
      <c r="E9303" t="s">
        <v>68821</v>
      </c>
      <c r="F9303" t="s">
        <v>5107</v>
      </c>
      <c r="G9303" t="s">
        <v>137</v>
      </c>
      <c r="H9303">
        <v>64153</v>
      </c>
      <c r="I9303" t="s">
        <v>30</v>
      </c>
      <c r="J9303" t="s">
        <v>162</v>
      </c>
      <c r="K9303" t="s">
        <v>4809</v>
      </c>
      <c r="N9303" t="s">
        <v>68822</v>
      </c>
      <c r="Q9303">
        <v>0</v>
      </c>
      <c r="R9303">
        <v>347</v>
      </c>
      <c r="S9303">
        <v>0</v>
      </c>
      <c r="T9303" t="s">
        <v>68823</v>
      </c>
    </row>
    <row r="9304" spans="1:20" customFormat="1" ht="15" hidden="1" x14ac:dyDescent="0.25">
      <c r="A9304" t="s">
        <v>24</v>
      </c>
      <c r="B9304" t="s">
        <v>805</v>
      </c>
      <c r="C9304" t="str">
        <f>"SC029"</f>
        <v>SC029</v>
      </c>
      <c r="D9304" t="s">
        <v>35167</v>
      </c>
      <c r="E9304" t="s">
        <v>35168</v>
      </c>
      <c r="F9304" t="s">
        <v>13197</v>
      </c>
      <c r="G9304" t="s">
        <v>2206</v>
      </c>
      <c r="H9304" t="s">
        <v>35169</v>
      </c>
      <c r="I9304" t="s">
        <v>1459</v>
      </c>
      <c r="J9304" t="s">
        <v>162</v>
      </c>
      <c r="K9304" t="s">
        <v>6405</v>
      </c>
      <c r="N9304" t="s">
        <v>35170</v>
      </c>
      <c r="O9304" t="s">
        <v>35171</v>
      </c>
      <c r="Q9304">
        <v>0</v>
      </c>
      <c r="R9304">
        <v>186</v>
      </c>
      <c r="S9304">
        <v>0</v>
      </c>
      <c r="T9304" t="s">
        <v>35172</v>
      </c>
    </row>
    <row r="9305" spans="1:20" customFormat="1" ht="15" x14ac:dyDescent="0.25">
      <c r="A9305" t="s">
        <v>24</v>
      </c>
      <c r="B9305" t="s">
        <v>814</v>
      </c>
      <c r="C9305" t="str">
        <f>"A0075459"</f>
        <v>A0075459</v>
      </c>
      <c r="D9305" t="s">
        <v>68824</v>
      </c>
      <c r="E9305" t="s">
        <v>68825</v>
      </c>
      <c r="F9305" t="s">
        <v>1622</v>
      </c>
      <c r="G9305" t="s">
        <v>29</v>
      </c>
      <c r="H9305">
        <v>22311</v>
      </c>
      <c r="I9305" t="s">
        <v>30</v>
      </c>
      <c r="J9305" t="s">
        <v>162</v>
      </c>
      <c r="K9305" t="s">
        <v>4809</v>
      </c>
      <c r="N9305" t="s">
        <v>68826</v>
      </c>
      <c r="Q9305">
        <v>0</v>
      </c>
      <c r="R9305">
        <v>490</v>
      </c>
      <c r="S9305">
        <v>0</v>
      </c>
      <c r="T9305" t="s">
        <v>68827</v>
      </c>
    </row>
    <row r="9306" spans="1:20" customFormat="1" ht="15" x14ac:dyDescent="0.25">
      <c r="A9306" t="s">
        <v>24</v>
      </c>
      <c r="B9306" t="s">
        <v>2221</v>
      </c>
      <c r="C9306" t="str">
        <f>"A0091400"</f>
        <v>A0091400</v>
      </c>
      <c r="D9306" t="s">
        <v>68828</v>
      </c>
      <c r="E9306" t="s">
        <v>68829</v>
      </c>
      <c r="F9306" t="s">
        <v>1622</v>
      </c>
      <c r="G9306" t="s">
        <v>29</v>
      </c>
      <c r="H9306">
        <v>22314</v>
      </c>
      <c r="I9306" t="s">
        <v>30</v>
      </c>
      <c r="J9306" t="s">
        <v>162</v>
      </c>
      <c r="K9306" t="s">
        <v>4809</v>
      </c>
      <c r="N9306" t="s">
        <v>68830</v>
      </c>
      <c r="Q9306">
        <v>0</v>
      </c>
      <c r="R9306">
        <v>246</v>
      </c>
      <c r="S9306">
        <v>0</v>
      </c>
      <c r="T9306" t="s">
        <v>68831</v>
      </c>
    </row>
    <row r="9307" spans="1:20" customFormat="1" ht="15" x14ac:dyDescent="0.25">
      <c r="A9307" t="s">
        <v>24</v>
      </c>
      <c r="B9307" t="s">
        <v>2373</v>
      </c>
      <c r="C9307" t="str">
        <f>"A0073697"</f>
        <v>A0073697</v>
      </c>
      <c r="D9307" t="s">
        <v>68832</v>
      </c>
      <c r="E9307" t="s">
        <v>68833</v>
      </c>
      <c r="F9307" t="s">
        <v>845</v>
      </c>
      <c r="G9307" t="s">
        <v>846</v>
      </c>
      <c r="H9307">
        <v>30354</v>
      </c>
      <c r="I9307" t="s">
        <v>30</v>
      </c>
      <c r="J9307" t="s">
        <v>162</v>
      </c>
      <c r="K9307" t="s">
        <v>4809</v>
      </c>
      <c r="N9307" t="s">
        <v>68834</v>
      </c>
      <c r="O9307" t="s">
        <v>68835</v>
      </c>
      <c r="Q9307">
        <v>0</v>
      </c>
      <c r="R9307">
        <v>507</v>
      </c>
      <c r="S9307">
        <v>0</v>
      </c>
      <c r="T9307" t="s">
        <v>68836</v>
      </c>
    </row>
    <row r="9308" spans="1:20" customFormat="1" ht="15" x14ac:dyDescent="0.25">
      <c r="A9308" t="s">
        <v>24</v>
      </c>
      <c r="B9308" t="s">
        <v>2221</v>
      </c>
      <c r="C9308" t="str">
        <f>"A0054448"</f>
        <v>A0054448</v>
      </c>
      <c r="D9308" t="s">
        <v>68837</v>
      </c>
      <c r="E9308" t="s">
        <v>68838</v>
      </c>
      <c r="F9308" t="s">
        <v>5688</v>
      </c>
      <c r="G9308" t="s">
        <v>846</v>
      </c>
      <c r="H9308">
        <v>30064</v>
      </c>
      <c r="I9308" t="s">
        <v>30</v>
      </c>
      <c r="J9308" t="s">
        <v>162</v>
      </c>
      <c r="K9308" t="s">
        <v>4809</v>
      </c>
      <c r="N9308" t="s">
        <v>68839</v>
      </c>
      <c r="Q9308">
        <v>0</v>
      </c>
      <c r="R9308">
        <v>196</v>
      </c>
      <c r="S9308">
        <v>0</v>
      </c>
      <c r="T9308" t="s">
        <v>68840</v>
      </c>
    </row>
    <row r="9309" spans="1:20" customFormat="1" ht="15" x14ac:dyDescent="0.25">
      <c r="A9309" t="s">
        <v>24</v>
      </c>
      <c r="B9309" t="s">
        <v>762</v>
      </c>
      <c r="C9309" t="str">
        <f>"A0098226"</f>
        <v>A0098226</v>
      </c>
      <c r="D9309" t="s">
        <v>68841</v>
      </c>
      <c r="E9309" t="s">
        <v>68842</v>
      </c>
      <c r="F9309" t="s">
        <v>34979</v>
      </c>
      <c r="G9309" t="s">
        <v>1170</v>
      </c>
      <c r="H9309">
        <v>70801</v>
      </c>
      <c r="I9309" t="s">
        <v>30</v>
      </c>
      <c r="J9309" t="s">
        <v>162</v>
      </c>
      <c r="K9309" t="s">
        <v>4809</v>
      </c>
      <c r="N9309" t="s">
        <v>68843</v>
      </c>
      <c r="Q9309">
        <v>0</v>
      </c>
      <c r="R9309">
        <v>291</v>
      </c>
      <c r="S9309">
        <v>0</v>
      </c>
      <c r="T9309" t="s">
        <v>68844</v>
      </c>
    </row>
    <row r="9310" spans="1:20" customFormat="1" ht="15" x14ac:dyDescent="0.25">
      <c r="A9310" t="s">
        <v>24</v>
      </c>
      <c r="B9310" t="s">
        <v>1849</v>
      </c>
      <c r="C9310" t="str">
        <f>"A0061195"</f>
        <v>A0061195</v>
      </c>
      <c r="D9310" t="s">
        <v>68845</v>
      </c>
      <c r="E9310" t="s">
        <v>68846</v>
      </c>
      <c r="F9310" t="s">
        <v>5706</v>
      </c>
      <c r="G9310" t="s">
        <v>1706</v>
      </c>
      <c r="H9310">
        <v>35205</v>
      </c>
      <c r="I9310" t="s">
        <v>30</v>
      </c>
      <c r="J9310" t="s">
        <v>162</v>
      </c>
      <c r="K9310" t="s">
        <v>4809</v>
      </c>
      <c r="N9310" t="s">
        <v>68847</v>
      </c>
      <c r="Q9310">
        <v>0</v>
      </c>
      <c r="R9310">
        <v>295</v>
      </c>
      <c r="S9310">
        <v>0</v>
      </c>
      <c r="T9310" t="s">
        <v>68848</v>
      </c>
    </row>
    <row r="9311" spans="1:20" customFormat="1" ht="15" x14ac:dyDescent="0.25">
      <c r="A9311" t="s">
        <v>24</v>
      </c>
      <c r="B9311" t="s">
        <v>2221</v>
      </c>
      <c r="C9311" t="str">
        <f>"A0090831"</f>
        <v>A0090831</v>
      </c>
      <c r="D9311" t="s">
        <v>68849</v>
      </c>
      <c r="E9311" t="s">
        <v>68850</v>
      </c>
      <c r="F9311" t="s">
        <v>1208</v>
      </c>
      <c r="G9311" t="s">
        <v>899</v>
      </c>
      <c r="H9311">
        <v>2115</v>
      </c>
      <c r="I9311" t="s">
        <v>30</v>
      </c>
      <c r="J9311" t="s">
        <v>162</v>
      </c>
      <c r="K9311" t="s">
        <v>4809</v>
      </c>
      <c r="N9311" t="s">
        <v>68851</v>
      </c>
      <c r="O9311" t="s">
        <v>68852</v>
      </c>
      <c r="Q9311">
        <v>0</v>
      </c>
      <c r="R9311">
        <v>390</v>
      </c>
      <c r="S9311">
        <v>0</v>
      </c>
      <c r="T9311" t="s">
        <v>68853</v>
      </c>
    </row>
    <row r="9312" spans="1:20" customFormat="1" ht="15" x14ac:dyDescent="0.25">
      <c r="A9312" t="s">
        <v>24</v>
      </c>
      <c r="B9312" t="s">
        <v>35351</v>
      </c>
      <c r="C9312" t="str">
        <f>"A0086033"</f>
        <v>A0086033</v>
      </c>
      <c r="D9312" t="s">
        <v>68854</v>
      </c>
      <c r="E9312" t="s">
        <v>68855</v>
      </c>
      <c r="F9312" t="s">
        <v>9846</v>
      </c>
      <c r="G9312" t="s">
        <v>880</v>
      </c>
      <c r="H9312">
        <v>37027</v>
      </c>
      <c r="I9312" t="s">
        <v>30</v>
      </c>
      <c r="J9312" t="s">
        <v>162</v>
      </c>
      <c r="K9312" t="s">
        <v>4809</v>
      </c>
      <c r="N9312" t="s">
        <v>68856</v>
      </c>
      <c r="Q9312">
        <v>0</v>
      </c>
      <c r="R9312">
        <v>203</v>
      </c>
      <c r="S9312">
        <v>0</v>
      </c>
      <c r="T9312" t="s">
        <v>68857</v>
      </c>
    </row>
    <row r="9313" spans="1:25" customFormat="1" ht="15" x14ac:dyDescent="0.25">
      <c r="A9313" t="s">
        <v>24</v>
      </c>
      <c r="B9313" t="s">
        <v>56277</v>
      </c>
      <c r="C9313" t="str">
        <f>"71F08"</f>
        <v>71F08</v>
      </c>
      <c r="D9313" t="s">
        <v>68858</v>
      </c>
      <c r="E9313" t="s">
        <v>68859</v>
      </c>
      <c r="F9313" t="s">
        <v>242</v>
      </c>
      <c r="G9313" t="s">
        <v>214</v>
      </c>
      <c r="H9313">
        <v>28217</v>
      </c>
      <c r="I9313" t="s">
        <v>30</v>
      </c>
      <c r="J9313" t="s">
        <v>162</v>
      </c>
      <c r="K9313" t="s">
        <v>4809</v>
      </c>
      <c r="N9313" t="s">
        <v>68860</v>
      </c>
      <c r="O9313" t="s">
        <v>68861</v>
      </c>
      <c r="Q9313">
        <v>0</v>
      </c>
      <c r="R9313">
        <v>275</v>
      </c>
      <c r="S9313">
        <v>0</v>
      </c>
      <c r="T9313" t="s">
        <v>68862</v>
      </c>
    </row>
    <row r="9314" spans="1:25" customFormat="1" ht="15" x14ac:dyDescent="0.25">
      <c r="A9314" t="s">
        <v>24</v>
      </c>
      <c r="B9314" t="s">
        <v>2955</v>
      </c>
      <c r="C9314" t="str">
        <f>"88WY001"</f>
        <v>88WY001</v>
      </c>
      <c r="D9314" t="s">
        <v>68863</v>
      </c>
      <c r="E9314" t="s">
        <v>68864</v>
      </c>
      <c r="F9314" t="s">
        <v>1519</v>
      </c>
      <c r="G9314" t="s">
        <v>110</v>
      </c>
      <c r="H9314">
        <v>90071</v>
      </c>
      <c r="I9314" t="s">
        <v>30</v>
      </c>
      <c r="J9314" t="s">
        <v>162</v>
      </c>
      <c r="K9314" t="s">
        <v>4809</v>
      </c>
      <c r="N9314" t="s">
        <v>68865</v>
      </c>
      <c r="O9314" t="s">
        <v>68866</v>
      </c>
      <c r="Q9314">
        <v>0</v>
      </c>
      <c r="R9314">
        <v>200</v>
      </c>
      <c r="S9314">
        <v>0</v>
      </c>
      <c r="T9314" t="s">
        <v>68867</v>
      </c>
    </row>
    <row r="9315" spans="1:25" customFormat="1" ht="15" x14ac:dyDescent="0.25">
      <c r="A9315" t="s">
        <v>24</v>
      </c>
      <c r="B9315" t="s">
        <v>13730</v>
      </c>
      <c r="C9315" t="str">
        <f>"A0061059"</f>
        <v>A0061059</v>
      </c>
      <c r="D9315" t="s">
        <v>68868</v>
      </c>
      <c r="E9315" t="s">
        <v>68869</v>
      </c>
      <c r="F9315" t="s">
        <v>2352</v>
      </c>
      <c r="G9315" t="s">
        <v>840</v>
      </c>
      <c r="H9315">
        <v>41042</v>
      </c>
      <c r="I9315" t="s">
        <v>30</v>
      </c>
      <c r="J9315" t="s">
        <v>162</v>
      </c>
      <c r="K9315" t="s">
        <v>4809</v>
      </c>
      <c r="N9315" t="s">
        <v>68870</v>
      </c>
      <c r="Q9315">
        <v>0</v>
      </c>
      <c r="R9315">
        <v>206</v>
      </c>
      <c r="S9315">
        <v>0</v>
      </c>
      <c r="T9315" t="s">
        <v>68871</v>
      </c>
    </row>
    <row r="9316" spans="1:25" customFormat="1" ht="15" x14ac:dyDescent="0.25">
      <c r="A9316" t="s">
        <v>24</v>
      </c>
      <c r="B9316" t="s">
        <v>1205</v>
      </c>
      <c r="C9316" t="str">
        <f>"A0057307"</f>
        <v>A0057307</v>
      </c>
      <c r="D9316" t="s">
        <v>68872</v>
      </c>
      <c r="E9316" t="s">
        <v>68873</v>
      </c>
      <c r="F9316" t="s">
        <v>1525</v>
      </c>
      <c r="G9316" t="s">
        <v>65</v>
      </c>
      <c r="H9316">
        <v>43219</v>
      </c>
      <c r="I9316" t="s">
        <v>30</v>
      </c>
      <c r="J9316" t="s">
        <v>162</v>
      </c>
      <c r="K9316" t="s">
        <v>4809</v>
      </c>
      <c r="N9316" t="s">
        <v>68874</v>
      </c>
      <c r="O9316" t="s">
        <v>68875</v>
      </c>
      <c r="Q9316">
        <v>0</v>
      </c>
      <c r="R9316">
        <v>313</v>
      </c>
      <c r="S9316">
        <v>0</v>
      </c>
      <c r="T9316" t="s">
        <v>68876</v>
      </c>
    </row>
    <row r="9317" spans="1:25" customFormat="1" ht="15" x14ac:dyDescent="0.25">
      <c r="A9317" t="s">
        <v>24</v>
      </c>
      <c r="B9317" t="s">
        <v>1548</v>
      </c>
      <c r="C9317" t="str">
        <f>"A0087226"</f>
        <v>A0087226</v>
      </c>
      <c r="D9317" t="s">
        <v>68877</v>
      </c>
      <c r="E9317" t="s">
        <v>68878</v>
      </c>
      <c r="F9317" t="s">
        <v>1525</v>
      </c>
      <c r="G9317" t="s">
        <v>65</v>
      </c>
      <c r="H9317">
        <v>43240</v>
      </c>
      <c r="I9317" t="s">
        <v>30</v>
      </c>
      <c r="J9317" t="s">
        <v>162</v>
      </c>
      <c r="K9317" t="s">
        <v>4809</v>
      </c>
      <c r="N9317" t="s">
        <v>53707</v>
      </c>
      <c r="Q9317">
        <v>0</v>
      </c>
      <c r="R9317">
        <v>252</v>
      </c>
      <c r="S9317">
        <v>0</v>
      </c>
      <c r="T9317" t="s">
        <v>68879</v>
      </c>
    </row>
    <row r="9318" spans="1:25" customFormat="1" ht="15" x14ac:dyDescent="0.25">
      <c r="A9318" t="s">
        <v>24</v>
      </c>
      <c r="B9318" t="s">
        <v>1020</v>
      </c>
      <c r="C9318" t="str">
        <f>"A0068688"</f>
        <v>A0068688</v>
      </c>
      <c r="D9318" t="s">
        <v>68880</v>
      </c>
      <c r="E9318" t="s">
        <v>68881</v>
      </c>
      <c r="F9318" t="s">
        <v>1258</v>
      </c>
      <c r="G9318" t="s">
        <v>81</v>
      </c>
      <c r="H9318">
        <v>32118</v>
      </c>
      <c r="I9318" t="s">
        <v>30</v>
      </c>
      <c r="J9318" t="s">
        <v>162</v>
      </c>
      <c r="K9318" t="s">
        <v>4809</v>
      </c>
      <c r="N9318" t="s">
        <v>68882</v>
      </c>
      <c r="Q9318">
        <v>0</v>
      </c>
      <c r="R9318">
        <v>744</v>
      </c>
      <c r="S9318">
        <v>0</v>
      </c>
      <c r="T9318" t="s">
        <v>68883</v>
      </c>
    </row>
    <row r="9319" spans="1:25" customFormat="1" ht="15" x14ac:dyDescent="0.25">
      <c r="A9319" t="s">
        <v>35</v>
      </c>
      <c r="B9319" t="s">
        <v>61</v>
      </c>
      <c r="C9319" t="str">
        <f>"A0180073"</f>
        <v>A0180073</v>
      </c>
      <c r="D9319" t="s">
        <v>35235</v>
      </c>
      <c r="E9319" t="s">
        <v>35236</v>
      </c>
      <c r="F9319" t="s">
        <v>17360</v>
      </c>
      <c r="G9319" t="s">
        <v>137</v>
      </c>
      <c r="H9319">
        <v>63841</v>
      </c>
      <c r="I9319" t="s">
        <v>30</v>
      </c>
      <c r="J9319" t="s">
        <v>41</v>
      </c>
      <c r="K9319" t="s">
        <v>229</v>
      </c>
      <c r="Q9319">
        <v>0</v>
      </c>
      <c r="R9319">
        <v>90</v>
      </c>
      <c r="S9319">
        <v>90</v>
      </c>
      <c r="T9319" t="s">
        <v>35237</v>
      </c>
    </row>
    <row r="9320" spans="1:25" customFormat="1" ht="15" x14ac:dyDescent="0.25">
      <c r="A9320" t="s">
        <v>35</v>
      </c>
      <c r="B9320" t="s">
        <v>35238</v>
      </c>
      <c r="C9320" t="str">
        <f>"A0180072"</f>
        <v>A0180072</v>
      </c>
      <c r="D9320" t="s">
        <v>35239</v>
      </c>
      <c r="E9320" t="s">
        <v>35240</v>
      </c>
      <c r="F9320" t="s">
        <v>25983</v>
      </c>
      <c r="G9320" t="s">
        <v>65</v>
      </c>
      <c r="H9320">
        <v>43068</v>
      </c>
      <c r="I9320" t="s">
        <v>30</v>
      </c>
      <c r="J9320" t="s">
        <v>41</v>
      </c>
      <c r="K9320" t="s">
        <v>59</v>
      </c>
      <c r="Q9320">
        <v>0</v>
      </c>
      <c r="R9320">
        <v>15</v>
      </c>
      <c r="S9320">
        <v>15</v>
      </c>
      <c r="T9320" t="s">
        <v>35241</v>
      </c>
    </row>
    <row r="9321" spans="1:25" customFormat="1" ht="15" x14ac:dyDescent="0.25">
      <c r="A9321" t="s">
        <v>35</v>
      </c>
      <c r="B9321" t="s">
        <v>106</v>
      </c>
      <c r="C9321" t="str">
        <f>"A0180071"</f>
        <v>A0180071</v>
      </c>
      <c r="D9321" t="s">
        <v>35242</v>
      </c>
      <c r="E9321" t="s">
        <v>35243</v>
      </c>
      <c r="F9321" t="s">
        <v>19706</v>
      </c>
      <c r="G9321" t="s">
        <v>65</v>
      </c>
      <c r="H9321">
        <v>44035</v>
      </c>
      <c r="I9321" t="s">
        <v>30</v>
      </c>
      <c r="J9321" t="s">
        <v>111</v>
      </c>
      <c r="K9321" t="s">
        <v>112</v>
      </c>
      <c r="Q9321">
        <v>0</v>
      </c>
      <c r="R9321">
        <v>0</v>
      </c>
      <c r="S9321">
        <v>0</v>
      </c>
      <c r="T9321" t="s">
        <v>35244</v>
      </c>
    </row>
    <row r="9322" spans="1:25" customFormat="1" ht="15" x14ac:dyDescent="0.25">
      <c r="A9322" t="s">
        <v>35</v>
      </c>
      <c r="B9322" t="s">
        <v>35245</v>
      </c>
      <c r="C9322" t="str">
        <f>"A0180070"</f>
        <v>A0180070</v>
      </c>
      <c r="D9322" t="s">
        <v>35245</v>
      </c>
      <c r="E9322" t="s">
        <v>35246</v>
      </c>
      <c r="F9322" t="s">
        <v>12532</v>
      </c>
      <c r="G9322" t="s">
        <v>1369</v>
      </c>
      <c r="H9322">
        <v>39216</v>
      </c>
      <c r="I9322" t="s">
        <v>30</v>
      </c>
      <c r="J9322" t="s">
        <v>41</v>
      </c>
      <c r="K9322" t="s">
        <v>290</v>
      </c>
      <c r="Q9322">
        <v>0</v>
      </c>
      <c r="R9322">
        <v>0</v>
      </c>
      <c r="S9322">
        <v>0</v>
      </c>
      <c r="T9322" t="s">
        <v>35247</v>
      </c>
    </row>
    <row r="9323" spans="1:25" customFormat="1" ht="15" x14ac:dyDescent="0.25">
      <c r="A9323" t="s">
        <v>35</v>
      </c>
      <c r="B9323" t="s">
        <v>36</v>
      </c>
      <c r="C9323" t="str">
        <f>"A0180069"</f>
        <v>A0180069</v>
      </c>
      <c r="D9323" t="s">
        <v>35248</v>
      </c>
      <c r="E9323" t="s">
        <v>35249</v>
      </c>
      <c r="F9323" t="s">
        <v>4655</v>
      </c>
      <c r="G9323" t="s">
        <v>899</v>
      </c>
      <c r="H9323">
        <v>2062</v>
      </c>
      <c r="I9323" t="s">
        <v>30</v>
      </c>
      <c r="J9323" t="s">
        <v>41</v>
      </c>
      <c r="K9323" t="s">
        <v>42</v>
      </c>
      <c r="Q9323">
        <v>0</v>
      </c>
      <c r="R9323">
        <v>0</v>
      </c>
      <c r="S9323">
        <v>0</v>
      </c>
      <c r="T9323" t="s">
        <v>35250</v>
      </c>
    </row>
    <row r="9324" spans="1:25" customFormat="1" ht="15" x14ac:dyDescent="0.25">
      <c r="A9324" t="s">
        <v>35</v>
      </c>
      <c r="B9324" t="s">
        <v>36</v>
      </c>
      <c r="C9324" t="str">
        <f>"A0180068"</f>
        <v>A0180068</v>
      </c>
      <c r="D9324" t="s">
        <v>35251</v>
      </c>
      <c r="E9324" t="s">
        <v>35252</v>
      </c>
      <c r="F9324" t="s">
        <v>35253</v>
      </c>
      <c r="G9324" t="s">
        <v>52</v>
      </c>
      <c r="H9324">
        <v>75022</v>
      </c>
      <c r="I9324" t="s">
        <v>30</v>
      </c>
      <c r="J9324" t="s">
        <v>41</v>
      </c>
      <c r="K9324" t="s">
        <v>42</v>
      </c>
      <c r="Q9324">
        <v>0</v>
      </c>
      <c r="R9324">
        <v>0</v>
      </c>
      <c r="S9324">
        <v>0</v>
      </c>
      <c r="T9324" t="s">
        <v>35254</v>
      </c>
    </row>
    <row r="9325" spans="1:25" customFormat="1" ht="15" x14ac:dyDescent="0.25">
      <c r="A9325" t="s">
        <v>35</v>
      </c>
      <c r="B9325" t="s">
        <v>36</v>
      </c>
      <c r="C9325" t="str">
        <f>"A0180067"</f>
        <v>A0180067</v>
      </c>
      <c r="D9325" t="s">
        <v>35255</v>
      </c>
      <c r="E9325" t="s">
        <v>35256</v>
      </c>
      <c r="F9325" t="s">
        <v>32846</v>
      </c>
      <c r="G9325" t="s">
        <v>1898</v>
      </c>
      <c r="H9325">
        <v>50240</v>
      </c>
      <c r="I9325" t="s">
        <v>30</v>
      </c>
      <c r="J9325" t="s">
        <v>41</v>
      </c>
      <c r="K9325" t="s">
        <v>42</v>
      </c>
      <c r="Q9325">
        <v>0</v>
      </c>
      <c r="R9325">
        <v>0</v>
      </c>
      <c r="S9325">
        <v>0</v>
      </c>
      <c r="T9325" t="s">
        <v>35257</v>
      </c>
    </row>
    <row r="9326" spans="1:25" customFormat="1" ht="15" x14ac:dyDescent="0.25">
      <c r="A9326" t="s">
        <v>35</v>
      </c>
      <c r="B9326" t="s">
        <v>36</v>
      </c>
      <c r="C9326" t="str">
        <f>"A0180066"</f>
        <v>A0180066</v>
      </c>
      <c r="D9326" t="s">
        <v>35258</v>
      </c>
      <c r="E9326" t="s">
        <v>35259</v>
      </c>
      <c r="F9326" t="s">
        <v>35260</v>
      </c>
      <c r="G9326" t="s">
        <v>880</v>
      </c>
      <c r="H9326">
        <v>37025</v>
      </c>
      <c r="I9326" t="s">
        <v>30</v>
      </c>
      <c r="J9326" t="s">
        <v>41</v>
      </c>
      <c r="K9326" t="s">
        <v>42</v>
      </c>
      <c r="Q9326">
        <v>0</v>
      </c>
      <c r="R9326">
        <v>0</v>
      </c>
      <c r="S9326">
        <v>0</v>
      </c>
      <c r="T9326" t="s">
        <v>35261</v>
      </c>
    </row>
    <row r="9327" spans="1:25" x14ac:dyDescent="0.25">
      <c r="A9327" s="5" t="s">
        <v>24</v>
      </c>
      <c r="B9327" s="5" t="s">
        <v>56277</v>
      </c>
      <c r="C9327" s="5" t="str">
        <f>"SF02126"</f>
        <v>SF02126</v>
      </c>
      <c r="D9327" s="5" t="s">
        <v>68884</v>
      </c>
      <c r="E9327" s="5" t="s">
        <v>68885</v>
      </c>
      <c r="F9327" s="5" t="s">
        <v>417</v>
      </c>
      <c r="G9327" s="5" t="s">
        <v>190</v>
      </c>
      <c r="H9327" s="5">
        <v>80526</v>
      </c>
      <c r="I9327" s="5" t="s">
        <v>30</v>
      </c>
      <c r="J9327" s="5" t="s">
        <v>162</v>
      </c>
      <c r="K9327" s="5" t="s">
        <v>4809</v>
      </c>
      <c r="L9327" s="5"/>
      <c r="M9327" s="5"/>
      <c r="N9327" s="5" t="s">
        <v>68886</v>
      </c>
      <c r="O9327" s="5" t="s">
        <v>68887</v>
      </c>
      <c r="P9327" s="5"/>
      <c r="Q9327" s="5">
        <v>0</v>
      </c>
      <c r="R9327" s="5">
        <v>255</v>
      </c>
      <c r="S9327" s="5">
        <v>0</v>
      </c>
      <c r="T9327" s="5" t="s">
        <v>68888</v>
      </c>
      <c r="U9327" s="5"/>
      <c r="V9327" s="5"/>
      <c r="W9327" s="5"/>
      <c r="X9327" s="5"/>
      <c r="Y9327" s="5"/>
    </row>
    <row r="9328" spans="1:25" customFormat="1" ht="15" x14ac:dyDescent="0.25">
      <c r="A9328" t="s">
        <v>24</v>
      </c>
      <c r="B9328" t="s">
        <v>55506</v>
      </c>
      <c r="C9328" t="str">
        <f>"A0057118"</f>
        <v>A0057118</v>
      </c>
      <c r="D9328" t="s">
        <v>68889</v>
      </c>
      <c r="E9328" t="s">
        <v>68890</v>
      </c>
      <c r="F9328" t="s">
        <v>64923</v>
      </c>
      <c r="G9328" t="s">
        <v>381</v>
      </c>
      <c r="H9328">
        <v>46802</v>
      </c>
      <c r="I9328" t="s">
        <v>30</v>
      </c>
      <c r="J9328" t="s">
        <v>162</v>
      </c>
      <c r="K9328" t="s">
        <v>4809</v>
      </c>
      <c r="N9328" t="s">
        <v>68891</v>
      </c>
      <c r="O9328" t="s">
        <v>68892</v>
      </c>
      <c r="Q9328">
        <v>0</v>
      </c>
      <c r="R9328">
        <v>246</v>
      </c>
      <c r="S9328">
        <v>0</v>
      </c>
      <c r="T9328" t="s">
        <v>68893</v>
      </c>
    </row>
    <row r="9329" spans="1:25" x14ac:dyDescent="0.25">
      <c r="A9329" s="5" t="s">
        <v>24</v>
      </c>
      <c r="B9329" s="5" t="s">
        <v>6363</v>
      </c>
      <c r="C9329" s="5" t="str">
        <f>"A0100608"</f>
        <v>A0100608</v>
      </c>
      <c r="D9329" s="5" t="s">
        <v>68894</v>
      </c>
      <c r="E9329" s="5" t="s">
        <v>68895</v>
      </c>
      <c r="F9329" s="5" t="s">
        <v>7921</v>
      </c>
      <c r="G9329" s="5" t="s">
        <v>880</v>
      </c>
      <c r="H9329" s="5">
        <v>37067</v>
      </c>
      <c r="I9329" s="5" t="s">
        <v>30</v>
      </c>
      <c r="J9329" s="5" t="s">
        <v>162</v>
      </c>
      <c r="K9329" s="5" t="s">
        <v>4809</v>
      </c>
      <c r="L9329" s="5"/>
      <c r="M9329" s="5"/>
      <c r="N9329" s="5" t="s">
        <v>68896</v>
      </c>
      <c r="O9329" s="5" t="s">
        <v>68897</v>
      </c>
      <c r="P9329" s="5"/>
      <c r="Q9329" s="5">
        <v>0</v>
      </c>
      <c r="R9329" s="5">
        <v>244</v>
      </c>
      <c r="S9329" s="5">
        <v>0</v>
      </c>
      <c r="T9329" s="5" t="s">
        <v>68898</v>
      </c>
      <c r="U9329" s="5"/>
      <c r="V9329" s="5"/>
      <c r="W9329" s="5"/>
      <c r="X9329" s="5"/>
      <c r="Y9329" s="5"/>
    </row>
    <row r="9330" spans="1:25" customFormat="1" ht="15" x14ac:dyDescent="0.25">
      <c r="A9330" t="s">
        <v>24</v>
      </c>
      <c r="B9330" t="s">
        <v>35790</v>
      </c>
      <c r="C9330" t="str">
        <f>"A0084220"</f>
        <v>A0084220</v>
      </c>
      <c r="D9330" t="s">
        <v>68902</v>
      </c>
      <c r="E9330" t="s">
        <v>68903</v>
      </c>
      <c r="F9330" t="s">
        <v>6897</v>
      </c>
      <c r="G9330" t="s">
        <v>99</v>
      </c>
      <c r="H9330">
        <v>12206</v>
      </c>
      <c r="I9330" t="s">
        <v>30</v>
      </c>
      <c r="J9330" t="s">
        <v>162</v>
      </c>
      <c r="K9330" t="s">
        <v>1331</v>
      </c>
      <c r="N9330" t="s">
        <v>68904</v>
      </c>
      <c r="O9330" t="s">
        <v>68905</v>
      </c>
      <c r="Q9330">
        <v>0</v>
      </c>
      <c r="R9330">
        <v>126</v>
      </c>
      <c r="S9330">
        <v>0</v>
      </c>
      <c r="T9330" t="s">
        <v>68906</v>
      </c>
    </row>
    <row r="9331" spans="1:25" customFormat="1" ht="15" x14ac:dyDescent="0.25">
      <c r="A9331" t="s">
        <v>24</v>
      </c>
      <c r="B9331" t="s">
        <v>2955</v>
      </c>
      <c r="C9331" t="str">
        <f>"A0084527"</f>
        <v>A0084527</v>
      </c>
      <c r="D9331" t="s">
        <v>68943</v>
      </c>
      <c r="E9331" t="s">
        <v>68944</v>
      </c>
      <c r="F9331" t="s">
        <v>7455</v>
      </c>
      <c r="G9331" t="s">
        <v>123</v>
      </c>
      <c r="H9331">
        <v>21202</v>
      </c>
      <c r="I9331" t="s">
        <v>30</v>
      </c>
      <c r="J9331" t="s">
        <v>162</v>
      </c>
      <c r="K9331" t="s">
        <v>1331</v>
      </c>
      <c r="N9331" t="s">
        <v>68945</v>
      </c>
      <c r="O9331" t="s">
        <v>68946</v>
      </c>
      <c r="Q9331">
        <v>0</v>
      </c>
      <c r="R9331">
        <v>183</v>
      </c>
      <c r="S9331">
        <v>0</v>
      </c>
      <c r="T9331" t="s">
        <v>68947</v>
      </c>
    </row>
    <row r="9332" spans="1:25" customFormat="1" ht="15" x14ac:dyDescent="0.25">
      <c r="A9332" t="s">
        <v>24</v>
      </c>
      <c r="B9332" t="s">
        <v>814</v>
      </c>
      <c r="C9332" t="str">
        <f>"SF04361"</f>
        <v>SF04361</v>
      </c>
      <c r="D9332" t="s">
        <v>69242</v>
      </c>
      <c r="E9332" t="s">
        <v>69243</v>
      </c>
      <c r="F9332" t="s">
        <v>21306</v>
      </c>
      <c r="G9332" t="s">
        <v>110</v>
      </c>
      <c r="H9332">
        <v>94608</v>
      </c>
      <c r="I9332" t="s">
        <v>30</v>
      </c>
      <c r="J9332" t="s">
        <v>162</v>
      </c>
      <c r="K9332" t="s">
        <v>1331</v>
      </c>
      <c r="N9332" t="s">
        <v>69244</v>
      </c>
      <c r="O9332" t="s">
        <v>69245</v>
      </c>
      <c r="Q9332">
        <v>0</v>
      </c>
      <c r="R9332">
        <v>278</v>
      </c>
      <c r="S9332">
        <v>0</v>
      </c>
      <c r="T9332" t="s">
        <v>69246</v>
      </c>
    </row>
    <row r="9333" spans="1:25" customFormat="1" ht="15" x14ac:dyDescent="0.25">
      <c r="A9333" t="s">
        <v>24</v>
      </c>
      <c r="B9333" t="s">
        <v>6363</v>
      </c>
      <c r="C9333" t="str">
        <f>"A0136813"</f>
        <v>A0136813</v>
      </c>
      <c r="D9333" t="s">
        <v>69779</v>
      </c>
      <c r="E9333" t="s">
        <v>69780</v>
      </c>
      <c r="F9333" t="s">
        <v>2971</v>
      </c>
      <c r="G9333" t="s">
        <v>880</v>
      </c>
      <c r="H9333">
        <v>37215</v>
      </c>
      <c r="I9333" t="s">
        <v>30</v>
      </c>
      <c r="J9333" t="s">
        <v>162</v>
      </c>
      <c r="K9333" t="s">
        <v>4809</v>
      </c>
      <c r="N9333" t="s">
        <v>69781</v>
      </c>
      <c r="Q9333">
        <v>0</v>
      </c>
      <c r="R9333">
        <v>210</v>
      </c>
      <c r="S9333">
        <v>0</v>
      </c>
      <c r="T9333" t="s">
        <v>69782</v>
      </c>
    </row>
    <row r="9334" spans="1:25" customFormat="1" ht="15" x14ac:dyDescent="0.25">
      <c r="A9334" t="s">
        <v>24</v>
      </c>
      <c r="B9334" t="s">
        <v>35290</v>
      </c>
      <c r="C9334" t="str">
        <f>"A0091951"</f>
        <v>A0091951</v>
      </c>
      <c r="D9334" t="s">
        <v>35291</v>
      </c>
      <c r="E9334" t="s">
        <v>35292</v>
      </c>
      <c r="F9334" t="s">
        <v>16728</v>
      </c>
      <c r="G9334" t="s">
        <v>52</v>
      </c>
      <c r="H9334">
        <v>77554</v>
      </c>
      <c r="I9334" t="s">
        <v>30</v>
      </c>
      <c r="J9334" t="s">
        <v>31</v>
      </c>
      <c r="K9334" t="s">
        <v>222</v>
      </c>
      <c r="N9334" t="s">
        <v>35293</v>
      </c>
      <c r="O9334" t="s">
        <v>35294</v>
      </c>
      <c r="Q9334">
        <v>0</v>
      </c>
      <c r="R9334">
        <v>88</v>
      </c>
      <c r="S9334">
        <v>0</v>
      </c>
      <c r="T9334" t="s">
        <v>35295</v>
      </c>
    </row>
    <row r="9335" spans="1:25" customFormat="1" ht="15" x14ac:dyDescent="0.25">
      <c r="A9335" t="s">
        <v>24</v>
      </c>
      <c r="B9335" t="s">
        <v>1548</v>
      </c>
      <c r="C9335" t="str">
        <f>"A0055800"</f>
        <v>A0055800</v>
      </c>
      <c r="D9335" t="s">
        <v>69783</v>
      </c>
      <c r="E9335" t="s">
        <v>69784</v>
      </c>
      <c r="F9335" t="s">
        <v>5905</v>
      </c>
      <c r="G9335" t="s">
        <v>58</v>
      </c>
      <c r="H9335">
        <v>29615</v>
      </c>
      <c r="I9335" t="s">
        <v>30</v>
      </c>
      <c r="J9335" t="s">
        <v>162</v>
      </c>
      <c r="K9335" t="s">
        <v>4809</v>
      </c>
      <c r="N9335" t="s">
        <v>69785</v>
      </c>
      <c r="Q9335">
        <v>0</v>
      </c>
      <c r="R9335">
        <v>256</v>
      </c>
      <c r="S9335">
        <v>0</v>
      </c>
      <c r="T9335" t="s">
        <v>69786</v>
      </c>
    </row>
    <row r="9336" spans="1:25" x14ac:dyDescent="0.25">
      <c r="A9336" s="5" t="s">
        <v>24</v>
      </c>
      <c r="B9336" s="5" t="s">
        <v>13679</v>
      </c>
      <c r="C9336" s="5" t="str">
        <f>"A0068691"</f>
        <v>A0068691</v>
      </c>
      <c r="D9336" s="5" t="s">
        <v>69791</v>
      </c>
      <c r="E9336" s="5" t="s">
        <v>69792</v>
      </c>
      <c r="F9336" s="5" t="s">
        <v>9431</v>
      </c>
      <c r="G9336" s="5" t="s">
        <v>381</v>
      </c>
      <c r="H9336" s="5">
        <v>46204</v>
      </c>
      <c r="I9336" s="5" t="s">
        <v>30</v>
      </c>
      <c r="J9336" s="5" t="s">
        <v>162</v>
      </c>
      <c r="K9336" s="5" t="s">
        <v>4809</v>
      </c>
      <c r="L9336" s="5"/>
      <c r="M9336" s="5"/>
      <c r="N9336" s="5" t="s">
        <v>69793</v>
      </c>
      <c r="O9336" s="5" t="s">
        <v>69794</v>
      </c>
      <c r="P9336" s="5"/>
      <c r="Q9336" s="5">
        <v>0</v>
      </c>
      <c r="R9336" s="5">
        <v>332</v>
      </c>
      <c r="S9336" s="5">
        <v>0</v>
      </c>
      <c r="T9336" s="5" t="s">
        <v>69795</v>
      </c>
      <c r="U9336" s="5"/>
      <c r="V9336" s="5"/>
      <c r="W9336" s="5"/>
      <c r="X9336" s="5"/>
      <c r="Y9336" s="5"/>
    </row>
    <row r="9337" spans="1:25" hidden="1" x14ac:dyDescent="0.25">
      <c r="A9337" s="3" t="s">
        <v>24</v>
      </c>
      <c r="B9337" s="3" t="s">
        <v>35305</v>
      </c>
      <c r="C9337" s="3" t="str">
        <f>"A0166716"</f>
        <v>A0166716</v>
      </c>
      <c r="D9337" s="3" t="s">
        <v>35306</v>
      </c>
      <c r="E9337" s="3" t="s">
        <v>35307</v>
      </c>
      <c r="F9337" s="3" t="s">
        <v>5438</v>
      </c>
      <c r="G9337" s="3" t="s">
        <v>5439</v>
      </c>
      <c r="H9337" s="3" t="s">
        <v>35308</v>
      </c>
      <c r="I9337" s="3" t="s">
        <v>1459</v>
      </c>
      <c r="J9337" s="3" t="s">
        <v>206</v>
      </c>
      <c r="K9337" s="3" t="s">
        <v>11680</v>
      </c>
      <c r="N9337" s="3" t="s">
        <v>35309</v>
      </c>
      <c r="O9337" s="3" t="s">
        <v>35310</v>
      </c>
      <c r="Q9337" s="3">
        <v>0</v>
      </c>
      <c r="R9337" s="3">
        <v>166</v>
      </c>
      <c r="S9337" s="3">
        <v>0</v>
      </c>
      <c r="T9337" s="3" t="s">
        <v>35311</v>
      </c>
    </row>
    <row r="9338" spans="1:25" customFormat="1" ht="15" x14ac:dyDescent="0.25">
      <c r="A9338" t="s">
        <v>24</v>
      </c>
      <c r="B9338" t="s">
        <v>13730</v>
      </c>
      <c r="C9338" t="str">
        <f>"A0056772"</f>
        <v>A0056772</v>
      </c>
      <c r="D9338" t="s">
        <v>69796</v>
      </c>
      <c r="E9338" t="s">
        <v>69797</v>
      </c>
      <c r="F9338" t="s">
        <v>3517</v>
      </c>
      <c r="G9338" t="s">
        <v>110</v>
      </c>
      <c r="H9338">
        <v>95815</v>
      </c>
      <c r="I9338" t="s">
        <v>30</v>
      </c>
      <c r="J9338" t="s">
        <v>162</v>
      </c>
      <c r="K9338" t="s">
        <v>4809</v>
      </c>
      <c r="N9338" t="s">
        <v>63249</v>
      </c>
      <c r="O9338" t="s">
        <v>69798</v>
      </c>
      <c r="Q9338">
        <v>0</v>
      </c>
      <c r="R9338">
        <v>326</v>
      </c>
      <c r="S9338">
        <v>0</v>
      </c>
      <c r="T9338" t="s">
        <v>69799</v>
      </c>
    </row>
    <row r="9339" spans="1:25" customFormat="1" ht="15" x14ac:dyDescent="0.25">
      <c r="A9339" t="s">
        <v>24</v>
      </c>
      <c r="B9339" t="s">
        <v>193</v>
      </c>
      <c r="C9339" t="str">
        <f>"A0099847"</f>
        <v>A0099847</v>
      </c>
      <c r="D9339" t="s">
        <v>35316</v>
      </c>
      <c r="E9339" t="s">
        <v>35317</v>
      </c>
      <c r="F9339" t="s">
        <v>35318</v>
      </c>
      <c r="G9339" t="s">
        <v>71</v>
      </c>
      <c r="H9339">
        <v>54452</v>
      </c>
      <c r="I9339" t="s">
        <v>30</v>
      </c>
      <c r="J9339" t="s">
        <v>31</v>
      </c>
      <c r="K9339" t="s">
        <v>5869</v>
      </c>
      <c r="N9339" t="s">
        <v>35319</v>
      </c>
      <c r="Q9339">
        <v>0</v>
      </c>
      <c r="R9339">
        <v>57</v>
      </c>
      <c r="S9339">
        <v>0</v>
      </c>
      <c r="T9339" t="s">
        <v>35320</v>
      </c>
    </row>
    <row r="9340" spans="1:25" customFormat="1" ht="15" x14ac:dyDescent="0.25">
      <c r="A9340" t="s">
        <v>24</v>
      </c>
      <c r="B9340" t="s">
        <v>1561</v>
      </c>
      <c r="C9340" t="str">
        <f>"A0179558"</f>
        <v>A0179558</v>
      </c>
      <c r="D9340" t="s">
        <v>35321</v>
      </c>
      <c r="E9340" t="s">
        <v>35322</v>
      </c>
      <c r="F9340" t="s">
        <v>1233</v>
      </c>
      <c r="G9340" t="s">
        <v>880</v>
      </c>
      <c r="H9340">
        <v>37167</v>
      </c>
      <c r="I9340" t="s">
        <v>30</v>
      </c>
      <c r="J9340" t="s">
        <v>31</v>
      </c>
      <c r="K9340" t="s">
        <v>1196</v>
      </c>
      <c r="N9340" t="s">
        <v>35323</v>
      </c>
      <c r="O9340" t="s">
        <v>35324</v>
      </c>
      <c r="Q9340">
        <v>0</v>
      </c>
      <c r="R9340">
        <v>78</v>
      </c>
      <c r="S9340">
        <v>0</v>
      </c>
      <c r="T9340" t="s">
        <v>35325</v>
      </c>
    </row>
    <row r="9341" spans="1:25" customFormat="1" ht="15" x14ac:dyDescent="0.25">
      <c r="A9341" t="s">
        <v>24</v>
      </c>
      <c r="B9341" t="s">
        <v>2349</v>
      </c>
      <c r="C9341" t="str">
        <f>"A0179996"</f>
        <v>A0179996</v>
      </c>
      <c r="D9341" t="s">
        <v>35326</v>
      </c>
      <c r="E9341" t="s">
        <v>35327</v>
      </c>
      <c r="F9341" t="s">
        <v>13716</v>
      </c>
      <c r="G9341" t="s">
        <v>65</v>
      </c>
      <c r="H9341">
        <v>45202</v>
      </c>
      <c r="I9341" t="s">
        <v>30</v>
      </c>
      <c r="J9341" t="s">
        <v>31</v>
      </c>
      <c r="K9341" t="s">
        <v>222</v>
      </c>
      <c r="N9341" t="s">
        <v>35328</v>
      </c>
      <c r="Q9341">
        <v>0</v>
      </c>
      <c r="R9341">
        <v>84</v>
      </c>
      <c r="S9341">
        <v>0</v>
      </c>
      <c r="T9341" t="s">
        <v>35329</v>
      </c>
    </row>
    <row r="9342" spans="1:25" customFormat="1" ht="15" x14ac:dyDescent="0.25">
      <c r="A9342" t="s">
        <v>24</v>
      </c>
      <c r="B9342" t="s">
        <v>2349</v>
      </c>
      <c r="C9342" t="str">
        <f>"A0162122"</f>
        <v>A0162122</v>
      </c>
      <c r="D9342" t="s">
        <v>35330</v>
      </c>
      <c r="E9342" t="s">
        <v>35331</v>
      </c>
      <c r="F9342" t="s">
        <v>8225</v>
      </c>
      <c r="G9342" t="s">
        <v>65</v>
      </c>
      <c r="H9342">
        <v>43017</v>
      </c>
      <c r="I9342" t="s">
        <v>30</v>
      </c>
      <c r="J9342" t="s">
        <v>31</v>
      </c>
      <c r="K9342" t="s">
        <v>222</v>
      </c>
      <c r="N9342" t="s">
        <v>35332</v>
      </c>
      <c r="O9342" t="s">
        <v>35333</v>
      </c>
      <c r="Q9342">
        <v>0</v>
      </c>
      <c r="R9342">
        <v>105</v>
      </c>
      <c r="S9342">
        <v>0</v>
      </c>
      <c r="T9342" t="s">
        <v>35334</v>
      </c>
    </row>
    <row r="9343" spans="1:25" customFormat="1" ht="15" x14ac:dyDescent="0.25">
      <c r="A9343" t="s">
        <v>35</v>
      </c>
      <c r="B9343" t="s">
        <v>35335</v>
      </c>
      <c r="C9343" t="str">
        <f>"A0121703"</f>
        <v>A0121703</v>
      </c>
      <c r="D9343" t="s">
        <v>35336</v>
      </c>
      <c r="E9343" t="s">
        <v>35337</v>
      </c>
      <c r="F9343" t="s">
        <v>3685</v>
      </c>
      <c r="G9343" t="s">
        <v>214</v>
      </c>
      <c r="H9343">
        <v>27405</v>
      </c>
      <c r="I9343" t="s">
        <v>30</v>
      </c>
      <c r="J9343" t="s">
        <v>41</v>
      </c>
      <c r="K9343" t="s">
        <v>59</v>
      </c>
      <c r="N9343" t="s">
        <v>35338</v>
      </c>
      <c r="Q9343">
        <v>0</v>
      </c>
      <c r="R9343">
        <v>175</v>
      </c>
      <c r="S9343">
        <v>175</v>
      </c>
      <c r="T9343" t="s">
        <v>35339</v>
      </c>
    </row>
    <row r="9344" spans="1:25" customFormat="1" ht="15" x14ac:dyDescent="0.25">
      <c r="A9344" t="s">
        <v>24</v>
      </c>
      <c r="B9344" t="s">
        <v>976</v>
      </c>
      <c r="C9344" t="str">
        <f>"A0059713"</f>
        <v>A0059713</v>
      </c>
      <c r="D9344" t="s">
        <v>69800</v>
      </c>
      <c r="E9344" t="s">
        <v>69801</v>
      </c>
      <c r="F9344" t="s">
        <v>5833</v>
      </c>
      <c r="G9344" t="s">
        <v>1369</v>
      </c>
      <c r="H9344">
        <v>39211</v>
      </c>
      <c r="I9344" t="s">
        <v>30</v>
      </c>
      <c r="J9344" t="s">
        <v>162</v>
      </c>
      <c r="K9344" t="s">
        <v>4809</v>
      </c>
      <c r="N9344" t="s">
        <v>69802</v>
      </c>
      <c r="O9344" t="s">
        <v>69803</v>
      </c>
      <c r="Q9344">
        <v>0</v>
      </c>
      <c r="R9344">
        <v>276</v>
      </c>
      <c r="S9344">
        <v>0</v>
      </c>
      <c r="T9344" t="s">
        <v>69804</v>
      </c>
    </row>
    <row r="9345" spans="1:20" customFormat="1" ht="15" hidden="1" x14ac:dyDescent="0.25">
      <c r="A9345" t="s">
        <v>24</v>
      </c>
      <c r="B9345" t="s">
        <v>8771</v>
      </c>
      <c r="C9345" t="str">
        <f>"A0180022"</f>
        <v>A0180022</v>
      </c>
      <c r="D9345" t="s">
        <v>35345</v>
      </c>
      <c r="E9345" t="s">
        <v>35346</v>
      </c>
      <c r="F9345" t="s">
        <v>4579</v>
      </c>
      <c r="G9345" t="s">
        <v>4580</v>
      </c>
      <c r="H9345">
        <v>97205</v>
      </c>
      <c r="I9345" t="s">
        <v>2408</v>
      </c>
      <c r="J9345" t="s">
        <v>31</v>
      </c>
      <c r="K9345" t="s">
        <v>35347</v>
      </c>
      <c r="N9345" t="s">
        <v>35348</v>
      </c>
      <c r="O9345" t="s">
        <v>35349</v>
      </c>
      <c r="Q9345">
        <v>0</v>
      </c>
      <c r="R9345">
        <v>140</v>
      </c>
      <c r="S9345">
        <v>0</v>
      </c>
      <c r="T9345" t="s">
        <v>35350</v>
      </c>
    </row>
    <row r="9346" spans="1:20" customFormat="1" ht="15" x14ac:dyDescent="0.25">
      <c r="A9346" t="s">
        <v>24</v>
      </c>
      <c r="B9346" t="s">
        <v>56277</v>
      </c>
      <c r="C9346" t="str">
        <f>"A0074485"</f>
        <v>A0074485</v>
      </c>
      <c r="D9346" t="s">
        <v>69805</v>
      </c>
      <c r="E9346" t="s">
        <v>69806</v>
      </c>
      <c r="F9346" t="s">
        <v>693</v>
      </c>
      <c r="G9346" t="s">
        <v>110</v>
      </c>
      <c r="H9346">
        <v>90831</v>
      </c>
      <c r="I9346" t="s">
        <v>30</v>
      </c>
      <c r="J9346" t="s">
        <v>162</v>
      </c>
      <c r="K9346" t="s">
        <v>4809</v>
      </c>
      <c r="N9346" t="s">
        <v>69807</v>
      </c>
      <c r="Q9346">
        <v>0</v>
      </c>
      <c r="R9346">
        <v>398</v>
      </c>
      <c r="S9346">
        <v>0</v>
      </c>
      <c r="T9346" t="s">
        <v>69808</v>
      </c>
    </row>
    <row r="9347" spans="1:20" customFormat="1" ht="15" hidden="1" x14ac:dyDescent="0.25">
      <c r="A9347" t="s">
        <v>24</v>
      </c>
      <c r="B9347" t="s">
        <v>8771</v>
      </c>
      <c r="C9347" t="str">
        <f>"A0180021"</f>
        <v>A0180021</v>
      </c>
      <c r="D9347" t="s">
        <v>35358</v>
      </c>
      <c r="E9347" t="s">
        <v>35359</v>
      </c>
      <c r="F9347" t="s">
        <v>35360</v>
      </c>
      <c r="G9347" t="s">
        <v>35361</v>
      </c>
      <c r="H9347">
        <v>82112</v>
      </c>
      <c r="I9347" t="s">
        <v>2408</v>
      </c>
      <c r="J9347" t="s">
        <v>31</v>
      </c>
      <c r="K9347" t="s">
        <v>34173</v>
      </c>
      <c r="N9347" t="s">
        <v>35362</v>
      </c>
      <c r="O9347" t="s">
        <v>35363</v>
      </c>
      <c r="Q9347">
        <v>0</v>
      </c>
      <c r="R9347">
        <v>119</v>
      </c>
      <c r="S9347">
        <v>0</v>
      </c>
      <c r="T9347" t="s">
        <v>35364</v>
      </c>
    </row>
    <row r="9348" spans="1:20" customFormat="1" ht="15" x14ac:dyDescent="0.25">
      <c r="A9348" t="s">
        <v>35</v>
      </c>
      <c r="B9348" t="s">
        <v>61</v>
      </c>
      <c r="C9348" t="str">
        <f>"A0180019"</f>
        <v>A0180019</v>
      </c>
      <c r="D9348" t="s">
        <v>35365</v>
      </c>
      <c r="E9348" t="s">
        <v>35366</v>
      </c>
      <c r="F9348" t="s">
        <v>35367</v>
      </c>
      <c r="G9348" t="s">
        <v>846</v>
      </c>
      <c r="H9348">
        <v>31061</v>
      </c>
      <c r="I9348" t="s">
        <v>30</v>
      </c>
      <c r="J9348" t="s">
        <v>41</v>
      </c>
      <c r="K9348" t="s">
        <v>229</v>
      </c>
      <c r="Q9348">
        <v>0</v>
      </c>
      <c r="R9348">
        <v>280</v>
      </c>
      <c r="S9348">
        <v>280</v>
      </c>
      <c r="T9348" t="s">
        <v>35368</v>
      </c>
    </row>
    <row r="9349" spans="1:20" customFormat="1" ht="15" x14ac:dyDescent="0.25">
      <c r="A9349" t="s">
        <v>35</v>
      </c>
      <c r="B9349" t="s">
        <v>61</v>
      </c>
      <c r="C9349" t="str">
        <f>"A0180018"</f>
        <v>A0180018</v>
      </c>
      <c r="D9349" t="s">
        <v>35369</v>
      </c>
      <c r="E9349" t="s">
        <v>35370</v>
      </c>
      <c r="F9349" t="s">
        <v>1916</v>
      </c>
      <c r="G9349" t="s">
        <v>29</v>
      </c>
      <c r="H9349">
        <v>24201</v>
      </c>
      <c r="I9349" t="s">
        <v>30</v>
      </c>
      <c r="J9349" t="s">
        <v>41</v>
      </c>
      <c r="K9349" t="s">
        <v>229</v>
      </c>
      <c r="Q9349">
        <v>0</v>
      </c>
      <c r="R9349">
        <v>100</v>
      </c>
      <c r="S9349">
        <v>100</v>
      </c>
      <c r="T9349" t="s">
        <v>35371</v>
      </c>
    </row>
    <row r="9350" spans="1:20" customFormat="1" ht="15" x14ac:dyDescent="0.25">
      <c r="A9350" t="s">
        <v>35</v>
      </c>
      <c r="B9350" t="s">
        <v>8021</v>
      </c>
      <c r="C9350" t="str">
        <f>"A0180017"</f>
        <v>A0180017</v>
      </c>
      <c r="D9350" t="s">
        <v>35372</v>
      </c>
      <c r="E9350" t="s">
        <v>35373</v>
      </c>
      <c r="F9350" t="s">
        <v>902</v>
      </c>
      <c r="G9350" t="s">
        <v>221</v>
      </c>
      <c r="H9350">
        <v>89103</v>
      </c>
      <c r="I9350" t="s">
        <v>30</v>
      </c>
      <c r="J9350" t="s">
        <v>41</v>
      </c>
      <c r="K9350" t="s">
        <v>59</v>
      </c>
      <c r="Q9350">
        <v>0</v>
      </c>
      <c r="R9350">
        <v>100</v>
      </c>
      <c r="S9350">
        <v>100</v>
      </c>
      <c r="T9350" t="s">
        <v>35374</v>
      </c>
    </row>
    <row r="9351" spans="1:20" customFormat="1" ht="15" x14ac:dyDescent="0.25">
      <c r="A9351" t="s">
        <v>35</v>
      </c>
      <c r="B9351" t="s">
        <v>35335</v>
      </c>
      <c r="C9351" t="str">
        <f>"A0180016"</f>
        <v>A0180016</v>
      </c>
      <c r="D9351" t="s">
        <v>35375</v>
      </c>
      <c r="E9351" t="s">
        <v>35376</v>
      </c>
      <c r="F9351" t="s">
        <v>14856</v>
      </c>
      <c r="G9351" t="s">
        <v>110</v>
      </c>
      <c r="H9351">
        <v>92604</v>
      </c>
      <c r="I9351" t="s">
        <v>30</v>
      </c>
      <c r="J9351" t="s">
        <v>41</v>
      </c>
      <c r="K9351" t="s">
        <v>59</v>
      </c>
      <c r="Q9351">
        <v>0</v>
      </c>
      <c r="R9351">
        <v>140</v>
      </c>
      <c r="S9351">
        <v>140</v>
      </c>
      <c r="T9351" t="s">
        <v>35377</v>
      </c>
    </row>
    <row r="9352" spans="1:20" customFormat="1" ht="15" x14ac:dyDescent="0.25">
      <c r="A9352" t="s">
        <v>35</v>
      </c>
      <c r="B9352" t="s">
        <v>396</v>
      </c>
      <c r="C9352" t="str">
        <f>"A0180015"</f>
        <v>A0180015</v>
      </c>
      <c r="D9352" t="s">
        <v>35378</v>
      </c>
      <c r="E9352" t="s">
        <v>35379</v>
      </c>
      <c r="F9352" t="s">
        <v>35380</v>
      </c>
      <c r="G9352" t="s">
        <v>153</v>
      </c>
      <c r="H9352">
        <v>84078</v>
      </c>
      <c r="I9352" t="s">
        <v>30</v>
      </c>
      <c r="J9352" t="s">
        <v>41</v>
      </c>
      <c r="K9352" t="s">
        <v>59</v>
      </c>
      <c r="Q9352">
        <v>0</v>
      </c>
      <c r="R9352">
        <v>42</v>
      </c>
      <c r="S9352">
        <v>42</v>
      </c>
      <c r="T9352" t="s">
        <v>35381</v>
      </c>
    </row>
    <row r="9353" spans="1:20" customFormat="1" ht="15" x14ac:dyDescent="0.25">
      <c r="A9353" t="s">
        <v>35</v>
      </c>
      <c r="B9353" t="s">
        <v>61</v>
      </c>
      <c r="C9353" t="str">
        <f>"A0180014"</f>
        <v>A0180014</v>
      </c>
      <c r="D9353" t="s">
        <v>35382</v>
      </c>
      <c r="E9353" t="s">
        <v>35383</v>
      </c>
      <c r="F9353" t="s">
        <v>4133</v>
      </c>
      <c r="G9353" t="s">
        <v>52</v>
      </c>
      <c r="H9353">
        <v>78754</v>
      </c>
      <c r="I9353" t="s">
        <v>30</v>
      </c>
      <c r="J9353" t="s">
        <v>41</v>
      </c>
      <c r="K9353" t="s">
        <v>447</v>
      </c>
      <c r="Q9353">
        <v>0</v>
      </c>
      <c r="R9353">
        <v>65</v>
      </c>
      <c r="S9353">
        <v>65</v>
      </c>
      <c r="T9353" t="s">
        <v>35384</v>
      </c>
    </row>
    <row r="9354" spans="1:20" customFormat="1" ht="15" x14ac:dyDescent="0.25">
      <c r="A9354" t="s">
        <v>35</v>
      </c>
      <c r="B9354" t="s">
        <v>106</v>
      </c>
      <c r="C9354" t="str">
        <f>"A0180013"</f>
        <v>A0180013</v>
      </c>
      <c r="D9354" t="s">
        <v>35385</v>
      </c>
      <c r="E9354" t="s">
        <v>35386</v>
      </c>
      <c r="F9354" t="s">
        <v>6791</v>
      </c>
      <c r="G9354" t="s">
        <v>81</v>
      </c>
      <c r="H9354">
        <v>34758</v>
      </c>
      <c r="I9354" t="s">
        <v>30</v>
      </c>
      <c r="J9354" t="s">
        <v>111</v>
      </c>
      <c r="K9354" t="s">
        <v>112</v>
      </c>
      <c r="Q9354">
        <v>0</v>
      </c>
      <c r="R9354">
        <v>0</v>
      </c>
      <c r="S9354">
        <v>0</v>
      </c>
      <c r="T9354" t="s">
        <v>35387</v>
      </c>
    </row>
    <row r="9355" spans="1:20" customFormat="1" ht="15" x14ac:dyDescent="0.25">
      <c r="A9355" t="s">
        <v>35</v>
      </c>
      <c r="B9355" t="s">
        <v>35388</v>
      </c>
      <c r="C9355" t="str">
        <f>"A0180012"</f>
        <v>A0180012</v>
      </c>
      <c r="D9355" t="s">
        <v>35389</v>
      </c>
      <c r="E9355" t="s">
        <v>35390</v>
      </c>
      <c r="F9355" t="s">
        <v>35391</v>
      </c>
      <c r="G9355" t="s">
        <v>1898</v>
      </c>
      <c r="H9355">
        <v>50401</v>
      </c>
      <c r="I9355" t="s">
        <v>30</v>
      </c>
      <c r="J9355" t="s">
        <v>41</v>
      </c>
      <c r="K9355" t="s">
        <v>1440</v>
      </c>
      <c r="Q9355">
        <v>0</v>
      </c>
      <c r="R9355">
        <v>46</v>
      </c>
      <c r="S9355">
        <v>46</v>
      </c>
      <c r="T9355" t="s">
        <v>35392</v>
      </c>
    </row>
    <row r="9356" spans="1:20" customFormat="1" ht="15" x14ac:dyDescent="0.25">
      <c r="A9356" t="s">
        <v>35</v>
      </c>
      <c r="B9356" t="s">
        <v>35388</v>
      </c>
      <c r="C9356" t="str">
        <f>"A0180011"</f>
        <v>A0180011</v>
      </c>
      <c r="D9356" t="s">
        <v>35393</v>
      </c>
      <c r="E9356" t="s">
        <v>35394</v>
      </c>
      <c r="F9356" t="s">
        <v>35391</v>
      </c>
      <c r="G9356" t="s">
        <v>1898</v>
      </c>
      <c r="H9356">
        <v>50401</v>
      </c>
      <c r="I9356" t="s">
        <v>30</v>
      </c>
      <c r="J9356" t="s">
        <v>41</v>
      </c>
      <c r="K9356" t="s">
        <v>1440</v>
      </c>
      <c r="Q9356">
        <v>0</v>
      </c>
      <c r="R9356">
        <v>48</v>
      </c>
      <c r="S9356">
        <v>48</v>
      </c>
      <c r="T9356" t="s">
        <v>35392</v>
      </c>
    </row>
    <row r="9357" spans="1:20" customFormat="1" ht="15" x14ac:dyDescent="0.25">
      <c r="A9357" t="s">
        <v>35</v>
      </c>
      <c r="B9357" t="s">
        <v>35388</v>
      </c>
      <c r="C9357" t="str">
        <f>"A0180010"</f>
        <v>A0180010</v>
      </c>
      <c r="D9357" t="s">
        <v>35395</v>
      </c>
      <c r="E9357" t="s">
        <v>35396</v>
      </c>
      <c r="F9357" t="s">
        <v>35391</v>
      </c>
      <c r="G9357" t="s">
        <v>1898</v>
      </c>
      <c r="H9357">
        <v>50401</v>
      </c>
      <c r="I9357" t="s">
        <v>30</v>
      </c>
      <c r="J9357" t="s">
        <v>41</v>
      </c>
      <c r="K9357" t="s">
        <v>1440</v>
      </c>
      <c r="Q9357">
        <v>0</v>
      </c>
      <c r="R9357">
        <v>79</v>
      </c>
      <c r="S9357">
        <v>79</v>
      </c>
      <c r="T9357" t="s">
        <v>35392</v>
      </c>
    </row>
    <row r="9358" spans="1:20" customFormat="1" ht="15" x14ac:dyDescent="0.25">
      <c r="A9358" t="s">
        <v>35</v>
      </c>
      <c r="B9358" t="s">
        <v>35388</v>
      </c>
      <c r="C9358" t="str">
        <f>"A0180009"</f>
        <v>A0180009</v>
      </c>
      <c r="D9358" t="s">
        <v>35397</v>
      </c>
      <c r="E9358" t="s">
        <v>35398</v>
      </c>
      <c r="F9358" t="s">
        <v>35391</v>
      </c>
      <c r="G9358" t="s">
        <v>1898</v>
      </c>
      <c r="H9358">
        <v>50401</v>
      </c>
      <c r="I9358" t="s">
        <v>30</v>
      </c>
      <c r="J9358" t="s">
        <v>41</v>
      </c>
      <c r="K9358" t="s">
        <v>1440</v>
      </c>
      <c r="Q9358">
        <v>0</v>
      </c>
      <c r="R9358">
        <v>32</v>
      </c>
      <c r="S9358">
        <v>32</v>
      </c>
      <c r="T9358" t="s">
        <v>35392</v>
      </c>
    </row>
    <row r="9359" spans="1:20" customFormat="1" ht="15" x14ac:dyDescent="0.25">
      <c r="A9359" t="s">
        <v>35</v>
      </c>
      <c r="B9359" t="s">
        <v>2711</v>
      </c>
      <c r="C9359" t="str">
        <f>"A0180008"</f>
        <v>A0180008</v>
      </c>
      <c r="D9359" t="s">
        <v>35399</v>
      </c>
      <c r="E9359" t="s">
        <v>35400</v>
      </c>
      <c r="F9359" t="s">
        <v>11842</v>
      </c>
      <c r="G9359" t="s">
        <v>81</v>
      </c>
      <c r="H9359">
        <v>32763</v>
      </c>
      <c r="I9359" t="s">
        <v>30</v>
      </c>
      <c r="J9359" t="s">
        <v>41</v>
      </c>
      <c r="K9359" t="s">
        <v>2715</v>
      </c>
      <c r="Q9359">
        <v>0</v>
      </c>
      <c r="R9359">
        <v>0</v>
      </c>
      <c r="S9359">
        <v>0</v>
      </c>
      <c r="T9359" t="s">
        <v>35401</v>
      </c>
    </row>
    <row r="9360" spans="1:20" customFormat="1" ht="15" x14ac:dyDescent="0.25">
      <c r="A9360" t="s">
        <v>35</v>
      </c>
      <c r="B9360" t="s">
        <v>2711</v>
      </c>
      <c r="C9360" t="str">
        <f>"A0180007"</f>
        <v>A0180007</v>
      </c>
      <c r="D9360" t="s">
        <v>35402</v>
      </c>
      <c r="E9360" t="s">
        <v>35403</v>
      </c>
      <c r="F9360" t="s">
        <v>6290</v>
      </c>
      <c r="G9360" t="s">
        <v>81</v>
      </c>
      <c r="H9360">
        <v>32603</v>
      </c>
      <c r="I9360" t="s">
        <v>30</v>
      </c>
      <c r="J9360" t="s">
        <v>41</v>
      </c>
      <c r="K9360" t="s">
        <v>2715</v>
      </c>
      <c r="Q9360">
        <v>0</v>
      </c>
      <c r="R9360">
        <v>0</v>
      </c>
      <c r="S9360">
        <v>0</v>
      </c>
      <c r="T9360" t="s">
        <v>35404</v>
      </c>
    </row>
    <row r="9361" spans="1:20" customFormat="1" ht="15" x14ac:dyDescent="0.25">
      <c r="A9361" t="s">
        <v>35</v>
      </c>
      <c r="B9361" t="s">
        <v>1028</v>
      </c>
      <c r="C9361" t="str">
        <f>"A0180006"</f>
        <v>A0180006</v>
      </c>
      <c r="D9361" t="s">
        <v>35405</v>
      </c>
      <c r="E9361" t="s">
        <v>35406</v>
      </c>
      <c r="F9361" t="s">
        <v>946</v>
      </c>
      <c r="G9361" t="s">
        <v>433</v>
      </c>
      <c r="H9361">
        <v>83501</v>
      </c>
      <c r="I9361" t="s">
        <v>30</v>
      </c>
      <c r="J9361" t="s">
        <v>41</v>
      </c>
      <c r="K9361" t="s">
        <v>1032</v>
      </c>
      <c r="Q9361">
        <v>0</v>
      </c>
      <c r="R9361">
        <v>80</v>
      </c>
      <c r="S9361">
        <v>80</v>
      </c>
      <c r="T9361" t="s">
        <v>35407</v>
      </c>
    </row>
    <row r="9362" spans="1:20" customFormat="1" ht="15" x14ac:dyDescent="0.25">
      <c r="A9362" t="s">
        <v>24</v>
      </c>
      <c r="B9362" t="s">
        <v>62099</v>
      </c>
      <c r="C9362" t="str">
        <f>"A0077441"</f>
        <v>A0077441</v>
      </c>
      <c r="D9362" t="s">
        <v>69809</v>
      </c>
      <c r="E9362" t="s">
        <v>69810</v>
      </c>
      <c r="F9362" t="s">
        <v>69811</v>
      </c>
      <c r="G9362" t="s">
        <v>110</v>
      </c>
      <c r="H9362">
        <v>91608</v>
      </c>
      <c r="I9362" t="s">
        <v>30</v>
      </c>
      <c r="J9362" t="s">
        <v>162</v>
      </c>
      <c r="K9362" t="s">
        <v>4809</v>
      </c>
      <c r="N9362" t="s">
        <v>69812</v>
      </c>
      <c r="Q9362">
        <v>0</v>
      </c>
      <c r="R9362">
        <v>495</v>
      </c>
      <c r="S9362">
        <v>0</v>
      </c>
      <c r="T9362" t="s">
        <v>69813</v>
      </c>
    </row>
    <row r="9363" spans="1:20" customFormat="1" ht="15" x14ac:dyDescent="0.25">
      <c r="A9363" t="s">
        <v>24</v>
      </c>
      <c r="B9363" t="s">
        <v>1473</v>
      </c>
      <c r="C9363" t="str">
        <f>"432UJ"</f>
        <v>432UJ</v>
      </c>
      <c r="D9363" t="s">
        <v>35412</v>
      </c>
      <c r="E9363" t="s">
        <v>35413</v>
      </c>
      <c r="F9363" t="s">
        <v>35414</v>
      </c>
      <c r="G9363" t="s">
        <v>381</v>
      </c>
      <c r="H9363">
        <v>47130</v>
      </c>
      <c r="I9363" t="s">
        <v>30</v>
      </c>
      <c r="J9363" t="s">
        <v>31</v>
      </c>
      <c r="K9363" t="s">
        <v>32</v>
      </c>
      <c r="N9363" t="s">
        <v>35415</v>
      </c>
      <c r="O9363" t="s">
        <v>35416</v>
      </c>
      <c r="Q9363">
        <v>0</v>
      </c>
      <c r="R9363">
        <v>78</v>
      </c>
      <c r="S9363">
        <v>0</v>
      </c>
      <c r="T9363" t="s">
        <v>35417</v>
      </c>
    </row>
    <row r="9364" spans="1:20" customFormat="1" ht="15" x14ac:dyDescent="0.25">
      <c r="A9364" t="s">
        <v>24</v>
      </c>
      <c r="B9364" t="s">
        <v>814</v>
      </c>
      <c r="C9364" t="str">
        <f>"A0056181"</f>
        <v>A0056181</v>
      </c>
      <c r="D9364" t="s">
        <v>69814</v>
      </c>
      <c r="E9364" t="s">
        <v>69815</v>
      </c>
      <c r="F9364" t="s">
        <v>10505</v>
      </c>
      <c r="G9364" t="s">
        <v>110</v>
      </c>
      <c r="H9364">
        <v>90230</v>
      </c>
      <c r="I9364" t="s">
        <v>30</v>
      </c>
      <c r="J9364" t="s">
        <v>162</v>
      </c>
      <c r="K9364" t="s">
        <v>4809</v>
      </c>
      <c r="N9364" t="s">
        <v>69816</v>
      </c>
      <c r="Q9364">
        <v>0</v>
      </c>
      <c r="R9364">
        <v>375</v>
      </c>
      <c r="S9364">
        <v>0</v>
      </c>
      <c r="T9364" t="s">
        <v>69817</v>
      </c>
    </row>
    <row r="9365" spans="1:20" customFormat="1" ht="15" x14ac:dyDescent="0.25">
      <c r="A9365" t="s">
        <v>24</v>
      </c>
      <c r="B9365" t="s">
        <v>3367</v>
      </c>
      <c r="C9365" t="str">
        <f>"A0056505"</f>
        <v>A0056505</v>
      </c>
      <c r="D9365" t="s">
        <v>69818</v>
      </c>
      <c r="E9365" t="s">
        <v>69819</v>
      </c>
      <c r="F9365" t="s">
        <v>11991</v>
      </c>
      <c r="G9365" t="s">
        <v>71</v>
      </c>
      <c r="H9365">
        <v>53703</v>
      </c>
      <c r="I9365" t="s">
        <v>30</v>
      </c>
      <c r="J9365" t="s">
        <v>162</v>
      </c>
      <c r="K9365" t="s">
        <v>4809</v>
      </c>
      <c r="N9365" t="s">
        <v>69820</v>
      </c>
      <c r="Q9365">
        <v>0</v>
      </c>
      <c r="R9365">
        <v>240</v>
      </c>
      <c r="S9365">
        <v>0</v>
      </c>
      <c r="T9365" t="s">
        <v>69821</v>
      </c>
    </row>
    <row r="9366" spans="1:20" customFormat="1" ht="15" x14ac:dyDescent="0.25">
      <c r="A9366" t="s">
        <v>24</v>
      </c>
      <c r="B9366" t="s">
        <v>35427</v>
      </c>
      <c r="C9366" t="str">
        <f>"A0050530"</f>
        <v>A0050530</v>
      </c>
      <c r="D9366" t="s">
        <v>35428</v>
      </c>
      <c r="E9366" t="s">
        <v>35429</v>
      </c>
      <c r="F9366" t="s">
        <v>35430</v>
      </c>
      <c r="G9366" t="s">
        <v>110</v>
      </c>
      <c r="H9366">
        <v>94507</v>
      </c>
      <c r="I9366" t="s">
        <v>30</v>
      </c>
      <c r="J9366" t="s">
        <v>178</v>
      </c>
      <c r="K9366" t="s">
        <v>179</v>
      </c>
      <c r="N9366" t="s">
        <v>35431</v>
      </c>
      <c r="Q9366">
        <v>0</v>
      </c>
      <c r="R9366">
        <v>18</v>
      </c>
      <c r="S9366">
        <v>0</v>
      </c>
      <c r="T9366" t="s">
        <v>35432</v>
      </c>
    </row>
    <row r="9367" spans="1:20" customFormat="1" ht="15" x14ac:dyDescent="0.25">
      <c r="A9367" t="s">
        <v>24</v>
      </c>
      <c r="B9367" t="s">
        <v>1205</v>
      </c>
      <c r="C9367" t="str">
        <f>"A0057381"</f>
        <v>A0057381</v>
      </c>
      <c r="D9367" t="s">
        <v>69822</v>
      </c>
      <c r="E9367" t="s">
        <v>69823</v>
      </c>
      <c r="F9367" t="s">
        <v>62357</v>
      </c>
      <c r="G9367" t="s">
        <v>81</v>
      </c>
      <c r="H9367">
        <v>34145</v>
      </c>
      <c r="I9367" t="s">
        <v>30</v>
      </c>
      <c r="J9367" t="s">
        <v>162</v>
      </c>
      <c r="K9367" t="s">
        <v>4809</v>
      </c>
      <c r="N9367" t="s">
        <v>69824</v>
      </c>
      <c r="O9367" t="s">
        <v>69825</v>
      </c>
      <c r="Q9367">
        <v>0</v>
      </c>
      <c r="R9367">
        <v>298</v>
      </c>
      <c r="S9367">
        <v>0</v>
      </c>
      <c r="T9367" t="s">
        <v>69826</v>
      </c>
    </row>
    <row r="9368" spans="1:20" customFormat="1" ht="15" x14ac:dyDescent="0.25">
      <c r="A9368" t="s">
        <v>24</v>
      </c>
      <c r="B9368" t="s">
        <v>13730</v>
      </c>
      <c r="C9368" t="str">
        <f>"88HL011"</f>
        <v>88HL011</v>
      </c>
      <c r="D9368" t="s">
        <v>69827</v>
      </c>
      <c r="E9368" t="s">
        <v>69828</v>
      </c>
      <c r="F9368" t="s">
        <v>34684</v>
      </c>
      <c r="G9368" t="s">
        <v>81</v>
      </c>
      <c r="H9368">
        <v>32903</v>
      </c>
      <c r="I9368" t="s">
        <v>30</v>
      </c>
      <c r="J9368" t="s">
        <v>162</v>
      </c>
      <c r="K9368" t="s">
        <v>4809</v>
      </c>
      <c r="N9368" t="s">
        <v>69829</v>
      </c>
      <c r="O9368" t="s">
        <v>63431</v>
      </c>
      <c r="Q9368">
        <v>0</v>
      </c>
      <c r="R9368">
        <v>200</v>
      </c>
      <c r="S9368">
        <v>0</v>
      </c>
      <c r="T9368" t="s">
        <v>63433</v>
      </c>
    </row>
    <row r="9369" spans="1:20" customFormat="1" ht="15" x14ac:dyDescent="0.25">
      <c r="A9369" t="s">
        <v>24</v>
      </c>
      <c r="B9369" t="s">
        <v>35443</v>
      </c>
      <c r="C9369" t="str">
        <f>"A0179913"</f>
        <v>A0179913</v>
      </c>
      <c r="D9369" t="s">
        <v>35444</v>
      </c>
      <c r="E9369" t="s">
        <v>35445</v>
      </c>
      <c r="F9369" t="s">
        <v>33699</v>
      </c>
      <c r="G9369" t="s">
        <v>81</v>
      </c>
      <c r="H9369">
        <v>32084</v>
      </c>
      <c r="I9369" t="s">
        <v>30</v>
      </c>
      <c r="J9369" t="s">
        <v>31</v>
      </c>
      <c r="K9369" t="s">
        <v>282</v>
      </c>
      <c r="N9369" t="s">
        <v>35446</v>
      </c>
      <c r="O9369" t="s">
        <v>35447</v>
      </c>
      <c r="Q9369">
        <v>0</v>
      </c>
      <c r="R9369">
        <v>50</v>
      </c>
      <c r="S9369">
        <v>0</v>
      </c>
      <c r="T9369" t="s">
        <v>35448</v>
      </c>
    </row>
    <row r="9370" spans="1:20" customFormat="1" ht="15" x14ac:dyDescent="0.25">
      <c r="A9370" t="s">
        <v>24</v>
      </c>
      <c r="B9370" t="s">
        <v>3221</v>
      </c>
      <c r="C9370" t="str">
        <f>"A0060573"</f>
        <v>A0060573</v>
      </c>
      <c r="D9370" t="s">
        <v>69830</v>
      </c>
      <c r="E9370" t="s">
        <v>69831</v>
      </c>
      <c r="F9370" t="s">
        <v>11700</v>
      </c>
      <c r="G9370" t="s">
        <v>880</v>
      </c>
      <c r="H9370">
        <v>38120</v>
      </c>
      <c r="I9370" t="s">
        <v>30</v>
      </c>
      <c r="J9370" t="s">
        <v>162</v>
      </c>
      <c r="K9370" t="s">
        <v>4809</v>
      </c>
      <c r="N9370" t="s">
        <v>55693</v>
      </c>
      <c r="O9370" t="s">
        <v>69832</v>
      </c>
      <c r="Q9370">
        <v>0</v>
      </c>
      <c r="R9370">
        <v>405</v>
      </c>
      <c r="S9370">
        <v>0</v>
      </c>
      <c r="T9370" t="s">
        <v>69833</v>
      </c>
    </row>
    <row r="9371" spans="1:20" customFormat="1" ht="15" x14ac:dyDescent="0.25">
      <c r="A9371" t="s">
        <v>35</v>
      </c>
      <c r="B9371" t="s">
        <v>61</v>
      </c>
      <c r="C9371" t="str">
        <f>"A0179982"</f>
        <v>A0179982</v>
      </c>
      <c r="D9371" t="s">
        <v>35454</v>
      </c>
      <c r="E9371" t="s">
        <v>35455</v>
      </c>
      <c r="F9371" t="s">
        <v>18933</v>
      </c>
      <c r="G9371" t="s">
        <v>65</v>
      </c>
      <c r="H9371">
        <v>43123</v>
      </c>
      <c r="I9371" t="s">
        <v>30</v>
      </c>
      <c r="J9371" t="s">
        <v>41</v>
      </c>
      <c r="K9371" t="s">
        <v>10218</v>
      </c>
      <c r="Q9371">
        <v>0</v>
      </c>
      <c r="R9371">
        <v>0</v>
      </c>
      <c r="S9371">
        <v>0</v>
      </c>
      <c r="T9371" t="s">
        <v>35456</v>
      </c>
    </row>
    <row r="9372" spans="1:20" customFormat="1" ht="15" x14ac:dyDescent="0.25">
      <c r="A9372" t="s">
        <v>35</v>
      </c>
      <c r="B9372" t="s">
        <v>61</v>
      </c>
      <c r="C9372" t="str">
        <f>"A0179981"</f>
        <v>A0179981</v>
      </c>
      <c r="D9372" t="s">
        <v>35457</v>
      </c>
      <c r="E9372" t="s">
        <v>35458</v>
      </c>
      <c r="F9372" t="s">
        <v>2748</v>
      </c>
      <c r="G9372" t="s">
        <v>65</v>
      </c>
      <c r="H9372">
        <v>43623</v>
      </c>
      <c r="I9372" t="s">
        <v>30</v>
      </c>
      <c r="J9372" t="s">
        <v>41</v>
      </c>
      <c r="K9372" t="s">
        <v>10218</v>
      </c>
      <c r="Q9372">
        <v>0</v>
      </c>
      <c r="R9372">
        <v>0</v>
      </c>
      <c r="S9372">
        <v>0</v>
      </c>
      <c r="T9372" t="s">
        <v>35459</v>
      </c>
    </row>
    <row r="9373" spans="1:20" customFormat="1" ht="15" x14ac:dyDescent="0.25">
      <c r="A9373" t="s">
        <v>35</v>
      </c>
      <c r="B9373" t="s">
        <v>5067</v>
      </c>
      <c r="C9373" t="str">
        <f>"A0179980"</f>
        <v>A0179980</v>
      </c>
      <c r="D9373" t="s">
        <v>35460</v>
      </c>
      <c r="E9373" t="s">
        <v>35461</v>
      </c>
      <c r="F9373" t="s">
        <v>64</v>
      </c>
      <c r="G9373" t="s">
        <v>846</v>
      </c>
      <c r="H9373">
        <v>31904</v>
      </c>
      <c r="I9373" t="s">
        <v>30</v>
      </c>
      <c r="J9373" t="s">
        <v>41</v>
      </c>
      <c r="K9373" t="s">
        <v>229</v>
      </c>
      <c r="Q9373">
        <v>0</v>
      </c>
      <c r="R9373">
        <v>84</v>
      </c>
      <c r="S9373">
        <v>84</v>
      </c>
      <c r="T9373" t="s">
        <v>72</v>
      </c>
    </row>
    <row r="9374" spans="1:20" customFormat="1" ht="15" x14ac:dyDescent="0.25">
      <c r="A9374" t="s">
        <v>35</v>
      </c>
      <c r="B9374" t="s">
        <v>3186</v>
      </c>
      <c r="C9374" t="str">
        <f>"A0179979"</f>
        <v>A0179979</v>
      </c>
      <c r="D9374" t="s">
        <v>35462</v>
      </c>
      <c r="E9374" t="s">
        <v>35463</v>
      </c>
      <c r="F9374" t="s">
        <v>35464</v>
      </c>
      <c r="G9374" t="s">
        <v>846</v>
      </c>
      <c r="H9374">
        <v>30553</v>
      </c>
      <c r="I9374" t="s">
        <v>30</v>
      </c>
      <c r="J9374" t="s">
        <v>41</v>
      </c>
      <c r="K9374" t="s">
        <v>229</v>
      </c>
      <c r="Q9374">
        <v>0</v>
      </c>
      <c r="R9374">
        <v>100</v>
      </c>
      <c r="S9374">
        <v>100</v>
      </c>
      <c r="T9374" t="s">
        <v>72</v>
      </c>
    </row>
    <row r="9375" spans="1:20" customFormat="1" ht="15" x14ac:dyDescent="0.25">
      <c r="A9375" t="s">
        <v>35</v>
      </c>
      <c r="B9375" t="s">
        <v>6225</v>
      </c>
      <c r="C9375" t="str">
        <f>"A0179978"</f>
        <v>A0179978</v>
      </c>
      <c r="D9375" t="s">
        <v>35465</v>
      </c>
      <c r="E9375" t="s">
        <v>35466</v>
      </c>
      <c r="F9375" t="s">
        <v>64</v>
      </c>
      <c r="G9375" t="s">
        <v>65</v>
      </c>
      <c r="H9375">
        <v>43228</v>
      </c>
      <c r="I9375" t="s">
        <v>30</v>
      </c>
      <c r="J9375" t="s">
        <v>41</v>
      </c>
      <c r="K9375" t="s">
        <v>229</v>
      </c>
      <c r="Q9375">
        <v>0</v>
      </c>
      <c r="R9375">
        <v>97</v>
      </c>
      <c r="S9375">
        <v>97</v>
      </c>
      <c r="T9375" t="s">
        <v>35467</v>
      </c>
    </row>
    <row r="9376" spans="1:20" customFormat="1" ht="15" x14ac:dyDescent="0.25">
      <c r="A9376" t="s">
        <v>35</v>
      </c>
      <c r="B9376" t="s">
        <v>61</v>
      </c>
      <c r="C9376" t="str">
        <f>"A0179976"</f>
        <v>A0179976</v>
      </c>
      <c r="D9376" t="s">
        <v>35468</v>
      </c>
      <c r="E9376" t="s">
        <v>35469</v>
      </c>
      <c r="F9376" t="s">
        <v>5257</v>
      </c>
      <c r="G9376" t="s">
        <v>52</v>
      </c>
      <c r="H9376">
        <v>77005</v>
      </c>
      <c r="I9376" t="s">
        <v>30</v>
      </c>
      <c r="J9376" t="s">
        <v>41</v>
      </c>
      <c r="K9376" t="s">
        <v>59</v>
      </c>
      <c r="Q9376">
        <v>0</v>
      </c>
      <c r="R9376">
        <v>194</v>
      </c>
      <c r="S9376">
        <v>194</v>
      </c>
      <c r="T9376" t="s">
        <v>35470</v>
      </c>
    </row>
    <row r="9377" spans="1:20" customFormat="1" ht="15" x14ac:dyDescent="0.25">
      <c r="A9377" t="s">
        <v>35</v>
      </c>
      <c r="B9377" t="s">
        <v>6039</v>
      </c>
      <c r="C9377" t="str">
        <f>"A0179975"</f>
        <v>A0179975</v>
      </c>
      <c r="D9377" t="s">
        <v>35471</v>
      </c>
      <c r="E9377" t="s">
        <v>35472</v>
      </c>
      <c r="F9377" t="s">
        <v>31616</v>
      </c>
      <c r="G9377" t="s">
        <v>29</v>
      </c>
      <c r="H9377">
        <v>22191</v>
      </c>
      <c r="I9377" t="s">
        <v>30</v>
      </c>
      <c r="J9377" t="s">
        <v>41</v>
      </c>
      <c r="K9377" t="s">
        <v>4272</v>
      </c>
      <c r="Q9377">
        <v>0</v>
      </c>
      <c r="R9377">
        <v>80</v>
      </c>
      <c r="S9377">
        <v>80</v>
      </c>
      <c r="T9377" t="s">
        <v>35473</v>
      </c>
    </row>
    <row r="9378" spans="1:20" customFormat="1" ht="15" x14ac:dyDescent="0.25">
      <c r="A9378" t="s">
        <v>35</v>
      </c>
      <c r="B9378" t="s">
        <v>35474</v>
      </c>
      <c r="C9378" t="str">
        <f>"A0179974"</f>
        <v>A0179974</v>
      </c>
      <c r="D9378" t="s">
        <v>35475</v>
      </c>
      <c r="E9378" t="s">
        <v>35476</v>
      </c>
      <c r="F9378" t="s">
        <v>35477</v>
      </c>
      <c r="G9378" t="s">
        <v>65</v>
      </c>
      <c r="H9378">
        <v>43920</v>
      </c>
      <c r="I9378" t="s">
        <v>30</v>
      </c>
      <c r="J9378" t="s">
        <v>41</v>
      </c>
      <c r="K9378" t="s">
        <v>104</v>
      </c>
      <c r="Q9378">
        <v>0</v>
      </c>
      <c r="R9378">
        <v>0</v>
      </c>
      <c r="S9378">
        <v>0</v>
      </c>
      <c r="T9378" t="s">
        <v>35478</v>
      </c>
    </row>
    <row r="9379" spans="1:20" customFormat="1" ht="15" x14ac:dyDescent="0.25">
      <c r="A9379" t="s">
        <v>35</v>
      </c>
      <c r="B9379" t="s">
        <v>35479</v>
      </c>
      <c r="C9379" t="str">
        <f>"A0179973"</f>
        <v>A0179973</v>
      </c>
      <c r="D9379" t="s">
        <v>35480</v>
      </c>
      <c r="E9379" t="s">
        <v>35481</v>
      </c>
      <c r="F9379" t="s">
        <v>2770</v>
      </c>
      <c r="G9379" t="s">
        <v>65</v>
      </c>
      <c r="H9379">
        <v>44709</v>
      </c>
      <c r="I9379" t="s">
        <v>30</v>
      </c>
      <c r="J9379" t="s">
        <v>41</v>
      </c>
      <c r="K9379" t="s">
        <v>104</v>
      </c>
      <c r="Q9379">
        <v>0</v>
      </c>
      <c r="R9379">
        <v>0</v>
      </c>
      <c r="S9379">
        <v>0</v>
      </c>
      <c r="T9379" t="s">
        <v>35482</v>
      </c>
    </row>
    <row r="9380" spans="1:20" customFormat="1" ht="15" x14ac:dyDescent="0.25">
      <c r="A9380" t="s">
        <v>35</v>
      </c>
      <c r="B9380" t="s">
        <v>106</v>
      </c>
      <c r="C9380" t="str">
        <f>"A0179972"</f>
        <v>A0179972</v>
      </c>
      <c r="D9380" t="s">
        <v>35483</v>
      </c>
      <c r="E9380" t="s">
        <v>35484</v>
      </c>
      <c r="F9380" t="s">
        <v>35485</v>
      </c>
      <c r="G9380" t="s">
        <v>117</v>
      </c>
      <c r="H9380">
        <v>49631</v>
      </c>
      <c r="I9380" t="s">
        <v>30</v>
      </c>
      <c r="J9380" t="s">
        <v>111</v>
      </c>
      <c r="K9380" t="s">
        <v>112</v>
      </c>
      <c r="Q9380">
        <v>0</v>
      </c>
      <c r="R9380">
        <v>0</v>
      </c>
      <c r="S9380">
        <v>0</v>
      </c>
      <c r="T9380" t="s">
        <v>35486</v>
      </c>
    </row>
    <row r="9381" spans="1:20" customFormat="1" ht="15" x14ac:dyDescent="0.25">
      <c r="A9381" t="s">
        <v>35</v>
      </c>
      <c r="B9381" t="s">
        <v>106</v>
      </c>
      <c r="C9381" t="str">
        <f>"A0179971"</f>
        <v>A0179971</v>
      </c>
      <c r="D9381" t="s">
        <v>35487</v>
      </c>
      <c r="E9381" t="s">
        <v>35488</v>
      </c>
      <c r="F9381" t="s">
        <v>35485</v>
      </c>
      <c r="G9381" t="s">
        <v>117</v>
      </c>
      <c r="H9381">
        <v>49631</v>
      </c>
      <c r="I9381" t="s">
        <v>30</v>
      </c>
      <c r="J9381" t="s">
        <v>111</v>
      </c>
      <c r="K9381" t="s">
        <v>112</v>
      </c>
      <c r="Q9381">
        <v>0</v>
      </c>
      <c r="R9381">
        <v>0</v>
      </c>
      <c r="S9381">
        <v>0</v>
      </c>
      <c r="T9381" t="s">
        <v>35489</v>
      </c>
    </row>
    <row r="9382" spans="1:20" customFormat="1" ht="15" x14ac:dyDescent="0.25">
      <c r="A9382" t="s">
        <v>35</v>
      </c>
      <c r="B9382" t="s">
        <v>106</v>
      </c>
      <c r="C9382" t="str">
        <f>"A0179970"</f>
        <v>A0179970</v>
      </c>
      <c r="D9382" t="s">
        <v>35490</v>
      </c>
      <c r="E9382" t="s">
        <v>35491</v>
      </c>
      <c r="F9382" t="s">
        <v>35492</v>
      </c>
      <c r="G9382" t="s">
        <v>52</v>
      </c>
      <c r="H9382">
        <v>76567</v>
      </c>
      <c r="I9382" t="s">
        <v>30</v>
      </c>
      <c r="J9382" t="s">
        <v>111</v>
      </c>
      <c r="K9382" t="s">
        <v>112</v>
      </c>
      <c r="Q9382">
        <v>0</v>
      </c>
      <c r="R9382">
        <v>0</v>
      </c>
      <c r="S9382">
        <v>0</v>
      </c>
      <c r="T9382" t="s">
        <v>35489</v>
      </c>
    </row>
    <row r="9383" spans="1:20" customFormat="1" ht="15" x14ac:dyDescent="0.25">
      <c r="A9383" t="s">
        <v>35</v>
      </c>
      <c r="B9383" t="s">
        <v>106</v>
      </c>
      <c r="C9383" t="str">
        <f>"A0179969"</f>
        <v>A0179969</v>
      </c>
      <c r="D9383" t="s">
        <v>35493</v>
      </c>
      <c r="E9383" t="s">
        <v>35494</v>
      </c>
      <c r="F9383" t="s">
        <v>10363</v>
      </c>
      <c r="G9383" t="s">
        <v>117</v>
      </c>
      <c r="H9383">
        <v>48558</v>
      </c>
      <c r="I9383" t="s">
        <v>30</v>
      </c>
      <c r="J9383" t="s">
        <v>111</v>
      </c>
      <c r="K9383" t="s">
        <v>112</v>
      </c>
      <c r="Q9383">
        <v>0</v>
      </c>
      <c r="R9383">
        <v>0</v>
      </c>
      <c r="S9383">
        <v>0</v>
      </c>
      <c r="T9383" t="s">
        <v>35489</v>
      </c>
    </row>
    <row r="9384" spans="1:20" customFormat="1" ht="15" x14ac:dyDescent="0.25">
      <c r="A9384" t="s">
        <v>35</v>
      </c>
      <c r="B9384" t="s">
        <v>106</v>
      </c>
      <c r="C9384" t="str">
        <f>"A0179968"</f>
        <v>A0179968</v>
      </c>
      <c r="D9384" t="s">
        <v>35495</v>
      </c>
      <c r="E9384" t="s">
        <v>35496</v>
      </c>
      <c r="F9384" t="s">
        <v>35497</v>
      </c>
      <c r="G9384" t="s">
        <v>81</v>
      </c>
      <c r="H9384">
        <v>34972</v>
      </c>
      <c r="I9384" t="s">
        <v>30</v>
      </c>
      <c r="J9384" t="s">
        <v>111</v>
      </c>
      <c r="K9384" t="s">
        <v>112</v>
      </c>
      <c r="Q9384">
        <v>0</v>
      </c>
      <c r="R9384">
        <v>0</v>
      </c>
      <c r="S9384">
        <v>0</v>
      </c>
      <c r="T9384" t="s">
        <v>35498</v>
      </c>
    </row>
    <row r="9385" spans="1:20" customFormat="1" ht="15" x14ac:dyDescent="0.25">
      <c r="A9385" t="s">
        <v>35</v>
      </c>
      <c r="B9385" t="s">
        <v>2452</v>
      </c>
      <c r="C9385" t="str">
        <f>"A0179967"</f>
        <v>A0179967</v>
      </c>
      <c r="D9385" t="s">
        <v>35499</v>
      </c>
      <c r="E9385" t="s">
        <v>35500</v>
      </c>
      <c r="F9385" t="s">
        <v>8276</v>
      </c>
      <c r="G9385" t="s">
        <v>81</v>
      </c>
      <c r="H9385">
        <v>32506</v>
      </c>
      <c r="I9385" t="s">
        <v>30</v>
      </c>
      <c r="J9385" t="s">
        <v>41</v>
      </c>
      <c r="K9385" t="s">
        <v>131</v>
      </c>
      <c r="Q9385">
        <v>0</v>
      </c>
      <c r="R9385">
        <v>0</v>
      </c>
      <c r="S9385">
        <v>0</v>
      </c>
      <c r="T9385" t="s">
        <v>35501</v>
      </c>
    </row>
    <row r="9386" spans="1:20" customFormat="1" ht="15" x14ac:dyDescent="0.25">
      <c r="A9386" t="s">
        <v>35</v>
      </c>
      <c r="B9386" t="s">
        <v>2452</v>
      </c>
      <c r="C9386" t="str">
        <f>"A0179966"</f>
        <v>A0179966</v>
      </c>
      <c r="D9386" t="s">
        <v>35502</v>
      </c>
      <c r="E9386" t="s">
        <v>35503</v>
      </c>
      <c r="F9386" t="s">
        <v>6750</v>
      </c>
      <c r="G9386" t="s">
        <v>81</v>
      </c>
      <c r="H9386">
        <v>32405</v>
      </c>
      <c r="I9386" t="s">
        <v>30</v>
      </c>
      <c r="J9386" t="s">
        <v>41</v>
      </c>
      <c r="K9386" t="s">
        <v>131</v>
      </c>
      <c r="Q9386">
        <v>0</v>
      </c>
      <c r="R9386">
        <v>0</v>
      </c>
      <c r="S9386">
        <v>0</v>
      </c>
      <c r="T9386" t="s">
        <v>35504</v>
      </c>
    </row>
    <row r="9387" spans="1:20" customFormat="1" ht="15" x14ac:dyDescent="0.25">
      <c r="A9387" t="s">
        <v>35</v>
      </c>
      <c r="B9387" t="s">
        <v>2452</v>
      </c>
      <c r="C9387" t="str">
        <f>"A0179965"</f>
        <v>A0179965</v>
      </c>
      <c r="D9387" t="s">
        <v>35505</v>
      </c>
      <c r="E9387" t="s">
        <v>35506</v>
      </c>
      <c r="F9387" t="s">
        <v>35507</v>
      </c>
      <c r="G9387" t="s">
        <v>338</v>
      </c>
      <c r="H9387">
        <v>8088</v>
      </c>
      <c r="I9387" t="s">
        <v>30</v>
      </c>
      <c r="J9387" t="s">
        <v>41</v>
      </c>
      <c r="K9387" t="s">
        <v>131</v>
      </c>
      <c r="Q9387">
        <v>0</v>
      </c>
      <c r="R9387">
        <v>0</v>
      </c>
      <c r="S9387">
        <v>0</v>
      </c>
      <c r="T9387" t="s">
        <v>35508</v>
      </c>
    </row>
    <row r="9388" spans="1:20" customFormat="1" ht="15" x14ac:dyDescent="0.25">
      <c r="A9388" t="s">
        <v>35</v>
      </c>
      <c r="B9388" t="s">
        <v>2452</v>
      </c>
      <c r="C9388" t="str">
        <f>"A0179964"</f>
        <v>A0179964</v>
      </c>
      <c r="D9388" t="s">
        <v>35509</v>
      </c>
      <c r="E9388" t="s">
        <v>35510</v>
      </c>
      <c r="F9388" t="s">
        <v>22469</v>
      </c>
      <c r="G9388" t="s">
        <v>338</v>
      </c>
      <c r="H9388">
        <v>8215</v>
      </c>
      <c r="I9388" t="s">
        <v>30</v>
      </c>
      <c r="J9388" t="s">
        <v>41</v>
      </c>
      <c r="K9388" t="s">
        <v>131</v>
      </c>
      <c r="Q9388">
        <v>0</v>
      </c>
      <c r="R9388">
        <v>0</v>
      </c>
      <c r="S9388">
        <v>0</v>
      </c>
      <c r="T9388" t="s">
        <v>35508</v>
      </c>
    </row>
    <row r="9389" spans="1:20" customFormat="1" ht="15" x14ac:dyDescent="0.25">
      <c r="A9389" t="s">
        <v>35</v>
      </c>
      <c r="B9389" t="s">
        <v>2452</v>
      </c>
      <c r="C9389" t="str">
        <f>"A0179963"</f>
        <v>A0179963</v>
      </c>
      <c r="D9389" t="s">
        <v>35511</v>
      </c>
      <c r="E9389" t="s">
        <v>35512</v>
      </c>
      <c r="F9389" t="s">
        <v>3555</v>
      </c>
      <c r="G9389" t="s">
        <v>81</v>
      </c>
      <c r="H9389">
        <v>32304</v>
      </c>
      <c r="I9389" t="s">
        <v>30</v>
      </c>
      <c r="J9389" t="s">
        <v>41</v>
      </c>
      <c r="K9389" t="s">
        <v>131</v>
      </c>
      <c r="Q9389">
        <v>0</v>
      </c>
      <c r="R9389">
        <v>0</v>
      </c>
      <c r="S9389">
        <v>0</v>
      </c>
      <c r="T9389" t="s">
        <v>35513</v>
      </c>
    </row>
    <row r="9390" spans="1:20" customFormat="1" ht="15" x14ac:dyDescent="0.25">
      <c r="A9390" t="s">
        <v>35</v>
      </c>
      <c r="B9390" t="s">
        <v>2452</v>
      </c>
      <c r="C9390" t="str">
        <f>"A0179962"</f>
        <v>A0179962</v>
      </c>
      <c r="D9390" t="s">
        <v>35514</v>
      </c>
      <c r="E9390" t="s">
        <v>35515</v>
      </c>
      <c r="F9390" t="s">
        <v>4066</v>
      </c>
      <c r="G9390" t="s">
        <v>81</v>
      </c>
      <c r="H9390">
        <v>32547</v>
      </c>
      <c r="I9390" t="s">
        <v>30</v>
      </c>
      <c r="J9390" t="s">
        <v>41</v>
      </c>
      <c r="K9390" t="s">
        <v>131</v>
      </c>
      <c r="Q9390">
        <v>0</v>
      </c>
      <c r="R9390">
        <v>0</v>
      </c>
      <c r="S9390">
        <v>0</v>
      </c>
      <c r="T9390" t="s">
        <v>35516</v>
      </c>
    </row>
    <row r="9391" spans="1:20" customFormat="1" ht="15" x14ac:dyDescent="0.25">
      <c r="A9391" t="s">
        <v>35</v>
      </c>
      <c r="B9391" t="s">
        <v>2452</v>
      </c>
      <c r="C9391" t="str">
        <f>"A0179961"</f>
        <v>A0179961</v>
      </c>
      <c r="D9391" t="s">
        <v>35517</v>
      </c>
      <c r="E9391" t="s">
        <v>35518</v>
      </c>
      <c r="F9391" t="s">
        <v>2714</v>
      </c>
      <c r="G9391" t="s">
        <v>81</v>
      </c>
      <c r="H9391">
        <v>33613</v>
      </c>
      <c r="I9391" t="s">
        <v>30</v>
      </c>
      <c r="J9391" t="s">
        <v>41</v>
      </c>
      <c r="K9391" t="s">
        <v>131</v>
      </c>
      <c r="Q9391">
        <v>0</v>
      </c>
      <c r="R9391">
        <v>0</v>
      </c>
      <c r="S9391">
        <v>0</v>
      </c>
      <c r="T9391" t="s">
        <v>35519</v>
      </c>
    </row>
    <row r="9392" spans="1:20" customFormat="1" ht="15" x14ac:dyDescent="0.25">
      <c r="A9392" t="s">
        <v>35</v>
      </c>
      <c r="B9392" t="s">
        <v>35520</v>
      </c>
      <c r="C9392" t="str">
        <f>"A0179960"</f>
        <v>A0179960</v>
      </c>
      <c r="D9392" t="s">
        <v>35521</v>
      </c>
      <c r="E9392" t="s">
        <v>35522</v>
      </c>
      <c r="F9392" t="s">
        <v>7777</v>
      </c>
      <c r="G9392" t="s">
        <v>65</v>
      </c>
      <c r="H9392">
        <v>43026</v>
      </c>
      <c r="I9392" t="s">
        <v>30</v>
      </c>
      <c r="J9392" t="s">
        <v>41</v>
      </c>
      <c r="K9392" t="s">
        <v>391</v>
      </c>
      <c r="Q9392">
        <v>0</v>
      </c>
      <c r="R9392">
        <v>0</v>
      </c>
      <c r="S9392">
        <v>0</v>
      </c>
      <c r="T9392" t="s">
        <v>35523</v>
      </c>
    </row>
    <row r="9393" spans="1:20" customFormat="1" ht="15" x14ac:dyDescent="0.25">
      <c r="A9393" t="s">
        <v>35</v>
      </c>
      <c r="B9393" t="s">
        <v>34288</v>
      </c>
      <c r="C9393" t="str">
        <f>"A0179959"</f>
        <v>A0179959</v>
      </c>
      <c r="D9393" t="s">
        <v>34288</v>
      </c>
      <c r="E9393" t="s">
        <v>35524</v>
      </c>
      <c r="F9393" t="s">
        <v>35525</v>
      </c>
      <c r="G9393" t="s">
        <v>52</v>
      </c>
      <c r="H9393">
        <v>77304</v>
      </c>
      <c r="I9393" t="s">
        <v>30</v>
      </c>
      <c r="J9393" t="s">
        <v>41</v>
      </c>
      <c r="K9393" t="s">
        <v>290</v>
      </c>
      <c r="Q9393">
        <v>0</v>
      </c>
      <c r="R9393">
        <v>0</v>
      </c>
      <c r="S9393">
        <v>0</v>
      </c>
      <c r="T9393" t="s">
        <v>35526</v>
      </c>
    </row>
    <row r="9394" spans="1:20" customFormat="1" ht="15" x14ac:dyDescent="0.25">
      <c r="A9394" t="s">
        <v>35</v>
      </c>
      <c r="B9394" t="s">
        <v>36</v>
      </c>
      <c r="C9394" t="str">
        <f>"A0179958"</f>
        <v>A0179958</v>
      </c>
      <c r="D9394" t="s">
        <v>35527</v>
      </c>
      <c r="E9394" t="s">
        <v>35528</v>
      </c>
      <c r="F9394" t="s">
        <v>21392</v>
      </c>
      <c r="G9394" t="s">
        <v>117</v>
      </c>
      <c r="H9394">
        <v>49328</v>
      </c>
      <c r="I9394" t="s">
        <v>30</v>
      </c>
      <c r="J9394" t="s">
        <v>41</v>
      </c>
      <c r="K9394" t="s">
        <v>42</v>
      </c>
      <c r="Q9394">
        <v>0</v>
      </c>
      <c r="R9394">
        <v>0</v>
      </c>
      <c r="S9394">
        <v>0</v>
      </c>
      <c r="T9394" t="s">
        <v>35529</v>
      </c>
    </row>
    <row r="9395" spans="1:20" customFormat="1" ht="15" x14ac:dyDescent="0.25">
      <c r="A9395" t="s">
        <v>35</v>
      </c>
      <c r="B9395" t="s">
        <v>35530</v>
      </c>
      <c r="C9395" t="str">
        <f>"A0179957"</f>
        <v>A0179957</v>
      </c>
      <c r="D9395" t="s">
        <v>35531</v>
      </c>
      <c r="E9395" t="s">
        <v>35532</v>
      </c>
      <c r="F9395" t="s">
        <v>1981</v>
      </c>
      <c r="G9395" t="s">
        <v>117</v>
      </c>
      <c r="H9395">
        <v>48840</v>
      </c>
      <c r="I9395" t="s">
        <v>30</v>
      </c>
      <c r="J9395" t="s">
        <v>41</v>
      </c>
      <c r="K9395" t="s">
        <v>482</v>
      </c>
      <c r="Q9395">
        <v>0</v>
      </c>
      <c r="R9395">
        <v>20</v>
      </c>
      <c r="S9395">
        <v>20</v>
      </c>
      <c r="T9395" t="s">
        <v>72</v>
      </c>
    </row>
    <row r="9396" spans="1:20" customFormat="1" ht="15" x14ac:dyDescent="0.25">
      <c r="A9396" t="s">
        <v>35</v>
      </c>
      <c r="B9396" t="s">
        <v>35530</v>
      </c>
      <c r="C9396" t="str">
        <f>"A0179956"</f>
        <v>A0179956</v>
      </c>
      <c r="D9396" t="s">
        <v>35533</v>
      </c>
      <c r="E9396" t="s">
        <v>35534</v>
      </c>
      <c r="F9396" t="s">
        <v>35535</v>
      </c>
      <c r="G9396" t="s">
        <v>117</v>
      </c>
      <c r="H9396">
        <v>48840</v>
      </c>
      <c r="I9396" t="s">
        <v>30</v>
      </c>
      <c r="J9396" t="s">
        <v>41</v>
      </c>
      <c r="K9396" t="s">
        <v>482</v>
      </c>
      <c r="Q9396">
        <v>0</v>
      </c>
      <c r="R9396">
        <v>20</v>
      </c>
      <c r="S9396">
        <v>20</v>
      </c>
      <c r="T9396" t="s">
        <v>72</v>
      </c>
    </row>
    <row r="9397" spans="1:20" customFormat="1" ht="15" x14ac:dyDescent="0.25">
      <c r="A9397" t="s">
        <v>35</v>
      </c>
      <c r="B9397" t="s">
        <v>35530</v>
      </c>
      <c r="C9397" t="str">
        <f>"A0179955"</f>
        <v>A0179955</v>
      </c>
      <c r="D9397" t="s">
        <v>35536</v>
      </c>
      <c r="E9397" t="s">
        <v>35537</v>
      </c>
      <c r="F9397" t="s">
        <v>35535</v>
      </c>
      <c r="G9397" t="s">
        <v>117</v>
      </c>
      <c r="H9397">
        <v>48840</v>
      </c>
      <c r="I9397" t="s">
        <v>30</v>
      </c>
      <c r="J9397" t="s">
        <v>41</v>
      </c>
      <c r="K9397" t="s">
        <v>482</v>
      </c>
      <c r="Q9397">
        <v>0</v>
      </c>
      <c r="R9397">
        <v>20</v>
      </c>
      <c r="S9397">
        <v>20</v>
      </c>
      <c r="T9397" t="s">
        <v>72</v>
      </c>
    </row>
    <row r="9398" spans="1:20" customFormat="1" ht="15" x14ac:dyDescent="0.25">
      <c r="A9398" t="s">
        <v>35</v>
      </c>
      <c r="B9398" t="s">
        <v>35530</v>
      </c>
      <c r="C9398" t="str">
        <f>"A0179954"</f>
        <v>A0179954</v>
      </c>
      <c r="D9398" t="s">
        <v>35538</v>
      </c>
      <c r="E9398" t="s">
        <v>35539</v>
      </c>
      <c r="F9398" t="s">
        <v>35540</v>
      </c>
      <c r="G9398" t="s">
        <v>117</v>
      </c>
      <c r="H9398">
        <v>48820</v>
      </c>
      <c r="I9398" t="s">
        <v>30</v>
      </c>
      <c r="J9398" t="s">
        <v>41</v>
      </c>
      <c r="K9398" t="s">
        <v>482</v>
      </c>
      <c r="Q9398">
        <v>0</v>
      </c>
      <c r="R9398">
        <v>20</v>
      </c>
      <c r="S9398">
        <v>20</v>
      </c>
      <c r="T9398" t="s">
        <v>72</v>
      </c>
    </row>
    <row r="9399" spans="1:20" customFormat="1" ht="15" x14ac:dyDescent="0.25">
      <c r="A9399" t="s">
        <v>35</v>
      </c>
      <c r="B9399" t="s">
        <v>35530</v>
      </c>
      <c r="C9399" t="str">
        <f>"A0179953"</f>
        <v>A0179953</v>
      </c>
      <c r="D9399" t="s">
        <v>35541</v>
      </c>
      <c r="E9399" t="s">
        <v>35542</v>
      </c>
      <c r="F9399" t="s">
        <v>1981</v>
      </c>
      <c r="G9399" t="s">
        <v>117</v>
      </c>
      <c r="H9399">
        <v>48917</v>
      </c>
      <c r="I9399" t="s">
        <v>30</v>
      </c>
      <c r="J9399" t="s">
        <v>41</v>
      </c>
      <c r="K9399" t="s">
        <v>482</v>
      </c>
      <c r="Q9399">
        <v>0</v>
      </c>
      <c r="R9399">
        <v>20</v>
      </c>
      <c r="S9399">
        <v>20</v>
      </c>
      <c r="T9399" t="s">
        <v>72</v>
      </c>
    </row>
    <row r="9400" spans="1:20" customFormat="1" ht="15" x14ac:dyDescent="0.25">
      <c r="A9400" t="s">
        <v>35</v>
      </c>
      <c r="B9400" t="s">
        <v>35530</v>
      </c>
      <c r="C9400" t="str">
        <f>"A0179952"</f>
        <v>A0179952</v>
      </c>
      <c r="D9400" t="s">
        <v>35543</v>
      </c>
      <c r="E9400" t="s">
        <v>35544</v>
      </c>
      <c r="F9400" t="s">
        <v>35545</v>
      </c>
      <c r="G9400" t="s">
        <v>117</v>
      </c>
      <c r="H9400">
        <v>48864</v>
      </c>
      <c r="I9400" t="s">
        <v>30</v>
      </c>
      <c r="J9400" t="s">
        <v>41</v>
      </c>
      <c r="K9400" t="s">
        <v>482</v>
      </c>
      <c r="Q9400">
        <v>0</v>
      </c>
      <c r="R9400">
        <v>0</v>
      </c>
      <c r="S9400">
        <v>0</v>
      </c>
      <c r="T9400" t="s">
        <v>72</v>
      </c>
    </row>
    <row r="9401" spans="1:20" customFormat="1" ht="15" x14ac:dyDescent="0.25">
      <c r="A9401" t="s">
        <v>35</v>
      </c>
      <c r="B9401" t="s">
        <v>61</v>
      </c>
      <c r="C9401" t="str">
        <f>"A0124321"</f>
        <v>A0124321</v>
      </c>
      <c r="D9401" t="s">
        <v>35546</v>
      </c>
      <c r="E9401" t="s">
        <v>35547</v>
      </c>
      <c r="F9401" t="s">
        <v>35548</v>
      </c>
      <c r="G9401" t="s">
        <v>289</v>
      </c>
      <c r="H9401">
        <v>62002</v>
      </c>
      <c r="I9401" t="s">
        <v>30</v>
      </c>
      <c r="J9401" t="s">
        <v>41</v>
      </c>
      <c r="K9401" t="s">
        <v>482</v>
      </c>
      <c r="Q9401">
        <v>0</v>
      </c>
      <c r="R9401">
        <v>210</v>
      </c>
      <c r="S9401">
        <v>210</v>
      </c>
      <c r="T9401" t="s">
        <v>35549</v>
      </c>
    </row>
    <row r="9402" spans="1:20" customFormat="1" ht="15" x14ac:dyDescent="0.25">
      <c r="A9402" t="s">
        <v>35</v>
      </c>
      <c r="B9402" t="s">
        <v>61</v>
      </c>
      <c r="C9402" t="str">
        <f>"A0124320"</f>
        <v>A0124320</v>
      </c>
      <c r="D9402" t="s">
        <v>35550</v>
      </c>
      <c r="E9402" t="s">
        <v>35551</v>
      </c>
      <c r="F9402" t="s">
        <v>4674</v>
      </c>
      <c r="G9402" t="s">
        <v>314</v>
      </c>
      <c r="H9402">
        <v>20009</v>
      </c>
      <c r="I9402" t="s">
        <v>30</v>
      </c>
      <c r="J9402" t="s">
        <v>41</v>
      </c>
      <c r="K9402" t="s">
        <v>59</v>
      </c>
      <c r="Q9402">
        <v>0</v>
      </c>
      <c r="R9402">
        <v>128</v>
      </c>
      <c r="S9402">
        <v>128</v>
      </c>
      <c r="T9402" t="s">
        <v>35552</v>
      </c>
    </row>
    <row r="9403" spans="1:20" customFormat="1" ht="15" x14ac:dyDescent="0.25">
      <c r="A9403" t="s">
        <v>35</v>
      </c>
      <c r="B9403" t="s">
        <v>61</v>
      </c>
      <c r="C9403" t="str">
        <f>"A0118379"</f>
        <v>A0118379</v>
      </c>
      <c r="D9403" t="s">
        <v>35553</v>
      </c>
      <c r="E9403" t="s">
        <v>35554</v>
      </c>
      <c r="F9403" t="s">
        <v>8081</v>
      </c>
      <c r="G9403" t="s">
        <v>110</v>
      </c>
      <c r="H9403">
        <v>94117</v>
      </c>
      <c r="I9403" t="s">
        <v>30</v>
      </c>
      <c r="J9403" t="s">
        <v>41</v>
      </c>
      <c r="K9403" t="s">
        <v>229</v>
      </c>
      <c r="Q9403">
        <v>0</v>
      </c>
      <c r="R9403">
        <v>43</v>
      </c>
      <c r="S9403">
        <v>43</v>
      </c>
      <c r="T9403" t="s">
        <v>35555</v>
      </c>
    </row>
    <row r="9404" spans="1:20" customFormat="1" ht="15" x14ac:dyDescent="0.25">
      <c r="A9404" t="s">
        <v>35</v>
      </c>
      <c r="B9404" t="s">
        <v>61</v>
      </c>
      <c r="C9404" t="str">
        <f>"A0127600"</f>
        <v>A0127600</v>
      </c>
      <c r="D9404" t="s">
        <v>35556</v>
      </c>
      <c r="E9404" t="s">
        <v>35557</v>
      </c>
      <c r="F9404" t="s">
        <v>4082</v>
      </c>
      <c r="G9404" t="s">
        <v>123</v>
      </c>
      <c r="H9404">
        <v>21212</v>
      </c>
      <c r="I9404" t="s">
        <v>30</v>
      </c>
      <c r="J9404" t="s">
        <v>41</v>
      </c>
      <c r="K9404" t="s">
        <v>482</v>
      </c>
      <c r="Q9404">
        <v>0</v>
      </c>
      <c r="R9404">
        <v>30</v>
      </c>
      <c r="S9404">
        <v>30</v>
      </c>
      <c r="T9404" t="s">
        <v>35558</v>
      </c>
    </row>
    <row r="9405" spans="1:20" customFormat="1" ht="15" x14ac:dyDescent="0.25">
      <c r="A9405" t="s">
        <v>35</v>
      </c>
      <c r="B9405" t="s">
        <v>61</v>
      </c>
      <c r="C9405" t="str">
        <f>"A0124395"</f>
        <v>A0124395</v>
      </c>
      <c r="D9405" t="s">
        <v>35559</v>
      </c>
      <c r="E9405" t="s">
        <v>35560</v>
      </c>
      <c r="F9405" t="s">
        <v>4629</v>
      </c>
      <c r="G9405" t="s">
        <v>103</v>
      </c>
      <c r="H9405">
        <v>19129</v>
      </c>
      <c r="I9405" t="s">
        <v>30</v>
      </c>
      <c r="J9405" t="s">
        <v>41</v>
      </c>
      <c r="K9405" t="s">
        <v>59</v>
      </c>
      <c r="Q9405">
        <v>0</v>
      </c>
      <c r="R9405">
        <v>45</v>
      </c>
      <c r="S9405">
        <v>45</v>
      </c>
    </row>
    <row r="9406" spans="1:20" customFormat="1" ht="15" x14ac:dyDescent="0.25">
      <c r="A9406" t="s">
        <v>35</v>
      </c>
      <c r="B9406" t="s">
        <v>61</v>
      </c>
      <c r="C9406" t="str">
        <f>"A0124317"</f>
        <v>A0124317</v>
      </c>
      <c r="D9406" t="s">
        <v>35561</v>
      </c>
      <c r="E9406" t="s">
        <v>35562</v>
      </c>
      <c r="F9406" t="s">
        <v>5747</v>
      </c>
      <c r="G9406" t="s">
        <v>123</v>
      </c>
      <c r="H9406">
        <v>21032</v>
      </c>
      <c r="I9406" t="s">
        <v>30</v>
      </c>
      <c r="J9406" t="s">
        <v>41</v>
      </c>
      <c r="K9406" t="s">
        <v>59</v>
      </c>
      <c r="Q9406">
        <v>0</v>
      </c>
      <c r="R9406">
        <v>67</v>
      </c>
      <c r="S9406">
        <v>67</v>
      </c>
      <c r="T9406" t="s">
        <v>35563</v>
      </c>
    </row>
    <row r="9407" spans="1:20" customFormat="1" ht="15" x14ac:dyDescent="0.25">
      <c r="A9407" t="s">
        <v>35</v>
      </c>
      <c r="B9407" t="s">
        <v>61</v>
      </c>
      <c r="C9407" t="str">
        <f>"A0118860"</f>
        <v>A0118860</v>
      </c>
      <c r="D9407" t="s">
        <v>35564</v>
      </c>
      <c r="E9407" t="s">
        <v>35565</v>
      </c>
      <c r="F9407" t="s">
        <v>35566</v>
      </c>
      <c r="G9407" t="s">
        <v>110</v>
      </c>
      <c r="H9407">
        <v>92544</v>
      </c>
      <c r="I9407" t="s">
        <v>30</v>
      </c>
      <c r="J9407" t="s">
        <v>41</v>
      </c>
      <c r="K9407" t="s">
        <v>1032</v>
      </c>
      <c r="Q9407">
        <v>0</v>
      </c>
      <c r="R9407">
        <v>78</v>
      </c>
      <c r="S9407">
        <v>78</v>
      </c>
      <c r="T9407" t="s">
        <v>35567</v>
      </c>
    </row>
    <row r="9408" spans="1:20" customFormat="1" ht="15" x14ac:dyDescent="0.25">
      <c r="A9408" t="s">
        <v>35</v>
      </c>
      <c r="B9408" t="s">
        <v>61</v>
      </c>
      <c r="C9408" t="str">
        <f>"A0124352"</f>
        <v>A0124352</v>
      </c>
      <c r="D9408" t="s">
        <v>35568</v>
      </c>
      <c r="E9408" t="s">
        <v>35569</v>
      </c>
      <c r="F9408" t="s">
        <v>35570</v>
      </c>
      <c r="G9408" t="s">
        <v>103</v>
      </c>
      <c r="H9408">
        <v>19406</v>
      </c>
      <c r="I9408" t="s">
        <v>30</v>
      </c>
      <c r="J9408" t="s">
        <v>41</v>
      </c>
      <c r="K9408" t="s">
        <v>59</v>
      </c>
      <c r="Q9408">
        <v>0</v>
      </c>
      <c r="R9408">
        <v>25</v>
      </c>
      <c r="S9408">
        <v>25</v>
      </c>
      <c r="T9408" t="s">
        <v>35571</v>
      </c>
    </row>
    <row r="9409" spans="1:20" customFormat="1" ht="15" x14ac:dyDescent="0.25">
      <c r="A9409" t="s">
        <v>35</v>
      </c>
      <c r="B9409" t="s">
        <v>61</v>
      </c>
      <c r="C9409" t="str">
        <f>"A0124325"</f>
        <v>A0124325</v>
      </c>
      <c r="D9409" t="s">
        <v>35572</v>
      </c>
      <c r="E9409" t="s">
        <v>35573</v>
      </c>
      <c r="F9409" t="s">
        <v>25481</v>
      </c>
      <c r="G9409" t="s">
        <v>338</v>
      </c>
      <c r="H9409">
        <v>8034</v>
      </c>
      <c r="I9409" t="s">
        <v>30</v>
      </c>
      <c r="J9409" t="s">
        <v>41</v>
      </c>
      <c r="K9409" t="s">
        <v>229</v>
      </c>
      <c r="Q9409">
        <v>0</v>
      </c>
      <c r="R9409">
        <v>246</v>
      </c>
      <c r="S9409">
        <v>246</v>
      </c>
      <c r="T9409" t="s">
        <v>35574</v>
      </c>
    </row>
    <row r="9410" spans="1:20" customFormat="1" ht="15" x14ac:dyDescent="0.25">
      <c r="A9410" t="s">
        <v>35</v>
      </c>
      <c r="B9410" t="s">
        <v>61</v>
      </c>
      <c r="C9410" t="str">
        <f>"A0124681"</f>
        <v>A0124681</v>
      </c>
      <c r="D9410" t="s">
        <v>35575</v>
      </c>
      <c r="E9410" t="s">
        <v>35576</v>
      </c>
      <c r="F9410" t="s">
        <v>9255</v>
      </c>
      <c r="G9410" t="s">
        <v>1706</v>
      </c>
      <c r="H9410">
        <v>35601</v>
      </c>
      <c r="I9410" t="s">
        <v>30</v>
      </c>
      <c r="J9410" t="s">
        <v>41</v>
      </c>
      <c r="K9410" t="s">
        <v>229</v>
      </c>
      <c r="Q9410">
        <v>0</v>
      </c>
      <c r="R9410">
        <v>187</v>
      </c>
      <c r="S9410">
        <v>187</v>
      </c>
      <c r="T9410" t="s">
        <v>35577</v>
      </c>
    </row>
    <row r="9411" spans="1:20" customFormat="1" ht="15" x14ac:dyDescent="0.25">
      <c r="A9411" t="s">
        <v>35</v>
      </c>
      <c r="B9411" t="s">
        <v>61</v>
      </c>
      <c r="C9411" t="str">
        <f>"A0124636"</f>
        <v>A0124636</v>
      </c>
      <c r="D9411" t="s">
        <v>35578</v>
      </c>
      <c r="E9411" t="s">
        <v>35579</v>
      </c>
      <c r="F9411" t="s">
        <v>35580</v>
      </c>
      <c r="G9411" t="s">
        <v>1369</v>
      </c>
      <c r="H9411">
        <v>39301</v>
      </c>
      <c r="I9411" t="s">
        <v>30</v>
      </c>
      <c r="J9411" t="s">
        <v>41</v>
      </c>
      <c r="K9411" t="s">
        <v>456</v>
      </c>
      <c r="Q9411">
        <v>0</v>
      </c>
      <c r="R9411">
        <v>13</v>
      </c>
      <c r="S9411">
        <v>13</v>
      </c>
      <c r="T9411" t="s">
        <v>35581</v>
      </c>
    </row>
    <row r="9412" spans="1:20" customFormat="1" ht="15" x14ac:dyDescent="0.25">
      <c r="A9412" t="s">
        <v>35</v>
      </c>
      <c r="B9412" t="s">
        <v>61</v>
      </c>
      <c r="C9412" t="str">
        <f>"A0124396"</f>
        <v>A0124396</v>
      </c>
      <c r="D9412" t="s">
        <v>35582</v>
      </c>
      <c r="E9412" t="s">
        <v>35583</v>
      </c>
      <c r="F9412" t="s">
        <v>2990</v>
      </c>
      <c r="G9412" t="s">
        <v>103</v>
      </c>
      <c r="H9412">
        <v>17103</v>
      </c>
      <c r="I9412" t="s">
        <v>30</v>
      </c>
      <c r="J9412" t="s">
        <v>41</v>
      </c>
      <c r="K9412" t="s">
        <v>59</v>
      </c>
      <c r="Q9412">
        <v>0</v>
      </c>
      <c r="R9412">
        <v>60</v>
      </c>
      <c r="S9412">
        <v>60</v>
      </c>
      <c r="T9412" t="s">
        <v>35584</v>
      </c>
    </row>
    <row r="9413" spans="1:20" customFormat="1" ht="15" x14ac:dyDescent="0.25">
      <c r="A9413" t="s">
        <v>35</v>
      </c>
      <c r="B9413" t="s">
        <v>61</v>
      </c>
      <c r="C9413" t="str">
        <f>"A0124318"</f>
        <v>A0124318</v>
      </c>
      <c r="D9413" t="s">
        <v>35585</v>
      </c>
      <c r="E9413" t="s">
        <v>35586</v>
      </c>
      <c r="F9413" t="s">
        <v>35587</v>
      </c>
      <c r="G9413" t="s">
        <v>123</v>
      </c>
      <c r="H9413">
        <v>20772</v>
      </c>
      <c r="I9413" t="s">
        <v>30</v>
      </c>
      <c r="J9413" t="s">
        <v>41</v>
      </c>
      <c r="K9413" t="s">
        <v>59</v>
      </c>
      <c r="Q9413">
        <v>0</v>
      </c>
      <c r="R9413">
        <v>48</v>
      </c>
      <c r="S9413">
        <v>48</v>
      </c>
      <c r="T9413" t="s">
        <v>35588</v>
      </c>
    </row>
    <row r="9414" spans="1:20" customFormat="1" ht="15" x14ac:dyDescent="0.25">
      <c r="A9414" t="s">
        <v>35</v>
      </c>
      <c r="B9414" t="s">
        <v>61</v>
      </c>
      <c r="C9414" t="str">
        <f>"A0118386"</f>
        <v>A0118386</v>
      </c>
      <c r="D9414" t="s">
        <v>35589</v>
      </c>
      <c r="E9414" t="s">
        <v>35590</v>
      </c>
      <c r="F9414" t="s">
        <v>8081</v>
      </c>
      <c r="G9414" t="s">
        <v>110</v>
      </c>
      <c r="H9414">
        <v>94117</v>
      </c>
      <c r="I9414" t="s">
        <v>30</v>
      </c>
      <c r="J9414" t="s">
        <v>41</v>
      </c>
      <c r="K9414" t="s">
        <v>229</v>
      </c>
      <c r="Q9414">
        <v>0</v>
      </c>
      <c r="R9414">
        <v>43</v>
      </c>
      <c r="S9414">
        <v>43</v>
      </c>
      <c r="T9414" t="s">
        <v>35591</v>
      </c>
    </row>
    <row r="9415" spans="1:20" customFormat="1" ht="15" x14ac:dyDescent="0.25">
      <c r="A9415" t="s">
        <v>35</v>
      </c>
      <c r="B9415" t="s">
        <v>61</v>
      </c>
      <c r="C9415" t="str">
        <f>"A0124517"</f>
        <v>A0124517</v>
      </c>
      <c r="D9415" t="s">
        <v>35592</v>
      </c>
      <c r="E9415" t="s">
        <v>35593</v>
      </c>
      <c r="F9415" t="s">
        <v>15185</v>
      </c>
      <c r="G9415" t="s">
        <v>1170</v>
      </c>
      <c r="H9415">
        <v>71129</v>
      </c>
      <c r="I9415" t="s">
        <v>30</v>
      </c>
      <c r="J9415" t="s">
        <v>41</v>
      </c>
      <c r="K9415" t="s">
        <v>290</v>
      </c>
      <c r="Q9415">
        <v>0</v>
      </c>
      <c r="R9415">
        <v>1</v>
      </c>
      <c r="S9415">
        <v>1</v>
      </c>
      <c r="T9415" t="s">
        <v>35594</v>
      </c>
    </row>
    <row r="9416" spans="1:20" customFormat="1" ht="15" x14ac:dyDescent="0.25">
      <c r="A9416" t="s">
        <v>35</v>
      </c>
      <c r="B9416" t="s">
        <v>61</v>
      </c>
      <c r="C9416" t="str">
        <f>"A0124393"</f>
        <v>A0124393</v>
      </c>
      <c r="D9416" t="s">
        <v>35595</v>
      </c>
      <c r="E9416" t="s">
        <v>35596</v>
      </c>
      <c r="F9416" t="s">
        <v>4629</v>
      </c>
      <c r="G9416" t="s">
        <v>103</v>
      </c>
      <c r="H9416">
        <v>19131</v>
      </c>
      <c r="I9416" t="s">
        <v>30</v>
      </c>
      <c r="J9416" t="s">
        <v>41</v>
      </c>
      <c r="K9416" t="s">
        <v>59</v>
      </c>
      <c r="Q9416">
        <v>0</v>
      </c>
      <c r="R9416">
        <v>125</v>
      </c>
      <c r="S9416">
        <v>125</v>
      </c>
      <c r="T9416" t="s">
        <v>35597</v>
      </c>
    </row>
    <row r="9417" spans="1:20" customFormat="1" ht="15" x14ac:dyDescent="0.25">
      <c r="A9417" t="s">
        <v>35</v>
      </c>
      <c r="B9417" t="s">
        <v>61</v>
      </c>
      <c r="C9417" t="str">
        <f>"A0119271"</f>
        <v>A0119271</v>
      </c>
      <c r="D9417" t="s">
        <v>35598</v>
      </c>
      <c r="E9417" t="s">
        <v>35599</v>
      </c>
      <c r="F9417" t="s">
        <v>902</v>
      </c>
      <c r="G9417" t="s">
        <v>221</v>
      </c>
      <c r="H9417">
        <v>89102</v>
      </c>
      <c r="I9417" t="s">
        <v>30</v>
      </c>
      <c r="J9417" t="s">
        <v>41</v>
      </c>
      <c r="K9417" t="s">
        <v>482</v>
      </c>
      <c r="Q9417">
        <v>0</v>
      </c>
      <c r="R9417">
        <v>176</v>
      </c>
      <c r="S9417">
        <v>176</v>
      </c>
      <c r="T9417" t="s">
        <v>35600</v>
      </c>
    </row>
    <row r="9418" spans="1:20" customFormat="1" ht="15" x14ac:dyDescent="0.25">
      <c r="A9418" t="s">
        <v>35</v>
      </c>
      <c r="B9418" t="s">
        <v>61</v>
      </c>
      <c r="C9418" t="str">
        <f>"A0124323"</f>
        <v>A0124323</v>
      </c>
      <c r="D9418" t="s">
        <v>35601</v>
      </c>
      <c r="E9418" t="s">
        <v>35602</v>
      </c>
      <c r="F9418" t="s">
        <v>35603</v>
      </c>
      <c r="G9418" t="s">
        <v>338</v>
      </c>
      <c r="H9418">
        <v>80200</v>
      </c>
      <c r="I9418" t="s">
        <v>30</v>
      </c>
      <c r="J9418" t="s">
        <v>41</v>
      </c>
      <c r="K9418" t="s">
        <v>482</v>
      </c>
      <c r="Q9418">
        <v>0</v>
      </c>
      <c r="R9418">
        <v>88</v>
      </c>
      <c r="S9418">
        <v>88</v>
      </c>
      <c r="T9418" t="s">
        <v>35604</v>
      </c>
    </row>
    <row r="9419" spans="1:20" customFormat="1" ht="15" x14ac:dyDescent="0.25">
      <c r="A9419" t="s">
        <v>35</v>
      </c>
      <c r="B9419" t="s">
        <v>61</v>
      </c>
      <c r="C9419" t="str">
        <f>"A0117932"</f>
        <v>A0117932</v>
      </c>
      <c r="D9419" t="s">
        <v>35605</v>
      </c>
      <c r="E9419" t="s">
        <v>35606</v>
      </c>
      <c r="F9419" t="s">
        <v>23929</v>
      </c>
      <c r="G9419" t="s">
        <v>110</v>
      </c>
      <c r="H9419">
        <v>95008</v>
      </c>
      <c r="I9419" t="s">
        <v>30</v>
      </c>
      <c r="J9419" t="s">
        <v>41</v>
      </c>
      <c r="K9419" t="s">
        <v>229</v>
      </c>
      <c r="Q9419">
        <v>0</v>
      </c>
      <c r="R9419">
        <v>70</v>
      </c>
      <c r="S9419">
        <v>70</v>
      </c>
      <c r="T9419" t="s">
        <v>35607</v>
      </c>
    </row>
    <row r="9420" spans="1:20" customFormat="1" ht="15" x14ac:dyDescent="0.25">
      <c r="A9420" t="s">
        <v>35</v>
      </c>
      <c r="B9420" t="s">
        <v>61</v>
      </c>
      <c r="C9420" t="str">
        <f>"A0124711"</f>
        <v>A0124711</v>
      </c>
      <c r="D9420" t="s">
        <v>35608</v>
      </c>
      <c r="E9420" t="s">
        <v>35609</v>
      </c>
      <c r="F9420" t="s">
        <v>28509</v>
      </c>
      <c r="G9420" t="s">
        <v>1369</v>
      </c>
      <c r="H9420">
        <v>39402</v>
      </c>
      <c r="I9420" t="s">
        <v>30</v>
      </c>
      <c r="J9420" t="s">
        <v>41</v>
      </c>
      <c r="K9420" t="s">
        <v>290</v>
      </c>
      <c r="Q9420">
        <v>0</v>
      </c>
      <c r="R9420">
        <v>1</v>
      </c>
      <c r="S9420">
        <v>1</v>
      </c>
      <c r="T9420" t="s">
        <v>35610</v>
      </c>
    </row>
    <row r="9421" spans="1:20" customFormat="1" ht="15" x14ac:dyDescent="0.25">
      <c r="A9421" t="s">
        <v>35</v>
      </c>
      <c r="B9421" t="s">
        <v>61</v>
      </c>
      <c r="C9421" t="str">
        <f>"A0124319"</f>
        <v>A0124319</v>
      </c>
      <c r="D9421" t="s">
        <v>35611</v>
      </c>
      <c r="E9421" t="s">
        <v>35586</v>
      </c>
      <c r="F9421" t="s">
        <v>35587</v>
      </c>
      <c r="G9421" t="s">
        <v>123</v>
      </c>
      <c r="H9421">
        <v>20772</v>
      </c>
      <c r="I9421" t="s">
        <v>30</v>
      </c>
      <c r="J9421" t="s">
        <v>41</v>
      </c>
      <c r="K9421" t="s">
        <v>59</v>
      </c>
      <c r="Q9421">
        <v>0</v>
      </c>
      <c r="R9421">
        <v>37</v>
      </c>
      <c r="S9421">
        <v>37</v>
      </c>
      <c r="T9421" t="s">
        <v>35612</v>
      </c>
    </row>
    <row r="9422" spans="1:20" customFormat="1" ht="15" x14ac:dyDescent="0.25">
      <c r="A9422" t="s">
        <v>35</v>
      </c>
      <c r="B9422" t="s">
        <v>61</v>
      </c>
      <c r="C9422" t="str">
        <f>"A0118235"</f>
        <v>A0118235</v>
      </c>
      <c r="D9422" t="s">
        <v>35613</v>
      </c>
      <c r="E9422" t="s">
        <v>35614</v>
      </c>
      <c r="F9422" t="s">
        <v>7267</v>
      </c>
      <c r="G9422" t="s">
        <v>153</v>
      </c>
      <c r="H9422">
        <v>84105</v>
      </c>
      <c r="I9422" t="s">
        <v>30</v>
      </c>
      <c r="J9422" t="s">
        <v>41</v>
      </c>
      <c r="K9422" t="s">
        <v>461</v>
      </c>
      <c r="Q9422">
        <v>0</v>
      </c>
      <c r="R9422">
        <v>48</v>
      </c>
      <c r="S9422">
        <v>48</v>
      </c>
      <c r="T9422" t="s">
        <v>35615</v>
      </c>
    </row>
    <row r="9423" spans="1:20" customFormat="1" ht="15" x14ac:dyDescent="0.25">
      <c r="A9423" t="s">
        <v>35</v>
      </c>
      <c r="B9423" t="s">
        <v>61</v>
      </c>
      <c r="C9423" t="str">
        <f>"A0128855"</f>
        <v>A0128855</v>
      </c>
      <c r="D9423" t="s">
        <v>35616</v>
      </c>
      <c r="E9423" t="s">
        <v>35617</v>
      </c>
      <c r="F9423" t="s">
        <v>4662</v>
      </c>
      <c r="G9423" t="s">
        <v>289</v>
      </c>
      <c r="H9423">
        <v>62226</v>
      </c>
      <c r="I9423" t="s">
        <v>30</v>
      </c>
      <c r="J9423" t="s">
        <v>41</v>
      </c>
      <c r="K9423" t="s">
        <v>1440</v>
      </c>
      <c r="Q9423">
        <v>0</v>
      </c>
      <c r="R9423">
        <v>100</v>
      </c>
      <c r="S9423">
        <v>100</v>
      </c>
      <c r="T9423" t="s">
        <v>33929</v>
      </c>
    </row>
    <row r="9424" spans="1:20" customFormat="1" ht="15" x14ac:dyDescent="0.25">
      <c r="A9424" t="s">
        <v>35</v>
      </c>
      <c r="B9424" t="s">
        <v>61</v>
      </c>
      <c r="C9424" t="str">
        <f>"A0124637"</f>
        <v>A0124637</v>
      </c>
      <c r="D9424" t="s">
        <v>35618</v>
      </c>
      <c r="E9424" t="s">
        <v>35619</v>
      </c>
      <c r="F9424" t="s">
        <v>35620</v>
      </c>
      <c r="G9424" t="s">
        <v>1369</v>
      </c>
      <c r="H9424">
        <v>39111</v>
      </c>
      <c r="I9424" t="s">
        <v>30</v>
      </c>
      <c r="J9424" t="s">
        <v>41</v>
      </c>
      <c r="K9424" t="s">
        <v>3713</v>
      </c>
      <c r="Q9424">
        <v>0</v>
      </c>
      <c r="R9424">
        <v>64</v>
      </c>
      <c r="S9424">
        <v>64</v>
      </c>
      <c r="T9424" t="s">
        <v>35621</v>
      </c>
    </row>
    <row r="9425" spans="1:20" customFormat="1" ht="15" x14ac:dyDescent="0.25">
      <c r="A9425" t="s">
        <v>35</v>
      </c>
      <c r="B9425" t="s">
        <v>61</v>
      </c>
      <c r="C9425" t="str">
        <f>"A0124634"</f>
        <v>A0124634</v>
      </c>
      <c r="D9425" t="s">
        <v>35622</v>
      </c>
      <c r="E9425" t="s">
        <v>35623</v>
      </c>
      <c r="F9425" t="s">
        <v>12532</v>
      </c>
      <c r="G9425" t="s">
        <v>1369</v>
      </c>
      <c r="H9425">
        <v>39206</v>
      </c>
      <c r="I9425" t="s">
        <v>30</v>
      </c>
      <c r="J9425" t="s">
        <v>41</v>
      </c>
      <c r="K9425" t="s">
        <v>2463</v>
      </c>
      <c r="Q9425">
        <v>0</v>
      </c>
      <c r="R9425">
        <v>0</v>
      </c>
      <c r="S9425">
        <v>0</v>
      </c>
      <c r="T9425" t="s">
        <v>35624</v>
      </c>
    </row>
    <row r="9426" spans="1:20" customFormat="1" ht="15" x14ac:dyDescent="0.25">
      <c r="A9426" t="s">
        <v>35</v>
      </c>
      <c r="B9426" t="s">
        <v>61</v>
      </c>
      <c r="C9426" t="str">
        <f>"A0124527"</f>
        <v>A0124527</v>
      </c>
      <c r="D9426" t="s">
        <v>35625</v>
      </c>
      <c r="E9426" t="s">
        <v>35626</v>
      </c>
      <c r="F9426" t="s">
        <v>6025</v>
      </c>
      <c r="G9426" t="s">
        <v>1369</v>
      </c>
      <c r="H9426">
        <v>38829</v>
      </c>
      <c r="I9426" t="s">
        <v>30</v>
      </c>
      <c r="J9426" t="s">
        <v>41</v>
      </c>
      <c r="K9426" t="s">
        <v>59</v>
      </c>
      <c r="Q9426">
        <v>0</v>
      </c>
      <c r="R9426">
        <v>23</v>
      </c>
      <c r="S9426">
        <v>23</v>
      </c>
      <c r="T9426" t="s">
        <v>35627</v>
      </c>
    </row>
    <row r="9427" spans="1:20" customFormat="1" ht="15" x14ac:dyDescent="0.25">
      <c r="A9427" t="s">
        <v>35</v>
      </c>
      <c r="B9427" t="s">
        <v>61</v>
      </c>
      <c r="C9427" t="str">
        <f>"A0124394"</f>
        <v>A0124394</v>
      </c>
      <c r="D9427" t="s">
        <v>35628</v>
      </c>
      <c r="E9427" t="s">
        <v>35629</v>
      </c>
      <c r="F9427" t="s">
        <v>35630</v>
      </c>
      <c r="G9427" t="s">
        <v>103</v>
      </c>
      <c r="H9427">
        <v>19034</v>
      </c>
      <c r="I9427" t="s">
        <v>30</v>
      </c>
      <c r="J9427" t="s">
        <v>41</v>
      </c>
      <c r="K9427" t="s">
        <v>59</v>
      </c>
      <c r="Q9427">
        <v>0</v>
      </c>
      <c r="R9427">
        <v>120</v>
      </c>
      <c r="S9427">
        <v>120</v>
      </c>
      <c r="T9427" t="s">
        <v>35597</v>
      </c>
    </row>
    <row r="9428" spans="1:20" customFormat="1" ht="15" x14ac:dyDescent="0.25">
      <c r="A9428" t="s">
        <v>35</v>
      </c>
      <c r="B9428" t="s">
        <v>61</v>
      </c>
      <c r="C9428" t="str">
        <f>"A0125152"</f>
        <v>A0125152</v>
      </c>
      <c r="D9428" t="s">
        <v>35631</v>
      </c>
      <c r="E9428" t="s">
        <v>35632</v>
      </c>
      <c r="F9428" t="s">
        <v>35633</v>
      </c>
      <c r="G9428" t="s">
        <v>110</v>
      </c>
      <c r="H9428">
        <v>95336</v>
      </c>
      <c r="I9428" t="s">
        <v>30</v>
      </c>
      <c r="J9428" t="s">
        <v>41</v>
      </c>
      <c r="K9428" t="s">
        <v>229</v>
      </c>
      <c r="Q9428">
        <v>0</v>
      </c>
      <c r="R9428">
        <v>60</v>
      </c>
      <c r="S9428">
        <v>60</v>
      </c>
      <c r="T9428" t="s">
        <v>35634</v>
      </c>
    </row>
    <row r="9429" spans="1:20" customFormat="1" ht="15" x14ac:dyDescent="0.25">
      <c r="A9429" t="s">
        <v>35</v>
      </c>
      <c r="B9429" t="s">
        <v>61</v>
      </c>
      <c r="C9429" t="str">
        <f>"A0118389"</f>
        <v>A0118389</v>
      </c>
      <c r="D9429" t="s">
        <v>35635</v>
      </c>
      <c r="E9429" t="s">
        <v>35636</v>
      </c>
      <c r="F9429" t="s">
        <v>4300</v>
      </c>
      <c r="G9429" t="s">
        <v>110</v>
      </c>
      <c r="H9429">
        <v>92264</v>
      </c>
      <c r="I9429" t="s">
        <v>30</v>
      </c>
      <c r="J9429" t="s">
        <v>41</v>
      </c>
      <c r="K9429" t="s">
        <v>229</v>
      </c>
      <c r="Q9429">
        <v>0</v>
      </c>
      <c r="R9429">
        <v>50</v>
      </c>
      <c r="S9429">
        <v>50</v>
      </c>
      <c r="T9429" t="s">
        <v>35637</v>
      </c>
    </row>
    <row r="9430" spans="1:20" customFormat="1" ht="15" x14ac:dyDescent="0.25">
      <c r="A9430" t="s">
        <v>35</v>
      </c>
      <c r="B9430" t="s">
        <v>61</v>
      </c>
      <c r="C9430" t="str">
        <f>"A0121272"</f>
        <v>A0121272</v>
      </c>
      <c r="D9430" t="s">
        <v>35638</v>
      </c>
      <c r="E9430" t="s">
        <v>35639</v>
      </c>
      <c r="F9430" t="s">
        <v>35640</v>
      </c>
      <c r="G9430" t="s">
        <v>153</v>
      </c>
      <c r="H9430">
        <v>84062</v>
      </c>
      <c r="I9430" t="s">
        <v>30</v>
      </c>
      <c r="J9430" t="s">
        <v>41</v>
      </c>
      <c r="K9430" t="s">
        <v>59</v>
      </c>
      <c r="Q9430">
        <v>0</v>
      </c>
      <c r="R9430">
        <v>16</v>
      </c>
      <c r="S9430">
        <v>16</v>
      </c>
      <c r="T9430" t="s">
        <v>35641</v>
      </c>
    </row>
    <row r="9431" spans="1:20" customFormat="1" ht="15" x14ac:dyDescent="0.25">
      <c r="A9431" t="s">
        <v>35</v>
      </c>
      <c r="B9431" t="s">
        <v>61</v>
      </c>
      <c r="C9431" t="str">
        <f>"A0124678"</f>
        <v>A0124678</v>
      </c>
      <c r="D9431" t="s">
        <v>35642</v>
      </c>
      <c r="E9431" t="s">
        <v>35643</v>
      </c>
      <c r="F9431" t="s">
        <v>35644</v>
      </c>
      <c r="G9431" t="s">
        <v>1706</v>
      </c>
      <c r="H9431">
        <v>35674</v>
      </c>
      <c r="I9431" t="s">
        <v>30</v>
      </c>
      <c r="J9431" t="s">
        <v>41</v>
      </c>
      <c r="K9431" t="s">
        <v>229</v>
      </c>
      <c r="Q9431">
        <v>0</v>
      </c>
      <c r="R9431">
        <v>109</v>
      </c>
      <c r="S9431">
        <v>109</v>
      </c>
      <c r="T9431" t="s">
        <v>35645</v>
      </c>
    </row>
    <row r="9432" spans="1:20" customFormat="1" ht="15" x14ac:dyDescent="0.25">
      <c r="A9432" t="s">
        <v>35</v>
      </c>
      <c r="B9432" t="s">
        <v>61</v>
      </c>
      <c r="C9432" t="str">
        <f>"A0124519"</f>
        <v>A0124519</v>
      </c>
      <c r="D9432" t="s">
        <v>35646</v>
      </c>
      <c r="E9432" t="s">
        <v>35647</v>
      </c>
      <c r="F9432" t="s">
        <v>17074</v>
      </c>
      <c r="G9432" t="s">
        <v>1369</v>
      </c>
      <c r="H9432">
        <v>39437</v>
      </c>
      <c r="I9432" t="s">
        <v>30</v>
      </c>
      <c r="J9432" t="s">
        <v>41</v>
      </c>
      <c r="K9432" t="s">
        <v>229</v>
      </c>
      <c r="Q9432">
        <v>0</v>
      </c>
      <c r="R9432">
        <v>114</v>
      </c>
      <c r="S9432">
        <v>114</v>
      </c>
      <c r="T9432" t="s">
        <v>35648</v>
      </c>
    </row>
    <row r="9433" spans="1:20" customFormat="1" ht="15" x14ac:dyDescent="0.25">
      <c r="A9433" t="s">
        <v>35</v>
      </c>
      <c r="B9433" t="s">
        <v>61</v>
      </c>
      <c r="C9433" t="str">
        <f>"A0124568"</f>
        <v>A0124568</v>
      </c>
      <c r="D9433" t="s">
        <v>35649</v>
      </c>
      <c r="E9433" t="s">
        <v>35650</v>
      </c>
      <c r="F9433" t="s">
        <v>1298</v>
      </c>
      <c r="G9433" t="s">
        <v>1369</v>
      </c>
      <c r="H9433">
        <v>39429</v>
      </c>
      <c r="I9433" t="s">
        <v>30</v>
      </c>
      <c r="J9433" t="s">
        <v>41</v>
      </c>
      <c r="K9433" t="s">
        <v>229</v>
      </c>
      <c r="Q9433">
        <v>0</v>
      </c>
      <c r="R9433">
        <v>66</v>
      </c>
      <c r="S9433">
        <v>66</v>
      </c>
      <c r="T9433" t="s">
        <v>35651</v>
      </c>
    </row>
    <row r="9434" spans="1:20" customFormat="1" ht="15" x14ac:dyDescent="0.25">
      <c r="A9434" t="s">
        <v>35</v>
      </c>
      <c r="B9434" t="s">
        <v>61</v>
      </c>
      <c r="C9434" t="str">
        <f>"A0124531"</f>
        <v>A0124531</v>
      </c>
      <c r="D9434" t="s">
        <v>35652</v>
      </c>
      <c r="E9434" t="s">
        <v>35653</v>
      </c>
      <c r="F9434" t="s">
        <v>1783</v>
      </c>
      <c r="G9434" t="s">
        <v>880</v>
      </c>
      <c r="H9434">
        <v>38340</v>
      </c>
      <c r="I9434" t="s">
        <v>30</v>
      </c>
      <c r="J9434" t="s">
        <v>41</v>
      </c>
      <c r="K9434" t="s">
        <v>229</v>
      </c>
      <c r="Q9434">
        <v>0</v>
      </c>
      <c r="R9434">
        <v>89</v>
      </c>
      <c r="S9434">
        <v>89</v>
      </c>
      <c r="T9434" t="s">
        <v>35654</v>
      </c>
    </row>
    <row r="9435" spans="1:20" customFormat="1" ht="15" x14ac:dyDescent="0.25">
      <c r="A9435" t="s">
        <v>35</v>
      </c>
      <c r="B9435" t="s">
        <v>61</v>
      </c>
      <c r="C9435" t="str">
        <f>"A0118820"</f>
        <v>A0118820</v>
      </c>
      <c r="D9435" t="s">
        <v>35655</v>
      </c>
      <c r="E9435" t="s">
        <v>35656</v>
      </c>
      <c r="F9435" t="s">
        <v>35657</v>
      </c>
      <c r="G9435" t="s">
        <v>110</v>
      </c>
      <c r="H9435">
        <v>93631</v>
      </c>
      <c r="I9435" t="s">
        <v>30</v>
      </c>
      <c r="J9435" t="s">
        <v>41</v>
      </c>
      <c r="K9435" t="s">
        <v>3713</v>
      </c>
      <c r="Q9435">
        <v>0</v>
      </c>
      <c r="R9435">
        <v>20</v>
      </c>
      <c r="S9435">
        <v>20</v>
      </c>
      <c r="T9435" t="s">
        <v>35658</v>
      </c>
    </row>
    <row r="9436" spans="1:20" customFormat="1" ht="15" x14ac:dyDescent="0.25">
      <c r="A9436" t="s">
        <v>35</v>
      </c>
      <c r="B9436" t="s">
        <v>61</v>
      </c>
      <c r="C9436" t="str">
        <f>"A0129173"</f>
        <v>A0129173</v>
      </c>
      <c r="D9436" t="s">
        <v>35659</v>
      </c>
      <c r="E9436" t="s">
        <v>35660</v>
      </c>
      <c r="F9436" t="s">
        <v>21842</v>
      </c>
      <c r="G9436" t="s">
        <v>289</v>
      </c>
      <c r="H9436">
        <v>61604</v>
      </c>
      <c r="I9436" t="s">
        <v>30</v>
      </c>
      <c r="J9436" t="s">
        <v>41</v>
      </c>
      <c r="K9436" t="s">
        <v>229</v>
      </c>
      <c r="Q9436">
        <v>0</v>
      </c>
      <c r="R9436">
        <v>300</v>
      </c>
      <c r="S9436">
        <v>300</v>
      </c>
      <c r="T9436" t="s">
        <v>35661</v>
      </c>
    </row>
    <row r="9437" spans="1:20" customFormat="1" ht="15" x14ac:dyDescent="0.25">
      <c r="A9437" t="s">
        <v>35</v>
      </c>
      <c r="B9437" t="s">
        <v>61</v>
      </c>
      <c r="C9437" t="str">
        <f>"A0124598"</f>
        <v>A0124598</v>
      </c>
      <c r="D9437" t="s">
        <v>35662</v>
      </c>
      <c r="E9437" t="s">
        <v>35663</v>
      </c>
      <c r="F9437" t="s">
        <v>14097</v>
      </c>
      <c r="G9437" t="s">
        <v>880</v>
      </c>
      <c r="H9437">
        <v>378210975</v>
      </c>
      <c r="I9437" t="s">
        <v>30</v>
      </c>
      <c r="J9437" t="s">
        <v>41</v>
      </c>
      <c r="K9437" t="s">
        <v>229</v>
      </c>
      <c r="Q9437">
        <v>0</v>
      </c>
      <c r="R9437">
        <v>138</v>
      </c>
      <c r="S9437">
        <v>138</v>
      </c>
      <c r="T9437" t="s">
        <v>35664</v>
      </c>
    </row>
    <row r="9438" spans="1:20" customFormat="1" ht="15" x14ac:dyDescent="0.25">
      <c r="A9438" t="s">
        <v>35</v>
      </c>
      <c r="B9438" t="s">
        <v>61</v>
      </c>
      <c r="C9438" t="str">
        <f>"A0121760"</f>
        <v>A0121760</v>
      </c>
      <c r="D9438" t="s">
        <v>35665</v>
      </c>
      <c r="E9438" t="s">
        <v>35666</v>
      </c>
      <c r="F9438" t="s">
        <v>20644</v>
      </c>
      <c r="G9438" t="s">
        <v>110</v>
      </c>
      <c r="H9438">
        <v>93055</v>
      </c>
      <c r="I9438" t="s">
        <v>30</v>
      </c>
      <c r="J9438" t="s">
        <v>41</v>
      </c>
      <c r="K9438" t="s">
        <v>229</v>
      </c>
      <c r="Q9438">
        <v>0</v>
      </c>
      <c r="R9438">
        <v>40</v>
      </c>
      <c r="S9438">
        <v>40</v>
      </c>
      <c r="T9438" t="s">
        <v>35667</v>
      </c>
    </row>
    <row r="9439" spans="1:20" customFormat="1" ht="15" x14ac:dyDescent="0.25">
      <c r="A9439" t="s">
        <v>35</v>
      </c>
      <c r="B9439" t="s">
        <v>61</v>
      </c>
      <c r="C9439" t="str">
        <f>"A0124713"</f>
        <v>A0124713</v>
      </c>
      <c r="D9439" t="s">
        <v>35668</v>
      </c>
      <c r="E9439" t="s">
        <v>35669</v>
      </c>
      <c r="F9439" t="s">
        <v>28509</v>
      </c>
      <c r="G9439" t="s">
        <v>1369</v>
      </c>
      <c r="H9439">
        <v>39401</v>
      </c>
      <c r="I9439" t="s">
        <v>30</v>
      </c>
      <c r="J9439" t="s">
        <v>41</v>
      </c>
      <c r="K9439" t="s">
        <v>59</v>
      </c>
      <c r="Q9439">
        <v>0</v>
      </c>
      <c r="R9439">
        <v>20</v>
      </c>
      <c r="S9439">
        <v>20</v>
      </c>
      <c r="T9439" t="s">
        <v>35670</v>
      </c>
    </row>
    <row r="9440" spans="1:20" customFormat="1" ht="15" x14ac:dyDescent="0.25">
      <c r="A9440" t="s">
        <v>35</v>
      </c>
      <c r="B9440" t="s">
        <v>61</v>
      </c>
      <c r="C9440" t="str">
        <f>"A0127559"</f>
        <v>A0127559</v>
      </c>
      <c r="D9440" t="s">
        <v>35671</v>
      </c>
      <c r="E9440" t="s">
        <v>35672</v>
      </c>
      <c r="F9440" t="s">
        <v>11186</v>
      </c>
      <c r="G9440" t="s">
        <v>123</v>
      </c>
      <c r="H9440">
        <v>20688</v>
      </c>
      <c r="I9440" t="s">
        <v>30</v>
      </c>
      <c r="J9440" t="s">
        <v>41</v>
      </c>
      <c r="K9440" t="s">
        <v>229</v>
      </c>
      <c r="Q9440">
        <v>0</v>
      </c>
      <c r="R9440">
        <v>127</v>
      </c>
      <c r="S9440">
        <v>127</v>
      </c>
      <c r="T9440" t="s">
        <v>35673</v>
      </c>
    </row>
    <row r="9441" spans="1:20" customFormat="1" ht="15" x14ac:dyDescent="0.25">
      <c r="A9441" t="s">
        <v>35</v>
      </c>
      <c r="B9441" t="s">
        <v>61</v>
      </c>
      <c r="C9441" t="str">
        <f>"A0124665"</f>
        <v>A0124665</v>
      </c>
      <c r="D9441" t="s">
        <v>35674</v>
      </c>
      <c r="E9441" t="s">
        <v>35675</v>
      </c>
      <c r="F9441" t="s">
        <v>12532</v>
      </c>
      <c r="G9441" t="s">
        <v>1369</v>
      </c>
      <c r="H9441">
        <v>39206</v>
      </c>
      <c r="I9441" t="s">
        <v>30</v>
      </c>
      <c r="J9441" t="s">
        <v>41</v>
      </c>
      <c r="K9441" t="s">
        <v>229</v>
      </c>
      <c r="Q9441">
        <v>0</v>
      </c>
      <c r="R9441">
        <v>120</v>
      </c>
      <c r="S9441">
        <v>120</v>
      </c>
      <c r="T9441" t="s">
        <v>35676</v>
      </c>
    </row>
    <row r="9442" spans="1:20" customFormat="1" ht="15" x14ac:dyDescent="0.25">
      <c r="A9442" t="s">
        <v>35</v>
      </c>
      <c r="B9442" t="s">
        <v>61</v>
      </c>
      <c r="C9442" t="str">
        <f>"A0124471"</f>
        <v>A0124471</v>
      </c>
      <c r="D9442" t="s">
        <v>35677</v>
      </c>
      <c r="E9442" t="s">
        <v>35678</v>
      </c>
      <c r="F9442" t="s">
        <v>23386</v>
      </c>
      <c r="G9442" t="s">
        <v>1706</v>
      </c>
      <c r="H9442">
        <v>35801</v>
      </c>
      <c r="I9442" t="s">
        <v>30</v>
      </c>
      <c r="J9442" t="s">
        <v>41</v>
      </c>
      <c r="K9442" t="s">
        <v>229</v>
      </c>
      <c r="Q9442">
        <v>0</v>
      </c>
      <c r="R9442">
        <v>132</v>
      </c>
      <c r="S9442">
        <v>132</v>
      </c>
      <c r="T9442" t="s">
        <v>35679</v>
      </c>
    </row>
    <row r="9443" spans="1:20" customFormat="1" ht="15" x14ac:dyDescent="0.25">
      <c r="A9443" t="s">
        <v>35</v>
      </c>
      <c r="B9443" t="s">
        <v>61</v>
      </c>
      <c r="C9443" t="str">
        <f>"A0124558"</f>
        <v>A0124558</v>
      </c>
      <c r="D9443" t="s">
        <v>35680</v>
      </c>
      <c r="E9443" t="s">
        <v>35681</v>
      </c>
      <c r="F9443" t="s">
        <v>17380</v>
      </c>
      <c r="G9443" t="s">
        <v>1369</v>
      </c>
      <c r="H9443">
        <v>39325</v>
      </c>
      <c r="I9443" t="s">
        <v>30</v>
      </c>
      <c r="J9443" t="s">
        <v>41</v>
      </c>
      <c r="K9443" t="s">
        <v>229</v>
      </c>
      <c r="Q9443">
        <v>0</v>
      </c>
      <c r="R9443">
        <v>21</v>
      </c>
      <c r="S9443">
        <v>21</v>
      </c>
      <c r="T9443" t="s">
        <v>35682</v>
      </c>
    </row>
    <row r="9444" spans="1:20" customFormat="1" ht="15" x14ac:dyDescent="0.25">
      <c r="A9444" t="s">
        <v>35</v>
      </c>
      <c r="B9444" t="s">
        <v>61</v>
      </c>
      <c r="C9444" t="str">
        <f>"A0124557"</f>
        <v>A0124557</v>
      </c>
      <c r="D9444" t="s">
        <v>35683</v>
      </c>
      <c r="E9444" t="s">
        <v>35684</v>
      </c>
      <c r="F9444" t="s">
        <v>17380</v>
      </c>
      <c r="G9444" t="s">
        <v>1369</v>
      </c>
      <c r="H9444">
        <v>39325</v>
      </c>
      <c r="I9444" t="s">
        <v>30</v>
      </c>
      <c r="J9444" t="s">
        <v>41</v>
      </c>
      <c r="K9444" t="s">
        <v>456</v>
      </c>
      <c r="Q9444">
        <v>0</v>
      </c>
      <c r="R9444">
        <v>40</v>
      </c>
      <c r="S9444">
        <v>40</v>
      </c>
      <c r="T9444" t="s">
        <v>35685</v>
      </c>
    </row>
    <row r="9445" spans="1:20" customFormat="1" ht="15" x14ac:dyDescent="0.25">
      <c r="A9445" t="s">
        <v>35</v>
      </c>
      <c r="B9445" t="s">
        <v>61</v>
      </c>
      <c r="C9445" t="str">
        <f>"A0124621"</f>
        <v>A0124621</v>
      </c>
      <c r="D9445" t="s">
        <v>35686</v>
      </c>
      <c r="E9445" t="s">
        <v>35687</v>
      </c>
      <c r="F9445" t="s">
        <v>35580</v>
      </c>
      <c r="G9445" t="s">
        <v>1369</v>
      </c>
      <c r="H9445">
        <v>39501</v>
      </c>
      <c r="I9445" t="s">
        <v>30</v>
      </c>
      <c r="J9445" t="s">
        <v>41</v>
      </c>
      <c r="K9445" t="s">
        <v>2463</v>
      </c>
      <c r="Q9445">
        <v>0</v>
      </c>
      <c r="R9445">
        <v>0</v>
      </c>
      <c r="S9445">
        <v>0</v>
      </c>
      <c r="T9445" t="s">
        <v>35688</v>
      </c>
    </row>
    <row r="9446" spans="1:20" customFormat="1" ht="15" x14ac:dyDescent="0.25">
      <c r="A9446" t="s">
        <v>35</v>
      </c>
      <c r="B9446" t="s">
        <v>61</v>
      </c>
      <c r="C9446" t="str">
        <f>"A0119276"</f>
        <v>A0119276</v>
      </c>
      <c r="D9446" t="s">
        <v>35689</v>
      </c>
      <c r="E9446" t="s">
        <v>35690</v>
      </c>
      <c r="F9446" t="s">
        <v>4300</v>
      </c>
      <c r="G9446" t="s">
        <v>110</v>
      </c>
      <c r="H9446">
        <v>92262</v>
      </c>
      <c r="I9446" t="s">
        <v>30</v>
      </c>
      <c r="J9446" t="s">
        <v>41</v>
      </c>
      <c r="K9446" t="s">
        <v>482</v>
      </c>
      <c r="Q9446">
        <v>0</v>
      </c>
      <c r="R9446">
        <v>5</v>
      </c>
      <c r="S9446">
        <v>5</v>
      </c>
      <c r="T9446" t="s">
        <v>35691</v>
      </c>
    </row>
    <row r="9447" spans="1:20" customFormat="1" ht="15" x14ac:dyDescent="0.25">
      <c r="A9447" t="s">
        <v>35</v>
      </c>
      <c r="B9447" t="s">
        <v>61</v>
      </c>
      <c r="C9447" t="str">
        <f>"A0124679"</f>
        <v>A0124679</v>
      </c>
      <c r="D9447" t="s">
        <v>35692</v>
      </c>
      <c r="E9447" t="s">
        <v>35693</v>
      </c>
      <c r="F9447" t="s">
        <v>35694</v>
      </c>
      <c r="G9447" t="s">
        <v>1706</v>
      </c>
      <c r="H9447">
        <v>35661</v>
      </c>
      <c r="I9447" t="s">
        <v>30</v>
      </c>
      <c r="J9447" t="s">
        <v>41</v>
      </c>
      <c r="K9447" t="s">
        <v>229</v>
      </c>
      <c r="Q9447">
        <v>0</v>
      </c>
      <c r="R9447">
        <v>90</v>
      </c>
      <c r="S9447">
        <v>90</v>
      </c>
      <c r="T9447" t="s">
        <v>35695</v>
      </c>
    </row>
    <row r="9448" spans="1:20" customFormat="1" ht="15" x14ac:dyDescent="0.25">
      <c r="A9448" t="s">
        <v>35</v>
      </c>
      <c r="B9448" t="s">
        <v>61</v>
      </c>
      <c r="C9448" t="str">
        <f>"A0125025"</f>
        <v>A0125025</v>
      </c>
      <c r="D9448" t="s">
        <v>35696</v>
      </c>
      <c r="E9448" t="s">
        <v>35697</v>
      </c>
      <c r="F9448" t="s">
        <v>440</v>
      </c>
      <c r="G9448" t="s">
        <v>214</v>
      </c>
      <c r="H9448">
        <v>28713</v>
      </c>
      <c r="I9448" t="s">
        <v>30</v>
      </c>
      <c r="J9448" t="s">
        <v>41</v>
      </c>
      <c r="K9448" t="s">
        <v>59</v>
      </c>
      <c r="Q9448">
        <v>0</v>
      </c>
      <c r="R9448">
        <v>50</v>
      </c>
      <c r="S9448">
        <v>50</v>
      </c>
      <c r="T9448" t="s">
        <v>35698</v>
      </c>
    </row>
    <row r="9449" spans="1:20" customFormat="1" ht="15" x14ac:dyDescent="0.25">
      <c r="A9449" t="s">
        <v>35</v>
      </c>
      <c r="B9449" t="s">
        <v>61</v>
      </c>
      <c r="C9449" t="str">
        <f>"A0124585"</f>
        <v>A0124585</v>
      </c>
      <c r="D9449" t="s">
        <v>35699</v>
      </c>
      <c r="E9449" t="s">
        <v>35700</v>
      </c>
      <c r="F9449" t="s">
        <v>19101</v>
      </c>
      <c r="G9449" t="s">
        <v>1706</v>
      </c>
      <c r="H9449">
        <v>35630</v>
      </c>
      <c r="I9449" t="s">
        <v>30</v>
      </c>
      <c r="J9449" t="s">
        <v>41</v>
      </c>
      <c r="K9449" t="s">
        <v>229</v>
      </c>
      <c r="Q9449">
        <v>0</v>
      </c>
      <c r="R9449">
        <v>125</v>
      </c>
      <c r="S9449">
        <v>125</v>
      </c>
      <c r="T9449" t="s">
        <v>35701</v>
      </c>
    </row>
    <row r="9450" spans="1:20" customFormat="1" ht="15" x14ac:dyDescent="0.25">
      <c r="A9450" t="s">
        <v>35</v>
      </c>
      <c r="B9450" t="s">
        <v>61</v>
      </c>
      <c r="C9450" t="str">
        <f>"A0124677"</f>
        <v>A0124677</v>
      </c>
      <c r="D9450" t="s">
        <v>35702</v>
      </c>
      <c r="E9450" t="s">
        <v>35703</v>
      </c>
      <c r="F9450" t="s">
        <v>35644</v>
      </c>
      <c r="G9450" t="s">
        <v>1706</v>
      </c>
      <c r="H9450">
        <v>35674</v>
      </c>
      <c r="I9450" t="s">
        <v>30</v>
      </c>
      <c r="J9450" t="s">
        <v>41</v>
      </c>
      <c r="K9450" t="s">
        <v>229</v>
      </c>
      <c r="Q9450">
        <v>0</v>
      </c>
      <c r="R9450">
        <v>103</v>
      </c>
      <c r="S9450">
        <v>103</v>
      </c>
      <c r="T9450" t="s">
        <v>35704</v>
      </c>
    </row>
    <row r="9451" spans="1:20" customFormat="1" ht="15" x14ac:dyDescent="0.25">
      <c r="A9451" t="s">
        <v>35</v>
      </c>
      <c r="B9451" t="s">
        <v>61</v>
      </c>
      <c r="C9451" t="str">
        <f>"A0118106"</f>
        <v>A0118106</v>
      </c>
      <c r="D9451" t="s">
        <v>35705</v>
      </c>
      <c r="E9451" t="s">
        <v>35706</v>
      </c>
      <c r="F9451" t="s">
        <v>2719</v>
      </c>
      <c r="G9451" t="s">
        <v>190</v>
      </c>
      <c r="H9451">
        <v>80204</v>
      </c>
      <c r="I9451" t="s">
        <v>30</v>
      </c>
      <c r="J9451" t="s">
        <v>41</v>
      </c>
      <c r="K9451" t="s">
        <v>2463</v>
      </c>
      <c r="Q9451">
        <v>0</v>
      </c>
      <c r="R9451">
        <v>0</v>
      </c>
      <c r="S9451">
        <v>0</v>
      </c>
      <c r="T9451" t="s">
        <v>35707</v>
      </c>
    </row>
    <row r="9452" spans="1:20" customFormat="1" ht="15" x14ac:dyDescent="0.25">
      <c r="A9452" t="s">
        <v>35</v>
      </c>
      <c r="B9452" t="s">
        <v>61</v>
      </c>
      <c r="C9452" t="str">
        <f>"A0128971"</f>
        <v>A0128971</v>
      </c>
      <c r="D9452" t="s">
        <v>35708</v>
      </c>
      <c r="E9452" t="s">
        <v>35709</v>
      </c>
      <c r="F9452" t="s">
        <v>2674</v>
      </c>
      <c r="G9452" t="s">
        <v>289</v>
      </c>
      <c r="H9452">
        <v>61802</v>
      </c>
      <c r="I9452" t="s">
        <v>30</v>
      </c>
      <c r="J9452" t="s">
        <v>41</v>
      </c>
      <c r="K9452" t="s">
        <v>229</v>
      </c>
      <c r="Q9452">
        <v>0</v>
      </c>
      <c r="R9452">
        <v>243</v>
      </c>
      <c r="S9452">
        <v>243</v>
      </c>
      <c r="T9452" t="s">
        <v>35710</v>
      </c>
    </row>
    <row r="9453" spans="1:20" customFormat="1" ht="15" x14ac:dyDescent="0.25">
      <c r="A9453" t="s">
        <v>35</v>
      </c>
      <c r="B9453" t="s">
        <v>61</v>
      </c>
      <c r="C9453" t="str">
        <f>"A0124714"</f>
        <v>A0124714</v>
      </c>
      <c r="D9453" t="s">
        <v>35711</v>
      </c>
      <c r="E9453" t="s">
        <v>35712</v>
      </c>
      <c r="F9453" t="s">
        <v>28509</v>
      </c>
      <c r="G9453" t="s">
        <v>1369</v>
      </c>
      <c r="H9453">
        <v>39201</v>
      </c>
      <c r="I9453" t="s">
        <v>30</v>
      </c>
      <c r="J9453" t="s">
        <v>41</v>
      </c>
      <c r="K9453" t="s">
        <v>59</v>
      </c>
      <c r="Q9453">
        <v>0</v>
      </c>
      <c r="R9453">
        <v>14</v>
      </c>
      <c r="S9453">
        <v>14</v>
      </c>
      <c r="T9453" t="s">
        <v>35713</v>
      </c>
    </row>
    <row r="9454" spans="1:20" customFormat="1" ht="15" x14ac:dyDescent="0.25">
      <c r="A9454" t="s">
        <v>35</v>
      </c>
      <c r="B9454" t="s">
        <v>61</v>
      </c>
      <c r="C9454" t="str">
        <f>"A0124590"</f>
        <v>A0124590</v>
      </c>
      <c r="D9454" t="s">
        <v>35714</v>
      </c>
      <c r="E9454" t="s">
        <v>35715</v>
      </c>
      <c r="F9454" t="s">
        <v>35716</v>
      </c>
      <c r="G9454" t="s">
        <v>1369</v>
      </c>
      <c r="H9454">
        <v>38915</v>
      </c>
      <c r="I9454" t="s">
        <v>30</v>
      </c>
      <c r="J9454" t="s">
        <v>41</v>
      </c>
      <c r="K9454" t="s">
        <v>229</v>
      </c>
      <c r="Q9454">
        <v>0</v>
      </c>
      <c r="R9454">
        <v>28</v>
      </c>
      <c r="S9454">
        <v>28</v>
      </c>
      <c r="T9454" t="s">
        <v>35717</v>
      </c>
    </row>
    <row r="9455" spans="1:20" customFormat="1" ht="15" x14ac:dyDescent="0.25">
      <c r="A9455" t="s">
        <v>35</v>
      </c>
      <c r="B9455" t="s">
        <v>61</v>
      </c>
      <c r="C9455" t="str">
        <f>"A0119294"</f>
        <v>A0119294</v>
      </c>
      <c r="D9455" t="s">
        <v>35718</v>
      </c>
      <c r="E9455" t="s">
        <v>35719</v>
      </c>
      <c r="F9455" t="s">
        <v>8081</v>
      </c>
      <c r="G9455" t="s">
        <v>110</v>
      </c>
      <c r="H9455">
        <v>94127</v>
      </c>
      <c r="I9455" t="s">
        <v>30</v>
      </c>
      <c r="J9455" t="s">
        <v>41</v>
      </c>
      <c r="K9455" t="s">
        <v>1440</v>
      </c>
      <c r="Q9455">
        <v>0</v>
      </c>
      <c r="R9455">
        <v>0</v>
      </c>
      <c r="S9455">
        <v>0</v>
      </c>
      <c r="T9455" t="s">
        <v>35720</v>
      </c>
    </row>
    <row r="9456" spans="1:20" customFormat="1" ht="15" x14ac:dyDescent="0.25">
      <c r="A9456" t="s">
        <v>24</v>
      </c>
      <c r="B9456" t="s">
        <v>3367</v>
      </c>
      <c r="C9456" t="str">
        <f>"A0056493"</f>
        <v>A0056493</v>
      </c>
      <c r="D9456" t="s">
        <v>69834</v>
      </c>
      <c r="E9456" t="s">
        <v>69835</v>
      </c>
      <c r="F9456" t="s">
        <v>5999</v>
      </c>
      <c r="G9456" t="s">
        <v>71</v>
      </c>
      <c r="H9456">
        <v>53203</v>
      </c>
      <c r="I9456" t="s">
        <v>30</v>
      </c>
      <c r="J9456" t="s">
        <v>162</v>
      </c>
      <c r="K9456" t="s">
        <v>4809</v>
      </c>
      <c r="N9456" t="s">
        <v>69836</v>
      </c>
      <c r="O9456" t="s">
        <v>69837</v>
      </c>
      <c r="Q9456">
        <v>0</v>
      </c>
      <c r="R9456">
        <v>729</v>
      </c>
      <c r="S9456">
        <v>0</v>
      </c>
      <c r="T9456" t="s">
        <v>69838</v>
      </c>
    </row>
    <row r="9457" spans="1:20" customFormat="1" ht="15" x14ac:dyDescent="0.25">
      <c r="A9457" t="s">
        <v>24</v>
      </c>
      <c r="B9457" t="s">
        <v>3367</v>
      </c>
      <c r="C9457" t="str">
        <f>"A0087222"</f>
        <v>A0087222</v>
      </c>
      <c r="D9457" t="s">
        <v>69839</v>
      </c>
      <c r="E9457" t="s">
        <v>69840</v>
      </c>
      <c r="F9457" t="s">
        <v>69841</v>
      </c>
      <c r="G9457" t="s">
        <v>161</v>
      </c>
      <c r="H9457">
        <v>55437</v>
      </c>
      <c r="I9457" t="s">
        <v>30</v>
      </c>
      <c r="J9457" t="s">
        <v>162</v>
      </c>
      <c r="K9457" t="s">
        <v>4809</v>
      </c>
      <c r="N9457" t="s">
        <v>69842</v>
      </c>
      <c r="O9457" t="s">
        <v>69843</v>
      </c>
      <c r="Q9457">
        <v>0</v>
      </c>
      <c r="R9457">
        <v>257</v>
      </c>
      <c r="S9457">
        <v>0</v>
      </c>
      <c r="T9457" t="s">
        <v>69844</v>
      </c>
    </row>
    <row r="9458" spans="1:20" customFormat="1" ht="15" x14ac:dyDescent="0.25">
      <c r="A9458" t="s">
        <v>24</v>
      </c>
      <c r="B9458" t="s">
        <v>7220</v>
      </c>
      <c r="C9458" t="str">
        <f>"A0179915"</f>
        <v>A0179915</v>
      </c>
      <c r="D9458" t="s">
        <v>35729</v>
      </c>
      <c r="E9458" t="s">
        <v>35730</v>
      </c>
      <c r="F9458" t="s">
        <v>33618</v>
      </c>
      <c r="G9458" t="s">
        <v>85</v>
      </c>
      <c r="H9458">
        <v>72112</v>
      </c>
      <c r="I9458" t="s">
        <v>30</v>
      </c>
      <c r="J9458" t="s">
        <v>31</v>
      </c>
      <c r="K9458" t="s">
        <v>5885</v>
      </c>
      <c r="N9458" t="s">
        <v>35731</v>
      </c>
      <c r="Q9458">
        <v>0</v>
      </c>
      <c r="R9458">
        <v>54</v>
      </c>
      <c r="S9458">
        <v>0</v>
      </c>
      <c r="T9458" t="s">
        <v>35732</v>
      </c>
    </row>
    <row r="9459" spans="1:20" customFormat="1" ht="15" x14ac:dyDescent="0.25">
      <c r="A9459" t="s">
        <v>24</v>
      </c>
      <c r="B9459" t="s">
        <v>7220</v>
      </c>
      <c r="C9459" t="str">
        <f>"A0179914"</f>
        <v>A0179914</v>
      </c>
      <c r="D9459" t="s">
        <v>35733</v>
      </c>
      <c r="E9459" t="s">
        <v>35734</v>
      </c>
      <c r="F9459" t="s">
        <v>35735</v>
      </c>
      <c r="G9459" t="s">
        <v>1508</v>
      </c>
      <c r="H9459">
        <v>82082</v>
      </c>
      <c r="I9459" t="s">
        <v>30</v>
      </c>
      <c r="J9459" t="s">
        <v>31</v>
      </c>
      <c r="K9459" t="s">
        <v>5885</v>
      </c>
      <c r="N9459" t="s">
        <v>3486</v>
      </c>
      <c r="O9459" t="s">
        <v>35736</v>
      </c>
      <c r="Q9459">
        <v>0</v>
      </c>
      <c r="R9459">
        <v>40</v>
      </c>
      <c r="S9459">
        <v>0</v>
      </c>
      <c r="T9459" t="s">
        <v>35737</v>
      </c>
    </row>
    <row r="9460" spans="1:20" customFormat="1" ht="15" x14ac:dyDescent="0.25">
      <c r="A9460" t="s">
        <v>24</v>
      </c>
      <c r="B9460" t="s">
        <v>2373</v>
      </c>
      <c r="C9460" t="str">
        <f>"A0058264"</f>
        <v>A0058264</v>
      </c>
      <c r="D9460" t="s">
        <v>69845</v>
      </c>
      <c r="E9460" t="s">
        <v>69846</v>
      </c>
      <c r="F9460" t="s">
        <v>57959</v>
      </c>
      <c r="G9460" t="s">
        <v>1170</v>
      </c>
      <c r="H9460">
        <v>70062</v>
      </c>
      <c r="I9460" t="s">
        <v>30</v>
      </c>
      <c r="J9460" t="s">
        <v>162</v>
      </c>
      <c r="K9460" t="s">
        <v>4809</v>
      </c>
      <c r="N9460" t="s">
        <v>69847</v>
      </c>
      <c r="O9460" t="s">
        <v>69848</v>
      </c>
      <c r="Q9460">
        <v>0</v>
      </c>
      <c r="R9460">
        <v>317</v>
      </c>
      <c r="S9460">
        <v>0</v>
      </c>
      <c r="T9460" t="s">
        <v>69849</v>
      </c>
    </row>
    <row r="9461" spans="1:20" customFormat="1" ht="15" x14ac:dyDescent="0.25">
      <c r="A9461" t="s">
        <v>24</v>
      </c>
      <c r="B9461" t="s">
        <v>2360</v>
      </c>
      <c r="C9461" t="str">
        <f>"A0052628"</f>
        <v>A0052628</v>
      </c>
      <c r="D9461" t="s">
        <v>35743</v>
      </c>
      <c r="E9461" t="s">
        <v>35744</v>
      </c>
      <c r="F9461" t="s">
        <v>35745</v>
      </c>
      <c r="G9461" t="s">
        <v>214</v>
      </c>
      <c r="H9461">
        <v>28747</v>
      </c>
      <c r="I9461" t="s">
        <v>30</v>
      </c>
      <c r="J9461" t="s">
        <v>178</v>
      </c>
      <c r="K9461" t="s">
        <v>2364</v>
      </c>
      <c r="N9461" t="s">
        <v>35746</v>
      </c>
      <c r="O9461" t="s">
        <v>35747</v>
      </c>
      <c r="Q9461">
        <v>1</v>
      </c>
      <c r="R9461">
        <v>0</v>
      </c>
      <c r="S9461">
        <v>0</v>
      </c>
      <c r="T9461" t="s">
        <v>35748</v>
      </c>
    </row>
    <row r="9462" spans="1:20" customFormat="1" ht="15" hidden="1" x14ac:dyDescent="0.25">
      <c r="A9462" t="s">
        <v>24</v>
      </c>
      <c r="B9462" t="s">
        <v>35749</v>
      </c>
      <c r="C9462" t="str">
        <f>"A0179597"</f>
        <v>A0179597</v>
      </c>
      <c r="D9462" t="s">
        <v>35750</v>
      </c>
      <c r="E9462" t="s">
        <v>35751</v>
      </c>
      <c r="F9462" t="s">
        <v>3145</v>
      </c>
      <c r="G9462" t="s">
        <v>8864</v>
      </c>
      <c r="I9462" t="s">
        <v>3147</v>
      </c>
      <c r="J9462" t="s">
        <v>3881</v>
      </c>
      <c r="K9462" t="s">
        <v>35752</v>
      </c>
      <c r="N9462" t="s">
        <v>35753</v>
      </c>
      <c r="Q9462">
        <v>0</v>
      </c>
      <c r="R9462">
        <v>0</v>
      </c>
      <c r="S9462">
        <v>0</v>
      </c>
      <c r="T9462" t="s">
        <v>35754</v>
      </c>
    </row>
    <row r="9463" spans="1:20" customFormat="1" ht="15" x14ac:dyDescent="0.25">
      <c r="A9463" t="s">
        <v>24</v>
      </c>
      <c r="B9463" t="s">
        <v>7220</v>
      </c>
      <c r="C9463" t="str">
        <f>"A0179912"</f>
        <v>A0179912</v>
      </c>
      <c r="D9463" t="s">
        <v>35755</v>
      </c>
      <c r="E9463" t="s">
        <v>35756</v>
      </c>
      <c r="F9463" t="s">
        <v>35757</v>
      </c>
      <c r="G9463" t="s">
        <v>153</v>
      </c>
      <c r="H9463">
        <v>84050</v>
      </c>
      <c r="I9463" t="s">
        <v>30</v>
      </c>
      <c r="J9463" t="s">
        <v>31</v>
      </c>
      <c r="K9463" t="s">
        <v>5885</v>
      </c>
      <c r="N9463" t="s">
        <v>35758</v>
      </c>
      <c r="Q9463">
        <v>0</v>
      </c>
      <c r="R9463">
        <v>56</v>
      </c>
      <c r="S9463">
        <v>0</v>
      </c>
      <c r="T9463" t="s">
        <v>35759</v>
      </c>
    </row>
    <row r="9464" spans="1:20" customFormat="1" ht="15" x14ac:dyDescent="0.25">
      <c r="A9464" t="s">
        <v>24</v>
      </c>
      <c r="B9464" t="s">
        <v>1849</v>
      </c>
      <c r="C9464" t="str">
        <f>"A0096650"</f>
        <v>A0096650</v>
      </c>
      <c r="D9464" t="s">
        <v>69850</v>
      </c>
      <c r="E9464" t="s">
        <v>69851</v>
      </c>
      <c r="F9464" t="s">
        <v>10100</v>
      </c>
      <c r="G9464" t="s">
        <v>214</v>
      </c>
      <c r="H9464">
        <v>27609</v>
      </c>
      <c r="I9464" t="s">
        <v>30</v>
      </c>
      <c r="J9464" t="s">
        <v>162</v>
      </c>
      <c r="K9464" t="s">
        <v>4809</v>
      </c>
      <c r="N9464" t="s">
        <v>69852</v>
      </c>
      <c r="Q9464">
        <v>0</v>
      </c>
      <c r="R9464">
        <v>333</v>
      </c>
      <c r="S9464">
        <v>0</v>
      </c>
      <c r="T9464" t="s">
        <v>69853</v>
      </c>
    </row>
    <row r="9465" spans="1:20" customFormat="1" ht="15" x14ac:dyDescent="0.25">
      <c r="A9465" t="s">
        <v>24</v>
      </c>
      <c r="B9465" t="s">
        <v>32773</v>
      </c>
      <c r="C9465" t="str">
        <f>"A0179911"</f>
        <v>A0179911</v>
      </c>
      <c r="D9465" t="s">
        <v>35765</v>
      </c>
      <c r="E9465" t="s">
        <v>35766</v>
      </c>
      <c r="F9465" t="s">
        <v>2971</v>
      </c>
      <c r="G9465" t="s">
        <v>880</v>
      </c>
      <c r="H9465">
        <v>37214</v>
      </c>
      <c r="I9465" t="s">
        <v>30</v>
      </c>
      <c r="J9465" t="s">
        <v>31</v>
      </c>
      <c r="K9465" t="s">
        <v>163</v>
      </c>
      <c r="N9465" t="s">
        <v>35767</v>
      </c>
      <c r="Q9465">
        <v>0</v>
      </c>
      <c r="R9465">
        <v>95</v>
      </c>
      <c r="S9465">
        <v>0</v>
      </c>
      <c r="T9465" t="s">
        <v>35768</v>
      </c>
    </row>
    <row r="9466" spans="1:20" customFormat="1" ht="15" x14ac:dyDescent="0.25">
      <c r="A9466" t="s">
        <v>24</v>
      </c>
      <c r="B9466" t="s">
        <v>193</v>
      </c>
      <c r="C9466" t="str">
        <f>"A0136999"</f>
        <v>A0136999</v>
      </c>
      <c r="D9466" t="s">
        <v>35769</v>
      </c>
      <c r="E9466" t="s">
        <v>35770</v>
      </c>
      <c r="F9466" t="s">
        <v>729</v>
      </c>
      <c r="G9466" t="s">
        <v>110</v>
      </c>
      <c r="H9466">
        <v>93103</v>
      </c>
      <c r="I9466" t="s">
        <v>30</v>
      </c>
      <c r="J9466" t="s">
        <v>31</v>
      </c>
      <c r="K9466" t="s">
        <v>163</v>
      </c>
      <c r="N9466" t="s">
        <v>35771</v>
      </c>
      <c r="Q9466">
        <v>0</v>
      </c>
      <c r="R9466">
        <v>33</v>
      </c>
      <c r="S9466">
        <v>0</v>
      </c>
      <c r="T9466" t="s">
        <v>35772</v>
      </c>
    </row>
    <row r="9467" spans="1:20" customFormat="1" ht="15" x14ac:dyDescent="0.25">
      <c r="A9467" t="s">
        <v>24</v>
      </c>
      <c r="B9467" t="s">
        <v>35773</v>
      </c>
      <c r="C9467" t="str">
        <f>"A0158609"</f>
        <v>A0158609</v>
      </c>
      <c r="D9467" t="s">
        <v>35774</v>
      </c>
      <c r="E9467" t="s">
        <v>35775</v>
      </c>
      <c r="F9467" t="s">
        <v>15249</v>
      </c>
      <c r="G9467" t="s">
        <v>110</v>
      </c>
      <c r="H9467">
        <v>95482</v>
      </c>
      <c r="I9467" t="s">
        <v>30</v>
      </c>
      <c r="J9467" t="s">
        <v>145</v>
      </c>
      <c r="K9467" t="s">
        <v>1353</v>
      </c>
      <c r="N9467" t="s">
        <v>35776</v>
      </c>
      <c r="Q9467">
        <v>0</v>
      </c>
      <c r="R9467">
        <v>55</v>
      </c>
      <c r="S9467">
        <v>0</v>
      </c>
      <c r="T9467" t="s">
        <v>35777</v>
      </c>
    </row>
    <row r="9468" spans="1:20" customFormat="1" ht="15" x14ac:dyDescent="0.25">
      <c r="A9468" t="s">
        <v>24</v>
      </c>
      <c r="B9468" t="s">
        <v>1567</v>
      </c>
      <c r="C9468" t="str">
        <f>"A0085496"</f>
        <v>A0085496</v>
      </c>
      <c r="D9468" t="s">
        <v>69854</v>
      </c>
      <c r="E9468" t="s">
        <v>69855</v>
      </c>
      <c r="F9468" t="s">
        <v>69856</v>
      </c>
      <c r="G9468" t="s">
        <v>289</v>
      </c>
      <c r="H9468">
        <v>60453</v>
      </c>
      <c r="I9468" t="s">
        <v>30</v>
      </c>
      <c r="J9468" t="s">
        <v>162</v>
      </c>
      <c r="K9468" t="s">
        <v>4809</v>
      </c>
      <c r="N9468" t="s">
        <v>69857</v>
      </c>
      <c r="Q9468">
        <v>0</v>
      </c>
      <c r="R9468">
        <v>182</v>
      </c>
      <c r="S9468">
        <v>0</v>
      </c>
      <c r="T9468" t="s">
        <v>69858</v>
      </c>
    </row>
    <row r="9469" spans="1:20" hidden="1" x14ac:dyDescent="0.25">
      <c r="A9469" s="3" t="s">
        <v>24</v>
      </c>
      <c r="B9469" s="3" t="s">
        <v>5435</v>
      </c>
      <c r="C9469" s="3" t="str">
        <f>"A0165481"</f>
        <v>A0165481</v>
      </c>
      <c r="D9469" s="3" t="s">
        <v>35781</v>
      </c>
      <c r="E9469" s="3" t="s">
        <v>35782</v>
      </c>
      <c r="F9469" s="3" t="s">
        <v>5438</v>
      </c>
      <c r="G9469" s="3" t="s">
        <v>5439</v>
      </c>
      <c r="H9469" s="3" t="s">
        <v>35783</v>
      </c>
      <c r="I9469" s="3" t="s">
        <v>1459</v>
      </c>
      <c r="J9469" s="3" t="s">
        <v>206</v>
      </c>
      <c r="K9469" s="3" t="s">
        <v>6459</v>
      </c>
      <c r="N9469" s="3" t="s">
        <v>35784</v>
      </c>
      <c r="Q9469" s="3">
        <v>0</v>
      </c>
      <c r="R9469" s="3">
        <v>192</v>
      </c>
      <c r="S9469" s="3">
        <v>0</v>
      </c>
      <c r="T9469" s="3" t="s">
        <v>35785</v>
      </c>
    </row>
    <row r="9470" spans="1:20" customFormat="1" ht="15" x14ac:dyDescent="0.25">
      <c r="A9470" t="s">
        <v>24</v>
      </c>
      <c r="B9470" t="s">
        <v>5830</v>
      </c>
      <c r="C9470" t="str">
        <f>"A0095702"</f>
        <v>A0095702</v>
      </c>
      <c r="D9470" t="s">
        <v>69859</v>
      </c>
      <c r="E9470" t="s">
        <v>69860</v>
      </c>
      <c r="F9470" t="s">
        <v>1326</v>
      </c>
      <c r="G9470" t="s">
        <v>81</v>
      </c>
      <c r="H9470">
        <v>34474</v>
      </c>
      <c r="I9470" t="s">
        <v>30</v>
      </c>
      <c r="J9470" t="s">
        <v>162</v>
      </c>
      <c r="K9470" t="s">
        <v>4809</v>
      </c>
      <c r="N9470" t="s">
        <v>69861</v>
      </c>
      <c r="Q9470">
        <v>0</v>
      </c>
      <c r="R9470">
        <v>196</v>
      </c>
      <c r="S9470">
        <v>0</v>
      </c>
      <c r="T9470" t="s">
        <v>69862</v>
      </c>
    </row>
    <row r="9471" spans="1:20" customFormat="1" ht="15" x14ac:dyDescent="0.25">
      <c r="A9471" t="s">
        <v>24</v>
      </c>
      <c r="B9471" t="s">
        <v>2221</v>
      </c>
      <c r="C9471" t="str">
        <f>"A0090081"</f>
        <v>A0090081</v>
      </c>
      <c r="D9471" t="s">
        <v>69863</v>
      </c>
      <c r="E9471" t="s">
        <v>69864</v>
      </c>
      <c r="F9471" t="s">
        <v>2557</v>
      </c>
      <c r="G9471" t="s">
        <v>110</v>
      </c>
      <c r="H9471">
        <v>92626</v>
      </c>
      <c r="I9471" t="s">
        <v>30</v>
      </c>
      <c r="J9471" t="s">
        <v>162</v>
      </c>
      <c r="K9471" t="s">
        <v>4809</v>
      </c>
      <c r="Q9471">
        <v>0</v>
      </c>
      <c r="R9471">
        <v>485</v>
      </c>
      <c r="S9471">
        <v>0</v>
      </c>
      <c r="T9471" t="s">
        <v>69865</v>
      </c>
    </row>
    <row r="9472" spans="1:20" customFormat="1" ht="15" hidden="1" x14ac:dyDescent="0.25">
      <c r="A9472" t="s">
        <v>24</v>
      </c>
      <c r="B9472" t="s">
        <v>193</v>
      </c>
      <c r="C9472" t="str">
        <f>"SF01238"</f>
        <v>SF01238</v>
      </c>
      <c r="D9472" t="s">
        <v>35797</v>
      </c>
      <c r="E9472" t="s">
        <v>35798</v>
      </c>
      <c r="F9472" t="s">
        <v>35799</v>
      </c>
      <c r="G9472" t="s">
        <v>2206</v>
      </c>
      <c r="H9472" t="s">
        <v>35800</v>
      </c>
      <c r="I9472" t="s">
        <v>1459</v>
      </c>
      <c r="J9472" t="s">
        <v>162</v>
      </c>
      <c r="K9472" t="s">
        <v>854</v>
      </c>
      <c r="N9472" t="s">
        <v>35801</v>
      </c>
      <c r="Q9472">
        <v>0</v>
      </c>
      <c r="R9472">
        <v>161</v>
      </c>
      <c r="S9472">
        <v>0</v>
      </c>
      <c r="T9472" t="s">
        <v>35802</v>
      </c>
    </row>
    <row r="9473" spans="1:25" customFormat="1" ht="15" x14ac:dyDescent="0.25">
      <c r="A9473" t="s">
        <v>24</v>
      </c>
      <c r="B9473" t="s">
        <v>35803</v>
      </c>
      <c r="C9473" t="str">
        <f>"A0146663"</f>
        <v>A0146663</v>
      </c>
      <c r="D9473" t="s">
        <v>35804</v>
      </c>
      <c r="E9473" t="s">
        <v>35805</v>
      </c>
      <c r="F9473" t="s">
        <v>35806</v>
      </c>
      <c r="G9473" t="s">
        <v>71</v>
      </c>
      <c r="H9473">
        <v>54806</v>
      </c>
      <c r="I9473" t="s">
        <v>30</v>
      </c>
      <c r="J9473" t="s">
        <v>31</v>
      </c>
      <c r="K9473" t="s">
        <v>5869</v>
      </c>
      <c r="N9473" t="s">
        <v>35807</v>
      </c>
      <c r="Q9473">
        <v>0</v>
      </c>
      <c r="R9473">
        <v>51</v>
      </c>
      <c r="S9473">
        <v>0</v>
      </c>
      <c r="T9473" t="s">
        <v>35808</v>
      </c>
    </row>
    <row r="9474" spans="1:25" customFormat="1" ht="15" x14ac:dyDescent="0.25">
      <c r="A9474" t="s">
        <v>24</v>
      </c>
      <c r="B9474" t="s">
        <v>1205</v>
      </c>
      <c r="C9474" t="str">
        <f>"A0084545"</f>
        <v>A0084545</v>
      </c>
      <c r="D9474" t="s">
        <v>69866</v>
      </c>
      <c r="E9474" t="s">
        <v>69867</v>
      </c>
      <c r="F9474" t="s">
        <v>68101</v>
      </c>
      <c r="G9474" t="s">
        <v>289</v>
      </c>
      <c r="H9474">
        <v>60201</v>
      </c>
      <c r="I9474" t="s">
        <v>30</v>
      </c>
      <c r="J9474" t="s">
        <v>162</v>
      </c>
      <c r="K9474" t="s">
        <v>4809</v>
      </c>
      <c r="N9474" t="s">
        <v>69868</v>
      </c>
      <c r="Q9474">
        <v>0</v>
      </c>
      <c r="R9474">
        <v>269</v>
      </c>
      <c r="S9474">
        <v>0</v>
      </c>
      <c r="T9474" t="s">
        <v>69869</v>
      </c>
    </row>
    <row r="9475" spans="1:25" customFormat="1" ht="15" x14ac:dyDescent="0.25">
      <c r="A9475" t="s">
        <v>24</v>
      </c>
      <c r="B9475" t="s">
        <v>62746</v>
      </c>
      <c r="C9475" t="str">
        <f>"A0165077"</f>
        <v>A0165077</v>
      </c>
      <c r="D9475" t="s">
        <v>69870</v>
      </c>
      <c r="E9475" t="s">
        <v>69871</v>
      </c>
      <c r="F9475" t="s">
        <v>6859</v>
      </c>
      <c r="G9475" t="s">
        <v>81</v>
      </c>
      <c r="H9475">
        <v>33406</v>
      </c>
      <c r="I9475" t="s">
        <v>30</v>
      </c>
      <c r="J9475" t="s">
        <v>162</v>
      </c>
      <c r="K9475" t="s">
        <v>4809</v>
      </c>
      <c r="N9475" t="s">
        <v>69872</v>
      </c>
      <c r="O9475" t="s">
        <v>69873</v>
      </c>
      <c r="Q9475">
        <v>0</v>
      </c>
      <c r="R9475">
        <v>249</v>
      </c>
      <c r="S9475">
        <v>0</v>
      </c>
      <c r="T9475" t="s">
        <v>69874</v>
      </c>
    </row>
    <row r="9476" spans="1:25" x14ac:dyDescent="0.25">
      <c r="A9476" s="5" t="s">
        <v>24</v>
      </c>
      <c r="B9476" s="5" t="s">
        <v>2221</v>
      </c>
      <c r="C9476" s="5" t="str">
        <f>"A0073615"</f>
        <v>A0073615</v>
      </c>
      <c r="D9476" s="5" t="s">
        <v>69875</v>
      </c>
      <c r="E9476" s="5" t="s">
        <v>68445</v>
      </c>
      <c r="F9476" s="5" t="s">
        <v>2506</v>
      </c>
      <c r="G9476" s="5" t="s">
        <v>338</v>
      </c>
      <c r="H9476" s="5">
        <v>7054</v>
      </c>
      <c r="I9476" s="5" t="s">
        <v>30</v>
      </c>
      <c r="J9476" s="5" t="s">
        <v>162</v>
      </c>
      <c r="K9476" s="5" t="s">
        <v>4809</v>
      </c>
      <c r="L9476" s="5"/>
      <c r="M9476" s="5"/>
      <c r="N9476" s="5" t="s">
        <v>68446</v>
      </c>
      <c r="O9476" s="5" t="s">
        <v>69876</v>
      </c>
      <c r="P9476" s="5"/>
      <c r="Q9476" s="5">
        <v>0</v>
      </c>
      <c r="R9476" s="5">
        <v>353</v>
      </c>
      <c r="S9476" s="5">
        <v>0</v>
      </c>
      <c r="T9476" s="5" t="s">
        <v>69877</v>
      </c>
      <c r="U9476" s="5"/>
      <c r="V9476" s="5"/>
      <c r="W9476" s="5"/>
      <c r="X9476" s="5"/>
      <c r="Y9476" s="5"/>
    </row>
    <row r="9477" spans="1:25" customFormat="1" ht="15" x14ac:dyDescent="0.25">
      <c r="A9477" t="s">
        <v>24</v>
      </c>
      <c r="B9477" t="s">
        <v>35822</v>
      </c>
      <c r="C9477" t="str">
        <f>"A0075960"</f>
        <v>A0075960</v>
      </c>
      <c r="D9477" t="s">
        <v>35823</v>
      </c>
      <c r="E9477" t="s">
        <v>35824</v>
      </c>
      <c r="F9477" t="s">
        <v>35825</v>
      </c>
      <c r="G9477" t="s">
        <v>52</v>
      </c>
      <c r="H9477">
        <v>76542</v>
      </c>
      <c r="I9477" t="s">
        <v>30</v>
      </c>
      <c r="J9477" t="s">
        <v>31</v>
      </c>
      <c r="K9477" t="s">
        <v>222</v>
      </c>
      <c r="N9477" t="s">
        <v>35826</v>
      </c>
      <c r="Q9477">
        <v>0</v>
      </c>
      <c r="R9477">
        <v>79</v>
      </c>
      <c r="S9477">
        <v>0</v>
      </c>
      <c r="T9477" t="s">
        <v>35827</v>
      </c>
    </row>
    <row r="9478" spans="1:25" customFormat="1" ht="15" x14ac:dyDescent="0.25">
      <c r="A9478" t="s">
        <v>24</v>
      </c>
      <c r="B9478" t="s">
        <v>35822</v>
      </c>
      <c r="C9478" t="str">
        <f>"4324H"</f>
        <v>4324H</v>
      </c>
      <c r="D9478" t="s">
        <v>35828</v>
      </c>
      <c r="E9478" t="s">
        <v>35829</v>
      </c>
      <c r="F9478" t="s">
        <v>35825</v>
      </c>
      <c r="G9478" t="s">
        <v>52</v>
      </c>
      <c r="H9478">
        <v>76541</v>
      </c>
      <c r="I9478" t="s">
        <v>30</v>
      </c>
      <c r="J9478" t="s">
        <v>31</v>
      </c>
      <c r="K9478" t="s">
        <v>32</v>
      </c>
      <c r="N9478" t="s">
        <v>35830</v>
      </c>
      <c r="O9478" t="s">
        <v>35831</v>
      </c>
      <c r="Q9478">
        <v>0</v>
      </c>
      <c r="R9478">
        <v>86</v>
      </c>
      <c r="S9478">
        <v>0</v>
      </c>
      <c r="T9478" t="s">
        <v>35832</v>
      </c>
    </row>
    <row r="9479" spans="1:25" customFormat="1" ht="15" x14ac:dyDescent="0.25">
      <c r="A9479" t="s">
        <v>24</v>
      </c>
      <c r="B9479" t="s">
        <v>35833</v>
      </c>
      <c r="C9479" t="str">
        <f>"A0179590"</f>
        <v>A0179590</v>
      </c>
      <c r="D9479" t="s">
        <v>35834</v>
      </c>
      <c r="E9479" t="s">
        <v>35835</v>
      </c>
      <c r="F9479" t="s">
        <v>34042</v>
      </c>
      <c r="G9479" t="s">
        <v>1706</v>
      </c>
      <c r="H9479">
        <v>35401</v>
      </c>
      <c r="I9479" t="s">
        <v>30</v>
      </c>
      <c r="J9479" t="s">
        <v>9545</v>
      </c>
      <c r="K9479" t="s">
        <v>163</v>
      </c>
      <c r="N9479" t="s">
        <v>35836</v>
      </c>
      <c r="Q9479">
        <v>0</v>
      </c>
      <c r="R9479">
        <v>79</v>
      </c>
      <c r="S9479">
        <v>0</v>
      </c>
      <c r="T9479" t="s">
        <v>35837</v>
      </c>
    </row>
    <row r="9480" spans="1:25" customFormat="1" ht="15" x14ac:dyDescent="0.25">
      <c r="A9480" t="s">
        <v>24</v>
      </c>
      <c r="B9480" t="s">
        <v>1849</v>
      </c>
      <c r="C9480" t="str">
        <f>"HY09576"</f>
        <v>HY09576</v>
      </c>
      <c r="D9480" t="s">
        <v>69878</v>
      </c>
      <c r="E9480" t="s">
        <v>69879</v>
      </c>
      <c r="F9480" t="s">
        <v>9812</v>
      </c>
      <c r="G9480" t="s">
        <v>103</v>
      </c>
      <c r="H9480">
        <v>19106</v>
      </c>
      <c r="I9480" t="s">
        <v>30</v>
      </c>
      <c r="J9480" t="s">
        <v>162</v>
      </c>
      <c r="K9480" t="s">
        <v>4809</v>
      </c>
      <c r="N9480" t="s">
        <v>69880</v>
      </c>
      <c r="O9480" t="s">
        <v>69881</v>
      </c>
      <c r="Q9480">
        <v>0</v>
      </c>
      <c r="R9480">
        <v>345</v>
      </c>
      <c r="S9480">
        <v>0</v>
      </c>
      <c r="T9480" t="s">
        <v>69882</v>
      </c>
    </row>
    <row r="9481" spans="1:25" customFormat="1" ht="15" x14ac:dyDescent="0.25">
      <c r="A9481" t="s">
        <v>24</v>
      </c>
      <c r="B9481" t="s">
        <v>1561</v>
      </c>
      <c r="C9481" t="str">
        <f>"A0095645"</f>
        <v>A0095645</v>
      </c>
      <c r="D9481" t="s">
        <v>69883</v>
      </c>
      <c r="E9481" t="s">
        <v>69884</v>
      </c>
      <c r="F9481" t="s">
        <v>34458</v>
      </c>
      <c r="G9481" t="s">
        <v>197</v>
      </c>
      <c r="H9481">
        <v>85224</v>
      </c>
      <c r="I9481" t="s">
        <v>30</v>
      </c>
      <c r="J9481" t="s">
        <v>162</v>
      </c>
      <c r="K9481" t="s">
        <v>4809</v>
      </c>
      <c r="N9481" t="s">
        <v>69885</v>
      </c>
      <c r="Q9481">
        <v>0</v>
      </c>
      <c r="R9481">
        <v>197</v>
      </c>
      <c r="S9481">
        <v>0</v>
      </c>
      <c r="T9481" t="s">
        <v>69886</v>
      </c>
    </row>
    <row r="9482" spans="1:25" hidden="1" x14ac:dyDescent="0.25">
      <c r="A9482" s="3" t="s">
        <v>24</v>
      </c>
      <c r="B9482" s="3" t="s">
        <v>6635</v>
      </c>
      <c r="C9482" s="3" t="str">
        <f>"A0094206"</f>
        <v>A0094206</v>
      </c>
      <c r="D9482" s="3" t="s">
        <v>35846</v>
      </c>
      <c r="E9482" s="3" t="s">
        <v>9839</v>
      </c>
      <c r="F9482" s="3" t="s">
        <v>5142</v>
      </c>
      <c r="G9482" s="3" t="s">
        <v>5143</v>
      </c>
      <c r="H9482" s="3" t="s">
        <v>5144</v>
      </c>
      <c r="I9482" s="3" t="s">
        <v>5145</v>
      </c>
      <c r="J9482" s="3" t="s">
        <v>206</v>
      </c>
      <c r="K9482" s="3" t="s">
        <v>163</v>
      </c>
      <c r="N9482" s="3" t="s">
        <v>35847</v>
      </c>
      <c r="O9482" s="3" t="s">
        <v>35848</v>
      </c>
      <c r="Q9482" s="3">
        <v>0</v>
      </c>
      <c r="R9482" s="3">
        <v>237</v>
      </c>
      <c r="S9482" s="3">
        <v>0</v>
      </c>
      <c r="T9482" s="3" t="s">
        <v>35849</v>
      </c>
    </row>
    <row r="9483" spans="1:25" customFormat="1" ht="15" x14ac:dyDescent="0.25">
      <c r="A9483" t="s">
        <v>24</v>
      </c>
      <c r="B9483" t="s">
        <v>1548</v>
      </c>
      <c r="C9483" t="str">
        <f>"A0057522"</f>
        <v>A0057522</v>
      </c>
      <c r="D9483" t="s">
        <v>69887</v>
      </c>
      <c r="E9483" t="s">
        <v>69888</v>
      </c>
      <c r="F9483" t="s">
        <v>196</v>
      </c>
      <c r="G9483" t="s">
        <v>197</v>
      </c>
      <c r="H9483">
        <v>85020</v>
      </c>
      <c r="I9483" t="s">
        <v>30</v>
      </c>
      <c r="J9483" t="s">
        <v>162</v>
      </c>
      <c r="K9483" t="s">
        <v>4809</v>
      </c>
      <c r="N9483" t="s">
        <v>69889</v>
      </c>
      <c r="Q9483">
        <v>0</v>
      </c>
      <c r="R9483">
        <v>563</v>
      </c>
      <c r="S9483">
        <v>0</v>
      </c>
      <c r="T9483" t="s">
        <v>69890</v>
      </c>
    </row>
    <row r="9484" spans="1:25" customFormat="1" ht="15" x14ac:dyDescent="0.25">
      <c r="A9484" t="s">
        <v>35</v>
      </c>
      <c r="B9484" t="s">
        <v>61</v>
      </c>
      <c r="C9484" t="str">
        <f>"A0130449"</f>
        <v>A0130449</v>
      </c>
      <c r="D9484" t="s">
        <v>35855</v>
      </c>
      <c r="E9484" t="s">
        <v>35856</v>
      </c>
      <c r="F9484" t="s">
        <v>22189</v>
      </c>
      <c r="G9484" t="s">
        <v>1898</v>
      </c>
      <c r="H9484">
        <v>51104</v>
      </c>
      <c r="I9484" t="s">
        <v>30</v>
      </c>
      <c r="J9484" t="s">
        <v>41</v>
      </c>
      <c r="K9484" t="s">
        <v>229</v>
      </c>
      <c r="Q9484">
        <v>0</v>
      </c>
      <c r="R9484">
        <v>75</v>
      </c>
      <c r="S9484">
        <v>120</v>
      </c>
      <c r="T9484" t="s">
        <v>35857</v>
      </c>
    </row>
    <row r="9485" spans="1:25" customFormat="1" ht="15" x14ac:dyDescent="0.25">
      <c r="A9485" t="s">
        <v>24</v>
      </c>
      <c r="B9485" t="s">
        <v>11484</v>
      </c>
      <c r="C9485" t="str">
        <f>"A0100258"</f>
        <v>A0100258</v>
      </c>
      <c r="D9485" t="s">
        <v>69891</v>
      </c>
      <c r="E9485" t="s">
        <v>69892</v>
      </c>
      <c r="F9485" t="s">
        <v>5620</v>
      </c>
      <c r="G9485" t="s">
        <v>29</v>
      </c>
      <c r="H9485">
        <v>23219</v>
      </c>
      <c r="I9485" t="s">
        <v>30</v>
      </c>
      <c r="J9485" t="s">
        <v>162</v>
      </c>
      <c r="K9485" t="s">
        <v>4809</v>
      </c>
      <c r="N9485" t="s">
        <v>69893</v>
      </c>
      <c r="O9485" t="s">
        <v>69894</v>
      </c>
      <c r="Q9485">
        <v>0</v>
      </c>
      <c r="R9485">
        <v>250</v>
      </c>
      <c r="S9485">
        <v>0</v>
      </c>
      <c r="T9485" t="s">
        <v>69895</v>
      </c>
    </row>
    <row r="9486" spans="1:25" customFormat="1" ht="15" x14ac:dyDescent="0.25">
      <c r="A9486" t="s">
        <v>24</v>
      </c>
      <c r="B9486" t="s">
        <v>193</v>
      </c>
      <c r="C9486" t="str">
        <f>"CL1591"</f>
        <v>CL1591</v>
      </c>
      <c r="D9486" t="s">
        <v>35864</v>
      </c>
      <c r="E9486" t="s">
        <v>35865</v>
      </c>
      <c r="F9486" t="s">
        <v>2443</v>
      </c>
      <c r="G9486" t="s">
        <v>81</v>
      </c>
      <c r="H9486">
        <v>32256</v>
      </c>
      <c r="I9486" t="s">
        <v>30</v>
      </c>
      <c r="J9486" t="s">
        <v>178</v>
      </c>
      <c r="K9486" t="s">
        <v>163</v>
      </c>
      <c r="N9486" t="s">
        <v>35866</v>
      </c>
      <c r="P9486" t="s">
        <v>992</v>
      </c>
      <c r="Q9486">
        <v>1</v>
      </c>
      <c r="R9486">
        <v>0</v>
      </c>
      <c r="S9486">
        <v>0</v>
      </c>
      <c r="T9486" t="s">
        <v>35867</v>
      </c>
    </row>
    <row r="9487" spans="1:25" customFormat="1" ht="15" x14ac:dyDescent="0.25">
      <c r="A9487" t="s">
        <v>24</v>
      </c>
      <c r="B9487" t="s">
        <v>1548</v>
      </c>
      <c r="C9487" t="str">
        <f>"A0071866"</f>
        <v>A0071866</v>
      </c>
      <c r="D9487" t="s">
        <v>69896</v>
      </c>
      <c r="E9487" t="s">
        <v>69897</v>
      </c>
      <c r="F9487" t="s">
        <v>356</v>
      </c>
      <c r="G9487" t="s">
        <v>52</v>
      </c>
      <c r="H9487">
        <v>78251</v>
      </c>
      <c r="I9487" t="s">
        <v>30</v>
      </c>
      <c r="J9487" t="s">
        <v>162</v>
      </c>
      <c r="K9487" t="s">
        <v>4809</v>
      </c>
      <c r="N9487" t="s">
        <v>34047</v>
      </c>
      <c r="Q9487">
        <v>0</v>
      </c>
      <c r="R9487">
        <v>226</v>
      </c>
      <c r="S9487">
        <v>0</v>
      </c>
      <c r="T9487" t="s">
        <v>69898</v>
      </c>
    </row>
    <row r="9488" spans="1:25" customFormat="1" ht="15" x14ac:dyDescent="0.25">
      <c r="A9488" t="s">
        <v>24</v>
      </c>
      <c r="B9488" t="s">
        <v>34039</v>
      </c>
      <c r="C9488" t="str">
        <f>"A0179570"</f>
        <v>A0179570</v>
      </c>
      <c r="D9488" t="s">
        <v>35872</v>
      </c>
      <c r="E9488" t="s">
        <v>35873</v>
      </c>
      <c r="F9488" t="s">
        <v>35874</v>
      </c>
      <c r="G9488" t="s">
        <v>338</v>
      </c>
      <c r="H9488">
        <v>7470</v>
      </c>
      <c r="I9488" t="s">
        <v>30</v>
      </c>
      <c r="J9488" t="s">
        <v>31</v>
      </c>
      <c r="K9488" t="s">
        <v>261</v>
      </c>
      <c r="N9488" t="s">
        <v>35875</v>
      </c>
      <c r="Q9488">
        <v>0</v>
      </c>
      <c r="R9488">
        <v>120</v>
      </c>
      <c r="S9488">
        <v>0</v>
      </c>
      <c r="T9488" t="s">
        <v>35876</v>
      </c>
    </row>
    <row r="9489" spans="1:20" customFormat="1" ht="15" x14ac:dyDescent="0.25">
      <c r="A9489" t="s">
        <v>35</v>
      </c>
      <c r="B9489" t="s">
        <v>61</v>
      </c>
      <c r="C9489" t="str">
        <f>"A0130182"</f>
        <v>A0130182</v>
      </c>
      <c r="D9489" t="s">
        <v>35877</v>
      </c>
      <c r="E9489" t="s">
        <v>35878</v>
      </c>
      <c r="F9489" t="s">
        <v>12497</v>
      </c>
      <c r="G9489" t="s">
        <v>71</v>
      </c>
      <c r="H9489">
        <v>54301</v>
      </c>
      <c r="I9489" t="s">
        <v>30</v>
      </c>
      <c r="J9489" t="s">
        <v>41</v>
      </c>
      <c r="K9489" t="s">
        <v>1032</v>
      </c>
      <c r="Q9489">
        <v>0</v>
      </c>
      <c r="R9489">
        <v>12</v>
      </c>
      <c r="S9489">
        <v>12</v>
      </c>
      <c r="T9489" t="s">
        <v>35879</v>
      </c>
    </row>
    <row r="9490" spans="1:20" customFormat="1" ht="15" x14ac:dyDescent="0.25">
      <c r="A9490" t="s">
        <v>35</v>
      </c>
      <c r="B9490" t="s">
        <v>61</v>
      </c>
      <c r="C9490" t="str">
        <f>"A0130180"</f>
        <v>A0130180</v>
      </c>
      <c r="D9490" t="s">
        <v>35880</v>
      </c>
      <c r="E9490" t="s">
        <v>35878</v>
      </c>
      <c r="F9490" t="s">
        <v>12497</v>
      </c>
      <c r="G9490" t="s">
        <v>71</v>
      </c>
      <c r="H9490">
        <v>54301</v>
      </c>
      <c r="I9490" t="s">
        <v>30</v>
      </c>
      <c r="J9490" t="s">
        <v>41</v>
      </c>
      <c r="K9490" t="s">
        <v>1032</v>
      </c>
      <c r="Q9490">
        <v>0</v>
      </c>
      <c r="R9490">
        <v>20</v>
      </c>
      <c r="S9490">
        <v>20</v>
      </c>
      <c r="T9490" t="s">
        <v>35881</v>
      </c>
    </row>
    <row r="9491" spans="1:20" customFormat="1" ht="15" x14ac:dyDescent="0.25">
      <c r="A9491" t="s">
        <v>24</v>
      </c>
      <c r="B9491" t="s">
        <v>814</v>
      </c>
      <c r="C9491" t="str">
        <f>"A0074205"</f>
        <v>A0074205</v>
      </c>
      <c r="D9491" t="s">
        <v>69899</v>
      </c>
      <c r="E9491" t="s">
        <v>69900</v>
      </c>
      <c r="F9491" t="s">
        <v>2978</v>
      </c>
      <c r="G9491" t="s">
        <v>110</v>
      </c>
      <c r="H9491">
        <v>92101</v>
      </c>
      <c r="I9491" t="s">
        <v>30</v>
      </c>
      <c r="J9491" t="s">
        <v>162</v>
      </c>
      <c r="K9491" t="s">
        <v>4809</v>
      </c>
      <c r="N9491" t="s">
        <v>69901</v>
      </c>
      <c r="Q9491">
        <v>0</v>
      </c>
      <c r="R9491">
        <v>286</v>
      </c>
      <c r="S9491">
        <v>0</v>
      </c>
      <c r="T9491" t="s">
        <v>69902</v>
      </c>
    </row>
    <row r="9492" spans="1:20" customFormat="1" ht="15" x14ac:dyDescent="0.25">
      <c r="A9492" t="s">
        <v>24</v>
      </c>
      <c r="B9492" t="s">
        <v>2221</v>
      </c>
      <c r="C9492" t="str">
        <f>"A0054527"</f>
        <v>A0054527</v>
      </c>
      <c r="D9492" t="s">
        <v>69903</v>
      </c>
      <c r="E9492" t="s">
        <v>69904</v>
      </c>
      <c r="F9492" t="s">
        <v>69905</v>
      </c>
      <c r="G9492" t="s">
        <v>110</v>
      </c>
      <c r="H9492">
        <v>95060</v>
      </c>
      <c r="I9492" t="s">
        <v>30</v>
      </c>
      <c r="J9492" t="s">
        <v>162</v>
      </c>
      <c r="K9492" t="s">
        <v>4809</v>
      </c>
      <c r="N9492" t="s">
        <v>69906</v>
      </c>
      <c r="O9492" t="s">
        <v>69907</v>
      </c>
      <c r="Q9492">
        <v>0</v>
      </c>
      <c r="R9492">
        <v>181</v>
      </c>
      <c r="S9492">
        <v>0</v>
      </c>
      <c r="T9492" t="s">
        <v>69908</v>
      </c>
    </row>
    <row r="9493" spans="1:20" customFormat="1" ht="15" x14ac:dyDescent="0.25">
      <c r="A9493" t="s">
        <v>24</v>
      </c>
      <c r="B9493" t="s">
        <v>9412</v>
      </c>
      <c r="C9493" t="str">
        <f>"A0179555"</f>
        <v>A0179555</v>
      </c>
      <c r="D9493" t="s">
        <v>2524</v>
      </c>
      <c r="E9493" t="s">
        <v>35892</v>
      </c>
      <c r="F9493" t="s">
        <v>35893</v>
      </c>
      <c r="G9493" t="s">
        <v>71</v>
      </c>
      <c r="H9493">
        <v>53549</v>
      </c>
      <c r="I9493" t="s">
        <v>30</v>
      </c>
      <c r="J9493" t="s">
        <v>31</v>
      </c>
      <c r="K9493" t="s">
        <v>2524</v>
      </c>
      <c r="N9493" t="s">
        <v>35894</v>
      </c>
      <c r="Q9493">
        <v>0</v>
      </c>
      <c r="R9493">
        <v>57</v>
      </c>
      <c r="S9493">
        <v>0</v>
      </c>
      <c r="T9493" t="s">
        <v>35895</v>
      </c>
    </row>
    <row r="9494" spans="1:20" customFormat="1" ht="15" x14ac:dyDescent="0.25">
      <c r="A9494" t="s">
        <v>24</v>
      </c>
      <c r="B9494" t="s">
        <v>13730</v>
      </c>
      <c r="C9494" t="str">
        <f>"A0075590"</f>
        <v>A0075590</v>
      </c>
      <c r="D9494" t="s">
        <v>69909</v>
      </c>
      <c r="E9494" t="s">
        <v>69910</v>
      </c>
      <c r="F9494" t="s">
        <v>1865</v>
      </c>
      <c r="G9494" t="s">
        <v>110</v>
      </c>
      <c r="H9494">
        <v>90401</v>
      </c>
      <c r="I9494" t="s">
        <v>30</v>
      </c>
      <c r="J9494" t="s">
        <v>162</v>
      </c>
      <c r="K9494" t="s">
        <v>4809</v>
      </c>
      <c r="N9494" t="s">
        <v>69911</v>
      </c>
      <c r="Q9494">
        <v>0</v>
      </c>
      <c r="R9494">
        <v>286</v>
      </c>
      <c r="S9494">
        <v>0</v>
      </c>
      <c r="T9494" t="s">
        <v>69912</v>
      </c>
    </row>
    <row r="9495" spans="1:20" customFormat="1" ht="15" x14ac:dyDescent="0.25">
      <c r="A9495" t="s">
        <v>24</v>
      </c>
      <c r="B9495" t="s">
        <v>174</v>
      </c>
      <c r="C9495" t="str">
        <f>"A0167125"</f>
        <v>A0167125</v>
      </c>
      <c r="D9495" t="s">
        <v>35900</v>
      </c>
      <c r="E9495" t="s">
        <v>35901</v>
      </c>
      <c r="F9495" t="s">
        <v>35902</v>
      </c>
      <c r="G9495" t="s">
        <v>71</v>
      </c>
      <c r="H9495">
        <v>53092</v>
      </c>
      <c r="I9495" t="s">
        <v>30</v>
      </c>
      <c r="J9495" t="s">
        <v>178</v>
      </c>
      <c r="K9495" t="s">
        <v>179</v>
      </c>
      <c r="N9495" t="s">
        <v>35903</v>
      </c>
      <c r="Q9495">
        <v>0</v>
      </c>
      <c r="R9495">
        <v>0</v>
      </c>
      <c r="S9495">
        <v>0</v>
      </c>
      <c r="T9495" t="s">
        <v>35904</v>
      </c>
    </row>
    <row r="9496" spans="1:20" customFormat="1" ht="15" x14ac:dyDescent="0.25">
      <c r="A9496" t="s">
        <v>24</v>
      </c>
      <c r="B9496" t="s">
        <v>174</v>
      </c>
      <c r="C9496" t="str">
        <f>"A0165873"</f>
        <v>A0165873</v>
      </c>
      <c r="D9496" t="s">
        <v>35905</v>
      </c>
      <c r="E9496" t="s">
        <v>35906</v>
      </c>
      <c r="F9496" t="s">
        <v>35907</v>
      </c>
      <c r="G9496" t="s">
        <v>81</v>
      </c>
      <c r="H9496">
        <v>33558</v>
      </c>
      <c r="I9496" t="s">
        <v>30</v>
      </c>
      <c r="J9496" t="s">
        <v>178</v>
      </c>
      <c r="K9496" t="s">
        <v>179</v>
      </c>
      <c r="N9496" t="s">
        <v>35908</v>
      </c>
      <c r="Q9496">
        <v>1</v>
      </c>
      <c r="R9496">
        <v>0</v>
      </c>
      <c r="S9496">
        <v>0</v>
      </c>
      <c r="T9496" t="s">
        <v>35909</v>
      </c>
    </row>
    <row r="9497" spans="1:20" customFormat="1" ht="15" x14ac:dyDescent="0.25">
      <c r="A9497" t="s">
        <v>24</v>
      </c>
      <c r="B9497" t="s">
        <v>174</v>
      </c>
      <c r="C9497" t="str">
        <f>"A0165860"</f>
        <v>A0165860</v>
      </c>
      <c r="D9497" t="s">
        <v>35910</v>
      </c>
      <c r="E9497" t="s">
        <v>35911</v>
      </c>
      <c r="F9497" t="s">
        <v>35912</v>
      </c>
      <c r="G9497" t="s">
        <v>58</v>
      </c>
      <c r="H9497">
        <v>29928</v>
      </c>
      <c r="I9497" t="s">
        <v>30</v>
      </c>
      <c r="J9497" t="s">
        <v>178</v>
      </c>
      <c r="K9497" t="s">
        <v>179</v>
      </c>
      <c r="N9497" t="s">
        <v>35913</v>
      </c>
      <c r="Q9497">
        <v>3</v>
      </c>
      <c r="R9497">
        <v>0</v>
      </c>
      <c r="S9497">
        <v>0</v>
      </c>
      <c r="T9497" t="s">
        <v>35914</v>
      </c>
    </row>
    <row r="9498" spans="1:20" customFormat="1" ht="15" x14ac:dyDescent="0.25">
      <c r="A9498" t="s">
        <v>24</v>
      </c>
      <c r="B9498" t="s">
        <v>174</v>
      </c>
      <c r="C9498" t="str">
        <f>"A0165858"</f>
        <v>A0165858</v>
      </c>
      <c r="D9498" t="s">
        <v>35915</v>
      </c>
      <c r="E9498" t="s">
        <v>35916</v>
      </c>
      <c r="F9498" t="s">
        <v>2808</v>
      </c>
      <c r="G9498" t="s">
        <v>58</v>
      </c>
      <c r="H9498">
        <v>29928</v>
      </c>
      <c r="I9498" t="s">
        <v>30</v>
      </c>
      <c r="J9498" t="s">
        <v>178</v>
      </c>
      <c r="K9498" t="s">
        <v>179</v>
      </c>
      <c r="N9498" t="s">
        <v>35913</v>
      </c>
      <c r="Q9498">
        <v>3</v>
      </c>
      <c r="R9498">
        <v>0</v>
      </c>
      <c r="S9498">
        <v>0</v>
      </c>
      <c r="T9498" t="s">
        <v>35917</v>
      </c>
    </row>
    <row r="9499" spans="1:20" customFormat="1" ht="15" x14ac:dyDescent="0.25">
      <c r="A9499" t="s">
        <v>24</v>
      </c>
      <c r="B9499" t="s">
        <v>174</v>
      </c>
      <c r="C9499" t="str">
        <f>"A0050052"</f>
        <v>A0050052</v>
      </c>
      <c r="D9499" t="s">
        <v>35918</v>
      </c>
      <c r="E9499" t="s">
        <v>35919</v>
      </c>
      <c r="F9499" t="s">
        <v>16350</v>
      </c>
      <c r="G9499" t="s">
        <v>29</v>
      </c>
      <c r="H9499">
        <v>23059</v>
      </c>
      <c r="I9499" t="s">
        <v>30</v>
      </c>
      <c r="J9499" t="s">
        <v>178</v>
      </c>
      <c r="K9499" t="s">
        <v>179</v>
      </c>
      <c r="N9499" t="s">
        <v>35920</v>
      </c>
      <c r="Q9499">
        <v>1</v>
      </c>
      <c r="R9499">
        <v>0</v>
      </c>
      <c r="S9499">
        <v>0</v>
      </c>
      <c r="T9499" t="s">
        <v>35921</v>
      </c>
    </row>
    <row r="9500" spans="1:20" customFormat="1" ht="15" x14ac:dyDescent="0.25">
      <c r="A9500" t="s">
        <v>24</v>
      </c>
      <c r="B9500" t="s">
        <v>174</v>
      </c>
      <c r="C9500" t="str">
        <f>"A0165859"</f>
        <v>A0165859</v>
      </c>
      <c r="D9500" t="s">
        <v>35922</v>
      </c>
      <c r="E9500" t="s">
        <v>35923</v>
      </c>
      <c r="F9500" t="s">
        <v>35912</v>
      </c>
      <c r="G9500" t="s">
        <v>58</v>
      </c>
      <c r="H9500">
        <v>29926</v>
      </c>
      <c r="I9500" t="s">
        <v>30</v>
      </c>
      <c r="J9500" t="s">
        <v>178</v>
      </c>
      <c r="K9500" t="s">
        <v>179</v>
      </c>
      <c r="N9500" t="s">
        <v>35913</v>
      </c>
      <c r="O9500" t="s">
        <v>35924</v>
      </c>
      <c r="Q9500">
        <v>1</v>
      </c>
      <c r="R9500">
        <v>0</v>
      </c>
      <c r="S9500">
        <v>0</v>
      </c>
      <c r="T9500" t="s">
        <v>35925</v>
      </c>
    </row>
    <row r="9501" spans="1:20" customFormat="1" ht="15" x14ac:dyDescent="0.25">
      <c r="A9501" t="s">
        <v>24</v>
      </c>
      <c r="B9501" t="s">
        <v>174</v>
      </c>
      <c r="C9501" t="str">
        <f>"A0048980"</f>
        <v>A0048980</v>
      </c>
      <c r="D9501" t="s">
        <v>35926</v>
      </c>
      <c r="E9501" t="s">
        <v>35927</v>
      </c>
      <c r="F9501" t="s">
        <v>709</v>
      </c>
      <c r="G9501" t="s">
        <v>81</v>
      </c>
      <c r="H9501">
        <v>34238</v>
      </c>
      <c r="I9501" t="s">
        <v>30</v>
      </c>
      <c r="J9501" t="s">
        <v>178</v>
      </c>
      <c r="K9501" t="s">
        <v>179</v>
      </c>
      <c r="N9501" t="s">
        <v>35928</v>
      </c>
      <c r="Q9501">
        <v>2</v>
      </c>
      <c r="R9501">
        <v>0</v>
      </c>
      <c r="S9501">
        <v>0</v>
      </c>
      <c r="T9501" t="s">
        <v>35929</v>
      </c>
    </row>
    <row r="9502" spans="1:20" customFormat="1" ht="15" x14ac:dyDescent="0.25">
      <c r="A9502" t="s">
        <v>35</v>
      </c>
      <c r="B9502" t="s">
        <v>106</v>
      </c>
      <c r="C9502" t="str">
        <f>"A0179553"</f>
        <v>A0179553</v>
      </c>
      <c r="D9502" t="s">
        <v>35930</v>
      </c>
      <c r="E9502" t="s">
        <v>35931</v>
      </c>
      <c r="F9502" t="s">
        <v>11695</v>
      </c>
      <c r="G9502" t="s">
        <v>117</v>
      </c>
      <c r="H9502">
        <v>49008</v>
      </c>
      <c r="I9502" t="s">
        <v>30</v>
      </c>
      <c r="J9502" t="s">
        <v>111</v>
      </c>
      <c r="K9502" t="s">
        <v>10012</v>
      </c>
      <c r="Q9502">
        <v>0</v>
      </c>
      <c r="R9502">
        <v>0</v>
      </c>
      <c r="S9502">
        <v>0</v>
      </c>
      <c r="T9502" t="s">
        <v>35932</v>
      </c>
    </row>
    <row r="9503" spans="1:20" customFormat="1" ht="15" x14ac:dyDescent="0.25">
      <c r="A9503" t="s">
        <v>35</v>
      </c>
      <c r="B9503" t="s">
        <v>225</v>
      </c>
      <c r="C9503" t="str">
        <f>"A0179552"</f>
        <v>A0179552</v>
      </c>
      <c r="D9503" t="s">
        <v>35933</v>
      </c>
      <c r="E9503" t="s">
        <v>35934</v>
      </c>
      <c r="F9503" t="s">
        <v>35935</v>
      </c>
      <c r="G9503" t="s">
        <v>2391</v>
      </c>
      <c r="H9503">
        <v>5641</v>
      </c>
      <c r="I9503" t="s">
        <v>30</v>
      </c>
      <c r="J9503" t="s">
        <v>41</v>
      </c>
      <c r="K9503" t="s">
        <v>229</v>
      </c>
      <c r="Q9503">
        <v>0</v>
      </c>
      <c r="R9503">
        <v>141</v>
      </c>
      <c r="S9503">
        <v>141</v>
      </c>
      <c r="T9503" t="s">
        <v>35936</v>
      </c>
    </row>
    <row r="9504" spans="1:20" customFormat="1" ht="15" x14ac:dyDescent="0.25">
      <c r="A9504" t="s">
        <v>35</v>
      </c>
      <c r="B9504" t="s">
        <v>225</v>
      </c>
      <c r="C9504" t="str">
        <f>"A0179551"</f>
        <v>A0179551</v>
      </c>
      <c r="D9504" t="s">
        <v>35937</v>
      </c>
      <c r="E9504" t="s">
        <v>35938</v>
      </c>
      <c r="F9504" t="s">
        <v>35939</v>
      </c>
      <c r="G9504" t="s">
        <v>2391</v>
      </c>
      <c r="H9504">
        <v>5819</v>
      </c>
      <c r="I9504" t="s">
        <v>30</v>
      </c>
      <c r="J9504" t="s">
        <v>41</v>
      </c>
      <c r="K9504" t="s">
        <v>229</v>
      </c>
      <c r="Q9504">
        <v>0</v>
      </c>
      <c r="R9504">
        <v>110</v>
      </c>
      <c r="S9504">
        <v>110</v>
      </c>
      <c r="T9504" t="s">
        <v>35940</v>
      </c>
    </row>
    <row r="9505" spans="1:20" customFormat="1" ht="15" x14ac:dyDescent="0.25">
      <c r="A9505" t="s">
        <v>35</v>
      </c>
      <c r="B9505" t="s">
        <v>225</v>
      </c>
      <c r="C9505" t="str">
        <f>"A0179550"</f>
        <v>A0179550</v>
      </c>
      <c r="D9505" t="s">
        <v>35941</v>
      </c>
      <c r="E9505" t="s">
        <v>35942</v>
      </c>
      <c r="F9505" t="s">
        <v>635</v>
      </c>
      <c r="G9505" t="s">
        <v>2391</v>
      </c>
      <c r="H9505">
        <v>5401</v>
      </c>
      <c r="I9505" t="s">
        <v>30</v>
      </c>
      <c r="J9505" t="s">
        <v>41</v>
      </c>
      <c r="K9505" t="s">
        <v>229</v>
      </c>
      <c r="Q9505">
        <v>0</v>
      </c>
      <c r="R9505">
        <v>126</v>
      </c>
      <c r="S9505">
        <v>126</v>
      </c>
      <c r="T9505" t="s">
        <v>35943</v>
      </c>
    </row>
    <row r="9506" spans="1:20" customFormat="1" ht="15" x14ac:dyDescent="0.25">
      <c r="A9506" t="s">
        <v>35</v>
      </c>
      <c r="B9506" t="s">
        <v>225</v>
      </c>
      <c r="C9506" t="str">
        <f>"A0179549"</f>
        <v>A0179549</v>
      </c>
      <c r="D9506" t="s">
        <v>35944</v>
      </c>
      <c r="E9506" t="s">
        <v>35945</v>
      </c>
      <c r="F9506" t="s">
        <v>35946</v>
      </c>
      <c r="G9506" t="s">
        <v>2391</v>
      </c>
      <c r="H9506">
        <v>5201</v>
      </c>
      <c r="I9506" t="s">
        <v>30</v>
      </c>
      <c r="J9506" t="s">
        <v>41</v>
      </c>
      <c r="K9506" t="s">
        <v>229</v>
      </c>
      <c r="Q9506">
        <v>0</v>
      </c>
      <c r="R9506">
        <v>100</v>
      </c>
      <c r="S9506">
        <v>100</v>
      </c>
      <c r="T9506" t="s">
        <v>35947</v>
      </c>
    </row>
    <row r="9507" spans="1:20" customFormat="1" ht="15" x14ac:dyDescent="0.25">
      <c r="A9507" t="s">
        <v>35</v>
      </c>
      <c r="B9507" t="s">
        <v>225</v>
      </c>
      <c r="C9507" t="str">
        <f>"A0179548"</f>
        <v>A0179548</v>
      </c>
      <c r="D9507" t="s">
        <v>35948</v>
      </c>
      <c r="E9507" t="s">
        <v>35949</v>
      </c>
      <c r="F9507" t="s">
        <v>1755</v>
      </c>
      <c r="G9507" t="s">
        <v>2391</v>
      </c>
      <c r="H9507">
        <v>5156</v>
      </c>
      <c r="I9507" t="s">
        <v>30</v>
      </c>
      <c r="J9507" t="s">
        <v>41</v>
      </c>
      <c r="K9507" t="s">
        <v>229</v>
      </c>
      <c r="Q9507">
        <v>0</v>
      </c>
      <c r="R9507">
        <v>102</v>
      </c>
      <c r="S9507">
        <v>102</v>
      </c>
      <c r="T9507" t="s">
        <v>35950</v>
      </c>
    </row>
    <row r="9508" spans="1:20" customFormat="1" ht="15" x14ac:dyDescent="0.25">
      <c r="A9508" t="s">
        <v>35</v>
      </c>
      <c r="B9508" t="s">
        <v>35951</v>
      </c>
      <c r="C9508" t="str">
        <f>"A0179547"</f>
        <v>A0179547</v>
      </c>
      <c r="D9508" t="s">
        <v>35952</v>
      </c>
      <c r="E9508" t="s">
        <v>35953</v>
      </c>
      <c r="F9508" t="s">
        <v>35954</v>
      </c>
      <c r="G9508" t="s">
        <v>65</v>
      </c>
      <c r="H9508">
        <v>44024</v>
      </c>
      <c r="I9508" t="s">
        <v>30</v>
      </c>
      <c r="J9508" t="s">
        <v>41</v>
      </c>
      <c r="K9508" t="s">
        <v>59</v>
      </c>
      <c r="Q9508">
        <v>0</v>
      </c>
      <c r="R9508">
        <v>100</v>
      </c>
      <c r="S9508">
        <v>100</v>
      </c>
      <c r="T9508" t="s">
        <v>35955</v>
      </c>
    </row>
    <row r="9509" spans="1:20" customFormat="1" ht="15" x14ac:dyDescent="0.25">
      <c r="A9509" t="s">
        <v>35</v>
      </c>
      <c r="B9509" t="s">
        <v>61</v>
      </c>
      <c r="C9509" t="str">
        <f>"A0179546"</f>
        <v>A0179546</v>
      </c>
      <c r="D9509" t="s">
        <v>35956</v>
      </c>
      <c r="E9509" t="s">
        <v>35957</v>
      </c>
      <c r="F9509" t="s">
        <v>35958</v>
      </c>
      <c r="G9509" t="s">
        <v>507</v>
      </c>
      <c r="H9509">
        <v>26062</v>
      </c>
      <c r="I9509" t="s">
        <v>30</v>
      </c>
      <c r="J9509" t="s">
        <v>41</v>
      </c>
      <c r="K9509" t="s">
        <v>59</v>
      </c>
      <c r="Q9509">
        <v>0</v>
      </c>
      <c r="R9509">
        <v>31</v>
      </c>
      <c r="S9509">
        <v>31</v>
      </c>
      <c r="T9509" t="s">
        <v>35959</v>
      </c>
    </row>
    <row r="9510" spans="1:20" customFormat="1" ht="15" x14ac:dyDescent="0.25">
      <c r="A9510" t="s">
        <v>35</v>
      </c>
      <c r="B9510" t="s">
        <v>1797</v>
      </c>
      <c r="C9510" t="str">
        <f>"A0179545"</f>
        <v>A0179545</v>
      </c>
      <c r="D9510" t="s">
        <v>35960</v>
      </c>
      <c r="E9510" t="s">
        <v>35961</v>
      </c>
      <c r="F9510" t="s">
        <v>35962</v>
      </c>
      <c r="G9510" t="s">
        <v>117</v>
      </c>
      <c r="H9510">
        <v>48189</v>
      </c>
      <c r="I9510" t="s">
        <v>30</v>
      </c>
      <c r="J9510" t="s">
        <v>41</v>
      </c>
      <c r="K9510" t="s">
        <v>59</v>
      </c>
      <c r="Q9510">
        <v>0</v>
      </c>
      <c r="R9510">
        <v>78</v>
      </c>
      <c r="S9510">
        <v>78</v>
      </c>
      <c r="T9510" t="s">
        <v>35963</v>
      </c>
    </row>
    <row r="9511" spans="1:20" customFormat="1" ht="15" x14ac:dyDescent="0.25">
      <c r="A9511" t="s">
        <v>35</v>
      </c>
      <c r="B9511" t="s">
        <v>7774</v>
      </c>
      <c r="C9511" t="str">
        <f>"A0179544"</f>
        <v>A0179544</v>
      </c>
      <c r="D9511" t="s">
        <v>35964</v>
      </c>
      <c r="E9511" t="s">
        <v>35965</v>
      </c>
      <c r="F9511" t="s">
        <v>967</v>
      </c>
      <c r="G9511" t="s">
        <v>65</v>
      </c>
      <c r="H9511">
        <v>44805</v>
      </c>
      <c r="I9511" t="s">
        <v>30</v>
      </c>
      <c r="J9511" t="s">
        <v>41</v>
      </c>
      <c r="K9511" t="s">
        <v>59</v>
      </c>
      <c r="Q9511">
        <v>0</v>
      </c>
      <c r="R9511">
        <v>16</v>
      </c>
      <c r="S9511">
        <v>16</v>
      </c>
      <c r="T9511" t="s">
        <v>35966</v>
      </c>
    </row>
    <row r="9512" spans="1:20" customFormat="1" ht="15" x14ac:dyDescent="0.25">
      <c r="A9512" t="s">
        <v>35</v>
      </c>
      <c r="B9512" t="s">
        <v>61</v>
      </c>
      <c r="C9512" t="str">
        <f>"A0179543"</f>
        <v>A0179543</v>
      </c>
      <c r="D9512" t="s">
        <v>35967</v>
      </c>
      <c r="E9512" t="s">
        <v>35968</v>
      </c>
      <c r="F9512" t="s">
        <v>35969</v>
      </c>
      <c r="G9512" t="s">
        <v>137</v>
      </c>
      <c r="H9512">
        <v>63965</v>
      </c>
      <c r="I9512" t="s">
        <v>30</v>
      </c>
      <c r="J9512" t="s">
        <v>41</v>
      </c>
      <c r="K9512" t="s">
        <v>59</v>
      </c>
      <c r="Q9512">
        <v>0</v>
      </c>
      <c r="R9512">
        <v>24</v>
      </c>
      <c r="S9512">
        <v>24</v>
      </c>
      <c r="T9512" t="s">
        <v>35970</v>
      </c>
    </row>
    <row r="9513" spans="1:20" customFormat="1" ht="15" x14ac:dyDescent="0.25">
      <c r="A9513" t="s">
        <v>35</v>
      </c>
      <c r="B9513" t="s">
        <v>1638</v>
      </c>
      <c r="C9513" t="str">
        <f>"A0179542"</f>
        <v>A0179542</v>
      </c>
      <c r="D9513" t="s">
        <v>35971</v>
      </c>
      <c r="E9513" t="s">
        <v>35972</v>
      </c>
      <c r="F9513" t="s">
        <v>12532</v>
      </c>
      <c r="G9513" t="s">
        <v>117</v>
      </c>
      <c r="H9513">
        <v>49203</v>
      </c>
      <c r="I9513" t="s">
        <v>30</v>
      </c>
      <c r="J9513" t="s">
        <v>41</v>
      </c>
      <c r="K9513" t="s">
        <v>59</v>
      </c>
      <c r="Q9513">
        <v>0</v>
      </c>
      <c r="R9513">
        <v>100</v>
      </c>
      <c r="S9513">
        <v>100</v>
      </c>
      <c r="T9513" t="s">
        <v>35973</v>
      </c>
    </row>
    <row r="9514" spans="1:20" customFormat="1" ht="15" x14ac:dyDescent="0.25">
      <c r="A9514" t="s">
        <v>35</v>
      </c>
      <c r="B9514" t="s">
        <v>1918</v>
      </c>
      <c r="C9514" t="str">
        <f>"A0179541"</f>
        <v>A0179541</v>
      </c>
      <c r="D9514" t="s">
        <v>35974</v>
      </c>
      <c r="E9514" t="s">
        <v>35975</v>
      </c>
      <c r="F9514" t="s">
        <v>1136</v>
      </c>
      <c r="G9514" t="s">
        <v>110</v>
      </c>
      <c r="H9514">
        <v>94306</v>
      </c>
      <c r="I9514" t="s">
        <v>30</v>
      </c>
      <c r="J9514" t="s">
        <v>441</v>
      </c>
      <c r="K9514" t="s">
        <v>442</v>
      </c>
      <c r="Q9514">
        <v>0</v>
      </c>
      <c r="R9514">
        <v>0</v>
      </c>
      <c r="S9514">
        <v>0</v>
      </c>
      <c r="T9514" t="s">
        <v>35976</v>
      </c>
    </row>
    <row r="9515" spans="1:20" customFormat="1" ht="15" x14ac:dyDescent="0.25">
      <c r="A9515" t="s">
        <v>35</v>
      </c>
      <c r="B9515" t="s">
        <v>35977</v>
      </c>
      <c r="C9515" t="str">
        <f>"A0179540"</f>
        <v>A0179540</v>
      </c>
      <c r="D9515" t="s">
        <v>35978</v>
      </c>
      <c r="E9515" t="s">
        <v>35979</v>
      </c>
      <c r="F9515" t="s">
        <v>11686</v>
      </c>
      <c r="G9515" t="s">
        <v>29</v>
      </c>
      <c r="H9515">
        <v>22801</v>
      </c>
      <c r="I9515" t="s">
        <v>30</v>
      </c>
      <c r="J9515" t="s">
        <v>41</v>
      </c>
      <c r="K9515" t="s">
        <v>4272</v>
      </c>
      <c r="Q9515">
        <v>0</v>
      </c>
      <c r="R9515">
        <v>100</v>
      </c>
      <c r="S9515">
        <v>100</v>
      </c>
      <c r="T9515" t="s">
        <v>35980</v>
      </c>
    </row>
    <row r="9516" spans="1:20" customFormat="1" ht="15" x14ac:dyDescent="0.25">
      <c r="A9516" t="s">
        <v>35</v>
      </c>
      <c r="B9516" t="s">
        <v>35981</v>
      </c>
      <c r="C9516" t="str">
        <f>"A0179539"</f>
        <v>A0179539</v>
      </c>
      <c r="D9516" t="s">
        <v>35982</v>
      </c>
      <c r="E9516" t="s">
        <v>35983</v>
      </c>
      <c r="F9516" t="s">
        <v>2623</v>
      </c>
      <c r="G9516" t="s">
        <v>65</v>
      </c>
      <c r="H9516">
        <v>43050</v>
      </c>
      <c r="I9516" t="s">
        <v>30</v>
      </c>
      <c r="J9516" t="s">
        <v>41</v>
      </c>
      <c r="K9516" t="s">
        <v>456</v>
      </c>
      <c r="Q9516">
        <v>0</v>
      </c>
      <c r="R9516">
        <v>0</v>
      </c>
      <c r="S9516">
        <v>0</v>
      </c>
      <c r="T9516" t="s">
        <v>35984</v>
      </c>
    </row>
    <row r="9517" spans="1:20" customFormat="1" ht="15" x14ac:dyDescent="0.25">
      <c r="A9517" t="s">
        <v>35</v>
      </c>
      <c r="B9517" t="s">
        <v>61</v>
      </c>
      <c r="C9517" t="str">
        <f>"A0179538"</f>
        <v>A0179538</v>
      </c>
      <c r="D9517" t="s">
        <v>35985</v>
      </c>
      <c r="E9517" t="s">
        <v>35986</v>
      </c>
      <c r="F9517" t="s">
        <v>1731</v>
      </c>
      <c r="G9517" t="s">
        <v>52</v>
      </c>
      <c r="H9517">
        <v>75230</v>
      </c>
      <c r="I9517" t="s">
        <v>30</v>
      </c>
      <c r="J9517" t="s">
        <v>41</v>
      </c>
      <c r="K9517" t="s">
        <v>2463</v>
      </c>
      <c r="Q9517">
        <v>0</v>
      </c>
      <c r="R9517">
        <v>0</v>
      </c>
      <c r="S9517">
        <v>0</v>
      </c>
      <c r="T9517" t="s">
        <v>35987</v>
      </c>
    </row>
    <row r="9518" spans="1:20" customFormat="1" ht="15" x14ac:dyDescent="0.25">
      <c r="A9518" t="s">
        <v>35</v>
      </c>
      <c r="B9518" t="s">
        <v>61</v>
      </c>
      <c r="C9518" t="str">
        <f>"A0179537"</f>
        <v>A0179537</v>
      </c>
      <c r="D9518" t="s">
        <v>35988</v>
      </c>
      <c r="E9518" t="s">
        <v>35989</v>
      </c>
      <c r="F9518" t="s">
        <v>35990</v>
      </c>
      <c r="G9518" t="s">
        <v>52</v>
      </c>
      <c r="H9518">
        <v>75081</v>
      </c>
      <c r="I9518" t="s">
        <v>30</v>
      </c>
      <c r="J9518" t="s">
        <v>41</v>
      </c>
      <c r="K9518" t="s">
        <v>2463</v>
      </c>
      <c r="Q9518">
        <v>0</v>
      </c>
      <c r="R9518">
        <v>0</v>
      </c>
      <c r="S9518">
        <v>0</v>
      </c>
      <c r="T9518" t="s">
        <v>35991</v>
      </c>
    </row>
    <row r="9519" spans="1:20" customFormat="1" ht="15" x14ac:dyDescent="0.25">
      <c r="A9519" t="s">
        <v>35</v>
      </c>
      <c r="B9519" t="s">
        <v>35992</v>
      </c>
      <c r="C9519" t="str">
        <f>"A0179536"</f>
        <v>A0179536</v>
      </c>
      <c r="D9519" t="s">
        <v>35993</v>
      </c>
      <c r="E9519" t="s">
        <v>35994</v>
      </c>
      <c r="F9519" t="s">
        <v>35995</v>
      </c>
      <c r="G9519" t="s">
        <v>3049</v>
      </c>
      <c r="H9519">
        <v>99654</v>
      </c>
      <c r="I9519" t="s">
        <v>30</v>
      </c>
      <c r="J9519" t="s">
        <v>41</v>
      </c>
      <c r="K9519" t="s">
        <v>2463</v>
      </c>
      <c r="Q9519">
        <v>0</v>
      </c>
      <c r="R9519">
        <v>0</v>
      </c>
      <c r="S9519">
        <v>0</v>
      </c>
      <c r="T9519" t="s">
        <v>35996</v>
      </c>
    </row>
    <row r="9520" spans="1:20" customFormat="1" ht="15" x14ac:dyDescent="0.25">
      <c r="A9520" t="s">
        <v>35</v>
      </c>
      <c r="B9520" t="s">
        <v>35992</v>
      </c>
      <c r="C9520" t="str">
        <f>"A0179535"</f>
        <v>A0179535</v>
      </c>
      <c r="D9520" t="s">
        <v>35997</v>
      </c>
      <c r="E9520" t="s">
        <v>35998</v>
      </c>
      <c r="F9520" t="s">
        <v>24471</v>
      </c>
      <c r="G9520" t="s">
        <v>3049</v>
      </c>
      <c r="H9520">
        <v>99503</v>
      </c>
      <c r="I9520" t="s">
        <v>30</v>
      </c>
      <c r="J9520" t="s">
        <v>41</v>
      </c>
      <c r="K9520" t="s">
        <v>2463</v>
      </c>
      <c r="Q9520">
        <v>0</v>
      </c>
      <c r="R9520">
        <v>0</v>
      </c>
      <c r="S9520">
        <v>0</v>
      </c>
      <c r="T9520" t="s">
        <v>35999</v>
      </c>
    </row>
    <row r="9521" spans="1:20" customFormat="1" ht="15" x14ac:dyDescent="0.25">
      <c r="A9521" t="s">
        <v>35</v>
      </c>
      <c r="B9521" t="s">
        <v>10414</v>
      </c>
      <c r="C9521" t="str">
        <f>"A0179534"</f>
        <v>A0179534</v>
      </c>
      <c r="D9521" t="s">
        <v>36000</v>
      </c>
      <c r="E9521" t="s">
        <v>36001</v>
      </c>
      <c r="F9521" t="s">
        <v>9715</v>
      </c>
      <c r="G9521" t="s">
        <v>110</v>
      </c>
      <c r="H9521">
        <v>95677</v>
      </c>
      <c r="I9521" t="s">
        <v>30</v>
      </c>
      <c r="J9521" t="s">
        <v>41</v>
      </c>
      <c r="K9521" t="s">
        <v>290</v>
      </c>
      <c r="Q9521">
        <v>0</v>
      </c>
      <c r="R9521">
        <v>0</v>
      </c>
      <c r="S9521">
        <v>0</v>
      </c>
      <c r="T9521" t="s">
        <v>72</v>
      </c>
    </row>
    <row r="9522" spans="1:20" customFormat="1" ht="15" x14ac:dyDescent="0.25">
      <c r="A9522" t="s">
        <v>35</v>
      </c>
      <c r="B9522" t="s">
        <v>36002</v>
      </c>
      <c r="C9522" t="str">
        <f>"A0179533"</f>
        <v>A0179533</v>
      </c>
      <c r="D9522" t="s">
        <v>36003</v>
      </c>
      <c r="E9522" t="s">
        <v>36004</v>
      </c>
      <c r="F9522" t="s">
        <v>35969</v>
      </c>
      <c r="G9522" t="s">
        <v>85</v>
      </c>
      <c r="H9522">
        <v>72956</v>
      </c>
      <c r="I9522" t="s">
        <v>30</v>
      </c>
      <c r="J9522" t="s">
        <v>41</v>
      </c>
      <c r="K9522" t="s">
        <v>290</v>
      </c>
      <c r="Q9522">
        <v>0</v>
      </c>
      <c r="R9522">
        <v>0</v>
      </c>
      <c r="S9522">
        <v>0</v>
      </c>
      <c r="T9522" t="s">
        <v>36005</v>
      </c>
    </row>
    <row r="9523" spans="1:20" customFormat="1" ht="15" x14ac:dyDescent="0.25">
      <c r="A9523" t="s">
        <v>35</v>
      </c>
      <c r="B9523" t="s">
        <v>16364</v>
      </c>
      <c r="C9523" t="str">
        <f>"A0179532"</f>
        <v>A0179532</v>
      </c>
      <c r="D9523" t="s">
        <v>16364</v>
      </c>
      <c r="E9523" t="s">
        <v>36006</v>
      </c>
      <c r="F9523" t="s">
        <v>17227</v>
      </c>
      <c r="G9523" t="s">
        <v>161</v>
      </c>
      <c r="H9523">
        <v>55082</v>
      </c>
      <c r="I9523" t="s">
        <v>30</v>
      </c>
      <c r="J9523" t="s">
        <v>41</v>
      </c>
      <c r="K9523" t="s">
        <v>290</v>
      </c>
      <c r="Q9523">
        <v>0</v>
      </c>
      <c r="R9523">
        <v>0</v>
      </c>
      <c r="S9523">
        <v>0</v>
      </c>
      <c r="T9523" t="s">
        <v>72</v>
      </c>
    </row>
    <row r="9524" spans="1:20" customFormat="1" ht="15" x14ac:dyDescent="0.25">
      <c r="A9524" t="s">
        <v>35</v>
      </c>
      <c r="B9524" t="s">
        <v>36007</v>
      </c>
      <c r="C9524" t="str">
        <f>"A0179531"</f>
        <v>A0179531</v>
      </c>
      <c r="D9524" t="s">
        <v>36008</v>
      </c>
      <c r="E9524" t="s">
        <v>36009</v>
      </c>
      <c r="F9524" t="s">
        <v>36010</v>
      </c>
      <c r="G9524" t="s">
        <v>289</v>
      </c>
      <c r="H9524">
        <v>62401</v>
      </c>
      <c r="I9524" t="s">
        <v>30</v>
      </c>
      <c r="J9524" t="s">
        <v>41</v>
      </c>
      <c r="K9524" t="s">
        <v>290</v>
      </c>
      <c r="Q9524">
        <v>0</v>
      </c>
      <c r="R9524">
        <v>0</v>
      </c>
      <c r="S9524">
        <v>0</v>
      </c>
      <c r="T9524" t="s">
        <v>36011</v>
      </c>
    </row>
    <row r="9525" spans="1:20" customFormat="1" ht="15" x14ac:dyDescent="0.25">
      <c r="A9525" t="s">
        <v>35</v>
      </c>
      <c r="B9525" t="s">
        <v>2711</v>
      </c>
      <c r="C9525" t="str">
        <f>"A0179530"</f>
        <v>A0179530</v>
      </c>
      <c r="D9525" t="s">
        <v>36012</v>
      </c>
      <c r="E9525" t="s">
        <v>36013</v>
      </c>
      <c r="F9525" t="s">
        <v>36014</v>
      </c>
      <c r="G9525" t="s">
        <v>81</v>
      </c>
      <c r="H9525">
        <v>33950</v>
      </c>
      <c r="I9525" t="s">
        <v>30</v>
      </c>
      <c r="J9525" t="s">
        <v>41</v>
      </c>
      <c r="K9525" t="s">
        <v>2715</v>
      </c>
      <c r="Q9525">
        <v>0</v>
      </c>
      <c r="R9525">
        <v>0</v>
      </c>
      <c r="S9525">
        <v>0</v>
      </c>
      <c r="T9525" t="s">
        <v>36015</v>
      </c>
    </row>
    <row r="9526" spans="1:20" customFormat="1" ht="15" x14ac:dyDescent="0.25">
      <c r="A9526" t="s">
        <v>35</v>
      </c>
      <c r="B9526" t="s">
        <v>2711</v>
      </c>
      <c r="C9526" t="str">
        <f>"A0179529"</f>
        <v>A0179529</v>
      </c>
      <c r="D9526" t="s">
        <v>36016</v>
      </c>
      <c r="E9526" t="s">
        <v>36017</v>
      </c>
      <c r="F9526" t="s">
        <v>10538</v>
      </c>
      <c r="G9526" t="s">
        <v>81</v>
      </c>
      <c r="H9526">
        <v>32055</v>
      </c>
      <c r="I9526" t="s">
        <v>30</v>
      </c>
      <c r="J9526" t="s">
        <v>41</v>
      </c>
      <c r="K9526" t="s">
        <v>2715</v>
      </c>
      <c r="Q9526">
        <v>0</v>
      </c>
      <c r="R9526">
        <v>0</v>
      </c>
      <c r="S9526">
        <v>0</v>
      </c>
      <c r="T9526" t="s">
        <v>36018</v>
      </c>
    </row>
    <row r="9527" spans="1:20" customFormat="1" ht="15" x14ac:dyDescent="0.25">
      <c r="A9527" t="s">
        <v>35</v>
      </c>
      <c r="B9527" t="s">
        <v>2711</v>
      </c>
      <c r="C9527" t="str">
        <f>"A0179528"</f>
        <v>A0179528</v>
      </c>
      <c r="D9527" t="s">
        <v>36019</v>
      </c>
      <c r="E9527" t="s">
        <v>36020</v>
      </c>
      <c r="F9527" t="s">
        <v>36021</v>
      </c>
      <c r="G9527" t="s">
        <v>81</v>
      </c>
      <c r="H9527">
        <v>34711</v>
      </c>
      <c r="I9527" t="s">
        <v>30</v>
      </c>
      <c r="J9527" t="s">
        <v>41</v>
      </c>
      <c r="K9527" t="s">
        <v>2715</v>
      </c>
      <c r="Q9527">
        <v>0</v>
      </c>
      <c r="R9527">
        <v>0</v>
      </c>
      <c r="S9527">
        <v>0</v>
      </c>
      <c r="T9527" t="s">
        <v>36018</v>
      </c>
    </row>
    <row r="9528" spans="1:20" customFormat="1" ht="15" x14ac:dyDescent="0.25">
      <c r="A9528" t="s">
        <v>35</v>
      </c>
      <c r="B9528" t="s">
        <v>2711</v>
      </c>
      <c r="C9528" t="str">
        <f>"A0179527"</f>
        <v>A0179527</v>
      </c>
      <c r="D9528" t="s">
        <v>36022</v>
      </c>
      <c r="E9528" t="s">
        <v>36023</v>
      </c>
      <c r="F9528" t="s">
        <v>36024</v>
      </c>
      <c r="G9528" t="s">
        <v>81</v>
      </c>
      <c r="H9528">
        <v>33584</v>
      </c>
      <c r="I9528" t="s">
        <v>30</v>
      </c>
      <c r="J9528" t="s">
        <v>41</v>
      </c>
      <c r="K9528" t="s">
        <v>2715</v>
      </c>
      <c r="Q9528">
        <v>0</v>
      </c>
      <c r="R9528">
        <v>0</v>
      </c>
      <c r="S9528">
        <v>0</v>
      </c>
      <c r="T9528" t="s">
        <v>36018</v>
      </c>
    </row>
    <row r="9529" spans="1:20" customFormat="1" ht="15" x14ac:dyDescent="0.25">
      <c r="A9529" t="s">
        <v>35</v>
      </c>
      <c r="B9529" t="s">
        <v>2711</v>
      </c>
      <c r="C9529" t="str">
        <f>"A0179526"</f>
        <v>A0179526</v>
      </c>
      <c r="D9529" t="s">
        <v>36025</v>
      </c>
      <c r="E9529" t="s">
        <v>36026</v>
      </c>
      <c r="F9529" t="s">
        <v>13899</v>
      </c>
      <c r="G9529" t="s">
        <v>81</v>
      </c>
      <c r="H9529">
        <v>34684</v>
      </c>
      <c r="I9529" t="s">
        <v>30</v>
      </c>
      <c r="J9529" t="s">
        <v>41</v>
      </c>
      <c r="K9529" t="s">
        <v>2715</v>
      </c>
      <c r="Q9529">
        <v>0</v>
      </c>
      <c r="R9529">
        <v>0</v>
      </c>
      <c r="S9529">
        <v>0</v>
      </c>
      <c r="T9529" t="s">
        <v>36018</v>
      </c>
    </row>
    <row r="9530" spans="1:20" customFormat="1" ht="15" x14ac:dyDescent="0.25">
      <c r="A9530" t="s">
        <v>35</v>
      </c>
      <c r="B9530" t="s">
        <v>36</v>
      </c>
      <c r="C9530" t="str">
        <f>"A0179525"</f>
        <v>A0179525</v>
      </c>
      <c r="D9530" t="s">
        <v>36027</v>
      </c>
      <c r="E9530" t="s">
        <v>36028</v>
      </c>
      <c r="F9530" t="s">
        <v>36029</v>
      </c>
      <c r="G9530" t="s">
        <v>137</v>
      </c>
      <c r="H9530">
        <v>65791</v>
      </c>
      <c r="I9530" t="s">
        <v>30</v>
      </c>
      <c r="J9530" t="s">
        <v>41</v>
      </c>
      <c r="K9530" t="s">
        <v>42</v>
      </c>
      <c r="Q9530">
        <v>0</v>
      </c>
      <c r="R9530">
        <v>0</v>
      </c>
      <c r="S9530">
        <v>0</v>
      </c>
      <c r="T9530" t="s">
        <v>36030</v>
      </c>
    </row>
    <row r="9531" spans="1:20" customFormat="1" ht="15" x14ac:dyDescent="0.25">
      <c r="A9531" t="s">
        <v>35</v>
      </c>
      <c r="B9531" t="s">
        <v>16364</v>
      </c>
      <c r="C9531" t="str">
        <f>"A0179524"</f>
        <v>A0179524</v>
      </c>
      <c r="D9531" t="s">
        <v>36031</v>
      </c>
      <c r="E9531" t="s">
        <v>36032</v>
      </c>
      <c r="F9531" t="s">
        <v>36033</v>
      </c>
      <c r="G9531" t="s">
        <v>52</v>
      </c>
      <c r="H9531">
        <v>75022</v>
      </c>
      <c r="I9531" t="s">
        <v>30</v>
      </c>
      <c r="J9531" t="s">
        <v>41</v>
      </c>
      <c r="K9531" t="s">
        <v>1032</v>
      </c>
      <c r="Q9531">
        <v>0</v>
      </c>
      <c r="R9531">
        <v>40</v>
      </c>
      <c r="S9531">
        <v>40</v>
      </c>
      <c r="T9531" t="s">
        <v>36034</v>
      </c>
    </row>
    <row r="9532" spans="1:20" customFormat="1" ht="15" x14ac:dyDescent="0.25">
      <c r="A9532" t="s">
        <v>24</v>
      </c>
      <c r="B9532" t="s">
        <v>13679</v>
      </c>
      <c r="C9532" t="str">
        <f>"A0078235"</f>
        <v>A0078235</v>
      </c>
      <c r="D9532" t="s">
        <v>69913</v>
      </c>
      <c r="E9532" t="s">
        <v>69914</v>
      </c>
      <c r="F9532" t="s">
        <v>2014</v>
      </c>
      <c r="G9532" t="s">
        <v>197</v>
      </c>
      <c r="H9532">
        <v>85250</v>
      </c>
      <c r="I9532" t="s">
        <v>30</v>
      </c>
      <c r="J9532" t="s">
        <v>162</v>
      </c>
      <c r="K9532" t="s">
        <v>4809</v>
      </c>
      <c r="N9532" t="s">
        <v>69915</v>
      </c>
      <c r="Q9532">
        <v>0</v>
      </c>
      <c r="R9532">
        <v>232</v>
      </c>
      <c r="S9532">
        <v>0</v>
      </c>
      <c r="T9532" t="s">
        <v>69916</v>
      </c>
    </row>
    <row r="9533" spans="1:20" customFormat="1" ht="15" x14ac:dyDescent="0.25">
      <c r="A9533" t="s">
        <v>24</v>
      </c>
      <c r="B9533" t="s">
        <v>55506</v>
      </c>
      <c r="C9533" t="str">
        <f>"A0061775"</f>
        <v>A0061775</v>
      </c>
      <c r="D9533" t="s">
        <v>69917</v>
      </c>
      <c r="E9533" t="s">
        <v>69918</v>
      </c>
      <c r="F9533" t="s">
        <v>66454</v>
      </c>
      <c r="G9533" t="s">
        <v>103</v>
      </c>
      <c r="H9533">
        <v>18503</v>
      </c>
      <c r="I9533" t="s">
        <v>30</v>
      </c>
      <c r="J9533" t="s">
        <v>162</v>
      </c>
      <c r="K9533" t="s">
        <v>4809</v>
      </c>
      <c r="N9533" t="s">
        <v>69919</v>
      </c>
      <c r="O9533" t="s">
        <v>69920</v>
      </c>
      <c r="Q9533">
        <v>0</v>
      </c>
      <c r="R9533">
        <v>193</v>
      </c>
      <c r="S9533">
        <v>0</v>
      </c>
      <c r="T9533" t="s">
        <v>69921</v>
      </c>
    </row>
    <row r="9534" spans="1:20" customFormat="1" ht="15" x14ac:dyDescent="0.25">
      <c r="A9534" t="s">
        <v>24</v>
      </c>
      <c r="B9534" t="s">
        <v>11484</v>
      </c>
      <c r="C9534" t="str">
        <f>"A0100259"</f>
        <v>A0100259</v>
      </c>
      <c r="D9534" t="s">
        <v>69922</v>
      </c>
      <c r="E9534" t="s">
        <v>69923</v>
      </c>
      <c r="F9534" t="s">
        <v>55295</v>
      </c>
      <c r="G9534" t="s">
        <v>1170</v>
      </c>
      <c r="H9534">
        <v>71101</v>
      </c>
      <c r="I9534" t="s">
        <v>30</v>
      </c>
      <c r="J9534" t="s">
        <v>162</v>
      </c>
      <c r="K9534" t="s">
        <v>4809</v>
      </c>
      <c r="N9534" t="s">
        <v>69924</v>
      </c>
      <c r="O9534" t="s">
        <v>69925</v>
      </c>
      <c r="Q9534">
        <v>0</v>
      </c>
      <c r="R9534">
        <v>313</v>
      </c>
      <c r="S9534">
        <v>0</v>
      </c>
      <c r="T9534" t="s">
        <v>69926</v>
      </c>
    </row>
    <row r="9535" spans="1:20" customFormat="1" ht="15" x14ac:dyDescent="0.25">
      <c r="A9535" t="s">
        <v>24</v>
      </c>
      <c r="B9535" t="s">
        <v>2955</v>
      </c>
      <c r="C9535" t="str">
        <f>"88HI018"</f>
        <v>88HI018</v>
      </c>
      <c r="D9535" t="s">
        <v>69927</v>
      </c>
      <c r="E9535" t="s">
        <v>69928</v>
      </c>
      <c r="F9535" t="s">
        <v>69929</v>
      </c>
      <c r="G9535" t="s">
        <v>81</v>
      </c>
      <c r="H9535">
        <v>33404</v>
      </c>
      <c r="I9535" t="s">
        <v>30</v>
      </c>
      <c r="J9535" t="s">
        <v>162</v>
      </c>
      <c r="K9535" t="s">
        <v>4809</v>
      </c>
      <c r="N9535" t="s">
        <v>69930</v>
      </c>
      <c r="O9535" t="s">
        <v>69931</v>
      </c>
      <c r="Q9535">
        <v>0</v>
      </c>
      <c r="R9535">
        <v>223</v>
      </c>
      <c r="S9535">
        <v>0</v>
      </c>
      <c r="T9535" t="s">
        <v>69932</v>
      </c>
    </row>
    <row r="9536" spans="1:20" customFormat="1" ht="15" x14ac:dyDescent="0.25">
      <c r="A9536" t="s">
        <v>24</v>
      </c>
      <c r="B9536" t="s">
        <v>5830</v>
      </c>
      <c r="C9536" t="str">
        <f>"A0178561"</f>
        <v>A0178561</v>
      </c>
      <c r="D9536" t="s">
        <v>36052</v>
      </c>
      <c r="E9536" t="s">
        <v>36053</v>
      </c>
      <c r="F9536" t="s">
        <v>6573</v>
      </c>
      <c r="G9536" t="s">
        <v>99</v>
      </c>
      <c r="H9536">
        <v>13478</v>
      </c>
      <c r="I9536" t="s">
        <v>30</v>
      </c>
      <c r="J9536" t="s">
        <v>31</v>
      </c>
      <c r="K9536" t="s">
        <v>198</v>
      </c>
      <c r="N9536" t="s">
        <v>36054</v>
      </c>
      <c r="Q9536">
        <v>0</v>
      </c>
      <c r="R9536">
        <v>109</v>
      </c>
      <c r="S9536">
        <v>0</v>
      </c>
      <c r="T9536" t="s">
        <v>36055</v>
      </c>
    </row>
    <row r="9537" spans="1:20" customFormat="1" ht="15" hidden="1" x14ac:dyDescent="0.25">
      <c r="A9537" t="s">
        <v>24</v>
      </c>
      <c r="B9537" t="s">
        <v>1583</v>
      </c>
      <c r="C9537" t="str">
        <f>"A0179496"</f>
        <v>A0179496</v>
      </c>
      <c r="D9537" t="s">
        <v>36056</v>
      </c>
      <c r="E9537" t="s">
        <v>36057</v>
      </c>
      <c r="F9537" t="s">
        <v>36058</v>
      </c>
      <c r="G9537" t="s">
        <v>6356</v>
      </c>
      <c r="I9537" t="s">
        <v>4803</v>
      </c>
      <c r="J9537" t="s">
        <v>2544</v>
      </c>
      <c r="K9537" t="s">
        <v>36059</v>
      </c>
      <c r="N9537" t="s">
        <v>36060</v>
      </c>
      <c r="Q9537">
        <v>0</v>
      </c>
      <c r="R9537">
        <v>24</v>
      </c>
      <c r="S9537">
        <v>0</v>
      </c>
      <c r="T9537" t="s">
        <v>36061</v>
      </c>
    </row>
    <row r="9538" spans="1:20" customFormat="1" ht="15" x14ac:dyDescent="0.25">
      <c r="A9538" t="s">
        <v>24</v>
      </c>
      <c r="B9538" t="s">
        <v>36062</v>
      </c>
      <c r="C9538" t="str">
        <f>"A0085227"</f>
        <v>A0085227</v>
      </c>
      <c r="D9538" t="s">
        <v>36063</v>
      </c>
      <c r="E9538" t="s">
        <v>36064</v>
      </c>
      <c r="F9538" t="s">
        <v>36065</v>
      </c>
      <c r="G9538" t="s">
        <v>137</v>
      </c>
      <c r="H9538">
        <v>65584</v>
      </c>
      <c r="I9538" t="s">
        <v>30</v>
      </c>
      <c r="J9538" t="s">
        <v>145</v>
      </c>
      <c r="K9538" t="s">
        <v>302</v>
      </c>
      <c r="N9538" t="s">
        <v>36066</v>
      </c>
      <c r="Q9538">
        <v>0</v>
      </c>
      <c r="R9538">
        <v>65</v>
      </c>
      <c r="S9538">
        <v>0</v>
      </c>
      <c r="T9538" t="s">
        <v>36067</v>
      </c>
    </row>
    <row r="9539" spans="1:20" customFormat="1" ht="15" x14ac:dyDescent="0.25">
      <c r="A9539" t="s">
        <v>35</v>
      </c>
      <c r="B9539" t="s">
        <v>61</v>
      </c>
      <c r="C9539" t="str">
        <f>"A0151229"</f>
        <v>A0151229</v>
      </c>
      <c r="D9539" t="s">
        <v>36068</v>
      </c>
      <c r="E9539" t="s">
        <v>36069</v>
      </c>
      <c r="F9539" t="s">
        <v>36070</v>
      </c>
      <c r="G9539" t="s">
        <v>76</v>
      </c>
      <c r="H9539">
        <v>98188</v>
      </c>
      <c r="I9539" t="s">
        <v>30</v>
      </c>
      <c r="J9539" t="s">
        <v>41</v>
      </c>
      <c r="K9539" t="s">
        <v>290</v>
      </c>
      <c r="Q9539">
        <v>0</v>
      </c>
      <c r="R9539">
        <v>0</v>
      </c>
      <c r="S9539">
        <v>0</v>
      </c>
      <c r="T9539" t="s">
        <v>36071</v>
      </c>
    </row>
    <row r="9540" spans="1:20" customFormat="1" ht="15" x14ac:dyDescent="0.25">
      <c r="A9540" t="s">
        <v>35</v>
      </c>
      <c r="B9540" t="s">
        <v>437</v>
      </c>
      <c r="C9540" t="str">
        <f>"A0133855"</f>
        <v>A0133855</v>
      </c>
      <c r="D9540" t="s">
        <v>36072</v>
      </c>
      <c r="E9540" t="s">
        <v>36073</v>
      </c>
      <c r="F9540" t="s">
        <v>14856</v>
      </c>
      <c r="G9540" t="s">
        <v>110</v>
      </c>
      <c r="H9540">
        <v>92614</v>
      </c>
      <c r="I9540" t="s">
        <v>30</v>
      </c>
      <c r="J9540" t="s">
        <v>441</v>
      </c>
      <c r="K9540" t="s">
        <v>1412</v>
      </c>
      <c r="Q9540">
        <v>0</v>
      </c>
      <c r="R9540">
        <v>0</v>
      </c>
      <c r="S9540">
        <v>0</v>
      </c>
      <c r="T9540" t="s">
        <v>36074</v>
      </c>
    </row>
    <row r="9541" spans="1:20" customFormat="1" ht="15" x14ac:dyDescent="0.25">
      <c r="A9541" t="s">
        <v>35</v>
      </c>
      <c r="B9541" t="s">
        <v>437</v>
      </c>
      <c r="C9541" t="str">
        <f>"A0133856"</f>
        <v>A0133856</v>
      </c>
      <c r="D9541" t="s">
        <v>36075</v>
      </c>
      <c r="E9541" t="s">
        <v>36076</v>
      </c>
      <c r="F9541" t="s">
        <v>6992</v>
      </c>
      <c r="G9541" t="s">
        <v>110</v>
      </c>
      <c r="H9541">
        <v>92660</v>
      </c>
      <c r="I9541" t="s">
        <v>30</v>
      </c>
      <c r="J9541" t="s">
        <v>441</v>
      </c>
      <c r="K9541" t="s">
        <v>1412</v>
      </c>
      <c r="Q9541">
        <v>0</v>
      </c>
      <c r="R9541">
        <v>0</v>
      </c>
      <c r="S9541">
        <v>0</v>
      </c>
      <c r="T9541" t="s">
        <v>36074</v>
      </c>
    </row>
    <row r="9542" spans="1:20" customFormat="1" ht="15" x14ac:dyDescent="0.25">
      <c r="A9542" t="s">
        <v>35</v>
      </c>
      <c r="B9542" t="s">
        <v>61</v>
      </c>
      <c r="C9542" t="str">
        <f>"A0125316"</f>
        <v>A0125316</v>
      </c>
      <c r="D9542" t="s">
        <v>36077</v>
      </c>
      <c r="E9542" t="s">
        <v>36078</v>
      </c>
      <c r="F9542" t="s">
        <v>36079</v>
      </c>
      <c r="G9542" t="s">
        <v>40</v>
      </c>
      <c r="H9542">
        <v>748640000</v>
      </c>
      <c r="I9542" t="s">
        <v>30</v>
      </c>
      <c r="J9542" t="s">
        <v>41</v>
      </c>
      <c r="K9542" t="s">
        <v>59</v>
      </c>
      <c r="Q9542">
        <v>0</v>
      </c>
      <c r="R9542">
        <v>25</v>
      </c>
      <c r="S9542">
        <v>25</v>
      </c>
      <c r="T9542" t="s">
        <v>36080</v>
      </c>
    </row>
    <row r="9543" spans="1:20" customFormat="1" ht="15" x14ac:dyDescent="0.25">
      <c r="A9543" t="s">
        <v>35</v>
      </c>
      <c r="B9543" t="s">
        <v>61</v>
      </c>
      <c r="C9543" t="str">
        <f>"A0131793"</f>
        <v>A0131793</v>
      </c>
      <c r="D9543" t="s">
        <v>36081</v>
      </c>
      <c r="E9543" t="s">
        <v>36082</v>
      </c>
      <c r="F9543" t="s">
        <v>13583</v>
      </c>
      <c r="G9543" t="s">
        <v>65</v>
      </c>
      <c r="H9543">
        <v>45840</v>
      </c>
      <c r="I9543" t="s">
        <v>30</v>
      </c>
      <c r="J9543" t="s">
        <v>41</v>
      </c>
      <c r="K9543" t="s">
        <v>2760</v>
      </c>
      <c r="Q9543">
        <v>0</v>
      </c>
      <c r="R9543">
        <v>1</v>
      </c>
      <c r="S9543">
        <v>1</v>
      </c>
      <c r="T9543" t="s">
        <v>36083</v>
      </c>
    </row>
    <row r="9544" spans="1:20" customFormat="1" ht="15" x14ac:dyDescent="0.25">
      <c r="A9544" t="s">
        <v>35</v>
      </c>
      <c r="B9544" t="s">
        <v>437</v>
      </c>
      <c r="C9544" t="str">
        <f>"A0133920"</f>
        <v>A0133920</v>
      </c>
      <c r="D9544" t="s">
        <v>36084</v>
      </c>
      <c r="E9544" t="s">
        <v>36085</v>
      </c>
      <c r="F9544" t="s">
        <v>36086</v>
      </c>
      <c r="G9544" t="s">
        <v>110</v>
      </c>
      <c r="H9544">
        <v>92315</v>
      </c>
      <c r="I9544" t="s">
        <v>30</v>
      </c>
      <c r="J9544" t="s">
        <v>441</v>
      </c>
      <c r="K9544" t="s">
        <v>442</v>
      </c>
      <c r="Q9544">
        <v>0</v>
      </c>
      <c r="R9544">
        <v>0</v>
      </c>
      <c r="S9544">
        <v>0</v>
      </c>
      <c r="T9544" t="s">
        <v>36087</v>
      </c>
    </row>
    <row r="9545" spans="1:20" customFormat="1" ht="15" x14ac:dyDescent="0.25">
      <c r="A9545" t="s">
        <v>35</v>
      </c>
      <c r="B9545" t="s">
        <v>61</v>
      </c>
      <c r="C9545" t="str">
        <f>"A0123062"</f>
        <v>A0123062</v>
      </c>
      <c r="D9545" t="s">
        <v>36088</v>
      </c>
      <c r="E9545" t="s">
        <v>36089</v>
      </c>
      <c r="F9545" t="s">
        <v>1039</v>
      </c>
      <c r="G9545" t="s">
        <v>76</v>
      </c>
      <c r="H9545">
        <v>98406</v>
      </c>
      <c r="I9545" t="s">
        <v>30</v>
      </c>
      <c r="J9545" t="s">
        <v>41</v>
      </c>
      <c r="K9545" t="s">
        <v>59</v>
      </c>
      <c r="Q9545">
        <v>0</v>
      </c>
      <c r="R9545">
        <v>110</v>
      </c>
      <c r="S9545">
        <v>110</v>
      </c>
      <c r="T9545" t="s">
        <v>36090</v>
      </c>
    </row>
    <row r="9546" spans="1:20" customFormat="1" ht="15" x14ac:dyDescent="0.25">
      <c r="A9546" t="s">
        <v>35</v>
      </c>
      <c r="B9546" t="s">
        <v>437</v>
      </c>
      <c r="C9546" t="str">
        <f>"A0134028"</f>
        <v>A0134028</v>
      </c>
      <c r="D9546" t="s">
        <v>36091</v>
      </c>
      <c r="E9546" t="s">
        <v>36092</v>
      </c>
      <c r="F9546" t="s">
        <v>3193</v>
      </c>
      <c r="G9546" t="s">
        <v>99</v>
      </c>
      <c r="H9546">
        <v>13323</v>
      </c>
      <c r="I9546" t="s">
        <v>30</v>
      </c>
      <c r="J9546" t="s">
        <v>441</v>
      </c>
      <c r="K9546" t="s">
        <v>442</v>
      </c>
      <c r="Q9546">
        <v>0</v>
      </c>
      <c r="R9546">
        <v>0</v>
      </c>
      <c r="S9546">
        <v>0</v>
      </c>
      <c r="T9546" t="s">
        <v>7662</v>
      </c>
    </row>
    <row r="9547" spans="1:20" customFormat="1" ht="15" x14ac:dyDescent="0.25">
      <c r="A9547" t="s">
        <v>35</v>
      </c>
      <c r="B9547" t="s">
        <v>61</v>
      </c>
      <c r="C9547" t="str">
        <f>"A0127544"</f>
        <v>A0127544</v>
      </c>
      <c r="D9547" t="s">
        <v>36093</v>
      </c>
      <c r="E9547" t="s">
        <v>36094</v>
      </c>
      <c r="F9547" t="s">
        <v>4082</v>
      </c>
      <c r="G9547" t="s">
        <v>123</v>
      </c>
      <c r="H9547">
        <v>21225</v>
      </c>
      <c r="I9547" t="s">
        <v>30</v>
      </c>
      <c r="J9547" t="s">
        <v>41</v>
      </c>
      <c r="K9547" t="s">
        <v>391</v>
      </c>
      <c r="Q9547">
        <v>0</v>
      </c>
      <c r="R9547">
        <v>1</v>
      </c>
      <c r="S9547">
        <v>1</v>
      </c>
      <c r="T9547" t="s">
        <v>36095</v>
      </c>
    </row>
    <row r="9548" spans="1:20" customFormat="1" ht="15" x14ac:dyDescent="0.25">
      <c r="A9548" t="s">
        <v>35</v>
      </c>
      <c r="B9548" t="s">
        <v>106</v>
      </c>
      <c r="C9548" t="str">
        <f>"A0136019"</f>
        <v>A0136019</v>
      </c>
      <c r="D9548" t="s">
        <v>36096</v>
      </c>
      <c r="E9548" t="s">
        <v>36097</v>
      </c>
      <c r="F9548" t="s">
        <v>36098</v>
      </c>
      <c r="G9548" t="s">
        <v>1170</v>
      </c>
      <c r="H9548">
        <v>70726</v>
      </c>
      <c r="I9548" t="s">
        <v>30</v>
      </c>
      <c r="J9548" t="s">
        <v>111</v>
      </c>
      <c r="K9548" t="s">
        <v>112</v>
      </c>
      <c r="Q9548">
        <v>0</v>
      </c>
      <c r="R9548">
        <v>0</v>
      </c>
      <c r="S9548">
        <v>0</v>
      </c>
      <c r="T9548" t="s">
        <v>36099</v>
      </c>
    </row>
    <row r="9549" spans="1:20" customFormat="1" ht="15" x14ac:dyDescent="0.25">
      <c r="A9549" t="s">
        <v>35</v>
      </c>
      <c r="B9549" t="s">
        <v>61</v>
      </c>
      <c r="C9549" t="str">
        <f>"A0118030"</f>
        <v>A0118030</v>
      </c>
      <c r="D9549" t="s">
        <v>36100</v>
      </c>
      <c r="E9549" t="s">
        <v>36101</v>
      </c>
      <c r="F9549" t="s">
        <v>9135</v>
      </c>
      <c r="G9549" t="s">
        <v>110</v>
      </c>
      <c r="H9549">
        <v>951280000</v>
      </c>
      <c r="I9549" t="s">
        <v>30</v>
      </c>
      <c r="J9549" t="s">
        <v>41</v>
      </c>
      <c r="K9549" t="s">
        <v>229</v>
      </c>
      <c r="Q9549">
        <v>0</v>
      </c>
      <c r="R9549">
        <v>166</v>
      </c>
      <c r="S9549">
        <v>166</v>
      </c>
      <c r="T9549" t="s">
        <v>36102</v>
      </c>
    </row>
    <row r="9550" spans="1:20" customFormat="1" ht="15" x14ac:dyDescent="0.25">
      <c r="A9550" t="s">
        <v>35</v>
      </c>
      <c r="B9550" t="s">
        <v>61</v>
      </c>
      <c r="C9550" t="str">
        <f>"A0124015"</f>
        <v>A0124015</v>
      </c>
      <c r="D9550" t="s">
        <v>36103</v>
      </c>
      <c r="E9550" t="s">
        <v>36104</v>
      </c>
      <c r="F9550" t="s">
        <v>29545</v>
      </c>
      <c r="G9550" t="s">
        <v>214</v>
      </c>
      <c r="H9550">
        <v>28681</v>
      </c>
      <c r="I9550" t="s">
        <v>30</v>
      </c>
      <c r="J9550" t="s">
        <v>41</v>
      </c>
      <c r="K9550" t="s">
        <v>482</v>
      </c>
      <c r="Q9550">
        <v>0</v>
      </c>
      <c r="R9550">
        <v>60</v>
      </c>
      <c r="S9550">
        <v>60</v>
      </c>
      <c r="T9550" t="s">
        <v>36105</v>
      </c>
    </row>
    <row r="9551" spans="1:20" customFormat="1" ht="15" x14ac:dyDescent="0.25">
      <c r="A9551" t="s">
        <v>35</v>
      </c>
      <c r="B9551" t="s">
        <v>106</v>
      </c>
      <c r="C9551" t="str">
        <f>"A0136384"</f>
        <v>A0136384</v>
      </c>
      <c r="D9551" t="s">
        <v>36106</v>
      </c>
      <c r="E9551" t="s">
        <v>36107</v>
      </c>
      <c r="F9551" t="s">
        <v>22137</v>
      </c>
      <c r="G9551" t="s">
        <v>110</v>
      </c>
      <c r="H9551">
        <v>95616</v>
      </c>
      <c r="I9551" t="s">
        <v>30</v>
      </c>
      <c r="J9551" t="s">
        <v>111</v>
      </c>
      <c r="K9551" t="s">
        <v>10012</v>
      </c>
      <c r="Q9551">
        <v>0</v>
      </c>
      <c r="R9551">
        <v>0</v>
      </c>
      <c r="S9551">
        <v>0</v>
      </c>
      <c r="T9551" t="s">
        <v>36108</v>
      </c>
    </row>
    <row r="9552" spans="1:20" customFormat="1" ht="15" x14ac:dyDescent="0.25">
      <c r="A9552" t="s">
        <v>35</v>
      </c>
      <c r="B9552" t="s">
        <v>106</v>
      </c>
      <c r="C9552" t="str">
        <f>"A0135324"</f>
        <v>A0135324</v>
      </c>
      <c r="D9552" t="s">
        <v>36109</v>
      </c>
      <c r="E9552" t="s">
        <v>36110</v>
      </c>
      <c r="F9552" t="s">
        <v>9450</v>
      </c>
      <c r="G9552" t="s">
        <v>1184</v>
      </c>
      <c r="H9552">
        <v>59401</v>
      </c>
      <c r="I9552" t="s">
        <v>30</v>
      </c>
      <c r="J9552" t="s">
        <v>111</v>
      </c>
      <c r="K9552" t="s">
        <v>112</v>
      </c>
      <c r="Q9552">
        <v>0</v>
      </c>
      <c r="R9552">
        <v>0</v>
      </c>
      <c r="S9552">
        <v>0</v>
      </c>
      <c r="T9552" t="s">
        <v>36111</v>
      </c>
    </row>
    <row r="9553" spans="1:20" customFormat="1" ht="15" x14ac:dyDescent="0.25">
      <c r="A9553" t="s">
        <v>35</v>
      </c>
      <c r="B9553" t="s">
        <v>106</v>
      </c>
      <c r="C9553" t="str">
        <f>"A0135325"</f>
        <v>A0135325</v>
      </c>
      <c r="D9553" t="s">
        <v>36112</v>
      </c>
      <c r="E9553" t="s">
        <v>36113</v>
      </c>
      <c r="F9553" t="s">
        <v>36114</v>
      </c>
      <c r="G9553" t="s">
        <v>1184</v>
      </c>
      <c r="H9553">
        <v>59711</v>
      </c>
      <c r="I9553" t="s">
        <v>30</v>
      </c>
      <c r="J9553" t="s">
        <v>111</v>
      </c>
      <c r="K9553" t="s">
        <v>2477</v>
      </c>
      <c r="Q9553">
        <v>0</v>
      </c>
      <c r="R9553">
        <v>40</v>
      </c>
      <c r="S9553">
        <v>40</v>
      </c>
      <c r="T9553" t="s">
        <v>36115</v>
      </c>
    </row>
    <row r="9554" spans="1:20" customFormat="1" ht="15" x14ac:dyDescent="0.25">
      <c r="A9554" t="s">
        <v>35</v>
      </c>
      <c r="B9554" t="s">
        <v>106</v>
      </c>
      <c r="C9554" t="str">
        <f>"A0135337"</f>
        <v>A0135337</v>
      </c>
      <c r="D9554" t="s">
        <v>36116</v>
      </c>
      <c r="E9554" t="s">
        <v>36117</v>
      </c>
      <c r="F9554" t="s">
        <v>36118</v>
      </c>
      <c r="G9554" t="s">
        <v>1184</v>
      </c>
      <c r="H9554">
        <v>59101</v>
      </c>
      <c r="I9554" t="s">
        <v>30</v>
      </c>
      <c r="J9554" t="s">
        <v>111</v>
      </c>
      <c r="K9554" t="s">
        <v>112</v>
      </c>
      <c r="Q9554">
        <v>0</v>
      </c>
      <c r="R9554">
        <v>0</v>
      </c>
      <c r="S9554">
        <v>0</v>
      </c>
      <c r="T9554" t="s">
        <v>36119</v>
      </c>
    </row>
    <row r="9555" spans="1:20" customFormat="1" ht="15" x14ac:dyDescent="0.25">
      <c r="A9555" t="s">
        <v>35</v>
      </c>
      <c r="B9555" t="s">
        <v>61</v>
      </c>
      <c r="C9555" t="str">
        <f>"A0154182"</f>
        <v>A0154182</v>
      </c>
      <c r="D9555" t="s">
        <v>36120</v>
      </c>
      <c r="E9555" t="s">
        <v>36121</v>
      </c>
      <c r="F9555" t="s">
        <v>24201</v>
      </c>
      <c r="G9555" t="s">
        <v>110</v>
      </c>
      <c r="H9555">
        <v>93454</v>
      </c>
      <c r="I9555" t="s">
        <v>30</v>
      </c>
      <c r="J9555" t="s">
        <v>41</v>
      </c>
      <c r="K9555" t="s">
        <v>59</v>
      </c>
      <c r="Q9555">
        <v>0</v>
      </c>
      <c r="R9555">
        <v>36</v>
      </c>
      <c r="S9555">
        <v>36</v>
      </c>
      <c r="T9555" t="s">
        <v>36122</v>
      </c>
    </row>
    <row r="9556" spans="1:20" customFormat="1" ht="15" x14ac:dyDescent="0.25">
      <c r="A9556" t="s">
        <v>35</v>
      </c>
      <c r="B9556" t="s">
        <v>61</v>
      </c>
      <c r="C9556" t="str">
        <f>"A0123180"</f>
        <v>A0123180</v>
      </c>
      <c r="D9556" t="s">
        <v>36123</v>
      </c>
      <c r="E9556" t="s">
        <v>36124</v>
      </c>
      <c r="F9556" t="s">
        <v>1755</v>
      </c>
      <c r="G9556" t="s">
        <v>29</v>
      </c>
      <c r="H9556">
        <v>22151</v>
      </c>
      <c r="I9556" t="s">
        <v>30</v>
      </c>
      <c r="J9556" t="s">
        <v>41</v>
      </c>
      <c r="K9556" t="s">
        <v>482</v>
      </c>
      <c r="Q9556">
        <v>0</v>
      </c>
      <c r="R9556">
        <v>72</v>
      </c>
      <c r="S9556">
        <v>72</v>
      </c>
      <c r="T9556" t="s">
        <v>36125</v>
      </c>
    </row>
    <row r="9557" spans="1:20" customFormat="1" ht="15" x14ac:dyDescent="0.25">
      <c r="A9557" t="s">
        <v>35</v>
      </c>
      <c r="B9557" t="s">
        <v>61</v>
      </c>
      <c r="C9557" t="str">
        <f>"A0130370"</f>
        <v>A0130370</v>
      </c>
      <c r="D9557" t="s">
        <v>36126</v>
      </c>
      <c r="E9557" t="s">
        <v>36127</v>
      </c>
      <c r="F9557" t="s">
        <v>36128</v>
      </c>
      <c r="G9557" t="s">
        <v>1898</v>
      </c>
      <c r="H9557">
        <v>52101</v>
      </c>
      <c r="I9557" t="s">
        <v>30</v>
      </c>
      <c r="J9557" t="s">
        <v>41</v>
      </c>
      <c r="K9557" t="s">
        <v>229</v>
      </c>
      <c r="Q9557">
        <v>0</v>
      </c>
      <c r="R9557">
        <v>120</v>
      </c>
      <c r="S9557">
        <v>120</v>
      </c>
      <c r="T9557" t="s">
        <v>36129</v>
      </c>
    </row>
    <row r="9558" spans="1:20" customFormat="1" ht="15" x14ac:dyDescent="0.25">
      <c r="A9558" t="s">
        <v>35</v>
      </c>
      <c r="B9558" t="s">
        <v>61</v>
      </c>
      <c r="C9558" t="str">
        <f>"A0121448"</f>
        <v>A0121448</v>
      </c>
      <c r="D9558" t="s">
        <v>36130</v>
      </c>
      <c r="E9558" t="s">
        <v>36131</v>
      </c>
      <c r="F9558" t="s">
        <v>36132</v>
      </c>
      <c r="G9558" t="s">
        <v>110</v>
      </c>
      <c r="H9558">
        <v>92284</v>
      </c>
      <c r="I9558" t="s">
        <v>30</v>
      </c>
      <c r="J9558" t="s">
        <v>41</v>
      </c>
      <c r="K9558" t="s">
        <v>1032</v>
      </c>
      <c r="Q9558">
        <v>0</v>
      </c>
      <c r="R9558">
        <v>66</v>
      </c>
      <c r="S9558">
        <v>66</v>
      </c>
      <c r="T9558" t="s">
        <v>36133</v>
      </c>
    </row>
    <row r="9559" spans="1:20" customFormat="1" ht="15" x14ac:dyDescent="0.25">
      <c r="A9559" t="s">
        <v>35</v>
      </c>
      <c r="B9559" t="s">
        <v>61</v>
      </c>
      <c r="C9559" t="str">
        <f>"A0121449"</f>
        <v>A0121449</v>
      </c>
      <c r="D9559" t="s">
        <v>36134</v>
      </c>
      <c r="E9559" t="s">
        <v>36135</v>
      </c>
      <c r="F9559" t="s">
        <v>36132</v>
      </c>
      <c r="G9559" t="s">
        <v>110</v>
      </c>
      <c r="H9559">
        <v>92284</v>
      </c>
      <c r="I9559" t="s">
        <v>30</v>
      </c>
      <c r="J9559" t="s">
        <v>41</v>
      </c>
      <c r="K9559" t="s">
        <v>1032</v>
      </c>
      <c r="Q9559">
        <v>0</v>
      </c>
      <c r="R9559">
        <v>66</v>
      </c>
      <c r="S9559">
        <v>66</v>
      </c>
      <c r="T9559" t="s">
        <v>36133</v>
      </c>
    </row>
    <row r="9560" spans="1:20" customFormat="1" ht="15" x14ac:dyDescent="0.25">
      <c r="A9560" t="s">
        <v>35</v>
      </c>
      <c r="B9560" t="s">
        <v>61</v>
      </c>
      <c r="C9560" t="str">
        <f>"A0118857"</f>
        <v>A0118857</v>
      </c>
      <c r="D9560" t="s">
        <v>36136</v>
      </c>
      <c r="E9560" t="s">
        <v>36137</v>
      </c>
      <c r="F9560" t="s">
        <v>14749</v>
      </c>
      <c r="G9560" t="s">
        <v>110</v>
      </c>
      <c r="H9560">
        <v>93010</v>
      </c>
      <c r="I9560" t="s">
        <v>30</v>
      </c>
      <c r="J9560" t="s">
        <v>41</v>
      </c>
      <c r="K9560" t="s">
        <v>59</v>
      </c>
      <c r="Q9560">
        <v>0</v>
      </c>
      <c r="R9560">
        <v>130</v>
      </c>
      <c r="S9560">
        <v>130</v>
      </c>
      <c r="T9560" t="s">
        <v>36138</v>
      </c>
    </row>
    <row r="9561" spans="1:20" customFormat="1" ht="15" x14ac:dyDescent="0.25">
      <c r="A9561" t="s">
        <v>35</v>
      </c>
      <c r="B9561" t="s">
        <v>106</v>
      </c>
      <c r="C9561" t="str">
        <f>"A0136277"</f>
        <v>A0136277</v>
      </c>
      <c r="D9561" t="s">
        <v>36139</v>
      </c>
      <c r="E9561" t="s">
        <v>36140</v>
      </c>
      <c r="F9561" t="s">
        <v>36141</v>
      </c>
      <c r="G9561" t="s">
        <v>52</v>
      </c>
      <c r="H9561">
        <v>78717</v>
      </c>
      <c r="I9561" t="s">
        <v>30</v>
      </c>
      <c r="J9561" t="s">
        <v>111</v>
      </c>
      <c r="K9561" t="s">
        <v>112</v>
      </c>
      <c r="Q9561">
        <v>0</v>
      </c>
      <c r="R9561">
        <v>0</v>
      </c>
      <c r="S9561">
        <v>0</v>
      </c>
      <c r="T9561" t="s">
        <v>36142</v>
      </c>
    </row>
    <row r="9562" spans="1:20" customFormat="1" ht="15" x14ac:dyDescent="0.25">
      <c r="A9562" t="s">
        <v>35</v>
      </c>
      <c r="B9562" t="s">
        <v>106</v>
      </c>
      <c r="C9562" t="str">
        <f>"A0136278"</f>
        <v>A0136278</v>
      </c>
      <c r="D9562" t="s">
        <v>36143</v>
      </c>
      <c r="E9562" t="s">
        <v>36144</v>
      </c>
      <c r="F9562" t="s">
        <v>14822</v>
      </c>
      <c r="G9562" t="s">
        <v>52</v>
      </c>
      <c r="H9562">
        <v>78641</v>
      </c>
      <c r="I9562" t="s">
        <v>30</v>
      </c>
      <c r="J9562" t="s">
        <v>111</v>
      </c>
      <c r="K9562" t="s">
        <v>112</v>
      </c>
      <c r="Q9562">
        <v>0</v>
      </c>
      <c r="R9562">
        <v>0</v>
      </c>
      <c r="S9562">
        <v>0</v>
      </c>
      <c r="T9562" t="s">
        <v>36142</v>
      </c>
    </row>
    <row r="9563" spans="1:20" customFormat="1" ht="15" x14ac:dyDescent="0.25">
      <c r="A9563" t="s">
        <v>35</v>
      </c>
      <c r="B9563" t="s">
        <v>61</v>
      </c>
      <c r="C9563" t="str">
        <f>"A0151567"</f>
        <v>A0151567</v>
      </c>
      <c r="D9563" t="s">
        <v>36145</v>
      </c>
      <c r="E9563" t="s">
        <v>36146</v>
      </c>
      <c r="F9563" t="s">
        <v>36147</v>
      </c>
      <c r="G9563" t="s">
        <v>117</v>
      </c>
      <c r="H9563">
        <v>48439</v>
      </c>
      <c r="I9563" t="s">
        <v>30</v>
      </c>
      <c r="J9563" t="s">
        <v>41</v>
      </c>
      <c r="K9563" t="s">
        <v>59</v>
      </c>
      <c r="Q9563">
        <v>0</v>
      </c>
      <c r="R9563">
        <v>144</v>
      </c>
      <c r="S9563">
        <v>144</v>
      </c>
      <c r="T9563" t="s">
        <v>36148</v>
      </c>
    </row>
    <row r="9564" spans="1:20" customFormat="1" ht="15" x14ac:dyDescent="0.25">
      <c r="A9564" t="s">
        <v>35</v>
      </c>
      <c r="B9564" t="s">
        <v>61</v>
      </c>
      <c r="C9564" t="str">
        <f>"A0152991"</f>
        <v>A0152991</v>
      </c>
      <c r="D9564" t="s">
        <v>36149</v>
      </c>
      <c r="E9564" t="s">
        <v>36150</v>
      </c>
      <c r="F9564" t="s">
        <v>36151</v>
      </c>
      <c r="G9564" t="s">
        <v>117</v>
      </c>
      <c r="H9564">
        <v>48165</v>
      </c>
      <c r="I9564" t="s">
        <v>30</v>
      </c>
      <c r="J9564" t="s">
        <v>41</v>
      </c>
      <c r="K9564" t="s">
        <v>59</v>
      </c>
      <c r="Q9564">
        <v>0</v>
      </c>
      <c r="R9564">
        <v>150</v>
      </c>
      <c r="S9564">
        <v>150</v>
      </c>
      <c r="T9564" t="s">
        <v>36152</v>
      </c>
    </row>
    <row r="9565" spans="1:20" customFormat="1" ht="15" x14ac:dyDescent="0.25">
      <c r="A9565" t="s">
        <v>35</v>
      </c>
      <c r="B9565" t="s">
        <v>61</v>
      </c>
      <c r="C9565" t="str">
        <f>"A0118115"</f>
        <v>A0118115</v>
      </c>
      <c r="D9565" t="s">
        <v>36153</v>
      </c>
      <c r="E9565" t="s">
        <v>36154</v>
      </c>
      <c r="F9565" t="s">
        <v>36155</v>
      </c>
      <c r="G9565" t="s">
        <v>153</v>
      </c>
      <c r="H9565">
        <v>84043</v>
      </c>
      <c r="I9565" t="s">
        <v>30</v>
      </c>
      <c r="J9565" t="s">
        <v>41</v>
      </c>
      <c r="K9565" t="s">
        <v>59</v>
      </c>
      <c r="Q9565">
        <v>0</v>
      </c>
      <c r="R9565">
        <v>53</v>
      </c>
      <c r="S9565">
        <v>53</v>
      </c>
      <c r="T9565" t="s">
        <v>36156</v>
      </c>
    </row>
    <row r="9566" spans="1:20" customFormat="1" ht="15" x14ac:dyDescent="0.25">
      <c r="A9566" t="s">
        <v>35</v>
      </c>
      <c r="B9566" t="s">
        <v>61</v>
      </c>
      <c r="C9566" t="str">
        <f>"A0121337"</f>
        <v>A0121337</v>
      </c>
      <c r="D9566" t="s">
        <v>36157</v>
      </c>
      <c r="E9566" t="s">
        <v>36158</v>
      </c>
      <c r="F9566" t="s">
        <v>36155</v>
      </c>
      <c r="G9566" t="s">
        <v>153</v>
      </c>
      <c r="H9566">
        <v>84043</v>
      </c>
      <c r="I9566" t="s">
        <v>30</v>
      </c>
      <c r="J9566" t="s">
        <v>41</v>
      </c>
      <c r="K9566" t="s">
        <v>1032</v>
      </c>
      <c r="Q9566">
        <v>0</v>
      </c>
      <c r="R9566">
        <v>16</v>
      </c>
      <c r="S9566">
        <v>16</v>
      </c>
      <c r="T9566" t="s">
        <v>36156</v>
      </c>
    </row>
    <row r="9567" spans="1:20" customFormat="1" ht="15" x14ac:dyDescent="0.25">
      <c r="A9567" t="s">
        <v>35</v>
      </c>
      <c r="B9567" t="s">
        <v>61</v>
      </c>
      <c r="C9567" t="str">
        <f>"A0132826"</f>
        <v>A0132826</v>
      </c>
      <c r="D9567" t="s">
        <v>36159</v>
      </c>
      <c r="E9567" t="s">
        <v>36160</v>
      </c>
      <c r="F9567" t="s">
        <v>12412</v>
      </c>
      <c r="G9567" t="s">
        <v>65</v>
      </c>
      <c r="H9567">
        <v>43701</v>
      </c>
      <c r="I9567" t="s">
        <v>30</v>
      </c>
      <c r="J9567" t="s">
        <v>41</v>
      </c>
      <c r="K9567" t="s">
        <v>59</v>
      </c>
      <c r="Q9567">
        <v>0</v>
      </c>
      <c r="R9567">
        <v>47</v>
      </c>
      <c r="S9567">
        <v>47</v>
      </c>
      <c r="T9567" t="s">
        <v>36161</v>
      </c>
    </row>
    <row r="9568" spans="1:20" customFormat="1" ht="15" x14ac:dyDescent="0.25">
      <c r="A9568" t="s">
        <v>35</v>
      </c>
      <c r="B9568" t="s">
        <v>61</v>
      </c>
      <c r="C9568" t="str">
        <f>"A0123181"</f>
        <v>A0123181</v>
      </c>
      <c r="D9568" t="s">
        <v>36162</v>
      </c>
      <c r="E9568" t="s">
        <v>36163</v>
      </c>
      <c r="F9568" t="s">
        <v>36164</v>
      </c>
      <c r="G9568" t="s">
        <v>289</v>
      </c>
      <c r="H9568">
        <v>60523</v>
      </c>
      <c r="I9568" t="s">
        <v>30</v>
      </c>
      <c r="J9568" t="s">
        <v>41</v>
      </c>
      <c r="K9568" t="s">
        <v>10880</v>
      </c>
      <c r="Q9568">
        <v>0</v>
      </c>
      <c r="R9568">
        <v>0</v>
      </c>
      <c r="S9568">
        <v>0</v>
      </c>
    </row>
    <row r="9569" spans="1:20" customFormat="1" ht="15" x14ac:dyDescent="0.25">
      <c r="A9569" t="s">
        <v>35</v>
      </c>
      <c r="B9569" t="s">
        <v>61</v>
      </c>
      <c r="C9569" t="str">
        <f>"A0124113"</f>
        <v>A0124113</v>
      </c>
      <c r="D9569" t="s">
        <v>36165</v>
      </c>
      <c r="E9569" t="s">
        <v>36166</v>
      </c>
      <c r="F9569" t="s">
        <v>24381</v>
      </c>
      <c r="G9569" t="s">
        <v>117</v>
      </c>
      <c r="H9569">
        <v>48183</v>
      </c>
      <c r="I9569" t="s">
        <v>30</v>
      </c>
      <c r="J9569" t="s">
        <v>41</v>
      </c>
      <c r="K9569" t="s">
        <v>229</v>
      </c>
      <c r="Q9569">
        <v>0</v>
      </c>
      <c r="R9569">
        <v>198</v>
      </c>
      <c r="S9569">
        <v>198</v>
      </c>
      <c r="T9569" t="s">
        <v>36167</v>
      </c>
    </row>
    <row r="9570" spans="1:20" customFormat="1" ht="15" x14ac:dyDescent="0.25">
      <c r="A9570" t="s">
        <v>35</v>
      </c>
      <c r="B9570" t="s">
        <v>61</v>
      </c>
      <c r="C9570" t="str">
        <f>"A0150855"</f>
        <v>A0150855</v>
      </c>
      <c r="D9570" t="s">
        <v>36168</v>
      </c>
      <c r="E9570" t="s">
        <v>36166</v>
      </c>
      <c r="F9570" t="s">
        <v>24381</v>
      </c>
      <c r="G9570" t="s">
        <v>117</v>
      </c>
      <c r="H9570">
        <v>48183</v>
      </c>
      <c r="I9570" t="s">
        <v>30</v>
      </c>
      <c r="J9570" t="s">
        <v>41</v>
      </c>
      <c r="K9570" t="s">
        <v>229</v>
      </c>
      <c r="Q9570">
        <v>0</v>
      </c>
      <c r="R9570">
        <v>198</v>
      </c>
      <c r="S9570">
        <v>198</v>
      </c>
      <c r="T9570" t="s">
        <v>36167</v>
      </c>
    </row>
    <row r="9571" spans="1:20" customFormat="1" ht="15" x14ac:dyDescent="0.25">
      <c r="A9571" t="s">
        <v>35</v>
      </c>
      <c r="B9571" t="s">
        <v>61</v>
      </c>
      <c r="C9571" t="str">
        <f>"A0121523"</f>
        <v>A0121523</v>
      </c>
      <c r="D9571" t="s">
        <v>36169</v>
      </c>
      <c r="E9571" t="s">
        <v>36170</v>
      </c>
      <c r="F9571" t="s">
        <v>36171</v>
      </c>
      <c r="G9571" t="s">
        <v>110</v>
      </c>
      <c r="H9571">
        <v>94062</v>
      </c>
      <c r="I9571" t="s">
        <v>30</v>
      </c>
      <c r="J9571" t="s">
        <v>41</v>
      </c>
      <c r="K9571" t="s">
        <v>229</v>
      </c>
      <c r="Q9571">
        <v>0</v>
      </c>
      <c r="R9571">
        <v>30</v>
      </c>
      <c r="S9571">
        <v>30</v>
      </c>
      <c r="T9571" t="s">
        <v>36172</v>
      </c>
    </row>
    <row r="9572" spans="1:20" customFormat="1" ht="15" x14ac:dyDescent="0.25">
      <c r="A9572" t="s">
        <v>35</v>
      </c>
      <c r="B9572" t="s">
        <v>8057</v>
      </c>
      <c r="C9572" t="str">
        <f>"A0124114"</f>
        <v>A0124114</v>
      </c>
      <c r="D9572" t="s">
        <v>36173</v>
      </c>
      <c r="E9572" t="s">
        <v>36174</v>
      </c>
      <c r="F9572" t="s">
        <v>13101</v>
      </c>
      <c r="G9572" t="s">
        <v>289</v>
      </c>
      <c r="H9572">
        <v>60025</v>
      </c>
      <c r="I9572" t="s">
        <v>30</v>
      </c>
      <c r="J9572" t="s">
        <v>41</v>
      </c>
      <c r="K9572" t="s">
        <v>229</v>
      </c>
      <c r="Q9572">
        <v>0</v>
      </c>
      <c r="R9572">
        <v>120</v>
      </c>
      <c r="S9572">
        <v>192</v>
      </c>
      <c r="T9572" t="s">
        <v>36175</v>
      </c>
    </row>
    <row r="9573" spans="1:20" customFormat="1" ht="15" x14ac:dyDescent="0.25">
      <c r="A9573" t="s">
        <v>35</v>
      </c>
      <c r="B9573" t="s">
        <v>61</v>
      </c>
      <c r="C9573" t="str">
        <f>"A0132025"</f>
        <v>A0132025</v>
      </c>
      <c r="D9573" t="s">
        <v>36176</v>
      </c>
      <c r="E9573" t="s">
        <v>36177</v>
      </c>
      <c r="F9573" t="s">
        <v>967</v>
      </c>
      <c r="G9573" t="s">
        <v>65</v>
      </c>
      <c r="H9573">
        <v>448050000</v>
      </c>
      <c r="I9573" t="s">
        <v>30</v>
      </c>
      <c r="J9573" t="s">
        <v>41</v>
      </c>
      <c r="K9573" t="s">
        <v>2463</v>
      </c>
      <c r="Q9573">
        <v>0</v>
      </c>
      <c r="R9573">
        <v>1</v>
      </c>
      <c r="S9573">
        <v>1</v>
      </c>
      <c r="T9573" t="s">
        <v>36178</v>
      </c>
    </row>
    <row r="9574" spans="1:20" customFormat="1" ht="15" x14ac:dyDescent="0.25">
      <c r="A9574" t="s">
        <v>35</v>
      </c>
      <c r="B9574" t="s">
        <v>106</v>
      </c>
      <c r="C9574" t="str">
        <f>"A0136588"</f>
        <v>A0136588</v>
      </c>
      <c r="D9574" t="s">
        <v>36179</v>
      </c>
      <c r="E9574" t="s">
        <v>36180</v>
      </c>
      <c r="F9574" t="s">
        <v>36181</v>
      </c>
      <c r="G9574" t="s">
        <v>1184</v>
      </c>
      <c r="H9574">
        <v>59001</v>
      </c>
      <c r="I9574" t="s">
        <v>30</v>
      </c>
      <c r="J9574" t="s">
        <v>111</v>
      </c>
      <c r="K9574" t="s">
        <v>112</v>
      </c>
      <c r="Q9574">
        <v>0</v>
      </c>
      <c r="R9574">
        <v>0</v>
      </c>
      <c r="S9574">
        <v>0</v>
      </c>
      <c r="T9574" t="s">
        <v>36182</v>
      </c>
    </row>
    <row r="9575" spans="1:20" customFormat="1" ht="15" x14ac:dyDescent="0.25">
      <c r="A9575" t="s">
        <v>35</v>
      </c>
      <c r="B9575" t="s">
        <v>61</v>
      </c>
      <c r="C9575" t="str">
        <f>"A0121271"</f>
        <v>A0121271</v>
      </c>
      <c r="D9575" t="s">
        <v>36183</v>
      </c>
      <c r="E9575" t="s">
        <v>36184</v>
      </c>
      <c r="F9575" t="s">
        <v>36185</v>
      </c>
      <c r="G9575" t="s">
        <v>153</v>
      </c>
      <c r="H9575">
        <v>84660</v>
      </c>
      <c r="I9575" t="s">
        <v>30</v>
      </c>
      <c r="J9575" t="s">
        <v>41</v>
      </c>
      <c r="K9575" t="s">
        <v>2463</v>
      </c>
      <c r="Q9575">
        <v>0</v>
      </c>
      <c r="R9575">
        <v>0</v>
      </c>
      <c r="S9575">
        <v>0</v>
      </c>
      <c r="T9575" t="s">
        <v>36186</v>
      </c>
    </row>
    <row r="9576" spans="1:20" customFormat="1" ht="15" x14ac:dyDescent="0.25">
      <c r="A9576" t="s">
        <v>35</v>
      </c>
      <c r="B9576" t="s">
        <v>437</v>
      </c>
      <c r="C9576" t="str">
        <f>"A0134010"</f>
        <v>A0134010</v>
      </c>
      <c r="D9576" t="s">
        <v>36187</v>
      </c>
      <c r="E9576" t="s">
        <v>36188</v>
      </c>
      <c r="F9576" t="s">
        <v>36189</v>
      </c>
      <c r="G9576" t="s">
        <v>40</v>
      </c>
      <c r="H9576">
        <v>74804</v>
      </c>
      <c r="I9576" t="s">
        <v>30</v>
      </c>
      <c r="J9576" t="s">
        <v>441</v>
      </c>
      <c r="K9576" t="s">
        <v>442</v>
      </c>
      <c r="Q9576">
        <v>0</v>
      </c>
      <c r="R9576">
        <v>0</v>
      </c>
      <c r="S9576">
        <v>0</v>
      </c>
      <c r="T9576" t="s">
        <v>36190</v>
      </c>
    </row>
    <row r="9577" spans="1:20" customFormat="1" ht="15" x14ac:dyDescent="0.25">
      <c r="A9577" t="s">
        <v>35</v>
      </c>
      <c r="B9577" t="s">
        <v>61</v>
      </c>
      <c r="C9577" t="str">
        <f>"A0121850"</f>
        <v>A0121850</v>
      </c>
      <c r="D9577" t="s">
        <v>36191</v>
      </c>
      <c r="E9577" t="s">
        <v>36192</v>
      </c>
      <c r="F9577" t="s">
        <v>14693</v>
      </c>
      <c r="G9577" t="s">
        <v>110</v>
      </c>
      <c r="H9577">
        <v>92631</v>
      </c>
      <c r="I9577" t="s">
        <v>30</v>
      </c>
      <c r="J9577" t="s">
        <v>41</v>
      </c>
      <c r="K9577" t="s">
        <v>59</v>
      </c>
      <c r="Q9577">
        <v>0</v>
      </c>
      <c r="R9577">
        <v>67</v>
      </c>
      <c r="S9577">
        <v>67</v>
      </c>
      <c r="T9577" t="s">
        <v>36193</v>
      </c>
    </row>
    <row r="9578" spans="1:20" customFormat="1" ht="15" x14ac:dyDescent="0.25">
      <c r="A9578" t="s">
        <v>35</v>
      </c>
      <c r="B9578" t="s">
        <v>61</v>
      </c>
      <c r="C9578" t="str">
        <f>"A0128458"</f>
        <v>A0128458</v>
      </c>
      <c r="D9578" t="s">
        <v>36194</v>
      </c>
      <c r="E9578" t="s">
        <v>36195</v>
      </c>
      <c r="F9578" t="s">
        <v>20898</v>
      </c>
      <c r="G9578" t="s">
        <v>52</v>
      </c>
      <c r="H9578">
        <v>77845</v>
      </c>
      <c r="I9578" t="s">
        <v>30</v>
      </c>
      <c r="J9578" t="s">
        <v>41</v>
      </c>
      <c r="K9578" t="s">
        <v>229</v>
      </c>
      <c r="Q9578">
        <v>0</v>
      </c>
      <c r="R9578">
        <v>120</v>
      </c>
      <c r="S9578">
        <v>120</v>
      </c>
      <c r="T9578" t="s">
        <v>36196</v>
      </c>
    </row>
    <row r="9579" spans="1:20" customFormat="1" ht="15" x14ac:dyDescent="0.25">
      <c r="A9579" t="s">
        <v>35</v>
      </c>
      <c r="B9579" t="s">
        <v>61</v>
      </c>
      <c r="C9579" t="str">
        <f>"A0132770"</f>
        <v>A0132770</v>
      </c>
      <c r="D9579" t="s">
        <v>36197</v>
      </c>
      <c r="E9579" t="s">
        <v>36198</v>
      </c>
      <c r="F9579" t="s">
        <v>3478</v>
      </c>
      <c r="G9579" t="s">
        <v>65</v>
      </c>
      <c r="H9579">
        <v>45420</v>
      </c>
      <c r="I9579" t="s">
        <v>30</v>
      </c>
      <c r="J9579" t="s">
        <v>41</v>
      </c>
      <c r="K9579" t="s">
        <v>2468</v>
      </c>
      <c r="Q9579">
        <v>0</v>
      </c>
      <c r="R9579">
        <v>110</v>
      </c>
      <c r="S9579">
        <v>110</v>
      </c>
      <c r="T9579" t="s">
        <v>36199</v>
      </c>
    </row>
    <row r="9580" spans="1:20" customFormat="1" ht="15" x14ac:dyDescent="0.25">
      <c r="A9580" t="s">
        <v>35</v>
      </c>
      <c r="B9580" t="s">
        <v>61</v>
      </c>
      <c r="C9580" t="str">
        <f>"A0126586"</f>
        <v>A0126586</v>
      </c>
      <c r="D9580" t="s">
        <v>36200</v>
      </c>
      <c r="E9580" t="s">
        <v>36201</v>
      </c>
      <c r="F9580" t="s">
        <v>1948</v>
      </c>
      <c r="G9580" t="s">
        <v>338</v>
      </c>
      <c r="H9580">
        <v>8701</v>
      </c>
      <c r="I9580" t="s">
        <v>30</v>
      </c>
      <c r="J9580" t="s">
        <v>41</v>
      </c>
      <c r="K9580" t="s">
        <v>2463</v>
      </c>
      <c r="Q9580">
        <v>0</v>
      </c>
      <c r="R9580">
        <v>1</v>
      </c>
      <c r="S9580">
        <v>1</v>
      </c>
      <c r="T9580" t="s">
        <v>36202</v>
      </c>
    </row>
    <row r="9581" spans="1:20" customFormat="1" ht="15" x14ac:dyDescent="0.25">
      <c r="A9581" t="s">
        <v>35</v>
      </c>
      <c r="B9581" t="s">
        <v>61</v>
      </c>
      <c r="C9581" t="str">
        <f>"A0131913"</f>
        <v>A0131913</v>
      </c>
      <c r="D9581" t="s">
        <v>36203</v>
      </c>
      <c r="E9581" t="s">
        <v>36204</v>
      </c>
      <c r="F9581" t="s">
        <v>36205</v>
      </c>
      <c r="G9581" t="s">
        <v>65</v>
      </c>
      <c r="H9581">
        <v>44667</v>
      </c>
      <c r="I9581" t="s">
        <v>30</v>
      </c>
      <c r="J9581" t="s">
        <v>41</v>
      </c>
      <c r="K9581" t="s">
        <v>229</v>
      </c>
      <c r="Q9581">
        <v>0</v>
      </c>
      <c r="R9581">
        <v>100</v>
      </c>
      <c r="S9581">
        <v>100</v>
      </c>
      <c r="T9581" t="s">
        <v>36206</v>
      </c>
    </row>
    <row r="9582" spans="1:20" customFormat="1" ht="15" x14ac:dyDescent="0.25">
      <c r="A9582" t="s">
        <v>35</v>
      </c>
      <c r="B9582" t="s">
        <v>6747</v>
      </c>
      <c r="C9582" t="str">
        <f>"A0123168"</f>
        <v>A0123168</v>
      </c>
      <c r="D9582" t="s">
        <v>36207</v>
      </c>
      <c r="E9582" t="s">
        <v>36208</v>
      </c>
      <c r="F9582" t="s">
        <v>17879</v>
      </c>
      <c r="G9582" t="s">
        <v>29</v>
      </c>
      <c r="H9582">
        <v>234542499</v>
      </c>
      <c r="I9582" t="s">
        <v>30</v>
      </c>
      <c r="J9582" t="s">
        <v>41</v>
      </c>
      <c r="K9582" t="s">
        <v>229</v>
      </c>
      <c r="Q9582">
        <v>0</v>
      </c>
      <c r="R9582">
        <v>112</v>
      </c>
      <c r="S9582">
        <v>112</v>
      </c>
      <c r="T9582" t="s">
        <v>36209</v>
      </c>
    </row>
    <row r="9583" spans="1:20" customFormat="1" ht="15" x14ac:dyDescent="0.25">
      <c r="A9583" t="s">
        <v>35</v>
      </c>
      <c r="B9583" t="s">
        <v>6747</v>
      </c>
      <c r="C9583" t="str">
        <f>"A0152976"</f>
        <v>A0152976</v>
      </c>
      <c r="D9583" t="s">
        <v>36210</v>
      </c>
      <c r="E9583" t="s">
        <v>36211</v>
      </c>
      <c r="F9583" t="s">
        <v>1926</v>
      </c>
      <c r="G9583" t="s">
        <v>214</v>
      </c>
      <c r="H9583">
        <v>28212</v>
      </c>
      <c r="I9583" t="s">
        <v>30</v>
      </c>
      <c r="J9583" t="s">
        <v>41</v>
      </c>
      <c r="K9583" t="s">
        <v>229</v>
      </c>
      <c r="Q9583">
        <v>0</v>
      </c>
      <c r="R9583">
        <v>120</v>
      </c>
      <c r="S9583">
        <v>120</v>
      </c>
      <c r="T9583" t="s">
        <v>36212</v>
      </c>
    </row>
    <row r="9584" spans="1:20" customFormat="1" ht="15" x14ac:dyDescent="0.25">
      <c r="A9584" t="s">
        <v>35</v>
      </c>
      <c r="B9584" t="s">
        <v>6747</v>
      </c>
      <c r="C9584" t="str">
        <f>"A0152971"</f>
        <v>A0152971</v>
      </c>
      <c r="D9584" t="s">
        <v>36213</v>
      </c>
      <c r="E9584" t="s">
        <v>36214</v>
      </c>
      <c r="F9584" t="s">
        <v>3685</v>
      </c>
      <c r="G9584" t="s">
        <v>214</v>
      </c>
      <c r="H9584">
        <v>27401</v>
      </c>
      <c r="I9584" t="s">
        <v>30</v>
      </c>
      <c r="J9584" t="s">
        <v>41</v>
      </c>
      <c r="K9584" t="s">
        <v>229</v>
      </c>
      <c r="Q9584">
        <v>0</v>
      </c>
      <c r="R9584">
        <v>0</v>
      </c>
      <c r="S9584">
        <v>0</v>
      </c>
      <c r="T9584" t="s">
        <v>36215</v>
      </c>
    </row>
    <row r="9585" spans="1:20" customFormat="1" ht="15" x14ac:dyDescent="0.25">
      <c r="A9585" t="s">
        <v>35</v>
      </c>
      <c r="B9585" t="s">
        <v>6747</v>
      </c>
      <c r="C9585" t="str">
        <f>"A0152977"</f>
        <v>A0152977</v>
      </c>
      <c r="D9585" t="s">
        <v>36216</v>
      </c>
      <c r="E9585" t="s">
        <v>36217</v>
      </c>
      <c r="F9585" t="s">
        <v>1926</v>
      </c>
      <c r="G9585" t="s">
        <v>214</v>
      </c>
      <c r="H9585">
        <v>28205</v>
      </c>
      <c r="I9585" t="s">
        <v>30</v>
      </c>
      <c r="J9585" t="s">
        <v>41</v>
      </c>
      <c r="K9585" t="s">
        <v>229</v>
      </c>
      <c r="Q9585">
        <v>0</v>
      </c>
      <c r="R9585">
        <v>0</v>
      </c>
      <c r="S9585">
        <v>0</v>
      </c>
      <c r="T9585" t="s">
        <v>36218</v>
      </c>
    </row>
    <row r="9586" spans="1:20" customFormat="1" ht="15" x14ac:dyDescent="0.25">
      <c r="A9586" t="s">
        <v>35</v>
      </c>
      <c r="B9586" t="s">
        <v>6747</v>
      </c>
      <c r="C9586" t="str">
        <f>"A0152974"</f>
        <v>A0152974</v>
      </c>
      <c r="D9586" t="s">
        <v>36219</v>
      </c>
      <c r="E9586" t="s">
        <v>36220</v>
      </c>
      <c r="F9586" t="s">
        <v>26754</v>
      </c>
      <c r="G9586" t="s">
        <v>214</v>
      </c>
      <c r="H9586">
        <v>28112</v>
      </c>
      <c r="I9586" t="s">
        <v>30</v>
      </c>
      <c r="J9586" t="s">
        <v>41</v>
      </c>
      <c r="K9586" t="s">
        <v>229</v>
      </c>
      <c r="Q9586">
        <v>0</v>
      </c>
      <c r="R9586">
        <v>0</v>
      </c>
      <c r="S9586">
        <v>0</v>
      </c>
      <c r="T9586" t="s">
        <v>36221</v>
      </c>
    </row>
    <row r="9587" spans="1:20" customFormat="1" ht="15" x14ac:dyDescent="0.25">
      <c r="A9587" t="s">
        <v>35</v>
      </c>
      <c r="B9587" t="s">
        <v>6747</v>
      </c>
      <c r="C9587" t="str">
        <f>"A0152975"</f>
        <v>A0152975</v>
      </c>
      <c r="D9587" t="s">
        <v>36222</v>
      </c>
      <c r="E9587" t="s">
        <v>36223</v>
      </c>
      <c r="F9587" t="s">
        <v>1693</v>
      </c>
      <c r="G9587" t="s">
        <v>214</v>
      </c>
      <c r="H9587">
        <v>28115</v>
      </c>
      <c r="I9587" t="s">
        <v>30</v>
      </c>
      <c r="J9587" t="s">
        <v>41</v>
      </c>
      <c r="K9587" t="s">
        <v>229</v>
      </c>
      <c r="Q9587">
        <v>0</v>
      </c>
      <c r="R9587">
        <v>0</v>
      </c>
      <c r="S9587">
        <v>0</v>
      </c>
      <c r="T9587" t="s">
        <v>36224</v>
      </c>
    </row>
    <row r="9588" spans="1:20" customFormat="1" ht="15" x14ac:dyDescent="0.25">
      <c r="A9588" t="s">
        <v>35</v>
      </c>
      <c r="B9588" t="s">
        <v>6747</v>
      </c>
      <c r="C9588" t="str">
        <f>"A0123576"</f>
        <v>A0123576</v>
      </c>
      <c r="D9588" t="s">
        <v>36225</v>
      </c>
      <c r="E9588" t="s">
        <v>36226</v>
      </c>
      <c r="F9588" t="s">
        <v>17879</v>
      </c>
      <c r="G9588" t="s">
        <v>29</v>
      </c>
      <c r="H9588">
        <v>23452</v>
      </c>
      <c r="I9588" t="s">
        <v>30</v>
      </c>
      <c r="J9588" t="s">
        <v>41</v>
      </c>
      <c r="K9588" t="s">
        <v>229</v>
      </c>
      <c r="Q9588">
        <v>0</v>
      </c>
      <c r="R9588">
        <v>138</v>
      </c>
      <c r="S9588">
        <v>138</v>
      </c>
      <c r="T9588" t="s">
        <v>36227</v>
      </c>
    </row>
    <row r="9589" spans="1:20" customFormat="1" ht="15" x14ac:dyDescent="0.25">
      <c r="A9589" t="s">
        <v>35</v>
      </c>
      <c r="B9589" t="s">
        <v>6747</v>
      </c>
      <c r="C9589" t="str">
        <f>"A0152973"</f>
        <v>A0152973</v>
      </c>
      <c r="D9589" t="s">
        <v>36228</v>
      </c>
      <c r="E9589" t="s">
        <v>36229</v>
      </c>
      <c r="F9589" t="s">
        <v>4108</v>
      </c>
      <c r="G9589" t="s">
        <v>29</v>
      </c>
      <c r="H9589">
        <v>24016</v>
      </c>
      <c r="I9589" t="s">
        <v>30</v>
      </c>
      <c r="J9589" t="s">
        <v>41</v>
      </c>
      <c r="K9589" t="s">
        <v>229</v>
      </c>
      <c r="Q9589">
        <v>0</v>
      </c>
      <c r="R9589">
        <v>0</v>
      </c>
      <c r="S9589">
        <v>0</v>
      </c>
      <c r="T9589" t="s">
        <v>36230</v>
      </c>
    </row>
    <row r="9590" spans="1:20" customFormat="1" ht="15" x14ac:dyDescent="0.25">
      <c r="A9590" t="s">
        <v>35</v>
      </c>
      <c r="B9590" t="s">
        <v>6747</v>
      </c>
      <c r="C9590" t="str">
        <f>"A0152978"</f>
        <v>A0152978</v>
      </c>
      <c r="D9590" t="s">
        <v>36231</v>
      </c>
      <c r="E9590" t="s">
        <v>36232</v>
      </c>
      <c r="F9590" t="s">
        <v>36233</v>
      </c>
      <c r="G9590" t="s">
        <v>214</v>
      </c>
      <c r="H9590">
        <v>28677</v>
      </c>
      <c r="I9590" t="s">
        <v>30</v>
      </c>
      <c r="J9590" t="s">
        <v>41</v>
      </c>
      <c r="K9590" t="s">
        <v>229</v>
      </c>
      <c r="Q9590">
        <v>0</v>
      </c>
      <c r="R9590">
        <v>100</v>
      </c>
      <c r="S9590">
        <v>100</v>
      </c>
      <c r="T9590" t="s">
        <v>36234</v>
      </c>
    </row>
    <row r="9591" spans="1:20" customFormat="1" ht="15" x14ac:dyDescent="0.25">
      <c r="A9591" t="s">
        <v>35</v>
      </c>
      <c r="B9591" t="s">
        <v>5319</v>
      </c>
      <c r="C9591" t="str">
        <f>"A0130385"</f>
        <v>A0130385</v>
      </c>
      <c r="D9591" t="s">
        <v>36235</v>
      </c>
      <c r="E9591" t="s">
        <v>36236</v>
      </c>
      <c r="F9591" t="s">
        <v>36237</v>
      </c>
      <c r="G9591" t="s">
        <v>1898</v>
      </c>
      <c r="H9591">
        <v>51005</v>
      </c>
      <c r="I9591" t="s">
        <v>30</v>
      </c>
      <c r="J9591" t="s">
        <v>41</v>
      </c>
      <c r="K9591" t="s">
        <v>229</v>
      </c>
      <c r="Q9591">
        <v>0</v>
      </c>
      <c r="R9591">
        <v>57</v>
      </c>
      <c r="S9591">
        <v>57</v>
      </c>
      <c r="T9591" t="s">
        <v>36238</v>
      </c>
    </row>
    <row r="9592" spans="1:20" customFormat="1" ht="15" x14ac:dyDescent="0.25">
      <c r="A9592" t="s">
        <v>35</v>
      </c>
      <c r="B9592" t="s">
        <v>5319</v>
      </c>
      <c r="C9592" t="str">
        <f>"A0130323"</f>
        <v>A0130323</v>
      </c>
      <c r="D9592" t="s">
        <v>36239</v>
      </c>
      <c r="E9592" t="s">
        <v>36240</v>
      </c>
      <c r="F9592" t="s">
        <v>36241</v>
      </c>
      <c r="G9592" t="s">
        <v>1898</v>
      </c>
      <c r="H9592">
        <v>52033</v>
      </c>
      <c r="I9592" t="s">
        <v>30</v>
      </c>
      <c r="J9592" t="s">
        <v>41</v>
      </c>
      <c r="K9592" t="s">
        <v>229</v>
      </c>
      <c r="Q9592">
        <v>0</v>
      </c>
      <c r="R9592">
        <v>70</v>
      </c>
      <c r="S9592">
        <v>70</v>
      </c>
      <c r="T9592" t="s">
        <v>36242</v>
      </c>
    </row>
    <row r="9593" spans="1:20" customFormat="1" ht="15" x14ac:dyDescent="0.25">
      <c r="A9593" t="s">
        <v>35</v>
      </c>
      <c r="B9593" t="s">
        <v>61</v>
      </c>
      <c r="C9593" t="str">
        <f>"A0129970"</f>
        <v>A0129970</v>
      </c>
      <c r="D9593" t="s">
        <v>36243</v>
      </c>
      <c r="E9593" t="s">
        <v>36244</v>
      </c>
      <c r="F9593" t="s">
        <v>1420</v>
      </c>
      <c r="G9593" t="s">
        <v>880</v>
      </c>
      <c r="H9593">
        <v>37210</v>
      </c>
      <c r="I9593" t="s">
        <v>30</v>
      </c>
      <c r="J9593" t="s">
        <v>41</v>
      </c>
      <c r="K9593" t="s">
        <v>2463</v>
      </c>
      <c r="Q9593">
        <v>0</v>
      </c>
      <c r="R9593">
        <v>0</v>
      </c>
      <c r="S9593">
        <v>0</v>
      </c>
      <c r="T9593" t="s">
        <v>36245</v>
      </c>
    </row>
    <row r="9594" spans="1:20" customFormat="1" ht="15" x14ac:dyDescent="0.25">
      <c r="A9594" t="s">
        <v>35</v>
      </c>
      <c r="B9594" t="s">
        <v>106</v>
      </c>
      <c r="C9594" t="str">
        <f>"A0136314"</f>
        <v>A0136314</v>
      </c>
      <c r="D9594" t="s">
        <v>36246</v>
      </c>
      <c r="E9594" t="s">
        <v>36247</v>
      </c>
      <c r="F9594" t="s">
        <v>36248</v>
      </c>
      <c r="G9594" t="s">
        <v>1369</v>
      </c>
      <c r="H9594">
        <v>39120</v>
      </c>
      <c r="I9594" t="s">
        <v>30</v>
      </c>
      <c r="J9594" t="s">
        <v>111</v>
      </c>
      <c r="K9594" t="s">
        <v>112</v>
      </c>
      <c r="Q9594">
        <v>0</v>
      </c>
      <c r="R9594">
        <v>0</v>
      </c>
      <c r="S9594">
        <v>0</v>
      </c>
      <c r="T9594" t="s">
        <v>36249</v>
      </c>
    </row>
    <row r="9595" spans="1:20" customFormat="1" ht="15" x14ac:dyDescent="0.25">
      <c r="A9595" t="s">
        <v>35</v>
      </c>
      <c r="B9595" t="s">
        <v>61</v>
      </c>
      <c r="C9595" t="str">
        <f>"A0118536"</f>
        <v>A0118536</v>
      </c>
      <c r="D9595" t="s">
        <v>36250</v>
      </c>
      <c r="E9595" t="s">
        <v>36251</v>
      </c>
      <c r="F9595" t="s">
        <v>8081</v>
      </c>
      <c r="G9595" t="s">
        <v>110</v>
      </c>
      <c r="H9595">
        <v>94103</v>
      </c>
      <c r="I9595" t="s">
        <v>30</v>
      </c>
      <c r="J9595" t="s">
        <v>41</v>
      </c>
      <c r="K9595" t="s">
        <v>290</v>
      </c>
      <c r="Q9595">
        <v>0</v>
      </c>
      <c r="R9595">
        <v>1</v>
      </c>
      <c r="S9595">
        <v>1</v>
      </c>
      <c r="T9595" t="s">
        <v>36252</v>
      </c>
    </row>
    <row r="9596" spans="1:20" customFormat="1" ht="15" x14ac:dyDescent="0.25">
      <c r="A9596" t="s">
        <v>35</v>
      </c>
      <c r="B9596" t="s">
        <v>61</v>
      </c>
      <c r="C9596" t="str">
        <f>"A0121522"</f>
        <v>A0121522</v>
      </c>
      <c r="D9596" t="s">
        <v>36253</v>
      </c>
      <c r="E9596" t="s">
        <v>36254</v>
      </c>
      <c r="F9596" t="s">
        <v>12718</v>
      </c>
      <c r="G9596" t="s">
        <v>110</v>
      </c>
      <c r="H9596">
        <v>95531</v>
      </c>
      <c r="I9596" t="s">
        <v>30</v>
      </c>
      <c r="J9596" t="s">
        <v>41</v>
      </c>
      <c r="K9596" t="s">
        <v>482</v>
      </c>
      <c r="Q9596">
        <v>0</v>
      </c>
      <c r="R9596">
        <v>56</v>
      </c>
      <c r="S9596">
        <v>56</v>
      </c>
      <c r="T9596" t="s">
        <v>36255</v>
      </c>
    </row>
    <row r="9597" spans="1:20" customFormat="1" ht="15" x14ac:dyDescent="0.25">
      <c r="A9597" t="s">
        <v>35</v>
      </c>
      <c r="B9597" t="s">
        <v>8631</v>
      </c>
      <c r="C9597" t="str">
        <f>"A0123185"</f>
        <v>A0123185</v>
      </c>
      <c r="D9597" t="s">
        <v>36256</v>
      </c>
      <c r="E9597" t="s">
        <v>36257</v>
      </c>
      <c r="F9597" t="s">
        <v>36258</v>
      </c>
      <c r="G9597" t="s">
        <v>81</v>
      </c>
      <c r="H9597">
        <v>33711</v>
      </c>
      <c r="I9597" t="s">
        <v>30</v>
      </c>
      <c r="J9597" t="s">
        <v>41</v>
      </c>
      <c r="K9597" t="s">
        <v>59</v>
      </c>
      <c r="Q9597">
        <v>0</v>
      </c>
      <c r="R9597">
        <v>219</v>
      </c>
      <c r="S9597">
        <v>219</v>
      </c>
      <c r="T9597" t="s">
        <v>36259</v>
      </c>
    </row>
    <row r="9598" spans="1:20" customFormat="1" ht="15" x14ac:dyDescent="0.25">
      <c r="A9598" t="s">
        <v>35</v>
      </c>
      <c r="B9598" t="s">
        <v>61</v>
      </c>
      <c r="C9598" t="str">
        <f>"A0124423"</f>
        <v>A0124423</v>
      </c>
      <c r="D9598" t="s">
        <v>36260</v>
      </c>
      <c r="E9598" t="s">
        <v>36261</v>
      </c>
      <c r="F9598" t="s">
        <v>9923</v>
      </c>
      <c r="G9598" t="s">
        <v>289</v>
      </c>
      <c r="H9598">
        <v>60123</v>
      </c>
      <c r="I9598" t="s">
        <v>30</v>
      </c>
      <c r="J9598" t="s">
        <v>41</v>
      </c>
      <c r="K9598" t="s">
        <v>482</v>
      </c>
      <c r="Q9598">
        <v>0</v>
      </c>
      <c r="R9598">
        <v>0</v>
      </c>
      <c r="S9598">
        <v>0</v>
      </c>
      <c r="T9598" t="s">
        <v>36262</v>
      </c>
    </row>
    <row r="9599" spans="1:20" customFormat="1" ht="15" x14ac:dyDescent="0.25">
      <c r="A9599" t="s">
        <v>35</v>
      </c>
      <c r="B9599" t="s">
        <v>61</v>
      </c>
      <c r="C9599" t="str">
        <f>"A0126048"</f>
        <v>A0126048</v>
      </c>
      <c r="D9599" t="s">
        <v>36263</v>
      </c>
      <c r="E9599" t="s">
        <v>36264</v>
      </c>
      <c r="F9599" t="s">
        <v>4674</v>
      </c>
      <c r="G9599" t="s">
        <v>314</v>
      </c>
      <c r="H9599">
        <v>200151543</v>
      </c>
      <c r="I9599" t="s">
        <v>30</v>
      </c>
      <c r="J9599" t="s">
        <v>41</v>
      </c>
      <c r="K9599" t="s">
        <v>229</v>
      </c>
      <c r="Q9599">
        <v>0</v>
      </c>
      <c r="R9599">
        <v>69</v>
      </c>
      <c r="S9599">
        <v>69</v>
      </c>
      <c r="T9599" t="s">
        <v>36265</v>
      </c>
    </row>
    <row r="9600" spans="1:20" customFormat="1" ht="15" x14ac:dyDescent="0.25">
      <c r="A9600" t="s">
        <v>35</v>
      </c>
      <c r="B9600" t="s">
        <v>61</v>
      </c>
      <c r="C9600" t="str">
        <f>"A0152966"</f>
        <v>A0152966</v>
      </c>
      <c r="D9600" t="s">
        <v>36266</v>
      </c>
      <c r="E9600" t="s">
        <v>36267</v>
      </c>
      <c r="F9600" t="s">
        <v>20988</v>
      </c>
      <c r="G9600" t="s">
        <v>52</v>
      </c>
      <c r="H9600">
        <v>77833</v>
      </c>
      <c r="I9600" t="s">
        <v>30</v>
      </c>
      <c r="J9600" t="s">
        <v>41</v>
      </c>
      <c r="K9600" t="s">
        <v>42</v>
      </c>
      <c r="Q9600">
        <v>0</v>
      </c>
      <c r="R9600">
        <v>0</v>
      </c>
      <c r="S9600">
        <v>0</v>
      </c>
      <c r="T9600" t="s">
        <v>36268</v>
      </c>
    </row>
    <row r="9601" spans="1:20" customFormat="1" ht="15" x14ac:dyDescent="0.25">
      <c r="A9601" t="s">
        <v>35</v>
      </c>
      <c r="B9601" t="s">
        <v>61</v>
      </c>
      <c r="C9601" t="str">
        <f>"A0130983"</f>
        <v>A0130983</v>
      </c>
      <c r="D9601" t="s">
        <v>36269</v>
      </c>
      <c r="E9601" t="s">
        <v>36270</v>
      </c>
      <c r="F9601" t="s">
        <v>1755</v>
      </c>
      <c r="G9601" t="s">
        <v>137</v>
      </c>
      <c r="H9601">
        <v>658030000</v>
      </c>
      <c r="I9601" t="s">
        <v>30</v>
      </c>
      <c r="J9601" t="s">
        <v>41</v>
      </c>
      <c r="K9601" t="s">
        <v>391</v>
      </c>
      <c r="Q9601">
        <v>0</v>
      </c>
      <c r="R9601">
        <v>60</v>
      </c>
      <c r="S9601">
        <v>60</v>
      </c>
      <c r="T9601" t="s">
        <v>36271</v>
      </c>
    </row>
    <row r="9602" spans="1:20" customFormat="1" ht="15" x14ac:dyDescent="0.25">
      <c r="A9602" t="s">
        <v>35</v>
      </c>
      <c r="B9602" t="s">
        <v>61</v>
      </c>
      <c r="C9602" t="str">
        <f>"A0130908"</f>
        <v>A0130908</v>
      </c>
      <c r="D9602" t="s">
        <v>36272</v>
      </c>
      <c r="E9602" t="s">
        <v>36273</v>
      </c>
      <c r="F9602" t="s">
        <v>36274</v>
      </c>
      <c r="G9602" t="s">
        <v>137</v>
      </c>
      <c r="H9602">
        <v>63730</v>
      </c>
      <c r="I9602" t="s">
        <v>30</v>
      </c>
      <c r="J9602" t="s">
        <v>41</v>
      </c>
      <c r="K9602" t="s">
        <v>59</v>
      </c>
      <c r="Q9602">
        <v>0</v>
      </c>
      <c r="R9602">
        <v>50</v>
      </c>
      <c r="S9602">
        <v>50</v>
      </c>
      <c r="T9602" t="s">
        <v>36275</v>
      </c>
    </row>
    <row r="9603" spans="1:20" customFormat="1" ht="15" x14ac:dyDescent="0.25">
      <c r="A9603" t="s">
        <v>35</v>
      </c>
      <c r="B9603" t="s">
        <v>61</v>
      </c>
      <c r="C9603" t="str">
        <f>"A0131175"</f>
        <v>A0131175</v>
      </c>
      <c r="D9603" t="s">
        <v>36276</v>
      </c>
      <c r="E9603" t="s">
        <v>36277</v>
      </c>
      <c r="F9603" t="s">
        <v>36278</v>
      </c>
      <c r="G9603" t="s">
        <v>137</v>
      </c>
      <c r="H9603">
        <v>63638</v>
      </c>
      <c r="I9603" t="s">
        <v>30</v>
      </c>
      <c r="J9603" t="s">
        <v>41</v>
      </c>
      <c r="K9603" t="s">
        <v>3713</v>
      </c>
      <c r="Q9603">
        <v>0</v>
      </c>
      <c r="R9603">
        <v>1</v>
      </c>
      <c r="S9603">
        <v>1</v>
      </c>
      <c r="T9603" t="s">
        <v>36279</v>
      </c>
    </row>
    <row r="9604" spans="1:20" customFormat="1" ht="15" x14ac:dyDescent="0.25">
      <c r="A9604" t="s">
        <v>35</v>
      </c>
      <c r="B9604" t="s">
        <v>61</v>
      </c>
      <c r="C9604" t="str">
        <f>"A0126267"</f>
        <v>A0126267</v>
      </c>
      <c r="D9604" t="s">
        <v>36280</v>
      </c>
      <c r="E9604" t="s">
        <v>36281</v>
      </c>
      <c r="F9604" t="s">
        <v>22236</v>
      </c>
      <c r="G9604" t="s">
        <v>81</v>
      </c>
      <c r="H9604">
        <v>33065</v>
      </c>
      <c r="I9604" t="s">
        <v>30</v>
      </c>
      <c r="J9604" t="s">
        <v>41</v>
      </c>
      <c r="K9604" t="s">
        <v>2463</v>
      </c>
      <c r="Q9604">
        <v>0</v>
      </c>
      <c r="R9604">
        <v>1</v>
      </c>
      <c r="S9604">
        <v>1</v>
      </c>
      <c r="T9604" t="s">
        <v>36282</v>
      </c>
    </row>
    <row r="9605" spans="1:20" customFormat="1" ht="15" x14ac:dyDescent="0.25">
      <c r="A9605" t="s">
        <v>35</v>
      </c>
      <c r="B9605" t="s">
        <v>54</v>
      </c>
      <c r="C9605" t="str">
        <f>"A0152983"</f>
        <v>A0152983</v>
      </c>
      <c r="D9605" t="s">
        <v>36283</v>
      </c>
      <c r="E9605" t="s">
        <v>36284</v>
      </c>
      <c r="F9605" t="s">
        <v>36285</v>
      </c>
      <c r="G9605" t="s">
        <v>85</v>
      </c>
      <c r="H9605">
        <v>71730</v>
      </c>
      <c r="I9605" t="s">
        <v>30</v>
      </c>
      <c r="J9605" t="s">
        <v>41</v>
      </c>
      <c r="K9605" t="s">
        <v>229</v>
      </c>
      <c r="Q9605">
        <v>0</v>
      </c>
      <c r="R9605">
        <v>122</v>
      </c>
      <c r="S9605">
        <v>122</v>
      </c>
      <c r="T9605" t="s">
        <v>36286</v>
      </c>
    </row>
    <row r="9606" spans="1:20" customFormat="1" ht="15" x14ac:dyDescent="0.25">
      <c r="A9606" t="s">
        <v>35</v>
      </c>
      <c r="B9606" t="s">
        <v>61</v>
      </c>
      <c r="C9606" t="str">
        <f>"A0152945"</f>
        <v>A0152945</v>
      </c>
      <c r="D9606" t="s">
        <v>36287</v>
      </c>
      <c r="E9606" t="s">
        <v>36288</v>
      </c>
      <c r="F9606" t="s">
        <v>3180</v>
      </c>
      <c r="G9606" t="s">
        <v>846</v>
      </c>
      <c r="H9606">
        <v>30135</v>
      </c>
      <c r="I9606" t="s">
        <v>30</v>
      </c>
      <c r="J9606" t="s">
        <v>41</v>
      </c>
      <c r="K9606" t="s">
        <v>229</v>
      </c>
      <c r="Q9606">
        <v>0</v>
      </c>
      <c r="R9606">
        <v>131</v>
      </c>
      <c r="S9606">
        <v>131</v>
      </c>
      <c r="T9606" t="s">
        <v>36289</v>
      </c>
    </row>
    <row r="9607" spans="1:20" customFormat="1" ht="15" x14ac:dyDescent="0.25">
      <c r="A9607" t="s">
        <v>35</v>
      </c>
      <c r="B9607" t="s">
        <v>61</v>
      </c>
      <c r="C9607" t="str">
        <f>"A0118809"</f>
        <v>A0118809</v>
      </c>
      <c r="D9607" t="s">
        <v>36290</v>
      </c>
      <c r="E9607" t="s">
        <v>36291</v>
      </c>
      <c r="F9607" t="s">
        <v>27698</v>
      </c>
      <c r="G9607" t="s">
        <v>110</v>
      </c>
      <c r="H9607">
        <v>92705</v>
      </c>
      <c r="I9607" t="s">
        <v>30</v>
      </c>
      <c r="J9607" t="s">
        <v>41</v>
      </c>
      <c r="K9607" t="s">
        <v>229</v>
      </c>
      <c r="Q9607">
        <v>0</v>
      </c>
      <c r="R9607">
        <v>99</v>
      </c>
      <c r="S9607">
        <v>99</v>
      </c>
      <c r="T9607" t="s">
        <v>36292</v>
      </c>
    </row>
    <row r="9608" spans="1:20" customFormat="1" ht="15" x14ac:dyDescent="0.25">
      <c r="A9608" t="s">
        <v>35</v>
      </c>
      <c r="B9608" t="s">
        <v>61</v>
      </c>
      <c r="C9608" t="str">
        <f>"A0129080"</f>
        <v>A0129080</v>
      </c>
      <c r="D9608" t="s">
        <v>36293</v>
      </c>
      <c r="E9608" t="s">
        <v>36294</v>
      </c>
      <c r="F9608" t="s">
        <v>36295</v>
      </c>
      <c r="G9608" t="s">
        <v>289</v>
      </c>
      <c r="H9608">
        <v>60142</v>
      </c>
      <c r="I9608" t="s">
        <v>30</v>
      </c>
      <c r="J9608" t="s">
        <v>41</v>
      </c>
      <c r="K9608" t="s">
        <v>2463</v>
      </c>
      <c r="Q9608">
        <v>0</v>
      </c>
      <c r="R9608">
        <v>0</v>
      </c>
      <c r="S9608">
        <v>0</v>
      </c>
      <c r="T9608" t="s">
        <v>36296</v>
      </c>
    </row>
    <row r="9609" spans="1:20" customFormat="1" ht="15" x14ac:dyDescent="0.25">
      <c r="A9609" t="s">
        <v>35</v>
      </c>
      <c r="B9609" t="s">
        <v>61</v>
      </c>
      <c r="C9609" t="str">
        <f>"A0129951"</f>
        <v>A0129951</v>
      </c>
      <c r="D9609" t="s">
        <v>36297</v>
      </c>
      <c r="E9609" t="s">
        <v>36298</v>
      </c>
      <c r="F9609" t="s">
        <v>32895</v>
      </c>
      <c r="G9609" t="s">
        <v>880</v>
      </c>
      <c r="H9609">
        <v>373090000</v>
      </c>
      <c r="I9609" t="s">
        <v>30</v>
      </c>
      <c r="J9609" t="s">
        <v>41</v>
      </c>
      <c r="K9609" t="s">
        <v>131</v>
      </c>
      <c r="Q9609">
        <v>0</v>
      </c>
      <c r="R9609">
        <v>34</v>
      </c>
      <c r="S9609">
        <v>34</v>
      </c>
      <c r="T9609" t="s">
        <v>36299</v>
      </c>
    </row>
    <row r="9610" spans="1:20" customFormat="1" ht="15" x14ac:dyDescent="0.25">
      <c r="A9610" t="s">
        <v>35</v>
      </c>
      <c r="B9610" t="s">
        <v>61</v>
      </c>
      <c r="C9610" t="str">
        <f>"A0150967"</f>
        <v>A0150967</v>
      </c>
      <c r="D9610" t="s">
        <v>36300</v>
      </c>
      <c r="E9610" t="s">
        <v>36301</v>
      </c>
      <c r="F9610" t="s">
        <v>19508</v>
      </c>
      <c r="G9610" t="s">
        <v>65</v>
      </c>
      <c r="H9610">
        <v>44685</v>
      </c>
      <c r="I9610" t="s">
        <v>30</v>
      </c>
      <c r="J9610" t="s">
        <v>41</v>
      </c>
      <c r="K9610" t="s">
        <v>391</v>
      </c>
      <c r="Q9610">
        <v>0</v>
      </c>
      <c r="R9610">
        <v>0</v>
      </c>
      <c r="S9610">
        <v>0</v>
      </c>
      <c r="T9610" t="s">
        <v>36302</v>
      </c>
    </row>
    <row r="9611" spans="1:20" customFormat="1" ht="15" x14ac:dyDescent="0.25">
      <c r="A9611" t="s">
        <v>35</v>
      </c>
      <c r="B9611" t="s">
        <v>61</v>
      </c>
      <c r="C9611" t="str">
        <f>"A0150854"</f>
        <v>A0150854</v>
      </c>
      <c r="D9611" t="s">
        <v>36303</v>
      </c>
      <c r="E9611" t="s">
        <v>36304</v>
      </c>
      <c r="F9611" t="s">
        <v>15052</v>
      </c>
      <c r="G9611" t="s">
        <v>117</v>
      </c>
      <c r="H9611">
        <v>48193</v>
      </c>
      <c r="I9611" t="s">
        <v>30</v>
      </c>
      <c r="J9611" t="s">
        <v>41</v>
      </c>
      <c r="K9611" t="s">
        <v>229</v>
      </c>
      <c r="Q9611">
        <v>0</v>
      </c>
      <c r="R9611">
        <v>78</v>
      </c>
      <c r="S9611">
        <v>78</v>
      </c>
      <c r="T9611" t="s">
        <v>36305</v>
      </c>
    </row>
    <row r="9612" spans="1:20" customFormat="1" ht="15" x14ac:dyDescent="0.25">
      <c r="A9612" t="s">
        <v>35</v>
      </c>
      <c r="B9612" t="s">
        <v>61</v>
      </c>
      <c r="C9612" t="str">
        <f>"A0121287"</f>
        <v>A0121287</v>
      </c>
      <c r="D9612" t="s">
        <v>36306</v>
      </c>
      <c r="E9612" t="s">
        <v>36307</v>
      </c>
      <c r="F9612" t="s">
        <v>36308</v>
      </c>
      <c r="G9612" t="s">
        <v>153</v>
      </c>
      <c r="H9612">
        <v>84042</v>
      </c>
      <c r="I9612" t="s">
        <v>30</v>
      </c>
      <c r="J9612" t="s">
        <v>41</v>
      </c>
      <c r="K9612" t="s">
        <v>2477</v>
      </c>
      <c r="Q9612">
        <v>0</v>
      </c>
      <c r="R9612">
        <v>0</v>
      </c>
      <c r="S9612">
        <v>0</v>
      </c>
      <c r="T9612" t="s">
        <v>36309</v>
      </c>
    </row>
    <row r="9613" spans="1:20" customFormat="1" ht="15" x14ac:dyDescent="0.25">
      <c r="A9613" t="s">
        <v>35</v>
      </c>
      <c r="B9613" t="s">
        <v>437</v>
      </c>
      <c r="C9613" t="str">
        <f>"A0133849"</f>
        <v>A0133849</v>
      </c>
      <c r="D9613" t="s">
        <v>36310</v>
      </c>
      <c r="E9613" t="s">
        <v>36311</v>
      </c>
      <c r="F9613" t="s">
        <v>14686</v>
      </c>
      <c r="G9613" t="s">
        <v>110</v>
      </c>
      <c r="H9613">
        <v>91301</v>
      </c>
      <c r="I9613" t="s">
        <v>30</v>
      </c>
      <c r="J9613" t="s">
        <v>441</v>
      </c>
      <c r="K9613" t="s">
        <v>442</v>
      </c>
      <c r="Q9613">
        <v>0</v>
      </c>
      <c r="R9613">
        <v>0</v>
      </c>
      <c r="S9613">
        <v>0</v>
      </c>
      <c r="T9613" t="s">
        <v>36312</v>
      </c>
    </row>
    <row r="9614" spans="1:20" customFormat="1" ht="15" x14ac:dyDescent="0.25">
      <c r="A9614" t="s">
        <v>35</v>
      </c>
      <c r="B9614" t="s">
        <v>61</v>
      </c>
      <c r="C9614" t="str">
        <f>"A0132739"</f>
        <v>A0132739</v>
      </c>
      <c r="D9614" t="s">
        <v>36313</v>
      </c>
      <c r="E9614" t="s">
        <v>36314</v>
      </c>
      <c r="F9614" t="s">
        <v>1959</v>
      </c>
      <c r="G9614" t="s">
        <v>65</v>
      </c>
      <c r="H9614">
        <v>44307</v>
      </c>
      <c r="I9614" t="s">
        <v>30</v>
      </c>
      <c r="J9614" t="s">
        <v>41</v>
      </c>
      <c r="K9614" t="s">
        <v>104</v>
      </c>
      <c r="Q9614">
        <v>0</v>
      </c>
      <c r="R9614">
        <v>0</v>
      </c>
      <c r="S9614">
        <v>0</v>
      </c>
      <c r="T9614" t="s">
        <v>36315</v>
      </c>
    </row>
    <row r="9615" spans="1:20" customFormat="1" ht="15" x14ac:dyDescent="0.25">
      <c r="A9615" t="s">
        <v>35</v>
      </c>
      <c r="B9615" t="s">
        <v>61</v>
      </c>
      <c r="C9615" t="str">
        <f>"A0130441"</f>
        <v>A0130441</v>
      </c>
      <c r="D9615" t="s">
        <v>36316</v>
      </c>
      <c r="E9615" t="s">
        <v>36317</v>
      </c>
      <c r="F9615" t="s">
        <v>1959</v>
      </c>
      <c r="G9615" t="s">
        <v>1898</v>
      </c>
      <c r="H9615">
        <v>51001</v>
      </c>
      <c r="I9615" t="s">
        <v>30</v>
      </c>
      <c r="J9615" t="s">
        <v>41</v>
      </c>
      <c r="K9615" t="s">
        <v>229</v>
      </c>
      <c r="Q9615">
        <v>0</v>
      </c>
      <c r="R9615">
        <v>45</v>
      </c>
      <c r="S9615">
        <v>45</v>
      </c>
      <c r="T9615" t="s">
        <v>36318</v>
      </c>
    </row>
    <row r="9616" spans="1:20" customFormat="1" ht="15" x14ac:dyDescent="0.25">
      <c r="A9616" t="s">
        <v>35</v>
      </c>
      <c r="B9616" t="s">
        <v>61</v>
      </c>
      <c r="C9616" t="str">
        <f>"A0123183"</f>
        <v>A0123183</v>
      </c>
      <c r="D9616" t="s">
        <v>36319</v>
      </c>
      <c r="E9616" t="s">
        <v>36320</v>
      </c>
      <c r="F9616" t="s">
        <v>635</v>
      </c>
      <c r="G9616" t="s">
        <v>214</v>
      </c>
      <c r="H9616">
        <v>27215</v>
      </c>
      <c r="I9616" t="s">
        <v>30</v>
      </c>
      <c r="J9616" t="s">
        <v>41</v>
      </c>
      <c r="K9616" t="s">
        <v>229</v>
      </c>
      <c r="Q9616">
        <v>0</v>
      </c>
      <c r="R9616">
        <v>180</v>
      </c>
      <c r="S9616">
        <v>180</v>
      </c>
      <c r="T9616" t="s">
        <v>36321</v>
      </c>
    </row>
    <row r="9617" spans="1:20" customFormat="1" ht="15" x14ac:dyDescent="0.25">
      <c r="A9617" t="s">
        <v>35</v>
      </c>
      <c r="B9617" t="s">
        <v>61</v>
      </c>
      <c r="C9617" t="str">
        <f>"A0119278"</f>
        <v>A0119278</v>
      </c>
      <c r="D9617" t="s">
        <v>36322</v>
      </c>
      <c r="E9617" t="s">
        <v>36323</v>
      </c>
      <c r="F9617" t="s">
        <v>21823</v>
      </c>
      <c r="G9617" t="s">
        <v>110</v>
      </c>
      <c r="H9617">
        <v>94501</v>
      </c>
      <c r="I9617" t="s">
        <v>30</v>
      </c>
      <c r="J9617" t="s">
        <v>41</v>
      </c>
      <c r="K9617" t="s">
        <v>3713</v>
      </c>
      <c r="Q9617">
        <v>0</v>
      </c>
      <c r="R9617">
        <v>30</v>
      </c>
      <c r="S9617">
        <v>30</v>
      </c>
      <c r="T9617" t="s">
        <v>36324</v>
      </c>
    </row>
    <row r="9618" spans="1:20" customFormat="1" ht="15" x14ac:dyDescent="0.25">
      <c r="A9618" t="s">
        <v>35</v>
      </c>
      <c r="B9618" t="s">
        <v>61</v>
      </c>
      <c r="C9618" t="str">
        <f>"A0127661"</f>
        <v>A0127661</v>
      </c>
      <c r="D9618" t="s">
        <v>36325</v>
      </c>
      <c r="E9618" t="s">
        <v>36326</v>
      </c>
      <c r="F9618" t="s">
        <v>11695</v>
      </c>
      <c r="G9618" t="s">
        <v>117</v>
      </c>
      <c r="H9618">
        <v>490090000</v>
      </c>
      <c r="I9618" t="s">
        <v>30</v>
      </c>
      <c r="J9618" t="s">
        <v>41</v>
      </c>
      <c r="K9618" t="s">
        <v>229</v>
      </c>
      <c r="Q9618">
        <v>0</v>
      </c>
      <c r="R9618">
        <v>100</v>
      </c>
      <c r="S9618">
        <v>100</v>
      </c>
      <c r="T9618" t="s">
        <v>36327</v>
      </c>
    </row>
    <row r="9619" spans="1:20" customFormat="1" ht="15" x14ac:dyDescent="0.25">
      <c r="A9619" t="s">
        <v>35</v>
      </c>
      <c r="B9619" t="s">
        <v>106</v>
      </c>
      <c r="C9619" t="str">
        <f>"A0136269"</f>
        <v>A0136269</v>
      </c>
      <c r="D9619" t="s">
        <v>36328</v>
      </c>
      <c r="E9619" t="s">
        <v>36329</v>
      </c>
      <c r="F9619" t="s">
        <v>22374</v>
      </c>
      <c r="G9619" t="s">
        <v>137</v>
      </c>
      <c r="H9619">
        <v>64402</v>
      </c>
      <c r="I9619" t="s">
        <v>30</v>
      </c>
      <c r="J9619" t="s">
        <v>111</v>
      </c>
      <c r="K9619" t="s">
        <v>112</v>
      </c>
      <c r="Q9619">
        <v>0</v>
      </c>
      <c r="R9619">
        <v>0</v>
      </c>
      <c r="S9619">
        <v>0</v>
      </c>
      <c r="T9619" t="s">
        <v>36330</v>
      </c>
    </row>
    <row r="9620" spans="1:20" customFormat="1" ht="15" x14ac:dyDescent="0.25">
      <c r="A9620" t="s">
        <v>35</v>
      </c>
      <c r="B9620" t="s">
        <v>61</v>
      </c>
      <c r="C9620" t="str">
        <f>"A0118401"</f>
        <v>A0118401</v>
      </c>
      <c r="D9620" t="s">
        <v>36331</v>
      </c>
      <c r="E9620" t="s">
        <v>36332</v>
      </c>
      <c r="F9620" t="s">
        <v>5742</v>
      </c>
      <c r="G9620" t="s">
        <v>110</v>
      </c>
      <c r="H9620">
        <v>95825</v>
      </c>
      <c r="I9620" t="s">
        <v>30</v>
      </c>
      <c r="J9620" t="s">
        <v>41</v>
      </c>
      <c r="K9620" t="s">
        <v>59</v>
      </c>
      <c r="Q9620">
        <v>0</v>
      </c>
      <c r="R9620">
        <v>80</v>
      </c>
      <c r="S9620">
        <v>80</v>
      </c>
      <c r="T9620" t="s">
        <v>36333</v>
      </c>
    </row>
    <row r="9621" spans="1:20" customFormat="1" ht="15" x14ac:dyDescent="0.25">
      <c r="A9621" t="s">
        <v>35</v>
      </c>
      <c r="B9621" t="s">
        <v>61</v>
      </c>
      <c r="C9621" t="str">
        <f>"A0124573"</f>
        <v>A0124573</v>
      </c>
      <c r="D9621" t="s">
        <v>36334</v>
      </c>
      <c r="E9621" t="s">
        <v>36335</v>
      </c>
      <c r="F9621" t="s">
        <v>29499</v>
      </c>
      <c r="G9621" t="s">
        <v>1706</v>
      </c>
      <c r="H9621">
        <v>359510000</v>
      </c>
      <c r="I9621" t="s">
        <v>30</v>
      </c>
      <c r="J9621" t="s">
        <v>41</v>
      </c>
      <c r="K9621" t="s">
        <v>229</v>
      </c>
      <c r="Q9621">
        <v>0</v>
      </c>
      <c r="R9621">
        <v>133</v>
      </c>
      <c r="S9621">
        <v>133</v>
      </c>
      <c r="T9621" t="s">
        <v>36336</v>
      </c>
    </row>
    <row r="9622" spans="1:20" customFormat="1" ht="15" x14ac:dyDescent="0.25">
      <c r="A9622" t="s">
        <v>35</v>
      </c>
      <c r="B9622" t="s">
        <v>61</v>
      </c>
      <c r="C9622" t="str">
        <f>"A0121238"</f>
        <v>A0121238</v>
      </c>
      <c r="D9622" t="s">
        <v>36337</v>
      </c>
      <c r="E9622" t="s">
        <v>36338</v>
      </c>
      <c r="F9622" t="s">
        <v>16848</v>
      </c>
      <c r="G9622" t="s">
        <v>1587</v>
      </c>
      <c r="H9622">
        <v>87106</v>
      </c>
      <c r="I9622" t="s">
        <v>30</v>
      </c>
      <c r="J9622" t="s">
        <v>41</v>
      </c>
      <c r="K9622" t="s">
        <v>59</v>
      </c>
      <c r="Q9622">
        <v>0</v>
      </c>
      <c r="R9622">
        <v>152</v>
      </c>
      <c r="S9622">
        <v>152</v>
      </c>
      <c r="T9622" t="s">
        <v>36339</v>
      </c>
    </row>
    <row r="9623" spans="1:20" customFormat="1" ht="15" x14ac:dyDescent="0.25">
      <c r="A9623" t="s">
        <v>35</v>
      </c>
      <c r="B9623" t="s">
        <v>61</v>
      </c>
      <c r="C9623" t="str">
        <f>"A0130742"</f>
        <v>A0130742</v>
      </c>
      <c r="D9623" t="s">
        <v>36340</v>
      </c>
      <c r="E9623" t="s">
        <v>36341</v>
      </c>
      <c r="F9623" t="s">
        <v>36342</v>
      </c>
      <c r="G9623" t="s">
        <v>3236</v>
      </c>
      <c r="H9623">
        <v>57001</v>
      </c>
      <c r="I9623" t="s">
        <v>30</v>
      </c>
      <c r="J9623" t="s">
        <v>41</v>
      </c>
      <c r="K9623" t="s">
        <v>229</v>
      </c>
      <c r="Q9623">
        <v>0</v>
      </c>
      <c r="R9623">
        <v>53</v>
      </c>
      <c r="S9623">
        <v>53</v>
      </c>
      <c r="T9623" t="s">
        <v>36343</v>
      </c>
    </row>
    <row r="9624" spans="1:20" customFormat="1" ht="15" x14ac:dyDescent="0.25">
      <c r="A9624" t="s">
        <v>35</v>
      </c>
      <c r="B9624" t="s">
        <v>61</v>
      </c>
      <c r="C9624" t="str">
        <f>"A0118546"</f>
        <v>A0118546</v>
      </c>
      <c r="D9624" t="s">
        <v>36344</v>
      </c>
      <c r="E9624" t="s">
        <v>36345</v>
      </c>
      <c r="F9624" t="s">
        <v>36346</v>
      </c>
      <c r="G9624" t="s">
        <v>110</v>
      </c>
      <c r="H9624">
        <v>95695</v>
      </c>
      <c r="I9624" t="s">
        <v>30</v>
      </c>
      <c r="J9624" t="s">
        <v>41</v>
      </c>
      <c r="K9624" t="s">
        <v>229</v>
      </c>
      <c r="Q9624">
        <v>0</v>
      </c>
      <c r="R9624">
        <v>155</v>
      </c>
      <c r="S9624">
        <v>155</v>
      </c>
      <c r="T9624" t="s">
        <v>36347</v>
      </c>
    </row>
    <row r="9625" spans="1:20" customFormat="1" ht="15" x14ac:dyDescent="0.25">
      <c r="A9625" t="s">
        <v>35</v>
      </c>
      <c r="B9625" t="s">
        <v>61</v>
      </c>
      <c r="C9625" t="str">
        <f>"A0124016"</f>
        <v>A0124016</v>
      </c>
      <c r="D9625" t="s">
        <v>36348</v>
      </c>
      <c r="E9625" t="s">
        <v>36349</v>
      </c>
      <c r="F9625" t="s">
        <v>29545</v>
      </c>
      <c r="G9625" t="s">
        <v>214</v>
      </c>
      <c r="H9625">
        <v>28681</v>
      </c>
      <c r="I9625" t="s">
        <v>30</v>
      </c>
      <c r="J9625" t="s">
        <v>41</v>
      </c>
      <c r="K9625" t="s">
        <v>482</v>
      </c>
      <c r="Q9625">
        <v>0</v>
      </c>
      <c r="R9625">
        <v>1</v>
      </c>
      <c r="S9625">
        <v>1</v>
      </c>
      <c r="T9625" t="s">
        <v>36350</v>
      </c>
    </row>
    <row r="9626" spans="1:20" customFormat="1" ht="15" x14ac:dyDescent="0.25">
      <c r="A9626" t="s">
        <v>35</v>
      </c>
      <c r="B9626" t="s">
        <v>61</v>
      </c>
      <c r="C9626" t="str">
        <f>"A0133531"</f>
        <v>A0133531</v>
      </c>
      <c r="D9626" t="s">
        <v>36351</v>
      </c>
      <c r="E9626" t="s">
        <v>36352</v>
      </c>
      <c r="F9626" t="s">
        <v>4774</v>
      </c>
      <c r="G9626" t="s">
        <v>52</v>
      </c>
      <c r="H9626">
        <v>77388</v>
      </c>
      <c r="I9626" t="s">
        <v>30</v>
      </c>
      <c r="J9626" t="s">
        <v>41</v>
      </c>
      <c r="K9626" t="s">
        <v>391</v>
      </c>
      <c r="Q9626">
        <v>0</v>
      </c>
      <c r="R9626">
        <v>0</v>
      </c>
      <c r="S9626">
        <v>0</v>
      </c>
      <c r="T9626" t="s">
        <v>36353</v>
      </c>
    </row>
    <row r="9627" spans="1:20" customFormat="1" ht="15" x14ac:dyDescent="0.25">
      <c r="A9627" t="s">
        <v>35</v>
      </c>
      <c r="B9627" t="s">
        <v>61</v>
      </c>
      <c r="C9627" t="str">
        <f>"A0133532"</f>
        <v>A0133532</v>
      </c>
      <c r="D9627" t="s">
        <v>36354</v>
      </c>
      <c r="E9627" t="s">
        <v>36355</v>
      </c>
      <c r="F9627" t="s">
        <v>4774</v>
      </c>
      <c r="G9627" t="s">
        <v>52</v>
      </c>
      <c r="H9627">
        <v>77373</v>
      </c>
      <c r="I9627" t="s">
        <v>30</v>
      </c>
      <c r="J9627" t="s">
        <v>41</v>
      </c>
      <c r="K9627" t="s">
        <v>391</v>
      </c>
      <c r="Q9627">
        <v>0</v>
      </c>
      <c r="R9627">
        <v>0</v>
      </c>
      <c r="S9627">
        <v>0</v>
      </c>
      <c r="T9627" t="s">
        <v>36356</v>
      </c>
    </row>
    <row r="9628" spans="1:20" customFormat="1" ht="15" x14ac:dyDescent="0.25">
      <c r="A9628" t="s">
        <v>35</v>
      </c>
      <c r="B9628" t="s">
        <v>61</v>
      </c>
      <c r="C9628" t="str">
        <f>"A0132810"</f>
        <v>A0132810</v>
      </c>
      <c r="D9628" t="s">
        <v>36357</v>
      </c>
      <c r="E9628" t="s">
        <v>36358</v>
      </c>
      <c r="F9628" t="s">
        <v>19203</v>
      </c>
      <c r="G9628" t="s">
        <v>381</v>
      </c>
      <c r="H9628">
        <v>460010000</v>
      </c>
      <c r="I9628" t="s">
        <v>30</v>
      </c>
      <c r="J9628" t="s">
        <v>41</v>
      </c>
      <c r="K9628" t="s">
        <v>229</v>
      </c>
      <c r="Q9628">
        <v>0</v>
      </c>
      <c r="R9628">
        <v>70</v>
      </c>
      <c r="S9628">
        <v>70</v>
      </c>
      <c r="T9628" t="s">
        <v>36359</v>
      </c>
    </row>
    <row r="9629" spans="1:20" customFormat="1" ht="15" x14ac:dyDescent="0.25">
      <c r="A9629" t="s">
        <v>35</v>
      </c>
      <c r="B9629" t="s">
        <v>61</v>
      </c>
      <c r="C9629" t="str">
        <f>"A0121684"</f>
        <v>A0121684</v>
      </c>
      <c r="D9629" t="s">
        <v>36360</v>
      </c>
      <c r="E9629" t="s">
        <v>36361</v>
      </c>
      <c r="F9629" t="s">
        <v>36362</v>
      </c>
      <c r="G9629" t="s">
        <v>110</v>
      </c>
      <c r="H9629">
        <v>94553</v>
      </c>
      <c r="I9629" t="s">
        <v>30</v>
      </c>
      <c r="J9629" t="s">
        <v>41</v>
      </c>
      <c r="K9629" t="s">
        <v>229</v>
      </c>
      <c r="Q9629">
        <v>0</v>
      </c>
      <c r="R9629">
        <v>44</v>
      </c>
      <c r="S9629">
        <v>44</v>
      </c>
      <c r="T9629" t="s">
        <v>36363</v>
      </c>
    </row>
    <row r="9630" spans="1:20" customFormat="1" ht="15" x14ac:dyDescent="0.25">
      <c r="A9630" t="s">
        <v>35</v>
      </c>
      <c r="B9630" t="s">
        <v>61</v>
      </c>
      <c r="C9630" t="str">
        <f>"A0128923"</f>
        <v>A0128923</v>
      </c>
      <c r="D9630" t="s">
        <v>36364</v>
      </c>
      <c r="E9630" t="s">
        <v>36365</v>
      </c>
      <c r="F9630" t="s">
        <v>12852</v>
      </c>
      <c r="G9630" t="s">
        <v>289</v>
      </c>
      <c r="H9630">
        <v>62001</v>
      </c>
      <c r="I9630" t="s">
        <v>30</v>
      </c>
      <c r="J9630" t="s">
        <v>41</v>
      </c>
      <c r="K9630" t="s">
        <v>229</v>
      </c>
      <c r="Q9630">
        <v>0</v>
      </c>
      <c r="R9630">
        <v>82</v>
      </c>
      <c r="S9630">
        <v>82</v>
      </c>
      <c r="T9630" t="s">
        <v>36366</v>
      </c>
    </row>
    <row r="9631" spans="1:20" customFormat="1" ht="15" x14ac:dyDescent="0.25">
      <c r="A9631" t="s">
        <v>35</v>
      </c>
      <c r="B9631" t="s">
        <v>61</v>
      </c>
      <c r="C9631" t="str">
        <f>"A0125895"</f>
        <v>A0125895</v>
      </c>
      <c r="D9631" t="s">
        <v>36367</v>
      </c>
      <c r="E9631" t="s">
        <v>36368</v>
      </c>
      <c r="F9631" t="s">
        <v>4082</v>
      </c>
      <c r="G9631" t="s">
        <v>123</v>
      </c>
      <c r="H9631">
        <v>21211</v>
      </c>
      <c r="I9631" t="s">
        <v>30</v>
      </c>
      <c r="J9631" t="s">
        <v>41</v>
      </c>
      <c r="K9631" t="s">
        <v>229</v>
      </c>
      <c r="Q9631">
        <v>0</v>
      </c>
      <c r="R9631">
        <v>130</v>
      </c>
      <c r="S9631">
        <v>130</v>
      </c>
      <c r="T9631" t="s">
        <v>36369</v>
      </c>
    </row>
    <row r="9632" spans="1:20" customFormat="1" ht="15" x14ac:dyDescent="0.25">
      <c r="A9632" t="s">
        <v>35</v>
      </c>
      <c r="B9632" t="s">
        <v>61</v>
      </c>
      <c r="C9632" t="str">
        <f>"A0124574"</f>
        <v>A0124574</v>
      </c>
      <c r="D9632" t="s">
        <v>36370</v>
      </c>
      <c r="E9632" t="s">
        <v>36371</v>
      </c>
      <c r="F9632" t="s">
        <v>36372</v>
      </c>
      <c r="G9632" t="s">
        <v>1706</v>
      </c>
      <c r="H9632">
        <v>354420000</v>
      </c>
      <c r="I9632" t="s">
        <v>30</v>
      </c>
      <c r="J9632" t="s">
        <v>41</v>
      </c>
      <c r="K9632" t="s">
        <v>229</v>
      </c>
      <c r="Q9632">
        <v>0</v>
      </c>
      <c r="R9632">
        <v>80</v>
      </c>
      <c r="S9632">
        <v>80</v>
      </c>
      <c r="T9632" t="s">
        <v>36373</v>
      </c>
    </row>
    <row r="9633" spans="1:20" customFormat="1" ht="15" x14ac:dyDescent="0.25">
      <c r="A9633" t="s">
        <v>35</v>
      </c>
      <c r="B9633" t="s">
        <v>61</v>
      </c>
      <c r="C9633" t="str">
        <f>"A0154066"</f>
        <v>A0154066</v>
      </c>
      <c r="D9633" t="s">
        <v>36374</v>
      </c>
      <c r="E9633" t="s">
        <v>36375</v>
      </c>
      <c r="F9633" t="s">
        <v>16371</v>
      </c>
      <c r="G9633" t="s">
        <v>846</v>
      </c>
      <c r="H9633">
        <v>30024</v>
      </c>
      <c r="I9633" t="s">
        <v>30</v>
      </c>
      <c r="J9633" t="s">
        <v>41</v>
      </c>
      <c r="K9633" t="s">
        <v>4317</v>
      </c>
      <c r="Q9633">
        <v>0</v>
      </c>
      <c r="R9633">
        <v>0</v>
      </c>
      <c r="S9633">
        <v>0</v>
      </c>
      <c r="T9633" t="s">
        <v>36376</v>
      </c>
    </row>
    <row r="9634" spans="1:20" customFormat="1" ht="15" x14ac:dyDescent="0.25">
      <c r="A9634" t="s">
        <v>35</v>
      </c>
      <c r="B9634" t="s">
        <v>61</v>
      </c>
      <c r="C9634" t="str">
        <f>"A0132837"</f>
        <v>A0132837</v>
      </c>
      <c r="D9634" t="s">
        <v>36377</v>
      </c>
      <c r="E9634" t="s">
        <v>36378</v>
      </c>
      <c r="F9634" t="s">
        <v>7112</v>
      </c>
      <c r="G9634" t="s">
        <v>65</v>
      </c>
      <c r="H9634">
        <v>43725</v>
      </c>
      <c r="I9634" t="s">
        <v>30</v>
      </c>
      <c r="J9634" t="s">
        <v>41</v>
      </c>
      <c r="K9634" t="s">
        <v>391</v>
      </c>
      <c r="Q9634">
        <v>0</v>
      </c>
      <c r="R9634">
        <v>0</v>
      </c>
      <c r="S9634">
        <v>0</v>
      </c>
      <c r="T9634" t="s">
        <v>36379</v>
      </c>
    </row>
    <row r="9635" spans="1:20" customFormat="1" ht="15" x14ac:dyDescent="0.25">
      <c r="A9635" t="s">
        <v>35</v>
      </c>
      <c r="B9635" t="s">
        <v>61</v>
      </c>
      <c r="C9635" t="str">
        <f>"A0126274"</f>
        <v>A0126274</v>
      </c>
      <c r="D9635" t="s">
        <v>36380</v>
      </c>
      <c r="E9635" t="s">
        <v>36381</v>
      </c>
      <c r="F9635" t="s">
        <v>4645</v>
      </c>
      <c r="G9635" t="s">
        <v>81</v>
      </c>
      <c r="H9635">
        <v>32244</v>
      </c>
      <c r="I9635" t="s">
        <v>30</v>
      </c>
      <c r="J9635" t="s">
        <v>41</v>
      </c>
      <c r="K9635" t="s">
        <v>229</v>
      </c>
      <c r="Q9635">
        <v>0</v>
      </c>
      <c r="R9635">
        <v>120</v>
      </c>
      <c r="S9635">
        <v>120</v>
      </c>
      <c r="T9635" t="s">
        <v>36382</v>
      </c>
    </row>
    <row r="9636" spans="1:20" customFormat="1" ht="15" x14ac:dyDescent="0.25">
      <c r="A9636" t="s">
        <v>35</v>
      </c>
      <c r="B9636" t="s">
        <v>61</v>
      </c>
      <c r="C9636" t="str">
        <f>"A0127979"</f>
        <v>A0127979</v>
      </c>
      <c r="D9636" t="s">
        <v>36383</v>
      </c>
      <c r="E9636" t="s">
        <v>36384</v>
      </c>
      <c r="F9636" t="s">
        <v>25665</v>
      </c>
      <c r="G9636" t="s">
        <v>117</v>
      </c>
      <c r="H9636">
        <v>483070000</v>
      </c>
      <c r="I9636" t="s">
        <v>30</v>
      </c>
      <c r="J9636" t="s">
        <v>41</v>
      </c>
      <c r="K9636" t="s">
        <v>11521</v>
      </c>
      <c r="Q9636">
        <v>0</v>
      </c>
      <c r="R9636">
        <v>143</v>
      </c>
      <c r="S9636">
        <v>143</v>
      </c>
      <c r="T9636" t="s">
        <v>36385</v>
      </c>
    </row>
    <row r="9637" spans="1:20" customFormat="1" ht="15" x14ac:dyDescent="0.25">
      <c r="A9637" t="s">
        <v>35</v>
      </c>
      <c r="B9637" t="s">
        <v>61</v>
      </c>
      <c r="C9637" t="str">
        <f>"A0132124"</f>
        <v>A0132124</v>
      </c>
      <c r="D9637" t="s">
        <v>36386</v>
      </c>
      <c r="E9637" t="s">
        <v>36387</v>
      </c>
      <c r="F9637" t="s">
        <v>36388</v>
      </c>
      <c r="G9637" t="s">
        <v>65</v>
      </c>
      <c r="H9637">
        <v>44432</v>
      </c>
      <c r="I9637" t="s">
        <v>30</v>
      </c>
      <c r="J9637" t="s">
        <v>41</v>
      </c>
      <c r="K9637" t="s">
        <v>59</v>
      </c>
      <c r="Q9637">
        <v>0</v>
      </c>
      <c r="R9637">
        <v>20</v>
      </c>
      <c r="S9637">
        <v>20</v>
      </c>
      <c r="T9637" t="s">
        <v>36389</v>
      </c>
    </row>
    <row r="9638" spans="1:20" customFormat="1" ht="15" x14ac:dyDescent="0.25">
      <c r="A9638" t="s">
        <v>35</v>
      </c>
      <c r="B9638" t="s">
        <v>61</v>
      </c>
      <c r="C9638" t="str">
        <f>"A0118746"</f>
        <v>A0118746</v>
      </c>
      <c r="D9638" t="s">
        <v>36390</v>
      </c>
      <c r="E9638" t="s">
        <v>36391</v>
      </c>
      <c r="F9638" t="s">
        <v>36392</v>
      </c>
      <c r="G9638" t="s">
        <v>110</v>
      </c>
      <c r="H9638">
        <v>91761</v>
      </c>
      <c r="I9638" t="s">
        <v>30</v>
      </c>
      <c r="J9638" t="s">
        <v>41</v>
      </c>
      <c r="K9638" t="s">
        <v>2463</v>
      </c>
      <c r="Q9638">
        <v>0</v>
      </c>
      <c r="R9638">
        <v>1</v>
      </c>
      <c r="S9638">
        <v>1</v>
      </c>
      <c r="T9638" t="s">
        <v>36393</v>
      </c>
    </row>
    <row r="9639" spans="1:20" customFormat="1" ht="15" x14ac:dyDescent="0.25">
      <c r="A9639" t="s">
        <v>35</v>
      </c>
      <c r="B9639" t="s">
        <v>61</v>
      </c>
      <c r="C9639" t="str">
        <f>"A0123632"</f>
        <v>A0123632</v>
      </c>
      <c r="D9639" t="s">
        <v>36394</v>
      </c>
      <c r="E9639" t="s">
        <v>36395</v>
      </c>
      <c r="F9639" t="s">
        <v>13867</v>
      </c>
      <c r="G9639" t="s">
        <v>29</v>
      </c>
      <c r="H9639">
        <v>24426</v>
      </c>
      <c r="I9639" t="s">
        <v>30</v>
      </c>
      <c r="J9639" t="s">
        <v>41</v>
      </c>
      <c r="K9639" t="s">
        <v>482</v>
      </c>
      <c r="Q9639">
        <v>0</v>
      </c>
      <c r="R9639">
        <v>36</v>
      </c>
      <c r="S9639">
        <v>36</v>
      </c>
      <c r="T9639" t="s">
        <v>36396</v>
      </c>
    </row>
    <row r="9640" spans="1:20" customFormat="1" ht="15" x14ac:dyDescent="0.25">
      <c r="A9640" t="s">
        <v>35</v>
      </c>
      <c r="B9640" t="s">
        <v>61</v>
      </c>
      <c r="C9640" t="str">
        <f>"A0123184"</f>
        <v>A0123184</v>
      </c>
      <c r="D9640" t="s">
        <v>36397</v>
      </c>
      <c r="E9640" t="s">
        <v>36398</v>
      </c>
      <c r="F9640" t="s">
        <v>8417</v>
      </c>
      <c r="G9640" t="s">
        <v>214</v>
      </c>
      <c r="H9640">
        <v>28675</v>
      </c>
      <c r="I9640" t="s">
        <v>30</v>
      </c>
      <c r="J9640" t="s">
        <v>41</v>
      </c>
      <c r="K9640" t="s">
        <v>229</v>
      </c>
      <c r="Q9640">
        <v>0</v>
      </c>
      <c r="R9640">
        <v>90</v>
      </c>
      <c r="S9640">
        <v>90</v>
      </c>
      <c r="T9640" t="s">
        <v>36399</v>
      </c>
    </row>
    <row r="9641" spans="1:20" customFormat="1" ht="15" x14ac:dyDescent="0.25">
      <c r="A9641" t="s">
        <v>35</v>
      </c>
      <c r="B9641" t="s">
        <v>61</v>
      </c>
      <c r="C9641" t="str">
        <f>"A0124115"</f>
        <v>A0124115</v>
      </c>
      <c r="D9641" t="s">
        <v>36400</v>
      </c>
      <c r="E9641" t="s">
        <v>36401</v>
      </c>
      <c r="F9641" t="s">
        <v>36402</v>
      </c>
      <c r="G9641" t="s">
        <v>103</v>
      </c>
      <c r="H9641" t="s">
        <v>36403</v>
      </c>
      <c r="I9641" t="s">
        <v>30</v>
      </c>
      <c r="J9641" t="s">
        <v>41</v>
      </c>
      <c r="K9641" t="s">
        <v>482</v>
      </c>
      <c r="Q9641">
        <v>0</v>
      </c>
      <c r="R9641">
        <v>45</v>
      </c>
      <c r="S9641">
        <v>45</v>
      </c>
      <c r="T9641" t="s">
        <v>36404</v>
      </c>
    </row>
    <row r="9642" spans="1:20" customFormat="1" ht="15" x14ac:dyDescent="0.25">
      <c r="A9642" t="s">
        <v>35</v>
      </c>
      <c r="B9642" t="s">
        <v>61</v>
      </c>
      <c r="C9642" t="str">
        <f>"A0124575"</f>
        <v>A0124575</v>
      </c>
      <c r="D9642" t="s">
        <v>36405</v>
      </c>
      <c r="E9642" t="s">
        <v>36406</v>
      </c>
      <c r="F9642" t="s">
        <v>36407</v>
      </c>
      <c r="G9642" t="s">
        <v>1706</v>
      </c>
      <c r="H9642">
        <v>366030000</v>
      </c>
      <c r="I9642" t="s">
        <v>30</v>
      </c>
      <c r="J9642" t="s">
        <v>41</v>
      </c>
      <c r="K9642" t="s">
        <v>229</v>
      </c>
      <c r="Q9642">
        <v>0</v>
      </c>
      <c r="R9642">
        <v>94</v>
      </c>
      <c r="S9642">
        <v>94</v>
      </c>
      <c r="T9642" t="s">
        <v>36408</v>
      </c>
    </row>
    <row r="9643" spans="1:20" customFormat="1" ht="15" x14ac:dyDescent="0.25">
      <c r="A9643" t="s">
        <v>35</v>
      </c>
      <c r="B9643" t="s">
        <v>61</v>
      </c>
      <c r="C9643" t="str">
        <f>"A0129968"</f>
        <v>A0129968</v>
      </c>
      <c r="D9643" t="s">
        <v>36409</v>
      </c>
      <c r="E9643" t="s">
        <v>19063</v>
      </c>
      <c r="F9643" t="s">
        <v>1501</v>
      </c>
      <c r="G9643" t="s">
        <v>880</v>
      </c>
      <c r="H9643">
        <v>38111</v>
      </c>
      <c r="I9643" t="s">
        <v>30</v>
      </c>
      <c r="J9643" t="s">
        <v>41</v>
      </c>
      <c r="K9643" t="s">
        <v>229</v>
      </c>
      <c r="Q9643">
        <v>0</v>
      </c>
      <c r="R9643">
        <v>104</v>
      </c>
      <c r="S9643">
        <v>104</v>
      </c>
      <c r="T9643" t="s">
        <v>36410</v>
      </c>
    </row>
    <row r="9644" spans="1:20" customFormat="1" ht="15" x14ac:dyDescent="0.25">
      <c r="A9644" t="s">
        <v>35</v>
      </c>
      <c r="B9644" t="s">
        <v>61</v>
      </c>
      <c r="C9644" t="str">
        <f>"A0128778"</f>
        <v>A0128778</v>
      </c>
      <c r="D9644" t="s">
        <v>36411</v>
      </c>
      <c r="E9644" t="s">
        <v>36412</v>
      </c>
      <c r="F9644" t="s">
        <v>22196</v>
      </c>
      <c r="G9644" t="s">
        <v>1170</v>
      </c>
      <c r="H9644">
        <v>71463</v>
      </c>
      <c r="I9644" t="s">
        <v>30</v>
      </c>
      <c r="J9644" t="s">
        <v>41</v>
      </c>
      <c r="K9644" t="s">
        <v>229</v>
      </c>
      <c r="Q9644">
        <v>0</v>
      </c>
      <c r="R9644">
        <v>0</v>
      </c>
      <c r="S9644">
        <v>0</v>
      </c>
      <c r="T9644" t="s">
        <v>36413</v>
      </c>
    </row>
    <row r="9645" spans="1:20" customFormat="1" ht="15" x14ac:dyDescent="0.25">
      <c r="A9645" t="s">
        <v>35</v>
      </c>
      <c r="B9645" t="s">
        <v>61</v>
      </c>
      <c r="C9645" t="str">
        <f>"A0126633"</f>
        <v>A0126633</v>
      </c>
      <c r="D9645" t="s">
        <v>36414</v>
      </c>
      <c r="E9645" t="s">
        <v>36415</v>
      </c>
      <c r="F9645" t="s">
        <v>36416</v>
      </c>
      <c r="G9645" t="s">
        <v>338</v>
      </c>
      <c r="H9645">
        <v>7401</v>
      </c>
      <c r="I9645" t="s">
        <v>30</v>
      </c>
      <c r="J9645" t="s">
        <v>41</v>
      </c>
      <c r="K9645" t="s">
        <v>229</v>
      </c>
      <c r="Q9645">
        <v>0</v>
      </c>
      <c r="R9645">
        <v>120</v>
      </c>
      <c r="S9645">
        <v>120</v>
      </c>
      <c r="T9645" t="s">
        <v>36417</v>
      </c>
    </row>
    <row r="9646" spans="1:20" customFormat="1" ht="15" x14ac:dyDescent="0.25">
      <c r="A9646" t="s">
        <v>35</v>
      </c>
      <c r="B9646" t="s">
        <v>61</v>
      </c>
      <c r="C9646" t="str">
        <f>"A0123186"</f>
        <v>A0123186</v>
      </c>
      <c r="D9646" t="s">
        <v>36418</v>
      </c>
      <c r="E9646" t="s">
        <v>36419</v>
      </c>
      <c r="F9646" t="s">
        <v>11715</v>
      </c>
      <c r="G9646" t="s">
        <v>29</v>
      </c>
      <c r="H9646">
        <v>23701</v>
      </c>
      <c r="I9646" t="s">
        <v>30</v>
      </c>
      <c r="J9646" t="s">
        <v>41</v>
      </c>
      <c r="K9646" t="s">
        <v>59</v>
      </c>
      <c r="Q9646">
        <v>0</v>
      </c>
      <c r="R9646">
        <v>66</v>
      </c>
      <c r="S9646">
        <v>66</v>
      </c>
      <c r="T9646" t="s">
        <v>36420</v>
      </c>
    </row>
    <row r="9647" spans="1:20" customFormat="1" ht="15" x14ac:dyDescent="0.25">
      <c r="A9647" t="s">
        <v>35</v>
      </c>
      <c r="B9647" t="s">
        <v>61</v>
      </c>
      <c r="C9647" t="str">
        <f>"A0127722"</f>
        <v>A0127722</v>
      </c>
      <c r="D9647" t="s">
        <v>36421</v>
      </c>
      <c r="E9647" t="s">
        <v>36422</v>
      </c>
      <c r="F9647" t="s">
        <v>8846</v>
      </c>
      <c r="G9647" t="s">
        <v>117</v>
      </c>
      <c r="H9647">
        <v>48224</v>
      </c>
      <c r="I9647" t="s">
        <v>30</v>
      </c>
      <c r="J9647" t="s">
        <v>41</v>
      </c>
      <c r="K9647" t="s">
        <v>2463</v>
      </c>
      <c r="Q9647">
        <v>0</v>
      </c>
      <c r="R9647">
        <v>1</v>
      </c>
      <c r="S9647">
        <v>1</v>
      </c>
      <c r="T9647" t="s">
        <v>36423</v>
      </c>
    </row>
    <row r="9648" spans="1:20" customFormat="1" ht="15" x14ac:dyDescent="0.25">
      <c r="A9648" t="s">
        <v>35</v>
      </c>
      <c r="B9648" t="s">
        <v>61</v>
      </c>
      <c r="C9648" t="str">
        <f>"A0132829"</f>
        <v>A0132829</v>
      </c>
      <c r="D9648" t="s">
        <v>36424</v>
      </c>
      <c r="E9648" t="s">
        <v>36425</v>
      </c>
      <c r="F9648" t="s">
        <v>7112</v>
      </c>
      <c r="G9648" t="s">
        <v>65</v>
      </c>
      <c r="H9648">
        <v>43725</v>
      </c>
      <c r="I9648" t="s">
        <v>30</v>
      </c>
      <c r="J9648" t="s">
        <v>41</v>
      </c>
      <c r="K9648" t="s">
        <v>66</v>
      </c>
      <c r="Q9648">
        <v>0</v>
      </c>
      <c r="R9648">
        <v>16</v>
      </c>
      <c r="S9648">
        <v>16</v>
      </c>
      <c r="T9648" t="s">
        <v>36426</v>
      </c>
    </row>
    <row r="9649" spans="1:20" customFormat="1" ht="15" x14ac:dyDescent="0.25">
      <c r="A9649" t="s">
        <v>35</v>
      </c>
      <c r="B9649" t="s">
        <v>61</v>
      </c>
      <c r="C9649" t="str">
        <f>"A0131185"</f>
        <v>A0131185</v>
      </c>
      <c r="D9649" t="s">
        <v>36427</v>
      </c>
      <c r="E9649" t="s">
        <v>36428</v>
      </c>
      <c r="F9649" t="s">
        <v>30566</v>
      </c>
      <c r="G9649" t="s">
        <v>85</v>
      </c>
      <c r="H9649">
        <v>729210000</v>
      </c>
      <c r="I9649" t="s">
        <v>30</v>
      </c>
      <c r="J9649" t="s">
        <v>41</v>
      </c>
      <c r="K9649" t="s">
        <v>2760</v>
      </c>
      <c r="Q9649">
        <v>0</v>
      </c>
      <c r="R9649">
        <v>1</v>
      </c>
      <c r="S9649">
        <v>1</v>
      </c>
      <c r="T9649" t="s">
        <v>36429</v>
      </c>
    </row>
    <row r="9650" spans="1:20" customFormat="1" ht="15" x14ac:dyDescent="0.25">
      <c r="A9650" t="s">
        <v>35</v>
      </c>
      <c r="B9650" t="s">
        <v>61</v>
      </c>
      <c r="C9650" t="str">
        <f>"A0127878"</f>
        <v>A0127878</v>
      </c>
      <c r="D9650" t="s">
        <v>36430</v>
      </c>
      <c r="E9650" t="s">
        <v>36431</v>
      </c>
      <c r="F9650" t="s">
        <v>27017</v>
      </c>
      <c r="G9650" t="s">
        <v>117</v>
      </c>
      <c r="H9650">
        <v>49707</v>
      </c>
      <c r="I9650" t="s">
        <v>30</v>
      </c>
      <c r="J9650" t="s">
        <v>41</v>
      </c>
      <c r="K9650" t="s">
        <v>8643</v>
      </c>
      <c r="Q9650">
        <v>0</v>
      </c>
      <c r="R9650">
        <v>0</v>
      </c>
      <c r="S9650">
        <v>0</v>
      </c>
      <c r="T9650" t="s">
        <v>36432</v>
      </c>
    </row>
    <row r="9651" spans="1:20" customFormat="1" ht="15" x14ac:dyDescent="0.25">
      <c r="A9651" t="s">
        <v>35</v>
      </c>
      <c r="B9651" t="s">
        <v>106</v>
      </c>
      <c r="C9651" t="str">
        <f>"A0135302"</f>
        <v>A0135302</v>
      </c>
      <c r="D9651" t="s">
        <v>36433</v>
      </c>
      <c r="E9651" t="s">
        <v>36434</v>
      </c>
      <c r="F9651" t="s">
        <v>22478</v>
      </c>
      <c r="G9651" t="s">
        <v>214</v>
      </c>
      <c r="H9651">
        <v>27514</v>
      </c>
      <c r="I9651" t="s">
        <v>30</v>
      </c>
      <c r="J9651" t="s">
        <v>111</v>
      </c>
      <c r="K9651" t="s">
        <v>112</v>
      </c>
      <c r="Q9651">
        <v>0</v>
      </c>
      <c r="R9651">
        <v>0</v>
      </c>
      <c r="S9651">
        <v>0</v>
      </c>
      <c r="T9651" t="s">
        <v>36435</v>
      </c>
    </row>
    <row r="9652" spans="1:20" customFormat="1" ht="15" x14ac:dyDescent="0.25">
      <c r="A9652" t="s">
        <v>35</v>
      </c>
      <c r="B9652" t="s">
        <v>106</v>
      </c>
      <c r="C9652" t="str">
        <f>"A0135883"</f>
        <v>A0135883</v>
      </c>
      <c r="D9652" t="s">
        <v>36436</v>
      </c>
      <c r="E9652" t="s">
        <v>36437</v>
      </c>
      <c r="F9652" t="s">
        <v>1444</v>
      </c>
      <c r="G9652" t="s">
        <v>76</v>
      </c>
      <c r="H9652">
        <v>98105</v>
      </c>
      <c r="I9652" t="s">
        <v>30</v>
      </c>
      <c r="J9652" t="s">
        <v>111</v>
      </c>
      <c r="K9652" t="s">
        <v>112</v>
      </c>
      <c r="Q9652">
        <v>0</v>
      </c>
      <c r="R9652">
        <v>0</v>
      </c>
      <c r="S9652">
        <v>0</v>
      </c>
      <c r="T9652" t="s">
        <v>36438</v>
      </c>
    </row>
    <row r="9653" spans="1:20" customFormat="1" ht="15" x14ac:dyDescent="0.25">
      <c r="A9653" t="s">
        <v>35</v>
      </c>
      <c r="B9653" t="s">
        <v>61</v>
      </c>
      <c r="C9653" t="str">
        <f>"A0122884"</f>
        <v>A0122884</v>
      </c>
      <c r="D9653" t="s">
        <v>36439</v>
      </c>
      <c r="E9653" t="s">
        <v>36440</v>
      </c>
      <c r="F9653" t="s">
        <v>1039</v>
      </c>
      <c r="G9653" t="s">
        <v>76</v>
      </c>
      <c r="H9653">
        <v>98445</v>
      </c>
      <c r="I9653" t="s">
        <v>30</v>
      </c>
      <c r="J9653" t="s">
        <v>41</v>
      </c>
      <c r="K9653" t="s">
        <v>59</v>
      </c>
      <c r="Q9653">
        <v>0</v>
      </c>
      <c r="R9653">
        <v>46</v>
      </c>
      <c r="S9653">
        <v>46</v>
      </c>
      <c r="T9653" t="s">
        <v>36441</v>
      </c>
    </row>
    <row r="9654" spans="1:20" customFormat="1" ht="15" x14ac:dyDescent="0.25">
      <c r="A9654" t="s">
        <v>35</v>
      </c>
      <c r="B9654" t="s">
        <v>106</v>
      </c>
      <c r="C9654" t="str">
        <f>"A0135626"</f>
        <v>A0135626</v>
      </c>
      <c r="D9654" t="s">
        <v>36442</v>
      </c>
      <c r="E9654" t="s">
        <v>36443</v>
      </c>
      <c r="F9654" t="s">
        <v>4133</v>
      </c>
      <c r="G9654" t="s">
        <v>52</v>
      </c>
      <c r="H9654">
        <v>78705</v>
      </c>
      <c r="I9654" t="s">
        <v>30</v>
      </c>
      <c r="J9654" t="s">
        <v>111</v>
      </c>
      <c r="K9654" t="s">
        <v>112</v>
      </c>
      <c r="Q9654">
        <v>0</v>
      </c>
      <c r="R9654">
        <v>0</v>
      </c>
      <c r="S9654">
        <v>0</v>
      </c>
      <c r="T9654" t="s">
        <v>36444</v>
      </c>
    </row>
    <row r="9655" spans="1:20" customFormat="1" ht="15" x14ac:dyDescent="0.25">
      <c r="A9655" t="s">
        <v>35</v>
      </c>
      <c r="B9655" t="s">
        <v>106</v>
      </c>
      <c r="C9655" t="str">
        <f>"A0135884"</f>
        <v>A0135884</v>
      </c>
      <c r="D9655" t="s">
        <v>36445</v>
      </c>
      <c r="E9655" t="s">
        <v>36446</v>
      </c>
      <c r="F9655" t="s">
        <v>1444</v>
      </c>
      <c r="G9655" t="s">
        <v>76</v>
      </c>
      <c r="H9655">
        <v>98105</v>
      </c>
      <c r="I9655" t="s">
        <v>30</v>
      </c>
      <c r="J9655" t="s">
        <v>111</v>
      </c>
      <c r="K9655" t="s">
        <v>112</v>
      </c>
      <c r="Q9655">
        <v>0</v>
      </c>
      <c r="R9655">
        <v>0</v>
      </c>
      <c r="S9655">
        <v>0</v>
      </c>
      <c r="T9655" t="s">
        <v>36447</v>
      </c>
    </row>
    <row r="9656" spans="1:20" customFormat="1" ht="15" x14ac:dyDescent="0.25">
      <c r="A9656" t="s">
        <v>35</v>
      </c>
      <c r="B9656" t="s">
        <v>106</v>
      </c>
      <c r="C9656" t="str">
        <f>"A0136121"</f>
        <v>A0136121</v>
      </c>
      <c r="D9656" t="s">
        <v>36448</v>
      </c>
      <c r="E9656" t="s">
        <v>36449</v>
      </c>
      <c r="F9656" t="s">
        <v>36450</v>
      </c>
      <c r="G9656" t="s">
        <v>1706</v>
      </c>
      <c r="H9656">
        <v>35487</v>
      </c>
      <c r="I9656" t="s">
        <v>30</v>
      </c>
      <c r="J9656" t="s">
        <v>111</v>
      </c>
      <c r="K9656" t="s">
        <v>112</v>
      </c>
      <c r="Q9656">
        <v>0</v>
      </c>
      <c r="R9656">
        <v>0</v>
      </c>
      <c r="S9656">
        <v>0</v>
      </c>
      <c r="T9656" t="s">
        <v>36451</v>
      </c>
    </row>
    <row r="9657" spans="1:20" customFormat="1" ht="15" x14ac:dyDescent="0.25">
      <c r="A9657" t="s">
        <v>35</v>
      </c>
      <c r="B9657" t="s">
        <v>106</v>
      </c>
      <c r="C9657" t="str">
        <f>"A0136117"</f>
        <v>A0136117</v>
      </c>
      <c r="D9657" t="s">
        <v>36452</v>
      </c>
      <c r="E9657" t="s">
        <v>36453</v>
      </c>
      <c r="F9657" t="s">
        <v>5317</v>
      </c>
      <c r="G9657" t="s">
        <v>1706</v>
      </c>
      <c r="H9657">
        <v>36832</v>
      </c>
      <c r="I9657" t="s">
        <v>30</v>
      </c>
      <c r="J9657" t="s">
        <v>111</v>
      </c>
      <c r="K9657" t="s">
        <v>112</v>
      </c>
      <c r="Q9657">
        <v>0</v>
      </c>
      <c r="R9657">
        <v>0</v>
      </c>
      <c r="S9657">
        <v>0</v>
      </c>
      <c r="T9657" t="s">
        <v>36454</v>
      </c>
    </row>
    <row r="9658" spans="1:20" customFormat="1" ht="15" x14ac:dyDescent="0.25">
      <c r="A9658" t="s">
        <v>35</v>
      </c>
      <c r="B9658" t="s">
        <v>106</v>
      </c>
      <c r="C9658" t="str">
        <f>"A0135311"</f>
        <v>A0135311</v>
      </c>
      <c r="D9658" t="s">
        <v>36455</v>
      </c>
      <c r="E9658" t="s">
        <v>36456</v>
      </c>
      <c r="F9658" t="s">
        <v>22478</v>
      </c>
      <c r="G9658" t="s">
        <v>214</v>
      </c>
      <c r="H9658">
        <v>27514</v>
      </c>
      <c r="I9658" t="s">
        <v>30</v>
      </c>
      <c r="J9658" t="s">
        <v>111</v>
      </c>
      <c r="K9658" t="s">
        <v>10012</v>
      </c>
      <c r="Q9658">
        <v>0</v>
      </c>
      <c r="R9658">
        <v>0</v>
      </c>
      <c r="S9658">
        <v>0</v>
      </c>
      <c r="T9658" t="s">
        <v>36457</v>
      </c>
    </row>
    <row r="9659" spans="1:20" customFormat="1" ht="15" x14ac:dyDescent="0.25">
      <c r="A9659" t="s">
        <v>35</v>
      </c>
      <c r="B9659" t="s">
        <v>106</v>
      </c>
      <c r="C9659" t="str">
        <f>"A0136433"</f>
        <v>A0136433</v>
      </c>
      <c r="D9659" t="s">
        <v>36458</v>
      </c>
      <c r="E9659" t="s">
        <v>36459</v>
      </c>
      <c r="F9659" t="s">
        <v>7362</v>
      </c>
      <c r="G9659" t="s">
        <v>110</v>
      </c>
      <c r="H9659">
        <v>90007</v>
      </c>
      <c r="I9659" t="s">
        <v>30</v>
      </c>
      <c r="J9659" t="s">
        <v>111</v>
      </c>
      <c r="K9659" t="s">
        <v>10012</v>
      </c>
      <c r="Q9659">
        <v>0</v>
      </c>
      <c r="R9659">
        <v>0</v>
      </c>
      <c r="S9659">
        <v>0</v>
      </c>
      <c r="T9659" t="s">
        <v>36460</v>
      </c>
    </row>
    <row r="9660" spans="1:20" customFormat="1" ht="15" x14ac:dyDescent="0.25">
      <c r="A9660" t="s">
        <v>35</v>
      </c>
      <c r="B9660" t="s">
        <v>106</v>
      </c>
      <c r="C9660" t="str">
        <f>"A0135632"</f>
        <v>A0135632</v>
      </c>
      <c r="D9660" t="s">
        <v>36461</v>
      </c>
      <c r="E9660" t="s">
        <v>36462</v>
      </c>
      <c r="F9660" t="s">
        <v>4133</v>
      </c>
      <c r="G9660" t="s">
        <v>52</v>
      </c>
      <c r="H9660">
        <v>78705</v>
      </c>
      <c r="I9660" t="s">
        <v>30</v>
      </c>
      <c r="J9660" t="s">
        <v>111</v>
      </c>
      <c r="K9660" t="s">
        <v>112</v>
      </c>
      <c r="Q9660">
        <v>0</v>
      </c>
      <c r="R9660">
        <v>0</v>
      </c>
      <c r="S9660">
        <v>0</v>
      </c>
      <c r="T9660" t="s">
        <v>36463</v>
      </c>
    </row>
    <row r="9661" spans="1:20" customFormat="1" ht="15" x14ac:dyDescent="0.25">
      <c r="A9661" t="s">
        <v>35</v>
      </c>
      <c r="B9661" t="s">
        <v>106</v>
      </c>
      <c r="C9661" t="str">
        <f>"A0135439"</f>
        <v>A0135439</v>
      </c>
      <c r="D9661" t="s">
        <v>36461</v>
      </c>
      <c r="E9661" t="s">
        <v>36462</v>
      </c>
      <c r="F9661" t="s">
        <v>4133</v>
      </c>
      <c r="G9661" t="s">
        <v>52</v>
      </c>
      <c r="H9661">
        <v>78705</v>
      </c>
      <c r="I9661" t="s">
        <v>30</v>
      </c>
      <c r="J9661" t="s">
        <v>111</v>
      </c>
      <c r="K9661" t="s">
        <v>112</v>
      </c>
      <c r="Q9661">
        <v>0</v>
      </c>
      <c r="R9661">
        <v>0</v>
      </c>
      <c r="S9661">
        <v>0</v>
      </c>
      <c r="T9661" t="s">
        <v>36464</v>
      </c>
    </row>
    <row r="9662" spans="1:20" customFormat="1" ht="15" x14ac:dyDescent="0.25">
      <c r="A9662" t="s">
        <v>35</v>
      </c>
      <c r="B9662" t="s">
        <v>106</v>
      </c>
      <c r="C9662" t="str">
        <f>"A0135885"</f>
        <v>A0135885</v>
      </c>
      <c r="D9662" t="s">
        <v>36465</v>
      </c>
      <c r="E9662" t="s">
        <v>36466</v>
      </c>
      <c r="F9662" t="s">
        <v>1444</v>
      </c>
      <c r="G9662" t="s">
        <v>76</v>
      </c>
      <c r="H9662">
        <v>98105</v>
      </c>
      <c r="I9662" t="s">
        <v>30</v>
      </c>
      <c r="J9662" t="s">
        <v>111</v>
      </c>
      <c r="K9662" t="s">
        <v>112</v>
      </c>
      <c r="Q9662">
        <v>0</v>
      </c>
      <c r="R9662">
        <v>0</v>
      </c>
      <c r="S9662">
        <v>0</v>
      </c>
      <c r="T9662" t="s">
        <v>36467</v>
      </c>
    </row>
    <row r="9663" spans="1:20" customFormat="1" ht="15" x14ac:dyDescent="0.25">
      <c r="A9663" t="s">
        <v>35</v>
      </c>
      <c r="B9663" t="s">
        <v>106</v>
      </c>
      <c r="C9663" t="str">
        <f>"A0135669"</f>
        <v>A0135669</v>
      </c>
      <c r="D9663" t="s">
        <v>36468</v>
      </c>
      <c r="E9663" t="s">
        <v>36469</v>
      </c>
      <c r="F9663" t="s">
        <v>399</v>
      </c>
      <c r="G9663" t="s">
        <v>153</v>
      </c>
      <c r="H9663">
        <v>846060000</v>
      </c>
      <c r="I9663" t="s">
        <v>30</v>
      </c>
      <c r="J9663" t="s">
        <v>111</v>
      </c>
      <c r="K9663" t="s">
        <v>112</v>
      </c>
      <c r="Q9663">
        <v>0</v>
      </c>
      <c r="R9663">
        <v>30</v>
      </c>
      <c r="S9663">
        <v>30</v>
      </c>
      <c r="T9663" t="s">
        <v>36470</v>
      </c>
    </row>
    <row r="9664" spans="1:20" customFormat="1" ht="15" x14ac:dyDescent="0.25">
      <c r="A9664" t="s">
        <v>35</v>
      </c>
      <c r="B9664" t="s">
        <v>61</v>
      </c>
      <c r="C9664" t="str">
        <f>"A0129297"</f>
        <v>A0129297</v>
      </c>
      <c r="D9664" t="s">
        <v>36471</v>
      </c>
      <c r="E9664" t="s">
        <v>36472</v>
      </c>
      <c r="F9664" t="s">
        <v>9205</v>
      </c>
      <c r="G9664" t="s">
        <v>289</v>
      </c>
      <c r="H9664">
        <v>61114</v>
      </c>
      <c r="I9664" t="s">
        <v>30</v>
      </c>
      <c r="J9664" t="s">
        <v>41</v>
      </c>
      <c r="K9664" t="s">
        <v>229</v>
      </c>
      <c r="Q9664">
        <v>0</v>
      </c>
      <c r="R9664">
        <v>118</v>
      </c>
      <c r="S9664">
        <v>118</v>
      </c>
      <c r="T9664" t="s">
        <v>36473</v>
      </c>
    </row>
    <row r="9665" spans="1:20" customFormat="1" ht="15" x14ac:dyDescent="0.25">
      <c r="A9665" t="s">
        <v>35</v>
      </c>
      <c r="B9665" t="s">
        <v>61</v>
      </c>
      <c r="C9665" t="str">
        <f>"A0132343"</f>
        <v>A0132343</v>
      </c>
      <c r="D9665" t="s">
        <v>36474</v>
      </c>
      <c r="E9665" t="s">
        <v>36475</v>
      </c>
      <c r="F9665" t="s">
        <v>64</v>
      </c>
      <c r="G9665" t="s">
        <v>65</v>
      </c>
      <c r="H9665">
        <v>43229</v>
      </c>
      <c r="I9665" t="s">
        <v>30</v>
      </c>
      <c r="J9665" t="s">
        <v>41</v>
      </c>
      <c r="K9665" t="s">
        <v>59</v>
      </c>
      <c r="Q9665">
        <v>0</v>
      </c>
      <c r="R9665">
        <v>80</v>
      </c>
      <c r="S9665">
        <v>80</v>
      </c>
      <c r="T9665" t="s">
        <v>36476</v>
      </c>
    </row>
    <row r="9666" spans="1:20" customFormat="1" ht="15" x14ac:dyDescent="0.25">
      <c r="A9666" t="s">
        <v>35</v>
      </c>
      <c r="B9666" t="s">
        <v>61</v>
      </c>
      <c r="C9666" t="str">
        <f>"A0124228"</f>
        <v>A0124228</v>
      </c>
      <c r="D9666" t="s">
        <v>36477</v>
      </c>
      <c r="E9666" t="s">
        <v>9963</v>
      </c>
      <c r="F9666" t="s">
        <v>9191</v>
      </c>
      <c r="G9666" t="s">
        <v>65</v>
      </c>
      <c r="H9666">
        <v>44137</v>
      </c>
      <c r="I9666" t="s">
        <v>30</v>
      </c>
      <c r="J9666" t="s">
        <v>41</v>
      </c>
      <c r="K9666" t="s">
        <v>59</v>
      </c>
      <c r="Q9666">
        <v>0</v>
      </c>
      <c r="R9666">
        <v>99</v>
      </c>
      <c r="S9666">
        <v>99</v>
      </c>
      <c r="T9666" t="s">
        <v>9964</v>
      </c>
    </row>
    <row r="9667" spans="1:20" customFormat="1" ht="15" x14ac:dyDescent="0.25">
      <c r="A9667" t="s">
        <v>35</v>
      </c>
      <c r="B9667" t="s">
        <v>61</v>
      </c>
      <c r="C9667" t="str">
        <f>"A0132847"</f>
        <v>A0132847</v>
      </c>
      <c r="D9667" t="s">
        <v>36478</v>
      </c>
      <c r="E9667" t="s">
        <v>36479</v>
      </c>
      <c r="F9667" t="s">
        <v>26033</v>
      </c>
      <c r="G9667" t="s">
        <v>65</v>
      </c>
      <c r="H9667">
        <v>44266</v>
      </c>
      <c r="I9667" t="s">
        <v>30</v>
      </c>
      <c r="J9667" t="s">
        <v>41</v>
      </c>
      <c r="K9667" t="s">
        <v>59</v>
      </c>
      <c r="Q9667">
        <v>0</v>
      </c>
      <c r="R9667">
        <v>36</v>
      </c>
      <c r="S9667">
        <v>36</v>
      </c>
      <c r="T9667" t="s">
        <v>36480</v>
      </c>
    </row>
    <row r="9668" spans="1:20" customFormat="1" ht="15" x14ac:dyDescent="0.25">
      <c r="A9668" t="s">
        <v>35</v>
      </c>
      <c r="B9668" t="s">
        <v>61</v>
      </c>
      <c r="C9668" t="str">
        <f>"A0132342"</f>
        <v>A0132342</v>
      </c>
      <c r="D9668" t="s">
        <v>36481</v>
      </c>
      <c r="E9668" t="s">
        <v>36482</v>
      </c>
      <c r="F9668" t="s">
        <v>2748</v>
      </c>
      <c r="G9668" t="s">
        <v>65</v>
      </c>
      <c r="H9668">
        <v>43613</v>
      </c>
      <c r="I9668" t="s">
        <v>30</v>
      </c>
      <c r="J9668" t="s">
        <v>41</v>
      </c>
      <c r="K9668" t="s">
        <v>59</v>
      </c>
      <c r="Q9668">
        <v>0</v>
      </c>
      <c r="R9668">
        <v>36</v>
      </c>
      <c r="S9668">
        <v>36</v>
      </c>
      <c r="T9668" t="s">
        <v>36476</v>
      </c>
    </row>
    <row r="9669" spans="1:20" customFormat="1" ht="15" x14ac:dyDescent="0.25">
      <c r="A9669" t="s">
        <v>35</v>
      </c>
      <c r="B9669" t="s">
        <v>61</v>
      </c>
      <c r="C9669" t="str">
        <f>"A0132084"</f>
        <v>A0132084</v>
      </c>
      <c r="D9669" t="s">
        <v>36483</v>
      </c>
      <c r="E9669" t="s">
        <v>36484</v>
      </c>
      <c r="F9669" t="s">
        <v>36485</v>
      </c>
      <c r="G9669" t="s">
        <v>65</v>
      </c>
      <c r="H9669">
        <v>441280000</v>
      </c>
      <c r="I9669" t="s">
        <v>30</v>
      </c>
      <c r="J9669" t="s">
        <v>41</v>
      </c>
      <c r="K9669" t="s">
        <v>59</v>
      </c>
      <c r="Q9669">
        <v>0</v>
      </c>
      <c r="R9669">
        <v>60</v>
      </c>
      <c r="S9669">
        <v>60</v>
      </c>
      <c r="T9669" t="s">
        <v>36486</v>
      </c>
    </row>
    <row r="9670" spans="1:20" customFormat="1" ht="15" x14ac:dyDescent="0.25">
      <c r="A9670" t="s">
        <v>35</v>
      </c>
      <c r="B9670" t="s">
        <v>61</v>
      </c>
      <c r="C9670" t="str">
        <f>"A0153055"</f>
        <v>A0153055</v>
      </c>
      <c r="D9670" t="s">
        <v>36487</v>
      </c>
      <c r="E9670" t="s">
        <v>36488</v>
      </c>
      <c r="F9670" t="s">
        <v>36489</v>
      </c>
      <c r="G9670" t="s">
        <v>190</v>
      </c>
      <c r="H9670">
        <v>80503</v>
      </c>
      <c r="I9670" t="s">
        <v>30</v>
      </c>
      <c r="J9670" t="s">
        <v>41</v>
      </c>
      <c r="K9670" t="s">
        <v>59</v>
      </c>
      <c r="Q9670">
        <v>0</v>
      </c>
      <c r="R9670">
        <v>82</v>
      </c>
      <c r="S9670">
        <v>82</v>
      </c>
      <c r="T9670" t="s">
        <v>36490</v>
      </c>
    </row>
    <row r="9671" spans="1:20" customFormat="1" ht="15" x14ac:dyDescent="0.25">
      <c r="A9671" t="s">
        <v>35</v>
      </c>
      <c r="B9671" t="s">
        <v>61</v>
      </c>
      <c r="C9671" t="str">
        <f>"A0132840"</f>
        <v>A0132840</v>
      </c>
      <c r="D9671" t="s">
        <v>36491</v>
      </c>
      <c r="E9671" t="s">
        <v>36492</v>
      </c>
      <c r="F9671" t="s">
        <v>36493</v>
      </c>
      <c r="G9671" t="s">
        <v>65</v>
      </c>
      <c r="H9671">
        <v>44136</v>
      </c>
      <c r="I9671" t="s">
        <v>30</v>
      </c>
      <c r="J9671" t="s">
        <v>41</v>
      </c>
      <c r="K9671" t="s">
        <v>59</v>
      </c>
      <c r="Q9671">
        <v>0</v>
      </c>
      <c r="R9671">
        <v>210</v>
      </c>
      <c r="S9671">
        <v>210</v>
      </c>
      <c r="T9671" t="s">
        <v>36494</v>
      </c>
    </row>
    <row r="9672" spans="1:20" customFormat="1" ht="15" x14ac:dyDescent="0.25">
      <c r="A9672" t="s">
        <v>35</v>
      </c>
      <c r="B9672" t="s">
        <v>437</v>
      </c>
      <c r="C9672" t="str">
        <f>"A0135054"</f>
        <v>A0135054</v>
      </c>
      <c r="D9672" t="s">
        <v>36495</v>
      </c>
      <c r="E9672" t="s">
        <v>36496</v>
      </c>
      <c r="F9672" t="s">
        <v>3193</v>
      </c>
      <c r="G9672" t="s">
        <v>99</v>
      </c>
      <c r="H9672">
        <v>13323</v>
      </c>
      <c r="I9672" t="s">
        <v>30</v>
      </c>
      <c r="J9672" t="s">
        <v>441</v>
      </c>
      <c r="K9672" t="s">
        <v>442</v>
      </c>
      <c r="Q9672">
        <v>0</v>
      </c>
      <c r="R9672">
        <v>0</v>
      </c>
      <c r="S9672">
        <v>0</v>
      </c>
      <c r="T9672" t="s">
        <v>36497</v>
      </c>
    </row>
    <row r="9673" spans="1:20" customFormat="1" ht="15" x14ac:dyDescent="0.25">
      <c r="A9673" t="s">
        <v>35</v>
      </c>
      <c r="B9673" t="s">
        <v>61</v>
      </c>
      <c r="C9673" t="str">
        <f>"A0127602"</f>
        <v>A0127602</v>
      </c>
      <c r="D9673" t="s">
        <v>36498</v>
      </c>
      <c r="E9673" t="s">
        <v>36499</v>
      </c>
      <c r="F9673" t="s">
        <v>6137</v>
      </c>
      <c r="G9673" t="s">
        <v>123</v>
      </c>
      <c r="H9673">
        <v>20901</v>
      </c>
      <c r="I9673" t="s">
        <v>30</v>
      </c>
      <c r="J9673" t="s">
        <v>41</v>
      </c>
      <c r="K9673" t="s">
        <v>229</v>
      </c>
      <c r="Q9673">
        <v>0</v>
      </c>
      <c r="R9673">
        <v>55</v>
      </c>
      <c r="S9673">
        <v>55</v>
      </c>
      <c r="T9673" t="s">
        <v>36500</v>
      </c>
    </row>
    <row r="9674" spans="1:20" customFormat="1" ht="15" x14ac:dyDescent="0.25">
      <c r="A9674" t="s">
        <v>35</v>
      </c>
      <c r="B9674" t="s">
        <v>61</v>
      </c>
      <c r="C9674" t="str">
        <f>"A0130938"</f>
        <v>A0130938</v>
      </c>
      <c r="D9674" t="s">
        <v>36501</v>
      </c>
      <c r="E9674" t="s">
        <v>36502</v>
      </c>
      <c r="F9674" t="s">
        <v>36503</v>
      </c>
      <c r="G9674" t="s">
        <v>85</v>
      </c>
      <c r="H9674">
        <v>720040000</v>
      </c>
      <c r="I9674" t="s">
        <v>30</v>
      </c>
      <c r="J9674" t="s">
        <v>41</v>
      </c>
      <c r="K9674" t="s">
        <v>2760</v>
      </c>
      <c r="Q9674">
        <v>0</v>
      </c>
      <c r="R9674">
        <v>1</v>
      </c>
      <c r="S9674">
        <v>1</v>
      </c>
      <c r="T9674" t="s">
        <v>36504</v>
      </c>
    </row>
    <row r="9675" spans="1:20" customFormat="1" ht="15" x14ac:dyDescent="0.25">
      <c r="A9675" t="s">
        <v>35</v>
      </c>
      <c r="B9675" t="s">
        <v>61</v>
      </c>
      <c r="C9675" t="str">
        <f>"A0151542"</f>
        <v>A0151542</v>
      </c>
      <c r="D9675" t="s">
        <v>36505</v>
      </c>
      <c r="E9675" t="s">
        <v>36506</v>
      </c>
      <c r="F9675" t="s">
        <v>17344</v>
      </c>
      <c r="G9675" t="s">
        <v>40</v>
      </c>
      <c r="H9675">
        <v>73522</v>
      </c>
      <c r="I9675" t="s">
        <v>30</v>
      </c>
      <c r="J9675" t="s">
        <v>41</v>
      </c>
      <c r="K9675" t="s">
        <v>6300</v>
      </c>
      <c r="Q9675">
        <v>0</v>
      </c>
      <c r="R9675">
        <v>0</v>
      </c>
      <c r="S9675">
        <v>0</v>
      </c>
      <c r="T9675" t="s">
        <v>36507</v>
      </c>
    </row>
    <row r="9676" spans="1:20" customFormat="1" ht="15" x14ac:dyDescent="0.25">
      <c r="A9676" t="s">
        <v>35</v>
      </c>
      <c r="B9676" t="s">
        <v>61</v>
      </c>
      <c r="C9676" t="str">
        <f>"A0128868"</f>
        <v>A0128868</v>
      </c>
      <c r="D9676" t="s">
        <v>36508</v>
      </c>
      <c r="E9676" t="s">
        <v>36509</v>
      </c>
      <c r="F9676" t="s">
        <v>36510</v>
      </c>
      <c r="G9676" t="s">
        <v>289</v>
      </c>
      <c r="H9676">
        <v>604390000</v>
      </c>
      <c r="I9676" t="s">
        <v>30</v>
      </c>
      <c r="J9676" t="s">
        <v>41</v>
      </c>
      <c r="K9676" t="s">
        <v>229</v>
      </c>
      <c r="Q9676">
        <v>0</v>
      </c>
      <c r="R9676">
        <v>56</v>
      </c>
      <c r="S9676">
        <v>56</v>
      </c>
      <c r="T9676" t="s">
        <v>36511</v>
      </c>
    </row>
    <row r="9677" spans="1:20" customFormat="1" ht="15" x14ac:dyDescent="0.25">
      <c r="A9677" t="s">
        <v>35</v>
      </c>
      <c r="B9677" t="s">
        <v>61</v>
      </c>
      <c r="C9677" t="str">
        <f>"A0133526"</f>
        <v>A0133526</v>
      </c>
      <c r="D9677" t="s">
        <v>36512</v>
      </c>
      <c r="E9677" t="s">
        <v>36513</v>
      </c>
      <c r="F9677" t="s">
        <v>18470</v>
      </c>
      <c r="G9677" t="s">
        <v>52</v>
      </c>
      <c r="H9677">
        <v>79107</v>
      </c>
      <c r="I9677" t="s">
        <v>30</v>
      </c>
      <c r="J9677" t="s">
        <v>41</v>
      </c>
      <c r="K9677" t="s">
        <v>456</v>
      </c>
      <c r="Q9677">
        <v>0</v>
      </c>
      <c r="R9677">
        <v>20</v>
      </c>
      <c r="S9677">
        <v>20</v>
      </c>
      <c r="T9677" t="s">
        <v>36514</v>
      </c>
    </row>
    <row r="9678" spans="1:20" customFormat="1" ht="15" x14ac:dyDescent="0.25">
      <c r="A9678" t="s">
        <v>35</v>
      </c>
      <c r="B9678" t="s">
        <v>61</v>
      </c>
      <c r="C9678" t="str">
        <f>"A0125352"</f>
        <v>A0125352</v>
      </c>
      <c r="D9678" t="s">
        <v>36515</v>
      </c>
      <c r="E9678" t="s">
        <v>36516</v>
      </c>
      <c r="F9678" t="s">
        <v>8348</v>
      </c>
      <c r="G9678" t="s">
        <v>40</v>
      </c>
      <c r="H9678">
        <v>741360000</v>
      </c>
      <c r="I9678" t="s">
        <v>30</v>
      </c>
      <c r="J9678" t="s">
        <v>41</v>
      </c>
      <c r="K9678" t="s">
        <v>229</v>
      </c>
      <c r="Q9678">
        <v>0</v>
      </c>
      <c r="R9678">
        <v>171</v>
      </c>
      <c r="S9678">
        <v>171</v>
      </c>
      <c r="T9678" t="s">
        <v>36517</v>
      </c>
    </row>
    <row r="9679" spans="1:20" customFormat="1" ht="15" x14ac:dyDescent="0.25">
      <c r="A9679" t="s">
        <v>35</v>
      </c>
      <c r="B9679" t="s">
        <v>61</v>
      </c>
      <c r="C9679" t="str">
        <f>"A0125206"</f>
        <v>A0125206</v>
      </c>
      <c r="D9679" t="s">
        <v>36518</v>
      </c>
      <c r="E9679" t="s">
        <v>36519</v>
      </c>
      <c r="F9679" t="s">
        <v>8348</v>
      </c>
      <c r="G9679" t="s">
        <v>40</v>
      </c>
      <c r="H9679">
        <v>74136</v>
      </c>
      <c r="I9679" t="s">
        <v>30</v>
      </c>
      <c r="J9679" t="s">
        <v>41</v>
      </c>
      <c r="K9679" t="s">
        <v>59</v>
      </c>
      <c r="Q9679">
        <v>0</v>
      </c>
      <c r="R9679">
        <v>75</v>
      </c>
      <c r="S9679">
        <v>75</v>
      </c>
      <c r="T9679" t="s">
        <v>36520</v>
      </c>
    </row>
    <row r="9680" spans="1:20" customFormat="1" ht="15" x14ac:dyDescent="0.25">
      <c r="A9680" t="s">
        <v>35</v>
      </c>
      <c r="B9680" t="s">
        <v>61</v>
      </c>
      <c r="C9680" t="str">
        <f>"A0132863"</f>
        <v>A0132863</v>
      </c>
      <c r="D9680" t="s">
        <v>36521</v>
      </c>
      <c r="E9680" t="s">
        <v>36522</v>
      </c>
      <c r="F9680" t="s">
        <v>36523</v>
      </c>
      <c r="G9680" t="s">
        <v>65</v>
      </c>
      <c r="H9680">
        <v>44026</v>
      </c>
      <c r="I9680" t="s">
        <v>30</v>
      </c>
      <c r="J9680" t="s">
        <v>41</v>
      </c>
      <c r="K9680" t="s">
        <v>59</v>
      </c>
      <c r="Q9680">
        <v>0</v>
      </c>
      <c r="R9680">
        <v>16</v>
      </c>
      <c r="S9680">
        <v>16</v>
      </c>
      <c r="T9680" t="s">
        <v>36524</v>
      </c>
    </row>
    <row r="9681" spans="1:20" customFormat="1" ht="15" x14ac:dyDescent="0.25">
      <c r="A9681" t="s">
        <v>35</v>
      </c>
      <c r="B9681" t="s">
        <v>61</v>
      </c>
      <c r="C9681" t="str">
        <f>"A0123633"</f>
        <v>A0123633</v>
      </c>
      <c r="D9681" t="s">
        <v>36525</v>
      </c>
      <c r="E9681" t="s">
        <v>36526</v>
      </c>
      <c r="F9681" t="s">
        <v>22547</v>
      </c>
      <c r="G9681" t="s">
        <v>338</v>
      </c>
      <c r="H9681">
        <v>7731</v>
      </c>
      <c r="I9681" t="s">
        <v>30</v>
      </c>
      <c r="J9681" t="s">
        <v>41</v>
      </c>
      <c r="K9681" t="s">
        <v>229</v>
      </c>
      <c r="Q9681">
        <v>0</v>
      </c>
      <c r="R9681">
        <v>100</v>
      </c>
      <c r="S9681">
        <v>100</v>
      </c>
      <c r="T9681" t="s">
        <v>36527</v>
      </c>
    </row>
    <row r="9682" spans="1:20" customFormat="1" ht="15" x14ac:dyDescent="0.25">
      <c r="A9682" t="s">
        <v>35</v>
      </c>
      <c r="B9682" t="s">
        <v>61</v>
      </c>
      <c r="C9682" t="str">
        <f>"A0128645"</f>
        <v>A0128645</v>
      </c>
      <c r="D9682" t="s">
        <v>36528</v>
      </c>
      <c r="E9682" t="s">
        <v>36529</v>
      </c>
      <c r="F9682" t="s">
        <v>5061</v>
      </c>
      <c r="G9682" t="s">
        <v>1170</v>
      </c>
      <c r="H9682">
        <v>705010000</v>
      </c>
      <c r="I9682" t="s">
        <v>30</v>
      </c>
      <c r="J9682" t="s">
        <v>41</v>
      </c>
      <c r="K9682" t="s">
        <v>229</v>
      </c>
      <c r="Q9682">
        <v>0</v>
      </c>
      <c r="R9682">
        <v>150</v>
      </c>
      <c r="S9682">
        <v>150</v>
      </c>
      <c r="T9682" t="s">
        <v>36530</v>
      </c>
    </row>
    <row r="9683" spans="1:20" customFormat="1" ht="15" x14ac:dyDescent="0.25">
      <c r="A9683" t="s">
        <v>35</v>
      </c>
      <c r="B9683" t="s">
        <v>61</v>
      </c>
      <c r="C9683" t="str">
        <f>"A0122547"</f>
        <v>A0122547</v>
      </c>
      <c r="D9683" t="s">
        <v>36531</v>
      </c>
      <c r="E9683" t="s">
        <v>36532</v>
      </c>
      <c r="F9683" t="s">
        <v>36533</v>
      </c>
      <c r="G9683" t="s">
        <v>76</v>
      </c>
      <c r="H9683">
        <v>985320000</v>
      </c>
      <c r="I9683" t="s">
        <v>30</v>
      </c>
      <c r="J9683" t="s">
        <v>41</v>
      </c>
      <c r="K9683" t="s">
        <v>461</v>
      </c>
      <c r="Q9683">
        <v>0</v>
      </c>
      <c r="R9683">
        <v>130</v>
      </c>
      <c r="S9683">
        <v>130</v>
      </c>
    </row>
    <row r="9684" spans="1:20" customFormat="1" ht="15" x14ac:dyDescent="0.25">
      <c r="A9684" t="s">
        <v>35</v>
      </c>
      <c r="B9684" t="s">
        <v>61</v>
      </c>
      <c r="C9684" t="str">
        <f>"A0124018"</f>
        <v>A0124018</v>
      </c>
      <c r="D9684" t="s">
        <v>36534</v>
      </c>
      <c r="E9684" t="s">
        <v>36535</v>
      </c>
      <c r="F9684" t="s">
        <v>36536</v>
      </c>
      <c r="G9684" t="s">
        <v>214</v>
      </c>
      <c r="H9684">
        <v>28655</v>
      </c>
      <c r="I9684" t="s">
        <v>30</v>
      </c>
      <c r="J9684" t="s">
        <v>41</v>
      </c>
      <c r="K9684" t="s">
        <v>1412</v>
      </c>
      <c r="Q9684">
        <v>0</v>
      </c>
      <c r="R9684">
        <v>0</v>
      </c>
      <c r="S9684">
        <v>0</v>
      </c>
    </row>
    <row r="9685" spans="1:20" customFormat="1" ht="15" x14ac:dyDescent="0.25">
      <c r="A9685" t="s">
        <v>35</v>
      </c>
      <c r="B9685" t="s">
        <v>61</v>
      </c>
      <c r="C9685" t="str">
        <f>"A0124017"</f>
        <v>A0124017</v>
      </c>
      <c r="D9685" t="s">
        <v>36537</v>
      </c>
      <c r="E9685" t="s">
        <v>36538</v>
      </c>
      <c r="F9685" t="s">
        <v>36539</v>
      </c>
      <c r="G9685" t="s">
        <v>214</v>
      </c>
      <c r="H9685">
        <v>28655</v>
      </c>
      <c r="I9685" t="s">
        <v>30</v>
      </c>
      <c r="J9685" t="s">
        <v>41</v>
      </c>
      <c r="K9685" t="s">
        <v>1412</v>
      </c>
      <c r="Q9685">
        <v>0</v>
      </c>
      <c r="R9685">
        <v>0</v>
      </c>
      <c r="S9685">
        <v>0</v>
      </c>
      <c r="T9685" t="s">
        <v>36540</v>
      </c>
    </row>
    <row r="9686" spans="1:20" customFormat="1" ht="15" x14ac:dyDescent="0.25">
      <c r="A9686" t="s">
        <v>35</v>
      </c>
      <c r="B9686" t="s">
        <v>61</v>
      </c>
      <c r="C9686" t="str">
        <f>"A0124019"</f>
        <v>A0124019</v>
      </c>
      <c r="D9686" t="s">
        <v>36541</v>
      </c>
      <c r="E9686" t="s">
        <v>36542</v>
      </c>
      <c r="F9686" t="s">
        <v>36543</v>
      </c>
      <c r="G9686" t="s">
        <v>214</v>
      </c>
      <c r="H9686">
        <v>28645</v>
      </c>
      <c r="I9686" t="s">
        <v>30</v>
      </c>
      <c r="J9686" t="s">
        <v>41</v>
      </c>
      <c r="K9686" t="s">
        <v>1412</v>
      </c>
      <c r="Q9686">
        <v>0</v>
      </c>
      <c r="R9686">
        <v>0</v>
      </c>
      <c r="S9686">
        <v>0</v>
      </c>
    </row>
    <row r="9687" spans="1:20" customFormat="1" ht="15" x14ac:dyDescent="0.25">
      <c r="A9687" t="s">
        <v>35</v>
      </c>
      <c r="B9687" t="s">
        <v>61</v>
      </c>
      <c r="C9687" t="str">
        <f>"A0123187"</f>
        <v>A0123187</v>
      </c>
      <c r="D9687" t="s">
        <v>36544</v>
      </c>
      <c r="E9687" t="s">
        <v>36545</v>
      </c>
      <c r="F9687" t="s">
        <v>4108</v>
      </c>
      <c r="G9687" t="s">
        <v>29</v>
      </c>
      <c r="H9687">
        <v>24018</v>
      </c>
      <c r="I9687" t="s">
        <v>30</v>
      </c>
      <c r="J9687" t="s">
        <v>41</v>
      </c>
      <c r="K9687" t="s">
        <v>59</v>
      </c>
      <c r="Q9687">
        <v>0</v>
      </c>
      <c r="R9687">
        <v>1</v>
      </c>
      <c r="S9687">
        <v>1</v>
      </c>
      <c r="T9687" t="s">
        <v>36546</v>
      </c>
    </row>
    <row r="9688" spans="1:20" customFormat="1" ht="15" x14ac:dyDescent="0.25">
      <c r="A9688" t="s">
        <v>35</v>
      </c>
      <c r="B9688" t="s">
        <v>61</v>
      </c>
      <c r="C9688" t="str">
        <f>"A0121955"</f>
        <v>A0121955</v>
      </c>
      <c r="D9688" t="s">
        <v>36547</v>
      </c>
      <c r="E9688" t="s">
        <v>36548</v>
      </c>
      <c r="F9688" t="s">
        <v>1790</v>
      </c>
      <c r="G9688" t="s">
        <v>110</v>
      </c>
      <c r="H9688">
        <v>91505</v>
      </c>
      <c r="I9688" t="s">
        <v>30</v>
      </c>
      <c r="J9688" t="s">
        <v>41</v>
      </c>
      <c r="K9688" t="s">
        <v>2463</v>
      </c>
      <c r="Q9688">
        <v>0</v>
      </c>
      <c r="R9688">
        <v>0</v>
      </c>
      <c r="S9688">
        <v>0</v>
      </c>
      <c r="T9688" t="s">
        <v>36549</v>
      </c>
    </row>
    <row r="9689" spans="1:20" customFormat="1" ht="15" x14ac:dyDescent="0.25">
      <c r="A9689" t="s">
        <v>35</v>
      </c>
      <c r="B9689" t="s">
        <v>61</v>
      </c>
      <c r="C9689" t="str">
        <f>"A0129154"</f>
        <v>A0129154</v>
      </c>
      <c r="D9689" t="s">
        <v>36550</v>
      </c>
      <c r="E9689" t="s">
        <v>36551</v>
      </c>
      <c r="F9689" t="s">
        <v>598</v>
      </c>
      <c r="G9689" t="s">
        <v>289</v>
      </c>
      <c r="H9689">
        <v>60544</v>
      </c>
      <c r="I9689" t="s">
        <v>30</v>
      </c>
      <c r="J9689" t="s">
        <v>41</v>
      </c>
      <c r="K9689" t="s">
        <v>59</v>
      </c>
      <c r="Q9689">
        <v>0</v>
      </c>
      <c r="R9689">
        <v>100</v>
      </c>
      <c r="S9689">
        <v>100</v>
      </c>
      <c r="T9689" t="s">
        <v>36552</v>
      </c>
    </row>
    <row r="9690" spans="1:20" customFormat="1" ht="15" x14ac:dyDescent="0.25">
      <c r="A9690" t="s">
        <v>35</v>
      </c>
      <c r="B9690" t="s">
        <v>437</v>
      </c>
      <c r="C9690" t="str">
        <f>"A0133981"</f>
        <v>A0133981</v>
      </c>
      <c r="D9690" t="s">
        <v>36553</v>
      </c>
      <c r="E9690" t="s">
        <v>36554</v>
      </c>
      <c r="F9690" t="s">
        <v>36555</v>
      </c>
      <c r="G9690" t="s">
        <v>110</v>
      </c>
      <c r="H9690">
        <v>92399</v>
      </c>
      <c r="I9690" t="s">
        <v>30</v>
      </c>
      <c r="J9690" t="s">
        <v>441</v>
      </c>
      <c r="K9690" t="s">
        <v>442</v>
      </c>
      <c r="Q9690">
        <v>0</v>
      </c>
      <c r="R9690">
        <v>0</v>
      </c>
      <c r="S9690">
        <v>0</v>
      </c>
      <c r="T9690" t="s">
        <v>36556</v>
      </c>
    </row>
    <row r="9691" spans="1:20" customFormat="1" ht="15" x14ac:dyDescent="0.25">
      <c r="A9691" t="s">
        <v>35</v>
      </c>
      <c r="B9691" t="s">
        <v>61</v>
      </c>
      <c r="C9691" t="str">
        <f>"A0123634"</f>
        <v>A0123634</v>
      </c>
      <c r="D9691" t="s">
        <v>36557</v>
      </c>
      <c r="E9691" t="s">
        <v>36558</v>
      </c>
      <c r="F9691" t="s">
        <v>10590</v>
      </c>
      <c r="G9691" t="s">
        <v>81</v>
      </c>
      <c r="H9691">
        <v>32738</v>
      </c>
      <c r="I9691" t="s">
        <v>30</v>
      </c>
      <c r="J9691" t="s">
        <v>41</v>
      </c>
      <c r="K9691" t="s">
        <v>482</v>
      </c>
      <c r="Q9691">
        <v>0</v>
      </c>
      <c r="R9691">
        <v>38</v>
      </c>
      <c r="S9691">
        <v>38</v>
      </c>
      <c r="T9691" t="s">
        <v>36559</v>
      </c>
    </row>
    <row r="9692" spans="1:20" customFormat="1" ht="15" x14ac:dyDescent="0.25">
      <c r="A9692" t="s">
        <v>35</v>
      </c>
      <c r="B9692" t="s">
        <v>61</v>
      </c>
      <c r="C9692" t="str">
        <f>"A0150600"</f>
        <v>A0150600</v>
      </c>
      <c r="D9692" t="s">
        <v>36560</v>
      </c>
      <c r="E9692" t="s">
        <v>36561</v>
      </c>
      <c r="F9692" t="s">
        <v>15636</v>
      </c>
      <c r="G9692" t="s">
        <v>117</v>
      </c>
      <c r="H9692">
        <v>48038</v>
      </c>
      <c r="I9692" t="s">
        <v>30</v>
      </c>
      <c r="J9692" t="s">
        <v>41</v>
      </c>
      <c r="K9692" t="s">
        <v>2463</v>
      </c>
      <c r="Q9692">
        <v>0</v>
      </c>
      <c r="R9692">
        <v>0</v>
      </c>
      <c r="S9692">
        <v>0</v>
      </c>
      <c r="T9692" t="s">
        <v>36562</v>
      </c>
    </row>
    <row r="9693" spans="1:20" customFormat="1" ht="15" x14ac:dyDescent="0.25">
      <c r="A9693" t="s">
        <v>35</v>
      </c>
      <c r="B9693" t="s">
        <v>61</v>
      </c>
      <c r="C9693" t="str">
        <f>"A0123188"</f>
        <v>A0123188</v>
      </c>
      <c r="D9693" t="s">
        <v>36563</v>
      </c>
      <c r="E9693" t="s">
        <v>36564</v>
      </c>
      <c r="F9693" t="s">
        <v>36565</v>
      </c>
      <c r="G9693" t="s">
        <v>507</v>
      </c>
      <c r="H9693">
        <v>24701</v>
      </c>
      <c r="I9693" t="s">
        <v>30</v>
      </c>
      <c r="J9693" t="s">
        <v>41</v>
      </c>
      <c r="K9693" t="s">
        <v>229</v>
      </c>
      <c r="Q9693">
        <v>0</v>
      </c>
      <c r="R9693">
        <v>90</v>
      </c>
      <c r="S9693">
        <v>90</v>
      </c>
      <c r="T9693" t="s">
        <v>36566</v>
      </c>
    </row>
    <row r="9694" spans="1:20" customFormat="1" ht="15" x14ac:dyDescent="0.25">
      <c r="A9694" t="s">
        <v>35</v>
      </c>
      <c r="B9694" t="s">
        <v>61</v>
      </c>
      <c r="C9694" t="str">
        <f>"A0123189"</f>
        <v>A0123189</v>
      </c>
      <c r="D9694" t="s">
        <v>36567</v>
      </c>
      <c r="E9694" t="s">
        <v>36568</v>
      </c>
      <c r="F9694" t="s">
        <v>20175</v>
      </c>
      <c r="G9694" t="s">
        <v>507</v>
      </c>
      <c r="H9694">
        <v>24867</v>
      </c>
      <c r="I9694" t="s">
        <v>30</v>
      </c>
      <c r="J9694" t="s">
        <v>41</v>
      </c>
      <c r="K9694" t="s">
        <v>229</v>
      </c>
      <c r="Q9694">
        <v>0</v>
      </c>
      <c r="R9694">
        <v>60</v>
      </c>
      <c r="S9694">
        <v>60</v>
      </c>
      <c r="T9694" t="s">
        <v>36569</v>
      </c>
    </row>
    <row r="9695" spans="1:20" customFormat="1" ht="15" x14ac:dyDescent="0.25">
      <c r="A9695" t="s">
        <v>35</v>
      </c>
      <c r="B9695" t="s">
        <v>61</v>
      </c>
      <c r="C9695" t="str">
        <f>"A0128674"</f>
        <v>A0128674</v>
      </c>
      <c r="D9695" t="s">
        <v>36570</v>
      </c>
      <c r="E9695" t="s">
        <v>36571</v>
      </c>
      <c r="F9695" t="s">
        <v>28281</v>
      </c>
      <c r="G9695" t="s">
        <v>1170</v>
      </c>
      <c r="H9695">
        <v>70360</v>
      </c>
      <c r="I9695" t="s">
        <v>30</v>
      </c>
      <c r="J9695" t="s">
        <v>41</v>
      </c>
      <c r="K9695" t="s">
        <v>3713</v>
      </c>
      <c r="Q9695">
        <v>0</v>
      </c>
      <c r="R9695">
        <v>30</v>
      </c>
      <c r="S9695">
        <v>30</v>
      </c>
      <c r="T9695" t="s">
        <v>36572</v>
      </c>
    </row>
    <row r="9696" spans="1:20" customFormat="1" ht="15" x14ac:dyDescent="0.25">
      <c r="A9696" t="s">
        <v>35</v>
      </c>
      <c r="B9696" t="s">
        <v>61</v>
      </c>
      <c r="C9696" t="str">
        <f>"A0133253"</f>
        <v>A0133253</v>
      </c>
      <c r="D9696" t="s">
        <v>36573</v>
      </c>
      <c r="E9696" t="s">
        <v>36574</v>
      </c>
      <c r="F9696" t="s">
        <v>36575</v>
      </c>
      <c r="G9696" t="s">
        <v>52</v>
      </c>
      <c r="H9696">
        <v>78801</v>
      </c>
      <c r="I9696" t="s">
        <v>30</v>
      </c>
      <c r="J9696" t="s">
        <v>41</v>
      </c>
      <c r="K9696" t="s">
        <v>229</v>
      </c>
      <c r="Q9696">
        <v>0</v>
      </c>
      <c r="R9696">
        <v>118</v>
      </c>
      <c r="S9696">
        <v>118</v>
      </c>
      <c r="T9696" t="s">
        <v>36576</v>
      </c>
    </row>
    <row r="9697" spans="1:20" customFormat="1" ht="15" x14ac:dyDescent="0.25">
      <c r="A9697" t="s">
        <v>35</v>
      </c>
      <c r="B9697" t="s">
        <v>106</v>
      </c>
      <c r="C9697" t="str">
        <f>"A0136006"</f>
        <v>A0136006</v>
      </c>
      <c r="D9697" t="s">
        <v>36577</v>
      </c>
      <c r="E9697" t="s">
        <v>36578</v>
      </c>
      <c r="F9697" t="s">
        <v>36098</v>
      </c>
      <c r="G9697" t="s">
        <v>1170</v>
      </c>
      <c r="H9697">
        <v>70706</v>
      </c>
      <c r="I9697" t="s">
        <v>30</v>
      </c>
      <c r="J9697" t="s">
        <v>111</v>
      </c>
      <c r="K9697" t="s">
        <v>112</v>
      </c>
      <c r="Q9697">
        <v>0</v>
      </c>
      <c r="R9697">
        <v>0</v>
      </c>
      <c r="S9697">
        <v>0</v>
      </c>
      <c r="T9697" t="s">
        <v>36579</v>
      </c>
    </row>
    <row r="9698" spans="1:20" customFormat="1" ht="15" x14ac:dyDescent="0.25">
      <c r="A9698" t="s">
        <v>35</v>
      </c>
      <c r="B9698" t="s">
        <v>61</v>
      </c>
      <c r="C9698" t="str">
        <f>"A0133004"</f>
        <v>A0133004</v>
      </c>
      <c r="D9698" t="s">
        <v>36580</v>
      </c>
      <c r="E9698" t="s">
        <v>36581</v>
      </c>
      <c r="F9698" t="s">
        <v>1731</v>
      </c>
      <c r="G9698" t="s">
        <v>52</v>
      </c>
      <c r="H9698">
        <v>75248</v>
      </c>
      <c r="I9698" t="s">
        <v>30</v>
      </c>
      <c r="J9698" t="s">
        <v>41</v>
      </c>
      <c r="K9698" t="s">
        <v>456</v>
      </c>
      <c r="Q9698">
        <v>0</v>
      </c>
      <c r="R9698">
        <v>0</v>
      </c>
      <c r="S9698">
        <v>0</v>
      </c>
      <c r="T9698" t="s">
        <v>36582</v>
      </c>
    </row>
    <row r="9699" spans="1:20" customFormat="1" ht="15" x14ac:dyDescent="0.25">
      <c r="A9699" t="s">
        <v>35</v>
      </c>
      <c r="B9699" t="s">
        <v>61</v>
      </c>
      <c r="C9699" t="str">
        <f>"A0129369"</f>
        <v>A0129369</v>
      </c>
      <c r="D9699" t="s">
        <v>36583</v>
      </c>
      <c r="E9699" t="s">
        <v>36584</v>
      </c>
      <c r="F9699" t="s">
        <v>10873</v>
      </c>
      <c r="G9699" t="s">
        <v>289</v>
      </c>
      <c r="H9699">
        <v>61032</v>
      </c>
      <c r="I9699" t="s">
        <v>30</v>
      </c>
      <c r="J9699" t="s">
        <v>41</v>
      </c>
      <c r="K9699" t="s">
        <v>391</v>
      </c>
      <c r="Q9699">
        <v>0</v>
      </c>
      <c r="R9699">
        <v>0</v>
      </c>
      <c r="S9699">
        <v>0</v>
      </c>
      <c r="T9699" t="s">
        <v>36585</v>
      </c>
    </row>
    <row r="9700" spans="1:20" customFormat="1" ht="15" x14ac:dyDescent="0.25">
      <c r="A9700" t="s">
        <v>35</v>
      </c>
      <c r="B9700" t="s">
        <v>437</v>
      </c>
      <c r="C9700" t="str">
        <f>"A0135274"</f>
        <v>A0135274</v>
      </c>
      <c r="D9700" t="s">
        <v>36586</v>
      </c>
      <c r="E9700" t="s">
        <v>36587</v>
      </c>
      <c r="F9700" t="s">
        <v>4259</v>
      </c>
      <c r="G9700" t="s">
        <v>99</v>
      </c>
      <c r="H9700">
        <v>13502</v>
      </c>
      <c r="I9700" t="s">
        <v>30</v>
      </c>
      <c r="J9700" t="s">
        <v>441</v>
      </c>
      <c r="K9700" t="s">
        <v>442</v>
      </c>
      <c r="Q9700">
        <v>0</v>
      </c>
      <c r="R9700">
        <v>0</v>
      </c>
      <c r="S9700">
        <v>0</v>
      </c>
      <c r="T9700" t="s">
        <v>36588</v>
      </c>
    </row>
    <row r="9701" spans="1:20" customFormat="1" ht="15" x14ac:dyDescent="0.25">
      <c r="A9701" t="s">
        <v>35</v>
      </c>
      <c r="B9701" t="s">
        <v>61</v>
      </c>
      <c r="C9701" t="str">
        <f>"A0118590"</f>
        <v>A0118590</v>
      </c>
      <c r="D9701" t="s">
        <v>36589</v>
      </c>
      <c r="E9701" t="s">
        <v>36590</v>
      </c>
      <c r="F9701" t="s">
        <v>21597</v>
      </c>
      <c r="G9701" t="s">
        <v>110</v>
      </c>
      <c r="H9701">
        <v>92804</v>
      </c>
      <c r="I9701" t="s">
        <v>30</v>
      </c>
      <c r="J9701" t="s">
        <v>41</v>
      </c>
      <c r="K9701" t="s">
        <v>59</v>
      </c>
      <c r="Q9701">
        <v>0</v>
      </c>
      <c r="R9701">
        <v>200</v>
      </c>
      <c r="S9701">
        <v>200</v>
      </c>
      <c r="T9701" t="s">
        <v>36591</v>
      </c>
    </row>
    <row r="9702" spans="1:20" customFormat="1" ht="15" x14ac:dyDescent="0.25">
      <c r="A9702" t="s">
        <v>35</v>
      </c>
      <c r="B9702" t="s">
        <v>437</v>
      </c>
      <c r="C9702" t="str">
        <f>"A0134434"</f>
        <v>A0134434</v>
      </c>
      <c r="D9702" t="s">
        <v>36592</v>
      </c>
      <c r="E9702" t="s">
        <v>36593</v>
      </c>
      <c r="F9702" t="s">
        <v>4259</v>
      </c>
      <c r="G9702" t="s">
        <v>99</v>
      </c>
      <c r="H9702">
        <v>13501</v>
      </c>
      <c r="I9702" t="s">
        <v>30</v>
      </c>
      <c r="J9702" t="s">
        <v>441</v>
      </c>
      <c r="K9702" t="s">
        <v>442</v>
      </c>
      <c r="Q9702">
        <v>0</v>
      </c>
      <c r="R9702">
        <v>0</v>
      </c>
      <c r="S9702">
        <v>0</v>
      </c>
      <c r="T9702" t="s">
        <v>36594</v>
      </c>
    </row>
    <row r="9703" spans="1:20" customFormat="1" ht="15" x14ac:dyDescent="0.25">
      <c r="A9703" t="s">
        <v>35</v>
      </c>
      <c r="B9703" t="s">
        <v>61</v>
      </c>
      <c r="C9703" t="str">
        <f>"A0124472"</f>
        <v>A0124472</v>
      </c>
      <c r="D9703" t="s">
        <v>36595</v>
      </c>
      <c r="E9703" t="s">
        <v>36596</v>
      </c>
      <c r="F9703" t="s">
        <v>36597</v>
      </c>
      <c r="G9703" t="s">
        <v>1706</v>
      </c>
      <c r="H9703">
        <v>364200000</v>
      </c>
      <c r="I9703" t="s">
        <v>30</v>
      </c>
      <c r="J9703" t="s">
        <v>41</v>
      </c>
      <c r="K9703" t="s">
        <v>229</v>
      </c>
      <c r="Q9703">
        <v>0</v>
      </c>
      <c r="R9703">
        <v>112</v>
      </c>
      <c r="S9703">
        <v>112</v>
      </c>
      <c r="T9703" t="s">
        <v>36598</v>
      </c>
    </row>
    <row r="9704" spans="1:20" customFormat="1" ht="15" x14ac:dyDescent="0.25">
      <c r="A9704" t="s">
        <v>35</v>
      </c>
      <c r="B9704" t="s">
        <v>61</v>
      </c>
      <c r="C9704" t="str">
        <f>"A0124020"</f>
        <v>A0124020</v>
      </c>
      <c r="D9704" t="s">
        <v>36599</v>
      </c>
      <c r="E9704" t="s">
        <v>36600</v>
      </c>
      <c r="F9704" t="s">
        <v>10641</v>
      </c>
      <c r="G9704" t="s">
        <v>58</v>
      </c>
      <c r="H9704">
        <v>29526</v>
      </c>
      <c r="I9704" t="s">
        <v>30</v>
      </c>
      <c r="J9704" t="s">
        <v>41</v>
      </c>
      <c r="K9704" t="s">
        <v>482</v>
      </c>
      <c r="Q9704">
        <v>0</v>
      </c>
      <c r="R9704">
        <v>60</v>
      </c>
      <c r="S9704">
        <v>60</v>
      </c>
      <c r="T9704" t="s">
        <v>36601</v>
      </c>
    </row>
    <row r="9705" spans="1:20" customFormat="1" ht="15" x14ac:dyDescent="0.25">
      <c r="A9705" t="s">
        <v>35</v>
      </c>
      <c r="B9705" t="s">
        <v>61</v>
      </c>
      <c r="C9705" t="str">
        <f>"A0128197"</f>
        <v>A0128197</v>
      </c>
      <c r="D9705" t="s">
        <v>36602</v>
      </c>
      <c r="E9705" t="s">
        <v>36603</v>
      </c>
      <c r="F9705" t="s">
        <v>3674</v>
      </c>
      <c r="G9705" t="s">
        <v>117</v>
      </c>
      <c r="H9705">
        <v>48152</v>
      </c>
      <c r="I9705" t="s">
        <v>30</v>
      </c>
      <c r="J9705" t="s">
        <v>41</v>
      </c>
      <c r="K9705" t="s">
        <v>59</v>
      </c>
      <c r="Q9705">
        <v>0</v>
      </c>
      <c r="R9705">
        <v>75</v>
      </c>
      <c r="S9705">
        <v>75</v>
      </c>
      <c r="T9705" t="s">
        <v>36604</v>
      </c>
    </row>
    <row r="9706" spans="1:20" customFormat="1" ht="15" x14ac:dyDescent="0.25">
      <c r="A9706" t="s">
        <v>35</v>
      </c>
      <c r="B9706" t="s">
        <v>61</v>
      </c>
      <c r="C9706" t="str">
        <f>"A0133572"</f>
        <v>A0133572</v>
      </c>
      <c r="D9706" t="s">
        <v>36605</v>
      </c>
      <c r="E9706" t="s">
        <v>36606</v>
      </c>
      <c r="F9706" t="s">
        <v>36607</v>
      </c>
      <c r="G9706" t="s">
        <v>52</v>
      </c>
      <c r="H9706">
        <v>77301</v>
      </c>
      <c r="I9706" t="s">
        <v>30</v>
      </c>
      <c r="J9706" t="s">
        <v>41</v>
      </c>
      <c r="K9706" t="s">
        <v>1032</v>
      </c>
      <c r="Q9706">
        <v>0</v>
      </c>
      <c r="R9706">
        <v>3</v>
      </c>
      <c r="S9706">
        <v>3</v>
      </c>
      <c r="T9706" t="s">
        <v>36608</v>
      </c>
    </row>
    <row r="9707" spans="1:20" customFormat="1" ht="15" x14ac:dyDescent="0.25">
      <c r="A9707" t="s">
        <v>35</v>
      </c>
      <c r="B9707" t="s">
        <v>61</v>
      </c>
      <c r="C9707" t="str">
        <f>"A0118618"</f>
        <v>A0118618</v>
      </c>
      <c r="D9707" t="s">
        <v>36609</v>
      </c>
      <c r="E9707" t="s">
        <v>36610</v>
      </c>
      <c r="F9707" t="s">
        <v>36611</v>
      </c>
      <c r="G9707" t="s">
        <v>110</v>
      </c>
      <c r="H9707">
        <v>95355</v>
      </c>
      <c r="I9707" t="s">
        <v>30</v>
      </c>
      <c r="J9707" t="s">
        <v>41</v>
      </c>
      <c r="K9707" t="s">
        <v>59</v>
      </c>
      <c r="Q9707">
        <v>0</v>
      </c>
      <c r="R9707">
        <v>40</v>
      </c>
      <c r="S9707">
        <v>40</v>
      </c>
      <c r="T9707" t="s">
        <v>36612</v>
      </c>
    </row>
    <row r="9708" spans="1:20" customFormat="1" ht="15" x14ac:dyDescent="0.25">
      <c r="A9708" t="s">
        <v>35</v>
      </c>
      <c r="B9708" t="s">
        <v>61</v>
      </c>
      <c r="C9708" t="str">
        <f>"A0152996"</f>
        <v>A0152996</v>
      </c>
      <c r="D9708" t="s">
        <v>36613</v>
      </c>
      <c r="E9708" t="s">
        <v>36614</v>
      </c>
      <c r="F9708" t="s">
        <v>17824</v>
      </c>
      <c r="G9708" t="s">
        <v>880</v>
      </c>
      <c r="H9708">
        <v>38139</v>
      </c>
      <c r="I9708" t="s">
        <v>30</v>
      </c>
      <c r="J9708" t="s">
        <v>41</v>
      </c>
      <c r="K9708" t="s">
        <v>1032</v>
      </c>
      <c r="Q9708">
        <v>0</v>
      </c>
      <c r="R9708">
        <v>0</v>
      </c>
      <c r="S9708">
        <v>0</v>
      </c>
      <c r="T9708" t="s">
        <v>36615</v>
      </c>
    </row>
    <row r="9709" spans="1:20" customFormat="1" ht="15" x14ac:dyDescent="0.25">
      <c r="A9709" t="s">
        <v>35</v>
      </c>
      <c r="B9709" t="s">
        <v>61</v>
      </c>
      <c r="C9709" t="str">
        <f>"A0130134"</f>
        <v>A0130134</v>
      </c>
      <c r="D9709" t="s">
        <v>36616</v>
      </c>
      <c r="E9709" t="s">
        <v>12501</v>
      </c>
      <c r="F9709" t="s">
        <v>5314</v>
      </c>
      <c r="G9709" t="s">
        <v>71</v>
      </c>
      <c r="H9709">
        <v>541150000</v>
      </c>
      <c r="I9709" t="s">
        <v>30</v>
      </c>
      <c r="J9709" t="s">
        <v>41</v>
      </c>
      <c r="K9709" t="s">
        <v>59</v>
      </c>
      <c r="Q9709">
        <v>0</v>
      </c>
      <c r="R9709">
        <v>60</v>
      </c>
      <c r="S9709">
        <v>60</v>
      </c>
      <c r="T9709" t="s">
        <v>36617</v>
      </c>
    </row>
    <row r="9710" spans="1:20" customFormat="1" ht="15" x14ac:dyDescent="0.25">
      <c r="A9710" t="s">
        <v>35</v>
      </c>
      <c r="B9710" t="s">
        <v>61</v>
      </c>
      <c r="C9710" t="str">
        <f>"A0130135"</f>
        <v>A0130135</v>
      </c>
      <c r="D9710" t="s">
        <v>36618</v>
      </c>
      <c r="E9710" t="s">
        <v>36619</v>
      </c>
      <c r="F9710" t="s">
        <v>5314</v>
      </c>
      <c r="G9710" t="s">
        <v>71</v>
      </c>
      <c r="H9710">
        <v>541150000</v>
      </c>
      <c r="I9710" t="s">
        <v>30</v>
      </c>
      <c r="J9710" t="s">
        <v>41</v>
      </c>
      <c r="K9710" t="s">
        <v>59</v>
      </c>
      <c r="Q9710">
        <v>0</v>
      </c>
      <c r="R9710">
        <v>20</v>
      </c>
      <c r="S9710">
        <v>20</v>
      </c>
      <c r="T9710" t="s">
        <v>36617</v>
      </c>
    </row>
    <row r="9711" spans="1:20" customFormat="1" ht="15" x14ac:dyDescent="0.25">
      <c r="A9711" t="s">
        <v>35</v>
      </c>
      <c r="B9711" t="s">
        <v>61</v>
      </c>
      <c r="C9711" t="str">
        <f>"A0127102"</f>
        <v>A0127102</v>
      </c>
      <c r="D9711" t="s">
        <v>36620</v>
      </c>
      <c r="E9711" t="s">
        <v>36621</v>
      </c>
      <c r="F9711" t="s">
        <v>36622</v>
      </c>
      <c r="G9711" t="s">
        <v>103</v>
      </c>
      <c r="H9711">
        <v>15801</v>
      </c>
      <c r="I9711" t="s">
        <v>30</v>
      </c>
      <c r="J9711" t="s">
        <v>41</v>
      </c>
      <c r="K9711" t="s">
        <v>2463</v>
      </c>
      <c r="Q9711">
        <v>0</v>
      </c>
      <c r="R9711">
        <v>0</v>
      </c>
      <c r="S9711">
        <v>0</v>
      </c>
      <c r="T9711" t="s">
        <v>36623</v>
      </c>
    </row>
    <row r="9712" spans="1:20" customFormat="1" ht="15" x14ac:dyDescent="0.25">
      <c r="A9712" t="s">
        <v>35</v>
      </c>
      <c r="B9712" t="s">
        <v>61</v>
      </c>
      <c r="C9712" t="str">
        <f>"A0127402"</f>
        <v>A0127402</v>
      </c>
      <c r="D9712" t="s">
        <v>36624</v>
      </c>
      <c r="E9712" t="s">
        <v>36625</v>
      </c>
      <c r="F9712" t="s">
        <v>30059</v>
      </c>
      <c r="G9712" t="s">
        <v>846</v>
      </c>
      <c r="H9712">
        <v>30088</v>
      </c>
      <c r="I9712" t="s">
        <v>30</v>
      </c>
      <c r="J9712" t="s">
        <v>41</v>
      </c>
      <c r="K9712" t="s">
        <v>2463</v>
      </c>
      <c r="Q9712">
        <v>0</v>
      </c>
      <c r="R9712">
        <v>0</v>
      </c>
      <c r="S9712">
        <v>0</v>
      </c>
      <c r="T9712" t="s">
        <v>36626</v>
      </c>
    </row>
    <row r="9713" spans="1:20" customFormat="1" ht="15" x14ac:dyDescent="0.25">
      <c r="A9713" t="s">
        <v>35</v>
      </c>
      <c r="B9713" t="s">
        <v>61</v>
      </c>
      <c r="C9713" t="str">
        <f>"A0123635"</f>
        <v>A0123635</v>
      </c>
      <c r="D9713" t="s">
        <v>36627</v>
      </c>
      <c r="E9713" t="s">
        <v>36628</v>
      </c>
      <c r="F9713" t="s">
        <v>1630</v>
      </c>
      <c r="G9713" t="s">
        <v>29</v>
      </c>
      <c r="H9713">
        <v>201105134</v>
      </c>
      <c r="I9713" t="s">
        <v>30</v>
      </c>
      <c r="J9713" t="s">
        <v>41</v>
      </c>
      <c r="K9713" t="s">
        <v>229</v>
      </c>
      <c r="Q9713">
        <v>0</v>
      </c>
      <c r="R9713">
        <v>245</v>
      </c>
      <c r="S9713">
        <v>245</v>
      </c>
      <c r="T9713" t="s">
        <v>36629</v>
      </c>
    </row>
    <row r="9714" spans="1:20" customFormat="1" ht="15" x14ac:dyDescent="0.25">
      <c r="A9714" t="s">
        <v>35</v>
      </c>
      <c r="B9714" t="s">
        <v>61</v>
      </c>
      <c r="C9714" t="str">
        <f>"A0130248"</f>
        <v>A0130248</v>
      </c>
      <c r="D9714" t="s">
        <v>36630</v>
      </c>
      <c r="E9714" t="s">
        <v>36631</v>
      </c>
      <c r="F9714" t="s">
        <v>20179</v>
      </c>
      <c r="G9714" t="s">
        <v>161</v>
      </c>
      <c r="H9714">
        <v>55302</v>
      </c>
      <c r="I9714" t="s">
        <v>30</v>
      </c>
      <c r="J9714" t="s">
        <v>41</v>
      </c>
      <c r="K9714" t="s">
        <v>229</v>
      </c>
      <c r="Q9714">
        <v>0</v>
      </c>
      <c r="R9714">
        <v>60</v>
      </c>
      <c r="S9714">
        <v>60</v>
      </c>
      <c r="T9714" t="s">
        <v>36632</v>
      </c>
    </row>
    <row r="9715" spans="1:20" customFormat="1" ht="15" x14ac:dyDescent="0.25">
      <c r="A9715" t="s">
        <v>35</v>
      </c>
      <c r="B9715" t="s">
        <v>61</v>
      </c>
      <c r="C9715" t="str">
        <f>"A0127304"</f>
        <v>A0127304</v>
      </c>
      <c r="D9715" t="s">
        <v>36633</v>
      </c>
      <c r="E9715" t="s">
        <v>36634</v>
      </c>
      <c r="F9715" t="s">
        <v>16371</v>
      </c>
      <c r="G9715" t="s">
        <v>846</v>
      </c>
      <c r="H9715">
        <v>30024</v>
      </c>
      <c r="I9715" t="s">
        <v>30</v>
      </c>
      <c r="J9715" t="s">
        <v>41</v>
      </c>
      <c r="K9715" t="s">
        <v>1440</v>
      </c>
      <c r="Q9715">
        <v>0</v>
      </c>
      <c r="R9715">
        <v>108</v>
      </c>
      <c r="S9715">
        <v>108</v>
      </c>
      <c r="T9715" t="s">
        <v>36635</v>
      </c>
    </row>
    <row r="9716" spans="1:20" customFormat="1" ht="15" x14ac:dyDescent="0.25">
      <c r="A9716" t="s">
        <v>35</v>
      </c>
      <c r="B9716" t="s">
        <v>61</v>
      </c>
      <c r="C9716" t="str">
        <f>"A0131840"</f>
        <v>A0131840</v>
      </c>
      <c r="D9716" t="s">
        <v>36636</v>
      </c>
      <c r="E9716" t="s">
        <v>36637</v>
      </c>
      <c r="F9716" t="s">
        <v>5723</v>
      </c>
      <c r="G9716" t="s">
        <v>65</v>
      </c>
      <c r="H9716">
        <v>43528</v>
      </c>
      <c r="I9716" t="s">
        <v>30</v>
      </c>
      <c r="J9716" t="s">
        <v>41</v>
      </c>
      <c r="K9716" t="s">
        <v>229</v>
      </c>
      <c r="Q9716">
        <v>0</v>
      </c>
      <c r="R9716">
        <v>96</v>
      </c>
      <c r="S9716">
        <v>96</v>
      </c>
      <c r="T9716" t="s">
        <v>36638</v>
      </c>
    </row>
    <row r="9717" spans="1:20" customFormat="1" ht="15" x14ac:dyDescent="0.25">
      <c r="A9717" t="s">
        <v>35</v>
      </c>
      <c r="B9717" t="s">
        <v>61</v>
      </c>
      <c r="C9717" t="str">
        <f>"A0127540"</f>
        <v>A0127540</v>
      </c>
      <c r="D9717" t="s">
        <v>36639</v>
      </c>
      <c r="E9717" t="s">
        <v>36640</v>
      </c>
      <c r="F9717" t="s">
        <v>4082</v>
      </c>
      <c r="G9717" t="s">
        <v>123</v>
      </c>
      <c r="H9717">
        <v>21225</v>
      </c>
      <c r="I9717" t="s">
        <v>30</v>
      </c>
      <c r="J9717" t="s">
        <v>41</v>
      </c>
      <c r="K9717" t="s">
        <v>391</v>
      </c>
      <c r="Q9717">
        <v>0</v>
      </c>
      <c r="R9717">
        <v>120</v>
      </c>
      <c r="S9717">
        <v>120</v>
      </c>
      <c r="T9717" t="s">
        <v>36641</v>
      </c>
    </row>
    <row r="9718" spans="1:20" customFormat="1" ht="15" x14ac:dyDescent="0.25">
      <c r="A9718" t="s">
        <v>35</v>
      </c>
      <c r="B9718" t="s">
        <v>61</v>
      </c>
      <c r="C9718" t="str">
        <f>"A0127382"</f>
        <v>A0127382</v>
      </c>
      <c r="D9718" t="s">
        <v>36642</v>
      </c>
      <c r="E9718" t="s">
        <v>36643</v>
      </c>
      <c r="F9718" t="s">
        <v>16371</v>
      </c>
      <c r="G9718" t="s">
        <v>846</v>
      </c>
      <c r="H9718">
        <v>30024</v>
      </c>
      <c r="I9718" t="s">
        <v>30</v>
      </c>
      <c r="J9718" t="s">
        <v>41</v>
      </c>
      <c r="K9718" t="s">
        <v>59</v>
      </c>
      <c r="Q9718">
        <v>0</v>
      </c>
      <c r="R9718">
        <v>37</v>
      </c>
      <c r="S9718">
        <v>37</v>
      </c>
      <c r="T9718" t="s">
        <v>36644</v>
      </c>
    </row>
    <row r="9719" spans="1:20" customFormat="1" ht="15" x14ac:dyDescent="0.25">
      <c r="A9719" t="s">
        <v>35</v>
      </c>
      <c r="B9719" t="s">
        <v>61</v>
      </c>
      <c r="C9719" t="str">
        <f>"A0127385"</f>
        <v>A0127385</v>
      </c>
      <c r="D9719" t="s">
        <v>36645</v>
      </c>
      <c r="E9719" t="s">
        <v>36646</v>
      </c>
      <c r="F9719" t="s">
        <v>36647</v>
      </c>
      <c r="G9719" t="s">
        <v>846</v>
      </c>
      <c r="H9719">
        <v>31088</v>
      </c>
      <c r="I9719" t="s">
        <v>30</v>
      </c>
      <c r="J9719" t="s">
        <v>41</v>
      </c>
      <c r="K9719" t="s">
        <v>59</v>
      </c>
      <c r="Q9719">
        <v>0</v>
      </c>
      <c r="R9719">
        <v>50</v>
      </c>
      <c r="S9719">
        <v>50</v>
      </c>
      <c r="T9719" t="s">
        <v>36648</v>
      </c>
    </row>
    <row r="9720" spans="1:20" customFormat="1" ht="15" x14ac:dyDescent="0.25">
      <c r="A9720" t="s">
        <v>35</v>
      </c>
      <c r="B9720" t="s">
        <v>61</v>
      </c>
      <c r="C9720" t="str">
        <f>"A0126386"</f>
        <v>A0126386</v>
      </c>
      <c r="D9720" t="s">
        <v>36649</v>
      </c>
      <c r="E9720" t="s">
        <v>36650</v>
      </c>
      <c r="F9720" t="s">
        <v>23017</v>
      </c>
      <c r="G9720" t="s">
        <v>81</v>
      </c>
      <c r="H9720">
        <v>32233</v>
      </c>
      <c r="I9720" t="s">
        <v>30</v>
      </c>
      <c r="J9720" t="s">
        <v>41</v>
      </c>
      <c r="K9720" t="s">
        <v>59</v>
      </c>
      <c r="Q9720">
        <v>0</v>
      </c>
      <c r="R9720">
        <v>120</v>
      </c>
      <c r="S9720">
        <v>120</v>
      </c>
      <c r="T9720" t="s">
        <v>36651</v>
      </c>
    </row>
    <row r="9721" spans="1:20" customFormat="1" ht="15" x14ac:dyDescent="0.25">
      <c r="A9721" t="s">
        <v>35</v>
      </c>
      <c r="B9721" t="s">
        <v>61</v>
      </c>
      <c r="C9721" t="str">
        <f>"A0118459"</f>
        <v>A0118459</v>
      </c>
      <c r="D9721" t="s">
        <v>36652</v>
      </c>
      <c r="E9721" t="s">
        <v>36653</v>
      </c>
      <c r="F9721" t="s">
        <v>25685</v>
      </c>
      <c r="G9721" t="s">
        <v>110</v>
      </c>
      <c r="H9721">
        <v>94509</v>
      </c>
      <c r="I9721" t="s">
        <v>30</v>
      </c>
      <c r="J9721" t="s">
        <v>41</v>
      </c>
      <c r="K9721" t="s">
        <v>229</v>
      </c>
      <c r="Q9721">
        <v>0</v>
      </c>
      <c r="R9721">
        <v>99</v>
      </c>
      <c r="S9721">
        <v>99</v>
      </c>
      <c r="T9721" t="s">
        <v>36654</v>
      </c>
    </row>
    <row r="9722" spans="1:20" customFormat="1" ht="15" x14ac:dyDescent="0.25">
      <c r="A9722" t="s">
        <v>35</v>
      </c>
      <c r="B9722" t="s">
        <v>61</v>
      </c>
      <c r="C9722" t="str">
        <f>"A0154435"</f>
        <v>A0154435</v>
      </c>
      <c r="D9722" t="s">
        <v>36655</v>
      </c>
      <c r="E9722" t="s">
        <v>36656</v>
      </c>
      <c r="F9722" t="s">
        <v>5261</v>
      </c>
      <c r="G9722" t="s">
        <v>117</v>
      </c>
      <c r="H9722">
        <v>49615</v>
      </c>
      <c r="I9722" t="s">
        <v>30</v>
      </c>
      <c r="J9722" t="s">
        <v>41</v>
      </c>
      <c r="K9722" t="s">
        <v>9463</v>
      </c>
      <c r="Q9722">
        <v>0</v>
      </c>
      <c r="R9722">
        <v>0</v>
      </c>
      <c r="S9722">
        <v>0</v>
      </c>
      <c r="T9722" t="s">
        <v>36657</v>
      </c>
    </row>
    <row r="9723" spans="1:20" customFormat="1" ht="15" x14ac:dyDescent="0.25">
      <c r="A9723" t="s">
        <v>35</v>
      </c>
      <c r="B9723" t="s">
        <v>61</v>
      </c>
      <c r="C9723" t="str">
        <f>"A0126117"</f>
        <v>A0126117</v>
      </c>
      <c r="D9723" t="s">
        <v>36658</v>
      </c>
      <c r="E9723" t="s">
        <v>36659</v>
      </c>
      <c r="F9723" t="s">
        <v>36660</v>
      </c>
      <c r="G9723" t="s">
        <v>197</v>
      </c>
      <c r="H9723">
        <v>85220</v>
      </c>
      <c r="I9723" t="s">
        <v>30</v>
      </c>
      <c r="J9723" t="s">
        <v>41</v>
      </c>
      <c r="K9723" t="s">
        <v>229</v>
      </c>
      <c r="Q9723">
        <v>0</v>
      </c>
      <c r="R9723">
        <v>190</v>
      </c>
      <c r="S9723">
        <v>190</v>
      </c>
      <c r="T9723" t="s">
        <v>36661</v>
      </c>
    </row>
    <row r="9724" spans="1:20" customFormat="1" ht="15" x14ac:dyDescent="0.25">
      <c r="A9724" t="s">
        <v>35</v>
      </c>
      <c r="B9724" t="s">
        <v>5676</v>
      </c>
      <c r="C9724" t="str">
        <f>"A0124245"</f>
        <v>A0124245</v>
      </c>
      <c r="D9724" t="s">
        <v>36662</v>
      </c>
      <c r="E9724" t="s">
        <v>36663</v>
      </c>
      <c r="F9724" t="s">
        <v>7296</v>
      </c>
      <c r="G9724" t="s">
        <v>289</v>
      </c>
      <c r="H9724">
        <v>60162</v>
      </c>
      <c r="I9724" t="s">
        <v>30</v>
      </c>
      <c r="J9724" t="s">
        <v>41</v>
      </c>
      <c r="K9724" t="s">
        <v>229</v>
      </c>
      <c r="Q9724">
        <v>0</v>
      </c>
      <c r="R9724">
        <v>73</v>
      </c>
      <c r="S9724">
        <v>67</v>
      </c>
      <c r="T9724" t="s">
        <v>36664</v>
      </c>
    </row>
    <row r="9725" spans="1:20" customFormat="1" ht="15" x14ac:dyDescent="0.25">
      <c r="A9725" t="s">
        <v>35</v>
      </c>
      <c r="B9725" t="s">
        <v>5676</v>
      </c>
      <c r="C9725" t="str">
        <f>"A0124337"</f>
        <v>A0124337</v>
      </c>
      <c r="D9725" t="s">
        <v>36665</v>
      </c>
      <c r="E9725" t="s">
        <v>36666</v>
      </c>
      <c r="F9725" t="s">
        <v>36667</v>
      </c>
      <c r="G9725" t="s">
        <v>289</v>
      </c>
      <c r="H9725">
        <v>61341</v>
      </c>
      <c r="I9725" t="s">
        <v>30</v>
      </c>
      <c r="J9725" t="s">
        <v>41</v>
      </c>
      <c r="K9725" t="s">
        <v>229</v>
      </c>
      <c r="Q9725">
        <v>0</v>
      </c>
      <c r="R9725">
        <v>103</v>
      </c>
      <c r="S9725">
        <v>103</v>
      </c>
      <c r="T9725" t="s">
        <v>36668</v>
      </c>
    </row>
    <row r="9726" spans="1:20" customFormat="1" ht="15" x14ac:dyDescent="0.25">
      <c r="A9726" t="s">
        <v>35</v>
      </c>
      <c r="B9726" t="s">
        <v>5676</v>
      </c>
      <c r="C9726" t="str">
        <f>"A0124299"</f>
        <v>A0124299</v>
      </c>
      <c r="D9726" t="s">
        <v>36669</v>
      </c>
      <c r="E9726" t="s">
        <v>36670</v>
      </c>
      <c r="F9726" t="s">
        <v>31852</v>
      </c>
      <c r="G9726" t="s">
        <v>289</v>
      </c>
      <c r="H9726">
        <v>61550</v>
      </c>
      <c r="I9726" t="s">
        <v>30</v>
      </c>
      <c r="J9726" t="s">
        <v>41</v>
      </c>
      <c r="K9726" t="s">
        <v>229</v>
      </c>
      <c r="Q9726">
        <v>0</v>
      </c>
      <c r="R9726">
        <v>106</v>
      </c>
      <c r="S9726">
        <v>106</v>
      </c>
      <c r="T9726" t="s">
        <v>36671</v>
      </c>
    </row>
    <row r="9727" spans="1:20" customFormat="1" ht="15" x14ac:dyDescent="0.25">
      <c r="A9727" t="s">
        <v>35</v>
      </c>
      <c r="B9727" t="s">
        <v>5676</v>
      </c>
      <c r="C9727" t="str">
        <f>"A0124349"</f>
        <v>A0124349</v>
      </c>
      <c r="D9727" t="s">
        <v>36672</v>
      </c>
      <c r="E9727" t="s">
        <v>36673</v>
      </c>
      <c r="F9727" t="s">
        <v>36674</v>
      </c>
      <c r="G9727" t="s">
        <v>289</v>
      </c>
      <c r="H9727">
        <v>61614</v>
      </c>
      <c r="I9727" t="s">
        <v>30</v>
      </c>
      <c r="J9727" t="s">
        <v>41</v>
      </c>
      <c r="K9727" t="s">
        <v>229</v>
      </c>
      <c r="Q9727">
        <v>0</v>
      </c>
      <c r="R9727">
        <v>110</v>
      </c>
      <c r="S9727">
        <v>110</v>
      </c>
      <c r="T9727" t="s">
        <v>36675</v>
      </c>
    </row>
    <row r="9728" spans="1:20" customFormat="1" ht="15" x14ac:dyDescent="0.25">
      <c r="A9728" t="s">
        <v>35</v>
      </c>
      <c r="B9728" t="s">
        <v>5676</v>
      </c>
      <c r="C9728" t="str">
        <f>"A0124137"</f>
        <v>A0124137</v>
      </c>
      <c r="D9728" t="s">
        <v>36676</v>
      </c>
      <c r="E9728" t="s">
        <v>36677</v>
      </c>
      <c r="F9728" t="s">
        <v>10272</v>
      </c>
      <c r="G9728" t="s">
        <v>289</v>
      </c>
      <c r="H9728">
        <v>61356</v>
      </c>
      <c r="I9728" t="s">
        <v>30</v>
      </c>
      <c r="J9728" t="s">
        <v>41</v>
      </c>
      <c r="K9728" t="s">
        <v>229</v>
      </c>
      <c r="Q9728">
        <v>0</v>
      </c>
      <c r="R9728">
        <v>92</v>
      </c>
      <c r="S9728">
        <v>92</v>
      </c>
      <c r="T9728" t="s">
        <v>36678</v>
      </c>
    </row>
    <row r="9729" spans="1:20" customFormat="1" ht="15" x14ac:dyDescent="0.25">
      <c r="A9729" t="s">
        <v>35</v>
      </c>
      <c r="B9729" t="s">
        <v>5676</v>
      </c>
      <c r="C9729" t="str">
        <f>"A0124391"</f>
        <v>A0124391</v>
      </c>
      <c r="D9729" t="s">
        <v>36679</v>
      </c>
      <c r="E9729" t="s">
        <v>36680</v>
      </c>
      <c r="F9729" t="s">
        <v>36681</v>
      </c>
      <c r="G9729" t="s">
        <v>289</v>
      </c>
      <c r="H9729">
        <v>60185</v>
      </c>
      <c r="I9729" t="s">
        <v>30</v>
      </c>
      <c r="J9729" t="s">
        <v>41</v>
      </c>
      <c r="K9729" t="s">
        <v>59</v>
      </c>
      <c r="Q9729">
        <v>0</v>
      </c>
      <c r="R9729">
        <v>213</v>
      </c>
      <c r="S9729">
        <v>213</v>
      </c>
      <c r="T9729" t="s">
        <v>36682</v>
      </c>
    </row>
    <row r="9730" spans="1:20" customFormat="1" ht="15" x14ac:dyDescent="0.25">
      <c r="A9730" t="s">
        <v>35</v>
      </c>
      <c r="B9730" t="s">
        <v>61</v>
      </c>
      <c r="C9730" t="str">
        <f>"A0133474"</f>
        <v>A0133474</v>
      </c>
      <c r="D9730" t="s">
        <v>36683</v>
      </c>
      <c r="E9730" t="s">
        <v>36684</v>
      </c>
      <c r="F9730" t="s">
        <v>36685</v>
      </c>
      <c r="G9730" t="s">
        <v>52</v>
      </c>
      <c r="H9730">
        <v>79316</v>
      </c>
      <c r="I9730" t="s">
        <v>30</v>
      </c>
      <c r="J9730" t="s">
        <v>41</v>
      </c>
      <c r="K9730" t="s">
        <v>229</v>
      </c>
      <c r="Q9730">
        <v>0</v>
      </c>
      <c r="R9730">
        <v>90</v>
      </c>
      <c r="S9730">
        <v>90</v>
      </c>
      <c r="T9730" t="s">
        <v>36686</v>
      </c>
    </row>
    <row r="9731" spans="1:20" customFormat="1" ht="15" x14ac:dyDescent="0.25">
      <c r="A9731" t="s">
        <v>35</v>
      </c>
      <c r="B9731" t="s">
        <v>61</v>
      </c>
      <c r="C9731" t="str">
        <f>"A0128951"</f>
        <v>A0128951</v>
      </c>
      <c r="D9731" t="s">
        <v>36687</v>
      </c>
      <c r="E9731" t="s">
        <v>36688</v>
      </c>
      <c r="F9731" t="s">
        <v>1669</v>
      </c>
      <c r="G9731" t="s">
        <v>289</v>
      </c>
      <c r="H9731">
        <v>61530</v>
      </c>
      <c r="I9731" t="s">
        <v>30</v>
      </c>
      <c r="J9731" t="s">
        <v>41</v>
      </c>
      <c r="K9731" t="s">
        <v>36689</v>
      </c>
      <c r="Q9731">
        <v>0</v>
      </c>
      <c r="R9731">
        <v>119</v>
      </c>
      <c r="S9731">
        <v>119</v>
      </c>
      <c r="T9731" t="s">
        <v>36690</v>
      </c>
    </row>
    <row r="9732" spans="1:20" customFormat="1" ht="15" x14ac:dyDescent="0.25">
      <c r="A9732" t="s">
        <v>35</v>
      </c>
      <c r="B9732" t="s">
        <v>61</v>
      </c>
      <c r="C9732" t="str">
        <f>"A0129002"</f>
        <v>A0129002</v>
      </c>
      <c r="D9732" t="s">
        <v>36691</v>
      </c>
      <c r="E9732" t="s">
        <v>36692</v>
      </c>
      <c r="F9732" t="s">
        <v>31852</v>
      </c>
      <c r="G9732" t="s">
        <v>289</v>
      </c>
      <c r="H9732">
        <v>61550</v>
      </c>
      <c r="I9732" t="s">
        <v>30</v>
      </c>
      <c r="J9732" t="s">
        <v>41</v>
      </c>
      <c r="K9732" t="s">
        <v>131</v>
      </c>
      <c r="Q9732">
        <v>0</v>
      </c>
      <c r="R9732">
        <v>168</v>
      </c>
      <c r="S9732">
        <v>168</v>
      </c>
      <c r="T9732" t="s">
        <v>36693</v>
      </c>
    </row>
    <row r="9733" spans="1:20" customFormat="1" ht="15" x14ac:dyDescent="0.25">
      <c r="A9733" t="s">
        <v>35</v>
      </c>
      <c r="B9733" t="s">
        <v>106</v>
      </c>
      <c r="C9733" t="str">
        <f>"A0135958"</f>
        <v>A0135958</v>
      </c>
      <c r="D9733" t="s">
        <v>36694</v>
      </c>
      <c r="E9733" t="s">
        <v>36695</v>
      </c>
      <c r="F9733" t="s">
        <v>27264</v>
      </c>
      <c r="G9733" t="s">
        <v>214</v>
      </c>
      <c r="H9733">
        <v>28608</v>
      </c>
      <c r="I9733" t="s">
        <v>30</v>
      </c>
      <c r="J9733" t="s">
        <v>111</v>
      </c>
      <c r="K9733" t="s">
        <v>10012</v>
      </c>
      <c r="Q9733">
        <v>0</v>
      </c>
      <c r="R9733">
        <v>0</v>
      </c>
      <c r="S9733">
        <v>0</v>
      </c>
      <c r="T9733" t="s">
        <v>36696</v>
      </c>
    </row>
    <row r="9734" spans="1:20" customFormat="1" ht="15" x14ac:dyDescent="0.25">
      <c r="A9734" t="s">
        <v>35</v>
      </c>
      <c r="B9734" t="s">
        <v>106</v>
      </c>
      <c r="C9734" t="str">
        <f>"A0135957"</f>
        <v>A0135957</v>
      </c>
      <c r="D9734" t="s">
        <v>36697</v>
      </c>
      <c r="E9734" t="s">
        <v>36695</v>
      </c>
      <c r="F9734" t="s">
        <v>27264</v>
      </c>
      <c r="G9734" t="s">
        <v>214</v>
      </c>
      <c r="H9734">
        <v>28608</v>
      </c>
      <c r="I9734" t="s">
        <v>30</v>
      </c>
      <c r="J9734" t="s">
        <v>111</v>
      </c>
      <c r="K9734" t="s">
        <v>10012</v>
      </c>
      <c r="Q9734">
        <v>0</v>
      </c>
      <c r="R9734">
        <v>0</v>
      </c>
      <c r="S9734">
        <v>0</v>
      </c>
      <c r="T9734" t="s">
        <v>36698</v>
      </c>
    </row>
    <row r="9735" spans="1:20" customFormat="1" ht="15" x14ac:dyDescent="0.25">
      <c r="A9735" t="s">
        <v>35</v>
      </c>
      <c r="B9735" t="s">
        <v>61</v>
      </c>
      <c r="C9735" t="str">
        <f>"A0129934"</f>
        <v>A0129934</v>
      </c>
      <c r="D9735" t="s">
        <v>36699</v>
      </c>
      <c r="E9735" t="s">
        <v>36700</v>
      </c>
      <c r="F9735" t="s">
        <v>1501</v>
      </c>
      <c r="G9735" t="s">
        <v>880</v>
      </c>
      <c r="H9735">
        <v>381250000</v>
      </c>
      <c r="I9735" t="s">
        <v>30</v>
      </c>
      <c r="J9735" t="s">
        <v>41</v>
      </c>
      <c r="K9735" t="s">
        <v>1032</v>
      </c>
      <c r="Q9735">
        <v>0</v>
      </c>
      <c r="R9735">
        <v>40</v>
      </c>
      <c r="S9735">
        <v>40</v>
      </c>
      <c r="T9735" t="s">
        <v>36701</v>
      </c>
    </row>
    <row r="9736" spans="1:20" customFormat="1" ht="15" x14ac:dyDescent="0.25">
      <c r="A9736" t="s">
        <v>35</v>
      </c>
      <c r="B9736" t="s">
        <v>61</v>
      </c>
      <c r="C9736" t="str">
        <f>"A0131078"</f>
        <v>A0131078</v>
      </c>
      <c r="D9736" t="s">
        <v>36702</v>
      </c>
      <c r="E9736" t="s">
        <v>36703</v>
      </c>
      <c r="F9736" t="s">
        <v>27776</v>
      </c>
      <c r="G9736" t="s">
        <v>85</v>
      </c>
      <c r="H9736">
        <v>72601</v>
      </c>
      <c r="I9736" t="s">
        <v>30</v>
      </c>
      <c r="J9736" t="s">
        <v>41</v>
      </c>
      <c r="K9736" t="s">
        <v>229</v>
      </c>
      <c r="Q9736">
        <v>0</v>
      </c>
      <c r="R9736">
        <v>102</v>
      </c>
      <c r="S9736">
        <v>102</v>
      </c>
      <c r="T9736" t="s">
        <v>33798</v>
      </c>
    </row>
    <row r="9737" spans="1:20" customFormat="1" ht="15" x14ac:dyDescent="0.25">
      <c r="A9737" t="s">
        <v>35</v>
      </c>
      <c r="B9737" t="s">
        <v>9212</v>
      </c>
      <c r="C9737" t="str">
        <f>"A0121860"</f>
        <v>A0121860</v>
      </c>
      <c r="D9737" t="s">
        <v>36704</v>
      </c>
      <c r="E9737" t="s">
        <v>36705</v>
      </c>
      <c r="F9737" t="s">
        <v>27202</v>
      </c>
      <c r="G9737" t="s">
        <v>110</v>
      </c>
      <c r="H9737">
        <v>93208</v>
      </c>
      <c r="I9737" t="s">
        <v>30</v>
      </c>
      <c r="J9737" t="s">
        <v>41</v>
      </c>
      <c r="K9737" t="s">
        <v>229</v>
      </c>
      <c r="Q9737">
        <v>0</v>
      </c>
      <c r="R9737">
        <v>99</v>
      </c>
      <c r="S9737">
        <v>99</v>
      </c>
      <c r="T9737" t="s">
        <v>36706</v>
      </c>
    </row>
    <row r="9738" spans="1:20" customFormat="1" ht="15" x14ac:dyDescent="0.25">
      <c r="A9738" t="s">
        <v>35</v>
      </c>
      <c r="B9738" t="s">
        <v>61</v>
      </c>
      <c r="C9738" t="str">
        <f>"A0122562"</f>
        <v>A0122562</v>
      </c>
      <c r="D9738" t="s">
        <v>36707</v>
      </c>
      <c r="E9738" t="s">
        <v>36708</v>
      </c>
      <c r="F9738" t="s">
        <v>455</v>
      </c>
      <c r="G9738" t="s">
        <v>433</v>
      </c>
      <c r="H9738">
        <v>83646</v>
      </c>
      <c r="I9738" t="s">
        <v>30</v>
      </c>
      <c r="J9738" t="s">
        <v>41</v>
      </c>
      <c r="K9738" t="s">
        <v>59</v>
      </c>
      <c r="Q9738">
        <v>0</v>
      </c>
      <c r="R9738">
        <v>46</v>
      </c>
      <c r="S9738">
        <v>46</v>
      </c>
      <c r="T9738" t="s">
        <v>36709</v>
      </c>
    </row>
    <row r="9739" spans="1:20" customFormat="1" ht="15" x14ac:dyDescent="0.25">
      <c r="A9739" t="s">
        <v>35</v>
      </c>
      <c r="B9739" t="s">
        <v>61</v>
      </c>
      <c r="C9739" t="str">
        <f>"A0119320"</f>
        <v>A0119320</v>
      </c>
      <c r="D9739" t="s">
        <v>36710</v>
      </c>
      <c r="E9739" t="s">
        <v>36711</v>
      </c>
      <c r="F9739" t="s">
        <v>36712</v>
      </c>
      <c r="G9739" t="s">
        <v>110</v>
      </c>
      <c r="H9739">
        <v>91360</v>
      </c>
      <c r="I9739" t="s">
        <v>30</v>
      </c>
      <c r="J9739" t="s">
        <v>41</v>
      </c>
      <c r="K9739" t="s">
        <v>418</v>
      </c>
      <c r="Q9739">
        <v>0</v>
      </c>
      <c r="R9739">
        <v>6</v>
      </c>
      <c r="S9739">
        <v>6</v>
      </c>
      <c r="T9739" t="s">
        <v>36713</v>
      </c>
    </row>
    <row r="9740" spans="1:20" customFormat="1" ht="15" x14ac:dyDescent="0.25">
      <c r="A9740" t="s">
        <v>35</v>
      </c>
      <c r="B9740" t="s">
        <v>61</v>
      </c>
      <c r="C9740" t="str">
        <f>"A0123190"</f>
        <v>A0123190</v>
      </c>
      <c r="D9740" t="s">
        <v>36714</v>
      </c>
      <c r="E9740" t="s">
        <v>36715</v>
      </c>
      <c r="F9740" t="s">
        <v>36716</v>
      </c>
      <c r="G9740" t="s">
        <v>29</v>
      </c>
      <c r="H9740">
        <v>245228721</v>
      </c>
      <c r="I9740" t="s">
        <v>30</v>
      </c>
      <c r="J9740" t="s">
        <v>41</v>
      </c>
      <c r="K9740" t="s">
        <v>229</v>
      </c>
      <c r="Q9740">
        <v>0</v>
      </c>
      <c r="R9740">
        <v>60</v>
      </c>
      <c r="S9740">
        <v>60</v>
      </c>
      <c r="T9740" t="s">
        <v>36717</v>
      </c>
    </row>
    <row r="9741" spans="1:20" customFormat="1" ht="15" x14ac:dyDescent="0.25">
      <c r="A9741" t="s">
        <v>35</v>
      </c>
      <c r="B9741" t="s">
        <v>61</v>
      </c>
      <c r="C9741" t="str">
        <f>"A0122000"</f>
        <v>A0122000</v>
      </c>
      <c r="D9741" t="s">
        <v>36718</v>
      </c>
      <c r="E9741" t="s">
        <v>36719</v>
      </c>
      <c r="F9741" t="s">
        <v>1439</v>
      </c>
      <c r="G9741" t="s">
        <v>110</v>
      </c>
      <c r="H9741">
        <v>92108</v>
      </c>
      <c r="I9741" t="s">
        <v>30</v>
      </c>
      <c r="J9741" t="s">
        <v>41</v>
      </c>
      <c r="K9741" t="s">
        <v>456</v>
      </c>
      <c r="Q9741">
        <v>0</v>
      </c>
      <c r="R9741">
        <v>0</v>
      </c>
      <c r="S9741">
        <v>0</v>
      </c>
      <c r="T9741" t="s">
        <v>36720</v>
      </c>
    </row>
    <row r="9742" spans="1:20" customFormat="1" ht="15" x14ac:dyDescent="0.25">
      <c r="A9742" t="s">
        <v>35</v>
      </c>
      <c r="B9742" t="s">
        <v>61</v>
      </c>
      <c r="C9742" t="str">
        <f>"A0127834"</f>
        <v>A0127834</v>
      </c>
      <c r="D9742" t="s">
        <v>36721</v>
      </c>
      <c r="E9742" t="s">
        <v>36722</v>
      </c>
      <c r="F9742" t="s">
        <v>9607</v>
      </c>
      <c r="G9742" t="s">
        <v>117</v>
      </c>
      <c r="H9742">
        <v>498033895</v>
      </c>
      <c r="I9742" t="s">
        <v>30</v>
      </c>
      <c r="J9742" t="s">
        <v>41</v>
      </c>
      <c r="K9742" t="s">
        <v>482</v>
      </c>
      <c r="Q9742">
        <v>0</v>
      </c>
      <c r="R9742">
        <v>100</v>
      </c>
      <c r="S9742">
        <v>100</v>
      </c>
      <c r="T9742" t="s">
        <v>36723</v>
      </c>
    </row>
    <row r="9743" spans="1:20" customFormat="1" ht="15" x14ac:dyDescent="0.25">
      <c r="A9743" t="s">
        <v>35</v>
      </c>
      <c r="B9743" t="s">
        <v>61</v>
      </c>
      <c r="C9743" t="str">
        <f>"A0127837"</f>
        <v>A0127837</v>
      </c>
      <c r="D9743" t="s">
        <v>36724</v>
      </c>
      <c r="E9743" t="s">
        <v>36725</v>
      </c>
      <c r="F9743" t="s">
        <v>9607</v>
      </c>
      <c r="G9743" t="s">
        <v>117</v>
      </c>
      <c r="H9743">
        <v>49503</v>
      </c>
      <c r="I9743" t="s">
        <v>30</v>
      </c>
      <c r="J9743" t="s">
        <v>41</v>
      </c>
      <c r="K9743" t="s">
        <v>1032</v>
      </c>
      <c r="Q9743">
        <v>0</v>
      </c>
      <c r="R9743">
        <v>0</v>
      </c>
      <c r="S9743">
        <v>0</v>
      </c>
      <c r="T9743" t="s">
        <v>36723</v>
      </c>
    </row>
    <row r="9744" spans="1:20" customFormat="1" ht="15" x14ac:dyDescent="0.25">
      <c r="A9744" t="s">
        <v>35</v>
      </c>
      <c r="B9744" t="s">
        <v>61</v>
      </c>
      <c r="C9744" t="str">
        <f>"A0126370"</f>
        <v>A0126370</v>
      </c>
      <c r="D9744" t="s">
        <v>36726</v>
      </c>
      <c r="E9744" t="s">
        <v>36727</v>
      </c>
      <c r="F9744" t="s">
        <v>3671</v>
      </c>
      <c r="G9744" t="s">
        <v>81</v>
      </c>
      <c r="H9744">
        <v>34110</v>
      </c>
      <c r="I9744" t="s">
        <v>30</v>
      </c>
      <c r="J9744" t="s">
        <v>41</v>
      </c>
      <c r="K9744" t="s">
        <v>59</v>
      </c>
      <c r="Q9744">
        <v>0</v>
      </c>
      <c r="R9744">
        <v>32</v>
      </c>
      <c r="S9744">
        <v>32</v>
      </c>
      <c r="T9744" t="s">
        <v>36728</v>
      </c>
    </row>
    <row r="9745" spans="1:20" customFormat="1" ht="15" x14ac:dyDescent="0.25">
      <c r="A9745" t="s">
        <v>35</v>
      </c>
      <c r="B9745" t="s">
        <v>61</v>
      </c>
      <c r="C9745" t="str">
        <f>"A0128693"</f>
        <v>A0128693</v>
      </c>
      <c r="D9745" t="s">
        <v>36729</v>
      </c>
      <c r="E9745" t="s">
        <v>36730</v>
      </c>
      <c r="F9745" t="s">
        <v>36731</v>
      </c>
      <c r="G9745" t="s">
        <v>1170</v>
      </c>
      <c r="H9745">
        <v>71241</v>
      </c>
      <c r="I9745" t="s">
        <v>30</v>
      </c>
      <c r="J9745" t="s">
        <v>41</v>
      </c>
      <c r="K9745" t="s">
        <v>229</v>
      </c>
      <c r="Q9745">
        <v>0</v>
      </c>
      <c r="R9745">
        <v>110</v>
      </c>
      <c r="S9745">
        <v>110</v>
      </c>
      <c r="T9745" t="s">
        <v>36732</v>
      </c>
    </row>
    <row r="9746" spans="1:20" customFormat="1" ht="15" x14ac:dyDescent="0.25">
      <c r="A9746" t="s">
        <v>35</v>
      </c>
      <c r="B9746" t="s">
        <v>61</v>
      </c>
      <c r="C9746" t="str">
        <f>"A0124619"</f>
        <v>A0124619</v>
      </c>
      <c r="D9746" t="s">
        <v>36733</v>
      </c>
      <c r="E9746" t="s">
        <v>36734</v>
      </c>
      <c r="F9746" t="s">
        <v>36735</v>
      </c>
      <c r="G9746" t="s">
        <v>1706</v>
      </c>
      <c r="H9746">
        <v>36801</v>
      </c>
      <c r="I9746" t="s">
        <v>30</v>
      </c>
      <c r="J9746" t="s">
        <v>41</v>
      </c>
      <c r="K9746" t="s">
        <v>229</v>
      </c>
      <c r="Q9746">
        <v>0</v>
      </c>
      <c r="R9746">
        <v>225</v>
      </c>
      <c r="S9746">
        <v>225</v>
      </c>
      <c r="T9746" t="s">
        <v>13977</v>
      </c>
    </row>
    <row r="9747" spans="1:20" customFormat="1" ht="15" x14ac:dyDescent="0.25">
      <c r="A9747" t="s">
        <v>35</v>
      </c>
      <c r="B9747" t="s">
        <v>61</v>
      </c>
      <c r="C9747" t="str">
        <f>"A0126617"</f>
        <v>A0126617</v>
      </c>
      <c r="D9747" t="s">
        <v>36736</v>
      </c>
      <c r="E9747" t="s">
        <v>36737</v>
      </c>
      <c r="F9747" t="s">
        <v>36738</v>
      </c>
      <c r="G9747" t="s">
        <v>338</v>
      </c>
      <c r="H9747">
        <v>7724</v>
      </c>
      <c r="I9747" t="s">
        <v>30</v>
      </c>
      <c r="J9747" t="s">
        <v>41</v>
      </c>
      <c r="K9747" t="s">
        <v>59</v>
      </c>
      <c r="Q9747">
        <v>0</v>
      </c>
      <c r="R9747">
        <v>124</v>
      </c>
      <c r="S9747">
        <v>124</v>
      </c>
      <c r="T9747" t="s">
        <v>36739</v>
      </c>
    </row>
    <row r="9748" spans="1:20" customFormat="1" ht="15" x14ac:dyDescent="0.25">
      <c r="A9748" t="s">
        <v>35</v>
      </c>
      <c r="B9748" t="s">
        <v>61</v>
      </c>
      <c r="C9748" t="str">
        <f>"A0125180"</f>
        <v>A0125180</v>
      </c>
      <c r="D9748" t="s">
        <v>36740</v>
      </c>
      <c r="E9748" t="s">
        <v>36741</v>
      </c>
      <c r="F9748" t="s">
        <v>130</v>
      </c>
      <c r="G9748" t="s">
        <v>40</v>
      </c>
      <c r="H9748">
        <v>73703</v>
      </c>
      <c r="I9748" t="s">
        <v>30</v>
      </c>
      <c r="J9748" t="s">
        <v>41</v>
      </c>
      <c r="K9748" t="s">
        <v>59</v>
      </c>
      <c r="Q9748">
        <v>0</v>
      </c>
      <c r="R9748">
        <v>16</v>
      </c>
      <c r="S9748">
        <v>16</v>
      </c>
      <c r="T9748" t="s">
        <v>36742</v>
      </c>
    </row>
    <row r="9749" spans="1:20" customFormat="1" ht="15" x14ac:dyDescent="0.25">
      <c r="A9749" t="s">
        <v>35</v>
      </c>
      <c r="B9749" t="s">
        <v>61</v>
      </c>
      <c r="C9749" t="str">
        <f>"A0132745"</f>
        <v>A0132745</v>
      </c>
      <c r="D9749" t="s">
        <v>36743</v>
      </c>
      <c r="E9749" t="s">
        <v>36744</v>
      </c>
      <c r="F9749" t="s">
        <v>2748</v>
      </c>
      <c r="G9749" t="s">
        <v>65</v>
      </c>
      <c r="H9749">
        <v>436080000</v>
      </c>
      <c r="I9749" t="s">
        <v>30</v>
      </c>
      <c r="J9749" t="s">
        <v>41</v>
      </c>
      <c r="K9749" t="s">
        <v>229</v>
      </c>
      <c r="Q9749">
        <v>0</v>
      </c>
      <c r="R9749">
        <v>100</v>
      </c>
      <c r="S9749">
        <v>100</v>
      </c>
      <c r="T9749" t="s">
        <v>36745</v>
      </c>
    </row>
    <row r="9750" spans="1:20" customFormat="1" ht="15" x14ac:dyDescent="0.25">
      <c r="A9750" t="s">
        <v>35</v>
      </c>
      <c r="B9750" t="s">
        <v>61</v>
      </c>
      <c r="C9750" t="str">
        <f>"A0133497"</f>
        <v>A0133497</v>
      </c>
      <c r="D9750" t="s">
        <v>36746</v>
      </c>
      <c r="E9750" t="s">
        <v>36747</v>
      </c>
      <c r="F9750" t="s">
        <v>13792</v>
      </c>
      <c r="G9750" t="s">
        <v>52</v>
      </c>
      <c r="H9750">
        <v>76014</v>
      </c>
      <c r="I9750" t="s">
        <v>30</v>
      </c>
      <c r="J9750" t="s">
        <v>41</v>
      </c>
      <c r="K9750" t="s">
        <v>229</v>
      </c>
      <c r="Q9750">
        <v>0</v>
      </c>
      <c r="R9750">
        <v>120</v>
      </c>
      <c r="S9750">
        <v>120</v>
      </c>
      <c r="T9750" t="s">
        <v>36748</v>
      </c>
    </row>
    <row r="9751" spans="1:20" customFormat="1" ht="15" x14ac:dyDescent="0.25">
      <c r="A9751" t="s">
        <v>35</v>
      </c>
      <c r="B9751" t="s">
        <v>61</v>
      </c>
      <c r="C9751" t="str">
        <f>"A0125216"</f>
        <v>A0125216</v>
      </c>
      <c r="D9751" t="s">
        <v>36749</v>
      </c>
      <c r="E9751" t="s">
        <v>36750</v>
      </c>
      <c r="F9751" t="s">
        <v>36751</v>
      </c>
      <c r="G9751" t="s">
        <v>40</v>
      </c>
      <c r="H9751">
        <v>73086</v>
      </c>
      <c r="I9751" t="s">
        <v>30</v>
      </c>
      <c r="J9751" t="s">
        <v>41</v>
      </c>
      <c r="K9751" t="s">
        <v>3713</v>
      </c>
      <c r="Q9751">
        <v>0</v>
      </c>
      <c r="R9751">
        <v>25</v>
      </c>
      <c r="S9751">
        <v>25</v>
      </c>
      <c r="T9751" t="s">
        <v>36752</v>
      </c>
    </row>
    <row r="9752" spans="1:20" customFormat="1" ht="15" x14ac:dyDescent="0.25">
      <c r="A9752" t="s">
        <v>35</v>
      </c>
      <c r="B9752" t="s">
        <v>61</v>
      </c>
      <c r="C9752" t="str">
        <f>"A0124116"</f>
        <v>A0124116</v>
      </c>
      <c r="D9752" t="s">
        <v>36753</v>
      </c>
      <c r="E9752" t="s">
        <v>36754</v>
      </c>
      <c r="F9752" t="s">
        <v>36755</v>
      </c>
      <c r="G9752" t="s">
        <v>338</v>
      </c>
      <c r="H9752">
        <v>8690</v>
      </c>
      <c r="I9752" t="s">
        <v>30</v>
      </c>
      <c r="J9752" t="s">
        <v>41</v>
      </c>
      <c r="K9752" t="s">
        <v>229</v>
      </c>
      <c r="Q9752">
        <v>0</v>
      </c>
      <c r="R9752">
        <v>128</v>
      </c>
      <c r="S9752">
        <v>128</v>
      </c>
      <c r="T9752" t="s">
        <v>36756</v>
      </c>
    </row>
    <row r="9753" spans="1:20" customFormat="1" ht="15" x14ac:dyDescent="0.25">
      <c r="A9753" t="s">
        <v>35</v>
      </c>
      <c r="B9753" t="s">
        <v>61</v>
      </c>
      <c r="C9753" t="str">
        <f>"A0124117"</f>
        <v>A0124117</v>
      </c>
      <c r="D9753" t="s">
        <v>36757</v>
      </c>
      <c r="E9753" t="s">
        <v>36758</v>
      </c>
      <c r="F9753" t="s">
        <v>36759</v>
      </c>
      <c r="G9753" t="s">
        <v>338</v>
      </c>
      <c r="H9753">
        <v>8087</v>
      </c>
      <c r="I9753" t="s">
        <v>30</v>
      </c>
      <c r="J9753" t="s">
        <v>41</v>
      </c>
      <c r="K9753" t="s">
        <v>229</v>
      </c>
      <c r="Q9753">
        <v>0</v>
      </c>
      <c r="R9753">
        <v>115</v>
      </c>
      <c r="S9753">
        <v>115</v>
      </c>
      <c r="T9753" t="s">
        <v>36760</v>
      </c>
    </row>
    <row r="9754" spans="1:20" customFormat="1" ht="15" x14ac:dyDescent="0.25">
      <c r="A9754" t="s">
        <v>35</v>
      </c>
      <c r="B9754" t="s">
        <v>61</v>
      </c>
      <c r="C9754" t="str">
        <f>"A0123192"</f>
        <v>A0123192</v>
      </c>
      <c r="D9754" t="s">
        <v>36761</v>
      </c>
      <c r="E9754" t="s">
        <v>36762</v>
      </c>
      <c r="F9754" t="s">
        <v>36763</v>
      </c>
      <c r="G9754" t="s">
        <v>29</v>
      </c>
      <c r="H9754">
        <v>234140097</v>
      </c>
      <c r="I9754" t="s">
        <v>30</v>
      </c>
      <c r="J9754" t="s">
        <v>41</v>
      </c>
      <c r="K9754" t="s">
        <v>229</v>
      </c>
      <c r="Q9754">
        <v>0</v>
      </c>
      <c r="R9754">
        <v>102</v>
      </c>
      <c r="S9754">
        <v>102</v>
      </c>
      <c r="T9754" t="s">
        <v>36764</v>
      </c>
    </row>
    <row r="9755" spans="1:20" customFormat="1" ht="15" x14ac:dyDescent="0.25">
      <c r="A9755" t="s">
        <v>35</v>
      </c>
      <c r="B9755" t="s">
        <v>61</v>
      </c>
      <c r="C9755" t="str">
        <f>"A0130889"</f>
        <v>A0130889</v>
      </c>
      <c r="D9755" t="s">
        <v>36765</v>
      </c>
      <c r="E9755" t="s">
        <v>36766</v>
      </c>
      <c r="F9755" t="s">
        <v>36767</v>
      </c>
      <c r="G9755" t="s">
        <v>137</v>
      </c>
      <c r="H9755">
        <v>63650</v>
      </c>
      <c r="I9755" t="s">
        <v>30</v>
      </c>
      <c r="J9755" t="s">
        <v>41</v>
      </c>
      <c r="K9755" t="s">
        <v>229</v>
      </c>
      <c r="Q9755">
        <v>0</v>
      </c>
      <c r="R9755">
        <v>214</v>
      </c>
      <c r="S9755">
        <v>214</v>
      </c>
      <c r="T9755" t="s">
        <v>36768</v>
      </c>
    </row>
    <row r="9756" spans="1:20" customFormat="1" ht="15" x14ac:dyDescent="0.25">
      <c r="A9756" t="s">
        <v>35</v>
      </c>
      <c r="B9756" t="s">
        <v>61</v>
      </c>
      <c r="C9756" t="str">
        <f>"A0123640"</f>
        <v>A0123640</v>
      </c>
      <c r="D9756" t="s">
        <v>36769</v>
      </c>
      <c r="E9756" t="s">
        <v>36770</v>
      </c>
      <c r="F9756" t="s">
        <v>1795</v>
      </c>
      <c r="G9756" t="s">
        <v>840</v>
      </c>
      <c r="H9756">
        <v>40475</v>
      </c>
      <c r="I9756" t="s">
        <v>30</v>
      </c>
      <c r="J9756" t="s">
        <v>41</v>
      </c>
      <c r="K9756" t="s">
        <v>482</v>
      </c>
      <c r="Q9756">
        <v>0</v>
      </c>
      <c r="R9756">
        <v>60</v>
      </c>
      <c r="S9756">
        <v>60</v>
      </c>
      <c r="T9756" t="s">
        <v>36771</v>
      </c>
    </row>
    <row r="9757" spans="1:20" customFormat="1" ht="15" x14ac:dyDescent="0.25">
      <c r="A9757" t="s">
        <v>35</v>
      </c>
      <c r="B9757" t="s">
        <v>61</v>
      </c>
      <c r="C9757" t="str">
        <f>"A0126105"</f>
        <v>A0126105</v>
      </c>
      <c r="D9757" t="s">
        <v>36772</v>
      </c>
      <c r="E9757" t="s">
        <v>36773</v>
      </c>
      <c r="F9757" t="s">
        <v>14385</v>
      </c>
      <c r="G9757" t="s">
        <v>197</v>
      </c>
      <c r="H9757">
        <v>85224</v>
      </c>
      <c r="I9757" t="s">
        <v>30</v>
      </c>
      <c r="J9757" t="s">
        <v>41</v>
      </c>
      <c r="K9757" t="s">
        <v>229</v>
      </c>
      <c r="Q9757">
        <v>0</v>
      </c>
      <c r="R9757">
        <v>118</v>
      </c>
      <c r="S9757">
        <v>118</v>
      </c>
      <c r="T9757" t="s">
        <v>36774</v>
      </c>
    </row>
    <row r="9758" spans="1:20" customFormat="1" ht="15" x14ac:dyDescent="0.25">
      <c r="A9758" t="s">
        <v>35</v>
      </c>
      <c r="B9758" t="s">
        <v>437</v>
      </c>
      <c r="C9758" t="str">
        <f>"A0133898"</f>
        <v>A0133898</v>
      </c>
      <c r="D9758" t="s">
        <v>36775</v>
      </c>
      <c r="E9758" t="s">
        <v>36776</v>
      </c>
      <c r="F9758" t="s">
        <v>7126</v>
      </c>
      <c r="G9758" t="s">
        <v>110</v>
      </c>
      <c r="H9758">
        <v>91773</v>
      </c>
      <c r="I9758" t="s">
        <v>30</v>
      </c>
      <c r="J9758" t="s">
        <v>441</v>
      </c>
      <c r="K9758" t="s">
        <v>442</v>
      </c>
      <c r="Q9758">
        <v>0</v>
      </c>
      <c r="R9758">
        <v>0</v>
      </c>
      <c r="S9758">
        <v>0</v>
      </c>
      <c r="T9758" t="s">
        <v>36777</v>
      </c>
    </row>
    <row r="9759" spans="1:20" customFormat="1" ht="15" x14ac:dyDescent="0.25">
      <c r="A9759" t="s">
        <v>35</v>
      </c>
      <c r="B9759" t="s">
        <v>61</v>
      </c>
      <c r="C9759" t="str">
        <f>"A0123193"</f>
        <v>A0123193</v>
      </c>
      <c r="D9759" t="s">
        <v>36778</v>
      </c>
      <c r="E9759" t="s">
        <v>36779</v>
      </c>
      <c r="F9759" t="s">
        <v>20179</v>
      </c>
      <c r="G9759" t="s">
        <v>29</v>
      </c>
      <c r="H9759">
        <v>22003</v>
      </c>
      <c r="I9759" t="s">
        <v>30</v>
      </c>
      <c r="J9759" t="s">
        <v>41</v>
      </c>
      <c r="K9759" t="s">
        <v>482</v>
      </c>
      <c r="Q9759">
        <v>0</v>
      </c>
      <c r="R9759">
        <v>60</v>
      </c>
      <c r="S9759">
        <v>60</v>
      </c>
      <c r="T9759" t="s">
        <v>36780</v>
      </c>
    </row>
    <row r="9760" spans="1:20" customFormat="1" ht="15" x14ac:dyDescent="0.25">
      <c r="A9760" t="s">
        <v>35</v>
      </c>
      <c r="B9760" t="s">
        <v>61</v>
      </c>
      <c r="C9760" t="str">
        <f>"A0123194"</f>
        <v>A0123194</v>
      </c>
      <c r="D9760" t="s">
        <v>36781</v>
      </c>
      <c r="E9760" t="s">
        <v>36782</v>
      </c>
      <c r="F9760" t="s">
        <v>465</v>
      </c>
      <c r="G9760" t="s">
        <v>29</v>
      </c>
      <c r="H9760">
        <v>22033</v>
      </c>
      <c r="I9760" t="s">
        <v>30</v>
      </c>
      <c r="J9760" t="s">
        <v>41</v>
      </c>
      <c r="K9760" t="s">
        <v>482</v>
      </c>
      <c r="Q9760">
        <v>0</v>
      </c>
      <c r="R9760">
        <v>56</v>
      </c>
      <c r="S9760">
        <v>56</v>
      </c>
      <c r="T9760" t="s">
        <v>36783</v>
      </c>
    </row>
    <row r="9761" spans="1:20" customFormat="1" ht="15" x14ac:dyDescent="0.25">
      <c r="A9761" t="s">
        <v>35</v>
      </c>
      <c r="B9761" t="s">
        <v>61</v>
      </c>
      <c r="C9761" t="str">
        <f>"A0118339"</f>
        <v>A0118339</v>
      </c>
      <c r="D9761" t="s">
        <v>16771</v>
      </c>
      <c r="E9761" t="s">
        <v>36784</v>
      </c>
      <c r="F9761" t="s">
        <v>8081</v>
      </c>
      <c r="G9761" t="s">
        <v>110</v>
      </c>
      <c r="H9761">
        <v>94116</v>
      </c>
      <c r="I9761" t="s">
        <v>30</v>
      </c>
      <c r="J9761" t="s">
        <v>41</v>
      </c>
      <c r="K9761" t="s">
        <v>59</v>
      </c>
      <c r="Q9761">
        <v>0</v>
      </c>
      <c r="R9761">
        <v>60</v>
      </c>
      <c r="S9761">
        <v>60</v>
      </c>
      <c r="T9761" t="s">
        <v>36785</v>
      </c>
    </row>
    <row r="9762" spans="1:20" customFormat="1" ht="15" x14ac:dyDescent="0.25">
      <c r="A9762" t="s">
        <v>35</v>
      </c>
      <c r="B9762" t="s">
        <v>61</v>
      </c>
      <c r="C9762" t="str">
        <f>"A0122012"</f>
        <v>A0122012</v>
      </c>
      <c r="D9762" t="s">
        <v>36786</v>
      </c>
      <c r="E9762" t="s">
        <v>36787</v>
      </c>
      <c r="F9762" t="s">
        <v>21597</v>
      </c>
      <c r="G9762" t="s">
        <v>110</v>
      </c>
      <c r="H9762">
        <v>92804</v>
      </c>
      <c r="I9762" t="s">
        <v>30</v>
      </c>
      <c r="J9762" t="s">
        <v>41</v>
      </c>
      <c r="K9762" t="s">
        <v>59</v>
      </c>
      <c r="Q9762">
        <v>0</v>
      </c>
      <c r="R9762">
        <v>30</v>
      </c>
      <c r="S9762">
        <v>30</v>
      </c>
      <c r="T9762" t="s">
        <v>36788</v>
      </c>
    </row>
    <row r="9763" spans="1:20" customFormat="1" ht="15" x14ac:dyDescent="0.25">
      <c r="A9763" t="s">
        <v>35</v>
      </c>
      <c r="B9763" t="s">
        <v>61</v>
      </c>
      <c r="C9763" t="str">
        <f>"A0130963"</f>
        <v>A0130963</v>
      </c>
      <c r="D9763" t="s">
        <v>36789</v>
      </c>
      <c r="E9763" t="s">
        <v>36790</v>
      </c>
      <c r="F9763" t="s">
        <v>27776</v>
      </c>
      <c r="G9763" t="s">
        <v>85</v>
      </c>
      <c r="H9763">
        <v>726010000</v>
      </c>
      <c r="I9763" t="s">
        <v>30</v>
      </c>
      <c r="J9763" t="s">
        <v>41</v>
      </c>
      <c r="K9763" t="s">
        <v>290</v>
      </c>
      <c r="Q9763">
        <v>0</v>
      </c>
      <c r="R9763">
        <v>1</v>
      </c>
      <c r="S9763">
        <v>1</v>
      </c>
      <c r="T9763" t="s">
        <v>36791</v>
      </c>
    </row>
    <row r="9764" spans="1:20" customFormat="1" ht="15" x14ac:dyDescent="0.25">
      <c r="A9764" t="s">
        <v>35</v>
      </c>
      <c r="B9764" t="s">
        <v>61</v>
      </c>
      <c r="C9764" t="str">
        <f>"A0130936"</f>
        <v>A0130936</v>
      </c>
      <c r="D9764" t="s">
        <v>36792</v>
      </c>
      <c r="E9764" t="s">
        <v>36793</v>
      </c>
      <c r="F9764" t="s">
        <v>36794</v>
      </c>
      <c r="G9764" t="s">
        <v>85</v>
      </c>
      <c r="H9764">
        <v>716110000</v>
      </c>
      <c r="I9764" t="s">
        <v>30</v>
      </c>
      <c r="J9764" t="s">
        <v>41</v>
      </c>
      <c r="K9764" t="s">
        <v>290</v>
      </c>
      <c r="Q9764">
        <v>0</v>
      </c>
      <c r="R9764">
        <v>1</v>
      </c>
      <c r="S9764">
        <v>1</v>
      </c>
      <c r="T9764" t="s">
        <v>36795</v>
      </c>
    </row>
    <row r="9765" spans="1:20" customFormat="1" ht="15" x14ac:dyDescent="0.25">
      <c r="A9765" t="s">
        <v>35</v>
      </c>
      <c r="B9765" t="s">
        <v>61</v>
      </c>
      <c r="C9765" t="str">
        <f>"A0128083"</f>
        <v>A0128083</v>
      </c>
      <c r="D9765" t="s">
        <v>36796</v>
      </c>
      <c r="E9765" t="s">
        <v>36797</v>
      </c>
      <c r="F9765" t="s">
        <v>34276</v>
      </c>
      <c r="G9765" t="s">
        <v>117</v>
      </c>
      <c r="H9765">
        <v>48451</v>
      </c>
      <c r="I9765" t="s">
        <v>30</v>
      </c>
      <c r="J9765" t="s">
        <v>41</v>
      </c>
      <c r="K9765" t="s">
        <v>229</v>
      </c>
      <c r="Q9765">
        <v>0</v>
      </c>
      <c r="R9765">
        <v>60</v>
      </c>
      <c r="S9765">
        <v>60</v>
      </c>
      <c r="T9765" t="s">
        <v>36798</v>
      </c>
    </row>
    <row r="9766" spans="1:20" customFormat="1" ht="15" x14ac:dyDescent="0.25">
      <c r="A9766" t="s">
        <v>35</v>
      </c>
      <c r="B9766" t="s">
        <v>61</v>
      </c>
      <c r="C9766" t="str">
        <f>"A0128302"</f>
        <v>A0128302</v>
      </c>
      <c r="D9766" t="s">
        <v>36799</v>
      </c>
      <c r="E9766" t="s">
        <v>36800</v>
      </c>
      <c r="F9766" t="s">
        <v>36794</v>
      </c>
      <c r="G9766" t="s">
        <v>85</v>
      </c>
      <c r="H9766">
        <v>716030000</v>
      </c>
      <c r="I9766" t="s">
        <v>30</v>
      </c>
      <c r="J9766" t="s">
        <v>41</v>
      </c>
      <c r="K9766" t="s">
        <v>229</v>
      </c>
      <c r="Q9766">
        <v>0</v>
      </c>
      <c r="R9766">
        <v>103</v>
      </c>
      <c r="S9766">
        <v>103</v>
      </c>
      <c r="T9766" t="s">
        <v>36801</v>
      </c>
    </row>
    <row r="9767" spans="1:20" customFormat="1" ht="15" x14ac:dyDescent="0.25">
      <c r="A9767" t="s">
        <v>35</v>
      </c>
      <c r="B9767" t="s">
        <v>61</v>
      </c>
      <c r="C9767" t="str">
        <f>"A0130962"</f>
        <v>A0130962</v>
      </c>
      <c r="D9767" t="s">
        <v>36802</v>
      </c>
      <c r="E9767" t="s">
        <v>36803</v>
      </c>
      <c r="F9767" t="s">
        <v>36804</v>
      </c>
      <c r="G9767" t="s">
        <v>85</v>
      </c>
      <c r="H9767">
        <v>721600000</v>
      </c>
      <c r="I9767" t="s">
        <v>30</v>
      </c>
      <c r="J9767" t="s">
        <v>41</v>
      </c>
      <c r="K9767" t="s">
        <v>2463</v>
      </c>
      <c r="Q9767">
        <v>0</v>
      </c>
      <c r="R9767">
        <v>1</v>
      </c>
      <c r="S9767">
        <v>1</v>
      </c>
      <c r="T9767" t="s">
        <v>36805</v>
      </c>
    </row>
    <row r="9768" spans="1:20" customFormat="1" ht="15" x14ac:dyDescent="0.25">
      <c r="A9768" t="s">
        <v>35</v>
      </c>
      <c r="B9768" t="s">
        <v>61</v>
      </c>
      <c r="C9768" t="str">
        <f>"A0128301"</f>
        <v>A0128301</v>
      </c>
      <c r="D9768" t="s">
        <v>36806</v>
      </c>
      <c r="E9768" t="s">
        <v>36807</v>
      </c>
      <c r="F9768" t="s">
        <v>23623</v>
      </c>
      <c r="G9768" t="s">
        <v>85</v>
      </c>
      <c r="H9768">
        <v>718500000</v>
      </c>
      <c r="I9768" t="s">
        <v>30</v>
      </c>
      <c r="J9768" t="s">
        <v>41</v>
      </c>
      <c r="K9768" t="s">
        <v>229</v>
      </c>
      <c r="Q9768">
        <v>0</v>
      </c>
      <c r="R9768">
        <v>173</v>
      </c>
      <c r="S9768">
        <v>173</v>
      </c>
      <c r="T9768" t="s">
        <v>36808</v>
      </c>
    </row>
    <row r="9769" spans="1:20" customFormat="1" ht="15" x14ac:dyDescent="0.25">
      <c r="A9769" t="s">
        <v>35</v>
      </c>
      <c r="B9769" t="s">
        <v>61</v>
      </c>
      <c r="C9769" t="str">
        <f>"A0123641"</f>
        <v>A0123641</v>
      </c>
      <c r="D9769" t="s">
        <v>36809</v>
      </c>
      <c r="E9769" t="s">
        <v>36810</v>
      </c>
      <c r="F9769" t="s">
        <v>14879</v>
      </c>
      <c r="G9769" t="s">
        <v>29</v>
      </c>
      <c r="H9769">
        <v>221014817</v>
      </c>
      <c r="I9769" t="s">
        <v>30</v>
      </c>
      <c r="J9769" t="s">
        <v>41</v>
      </c>
      <c r="K9769" t="s">
        <v>229</v>
      </c>
      <c r="Q9769">
        <v>0</v>
      </c>
      <c r="R9769">
        <v>72</v>
      </c>
      <c r="S9769">
        <v>72</v>
      </c>
      <c r="T9769" t="s">
        <v>36811</v>
      </c>
    </row>
    <row r="9770" spans="1:20" customFormat="1" ht="15" x14ac:dyDescent="0.25">
      <c r="A9770" t="s">
        <v>35</v>
      </c>
      <c r="B9770" t="s">
        <v>437</v>
      </c>
      <c r="C9770" t="str">
        <f>"A0133869"</f>
        <v>A0133869</v>
      </c>
      <c r="D9770" t="s">
        <v>36812</v>
      </c>
      <c r="E9770" t="s">
        <v>36813</v>
      </c>
      <c r="F9770" t="s">
        <v>4288</v>
      </c>
      <c r="G9770" t="s">
        <v>110</v>
      </c>
      <c r="H9770">
        <v>92503</v>
      </c>
      <c r="I9770" t="s">
        <v>30</v>
      </c>
      <c r="J9770" t="s">
        <v>441</v>
      </c>
      <c r="K9770" t="s">
        <v>36814</v>
      </c>
      <c r="Q9770">
        <v>0</v>
      </c>
      <c r="R9770">
        <v>0</v>
      </c>
      <c r="S9770">
        <v>0</v>
      </c>
      <c r="T9770" t="s">
        <v>36815</v>
      </c>
    </row>
    <row r="9771" spans="1:20" customFormat="1" ht="15" x14ac:dyDescent="0.25">
      <c r="A9771" t="s">
        <v>35</v>
      </c>
      <c r="B9771" t="s">
        <v>61</v>
      </c>
      <c r="C9771" t="str">
        <f>"A0126769"</f>
        <v>A0126769</v>
      </c>
      <c r="D9771" t="s">
        <v>36816</v>
      </c>
      <c r="E9771" t="s">
        <v>36817</v>
      </c>
      <c r="F9771" t="s">
        <v>4674</v>
      </c>
      <c r="G9771" t="s">
        <v>314</v>
      </c>
      <c r="H9771">
        <v>20011</v>
      </c>
      <c r="I9771" t="s">
        <v>30</v>
      </c>
      <c r="J9771" t="s">
        <v>41</v>
      </c>
      <c r="K9771" t="s">
        <v>36814</v>
      </c>
      <c r="Q9771">
        <v>0</v>
      </c>
      <c r="R9771">
        <v>80</v>
      </c>
      <c r="S9771">
        <v>80</v>
      </c>
      <c r="T9771" t="s">
        <v>36818</v>
      </c>
    </row>
    <row r="9772" spans="1:20" customFormat="1" ht="15" x14ac:dyDescent="0.25">
      <c r="A9772" t="s">
        <v>35</v>
      </c>
      <c r="B9772" t="s">
        <v>61</v>
      </c>
      <c r="C9772" t="str">
        <f>"A0132304"</f>
        <v>A0132304</v>
      </c>
      <c r="D9772" t="s">
        <v>36819</v>
      </c>
      <c r="E9772" t="s">
        <v>36820</v>
      </c>
      <c r="F9772" t="s">
        <v>4723</v>
      </c>
      <c r="G9772" t="s">
        <v>65</v>
      </c>
      <c r="H9772">
        <v>43537</v>
      </c>
      <c r="I9772" t="s">
        <v>30</v>
      </c>
      <c r="J9772" t="s">
        <v>41</v>
      </c>
      <c r="K9772" t="s">
        <v>461</v>
      </c>
      <c r="Q9772">
        <v>0</v>
      </c>
      <c r="R9772">
        <v>42</v>
      </c>
      <c r="S9772">
        <v>42</v>
      </c>
      <c r="T9772" t="s">
        <v>36821</v>
      </c>
    </row>
    <row r="9773" spans="1:20" customFormat="1" ht="15" x14ac:dyDescent="0.25">
      <c r="A9773" t="s">
        <v>35</v>
      </c>
      <c r="B9773" t="s">
        <v>61</v>
      </c>
      <c r="C9773" t="str">
        <f>"A0130256"</f>
        <v>A0130256</v>
      </c>
      <c r="D9773" t="s">
        <v>36822</v>
      </c>
      <c r="E9773" t="s">
        <v>36823</v>
      </c>
      <c r="F9773" t="s">
        <v>5196</v>
      </c>
      <c r="G9773" t="s">
        <v>161</v>
      </c>
      <c r="H9773">
        <v>55812</v>
      </c>
      <c r="I9773" t="s">
        <v>30</v>
      </c>
      <c r="J9773" t="s">
        <v>41</v>
      </c>
      <c r="K9773" t="s">
        <v>104</v>
      </c>
      <c r="Q9773">
        <v>0</v>
      </c>
      <c r="R9773">
        <v>14</v>
      </c>
      <c r="S9773">
        <v>14</v>
      </c>
      <c r="T9773" t="s">
        <v>36824</v>
      </c>
    </row>
    <row r="9774" spans="1:20" customFormat="1" ht="15" x14ac:dyDescent="0.25">
      <c r="A9774" t="s">
        <v>35</v>
      </c>
      <c r="B9774" t="s">
        <v>61</v>
      </c>
      <c r="C9774" t="str">
        <f>"A0123195"</f>
        <v>A0123195</v>
      </c>
      <c r="D9774" t="s">
        <v>36825</v>
      </c>
      <c r="E9774" t="s">
        <v>36826</v>
      </c>
      <c r="F9774" t="s">
        <v>510</v>
      </c>
      <c r="G9774" t="s">
        <v>507</v>
      </c>
      <c r="H9774">
        <v>25301</v>
      </c>
      <c r="I9774" t="s">
        <v>30</v>
      </c>
      <c r="J9774" t="s">
        <v>41</v>
      </c>
      <c r="K9774" t="s">
        <v>2477</v>
      </c>
      <c r="Q9774">
        <v>0</v>
      </c>
      <c r="R9774">
        <v>0</v>
      </c>
      <c r="S9774">
        <v>0</v>
      </c>
      <c r="T9774" t="s">
        <v>36827</v>
      </c>
    </row>
    <row r="9775" spans="1:20" customFormat="1" ht="15" x14ac:dyDescent="0.25">
      <c r="A9775" t="s">
        <v>35</v>
      </c>
      <c r="B9775" t="s">
        <v>61</v>
      </c>
      <c r="C9775" t="str">
        <f>"A0129184"</f>
        <v>A0129184</v>
      </c>
      <c r="D9775" t="s">
        <v>36828</v>
      </c>
      <c r="E9775" t="s">
        <v>36829</v>
      </c>
      <c r="F9775" t="s">
        <v>36830</v>
      </c>
      <c r="G9775" t="s">
        <v>289</v>
      </c>
      <c r="H9775">
        <v>61911</v>
      </c>
      <c r="I9775" t="s">
        <v>30</v>
      </c>
      <c r="J9775" t="s">
        <v>41</v>
      </c>
      <c r="K9775" t="s">
        <v>229</v>
      </c>
      <c r="Q9775">
        <v>0</v>
      </c>
      <c r="R9775">
        <v>69</v>
      </c>
      <c r="S9775">
        <v>69</v>
      </c>
      <c r="T9775" t="s">
        <v>36831</v>
      </c>
    </row>
    <row r="9776" spans="1:20" customFormat="1" ht="15" x14ac:dyDescent="0.25">
      <c r="A9776" t="s">
        <v>35</v>
      </c>
      <c r="B9776" t="s">
        <v>437</v>
      </c>
      <c r="C9776" t="str">
        <f>"A0133847"</f>
        <v>A0133847</v>
      </c>
      <c r="D9776" t="s">
        <v>36832</v>
      </c>
      <c r="E9776" t="s">
        <v>36833</v>
      </c>
      <c r="F9776" t="s">
        <v>36834</v>
      </c>
      <c r="G9776" t="s">
        <v>110</v>
      </c>
      <c r="H9776">
        <v>90631</v>
      </c>
      <c r="I9776" t="s">
        <v>30</v>
      </c>
      <c r="J9776" t="s">
        <v>441</v>
      </c>
      <c r="K9776" t="s">
        <v>442</v>
      </c>
      <c r="Q9776">
        <v>0</v>
      </c>
      <c r="R9776">
        <v>0</v>
      </c>
      <c r="S9776">
        <v>0</v>
      </c>
      <c r="T9776" t="s">
        <v>36835</v>
      </c>
    </row>
    <row r="9777" spans="1:20" customFormat="1" ht="15" x14ac:dyDescent="0.25">
      <c r="A9777" t="s">
        <v>35</v>
      </c>
      <c r="B9777" t="s">
        <v>106</v>
      </c>
      <c r="C9777" t="str">
        <f>"A0136223"</f>
        <v>A0136223</v>
      </c>
      <c r="D9777" t="s">
        <v>36836</v>
      </c>
      <c r="E9777" t="s">
        <v>36837</v>
      </c>
      <c r="F9777" t="s">
        <v>839</v>
      </c>
      <c r="G9777" t="s">
        <v>840</v>
      </c>
      <c r="H9777">
        <v>40220</v>
      </c>
      <c r="I9777" t="s">
        <v>30</v>
      </c>
      <c r="J9777" t="s">
        <v>111</v>
      </c>
      <c r="K9777" t="s">
        <v>112</v>
      </c>
      <c r="Q9777">
        <v>0</v>
      </c>
      <c r="R9777">
        <v>0</v>
      </c>
      <c r="S9777">
        <v>0</v>
      </c>
      <c r="T9777" t="s">
        <v>36838</v>
      </c>
    </row>
    <row r="9778" spans="1:20" customFormat="1" ht="15" x14ac:dyDescent="0.25">
      <c r="A9778" t="s">
        <v>35</v>
      </c>
      <c r="B9778" t="s">
        <v>61</v>
      </c>
      <c r="C9778" t="str">
        <f>"A0124119"</f>
        <v>A0124119</v>
      </c>
      <c r="D9778" t="s">
        <v>36839</v>
      </c>
      <c r="E9778" t="s">
        <v>36840</v>
      </c>
      <c r="F9778" t="s">
        <v>36841</v>
      </c>
      <c r="G9778" t="s">
        <v>103</v>
      </c>
      <c r="H9778">
        <v>19335</v>
      </c>
      <c r="I9778" t="s">
        <v>30</v>
      </c>
      <c r="J9778" t="s">
        <v>41</v>
      </c>
      <c r="K9778" t="s">
        <v>59</v>
      </c>
      <c r="Q9778">
        <v>0</v>
      </c>
      <c r="R9778">
        <v>123</v>
      </c>
      <c r="S9778">
        <v>123</v>
      </c>
      <c r="T9778" t="s">
        <v>36842</v>
      </c>
    </row>
    <row r="9779" spans="1:20" customFormat="1" ht="15" x14ac:dyDescent="0.25">
      <c r="A9779" t="s">
        <v>35</v>
      </c>
      <c r="B9779" t="s">
        <v>61</v>
      </c>
      <c r="C9779" t="str">
        <f>"A0121484"</f>
        <v>A0121484</v>
      </c>
      <c r="D9779" t="s">
        <v>36843</v>
      </c>
      <c r="E9779" t="s">
        <v>36844</v>
      </c>
      <c r="F9779" t="s">
        <v>20275</v>
      </c>
      <c r="G9779" t="s">
        <v>110</v>
      </c>
      <c r="H9779">
        <v>94705</v>
      </c>
      <c r="I9779" t="s">
        <v>30</v>
      </c>
      <c r="J9779" t="s">
        <v>41</v>
      </c>
      <c r="K9779" t="s">
        <v>229</v>
      </c>
      <c r="Q9779">
        <v>0</v>
      </c>
      <c r="R9779">
        <v>30</v>
      </c>
      <c r="S9779">
        <v>30</v>
      </c>
      <c r="T9779" t="s">
        <v>36845</v>
      </c>
    </row>
    <row r="9780" spans="1:20" customFormat="1" ht="15" x14ac:dyDescent="0.25">
      <c r="A9780" t="s">
        <v>35</v>
      </c>
      <c r="B9780" t="s">
        <v>61</v>
      </c>
      <c r="C9780" t="str">
        <f>"A0123197"</f>
        <v>A0123197</v>
      </c>
      <c r="D9780" t="s">
        <v>36846</v>
      </c>
      <c r="E9780" t="s">
        <v>36847</v>
      </c>
      <c r="F9780" t="s">
        <v>36848</v>
      </c>
      <c r="G9780" t="s">
        <v>214</v>
      </c>
      <c r="H9780">
        <v>28778</v>
      </c>
      <c r="I9780" t="s">
        <v>30</v>
      </c>
      <c r="J9780" t="s">
        <v>41</v>
      </c>
      <c r="K9780" t="s">
        <v>229</v>
      </c>
      <c r="Q9780">
        <v>0</v>
      </c>
      <c r="R9780">
        <v>120</v>
      </c>
      <c r="S9780">
        <v>120</v>
      </c>
      <c r="T9780" t="s">
        <v>36849</v>
      </c>
    </row>
    <row r="9781" spans="1:20" customFormat="1" ht="15" x14ac:dyDescent="0.25">
      <c r="A9781" t="s">
        <v>35</v>
      </c>
      <c r="B9781" t="s">
        <v>61</v>
      </c>
      <c r="C9781" t="str">
        <f>"A0150777"</f>
        <v>A0150777</v>
      </c>
      <c r="D9781" t="s">
        <v>36850</v>
      </c>
      <c r="E9781" t="s">
        <v>36851</v>
      </c>
      <c r="F9781" t="s">
        <v>36852</v>
      </c>
      <c r="G9781" t="s">
        <v>153</v>
      </c>
      <c r="H9781">
        <v>84020</v>
      </c>
      <c r="I9781" t="s">
        <v>30</v>
      </c>
      <c r="J9781" t="s">
        <v>41</v>
      </c>
      <c r="K9781" t="s">
        <v>59</v>
      </c>
      <c r="Q9781">
        <v>0</v>
      </c>
      <c r="R9781">
        <v>90</v>
      </c>
      <c r="S9781">
        <v>90</v>
      </c>
      <c r="T9781" t="s">
        <v>36853</v>
      </c>
    </row>
    <row r="9782" spans="1:20" customFormat="1" ht="15" x14ac:dyDescent="0.25">
      <c r="A9782" t="s">
        <v>35</v>
      </c>
      <c r="B9782" t="s">
        <v>61</v>
      </c>
      <c r="C9782" t="str">
        <f>"A0118224"</f>
        <v>A0118224</v>
      </c>
      <c r="D9782" t="s">
        <v>36854</v>
      </c>
      <c r="E9782" t="s">
        <v>36855</v>
      </c>
      <c r="F9782" t="s">
        <v>35640</v>
      </c>
      <c r="G9782" t="s">
        <v>153</v>
      </c>
      <c r="H9782">
        <v>84062</v>
      </c>
      <c r="I9782" t="s">
        <v>30</v>
      </c>
      <c r="J9782" t="s">
        <v>41</v>
      </c>
      <c r="K9782" t="s">
        <v>1032</v>
      </c>
      <c r="Q9782">
        <v>0</v>
      </c>
      <c r="R9782">
        <v>26</v>
      </c>
      <c r="S9782">
        <v>26</v>
      </c>
      <c r="T9782" t="s">
        <v>36856</v>
      </c>
    </row>
    <row r="9783" spans="1:20" customFormat="1" ht="15" x14ac:dyDescent="0.25">
      <c r="A9783" t="s">
        <v>35</v>
      </c>
      <c r="B9783" t="s">
        <v>61</v>
      </c>
      <c r="C9783" t="str">
        <f>"A0121346"</f>
        <v>A0121346</v>
      </c>
      <c r="D9783" t="s">
        <v>36857</v>
      </c>
      <c r="E9783" t="s">
        <v>36858</v>
      </c>
      <c r="F9783" t="s">
        <v>7282</v>
      </c>
      <c r="G9783" t="s">
        <v>153</v>
      </c>
      <c r="H9783">
        <v>84063</v>
      </c>
      <c r="I9783" t="s">
        <v>30</v>
      </c>
      <c r="J9783" t="s">
        <v>41</v>
      </c>
      <c r="K9783" t="s">
        <v>59</v>
      </c>
      <c r="Q9783">
        <v>0</v>
      </c>
      <c r="R9783">
        <v>47</v>
      </c>
      <c r="S9783">
        <v>47</v>
      </c>
      <c r="T9783" t="s">
        <v>36856</v>
      </c>
    </row>
    <row r="9784" spans="1:20" customFormat="1" ht="15" x14ac:dyDescent="0.25">
      <c r="A9784" t="s">
        <v>35</v>
      </c>
      <c r="B9784" t="s">
        <v>61</v>
      </c>
      <c r="C9784" t="str">
        <f>"A0123643"</f>
        <v>A0123643</v>
      </c>
      <c r="D9784" t="s">
        <v>36859</v>
      </c>
      <c r="E9784" t="s">
        <v>36860</v>
      </c>
      <c r="F9784" t="s">
        <v>36861</v>
      </c>
      <c r="G9784" t="s">
        <v>58</v>
      </c>
      <c r="H9784">
        <v>29365</v>
      </c>
      <c r="I9784" t="s">
        <v>30</v>
      </c>
      <c r="J9784" t="s">
        <v>41</v>
      </c>
      <c r="K9784" t="s">
        <v>482</v>
      </c>
      <c r="Q9784">
        <v>0</v>
      </c>
      <c r="R9784">
        <v>65</v>
      </c>
      <c r="S9784">
        <v>65</v>
      </c>
      <c r="T9784" t="s">
        <v>36862</v>
      </c>
    </row>
    <row r="9785" spans="1:20" customFormat="1" ht="15" x14ac:dyDescent="0.25">
      <c r="A9785" t="s">
        <v>35</v>
      </c>
      <c r="B9785" t="s">
        <v>61</v>
      </c>
      <c r="C9785" t="str">
        <f>"A0132224"</f>
        <v>A0132224</v>
      </c>
      <c r="D9785" t="s">
        <v>36863</v>
      </c>
      <c r="E9785" t="s">
        <v>36864</v>
      </c>
      <c r="F9785" t="s">
        <v>967</v>
      </c>
      <c r="G9785" t="s">
        <v>65</v>
      </c>
      <c r="H9785">
        <v>44805</v>
      </c>
      <c r="I9785" t="s">
        <v>30</v>
      </c>
      <c r="J9785" t="s">
        <v>41</v>
      </c>
      <c r="K9785" t="s">
        <v>2760</v>
      </c>
      <c r="Q9785">
        <v>0</v>
      </c>
      <c r="R9785">
        <v>0</v>
      </c>
      <c r="S9785">
        <v>0</v>
      </c>
      <c r="T9785" t="s">
        <v>36865</v>
      </c>
    </row>
    <row r="9786" spans="1:20" customFormat="1" ht="15" x14ac:dyDescent="0.25">
      <c r="A9786" t="s">
        <v>35</v>
      </c>
      <c r="B9786" t="s">
        <v>61</v>
      </c>
      <c r="C9786" t="str">
        <f>"A0127653"</f>
        <v>A0127653</v>
      </c>
      <c r="D9786" t="s">
        <v>36866</v>
      </c>
      <c r="E9786" t="s">
        <v>36867</v>
      </c>
      <c r="F9786" t="s">
        <v>18400</v>
      </c>
      <c r="G9786" t="s">
        <v>123</v>
      </c>
      <c r="H9786">
        <v>21078</v>
      </c>
      <c r="I9786" t="s">
        <v>30</v>
      </c>
      <c r="J9786" t="s">
        <v>41</v>
      </c>
      <c r="K9786" t="s">
        <v>461</v>
      </c>
      <c r="Q9786">
        <v>0</v>
      </c>
      <c r="R9786">
        <v>108</v>
      </c>
      <c r="S9786">
        <v>108</v>
      </c>
      <c r="T9786" t="s">
        <v>36868</v>
      </c>
    </row>
    <row r="9787" spans="1:20" customFormat="1" ht="15" x14ac:dyDescent="0.25">
      <c r="A9787" t="s">
        <v>35</v>
      </c>
      <c r="B9787" t="s">
        <v>61</v>
      </c>
      <c r="C9787" t="str">
        <f>"A0130961"</f>
        <v>A0130961</v>
      </c>
      <c r="D9787" t="s">
        <v>36869</v>
      </c>
      <c r="E9787" t="s">
        <v>36870</v>
      </c>
      <c r="F9787" t="s">
        <v>36871</v>
      </c>
      <c r="G9787" t="s">
        <v>85</v>
      </c>
      <c r="H9787">
        <v>716350000</v>
      </c>
      <c r="I9787" t="s">
        <v>30</v>
      </c>
      <c r="J9787" t="s">
        <v>41</v>
      </c>
      <c r="K9787" t="s">
        <v>2463</v>
      </c>
      <c r="Q9787">
        <v>0</v>
      </c>
      <c r="R9787">
        <v>1</v>
      </c>
      <c r="S9787">
        <v>1</v>
      </c>
      <c r="T9787" t="s">
        <v>36872</v>
      </c>
    </row>
    <row r="9788" spans="1:20" customFormat="1" ht="15" x14ac:dyDescent="0.25">
      <c r="A9788" t="s">
        <v>35</v>
      </c>
      <c r="B9788" t="s">
        <v>61</v>
      </c>
      <c r="C9788" t="str">
        <f>"A0124417"</f>
        <v>A0124417</v>
      </c>
      <c r="D9788" t="s">
        <v>36873</v>
      </c>
      <c r="E9788" t="s">
        <v>36874</v>
      </c>
      <c r="F9788" t="s">
        <v>4619</v>
      </c>
      <c r="G9788" t="s">
        <v>117</v>
      </c>
      <c r="H9788">
        <v>48119</v>
      </c>
      <c r="I9788" t="s">
        <v>30</v>
      </c>
      <c r="J9788" t="s">
        <v>41</v>
      </c>
      <c r="K9788" t="s">
        <v>482</v>
      </c>
      <c r="Q9788">
        <v>0</v>
      </c>
      <c r="R9788">
        <v>80</v>
      </c>
      <c r="S9788">
        <v>80</v>
      </c>
      <c r="T9788" t="s">
        <v>36875</v>
      </c>
    </row>
    <row r="9789" spans="1:20" customFormat="1" ht="15" x14ac:dyDescent="0.25">
      <c r="A9789" t="s">
        <v>35</v>
      </c>
      <c r="B9789" t="s">
        <v>61</v>
      </c>
      <c r="C9789" t="str">
        <f>"A0122753"</f>
        <v>A0122753</v>
      </c>
      <c r="D9789" t="s">
        <v>36876</v>
      </c>
      <c r="E9789" t="s">
        <v>36877</v>
      </c>
      <c r="F9789" t="s">
        <v>436</v>
      </c>
      <c r="G9789" t="s">
        <v>433</v>
      </c>
      <c r="H9789">
        <v>83706</v>
      </c>
      <c r="I9789" t="s">
        <v>30</v>
      </c>
      <c r="J9789" t="s">
        <v>41</v>
      </c>
      <c r="K9789" t="s">
        <v>59</v>
      </c>
      <c r="Q9789">
        <v>0</v>
      </c>
      <c r="R9789">
        <v>70</v>
      </c>
      <c r="S9789">
        <v>70</v>
      </c>
      <c r="T9789" t="s">
        <v>36878</v>
      </c>
    </row>
    <row r="9790" spans="1:20" customFormat="1" ht="15" x14ac:dyDescent="0.25">
      <c r="A9790" t="s">
        <v>35</v>
      </c>
      <c r="B9790" t="s">
        <v>61</v>
      </c>
      <c r="C9790" t="str">
        <f>"A0124978"</f>
        <v>A0124978</v>
      </c>
      <c r="D9790" t="s">
        <v>36879</v>
      </c>
      <c r="E9790" t="s">
        <v>36880</v>
      </c>
      <c r="F9790" t="s">
        <v>36881</v>
      </c>
      <c r="G9790" t="s">
        <v>214</v>
      </c>
      <c r="H9790">
        <v>27301</v>
      </c>
      <c r="I9790" t="s">
        <v>30</v>
      </c>
      <c r="J9790" t="s">
        <v>41</v>
      </c>
      <c r="K9790" t="s">
        <v>229</v>
      </c>
      <c r="Q9790">
        <v>0</v>
      </c>
      <c r="R9790">
        <v>134</v>
      </c>
      <c r="S9790">
        <v>134</v>
      </c>
      <c r="T9790" t="s">
        <v>36882</v>
      </c>
    </row>
    <row r="9791" spans="1:20" customFormat="1" ht="15" x14ac:dyDescent="0.25">
      <c r="A9791" t="s">
        <v>35</v>
      </c>
      <c r="B9791" t="s">
        <v>61</v>
      </c>
      <c r="C9791" t="str">
        <f>"A0132493"</f>
        <v>A0132493</v>
      </c>
      <c r="D9791" t="s">
        <v>36883</v>
      </c>
      <c r="E9791" t="s">
        <v>36884</v>
      </c>
      <c r="F9791" t="s">
        <v>36885</v>
      </c>
      <c r="G9791" t="s">
        <v>65</v>
      </c>
      <c r="H9791">
        <v>458220000</v>
      </c>
      <c r="I9791" t="s">
        <v>30</v>
      </c>
      <c r="J9791" t="s">
        <v>41</v>
      </c>
      <c r="K9791" t="s">
        <v>229</v>
      </c>
      <c r="Q9791">
        <v>0</v>
      </c>
      <c r="R9791">
        <v>50</v>
      </c>
      <c r="S9791">
        <v>50</v>
      </c>
      <c r="T9791" t="s">
        <v>36886</v>
      </c>
    </row>
    <row r="9792" spans="1:20" customFormat="1" ht="15" x14ac:dyDescent="0.25">
      <c r="A9792" t="s">
        <v>35</v>
      </c>
      <c r="B9792" t="s">
        <v>61</v>
      </c>
      <c r="C9792" t="str">
        <f>"A0130577"</f>
        <v>A0130577</v>
      </c>
      <c r="D9792" t="s">
        <v>36887</v>
      </c>
      <c r="E9792" t="s">
        <v>36888</v>
      </c>
      <c r="F9792" t="s">
        <v>3755</v>
      </c>
      <c r="G9792" t="s">
        <v>71</v>
      </c>
      <c r="H9792">
        <v>54843</v>
      </c>
      <c r="I9792" t="s">
        <v>30</v>
      </c>
      <c r="J9792" t="s">
        <v>41</v>
      </c>
      <c r="K9792" t="s">
        <v>59</v>
      </c>
      <c r="Q9792">
        <v>0</v>
      </c>
      <c r="R9792">
        <v>24</v>
      </c>
      <c r="S9792">
        <v>24</v>
      </c>
      <c r="T9792" t="s">
        <v>36889</v>
      </c>
    </row>
    <row r="9793" spans="1:20" customFormat="1" ht="15" x14ac:dyDescent="0.25">
      <c r="A9793" t="s">
        <v>35</v>
      </c>
      <c r="B9793" t="s">
        <v>61</v>
      </c>
      <c r="C9793" t="str">
        <f>"A0128211"</f>
        <v>A0128211</v>
      </c>
      <c r="D9793" t="s">
        <v>36890</v>
      </c>
      <c r="E9793" t="s">
        <v>36891</v>
      </c>
      <c r="F9793" t="s">
        <v>3674</v>
      </c>
      <c r="G9793" t="s">
        <v>117</v>
      </c>
      <c r="H9793">
        <v>48152</v>
      </c>
      <c r="I9793" t="s">
        <v>30</v>
      </c>
      <c r="J9793" t="s">
        <v>41</v>
      </c>
      <c r="K9793" t="s">
        <v>59</v>
      </c>
      <c r="Q9793">
        <v>0</v>
      </c>
      <c r="R9793">
        <v>80</v>
      </c>
      <c r="S9793">
        <v>80</v>
      </c>
      <c r="T9793" t="s">
        <v>36892</v>
      </c>
    </row>
    <row r="9794" spans="1:20" customFormat="1" ht="15" x14ac:dyDescent="0.25">
      <c r="A9794" t="s">
        <v>35</v>
      </c>
      <c r="B9794" t="s">
        <v>61</v>
      </c>
      <c r="C9794" t="str">
        <f>"A0150469"</f>
        <v>A0150469</v>
      </c>
      <c r="D9794" t="s">
        <v>36893</v>
      </c>
      <c r="E9794" t="s">
        <v>36894</v>
      </c>
      <c r="F9794" t="s">
        <v>30392</v>
      </c>
      <c r="G9794" t="s">
        <v>289</v>
      </c>
      <c r="H9794">
        <v>61951</v>
      </c>
      <c r="I9794" t="s">
        <v>30</v>
      </c>
      <c r="J9794" t="s">
        <v>41</v>
      </c>
      <c r="K9794" t="s">
        <v>59</v>
      </c>
      <c r="Q9794">
        <v>0</v>
      </c>
      <c r="R9794">
        <v>22</v>
      </c>
      <c r="S9794">
        <v>22</v>
      </c>
      <c r="T9794" t="s">
        <v>36895</v>
      </c>
    </row>
    <row r="9795" spans="1:20" customFormat="1" ht="15" x14ac:dyDescent="0.25">
      <c r="A9795" t="s">
        <v>35</v>
      </c>
      <c r="B9795" t="s">
        <v>61</v>
      </c>
      <c r="C9795" t="str">
        <f>"A0150471"</f>
        <v>A0150471</v>
      </c>
      <c r="D9795" t="s">
        <v>36896</v>
      </c>
      <c r="E9795" t="s">
        <v>36897</v>
      </c>
      <c r="F9795" t="s">
        <v>4770</v>
      </c>
      <c r="G9795" t="s">
        <v>289</v>
      </c>
      <c r="H9795">
        <v>62294</v>
      </c>
      <c r="I9795" t="s">
        <v>30</v>
      </c>
      <c r="J9795" t="s">
        <v>41</v>
      </c>
      <c r="K9795" t="s">
        <v>59</v>
      </c>
      <c r="Q9795">
        <v>0</v>
      </c>
      <c r="R9795">
        <v>32</v>
      </c>
      <c r="S9795">
        <v>32</v>
      </c>
      <c r="T9795" t="s">
        <v>36898</v>
      </c>
    </row>
    <row r="9796" spans="1:20" customFormat="1" ht="15" x14ac:dyDescent="0.25">
      <c r="A9796" t="s">
        <v>35</v>
      </c>
      <c r="B9796" t="s">
        <v>61</v>
      </c>
      <c r="C9796" t="str">
        <f>"A0125891"</f>
        <v>A0125891</v>
      </c>
      <c r="D9796" t="s">
        <v>36899</v>
      </c>
      <c r="E9796" t="s">
        <v>36900</v>
      </c>
      <c r="F9796" t="s">
        <v>31616</v>
      </c>
      <c r="G9796" t="s">
        <v>29</v>
      </c>
      <c r="H9796">
        <v>22192</v>
      </c>
      <c r="I9796" t="s">
        <v>30</v>
      </c>
      <c r="J9796" t="s">
        <v>41</v>
      </c>
      <c r="K9796" t="s">
        <v>59</v>
      </c>
      <c r="Q9796">
        <v>0</v>
      </c>
      <c r="R9796">
        <v>10</v>
      </c>
      <c r="S9796">
        <v>10</v>
      </c>
      <c r="T9796" t="s">
        <v>36901</v>
      </c>
    </row>
    <row r="9797" spans="1:20" customFormat="1" ht="15" x14ac:dyDescent="0.25">
      <c r="A9797" t="s">
        <v>35</v>
      </c>
      <c r="B9797" t="s">
        <v>61</v>
      </c>
      <c r="C9797" t="str">
        <f>"A0125447"</f>
        <v>A0125447</v>
      </c>
      <c r="D9797" t="s">
        <v>36902</v>
      </c>
      <c r="E9797" t="s">
        <v>36903</v>
      </c>
      <c r="F9797" t="s">
        <v>36904</v>
      </c>
      <c r="G9797" t="s">
        <v>40</v>
      </c>
      <c r="H9797">
        <v>74883</v>
      </c>
      <c r="I9797" t="s">
        <v>30</v>
      </c>
      <c r="J9797" t="s">
        <v>41</v>
      </c>
      <c r="K9797" t="s">
        <v>131</v>
      </c>
      <c r="Q9797">
        <v>0</v>
      </c>
      <c r="R9797">
        <v>8</v>
      </c>
      <c r="S9797">
        <v>8</v>
      </c>
      <c r="T9797" t="s">
        <v>36905</v>
      </c>
    </row>
    <row r="9798" spans="1:20" customFormat="1" ht="15" x14ac:dyDescent="0.25">
      <c r="A9798" t="s">
        <v>35</v>
      </c>
      <c r="B9798" t="s">
        <v>106</v>
      </c>
      <c r="C9798" t="str">
        <f>"A0136573"</f>
        <v>A0136573</v>
      </c>
      <c r="D9798" t="s">
        <v>36906</v>
      </c>
      <c r="E9798" t="s">
        <v>36907</v>
      </c>
      <c r="F9798" t="s">
        <v>12384</v>
      </c>
      <c r="G9798" t="s">
        <v>190</v>
      </c>
      <c r="H9798">
        <v>80907</v>
      </c>
      <c r="I9798" t="s">
        <v>30</v>
      </c>
      <c r="J9798" t="s">
        <v>111</v>
      </c>
      <c r="K9798" t="s">
        <v>112</v>
      </c>
      <c r="Q9798">
        <v>0</v>
      </c>
      <c r="R9798">
        <v>0</v>
      </c>
      <c r="S9798">
        <v>0</v>
      </c>
      <c r="T9798" t="s">
        <v>36908</v>
      </c>
    </row>
    <row r="9799" spans="1:20" customFormat="1" ht="15" x14ac:dyDescent="0.25">
      <c r="A9799" t="s">
        <v>35</v>
      </c>
      <c r="B9799" t="s">
        <v>61</v>
      </c>
      <c r="C9799" t="str">
        <f>"A0122907"</f>
        <v>A0122907</v>
      </c>
      <c r="D9799" t="s">
        <v>36909</v>
      </c>
      <c r="E9799" t="s">
        <v>36910</v>
      </c>
      <c r="F9799" t="s">
        <v>12474</v>
      </c>
      <c r="G9799" t="s">
        <v>47</v>
      </c>
      <c r="H9799">
        <v>97701</v>
      </c>
      <c r="I9799" t="s">
        <v>30</v>
      </c>
      <c r="J9799" t="s">
        <v>41</v>
      </c>
      <c r="K9799" t="s">
        <v>59</v>
      </c>
      <c r="Q9799">
        <v>0</v>
      </c>
      <c r="R9799">
        <v>130</v>
      </c>
      <c r="S9799">
        <v>130</v>
      </c>
      <c r="T9799" t="s">
        <v>36911</v>
      </c>
    </row>
    <row r="9800" spans="1:20" customFormat="1" ht="15" x14ac:dyDescent="0.25">
      <c r="A9800" t="s">
        <v>35</v>
      </c>
      <c r="B9800" t="s">
        <v>61</v>
      </c>
      <c r="C9800" t="str">
        <f>"A0118065"</f>
        <v>A0118065</v>
      </c>
      <c r="D9800" t="s">
        <v>36912</v>
      </c>
      <c r="E9800" t="s">
        <v>36913</v>
      </c>
      <c r="F9800" t="s">
        <v>2719</v>
      </c>
      <c r="G9800" t="s">
        <v>190</v>
      </c>
      <c r="H9800">
        <v>80222</v>
      </c>
      <c r="I9800" t="s">
        <v>30</v>
      </c>
      <c r="J9800" t="s">
        <v>41</v>
      </c>
      <c r="K9800" t="s">
        <v>229</v>
      </c>
      <c r="Q9800">
        <v>0</v>
      </c>
      <c r="R9800">
        <v>40</v>
      </c>
      <c r="S9800">
        <v>40</v>
      </c>
      <c r="T9800" t="s">
        <v>36914</v>
      </c>
    </row>
    <row r="9801" spans="1:20" customFormat="1" ht="15" x14ac:dyDescent="0.25">
      <c r="A9801" t="s">
        <v>35</v>
      </c>
      <c r="B9801" t="s">
        <v>61</v>
      </c>
      <c r="C9801" t="str">
        <f>"A0150813"</f>
        <v>A0150813</v>
      </c>
      <c r="D9801" t="s">
        <v>36915</v>
      </c>
      <c r="E9801" t="s">
        <v>36916</v>
      </c>
      <c r="F9801" t="s">
        <v>436</v>
      </c>
      <c r="G9801" t="s">
        <v>433</v>
      </c>
      <c r="H9801">
        <v>83716</v>
      </c>
      <c r="I9801" t="s">
        <v>30</v>
      </c>
      <c r="J9801" t="s">
        <v>41</v>
      </c>
      <c r="K9801" t="s">
        <v>59</v>
      </c>
      <c r="Q9801">
        <v>0</v>
      </c>
      <c r="R9801">
        <v>90</v>
      </c>
      <c r="S9801">
        <v>90</v>
      </c>
      <c r="T9801" t="s">
        <v>36917</v>
      </c>
    </row>
    <row r="9802" spans="1:20" customFormat="1" ht="15" x14ac:dyDescent="0.25">
      <c r="A9802" t="s">
        <v>35</v>
      </c>
      <c r="B9802" t="s">
        <v>61</v>
      </c>
      <c r="C9802" t="str">
        <f>"A0150655"</f>
        <v>A0150655</v>
      </c>
      <c r="D9802" t="s">
        <v>36918</v>
      </c>
      <c r="E9802" t="s">
        <v>36919</v>
      </c>
      <c r="F9802" t="s">
        <v>5240</v>
      </c>
      <c r="G9802" t="s">
        <v>52</v>
      </c>
      <c r="H9802">
        <v>78217</v>
      </c>
      <c r="I9802" t="s">
        <v>30</v>
      </c>
      <c r="J9802" t="s">
        <v>41</v>
      </c>
      <c r="K9802" t="s">
        <v>482</v>
      </c>
      <c r="Q9802">
        <v>0</v>
      </c>
      <c r="R9802">
        <v>16</v>
      </c>
      <c r="S9802">
        <v>16</v>
      </c>
      <c r="T9802" t="s">
        <v>36920</v>
      </c>
    </row>
    <row r="9803" spans="1:20" customFormat="1" ht="15" x14ac:dyDescent="0.25">
      <c r="A9803" t="s">
        <v>35</v>
      </c>
      <c r="B9803" t="s">
        <v>61</v>
      </c>
      <c r="C9803" t="str">
        <f>"A0132298"</f>
        <v>A0132298</v>
      </c>
      <c r="D9803" t="s">
        <v>36921</v>
      </c>
      <c r="E9803" t="s">
        <v>36922</v>
      </c>
      <c r="F9803" t="s">
        <v>36923</v>
      </c>
      <c r="G9803" t="s">
        <v>65</v>
      </c>
      <c r="H9803">
        <v>43920</v>
      </c>
      <c r="I9803" t="s">
        <v>30</v>
      </c>
      <c r="J9803" t="s">
        <v>41</v>
      </c>
      <c r="K9803" t="s">
        <v>59</v>
      </c>
      <c r="Q9803">
        <v>0</v>
      </c>
      <c r="R9803">
        <v>17</v>
      </c>
      <c r="S9803">
        <v>17</v>
      </c>
      <c r="T9803" t="s">
        <v>36924</v>
      </c>
    </row>
    <row r="9804" spans="1:20" customFormat="1" ht="15" x14ac:dyDescent="0.25">
      <c r="A9804" t="s">
        <v>35</v>
      </c>
      <c r="B9804" t="s">
        <v>61</v>
      </c>
      <c r="C9804" t="str">
        <f>"A0121252"</f>
        <v>A0121252</v>
      </c>
      <c r="D9804" t="s">
        <v>36925</v>
      </c>
      <c r="E9804" t="s">
        <v>36926</v>
      </c>
      <c r="F9804" t="s">
        <v>36852</v>
      </c>
      <c r="G9804" t="s">
        <v>153</v>
      </c>
      <c r="H9804">
        <v>84020</v>
      </c>
      <c r="I9804" t="s">
        <v>30</v>
      </c>
      <c r="J9804" t="s">
        <v>41</v>
      </c>
      <c r="K9804" t="s">
        <v>59</v>
      </c>
      <c r="Q9804">
        <v>0</v>
      </c>
      <c r="R9804">
        <v>13</v>
      </c>
      <c r="S9804">
        <v>13</v>
      </c>
      <c r="T9804" t="s">
        <v>36927</v>
      </c>
    </row>
    <row r="9805" spans="1:20" customFormat="1" ht="15" x14ac:dyDescent="0.25">
      <c r="A9805" t="s">
        <v>35</v>
      </c>
      <c r="B9805" t="s">
        <v>61</v>
      </c>
      <c r="C9805" t="str">
        <f>"A0123200"</f>
        <v>A0123200</v>
      </c>
      <c r="D9805" t="s">
        <v>36928</v>
      </c>
      <c r="E9805" t="s">
        <v>36929</v>
      </c>
      <c r="F9805" t="s">
        <v>8647</v>
      </c>
      <c r="G9805" t="s">
        <v>29</v>
      </c>
      <c r="H9805">
        <v>241530647</v>
      </c>
      <c r="I9805" t="s">
        <v>30</v>
      </c>
      <c r="J9805" t="s">
        <v>41</v>
      </c>
      <c r="K9805" t="s">
        <v>482</v>
      </c>
      <c r="Q9805">
        <v>0</v>
      </c>
      <c r="R9805">
        <v>175</v>
      </c>
      <c r="S9805">
        <v>175</v>
      </c>
      <c r="T9805" t="s">
        <v>36930</v>
      </c>
    </row>
    <row r="9806" spans="1:20" customFormat="1" ht="15" x14ac:dyDescent="0.25">
      <c r="A9806" t="s">
        <v>35</v>
      </c>
      <c r="B9806" t="s">
        <v>61</v>
      </c>
      <c r="C9806" t="str">
        <f>"A0121813"</f>
        <v>A0121813</v>
      </c>
      <c r="D9806" t="s">
        <v>36931</v>
      </c>
      <c r="E9806" t="s">
        <v>36932</v>
      </c>
      <c r="F9806" t="s">
        <v>36933</v>
      </c>
      <c r="G9806" t="s">
        <v>110</v>
      </c>
      <c r="H9806">
        <v>95662</v>
      </c>
      <c r="I9806" t="s">
        <v>30</v>
      </c>
      <c r="J9806" t="s">
        <v>41</v>
      </c>
      <c r="K9806" t="s">
        <v>1032</v>
      </c>
      <c r="Q9806">
        <v>0</v>
      </c>
      <c r="R9806">
        <v>16</v>
      </c>
      <c r="S9806">
        <v>16</v>
      </c>
      <c r="T9806" t="s">
        <v>36934</v>
      </c>
    </row>
    <row r="9807" spans="1:20" customFormat="1" ht="15" x14ac:dyDescent="0.25">
      <c r="A9807" t="s">
        <v>35</v>
      </c>
      <c r="B9807" t="s">
        <v>61</v>
      </c>
      <c r="C9807" t="str">
        <f>"A0121814"</f>
        <v>A0121814</v>
      </c>
      <c r="D9807" t="s">
        <v>36935</v>
      </c>
      <c r="E9807" t="s">
        <v>36936</v>
      </c>
      <c r="F9807" t="s">
        <v>36933</v>
      </c>
      <c r="G9807" t="s">
        <v>110</v>
      </c>
      <c r="H9807">
        <v>95662</v>
      </c>
      <c r="I9807" t="s">
        <v>30</v>
      </c>
      <c r="J9807" t="s">
        <v>41</v>
      </c>
      <c r="K9807" t="s">
        <v>1032</v>
      </c>
      <c r="Q9807">
        <v>0</v>
      </c>
      <c r="R9807">
        <v>18</v>
      </c>
      <c r="S9807">
        <v>18</v>
      </c>
      <c r="T9807" t="s">
        <v>36934</v>
      </c>
    </row>
    <row r="9808" spans="1:20" customFormat="1" ht="15" x14ac:dyDescent="0.25">
      <c r="A9808" t="s">
        <v>35</v>
      </c>
      <c r="B9808" t="s">
        <v>61</v>
      </c>
      <c r="C9808" t="str">
        <f>"A0121884"</f>
        <v>A0121884</v>
      </c>
      <c r="D9808" t="s">
        <v>36937</v>
      </c>
      <c r="E9808" t="s">
        <v>36938</v>
      </c>
      <c r="F9808" t="s">
        <v>28699</v>
      </c>
      <c r="G9808" t="s">
        <v>110</v>
      </c>
      <c r="H9808">
        <v>92708</v>
      </c>
      <c r="I9808" t="s">
        <v>30</v>
      </c>
      <c r="J9808" t="s">
        <v>41</v>
      </c>
      <c r="K9808" t="s">
        <v>2477</v>
      </c>
      <c r="Q9808">
        <v>0</v>
      </c>
      <c r="R9808">
        <v>6</v>
      </c>
      <c r="S9808">
        <v>6</v>
      </c>
      <c r="T9808" t="s">
        <v>36939</v>
      </c>
    </row>
    <row r="9809" spans="1:20" customFormat="1" ht="15" x14ac:dyDescent="0.25">
      <c r="A9809" t="s">
        <v>35</v>
      </c>
      <c r="B9809" t="s">
        <v>61</v>
      </c>
      <c r="C9809" t="str">
        <f>"A0132046"</f>
        <v>A0132046</v>
      </c>
      <c r="D9809" t="s">
        <v>36940</v>
      </c>
      <c r="E9809" t="s">
        <v>36941</v>
      </c>
      <c r="F9809" t="s">
        <v>5723</v>
      </c>
      <c r="G9809" t="s">
        <v>65</v>
      </c>
      <c r="H9809">
        <v>43528</v>
      </c>
      <c r="I9809" t="s">
        <v>30</v>
      </c>
      <c r="J9809" t="s">
        <v>41</v>
      </c>
      <c r="K9809" t="s">
        <v>59</v>
      </c>
      <c r="Q9809">
        <v>0</v>
      </c>
      <c r="R9809">
        <v>15</v>
      </c>
      <c r="S9809">
        <v>15</v>
      </c>
      <c r="T9809" t="s">
        <v>36942</v>
      </c>
    </row>
    <row r="9810" spans="1:20" customFormat="1" ht="15" x14ac:dyDescent="0.25">
      <c r="A9810" t="s">
        <v>35</v>
      </c>
      <c r="B9810" t="s">
        <v>61</v>
      </c>
      <c r="C9810" t="str">
        <f>"A0118431"</f>
        <v>A0118431</v>
      </c>
      <c r="D9810" t="s">
        <v>36943</v>
      </c>
      <c r="E9810" t="s">
        <v>36944</v>
      </c>
      <c r="F9810" t="s">
        <v>22196</v>
      </c>
      <c r="G9810" t="s">
        <v>110</v>
      </c>
      <c r="H9810">
        <v>95361</v>
      </c>
      <c r="I9810" t="s">
        <v>30</v>
      </c>
      <c r="J9810" t="s">
        <v>41</v>
      </c>
      <c r="K9810" t="s">
        <v>59</v>
      </c>
      <c r="Q9810">
        <v>0</v>
      </c>
      <c r="R9810">
        <v>70</v>
      </c>
      <c r="S9810">
        <v>70</v>
      </c>
      <c r="T9810" t="s">
        <v>36945</v>
      </c>
    </row>
    <row r="9811" spans="1:20" customFormat="1" ht="15" x14ac:dyDescent="0.25">
      <c r="A9811" t="s">
        <v>35</v>
      </c>
      <c r="B9811" t="s">
        <v>61</v>
      </c>
      <c r="C9811" t="str">
        <f>"A0124120"</f>
        <v>A0124120</v>
      </c>
      <c r="D9811" t="s">
        <v>36946</v>
      </c>
      <c r="E9811" t="s">
        <v>36947</v>
      </c>
      <c r="F9811" t="s">
        <v>28167</v>
      </c>
      <c r="G9811" t="s">
        <v>47</v>
      </c>
      <c r="H9811">
        <v>97130</v>
      </c>
      <c r="I9811" t="s">
        <v>30</v>
      </c>
      <c r="J9811" t="s">
        <v>41</v>
      </c>
      <c r="K9811" t="s">
        <v>229</v>
      </c>
      <c r="Q9811">
        <v>0</v>
      </c>
      <c r="R9811">
        <v>80</v>
      </c>
      <c r="S9811">
        <v>80</v>
      </c>
      <c r="T9811" t="s">
        <v>36948</v>
      </c>
    </row>
    <row r="9812" spans="1:20" customFormat="1" ht="15" x14ac:dyDescent="0.25">
      <c r="A9812" t="s">
        <v>35</v>
      </c>
      <c r="B9812" t="s">
        <v>61</v>
      </c>
      <c r="C9812" t="str">
        <f>"A0118002"</f>
        <v>A0118002</v>
      </c>
      <c r="D9812" t="s">
        <v>36949</v>
      </c>
      <c r="E9812" t="s">
        <v>36950</v>
      </c>
      <c r="F9812" t="s">
        <v>7538</v>
      </c>
      <c r="G9812" t="s">
        <v>110</v>
      </c>
      <c r="H9812">
        <v>93422</v>
      </c>
      <c r="I9812" t="s">
        <v>30</v>
      </c>
      <c r="J9812" t="s">
        <v>41</v>
      </c>
      <c r="K9812" t="s">
        <v>59</v>
      </c>
      <c r="Q9812">
        <v>0</v>
      </c>
      <c r="R9812">
        <v>36</v>
      </c>
      <c r="S9812">
        <v>36</v>
      </c>
      <c r="T9812" t="s">
        <v>36951</v>
      </c>
    </row>
    <row r="9813" spans="1:20" customFormat="1" ht="15" x14ac:dyDescent="0.25">
      <c r="A9813" t="s">
        <v>35</v>
      </c>
      <c r="B9813" t="s">
        <v>61</v>
      </c>
      <c r="C9813" t="str">
        <f>"A0124121"</f>
        <v>A0124121</v>
      </c>
      <c r="D9813" t="s">
        <v>36952</v>
      </c>
      <c r="E9813" t="s">
        <v>36953</v>
      </c>
      <c r="F9813" t="s">
        <v>36954</v>
      </c>
      <c r="G9813" t="s">
        <v>52</v>
      </c>
      <c r="H9813">
        <v>77396</v>
      </c>
      <c r="I9813" t="s">
        <v>30</v>
      </c>
      <c r="J9813" t="s">
        <v>41</v>
      </c>
      <c r="K9813" t="s">
        <v>59</v>
      </c>
      <c r="Q9813">
        <v>0</v>
      </c>
      <c r="R9813">
        <v>48</v>
      </c>
      <c r="S9813">
        <v>48</v>
      </c>
    </row>
    <row r="9814" spans="1:20" customFormat="1" ht="15" x14ac:dyDescent="0.25">
      <c r="A9814" t="s">
        <v>35</v>
      </c>
      <c r="B9814" t="s">
        <v>61</v>
      </c>
      <c r="C9814" t="str">
        <f>"A0124122"</f>
        <v>A0124122</v>
      </c>
      <c r="D9814" t="s">
        <v>36955</v>
      </c>
      <c r="E9814" t="s">
        <v>36956</v>
      </c>
      <c r="F9814" t="s">
        <v>36954</v>
      </c>
      <c r="G9814" t="s">
        <v>52</v>
      </c>
      <c r="H9814">
        <v>77396</v>
      </c>
      <c r="I9814" t="s">
        <v>30</v>
      </c>
      <c r="J9814" t="s">
        <v>41</v>
      </c>
      <c r="K9814" t="s">
        <v>59</v>
      </c>
      <c r="Q9814">
        <v>0</v>
      </c>
      <c r="R9814">
        <v>48</v>
      </c>
      <c r="S9814">
        <v>48</v>
      </c>
    </row>
    <row r="9815" spans="1:20" customFormat="1" ht="15" x14ac:dyDescent="0.25">
      <c r="A9815" t="s">
        <v>35</v>
      </c>
      <c r="B9815" t="s">
        <v>61</v>
      </c>
      <c r="C9815" t="str">
        <f>"A0124671"</f>
        <v>A0124671</v>
      </c>
      <c r="D9815" t="s">
        <v>36957</v>
      </c>
      <c r="E9815" t="s">
        <v>36958</v>
      </c>
      <c r="F9815" t="s">
        <v>4227</v>
      </c>
      <c r="G9815" t="s">
        <v>1706</v>
      </c>
      <c r="H9815">
        <v>35611</v>
      </c>
      <c r="I9815" t="s">
        <v>30</v>
      </c>
      <c r="J9815" t="s">
        <v>41</v>
      </c>
      <c r="K9815" t="s">
        <v>229</v>
      </c>
      <c r="Q9815">
        <v>0</v>
      </c>
      <c r="R9815">
        <v>149</v>
      </c>
      <c r="S9815">
        <v>149</v>
      </c>
      <c r="T9815" t="s">
        <v>36959</v>
      </c>
    </row>
    <row r="9816" spans="1:20" customFormat="1" ht="15" x14ac:dyDescent="0.25">
      <c r="A9816" t="s">
        <v>35</v>
      </c>
      <c r="B9816" t="s">
        <v>61</v>
      </c>
      <c r="C9816" t="str">
        <f>"A0133471"</f>
        <v>A0133471</v>
      </c>
      <c r="D9816" t="s">
        <v>36960</v>
      </c>
      <c r="E9816" t="s">
        <v>36961</v>
      </c>
      <c r="F9816" t="s">
        <v>4227</v>
      </c>
      <c r="G9816" t="s">
        <v>52</v>
      </c>
      <c r="H9816">
        <v>757510000</v>
      </c>
      <c r="I9816" t="s">
        <v>30</v>
      </c>
      <c r="J9816" t="s">
        <v>41</v>
      </c>
      <c r="K9816" t="s">
        <v>229</v>
      </c>
      <c r="Q9816">
        <v>0</v>
      </c>
      <c r="R9816">
        <v>60</v>
      </c>
      <c r="S9816">
        <v>60</v>
      </c>
      <c r="T9816" t="s">
        <v>36962</v>
      </c>
    </row>
    <row r="9817" spans="1:20" customFormat="1" ht="15" x14ac:dyDescent="0.25">
      <c r="A9817" t="s">
        <v>35</v>
      </c>
      <c r="B9817" t="s">
        <v>61</v>
      </c>
      <c r="C9817" t="str">
        <f>"A0117802"</f>
        <v>A0117802</v>
      </c>
      <c r="D9817" t="s">
        <v>36963</v>
      </c>
      <c r="E9817" t="s">
        <v>36964</v>
      </c>
      <c r="F9817" t="s">
        <v>12852</v>
      </c>
      <c r="G9817" t="s">
        <v>110</v>
      </c>
      <c r="H9817">
        <v>91801</v>
      </c>
      <c r="I9817" t="s">
        <v>30</v>
      </c>
      <c r="J9817" t="s">
        <v>41</v>
      </c>
      <c r="K9817" t="s">
        <v>1440</v>
      </c>
      <c r="Q9817">
        <v>0</v>
      </c>
      <c r="R9817">
        <v>113</v>
      </c>
      <c r="S9817">
        <v>113</v>
      </c>
      <c r="T9817" t="s">
        <v>36965</v>
      </c>
    </row>
    <row r="9818" spans="1:20" customFormat="1" ht="15" x14ac:dyDescent="0.25">
      <c r="A9818" t="s">
        <v>35</v>
      </c>
      <c r="B9818" t="s">
        <v>61</v>
      </c>
      <c r="C9818" t="str">
        <f>"A0118472"</f>
        <v>A0118472</v>
      </c>
      <c r="D9818" t="s">
        <v>36966</v>
      </c>
      <c r="E9818" t="s">
        <v>36967</v>
      </c>
      <c r="F9818" t="s">
        <v>36968</v>
      </c>
      <c r="G9818" t="s">
        <v>110</v>
      </c>
      <c r="H9818">
        <v>94025</v>
      </c>
      <c r="I9818" t="s">
        <v>30</v>
      </c>
      <c r="J9818" t="s">
        <v>41</v>
      </c>
      <c r="K9818" t="s">
        <v>229</v>
      </c>
      <c r="Q9818">
        <v>0</v>
      </c>
      <c r="R9818">
        <v>160</v>
      </c>
      <c r="S9818">
        <v>160</v>
      </c>
      <c r="T9818" t="s">
        <v>36969</v>
      </c>
    </row>
    <row r="9819" spans="1:20" customFormat="1" ht="15" x14ac:dyDescent="0.25">
      <c r="A9819" t="s">
        <v>35</v>
      </c>
      <c r="B9819" t="s">
        <v>61</v>
      </c>
      <c r="C9819" t="str">
        <f>"A0127324"</f>
        <v>A0127324</v>
      </c>
      <c r="D9819" t="s">
        <v>36970</v>
      </c>
      <c r="E9819" t="s">
        <v>36971</v>
      </c>
      <c r="F9819" t="s">
        <v>10276</v>
      </c>
      <c r="G9819" t="s">
        <v>846</v>
      </c>
      <c r="H9819">
        <v>30331</v>
      </c>
      <c r="I9819" t="s">
        <v>30</v>
      </c>
      <c r="J9819" t="s">
        <v>41</v>
      </c>
      <c r="K9819" t="s">
        <v>4020</v>
      </c>
      <c r="Q9819">
        <v>0</v>
      </c>
      <c r="R9819">
        <v>50</v>
      </c>
      <c r="S9819">
        <v>50</v>
      </c>
      <c r="T9819" t="s">
        <v>36972</v>
      </c>
    </row>
    <row r="9820" spans="1:20" customFormat="1" ht="15" x14ac:dyDescent="0.25">
      <c r="A9820" t="s">
        <v>35</v>
      </c>
      <c r="B9820" t="s">
        <v>61</v>
      </c>
      <c r="C9820" t="str">
        <f>"A0126275"</f>
        <v>A0126275</v>
      </c>
      <c r="D9820" t="s">
        <v>36973</v>
      </c>
      <c r="E9820" t="s">
        <v>36974</v>
      </c>
      <c r="F9820" t="s">
        <v>13912</v>
      </c>
      <c r="G9820" t="s">
        <v>81</v>
      </c>
      <c r="H9820">
        <v>33436</v>
      </c>
      <c r="I9820" t="s">
        <v>30</v>
      </c>
      <c r="J9820" t="s">
        <v>41</v>
      </c>
      <c r="K9820" t="s">
        <v>2463</v>
      </c>
      <c r="Q9820">
        <v>0</v>
      </c>
      <c r="R9820">
        <v>0</v>
      </c>
      <c r="S9820">
        <v>0</v>
      </c>
      <c r="T9820" t="s">
        <v>36975</v>
      </c>
    </row>
    <row r="9821" spans="1:20" customFormat="1" ht="15" x14ac:dyDescent="0.25">
      <c r="A9821" t="s">
        <v>35</v>
      </c>
      <c r="B9821" t="s">
        <v>61</v>
      </c>
      <c r="C9821" t="str">
        <f>"A0126252"</f>
        <v>A0126252</v>
      </c>
      <c r="D9821" t="s">
        <v>36973</v>
      </c>
      <c r="E9821" t="s">
        <v>36976</v>
      </c>
      <c r="F9821" t="s">
        <v>12947</v>
      </c>
      <c r="G9821" t="s">
        <v>81</v>
      </c>
      <c r="H9821">
        <v>33413</v>
      </c>
      <c r="I9821" t="s">
        <v>30</v>
      </c>
      <c r="J9821" t="s">
        <v>41</v>
      </c>
      <c r="K9821" t="s">
        <v>2463</v>
      </c>
      <c r="Q9821">
        <v>0</v>
      </c>
      <c r="R9821">
        <v>1</v>
      </c>
      <c r="S9821">
        <v>1</v>
      </c>
      <c r="T9821" t="s">
        <v>36977</v>
      </c>
    </row>
    <row r="9822" spans="1:20" customFormat="1" ht="15" x14ac:dyDescent="0.25">
      <c r="A9822" t="s">
        <v>35</v>
      </c>
      <c r="B9822" t="s">
        <v>61</v>
      </c>
      <c r="C9822" t="str">
        <f>"A0123645"</f>
        <v>A0123645</v>
      </c>
      <c r="D9822" t="s">
        <v>36978</v>
      </c>
      <c r="E9822" t="s">
        <v>36979</v>
      </c>
      <c r="F9822" t="s">
        <v>17879</v>
      </c>
      <c r="G9822" t="s">
        <v>29</v>
      </c>
      <c r="H9822">
        <v>23464</v>
      </c>
      <c r="I9822" t="s">
        <v>30</v>
      </c>
      <c r="J9822" t="s">
        <v>41</v>
      </c>
      <c r="K9822" t="s">
        <v>59</v>
      </c>
      <c r="Q9822">
        <v>0</v>
      </c>
      <c r="R9822">
        <v>40</v>
      </c>
      <c r="S9822">
        <v>40</v>
      </c>
      <c r="T9822" t="s">
        <v>36980</v>
      </c>
    </row>
    <row r="9823" spans="1:20" customFormat="1" ht="15" x14ac:dyDescent="0.25">
      <c r="A9823" t="s">
        <v>35</v>
      </c>
      <c r="B9823" t="s">
        <v>61</v>
      </c>
      <c r="C9823" t="str">
        <f>"A0123617"</f>
        <v>A0123617</v>
      </c>
      <c r="D9823" t="s">
        <v>36981</v>
      </c>
      <c r="E9823" t="s">
        <v>36982</v>
      </c>
      <c r="F9823" t="s">
        <v>32806</v>
      </c>
      <c r="G9823" t="s">
        <v>29</v>
      </c>
      <c r="H9823">
        <v>23320</v>
      </c>
      <c r="I9823" t="s">
        <v>30</v>
      </c>
      <c r="J9823" t="s">
        <v>41</v>
      </c>
      <c r="K9823" t="s">
        <v>59</v>
      </c>
      <c r="Q9823">
        <v>0</v>
      </c>
      <c r="R9823">
        <v>50</v>
      </c>
      <c r="S9823">
        <v>50</v>
      </c>
      <c r="T9823" t="s">
        <v>36983</v>
      </c>
    </row>
    <row r="9824" spans="1:20" customFormat="1" ht="15" x14ac:dyDescent="0.25">
      <c r="A9824" t="s">
        <v>35</v>
      </c>
      <c r="B9824" t="s">
        <v>106</v>
      </c>
      <c r="C9824" t="str">
        <f>"A0136276"</f>
        <v>A0136276</v>
      </c>
      <c r="D9824" t="s">
        <v>36984</v>
      </c>
      <c r="E9824" t="s">
        <v>36985</v>
      </c>
      <c r="F9824" t="s">
        <v>32806</v>
      </c>
      <c r="G9824" t="s">
        <v>29</v>
      </c>
      <c r="H9824">
        <v>233203025</v>
      </c>
      <c r="I9824" t="s">
        <v>30</v>
      </c>
      <c r="J9824" t="s">
        <v>111</v>
      </c>
      <c r="K9824" t="s">
        <v>112</v>
      </c>
      <c r="Q9824">
        <v>0</v>
      </c>
      <c r="R9824">
        <v>0</v>
      </c>
      <c r="S9824">
        <v>0</v>
      </c>
      <c r="T9824" t="s">
        <v>36986</v>
      </c>
    </row>
    <row r="9825" spans="1:20" customFormat="1" ht="15" x14ac:dyDescent="0.25">
      <c r="A9825" t="s">
        <v>35</v>
      </c>
      <c r="B9825" t="s">
        <v>61</v>
      </c>
      <c r="C9825" t="str">
        <f>"A0125323"</f>
        <v>A0125323</v>
      </c>
      <c r="D9825" t="s">
        <v>36987</v>
      </c>
      <c r="E9825" t="s">
        <v>36988</v>
      </c>
      <c r="F9825" t="s">
        <v>36989</v>
      </c>
      <c r="G9825" t="s">
        <v>40</v>
      </c>
      <c r="H9825">
        <v>74525</v>
      </c>
      <c r="I9825" t="s">
        <v>30</v>
      </c>
      <c r="J9825" t="s">
        <v>41</v>
      </c>
      <c r="K9825" t="s">
        <v>229</v>
      </c>
      <c r="Q9825">
        <v>0</v>
      </c>
      <c r="R9825">
        <v>96</v>
      </c>
      <c r="S9825">
        <v>96</v>
      </c>
      <c r="T9825" t="s">
        <v>36990</v>
      </c>
    </row>
    <row r="9826" spans="1:20" customFormat="1" ht="15" x14ac:dyDescent="0.25">
      <c r="A9826" t="s">
        <v>35</v>
      </c>
      <c r="B9826" t="s">
        <v>61</v>
      </c>
      <c r="C9826" t="str">
        <f>"A0133331"</f>
        <v>A0133331</v>
      </c>
      <c r="D9826" t="s">
        <v>36991</v>
      </c>
      <c r="E9826" t="s">
        <v>36992</v>
      </c>
      <c r="F9826" t="s">
        <v>4774</v>
      </c>
      <c r="G9826" t="s">
        <v>52</v>
      </c>
      <c r="H9826">
        <v>773790000</v>
      </c>
      <c r="I9826" t="s">
        <v>30</v>
      </c>
      <c r="J9826" t="s">
        <v>41</v>
      </c>
      <c r="K9826" t="s">
        <v>59</v>
      </c>
      <c r="Q9826">
        <v>0</v>
      </c>
      <c r="R9826">
        <v>56</v>
      </c>
      <c r="S9826">
        <v>56</v>
      </c>
      <c r="T9826" t="s">
        <v>36993</v>
      </c>
    </row>
    <row r="9827" spans="1:20" customFormat="1" ht="15" x14ac:dyDescent="0.25">
      <c r="A9827" t="s">
        <v>35</v>
      </c>
      <c r="B9827" t="s">
        <v>61</v>
      </c>
      <c r="C9827" t="str">
        <f>"A0130313"</f>
        <v>A0130313</v>
      </c>
      <c r="D9827" t="s">
        <v>36994</v>
      </c>
      <c r="E9827" t="s">
        <v>36995</v>
      </c>
      <c r="F9827" t="s">
        <v>36996</v>
      </c>
      <c r="G9827" t="s">
        <v>1898</v>
      </c>
      <c r="H9827">
        <v>52235</v>
      </c>
      <c r="I9827" t="s">
        <v>30</v>
      </c>
      <c r="J9827" t="s">
        <v>41</v>
      </c>
      <c r="K9827" t="s">
        <v>59</v>
      </c>
      <c r="Q9827">
        <v>0</v>
      </c>
      <c r="R9827">
        <v>20</v>
      </c>
      <c r="S9827">
        <v>20</v>
      </c>
      <c r="T9827" t="s">
        <v>36997</v>
      </c>
    </row>
    <row r="9828" spans="1:20" customFormat="1" ht="15" x14ac:dyDescent="0.25">
      <c r="A9828" t="s">
        <v>35</v>
      </c>
      <c r="B9828" t="s">
        <v>61</v>
      </c>
      <c r="C9828" t="str">
        <f>"A0124682"</f>
        <v>A0124682</v>
      </c>
      <c r="D9828" t="s">
        <v>36998</v>
      </c>
      <c r="E9828" t="s">
        <v>36999</v>
      </c>
      <c r="F9828" t="s">
        <v>37000</v>
      </c>
      <c r="G9828" t="s">
        <v>1706</v>
      </c>
      <c r="H9828">
        <v>359540000</v>
      </c>
      <c r="I9828" t="s">
        <v>30</v>
      </c>
      <c r="J9828" t="s">
        <v>41</v>
      </c>
      <c r="K9828" t="s">
        <v>229</v>
      </c>
      <c r="Q9828">
        <v>0</v>
      </c>
      <c r="R9828">
        <v>165</v>
      </c>
      <c r="S9828">
        <v>165</v>
      </c>
      <c r="T9828" t="s">
        <v>37001</v>
      </c>
    </row>
    <row r="9829" spans="1:20" customFormat="1" ht="15" x14ac:dyDescent="0.25">
      <c r="A9829" t="s">
        <v>35</v>
      </c>
      <c r="B9829" t="s">
        <v>61</v>
      </c>
      <c r="C9829" t="str">
        <f>"A0130527"</f>
        <v>A0130527</v>
      </c>
      <c r="D9829" t="s">
        <v>37002</v>
      </c>
      <c r="E9829" t="s">
        <v>37003</v>
      </c>
      <c r="F9829" t="s">
        <v>37004</v>
      </c>
      <c r="G9829" t="s">
        <v>71</v>
      </c>
      <c r="H9829">
        <v>53562</v>
      </c>
      <c r="I9829" t="s">
        <v>30</v>
      </c>
      <c r="J9829" t="s">
        <v>41</v>
      </c>
      <c r="K9829" t="s">
        <v>59</v>
      </c>
      <c r="Q9829">
        <v>0</v>
      </c>
      <c r="R9829">
        <v>180</v>
      </c>
      <c r="S9829">
        <v>180</v>
      </c>
      <c r="T9829" t="s">
        <v>37005</v>
      </c>
    </row>
    <row r="9830" spans="1:20" customFormat="1" ht="15" x14ac:dyDescent="0.25">
      <c r="A9830" t="s">
        <v>35</v>
      </c>
      <c r="B9830" t="s">
        <v>61</v>
      </c>
      <c r="C9830" t="str">
        <f>"A0127041"</f>
        <v>A0127041</v>
      </c>
      <c r="D9830" t="s">
        <v>37006</v>
      </c>
      <c r="E9830" t="s">
        <v>37007</v>
      </c>
      <c r="F9830" t="s">
        <v>37008</v>
      </c>
      <c r="G9830" t="s">
        <v>103</v>
      </c>
      <c r="H9830">
        <v>18974</v>
      </c>
      <c r="I9830" t="s">
        <v>30</v>
      </c>
      <c r="J9830" t="s">
        <v>41</v>
      </c>
      <c r="K9830" t="s">
        <v>447</v>
      </c>
      <c r="Q9830">
        <v>0</v>
      </c>
      <c r="R9830">
        <v>0</v>
      </c>
      <c r="S9830">
        <v>0</v>
      </c>
      <c r="T9830" t="s">
        <v>37009</v>
      </c>
    </row>
    <row r="9831" spans="1:20" customFormat="1" ht="15" x14ac:dyDescent="0.25">
      <c r="A9831" t="s">
        <v>35</v>
      </c>
      <c r="B9831" t="s">
        <v>61</v>
      </c>
      <c r="C9831" t="str">
        <f>"A0121879"</f>
        <v>A0121879</v>
      </c>
      <c r="D9831" t="s">
        <v>37010</v>
      </c>
      <c r="E9831" t="s">
        <v>37011</v>
      </c>
      <c r="F9831" t="s">
        <v>1439</v>
      </c>
      <c r="G9831" t="s">
        <v>110</v>
      </c>
      <c r="H9831">
        <v>92128</v>
      </c>
      <c r="I9831" t="s">
        <v>30</v>
      </c>
      <c r="J9831" t="s">
        <v>41</v>
      </c>
      <c r="K9831" t="s">
        <v>461</v>
      </c>
      <c r="Q9831">
        <v>0</v>
      </c>
      <c r="R9831">
        <v>0</v>
      </c>
      <c r="S9831">
        <v>0</v>
      </c>
      <c r="T9831" t="s">
        <v>37012</v>
      </c>
    </row>
    <row r="9832" spans="1:20" customFormat="1" ht="15" x14ac:dyDescent="0.25">
      <c r="A9832" t="s">
        <v>35</v>
      </c>
      <c r="B9832" t="s">
        <v>61</v>
      </c>
      <c r="C9832" t="str">
        <f>"A0123618"</f>
        <v>A0123618</v>
      </c>
      <c r="D9832" t="s">
        <v>37013</v>
      </c>
      <c r="E9832" t="s">
        <v>37014</v>
      </c>
      <c r="F9832" t="s">
        <v>36233</v>
      </c>
      <c r="G9832" t="s">
        <v>214</v>
      </c>
      <c r="H9832">
        <v>28625</v>
      </c>
      <c r="I9832" t="s">
        <v>30</v>
      </c>
      <c r="J9832" t="s">
        <v>41</v>
      </c>
      <c r="K9832" t="s">
        <v>482</v>
      </c>
      <c r="Q9832">
        <v>0</v>
      </c>
      <c r="R9832">
        <v>55</v>
      </c>
      <c r="S9832">
        <v>55</v>
      </c>
      <c r="T9832" t="s">
        <v>37015</v>
      </c>
    </row>
    <row r="9833" spans="1:20" customFormat="1" ht="15" x14ac:dyDescent="0.25">
      <c r="A9833" t="s">
        <v>35</v>
      </c>
      <c r="B9833" t="s">
        <v>61</v>
      </c>
      <c r="C9833" t="str">
        <f>"A0124012"</f>
        <v>A0124012</v>
      </c>
      <c r="D9833" t="s">
        <v>37016</v>
      </c>
      <c r="E9833" t="s">
        <v>37017</v>
      </c>
      <c r="F9833" t="s">
        <v>37018</v>
      </c>
      <c r="G9833" t="s">
        <v>214</v>
      </c>
      <c r="H9833">
        <v>28613</v>
      </c>
      <c r="I9833" t="s">
        <v>30</v>
      </c>
      <c r="J9833" t="s">
        <v>41</v>
      </c>
      <c r="K9833" t="s">
        <v>482</v>
      </c>
      <c r="Q9833">
        <v>0</v>
      </c>
      <c r="R9833">
        <v>50</v>
      </c>
      <c r="S9833">
        <v>50</v>
      </c>
    </row>
    <row r="9834" spans="1:20" customFormat="1" ht="15" x14ac:dyDescent="0.25">
      <c r="A9834" t="s">
        <v>35</v>
      </c>
      <c r="B9834" t="s">
        <v>106</v>
      </c>
      <c r="C9834" t="str">
        <f>"A0135633"</f>
        <v>A0135633</v>
      </c>
      <c r="D9834" t="s">
        <v>37019</v>
      </c>
      <c r="E9834" t="s">
        <v>37020</v>
      </c>
      <c r="F9834" t="s">
        <v>4133</v>
      </c>
      <c r="G9834" t="s">
        <v>52</v>
      </c>
      <c r="H9834">
        <v>78723</v>
      </c>
      <c r="I9834" t="s">
        <v>30</v>
      </c>
      <c r="J9834" t="s">
        <v>111</v>
      </c>
      <c r="K9834" t="s">
        <v>112</v>
      </c>
      <c r="Q9834">
        <v>0</v>
      </c>
      <c r="R9834">
        <v>0</v>
      </c>
      <c r="S9834">
        <v>0</v>
      </c>
      <c r="T9834" t="s">
        <v>37021</v>
      </c>
    </row>
    <row r="9835" spans="1:20" customFormat="1" ht="15" x14ac:dyDescent="0.25">
      <c r="A9835" t="s">
        <v>35</v>
      </c>
      <c r="B9835" t="s">
        <v>61</v>
      </c>
      <c r="C9835" t="str">
        <f>"A0123163"</f>
        <v>A0123163</v>
      </c>
      <c r="D9835" t="s">
        <v>37022</v>
      </c>
      <c r="E9835" t="s">
        <v>37023</v>
      </c>
      <c r="F9835" t="s">
        <v>37024</v>
      </c>
      <c r="G9835" t="s">
        <v>507</v>
      </c>
      <c r="H9835">
        <v>25411</v>
      </c>
      <c r="I9835" t="s">
        <v>30</v>
      </c>
      <c r="J9835" t="s">
        <v>41</v>
      </c>
      <c r="K9835" t="s">
        <v>482</v>
      </c>
      <c r="Q9835">
        <v>0</v>
      </c>
      <c r="R9835">
        <v>70</v>
      </c>
      <c r="S9835">
        <v>70</v>
      </c>
      <c r="T9835" t="s">
        <v>37025</v>
      </c>
    </row>
    <row r="9836" spans="1:20" customFormat="1" ht="15" x14ac:dyDescent="0.25">
      <c r="A9836" t="s">
        <v>35</v>
      </c>
      <c r="B9836" t="s">
        <v>61</v>
      </c>
      <c r="C9836" t="str">
        <f>"A0124098"</f>
        <v>A0124098</v>
      </c>
      <c r="D9836" t="s">
        <v>37026</v>
      </c>
      <c r="E9836" t="s">
        <v>37027</v>
      </c>
      <c r="F9836" t="s">
        <v>22070</v>
      </c>
      <c r="G9836" t="s">
        <v>289</v>
      </c>
      <c r="H9836">
        <v>61874</v>
      </c>
      <c r="I9836" t="s">
        <v>30</v>
      </c>
      <c r="J9836" t="s">
        <v>41</v>
      </c>
      <c r="K9836" t="s">
        <v>482</v>
      </c>
      <c r="Q9836">
        <v>0</v>
      </c>
      <c r="R9836">
        <v>80</v>
      </c>
      <c r="S9836">
        <v>80</v>
      </c>
      <c r="T9836" t="s">
        <v>37028</v>
      </c>
    </row>
    <row r="9837" spans="1:20" customFormat="1" ht="15" x14ac:dyDescent="0.25">
      <c r="A9837" t="s">
        <v>35</v>
      </c>
      <c r="B9837" t="s">
        <v>61</v>
      </c>
      <c r="C9837" t="str">
        <f>"A0127542"</f>
        <v>A0127542</v>
      </c>
      <c r="D9837" t="s">
        <v>37029</v>
      </c>
      <c r="E9837" t="s">
        <v>37030</v>
      </c>
      <c r="F9837" t="s">
        <v>37031</v>
      </c>
      <c r="G9837" t="s">
        <v>123</v>
      </c>
      <c r="H9837">
        <v>21114</v>
      </c>
      <c r="I9837" t="s">
        <v>30</v>
      </c>
      <c r="J9837" t="s">
        <v>41</v>
      </c>
      <c r="K9837" t="s">
        <v>229</v>
      </c>
      <c r="Q9837">
        <v>0</v>
      </c>
      <c r="R9837">
        <v>180</v>
      </c>
      <c r="S9837">
        <v>180</v>
      </c>
      <c r="T9837" t="s">
        <v>37032</v>
      </c>
    </row>
    <row r="9838" spans="1:20" customFormat="1" ht="15" x14ac:dyDescent="0.25">
      <c r="A9838" t="s">
        <v>35</v>
      </c>
      <c r="B9838" t="s">
        <v>61</v>
      </c>
      <c r="C9838" t="str">
        <f>"A0130833"</f>
        <v>A0130833</v>
      </c>
      <c r="D9838" t="s">
        <v>37033</v>
      </c>
      <c r="E9838" t="s">
        <v>37034</v>
      </c>
      <c r="F9838" t="s">
        <v>37035</v>
      </c>
      <c r="G9838" t="s">
        <v>137</v>
      </c>
      <c r="H9838">
        <v>630480000</v>
      </c>
      <c r="I9838" t="s">
        <v>30</v>
      </c>
      <c r="J9838" t="s">
        <v>41</v>
      </c>
      <c r="K9838" t="s">
        <v>229</v>
      </c>
      <c r="Q9838">
        <v>0</v>
      </c>
      <c r="R9838">
        <v>69</v>
      </c>
      <c r="S9838">
        <v>69</v>
      </c>
      <c r="T9838" t="s">
        <v>37036</v>
      </c>
    </row>
    <row r="9839" spans="1:20" customFormat="1" ht="15" x14ac:dyDescent="0.25">
      <c r="A9839" t="s">
        <v>35</v>
      </c>
      <c r="B9839" t="s">
        <v>61</v>
      </c>
      <c r="C9839" t="str">
        <f>"A0121396"</f>
        <v>A0121396</v>
      </c>
      <c r="D9839" t="s">
        <v>37037</v>
      </c>
      <c r="E9839" t="s">
        <v>37038</v>
      </c>
      <c r="F9839" t="s">
        <v>37039</v>
      </c>
      <c r="G9839" t="s">
        <v>110</v>
      </c>
      <c r="H9839">
        <v>93630</v>
      </c>
      <c r="I9839" t="s">
        <v>30</v>
      </c>
      <c r="J9839" t="s">
        <v>41</v>
      </c>
      <c r="K9839" t="s">
        <v>59</v>
      </c>
      <c r="Q9839">
        <v>0</v>
      </c>
      <c r="R9839">
        <v>1</v>
      </c>
      <c r="S9839">
        <v>1</v>
      </c>
      <c r="T9839" t="s">
        <v>37040</v>
      </c>
    </row>
    <row r="9840" spans="1:20" customFormat="1" ht="15" x14ac:dyDescent="0.25">
      <c r="A9840" t="s">
        <v>35</v>
      </c>
      <c r="B9840" t="s">
        <v>61</v>
      </c>
      <c r="C9840" t="str">
        <f>"A0123619"</f>
        <v>A0123619</v>
      </c>
      <c r="D9840" t="s">
        <v>37041</v>
      </c>
      <c r="E9840" t="s">
        <v>37042</v>
      </c>
      <c r="F9840" t="s">
        <v>37043</v>
      </c>
      <c r="G9840" t="s">
        <v>214</v>
      </c>
      <c r="H9840">
        <v>27577</v>
      </c>
      <c r="I9840" t="s">
        <v>30</v>
      </c>
      <c r="J9840" t="s">
        <v>41</v>
      </c>
      <c r="K9840" t="s">
        <v>482</v>
      </c>
      <c r="Q9840">
        <v>0</v>
      </c>
      <c r="R9840">
        <v>0</v>
      </c>
      <c r="S9840">
        <v>0</v>
      </c>
    </row>
    <row r="9841" spans="1:20" customFormat="1" ht="15" x14ac:dyDescent="0.25">
      <c r="A9841" t="s">
        <v>35</v>
      </c>
      <c r="B9841" t="s">
        <v>61</v>
      </c>
      <c r="C9841" t="str">
        <f>"A0123620"</f>
        <v>A0123620</v>
      </c>
      <c r="D9841" t="s">
        <v>37044</v>
      </c>
      <c r="E9841" t="s">
        <v>37045</v>
      </c>
      <c r="F9841" t="s">
        <v>37046</v>
      </c>
      <c r="G9841" t="s">
        <v>214</v>
      </c>
      <c r="H9841">
        <v>28382</v>
      </c>
      <c r="I9841" t="s">
        <v>30</v>
      </c>
      <c r="J9841" t="s">
        <v>41</v>
      </c>
      <c r="K9841" t="s">
        <v>482</v>
      </c>
      <c r="Q9841">
        <v>0</v>
      </c>
      <c r="R9841">
        <v>45</v>
      </c>
      <c r="S9841">
        <v>45</v>
      </c>
      <c r="T9841" t="s">
        <v>37047</v>
      </c>
    </row>
    <row r="9842" spans="1:20" customFormat="1" ht="15" x14ac:dyDescent="0.25">
      <c r="A9842" t="s">
        <v>35</v>
      </c>
      <c r="B9842" t="s">
        <v>61</v>
      </c>
      <c r="C9842" t="str">
        <f>"A0133239"</f>
        <v>A0133239</v>
      </c>
      <c r="D9842" t="s">
        <v>37048</v>
      </c>
      <c r="E9842" t="s">
        <v>37049</v>
      </c>
      <c r="F9842" t="s">
        <v>37050</v>
      </c>
      <c r="G9842" t="s">
        <v>52</v>
      </c>
      <c r="H9842">
        <v>781540000</v>
      </c>
      <c r="I9842" t="s">
        <v>30</v>
      </c>
      <c r="J9842" t="s">
        <v>41</v>
      </c>
      <c r="K9842" t="s">
        <v>229</v>
      </c>
      <c r="Q9842">
        <v>0</v>
      </c>
      <c r="R9842">
        <v>80</v>
      </c>
      <c r="S9842">
        <v>80</v>
      </c>
      <c r="T9842" t="s">
        <v>37051</v>
      </c>
    </row>
    <row r="9843" spans="1:20" customFormat="1" ht="15" x14ac:dyDescent="0.25">
      <c r="A9843" t="s">
        <v>35</v>
      </c>
      <c r="B9843" t="s">
        <v>61</v>
      </c>
      <c r="C9843" t="str">
        <f>"A0125347"</f>
        <v>A0125347</v>
      </c>
      <c r="D9843" t="s">
        <v>37052</v>
      </c>
      <c r="E9843" t="s">
        <v>37053</v>
      </c>
      <c r="F9843" t="s">
        <v>17349</v>
      </c>
      <c r="G9843" t="s">
        <v>40</v>
      </c>
      <c r="H9843">
        <v>74017</v>
      </c>
      <c r="I9843" t="s">
        <v>30</v>
      </c>
      <c r="J9843" t="s">
        <v>41</v>
      </c>
      <c r="K9843" t="s">
        <v>1032</v>
      </c>
      <c r="Q9843">
        <v>0</v>
      </c>
      <c r="R9843">
        <v>46</v>
      </c>
      <c r="S9843">
        <v>46</v>
      </c>
      <c r="T9843" t="s">
        <v>37054</v>
      </c>
    </row>
    <row r="9844" spans="1:20" customFormat="1" ht="15" x14ac:dyDescent="0.25">
      <c r="A9844" t="s">
        <v>35</v>
      </c>
      <c r="B9844" t="s">
        <v>61</v>
      </c>
      <c r="C9844" t="str">
        <f>"A0127922"</f>
        <v>A0127922</v>
      </c>
      <c r="D9844" t="s">
        <v>37055</v>
      </c>
      <c r="E9844" t="s">
        <v>37056</v>
      </c>
      <c r="F9844" t="s">
        <v>460</v>
      </c>
      <c r="G9844" t="s">
        <v>117</v>
      </c>
      <c r="H9844">
        <v>48093</v>
      </c>
      <c r="I9844" t="s">
        <v>30</v>
      </c>
      <c r="J9844" t="s">
        <v>41</v>
      </c>
      <c r="K9844" t="s">
        <v>229</v>
      </c>
      <c r="Q9844">
        <v>0</v>
      </c>
      <c r="R9844">
        <v>330</v>
      </c>
      <c r="S9844">
        <v>330</v>
      </c>
      <c r="T9844" t="s">
        <v>37057</v>
      </c>
    </row>
    <row r="9845" spans="1:20" customFormat="1" ht="15" x14ac:dyDescent="0.25">
      <c r="A9845" t="s">
        <v>35</v>
      </c>
      <c r="B9845" t="s">
        <v>106</v>
      </c>
      <c r="C9845" t="str">
        <f>"A0135948"</f>
        <v>A0135948</v>
      </c>
      <c r="D9845" t="s">
        <v>37058</v>
      </c>
      <c r="E9845" t="s">
        <v>37059</v>
      </c>
      <c r="F9845" t="s">
        <v>14693</v>
      </c>
      <c r="G9845" t="s">
        <v>110</v>
      </c>
      <c r="H9845">
        <v>92834</v>
      </c>
      <c r="I9845" t="s">
        <v>30</v>
      </c>
      <c r="J9845" t="s">
        <v>111</v>
      </c>
      <c r="K9845" t="s">
        <v>10012</v>
      </c>
      <c r="Q9845">
        <v>0</v>
      </c>
      <c r="R9845">
        <v>0</v>
      </c>
      <c r="S9845">
        <v>0</v>
      </c>
      <c r="T9845" t="s">
        <v>37060</v>
      </c>
    </row>
    <row r="9846" spans="1:20" customFormat="1" ht="15" x14ac:dyDescent="0.25">
      <c r="A9846" t="s">
        <v>35</v>
      </c>
      <c r="B9846" t="s">
        <v>61</v>
      </c>
      <c r="C9846" t="str">
        <f>"A0131177"</f>
        <v>A0131177</v>
      </c>
      <c r="D9846" t="s">
        <v>37061</v>
      </c>
      <c r="E9846" t="s">
        <v>37062</v>
      </c>
      <c r="F9846" t="s">
        <v>1655</v>
      </c>
      <c r="G9846" t="s">
        <v>137</v>
      </c>
      <c r="H9846">
        <v>63116</v>
      </c>
      <c r="I9846" t="s">
        <v>30</v>
      </c>
      <c r="J9846" t="s">
        <v>41</v>
      </c>
      <c r="K9846" t="s">
        <v>229</v>
      </c>
      <c r="Q9846">
        <v>0</v>
      </c>
      <c r="R9846">
        <v>77</v>
      </c>
      <c r="S9846">
        <v>77</v>
      </c>
      <c r="T9846" t="s">
        <v>37063</v>
      </c>
    </row>
    <row r="9847" spans="1:20" customFormat="1" ht="15" x14ac:dyDescent="0.25">
      <c r="A9847" t="s">
        <v>35</v>
      </c>
      <c r="B9847" t="s">
        <v>61</v>
      </c>
      <c r="C9847" t="str">
        <f>"A0133723"</f>
        <v>A0133723</v>
      </c>
      <c r="D9847" t="s">
        <v>37064</v>
      </c>
      <c r="E9847" t="s">
        <v>37065</v>
      </c>
      <c r="F9847" t="s">
        <v>37066</v>
      </c>
      <c r="G9847" t="s">
        <v>52</v>
      </c>
      <c r="H9847">
        <v>75956</v>
      </c>
      <c r="I9847" t="s">
        <v>30</v>
      </c>
      <c r="J9847" t="s">
        <v>41</v>
      </c>
      <c r="K9847" t="s">
        <v>229</v>
      </c>
      <c r="Q9847">
        <v>0</v>
      </c>
      <c r="R9847">
        <v>100</v>
      </c>
      <c r="S9847">
        <v>100</v>
      </c>
      <c r="T9847" t="s">
        <v>37067</v>
      </c>
    </row>
    <row r="9848" spans="1:20" customFormat="1" ht="15" x14ac:dyDescent="0.25">
      <c r="A9848" t="s">
        <v>35</v>
      </c>
      <c r="B9848" t="s">
        <v>61</v>
      </c>
      <c r="C9848" t="str">
        <f>"A0133722"</f>
        <v>A0133722</v>
      </c>
      <c r="D9848" t="s">
        <v>37068</v>
      </c>
      <c r="E9848" t="s">
        <v>37069</v>
      </c>
      <c r="F9848" t="s">
        <v>5556</v>
      </c>
      <c r="G9848" t="s">
        <v>52</v>
      </c>
      <c r="H9848">
        <v>75862</v>
      </c>
      <c r="I9848" t="s">
        <v>30</v>
      </c>
      <c r="J9848" t="s">
        <v>41</v>
      </c>
      <c r="K9848" t="s">
        <v>229</v>
      </c>
      <c r="Q9848">
        <v>0</v>
      </c>
      <c r="R9848">
        <v>100</v>
      </c>
      <c r="S9848">
        <v>100</v>
      </c>
      <c r="T9848" t="s">
        <v>37070</v>
      </c>
    </row>
    <row r="9849" spans="1:20" customFormat="1" ht="15" x14ac:dyDescent="0.25">
      <c r="A9849" t="s">
        <v>35</v>
      </c>
      <c r="B9849" t="s">
        <v>61</v>
      </c>
      <c r="C9849" t="str">
        <f>"A0133721"</f>
        <v>A0133721</v>
      </c>
      <c r="D9849" t="s">
        <v>37071</v>
      </c>
      <c r="E9849" t="s">
        <v>37072</v>
      </c>
      <c r="F9849" t="s">
        <v>23200</v>
      </c>
      <c r="G9849" t="s">
        <v>52</v>
      </c>
      <c r="H9849">
        <v>77488</v>
      </c>
      <c r="I9849" t="s">
        <v>30</v>
      </c>
      <c r="J9849" t="s">
        <v>41</v>
      </c>
      <c r="K9849" t="s">
        <v>229</v>
      </c>
      <c r="Q9849">
        <v>0</v>
      </c>
      <c r="R9849">
        <v>120</v>
      </c>
      <c r="S9849">
        <v>120</v>
      </c>
      <c r="T9849" t="s">
        <v>37073</v>
      </c>
    </row>
    <row r="9850" spans="1:20" customFormat="1" ht="15" x14ac:dyDescent="0.25">
      <c r="A9850" t="s">
        <v>35</v>
      </c>
      <c r="B9850" t="s">
        <v>61</v>
      </c>
      <c r="C9850" t="str">
        <f>"A0118385"</f>
        <v>A0118385</v>
      </c>
      <c r="D9850" t="s">
        <v>37074</v>
      </c>
      <c r="E9850" t="s">
        <v>37075</v>
      </c>
      <c r="F9850" t="s">
        <v>7362</v>
      </c>
      <c r="G9850" t="s">
        <v>110</v>
      </c>
      <c r="H9850">
        <v>90061</v>
      </c>
      <c r="I9850" t="s">
        <v>30</v>
      </c>
      <c r="J9850" t="s">
        <v>41</v>
      </c>
      <c r="K9850" t="s">
        <v>229</v>
      </c>
      <c r="Q9850">
        <v>0</v>
      </c>
      <c r="R9850">
        <v>131</v>
      </c>
      <c r="S9850">
        <v>131</v>
      </c>
      <c r="T9850" t="s">
        <v>37076</v>
      </c>
    </row>
    <row r="9851" spans="1:20" customFormat="1" ht="15" x14ac:dyDescent="0.25">
      <c r="A9851" t="s">
        <v>35</v>
      </c>
      <c r="B9851" t="s">
        <v>61</v>
      </c>
      <c r="C9851" t="str">
        <f>"A0129037"</f>
        <v>A0129037</v>
      </c>
      <c r="D9851" t="s">
        <v>37077</v>
      </c>
      <c r="E9851" t="s">
        <v>37078</v>
      </c>
      <c r="F9851" t="s">
        <v>37079</v>
      </c>
      <c r="G9851" t="s">
        <v>289</v>
      </c>
      <c r="H9851">
        <v>60135</v>
      </c>
      <c r="I9851" t="s">
        <v>30</v>
      </c>
      <c r="J9851" t="s">
        <v>41</v>
      </c>
      <c r="K9851" t="s">
        <v>229</v>
      </c>
      <c r="Q9851">
        <v>0</v>
      </c>
      <c r="R9851">
        <v>92</v>
      </c>
      <c r="S9851">
        <v>92</v>
      </c>
      <c r="T9851" t="s">
        <v>37080</v>
      </c>
    </row>
    <row r="9852" spans="1:20" customFormat="1" ht="15" x14ac:dyDescent="0.25">
      <c r="A9852" t="s">
        <v>35</v>
      </c>
      <c r="B9852" t="s">
        <v>61</v>
      </c>
      <c r="C9852" t="str">
        <f>"A0124099"</f>
        <v>A0124099</v>
      </c>
      <c r="D9852" t="s">
        <v>37081</v>
      </c>
      <c r="E9852" t="s">
        <v>37082</v>
      </c>
      <c r="F9852" t="s">
        <v>37083</v>
      </c>
      <c r="G9852" t="s">
        <v>289</v>
      </c>
      <c r="H9852">
        <v>60047</v>
      </c>
      <c r="I9852" t="s">
        <v>30</v>
      </c>
      <c r="J9852" t="s">
        <v>41</v>
      </c>
      <c r="K9852" t="s">
        <v>229</v>
      </c>
      <c r="Q9852">
        <v>0</v>
      </c>
      <c r="R9852">
        <v>198</v>
      </c>
      <c r="S9852">
        <v>198</v>
      </c>
      <c r="T9852" t="s">
        <v>37084</v>
      </c>
    </row>
    <row r="9853" spans="1:20" customFormat="1" ht="15" x14ac:dyDescent="0.25">
      <c r="A9853" t="s">
        <v>35</v>
      </c>
      <c r="B9853" t="s">
        <v>61</v>
      </c>
      <c r="C9853" t="str">
        <f>"A0124100"</f>
        <v>A0124100</v>
      </c>
      <c r="D9853" t="s">
        <v>37085</v>
      </c>
      <c r="E9853" t="s">
        <v>37086</v>
      </c>
      <c r="F9853" t="s">
        <v>30680</v>
      </c>
      <c r="G9853" t="s">
        <v>289</v>
      </c>
      <c r="H9853">
        <v>60068</v>
      </c>
      <c r="I9853" t="s">
        <v>30</v>
      </c>
      <c r="J9853" t="s">
        <v>41</v>
      </c>
      <c r="K9853" t="s">
        <v>229</v>
      </c>
      <c r="Q9853">
        <v>0</v>
      </c>
      <c r="R9853">
        <v>82</v>
      </c>
      <c r="S9853">
        <v>82</v>
      </c>
      <c r="T9853" t="s">
        <v>37087</v>
      </c>
    </row>
    <row r="9854" spans="1:20" customFormat="1" ht="15" x14ac:dyDescent="0.25">
      <c r="A9854" t="s">
        <v>35</v>
      </c>
      <c r="B9854" t="s">
        <v>61</v>
      </c>
      <c r="C9854" t="str">
        <f>"A0133472"</f>
        <v>A0133472</v>
      </c>
      <c r="D9854" t="s">
        <v>37088</v>
      </c>
      <c r="E9854" t="s">
        <v>37089</v>
      </c>
      <c r="F9854" t="s">
        <v>5304</v>
      </c>
      <c r="G9854" t="s">
        <v>52</v>
      </c>
      <c r="H9854">
        <v>75061</v>
      </c>
      <c r="I9854" t="s">
        <v>30</v>
      </c>
      <c r="J9854" t="s">
        <v>41</v>
      </c>
      <c r="K9854" t="s">
        <v>229</v>
      </c>
      <c r="Q9854">
        <v>0</v>
      </c>
      <c r="R9854">
        <v>120</v>
      </c>
      <c r="S9854">
        <v>120</v>
      </c>
      <c r="T9854" t="s">
        <v>37090</v>
      </c>
    </row>
    <row r="9855" spans="1:20" customFormat="1" ht="15" x14ac:dyDescent="0.25">
      <c r="A9855" t="s">
        <v>35</v>
      </c>
      <c r="B9855" t="s">
        <v>61</v>
      </c>
      <c r="C9855" t="str">
        <f>"A0118674"</f>
        <v>A0118674</v>
      </c>
      <c r="D9855" t="s">
        <v>37091</v>
      </c>
      <c r="E9855" t="s">
        <v>37092</v>
      </c>
      <c r="F9855" t="s">
        <v>37093</v>
      </c>
      <c r="G9855" t="s">
        <v>110</v>
      </c>
      <c r="H9855">
        <v>91356</v>
      </c>
      <c r="I9855" t="s">
        <v>30</v>
      </c>
      <c r="J9855" t="s">
        <v>41</v>
      </c>
      <c r="K9855" t="s">
        <v>59</v>
      </c>
      <c r="Q9855">
        <v>0</v>
      </c>
      <c r="R9855">
        <v>120</v>
      </c>
      <c r="S9855">
        <v>120</v>
      </c>
      <c r="T9855" t="s">
        <v>37094</v>
      </c>
    </row>
    <row r="9856" spans="1:20" customFormat="1" ht="15" x14ac:dyDescent="0.25">
      <c r="A9856" t="s">
        <v>35</v>
      </c>
      <c r="B9856" t="s">
        <v>61</v>
      </c>
      <c r="C9856" t="str">
        <f>"A0129916"</f>
        <v>A0129916</v>
      </c>
      <c r="D9856" t="s">
        <v>37095</v>
      </c>
      <c r="E9856" t="s">
        <v>37096</v>
      </c>
      <c r="F9856" t="s">
        <v>1501</v>
      </c>
      <c r="G9856" t="s">
        <v>880</v>
      </c>
      <c r="H9856">
        <v>381344718</v>
      </c>
      <c r="I9856" t="s">
        <v>30</v>
      </c>
      <c r="J9856" t="s">
        <v>41</v>
      </c>
      <c r="K9856" t="s">
        <v>229</v>
      </c>
      <c r="Q9856">
        <v>0</v>
      </c>
      <c r="R9856">
        <v>73</v>
      </c>
      <c r="S9856">
        <v>73</v>
      </c>
      <c r="T9856" t="s">
        <v>12270</v>
      </c>
    </row>
    <row r="9857" spans="1:20" customFormat="1" ht="15" x14ac:dyDescent="0.25">
      <c r="A9857" t="s">
        <v>35</v>
      </c>
      <c r="B9857" t="s">
        <v>61</v>
      </c>
      <c r="C9857" t="str">
        <f>"A0131820"</f>
        <v>A0131820</v>
      </c>
      <c r="D9857" t="s">
        <v>37097</v>
      </c>
      <c r="E9857" t="s">
        <v>37098</v>
      </c>
      <c r="F9857" t="s">
        <v>37099</v>
      </c>
      <c r="G9857" t="s">
        <v>65</v>
      </c>
      <c r="H9857">
        <v>44452</v>
      </c>
      <c r="I9857" t="s">
        <v>30</v>
      </c>
      <c r="J9857" t="s">
        <v>41</v>
      </c>
      <c r="K9857" t="s">
        <v>229</v>
      </c>
      <c r="Q9857">
        <v>0</v>
      </c>
      <c r="R9857">
        <v>126</v>
      </c>
      <c r="S9857">
        <v>150</v>
      </c>
      <c r="T9857" t="s">
        <v>37100</v>
      </c>
    </row>
    <row r="9858" spans="1:20" customFormat="1" ht="15" x14ac:dyDescent="0.25">
      <c r="A9858" t="s">
        <v>35</v>
      </c>
      <c r="B9858" t="s">
        <v>61</v>
      </c>
      <c r="C9858" t="str">
        <f>"A0132613"</f>
        <v>A0132613</v>
      </c>
      <c r="D9858" t="s">
        <v>37101</v>
      </c>
      <c r="E9858" t="s">
        <v>37102</v>
      </c>
      <c r="F9858" t="s">
        <v>7303</v>
      </c>
      <c r="G9858" t="s">
        <v>65</v>
      </c>
      <c r="H9858">
        <v>44515</v>
      </c>
      <c r="I9858" t="s">
        <v>30</v>
      </c>
      <c r="J9858" t="s">
        <v>41</v>
      </c>
      <c r="K9858" t="s">
        <v>229</v>
      </c>
      <c r="Q9858">
        <v>0</v>
      </c>
      <c r="R9858">
        <v>144</v>
      </c>
      <c r="S9858">
        <v>70</v>
      </c>
      <c r="T9858" t="s">
        <v>37103</v>
      </c>
    </row>
    <row r="9859" spans="1:20" customFormat="1" ht="15" x14ac:dyDescent="0.25">
      <c r="A9859" t="s">
        <v>35</v>
      </c>
      <c r="B9859" t="s">
        <v>61</v>
      </c>
      <c r="C9859" t="str">
        <f>"A0131845"</f>
        <v>A0131845</v>
      </c>
      <c r="D9859" t="s">
        <v>37104</v>
      </c>
      <c r="E9859" t="s">
        <v>37105</v>
      </c>
      <c r="F9859" t="s">
        <v>1755</v>
      </c>
      <c r="G9859" t="s">
        <v>65</v>
      </c>
      <c r="H9859">
        <v>45503</v>
      </c>
      <c r="I9859" t="s">
        <v>30</v>
      </c>
      <c r="J9859" t="s">
        <v>41</v>
      </c>
      <c r="K9859" t="s">
        <v>229</v>
      </c>
      <c r="Q9859">
        <v>0</v>
      </c>
      <c r="R9859">
        <v>199</v>
      </c>
      <c r="S9859">
        <v>116</v>
      </c>
      <c r="T9859" t="s">
        <v>37106</v>
      </c>
    </row>
    <row r="9860" spans="1:20" customFormat="1" ht="15" x14ac:dyDescent="0.25">
      <c r="A9860" t="s">
        <v>35</v>
      </c>
      <c r="B9860" t="s">
        <v>61</v>
      </c>
      <c r="C9860" t="str">
        <f>"A0123621"</f>
        <v>A0123621</v>
      </c>
      <c r="D9860" t="s">
        <v>37107</v>
      </c>
      <c r="E9860" t="s">
        <v>37108</v>
      </c>
      <c r="F9860" t="s">
        <v>37109</v>
      </c>
      <c r="G9860" t="s">
        <v>214</v>
      </c>
      <c r="H9860">
        <v>27529</v>
      </c>
      <c r="I9860" t="s">
        <v>30</v>
      </c>
      <c r="J9860" t="s">
        <v>41</v>
      </c>
      <c r="K9860" t="s">
        <v>482</v>
      </c>
      <c r="Q9860">
        <v>0</v>
      </c>
      <c r="R9860">
        <v>126</v>
      </c>
      <c r="S9860">
        <v>126</v>
      </c>
      <c r="T9860" t="s">
        <v>37110</v>
      </c>
    </row>
    <row r="9861" spans="1:20" customFormat="1" ht="15" x14ac:dyDescent="0.25">
      <c r="A9861" t="s">
        <v>35</v>
      </c>
      <c r="B9861" t="s">
        <v>61</v>
      </c>
      <c r="C9861" t="str">
        <f>"A0121815"</f>
        <v>A0121815</v>
      </c>
      <c r="D9861" t="s">
        <v>37111</v>
      </c>
      <c r="E9861" t="s">
        <v>37112</v>
      </c>
      <c r="F9861" t="s">
        <v>37113</v>
      </c>
      <c r="G9861" t="s">
        <v>110</v>
      </c>
      <c r="H9861">
        <v>93401</v>
      </c>
      <c r="I9861" t="s">
        <v>30</v>
      </c>
      <c r="J9861" t="s">
        <v>41</v>
      </c>
      <c r="K9861" t="s">
        <v>59</v>
      </c>
      <c r="Q9861">
        <v>0</v>
      </c>
      <c r="R9861">
        <v>135</v>
      </c>
      <c r="S9861">
        <v>135</v>
      </c>
      <c r="T9861" t="s">
        <v>37114</v>
      </c>
    </row>
    <row r="9862" spans="1:20" customFormat="1" ht="15" x14ac:dyDescent="0.25">
      <c r="A9862" t="s">
        <v>35</v>
      </c>
      <c r="B9862" t="s">
        <v>61</v>
      </c>
      <c r="C9862" t="str">
        <f>"A0125790"</f>
        <v>A0125790</v>
      </c>
      <c r="D9862" t="s">
        <v>37115</v>
      </c>
      <c r="E9862" t="s">
        <v>37116</v>
      </c>
      <c r="F9862" t="s">
        <v>37117</v>
      </c>
      <c r="G9862" t="s">
        <v>29</v>
      </c>
      <c r="H9862">
        <v>23847</v>
      </c>
      <c r="I9862" t="s">
        <v>30</v>
      </c>
      <c r="J9862" t="s">
        <v>41</v>
      </c>
      <c r="K9862" t="s">
        <v>229</v>
      </c>
      <c r="Q9862">
        <v>0</v>
      </c>
      <c r="R9862">
        <v>130</v>
      </c>
      <c r="S9862">
        <v>130</v>
      </c>
      <c r="T9862" t="s">
        <v>37118</v>
      </c>
    </row>
    <row r="9863" spans="1:20" customFormat="1" ht="15" x14ac:dyDescent="0.25">
      <c r="A9863" t="s">
        <v>35</v>
      </c>
      <c r="B9863" t="s">
        <v>61</v>
      </c>
      <c r="C9863" t="str">
        <f>"A0132857"</f>
        <v>A0132857</v>
      </c>
      <c r="D9863" t="s">
        <v>37119</v>
      </c>
      <c r="E9863" t="s">
        <v>37120</v>
      </c>
      <c r="F9863" t="s">
        <v>37121</v>
      </c>
      <c r="G9863" t="s">
        <v>65</v>
      </c>
      <c r="H9863">
        <v>44012</v>
      </c>
      <c r="I9863" t="s">
        <v>30</v>
      </c>
      <c r="J9863" t="s">
        <v>41</v>
      </c>
      <c r="K9863" t="s">
        <v>1440</v>
      </c>
      <c r="Q9863">
        <v>0</v>
      </c>
      <c r="R9863">
        <v>465</v>
      </c>
      <c r="S9863">
        <v>465</v>
      </c>
      <c r="T9863" t="s">
        <v>37122</v>
      </c>
    </row>
    <row r="9864" spans="1:20" customFormat="1" ht="15" x14ac:dyDescent="0.25">
      <c r="A9864" t="s">
        <v>35</v>
      </c>
      <c r="B9864" t="s">
        <v>61</v>
      </c>
      <c r="C9864" t="str">
        <f>"A0132650"</f>
        <v>A0132650</v>
      </c>
      <c r="D9864" t="s">
        <v>37123</v>
      </c>
      <c r="E9864" t="s">
        <v>37124</v>
      </c>
      <c r="F9864" t="s">
        <v>1403</v>
      </c>
      <c r="G9864" t="s">
        <v>65</v>
      </c>
      <c r="H9864">
        <v>440110000</v>
      </c>
      <c r="I9864" t="s">
        <v>30</v>
      </c>
      <c r="J9864" t="s">
        <v>41</v>
      </c>
      <c r="K9864" t="s">
        <v>229</v>
      </c>
      <c r="Q9864">
        <v>0</v>
      </c>
      <c r="R9864">
        <v>105</v>
      </c>
      <c r="S9864">
        <v>105</v>
      </c>
      <c r="T9864" t="s">
        <v>37125</v>
      </c>
    </row>
    <row r="9865" spans="1:20" customFormat="1" ht="15" x14ac:dyDescent="0.25">
      <c r="A9865" t="s">
        <v>35</v>
      </c>
      <c r="B9865" t="s">
        <v>61</v>
      </c>
      <c r="C9865" t="str">
        <f>"A0128647"</f>
        <v>A0128647</v>
      </c>
      <c r="D9865" t="s">
        <v>37126</v>
      </c>
      <c r="E9865" t="s">
        <v>37127</v>
      </c>
      <c r="F9865" t="s">
        <v>37128</v>
      </c>
      <c r="G9865" t="s">
        <v>1170</v>
      </c>
      <c r="H9865">
        <v>71329</v>
      </c>
      <c r="I9865" t="s">
        <v>30</v>
      </c>
      <c r="J9865" t="s">
        <v>41</v>
      </c>
      <c r="K9865" t="s">
        <v>229</v>
      </c>
      <c r="Q9865">
        <v>0</v>
      </c>
      <c r="R9865">
        <v>1</v>
      </c>
      <c r="S9865">
        <v>1</v>
      </c>
      <c r="T9865" t="s">
        <v>37129</v>
      </c>
    </row>
    <row r="9866" spans="1:20" customFormat="1" ht="15" x14ac:dyDescent="0.25">
      <c r="A9866" t="s">
        <v>35</v>
      </c>
      <c r="B9866" t="s">
        <v>61</v>
      </c>
      <c r="C9866" t="str">
        <f>"A0125205"</f>
        <v>A0125205</v>
      </c>
      <c r="D9866" t="s">
        <v>37130</v>
      </c>
      <c r="E9866" t="s">
        <v>37131</v>
      </c>
      <c r="F9866" t="s">
        <v>37132</v>
      </c>
      <c r="G9866" t="s">
        <v>40</v>
      </c>
      <c r="H9866">
        <v>73566</v>
      </c>
      <c r="I9866" t="s">
        <v>30</v>
      </c>
      <c r="J9866" t="s">
        <v>41</v>
      </c>
      <c r="K9866" t="s">
        <v>229</v>
      </c>
      <c r="Q9866">
        <v>0</v>
      </c>
      <c r="R9866">
        <v>87</v>
      </c>
      <c r="S9866">
        <v>87</v>
      </c>
      <c r="T9866" t="s">
        <v>37133</v>
      </c>
    </row>
    <row r="9867" spans="1:20" customFormat="1" ht="15" x14ac:dyDescent="0.25">
      <c r="A9867" t="s">
        <v>35</v>
      </c>
      <c r="B9867" t="s">
        <v>61</v>
      </c>
      <c r="C9867" t="str">
        <f>"A0128769"</f>
        <v>A0128769</v>
      </c>
      <c r="D9867" t="s">
        <v>37134</v>
      </c>
      <c r="E9867" t="s">
        <v>37135</v>
      </c>
      <c r="F9867" t="s">
        <v>20970</v>
      </c>
      <c r="G9867" t="s">
        <v>1170</v>
      </c>
      <c r="H9867">
        <v>70737</v>
      </c>
      <c r="I9867" t="s">
        <v>30</v>
      </c>
      <c r="J9867" t="s">
        <v>41</v>
      </c>
      <c r="K9867" t="s">
        <v>59</v>
      </c>
      <c r="Q9867">
        <v>0</v>
      </c>
      <c r="R9867">
        <v>80</v>
      </c>
      <c r="S9867">
        <v>80</v>
      </c>
      <c r="T9867" t="s">
        <v>37136</v>
      </c>
    </row>
    <row r="9868" spans="1:20" customFormat="1" ht="15" x14ac:dyDescent="0.25">
      <c r="A9868" t="s">
        <v>35</v>
      </c>
      <c r="B9868" t="s">
        <v>61</v>
      </c>
      <c r="C9868" t="str">
        <f>"A0128781"</f>
        <v>A0128781</v>
      </c>
      <c r="D9868" t="s">
        <v>10302</v>
      </c>
      <c r="E9868" t="s">
        <v>37137</v>
      </c>
      <c r="F9868" t="s">
        <v>37138</v>
      </c>
      <c r="G9868" t="s">
        <v>1706</v>
      </c>
      <c r="H9868">
        <v>36607</v>
      </c>
      <c r="I9868" t="s">
        <v>30</v>
      </c>
      <c r="J9868" t="s">
        <v>41</v>
      </c>
      <c r="K9868" t="s">
        <v>229</v>
      </c>
      <c r="Q9868">
        <v>0</v>
      </c>
      <c r="R9868">
        <v>60</v>
      </c>
      <c r="S9868">
        <v>60</v>
      </c>
      <c r="T9868" t="s">
        <v>37139</v>
      </c>
    </row>
    <row r="9869" spans="1:20" customFormat="1" ht="15" x14ac:dyDescent="0.25">
      <c r="A9869" t="s">
        <v>35</v>
      </c>
      <c r="B9869" t="s">
        <v>61</v>
      </c>
      <c r="C9869" t="str">
        <f>"A0133231"</f>
        <v>A0133231</v>
      </c>
      <c r="D9869" t="s">
        <v>37140</v>
      </c>
      <c r="E9869" t="s">
        <v>37141</v>
      </c>
      <c r="F9869" t="s">
        <v>5217</v>
      </c>
      <c r="G9869" t="s">
        <v>52</v>
      </c>
      <c r="H9869">
        <v>75701</v>
      </c>
      <c r="I9869" t="s">
        <v>30</v>
      </c>
      <c r="J9869" t="s">
        <v>41</v>
      </c>
      <c r="K9869" t="s">
        <v>229</v>
      </c>
      <c r="Q9869">
        <v>0</v>
      </c>
      <c r="R9869">
        <v>120</v>
      </c>
      <c r="S9869">
        <v>120</v>
      </c>
      <c r="T9869" t="s">
        <v>37142</v>
      </c>
    </row>
    <row r="9870" spans="1:20" customFormat="1" ht="15" x14ac:dyDescent="0.25">
      <c r="A9870" t="s">
        <v>35</v>
      </c>
      <c r="B9870" t="s">
        <v>61</v>
      </c>
      <c r="C9870" t="str">
        <f>"A0129940"</f>
        <v>A0129940</v>
      </c>
      <c r="D9870" t="s">
        <v>37143</v>
      </c>
      <c r="E9870" t="s">
        <v>37144</v>
      </c>
      <c r="F9870" t="s">
        <v>1420</v>
      </c>
      <c r="G9870" t="s">
        <v>880</v>
      </c>
      <c r="H9870">
        <v>372162190</v>
      </c>
      <c r="I9870" t="s">
        <v>30</v>
      </c>
      <c r="J9870" t="s">
        <v>41</v>
      </c>
      <c r="K9870" t="s">
        <v>59</v>
      </c>
      <c r="Q9870">
        <v>0</v>
      </c>
      <c r="R9870">
        <v>65</v>
      </c>
      <c r="S9870">
        <v>65</v>
      </c>
      <c r="T9870" t="s">
        <v>37145</v>
      </c>
    </row>
    <row r="9871" spans="1:20" customFormat="1" ht="15" x14ac:dyDescent="0.25">
      <c r="A9871" t="s">
        <v>35</v>
      </c>
      <c r="B9871" t="s">
        <v>61</v>
      </c>
      <c r="C9871" t="str">
        <f>"A0133322"</f>
        <v>A0133322</v>
      </c>
      <c r="D9871" t="s">
        <v>37146</v>
      </c>
      <c r="E9871" t="s">
        <v>37147</v>
      </c>
      <c r="F9871" t="s">
        <v>37148</v>
      </c>
      <c r="G9871" t="s">
        <v>52</v>
      </c>
      <c r="H9871">
        <v>76020</v>
      </c>
      <c r="I9871" t="s">
        <v>30</v>
      </c>
      <c r="J9871" t="s">
        <v>41</v>
      </c>
      <c r="K9871" t="s">
        <v>229</v>
      </c>
      <c r="Q9871">
        <v>0</v>
      </c>
      <c r="R9871">
        <v>100</v>
      </c>
      <c r="S9871">
        <v>100</v>
      </c>
      <c r="T9871" t="s">
        <v>37149</v>
      </c>
    </row>
    <row r="9872" spans="1:20" customFormat="1" ht="15" x14ac:dyDescent="0.25">
      <c r="A9872" t="s">
        <v>35</v>
      </c>
      <c r="B9872" t="s">
        <v>106</v>
      </c>
      <c r="C9872" t="str">
        <f>"A0135679"</f>
        <v>A0135679</v>
      </c>
      <c r="D9872" t="s">
        <v>37150</v>
      </c>
      <c r="E9872" t="s">
        <v>37151</v>
      </c>
      <c r="F9872" t="s">
        <v>1439</v>
      </c>
      <c r="G9872" t="s">
        <v>110</v>
      </c>
      <c r="H9872">
        <v>92182</v>
      </c>
      <c r="I9872" t="s">
        <v>30</v>
      </c>
      <c r="J9872" t="s">
        <v>111</v>
      </c>
      <c r="K9872" t="s">
        <v>10012</v>
      </c>
      <c r="Q9872">
        <v>0</v>
      </c>
      <c r="R9872">
        <v>0</v>
      </c>
      <c r="S9872">
        <v>0</v>
      </c>
      <c r="T9872" t="s">
        <v>37152</v>
      </c>
    </row>
    <row r="9873" spans="1:20" customFormat="1" ht="15" x14ac:dyDescent="0.25">
      <c r="A9873" t="s">
        <v>35</v>
      </c>
      <c r="B9873" t="s">
        <v>106</v>
      </c>
      <c r="C9873" t="str">
        <f>"A0135677"</f>
        <v>A0135677</v>
      </c>
      <c r="D9873" t="s">
        <v>37153</v>
      </c>
      <c r="E9873" t="s">
        <v>37151</v>
      </c>
      <c r="F9873" t="s">
        <v>1439</v>
      </c>
      <c r="G9873" t="s">
        <v>110</v>
      </c>
      <c r="H9873">
        <v>92182</v>
      </c>
      <c r="I9873" t="s">
        <v>30</v>
      </c>
      <c r="J9873" t="s">
        <v>111</v>
      </c>
      <c r="K9873" t="s">
        <v>10012</v>
      </c>
      <c r="Q9873">
        <v>0</v>
      </c>
      <c r="R9873">
        <v>0</v>
      </c>
      <c r="S9873">
        <v>0</v>
      </c>
      <c r="T9873" t="s">
        <v>37152</v>
      </c>
    </row>
    <row r="9874" spans="1:20" customFormat="1" ht="15" x14ac:dyDescent="0.25">
      <c r="A9874" t="s">
        <v>35</v>
      </c>
      <c r="B9874" t="s">
        <v>106</v>
      </c>
      <c r="C9874" t="str">
        <f>"A0135686"</f>
        <v>A0135686</v>
      </c>
      <c r="D9874" t="s">
        <v>37154</v>
      </c>
      <c r="E9874" t="s">
        <v>37151</v>
      </c>
      <c r="F9874" t="s">
        <v>1439</v>
      </c>
      <c r="G9874" t="s">
        <v>110</v>
      </c>
      <c r="H9874">
        <v>921282000</v>
      </c>
      <c r="I9874" t="s">
        <v>30</v>
      </c>
      <c r="J9874" t="s">
        <v>111</v>
      </c>
      <c r="K9874" t="s">
        <v>10012</v>
      </c>
      <c r="Q9874">
        <v>0</v>
      </c>
      <c r="R9874">
        <v>0</v>
      </c>
      <c r="S9874">
        <v>0</v>
      </c>
      <c r="T9874" t="s">
        <v>37152</v>
      </c>
    </row>
    <row r="9875" spans="1:20" customFormat="1" ht="15" x14ac:dyDescent="0.25">
      <c r="A9875" t="s">
        <v>35</v>
      </c>
      <c r="B9875" t="s">
        <v>106</v>
      </c>
      <c r="C9875" t="str">
        <f>"A0135687"</f>
        <v>A0135687</v>
      </c>
      <c r="D9875" t="s">
        <v>37155</v>
      </c>
      <c r="E9875" t="s">
        <v>37156</v>
      </c>
      <c r="F9875" t="s">
        <v>1439</v>
      </c>
      <c r="G9875" t="s">
        <v>110</v>
      </c>
      <c r="H9875">
        <v>92182</v>
      </c>
      <c r="I9875" t="s">
        <v>30</v>
      </c>
      <c r="J9875" t="s">
        <v>111</v>
      </c>
      <c r="K9875" t="s">
        <v>10012</v>
      </c>
      <c r="Q9875">
        <v>0</v>
      </c>
      <c r="R9875">
        <v>0</v>
      </c>
      <c r="S9875">
        <v>0</v>
      </c>
      <c r="T9875" t="s">
        <v>37152</v>
      </c>
    </row>
    <row r="9876" spans="1:20" customFormat="1" ht="15" x14ac:dyDescent="0.25">
      <c r="A9876" t="s">
        <v>35</v>
      </c>
      <c r="B9876" t="s">
        <v>106</v>
      </c>
      <c r="C9876" t="str">
        <f>"A0135674"</f>
        <v>A0135674</v>
      </c>
      <c r="D9876" t="s">
        <v>37157</v>
      </c>
      <c r="E9876" t="s">
        <v>37151</v>
      </c>
      <c r="F9876" t="s">
        <v>1439</v>
      </c>
      <c r="G9876" t="s">
        <v>110</v>
      </c>
      <c r="H9876">
        <v>92182</v>
      </c>
      <c r="I9876" t="s">
        <v>30</v>
      </c>
      <c r="J9876" t="s">
        <v>111</v>
      </c>
      <c r="K9876" t="s">
        <v>10012</v>
      </c>
      <c r="Q9876">
        <v>0</v>
      </c>
      <c r="R9876">
        <v>0</v>
      </c>
      <c r="S9876">
        <v>0</v>
      </c>
      <c r="T9876" t="s">
        <v>37152</v>
      </c>
    </row>
    <row r="9877" spans="1:20" customFormat="1" ht="15" x14ac:dyDescent="0.25">
      <c r="A9877" t="s">
        <v>35</v>
      </c>
      <c r="B9877" t="s">
        <v>106</v>
      </c>
      <c r="C9877" t="str">
        <f>"A0135673"</f>
        <v>A0135673</v>
      </c>
      <c r="D9877" t="s">
        <v>37158</v>
      </c>
      <c r="E9877" t="s">
        <v>37151</v>
      </c>
      <c r="F9877" t="s">
        <v>1439</v>
      </c>
      <c r="G9877" t="s">
        <v>110</v>
      </c>
      <c r="H9877">
        <v>92182</v>
      </c>
      <c r="I9877" t="s">
        <v>30</v>
      </c>
      <c r="J9877" t="s">
        <v>111</v>
      </c>
      <c r="K9877" t="s">
        <v>10012</v>
      </c>
      <c r="Q9877">
        <v>0</v>
      </c>
      <c r="R9877">
        <v>0</v>
      </c>
      <c r="S9877">
        <v>0</v>
      </c>
      <c r="T9877" t="s">
        <v>37152</v>
      </c>
    </row>
    <row r="9878" spans="1:20" customFormat="1" ht="15" x14ac:dyDescent="0.25">
      <c r="A9878" t="s">
        <v>35</v>
      </c>
      <c r="B9878" t="s">
        <v>106</v>
      </c>
      <c r="C9878" t="str">
        <f>"A0135680"</f>
        <v>A0135680</v>
      </c>
      <c r="D9878" t="s">
        <v>37158</v>
      </c>
      <c r="E9878" t="s">
        <v>37151</v>
      </c>
      <c r="F9878" t="s">
        <v>1439</v>
      </c>
      <c r="G9878" t="s">
        <v>110</v>
      </c>
      <c r="H9878">
        <v>92182</v>
      </c>
      <c r="I9878" t="s">
        <v>30</v>
      </c>
      <c r="J9878" t="s">
        <v>111</v>
      </c>
      <c r="K9878" t="s">
        <v>10012</v>
      </c>
      <c r="Q9878">
        <v>0</v>
      </c>
      <c r="R9878">
        <v>0</v>
      </c>
      <c r="S9878">
        <v>0</v>
      </c>
      <c r="T9878" t="s">
        <v>37152</v>
      </c>
    </row>
    <row r="9879" spans="1:20" customFormat="1" ht="15" x14ac:dyDescent="0.25">
      <c r="A9879" t="s">
        <v>35</v>
      </c>
      <c r="B9879" t="s">
        <v>106</v>
      </c>
      <c r="C9879" t="str">
        <f>"A0135369"</f>
        <v>A0135369</v>
      </c>
      <c r="D9879" t="s">
        <v>37159</v>
      </c>
      <c r="E9879" t="s">
        <v>37160</v>
      </c>
      <c r="F9879" t="s">
        <v>390</v>
      </c>
      <c r="G9879" t="s">
        <v>110</v>
      </c>
      <c r="H9879">
        <v>920201799</v>
      </c>
      <c r="I9879" t="s">
        <v>30</v>
      </c>
      <c r="J9879" t="s">
        <v>111</v>
      </c>
      <c r="K9879" t="s">
        <v>10012</v>
      </c>
      <c r="Q9879">
        <v>0</v>
      </c>
      <c r="R9879">
        <v>0</v>
      </c>
      <c r="S9879">
        <v>0</v>
      </c>
      <c r="T9879" t="s">
        <v>37152</v>
      </c>
    </row>
    <row r="9880" spans="1:20" customFormat="1" ht="15" x14ac:dyDescent="0.25">
      <c r="A9880" t="s">
        <v>35</v>
      </c>
      <c r="B9880" t="s">
        <v>106</v>
      </c>
      <c r="C9880" t="str">
        <f>"A0135372"</f>
        <v>A0135372</v>
      </c>
      <c r="D9880" t="s">
        <v>37161</v>
      </c>
      <c r="E9880" t="s">
        <v>37156</v>
      </c>
      <c r="F9880" t="s">
        <v>390</v>
      </c>
      <c r="G9880" t="s">
        <v>110</v>
      </c>
      <c r="H9880">
        <v>920201799</v>
      </c>
      <c r="I9880" t="s">
        <v>30</v>
      </c>
      <c r="J9880" t="s">
        <v>111</v>
      </c>
      <c r="K9880" t="s">
        <v>10012</v>
      </c>
      <c r="Q9880">
        <v>0</v>
      </c>
      <c r="R9880">
        <v>0</v>
      </c>
      <c r="S9880">
        <v>0</v>
      </c>
      <c r="T9880" t="s">
        <v>37152</v>
      </c>
    </row>
    <row r="9881" spans="1:20" customFormat="1" ht="15" x14ac:dyDescent="0.25">
      <c r="A9881" t="s">
        <v>35</v>
      </c>
      <c r="B9881" t="s">
        <v>106</v>
      </c>
      <c r="C9881" t="str">
        <f>"A0135684"</f>
        <v>A0135684</v>
      </c>
      <c r="D9881" t="s">
        <v>37162</v>
      </c>
      <c r="E9881" t="s">
        <v>37163</v>
      </c>
      <c r="F9881" t="s">
        <v>1439</v>
      </c>
      <c r="G9881" t="s">
        <v>110</v>
      </c>
      <c r="H9881">
        <v>921820000</v>
      </c>
      <c r="I9881" t="s">
        <v>30</v>
      </c>
      <c r="J9881" t="s">
        <v>111</v>
      </c>
      <c r="K9881" t="s">
        <v>10012</v>
      </c>
      <c r="Q9881">
        <v>0</v>
      </c>
      <c r="R9881">
        <v>0</v>
      </c>
      <c r="S9881">
        <v>0</v>
      </c>
      <c r="T9881" t="s">
        <v>37152</v>
      </c>
    </row>
    <row r="9882" spans="1:20" customFormat="1" ht="15" x14ac:dyDescent="0.25">
      <c r="A9882" t="s">
        <v>35</v>
      </c>
      <c r="B9882" t="s">
        <v>106</v>
      </c>
      <c r="C9882" t="str">
        <f>"A0135685"</f>
        <v>A0135685</v>
      </c>
      <c r="D9882" t="s">
        <v>37164</v>
      </c>
      <c r="E9882" t="s">
        <v>37163</v>
      </c>
      <c r="F9882" t="s">
        <v>1439</v>
      </c>
      <c r="G9882" t="s">
        <v>110</v>
      </c>
      <c r="H9882">
        <v>921820000</v>
      </c>
      <c r="I9882" t="s">
        <v>30</v>
      </c>
      <c r="J9882" t="s">
        <v>111</v>
      </c>
      <c r="K9882" t="s">
        <v>10012</v>
      </c>
      <c r="Q9882">
        <v>0</v>
      </c>
      <c r="R9882">
        <v>0</v>
      </c>
      <c r="S9882">
        <v>0</v>
      </c>
      <c r="T9882" t="s">
        <v>37152</v>
      </c>
    </row>
    <row r="9883" spans="1:20" customFormat="1" ht="15" x14ac:dyDescent="0.25">
      <c r="A9883" t="s">
        <v>35</v>
      </c>
      <c r="B9883" t="s">
        <v>106</v>
      </c>
      <c r="C9883" t="str">
        <f>"A0135689"</f>
        <v>A0135689</v>
      </c>
      <c r="D9883" t="s">
        <v>37165</v>
      </c>
      <c r="E9883" t="s">
        <v>37151</v>
      </c>
      <c r="F9883" t="s">
        <v>1439</v>
      </c>
      <c r="G9883" t="s">
        <v>110</v>
      </c>
      <c r="H9883">
        <v>92182</v>
      </c>
      <c r="I9883" t="s">
        <v>30</v>
      </c>
      <c r="J9883" t="s">
        <v>111</v>
      </c>
      <c r="K9883" t="s">
        <v>10012</v>
      </c>
      <c r="Q9883">
        <v>0</v>
      </c>
      <c r="R9883">
        <v>0</v>
      </c>
      <c r="S9883">
        <v>0</v>
      </c>
      <c r="T9883" t="s">
        <v>37152</v>
      </c>
    </row>
    <row r="9884" spans="1:20" customFormat="1" ht="15" x14ac:dyDescent="0.25">
      <c r="A9884" t="s">
        <v>35</v>
      </c>
      <c r="B9884" t="s">
        <v>61</v>
      </c>
      <c r="C9884" t="str">
        <f>"A0118066"</f>
        <v>A0118066</v>
      </c>
      <c r="D9884" t="s">
        <v>37166</v>
      </c>
      <c r="E9884" t="s">
        <v>37167</v>
      </c>
      <c r="F9884" t="s">
        <v>1948</v>
      </c>
      <c r="G9884" t="s">
        <v>190</v>
      </c>
      <c r="H9884">
        <v>80227</v>
      </c>
      <c r="I9884" t="s">
        <v>30</v>
      </c>
      <c r="J9884" t="s">
        <v>41</v>
      </c>
      <c r="K9884" t="s">
        <v>229</v>
      </c>
      <c r="Q9884">
        <v>0</v>
      </c>
      <c r="R9884">
        <v>96</v>
      </c>
      <c r="S9884">
        <v>96</v>
      </c>
      <c r="T9884" t="s">
        <v>37168</v>
      </c>
    </row>
    <row r="9885" spans="1:20" customFormat="1" ht="15" x14ac:dyDescent="0.25">
      <c r="A9885" t="s">
        <v>35</v>
      </c>
      <c r="B9885" t="s">
        <v>106</v>
      </c>
      <c r="C9885" t="str">
        <f>"A0135370"</f>
        <v>A0135370</v>
      </c>
      <c r="D9885" t="s">
        <v>37169</v>
      </c>
      <c r="E9885" t="s">
        <v>37170</v>
      </c>
      <c r="F9885" t="s">
        <v>37171</v>
      </c>
      <c r="G9885" t="s">
        <v>110</v>
      </c>
      <c r="H9885">
        <v>91702</v>
      </c>
      <c r="I9885" t="s">
        <v>30</v>
      </c>
      <c r="J9885" t="s">
        <v>111</v>
      </c>
      <c r="K9885" t="s">
        <v>112</v>
      </c>
      <c r="Q9885">
        <v>0</v>
      </c>
      <c r="R9885">
        <v>0</v>
      </c>
      <c r="S9885">
        <v>0</v>
      </c>
      <c r="T9885" t="s">
        <v>37172</v>
      </c>
    </row>
    <row r="9886" spans="1:20" customFormat="1" ht="15" x14ac:dyDescent="0.25">
      <c r="A9886" t="s">
        <v>35</v>
      </c>
      <c r="B9886" t="s">
        <v>437</v>
      </c>
      <c r="C9886" t="str">
        <f>"A0133931"</f>
        <v>A0133931</v>
      </c>
      <c r="D9886" t="s">
        <v>37173</v>
      </c>
      <c r="E9886" t="s">
        <v>37174</v>
      </c>
      <c r="F9886" t="s">
        <v>17375</v>
      </c>
      <c r="G9886" t="s">
        <v>40</v>
      </c>
      <c r="H9886">
        <v>74011</v>
      </c>
      <c r="I9886" t="s">
        <v>30</v>
      </c>
      <c r="J9886" t="s">
        <v>441</v>
      </c>
      <c r="K9886" t="s">
        <v>442</v>
      </c>
      <c r="Q9886">
        <v>0</v>
      </c>
      <c r="R9886">
        <v>0</v>
      </c>
      <c r="S9886">
        <v>0</v>
      </c>
      <c r="T9886" t="s">
        <v>37175</v>
      </c>
    </row>
    <row r="9887" spans="1:20" customFormat="1" ht="15" x14ac:dyDescent="0.25">
      <c r="A9887" t="s">
        <v>35</v>
      </c>
      <c r="B9887" t="s">
        <v>61</v>
      </c>
      <c r="C9887" t="str">
        <f>"A0118537"</f>
        <v>A0118537</v>
      </c>
      <c r="D9887" t="s">
        <v>37176</v>
      </c>
      <c r="E9887" t="s">
        <v>37177</v>
      </c>
      <c r="F9887" t="s">
        <v>8081</v>
      </c>
      <c r="G9887" t="s">
        <v>110</v>
      </c>
      <c r="H9887">
        <v>941020000</v>
      </c>
      <c r="I9887" t="s">
        <v>30</v>
      </c>
      <c r="J9887" t="s">
        <v>41</v>
      </c>
      <c r="K9887" t="s">
        <v>229</v>
      </c>
      <c r="Q9887">
        <v>0</v>
      </c>
      <c r="R9887">
        <v>1</v>
      </c>
      <c r="S9887">
        <v>1</v>
      </c>
      <c r="T9887" t="s">
        <v>37178</v>
      </c>
    </row>
    <row r="9888" spans="1:20" customFormat="1" ht="15" x14ac:dyDescent="0.25">
      <c r="A9888" t="s">
        <v>35</v>
      </c>
      <c r="B9888" t="s">
        <v>61</v>
      </c>
      <c r="C9888" t="str">
        <f>"A0121882"</f>
        <v>A0121882</v>
      </c>
      <c r="D9888" t="s">
        <v>37179</v>
      </c>
      <c r="E9888" t="s">
        <v>37180</v>
      </c>
      <c r="F9888" t="s">
        <v>1795</v>
      </c>
      <c r="G9888" t="s">
        <v>110</v>
      </c>
      <c r="H9888">
        <v>94806</v>
      </c>
      <c r="I9888" t="s">
        <v>30</v>
      </c>
      <c r="J9888" t="s">
        <v>41</v>
      </c>
      <c r="K9888" t="s">
        <v>4020</v>
      </c>
      <c r="Q9888">
        <v>0</v>
      </c>
      <c r="R9888">
        <v>0</v>
      </c>
      <c r="S9888">
        <v>0</v>
      </c>
      <c r="T9888" t="s">
        <v>37181</v>
      </c>
    </row>
    <row r="9889" spans="1:20" customFormat="1" ht="15" x14ac:dyDescent="0.25">
      <c r="A9889" t="s">
        <v>35</v>
      </c>
      <c r="B9889" t="s">
        <v>61</v>
      </c>
      <c r="C9889" t="str">
        <f>"A0130911"</f>
        <v>A0130911</v>
      </c>
      <c r="D9889" t="s">
        <v>37182</v>
      </c>
      <c r="E9889" t="s">
        <v>37183</v>
      </c>
      <c r="F9889" t="s">
        <v>37184</v>
      </c>
      <c r="G9889" t="s">
        <v>137</v>
      </c>
      <c r="H9889">
        <v>630200000</v>
      </c>
      <c r="I9889" t="s">
        <v>30</v>
      </c>
      <c r="J9889" t="s">
        <v>41</v>
      </c>
      <c r="K9889" t="s">
        <v>229</v>
      </c>
      <c r="Q9889">
        <v>0</v>
      </c>
      <c r="R9889">
        <v>79</v>
      </c>
      <c r="S9889">
        <v>79</v>
      </c>
      <c r="T9889" t="s">
        <v>37185</v>
      </c>
    </row>
    <row r="9890" spans="1:20" customFormat="1" ht="15" x14ac:dyDescent="0.25">
      <c r="A9890" t="s">
        <v>35</v>
      </c>
      <c r="B9890" t="s">
        <v>437</v>
      </c>
      <c r="C9890" t="str">
        <f>"A0133881"</f>
        <v>A0133881</v>
      </c>
      <c r="D9890" t="s">
        <v>37186</v>
      </c>
      <c r="E9890" t="s">
        <v>37187</v>
      </c>
      <c r="F9890" t="s">
        <v>20829</v>
      </c>
      <c r="G9890" t="s">
        <v>110</v>
      </c>
      <c r="H9890">
        <v>908070000</v>
      </c>
      <c r="I9890" t="s">
        <v>30</v>
      </c>
      <c r="J9890" t="s">
        <v>441</v>
      </c>
      <c r="K9890" t="s">
        <v>442</v>
      </c>
      <c r="Q9890">
        <v>0</v>
      </c>
      <c r="R9890">
        <v>0</v>
      </c>
      <c r="S9890">
        <v>0</v>
      </c>
      <c r="T9890" t="s">
        <v>37188</v>
      </c>
    </row>
    <row r="9891" spans="1:20" customFormat="1" ht="15" x14ac:dyDescent="0.25">
      <c r="A9891" t="s">
        <v>35</v>
      </c>
      <c r="B9891" t="s">
        <v>106</v>
      </c>
      <c r="C9891" t="str">
        <f>"A0136535"</f>
        <v>A0136535</v>
      </c>
      <c r="D9891" t="s">
        <v>37189</v>
      </c>
      <c r="E9891" t="s">
        <v>37190</v>
      </c>
      <c r="F9891" t="s">
        <v>37191</v>
      </c>
      <c r="G9891" t="s">
        <v>925</v>
      </c>
      <c r="H9891">
        <v>66006</v>
      </c>
      <c r="I9891" t="s">
        <v>30</v>
      </c>
      <c r="J9891" t="s">
        <v>111</v>
      </c>
      <c r="K9891" t="s">
        <v>112</v>
      </c>
      <c r="Q9891">
        <v>0</v>
      </c>
      <c r="R9891">
        <v>0</v>
      </c>
      <c r="S9891">
        <v>0</v>
      </c>
      <c r="T9891" t="s">
        <v>37192</v>
      </c>
    </row>
    <row r="9892" spans="1:20" customFormat="1" ht="15" x14ac:dyDescent="0.25">
      <c r="A9892" t="s">
        <v>35</v>
      </c>
      <c r="B9892" t="s">
        <v>106</v>
      </c>
      <c r="C9892" t="str">
        <f>"A0135476"</f>
        <v>A0135476</v>
      </c>
      <c r="D9892" t="s">
        <v>37193</v>
      </c>
      <c r="E9892" t="s">
        <v>37194</v>
      </c>
      <c r="F9892" t="s">
        <v>4777</v>
      </c>
      <c r="G9892" t="s">
        <v>110</v>
      </c>
      <c r="H9892">
        <v>933050000</v>
      </c>
      <c r="I9892" t="s">
        <v>30</v>
      </c>
      <c r="J9892" t="s">
        <v>111</v>
      </c>
      <c r="K9892" t="s">
        <v>10012</v>
      </c>
      <c r="Q9892">
        <v>0</v>
      </c>
      <c r="R9892">
        <v>0</v>
      </c>
      <c r="S9892">
        <v>0</v>
      </c>
      <c r="T9892" t="s">
        <v>37195</v>
      </c>
    </row>
    <row r="9893" spans="1:20" customFormat="1" ht="15" x14ac:dyDescent="0.25">
      <c r="A9893" t="s">
        <v>35</v>
      </c>
      <c r="B9893" t="s">
        <v>61</v>
      </c>
      <c r="C9893" t="str">
        <f>"A0126711"</f>
        <v>A0126711</v>
      </c>
      <c r="D9893" t="s">
        <v>37196</v>
      </c>
      <c r="E9893" t="s">
        <v>37197</v>
      </c>
      <c r="F9893" t="s">
        <v>4629</v>
      </c>
      <c r="G9893" t="s">
        <v>103</v>
      </c>
      <c r="H9893">
        <v>19131</v>
      </c>
      <c r="I9893" t="s">
        <v>30</v>
      </c>
      <c r="J9893" t="s">
        <v>41</v>
      </c>
      <c r="K9893" t="s">
        <v>229</v>
      </c>
      <c r="Q9893">
        <v>0</v>
      </c>
      <c r="R9893">
        <v>180</v>
      </c>
      <c r="S9893">
        <v>180</v>
      </c>
      <c r="T9893" t="s">
        <v>37198</v>
      </c>
    </row>
    <row r="9894" spans="1:20" customFormat="1" ht="15" x14ac:dyDescent="0.25">
      <c r="A9894" t="s">
        <v>35</v>
      </c>
      <c r="B9894" t="s">
        <v>61</v>
      </c>
      <c r="C9894" t="str">
        <f>"A0118369"</f>
        <v>A0118369</v>
      </c>
      <c r="D9894" t="s">
        <v>37199</v>
      </c>
      <c r="E9894" t="s">
        <v>37200</v>
      </c>
      <c r="F9894" t="s">
        <v>14680</v>
      </c>
      <c r="G9894" t="s">
        <v>110</v>
      </c>
      <c r="H9894">
        <v>95240</v>
      </c>
      <c r="I9894" t="s">
        <v>30</v>
      </c>
      <c r="J9894" t="s">
        <v>41</v>
      </c>
      <c r="K9894" t="s">
        <v>59</v>
      </c>
      <c r="Q9894">
        <v>0</v>
      </c>
      <c r="R9894">
        <v>73</v>
      </c>
      <c r="S9894">
        <v>73</v>
      </c>
      <c r="T9894" t="s">
        <v>37201</v>
      </c>
    </row>
    <row r="9895" spans="1:20" customFormat="1" ht="15" x14ac:dyDescent="0.25">
      <c r="A9895" t="s">
        <v>35</v>
      </c>
      <c r="B9895" t="s">
        <v>61</v>
      </c>
      <c r="C9895" t="str">
        <f>"A0123622"</f>
        <v>A0123622</v>
      </c>
      <c r="D9895" t="s">
        <v>37202</v>
      </c>
      <c r="E9895" t="s">
        <v>37203</v>
      </c>
      <c r="F9895" t="s">
        <v>37204</v>
      </c>
      <c r="G9895" t="s">
        <v>29</v>
      </c>
      <c r="H9895">
        <v>24401</v>
      </c>
      <c r="I9895" t="s">
        <v>30</v>
      </c>
      <c r="J9895" t="s">
        <v>41</v>
      </c>
      <c r="K9895" t="s">
        <v>229</v>
      </c>
      <c r="Q9895">
        <v>0</v>
      </c>
      <c r="R9895">
        <v>93</v>
      </c>
      <c r="S9895">
        <v>93</v>
      </c>
      <c r="T9895" t="s">
        <v>37205</v>
      </c>
    </row>
    <row r="9896" spans="1:20" customFormat="1" ht="15" x14ac:dyDescent="0.25">
      <c r="A9896" t="s">
        <v>35</v>
      </c>
      <c r="B9896" t="s">
        <v>106</v>
      </c>
      <c r="C9896" t="str">
        <f>"A0136249"</f>
        <v>A0136249</v>
      </c>
      <c r="D9896" t="s">
        <v>37206</v>
      </c>
      <c r="E9896" t="s">
        <v>37207</v>
      </c>
      <c r="F9896" t="s">
        <v>17093</v>
      </c>
      <c r="G9896" t="s">
        <v>381</v>
      </c>
      <c r="H9896">
        <v>47306</v>
      </c>
      <c r="I9896" t="s">
        <v>30</v>
      </c>
      <c r="J9896" t="s">
        <v>111</v>
      </c>
      <c r="K9896" t="s">
        <v>10012</v>
      </c>
      <c r="Q9896">
        <v>0</v>
      </c>
      <c r="R9896">
        <v>0</v>
      </c>
      <c r="S9896">
        <v>0</v>
      </c>
    </row>
    <row r="9897" spans="1:20" customFormat="1" ht="15" x14ac:dyDescent="0.25">
      <c r="A9897" t="s">
        <v>35</v>
      </c>
      <c r="B9897" t="s">
        <v>106</v>
      </c>
      <c r="C9897" t="str">
        <f>"A0136254"</f>
        <v>A0136254</v>
      </c>
      <c r="D9897" t="s">
        <v>37208</v>
      </c>
      <c r="E9897" t="s">
        <v>37207</v>
      </c>
      <c r="F9897" t="s">
        <v>17093</v>
      </c>
      <c r="G9897" t="s">
        <v>381</v>
      </c>
      <c r="H9897">
        <v>47306</v>
      </c>
      <c r="I9897" t="s">
        <v>30</v>
      </c>
      <c r="J9897" t="s">
        <v>111</v>
      </c>
      <c r="K9897" t="s">
        <v>112</v>
      </c>
      <c r="Q9897">
        <v>0</v>
      </c>
      <c r="R9897">
        <v>0</v>
      </c>
      <c r="S9897">
        <v>0</v>
      </c>
      <c r="T9897" t="s">
        <v>37209</v>
      </c>
    </row>
    <row r="9898" spans="1:20" customFormat="1" ht="15" x14ac:dyDescent="0.25">
      <c r="A9898" t="s">
        <v>35</v>
      </c>
      <c r="B9898" t="s">
        <v>106</v>
      </c>
      <c r="C9898" t="str">
        <f>"A0136239"</f>
        <v>A0136239</v>
      </c>
      <c r="D9898" t="s">
        <v>37210</v>
      </c>
      <c r="E9898" t="s">
        <v>37207</v>
      </c>
      <c r="F9898" t="s">
        <v>17093</v>
      </c>
      <c r="G9898" t="s">
        <v>381</v>
      </c>
      <c r="H9898">
        <v>47306</v>
      </c>
      <c r="I9898" t="s">
        <v>30</v>
      </c>
      <c r="J9898" t="s">
        <v>111</v>
      </c>
      <c r="K9898" t="s">
        <v>10012</v>
      </c>
      <c r="Q9898">
        <v>0</v>
      </c>
      <c r="R9898">
        <v>0</v>
      </c>
      <c r="S9898">
        <v>0</v>
      </c>
      <c r="T9898" t="s">
        <v>37209</v>
      </c>
    </row>
    <row r="9899" spans="1:20" customFormat="1" ht="15" x14ac:dyDescent="0.25">
      <c r="A9899" t="s">
        <v>35</v>
      </c>
      <c r="B9899" t="s">
        <v>106</v>
      </c>
      <c r="C9899" t="str">
        <f>"A0136252"</f>
        <v>A0136252</v>
      </c>
      <c r="D9899" t="s">
        <v>37211</v>
      </c>
      <c r="E9899" t="s">
        <v>37207</v>
      </c>
      <c r="F9899" t="s">
        <v>17093</v>
      </c>
      <c r="G9899" t="s">
        <v>381</v>
      </c>
      <c r="H9899">
        <v>47306</v>
      </c>
      <c r="I9899" t="s">
        <v>30</v>
      </c>
      <c r="J9899" t="s">
        <v>111</v>
      </c>
      <c r="K9899" t="s">
        <v>10012</v>
      </c>
      <c r="Q9899">
        <v>0</v>
      </c>
      <c r="R9899">
        <v>0</v>
      </c>
      <c r="S9899">
        <v>0</v>
      </c>
      <c r="T9899" t="s">
        <v>37209</v>
      </c>
    </row>
    <row r="9900" spans="1:20" customFormat="1" ht="15" x14ac:dyDescent="0.25">
      <c r="A9900" t="s">
        <v>35</v>
      </c>
      <c r="B9900" t="s">
        <v>106</v>
      </c>
      <c r="C9900" t="str">
        <f>"A0136250"</f>
        <v>A0136250</v>
      </c>
      <c r="D9900" t="s">
        <v>37212</v>
      </c>
      <c r="E9900" t="s">
        <v>37207</v>
      </c>
      <c r="F9900" t="s">
        <v>17093</v>
      </c>
      <c r="G9900" t="s">
        <v>381</v>
      </c>
      <c r="H9900">
        <v>47306</v>
      </c>
      <c r="I9900" t="s">
        <v>30</v>
      </c>
      <c r="J9900" t="s">
        <v>111</v>
      </c>
      <c r="K9900" t="s">
        <v>10012</v>
      </c>
      <c r="Q9900">
        <v>0</v>
      </c>
      <c r="R9900">
        <v>0</v>
      </c>
      <c r="S9900">
        <v>0</v>
      </c>
      <c r="T9900" t="s">
        <v>37209</v>
      </c>
    </row>
    <row r="9901" spans="1:20" customFormat="1" ht="15" x14ac:dyDescent="0.25">
      <c r="A9901" t="s">
        <v>35</v>
      </c>
      <c r="B9901" t="s">
        <v>106</v>
      </c>
      <c r="C9901" t="str">
        <f>"A0136246"</f>
        <v>A0136246</v>
      </c>
      <c r="D9901" t="s">
        <v>37213</v>
      </c>
      <c r="E9901" t="s">
        <v>37207</v>
      </c>
      <c r="F9901" t="s">
        <v>17093</v>
      </c>
      <c r="G9901" t="s">
        <v>381</v>
      </c>
      <c r="H9901">
        <v>47306</v>
      </c>
      <c r="I9901" t="s">
        <v>30</v>
      </c>
      <c r="J9901" t="s">
        <v>111</v>
      </c>
      <c r="K9901" t="s">
        <v>10012</v>
      </c>
      <c r="Q9901">
        <v>0</v>
      </c>
      <c r="R9901">
        <v>0</v>
      </c>
      <c r="S9901">
        <v>0</v>
      </c>
      <c r="T9901" t="s">
        <v>37209</v>
      </c>
    </row>
    <row r="9902" spans="1:20" customFormat="1" ht="15" x14ac:dyDescent="0.25">
      <c r="A9902" t="s">
        <v>35</v>
      </c>
      <c r="B9902" t="s">
        <v>106</v>
      </c>
      <c r="C9902" t="str">
        <f>"A0136241"</f>
        <v>A0136241</v>
      </c>
      <c r="D9902" t="s">
        <v>37214</v>
      </c>
      <c r="E9902" t="s">
        <v>37207</v>
      </c>
      <c r="F9902" t="s">
        <v>17093</v>
      </c>
      <c r="G9902" t="s">
        <v>381</v>
      </c>
      <c r="H9902">
        <v>47306</v>
      </c>
      <c r="I9902" t="s">
        <v>30</v>
      </c>
      <c r="J9902" t="s">
        <v>111</v>
      </c>
      <c r="K9902" t="s">
        <v>10012</v>
      </c>
      <c r="Q9902">
        <v>0</v>
      </c>
      <c r="R9902">
        <v>0</v>
      </c>
      <c r="S9902">
        <v>0</v>
      </c>
      <c r="T9902" t="s">
        <v>37209</v>
      </c>
    </row>
    <row r="9903" spans="1:20" customFormat="1" ht="15" x14ac:dyDescent="0.25">
      <c r="A9903" t="s">
        <v>35</v>
      </c>
      <c r="B9903" t="s">
        <v>106</v>
      </c>
      <c r="C9903" t="str">
        <f>"A0136242"</f>
        <v>A0136242</v>
      </c>
      <c r="D9903" t="s">
        <v>37215</v>
      </c>
      <c r="E9903" t="s">
        <v>37207</v>
      </c>
      <c r="F9903" t="s">
        <v>17093</v>
      </c>
      <c r="G9903" t="s">
        <v>381</v>
      </c>
      <c r="H9903">
        <v>47306</v>
      </c>
      <c r="I9903" t="s">
        <v>30</v>
      </c>
      <c r="J9903" t="s">
        <v>111</v>
      </c>
      <c r="K9903" t="s">
        <v>10012</v>
      </c>
      <c r="Q9903">
        <v>0</v>
      </c>
      <c r="R9903">
        <v>0</v>
      </c>
      <c r="S9903">
        <v>0</v>
      </c>
      <c r="T9903" t="s">
        <v>37209</v>
      </c>
    </row>
    <row r="9904" spans="1:20" customFormat="1" ht="15" x14ac:dyDescent="0.25">
      <c r="A9904" t="s">
        <v>35</v>
      </c>
      <c r="B9904" t="s">
        <v>106</v>
      </c>
      <c r="C9904" t="str">
        <f>"A0136245"</f>
        <v>A0136245</v>
      </c>
      <c r="D9904" t="s">
        <v>37216</v>
      </c>
      <c r="E9904" t="s">
        <v>37207</v>
      </c>
      <c r="F9904" t="s">
        <v>17093</v>
      </c>
      <c r="G9904" t="s">
        <v>381</v>
      </c>
      <c r="H9904">
        <v>47306</v>
      </c>
      <c r="I9904" t="s">
        <v>30</v>
      </c>
      <c r="J9904" t="s">
        <v>111</v>
      </c>
      <c r="K9904" t="s">
        <v>10012</v>
      </c>
      <c r="Q9904">
        <v>0</v>
      </c>
      <c r="R9904">
        <v>0</v>
      </c>
      <c r="S9904">
        <v>0</v>
      </c>
      <c r="T9904" t="s">
        <v>37217</v>
      </c>
    </row>
    <row r="9905" spans="1:20" customFormat="1" ht="15" x14ac:dyDescent="0.25">
      <c r="A9905" t="s">
        <v>35</v>
      </c>
      <c r="B9905" t="s">
        <v>106</v>
      </c>
      <c r="C9905" t="str">
        <f>"A0136243"</f>
        <v>A0136243</v>
      </c>
      <c r="D9905" t="s">
        <v>37218</v>
      </c>
      <c r="E9905" t="s">
        <v>37207</v>
      </c>
      <c r="F9905" t="s">
        <v>17093</v>
      </c>
      <c r="G9905" t="s">
        <v>381</v>
      </c>
      <c r="H9905">
        <v>47306</v>
      </c>
      <c r="I9905" t="s">
        <v>30</v>
      </c>
      <c r="J9905" t="s">
        <v>111</v>
      </c>
      <c r="K9905" t="s">
        <v>10012</v>
      </c>
      <c r="Q9905">
        <v>0</v>
      </c>
      <c r="R9905">
        <v>0</v>
      </c>
      <c r="S9905">
        <v>0</v>
      </c>
      <c r="T9905" t="s">
        <v>37209</v>
      </c>
    </row>
    <row r="9906" spans="1:20" customFormat="1" ht="15" x14ac:dyDescent="0.25">
      <c r="A9906" t="s">
        <v>35</v>
      </c>
      <c r="B9906" t="s">
        <v>106</v>
      </c>
      <c r="C9906" t="str">
        <f>"A0136244"</f>
        <v>A0136244</v>
      </c>
      <c r="D9906" t="s">
        <v>37219</v>
      </c>
      <c r="E9906" t="s">
        <v>37207</v>
      </c>
      <c r="F9906" t="s">
        <v>17093</v>
      </c>
      <c r="G9906" t="s">
        <v>381</v>
      </c>
      <c r="H9906">
        <v>47306</v>
      </c>
      <c r="I9906" t="s">
        <v>30</v>
      </c>
      <c r="J9906" t="s">
        <v>111</v>
      </c>
      <c r="K9906" t="s">
        <v>10012</v>
      </c>
      <c r="Q9906">
        <v>0</v>
      </c>
      <c r="R9906">
        <v>0</v>
      </c>
      <c r="S9906">
        <v>0</v>
      </c>
      <c r="T9906" t="s">
        <v>37209</v>
      </c>
    </row>
    <row r="9907" spans="1:20" customFormat="1" ht="15" x14ac:dyDescent="0.25">
      <c r="A9907" t="s">
        <v>35</v>
      </c>
      <c r="B9907" t="s">
        <v>106</v>
      </c>
      <c r="C9907" t="str">
        <f>"A0136256"</f>
        <v>A0136256</v>
      </c>
      <c r="D9907" t="s">
        <v>37220</v>
      </c>
      <c r="E9907" t="s">
        <v>37207</v>
      </c>
      <c r="F9907" t="s">
        <v>17093</v>
      </c>
      <c r="G9907" t="s">
        <v>381</v>
      </c>
      <c r="H9907">
        <v>47606</v>
      </c>
      <c r="I9907" t="s">
        <v>30</v>
      </c>
      <c r="J9907" t="s">
        <v>111</v>
      </c>
      <c r="K9907" t="s">
        <v>112</v>
      </c>
      <c r="Q9907">
        <v>0</v>
      </c>
      <c r="R9907">
        <v>0</v>
      </c>
      <c r="S9907">
        <v>0</v>
      </c>
      <c r="T9907" t="s">
        <v>37221</v>
      </c>
    </row>
    <row r="9908" spans="1:20" customFormat="1" ht="15" x14ac:dyDescent="0.25">
      <c r="A9908" t="s">
        <v>35</v>
      </c>
      <c r="B9908" t="s">
        <v>106</v>
      </c>
      <c r="C9908" t="str">
        <f>"A0136247"</f>
        <v>A0136247</v>
      </c>
      <c r="D9908" t="s">
        <v>37222</v>
      </c>
      <c r="E9908" t="s">
        <v>37207</v>
      </c>
      <c r="F9908" t="s">
        <v>17093</v>
      </c>
      <c r="G9908" t="s">
        <v>381</v>
      </c>
      <c r="H9908">
        <v>47306</v>
      </c>
      <c r="I9908" t="s">
        <v>30</v>
      </c>
      <c r="J9908" t="s">
        <v>111</v>
      </c>
      <c r="K9908" t="s">
        <v>10012</v>
      </c>
      <c r="Q9908">
        <v>0</v>
      </c>
      <c r="R9908">
        <v>0</v>
      </c>
      <c r="S9908">
        <v>0</v>
      </c>
      <c r="T9908" t="s">
        <v>37209</v>
      </c>
    </row>
    <row r="9909" spans="1:20" customFormat="1" ht="15" x14ac:dyDescent="0.25">
      <c r="A9909" t="s">
        <v>35</v>
      </c>
      <c r="B9909" t="s">
        <v>106</v>
      </c>
      <c r="C9909" t="str">
        <f>"A0136251"</f>
        <v>A0136251</v>
      </c>
      <c r="D9909" t="s">
        <v>37223</v>
      </c>
      <c r="E9909" t="s">
        <v>37207</v>
      </c>
      <c r="F9909" t="s">
        <v>17093</v>
      </c>
      <c r="G9909" t="s">
        <v>381</v>
      </c>
      <c r="H9909">
        <v>47306</v>
      </c>
      <c r="I9909" t="s">
        <v>30</v>
      </c>
      <c r="J9909" t="s">
        <v>111</v>
      </c>
      <c r="K9909" t="s">
        <v>10012</v>
      </c>
      <c r="Q9909">
        <v>0</v>
      </c>
      <c r="R9909">
        <v>0</v>
      </c>
      <c r="S9909">
        <v>0</v>
      </c>
      <c r="T9909" t="s">
        <v>37209</v>
      </c>
    </row>
    <row r="9910" spans="1:20" customFormat="1" ht="15" x14ac:dyDescent="0.25">
      <c r="A9910" t="s">
        <v>35</v>
      </c>
      <c r="B9910" t="s">
        <v>106</v>
      </c>
      <c r="C9910" t="str">
        <f>"A0136253"</f>
        <v>A0136253</v>
      </c>
      <c r="D9910" t="s">
        <v>37224</v>
      </c>
      <c r="E9910" t="s">
        <v>37207</v>
      </c>
      <c r="F9910" t="s">
        <v>17093</v>
      </c>
      <c r="G9910" t="s">
        <v>381</v>
      </c>
      <c r="H9910">
        <v>47306</v>
      </c>
      <c r="I9910" t="s">
        <v>30</v>
      </c>
      <c r="J9910" t="s">
        <v>111</v>
      </c>
      <c r="K9910" t="s">
        <v>112</v>
      </c>
      <c r="Q9910">
        <v>0</v>
      </c>
      <c r="R9910">
        <v>0</v>
      </c>
      <c r="S9910">
        <v>0</v>
      </c>
      <c r="T9910" t="s">
        <v>37209</v>
      </c>
    </row>
    <row r="9911" spans="1:20" customFormat="1" ht="15" x14ac:dyDescent="0.25">
      <c r="A9911" t="s">
        <v>35</v>
      </c>
      <c r="B9911" t="s">
        <v>106</v>
      </c>
      <c r="C9911" t="str">
        <f>"A0136255"</f>
        <v>A0136255</v>
      </c>
      <c r="D9911" t="s">
        <v>37225</v>
      </c>
      <c r="E9911" t="s">
        <v>37207</v>
      </c>
      <c r="F9911" t="s">
        <v>17093</v>
      </c>
      <c r="G9911" t="s">
        <v>381</v>
      </c>
      <c r="H9911">
        <v>47306</v>
      </c>
      <c r="I9911" t="s">
        <v>30</v>
      </c>
      <c r="J9911" t="s">
        <v>111</v>
      </c>
      <c r="K9911" t="s">
        <v>112</v>
      </c>
      <c r="Q9911">
        <v>0</v>
      </c>
      <c r="R9911">
        <v>0</v>
      </c>
      <c r="S9911">
        <v>0</v>
      </c>
      <c r="T9911" t="s">
        <v>37209</v>
      </c>
    </row>
    <row r="9912" spans="1:20" customFormat="1" ht="15" x14ac:dyDescent="0.25">
      <c r="A9912" t="s">
        <v>35</v>
      </c>
      <c r="B9912" t="s">
        <v>106</v>
      </c>
      <c r="C9912" t="str">
        <f>"A0136240"</f>
        <v>A0136240</v>
      </c>
      <c r="D9912" t="s">
        <v>37226</v>
      </c>
      <c r="E9912" t="s">
        <v>37207</v>
      </c>
      <c r="F9912" t="s">
        <v>17093</v>
      </c>
      <c r="G9912" t="s">
        <v>381</v>
      </c>
      <c r="H9912">
        <v>47306</v>
      </c>
      <c r="I9912" t="s">
        <v>30</v>
      </c>
      <c r="J9912" t="s">
        <v>111</v>
      </c>
      <c r="K9912" t="s">
        <v>10012</v>
      </c>
      <c r="Q9912">
        <v>0</v>
      </c>
      <c r="R9912">
        <v>0</v>
      </c>
      <c r="S9912">
        <v>0</v>
      </c>
      <c r="T9912" t="s">
        <v>37209</v>
      </c>
    </row>
    <row r="9913" spans="1:20" customFormat="1" ht="15" x14ac:dyDescent="0.25">
      <c r="A9913" t="s">
        <v>35</v>
      </c>
      <c r="B9913" t="s">
        <v>106</v>
      </c>
      <c r="C9913" t="str">
        <f>"A0136248"</f>
        <v>A0136248</v>
      </c>
      <c r="D9913" t="s">
        <v>37227</v>
      </c>
      <c r="E9913" t="s">
        <v>37207</v>
      </c>
      <c r="F9913" t="s">
        <v>17093</v>
      </c>
      <c r="G9913" t="s">
        <v>381</v>
      </c>
      <c r="H9913">
        <v>47306</v>
      </c>
      <c r="I9913" t="s">
        <v>30</v>
      </c>
      <c r="J9913" t="s">
        <v>111</v>
      </c>
      <c r="K9913" t="s">
        <v>10012</v>
      </c>
      <c r="Q9913">
        <v>0</v>
      </c>
      <c r="R9913">
        <v>0</v>
      </c>
      <c r="S9913">
        <v>0</v>
      </c>
      <c r="T9913" t="s">
        <v>37209</v>
      </c>
    </row>
    <row r="9914" spans="1:20" customFormat="1" ht="15" x14ac:dyDescent="0.25">
      <c r="A9914" t="s">
        <v>35</v>
      </c>
      <c r="B9914" t="s">
        <v>61</v>
      </c>
      <c r="C9914" t="str">
        <f>"A0118544"</f>
        <v>A0118544</v>
      </c>
      <c r="D9914" t="s">
        <v>37228</v>
      </c>
      <c r="E9914" t="s">
        <v>37229</v>
      </c>
      <c r="F9914" t="s">
        <v>37230</v>
      </c>
      <c r="G9914" t="s">
        <v>110</v>
      </c>
      <c r="H9914">
        <v>94546</v>
      </c>
      <c r="I9914" t="s">
        <v>30</v>
      </c>
      <c r="J9914" t="s">
        <v>41</v>
      </c>
      <c r="K9914" t="s">
        <v>229</v>
      </c>
      <c r="Q9914">
        <v>0</v>
      </c>
      <c r="R9914">
        <v>39</v>
      </c>
      <c r="S9914">
        <v>39</v>
      </c>
      <c r="T9914" t="s">
        <v>37231</v>
      </c>
    </row>
    <row r="9915" spans="1:20" customFormat="1" ht="15" x14ac:dyDescent="0.25">
      <c r="A9915" t="s">
        <v>35</v>
      </c>
      <c r="B9915" t="s">
        <v>61</v>
      </c>
      <c r="C9915" t="str">
        <f>"A0130978"</f>
        <v>A0130978</v>
      </c>
      <c r="D9915" t="s">
        <v>37232</v>
      </c>
      <c r="E9915" t="s">
        <v>37233</v>
      </c>
      <c r="F9915" t="s">
        <v>37234</v>
      </c>
      <c r="G9915" t="s">
        <v>85</v>
      </c>
      <c r="H9915">
        <v>72104</v>
      </c>
      <c r="I9915" t="s">
        <v>30</v>
      </c>
      <c r="J9915" t="s">
        <v>41</v>
      </c>
      <c r="K9915" t="s">
        <v>4020</v>
      </c>
      <c r="Q9915">
        <v>0</v>
      </c>
      <c r="R9915">
        <v>72</v>
      </c>
      <c r="S9915">
        <v>72</v>
      </c>
      <c r="T9915" t="s">
        <v>37235</v>
      </c>
    </row>
    <row r="9916" spans="1:20" customFormat="1" ht="15" x14ac:dyDescent="0.25">
      <c r="A9916" t="s">
        <v>35</v>
      </c>
      <c r="B9916" t="s">
        <v>61</v>
      </c>
      <c r="C9916" t="str">
        <f>"A0123623"</f>
        <v>A0123623</v>
      </c>
      <c r="D9916" t="s">
        <v>37236</v>
      </c>
      <c r="E9916" t="s">
        <v>37237</v>
      </c>
      <c r="F9916" t="s">
        <v>839</v>
      </c>
      <c r="G9916" t="s">
        <v>840</v>
      </c>
      <c r="H9916">
        <v>40241</v>
      </c>
      <c r="I9916" t="s">
        <v>30</v>
      </c>
      <c r="J9916" t="s">
        <v>41</v>
      </c>
      <c r="K9916" t="s">
        <v>59</v>
      </c>
      <c r="Q9916">
        <v>0</v>
      </c>
      <c r="R9916">
        <v>269</v>
      </c>
      <c r="S9916">
        <v>269</v>
      </c>
      <c r="T9916" t="s">
        <v>37238</v>
      </c>
    </row>
    <row r="9917" spans="1:20" customFormat="1" ht="15" x14ac:dyDescent="0.25">
      <c r="A9917" t="s">
        <v>35</v>
      </c>
      <c r="B9917" t="s">
        <v>61</v>
      </c>
      <c r="C9917" t="str">
        <f>"A0127264"</f>
        <v>A0127264</v>
      </c>
      <c r="D9917" t="s">
        <v>37239</v>
      </c>
      <c r="E9917" t="s">
        <v>37240</v>
      </c>
      <c r="F9917" t="s">
        <v>37241</v>
      </c>
      <c r="G9917" t="s">
        <v>846</v>
      </c>
      <c r="H9917">
        <v>31503</v>
      </c>
      <c r="I9917" t="s">
        <v>30</v>
      </c>
      <c r="J9917" t="s">
        <v>41</v>
      </c>
      <c r="K9917" t="s">
        <v>229</v>
      </c>
      <c r="Q9917">
        <v>0</v>
      </c>
      <c r="R9917">
        <v>254</v>
      </c>
      <c r="S9917">
        <v>254</v>
      </c>
      <c r="T9917" t="s">
        <v>37242</v>
      </c>
    </row>
    <row r="9918" spans="1:20" customFormat="1" ht="15" x14ac:dyDescent="0.25">
      <c r="A9918" t="s">
        <v>35</v>
      </c>
      <c r="B9918" t="s">
        <v>61</v>
      </c>
      <c r="C9918" t="str">
        <f>"A0123165"</f>
        <v>A0123165</v>
      </c>
      <c r="D9918" t="s">
        <v>37243</v>
      </c>
      <c r="E9918" t="s">
        <v>37244</v>
      </c>
      <c r="F9918" t="s">
        <v>37245</v>
      </c>
      <c r="G9918" t="s">
        <v>29</v>
      </c>
      <c r="H9918">
        <v>23236</v>
      </c>
      <c r="I9918" t="s">
        <v>30</v>
      </c>
      <c r="J9918" t="s">
        <v>41</v>
      </c>
      <c r="K9918" t="s">
        <v>2477</v>
      </c>
      <c r="Q9918">
        <v>0</v>
      </c>
      <c r="R9918">
        <v>0</v>
      </c>
      <c r="S9918">
        <v>0</v>
      </c>
    </row>
    <row r="9919" spans="1:20" customFormat="1" ht="15" x14ac:dyDescent="0.25">
      <c r="A9919" t="s">
        <v>35</v>
      </c>
      <c r="B9919" t="s">
        <v>61</v>
      </c>
      <c r="C9919" t="str">
        <f>"A0132651"</f>
        <v>A0132651</v>
      </c>
      <c r="D9919" t="s">
        <v>37246</v>
      </c>
      <c r="E9919" t="s">
        <v>37247</v>
      </c>
      <c r="F9919" t="s">
        <v>26361</v>
      </c>
      <c r="G9919" t="s">
        <v>65</v>
      </c>
      <c r="H9919">
        <v>43713</v>
      </c>
      <c r="I9919" t="s">
        <v>30</v>
      </c>
      <c r="J9919" t="s">
        <v>41</v>
      </c>
      <c r="K9919" t="s">
        <v>229</v>
      </c>
      <c r="Q9919">
        <v>0</v>
      </c>
      <c r="R9919">
        <v>100</v>
      </c>
      <c r="S9919">
        <v>100</v>
      </c>
      <c r="T9919" t="s">
        <v>37248</v>
      </c>
    </row>
    <row r="9920" spans="1:20" customFormat="1" ht="15" x14ac:dyDescent="0.25">
      <c r="A9920" t="s">
        <v>35</v>
      </c>
      <c r="B9920" t="s">
        <v>61</v>
      </c>
      <c r="C9920" t="str">
        <f>"A0125475"</f>
        <v>A0125475</v>
      </c>
      <c r="D9920" t="s">
        <v>37249</v>
      </c>
      <c r="E9920" t="s">
        <v>37250</v>
      </c>
      <c r="F9920" t="s">
        <v>37251</v>
      </c>
      <c r="G9920" t="s">
        <v>40</v>
      </c>
      <c r="H9920">
        <v>74002</v>
      </c>
      <c r="I9920" t="s">
        <v>30</v>
      </c>
      <c r="J9920" t="s">
        <v>41</v>
      </c>
      <c r="K9920" t="s">
        <v>229</v>
      </c>
      <c r="Q9920">
        <v>0</v>
      </c>
      <c r="R9920">
        <v>55</v>
      </c>
      <c r="S9920">
        <v>55</v>
      </c>
      <c r="T9920" t="s">
        <v>37252</v>
      </c>
    </row>
    <row r="9921" spans="1:20" customFormat="1" ht="15" x14ac:dyDescent="0.25">
      <c r="A9921" t="s">
        <v>35</v>
      </c>
      <c r="B9921" t="s">
        <v>61</v>
      </c>
      <c r="C9921" t="str">
        <f>"A0124102"</f>
        <v>A0124102</v>
      </c>
      <c r="D9921" t="s">
        <v>37253</v>
      </c>
      <c r="E9921" t="s">
        <v>37254</v>
      </c>
      <c r="F9921" t="s">
        <v>35935</v>
      </c>
      <c r="G9921" t="s">
        <v>2391</v>
      </c>
      <c r="H9921">
        <v>5641</v>
      </c>
      <c r="I9921" t="s">
        <v>30</v>
      </c>
      <c r="J9921" t="s">
        <v>41</v>
      </c>
      <c r="K9921" t="s">
        <v>59</v>
      </c>
      <c r="Q9921">
        <v>0</v>
      </c>
      <c r="R9921">
        <v>36</v>
      </c>
      <c r="S9921">
        <v>36</v>
      </c>
    </row>
    <row r="9922" spans="1:20" customFormat="1" ht="15" x14ac:dyDescent="0.25">
      <c r="A9922" t="s">
        <v>35</v>
      </c>
      <c r="B9922" t="s">
        <v>6747</v>
      </c>
      <c r="C9922" t="str">
        <f>"A0128561"</f>
        <v>A0128561</v>
      </c>
      <c r="D9922" t="s">
        <v>37255</v>
      </c>
      <c r="E9922" t="s">
        <v>37256</v>
      </c>
      <c r="F9922" t="s">
        <v>37257</v>
      </c>
      <c r="G9922" t="s">
        <v>840</v>
      </c>
      <c r="H9922">
        <v>42141</v>
      </c>
      <c r="I9922" t="s">
        <v>30</v>
      </c>
      <c r="J9922" t="s">
        <v>41</v>
      </c>
      <c r="K9922" t="s">
        <v>229</v>
      </c>
      <c r="Q9922">
        <v>0</v>
      </c>
      <c r="R9922">
        <v>94</v>
      </c>
      <c r="S9922">
        <v>94</v>
      </c>
      <c r="T9922" t="s">
        <v>37258</v>
      </c>
    </row>
    <row r="9923" spans="1:20" customFormat="1" ht="15" x14ac:dyDescent="0.25">
      <c r="A9923" t="s">
        <v>35</v>
      </c>
      <c r="B9923" t="s">
        <v>61</v>
      </c>
      <c r="C9923" t="str">
        <f>"A0132348"</f>
        <v>A0132348</v>
      </c>
      <c r="D9923" t="s">
        <v>37259</v>
      </c>
      <c r="E9923" t="s">
        <v>37260</v>
      </c>
      <c r="F9923" t="s">
        <v>9690</v>
      </c>
      <c r="G9923" t="s">
        <v>65</v>
      </c>
      <c r="H9923">
        <v>45089</v>
      </c>
      <c r="I9923" t="s">
        <v>30</v>
      </c>
      <c r="J9923" t="s">
        <v>41</v>
      </c>
      <c r="K9923" t="s">
        <v>59</v>
      </c>
      <c r="Q9923">
        <v>0</v>
      </c>
      <c r="R9923">
        <v>24</v>
      </c>
      <c r="S9923">
        <v>24</v>
      </c>
      <c r="T9923" t="s">
        <v>37261</v>
      </c>
    </row>
    <row r="9924" spans="1:20" customFormat="1" ht="15" x14ac:dyDescent="0.25">
      <c r="A9924" t="s">
        <v>35</v>
      </c>
      <c r="B9924" t="s">
        <v>61</v>
      </c>
      <c r="C9924" t="str">
        <f>"A0132350"</f>
        <v>A0132350</v>
      </c>
      <c r="D9924" t="s">
        <v>37262</v>
      </c>
      <c r="E9924" t="s">
        <v>37263</v>
      </c>
      <c r="F9924" t="s">
        <v>3427</v>
      </c>
      <c r="G9924" t="s">
        <v>65</v>
      </c>
      <c r="H9924">
        <v>45227</v>
      </c>
      <c r="I9924" t="s">
        <v>30</v>
      </c>
      <c r="J9924" t="s">
        <v>41</v>
      </c>
      <c r="K9924" t="s">
        <v>59</v>
      </c>
      <c r="Q9924">
        <v>0</v>
      </c>
      <c r="R9924">
        <v>212</v>
      </c>
      <c r="S9924">
        <v>212</v>
      </c>
      <c r="T9924" t="s">
        <v>37264</v>
      </c>
    </row>
    <row r="9925" spans="1:20" customFormat="1" ht="15" x14ac:dyDescent="0.25">
      <c r="A9925" t="s">
        <v>35</v>
      </c>
      <c r="B9925" t="s">
        <v>61</v>
      </c>
      <c r="C9925" t="str">
        <f>"A0127962"</f>
        <v>A0127962</v>
      </c>
      <c r="D9925" t="s">
        <v>37265</v>
      </c>
      <c r="E9925" t="s">
        <v>37266</v>
      </c>
      <c r="F9925" t="s">
        <v>1926</v>
      </c>
      <c r="G9925" t="s">
        <v>117</v>
      </c>
      <c r="H9925">
        <v>48813</v>
      </c>
      <c r="I9925" t="s">
        <v>30</v>
      </c>
      <c r="J9925" t="s">
        <v>41</v>
      </c>
      <c r="K9925" t="s">
        <v>8643</v>
      </c>
      <c r="Q9925">
        <v>0</v>
      </c>
      <c r="R9925">
        <v>1</v>
      </c>
      <c r="S9925">
        <v>1</v>
      </c>
      <c r="T9925" t="s">
        <v>37267</v>
      </c>
    </row>
    <row r="9926" spans="1:20" customFormat="1" ht="15" x14ac:dyDescent="0.25">
      <c r="A9926" t="s">
        <v>35</v>
      </c>
      <c r="B9926" t="s">
        <v>61</v>
      </c>
      <c r="C9926" t="str">
        <f>"A0150564"</f>
        <v>A0150564</v>
      </c>
      <c r="D9926" t="s">
        <v>37268</v>
      </c>
      <c r="E9926" t="s">
        <v>37269</v>
      </c>
      <c r="F9926" t="s">
        <v>15622</v>
      </c>
      <c r="G9926" t="s">
        <v>29</v>
      </c>
      <c r="H9926">
        <v>23502</v>
      </c>
      <c r="I9926" t="s">
        <v>30</v>
      </c>
      <c r="J9926" t="s">
        <v>41</v>
      </c>
      <c r="K9926" t="s">
        <v>229</v>
      </c>
      <c r="Q9926">
        <v>0</v>
      </c>
      <c r="R9926">
        <v>65</v>
      </c>
      <c r="S9926">
        <v>65</v>
      </c>
      <c r="T9926" t="s">
        <v>37270</v>
      </c>
    </row>
    <row r="9927" spans="1:20" customFormat="1" ht="15" x14ac:dyDescent="0.25">
      <c r="A9927" t="s">
        <v>35</v>
      </c>
      <c r="B9927" t="s">
        <v>61</v>
      </c>
      <c r="C9927" t="str">
        <f>"A0130343"</f>
        <v>A0130343</v>
      </c>
      <c r="D9927" t="s">
        <v>37271</v>
      </c>
      <c r="E9927" t="s">
        <v>37272</v>
      </c>
      <c r="F9927" t="s">
        <v>36128</v>
      </c>
      <c r="G9927" t="s">
        <v>1898</v>
      </c>
      <c r="H9927">
        <v>521010000</v>
      </c>
      <c r="I9927" t="s">
        <v>30</v>
      </c>
      <c r="J9927" t="s">
        <v>41</v>
      </c>
      <c r="K9927" t="s">
        <v>229</v>
      </c>
      <c r="Q9927">
        <v>0</v>
      </c>
      <c r="R9927">
        <v>46</v>
      </c>
      <c r="S9927">
        <v>46</v>
      </c>
      <c r="T9927" t="s">
        <v>37273</v>
      </c>
    </row>
    <row r="9928" spans="1:20" customFormat="1" ht="15" x14ac:dyDescent="0.25">
      <c r="A9928" t="s">
        <v>35</v>
      </c>
      <c r="B9928" t="s">
        <v>61</v>
      </c>
      <c r="C9928" t="str">
        <f>"A0125399"</f>
        <v>A0125399</v>
      </c>
      <c r="D9928" t="s">
        <v>37274</v>
      </c>
      <c r="E9928" t="s">
        <v>37275</v>
      </c>
      <c r="F9928" t="s">
        <v>17406</v>
      </c>
      <c r="G9928" t="s">
        <v>40</v>
      </c>
      <c r="H9928">
        <v>74006</v>
      </c>
      <c r="I9928" t="s">
        <v>30</v>
      </c>
      <c r="J9928" t="s">
        <v>41</v>
      </c>
      <c r="K9928" t="s">
        <v>229</v>
      </c>
      <c r="Q9928">
        <v>0</v>
      </c>
      <c r="R9928">
        <v>119</v>
      </c>
      <c r="S9928">
        <v>119</v>
      </c>
      <c r="T9928" t="s">
        <v>37276</v>
      </c>
    </row>
    <row r="9929" spans="1:20" customFormat="1" ht="15" x14ac:dyDescent="0.25">
      <c r="A9929" t="s">
        <v>35</v>
      </c>
      <c r="B9929" t="s">
        <v>61</v>
      </c>
      <c r="C9929" t="str">
        <f>"A0126532"</f>
        <v>A0126532</v>
      </c>
      <c r="D9929" t="s">
        <v>37277</v>
      </c>
      <c r="E9929" t="s">
        <v>37278</v>
      </c>
      <c r="F9929" t="s">
        <v>12532</v>
      </c>
      <c r="G9929" t="s">
        <v>338</v>
      </c>
      <c r="H9929">
        <v>8527</v>
      </c>
      <c r="I9929" t="s">
        <v>30</v>
      </c>
      <c r="J9929" t="s">
        <v>41</v>
      </c>
      <c r="K9929" t="s">
        <v>229</v>
      </c>
      <c r="Q9929">
        <v>0</v>
      </c>
      <c r="R9929">
        <v>234</v>
      </c>
      <c r="S9929">
        <v>234</v>
      </c>
      <c r="T9929" t="s">
        <v>37279</v>
      </c>
    </row>
    <row r="9930" spans="1:20" customFormat="1" ht="15" x14ac:dyDescent="0.25">
      <c r="A9930" t="s">
        <v>35</v>
      </c>
      <c r="B9930" t="s">
        <v>437</v>
      </c>
      <c r="C9930" t="str">
        <f>"A0150658"</f>
        <v>A0150658</v>
      </c>
      <c r="D9930" t="s">
        <v>37280</v>
      </c>
      <c r="E9930" t="s">
        <v>37281</v>
      </c>
      <c r="F9930" t="s">
        <v>37282</v>
      </c>
      <c r="G9930" t="s">
        <v>197</v>
      </c>
      <c r="H9930">
        <v>86429</v>
      </c>
      <c r="I9930" t="s">
        <v>30</v>
      </c>
      <c r="J9930" t="s">
        <v>441</v>
      </c>
      <c r="K9930" t="s">
        <v>36814</v>
      </c>
      <c r="Q9930">
        <v>0</v>
      </c>
      <c r="R9930">
        <v>0</v>
      </c>
      <c r="S9930">
        <v>0</v>
      </c>
      <c r="T9930" t="s">
        <v>37283</v>
      </c>
    </row>
    <row r="9931" spans="1:20" customFormat="1" ht="15" x14ac:dyDescent="0.25">
      <c r="A9931" t="s">
        <v>35</v>
      </c>
      <c r="B9931" t="s">
        <v>106</v>
      </c>
      <c r="C9931" t="str">
        <f>"A0136301"</f>
        <v>A0136301</v>
      </c>
      <c r="D9931" t="s">
        <v>37284</v>
      </c>
      <c r="E9931" t="s">
        <v>37285</v>
      </c>
      <c r="F9931" t="s">
        <v>37286</v>
      </c>
      <c r="G9931" t="s">
        <v>1369</v>
      </c>
      <c r="H9931">
        <v>39455</v>
      </c>
      <c r="I9931" t="s">
        <v>30</v>
      </c>
      <c r="J9931" t="s">
        <v>111</v>
      </c>
      <c r="K9931" t="s">
        <v>112</v>
      </c>
      <c r="Q9931">
        <v>0</v>
      </c>
      <c r="R9931">
        <v>0</v>
      </c>
      <c r="S9931">
        <v>0</v>
      </c>
      <c r="T9931" t="s">
        <v>37287</v>
      </c>
    </row>
    <row r="9932" spans="1:20" customFormat="1" ht="15" x14ac:dyDescent="0.25">
      <c r="A9932" t="s">
        <v>35</v>
      </c>
      <c r="B9932" t="s">
        <v>106</v>
      </c>
      <c r="C9932" t="str">
        <f>"A0136569"</f>
        <v>A0136569</v>
      </c>
      <c r="D9932" t="s">
        <v>37288</v>
      </c>
      <c r="E9932" t="s">
        <v>37289</v>
      </c>
      <c r="F9932" t="s">
        <v>37290</v>
      </c>
      <c r="G9932" t="s">
        <v>110</v>
      </c>
      <c r="H9932">
        <v>91746</v>
      </c>
      <c r="I9932" t="s">
        <v>30</v>
      </c>
      <c r="J9932" t="s">
        <v>111</v>
      </c>
      <c r="K9932" t="s">
        <v>112</v>
      </c>
      <c r="Q9932">
        <v>0</v>
      </c>
      <c r="R9932">
        <v>0</v>
      </c>
      <c r="S9932">
        <v>0</v>
      </c>
      <c r="T9932" t="s">
        <v>37291</v>
      </c>
    </row>
    <row r="9933" spans="1:20" customFormat="1" ht="15" x14ac:dyDescent="0.25">
      <c r="A9933" t="s">
        <v>35</v>
      </c>
      <c r="B9933" t="s">
        <v>106</v>
      </c>
      <c r="C9933" t="str">
        <f>"A0136512"</f>
        <v>A0136512</v>
      </c>
      <c r="D9933" t="s">
        <v>37292</v>
      </c>
      <c r="E9933" t="s">
        <v>37293</v>
      </c>
      <c r="F9933" t="s">
        <v>946</v>
      </c>
      <c r="G9933" t="s">
        <v>2450</v>
      </c>
      <c r="H9933">
        <v>4240</v>
      </c>
      <c r="I9933" t="s">
        <v>30</v>
      </c>
      <c r="J9933" t="s">
        <v>111</v>
      </c>
      <c r="K9933" t="s">
        <v>10012</v>
      </c>
      <c r="Q9933">
        <v>0</v>
      </c>
      <c r="R9933">
        <v>0</v>
      </c>
      <c r="S9933">
        <v>0</v>
      </c>
      <c r="T9933" t="s">
        <v>37294</v>
      </c>
    </row>
    <row r="9934" spans="1:20" customFormat="1" ht="15" x14ac:dyDescent="0.25">
      <c r="A9934" t="s">
        <v>35</v>
      </c>
      <c r="B9934" t="s">
        <v>61</v>
      </c>
      <c r="C9934" t="str">
        <f>"A0123124"</f>
        <v>A0123124</v>
      </c>
      <c r="D9934" t="s">
        <v>37295</v>
      </c>
      <c r="E9934" t="s">
        <v>37296</v>
      </c>
      <c r="F9934" t="s">
        <v>4693</v>
      </c>
      <c r="G9934" t="s">
        <v>137</v>
      </c>
      <c r="H9934">
        <v>647300370</v>
      </c>
      <c r="I9934" t="s">
        <v>30</v>
      </c>
      <c r="J9934" t="s">
        <v>41</v>
      </c>
      <c r="K9934" t="s">
        <v>3713</v>
      </c>
      <c r="Q9934">
        <v>0</v>
      </c>
      <c r="R9934">
        <v>60</v>
      </c>
      <c r="S9934">
        <v>60</v>
      </c>
      <c r="T9934" t="s">
        <v>37297</v>
      </c>
    </row>
    <row r="9935" spans="1:20" customFormat="1" ht="15" x14ac:dyDescent="0.25">
      <c r="A9935" t="s">
        <v>35</v>
      </c>
      <c r="B9935" t="s">
        <v>61</v>
      </c>
      <c r="C9935" t="str">
        <f>"A0127751"</f>
        <v>A0127751</v>
      </c>
      <c r="D9935" t="s">
        <v>37298</v>
      </c>
      <c r="E9935" t="s">
        <v>37299</v>
      </c>
      <c r="F9935" t="s">
        <v>13336</v>
      </c>
      <c r="G9935" t="s">
        <v>117</v>
      </c>
      <c r="H9935">
        <v>49015</v>
      </c>
      <c r="I9935" t="s">
        <v>30</v>
      </c>
      <c r="J9935" t="s">
        <v>41</v>
      </c>
      <c r="K9935" t="s">
        <v>59</v>
      </c>
      <c r="Q9935">
        <v>0</v>
      </c>
      <c r="R9935">
        <v>60</v>
      </c>
      <c r="S9935">
        <v>60</v>
      </c>
      <c r="T9935" t="s">
        <v>37300</v>
      </c>
    </row>
    <row r="9936" spans="1:20" customFormat="1" ht="15" x14ac:dyDescent="0.25">
      <c r="A9936" t="s">
        <v>35</v>
      </c>
      <c r="B9936" t="s">
        <v>61</v>
      </c>
      <c r="C9936" t="str">
        <f>"A0123624"</f>
        <v>A0123624</v>
      </c>
      <c r="D9936" t="s">
        <v>37301</v>
      </c>
      <c r="E9936" t="s">
        <v>37302</v>
      </c>
      <c r="F9936" t="s">
        <v>24124</v>
      </c>
      <c r="G9936" t="s">
        <v>29</v>
      </c>
      <c r="H9936">
        <v>238059117</v>
      </c>
      <c r="I9936" t="s">
        <v>30</v>
      </c>
      <c r="J9936" t="s">
        <v>41</v>
      </c>
      <c r="K9936" t="s">
        <v>229</v>
      </c>
      <c r="Q9936">
        <v>0</v>
      </c>
      <c r="R9936">
        <v>120</v>
      </c>
      <c r="S9936">
        <v>120</v>
      </c>
      <c r="T9936" t="s">
        <v>37303</v>
      </c>
    </row>
    <row r="9937" spans="1:20" customFormat="1" ht="15" x14ac:dyDescent="0.25">
      <c r="A9937" t="s">
        <v>35</v>
      </c>
      <c r="B9937" t="s">
        <v>61</v>
      </c>
      <c r="C9937" t="str">
        <f>"A0128135"</f>
        <v>A0128135</v>
      </c>
      <c r="D9937" t="s">
        <v>37304</v>
      </c>
      <c r="E9937" t="s">
        <v>37305</v>
      </c>
      <c r="F9937" t="s">
        <v>5491</v>
      </c>
      <c r="G9937" t="s">
        <v>117</v>
      </c>
      <c r="H9937">
        <v>48722</v>
      </c>
      <c r="I9937" t="s">
        <v>30</v>
      </c>
      <c r="J9937" t="s">
        <v>41</v>
      </c>
      <c r="K9937" t="s">
        <v>1032</v>
      </c>
      <c r="Q9937">
        <v>0</v>
      </c>
      <c r="R9937">
        <v>45</v>
      </c>
      <c r="S9937">
        <v>45</v>
      </c>
      <c r="T9937" t="s">
        <v>37306</v>
      </c>
    </row>
    <row r="9938" spans="1:20" customFormat="1" ht="15" x14ac:dyDescent="0.25">
      <c r="A9938" t="s">
        <v>35</v>
      </c>
      <c r="B9938" t="s">
        <v>61</v>
      </c>
      <c r="C9938" t="str">
        <f>"A0131215"</f>
        <v>A0131215</v>
      </c>
      <c r="D9938" t="s">
        <v>37307</v>
      </c>
      <c r="E9938" t="s">
        <v>37308</v>
      </c>
      <c r="F9938" t="s">
        <v>9703</v>
      </c>
      <c r="G9938" t="s">
        <v>85</v>
      </c>
      <c r="H9938">
        <v>726530000</v>
      </c>
      <c r="I9938" t="s">
        <v>30</v>
      </c>
      <c r="J9938" t="s">
        <v>41</v>
      </c>
      <c r="K9938" t="s">
        <v>391</v>
      </c>
      <c r="Q9938">
        <v>0</v>
      </c>
      <c r="R9938">
        <v>1</v>
      </c>
      <c r="S9938">
        <v>1</v>
      </c>
      <c r="T9938" t="s">
        <v>37309</v>
      </c>
    </row>
    <row r="9939" spans="1:20" customFormat="1" ht="15" x14ac:dyDescent="0.25">
      <c r="A9939" t="s">
        <v>35</v>
      </c>
      <c r="B9939" t="s">
        <v>61</v>
      </c>
      <c r="C9939" t="str">
        <f>"A0118710"</f>
        <v>A0118710</v>
      </c>
      <c r="D9939" t="s">
        <v>37310</v>
      </c>
      <c r="E9939" t="s">
        <v>37311</v>
      </c>
      <c r="F9939" t="s">
        <v>9128</v>
      </c>
      <c r="G9939" t="s">
        <v>110</v>
      </c>
      <c r="H9939">
        <v>94606</v>
      </c>
      <c r="I9939" t="s">
        <v>30</v>
      </c>
      <c r="J9939" t="s">
        <v>41</v>
      </c>
      <c r="K9939" t="s">
        <v>229</v>
      </c>
      <c r="Q9939">
        <v>0</v>
      </c>
      <c r="R9939">
        <v>65</v>
      </c>
      <c r="S9939">
        <v>65</v>
      </c>
      <c r="T9939" t="s">
        <v>37312</v>
      </c>
    </row>
    <row r="9940" spans="1:20" customFormat="1" ht="15" x14ac:dyDescent="0.25">
      <c r="A9940" t="s">
        <v>35</v>
      </c>
      <c r="B9940" t="s">
        <v>61</v>
      </c>
      <c r="C9940" t="str">
        <f>"A0128209"</f>
        <v>A0128209</v>
      </c>
      <c r="D9940" t="s">
        <v>37313</v>
      </c>
      <c r="E9940" t="s">
        <v>37314</v>
      </c>
      <c r="F9940" t="s">
        <v>37315</v>
      </c>
      <c r="G9940" t="s">
        <v>161</v>
      </c>
      <c r="H9940">
        <v>49808</v>
      </c>
      <c r="I9940" t="s">
        <v>30</v>
      </c>
      <c r="J9940" t="s">
        <v>41</v>
      </c>
      <c r="K9940" t="s">
        <v>42</v>
      </c>
      <c r="Q9940">
        <v>0</v>
      </c>
      <c r="R9940">
        <v>50</v>
      </c>
      <c r="S9940">
        <v>50</v>
      </c>
      <c r="T9940" t="s">
        <v>37316</v>
      </c>
    </row>
    <row r="9941" spans="1:20" customFormat="1" ht="15" x14ac:dyDescent="0.25">
      <c r="A9941" t="s">
        <v>35</v>
      </c>
      <c r="B9941" t="s">
        <v>106</v>
      </c>
      <c r="C9941" t="str">
        <f>"A0136289"</f>
        <v>A0136289</v>
      </c>
      <c r="D9941" t="s">
        <v>37317</v>
      </c>
      <c r="E9941" t="s">
        <v>37318</v>
      </c>
      <c r="F9941" t="s">
        <v>37319</v>
      </c>
      <c r="G9941" t="s">
        <v>117</v>
      </c>
      <c r="H9941">
        <v>49829</v>
      </c>
      <c r="I9941" t="s">
        <v>30</v>
      </c>
      <c r="J9941" t="s">
        <v>111</v>
      </c>
      <c r="K9941" t="s">
        <v>112</v>
      </c>
      <c r="Q9941">
        <v>0</v>
      </c>
      <c r="R9941">
        <v>0</v>
      </c>
      <c r="S9941">
        <v>0</v>
      </c>
      <c r="T9941" t="s">
        <v>37320</v>
      </c>
    </row>
    <row r="9942" spans="1:20" customFormat="1" ht="15" x14ac:dyDescent="0.25">
      <c r="A9942" t="s">
        <v>35</v>
      </c>
      <c r="B9942" t="s">
        <v>61</v>
      </c>
      <c r="C9942" t="str">
        <f>"A0124103"</f>
        <v>A0124103</v>
      </c>
      <c r="D9942" t="s">
        <v>37321</v>
      </c>
      <c r="E9942" t="s">
        <v>37322</v>
      </c>
      <c r="F9942" t="s">
        <v>16093</v>
      </c>
      <c r="G9942" t="s">
        <v>117</v>
      </c>
      <c r="H9942">
        <v>48706</v>
      </c>
      <c r="I9942" t="s">
        <v>30</v>
      </c>
      <c r="J9942" t="s">
        <v>41</v>
      </c>
      <c r="K9942" t="s">
        <v>482</v>
      </c>
      <c r="Q9942">
        <v>0</v>
      </c>
      <c r="R9942">
        <v>100</v>
      </c>
      <c r="S9942">
        <v>100</v>
      </c>
      <c r="T9942" t="s">
        <v>37323</v>
      </c>
    </row>
    <row r="9943" spans="1:20" customFormat="1" ht="15" x14ac:dyDescent="0.25">
      <c r="A9943" t="s">
        <v>35</v>
      </c>
      <c r="B9943" t="s">
        <v>61</v>
      </c>
      <c r="C9943" t="str">
        <f>"A0124104"</f>
        <v>A0124104</v>
      </c>
      <c r="D9943" t="s">
        <v>37324</v>
      </c>
      <c r="E9943" t="s">
        <v>37325</v>
      </c>
      <c r="F9943" t="s">
        <v>16093</v>
      </c>
      <c r="G9943" t="s">
        <v>117</v>
      </c>
      <c r="H9943">
        <v>48708</v>
      </c>
      <c r="I9943" t="s">
        <v>30</v>
      </c>
      <c r="J9943" t="s">
        <v>41</v>
      </c>
      <c r="K9943" t="s">
        <v>59</v>
      </c>
      <c r="Q9943">
        <v>0</v>
      </c>
      <c r="R9943">
        <v>100</v>
      </c>
      <c r="S9943">
        <v>100</v>
      </c>
      <c r="T9943" t="s">
        <v>37326</v>
      </c>
    </row>
    <row r="9944" spans="1:20" customFormat="1" ht="15" x14ac:dyDescent="0.25">
      <c r="A9944" t="s">
        <v>35</v>
      </c>
      <c r="B9944" t="s">
        <v>61</v>
      </c>
      <c r="C9944" t="str">
        <f>"A0117829"</f>
        <v>A0117829</v>
      </c>
      <c r="D9944" t="s">
        <v>37327</v>
      </c>
      <c r="E9944" t="s">
        <v>37328</v>
      </c>
      <c r="F9944" t="s">
        <v>37329</v>
      </c>
      <c r="G9944" t="s">
        <v>110</v>
      </c>
      <c r="H9944">
        <v>94070</v>
      </c>
      <c r="I9944" t="s">
        <v>30</v>
      </c>
      <c r="J9944" t="s">
        <v>41</v>
      </c>
      <c r="K9944" t="s">
        <v>59</v>
      </c>
      <c r="Q9944">
        <v>0</v>
      </c>
      <c r="R9944">
        <v>50</v>
      </c>
      <c r="S9944">
        <v>50</v>
      </c>
      <c r="T9944" t="s">
        <v>37330</v>
      </c>
    </row>
    <row r="9945" spans="1:20" customFormat="1" ht="15" x14ac:dyDescent="0.25">
      <c r="A9945" t="s">
        <v>35</v>
      </c>
      <c r="B9945" t="s">
        <v>61</v>
      </c>
      <c r="C9945" t="str">
        <f>"A0123625"</f>
        <v>A0123625</v>
      </c>
      <c r="D9945" t="s">
        <v>37331</v>
      </c>
      <c r="E9945" t="s">
        <v>37332</v>
      </c>
      <c r="F9945" t="s">
        <v>37333</v>
      </c>
      <c r="G9945" t="s">
        <v>214</v>
      </c>
      <c r="H9945">
        <v>27870</v>
      </c>
      <c r="I9945" t="s">
        <v>30</v>
      </c>
      <c r="J9945" t="s">
        <v>41</v>
      </c>
      <c r="K9945" t="s">
        <v>229</v>
      </c>
      <c r="Q9945">
        <v>0</v>
      </c>
      <c r="R9945">
        <v>20</v>
      </c>
      <c r="S9945">
        <v>20</v>
      </c>
      <c r="T9945" t="s">
        <v>37334</v>
      </c>
    </row>
    <row r="9946" spans="1:20" customFormat="1" ht="15" x14ac:dyDescent="0.25">
      <c r="A9946" t="s">
        <v>35</v>
      </c>
      <c r="B9946" t="s">
        <v>61</v>
      </c>
      <c r="C9946" t="str">
        <f>"A0151240"</f>
        <v>A0151240</v>
      </c>
      <c r="D9946" t="s">
        <v>37335</v>
      </c>
      <c r="E9946" t="s">
        <v>37336</v>
      </c>
      <c r="F9946" t="s">
        <v>3661</v>
      </c>
      <c r="G9946" t="s">
        <v>65</v>
      </c>
      <c r="H9946">
        <v>45233</v>
      </c>
      <c r="I9946" t="s">
        <v>30</v>
      </c>
      <c r="J9946" t="s">
        <v>41</v>
      </c>
      <c r="K9946" t="s">
        <v>1412</v>
      </c>
      <c r="Q9946">
        <v>0</v>
      </c>
      <c r="R9946">
        <v>0</v>
      </c>
      <c r="S9946">
        <v>0</v>
      </c>
      <c r="T9946" t="s">
        <v>37337</v>
      </c>
    </row>
    <row r="9947" spans="1:20" customFormat="1" ht="15" x14ac:dyDescent="0.25">
      <c r="A9947" t="s">
        <v>35</v>
      </c>
      <c r="B9947" t="s">
        <v>437</v>
      </c>
      <c r="C9947" t="str">
        <f>"A0135281"</f>
        <v>A0135281</v>
      </c>
      <c r="D9947" t="s">
        <v>37338</v>
      </c>
      <c r="E9947" t="s">
        <v>37339</v>
      </c>
      <c r="F9947" t="s">
        <v>75</v>
      </c>
      <c r="G9947" t="s">
        <v>76</v>
      </c>
      <c r="H9947">
        <v>99212</v>
      </c>
      <c r="I9947" t="s">
        <v>30</v>
      </c>
      <c r="J9947" t="s">
        <v>441</v>
      </c>
      <c r="K9947" t="s">
        <v>37340</v>
      </c>
      <c r="Q9947">
        <v>0</v>
      </c>
      <c r="R9947">
        <v>0</v>
      </c>
      <c r="S9947">
        <v>0</v>
      </c>
      <c r="T9947" t="s">
        <v>37341</v>
      </c>
    </row>
    <row r="9948" spans="1:20" customFormat="1" ht="15" x14ac:dyDescent="0.25">
      <c r="A9948" t="s">
        <v>35</v>
      </c>
      <c r="B9948" t="s">
        <v>61</v>
      </c>
      <c r="C9948" t="str">
        <f>"A0123169"</f>
        <v>A0123169</v>
      </c>
      <c r="D9948" t="s">
        <v>37342</v>
      </c>
      <c r="E9948" t="s">
        <v>37343</v>
      </c>
      <c r="F9948" t="s">
        <v>17879</v>
      </c>
      <c r="G9948" t="s">
        <v>29</v>
      </c>
      <c r="H9948">
        <v>234558039</v>
      </c>
      <c r="I9948" t="s">
        <v>30</v>
      </c>
      <c r="J9948" t="s">
        <v>41</v>
      </c>
      <c r="K9948" t="s">
        <v>229</v>
      </c>
      <c r="Q9948">
        <v>0</v>
      </c>
      <c r="R9948">
        <v>60</v>
      </c>
      <c r="S9948">
        <v>60</v>
      </c>
      <c r="T9948" t="s">
        <v>37344</v>
      </c>
    </row>
    <row r="9949" spans="1:20" customFormat="1" ht="15" x14ac:dyDescent="0.25">
      <c r="A9949" t="s">
        <v>35</v>
      </c>
      <c r="B9949" t="s">
        <v>61</v>
      </c>
      <c r="C9949" t="str">
        <f>"A0123170"</f>
        <v>A0123170</v>
      </c>
      <c r="D9949" t="s">
        <v>37345</v>
      </c>
      <c r="E9949" t="s">
        <v>37346</v>
      </c>
      <c r="F9949" t="s">
        <v>37347</v>
      </c>
      <c r="G9949" t="s">
        <v>29</v>
      </c>
      <c r="H9949">
        <v>236621400</v>
      </c>
      <c r="I9949" t="s">
        <v>30</v>
      </c>
      <c r="J9949" t="s">
        <v>41</v>
      </c>
      <c r="K9949" t="s">
        <v>229</v>
      </c>
      <c r="Q9949">
        <v>0</v>
      </c>
      <c r="R9949">
        <v>60</v>
      </c>
      <c r="S9949">
        <v>60</v>
      </c>
      <c r="T9949" t="s">
        <v>37348</v>
      </c>
    </row>
    <row r="9950" spans="1:20" customFormat="1" ht="15" x14ac:dyDescent="0.25">
      <c r="A9950" t="s">
        <v>35</v>
      </c>
      <c r="B9950" t="s">
        <v>61</v>
      </c>
      <c r="C9950" t="str">
        <f>"A0121479"</f>
        <v>A0121479</v>
      </c>
      <c r="D9950" t="s">
        <v>37349</v>
      </c>
      <c r="E9950" t="s">
        <v>37350</v>
      </c>
      <c r="F9950" t="s">
        <v>21306</v>
      </c>
      <c r="G9950" t="s">
        <v>110</v>
      </c>
      <c r="H9950">
        <v>94608</v>
      </c>
      <c r="I9950" t="s">
        <v>30</v>
      </c>
      <c r="J9950" t="s">
        <v>41</v>
      </c>
      <c r="K9950" t="s">
        <v>59</v>
      </c>
      <c r="Q9950">
        <v>0</v>
      </c>
      <c r="R9950">
        <v>60</v>
      </c>
      <c r="S9950">
        <v>60</v>
      </c>
      <c r="T9950" t="s">
        <v>37351</v>
      </c>
    </row>
    <row r="9951" spans="1:20" customFormat="1" ht="15" x14ac:dyDescent="0.25">
      <c r="A9951" t="s">
        <v>35</v>
      </c>
      <c r="B9951" t="s">
        <v>61</v>
      </c>
      <c r="C9951" t="str">
        <f>"A0128097"</f>
        <v>A0128097</v>
      </c>
      <c r="D9951" t="s">
        <v>37352</v>
      </c>
      <c r="E9951" t="s">
        <v>37353</v>
      </c>
      <c r="F9951" t="s">
        <v>37354</v>
      </c>
      <c r="G9951" t="s">
        <v>117</v>
      </c>
      <c r="H9951">
        <v>49946</v>
      </c>
      <c r="I9951" t="s">
        <v>30</v>
      </c>
      <c r="J9951" t="s">
        <v>41</v>
      </c>
      <c r="K9951" t="s">
        <v>229</v>
      </c>
      <c r="Q9951">
        <v>0</v>
      </c>
      <c r="R9951">
        <v>59</v>
      </c>
      <c r="S9951">
        <v>59</v>
      </c>
      <c r="T9951" t="s">
        <v>37355</v>
      </c>
    </row>
    <row r="9952" spans="1:20" customFormat="1" ht="15" x14ac:dyDescent="0.25">
      <c r="A9952" t="s">
        <v>35</v>
      </c>
      <c r="B9952" t="s">
        <v>61</v>
      </c>
      <c r="C9952" t="str">
        <f>"A0126264"</f>
        <v>A0126264</v>
      </c>
      <c r="D9952" t="s">
        <v>37356</v>
      </c>
      <c r="E9952" t="s">
        <v>37357</v>
      </c>
      <c r="F9952" t="s">
        <v>20672</v>
      </c>
      <c r="G9952" t="s">
        <v>81</v>
      </c>
      <c r="H9952">
        <v>32084</v>
      </c>
      <c r="I9952" t="s">
        <v>30</v>
      </c>
      <c r="J9952" t="s">
        <v>41</v>
      </c>
      <c r="K9952" t="s">
        <v>229</v>
      </c>
      <c r="Q9952">
        <v>0</v>
      </c>
      <c r="R9952">
        <v>120</v>
      </c>
      <c r="S9952">
        <v>120</v>
      </c>
      <c r="T9952" t="s">
        <v>37358</v>
      </c>
    </row>
    <row r="9953" spans="1:20" customFormat="1" ht="15" x14ac:dyDescent="0.25">
      <c r="A9953" t="s">
        <v>35</v>
      </c>
      <c r="B9953" t="s">
        <v>61</v>
      </c>
      <c r="C9953" t="str">
        <f>"A0123626"</f>
        <v>A0123626</v>
      </c>
      <c r="D9953" t="s">
        <v>37359</v>
      </c>
      <c r="E9953" t="s">
        <v>37360</v>
      </c>
      <c r="F9953" t="s">
        <v>37361</v>
      </c>
      <c r="G9953" t="s">
        <v>214</v>
      </c>
      <c r="H9953">
        <v>28560</v>
      </c>
      <c r="I9953" t="s">
        <v>30</v>
      </c>
      <c r="J9953" t="s">
        <v>41</v>
      </c>
      <c r="K9953" t="s">
        <v>229</v>
      </c>
      <c r="Q9953">
        <v>0</v>
      </c>
      <c r="R9953">
        <v>1</v>
      </c>
      <c r="S9953">
        <v>1</v>
      </c>
      <c r="T9953" t="s">
        <v>37362</v>
      </c>
    </row>
    <row r="9954" spans="1:20" customFormat="1" ht="15" x14ac:dyDescent="0.25">
      <c r="A9954" t="s">
        <v>35</v>
      </c>
      <c r="B9954" t="s">
        <v>61</v>
      </c>
      <c r="C9954" t="str">
        <f>"A0122610"</f>
        <v>A0122610</v>
      </c>
      <c r="D9954" t="s">
        <v>12197</v>
      </c>
      <c r="E9954" t="s">
        <v>37363</v>
      </c>
      <c r="F9954" t="s">
        <v>1444</v>
      </c>
      <c r="G9954" t="s">
        <v>76</v>
      </c>
      <c r="H9954">
        <v>98119</v>
      </c>
      <c r="I9954" t="s">
        <v>30</v>
      </c>
      <c r="J9954" t="s">
        <v>41</v>
      </c>
      <c r="K9954" t="s">
        <v>11521</v>
      </c>
      <c r="Q9954">
        <v>0</v>
      </c>
      <c r="R9954">
        <v>225</v>
      </c>
      <c r="S9954">
        <v>225</v>
      </c>
      <c r="T9954" t="s">
        <v>37364</v>
      </c>
    </row>
    <row r="9955" spans="1:20" customFormat="1" ht="15" x14ac:dyDescent="0.25">
      <c r="A9955" t="s">
        <v>35</v>
      </c>
      <c r="B9955" t="s">
        <v>61</v>
      </c>
      <c r="C9955" t="str">
        <f>"A0121381"</f>
        <v>A0121381</v>
      </c>
      <c r="D9955" t="s">
        <v>37365</v>
      </c>
      <c r="E9955" t="s">
        <v>37366</v>
      </c>
      <c r="F9955" t="s">
        <v>36852</v>
      </c>
      <c r="G9955" t="s">
        <v>153</v>
      </c>
      <c r="H9955">
        <v>84020</v>
      </c>
      <c r="I9955" t="s">
        <v>30</v>
      </c>
      <c r="J9955" t="s">
        <v>41</v>
      </c>
      <c r="K9955" t="s">
        <v>59</v>
      </c>
      <c r="Q9955">
        <v>0</v>
      </c>
      <c r="R9955">
        <v>19</v>
      </c>
      <c r="S9955">
        <v>19</v>
      </c>
      <c r="T9955" t="s">
        <v>37367</v>
      </c>
    </row>
    <row r="9956" spans="1:20" customFormat="1" ht="15" x14ac:dyDescent="0.25">
      <c r="A9956" t="s">
        <v>35</v>
      </c>
      <c r="B9956" t="s">
        <v>61</v>
      </c>
      <c r="C9956" t="str">
        <f>"A0151566"</f>
        <v>A0151566</v>
      </c>
      <c r="D9956" t="s">
        <v>37368</v>
      </c>
      <c r="E9956" t="s">
        <v>37369</v>
      </c>
      <c r="F9956" t="s">
        <v>9607</v>
      </c>
      <c r="G9956" t="s">
        <v>117</v>
      </c>
      <c r="H9956">
        <v>49506</v>
      </c>
      <c r="I9956" t="s">
        <v>30</v>
      </c>
      <c r="J9956" t="s">
        <v>41</v>
      </c>
      <c r="K9956" t="s">
        <v>59</v>
      </c>
      <c r="Q9956">
        <v>0</v>
      </c>
      <c r="R9956">
        <v>60</v>
      </c>
      <c r="S9956">
        <v>60</v>
      </c>
      <c r="T9956" t="s">
        <v>37370</v>
      </c>
    </row>
    <row r="9957" spans="1:20" customFormat="1" ht="15" x14ac:dyDescent="0.25">
      <c r="A9957" t="s">
        <v>35</v>
      </c>
      <c r="B9957" t="s">
        <v>61</v>
      </c>
      <c r="C9957" t="str">
        <f>"A0131480"</f>
        <v>A0131480</v>
      </c>
      <c r="D9957" t="s">
        <v>37371</v>
      </c>
      <c r="E9957" t="s">
        <v>37372</v>
      </c>
      <c r="F9957" t="s">
        <v>8703</v>
      </c>
      <c r="G9957" t="s">
        <v>137</v>
      </c>
      <c r="H9957">
        <v>641090000</v>
      </c>
      <c r="I9957" t="s">
        <v>30</v>
      </c>
      <c r="J9957" t="s">
        <v>41</v>
      </c>
      <c r="K9957" t="s">
        <v>229</v>
      </c>
      <c r="Q9957">
        <v>0</v>
      </c>
      <c r="R9957">
        <v>38</v>
      </c>
      <c r="S9957">
        <v>38</v>
      </c>
      <c r="T9957" t="s">
        <v>37373</v>
      </c>
    </row>
    <row r="9958" spans="1:20" customFormat="1" ht="15" x14ac:dyDescent="0.25">
      <c r="A9958" t="s">
        <v>35</v>
      </c>
      <c r="B9958" t="s">
        <v>61</v>
      </c>
      <c r="C9958" t="str">
        <f>"A0124105"</f>
        <v>A0124105</v>
      </c>
      <c r="D9958" t="s">
        <v>37374</v>
      </c>
      <c r="E9958" t="s">
        <v>37375</v>
      </c>
      <c r="F9958" t="s">
        <v>37376</v>
      </c>
      <c r="G9958" t="s">
        <v>289</v>
      </c>
      <c r="H9958">
        <v>60148</v>
      </c>
      <c r="I9958" t="s">
        <v>30</v>
      </c>
      <c r="J9958" t="s">
        <v>41</v>
      </c>
      <c r="K9958" t="s">
        <v>59</v>
      </c>
      <c r="Q9958">
        <v>0</v>
      </c>
      <c r="R9958">
        <v>180</v>
      </c>
      <c r="S9958">
        <v>180</v>
      </c>
      <c r="T9958" t="s">
        <v>37377</v>
      </c>
    </row>
    <row r="9959" spans="1:20" customFormat="1" ht="15" x14ac:dyDescent="0.25">
      <c r="A9959" t="s">
        <v>35</v>
      </c>
      <c r="B9959" t="s">
        <v>61</v>
      </c>
      <c r="C9959" t="str">
        <f>"A0121979"</f>
        <v>A0121979</v>
      </c>
      <c r="D9959" t="s">
        <v>37378</v>
      </c>
      <c r="E9959" t="s">
        <v>37379</v>
      </c>
      <c r="F9959" t="s">
        <v>6244</v>
      </c>
      <c r="G9959" t="s">
        <v>110</v>
      </c>
      <c r="H9959">
        <v>93711</v>
      </c>
      <c r="I9959" t="s">
        <v>30</v>
      </c>
      <c r="J9959" t="s">
        <v>41</v>
      </c>
      <c r="K9959" t="s">
        <v>229</v>
      </c>
      <c r="Q9959">
        <v>0</v>
      </c>
      <c r="R9959">
        <v>6</v>
      </c>
      <c r="S9959">
        <v>6</v>
      </c>
      <c r="T9959" t="s">
        <v>7539</v>
      </c>
    </row>
    <row r="9960" spans="1:20" customFormat="1" ht="15" x14ac:dyDescent="0.25">
      <c r="A9960" t="s">
        <v>35</v>
      </c>
      <c r="B9960" t="s">
        <v>61</v>
      </c>
      <c r="C9960" t="str">
        <f>"A0125244"</f>
        <v>A0125244</v>
      </c>
      <c r="D9960" t="s">
        <v>37380</v>
      </c>
      <c r="E9960" t="s">
        <v>37381</v>
      </c>
      <c r="F9960" t="s">
        <v>17486</v>
      </c>
      <c r="G9960" t="s">
        <v>40</v>
      </c>
      <c r="H9960">
        <v>737170000</v>
      </c>
      <c r="I9960" t="s">
        <v>30</v>
      </c>
      <c r="J9960" t="s">
        <v>41</v>
      </c>
      <c r="K9960" t="s">
        <v>229</v>
      </c>
      <c r="Q9960">
        <v>0</v>
      </c>
      <c r="R9960">
        <v>60</v>
      </c>
      <c r="S9960">
        <v>60</v>
      </c>
      <c r="T9960" t="s">
        <v>37382</v>
      </c>
    </row>
    <row r="9961" spans="1:20" customFormat="1" ht="15" x14ac:dyDescent="0.25">
      <c r="A9961" t="s">
        <v>35</v>
      </c>
      <c r="B9961" t="s">
        <v>61</v>
      </c>
      <c r="C9961" t="str">
        <f>"A0123171"</f>
        <v>A0123171</v>
      </c>
      <c r="D9961" t="s">
        <v>37383</v>
      </c>
      <c r="E9961" t="s">
        <v>37384</v>
      </c>
      <c r="F9961" t="s">
        <v>1795</v>
      </c>
      <c r="G9961" t="s">
        <v>29</v>
      </c>
      <c r="H9961">
        <v>232254048</v>
      </c>
      <c r="I9961" t="s">
        <v>30</v>
      </c>
      <c r="J9961" t="s">
        <v>41</v>
      </c>
      <c r="K9961" t="s">
        <v>229</v>
      </c>
      <c r="Q9961">
        <v>0</v>
      </c>
      <c r="R9961">
        <v>60</v>
      </c>
      <c r="S9961">
        <v>60</v>
      </c>
      <c r="T9961" t="s">
        <v>37385</v>
      </c>
    </row>
    <row r="9962" spans="1:20" customFormat="1" ht="15" x14ac:dyDescent="0.25">
      <c r="A9962" t="s">
        <v>35</v>
      </c>
      <c r="B9962" t="s">
        <v>61</v>
      </c>
      <c r="C9962" t="str">
        <f>"A0123172"</f>
        <v>A0123172</v>
      </c>
      <c r="D9962" t="s">
        <v>37386</v>
      </c>
      <c r="E9962" t="s">
        <v>37387</v>
      </c>
      <c r="F9962" t="s">
        <v>1795</v>
      </c>
      <c r="G9962" t="s">
        <v>29</v>
      </c>
      <c r="H9962">
        <v>23225</v>
      </c>
      <c r="I9962" t="s">
        <v>30</v>
      </c>
      <c r="J9962" t="s">
        <v>41</v>
      </c>
      <c r="K9962" t="s">
        <v>482</v>
      </c>
      <c r="Q9962">
        <v>0</v>
      </c>
      <c r="R9962">
        <v>176</v>
      </c>
      <c r="S9962">
        <v>176</v>
      </c>
      <c r="T9962" t="s">
        <v>37388</v>
      </c>
    </row>
    <row r="9963" spans="1:20" customFormat="1" ht="15" x14ac:dyDescent="0.25">
      <c r="A9963" t="s">
        <v>35</v>
      </c>
      <c r="B9963" t="s">
        <v>61</v>
      </c>
      <c r="C9963" t="str">
        <f>"A0123627"</f>
        <v>A0123627</v>
      </c>
      <c r="D9963" t="s">
        <v>37389</v>
      </c>
      <c r="E9963" t="s">
        <v>37390</v>
      </c>
      <c r="F9963" t="s">
        <v>4674</v>
      </c>
      <c r="G9963" t="s">
        <v>214</v>
      </c>
      <c r="H9963">
        <v>27889</v>
      </c>
      <c r="I9963" t="s">
        <v>30</v>
      </c>
      <c r="J9963" t="s">
        <v>41</v>
      </c>
      <c r="K9963" t="s">
        <v>59</v>
      </c>
      <c r="Q9963">
        <v>0</v>
      </c>
      <c r="R9963">
        <v>200</v>
      </c>
      <c r="S9963">
        <v>200</v>
      </c>
      <c r="T9963" t="s">
        <v>37391</v>
      </c>
    </row>
    <row r="9964" spans="1:20" customFormat="1" ht="15" x14ac:dyDescent="0.25">
      <c r="A9964" t="s">
        <v>35</v>
      </c>
      <c r="B9964" t="s">
        <v>61</v>
      </c>
      <c r="C9964" t="str">
        <f>"A0125250"</f>
        <v>A0125250</v>
      </c>
      <c r="D9964" t="s">
        <v>37392</v>
      </c>
      <c r="E9964" t="s">
        <v>37393</v>
      </c>
      <c r="F9964" t="s">
        <v>19489</v>
      </c>
      <c r="G9964" t="s">
        <v>40</v>
      </c>
      <c r="H9964">
        <v>73932</v>
      </c>
      <c r="I9964" t="s">
        <v>30</v>
      </c>
      <c r="J9964" t="s">
        <v>41</v>
      </c>
      <c r="K9964" t="s">
        <v>229</v>
      </c>
      <c r="Q9964">
        <v>0</v>
      </c>
      <c r="R9964">
        <v>62</v>
      </c>
      <c r="S9964">
        <v>62</v>
      </c>
      <c r="T9964" t="s">
        <v>37394</v>
      </c>
    </row>
    <row r="9965" spans="1:20" customFormat="1" ht="15" x14ac:dyDescent="0.25">
      <c r="A9965" t="s">
        <v>35</v>
      </c>
      <c r="B9965" t="s">
        <v>61</v>
      </c>
      <c r="C9965" t="str">
        <f>"A0128547"</f>
        <v>A0128547</v>
      </c>
      <c r="D9965" t="s">
        <v>37395</v>
      </c>
      <c r="E9965" t="s">
        <v>37396</v>
      </c>
      <c r="F9965" t="s">
        <v>33290</v>
      </c>
      <c r="G9965" t="s">
        <v>840</v>
      </c>
      <c r="H9965">
        <v>423200000</v>
      </c>
      <c r="I9965" t="s">
        <v>30</v>
      </c>
      <c r="J9965" t="s">
        <v>41</v>
      </c>
      <c r="K9965" t="s">
        <v>229</v>
      </c>
      <c r="Q9965">
        <v>0</v>
      </c>
      <c r="R9965">
        <v>83</v>
      </c>
      <c r="S9965">
        <v>83</v>
      </c>
      <c r="T9965" t="s">
        <v>37397</v>
      </c>
    </row>
    <row r="9966" spans="1:20" customFormat="1" ht="15" x14ac:dyDescent="0.25">
      <c r="A9966" t="s">
        <v>35</v>
      </c>
      <c r="B9966" t="s">
        <v>61</v>
      </c>
      <c r="C9966" t="str">
        <f>"A0124630"</f>
        <v>A0124630</v>
      </c>
      <c r="D9966" t="s">
        <v>37398</v>
      </c>
      <c r="E9966" t="s">
        <v>37399</v>
      </c>
      <c r="F9966" t="s">
        <v>1724</v>
      </c>
      <c r="G9966" t="s">
        <v>1706</v>
      </c>
      <c r="H9966">
        <v>362020000</v>
      </c>
      <c r="I9966" t="s">
        <v>30</v>
      </c>
      <c r="J9966" t="s">
        <v>41</v>
      </c>
      <c r="K9966" t="s">
        <v>229</v>
      </c>
      <c r="Q9966">
        <v>0</v>
      </c>
      <c r="R9966">
        <v>85</v>
      </c>
      <c r="S9966">
        <v>85</v>
      </c>
      <c r="T9966" t="s">
        <v>37400</v>
      </c>
    </row>
    <row r="9967" spans="1:20" customFormat="1" ht="15" x14ac:dyDescent="0.25">
      <c r="A9967" t="s">
        <v>35</v>
      </c>
      <c r="B9967" t="s">
        <v>61</v>
      </c>
      <c r="C9967" t="str">
        <f>"A0125710"</f>
        <v>A0125710</v>
      </c>
      <c r="D9967" t="s">
        <v>30532</v>
      </c>
      <c r="E9967" t="s">
        <v>37401</v>
      </c>
      <c r="F9967" t="s">
        <v>8642</v>
      </c>
      <c r="G9967" t="s">
        <v>29</v>
      </c>
      <c r="H9967">
        <v>24523</v>
      </c>
      <c r="I9967" t="s">
        <v>30</v>
      </c>
      <c r="J9967" t="s">
        <v>41</v>
      </c>
      <c r="K9967" t="s">
        <v>229</v>
      </c>
      <c r="Q9967">
        <v>0</v>
      </c>
      <c r="R9967">
        <v>90</v>
      </c>
      <c r="S9967">
        <v>90</v>
      </c>
      <c r="T9967" t="s">
        <v>37402</v>
      </c>
    </row>
    <row r="9968" spans="1:20" customFormat="1" ht="15" x14ac:dyDescent="0.25">
      <c r="A9968" t="s">
        <v>35</v>
      </c>
      <c r="B9968" t="s">
        <v>61</v>
      </c>
      <c r="C9968" t="str">
        <f>"A0133744"</f>
        <v>A0133744</v>
      </c>
      <c r="D9968" t="s">
        <v>37403</v>
      </c>
      <c r="E9968" t="s">
        <v>37404</v>
      </c>
      <c r="F9968" t="s">
        <v>4133</v>
      </c>
      <c r="G9968" t="s">
        <v>52</v>
      </c>
      <c r="H9968">
        <v>78738</v>
      </c>
      <c r="I9968" t="s">
        <v>30</v>
      </c>
      <c r="J9968" t="s">
        <v>41</v>
      </c>
      <c r="K9968" t="s">
        <v>4020</v>
      </c>
      <c r="Q9968">
        <v>0</v>
      </c>
      <c r="R9968">
        <v>0</v>
      </c>
      <c r="S9968">
        <v>0</v>
      </c>
      <c r="T9968" t="s">
        <v>37405</v>
      </c>
    </row>
    <row r="9969" spans="1:20" customFormat="1" ht="15" x14ac:dyDescent="0.25">
      <c r="A9969" t="s">
        <v>35</v>
      </c>
      <c r="B9969" t="s">
        <v>61</v>
      </c>
      <c r="C9969" t="str">
        <f>"A0122033"</f>
        <v>A0122033</v>
      </c>
      <c r="D9969" t="s">
        <v>37406</v>
      </c>
      <c r="E9969" t="s">
        <v>37407</v>
      </c>
      <c r="F9969" t="s">
        <v>7638</v>
      </c>
      <c r="G9969" t="s">
        <v>221</v>
      </c>
      <c r="H9969">
        <v>89027</v>
      </c>
      <c r="I9969" t="s">
        <v>30</v>
      </c>
      <c r="J9969" t="s">
        <v>41</v>
      </c>
      <c r="K9969" t="s">
        <v>59</v>
      </c>
      <c r="Q9969">
        <v>0</v>
      </c>
      <c r="R9969">
        <v>18</v>
      </c>
      <c r="S9969">
        <v>18</v>
      </c>
      <c r="T9969" t="s">
        <v>37408</v>
      </c>
    </row>
    <row r="9970" spans="1:20" customFormat="1" ht="15" x14ac:dyDescent="0.25">
      <c r="A9970" t="s">
        <v>35</v>
      </c>
      <c r="B9970" t="s">
        <v>61</v>
      </c>
      <c r="C9970" t="str">
        <f>"A0122055"</f>
        <v>A0122055</v>
      </c>
      <c r="D9970" t="s">
        <v>37409</v>
      </c>
      <c r="E9970" t="s">
        <v>37410</v>
      </c>
      <c r="F9970" t="s">
        <v>7638</v>
      </c>
      <c r="G9970" t="s">
        <v>221</v>
      </c>
      <c r="H9970">
        <v>89027</v>
      </c>
      <c r="I9970" t="s">
        <v>30</v>
      </c>
      <c r="J9970" t="s">
        <v>41</v>
      </c>
      <c r="K9970" t="s">
        <v>59</v>
      </c>
      <c r="Q9970">
        <v>0</v>
      </c>
      <c r="R9970">
        <v>15</v>
      </c>
      <c r="S9970">
        <v>15</v>
      </c>
      <c r="T9970" t="s">
        <v>37411</v>
      </c>
    </row>
    <row r="9971" spans="1:20" customFormat="1" ht="15" x14ac:dyDescent="0.25">
      <c r="A9971" t="s">
        <v>35</v>
      </c>
      <c r="B9971" t="s">
        <v>61</v>
      </c>
      <c r="C9971" t="str">
        <f>"A0124106"</f>
        <v>A0124106</v>
      </c>
      <c r="D9971" t="s">
        <v>37412</v>
      </c>
      <c r="E9971" t="s">
        <v>37413</v>
      </c>
      <c r="F9971" t="s">
        <v>12250</v>
      </c>
      <c r="G9971" t="s">
        <v>528</v>
      </c>
      <c r="H9971">
        <v>19958</v>
      </c>
      <c r="I9971" t="s">
        <v>30</v>
      </c>
      <c r="J9971" t="s">
        <v>41</v>
      </c>
      <c r="K9971" t="s">
        <v>229</v>
      </c>
      <c r="Q9971">
        <v>0</v>
      </c>
      <c r="R9971">
        <v>280</v>
      </c>
      <c r="S9971">
        <v>280</v>
      </c>
      <c r="T9971" t="s">
        <v>37414</v>
      </c>
    </row>
    <row r="9972" spans="1:20" customFormat="1" ht="15" x14ac:dyDescent="0.25">
      <c r="A9972" t="s">
        <v>35</v>
      </c>
      <c r="B9972" t="s">
        <v>61</v>
      </c>
      <c r="C9972" t="str">
        <f>"A0132536"</f>
        <v>A0132536</v>
      </c>
      <c r="D9972" t="s">
        <v>37415</v>
      </c>
      <c r="E9972" t="s">
        <v>37416</v>
      </c>
      <c r="F9972" t="s">
        <v>3661</v>
      </c>
      <c r="G9972" t="s">
        <v>65</v>
      </c>
      <c r="H9972">
        <v>45208</v>
      </c>
      <c r="I9972" t="s">
        <v>30</v>
      </c>
      <c r="J9972" t="s">
        <v>41</v>
      </c>
      <c r="K9972" t="s">
        <v>229</v>
      </c>
      <c r="Q9972">
        <v>0</v>
      </c>
      <c r="R9972">
        <v>88</v>
      </c>
      <c r="S9972">
        <v>88</v>
      </c>
      <c r="T9972" t="s">
        <v>37417</v>
      </c>
    </row>
    <row r="9973" spans="1:20" customFormat="1" ht="15" x14ac:dyDescent="0.25">
      <c r="A9973" t="s">
        <v>35</v>
      </c>
      <c r="B9973" t="s">
        <v>61</v>
      </c>
      <c r="C9973" t="str">
        <f>"A0130582"</f>
        <v>A0130582</v>
      </c>
      <c r="D9973" t="s">
        <v>37418</v>
      </c>
      <c r="E9973" t="s">
        <v>37419</v>
      </c>
      <c r="F9973" t="s">
        <v>37420</v>
      </c>
      <c r="G9973" t="s">
        <v>71</v>
      </c>
      <c r="H9973">
        <v>53040</v>
      </c>
      <c r="I9973" t="s">
        <v>30</v>
      </c>
      <c r="J9973" t="s">
        <v>41</v>
      </c>
      <c r="K9973" t="s">
        <v>229</v>
      </c>
      <c r="Q9973">
        <v>0</v>
      </c>
      <c r="R9973">
        <v>26</v>
      </c>
      <c r="S9973">
        <v>26</v>
      </c>
      <c r="T9973" t="s">
        <v>37421</v>
      </c>
    </row>
    <row r="9974" spans="1:20" customFormat="1" ht="15" x14ac:dyDescent="0.25">
      <c r="A9974" t="s">
        <v>35</v>
      </c>
      <c r="B9974" t="s">
        <v>61</v>
      </c>
      <c r="C9974" t="str">
        <f>"A0130244"</f>
        <v>A0130244</v>
      </c>
      <c r="D9974" t="s">
        <v>37422</v>
      </c>
      <c r="E9974" t="s">
        <v>37423</v>
      </c>
      <c r="F9974" t="s">
        <v>5196</v>
      </c>
      <c r="G9974" t="s">
        <v>161</v>
      </c>
      <c r="H9974">
        <v>55811</v>
      </c>
      <c r="I9974" t="s">
        <v>30</v>
      </c>
      <c r="J9974" t="s">
        <v>41</v>
      </c>
      <c r="K9974" t="s">
        <v>59</v>
      </c>
      <c r="Q9974">
        <v>0</v>
      </c>
      <c r="R9974">
        <v>20</v>
      </c>
      <c r="S9974">
        <v>20</v>
      </c>
      <c r="T9974" t="s">
        <v>37424</v>
      </c>
    </row>
    <row r="9975" spans="1:20" customFormat="1" ht="15" x14ac:dyDescent="0.25">
      <c r="A9975" t="s">
        <v>35</v>
      </c>
      <c r="B9975" t="s">
        <v>61</v>
      </c>
      <c r="C9975" t="str">
        <f>"A0118183"</f>
        <v>A0118183</v>
      </c>
      <c r="D9975" t="s">
        <v>37425</v>
      </c>
      <c r="E9975" t="s">
        <v>37426</v>
      </c>
      <c r="F9975" t="s">
        <v>37427</v>
      </c>
      <c r="G9975" t="s">
        <v>153</v>
      </c>
      <c r="H9975">
        <v>84521</v>
      </c>
      <c r="I9975" t="s">
        <v>30</v>
      </c>
      <c r="J9975" t="s">
        <v>41</v>
      </c>
      <c r="K9975" t="s">
        <v>1440</v>
      </c>
      <c r="Q9975">
        <v>0</v>
      </c>
      <c r="R9975">
        <v>35</v>
      </c>
      <c r="S9975">
        <v>35</v>
      </c>
      <c r="T9975" t="s">
        <v>37428</v>
      </c>
    </row>
    <row r="9976" spans="1:20" customFormat="1" ht="15" x14ac:dyDescent="0.25">
      <c r="A9976" t="s">
        <v>35</v>
      </c>
      <c r="B9976" t="s">
        <v>61</v>
      </c>
      <c r="C9976" t="str">
        <f>"A0118140"</f>
        <v>A0118140</v>
      </c>
      <c r="D9976" t="s">
        <v>37429</v>
      </c>
      <c r="E9976" t="s">
        <v>37430</v>
      </c>
      <c r="F9976" t="s">
        <v>37431</v>
      </c>
      <c r="G9976" t="s">
        <v>153</v>
      </c>
      <c r="H9976">
        <v>84501</v>
      </c>
      <c r="I9976" t="s">
        <v>30</v>
      </c>
      <c r="J9976" t="s">
        <v>41</v>
      </c>
      <c r="K9976" t="s">
        <v>59</v>
      </c>
      <c r="Q9976">
        <v>0</v>
      </c>
      <c r="R9976">
        <v>16</v>
      </c>
      <c r="S9976">
        <v>16</v>
      </c>
      <c r="T9976" t="s">
        <v>37432</v>
      </c>
    </row>
    <row r="9977" spans="1:20" customFormat="1" ht="15" x14ac:dyDescent="0.25">
      <c r="A9977" t="s">
        <v>35</v>
      </c>
      <c r="B9977" t="s">
        <v>61</v>
      </c>
      <c r="C9977" t="str">
        <f>"A0121254"</f>
        <v>A0121254</v>
      </c>
      <c r="D9977" t="s">
        <v>37433</v>
      </c>
      <c r="E9977" t="s">
        <v>37434</v>
      </c>
      <c r="F9977" t="s">
        <v>36852</v>
      </c>
      <c r="G9977" t="s">
        <v>153</v>
      </c>
      <c r="H9977">
        <v>84020</v>
      </c>
      <c r="I9977" t="s">
        <v>30</v>
      </c>
      <c r="J9977" t="s">
        <v>41</v>
      </c>
      <c r="K9977" t="s">
        <v>59</v>
      </c>
      <c r="Q9977">
        <v>0</v>
      </c>
      <c r="R9977">
        <v>35</v>
      </c>
      <c r="S9977">
        <v>35</v>
      </c>
      <c r="T9977" t="s">
        <v>37435</v>
      </c>
    </row>
    <row r="9978" spans="1:20" customFormat="1" ht="15" x14ac:dyDescent="0.25">
      <c r="A9978" t="s">
        <v>35</v>
      </c>
      <c r="B9978" t="s">
        <v>61</v>
      </c>
      <c r="C9978" t="str">
        <f>"A0128580"</f>
        <v>A0128580</v>
      </c>
      <c r="D9978" t="s">
        <v>37436</v>
      </c>
      <c r="E9978" t="s">
        <v>37437</v>
      </c>
      <c r="F9978" t="s">
        <v>14008</v>
      </c>
      <c r="G9978" t="s">
        <v>840</v>
      </c>
      <c r="H9978">
        <v>42754</v>
      </c>
      <c r="I9978" t="s">
        <v>30</v>
      </c>
      <c r="J9978" t="s">
        <v>41</v>
      </c>
      <c r="K9978" t="s">
        <v>59</v>
      </c>
      <c r="Q9978">
        <v>0</v>
      </c>
      <c r="R9978">
        <v>17</v>
      </c>
      <c r="S9978">
        <v>17</v>
      </c>
      <c r="T9978" t="s">
        <v>37438</v>
      </c>
    </row>
    <row r="9979" spans="1:20" customFormat="1" ht="15" x14ac:dyDescent="0.25">
      <c r="A9979" t="s">
        <v>35</v>
      </c>
      <c r="B9979" t="s">
        <v>61</v>
      </c>
      <c r="C9979" t="str">
        <f>"A0150789"</f>
        <v>A0150789</v>
      </c>
      <c r="D9979" t="s">
        <v>37439</v>
      </c>
      <c r="E9979" t="s">
        <v>37440</v>
      </c>
      <c r="F9979" t="s">
        <v>1989</v>
      </c>
      <c r="G9979" t="s">
        <v>153</v>
      </c>
      <c r="H9979">
        <v>84095</v>
      </c>
      <c r="I9979" t="s">
        <v>30</v>
      </c>
      <c r="J9979" t="s">
        <v>41</v>
      </c>
      <c r="K9979" t="s">
        <v>59</v>
      </c>
      <c r="Q9979">
        <v>0</v>
      </c>
      <c r="R9979">
        <v>30</v>
      </c>
      <c r="S9979">
        <v>30</v>
      </c>
      <c r="T9979" t="s">
        <v>37441</v>
      </c>
    </row>
    <row r="9980" spans="1:20" customFormat="1" ht="15" x14ac:dyDescent="0.25">
      <c r="A9980" t="s">
        <v>35</v>
      </c>
      <c r="B9980" t="s">
        <v>61</v>
      </c>
      <c r="C9980" t="str">
        <f>"A0124107"</f>
        <v>A0124107</v>
      </c>
      <c r="D9980" t="s">
        <v>37442</v>
      </c>
      <c r="E9980" t="s">
        <v>37443</v>
      </c>
      <c r="F9980" t="s">
        <v>16471</v>
      </c>
      <c r="G9980" t="s">
        <v>58</v>
      </c>
      <c r="H9980">
        <v>29926</v>
      </c>
      <c r="I9980" t="s">
        <v>30</v>
      </c>
      <c r="J9980" t="s">
        <v>41</v>
      </c>
      <c r="K9980" t="s">
        <v>229</v>
      </c>
      <c r="Q9980">
        <v>0</v>
      </c>
      <c r="R9980">
        <v>80</v>
      </c>
      <c r="S9980">
        <v>80</v>
      </c>
      <c r="T9980" t="s">
        <v>37444</v>
      </c>
    </row>
    <row r="9981" spans="1:20" customFormat="1" ht="15" x14ac:dyDescent="0.25">
      <c r="A9981" t="s">
        <v>35</v>
      </c>
      <c r="B9981" t="s">
        <v>61</v>
      </c>
      <c r="C9981" t="str">
        <f>"A0118119"</f>
        <v>A0118119</v>
      </c>
      <c r="D9981" t="s">
        <v>37445</v>
      </c>
      <c r="E9981" t="s">
        <v>37446</v>
      </c>
      <c r="F9981" t="s">
        <v>37447</v>
      </c>
      <c r="G9981" t="s">
        <v>153</v>
      </c>
      <c r="H9981">
        <v>840030000</v>
      </c>
      <c r="I9981" t="s">
        <v>30</v>
      </c>
      <c r="J9981" t="s">
        <v>41</v>
      </c>
      <c r="K9981" t="s">
        <v>59</v>
      </c>
      <c r="Q9981">
        <v>0</v>
      </c>
      <c r="R9981">
        <v>48</v>
      </c>
      <c r="S9981">
        <v>48</v>
      </c>
      <c r="T9981" t="s">
        <v>37448</v>
      </c>
    </row>
    <row r="9982" spans="1:20" customFormat="1" ht="15" x14ac:dyDescent="0.25">
      <c r="A9982" t="s">
        <v>35</v>
      </c>
      <c r="B9982" t="s">
        <v>61</v>
      </c>
      <c r="C9982" t="str">
        <f>"A0118411"</f>
        <v>A0118411</v>
      </c>
      <c r="D9982" t="s">
        <v>37449</v>
      </c>
      <c r="E9982" t="s">
        <v>37450</v>
      </c>
      <c r="F9982" t="s">
        <v>6244</v>
      </c>
      <c r="G9982" t="s">
        <v>110</v>
      </c>
      <c r="H9982">
        <v>93710</v>
      </c>
      <c r="I9982" t="s">
        <v>30</v>
      </c>
      <c r="J9982" t="s">
        <v>41</v>
      </c>
      <c r="K9982" t="s">
        <v>59</v>
      </c>
      <c r="Q9982">
        <v>0</v>
      </c>
      <c r="R9982">
        <v>82</v>
      </c>
      <c r="S9982">
        <v>82</v>
      </c>
      <c r="T9982" t="s">
        <v>37451</v>
      </c>
    </row>
    <row r="9983" spans="1:20" customFormat="1" ht="15" x14ac:dyDescent="0.25">
      <c r="A9983" t="s">
        <v>35</v>
      </c>
      <c r="B9983" t="s">
        <v>61</v>
      </c>
      <c r="C9983" t="str">
        <f>"A0123173"</f>
        <v>A0123173</v>
      </c>
      <c r="D9983" t="s">
        <v>37452</v>
      </c>
      <c r="E9983" t="s">
        <v>37453</v>
      </c>
      <c r="F9983" t="s">
        <v>15676</v>
      </c>
      <c r="G9983" t="s">
        <v>214</v>
      </c>
      <c r="H9983">
        <v>28052</v>
      </c>
      <c r="I9983" t="s">
        <v>30</v>
      </c>
      <c r="J9983" t="s">
        <v>41</v>
      </c>
      <c r="K9983" t="s">
        <v>229</v>
      </c>
      <c r="Q9983">
        <v>0</v>
      </c>
      <c r="R9983">
        <v>80</v>
      </c>
      <c r="S9983">
        <v>80</v>
      </c>
      <c r="T9983" t="s">
        <v>37454</v>
      </c>
    </row>
    <row r="9984" spans="1:20" customFormat="1" ht="15" x14ac:dyDescent="0.25">
      <c r="A9984" t="s">
        <v>35</v>
      </c>
      <c r="B9984" t="s">
        <v>61</v>
      </c>
      <c r="C9984" t="str">
        <f>"A0129905"</f>
        <v>A0129905</v>
      </c>
      <c r="D9984" t="s">
        <v>37455</v>
      </c>
      <c r="E9984" t="s">
        <v>37456</v>
      </c>
      <c r="F9984" t="s">
        <v>1969</v>
      </c>
      <c r="G9984" t="s">
        <v>65</v>
      </c>
      <c r="H9984">
        <v>43017</v>
      </c>
      <c r="I9984" t="s">
        <v>30</v>
      </c>
      <c r="J9984" t="s">
        <v>41</v>
      </c>
      <c r="K9984" t="s">
        <v>229</v>
      </c>
      <c r="Q9984">
        <v>0</v>
      </c>
      <c r="R9984">
        <v>45</v>
      </c>
      <c r="S9984">
        <v>45</v>
      </c>
      <c r="T9984" t="s">
        <v>37457</v>
      </c>
    </row>
    <row r="9985" spans="1:20" customFormat="1" ht="15" x14ac:dyDescent="0.25">
      <c r="A9985" t="s">
        <v>35</v>
      </c>
      <c r="B9985" t="s">
        <v>61</v>
      </c>
      <c r="C9985" t="str">
        <f>"A0151115"</f>
        <v>A0151115</v>
      </c>
      <c r="D9985" t="s">
        <v>17738</v>
      </c>
      <c r="E9985" t="s">
        <v>37458</v>
      </c>
      <c r="F9985" t="s">
        <v>17740</v>
      </c>
      <c r="G9985" t="s">
        <v>40</v>
      </c>
      <c r="H9985">
        <v>74501</v>
      </c>
      <c r="I9985" t="s">
        <v>30</v>
      </c>
      <c r="J9985" t="s">
        <v>41</v>
      </c>
      <c r="K9985" t="s">
        <v>1440</v>
      </c>
      <c r="Q9985">
        <v>0</v>
      </c>
      <c r="R9985">
        <v>100</v>
      </c>
      <c r="S9985">
        <v>100</v>
      </c>
      <c r="T9985" t="s">
        <v>37459</v>
      </c>
    </row>
    <row r="9986" spans="1:20" customFormat="1" ht="15" x14ac:dyDescent="0.25">
      <c r="A9986" t="s">
        <v>35</v>
      </c>
      <c r="B9986" t="s">
        <v>61</v>
      </c>
      <c r="C9986" t="str">
        <f>"A0125412"</f>
        <v>A0125412</v>
      </c>
      <c r="D9986" t="s">
        <v>37460</v>
      </c>
      <c r="E9986" t="s">
        <v>37461</v>
      </c>
      <c r="F9986" t="s">
        <v>36189</v>
      </c>
      <c r="G9986" t="s">
        <v>40</v>
      </c>
      <c r="H9986">
        <v>74804</v>
      </c>
      <c r="I9986" t="s">
        <v>30</v>
      </c>
      <c r="J9986" t="s">
        <v>41</v>
      </c>
      <c r="K9986" t="s">
        <v>1032</v>
      </c>
      <c r="Q9986">
        <v>0</v>
      </c>
      <c r="R9986">
        <v>60</v>
      </c>
      <c r="S9986">
        <v>60</v>
      </c>
      <c r="T9986" t="s">
        <v>37462</v>
      </c>
    </row>
    <row r="9987" spans="1:20" customFormat="1" ht="15" x14ac:dyDescent="0.25">
      <c r="A9987" t="s">
        <v>35</v>
      </c>
      <c r="B9987" t="s">
        <v>61</v>
      </c>
      <c r="C9987" t="str">
        <f>"A0130250"</f>
        <v>A0130250</v>
      </c>
      <c r="D9987" t="s">
        <v>37463</v>
      </c>
      <c r="E9987" t="s">
        <v>37464</v>
      </c>
      <c r="F9987" t="s">
        <v>37465</v>
      </c>
      <c r="G9987" t="s">
        <v>161</v>
      </c>
      <c r="H9987">
        <v>56312</v>
      </c>
      <c r="I9987" t="s">
        <v>30</v>
      </c>
      <c r="J9987" t="s">
        <v>41</v>
      </c>
      <c r="K9987" t="s">
        <v>229</v>
      </c>
      <c r="Q9987">
        <v>0</v>
      </c>
      <c r="R9987">
        <v>64</v>
      </c>
      <c r="S9987">
        <v>64</v>
      </c>
      <c r="T9987" t="s">
        <v>37466</v>
      </c>
    </row>
    <row r="9988" spans="1:20" customFormat="1" ht="15" x14ac:dyDescent="0.25">
      <c r="A9988" t="s">
        <v>35</v>
      </c>
      <c r="B9988" t="s">
        <v>61</v>
      </c>
      <c r="C9988" t="str">
        <f>"A0117844"</f>
        <v>A0117844</v>
      </c>
      <c r="D9988" t="s">
        <v>37467</v>
      </c>
      <c r="E9988" t="s">
        <v>37468</v>
      </c>
      <c r="F9988" t="s">
        <v>25269</v>
      </c>
      <c r="G9988" t="s">
        <v>110</v>
      </c>
      <c r="H9988">
        <v>902010000</v>
      </c>
      <c r="I9988" t="s">
        <v>30</v>
      </c>
      <c r="J9988" t="s">
        <v>41</v>
      </c>
      <c r="K9988" t="s">
        <v>229</v>
      </c>
      <c r="Q9988">
        <v>0</v>
      </c>
      <c r="R9988">
        <v>99</v>
      </c>
      <c r="S9988">
        <v>99</v>
      </c>
      <c r="T9988" t="s">
        <v>37469</v>
      </c>
    </row>
    <row r="9989" spans="1:20" customFormat="1" ht="15" x14ac:dyDescent="0.25">
      <c r="A9989" t="s">
        <v>35</v>
      </c>
      <c r="B9989" t="s">
        <v>61</v>
      </c>
      <c r="C9989" t="str">
        <f>"A0125137"</f>
        <v>A0125137</v>
      </c>
      <c r="D9989" t="s">
        <v>37470</v>
      </c>
      <c r="E9989" t="s">
        <v>37471</v>
      </c>
      <c r="F9989" t="s">
        <v>37109</v>
      </c>
      <c r="G9989" t="s">
        <v>214</v>
      </c>
      <c r="H9989">
        <v>27529</v>
      </c>
      <c r="I9989" t="s">
        <v>30</v>
      </c>
      <c r="J9989" t="s">
        <v>41</v>
      </c>
      <c r="K9989" t="s">
        <v>229</v>
      </c>
      <c r="Q9989">
        <v>0</v>
      </c>
      <c r="R9989">
        <v>100</v>
      </c>
      <c r="S9989">
        <v>100</v>
      </c>
      <c r="T9989" t="s">
        <v>72</v>
      </c>
    </row>
    <row r="9990" spans="1:20" customFormat="1" ht="15" x14ac:dyDescent="0.25">
      <c r="A9990" t="s">
        <v>35</v>
      </c>
      <c r="B9990" t="s">
        <v>61</v>
      </c>
      <c r="C9990" t="str">
        <f>"A0127880"</f>
        <v>A0127880</v>
      </c>
      <c r="D9990" t="s">
        <v>37472</v>
      </c>
      <c r="E9990" t="s">
        <v>37473</v>
      </c>
      <c r="F9990" t="s">
        <v>10538</v>
      </c>
      <c r="G9990" t="s">
        <v>117</v>
      </c>
      <c r="H9990">
        <v>49651</v>
      </c>
      <c r="I9990" t="s">
        <v>30</v>
      </c>
      <c r="J9990" t="s">
        <v>41</v>
      </c>
      <c r="K9990" t="s">
        <v>482</v>
      </c>
      <c r="Q9990">
        <v>0</v>
      </c>
      <c r="R9990">
        <v>25</v>
      </c>
      <c r="S9990">
        <v>25</v>
      </c>
      <c r="T9990" t="s">
        <v>37474</v>
      </c>
    </row>
    <row r="9991" spans="1:20" customFormat="1" ht="15" x14ac:dyDescent="0.25">
      <c r="A9991" t="s">
        <v>35</v>
      </c>
      <c r="B9991" t="s">
        <v>61</v>
      </c>
      <c r="C9991" t="str">
        <f>"A0118204"</f>
        <v>A0118204</v>
      </c>
      <c r="D9991" t="s">
        <v>37475</v>
      </c>
      <c r="E9991" t="s">
        <v>37476</v>
      </c>
      <c r="F9991" t="s">
        <v>9441</v>
      </c>
      <c r="G9991" t="s">
        <v>153</v>
      </c>
      <c r="H9991">
        <v>84721</v>
      </c>
      <c r="I9991" t="s">
        <v>30</v>
      </c>
      <c r="J9991" t="s">
        <v>41</v>
      </c>
      <c r="K9991" t="s">
        <v>229</v>
      </c>
      <c r="Q9991">
        <v>0</v>
      </c>
      <c r="R9991">
        <v>120</v>
      </c>
      <c r="S9991">
        <v>120</v>
      </c>
      <c r="T9991" t="s">
        <v>37477</v>
      </c>
    </row>
    <row r="9992" spans="1:20" customFormat="1" ht="15" x14ac:dyDescent="0.25">
      <c r="A9992" t="s">
        <v>35</v>
      </c>
      <c r="B9992" t="s">
        <v>61</v>
      </c>
      <c r="C9992" t="str">
        <f>"A0121257"</f>
        <v>A0121257</v>
      </c>
      <c r="D9992" t="s">
        <v>37478</v>
      </c>
      <c r="E9992" t="s">
        <v>37479</v>
      </c>
      <c r="F9992" t="s">
        <v>37480</v>
      </c>
      <c r="G9992" t="s">
        <v>153</v>
      </c>
      <c r="H9992">
        <v>84790</v>
      </c>
      <c r="I9992" t="s">
        <v>30</v>
      </c>
      <c r="J9992" t="s">
        <v>41</v>
      </c>
      <c r="K9992" t="s">
        <v>229</v>
      </c>
      <c r="Q9992">
        <v>0</v>
      </c>
      <c r="R9992">
        <v>180</v>
      </c>
      <c r="S9992">
        <v>180</v>
      </c>
      <c r="T9992" t="s">
        <v>37481</v>
      </c>
    </row>
    <row r="9993" spans="1:20" customFormat="1" ht="15" x14ac:dyDescent="0.25">
      <c r="A9993" t="s">
        <v>35</v>
      </c>
      <c r="B9993" t="s">
        <v>9198</v>
      </c>
      <c r="C9993" t="str">
        <f>"A0119325"</f>
        <v>A0119325</v>
      </c>
      <c r="D9993" t="s">
        <v>37482</v>
      </c>
      <c r="E9993" t="s">
        <v>37483</v>
      </c>
      <c r="F9993" t="s">
        <v>37484</v>
      </c>
      <c r="G9993" t="s">
        <v>110</v>
      </c>
      <c r="H9993">
        <v>91945</v>
      </c>
      <c r="I9993" t="s">
        <v>30</v>
      </c>
      <c r="J9993" t="s">
        <v>41</v>
      </c>
      <c r="K9993" t="s">
        <v>229</v>
      </c>
      <c r="Q9993">
        <v>0</v>
      </c>
      <c r="R9993">
        <v>99</v>
      </c>
      <c r="S9993">
        <v>99</v>
      </c>
      <c r="T9993" t="s">
        <v>37485</v>
      </c>
    </row>
    <row r="9994" spans="1:20" customFormat="1" ht="15" x14ac:dyDescent="0.25">
      <c r="A9994" t="s">
        <v>35</v>
      </c>
      <c r="B9994" t="s">
        <v>61</v>
      </c>
      <c r="C9994" t="str">
        <f>"A0127867"</f>
        <v>A0127867</v>
      </c>
      <c r="D9994" t="s">
        <v>37486</v>
      </c>
      <c r="E9994" t="s">
        <v>37487</v>
      </c>
      <c r="F9994" t="s">
        <v>15052</v>
      </c>
      <c r="G9994" t="s">
        <v>117</v>
      </c>
      <c r="H9994">
        <v>48193</v>
      </c>
      <c r="I9994" t="s">
        <v>30</v>
      </c>
      <c r="J9994" t="s">
        <v>41</v>
      </c>
      <c r="K9994" t="s">
        <v>59</v>
      </c>
      <c r="Q9994">
        <v>0</v>
      </c>
      <c r="R9994">
        <v>87</v>
      </c>
      <c r="S9994">
        <v>87</v>
      </c>
      <c r="T9994" t="s">
        <v>37488</v>
      </c>
    </row>
    <row r="9995" spans="1:20" customFormat="1" ht="15" x14ac:dyDescent="0.25">
      <c r="A9995" t="s">
        <v>35</v>
      </c>
      <c r="B9995" t="s">
        <v>61</v>
      </c>
      <c r="C9995" t="str">
        <f>"A0127877"</f>
        <v>A0127877</v>
      </c>
      <c r="D9995" t="s">
        <v>37489</v>
      </c>
      <c r="E9995" t="s">
        <v>37490</v>
      </c>
      <c r="F9995" t="s">
        <v>10538</v>
      </c>
      <c r="G9995" t="s">
        <v>117</v>
      </c>
      <c r="H9995">
        <v>49651</v>
      </c>
      <c r="I9995" t="s">
        <v>30</v>
      </c>
      <c r="J9995" t="s">
        <v>41</v>
      </c>
      <c r="K9995" t="s">
        <v>59</v>
      </c>
      <c r="Q9995">
        <v>0</v>
      </c>
      <c r="R9995">
        <v>50</v>
      </c>
      <c r="S9995">
        <v>50</v>
      </c>
      <c r="T9995" t="s">
        <v>37474</v>
      </c>
    </row>
    <row r="9996" spans="1:20" customFormat="1" ht="15" x14ac:dyDescent="0.25">
      <c r="A9996" t="s">
        <v>35</v>
      </c>
      <c r="B9996" t="s">
        <v>61</v>
      </c>
      <c r="C9996" t="str">
        <f>"A0128650"</f>
        <v>A0128650</v>
      </c>
      <c r="D9996" t="s">
        <v>37491</v>
      </c>
      <c r="E9996" t="s">
        <v>37492</v>
      </c>
      <c r="F9996" t="s">
        <v>8103</v>
      </c>
      <c r="G9996" t="s">
        <v>1170</v>
      </c>
      <c r="H9996">
        <v>70056</v>
      </c>
      <c r="I9996" t="s">
        <v>30</v>
      </c>
      <c r="J9996" t="s">
        <v>41</v>
      </c>
      <c r="K9996" t="s">
        <v>229</v>
      </c>
      <c r="Q9996">
        <v>0</v>
      </c>
      <c r="R9996">
        <v>89</v>
      </c>
      <c r="S9996">
        <v>89</v>
      </c>
      <c r="T9996" t="s">
        <v>37493</v>
      </c>
    </row>
    <row r="9997" spans="1:20" customFormat="1" ht="15" x14ac:dyDescent="0.25">
      <c r="A9997" t="s">
        <v>35</v>
      </c>
      <c r="B9997" t="s">
        <v>61</v>
      </c>
      <c r="C9997" t="str">
        <f>"A0128734"</f>
        <v>A0128734</v>
      </c>
      <c r="D9997" t="s">
        <v>37494</v>
      </c>
      <c r="E9997" t="s">
        <v>37495</v>
      </c>
      <c r="F9997" t="s">
        <v>7095</v>
      </c>
      <c r="G9997" t="s">
        <v>1170</v>
      </c>
      <c r="H9997">
        <v>70114</v>
      </c>
      <c r="I9997" t="s">
        <v>30</v>
      </c>
      <c r="J9997" t="s">
        <v>41</v>
      </c>
      <c r="K9997" t="s">
        <v>59</v>
      </c>
      <c r="Q9997">
        <v>0</v>
      </c>
      <c r="R9997">
        <v>35</v>
      </c>
      <c r="S9997">
        <v>35</v>
      </c>
      <c r="T9997" t="s">
        <v>37496</v>
      </c>
    </row>
    <row r="9998" spans="1:20" customFormat="1" ht="15" x14ac:dyDescent="0.25">
      <c r="A9998" t="s">
        <v>35</v>
      </c>
      <c r="B9998" t="s">
        <v>106</v>
      </c>
      <c r="C9998" t="str">
        <f>"A0136458"</f>
        <v>A0136458</v>
      </c>
      <c r="D9998" t="s">
        <v>37497</v>
      </c>
      <c r="E9998" t="s">
        <v>37498</v>
      </c>
      <c r="F9998" t="s">
        <v>5752</v>
      </c>
      <c r="G9998" t="s">
        <v>76</v>
      </c>
      <c r="H9998">
        <v>98007</v>
      </c>
      <c r="I9998" t="s">
        <v>30</v>
      </c>
      <c r="J9998" t="s">
        <v>111</v>
      </c>
      <c r="K9998" t="s">
        <v>112</v>
      </c>
      <c r="Q9998">
        <v>0</v>
      </c>
      <c r="R9998">
        <v>0</v>
      </c>
      <c r="S9998">
        <v>0</v>
      </c>
      <c r="T9998" t="s">
        <v>37499</v>
      </c>
    </row>
    <row r="9999" spans="1:20" customFormat="1" ht="15" x14ac:dyDescent="0.25">
      <c r="A9999" t="s">
        <v>35</v>
      </c>
      <c r="B9999" t="s">
        <v>61</v>
      </c>
      <c r="C9999" t="str">
        <f>"A0122749"</f>
        <v>A0122749</v>
      </c>
      <c r="D9999" t="s">
        <v>37500</v>
      </c>
      <c r="E9999" t="s">
        <v>37501</v>
      </c>
      <c r="F9999" t="s">
        <v>950</v>
      </c>
      <c r="G9999" t="s">
        <v>76</v>
      </c>
      <c r="H9999">
        <v>982250000</v>
      </c>
      <c r="I9999" t="s">
        <v>30</v>
      </c>
      <c r="J9999" t="s">
        <v>41</v>
      </c>
      <c r="K9999" t="s">
        <v>59</v>
      </c>
      <c r="Q9999">
        <v>0</v>
      </c>
      <c r="R9999">
        <v>1</v>
      </c>
      <c r="S9999">
        <v>1</v>
      </c>
      <c r="T9999" t="s">
        <v>37502</v>
      </c>
    </row>
    <row r="10000" spans="1:20" customFormat="1" ht="15" x14ac:dyDescent="0.25">
      <c r="A10000" t="s">
        <v>35</v>
      </c>
      <c r="B10000" t="s">
        <v>61</v>
      </c>
      <c r="C10000" t="str">
        <f>"A0151512"</f>
        <v>A0151512</v>
      </c>
      <c r="D10000" t="s">
        <v>37503</v>
      </c>
      <c r="E10000" t="s">
        <v>37504</v>
      </c>
      <c r="F10000" t="s">
        <v>37505</v>
      </c>
      <c r="G10000" t="s">
        <v>110</v>
      </c>
      <c r="H10000">
        <v>94960</v>
      </c>
      <c r="I10000" t="s">
        <v>30</v>
      </c>
      <c r="J10000" t="s">
        <v>41</v>
      </c>
      <c r="K10000" t="s">
        <v>1032</v>
      </c>
      <c r="Q10000">
        <v>0</v>
      </c>
      <c r="R10000">
        <v>30</v>
      </c>
      <c r="S10000">
        <v>30</v>
      </c>
      <c r="T10000" t="s">
        <v>37506</v>
      </c>
    </row>
    <row r="10001" spans="1:20" customFormat="1" ht="15" x14ac:dyDescent="0.25">
      <c r="A10001" t="s">
        <v>35</v>
      </c>
      <c r="B10001" t="s">
        <v>61</v>
      </c>
      <c r="C10001" t="str">
        <f>"A0124109"</f>
        <v>A0124109</v>
      </c>
      <c r="D10001" t="s">
        <v>37507</v>
      </c>
      <c r="E10001" t="s">
        <v>37508</v>
      </c>
      <c r="F10001" t="s">
        <v>37509</v>
      </c>
      <c r="G10001" t="s">
        <v>2391</v>
      </c>
      <c r="H10001">
        <v>5101</v>
      </c>
      <c r="I10001" t="s">
        <v>30</v>
      </c>
      <c r="J10001" t="s">
        <v>41</v>
      </c>
      <c r="K10001" t="s">
        <v>59</v>
      </c>
      <c r="Q10001">
        <v>0</v>
      </c>
      <c r="R10001">
        <v>12</v>
      </c>
      <c r="S10001">
        <v>12</v>
      </c>
      <c r="T10001" t="s">
        <v>37510</v>
      </c>
    </row>
    <row r="10002" spans="1:20" customFormat="1" ht="15" x14ac:dyDescent="0.25">
      <c r="A10002" t="s">
        <v>35</v>
      </c>
      <c r="B10002" t="s">
        <v>61</v>
      </c>
      <c r="C10002" t="str">
        <f>"A0125877"</f>
        <v>A0125877</v>
      </c>
      <c r="D10002" t="s">
        <v>37511</v>
      </c>
      <c r="E10002" t="s">
        <v>37512</v>
      </c>
      <c r="F10002" t="s">
        <v>11715</v>
      </c>
      <c r="G10002" t="s">
        <v>29</v>
      </c>
      <c r="H10002">
        <v>23702</v>
      </c>
      <c r="I10002" t="s">
        <v>30</v>
      </c>
      <c r="J10002" t="s">
        <v>41</v>
      </c>
      <c r="K10002" t="s">
        <v>59</v>
      </c>
      <c r="Q10002">
        <v>0</v>
      </c>
      <c r="R10002">
        <v>30</v>
      </c>
      <c r="S10002">
        <v>30</v>
      </c>
      <c r="T10002" t="s">
        <v>37513</v>
      </c>
    </row>
    <row r="10003" spans="1:20" customFormat="1" ht="15" x14ac:dyDescent="0.25">
      <c r="A10003" t="s">
        <v>35</v>
      </c>
      <c r="B10003" t="s">
        <v>61</v>
      </c>
      <c r="C10003" t="str">
        <f>"A0130091"</f>
        <v>A0130091</v>
      </c>
      <c r="D10003" t="s">
        <v>37514</v>
      </c>
      <c r="E10003" t="s">
        <v>37515</v>
      </c>
      <c r="F10003" t="s">
        <v>4746</v>
      </c>
      <c r="G10003" t="s">
        <v>880</v>
      </c>
      <c r="H10003">
        <v>37087</v>
      </c>
      <c r="I10003" t="s">
        <v>30</v>
      </c>
      <c r="J10003" t="s">
        <v>41</v>
      </c>
      <c r="K10003" t="s">
        <v>59</v>
      </c>
      <c r="Q10003">
        <v>0</v>
      </c>
      <c r="R10003">
        <v>25</v>
      </c>
      <c r="S10003">
        <v>25</v>
      </c>
      <c r="T10003" t="s">
        <v>37516</v>
      </c>
    </row>
    <row r="10004" spans="1:20" customFormat="1" ht="15" x14ac:dyDescent="0.25">
      <c r="A10004" t="s">
        <v>35</v>
      </c>
      <c r="B10004" t="s">
        <v>61</v>
      </c>
      <c r="C10004" t="str">
        <f>"A0128516"</f>
        <v>A0128516</v>
      </c>
      <c r="D10004" t="s">
        <v>37517</v>
      </c>
      <c r="E10004" t="s">
        <v>37518</v>
      </c>
      <c r="F10004" t="s">
        <v>21023</v>
      </c>
      <c r="G10004" t="s">
        <v>110</v>
      </c>
      <c r="H10004" t="s">
        <v>37519</v>
      </c>
      <c r="I10004" t="s">
        <v>30</v>
      </c>
      <c r="J10004" t="s">
        <v>41</v>
      </c>
      <c r="K10004" t="s">
        <v>229</v>
      </c>
      <c r="Q10004">
        <v>0</v>
      </c>
      <c r="R10004">
        <v>33</v>
      </c>
      <c r="S10004">
        <v>33</v>
      </c>
      <c r="T10004" t="s">
        <v>37520</v>
      </c>
    </row>
    <row r="10005" spans="1:20" customFormat="1" ht="15" x14ac:dyDescent="0.25">
      <c r="A10005" t="s">
        <v>35</v>
      </c>
      <c r="B10005" t="s">
        <v>61</v>
      </c>
      <c r="C10005" t="str">
        <f>"A0118444"</f>
        <v>A0118444</v>
      </c>
      <c r="D10005" t="s">
        <v>37521</v>
      </c>
      <c r="E10005" t="s">
        <v>37522</v>
      </c>
      <c r="F10005" t="s">
        <v>21023</v>
      </c>
      <c r="G10005" t="s">
        <v>110</v>
      </c>
      <c r="H10005">
        <v>94002</v>
      </c>
      <c r="I10005" t="s">
        <v>30</v>
      </c>
      <c r="J10005" t="s">
        <v>41</v>
      </c>
      <c r="K10005" t="s">
        <v>59</v>
      </c>
      <c r="Q10005">
        <v>0</v>
      </c>
      <c r="R10005">
        <v>50</v>
      </c>
      <c r="S10005">
        <v>50</v>
      </c>
      <c r="T10005" t="s">
        <v>37523</v>
      </c>
    </row>
    <row r="10006" spans="1:20" customFormat="1" ht="15" x14ac:dyDescent="0.25">
      <c r="A10006" t="s">
        <v>35</v>
      </c>
      <c r="B10006" t="s">
        <v>61</v>
      </c>
      <c r="C10006" t="str">
        <f>"A0123628"</f>
        <v>A0123628</v>
      </c>
      <c r="D10006" t="s">
        <v>37524</v>
      </c>
      <c r="E10006" t="s">
        <v>37525</v>
      </c>
      <c r="F10006" t="s">
        <v>37526</v>
      </c>
      <c r="G10006" t="s">
        <v>29</v>
      </c>
      <c r="H10006">
        <v>220602703</v>
      </c>
      <c r="I10006" t="s">
        <v>30</v>
      </c>
      <c r="J10006" t="s">
        <v>41</v>
      </c>
      <c r="K10006" t="s">
        <v>229</v>
      </c>
      <c r="Q10006">
        <v>0</v>
      </c>
      <c r="R10006">
        <v>107</v>
      </c>
      <c r="S10006">
        <v>107</v>
      </c>
      <c r="T10006" t="s">
        <v>37527</v>
      </c>
    </row>
    <row r="10007" spans="1:20" customFormat="1" ht="15" x14ac:dyDescent="0.25">
      <c r="A10007" t="s">
        <v>35</v>
      </c>
      <c r="B10007" t="s">
        <v>61</v>
      </c>
      <c r="C10007" t="str">
        <f>"A0123629"</f>
        <v>A0123629</v>
      </c>
      <c r="D10007" t="s">
        <v>37528</v>
      </c>
      <c r="E10007" t="s">
        <v>37529</v>
      </c>
      <c r="F10007" t="s">
        <v>3657</v>
      </c>
      <c r="G10007" t="s">
        <v>880</v>
      </c>
      <c r="H10007">
        <v>37931</v>
      </c>
      <c r="I10007" t="s">
        <v>30</v>
      </c>
      <c r="J10007" t="s">
        <v>41</v>
      </c>
      <c r="K10007" t="s">
        <v>229</v>
      </c>
      <c r="Q10007">
        <v>0</v>
      </c>
      <c r="R10007">
        <v>140</v>
      </c>
      <c r="S10007">
        <v>140</v>
      </c>
      <c r="T10007" t="s">
        <v>37530</v>
      </c>
    </row>
    <row r="10008" spans="1:20" customFormat="1" ht="15" x14ac:dyDescent="0.25">
      <c r="A10008" t="s">
        <v>35</v>
      </c>
      <c r="B10008" t="s">
        <v>61</v>
      </c>
      <c r="C10008" t="str">
        <f>"A0124013"</f>
        <v>A0124013</v>
      </c>
      <c r="D10008" t="s">
        <v>37531</v>
      </c>
      <c r="E10008" t="s">
        <v>37532</v>
      </c>
      <c r="F10008" t="s">
        <v>37533</v>
      </c>
      <c r="G10008" t="s">
        <v>214</v>
      </c>
      <c r="H10008">
        <v>28601</v>
      </c>
      <c r="I10008" t="s">
        <v>30</v>
      </c>
      <c r="J10008" t="s">
        <v>41</v>
      </c>
      <c r="K10008" t="s">
        <v>2477</v>
      </c>
      <c r="Q10008">
        <v>0</v>
      </c>
      <c r="R10008">
        <v>0</v>
      </c>
      <c r="S10008">
        <v>0</v>
      </c>
    </row>
    <row r="10009" spans="1:20" customFormat="1" ht="15" x14ac:dyDescent="0.25">
      <c r="A10009" t="s">
        <v>35</v>
      </c>
      <c r="B10009" t="s">
        <v>61</v>
      </c>
      <c r="C10009" t="str">
        <f>"A0121524"</f>
        <v>A0121524</v>
      </c>
      <c r="D10009" t="s">
        <v>37534</v>
      </c>
      <c r="E10009" t="s">
        <v>37535</v>
      </c>
      <c r="F10009" t="s">
        <v>37536</v>
      </c>
      <c r="G10009" t="s">
        <v>110</v>
      </c>
      <c r="H10009">
        <v>92354</v>
      </c>
      <c r="I10009" t="s">
        <v>30</v>
      </c>
      <c r="J10009" t="s">
        <v>41</v>
      </c>
      <c r="K10009" t="s">
        <v>418</v>
      </c>
      <c r="Q10009">
        <v>0</v>
      </c>
      <c r="R10009">
        <v>55</v>
      </c>
      <c r="S10009">
        <v>55</v>
      </c>
      <c r="T10009" t="s">
        <v>37537</v>
      </c>
    </row>
    <row r="10010" spans="1:20" customFormat="1" ht="15" x14ac:dyDescent="0.25">
      <c r="A10010" t="s">
        <v>35</v>
      </c>
      <c r="B10010" t="s">
        <v>61</v>
      </c>
      <c r="C10010" t="str">
        <f>"A0126714"</f>
        <v>A0126714</v>
      </c>
      <c r="D10010" t="s">
        <v>37538</v>
      </c>
      <c r="E10010" t="s">
        <v>37539</v>
      </c>
      <c r="F10010" t="s">
        <v>16798</v>
      </c>
      <c r="G10010" t="s">
        <v>338</v>
      </c>
      <c r="H10010">
        <v>8110</v>
      </c>
      <c r="I10010" t="s">
        <v>30</v>
      </c>
      <c r="J10010" t="s">
        <v>41</v>
      </c>
      <c r="K10010" t="s">
        <v>59</v>
      </c>
      <c r="Q10010">
        <v>0</v>
      </c>
      <c r="R10010">
        <v>91</v>
      </c>
      <c r="S10010">
        <v>91</v>
      </c>
      <c r="T10010" t="s">
        <v>37540</v>
      </c>
    </row>
    <row r="10011" spans="1:20" customFormat="1" ht="15" x14ac:dyDescent="0.25">
      <c r="A10011" t="s">
        <v>35</v>
      </c>
      <c r="B10011" t="s">
        <v>61</v>
      </c>
      <c r="C10011" t="str">
        <f>"A0130988"</f>
        <v>A0130988</v>
      </c>
      <c r="D10011" t="s">
        <v>37541</v>
      </c>
      <c r="E10011" t="s">
        <v>37542</v>
      </c>
      <c r="F10011" t="s">
        <v>1655</v>
      </c>
      <c r="G10011" t="s">
        <v>137</v>
      </c>
      <c r="H10011">
        <v>631140000</v>
      </c>
      <c r="I10011" t="s">
        <v>30</v>
      </c>
      <c r="J10011" t="s">
        <v>41</v>
      </c>
      <c r="K10011" t="s">
        <v>229</v>
      </c>
      <c r="Q10011">
        <v>0</v>
      </c>
      <c r="R10011">
        <v>72</v>
      </c>
      <c r="S10011">
        <v>72</v>
      </c>
      <c r="T10011" t="s">
        <v>37543</v>
      </c>
    </row>
    <row r="10012" spans="1:20" customFormat="1" ht="15" x14ac:dyDescent="0.25">
      <c r="A10012" t="s">
        <v>35</v>
      </c>
      <c r="B10012" t="s">
        <v>106</v>
      </c>
      <c r="C10012" t="str">
        <f>"A0136318"</f>
        <v>A0136318</v>
      </c>
      <c r="D10012" t="s">
        <v>37544</v>
      </c>
      <c r="E10012" t="s">
        <v>37545</v>
      </c>
      <c r="F10012" t="s">
        <v>7073</v>
      </c>
      <c r="G10012" t="s">
        <v>1369</v>
      </c>
      <c r="H10012">
        <v>39039</v>
      </c>
      <c r="I10012" t="s">
        <v>30</v>
      </c>
      <c r="J10012" t="s">
        <v>111</v>
      </c>
      <c r="K10012" t="s">
        <v>112</v>
      </c>
      <c r="Q10012">
        <v>0</v>
      </c>
      <c r="R10012">
        <v>0</v>
      </c>
      <c r="S10012">
        <v>0</v>
      </c>
      <c r="T10012" t="s">
        <v>37546</v>
      </c>
    </row>
    <row r="10013" spans="1:20" customFormat="1" ht="15" x14ac:dyDescent="0.25">
      <c r="A10013" t="s">
        <v>35</v>
      </c>
      <c r="B10013" t="s">
        <v>61</v>
      </c>
      <c r="C10013" t="str">
        <f>"A0131204"</f>
        <v>A0131204</v>
      </c>
      <c r="D10013" t="s">
        <v>37547</v>
      </c>
      <c r="E10013" t="s">
        <v>37548</v>
      </c>
      <c r="F10013" t="s">
        <v>37549</v>
      </c>
      <c r="G10013" t="s">
        <v>85</v>
      </c>
      <c r="H10013">
        <v>727120000</v>
      </c>
      <c r="I10013" t="s">
        <v>30</v>
      </c>
      <c r="J10013" t="s">
        <v>41</v>
      </c>
      <c r="K10013" t="s">
        <v>2760</v>
      </c>
      <c r="Q10013">
        <v>0</v>
      </c>
      <c r="R10013">
        <v>1</v>
      </c>
      <c r="S10013">
        <v>1</v>
      </c>
      <c r="T10013" t="s">
        <v>37550</v>
      </c>
    </row>
    <row r="10014" spans="1:20" customFormat="1" ht="15" x14ac:dyDescent="0.25">
      <c r="A10014" t="s">
        <v>35</v>
      </c>
      <c r="B10014" t="s">
        <v>61</v>
      </c>
      <c r="C10014" t="str">
        <f>"A0131049"</f>
        <v>A0131049</v>
      </c>
      <c r="D10014" t="s">
        <v>37551</v>
      </c>
      <c r="E10014" t="s">
        <v>37552</v>
      </c>
      <c r="F10014" t="s">
        <v>1999</v>
      </c>
      <c r="G10014" t="s">
        <v>137</v>
      </c>
      <c r="H10014">
        <v>630310000</v>
      </c>
      <c r="I10014" t="s">
        <v>30</v>
      </c>
      <c r="J10014" t="s">
        <v>41</v>
      </c>
      <c r="K10014" t="s">
        <v>229</v>
      </c>
      <c r="Q10014">
        <v>0</v>
      </c>
      <c r="R10014">
        <v>68</v>
      </c>
      <c r="S10014">
        <v>68</v>
      </c>
      <c r="T10014" t="s">
        <v>37553</v>
      </c>
    </row>
    <row r="10015" spans="1:20" customFormat="1" ht="15" x14ac:dyDescent="0.25">
      <c r="A10015" t="s">
        <v>35</v>
      </c>
      <c r="B10015" t="s">
        <v>61</v>
      </c>
      <c r="C10015" t="str">
        <f>"A0132617"</f>
        <v>A0132617</v>
      </c>
      <c r="D10015" t="s">
        <v>37554</v>
      </c>
      <c r="E10015" t="s">
        <v>37555</v>
      </c>
      <c r="F10015" t="s">
        <v>2325</v>
      </c>
      <c r="G10015" t="s">
        <v>65</v>
      </c>
      <c r="H10015">
        <v>440170000</v>
      </c>
      <c r="I10015" t="s">
        <v>30</v>
      </c>
      <c r="J10015" t="s">
        <v>41</v>
      </c>
      <c r="K10015" t="s">
        <v>229</v>
      </c>
      <c r="Q10015">
        <v>0</v>
      </c>
      <c r="R10015">
        <v>50</v>
      </c>
      <c r="S10015">
        <v>50</v>
      </c>
      <c r="T10015" t="s">
        <v>37556</v>
      </c>
    </row>
    <row r="10016" spans="1:20" customFormat="1" ht="15" x14ac:dyDescent="0.25">
      <c r="A10016" t="s">
        <v>35</v>
      </c>
      <c r="B10016" t="s">
        <v>61</v>
      </c>
      <c r="C10016" t="str">
        <f>"A0154432"</f>
        <v>A0154432</v>
      </c>
      <c r="D10016" t="s">
        <v>37557</v>
      </c>
      <c r="E10016" t="s">
        <v>37558</v>
      </c>
      <c r="F10016" t="s">
        <v>3478</v>
      </c>
      <c r="G10016" t="s">
        <v>65</v>
      </c>
      <c r="H10016">
        <v>45430</v>
      </c>
      <c r="I10016" t="s">
        <v>30</v>
      </c>
      <c r="J10016" t="s">
        <v>41</v>
      </c>
      <c r="K10016" t="s">
        <v>42</v>
      </c>
      <c r="Q10016">
        <v>0</v>
      </c>
      <c r="R10016">
        <v>0</v>
      </c>
      <c r="S10016">
        <v>0</v>
      </c>
      <c r="T10016" t="s">
        <v>37559</v>
      </c>
    </row>
    <row r="10017" spans="1:20" customFormat="1" ht="15" x14ac:dyDescent="0.25">
      <c r="A10017" t="s">
        <v>35</v>
      </c>
      <c r="B10017" t="s">
        <v>61</v>
      </c>
      <c r="C10017" t="str">
        <f>"A0118526"</f>
        <v>A0118526</v>
      </c>
      <c r="D10017" t="s">
        <v>37560</v>
      </c>
      <c r="E10017" t="s">
        <v>37561</v>
      </c>
      <c r="F10017" t="s">
        <v>20275</v>
      </c>
      <c r="G10017" t="s">
        <v>110</v>
      </c>
      <c r="H10017">
        <v>94705</v>
      </c>
      <c r="I10017" t="s">
        <v>30</v>
      </c>
      <c r="J10017" t="s">
        <v>41</v>
      </c>
      <c r="K10017" t="s">
        <v>229</v>
      </c>
      <c r="Q10017">
        <v>0</v>
      </c>
      <c r="R10017">
        <v>36</v>
      </c>
      <c r="S10017">
        <v>36</v>
      </c>
      <c r="T10017" t="s">
        <v>37562</v>
      </c>
    </row>
    <row r="10018" spans="1:20" customFormat="1" ht="15" x14ac:dyDescent="0.25">
      <c r="A10018" t="s">
        <v>35</v>
      </c>
      <c r="B10018" t="s">
        <v>106</v>
      </c>
      <c r="C10018" t="str">
        <f>"A0135941"</f>
        <v>A0135941</v>
      </c>
      <c r="D10018" t="s">
        <v>37563</v>
      </c>
      <c r="E10018" t="s">
        <v>37564</v>
      </c>
      <c r="F10018" t="s">
        <v>37565</v>
      </c>
      <c r="G10018" t="s">
        <v>99</v>
      </c>
      <c r="H10018">
        <v>12029</v>
      </c>
      <c r="I10018" t="s">
        <v>30</v>
      </c>
      <c r="J10018" t="s">
        <v>111</v>
      </c>
      <c r="K10018" t="s">
        <v>112</v>
      </c>
      <c r="Q10018">
        <v>0</v>
      </c>
      <c r="R10018">
        <v>0</v>
      </c>
      <c r="S10018">
        <v>0</v>
      </c>
      <c r="T10018" t="s">
        <v>37566</v>
      </c>
    </row>
    <row r="10019" spans="1:20" customFormat="1" ht="15" x14ac:dyDescent="0.25">
      <c r="A10019" t="s">
        <v>35</v>
      </c>
      <c r="B10019" t="s">
        <v>61</v>
      </c>
      <c r="C10019" t="str">
        <f>"A0123174"</f>
        <v>A0123174</v>
      </c>
      <c r="D10019" t="s">
        <v>37567</v>
      </c>
      <c r="E10019" t="s">
        <v>37568</v>
      </c>
      <c r="F10019" t="s">
        <v>8674</v>
      </c>
      <c r="G10019" t="s">
        <v>29</v>
      </c>
      <c r="H10019">
        <v>241793699</v>
      </c>
      <c r="I10019" t="s">
        <v>30</v>
      </c>
      <c r="J10019" t="s">
        <v>41</v>
      </c>
      <c r="K10019" t="s">
        <v>229</v>
      </c>
      <c r="Q10019">
        <v>0</v>
      </c>
      <c r="R10019">
        <v>180</v>
      </c>
      <c r="S10019">
        <v>180</v>
      </c>
      <c r="T10019" t="s">
        <v>37569</v>
      </c>
    </row>
    <row r="10020" spans="1:20" customFormat="1" ht="15" x14ac:dyDescent="0.25">
      <c r="A10020" t="s">
        <v>35</v>
      </c>
      <c r="B10020" t="s">
        <v>61</v>
      </c>
      <c r="C10020" t="str">
        <f>"A0118720"</f>
        <v>A0118720</v>
      </c>
      <c r="D10020" t="s">
        <v>37570</v>
      </c>
      <c r="E10020" t="s">
        <v>37571</v>
      </c>
      <c r="F10020" t="s">
        <v>1277</v>
      </c>
      <c r="G10020" t="s">
        <v>110</v>
      </c>
      <c r="H10020">
        <v>92404</v>
      </c>
      <c r="I10020" t="s">
        <v>30</v>
      </c>
      <c r="J10020" t="s">
        <v>41</v>
      </c>
      <c r="K10020" t="s">
        <v>229</v>
      </c>
      <c r="Q10020">
        <v>0</v>
      </c>
      <c r="R10020">
        <v>71</v>
      </c>
      <c r="S10020">
        <v>71</v>
      </c>
      <c r="T10020" t="s">
        <v>37572</v>
      </c>
    </row>
    <row r="10021" spans="1:20" customFormat="1" ht="15" x14ac:dyDescent="0.25">
      <c r="A10021" t="s">
        <v>35</v>
      </c>
      <c r="B10021" t="s">
        <v>61</v>
      </c>
      <c r="C10021" t="str">
        <f>"A0123630"</f>
        <v>A0123630</v>
      </c>
      <c r="D10021" t="s">
        <v>37573</v>
      </c>
      <c r="E10021" t="s">
        <v>37574</v>
      </c>
      <c r="F10021" t="s">
        <v>37575</v>
      </c>
      <c r="G10021" t="s">
        <v>29</v>
      </c>
      <c r="H10021">
        <v>245920779</v>
      </c>
      <c r="I10021" t="s">
        <v>30</v>
      </c>
      <c r="J10021" t="s">
        <v>41</v>
      </c>
      <c r="K10021" t="s">
        <v>229</v>
      </c>
      <c r="Q10021">
        <v>0</v>
      </c>
      <c r="R10021">
        <v>120</v>
      </c>
      <c r="S10021">
        <v>120</v>
      </c>
      <c r="T10021" t="s">
        <v>37576</v>
      </c>
    </row>
    <row r="10022" spans="1:20" customFormat="1" ht="15" x14ac:dyDescent="0.25">
      <c r="A10022" t="s">
        <v>35</v>
      </c>
      <c r="B10022" t="s">
        <v>437</v>
      </c>
      <c r="C10022" t="str">
        <f>"A0150971"</f>
        <v>A0150971</v>
      </c>
      <c r="D10022" t="s">
        <v>37577</v>
      </c>
      <c r="E10022" t="s">
        <v>37578</v>
      </c>
      <c r="F10022" t="s">
        <v>2429</v>
      </c>
      <c r="G10022" t="s">
        <v>76</v>
      </c>
      <c r="H10022">
        <v>99169</v>
      </c>
      <c r="I10022" t="s">
        <v>30</v>
      </c>
      <c r="J10022" t="s">
        <v>441</v>
      </c>
      <c r="K10022" t="s">
        <v>37340</v>
      </c>
      <c r="Q10022">
        <v>0</v>
      </c>
      <c r="R10022">
        <v>0</v>
      </c>
      <c r="S10022">
        <v>0</v>
      </c>
      <c r="T10022" t="s">
        <v>37579</v>
      </c>
    </row>
    <row r="10023" spans="1:20" customFormat="1" ht="15" x14ac:dyDescent="0.25">
      <c r="A10023" t="s">
        <v>35</v>
      </c>
      <c r="B10023" t="s">
        <v>61</v>
      </c>
      <c r="C10023" t="str">
        <f>"A0129584"</f>
        <v>A0129584</v>
      </c>
      <c r="D10023" t="s">
        <v>37580</v>
      </c>
      <c r="E10023" t="s">
        <v>37581</v>
      </c>
      <c r="F10023" t="s">
        <v>37582</v>
      </c>
      <c r="G10023" t="s">
        <v>289</v>
      </c>
      <c r="H10023">
        <v>61910</v>
      </c>
      <c r="I10023" t="s">
        <v>30</v>
      </c>
      <c r="J10023" t="s">
        <v>41</v>
      </c>
      <c r="K10023" t="s">
        <v>2477</v>
      </c>
      <c r="Q10023">
        <v>0</v>
      </c>
      <c r="R10023">
        <v>0</v>
      </c>
      <c r="S10023">
        <v>0</v>
      </c>
      <c r="T10023" t="s">
        <v>37583</v>
      </c>
    </row>
    <row r="10024" spans="1:20" customFormat="1" ht="15" x14ac:dyDescent="0.25">
      <c r="A10024" t="s">
        <v>35</v>
      </c>
      <c r="B10024" t="s">
        <v>106</v>
      </c>
      <c r="C10024" t="str">
        <f>"A0135307"</f>
        <v>A0135307</v>
      </c>
      <c r="D10024" t="s">
        <v>37584</v>
      </c>
      <c r="E10024" t="s">
        <v>37585</v>
      </c>
      <c r="F10024" t="s">
        <v>22478</v>
      </c>
      <c r="G10024" t="s">
        <v>214</v>
      </c>
      <c r="H10024">
        <v>27510</v>
      </c>
      <c r="I10024" t="s">
        <v>30</v>
      </c>
      <c r="J10024" t="s">
        <v>111</v>
      </c>
      <c r="K10024" t="s">
        <v>112</v>
      </c>
      <c r="Q10024">
        <v>0</v>
      </c>
      <c r="R10024">
        <v>0</v>
      </c>
      <c r="S10024">
        <v>0</v>
      </c>
      <c r="T10024" t="s">
        <v>37586</v>
      </c>
    </row>
    <row r="10025" spans="1:20" customFormat="1" ht="15" x14ac:dyDescent="0.25">
      <c r="A10025" t="s">
        <v>35</v>
      </c>
      <c r="B10025" t="s">
        <v>106</v>
      </c>
      <c r="C10025" t="str">
        <f>"A0135891"</f>
        <v>A0135891</v>
      </c>
      <c r="D10025" t="s">
        <v>37587</v>
      </c>
      <c r="E10025" t="s">
        <v>37588</v>
      </c>
      <c r="F10025" t="s">
        <v>1444</v>
      </c>
      <c r="G10025" t="s">
        <v>76</v>
      </c>
      <c r="H10025">
        <v>98105</v>
      </c>
      <c r="I10025" t="s">
        <v>30</v>
      </c>
      <c r="J10025" t="s">
        <v>111</v>
      </c>
      <c r="K10025" t="s">
        <v>112</v>
      </c>
      <c r="Q10025">
        <v>0</v>
      </c>
      <c r="R10025">
        <v>0</v>
      </c>
      <c r="S10025">
        <v>0</v>
      </c>
      <c r="T10025" t="s">
        <v>37589</v>
      </c>
    </row>
    <row r="10026" spans="1:20" customFormat="1" ht="15" x14ac:dyDescent="0.25">
      <c r="A10026" t="s">
        <v>35</v>
      </c>
      <c r="B10026" t="s">
        <v>106</v>
      </c>
      <c r="C10026" t="str">
        <f>"A0135306"</f>
        <v>A0135306</v>
      </c>
      <c r="D10026" t="s">
        <v>37590</v>
      </c>
      <c r="E10026" t="s">
        <v>37591</v>
      </c>
      <c r="F10026" t="s">
        <v>22478</v>
      </c>
      <c r="G10026" t="s">
        <v>214</v>
      </c>
      <c r="H10026">
        <v>27514</v>
      </c>
      <c r="I10026" t="s">
        <v>30</v>
      </c>
      <c r="J10026" t="s">
        <v>111</v>
      </c>
      <c r="K10026" t="s">
        <v>112</v>
      </c>
      <c r="Q10026">
        <v>0</v>
      </c>
      <c r="R10026">
        <v>0</v>
      </c>
      <c r="S10026">
        <v>0</v>
      </c>
      <c r="T10026" t="s">
        <v>37592</v>
      </c>
    </row>
    <row r="10027" spans="1:20" customFormat="1" ht="15" x14ac:dyDescent="0.25">
      <c r="A10027" t="s">
        <v>35</v>
      </c>
      <c r="B10027" t="s">
        <v>61</v>
      </c>
      <c r="C10027" t="str">
        <f>"A0125882"</f>
        <v>A0125882</v>
      </c>
      <c r="D10027" t="s">
        <v>37593</v>
      </c>
      <c r="E10027" t="s">
        <v>37594</v>
      </c>
      <c r="F10027" t="s">
        <v>17879</v>
      </c>
      <c r="G10027" t="s">
        <v>29</v>
      </c>
      <c r="H10027">
        <v>23464</v>
      </c>
      <c r="I10027" t="s">
        <v>30</v>
      </c>
      <c r="J10027" t="s">
        <v>41</v>
      </c>
      <c r="K10027" t="s">
        <v>229</v>
      </c>
      <c r="Q10027">
        <v>0</v>
      </c>
      <c r="R10027">
        <v>120</v>
      </c>
      <c r="S10027">
        <v>120</v>
      </c>
      <c r="T10027" t="s">
        <v>37595</v>
      </c>
    </row>
    <row r="10028" spans="1:20" customFormat="1" ht="15" x14ac:dyDescent="0.25">
      <c r="A10028" t="s">
        <v>35</v>
      </c>
      <c r="B10028" t="s">
        <v>61</v>
      </c>
      <c r="C10028" t="str">
        <f>"A0125883"</f>
        <v>A0125883</v>
      </c>
      <c r="D10028" t="s">
        <v>37596</v>
      </c>
      <c r="E10028" t="s">
        <v>37597</v>
      </c>
      <c r="F10028" t="s">
        <v>17879</v>
      </c>
      <c r="G10028" t="s">
        <v>29</v>
      </c>
      <c r="H10028">
        <v>23464</v>
      </c>
      <c r="I10028" t="s">
        <v>30</v>
      </c>
      <c r="J10028" t="s">
        <v>41</v>
      </c>
      <c r="K10028" t="s">
        <v>1440</v>
      </c>
      <c r="Q10028">
        <v>0</v>
      </c>
      <c r="R10028">
        <v>120</v>
      </c>
      <c r="S10028">
        <v>120</v>
      </c>
      <c r="T10028" t="s">
        <v>37598</v>
      </c>
    </row>
    <row r="10029" spans="1:20" customFormat="1" ht="15" x14ac:dyDescent="0.25">
      <c r="A10029" t="s">
        <v>35</v>
      </c>
      <c r="B10029" t="s">
        <v>61</v>
      </c>
      <c r="C10029" t="str">
        <f>"A0130341"</f>
        <v>A0130341</v>
      </c>
      <c r="D10029" t="s">
        <v>32350</v>
      </c>
      <c r="E10029" t="s">
        <v>37599</v>
      </c>
      <c r="F10029" t="s">
        <v>12064</v>
      </c>
      <c r="G10029" t="s">
        <v>1898</v>
      </c>
      <c r="H10029">
        <v>515030000</v>
      </c>
      <c r="I10029" t="s">
        <v>30</v>
      </c>
      <c r="J10029" t="s">
        <v>41</v>
      </c>
      <c r="K10029" t="s">
        <v>59</v>
      </c>
      <c r="Q10029">
        <v>0</v>
      </c>
      <c r="R10029">
        <v>60</v>
      </c>
      <c r="S10029">
        <v>60</v>
      </c>
      <c r="T10029" t="s">
        <v>37600</v>
      </c>
    </row>
    <row r="10030" spans="1:20" customFormat="1" ht="15" x14ac:dyDescent="0.25">
      <c r="A10030" t="s">
        <v>35</v>
      </c>
      <c r="B10030" t="s">
        <v>61</v>
      </c>
      <c r="C10030" t="str">
        <f>"A0130353"</f>
        <v>A0130353</v>
      </c>
      <c r="D10030" t="s">
        <v>37601</v>
      </c>
      <c r="E10030" t="s">
        <v>37602</v>
      </c>
      <c r="F10030" t="s">
        <v>22696</v>
      </c>
      <c r="G10030" t="s">
        <v>1898</v>
      </c>
      <c r="H10030">
        <v>520010000</v>
      </c>
      <c r="I10030" t="s">
        <v>30</v>
      </c>
      <c r="J10030" t="s">
        <v>41</v>
      </c>
      <c r="K10030" t="s">
        <v>229</v>
      </c>
      <c r="Q10030">
        <v>0</v>
      </c>
      <c r="R10030">
        <v>54</v>
      </c>
      <c r="S10030">
        <v>54</v>
      </c>
      <c r="T10030" t="s">
        <v>37603</v>
      </c>
    </row>
    <row r="10031" spans="1:20" customFormat="1" ht="15" x14ac:dyDescent="0.25">
      <c r="A10031" t="s">
        <v>35</v>
      </c>
      <c r="B10031" t="s">
        <v>61</v>
      </c>
      <c r="C10031" t="str">
        <f>"A0130340"</f>
        <v>A0130340</v>
      </c>
      <c r="D10031" t="s">
        <v>37604</v>
      </c>
      <c r="E10031" t="s">
        <v>37605</v>
      </c>
      <c r="F10031" t="s">
        <v>12064</v>
      </c>
      <c r="G10031" t="s">
        <v>1898</v>
      </c>
      <c r="H10031">
        <v>51503</v>
      </c>
      <c r="I10031" t="s">
        <v>30</v>
      </c>
      <c r="J10031" t="s">
        <v>41</v>
      </c>
      <c r="K10031" t="s">
        <v>229</v>
      </c>
      <c r="Q10031">
        <v>0</v>
      </c>
      <c r="R10031">
        <v>117</v>
      </c>
      <c r="S10031">
        <v>117</v>
      </c>
      <c r="T10031" t="s">
        <v>37606</v>
      </c>
    </row>
    <row r="10032" spans="1:20" customFormat="1" ht="15" x14ac:dyDescent="0.25">
      <c r="A10032" t="s">
        <v>35</v>
      </c>
      <c r="B10032" t="s">
        <v>61</v>
      </c>
      <c r="C10032" t="str">
        <f>"A0132101"</f>
        <v>A0132101</v>
      </c>
      <c r="D10032" t="s">
        <v>37607</v>
      </c>
      <c r="E10032" t="s">
        <v>37608</v>
      </c>
      <c r="F10032" t="s">
        <v>2770</v>
      </c>
      <c r="G10032" t="s">
        <v>65</v>
      </c>
      <c r="H10032">
        <v>44709</v>
      </c>
      <c r="I10032" t="s">
        <v>30</v>
      </c>
      <c r="J10032" t="s">
        <v>41</v>
      </c>
      <c r="K10032" t="s">
        <v>59</v>
      </c>
      <c r="Q10032">
        <v>0</v>
      </c>
      <c r="R10032">
        <v>78</v>
      </c>
      <c r="S10032">
        <v>78</v>
      </c>
      <c r="T10032" t="s">
        <v>37609</v>
      </c>
    </row>
    <row r="10033" spans="1:20" customFormat="1" ht="15" x14ac:dyDescent="0.25">
      <c r="A10033" t="s">
        <v>35</v>
      </c>
      <c r="B10033" t="s">
        <v>61</v>
      </c>
      <c r="C10033" t="str">
        <f>"A0126526"</f>
        <v>A0126526</v>
      </c>
      <c r="D10033" t="s">
        <v>21506</v>
      </c>
      <c r="E10033" t="s">
        <v>37610</v>
      </c>
      <c r="F10033" t="s">
        <v>17543</v>
      </c>
      <c r="G10033" t="s">
        <v>103</v>
      </c>
      <c r="H10033">
        <v>18431</v>
      </c>
      <c r="I10033" t="s">
        <v>30</v>
      </c>
      <c r="J10033" t="s">
        <v>41</v>
      </c>
      <c r="K10033" t="s">
        <v>59</v>
      </c>
      <c r="Q10033">
        <v>0</v>
      </c>
      <c r="R10033">
        <v>70</v>
      </c>
      <c r="S10033">
        <v>70</v>
      </c>
      <c r="T10033" t="s">
        <v>37611</v>
      </c>
    </row>
    <row r="10034" spans="1:20" customFormat="1" ht="15" x14ac:dyDescent="0.25">
      <c r="A10034" t="s">
        <v>35</v>
      </c>
      <c r="B10034" t="s">
        <v>61</v>
      </c>
      <c r="C10034" t="str">
        <f>"A0130369"</f>
        <v>A0130369</v>
      </c>
      <c r="D10034" t="s">
        <v>37612</v>
      </c>
      <c r="E10034" t="s">
        <v>37613</v>
      </c>
      <c r="F10034" t="s">
        <v>12238</v>
      </c>
      <c r="G10034" t="s">
        <v>71</v>
      </c>
      <c r="H10034">
        <v>54665</v>
      </c>
      <c r="I10034" t="s">
        <v>30</v>
      </c>
      <c r="J10034" t="s">
        <v>41</v>
      </c>
      <c r="K10034" t="s">
        <v>229</v>
      </c>
      <c r="Q10034">
        <v>0</v>
      </c>
      <c r="R10034">
        <v>151</v>
      </c>
      <c r="S10034">
        <v>151</v>
      </c>
      <c r="T10034" t="s">
        <v>37614</v>
      </c>
    </row>
    <row r="10035" spans="1:20" customFormat="1" ht="15" x14ac:dyDescent="0.25">
      <c r="A10035" t="s">
        <v>35</v>
      </c>
      <c r="B10035" t="s">
        <v>61</v>
      </c>
      <c r="C10035" t="str">
        <f>"A0118352"</f>
        <v>A0118352</v>
      </c>
      <c r="D10035" t="s">
        <v>37615</v>
      </c>
      <c r="E10035" t="s">
        <v>37616</v>
      </c>
      <c r="F10035" t="s">
        <v>37617</v>
      </c>
      <c r="G10035" t="s">
        <v>110</v>
      </c>
      <c r="H10035">
        <v>93662</v>
      </c>
      <c r="I10035" t="s">
        <v>30</v>
      </c>
      <c r="J10035" t="s">
        <v>41</v>
      </c>
      <c r="K10035" t="s">
        <v>229</v>
      </c>
      <c r="Q10035">
        <v>0</v>
      </c>
      <c r="R10035">
        <v>87</v>
      </c>
      <c r="S10035">
        <v>87</v>
      </c>
      <c r="T10035" t="s">
        <v>37618</v>
      </c>
    </row>
    <row r="10036" spans="1:20" customFormat="1" ht="15" x14ac:dyDescent="0.25">
      <c r="A10036" t="s">
        <v>35</v>
      </c>
      <c r="B10036" t="s">
        <v>61</v>
      </c>
      <c r="C10036" t="str">
        <f>"A0131530"</f>
        <v>A0131530</v>
      </c>
      <c r="D10036" t="s">
        <v>37619</v>
      </c>
      <c r="E10036" t="s">
        <v>37620</v>
      </c>
      <c r="F10036" t="s">
        <v>12071</v>
      </c>
      <c r="G10036" t="s">
        <v>381</v>
      </c>
      <c r="H10036">
        <v>47710</v>
      </c>
      <c r="I10036" t="s">
        <v>30</v>
      </c>
      <c r="J10036" t="s">
        <v>41</v>
      </c>
      <c r="K10036" t="s">
        <v>229</v>
      </c>
      <c r="Q10036">
        <v>0</v>
      </c>
      <c r="R10036">
        <v>80</v>
      </c>
      <c r="S10036">
        <v>80</v>
      </c>
      <c r="T10036" t="s">
        <v>37621</v>
      </c>
    </row>
    <row r="10037" spans="1:20" customFormat="1" ht="15" x14ac:dyDescent="0.25">
      <c r="A10037" t="s">
        <v>35</v>
      </c>
      <c r="B10037" t="s">
        <v>61</v>
      </c>
      <c r="C10037" t="str">
        <f>"A0118553"</f>
        <v>A0118553</v>
      </c>
      <c r="D10037" t="s">
        <v>37622</v>
      </c>
      <c r="E10037" t="s">
        <v>37623</v>
      </c>
      <c r="F10037" t="s">
        <v>10867</v>
      </c>
      <c r="G10037" t="s">
        <v>110</v>
      </c>
      <c r="H10037">
        <v>95355</v>
      </c>
      <c r="I10037" t="s">
        <v>30</v>
      </c>
      <c r="J10037" t="s">
        <v>41</v>
      </c>
      <c r="K10037" t="s">
        <v>59</v>
      </c>
      <c r="Q10037">
        <v>0</v>
      </c>
      <c r="R10037">
        <v>100</v>
      </c>
      <c r="S10037">
        <v>100</v>
      </c>
      <c r="T10037" t="s">
        <v>37624</v>
      </c>
    </row>
    <row r="10038" spans="1:20" customFormat="1" ht="15" x14ac:dyDescent="0.25">
      <c r="A10038" t="s">
        <v>35</v>
      </c>
      <c r="B10038" t="s">
        <v>61</v>
      </c>
      <c r="C10038" t="str">
        <f>"A0125949"</f>
        <v>A0125949</v>
      </c>
      <c r="D10038" t="s">
        <v>37625</v>
      </c>
      <c r="E10038" t="s">
        <v>37626</v>
      </c>
      <c r="F10038" t="s">
        <v>37627</v>
      </c>
      <c r="G10038" t="s">
        <v>29</v>
      </c>
      <c r="H10038">
        <v>24090</v>
      </c>
      <c r="I10038" t="s">
        <v>30</v>
      </c>
      <c r="J10038" t="s">
        <v>41</v>
      </c>
      <c r="K10038" t="s">
        <v>482</v>
      </c>
      <c r="Q10038">
        <v>0</v>
      </c>
      <c r="R10038">
        <v>28</v>
      </c>
      <c r="S10038">
        <v>28</v>
      </c>
      <c r="T10038" t="s">
        <v>37628</v>
      </c>
    </row>
    <row r="10039" spans="1:20" customFormat="1" ht="15" x14ac:dyDescent="0.25">
      <c r="A10039" t="s">
        <v>35</v>
      </c>
      <c r="B10039" t="s">
        <v>61</v>
      </c>
      <c r="C10039" t="str">
        <f>"A0124849"</f>
        <v>A0124849</v>
      </c>
      <c r="D10039" t="s">
        <v>37629</v>
      </c>
      <c r="E10039" t="s">
        <v>37630</v>
      </c>
      <c r="F10039" t="s">
        <v>1747</v>
      </c>
      <c r="G10039" t="s">
        <v>214</v>
      </c>
      <c r="H10039">
        <v>28312</v>
      </c>
      <c r="I10039" t="s">
        <v>30</v>
      </c>
      <c r="J10039" t="s">
        <v>41</v>
      </c>
      <c r="K10039" t="s">
        <v>229</v>
      </c>
      <c r="Q10039">
        <v>0</v>
      </c>
      <c r="R10039">
        <v>85</v>
      </c>
      <c r="S10039">
        <v>85</v>
      </c>
      <c r="T10039" t="s">
        <v>37631</v>
      </c>
    </row>
    <row r="10040" spans="1:20" customFormat="1" ht="15" x14ac:dyDescent="0.25">
      <c r="A10040" t="s">
        <v>35</v>
      </c>
      <c r="B10040" t="s">
        <v>61</v>
      </c>
      <c r="C10040" t="str">
        <f>"A0118583"</f>
        <v>A0118583</v>
      </c>
      <c r="D10040" t="s">
        <v>37632</v>
      </c>
      <c r="E10040" t="s">
        <v>37633</v>
      </c>
      <c r="F10040" t="s">
        <v>3755</v>
      </c>
      <c r="G10040" t="s">
        <v>110</v>
      </c>
      <c r="H10040">
        <v>94541</v>
      </c>
      <c r="I10040" t="s">
        <v>30</v>
      </c>
      <c r="J10040" t="s">
        <v>41</v>
      </c>
      <c r="K10040" t="s">
        <v>229</v>
      </c>
      <c r="Q10040">
        <v>0</v>
      </c>
      <c r="R10040">
        <v>65</v>
      </c>
      <c r="S10040">
        <v>65</v>
      </c>
      <c r="T10040" t="s">
        <v>37634</v>
      </c>
    </row>
    <row r="10041" spans="1:20" customFormat="1" ht="15" x14ac:dyDescent="0.25">
      <c r="A10041" t="s">
        <v>35</v>
      </c>
      <c r="B10041" t="s">
        <v>106</v>
      </c>
      <c r="C10041" t="str">
        <f>"A0136603"</f>
        <v>A0136603</v>
      </c>
      <c r="D10041" t="s">
        <v>37635</v>
      </c>
      <c r="E10041" t="s">
        <v>37636</v>
      </c>
      <c r="F10041" t="s">
        <v>37637</v>
      </c>
      <c r="G10041" t="s">
        <v>144</v>
      </c>
      <c r="H10041">
        <v>58523</v>
      </c>
      <c r="I10041" t="s">
        <v>30</v>
      </c>
      <c r="J10041" t="s">
        <v>111</v>
      </c>
      <c r="K10041" t="s">
        <v>112</v>
      </c>
      <c r="Q10041">
        <v>0</v>
      </c>
      <c r="R10041">
        <v>0</v>
      </c>
      <c r="S10041">
        <v>0</v>
      </c>
      <c r="T10041" t="s">
        <v>37638</v>
      </c>
    </row>
    <row r="10042" spans="1:20" customFormat="1" ht="15" x14ac:dyDescent="0.25">
      <c r="A10042" t="s">
        <v>35</v>
      </c>
      <c r="B10042" t="s">
        <v>106</v>
      </c>
      <c r="C10042" t="str">
        <f>"A0135483"</f>
        <v>A0135483</v>
      </c>
      <c r="D10042" t="s">
        <v>37639</v>
      </c>
      <c r="E10042" t="s">
        <v>37640</v>
      </c>
      <c r="F10042" t="s">
        <v>5229</v>
      </c>
      <c r="G10042" t="s">
        <v>110</v>
      </c>
      <c r="H10042">
        <v>90210</v>
      </c>
      <c r="I10042" t="s">
        <v>30</v>
      </c>
      <c r="J10042" t="s">
        <v>111</v>
      </c>
      <c r="K10042" t="s">
        <v>112</v>
      </c>
      <c r="Q10042">
        <v>0</v>
      </c>
      <c r="R10042">
        <v>0</v>
      </c>
      <c r="S10042">
        <v>0</v>
      </c>
      <c r="T10042" t="s">
        <v>37641</v>
      </c>
    </row>
    <row r="10043" spans="1:20" customFormat="1" ht="15" x14ac:dyDescent="0.25">
      <c r="A10043" t="s">
        <v>35</v>
      </c>
      <c r="B10043" t="s">
        <v>106</v>
      </c>
      <c r="C10043" t="str">
        <f>"A0135477"</f>
        <v>A0135477</v>
      </c>
      <c r="D10043" t="s">
        <v>37642</v>
      </c>
      <c r="E10043" t="s">
        <v>37643</v>
      </c>
      <c r="F10043" t="s">
        <v>5229</v>
      </c>
      <c r="G10043" t="s">
        <v>110</v>
      </c>
      <c r="H10043">
        <v>90210</v>
      </c>
      <c r="I10043" t="s">
        <v>30</v>
      </c>
      <c r="J10043" t="s">
        <v>111</v>
      </c>
      <c r="K10043" t="s">
        <v>112</v>
      </c>
      <c r="Q10043">
        <v>0</v>
      </c>
      <c r="R10043">
        <v>0</v>
      </c>
      <c r="S10043">
        <v>0</v>
      </c>
      <c r="T10043" t="s">
        <v>37641</v>
      </c>
    </row>
    <row r="10044" spans="1:20" customFormat="1" ht="15" x14ac:dyDescent="0.25">
      <c r="A10044" t="s">
        <v>35</v>
      </c>
      <c r="B10044" t="s">
        <v>106</v>
      </c>
      <c r="C10044" t="str">
        <f>"A0135478"</f>
        <v>A0135478</v>
      </c>
      <c r="D10044" t="s">
        <v>37644</v>
      </c>
      <c r="E10044" t="s">
        <v>37643</v>
      </c>
      <c r="F10044" t="s">
        <v>5229</v>
      </c>
      <c r="G10044" t="s">
        <v>110</v>
      </c>
      <c r="H10044">
        <v>90210</v>
      </c>
      <c r="I10044" t="s">
        <v>30</v>
      </c>
      <c r="J10044" t="s">
        <v>111</v>
      </c>
      <c r="K10044" t="s">
        <v>112</v>
      </c>
      <c r="Q10044">
        <v>0</v>
      </c>
      <c r="R10044">
        <v>0</v>
      </c>
      <c r="S10044">
        <v>0</v>
      </c>
      <c r="T10044" t="s">
        <v>37641</v>
      </c>
    </row>
    <row r="10045" spans="1:20" customFormat="1" ht="15" x14ac:dyDescent="0.25">
      <c r="A10045" t="s">
        <v>35</v>
      </c>
      <c r="B10045" t="s">
        <v>106</v>
      </c>
      <c r="C10045" t="str">
        <f>"A0135480"</f>
        <v>A0135480</v>
      </c>
      <c r="D10045" t="s">
        <v>37645</v>
      </c>
      <c r="E10045" t="s">
        <v>37643</v>
      </c>
      <c r="F10045" t="s">
        <v>5229</v>
      </c>
      <c r="G10045" t="s">
        <v>110</v>
      </c>
      <c r="H10045">
        <v>90210</v>
      </c>
      <c r="I10045" t="s">
        <v>30</v>
      </c>
      <c r="J10045" t="s">
        <v>111</v>
      </c>
      <c r="K10045" t="s">
        <v>112</v>
      </c>
      <c r="Q10045">
        <v>0</v>
      </c>
      <c r="R10045">
        <v>0</v>
      </c>
      <c r="S10045">
        <v>0</v>
      </c>
      <c r="T10045" t="s">
        <v>37641</v>
      </c>
    </row>
    <row r="10046" spans="1:20" customFormat="1" ht="15" x14ac:dyDescent="0.25">
      <c r="A10046" t="s">
        <v>35</v>
      </c>
      <c r="B10046" t="s">
        <v>106</v>
      </c>
      <c r="C10046" t="str">
        <f>"A0135484"</f>
        <v>A0135484</v>
      </c>
      <c r="D10046" t="s">
        <v>37646</v>
      </c>
      <c r="E10046" t="s">
        <v>37647</v>
      </c>
      <c r="F10046" t="s">
        <v>5229</v>
      </c>
      <c r="G10046" t="s">
        <v>110</v>
      </c>
      <c r="H10046">
        <v>90210</v>
      </c>
      <c r="I10046" t="s">
        <v>30</v>
      </c>
      <c r="J10046" t="s">
        <v>111</v>
      </c>
      <c r="K10046" t="s">
        <v>112</v>
      </c>
      <c r="Q10046">
        <v>0</v>
      </c>
      <c r="R10046">
        <v>0</v>
      </c>
      <c r="S10046">
        <v>0</v>
      </c>
      <c r="T10046" t="s">
        <v>37641</v>
      </c>
    </row>
    <row r="10047" spans="1:20" customFormat="1" ht="15" x14ac:dyDescent="0.25">
      <c r="A10047" t="s">
        <v>35</v>
      </c>
      <c r="B10047" t="s">
        <v>106</v>
      </c>
      <c r="C10047" t="str">
        <f>"A0135482"</f>
        <v>A0135482</v>
      </c>
      <c r="D10047" t="s">
        <v>37648</v>
      </c>
      <c r="E10047" t="s">
        <v>37649</v>
      </c>
      <c r="F10047" t="s">
        <v>5229</v>
      </c>
      <c r="G10047" t="s">
        <v>110</v>
      </c>
      <c r="H10047">
        <v>90210</v>
      </c>
      <c r="I10047" t="s">
        <v>30</v>
      </c>
      <c r="J10047" t="s">
        <v>111</v>
      </c>
      <c r="K10047" t="s">
        <v>112</v>
      </c>
      <c r="Q10047">
        <v>0</v>
      </c>
      <c r="R10047">
        <v>0</v>
      </c>
      <c r="S10047">
        <v>0</v>
      </c>
      <c r="T10047" t="s">
        <v>37641</v>
      </c>
    </row>
    <row r="10048" spans="1:20" customFormat="1" ht="15" x14ac:dyDescent="0.25">
      <c r="A10048" t="s">
        <v>35</v>
      </c>
      <c r="B10048" t="s">
        <v>106</v>
      </c>
      <c r="C10048" t="str">
        <f>"A0135481"</f>
        <v>A0135481</v>
      </c>
      <c r="D10048" t="s">
        <v>37650</v>
      </c>
      <c r="E10048" t="s">
        <v>37643</v>
      </c>
      <c r="F10048" t="s">
        <v>5229</v>
      </c>
      <c r="G10048" t="s">
        <v>110</v>
      </c>
      <c r="H10048">
        <v>90210</v>
      </c>
      <c r="I10048" t="s">
        <v>30</v>
      </c>
      <c r="J10048" t="s">
        <v>111</v>
      </c>
      <c r="K10048" t="s">
        <v>112</v>
      </c>
      <c r="Q10048">
        <v>0</v>
      </c>
      <c r="R10048">
        <v>0</v>
      </c>
      <c r="S10048">
        <v>0</v>
      </c>
      <c r="T10048" t="s">
        <v>37641</v>
      </c>
    </row>
    <row r="10049" spans="1:20" customFormat="1" ht="15" x14ac:dyDescent="0.25">
      <c r="A10049" t="s">
        <v>35</v>
      </c>
      <c r="B10049" t="s">
        <v>106</v>
      </c>
      <c r="C10049" t="str">
        <f>"A0135485"</f>
        <v>A0135485</v>
      </c>
      <c r="D10049" t="s">
        <v>37651</v>
      </c>
      <c r="E10049" t="s">
        <v>37652</v>
      </c>
      <c r="F10049" t="s">
        <v>37653</v>
      </c>
      <c r="G10049" t="s">
        <v>110</v>
      </c>
      <c r="H10049">
        <v>90210</v>
      </c>
      <c r="I10049" t="s">
        <v>30</v>
      </c>
      <c r="J10049" t="s">
        <v>111</v>
      </c>
      <c r="K10049" t="s">
        <v>112</v>
      </c>
      <c r="Q10049">
        <v>0</v>
      </c>
      <c r="R10049">
        <v>0</v>
      </c>
      <c r="S10049">
        <v>0</v>
      </c>
      <c r="T10049" t="s">
        <v>37654</v>
      </c>
    </row>
    <row r="10050" spans="1:20" customFormat="1" ht="15" x14ac:dyDescent="0.25">
      <c r="A10050" t="s">
        <v>35</v>
      </c>
      <c r="B10050" t="s">
        <v>61</v>
      </c>
      <c r="C10050" t="str">
        <f>"A0129069"</f>
        <v>A0129069</v>
      </c>
      <c r="D10050" t="s">
        <v>37655</v>
      </c>
      <c r="E10050" t="s">
        <v>37656</v>
      </c>
      <c r="F10050" t="s">
        <v>37657</v>
      </c>
      <c r="G10050" t="s">
        <v>289</v>
      </c>
      <c r="H10050">
        <v>62035</v>
      </c>
      <c r="I10050" t="s">
        <v>30</v>
      </c>
      <c r="J10050" t="s">
        <v>41</v>
      </c>
      <c r="K10050" t="s">
        <v>229</v>
      </c>
      <c r="Q10050">
        <v>0</v>
      </c>
      <c r="R10050">
        <v>440</v>
      </c>
      <c r="S10050">
        <v>440</v>
      </c>
      <c r="T10050" t="s">
        <v>37658</v>
      </c>
    </row>
    <row r="10051" spans="1:20" customFormat="1" ht="15" x14ac:dyDescent="0.25">
      <c r="A10051" t="s">
        <v>35</v>
      </c>
      <c r="B10051" t="s">
        <v>61</v>
      </c>
      <c r="C10051" t="str">
        <f>"A0123175"</f>
        <v>A0123175</v>
      </c>
      <c r="D10051" t="s">
        <v>37659</v>
      </c>
      <c r="E10051" t="s">
        <v>37660</v>
      </c>
      <c r="F10051" t="s">
        <v>4094</v>
      </c>
      <c r="G10051" t="s">
        <v>29</v>
      </c>
      <c r="H10051">
        <v>224076839</v>
      </c>
      <c r="I10051" t="s">
        <v>30</v>
      </c>
      <c r="J10051" t="s">
        <v>41</v>
      </c>
      <c r="K10051" t="s">
        <v>229</v>
      </c>
      <c r="Q10051">
        <v>0</v>
      </c>
      <c r="R10051">
        <v>177</v>
      </c>
      <c r="S10051">
        <v>177</v>
      </c>
      <c r="T10051" t="s">
        <v>37661</v>
      </c>
    </row>
    <row r="10052" spans="1:20" customFormat="1" ht="15" x14ac:dyDescent="0.25">
      <c r="A10052" t="s">
        <v>35</v>
      </c>
      <c r="B10052" t="s">
        <v>61</v>
      </c>
      <c r="C10052" t="str">
        <f>"A0123176"</f>
        <v>A0123176</v>
      </c>
      <c r="D10052" t="s">
        <v>37662</v>
      </c>
      <c r="E10052" t="s">
        <v>37663</v>
      </c>
      <c r="F10052" t="s">
        <v>2425</v>
      </c>
      <c r="G10052" t="s">
        <v>29</v>
      </c>
      <c r="H10052">
        <v>24115</v>
      </c>
      <c r="I10052" t="s">
        <v>30</v>
      </c>
      <c r="J10052" t="s">
        <v>41</v>
      </c>
      <c r="K10052" t="s">
        <v>229</v>
      </c>
      <c r="Q10052">
        <v>0</v>
      </c>
      <c r="R10052">
        <v>142</v>
      </c>
      <c r="S10052">
        <v>142</v>
      </c>
      <c r="T10052" t="s">
        <v>37664</v>
      </c>
    </row>
    <row r="10053" spans="1:20" customFormat="1" ht="15" x14ac:dyDescent="0.25">
      <c r="A10053" t="s">
        <v>35</v>
      </c>
      <c r="B10053" t="s">
        <v>61</v>
      </c>
      <c r="C10053" t="str">
        <f>"A0123177"</f>
        <v>A0123177</v>
      </c>
      <c r="D10053" t="s">
        <v>37665</v>
      </c>
      <c r="E10053" t="s">
        <v>37666</v>
      </c>
      <c r="F10053" t="s">
        <v>11715</v>
      </c>
      <c r="G10053" t="s">
        <v>29</v>
      </c>
      <c r="H10053">
        <v>237042236</v>
      </c>
      <c r="I10053" t="s">
        <v>30</v>
      </c>
      <c r="J10053" t="s">
        <v>41</v>
      </c>
      <c r="K10053" t="s">
        <v>229</v>
      </c>
      <c r="Q10053">
        <v>0</v>
      </c>
      <c r="R10053">
        <v>120</v>
      </c>
      <c r="S10053">
        <v>120</v>
      </c>
      <c r="T10053" t="s">
        <v>37667</v>
      </c>
    </row>
    <row r="10054" spans="1:20" customFormat="1" ht="15" x14ac:dyDescent="0.25">
      <c r="A10054" t="s">
        <v>35</v>
      </c>
      <c r="B10054" t="s">
        <v>61</v>
      </c>
      <c r="C10054" t="str">
        <f>"A0130730"</f>
        <v>A0130730</v>
      </c>
      <c r="D10054" t="s">
        <v>37668</v>
      </c>
      <c r="E10054" t="s">
        <v>37669</v>
      </c>
      <c r="F10054" t="s">
        <v>37670</v>
      </c>
      <c r="G10054" t="s">
        <v>214</v>
      </c>
      <c r="H10054">
        <v>28759</v>
      </c>
      <c r="I10054" t="s">
        <v>30</v>
      </c>
      <c r="J10054" t="s">
        <v>41</v>
      </c>
      <c r="K10054" t="s">
        <v>229</v>
      </c>
      <c r="Q10054">
        <v>0</v>
      </c>
      <c r="R10054">
        <v>60</v>
      </c>
      <c r="S10054">
        <v>60</v>
      </c>
      <c r="T10054" t="s">
        <v>37671</v>
      </c>
    </row>
    <row r="10055" spans="1:20" customFormat="1" ht="15" x14ac:dyDescent="0.25">
      <c r="A10055" t="s">
        <v>35</v>
      </c>
      <c r="B10055" t="s">
        <v>61</v>
      </c>
      <c r="C10055" t="str">
        <f>"A0131703"</f>
        <v>A0131703</v>
      </c>
      <c r="D10055" t="s">
        <v>37672</v>
      </c>
      <c r="E10055" t="s">
        <v>37673</v>
      </c>
      <c r="F10055" t="s">
        <v>3009</v>
      </c>
      <c r="G10055" t="s">
        <v>65</v>
      </c>
      <c r="H10055">
        <v>43130</v>
      </c>
      <c r="I10055" t="s">
        <v>30</v>
      </c>
      <c r="J10055" t="s">
        <v>41</v>
      </c>
      <c r="K10055" t="s">
        <v>59</v>
      </c>
      <c r="Q10055">
        <v>0</v>
      </c>
      <c r="R10055">
        <v>113</v>
      </c>
      <c r="S10055">
        <v>113</v>
      </c>
      <c r="T10055" t="s">
        <v>37674</v>
      </c>
    </row>
    <row r="10056" spans="1:20" customFormat="1" ht="15" x14ac:dyDescent="0.25">
      <c r="A10056" t="s">
        <v>35</v>
      </c>
      <c r="B10056" t="s">
        <v>61</v>
      </c>
      <c r="C10056" t="str">
        <f>"A0132264"</f>
        <v>A0132264</v>
      </c>
      <c r="D10056" t="s">
        <v>37675</v>
      </c>
      <c r="E10056" t="s">
        <v>37676</v>
      </c>
      <c r="F10056" t="s">
        <v>19113</v>
      </c>
      <c r="G10056" t="s">
        <v>65</v>
      </c>
      <c r="H10056">
        <v>45005</v>
      </c>
      <c r="I10056" t="s">
        <v>30</v>
      </c>
      <c r="J10056" t="s">
        <v>41</v>
      </c>
      <c r="K10056" t="s">
        <v>59</v>
      </c>
      <c r="Q10056">
        <v>0</v>
      </c>
      <c r="R10056">
        <v>99</v>
      </c>
      <c r="S10056">
        <v>99</v>
      </c>
      <c r="T10056" t="s">
        <v>37677</v>
      </c>
    </row>
    <row r="10057" spans="1:20" customFormat="1" ht="15" x14ac:dyDescent="0.25">
      <c r="A10057" t="s">
        <v>35</v>
      </c>
      <c r="B10057" t="s">
        <v>61</v>
      </c>
      <c r="C10057" t="str">
        <f>"A0127672"</f>
        <v>A0127672</v>
      </c>
      <c r="D10057" t="s">
        <v>37678</v>
      </c>
      <c r="E10057" t="s">
        <v>37679</v>
      </c>
      <c r="F10057" t="s">
        <v>37680</v>
      </c>
      <c r="G10057" t="s">
        <v>117</v>
      </c>
      <c r="H10057">
        <v>48917</v>
      </c>
      <c r="I10057" t="s">
        <v>30</v>
      </c>
      <c r="J10057" t="s">
        <v>41</v>
      </c>
      <c r="K10057" t="s">
        <v>59</v>
      </c>
      <c r="Q10057">
        <v>0</v>
      </c>
      <c r="R10057">
        <v>447</v>
      </c>
      <c r="S10057">
        <v>447</v>
      </c>
      <c r="T10057" t="s">
        <v>37681</v>
      </c>
    </row>
    <row r="10058" spans="1:20" customFormat="1" ht="15" x14ac:dyDescent="0.25">
      <c r="A10058" t="s">
        <v>35</v>
      </c>
      <c r="B10058" t="s">
        <v>61</v>
      </c>
      <c r="C10058" t="str">
        <f>"A0130855"</f>
        <v>A0130855</v>
      </c>
      <c r="D10058" t="s">
        <v>37682</v>
      </c>
      <c r="E10058" t="s">
        <v>12409</v>
      </c>
      <c r="F10058" t="s">
        <v>37683</v>
      </c>
      <c r="G10058" t="s">
        <v>137</v>
      </c>
      <c r="H10058">
        <v>63088</v>
      </c>
      <c r="I10058" t="s">
        <v>30</v>
      </c>
      <c r="J10058" t="s">
        <v>41</v>
      </c>
      <c r="K10058" t="s">
        <v>229</v>
      </c>
      <c r="Q10058">
        <v>0</v>
      </c>
      <c r="R10058">
        <v>176</v>
      </c>
      <c r="S10058">
        <v>176</v>
      </c>
      <c r="T10058" t="s">
        <v>37684</v>
      </c>
    </row>
    <row r="10059" spans="1:20" customFormat="1" ht="15" x14ac:dyDescent="0.25">
      <c r="A10059" t="s">
        <v>35</v>
      </c>
      <c r="B10059" t="s">
        <v>61</v>
      </c>
      <c r="C10059" t="str">
        <f>"A0131201"</f>
        <v>A0131201</v>
      </c>
      <c r="D10059" t="s">
        <v>37685</v>
      </c>
      <c r="E10059" t="s">
        <v>37686</v>
      </c>
      <c r="F10059" t="s">
        <v>37687</v>
      </c>
      <c r="G10059" t="s">
        <v>85</v>
      </c>
      <c r="H10059">
        <v>726170000</v>
      </c>
      <c r="I10059" t="s">
        <v>30</v>
      </c>
      <c r="J10059" t="s">
        <v>41</v>
      </c>
      <c r="K10059" t="s">
        <v>2760</v>
      </c>
      <c r="Q10059">
        <v>0</v>
      </c>
      <c r="R10059">
        <v>1</v>
      </c>
      <c r="S10059">
        <v>1</v>
      </c>
      <c r="T10059" t="s">
        <v>37688</v>
      </c>
    </row>
    <row r="10060" spans="1:20" customFormat="1" ht="15" x14ac:dyDescent="0.25">
      <c r="A10060" t="s">
        <v>35</v>
      </c>
      <c r="B10060" t="s">
        <v>437</v>
      </c>
      <c r="C10060" t="str">
        <f>"A0134916"</f>
        <v>A0134916</v>
      </c>
      <c r="D10060" t="s">
        <v>37689</v>
      </c>
      <c r="E10060" t="s">
        <v>37690</v>
      </c>
      <c r="F10060" t="s">
        <v>30188</v>
      </c>
      <c r="G10060" t="s">
        <v>846</v>
      </c>
      <c r="H10060">
        <v>30265</v>
      </c>
      <c r="I10060" t="s">
        <v>30</v>
      </c>
      <c r="J10060" t="s">
        <v>441</v>
      </c>
      <c r="K10060" t="s">
        <v>442</v>
      </c>
      <c r="Q10060">
        <v>0</v>
      </c>
      <c r="R10060">
        <v>0</v>
      </c>
      <c r="S10060">
        <v>0</v>
      </c>
      <c r="T10060" t="s">
        <v>37691</v>
      </c>
    </row>
    <row r="10061" spans="1:20" customFormat="1" ht="15" x14ac:dyDescent="0.25">
      <c r="A10061" t="s">
        <v>35</v>
      </c>
      <c r="B10061" t="s">
        <v>437</v>
      </c>
      <c r="C10061" t="str">
        <f>"A0134915"</f>
        <v>A0134915</v>
      </c>
      <c r="D10061" t="s">
        <v>37692</v>
      </c>
      <c r="E10061" t="s">
        <v>37693</v>
      </c>
      <c r="F10061" t="s">
        <v>37694</v>
      </c>
      <c r="G10061" t="s">
        <v>846</v>
      </c>
      <c r="H10061">
        <v>30290</v>
      </c>
      <c r="I10061" t="s">
        <v>30</v>
      </c>
      <c r="J10061" t="s">
        <v>441</v>
      </c>
      <c r="K10061" t="s">
        <v>442</v>
      </c>
      <c r="Q10061">
        <v>0</v>
      </c>
      <c r="R10061">
        <v>0</v>
      </c>
      <c r="S10061">
        <v>0</v>
      </c>
      <c r="T10061" t="s">
        <v>37695</v>
      </c>
    </row>
    <row r="10062" spans="1:20" customFormat="1" ht="15" x14ac:dyDescent="0.25">
      <c r="A10062" t="s">
        <v>35</v>
      </c>
      <c r="B10062" t="s">
        <v>54</v>
      </c>
      <c r="C10062" t="str">
        <f>"A0131301"</f>
        <v>A0131301</v>
      </c>
      <c r="D10062" t="s">
        <v>37696</v>
      </c>
      <c r="E10062" t="s">
        <v>37697</v>
      </c>
      <c r="F10062" t="s">
        <v>37698</v>
      </c>
      <c r="G10062" t="s">
        <v>137</v>
      </c>
      <c r="H10062">
        <v>63016</v>
      </c>
      <c r="I10062" t="s">
        <v>30</v>
      </c>
      <c r="J10062" t="s">
        <v>41</v>
      </c>
      <c r="K10062" t="s">
        <v>229</v>
      </c>
      <c r="Q10062">
        <v>0</v>
      </c>
      <c r="R10062">
        <v>150</v>
      </c>
      <c r="S10062">
        <v>150</v>
      </c>
      <c r="T10062" t="s">
        <v>37699</v>
      </c>
    </row>
    <row r="10063" spans="1:20" customFormat="1" ht="15" x14ac:dyDescent="0.25">
      <c r="A10063" t="s">
        <v>35</v>
      </c>
      <c r="B10063" t="s">
        <v>106</v>
      </c>
      <c r="C10063" t="str">
        <f>"A0136586"</f>
        <v>A0136586</v>
      </c>
      <c r="D10063" t="s">
        <v>37700</v>
      </c>
      <c r="E10063" t="s">
        <v>37701</v>
      </c>
      <c r="F10063" t="s">
        <v>37702</v>
      </c>
      <c r="G10063" t="s">
        <v>1184</v>
      </c>
      <c r="H10063">
        <v>59520</v>
      </c>
      <c r="I10063" t="s">
        <v>30</v>
      </c>
      <c r="J10063" t="s">
        <v>111</v>
      </c>
      <c r="K10063" t="s">
        <v>112</v>
      </c>
      <c r="Q10063">
        <v>0</v>
      </c>
      <c r="R10063">
        <v>0</v>
      </c>
      <c r="S10063">
        <v>0</v>
      </c>
      <c r="T10063" t="s">
        <v>37703</v>
      </c>
    </row>
    <row r="10064" spans="1:20" customFormat="1" ht="15" x14ac:dyDescent="0.25">
      <c r="A10064" t="s">
        <v>35</v>
      </c>
      <c r="B10064" t="s">
        <v>106</v>
      </c>
      <c r="C10064" t="str">
        <f>"A0135335"</f>
        <v>A0135335</v>
      </c>
      <c r="D10064" t="s">
        <v>37704</v>
      </c>
      <c r="E10064" t="s">
        <v>37705</v>
      </c>
      <c r="F10064" t="s">
        <v>37702</v>
      </c>
      <c r="G10064" t="s">
        <v>1184</v>
      </c>
      <c r="H10064">
        <v>59520</v>
      </c>
      <c r="I10064" t="s">
        <v>30</v>
      </c>
      <c r="J10064" t="s">
        <v>111</v>
      </c>
      <c r="K10064" t="s">
        <v>112</v>
      </c>
      <c r="Q10064">
        <v>0</v>
      </c>
      <c r="R10064">
        <v>0</v>
      </c>
      <c r="S10064">
        <v>0</v>
      </c>
      <c r="T10064" t="s">
        <v>37703</v>
      </c>
    </row>
    <row r="10065" spans="1:20" customFormat="1" ht="15" x14ac:dyDescent="0.25">
      <c r="A10065" t="s">
        <v>35</v>
      </c>
      <c r="B10065" t="s">
        <v>106</v>
      </c>
      <c r="C10065" t="str">
        <f>"A0135326"</f>
        <v>A0135326</v>
      </c>
      <c r="D10065" t="s">
        <v>37706</v>
      </c>
      <c r="E10065" t="s">
        <v>37707</v>
      </c>
      <c r="F10065" t="s">
        <v>37708</v>
      </c>
      <c r="G10065" t="s">
        <v>1184</v>
      </c>
      <c r="H10065">
        <v>59911</v>
      </c>
      <c r="I10065" t="s">
        <v>30</v>
      </c>
      <c r="J10065" t="s">
        <v>111</v>
      </c>
      <c r="K10065" t="s">
        <v>10012</v>
      </c>
      <c r="Q10065">
        <v>0</v>
      </c>
      <c r="R10065">
        <v>0</v>
      </c>
      <c r="S10065">
        <v>0</v>
      </c>
      <c r="T10065" t="s">
        <v>37709</v>
      </c>
    </row>
    <row r="10066" spans="1:20" customFormat="1" ht="15" x14ac:dyDescent="0.25">
      <c r="A10066" t="s">
        <v>35</v>
      </c>
      <c r="B10066" t="s">
        <v>61</v>
      </c>
      <c r="C10066" t="str">
        <f>"A0124553"</f>
        <v>A0124553</v>
      </c>
      <c r="D10066" t="s">
        <v>37710</v>
      </c>
      <c r="E10066" t="s">
        <v>37711</v>
      </c>
      <c r="F10066" t="s">
        <v>37712</v>
      </c>
      <c r="G10066" t="s">
        <v>1706</v>
      </c>
      <c r="H10066">
        <v>350100000</v>
      </c>
      <c r="I10066" t="s">
        <v>30</v>
      </c>
      <c r="J10066" t="s">
        <v>41</v>
      </c>
      <c r="K10066" t="s">
        <v>229</v>
      </c>
      <c r="Q10066">
        <v>0</v>
      </c>
      <c r="R10066">
        <v>150</v>
      </c>
      <c r="S10066">
        <v>150</v>
      </c>
      <c r="T10066" t="s">
        <v>37713</v>
      </c>
    </row>
    <row r="10067" spans="1:20" customFormat="1" ht="15" x14ac:dyDescent="0.25">
      <c r="A10067" t="s">
        <v>35</v>
      </c>
      <c r="B10067" t="s">
        <v>61</v>
      </c>
      <c r="C10067" t="str">
        <f>"A0121441"</f>
        <v>A0121441</v>
      </c>
      <c r="D10067" t="s">
        <v>37714</v>
      </c>
      <c r="E10067" t="s">
        <v>37715</v>
      </c>
      <c r="F10067" t="s">
        <v>20644</v>
      </c>
      <c r="G10067" t="s">
        <v>110</v>
      </c>
      <c r="H10067">
        <v>95050</v>
      </c>
      <c r="I10067" t="s">
        <v>30</v>
      </c>
      <c r="J10067" t="s">
        <v>41</v>
      </c>
      <c r="K10067" t="s">
        <v>104</v>
      </c>
      <c r="Q10067">
        <v>0</v>
      </c>
      <c r="R10067">
        <v>0</v>
      </c>
      <c r="S10067">
        <v>0</v>
      </c>
      <c r="T10067" t="s">
        <v>37716</v>
      </c>
    </row>
    <row r="10068" spans="1:20" customFormat="1" ht="15" x14ac:dyDescent="0.25">
      <c r="A10068" t="s">
        <v>35</v>
      </c>
      <c r="B10068" t="s">
        <v>61</v>
      </c>
      <c r="C10068" t="str">
        <f>"A0131206"</f>
        <v>A0131206</v>
      </c>
      <c r="D10068" t="s">
        <v>37717</v>
      </c>
      <c r="E10068" t="s">
        <v>37718</v>
      </c>
      <c r="F10068" t="s">
        <v>37719</v>
      </c>
      <c r="G10068" t="s">
        <v>85</v>
      </c>
      <c r="H10068">
        <v>727360000</v>
      </c>
      <c r="I10068" t="s">
        <v>30</v>
      </c>
      <c r="J10068" t="s">
        <v>41</v>
      </c>
      <c r="K10068" t="s">
        <v>2760</v>
      </c>
      <c r="Q10068">
        <v>0</v>
      </c>
      <c r="R10068">
        <v>1</v>
      </c>
      <c r="S10068">
        <v>1</v>
      </c>
      <c r="T10068" t="s">
        <v>37720</v>
      </c>
    </row>
    <row r="10069" spans="1:20" customFormat="1" ht="15" x14ac:dyDescent="0.25">
      <c r="A10069" t="s">
        <v>35</v>
      </c>
      <c r="B10069" t="s">
        <v>61</v>
      </c>
      <c r="C10069" t="str">
        <f>"A0125259"</f>
        <v>A0125259</v>
      </c>
      <c r="D10069" t="s">
        <v>37721</v>
      </c>
      <c r="E10069" t="s">
        <v>37722</v>
      </c>
      <c r="F10069" t="s">
        <v>37723</v>
      </c>
      <c r="G10069" t="s">
        <v>40</v>
      </c>
      <c r="H10069">
        <v>73009</v>
      </c>
      <c r="I10069" t="s">
        <v>30</v>
      </c>
      <c r="J10069" t="s">
        <v>41</v>
      </c>
      <c r="K10069" t="s">
        <v>229</v>
      </c>
      <c r="Q10069">
        <v>0</v>
      </c>
      <c r="R10069">
        <v>65</v>
      </c>
      <c r="S10069">
        <v>65</v>
      </c>
      <c r="T10069" t="s">
        <v>37724</v>
      </c>
    </row>
    <row r="10070" spans="1:20" customFormat="1" ht="15" x14ac:dyDescent="0.25">
      <c r="A10070" t="s">
        <v>35</v>
      </c>
      <c r="B10070" t="s">
        <v>61</v>
      </c>
      <c r="C10070" t="str">
        <f>"A0123631"</f>
        <v>A0123631</v>
      </c>
      <c r="D10070" t="s">
        <v>37725</v>
      </c>
      <c r="E10070" t="s">
        <v>37726</v>
      </c>
      <c r="F10070" t="s">
        <v>37204</v>
      </c>
      <c r="G10070" t="s">
        <v>29</v>
      </c>
      <c r="H10070">
        <v>244019379</v>
      </c>
      <c r="I10070" t="s">
        <v>30</v>
      </c>
      <c r="J10070" t="s">
        <v>41</v>
      </c>
      <c r="K10070" t="s">
        <v>482</v>
      </c>
      <c r="Q10070">
        <v>0</v>
      </c>
      <c r="R10070">
        <v>31</v>
      </c>
      <c r="S10070">
        <v>31</v>
      </c>
      <c r="T10070" t="s">
        <v>37727</v>
      </c>
    </row>
    <row r="10071" spans="1:20" customFormat="1" ht="15" x14ac:dyDescent="0.25">
      <c r="A10071" t="s">
        <v>35</v>
      </c>
      <c r="B10071" t="s">
        <v>61</v>
      </c>
      <c r="C10071" t="str">
        <f>"A0129030"</f>
        <v>A0129030</v>
      </c>
      <c r="D10071" t="s">
        <v>37728</v>
      </c>
      <c r="E10071" t="s">
        <v>37729</v>
      </c>
      <c r="F10071" t="s">
        <v>37730</v>
      </c>
      <c r="G10071" t="s">
        <v>289</v>
      </c>
      <c r="H10071">
        <v>60514</v>
      </c>
      <c r="I10071" t="s">
        <v>30</v>
      </c>
      <c r="J10071" t="s">
        <v>41</v>
      </c>
      <c r="K10071" t="s">
        <v>59</v>
      </c>
      <c r="Q10071">
        <v>0</v>
      </c>
      <c r="R10071">
        <v>90</v>
      </c>
      <c r="S10071">
        <v>90</v>
      </c>
      <c r="T10071" t="s">
        <v>37731</v>
      </c>
    </row>
    <row r="10072" spans="1:20" customFormat="1" ht="15" x14ac:dyDescent="0.25">
      <c r="A10072" t="s">
        <v>35</v>
      </c>
      <c r="B10072" t="s">
        <v>61</v>
      </c>
      <c r="C10072" t="str">
        <f>"A0125723"</f>
        <v>A0125723</v>
      </c>
      <c r="D10072" t="s">
        <v>37732</v>
      </c>
      <c r="E10072" t="s">
        <v>37733</v>
      </c>
      <c r="F10072" t="s">
        <v>1630</v>
      </c>
      <c r="G10072" t="s">
        <v>29</v>
      </c>
      <c r="H10072">
        <v>20110</v>
      </c>
      <c r="I10072" t="s">
        <v>30</v>
      </c>
      <c r="J10072" t="s">
        <v>41</v>
      </c>
      <c r="K10072" t="s">
        <v>229</v>
      </c>
      <c r="Q10072">
        <v>0</v>
      </c>
      <c r="R10072">
        <v>244</v>
      </c>
      <c r="S10072">
        <v>244</v>
      </c>
      <c r="T10072" t="s">
        <v>37734</v>
      </c>
    </row>
    <row r="10073" spans="1:20" customFormat="1" ht="15" x14ac:dyDescent="0.25">
      <c r="A10073" t="s">
        <v>35</v>
      </c>
      <c r="B10073" t="s">
        <v>106</v>
      </c>
      <c r="C10073" t="str">
        <f>"A0135479"</f>
        <v>A0135479</v>
      </c>
      <c r="D10073" t="s">
        <v>37735</v>
      </c>
      <c r="E10073" t="s">
        <v>37643</v>
      </c>
      <c r="F10073" t="s">
        <v>5229</v>
      </c>
      <c r="G10073" t="s">
        <v>110</v>
      </c>
      <c r="H10073">
        <v>90210</v>
      </c>
      <c r="I10073" t="s">
        <v>30</v>
      </c>
      <c r="J10073" t="s">
        <v>111</v>
      </c>
      <c r="K10073" t="s">
        <v>112</v>
      </c>
      <c r="Q10073">
        <v>0</v>
      </c>
      <c r="R10073">
        <v>0</v>
      </c>
      <c r="S10073">
        <v>0</v>
      </c>
      <c r="T10073" t="s">
        <v>37641</v>
      </c>
    </row>
    <row r="10074" spans="1:20" customFormat="1" ht="15" x14ac:dyDescent="0.25">
      <c r="A10074" t="s">
        <v>35</v>
      </c>
      <c r="B10074" t="s">
        <v>61</v>
      </c>
      <c r="C10074" t="str">
        <f>"A0128081"</f>
        <v>A0128081</v>
      </c>
      <c r="D10074" t="s">
        <v>37736</v>
      </c>
      <c r="E10074" t="s">
        <v>37737</v>
      </c>
      <c r="F10074" t="s">
        <v>37319</v>
      </c>
      <c r="G10074" t="s">
        <v>117</v>
      </c>
      <c r="H10074">
        <v>49829</v>
      </c>
      <c r="I10074" t="s">
        <v>30</v>
      </c>
      <c r="J10074" t="s">
        <v>41</v>
      </c>
      <c r="K10074" t="s">
        <v>229</v>
      </c>
      <c r="Q10074">
        <v>0</v>
      </c>
      <c r="R10074">
        <v>100</v>
      </c>
      <c r="S10074">
        <v>100</v>
      </c>
      <c r="T10074" t="s">
        <v>37738</v>
      </c>
    </row>
    <row r="10075" spans="1:20" customFormat="1" ht="15" x14ac:dyDescent="0.25">
      <c r="A10075" t="s">
        <v>35</v>
      </c>
      <c r="B10075" t="s">
        <v>61</v>
      </c>
      <c r="C10075" t="str">
        <f>"A0152994"</f>
        <v>A0152994</v>
      </c>
      <c r="D10075" t="s">
        <v>37739</v>
      </c>
      <c r="E10075" t="s">
        <v>37740</v>
      </c>
      <c r="F10075" t="s">
        <v>25073</v>
      </c>
      <c r="G10075" t="s">
        <v>81</v>
      </c>
      <c r="H10075">
        <v>32117</v>
      </c>
      <c r="I10075" t="s">
        <v>30</v>
      </c>
      <c r="J10075" t="s">
        <v>41</v>
      </c>
      <c r="K10075" t="s">
        <v>1440</v>
      </c>
      <c r="Q10075">
        <v>0</v>
      </c>
      <c r="R10075">
        <v>353</v>
      </c>
      <c r="S10075">
        <v>353</v>
      </c>
      <c r="T10075" t="s">
        <v>37741</v>
      </c>
    </row>
    <row r="10076" spans="1:20" customFormat="1" ht="15" x14ac:dyDescent="0.25">
      <c r="A10076" t="s">
        <v>35</v>
      </c>
      <c r="B10076" t="s">
        <v>61</v>
      </c>
      <c r="C10076" t="str">
        <f>"A0125487"</f>
        <v>A0125487</v>
      </c>
      <c r="D10076" t="s">
        <v>37742</v>
      </c>
      <c r="E10076" t="s">
        <v>37743</v>
      </c>
      <c r="F10076" t="s">
        <v>37744</v>
      </c>
      <c r="G10076" t="s">
        <v>1184</v>
      </c>
      <c r="H10076">
        <v>59417</v>
      </c>
      <c r="I10076" t="s">
        <v>30</v>
      </c>
      <c r="J10076" t="s">
        <v>41</v>
      </c>
      <c r="K10076" t="s">
        <v>229</v>
      </c>
      <c r="Q10076">
        <v>0</v>
      </c>
      <c r="R10076">
        <v>47</v>
      </c>
      <c r="S10076">
        <v>47</v>
      </c>
      <c r="T10076" t="s">
        <v>37745</v>
      </c>
    </row>
    <row r="10077" spans="1:20" customFormat="1" ht="15" x14ac:dyDescent="0.25">
      <c r="A10077" t="s">
        <v>35</v>
      </c>
      <c r="B10077" t="s">
        <v>61</v>
      </c>
      <c r="C10077" t="str">
        <f>"A0127447"</f>
        <v>A0127447</v>
      </c>
      <c r="D10077" t="s">
        <v>37746</v>
      </c>
      <c r="E10077" t="s">
        <v>37747</v>
      </c>
      <c r="F10077" t="s">
        <v>37748</v>
      </c>
      <c r="G10077" t="s">
        <v>846</v>
      </c>
      <c r="H10077">
        <v>31015</v>
      </c>
      <c r="I10077" t="s">
        <v>30</v>
      </c>
      <c r="J10077" t="s">
        <v>41</v>
      </c>
      <c r="K10077" t="s">
        <v>59</v>
      </c>
      <c r="Q10077">
        <v>0</v>
      </c>
      <c r="R10077">
        <v>24</v>
      </c>
      <c r="S10077">
        <v>24</v>
      </c>
      <c r="T10077" t="s">
        <v>37749</v>
      </c>
    </row>
    <row r="10078" spans="1:20" customFormat="1" ht="15" x14ac:dyDescent="0.25">
      <c r="A10078" t="s">
        <v>35</v>
      </c>
      <c r="B10078" t="s">
        <v>61</v>
      </c>
      <c r="C10078" t="str">
        <f>"A0121377"</f>
        <v>A0121377</v>
      </c>
      <c r="D10078" t="s">
        <v>37750</v>
      </c>
      <c r="E10078" t="s">
        <v>37751</v>
      </c>
      <c r="F10078" t="s">
        <v>37752</v>
      </c>
      <c r="G10078" t="s">
        <v>153</v>
      </c>
      <c r="H10078">
        <v>84319</v>
      </c>
      <c r="I10078" t="s">
        <v>30</v>
      </c>
      <c r="J10078" t="s">
        <v>41</v>
      </c>
      <c r="K10078" t="s">
        <v>59</v>
      </c>
      <c r="Q10078">
        <v>0</v>
      </c>
      <c r="R10078">
        <v>36</v>
      </c>
      <c r="S10078">
        <v>36</v>
      </c>
      <c r="T10078" t="s">
        <v>37753</v>
      </c>
    </row>
    <row r="10079" spans="1:20" customFormat="1" ht="15" x14ac:dyDescent="0.25">
      <c r="A10079" t="s">
        <v>35</v>
      </c>
      <c r="B10079" t="s">
        <v>61</v>
      </c>
      <c r="C10079" t="str">
        <f>"A0129885"</f>
        <v>A0129885</v>
      </c>
      <c r="D10079" t="s">
        <v>37754</v>
      </c>
      <c r="E10079" t="s">
        <v>37755</v>
      </c>
      <c r="F10079" t="s">
        <v>1420</v>
      </c>
      <c r="G10079" t="s">
        <v>880</v>
      </c>
      <c r="H10079">
        <v>37215</v>
      </c>
      <c r="I10079" t="s">
        <v>30</v>
      </c>
      <c r="J10079" t="s">
        <v>41</v>
      </c>
      <c r="K10079" t="s">
        <v>229</v>
      </c>
      <c r="Q10079">
        <v>0</v>
      </c>
      <c r="R10079">
        <v>40</v>
      </c>
      <c r="S10079">
        <v>40</v>
      </c>
      <c r="T10079" t="s">
        <v>37756</v>
      </c>
    </row>
    <row r="10080" spans="1:20" customFormat="1" ht="15" x14ac:dyDescent="0.25">
      <c r="A10080" t="s">
        <v>35</v>
      </c>
      <c r="B10080" t="s">
        <v>61</v>
      </c>
      <c r="C10080" t="str">
        <f>"A0124014"</f>
        <v>A0124014</v>
      </c>
      <c r="D10080" t="s">
        <v>37757</v>
      </c>
      <c r="E10080" t="s">
        <v>37758</v>
      </c>
      <c r="F10080" t="s">
        <v>37759</v>
      </c>
      <c r="G10080" t="s">
        <v>214</v>
      </c>
      <c r="H10080">
        <v>27244</v>
      </c>
      <c r="I10080" t="s">
        <v>30</v>
      </c>
      <c r="J10080" t="s">
        <v>41</v>
      </c>
      <c r="K10080" t="s">
        <v>59</v>
      </c>
      <c r="Q10080">
        <v>0</v>
      </c>
      <c r="R10080">
        <v>0</v>
      </c>
      <c r="S10080">
        <v>0</v>
      </c>
      <c r="T10080" t="s">
        <v>37760</v>
      </c>
    </row>
    <row r="10081" spans="1:20" customFormat="1" ht="15" x14ac:dyDescent="0.25">
      <c r="A10081" t="s">
        <v>35</v>
      </c>
      <c r="B10081" t="s">
        <v>106</v>
      </c>
      <c r="C10081" t="str">
        <f>"A0158528"</f>
        <v>A0158528</v>
      </c>
      <c r="D10081" t="s">
        <v>37761</v>
      </c>
      <c r="E10081" t="s">
        <v>37762</v>
      </c>
      <c r="F10081" t="s">
        <v>8249</v>
      </c>
      <c r="G10081" t="s">
        <v>880</v>
      </c>
      <c r="H10081">
        <v>37066</v>
      </c>
      <c r="I10081" t="s">
        <v>30</v>
      </c>
      <c r="J10081" t="s">
        <v>111</v>
      </c>
      <c r="K10081" t="s">
        <v>112</v>
      </c>
      <c r="Q10081">
        <v>0</v>
      </c>
      <c r="R10081">
        <v>0</v>
      </c>
      <c r="S10081">
        <v>0</v>
      </c>
      <c r="T10081" t="s">
        <v>37763</v>
      </c>
    </row>
    <row r="10082" spans="1:20" customFormat="1" ht="15" x14ac:dyDescent="0.25">
      <c r="A10082" t="s">
        <v>35</v>
      </c>
      <c r="B10082" t="s">
        <v>61</v>
      </c>
      <c r="C10082" t="str">
        <f>"A0150627"</f>
        <v>A0150627</v>
      </c>
      <c r="D10082" t="s">
        <v>37764</v>
      </c>
      <c r="E10082" t="s">
        <v>37765</v>
      </c>
      <c r="F10082" t="s">
        <v>4615</v>
      </c>
      <c r="G10082" t="s">
        <v>65</v>
      </c>
      <c r="H10082">
        <v>43055</v>
      </c>
      <c r="I10082" t="s">
        <v>30</v>
      </c>
      <c r="J10082" t="s">
        <v>41</v>
      </c>
      <c r="K10082" t="s">
        <v>42</v>
      </c>
      <c r="Q10082">
        <v>0</v>
      </c>
      <c r="R10082">
        <v>0</v>
      </c>
      <c r="S10082">
        <v>0</v>
      </c>
      <c r="T10082" t="s">
        <v>37766</v>
      </c>
    </row>
    <row r="10083" spans="1:20" customFormat="1" ht="15" x14ac:dyDescent="0.25">
      <c r="A10083" t="s">
        <v>35</v>
      </c>
      <c r="B10083" t="s">
        <v>61</v>
      </c>
      <c r="C10083" t="str">
        <f>"A0124111"</f>
        <v>A0124111</v>
      </c>
      <c r="D10083" t="s">
        <v>37767</v>
      </c>
      <c r="E10083" t="s">
        <v>37768</v>
      </c>
      <c r="F10083" t="s">
        <v>4082</v>
      </c>
      <c r="G10083" t="s">
        <v>123</v>
      </c>
      <c r="H10083">
        <v>21218</v>
      </c>
      <c r="I10083" t="s">
        <v>30</v>
      </c>
      <c r="J10083" t="s">
        <v>41</v>
      </c>
      <c r="K10083" t="s">
        <v>229</v>
      </c>
      <c r="Q10083">
        <v>0</v>
      </c>
      <c r="R10083">
        <v>0</v>
      </c>
      <c r="S10083">
        <v>0</v>
      </c>
      <c r="T10083" t="s">
        <v>37769</v>
      </c>
    </row>
    <row r="10084" spans="1:20" customFormat="1" ht="15" x14ac:dyDescent="0.25">
      <c r="A10084" t="s">
        <v>35</v>
      </c>
      <c r="B10084" t="s">
        <v>106</v>
      </c>
      <c r="C10084" t="str">
        <f>"A0135730"</f>
        <v>A0135730</v>
      </c>
      <c r="D10084" t="s">
        <v>37770</v>
      </c>
      <c r="E10084" t="s">
        <v>37771</v>
      </c>
      <c r="F10084" t="s">
        <v>20988</v>
      </c>
      <c r="G10084" t="s">
        <v>52</v>
      </c>
      <c r="H10084">
        <v>77833</v>
      </c>
      <c r="I10084" t="s">
        <v>30</v>
      </c>
      <c r="J10084" t="s">
        <v>111</v>
      </c>
      <c r="K10084" t="s">
        <v>112</v>
      </c>
      <c r="Q10084">
        <v>0</v>
      </c>
      <c r="R10084">
        <v>0</v>
      </c>
      <c r="S10084">
        <v>0</v>
      </c>
      <c r="T10084" t="s">
        <v>37772</v>
      </c>
    </row>
    <row r="10085" spans="1:20" customFormat="1" ht="15" x14ac:dyDescent="0.25">
      <c r="A10085" t="s">
        <v>35</v>
      </c>
      <c r="B10085" t="s">
        <v>61</v>
      </c>
      <c r="C10085" t="str">
        <f>"A0132534"</f>
        <v>A0132534</v>
      </c>
      <c r="D10085" t="s">
        <v>37773</v>
      </c>
      <c r="E10085" t="s">
        <v>37774</v>
      </c>
      <c r="F10085" t="s">
        <v>1948</v>
      </c>
      <c r="G10085" t="s">
        <v>65</v>
      </c>
      <c r="H10085">
        <v>44107</v>
      </c>
      <c r="I10085" t="s">
        <v>30</v>
      </c>
      <c r="J10085" t="s">
        <v>41</v>
      </c>
      <c r="K10085" t="s">
        <v>59</v>
      </c>
      <c r="Q10085">
        <v>0</v>
      </c>
      <c r="R10085">
        <v>90</v>
      </c>
      <c r="S10085">
        <v>90</v>
      </c>
      <c r="T10085" t="s">
        <v>37775</v>
      </c>
    </row>
    <row r="10086" spans="1:20" customFormat="1" ht="15" x14ac:dyDescent="0.25">
      <c r="A10086" t="s">
        <v>35</v>
      </c>
      <c r="B10086" t="s">
        <v>61</v>
      </c>
      <c r="C10086" t="str">
        <f>"A0122011"</f>
        <v>A0122011</v>
      </c>
      <c r="D10086" t="s">
        <v>37776</v>
      </c>
      <c r="E10086" t="s">
        <v>37777</v>
      </c>
      <c r="F10086" t="s">
        <v>27744</v>
      </c>
      <c r="G10086" t="s">
        <v>110</v>
      </c>
      <c r="H10086">
        <v>94550</v>
      </c>
      <c r="I10086" t="s">
        <v>30</v>
      </c>
      <c r="J10086" t="s">
        <v>41</v>
      </c>
      <c r="K10086" t="s">
        <v>1032</v>
      </c>
      <c r="Q10086">
        <v>0</v>
      </c>
      <c r="R10086">
        <v>30</v>
      </c>
      <c r="S10086">
        <v>30</v>
      </c>
      <c r="T10086" t="s">
        <v>37778</v>
      </c>
    </row>
    <row r="10087" spans="1:20" customFormat="1" ht="15" x14ac:dyDescent="0.25">
      <c r="A10087" t="s">
        <v>35</v>
      </c>
      <c r="B10087" t="s">
        <v>61</v>
      </c>
      <c r="C10087" t="str">
        <f>"A0129526"</f>
        <v>A0129526</v>
      </c>
      <c r="D10087" t="s">
        <v>37779</v>
      </c>
      <c r="E10087" t="s">
        <v>37780</v>
      </c>
      <c r="F10087" t="s">
        <v>12934</v>
      </c>
      <c r="G10087" t="s">
        <v>289</v>
      </c>
      <c r="H10087">
        <v>61701</v>
      </c>
      <c r="I10087" t="s">
        <v>30</v>
      </c>
      <c r="J10087" t="s">
        <v>41</v>
      </c>
      <c r="K10087" t="s">
        <v>391</v>
      </c>
      <c r="Q10087">
        <v>0</v>
      </c>
      <c r="R10087">
        <v>79</v>
      </c>
      <c r="S10087">
        <v>79</v>
      </c>
      <c r="T10087" t="s">
        <v>37781</v>
      </c>
    </row>
    <row r="10088" spans="1:20" customFormat="1" ht="15" x14ac:dyDescent="0.25">
      <c r="A10088" t="s">
        <v>35</v>
      </c>
      <c r="B10088" t="s">
        <v>61</v>
      </c>
      <c r="C10088" t="str">
        <f>"A0153301"</f>
        <v>A0153301</v>
      </c>
      <c r="D10088" t="s">
        <v>37782</v>
      </c>
      <c r="E10088" t="s">
        <v>37783</v>
      </c>
      <c r="F10088" t="s">
        <v>37784</v>
      </c>
      <c r="G10088" t="s">
        <v>117</v>
      </c>
      <c r="H10088">
        <v>48306</v>
      </c>
      <c r="I10088" t="s">
        <v>30</v>
      </c>
      <c r="J10088" t="s">
        <v>41</v>
      </c>
      <c r="K10088" t="s">
        <v>59</v>
      </c>
      <c r="Q10088">
        <v>0</v>
      </c>
      <c r="R10088">
        <v>20</v>
      </c>
      <c r="S10088">
        <v>20</v>
      </c>
      <c r="T10088" t="s">
        <v>37785</v>
      </c>
    </row>
    <row r="10089" spans="1:20" customFormat="1" ht="15" x14ac:dyDescent="0.25">
      <c r="A10089" t="s">
        <v>35</v>
      </c>
      <c r="B10089" t="s">
        <v>61</v>
      </c>
      <c r="C10089" t="str">
        <f>"A0123178"</f>
        <v>A0123178</v>
      </c>
      <c r="D10089" t="s">
        <v>37786</v>
      </c>
      <c r="E10089" t="s">
        <v>37787</v>
      </c>
      <c r="F10089" t="s">
        <v>15622</v>
      </c>
      <c r="G10089" t="s">
        <v>29</v>
      </c>
      <c r="H10089">
        <v>23518</v>
      </c>
      <c r="I10089" t="s">
        <v>30</v>
      </c>
      <c r="J10089" t="s">
        <v>41</v>
      </c>
      <c r="K10089" t="s">
        <v>442</v>
      </c>
      <c r="Q10089">
        <v>0</v>
      </c>
      <c r="R10089">
        <v>0</v>
      </c>
      <c r="S10089">
        <v>0</v>
      </c>
    </row>
    <row r="10090" spans="1:20" customFormat="1" ht="15" x14ac:dyDescent="0.25">
      <c r="A10090" t="s">
        <v>35</v>
      </c>
      <c r="B10090" t="s">
        <v>61</v>
      </c>
      <c r="C10090" t="str">
        <f>"A0123179"</f>
        <v>A0123179</v>
      </c>
      <c r="D10090" t="s">
        <v>37788</v>
      </c>
      <c r="E10090" t="s">
        <v>37789</v>
      </c>
      <c r="F10090" t="s">
        <v>37790</v>
      </c>
      <c r="G10090" t="s">
        <v>29</v>
      </c>
      <c r="H10090">
        <v>23664</v>
      </c>
      <c r="I10090" t="s">
        <v>30</v>
      </c>
      <c r="J10090" t="s">
        <v>41</v>
      </c>
      <c r="K10090" t="s">
        <v>442</v>
      </c>
      <c r="Q10090">
        <v>0</v>
      </c>
      <c r="R10090">
        <v>0</v>
      </c>
      <c r="S10090">
        <v>0</v>
      </c>
    </row>
    <row r="10091" spans="1:20" customFormat="1" ht="15" x14ac:dyDescent="0.25">
      <c r="A10091" t="s">
        <v>35</v>
      </c>
      <c r="B10091" t="s">
        <v>61</v>
      </c>
      <c r="C10091" t="str">
        <f>"A0127144"</f>
        <v>A0127144</v>
      </c>
      <c r="D10091" t="s">
        <v>37791</v>
      </c>
      <c r="E10091" t="s">
        <v>37792</v>
      </c>
      <c r="F10091" t="s">
        <v>37793</v>
      </c>
      <c r="G10091" t="s">
        <v>103</v>
      </c>
      <c r="H10091">
        <v>17960</v>
      </c>
      <c r="I10091" t="s">
        <v>30</v>
      </c>
      <c r="J10091" t="s">
        <v>41</v>
      </c>
      <c r="K10091" t="s">
        <v>42</v>
      </c>
      <c r="Q10091">
        <v>0</v>
      </c>
      <c r="R10091">
        <v>0</v>
      </c>
      <c r="S10091">
        <v>0</v>
      </c>
      <c r="T10091" t="s">
        <v>37794</v>
      </c>
    </row>
    <row r="10092" spans="1:20" customFormat="1" ht="15" x14ac:dyDescent="0.25">
      <c r="A10092" t="s">
        <v>35</v>
      </c>
      <c r="B10092" t="s">
        <v>61</v>
      </c>
      <c r="C10092" t="str">
        <f>"A0125731"</f>
        <v>A0125731</v>
      </c>
      <c r="D10092" t="s">
        <v>37795</v>
      </c>
      <c r="E10092" t="s">
        <v>37796</v>
      </c>
      <c r="F10092" t="s">
        <v>4310</v>
      </c>
      <c r="G10092" t="s">
        <v>29</v>
      </c>
      <c r="H10092">
        <v>226010000</v>
      </c>
      <c r="I10092" t="s">
        <v>30</v>
      </c>
      <c r="J10092" t="s">
        <v>41</v>
      </c>
      <c r="K10092" t="s">
        <v>456</v>
      </c>
      <c r="Q10092">
        <v>0</v>
      </c>
      <c r="R10092">
        <v>1</v>
      </c>
      <c r="S10092">
        <v>1</v>
      </c>
      <c r="T10092" t="s">
        <v>37797</v>
      </c>
    </row>
    <row r="10093" spans="1:20" customFormat="1" ht="15" x14ac:dyDescent="0.25">
      <c r="A10093" t="s">
        <v>35</v>
      </c>
      <c r="B10093" t="s">
        <v>106</v>
      </c>
      <c r="C10093" t="str">
        <f>"A0136275"</f>
        <v>A0136275</v>
      </c>
      <c r="D10093" t="s">
        <v>37798</v>
      </c>
      <c r="E10093" t="s">
        <v>37799</v>
      </c>
      <c r="F10093" t="s">
        <v>37800</v>
      </c>
      <c r="G10093" t="s">
        <v>52</v>
      </c>
      <c r="H10093">
        <v>78613</v>
      </c>
      <c r="I10093" t="s">
        <v>30</v>
      </c>
      <c r="J10093" t="s">
        <v>111</v>
      </c>
      <c r="K10093" t="s">
        <v>112</v>
      </c>
      <c r="Q10093">
        <v>0</v>
      </c>
      <c r="R10093">
        <v>0</v>
      </c>
      <c r="S10093">
        <v>0</v>
      </c>
      <c r="T10093" t="s">
        <v>37801</v>
      </c>
    </row>
    <row r="10094" spans="1:20" customFormat="1" ht="15" x14ac:dyDescent="0.25">
      <c r="A10094" t="s">
        <v>35</v>
      </c>
      <c r="B10094" t="s">
        <v>437</v>
      </c>
      <c r="C10094" t="str">
        <f>"A0134009"</f>
        <v>A0134009</v>
      </c>
      <c r="D10094" t="s">
        <v>37802</v>
      </c>
      <c r="E10094" t="s">
        <v>37803</v>
      </c>
      <c r="F10094" t="s">
        <v>9135</v>
      </c>
      <c r="G10094" t="s">
        <v>110</v>
      </c>
      <c r="H10094">
        <v>95134</v>
      </c>
      <c r="I10094" t="s">
        <v>30</v>
      </c>
      <c r="J10094" t="s">
        <v>441</v>
      </c>
      <c r="K10094" t="s">
        <v>442</v>
      </c>
      <c r="Q10094">
        <v>0</v>
      </c>
      <c r="R10094">
        <v>0</v>
      </c>
      <c r="S10094">
        <v>0</v>
      </c>
      <c r="T10094" t="s">
        <v>37804</v>
      </c>
    </row>
    <row r="10095" spans="1:20" customFormat="1" ht="15" x14ac:dyDescent="0.25">
      <c r="A10095" t="s">
        <v>35</v>
      </c>
      <c r="B10095" t="s">
        <v>437</v>
      </c>
      <c r="C10095" t="str">
        <f>"A0135057"</f>
        <v>A0135057</v>
      </c>
      <c r="D10095" t="s">
        <v>37805</v>
      </c>
      <c r="E10095" t="s">
        <v>37806</v>
      </c>
      <c r="F10095" t="s">
        <v>37807</v>
      </c>
      <c r="G10095" t="s">
        <v>99</v>
      </c>
      <c r="H10095">
        <v>13642</v>
      </c>
      <c r="I10095" t="s">
        <v>30</v>
      </c>
      <c r="J10095" t="s">
        <v>441</v>
      </c>
      <c r="K10095" t="s">
        <v>442</v>
      </c>
      <c r="Q10095">
        <v>0</v>
      </c>
      <c r="R10095">
        <v>0</v>
      </c>
      <c r="S10095">
        <v>0</v>
      </c>
      <c r="T10095" t="s">
        <v>37808</v>
      </c>
    </row>
    <row r="10096" spans="1:20" customFormat="1" ht="15" x14ac:dyDescent="0.25">
      <c r="A10096" t="s">
        <v>35</v>
      </c>
      <c r="B10096" t="s">
        <v>61</v>
      </c>
      <c r="C10096" t="str">
        <f>"A0118130"</f>
        <v>A0118130</v>
      </c>
      <c r="D10096" t="s">
        <v>37809</v>
      </c>
      <c r="E10096" t="s">
        <v>37810</v>
      </c>
      <c r="F10096" t="s">
        <v>436</v>
      </c>
      <c r="G10096" t="s">
        <v>433</v>
      </c>
      <c r="H10096">
        <v>83711</v>
      </c>
      <c r="I10096" t="s">
        <v>30</v>
      </c>
      <c r="J10096" t="s">
        <v>41</v>
      </c>
      <c r="K10096" t="s">
        <v>59</v>
      </c>
      <c r="Q10096">
        <v>0</v>
      </c>
      <c r="R10096">
        <v>35</v>
      </c>
      <c r="S10096">
        <v>35</v>
      </c>
      <c r="T10096" t="s">
        <v>37811</v>
      </c>
    </row>
    <row r="10097" spans="1:20" customFormat="1" ht="15" x14ac:dyDescent="0.25">
      <c r="A10097" t="s">
        <v>35</v>
      </c>
      <c r="B10097" t="s">
        <v>437</v>
      </c>
      <c r="C10097" t="str">
        <f>"A0134926"</f>
        <v>A0134926</v>
      </c>
      <c r="D10097" t="s">
        <v>37812</v>
      </c>
      <c r="E10097" t="s">
        <v>37813</v>
      </c>
      <c r="F10097" t="s">
        <v>5229</v>
      </c>
      <c r="G10097" t="s">
        <v>110</v>
      </c>
      <c r="H10097">
        <v>90211</v>
      </c>
      <c r="I10097" t="s">
        <v>30</v>
      </c>
      <c r="J10097" t="s">
        <v>441</v>
      </c>
      <c r="K10097" t="s">
        <v>442</v>
      </c>
      <c r="Q10097">
        <v>0</v>
      </c>
      <c r="R10097">
        <v>0</v>
      </c>
      <c r="S10097">
        <v>0</v>
      </c>
      <c r="T10097" t="s">
        <v>37814</v>
      </c>
    </row>
    <row r="10098" spans="1:20" customFormat="1" ht="15" x14ac:dyDescent="0.25">
      <c r="A10098" t="s">
        <v>35</v>
      </c>
      <c r="B10098" t="s">
        <v>61</v>
      </c>
      <c r="C10098" t="str">
        <f>"A0129099"</f>
        <v>A0129099</v>
      </c>
      <c r="D10098" t="s">
        <v>37815</v>
      </c>
      <c r="E10098" t="s">
        <v>37816</v>
      </c>
      <c r="F10098" t="s">
        <v>93</v>
      </c>
      <c r="G10098" t="s">
        <v>289</v>
      </c>
      <c r="H10098">
        <v>62246</v>
      </c>
      <c r="I10098" t="s">
        <v>30</v>
      </c>
      <c r="J10098" t="s">
        <v>41</v>
      </c>
      <c r="K10098" t="s">
        <v>6300</v>
      </c>
      <c r="Q10098">
        <v>0</v>
      </c>
      <c r="R10098">
        <v>0</v>
      </c>
      <c r="S10098">
        <v>0</v>
      </c>
      <c r="T10098" t="s">
        <v>37817</v>
      </c>
    </row>
    <row r="10099" spans="1:20" customFormat="1" ht="15" x14ac:dyDescent="0.25">
      <c r="A10099" t="s">
        <v>35</v>
      </c>
      <c r="B10099" t="s">
        <v>61</v>
      </c>
      <c r="C10099" t="str">
        <f>"A0126640"</f>
        <v>A0126640</v>
      </c>
      <c r="D10099" t="s">
        <v>37818</v>
      </c>
      <c r="E10099" t="s">
        <v>37819</v>
      </c>
      <c r="F10099" t="s">
        <v>17227</v>
      </c>
      <c r="G10099" t="s">
        <v>103</v>
      </c>
      <c r="H10099">
        <v>17878</v>
      </c>
      <c r="I10099" t="s">
        <v>30</v>
      </c>
      <c r="J10099" t="s">
        <v>41</v>
      </c>
      <c r="K10099" t="s">
        <v>229</v>
      </c>
      <c r="Q10099">
        <v>0</v>
      </c>
      <c r="R10099">
        <v>77</v>
      </c>
      <c r="S10099">
        <v>77</v>
      </c>
      <c r="T10099" t="s">
        <v>37820</v>
      </c>
    </row>
    <row r="10100" spans="1:20" customFormat="1" ht="15" x14ac:dyDescent="0.25">
      <c r="A10100" t="s">
        <v>35</v>
      </c>
      <c r="B10100" t="s">
        <v>61</v>
      </c>
      <c r="C10100" t="str">
        <f>"A0133242"</f>
        <v>A0133242</v>
      </c>
      <c r="D10100" t="s">
        <v>37821</v>
      </c>
      <c r="E10100" t="s">
        <v>37822</v>
      </c>
      <c r="F10100" t="s">
        <v>1731</v>
      </c>
      <c r="G10100" t="s">
        <v>52</v>
      </c>
      <c r="H10100">
        <v>75203</v>
      </c>
      <c r="I10100" t="s">
        <v>30</v>
      </c>
      <c r="J10100" t="s">
        <v>41</v>
      </c>
      <c r="K10100" t="s">
        <v>229</v>
      </c>
      <c r="Q10100">
        <v>0</v>
      </c>
      <c r="R10100">
        <v>84</v>
      </c>
      <c r="S10100">
        <v>84</v>
      </c>
      <c r="T10100" t="s">
        <v>37823</v>
      </c>
    </row>
    <row r="10101" spans="1:20" customFormat="1" ht="15" x14ac:dyDescent="0.25">
      <c r="A10101" t="s">
        <v>35</v>
      </c>
      <c r="B10101" t="s">
        <v>61</v>
      </c>
      <c r="C10101" t="str">
        <f>"A0133724"</f>
        <v>A0133724</v>
      </c>
      <c r="D10101" t="s">
        <v>37824</v>
      </c>
      <c r="E10101" t="s">
        <v>37825</v>
      </c>
      <c r="F10101" t="s">
        <v>4645</v>
      </c>
      <c r="G10101" t="s">
        <v>52</v>
      </c>
      <c r="H10101">
        <v>75766</v>
      </c>
      <c r="I10101" t="s">
        <v>30</v>
      </c>
      <c r="J10101" t="s">
        <v>41</v>
      </c>
      <c r="K10101" t="s">
        <v>229</v>
      </c>
      <c r="Q10101">
        <v>0</v>
      </c>
      <c r="R10101">
        <v>80</v>
      </c>
      <c r="S10101">
        <v>80</v>
      </c>
      <c r="T10101" t="s">
        <v>37823</v>
      </c>
    </row>
    <row r="10102" spans="1:20" customFormat="1" ht="15" x14ac:dyDescent="0.25">
      <c r="A10102" t="s">
        <v>35</v>
      </c>
      <c r="B10102" t="s">
        <v>61</v>
      </c>
      <c r="C10102" t="str">
        <f>"A0119253"</f>
        <v>A0119253</v>
      </c>
      <c r="D10102" t="s">
        <v>37826</v>
      </c>
      <c r="E10102" t="s">
        <v>37827</v>
      </c>
      <c r="F10102" t="s">
        <v>7362</v>
      </c>
      <c r="G10102" t="s">
        <v>110</v>
      </c>
      <c r="H10102">
        <v>90057</v>
      </c>
      <c r="I10102" t="s">
        <v>30</v>
      </c>
      <c r="J10102" t="s">
        <v>41</v>
      </c>
      <c r="K10102" t="s">
        <v>229</v>
      </c>
      <c r="Q10102">
        <v>0</v>
      </c>
      <c r="R10102">
        <v>59</v>
      </c>
      <c r="S10102">
        <v>59</v>
      </c>
      <c r="T10102" t="s">
        <v>37828</v>
      </c>
    </row>
    <row r="10103" spans="1:20" customFormat="1" ht="15" x14ac:dyDescent="0.25">
      <c r="A10103" t="s">
        <v>35</v>
      </c>
      <c r="B10103" t="s">
        <v>61</v>
      </c>
      <c r="C10103" t="str">
        <f>"A0131300"</f>
        <v>A0131300</v>
      </c>
      <c r="D10103" t="s">
        <v>37829</v>
      </c>
      <c r="E10103" t="s">
        <v>37830</v>
      </c>
      <c r="F10103" t="s">
        <v>37831</v>
      </c>
      <c r="G10103" t="s">
        <v>137</v>
      </c>
      <c r="H10103">
        <v>63628</v>
      </c>
      <c r="I10103" t="s">
        <v>30</v>
      </c>
      <c r="J10103" t="s">
        <v>41</v>
      </c>
      <c r="K10103" t="s">
        <v>36814</v>
      </c>
      <c r="Q10103">
        <v>0</v>
      </c>
      <c r="R10103">
        <v>1</v>
      </c>
      <c r="S10103">
        <v>1</v>
      </c>
      <c r="T10103" t="s">
        <v>37832</v>
      </c>
    </row>
    <row r="10104" spans="1:20" customFormat="1" ht="15" x14ac:dyDescent="0.25">
      <c r="A10104" t="s">
        <v>35</v>
      </c>
      <c r="B10104" t="s">
        <v>61</v>
      </c>
      <c r="C10104" t="str">
        <f>"A0131214"</f>
        <v>A0131214</v>
      </c>
      <c r="D10104" t="s">
        <v>37833</v>
      </c>
      <c r="E10104" t="s">
        <v>37834</v>
      </c>
      <c r="F10104" t="s">
        <v>27776</v>
      </c>
      <c r="G10104" t="s">
        <v>85</v>
      </c>
      <c r="H10104">
        <v>726010000</v>
      </c>
      <c r="I10104" t="s">
        <v>30</v>
      </c>
      <c r="J10104" t="s">
        <v>41</v>
      </c>
      <c r="K10104" t="s">
        <v>391</v>
      </c>
      <c r="Q10104">
        <v>0</v>
      </c>
      <c r="R10104">
        <v>1</v>
      </c>
      <c r="S10104">
        <v>1</v>
      </c>
      <c r="T10104" t="s">
        <v>37835</v>
      </c>
    </row>
    <row r="10105" spans="1:20" customFormat="1" ht="15" x14ac:dyDescent="0.25">
      <c r="A10105" t="s">
        <v>35</v>
      </c>
      <c r="B10105" t="s">
        <v>61</v>
      </c>
      <c r="C10105" t="str">
        <f>"A0131200"</f>
        <v>A0131200</v>
      </c>
      <c r="D10105" t="s">
        <v>37836</v>
      </c>
      <c r="E10105" t="s">
        <v>37837</v>
      </c>
      <c r="F10105" t="s">
        <v>27776</v>
      </c>
      <c r="G10105" t="s">
        <v>85</v>
      </c>
      <c r="H10105">
        <v>726010000</v>
      </c>
      <c r="I10105" t="s">
        <v>30</v>
      </c>
      <c r="J10105" t="s">
        <v>41</v>
      </c>
      <c r="K10105" t="s">
        <v>2760</v>
      </c>
      <c r="Q10105">
        <v>0</v>
      </c>
      <c r="R10105">
        <v>1</v>
      </c>
      <c r="S10105">
        <v>1</v>
      </c>
      <c r="T10105" t="s">
        <v>37838</v>
      </c>
    </row>
    <row r="10106" spans="1:20" customFormat="1" ht="15" x14ac:dyDescent="0.25">
      <c r="A10106" t="s">
        <v>35</v>
      </c>
      <c r="B10106" t="s">
        <v>61</v>
      </c>
      <c r="C10106" t="str">
        <f>"A0123647"</f>
        <v>A0123647</v>
      </c>
      <c r="D10106" t="s">
        <v>37839</v>
      </c>
      <c r="E10106" t="s">
        <v>37840</v>
      </c>
      <c r="F10106" t="s">
        <v>37575</v>
      </c>
      <c r="G10106" t="s">
        <v>29</v>
      </c>
      <c r="H10106">
        <v>24592</v>
      </c>
      <c r="I10106" t="s">
        <v>30</v>
      </c>
      <c r="J10106" t="s">
        <v>41</v>
      </c>
      <c r="K10106" t="s">
        <v>59</v>
      </c>
      <c r="Q10106">
        <v>0</v>
      </c>
      <c r="R10106">
        <v>72</v>
      </c>
      <c r="S10106">
        <v>72</v>
      </c>
      <c r="T10106" t="s">
        <v>37841</v>
      </c>
    </row>
    <row r="10107" spans="1:20" customFormat="1" ht="15" x14ac:dyDescent="0.25">
      <c r="A10107" t="s">
        <v>35</v>
      </c>
      <c r="B10107" t="s">
        <v>61</v>
      </c>
      <c r="C10107" t="str">
        <f>"A0122554"</f>
        <v>A0122554</v>
      </c>
      <c r="D10107" t="s">
        <v>37842</v>
      </c>
      <c r="E10107" t="s">
        <v>37843</v>
      </c>
      <c r="F10107" t="s">
        <v>37844</v>
      </c>
      <c r="G10107" t="s">
        <v>76</v>
      </c>
      <c r="H10107">
        <v>98021</v>
      </c>
      <c r="I10107" t="s">
        <v>30</v>
      </c>
      <c r="J10107" t="s">
        <v>41</v>
      </c>
      <c r="K10107" t="s">
        <v>229</v>
      </c>
      <c r="Q10107">
        <v>0</v>
      </c>
      <c r="R10107">
        <v>99</v>
      </c>
      <c r="S10107">
        <v>99</v>
      </c>
      <c r="T10107" t="s">
        <v>37845</v>
      </c>
    </row>
    <row r="10108" spans="1:20" customFormat="1" ht="15" x14ac:dyDescent="0.25">
      <c r="A10108" t="s">
        <v>35</v>
      </c>
      <c r="B10108" t="s">
        <v>61</v>
      </c>
      <c r="C10108" t="str">
        <f>"A0123125"</f>
        <v>A0123125</v>
      </c>
      <c r="D10108" t="s">
        <v>37846</v>
      </c>
      <c r="E10108" t="s">
        <v>37847</v>
      </c>
      <c r="F10108" t="s">
        <v>37848</v>
      </c>
      <c r="G10108" t="s">
        <v>137</v>
      </c>
      <c r="H10108">
        <v>653010000</v>
      </c>
      <c r="I10108" t="s">
        <v>30</v>
      </c>
      <c r="J10108" t="s">
        <v>41</v>
      </c>
      <c r="K10108" t="s">
        <v>3713</v>
      </c>
      <c r="Q10108">
        <v>0</v>
      </c>
      <c r="R10108">
        <v>185</v>
      </c>
      <c r="S10108">
        <v>185</v>
      </c>
      <c r="T10108" t="s">
        <v>37849</v>
      </c>
    </row>
    <row r="10109" spans="1:20" customFormat="1" ht="15" x14ac:dyDescent="0.25">
      <c r="A10109" t="s">
        <v>35</v>
      </c>
      <c r="B10109" t="s">
        <v>61</v>
      </c>
      <c r="C10109" t="str">
        <f>"A0128587"</f>
        <v>A0128587</v>
      </c>
      <c r="D10109" t="s">
        <v>37850</v>
      </c>
      <c r="E10109" t="s">
        <v>37851</v>
      </c>
      <c r="F10109" t="s">
        <v>15435</v>
      </c>
      <c r="G10109" t="s">
        <v>840</v>
      </c>
      <c r="H10109">
        <v>40361</v>
      </c>
      <c r="I10109" t="s">
        <v>30</v>
      </c>
      <c r="J10109" t="s">
        <v>41</v>
      </c>
      <c r="K10109" t="s">
        <v>229</v>
      </c>
      <c r="Q10109">
        <v>0</v>
      </c>
      <c r="R10109">
        <v>89</v>
      </c>
      <c r="S10109">
        <v>89</v>
      </c>
      <c r="T10109" t="s">
        <v>37852</v>
      </c>
    </row>
    <row r="10110" spans="1:20" customFormat="1" ht="15" x14ac:dyDescent="0.25">
      <c r="A10110" t="s">
        <v>35</v>
      </c>
      <c r="B10110" t="s">
        <v>106</v>
      </c>
      <c r="C10110" t="str">
        <f>"A0135314"</f>
        <v>A0135314</v>
      </c>
      <c r="D10110" t="s">
        <v>37853</v>
      </c>
      <c r="E10110" t="s">
        <v>37854</v>
      </c>
      <c r="F10110" t="s">
        <v>29438</v>
      </c>
      <c r="G10110" t="s">
        <v>2450</v>
      </c>
      <c r="H10110">
        <v>40118428</v>
      </c>
      <c r="I10110" t="s">
        <v>30</v>
      </c>
      <c r="J10110" t="s">
        <v>111</v>
      </c>
      <c r="K10110" t="s">
        <v>10012</v>
      </c>
      <c r="Q10110">
        <v>0</v>
      </c>
      <c r="R10110">
        <v>0</v>
      </c>
      <c r="S10110">
        <v>0</v>
      </c>
      <c r="T10110" t="s">
        <v>37855</v>
      </c>
    </row>
    <row r="10111" spans="1:20" customFormat="1" ht="15" x14ac:dyDescent="0.25">
      <c r="A10111" t="s">
        <v>35</v>
      </c>
      <c r="B10111" t="s">
        <v>106</v>
      </c>
      <c r="C10111" t="str">
        <f>"A0135316"</f>
        <v>A0135316</v>
      </c>
      <c r="D10111" t="s">
        <v>37856</v>
      </c>
      <c r="E10111" t="s">
        <v>37854</v>
      </c>
      <c r="F10111" t="s">
        <v>29438</v>
      </c>
      <c r="G10111" t="s">
        <v>2450</v>
      </c>
      <c r="H10111">
        <v>4011</v>
      </c>
      <c r="I10111" t="s">
        <v>30</v>
      </c>
      <c r="J10111" t="s">
        <v>111</v>
      </c>
      <c r="K10111" t="s">
        <v>10012</v>
      </c>
      <c r="Q10111">
        <v>0</v>
      </c>
      <c r="R10111">
        <v>0</v>
      </c>
      <c r="S10111">
        <v>0</v>
      </c>
      <c r="T10111" t="s">
        <v>37857</v>
      </c>
    </row>
    <row r="10112" spans="1:20" customFormat="1" ht="15" x14ac:dyDescent="0.25">
      <c r="A10112" t="s">
        <v>35</v>
      </c>
      <c r="B10112" t="s">
        <v>106</v>
      </c>
      <c r="C10112" t="str">
        <f>"A0135318"</f>
        <v>A0135318</v>
      </c>
      <c r="D10112" t="s">
        <v>37858</v>
      </c>
      <c r="E10112" t="s">
        <v>37854</v>
      </c>
      <c r="F10112" t="s">
        <v>29438</v>
      </c>
      <c r="G10112" t="s">
        <v>2450</v>
      </c>
      <c r="H10112">
        <v>4011</v>
      </c>
      <c r="I10112" t="s">
        <v>30</v>
      </c>
      <c r="J10112" t="s">
        <v>111</v>
      </c>
      <c r="K10112" t="s">
        <v>10012</v>
      </c>
      <c r="Q10112">
        <v>0</v>
      </c>
      <c r="R10112">
        <v>0</v>
      </c>
      <c r="S10112">
        <v>0</v>
      </c>
      <c r="T10112" t="s">
        <v>37857</v>
      </c>
    </row>
    <row r="10113" spans="1:20" customFormat="1" ht="15" x14ac:dyDescent="0.25">
      <c r="A10113" t="s">
        <v>35</v>
      </c>
      <c r="B10113" t="s">
        <v>106</v>
      </c>
      <c r="C10113" t="str">
        <f>"A0135317"</f>
        <v>A0135317</v>
      </c>
      <c r="D10113" t="s">
        <v>37859</v>
      </c>
      <c r="E10113" t="s">
        <v>37854</v>
      </c>
      <c r="F10113" t="s">
        <v>29438</v>
      </c>
      <c r="G10113" t="s">
        <v>2450</v>
      </c>
      <c r="H10113">
        <v>4011</v>
      </c>
      <c r="I10113" t="s">
        <v>30</v>
      </c>
      <c r="J10113" t="s">
        <v>111</v>
      </c>
      <c r="K10113" t="s">
        <v>10012</v>
      </c>
      <c r="Q10113">
        <v>0</v>
      </c>
      <c r="R10113">
        <v>0</v>
      </c>
      <c r="S10113">
        <v>0</v>
      </c>
      <c r="T10113" t="s">
        <v>37857</v>
      </c>
    </row>
    <row r="10114" spans="1:20" customFormat="1" ht="15" x14ac:dyDescent="0.25">
      <c r="A10114" t="s">
        <v>35</v>
      </c>
      <c r="B10114" t="s">
        <v>106</v>
      </c>
      <c r="C10114" t="str">
        <f>"A0135319"</f>
        <v>A0135319</v>
      </c>
      <c r="D10114" t="s">
        <v>37860</v>
      </c>
      <c r="E10114" t="s">
        <v>37854</v>
      </c>
      <c r="F10114" t="s">
        <v>29438</v>
      </c>
      <c r="G10114" t="s">
        <v>2450</v>
      </c>
      <c r="H10114">
        <v>4011</v>
      </c>
      <c r="I10114" t="s">
        <v>30</v>
      </c>
      <c r="J10114" t="s">
        <v>111</v>
      </c>
      <c r="K10114" t="s">
        <v>10012</v>
      </c>
      <c r="Q10114">
        <v>0</v>
      </c>
      <c r="R10114">
        <v>0</v>
      </c>
      <c r="S10114">
        <v>0</v>
      </c>
      <c r="T10114" t="s">
        <v>37857</v>
      </c>
    </row>
    <row r="10115" spans="1:20" customFormat="1" ht="15" x14ac:dyDescent="0.25">
      <c r="A10115" t="s">
        <v>35</v>
      </c>
      <c r="B10115" t="s">
        <v>106</v>
      </c>
      <c r="C10115" t="str">
        <f>"A0135320"</f>
        <v>A0135320</v>
      </c>
      <c r="D10115" t="s">
        <v>37861</v>
      </c>
      <c r="E10115" t="s">
        <v>37854</v>
      </c>
      <c r="F10115" t="s">
        <v>29438</v>
      </c>
      <c r="G10115" t="s">
        <v>2450</v>
      </c>
      <c r="H10115">
        <v>4012</v>
      </c>
      <c r="I10115" t="s">
        <v>30</v>
      </c>
      <c r="J10115" t="s">
        <v>111</v>
      </c>
      <c r="K10115" t="s">
        <v>10012</v>
      </c>
      <c r="Q10115">
        <v>0</v>
      </c>
      <c r="R10115">
        <v>0</v>
      </c>
      <c r="S10115">
        <v>0</v>
      </c>
      <c r="T10115" t="s">
        <v>37857</v>
      </c>
    </row>
    <row r="10116" spans="1:20" customFormat="1" ht="15" x14ac:dyDescent="0.25">
      <c r="A10116" t="s">
        <v>35</v>
      </c>
      <c r="B10116" t="s">
        <v>106</v>
      </c>
      <c r="C10116" t="str">
        <f>"A0135315"</f>
        <v>A0135315</v>
      </c>
      <c r="D10116" t="s">
        <v>37862</v>
      </c>
      <c r="E10116" t="s">
        <v>37854</v>
      </c>
      <c r="F10116" t="s">
        <v>29438</v>
      </c>
      <c r="G10116" t="s">
        <v>2450</v>
      </c>
      <c r="H10116">
        <v>4011</v>
      </c>
      <c r="I10116" t="s">
        <v>30</v>
      </c>
      <c r="J10116" t="s">
        <v>111</v>
      </c>
      <c r="K10116" t="s">
        <v>10012</v>
      </c>
      <c r="Q10116">
        <v>0</v>
      </c>
      <c r="R10116">
        <v>0</v>
      </c>
      <c r="S10116">
        <v>0</v>
      </c>
      <c r="T10116" t="s">
        <v>37863</v>
      </c>
    </row>
    <row r="10117" spans="1:20" customFormat="1" ht="15" x14ac:dyDescent="0.25">
      <c r="A10117" t="s">
        <v>35</v>
      </c>
      <c r="B10117" t="s">
        <v>106</v>
      </c>
      <c r="C10117" t="str">
        <f>"A0136589"</f>
        <v>A0136589</v>
      </c>
      <c r="D10117" t="s">
        <v>37864</v>
      </c>
      <c r="E10117" t="s">
        <v>37865</v>
      </c>
      <c r="F10117" t="s">
        <v>37866</v>
      </c>
      <c r="G10117" t="s">
        <v>1184</v>
      </c>
      <c r="H10117">
        <v>59521</v>
      </c>
      <c r="I10117" t="s">
        <v>30</v>
      </c>
      <c r="J10117" t="s">
        <v>111</v>
      </c>
      <c r="K10117" t="s">
        <v>112</v>
      </c>
      <c r="Q10117">
        <v>0</v>
      </c>
      <c r="R10117">
        <v>0</v>
      </c>
      <c r="S10117">
        <v>0</v>
      </c>
      <c r="T10117" t="s">
        <v>37867</v>
      </c>
    </row>
    <row r="10118" spans="1:20" customFormat="1" ht="15" x14ac:dyDescent="0.25">
      <c r="A10118" t="s">
        <v>35</v>
      </c>
      <c r="B10118" t="s">
        <v>61</v>
      </c>
      <c r="C10118" t="str">
        <f>"A0127496"</f>
        <v>A0127496</v>
      </c>
      <c r="D10118" t="s">
        <v>37868</v>
      </c>
      <c r="E10118" t="s">
        <v>37869</v>
      </c>
      <c r="F10118" t="s">
        <v>20261</v>
      </c>
      <c r="G10118" t="s">
        <v>507</v>
      </c>
      <c r="H10118">
        <v>26003</v>
      </c>
      <c r="I10118" t="s">
        <v>30</v>
      </c>
      <c r="J10118" t="s">
        <v>41</v>
      </c>
      <c r="K10118" t="s">
        <v>42</v>
      </c>
      <c r="Q10118">
        <v>0</v>
      </c>
      <c r="R10118">
        <v>0</v>
      </c>
      <c r="S10118">
        <v>0</v>
      </c>
      <c r="T10118" t="s">
        <v>37870</v>
      </c>
    </row>
    <row r="10119" spans="1:20" customFormat="1" ht="15" x14ac:dyDescent="0.25">
      <c r="A10119" t="s">
        <v>35</v>
      </c>
      <c r="B10119" t="s">
        <v>61</v>
      </c>
      <c r="C10119" t="str">
        <f>"A0122885"</f>
        <v>A0122885</v>
      </c>
      <c r="D10119" t="s">
        <v>37871</v>
      </c>
      <c r="E10119" t="s">
        <v>37872</v>
      </c>
      <c r="F10119" t="s">
        <v>37873</v>
      </c>
      <c r="G10119" t="s">
        <v>1184</v>
      </c>
      <c r="H10119">
        <v>59501</v>
      </c>
      <c r="I10119" t="s">
        <v>30</v>
      </c>
      <c r="J10119" t="s">
        <v>41</v>
      </c>
      <c r="K10119" t="s">
        <v>42</v>
      </c>
      <c r="Q10119">
        <v>0</v>
      </c>
      <c r="R10119">
        <v>0</v>
      </c>
      <c r="S10119">
        <v>0</v>
      </c>
      <c r="T10119" t="s">
        <v>37874</v>
      </c>
    </row>
    <row r="10120" spans="1:20" customFormat="1" ht="15" x14ac:dyDescent="0.25">
      <c r="A10120" t="s">
        <v>35</v>
      </c>
      <c r="B10120" t="s">
        <v>61</v>
      </c>
      <c r="C10120" t="str">
        <f>"A0125310"</f>
        <v>A0125310</v>
      </c>
      <c r="D10120" t="s">
        <v>37875</v>
      </c>
      <c r="E10120" t="s">
        <v>37876</v>
      </c>
      <c r="F10120" t="s">
        <v>12923</v>
      </c>
      <c r="G10120" t="s">
        <v>40</v>
      </c>
      <c r="H10120">
        <v>730340000</v>
      </c>
      <c r="I10120" t="s">
        <v>30</v>
      </c>
      <c r="J10120" t="s">
        <v>41</v>
      </c>
      <c r="K10120" t="s">
        <v>59</v>
      </c>
      <c r="Q10120">
        <v>0</v>
      </c>
      <c r="R10120">
        <v>68</v>
      </c>
      <c r="S10120">
        <v>68</v>
      </c>
      <c r="T10120" t="s">
        <v>37877</v>
      </c>
    </row>
    <row r="10121" spans="1:20" customFormat="1" ht="15" x14ac:dyDescent="0.25">
      <c r="A10121" t="s">
        <v>35</v>
      </c>
      <c r="B10121" t="s">
        <v>61</v>
      </c>
      <c r="C10121" t="str">
        <f>"A0130960"</f>
        <v>A0130960</v>
      </c>
      <c r="D10121" t="s">
        <v>37878</v>
      </c>
      <c r="E10121" t="s">
        <v>37879</v>
      </c>
      <c r="F10121" t="s">
        <v>460</v>
      </c>
      <c r="G10121" t="s">
        <v>85</v>
      </c>
      <c r="H10121">
        <v>716710000</v>
      </c>
      <c r="I10121" t="s">
        <v>30</v>
      </c>
      <c r="J10121" t="s">
        <v>41</v>
      </c>
      <c r="K10121" t="s">
        <v>2463</v>
      </c>
      <c r="Q10121">
        <v>0</v>
      </c>
      <c r="R10121">
        <v>1</v>
      </c>
      <c r="S10121">
        <v>1</v>
      </c>
      <c r="T10121" t="s">
        <v>37880</v>
      </c>
    </row>
    <row r="10122" spans="1:20" customFormat="1" ht="15" x14ac:dyDescent="0.25">
      <c r="A10122" t="s">
        <v>35</v>
      </c>
      <c r="B10122" t="s">
        <v>61</v>
      </c>
      <c r="C10122" t="str">
        <f>"A0121455"</f>
        <v>A0121455</v>
      </c>
      <c r="D10122" t="s">
        <v>37881</v>
      </c>
      <c r="E10122" t="s">
        <v>37882</v>
      </c>
      <c r="F10122" t="s">
        <v>390</v>
      </c>
      <c r="G10122" t="s">
        <v>110</v>
      </c>
      <c r="H10122">
        <v>92021</v>
      </c>
      <c r="I10122" t="s">
        <v>30</v>
      </c>
      <c r="J10122" t="s">
        <v>41</v>
      </c>
      <c r="K10122" t="s">
        <v>229</v>
      </c>
      <c r="Q10122">
        <v>0</v>
      </c>
      <c r="R10122">
        <v>56</v>
      </c>
      <c r="S10122">
        <v>56</v>
      </c>
      <c r="T10122" t="s">
        <v>37883</v>
      </c>
    </row>
    <row r="10123" spans="1:20" customFormat="1" ht="15" x14ac:dyDescent="0.25">
      <c r="A10123" t="s">
        <v>35</v>
      </c>
      <c r="B10123" t="s">
        <v>61</v>
      </c>
      <c r="C10123" t="str">
        <f>"A0124021"</f>
        <v>A0124021</v>
      </c>
      <c r="D10123" t="s">
        <v>37884</v>
      </c>
      <c r="E10123" t="s">
        <v>37885</v>
      </c>
      <c r="F10123" t="s">
        <v>2307</v>
      </c>
      <c r="G10123" t="s">
        <v>880</v>
      </c>
      <c r="H10123">
        <v>37312</v>
      </c>
      <c r="I10123" t="s">
        <v>30</v>
      </c>
      <c r="J10123" t="s">
        <v>41</v>
      </c>
      <c r="K10123" t="s">
        <v>229</v>
      </c>
      <c r="Q10123">
        <v>0</v>
      </c>
      <c r="R10123">
        <v>213</v>
      </c>
      <c r="S10123">
        <v>213</v>
      </c>
      <c r="T10123" t="s">
        <v>37886</v>
      </c>
    </row>
    <row r="10124" spans="1:20" customFormat="1" ht="15" x14ac:dyDescent="0.25">
      <c r="A10124" t="s">
        <v>35</v>
      </c>
      <c r="B10124" t="s">
        <v>61</v>
      </c>
      <c r="C10124" t="str">
        <f>"A0130939"</f>
        <v>A0130939</v>
      </c>
      <c r="D10124" t="s">
        <v>37887</v>
      </c>
      <c r="E10124" t="s">
        <v>37888</v>
      </c>
      <c r="F10124" t="s">
        <v>36794</v>
      </c>
      <c r="G10124" t="s">
        <v>85</v>
      </c>
      <c r="H10124">
        <v>716030000</v>
      </c>
      <c r="I10124" t="s">
        <v>30</v>
      </c>
      <c r="J10124" t="s">
        <v>41</v>
      </c>
      <c r="K10124" t="s">
        <v>2760</v>
      </c>
      <c r="Q10124">
        <v>0</v>
      </c>
      <c r="R10124">
        <v>1</v>
      </c>
      <c r="S10124">
        <v>1</v>
      </c>
      <c r="T10124" t="s">
        <v>37889</v>
      </c>
    </row>
    <row r="10125" spans="1:20" customFormat="1" ht="15" x14ac:dyDescent="0.25">
      <c r="A10125" t="s">
        <v>35</v>
      </c>
      <c r="B10125" t="s">
        <v>61</v>
      </c>
      <c r="C10125" t="str">
        <f>"A0123648"</f>
        <v>A0123648</v>
      </c>
      <c r="D10125" t="s">
        <v>37890</v>
      </c>
      <c r="E10125" t="s">
        <v>37891</v>
      </c>
      <c r="F10125" t="s">
        <v>15496</v>
      </c>
      <c r="G10125" t="s">
        <v>29</v>
      </c>
      <c r="H10125">
        <v>23112</v>
      </c>
      <c r="I10125" t="s">
        <v>30</v>
      </c>
      <c r="J10125" t="s">
        <v>41</v>
      </c>
      <c r="K10125" t="s">
        <v>59</v>
      </c>
      <c r="Q10125">
        <v>0</v>
      </c>
      <c r="R10125">
        <v>197</v>
      </c>
      <c r="S10125">
        <v>197</v>
      </c>
      <c r="T10125" t="s">
        <v>37892</v>
      </c>
    </row>
    <row r="10126" spans="1:20" customFormat="1" ht="15" x14ac:dyDescent="0.25">
      <c r="A10126" t="s">
        <v>35</v>
      </c>
      <c r="B10126" t="s">
        <v>11688</v>
      </c>
      <c r="C10126" t="str">
        <f>"A0123649"</f>
        <v>A0123649</v>
      </c>
      <c r="D10126" t="s">
        <v>37893</v>
      </c>
      <c r="E10126" t="s">
        <v>37894</v>
      </c>
      <c r="F10126" t="s">
        <v>4108</v>
      </c>
      <c r="G10126" t="s">
        <v>29</v>
      </c>
      <c r="H10126">
        <v>24018</v>
      </c>
      <c r="I10126" t="s">
        <v>30</v>
      </c>
      <c r="J10126" t="s">
        <v>41</v>
      </c>
      <c r="K10126" t="s">
        <v>59</v>
      </c>
      <c r="Q10126">
        <v>0</v>
      </c>
      <c r="R10126">
        <v>100</v>
      </c>
      <c r="S10126">
        <v>100</v>
      </c>
      <c r="T10126" t="s">
        <v>37895</v>
      </c>
    </row>
    <row r="10127" spans="1:20" customFormat="1" ht="15" x14ac:dyDescent="0.25">
      <c r="A10127" t="s">
        <v>35</v>
      </c>
      <c r="B10127" t="s">
        <v>61</v>
      </c>
      <c r="C10127" t="str">
        <f>"A0123716"</f>
        <v>A0123716</v>
      </c>
      <c r="D10127" t="s">
        <v>37896</v>
      </c>
      <c r="E10127" t="s">
        <v>37897</v>
      </c>
      <c r="F10127" t="s">
        <v>4108</v>
      </c>
      <c r="G10127" t="s">
        <v>29</v>
      </c>
      <c r="H10127">
        <v>24018</v>
      </c>
      <c r="I10127" t="s">
        <v>30</v>
      </c>
      <c r="J10127" t="s">
        <v>41</v>
      </c>
      <c r="K10127" t="s">
        <v>229</v>
      </c>
      <c r="Q10127">
        <v>0</v>
      </c>
      <c r="R10127">
        <v>60</v>
      </c>
      <c r="S10127">
        <v>60</v>
      </c>
      <c r="T10127" t="s">
        <v>37898</v>
      </c>
    </row>
    <row r="10128" spans="1:20" customFormat="1" ht="15" x14ac:dyDescent="0.25">
      <c r="A10128" t="s">
        <v>35</v>
      </c>
      <c r="B10128" t="s">
        <v>61</v>
      </c>
      <c r="C10128" t="str">
        <f>"A0128849"</f>
        <v>A0128849</v>
      </c>
      <c r="D10128" t="s">
        <v>37899</v>
      </c>
      <c r="E10128" t="s">
        <v>37900</v>
      </c>
      <c r="F10128" t="s">
        <v>31852</v>
      </c>
      <c r="G10128" t="s">
        <v>289</v>
      </c>
      <c r="H10128">
        <v>61550</v>
      </c>
      <c r="I10128" t="s">
        <v>30</v>
      </c>
      <c r="J10128" t="s">
        <v>41</v>
      </c>
      <c r="K10128" t="s">
        <v>11521</v>
      </c>
      <c r="Q10128">
        <v>0</v>
      </c>
      <c r="R10128">
        <v>72</v>
      </c>
      <c r="S10128">
        <v>72</v>
      </c>
      <c r="T10128" t="s">
        <v>37901</v>
      </c>
    </row>
    <row r="10129" spans="1:20" customFormat="1" ht="15" x14ac:dyDescent="0.25">
      <c r="A10129" t="s">
        <v>35</v>
      </c>
      <c r="B10129" t="s">
        <v>61</v>
      </c>
      <c r="C10129" t="str">
        <f>"A0124124"</f>
        <v>A0124124</v>
      </c>
      <c r="D10129" t="s">
        <v>37902</v>
      </c>
      <c r="E10129" t="s">
        <v>37903</v>
      </c>
      <c r="F10129" t="s">
        <v>31994</v>
      </c>
      <c r="G10129" t="s">
        <v>2391</v>
      </c>
      <c r="H10129">
        <v>5301</v>
      </c>
      <c r="I10129" t="s">
        <v>30</v>
      </c>
      <c r="J10129" t="s">
        <v>41</v>
      </c>
      <c r="K10129" t="s">
        <v>59</v>
      </c>
      <c r="Q10129">
        <v>0</v>
      </c>
      <c r="R10129">
        <v>24</v>
      </c>
      <c r="S10129">
        <v>24</v>
      </c>
      <c r="T10129" t="s">
        <v>37904</v>
      </c>
    </row>
    <row r="10130" spans="1:20" customFormat="1" ht="15" x14ac:dyDescent="0.25">
      <c r="A10130" t="s">
        <v>35</v>
      </c>
      <c r="B10130" t="s">
        <v>61</v>
      </c>
      <c r="C10130" t="str">
        <f>"A0127487"</f>
        <v>A0127487</v>
      </c>
      <c r="D10130" t="s">
        <v>37905</v>
      </c>
      <c r="E10130" t="s">
        <v>37906</v>
      </c>
      <c r="F10130" t="s">
        <v>37907</v>
      </c>
      <c r="G10130" t="s">
        <v>507</v>
      </c>
      <c r="H10130">
        <v>26601</v>
      </c>
      <c r="I10130" t="s">
        <v>30</v>
      </c>
      <c r="J10130" t="s">
        <v>41</v>
      </c>
      <c r="K10130" t="s">
        <v>229</v>
      </c>
      <c r="Q10130">
        <v>0</v>
      </c>
      <c r="R10130">
        <v>60</v>
      </c>
      <c r="S10130">
        <v>60</v>
      </c>
      <c r="T10130" t="s">
        <v>37908</v>
      </c>
    </row>
    <row r="10131" spans="1:20" customFormat="1" ht="15" x14ac:dyDescent="0.25">
      <c r="A10131" t="s">
        <v>35</v>
      </c>
      <c r="B10131" t="s">
        <v>61</v>
      </c>
      <c r="C10131" t="str">
        <f>"A0129312"</f>
        <v>A0129312</v>
      </c>
      <c r="D10131" t="s">
        <v>37909</v>
      </c>
      <c r="E10131" t="s">
        <v>37910</v>
      </c>
      <c r="F10131" t="s">
        <v>37911</v>
      </c>
      <c r="G10131" t="s">
        <v>289</v>
      </c>
      <c r="H10131">
        <v>62230</v>
      </c>
      <c r="I10131" t="s">
        <v>30</v>
      </c>
      <c r="J10131" t="s">
        <v>41</v>
      </c>
      <c r="K10131" t="s">
        <v>229</v>
      </c>
      <c r="Q10131">
        <v>0</v>
      </c>
      <c r="R10131">
        <v>92</v>
      </c>
      <c r="S10131">
        <v>92</v>
      </c>
      <c r="T10131" t="s">
        <v>37912</v>
      </c>
    </row>
    <row r="10132" spans="1:20" customFormat="1" ht="15" x14ac:dyDescent="0.25">
      <c r="A10132" t="s">
        <v>35</v>
      </c>
      <c r="B10132" t="s">
        <v>61</v>
      </c>
      <c r="C10132" t="str">
        <f>"A0132531"</f>
        <v>A0132531</v>
      </c>
      <c r="D10132" t="s">
        <v>37913</v>
      </c>
      <c r="E10132" t="s">
        <v>37914</v>
      </c>
      <c r="F10132" t="s">
        <v>27218</v>
      </c>
      <c r="G10132" t="s">
        <v>65</v>
      </c>
      <c r="H10132">
        <v>44067</v>
      </c>
      <c r="I10132" t="s">
        <v>30</v>
      </c>
      <c r="J10132" t="s">
        <v>41</v>
      </c>
      <c r="K10132" t="s">
        <v>229</v>
      </c>
      <c r="Q10132">
        <v>0</v>
      </c>
      <c r="R10132">
        <v>84</v>
      </c>
      <c r="S10132">
        <v>84</v>
      </c>
      <c r="T10132" t="s">
        <v>37915</v>
      </c>
    </row>
    <row r="10133" spans="1:20" customFormat="1" ht="15" x14ac:dyDescent="0.25">
      <c r="A10133" t="s">
        <v>35</v>
      </c>
      <c r="B10133" t="s">
        <v>61</v>
      </c>
      <c r="C10133" t="str">
        <f>"A0118822"</f>
        <v>A0118822</v>
      </c>
      <c r="D10133" t="s">
        <v>37916</v>
      </c>
      <c r="E10133" t="s">
        <v>37917</v>
      </c>
      <c r="F10133" t="s">
        <v>10417</v>
      </c>
      <c r="G10133" t="s">
        <v>110</v>
      </c>
      <c r="H10133">
        <v>95945</v>
      </c>
      <c r="I10133" t="s">
        <v>30</v>
      </c>
      <c r="J10133" t="s">
        <v>41</v>
      </c>
      <c r="K10133" t="s">
        <v>59</v>
      </c>
      <c r="Q10133">
        <v>0</v>
      </c>
      <c r="R10133">
        <v>39</v>
      </c>
      <c r="S10133">
        <v>39</v>
      </c>
      <c r="T10133" t="s">
        <v>37918</v>
      </c>
    </row>
    <row r="10134" spans="1:20" customFormat="1" ht="15" x14ac:dyDescent="0.25">
      <c r="A10134" t="s">
        <v>35</v>
      </c>
      <c r="B10134" t="s">
        <v>61</v>
      </c>
      <c r="C10134" t="str">
        <f>"A0132866"</f>
        <v>A0132866</v>
      </c>
      <c r="D10134" t="s">
        <v>37919</v>
      </c>
      <c r="E10134" t="s">
        <v>37920</v>
      </c>
      <c r="F10134" t="s">
        <v>93</v>
      </c>
      <c r="G10134" t="s">
        <v>65</v>
      </c>
      <c r="H10134">
        <v>45331</v>
      </c>
      <c r="I10134" t="s">
        <v>30</v>
      </c>
      <c r="J10134" t="s">
        <v>41</v>
      </c>
      <c r="K10134" t="s">
        <v>229</v>
      </c>
      <c r="Q10134">
        <v>0</v>
      </c>
      <c r="R10134">
        <v>130</v>
      </c>
      <c r="S10134">
        <v>130</v>
      </c>
      <c r="T10134" t="s">
        <v>37921</v>
      </c>
    </row>
    <row r="10135" spans="1:20" customFormat="1" ht="15" x14ac:dyDescent="0.25">
      <c r="A10135" t="s">
        <v>35</v>
      </c>
      <c r="B10135" t="s">
        <v>61</v>
      </c>
      <c r="C10135" t="str">
        <f>"A0127425"</f>
        <v>A0127425</v>
      </c>
      <c r="D10135" t="s">
        <v>37922</v>
      </c>
      <c r="E10135" t="s">
        <v>37923</v>
      </c>
      <c r="F10135" t="s">
        <v>21265</v>
      </c>
      <c r="G10135" t="s">
        <v>925</v>
      </c>
      <c r="H10135">
        <v>66611</v>
      </c>
      <c r="I10135" t="s">
        <v>30</v>
      </c>
      <c r="J10135" t="s">
        <v>41</v>
      </c>
      <c r="K10135" t="s">
        <v>59</v>
      </c>
      <c r="Q10135">
        <v>0</v>
      </c>
      <c r="R10135">
        <v>45</v>
      </c>
      <c r="S10135">
        <v>45</v>
      </c>
      <c r="T10135" t="s">
        <v>37924</v>
      </c>
    </row>
    <row r="10136" spans="1:20" customFormat="1" ht="15" x14ac:dyDescent="0.25">
      <c r="A10136" t="s">
        <v>35</v>
      </c>
      <c r="B10136" t="s">
        <v>61</v>
      </c>
      <c r="C10136" t="str">
        <f>"A0127424"</f>
        <v>A0127424</v>
      </c>
      <c r="D10136" t="s">
        <v>37925</v>
      </c>
      <c r="E10136" t="s">
        <v>37926</v>
      </c>
      <c r="F10136" t="s">
        <v>21265</v>
      </c>
      <c r="G10136" t="s">
        <v>925</v>
      </c>
      <c r="H10136">
        <v>66611</v>
      </c>
      <c r="I10136" t="s">
        <v>30</v>
      </c>
      <c r="J10136" t="s">
        <v>41</v>
      </c>
      <c r="K10136" t="s">
        <v>229</v>
      </c>
      <c r="Q10136">
        <v>0</v>
      </c>
      <c r="R10136">
        <v>97</v>
      </c>
      <c r="S10136">
        <v>97</v>
      </c>
      <c r="T10136" t="s">
        <v>37927</v>
      </c>
    </row>
    <row r="10137" spans="1:20" customFormat="1" ht="15" x14ac:dyDescent="0.25">
      <c r="A10137" t="s">
        <v>35</v>
      </c>
      <c r="B10137" t="s">
        <v>61</v>
      </c>
      <c r="C10137" t="str">
        <f>"A0123202"</f>
        <v>A0123202</v>
      </c>
      <c r="D10137" t="s">
        <v>37928</v>
      </c>
      <c r="E10137" t="s">
        <v>37929</v>
      </c>
      <c r="F10137" t="s">
        <v>37930</v>
      </c>
      <c r="G10137" t="s">
        <v>29</v>
      </c>
      <c r="H10137">
        <v>242516216</v>
      </c>
      <c r="I10137" t="s">
        <v>30</v>
      </c>
      <c r="J10137" t="s">
        <v>41</v>
      </c>
      <c r="K10137" t="s">
        <v>229</v>
      </c>
      <c r="Q10137">
        <v>0</v>
      </c>
      <c r="R10137">
        <v>76</v>
      </c>
      <c r="S10137">
        <v>76</v>
      </c>
      <c r="T10137" t="s">
        <v>37931</v>
      </c>
    </row>
    <row r="10138" spans="1:20" customFormat="1" ht="15" x14ac:dyDescent="0.25">
      <c r="A10138" t="s">
        <v>35</v>
      </c>
      <c r="B10138" t="s">
        <v>437</v>
      </c>
      <c r="C10138" t="str">
        <f>"A0133913"</f>
        <v>A0133913</v>
      </c>
      <c r="D10138" t="s">
        <v>37932</v>
      </c>
      <c r="E10138" t="s">
        <v>37933</v>
      </c>
      <c r="F10138" t="s">
        <v>14693</v>
      </c>
      <c r="G10138" t="s">
        <v>110</v>
      </c>
      <c r="H10138">
        <v>92831</v>
      </c>
      <c r="I10138" t="s">
        <v>30</v>
      </c>
      <c r="J10138" t="s">
        <v>441</v>
      </c>
      <c r="K10138" t="s">
        <v>9719</v>
      </c>
      <c r="Q10138">
        <v>0</v>
      </c>
      <c r="R10138">
        <v>0</v>
      </c>
      <c r="S10138">
        <v>0</v>
      </c>
      <c r="T10138" t="s">
        <v>37934</v>
      </c>
    </row>
    <row r="10139" spans="1:20" customFormat="1" ht="15" x14ac:dyDescent="0.25">
      <c r="A10139" t="s">
        <v>35</v>
      </c>
      <c r="B10139" t="s">
        <v>61</v>
      </c>
      <c r="C10139" t="str">
        <f>"A0123651"</f>
        <v>A0123651</v>
      </c>
      <c r="D10139" t="s">
        <v>37935</v>
      </c>
      <c r="E10139" t="s">
        <v>37936</v>
      </c>
      <c r="F10139" t="s">
        <v>26351</v>
      </c>
      <c r="G10139" t="s">
        <v>29</v>
      </c>
      <c r="H10139">
        <v>245210590</v>
      </c>
      <c r="I10139" t="s">
        <v>30</v>
      </c>
      <c r="J10139" t="s">
        <v>41</v>
      </c>
      <c r="K10139" t="s">
        <v>229</v>
      </c>
      <c r="Q10139">
        <v>0</v>
      </c>
      <c r="R10139">
        <v>51</v>
      </c>
      <c r="S10139">
        <v>51</v>
      </c>
      <c r="T10139" t="s">
        <v>37937</v>
      </c>
    </row>
    <row r="10140" spans="1:20" customFormat="1" ht="15" x14ac:dyDescent="0.25">
      <c r="A10140" t="s">
        <v>35</v>
      </c>
      <c r="B10140" t="s">
        <v>61</v>
      </c>
      <c r="C10140" t="str">
        <f>"A0132463"</f>
        <v>A0132463</v>
      </c>
      <c r="D10140" t="s">
        <v>37935</v>
      </c>
      <c r="E10140" t="s">
        <v>37938</v>
      </c>
      <c r="F10140" t="s">
        <v>4761</v>
      </c>
      <c r="G10140" t="s">
        <v>65</v>
      </c>
      <c r="H10140">
        <v>442240000</v>
      </c>
      <c r="I10140" t="s">
        <v>30</v>
      </c>
      <c r="J10140" t="s">
        <v>41</v>
      </c>
      <c r="K10140" t="s">
        <v>229</v>
      </c>
      <c r="Q10140">
        <v>0</v>
      </c>
      <c r="R10140">
        <v>100</v>
      </c>
      <c r="S10140">
        <v>100</v>
      </c>
      <c r="T10140" t="s">
        <v>37939</v>
      </c>
    </row>
    <row r="10141" spans="1:20" customFormat="1" ht="15" x14ac:dyDescent="0.25">
      <c r="A10141" t="s">
        <v>35</v>
      </c>
      <c r="B10141" t="s">
        <v>61</v>
      </c>
      <c r="C10141" t="str">
        <f>"A0122710"</f>
        <v>A0122710</v>
      </c>
      <c r="D10141" t="s">
        <v>37940</v>
      </c>
      <c r="E10141" t="s">
        <v>37941</v>
      </c>
      <c r="F10141" t="s">
        <v>17095</v>
      </c>
      <c r="G10141" t="s">
        <v>76</v>
      </c>
      <c r="H10141">
        <v>98467</v>
      </c>
      <c r="I10141" t="s">
        <v>30</v>
      </c>
      <c r="J10141" t="s">
        <v>41</v>
      </c>
      <c r="K10141" t="s">
        <v>59</v>
      </c>
      <c r="Q10141">
        <v>0</v>
      </c>
      <c r="R10141">
        <v>77</v>
      </c>
      <c r="S10141">
        <v>77</v>
      </c>
      <c r="T10141" t="s">
        <v>37942</v>
      </c>
    </row>
    <row r="10142" spans="1:20" customFormat="1" ht="15" x14ac:dyDescent="0.25">
      <c r="A10142" t="s">
        <v>35</v>
      </c>
      <c r="B10142" t="s">
        <v>61</v>
      </c>
      <c r="C10142" t="str">
        <f>"A0124125"</f>
        <v>A0124125</v>
      </c>
      <c r="D10142" t="s">
        <v>37943</v>
      </c>
      <c r="E10142" t="s">
        <v>37944</v>
      </c>
      <c r="F10142" t="s">
        <v>931</v>
      </c>
      <c r="G10142" t="s">
        <v>71</v>
      </c>
      <c r="H10142">
        <v>54911</v>
      </c>
      <c r="I10142" t="s">
        <v>30</v>
      </c>
      <c r="J10142" t="s">
        <v>41</v>
      </c>
      <c r="K10142" t="s">
        <v>229</v>
      </c>
      <c r="Q10142">
        <v>0</v>
      </c>
      <c r="R10142">
        <v>150</v>
      </c>
      <c r="S10142">
        <v>150</v>
      </c>
      <c r="T10142" t="s">
        <v>37945</v>
      </c>
    </row>
    <row r="10143" spans="1:20" customFormat="1" ht="15" x14ac:dyDescent="0.25">
      <c r="A10143" t="s">
        <v>35</v>
      </c>
      <c r="B10143" t="s">
        <v>106</v>
      </c>
      <c r="C10143" t="str">
        <f>"A0135377"</f>
        <v>A0135377</v>
      </c>
      <c r="D10143" t="s">
        <v>37946</v>
      </c>
      <c r="E10143" t="s">
        <v>37947</v>
      </c>
      <c r="F10143" t="s">
        <v>37948</v>
      </c>
      <c r="G10143" t="s">
        <v>214</v>
      </c>
      <c r="H10143">
        <v>28676</v>
      </c>
      <c r="I10143" t="s">
        <v>30</v>
      </c>
      <c r="J10143" t="s">
        <v>111</v>
      </c>
      <c r="K10143" t="s">
        <v>112</v>
      </c>
      <c r="Q10143">
        <v>0</v>
      </c>
      <c r="R10143">
        <v>0</v>
      </c>
      <c r="S10143">
        <v>0</v>
      </c>
      <c r="T10143" t="s">
        <v>37949</v>
      </c>
    </row>
    <row r="10144" spans="1:20" customFormat="1" ht="15" x14ac:dyDescent="0.25">
      <c r="A10144" t="s">
        <v>35</v>
      </c>
      <c r="B10144" t="s">
        <v>61</v>
      </c>
      <c r="C10144" t="str">
        <f>"A0118163"</f>
        <v>A0118163</v>
      </c>
      <c r="D10144" t="s">
        <v>37950</v>
      </c>
      <c r="E10144" t="s">
        <v>37951</v>
      </c>
      <c r="F10144" t="s">
        <v>37952</v>
      </c>
      <c r="G10144" t="s">
        <v>433</v>
      </c>
      <c r="H10144">
        <v>83301</v>
      </c>
      <c r="I10144" t="s">
        <v>30</v>
      </c>
      <c r="J10144" t="s">
        <v>41</v>
      </c>
      <c r="K10144" t="s">
        <v>59</v>
      </c>
      <c r="Q10144">
        <v>0</v>
      </c>
      <c r="R10144">
        <v>1</v>
      </c>
      <c r="S10144">
        <v>1</v>
      </c>
      <c r="T10144" t="s">
        <v>37953</v>
      </c>
    </row>
    <row r="10145" spans="1:20" customFormat="1" ht="15" x14ac:dyDescent="0.25">
      <c r="A10145" t="s">
        <v>35</v>
      </c>
      <c r="B10145" t="s">
        <v>61</v>
      </c>
      <c r="C10145" t="str">
        <f>"A0125774"</f>
        <v>A0125774</v>
      </c>
      <c r="D10145" t="s">
        <v>37954</v>
      </c>
      <c r="E10145" t="s">
        <v>37955</v>
      </c>
      <c r="F10145" t="s">
        <v>28921</v>
      </c>
      <c r="G10145" t="s">
        <v>29</v>
      </c>
      <c r="H10145">
        <v>228120000</v>
      </c>
      <c r="I10145" t="s">
        <v>30</v>
      </c>
      <c r="J10145" t="s">
        <v>41</v>
      </c>
      <c r="K10145" t="s">
        <v>229</v>
      </c>
      <c r="Q10145">
        <v>0</v>
      </c>
      <c r="R10145">
        <v>400</v>
      </c>
      <c r="S10145">
        <v>400</v>
      </c>
      <c r="T10145" t="s">
        <v>37956</v>
      </c>
    </row>
    <row r="10146" spans="1:20" customFormat="1" ht="15" x14ac:dyDescent="0.25">
      <c r="A10146" t="s">
        <v>35</v>
      </c>
      <c r="B10146" t="s">
        <v>61</v>
      </c>
      <c r="C10146" t="str">
        <f>"A0129111"</f>
        <v>A0129111</v>
      </c>
      <c r="D10146" t="s">
        <v>37957</v>
      </c>
      <c r="E10146" t="s">
        <v>37958</v>
      </c>
      <c r="F10146" t="s">
        <v>13843</v>
      </c>
      <c r="G10146" t="s">
        <v>289</v>
      </c>
      <c r="H10146">
        <v>61402</v>
      </c>
      <c r="I10146" t="s">
        <v>30</v>
      </c>
      <c r="J10146" t="s">
        <v>41</v>
      </c>
      <c r="K10146" t="s">
        <v>229</v>
      </c>
      <c r="Q10146">
        <v>0</v>
      </c>
      <c r="R10146">
        <v>50</v>
      </c>
      <c r="S10146">
        <v>50</v>
      </c>
      <c r="T10146" t="s">
        <v>37959</v>
      </c>
    </row>
    <row r="10147" spans="1:20" customFormat="1" ht="15" x14ac:dyDescent="0.25">
      <c r="A10147" t="s">
        <v>35</v>
      </c>
      <c r="B10147" t="s">
        <v>61</v>
      </c>
      <c r="C10147" t="str">
        <f>"A0124126"</f>
        <v>A0124126</v>
      </c>
      <c r="D10147" t="s">
        <v>37960</v>
      </c>
      <c r="E10147" t="s">
        <v>37961</v>
      </c>
      <c r="F10147" t="s">
        <v>37962</v>
      </c>
      <c r="G10147" t="s">
        <v>338</v>
      </c>
      <c r="H10147">
        <v>8844</v>
      </c>
      <c r="I10147" t="s">
        <v>30</v>
      </c>
      <c r="J10147" t="s">
        <v>41</v>
      </c>
      <c r="K10147" t="s">
        <v>229</v>
      </c>
      <c r="Q10147">
        <v>0</v>
      </c>
      <c r="R10147">
        <v>148</v>
      </c>
      <c r="S10147">
        <v>148</v>
      </c>
      <c r="T10147" t="s">
        <v>37963</v>
      </c>
    </row>
    <row r="10148" spans="1:20" customFormat="1" ht="15" x14ac:dyDescent="0.25">
      <c r="A10148" t="s">
        <v>35</v>
      </c>
      <c r="B10148" t="s">
        <v>61</v>
      </c>
      <c r="C10148" t="str">
        <f>"A0124127"</f>
        <v>A0124127</v>
      </c>
      <c r="D10148" t="s">
        <v>37964</v>
      </c>
      <c r="E10148" t="s">
        <v>37965</v>
      </c>
      <c r="F10148" t="s">
        <v>28921</v>
      </c>
      <c r="G10148" t="s">
        <v>338</v>
      </c>
      <c r="H10148">
        <v>8807</v>
      </c>
      <c r="I10148" t="s">
        <v>30</v>
      </c>
      <c r="J10148" t="s">
        <v>41</v>
      </c>
      <c r="K10148" t="s">
        <v>229</v>
      </c>
      <c r="Q10148">
        <v>0</v>
      </c>
      <c r="R10148">
        <v>148</v>
      </c>
      <c r="S10148">
        <v>148</v>
      </c>
      <c r="T10148" t="s">
        <v>37966</v>
      </c>
    </row>
    <row r="10149" spans="1:20" customFormat="1" ht="15" x14ac:dyDescent="0.25">
      <c r="A10149" t="s">
        <v>35</v>
      </c>
      <c r="B10149" t="s">
        <v>61</v>
      </c>
      <c r="C10149" t="str">
        <f>"A0122910"</f>
        <v>A0122910</v>
      </c>
      <c r="D10149" t="s">
        <v>37967</v>
      </c>
      <c r="E10149" t="s">
        <v>37968</v>
      </c>
      <c r="F10149" t="s">
        <v>8647</v>
      </c>
      <c r="G10149" t="s">
        <v>47</v>
      </c>
      <c r="H10149">
        <v>97305</v>
      </c>
      <c r="I10149" t="s">
        <v>30</v>
      </c>
      <c r="J10149" t="s">
        <v>41</v>
      </c>
      <c r="K10149" t="s">
        <v>461</v>
      </c>
      <c r="Q10149">
        <v>0</v>
      </c>
      <c r="R10149">
        <v>50</v>
      </c>
      <c r="S10149">
        <v>50</v>
      </c>
      <c r="T10149" t="s">
        <v>37969</v>
      </c>
    </row>
    <row r="10150" spans="1:20" customFormat="1" ht="15" x14ac:dyDescent="0.25">
      <c r="A10150" t="s">
        <v>35</v>
      </c>
      <c r="B10150" t="s">
        <v>106</v>
      </c>
      <c r="C10150" t="str">
        <f>"A0136257"</f>
        <v>A0136257</v>
      </c>
      <c r="D10150" t="s">
        <v>37970</v>
      </c>
      <c r="E10150" t="s">
        <v>37971</v>
      </c>
      <c r="F10150" t="s">
        <v>37972</v>
      </c>
      <c r="G10150" t="s">
        <v>2450</v>
      </c>
      <c r="H10150">
        <v>4057</v>
      </c>
      <c r="I10150" t="s">
        <v>30</v>
      </c>
      <c r="J10150" t="s">
        <v>111</v>
      </c>
      <c r="K10150" t="s">
        <v>112</v>
      </c>
      <c r="Q10150">
        <v>0</v>
      </c>
      <c r="R10150">
        <v>0</v>
      </c>
      <c r="S10150">
        <v>0</v>
      </c>
      <c r="T10150" t="s">
        <v>37973</v>
      </c>
    </row>
    <row r="10151" spans="1:20" customFormat="1" ht="15" x14ac:dyDescent="0.25">
      <c r="A10151" t="s">
        <v>35</v>
      </c>
      <c r="B10151" t="s">
        <v>61</v>
      </c>
      <c r="C10151" t="str">
        <f>"A0153274"</f>
        <v>A0153274</v>
      </c>
      <c r="D10151" t="s">
        <v>37974</v>
      </c>
      <c r="E10151" t="s">
        <v>37975</v>
      </c>
      <c r="F10151" t="s">
        <v>10252</v>
      </c>
      <c r="G10151" t="s">
        <v>289</v>
      </c>
      <c r="H10151">
        <v>62629</v>
      </c>
      <c r="I10151" t="s">
        <v>30</v>
      </c>
      <c r="J10151" t="s">
        <v>41</v>
      </c>
      <c r="K10151" t="s">
        <v>391</v>
      </c>
      <c r="Q10151">
        <v>0</v>
      </c>
      <c r="R10151">
        <v>113</v>
      </c>
      <c r="S10151">
        <v>113</v>
      </c>
      <c r="T10151" t="s">
        <v>37976</v>
      </c>
    </row>
    <row r="10152" spans="1:20" customFormat="1" ht="15" x14ac:dyDescent="0.25">
      <c r="A10152" t="s">
        <v>35</v>
      </c>
      <c r="B10152" t="s">
        <v>61</v>
      </c>
      <c r="C10152" t="str">
        <f>"A0129445"</f>
        <v>A0129445</v>
      </c>
      <c r="D10152" t="s">
        <v>37977</v>
      </c>
      <c r="E10152" t="s">
        <v>37978</v>
      </c>
      <c r="F10152" t="s">
        <v>21033</v>
      </c>
      <c r="G10152" t="s">
        <v>289</v>
      </c>
      <c r="H10152">
        <v>61021</v>
      </c>
      <c r="I10152" t="s">
        <v>30</v>
      </c>
      <c r="J10152" t="s">
        <v>41</v>
      </c>
      <c r="K10152" t="s">
        <v>391</v>
      </c>
      <c r="Q10152">
        <v>0</v>
      </c>
      <c r="R10152">
        <v>0</v>
      </c>
      <c r="S10152">
        <v>0</v>
      </c>
      <c r="T10152" t="s">
        <v>37979</v>
      </c>
    </row>
    <row r="10153" spans="1:20" customFormat="1" ht="15" x14ac:dyDescent="0.25">
      <c r="A10153" t="s">
        <v>35</v>
      </c>
      <c r="B10153" t="s">
        <v>106</v>
      </c>
      <c r="C10153" t="str">
        <f>"A0135354"</f>
        <v>A0135354</v>
      </c>
      <c r="D10153" t="s">
        <v>37980</v>
      </c>
      <c r="E10153" t="s">
        <v>37981</v>
      </c>
      <c r="F10153" t="s">
        <v>4288</v>
      </c>
      <c r="G10153" t="s">
        <v>110</v>
      </c>
      <c r="H10153">
        <v>92503</v>
      </c>
      <c r="I10153" t="s">
        <v>30</v>
      </c>
      <c r="J10153" t="s">
        <v>111</v>
      </c>
      <c r="K10153" t="s">
        <v>112</v>
      </c>
      <c r="Q10153">
        <v>0</v>
      </c>
      <c r="R10153">
        <v>0</v>
      </c>
      <c r="S10153">
        <v>0</v>
      </c>
      <c r="T10153" t="s">
        <v>37982</v>
      </c>
    </row>
    <row r="10154" spans="1:20" customFormat="1" ht="15" x14ac:dyDescent="0.25">
      <c r="A10154" t="s">
        <v>35</v>
      </c>
      <c r="B10154" t="s">
        <v>61</v>
      </c>
      <c r="C10154" t="str">
        <f>"A0123203"</f>
        <v>A0123203</v>
      </c>
      <c r="D10154" t="s">
        <v>37983</v>
      </c>
      <c r="E10154" t="s">
        <v>37984</v>
      </c>
      <c r="F10154" t="s">
        <v>37985</v>
      </c>
      <c r="G10154" t="s">
        <v>29</v>
      </c>
      <c r="H10154">
        <v>23860</v>
      </c>
      <c r="I10154" t="s">
        <v>30</v>
      </c>
      <c r="J10154" t="s">
        <v>41</v>
      </c>
      <c r="K10154" t="s">
        <v>482</v>
      </c>
      <c r="Q10154">
        <v>0</v>
      </c>
      <c r="R10154">
        <v>98</v>
      </c>
      <c r="S10154">
        <v>98</v>
      </c>
      <c r="T10154" t="s">
        <v>37986</v>
      </c>
    </row>
    <row r="10155" spans="1:20" customFormat="1" ht="15" x14ac:dyDescent="0.25">
      <c r="A10155" t="s">
        <v>35</v>
      </c>
      <c r="B10155" t="s">
        <v>61</v>
      </c>
      <c r="C10155" t="str">
        <f>"A0123204"</f>
        <v>A0123204</v>
      </c>
      <c r="D10155" t="s">
        <v>37987</v>
      </c>
      <c r="E10155" t="s">
        <v>37988</v>
      </c>
      <c r="F10155" t="s">
        <v>1795</v>
      </c>
      <c r="G10155" t="s">
        <v>29</v>
      </c>
      <c r="H10155">
        <v>232334324</v>
      </c>
      <c r="I10155" t="s">
        <v>30</v>
      </c>
      <c r="J10155" t="s">
        <v>41</v>
      </c>
      <c r="K10155" t="s">
        <v>482</v>
      </c>
      <c r="Q10155">
        <v>0</v>
      </c>
      <c r="R10155">
        <v>136</v>
      </c>
      <c r="S10155">
        <v>136</v>
      </c>
      <c r="T10155" t="s">
        <v>37989</v>
      </c>
    </row>
    <row r="10156" spans="1:20" customFormat="1" ht="15" x14ac:dyDescent="0.25">
      <c r="A10156" t="s">
        <v>35</v>
      </c>
      <c r="B10156" t="s">
        <v>61</v>
      </c>
      <c r="C10156" t="str">
        <f>"A0123205"</f>
        <v>A0123205</v>
      </c>
      <c r="D10156" t="s">
        <v>37990</v>
      </c>
      <c r="E10156" t="s">
        <v>37991</v>
      </c>
      <c r="F10156" t="s">
        <v>17879</v>
      </c>
      <c r="G10156" t="s">
        <v>29</v>
      </c>
      <c r="H10156">
        <v>234556910</v>
      </c>
      <c r="I10156" t="s">
        <v>30</v>
      </c>
      <c r="J10156" t="s">
        <v>41</v>
      </c>
      <c r="K10156" t="s">
        <v>482</v>
      </c>
      <c r="Q10156">
        <v>0</v>
      </c>
      <c r="R10156">
        <v>114</v>
      </c>
      <c r="S10156">
        <v>114</v>
      </c>
      <c r="T10156" t="s">
        <v>37992</v>
      </c>
    </row>
    <row r="10157" spans="1:20" customFormat="1" ht="15" x14ac:dyDescent="0.25">
      <c r="A10157" t="s">
        <v>35</v>
      </c>
      <c r="B10157" t="s">
        <v>61</v>
      </c>
      <c r="C10157" t="str">
        <f>"A0124128"</f>
        <v>A0124128</v>
      </c>
      <c r="D10157" t="s">
        <v>37993</v>
      </c>
      <c r="E10157" t="s">
        <v>37994</v>
      </c>
      <c r="F10157" t="s">
        <v>28361</v>
      </c>
      <c r="G10157" t="s">
        <v>338</v>
      </c>
      <c r="H10157">
        <v>8053</v>
      </c>
      <c r="I10157" t="s">
        <v>30</v>
      </c>
      <c r="J10157" t="s">
        <v>41</v>
      </c>
      <c r="K10157" t="s">
        <v>59</v>
      </c>
      <c r="Q10157">
        <v>0</v>
      </c>
      <c r="R10157">
        <v>190</v>
      </c>
      <c r="S10157">
        <v>190</v>
      </c>
      <c r="T10157" t="s">
        <v>37995</v>
      </c>
    </row>
    <row r="10158" spans="1:20" customFormat="1" ht="15" x14ac:dyDescent="0.25">
      <c r="A10158" t="s">
        <v>35</v>
      </c>
      <c r="B10158" t="s">
        <v>61</v>
      </c>
      <c r="C10158" t="str">
        <f>"A0124129"</f>
        <v>A0124129</v>
      </c>
      <c r="D10158" t="s">
        <v>37996</v>
      </c>
      <c r="E10158" t="s">
        <v>37997</v>
      </c>
      <c r="F10158" t="s">
        <v>37998</v>
      </c>
      <c r="G10158" t="s">
        <v>338</v>
      </c>
      <c r="H10158">
        <v>8054</v>
      </c>
      <c r="I10158" t="s">
        <v>30</v>
      </c>
      <c r="J10158" t="s">
        <v>41</v>
      </c>
      <c r="K10158" t="s">
        <v>59</v>
      </c>
      <c r="Q10158">
        <v>0</v>
      </c>
      <c r="R10158">
        <v>170</v>
      </c>
      <c r="S10158">
        <v>170</v>
      </c>
      <c r="T10158" t="s">
        <v>37999</v>
      </c>
    </row>
    <row r="10159" spans="1:20" customFormat="1" ht="15" x14ac:dyDescent="0.25">
      <c r="A10159" t="s">
        <v>35</v>
      </c>
      <c r="B10159" t="s">
        <v>61</v>
      </c>
      <c r="C10159" t="str">
        <f>"A0124130"</f>
        <v>A0124130</v>
      </c>
      <c r="D10159" t="s">
        <v>38000</v>
      </c>
      <c r="E10159" t="s">
        <v>38001</v>
      </c>
      <c r="F10159" t="s">
        <v>4023</v>
      </c>
      <c r="G10159" t="s">
        <v>338</v>
      </c>
      <c r="H10159">
        <v>8096</v>
      </c>
      <c r="I10159" t="s">
        <v>30</v>
      </c>
      <c r="J10159" t="s">
        <v>41</v>
      </c>
      <c r="K10159" t="s">
        <v>59</v>
      </c>
      <c r="Q10159">
        <v>0</v>
      </c>
      <c r="R10159">
        <v>170</v>
      </c>
      <c r="S10159">
        <v>170</v>
      </c>
      <c r="T10159" t="s">
        <v>38002</v>
      </c>
    </row>
    <row r="10160" spans="1:20" customFormat="1" ht="15" x14ac:dyDescent="0.25">
      <c r="A10160" t="s">
        <v>35</v>
      </c>
      <c r="B10160" t="s">
        <v>61</v>
      </c>
      <c r="C10160" t="str">
        <f>"A0123652"</f>
        <v>A0123652</v>
      </c>
      <c r="D10160" t="s">
        <v>38003</v>
      </c>
      <c r="E10160" t="s">
        <v>38004</v>
      </c>
      <c r="F10160" t="s">
        <v>1701</v>
      </c>
      <c r="G10160" t="s">
        <v>58</v>
      </c>
      <c r="H10160">
        <v>29579</v>
      </c>
      <c r="I10160" t="s">
        <v>30</v>
      </c>
      <c r="J10160" t="s">
        <v>41</v>
      </c>
      <c r="K10160" t="s">
        <v>59</v>
      </c>
      <c r="Q10160">
        <v>0</v>
      </c>
      <c r="R10160">
        <v>200</v>
      </c>
      <c r="S10160">
        <v>200</v>
      </c>
      <c r="T10160" t="s">
        <v>38005</v>
      </c>
    </row>
    <row r="10161" spans="1:20" customFormat="1" ht="15" hidden="1" x14ac:dyDescent="0.25">
      <c r="A10161" t="s">
        <v>35</v>
      </c>
      <c r="B10161" t="s">
        <v>61</v>
      </c>
      <c r="C10161" t="str">
        <f>"A0122857"</f>
        <v>A0122857</v>
      </c>
      <c r="D10161" t="s">
        <v>38006</v>
      </c>
      <c r="E10161" t="s">
        <v>38007</v>
      </c>
      <c r="F10161" t="s">
        <v>38008</v>
      </c>
      <c r="G10161" t="s">
        <v>38009</v>
      </c>
      <c r="H10161" t="s">
        <v>38010</v>
      </c>
      <c r="I10161" t="s">
        <v>14394</v>
      </c>
      <c r="J10161" t="s">
        <v>41</v>
      </c>
      <c r="K10161" t="s">
        <v>59</v>
      </c>
      <c r="Q10161">
        <v>0</v>
      </c>
      <c r="R10161">
        <v>66</v>
      </c>
      <c r="S10161">
        <v>66</v>
      </c>
      <c r="T10161" t="s">
        <v>38011</v>
      </c>
    </row>
    <row r="10162" spans="1:20" customFormat="1" ht="15" x14ac:dyDescent="0.25">
      <c r="A10162" t="s">
        <v>35</v>
      </c>
      <c r="B10162" t="s">
        <v>61</v>
      </c>
      <c r="C10162" t="str">
        <f>"A0155627"</f>
        <v>A0155627</v>
      </c>
      <c r="D10162" t="s">
        <v>38012</v>
      </c>
      <c r="E10162" t="s">
        <v>38013</v>
      </c>
      <c r="F10162" t="s">
        <v>38014</v>
      </c>
      <c r="G10162" t="s">
        <v>81</v>
      </c>
      <c r="H10162">
        <v>32141</v>
      </c>
      <c r="I10162" t="s">
        <v>30</v>
      </c>
      <c r="J10162" t="s">
        <v>41</v>
      </c>
      <c r="K10162" t="s">
        <v>1032</v>
      </c>
      <c r="Q10162">
        <v>0</v>
      </c>
      <c r="R10162">
        <v>78</v>
      </c>
      <c r="S10162">
        <v>78</v>
      </c>
      <c r="T10162" t="s">
        <v>38015</v>
      </c>
    </row>
    <row r="10163" spans="1:20" customFormat="1" ht="15" x14ac:dyDescent="0.25">
      <c r="A10163" t="s">
        <v>35</v>
      </c>
      <c r="B10163" t="s">
        <v>61</v>
      </c>
      <c r="C10163" t="str">
        <f>"A0151181"</f>
        <v>A0151181</v>
      </c>
      <c r="D10163" t="s">
        <v>38016</v>
      </c>
      <c r="E10163" t="s">
        <v>38017</v>
      </c>
      <c r="F10163" t="s">
        <v>38018</v>
      </c>
      <c r="G10163" t="s">
        <v>81</v>
      </c>
      <c r="H10163">
        <v>32168</v>
      </c>
      <c r="I10163" t="s">
        <v>30</v>
      </c>
      <c r="J10163" t="s">
        <v>41</v>
      </c>
      <c r="K10163" t="s">
        <v>59</v>
      </c>
      <c r="Q10163">
        <v>0</v>
      </c>
      <c r="R10163">
        <v>53</v>
      </c>
      <c r="S10163">
        <v>53</v>
      </c>
      <c r="T10163" t="s">
        <v>38019</v>
      </c>
    </row>
    <row r="10164" spans="1:20" customFormat="1" ht="15" x14ac:dyDescent="0.25">
      <c r="A10164" t="s">
        <v>35</v>
      </c>
      <c r="B10164" t="s">
        <v>61</v>
      </c>
      <c r="C10164" t="str">
        <f>"A0150990"</f>
        <v>A0150990</v>
      </c>
      <c r="D10164" t="s">
        <v>4771</v>
      </c>
      <c r="E10164" t="s">
        <v>38020</v>
      </c>
      <c r="F10164" t="s">
        <v>7267</v>
      </c>
      <c r="G10164" t="s">
        <v>153</v>
      </c>
      <c r="H10164">
        <v>84116</v>
      </c>
      <c r="I10164" t="s">
        <v>30</v>
      </c>
      <c r="J10164" t="s">
        <v>41</v>
      </c>
      <c r="K10164" t="s">
        <v>456</v>
      </c>
      <c r="Q10164">
        <v>0</v>
      </c>
      <c r="R10164">
        <v>0</v>
      </c>
      <c r="S10164">
        <v>0</v>
      </c>
      <c r="T10164" t="s">
        <v>38021</v>
      </c>
    </row>
    <row r="10165" spans="1:20" customFormat="1" ht="15" x14ac:dyDescent="0.25">
      <c r="A10165" t="s">
        <v>35</v>
      </c>
      <c r="B10165" t="s">
        <v>61</v>
      </c>
      <c r="C10165" t="str">
        <f>"A0123680"</f>
        <v>A0123680</v>
      </c>
      <c r="D10165" t="s">
        <v>19013</v>
      </c>
      <c r="E10165" t="s">
        <v>38022</v>
      </c>
      <c r="F10165" t="s">
        <v>1916</v>
      </c>
      <c r="G10165" t="s">
        <v>880</v>
      </c>
      <c r="H10165">
        <v>37620</v>
      </c>
      <c r="I10165" t="s">
        <v>30</v>
      </c>
      <c r="J10165" t="s">
        <v>41</v>
      </c>
      <c r="K10165" t="s">
        <v>229</v>
      </c>
      <c r="Q10165">
        <v>0</v>
      </c>
      <c r="R10165">
        <v>120</v>
      </c>
      <c r="S10165">
        <v>120</v>
      </c>
      <c r="T10165" t="s">
        <v>38023</v>
      </c>
    </row>
    <row r="10166" spans="1:20" customFormat="1" ht="15" x14ac:dyDescent="0.25">
      <c r="A10166" t="s">
        <v>35</v>
      </c>
      <c r="B10166" t="s">
        <v>61</v>
      </c>
      <c r="C10166" t="str">
        <f>"A0131079"</f>
        <v>A0131079</v>
      </c>
      <c r="D10166" t="s">
        <v>38024</v>
      </c>
      <c r="E10166" t="s">
        <v>38025</v>
      </c>
      <c r="F10166" t="s">
        <v>27776</v>
      </c>
      <c r="G10166" t="s">
        <v>85</v>
      </c>
      <c r="H10166">
        <v>72601</v>
      </c>
      <c r="I10166" t="s">
        <v>30</v>
      </c>
      <c r="J10166" t="s">
        <v>41</v>
      </c>
      <c r="K10166" t="s">
        <v>229</v>
      </c>
      <c r="Q10166">
        <v>0</v>
      </c>
      <c r="R10166">
        <v>154</v>
      </c>
      <c r="S10166">
        <v>154</v>
      </c>
      <c r="T10166" t="s">
        <v>33798</v>
      </c>
    </row>
    <row r="10167" spans="1:20" customFormat="1" ht="15" x14ac:dyDescent="0.25">
      <c r="A10167" t="s">
        <v>35</v>
      </c>
      <c r="B10167" t="s">
        <v>437</v>
      </c>
      <c r="C10167" t="str">
        <f>"A0134003"</f>
        <v>A0134003</v>
      </c>
      <c r="D10167" t="s">
        <v>38026</v>
      </c>
      <c r="E10167" t="s">
        <v>38027</v>
      </c>
      <c r="F10167" t="s">
        <v>9135</v>
      </c>
      <c r="G10167" t="s">
        <v>110</v>
      </c>
      <c r="H10167">
        <v>95118</v>
      </c>
      <c r="I10167" t="s">
        <v>30</v>
      </c>
      <c r="J10167" t="s">
        <v>441</v>
      </c>
      <c r="K10167" t="s">
        <v>442</v>
      </c>
      <c r="Q10167">
        <v>0</v>
      </c>
      <c r="R10167">
        <v>0</v>
      </c>
      <c r="S10167">
        <v>0</v>
      </c>
      <c r="T10167" t="s">
        <v>38028</v>
      </c>
    </row>
    <row r="10168" spans="1:20" customFormat="1" ht="15" x14ac:dyDescent="0.25">
      <c r="A10168" t="s">
        <v>35</v>
      </c>
      <c r="B10168" t="s">
        <v>61</v>
      </c>
      <c r="C10168" t="str">
        <f>"A0118903"</f>
        <v>A0118903</v>
      </c>
      <c r="D10168" t="s">
        <v>38029</v>
      </c>
      <c r="E10168" t="s">
        <v>38030</v>
      </c>
      <c r="F10168" t="s">
        <v>20829</v>
      </c>
      <c r="G10168" t="s">
        <v>110</v>
      </c>
      <c r="H10168">
        <v>908080000</v>
      </c>
      <c r="I10168" t="s">
        <v>30</v>
      </c>
      <c r="J10168" t="s">
        <v>41</v>
      </c>
      <c r="K10168" t="s">
        <v>1032</v>
      </c>
      <c r="Q10168">
        <v>0</v>
      </c>
      <c r="R10168">
        <v>150</v>
      </c>
      <c r="S10168">
        <v>150</v>
      </c>
      <c r="T10168" t="s">
        <v>38031</v>
      </c>
    </row>
    <row r="10169" spans="1:20" customFormat="1" ht="15" x14ac:dyDescent="0.25">
      <c r="A10169" t="s">
        <v>35</v>
      </c>
      <c r="B10169" t="s">
        <v>61</v>
      </c>
      <c r="C10169" t="str">
        <f>"A0123242"</f>
        <v>A0123242</v>
      </c>
      <c r="D10169" t="s">
        <v>38032</v>
      </c>
      <c r="E10169" t="s">
        <v>38033</v>
      </c>
      <c r="F10169" t="s">
        <v>38034</v>
      </c>
      <c r="G10169" t="s">
        <v>214</v>
      </c>
      <c r="H10169">
        <v>28501</v>
      </c>
      <c r="I10169" t="s">
        <v>30</v>
      </c>
      <c r="J10169" t="s">
        <v>41</v>
      </c>
      <c r="K10169" t="s">
        <v>290</v>
      </c>
      <c r="Q10169">
        <v>0</v>
      </c>
      <c r="R10169">
        <v>0</v>
      </c>
      <c r="S10169">
        <v>0</v>
      </c>
      <c r="T10169" t="s">
        <v>38035</v>
      </c>
    </row>
    <row r="10170" spans="1:20" customFormat="1" ht="15" x14ac:dyDescent="0.25">
      <c r="A10170" t="s">
        <v>35</v>
      </c>
      <c r="B10170" t="s">
        <v>61</v>
      </c>
      <c r="C10170" t="str">
        <f>"A0123243"</f>
        <v>A0123243</v>
      </c>
      <c r="D10170" t="s">
        <v>38036</v>
      </c>
      <c r="E10170" t="s">
        <v>38037</v>
      </c>
      <c r="F10170" t="s">
        <v>38038</v>
      </c>
      <c r="G10170" t="s">
        <v>214</v>
      </c>
      <c r="H10170">
        <v>28513</v>
      </c>
      <c r="I10170" t="s">
        <v>30</v>
      </c>
      <c r="J10170" t="s">
        <v>41</v>
      </c>
      <c r="K10170" t="s">
        <v>229</v>
      </c>
      <c r="Q10170">
        <v>0</v>
      </c>
      <c r="R10170">
        <v>65</v>
      </c>
      <c r="S10170">
        <v>65</v>
      </c>
      <c r="T10170" t="s">
        <v>38039</v>
      </c>
    </row>
    <row r="10171" spans="1:20" customFormat="1" ht="15" x14ac:dyDescent="0.25">
      <c r="A10171" t="s">
        <v>35</v>
      </c>
      <c r="B10171" t="s">
        <v>61</v>
      </c>
      <c r="C10171" t="str">
        <f>"A0123244"</f>
        <v>A0123244</v>
      </c>
      <c r="D10171" t="s">
        <v>38040</v>
      </c>
      <c r="E10171" t="s">
        <v>38041</v>
      </c>
      <c r="F10171" t="s">
        <v>22478</v>
      </c>
      <c r="G10171" t="s">
        <v>214</v>
      </c>
      <c r="H10171">
        <v>27517</v>
      </c>
      <c r="I10171" t="s">
        <v>30</v>
      </c>
      <c r="J10171" t="s">
        <v>41</v>
      </c>
      <c r="K10171" t="s">
        <v>229</v>
      </c>
      <c r="Q10171">
        <v>0</v>
      </c>
      <c r="R10171">
        <v>140</v>
      </c>
      <c r="S10171">
        <v>140</v>
      </c>
      <c r="T10171" t="s">
        <v>38042</v>
      </c>
    </row>
    <row r="10172" spans="1:20" customFormat="1" ht="15" x14ac:dyDescent="0.25">
      <c r="A10172" t="s">
        <v>35</v>
      </c>
      <c r="B10172" t="s">
        <v>61</v>
      </c>
      <c r="C10172" t="str">
        <f>"A0123245"</f>
        <v>A0123245</v>
      </c>
      <c r="D10172" t="s">
        <v>38043</v>
      </c>
      <c r="E10172" t="s">
        <v>38044</v>
      </c>
      <c r="F10172" t="s">
        <v>38045</v>
      </c>
      <c r="G10172" t="s">
        <v>214</v>
      </c>
      <c r="H10172">
        <v>27932</v>
      </c>
      <c r="I10172" t="s">
        <v>30</v>
      </c>
      <c r="J10172" t="s">
        <v>41</v>
      </c>
      <c r="K10172" t="s">
        <v>229</v>
      </c>
      <c r="Q10172">
        <v>0</v>
      </c>
      <c r="R10172">
        <v>160</v>
      </c>
      <c r="S10172">
        <v>160</v>
      </c>
      <c r="T10172" t="s">
        <v>38046</v>
      </c>
    </row>
    <row r="10173" spans="1:20" customFormat="1" ht="15" x14ac:dyDescent="0.25">
      <c r="A10173" t="s">
        <v>35</v>
      </c>
      <c r="B10173" t="s">
        <v>61</v>
      </c>
      <c r="C10173" t="str">
        <f>"A0123246"</f>
        <v>A0123246</v>
      </c>
      <c r="D10173" t="s">
        <v>38047</v>
      </c>
      <c r="E10173" t="s">
        <v>38048</v>
      </c>
      <c r="F10173" t="s">
        <v>29795</v>
      </c>
      <c r="G10173" t="s">
        <v>214</v>
      </c>
      <c r="H10173">
        <v>27823</v>
      </c>
      <c r="I10173" t="s">
        <v>30</v>
      </c>
      <c r="J10173" t="s">
        <v>41</v>
      </c>
      <c r="K10173" t="s">
        <v>229</v>
      </c>
      <c r="Q10173">
        <v>0</v>
      </c>
      <c r="R10173">
        <v>63</v>
      </c>
      <c r="S10173">
        <v>63</v>
      </c>
      <c r="T10173" t="s">
        <v>38049</v>
      </c>
    </row>
    <row r="10174" spans="1:20" customFormat="1" ht="15" x14ac:dyDescent="0.25">
      <c r="A10174" t="s">
        <v>35</v>
      </c>
      <c r="B10174" t="s">
        <v>61</v>
      </c>
      <c r="C10174" t="str">
        <f>"A0123247"</f>
        <v>A0123247</v>
      </c>
      <c r="D10174" t="s">
        <v>38050</v>
      </c>
      <c r="E10174" t="s">
        <v>38051</v>
      </c>
      <c r="F10174" t="s">
        <v>38052</v>
      </c>
      <c r="G10174" t="s">
        <v>214</v>
      </c>
      <c r="H10174">
        <v>27532</v>
      </c>
      <c r="I10174" t="s">
        <v>30</v>
      </c>
      <c r="J10174" t="s">
        <v>41</v>
      </c>
      <c r="K10174" t="s">
        <v>229</v>
      </c>
      <c r="Q10174">
        <v>0</v>
      </c>
      <c r="R10174">
        <v>200</v>
      </c>
      <c r="S10174">
        <v>200</v>
      </c>
      <c r="T10174" t="s">
        <v>38053</v>
      </c>
    </row>
    <row r="10175" spans="1:20" customFormat="1" ht="15" x14ac:dyDescent="0.25">
      <c r="A10175" t="s">
        <v>35</v>
      </c>
      <c r="B10175" t="s">
        <v>61</v>
      </c>
      <c r="C10175" t="str">
        <f>"A0123248"</f>
        <v>A0123248</v>
      </c>
      <c r="D10175" t="s">
        <v>38054</v>
      </c>
      <c r="E10175" t="s">
        <v>38055</v>
      </c>
      <c r="F10175" t="s">
        <v>38056</v>
      </c>
      <c r="G10175" t="s">
        <v>214</v>
      </c>
      <c r="H10175">
        <v>28532</v>
      </c>
      <c r="I10175" t="s">
        <v>30</v>
      </c>
      <c r="J10175" t="s">
        <v>41</v>
      </c>
      <c r="K10175" t="s">
        <v>229</v>
      </c>
      <c r="Q10175">
        <v>0</v>
      </c>
      <c r="R10175">
        <v>70</v>
      </c>
      <c r="S10175">
        <v>70</v>
      </c>
      <c r="T10175" t="s">
        <v>38057</v>
      </c>
    </row>
    <row r="10176" spans="1:20" customFormat="1" ht="15" x14ac:dyDescent="0.25">
      <c r="A10176" t="s">
        <v>35</v>
      </c>
      <c r="B10176" t="s">
        <v>61</v>
      </c>
      <c r="C10176" t="str">
        <f>"A0123249"</f>
        <v>A0123249</v>
      </c>
      <c r="D10176" t="s">
        <v>38058</v>
      </c>
      <c r="E10176" t="s">
        <v>38059</v>
      </c>
      <c r="F10176" t="s">
        <v>1783</v>
      </c>
      <c r="G10176" t="s">
        <v>214</v>
      </c>
      <c r="H10176">
        <v>27536</v>
      </c>
      <c r="I10176" t="s">
        <v>30</v>
      </c>
      <c r="J10176" t="s">
        <v>41</v>
      </c>
      <c r="K10176" t="s">
        <v>229</v>
      </c>
      <c r="Q10176">
        <v>0</v>
      </c>
      <c r="R10176">
        <v>115</v>
      </c>
      <c r="S10176">
        <v>115</v>
      </c>
      <c r="T10176" t="s">
        <v>38060</v>
      </c>
    </row>
    <row r="10177" spans="1:20" customFormat="1" ht="15" x14ac:dyDescent="0.25">
      <c r="A10177" t="s">
        <v>35</v>
      </c>
      <c r="B10177" t="s">
        <v>61</v>
      </c>
      <c r="C10177" t="str">
        <f>"A0123250"</f>
        <v>A0123250</v>
      </c>
      <c r="D10177" t="s">
        <v>38061</v>
      </c>
      <c r="E10177" t="s">
        <v>38062</v>
      </c>
      <c r="F10177" t="s">
        <v>4645</v>
      </c>
      <c r="G10177" t="s">
        <v>214</v>
      </c>
      <c r="H10177">
        <v>28546</v>
      </c>
      <c r="I10177" t="s">
        <v>30</v>
      </c>
      <c r="J10177" t="s">
        <v>41</v>
      </c>
      <c r="K10177" t="s">
        <v>229</v>
      </c>
      <c r="Q10177">
        <v>0</v>
      </c>
      <c r="R10177">
        <v>246</v>
      </c>
      <c r="S10177">
        <v>246</v>
      </c>
      <c r="T10177" t="s">
        <v>38063</v>
      </c>
    </row>
    <row r="10178" spans="1:20" customFormat="1" ht="15" x14ac:dyDescent="0.25">
      <c r="A10178" t="s">
        <v>35</v>
      </c>
      <c r="B10178" t="s">
        <v>61</v>
      </c>
      <c r="C10178" t="str">
        <f>"A0123251"</f>
        <v>A0123251</v>
      </c>
      <c r="D10178" t="s">
        <v>38064</v>
      </c>
      <c r="E10178" t="s">
        <v>38065</v>
      </c>
      <c r="F10178" t="s">
        <v>38066</v>
      </c>
      <c r="G10178" t="s">
        <v>29</v>
      </c>
      <c r="H10178">
        <v>239470719</v>
      </c>
      <c r="I10178" t="s">
        <v>30</v>
      </c>
      <c r="J10178" t="s">
        <v>41</v>
      </c>
      <c r="K10178" t="s">
        <v>229</v>
      </c>
      <c r="Q10178">
        <v>0</v>
      </c>
      <c r="R10178">
        <v>60</v>
      </c>
      <c r="S10178">
        <v>60</v>
      </c>
      <c r="T10178" t="s">
        <v>38067</v>
      </c>
    </row>
    <row r="10179" spans="1:20" customFormat="1" ht="15" x14ac:dyDescent="0.25">
      <c r="A10179" t="s">
        <v>35</v>
      </c>
      <c r="B10179" t="s">
        <v>61</v>
      </c>
      <c r="C10179" t="str">
        <f>"A0123252"</f>
        <v>A0123252</v>
      </c>
      <c r="D10179" t="s">
        <v>38068</v>
      </c>
      <c r="E10179" t="s">
        <v>38069</v>
      </c>
      <c r="F10179" t="s">
        <v>38034</v>
      </c>
      <c r="G10179" t="s">
        <v>214</v>
      </c>
      <c r="H10179">
        <v>28502</v>
      </c>
      <c r="I10179" t="s">
        <v>30</v>
      </c>
      <c r="J10179" t="s">
        <v>41</v>
      </c>
      <c r="K10179" t="s">
        <v>229</v>
      </c>
      <c r="Q10179">
        <v>0</v>
      </c>
      <c r="R10179">
        <v>192</v>
      </c>
      <c r="S10179">
        <v>192</v>
      </c>
      <c r="T10179" t="s">
        <v>38070</v>
      </c>
    </row>
    <row r="10180" spans="1:20" customFormat="1" ht="15" x14ac:dyDescent="0.25">
      <c r="A10180" t="s">
        <v>35</v>
      </c>
      <c r="B10180" t="s">
        <v>61</v>
      </c>
      <c r="C10180" t="str">
        <f>"A0123253"</f>
        <v>A0123253</v>
      </c>
      <c r="D10180" t="s">
        <v>38071</v>
      </c>
      <c r="E10180" t="s">
        <v>38072</v>
      </c>
      <c r="F10180" t="s">
        <v>16935</v>
      </c>
      <c r="G10180" t="s">
        <v>214</v>
      </c>
      <c r="H10180">
        <v>28551</v>
      </c>
      <c r="I10180" t="s">
        <v>30</v>
      </c>
      <c r="J10180" t="s">
        <v>41</v>
      </c>
      <c r="K10180" t="s">
        <v>229</v>
      </c>
      <c r="Q10180">
        <v>0</v>
      </c>
      <c r="R10180">
        <v>37</v>
      </c>
      <c r="S10180">
        <v>37</v>
      </c>
      <c r="T10180" t="s">
        <v>38073</v>
      </c>
    </row>
    <row r="10181" spans="1:20" customFormat="1" ht="15" x14ac:dyDescent="0.25">
      <c r="A10181" t="s">
        <v>35</v>
      </c>
      <c r="B10181" t="s">
        <v>61</v>
      </c>
      <c r="C10181" t="str">
        <f>"A0123254"</f>
        <v>A0123254</v>
      </c>
      <c r="D10181" t="s">
        <v>38074</v>
      </c>
      <c r="E10181" t="s">
        <v>38075</v>
      </c>
      <c r="F10181" t="s">
        <v>38076</v>
      </c>
      <c r="G10181" t="s">
        <v>214</v>
      </c>
      <c r="H10181">
        <v>27549</v>
      </c>
      <c r="I10181" t="s">
        <v>30</v>
      </c>
      <c r="J10181" t="s">
        <v>41</v>
      </c>
      <c r="K10181" t="s">
        <v>229</v>
      </c>
      <c r="Q10181">
        <v>0</v>
      </c>
      <c r="R10181">
        <v>176</v>
      </c>
      <c r="S10181">
        <v>176</v>
      </c>
      <c r="T10181" t="s">
        <v>38077</v>
      </c>
    </row>
    <row r="10182" spans="1:20" customFormat="1" ht="15" x14ac:dyDescent="0.25">
      <c r="A10182" t="s">
        <v>35</v>
      </c>
      <c r="B10182" t="s">
        <v>61</v>
      </c>
      <c r="C10182" t="str">
        <f>"A0123255"</f>
        <v>A0123255</v>
      </c>
      <c r="D10182" t="s">
        <v>38078</v>
      </c>
      <c r="E10182" t="s">
        <v>38079</v>
      </c>
      <c r="F10182" t="s">
        <v>37361</v>
      </c>
      <c r="G10182" t="s">
        <v>214</v>
      </c>
      <c r="H10182">
        <v>285643397</v>
      </c>
      <c r="I10182" t="s">
        <v>30</v>
      </c>
      <c r="J10182" t="s">
        <v>41</v>
      </c>
      <c r="K10182" t="s">
        <v>229</v>
      </c>
      <c r="Q10182">
        <v>0</v>
      </c>
      <c r="R10182">
        <v>123</v>
      </c>
      <c r="S10182">
        <v>123</v>
      </c>
      <c r="T10182" t="s">
        <v>38080</v>
      </c>
    </row>
    <row r="10183" spans="1:20" customFormat="1" ht="15" x14ac:dyDescent="0.25">
      <c r="A10183" t="s">
        <v>35</v>
      </c>
      <c r="B10183" t="s">
        <v>61</v>
      </c>
      <c r="C10183" t="str">
        <f>"A0123256"</f>
        <v>A0123256</v>
      </c>
      <c r="D10183" t="s">
        <v>38081</v>
      </c>
      <c r="E10183" t="s">
        <v>38082</v>
      </c>
      <c r="F10183" t="s">
        <v>14097</v>
      </c>
      <c r="G10183" t="s">
        <v>214</v>
      </c>
      <c r="H10183">
        <v>28570</v>
      </c>
      <c r="I10183" t="s">
        <v>30</v>
      </c>
      <c r="J10183" t="s">
        <v>41</v>
      </c>
      <c r="K10183" t="s">
        <v>229</v>
      </c>
      <c r="Q10183">
        <v>0</v>
      </c>
      <c r="R10183">
        <v>64</v>
      </c>
      <c r="S10183">
        <v>64</v>
      </c>
      <c r="T10183" t="s">
        <v>38083</v>
      </c>
    </row>
    <row r="10184" spans="1:20" customFormat="1" ht="15" x14ac:dyDescent="0.25">
      <c r="A10184" t="s">
        <v>35</v>
      </c>
      <c r="B10184" t="s">
        <v>61</v>
      </c>
      <c r="C10184" t="str">
        <f>"A0123257"</f>
        <v>A0123257</v>
      </c>
      <c r="D10184" t="s">
        <v>38084</v>
      </c>
      <c r="E10184" t="s">
        <v>38085</v>
      </c>
      <c r="F10184" t="s">
        <v>4645</v>
      </c>
      <c r="G10184" t="s">
        <v>214</v>
      </c>
      <c r="H10184">
        <v>28540</v>
      </c>
      <c r="I10184" t="s">
        <v>30</v>
      </c>
      <c r="J10184" t="s">
        <v>41</v>
      </c>
      <c r="K10184" t="s">
        <v>229</v>
      </c>
      <c r="Q10184">
        <v>0</v>
      </c>
      <c r="R10184">
        <v>120</v>
      </c>
      <c r="S10184">
        <v>120</v>
      </c>
      <c r="T10184" t="s">
        <v>38086</v>
      </c>
    </row>
    <row r="10185" spans="1:20" customFormat="1" ht="15" x14ac:dyDescent="0.25">
      <c r="A10185" t="s">
        <v>35</v>
      </c>
      <c r="B10185" t="s">
        <v>61</v>
      </c>
      <c r="C10185" t="str">
        <f>"A0123258"</f>
        <v>A0123258</v>
      </c>
      <c r="D10185" t="s">
        <v>38087</v>
      </c>
      <c r="E10185" t="s">
        <v>38088</v>
      </c>
      <c r="F10185" t="s">
        <v>38089</v>
      </c>
      <c r="G10185" t="s">
        <v>214</v>
      </c>
      <c r="H10185">
        <v>28529</v>
      </c>
      <c r="I10185" t="s">
        <v>30</v>
      </c>
      <c r="J10185" t="s">
        <v>41</v>
      </c>
      <c r="K10185" t="s">
        <v>229</v>
      </c>
      <c r="Q10185">
        <v>0</v>
      </c>
      <c r="R10185">
        <v>104</v>
      </c>
      <c r="S10185">
        <v>104</v>
      </c>
      <c r="T10185" t="s">
        <v>38090</v>
      </c>
    </row>
    <row r="10186" spans="1:20" customFormat="1" ht="15" x14ac:dyDescent="0.25">
      <c r="A10186" t="s">
        <v>35</v>
      </c>
      <c r="B10186" t="s">
        <v>61</v>
      </c>
      <c r="C10186" t="str">
        <f>"A0123259"</f>
        <v>A0123259</v>
      </c>
      <c r="D10186" t="s">
        <v>38091</v>
      </c>
      <c r="E10186" t="s">
        <v>38092</v>
      </c>
      <c r="F10186" t="s">
        <v>37043</v>
      </c>
      <c r="G10186" t="s">
        <v>214</v>
      </c>
      <c r="H10186">
        <v>27577</v>
      </c>
      <c r="I10186" t="s">
        <v>30</v>
      </c>
      <c r="J10186" t="s">
        <v>41</v>
      </c>
      <c r="K10186" t="s">
        <v>229</v>
      </c>
      <c r="Q10186">
        <v>0</v>
      </c>
      <c r="R10186">
        <v>180</v>
      </c>
      <c r="S10186">
        <v>180</v>
      </c>
      <c r="T10186" t="s">
        <v>38093</v>
      </c>
    </row>
    <row r="10187" spans="1:20" customFormat="1" ht="15" x14ac:dyDescent="0.25">
      <c r="A10187" t="s">
        <v>35</v>
      </c>
      <c r="B10187" t="s">
        <v>61</v>
      </c>
      <c r="C10187" t="str">
        <f>"A0123260"</f>
        <v>A0123260</v>
      </c>
      <c r="D10187" t="s">
        <v>38094</v>
      </c>
      <c r="E10187" t="s">
        <v>38095</v>
      </c>
      <c r="F10187" t="s">
        <v>38096</v>
      </c>
      <c r="G10187" t="s">
        <v>214</v>
      </c>
      <c r="H10187">
        <v>285802099</v>
      </c>
      <c r="I10187" t="s">
        <v>30</v>
      </c>
      <c r="J10187" t="s">
        <v>41</v>
      </c>
      <c r="K10187" t="s">
        <v>229</v>
      </c>
      <c r="Q10187">
        <v>0</v>
      </c>
      <c r="R10187">
        <v>132</v>
      </c>
      <c r="S10187">
        <v>132</v>
      </c>
      <c r="T10187" t="s">
        <v>38097</v>
      </c>
    </row>
    <row r="10188" spans="1:20" customFormat="1" ht="15" x14ac:dyDescent="0.25">
      <c r="A10188" t="s">
        <v>35</v>
      </c>
      <c r="B10188" t="s">
        <v>61</v>
      </c>
      <c r="C10188" t="str">
        <f>"A0123261"</f>
        <v>A0123261</v>
      </c>
      <c r="D10188" t="s">
        <v>38098</v>
      </c>
      <c r="E10188" t="s">
        <v>38099</v>
      </c>
      <c r="F10188" t="s">
        <v>38100</v>
      </c>
      <c r="G10188" t="s">
        <v>214</v>
      </c>
      <c r="H10188">
        <v>27886</v>
      </c>
      <c r="I10188" t="s">
        <v>30</v>
      </c>
      <c r="J10188" t="s">
        <v>41</v>
      </c>
      <c r="K10188" t="s">
        <v>229</v>
      </c>
      <c r="Q10188">
        <v>0</v>
      </c>
      <c r="R10188">
        <v>130</v>
      </c>
      <c r="S10188">
        <v>130</v>
      </c>
      <c r="T10188" t="s">
        <v>38101</v>
      </c>
    </row>
    <row r="10189" spans="1:20" customFormat="1" ht="15" x14ac:dyDescent="0.25">
      <c r="A10189" t="s">
        <v>35</v>
      </c>
      <c r="B10189" t="s">
        <v>61</v>
      </c>
      <c r="C10189" t="str">
        <f>"A0123262"</f>
        <v>A0123262</v>
      </c>
      <c r="D10189" t="s">
        <v>38102</v>
      </c>
      <c r="E10189" t="s">
        <v>38103</v>
      </c>
      <c r="F10189" t="s">
        <v>4674</v>
      </c>
      <c r="G10189" t="s">
        <v>214</v>
      </c>
      <c r="H10189">
        <v>27889</v>
      </c>
      <c r="I10189" t="s">
        <v>30</v>
      </c>
      <c r="J10189" t="s">
        <v>41</v>
      </c>
      <c r="K10189" t="s">
        <v>229</v>
      </c>
      <c r="Q10189">
        <v>0</v>
      </c>
      <c r="R10189">
        <v>150</v>
      </c>
      <c r="S10189">
        <v>150</v>
      </c>
      <c r="T10189" t="s">
        <v>38104</v>
      </c>
    </row>
    <row r="10190" spans="1:20" customFormat="1" ht="15" x14ac:dyDescent="0.25">
      <c r="A10190" t="s">
        <v>35</v>
      </c>
      <c r="B10190" t="s">
        <v>61</v>
      </c>
      <c r="C10190" t="str">
        <f>"A0123263"</f>
        <v>A0123263</v>
      </c>
      <c r="D10190" t="s">
        <v>38105</v>
      </c>
      <c r="E10190" t="s">
        <v>38106</v>
      </c>
      <c r="F10190" t="s">
        <v>38107</v>
      </c>
      <c r="G10190" t="s">
        <v>214</v>
      </c>
      <c r="H10190">
        <v>27892</v>
      </c>
      <c r="I10190" t="s">
        <v>30</v>
      </c>
      <c r="J10190" t="s">
        <v>41</v>
      </c>
      <c r="K10190" t="s">
        <v>229</v>
      </c>
      <c r="Q10190">
        <v>0</v>
      </c>
      <c r="R10190">
        <v>154</v>
      </c>
      <c r="S10190">
        <v>154</v>
      </c>
      <c r="T10190" t="s">
        <v>38108</v>
      </c>
    </row>
    <row r="10191" spans="1:20" customFormat="1" ht="15" x14ac:dyDescent="0.25">
      <c r="A10191" t="s">
        <v>35</v>
      </c>
      <c r="B10191" t="s">
        <v>61</v>
      </c>
      <c r="C10191" t="str">
        <f>"A0123264"</f>
        <v>A0123264</v>
      </c>
      <c r="D10191" t="s">
        <v>38109</v>
      </c>
      <c r="E10191" t="s">
        <v>38110</v>
      </c>
      <c r="F10191" t="s">
        <v>15693</v>
      </c>
      <c r="G10191" t="s">
        <v>214</v>
      </c>
      <c r="H10191">
        <v>27893</v>
      </c>
      <c r="I10191" t="s">
        <v>30</v>
      </c>
      <c r="J10191" t="s">
        <v>41</v>
      </c>
      <c r="K10191" t="s">
        <v>229</v>
      </c>
      <c r="Q10191">
        <v>0</v>
      </c>
      <c r="R10191">
        <v>125</v>
      </c>
      <c r="S10191">
        <v>125</v>
      </c>
      <c r="T10191" t="s">
        <v>38111</v>
      </c>
    </row>
    <row r="10192" spans="1:20" customFormat="1" ht="15" x14ac:dyDescent="0.25">
      <c r="A10192" t="s">
        <v>35</v>
      </c>
      <c r="B10192" t="s">
        <v>61</v>
      </c>
      <c r="C10192" t="str">
        <f>"A0127546"</f>
        <v>A0127546</v>
      </c>
      <c r="D10192" t="s">
        <v>38112</v>
      </c>
      <c r="E10192" t="s">
        <v>38113</v>
      </c>
      <c r="F10192" t="s">
        <v>18387</v>
      </c>
      <c r="G10192" t="s">
        <v>123</v>
      </c>
      <c r="H10192">
        <v>21030</v>
      </c>
      <c r="I10192" t="s">
        <v>30</v>
      </c>
      <c r="J10192" t="s">
        <v>41</v>
      </c>
      <c r="K10192" t="s">
        <v>229</v>
      </c>
      <c r="Q10192">
        <v>0</v>
      </c>
      <c r="R10192">
        <v>300</v>
      </c>
      <c r="S10192">
        <v>300</v>
      </c>
      <c r="T10192" t="s">
        <v>38114</v>
      </c>
    </row>
    <row r="10193" spans="1:20" customFormat="1" ht="15" x14ac:dyDescent="0.25">
      <c r="A10193" t="s">
        <v>35</v>
      </c>
      <c r="B10193" t="s">
        <v>61</v>
      </c>
      <c r="C10193" t="str">
        <f>"A0125246"</f>
        <v>A0125246</v>
      </c>
      <c r="D10193" t="s">
        <v>38115</v>
      </c>
      <c r="E10193" t="s">
        <v>38116</v>
      </c>
      <c r="F10193" t="s">
        <v>1689</v>
      </c>
      <c r="G10193" t="s">
        <v>40</v>
      </c>
      <c r="H10193">
        <v>73051</v>
      </c>
      <c r="I10193" t="s">
        <v>30</v>
      </c>
      <c r="J10193" t="s">
        <v>41</v>
      </c>
      <c r="K10193" t="s">
        <v>229</v>
      </c>
      <c r="Q10193">
        <v>0</v>
      </c>
      <c r="R10193">
        <v>101</v>
      </c>
      <c r="S10193">
        <v>101</v>
      </c>
      <c r="T10193" t="s">
        <v>38117</v>
      </c>
    </row>
    <row r="10194" spans="1:20" customFormat="1" ht="15" x14ac:dyDescent="0.25">
      <c r="A10194" t="s">
        <v>35</v>
      </c>
      <c r="B10194" t="s">
        <v>61</v>
      </c>
      <c r="C10194" t="str">
        <f>"A0128690"</f>
        <v>A0128690</v>
      </c>
      <c r="D10194" t="s">
        <v>38118</v>
      </c>
      <c r="E10194" t="s">
        <v>38119</v>
      </c>
      <c r="F10194" t="s">
        <v>7095</v>
      </c>
      <c r="G10194" t="s">
        <v>1170</v>
      </c>
      <c r="H10194">
        <v>70118</v>
      </c>
      <c r="I10194" t="s">
        <v>30</v>
      </c>
      <c r="J10194" t="s">
        <v>41</v>
      </c>
      <c r="K10194" t="s">
        <v>229</v>
      </c>
      <c r="Q10194">
        <v>0</v>
      </c>
      <c r="R10194">
        <v>39</v>
      </c>
      <c r="S10194">
        <v>39</v>
      </c>
      <c r="T10194" t="s">
        <v>38120</v>
      </c>
    </row>
    <row r="10195" spans="1:20" customFormat="1" ht="15" x14ac:dyDescent="0.25">
      <c r="A10195" t="s">
        <v>35</v>
      </c>
      <c r="B10195" t="s">
        <v>437</v>
      </c>
      <c r="C10195" t="str">
        <f>"A0134011"</f>
        <v>A0134011</v>
      </c>
      <c r="D10195" t="s">
        <v>38121</v>
      </c>
      <c r="E10195" t="s">
        <v>38122</v>
      </c>
      <c r="F10195" t="s">
        <v>8348</v>
      </c>
      <c r="G10195" t="s">
        <v>40</v>
      </c>
      <c r="H10195">
        <v>74145</v>
      </c>
      <c r="I10195" t="s">
        <v>30</v>
      </c>
      <c r="J10195" t="s">
        <v>441</v>
      </c>
      <c r="K10195" t="s">
        <v>442</v>
      </c>
      <c r="Q10195">
        <v>0</v>
      </c>
      <c r="R10195">
        <v>0</v>
      </c>
      <c r="S10195">
        <v>0</v>
      </c>
      <c r="T10195" t="s">
        <v>38123</v>
      </c>
    </row>
    <row r="10196" spans="1:20" customFormat="1" ht="15" x14ac:dyDescent="0.25">
      <c r="A10196" t="s">
        <v>35</v>
      </c>
      <c r="B10196" t="s">
        <v>61</v>
      </c>
      <c r="C10196" t="str">
        <f>"A0125333"</f>
        <v>A0125333</v>
      </c>
      <c r="D10196" t="s">
        <v>38124</v>
      </c>
      <c r="E10196" t="s">
        <v>38125</v>
      </c>
      <c r="F10196" t="s">
        <v>38126</v>
      </c>
      <c r="G10196" t="s">
        <v>40</v>
      </c>
      <c r="H10196">
        <v>74728</v>
      </c>
      <c r="I10196" t="s">
        <v>30</v>
      </c>
      <c r="J10196" t="s">
        <v>41</v>
      </c>
      <c r="K10196" t="s">
        <v>229</v>
      </c>
      <c r="Q10196">
        <v>0</v>
      </c>
      <c r="R10196">
        <v>80</v>
      </c>
      <c r="S10196">
        <v>80</v>
      </c>
      <c r="T10196" t="s">
        <v>38127</v>
      </c>
    </row>
    <row r="10197" spans="1:20" customFormat="1" ht="15" x14ac:dyDescent="0.25">
      <c r="A10197" t="s">
        <v>35</v>
      </c>
      <c r="B10197" t="s">
        <v>61</v>
      </c>
      <c r="C10197" t="str">
        <f>"A0127694"</f>
        <v>A0127694</v>
      </c>
      <c r="D10197" t="s">
        <v>38128</v>
      </c>
      <c r="E10197" t="s">
        <v>38129</v>
      </c>
      <c r="F10197" t="s">
        <v>38130</v>
      </c>
      <c r="G10197" t="s">
        <v>117</v>
      </c>
      <c r="H10197">
        <v>49071</v>
      </c>
      <c r="I10197" t="s">
        <v>30</v>
      </c>
      <c r="J10197" t="s">
        <v>41</v>
      </c>
      <c r="K10197" t="s">
        <v>59</v>
      </c>
      <c r="Q10197">
        <v>0</v>
      </c>
      <c r="R10197">
        <v>40</v>
      </c>
      <c r="S10197">
        <v>40</v>
      </c>
      <c r="T10197" t="s">
        <v>38131</v>
      </c>
    </row>
    <row r="10198" spans="1:20" customFormat="1" ht="15" x14ac:dyDescent="0.25">
      <c r="A10198" t="s">
        <v>35</v>
      </c>
      <c r="B10198" t="s">
        <v>61</v>
      </c>
      <c r="C10198" t="str">
        <f>"A0125871"</f>
        <v>A0125871</v>
      </c>
      <c r="D10198" t="s">
        <v>38132</v>
      </c>
      <c r="E10198" t="s">
        <v>38133</v>
      </c>
      <c r="F10198" t="s">
        <v>1795</v>
      </c>
      <c r="G10198" t="s">
        <v>29</v>
      </c>
      <c r="H10198">
        <v>23222</v>
      </c>
      <c r="I10198" t="s">
        <v>30</v>
      </c>
      <c r="J10198" t="s">
        <v>41</v>
      </c>
      <c r="K10198" t="s">
        <v>482</v>
      </c>
      <c r="Q10198">
        <v>0</v>
      </c>
      <c r="R10198">
        <v>82</v>
      </c>
      <c r="S10198">
        <v>82</v>
      </c>
      <c r="T10198" t="s">
        <v>38134</v>
      </c>
    </row>
    <row r="10199" spans="1:20" customFormat="1" ht="15" x14ac:dyDescent="0.25">
      <c r="A10199" t="s">
        <v>35</v>
      </c>
      <c r="B10199" t="s">
        <v>61</v>
      </c>
      <c r="C10199" t="str">
        <f>"A0124803"</f>
        <v>A0124803</v>
      </c>
      <c r="D10199" t="s">
        <v>38135</v>
      </c>
      <c r="E10199" t="s">
        <v>38136</v>
      </c>
      <c r="F10199" t="s">
        <v>38137</v>
      </c>
      <c r="G10199" t="s">
        <v>214</v>
      </c>
      <c r="H10199">
        <v>28573</v>
      </c>
      <c r="I10199" t="s">
        <v>30</v>
      </c>
      <c r="J10199" t="s">
        <v>41</v>
      </c>
      <c r="K10199" t="s">
        <v>59</v>
      </c>
      <c r="Q10199">
        <v>0</v>
      </c>
      <c r="R10199">
        <v>100</v>
      </c>
      <c r="S10199">
        <v>100</v>
      </c>
      <c r="T10199" t="s">
        <v>38138</v>
      </c>
    </row>
    <row r="10200" spans="1:20" customFormat="1" ht="15" x14ac:dyDescent="0.25">
      <c r="A10200" t="s">
        <v>35</v>
      </c>
      <c r="B10200" t="s">
        <v>61</v>
      </c>
      <c r="C10200" t="str">
        <f>"A0126104"</f>
        <v>A0126104</v>
      </c>
      <c r="D10200" t="s">
        <v>38139</v>
      </c>
      <c r="E10200" t="s">
        <v>38140</v>
      </c>
      <c r="F10200" t="s">
        <v>6435</v>
      </c>
      <c r="G10200" t="s">
        <v>197</v>
      </c>
      <c r="H10200">
        <v>85206</v>
      </c>
      <c r="I10200" t="s">
        <v>30</v>
      </c>
      <c r="J10200" t="s">
        <v>41</v>
      </c>
      <c r="K10200" t="s">
        <v>59</v>
      </c>
      <c r="Q10200">
        <v>0</v>
      </c>
      <c r="R10200">
        <v>130</v>
      </c>
      <c r="S10200">
        <v>130</v>
      </c>
      <c r="T10200" t="s">
        <v>38141</v>
      </c>
    </row>
    <row r="10201" spans="1:20" customFormat="1" ht="15" x14ac:dyDescent="0.25">
      <c r="A10201" t="s">
        <v>35</v>
      </c>
      <c r="B10201" t="s">
        <v>61</v>
      </c>
      <c r="C10201" t="str">
        <f>"A0130873"</f>
        <v>A0130873</v>
      </c>
      <c r="D10201" t="s">
        <v>38142</v>
      </c>
      <c r="E10201" t="s">
        <v>38143</v>
      </c>
      <c r="F10201" t="s">
        <v>38144</v>
      </c>
      <c r="G10201" t="s">
        <v>137</v>
      </c>
      <c r="H10201">
        <v>657750000</v>
      </c>
      <c r="I10201" t="s">
        <v>30</v>
      </c>
      <c r="J10201" t="s">
        <v>41</v>
      </c>
      <c r="K10201" t="s">
        <v>229</v>
      </c>
      <c r="Q10201">
        <v>0</v>
      </c>
      <c r="R10201">
        <v>120</v>
      </c>
      <c r="S10201">
        <v>120</v>
      </c>
      <c r="T10201" t="s">
        <v>38145</v>
      </c>
    </row>
    <row r="10202" spans="1:20" customFormat="1" ht="15" x14ac:dyDescent="0.25">
      <c r="A10202" t="s">
        <v>35</v>
      </c>
      <c r="B10202" t="s">
        <v>61</v>
      </c>
      <c r="C10202" t="str">
        <f>"A0123265"</f>
        <v>A0123265</v>
      </c>
      <c r="D10202" t="s">
        <v>38146</v>
      </c>
      <c r="E10202" t="s">
        <v>38147</v>
      </c>
      <c r="F10202" t="s">
        <v>20695</v>
      </c>
      <c r="G10202" t="s">
        <v>29</v>
      </c>
      <c r="H10202">
        <v>225552440</v>
      </c>
      <c r="I10202" t="s">
        <v>30</v>
      </c>
      <c r="J10202" t="s">
        <v>41</v>
      </c>
      <c r="K10202" t="s">
        <v>229</v>
      </c>
      <c r="Q10202">
        <v>0</v>
      </c>
      <c r="R10202">
        <v>34</v>
      </c>
      <c r="S10202">
        <v>34</v>
      </c>
      <c r="T10202" t="s">
        <v>38148</v>
      </c>
    </row>
    <row r="10203" spans="1:20" customFormat="1" ht="15" x14ac:dyDescent="0.25">
      <c r="A10203" t="s">
        <v>35</v>
      </c>
      <c r="B10203" t="s">
        <v>61</v>
      </c>
      <c r="C10203" t="str">
        <f>"A0127861"</f>
        <v>A0127861</v>
      </c>
      <c r="D10203" t="s">
        <v>38149</v>
      </c>
      <c r="E10203" t="s">
        <v>38150</v>
      </c>
      <c r="F10203" t="s">
        <v>451</v>
      </c>
      <c r="G10203" t="s">
        <v>117</v>
      </c>
      <c r="H10203">
        <v>481030000</v>
      </c>
      <c r="I10203" t="s">
        <v>30</v>
      </c>
      <c r="J10203" t="s">
        <v>41</v>
      </c>
      <c r="K10203" t="s">
        <v>59</v>
      </c>
      <c r="Q10203">
        <v>0</v>
      </c>
      <c r="R10203">
        <v>140</v>
      </c>
      <c r="S10203">
        <v>140</v>
      </c>
      <c r="T10203" t="s">
        <v>38151</v>
      </c>
    </row>
    <row r="10204" spans="1:20" customFormat="1" ht="15" x14ac:dyDescent="0.25">
      <c r="A10204" t="s">
        <v>35</v>
      </c>
      <c r="B10204" t="s">
        <v>61</v>
      </c>
      <c r="C10204" t="str">
        <f>"A0130270"</f>
        <v>A0130270</v>
      </c>
      <c r="D10204" t="s">
        <v>38152</v>
      </c>
      <c r="E10204" t="s">
        <v>38153</v>
      </c>
      <c r="F10204" t="s">
        <v>4269</v>
      </c>
      <c r="G10204" t="s">
        <v>1898</v>
      </c>
      <c r="H10204">
        <v>52211</v>
      </c>
      <c r="I10204" t="s">
        <v>30</v>
      </c>
      <c r="J10204" t="s">
        <v>41</v>
      </c>
      <c r="K10204" t="s">
        <v>229</v>
      </c>
      <c r="Q10204">
        <v>0</v>
      </c>
      <c r="R10204">
        <v>60</v>
      </c>
      <c r="S10204">
        <v>60</v>
      </c>
      <c r="T10204" t="s">
        <v>38154</v>
      </c>
    </row>
    <row r="10205" spans="1:20" customFormat="1" ht="15" x14ac:dyDescent="0.25">
      <c r="A10205" t="s">
        <v>35</v>
      </c>
      <c r="B10205" t="s">
        <v>61</v>
      </c>
      <c r="C10205" t="str">
        <f>"A0123266"</f>
        <v>A0123266</v>
      </c>
      <c r="D10205" t="s">
        <v>38155</v>
      </c>
      <c r="E10205" t="s">
        <v>38156</v>
      </c>
      <c r="F10205" t="s">
        <v>38157</v>
      </c>
      <c r="G10205" t="s">
        <v>29</v>
      </c>
      <c r="H10205">
        <v>24162</v>
      </c>
      <c r="I10205" t="s">
        <v>30</v>
      </c>
      <c r="J10205" t="s">
        <v>41</v>
      </c>
      <c r="K10205" t="s">
        <v>482</v>
      </c>
      <c r="Q10205">
        <v>0</v>
      </c>
      <c r="R10205">
        <v>75</v>
      </c>
      <c r="S10205">
        <v>75</v>
      </c>
      <c r="T10205" t="s">
        <v>38158</v>
      </c>
    </row>
    <row r="10206" spans="1:20" customFormat="1" ht="15" x14ac:dyDescent="0.25">
      <c r="A10206" t="s">
        <v>35</v>
      </c>
      <c r="B10206" t="s">
        <v>61</v>
      </c>
      <c r="C10206" t="str">
        <f>"A0125297"</f>
        <v>A0125297</v>
      </c>
      <c r="D10206" t="s">
        <v>38159</v>
      </c>
      <c r="E10206" t="s">
        <v>38160</v>
      </c>
      <c r="F10206" t="s">
        <v>17235</v>
      </c>
      <c r="G10206" t="s">
        <v>40</v>
      </c>
      <c r="H10206">
        <v>73505</v>
      </c>
      <c r="I10206" t="s">
        <v>30</v>
      </c>
      <c r="J10206" t="s">
        <v>41</v>
      </c>
      <c r="K10206" t="s">
        <v>59</v>
      </c>
      <c r="Q10206">
        <v>0</v>
      </c>
      <c r="R10206">
        <v>73</v>
      </c>
      <c r="S10206">
        <v>73</v>
      </c>
      <c r="T10206" t="s">
        <v>38161</v>
      </c>
    </row>
    <row r="10207" spans="1:20" customFormat="1" ht="15" x14ac:dyDescent="0.25">
      <c r="A10207" t="s">
        <v>35</v>
      </c>
      <c r="B10207" t="s">
        <v>61</v>
      </c>
      <c r="C10207" t="str">
        <f>"A0124027"</f>
        <v>A0124027</v>
      </c>
      <c r="D10207" t="s">
        <v>38162</v>
      </c>
      <c r="E10207" t="s">
        <v>38163</v>
      </c>
      <c r="F10207" t="s">
        <v>8198</v>
      </c>
      <c r="G10207" t="s">
        <v>214</v>
      </c>
      <c r="H10207">
        <v>28801</v>
      </c>
      <c r="I10207" t="s">
        <v>30</v>
      </c>
      <c r="J10207" t="s">
        <v>41</v>
      </c>
      <c r="K10207" t="s">
        <v>482</v>
      </c>
      <c r="Q10207">
        <v>0</v>
      </c>
      <c r="R10207">
        <v>120</v>
      </c>
      <c r="S10207">
        <v>120</v>
      </c>
      <c r="T10207" t="s">
        <v>38164</v>
      </c>
    </row>
    <row r="10208" spans="1:20" customFormat="1" ht="15" x14ac:dyDescent="0.25">
      <c r="A10208" t="s">
        <v>35</v>
      </c>
      <c r="B10208" t="s">
        <v>61</v>
      </c>
      <c r="C10208" t="str">
        <f>"A0123681"</f>
        <v>A0123681</v>
      </c>
      <c r="D10208" t="s">
        <v>38165</v>
      </c>
      <c r="E10208" t="s">
        <v>38166</v>
      </c>
      <c r="F10208" t="s">
        <v>37962</v>
      </c>
      <c r="G10208" t="s">
        <v>214</v>
      </c>
      <c r="H10208">
        <v>27278</v>
      </c>
      <c r="I10208" t="s">
        <v>30</v>
      </c>
      <c r="J10208" t="s">
        <v>41</v>
      </c>
      <c r="K10208" t="s">
        <v>229</v>
      </c>
      <c r="Q10208">
        <v>0</v>
      </c>
      <c r="R10208">
        <v>1</v>
      </c>
      <c r="S10208">
        <v>1</v>
      </c>
      <c r="T10208" t="s">
        <v>38167</v>
      </c>
    </row>
    <row r="10209" spans="1:20" customFormat="1" ht="15" x14ac:dyDescent="0.25">
      <c r="A10209" t="s">
        <v>35</v>
      </c>
      <c r="B10209" t="s">
        <v>61</v>
      </c>
      <c r="C10209" t="str">
        <f>"A0123682"</f>
        <v>A0123682</v>
      </c>
      <c r="D10209" t="s">
        <v>38168</v>
      </c>
      <c r="E10209" t="s">
        <v>38169</v>
      </c>
      <c r="F10209" t="s">
        <v>37962</v>
      </c>
      <c r="G10209" t="s">
        <v>214</v>
      </c>
      <c r="H10209">
        <v>27278</v>
      </c>
      <c r="I10209" t="s">
        <v>30</v>
      </c>
      <c r="J10209" t="s">
        <v>41</v>
      </c>
      <c r="K10209" t="s">
        <v>229</v>
      </c>
      <c r="Q10209">
        <v>0</v>
      </c>
      <c r="R10209">
        <v>100</v>
      </c>
      <c r="S10209">
        <v>100</v>
      </c>
      <c r="T10209" t="s">
        <v>38167</v>
      </c>
    </row>
    <row r="10210" spans="1:20" customFormat="1" ht="15" x14ac:dyDescent="0.25">
      <c r="A10210" t="s">
        <v>35</v>
      </c>
      <c r="B10210" t="s">
        <v>61</v>
      </c>
      <c r="C10210" t="str">
        <f>"A0121333"</f>
        <v>A0121333</v>
      </c>
      <c r="D10210" t="s">
        <v>38170</v>
      </c>
      <c r="E10210" t="s">
        <v>38171</v>
      </c>
      <c r="F10210" t="s">
        <v>12384</v>
      </c>
      <c r="G10210" t="s">
        <v>190</v>
      </c>
      <c r="H10210">
        <v>80905</v>
      </c>
      <c r="I10210" t="s">
        <v>30</v>
      </c>
      <c r="J10210" t="s">
        <v>41</v>
      </c>
      <c r="K10210" t="s">
        <v>2477</v>
      </c>
      <c r="Q10210">
        <v>0</v>
      </c>
      <c r="R10210">
        <v>55</v>
      </c>
      <c r="S10210">
        <v>55</v>
      </c>
      <c r="T10210" t="s">
        <v>38172</v>
      </c>
    </row>
    <row r="10211" spans="1:20" customFormat="1" ht="15" x14ac:dyDescent="0.25">
      <c r="A10211" t="s">
        <v>35</v>
      </c>
      <c r="B10211" t="s">
        <v>106</v>
      </c>
      <c r="C10211" t="str">
        <f>"A0136594"</f>
        <v>A0136594</v>
      </c>
      <c r="D10211" t="s">
        <v>38173</v>
      </c>
      <c r="E10211" t="s">
        <v>38174</v>
      </c>
      <c r="F10211" t="s">
        <v>8703</v>
      </c>
      <c r="G10211" t="s">
        <v>137</v>
      </c>
      <c r="H10211">
        <v>64130</v>
      </c>
      <c r="I10211" t="s">
        <v>30</v>
      </c>
      <c r="J10211" t="s">
        <v>111</v>
      </c>
      <c r="K10211" t="s">
        <v>112</v>
      </c>
      <c r="Q10211">
        <v>0</v>
      </c>
      <c r="R10211">
        <v>0</v>
      </c>
      <c r="S10211">
        <v>0</v>
      </c>
      <c r="T10211" t="s">
        <v>38175</v>
      </c>
    </row>
    <row r="10212" spans="1:20" customFormat="1" ht="15" x14ac:dyDescent="0.25">
      <c r="A10212" t="s">
        <v>35</v>
      </c>
      <c r="B10212" t="s">
        <v>61</v>
      </c>
      <c r="C10212" t="str">
        <f>"A0125766"</f>
        <v>A0125766</v>
      </c>
      <c r="D10212" t="s">
        <v>38176</v>
      </c>
      <c r="E10212" t="s">
        <v>38177</v>
      </c>
      <c r="F10212" t="s">
        <v>2756</v>
      </c>
      <c r="G10212" t="s">
        <v>29</v>
      </c>
      <c r="H10212">
        <v>22186</v>
      </c>
      <c r="I10212" t="s">
        <v>30</v>
      </c>
      <c r="J10212" t="s">
        <v>41</v>
      </c>
      <c r="K10212" t="s">
        <v>229</v>
      </c>
      <c r="Q10212">
        <v>0</v>
      </c>
      <c r="R10212">
        <v>130</v>
      </c>
      <c r="S10212">
        <v>130</v>
      </c>
      <c r="T10212" t="s">
        <v>38178</v>
      </c>
    </row>
    <row r="10213" spans="1:20" customFormat="1" ht="15" x14ac:dyDescent="0.25">
      <c r="A10213" t="s">
        <v>35</v>
      </c>
      <c r="B10213" t="s">
        <v>61</v>
      </c>
      <c r="C10213" t="str">
        <f>"A0123683"</f>
        <v>A0123683</v>
      </c>
      <c r="D10213" t="s">
        <v>38179</v>
      </c>
      <c r="E10213" t="s">
        <v>38180</v>
      </c>
      <c r="F10213" t="s">
        <v>38181</v>
      </c>
      <c r="G10213" t="s">
        <v>214</v>
      </c>
      <c r="H10213">
        <v>27317</v>
      </c>
      <c r="I10213" t="s">
        <v>30</v>
      </c>
      <c r="J10213" t="s">
        <v>41</v>
      </c>
      <c r="K10213" t="s">
        <v>482</v>
      </c>
      <c r="Q10213">
        <v>0</v>
      </c>
      <c r="R10213">
        <v>60</v>
      </c>
      <c r="S10213">
        <v>60</v>
      </c>
      <c r="T10213" t="s">
        <v>38182</v>
      </c>
    </row>
    <row r="10214" spans="1:20" customFormat="1" ht="15" x14ac:dyDescent="0.25">
      <c r="A10214" t="s">
        <v>35</v>
      </c>
      <c r="B10214" t="s">
        <v>61</v>
      </c>
      <c r="C10214" t="str">
        <f>"A0124028"</f>
        <v>A0124028</v>
      </c>
      <c r="D10214" t="s">
        <v>38183</v>
      </c>
      <c r="E10214" t="s">
        <v>38184</v>
      </c>
      <c r="F10214" t="s">
        <v>1689</v>
      </c>
      <c r="G10214" t="s">
        <v>214</v>
      </c>
      <c r="H10214">
        <v>27295</v>
      </c>
      <c r="I10214" t="s">
        <v>30</v>
      </c>
      <c r="J10214" t="s">
        <v>41</v>
      </c>
      <c r="K10214" t="s">
        <v>482</v>
      </c>
      <c r="Q10214">
        <v>0</v>
      </c>
      <c r="R10214">
        <v>119</v>
      </c>
      <c r="S10214">
        <v>119</v>
      </c>
      <c r="T10214" t="s">
        <v>38185</v>
      </c>
    </row>
    <row r="10215" spans="1:20" customFormat="1" ht="15" x14ac:dyDescent="0.25">
      <c r="A10215" t="s">
        <v>35</v>
      </c>
      <c r="B10215" t="s">
        <v>61</v>
      </c>
      <c r="C10215" t="str">
        <f>"A0123685"</f>
        <v>A0123685</v>
      </c>
      <c r="D10215" t="s">
        <v>38186</v>
      </c>
      <c r="E10215" t="s">
        <v>38187</v>
      </c>
      <c r="F10215" t="s">
        <v>15663</v>
      </c>
      <c r="G10215" t="s">
        <v>214</v>
      </c>
      <c r="H10215">
        <v>27012</v>
      </c>
      <c r="I10215" t="s">
        <v>30</v>
      </c>
      <c r="J10215" t="s">
        <v>41</v>
      </c>
      <c r="K10215" t="s">
        <v>482</v>
      </c>
      <c r="Q10215">
        <v>0</v>
      </c>
      <c r="R10215">
        <v>40</v>
      </c>
      <c r="S10215">
        <v>40</v>
      </c>
      <c r="T10215" t="s">
        <v>38188</v>
      </c>
    </row>
    <row r="10216" spans="1:20" customFormat="1" ht="15" x14ac:dyDescent="0.25">
      <c r="A10216" t="s">
        <v>35</v>
      </c>
      <c r="B10216" t="s">
        <v>61</v>
      </c>
      <c r="C10216" t="str">
        <f>"A0130222"</f>
        <v>A0130222</v>
      </c>
      <c r="D10216" t="s">
        <v>38189</v>
      </c>
      <c r="E10216" t="s">
        <v>38190</v>
      </c>
      <c r="F10216" t="s">
        <v>12497</v>
      </c>
      <c r="G10216" t="s">
        <v>71</v>
      </c>
      <c r="H10216">
        <v>54313</v>
      </c>
      <c r="I10216" t="s">
        <v>30</v>
      </c>
      <c r="J10216" t="s">
        <v>41</v>
      </c>
      <c r="K10216" t="s">
        <v>59</v>
      </c>
      <c r="Q10216">
        <v>0</v>
      </c>
      <c r="R10216">
        <v>78</v>
      </c>
      <c r="S10216">
        <v>78</v>
      </c>
      <c r="T10216" t="s">
        <v>38191</v>
      </c>
    </row>
    <row r="10217" spans="1:20" customFormat="1" ht="15" x14ac:dyDescent="0.25">
      <c r="A10217" t="s">
        <v>35</v>
      </c>
      <c r="B10217" t="s">
        <v>61</v>
      </c>
      <c r="C10217" t="str">
        <f>"A0129553"</f>
        <v>A0129553</v>
      </c>
      <c r="D10217" t="s">
        <v>38192</v>
      </c>
      <c r="E10217" t="s">
        <v>38193</v>
      </c>
      <c r="F10217" t="s">
        <v>1755</v>
      </c>
      <c r="G10217" t="s">
        <v>289</v>
      </c>
      <c r="H10217">
        <v>62707</v>
      </c>
      <c r="I10217" t="s">
        <v>30</v>
      </c>
      <c r="J10217" t="s">
        <v>41</v>
      </c>
      <c r="K10217" t="s">
        <v>131</v>
      </c>
      <c r="Q10217">
        <v>0</v>
      </c>
      <c r="R10217">
        <v>98</v>
      </c>
      <c r="S10217">
        <v>98</v>
      </c>
      <c r="T10217" t="s">
        <v>38194</v>
      </c>
    </row>
    <row r="10218" spans="1:20" customFormat="1" ht="15" x14ac:dyDescent="0.25">
      <c r="A10218" t="s">
        <v>35</v>
      </c>
      <c r="B10218" t="s">
        <v>61</v>
      </c>
      <c r="C10218" t="str">
        <f>"A0126244"</f>
        <v>A0126244</v>
      </c>
      <c r="D10218" t="s">
        <v>38195</v>
      </c>
      <c r="E10218" t="s">
        <v>38196</v>
      </c>
      <c r="F10218" t="s">
        <v>22916</v>
      </c>
      <c r="G10218" t="s">
        <v>81</v>
      </c>
      <c r="H10218">
        <v>33060</v>
      </c>
      <c r="I10218" t="s">
        <v>30</v>
      </c>
      <c r="J10218" t="s">
        <v>41</v>
      </c>
      <c r="K10218" t="s">
        <v>229</v>
      </c>
      <c r="Q10218">
        <v>0</v>
      </c>
      <c r="R10218">
        <v>36</v>
      </c>
      <c r="S10218">
        <v>36</v>
      </c>
      <c r="T10218" t="s">
        <v>38197</v>
      </c>
    </row>
    <row r="10219" spans="1:20" customFormat="1" ht="15" x14ac:dyDescent="0.25">
      <c r="A10219" t="s">
        <v>35</v>
      </c>
      <c r="B10219" t="s">
        <v>106</v>
      </c>
      <c r="C10219" t="str">
        <f>"A0150980"</f>
        <v>A0150980</v>
      </c>
      <c r="D10219" t="s">
        <v>38198</v>
      </c>
      <c r="E10219" t="s">
        <v>38199</v>
      </c>
      <c r="F10219" t="s">
        <v>22613</v>
      </c>
      <c r="G10219" t="s">
        <v>81</v>
      </c>
      <c r="H10219">
        <v>33025</v>
      </c>
      <c r="I10219" t="s">
        <v>30</v>
      </c>
      <c r="J10219" t="s">
        <v>111</v>
      </c>
      <c r="K10219" t="s">
        <v>112</v>
      </c>
      <c r="Q10219">
        <v>0</v>
      </c>
      <c r="R10219">
        <v>0</v>
      </c>
      <c r="S10219">
        <v>0</v>
      </c>
      <c r="T10219" t="s">
        <v>38200</v>
      </c>
    </row>
    <row r="10220" spans="1:20" customFormat="1" ht="15" x14ac:dyDescent="0.25">
      <c r="A10220" t="s">
        <v>35</v>
      </c>
      <c r="B10220" t="s">
        <v>61</v>
      </c>
      <c r="C10220" t="str">
        <f>"A0132539"</f>
        <v>A0132539</v>
      </c>
      <c r="D10220" t="s">
        <v>38201</v>
      </c>
      <c r="E10220" t="s">
        <v>38202</v>
      </c>
      <c r="F10220" t="s">
        <v>12399</v>
      </c>
      <c r="G10220" t="s">
        <v>65</v>
      </c>
      <c r="H10220">
        <v>43113</v>
      </c>
      <c r="I10220" t="s">
        <v>30</v>
      </c>
      <c r="J10220" t="s">
        <v>41</v>
      </c>
      <c r="K10220" t="s">
        <v>229</v>
      </c>
      <c r="Q10220">
        <v>0</v>
      </c>
      <c r="R10220">
        <v>66</v>
      </c>
      <c r="S10220">
        <v>66</v>
      </c>
      <c r="T10220" t="s">
        <v>38203</v>
      </c>
    </row>
    <row r="10221" spans="1:20" customFormat="1" ht="15" x14ac:dyDescent="0.25">
      <c r="A10221" t="s">
        <v>35</v>
      </c>
      <c r="B10221" t="s">
        <v>106</v>
      </c>
      <c r="C10221" t="str">
        <f>"A0135805"</f>
        <v>A0135805</v>
      </c>
      <c r="D10221" t="s">
        <v>38204</v>
      </c>
      <c r="E10221" t="s">
        <v>38205</v>
      </c>
      <c r="F10221" t="s">
        <v>8024</v>
      </c>
      <c r="G10221" t="s">
        <v>90</v>
      </c>
      <c r="H10221">
        <v>2912</v>
      </c>
      <c r="I10221" t="s">
        <v>30</v>
      </c>
      <c r="J10221" t="s">
        <v>111</v>
      </c>
      <c r="K10221" t="s">
        <v>10012</v>
      </c>
      <c r="Q10221">
        <v>0</v>
      </c>
      <c r="R10221">
        <v>0</v>
      </c>
      <c r="S10221">
        <v>0</v>
      </c>
      <c r="T10221" t="s">
        <v>38206</v>
      </c>
    </row>
    <row r="10222" spans="1:20" customFormat="1" ht="15" x14ac:dyDescent="0.25">
      <c r="A10222" t="s">
        <v>35</v>
      </c>
      <c r="B10222" t="s">
        <v>106</v>
      </c>
      <c r="C10222" t="str">
        <f>"A0135808"</f>
        <v>A0135808</v>
      </c>
      <c r="D10222" t="s">
        <v>38207</v>
      </c>
      <c r="E10222" t="s">
        <v>38205</v>
      </c>
      <c r="F10222" t="s">
        <v>8024</v>
      </c>
      <c r="G10222" t="s">
        <v>90</v>
      </c>
      <c r="H10222">
        <v>2912</v>
      </c>
      <c r="I10222" t="s">
        <v>30</v>
      </c>
      <c r="J10222" t="s">
        <v>111</v>
      </c>
      <c r="K10222" t="s">
        <v>10012</v>
      </c>
      <c r="Q10222">
        <v>0</v>
      </c>
      <c r="R10222">
        <v>0</v>
      </c>
      <c r="S10222">
        <v>0</v>
      </c>
      <c r="T10222" t="s">
        <v>38206</v>
      </c>
    </row>
    <row r="10223" spans="1:20" customFormat="1" ht="15" x14ac:dyDescent="0.25">
      <c r="A10223" t="s">
        <v>35</v>
      </c>
      <c r="B10223" t="s">
        <v>106</v>
      </c>
      <c r="C10223" t="str">
        <f>"A0135809"</f>
        <v>A0135809</v>
      </c>
      <c r="D10223" t="s">
        <v>38208</v>
      </c>
      <c r="E10223" t="s">
        <v>38205</v>
      </c>
      <c r="F10223" t="s">
        <v>8024</v>
      </c>
      <c r="G10223" t="s">
        <v>90</v>
      </c>
      <c r="H10223">
        <v>2912</v>
      </c>
      <c r="I10223" t="s">
        <v>30</v>
      </c>
      <c r="J10223" t="s">
        <v>111</v>
      </c>
      <c r="K10223" t="s">
        <v>10012</v>
      </c>
      <c r="Q10223">
        <v>0</v>
      </c>
      <c r="R10223">
        <v>0</v>
      </c>
      <c r="S10223">
        <v>0</v>
      </c>
      <c r="T10223" t="s">
        <v>38206</v>
      </c>
    </row>
    <row r="10224" spans="1:20" customFormat="1" ht="15" x14ac:dyDescent="0.25">
      <c r="A10224" t="s">
        <v>35</v>
      </c>
      <c r="B10224" t="s">
        <v>106</v>
      </c>
      <c r="C10224" t="str">
        <f>"A0135806"</f>
        <v>A0135806</v>
      </c>
      <c r="D10224" t="s">
        <v>38209</v>
      </c>
      <c r="E10224" t="s">
        <v>38210</v>
      </c>
      <c r="F10224" t="s">
        <v>8024</v>
      </c>
      <c r="G10224" t="s">
        <v>90</v>
      </c>
      <c r="H10224">
        <v>2912</v>
      </c>
      <c r="I10224" t="s">
        <v>30</v>
      </c>
      <c r="J10224" t="s">
        <v>111</v>
      </c>
      <c r="K10224" t="s">
        <v>10012</v>
      </c>
      <c r="Q10224">
        <v>0</v>
      </c>
      <c r="R10224">
        <v>0</v>
      </c>
      <c r="S10224">
        <v>0</v>
      </c>
      <c r="T10224" t="s">
        <v>38206</v>
      </c>
    </row>
    <row r="10225" spans="1:20" customFormat="1" ht="15" x14ac:dyDescent="0.25">
      <c r="A10225" t="s">
        <v>35</v>
      </c>
      <c r="B10225" t="s">
        <v>106</v>
      </c>
      <c r="C10225" t="str">
        <f>"A0135807"</f>
        <v>A0135807</v>
      </c>
      <c r="D10225" t="s">
        <v>38211</v>
      </c>
      <c r="E10225" t="s">
        <v>38205</v>
      </c>
      <c r="F10225" t="s">
        <v>8024</v>
      </c>
      <c r="G10225" t="s">
        <v>90</v>
      </c>
      <c r="H10225">
        <v>2912</v>
      </c>
      <c r="I10225" t="s">
        <v>30</v>
      </c>
      <c r="J10225" t="s">
        <v>111</v>
      </c>
      <c r="K10225" t="s">
        <v>10012</v>
      </c>
      <c r="Q10225">
        <v>0</v>
      </c>
      <c r="R10225">
        <v>0</v>
      </c>
      <c r="S10225">
        <v>0</v>
      </c>
      <c r="T10225" t="s">
        <v>38206</v>
      </c>
    </row>
    <row r="10226" spans="1:20" customFormat="1" ht="15" x14ac:dyDescent="0.25">
      <c r="A10226" t="s">
        <v>35</v>
      </c>
      <c r="B10226" t="s">
        <v>106</v>
      </c>
      <c r="C10226" t="str">
        <f>"A0136563"</f>
        <v>A0136563</v>
      </c>
      <c r="D10226" t="s">
        <v>38212</v>
      </c>
      <c r="E10226" t="s">
        <v>38213</v>
      </c>
      <c r="F10226" t="s">
        <v>38214</v>
      </c>
      <c r="G10226" t="s">
        <v>1184</v>
      </c>
      <c r="H10226">
        <v>59417</v>
      </c>
      <c r="I10226" t="s">
        <v>30</v>
      </c>
      <c r="J10226" t="s">
        <v>111</v>
      </c>
      <c r="K10226" t="s">
        <v>112</v>
      </c>
      <c r="Q10226">
        <v>0</v>
      </c>
      <c r="R10226">
        <v>0</v>
      </c>
      <c r="S10226">
        <v>0</v>
      </c>
      <c r="T10226" t="s">
        <v>38215</v>
      </c>
    </row>
    <row r="10227" spans="1:20" customFormat="1" ht="15" x14ac:dyDescent="0.25">
      <c r="A10227" t="s">
        <v>35</v>
      </c>
      <c r="B10227" t="s">
        <v>61</v>
      </c>
      <c r="C10227" t="str">
        <f>"A0123686"</f>
        <v>A0123686</v>
      </c>
      <c r="D10227" t="s">
        <v>38216</v>
      </c>
      <c r="E10227" t="s">
        <v>38217</v>
      </c>
      <c r="F10227" t="s">
        <v>38218</v>
      </c>
      <c r="G10227" t="s">
        <v>214</v>
      </c>
      <c r="H10227">
        <v>28749</v>
      </c>
      <c r="I10227" t="s">
        <v>30</v>
      </c>
      <c r="J10227" t="s">
        <v>41</v>
      </c>
      <c r="K10227" t="s">
        <v>482</v>
      </c>
      <c r="Q10227">
        <v>0</v>
      </c>
      <c r="R10227">
        <v>215</v>
      </c>
      <c r="S10227">
        <v>215</v>
      </c>
      <c r="T10227" t="s">
        <v>38219</v>
      </c>
    </row>
    <row r="10228" spans="1:20" customFormat="1" ht="15" x14ac:dyDescent="0.25">
      <c r="A10228" t="s">
        <v>35</v>
      </c>
      <c r="B10228" t="s">
        <v>61</v>
      </c>
      <c r="C10228" t="str">
        <f>"A0131138"</f>
        <v>A0131138</v>
      </c>
      <c r="D10228" t="s">
        <v>38220</v>
      </c>
      <c r="E10228" t="s">
        <v>38221</v>
      </c>
      <c r="F10228" t="s">
        <v>29438</v>
      </c>
      <c r="G10228" t="s">
        <v>137</v>
      </c>
      <c r="H10228">
        <v>65236</v>
      </c>
      <c r="I10228" t="s">
        <v>30</v>
      </c>
      <c r="J10228" t="s">
        <v>41</v>
      </c>
      <c r="K10228" t="s">
        <v>229</v>
      </c>
      <c r="Q10228">
        <v>0</v>
      </c>
      <c r="R10228">
        <v>60</v>
      </c>
      <c r="S10228">
        <v>60</v>
      </c>
      <c r="T10228" t="s">
        <v>38222</v>
      </c>
    </row>
    <row r="10229" spans="1:20" customFormat="1" ht="15" x14ac:dyDescent="0.25">
      <c r="A10229" t="s">
        <v>35</v>
      </c>
      <c r="B10229" t="s">
        <v>61</v>
      </c>
      <c r="C10229" t="str">
        <f>"A0123687"</f>
        <v>A0123687</v>
      </c>
      <c r="D10229" t="s">
        <v>38223</v>
      </c>
      <c r="E10229" t="s">
        <v>38224</v>
      </c>
      <c r="F10229" t="s">
        <v>38225</v>
      </c>
      <c r="G10229" t="s">
        <v>214</v>
      </c>
      <c r="H10229">
        <v>28479</v>
      </c>
      <c r="I10229" t="s">
        <v>30</v>
      </c>
      <c r="J10229" t="s">
        <v>41</v>
      </c>
      <c r="K10229" t="s">
        <v>59</v>
      </c>
      <c r="Q10229">
        <v>0</v>
      </c>
      <c r="R10229">
        <v>50</v>
      </c>
      <c r="S10229">
        <v>50</v>
      </c>
    </row>
    <row r="10230" spans="1:20" customFormat="1" ht="15" x14ac:dyDescent="0.25">
      <c r="A10230" t="s">
        <v>35</v>
      </c>
      <c r="B10230" t="s">
        <v>61</v>
      </c>
      <c r="C10230" t="str">
        <f>"A0118367"</f>
        <v>A0118367</v>
      </c>
      <c r="D10230" t="s">
        <v>38226</v>
      </c>
      <c r="E10230" t="s">
        <v>38227</v>
      </c>
      <c r="F10230" t="s">
        <v>10417</v>
      </c>
      <c r="G10230" t="s">
        <v>110</v>
      </c>
      <c r="H10230">
        <v>959450000</v>
      </c>
      <c r="I10230" t="s">
        <v>30</v>
      </c>
      <c r="J10230" t="s">
        <v>41</v>
      </c>
      <c r="K10230" t="s">
        <v>59</v>
      </c>
      <c r="Q10230">
        <v>0</v>
      </c>
      <c r="R10230">
        <v>40</v>
      </c>
      <c r="S10230">
        <v>40</v>
      </c>
      <c r="T10230" t="s">
        <v>38228</v>
      </c>
    </row>
    <row r="10231" spans="1:20" customFormat="1" ht="15" x14ac:dyDescent="0.25">
      <c r="A10231" t="s">
        <v>35</v>
      </c>
      <c r="B10231" t="s">
        <v>61</v>
      </c>
      <c r="C10231" t="str">
        <f>"A0129313"</f>
        <v>A0129313</v>
      </c>
      <c r="D10231" t="s">
        <v>38229</v>
      </c>
      <c r="E10231" t="s">
        <v>38230</v>
      </c>
      <c r="F10231" t="s">
        <v>1054</v>
      </c>
      <c r="G10231" t="s">
        <v>289</v>
      </c>
      <c r="H10231">
        <v>62801</v>
      </c>
      <c r="I10231" t="s">
        <v>30</v>
      </c>
      <c r="J10231" t="s">
        <v>41</v>
      </c>
      <c r="K10231" t="s">
        <v>229</v>
      </c>
      <c r="Q10231">
        <v>0</v>
      </c>
      <c r="R10231">
        <v>93</v>
      </c>
      <c r="S10231">
        <v>93</v>
      </c>
      <c r="T10231" t="s">
        <v>38231</v>
      </c>
    </row>
    <row r="10232" spans="1:20" customFormat="1" ht="15" x14ac:dyDescent="0.25">
      <c r="A10232" t="s">
        <v>35</v>
      </c>
      <c r="B10232" t="s">
        <v>61</v>
      </c>
      <c r="C10232" t="str">
        <f>"A0131847"</f>
        <v>A0131847</v>
      </c>
      <c r="D10232" t="s">
        <v>38232</v>
      </c>
      <c r="E10232" t="s">
        <v>38233</v>
      </c>
      <c r="F10232" t="s">
        <v>3786</v>
      </c>
      <c r="G10232" t="s">
        <v>65</v>
      </c>
      <c r="H10232">
        <v>435060000</v>
      </c>
      <c r="I10232" t="s">
        <v>30</v>
      </c>
      <c r="J10232" t="s">
        <v>41</v>
      </c>
      <c r="K10232" t="s">
        <v>2760</v>
      </c>
      <c r="Q10232">
        <v>0</v>
      </c>
      <c r="R10232">
        <v>1</v>
      </c>
      <c r="S10232">
        <v>1</v>
      </c>
      <c r="T10232" t="s">
        <v>38234</v>
      </c>
    </row>
    <row r="10233" spans="1:20" customFormat="1" ht="15" x14ac:dyDescent="0.25">
      <c r="A10233" t="s">
        <v>35</v>
      </c>
      <c r="B10233" t="s">
        <v>106</v>
      </c>
      <c r="C10233" t="str">
        <f>"A0136531"</f>
        <v>A0136531</v>
      </c>
      <c r="D10233" t="s">
        <v>38235</v>
      </c>
      <c r="E10233" t="s">
        <v>38236</v>
      </c>
      <c r="F10233" t="s">
        <v>19786</v>
      </c>
      <c r="G10233" t="s">
        <v>103</v>
      </c>
      <c r="H10233">
        <v>19010</v>
      </c>
      <c r="I10233" t="s">
        <v>30</v>
      </c>
      <c r="J10233" t="s">
        <v>111</v>
      </c>
      <c r="K10233" t="s">
        <v>10012</v>
      </c>
      <c r="Q10233">
        <v>0</v>
      </c>
      <c r="R10233">
        <v>0</v>
      </c>
      <c r="S10233">
        <v>0</v>
      </c>
      <c r="T10233" t="s">
        <v>38237</v>
      </c>
    </row>
    <row r="10234" spans="1:20" customFormat="1" ht="15" x14ac:dyDescent="0.25">
      <c r="A10234" t="s">
        <v>35</v>
      </c>
      <c r="B10234" t="s">
        <v>106</v>
      </c>
      <c r="C10234" t="str">
        <f>"A0136532"</f>
        <v>A0136532</v>
      </c>
      <c r="D10234" t="s">
        <v>38238</v>
      </c>
      <c r="E10234" t="s">
        <v>38236</v>
      </c>
      <c r="F10234" t="s">
        <v>19786</v>
      </c>
      <c r="G10234" t="s">
        <v>103</v>
      </c>
      <c r="H10234">
        <v>19010</v>
      </c>
      <c r="I10234" t="s">
        <v>30</v>
      </c>
      <c r="J10234" t="s">
        <v>111</v>
      </c>
      <c r="K10234" t="s">
        <v>10012</v>
      </c>
      <c r="Q10234">
        <v>0</v>
      </c>
      <c r="R10234">
        <v>0</v>
      </c>
      <c r="S10234">
        <v>0</v>
      </c>
      <c r="T10234" t="s">
        <v>38237</v>
      </c>
    </row>
    <row r="10235" spans="1:20" customFormat="1" ht="15" x14ac:dyDescent="0.25">
      <c r="A10235" t="s">
        <v>35</v>
      </c>
      <c r="B10235" t="s">
        <v>106</v>
      </c>
      <c r="C10235" t="str">
        <f>"A0135367"</f>
        <v>A0135367</v>
      </c>
      <c r="D10235" t="s">
        <v>38239</v>
      </c>
      <c r="E10235" t="s">
        <v>38240</v>
      </c>
      <c r="F10235" t="s">
        <v>19786</v>
      </c>
      <c r="G10235" t="s">
        <v>103</v>
      </c>
      <c r="H10235">
        <v>19010</v>
      </c>
      <c r="I10235" t="s">
        <v>30</v>
      </c>
      <c r="J10235" t="s">
        <v>111</v>
      </c>
      <c r="K10235" t="s">
        <v>10012</v>
      </c>
      <c r="Q10235">
        <v>0</v>
      </c>
      <c r="R10235">
        <v>0</v>
      </c>
      <c r="S10235">
        <v>0</v>
      </c>
      <c r="T10235" t="s">
        <v>38241</v>
      </c>
    </row>
    <row r="10236" spans="1:20" customFormat="1" ht="15" x14ac:dyDescent="0.25">
      <c r="A10236" t="s">
        <v>35</v>
      </c>
      <c r="B10236" t="s">
        <v>61</v>
      </c>
      <c r="C10236" t="str">
        <f>"A0123267"</f>
        <v>A0123267</v>
      </c>
      <c r="D10236" t="s">
        <v>38242</v>
      </c>
      <c r="E10236" t="s">
        <v>38243</v>
      </c>
      <c r="F10236" t="s">
        <v>440</v>
      </c>
      <c r="G10236" t="s">
        <v>214</v>
      </c>
      <c r="H10236">
        <v>28713</v>
      </c>
      <c r="I10236" t="s">
        <v>30</v>
      </c>
      <c r="J10236" t="s">
        <v>41</v>
      </c>
      <c r="K10236" t="s">
        <v>59</v>
      </c>
      <c r="Q10236">
        <v>0</v>
      </c>
      <c r="R10236">
        <v>1</v>
      </c>
      <c r="S10236">
        <v>1</v>
      </c>
      <c r="T10236" t="s">
        <v>35698</v>
      </c>
    </row>
    <row r="10237" spans="1:20" customFormat="1" ht="15" x14ac:dyDescent="0.25">
      <c r="A10237" t="s">
        <v>35</v>
      </c>
      <c r="B10237" t="s">
        <v>61</v>
      </c>
      <c r="C10237" t="str">
        <f>"A0133540"</f>
        <v>A0133540</v>
      </c>
      <c r="D10237" t="s">
        <v>38244</v>
      </c>
      <c r="E10237" t="s">
        <v>38245</v>
      </c>
      <c r="F10237" t="s">
        <v>38246</v>
      </c>
      <c r="G10237" t="s">
        <v>52</v>
      </c>
      <c r="H10237">
        <v>78027</v>
      </c>
      <c r="I10237" t="s">
        <v>30</v>
      </c>
      <c r="J10237" t="s">
        <v>41</v>
      </c>
      <c r="K10237" t="s">
        <v>4020</v>
      </c>
      <c r="Q10237">
        <v>0</v>
      </c>
      <c r="R10237">
        <v>40</v>
      </c>
      <c r="S10237">
        <v>40</v>
      </c>
      <c r="T10237" t="s">
        <v>38247</v>
      </c>
    </row>
    <row r="10238" spans="1:20" customFormat="1" ht="15" x14ac:dyDescent="0.25">
      <c r="A10238" t="s">
        <v>35</v>
      </c>
      <c r="B10238" t="s">
        <v>61</v>
      </c>
      <c r="C10238" t="str">
        <f>"A0150958"</f>
        <v>A0150958</v>
      </c>
      <c r="D10238" t="s">
        <v>38248</v>
      </c>
      <c r="E10238" t="s">
        <v>38249</v>
      </c>
      <c r="F10238" t="s">
        <v>38250</v>
      </c>
      <c r="G10238" t="s">
        <v>65</v>
      </c>
      <c r="H10238">
        <v>43008</v>
      </c>
      <c r="I10238" t="s">
        <v>30</v>
      </c>
      <c r="J10238" t="s">
        <v>41</v>
      </c>
      <c r="K10238" t="s">
        <v>42</v>
      </c>
      <c r="Q10238">
        <v>0</v>
      </c>
      <c r="R10238">
        <v>0</v>
      </c>
      <c r="S10238">
        <v>0</v>
      </c>
      <c r="T10238" t="s">
        <v>38251</v>
      </c>
    </row>
    <row r="10239" spans="1:20" customFormat="1" ht="15" x14ac:dyDescent="0.25">
      <c r="A10239" t="s">
        <v>35</v>
      </c>
      <c r="B10239" t="s">
        <v>61</v>
      </c>
      <c r="C10239" t="str">
        <f>"A0128525"</f>
        <v>A0128525</v>
      </c>
      <c r="D10239" t="s">
        <v>38252</v>
      </c>
      <c r="E10239" t="s">
        <v>38253</v>
      </c>
      <c r="F10239" t="s">
        <v>38254</v>
      </c>
      <c r="G10239" t="s">
        <v>840</v>
      </c>
      <c r="H10239">
        <v>41721</v>
      </c>
      <c r="I10239" t="s">
        <v>30</v>
      </c>
      <c r="J10239" t="s">
        <v>41</v>
      </c>
      <c r="K10239" t="s">
        <v>66</v>
      </c>
      <c r="Q10239">
        <v>0</v>
      </c>
      <c r="R10239">
        <v>34</v>
      </c>
      <c r="S10239">
        <v>34</v>
      </c>
      <c r="T10239" t="s">
        <v>38255</v>
      </c>
    </row>
    <row r="10240" spans="1:20" customFormat="1" ht="15" x14ac:dyDescent="0.25">
      <c r="A10240" t="s">
        <v>35</v>
      </c>
      <c r="B10240" t="s">
        <v>61</v>
      </c>
      <c r="C10240" t="str">
        <f>"A0126625"</f>
        <v>A0126625</v>
      </c>
      <c r="D10240" t="s">
        <v>38256</v>
      </c>
      <c r="E10240" t="s">
        <v>38257</v>
      </c>
      <c r="F10240" t="s">
        <v>557</v>
      </c>
      <c r="G10240" t="s">
        <v>338</v>
      </c>
      <c r="H10240">
        <v>8852</v>
      </c>
      <c r="I10240" t="s">
        <v>30</v>
      </c>
      <c r="J10240" t="s">
        <v>41</v>
      </c>
      <c r="K10240" t="s">
        <v>59</v>
      </c>
      <c r="Q10240">
        <v>0</v>
      </c>
      <c r="R10240">
        <v>124</v>
      </c>
      <c r="S10240">
        <v>124</v>
      </c>
      <c r="T10240" t="s">
        <v>38258</v>
      </c>
    </row>
    <row r="10241" spans="1:20" customFormat="1" ht="15" x14ac:dyDescent="0.25">
      <c r="A10241" t="s">
        <v>35</v>
      </c>
      <c r="B10241" t="s">
        <v>61</v>
      </c>
      <c r="C10241" t="str">
        <f>"A0127283"</f>
        <v>A0127283</v>
      </c>
      <c r="D10241" t="s">
        <v>38259</v>
      </c>
      <c r="E10241" t="s">
        <v>38260</v>
      </c>
      <c r="F10241" t="s">
        <v>7801</v>
      </c>
      <c r="G10241" t="s">
        <v>846</v>
      </c>
      <c r="H10241">
        <v>31405</v>
      </c>
      <c r="I10241" t="s">
        <v>30</v>
      </c>
      <c r="J10241" t="s">
        <v>41</v>
      </c>
      <c r="K10241" t="s">
        <v>59</v>
      </c>
      <c r="Q10241">
        <v>0</v>
      </c>
      <c r="R10241">
        <v>83</v>
      </c>
      <c r="S10241">
        <v>83</v>
      </c>
      <c r="T10241" t="s">
        <v>38261</v>
      </c>
    </row>
    <row r="10242" spans="1:20" customFormat="1" ht="15" x14ac:dyDescent="0.25">
      <c r="A10242" t="s">
        <v>35</v>
      </c>
      <c r="B10242" t="s">
        <v>61</v>
      </c>
      <c r="C10242" t="str">
        <f>"A0118332"</f>
        <v>A0118332</v>
      </c>
      <c r="D10242" t="s">
        <v>38262</v>
      </c>
      <c r="E10242" t="s">
        <v>38263</v>
      </c>
      <c r="F10242" t="s">
        <v>8081</v>
      </c>
      <c r="G10242" t="s">
        <v>110</v>
      </c>
      <c r="H10242">
        <v>94117</v>
      </c>
      <c r="I10242" t="s">
        <v>30</v>
      </c>
      <c r="J10242" t="s">
        <v>41</v>
      </c>
      <c r="K10242" t="s">
        <v>59</v>
      </c>
      <c r="Q10242">
        <v>0</v>
      </c>
      <c r="R10242">
        <v>55</v>
      </c>
      <c r="S10242">
        <v>55</v>
      </c>
      <c r="T10242" t="s">
        <v>38264</v>
      </c>
    </row>
    <row r="10243" spans="1:20" customFormat="1" ht="15" x14ac:dyDescent="0.25">
      <c r="A10243" t="s">
        <v>35</v>
      </c>
      <c r="B10243" t="s">
        <v>437</v>
      </c>
      <c r="C10243" t="str">
        <f>"A0134389"</f>
        <v>A0134389</v>
      </c>
      <c r="D10243" t="s">
        <v>38265</v>
      </c>
      <c r="E10243" t="s">
        <v>38266</v>
      </c>
      <c r="F10243" t="s">
        <v>38267</v>
      </c>
      <c r="G10243" t="s">
        <v>99</v>
      </c>
      <c r="H10243">
        <v>13338</v>
      </c>
      <c r="I10243" t="s">
        <v>30</v>
      </c>
      <c r="J10243" t="s">
        <v>441</v>
      </c>
      <c r="K10243" t="s">
        <v>442</v>
      </c>
      <c r="Q10243">
        <v>0</v>
      </c>
      <c r="R10243">
        <v>0</v>
      </c>
      <c r="S10243">
        <v>0</v>
      </c>
      <c r="T10243" t="s">
        <v>38268</v>
      </c>
    </row>
    <row r="10244" spans="1:20" customFormat="1" ht="15" x14ac:dyDescent="0.25">
      <c r="A10244" t="s">
        <v>35</v>
      </c>
      <c r="B10244" t="s">
        <v>437</v>
      </c>
      <c r="C10244" t="str">
        <f>"A0133867"</f>
        <v>A0133867</v>
      </c>
      <c r="D10244" t="s">
        <v>38269</v>
      </c>
      <c r="E10244" t="s">
        <v>38270</v>
      </c>
      <c r="F10244" t="s">
        <v>24934</v>
      </c>
      <c r="G10244" t="s">
        <v>110</v>
      </c>
      <c r="H10244">
        <v>94087</v>
      </c>
      <c r="I10244" t="s">
        <v>30</v>
      </c>
      <c r="J10244" t="s">
        <v>441</v>
      </c>
      <c r="K10244" t="s">
        <v>442</v>
      </c>
      <c r="Q10244">
        <v>0</v>
      </c>
      <c r="R10244">
        <v>0</v>
      </c>
      <c r="S10244">
        <v>0</v>
      </c>
      <c r="T10244" t="s">
        <v>38271</v>
      </c>
    </row>
    <row r="10245" spans="1:20" customFormat="1" ht="15" x14ac:dyDescent="0.25">
      <c r="A10245" t="s">
        <v>35</v>
      </c>
      <c r="B10245" t="s">
        <v>61</v>
      </c>
      <c r="C10245" t="str">
        <f>"A0130748"</f>
        <v>A0130748</v>
      </c>
      <c r="D10245" t="s">
        <v>38272</v>
      </c>
      <c r="E10245" t="s">
        <v>38273</v>
      </c>
      <c r="F10245" t="s">
        <v>9228</v>
      </c>
      <c r="G10245" t="s">
        <v>3236</v>
      </c>
      <c r="H10245">
        <v>57005</v>
      </c>
      <c r="I10245" t="s">
        <v>30</v>
      </c>
      <c r="J10245" t="s">
        <v>41</v>
      </c>
      <c r="K10245" t="s">
        <v>391</v>
      </c>
      <c r="Q10245">
        <v>0</v>
      </c>
      <c r="R10245">
        <v>0</v>
      </c>
      <c r="S10245">
        <v>0</v>
      </c>
      <c r="T10245" t="s">
        <v>38274</v>
      </c>
    </row>
    <row r="10246" spans="1:20" customFormat="1" ht="15" x14ac:dyDescent="0.25">
      <c r="A10246" t="s">
        <v>35</v>
      </c>
      <c r="B10246" t="s">
        <v>61</v>
      </c>
      <c r="C10246" t="str">
        <f>"A0129096"</f>
        <v>A0129096</v>
      </c>
      <c r="D10246" t="s">
        <v>38275</v>
      </c>
      <c r="E10246" t="s">
        <v>38276</v>
      </c>
      <c r="F10246" t="s">
        <v>5272</v>
      </c>
      <c r="G10246" t="s">
        <v>289</v>
      </c>
      <c r="H10246">
        <v>60559</v>
      </c>
      <c r="I10246" t="s">
        <v>30</v>
      </c>
      <c r="J10246" t="s">
        <v>41</v>
      </c>
      <c r="K10246" t="s">
        <v>229</v>
      </c>
      <c r="Q10246">
        <v>0</v>
      </c>
      <c r="R10246">
        <v>203</v>
      </c>
      <c r="S10246">
        <v>203</v>
      </c>
      <c r="T10246" t="s">
        <v>38277</v>
      </c>
    </row>
    <row r="10247" spans="1:20" customFormat="1" ht="15" x14ac:dyDescent="0.25">
      <c r="A10247" t="s">
        <v>35</v>
      </c>
      <c r="B10247" t="s">
        <v>61</v>
      </c>
      <c r="C10247" t="str">
        <f>"A0123268"</f>
        <v>A0123268</v>
      </c>
      <c r="D10247" t="s">
        <v>38278</v>
      </c>
      <c r="E10247" t="s">
        <v>38279</v>
      </c>
      <c r="F10247" t="s">
        <v>38280</v>
      </c>
      <c r="G10247" t="s">
        <v>29</v>
      </c>
      <c r="H10247">
        <v>22015</v>
      </c>
      <c r="I10247" t="s">
        <v>30</v>
      </c>
      <c r="J10247" t="s">
        <v>41</v>
      </c>
      <c r="K10247" t="s">
        <v>229</v>
      </c>
      <c r="Q10247">
        <v>0</v>
      </c>
      <c r="R10247">
        <v>120</v>
      </c>
      <c r="S10247">
        <v>120</v>
      </c>
      <c r="T10247" t="s">
        <v>38281</v>
      </c>
    </row>
    <row r="10248" spans="1:20" customFormat="1" ht="15" x14ac:dyDescent="0.25">
      <c r="A10248" t="s">
        <v>35</v>
      </c>
      <c r="B10248" t="s">
        <v>61</v>
      </c>
      <c r="C10248" t="str">
        <f>"A0124142"</f>
        <v>A0124142</v>
      </c>
      <c r="D10248" t="s">
        <v>38282</v>
      </c>
      <c r="E10248" t="s">
        <v>38283</v>
      </c>
      <c r="F10248" t="s">
        <v>635</v>
      </c>
      <c r="G10248" t="s">
        <v>2391</v>
      </c>
      <c r="H10248">
        <v>5401</v>
      </c>
      <c r="I10248" t="s">
        <v>30</v>
      </c>
      <c r="J10248" t="s">
        <v>41</v>
      </c>
      <c r="K10248" t="s">
        <v>59</v>
      </c>
      <c r="Q10248">
        <v>0</v>
      </c>
      <c r="R10248">
        <v>22</v>
      </c>
      <c r="S10248">
        <v>22</v>
      </c>
      <c r="T10248" t="s">
        <v>38284</v>
      </c>
    </row>
    <row r="10249" spans="1:20" customFormat="1" ht="15" x14ac:dyDescent="0.25">
      <c r="A10249" t="s">
        <v>35</v>
      </c>
      <c r="B10249" t="s">
        <v>61</v>
      </c>
      <c r="C10249" t="str">
        <f>"A0126607"</f>
        <v>A0126607</v>
      </c>
      <c r="D10249" t="s">
        <v>38285</v>
      </c>
      <c r="E10249" t="s">
        <v>38286</v>
      </c>
      <c r="F10249" t="s">
        <v>38287</v>
      </c>
      <c r="G10249" t="s">
        <v>103</v>
      </c>
      <c r="H10249">
        <v>18360</v>
      </c>
      <c r="I10249" t="s">
        <v>30</v>
      </c>
      <c r="J10249" t="s">
        <v>41</v>
      </c>
      <c r="K10249" t="s">
        <v>2760</v>
      </c>
      <c r="Q10249">
        <v>0</v>
      </c>
      <c r="R10249">
        <v>1</v>
      </c>
      <c r="S10249">
        <v>1</v>
      </c>
      <c r="T10249" t="s">
        <v>38288</v>
      </c>
    </row>
    <row r="10250" spans="1:20" customFormat="1" ht="15" x14ac:dyDescent="0.25">
      <c r="A10250" t="s">
        <v>35</v>
      </c>
      <c r="B10250" t="s">
        <v>61</v>
      </c>
      <c r="C10250" t="str">
        <f>"A0124579"</f>
        <v>A0124579</v>
      </c>
      <c r="D10250" t="s">
        <v>38289</v>
      </c>
      <c r="E10250" t="s">
        <v>38290</v>
      </c>
      <c r="F10250" t="s">
        <v>14044</v>
      </c>
      <c r="G10250" t="s">
        <v>1706</v>
      </c>
      <c r="H10250">
        <v>356530000</v>
      </c>
      <c r="I10250" t="s">
        <v>30</v>
      </c>
      <c r="J10250" t="s">
        <v>41</v>
      </c>
      <c r="K10250" t="s">
        <v>229</v>
      </c>
      <c r="Q10250">
        <v>0</v>
      </c>
      <c r="R10250">
        <v>47</v>
      </c>
      <c r="S10250">
        <v>47</v>
      </c>
      <c r="T10250" t="s">
        <v>38291</v>
      </c>
    </row>
    <row r="10251" spans="1:20" customFormat="1" ht="15" x14ac:dyDescent="0.25">
      <c r="A10251" t="s">
        <v>35</v>
      </c>
      <c r="B10251" t="s">
        <v>61</v>
      </c>
      <c r="C10251" t="str">
        <f>"A0123688"</f>
        <v>A0123688</v>
      </c>
      <c r="D10251" t="s">
        <v>38292</v>
      </c>
      <c r="E10251" t="s">
        <v>38293</v>
      </c>
      <c r="F10251" t="s">
        <v>4108</v>
      </c>
      <c r="G10251" t="s">
        <v>29</v>
      </c>
      <c r="H10251">
        <v>240161200</v>
      </c>
      <c r="I10251" t="s">
        <v>30</v>
      </c>
      <c r="J10251" t="s">
        <v>41</v>
      </c>
      <c r="K10251" t="s">
        <v>229</v>
      </c>
      <c r="Q10251">
        <v>0</v>
      </c>
      <c r="R10251">
        <v>90</v>
      </c>
      <c r="S10251">
        <v>90</v>
      </c>
      <c r="T10251" t="s">
        <v>38294</v>
      </c>
    </row>
    <row r="10252" spans="1:20" customFormat="1" ht="15" x14ac:dyDescent="0.25">
      <c r="A10252" t="s">
        <v>35</v>
      </c>
      <c r="B10252" t="s">
        <v>61</v>
      </c>
      <c r="C10252" t="str">
        <f>"A0132094"</f>
        <v>A0132094</v>
      </c>
      <c r="D10252" t="s">
        <v>38295</v>
      </c>
      <c r="E10252" t="s">
        <v>38296</v>
      </c>
      <c r="F10252" t="s">
        <v>38297</v>
      </c>
      <c r="G10252" t="s">
        <v>65</v>
      </c>
      <c r="H10252">
        <v>44822</v>
      </c>
      <c r="I10252" t="s">
        <v>30</v>
      </c>
      <c r="J10252" t="s">
        <v>41</v>
      </c>
      <c r="K10252" t="s">
        <v>6300</v>
      </c>
      <c r="Q10252">
        <v>0</v>
      </c>
      <c r="R10252">
        <v>0</v>
      </c>
      <c r="S10252">
        <v>0</v>
      </c>
      <c r="T10252" t="s">
        <v>38298</v>
      </c>
    </row>
    <row r="10253" spans="1:20" customFormat="1" ht="15" x14ac:dyDescent="0.25">
      <c r="A10253" t="s">
        <v>35</v>
      </c>
      <c r="B10253" t="s">
        <v>61</v>
      </c>
      <c r="C10253" t="str">
        <f>"A0131855"</f>
        <v>A0131855</v>
      </c>
      <c r="D10253" t="s">
        <v>38299</v>
      </c>
      <c r="E10253" t="s">
        <v>38300</v>
      </c>
      <c r="F10253" t="s">
        <v>23599</v>
      </c>
      <c r="G10253" t="s">
        <v>65</v>
      </c>
      <c r="H10253">
        <v>45011</v>
      </c>
      <c r="I10253" t="s">
        <v>30</v>
      </c>
      <c r="J10253" t="s">
        <v>41</v>
      </c>
      <c r="K10253" t="s">
        <v>229</v>
      </c>
      <c r="Q10253">
        <v>0</v>
      </c>
      <c r="R10253">
        <v>121</v>
      </c>
      <c r="S10253">
        <v>121</v>
      </c>
      <c r="T10253" t="s">
        <v>38301</v>
      </c>
    </row>
    <row r="10254" spans="1:20" customFormat="1" ht="15" x14ac:dyDescent="0.25">
      <c r="A10254" t="s">
        <v>35</v>
      </c>
      <c r="B10254" t="s">
        <v>61</v>
      </c>
      <c r="C10254" t="str">
        <f>"A0131035"</f>
        <v>A0131035</v>
      </c>
      <c r="D10254" t="s">
        <v>38302</v>
      </c>
      <c r="E10254" t="s">
        <v>38303</v>
      </c>
      <c r="F10254" t="s">
        <v>38304</v>
      </c>
      <c r="G10254" t="s">
        <v>137</v>
      </c>
      <c r="H10254">
        <v>63901</v>
      </c>
      <c r="I10254" t="s">
        <v>30</v>
      </c>
      <c r="J10254" t="s">
        <v>41</v>
      </c>
      <c r="K10254" t="s">
        <v>8643</v>
      </c>
      <c r="Q10254">
        <v>0</v>
      </c>
      <c r="R10254">
        <v>150</v>
      </c>
      <c r="S10254">
        <v>150</v>
      </c>
      <c r="T10254" t="s">
        <v>38305</v>
      </c>
    </row>
    <row r="10255" spans="1:20" customFormat="1" ht="15" x14ac:dyDescent="0.25">
      <c r="A10255" t="s">
        <v>35</v>
      </c>
      <c r="B10255" t="s">
        <v>106</v>
      </c>
      <c r="C10255" t="str">
        <f>"A0136513"</f>
        <v>A0136513</v>
      </c>
      <c r="D10255" t="s">
        <v>38306</v>
      </c>
      <c r="E10255" t="s">
        <v>38307</v>
      </c>
      <c r="F10255" t="s">
        <v>38308</v>
      </c>
      <c r="G10255" t="s">
        <v>110</v>
      </c>
      <c r="H10255">
        <v>95965</v>
      </c>
      <c r="I10255" t="s">
        <v>30</v>
      </c>
      <c r="J10255" t="s">
        <v>111</v>
      </c>
      <c r="K10255" t="s">
        <v>10012</v>
      </c>
      <c r="Q10255">
        <v>0</v>
      </c>
      <c r="R10255">
        <v>0</v>
      </c>
      <c r="S10255">
        <v>0</v>
      </c>
      <c r="T10255" t="s">
        <v>38309</v>
      </c>
    </row>
    <row r="10256" spans="1:20" customFormat="1" ht="15" x14ac:dyDescent="0.25">
      <c r="A10256" t="s">
        <v>35</v>
      </c>
      <c r="B10256" t="s">
        <v>61</v>
      </c>
      <c r="C10256" t="str">
        <f>"A0130365"</f>
        <v>A0130365</v>
      </c>
      <c r="D10256" t="s">
        <v>38310</v>
      </c>
      <c r="E10256" t="s">
        <v>38311</v>
      </c>
      <c r="F10256" t="s">
        <v>38312</v>
      </c>
      <c r="G10256" t="s">
        <v>1898</v>
      </c>
      <c r="H10256">
        <v>50801</v>
      </c>
      <c r="I10256" t="s">
        <v>30</v>
      </c>
      <c r="J10256" t="s">
        <v>41</v>
      </c>
      <c r="K10256" t="s">
        <v>131</v>
      </c>
      <c r="Q10256">
        <v>0</v>
      </c>
      <c r="R10256">
        <v>30</v>
      </c>
      <c r="S10256">
        <v>30</v>
      </c>
      <c r="T10256" t="s">
        <v>38313</v>
      </c>
    </row>
    <row r="10257" spans="1:20" customFormat="1" ht="15" x14ac:dyDescent="0.25">
      <c r="A10257" t="s">
        <v>35</v>
      </c>
      <c r="B10257" t="s">
        <v>61</v>
      </c>
      <c r="C10257" t="str">
        <f>"A0131208"</f>
        <v>A0131208</v>
      </c>
      <c r="D10257" t="s">
        <v>38314</v>
      </c>
      <c r="E10257" t="s">
        <v>38315</v>
      </c>
      <c r="F10257" t="s">
        <v>19869</v>
      </c>
      <c r="G10257" t="s">
        <v>85</v>
      </c>
      <c r="H10257">
        <v>820230000</v>
      </c>
      <c r="I10257" t="s">
        <v>30</v>
      </c>
      <c r="J10257" t="s">
        <v>41</v>
      </c>
      <c r="K10257" t="s">
        <v>2760</v>
      </c>
      <c r="Q10257">
        <v>0</v>
      </c>
      <c r="R10257">
        <v>1</v>
      </c>
      <c r="S10257">
        <v>1</v>
      </c>
      <c r="T10257" t="s">
        <v>38316</v>
      </c>
    </row>
    <row r="10258" spans="1:20" customFormat="1" ht="15" x14ac:dyDescent="0.25">
      <c r="A10258" t="s">
        <v>35</v>
      </c>
      <c r="B10258" t="s">
        <v>61</v>
      </c>
      <c r="C10258" t="str">
        <f>"A0118176"</f>
        <v>A0118176</v>
      </c>
      <c r="D10258" t="s">
        <v>38317</v>
      </c>
      <c r="E10258" t="s">
        <v>38318</v>
      </c>
      <c r="F10258" t="s">
        <v>8024</v>
      </c>
      <c r="G10258" t="s">
        <v>153</v>
      </c>
      <c r="H10258">
        <v>84332</v>
      </c>
      <c r="I10258" t="s">
        <v>30</v>
      </c>
      <c r="J10258" t="s">
        <v>41</v>
      </c>
      <c r="K10258" t="s">
        <v>59</v>
      </c>
      <c r="Q10258">
        <v>0</v>
      </c>
      <c r="R10258">
        <v>46</v>
      </c>
      <c r="S10258">
        <v>46</v>
      </c>
      <c r="T10258" t="s">
        <v>38319</v>
      </c>
    </row>
    <row r="10259" spans="1:20" customFormat="1" ht="15" x14ac:dyDescent="0.25">
      <c r="A10259" t="s">
        <v>35</v>
      </c>
      <c r="B10259" t="s">
        <v>61</v>
      </c>
      <c r="C10259" t="str">
        <f>"A0118760"</f>
        <v>A0118760</v>
      </c>
      <c r="D10259" t="s">
        <v>38320</v>
      </c>
      <c r="E10259" t="s">
        <v>38321</v>
      </c>
      <c r="F10259" t="s">
        <v>38322</v>
      </c>
      <c r="G10259" t="s">
        <v>110</v>
      </c>
      <c r="H10259">
        <v>92064</v>
      </c>
      <c r="I10259" t="s">
        <v>30</v>
      </c>
      <c r="J10259" t="s">
        <v>41</v>
      </c>
      <c r="K10259" t="s">
        <v>59</v>
      </c>
      <c r="Q10259">
        <v>0</v>
      </c>
      <c r="R10259">
        <v>45</v>
      </c>
      <c r="S10259">
        <v>45</v>
      </c>
      <c r="T10259" t="s">
        <v>38323</v>
      </c>
    </row>
    <row r="10260" spans="1:20" customFormat="1" ht="15" x14ac:dyDescent="0.25">
      <c r="A10260" t="s">
        <v>35</v>
      </c>
      <c r="B10260" t="s">
        <v>61</v>
      </c>
      <c r="C10260" t="str">
        <f>"A0124141"</f>
        <v>A0124141</v>
      </c>
      <c r="D10260" t="s">
        <v>38324</v>
      </c>
      <c r="E10260" t="s">
        <v>38325</v>
      </c>
      <c r="F10260" t="s">
        <v>19113</v>
      </c>
      <c r="G10260" t="s">
        <v>528</v>
      </c>
      <c r="H10260">
        <v>19702</v>
      </c>
      <c r="I10260" t="s">
        <v>30</v>
      </c>
      <c r="J10260" t="s">
        <v>41</v>
      </c>
      <c r="K10260" t="s">
        <v>229</v>
      </c>
      <c r="Q10260">
        <v>0</v>
      </c>
      <c r="R10260">
        <v>120</v>
      </c>
      <c r="S10260">
        <v>120</v>
      </c>
      <c r="T10260" t="s">
        <v>38326</v>
      </c>
    </row>
    <row r="10261" spans="1:20" customFormat="1" ht="15" x14ac:dyDescent="0.25">
      <c r="A10261" t="s">
        <v>35</v>
      </c>
      <c r="B10261" t="s">
        <v>61</v>
      </c>
      <c r="C10261" t="str">
        <f>"A0124146"</f>
        <v>A0124146</v>
      </c>
      <c r="D10261" t="s">
        <v>38327</v>
      </c>
      <c r="E10261" t="s">
        <v>38328</v>
      </c>
      <c r="F10261" t="s">
        <v>531</v>
      </c>
      <c r="G10261" t="s">
        <v>528</v>
      </c>
      <c r="H10261">
        <v>19904</v>
      </c>
      <c r="I10261" t="s">
        <v>30</v>
      </c>
      <c r="J10261" t="s">
        <v>41</v>
      </c>
      <c r="K10261" t="s">
        <v>482</v>
      </c>
      <c r="Q10261">
        <v>0</v>
      </c>
      <c r="R10261">
        <v>120</v>
      </c>
      <c r="S10261">
        <v>120</v>
      </c>
      <c r="T10261" t="s">
        <v>38329</v>
      </c>
    </row>
    <row r="10262" spans="1:20" customFormat="1" ht="15" x14ac:dyDescent="0.25">
      <c r="A10262" t="s">
        <v>35</v>
      </c>
      <c r="B10262" t="s">
        <v>61</v>
      </c>
      <c r="C10262" t="str">
        <f>"A0124326"</f>
        <v>A0124326</v>
      </c>
      <c r="D10262" t="s">
        <v>38330</v>
      </c>
      <c r="E10262" t="s">
        <v>38331</v>
      </c>
      <c r="F10262" t="s">
        <v>3327</v>
      </c>
      <c r="G10262" t="s">
        <v>528</v>
      </c>
      <c r="H10262">
        <v>19810</v>
      </c>
      <c r="I10262" t="s">
        <v>30</v>
      </c>
      <c r="J10262" t="s">
        <v>41</v>
      </c>
      <c r="K10262" t="s">
        <v>229</v>
      </c>
      <c r="Q10262">
        <v>0</v>
      </c>
      <c r="R10262">
        <v>128</v>
      </c>
      <c r="S10262">
        <v>128</v>
      </c>
      <c r="T10262" t="s">
        <v>38332</v>
      </c>
    </row>
    <row r="10263" spans="1:20" customFormat="1" ht="15" x14ac:dyDescent="0.25">
      <c r="A10263" t="s">
        <v>35</v>
      </c>
      <c r="B10263" t="s">
        <v>61</v>
      </c>
      <c r="C10263" t="str">
        <f>"A0124331"</f>
        <v>A0124331</v>
      </c>
      <c r="D10263" t="s">
        <v>38333</v>
      </c>
      <c r="E10263" t="s">
        <v>38334</v>
      </c>
      <c r="F10263" t="s">
        <v>38335</v>
      </c>
      <c r="G10263" t="s">
        <v>528</v>
      </c>
      <c r="H10263">
        <v>19966</v>
      </c>
      <c r="I10263" t="s">
        <v>30</v>
      </c>
      <c r="J10263" t="s">
        <v>41</v>
      </c>
      <c r="K10263" t="s">
        <v>229</v>
      </c>
      <c r="Q10263">
        <v>0</v>
      </c>
      <c r="R10263">
        <v>130</v>
      </c>
      <c r="S10263">
        <v>130</v>
      </c>
      <c r="T10263" t="s">
        <v>38336</v>
      </c>
    </row>
    <row r="10264" spans="1:20" customFormat="1" ht="15" x14ac:dyDescent="0.25">
      <c r="A10264" t="s">
        <v>35</v>
      </c>
      <c r="B10264" t="s">
        <v>437</v>
      </c>
      <c r="C10264" t="str">
        <f>"A0134076"</f>
        <v>A0134076</v>
      </c>
      <c r="D10264" t="s">
        <v>38337</v>
      </c>
      <c r="E10264" t="s">
        <v>38338</v>
      </c>
      <c r="F10264" t="s">
        <v>6992</v>
      </c>
      <c r="G10264" t="s">
        <v>110</v>
      </c>
      <c r="H10264">
        <v>92660</v>
      </c>
      <c r="I10264" t="s">
        <v>30</v>
      </c>
      <c r="J10264" t="s">
        <v>441</v>
      </c>
      <c r="K10264" t="s">
        <v>442</v>
      </c>
      <c r="Q10264">
        <v>0</v>
      </c>
      <c r="R10264">
        <v>0</v>
      </c>
      <c r="S10264">
        <v>0</v>
      </c>
      <c r="T10264" t="s">
        <v>38339</v>
      </c>
    </row>
    <row r="10265" spans="1:20" customFormat="1" ht="15" x14ac:dyDescent="0.25">
      <c r="A10265" t="s">
        <v>35</v>
      </c>
      <c r="B10265" t="s">
        <v>437</v>
      </c>
      <c r="C10265" t="str">
        <f>"A0134049"</f>
        <v>A0134049</v>
      </c>
      <c r="D10265" t="s">
        <v>38340</v>
      </c>
      <c r="E10265" t="s">
        <v>38341</v>
      </c>
      <c r="F10265" t="s">
        <v>20721</v>
      </c>
      <c r="G10265" t="s">
        <v>99</v>
      </c>
      <c r="H10265">
        <v>13413</v>
      </c>
      <c r="I10265" t="s">
        <v>30</v>
      </c>
      <c r="J10265" t="s">
        <v>441</v>
      </c>
      <c r="K10265" t="s">
        <v>442</v>
      </c>
      <c r="Q10265">
        <v>0</v>
      </c>
      <c r="R10265">
        <v>0</v>
      </c>
      <c r="S10265">
        <v>0</v>
      </c>
      <c r="T10265" t="s">
        <v>7662</v>
      </c>
    </row>
    <row r="10266" spans="1:20" customFormat="1" ht="15" x14ac:dyDescent="0.25">
      <c r="A10266" t="s">
        <v>35</v>
      </c>
      <c r="B10266" t="s">
        <v>437</v>
      </c>
      <c r="C10266" t="str">
        <f>"A0134050"</f>
        <v>A0134050</v>
      </c>
      <c r="D10266" t="s">
        <v>38342</v>
      </c>
      <c r="E10266" t="s">
        <v>38343</v>
      </c>
      <c r="F10266" t="s">
        <v>14154</v>
      </c>
      <c r="G10266" t="s">
        <v>110</v>
      </c>
      <c r="H10266">
        <v>92672</v>
      </c>
      <c r="I10266" t="s">
        <v>30</v>
      </c>
      <c r="J10266" t="s">
        <v>441</v>
      </c>
      <c r="K10266" t="s">
        <v>442</v>
      </c>
      <c r="Q10266">
        <v>0</v>
      </c>
      <c r="R10266">
        <v>0</v>
      </c>
      <c r="S10266">
        <v>0</v>
      </c>
      <c r="T10266" t="s">
        <v>38344</v>
      </c>
    </row>
    <row r="10267" spans="1:20" customFormat="1" ht="15" x14ac:dyDescent="0.25">
      <c r="A10267" t="s">
        <v>35</v>
      </c>
      <c r="B10267" t="s">
        <v>106</v>
      </c>
      <c r="C10267" t="str">
        <f>"A0135517"</f>
        <v>A0135517</v>
      </c>
      <c r="D10267" t="s">
        <v>38345</v>
      </c>
      <c r="E10267" t="s">
        <v>38346</v>
      </c>
      <c r="F10267" t="s">
        <v>37113</v>
      </c>
      <c r="G10267" t="s">
        <v>110</v>
      </c>
      <c r="H10267">
        <v>93407</v>
      </c>
      <c r="I10267" t="s">
        <v>30</v>
      </c>
      <c r="J10267" t="s">
        <v>111</v>
      </c>
      <c r="K10267" t="s">
        <v>10012</v>
      </c>
      <c r="Q10267">
        <v>0</v>
      </c>
      <c r="R10267">
        <v>0</v>
      </c>
      <c r="S10267">
        <v>0</v>
      </c>
      <c r="T10267" t="s">
        <v>38347</v>
      </c>
    </row>
    <row r="10268" spans="1:20" customFormat="1" ht="15" x14ac:dyDescent="0.25">
      <c r="A10268" t="s">
        <v>35</v>
      </c>
      <c r="B10268" t="s">
        <v>106</v>
      </c>
      <c r="C10268" t="str">
        <f>"A0135703"</f>
        <v>A0135703</v>
      </c>
      <c r="D10268" t="s">
        <v>38348</v>
      </c>
      <c r="E10268" t="s">
        <v>38349</v>
      </c>
      <c r="F10268" t="s">
        <v>38350</v>
      </c>
      <c r="G10268" t="s">
        <v>110</v>
      </c>
      <c r="H10268">
        <v>959277570</v>
      </c>
      <c r="I10268" t="s">
        <v>30</v>
      </c>
      <c r="J10268" t="s">
        <v>111</v>
      </c>
      <c r="K10268" t="s">
        <v>10012</v>
      </c>
      <c r="Q10268">
        <v>0</v>
      </c>
      <c r="R10268">
        <v>0</v>
      </c>
      <c r="S10268">
        <v>0</v>
      </c>
      <c r="T10268" t="s">
        <v>38351</v>
      </c>
    </row>
    <row r="10269" spans="1:20" customFormat="1" ht="15" x14ac:dyDescent="0.25">
      <c r="A10269" t="s">
        <v>35</v>
      </c>
      <c r="B10269" t="s">
        <v>106</v>
      </c>
      <c r="C10269" t="str">
        <f>"A0135704"</f>
        <v>A0135704</v>
      </c>
      <c r="D10269" t="s">
        <v>38352</v>
      </c>
      <c r="E10269" t="s">
        <v>38349</v>
      </c>
      <c r="F10269" t="s">
        <v>38350</v>
      </c>
      <c r="G10269" t="s">
        <v>110</v>
      </c>
      <c r="H10269">
        <v>959277570</v>
      </c>
      <c r="I10269" t="s">
        <v>30</v>
      </c>
      <c r="J10269" t="s">
        <v>111</v>
      </c>
      <c r="K10269" t="s">
        <v>10012</v>
      </c>
      <c r="Q10269">
        <v>0</v>
      </c>
      <c r="R10269">
        <v>0</v>
      </c>
      <c r="S10269">
        <v>0</v>
      </c>
      <c r="T10269" t="s">
        <v>38351</v>
      </c>
    </row>
    <row r="10270" spans="1:20" customFormat="1" ht="15" x14ac:dyDescent="0.25">
      <c r="A10270" t="s">
        <v>35</v>
      </c>
      <c r="B10270" t="s">
        <v>106</v>
      </c>
      <c r="C10270" t="str">
        <f>"A0135710"</f>
        <v>A0135710</v>
      </c>
      <c r="D10270" t="s">
        <v>38353</v>
      </c>
      <c r="E10270" t="s">
        <v>38349</v>
      </c>
      <c r="F10270" t="s">
        <v>38350</v>
      </c>
      <c r="G10270" t="s">
        <v>110</v>
      </c>
      <c r="H10270">
        <v>959277570</v>
      </c>
      <c r="I10270" t="s">
        <v>30</v>
      </c>
      <c r="J10270" t="s">
        <v>111</v>
      </c>
      <c r="K10270" t="s">
        <v>10012</v>
      </c>
      <c r="Q10270">
        <v>0</v>
      </c>
      <c r="R10270">
        <v>0</v>
      </c>
      <c r="S10270">
        <v>0</v>
      </c>
      <c r="T10270" t="s">
        <v>38351</v>
      </c>
    </row>
    <row r="10271" spans="1:20" customFormat="1" ht="15" x14ac:dyDescent="0.25">
      <c r="A10271" t="s">
        <v>35</v>
      </c>
      <c r="B10271" t="s">
        <v>106</v>
      </c>
      <c r="C10271" t="str">
        <f>"A0135709"</f>
        <v>A0135709</v>
      </c>
      <c r="D10271" t="s">
        <v>38354</v>
      </c>
      <c r="E10271" t="s">
        <v>38349</v>
      </c>
      <c r="F10271" t="s">
        <v>38350</v>
      </c>
      <c r="G10271" t="s">
        <v>110</v>
      </c>
      <c r="H10271">
        <v>959277570</v>
      </c>
      <c r="I10271" t="s">
        <v>30</v>
      </c>
      <c r="J10271" t="s">
        <v>111</v>
      </c>
      <c r="K10271" t="s">
        <v>10012</v>
      </c>
      <c r="Q10271">
        <v>0</v>
      </c>
      <c r="R10271">
        <v>0</v>
      </c>
      <c r="S10271">
        <v>0</v>
      </c>
      <c r="T10271" t="s">
        <v>38351</v>
      </c>
    </row>
    <row r="10272" spans="1:20" customFormat="1" ht="15" x14ac:dyDescent="0.25">
      <c r="A10272" t="s">
        <v>35</v>
      </c>
      <c r="B10272" t="s">
        <v>106</v>
      </c>
      <c r="C10272" t="str">
        <f>"A0135708"</f>
        <v>A0135708</v>
      </c>
      <c r="D10272" t="s">
        <v>38355</v>
      </c>
      <c r="E10272" t="s">
        <v>38349</v>
      </c>
      <c r="F10272" t="s">
        <v>38350</v>
      </c>
      <c r="G10272" t="s">
        <v>110</v>
      </c>
      <c r="H10272">
        <v>959277570</v>
      </c>
      <c r="I10272" t="s">
        <v>30</v>
      </c>
      <c r="J10272" t="s">
        <v>111</v>
      </c>
      <c r="K10272" t="s">
        <v>10012</v>
      </c>
      <c r="Q10272">
        <v>0</v>
      </c>
      <c r="R10272">
        <v>0</v>
      </c>
      <c r="S10272">
        <v>0</v>
      </c>
      <c r="T10272" t="s">
        <v>38351</v>
      </c>
    </row>
    <row r="10273" spans="1:20" customFormat="1" ht="15" x14ac:dyDescent="0.25">
      <c r="A10273" t="s">
        <v>35</v>
      </c>
      <c r="B10273" t="s">
        <v>106</v>
      </c>
      <c r="C10273" t="str">
        <f>"A0135706"</f>
        <v>A0135706</v>
      </c>
      <c r="D10273" t="s">
        <v>38356</v>
      </c>
      <c r="E10273" t="s">
        <v>38349</v>
      </c>
      <c r="F10273" t="s">
        <v>38350</v>
      </c>
      <c r="G10273" t="s">
        <v>110</v>
      </c>
      <c r="H10273">
        <v>959277570</v>
      </c>
      <c r="I10273" t="s">
        <v>30</v>
      </c>
      <c r="J10273" t="s">
        <v>111</v>
      </c>
      <c r="K10273" t="s">
        <v>10012</v>
      </c>
      <c r="Q10273">
        <v>0</v>
      </c>
      <c r="R10273">
        <v>0</v>
      </c>
      <c r="S10273">
        <v>0</v>
      </c>
      <c r="T10273" t="s">
        <v>38351</v>
      </c>
    </row>
    <row r="10274" spans="1:20" customFormat="1" ht="15" x14ac:dyDescent="0.25">
      <c r="A10274" t="s">
        <v>35</v>
      </c>
      <c r="B10274" t="s">
        <v>106</v>
      </c>
      <c r="C10274" t="str">
        <f>"A0135707"</f>
        <v>A0135707</v>
      </c>
      <c r="D10274" t="s">
        <v>38357</v>
      </c>
      <c r="E10274" t="s">
        <v>38349</v>
      </c>
      <c r="F10274" t="s">
        <v>38350</v>
      </c>
      <c r="G10274" t="s">
        <v>110</v>
      </c>
      <c r="H10274">
        <v>959277570</v>
      </c>
      <c r="I10274" t="s">
        <v>30</v>
      </c>
      <c r="J10274" t="s">
        <v>111</v>
      </c>
      <c r="K10274" t="s">
        <v>10012</v>
      </c>
      <c r="Q10274">
        <v>0</v>
      </c>
      <c r="R10274">
        <v>0</v>
      </c>
      <c r="S10274">
        <v>0</v>
      </c>
      <c r="T10274" t="s">
        <v>38351</v>
      </c>
    </row>
    <row r="10275" spans="1:20" customFormat="1" ht="15" x14ac:dyDescent="0.25">
      <c r="A10275" t="s">
        <v>35</v>
      </c>
      <c r="B10275" t="s">
        <v>106</v>
      </c>
      <c r="C10275" t="str">
        <f>"A0135705"</f>
        <v>A0135705</v>
      </c>
      <c r="D10275" t="s">
        <v>38358</v>
      </c>
      <c r="E10275" t="s">
        <v>38349</v>
      </c>
      <c r="F10275" t="s">
        <v>38350</v>
      </c>
      <c r="G10275" t="s">
        <v>110</v>
      </c>
      <c r="H10275">
        <v>959277570</v>
      </c>
      <c r="I10275" t="s">
        <v>30</v>
      </c>
      <c r="J10275" t="s">
        <v>111</v>
      </c>
      <c r="K10275" t="s">
        <v>10012</v>
      </c>
      <c r="Q10275">
        <v>0</v>
      </c>
      <c r="R10275">
        <v>0</v>
      </c>
      <c r="S10275">
        <v>0</v>
      </c>
      <c r="T10275" t="s">
        <v>38351</v>
      </c>
    </row>
    <row r="10276" spans="1:20" customFormat="1" ht="15" x14ac:dyDescent="0.25">
      <c r="A10276" t="s">
        <v>35</v>
      </c>
      <c r="B10276" t="s">
        <v>106</v>
      </c>
      <c r="C10276" t="str">
        <f>"A0135956"</f>
        <v>A0135956</v>
      </c>
      <c r="D10276" t="s">
        <v>38359</v>
      </c>
      <c r="E10276" t="s">
        <v>38360</v>
      </c>
      <c r="F10276" t="s">
        <v>16066</v>
      </c>
      <c r="G10276" t="s">
        <v>110</v>
      </c>
      <c r="H10276">
        <v>920780000</v>
      </c>
      <c r="I10276" t="s">
        <v>30</v>
      </c>
      <c r="J10276" t="s">
        <v>111</v>
      </c>
      <c r="K10276" t="s">
        <v>10012</v>
      </c>
      <c r="Q10276">
        <v>0</v>
      </c>
      <c r="R10276">
        <v>0</v>
      </c>
      <c r="S10276">
        <v>0</v>
      </c>
      <c r="T10276" t="s">
        <v>38361</v>
      </c>
    </row>
    <row r="10277" spans="1:20" customFormat="1" ht="15" x14ac:dyDescent="0.25">
      <c r="A10277" t="s">
        <v>35</v>
      </c>
      <c r="B10277" t="s">
        <v>106</v>
      </c>
      <c r="C10277" t="str">
        <f>"A0135946"</f>
        <v>A0135946</v>
      </c>
      <c r="D10277" t="s">
        <v>38362</v>
      </c>
      <c r="E10277" t="s">
        <v>38363</v>
      </c>
      <c r="F10277" t="s">
        <v>14693</v>
      </c>
      <c r="G10277" t="s">
        <v>110</v>
      </c>
      <c r="H10277">
        <v>92834</v>
      </c>
      <c r="I10277" t="s">
        <v>30</v>
      </c>
      <c r="J10277" t="s">
        <v>111</v>
      </c>
      <c r="K10277" t="s">
        <v>10012</v>
      </c>
      <c r="Q10277">
        <v>0</v>
      </c>
      <c r="R10277">
        <v>0</v>
      </c>
      <c r="S10277">
        <v>0</v>
      </c>
      <c r="T10277" t="s">
        <v>37060</v>
      </c>
    </row>
    <row r="10278" spans="1:20" customFormat="1" ht="15" x14ac:dyDescent="0.25">
      <c r="A10278" t="s">
        <v>35</v>
      </c>
      <c r="B10278" t="s">
        <v>106</v>
      </c>
      <c r="C10278" t="str">
        <f>"A0136385"</f>
        <v>A0136385</v>
      </c>
      <c r="D10278" t="s">
        <v>38364</v>
      </c>
      <c r="E10278" t="s">
        <v>38365</v>
      </c>
      <c r="F10278" t="s">
        <v>6244</v>
      </c>
      <c r="G10278" t="s">
        <v>110</v>
      </c>
      <c r="H10278">
        <v>93740</v>
      </c>
      <c r="I10278" t="s">
        <v>30</v>
      </c>
      <c r="J10278" t="s">
        <v>111</v>
      </c>
      <c r="K10278" t="s">
        <v>10012</v>
      </c>
      <c r="Q10278">
        <v>0</v>
      </c>
      <c r="R10278">
        <v>0</v>
      </c>
      <c r="S10278">
        <v>0</v>
      </c>
      <c r="T10278" t="s">
        <v>38366</v>
      </c>
    </row>
    <row r="10279" spans="1:20" customFormat="1" ht="15" x14ac:dyDescent="0.25">
      <c r="A10279" t="s">
        <v>35</v>
      </c>
      <c r="B10279" t="s">
        <v>61</v>
      </c>
      <c r="C10279" t="str">
        <f>"A0118354"</f>
        <v>A0118354</v>
      </c>
      <c r="D10279" t="s">
        <v>38367</v>
      </c>
      <c r="E10279" t="s">
        <v>38368</v>
      </c>
      <c r="F10279" t="s">
        <v>38369</v>
      </c>
      <c r="G10279" t="s">
        <v>110</v>
      </c>
      <c r="H10279">
        <v>95249</v>
      </c>
      <c r="I10279" t="s">
        <v>30</v>
      </c>
      <c r="J10279" t="s">
        <v>41</v>
      </c>
      <c r="K10279" t="s">
        <v>2760</v>
      </c>
      <c r="Q10279">
        <v>0</v>
      </c>
      <c r="R10279">
        <v>1</v>
      </c>
      <c r="S10279">
        <v>1</v>
      </c>
      <c r="T10279" t="s">
        <v>38370</v>
      </c>
    </row>
    <row r="10280" spans="1:20" customFormat="1" ht="15" x14ac:dyDescent="0.25">
      <c r="A10280" t="s">
        <v>35</v>
      </c>
      <c r="B10280" t="s">
        <v>61</v>
      </c>
      <c r="C10280" t="str">
        <f>"A0129136"</f>
        <v>A0129136</v>
      </c>
      <c r="D10280" t="s">
        <v>38371</v>
      </c>
      <c r="E10280" t="s">
        <v>38372</v>
      </c>
      <c r="F10280" t="s">
        <v>38373</v>
      </c>
      <c r="G10280" t="s">
        <v>289</v>
      </c>
      <c r="H10280">
        <v>60546</v>
      </c>
      <c r="I10280" t="s">
        <v>30</v>
      </c>
      <c r="J10280" t="s">
        <v>41</v>
      </c>
      <c r="K10280" t="s">
        <v>229</v>
      </c>
      <c r="Q10280">
        <v>0</v>
      </c>
      <c r="R10280">
        <v>85</v>
      </c>
      <c r="S10280">
        <v>85</v>
      </c>
      <c r="T10280" t="s">
        <v>38374</v>
      </c>
    </row>
    <row r="10281" spans="1:20" customFormat="1" ht="15" x14ac:dyDescent="0.25">
      <c r="A10281" t="s">
        <v>35</v>
      </c>
      <c r="B10281" t="s">
        <v>61</v>
      </c>
      <c r="C10281" t="str">
        <f>"A0124603"</f>
        <v>A0124603</v>
      </c>
      <c r="D10281" t="s">
        <v>38375</v>
      </c>
      <c r="E10281" t="s">
        <v>38376</v>
      </c>
      <c r="F10281" t="s">
        <v>38377</v>
      </c>
      <c r="G10281" t="s">
        <v>1369</v>
      </c>
      <c r="H10281">
        <v>389160000</v>
      </c>
      <c r="I10281" t="s">
        <v>30</v>
      </c>
      <c r="J10281" t="s">
        <v>41</v>
      </c>
      <c r="K10281" t="s">
        <v>229</v>
      </c>
      <c r="Q10281">
        <v>0</v>
      </c>
      <c r="R10281">
        <v>60</v>
      </c>
      <c r="S10281">
        <v>60</v>
      </c>
      <c r="T10281" t="s">
        <v>38378</v>
      </c>
    </row>
    <row r="10282" spans="1:20" customFormat="1" ht="15" x14ac:dyDescent="0.25">
      <c r="A10282" t="s">
        <v>35</v>
      </c>
      <c r="B10282" t="s">
        <v>106</v>
      </c>
      <c r="C10282" t="str">
        <f>"A0135976"</f>
        <v>A0135976</v>
      </c>
      <c r="D10282" t="s">
        <v>38379</v>
      </c>
      <c r="E10282" t="s">
        <v>38380</v>
      </c>
      <c r="F10282" t="s">
        <v>9836</v>
      </c>
      <c r="G10282" t="s">
        <v>110</v>
      </c>
      <c r="H10282">
        <v>911255200</v>
      </c>
      <c r="I10282" t="s">
        <v>30</v>
      </c>
      <c r="J10282" t="s">
        <v>111</v>
      </c>
      <c r="K10282" t="s">
        <v>10012</v>
      </c>
      <c r="Q10282">
        <v>0</v>
      </c>
      <c r="R10282">
        <v>0</v>
      </c>
      <c r="S10282">
        <v>0</v>
      </c>
      <c r="T10282" t="s">
        <v>38381</v>
      </c>
    </row>
    <row r="10283" spans="1:20" customFormat="1" ht="15" x14ac:dyDescent="0.25">
      <c r="A10283" t="s">
        <v>35</v>
      </c>
      <c r="B10283" t="s">
        <v>61</v>
      </c>
      <c r="C10283" t="str">
        <f>"A0117973"</f>
        <v>A0117973</v>
      </c>
      <c r="D10283" t="s">
        <v>38382</v>
      </c>
      <c r="E10283" t="s">
        <v>38383</v>
      </c>
      <c r="F10283" t="s">
        <v>7538</v>
      </c>
      <c r="G10283" t="s">
        <v>110</v>
      </c>
      <c r="H10283">
        <v>93422</v>
      </c>
      <c r="I10283" t="s">
        <v>30</v>
      </c>
      <c r="J10283" t="s">
        <v>41</v>
      </c>
      <c r="K10283" t="s">
        <v>59</v>
      </c>
      <c r="Q10283">
        <v>0</v>
      </c>
      <c r="R10283">
        <v>96</v>
      </c>
      <c r="S10283">
        <v>96</v>
      </c>
      <c r="T10283" t="s">
        <v>38384</v>
      </c>
    </row>
    <row r="10284" spans="1:20" customFormat="1" ht="15" x14ac:dyDescent="0.25">
      <c r="A10284" t="s">
        <v>35</v>
      </c>
      <c r="B10284" t="s">
        <v>61</v>
      </c>
      <c r="C10284" t="str">
        <f>"A0118033"</f>
        <v>A0118033</v>
      </c>
      <c r="D10284" t="s">
        <v>38385</v>
      </c>
      <c r="E10284" t="s">
        <v>38386</v>
      </c>
      <c r="F10284" t="s">
        <v>38387</v>
      </c>
      <c r="G10284" t="s">
        <v>110</v>
      </c>
      <c r="H10284">
        <v>91011</v>
      </c>
      <c r="I10284" t="s">
        <v>30</v>
      </c>
      <c r="J10284" t="s">
        <v>41</v>
      </c>
      <c r="K10284" t="s">
        <v>59</v>
      </c>
      <c r="Q10284">
        <v>0</v>
      </c>
      <c r="R10284">
        <v>212</v>
      </c>
      <c r="S10284">
        <v>212</v>
      </c>
      <c r="T10284" t="s">
        <v>38388</v>
      </c>
    </row>
    <row r="10285" spans="1:20" customFormat="1" ht="15" x14ac:dyDescent="0.25">
      <c r="A10285" t="s">
        <v>35</v>
      </c>
      <c r="B10285" t="s">
        <v>61</v>
      </c>
      <c r="C10285" t="str">
        <f>"A0118402"</f>
        <v>A0118402</v>
      </c>
      <c r="D10285" t="s">
        <v>38389</v>
      </c>
      <c r="E10285" t="s">
        <v>38390</v>
      </c>
      <c r="F10285" t="s">
        <v>8070</v>
      </c>
      <c r="G10285" t="s">
        <v>110</v>
      </c>
      <c r="H10285">
        <v>95315</v>
      </c>
      <c r="I10285" t="s">
        <v>30</v>
      </c>
      <c r="J10285" t="s">
        <v>41</v>
      </c>
      <c r="K10285" t="s">
        <v>2468</v>
      </c>
      <c r="Q10285">
        <v>0</v>
      </c>
      <c r="R10285">
        <v>54</v>
      </c>
      <c r="S10285">
        <v>54</v>
      </c>
      <c r="T10285" t="s">
        <v>38391</v>
      </c>
    </row>
    <row r="10286" spans="1:20" customFormat="1" ht="15" x14ac:dyDescent="0.25">
      <c r="A10286" t="s">
        <v>35</v>
      </c>
      <c r="B10286" t="s">
        <v>61</v>
      </c>
      <c r="C10286" t="str">
        <f>"A0122018"</f>
        <v>A0122018</v>
      </c>
      <c r="D10286" t="s">
        <v>38392</v>
      </c>
      <c r="E10286" t="s">
        <v>38393</v>
      </c>
      <c r="F10286" t="s">
        <v>4288</v>
      </c>
      <c r="G10286" t="s">
        <v>110</v>
      </c>
      <c r="H10286">
        <v>92505</v>
      </c>
      <c r="I10286" t="s">
        <v>30</v>
      </c>
      <c r="J10286" t="s">
        <v>41</v>
      </c>
      <c r="K10286" t="s">
        <v>482</v>
      </c>
      <c r="Q10286">
        <v>0</v>
      </c>
      <c r="R10286">
        <v>72</v>
      </c>
      <c r="S10286">
        <v>72</v>
      </c>
      <c r="T10286" t="s">
        <v>38394</v>
      </c>
    </row>
    <row r="10287" spans="1:20" customFormat="1" ht="15" x14ac:dyDescent="0.25">
      <c r="A10287" t="s">
        <v>35</v>
      </c>
      <c r="B10287" t="s">
        <v>106</v>
      </c>
      <c r="C10287" t="str">
        <f>"A0135977"</f>
        <v>A0135977</v>
      </c>
      <c r="D10287" t="s">
        <v>38395</v>
      </c>
      <c r="E10287" t="s">
        <v>38380</v>
      </c>
      <c r="F10287" t="s">
        <v>9836</v>
      </c>
      <c r="G10287" t="s">
        <v>110</v>
      </c>
      <c r="H10287">
        <v>911255200</v>
      </c>
      <c r="I10287" t="s">
        <v>30</v>
      </c>
      <c r="J10287" t="s">
        <v>111</v>
      </c>
      <c r="K10287" t="s">
        <v>10012</v>
      </c>
      <c r="Q10287">
        <v>0</v>
      </c>
      <c r="R10287">
        <v>0</v>
      </c>
      <c r="S10287">
        <v>0</v>
      </c>
      <c r="T10287" t="s">
        <v>38381</v>
      </c>
    </row>
    <row r="10288" spans="1:20" customFormat="1" ht="15" x14ac:dyDescent="0.25">
      <c r="A10288" t="s">
        <v>35</v>
      </c>
      <c r="B10288" t="s">
        <v>106</v>
      </c>
      <c r="C10288" t="str">
        <f>"A0135978"</f>
        <v>A0135978</v>
      </c>
      <c r="D10288" t="s">
        <v>38396</v>
      </c>
      <c r="E10288" t="s">
        <v>38380</v>
      </c>
      <c r="F10288" t="s">
        <v>9836</v>
      </c>
      <c r="G10288" t="s">
        <v>110</v>
      </c>
      <c r="H10288">
        <v>911255200</v>
      </c>
      <c r="I10288" t="s">
        <v>30</v>
      </c>
      <c r="J10288" t="s">
        <v>111</v>
      </c>
      <c r="K10288" t="s">
        <v>10012</v>
      </c>
      <c r="Q10288">
        <v>0</v>
      </c>
      <c r="R10288">
        <v>0</v>
      </c>
      <c r="S10288">
        <v>0</v>
      </c>
      <c r="T10288" t="s">
        <v>38381</v>
      </c>
    </row>
    <row r="10289" spans="1:20" customFormat="1" ht="15" x14ac:dyDescent="0.25">
      <c r="A10289" t="s">
        <v>35</v>
      </c>
      <c r="B10289" t="s">
        <v>106</v>
      </c>
      <c r="C10289" t="str">
        <f>"A0135980"</f>
        <v>A0135980</v>
      </c>
      <c r="D10289" t="s">
        <v>38397</v>
      </c>
      <c r="E10289" t="s">
        <v>38380</v>
      </c>
      <c r="F10289" t="s">
        <v>9836</v>
      </c>
      <c r="G10289" t="s">
        <v>110</v>
      </c>
      <c r="H10289">
        <v>911255200</v>
      </c>
      <c r="I10289" t="s">
        <v>30</v>
      </c>
      <c r="J10289" t="s">
        <v>111</v>
      </c>
      <c r="K10289" t="s">
        <v>10012</v>
      </c>
      <c r="Q10289">
        <v>0</v>
      </c>
      <c r="R10289">
        <v>0</v>
      </c>
      <c r="S10289">
        <v>0</v>
      </c>
      <c r="T10289" t="s">
        <v>38381</v>
      </c>
    </row>
    <row r="10290" spans="1:20" customFormat="1" ht="15" x14ac:dyDescent="0.25">
      <c r="A10290" t="s">
        <v>35</v>
      </c>
      <c r="B10290" t="s">
        <v>106</v>
      </c>
      <c r="C10290" t="str">
        <f>"A0135981"</f>
        <v>A0135981</v>
      </c>
      <c r="D10290" t="s">
        <v>38398</v>
      </c>
      <c r="E10290" t="s">
        <v>38380</v>
      </c>
      <c r="F10290" t="s">
        <v>9836</v>
      </c>
      <c r="G10290" t="s">
        <v>110</v>
      </c>
      <c r="H10290">
        <v>911255200</v>
      </c>
      <c r="I10290" t="s">
        <v>30</v>
      </c>
      <c r="J10290" t="s">
        <v>111</v>
      </c>
      <c r="K10290" t="s">
        <v>10012</v>
      </c>
      <c r="Q10290">
        <v>0</v>
      </c>
      <c r="R10290">
        <v>0</v>
      </c>
      <c r="S10290">
        <v>0</v>
      </c>
      <c r="T10290" t="s">
        <v>38381</v>
      </c>
    </row>
    <row r="10291" spans="1:20" customFormat="1" ht="15" x14ac:dyDescent="0.25">
      <c r="A10291" t="s">
        <v>35</v>
      </c>
      <c r="B10291" t="s">
        <v>106</v>
      </c>
      <c r="C10291" t="str">
        <f>"A0135979"</f>
        <v>A0135979</v>
      </c>
      <c r="D10291" t="s">
        <v>38399</v>
      </c>
      <c r="E10291" t="s">
        <v>38380</v>
      </c>
      <c r="F10291" t="s">
        <v>9836</v>
      </c>
      <c r="G10291" t="s">
        <v>110</v>
      </c>
      <c r="H10291">
        <v>911255200</v>
      </c>
      <c r="I10291" t="s">
        <v>30</v>
      </c>
      <c r="J10291" t="s">
        <v>111</v>
      </c>
      <c r="K10291" t="s">
        <v>10012</v>
      </c>
      <c r="Q10291">
        <v>0</v>
      </c>
      <c r="R10291">
        <v>0</v>
      </c>
      <c r="S10291">
        <v>0</v>
      </c>
      <c r="T10291" t="s">
        <v>38381</v>
      </c>
    </row>
    <row r="10292" spans="1:20" customFormat="1" ht="15" x14ac:dyDescent="0.25">
      <c r="A10292" t="s">
        <v>35</v>
      </c>
      <c r="B10292" t="s">
        <v>106</v>
      </c>
      <c r="C10292" t="str">
        <f>"A0135982"</f>
        <v>A0135982</v>
      </c>
      <c r="D10292" t="s">
        <v>38400</v>
      </c>
      <c r="E10292" t="s">
        <v>38380</v>
      </c>
      <c r="F10292" t="s">
        <v>9836</v>
      </c>
      <c r="G10292" t="s">
        <v>110</v>
      </c>
      <c r="H10292">
        <v>911255200</v>
      </c>
      <c r="I10292" t="s">
        <v>30</v>
      </c>
      <c r="J10292" t="s">
        <v>111</v>
      </c>
      <c r="K10292" t="s">
        <v>10012</v>
      </c>
      <c r="Q10292">
        <v>0</v>
      </c>
      <c r="R10292">
        <v>0</v>
      </c>
      <c r="S10292">
        <v>0</v>
      </c>
      <c r="T10292" t="s">
        <v>38381</v>
      </c>
    </row>
    <row r="10293" spans="1:20" customFormat="1" ht="15" x14ac:dyDescent="0.25">
      <c r="A10293" t="s">
        <v>35</v>
      </c>
      <c r="B10293" t="s">
        <v>106</v>
      </c>
      <c r="C10293" t="str">
        <f>"A0135983"</f>
        <v>A0135983</v>
      </c>
      <c r="D10293" t="s">
        <v>38401</v>
      </c>
      <c r="E10293" t="s">
        <v>38380</v>
      </c>
      <c r="F10293" t="s">
        <v>9836</v>
      </c>
      <c r="G10293" t="s">
        <v>110</v>
      </c>
      <c r="H10293">
        <v>911255200</v>
      </c>
      <c r="I10293" t="s">
        <v>30</v>
      </c>
      <c r="J10293" t="s">
        <v>111</v>
      </c>
      <c r="K10293" t="s">
        <v>10012</v>
      </c>
      <c r="Q10293">
        <v>0</v>
      </c>
      <c r="R10293">
        <v>0</v>
      </c>
      <c r="S10293">
        <v>0</v>
      </c>
      <c r="T10293" t="s">
        <v>38381</v>
      </c>
    </row>
    <row r="10294" spans="1:20" customFormat="1" ht="15" x14ac:dyDescent="0.25">
      <c r="A10294" t="s">
        <v>35</v>
      </c>
      <c r="B10294" t="s">
        <v>106</v>
      </c>
      <c r="C10294" t="str">
        <f>"A0135984"</f>
        <v>A0135984</v>
      </c>
      <c r="D10294" t="s">
        <v>38402</v>
      </c>
      <c r="E10294" t="s">
        <v>38380</v>
      </c>
      <c r="F10294" t="s">
        <v>9836</v>
      </c>
      <c r="G10294" t="s">
        <v>110</v>
      </c>
      <c r="H10294">
        <v>911255200</v>
      </c>
      <c r="I10294" t="s">
        <v>30</v>
      </c>
      <c r="J10294" t="s">
        <v>111</v>
      </c>
      <c r="K10294" t="s">
        <v>10012</v>
      </c>
      <c r="Q10294">
        <v>0</v>
      </c>
      <c r="R10294">
        <v>0</v>
      </c>
      <c r="S10294">
        <v>0</v>
      </c>
      <c r="T10294" t="s">
        <v>38381</v>
      </c>
    </row>
    <row r="10295" spans="1:20" customFormat="1" ht="15" x14ac:dyDescent="0.25">
      <c r="A10295" t="s">
        <v>35</v>
      </c>
      <c r="B10295" t="s">
        <v>106</v>
      </c>
      <c r="C10295" t="str">
        <f>"A0135985"</f>
        <v>A0135985</v>
      </c>
      <c r="D10295" t="s">
        <v>38403</v>
      </c>
      <c r="E10295" t="s">
        <v>38380</v>
      </c>
      <c r="F10295" t="s">
        <v>9836</v>
      </c>
      <c r="G10295" t="s">
        <v>110</v>
      </c>
      <c r="H10295">
        <v>911255200</v>
      </c>
      <c r="I10295" t="s">
        <v>30</v>
      </c>
      <c r="J10295" t="s">
        <v>111</v>
      </c>
      <c r="K10295" t="s">
        <v>10012</v>
      </c>
      <c r="Q10295">
        <v>0</v>
      </c>
      <c r="R10295">
        <v>0</v>
      </c>
      <c r="S10295">
        <v>0</v>
      </c>
      <c r="T10295" t="s">
        <v>38381</v>
      </c>
    </row>
    <row r="10296" spans="1:20" customFormat="1" ht="15" x14ac:dyDescent="0.25">
      <c r="A10296" t="s">
        <v>35</v>
      </c>
      <c r="B10296" t="s">
        <v>106</v>
      </c>
      <c r="C10296" t="str">
        <f>"A0135988"</f>
        <v>A0135988</v>
      </c>
      <c r="D10296" t="s">
        <v>38404</v>
      </c>
      <c r="E10296" t="s">
        <v>38380</v>
      </c>
      <c r="F10296" t="s">
        <v>9836</v>
      </c>
      <c r="G10296" t="s">
        <v>110</v>
      </c>
      <c r="H10296">
        <v>911255200</v>
      </c>
      <c r="I10296" t="s">
        <v>30</v>
      </c>
      <c r="J10296" t="s">
        <v>111</v>
      </c>
      <c r="K10296" t="s">
        <v>10012</v>
      </c>
      <c r="Q10296">
        <v>0</v>
      </c>
      <c r="R10296">
        <v>0</v>
      </c>
      <c r="S10296">
        <v>0</v>
      </c>
      <c r="T10296" t="s">
        <v>38381</v>
      </c>
    </row>
    <row r="10297" spans="1:20" customFormat="1" ht="15" x14ac:dyDescent="0.25">
      <c r="A10297" t="s">
        <v>35</v>
      </c>
      <c r="B10297" t="s">
        <v>106</v>
      </c>
      <c r="C10297" t="str">
        <f>"A0135992"</f>
        <v>A0135992</v>
      </c>
      <c r="D10297" t="s">
        <v>38405</v>
      </c>
      <c r="E10297" t="s">
        <v>38380</v>
      </c>
      <c r="F10297" t="s">
        <v>9836</v>
      </c>
      <c r="G10297" t="s">
        <v>110</v>
      </c>
      <c r="H10297">
        <v>911255200</v>
      </c>
      <c r="I10297" t="s">
        <v>30</v>
      </c>
      <c r="J10297" t="s">
        <v>111</v>
      </c>
      <c r="K10297" t="s">
        <v>10012</v>
      </c>
      <c r="Q10297">
        <v>0</v>
      </c>
      <c r="R10297">
        <v>0</v>
      </c>
      <c r="S10297">
        <v>0</v>
      </c>
      <c r="T10297" t="s">
        <v>38381</v>
      </c>
    </row>
    <row r="10298" spans="1:20" customFormat="1" ht="15" x14ac:dyDescent="0.25">
      <c r="A10298" t="s">
        <v>35</v>
      </c>
      <c r="B10298" t="s">
        <v>106</v>
      </c>
      <c r="C10298" t="str">
        <f>"A0135986"</f>
        <v>A0135986</v>
      </c>
      <c r="D10298" t="s">
        <v>38406</v>
      </c>
      <c r="E10298" t="s">
        <v>38380</v>
      </c>
      <c r="F10298" t="s">
        <v>9836</v>
      </c>
      <c r="G10298" t="s">
        <v>110</v>
      </c>
      <c r="H10298">
        <v>911255200</v>
      </c>
      <c r="I10298" t="s">
        <v>30</v>
      </c>
      <c r="J10298" t="s">
        <v>111</v>
      </c>
      <c r="K10298" t="s">
        <v>10012</v>
      </c>
      <c r="Q10298">
        <v>0</v>
      </c>
      <c r="R10298">
        <v>0</v>
      </c>
      <c r="S10298">
        <v>0</v>
      </c>
      <c r="T10298" t="s">
        <v>38381</v>
      </c>
    </row>
    <row r="10299" spans="1:20" customFormat="1" ht="15" x14ac:dyDescent="0.25">
      <c r="A10299" t="s">
        <v>35</v>
      </c>
      <c r="B10299" t="s">
        <v>106</v>
      </c>
      <c r="C10299" t="str">
        <f>"A0135987"</f>
        <v>A0135987</v>
      </c>
      <c r="D10299" t="s">
        <v>38407</v>
      </c>
      <c r="E10299" t="s">
        <v>38380</v>
      </c>
      <c r="F10299" t="s">
        <v>9836</v>
      </c>
      <c r="G10299" t="s">
        <v>110</v>
      </c>
      <c r="H10299">
        <v>911255200</v>
      </c>
      <c r="I10299" t="s">
        <v>30</v>
      </c>
      <c r="J10299" t="s">
        <v>111</v>
      </c>
      <c r="K10299" t="s">
        <v>10012</v>
      </c>
      <c r="Q10299">
        <v>0</v>
      </c>
      <c r="R10299">
        <v>0</v>
      </c>
      <c r="S10299">
        <v>0</v>
      </c>
      <c r="T10299" t="s">
        <v>38381</v>
      </c>
    </row>
    <row r="10300" spans="1:20" customFormat="1" ht="15" x14ac:dyDescent="0.25">
      <c r="A10300" t="s">
        <v>35</v>
      </c>
      <c r="B10300" t="s">
        <v>106</v>
      </c>
      <c r="C10300" t="str">
        <f>"A0135993"</f>
        <v>A0135993</v>
      </c>
      <c r="D10300" t="s">
        <v>38408</v>
      </c>
      <c r="E10300" t="s">
        <v>38380</v>
      </c>
      <c r="F10300" t="s">
        <v>9836</v>
      </c>
      <c r="G10300" t="s">
        <v>110</v>
      </c>
      <c r="H10300">
        <v>911255200</v>
      </c>
      <c r="I10300" t="s">
        <v>30</v>
      </c>
      <c r="J10300" t="s">
        <v>111</v>
      </c>
      <c r="K10300" t="s">
        <v>10012</v>
      </c>
      <c r="Q10300">
        <v>0</v>
      </c>
      <c r="R10300">
        <v>0</v>
      </c>
      <c r="S10300">
        <v>0</v>
      </c>
      <c r="T10300" t="s">
        <v>38381</v>
      </c>
    </row>
    <row r="10301" spans="1:20" customFormat="1" ht="15" x14ac:dyDescent="0.25">
      <c r="A10301" t="s">
        <v>35</v>
      </c>
      <c r="B10301" t="s">
        <v>106</v>
      </c>
      <c r="C10301" t="str">
        <f>"A0135990"</f>
        <v>A0135990</v>
      </c>
      <c r="D10301" t="s">
        <v>38409</v>
      </c>
      <c r="E10301" t="s">
        <v>38380</v>
      </c>
      <c r="F10301" t="s">
        <v>9836</v>
      </c>
      <c r="G10301" t="s">
        <v>110</v>
      </c>
      <c r="H10301">
        <v>911255200</v>
      </c>
      <c r="I10301" t="s">
        <v>30</v>
      </c>
      <c r="J10301" t="s">
        <v>111</v>
      </c>
      <c r="K10301" t="s">
        <v>10012</v>
      </c>
      <c r="Q10301">
        <v>0</v>
      </c>
      <c r="R10301">
        <v>0</v>
      </c>
      <c r="S10301">
        <v>0</v>
      </c>
      <c r="T10301" t="s">
        <v>38381</v>
      </c>
    </row>
    <row r="10302" spans="1:20" customFormat="1" ht="15" x14ac:dyDescent="0.25">
      <c r="A10302" t="s">
        <v>35</v>
      </c>
      <c r="B10302" t="s">
        <v>106</v>
      </c>
      <c r="C10302" t="str">
        <f>"A0135991"</f>
        <v>A0135991</v>
      </c>
      <c r="D10302" t="s">
        <v>38410</v>
      </c>
      <c r="E10302" t="s">
        <v>38380</v>
      </c>
      <c r="F10302" t="s">
        <v>9836</v>
      </c>
      <c r="G10302" t="s">
        <v>110</v>
      </c>
      <c r="H10302">
        <v>911255200</v>
      </c>
      <c r="I10302" t="s">
        <v>30</v>
      </c>
      <c r="J10302" t="s">
        <v>111</v>
      </c>
      <c r="K10302" t="s">
        <v>10012</v>
      </c>
      <c r="Q10302">
        <v>0</v>
      </c>
      <c r="R10302">
        <v>0</v>
      </c>
      <c r="S10302">
        <v>0</v>
      </c>
      <c r="T10302" t="s">
        <v>38381</v>
      </c>
    </row>
    <row r="10303" spans="1:20" customFormat="1" ht="15" x14ac:dyDescent="0.25">
      <c r="A10303" t="s">
        <v>35</v>
      </c>
      <c r="B10303" t="s">
        <v>106</v>
      </c>
      <c r="C10303" t="str">
        <f>"A0135989"</f>
        <v>A0135989</v>
      </c>
      <c r="D10303" t="s">
        <v>38411</v>
      </c>
      <c r="E10303" t="s">
        <v>38380</v>
      </c>
      <c r="F10303" t="s">
        <v>9836</v>
      </c>
      <c r="G10303" t="s">
        <v>110</v>
      </c>
      <c r="H10303">
        <v>911255200</v>
      </c>
      <c r="I10303" t="s">
        <v>30</v>
      </c>
      <c r="J10303" t="s">
        <v>111</v>
      </c>
      <c r="K10303" t="s">
        <v>10012</v>
      </c>
      <c r="Q10303">
        <v>0</v>
      </c>
      <c r="R10303">
        <v>0</v>
      </c>
      <c r="S10303">
        <v>0</v>
      </c>
      <c r="T10303" t="s">
        <v>38381</v>
      </c>
    </row>
    <row r="10304" spans="1:20" customFormat="1" ht="15" x14ac:dyDescent="0.25">
      <c r="A10304" t="s">
        <v>35</v>
      </c>
      <c r="B10304" t="s">
        <v>106</v>
      </c>
      <c r="C10304" t="str">
        <f>"A0135994"</f>
        <v>A0135994</v>
      </c>
      <c r="D10304" t="s">
        <v>38412</v>
      </c>
      <c r="E10304" t="s">
        <v>38380</v>
      </c>
      <c r="F10304" t="s">
        <v>9836</v>
      </c>
      <c r="G10304" t="s">
        <v>110</v>
      </c>
      <c r="H10304">
        <v>911255200</v>
      </c>
      <c r="I10304" t="s">
        <v>30</v>
      </c>
      <c r="J10304" t="s">
        <v>111</v>
      </c>
      <c r="K10304" t="s">
        <v>10012</v>
      </c>
      <c r="Q10304">
        <v>0</v>
      </c>
      <c r="R10304">
        <v>0</v>
      </c>
      <c r="S10304">
        <v>0</v>
      </c>
      <c r="T10304" t="s">
        <v>38381</v>
      </c>
    </row>
    <row r="10305" spans="1:20" customFormat="1" ht="15" x14ac:dyDescent="0.25">
      <c r="A10305" t="s">
        <v>35</v>
      </c>
      <c r="B10305" t="s">
        <v>106</v>
      </c>
      <c r="C10305" t="str">
        <f>"A0135995"</f>
        <v>A0135995</v>
      </c>
      <c r="D10305" t="s">
        <v>38413</v>
      </c>
      <c r="E10305" t="s">
        <v>38380</v>
      </c>
      <c r="F10305" t="s">
        <v>9836</v>
      </c>
      <c r="G10305" t="s">
        <v>110</v>
      </c>
      <c r="H10305">
        <v>911255200</v>
      </c>
      <c r="I10305" t="s">
        <v>30</v>
      </c>
      <c r="J10305" t="s">
        <v>111</v>
      </c>
      <c r="K10305" t="s">
        <v>10012</v>
      </c>
      <c r="Q10305">
        <v>0</v>
      </c>
      <c r="R10305">
        <v>0</v>
      </c>
      <c r="S10305">
        <v>0</v>
      </c>
      <c r="T10305" t="s">
        <v>38381</v>
      </c>
    </row>
    <row r="10306" spans="1:20" customFormat="1" ht="15" x14ac:dyDescent="0.25">
      <c r="A10306" t="s">
        <v>35</v>
      </c>
      <c r="B10306" t="s">
        <v>106</v>
      </c>
      <c r="C10306" t="str">
        <f>"A0135330"</f>
        <v>A0135330</v>
      </c>
      <c r="D10306" t="s">
        <v>38414</v>
      </c>
      <c r="E10306" t="s">
        <v>38415</v>
      </c>
      <c r="F10306" t="s">
        <v>4090</v>
      </c>
      <c r="G10306" t="s">
        <v>117</v>
      </c>
      <c r="H10306">
        <v>49913</v>
      </c>
      <c r="I10306" t="s">
        <v>30</v>
      </c>
      <c r="J10306" t="s">
        <v>111</v>
      </c>
      <c r="K10306" t="s">
        <v>10012</v>
      </c>
      <c r="Q10306">
        <v>0</v>
      </c>
      <c r="R10306">
        <v>0</v>
      </c>
      <c r="S10306">
        <v>0</v>
      </c>
      <c r="T10306" t="s">
        <v>38416</v>
      </c>
    </row>
    <row r="10307" spans="1:20" customFormat="1" ht="15" x14ac:dyDescent="0.25">
      <c r="A10307" t="s">
        <v>35</v>
      </c>
      <c r="B10307" t="s">
        <v>61</v>
      </c>
      <c r="C10307" t="str">
        <f>"A0129178"</f>
        <v>A0129178</v>
      </c>
      <c r="D10307" t="s">
        <v>38417</v>
      </c>
      <c r="E10307" t="s">
        <v>38418</v>
      </c>
      <c r="F10307" t="s">
        <v>38419</v>
      </c>
      <c r="G10307" t="s">
        <v>71</v>
      </c>
      <c r="H10307">
        <v>531910000</v>
      </c>
      <c r="I10307" t="s">
        <v>30</v>
      </c>
      <c r="J10307" t="s">
        <v>41</v>
      </c>
      <c r="K10307" t="s">
        <v>42</v>
      </c>
      <c r="Q10307">
        <v>0</v>
      </c>
      <c r="R10307">
        <v>1</v>
      </c>
      <c r="S10307">
        <v>1</v>
      </c>
      <c r="T10307" t="s">
        <v>38420</v>
      </c>
    </row>
    <row r="10308" spans="1:20" customFormat="1" ht="15" x14ac:dyDescent="0.25">
      <c r="A10308" t="s">
        <v>35</v>
      </c>
      <c r="B10308" t="s">
        <v>61</v>
      </c>
      <c r="C10308" t="str">
        <f>"A0128553"</f>
        <v>A0128553</v>
      </c>
      <c r="D10308" t="s">
        <v>38421</v>
      </c>
      <c r="E10308" t="s">
        <v>38422</v>
      </c>
      <c r="F10308" t="s">
        <v>38423</v>
      </c>
      <c r="G10308" t="s">
        <v>840</v>
      </c>
      <c r="H10308">
        <v>42029</v>
      </c>
      <c r="I10308" t="s">
        <v>30</v>
      </c>
      <c r="J10308" t="s">
        <v>41</v>
      </c>
      <c r="K10308" t="s">
        <v>229</v>
      </c>
      <c r="Q10308">
        <v>0</v>
      </c>
      <c r="R10308">
        <v>100</v>
      </c>
      <c r="S10308">
        <v>100</v>
      </c>
      <c r="T10308" t="s">
        <v>38424</v>
      </c>
    </row>
    <row r="10309" spans="1:20" customFormat="1" ht="15" x14ac:dyDescent="0.25">
      <c r="A10309" t="s">
        <v>35</v>
      </c>
      <c r="B10309" t="s">
        <v>61</v>
      </c>
      <c r="C10309" t="str">
        <f>"A0127560"</f>
        <v>A0127560</v>
      </c>
      <c r="D10309" t="s">
        <v>38425</v>
      </c>
      <c r="E10309" t="s">
        <v>38426</v>
      </c>
      <c r="F10309" t="s">
        <v>38427</v>
      </c>
      <c r="G10309" t="s">
        <v>123</v>
      </c>
      <c r="H10309">
        <v>20678</v>
      </c>
      <c r="I10309" t="s">
        <v>30</v>
      </c>
      <c r="J10309" t="s">
        <v>41</v>
      </c>
      <c r="K10309" t="s">
        <v>229</v>
      </c>
      <c r="Q10309">
        <v>0</v>
      </c>
      <c r="R10309">
        <v>144</v>
      </c>
      <c r="S10309">
        <v>144</v>
      </c>
      <c r="T10309" t="s">
        <v>38428</v>
      </c>
    </row>
    <row r="10310" spans="1:20" customFormat="1" ht="15" x14ac:dyDescent="0.25">
      <c r="A10310" t="s">
        <v>35</v>
      </c>
      <c r="B10310" t="s">
        <v>61</v>
      </c>
      <c r="C10310" t="str">
        <f>"A0127645"</f>
        <v>A0127645</v>
      </c>
      <c r="D10310" t="s">
        <v>38429</v>
      </c>
      <c r="E10310" t="s">
        <v>38430</v>
      </c>
      <c r="F10310" t="s">
        <v>38427</v>
      </c>
      <c r="G10310" t="s">
        <v>123</v>
      </c>
      <c r="H10310">
        <v>20678</v>
      </c>
      <c r="I10310" t="s">
        <v>30</v>
      </c>
      <c r="J10310" t="s">
        <v>41</v>
      </c>
      <c r="K10310" t="s">
        <v>456</v>
      </c>
      <c r="Q10310">
        <v>0</v>
      </c>
      <c r="R10310">
        <v>30</v>
      </c>
      <c r="S10310">
        <v>30</v>
      </c>
      <c r="T10310" t="s">
        <v>38431</v>
      </c>
    </row>
    <row r="10311" spans="1:20" customFormat="1" ht="15" x14ac:dyDescent="0.25">
      <c r="A10311" t="s">
        <v>35</v>
      </c>
      <c r="B10311" t="s">
        <v>61</v>
      </c>
      <c r="C10311" t="str">
        <f>"A0124144"</f>
        <v>A0124144</v>
      </c>
      <c r="D10311" t="s">
        <v>38432</v>
      </c>
      <c r="E10311" t="s">
        <v>38433</v>
      </c>
      <c r="F10311" t="s">
        <v>38427</v>
      </c>
      <c r="G10311" t="s">
        <v>123</v>
      </c>
      <c r="H10311">
        <v>20678</v>
      </c>
      <c r="I10311" t="s">
        <v>30</v>
      </c>
      <c r="J10311" t="s">
        <v>41</v>
      </c>
      <c r="K10311" t="s">
        <v>229</v>
      </c>
      <c r="Q10311">
        <v>0</v>
      </c>
      <c r="R10311">
        <v>185</v>
      </c>
      <c r="S10311">
        <v>185</v>
      </c>
      <c r="T10311" t="s">
        <v>38434</v>
      </c>
    </row>
    <row r="10312" spans="1:20" customFormat="1" ht="15" x14ac:dyDescent="0.25">
      <c r="A10312" t="s">
        <v>35</v>
      </c>
      <c r="B10312" t="s">
        <v>61</v>
      </c>
      <c r="C10312" t="str">
        <f>"A0121851"</f>
        <v>A0121851</v>
      </c>
      <c r="D10312" t="s">
        <v>38435</v>
      </c>
      <c r="E10312" t="s">
        <v>38436</v>
      </c>
      <c r="F10312" t="s">
        <v>14693</v>
      </c>
      <c r="G10312" t="s">
        <v>110</v>
      </c>
      <c r="H10312">
        <v>92831</v>
      </c>
      <c r="I10312" t="s">
        <v>30</v>
      </c>
      <c r="J10312" t="s">
        <v>41</v>
      </c>
      <c r="K10312" t="s">
        <v>59</v>
      </c>
      <c r="Q10312">
        <v>0</v>
      </c>
      <c r="R10312">
        <v>66</v>
      </c>
      <c r="S10312">
        <v>66</v>
      </c>
      <c r="T10312" t="s">
        <v>38437</v>
      </c>
    </row>
    <row r="10313" spans="1:20" customFormat="1" ht="15" x14ac:dyDescent="0.25">
      <c r="A10313" t="s">
        <v>35</v>
      </c>
      <c r="B10313" t="s">
        <v>61</v>
      </c>
      <c r="C10313" t="str">
        <f>"A0124866"</f>
        <v>A0124866</v>
      </c>
      <c r="D10313" t="s">
        <v>38438</v>
      </c>
      <c r="E10313" t="s">
        <v>38439</v>
      </c>
      <c r="F10313" t="s">
        <v>38440</v>
      </c>
      <c r="G10313" t="s">
        <v>214</v>
      </c>
      <c r="H10313">
        <v>275747958</v>
      </c>
      <c r="I10313" t="s">
        <v>30</v>
      </c>
      <c r="J10313" t="s">
        <v>41</v>
      </c>
      <c r="K10313" t="s">
        <v>59</v>
      </c>
      <c r="Q10313">
        <v>0</v>
      </c>
      <c r="R10313">
        <v>80</v>
      </c>
      <c r="S10313">
        <v>80</v>
      </c>
      <c r="T10313" t="s">
        <v>38441</v>
      </c>
    </row>
    <row r="10314" spans="1:20" customFormat="1" ht="15" x14ac:dyDescent="0.25">
      <c r="A10314" t="s">
        <v>35</v>
      </c>
      <c r="B10314" t="s">
        <v>61</v>
      </c>
      <c r="C10314" t="str">
        <f>"A0124891"</f>
        <v>A0124891</v>
      </c>
      <c r="D10314" t="s">
        <v>38442</v>
      </c>
      <c r="E10314" t="s">
        <v>38443</v>
      </c>
      <c r="F10314" t="s">
        <v>26596</v>
      </c>
      <c r="G10314" t="s">
        <v>214</v>
      </c>
      <c r="H10314">
        <v>27312</v>
      </c>
      <c r="I10314" t="s">
        <v>30</v>
      </c>
      <c r="J10314" t="s">
        <v>41</v>
      </c>
      <c r="K10314" t="s">
        <v>59</v>
      </c>
      <c r="Q10314">
        <v>0</v>
      </c>
      <c r="R10314">
        <v>90</v>
      </c>
      <c r="S10314">
        <v>90</v>
      </c>
      <c r="T10314" t="s">
        <v>38444</v>
      </c>
    </row>
    <row r="10315" spans="1:20" customFormat="1" ht="15" x14ac:dyDescent="0.25">
      <c r="A10315" t="s">
        <v>35</v>
      </c>
      <c r="B10315" t="s">
        <v>61</v>
      </c>
      <c r="C10315" t="str">
        <f>"A0124991"</f>
        <v>A0124991</v>
      </c>
      <c r="D10315" t="s">
        <v>38445</v>
      </c>
      <c r="E10315" t="s">
        <v>38446</v>
      </c>
      <c r="F10315" t="s">
        <v>38447</v>
      </c>
      <c r="G10315" t="s">
        <v>214</v>
      </c>
      <c r="H10315">
        <v>27502</v>
      </c>
      <c r="I10315" t="s">
        <v>30</v>
      </c>
      <c r="J10315" t="s">
        <v>41</v>
      </c>
      <c r="K10315" t="s">
        <v>59</v>
      </c>
      <c r="Q10315">
        <v>0</v>
      </c>
      <c r="R10315">
        <v>284</v>
      </c>
      <c r="S10315">
        <v>284</v>
      </c>
      <c r="T10315" t="s">
        <v>38448</v>
      </c>
    </row>
    <row r="10316" spans="1:20" customFormat="1" ht="15" x14ac:dyDescent="0.25">
      <c r="A10316" t="s">
        <v>35</v>
      </c>
      <c r="B10316" t="s">
        <v>61</v>
      </c>
      <c r="C10316" t="str">
        <f>"A0130721"</f>
        <v>A0130721</v>
      </c>
      <c r="D10316" t="s">
        <v>38449</v>
      </c>
      <c r="E10316" t="s">
        <v>38450</v>
      </c>
      <c r="F10316" t="s">
        <v>3327</v>
      </c>
      <c r="G10316" t="s">
        <v>214</v>
      </c>
      <c r="H10316">
        <v>28405</v>
      </c>
      <c r="I10316" t="s">
        <v>30</v>
      </c>
      <c r="J10316" t="s">
        <v>41</v>
      </c>
      <c r="K10316" t="s">
        <v>38451</v>
      </c>
      <c r="Q10316">
        <v>0</v>
      </c>
      <c r="R10316">
        <v>150</v>
      </c>
      <c r="S10316">
        <v>150</v>
      </c>
      <c r="T10316" t="s">
        <v>38452</v>
      </c>
    </row>
    <row r="10317" spans="1:20" customFormat="1" ht="15" x14ac:dyDescent="0.25">
      <c r="A10317" t="s">
        <v>35</v>
      </c>
      <c r="B10317" t="s">
        <v>61</v>
      </c>
      <c r="C10317" t="str">
        <f>"A0124977"</f>
        <v>A0124977</v>
      </c>
      <c r="D10317" t="s">
        <v>38453</v>
      </c>
      <c r="E10317" t="s">
        <v>38454</v>
      </c>
      <c r="F10317" t="s">
        <v>3685</v>
      </c>
      <c r="G10317" t="s">
        <v>214</v>
      </c>
      <c r="H10317">
        <v>274072702</v>
      </c>
      <c r="I10317" t="s">
        <v>30</v>
      </c>
      <c r="J10317" t="s">
        <v>41</v>
      </c>
      <c r="K10317" t="s">
        <v>229</v>
      </c>
      <c r="Q10317">
        <v>0</v>
      </c>
      <c r="R10317">
        <v>135</v>
      </c>
      <c r="S10317">
        <v>135</v>
      </c>
      <c r="T10317" t="s">
        <v>38455</v>
      </c>
    </row>
    <row r="10318" spans="1:20" customFormat="1" ht="15" x14ac:dyDescent="0.25">
      <c r="A10318" t="s">
        <v>35</v>
      </c>
      <c r="B10318" t="s">
        <v>61</v>
      </c>
      <c r="C10318" t="str">
        <f>"A0151549"</f>
        <v>A0151549</v>
      </c>
      <c r="D10318" t="s">
        <v>38456</v>
      </c>
      <c r="E10318" t="s">
        <v>38457</v>
      </c>
      <c r="F10318" t="s">
        <v>2334</v>
      </c>
      <c r="G10318" t="s">
        <v>81</v>
      </c>
      <c r="H10318">
        <v>34471</v>
      </c>
      <c r="I10318" t="s">
        <v>30</v>
      </c>
      <c r="J10318" t="s">
        <v>41</v>
      </c>
      <c r="K10318" t="s">
        <v>59</v>
      </c>
      <c r="Q10318">
        <v>0</v>
      </c>
      <c r="R10318">
        <v>80</v>
      </c>
      <c r="S10318">
        <v>80</v>
      </c>
      <c r="T10318" t="s">
        <v>38458</v>
      </c>
    </row>
    <row r="10319" spans="1:20" customFormat="1" ht="15" x14ac:dyDescent="0.25">
      <c r="A10319" t="s">
        <v>35</v>
      </c>
      <c r="B10319" t="s">
        <v>61</v>
      </c>
      <c r="C10319" t="str">
        <f>"A0128755"</f>
        <v>A0128755</v>
      </c>
      <c r="D10319" t="s">
        <v>38459</v>
      </c>
      <c r="E10319" t="s">
        <v>38460</v>
      </c>
      <c r="F10319" t="s">
        <v>38461</v>
      </c>
      <c r="G10319" t="s">
        <v>1170</v>
      </c>
      <c r="H10319">
        <v>713340000</v>
      </c>
      <c r="I10319" t="s">
        <v>30</v>
      </c>
      <c r="J10319" t="s">
        <v>41</v>
      </c>
      <c r="K10319" t="s">
        <v>229</v>
      </c>
      <c r="Q10319">
        <v>0</v>
      </c>
      <c r="R10319">
        <v>50</v>
      </c>
      <c r="S10319">
        <v>50</v>
      </c>
      <c r="T10319" t="s">
        <v>38462</v>
      </c>
    </row>
    <row r="10320" spans="1:20" customFormat="1" ht="15" x14ac:dyDescent="0.25">
      <c r="A10320" t="s">
        <v>35</v>
      </c>
      <c r="B10320" t="s">
        <v>61</v>
      </c>
      <c r="C10320" t="str">
        <f>"A0130860"</f>
        <v>A0130860</v>
      </c>
      <c r="D10320" t="s">
        <v>38463</v>
      </c>
      <c r="E10320" t="s">
        <v>38464</v>
      </c>
      <c r="F10320" t="s">
        <v>10170</v>
      </c>
      <c r="G10320" t="s">
        <v>137</v>
      </c>
      <c r="H10320">
        <v>63640</v>
      </c>
      <c r="I10320" t="s">
        <v>30</v>
      </c>
      <c r="J10320" t="s">
        <v>41</v>
      </c>
      <c r="K10320" t="s">
        <v>229</v>
      </c>
      <c r="Q10320">
        <v>0</v>
      </c>
      <c r="R10320">
        <v>90</v>
      </c>
      <c r="S10320">
        <v>90</v>
      </c>
      <c r="T10320" t="s">
        <v>38465</v>
      </c>
    </row>
    <row r="10321" spans="1:20" customFormat="1" ht="15" x14ac:dyDescent="0.25">
      <c r="A10321" t="s">
        <v>35</v>
      </c>
      <c r="B10321" t="s">
        <v>61</v>
      </c>
      <c r="C10321" t="str">
        <f>"A0126600"</f>
        <v>A0126600</v>
      </c>
      <c r="D10321" t="s">
        <v>38466</v>
      </c>
      <c r="E10321" t="s">
        <v>38467</v>
      </c>
      <c r="F10321" t="s">
        <v>38468</v>
      </c>
      <c r="G10321" t="s">
        <v>103</v>
      </c>
      <c r="H10321">
        <v>19345</v>
      </c>
      <c r="I10321" t="s">
        <v>30</v>
      </c>
      <c r="J10321" t="s">
        <v>41</v>
      </c>
      <c r="K10321" t="s">
        <v>1440</v>
      </c>
      <c r="Q10321">
        <v>0</v>
      </c>
      <c r="R10321">
        <v>250</v>
      </c>
      <c r="S10321">
        <v>250</v>
      </c>
      <c r="T10321" t="s">
        <v>38469</v>
      </c>
    </row>
    <row r="10322" spans="1:20" customFormat="1" ht="15" x14ac:dyDescent="0.25">
      <c r="A10322" t="s">
        <v>35</v>
      </c>
      <c r="B10322" t="s">
        <v>61</v>
      </c>
      <c r="C10322" t="str">
        <f>"A0121307"</f>
        <v>A0121307</v>
      </c>
      <c r="D10322" t="s">
        <v>38470</v>
      </c>
      <c r="E10322" t="s">
        <v>38471</v>
      </c>
      <c r="F10322" t="s">
        <v>16848</v>
      </c>
      <c r="G10322" t="s">
        <v>1587</v>
      </c>
      <c r="H10322">
        <v>87112</v>
      </c>
      <c r="I10322" t="s">
        <v>30</v>
      </c>
      <c r="J10322" t="s">
        <v>41</v>
      </c>
      <c r="K10322" t="s">
        <v>59</v>
      </c>
      <c r="Q10322">
        <v>0</v>
      </c>
      <c r="R10322">
        <v>100</v>
      </c>
      <c r="S10322">
        <v>100</v>
      </c>
      <c r="T10322" t="s">
        <v>38472</v>
      </c>
    </row>
    <row r="10323" spans="1:20" customFormat="1" ht="15" x14ac:dyDescent="0.25">
      <c r="A10323" t="s">
        <v>35</v>
      </c>
      <c r="B10323" t="s">
        <v>106</v>
      </c>
      <c r="C10323" t="str">
        <f>"A0135387"</f>
        <v>A0135387</v>
      </c>
      <c r="D10323" t="s">
        <v>38473</v>
      </c>
      <c r="E10323" t="s">
        <v>38474</v>
      </c>
      <c r="F10323" t="s">
        <v>38475</v>
      </c>
      <c r="G10323" t="s">
        <v>433</v>
      </c>
      <c r="H10323">
        <v>83615</v>
      </c>
      <c r="I10323" t="s">
        <v>30</v>
      </c>
      <c r="J10323" t="s">
        <v>111</v>
      </c>
      <c r="K10323" t="s">
        <v>112</v>
      </c>
      <c r="Q10323">
        <v>0</v>
      </c>
      <c r="R10323">
        <v>0</v>
      </c>
      <c r="S10323">
        <v>0</v>
      </c>
      <c r="T10323" t="s">
        <v>38476</v>
      </c>
    </row>
    <row r="10324" spans="1:20" customFormat="1" ht="15" x14ac:dyDescent="0.25">
      <c r="A10324" t="s">
        <v>35</v>
      </c>
      <c r="B10324" t="s">
        <v>106</v>
      </c>
      <c r="C10324" t="str">
        <f>"A0136292"</f>
        <v>A0136292</v>
      </c>
      <c r="D10324" t="s">
        <v>38477</v>
      </c>
      <c r="E10324" t="s">
        <v>38478</v>
      </c>
      <c r="F10324" t="s">
        <v>38479</v>
      </c>
      <c r="G10324" t="s">
        <v>117</v>
      </c>
      <c r="H10324">
        <v>48651</v>
      </c>
      <c r="I10324" t="s">
        <v>30</v>
      </c>
      <c r="J10324" t="s">
        <v>111</v>
      </c>
      <c r="K10324" t="s">
        <v>112</v>
      </c>
      <c r="Q10324">
        <v>0</v>
      </c>
      <c r="R10324">
        <v>0</v>
      </c>
      <c r="S10324">
        <v>0</v>
      </c>
      <c r="T10324" t="s">
        <v>38480</v>
      </c>
    </row>
    <row r="10325" spans="1:20" customFormat="1" ht="15" x14ac:dyDescent="0.25">
      <c r="A10325" t="s">
        <v>35</v>
      </c>
      <c r="B10325" t="s">
        <v>61</v>
      </c>
      <c r="C10325" t="str">
        <f>"A0123690"</f>
        <v>A0123690</v>
      </c>
      <c r="D10325" t="s">
        <v>38481</v>
      </c>
      <c r="E10325" t="s">
        <v>38482</v>
      </c>
      <c r="F10325" t="s">
        <v>38483</v>
      </c>
      <c r="G10325" t="s">
        <v>29</v>
      </c>
      <c r="H10325">
        <v>22967</v>
      </c>
      <c r="I10325" t="s">
        <v>30</v>
      </c>
      <c r="J10325" t="s">
        <v>41</v>
      </c>
      <c r="K10325" t="s">
        <v>59</v>
      </c>
      <c r="Q10325">
        <v>0</v>
      </c>
      <c r="R10325">
        <v>66</v>
      </c>
      <c r="S10325">
        <v>66</v>
      </c>
      <c r="T10325" t="s">
        <v>38484</v>
      </c>
    </row>
    <row r="10326" spans="1:20" customFormat="1" ht="15" x14ac:dyDescent="0.25">
      <c r="A10326" t="s">
        <v>35</v>
      </c>
      <c r="B10326" t="s">
        <v>61</v>
      </c>
      <c r="C10326" t="str">
        <f>"A0130636"</f>
        <v>A0130636</v>
      </c>
      <c r="D10326" t="s">
        <v>38485</v>
      </c>
      <c r="E10326" t="s">
        <v>38486</v>
      </c>
      <c r="F10326" t="s">
        <v>595</v>
      </c>
      <c r="G10326" t="s">
        <v>71</v>
      </c>
      <c r="H10326">
        <v>53964</v>
      </c>
      <c r="I10326" t="s">
        <v>30</v>
      </c>
      <c r="J10326" t="s">
        <v>41</v>
      </c>
      <c r="K10326" t="s">
        <v>42</v>
      </c>
      <c r="Q10326">
        <v>0</v>
      </c>
      <c r="R10326">
        <v>1</v>
      </c>
      <c r="S10326">
        <v>1</v>
      </c>
      <c r="T10326" t="s">
        <v>38487</v>
      </c>
    </row>
    <row r="10327" spans="1:20" customFormat="1" ht="15" x14ac:dyDescent="0.25">
      <c r="A10327" t="s">
        <v>35</v>
      </c>
      <c r="B10327" t="s">
        <v>61</v>
      </c>
      <c r="C10327" t="str">
        <f>"A0132187"</f>
        <v>A0132187</v>
      </c>
      <c r="D10327" t="s">
        <v>38488</v>
      </c>
      <c r="E10327" t="s">
        <v>38489</v>
      </c>
      <c r="F10327" t="s">
        <v>38490</v>
      </c>
      <c r="G10327" t="s">
        <v>65</v>
      </c>
      <c r="H10327">
        <v>43334</v>
      </c>
      <c r="I10327" t="s">
        <v>30</v>
      </c>
      <c r="J10327" t="s">
        <v>41</v>
      </c>
      <c r="K10327" t="s">
        <v>42</v>
      </c>
      <c r="Q10327">
        <v>0</v>
      </c>
      <c r="R10327">
        <v>1</v>
      </c>
      <c r="S10327">
        <v>1</v>
      </c>
      <c r="T10327" t="s">
        <v>38491</v>
      </c>
    </row>
    <row r="10328" spans="1:20" customFormat="1" ht="15" x14ac:dyDescent="0.25">
      <c r="A10328" t="s">
        <v>35</v>
      </c>
      <c r="B10328" t="s">
        <v>61</v>
      </c>
      <c r="C10328" t="str">
        <f>"A0131725"</f>
        <v>A0131725</v>
      </c>
      <c r="D10328" t="s">
        <v>38492</v>
      </c>
      <c r="E10328" t="s">
        <v>38493</v>
      </c>
      <c r="F10328" t="s">
        <v>15431</v>
      </c>
      <c r="G10328" t="s">
        <v>65</v>
      </c>
      <c r="H10328">
        <v>43014</v>
      </c>
      <c r="I10328" t="s">
        <v>30</v>
      </c>
      <c r="J10328" t="s">
        <v>41</v>
      </c>
      <c r="K10328" t="s">
        <v>42</v>
      </c>
      <c r="Q10328">
        <v>0</v>
      </c>
      <c r="R10328">
        <v>75</v>
      </c>
      <c r="S10328">
        <v>75</v>
      </c>
      <c r="T10328" t="s">
        <v>38494</v>
      </c>
    </row>
    <row r="10329" spans="1:20" customFormat="1" ht="15" x14ac:dyDescent="0.25">
      <c r="A10329" t="s">
        <v>35</v>
      </c>
      <c r="B10329" t="s">
        <v>61</v>
      </c>
      <c r="C10329" t="str">
        <f>"A0132729"</f>
        <v>A0132729</v>
      </c>
      <c r="D10329" t="s">
        <v>38495</v>
      </c>
      <c r="E10329" t="s">
        <v>38496</v>
      </c>
      <c r="F10329" t="s">
        <v>4693</v>
      </c>
      <c r="G10329" t="s">
        <v>65</v>
      </c>
      <c r="H10329">
        <v>44822</v>
      </c>
      <c r="I10329" t="s">
        <v>30</v>
      </c>
      <c r="J10329" t="s">
        <v>41</v>
      </c>
      <c r="K10329" t="s">
        <v>42</v>
      </c>
      <c r="Q10329">
        <v>0</v>
      </c>
      <c r="R10329">
        <v>0</v>
      </c>
      <c r="S10329">
        <v>0</v>
      </c>
      <c r="T10329" t="s">
        <v>38497</v>
      </c>
    </row>
    <row r="10330" spans="1:20" customFormat="1" ht="15" x14ac:dyDescent="0.25">
      <c r="A10330" t="s">
        <v>35</v>
      </c>
      <c r="B10330" t="s">
        <v>61</v>
      </c>
      <c r="C10330" t="str">
        <f>"A0122344"</f>
        <v>A0122344</v>
      </c>
      <c r="D10330" t="s">
        <v>38498</v>
      </c>
      <c r="E10330" t="s">
        <v>38499</v>
      </c>
      <c r="F10330" t="s">
        <v>38500</v>
      </c>
      <c r="G10330" t="s">
        <v>846</v>
      </c>
      <c r="H10330">
        <v>30663</v>
      </c>
      <c r="I10330" t="s">
        <v>30</v>
      </c>
      <c r="J10330" t="s">
        <v>41</v>
      </c>
      <c r="K10330" t="s">
        <v>42</v>
      </c>
      <c r="Q10330">
        <v>0</v>
      </c>
      <c r="R10330">
        <v>0</v>
      </c>
      <c r="S10330">
        <v>0</v>
      </c>
      <c r="T10330" t="s">
        <v>38501</v>
      </c>
    </row>
    <row r="10331" spans="1:20" customFormat="1" ht="15" x14ac:dyDescent="0.25">
      <c r="A10331" t="s">
        <v>35</v>
      </c>
      <c r="B10331" t="s">
        <v>61</v>
      </c>
      <c r="C10331" t="str">
        <f>"A0129372"</f>
        <v>A0129372</v>
      </c>
      <c r="D10331" t="s">
        <v>38502</v>
      </c>
      <c r="E10331" t="s">
        <v>38503</v>
      </c>
      <c r="F10331" t="s">
        <v>38504</v>
      </c>
      <c r="G10331" t="s">
        <v>289</v>
      </c>
      <c r="H10331">
        <v>61047</v>
      </c>
      <c r="I10331" t="s">
        <v>30</v>
      </c>
      <c r="J10331" t="s">
        <v>41</v>
      </c>
      <c r="K10331" t="s">
        <v>42</v>
      </c>
      <c r="Q10331">
        <v>0</v>
      </c>
      <c r="R10331">
        <v>200</v>
      </c>
      <c r="S10331">
        <v>200</v>
      </c>
      <c r="T10331" t="s">
        <v>38505</v>
      </c>
    </row>
    <row r="10332" spans="1:20" customFormat="1" ht="15" x14ac:dyDescent="0.25">
      <c r="A10332" t="s">
        <v>35</v>
      </c>
      <c r="B10332" t="s">
        <v>61</v>
      </c>
      <c r="C10332" t="str">
        <f>"A0154060"</f>
        <v>A0154060</v>
      </c>
      <c r="D10332" t="s">
        <v>38506</v>
      </c>
      <c r="E10332" t="s">
        <v>38507</v>
      </c>
      <c r="F10332" t="s">
        <v>3193</v>
      </c>
      <c r="G10332" t="s">
        <v>65</v>
      </c>
      <c r="H10332">
        <v>44216</v>
      </c>
      <c r="I10332" t="s">
        <v>30</v>
      </c>
      <c r="J10332" t="s">
        <v>41</v>
      </c>
      <c r="K10332" t="s">
        <v>42</v>
      </c>
      <c r="Q10332">
        <v>0</v>
      </c>
      <c r="R10332">
        <v>0</v>
      </c>
      <c r="S10332">
        <v>0</v>
      </c>
      <c r="T10332" t="s">
        <v>38508</v>
      </c>
    </row>
    <row r="10333" spans="1:20" customFormat="1" ht="15" x14ac:dyDescent="0.25">
      <c r="A10333" t="s">
        <v>35</v>
      </c>
      <c r="B10333" t="s">
        <v>61</v>
      </c>
      <c r="C10333" t="str">
        <f>"A0127040"</f>
        <v>A0127040</v>
      </c>
      <c r="D10333" t="s">
        <v>38509</v>
      </c>
      <c r="E10333" t="s">
        <v>38510</v>
      </c>
      <c r="F10333" t="s">
        <v>638</v>
      </c>
      <c r="G10333" t="s">
        <v>899</v>
      </c>
      <c r="H10333">
        <v>2459</v>
      </c>
      <c r="I10333" t="s">
        <v>30</v>
      </c>
      <c r="J10333" t="s">
        <v>41</v>
      </c>
      <c r="K10333" t="s">
        <v>42</v>
      </c>
      <c r="Q10333">
        <v>0</v>
      </c>
      <c r="R10333">
        <v>0</v>
      </c>
      <c r="S10333">
        <v>0</v>
      </c>
      <c r="T10333" t="s">
        <v>38511</v>
      </c>
    </row>
    <row r="10334" spans="1:20" customFormat="1" ht="15" x14ac:dyDescent="0.25">
      <c r="A10334" t="s">
        <v>35</v>
      </c>
      <c r="B10334" t="s">
        <v>61</v>
      </c>
      <c r="C10334" t="str">
        <f>"A0131479"</f>
        <v>A0131479</v>
      </c>
      <c r="D10334" t="s">
        <v>38512</v>
      </c>
      <c r="E10334" t="s">
        <v>38513</v>
      </c>
      <c r="F10334" t="s">
        <v>8703</v>
      </c>
      <c r="G10334" t="s">
        <v>137</v>
      </c>
      <c r="H10334">
        <v>641090000</v>
      </c>
      <c r="I10334" t="s">
        <v>30</v>
      </c>
      <c r="J10334" t="s">
        <v>41</v>
      </c>
      <c r="K10334" t="s">
        <v>229</v>
      </c>
      <c r="Q10334">
        <v>0</v>
      </c>
      <c r="R10334">
        <v>28</v>
      </c>
      <c r="S10334">
        <v>28</v>
      </c>
      <c r="T10334" t="s">
        <v>38514</v>
      </c>
    </row>
    <row r="10335" spans="1:20" customFormat="1" ht="15" x14ac:dyDescent="0.25">
      <c r="A10335" t="s">
        <v>35</v>
      </c>
      <c r="B10335" t="s">
        <v>106</v>
      </c>
      <c r="C10335" t="str">
        <f>"A0135443"</f>
        <v>A0135443</v>
      </c>
      <c r="D10335" t="s">
        <v>38515</v>
      </c>
      <c r="E10335" t="s">
        <v>38516</v>
      </c>
      <c r="F10335" t="s">
        <v>20261</v>
      </c>
      <c r="G10335" t="s">
        <v>289</v>
      </c>
      <c r="H10335">
        <v>60173</v>
      </c>
      <c r="I10335" t="s">
        <v>30</v>
      </c>
      <c r="J10335" t="s">
        <v>111</v>
      </c>
      <c r="K10335" t="s">
        <v>10012</v>
      </c>
      <c r="Q10335">
        <v>0</v>
      </c>
      <c r="R10335">
        <v>0</v>
      </c>
      <c r="S10335">
        <v>0</v>
      </c>
      <c r="T10335" t="s">
        <v>38517</v>
      </c>
    </row>
    <row r="10336" spans="1:20" customFormat="1" ht="15" x14ac:dyDescent="0.25">
      <c r="A10336" t="s">
        <v>35</v>
      </c>
      <c r="B10336" t="s">
        <v>106</v>
      </c>
      <c r="C10336" t="str">
        <f>"A0135444"</f>
        <v>A0135444</v>
      </c>
      <c r="D10336" t="s">
        <v>38518</v>
      </c>
      <c r="E10336" t="s">
        <v>38519</v>
      </c>
      <c r="F10336" t="s">
        <v>15556</v>
      </c>
      <c r="G10336" t="s">
        <v>289</v>
      </c>
      <c r="H10336">
        <v>60201</v>
      </c>
      <c r="I10336" t="s">
        <v>30</v>
      </c>
      <c r="J10336" t="s">
        <v>111</v>
      </c>
      <c r="K10336" t="s">
        <v>112</v>
      </c>
      <c r="Q10336">
        <v>0</v>
      </c>
      <c r="R10336">
        <v>0</v>
      </c>
      <c r="S10336">
        <v>0</v>
      </c>
      <c r="T10336" t="s">
        <v>38517</v>
      </c>
    </row>
    <row r="10337" spans="1:20" customFormat="1" ht="15" x14ac:dyDescent="0.25">
      <c r="A10337" t="s">
        <v>35</v>
      </c>
      <c r="B10337" t="s">
        <v>106</v>
      </c>
      <c r="C10337" t="str">
        <f>"A0135445"</f>
        <v>A0135445</v>
      </c>
      <c r="D10337" t="s">
        <v>38520</v>
      </c>
      <c r="E10337" t="s">
        <v>38521</v>
      </c>
      <c r="F10337" t="s">
        <v>7734</v>
      </c>
      <c r="G10337" t="s">
        <v>197</v>
      </c>
      <c r="H10337">
        <v>85719</v>
      </c>
      <c r="I10337" t="s">
        <v>30</v>
      </c>
      <c r="J10337" t="s">
        <v>111</v>
      </c>
      <c r="K10337" t="s">
        <v>112</v>
      </c>
      <c r="Q10337">
        <v>0</v>
      </c>
      <c r="R10337">
        <v>0</v>
      </c>
      <c r="S10337">
        <v>0</v>
      </c>
      <c r="T10337" t="s">
        <v>38517</v>
      </c>
    </row>
    <row r="10338" spans="1:20" customFormat="1" ht="15" x14ac:dyDescent="0.25">
      <c r="A10338" t="s">
        <v>35</v>
      </c>
      <c r="B10338" t="s">
        <v>106</v>
      </c>
      <c r="C10338" t="str">
        <f>"A0136544"</f>
        <v>A0136544</v>
      </c>
      <c r="D10338" t="s">
        <v>38522</v>
      </c>
      <c r="E10338" t="s">
        <v>38523</v>
      </c>
      <c r="F10338" t="s">
        <v>4133</v>
      </c>
      <c r="G10338" t="s">
        <v>52</v>
      </c>
      <c r="H10338">
        <v>78705</v>
      </c>
      <c r="I10338" t="s">
        <v>30</v>
      </c>
      <c r="J10338" t="s">
        <v>111</v>
      </c>
      <c r="K10338" t="s">
        <v>10012</v>
      </c>
      <c r="Q10338">
        <v>0</v>
      </c>
      <c r="R10338">
        <v>0</v>
      </c>
      <c r="S10338">
        <v>0</v>
      </c>
      <c r="T10338" t="s">
        <v>38524</v>
      </c>
    </row>
    <row r="10339" spans="1:20" customFormat="1" ht="15" x14ac:dyDescent="0.25">
      <c r="A10339" t="s">
        <v>35</v>
      </c>
      <c r="B10339" t="s">
        <v>106</v>
      </c>
      <c r="C10339" t="str">
        <f>"A0135453"</f>
        <v>A0135453</v>
      </c>
      <c r="D10339" t="s">
        <v>38525</v>
      </c>
      <c r="E10339" t="s">
        <v>38526</v>
      </c>
      <c r="F10339" t="s">
        <v>4133</v>
      </c>
      <c r="G10339" t="s">
        <v>52</v>
      </c>
      <c r="H10339">
        <v>78705</v>
      </c>
      <c r="I10339" t="s">
        <v>30</v>
      </c>
      <c r="J10339" t="s">
        <v>111</v>
      </c>
      <c r="K10339" t="s">
        <v>10012</v>
      </c>
      <c r="Q10339">
        <v>0</v>
      </c>
      <c r="R10339">
        <v>0</v>
      </c>
      <c r="S10339">
        <v>0</v>
      </c>
      <c r="T10339" t="s">
        <v>38527</v>
      </c>
    </row>
    <row r="10340" spans="1:20" customFormat="1" ht="15" x14ac:dyDescent="0.25">
      <c r="A10340" t="s">
        <v>35</v>
      </c>
      <c r="B10340" t="s">
        <v>106</v>
      </c>
      <c r="C10340" t="str">
        <f>"A0154309"</f>
        <v>A0154309</v>
      </c>
      <c r="D10340" t="s">
        <v>38528</v>
      </c>
      <c r="E10340" t="s">
        <v>36462</v>
      </c>
      <c r="F10340" t="s">
        <v>4133</v>
      </c>
      <c r="G10340" t="s">
        <v>52</v>
      </c>
      <c r="H10340">
        <v>78705</v>
      </c>
      <c r="I10340" t="s">
        <v>30</v>
      </c>
      <c r="J10340" t="s">
        <v>111</v>
      </c>
      <c r="K10340" t="s">
        <v>10012</v>
      </c>
      <c r="Q10340">
        <v>0</v>
      </c>
      <c r="R10340">
        <v>0</v>
      </c>
      <c r="S10340">
        <v>0</v>
      </c>
      <c r="T10340" t="s">
        <v>38529</v>
      </c>
    </row>
    <row r="10341" spans="1:20" customFormat="1" ht="15" x14ac:dyDescent="0.25">
      <c r="A10341" t="s">
        <v>35</v>
      </c>
      <c r="B10341" t="s">
        <v>106</v>
      </c>
      <c r="C10341" t="str">
        <f>"A0135450"</f>
        <v>A0135450</v>
      </c>
      <c r="D10341" t="s">
        <v>38530</v>
      </c>
      <c r="E10341" t="s">
        <v>38531</v>
      </c>
      <c r="F10341" t="s">
        <v>16066</v>
      </c>
      <c r="G10341" t="s">
        <v>52</v>
      </c>
      <c r="H10341">
        <v>78666</v>
      </c>
      <c r="I10341" t="s">
        <v>30</v>
      </c>
      <c r="J10341" t="s">
        <v>111</v>
      </c>
      <c r="K10341" t="s">
        <v>112</v>
      </c>
      <c r="Q10341">
        <v>0</v>
      </c>
      <c r="R10341">
        <v>0</v>
      </c>
      <c r="S10341">
        <v>0</v>
      </c>
      <c r="T10341" t="s">
        <v>38517</v>
      </c>
    </row>
    <row r="10342" spans="1:20" customFormat="1" ht="15" x14ac:dyDescent="0.25">
      <c r="A10342" t="s">
        <v>35</v>
      </c>
      <c r="B10342" t="s">
        <v>106</v>
      </c>
      <c r="C10342" t="str">
        <f>"A0135451"</f>
        <v>A0135451</v>
      </c>
      <c r="D10342" t="s">
        <v>38532</v>
      </c>
      <c r="E10342" t="s">
        <v>38533</v>
      </c>
      <c r="F10342" t="s">
        <v>4133</v>
      </c>
      <c r="G10342" t="s">
        <v>52</v>
      </c>
      <c r="H10342">
        <v>78705</v>
      </c>
      <c r="I10342" t="s">
        <v>30</v>
      </c>
      <c r="J10342" t="s">
        <v>111</v>
      </c>
      <c r="K10342" t="s">
        <v>112</v>
      </c>
      <c r="Q10342">
        <v>0</v>
      </c>
      <c r="R10342">
        <v>0</v>
      </c>
      <c r="S10342">
        <v>0</v>
      </c>
      <c r="T10342" t="s">
        <v>38529</v>
      </c>
    </row>
    <row r="10343" spans="1:20" customFormat="1" ht="15" x14ac:dyDescent="0.25">
      <c r="A10343" t="s">
        <v>35</v>
      </c>
      <c r="B10343" t="s">
        <v>106</v>
      </c>
      <c r="C10343" t="str">
        <f>"A0155843"</f>
        <v>A0155843</v>
      </c>
      <c r="D10343" t="s">
        <v>38534</v>
      </c>
      <c r="E10343" t="s">
        <v>38535</v>
      </c>
      <c r="F10343" t="s">
        <v>20898</v>
      </c>
      <c r="G10343" t="s">
        <v>52</v>
      </c>
      <c r="H10343">
        <v>77840</v>
      </c>
      <c r="I10343" t="s">
        <v>30</v>
      </c>
      <c r="J10343" t="s">
        <v>111</v>
      </c>
      <c r="K10343" t="s">
        <v>10012</v>
      </c>
      <c r="Q10343">
        <v>0</v>
      </c>
      <c r="R10343">
        <v>0</v>
      </c>
      <c r="S10343">
        <v>0</v>
      </c>
      <c r="T10343" t="s">
        <v>38517</v>
      </c>
    </row>
    <row r="10344" spans="1:20" customFormat="1" ht="15" x14ac:dyDescent="0.25">
      <c r="A10344" t="s">
        <v>35</v>
      </c>
      <c r="B10344" t="s">
        <v>106</v>
      </c>
      <c r="C10344" t="str">
        <f>"A0135627"</f>
        <v>A0135627</v>
      </c>
      <c r="D10344" t="s">
        <v>38536</v>
      </c>
      <c r="E10344" t="s">
        <v>38537</v>
      </c>
      <c r="F10344" t="s">
        <v>36141</v>
      </c>
      <c r="G10344" t="s">
        <v>52</v>
      </c>
      <c r="H10344">
        <v>78705</v>
      </c>
      <c r="I10344" t="s">
        <v>30</v>
      </c>
      <c r="J10344" t="s">
        <v>111</v>
      </c>
      <c r="K10344" t="s">
        <v>112</v>
      </c>
      <c r="Q10344">
        <v>0</v>
      </c>
      <c r="R10344">
        <v>0</v>
      </c>
      <c r="S10344">
        <v>0</v>
      </c>
      <c r="T10344" t="s">
        <v>38538</v>
      </c>
    </row>
    <row r="10345" spans="1:20" customFormat="1" ht="15" x14ac:dyDescent="0.25">
      <c r="A10345" t="s">
        <v>35</v>
      </c>
      <c r="B10345" t="s">
        <v>106</v>
      </c>
      <c r="C10345" t="str">
        <f>"A0135449"</f>
        <v>A0135449</v>
      </c>
      <c r="D10345" t="s">
        <v>38539</v>
      </c>
      <c r="E10345" t="s">
        <v>38540</v>
      </c>
      <c r="F10345" t="s">
        <v>4133</v>
      </c>
      <c r="G10345" t="s">
        <v>52</v>
      </c>
      <c r="H10345">
        <v>78705</v>
      </c>
      <c r="I10345" t="s">
        <v>30</v>
      </c>
      <c r="J10345" t="s">
        <v>111</v>
      </c>
      <c r="K10345" t="s">
        <v>112</v>
      </c>
      <c r="Q10345">
        <v>0</v>
      </c>
      <c r="R10345">
        <v>0</v>
      </c>
      <c r="S10345">
        <v>0</v>
      </c>
      <c r="T10345" t="s">
        <v>38517</v>
      </c>
    </row>
    <row r="10346" spans="1:20" customFormat="1" ht="15" x14ac:dyDescent="0.25">
      <c r="A10346" t="s">
        <v>35</v>
      </c>
      <c r="B10346" t="s">
        <v>106</v>
      </c>
      <c r="C10346" t="str">
        <f>"A0135441"</f>
        <v>A0135441</v>
      </c>
      <c r="D10346" t="s">
        <v>38541</v>
      </c>
      <c r="E10346" t="s">
        <v>38542</v>
      </c>
      <c r="F10346" t="s">
        <v>4133</v>
      </c>
      <c r="G10346" t="s">
        <v>52</v>
      </c>
      <c r="H10346">
        <v>78705</v>
      </c>
      <c r="I10346" t="s">
        <v>30</v>
      </c>
      <c r="J10346" t="s">
        <v>111</v>
      </c>
      <c r="K10346" t="s">
        <v>10012</v>
      </c>
      <c r="Q10346">
        <v>0</v>
      </c>
      <c r="R10346">
        <v>0</v>
      </c>
      <c r="S10346">
        <v>0</v>
      </c>
      <c r="T10346" t="s">
        <v>36464</v>
      </c>
    </row>
    <row r="10347" spans="1:20" customFormat="1" ht="15" x14ac:dyDescent="0.25">
      <c r="A10347" t="s">
        <v>35</v>
      </c>
      <c r="B10347" t="s">
        <v>106</v>
      </c>
      <c r="C10347" t="str">
        <f>"A0135452"</f>
        <v>A0135452</v>
      </c>
      <c r="D10347" t="s">
        <v>38543</v>
      </c>
      <c r="E10347" t="s">
        <v>38544</v>
      </c>
      <c r="F10347" t="s">
        <v>4133</v>
      </c>
      <c r="G10347" t="s">
        <v>52</v>
      </c>
      <c r="H10347">
        <v>78705</v>
      </c>
      <c r="I10347" t="s">
        <v>30</v>
      </c>
      <c r="J10347" t="s">
        <v>111</v>
      </c>
      <c r="K10347" t="s">
        <v>112</v>
      </c>
      <c r="Q10347">
        <v>0</v>
      </c>
      <c r="R10347">
        <v>0</v>
      </c>
      <c r="S10347">
        <v>0</v>
      </c>
      <c r="T10347" t="s">
        <v>38527</v>
      </c>
    </row>
    <row r="10348" spans="1:20" customFormat="1" ht="15" x14ac:dyDescent="0.25">
      <c r="A10348" t="s">
        <v>35</v>
      </c>
      <c r="B10348" t="s">
        <v>106</v>
      </c>
      <c r="C10348" t="str">
        <f>"A0155844"</f>
        <v>A0155844</v>
      </c>
      <c r="D10348" t="s">
        <v>38545</v>
      </c>
      <c r="E10348" t="s">
        <v>38546</v>
      </c>
      <c r="F10348" t="s">
        <v>20898</v>
      </c>
      <c r="G10348" t="s">
        <v>52</v>
      </c>
      <c r="H10348">
        <v>77840</v>
      </c>
      <c r="I10348" t="s">
        <v>30</v>
      </c>
      <c r="J10348" t="s">
        <v>111</v>
      </c>
      <c r="K10348" t="s">
        <v>10012</v>
      </c>
      <c r="Q10348">
        <v>0</v>
      </c>
      <c r="R10348">
        <v>0</v>
      </c>
      <c r="S10348">
        <v>0</v>
      </c>
      <c r="T10348" t="s">
        <v>38517</v>
      </c>
    </row>
    <row r="10349" spans="1:20" customFormat="1" ht="15" x14ac:dyDescent="0.25">
      <c r="A10349" t="s">
        <v>35</v>
      </c>
      <c r="B10349" t="s">
        <v>106</v>
      </c>
      <c r="C10349" t="str">
        <f>"A0167313"</f>
        <v>A0167313</v>
      </c>
      <c r="D10349" t="s">
        <v>38547</v>
      </c>
      <c r="E10349" t="s">
        <v>38548</v>
      </c>
      <c r="F10349" t="s">
        <v>4133</v>
      </c>
      <c r="G10349" t="s">
        <v>52</v>
      </c>
      <c r="H10349">
        <v>78705</v>
      </c>
      <c r="I10349" t="s">
        <v>30</v>
      </c>
      <c r="J10349" t="s">
        <v>111</v>
      </c>
      <c r="K10349" t="s">
        <v>112</v>
      </c>
      <c r="Q10349">
        <v>0</v>
      </c>
      <c r="R10349">
        <v>0</v>
      </c>
      <c r="S10349">
        <v>0</v>
      </c>
      <c r="T10349" t="s">
        <v>38529</v>
      </c>
    </row>
    <row r="10350" spans="1:20" customFormat="1" ht="15" x14ac:dyDescent="0.25">
      <c r="A10350" t="s">
        <v>35</v>
      </c>
      <c r="B10350" t="s">
        <v>106</v>
      </c>
      <c r="C10350" t="str">
        <f>"A0167312"</f>
        <v>A0167312</v>
      </c>
      <c r="D10350" t="s">
        <v>38549</v>
      </c>
      <c r="E10350" t="s">
        <v>38550</v>
      </c>
      <c r="F10350" t="s">
        <v>4133</v>
      </c>
      <c r="G10350" t="s">
        <v>52</v>
      </c>
      <c r="H10350">
        <v>78705</v>
      </c>
      <c r="I10350" t="s">
        <v>30</v>
      </c>
      <c r="J10350" t="s">
        <v>111</v>
      </c>
      <c r="K10350" t="s">
        <v>112</v>
      </c>
      <c r="Q10350">
        <v>0</v>
      </c>
      <c r="R10350">
        <v>0</v>
      </c>
      <c r="S10350">
        <v>0</v>
      </c>
      <c r="T10350" t="s">
        <v>38529</v>
      </c>
    </row>
    <row r="10351" spans="1:20" customFormat="1" ht="15" x14ac:dyDescent="0.25">
      <c r="A10351" t="s">
        <v>35</v>
      </c>
      <c r="B10351" t="s">
        <v>106</v>
      </c>
      <c r="C10351" t="str">
        <f>"A0135440"</f>
        <v>A0135440</v>
      </c>
      <c r="D10351" t="s">
        <v>38551</v>
      </c>
      <c r="E10351" t="s">
        <v>38552</v>
      </c>
      <c r="F10351" t="s">
        <v>4133</v>
      </c>
      <c r="G10351" t="s">
        <v>52</v>
      </c>
      <c r="H10351">
        <v>78705</v>
      </c>
      <c r="I10351" t="s">
        <v>30</v>
      </c>
      <c r="J10351" t="s">
        <v>111</v>
      </c>
      <c r="K10351" t="s">
        <v>10012</v>
      </c>
      <c r="Q10351">
        <v>0</v>
      </c>
      <c r="R10351">
        <v>0</v>
      </c>
      <c r="S10351">
        <v>0</v>
      </c>
      <c r="T10351" t="s">
        <v>36464</v>
      </c>
    </row>
    <row r="10352" spans="1:20" customFormat="1" ht="15" x14ac:dyDescent="0.25">
      <c r="A10352" t="s">
        <v>35</v>
      </c>
      <c r="B10352" t="s">
        <v>106</v>
      </c>
      <c r="C10352" t="str">
        <f>"A0135442"</f>
        <v>A0135442</v>
      </c>
      <c r="D10352" t="s">
        <v>38553</v>
      </c>
      <c r="E10352" t="s">
        <v>38554</v>
      </c>
      <c r="F10352" t="s">
        <v>4227</v>
      </c>
      <c r="G10352" t="s">
        <v>846</v>
      </c>
      <c r="H10352">
        <v>30605</v>
      </c>
      <c r="I10352" t="s">
        <v>30</v>
      </c>
      <c r="J10352" t="s">
        <v>111</v>
      </c>
      <c r="K10352" t="s">
        <v>112</v>
      </c>
      <c r="Q10352">
        <v>0</v>
      </c>
      <c r="R10352">
        <v>0</v>
      </c>
      <c r="S10352">
        <v>0</v>
      </c>
      <c r="T10352" t="s">
        <v>38517</v>
      </c>
    </row>
    <row r="10353" spans="1:20" customFormat="1" ht="15" x14ac:dyDescent="0.25">
      <c r="A10353" t="s">
        <v>35</v>
      </c>
      <c r="B10353" t="s">
        <v>106</v>
      </c>
      <c r="C10353" t="str">
        <f>"A0136307"</f>
        <v>A0136307</v>
      </c>
      <c r="D10353" t="s">
        <v>38555</v>
      </c>
      <c r="E10353" t="s">
        <v>38556</v>
      </c>
      <c r="F10353" t="s">
        <v>3193</v>
      </c>
      <c r="G10353" t="s">
        <v>1369</v>
      </c>
      <c r="H10353">
        <v>39058</v>
      </c>
      <c r="I10353" t="s">
        <v>30</v>
      </c>
      <c r="J10353" t="s">
        <v>111</v>
      </c>
      <c r="K10353" t="s">
        <v>112</v>
      </c>
      <c r="Q10353">
        <v>0</v>
      </c>
      <c r="R10353">
        <v>0</v>
      </c>
      <c r="S10353">
        <v>0</v>
      </c>
      <c r="T10353" t="s">
        <v>38557</v>
      </c>
    </row>
    <row r="10354" spans="1:20" customFormat="1" ht="15" x14ac:dyDescent="0.25">
      <c r="A10354" t="s">
        <v>35</v>
      </c>
      <c r="B10354" t="s">
        <v>106</v>
      </c>
      <c r="C10354" t="str">
        <f>"A0136308"</f>
        <v>A0136308</v>
      </c>
      <c r="D10354" t="s">
        <v>38558</v>
      </c>
      <c r="E10354" t="s">
        <v>38556</v>
      </c>
      <c r="F10354" t="s">
        <v>3193</v>
      </c>
      <c r="G10354" t="s">
        <v>1369</v>
      </c>
      <c r="H10354">
        <v>39058</v>
      </c>
      <c r="I10354" t="s">
        <v>30</v>
      </c>
      <c r="J10354" t="s">
        <v>111</v>
      </c>
      <c r="K10354" t="s">
        <v>112</v>
      </c>
      <c r="Q10354">
        <v>0</v>
      </c>
      <c r="R10354">
        <v>0</v>
      </c>
      <c r="S10354">
        <v>0</v>
      </c>
      <c r="T10354" t="s">
        <v>38557</v>
      </c>
    </row>
    <row r="10355" spans="1:20" customFormat="1" ht="15" x14ac:dyDescent="0.25">
      <c r="A10355" t="s">
        <v>35</v>
      </c>
      <c r="B10355" t="s">
        <v>106</v>
      </c>
      <c r="C10355" t="str">
        <f>"A0136309"</f>
        <v>A0136309</v>
      </c>
      <c r="D10355" t="s">
        <v>38559</v>
      </c>
      <c r="E10355" t="s">
        <v>38556</v>
      </c>
      <c r="F10355" t="s">
        <v>3193</v>
      </c>
      <c r="G10355" t="s">
        <v>1369</v>
      </c>
      <c r="H10355">
        <v>39058</v>
      </c>
      <c r="I10355" t="s">
        <v>30</v>
      </c>
      <c r="J10355" t="s">
        <v>111</v>
      </c>
      <c r="K10355" t="s">
        <v>112</v>
      </c>
      <c r="Q10355">
        <v>0</v>
      </c>
      <c r="R10355">
        <v>0</v>
      </c>
      <c r="S10355">
        <v>0</v>
      </c>
      <c r="T10355" t="s">
        <v>38557</v>
      </c>
    </row>
    <row r="10356" spans="1:20" customFormat="1" ht="15" x14ac:dyDescent="0.25">
      <c r="A10356" t="s">
        <v>35</v>
      </c>
      <c r="B10356" t="s">
        <v>106</v>
      </c>
      <c r="C10356" t="str">
        <f>"A0135922"</f>
        <v>A0135922</v>
      </c>
      <c r="D10356" t="s">
        <v>38560</v>
      </c>
      <c r="E10356" t="s">
        <v>38561</v>
      </c>
      <c r="F10356" t="s">
        <v>10801</v>
      </c>
      <c r="G10356" t="s">
        <v>99</v>
      </c>
      <c r="H10356">
        <v>14261</v>
      </c>
      <c r="I10356" t="s">
        <v>30</v>
      </c>
      <c r="J10356" t="s">
        <v>111</v>
      </c>
      <c r="K10356" t="s">
        <v>10012</v>
      </c>
      <c r="Q10356">
        <v>0</v>
      </c>
      <c r="R10356">
        <v>0</v>
      </c>
      <c r="S10356">
        <v>0</v>
      </c>
      <c r="T10356" t="s">
        <v>38562</v>
      </c>
    </row>
    <row r="10357" spans="1:20" customFormat="1" ht="15" x14ac:dyDescent="0.25">
      <c r="A10357" t="s">
        <v>35</v>
      </c>
      <c r="B10357" t="s">
        <v>106</v>
      </c>
      <c r="C10357" t="str">
        <f>"A0135932"</f>
        <v>A0135932</v>
      </c>
      <c r="D10357" t="s">
        <v>38563</v>
      </c>
      <c r="E10357" t="s">
        <v>38561</v>
      </c>
      <c r="F10357" t="s">
        <v>10801</v>
      </c>
      <c r="G10357" t="s">
        <v>99</v>
      </c>
      <c r="H10357">
        <v>14261</v>
      </c>
      <c r="I10357" t="s">
        <v>30</v>
      </c>
      <c r="J10357" t="s">
        <v>111</v>
      </c>
      <c r="K10357" t="s">
        <v>10012</v>
      </c>
      <c r="Q10357">
        <v>0</v>
      </c>
      <c r="R10357">
        <v>0</v>
      </c>
      <c r="S10357">
        <v>0</v>
      </c>
      <c r="T10357" t="s">
        <v>38564</v>
      </c>
    </row>
    <row r="10358" spans="1:20" customFormat="1" ht="15" x14ac:dyDescent="0.25">
      <c r="A10358" t="s">
        <v>35</v>
      </c>
      <c r="B10358" t="s">
        <v>106</v>
      </c>
      <c r="C10358" t="str">
        <f>"A0135933"</f>
        <v>A0135933</v>
      </c>
      <c r="D10358" t="s">
        <v>38565</v>
      </c>
      <c r="E10358" t="s">
        <v>38561</v>
      </c>
      <c r="F10358" t="s">
        <v>10801</v>
      </c>
      <c r="G10358" t="s">
        <v>99</v>
      </c>
      <c r="H10358">
        <v>14261</v>
      </c>
      <c r="I10358" t="s">
        <v>30</v>
      </c>
      <c r="J10358" t="s">
        <v>111</v>
      </c>
      <c r="K10358" t="s">
        <v>10012</v>
      </c>
      <c r="Q10358">
        <v>0</v>
      </c>
      <c r="R10358">
        <v>0</v>
      </c>
      <c r="S10358">
        <v>0</v>
      </c>
      <c r="T10358" t="s">
        <v>38564</v>
      </c>
    </row>
    <row r="10359" spans="1:20" customFormat="1" ht="15" x14ac:dyDescent="0.25">
      <c r="A10359" t="s">
        <v>35</v>
      </c>
      <c r="B10359" t="s">
        <v>106</v>
      </c>
      <c r="C10359" t="str">
        <f>"A0135927"</f>
        <v>A0135927</v>
      </c>
      <c r="D10359" t="s">
        <v>38566</v>
      </c>
      <c r="E10359" t="s">
        <v>38561</v>
      </c>
      <c r="F10359" t="s">
        <v>10801</v>
      </c>
      <c r="G10359" t="s">
        <v>99</v>
      </c>
      <c r="H10359">
        <v>14261</v>
      </c>
      <c r="I10359" t="s">
        <v>30</v>
      </c>
      <c r="J10359" t="s">
        <v>111</v>
      </c>
      <c r="K10359" t="s">
        <v>10012</v>
      </c>
      <c r="Q10359">
        <v>0</v>
      </c>
      <c r="R10359">
        <v>0</v>
      </c>
      <c r="S10359">
        <v>0</v>
      </c>
      <c r="T10359" t="s">
        <v>38567</v>
      </c>
    </row>
    <row r="10360" spans="1:20" customFormat="1" ht="15" x14ac:dyDescent="0.25">
      <c r="A10360" t="s">
        <v>35</v>
      </c>
      <c r="B10360" t="s">
        <v>106</v>
      </c>
      <c r="C10360" t="str">
        <f>"A0135930"</f>
        <v>A0135930</v>
      </c>
      <c r="D10360" t="s">
        <v>38568</v>
      </c>
      <c r="E10360" t="s">
        <v>38561</v>
      </c>
      <c r="F10360" t="s">
        <v>10801</v>
      </c>
      <c r="G10360" t="s">
        <v>99</v>
      </c>
      <c r="H10360">
        <v>14261</v>
      </c>
      <c r="I10360" t="s">
        <v>30</v>
      </c>
      <c r="J10360" t="s">
        <v>111</v>
      </c>
      <c r="K10360" t="s">
        <v>10012</v>
      </c>
      <c r="Q10360">
        <v>0</v>
      </c>
      <c r="R10360">
        <v>0</v>
      </c>
      <c r="S10360">
        <v>0</v>
      </c>
      <c r="T10360" t="s">
        <v>38569</v>
      </c>
    </row>
    <row r="10361" spans="1:20" customFormat="1" ht="15" x14ac:dyDescent="0.25">
      <c r="A10361" t="s">
        <v>35</v>
      </c>
      <c r="B10361" t="s">
        <v>106</v>
      </c>
      <c r="C10361" t="str">
        <f>"A0135934"</f>
        <v>A0135934</v>
      </c>
      <c r="D10361" t="s">
        <v>38570</v>
      </c>
      <c r="E10361" t="s">
        <v>38561</v>
      </c>
      <c r="F10361" t="s">
        <v>10801</v>
      </c>
      <c r="G10361" t="s">
        <v>99</v>
      </c>
      <c r="H10361">
        <v>14261</v>
      </c>
      <c r="I10361" t="s">
        <v>30</v>
      </c>
      <c r="J10361" t="s">
        <v>111</v>
      </c>
      <c r="K10361" t="s">
        <v>10012</v>
      </c>
      <c r="Q10361">
        <v>0</v>
      </c>
      <c r="R10361">
        <v>0</v>
      </c>
      <c r="S10361">
        <v>0</v>
      </c>
      <c r="T10361" t="s">
        <v>38564</v>
      </c>
    </row>
    <row r="10362" spans="1:20" customFormat="1" ht="15" x14ac:dyDescent="0.25">
      <c r="A10362" t="s">
        <v>35</v>
      </c>
      <c r="B10362" t="s">
        <v>106</v>
      </c>
      <c r="C10362" t="str">
        <f>"A0135929"</f>
        <v>A0135929</v>
      </c>
      <c r="D10362" t="s">
        <v>38571</v>
      </c>
      <c r="E10362" t="s">
        <v>38561</v>
      </c>
      <c r="F10362" t="s">
        <v>10801</v>
      </c>
      <c r="G10362" t="s">
        <v>99</v>
      </c>
      <c r="H10362">
        <v>14261</v>
      </c>
      <c r="I10362" t="s">
        <v>30</v>
      </c>
      <c r="J10362" t="s">
        <v>111</v>
      </c>
      <c r="K10362" t="s">
        <v>10012</v>
      </c>
      <c r="Q10362">
        <v>0</v>
      </c>
      <c r="R10362">
        <v>0</v>
      </c>
      <c r="S10362">
        <v>0</v>
      </c>
      <c r="T10362" t="s">
        <v>38567</v>
      </c>
    </row>
    <row r="10363" spans="1:20" customFormat="1" ht="15" x14ac:dyDescent="0.25">
      <c r="A10363" t="s">
        <v>35</v>
      </c>
      <c r="B10363" t="s">
        <v>106</v>
      </c>
      <c r="C10363" t="str">
        <f>"A0135925"</f>
        <v>A0135925</v>
      </c>
      <c r="D10363" t="s">
        <v>38572</v>
      </c>
      <c r="E10363" t="s">
        <v>38561</v>
      </c>
      <c r="F10363" t="s">
        <v>10801</v>
      </c>
      <c r="G10363" t="s">
        <v>99</v>
      </c>
      <c r="H10363">
        <v>14261</v>
      </c>
      <c r="I10363" t="s">
        <v>30</v>
      </c>
      <c r="J10363" t="s">
        <v>111</v>
      </c>
      <c r="K10363" t="s">
        <v>10012</v>
      </c>
      <c r="Q10363">
        <v>0</v>
      </c>
      <c r="R10363">
        <v>0</v>
      </c>
      <c r="S10363">
        <v>0</v>
      </c>
      <c r="T10363" t="s">
        <v>38573</v>
      </c>
    </row>
    <row r="10364" spans="1:20" customFormat="1" ht="15" x14ac:dyDescent="0.25">
      <c r="A10364" t="s">
        <v>35</v>
      </c>
      <c r="B10364" t="s">
        <v>106</v>
      </c>
      <c r="C10364" t="str">
        <f>"A0135924"</f>
        <v>A0135924</v>
      </c>
      <c r="D10364" t="s">
        <v>38574</v>
      </c>
      <c r="E10364" t="s">
        <v>38561</v>
      </c>
      <c r="F10364" t="s">
        <v>10801</v>
      </c>
      <c r="G10364" t="s">
        <v>99</v>
      </c>
      <c r="H10364">
        <v>14261</v>
      </c>
      <c r="I10364" t="s">
        <v>30</v>
      </c>
      <c r="J10364" t="s">
        <v>111</v>
      </c>
      <c r="K10364" t="s">
        <v>10012</v>
      </c>
      <c r="Q10364">
        <v>0</v>
      </c>
      <c r="R10364">
        <v>0</v>
      </c>
      <c r="S10364">
        <v>0</v>
      </c>
      <c r="T10364" t="s">
        <v>38575</v>
      </c>
    </row>
    <row r="10365" spans="1:20" customFormat="1" ht="15" x14ac:dyDescent="0.25">
      <c r="A10365" t="s">
        <v>35</v>
      </c>
      <c r="B10365" t="s">
        <v>106</v>
      </c>
      <c r="C10365" t="str">
        <f>"A0135935"</f>
        <v>A0135935</v>
      </c>
      <c r="D10365" t="s">
        <v>38576</v>
      </c>
      <c r="E10365" t="s">
        <v>38561</v>
      </c>
      <c r="F10365" t="s">
        <v>10801</v>
      </c>
      <c r="G10365" t="s">
        <v>99</v>
      </c>
      <c r="H10365">
        <v>14261</v>
      </c>
      <c r="I10365" t="s">
        <v>30</v>
      </c>
      <c r="J10365" t="s">
        <v>111</v>
      </c>
      <c r="K10365" t="s">
        <v>10012</v>
      </c>
      <c r="Q10365">
        <v>0</v>
      </c>
      <c r="R10365">
        <v>0</v>
      </c>
      <c r="S10365">
        <v>0</v>
      </c>
      <c r="T10365" t="s">
        <v>38564</v>
      </c>
    </row>
    <row r="10366" spans="1:20" customFormat="1" ht="15" x14ac:dyDescent="0.25">
      <c r="A10366" t="s">
        <v>35</v>
      </c>
      <c r="B10366" t="s">
        <v>106</v>
      </c>
      <c r="C10366" t="str">
        <f>"A0135923"</f>
        <v>A0135923</v>
      </c>
      <c r="D10366" t="s">
        <v>38577</v>
      </c>
      <c r="E10366" t="s">
        <v>38561</v>
      </c>
      <c r="F10366" t="s">
        <v>10801</v>
      </c>
      <c r="G10366" t="s">
        <v>99</v>
      </c>
      <c r="H10366">
        <v>14261</v>
      </c>
      <c r="I10366" t="s">
        <v>30</v>
      </c>
      <c r="J10366" t="s">
        <v>111</v>
      </c>
      <c r="K10366" t="s">
        <v>10012</v>
      </c>
      <c r="Q10366">
        <v>0</v>
      </c>
      <c r="R10366">
        <v>0</v>
      </c>
      <c r="S10366">
        <v>0</v>
      </c>
      <c r="T10366" t="s">
        <v>38578</v>
      </c>
    </row>
    <row r="10367" spans="1:20" customFormat="1" ht="15" x14ac:dyDescent="0.25">
      <c r="A10367" t="s">
        <v>35</v>
      </c>
      <c r="B10367" t="s">
        <v>106</v>
      </c>
      <c r="C10367" t="str">
        <f>"A0135936"</f>
        <v>A0135936</v>
      </c>
      <c r="D10367" t="s">
        <v>38579</v>
      </c>
      <c r="E10367" t="s">
        <v>38561</v>
      </c>
      <c r="F10367" t="s">
        <v>10801</v>
      </c>
      <c r="G10367" t="s">
        <v>99</v>
      </c>
      <c r="H10367">
        <v>14261</v>
      </c>
      <c r="I10367" t="s">
        <v>30</v>
      </c>
      <c r="J10367" t="s">
        <v>111</v>
      </c>
      <c r="K10367" t="s">
        <v>10012</v>
      </c>
      <c r="Q10367">
        <v>0</v>
      </c>
      <c r="R10367">
        <v>0</v>
      </c>
      <c r="S10367">
        <v>0</v>
      </c>
      <c r="T10367" t="s">
        <v>38564</v>
      </c>
    </row>
    <row r="10368" spans="1:20" customFormat="1" ht="15" x14ac:dyDescent="0.25">
      <c r="A10368" t="s">
        <v>35</v>
      </c>
      <c r="B10368" t="s">
        <v>106</v>
      </c>
      <c r="C10368" t="str">
        <f>"A0135921"</f>
        <v>A0135921</v>
      </c>
      <c r="D10368" t="s">
        <v>38580</v>
      </c>
      <c r="E10368" t="s">
        <v>38561</v>
      </c>
      <c r="F10368" t="s">
        <v>10801</v>
      </c>
      <c r="G10368" t="s">
        <v>99</v>
      </c>
      <c r="H10368">
        <v>14261</v>
      </c>
      <c r="I10368" t="s">
        <v>30</v>
      </c>
      <c r="J10368" t="s">
        <v>111</v>
      </c>
      <c r="K10368" t="s">
        <v>10012</v>
      </c>
      <c r="Q10368">
        <v>0</v>
      </c>
      <c r="R10368">
        <v>0</v>
      </c>
      <c r="S10368">
        <v>0</v>
      </c>
      <c r="T10368" t="s">
        <v>38562</v>
      </c>
    </row>
    <row r="10369" spans="1:20" customFormat="1" ht="15" x14ac:dyDescent="0.25">
      <c r="A10369" t="s">
        <v>35</v>
      </c>
      <c r="B10369" t="s">
        <v>106</v>
      </c>
      <c r="C10369" t="str">
        <f>"A0135937"</f>
        <v>A0135937</v>
      </c>
      <c r="D10369" t="s">
        <v>38581</v>
      </c>
      <c r="E10369" t="s">
        <v>38561</v>
      </c>
      <c r="F10369" t="s">
        <v>10801</v>
      </c>
      <c r="G10369" t="s">
        <v>99</v>
      </c>
      <c r="H10369">
        <v>14261</v>
      </c>
      <c r="I10369" t="s">
        <v>30</v>
      </c>
      <c r="J10369" t="s">
        <v>111</v>
      </c>
      <c r="K10369" t="s">
        <v>10012</v>
      </c>
      <c r="Q10369">
        <v>0</v>
      </c>
      <c r="R10369">
        <v>0</v>
      </c>
      <c r="S10369">
        <v>0</v>
      </c>
      <c r="T10369" t="s">
        <v>38582</v>
      </c>
    </row>
    <row r="10370" spans="1:20" customFormat="1" ht="15" x14ac:dyDescent="0.25">
      <c r="A10370" t="s">
        <v>35</v>
      </c>
      <c r="B10370" t="s">
        <v>106</v>
      </c>
      <c r="C10370" t="str">
        <f>"A0135931"</f>
        <v>A0135931</v>
      </c>
      <c r="D10370" t="s">
        <v>38583</v>
      </c>
      <c r="E10370" t="s">
        <v>38561</v>
      </c>
      <c r="F10370" t="s">
        <v>10801</v>
      </c>
      <c r="G10370" t="s">
        <v>99</v>
      </c>
      <c r="H10370">
        <v>14261</v>
      </c>
      <c r="I10370" t="s">
        <v>30</v>
      </c>
      <c r="J10370" t="s">
        <v>111</v>
      </c>
      <c r="K10370" t="s">
        <v>10012</v>
      </c>
      <c r="Q10370">
        <v>0</v>
      </c>
      <c r="R10370">
        <v>0</v>
      </c>
      <c r="S10370">
        <v>0</v>
      </c>
      <c r="T10370" t="s">
        <v>38584</v>
      </c>
    </row>
    <row r="10371" spans="1:20" customFormat="1" ht="15" x14ac:dyDescent="0.25">
      <c r="A10371" t="s">
        <v>35</v>
      </c>
      <c r="B10371" t="s">
        <v>106</v>
      </c>
      <c r="C10371" t="str">
        <f>"A0135918"</f>
        <v>A0135918</v>
      </c>
      <c r="D10371" t="s">
        <v>38585</v>
      </c>
      <c r="E10371" t="s">
        <v>38561</v>
      </c>
      <c r="F10371" t="s">
        <v>10801</v>
      </c>
      <c r="G10371" t="s">
        <v>99</v>
      </c>
      <c r="H10371">
        <v>14261</v>
      </c>
      <c r="I10371" t="s">
        <v>30</v>
      </c>
      <c r="J10371" t="s">
        <v>111</v>
      </c>
      <c r="K10371" t="s">
        <v>10012</v>
      </c>
      <c r="Q10371">
        <v>0</v>
      </c>
      <c r="R10371">
        <v>0</v>
      </c>
      <c r="S10371">
        <v>0</v>
      </c>
      <c r="T10371" t="s">
        <v>38562</v>
      </c>
    </row>
    <row r="10372" spans="1:20" customFormat="1" ht="15" x14ac:dyDescent="0.25">
      <c r="A10372" t="s">
        <v>35</v>
      </c>
      <c r="B10372" t="s">
        <v>106</v>
      </c>
      <c r="C10372" t="str">
        <f>"A0135919"</f>
        <v>A0135919</v>
      </c>
      <c r="D10372" t="s">
        <v>38586</v>
      </c>
      <c r="E10372" t="s">
        <v>38561</v>
      </c>
      <c r="F10372" t="s">
        <v>10801</v>
      </c>
      <c r="G10372" t="s">
        <v>99</v>
      </c>
      <c r="H10372">
        <v>14261</v>
      </c>
      <c r="I10372" t="s">
        <v>30</v>
      </c>
      <c r="J10372" t="s">
        <v>111</v>
      </c>
      <c r="K10372" t="s">
        <v>10012</v>
      </c>
      <c r="Q10372">
        <v>0</v>
      </c>
      <c r="R10372">
        <v>0</v>
      </c>
      <c r="S10372">
        <v>0</v>
      </c>
      <c r="T10372" t="s">
        <v>38562</v>
      </c>
    </row>
    <row r="10373" spans="1:20" customFormat="1" ht="15" x14ac:dyDescent="0.25">
      <c r="A10373" t="s">
        <v>35</v>
      </c>
      <c r="B10373" t="s">
        <v>106</v>
      </c>
      <c r="C10373" t="str">
        <f>"A0135926"</f>
        <v>A0135926</v>
      </c>
      <c r="D10373" t="s">
        <v>38587</v>
      </c>
      <c r="E10373" t="s">
        <v>38561</v>
      </c>
      <c r="F10373" t="s">
        <v>10801</v>
      </c>
      <c r="G10373" t="s">
        <v>99</v>
      </c>
      <c r="H10373">
        <v>14261</v>
      </c>
      <c r="I10373" t="s">
        <v>30</v>
      </c>
      <c r="J10373" t="s">
        <v>111</v>
      </c>
      <c r="K10373" t="s">
        <v>10012</v>
      </c>
      <c r="Q10373">
        <v>0</v>
      </c>
      <c r="R10373">
        <v>0</v>
      </c>
      <c r="S10373">
        <v>0</v>
      </c>
      <c r="T10373" t="s">
        <v>38588</v>
      </c>
    </row>
    <row r="10374" spans="1:20" customFormat="1" ht="15" x14ac:dyDescent="0.25">
      <c r="A10374" t="s">
        <v>35</v>
      </c>
      <c r="B10374" t="s">
        <v>106</v>
      </c>
      <c r="C10374" t="str">
        <f>"A0135928"</f>
        <v>A0135928</v>
      </c>
      <c r="D10374" t="s">
        <v>38589</v>
      </c>
      <c r="E10374" t="s">
        <v>38561</v>
      </c>
      <c r="F10374" t="s">
        <v>10801</v>
      </c>
      <c r="G10374" t="s">
        <v>99</v>
      </c>
      <c r="H10374">
        <v>14261</v>
      </c>
      <c r="I10374" t="s">
        <v>30</v>
      </c>
      <c r="J10374" t="s">
        <v>111</v>
      </c>
      <c r="K10374" t="s">
        <v>10012</v>
      </c>
      <c r="Q10374">
        <v>0</v>
      </c>
      <c r="R10374">
        <v>0</v>
      </c>
      <c r="S10374">
        <v>0</v>
      </c>
      <c r="T10374" t="s">
        <v>38590</v>
      </c>
    </row>
    <row r="10375" spans="1:20" customFormat="1" ht="15" x14ac:dyDescent="0.25">
      <c r="A10375" t="s">
        <v>35</v>
      </c>
      <c r="B10375" t="s">
        <v>106</v>
      </c>
      <c r="C10375" t="str">
        <f>"A0136310"</f>
        <v>A0136310</v>
      </c>
      <c r="D10375" t="s">
        <v>38591</v>
      </c>
      <c r="E10375" t="s">
        <v>38592</v>
      </c>
      <c r="F10375" t="s">
        <v>3193</v>
      </c>
      <c r="G10375" t="s">
        <v>1369</v>
      </c>
      <c r="H10375">
        <v>39058</v>
      </c>
      <c r="I10375" t="s">
        <v>30</v>
      </c>
      <c r="J10375" t="s">
        <v>111</v>
      </c>
      <c r="K10375" t="s">
        <v>112</v>
      </c>
      <c r="Q10375">
        <v>0</v>
      </c>
      <c r="R10375">
        <v>0</v>
      </c>
      <c r="S10375">
        <v>0</v>
      </c>
      <c r="T10375" t="s">
        <v>38593</v>
      </c>
    </row>
    <row r="10376" spans="1:20" customFormat="1" ht="15" x14ac:dyDescent="0.25">
      <c r="A10376" t="s">
        <v>35</v>
      </c>
      <c r="B10376" t="s">
        <v>106</v>
      </c>
      <c r="C10376" t="str">
        <f>"A0136312"</f>
        <v>A0136312</v>
      </c>
      <c r="D10376" t="s">
        <v>38594</v>
      </c>
      <c r="E10376" t="s">
        <v>38595</v>
      </c>
      <c r="F10376" t="s">
        <v>12532</v>
      </c>
      <c r="G10376" t="s">
        <v>1369</v>
      </c>
      <c r="H10376">
        <v>39201</v>
      </c>
      <c r="I10376" t="s">
        <v>30</v>
      </c>
      <c r="J10376" t="s">
        <v>111</v>
      </c>
      <c r="K10376" t="s">
        <v>112</v>
      </c>
      <c r="Q10376">
        <v>0</v>
      </c>
      <c r="R10376">
        <v>0</v>
      </c>
      <c r="S10376">
        <v>0</v>
      </c>
      <c r="T10376" t="s">
        <v>38596</v>
      </c>
    </row>
    <row r="10377" spans="1:20" customFormat="1" ht="15" x14ac:dyDescent="0.25">
      <c r="A10377" t="s">
        <v>35</v>
      </c>
      <c r="B10377" t="s">
        <v>106</v>
      </c>
      <c r="C10377" t="str">
        <f>"A0136306"</f>
        <v>A0136306</v>
      </c>
      <c r="D10377" t="s">
        <v>38597</v>
      </c>
      <c r="E10377" t="s">
        <v>38598</v>
      </c>
      <c r="F10377" t="s">
        <v>3193</v>
      </c>
      <c r="G10377" t="s">
        <v>1369</v>
      </c>
      <c r="H10377">
        <v>39058</v>
      </c>
      <c r="I10377" t="s">
        <v>30</v>
      </c>
      <c r="J10377" t="s">
        <v>111</v>
      </c>
      <c r="K10377" t="s">
        <v>112</v>
      </c>
      <c r="Q10377">
        <v>0</v>
      </c>
      <c r="R10377">
        <v>0</v>
      </c>
      <c r="S10377">
        <v>0</v>
      </c>
      <c r="T10377" t="s">
        <v>38557</v>
      </c>
    </row>
    <row r="10378" spans="1:20" customFormat="1" ht="15" x14ac:dyDescent="0.25">
      <c r="A10378" t="s">
        <v>35</v>
      </c>
      <c r="B10378" t="s">
        <v>106</v>
      </c>
      <c r="C10378" t="str">
        <f>"A0167400"</f>
        <v>A0167400</v>
      </c>
      <c r="D10378" t="s">
        <v>38599</v>
      </c>
      <c r="E10378" t="s">
        <v>38592</v>
      </c>
      <c r="F10378" t="s">
        <v>3193</v>
      </c>
      <c r="G10378" t="s">
        <v>1369</v>
      </c>
      <c r="H10378">
        <v>39056</v>
      </c>
      <c r="I10378" t="s">
        <v>30</v>
      </c>
      <c r="J10378" t="s">
        <v>111</v>
      </c>
      <c r="K10378" t="s">
        <v>10012</v>
      </c>
      <c r="Q10378">
        <v>0</v>
      </c>
      <c r="R10378">
        <v>0</v>
      </c>
      <c r="S10378">
        <v>0</v>
      </c>
      <c r="T10378" t="s">
        <v>38600</v>
      </c>
    </row>
    <row r="10379" spans="1:20" customFormat="1" ht="15" x14ac:dyDescent="0.25">
      <c r="A10379" t="s">
        <v>35</v>
      </c>
      <c r="B10379" t="s">
        <v>106</v>
      </c>
      <c r="C10379" t="str">
        <f>"A0136311"</f>
        <v>A0136311</v>
      </c>
      <c r="D10379" t="s">
        <v>38601</v>
      </c>
      <c r="E10379" t="s">
        <v>38592</v>
      </c>
      <c r="F10379" t="s">
        <v>3193</v>
      </c>
      <c r="G10379" t="s">
        <v>1369</v>
      </c>
      <c r="H10379">
        <v>39058</v>
      </c>
      <c r="I10379" t="s">
        <v>30</v>
      </c>
      <c r="J10379" t="s">
        <v>111</v>
      </c>
      <c r="K10379" t="s">
        <v>112</v>
      </c>
      <c r="Q10379">
        <v>0</v>
      </c>
      <c r="R10379">
        <v>0</v>
      </c>
      <c r="S10379">
        <v>0</v>
      </c>
      <c r="T10379" t="s">
        <v>38602</v>
      </c>
    </row>
    <row r="10380" spans="1:20" customFormat="1" ht="15" x14ac:dyDescent="0.25">
      <c r="A10380" t="s">
        <v>35</v>
      </c>
      <c r="B10380" t="s">
        <v>61</v>
      </c>
      <c r="C10380" t="str">
        <f>"A0123065"</f>
        <v>A0123065</v>
      </c>
      <c r="D10380" t="s">
        <v>38603</v>
      </c>
      <c r="E10380" t="s">
        <v>38604</v>
      </c>
      <c r="F10380" t="s">
        <v>19029</v>
      </c>
      <c r="G10380" t="s">
        <v>76</v>
      </c>
      <c r="H10380">
        <v>98632</v>
      </c>
      <c r="I10380" t="s">
        <v>30</v>
      </c>
      <c r="J10380" t="s">
        <v>41</v>
      </c>
      <c r="K10380" t="s">
        <v>59</v>
      </c>
      <c r="Q10380">
        <v>0</v>
      </c>
      <c r="R10380">
        <v>89</v>
      </c>
      <c r="S10380">
        <v>89</v>
      </c>
      <c r="T10380" t="s">
        <v>38605</v>
      </c>
    </row>
    <row r="10381" spans="1:20" customFormat="1" ht="15" x14ac:dyDescent="0.25">
      <c r="A10381" t="s">
        <v>35</v>
      </c>
      <c r="B10381" t="s">
        <v>61</v>
      </c>
      <c r="C10381" t="str">
        <f>"A0151123"</f>
        <v>A0151123</v>
      </c>
      <c r="D10381" t="s">
        <v>38606</v>
      </c>
      <c r="E10381" t="s">
        <v>38607</v>
      </c>
      <c r="F10381" t="s">
        <v>10276</v>
      </c>
      <c r="G10381" t="s">
        <v>117</v>
      </c>
      <c r="H10381">
        <v>49709</v>
      </c>
      <c r="I10381" t="s">
        <v>30</v>
      </c>
      <c r="J10381" t="s">
        <v>41</v>
      </c>
      <c r="K10381" t="s">
        <v>42</v>
      </c>
      <c r="Q10381">
        <v>0</v>
      </c>
      <c r="R10381">
        <v>0</v>
      </c>
      <c r="S10381">
        <v>0</v>
      </c>
      <c r="T10381" t="s">
        <v>38608</v>
      </c>
    </row>
    <row r="10382" spans="1:20" customFormat="1" ht="15" x14ac:dyDescent="0.25">
      <c r="A10382" t="s">
        <v>35</v>
      </c>
      <c r="B10382" t="s">
        <v>61</v>
      </c>
      <c r="C10382" t="str">
        <f>"A0125671"</f>
        <v>A0125671</v>
      </c>
      <c r="D10382" t="s">
        <v>38609</v>
      </c>
      <c r="E10382" t="s">
        <v>38610</v>
      </c>
      <c r="F10382" t="s">
        <v>4108</v>
      </c>
      <c r="G10382" t="s">
        <v>29</v>
      </c>
      <c r="H10382">
        <v>24017</v>
      </c>
      <c r="I10382" t="s">
        <v>30</v>
      </c>
      <c r="J10382" t="s">
        <v>41</v>
      </c>
      <c r="K10382" t="s">
        <v>59</v>
      </c>
      <c r="Q10382">
        <v>0</v>
      </c>
      <c r="R10382">
        <v>17</v>
      </c>
      <c r="S10382">
        <v>17</v>
      </c>
      <c r="T10382" t="s">
        <v>38611</v>
      </c>
    </row>
    <row r="10383" spans="1:20" customFormat="1" ht="15" x14ac:dyDescent="0.25">
      <c r="A10383" t="s">
        <v>35</v>
      </c>
      <c r="B10383" t="s">
        <v>106</v>
      </c>
      <c r="C10383" t="str">
        <f>"A0136366"</f>
        <v>A0136366</v>
      </c>
      <c r="D10383" t="s">
        <v>38612</v>
      </c>
      <c r="E10383" t="s">
        <v>38613</v>
      </c>
      <c r="F10383" t="s">
        <v>26973</v>
      </c>
      <c r="G10383" t="s">
        <v>190</v>
      </c>
      <c r="H10383">
        <v>81212</v>
      </c>
      <c r="I10383" t="s">
        <v>30</v>
      </c>
      <c r="J10383" t="s">
        <v>111</v>
      </c>
      <c r="K10383" t="s">
        <v>112</v>
      </c>
      <c r="Q10383">
        <v>0</v>
      </c>
      <c r="R10383">
        <v>0</v>
      </c>
      <c r="S10383">
        <v>0</v>
      </c>
      <c r="T10383" t="s">
        <v>38614</v>
      </c>
    </row>
    <row r="10384" spans="1:20" customFormat="1" ht="15" x14ac:dyDescent="0.25">
      <c r="A10384" t="s">
        <v>35</v>
      </c>
      <c r="B10384" t="s">
        <v>106</v>
      </c>
      <c r="C10384" t="str">
        <f>"A0166133"</f>
        <v>A0166133</v>
      </c>
      <c r="D10384" t="s">
        <v>38615</v>
      </c>
      <c r="E10384" t="s">
        <v>38616</v>
      </c>
      <c r="F10384" t="s">
        <v>12532</v>
      </c>
      <c r="G10384" t="s">
        <v>1369</v>
      </c>
      <c r="H10384">
        <v>39209</v>
      </c>
      <c r="I10384" t="s">
        <v>30</v>
      </c>
      <c r="J10384" t="s">
        <v>111</v>
      </c>
      <c r="K10384" t="s">
        <v>112</v>
      </c>
      <c r="Q10384">
        <v>0</v>
      </c>
      <c r="R10384">
        <v>0</v>
      </c>
      <c r="S10384">
        <v>0</v>
      </c>
      <c r="T10384" t="s">
        <v>38617</v>
      </c>
    </row>
    <row r="10385" spans="1:20" customFormat="1" ht="15" x14ac:dyDescent="0.25">
      <c r="A10385" t="s">
        <v>35</v>
      </c>
      <c r="B10385" t="s">
        <v>61</v>
      </c>
      <c r="C10385" t="str">
        <f>"A0128869"</f>
        <v>A0128869</v>
      </c>
      <c r="D10385" t="s">
        <v>12231</v>
      </c>
      <c r="E10385" t="s">
        <v>38618</v>
      </c>
      <c r="F10385" t="s">
        <v>10813</v>
      </c>
      <c r="G10385" t="s">
        <v>289</v>
      </c>
      <c r="H10385">
        <v>60513</v>
      </c>
      <c r="I10385" t="s">
        <v>30</v>
      </c>
      <c r="J10385" t="s">
        <v>41</v>
      </c>
      <c r="K10385" t="s">
        <v>229</v>
      </c>
      <c r="Q10385">
        <v>0</v>
      </c>
      <c r="R10385">
        <v>136</v>
      </c>
      <c r="S10385">
        <v>136</v>
      </c>
      <c r="T10385" t="s">
        <v>38619</v>
      </c>
    </row>
    <row r="10386" spans="1:20" customFormat="1" ht="15" x14ac:dyDescent="0.25">
      <c r="A10386" t="s">
        <v>35</v>
      </c>
      <c r="B10386" t="s">
        <v>61</v>
      </c>
      <c r="C10386" t="str">
        <f>"A0126387"</f>
        <v>A0126387</v>
      </c>
      <c r="D10386" t="s">
        <v>38620</v>
      </c>
      <c r="E10386" t="s">
        <v>38621</v>
      </c>
      <c r="F10386" t="s">
        <v>38622</v>
      </c>
      <c r="G10386" t="s">
        <v>81</v>
      </c>
      <c r="H10386">
        <v>32068</v>
      </c>
      <c r="I10386" t="s">
        <v>30</v>
      </c>
      <c r="J10386" t="s">
        <v>41</v>
      </c>
      <c r="K10386" t="s">
        <v>59</v>
      </c>
      <c r="Q10386">
        <v>0</v>
      </c>
      <c r="R10386">
        <v>120</v>
      </c>
      <c r="S10386">
        <v>120</v>
      </c>
      <c r="T10386" t="s">
        <v>38623</v>
      </c>
    </row>
    <row r="10387" spans="1:20" customFormat="1" ht="15" x14ac:dyDescent="0.25">
      <c r="A10387" t="s">
        <v>35</v>
      </c>
      <c r="B10387" t="s">
        <v>61</v>
      </c>
      <c r="C10387" t="str">
        <f>"A0130103"</f>
        <v>A0130103</v>
      </c>
      <c r="D10387" t="s">
        <v>38624</v>
      </c>
      <c r="E10387" t="s">
        <v>38625</v>
      </c>
      <c r="F10387" t="s">
        <v>4075</v>
      </c>
      <c r="G10387" t="s">
        <v>880</v>
      </c>
      <c r="H10387">
        <v>37027</v>
      </c>
      <c r="I10387" t="s">
        <v>30</v>
      </c>
      <c r="J10387" t="s">
        <v>41</v>
      </c>
      <c r="K10387" t="s">
        <v>59</v>
      </c>
      <c r="Q10387">
        <v>0</v>
      </c>
      <c r="R10387">
        <v>91</v>
      </c>
      <c r="S10387">
        <v>91</v>
      </c>
      <c r="T10387" t="s">
        <v>38626</v>
      </c>
    </row>
    <row r="10388" spans="1:20" customFormat="1" ht="15" x14ac:dyDescent="0.25">
      <c r="A10388" t="s">
        <v>35</v>
      </c>
      <c r="B10388" t="s">
        <v>61</v>
      </c>
      <c r="C10388" t="str">
        <f>"A0127401"</f>
        <v>A0127401</v>
      </c>
      <c r="D10388" t="s">
        <v>38627</v>
      </c>
      <c r="E10388" t="s">
        <v>38628</v>
      </c>
      <c r="F10388" t="s">
        <v>1391</v>
      </c>
      <c r="G10388" t="s">
        <v>846</v>
      </c>
      <c r="H10388">
        <v>30144</v>
      </c>
      <c r="I10388" t="s">
        <v>30</v>
      </c>
      <c r="J10388" t="s">
        <v>41</v>
      </c>
      <c r="K10388" t="s">
        <v>59</v>
      </c>
      <c r="Q10388">
        <v>0</v>
      </c>
      <c r="R10388">
        <v>99</v>
      </c>
      <c r="S10388">
        <v>99</v>
      </c>
      <c r="T10388" t="s">
        <v>72</v>
      </c>
    </row>
    <row r="10389" spans="1:20" customFormat="1" ht="15" x14ac:dyDescent="0.25">
      <c r="A10389" t="s">
        <v>35</v>
      </c>
      <c r="B10389" t="s">
        <v>61</v>
      </c>
      <c r="C10389" t="str">
        <f>"A0130741"</f>
        <v>A0130741</v>
      </c>
      <c r="D10389" t="s">
        <v>38629</v>
      </c>
      <c r="E10389" t="s">
        <v>38630</v>
      </c>
      <c r="F10389" t="s">
        <v>22554</v>
      </c>
      <c r="G10389" t="s">
        <v>880</v>
      </c>
      <c r="H10389">
        <v>37830</v>
      </c>
      <c r="I10389" t="s">
        <v>30</v>
      </c>
      <c r="J10389" t="s">
        <v>41</v>
      </c>
      <c r="K10389" t="s">
        <v>59</v>
      </c>
      <c r="Q10389">
        <v>0</v>
      </c>
      <c r="R10389">
        <v>96</v>
      </c>
      <c r="S10389">
        <v>96</v>
      </c>
      <c r="T10389" t="s">
        <v>38631</v>
      </c>
    </row>
    <row r="10390" spans="1:20" customFormat="1" ht="15" x14ac:dyDescent="0.25">
      <c r="A10390" t="s">
        <v>35</v>
      </c>
      <c r="B10390" t="s">
        <v>106</v>
      </c>
      <c r="C10390" t="str">
        <f>"A0136313"</f>
        <v>A0136313</v>
      </c>
      <c r="D10390" t="s">
        <v>38632</v>
      </c>
      <c r="E10390" t="s">
        <v>38633</v>
      </c>
      <c r="F10390" t="s">
        <v>2770</v>
      </c>
      <c r="G10390" t="s">
        <v>1369</v>
      </c>
      <c r="H10390">
        <v>39046</v>
      </c>
      <c r="I10390" t="s">
        <v>30</v>
      </c>
      <c r="J10390" t="s">
        <v>111</v>
      </c>
      <c r="K10390" t="s">
        <v>112</v>
      </c>
      <c r="Q10390">
        <v>0</v>
      </c>
      <c r="R10390">
        <v>0</v>
      </c>
      <c r="S10390">
        <v>0</v>
      </c>
      <c r="T10390" t="s">
        <v>38634</v>
      </c>
    </row>
    <row r="10391" spans="1:20" customFormat="1" ht="15" x14ac:dyDescent="0.25">
      <c r="A10391" t="s">
        <v>35</v>
      </c>
      <c r="B10391" t="s">
        <v>61</v>
      </c>
      <c r="C10391" t="str">
        <f>"A0132195"</f>
        <v>A0132195</v>
      </c>
      <c r="D10391" t="s">
        <v>38635</v>
      </c>
      <c r="E10391" t="s">
        <v>38636</v>
      </c>
      <c r="F10391" t="s">
        <v>2770</v>
      </c>
      <c r="G10391" t="s">
        <v>65</v>
      </c>
      <c r="H10391">
        <v>447090000</v>
      </c>
      <c r="I10391" t="s">
        <v>30</v>
      </c>
      <c r="J10391" t="s">
        <v>41</v>
      </c>
      <c r="K10391" t="s">
        <v>229</v>
      </c>
      <c r="Q10391">
        <v>0</v>
      </c>
      <c r="R10391">
        <v>106</v>
      </c>
      <c r="S10391">
        <v>106</v>
      </c>
      <c r="T10391" t="s">
        <v>38637</v>
      </c>
    </row>
    <row r="10392" spans="1:20" customFormat="1" ht="15" x14ac:dyDescent="0.25">
      <c r="A10392" t="s">
        <v>35</v>
      </c>
      <c r="B10392" t="s">
        <v>61</v>
      </c>
      <c r="C10392" t="str">
        <f>"A0132874"</f>
        <v>A0132874</v>
      </c>
      <c r="D10392" t="s">
        <v>38638</v>
      </c>
      <c r="E10392" t="s">
        <v>38639</v>
      </c>
      <c r="F10392" t="s">
        <v>2770</v>
      </c>
      <c r="G10392" t="s">
        <v>65</v>
      </c>
      <c r="H10392">
        <v>44702</v>
      </c>
      <c r="I10392" t="s">
        <v>30</v>
      </c>
      <c r="J10392" t="s">
        <v>41</v>
      </c>
      <c r="K10392" t="s">
        <v>1412</v>
      </c>
      <c r="Q10392">
        <v>0</v>
      </c>
      <c r="R10392">
        <v>0</v>
      </c>
      <c r="S10392">
        <v>0</v>
      </c>
      <c r="T10392" t="s">
        <v>38640</v>
      </c>
    </row>
    <row r="10393" spans="1:20" customFormat="1" ht="15" x14ac:dyDescent="0.25">
      <c r="A10393" t="s">
        <v>35</v>
      </c>
      <c r="B10393" t="s">
        <v>61</v>
      </c>
      <c r="C10393" t="str">
        <f>"A0118238"</f>
        <v>A0118238</v>
      </c>
      <c r="D10393" t="s">
        <v>38641</v>
      </c>
      <c r="E10393" t="s">
        <v>38642</v>
      </c>
      <c r="F10393" t="s">
        <v>38643</v>
      </c>
      <c r="G10393" t="s">
        <v>153</v>
      </c>
      <c r="H10393">
        <v>84057</v>
      </c>
      <c r="I10393" t="s">
        <v>30</v>
      </c>
      <c r="J10393" t="s">
        <v>41</v>
      </c>
      <c r="K10393" t="s">
        <v>482</v>
      </c>
      <c r="Q10393">
        <v>0</v>
      </c>
      <c r="R10393">
        <v>57</v>
      </c>
      <c r="S10393">
        <v>57</v>
      </c>
      <c r="T10393" t="s">
        <v>38644</v>
      </c>
    </row>
    <row r="10394" spans="1:20" customFormat="1" ht="15" x14ac:dyDescent="0.25">
      <c r="A10394" t="s">
        <v>35</v>
      </c>
      <c r="B10394" t="s">
        <v>61</v>
      </c>
      <c r="C10394" t="str">
        <f>"A0124145"</f>
        <v>A0124145</v>
      </c>
      <c r="D10394" t="s">
        <v>38645</v>
      </c>
      <c r="E10394" t="s">
        <v>38646</v>
      </c>
      <c r="F10394" t="s">
        <v>6152</v>
      </c>
      <c r="G10394" t="s">
        <v>123</v>
      </c>
      <c r="H10394">
        <v>20852</v>
      </c>
      <c r="I10394" t="s">
        <v>30</v>
      </c>
      <c r="J10394" t="s">
        <v>41</v>
      </c>
      <c r="K10394" t="s">
        <v>59</v>
      </c>
      <c r="Q10394">
        <v>0</v>
      </c>
      <c r="R10394">
        <v>188</v>
      </c>
      <c r="S10394">
        <v>188</v>
      </c>
      <c r="T10394" t="s">
        <v>38647</v>
      </c>
    </row>
    <row r="10395" spans="1:20" customFormat="1" ht="15" x14ac:dyDescent="0.25">
      <c r="A10395" t="s">
        <v>35</v>
      </c>
      <c r="B10395" t="s">
        <v>61</v>
      </c>
      <c r="C10395" t="str">
        <f>"A0117631"</f>
        <v>A0117631</v>
      </c>
      <c r="D10395" t="s">
        <v>38648</v>
      </c>
      <c r="E10395" t="s">
        <v>38649</v>
      </c>
      <c r="F10395" t="s">
        <v>8276</v>
      </c>
      <c r="G10395" t="s">
        <v>81</v>
      </c>
      <c r="H10395">
        <v>32514</v>
      </c>
      <c r="I10395" t="s">
        <v>30</v>
      </c>
      <c r="J10395" t="s">
        <v>41</v>
      </c>
      <c r="K10395" t="s">
        <v>59</v>
      </c>
      <c r="Q10395">
        <v>0</v>
      </c>
      <c r="R10395">
        <v>98</v>
      </c>
      <c r="S10395">
        <v>98</v>
      </c>
      <c r="T10395" t="s">
        <v>38650</v>
      </c>
    </row>
    <row r="10396" spans="1:20" customFormat="1" ht="15" x14ac:dyDescent="0.25">
      <c r="A10396" t="s">
        <v>35</v>
      </c>
      <c r="B10396" t="s">
        <v>61</v>
      </c>
      <c r="C10396" t="str">
        <f>"A0123270"</f>
        <v>A0123270</v>
      </c>
      <c r="D10396" t="s">
        <v>38651</v>
      </c>
      <c r="E10396" t="s">
        <v>38652</v>
      </c>
      <c r="F10396" t="s">
        <v>38653</v>
      </c>
      <c r="G10396" t="s">
        <v>29</v>
      </c>
      <c r="H10396">
        <v>22079</v>
      </c>
      <c r="I10396" t="s">
        <v>30</v>
      </c>
      <c r="J10396" t="s">
        <v>41</v>
      </c>
      <c r="K10396" t="s">
        <v>10880</v>
      </c>
      <c r="Q10396">
        <v>0</v>
      </c>
      <c r="R10396">
        <v>0</v>
      </c>
      <c r="S10396">
        <v>0</v>
      </c>
    </row>
    <row r="10397" spans="1:20" customFormat="1" ht="15" x14ac:dyDescent="0.25">
      <c r="A10397" t="s">
        <v>35</v>
      </c>
      <c r="B10397" t="s">
        <v>61</v>
      </c>
      <c r="C10397" t="str">
        <f>"A0128660"</f>
        <v>A0128660</v>
      </c>
      <c r="D10397" t="s">
        <v>38654</v>
      </c>
      <c r="E10397" t="s">
        <v>38655</v>
      </c>
      <c r="F10397" t="s">
        <v>25495</v>
      </c>
      <c r="G10397" t="s">
        <v>1170</v>
      </c>
      <c r="H10397">
        <v>708150000</v>
      </c>
      <c r="I10397" t="s">
        <v>30</v>
      </c>
      <c r="J10397" t="s">
        <v>41</v>
      </c>
      <c r="K10397" t="s">
        <v>1440</v>
      </c>
      <c r="Q10397">
        <v>0</v>
      </c>
      <c r="R10397">
        <v>130</v>
      </c>
      <c r="S10397">
        <v>130</v>
      </c>
      <c r="T10397" t="s">
        <v>38656</v>
      </c>
    </row>
    <row r="10398" spans="1:20" customFormat="1" ht="15" x14ac:dyDescent="0.25">
      <c r="A10398" t="s">
        <v>35</v>
      </c>
      <c r="B10398" t="s">
        <v>61</v>
      </c>
      <c r="C10398" t="str">
        <f>"A0123271"</f>
        <v>A0123271</v>
      </c>
      <c r="D10398" t="s">
        <v>38657</v>
      </c>
      <c r="E10398" t="s">
        <v>38658</v>
      </c>
      <c r="F10398" t="s">
        <v>1755</v>
      </c>
      <c r="G10398" t="s">
        <v>29</v>
      </c>
      <c r="H10398">
        <v>22150</v>
      </c>
      <c r="I10398" t="s">
        <v>30</v>
      </c>
      <c r="J10398" t="s">
        <v>41</v>
      </c>
      <c r="K10398" t="s">
        <v>10880</v>
      </c>
      <c r="Q10398">
        <v>0</v>
      </c>
      <c r="R10398">
        <v>0</v>
      </c>
      <c r="S10398">
        <v>0</v>
      </c>
    </row>
    <row r="10399" spans="1:20" customFormat="1" ht="15" x14ac:dyDescent="0.25">
      <c r="A10399" t="s">
        <v>35</v>
      </c>
      <c r="B10399" t="s">
        <v>61</v>
      </c>
      <c r="C10399" t="str">
        <f>"A0118085"</f>
        <v>A0118085</v>
      </c>
      <c r="D10399" t="s">
        <v>38659</v>
      </c>
      <c r="E10399" t="s">
        <v>38660</v>
      </c>
      <c r="F10399" t="s">
        <v>7534</v>
      </c>
      <c r="G10399" t="s">
        <v>1587</v>
      </c>
      <c r="H10399">
        <v>88220</v>
      </c>
      <c r="I10399" t="s">
        <v>30</v>
      </c>
      <c r="J10399" t="s">
        <v>41</v>
      </c>
      <c r="K10399" t="s">
        <v>131</v>
      </c>
      <c r="Q10399">
        <v>0</v>
      </c>
      <c r="R10399">
        <v>100</v>
      </c>
      <c r="S10399">
        <v>100</v>
      </c>
      <c r="T10399" t="s">
        <v>38661</v>
      </c>
    </row>
    <row r="10400" spans="1:20" customFormat="1" ht="15" x14ac:dyDescent="0.25">
      <c r="A10400" t="s">
        <v>35</v>
      </c>
      <c r="B10400" t="s">
        <v>61</v>
      </c>
      <c r="C10400" t="str">
        <f>"A0123691"</f>
        <v>A0123691</v>
      </c>
      <c r="D10400" t="s">
        <v>38662</v>
      </c>
      <c r="E10400" t="s">
        <v>38663</v>
      </c>
      <c r="F10400" t="s">
        <v>465</v>
      </c>
      <c r="G10400" t="s">
        <v>29</v>
      </c>
      <c r="H10400">
        <v>22031</v>
      </c>
      <c r="I10400" t="s">
        <v>30</v>
      </c>
      <c r="J10400" t="s">
        <v>41</v>
      </c>
      <c r="K10400" t="s">
        <v>229</v>
      </c>
      <c r="Q10400">
        <v>0</v>
      </c>
      <c r="R10400">
        <v>100</v>
      </c>
      <c r="S10400">
        <v>100</v>
      </c>
      <c r="T10400" t="s">
        <v>38664</v>
      </c>
    </row>
    <row r="10401" spans="1:20" customFormat="1" ht="15" x14ac:dyDescent="0.25">
      <c r="A10401" t="s">
        <v>35</v>
      </c>
      <c r="B10401" t="s">
        <v>61</v>
      </c>
      <c r="C10401" t="str">
        <f>"A0131812"</f>
        <v>A0131812</v>
      </c>
      <c r="D10401" t="s">
        <v>38665</v>
      </c>
      <c r="E10401" t="s">
        <v>38666</v>
      </c>
      <c r="F10401" t="s">
        <v>38667</v>
      </c>
      <c r="G10401" t="s">
        <v>65</v>
      </c>
      <c r="H10401">
        <v>44223</v>
      </c>
      <c r="I10401" t="s">
        <v>30</v>
      </c>
      <c r="J10401" t="s">
        <v>41</v>
      </c>
      <c r="K10401" t="s">
        <v>59</v>
      </c>
      <c r="Q10401">
        <v>0</v>
      </c>
      <c r="R10401">
        <v>60</v>
      </c>
      <c r="S10401">
        <v>60</v>
      </c>
      <c r="T10401" t="s">
        <v>38668</v>
      </c>
    </row>
    <row r="10402" spans="1:20" customFormat="1" ht="15" x14ac:dyDescent="0.25">
      <c r="A10402" t="s">
        <v>35</v>
      </c>
      <c r="B10402" t="s">
        <v>61</v>
      </c>
      <c r="C10402" t="str">
        <f>"A0125759"</f>
        <v>A0125759</v>
      </c>
      <c r="D10402" t="s">
        <v>38669</v>
      </c>
      <c r="E10402" t="s">
        <v>38670</v>
      </c>
      <c r="F10402" t="s">
        <v>8642</v>
      </c>
      <c r="G10402" t="s">
        <v>29</v>
      </c>
      <c r="H10402">
        <v>24523</v>
      </c>
      <c r="I10402" t="s">
        <v>30</v>
      </c>
      <c r="J10402" t="s">
        <v>41</v>
      </c>
      <c r="K10402" t="s">
        <v>482</v>
      </c>
      <c r="Q10402">
        <v>0</v>
      </c>
      <c r="R10402">
        <v>57</v>
      </c>
      <c r="S10402">
        <v>57</v>
      </c>
      <c r="T10402" t="s">
        <v>38671</v>
      </c>
    </row>
    <row r="10403" spans="1:20" customFormat="1" ht="15" x14ac:dyDescent="0.25">
      <c r="A10403" t="s">
        <v>35</v>
      </c>
      <c r="B10403" t="s">
        <v>61</v>
      </c>
      <c r="C10403" t="str">
        <f>"A0124549"</f>
        <v>A0124549</v>
      </c>
      <c r="D10403" t="s">
        <v>38672</v>
      </c>
      <c r="E10403" t="s">
        <v>38673</v>
      </c>
      <c r="F10403" t="s">
        <v>7825</v>
      </c>
      <c r="G10403" t="s">
        <v>1369</v>
      </c>
      <c r="H10403">
        <v>397300000</v>
      </c>
      <c r="I10403" t="s">
        <v>30</v>
      </c>
      <c r="J10403" t="s">
        <v>41</v>
      </c>
      <c r="K10403" t="s">
        <v>229</v>
      </c>
      <c r="Q10403">
        <v>0</v>
      </c>
      <c r="R10403">
        <v>120</v>
      </c>
      <c r="S10403">
        <v>120</v>
      </c>
      <c r="T10403" t="s">
        <v>38674</v>
      </c>
    </row>
    <row r="10404" spans="1:20" customFormat="1" ht="15" x14ac:dyDescent="0.25">
      <c r="A10404" t="s">
        <v>35</v>
      </c>
      <c r="B10404" t="s">
        <v>61</v>
      </c>
      <c r="C10404" t="str">
        <f>"A0124551"</f>
        <v>A0124551</v>
      </c>
      <c r="D10404" t="s">
        <v>38675</v>
      </c>
      <c r="E10404" t="s">
        <v>38676</v>
      </c>
      <c r="F10404" t="s">
        <v>6119</v>
      </c>
      <c r="G10404" t="s">
        <v>1369</v>
      </c>
      <c r="H10404">
        <v>394400000</v>
      </c>
      <c r="I10404" t="s">
        <v>30</v>
      </c>
      <c r="J10404" t="s">
        <v>41</v>
      </c>
      <c r="K10404" t="s">
        <v>229</v>
      </c>
      <c r="Q10404">
        <v>0</v>
      </c>
      <c r="R10404">
        <v>130</v>
      </c>
      <c r="S10404">
        <v>130</v>
      </c>
      <c r="T10404" t="s">
        <v>38677</v>
      </c>
    </row>
    <row r="10405" spans="1:20" customFormat="1" ht="15" x14ac:dyDescent="0.25">
      <c r="A10405" t="s">
        <v>35</v>
      </c>
      <c r="B10405" t="s">
        <v>61</v>
      </c>
      <c r="C10405" t="str">
        <f>"A0121268"</f>
        <v>A0121268</v>
      </c>
      <c r="D10405" t="s">
        <v>38678</v>
      </c>
      <c r="E10405" t="s">
        <v>38679</v>
      </c>
      <c r="F10405" t="s">
        <v>38643</v>
      </c>
      <c r="G10405" t="s">
        <v>153</v>
      </c>
      <c r="H10405">
        <v>84058</v>
      </c>
      <c r="I10405" t="s">
        <v>30</v>
      </c>
      <c r="J10405" t="s">
        <v>41</v>
      </c>
      <c r="K10405" t="s">
        <v>2463</v>
      </c>
      <c r="Q10405">
        <v>0</v>
      </c>
      <c r="R10405">
        <v>0</v>
      </c>
      <c r="S10405">
        <v>0</v>
      </c>
      <c r="T10405" t="s">
        <v>38680</v>
      </c>
    </row>
    <row r="10406" spans="1:20" customFormat="1" ht="15" x14ac:dyDescent="0.25">
      <c r="A10406" t="s">
        <v>35</v>
      </c>
      <c r="B10406" t="s">
        <v>61</v>
      </c>
      <c r="C10406" t="str">
        <f>"A0122994"</f>
        <v>A0122994</v>
      </c>
      <c r="D10406" t="s">
        <v>38681</v>
      </c>
      <c r="E10406" t="s">
        <v>38682</v>
      </c>
      <c r="F10406" t="s">
        <v>24534</v>
      </c>
      <c r="G10406" t="s">
        <v>1184</v>
      </c>
      <c r="H10406">
        <v>59808</v>
      </c>
      <c r="I10406" t="s">
        <v>30</v>
      </c>
      <c r="J10406" t="s">
        <v>41</v>
      </c>
      <c r="K10406" t="s">
        <v>38683</v>
      </c>
      <c r="Q10406">
        <v>0</v>
      </c>
      <c r="R10406">
        <v>0</v>
      </c>
      <c r="S10406">
        <v>0</v>
      </c>
      <c r="T10406" t="s">
        <v>38684</v>
      </c>
    </row>
    <row r="10407" spans="1:20" customFormat="1" ht="15" x14ac:dyDescent="0.25">
      <c r="A10407" t="s">
        <v>35</v>
      </c>
      <c r="B10407" t="s">
        <v>61</v>
      </c>
      <c r="C10407" t="str">
        <f>"A0124581"</f>
        <v>A0124581</v>
      </c>
      <c r="D10407" t="s">
        <v>38685</v>
      </c>
      <c r="E10407" t="s">
        <v>38686</v>
      </c>
      <c r="F10407" t="s">
        <v>12532</v>
      </c>
      <c r="G10407" t="s">
        <v>1369</v>
      </c>
      <c r="H10407">
        <v>392020000</v>
      </c>
      <c r="I10407" t="s">
        <v>30</v>
      </c>
      <c r="J10407" t="s">
        <v>41</v>
      </c>
      <c r="K10407" t="s">
        <v>66</v>
      </c>
      <c r="Q10407">
        <v>0</v>
      </c>
      <c r="R10407">
        <v>22</v>
      </c>
      <c r="S10407">
        <v>22</v>
      </c>
      <c r="T10407" t="s">
        <v>38687</v>
      </c>
    </row>
    <row r="10408" spans="1:20" customFormat="1" ht="15" x14ac:dyDescent="0.25">
      <c r="A10408" t="s">
        <v>35</v>
      </c>
      <c r="B10408" t="s">
        <v>61</v>
      </c>
      <c r="C10408" t="str">
        <f>"A0130654"</f>
        <v>A0130654</v>
      </c>
      <c r="D10408" t="s">
        <v>38688</v>
      </c>
      <c r="E10408" t="s">
        <v>38689</v>
      </c>
      <c r="F10408" t="s">
        <v>38690</v>
      </c>
      <c r="G10408" t="s">
        <v>71</v>
      </c>
      <c r="H10408">
        <v>53061</v>
      </c>
      <c r="I10408" t="s">
        <v>30</v>
      </c>
      <c r="J10408" t="s">
        <v>41</v>
      </c>
      <c r="K10408" t="s">
        <v>59</v>
      </c>
      <c r="Q10408">
        <v>0</v>
      </c>
      <c r="R10408">
        <v>25</v>
      </c>
      <c r="S10408">
        <v>25</v>
      </c>
      <c r="T10408" t="s">
        <v>38691</v>
      </c>
    </row>
    <row r="10409" spans="1:20" customFormat="1" ht="15" x14ac:dyDescent="0.25">
      <c r="A10409" t="s">
        <v>35</v>
      </c>
      <c r="B10409" t="s">
        <v>61</v>
      </c>
      <c r="C10409" t="str">
        <f>"A0124148"</f>
        <v>A0124148</v>
      </c>
      <c r="D10409" t="s">
        <v>38692</v>
      </c>
      <c r="E10409" t="s">
        <v>38693</v>
      </c>
      <c r="F10409" t="s">
        <v>4629</v>
      </c>
      <c r="G10409" t="s">
        <v>103</v>
      </c>
      <c r="H10409">
        <v>19119</v>
      </c>
      <c r="I10409" t="s">
        <v>30</v>
      </c>
      <c r="J10409" t="s">
        <v>41</v>
      </c>
      <c r="K10409" t="s">
        <v>229</v>
      </c>
      <c r="Q10409">
        <v>0</v>
      </c>
      <c r="R10409">
        <v>166</v>
      </c>
      <c r="S10409">
        <v>166</v>
      </c>
      <c r="T10409" t="s">
        <v>38694</v>
      </c>
    </row>
    <row r="10410" spans="1:20" customFormat="1" ht="15" x14ac:dyDescent="0.25">
      <c r="A10410" t="s">
        <v>35</v>
      </c>
      <c r="B10410" t="s">
        <v>61</v>
      </c>
      <c r="C10410" t="str">
        <f>"A0118263"</f>
        <v>A0118263</v>
      </c>
      <c r="D10410" t="s">
        <v>38695</v>
      </c>
      <c r="E10410" t="s">
        <v>38696</v>
      </c>
      <c r="F10410" t="s">
        <v>38697</v>
      </c>
      <c r="G10410" t="s">
        <v>153</v>
      </c>
      <c r="H10410">
        <v>84341</v>
      </c>
      <c r="I10410" t="s">
        <v>30</v>
      </c>
      <c r="J10410" t="s">
        <v>41</v>
      </c>
      <c r="K10410" t="s">
        <v>59</v>
      </c>
      <c r="Q10410">
        <v>0</v>
      </c>
      <c r="R10410">
        <v>16</v>
      </c>
      <c r="S10410">
        <v>16</v>
      </c>
      <c r="T10410" t="s">
        <v>38698</v>
      </c>
    </row>
    <row r="10411" spans="1:20" customFormat="1" ht="15" x14ac:dyDescent="0.25">
      <c r="A10411" t="s">
        <v>35</v>
      </c>
      <c r="B10411" t="s">
        <v>61</v>
      </c>
      <c r="C10411" t="str">
        <f>"A0132339"</f>
        <v>A0132339</v>
      </c>
      <c r="D10411" t="s">
        <v>38699</v>
      </c>
      <c r="E10411" t="s">
        <v>38700</v>
      </c>
      <c r="F10411" t="s">
        <v>38701</v>
      </c>
      <c r="G10411" t="s">
        <v>507</v>
      </c>
      <c r="H10411">
        <v>25271</v>
      </c>
      <c r="I10411" t="s">
        <v>30</v>
      </c>
      <c r="J10411" t="s">
        <v>41</v>
      </c>
      <c r="K10411" t="s">
        <v>59</v>
      </c>
      <c r="Q10411">
        <v>0</v>
      </c>
      <c r="R10411">
        <v>16</v>
      </c>
      <c r="S10411">
        <v>16</v>
      </c>
      <c r="T10411" t="s">
        <v>38702</v>
      </c>
    </row>
    <row r="10412" spans="1:20" customFormat="1" ht="15" x14ac:dyDescent="0.25">
      <c r="A10412" t="s">
        <v>35</v>
      </c>
      <c r="B10412" t="s">
        <v>61</v>
      </c>
      <c r="C10412" t="str">
        <f>"A0118446"</f>
        <v>A0118446</v>
      </c>
      <c r="D10412" t="s">
        <v>38703</v>
      </c>
      <c r="E10412" t="s">
        <v>38704</v>
      </c>
      <c r="F10412" t="s">
        <v>21023</v>
      </c>
      <c r="G10412" t="s">
        <v>110</v>
      </c>
      <c r="H10412">
        <v>94002</v>
      </c>
      <c r="I10412" t="s">
        <v>30</v>
      </c>
      <c r="J10412" t="s">
        <v>41</v>
      </c>
      <c r="K10412" t="s">
        <v>229</v>
      </c>
      <c r="Q10412">
        <v>0</v>
      </c>
      <c r="R10412">
        <v>50</v>
      </c>
      <c r="S10412">
        <v>50</v>
      </c>
      <c r="T10412" t="s">
        <v>38705</v>
      </c>
    </row>
    <row r="10413" spans="1:20" customFormat="1" ht="15" x14ac:dyDescent="0.25">
      <c r="A10413" t="s">
        <v>35</v>
      </c>
      <c r="B10413" t="s">
        <v>106</v>
      </c>
      <c r="C10413" t="str">
        <f>"A0135947"</f>
        <v>A0135947</v>
      </c>
      <c r="D10413" t="s">
        <v>38706</v>
      </c>
      <c r="E10413" t="s">
        <v>37059</v>
      </c>
      <c r="F10413" t="s">
        <v>14693</v>
      </c>
      <c r="G10413" t="s">
        <v>110</v>
      </c>
      <c r="H10413">
        <v>92834</v>
      </c>
      <c r="I10413" t="s">
        <v>30</v>
      </c>
      <c r="J10413" t="s">
        <v>111</v>
      </c>
      <c r="K10413" t="s">
        <v>10012</v>
      </c>
      <c r="Q10413">
        <v>0</v>
      </c>
      <c r="R10413">
        <v>0</v>
      </c>
      <c r="S10413">
        <v>0</v>
      </c>
      <c r="T10413" t="s">
        <v>37060</v>
      </c>
    </row>
    <row r="10414" spans="1:20" customFormat="1" ht="15" x14ac:dyDescent="0.25">
      <c r="A10414" t="s">
        <v>35</v>
      </c>
      <c r="B10414" t="s">
        <v>61</v>
      </c>
      <c r="C10414" t="str">
        <f>"A0129115"</f>
        <v>A0129115</v>
      </c>
      <c r="D10414" t="s">
        <v>38707</v>
      </c>
      <c r="E10414" t="s">
        <v>38708</v>
      </c>
      <c r="F10414" t="s">
        <v>38709</v>
      </c>
      <c r="G10414" t="s">
        <v>289</v>
      </c>
      <c r="H10414">
        <v>62231</v>
      </c>
      <c r="I10414" t="s">
        <v>30</v>
      </c>
      <c r="J10414" t="s">
        <v>41</v>
      </c>
      <c r="K10414" t="s">
        <v>229</v>
      </c>
      <c r="Q10414">
        <v>0</v>
      </c>
      <c r="R10414">
        <v>124</v>
      </c>
      <c r="S10414">
        <v>124</v>
      </c>
      <c r="T10414" t="s">
        <v>38710</v>
      </c>
    </row>
    <row r="10415" spans="1:20" customFormat="1" ht="15" x14ac:dyDescent="0.25">
      <c r="A10415" t="s">
        <v>35</v>
      </c>
      <c r="B10415" t="s">
        <v>61</v>
      </c>
      <c r="C10415" t="str">
        <f>"A0127306"</f>
        <v>A0127306</v>
      </c>
      <c r="D10415" t="s">
        <v>38711</v>
      </c>
      <c r="E10415" t="s">
        <v>38712</v>
      </c>
      <c r="F10415" t="s">
        <v>19594</v>
      </c>
      <c r="G10415" t="s">
        <v>846</v>
      </c>
      <c r="H10415">
        <v>31210</v>
      </c>
      <c r="I10415" t="s">
        <v>30</v>
      </c>
      <c r="J10415" t="s">
        <v>41</v>
      </c>
      <c r="K10415" t="s">
        <v>1440</v>
      </c>
      <c r="Q10415">
        <v>0</v>
      </c>
      <c r="R10415">
        <v>95</v>
      </c>
      <c r="S10415">
        <v>95</v>
      </c>
      <c r="T10415" t="s">
        <v>38713</v>
      </c>
    </row>
    <row r="10416" spans="1:20" customFormat="1" ht="15" x14ac:dyDescent="0.25">
      <c r="A10416" t="s">
        <v>35</v>
      </c>
      <c r="B10416" t="s">
        <v>61</v>
      </c>
      <c r="C10416" t="str">
        <f>"A0118559"</f>
        <v>A0118559</v>
      </c>
      <c r="D10416" t="s">
        <v>38714</v>
      </c>
      <c r="E10416" t="s">
        <v>38715</v>
      </c>
      <c r="F10416" t="s">
        <v>30779</v>
      </c>
      <c r="G10416" t="s">
        <v>110</v>
      </c>
      <c r="H10416">
        <v>939400000</v>
      </c>
      <c r="I10416" t="s">
        <v>30</v>
      </c>
      <c r="J10416" t="s">
        <v>41</v>
      </c>
      <c r="K10416" t="s">
        <v>229</v>
      </c>
      <c r="Q10416">
        <v>0</v>
      </c>
      <c r="R10416">
        <v>99</v>
      </c>
      <c r="S10416">
        <v>99</v>
      </c>
      <c r="T10416" t="s">
        <v>38716</v>
      </c>
    </row>
    <row r="10417" spans="1:20" customFormat="1" ht="15" x14ac:dyDescent="0.25">
      <c r="A10417" t="s">
        <v>35</v>
      </c>
      <c r="B10417" t="s">
        <v>61</v>
      </c>
      <c r="C10417" t="str">
        <f>"A0117899"</f>
        <v>A0117899</v>
      </c>
      <c r="D10417" t="s">
        <v>38717</v>
      </c>
      <c r="E10417" t="s">
        <v>38718</v>
      </c>
      <c r="F10417" t="s">
        <v>28699</v>
      </c>
      <c r="G10417" t="s">
        <v>110</v>
      </c>
      <c r="H10417">
        <v>92708</v>
      </c>
      <c r="I10417" t="s">
        <v>30</v>
      </c>
      <c r="J10417" t="s">
        <v>41</v>
      </c>
      <c r="K10417" t="s">
        <v>59</v>
      </c>
      <c r="Q10417">
        <v>0</v>
      </c>
      <c r="R10417">
        <v>189</v>
      </c>
      <c r="S10417">
        <v>189</v>
      </c>
      <c r="T10417" t="s">
        <v>38719</v>
      </c>
    </row>
    <row r="10418" spans="1:20" customFormat="1" ht="15" x14ac:dyDescent="0.25">
      <c r="A10418" t="s">
        <v>35</v>
      </c>
      <c r="B10418" t="s">
        <v>61</v>
      </c>
      <c r="C10418" t="str">
        <f>"A0121386"</f>
        <v>A0121386</v>
      </c>
      <c r="D10418" t="s">
        <v>38720</v>
      </c>
      <c r="E10418" t="s">
        <v>38721</v>
      </c>
      <c r="F10418" t="s">
        <v>7267</v>
      </c>
      <c r="G10418" t="s">
        <v>153</v>
      </c>
      <c r="H10418">
        <v>84108</v>
      </c>
      <c r="I10418" t="s">
        <v>30</v>
      </c>
      <c r="J10418" t="s">
        <v>41</v>
      </c>
      <c r="K10418" t="s">
        <v>112</v>
      </c>
      <c r="Q10418">
        <v>0</v>
      </c>
      <c r="R10418">
        <v>0</v>
      </c>
      <c r="S10418">
        <v>0</v>
      </c>
      <c r="T10418" t="s">
        <v>38722</v>
      </c>
    </row>
    <row r="10419" spans="1:20" customFormat="1" ht="15" x14ac:dyDescent="0.25">
      <c r="A10419" t="s">
        <v>35</v>
      </c>
      <c r="B10419" t="s">
        <v>61</v>
      </c>
      <c r="C10419" t="str">
        <f>"A0150601"</f>
        <v>A0150601</v>
      </c>
      <c r="D10419" t="s">
        <v>38723</v>
      </c>
      <c r="E10419" t="s">
        <v>38724</v>
      </c>
      <c r="F10419" t="s">
        <v>28465</v>
      </c>
      <c r="G10419" t="s">
        <v>117</v>
      </c>
      <c r="H10419">
        <v>49721</v>
      </c>
      <c r="I10419" t="s">
        <v>30</v>
      </c>
      <c r="J10419" t="s">
        <v>41</v>
      </c>
      <c r="K10419" t="s">
        <v>9463</v>
      </c>
      <c r="Q10419">
        <v>0</v>
      </c>
      <c r="R10419">
        <v>25</v>
      </c>
      <c r="S10419">
        <v>25</v>
      </c>
      <c r="T10419" t="s">
        <v>38725</v>
      </c>
    </row>
    <row r="10420" spans="1:20" customFormat="1" ht="15" x14ac:dyDescent="0.25">
      <c r="A10420" t="s">
        <v>35</v>
      </c>
      <c r="B10420" t="s">
        <v>61</v>
      </c>
      <c r="C10420" t="str">
        <f>"A0125267"</f>
        <v>A0125267</v>
      </c>
      <c r="D10420" t="s">
        <v>38726</v>
      </c>
      <c r="E10420" t="s">
        <v>38727</v>
      </c>
      <c r="F10420" t="s">
        <v>38728</v>
      </c>
      <c r="G10420" t="s">
        <v>40</v>
      </c>
      <c r="H10420">
        <v>730150000</v>
      </c>
      <c r="I10420" t="s">
        <v>30</v>
      </c>
      <c r="J10420" t="s">
        <v>41</v>
      </c>
      <c r="K10420" t="s">
        <v>229</v>
      </c>
      <c r="Q10420">
        <v>0</v>
      </c>
      <c r="R10420">
        <v>100</v>
      </c>
      <c r="S10420">
        <v>100</v>
      </c>
      <c r="T10420" t="s">
        <v>38729</v>
      </c>
    </row>
    <row r="10421" spans="1:20" customFormat="1" ht="15" x14ac:dyDescent="0.25">
      <c r="A10421" t="s">
        <v>35</v>
      </c>
      <c r="B10421" t="s">
        <v>61</v>
      </c>
      <c r="C10421" t="str">
        <f>"A0124149"</f>
        <v>A0124149</v>
      </c>
      <c r="D10421" t="s">
        <v>38730</v>
      </c>
      <c r="E10421" t="s">
        <v>38731</v>
      </c>
      <c r="F10421" t="s">
        <v>38732</v>
      </c>
      <c r="G10421" t="s">
        <v>338</v>
      </c>
      <c r="H10421">
        <v>8069</v>
      </c>
      <c r="I10421" t="s">
        <v>30</v>
      </c>
      <c r="J10421" t="s">
        <v>41</v>
      </c>
      <c r="K10421" t="s">
        <v>229</v>
      </c>
      <c r="Q10421">
        <v>0</v>
      </c>
      <c r="R10421">
        <v>160</v>
      </c>
      <c r="S10421">
        <v>160</v>
      </c>
      <c r="T10421" t="s">
        <v>38733</v>
      </c>
    </row>
    <row r="10422" spans="1:20" customFormat="1" ht="15" x14ac:dyDescent="0.25">
      <c r="A10422" t="s">
        <v>35</v>
      </c>
      <c r="B10422" t="s">
        <v>61</v>
      </c>
      <c r="C10422" t="str">
        <f>"A0123692"</f>
        <v>A0123692</v>
      </c>
      <c r="D10422" t="s">
        <v>38734</v>
      </c>
      <c r="E10422" t="s">
        <v>38735</v>
      </c>
      <c r="F10422" t="s">
        <v>38736</v>
      </c>
      <c r="G10422" t="s">
        <v>214</v>
      </c>
      <c r="H10422">
        <v>28539</v>
      </c>
      <c r="I10422" t="s">
        <v>30</v>
      </c>
      <c r="J10422" t="s">
        <v>41</v>
      </c>
      <c r="K10422" t="s">
        <v>59</v>
      </c>
      <c r="Q10422">
        <v>0</v>
      </c>
      <c r="R10422">
        <v>38</v>
      </c>
      <c r="S10422">
        <v>38</v>
      </c>
      <c r="T10422" t="s">
        <v>38737</v>
      </c>
    </row>
    <row r="10423" spans="1:20" customFormat="1" ht="15" x14ac:dyDescent="0.25">
      <c r="A10423" t="s">
        <v>35</v>
      </c>
      <c r="B10423" t="s">
        <v>61</v>
      </c>
      <c r="C10423" t="str">
        <f>"A0124993"</f>
        <v>A0124993</v>
      </c>
      <c r="D10423" t="s">
        <v>38738</v>
      </c>
      <c r="E10423" t="s">
        <v>38739</v>
      </c>
      <c r="F10423" t="s">
        <v>22478</v>
      </c>
      <c r="G10423" t="s">
        <v>214</v>
      </c>
      <c r="H10423">
        <v>27514</v>
      </c>
      <c r="I10423" t="s">
        <v>30</v>
      </c>
      <c r="J10423" t="s">
        <v>41</v>
      </c>
      <c r="K10423" t="s">
        <v>59</v>
      </c>
      <c r="Q10423">
        <v>0</v>
      </c>
      <c r="R10423">
        <v>92</v>
      </c>
      <c r="S10423">
        <v>92</v>
      </c>
      <c r="T10423" t="s">
        <v>38740</v>
      </c>
    </row>
    <row r="10424" spans="1:20" customFormat="1" ht="15" x14ac:dyDescent="0.25">
      <c r="A10424" t="s">
        <v>35</v>
      </c>
      <c r="B10424" t="s">
        <v>61</v>
      </c>
      <c r="C10424" t="str">
        <f>"A0124868"</f>
        <v>A0124868</v>
      </c>
      <c r="D10424" t="s">
        <v>38741</v>
      </c>
      <c r="E10424" t="s">
        <v>38742</v>
      </c>
      <c r="F10424" t="s">
        <v>38743</v>
      </c>
      <c r="G10424" t="s">
        <v>214</v>
      </c>
      <c r="H10424">
        <v>28021</v>
      </c>
      <c r="I10424" t="s">
        <v>30</v>
      </c>
      <c r="J10424" t="s">
        <v>41</v>
      </c>
      <c r="K10424" t="s">
        <v>229</v>
      </c>
      <c r="Q10424">
        <v>0</v>
      </c>
      <c r="R10424">
        <v>107</v>
      </c>
      <c r="S10424">
        <v>107</v>
      </c>
      <c r="T10424" t="s">
        <v>38744</v>
      </c>
    </row>
    <row r="10425" spans="1:20" customFormat="1" ht="15" x14ac:dyDescent="0.25">
      <c r="A10425" t="s">
        <v>35</v>
      </c>
      <c r="B10425" t="s">
        <v>61</v>
      </c>
      <c r="C10425" t="str">
        <f>"A0125011"</f>
        <v>A0125011</v>
      </c>
      <c r="D10425" t="s">
        <v>38745</v>
      </c>
      <c r="E10425" t="s">
        <v>38746</v>
      </c>
      <c r="F10425" t="s">
        <v>38747</v>
      </c>
      <c r="G10425" t="s">
        <v>214</v>
      </c>
      <c r="H10425">
        <v>28673</v>
      </c>
      <c r="I10425" t="s">
        <v>30</v>
      </c>
      <c r="J10425" t="s">
        <v>41</v>
      </c>
      <c r="K10425" t="s">
        <v>456</v>
      </c>
      <c r="Q10425">
        <v>0</v>
      </c>
      <c r="R10425">
        <v>6</v>
      </c>
      <c r="S10425">
        <v>6</v>
      </c>
      <c r="T10425" t="s">
        <v>38748</v>
      </c>
    </row>
    <row r="10426" spans="1:20" customFormat="1" ht="15" x14ac:dyDescent="0.25">
      <c r="A10426" t="s">
        <v>35</v>
      </c>
      <c r="B10426" t="s">
        <v>61</v>
      </c>
      <c r="C10426" t="str">
        <f>"A0123694"</f>
        <v>A0123694</v>
      </c>
      <c r="D10426" t="s">
        <v>38749</v>
      </c>
      <c r="E10426" t="s">
        <v>38750</v>
      </c>
      <c r="F10426" t="s">
        <v>38751</v>
      </c>
      <c r="G10426" t="s">
        <v>214</v>
      </c>
      <c r="H10426">
        <v>23709</v>
      </c>
      <c r="I10426" t="s">
        <v>30</v>
      </c>
      <c r="J10426" t="s">
        <v>41</v>
      </c>
      <c r="K10426" t="s">
        <v>482</v>
      </c>
      <c r="Q10426">
        <v>0</v>
      </c>
      <c r="R10426">
        <v>24</v>
      </c>
      <c r="S10426">
        <v>24</v>
      </c>
      <c r="T10426" t="s">
        <v>38752</v>
      </c>
    </row>
    <row r="10427" spans="1:20" customFormat="1" ht="15" x14ac:dyDescent="0.25">
      <c r="A10427" t="s">
        <v>35</v>
      </c>
      <c r="B10427" t="s">
        <v>6747</v>
      </c>
      <c r="C10427" t="str">
        <f>"A0152972"</f>
        <v>A0152972</v>
      </c>
      <c r="D10427" t="s">
        <v>38753</v>
      </c>
      <c r="E10427" t="s">
        <v>38754</v>
      </c>
      <c r="F10427" t="s">
        <v>3685</v>
      </c>
      <c r="G10427" t="s">
        <v>214</v>
      </c>
      <c r="H10427">
        <v>27407</v>
      </c>
      <c r="I10427" t="s">
        <v>30</v>
      </c>
      <c r="J10427" t="s">
        <v>41</v>
      </c>
      <c r="K10427" t="s">
        <v>229</v>
      </c>
      <c r="Q10427">
        <v>0</v>
      </c>
      <c r="R10427">
        <v>0</v>
      </c>
      <c r="S10427">
        <v>0</v>
      </c>
      <c r="T10427" t="s">
        <v>38755</v>
      </c>
    </row>
    <row r="10428" spans="1:20" customFormat="1" ht="15" x14ac:dyDescent="0.25">
      <c r="A10428" t="s">
        <v>35</v>
      </c>
      <c r="B10428" t="s">
        <v>61</v>
      </c>
      <c r="C10428" t="str">
        <f>"A0122674"</f>
        <v>A0122674</v>
      </c>
      <c r="D10428" t="s">
        <v>12222</v>
      </c>
      <c r="E10428" t="s">
        <v>38756</v>
      </c>
      <c r="F10428" t="s">
        <v>1444</v>
      </c>
      <c r="G10428" t="s">
        <v>76</v>
      </c>
      <c r="H10428">
        <v>981180000</v>
      </c>
      <c r="I10428" t="s">
        <v>30</v>
      </c>
      <c r="J10428" t="s">
        <v>41</v>
      </c>
      <c r="K10428" t="s">
        <v>1440</v>
      </c>
      <c r="Q10428">
        <v>0</v>
      </c>
      <c r="R10428">
        <v>205</v>
      </c>
      <c r="S10428">
        <v>205</v>
      </c>
      <c r="T10428" t="s">
        <v>38757</v>
      </c>
    </row>
    <row r="10429" spans="1:20" customFormat="1" ht="15" x14ac:dyDescent="0.25">
      <c r="A10429" t="s">
        <v>35</v>
      </c>
      <c r="B10429" t="s">
        <v>61</v>
      </c>
      <c r="C10429" t="str">
        <f>"A0132420"</f>
        <v>A0132420</v>
      </c>
      <c r="D10429" t="s">
        <v>38758</v>
      </c>
      <c r="E10429" t="s">
        <v>38759</v>
      </c>
      <c r="F10429" t="s">
        <v>18933</v>
      </c>
      <c r="G10429" t="s">
        <v>65</v>
      </c>
      <c r="H10429">
        <v>43123</v>
      </c>
      <c r="I10429" t="s">
        <v>30</v>
      </c>
      <c r="J10429" t="s">
        <v>41</v>
      </c>
      <c r="K10429" t="s">
        <v>59</v>
      </c>
      <c r="Q10429">
        <v>0</v>
      </c>
      <c r="R10429">
        <v>48</v>
      </c>
      <c r="S10429">
        <v>48</v>
      </c>
      <c r="T10429" t="s">
        <v>38760</v>
      </c>
    </row>
    <row r="10430" spans="1:20" customFormat="1" ht="15" x14ac:dyDescent="0.25">
      <c r="A10430" t="s">
        <v>35</v>
      </c>
      <c r="B10430" t="s">
        <v>61</v>
      </c>
      <c r="C10430" t="str">
        <f>"A0132841"</f>
        <v>A0132841</v>
      </c>
      <c r="D10430" t="s">
        <v>38761</v>
      </c>
      <c r="E10430" t="s">
        <v>38762</v>
      </c>
      <c r="F10430" t="s">
        <v>20394</v>
      </c>
      <c r="G10430" t="s">
        <v>65</v>
      </c>
      <c r="H10430">
        <v>43026</v>
      </c>
      <c r="I10430" t="s">
        <v>30</v>
      </c>
      <c r="J10430" t="s">
        <v>41</v>
      </c>
      <c r="K10430" t="s">
        <v>59</v>
      </c>
      <c r="Q10430">
        <v>0</v>
      </c>
      <c r="R10430">
        <v>105</v>
      </c>
      <c r="S10430">
        <v>105</v>
      </c>
      <c r="T10430" t="s">
        <v>38763</v>
      </c>
    </row>
    <row r="10431" spans="1:20" customFormat="1" ht="15" x14ac:dyDescent="0.25">
      <c r="A10431" t="s">
        <v>35</v>
      </c>
      <c r="B10431" t="s">
        <v>61</v>
      </c>
      <c r="C10431" t="str">
        <f>"A0132419"</f>
        <v>A0132419</v>
      </c>
      <c r="D10431" t="s">
        <v>38764</v>
      </c>
      <c r="E10431" t="s">
        <v>38765</v>
      </c>
      <c r="F10431" t="s">
        <v>3661</v>
      </c>
      <c r="G10431" t="s">
        <v>65</v>
      </c>
      <c r="H10431">
        <v>45236</v>
      </c>
      <c r="I10431" t="s">
        <v>30</v>
      </c>
      <c r="J10431" t="s">
        <v>41</v>
      </c>
      <c r="K10431" t="s">
        <v>59</v>
      </c>
      <c r="Q10431">
        <v>0</v>
      </c>
      <c r="R10431">
        <v>110</v>
      </c>
      <c r="S10431">
        <v>110</v>
      </c>
      <c r="T10431" t="s">
        <v>38766</v>
      </c>
    </row>
    <row r="10432" spans="1:20" customFormat="1" ht="15" x14ac:dyDescent="0.25">
      <c r="A10432" t="s">
        <v>35</v>
      </c>
      <c r="B10432" t="s">
        <v>61</v>
      </c>
      <c r="C10432" t="str">
        <f>"A0132421"</f>
        <v>A0132421</v>
      </c>
      <c r="D10432" t="s">
        <v>38767</v>
      </c>
      <c r="E10432" t="s">
        <v>38768</v>
      </c>
      <c r="F10432" t="s">
        <v>3009</v>
      </c>
      <c r="G10432" t="s">
        <v>65</v>
      </c>
      <c r="H10432">
        <v>43130</v>
      </c>
      <c r="I10432" t="s">
        <v>30</v>
      </c>
      <c r="J10432" t="s">
        <v>41</v>
      </c>
      <c r="K10432" t="s">
        <v>59</v>
      </c>
      <c r="Q10432">
        <v>0</v>
      </c>
      <c r="R10432">
        <v>57</v>
      </c>
      <c r="S10432">
        <v>57</v>
      </c>
      <c r="T10432" t="s">
        <v>38769</v>
      </c>
    </row>
    <row r="10433" spans="1:20" customFormat="1" ht="15" x14ac:dyDescent="0.25">
      <c r="A10433" t="s">
        <v>35</v>
      </c>
      <c r="B10433" t="s">
        <v>61</v>
      </c>
      <c r="C10433" t="str">
        <f>"A0132422"</f>
        <v>A0132422</v>
      </c>
      <c r="D10433" t="s">
        <v>38770</v>
      </c>
      <c r="E10433" t="s">
        <v>38771</v>
      </c>
      <c r="F10433" t="s">
        <v>5463</v>
      </c>
      <c r="G10433" t="s">
        <v>65</v>
      </c>
      <c r="H10433">
        <v>43040</v>
      </c>
      <c r="I10433" t="s">
        <v>30</v>
      </c>
      <c r="J10433" t="s">
        <v>41</v>
      </c>
      <c r="K10433" t="s">
        <v>59</v>
      </c>
      <c r="Q10433">
        <v>0</v>
      </c>
      <c r="R10433">
        <v>45</v>
      </c>
      <c r="S10433">
        <v>45</v>
      </c>
      <c r="T10433" t="s">
        <v>38772</v>
      </c>
    </row>
    <row r="10434" spans="1:20" customFormat="1" ht="15" x14ac:dyDescent="0.25">
      <c r="A10434" t="s">
        <v>35</v>
      </c>
      <c r="B10434" t="s">
        <v>61</v>
      </c>
      <c r="C10434" t="str">
        <f>"A0132423"</f>
        <v>A0132423</v>
      </c>
      <c r="D10434" t="s">
        <v>38773</v>
      </c>
      <c r="E10434" t="s">
        <v>38774</v>
      </c>
      <c r="F10434" t="s">
        <v>12403</v>
      </c>
      <c r="G10434" t="s">
        <v>65</v>
      </c>
      <c r="H10434">
        <v>43160</v>
      </c>
      <c r="I10434" t="s">
        <v>30</v>
      </c>
      <c r="J10434" t="s">
        <v>41</v>
      </c>
      <c r="K10434" t="s">
        <v>59</v>
      </c>
      <c r="Q10434">
        <v>0</v>
      </c>
      <c r="R10434">
        <v>47</v>
      </c>
      <c r="S10434">
        <v>47</v>
      </c>
      <c r="T10434" t="s">
        <v>38775</v>
      </c>
    </row>
    <row r="10435" spans="1:20" customFormat="1" ht="15" x14ac:dyDescent="0.25">
      <c r="A10435" t="s">
        <v>35</v>
      </c>
      <c r="B10435" t="s">
        <v>61</v>
      </c>
      <c r="C10435" t="str">
        <f>"A0129582"</f>
        <v>A0129582</v>
      </c>
      <c r="D10435" t="s">
        <v>38776</v>
      </c>
      <c r="E10435" t="s">
        <v>38777</v>
      </c>
      <c r="F10435" t="s">
        <v>7784</v>
      </c>
      <c r="G10435" t="s">
        <v>289</v>
      </c>
      <c r="H10435">
        <v>61822</v>
      </c>
      <c r="I10435" t="s">
        <v>30</v>
      </c>
      <c r="J10435" t="s">
        <v>41</v>
      </c>
      <c r="K10435" t="s">
        <v>59</v>
      </c>
      <c r="Q10435">
        <v>0</v>
      </c>
      <c r="R10435">
        <v>90</v>
      </c>
      <c r="S10435">
        <v>90</v>
      </c>
      <c r="T10435" t="s">
        <v>38778</v>
      </c>
    </row>
    <row r="10436" spans="1:20" customFormat="1" ht="15" x14ac:dyDescent="0.25">
      <c r="A10436" t="s">
        <v>35</v>
      </c>
      <c r="B10436" t="s">
        <v>61</v>
      </c>
      <c r="C10436" t="str">
        <f>"A0129583"</f>
        <v>A0129583</v>
      </c>
      <c r="D10436" t="s">
        <v>38779</v>
      </c>
      <c r="E10436" t="s">
        <v>38780</v>
      </c>
      <c r="F10436" t="s">
        <v>37582</v>
      </c>
      <c r="G10436" t="s">
        <v>289</v>
      </c>
      <c r="H10436">
        <v>61910</v>
      </c>
      <c r="I10436" t="s">
        <v>30</v>
      </c>
      <c r="J10436" t="s">
        <v>41</v>
      </c>
      <c r="K10436" t="s">
        <v>59</v>
      </c>
      <c r="Q10436">
        <v>0</v>
      </c>
      <c r="R10436">
        <v>0</v>
      </c>
      <c r="S10436">
        <v>0</v>
      </c>
      <c r="T10436" t="s">
        <v>38781</v>
      </c>
    </row>
    <row r="10437" spans="1:20" customFormat="1" ht="15" x14ac:dyDescent="0.25">
      <c r="A10437" t="s">
        <v>35</v>
      </c>
      <c r="B10437" t="s">
        <v>61</v>
      </c>
      <c r="C10437" t="str">
        <f>"A0133261"</f>
        <v>A0133261</v>
      </c>
      <c r="D10437" t="s">
        <v>38782</v>
      </c>
      <c r="E10437" t="s">
        <v>38783</v>
      </c>
      <c r="F10437" t="s">
        <v>38784</v>
      </c>
      <c r="G10437" t="s">
        <v>52</v>
      </c>
      <c r="H10437">
        <v>752480000</v>
      </c>
      <c r="I10437" t="s">
        <v>30</v>
      </c>
      <c r="J10437" t="s">
        <v>41</v>
      </c>
      <c r="K10437" t="s">
        <v>229</v>
      </c>
      <c r="Q10437">
        <v>0</v>
      </c>
      <c r="R10437">
        <v>120</v>
      </c>
      <c r="S10437">
        <v>120</v>
      </c>
      <c r="T10437" t="s">
        <v>38785</v>
      </c>
    </row>
    <row r="10438" spans="1:20" customFormat="1" ht="15" x14ac:dyDescent="0.25">
      <c r="A10438" t="s">
        <v>35</v>
      </c>
      <c r="B10438" t="s">
        <v>61</v>
      </c>
      <c r="C10438" t="str">
        <f>"A0131066"</f>
        <v>A0131066</v>
      </c>
      <c r="D10438" t="s">
        <v>38786</v>
      </c>
      <c r="E10438" t="s">
        <v>38787</v>
      </c>
      <c r="F10438" t="s">
        <v>1655</v>
      </c>
      <c r="G10438" t="s">
        <v>137</v>
      </c>
      <c r="H10438">
        <v>63111</v>
      </c>
      <c r="I10438" t="s">
        <v>30</v>
      </c>
      <c r="J10438" t="s">
        <v>41</v>
      </c>
      <c r="K10438" t="s">
        <v>229</v>
      </c>
      <c r="Q10438">
        <v>0</v>
      </c>
      <c r="R10438">
        <v>148</v>
      </c>
      <c r="S10438">
        <v>148</v>
      </c>
      <c r="T10438" t="s">
        <v>38788</v>
      </c>
    </row>
    <row r="10439" spans="1:20" customFormat="1" ht="15" x14ac:dyDescent="0.25">
      <c r="A10439" t="s">
        <v>35</v>
      </c>
      <c r="B10439" t="s">
        <v>61</v>
      </c>
      <c r="C10439" t="str">
        <f>"A0123654"</f>
        <v>A0123654</v>
      </c>
      <c r="D10439" t="s">
        <v>38789</v>
      </c>
      <c r="E10439" t="s">
        <v>38790</v>
      </c>
      <c r="F10439" t="s">
        <v>6768</v>
      </c>
      <c r="G10439" t="s">
        <v>29</v>
      </c>
      <c r="H10439">
        <v>245010526</v>
      </c>
      <c r="I10439" t="s">
        <v>30</v>
      </c>
      <c r="J10439" t="s">
        <v>41</v>
      </c>
      <c r="K10439" t="s">
        <v>229</v>
      </c>
      <c r="Q10439">
        <v>0</v>
      </c>
      <c r="R10439">
        <v>97</v>
      </c>
      <c r="S10439">
        <v>97</v>
      </c>
      <c r="T10439" t="s">
        <v>38791</v>
      </c>
    </row>
    <row r="10440" spans="1:20" customFormat="1" ht="15" x14ac:dyDescent="0.25">
      <c r="A10440" t="s">
        <v>35</v>
      </c>
      <c r="B10440" t="s">
        <v>61</v>
      </c>
      <c r="C10440" t="str">
        <f>"A0122993"</f>
        <v>A0122993</v>
      </c>
      <c r="D10440" t="s">
        <v>38792</v>
      </c>
      <c r="E10440" t="s">
        <v>38793</v>
      </c>
      <c r="F10440" t="s">
        <v>12115</v>
      </c>
      <c r="G10440" t="s">
        <v>76</v>
      </c>
      <c r="H10440">
        <v>98908</v>
      </c>
      <c r="I10440" t="s">
        <v>30</v>
      </c>
      <c r="J10440" t="s">
        <v>41</v>
      </c>
      <c r="K10440" t="s">
        <v>391</v>
      </c>
      <c r="Q10440">
        <v>0</v>
      </c>
      <c r="R10440">
        <v>0</v>
      </c>
      <c r="S10440">
        <v>0</v>
      </c>
      <c r="T10440" t="s">
        <v>38794</v>
      </c>
    </row>
    <row r="10441" spans="1:20" customFormat="1" ht="15" x14ac:dyDescent="0.25">
      <c r="A10441" t="s">
        <v>35</v>
      </c>
      <c r="B10441" t="s">
        <v>61</v>
      </c>
      <c r="C10441" t="str">
        <f>"A0131803"</f>
        <v>A0131803</v>
      </c>
      <c r="D10441" t="s">
        <v>38795</v>
      </c>
      <c r="E10441" t="s">
        <v>38796</v>
      </c>
      <c r="F10441" t="s">
        <v>38797</v>
      </c>
      <c r="G10441" t="s">
        <v>65</v>
      </c>
      <c r="H10441">
        <v>446150000</v>
      </c>
      <c r="I10441" t="s">
        <v>30</v>
      </c>
      <c r="J10441" t="s">
        <v>41</v>
      </c>
      <c r="K10441" t="s">
        <v>2760</v>
      </c>
      <c r="Q10441">
        <v>0</v>
      </c>
      <c r="R10441">
        <v>1</v>
      </c>
      <c r="S10441">
        <v>1</v>
      </c>
      <c r="T10441" t="s">
        <v>38798</v>
      </c>
    </row>
    <row r="10442" spans="1:20" customFormat="1" ht="15" x14ac:dyDescent="0.25">
      <c r="A10442" t="s">
        <v>35</v>
      </c>
      <c r="B10442" t="s">
        <v>61</v>
      </c>
      <c r="C10442" t="str">
        <f>"A0131203"</f>
        <v>A0131203</v>
      </c>
      <c r="D10442" t="s">
        <v>38799</v>
      </c>
      <c r="E10442" t="s">
        <v>38800</v>
      </c>
      <c r="F10442" t="s">
        <v>38801</v>
      </c>
      <c r="G10442" t="s">
        <v>85</v>
      </c>
      <c r="H10442">
        <v>726160000</v>
      </c>
      <c r="I10442" t="s">
        <v>30</v>
      </c>
      <c r="J10442" t="s">
        <v>41</v>
      </c>
      <c r="K10442" t="s">
        <v>2760</v>
      </c>
      <c r="Q10442">
        <v>0</v>
      </c>
      <c r="R10442">
        <v>1</v>
      </c>
      <c r="S10442">
        <v>1</v>
      </c>
      <c r="T10442" t="s">
        <v>38802</v>
      </c>
    </row>
    <row r="10443" spans="1:20" customFormat="1" ht="15" x14ac:dyDescent="0.25">
      <c r="A10443" t="s">
        <v>35</v>
      </c>
      <c r="B10443" t="s">
        <v>61</v>
      </c>
      <c r="C10443" t="str">
        <f>"A0131821"</f>
        <v>A0131821</v>
      </c>
      <c r="D10443" t="s">
        <v>38803</v>
      </c>
      <c r="E10443" t="s">
        <v>38804</v>
      </c>
      <c r="F10443" t="s">
        <v>38797</v>
      </c>
      <c r="G10443" t="s">
        <v>65</v>
      </c>
      <c r="H10443">
        <v>446150000</v>
      </c>
      <c r="I10443" t="s">
        <v>30</v>
      </c>
      <c r="J10443" t="s">
        <v>41</v>
      </c>
      <c r="K10443" t="s">
        <v>229</v>
      </c>
      <c r="Q10443">
        <v>0</v>
      </c>
      <c r="R10443">
        <v>100</v>
      </c>
      <c r="S10443">
        <v>100</v>
      </c>
      <c r="T10443" t="s">
        <v>38805</v>
      </c>
    </row>
    <row r="10444" spans="1:20" customFormat="1" ht="15" x14ac:dyDescent="0.25">
      <c r="A10444" t="s">
        <v>35</v>
      </c>
      <c r="B10444" t="s">
        <v>61</v>
      </c>
      <c r="C10444" t="str">
        <f>"A0127280"</f>
        <v>A0127280</v>
      </c>
      <c r="D10444" t="s">
        <v>38806</v>
      </c>
      <c r="E10444" t="s">
        <v>38807</v>
      </c>
      <c r="F10444" t="s">
        <v>38797</v>
      </c>
      <c r="G10444" t="s">
        <v>846</v>
      </c>
      <c r="H10444">
        <v>30112</v>
      </c>
      <c r="I10444" t="s">
        <v>30</v>
      </c>
      <c r="J10444" t="s">
        <v>41</v>
      </c>
      <c r="K10444" t="s">
        <v>229</v>
      </c>
      <c r="Q10444">
        <v>0</v>
      </c>
      <c r="R10444">
        <v>100</v>
      </c>
      <c r="S10444">
        <v>100</v>
      </c>
      <c r="T10444" t="s">
        <v>38808</v>
      </c>
    </row>
    <row r="10445" spans="1:20" customFormat="1" ht="15" x14ac:dyDescent="0.25">
      <c r="A10445" t="s">
        <v>35</v>
      </c>
      <c r="B10445" t="s">
        <v>61</v>
      </c>
      <c r="C10445" t="str">
        <f>"A0131424"</f>
        <v>A0131424</v>
      </c>
      <c r="D10445" t="s">
        <v>38809</v>
      </c>
      <c r="E10445" t="s">
        <v>38810</v>
      </c>
      <c r="F10445" t="s">
        <v>38797</v>
      </c>
      <c r="G10445" t="s">
        <v>137</v>
      </c>
      <c r="H10445">
        <v>646330000</v>
      </c>
      <c r="I10445" t="s">
        <v>30</v>
      </c>
      <c r="J10445" t="s">
        <v>41</v>
      </c>
      <c r="K10445" t="s">
        <v>229</v>
      </c>
      <c r="Q10445">
        <v>0</v>
      </c>
      <c r="R10445">
        <v>120</v>
      </c>
      <c r="S10445">
        <v>120</v>
      </c>
      <c r="T10445" t="s">
        <v>38811</v>
      </c>
    </row>
    <row r="10446" spans="1:20" customFormat="1" ht="15" x14ac:dyDescent="0.25">
      <c r="A10446" t="s">
        <v>35</v>
      </c>
      <c r="B10446" t="s">
        <v>61</v>
      </c>
      <c r="C10446" t="str">
        <f>"A0123655"</f>
        <v>A0123655</v>
      </c>
      <c r="D10446" t="s">
        <v>38812</v>
      </c>
      <c r="E10446" t="s">
        <v>38813</v>
      </c>
      <c r="F10446" t="s">
        <v>1747</v>
      </c>
      <c r="G10446" t="s">
        <v>214</v>
      </c>
      <c r="H10446">
        <v>28314</v>
      </c>
      <c r="I10446" t="s">
        <v>30</v>
      </c>
      <c r="J10446" t="s">
        <v>41</v>
      </c>
      <c r="K10446" t="s">
        <v>59</v>
      </c>
      <c r="Q10446">
        <v>0</v>
      </c>
      <c r="R10446">
        <v>1</v>
      </c>
      <c r="S10446">
        <v>1</v>
      </c>
      <c r="T10446" t="s">
        <v>38814</v>
      </c>
    </row>
    <row r="10447" spans="1:20" customFormat="1" ht="15" x14ac:dyDescent="0.25">
      <c r="A10447" t="s">
        <v>35</v>
      </c>
      <c r="B10447" t="s">
        <v>61</v>
      </c>
      <c r="C10447" t="str">
        <f>"A0118413"</f>
        <v>A0118413</v>
      </c>
      <c r="D10447" t="s">
        <v>38815</v>
      </c>
      <c r="E10447" t="s">
        <v>38816</v>
      </c>
      <c r="F10447" t="s">
        <v>38817</v>
      </c>
      <c r="G10447" t="s">
        <v>221</v>
      </c>
      <c r="H10447">
        <v>894600000</v>
      </c>
      <c r="I10447" t="s">
        <v>30</v>
      </c>
      <c r="J10447" t="s">
        <v>41</v>
      </c>
      <c r="K10447" t="s">
        <v>59</v>
      </c>
      <c r="Q10447">
        <v>0</v>
      </c>
      <c r="R10447">
        <v>50</v>
      </c>
      <c r="S10447">
        <v>50</v>
      </c>
      <c r="T10447" t="s">
        <v>38818</v>
      </c>
    </row>
    <row r="10448" spans="1:20" customFormat="1" ht="15" x14ac:dyDescent="0.25">
      <c r="A10448" t="s">
        <v>35</v>
      </c>
      <c r="B10448" t="s">
        <v>61</v>
      </c>
      <c r="C10448" t="str">
        <f>"A0123206"</f>
        <v>A0123206</v>
      </c>
      <c r="D10448" t="s">
        <v>38819</v>
      </c>
      <c r="E10448" t="s">
        <v>38820</v>
      </c>
      <c r="F10448" t="s">
        <v>38821</v>
      </c>
      <c r="G10448" t="s">
        <v>214</v>
      </c>
      <c r="H10448">
        <v>28557</v>
      </c>
      <c r="I10448" t="s">
        <v>30</v>
      </c>
      <c r="J10448" t="s">
        <v>41</v>
      </c>
      <c r="K10448" t="s">
        <v>59</v>
      </c>
      <c r="Q10448">
        <v>0</v>
      </c>
      <c r="R10448">
        <v>117</v>
      </c>
      <c r="S10448">
        <v>117</v>
      </c>
      <c r="T10448" t="s">
        <v>38822</v>
      </c>
    </row>
    <row r="10449" spans="1:20" customFormat="1" ht="15" x14ac:dyDescent="0.25">
      <c r="A10449" t="s">
        <v>35</v>
      </c>
      <c r="B10449" t="s">
        <v>61</v>
      </c>
      <c r="C10449" t="str">
        <f>"A0124663"</f>
        <v>A0124663</v>
      </c>
      <c r="D10449" t="s">
        <v>38823</v>
      </c>
      <c r="E10449" t="s">
        <v>38824</v>
      </c>
      <c r="F10449" t="s">
        <v>14026</v>
      </c>
      <c r="G10449" t="s">
        <v>1369</v>
      </c>
      <c r="H10449">
        <v>39051</v>
      </c>
      <c r="I10449" t="s">
        <v>30</v>
      </c>
      <c r="J10449" t="s">
        <v>41</v>
      </c>
      <c r="K10449" t="s">
        <v>229</v>
      </c>
      <c r="Q10449">
        <v>0</v>
      </c>
      <c r="R10449">
        <v>44</v>
      </c>
      <c r="S10449">
        <v>44</v>
      </c>
      <c r="T10449" t="s">
        <v>38825</v>
      </c>
    </row>
    <row r="10450" spans="1:20" customFormat="1" ht="15" x14ac:dyDescent="0.25">
      <c r="A10450" t="s">
        <v>35</v>
      </c>
      <c r="B10450" t="s">
        <v>38826</v>
      </c>
      <c r="C10450" t="str">
        <f>"A0130068"</f>
        <v>A0130068</v>
      </c>
      <c r="D10450" t="s">
        <v>38827</v>
      </c>
      <c r="E10450" t="s">
        <v>38828</v>
      </c>
      <c r="F10450" t="s">
        <v>14026</v>
      </c>
      <c r="G10450" t="s">
        <v>880</v>
      </c>
      <c r="H10450">
        <v>37030</v>
      </c>
      <c r="I10450" t="s">
        <v>30</v>
      </c>
      <c r="J10450" t="s">
        <v>41</v>
      </c>
      <c r="K10450" t="s">
        <v>482</v>
      </c>
      <c r="Q10450">
        <v>0</v>
      </c>
      <c r="R10450">
        <v>45</v>
      </c>
      <c r="S10450">
        <v>45</v>
      </c>
      <c r="T10450" t="s">
        <v>38829</v>
      </c>
    </row>
    <row r="10451" spans="1:20" customFormat="1" ht="15" x14ac:dyDescent="0.25">
      <c r="A10451" t="s">
        <v>35</v>
      </c>
      <c r="B10451" t="s">
        <v>106</v>
      </c>
      <c r="C10451" t="str">
        <f>"A0135951"</f>
        <v>A0135951</v>
      </c>
      <c r="D10451" t="s">
        <v>38830</v>
      </c>
      <c r="E10451" t="s">
        <v>37059</v>
      </c>
      <c r="F10451" t="s">
        <v>14693</v>
      </c>
      <c r="G10451" t="s">
        <v>110</v>
      </c>
      <c r="H10451">
        <v>2934</v>
      </c>
      <c r="I10451" t="s">
        <v>30</v>
      </c>
      <c r="J10451" t="s">
        <v>111</v>
      </c>
      <c r="K10451" t="s">
        <v>10012</v>
      </c>
      <c r="Q10451">
        <v>0</v>
      </c>
      <c r="R10451">
        <v>0</v>
      </c>
      <c r="S10451">
        <v>0</v>
      </c>
      <c r="T10451" t="s">
        <v>37060</v>
      </c>
    </row>
    <row r="10452" spans="1:20" customFormat="1" ht="15" x14ac:dyDescent="0.25">
      <c r="A10452" t="s">
        <v>35</v>
      </c>
      <c r="B10452" t="s">
        <v>106</v>
      </c>
      <c r="C10452" t="str">
        <f>"A0135296"</f>
        <v>A0135296</v>
      </c>
      <c r="D10452" t="s">
        <v>38831</v>
      </c>
      <c r="E10452" t="s">
        <v>38832</v>
      </c>
      <c r="F10452" t="s">
        <v>38833</v>
      </c>
      <c r="G10452" t="s">
        <v>1170</v>
      </c>
      <c r="H10452">
        <v>70721</v>
      </c>
      <c r="I10452" t="s">
        <v>30</v>
      </c>
      <c r="J10452" t="s">
        <v>111</v>
      </c>
      <c r="K10452" t="s">
        <v>112</v>
      </c>
      <c r="Q10452">
        <v>0</v>
      </c>
      <c r="R10452">
        <v>0</v>
      </c>
      <c r="S10452">
        <v>0</v>
      </c>
      <c r="T10452" t="s">
        <v>38834</v>
      </c>
    </row>
    <row r="10453" spans="1:20" customFormat="1" ht="15" x14ac:dyDescent="0.25">
      <c r="A10453" t="s">
        <v>35</v>
      </c>
      <c r="B10453" t="s">
        <v>61</v>
      </c>
      <c r="C10453" t="str">
        <f>"A0123656"</f>
        <v>A0123656</v>
      </c>
      <c r="D10453" t="s">
        <v>38835</v>
      </c>
      <c r="E10453" t="s">
        <v>38836</v>
      </c>
      <c r="F10453" t="s">
        <v>38837</v>
      </c>
      <c r="G10453" t="s">
        <v>29</v>
      </c>
      <c r="H10453">
        <v>23061</v>
      </c>
      <c r="I10453" t="s">
        <v>30</v>
      </c>
      <c r="J10453" t="s">
        <v>41</v>
      </c>
      <c r="K10453" t="s">
        <v>482</v>
      </c>
      <c r="Q10453">
        <v>0</v>
      </c>
      <c r="R10453">
        <v>35</v>
      </c>
      <c r="S10453">
        <v>35</v>
      </c>
      <c r="T10453" t="s">
        <v>38838</v>
      </c>
    </row>
    <row r="10454" spans="1:20" customFormat="1" ht="15" x14ac:dyDescent="0.25">
      <c r="A10454" t="s">
        <v>35</v>
      </c>
      <c r="B10454" t="s">
        <v>61</v>
      </c>
      <c r="C10454" t="str">
        <f>"A0117830"</f>
        <v>A0117830</v>
      </c>
      <c r="D10454" t="s">
        <v>38839</v>
      </c>
      <c r="E10454" t="s">
        <v>38840</v>
      </c>
      <c r="F10454" t="s">
        <v>38841</v>
      </c>
      <c r="G10454" t="s">
        <v>110</v>
      </c>
      <c r="H10454">
        <v>956700000</v>
      </c>
      <c r="I10454" t="s">
        <v>30</v>
      </c>
      <c r="J10454" t="s">
        <v>41</v>
      </c>
      <c r="K10454" t="s">
        <v>229</v>
      </c>
      <c r="Q10454">
        <v>0</v>
      </c>
      <c r="R10454">
        <v>99</v>
      </c>
      <c r="S10454">
        <v>99</v>
      </c>
      <c r="T10454" t="s">
        <v>38842</v>
      </c>
    </row>
    <row r="10455" spans="1:20" customFormat="1" ht="15" x14ac:dyDescent="0.25">
      <c r="A10455" t="s">
        <v>35</v>
      </c>
      <c r="B10455" t="s">
        <v>61</v>
      </c>
      <c r="C10455" t="str">
        <f>"A0118626"</f>
        <v>A0118626</v>
      </c>
      <c r="D10455" t="s">
        <v>38843</v>
      </c>
      <c r="E10455" t="s">
        <v>38844</v>
      </c>
      <c r="F10455" t="s">
        <v>10867</v>
      </c>
      <c r="G10455" t="s">
        <v>110</v>
      </c>
      <c r="H10455">
        <v>95350</v>
      </c>
      <c r="I10455" t="s">
        <v>30</v>
      </c>
      <c r="J10455" t="s">
        <v>41</v>
      </c>
      <c r="K10455" t="s">
        <v>229</v>
      </c>
      <c r="Q10455">
        <v>0</v>
      </c>
      <c r="R10455">
        <v>59</v>
      </c>
      <c r="S10455">
        <v>59</v>
      </c>
      <c r="T10455" t="s">
        <v>38845</v>
      </c>
    </row>
    <row r="10456" spans="1:20" customFormat="1" ht="15" x14ac:dyDescent="0.25">
      <c r="A10456" t="s">
        <v>35</v>
      </c>
      <c r="B10456" t="s">
        <v>437</v>
      </c>
      <c r="C10456" t="str">
        <f>"A0133919"</f>
        <v>A0133919</v>
      </c>
      <c r="D10456" t="s">
        <v>38846</v>
      </c>
      <c r="E10456" t="s">
        <v>38847</v>
      </c>
      <c r="F10456" t="s">
        <v>21814</v>
      </c>
      <c r="G10456" t="s">
        <v>110</v>
      </c>
      <c r="H10456">
        <v>904050000</v>
      </c>
      <c r="I10456" t="s">
        <v>30</v>
      </c>
      <c r="J10456" t="s">
        <v>441</v>
      </c>
      <c r="K10456" t="s">
        <v>442</v>
      </c>
      <c r="Q10456">
        <v>0</v>
      </c>
      <c r="R10456">
        <v>0</v>
      </c>
      <c r="S10456">
        <v>0</v>
      </c>
      <c r="T10456" t="s">
        <v>38848</v>
      </c>
    </row>
    <row r="10457" spans="1:20" customFormat="1" ht="15" x14ac:dyDescent="0.25">
      <c r="A10457" t="s">
        <v>35</v>
      </c>
      <c r="B10457" t="s">
        <v>61</v>
      </c>
      <c r="C10457" t="str">
        <f>"A0119255"</f>
        <v>A0119255</v>
      </c>
      <c r="D10457" t="s">
        <v>38849</v>
      </c>
      <c r="E10457" t="s">
        <v>38850</v>
      </c>
      <c r="F10457" t="s">
        <v>38851</v>
      </c>
      <c r="G10457" t="s">
        <v>110</v>
      </c>
      <c r="H10457">
        <v>95205</v>
      </c>
      <c r="I10457" t="s">
        <v>30</v>
      </c>
      <c r="J10457" t="s">
        <v>41</v>
      </c>
      <c r="K10457" t="s">
        <v>59</v>
      </c>
      <c r="Q10457">
        <v>0</v>
      </c>
      <c r="R10457">
        <v>74</v>
      </c>
      <c r="S10457">
        <v>74</v>
      </c>
      <c r="T10457" t="s">
        <v>38852</v>
      </c>
    </row>
    <row r="10458" spans="1:20" customFormat="1" ht="15" x14ac:dyDescent="0.25">
      <c r="A10458" t="s">
        <v>35</v>
      </c>
      <c r="B10458" t="s">
        <v>61</v>
      </c>
      <c r="C10458" t="str">
        <f>"A0119273"</f>
        <v>A0119273</v>
      </c>
      <c r="D10458" t="s">
        <v>38853</v>
      </c>
      <c r="E10458" t="s">
        <v>38854</v>
      </c>
      <c r="F10458" t="s">
        <v>15965</v>
      </c>
      <c r="G10458" t="s">
        <v>110</v>
      </c>
      <c r="H10458">
        <v>93277</v>
      </c>
      <c r="I10458" t="s">
        <v>30</v>
      </c>
      <c r="J10458" t="s">
        <v>41</v>
      </c>
      <c r="K10458" t="s">
        <v>59</v>
      </c>
      <c r="Q10458">
        <v>0</v>
      </c>
      <c r="R10458">
        <v>97</v>
      </c>
      <c r="S10458">
        <v>97</v>
      </c>
      <c r="T10458" t="s">
        <v>38855</v>
      </c>
    </row>
    <row r="10459" spans="1:20" customFormat="1" ht="15" x14ac:dyDescent="0.25">
      <c r="A10459" t="s">
        <v>35</v>
      </c>
      <c r="B10459" t="s">
        <v>106</v>
      </c>
      <c r="C10459" t="str">
        <f>"A0136576"</f>
        <v>A0136576</v>
      </c>
      <c r="D10459" t="s">
        <v>38856</v>
      </c>
      <c r="E10459" t="s">
        <v>38857</v>
      </c>
      <c r="F10459" t="s">
        <v>36241</v>
      </c>
      <c r="G10459" t="s">
        <v>1184</v>
      </c>
      <c r="H10459">
        <v>59421</v>
      </c>
      <c r="I10459" t="s">
        <v>30</v>
      </c>
      <c r="J10459" t="s">
        <v>111</v>
      </c>
      <c r="K10459" t="s">
        <v>112</v>
      </c>
      <c r="Q10459">
        <v>0</v>
      </c>
      <c r="R10459">
        <v>0</v>
      </c>
      <c r="S10459">
        <v>0</v>
      </c>
      <c r="T10459" t="s">
        <v>38858</v>
      </c>
    </row>
    <row r="10460" spans="1:20" customFormat="1" ht="15" x14ac:dyDescent="0.25">
      <c r="A10460" t="s">
        <v>35</v>
      </c>
      <c r="B10460" t="s">
        <v>5511</v>
      </c>
      <c r="C10460" t="str">
        <f>"A0133719"</f>
        <v>A0133719</v>
      </c>
      <c r="D10460" t="s">
        <v>38859</v>
      </c>
      <c r="E10460" t="s">
        <v>38860</v>
      </c>
      <c r="F10460" t="s">
        <v>10817</v>
      </c>
      <c r="G10460" t="s">
        <v>52</v>
      </c>
      <c r="H10460">
        <v>77554</v>
      </c>
      <c r="I10460" t="s">
        <v>30</v>
      </c>
      <c r="J10460" t="s">
        <v>41</v>
      </c>
      <c r="K10460" t="s">
        <v>229</v>
      </c>
      <c r="Q10460">
        <v>0</v>
      </c>
      <c r="R10460">
        <v>120</v>
      </c>
      <c r="S10460">
        <v>151</v>
      </c>
      <c r="T10460" t="s">
        <v>38861</v>
      </c>
    </row>
    <row r="10461" spans="1:20" customFormat="1" ht="15" x14ac:dyDescent="0.25">
      <c r="A10461" t="s">
        <v>35</v>
      </c>
      <c r="B10461" t="s">
        <v>5511</v>
      </c>
      <c r="C10461" t="str">
        <f>"A0133720"</f>
        <v>A0133720</v>
      </c>
      <c r="D10461" t="s">
        <v>38862</v>
      </c>
      <c r="E10461" t="s">
        <v>38863</v>
      </c>
      <c r="F10461" t="s">
        <v>38864</v>
      </c>
      <c r="G10461" t="s">
        <v>52</v>
      </c>
      <c r="H10461">
        <v>77642</v>
      </c>
      <c r="I10461" t="s">
        <v>30</v>
      </c>
      <c r="J10461" t="s">
        <v>41</v>
      </c>
      <c r="K10461" t="s">
        <v>229</v>
      </c>
      <c r="Q10461">
        <v>0</v>
      </c>
      <c r="R10461">
        <v>120</v>
      </c>
      <c r="S10461">
        <v>199</v>
      </c>
      <c r="T10461" t="s">
        <v>38865</v>
      </c>
    </row>
    <row r="10462" spans="1:20" customFormat="1" ht="15" x14ac:dyDescent="0.25">
      <c r="A10462" t="s">
        <v>35</v>
      </c>
      <c r="B10462" t="s">
        <v>5511</v>
      </c>
      <c r="C10462" t="str">
        <f>"A0133716"</f>
        <v>A0133716</v>
      </c>
      <c r="D10462" t="s">
        <v>38866</v>
      </c>
      <c r="E10462" t="s">
        <v>38867</v>
      </c>
      <c r="F10462" t="s">
        <v>38864</v>
      </c>
      <c r="G10462" t="s">
        <v>52</v>
      </c>
      <c r="H10462">
        <v>75766</v>
      </c>
      <c r="I10462" t="s">
        <v>30</v>
      </c>
      <c r="J10462" t="s">
        <v>41</v>
      </c>
      <c r="K10462" t="s">
        <v>229</v>
      </c>
      <c r="Q10462">
        <v>0</v>
      </c>
      <c r="R10462">
        <v>150</v>
      </c>
      <c r="S10462">
        <v>150</v>
      </c>
      <c r="T10462" t="s">
        <v>38868</v>
      </c>
    </row>
    <row r="10463" spans="1:20" customFormat="1" ht="15" x14ac:dyDescent="0.25">
      <c r="A10463" t="s">
        <v>35</v>
      </c>
      <c r="B10463" t="s">
        <v>61</v>
      </c>
      <c r="C10463" t="str">
        <f>"A0123657"</f>
        <v>A0123657</v>
      </c>
      <c r="D10463" t="s">
        <v>38869</v>
      </c>
      <c r="E10463" t="s">
        <v>38870</v>
      </c>
      <c r="F10463" t="s">
        <v>93</v>
      </c>
      <c r="G10463" t="s">
        <v>58</v>
      </c>
      <c r="H10463">
        <v>29607</v>
      </c>
      <c r="I10463" t="s">
        <v>30</v>
      </c>
      <c r="J10463" t="s">
        <v>41</v>
      </c>
      <c r="K10463" t="s">
        <v>11521</v>
      </c>
      <c r="Q10463">
        <v>0</v>
      </c>
      <c r="R10463">
        <v>0</v>
      </c>
      <c r="S10463">
        <v>0</v>
      </c>
      <c r="T10463" t="s">
        <v>38871</v>
      </c>
    </row>
    <row r="10464" spans="1:20" customFormat="1" ht="15" x14ac:dyDescent="0.25">
      <c r="A10464" t="s">
        <v>35</v>
      </c>
      <c r="B10464" t="s">
        <v>61</v>
      </c>
      <c r="C10464" t="str">
        <f>"A0121258"</f>
        <v>A0121258</v>
      </c>
      <c r="D10464" t="s">
        <v>38872</v>
      </c>
      <c r="E10464" t="s">
        <v>38873</v>
      </c>
      <c r="F10464" t="s">
        <v>38874</v>
      </c>
      <c r="G10464" t="s">
        <v>190</v>
      </c>
      <c r="H10464">
        <v>80487</v>
      </c>
      <c r="I10464" t="s">
        <v>30</v>
      </c>
      <c r="J10464" t="s">
        <v>41</v>
      </c>
      <c r="K10464" t="s">
        <v>1440</v>
      </c>
      <c r="Q10464">
        <v>0</v>
      </c>
      <c r="R10464">
        <v>0</v>
      </c>
      <c r="S10464">
        <v>0</v>
      </c>
      <c r="T10464" t="s">
        <v>38875</v>
      </c>
    </row>
    <row r="10465" spans="1:20" customFormat="1" ht="15" x14ac:dyDescent="0.25">
      <c r="A10465" t="s">
        <v>35</v>
      </c>
      <c r="B10465" t="s">
        <v>61</v>
      </c>
      <c r="C10465" t="str">
        <f>"A0122659"</f>
        <v>A0122659</v>
      </c>
      <c r="D10465" t="s">
        <v>38876</v>
      </c>
      <c r="E10465" t="s">
        <v>38877</v>
      </c>
      <c r="F10465" t="s">
        <v>38878</v>
      </c>
      <c r="G10465" t="s">
        <v>76</v>
      </c>
      <c r="H10465">
        <v>98815</v>
      </c>
      <c r="I10465" t="s">
        <v>30</v>
      </c>
      <c r="J10465" t="s">
        <v>41</v>
      </c>
      <c r="K10465" t="s">
        <v>229</v>
      </c>
      <c r="Q10465">
        <v>0</v>
      </c>
      <c r="R10465">
        <v>90</v>
      </c>
      <c r="S10465">
        <v>90</v>
      </c>
      <c r="T10465" t="s">
        <v>38879</v>
      </c>
    </row>
    <row r="10466" spans="1:20" customFormat="1" ht="15" x14ac:dyDescent="0.25">
      <c r="A10466" t="s">
        <v>35</v>
      </c>
      <c r="B10466" t="s">
        <v>61</v>
      </c>
      <c r="C10466" t="str">
        <f>"A0130167"</f>
        <v>A0130167</v>
      </c>
      <c r="D10466" t="s">
        <v>38880</v>
      </c>
      <c r="E10466" t="s">
        <v>38881</v>
      </c>
      <c r="F10466" t="s">
        <v>38882</v>
      </c>
      <c r="G10466" t="s">
        <v>71</v>
      </c>
      <c r="H10466">
        <v>53151</v>
      </c>
      <c r="I10466" t="s">
        <v>30</v>
      </c>
      <c r="J10466" t="s">
        <v>41</v>
      </c>
      <c r="K10466" t="s">
        <v>59</v>
      </c>
      <c r="Q10466">
        <v>0</v>
      </c>
      <c r="R10466">
        <v>56</v>
      </c>
      <c r="S10466">
        <v>56</v>
      </c>
      <c r="T10466" t="s">
        <v>38883</v>
      </c>
    </row>
    <row r="10467" spans="1:20" customFormat="1" ht="15" x14ac:dyDescent="0.25">
      <c r="A10467" t="s">
        <v>35</v>
      </c>
      <c r="B10467" t="s">
        <v>61</v>
      </c>
      <c r="C10467" t="str">
        <f>"A0133192"</f>
        <v>A0133192</v>
      </c>
      <c r="D10467" t="s">
        <v>38884</v>
      </c>
      <c r="E10467" t="s">
        <v>38885</v>
      </c>
      <c r="F10467" t="s">
        <v>3081</v>
      </c>
      <c r="G10467" t="s">
        <v>52</v>
      </c>
      <c r="H10467">
        <v>759040000</v>
      </c>
      <c r="I10467" t="s">
        <v>30</v>
      </c>
      <c r="J10467" t="s">
        <v>41</v>
      </c>
      <c r="K10467" t="s">
        <v>229</v>
      </c>
      <c r="Q10467">
        <v>0</v>
      </c>
      <c r="R10467">
        <v>100</v>
      </c>
      <c r="S10467">
        <v>100</v>
      </c>
      <c r="T10467" t="s">
        <v>38886</v>
      </c>
    </row>
    <row r="10468" spans="1:20" customFormat="1" ht="15" x14ac:dyDescent="0.25">
      <c r="A10468" t="s">
        <v>35</v>
      </c>
      <c r="B10468" t="s">
        <v>437</v>
      </c>
      <c r="C10468" t="str">
        <f>"A0134383"</f>
        <v>A0134383</v>
      </c>
      <c r="D10468" t="s">
        <v>38887</v>
      </c>
      <c r="E10468" t="s">
        <v>38888</v>
      </c>
      <c r="F10468" t="s">
        <v>4259</v>
      </c>
      <c r="G10468" t="s">
        <v>99</v>
      </c>
      <c r="H10468">
        <v>13502</v>
      </c>
      <c r="I10468" t="s">
        <v>30</v>
      </c>
      <c r="J10468" t="s">
        <v>441</v>
      </c>
      <c r="K10468" t="s">
        <v>442</v>
      </c>
      <c r="Q10468">
        <v>0</v>
      </c>
      <c r="R10468">
        <v>0</v>
      </c>
      <c r="S10468">
        <v>0</v>
      </c>
      <c r="T10468" t="s">
        <v>38889</v>
      </c>
    </row>
    <row r="10469" spans="1:20" customFormat="1" ht="15" x14ac:dyDescent="0.25">
      <c r="A10469" t="s">
        <v>35</v>
      </c>
      <c r="B10469" t="s">
        <v>61</v>
      </c>
      <c r="C10469" t="str">
        <f>"A0153040"</f>
        <v>A0153040</v>
      </c>
      <c r="D10469" t="s">
        <v>38890</v>
      </c>
      <c r="E10469" t="s">
        <v>38891</v>
      </c>
      <c r="F10469" t="s">
        <v>2307</v>
      </c>
      <c r="G10469" t="s">
        <v>65</v>
      </c>
      <c r="H10469">
        <v>44134</v>
      </c>
      <c r="I10469" t="s">
        <v>30</v>
      </c>
      <c r="J10469" t="s">
        <v>41</v>
      </c>
      <c r="K10469" t="s">
        <v>1412</v>
      </c>
      <c r="Q10469">
        <v>0</v>
      </c>
      <c r="R10469">
        <v>0</v>
      </c>
      <c r="S10469">
        <v>0</v>
      </c>
      <c r="T10469" t="s">
        <v>38892</v>
      </c>
    </row>
    <row r="10470" spans="1:20" customFormat="1" ht="15" x14ac:dyDescent="0.25">
      <c r="A10470" t="s">
        <v>35</v>
      </c>
      <c r="B10470" t="s">
        <v>106</v>
      </c>
      <c r="C10470" t="str">
        <f>"A0135949"</f>
        <v>A0135949</v>
      </c>
      <c r="D10470" t="s">
        <v>38893</v>
      </c>
      <c r="E10470" t="s">
        <v>38894</v>
      </c>
      <c r="F10470" t="s">
        <v>14693</v>
      </c>
      <c r="G10470" t="s">
        <v>110</v>
      </c>
      <c r="H10470">
        <v>92834</v>
      </c>
      <c r="I10470" t="s">
        <v>30</v>
      </c>
      <c r="J10470" t="s">
        <v>111</v>
      </c>
      <c r="K10470" t="s">
        <v>10012</v>
      </c>
      <c r="Q10470">
        <v>0</v>
      </c>
      <c r="R10470">
        <v>0</v>
      </c>
      <c r="S10470">
        <v>0</v>
      </c>
      <c r="T10470" t="s">
        <v>37060</v>
      </c>
    </row>
    <row r="10471" spans="1:20" customFormat="1" ht="15" x14ac:dyDescent="0.25">
      <c r="A10471" t="s">
        <v>35</v>
      </c>
      <c r="B10471" t="s">
        <v>225</v>
      </c>
      <c r="C10471" t="str">
        <f>"A0131528"</f>
        <v>A0131528</v>
      </c>
      <c r="D10471" t="s">
        <v>38895</v>
      </c>
      <c r="E10471" t="s">
        <v>38896</v>
      </c>
      <c r="F10471" t="s">
        <v>9143</v>
      </c>
      <c r="G10471" t="s">
        <v>381</v>
      </c>
      <c r="H10471">
        <v>47546</v>
      </c>
      <c r="I10471" t="s">
        <v>30</v>
      </c>
      <c r="J10471" t="s">
        <v>41</v>
      </c>
      <c r="K10471" t="s">
        <v>229</v>
      </c>
      <c r="Q10471">
        <v>0</v>
      </c>
      <c r="R10471">
        <v>65</v>
      </c>
      <c r="S10471">
        <v>65</v>
      </c>
      <c r="T10471" t="s">
        <v>38897</v>
      </c>
    </row>
    <row r="10472" spans="1:20" customFormat="1" ht="15" x14ac:dyDescent="0.25">
      <c r="A10472" t="s">
        <v>35</v>
      </c>
      <c r="B10472" t="s">
        <v>106</v>
      </c>
      <c r="C10472" t="str">
        <f>"A0136304"</f>
        <v>A0136304</v>
      </c>
      <c r="D10472" t="s">
        <v>38898</v>
      </c>
      <c r="E10472" t="s">
        <v>38899</v>
      </c>
      <c r="F10472" t="s">
        <v>36248</v>
      </c>
      <c r="G10472" t="s">
        <v>1369</v>
      </c>
      <c r="H10472">
        <v>39120</v>
      </c>
      <c r="I10472" t="s">
        <v>30</v>
      </c>
      <c r="J10472" t="s">
        <v>111</v>
      </c>
      <c r="K10472" t="s">
        <v>112</v>
      </c>
      <c r="Q10472">
        <v>0</v>
      </c>
      <c r="R10472">
        <v>0</v>
      </c>
      <c r="S10472">
        <v>0</v>
      </c>
      <c r="T10472" t="s">
        <v>38900</v>
      </c>
    </row>
    <row r="10473" spans="1:20" customFormat="1" ht="15" x14ac:dyDescent="0.25">
      <c r="A10473" t="s">
        <v>35</v>
      </c>
      <c r="B10473" t="s">
        <v>61</v>
      </c>
      <c r="C10473" t="str">
        <f>"A0132285"</f>
        <v>A0132285</v>
      </c>
      <c r="D10473" t="s">
        <v>38901</v>
      </c>
      <c r="E10473" t="s">
        <v>38902</v>
      </c>
      <c r="F10473" t="s">
        <v>13374</v>
      </c>
      <c r="G10473" t="s">
        <v>65</v>
      </c>
      <c r="H10473">
        <v>43952</v>
      </c>
      <c r="I10473" t="s">
        <v>30</v>
      </c>
      <c r="J10473" t="s">
        <v>41</v>
      </c>
      <c r="K10473" t="s">
        <v>59</v>
      </c>
      <c r="Q10473">
        <v>0</v>
      </c>
      <c r="R10473">
        <v>50</v>
      </c>
      <c r="S10473">
        <v>50</v>
      </c>
      <c r="T10473" t="s">
        <v>38903</v>
      </c>
    </row>
    <row r="10474" spans="1:20" customFormat="1" ht="15" x14ac:dyDescent="0.25">
      <c r="A10474" t="s">
        <v>35</v>
      </c>
      <c r="B10474" t="s">
        <v>61</v>
      </c>
      <c r="C10474" t="str">
        <f>"A0132717"</f>
        <v>A0132717</v>
      </c>
      <c r="D10474" t="s">
        <v>38904</v>
      </c>
      <c r="E10474" t="s">
        <v>38905</v>
      </c>
      <c r="F10474" t="s">
        <v>38906</v>
      </c>
      <c r="G10474" t="s">
        <v>65</v>
      </c>
      <c r="H10474">
        <v>43011</v>
      </c>
      <c r="I10474" t="s">
        <v>30</v>
      </c>
      <c r="J10474" t="s">
        <v>41</v>
      </c>
      <c r="K10474" t="s">
        <v>42</v>
      </c>
      <c r="Q10474">
        <v>0</v>
      </c>
      <c r="R10474">
        <v>0</v>
      </c>
      <c r="S10474">
        <v>0</v>
      </c>
      <c r="T10474" t="s">
        <v>38907</v>
      </c>
    </row>
    <row r="10475" spans="1:20" customFormat="1" ht="15" x14ac:dyDescent="0.25">
      <c r="A10475" t="s">
        <v>35</v>
      </c>
      <c r="B10475" t="s">
        <v>61</v>
      </c>
      <c r="C10475" t="str">
        <f>"A0123658"</f>
        <v>A0123658</v>
      </c>
      <c r="D10475" t="s">
        <v>38908</v>
      </c>
      <c r="E10475" t="s">
        <v>38909</v>
      </c>
      <c r="F10475" t="s">
        <v>1630</v>
      </c>
      <c r="G10475" t="s">
        <v>29</v>
      </c>
      <c r="H10475">
        <v>221105055</v>
      </c>
      <c r="I10475" t="s">
        <v>30</v>
      </c>
      <c r="J10475" t="s">
        <v>41</v>
      </c>
      <c r="K10475" t="s">
        <v>482</v>
      </c>
      <c r="Q10475">
        <v>0</v>
      </c>
      <c r="R10475">
        <v>78</v>
      </c>
      <c r="S10475">
        <v>78</v>
      </c>
      <c r="T10475" t="s">
        <v>38910</v>
      </c>
    </row>
    <row r="10476" spans="1:20" customFormat="1" ht="15" x14ac:dyDescent="0.25">
      <c r="A10476" t="s">
        <v>35</v>
      </c>
      <c r="B10476" t="s">
        <v>61</v>
      </c>
      <c r="C10476" t="str">
        <f>"A0125793"</f>
        <v>A0125793</v>
      </c>
      <c r="D10476" t="s">
        <v>38911</v>
      </c>
      <c r="E10476" t="s">
        <v>38912</v>
      </c>
      <c r="F10476" t="s">
        <v>38913</v>
      </c>
      <c r="G10476" t="s">
        <v>29</v>
      </c>
      <c r="H10476">
        <v>241750000</v>
      </c>
      <c r="I10476" t="s">
        <v>30</v>
      </c>
      <c r="J10476" t="s">
        <v>41</v>
      </c>
      <c r="K10476" t="s">
        <v>59</v>
      </c>
      <c r="Q10476">
        <v>0</v>
      </c>
      <c r="R10476">
        <v>55</v>
      </c>
      <c r="S10476">
        <v>55</v>
      </c>
      <c r="T10476" t="s">
        <v>38914</v>
      </c>
    </row>
    <row r="10477" spans="1:20" customFormat="1" ht="15" x14ac:dyDescent="0.25">
      <c r="A10477" t="s">
        <v>35</v>
      </c>
      <c r="B10477" t="s">
        <v>61</v>
      </c>
      <c r="C10477" t="str">
        <f>"A0154436"</f>
        <v>A0154436</v>
      </c>
      <c r="D10477" t="s">
        <v>38915</v>
      </c>
      <c r="E10477" t="s">
        <v>38916</v>
      </c>
      <c r="F10477" t="s">
        <v>9731</v>
      </c>
      <c r="G10477" t="s">
        <v>76</v>
      </c>
      <c r="H10477">
        <v>98661</v>
      </c>
      <c r="I10477" t="s">
        <v>30</v>
      </c>
      <c r="J10477" t="s">
        <v>41</v>
      </c>
      <c r="K10477" t="s">
        <v>391</v>
      </c>
      <c r="Q10477">
        <v>0</v>
      </c>
      <c r="R10477">
        <v>50</v>
      </c>
      <c r="S10477">
        <v>50</v>
      </c>
      <c r="T10477" t="s">
        <v>38917</v>
      </c>
    </row>
    <row r="10478" spans="1:20" customFormat="1" ht="15" x14ac:dyDescent="0.25">
      <c r="A10478" t="s">
        <v>35</v>
      </c>
      <c r="B10478" t="s">
        <v>437</v>
      </c>
      <c r="C10478" t="str">
        <f>"A0134125"</f>
        <v>A0134125</v>
      </c>
      <c r="D10478" t="s">
        <v>38918</v>
      </c>
      <c r="E10478" t="s">
        <v>38919</v>
      </c>
      <c r="F10478" t="s">
        <v>13355</v>
      </c>
      <c r="G10478" t="s">
        <v>110</v>
      </c>
      <c r="H10478">
        <v>62653</v>
      </c>
      <c r="I10478" t="s">
        <v>30</v>
      </c>
      <c r="J10478" t="s">
        <v>441</v>
      </c>
      <c r="K10478" t="s">
        <v>442</v>
      </c>
      <c r="Q10478">
        <v>0</v>
      </c>
      <c r="R10478">
        <v>0</v>
      </c>
      <c r="S10478">
        <v>0</v>
      </c>
      <c r="T10478" t="s">
        <v>38920</v>
      </c>
    </row>
    <row r="10479" spans="1:20" customFormat="1" ht="15" x14ac:dyDescent="0.25">
      <c r="A10479" t="s">
        <v>35</v>
      </c>
      <c r="B10479" t="s">
        <v>61</v>
      </c>
      <c r="C10479" t="str">
        <f>"A0131591"</f>
        <v>A0131591</v>
      </c>
      <c r="D10479" t="s">
        <v>11611</v>
      </c>
      <c r="E10479" t="s">
        <v>38921</v>
      </c>
      <c r="F10479" t="s">
        <v>8655</v>
      </c>
      <c r="G10479" t="s">
        <v>381</v>
      </c>
      <c r="H10479">
        <v>47112</v>
      </c>
      <c r="I10479" t="s">
        <v>30</v>
      </c>
      <c r="J10479" t="s">
        <v>41</v>
      </c>
      <c r="K10479" t="s">
        <v>59</v>
      </c>
      <c r="Q10479">
        <v>0</v>
      </c>
      <c r="R10479">
        <v>60</v>
      </c>
      <c r="S10479">
        <v>60</v>
      </c>
      <c r="T10479" t="s">
        <v>38922</v>
      </c>
    </row>
    <row r="10480" spans="1:20" customFormat="1" ht="15" x14ac:dyDescent="0.25">
      <c r="A10480" t="s">
        <v>35</v>
      </c>
      <c r="B10480" t="s">
        <v>61</v>
      </c>
      <c r="C10480" t="str">
        <f>"A0123659"</f>
        <v>A0123659</v>
      </c>
      <c r="D10480" t="s">
        <v>38923</v>
      </c>
      <c r="E10480" t="s">
        <v>38924</v>
      </c>
      <c r="F10480" t="s">
        <v>3327</v>
      </c>
      <c r="G10480" t="s">
        <v>214</v>
      </c>
      <c r="H10480">
        <v>28412</v>
      </c>
      <c r="I10480" t="s">
        <v>30</v>
      </c>
      <c r="J10480" t="s">
        <v>41</v>
      </c>
      <c r="K10480" t="s">
        <v>482</v>
      </c>
      <c r="Q10480">
        <v>0</v>
      </c>
      <c r="R10480">
        <v>64</v>
      </c>
      <c r="S10480">
        <v>64</v>
      </c>
      <c r="T10480" t="s">
        <v>38925</v>
      </c>
    </row>
    <row r="10481" spans="1:20" customFormat="1" ht="15" x14ac:dyDescent="0.25">
      <c r="A10481" t="s">
        <v>35</v>
      </c>
      <c r="B10481" t="s">
        <v>61</v>
      </c>
      <c r="C10481" t="str">
        <f>"A0125248"</f>
        <v>A0125248</v>
      </c>
      <c r="D10481" t="s">
        <v>38926</v>
      </c>
      <c r="E10481" t="s">
        <v>38927</v>
      </c>
      <c r="F10481" t="s">
        <v>17235</v>
      </c>
      <c r="G10481" t="s">
        <v>40</v>
      </c>
      <c r="H10481">
        <v>733070000</v>
      </c>
      <c r="I10481" t="s">
        <v>30</v>
      </c>
      <c r="J10481" t="s">
        <v>41</v>
      </c>
      <c r="K10481" t="s">
        <v>229</v>
      </c>
      <c r="Q10481">
        <v>0</v>
      </c>
      <c r="R10481">
        <v>95</v>
      </c>
      <c r="S10481">
        <v>95</v>
      </c>
      <c r="T10481" t="s">
        <v>38928</v>
      </c>
    </row>
    <row r="10482" spans="1:20" customFormat="1" ht="15" x14ac:dyDescent="0.25">
      <c r="A10482" t="s">
        <v>35</v>
      </c>
      <c r="B10482" t="s">
        <v>61</v>
      </c>
      <c r="C10482" t="str">
        <f>"A0127123"</f>
        <v>A0127123</v>
      </c>
      <c r="D10482" t="s">
        <v>38929</v>
      </c>
      <c r="E10482" t="s">
        <v>38930</v>
      </c>
      <c r="F10482" t="s">
        <v>4746</v>
      </c>
      <c r="G10482" t="s">
        <v>103</v>
      </c>
      <c r="H10482">
        <v>17042</v>
      </c>
      <c r="I10482" t="s">
        <v>30</v>
      </c>
      <c r="J10482" t="s">
        <v>41</v>
      </c>
      <c r="K10482" t="s">
        <v>229</v>
      </c>
      <c r="Q10482">
        <v>0</v>
      </c>
      <c r="R10482">
        <v>324</v>
      </c>
      <c r="S10482">
        <v>324</v>
      </c>
      <c r="T10482" t="s">
        <v>38931</v>
      </c>
    </row>
    <row r="10483" spans="1:20" customFormat="1" ht="15" x14ac:dyDescent="0.25">
      <c r="A10483" t="s">
        <v>35</v>
      </c>
      <c r="B10483" t="s">
        <v>61</v>
      </c>
      <c r="C10483" t="str">
        <f>"A0123207"</f>
        <v>A0123207</v>
      </c>
      <c r="D10483" t="s">
        <v>37698</v>
      </c>
      <c r="E10483" t="s">
        <v>38932</v>
      </c>
      <c r="F10483" t="s">
        <v>611</v>
      </c>
      <c r="G10483" t="s">
        <v>338</v>
      </c>
      <c r="H10483">
        <v>7009</v>
      </c>
      <c r="I10483" t="s">
        <v>30</v>
      </c>
      <c r="J10483" t="s">
        <v>41</v>
      </c>
      <c r="K10483" t="s">
        <v>9956</v>
      </c>
      <c r="Q10483">
        <v>0</v>
      </c>
      <c r="R10483">
        <v>0</v>
      </c>
      <c r="S10483">
        <v>0</v>
      </c>
    </row>
    <row r="10484" spans="1:20" customFormat="1" ht="15" x14ac:dyDescent="0.25">
      <c r="A10484" t="s">
        <v>35</v>
      </c>
      <c r="B10484" t="s">
        <v>61</v>
      </c>
      <c r="C10484" t="str">
        <f>"A0133538"</f>
        <v>A0133538</v>
      </c>
      <c r="D10484" t="s">
        <v>38933</v>
      </c>
      <c r="E10484" t="s">
        <v>38934</v>
      </c>
      <c r="F10484" t="s">
        <v>37698</v>
      </c>
      <c r="G10484" t="s">
        <v>52</v>
      </c>
      <c r="H10484">
        <v>75104</v>
      </c>
      <c r="I10484" t="s">
        <v>30</v>
      </c>
      <c r="J10484" t="s">
        <v>41</v>
      </c>
      <c r="K10484" t="s">
        <v>229</v>
      </c>
      <c r="Q10484">
        <v>0</v>
      </c>
      <c r="R10484">
        <v>60</v>
      </c>
      <c r="S10484">
        <v>60</v>
      </c>
      <c r="T10484" t="s">
        <v>38935</v>
      </c>
    </row>
    <row r="10485" spans="1:20" customFormat="1" ht="15" x14ac:dyDescent="0.25">
      <c r="A10485" t="s">
        <v>35</v>
      </c>
      <c r="B10485" t="s">
        <v>61</v>
      </c>
      <c r="C10485" t="str">
        <f>"A0127316"</f>
        <v>A0127316</v>
      </c>
      <c r="D10485" t="s">
        <v>38936</v>
      </c>
      <c r="E10485" t="s">
        <v>38937</v>
      </c>
      <c r="F10485" t="s">
        <v>38938</v>
      </c>
      <c r="G10485" t="s">
        <v>846</v>
      </c>
      <c r="H10485">
        <v>30125</v>
      </c>
      <c r="I10485" t="s">
        <v>30</v>
      </c>
      <c r="J10485" t="s">
        <v>41</v>
      </c>
      <c r="K10485" t="s">
        <v>59</v>
      </c>
      <c r="Q10485">
        <v>0</v>
      </c>
      <c r="R10485">
        <v>60</v>
      </c>
      <c r="S10485">
        <v>60</v>
      </c>
      <c r="T10485" t="s">
        <v>38939</v>
      </c>
    </row>
    <row r="10486" spans="1:20" customFormat="1" ht="15" x14ac:dyDescent="0.25">
      <c r="A10486" t="s">
        <v>35</v>
      </c>
      <c r="B10486" t="s">
        <v>61</v>
      </c>
      <c r="C10486" t="str">
        <f>"A0117866"</f>
        <v>A0117866</v>
      </c>
      <c r="D10486" t="s">
        <v>38940</v>
      </c>
      <c r="E10486" t="s">
        <v>38941</v>
      </c>
      <c r="F10486" t="s">
        <v>12934</v>
      </c>
      <c r="G10486" t="s">
        <v>110</v>
      </c>
      <c r="H10486">
        <v>92316</v>
      </c>
      <c r="I10486" t="s">
        <v>30</v>
      </c>
      <c r="J10486" t="s">
        <v>41</v>
      </c>
      <c r="K10486" t="s">
        <v>418</v>
      </c>
      <c r="Q10486">
        <v>0</v>
      </c>
      <c r="R10486">
        <v>125</v>
      </c>
      <c r="S10486">
        <v>125</v>
      </c>
      <c r="T10486" t="s">
        <v>38942</v>
      </c>
    </row>
    <row r="10487" spans="1:20" customFormat="1" ht="15" x14ac:dyDescent="0.25">
      <c r="A10487" t="s">
        <v>35</v>
      </c>
      <c r="B10487" t="s">
        <v>61</v>
      </c>
      <c r="C10487" t="str">
        <f>"A0133155"</f>
        <v>A0133155</v>
      </c>
      <c r="D10487" t="s">
        <v>38943</v>
      </c>
      <c r="E10487" t="s">
        <v>38944</v>
      </c>
      <c r="F10487" t="s">
        <v>38945</v>
      </c>
      <c r="G10487" t="s">
        <v>52</v>
      </c>
      <c r="H10487">
        <v>75148</v>
      </c>
      <c r="I10487" t="s">
        <v>30</v>
      </c>
      <c r="J10487" t="s">
        <v>41</v>
      </c>
      <c r="K10487" t="s">
        <v>229</v>
      </c>
      <c r="Q10487">
        <v>0</v>
      </c>
      <c r="R10487">
        <v>60</v>
      </c>
      <c r="S10487">
        <v>60</v>
      </c>
      <c r="T10487" t="s">
        <v>38946</v>
      </c>
    </row>
    <row r="10488" spans="1:20" customFormat="1" ht="15" x14ac:dyDescent="0.25">
      <c r="A10488" t="s">
        <v>35</v>
      </c>
      <c r="B10488" t="s">
        <v>61</v>
      </c>
      <c r="C10488" t="str">
        <f>"A0133162"</f>
        <v>A0133162</v>
      </c>
      <c r="D10488" t="s">
        <v>38947</v>
      </c>
      <c r="E10488" t="s">
        <v>38948</v>
      </c>
      <c r="F10488" t="s">
        <v>38945</v>
      </c>
      <c r="G10488" t="s">
        <v>52</v>
      </c>
      <c r="H10488">
        <v>751480000</v>
      </c>
      <c r="I10488" t="s">
        <v>30</v>
      </c>
      <c r="J10488" t="s">
        <v>41</v>
      </c>
      <c r="K10488" t="s">
        <v>290</v>
      </c>
      <c r="Q10488">
        <v>0</v>
      </c>
      <c r="R10488">
        <v>1</v>
      </c>
      <c r="S10488">
        <v>1</v>
      </c>
      <c r="T10488" t="s">
        <v>38946</v>
      </c>
    </row>
    <row r="10489" spans="1:20" customFormat="1" ht="15" x14ac:dyDescent="0.25">
      <c r="A10489" t="s">
        <v>35</v>
      </c>
      <c r="B10489" t="s">
        <v>61</v>
      </c>
      <c r="C10489" t="str">
        <f>"A0123660"</f>
        <v>A0123660</v>
      </c>
      <c r="D10489" t="s">
        <v>38949</v>
      </c>
      <c r="E10489" t="s">
        <v>38950</v>
      </c>
      <c r="F10489" t="s">
        <v>32806</v>
      </c>
      <c r="G10489" t="s">
        <v>29</v>
      </c>
      <c r="H10489">
        <v>23322</v>
      </c>
      <c r="I10489" t="s">
        <v>30</v>
      </c>
      <c r="J10489" t="s">
        <v>41</v>
      </c>
      <c r="K10489" t="s">
        <v>482</v>
      </c>
      <c r="Q10489">
        <v>0</v>
      </c>
      <c r="R10489">
        <v>60</v>
      </c>
      <c r="S10489">
        <v>60</v>
      </c>
      <c r="T10489" t="s">
        <v>38951</v>
      </c>
    </row>
    <row r="10490" spans="1:20" customFormat="1" ht="15" x14ac:dyDescent="0.25">
      <c r="A10490" t="s">
        <v>35</v>
      </c>
      <c r="B10490" t="s">
        <v>61</v>
      </c>
      <c r="C10490" t="str">
        <f>"A0125425"</f>
        <v>A0125425</v>
      </c>
      <c r="D10490" t="s">
        <v>38952</v>
      </c>
      <c r="E10490" t="s">
        <v>38953</v>
      </c>
      <c r="F10490" t="s">
        <v>17375</v>
      </c>
      <c r="G10490" t="s">
        <v>40</v>
      </c>
      <c r="H10490">
        <v>74011</v>
      </c>
      <c r="I10490" t="s">
        <v>30</v>
      </c>
      <c r="J10490" t="s">
        <v>41</v>
      </c>
      <c r="K10490" t="s">
        <v>42</v>
      </c>
      <c r="Q10490">
        <v>0</v>
      </c>
      <c r="R10490">
        <v>0</v>
      </c>
      <c r="S10490">
        <v>0</v>
      </c>
      <c r="T10490" t="s">
        <v>38954</v>
      </c>
    </row>
    <row r="10491" spans="1:20" customFormat="1" ht="15" x14ac:dyDescent="0.25">
      <c r="A10491" t="s">
        <v>35</v>
      </c>
      <c r="B10491" t="s">
        <v>61</v>
      </c>
      <c r="C10491" t="str">
        <f>"A0130507"</f>
        <v>A0130507</v>
      </c>
      <c r="D10491" t="s">
        <v>38955</v>
      </c>
      <c r="E10491" t="s">
        <v>38956</v>
      </c>
      <c r="F10491" t="s">
        <v>38957</v>
      </c>
      <c r="G10491" t="s">
        <v>71</v>
      </c>
      <c r="H10491">
        <v>544550000</v>
      </c>
      <c r="I10491" t="s">
        <v>30</v>
      </c>
      <c r="J10491" t="s">
        <v>41</v>
      </c>
      <c r="K10491" t="s">
        <v>59</v>
      </c>
      <c r="Q10491">
        <v>0</v>
      </c>
      <c r="R10491">
        <v>48</v>
      </c>
      <c r="S10491">
        <v>48</v>
      </c>
      <c r="T10491" t="s">
        <v>38958</v>
      </c>
    </row>
    <row r="10492" spans="1:20" customFormat="1" ht="15" x14ac:dyDescent="0.25">
      <c r="A10492" t="s">
        <v>35</v>
      </c>
      <c r="B10492" t="s">
        <v>61</v>
      </c>
      <c r="C10492" t="str">
        <f>"A0130274"</f>
        <v>A0130274</v>
      </c>
      <c r="D10492" t="s">
        <v>38959</v>
      </c>
      <c r="E10492" t="s">
        <v>38960</v>
      </c>
      <c r="F10492" t="s">
        <v>8674</v>
      </c>
      <c r="G10492" t="s">
        <v>1898</v>
      </c>
      <c r="H10492">
        <v>52349</v>
      </c>
      <c r="I10492" t="s">
        <v>30</v>
      </c>
      <c r="J10492" t="s">
        <v>41</v>
      </c>
      <c r="K10492" t="s">
        <v>131</v>
      </c>
      <c r="Q10492">
        <v>0</v>
      </c>
      <c r="R10492">
        <v>44</v>
      </c>
      <c r="S10492">
        <v>44</v>
      </c>
      <c r="T10492" t="s">
        <v>38961</v>
      </c>
    </row>
    <row r="10493" spans="1:20" customFormat="1" ht="15" x14ac:dyDescent="0.25">
      <c r="A10493" t="s">
        <v>35</v>
      </c>
      <c r="B10493" t="s">
        <v>61</v>
      </c>
      <c r="C10493" t="str">
        <f>"A0131713"</f>
        <v>A0131713</v>
      </c>
      <c r="D10493" t="s">
        <v>38962</v>
      </c>
      <c r="E10493" t="s">
        <v>38963</v>
      </c>
      <c r="F10493" t="s">
        <v>7333</v>
      </c>
      <c r="G10493" t="s">
        <v>65</v>
      </c>
      <c r="H10493">
        <v>45040</v>
      </c>
      <c r="I10493" t="s">
        <v>30</v>
      </c>
      <c r="J10493" t="s">
        <v>41</v>
      </c>
      <c r="K10493" t="s">
        <v>229</v>
      </c>
      <c r="Q10493">
        <v>0</v>
      </c>
      <c r="R10493">
        <v>282</v>
      </c>
      <c r="S10493">
        <v>282</v>
      </c>
      <c r="T10493" t="s">
        <v>38964</v>
      </c>
    </row>
    <row r="10494" spans="1:20" customFormat="1" ht="15" x14ac:dyDescent="0.25">
      <c r="A10494" t="s">
        <v>35</v>
      </c>
      <c r="B10494" t="s">
        <v>61</v>
      </c>
      <c r="C10494" t="str">
        <f>"A0128100"</f>
        <v>A0128100</v>
      </c>
      <c r="D10494" t="s">
        <v>38965</v>
      </c>
      <c r="E10494" t="s">
        <v>38966</v>
      </c>
      <c r="F10494" t="s">
        <v>15848</v>
      </c>
      <c r="G10494" t="s">
        <v>117</v>
      </c>
      <c r="H10494">
        <v>48111</v>
      </c>
      <c r="I10494" t="s">
        <v>30</v>
      </c>
      <c r="J10494" t="s">
        <v>41</v>
      </c>
      <c r="K10494" t="s">
        <v>59</v>
      </c>
      <c r="Q10494">
        <v>0</v>
      </c>
      <c r="R10494">
        <v>209</v>
      </c>
      <c r="S10494">
        <v>209</v>
      </c>
      <c r="T10494" t="s">
        <v>38967</v>
      </c>
    </row>
    <row r="10495" spans="1:20" customFormat="1" ht="15" x14ac:dyDescent="0.25">
      <c r="A10495" t="s">
        <v>35</v>
      </c>
      <c r="B10495" t="s">
        <v>61</v>
      </c>
      <c r="C10495" t="str">
        <f>"A0123661"</f>
        <v>A0123661</v>
      </c>
      <c r="D10495" t="s">
        <v>38968</v>
      </c>
      <c r="E10495" t="s">
        <v>38969</v>
      </c>
      <c r="F10495" t="s">
        <v>2581</v>
      </c>
      <c r="G10495" t="s">
        <v>214</v>
      </c>
      <c r="H10495" t="s">
        <v>38970</v>
      </c>
      <c r="I10495" t="s">
        <v>30</v>
      </c>
      <c r="J10495" t="s">
        <v>41</v>
      </c>
      <c r="K10495" t="s">
        <v>59</v>
      </c>
      <c r="Q10495">
        <v>0</v>
      </c>
      <c r="R10495">
        <v>1</v>
      </c>
      <c r="S10495">
        <v>1</v>
      </c>
      <c r="T10495" t="s">
        <v>38971</v>
      </c>
    </row>
    <row r="10496" spans="1:20" customFormat="1" ht="15" x14ac:dyDescent="0.25">
      <c r="A10496" t="s">
        <v>35</v>
      </c>
      <c r="B10496" t="s">
        <v>61</v>
      </c>
      <c r="C10496" t="str">
        <f>"A0124177"</f>
        <v>A0124177</v>
      </c>
      <c r="D10496" t="s">
        <v>38972</v>
      </c>
      <c r="E10496" t="s">
        <v>38973</v>
      </c>
      <c r="F10496" t="s">
        <v>1795</v>
      </c>
      <c r="G10496" t="s">
        <v>29</v>
      </c>
      <c r="H10496">
        <v>23233</v>
      </c>
      <c r="I10496" t="s">
        <v>30</v>
      </c>
      <c r="J10496" t="s">
        <v>41</v>
      </c>
      <c r="K10496" t="s">
        <v>59</v>
      </c>
      <c r="Q10496">
        <v>0</v>
      </c>
      <c r="R10496">
        <v>436</v>
      </c>
      <c r="S10496">
        <v>436</v>
      </c>
      <c r="T10496" t="s">
        <v>38974</v>
      </c>
    </row>
    <row r="10497" spans="1:20" customFormat="1" ht="15" x14ac:dyDescent="0.25">
      <c r="A10497" t="s">
        <v>35</v>
      </c>
      <c r="B10497" t="s">
        <v>61</v>
      </c>
      <c r="C10497" t="str">
        <f>"A0123662"</f>
        <v>A0123662</v>
      </c>
      <c r="D10497" t="s">
        <v>38975</v>
      </c>
      <c r="E10497" t="s">
        <v>38976</v>
      </c>
      <c r="F10497" t="s">
        <v>20330</v>
      </c>
      <c r="G10497" t="s">
        <v>29</v>
      </c>
      <c r="H10497">
        <v>229034809</v>
      </c>
      <c r="I10497" t="s">
        <v>30</v>
      </c>
      <c r="J10497" t="s">
        <v>41</v>
      </c>
      <c r="K10497" t="s">
        <v>229</v>
      </c>
      <c r="Q10497">
        <v>0</v>
      </c>
      <c r="R10497">
        <v>143</v>
      </c>
      <c r="S10497">
        <v>143</v>
      </c>
      <c r="T10497" t="s">
        <v>38977</v>
      </c>
    </row>
    <row r="10498" spans="1:20" customFormat="1" ht="15" x14ac:dyDescent="0.25">
      <c r="A10498" t="s">
        <v>35</v>
      </c>
      <c r="B10498" t="s">
        <v>61</v>
      </c>
      <c r="C10498" t="str">
        <f>"A0129955"</f>
        <v>A0129955</v>
      </c>
      <c r="D10498" t="s">
        <v>38975</v>
      </c>
      <c r="E10498" t="s">
        <v>38978</v>
      </c>
      <c r="F10498" t="s">
        <v>38979</v>
      </c>
      <c r="G10498" t="s">
        <v>880</v>
      </c>
      <c r="H10498">
        <v>37087</v>
      </c>
      <c r="I10498" t="s">
        <v>30</v>
      </c>
      <c r="J10498" t="s">
        <v>41</v>
      </c>
      <c r="K10498" t="s">
        <v>229</v>
      </c>
      <c r="Q10498">
        <v>0</v>
      </c>
      <c r="R10498">
        <v>100</v>
      </c>
      <c r="S10498">
        <v>100</v>
      </c>
      <c r="T10498" t="s">
        <v>38980</v>
      </c>
    </row>
    <row r="10499" spans="1:20" customFormat="1" ht="15" x14ac:dyDescent="0.25">
      <c r="A10499" t="s">
        <v>35</v>
      </c>
      <c r="B10499" t="s">
        <v>61</v>
      </c>
      <c r="C10499" t="str">
        <f>"A0128541"</f>
        <v>A0128541</v>
      </c>
      <c r="D10499" t="s">
        <v>38981</v>
      </c>
      <c r="E10499" t="s">
        <v>38982</v>
      </c>
      <c r="F10499" t="s">
        <v>4746</v>
      </c>
      <c r="G10499" t="s">
        <v>840</v>
      </c>
      <c r="H10499">
        <v>40033</v>
      </c>
      <c r="I10499" t="s">
        <v>30</v>
      </c>
      <c r="J10499" t="s">
        <v>41</v>
      </c>
      <c r="K10499" t="s">
        <v>229</v>
      </c>
      <c r="Q10499">
        <v>0</v>
      </c>
      <c r="R10499">
        <v>90</v>
      </c>
      <c r="S10499">
        <v>90</v>
      </c>
      <c r="T10499" t="s">
        <v>38983</v>
      </c>
    </row>
    <row r="10500" spans="1:20" customFormat="1" ht="15" x14ac:dyDescent="0.25">
      <c r="A10500" t="s">
        <v>35</v>
      </c>
      <c r="B10500" t="s">
        <v>61</v>
      </c>
      <c r="C10500" t="str">
        <f>"A0131187"</f>
        <v>A0131187</v>
      </c>
      <c r="D10500" t="s">
        <v>38984</v>
      </c>
      <c r="E10500" t="s">
        <v>38985</v>
      </c>
      <c r="F10500" t="s">
        <v>38986</v>
      </c>
      <c r="G10500" t="s">
        <v>85</v>
      </c>
      <c r="H10500">
        <v>729320000</v>
      </c>
      <c r="I10500" t="s">
        <v>30</v>
      </c>
      <c r="J10500" t="s">
        <v>41</v>
      </c>
      <c r="K10500" t="s">
        <v>2760</v>
      </c>
      <c r="Q10500">
        <v>0</v>
      </c>
      <c r="R10500">
        <v>1</v>
      </c>
      <c r="S10500">
        <v>1</v>
      </c>
      <c r="T10500" t="s">
        <v>38987</v>
      </c>
    </row>
    <row r="10501" spans="1:20" customFormat="1" ht="15" x14ac:dyDescent="0.25">
      <c r="A10501" t="s">
        <v>35</v>
      </c>
      <c r="B10501" t="s">
        <v>437</v>
      </c>
      <c r="C10501" t="str">
        <f>"A0133943"</f>
        <v>A0133943</v>
      </c>
      <c r="D10501" t="s">
        <v>38988</v>
      </c>
      <c r="E10501" t="s">
        <v>38989</v>
      </c>
      <c r="F10501" t="s">
        <v>25524</v>
      </c>
      <c r="G10501" t="s">
        <v>190</v>
      </c>
      <c r="H10501">
        <v>80301</v>
      </c>
      <c r="I10501" t="s">
        <v>30</v>
      </c>
      <c r="J10501" t="s">
        <v>441</v>
      </c>
      <c r="K10501" t="s">
        <v>42</v>
      </c>
      <c r="Q10501">
        <v>0</v>
      </c>
      <c r="R10501">
        <v>0</v>
      </c>
      <c r="S10501">
        <v>0</v>
      </c>
      <c r="T10501" t="s">
        <v>38990</v>
      </c>
    </row>
    <row r="10502" spans="1:20" customFormat="1" ht="15" x14ac:dyDescent="0.25">
      <c r="A10502" t="s">
        <v>35</v>
      </c>
      <c r="B10502" t="s">
        <v>61</v>
      </c>
      <c r="C10502" t="str">
        <f>"A0127079"</f>
        <v>A0127079</v>
      </c>
      <c r="D10502" t="s">
        <v>38991</v>
      </c>
      <c r="E10502" t="s">
        <v>38992</v>
      </c>
      <c r="F10502" t="s">
        <v>1948</v>
      </c>
      <c r="G10502" t="s">
        <v>338</v>
      </c>
      <c r="H10502">
        <v>8701</v>
      </c>
      <c r="I10502" t="s">
        <v>30</v>
      </c>
      <c r="J10502" t="s">
        <v>41</v>
      </c>
      <c r="K10502" t="s">
        <v>229</v>
      </c>
      <c r="Q10502">
        <v>0</v>
      </c>
      <c r="R10502">
        <v>180</v>
      </c>
      <c r="S10502">
        <v>180</v>
      </c>
      <c r="T10502" t="s">
        <v>38993</v>
      </c>
    </row>
    <row r="10503" spans="1:20" customFormat="1" ht="15" x14ac:dyDescent="0.25">
      <c r="A10503" t="s">
        <v>35</v>
      </c>
      <c r="B10503" t="s">
        <v>61</v>
      </c>
      <c r="C10503" t="str">
        <f>"A0121297"</f>
        <v>A0121297</v>
      </c>
      <c r="D10503" t="s">
        <v>38994</v>
      </c>
      <c r="E10503" t="s">
        <v>38995</v>
      </c>
      <c r="F10503" t="s">
        <v>12384</v>
      </c>
      <c r="G10503" t="s">
        <v>190</v>
      </c>
      <c r="H10503">
        <v>80907</v>
      </c>
      <c r="I10503" t="s">
        <v>30</v>
      </c>
      <c r="J10503" t="s">
        <v>41</v>
      </c>
      <c r="K10503" t="s">
        <v>229</v>
      </c>
      <c r="Q10503">
        <v>0</v>
      </c>
      <c r="R10503">
        <v>80</v>
      </c>
      <c r="S10503">
        <v>80</v>
      </c>
      <c r="T10503" t="s">
        <v>38996</v>
      </c>
    </row>
    <row r="10504" spans="1:20" customFormat="1" ht="15" x14ac:dyDescent="0.25">
      <c r="A10504" t="s">
        <v>35</v>
      </c>
      <c r="B10504" t="s">
        <v>61</v>
      </c>
      <c r="C10504" t="str">
        <f>"A0121298"</f>
        <v>A0121298</v>
      </c>
      <c r="D10504" t="s">
        <v>38997</v>
      </c>
      <c r="E10504" t="s">
        <v>38998</v>
      </c>
      <c r="F10504" t="s">
        <v>32365</v>
      </c>
      <c r="G10504" t="s">
        <v>190</v>
      </c>
      <c r="H10504">
        <v>80134</v>
      </c>
      <c r="I10504" t="s">
        <v>30</v>
      </c>
      <c r="J10504" t="s">
        <v>41</v>
      </c>
      <c r="K10504" t="s">
        <v>229</v>
      </c>
      <c r="Q10504">
        <v>0</v>
      </c>
      <c r="R10504">
        <v>96</v>
      </c>
      <c r="S10504">
        <v>96</v>
      </c>
      <c r="T10504" t="s">
        <v>38999</v>
      </c>
    </row>
    <row r="10505" spans="1:20" customFormat="1" ht="15" x14ac:dyDescent="0.25">
      <c r="A10505" t="s">
        <v>35</v>
      </c>
      <c r="B10505" t="s">
        <v>61</v>
      </c>
      <c r="C10505" t="str">
        <f>"A0132927"</f>
        <v>A0132927</v>
      </c>
      <c r="D10505" t="s">
        <v>39000</v>
      </c>
      <c r="E10505" t="s">
        <v>39001</v>
      </c>
      <c r="F10505" t="s">
        <v>3661</v>
      </c>
      <c r="G10505" t="s">
        <v>65</v>
      </c>
      <c r="H10505">
        <v>45214</v>
      </c>
      <c r="I10505" t="s">
        <v>30</v>
      </c>
      <c r="J10505" t="s">
        <v>41</v>
      </c>
      <c r="K10505" t="s">
        <v>461</v>
      </c>
      <c r="Q10505">
        <v>0</v>
      </c>
      <c r="R10505">
        <v>65</v>
      </c>
      <c r="S10505">
        <v>65</v>
      </c>
      <c r="T10505" t="s">
        <v>39002</v>
      </c>
    </row>
    <row r="10506" spans="1:20" customFormat="1" ht="15" x14ac:dyDescent="0.25">
      <c r="A10506" t="s">
        <v>35</v>
      </c>
      <c r="B10506" t="s">
        <v>61</v>
      </c>
      <c r="C10506" t="str">
        <f>"A0121359"</f>
        <v>A0121359</v>
      </c>
      <c r="D10506" t="s">
        <v>39003</v>
      </c>
      <c r="E10506" t="s">
        <v>39004</v>
      </c>
      <c r="F10506" t="s">
        <v>16848</v>
      </c>
      <c r="G10506" t="s">
        <v>1587</v>
      </c>
      <c r="H10506">
        <v>87194</v>
      </c>
      <c r="I10506" t="s">
        <v>30</v>
      </c>
      <c r="J10506" t="s">
        <v>41</v>
      </c>
      <c r="K10506" t="s">
        <v>59</v>
      </c>
      <c r="Q10506">
        <v>0</v>
      </c>
      <c r="R10506">
        <v>45</v>
      </c>
      <c r="S10506">
        <v>45</v>
      </c>
      <c r="T10506" t="s">
        <v>39005</v>
      </c>
    </row>
    <row r="10507" spans="1:20" customFormat="1" ht="15" x14ac:dyDescent="0.25">
      <c r="A10507" t="s">
        <v>35</v>
      </c>
      <c r="B10507" t="s">
        <v>61</v>
      </c>
      <c r="C10507" t="str">
        <f>"A0150696"</f>
        <v>A0150696</v>
      </c>
      <c r="D10507" t="s">
        <v>39006</v>
      </c>
      <c r="E10507" t="s">
        <v>39007</v>
      </c>
      <c r="F10507" t="s">
        <v>30517</v>
      </c>
      <c r="G10507" t="s">
        <v>40</v>
      </c>
      <c r="H10507">
        <v>73762</v>
      </c>
      <c r="I10507" t="s">
        <v>30</v>
      </c>
      <c r="J10507" t="s">
        <v>41</v>
      </c>
      <c r="K10507" t="s">
        <v>131</v>
      </c>
      <c r="Q10507">
        <v>0</v>
      </c>
      <c r="R10507">
        <v>80</v>
      </c>
      <c r="S10507">
        <v>80</v>
      </c>
      <c r="T10507" t="s">
        <v>39008</v>
      </c>
    </row>
    <row r="10508" spans="1:20" customFormat="1" ht="15" x14ac:dyDescent="0.25">
      <c r="A10508" t="s">
        <v>35</v>
      </c>
      <c r="B10508" t="s">
        <v>61</v>
      </c>
      <c r="C10508" t="str">
        <f>"A0124026"</f>
        <v>A0124026</v>
      </c>
      <c r="D10508" t="s">
        <v>39009</v>
      </c>
      <c r="E10508" t="s">
        <v>39010</v>
      </c>
      <c r="F10508" t="s">
        <v>39011</v>
      </c>
      <c r="G10508" t="s">
        <v>880</v>
      </c>
      <c r="H10508">
        <v>34650</v>
      </c>
      <c r="I10508" t="s">
        <v>30</v>
      </c>
      <c r="J10508" t="s">
        <v>41</v>
      </c>
      <c r="K10508" t="s">
        <v>482</v>
      </c>
      <c r="Q10508">
        <v>0</v>
      </c>
      <c r="R10508">
        <v>120</v>
      </c>
      <c r="S10508">
        <v>120</v>
      </c>
      <c r="T10508" t="s">
        <v>39012</v>
      </c>
    </row>
    <row r="10509" spans="1:20" customFormat="1" ht="15" x14ac:dyDescent="0.25">
      <c r="A10509" t="s">
        <v>35</v>
      </c>
      <c r="B10509" t="s">
        <v>61</v>
      </c>
      <c r="C10509" t="str">
        <f>"A0124131"</f>
        <v>A0124131</v>
      </c>
      <c r="D10509" t="s">
        <v>39013</v>
      </c>
      <c r="E10509" t="s">
        <v>39014</v>
      </c>
      <c r="F10509" t="s">
        <v>19198</v>
      </c>
      <c r="G10509" t="s">
        <v>103</v>
      </c>
      <c r="H10509">
        <v>18901</v>
      </c>
      <c r="I10509" t="s">
        <v>30</v>
      </c>
      <c r="J10509" t="s">
        <v>41</v>
      </c>
      <c r="K10509" t="s">
        <v>59</v>
      </c>
      <c r="Q10509">
        <v>0</v>
      </c>
      <c r="R10509">
        <v>100</v>
      </c>
      <c r="S10509">
        <v>100</v>
      </c>
      <c r="T10509" t="s">
        <v>39015</v>
      </c>
    </row>
    <row r="10510" spans="1:20" customFormat="1" ht="15" x14ac:dyDescent="0.25">
      <c r="A10510" t="s">
        <v>35</v>
      </c>
      <c r="B10510" t="s">
        <v>61</v>
      </c>
      <c r="C10510" t="str">
        <f>"A0131602"</f>
        <v>A0131602</v>
      </c>
      <c r="D10510" t="s">
        <v>39016</v>
      </c>
      <c r="E10510" t="s">
        <v>39017</v>
      </c>
      <c r="F10510" t="s">
        <v>1795</v>
      </c>
      <c r="G10510" t="s">
        <v>381</v>
      </c>
      <c r="H10510">
        <v>47374</v>
      </c>
      <c r="I10510" t="s">
        <v>30</v>
      </c>
      <c r="J10510" t="s">
        <v>41</v>
      </c>
      <c r="K10510" t="s">
        <v>461</v>
      </c>
      <c r="Q10510">
        <v>0</v>
      </c>
      <c r="R10510">
        <v>0</v>
      </c>
      <c r="S10510">
        <v>0</v>
      </c>
      <c r="T10510" t="s">
        <v>39018</v>
      </c>
    </row>
    <row r="10511" spans="1:20" customFormat="1" ht="15" x14ac:dyDescent="0.25">
      <c r="A10511" t="s">
        <v>35</v>
      </c>
      <c r="B10511" t="s">
        <v>61</v>
      </c>
      <c r="C10511" t="str">
        <f>"A0131601"</f>
        <v>A0131601</v>
      </c>
      <c r="D10511" t="s">
        <v>39019</v>
      </c>
      <c r="E10511" t="s">
        <v>39020</v>
      </c>
      <c r="F10511" t="s">
        <v>1689</v>
      </c>
      <c r="G10511" t="s">
        <v>381</v>
      </c>
      <c r="H10511">
        <v>47138</v>
      </c>
      <c r="I10511" t="s">
        <v>30</v>
      </c>
      <c r="J10511" t="s">
        <v>41</v>
      </c>
      <c r="K10511" t="s">
        <v>461</v>
      </c>
      <c r="Q10511">
        <v>0</v>
      </c>
      <c r="R10511">
        <v>0</v>
      </c>
      <c r="S10511">
        <v>0</v>
      </c>
      <c r="T10511" t="s">
        <v>39021</v>
      </c>
    </row>
    <row r="10512" spans="1:20" customFormat="1" ht="15" x14ac:dyDescent="0.25">
      <c r="A10512" t="s">
        <v>35</v>
      </c>
      <c r="B10512" t="s">
        <v>61</v>
      </c>
      <c r="C10512" t="str">
        <f>"A0119274"</f>
        <v>A0119274</v>
      </c>
      <c r="D10512" t="s">
        <v>39022</v>
      </c>
      <c r="E10512" t="s">
        <v>39023</v>
      </c>
      <c r="F10512" t="s">
        <v>39024</v>
      </c>
      <c r="G10512" t="s">
        <v>110</v>
      </c>
      <c r="H10512">
        <v>93610</v>
      </c>
      <c r="I10512" t="s">
        <v>30</v>
      </c>
      <c r="J10512" t="s">
        <v>41</v>
      </c>
      <c r="K10512" t="s">
        <v>461</v>
      </c>
      <c r="Q10512">
        <v>0</v>
      </c>
      <c r="R10512">
        <v>0</v>
      </c>
      <c r="S10512">
        <v>0</v>
      </c>
      <c r="T10512" t="s">
        <v>39025</v>
      </c>
    </row>
    <row r="10513" spans="1:20" customFormat="1" ht="15" x14ac:dyDescent="0.25">
      <c r="A10513" t="s">
        <v>35</v>
      </c>
      <c r="B10513" t="s">
        <v>61</v>
      </c>
      <c r="C10513" t="str">
        <f>"A0132118"</f>
        <v>A0132118</v>
      </c>
      <c r="D10513" t="s">
        <v>39026</v>
      </c>
      <c r="E10513" t="s">
        <v>39027</v>
      </c>
      <c r="F10513" t="s">
        <v>39028</v>
      </c>
      <c r="G10513" t="s">
        <v>65</v>
      </c>
      <c r="H10513">
        <v>45044</v>
      </c>
      <c r="I10513" t="s">
        <v>30</v>
      </c>
      <c r="J10513" t="s">
        <v>41</v>
      </c>
      <c r="K10513" t="s">
        <v>2760</v>
      </c>
      <c r="Q10513">
        <v>0</v>
      </c>
      <c r="R10513">
        <v>0</v>
      </c>
      <c r="S10513">
        <v>0</v>
      </c>
      <c r="T10513" t="s">
        <v>39029</v>
      </c>
    </row>
    <row r="10514" spans="1:20" customFormat="1" ht="15" x14ac:dyDescent="0.25">
      <c r="A10514" t="s">
        <v>35</v>
      </c>
      <c r="B10514" t="s">
        <v>61</v>
      </c>
      <c r="C10514" t="str">
        <f>"A0124831"</f>
        <v>A0124831</v>
      </c>
      <c r="D10514" t="s">
        <v>39030</v>
      </c>
      <c r="E10514" t="s">
        <v>39031</v>
      </c>
      <c r="F10514" t="s">
        <v>39032</v>
      </c>
      <c r="G10514" t="s">
        <v>214</v>
      </c>
      <c r="H10514">
        <v>27030</v>
      </c>
      <c r="I10514" t="s">
        <v>30</v>
      </c>
      <c r="J10514" t="s">
        <v>41</v>
      </c>
      <c r="K10514" t="s">
        <v>229</v>
      </c>
      <c r="Q10514">
        <v>0</v>
      </c>
      <c r="R10514">
        <v>120</v>
      </c>
      <c r="S10514">
        <v>120</v>
      </c>
      <c r="T10514" t="s">
        <v>39033</v>
      </c>
    </row>
    <row r="10515" spans="1:20" customFormat="1" ht="15" x14ac:dyDescent="0.25">
      <c r="A10515" t="s">
        <v>35</v>
      </c>
      <c r="B10515" t="s">
        <v>61</v>
      </c>
      <c r="C10515" t="str">
        <f>"A0131478"</f>
        <v>A0131478</v>
      </c>
      <c r="D10515" t="s">
        <v>39034</v>
      </c>
      <c r="E10515" t="s">
        <v>39035</v>
      </c>
      <c r="F10515" t="s">
        <v>17360</v>
      </c>
      <c r="G10515" t="s">
        <v>137</v>
      </c>
      <c r="H10515">
        <v>638410000</v>
      </c>
      <c r="I10515" t="s">
        <v>30</v>
      </c>
      <c r="J10515" t="s">
        <v>41</v>
      </c>
      <c r="K10515" t="s">
        <v>229</v>
      </c>
      <c r="Q10515">
        <v>0</v>
      </c>
      <c r="R10515">
        <v>30</v>
      </c>
      <c r="S10515">
        <v>30</v>
      </c>
      <c r="T10515" t="s">
        <v>39036</v>
      </c>
    </row>
    <row r="10516" spans="1:20" customFormat="1" ht="15" x14ac:dyDescent="0.25">
      <c r="A10516" t="s">
        <v>35</v>
      </c>
      <c r="B10516" t="s">
        <v>106</v>
      </c>
      <c r="C10516" t="str">
        <f>"A0136424"</f>
        <v>A0136424</v>
      </c>
      <c r="D10516" t="s">
        <v>39037</v>
      </c>
      <c r="E10516" t="s">
        <v>39038</v>
      </c>
      <c r="F10516" t="s">
        <v>20184</v>
      </c>
      <c r="G10516" t="s">
        <v>161</v>
      </c>
      <c r="H10516">
        <v>56401</v>
      </c>
      <c r="I10516" t="s">
        <v>30</v>
      </c>
      <c r="J10516" t="s">
        <v>111</v>
      </c>
      <c r="K10516" t="s">
        <v>112</v>
      </c>
      <c r="Q10516">
        <v>0</v>
      </c>
      <c r="R10516">
        <v>0</v>
      </c>
      <c r="S10516">
        <v>0</v>
      </c>
      <c r="T10516" t="s">
        <v>39039</v>
      </c>
    </row>
    <row r="10517" spans="1:20" customFormat="1" ht="15" x14ac:dyDescent="0.25">
      <c r="A10517" t="s">
        <v>35</v>
      </c>
      <c r="B10517" t="s">
        <v>61</v>
      </c>
      <c r="C10517" t="str">
        <f>"A0121426"</f>
        <v>A0121426</v>
      </c>
      <c r="D10517" t="s">
        <v>39040</v>
      </c>
      <c r="E10517" t="s">
        <v>39041</v>
      </c>
      <c r="F10517" t="s">
        <v>39042</v>
      </c>
      <c r="G10517" t="s">
        <v>110</v>
      </c>
      <c r="H10517">
        <v>95367</v>
      </c>
      <c r="I10517" t="s">
        <v>30</v>
      </c>
      <c r="J10517" t="s">
        <v>41</v>
      </c>
      <c r="K10517" t="s">
        <v>229</v>
      </c>
      <c r="Q10517">
        <v>0</v>
      </c>
      <c r="R10517">
        <v>99</v>
      </c>
      <c r="S10517">
        <v>99</v>
      </c>
      <c r="T10517" t="s">
        <v>39043</v>
      </c>
    </row>
    <row r="10518" spans="1:20" customFormat="1" ht="15" x14ac:dyDescent="0.25">
      <c r="A10518" t="s">
        <v>35</v>
      </c>
      <c r="B10518" t="s">
        <v>61</v>
      </c>
      <c r="C10518" t="str">
        <f>"A0125558"</f>
        <v>A0125558</v>
      </c>
      <c r="D10518" t="s">
        <v>39044</v>
      </c>
      <c r="E10518" t="s">
        <v>39045</v>
      </c>
      <c r="F10518" t="s">
        <v>10867</v>
      </c>
      <c r="G10518" t="s">
        <v>110</v>
      </c>
      <c r="H10518">
        <v>95354</v>
      </c>
      <c r="I10518" t="s">
        <v>30</v>
      </c>
      <c r="J10518" t="s">
        <v>41</v>
      </c>
      <c r="K10518" t="s">
        <v>3713</v>
      </c>
      <c r="Q10518">
        <v>0</v>
      </c>
      <c r="R10518">
        <v>100</v>
      </c>
      <c r="S10518">
        <v>100</v>
      </c>
      <c r="T10518" t="s">
        <v>39046</v>
      </c>
    </row>
    <row r="10519" spans="1:20" customFormat="1" ht="15" x14ac:dyDescent="0.25">
      <c r="A10519" t="s">
        <v>35</v>
      </c>
      <c r="B10519" t="s">
        <v>61</v>
      </c>
      <c r="C10519" t="str">
        <f>"A0132886"</f>
        <v>A0132886</v>
      </c>
      <c r="D10519" t="s">
        <v>39047</v>
      </c>
      <c r="E10519" t="s">
        <v>39048</v>
      </c>
      <c r="F10519" t="s">
        <v>38797</v>
      </c>
      <c r="G10519" t="s">
        <v>65</v>
      </c>
      <c r="H10519">
        <v>44615</v>
      </c>
      <c r="I10519" t="s">
        <v>30</v>
      </c>
      <c r="J10519" t="s">
        <v>41</v>
      </c>
      <c r="K10519" t="s">
        <v>59</v>
      </c>
      <c r="Q10519">
        <v>0</v>
      </c>
      <c r="R10519">
        <v>54</v>
      </c>
      <c r="S10519">
        <v>54</v>
      </c>
      <c r="T10519" t="s">
        <v>39049</v>
      </c>
    </row>
    <row r="10520" spans="1:20" customFormat="1" ht="15" x14ac:dyDescent="0.25">
      <c r="A10520" t="s">
        <v>35</v>
      </c>
      <c r="B10520" t="s">
        <v>61</v>
      </c>
      <c r="C10520" t="str">
        <f>"A0131145"</f>
        <v>A0131145</v>
      </c>
      <c r="D10520" t="s">
        <v>39050</v>
      </c>
      <c r="E10520" t="s">
        <v>39051</v>
      </c>
      <c r="F10520" t="s">
        <v>959</v>
      </c>
      <c r="G10520" t="s">
        <v>137</v>
      </c>
      <c r="H10520">
        <v>657210000</v>
      </c>
      <c r="I10520" t="s">
        <v>30</v>
      </c>
      <c r="J10520" t="s">
        <v>41</v>
      </c>
      <c r="K10520" t="s">
        <v>229</v>
      </c>
      <c r="Q10520">
        <v>0</v>
      </c>
      <c r="R10520">
        <v>70</v>
      </c>
      <c r="S10520">
        <v>70</v>
      </c>
      <c r="T10520" t="s">
        <v>39052</v>
      </c>
    </row>
    <row r="10521" spans="1:20" customFormat="1" ht="15" x14ac:dyDescent="0.25">
      <c r="A10521" t="s">
        <v>35</v>
      </c>
      <c r="B10521" t="s">
        <v>61</v>
      </c>
      <c r="C10521" t="str">
        <f>"A0118721"</f>
        <v>A0118721</v>
      </c>
      <c r="D10521" t="s">
        <v>39053</v>
      </c>
      <c r="E10521" t="s">
        <v>39054</v>
      </c>
      <c r="F10521" t="s">
        <v>39055</v>
      </c>
      <c r="G10521" t="s">
        <v>110</v>
      </c>
      <c r="H10521">
        <v>95307</v>
      </c>
      <c r="I10521" t="s">
        <v>30</v>
      </c>
      <c r="J10521" t="s">
        <v>41</v>
      </c>
      <c r="K10521" t="s">
        <v>59</v>
      </c>
      <c r="Q10521">
        <v>0</v>
      </c>
      <c r="R10521">
        <v>67</v>
      </c>
      <c r="S10521">
        <v>67</v>
      </c>
      <c r="T10521" t="s">
        <v>39056</v>
      </c>
    </row>
    <row r="10522" spans="1:20" customFormat="1" ht="15" x14ac:dyDescent="0.25">
      <c r="A10522" t="s">
        <v>35</v>
      </c>
      <c r="B10522" t="s">
        <v>61</v>
      </c>
      <c r="C10522" t="str">
        <f>"A0123663"</f>
        <v>A0123663</v>
      </c>
      <c r="D10522" t="s">
        <v>39057</v>
      </c>
      <c r="E10522" t="s">
        <v>39058</v>
      </c>
      <c r="F10522" t="s">
        <v>5217</v>
      </c>
      <c r="G10522" t="s">
        <v>52</v>
      </c>
      <c r="H10522">
        <v>75707</v>
      </c>
      <c r="I10522" t="s">
        <v>30</v>
      </c>
      <c r="J10522" t="s">
        <v>41</v>
      </c>
      <c r="K10522" t="s">
        <v>2477</v>
      </c>
      <c r="Q10522">
        <v>0</v>
      </c>
      <c r="R10522">
        <v>0</v>
      </c>
      <c r="S10522">
        <v>0</v>
      </c>
    </row>
    <row r="10523" spans="1:20" customFormat="1" ht="15" x14ac:dyDescent="0.25">
      <c r="A10523" t="s">
        <v>35</v>
      </c>
      <c r="B10523" t="s">
        <v>437</v>
      </c>
      <c r="C10523" t="str">
        <f>"A0133865"</f>
        <v>A0133865</v>
      </c>
      <c r="D10523" t="s">
        <v>39059</v>
      </c>
      <c r="E10523" t="s">
        <v>39060</v>
      </c>
      <c r="F10523" t="s">
        <v>4599</v>
      </c>
      <c r="G10523" t="s">
        <v>110</v>
      </c>
      <c r="H10523">
        <v>94538</v>
      </c>
      <c r="I10523" t="s">
        <v>30</v>
      </c>
      <c r="J10523" t="s">
        <v>441</v>
      </c>
      <c r="K10523" t="s">
        <v>442</v>
      </c>
      <c r="Q10523">
        <v>0</v>
      </c>
      <c r="R10523">
        <v>0</v>
      </c>
      <c r="S10523">
        <v>0</v>
      </c>
      <c r="T10523" t="s">
        <v>39061</v>
      </c>
    </row>
    <row r="10524" spans="1:20" customFormat="1" ht="15" x14ac:dyDescent="0.25">
      <c r="A10524" t="s">
        <v>35</v>
      </c>
      <c r="B10524" t="s">
        <v>437</v>
      </c>
      <c r="C10524" t="str">
        <f>"A0133866"</f>
        <v>A0133866</v>
      </c>
      <c r="D10524" t="s">
        <v>39062</v>
      </c>
      <c r="E10524" t="s">
        <v>39063</v>
      </c>
      <c r="F10524" t="s">
        <v>24934</v>
      </c>
      <c r="G10524" t="s">
        <v>110</v>
      </c>
      <c r="H10524">
        <v>94087</v>
      </c>
      <c r="I10524" t="s">
        <v>30</v>
      </c>
      <c r="J10524" t="s">
        <v>441</v>
      </c>
      <c r="K10524" t="s">
        <v>442</v>
      </c>
      <c r="Q10524">
        <v>0</v>
      </c>
      <c r="R10524">
        <v>0</v>
      </c>
      <c r="S10524">
        <v>0</v>
      </c>
      <c r="T10524" t="s">
        <v>39064</v>
      </c>
    </row>
    <row r="10525" spans="1:20" customFormat="1" ht="15" x14ac:dyDescent="0.25">
      <c r="A10525" t="s">
        <v>35</v>
      </c>
      <c r="B10525" t="s">
        <v>61</v>
      </c>
      <c r="C10525" t="str">
        <f>"A0127830"</f>
        <v>A0127830</v>
      </c>
      <c r="D10525" t="s">
        <v>39065</v>
      </c>
      <c r="E10525" t="s">
        <v>39066</v>
      </c>
      <c r="F10525" t="s">
        <v>5506</v>
      </c>
      <c r="G10525" t="s">
        <v>117</v>
      </c>
      <c r="H10525">
        <v>49120</v>
      </c>
      <c r="I10525" t="s">
        <v>30</v>
      </c>
      <c r="J10525" t="s">
        <v>41</v>
      </c>
      <c r="K10525" t="s">
        <v>229</v>
      </c>
      <c r="Q10525">
        <v>0</v>
      </c>
      <c r="R10525">
        <v>100</v>
      </c>
      <c r="S10525">
        <v>100</v>
      </c>
      <c r="T10525" t="s">
        <v>39067</v>
      </c>
    </row>
    <row r="10526" spans="1:20" customFormat="1" ht="15" x14ac:dyDescent="0.25">
      <c r="A10526" t="s">
        <v>35</v>
      </c>
      <c r="B10526" t="s">
        <v>61</v>
      </c>
      <c r="C10526" t="str">
        <f>"A0123208"</f>
        <v>A0123208</v>
      </c>
      <c r="D10526" t="s">
        <v>39068</v>
      </c>
      <c r="E10526" t="s">
        <v>39069</v>
      </c>
      <c r="F10526" t="s">
        <v>7257</v>
      </c>
      <c r="G10526" t="s">
        <v>29</v>
      </c>
      <c r="H10526" t="s">
        <v>39070</v>
      </c>
      <c r="I10526" t="s">
        <v>30</v>
      </c>
      <c r="J10526" t="s">
        <v>41</v>
      </c>
      <c r="K10526" t="s">
        <v>482</v>
      </c>
      <c r="Q10526">
        <v>0</v>
      </c>
      <c r="R10526">
        <v>54</v>
      </c>
      <c r="S10526">
        <v>54</v>
      </c>
      <c r="T10526" t="s">
        <v>39071</v>
      </c>
    </row>
    <row r="10527" spans="1:20" customFormat="1" ht="15" x14ac:dyDescent="0.25">
      <c r="A10527" t="s">
        <v>35</v>
      </c>
      <c r="B10527" t="s">
        <v>61</v>
      </c>
      <c r="C10527" t="str">
        <f>"A0123664"</f>
        <v>A0123664</v>
      </c>
      <c r="D10527" t="s">
        <v>39072</v>
      </c>
      <c r="E10527" t="s">
        <v>39073</v>
      </c>
      <c r="F10527" t="s">
        <v>4094</v>
      </c>
      <c r="G10527" t="s">
        <v>29</v>
      </c>
      <c r="H10527">
        <v>22407</v>
      </c>
      <c r="I10527" t="s">
        <v>30</v>
      </c>
      <c r="J10527" t="s">
        <v>41</v>
      </c>
      <c r="K10527" t="s">
        <v>482</v>
      </c>
      <c r="Q10527">
        <v>0</v>
      </c>
      <c r="R10527">
        <v>45</v>
      </c>
      <c r="S10527">
        <v>45</v>
      </c>
      <c r="T10527" t="s">
        <v>39074</v>
      </c>
    </row>
    <row r="10528" spans="1:20" customFormat="1" ht="15" x14ac:dyDescent="0.25">
      <c r="A10528" t="s">
        <v>35</v>
      </c>
      <c r="B10528" t="s">
        <v>61</v>
      </c>
      <c r="C10528" t="str">
        <f>"A0125414"</f>
        <v>A0125414</v>
      </c>
      <c r="D10528" t="s">
        <v>39075</v>
      </c>
      <c r="E10528" t="s">
        <v>39076</v>
      </c>
      <c r="F10528" t="s">
        <v>14385</v>
      </c>
      <c r="G10528" t="s">
        <v>40</v>
      </c>
      <c r="H10528">
        <v>74834</v>
      </c>
      <c r="I10528" t="s">
        <v>30</v>
      </c>
      <c r="J10528" t="s">
        <v>41</v>
      </c>
      <c r="K10528" t="s">
        <v>229</v>
      </c>
      <c r="Q10528">
        <v>0</v>
      </c>
      <c r="R10528">
        <v>76</v>
      </c>
      <c r="S10528">
        <v>76</v>
      </c>
      <c r="T10528" t="s">
        <v>39077</v>
      </c>
    </row>
    <row r="10529" spans="1:20" customFormat="1" ht="15" x14ac:dyDescent="0.25">
      <c r="A10529" t="s">
        <v>35</v>
      </c>
      <c r="B10529" t="s">
        <v>61</v>
      </c>
      <c r="C10529" t="str">
        <f>"A0126097"</f>
        <v>A0126097</v>
      </c>
      <c r="D10529" t="s">
        <v>39078</v>
      </c>
      <c r="E10529" t="s">
        <v>39079</v>
      </c>
      <c r="F10529" t="s">
        <v>14385</v>
      </c>
      <c r="G10529" t="s">
        <v>197</v>
      </c>
      <c r="H10529">
        <v>85225</v>
      </c>
      <c r="I10529" t="s">
        <v>30</v>
      </c>
      <c r="J10529" t="s">
        <v>41</v>
      </c>
      <c r="K10529" t="s">
        <v>461</v>
      </c>
      <c r="Q10529">
        <v>0</v>
      </c>
      <c r="R10529">
        <v>52</v>
      </c>
      <c r="S10529">
        <v>52</v>
      </c>
      <c r="T10529" t="s">
        <v>39080</v>
      </c>
    </row>
    <row r="10530" spans="1:20" customFormat="1" ht="15" x14ac:dyDescent="0.25">
      <c r="A10530" t="s">
        <v>35</v>
      </c>
      <c r="B10530" t="s">
        <v>61</v>
      </c>
      <c r="C10530" t="str">
        <f>"A0131133"</f>
        <v>A0131133</v>
      </c>
      <c r="D10530" t="s">
        <v>39081</v>
      </c>
      <c r="E10530" t="s">
        <v>39082</v>
      </c>
      <c r="F10530" t="s">
        <v>39083</v>
      </c>
      <c r="G10530" t="s">
        <v>137</v>
      </c>
      <c r="H10530">
        <v>650490000</v>
      </c>
      <c r="I10530" t="s">
        <v>30</v>
      </c>
      <c r="J10530" t="s">
        <v>41</v>
      </c>
      <c r="K10530" t="s">
        <v>461</v>
      </c>
      <c r="Q10530">
        <v>0</v>
      </c>
      <c r="R10530">
        <v>70</v>
      </c>
      <c r="S10530">
        <v>70</v>
      </c>
      <c r="T10530" t="s">
        <v>39084</v>
      </c>
    </row>
    <row r="10531" spans="1:20" customFormat="1" ht="15" x14ac:dyDescent="0.25">
      <c r="A10531" t="s">
        <v>35</v>
      </c>
      <c r="B10531" t="s">
        <v>61</v>
      </c>
      <c r="C10531" t="str">
        <f>"A0128517"</f>
        <v>A0128517</v>
      </c>
      <c r="D10531" t="s">
        <v>39085</v>
      </c>
      <c r="E10531" t="s">
        <v>39086</v>
      </c>
      <c r="F10531" t="s">
        <v>20275</v>
      </c>
      <c r="G10531" t="s">
        <v>110</v>
      </c>
      <c r="H10531">
        <v>94702</v>
      </c>
      <c r="I10531" t="s">
        <v>30</v>
      </c>
      <c r="J10531" t="s">
        <v>41</v>
      </c>
      <c r="K10531" t="s">
        <v>229</v>
      </c>
      <c r="Q10531">
        <v>0</v>
      </c>
      <c r="R10531">
        <v>49</v>
      </c>
      <c r="S10531">
        <v>49</v>
      </c>
      <c r="T10531" t="s">
        <v>39087</v>
      </c>
    </row>
    <row r="10532" spans="1:20" customFormat="1" ht="15" x14ac:dyDescent="0.25">
      <c r="A10532" t="s">
        <v>35</v>
      </c>
      <c r="B10532" t="s">
        <v>106</v>
      </c>
      <c r="C10532" t="str">
        <f>"A0136426"</f>
        <v>A0136426</v>
      </c>
      <c r="D10532" t="s">
        <v>39088</v>
      </c>
      <c r="E10532" t="s">
        <v>39089</v>
      </c>
      <c r="F10532" t="s">
        <v>25467</v>
      </c>
      <c r="G10532" t="s">
        <v>161</v>
      </c>
      <c r="H10532">
        <v>55346</v>
      </c>
      <c r="I10532" t="s">
        <v>30</v>
      </c>
      <c r="J10532" t="s">
        <v>111</v>
      </c>
      <c r="K10532" t="s">
        <v>112</v>
      </c>
      <c r="Q10532">
        <v>0</v>
      </c>
      <c r="R10532">
        <v>0</v>
      </c>
      <c r="S10532">
        <v>0</v>
      </c>
      <c r="T10532" t="s">
        <v>39090</v>
      </c>
    </row>
    <row r="10533" spans="1:20" customFormat="1" ht="15" x14ac:dyDescent="0.25">
      <c r="A10533" t="s">
        <v>35</v>
      </c>
      <c r="B10533" t="s">
        <v>61</v>
      </c>
      <c r="C10533" t="str">
        <f>"A0131072"</f>
        <v>A0131072</v>
      </c>
      <c r="D10533" t="s">
        <v>39091</v>
      </c>
      <c r="E10533" t="s">
        <v>39092</v>
      </c>
      <c r="F10533" t="s">
        <v>39093</v>
      </c>
      <c r="G10533" t="s">
        <v>137</v>
      </c>
      <c r="H10533">
        <v>63601</v>
      </c>
      <c r="I10533" t="s">
        <v>30</v>
      </c>
      <c r="J10533" t="s">
        <v>41</v>
      </c>
      <c r="K10533" t="s">
        <v>59</v>
      </c>
      <c r="Q10533">
        <v>0</v>
      </c>
      <c r="R10533">
        <v>34</v>
      </c>
      <c r="S10533">
        <v>34</v>
      </c>
      <c r="T10533" t="s">
        <v>39094</v>
      </c>
    </row>
    <row r="10534" spans="1:20" customFormat="1" ht="15" x14ac:dyDescent="0.25">
      <c r="A10534" t="s">
        <v>35</v>
      </c>
      <c r="B10534" t="s">
        <v>61</v>
      </c>
      <c r="C10534" t="str">
        <f>"A0122996"</f>
        <v>A0122996</v>
      </c>
      <c r="D10534" t="s">
        <v>39095</v>
      </c>
      <c r="E10534" t="s">
        <v>39096</v>
      </c>
      <c r="F10534" t="s">
        <v>23698</v>
      </c>
      <c r="G10534" t="s">
        <v>76</v>
      </c>
      <c r="H10534">
        <v>99352</v>
      </c>
      <c r="I10534" t="s">
        <v>30</v>
      </c>
      <c r="J10534" t="s">
        <v>41</v>
      </c>
      <c r="K10534" t="s">
        <v>456</v>
      </c>
      <c r="Q10534">
        <v>0</v>
      </c>
      <c r="R10534">
        <v>10</v>
      </c>
      <c r="S10534">
        <v>10</v>
      </c>
      <c r="T10534" t="s">
        <v>39097</v>
      </c>
    </row>
    <row r="10535" spans="1:20" customFormat="1" ht="15" x14ac:dyDescent="0.25">
      <c r="A10535" t="s">
        <v>35</v>
      </c>
      <c r="B10535" t="s">
        <v>61</v>
      </c>
      <c r="C10535" t="str">
        <f>"A0122995"</f>
        <v>A0122995</v>
      </c>
      <c r="D10535" t="s">
        <v>39098</v>
      </c>
      <c r="E10535" t="s">
        <v>39099</v>
      </c>
      <c r="F10535" t="s">
        <v>23698</v>
      </c>
      <c r="G10535" t="s">
        <v>76</v>
      </c>
      <c r="H10535">
        <v>99352</v>
      </c>
      <c r="I10535" t="s">
        <v>30</v>
      </c>
      <c r="J10535" t="s">
        <v>41</v>
      </c>
      <c r="K10535" t="s">
        <v>456</v>
      </c>
      <c r="Q10535">
        <v>0</v>
      </c>
      <c r="R10535">
        <v>10</v>
      </c>
      <c r="S10535">
        <v>10</v>
      </c>
      <c r="T10535" t="s">
        <v>39097</v>
      </c>
    </row>
    <row r="10536" spans="1:20" customFormat="1" ht="15" x14ac:dyDescent="0.25">
      <c r="A10536" t="s">
        <v>35</v>
      </c>
      <c r="B10536" t="s">
        <v>61</v>
      </c>
      <c r="C10536" t="str">
        <f>"A0123209"</f>
        <v>A0123209</v>
      </c>
      <c r="D10536" t="s">
        <v>39100</v>
      </c>
      <c r="E10536" t="s">
        <v>39101</v>
      </c>
      <c r="F10536" t="s">
        <v>1693</v>
      </c>
      <c r="G10536" t="s">
        <v>214</v>
      </c>
      <c r="H10536" t="s">
        <v>39102</v>
      </c>
      <c r="I10536" t="s">
        <v>30</v>
      </c>
      <c r="J10536" t="s">
        <v>41</v>
      </c>
      <c r="K10536" t="s">
        <v>10880</v>
      </c>
      <c r="Q10536">
        <v>0</v>
      </c>
      <c r="R10536">
        <v>0</v>
      </c>
      <c r="S10536">
        <v>0</v>
      </c>
    </row>
    <row r="10537" spans="1:20" customFormat="1" ht="15" x14ac:dyDescent="0.25">
      <c r="A10537" t="s">
        <v>35</v>
      </c>
      <c r="B10537" t="s">
        <v>61</v>
      </c>
      <c r="C10537" t="str">
        <f>"A0132618"</f>
        <v>A0132618</v>
      </c>
      <c r="D10537" t="s">
        <v>39103</v>
      </c>
      <c r="E10537" t="s">
        <v>39104</v>
      </c>
      <c r="F10537" t="s">
        <v>35954</v>
      </c>
      <c r="G10537" t="s">
        <v>65</v>
      </c>
      <c r="H10537">
        <v>440240000</v>
      </c>
      <c r="I10537" t="s">
        <v>30</v>
      </c>
      <c r="J10537" t="s">
        <v>41</v>
      </c>
      <c r="K10537" t="s">
        <v>229</v>
      </c>
      <c r="Q10537">
        <v>0</v>
      </c>
      <c r="R10537">
        <v>100</v>
      </c>
      <c r="S10537">
        <v>100</v>
      </c>
      <c r="T10537" t="s">
        <v>39105</v>
      </c>
    </row>
    <row r="10538" spans="1:20" customFormat="1" ht="15" x14ac:dyDescent="0.25">
      <c r="A10538" t="s">
        <v>35</v>
      </c>
      <c r="B10538" t="s">
        <v>61</v>
      </c>
      <c r="C10538" t="str">
        <f>"A0128565"</f>
        <v>A0128565</v>
      </c>
      <c r="D10538" t="s">
        <v>39106</v>
      </c>
      <c r="E10538" t="s">
        <v>39107</v>
      </c>
      <c r="F10538" t="s">
        <v>15431</v>
      </c>
      <c r="G10538" t="s">
        <v>840</v>
      </c>
      <c r="H10538">
        <v>404220000</v>
      </c>
      <c r="I10538" t="s">
        <v>30</v>
      </c>
      <c r="J10538" t="s">
        <v>41</v>
      </c>
      <c r="K10538" t="s">
        <v>229</v>
      </c>
      <c r="Q10538">
        <v>0</v>
      </c>
      <c r="R10538">
        <v>90</v>
      </c>
      <c r="S10538">
        <v>90</v>
      </c>
      <c r="T10538" t="s">
        <v>39108</v>
      </c>
    </row>
    <row r="10539" spans="1:20" customFormat="1" ht="15" x14ac:dyDescent="0.25">
      <c r="A10539" t="s">
        <v>35</v>
      </c>
      <c r="B10539" t="s">
        <v>61</v>
      </c>
      <c r="C10539" t="str">
        <f>"A0127510"</f>
        <v>A0127510</v>
      </c>
      <c r="D10539" t="s">
        <v>39109</v>
      </c>
      <c r="E10539" t="s">
        <v>39110</v>
      </c>
      <c r="F10539" t="s">
        <v>510</v>
      </c>
      <c r="G10539" t="s">
        <v>507</v>
      </c>
      <c r="H10539">
        <v>25311</v>
      </c>
      <c r="I10539" t="s">
        <v>30</v>
      </c>
      <c r="J10539" t="s">
        <v>41</v>
      </c>
      <c r="K10539" t="s">
        <v>4317</v>
      </c>
      <c r="Q10539">
        <v>0</v>
      </c>
      <c r="R10539">
        <v>0</v>
      </c>
      <c r="S10539">
        <v>0</v>
      </c>
      <c r="T10539" t="s">
        <v>39111</v>
      </c>
    </row>
    <row r="10540" spans="1:20" customFormat="1" ht="15" x14ac:dyDescent="0.25">
      <c r="A10540" t="s">
        <v>35</v>
      </c>
      <c r="B10540" t="s">
        <v>61</v>
      </c>
      <c r="C10540" t="str">
        <f>"A0123665"</f>
        <v>A0123665</v>
      </c>
      <c r="D10540" t="s">
        <v>39112</v>
      </c>
      <c r="E10540" t="s">
        <v>39113</v>
      </c>
      <c r="F10540" t="s">
        <v>1926</v>
      </c>
      <c r="G10540" t="s">
        <v>214</v>
      </c>
      <c r="H10540">
        <v>28214</v>
      </c>
      <c r="I10540" t="s">
        <v>30</v>
      </c>
      <c r="J10540" t="s">
        <v>41</v>
      </c>
      <c r="K10540" t="s">
        <v>229</v>
      </c>
      <c r="Q10540">
        <v>0</v>
      </c>
      <c r="R10540">
        <v>120</v>
      </c>
      <c r="S10540">
        <v>120</v>
      </c>
      <c r="T10540" t="s">
        <v>39114</v>
      </c>
    </row>
    <row r="10541" spans="1:20" customFormat="1" ht="15" x14ac:dyDescent="0.25">
      <c r="A10541" t="s">
        <v>35</v>
      </c>
      <c r="B10541" t="s">
        <v>106</v>
      </c>
      <c r="C10541" t="str">
        <f>"A0135974"</f>
        <v>A0135974</v>
      </c>
      <c r="D10541" t="s">
        <v>39115</v>
      </c>
      <c r="E10541" t="s">
        <v>39116</v>
      </c>
      <c r="F10541" t="s">
        <v>20330</v>
      </c>
      <c r="G10541" t="s">
        <v>29</v>
      </c>
      <c r="H10541">
        <v>22903</v>
      </c>
      <c r="I10541" t="s">
        <v>30</v>
      </c>
      <c r="J10541" t="s">
        <v>111</v>
      </c>
      <c r="K10541" t="s">
        <v>112</v>
      </c>
      <c r="Q10541">
        <v>0</v>
      </c>
      <c r="R10541">
        <v>0</v>
      </c>
      <c r="S10541">
        <v>0</v>
      </c>
      <c r="T10541" t="s">
        <v>39117</v>
      </c>
    </row>
    <row r="10542" spans="1:20" customFormat="1" ht="15" x14ac:dyDescent="0.25">
      <c r="A10542" t="s">
        <v>35</v>
      </c>
      <c r="B10542" t="s">
        <v>61</v>
      </c>
      <c r="C10542" t="str">
        <f>"A0123210"</f>
        <v>A0123210</v>
      </c>
      <c r="D10542" t="s">
        <v>39118</v>
      </c>
      <c r="E10542" t="s">
        <v>39119</v>
      </c>
      <c r="F10542" t="s">
        <v>20330</v>
      </c>
      <c r="G10542" t="s">
        <v>29</v>
      </c>
      <c r="H10542" t="s">
        <v>39120</v>
      </c>
      <c r="I10542" t="s">
        <v>30</v>
      </c>
      <c r="J10542" t="s">
        <v>41</v>
      </c>
      <c r="K10542" t="s">
        <v>229</v>
      </c>
      <c r="Q10542">
        <v>0</v>
      </c>
      <c r="R10542">
        <v>120</v>
      </c>
      <c r="S10542">
        <v>120</v>
      </c>
      <c r="T10542" t="s">
        <v>39121</v>
      </c>
    </row>
    <row r="10543" spans="1:20" customFormat="1" ht="15" x14ac:dyDescent="0.25">
      <c r="A10543" t="s">
        <v>35</v>
      </c>
      <c r="B10543" t="s">
        <v>61</v>
      </c>
      <c r="C10543" t="str">
        <f>"A0118501"</f>
        <v>A0118501</v>
      </c>
      <c r="D10543" t="s">
        <v>39122</v>
      </c>
      <c r="E10543" t="s">
        <v>39123</v>
      </c>
      <c r="F10543" t="s">
        <v>28744</v>
      </c>
      <c r="G10543" t="s">
        <v>110</v>
      </c>
      <c r="H10543">
        <v>950140000</v>
      </c>
      <c r="I10543" t="s">
        <v>30</v>
      </c>
      <c r="J10543" t="s">
        <v>41</v>
      </c>
      <c r="K10543" t="s">
        <v>59</v>
      </c>
      <c r="Q10543">
        <v>0</v>
      </c>
      <c r="R10543">
        <v>100</v>
      </c>
      <c r="S10543">
        <v>100</v>
      </c>
      <c r="T10543" t="s">
        <v>39124</v>
      </c>
    </row>
    <row r="10544" spans="1:20" customFormat="1" ht="15" x14ac:dyDescent="0.25">
      <c r="A10544" t="s">
        <v>35</v>
      </c>
      <c r="B10544" t="s">
        <v>61</v>
      </c>
      <c r="C10544" t="str">
        <f>"A0128654"</f>
        <v>A0128654</v>
      </c>
      <c r="D10544" t="s">
        <v>39125</v>
      </c>
      <c r="E10544" t="s">
        <v>39126</v>
      </c>
      <c r="F10544" t="s">
        <v>7095</v>
      </c>
      <c r="G10544" t="s">
        <v>1170</v>
      </c>
      <c r="H10544">
        <v>701250000</v>
      </c>
      <c r="I10544" t="s">
        <v>30</v>
      </c>
      <c r="J10544" t="s">
        <v>41</v>
      </c>
      <c r="K10544" t="s">
        <v>229</v>
      </c>
      <c r="Q10544">
        <v>0</v>
      </c>
      <c r="R10544">
        <v>160</v>
      </c>
      <c r="S10544">
        <v>160</v>
      </c>
      <c r="T10544" t="s">
        <v>39127</v>
      </c>
    </row>
    <row r="10545" spans="1:20" customFormat="1" ht="15" x14ac:dyDescent="0.25">
      <c r="A10545" t="s">
        <v>35</v>
      </c>
      <c r="B10545" t="s">
        <v>61</v>
      </c>
      <c r="C10545" t="str">
        <f>"A0128764"</f>
        <v>A0128764</v>
      </c>
      <c r="D10545" t="s">
        <v>39128</v>
      </c>
      <c r="E10545" t="s">
        <v>39129</v>
      </c>
      <c r="F10545" t="s">
        <v>39130</v>
      </c>
      <c r="G10545" t="s">
        <v>1170</v>
      </c>
      <c r="H10545">
        <v>70346</v>
      </c>
      <c r="I10545" t="s">
        <v>30</v>
      </c>
      <c r="J10545" t="s">
        <v>41</v>
      </c>
      <c r="K10545" t="s">
        <v>229</v>
      </c>
      <c r="Q10545">
        <v>0</v>
      </c>
      <c r="R10545">
        <v>141</v>
      </c>
      <c r="S10545">
        <v>141</v>
      </c>
      <c r="T10545" t="s">
        <v>39131</v>
      </c>
    </row>
    <row r="10546" spans="1:20" customFormat="1" ht="15" x14ac:dyDescent="0.25">
      <c r="A10546" t="s">
        <v>35</v>
      </c>
      <c r="B10546" t="s">
        <v>61</v>
      </c>
      <c r="C10546" t="str">
        <f>"A0131071"</f>
        <v>A0131071</v>
      </c>
      <c r="D10546" t="s">
        <v>39132</v>
      </c>
      <c r="E10546" t="s">
        <v>39133</v>
      </c>
      <c r="F10546" t="s">
        <v>16985</v>
      </c>
      <c r="G10546" t="s">
        <v>137</v>
      </c>
      <c r="H10546">
        <v>637030000</v>
      </c>
      <c r="I10546" t="s">
        <v>30</v>
      </c>
      <c r="J10546" t="s">
        <v>41</v>
      </c>
      <c r="K10546" t="s">
        <v>229</v>
      </c>
      <c r="Q10546">
        <v>0</v>
      </c>
      <c r="R10546">
        <v>104</v>
      </c>
      <c r="S10546">
        <v>104</v>
      </c>
      <c r="T10546" t="s">
        <v>39134</v>
      </c>
    </row>
    <row r="10547" spans="1:20" customFormat="1" ht="15" x14ac:dyDescent="0.25">
      <c r="A10547" t="s">
        <v>35</v>
      </c>
      <c r="B10547" t="s">
        <v>61</v>
      </c>
      <c r="C10547" t="str">
        <f>"A0154318"</f>
        <v>A0154318</v>
      </c>
      <c r="D10547" t="s">
        <v>39135</v>
      </c>
      <c r="E10547" t="s">
        <v>39136</v>
      </c>
      <c r="F10547" t="s">
        <v>4057</v>
      </c>
      <c r="G10547" t="s">
        <v>81</v>
      </c>
      <c r="H10547">
        <v>32940</v>
      </c>
      <c r="I10547" t="s">
        <v>30</v>
      </c>
      <c r="J10547" t="s">
        <v>41</v>
      </c>
      <c r="K10547" t="s">
        <v>59</v>
      </c>
      <c r="Q10547">
        <v>0</v>
      </c>
      <c r="R10547">
        <v>120</v>
      </c>
      <c r="S10547">
        <v>120</v>
      </c>
      <c r="T10547" t="s">
        <v>39137</v>
      </c>
    </row>
    <row r="10548" spans="1:20" customFormat="1" ht="15" x14ac:dyDescent="0.25">
      <c r="A10548" t="s">
        <v>35</v>
      </c>
      <c r="B10548" t="s">
        <v>61</v>
      </c>
      <c r="C10548" t="str">
        <f>"A0128762"</f>
        <v>A0128762</v>
      </c>
      <c r="D10548" t="s">
        <v>39138</v>
      </c>
      <c r="E10548" t="s">
        <v>39139</v>
      </c>
      <c r="F10548" t="s">
        <v>39140</v>
      </c>
      <c r="G10548" t="s">
        <v>1170</v>
      </c>
      <c r="H10548">
        <v>70071</v>
      </c>
      <c r="I10548" t="s">
        <v>30</v>
      </c>
      <c r="J10548" t="s">
        <v>41</v>
      </c>
      <c r="K10548" t="s">
        <v>229</v>
      </c>
      <c r="Q10548">
        <v>0</v>
      </c>
      <c r="R10548">
        <v>116</v>
      </c>
      <c r="S10548">
        <v>116</v>
      </c>
      <c r="T10548" t="s">
        <v>39141</v>
      </c>
    </row>
    <row r="10549" spans="1:20" customFormat="1" ht="15" x14ac:dyDescent="0.25">
      <c r="A10549" t="s">
        <v>35</v>
      </c>
      <c r="B10549" t="s">
        <v>3074</v>
      </c>
      <c r="C10549" t="str">
        <f>"A0128754"</f>
        <v>A0128754</v>
      </c>
      <c r="D10549" t="s">
        <v>39142</v>
      </c>
      <c r="E10549" t="s">
        <v>39143</v>
      </c>
      <c r="F10549" t="s">
        <v>28281</v>
      </c>
      <c r="G10549" t="s">
        <v>1170</v>
      </c>
      <c r="H10549">
        <v>70360</v>
      </c>
      <c r="I10549" t="s">
        <v>30</v>
      </c>
      <c r="J10549" t="s">
        <v>41</v>
      </c>
      <c r="K10549" t="s">
        <v>229</v>
      </c>
      <c r="Q10549">
        <v>0</v>
      </c>
      <c r="R10549">
        <v>150</v>
      </c>
      <c r="S10549">
        <v>150</v>
      </c>
      <c r="T10549" t="s">
        <v>39144</v>
      </c>
    </row>
    <row r="10550" spans="1:20" customFormat="1" ht="15" x14ac:dyDescent="0.25">
      <c r="A10550" t="s">
        <v>35</v>
      </c>
      <c r="B10550" t="s">
        <v>61</v>
      </c>
      <c r="C10550" t="str">
        <f>"A0130139"</f>
        <v>A0130139</v>
      </c>
      <c r="D10550" t="s">
        <v>39145</v>
      </c>
      <c r="E10550" t="s">
        <v>39146</v>
      </c>
      <c r="F10550" t="s">
        <v>39147</v>
      </c>
      <c r="G10550" t="s">
        <v>1898</v>
      </c>
      <c r="H10550">
        <v>52246</v>
      </c>
      <c r="I10550" t="s">
        <v>30</v>
      </c>
      <c r="J10550" t="s">
        <v>41</v>
      </c>
      <c r="K10550" t="s">
        <v>131</v>
      </c>
      <c r="Q10550">
        <v>0</v>
      </c>
      <c r="R10550">
        <v>76</v>
      </c>
      <c r="S10550">
        <v>76</v>
      </c>
      <c r="T10550" t="s">
        <v>39148</v>
      </c>
    </row>
    <row r="10551" spans="1:20" customFormat="1" ht="15" x14ac:dyDescent="0.25">
      <c r="A10551" t="s">
        <v>35</v>
      </c>
      <c r="B10551" t="s">
        <v>61</v>
      </c>
      <c r="C10551" t="str">
        <f>"A0126256"</f>
        <v>A0126256</v>
      </c>
      <c r="D10551" t="s">
        <v>39149</v>
      </c>
      <c r="E10551" t="s">
        <v>39150</v>
      </c>
      <c r="F10551" t="s">
        <v>39151</v>
      </c>
      <c r="G10551" t="s">
        <v>81</v>
      </c>
      <c r="H10551">
        <v>33418</v>
      </c>
      <c r="I10551" t="s">
        <v>30</v>
      </c>
      <c r="J10551" t="s">
        <v>41</v>
      </c>
      <c r="K10551" t="s">
        <v>229</v>
      </c>
      <c r="Q10551">
        <v>0</v>
      </c>
      <c r="R10551">
        <v>75</v>
      </c>
      <c r="S10551">
        <v>75</v>
      </c>
      <c r="T10551" t="s">
        <v>39152</v>
      </c>
    </row>
    <row r="10552" spans="1:20" customFormat="1" ht="15" x14ac:dyDescent="0.25">
      <c r="A10552" t="s">
        <v>35</v>
      </c>
      <c r="B10552" t="s">
        <v>61</v>
      </c>
      <c r="C10552" t="str">
        <f>"A0125376"</f>
        <v>A0125376</v>
      </c>
      <c r="D10552" t="s">
        <v>39153</v>
      </c>
      <c r="E10552" t="s">
        <v>39154</v>
      </c>
      <c r="F10552" t="s">
        <v>39155</v>
      </c>
      <c r="G10552" t="s">
        <v>40</v>
      </c>
      <c r="H10552">
        <v>74426</v>
      </c>
      <c r="I10552" t="s">
        <v>30</v>
      </c>
      <c r="J10552" t="s">
        <v>41</v>
      </c>
      <c r="K10552" t="s">
        <v>229</v>
      </c>
      <c r="Q10552">
        <v>0</v>
      </c>
      <c r="R10552">
        <v>82</v>
      </c>
      <c r="S10552">
        <v>82</v>
      </c>
      <c r="T10552" t="s">
        <v>39156</v>
      </c>
    </row>
    <row r="10553" spans="1:20" customFormat="1" ht="15" x14ac:dyDescent="0.25">
      <c r="A10553" t="s">
        <v>35</v>
      </c>
      <c r="B10553" t="s">
        <v>61</v>
      </c>
      <c r="C10553" t="str">
        <f>"A0133662"</f>
        <v>A0133662</v>
      </c>
      <c r="D10553" t="s">
        <v>39157</v>
      </c>
      <c r="E10553" t="s">
        <v>39158</v>
      </c>
      <c r="F10553" t="s">
        <v>16367</v>
      </c>
      <c r="G10553" t="s">
        <v>52</v>
      </c>
      <c r="H10553">
        <v>77459</v>
      </c>
      <c r="I10553" t="s">
        <v>30</v>
      </c>
      <c r="J10553" t="s">
        <v>41</v>
      </c>
      <c r="K10553" t="s">
        <v>229</v>
      </c>
      <c r="Q10553">
        <v>0</v>
      </c>
      <c r="R10553">
        <v>60</v>
      </c>
      <c r="S10553">
        <v>60</v>
      </c>
      <c r="T10553" t="s">
        <v>39159</v>
      </c>
    </row>
    <row r="10554" spans="1:20" customFormat="1" ht="15" x14ac:dyDescent="0.25">
      <c r="A10554" t="s">
        <v>35</v>
      </c>
      <c r="B10554" t="s">
        <v>61</v>
      </c>
      <c r="C10554" t="str">
        <f>"A0122587"</f>
        <v>A0122587</v>
      </c>
      <c r="D10554" t="s">
        <v>39160</v>
      </c>
      <c r="E10554" t="s">
        <v>39161</v>
      </c>
      <c r="F10554" t="s">
        <v>30986</v>
      </c>
      <c r="G10554" t="s">
        <v>76</v>
      </c>
      <c r="H10554">
        <v>99004</v>
      </c>
      <c r="I10554" t="s">
        <v>30</v>
      </c>
      <c r="J10554" t="s">
        <v>41</v>
      </c>
      <c r="K10554" t="s">
        <v>229</v>
      </c>
      <c r="Q10554">
        <v>0</v>
      </c>
      <c r="R10554">
        <v>132</v>
      </c>
      <c r="S10554">
        <v>132</v>
      </c>
      <c r="T10554" t="s">
        <v>39162</v>
      </c>
    </row>
    <row r="10555" spans="1:20" customFormat="1" ht="15" x14ac:dyDescent="0.25">
      <c r="A10555" t="s">
        <v>35</v>
      </c>
      <c r="B10555" t="s">
        <v>61</v>
      </c>
      <c r="C10555" t="str">
        <f>"A0118600"</f>
        <v>A0118600</v>
      </c>
      <c r="D10555" t="s">
        <v>39163</v>
      </c>
      <c r="E10555" t="s">
        <v>39164</v>
      </c>
      <c r="F10555" t="s">
        <v>5467</v>
      </c>
      <c r="G10555" t="s">
        <v>110</v>
      </c>
      <c r="H10555">
        <v>95991</v>
      </c>
      <c r="I10555" t="s">
        <v>30</v>
      </c>
      <c r="J10555" t="s">
        <v>41</v>
      </c>
      <c r="K10555" t="s">
        <v>482</v>
      </c>
      <c r="Q10555">
        <v>0</v>
      </c>
      <c r="R10555">
        <v>67</v>
      </c>
      <c r="S10555">
        <v>67</v>
      </c>
      <c r="T10555" t="s">
        <v>39165</v>
      </c>
    </row>
    <row r="10556" spans="1:20" customFormat="1" ht="15" x14ac:dyDescent="0.25">
      <c r="A10556" t="s">
        <v>35</v>
      </c>
      <c r="B10556" t="s">
        <v>61</v>
      </c>
      <c r="C10556" t="str">
        <f>"A0127538"</f>
        <v>A0127538</v>
      </c>
      <c r="D10556" t="s">
        <v>39166</v>
      </c>
      <c r="E10556" t="s">
        <v>39167</v>
      </c>
      <c r="F10556" t="s">
        <v>6119</v>
      </c>
      <c r="G10556" t="s">
        <v>123</v>
      </c>
      <c r="H10556">
        <v>20708</v>
      </c>
      <c r="I10556" t="s">
        <v>30</v>
      </c>
      <c r="J10556" t="s">
        <v>41</v>
      </c>
      <c r="K10556" t="s">
        <v>229</v>
      </c>
      <c r="Q10556">
        <v>0</v>
      </c>
      <c r="R10556">
        <v>155</v>
      </c>
      <c r="S10556">
        <v>155</v>
      </c>
      <c r="T10556" t="s">
        <v>39168</v>
      </c>
    </row>
    <row r="10557" spans="1:20" customFormat="1" ht="15" x14ac:dyDescent="0.25">
      <c r="A10557" t="s">
        <v>35</v>
      </c>
      <c r="B10557" t="s">
        <v>61</v>
      </c>
      <c r="C10557" t="str">
        <f>"A0123212"</f>
        <v>A0123212</v>
      </c>
      <c r="D10557" t="s">
        <v>39169</v>
      </c>
      <c r="E10557" t="s">
        <v>39170</v>
      </c>
      <c r="F10557" t="s">
        <v>13792</v>
      </c>
      <c r="G10557" t="s">
        <v>29</v>
      </c>
      <c r="H10557" t="s">
        <v>39171</v>
      </c>
      <c r="I10557" t="s">
        <v>30</v>
      </c>
      <c r="J10557" t="s">
        <v>41</v>
      </c>
      <c r="K10557" t="s">
        <v>229</v>
      </c>
      <c r="Q10557">
        <v>0</v>
      </c>
      <c r="R10557">
        <v>240</v>
      </c>
      <c r="S10557">
        <v>240</v>
      </c>
      <c r="T10557" t="s">
        <v>39172</v>
      </c>
    </row>
    <row r="10558" spans="1:20" customFormat="1" ht="15" x14ac:dyDescent="0.25">
      <c r="A10558" t="s">
        <v>35</v>
      </c>
      <c r="B10558" t="s">
        <v>61</v>
      </c>
      <c r="C10558" t="str">
        <f>"A0123213"</f>
        <v>A0123213</v>
      </c>
      <c r="D10558" t="s">
        <v>39173</v>
      </c>
      <c r="E10558" t="s">
        <v>39174</v>
      </c>
      <c r="F10558" t="s">
        <v>32806</v>
      </c>
      <c r="G10558" t="s">
        <v>29</v>
      </c>
      <c r="H10558">
        <v>23320</v>
      </c>
      <c r="I10558" t="s">
        <v>30</v>
      </c>
      <c r="J10558" t="s">
        <v>41</v>
      </c>
      <c r="K10558" t="s">
        <v>229</v>
      </c>
      <c r="Q10558">
        <v>0</v>
      </c>
      <c r="R10558">
        <v>310</v>
      </c>
      <c r="S10558">
        <v>310</v>
      </c>
      <c r="T10558" t="s">
        <v>39175</v>
      </c>
    </row>
    <row r="10559" spans="1:20" customFormat="1" ht="15" x14ac:dyDescent="0.25">
      <c r="A10559" t="s">
        <v>35</v>
      </c>
      <c r="B10559" t="s">
        <v>61</v>
      </c>
      <c r="C10559" t="str">
        <f>"A0123214"</f>
        <v>A0123214</v>
      </c>
      <c r="D10559" t="s">
        <v>39176</v>
      </c>
      <c r="E10559" t="s">
        <v>39177</v>
      </c>
      <c r="F10559" t="s">
        <v>32806</v>
      </c>
      <c r="G10559" t="s">
        <v>29</v>
      </c>
      <c r="H10559">
        <v>23320</v>
      </c>
      <c r="I10559" t="s">
        <v>30</v>
      </c>
      <c r="J10559" t="s">
        <v>41</v>
      </c>
      <c r="K10559" t="s">
        <v>229</v>
      </c>
      <c r="Q10559">
        <v>0</v>
      </c>
      <c r="R10559">
        <v>240</v>
      </c>
      <c r="S10559">
        <v>240</v>
      </c>
      <c r="T10559" t="s">
        <v>39178</v>
      </c>
    </row>
    <row r="10560" spans="1:20" customFormat="1" ht="15" x14ac:dyDescent="0.25">
      <c r="A10560" t="s">
        <v>35</v>
      </c>
      <c r="B10560" t="s">
        <v>61</v>
      </c>
      <c r="C10560" t="str">
        <f>"A0123666"</f>
        <v>A0123666</v>
      </c>
      <c r="D10560" t="s">
        <v>39179</v>
      </c>
      <c r="E10560" t="s">
        <v>39180</v>
      </c>
      <c r="F10560" t="s">
        <v>32806</v>
      </c>
      <c r="G10560" t="s">
        <v>29</v>
      </c>
      <c r="H10560">
        <v>23323</v>
      </c>
      <c r="I10560" t="s">
        <v>30</v>
      </c>
      <c r="J10560" t="s">
        <v>41</v>
      </c>
      <c r="K10560" t="s">
        <v>482</v>
      </c>
      <c r="Q10560">
        <v>0</v>
      </c>
      <c r="R10560">
        <v>65</v>
      </c>
      <c r="S10560">
        <v>65</v>
      </c>
      <c r="T10560" t="s">
        <v>39181</v>
      </c>
    </row>
    <row r="10561" spans="1:20" customFormat="1" ht="15" x14ac:dyDescent="0.25">
      <c r="A10561" t="s">
        <v>35</v>
      </c>
      <c r="B10561" t="s">
        <v>61</v>
      </c>
      <c r="C10561" t="str">
        <f>"A0125893"</f>
        <v>A0125893</v>
      </c>
      <c r="D10561" t="s">
        <v>39182</v>
      </c>
      <c r="E10561" t="s">
        <v>39183</v>
      </c>
      <c r="F10561" t="s">
        <v>32806</v>
      </c>
      <c r="G10561" t="s">
        <v>29</v>
      </c>
      <c r="H10561">
        <v>23320</v>
      </c>
      <c r="I10561" t="s">
        <v>30</v>
      </c>
      <c r="J10561" t="s">
        <v>41</v>
      </c>
      <c r="K10561" t="s">
        <v>59</v>
      </c>
      <c r="Q10561">
        <v>0</v>
      </c>
      <c r="R10561">
        <v>92</v>
      </c>
      <c r="S10561">
        <v>92</v>
      </c>
      <c r="T10561" t="s">
        <v>39184</v>
      </c>
    </row>
    <row r="10562" spans="1:20" customFormat="1" ht="15" x14ac:dyDescent="0.25">
      <c r="A10562" t="s">
        <v>35</v>
      </c>
      <c r="B10562" t="s">
        <v>61</v>
      </c>
      <c r="C10562" t="str">
        <f>"A0151054"</f>
        <v>A0151054</v>
      </c>
      <c r="D10562" t="s">
        <v>39185</v>
      </c>
      <c r="E10562" t="s">
        <v>39186</v>
      </c>
      <c r="F10562" t="s">
        <v>29982</v>
      </c>
      <c r="G10562" t="s">
        <v>289</v>
      </c>
      <c r="H10562">
        <v>62233</v>
      </c>
      <c r="I10562" t="s">
        <v>30</v>
      </c>
      <c r="J10562" t="s">
        <v>41</v>
      </c>
      <c r="K10562" t="s">
        <v>418</v>
      </c>
      <c r="Q10562">
        <v>0</v>
      </c>
      <c r="R10562">
        <v>280</v>
      </c>
      <c r="S10562">
        <v>280</v>
      </c>
      <c r="T10562" t="s">
        <v>39187</v>
      </c>
    </row>
    <row r="10563" spans="1:20" customFormat="1" ht="15" x14ac:dyDescent="0.25">
      <c r="A10563" t="s">
        <v>35</v>
      </c>
      <c r="B10563" t="s">
        <v>61</v>
      </c>
      <c r="C10563" t="str">
        <f>"A0124133"</f>
        <v>A0124133</v>
      </c>
      <c r="D10563" t="s">
        <v>39188</v>
      </c>
      <c r="E10563" t="s">
        <v>39189</v>
      </c>
      <c r="F10563" t="s">
        <v>39190</v>
      </c>
      <c r="G10563" t="s">
        <v>123</v>
      </c>
      <c r="H10563">
        <v>21620</v>
      </c>
      <c r="I10563" t="s">
        <v>30</v>
      </c>
      <c r="J10563" t="s">
        <v>41</v>
      </c>
      <c r="K10563" t="s">
        <v>229</v>
      </c>
      <c r="Q10563">
        <v>0</v>
      </c>
      <c r="R10563">
        <v>58</v>
      </c>
      <c r="S10563">
        <v>58</v>
      </c>
      <c r="T10563" t="s">
        <v>39191</v>
      </c>
    </row>
    <row r="10564" spans="1:20" customFormat="1" ht="15" x14ac:dyDescent="0.25">
      <c r="A10564" t="s">
        <v>35</v>
      </c>
      <c r="B10564" t="s">
        <v>106</v>
      </c>
      <c r="C10564" t="str">
        <f>"A0136566"</f>
        <v>A0136566</v>
      </c>
      <c r="D10564" t="s">
        <v>39192</v>
      </c>
      <c r="E10564" t="s">
        <v>39193</v>
      </c>
      <c r="F10564" t="s">
        <v>29982</v>
      </c>
      <c r="G10564" t="s">
        <v>1184</v>
      </c>
      <c r="H10564">
        <v>59522</v>
      </c>
      <c r="I10564" t="s">
        <v>30</v>
      </c>
      <c r="J10564" t="s">
        <v>111</v>
      </c>
      <c r="K10564" t="s">
        <v>112</v>
      </c>
      <c r="Q10564">
        <v>0</v>
      </c>
      <c r="R10564">
        <v>0</v>
      </c>
      <c r="S10564">
        <v>0</v>
      </c>
      <c r="T10564" t="s">
        <v>39194</v>
      </c>
    </row>
    <row r="10565" spans="1:20" customFormat="1" ht="15" x14ac:dyDescent="0.25">
      <c r="A10565" t="s">
        <v>35</v>
      </c>
      <c r="B10565" t="s">
        <v>106</v>
      </c>
      <c r="C10565" t="str">
        <f>"A0136587"</f>
        <v>A0136587</v>
      </c>
      <c r="D10565" t="s">
        <v>39195</v>
      </c>
      <c r="E10565" t="s">
        <v>39193</v>
      </c>
      <c r="F10565" t="s">
        <v>29982</v>
      </c>
      <c r="G10565" t="s">
        <v>1184</v>
      </c>
      <c r="H10565">
        <v>59522</v>
      </c>
      <c r="I10565" t="s">
        <v>30</v>
      </c>
      <c r="J10565" t="s">
        <v>111</v>
      </c>
      <c r="K10565" t="s">
        <v>112</v>
      </c>
      <c r="Q10565">
        <v>0</v>
      </c>
      <c r="R10565">
        <v>0</v>
      </c>
      <c r="S10565">
        <v>0</v>
      </c>
      <c r="T10565" t="s">
        <v>39194</v>
      </c>
    </row>
    <row r="10566" spans="1:20" customFormat="1" ht="15" x14ac:dyDescent="0.25">
      <c r="A10566" t="s">
        <v>35</v>
      </c>
      <c r="B10566" t="s">
        <v>61</v>
      </c>
      <c r="C10566" t="str">
        <f>"A0123670"</f>
        <v>A0123670</v>
      </c>
      <c r="D10566" t="s">
        <v>21339</v>
      </c>
      <c r="E10566" t="s">
        <v>39196</v>
      </c>
      <c r="F10566" t="s">
        <v>1795</v>
      </c>
      <c r="G10566" t="s">
        <v>29</v>
      </c>
      <c r="H10566">
        <v>23228</v>
      </c>
      <c r="I10566" t="s">
        <v>30</v>
      </c>
      <c r="J10566" t="s">
        <v>41</v>
      </c>
      <c r="K10566" t="s">
        <v>482</v>
      </c>
      <c r="Q10566">
        <v>0</v>
      </c>
      <c r="R10566">
        <v>75</v>
      </c>
      <c r="S10566">
        <v>75</v>
      </c>
      <c r="T10566" t="s">
        <v>39197</v>
      </c>
    </row>
    <row r="10567" spans="1:20" customFormat="1" ht="15" x14ac:dyDescent="0.25">
      <c r="A10567" t="s">
        <v>35</v>
      </c>
      <c r="B10567" t="s">
        <v>61</v>
      </c>
      <c r="C10567" t="str">
        <f>"A0125830"</f>
        <v>A0125830</v>
      </c>
      <c r="D10567" t="s">
        <v>39198</v>
      </c>
      <c r="E10567" t="s">
        <v>39199</v>
      </c>
      <c r="F10567" t="s">
        <v>39200</v>
      </c>
      <c r="G10567" t="s">
        <v>29</v>
      </c>
      <c r="H10567">
        <v>24243</v>
      </c>
      <c r="I10567" t="s">
        <v>30</v>
      </c>
      <c r="J10567" t="s">
        <v>41</v>
      </c>
      <c r="K10567" t="s">
        <v>59</v>
      </c>
      <c r="Q10567">
        <v>0</v>
      </c>
      <c r="R10567">
        <v>100</v>
      </c>
      <c r="S10567">
        <v>100</v>
      </c>
      <c r="T10567" t="s">
        <v>39201</v>
      </c>
    </row>
    <row r="10568" spans="1:20" customFormat="1" ht="15" x14ac:dyDescent="0.25">
      <c r="A10568" t="s">
        <v>35</v>
      </c>
      <c r="B10568" t="s">
        <v>61</v>
      </c>
      <c r="C10568" t="str">
        <f>"A0151122"</f>
        <v>A0151122</v>
      </c>
      <c r="D10568" t="s">
        <v>39202</v>
      </c>
      <c r="E10568" t="s">
        <v>39203</v>
      </c>
      <c r="F10568" t="s">
        <v>39204</v>
      </c>
      <c r="G10568" t="s">
        <v>899</v>
      </c>
      <c r="H10568">
        <v>2467</v>
      </c>
      <c r="I10568" t="s">
        <v>30</v>
      </c>
      <c r="J10568" t="s">
        <v>41</v>
      </c>
      <c r="K10568" t="s">
        <v>59</v>
      </c>
      <c r="Q10568">
        <v>0</v>
      </c>
      <c r="R10568">
        <v>30</v>
      </c>
      <c r="S10568">
        <v>30</v>
      </c>
      <c r="T10568" t="s">
        <v>39205</v>
      </c>
    </row>
    <row r="10569" spans="1:20" customFormat="1" ht="15" x14ac:dyDescent="0.25">
      <c r="A10569" t="s">
        <v>35</v>
      </c>
      <c r="B10569" t="s">
        <v>61</v>
      </c>
      <c r="C10569" t="str">
        <f>"A0126055"</f>
        <v>A0126055</v>
      </c>
      <c r="D10569" t="s">
        <v>39206</v>
      </c>
      <c r="E10569" t="s">
        <v>39207</v>
      </c>
      <c r="F10569" t="s">
        <v>4674</v>
      </c>
      <c r="G10569" t="s">
        <v>314</v>
      </c>
      <c r="H10569">
        <v>20015</v>
      </c>
      <c r="I10569" t="s">
        <v>30</v>
      </c>
      <c r="J10569" t="s">
        <v>41</v>
      </c>
      <c r="K10569" t="s">
        <v>59</v>
      </c>
      <c r="Q10569">
        <v>0</v>
      </c>
      <c r="R10569">
        <v>130</v>
      </c>
      <c r="S10569">
        <v>130</v>
      </c>
      <c r="T10569" t="s">
        <v>39208</v>
      </c>
    </row>
    <row r="10570" spans="1:20" customFormat="1" ht="15" x14ac:dyDescent="0.25">
      <c r="A10570" t="s">
        <v>35</v>
      </c>
      <c r="B10570" t="s">
        <v>61</v>
      </c>
      <c r="C10570" t="str">
        <f>"A0118042"</f>
        <v>A0118042</v>
      </c>
      <c r="D10570" t="s">
        <v>39209</v>
      </c>
      <c r="E10570" t="s">
        <v>39210</v>
      </c>
      <c r="F10570" t="s">
        <v>39211</v>
      </c>
      <c r="G10570" t="s">
        <v>190</v>
      </c>
      <c r="H10570">
        <v>80810</v>
      </c>
      <c r="I10570" t="s">
        <v>30</v>
      </c>
      <c r="J10570" t="s">
        <v>41</v>
      </c>
      <c r="K10570" t="s">
        <v>229</v>
      </c>
      <c r="Q10570">
        <v>0</v>
      </c>
      <c r="R10570">
        <v>30</v>
      </c>
      <c r="S10570">
        <v>30</v>
      </c>
      <c r="T10570" t="s">
        <v>39212</v>
      </c>
    </row>
    <row r="10571" spans="1:20" customFormat="1" ht="15" x14ac:dyDescent="0.25">
      <c r="A10571" t="s">
        <v>35</v>
      </c>
      <c r="B10571" t="s">
        <v>106</v>
      </c>
      <c r="C10571" t="str">
        <f>"A0135613"</f>
        <v>A0135613</v>
      </c>
      <c r="D10571" t="s">
        <v>39213</v>
      </c>
      <c r="E10571" t="s">
        <v>39214</v>
      </c>
      <c r="F10571" t="s">
        <v>4133</v>
      </c>
      <c r="G10571" t="s">
        <v>52</v>
      </c>
      <c r="H10571">
        <v>78705</v>
      </c>
      <c r="I10571" t="s">
        <v>30</v>
      </c>
      <c r="J10571" t="s">
        <v>111</v>
      </c>
      <c r="K10571" t="s">
        <v>112</v>
      </c>
      <c r="Q10571">
        <v>0</v>
      </c>
      <c r="R10571">
        <v>0</v>
      </c>
      <c r="S10571">
        <v>0</v>
      </c>
      <c r="T10571" t="s">
        <v>39215</v>
      </c>
    </row>
    <row r="10572" spans="1:20" customFormat="1" ht="15" x14ac:dyDescent="0.25">
      <c r="A10572" t="s">
        <v>35</v>
      </c>
      <c r="B10572" t="s">
        <v>61</v>
      </c>
      <c r="C10572" t="str">
        <f>"A0125177"</f>
        <v>A0125177</v>
      </c>
      <c r="D10572" t="s">
        <v>39216</v>
      </c>
      <c r="E10572" t="s">
        <v>39217</v>
      </c>
      <c r="F10572" t="s">
        <v>39218</v>
      </c>
      <c r="G10572" t="s">
        <v>40</v>
      </c>
      <c r="H10572">
        <v>73023</v>
      </c>
      <c r="I10572" t="s">
        <v>30</v>
      </c>
      <c r="J10572" t="s">
        <v>41</v>
      </c>
      <c r="K10572" t="s">
        <v>229</v>
      </c>
      <c r="Q10572">
        <v>0</v>
      </c>
      <c r="R10572">
        <v>60</v>
      </c>
      <c r="S10572">
        <v>60</v>
      </c>
      <c r="T10572" t="s">
        <v>39219</v>
      </c>
    </row>
    <row r="10573" spans="1:20" customFormat="1" ht="15" x14ac:dyDescent="0.25">
      <c r="A10573" t="s">
        <v>35</v>
      </c>
      <c r="B10573" t="s">
        <v>61</v>
      </c>
      <c r="C10573" t="str">
        <f>"A0130959"</f>
        <v>A0130959</v>
      </c>
      <c r="D10573" t="s">
        <v>39220</v>
      </c>
      <c r="E10573" t="s">
        <v>39221</v>
      </c>
      <c r="F10573" t="s">
        <v>39222</v>
      </c>
      <c r="G10573" t="s">
        <v>85</v>
      </c>
      <c r="H10573">
        <v>716530000</v>
      </c>
      <c r="I10573" t="s">
        <v>30</v>
      </c>
      <c r="J10573" t="s">
        <v>41</v>
      </c>
      <c r="K10573" t="s">
        <v>2463</v>
      </c>
      <c r="Q10573">
        <v>0</v>
      </c>
      <c r="R10573">
        <v>1</v>
      </c>
      <c r="S10573">
        <v>1</v>
      </c>
      <c r="T10573" t="s">
        <v>39223</v>
      </c>
    </row>
    <row r="10574" spans="1:20" customFormat="1" ht="15" x14ac:dyDescent="0.25">
      <c r="A10574" t="s">
        <v>35</v>
      </c>
      <c r="B10574" t="s">
        <v>61</v>
      </c>
      <c r="C10574" t="str">
        <f>"A0126083"</f>
        <v>A0126083</v>
      </c>
      <c r="D10574" t="s">
        <v>39224</v>
      </c>
      <c r="E10574" t="s">
        <v>39225</v>
      </c>
      <c r="F10574" t="s">
        <v>6435</v>
      </c>
      <c r="G10574" t="s">
        <v>197</v>
      </c>
      <c r="H10574">
        <v>85201</v>
      </c>
      <c r="I10574" t="s">
        <v>30</v>
      </c>
      <c r="J10574" t="s">
        <v>41</v>
      </c>
      <c r="K10574" t="s">
        <v>66</v>
      </c>
      <c r="Q10574">
        <v>0</v>
      </c>
      <c r="R10574">
        <v>30</v>
      </c>
      <c r="S10574">
        <v>30</v>
      </c>
      <c r="T10574" t="s">
        <v>39226</v>
      </c>
    </row>
    <row r="10575" spans="1:20" customFormat="1" ht="15" x14ac:dyDescent="0.25">
      <c r="A10575" t="s">
        <v>35</v>
      </c>
      <c r="B10575" t="s">
        <v>61</v>
      </c>
      <c r="C10575" t="str">
        <f>"A0117975"</f>
        <v>A0117975</v>
      </c>
      <c r="D10575" t="s">
        <v>39227</v>
      </c>
      <c r="E10575" t="s">
        <v>39228</v>
      </c>
      <c r="F10575" t="s">
        <v>20829</v>
      </c>
      <c r="G10575" t="s">
        <v>110</v>
      </c>
      <c r="H10575">
        <v>90804</v>
      </c>
      <c r="I10575" t="s">
        <v>30</v>
      </c>
      <c r="J10575" t="s">
        <v>41</v>
      </c>
      <c r="K10575" t="s">
        <v>2477</v>
      </c>
      <c r="Q10575">
        <v>0</v>
      </c>
      <c r="R10575">
        <v>40</v>
      </c>
      <c r="S10575">
        <v>40</v>
      </c>
      <c r="T10575" t="s">
        <v>39229</v>
      </c>
    </row>
    <row r="10576" spans="1:20" customFormat="1" ht="15" x14ac:dyDescent="0.25">
      <c r="A10576" t="s">
        <v>35</v>
      </c>
      <c r="B10576" t="s">
        <v>106</v>
      </c>
      <c r="C10576" t="str">
        <f>"A0136571"</f>
        <v>A0136571</v>
      </c>
      <c r="D10576" t="s">
        <v>39230</v>
      </c>
      <c r="E10576" t="s">
        <v>39231</v>
      </c>
      <c r="F10576" t="s">
        <v>4133</v>
      </c>
      <c r="G10576" t="s">
        <v>52</v>
      </c>
      <c r="H10576">
        <v>78746</v>
      </c>
      <c r="I10576" t="s">
        <v>30</v>
      </c>
      <c r="J10576" t="s">
        <v>111</v>
      </c>
      <c r="K10576" t="s">
        <v>112</v>
      </c>
      <c r="Q10576">
        <v>0</v>
      </c>
      <c r="R10576">
        <v>0</v>
      </c>
      <c r="S10576">
        <v>0</v>
      </c>
      <c r="T10576" t="s">
        <v>39232</v>
      </c>
    </row>
    <row r="10577" spans="1:20" customFormat="1" ht="15" x14ac:dyDescent="0.25">
      <c r="A10577" t="s">
        <v>35</v>
      </c>
      <c r="B10577" t="s">
        <v>106</v>
      </c>
      <c r="C10577" t="str">
        <f>"A0136570"</f>
        <v>A0136570</v>
      </c>
      <c r="D10577" t="s">
        <v>39233</v>
      </c>
      <c r="E10577" t="s">
        <v>39234</v>
      </c>
      <c r="F10577" t="s">
        <v>4133</v>
      </c>
      <c r="G10577" t="s">
        <v>52</v>
      </c>
      <c r="H10577">
        <v>78750</v>
      </c>
      <c r="I10577" t="s">
        <v>30</v>
      </c>
      <c r="J10577" t="s">
        <v>111</v>
      </c>
      <c r="K10577" t="s">
        <v>112</v>
      </c>
      <c r="Q10577">
        <v>0</v>
      </c>
      <c r="R10577">
        <v>0</v>
      </c>
      <c r="S10577">
        <v>0</v>
      </c>
      <c r="T10577" t="s">
        <v>39235</v>
      </c>
    </row>
    <row r="10578" spans="1:20" customFormat="1" ht="15" x14ac:dyDescent="0.25">
      <c r="A10578" t="s">
        <v>35</v>
      </c>
      <c r="B10578" t="s">
        <v>106</v>
      </c>
      <c r="C10578" t="str">
        <f>"A0135396"</f>
        <v>A0135396</v>
      </c>
      <c r="D10578" t="s">
        <v>39236</v>
      </c>
      <c r="E10578" t="s">
        <v>39237</v>
      </c>
      <c r="F10578" t="s">
        <v>16521</v>
      </c>
      <c r="G10578" t="s">
        <v>289</v>
      </c>
      <c r="H10578">
        <v>61603</v>
      </c>
      <c r="I10578" t="s">
        <v>30</v>
      </c>
      <c r="J10578" t="s">
        <v>111</v>
      </c>
      <c r="K10578" t="s">
        <v>112</v>
      </c>
      <c r="Q10578">
        <v>0</v>
      </c>
      <c r="R10578">
        <v>0</v>
      </c>
      <c r="S10578">
        <v>0</v>
      </c>
      <c r="T10578" t="s">
        <v>39238</v>
      </c>
    </row>
    <row r="10579" spans="1:20" customFormat="1" ht="15" x14ac:dyDescent="0.25">
      <c r="A10579" t="s">
        <v>35</v>
      </c>
      <c r="B10579" t="s">
        <v>61</v>
      </c>
      <c r="C10579" t="str">
        <f>"A0123215"</f>
        <v>A0123215</v>
      </c>
      <c r="D10579" t="s">
        <v>39239</v>
      </c>
      <c r="E10579" t="s">
        <v>39240</v>
      </c>
      <c r="F10579" t="s">
        <v>20261</v>
      </c>
      <c r="G10579" t="s">
        <v>507</v>
      </c>
      <c r="H10579">
        <v>26003</v>
      </c>
      <c r="I10579" t="s">
        <v>30</v>
      </c>
      <c r="J10579" t="s">
        <v>41</v>
      </c>
      <c r="K10579" t="s">
        <v>59</v>
      </c>
      <c r="Q10579">
        <v>0</v>
      </c>
      <c r="R10579">
        <v>45</v>
      </c>
      <c r="S10579">
        <v>45</v>
      </c>
      <c r="T10579" t="s">
        <v>39241</v>
      </c>
    </row>
    <row r="10580" spans="1:20" customFormat="1" ht="15" x14ac:dyDescent="0.25">
      <c r="A10580" t="s">
        <v>35</v>
      </c>
      <c r="B10580" t="s">
        <v>61</v>
      </c>
      <c r="C10580" t="str">
        <f>"A0128383"</f>
        <v>A0128383</v>
      </c>
      <c r="D10580" t="s">
        <v>39242</v>
      </c>
      <c r="E10580" t="s">
        <v>39243</v>
      </c>
      <c r="F10580" t="s">
        <v>426</v>
      </c>
      <c r="G10580" t="s">
        <v>427</v>
      </c>
      <c r="H10580">
        <v>68114</v>
      </c>
      <c r="I10580" t="s">
        <v>30</v>
      </c>
      <c r="J10580" t="s">
        <v>41</v>
      </c>
      <c r="K10580" t="s">
        <v>3713</v>
      </c>
      <c r="Q10580">
        <v>0</v>
      </c>
      <c r="R10580">
        <v>145</v>
      </c>
      <c r="S10580">
        <v>145</v>
      </c>
      <c r="T10580" t="s">
        <v>39244</v>
      </c>
    </row>
    <row r="10581" spans="1:20" customFormat="1" ht="15" x14ac:dyDescent="0.25">
      <c r="A10581" t="s">
        <v>35</v>
      </c>
      <c r="B10581" t="s">
        <v>61</v>
      </c>
      <c r="C10581" t="str">
        <f>"A0123216"</f>
        <v>A0123216</v>
      </c>
      <c r="D10581" t="s">
        <v>39245</v>
      </c>
      <c r="E10581" t="s">
        <v>39246</v>
      </c>
      <c r="F10581" t="s">
        <v>1795</v>
      </c>
      <c r="G10581" t="s">
        <v>29</v>
      </c>
      <c r="H10581" t="s">
        <v>39247</v>
      </c>
      <c r="I10581" t="s">
        <v>30</v>
      </c>
      <c r="J10581" t="s">
        <v>41</v>
      </c>
      <c r="K10581" t="s">
        <v>229</v>
      </c>
      <c r="Q10581">
        <v>0</v>
      </c>
      <c r="R10581">
        <v>23</v>
      </c>
      <c r="S10581">
        <v>23</v>
      </c>
      <c r="T10581" t="s">
        <v>39248</v>
      </c>
    </row>
    <row r="10582" spans="1:20" customFormat="1" ht="15" x14ac:dyDescent="0.25">
      <c r="A10582" t="s">
        <v>35</v>
      </c>
      <c r="B10582" t="s">
        <v>106</v>
      </c>
      <c r="C10582" t="str">
        <f>"A0136413"</f>
        <v>A0136413</v>
      </c>
      <c r="D10582" t="s">
        <v>39249</v>
      </c>
      <c r="E10582" t="s">
        <v>39250</v>
      </c>
      <c r="F10582" t="s">
        <v>1417</v>
      </c>
      <c r="G10582" t="s">
        <v>110</v>
      </c>
      <c r="H10582">
        <v>92562</v>
      </c>
      <c r="I10582" t="s">
        <v>30</v>
      </c>
      <c r="J10582" t="s">
        <v>111</v>
      </c>
      <c r="K10582" t="s">
        <v>112</v>
      </c>
      <c r="Q10582">
        <v>0</v>
      </c>
      <c r="R10582">
        <v>0</v>
      </c>
      <c r="S10582">
        <v>0</v>
      </c>
      <c r="T10582" t="s">
        <v>39251</v>
      </c>
    </row>
    <row r="10583" spans="1:20" customFormat="1" ht="15" x14ac:dyDescent="0.25">
      <c r="A10583" t="s">
        <v>35</v>
      </c>
      <c r="B10583" t="s">
        <v>106</v>
      </c>
      <c r="C10583" t="str">
        <f>"A0136595"</f>
        <v>A0136595</v>
      </c>
      <c r="D10583" t="s">
        <v>39252</v>
      </c>
      <c r="E10583" t="s">
        <v>39253</v>
      </c>
      <c r="F10583" t="s">
        <v>37800</v>
      </c>
      <c r="G10583" t="s">
        <v>52</v>
      </c>
      <c r="H10583">
        <v>78613</v>
      </c>
      <c r="I10583" t="s">
        <v>30</v>
      </c>
      <c r="J10583" t="s">
        <v>111</v>
      </c>
      <c r="K10583" t="s">
        <v>112</v>
      </c>
      <c r="Q10583">
        <v>0</v>
      </c>
      <c r="R10583">
        <v>0</v>
      </c>
      <c r="S10583">
        <v>0</v>
      </c>
      <c r="T10583" t="s">
        <v>39254</v>
      </c>
    </row>
    <row r="10584" spans="1:20" customFormat="1" ht="15" x14ac:dyDescent="0.25">
      <c r="A10584" t="s">
        <v>35</v>
      </c>
      <c r="B10584" t="s">
        <v>61</v>
      </c>
      <c r="C10584" t="str">
        <f>"A0118364"</f>
        <v>A0118364</v>
      </c>
      <c r="D10584" t="s">
        <v>39255</v>
      </c>
      <c r="E10584" t="s">
        <v>39256</v>
      </c>
      <c r="F10584" t="s">
        <v>5742</v>
      </c>
      <c r="G10584" t="s">
        <v>110</v>
      </c>
      <c r="H10584">
        <v>958210000</v>
      </c>
      <c r="I10584" t="s">
        <v>30</v>
      </c>
      <c r="J10584" t="s">
        <v>41</v>
      </c>
      <c r="K10584" t="s">
        <v>2477</v>
      </c>
      <c r="Q10584">
        <v>0</v>
      </c>
      <c r="R10584">
        <v>48</v>
      </c>
      <c r="S10584">
        <v>48</v>
      </c>
      <c r="T10584" t="s">
        <v>39257</v>
      </c>
    </row>
    <row r="10585" spans="1:20" customFormat="1" ht="15" x14ac:dyDescent="0.25">
      <c r="A10585" t="s">
        <v>35</v>
      </c>
      <c r="B10585" t="s">
        <v>61</v>
      </c>
      <c r="C10585" t="str">
        <f>"A0126103"</f>
        <v>A0126103</v>
      </c>
      <c r="D10585" t="s">
        <v>39258</v>
      </c>
      <c r="E10585" t="s">
        <v>39259</v>
      </c>
      <c r="F10585" t="s">
        <v>39260</v>
      </c>
      <c r="G10585" t="s">
        <v>197</v>
      </c>
      <c r="H10585">
        <v>86503</v>
      </c>
      <c r="I10585" t="s">
        <v>30</v>
      </c>
      <c r="J10585" t="s">
        <v>41</v>
      </c>
      <c r="K10585" t="s">
        <v>112</v>
      </c>
      <c r="Q10585">
        <v>0</v>
      </c>
      <c r="R10585">
        <v>1</v>
      </c>
      <c r="S10585">
        <v>1</v>
      </c>
      <c r="T10585" t="s">
        <v>39261</v>
      </c>
    </row>
    <row r="10586" spans="1:20" customFormat="1" ht="15" x14ac:dyDescent="0.25">
      <c r="A10586" t="s">
        <v>35</v>
      </c>
      <c r="B10586" t="s">
        <v>61</v>
      </c>
      <c r="C10586" t="str">
        <f>"A0122545"</f>
        <v>A0122545</v>
      </c>
      <c r="D10586" t="s">
        <v>39262</v>
      </c>
      <c r="E10586" t="s">
        <v>39263</v>
      </c>
      <c r="F10586" t="s">
        <v>39264</v>
      </c>
      <c r="G10586" t="s">
        <v>1184</v>
      </c>
      <c r="H10586">
        <v>59523</v>
      </c>
      <c r="I10586" t="s">
        <v>30</v>
      </c>
      <c r="J10586" t="s">
        <v>41</v>
      </c>
      <c r="K10586" t="s">
        <v>6300</v>
      </c>
      <c r="Q10586">
        <v>0</v>
      </c>
      <c r="R10586">
        <v>0</v>
      </c>
      <c r="S10586">
        <v>0</v>
      </c>
      <c r="T10586" t="s">
        <v>39265</v>
      </c>
    </row>
    <row r="10587" spans="1:20" customFormat="1" ht="15" x14ac:dyDescent="0.25">
      <c r="A10587" t="s">
        <v>35</v>
      </c>
      <c r="B10587" t="s">
        <v>61</v>
      </c>
      <c r="C10587" t="str">
        <f>"A0123671"</f>
        <v>A0123671</v>
      </c>
      <c r="D10587" t="s">
        <v>39266</v>
      </c>
      <c r="E10587" t="s">
        <v>39267</v>
      </c>
      <c r="F10587" t="s">
        <v>1795</v>
      </c>
      <c r="G10587" t="s">
        <v>29</v>
      </c>
      <c r="H10587">
        <v>23225</v>
      </c>
      <c r="I10587" t="s">
        <v>30</v>
      </c>
      <c r="J10587" t="s">
        <v>41</v>
      </c>
      <c r="K10587" t="s">
        <v>482</v>
      </c>
      <c r="Q10587">
        <v>0</v>
      </c>
      <c r="R10587">
        <v>96</v>
      </c>
      <c r="S10587">
        <v>96</v>
      </c>
      <c r="T10587" t="s">
        <v>39268</v>
      </c>
    </row>
    <row r="10588" spans="1:20" customFormat="1" ht="15" x14ac:dyDescent="0.25">
      <c r="A10588" t="s">
        <v>35</v>
      </c>
      <c r="B10588" t="s">
        <v>61</v>
      </c>
      <c r="C10588" t="str">
        <f>"A0128128"</f>
        <v>A0128128</v>
      </c>
      <c r="D10588" t="s">
        <v>39269</v>
      </c>
      <c r="E10588" t="s">
        <v>39270</v>
      </c>
      <c r="F10588" t="s">
        <v>39271</v>
      </c>
      <c r="G10588" t="s">
        <v>117</v>
      </c>
      <c r="H10588">
        <v>49783</v>
      </c>
      <c r="I10588" t="s">
        <v>30</v>
      </c>
      <c r="J10588" t="s">
        <v>41</v>
      </c>
      <c r="K10588" t="s">
        <v>3713</v>
      </c>
      <c r="Q10588">
        <v>0</v>
      </c>
      <c r="R10588">
        <v>51</v>
      </c>
      <c r="S10588">
        <v>51</v>
      </c>
      <c r="T10588" t="s">
        <v>39272</v>
      </c>
    </row>
    <row r="10589" spans="1:20" customFormat="1" ht="15" x14ac:dyDescent="0.25">
      <c r="A10589" t="s">
        <v>35</v>
      </c>
      <c r="B10589" t="s">
        <v>61</v>
      </c>
      <c r="C10589" t="str">
        <f>"A0122568"</f>
        <v>A0122568</v>
      </c>
      <c r="D10589" t="s">
        <v>39273</v>
      </c>
      <c r="E10589" t="s">
        <v>39274</v>
      </c>
      <c r="F10589" t="s">
        <v>37866</v>
      </c>
      <c r="G10589" t="s">
        <v>1184</v>
      </c>
      <c r="H10589">
        <v>59521</v>
      </c>
      <c r="I10589" t="s">
        <v>30</v>
      </c>
      <c r="J10589" t="s">
        <v>41</v>
      </c>
      <c r="K10589" t="s">
        <v>8643</v>
      </c>
      <c r="Q10589">
        <v>0</v>
      </c>
      <c r="R10589">
        <v>0</v>
      </c>
      <c r="S10589">
        <v>0</v>
      </c>
      <c r="T10589" t="s">
        <v>39275</v>
      </c>
    </row>
    <row r="10590" spans="1:20" customFormat="1" ht="15" x14ac:dyDescent="0.25">
      <c r="A10590" t="s">
        <v>35</v>
      </c>
      <c r="B10590" t="s">
        <v>106</v>
      </c>
      <c r="C10590" t="str">
        <f>"A0136540"</f>
        <v>A0136540</v>
      </c>
      <c r="D10590" t="s">
        <v>39276</v>
      </c>
      <c r="E10590" t="s">
        <v>39277</v>
      </c>
      <c r="F10590" t="s">
        <v>130</v>
      </c>
      <c r="G10590" t="s">
        <v>40</v>
      </c>
      <c r="H10590">
        <v>73701</v>
      </c>
      <c r="I10590" t="s">
        <v>30</v>
      </c>
      <c r="J10590" t="s">
        <v>111</v>
      </c>
      <c r="K10590" t="s">
        <v>112</v>
      </c>
      <c r="Q10590">
        <v>0</v>
      </c>
      <c r="R10590">
        <v>0</v>
      </c>
      <c r="S10590">
        <v>0</v>
      </c>
      <c r="T10590" t="s">
        <v>39278</v>
      </c>
    </row>
    <row r="10591" spans="1:20" customFormat="1" ht="15" x14ac:dyDescent="0.25">
      <c r="A10591" t="s">
        <v>35</v>
      </c>
      <c r="B10591" t="s">
        <v>61</v>
      </c>
      <c r="C10591" t="str">
        <f>"A0125274"</f>
        <v>A0125274</v>
      </c>
      <c r="D10591" t="s">
        <v>39279</v>
      </c>
      <c r="E10591" t="s">
        <v>39280</v>
      </c>
      <c r="F10591" t="s">
        <v>39281</v>
      </c>
      <c r="G10591" t="s">
        <v>40</v>
      </c>
      <c r="H10591">
        <v>73533</v>
      </c>
      <c r="I10591" t="s">
        <v>30</v>
      </c>
      <c r="J10591" t="s">
        <v>41</v>
      </c>
      <c r="K10591" t="s">
        <v>59</v>
      </c>
      <c r="Q10591">
        <v>0</v>
      </c>
      <c r="R10591">
        <v>60</v>
      </c>
      <c r="S10591">
        <v>60</v>
      </c>
      <c r="T10591" t="s">
        <v>39282</v>
      </c>
    </row>
    <row r="10592" spans="1:20" customFormat="1" ht="15" x14ac:dyDescent="0.25">
      <c r="A10592" t="s">
        <v>35</v>
      </c>
      <c r="B10592" t="s">
        <v>61</v>
      </c>
      <c r="C10592" t="str">
        <f>"A0117792"</f>
        <v>A0117792</v>
      </c>
      <c r="D10592" t="s">
        <v>39283</v>
      </c>
      <c r="E10592" t="s">
        <v>39284</v>
      </c>
      <c r="F10592" t="s">
        <v>39024</v>
      </c>
      <c r="G10592" t="s">
        <v>110</v>
      </c>
      <c r="H10592">
        <v>93670</v>
      </c>
      <c r="I10592" t="s">
        <v>30</v>
      </c>
      <c r="J10592" t="s">
        <v>41</v>
      </c>
      <c r="K10592" t="s">
        <v>229</v>
      </c>
      <c r="Q10592">
        <v>0</v>
      </c>
      <c r="R10592">
        <v>30</v>
      </c>
      <c r="S10592">
        <v>30</v>
      </c>
      <c r="T10592" t="s">
        <v>39285</v>
      </c>
    </row>
    <row r="10593" spans="1:20" customFormat="1" ht="15" x14ac:dyDescent="0.25">
      <c r="A10593" t="s">
        <v>35</v>
      </c>
      <c r="B10593" t="s">
        <v>61</v>
      </c>
      <c r="C10593" t="str">
        <f>"A0124134"</f>
        <v>A0124134</v>
      </c>
      <c r="D10593" t="s">
        <v>39286</v>
      </c>
      <c r="E10593" t="s">
        <v>39287</v>
      </c>
      <c r="F10593" t="s">
        <v>4674</v>
      </c>
      <c r="G10593" t="s">
        <v>314</v>
      </c>
      <c r="H10593">
        <v>20009</v>
      </c>
      <c r="I10593" t="s">
        <v>30</v>
      </c>
      <c r="J10593" t="s">
        <v>41</v>
      </c>
      <c r="K10593" t="s">
        <v>59</v>
      </c>
      <c r="Q10593">
        <v>0</v>
      </c>
      <c r="R10593">
        <v>88</v>
      </c>
      <c r="S10593">
        <v>88</v>
      </c>
      <c r="T10593" t="s">
        <v>39288</v>
      </c>
    </row>
    <row r="10594" spans="1:20" customFormat="1" ht="15" x14ac:dyDescent="0.25">
      <c r="A10594" t="s">
        <v>35</v>
      </c>
      <c r="B10594" t="s">
        <v>61</v>
      </c>
      <c r="C10594" t="str">
        <f>"A0126608"</f>
        <v>A0126608</v>
      </c>
      <c r="D10594" t="s">
        <v>39289</v>
      </c>
      <c r="E10594" t="s">
        <v>39290</v>
      </c>
      <c r="F10594" t="s">
        <v>36622</v>
      </c>
      <c r="G10594" t="s">
        <v>103</v>
      </c>
      <c r="H10594">
        <v>15801</v>
      </c>
      <c r="I10594" t="s">
        <v>30</v>
      </c>
      <c r="J10594" t="s">
        <v>41</v>
      </c>
      <c r="K10594" t="s">
        <v>1440</v>
      </c>
      <c r="Q10594">
        <v>0</v>
      </c>
      <c r="R10594">
        <v>160</v>
      </c>
      <c r="S10594">
        <v>160</v>
      </c>
      <c r="T10594" t="s">
        <v>39291</v>
      </c>
    </row>
    <row r="10595" spans="1:20" customFormat="1" ht="15" x14ac:dyDescent="0.25">
      <c r="A10595" t="s">
        <v>35</v>
      </c>
      <c r="B10595" t="s">
        <v>61</v>
      </c>
      <c r="C10595" t="str">
        <f>"A0127828"</f>
        <v>A0127828</v>
      </c>
      <c r="D10595" t="s">
        <v>39292</v>
      </c>
      <c r="E10595" t="s">
        <v>39293</v>
      </c>
      <c r="F10595" t="s">
        <v>39294</v>
      </c>
      <c r="G10595" t="s">
        <v>117</v>
      </c>
      <c r="H10595">
        <v>49442</v>
      </c>
      <c r="I10595" t="s">
        <v>30</v>
      </c>
      <c r="J10595" t="s">
        <v>41</v>
      </c>
      <c r="K10595" t="s">
        <v>59</v>
      </c>
      <c r="Q10595">
        <v>0</v>
      </c>
      <c r="R10595">
        <v>49</v>
      </c>
      <c r="S10595">
        <v>49</v>
      </c>
      <c r="T10595" t="s">
        <v>39295</v>
      </c>
    </row>
    <row r="10596" spans="1:20" customFormat="1" ht="15" x14ac:dyDescent="0.25">
      <c r="A10596" t="s">
        <v>35</v>
      </c>
      <c r="B10596" t="s">
        <v>61</v>
      </c>
      <c r="C10596" t="str">
        <f>"A0128183"</f>
        <v>A0128183</v>
      </c>
      <c r="D10596" t="s">
        <v>39296</v>
      </c>
      <c r="E10596" t="s">
        <v>39297</v>
      </c>
      <c r="F10596" t="s">
        <v>9617</v>
      </c>
      <c r="G10596" t="s">
        <v>117</v>
      </c>
      <c r="H10596">
        <v>49442</v>
      </c>
      <c r="I10596" t="s">
        <v>30</v>
      </c>
      <c r="J10596" t="s">
        <v>41</v>
      </c>
      <c r="K10596" t="s">
        <v>59</v>
      </c>
      <c r="Q10596">
        <v>0</v>
      </c>
      <c r="R10596">
        <v>0</v>
      </c>
      <c r="S10596">
        <v>0</v>
      </c>
      <c r="T10596" t="s">
        <v>39298</v>
      </c>
    </row>
    <row r="10597" spans="1:20" customFormat="1" ht="15" x14ac:dyDescent="0.25">
      <c r="A10597" t="s">
        <v>35</v>
      </c>
      <c r="B10597" t="s">
        <v>61</v>
      </c>
      <c r="C10597" t="str">
        <f>"A0126127"</f>
        <v>A0126127</v>
      </c>
      <c r="D10597" t="s">
        <v>39299</v>
      </c>
      <c r="E10597" t="s">
        <v>39300</v>
      </c>
      <c r="F10597" t="s">
        <v>10187</v>
      </c>
      <c r="G10597" t="s">
        <v>197</v>
      </c>
      <c r="H10597">
        <v>85029</v>
      </c>
      <c r="I10597" t="s">
        <v>30</v>
      </c>
      <c r="J10597" t="s">
        <v>41</v>
      </c>
      <c r="K10597" t="s">
        <v>229</v>
      </c>
      <c r="Q10597">
        <v>0</v>
      </c>
      <c r="R10597">
        <v>60</v>
      </c>
      <c r="S10597">
        <v>60</v>
      </c>
      <c r="T10597" t="s">
        <v>39301</v>
      </c>
    </row>
    <row r="10598" spans="1:20" customFormat="1" ht="15" x14ac:dyDescent="0.25">
      <c r="A10598" t="s">
        <v>35</v>
      </c>
      <c r="B10598" t="s">
        <v>61</v>
      </c>
      <c r="C10598" t="str">
        <f>"A0127274"</f>
        <v>A0127274</v>
      </c>
      <c r="D10598" t="s">
        <v>39302</v>
      </c>
      <c r="E10598" t="s">
        <v>39303</v>
      </c>
      <c r="F10598" t="s">
        <v>20144</v>
      </c>
      <c r="G10598" t="s">
        <v>846</v>
      </c>
      <c r="H10598">
        <v>30291</v>
      </c>
      <c r="I10598" t="s">
        <v>30</v>
      </c>
      <c r="J10598" t="s">
        <v>41</v>
      </c>
      <c r="K10598" t="s">
        <v>1440</v>
      </c>
      <c r="Q10598">
        <v>0</v>
      </c>
      <c r="R10598">
        <v>400</v>
      </c>
      <c r="S10598">
        <v>400</v>
      </c>
      <c r="T10598" t="s">
        <v>39304</v>
      </c>
    </row>
    <row r="10599" spans="1:20" customFormat="1" ht="15" x14ac:dyDescent="0.25">
      <c r="A10599" t="s">
        <v>35</v>
      </c>
      <c r="B10599" t="s">
        <v>106</v>
      </c>
      <c r="C10599" t="str">
        <f>"A0136315"</f>
        <v>A0136315</v>
      </c>
      <c r="D10599" t="s">
        <v>39305</v>
      </c>
      <c r="E10599" t="s">
        <v>39306</v>
      </c>
      <c r="F10599" t="s">
        <v>35580</v>
      </c>
      <c r="G10599" t="s">
        <v>1369</v>
      </c>
      <c r="H10599">
        <v>39503</v>
      </c>
      <c r="I10599" t="s">
        <v>30</v>
      </c>
      <c r="J10599" t="s">
        <v>111</v>
      </c>
      <c r="K10599" t="s">
        <v>112</v>
      </c>
      <c r="Q10599">
        <v>0</v>
      </c>
      <c r="R10599">
        <v>0</v>
      </c>
      <c r="S10599">
        <v>0</v>
      </c>
      <c r="T10599" t="s">
        <v>39307</v>
      </c>
    </row>
    <row r="10600" spans="1:20" customFormat="1" ht="15" x14ac:dyDescent="0.25">
      <c r="A10600" t="s">
        <v>35</v>
      </c>
      <c r="B10600" t="s">
        <v>61</v>
      </c>
      <c r="C10600" t="str">
        <f>"A0123049"</f>
        <v>A0123049</v>
      </c>
      <c r="D10600" t="s">
        <v>39308</v>
      </c>
      <c r="E10600" t="s">
        <v>39309</v>
      </c>
      <c r="F10600" t="s">
        <v>39310</v>
      </c>
      <c r="G10600" t="s">
        <v>76</v>
      </c>
      <c r="H10600">
        <v>98264</v>
      </c>
      <c r="I10600" t="s">
        <v>30</v>
      </c>
      <c r="J10600" t="s">
        <v>41</v>
      </c>
      <c r="K10600" t="s">
        <v>229</v>
      </c>
      <c r="Q10600">
        <v>0</v>
      </c>
      <c r="R10600">
        <v>120</v>
      </c>
      <c r="S10600">
        <v>120</v>
      </c>
      <c r="T10600" t="s">
        <v>39311</v>
      </c>
    </row>
    <row r="10601" spans="1:20" customFormat="1" ht="15" x14ac:dyDescent="0.25">
      <c r="A10601" t="s">
        <v>35</v>
      </c>
      <c r="B10601" t="s">
        <v>61</v>
      </c>
      <c r="C10601" t="str">
        <f>"A0130128"</f>
        <v>A0130128</v>
      </c>
      <c r="D10601" t="s">
        <v>39312</v>
      </c>
      <c r="E10601" t="s">
        <v>39313</v>
      </c>
      <c r="F10601" t="s">
        <v>39314</v>
      </c>
      <c r="G10601" t="s">
        <v>427</v>
      </c>
      <c r="H10601">
        <v>689493130</v>
      </c>
      <c r="I10601" t="s">
        <v>30</v>
      </c>
      <c r="J10601" t="s">
        <v>41</v>
      </c>
      <c r="K10601" t="s">
        <v>59</v>
      </c>
      <c r="Q10601">
        <v>0</v>
      </c>
      <c r="R10601">
        <v>79</v>
      </c>
      <c r="S10601">
        <v>79</v>
      </c>
      <c r="T10601" t="s">
        <v>39315</v>
      </c>
    </row>
    <row r="10602" spans="1:20" customFormat="1" ht="15" x14ac:dyDescent="0.25">
      <c r="A10602" t="s">
        <v>35</v>
      </c>
      <c r="B10602" t="s">
        <v>61</v>
      </c>
      <c r="C10602" t="str">
        <f>"A0132769"</f>
        <v>A0132769</v>
      </c>
      <c r="D10602" t="s">
        <v>39316</v>
      </c>
      <c r="E10602" t="s">
        <v>39317</v>
      </c>
      <c r="F10602" t="s">
        <v>39318</v>
      </c>
      <c r="G10602" t="s">
        <v>65</v>
      </c>
      <c r="H10602">
        <v>44413</v>
      </c>
      <c r="I10602" t="s">
        <v>30</v>
      </c>
      <c r="J10602" t="s">
        <v>41</v>
      </c>
      <c r="K10602" t="s">
        <v>59</v>
      </c>
      <c r="Q10602">
        <v>0</v>
      </c>
      <c r="R10602">
        <v>44</v>
      </c>
      <c r="S10602">
        <v>44</v>
      </c>
      <c r="T10602" t="s">
        <v>39319</v>
      </c>
    </row>
    <row r="10603" spans="1:20" customFormat="1" ht="15" x14ac:dyDescent="0.25">
      <c r="A10603" t="s">
        <v>35</v>
      </c>
      <c r="B10603" t="s">
        <v>106</v>
      </c>
      <c r="C10603" t="str">
        <f>"A0135939"</f>
        <v>A0135939</v>
      </c>
      <c r="D10603" t="s">
        <v>39320</v>
      </c>
      <c r="E10603" t="s">
        <v>39321</v>
      </c>
      <c r="F10603" t="s">
        <v>39322</v>
      </c>
      <c r="G10603" t="s">
        <v>99</v>
      </c>
      <c r="H10603">
        <v>14830</v>
      </c>
      <c r="I10603" t="s">
        <v>30</v>
      </c>
      <c r="J10603" t="s">
        <v>111</v>
      </c>
      <c r="K10603" t="s">
        <v>112</v>
      </c>
      <c r="Q10603">
        <v>0</v>
      </c>
      <c r="R10603">
        <v>0</v>
      </c>
      <c r="S10603">
        <v>0</v>
      </c>
      <c r="T10603" t="s">
        <v>39323</v>
      </c>
    </row>
    <row r="10604" spans="1:20" customFormat="1" ht="15" x14ac:dyDescent="0.25">
      <c r="A10604" t="s">
        <v>35</v>
      </c>
      <c r="B10604" t="s">
        <v>61</v>
      </c>
      <c r="C10604" t="str">
        <f>"A0122556"</f>
        <v>A0122556</v>
      </c>
      <c r="D10604" t="s">
        <v>39324</v>
      </c>
      <c r="E10604" t="s">
        <v>39325</v>
      </c>
      <c r="F10604" t="s">
        <v>18721</v>
      </c>
      <c r="G10604" t="s">
        <v>76</v>
      </c>
      <c r="H10604">
        <v>98801</v>
      </c>
      <c r="I10604" t="s">
        <v>30</v>
      </c>
      <c r="J10604" t="s">
        <v>41</v>
      </c>
      <c r="K10604" t="s">
        <v>59</v>
      </c>
      <c r="Q10604">
        <v>0</v>
      </c>
      <c r="R10604">
        <v>50</v>
      </c>
      <c r="S10604">
        <v>50</v>
      </c>
      <c r="T10604" t="s">
        <v>39326</v>
      </c>
    </row>
    <row r="10605" spans="1:20" customFormat="1" ht="15" x14ac:dyDescent="0.25">
      <c r="A10605" t="s">
        <v>35</v>
      </c>
      <c r="B10605" t="s">
        <v>61</v>
      </c>
      <c r="C10605" t="str">
        <f>"A0128759"</f>
        <v>A0128759</v>
      </c>
      <c r="D10605" t="s">
        <v>39327</v>
      </c>
      <c r="E10605" t="s">
        <v>39328</v>
      </c>
      <c r="F10605" t="s">
        <v>13867</v>
      </c>
      <c r="G10605" t="s">
        <v>1170</v>
      </c>
      <c r="H10605">
        <v>70433</v>
      </c>
      <c r="I10605" t="s">
        <v>30</v>
      </c>
      <c r="J10605" t="s">
        <v>41</v>
      </c>
      <c r="K10605" t="s">
        <v>59</v>
      </c>
      <c r="Q10605">
        <v>0</v>
      </c>
      <c r="R10605">
        <v>35</v>
      </c>
      <c r="S10605">
        <v>35</v>
      </c>
      <c r="T10605" t="s">
        <v>39329</v>
      </c>
    </row>
    <row r="10606" spans="1:20" customFormat="1" ht="15" x14ac:dyDescent="0.25">
      <c r="A10606" t="s">
        <v>35</v>
      </c>
      <c r="B10606" t="s">
        <v>61</v>
      </c>
      <c r="C10606" t="str">
        <f>"A0127285"</f>
        <v>A0127285</v>
      </c>
      <c r="D10606" t="s">
        <v>39330</v>
      </c>
      <c r="E10606" t="s">
        <v>39331</v>
      </c>
      <c r="F10606" t="s">
        <v>39332</v>
      </c>
      <c r="G10606" t="s">
        <v>846</v>
      </c>
      <c r="H10606">
        <v>31030</v>
      </c>
      <c r="I10606" t="s">
        <v>30</v>
      </c>
      <c r="J10606" t="s">
        <v>41</v>
      </c>
      <c r="K10606" t="s">
        <v>229</v>
      </c>
      <c r="Q10606">
        <v>0</v>
      </c>
      <c r="R10606">
        <v>49</v>
      </c>
      <c r="S10606">
        <v>49</v>
      </c>
      <c r="T10606" t="s">
        <v>39333</v>
      </c>
    </row>
    <row r="10607" spans="1:20" customFormat="1" ht="15" x14ac:dyDescent="0.25">
      <c r="A10607" t="s">
        <v>35</v>
      </c>
      <c r="B10607" t="s">
        <v>61</v>
      </c>
      <c r="C10607" t="str">
        <f>"A0128130"</f>
        <v>A0128130</v>
      </c>
      <c r="D10607" t="s">
        <v>39334</v>
      </c>
      <c r="E10607" t="s">
        <v>39335</v>
      </c>
      <c r="F10607" t="s">
        <v>15636</v>
      </c>
      <c r="G10607" t="s">
        <v>117</v>
      </c>
      <c r="H10607">
        <v>48035</v>
      </c>
      <c r="I10607" t="s">
        <v>30</v>
      </c>
      <c r="J10607" t="s">
        <v>41</v>
      </c>
      <c r="K10607" t="s">
        <v>59</v>
      </c>
      <c r="Q10607">
        <v>0</v>
      </c>
      <c r="R10607">
        <v>96</v>
      </c>
      <c r="S10607">
        <v>96</v>
      </c>
      <c r="T10607" t="s">
        <v>39336</v>
      </c>
    </row>
    <row r="10608" spans="1:20" customFormat="1" ht="15" x14ac:dyDescent="0.25">
      <c r="A10608" t="s">
        <v>35</v>
      </c>
      <c r="B10608" t="s">
        <v>61</v>
      </c>
      <c r="C10608" t="str">
        <f>"A0127727"</f>
        <v>A0127727</v>
      </c>
      <c r="D10608" t="s">
        <v>26540</v>
      </c>
      <c r="E10608" t="s">
        <v>39337</v>
      </c>
      <c r="F10608" t="s">
        <v>15636</v>
      </c>
      <c r="G10608" t="s">
        <v>117</v>
      </c>
      <c r="H10608">
        <v>480350000</v>
      </c>
      <c r="I10608" t="s">
        <v>30</v>
      </c>
      <c r="J10608" t="s">
        <v>41</v>
      </c>
      <c r="K10608" t="s">
        <v>229</v>
      </c>
      <c r="Q10608">
        <v>0</v>
      </c>
      <c r="R10608">
        <v>268</v>
      </c>
      <c r="S10608">
        <v>268</v>
      </c>
      <c r="T10608" t="s">
        <v>39338</v>
      </c>
    </row>
    <row r="10609" spans="1:20" customFormat="1" ht="15" x14ac:dyDescent="0.25">
      <c r="A10609" t="s">
        <v>35</v>
      </c>
      <c r="B10609" t="s">
        <v>61</v>
      </c>
      <c r="C10609" t="str">
        <f>"A0123217"</f>
        <v>A0123217</v>
      </c>
      <c r="D10609" t="s">
        <v>39339</v>
      </c>
      <c r="E10609" t="s">
        <v>39340</v>
      </c>
      <c r="F10609" t="s">
        <v>1693</v>
      </c>
      <c r="G10609" t="s">
        <v>214</v>
      </c>
      <c r="H10609">
        <v>28117</v>
      </c>
      <c r="I10609" t="s">
        <v>30</v>
      </c>
      <c r="J10609" t="s">
        <v>41</v>
      </c>
      <c r="K10609" t="s">
        <v>482</v>
      </c>
      <c r="Q10609">
        <v>0</v>
      </c>
      <c r="R10609">
        <v>70</v>
      </c>
      <c r="S10609">
        <v>70</v>
      </c>
      <c r="T10609" t="s">
        <v>39341</v>
      </c>
    </row>
    <row r="10610" spans="1:20" customFormat="1" ht="15" x14ac:dyDescent="0.25">
      <c r="A10610" t="s">
        <v>35</v>
      </c>
      <c r="B10610" t="s">
        <v>61</v>
      </c>
      <c r="C10610" t="str">
        <f>"A0133299"</f>
        <v>A0133299</v>
      </c>
      <c r="D10610" t="s">
        <v>39342</v>
      </c>
      <c r="E10610" t="s">
        <v>39343</v>
      </c>
      <c r="F10610" t="s">
        <v>23230</v>
      </c>
      <c r="G10610" t="s">
        <v>52</v>
      </c>
      <c r="H10610">
        <v>784140000</v>
      </c>
      <c r="I10610" t="s">
        <v>30</v>
      </c>
      <c r="J10610" t="s">
        <v>41</v>
      </c>
      <c r="K10610" t="s">
        <v>229</v>
      </c>
      <c r="Q10610">
        <v>0</v>
      </c>
      <c r="R10610">
        <v>120</v>
      </c>
      <c r="S10610">
        <v>120</v>
      </c>
      <c r="T10610" t="s">
        <v>39344</v>
      </c>
    </row>
    <row r="10611" spans="1:20" customFormat="1" ht="15" x14ac:dyDescent="0.25">
      <c r="A10611" t="s">
        <v>35</v>
      </c>
      <c r="B10611" t="s">
        <v>106</v>
      </c>
      <c r="C10611" t="str">
        <f>"A0135381"</f>
        <v>A0135381</v>
      </c>
      <c r="D10611" t="s">
        <v>39345</v>
      </c>
      <c r="E10611" t="s">
        <v>39346</v>
      </c>
      <c r="F10611" t="s">
        <v>3661</v>
      </c>
      <c r="G10611" t="s">
        <v>65</v>
      </c>
      <c r="H10611">
        <v>45223</v>
      </c>
      <c r="I10611" t="s">
        <v>30</v>
      </c>
      <c r="J10611" t="s">
        <v>111</v>
      </c>
      <c r="K10611" t="s">
        <v>112</v>
      </c>
      <c r="Q10611">
        <v>0</v>
      </c>
      <c r="R10611">
        <v>0</v>
      </c>
      <c r="S10611">
        <v>0</v>
      </c>
      <c r="T10611" t="s">
        <v>39347</v>
      </c>
    </row>
    <row r="10612" spans="1:20" customFormat="1" ht="15" x14ac:dyDescent="0.25">
      <c r="A10612" t="s">
        <v>35</v>
      </c>
      <c r="B10612" t="s">
        <v>106</v>
      </c>
      <c r="C10612" t="str">
        <f>"A0136596"</f>
        <v>A0136596</v>
      </c>
      <c r="D10612" t="s">
        <v>39348</v>
      </c>
      <c r="E10612" t="s">
        <v>39349</v>
      </c>
      <c r="F10612" t="s">
        <v>4133</v>
      </c>
      <c r="G10612" t="s">
        <v>52</v>
      </c>
      <c r="H10612">
        <v>78739</v>
      </c>
      <c r="I10612" t="s">
        <v>30</v>
      </c>
      <c r="J10612" t="s">
        <v>111</v>
      </c>
      <c r="K10612" t="s">
        <v>112</v>
      </c>
      <c r="Q10612">
        <v>0</v>
      </c>
      <c r="R10612">
        <v>0</v>
      </c>
      <c r="S10612">
        <v>0</v>
      </c>
      <c r="T10612" t="s">
        <v>39350</v>
      </c>
    </row>
    <row r="10613" spans="1:20" customFormat="1" ht="15" x14ac:dyDescent="0.25">
      <c r="A10613" t="s">
        <v>35</v>
      </c>
      <c r="B10613" t="s">
        <v>61</v>
      </c>
      <c r="C10613" t="str">
        <f>"A0131949"</f>
        <v>A0131949</v>
      </c>
      <c r="D10613" t="s">
        <v>39351</v>
      </c>
      <c r="E10613" t="s">
        <v>39352</v>
      </c>
      <c r="F10613" t="s">
        <v>8647</v>
      </c>
      <c r="G10613" t="s">
        <v>65</v>
      </c>
      <c r="H10613">
        <v>44460</v>
      </c>
      <c r="I10613" t="s">
        <v>30</v>
      </c>
      <c r="J10613" t="s">
        <v>41</v>
      </c>
      <c r="K10613" t="s">
        <v>59</v>
      </c>
      <c r="Q10613">
        <v>0</v>
      </c>
      <c r="R10613">
        <v>62</v>
      </c>
      <c r="S10613">
        <v>62</v>
      </c>
      <c r="T10613" t="s">
        <v>39353</v>
      </c>
    </row>
    <row r="10614" spans="1:20" customFormat="1" ht="15" x14ac:dyDescent="0.25">
      <c r="A10614" t="s">
        <v>35</v>
      </c>
      <c r="B10614" t="s">
        <v>437</v>
      </c>
      <c r="C10614" t="str">
        <f>"A0134093"</f>
        <v>A0134093</v>
      </c>
      <c r="D10614" t="s">
        <v>39354</v>
      </c>
      <c r="E10614" t="s">
        <v>39355</v>
      </c>
      <c r="F10614" t="s">
        <v>39356</v>
      </c>
      <c r="G10614" t="s">
        <v>2391</v>
      </c>
      <c r="H10614">
        <v>5841</v>
      </c>
      <c r="I10614" t="s">
        <v>30</v>
      </c>
      <c r="J10614" t="s">
        <v>441</v>
      </c>
      <c r="K10614" t="s">
        <v>42</v>
      </c>
      <c r="Q10614">
        <v>0</v>
      </c>
      <c r="R10614">
        <v>0</v>
      </c>
      <c r="S10614">
        <v>0</v>
      </c>
      <c r="T10614" t="s">
        <v>39357</v>
      </c>
    </row>
    <row r="10615" spans="1:20" customFormat="1" ht="15" x14ac:dyDescent="0.25">
      <c r="A10615" t="s">
        <v>35</v>
      </c>
      <c r="B10615" t="s">
        <v>61</v>
      </c>
      <c r="C10615" t="str">
        <f>"A0118180"</f>
        <v>A0118180</v>
      </c>
      <c r="D10615" t="s">
        <v>39358</v>
      </c>
      <c r="E10615" t="s">
        <v>39359</v>
      </c>
      <c r="F10615" t="s">
        <v>38643</v>
      </c>
      <c r="G10615" t="s">
        <v>153</v>
      </c>
      <c r="H10615">
        <v>84097</v>
      </c>
      <c r="I10615" t="s">
        <v>30</v>
      </c>
      <c r="J10615" t="s">
        <v>41</v>
      </c>
      <c r="K10615" t="s">
        <v>461</v>
      </c>
      <c r="Q10615">
        <v>0</v>
      </c>
      <c r="R10615">
        <v>37</v>
      </c>
      <c r="S10615">
        <v>37</v>
      </c>
      <c r="T10615" t="s">
        <v>39360</v>
      </c>
    </row>
    <row r="10616" spans="1:20" customFormat="1" ht="15" x14ac:dyDescent="0.25">
      <c r="A10616" t="s">
        <v>35</v>
      </c>
      <c r="B10616" t="s">
        <v>61</v>
      </c>
      <c r="C10616" t="str">
        <f>"A0127587"</f>
        <v>A0127587</v>
      </c>
      <c r="D10616" t="s">
        <v>39361</v>
      </c>
      <c r="E10616" t="s">
        <v>39362</v>
      </c>
      <c r="F10616" t="s">
        <v>18400</v>
      </c>
      <c r="G10616" t="s">
        <v>123</v>
      </c>
      <c r="H10616">
        <v>21078</v>
      </c>
      <c r="I10616" t="s">
        <v>30</v>
      </c>
      <c r="J10616" t="s">
        <v>41</v>
      </c>
      <c r="K10616" t="s">
        <v>229</v>
      </c>
      <c r="Q10616">
        <v>0</v>
      </c>
      <c r="R10616">
        <v>184</v>
      </c>
      <c r="S10616">
        <v>184</v>
      </c>
      <c r="T10616" t="s">
        <v>39363</v>
      </c>
    </row>
    <row r="10617" spans="1:20" customFormat="1" ht="15" x14ac:dyDescent="0.25">
      <c r="A10617" t="s">
        <v>35</v>
      </c>
      <c r="B10617" t="s">
        <v>61</v>
      </c>
      <c r="C10617" t="str">
        <f>"A0127849"</f>
        <v>A0127849</v>
      </c>
      <c r="D10617" t="s">
        <v>39364</v>
      </c>
      <c r="E10617" t="s">
        <v>39365</v>
      </c>
      <c r="F10617" t="s">
        <v>1981</v>
      </c>
      <c r="G10617" t="s">
        <v>117</v>
      </c>
      <c r="H10617">
        <v>48933</v>
      </c>
      <c r="I10617" t="s">
        <v>30</v>
      </c>
      <c r="J10617" t="s">
        <v>41</v>
      </c>
      <c r="K10617" t="s">
        <v>4317</v>
      </c>
      <c r="Q10617">
        <v>0</v>
      </c>
      <c r="R10617">
        <v>0</v>
      </c>
      <c r="S10617">
        <v>0</v>
      </c>
      <c r="T10617" t="s">
        <v>39366</v>
      </c>
    </row>
    <row r="10618" spans="1:20" customFormat="1" ht="15" x14ac:dyDescent="0.25">
      <c r="A10618" t="s">
        <v>35</v>
      </c>
      <c r="B10618" t="s">
        <v>61</v>
      </c>
      <c r="C10618" t="str">
        <f>"A0129943"</f>
        <v>A0129943</v>
      </c>
      <c r="D10618" t="s">
        <v>39367</v>
      </c>
      <c r="E10618" t="s">
        <v>39368</v>
      </c>
      <c r="F10618" t="s">
        <v>4622</v>
      </c>
      <c r="G10618" t="s">
        <v>880</v>
      </c>
      <c r="H10618">
        <v>37064</v>
      </c>
      <c r="I10618" t="s">
        <v>30</v>
      </c>
      <c r="J10618" t="s">
        <v>41</v>
      </c>
      <c r="K10618" t="s">
        <v>229</v>
      </c>
      <c r="Q10618">
        <v>0</v>
      </c>
      <c r="R10618">
        <v>157</v>
      </c>
      <c r="S10618">
        <v>157</v>
      </c>
      <c r="T10618" t="s">
        <v>39369</v>
      </c>
    </row>
    <row r="10619" spans="1:20" customFormat="1" ht="15" x14ac:dyDescent="0.25">
      <c r="A10619" t="s">
        <v>35</v>
      </c>
      <c r="B10619" t="s">
        <v>61</v>
      </c>
      <c r="C10619" t="str">
        <f>"A0117879"</f>
        <v>A0117879</v>
      </c>
      <c r="D10619" t="s">
        <v>39370</v>
      </c>
      <c r="E10619" t="s">
        <v>39371</v>
      </c>
      <c r="F10619" t="s">
        <v>39372</v>
      </c>
      <c r="G10619" t="s">
        <v>110</v>
      </c>
      <c r="H10619">
        <v>91790</v>
      </c>
      <c r="I10619" t="s">
        <v>30</v>
      </c>
      <c r="J10619" t="s">
        <v>41</v>
      </c>
      <c r="K10619" t="s">
        <v>229</v>
      </c>
      <c r="Q10619">
        <v>0</v>
      </c>
      <c r="R10619">
        <v>49</v>
      </c>
      <c r="S10619">
        <v>49</v>
      </c>
      <c r="T10619" t="s">
        <v>39373</v>
      </c>
    </row>
    <row r="10620" spans="1:20" customFormat="1" ht="15" x14ac:dyDescent="0.25">
      <c r="A10620" t="s">
        <v>35</v>
      </c>
      <c r="B10620" t="s">
        <v>437</v>
      </c>
      <c r="C10620" t="str">
        <f>"A0134065"</f>
        <v>A0134065</v>
      </c>
      <c r="D10620" t="s">
        <v>39374</v>
      </c>
      <c r="E10620" t="s">
        <v>39375</v>
      </c>
      <c r="F10620" t="s">
        <v>21814</v>
      </c>
      <c r="G10620" t="s">
        <v>110</v>
      </c>
      <c r="H10620">
        <v>90405</v>
      </c>
      <c r="I10620" t="s">
        <v>30</v>
      </c>
      <c r="J10620" t="s">
        <v>441</v>
      </c>
      <c r="K10620" t="s">
        <v>442</v>
      </c>
      <c r="Q10620">
        <v>0</v>
      </c>
      <c r="R10620">
        <v>0</v>
      </c>
      <c r="S10620">
        <v>0</v>
      </c>
      <c r="T10620" t="s">
        <v>39376</v>
      </c>
    </row>
    <row r="10621" spans="1:20" customFormat="1" ht="15" x14ac:dyDescent="0.25">
      <c r="A10621" t="s">
        <v>35</v>
      </c>
      <c r="B10621" t="s">
        <v>61</v>
      </c>
      <c r="C10621" t="str">
        <f>"A0119003"</f>
        <v>A0119003</v>
      </c>
      <c r="D10621" t="s">
        <v>39377</v>
      </c>
      <c r="E10621" t="s">
        <v>39378</v>
      </c>
      <c r="F10621" t="s">
        <v>22046</v>
      </c>
      <c r="G10621" t="s">
        <v>110</v>
      </c>
      <c r="H10621">
        <v>91711</v>
      </c>
      <c r="I10621" t="s">
        <v>30</v>
      </c>
      <c r="J10621" t="s">
        <v>41</v>
      </c>
      <c r="K10621" t="s">
        <v>131</v>
      </c>
      <c r="Q10621">
        <v>0</v>
      </c>
      <c r="R10621">
        <v>70</v>
      </c>
      <c r="S10621">
        <v>70</v>
      </c>
      <c r="T10621" t="s">
        <v>39379</v>
      </c>
    </row>
    <row r="10622" spans="1:20" customFormat="1" ht="15" x14ac:dyDescent="0.25">
      <c r="A10622" t="s">
        <v>35</v>
      </c>
      <c r="B10622" t="s">
        <v>61</v>
      </c>
      <c r="C10622" t="str">
        <f>"A0125471"</f>
        <v>A0125471</v>
      </c>
      <c r="D10622" t="s">
        <v>39380</v>
      </c>
      <c r="E10622" t="s">
        <v>39381</v>
      </c>
      <c r="F10622" t="s">
        <v>17349</v>
      </c>
      <c r="G10622" t="s">
        <v>40</v>
      </c>
      <c r="H10622">
        <v>74017</v>
      </c>
      <c r="I10622" t="s">
        <v>30</v>
      </c>
      <c r="J10622" t="s">
        <v>41</v>
      </c>
      <c r="K10622" t="s">
        <v>6300</v>
      </c>
      <c r="Q10622">
        <v>0</v>
      </c>
      <c r="R10622">
        <v>0</v>
      </c>
      <c r="S10622">
        <v>0</v>
      </c>
      <c r="T10622" t="s">
        <v>39382</v>
      </c>
    </row>
    <row r="10623" spans="1:20" customFormat="1" ht="15" x14ac:dyDescent="0.25">
      <c r="A10623" t="s">
        <v>35</v>
      </c>
      <c r="B10623" t="s">
        <v>61</v>
      </c>
      <c r="C10623" t="str">
        <f>"A0133114"</f>
        <v>A0133114</v>
      </c>
      <c r="D10623" t="s">
        <v>39383</v>
      </c>
      <c r="E10623" t="s">
        <v>39384</v>
      </c>
      <c r="F10623" t="s">
        <v>39385</v>
      </c>
      <c r="G10623" t="s">
        <v>52</v>
      </c>
      <c r="H10623">
        <v>79226</v>
      </c>
      <c r="I10623" t="s">
        <v>30</v>
      </c>
      <c r="J10623" t="s">
        <v>41</v>
      </c>
      <c r="K10623" t="s">
        <v>229</v>
      </c>
      <c r="Q10623">
        <v>0</v>
      </c>
      <c r="R10623">
        <v>50</v>
      </c>
      <c r="S10623">
        <v>50</v>
      </c>
      <c r="T10623" t="s">
        <v>39386</v>
      </c>
    </row>
    <row r="10624" spans="1:20" customFormat="1" ht="15" x14ac:dyDescent="0.25">
      <c r="A10624" t="s">
        <v>35</v>
      </c>
      <c r="B10624" t="s">
        <v>61</v>
      </c>
      <c r="C10624" t="str">
        <f>"A0130986"</f>
        <v>A0130986</v>
      </c>
      <c r="D10624" t="s">
        <v>39387</v>
      </c>
      <c r="E10624" t="s">
        <v>39388</v>
      </c>
      <c r="F10624" t="s">
        <v>39389</v>
      </c>
      <c r="G10624" t="s">
        <v>137</v>
      </c>
      <c r="H10624">
        <v>634450000</v>
      </c>
      <c r="I10624" t="s">
        <v>30</v>
      </c>
      <c r="J10624" t="s">
        <v>41</v>
      </c>
      <c r="K10624" t="s">
        <v>229</v>
      </c>
      <c r="Q10624">
        <v>0</v>
      </c>
      <c r="R10624">
        <v>140</v>
      </c>
      <c r="S10624">
        <v>140</v>
      </c>
      <c r="T10624" t="s">
        <v>39390</v>
      </c>
    </row>
    <row r="10625" spans="1:20" customFormat="1" ht="15" x14ac:dyDescent="0.25">
      <c r="A10625" t="s">
        <v>35</v>
      </c>
      <c r="B10625" t="s">
        <v>61</v>
      </c>
      <c r="C10625" t="str">
        <f>"A0127955"</f>
        <v>A0127955</v>
      </c>
      <c r="D10625" t="s">
        <v>39391</v>
      </c>
      <c r="E10625" t="s">
        <v>39392</v>
      </c>
      <c r="F10625" t="s">
        <v>9607</v>
      </c>
      <c r="G10625" t="s">
        <v>117</v>
      </c>
      <c r="H10625">
        <v>49506</v>
      </c>
      <c r="I10625" t="s">
        <v>30</v>
      </c>
      <c r="J10625" t="s">
        <v>41</v>
      </c>
      <c r="K10625" t="s">
        <v>59</v>
      </c>
      <c r="Q10625">
        <v>0</v>
      </c>
      <c r="R10625">
        <v>460</v>
      </c>
      <c r="S10625">
        <v>460</v>
      </c>
      <c r="T10625" t="s">
        <v>39393</v>
      </c>
    </row>
    <row r="10626" spans="1:20" customFormat="1" ht="15" x14ac:dyDescent="0.25">
      <c r="A10626" t="s">
        <v>35</v>
      </c>
      <c r="B10626" t="s">
        <v>61</v>
      </c>
      <c r="C10626" t="str">
        <f>"A0128864"</f>
        <v>A0128864</v>
      </c>
      <c r="D10626" t="s">
        <v>39394</v>
      </c>
      <c r="E10626" t="s">
        <v>39395</v>
      </c>
      <c r="F10626" t="s">
        <v>2674</v>
      </c>
      <c r="G10626" t="s">
        <v>289</v>
      </c>
      <c r="H10626">
        <v>61801</v>
      </c>
      <c r="I10626" t="s">
        <v>30</v>
      </c>
      <c r="J10626" t="s">
        <v>41</v>
      </c>
      <c r="K10626" t="s">
        <v>229</v>
      </c>
      <c r="Q10626">
        <v>0</v>
      </c>
      <c r="R10626">
        <v>248</v>
      </c>
      <c r="S10626">
        <v>248</v>
      </c>
      <c r="T10626" t="s">
        <v>39396</v>
      </c>
    </row>
    <row r="10627" spans="1:20" customFormat="1" ht="15" x14ac:dyDescent="0.25">
      <c r="A10627" t="s">
        <v>35</v>
      </c>
      <c r="B10627" t="s">
        <v>61</v>
      </c>
      <c r="C10627" t="str">
        <f>"A0130376"</f>
        <v>A0130376</v>
      </c>
      <c r="D10627" t="s">
        <v>39397</v>
      </c>
      <c r="E10627" t="s">
        <v>39398</v>
      </c>
      <c r="F10627" t="s">
        <v>11777</v>
      </c>
      <c r="G10627" t="s">
        <v>1898</v>
      </c>
      <c r="H10627">
        <v>50619</v>
      </c>
      <c r="I10627" t="s">
        <v>30</v>
      </c>
      <c r="J10627" t="s">
        <v>41</v>
      </c>
      <c r="K10627" t="s">
        <v>229</v>
      </c>
      <c r="Q10627">
        <v>0</v>
      </c>
      <c r="R10627">
        <v>42</v>
      </c>
      <c r="S10627">
        <v>42</v>
      </c>
      <c r="T10627" t="s">
        <v>39399</v>
      </c>
    </row>
    <row r="10628" spans="1:20" customFormat="1" ht="15" x14ac:dyDescent="0.25">
      <c r="A10628" t="s">
        <v>35</v>
      </c>
      <c r="B10628" t="s">
        <v>61</v>
      </c>
      <c r="C10628" t="str">
        <f>"A0129027"</f>
        <v>A0129027</v>
      </c>
      <c r="D10628" t="s">
        <v>39400</v>
      </c>
      <c r="E10628" t="s">
        <v>39401</v>
      </c>
      <c r="F10628" t="s">
        <v>39402</v>
      </c>
      <c r="G10628" t="s">
        <v>289</v>
      </c>
      <c r="H10628">
        <v>61427</v>
      </c>
      <c r="I10628" t="s">
        <v>30</v>
      </c>
      <c r="J10628" t="s">
        <v>41</v>
      </c>
      <c r="K10628" t="s">
        <v>229</v>
      </c>
      <c r="Q10628">
        <v>0</v>
      </c>
      <c r="R10628">
        <v>49</v>
      </c>
      <c r="S10628">
        <v>49</v>
      </c>
      <c r="T10628" t="s">
        <v>39403</v>
      </c>
    </row>
    <row r="10629" spans="1:20" customFormat="1" ht="15" x14ac:dyDescent="0.25">
      <c r="A10629" t="s">
        <v>35</v>
      </c>
      <c r="B10629" t="s">
        <v>61</v>
      </c>
      <c r="C10629" t="str">
        <f>"A0125673"</f>
        <v>A0125673</v>
      </c>
      <c r="D10629" t="s">
        <v>39404</v>
      </c>
      <c r="E10629" t="s">
        <v>39405</v>
      </c>
      <c r="F10629" t="s">
        <v>39406</v>
      </c>
      <c r="G10629" t="s">
        <v>29</v>
      </c>
      <c r="H10629">
        <v>23824</v>
      </c>
      <c r="I10629" t="s">
        <v>30</v>
      </c>
      <c r="J10629" t="s">
        <v>41</v>
      </c>
      <c r="K10629" t="s">
        <v>59</v>
      </c>
      <c r="Q10629">
        <v>0</v>
      </c>
      <c r="R10629">
        <v>65</v>
      </c>
      <c r="S10629">
        <v>65</v>
      </c>
      <c r="T10629" t="s">
        <v>39407</v>
      </c>
    </row>
    <row r="10630" spans="1:20" customFormat="1" ht="15" x14ac:dyDescent="0.25">
      <c r="A10630" t="s">
        <v>35</v>
      </c>
      <c r="B10630" t="s">
        <v>61</v>
      </c>
      <c r="C10630" t="str">
        <f>"A0125463"</f>
        <v>A0125463</v>
      </c>
      <c r="D10630" t="s">
        <v>39408</v>
      </c>
      <c r="E10630" t="s">
        <v>39409</v>
      </c>
      <c r="F10630" t="s">
        <v>12923</v>
      </c>
      <c r="G10630" t="s">
        <v>40</v>
      </c>
      <c r="H10630">
        <v>73013</v>
      </c>
      <c r="I10630" t="s">
        <v>30</v>
      </c>
      <c r="J10630" t="s">
        <v>41</v>
      </c>
      <c r="K10630" t="s">
        <v>59</v>
      </c>
      <c r="Q10630">
        <v>0</v>
      </c>
      <c r="R10630">
        <v>48</v>
      </c>
      <c r="S10630">
        <v>48</v>
      </c>
      <c r="T10630" t="s">
        <v>39410</v>
      </c>
    </row>
    <row r="10631" spans="1:20" customFormat="1" ht="15" x14ac:dyDescent="0.25">
      <c r="A10631" t="s">
        <v>35</v>
      </c>
      <c r="B10631" t="s">
        <v>61</v>
      </c>
      <c r="C10631" t="str">
        <f>"A0130368"</f>
        <v>A0130368</v>
      </c>
      <c r="D10631" t="s">
        <v>39411</v>
      </c>
      <c r="E10631" t="s">
        <v>39412</v>
      </c>
      <c r="F10631" t="s">
        <v>39413</v>
      </c>
      <c r="G10631" t="s">
        <v>1898</v>
      </c>
      <c r="H10631">
        <v>50840</v>
      </c>
      <c r="I10631" t="s">
        <v>30</v>
      </c>
      <c r="J10631" t="s">
        <v>41</v>
      </c>
      <c r="K10631" t="s">
        <v>229</v>
      </c>
      <c r="Q10631">
        <v>0</v>
      </c>
      <c r="R10631">
        <v>36</v>
      </c>
      <c r="S10631">
        <v>36</v>
      </c>
      <c r="T10631" t="s">
        <v>39414</v>
      </c>
    </row>
    <row r="10632" spans="1:20" customFormat="1" ht="15" x14ac:dyDescent="0.25">
      <c r="A10632" t="s">
        <v>35</v>
      </c>
      <c r="B10632" t="s">
        <v>61</v>
      </c>
      <c r="C10632" t="str">
        <f>"A0130364"</f>
        <v>A0130364</v>
      </c>
      <c r="D10632" t="s">
        <v>39415</v>
      </c>
      <c r="E10632" t="s">
        <v>39416</v>
      </c>
      <c r="F10632" t="s">
        <v>39417</v>
      </c>
      <c r="G10632" t="s">
        <v>1898</v>
      </c>
      <c r="H10632">
        <v>50854</v>
      </c>
      <c r="I10632" t="s">
        <v>30</v>
      </c>
      <c r="J10632" t="s">
        <v>41</v>
      </c>
      <c r="K10632" t="s">
        <v>229</v>
      </c>
      <c r="Q10632">
        <v>0</v>
      </c>
      <c r="R10632">
        <v>97</v>
      </c>
      <c r="S10632">
        <v>97</v>
      </c>
      <c r="T10632" t="s">
        <v>39418</v>
      </c>
    </row>
    <row r="10633" spans="1:20" customFormat="1" ht="15" x14ac:dyDescent="0.25">
      <c r="A10633" t="s">
        <v>35</v>
      </c>
      <c r="B10633" t="s">
        <v>61</v>
      </c>
      <c r="C10633" t="str">
        <f>"A0123218"</f>
        <v>A0123218</v>
      </c>
      <c r="D10633" t="s">
        <v>39419</v>
      </c>
      <c r="E10633" t="s">
        <v>39420</v>
      </c>
      <c r="F10633" t="s">
        <v>37549</v>
      </c>
      <c r="G10633" t="s">
        <v>29</v>
      </c>
      <c r="H10633">
        <v>22610</v>
      </c>
      <c r="I10633" t="s">
        <v>30</v>
      </c>
      <c r="J10633" t="s">
        <v>41</v>
      </c>
      <c r="K10633" t="s">
        <v>59</v>
      </c>
      <c r="Q10633">
        <v>0</v>
      </c>
      <c r="R10633">
        <v>1</v>
      </c>
      <c r="S10633">
        <v>1</v>
      </c>
    </row>
    <row r="10634" spans="1:20" customFormat="1" ht="15" x14ac:dyDescent="0.25">
      <c r="A10634" t="s">
        <v>35</v>
      </c>
      <c r="B10634" t="s">
        <v>61</v>
      </c>
      <c r="C10634" t="str">
        <f>"A0118424"</f>
        <v>A0118424</v>
      </c>
      <c r="D10634" t="s">
        <v>39421</v>
      </c>
      <c r="E10634" t="s">
        <v>39422</v>
      </c>
      <c r="F10634" t="s">
        <v>9215</v>
      </c>
      <c r="G10634" t="s">
        <v>110</v>
      </c>
      <c r="H10634">
        <v>90247</v>
      </c>
      <c r="I10634" t="s">
        <v>30</v>
      </c>
      <c r="J10634" t="s">
        <v>41</v>
      </c>
      <c r="K10634" t="s">
        <v>229</v>
      </c>
      <c r="Q10634">
        <v>0</v>
      </c>
      <c r="R10634">
        <v>170</v>
      </c>
      <c r="S10634">
        <v>170</v>
      </c>
      <c r="T10634" t="s">
        <v>39423</v>
      </c>
    </row>
    <row r="10635" spans="1:20" customFormat="1" ht="15" x14ac:dyDescent="0.25">
      <c r="A10635" t="s">
        <v>35</v>
      </c>
      <c r="B10635" t="s">
        <v>106</v>
      </c>
      <c r="C10635" t="str">
        <f>"A0136015"</f>
        <v>A0136015</v>
      </c>
      <c r="D10635" t="s">
        <v>39424</v>
      </c>
      <c r="E10635" t="s">
        <v>39425</v>
      </c>
      <c r="F10635" t="s">
        <v>12931</v>
      </c>
      <c r="G10635" t="s">
        <v>81</v>
      </c>
      <c r="H10635">
        <v>33759</v>
      </c>
      <c r="I10635" t="s">
        <v>30</v>
      </c>
      <c r="J10635" t="s">
        <v>111</v>
      </c>
      <c r="K10635" t="s">
        <v>10012</v>
      </c>
      <c r="Q10635">
        <v>0</v>
      </c>
      <c r="R10635">
        <v>0</v>
      </c>
      <c r="S10635">
        <v>0</v>
      </c>
      <c r="T10635" t="s">
        <v>39426</v>
      </c>
    </row>
    <row r="10636" spans="1:20" customFormat="1" ht="15" x14ac:dyDescent="0.25">
      <c r="A10636" t="s">
        <v>35</v>
      </c>
      <c r="B10636" t="s">
        <v>61</v>
      </c>
      <c r="C10636" t="str">
        <f>"A0130957"</f>
        <v>A0130957</v>
      </c>
      <c r="D10636" t="s">
        <v>39427</v>
      </c>
      <c r="E10636" t="s">
        <v>39428</v>
      </c>
      <c r="F10636" t="s">
        <v>39429</v>
      </c>
      <c r="G10636" t="s">
        <v>85</v>
      </c>
      <c r="H10636">
        <v>716650000</v>
      </c>
      <c r="I10636" t="s">
        <v>30</v>
      </c>
      <c r="J10636" t="s">
        <v>41</v>
      </c>
      <c r="K10636" t="s">
        <v>2463</v>
      </c>
      <c r="Q10636">
        <v>0</v>
      </c>
      <c r="R10636">
        <v>1</v>
      </c>
      <c r="S10636">
        <v>1</v>
      </c>
      <c r="T10636" t="s">
        <v>39430</v>
      </c>
    </row>
    <row r="10637" spans="1:20" customFormat="1" ht="15" x14ac:dyDescent="0.25">
      <c r="A10637" t="s">
        <v>35</v>
      </c>
      <c r="B10637" t="s">
        <v>61</v>
      </c>
      <c r="C10637" t="str">
        <f>"A0118465"</f>
        <v>A0118465</v>
      </c>
      <c r="D10637" t="s">
        <v>39431</v>
      </c>
      <c r="E10637" t="s">
        <v>39432</v>
      </c>
      <c r="F10637" t="s">
        <v>4032</v>
      </c>
      <c r="G10637" t="s">
        <v>110</v>
      </c>
      <c r="H10637">
        <v>93109</v>
      </c>
      <c r="I10637" t="s">
        <v>30</v>
      </c>
      <c r="J10637" t="s">
        <v>41</v>
      </c>
      <c r="K10637" t="s">
        <v>59</v>
      </c>
      <c r="Q10637">
        <v>0</v>
      </c>
      <c r="R10637">
        <v>72</v>
      </c>
      <c r="S10637">
        <v>72</v>
      </c>
      <c r="T10637" t="s">
        <v>39433</v>
      </c>
    </row>
    <row r="10638" spans="1:20" customFormat="1" ht="15" x14ac:dyDescent="0.25">
      <c r="A10638" t="s">
        <v>35</v>
      </c>
      <c r="B10638" t="s">
        <v>61</v>
      </c>
      <c r="C10638" t="str">
        <f>"A0123220"</f>
        <v>A0123220</v>
      </c>
      <c r="D10638" t="s">
        <v>39434</v>
      </c>
      <c r="E10638" t="s">
        <v>39435</v>
      </c>
      <c r="F10638" t="s">
        <v>19528</v>
      </c>
      <c r="G10638" t="s">
        <v>338</v>
      </c>
      <c r="H10638">
        <v>7052</v>
      </c>
      <c r="I10638" t="s">
        <v>30</v>
      </c>
      <c r="J10638" t="s">
        <v>41</v>
      </c>
      <c r="K10638" t="s">
        <v>482</v>
      </c>
      <c r="Q10638">
        <v>0</v>
      </c>
      <c r="R10638">
        <v>74</v>
      </c>
      <c r="S10638">
        <v>74</v>
      </c>
      <c r="T10638" t="s">
        <v>39436</v>
      </c>
    </row>
    <row r="10639" spans="1:20" customFormat="1" ht="15" x14ac:dyDescent="0.25">
      <c r="A10639" t="s">
        <v>35</v>
      </c>
      <c r="B10639" t="s">
        <v>61</v>
      </c>
      <c r="C10639" t="str">
        <f>"A0127735"</f>
        <v>A0127735</v>
      </c>
      <c r="D10639" t="s">
        <v>39437</v>
      </c>
      <c r="E10639" t="s">
        <v>39438</v>
      </c>
      <c r="F10639" t="s">
        <v>39439</v>
      </c>
      <c r="G10639" t="s">
        <v>117</v>
      </c>
      <c r="H10639">
        <v>48879</v>
      </c>
      <c r="I10639" t="s">
        <v>30</v>
      </c>
      <c r="J10639" t="s">
        <v>41</v>
      </c>
      <c r="K10639" t="s">
        <v>8643</v>
      </c>
      <c r="Q10639">
        <v>0</v>
      </c>
      <c r="R10639">
        <v>180</v>
      </c>
      <c r="S10639">
        <v>180</v>
      </c>
      <c r="T10639" t="s">
        <v>39440</v>
      </c>
    </row>
    <row r="10640" spans="1:20" customFormat="1" ht="15" x14ac:dyDescent="0.25">
      <c r="A10640" t="s">
        <v>35</v>
      </c>
      <c r="B10640" t="s">
        <v>61</v>
      </c>
      <c r="C10640" t="str">
        <f>"A0123892"</f>
        <v>A0123892</v>
      </c>
      <c r="D10640" t="s">
        <v>39441</v>
      </c>
      <c r="E10640" t="s">
        <v>39442</v>
      </c>
      <c r="F10640" t="s">
        <v>3193</v>
      </c>
      <c r="G10640" t="s">
        <v>214</v>
      </c>
      <c r="H10640">
        <v>28328</v>
      </c>
      <c r="I10640" t="s">
        <v>30</v>
      </c>
      <c r="J10640" t="s">
        <v>41</v>
      </c>
      <c r="K10640" t="s">
        <v>2477</v>
      </c>
      <c r="Q10640">
        <v>0</v>
      </c>
      <c r="R10640">
        <v>0</v>
      </c>
      <c r="S10640">
        <v>0</v>
      </c>
      <c r="T10640" t="s">
        <v>39443</v>
      </c>
    </row>
    <row r="10641" spans="1:20" customFormat="1" ht="15" x14ac:dyDescent="0.25">
      <c r="A10641" t="s">
        <v>35</v>
      </c>
      <c r="B10641" t="s">
        <v>61</v>
      </c>
      <c r="C10641" t="str">
        <f>"A0150695"</f>
        <v>A0150695</v>
      </c>
      <c r="D10641" t="s">
        <v>39444</v>
      </c>
      <c r="E10641" t="s">
        <v>39445</v>
      </c>
      <c r="F10641" t="s">
        <v>3193</v>
      </c>
      <c r="G10641" t="s">
        <v>58</v>
      </c>
      <c r="H10641">
        <v>29325</v>
      </c>
      <c r="I10641" t="s">
        <v>30</v>
      </c>
      <c r="J10641" t="s">
        <v>41</v>
      </c>
      <c r="K10641" t="s">
        <v>290</v>
      </c>
      <c r="Q10641">
        <v>0</v>
      </c>
      <c r="R10641">
        <v>0</v>
      </c>
      <c r="S10641">
        <v>0</v>
      </c>
      <c r="T10641" t="s">
        <v>39446</v>
      </c>
    </row>
    <row r="10642" spans="1:20" customFormat="1" ht="15" x14ac:dyDescent="0.25">
      <c r="A10642" t="s">
        <v>35</v>
      </c>
      <c r="B10642" t="s">
        <v>61</v>
      </c>
      <c r="C10642" t="str">
        <f>"A0131122"</f>
        <v>A0131122</v>
      </c>
      <c r="D10642" t="s">
        <v>39447</v>
      </c>
      <c r="E10642" t="s">
        <v>39448</v>
      </c>
      <c r="F10642" t="s">
        <v>3193</v>
      </c>
      <c r="G10642" t="s">
        <v>85</v>
      </c>
      <c r="H10642">
        <v>720310000</v>
      </c>
      <c r="I10642" t="s">
        <v>30</v>
      </c>
      <c r="J10642" t="s">
        <v>41</v>
      </c>
      <c r="K10642" t="s">
        <v>2760</v>
      </c>
      <c r="Q10642">
        <v>0</v>
      </c>
      <c r="R10642">
        <v>1</v>
      </c>
      <c r="S10642">
        <v>1</v>
      </c>
      <c r="T10642" t="s">
        <v>39449</v>
      </c>
    </row>
    <row r="10643" spans="1:20" customFormat="1" ht="15" x14ac:dyDescent="0.25">
      <c r="A10643" t="s">
        <v>35</v>
      </c>
      <c r="B10643" t="s">
        <v>61</v>
      </c>
      <c r="C10643" t="str">
        <f>"A0128571"</f>
        <v>A0128571</v>
      </c>
      <c r="D10643" t="s">
        <v>39450</v>
      </c>
      <c r="E10643" t="s">
        <v>39451</v>
      </c>
      <c r="F10643" t="s">
        <v>3193</v>
      </c>
      <c r="G10643" t="s">
        <v>840</v>
      </c>
      <c r="H10643">
        <v>42031</v>
      </c>
      <c r="I10643" t="s">
        <v>30</v>
      </c>
      <c r="J10643" t="s">
        <v>41</v>
      </c>
      <c r="K10643" t="s">
        <v>229</v>
      </c>
      <c r="Q10643">
        <v>0</v>
      </c>
      <c r="R10643">
        <v>56</v>
      </c>
      <c r="S10643">
        <v>56</v>
      </c>
      <c r="T10643" t="s">
        <v>39452</v>
      </c>
    </row>
    <row r="10644" spans="1:20" customFormat="1" ht="15" x14ac:dyDescent="0.25">
      <c r="A10644" t="s">
        <v>35</v>
      </c>
      <c r="B10644" t="s">
        <v>61</v>
      </c>
      <c r="C10644" t="str">
        <f>"A0121886"</f>
        <v>A0121886</v>
      </c>
      <c r="D10644" t="s">
        <v>39453</v>
      </c>
      <c r="E10644" t="s">
        <v>39454</v>
      </c>
      <c r="F10644" t="s">
        <v>1439</v>
      </c>
      <c r="G10644" t="s">
        <v>110</v>
      </c>
      <c r="H10644">
        <v>92108</v>
      </c>
      <c r="I10644" t="s">
        <v>30</v>
      </c>
      <c r="J10644" t="s">
        <v>41</v>
      </c>
      <c r="K10644" t="s">
        <v>229</v>
      </c>
      <c r="Q10644">
        <v>0</v>
      </c>
      <c r="R10644">
        <v>40</v>
      </c>
      <c r="S10644">
        <v>40</v>
      </c>
      <c r="T10644" t="s">
        <v>39455</v>
      </c>
    </row>
    <row r="10645" spans="1:20" customFormat="1" ht="15" x14ac:dyDescent="0.25">
      <c r="A10645" t="s">
        <v>35</v>
      </c>
      <c r="B10645" t="s">
        <v>61</v>
      </c>
      <c r="C10645" t="str">
        <f>"A0126409"</f>
        <v>A0126409</v>
      </c>
      <c r="D10645" t="s">
        <v>39456</v>
      </c>
      <c r="E10645" t="s">
        <v>39457</v>
      </c>
      <c r="F10645" t="s">
        <v>10564</v>
      </c>
      <c r="G10645" t="s">
        <v>81</v>
      </c>
      <c r="H10645">
        <v>32967</v>
      </c>
      <c r="I10645" t="s">
        <v>30</v>
      </c>
      <c r="J10645" t="s">
        <v>41</v>
      </c>
      <c r="K10645" t="s">
        <v>59</v>
      </c>
      <c r="Q10645">
        <v>0</v>
      </c>
      <c r="R10645">
        <v>19</v>
      </c>
      <c r="S10645">
        <v>19</v>
      </c>
      <c r="T10645" t="s">
        <v>39458</v>
      </c>
    </row>
    <row r="10646" spans="1:20" customFormat="1" ht="15" x14ac:dyDescent="0.25">
      <c r="A10646" t="s">
        <v>35</v>
      </c>
      <c r="B10646" t="s">
        <v>61</v>
      </c>
      <c r="C10646" t="str">
        <f>"A0133334"</f>
        <v>A0133334</v>
      </c>
      <c r="D10646" t="s">
        <v>39459</v>
      </c>
      <c r="E10646" t="s">
        <v>39460</v>
      </c>
      <c r="F10646" t="s">
        <v>39461</v>
      </c>
      <c r="G10646" t="s">
        <v>52</v>
      </c>
      <c r="H10646">
        <v>75418</v>
      </c>
      <c r="I10646" t="s">
        <v>30</v>
      </c>
      <c r="J10646" t="s">
        <v>41</v>
      </c>
      <c r="K10646" t="s">
        <v>229</v>
      </c>
      <c r="Q10646">
        <v>0</v>
      </c>
      <c r="R10646">
        <v>160</v>
      </c>
      <c r="S10646">
        <v>160</v>
      </c>
      <c r="T10646" t="s">
        <v>39462</v>
      </c>
    </row>
    <row r="10647" spans="1:20" customFormat="1" ht="15" x14ac:dyDescent="0.25">
      <c r="A10647" t="s">
        <v>35</v>
      </c>
      <c r="B10647" t="s">
        <v>106</v>
      </c>
      <c r="C10647" t="str">
        <f>"A0135413"</f>
        <v>A0135413</v>
      </c>
      <c r="D10647" t="s">
        <v>39463</v>
      </c>
      <c r="E10647" t="s">
        <v>39464</v>
      </c>
      <c r="F10647" t="s">
        <v>39465</v>
      </c>
      <c r="G10647" t="s">
        <v>190</v>
      </c>
      <c r="H10647">
        <v>81052</v>
      </c>
      <c r="I10647" t="s">
        <v>30</v>
      </c>
      <c r="J10647" t="s">
        <v>111</v>
      </c>
      <c r="K10647" t="s">
        <v>112</v>
      </c>
      <c r="Q10647">
        <v>0</v>
      </c>
      <c r="R10647">
        <v>0</v>
      </c>
      <c r="S10647">
        <v>0</v>
      </c>
      <c r="T10647" t="s">
        <v>39466</v>
      </c>
    </row>
    <row r="10648" spans="1:20" customFormat="1" ht="15" x14ac:dyDescent="0.25">
      <c r="A10648" t="s">
        <v>35</v>
      </c>
      <c r="B10648" t="s">
        <v>106</v>
      </c>
      <c r="C10648" t="str">
        <f>"A0135410"</f>
        <v>A0135410</v>
      </c>
      <c r="D10648" t="s">
        <v>39467</v>
      </c>
      <c r="E10648" t="s">
        <v>39468</v>
      </c>
      <c r="F10648" t="s">
        <v>39469</v>
      </c>
      <c r="G10648" t="s">
        <v>137</v>
      </c>
      <c r="H10648">
        <v>64730</v>
      </c>
      <c r="I10648" t="s">
        <v>30</v>
      </c>
      <c r="J10648" t="s">
        <v>111</v>
      </c>
      <c r="K10648" t="s">
        <v>112</v>
      </c>
      <c r="Q10648">
        <v>0</v>
      </c>
      <c r="R10648">
        <v>0</v>
      </c>
      <c r="S10648">
        <v>0</v>
      </c>
      <c r="T10648" t="s">
        <v>39466</v>
      </c>
    </row>
    <row r="10649" spans="1:20" customFormat="1" ht="15" x14ac:dyDescent="0.25">
      <c r="A10649" t="s">
        <v>35</v>
      </c>
      <c r="B10649" t="s">
        <v>106</v>
      </c>
      <c r="C10649" t="str">
        <f>"A0136558"</f>
        <v>A0136558</v>
      </c>
      <c r="D10649" t="s">
        <v>39470</v>
      </c>
      <c r="E10649" t="s">
        <v>39471</v>
      </c>
      <c r="F10649" t="s">
        <v>7317</v>
      </c>
      <c r="G10649" t="s">
        <v>1898</v>
      </c>
      <c r="H10649">
        <v>50322</v>
      </c>
      <c r="I10649" t="s">
        <v>30</v>
      </c>
      <c r="J10649" t="s">
        <v>111</v>
      </c>
      <c r="K10649" t="s">
        <v>112</v>
      </c>
      <c r="Q10649">
        <v>0</v>
      </c>
      <c r="R10649">
        <v>0</v>
      </c>
      <c r="S10649">
        <v>0</v>
      </c>
      <c r="T10649" t="s">
        <v>39466</v>
      </c>
    </row>
    <row r="10650" spans="1:20" customFormat="1" ht="15" x14ac:dyDescent="0.25">
      <c r="A10650" t="s">
        <v>35</v>
      </c>
      <c r="B10650" t="s">
        <v>106</v>
      </c>
      <c r="C10650" t="str">
        <f>"A0135409"</f>
        <v>A0135409</v>
      </c>
      <c r="D10650" t="s">
        <v>39472</v>
      </c>
      <c r="E10650" t="s">
        <v>39473</v>
      </c>
      <c r="F10650" t="s">
        <v>39474</v>
      </c>
      <c r="G10650" t="s">
        <v>925</v>
      </c>
      <c r="H10650">
        <v>66801</v>
      </c>
      <c r="I10650" t="s">
        <v>30</v>
      </c>
      <c r="J10650" t="s">
        <v>111</v>
      </c>
      <c r="K10650" t="s">
        <v>112</v>
      </c>
      <c r="Q10650">
        <v>0</v>
      </c>
      <c r="R10650">
        <v>0</v>
      </c>
      <c r="S10650">
        <v>0</v>
      </c>
      <c r="T10650" t="s">
        <v>39466</v>
      </c>
    </row>
    <row r="10651" spans="1:20" customFormat="1" ht="15" x14ac:dyDescent="0.25">
      <c r="A10651" t="s">
        <v>35</v>
      </c>
      <c r="B10651" t="s">
        <v>106</v>
      </c>
      <c r="C10651" t="str">
        <f>"A0135408"</f>
        <v>A0135408</v>
      </c>
      <c r="D10651" t="s">
        <v>39475</v>
      </c>
      <c r="E10651" t="s">
        <v>39476</v>
      </c>
      <c r="F10651" t="s">
        <v>39477</v>
      </c>
      <c r="G10651" t="s">
        <v>427</v>
      </c>
      <c r="H10651">
        <v>69001</v>
      </c>
      <c r="I10651" t="s">
        <v>30</v>
      </c>
      <c r="J10651" t="s">
        <v>111</v>
      </c>
      <c r="K10651" t="s">
        <v>112</v>
      </c>
      <c r="Q10651">
        <v>0</v>
      </c>
      <c r="R10651">
        <v>0</v>
      </c>
      <c r="S10651">
        <v>0</v>
      </c>
      <c r="T10651" t="s">
        <v>39466</v>
      </c>
    </row>
    <row r="10652" spans="1:20" customFormat="1" ht="15" x14ac:dyDescent="0.25">
      <c r="A10652" t="s">
        <v>35</v>
      </c>
      <c r="B10652" t="s">
        <v>106</v>
      </c>
      <c r="C10652" t="str">
        <f>"A0135406"</f>
        <v>A0135406</v>
      </c>
      <c r="D10652" t="s">
        <v>39478</v>
      </c>
      <c r="E10652" t="s">
        <v>39479</v>
      </c>
      <c r="F10652" t="s">
        <v>8111</v>
      </c>
      <c r="G10652" t="s">
        <v>427</v>
      </c>
      <c r="H10652">
        <v>69101</v>
      </c>
      <c r="I10652" t="s">
        <v>30</v>
      </c>
      <c r="J10652" t="s">
        <v>111</v>
      </c>
      <c r="K10652" t="s">
        <v>112</v>
      </c>
      <c r="Q10652">
        <v>0</v>
      </c>
      <c r="R10652">
        <v>0</v>
      </c>
      <c r="S10652">
        <v>0</v>
      </c>
      <c r="T10652" t="s">
        <v>39466</v>
      </c>
    </row>
    <row r="10653" spans="1:20" customFormat="1" ht="15" x14ac:dyDescent="0.25">
      <c r="A10653" t="s">
        <v>35</v>
      </c>
      <c r="B10653" t="s">
        <v>106</v>
      </c>
      <c r="C10653" t="str">
        <f>"A0135407"</f>
        <v>A0135407</v>
      </c>
      <c r="D10653" t="s">
        <v>39480</v>
      </c>
      <c r="E10653" t="s">
        <v>39481</v>
      </c>
      <c r="F10653" t="s">
        <v>8111</v>
      </c>
      <c r="G10653" t="s">
        <v>427</v>
      </c>
      <c r="H10653">
        <v>69101</v>
      </c>
      <c r="I10653" t="s">
        <v>30</v>
      </c>
      <c r="J10653" t="s">
        <v>111</v>
      </c>
      <c r="K10653" t="s">
        <v>112</v>
      </c>
      <c r="Q10653">
        <v>0</v>
      </c>
      <c r="R10653">
        <v>0</v>
      </c>
      <c r="S10653">
        <v>0</v>
      </c>
      <c r="T10653" t="s">
        <v>39466</v>
      </c>
    </row>
    <row r="10654" spans="1:20" customFormat="1" ht="15" x14ac:dyDescent="0.25">
      <c r="A10654" t="s">
        <v>35</v>
      </c>
      <c r="B10654" t="s">
        <v>106</v>
      </c>
      <c r="C10654" t="str">
        <f>"A0135412"</f>
        <v>A0135412</v>
      </c>
      <c r="D10654" t="s">
        <v>39482</v>
      </c>
      <c r="E10654" t="s">
        <v>39483</v>
      </c>
      <c r="F10654" t="s">
        <v>8115</v>
      </c>
      <c r="G10654" t="s">
        <v>427</v>
      </c>
      <c r="H10654">
        <v>68801</v>
      </c>
      <c r="I10654" t="s">
        <v>30</v>
      </c>
      <c r="J10654" t="s">
        <v>111</v>
      </c>
      <c r="K10654" t="s">
        <v>112</v>
      </c>
      <c r="Q10654">
        <v>0</v>
      </c>
      <c r="R10654">
        <v>0</v>
      </c>
      <c r="S10654">
        <v>0</v>
      </c>
      <c r="T10654" t="s">
        <v>39466</v>
      </c>
    </row>
    <row r="10655" spans="1:20" customFormat="1" ht="15" x14ac:dyDescent="0.25">
      <c r="A10655" t="s">
        <v>35</v>
      </c>
      <c r="B10655" t="s">
        <v>106</v>
      </c>
      <c r="C10655" t="str">
        <f>"A0135411"</f>
        <v>A0135411</v>
      </c>
      <c r="D10655" t="s">
        <v>39484</v>
      </c>
      <c r="E10655" t="s">
        <v>39485</v>
      </c>
      <c r="F10655" t="s">
        <v>39486</v>
      </c>
      <c r="G10655" t="s">
        <v>137</v>
      </c>
      <c r="H10655">
        <v>64772</v>
      </c>
      <c r="I10655" t="s">
        <v>30</v>
      </c>
      <c r="J10655" t="s">
        <v>111</v>
      </c>
      <c r="K10655" t="s">
        <v>112</v>
      </c>
      <c r="Q10655">
        <v>0</v>
      </c>
      <c r="R10655">
        <v>0</v>
      </c>
      <c r="S10655">
        <v>0</v>
      </c>
      <c r="T10655" t="s">
        <v>39466</v>
      </c>
    </row>
    <row r="10656" spans="1:20" customFormat="1" ht="15" x14ac:dyDescent="0.25">
      <c r="A10656" t="s">
        <v>35</v>
      </c>
      <c r="B10656" t="s">
        <v>61</v>
      </c>
      <c r="C10656" t="str">
        <f>"A0118722"</f>
        <v>A0118722</v>
      </c>
      <c r="D10656" t="s">
        <v>39487</v>
      </c>
      <c r="E10656" t="s">
        <v>39488</v>
      </c>
      <c r="F10656" t="s">
        <v>37202</v>
      </c>
      <c r="G10656" t="s">
        <v>110</v>
      </c>
      <c r="H10656">
        <v>917060000</v>
      </c>
      <c r="I10656" t="s">
        <v>30</v>
      </c>
      <c r="J10656" t="s">
        <v>41</v>
      </c>
      <c r="K10656" t="s">
        <v>229</v>
      </c>
      <c r="Q10656">
        <v>0</v>
      </c>
      <c r="R10656">
        <v>48</v>
      </c>
      <c r="S10656">
        <v>48</v>
      </c>
      <c r="T10656" t="s">
        <v>39489</v>
      </c>
    </row>
    <row r="10657" spans="1:20" customFormat="1" ht="15" x14ac:dyDescent="0.25">
      <c r="A10657" t="s">
        <v>35</v>
      </c>
      <c r="B10657" t="s">
        <v>61</v>
      </c>
      <c r="C10657" t="str">
        <f>"A0127646"</f>
        <v>A0127646</v>
      </c>
      <c r="D10657" t="s">
        <v>39490</v>
      </c>
      <c r="E10657" t="s">
        <v>39491</v>
      </c>
      <c r="F10657" t="s">
        <v>11868</v>
      </c>
      <c r="G10657" t="s">
        <v>123</v>
      </c>
      <c r="H10657">
        <v>21804</v>
      </c>
      <c r="I10657" t="s">
        <v>30</v>
      </c>
      <c r="J10657" t="s">
        <v>41</v>
      </c>
      <c r="K10657" t="s">
        <v>456</v>
      </c>
      <c r="Q10657">
        <v>0</v>
      </c>
      <c r="R10657">
        <v>100</v>
      </c>
      <c r="S10657">
        <v>100</v>
      </c>
      <c r="T10657" t="s">
        <v>39492</v>
      </c>
    </row>
    <row r="10658" spans="1:20" customFormat="1" ht="15" x14ac:dyDescent="0.25">
      <c r="A10658" t="s">
        <v>35</v>
      </c>
      <c r="B10658" t="s">
        <v>61</v>
      </c>
      <c r="C10658" t="str">
        <f>"A0125972"</f>
        <v>A0125972</v>
      </c>
      <c r="D10658" t="s">
        <v>39493</v>
      </c>
      <c r="E10658" t="s">
        <v>39494</v>
      </c>
      <c r="F10658" t="s">
        <v>465</v>
      </c>
      <c r="G10658" t="s">
        <v>29</v>
      </c>
      <c r="H10658">
        <v>22030</v>
      </c>
      <c r="I10658" t="s">
        <v>30</v>
      </c>
      <c r="J10658" t="s">
        <v>41</v>
      </c>
      <c r="K10658" t="s">
        <v>482</v>
      </c>
      <c r="Q10658">
        <v>0</v>
      </c>
      <c r="R10658">
        <v>10</v>
      </c>
      <c r="S10658">
        <v>10</v>
      </c>
      <c r="T10658" t="s">
        <v>39495</v>
      </c>
    </row>
    <row r="10659" spans="1:20" customFormat="1" ht="15" x14ac:dyDescent="0.25">
      <c r="A10659" t="s">
        <v>35</v>
      </c>
      <c r="B10659" t="s">
        <v>61</v>
      </c>
      <c r="C10659" t="str">
        <f>"A0130663"</f>
        <v>A0130663</v>
      </c>
      <c r="D10659" t="s">
        <v>39496</v>
      </c>
      <c r="E10659" t="s">
        <v>39497</v>
      </c>
      <c r="F10659" t="s">
        <v>1043</v>
      </c>
      <c r="G10659" t="s">
        <v>1898</v>
      </c>
      <c r="H10659">
        <v>50674</v>
      </c>
      <c r="I10659" t="s">
        <v>30</v>
      </c>
      <c r="J10659" t="s">
        <v>41</v>
      </c>
      <c r="K10659" t="s">
        <v>59</v>
      </c>
      <c r="Q10659">
        <v>0</v>
      </c>
      <c r="R10659">
        <v>31</v>
      </c>
      <c r="S10659">
        <v>31</v>
      </c>
      <c r="T10659" t="s">
        <v>39498</v>
      </c>
    </row>
    <row r="10660" spans="1:20" customFormat="1" ht="15" x14ac:dyDescent="0.25">
      <c r="A10660" t="s">
        <v>35</v>
      </c>
      <c r="B10660" t="s">
        <v>106</v>
      </c>
      <c r="C10660" t="str">
        <f>"A0135702"</f>
        <v>A0135702</v>
      </c>
      <c r="D10660" t="s">
        <v>39499</v>
      </c>
      <c r="E10660" t="s">
        <v>39500</v>
      </c>
      <c r="F10660" t="s">
        <v>39501</v>
      </c>
      <c r="G10660" t="s">
        <v>99</v>
      </c>
      <c r="H10660">
        <v>120431701</v>
      </c>
      <c r="I10660" t="s">
        <v>30</v>
      </c>
      <c r="J10660" t="s">
        <v>111</v>
      </c>
      <c r="K10660" t="s">
        <v>10012</v>
      </c>
      <c r="Q10660">
        <v>0</v>
      </c>
      <c r="R10660">
        <v>0</v>
      </c>
      <c r="S10660">
        <v>0</v>
      </c>
      <c r="T10660" t="s">
        <v>39502</v>
      </c>
    </row>
    <row r="10661" spans="1:20" customFormat="1" ht="15" x14ac:dyDescent="0.25">
      <c r="A10661" t="s">
        <v>35</v>
      </c>
      <c r="B10661" t="s">
        <v>61</v>
      </c>
      <c r="C10661" t="str">
        <f>"A0123673"</f>
        <v>A0123673</v>
      </c>
      <c r="D10661" t="s">
        <v>39503</v>
      </c>
      <c r="E10661" t="s">
        <v>39504</v>
      </c>
      <c r="F10661" t="s">
        <v>3315</v>
      </c>
      <c r="G10661" t="s">
        <v>214</v>
      </c>
      <c r="H10661">
        <v>27511</v>
      </c>
      <c r="I10661" t="s">
        <v>30</v>
      </c>
      <c r="J10661" t="s">
        <v>41</v>
      </c>
      <c r="K10661" t="s">
        <v>442</v>
      </c>
      <c r="Q10661">
        <v>0</v>
      </c>
      <c r="R10661">
        <v>0</v>
      </c>
      <c r="S10661">
        <v>0</v>
      </c>
    </row>
    <row r="10662" spans="1:20" customFormat="1" ht="15" x14ac:dyDescent="0.25">
      <c r="A10662" t="s">
        <v>35</v>
      </c>
      <c r="B10662" t="s">
        <v>61</v>
      </c>
      <c r="C10662" t="str">
        <f>"A0124135"</f>
        <v>A0124135</v>
      </c>
      <c r="D10662" t="s">
        <v>39505</v>
      </c>
      <c r="E10662" t="s">
        <v>39506</v>
      </c>
      <c r="F10662" t="s">
        <v>8288</v>
      </c>
      <c r="G10662" t="s">
        <v>123</v>
      </c>
      <c r="H10662">
        <v>21740</v>
      </c>
      <c r="I10662" t="s">
        <v>30</v>
      </c>
      <c r="J10662" t="s">
        <v>41</v>
      </c>
      <c r="K10662" t="s">
        <v>229</v>
      </c>
      <c r="Q10662">
        <v>0</v>
      </c>
      <c r="R10662">
        <v>65</v>
      </c>
      <c r="S10662">
        <v>65</v>
      </c>
      <c r="T10662" t="s">
        <v>39507</v>
      </c>
    </row>
    <row r="10663" spans="1:20" customFormat="1" ht="15" x14ac:dyDescent="0.25">
      <c r="A10663" t="s">
        <v>35</v>
      </c>
      <c r="B10663" t="s">
        <v>61</v>
      </c>
      <c r="C10663" t="str">
        <f>"A0124597"</f>
        <v>A0124597</v>
      </c>
      <c r="D10663" t="s">
        <v>39508</v>
      </c>
      <c r="E10663" t="s">
        <v>39509</v>
      </c>
      <c r="F10663" t="s">
        <v>36407</v>
      </c>
      <c r="G10663" t="s">
        <v>1706</v>
      </c>
      <c r="H10663">
        <v>366070000</v>
      </c>
      <c r="I10663" t="s">
        <v>30</v>
      </c>
      <c r="J10663" t="s">
        <v>41</v>
      </c>
      <c r="K10663" t="s">
        <v>229</v>
      </c>
      <c r="Q10663">
        <v>0</v>
      </c>
      <c r="R10663">
        <v>150</v>
      </c>
      <c r="S10663">
        <v>150</v>
      </c>
      <c r="T10663" t="s">
        <v>39510</v>
      </c>
    </row>
    <row r="10664" spans="1:20" customFormat="1" ht="15" x14ac:dyDescent="0.25">
      <c r="A10664" t="s">
        <v>35</v>
      </c>
      <c r="B10664" t="s">
        <v>61</v>
      </c>
      <c r="C10664" t="str">
        <f>"A0124622"</f>
        <v>A0124622</v>
      </c>
      <c r="D10664" t="s">
        <v>39511</v>
      </c>
      <c r="E10664" t="s">
        <v>39512</v>
      </c>
      <c r="F10664" t="s">
        <v>36407</v>
      </c>
      <c r="G10664" t="s">
        <v>1706</v>
      </c>
      <c r="H10664">
        <v>366070000</v>
      </c>
      <c r="I10664" t="s">
        <v>30</v>
      </c>
      <c r="J10664" t="s">
        <v>41</v>
      </c>
      <c r="K10664" t="s">
        <v>229</v>
      </c>
      <c r="Q10664">
        <v>0</v>
      </c>
      <c r="R10664">
        <v>45</v>
      </c>
      <c r="S10664">
        <v>45</v>
      </c>
      <c r="T10664" t="s">
        <v>39513</v>
      </c>
    </row>
    <row r="10665" spans="1:20" customFormat="1" ht="15" x14ac:dyDescent="0.25">
      <c r="A10665" t="s">
        <v>35</v>
      </c>
      <c r="B10665" t="s">
        <v>61</v>
      </c>
      <c r="C10665" t="str">
        <f>"A0124596"</f>
        <v>A0124596</v>
      </c>
      <c r="D10665" t="s">
        <v>39514</v>
      </c>
      <c r="E10665" t="s">
        <v>39515</v>
      </c>
      <c r="F10665" t="s">
        <v>23386</v>
      </c>
      <c r="G10665" t="s">
        <v>1706</v>
      </c>
      <c r="H10665">
        <v>358020000</v>
      </c>
      <c r="I10665" t="s">
        <v>30</v>
      </c>
      <c r="J10665" t="s">
        <v>41</v>
      </c>
      <c r="K10665" t="s">
        <v>229</v>
      </c>
      <c r="Q10665">
        <v>0</v>
      </c>
      <c r="R10665">
        <v>71</v>
      </c>
      <c r="S10665">
        <v>71</v>
      </c>
      <c r="T10665" t="s">
        <v>39516</v>
      </c>
    </row>
    <row r="10666" spans="1:20" customFormat="1" ht="15" x14ac:dyDescent="0.25">
      <c r="A10666" t="s">
        <v>35</v>
      </c>
      <c r="B10666" t="s">
        <v>61</v>
      </c>
      <c r="C10666" t="str">
        <f>"A0130251"</f>
        <v>A0130251</v>
      </c>
      <c r="D10666" t="s">
        <v>39517</v>
      </c>
      <c r="E10666" t="s">
        <v>39518</v>
      </c>
      <c r="F10666" t="s">
        <v>28496</v>
      </c>
      <c r="G10666" t="s">
        <v>161</v>
      </c>
      <c r="H10666">
        <v>55321</v>
      </c>
      <c r="I10666" t="s">
        <v>30</v>
      </c>
      <c r="J10666" t="s">
        <v>41</v>
      </c>
      <c r="K10666" t="s">
        <v>229</v>
      </c>
      <c r="Q10666">
        <v>0</v>
      </c>
      <c r="R10666">
        <v>112</v>
      </c>
      <c r="S10666">
        <v>112</v>
      </c>
      <c r="T10666" t="s">
        <v>39519</v>
      </c>
    </row>
    <row r="10667" spans="1:20" customFormat="1" ht="15" x14ac:dyDescent="0.25">
      <c r="A10667" t="s">
        <v>35</v>
      </c>
      <c r="B10667" t="s">
        <v>61</v>
      </c>
      <c r="C10667" t="str">
        <f>"A0131970"</f>
        <v>A0131970</v>
      </c>
      <c r="D10667" t="s">
        <v>39520</v>
      </c>
      <c r="E10667" t="s">
        <v>39521</v>
      </c>
      <c r="F10667" t="s">
        <v>26033</v>
      </c>
      <c r="G10667" t="s">
        <v>65</v>
      </c>
      <c r="H10667">
        <v>442660000</v>
      </c>
      <c r="I10667" t="s">
        <v>30</v>
      </c>
      <c r="J10667" t="s">
        <v>41</v>
      </c>
      <c r="K10667" t="s">
        <v>391</v>
      </c>
      <c r="Q10667">
        <v>0</v>
      </c>
      <c r="R10667">
        <v>1</v>
      </c>
      <c r="S10667">
        <v>1</v>
      </c>
      <c r="T10667" t="s">
        <v>39522</v>
      </c>
    </row>
    <row r="10668" spans="1:20" customFormat="1" ht="15" x14ac:dyDescent="0.25">
      <c r="A10668" t="s">
        <v>35</v>
      </c>
      <c r="B10668" t="s">
        <v>437</v>
      </c>
      <c r="C10668" t="str">
        <f>"A0135120"</f>
        <v>A0135120</v>
      </c>
      <c r="D10668" t="s">
        <v>39523</v>
      </c>
      <c r="E10668" t="s">
        <v>39524</v>
      </c>
      <c r="F10668" t="s">
        <v>3339</v>
      </c>
      <c r="G10668" t="s">
        <v>99</v>
      </c>
      <c r="H10668">
        <v>13601</v>
      </c>
      <c r="I10668" t="s">
        <v>30</v>
      </c>
      <c r="J10668" t="s">
        <v>441</v>
      </c>
      <c r="K10668" t="s">
        <v>442</v>
      </c>
      <c r="Q10668">
        <v>0</v>
      </c>
      <c r="R10668">
        <v>0</v>
      </c>
      <c r="S10668">
        <v>0</v>
      </c>
      <c r="T10668" t="s">
        <v>72</v>
      </c>
    </row>
    <row r="10669" spans="1:20" customFormat="1" ht="15" x14ac:dyDescent="0.25">
      <c r="A10669" t="s">
        <v>35</v>
      </c>
      <c r="B10669" t="s">
        <v>61</v>
      </c>
      <c r="C10669" t="str">
        <f>"A0129097"</f>
        <v>A0129097</v>
      </c>
      <c r="D10669" t="s">
        <v>39525</v>
      </c>
      <c r="E10669" t="s">
        <v>39526</v>
      </c>
      <c r="F10669" t="s">
        <v>2990</v>
      </c>
      <c r="G10669" t="s">
        <v>289</v>
      </c>
      <c r="H10669">
        <v>62946</v>
      </c>
      <c r="I10669" t="s">
        <v>30</v>
      </c>
      <c r="J10669" t="s">
        <v>41</v>
      </c>
      <c r="K10669" t="s">
        <v>131</v>
      </c>
      <c r="Q10669">
        <v>0</v>
      </c>
      <c r="R10669">
        <v>35</v>
      </c>
      <c r="S10669">
        <v>35</v>
      </c>
      <c r="T10669" t="s">
        <v>39527</v>
      </c>
    </row>
    <row r="10670" spans="1:20" customFormat="1" ht="15" x14ac:dyDescent="0.25">
      <c r="A10670" t="s">
        <v>35</v>
      </c>
      <c r="B10670" t="s">
        <v>437</v>
      </c>
      <c r="C10670" t="str">
        <f>"A0135122"</f>
        <v>A0135122</v>
      </c>
      <c r="D10670" t="s">
        <v>39528</v>
      </c>
      <c r="E10670" t="s">
        <v>39529</v>
      </c>
      <c r="F10670" t="s">
        <v>1783</v>
      </c>
      <c r="G10670" t="s">
        <v>99</v>
      </c>
      <c r="H10670">
        <v>13650</v>
      </c>
      <c r="I10670" t="s">
        <v>30</v>
      </c>
      <c r="J10670" t="s">
        <v>441</v>
      </c>
      <c r="K10670" t="s">
        <v>442</v>
      </c>
      <c r="Q10670">
        <v>0</v>
      </c>
      <c r="R10670">
        <v>0</v>
      </c>
      <c r="S10670">
        <v>0</v>
      </c>
      <c r="T10670" t="s">
        <v>39530</v>
      </c>
    </row>
    <row r="10671" spans="1:20" customFormat="1" ht="15" x14ac:dyDescent="0.25">
      <c r="A10671" t="s">
        <v>35</v>
      </c>
      <c r="B10671" t="s">
        <v>106</v>
      </c>
      <c r="C10671" t="str">
        <f>"A0135634"</f>
        <v>A0135634</v>
      </c>
      <c r="D10671" t="s">
        <v>39531</v>
      </c>
      <c r="E10671" t="s">
        <v>39532</v>
      </c>
      <c r="F10671" t="s">
        <v>7784</v>
      </c>
      <c r="G10671" t="s">
        <v>289</v>
      </c>
      <c r="H10671">
        <v>61820</v>
      </c>
      <c r="I10671" t="s">
        <v>30</v>
      </c>
      <c r="J10671" t="s">
        <v>111</v>
      </c>
      <c r="K10671" t="s">
        <v>112</v>
      </c>
      <c r="Q10671">
        <v>0</v>
      </c>
      <c r="R10671">
        <v>0</v>
      </c>
      <c r="S10671">
        <v>0</v>
      </c>
      <c r="T10671" t="s">
        <v>39533</v>
      </c>
    </row>
    <row r="10672" spans="1:20" customFormat="1" ht="15" x14ac:dyDescent="0.25">
      <c r="A10672" t="s">
        <v>35</v>
      </c>
      <c r="B10672" t="s">
        <v>106</v>
      </c>
      <c r="C10672" t="str">
        <f>"A0135636"</f>
        <v>A0135636</v>
      </c>
      <c r="D10672" t="s">
        <v>39534</v>
      </c>
      <c r="E10672" t="s">
        <v>39535</v>
      </c>
      <c r="F10672" t="s">
        <v>4133</v>
      </c>
      <c r="G10672" t="s">
        <v>52</v>
      </c>
      <c r="H10672">
        <v>78705</v>
      </c>
      <c r="I10672" t="s">
        <v>30</v>
      </c>
      <c r="J10672" t="s">
        <v>111</v>
      </c>
      <c r="K10672" t="s">
        <v>112</v>
      </c>
      <c r="Q10672">
        <v>0</v>
      </c>
      <c r="R10672">
        <v>0</v>
      </c>
      <c r="S10672">
        <v>0</v>
      </c>
      <c r="T10672" t="s">
        <v>39533</v>
      </c>
    </row>
    <row r="10673" spans="1:20" customFormat="1" ht="15" x14ac:dyDescent="0.25">
      <c r="A10673" t="s">
        <v>35</v>
      </c>
      <c r="B10673" t="s">
        <v>106</v>
      </c>
      <c r="C10673" t="str">
        <f>"A0135635"</f>
        <v>A0135635</v>
      </c>
      <c r="D10673" t="s">
        <v>39536</v>
      </c>
      <c r="E10673" t="s">
        <v>39537</v>
      </c>
      <c r="F10673" t="s">
        <v>4133</v>
      </c>
      <c r="G10673" t="s">
        <v>52</v>
      </c>
      <c r="H10673">
        <v>78705</v>
      </c>
      <c r="I10673" t="s">
        <v>30</v>
      </c>
      <c r="J10673" t="s">
        <v>111</v>
      </c>
      <c r="K10673" t="s">
        <v>112</v>
      </c>
      <c r="Q10673">
        <v>0</v>
      </c>
      <c r="R10673">
        <v>0</v>
      </c>
      <c r="S10673">
        <v>0</v>
      </c>
      <c r="T10673" t="s">
        <v>39533</v>
      </c>
    </row>
    <row r="10674" spans="1:20" customFormat="1" ht="15" x14ac:dyDescent="0.25">
      <c r="A10674" t="s">
        <v>35</v>
      </c>
      <c r="B10674" t="s">
        <v>106</v>
      </c>
      <c r="C10674" t="str">
        <f>"A0151611"</f>
        <v>A0151611</v>
      </c>
      <c r="D10674" t="s">
        <v>39538</v>
      </c>
      <c r="E10674" t="s">
        <v>39539</v>
      </c>
      <c r="F10674" t="s">
        <v>2334</v>
      </c>
      <c r="G10674" t="s">
        <v>81</v>
      </c>
      <c r="H10674">
        <v>34474</v>
      </c>
      <c r="I10674" t="s">
        <v>30</v>
      </c>
      <c r="J10674" t="s">
        <v>111</v>
      </c>
      <c r="K10674" t="s">
        <v>112</v>
      </c>
      <c r="Q10674">
        <v>0</v>
      </c>
      <c r="R10674">
        <v>0</v>
      </c>
      <c r="S10674">
        <v>0</v>
      </c>
      <c r="T10674" t="s">
        <v>39540</v>
      </c>
    </row>
    <row r="10675" spans="1:20" customFormat="1" ht="15" x14ac:dyDescent="0.25">
      <c r="A10675" t="s">
        <v>35</v>
      </c>
      <c r="B10675" t="s">
        <v>106</v>
      </c>
      <c r="C10675" t="str">
        <f>"A0136411"</f>
        <v>A0136411</v>
      </c>
      <c r="D10675" t="s">
        <v>39541</v>
      </c>
      <c r="E10675" t="s">
        <v>39542</v>
      </c>
      <c r="F10675" t="s">
        <v>15965</v>
      </c>
      <c r="G10675" t="s">
        <v>110</v>
      </c>
      <c r="H10675">
        <v>93274</v>
      </c>
      <c r="I10675" t="s">
        <v>30</v>
      </c>
      <c r="J10675" t="s">
        <v>111</v>
      </c>
      <c r="K10675" t="s">
        <v>112</v>
      </c>
      <c r="Q10675">
        <v>0</v>
      </c>
      <c r="R10675">
        <v>0</v>
      </c>
      <c r="S10675">
        <v>0</v>
      </c>
      <c r="T10675" t="s">
        <v>39543</v>
      </c>
    </row>
    <row r="10676" spans="1:20" customFormat="1" ht="15" x14ac:dyDescent="0.25">
      <c r="A10676" t="s">
        <v>35</v>
      </c>
      <c r="B10676" t="s">
        <v>106</v>
      </c>
      <c r="C10676" t="str">
        <f>"A0136412"</f>
        <v>A0136412</v>
      </c>
      <c r="D10676" t="s">
        <v>39544</v>
      </c>
      <c r="E10676" t="s">
        <v>39542</v>
      </c>
      <c r="F10676" t="s">
        <v>15965</v>
      </c>
      <c r="G10676" t="s">
        <v>110</v>
      </c>
      <c r="H10676">
        <v>93277</v>
      </c>
      <c r="I10676" t="s">
        <v>30</v>
      </c>
      <c r="J10676" t="s">
        <v>111</v>
      </c>
      <c r="K10676" t="s">
        <v>112</v>
      </c>
      <c r="Q10676">
        <v>0</v>
      </c>
      <c r="R10676">
        <v>0</v>
      </c>
      <c r="S10676">
        <v>0</v>
      </c>
      <c r="T10676" t="s">
        <v>39545</v>
      </c>
    </row>
    <row r="10677" spans="1:20" customFormat="1" ht="15" x14ac:dyDescent="0.25">
      <c r="A10677" t="s">
        <v>35</v>
      </c>
      <c r="B10677" t="s">
        <v>61</v>
      </c>
      <c r="C10677" t="str">
        <f>"A0127557"</f>
        <v>A0127557</v>
      </c>
      <c r="D10677" t="s">
        <v>39546</v>
      </c>
      <c r="E10677" t="s">
        <v>39547</v>
      </c>
      <c r="F10677" t="s">
        <v>6152</v>
      </c>
      <c r="G10677" t="s">
        <v>123</v>
      </c>
      <c r="H10677">
        <v>20850</v>
      </c>
      <c r="I10677" t="s">
        <v>30</v>
      </c>
      <c r="J10677" t="s">
        <v>41</v>
      </c>
      <c r="K10677" t="s">
        <v>229</v>
      </c>
      <c r="Q10677">
        <v>0</v>
      </c>
      <c r="R10677">
        <v>159</v>
      </c>
      <c r="S10677">
        <v>159</v>
      </c>
      <c r="T10677" t="s">
        <v>39548</v>
      </c>
    </row>
    <row r="10678" spans="1:20" customFormat="1" ht="15" x14ac:dyDescent="0.25">
      <c r="A10678" t="s">
        <v>35</v>
      </c>
      <c r="B10678" t="s">
        <v>61</v>
      </c>
      <c r="C10678" t="str">
        <f>"A0124580"</f>
        <v>A0124580</v>
      </c>
      <c r="D10678" t="s">
        <v>39549</v>
      </c>
      <c r="E10678" t="s">
        <v>39550</v>
      </c>
      <c r="F10678" t="s">
        <v>17380</v>
      </c>
      <c r="G10678" t="s">
        <v>1706</v>
      </c>
      <c r="H10678">
        <v>35961</v>
      </c>
      <c r="I10678" t="s">
        <v>30</v>
      </c>
      <c r="J10678" t="s">
        <v>41</v>
      </c>
      <c r="K10678" t="s">
        <v>229</v>
      </c>
      <c r="Q10678">
        <v>0</v>
      </c>
      <c r="R10678">
        <v>165</v>
      </c>
      <c r="S10678">
        <v>165</v>
      </c>
      <c r="T10678" t="s">
        <v>39551</v>
      </c>
    </row>
    <row r="10679" spans="1:20" customFormat="1" ht="15" x14ac:dyDescent="0.25">
      <c r="A10679" t="s">
        <v>35</v>
      </c>
      <c r="B10679" t="s">
        <v>61</v>
      </c>
      <c r="C10679" t="str">
        <f>"A0128312"</f>
        <v>A0128312</v>
      </c>
      <c r="D10679" t="s">
        <v>39552</v>
      </c>
      <c r="E10679" t="s">
        <v>39553</v>
      </c>
      <c r="F10679" t="s">
        <v>39554</v>
      </c>
      <c r="G10679" t="s">
        <v>427</v>
      </c>
      <c r="H10679">
        <v>68376</v>
      </c>
      <c r="I10679" t="s">
        <v>30</v>
      </c>
      <c r="J10679" t="s">
        <v>41</v>
      </c>
      <c r="K10679" t="s">
        <v>229</v>
      </c>
      <c r="Q10679">
        <v>0</v>
      </c>
      <c r="R10679">
        <v>49</v>
      </c>
      <c r="S10679">
        <v>49</v>
      </c>
      <c r="T10679" t="s">
        <v>39555</v>
      </c>
    </row>
    <row r="10680" spans="1:20" customFormat="1" ht="15" x14ac:dyDescent="0.25">
      <c r="A10680" t="s">
        <v>35</v>
      </c>
      <c r="B10680" t="s">
        <v>61</v>
      </c>
      <c r="C10680" t="str">
        <f>"A0125010"</f>
        <v>A0125010</v>
      </c>
      <c r="D10680" t="s">
        <v>39556</v>
      </c>
      <c r="E10680" t="s">
        <v>39557</v>
      </c>
      <c r="F10680" t="s">
        <v>39032</v>
      </c>
      <c r="G10680" t="s">
        <v>214</v>
      </c>
      <c r="H10680">
        <v>27030</v>
      </c>
      <c r="I10680" t="s">
        <v>30</v>
      </c>
      <c r="J10680" t="s">
        <v>41</v>
      </c>
      <c r="K10680" t="s">
        <v>59</v>
      </c>
      <c r="Q10680">
        <v>0</v>
      </c>
      <c r="R10680">
        <v>53</v>
      </c>
      <c r="S10680">
        <v>53</v>
      </c>
      <c r="T10680" t="s">
        <v>39558</v>
      </c>
    </row>
    <row r="10681" spans="1:20" customFormat="1" ht="15" x14ac:dyDescent="0.25">
      <c r="A10681" t="s">
        <v>35</v>
      </c>
      <c r="B10681" t="s">
        <v>61</v>
      </c>
      <c r="C10681" t="str">
        <f>"A0128318"</f>
        <v>A0128318</v>
      </c>
      <c r="D10681" t="s">
        <v>39559</v>
      </c>
      <c r="E10681" t="s">
        <v>39560</v>
      </c>
      <c r="F10681" t="s">
        <v>39561</v>
      </c>
      <c r="G10681" t="s">
        <v>427</v>
      </c>
      <c r="H10681">
        <v>68712</v>
      </c>
      <c r="I10681" t="s">
        <v>30</v>
      </c>
      <c r="J10681" t="s">
        <v>41</v>
      </c>
      <c r="K10681" t="s">
        <v>229</v>
      </c>
      <c r="Q10681">
        <v>0</v>
      </c>
      <c r="R10681">
        <v>55</v>
      </c>
      <c r="S10681">
        <v>55</v>
      </c>
      <c r="T10681" t="s">
        <v>39562</v>
      </c>
    </row>
    <row r="10682" spans="1:20" customFormat="1" ht="15" x14ac:dyDescent="0.25">
      <c r="A10682" t="s">
        <v>35</v>
      </c>
      <c r="B10682" t="s">
        <v>61</v>
      </c>
      <c r="C10682" t="str">
        <f>"A0124512"</f>
        <v>A0124512</v>
      </c>
      <c r="D10682" t="s">
        <v>39563</v>
      </c>
      <c r="E10682" t="s">
        <v>39564</v>
      </c>
      <c r="F10682" t="s">
        <v>3685</v>
      </c>
      <c r="G10682" t="s">
        <v>1706</v>
      </c>
      <c r="H10682">
        <v>36744</v>
      </c>
      <c r="I10682" t="s">
        <v>30</v>
      </c>
      <c r="J10682" t="s">
        <v>41</v>
      </c>
      <c r="K10682" t="s">
        <v>229</v>
      </c>
      <c r="Q10682">
        <v>0</v>
      </c>
      <c r="R10682">
        <v>102</v>
      </c>
      <c r="S10682">
        <v>102</v>
      </c>
      <c r="T10682" t="s">
        <v>39565</v>
      </c>
    </row>
    <row r="10683" spans="1:20" customFormat="1" ht="15" x14ac:dyDescent="0.25">
      <c r="A10683" t="s">
        <v>35</v>
      </c>
      <c r="B10683" t="s">
        <v>61</v>
      </c>
      <c r="C10683" t="str">
        <f>"A0127180"</f>
        <v>A0127180</v>
      </c>
      <c r="D10683" t="s">
        <v>39566</v>
      </c>
      <c r="E10683" t="s">
        <v>39567</v>
      </c>
      <c r="F10683" t="s">
        <v>598</v>
      </c>
      <c r="G10683" t="s">
        <v>615</v>
      </c>
      <c r="H10683">
        <v>6374</v>
      </c>
      <c r="I10683" t="s">
        <v>30</v>
      </c>
      <c r="J10683" t="s">
        <v>41</v>
      </c>
      <c r="K10683" t="s">
        <v>229</v>
      </c>
      <c r="Q10683">
        <v>0</v>
      </c>
      <c r="R10683">
        <v>90</v>
      </c>
      <c r="S10683">
        <v>90</v>
      </c>
      <c r="T10683" t="s">
        <v>39568</v>
      </c>
    </row>
    <row r="10684" spans="1:20" customFormat="1" ht="15" x14ac:dyDescent="0.25">
      <c r="A10684" t="s">
        <v>35</v>
      </c>
      <c r="B10684" t="s">
        <v>61</v>
      </c>
      <c r="C10684" t="str">
        <f>"A0123221"</f>
        <v>A0123221</v>
      </c>
      <c r="D10684" t="s">
        <v>39569</v>
      </c>
      <c r="E10684" t="s">
        <v>39570</v>
      </c>
      <c r="F10684" t="s">
        <v>15973</v>
      </c>
      <c r="G10684" t="s">
        <v>29</v>
      </c>
      <c r="H10684">
        <v>23834</v>
      </c>
      <c r="I10684" t="s">
        <v>30</v>
      </c>
      <c r="J10684" t="s">
        <v>41</v>
      </c>
      <c r="K10684" t="s">
        <v>482</v>
      </c>
      <c r="Q10684">
        <v>0</v>
      </c>
      <c r="R10684">
        <v>196</v>
      </c>
      <c r="S10684">
        <v>196</v>
      </c>
      <c r="T10684" t="s">
        <v>39571</v>
      </c>
    </row>
    <row r="10685" spans="1:20" customFormat="1" ht="15" x14ac:dyDescent="0.25">
      <c r="A10685" t="s">
        <v>35</v>
      </c>
      <c r="B10685" t="s">
        <v>61</v>
      </c>
      <c r="C10685" t="str">
        <f>"A0123675"</f>
        <v>A0123675</v>
      </c>
      <c r="D10685" t="s">
        <v>39572</v>
      </c>
      <c r="E10685" t="s">
        <v>39573</v>
      </c>
      <c r="F10685" t="s">
        <v>32806</v>
      </c>
      <c r="G10685" t="s">
        <v>29</v>
      </c>
      <c r="H10685">
        <v>23323</v>
      </c>
      <c r="I10685" t="s">
        <v>30</v>
      </c>
      <c r="J10685" t="s">
        <v>41</v>
      </c>
      <c r="K10685" t="s">
        <v>482</v>
      </c>
      <c r="Q10685">
        <v>0</v>
      </c>
      <c r="R10685">
        <v>40</v>
      </c>
      <c r="S10685">
        <v>40</v>
      </c>
      <c r="T10685" t="s">
        <v>39574</v>
      </c>
    </row>
    <row r="10686" spans="1:20" customFormat="1" ht="15" x14ac:dyDescent="0.25">
      <c r="A10686" t="s">
        <v>35</v>
      </c>
      <c r="B10686" t="s">
        <v>61</v>
      </c>
      <c r="C10686" t="str">
        <f>"A0133168"</f>
        <v>A0133168</v>
      </c>
      <c r="D10686" t="s">
        <v>39575</v>
      </c>
      <c r="E10686" t="s">
        <v>39576</v>
      </c>
      <c r="F10686" t="s">
        <v>39577</v>
      </c>
      <c r="G10686" t="s">
        <v>52</v>
      </c>
      <c r="H10686">
        <v>75160</v>
      </c>
      <c r="I10686" t="s">
        <v>30</v>
      </c>
      <c r="J10686" t="s">
        <v>41</v>
      </c>
      <c r="K10686" t="s">
        <v>59</v>
      </c>
      <c r="Q10686">
        <v>0</v>
      </c>
      <c r="R10686">
        <v>90</v>
      </c>
      <c r="S10686">
        <v>90</v>
      </c>
      <c r="T10686" t="s">
        <v>39578</v>
      </c>
    </row>
    <row r="10687" spans="1:20" customFormat="1" ht="15" x14ac:dyDescent="0.25">
      <c r="A10687" t="s">
        <v>35</v>
      </c>
      <c r="B10687" t="s">
        <v>61</v>
      </c>
      <c r="C10687" t="str">
        <f>"A0130127"</f>
        <v>A0130127</v>
      </c>
      <c r="D10687" t="s">
        <v>39579</v>
      </c>
      <c r="E10687" t="s">
        <v>39580</v>
      </c>
      <c r="F10687" t="s">
        <v>39581</v>
      </c>
      <c r="G10687" t="s">
        <v>1898</v>
      </c>
      <c r="H10687">
        <v>52738</v>
      </c>
      <c r="I10687" t="s">
        <v>30</v>
      </c>
      <c r="J10687" t="s">
        <v>41</v>
      </c>
      <c r="K10687" t="s">
        <v>229</v>
      </c>
      <c r="Q10687">
        <v>0</v>
      </c>
      <c r="R10687">
        <v>46</v>
      </c>
      <c r="S10687">
        <v>46</v>
      </c>
      <c r="T10687" t="s">
        <v>39582</v>
      </c>
    </row>
    <row r="10688" spans="1:20" customFormat="1" ht="15" x14ac:dyDescent="0.25">
      <c r="A10688" t="s">
        <v>35</v>
      </c>
      <c r="B10688" t="s">
        <v>61</v>
      </c>
      <c r="C10688" t="str">
        <f>"A0123676"</f>
        <v>A0123676</v>
      </c>
      <c r="D10688" t="s">
        <v>39583</v>
      </c>
      <c r="E10688" t="s">
        <v>39584</v>
      </c>
      <c r="F10688" t="s">
        <v>7257</v>
      </c>
      <c r="G10688" t="s">
        <v>29</v>
      </c>
      <c r="H10688">
        <v>23185</v>
      </c>
      <c r="I10688" t="s">
        <v>30</v>
      </c>
      <c r="J10688" t="s">
        <v>41</v>
      </c>
      <c r="K10688" t="s">
        <v>482</v>
      </c>
      <c r="Q10688">
        <v>0</v>
      </c>
      <c r="R10688">
        <v>100</v>
      </c>
      <c r="S10688">
        <v>100</v>
      </c>
      <c r="T10688" t="s">
        <v>39585</v>
      </c>
    </row>
    <row r="10689" spans="1:20" customFormat="1" ht="15" x14ac:dyDescent="0.25">
      <c r="A10689" t="s">
        <v>35</v>
      </c>
      <c r="B10689" t="s">
        <v>61</v>
      </c>
      <c r="C10689" t="str">
        <f>"A0131792"</f>
        <v>A0131792</v>
      </c>
      <c r="D10689" t="s">
        <v>39586</v>
      </c>
      <c r="E10689" t="s">
        <v>39587</v>
      </c>
      <c r="F10689" t="s">
        <v>39588</v>
      </c>
      <c r="G10689" t="s">
        <v>65</v>
      </c>
      <c r="H10689">
        <v>44842</v>
      </c>
      <c r="I10689" t="s">
        <v>30</v>
      </c>
      <c r="J10689" t="s">
        <v>41</v>
      </c>
      <c r="K10689" t="s">
        <v>229</v>
      </c>
      <c r="Q10689">
        <v>0</v>
      </c>
      <c r="R10689">
        <v>105</v>
      </c>
      <c r="S10689">
        <v>105</v>
      </c>
      <c r="T10689" t="s">
        <v>39589</v>
      </c>
    </row>
    <row r="10690" spans="1:20" customFormat="1" ht="15" x14ac:dyDescent="0.25">
      <c r="A10690" t="s">
        <v>35</v>
      </c>
      <c r="B10690" t="s">
        <v>61</v>
      </c>
      <c r="C10690" t="str">
        <f>"A0130990"</f>
        <v>A0130990</v>
      </c>
      <c r="D10690" t="s">
        <v>39590</v>
      </c>
      <c r="E10690" t="s">
        <v>39591</v>
      </c>
      <c r="F10690" t="s">
        <v>39592</v>
      </c>
      <c r="G10690" t="s">
        <v>137</v>
      </c>
      <c r="H10690">
        <v>63801</v>
      </c>
      <c r="I10690" t="s">
        <v>30</v>
      </c>
      <c r="J10690" t="s">
        <v>41</v>
      </c>
      <c r="K10690" t="s">
        <v>59</v>
      </c>
      <c r="Q10690">
        <v>0</v>
      </c>
      <c r="R10690">
        <v>20</v>
      </c>
      <c r="S10690">
        <v>20</v>
      </c>
      <c r="T10690" t="s">
        <v>39593</v>
      </c>
    </row>
    <row r="10691" spans="1:20" customFormat="1" ht="15" x14ac:dyDescent="0.25">
      <c r="A10691" t="s">
        <v>35</v>
      </c>
      <c r="B10691" t="s">
        <v>61</v>
      </c>
      <c r="C10691" t="str">
        <f>"A0128736"</f>
        <v>A0128736</v>
      </c>
      <c r="D10691" t="s">
        <v>39594</v>
      </c>
      <c r="E10691" t="s">
        <v>39595</v>
      </c>
      <c r="F10691" t="s">
        <v>24915</v>
      </c>
      <c r="G10691" t="s">
        <v>1170</v>
      </c>
      <c r="H10691">
        <v>70006</v>
      </c>
      <c r="I10691" t="s">
        <v>30</v>
      </c>
      <c r="J10691" t="s">
        <v>41</v>
      </c>
      <c r="K10691" t="s">
        <v>229</v>
      </c>
      <c r="Q10691">
        <v>0</v>
      </c>
      <c r="R10691">
        <v>110</v>
      </c>
      <c r="S10691">
        <v>110</v>
      </c>
      <c r="T10691" t="s">
        <v>39596</v>
      </c>
    </row>
    <row r="10692" spans="1:20" customFormat="1" ht="15" x14ac:dyDescent="0.25">
      <c r="A10692" t="s">
        <v>35</v>
      </c>
      <c r="B10692" t="s">
        <v>61</v>
      </c>
      <c r="C10692" t="str">
        <f>"A0123677"</f>
        <v>A0123677</v>
      </c>
      <c r="D10692" t="s">
        <v>39597</v>
      </c>
      <c r="E10692" t="s">
        <v>39598</v>
      </c>
      <c r="F10692" t="s">
        <v>20330</v>
      </c>
      <c r="G10692" t="s">
        <v>29</v>
      </c>
      <c r="H10692">
        <v>229012100</v>
      </c>
      <c r="I10692" t="s">
        <v>30</v>
      </c>
      <c r="J10692" t="s">
        <v>41</v>
      </c>
      <c r="K10692" t="s">
        <v>482</v>
      </c>
      <c r="Q10692">
        <v>0</v>
      </c>
      <c r="R10692">
        <v>98</v>
      </c>
      <c r="S10692">
        <v>98</v>
      </c>
      <c r="T10692" t="s">
        <v>39599</v>
      </c>
    </row>
    <row r="10693" spans="1:20" customFormat="1" ht="15" x14ac:dyDescent="0.25">
      <c r="A10693" t="s">
        <v>35</v>
      </c>
      <c r="B10693" t="s">
        <v>61</v>
      </c>
      <c r="C10693" t="str">
        <f>"A0127835"</f>
        <v>A0127835</v>
      </c>
      <c r="D10693" t="s">
        <v>39600</v>
      </c>
      <c r="E10693" t="s">
        <v>39601</v>
      </c>
      <c r="F10693" t="s">
        <v>16093</v>
      </c>
      <c r="G10693" t="s">
        <v>117</v>
      </c>
      <c r="H10693">
        <v>48706</v>
      </c>
      <c r="I10693" t="s">
        <v>30</v>
      </c>
      <c r="J10693" t="s">
        <v>41</v>
      </c>
      <c r="K10693" t="s">
        <v>59</v>
      </c>
      <c r="Q10693">
        <v>0</v>
      </c>
      <c r="R10693">
        <v>44</v>
      </c>
      <c r="S10693">
        <v>44</v>
      </c>
      <c r="T10693" t="s">
        <v>39602</v>
      </c>
    </row>
    <row r="10694" spans="1:20" customFormat="1" ht="15" x14ac:dyDescent="0.25">
      <c r="A10694" t="s">
        <v>35</v>
      </c>
      <c r="B10694" t="s">
        <v>61</v>
      </c>
      <c r="C10694" t="str">
        <f>"A0124138"</f>
        <v>A0124138</v>
      </c>
      <c r="D10694" t="s">
        <v>39603</v>
      </c>
      <c r="E10694" t="s">
        <v>39604</v>
      </c>
      <c r="F10694" t="s">
        <v>3193</v>
      </c>
      <c r="G10694" t="s">
        <v>123</v>
      </c>
      <c r="H10694">
        <v>20735</v>
      </c>
      <c r="I10694" t="s">
        <v>30</v>
      </c>
      <c r="J10694" t="s">
        <v>41</v>
      </c>
      <c r="K10694" t="s">
        <v>229</v>
      </c>
      <c r="Q10694">
        <v>0</v>
      </c>
      <c r="R10694">
        <v>228</v>
      </c>
      <c r="S10694">
        <v>228</v>
      </c>
      <c r="T10694" t="s">
        <v>39605</v>
      </c>
    </row>
    <row r="10695" spans="1:20" customFormat="1" ht="15" x14ac:dyDescent="0.25">
      <c r="A10695" t="s">
        <v>35</v>
      </c>
      <c r="B10695" t="s">
        <v>106</v>
      </c>
      <c r="C10695" t="str">
        <f>"A0136334"</f>
        <v>A0136334</v>
      </c>
      <c r="D10695" t="s">
        <v>39606</v>
      </c>
      <c r="E10695" t="s">
        <v>39607</v>
      </c>
      <c r="F10695" t="s">
        <v>417</v>
      </c>
      <c r="G10695" t="s">
        <v>190</v>
      </c>
      <c r="H10695">
        <v>80523</v>
      </c>
      <c r="I10695" t="s">
        <v>30</v>
      </c>
      <c r="J10695" t="s">
        <v>111</v>
      </c>
      <c r="K10695" t="s">
        <v>10012</v>
      </c>
      <c r="Q10695">
        <v>0</v>
      </c>
      <c r="R10695">
        <v>0</v>
      </c>
      <c r="S10695">
        <v>0</v>
      </c>
      <c r="T10695" t="s">
        <v>39608</v>
      </c>
    </row>
    <row r="10696" spans="1:20" customFormat="1" ht="15" x14ac:dyDescent="0.25">
      <c r="A10696" t="s">
        <v>35</v>
      </c>
      <c r="B10696" t="s">
        <v>106</v>
      </c>
      <c r="C10696" t="str">
        <f>"A0136347"</f>
        <v>A0136347</v>
      </c>
      <c r="D10696" t="s">
        <v>39609</v>
      </c>
      <c r="E10696" t="s">
        <v>39610</v>
      </c>
      <c r="F10696" t="s">
        <v>417</v>
      </c>
      <c r="G10696" t="s">
        <v>190</v>
      </c>
      <c r="H10696">
        <v>80523</v>
      </c>
      <c r="I10696" t="s">
        <v>30</v>
      </c>
      <c r="J10696" t="s">
        <v>111</v>
      </c>
      <c r="K10696" t="s">
        <v>10012</v>
      </c>
      <c r="Q10696">
        <v>0</v>
      </c>
      <c r="R10696">
        <v>0</v>
      </c>
      <c r="S10696">
        <v>0</v>
      </c>
      <c r="T10696" t="s">
        <v>39611</v>
      </c>
    </row>
    <row r="10697" spans="1:20" customFormat="1" ht="15" x14ac:dyDescent="0.25">
      <c r="A10697" t="s">
        <v>35</v>
      </c>
      <c r="B10697" t="s">
        <v>61</v>
      </c>
      <c r="C10697" t="str">
        <f>"A0118082"</f>
        <v>A0118082</v>
      </c>
      <c r="D10697" t="s">
        <v>39612</v>
      </c>
      <c r="E10697" t="s">
        <v>39613</v>
      </c>
      <c r="F10697" t="s">
        <v>39614</v>
      </c>
      <c r="G10697" t="s">
        <v>190</v>
      </c>
      <c r="H10697">
        <v>81650</v>
      </c>
      <c r="I10697" t="s">
        <v>30</v>
      </c>
      <c r="J10697" t="s">
        <v>41</v>
      </c>
      <c r="K10697" t="s">
        <v>1440</v>
      </c>
      <c r="Q10697">
        <v>0</v>
      </c>
      <c r="R10697">
        <v>100</v>
      </c>
      <c r="S10697">
        <v>100</v>
      </c>
      <c r="T10697" t="s">
        <v>39615</v>
      </c>
    </row>
    <row r="10698" spans="1:20" customFormat="1" ht="15" x14ac:dyDescent="0.25">
      <c r="A10698" t="s">
        <v>35</v>
      </c>
      <c r="B10698" t="s">
        <v>106</v>
      </c>
      <c r="C10698" t="str">
        <f>"A0136316"</f>
        <v>A0136316</v>
      </c>
      <c r="D10698" t="s">
        <v>39616</v>
      </c>
      <c r="E10698" t="s">
        <v>39617</v>
      </c>
      <c r="F10698" t="s">
        <v>1298</v>
      </c>
      <c r="G10698" t="s">
        <v>1369</v>
      </c>
      <c r="H10698">
        <v>39429</v>
      </c>
      <c r="I10698" t="s">
        <v>30</v>
      </c>
      <c r="J10698" t="s">
        <v>111</v>
      </c>
      <c r="K10698" t="s">
        <v>112</v>
      </c>
      <c r="Q10698">
        <v>0</v>
      </c>
      <c r="R10698">
        <v>0</v>
      </c>
      <c r="S10698">
        <v>0</v>
      </c>
      <c r="T10698" t="s">
        <v>39618</v>
      </c>
    </row>
    <row r="10699" spans="1:20" customFormat="1" ht="15" x14ac:dyDescent="0.25">
      <c r="A10699" t="s">
        <v>35</v>
      </c>
      <c r="B10699" t="s">
        <v>61</v>
      </c>
      <c r="C10699" t="str">
        <f>"A0123222"</f>
        <v>A0123222</v>
      </c>
      <c r="D10699" t="s">
        <v>39619</v>
      </c>
      <c r="E10699" t="s">
        <v>39620</v>
      </c>
      <c r="F10699" t="s">
        <v>12375</v>
      </c>
      <c r="G10699" t="s">
        <v>29</v>
      </c>
      <c r="H10699" t="s">
        <v>39621</v>
      </c>
      <c r="I10699" t="s">
        <v>30</v>
      </c>
      <c r="J10699" t="s">
        <v>41</v>
      </c>
      <c r="K10699" t="s">
        <v>482</v>
      </c>
      <c r="Q10699">
        <v>0</v>
      </c>
      <c r="R10699">
        <v>11</v>
      </c>
      <c r="S10699">
        <v>11</v>
      </c>
      <c r="T10699" t="s">
        <v>39622</v>
      </c>
    </row>
    <row r="10700" spans="1:20" customFormat="1" ht="15" x14ac:dyDescent="0.25">
      <c r="A10700" t="s">
        <v>35</v>
      </c>
      <c r="B10700" t="s">
        <v>61</v>
      </c>
      <c r="C10700" t="str">
        <f>"A0152960"</f>
        <v>A0152960</v>
      </c>
      <c r="D10700" t="s">
        <v>39623</v>
      </c>
      <c r="E10700" t="s">
        <v>39624</v>
      </c>
      <c r="F10700" t="s">
        <v>1298</v>
      </c>
      <c r="G10700" t="s">
        <v>58</v>
      </c>
      <c r="H10700">
        <v>29209</v>
      </c>
      <c r="I10700" t="s">
        <v>30</v>
      </c>
      <c r="J10700" t="s">
        <v>41</v>
      </c>
      <c r="K10700" t="s">
        <v>42</v>
      </c>
      <c r="Q10700">
        <v>0</v>
      </c>
      <c r="R10700">
        <v>0</v>
      </c>
      <c r="S10700">
        <v>0</v>
      </c>
      <c r="T10700" t="s">
        <v>39625</v>
      </c>
    </row>
    <row r="10701" spans="1:20" customFormat="1" ht="15" x14ac:dyDescent="0.25">
      <c r="A10701" t="s">
        <v>35</v>
      </c>
      <c r="B10701" t="s">
        <v>61</v>
      </c>
      <c r="C10701" t="str">
        <f>"A0124139"</f>
        <v>A0124139</v>
      </c>
      <c r="D10701" t="s">
        <v>39626</v>
      </c>
      <c r="E10701" t="s">
        <v>39627</v>
      </c>
      <c r="F10701" t="s">
        <v>1298</v>
      </c>
      <c r="G10701" t="s">
        <v>123</v>
      </c>
      <c r="H10701">
        <v>21044</v>
      </c>
      <c r="I10701" t="s">
        <v>30</v>
      </c>
      <c r="J10701" t="s">
        <v>41</v>
      </c>
      <c r="K10701" t="s">
        <v>482</v>
      </c>
      <c r="Q10701">
        <v>0</v>
      </c>
      <c r="R10701">
        <v>45</v>
      </c>
      <c r="S10701">
        <v>45</v>
      </c>
      <c r="T10701" t="s">
        <v>39628</v>
      </c>
    </row>
    <row r="10702" spans="1:20" customFormat="1" ht="15" x14ac:dyDescent="0.25">
      <c r="A10702" t="s">
        <v>35</v>
      </c>
      <c r="B10702" t="s">
        <v>61</v>
      </c>
      <c r="C10702" t="str">
        <f>"A0151557"</f>
        <v>A0151557</v>
      </c>
      <c r="D10702" t="s">
        <v>39629</v>
      </c>
      <c r="E10702" t="s">
        <v>39630</v>
      </c>
      <c r="F10702" t="s">
        <v>4082</v>
      </c>
      <c r="G10702" t="s">
        <v>123</v>
      </c>
      <c r="H10702">
        <v>21210</v>
      </c>
      <c r="I10702" t="s">
        <v>30</v>
      </c>
      <c r="J10702" t="s">
        <v>41</v>
      </c>
      <c r="K10702" t="s">
        <v>229</v>
      </c>
      <c r="Q10702">
        <v>0</v>
      </c>
      <c r="R10702">
        <v>0</v>
      </c>
      <c r="S10702">
        <v>0</v>
      </c>
      <c r="T10702" t="s">
        <v>72</v>
      </c>
    </row>
    <row r="10703" spans="1:20" customFormat="1" ht="15" x14ac:dyDescent="0.25">
      <c r="A10703" t="s">
        <v>35</v>
      </c>
      <c r="B10703" t="s">
        <v>61</v>
      </c>
      <c r="C10703" t="str">
        <f>"A0129212"</f>
        <v>A0129212</v>
      </c>
      <c r="D10703" t="s">
        <v>39631</v>
      </c>
      <c r="E10703" t="s">
        <v>39632</v>
      </c>
      <c r="F10703" t="s">
        <v>288</v>
      </c>
      <c r="G10703" t="s">
        <v>289</v>
      </c>
      <c r="H10703">
        <v>60644</v>
      </c>
      <c r="I10703" t="s">
        <v>30</v>
      </c>
      <c r="J10703" t="s">
        <v>41</v>
      </c>
      <c r="K10703" t="s">
        <v>229</v>
      </c>
      <c r="Q10703">
        <v>0</v>
      </c>
      <c r="R10703">
        <v>189</v>
      </c>
      <c r="S10703">
        <v>189</v>
      </c>
      <c r="T10703" t="s">
        <v>39633</v>
      </c>
    </row>
    <row r="10704" spans="1:20" customFormat="1" ht="15" x14ac:dyDescent="0.25">
      <c r="A10704" t="s">
        <v>35</v>
      </c>
      <c r="B10704" t="s">
        <v>106</v>
      </c>
      <c r="C10704" t="str">
        <f>"A0136537"</f>
        <v>A0136537</v>
      </c>
      <c r="D10704" t="s">
        <v>39634</v>
      </c>
      <c r="E10704" t="s">
        <v>39635</v>
      </c>
      <c r="F10704" t="s">
        <v>64</v>
      </c>
      <c r="G10704" t="s">
        <v>1184</v>
      </c>
      <c r="H10704">
        <v>59019</v>
      </c>
      <c r="I10704" t="s">
        <v>30</v>
      </c>
      <c r="J10704" t="s">
        <v>111</v>
      </c>
      <c r="K10704" t="s">
        <v>112</v>
      </c>
      <c r="Q10704">
        <v>0</v>
      </c>
      <c r="R10704">
        <v>0</v>
      </c>
      <c r="S10704">
        <v>0</v>
      </c>
      <c r="T10704" t="s">
        <v>39636</v>
      </c>
    </row>
    <row r="10705" spans="1:20" customFormat="1" ht="15" x14ac:dyDescent="0.25">
      <c r="A10705" t="s">
        <v>35</v>
      </c>
      <c r="B10705" t="s">
        <v>61</v>
      </c>
      <c r="C10705" t="str">
        <f>"A0121969"</f>
        <v>A0121969</v>
      </c>
      <c r="D10705" t="s">
        <v>39637</v>
      </c>
      <c r="E10705" t="s">
        <v>39638</v>
      </c>
      <c r="F10705" t="s">
        <v>39639</v>
      </c>
      <c r="G10705" t="s">
        <v>110</v>
      </c>
      <c r="H10705">
        <v>95932</v>
      </c>
      <c r="I10705" t="s">
        <v>30</v>
      </c>
      <c r="J10705" t="s">
        <v>41</v>
      </c>
      <c r="K10705" t="s">
        <v>3713</v>
      </c>
      <c r="Q10705">
        <v>0</v>
      </c>
      <c r="R10705">
        <v>0</v>
      </c>
      <c r="S10705">
        <v>0</v>
      </c>
      <c r="T10705" t="s">
        <v>39640</v>
      </c>
    </row>
    <row r="10706" spans="1:20" customFormat="1" ht="15" x14ac:dyDescent="0.25">
      <c r="A10706" t="s">
        <v>35</v>
      </c>
      <c r="B10706" t="s">
        <v>61</v>
      </c>
      <c r="C10706" t="str">
        <f>"A0123073"</f>
        <v>A0123073</v>
      </c>
      <c r="D10706" t="s">
        <v>39641</v>
      </c>
      <c r="E10706" t="s">
        <v>39642</v>
      </c>
      <c r="F10706" t="s">
        <v>39643</v>
      </c>
      <c r="G10706" t="s">
        <v>76</v>
      </c>
      <c r="H10706">
        <v>99155</v>
      </c>
      <c r="I10706" t="s">
        <v>30</v>
      </c>
      <c r="J10706" t="s">
        <v>41</v>
      </c>
      <c r="K10706" t="s">
        <v>229</v>
      </c>
      <c r="Q10706">
        <v>0</v>
      </c>
      <c r="R10706">
        <v>44</v>
      </c>
      <c r="S10706">
        <v>44</v>
      </c>
      <c r="T10706" t="s">
        <v>39644</v>
      </c>
    </row>
    <row r="10707" spans="1:20" customFormat="1" ht="15" x14ac:dyDescent="0.25">
      <c r="A10707" t="s">
        <v>35</v>
      </c>
      <c r="B10707" t="s">
        <v>61</v>
      </c>
      <c r="C10707" t="str">
        <f>"A0125204"</f>
        <v>A0125204</v>
      </c>
      <c r="D10707" t="s">
        <v>39645</v>
      </c>
      <c r="E10707" t="s">
        <v>39646</v>
      </c>
      <c r="F10707" t="s">
        <v>17235</v>
      </c>
      <c r="G10707" t="s">
        <v>40</v>
      </c>
      <c r="H10707">
        <v>73502</v>
      </c>
      <c r="I10707" t="s">
        <v>30</v>
      </c>
      <c r="J10707" t="s">
        <v>41</v>
      </c>
      <c r="K10707" t="s">
        <v>6300</v>
      </c>
      <c r="Q10707">
        <v>0</v>
      </c>
      <c r="R10707">
        <v>1</v>
      </c>
      <c r="S10707">
        <v>1</v>
      </c>
      <c r="T10707" t="s">
        <v>39647</v>
      </c>
    </row>
    <row r="10708" spans="1:20" customFormat="1" ht="15" x14ac:dyDescent="0.25">
      <c r="A10708" t="s">
        <v>35</v>
      </c>
      <c r="B10708" t="s">
        <v>61</v>
      </c>
      <c r="C10708" t="str">
        <f>"A0125212"</f>
        <v>A0125212</v>
      </c>
      <c r="D10708" t="s">
        <v>39648</v>
      </c>
      <c r="E10708" t="s">
        <v>39649</v>
      </c>
      <c r="F10708" t="s">
        <v>12923</v>
      </c>
      <c r="G10708" t="s">
        <v>40</v>
      </c>
      <c r="H10708">
        <v>73013</v>
      </c>
      <c r="I10708" t="s">
        <v>30</v>
      </c>
      <c r="J10708" t="s">
        <v>41</v>
      </c>
      <c r="K10708" t="s">
        <v>59</v>
      </c>
      <c r="Q10708">
        <v>0</v>
      </c>
      <c r="R10708">
        <v>80</v>
      </c>
      <c r="S10708">
        <v>80</v>
      </c>
      <c r="T10708" t="s">
        <v>39650</v>
      </c>
    </row>
    <row r="10709" spans="1:20" customFormat="1" ht="15" x14ac:dyDescent="0.25">
      <c r="A10709" t="s">
        <v>35</v>
      </c>
      <c r="B10709" t="s">
        <v>61</v>
      </c>
      <c r="C10709" t="str">
        <f>"A0123223"</f>
        <v>A0123223</v>
      </c>
      <c r="D10709" t="s">
        <v>39651</v>
      </c>
      <c r="E10709" t="s">
        <v>39652</v>
      </c>
      <c r="F10709" t="s">
        <v>465</v>
      </c>
      <c r="G10709" t="s">
        <v>29</v>
      </c>
      <c r="H10709">
        <v>20153</v>
      </c>
      <c r="I10709" t="s">
        <v>30</v>
      </c>
      <c r="J10709" t="s">
        <v>41</v>
      </c>
      <c r="K10709" t="s">
        <v>59</v>
      </c>
      <c r="Q10709">
        <v>0</v>
      </c>
      <c r="R10709">
        <v>10</v>
      </c>
      <c r="S10709">
        <v>10</v>
      </c>
      <c r="T10709" t="s">
        <v>39653</v>
      </c>
    </row>
    <row r="10710" spans="1:20" customFormat="1" ht="15" x14ac:dyDescent="0.25">
      <c r="A10710" t="s">
        <v>35</v>
      </c>
      <c r="B10710" t="s">
        <v>61</v>
      </c>
      <c r="C10710" t="str">
        <f>"A0128381"</f>
        <v>A0128381</v>
      </c>
      <c r="D10710" t="s">
        <v>39654</v>
      </c>
      <c r="E10710" t="s">
        <v>39655</v>
      </c>
      <c r="F10710" t="s">
        <v>426</v>
      </c>
      <c r="G10710" t="s">
        <v>427</v>
      </c>
      <c r="H10710">
        <v>68106</v>
      </c>
      <c r="I10710" t="s">
        <v>30</v>
      </c>
      <c r="J10710" t="s">
        <v>41</v>
      </c>
      <c r="K10710" t="s">
        <v>1412</v>
      </c>
      <c r="Q10710">
        <v>0</v>
      </c>
      <c r="R10710">
        <v>0</v>
      </c>
      <c r="S10710">
        <v>0</v>
      </c>
      <c r="T10710" t="s">
        <v>39656</v>
      </c>
    </row>
    <row r="10711" spans="1:20" customFormat="1" ht="15" x14ac:dyDescent="0.25">
      <c r="A10711" t="s">
        <v>35</v>
      </c>
      <c r="B10711" t="s">
        <v>61</v>
      </c>
      <c r="C10711" t="str">
        <f>"A0154478"</f>
        <v>A0154478</v>
      </c>
      <c r="D10711" t="s">
        <v>39657</v>
      </c>
      <c r="E10711" t="s">
        <v>39658</v>
      </c>
      <c r="F10711" t="s">
        <v>19101</v>
      </c>
      <c r="G10711" t="s">
        <v>58</v>
      </c>
      <c r="H10711">
        <v>29505</v>
      </c>
      <c r="I10711" t="s">
        <v>30</v>
      </c>
      <c r="J10711" t="s">
        <v>41</v>
      </c>
      <c r="K10711" t="s">
        <v>229</v>
      </c>
      <c r="Q10711">
        <v>0</v>
      </c>
      <c r="R10711">
        <v>173</v>
      </c>
      <c r="S10711">
        <v>173</v>
      </c>
      <c r="T10711" t="s">
        <v>39659</v>
      </c>
    </row>
    <row r="10712" spans="1:20" customFormat="1" ht="15" x14ac:dyDescent="0.25">
      <c r="A10712" t="s">
        <v>35</v>
      </c>
      <c r="B10712" t="s">
        <v>61</v>
      </c>
      <c r="C10712" t="str">
        <f>"A0132621"</f>
        <v>A0132621</v>
      </c>
      <c r="D10712" t="s">
        <v>39660</v>
      </c>
      <c r="E10712" t="s">
        <v>39661</v>
      </c>
      <c r="F10712" t="s">
        <v>39662</v>
      </c>
      <c r="G10712" t="s">
        <v>65</v>
      </c>
      <c r="H10712">
        <v>44512</v>
      </c>
      <c r="I10712" t="s">
        <v>30</v>
      </c>
      <c r="J10712" t="s">
        <v>41</v>
      </c>
      <c r="K10712" t="s">
        <v>59</v>
      </c>
      <c r="Q10712">
        <v>0</v>
      </c>
      <c r="R10712">
        <v>100</v>
      </c>
      <c r="S10712">
        <v>100</v>
      </c>
      <c r="T10712" t="s">
        <v>39663</v>
      </c>
    </row>
    <row r="10713" spans="1:20" customFormat="1" ht="15" x14ac:dyDescent="0.25">
      <c r="A10713" t="s">
        <v>35</v>
      </c>
      <c r="B10713" t="s">
        <v>61</v>
      </c>
      <c r="C10713" t="str">
        <f>"A0132207"</f>
        <v>A0132207</v>
      </c>
      <c r="D10713" t="s">
        <v>39664</v>
      </c>
      <c r="E10713" t="s">
        <v>39665</v>
      </c>
      <c r="F10713" t="s">
        <v>8085</v>
      </c>
      <c r="G10713" t="s">
        <v>65</v>
      </c>
      <c r="H10713">
        <v>45690</v>
      </c>
      <c r="I10713" t="s">
        <v>30</v>
      </c>
      <c r="J10713" t="s">
        <v>41</v>
      </c>
      <c r="K10713" t="s">
        <v>2760</v>
      </c>
      <c r="Q10713">
        <v>0</v>
      </c>
      <c r="R10713">
        <v>1</v>
      </c>
      <c r="S10713">
        <v>1</v>
      </c>
      <c r="T10713" t="s">
        <v>39666</v>
      </c>
    </row>
    <row r="10714" spans="1:20" customFormat="1" ht="15" x14ac:dyDescent="0.25">
      <c r="A10714" t="s">
        <v>35</v>
      </c>
      <c r="B10714" t="s">
        <v>61</v>
      </c>
      <c r="C10714" t="str">
        <f>"A0125405"</f>
        <v>A0125405</v>
      </c>
      <c r="D10714" t="s">
        <v>39667</v>
      </c>
      <c r="E10714" t="s">
        <v>39668</v>
      </c>
      <c r="F10714" t="s">
        <v>39669</v>
      </c>
      <c r="G10714" t="s">
        <v>40</v>
      </c>
      <c r="H10714">
        <v>73859</v>
      </c>
      <c r="I10714" t="s">
        <v>30</v>
      </c>
      <c r="J10714" t="s">
        <v>41</v>
      </c>
      <c r="K10714" t="s">
        <v>6300</v>
      </c>
      <c r="Q10714">
        <v>0</v>
      </c>
      <c r="R10714">
        <v>1</v>
      </c>
      <c r="S10714">
        <v>1</v>
      </c>
      <c r="T10714" t="s">
        <v>39670</v>
      </c>
    </row>
    <row r="10715" spans="1:20" customFormat="1" ht="15" x14ac:dyDescent="0.25">
      <c r="A10715" t="s">
        <v>35</v>
      </c>
      <c r="B10715" t="s">
        <v>61</v>
      </c>
      <c r="C10715" t="str">
        <f>"A0121758"</f>
        <v>A0121758</v>
      </c>
      <c r="D10715" t="s">
        <v>39671</v>
      </c>
      <c r="E10715" t="s">
        <v>39672</v>
      </c>
      <c r="F10715" t="s">
        <v>24578</v>
      </c>
      <c r="G10715" t="s">
        <v>110</v>
      </c>
      <c r="H10715">
        <v>94559</v>
      </c>
      <c r="I10715" t="s">
        <v>30</v>
      </c>
      <c r="J10715" t="s">
        <v>41</v>
      </c>
      <c r="K10715" t="s">
        <v>6300</v>
      </c>
      <c r="Q10715">
        <v>0</v>
      </c>
      <c r="R10715">
        <v>0</v>
      </c>
      <c r="S10715">
        <v>0</v>
      </c>
      <c r="T10715" t="s">
        <v>39673</v>
      </c>
    </row>
    <row r="10716" spans="1:20" customFormat="1" ht="15" x14ac:dyDescent="0.25">
      <c r="A10716" t="s">
        <v>35</v>
      </c>
      <c r="B10716" t="s">
        <v>61</v>
      </c>
      <c r="C10716" t="str">
        <f>"A0130363"</f>
        <v>A0130363</v>
      </c>
      <c r="D10716" t="s">
        <v>39674</v>
      </c>
      <c r="E10716" t="s">
        <v>39675</v>
      </c>
      <c r="F10716" t="s">
        <v>10523</v>
      </c>
      <c r="G10716" t="s">
        <v>1898</v>
      </c>
      <c r="H10716">
        <v>502500000</v>
      </c>
      <c r="I10716" t="s">
        <v>30</v>
      </c>
      <c r="J10716" t="s">
        <v>41</v>
      </c>
      <c r="K10716" t="s">
        <v>229</v>
      </c>
      <c r="Q10716">
        <v>0</v>
      </c>
      <c r="R10716">
        <v>60</v>
      </c>
      <c r="S10716">
        <v>60</v>
      </c>
      <c r="T10716" t="s">
        <v>39676</v>
      </c>
    </row>
    <row r="10717" spans="1:20" customFormat="1" ht="15" x14ac:dyDescent="0.25">
      <c r="A10717" t="s">
        <v>35</v>
      </c>
      <c r="B10717" t="s">
        <v>61</v>
      </c>
      <c r="C10717" t="str">
        <f>"A0155455"</f>
        <v>A0155455</v>
      </c>
      <c r="D10717" t="s">
        <v>39677</v>
      </c>
      <c r="E10717" t="s">
        <v>39678</v>
      </c>
      <c r="F10717" t="s">
        <v>3657</v>
      </c>
      <c r="G10717" t="s">
        <v>1898</v>
      </c>
      <c r="H10717">
        <v>50138</v>
      </c>
      <c r="I10717" t="s">
        <v>30</v>
      </c>
      <c r="J10717" t="s">
        <v>41</v>
      </c>
      <c r="K10717" t="s">
        <v>229</v>
      </c>
      <c r="Q10717">
        <v>0</v>
      </c>
      <c r="R10717">
        <v>27</v>
      </c>
      <c r="S10717">
        <v>27</v>
      </c>
      <c r="T10717" t="s">
        <v>39679</v>
      </c>
    </row>
    <row r="10718" spans="1:20" customFormat="1" ht="15" x14ac:dyDescent="0.25">
      <c r="A10718" t="s">
        <v>35</v>
      </c>
      <c r="B10718" t="s">
        <v>61</v>
      </c>
      <c r="C10718" t="str">
        <f>"A0126253"</f>
        <v>A0126253</v>
      </c>
      <c r="D10718" t="s">
        <v>39680</v>
      </c>
      <c r="E10718" t="s">
        <v>39681</v>
      </c>
      <c r="F10718" t="s">
        <v>6764</v>
      </c>
      <c r="G10718" t="s">
        <v>81</v>
      </c>
      <c r="H10718">
        <v>33902</v>
      </c>
      <c r="I10718" t="s">
        <v>30</v>
      </c>
      <c r="J10718" t="s">
        <v>41</v>
      </c>
      <c r="K10718" t="s">
        <v>2760</v>
      </c>
      <c r="Q10718">
        <v>0</v>
      </c>
      <c r="R10718">
        <v>1</v>
      </c>
      <c r="S10718">
        <v>1</v>
      </c>
      <c r="T10718" t="s">
        <v>39682</v>
      </c>
    </row>
    <row r="10719" spans="1:20" customFormat="1" ht="15" x14ac:dyDescent="0.25">
      <c r="A10719" t="s">
        <v>35</v>
      </c>
      <c r="B10719" t="s">
        <v>61</v>
      </c>
      <c r="C10719" t="str">
        <f>"A0127272"</f>
        <v>A0127272</v>
      </c>
      <c r="D10719" t="s">
        <v>39683</v>
      </c>
      <c r="E10719" t="s">
        <v>39684</v>
      </c>
      <c r="F10719" t="s">
        <v>10276</v>
      </c>
      <c r="G10719" t="s">
        <v>846</v>
      </c>
      <c r="H10719">
        <v>30354</v>
      </c>
      <c r="I10719" t="s">
        <v>30</v>
      </c>
      <c r="J10719" t="s">
        <v>41</v>
      </c>
      <c r="K10719" t="s">
        <v>39685</v>
      </c>
      <c r="Q10719">
        <v>0</v>
      </c>
      <c r="R10719">
        <v>0</v>
      </c>
      <c r="S10719">
        <v>0</v>
      </c>
      <c r="T10719" t="s">
        <v>39686</v>
      </c>
    </row>
    <row r="10720" spans="1:20" customFormat="1" ht="15" x14ac:dyDescent="0.25">
      <c r="A10720" t="s">
        <v>35</v>
      </c>
      <c r="B10720" t="s">
        <v>61</v>
      </c>
      <c r="C10720" t="str">
        <f>"A0131235"</f>
        <v>A0131235</v>
      </c>
      <c r="D10720" t="s">
        <v>39687</v>
      </c>
      <c r="E10720" t="s">
        <v>39688</v>
      </c>
      <c r="F10720" t="s">
        <v>10170</v>
      </c>
      <c r="G10720" t="s">
        <v>137</v>
      </c>
      <c r="H10720">
        <v>63640</v>
      </c>
      <c r="I10720" t="s">
        <v>30</v>
      </c>
      <c r="J10720" t="s">
        <v>41</v>
      </c>
      <c r="K10720" t="s">
        <v>229</v>
      </c>
      <c r="Q10720">
        <v>0</v>
      </c>
      <c r="R10720">
        <v>60</v>
      </c>
      <c r="S10720">
        <v>60</v>
      </c>
      <c r="T10720" t="s">
        <v>39689</v>
      </c>
    </row>
    <row r="10721" spans="1:20" customFormat="1" ht="15" x14ac:dyDescent="0.25">
      <c r="A10721" t="s">
        <v>35</v>
      </c>
      <c r="B10721" t="s">
        <v>61</v>
      </c>
      <c r="C10721" t="str">
        <f>"A0130382"</f>
        <v>A0130382</v>
      </c>
      <c r="D10721" t="s">
        <v>39690</v>
      </c>
      <c r="E10721" t="s">
        <v>39691</v>
      </c>
      <c r="F10721" t="s">
        <v>39692</v>
      </c>
      <c r="G10721" t="s">
        <v>1898</v>
      </c>
      <c r="H10721">
        <v>513460000</v>
      </c>
      <c r="I10721" t="s">
        <v>30</v>
      </c>
      <c r="J10721" t="s">
        <v>41</v>
      </c>
      <c r="K10721" t="s">
        <v>229</v>
      </c>
      <c r="Q10721">
        <v>0</v>
      </c>
      <c r="R10721">
        <v>74</v>
      </c>
      <c r="S10721">
        <v>74</v>
      </c>
      <c r="T10721" t="s">
        <v>39693</v>
      </c>
    </row>
    <row r="10722" spans="1:20" customFormat="1" ht="15" x14ac:dyDescent="0.25">
      <c r="A10722" t="s">
        <v>35</v>
      </c>
      <c r="B10722" t="s">
        <v>61</v>
      </c>
      <c r="C10722" t="str">
        <f>"A0123224"</f>
        <v>A0123224</v>
      </c>
      <c r="D10722" t="s">
        <v>39694</v>
      </c>
      <c r="E10722" t="s">
        <v>39695</v>
      </c>
      <c r="F10722" t="s">
        <v>39696</v>
      </c>
      <c r="G10722" t="s">
        <v>29</v>
      </c>
      <c r="H10722" t="s">
        <v>39697</v>
      </c>
      <c r="I10722" t="s">
        <v>30</v>
      </c>
      <c r="J10722" t="s">
        <v>41</v>
      </c>
      <c r="K10722" t="s">
        <v>229</v>
      </c>
      <c r="Q10722">
        <v>0</v>
      </c>
      <c r="R10722">
        <v>140</v>
      </c>
      <c r="S10722">
        <v>140</v>
      </c>
      <c r="T10722" t="s">
        <v>39698</v>
      </c>
    </row>
    <row r="10723" spans="1:20" customFormat="1" ht="15" x14ac:dyDescent="0.25">
      <c r="A10723" t="s">
        <v>35</v>
      </c>
      <c r="B10723" t="s">
        <v>61</v>
      </c>
      <c r="C10723" t="str">
        <f>"A0124479"</f>
        <v>A0124479</v>
      </c>
      <c r="D10723" t="s">
        <v>39699</v>
      </c>
      <c r="E10723" t="s">
        <v>39700</v>
      </c>
      <c r="F10723" t="s">
        <v>12532</v>
      </c>
      <c r="G10723" t="s">
        <v>1369</v>
      </c>
      <c r="H10723">
        <v>392040000</v>
      </c>
      <c r="I10723" t="s">
        <v>30</v>
      </c>
      <c r="J10723" t="s">
        <v>41</v>
      </c>
      <c r="K10723" t="s">
        <v>229</v>
      </c>
      <c r="Q10723">
        <v>0</v>
      </c>
      <c r="R10723">
        <v>60</v>
      </c>
      <c r="S10723">
        <v>60</v>
      </c>
      <c r="T10723" t="s">
        <v>39701</v>
      </c>
    </row>
    <row r="10724" spans="1:20" customFormat="1" ht="15" x14ac:dyDescent="0.25">
      <c r="A10724" t="s">
        <v>35</v>
      </c>
      <c r="B10724" t="s">
        <v>106</v>
      </c>
      <c r="C10724" t="str">
        <f>"A0136546"</f>
        <v>A0136546</v>
      </c>
      <c r="D10724" t="s">
        <v>39702</v>
      </c>
      <c r="E10724" t="s">
        <v>39703</v>
      </c>
      <c r="F10724" t="s">
        <v>7794</v>
      </c>
      <c r="G10724" t="s">
        <v>433</v>
      </c>
      <c r="H10724">
        <v>83353</v>
      </c>
      <c r="I10724" t="s">
        <v>30</v>
      </c>
      <c r="J10724" t="s">
        <v>111</v>
      </c>
      <c r="K10724" t="s">
        <v>112</v>
      </c>
      <c r="Q10724">
        <v>0</v>
      </c>
      <c r="R10724">
        <v>0</v>
      </c>
      <c r="S10724">
        <v>0</v>
      </c>
      <c r="T10724" t="s">
        <v>39704</v>
      </c>
    </row>
    <row r="10725" spans="1:20" customFormat="1" ht="15" x14ac:dyDescent="0.25">
      <c r="A10725" t="s">
        <v>35</v>
      </c>
      <c r="B10725" t="s">
        <v>61</v>
      </c>
      <c r="C10725" t="str">
        <f>"A0131836"</f>
        <v>A0131836</v>
      </c>
      <c r="D10725" t="s">
        <v>39705</v>
      </c>
      <c r="E10725" t="s">
        <v>39706</v>
      </c>
      <c r="F10725" t="s">
        <v>460</v>
      </c>
      <c r="G10725" t="s">
        <v>65</v>
      </c>
      <c r="H10725">
        <v>444830000</v>
      </c>
      <c r="I10725" t="s">
        <v>30</v>
      </c>
      <c r="J10725" t="s">
        <v>41</v>
      </c>
      <c r="K10725" t="s">
        <v>229</v>
      </c>
      <c r="Q10725">
        <v>0</v>
      </c>
      <c r="R10725">
        <v>160</v>
      </c>
      <c r="S10725">
        <v>160</v>
      </c>
      <c r="T10725" t="s">
        <v>39707</v>
      </c>
    </row>
    <row r="10726" spans="1:20" customFormat="1" ht="15" x14ac:dyDescent="0.25">
      <c r="A10726" t="s">
        <v>35</v>
      </c>
      <c r="B10726" t="s">
        <v>61</v>
      </c>
      <c r="C10726" t="str">
        <f>"A0117952"</f>
        <v>A0117952</v>
      </c>
      <c r="D10726" t="s">
        <v>39708</v>
      </c>
      <c r="E10726" t="s">
        <v>39709</v>
      </c>
      <c r="F10726" t="s">
        <v>1634</v>
      </c>
      <c r="G10726" t="s">
        <v>110</v>
      </c>
      <c r="H10726">
        <v>92868</v>
      </c>
      <c r="I10726" t="s">
        <v>30</v>
      </c>
      <c r="J10726" t="s">
        <v>41</v>
      </c>
      <c r="K10726" t="s">
        <v>456</v>
      </c>
      <c r="Q10726">
        <v>0</v>
      </c>
      <c r="R10726">
        <v>120</v>
      </c>
      <c r="S10726">
        <v>120</v>
      </c>
      <c r="T10726" t="s">
        <v>39710</v>
      </c>
    </row>
    <row r="10727" spans="1:20" customFormat="1" ht="15" x14ac:dyDescent="0.25">
      <c r="A10727" t="s">
        <v>35</v>
      </c>
      <c r="B10727" t="s">
        <v>61</v>
      </c>
      <c r="C10727" t="str">
        <f>"A0131975"</f>
        <v>A0131975</v>
      </c>
      <c r="D10727" t="s">
        <v>39711</v>
      </c>
      <c r="E10727" t="s">
        <v>39712</v>
      </c>
      <c r="F10727" t="s">
        <v>2748</v>
      </c>
      <c r="G10727" t="s">
        <v>65</v>
      </c>
      <c r="H10727">
        <v>43620</v>
      </c>
      <c r="I10727" t="s">
        <v>30</v>
      </c>
      <c r="J10727" t="s">
        <v>41</v>
      </c>
      <c r="K10727" t="s">
        <v>104</v>
      </c>
      <c r="Q10727">
        <v>0</v>
      </c>
      <c r="R10727">
        <v>1</v>
      </c>
      <c r="S10727">
        <v>1</v>
      </c>
      <c r="T10727" t="s">
        <v>39713</v>
      </c>
    </row>
    <row r="10728" spans="1:20" customFormat="1" ht="15" x14ac:dyDescent="0.25">
      <c r="A10728" t="s">
        <v>35</v>
      </c>
      <c r="B10728" t="s">
        <v>61</v>
      </c>
      <c r="C10728" t="str">
        <f>"A0118394"</f>
        <v>A0118394</v>
      </c>
      <c r="D10728" t="s">
        <v>39714</v>
      </c>
      <c r="E10728" t="s">
        <v>39715</v>
      </c>
      <c r="F10728" t="s">
        <v>6244</v>
      </c>
      <c r="G10728" t="s">
        <v>110</v>
      </c>
      <c r="H10728">
        <v>93722</v>
      </c>
      <c r="I10728" t="s">
        <v>30</v>
      </c>
      <c r="J10728" t="s">
        <v>41</v>
      </c>
      <c r="K10728" t="s">
        <v>1032</v>
      </c>
      <c r="Q10728">
        <v>0</v>
      </c>
      <c r="R10728">
        <v>33</v>
      </c>
      <c r="S10728">
        <v>33</v>
      </c>
      <c r="T10728" t="s">
        <v>39716</v>
      </c>
    </row>
    <row r="10729" spans="1:20" customFormat="1" ht="15" x14ac:dyDescent="0.25">
      <c r="A10729" t="s">
        <v>35</v>
      </c>
      <c r="B10729" t="s">
        <v>61</v>
      </c>
      <c r="C10729" t="str">
        <f>"A0150556"</f>
        <v>A0150556</v>
      </c>
      <c r="D10729" t="s">
        <v>39717</v>
      </c>
      <c r="E10729" t="s">
        <v>39718</v>
      </c>
      <c r="F10729" t="s">
        <v>12194</v>
      </c>
      <c r="G10729" t="s">
        <v>40</v>
      </c>
      <c r="H10729">
        <v>74354</v>
      </c>
      <c r="I10729" t="s">
        <v>30</v>
      </c>
      <c r="J10729" t="s">
        <v>41</v>
      </c>
      <c r="K10729" t="s">
        <v>2463</v>
      </c>
      <c r="Q10729">
        <v>0</v>
      </c>
      <c r="R10729">
        <v>0</v>
      </c>
      <c r="S10729">
        <v>0</v>
      </c>
      <c r="T10729" t="s">
        <v>39719</v>
      </c>
    </row>
    <row r="10730" spans="1:20" customFormat="1" ht="15" x14ac:dyDescent="0.25">
      <c r="A10730" t="s">
        <v>35</v>
      </c>
      <c r="B10730" t="s">
        <v>61</v>
      </c>
      <c r="C10730" t="str">
        <f>"A0121530"</f>
        <v>A0121530</v>
      </c>
      <c r="D10730" t="s">
        <v>39720</v>
      </c>
      <c r="E10730" t="s">
        <v>39721</v>
      </c>
      <c r="F10730" t="s">
        <v>23856</v>
      </c>
      <c r="G10730" t="s">
        <v>110</v>
      </c>
      <c r="H10730">
        <v>94401</v>
      </c>
      <c r="I10730" t="s">
        <v>30</v>
      </c>
      <c r="J10730" t="s">
        <v>41</v>
      </c>
      <c r="K10730" t="s">
        <v>482</v>
      </c>
      <c r="Q10730">
        <v>0</v>
      </c>
      <c r="R10730">
        <v>25</v>
      </c>
      <c r="S10730">
        <v>25</v>
      </c>
      <c r="T10730" t="s">
        <v>36172</v>
      </c>
    </row>
    <row r="10731" spans="1:20" customFormat="1" ht="15" x14ac:dyDescent="0.25">
      <c r="A10731" t="s">
        <v>35</v>
      </c>
      <c r="B10731" t="s">
        <v>61</v>
      </c>
      <c r="C10731" t="str">
        <f>"A0124140"</f>
        <v>A0124140</v>
      </c>
      <c r="D10731" t="s">
        <v>39722</v>
      </c>
      <c r="E10731" t="s">
        <v>39723</v>
      </c>
      <c r="F10731" t="s">
        <v>39724</v>
      </c>
      <c r="G10731" t="s">
        <v>289</v>
      </c>
      <c r="H10731">
        <v>62201</v>
      </c>
      <c r="I10731" t="s">
        <v>30</v>
      </c>
      <c r="J10731" t="s">
        <v>41</v>
      </c>
      <c r="K10731" t="s">
        <v>391</v>
      </c>
      <c r="Q10731">
        <v>0</v>
      </c>
      <c r="R10731">
        <v>0</v>
      </c>
      <c r="S10731">
        <v>0</v>
      </c>
      <c r="T10731" t="s">
        <v>39725</v>
      </c>
    </row>
    <row r="10732" spans="1:20" customFormat="1" ht="15" x14ac:dyDescent="0.25">
      <c r="A10732" t="s">
        <v>35</v>
      </c>
      <c r="B10732" t="s">
        <v>106</v>
      </c>
      <c r="C10732" t="str">
        <f>"A0135950"</f>
        <v>A0135950</v>
      </c>
      <c r="D10732" t="s">
        <v>39726</v>
      </c>
      <c r="E10732" t="s">
        <v>37059</v>
      </c>
      <c r="F10732" t="s">
        <v>14693</v>
      </c>
      <c r="G10732" t="s">
        <v>110</v>
      </c>
      <c r="H10732">
        <v>92834</v>
      </c>
      <c r="I10732" t="s">
        <v>30</v>
      </c>
      <c r="J10732" t="s">
        <v>111</v>
      </c>
      <c r="K10732" t="s">
        <v>10012</v>
      </c>
      <c r="Q10732">
        <v>0</v>
      </c>
      <c r="R10732">
        <v>0</v>
      </c>
      <c r="S10732">
        <v>0</v>
      </c>
      <c r="T10732" t="s">
        <v>37060</v>
      </c>
    </row>
    <row r="10733" spans="1:20" customFormat="1" ht="15" x14ac:dyDescent="0.25">
      <c r="A10733" t="s">
        <v>35</v>
      </c>
      <c r="B10733" t="s">
        <v>61</v>
      </c>
      <c r="C10733" t="str">
        <f>"A0127080"</f>
        <v>A0127080</v>
      </c>
      <c r="D10733" t="s">
        <v>39727</v>
      </c>
      <c r="E10733" t="s">
        <v>39728</v>
      </c>
      <c r="F10733" t="s">
        <v>1948</v>
      </c>
      <c r="G10733" t="s">
        <v>338</v>
      </c>
      <c r="H10733">
        <v>8701</v>
      </c>
      <c r="I10733" t="s">
        <v>30</v>
      </c>
      <c r="J10733" t="s">
        <v>41</v>
      </c>
      <c r="K10733" t="s">
        <v>229</v>
      </c>
      <c r="Q10733">
        <v>0</v>
      </c>
      <c r="R10733">
        <v>120</v>
      </c>
      <c r="S10733">
        <v>120</v>
      </c>
      <c r="T10733" t="s">
        <v>39729</v>
      </c>
    </row>
    <row r="10734" spans="1:20" customFormat="1" ht="15" x14ac:dyDescent="0.25">
      <c r="A10734" t="s">
        <v>35</v>
      </c>
      <c r="B10734" t="s">
        <v>61</v>
      </c>
      <c r="C10734" t="str">
        <f>"A0132026"</f>
        <v>A0132026</v>
      </c>
      <c r="D10734" t="s">
        <v>39730</v>
      </c>
      <c r="E10734" t="s">
        <v>39731</v>
      </c>
      <c r="F10734" t="s">
        <v>11735</v>
      </c>
      <c r="G10734" t="s">
        <v>65</v>
      </c>
      <c r="H10734">
        <v>44321</v>
      </c>
      <c r="I10734" t="s">
        <v>30</v>
      </c>
      <c r="J10734" t="s">
        <v>41</v>
      </c>
      <c r="K10734" t="s">
        <v>59</v>
      </c>
      <c r="Q10734">
        <v>0</v>
      </c>
      <c r="R10734">
        <v>150</v>
      </c>
      <c r="S10734">
        <v>150</v>
      </c>
      <c r="T10734" t="s">
        <v>39732</v>
      </c>
    </row>
    <row r="10735" spans="1:20" customFormat="1" ht="15" x14ac:dyDescent="0.25">
      <c r="A10735" t="s">
        <v>35</v>
      </c>
      <c r="B10735" t="s">
        <v>106</v>
      </c>
      <c r="C10735" t="str">
        <f>"A0136416"</f>
        <v>A0136416</v>
      </c>
      <c r="D10735" t="s">
        <v>39733</v>
      </c>
      <c r="E10735" t="s">
        <v>39734</v>
      </c>
      <c r="F10735" t="s">
        <v>26786</v>
      </c>
      <c r="G10735" t="s">
        <v>161</v>
      </c>
      <c r="H10735">
        <v>56562</v>
      </c>
      <c r="I10735" t="s">
        <v>30</v>
      </c>
      <c r="J10735" t="s">
        <v>111</v>
      </c>
      <c r="K10735" t="s">
        <v>10012</v>
      </c>
      <c r="Q10735">
        <v>0</v>
      </c>
      <c r="R10735">
        <v>0</v>
      </c>
      <c r="S10735">
        <v>0</v>
      </c>
      <c r="T10735" t="s">
        <v>39735</v>
      </c>
    </row>
    <row r="10736" spans="1:20" customFormat="1" ht="15" x14ac:dyDescent="0.25">
      <c r="A10736" t="s">
        <v>35</v>
      </c>
      <c r="B10736" t="s">
        <v>106</v>
      </c>
      <c r="C10736" t="str">
        <f>"A0136415"</f>
        <v>A0136415</v>
      </c>
      <c r="D10736" t="s">
        <v>39736</v>
      </c>
      <c r="E10736" t="s">
        <v>39734</v>
      </c>
      <c r="F10736" t="s">
        <v>26786</v>
      </c>
      <c r="G10736" t="s">
        <v>161</v>
      </c>
      <c r="H10736">
        <v>56562</v>
      </c>
      <c r="I10736" t="s">
        <v>30</v>
      </c>
      <c r="J10736" t="s">
        <v>111</v>
      </c>
      <c r="K10736" t="s">
        <v>10012</v>
      </c>
      <c r="Q10736">
        <v>0</v>
      </c>
      <c r="R10736">
        <v>0</v>
      </c>
      <c r="S10736">
        <v>0</v>
      </c>
      <c r="T10736" t="s">
        <v>39735</v>
      </c>
    </row>
    <row r="10737" spans="1:20" customFormat="1" ht="15" x14ac:dyDescent="0.25">
      <c r="A10737" t="s">
        <v>35</v>
      </c>
      <c r="B10737" t="s">
        <v>106</v>
      </c>
      <c r="C10737" t="str">
        <f>"A0136417"</f>
        <v>A0136417</v>
      </c>
      <c r="D10737" t="s">
        <v>39737</v>
      </c>
      <c r="E10737" t="s">
        <v>39734</v>
      </c>
      <c r="F10737" t="s">
        <v>26786</v>
      </c>
      <c r="G10737" t="s">
        <v>161</v>
      </c>
      <c r="H10737">
        <v>56562</v>
      </c>
      <c r="I10737" t="s">
        <v>30</v>
      </c>
      <c r="J10737" t="s">
        <v>111</v>
      </c>
      <c r="K10737" t="s">
        <v>10012</v>
      </c>
      <c r="Q10737">
        <v>0</v>
      </c>
      <c r="R10737">
        <v>0</v>
      </c>
      <c r="S10737">
        <v>0</v>
      </c>
      <c r="T10737" t="s">
        <v>39735</v>
      </c>
    </row>
    <row r="10738" spans="1:20" customFormat="1" ht="15" x14ac:dyDescent="0.25">
      <c r="A10738" t="s">
        <v>35</v>
      </c>
      <c r="B10738" t="s">
        <v>106</v>
      </c>
      <c r="C10738" t="str">
        <f>"A0136418"</f>
        <v>A0136418</v>
      </c>
      <c r="D10738" t="s">
        <v>39738</v>
      </c>
      <c r="E10738" t="s">
        <v>39734</v>
      </c>
      <c r="F10738" t="s">
        <v>26786</v>
      </c>
      <c r="G10738" t="s">
        <v>161</v>
      </c>
      <c r="H10738">
        <v>56562</v>
      </c>
      <c r="I10738" t="s">
        <v>30</v>
      </c>
      <c r="J10738" t="s">
        <v>111</v>
      </c>
      <c r="K10738" t="s">
        <v>10012</v>
      </c>
      <c r="Q10738">
        <v>0</v>
      </c>
      <c r="R10738">
        <v>0</v>
      </c>
      <c r="S10738">
        <v>0</v>
      </c>
      <c r="T10738" t="s">
        <v>39735</v>
      </c>
    </row>
    <row r="10739" spans="1:20" customFormat="1" ht="15" x14ac:dyDescent="0.25">
      <c r="A10739" t="s">
        <v>35</v>
      </c>
      <c r="B10739" t="s">
        <v>106</v>
      </c>
      <c r="C10739" t="str">
        <f>"A0136414"</f>
        <v>A0136414</v>
      </c>
      <c r="D10739" t="s">
        <v>39739</v>
      </c>
      <c r="E10739" t="s">
        <v>39734</v>
      </c>
      <c r="F10739" t="s">
        <v>26786</v>
      </c>
      <c r="G10739" t="s">
        <v>161</v>
      </c>
      <c r="H10739">
        <v>56562</v>
      </c>
      <c r="I10739" t="s">
        <v>30</v>
      </c>
      <c r="J10739" t="s">
        <v>111</v>
      </c>
      <c r="K10739" t="s">
        <v>10012</v>
      </c>
      <c r="Q10739">
        <v>0</v>
      </c>
      <c r="R10739">
        <v>0</v>
      </c>
      <c r="S10739">
        <v>0</v>
      </c>
      <c r="T10739" t="s">
        <v>39735</v>
      </c>
    </row>
    <row r="10740" spans="1:20" customFormat="1" ht="15" x14ac:dyDescent="0.25">
      <c r="A10740" t="s">
        <v>35</v>
      </c>
      <c r="B10740" t="s">
        <v>106</v>
      </c>
      <c r="C10740" t="str">
        <f>"A0136419"</f>
        <v>A0136419</v>
      </c>
      <c r="D10740" t="s">
        <v>39740</v>
      </c>
      <c r="E10740" t="s">
        <v>39734</v>
      </c>
      <c r="F10740" t="s">
        <v>26786</v>
      </c>
      <c r="G10740" t="s">
        <v>161</v>
      </c>
      <c r="H10740">
        <v>56562</v>
      </c>
      <c r="I10740" t="s">
        <v>30</v>
      </c>
      <c r="J10740" t="s">
        <v>111</v>
      </c>
      <c r="K10740" t="s">
        <v>10012</v>
      </c>
      <c r="Q10740">
        <v>0</v>
      </c>
      <c r="R10740">
        <v>0</v>
      </c>
      <c r="S10740">
        <v>0</v>
      </c>
      <c r="T10740" t="s">
        <v>39735</v>
      </c>
    </row>
    <row r="10741" spans="1:20" customFormat="1" ht="15" x14ac:dyDescent="0.25">
      <c r="A10741" t="s">
        <v>35</v>
      </c>
      <c r="B10741" t="s">
        <v>106</v>
      </c>
      <c r="C10741" t="str">
        <f>"A0136420"</f>
        <v>A0136420</v>
      </c>
      <c r="D10741" t="s">
        <v>39741</v>
      </c>
      <c r="E10741" t="s">
        <v>39734</v>
      </c>
      <c r="F10741" t="s">
        <v>26786</v>
      </c>
      <c r="G10741" t="s">
        <v>161</v>
      </c>
      <c r="H10741">
        <v>56562</v>
      </c>
      <c r="I10741" t="s">
        <v>30</v>
      </c>
      <c r="J10741" t="s">
        <v>111</v>
      </c>
      <c r="K10741" t="s">
        <v>10012</v>
      </c>
      <c r="Q10741">
        <v>0</v>
      </c>
      <c r="R10741">
        <v>0</v>
      </c>
      <c r="S10741">
        <v>0</v>
      </c>
      <c r="T10741" t="s">
        <v>39735</v>
      </c>
    </row>
    <row r="10742" spans="1:20" customFormat="1" ht="15" x14ac:dyDescent="0.25">
      <c r="A10742" t="s">
        <v>35</v>
      </c>
      <c r="B10742" t="s">
        <v>106</v>
      </c>
      <c r="C10742" t="str">
        <f>"A0136421"</f>
        <v>A0136421</v>
      </c>
      <c r="D10742" t="s">
        <v>39742</v>
      </c>
      <c r="E10742" t="s">
        <v>39734</v>
      </c>
      <c r="F10742" t="s">
        <v>26786</v>
      </c>
      <c r="G10742" t="s">
        <v>161</v>
      </c>
      <c r="H10742">
        <v>56562</v>
      </c>
      <c r="I10742" t="s">
        <v>30</v>
      </c>
      <c r="J10742" t="s">
        <v>111</v>
      </c>
      <c r="K10742" t="s">
        <v>10012</v>
      </c>
      <c r="Q10742">
        <v>0</v>
      </c>
      <c r="R10742">
        <v>0</v>
      </c>
      <c r="S10742">
        <v>0</v>
      </c>
      <c r="T10742" t="s">
        <v>39735</v>
      </c>
    </row>
    <row r="10743" spans="1:20" customFormat="1" ht="15" x14ac:dyDescent="0.25">
      <c r="A10743" t="s">
        <v>35</v>
      </c>
      <c r="B10743" t="s">
        <v>106</v>
      </c>
      <c r="C10743" t="str">
        <f>"A0136423"</f>
        <v>A0136423</v>
      </c>
      <c r="D10743" t="s">
        <v>39743</v>
      </c>
      <c r="E10743" t="s">
        <v>39734</v>
      </c>
      <c r="F10743" t="s">
        <v>26786</v>
      </c>
      <c r="G10743" t="s">
        <v>161</v>
      </c>
      <c r="H10743">
        <v>56562</v>
      </c>
      <c r="I10743" t="s">
        <v>30</v>
      </c>
      <c r="J10743" t="s">
        <v>111</v>
      </c>
      <c r="K10743" t="s">
        <v>10012</v>
      </c>
      <c r="Q10743">
        <v>0</v>
      </c>
      <c r="R10743">
        <v>0</v>
      </c>
      <c r="S10743">
        <v>0</v>
      </c>
      <c r="T10743" t="s">
        <v>39735</v>
      </c>
    </row>
    <row r="10744" spans="1:20" customFormat="1" ht="15" x14ac:dyDescent="0.25">
      <c r="A10744" t="s">
        <v>35</v>
      </c>
      <c r="B10744" t="s">
        <v>106</v>
      </c>
      <c r="C10744" t="str">
        <f>"A0136422"</f>
        <v>A0136422</v>
      </c>
      <c r="D10744" t="s">
        <v>39744</v>
      </c>
      <c r="E10744" t="s">
        <v>39734</v>
      </c>
      <c r="F10744" t="s">
        <v>26786</v>
      </c>
      <c r="G10744" t="s">
        <v>161</v>
      </c>
      <c r="H10744">
        <v>56562</v>
      </c>
      <c r="I10744" t="s">
        <v>30</v>
      </c>
      <c r="J10744" t="s">
        <v>111</v>
      </c>
      <c r="K10744" t="s">
        <v>10012</v>
      </c>
      <c r="Q10744">
        <v>0</v>
      </c>
      <c r="R10744">
        <v>0</v>
      </c>
      <c r="S10744">
        <v>0</v>
      </c>
      <c r="T10744" t="s">
        <v>39735</v>
      </c>
    </row>
    <row r="10745" spans="1:20" customFormat="1" ht="15" x14ac:dyDescent="0.25">
      <c r="A10745" t="s">
        <v>35</v>
      </c>
      <c r="B10745" t="s">
        <v>61</v>
      </c>
      <c r="C10745" t="str">
        <f>"A0132220"</f>
        <v>A0132220</v>
      </c>
      <c r="D10745" t="s">
        <v>39745</v>
      </c>
      <c r="E10745" t="s">
        <v>39746</v>
      </c>
      <c r="F10745" t="s">
        <v>2307</v>
      </c>
      <c r="G10745" t="s">
        <v>65</v>
      </c>
      <c r="H10745">
        <v>44111</v>
      </c>
      <c r="I10745" t="s">
        <v>30</v>
      </c>
      <c r="J10745" t="s">
        <v>41</v>
      </c>
      <c r="K10745" t="s">
        <v>59</v>
      </c>
      <c r="Q10745">
        <v>0</v>
      </c>
      <c r="R10745">
        <v>80</v>
      </c>
      <c r="S10745">
        <v>80</v>
      </c>
      <c r="T10745" t="s">
        <v>39747</v>
      </c>
    </row>
    <row r="10746" spans="1:20" customFormat="1" ht="15" x14ac:dyDescent="0.25">
      <c r="A10746" t="s">
        <v>35</v>
      </c>
      <c r="B10746" t="s">
        <v>61</v>
      </c>
      <c r="C10746" t="str">
        <f>"A0130146"</f>
        <v>A0130146</v>
      </c>
      <c r="D10746" t="s">
        <v>28839</v>
      </c>
      <c r="E10746" t="s">
        <v>39748</v>
      </c>
      <c r="F10746" t="s">
        <v>10813</v>
      </c>
      <c r="G10746" t="s">
        <v>71</v>
      </c>
      <c r="H10746">
        <v>53005</v>
      </c>
      <c r="I10746" t="s">
        <v>30</v>
      </c>
      <c r="J10746" t="s">
        <v>41</v>
      </c>
      <c r="K10746" t="s">
        <v>229</v>
      </c>
      <c r="Q10746">
        <v>0</v>
      </c>
      <c r="R10746">
        <v>84</v>
      </c>
      <c r="S10746">
        <v>84</v>
      </c>
      <c r="T10746" t="s">
        <v>39749</v>
      </c>
    </row>
    <row r="10747" spans="1:20" customFormat="1" ht="15" x14ac:dyDescent="0.25">
      <c r="A10747" t="s">
        <v>35</v>
      </c>
      <c r="B10747" t="s">
        <v>61</v>
      </c>
      <c r="C10747" t="str">
        <f>"A0121534"</f>
        <v>A0121534</v>
      </c>
      <c r="D10747" t="s">
        <v>39750</v>
      </c>
      <c r="E10747" t="s">
        <v>39751</v>
      </c>
      <c r="F10747" t="s">
        <v>5742</v>
      </c>
      <c r="G10747" t="s">
        <v>110</v>
      </c>
      <c r="H10747">
        <v>95814</v>
      </c>
      <c r="I10747" t="s">
        <v>30</v>
      </c>
      <c r="J10747" t="s">
        <v>41</v>
      </c>
      <c r="K10747" t="s">
        <v>59</v>
      </c>
      <c r="Q10747">
        <v>0</v>
      </c>
      <c r="R10747">
        <v>24</v>
      </c>
      <c r="S10747">
        <v>24</v>
      </c>
      <c r="T10747" t="s">
        <v>39752</v>
      </c>
    </row>
    <row r="10748" spans="1:20" customFormat="1" ht="15" x14ac:dyDescent="0.25">
      <c r="A10748" t="s">
        <v>35</v>
      </c>
      <c r="B10748" t="s">
        <v>61</v>
      </c>
      <c r="C10748" t="str">
        <f>"A0123679"</f>
        <v>A0123679</v>
      </c>
      <c r="D10748" t="s">
        <v>39753</v>
      </c>
      <c r="E10748" t="s">
        <v>39754</v>
      </c>
      <c r="F10748" t="s">
        <v>39755</v>
      </c>
      <c r="G10748" t="s">
        <v>81</v>
      </c>
      <c r="H10748">
        <v>34638</v>
      </c>
      <c r="I10748" t="s">
        <v>30</v>
      </c>
      <c r="J10748" t="s">
        <v>41</v>
      </c>
      <c r="K10748" t="s">
        <v>482</v>
      </c>
      <c r="Q10748">
        <v>0</v>
      </c>
      <c r="R10748">
        <v>35</v>
      </c>
      <c r="S10748">
        <v>35</v>
      </c>
      <c r="T10748" t="s">
        <v>39756</v>
      </c>
    </row>
    <row r="10749" spans="1:20" customFormat="1" ht="15" x14ac:dyDescent="0.25">
      <c r="A10749" t="s">
        <v>35</v>
      </c>
      <c r="B10749" t="s">
        <v>61</v>
      </c>
      <c r="C10749" t="str">
        <f>"A0124921"</f>
        <v>A0124921</v>
      </c>
      <c r="D10749" t="s">
        <v>39757</v>
      </c>
      <c r="E10749" t="s">
        <v>39758</v>
      </c>
      <c r="F10749" t="s">
        <v>37018</v>
      </c>
      <c r="G10749" t="s">
        <v>214</v>
      </c>
      <c r="H10749">
        <v>28613</v>
      </c>
      <c r="I10749" t="s">
        <v>30</v>
      </c>
      <c r="J10749" t="s">
        <v>41</v>
      </c>
      <c r="K10749" t="s">
        <v>229</v>
      </c>
      <c r="Q10749">
        <v>0</v>
      </c>
      <c r="R10749">
        <v>90</v>
      </c>
      <c r="S10749">
        <v>90</v>
      </c>
      <c r="T10749" t="s">
        <v>39759</v>
      </c>
    </row>
    <row r="10750" spans="1:20" customFormat="1" ht="15" x14ac:dyDescent="0.25">
      <c r="A10750" t="s">
        <v>35</v>
      </c>
      <c r="B10750" t="s">
        <v>61</v>
      </c>
      <c r="C10750" t="str">
        <f>"A0128692"</f>
        <v>A0128692</v>
      </c>
      <c r="D10750" t="s">
        <v>39760</v>
      </c>
      <c r="E10750" t="s">
        <v>39761</v>
      </c>
      <c r="F10750" t="s">
        <v>32240</v>
      </c>
      <c r="G10750" t="s">
        <v>1170</v>
      </c>
      <c r="H10750">
        <v>705600000</v>
      </c>
      <c r="I10750" t="s">
        <v>30</v>
      </c>
      <c r="J10750" t="s">
        <v>41</v>
      </c>
      <c r="K10750" t="s">
        <v>229</v>
      </c>
      <c r="Q10750">
        <v>0</v>
      </c>
      <c r="R10750">
        <v>116</v>
      </c>
      <c r="S10750">
        <v>116</v>
      </c>
      <c r="T10750" t="s">
        <v>39762</v>
      </c>
    </row>
    <row r="10751" spans="1:20" customFormat="1" ht="15" x14ac:dyDescent="0.25">
      <c r="A10751" t="s">
        <v>35</v>
      </c>
      <c r="B10751" t="s">
        <v>106</v>
      </c>
      <c r="C10751" t="str">
        <f>"A0135405"</f>
        <v>A0135405</v>
      </c>
      <c r="D10751" t="s">
        <v>39763</v>
      </c>
      <c r="E10751" t="s">
        <v>39764</v>
      </c>
      <c r="F10751" t="s">
        <v>7317</v>
      </c>
      <c r="G10751" t="s">
        <v>1898</v>
      </c>
      <c r="H10751">
        <v>50322</v>
      </c>
      <c r="I10751" t="s">
        <v>30</v>
      </c>
      <c r="J10751" t="s">
        <v>111</v>
      </c>
      <c r="K10751" t="s">
        <v>112</v>
      </c>
      <c r="Q10751">
        <v>0</v>
      </c>
      <c r="R10751">
        <v>0</v>
      </c>
      <c r="S10751">
        <v>0</v>
      </c>
      <c r="T10751" t="s">
        <v>39466</v>
      </c>
    </row>
    <row r="10752" spans="1:20" customFormat="1" ht="15" x14ac:dyDescent="0.25">
      <c r="A10752" t="s">
        <v>35</v>
      </c>
      <c r="B10752" t="s">
        <v>61</v>
      </c>
      <c r="C10752" t="str">
        <f>"A0124526"</f>
        <v>A0124526</v>
      </c>
      <c r="D10752" t="s">
        <v>39765</v>
      </c>
      <c r="E10752" t="s">
        <v>39766</v>
      </c>
      <c r="F10752" t="s">
        <v>39767</v>
      </c>
      <c r="G10752" t="s">
        <v>1706</v>
      </c>
      <c r="H10752">
        <v>351270000</v>
      </c>
      <c r="I10752" t="s">
        <v>30</v>
      </c>
      <c r="J10752" t="s">
        <v>41</v>
      </c>
      <c r="K10752" t="s">
        <v>229</v>
      </c>
      <c r="Q10752">
        <v>0</v>
      </c>
      <c r="R10752">
        <v>64</v>
      </c>
      <c r="S10752">
        <v>64</v>
      </c>
      <c r="T10752" t="s">
        <v>39768</v>
      </c>
    </row>
    <row r="10753" spans="1:20" customFormat="1" ht="15" x14ac:dyDescent="0.25">
      <c r="A10753" t="s">
        <v>35</v>
      </c>
      <c r="B10753" t="s">
        <v>106</v>
      </c>
      <c r="C10753" t="str">
        <f>"A0135942"</f>
        <v>A0135942</v>
      </c>
      <c r="D10753" t="s">
        <v>39769</v>
      </c>
      <c r="E10753" t="s">
        <v>39770</v>
      </c>
      <c r="F10753" t="s">
        <v>8424</v>
      </c>
      <c r="G10753" t="s">
        <v>99</v>
      </c>
      <c r="H10753">
        <v>13421</v>
      </c>
      <c r="I10753" t="s">
        <v>30</v>
      </c>
      <c r="J10753" t="s">
        <v>111</v>
      </c>
      <c r="K10753" t="s">
        <v>112</v>
      </c>
      <c r="Q10753">
        <v>0</v>
      </c>
      <c r="R10753">
        <v>0</v>
      </c>
      <c r="S10753">
        <v>0</v>
      </c>
      <c r="T10753" t="s">
        <v>39771</v>
      </c>
    </row>
    <row r="10754" spans="1:20" customFormat="1" ht="15" x14ac:dyDescent="0.25">
      <c r="A10754" t="s">
        <v>35</v>
      </c>
      <c r="B10754" t="s">
        <v>61</v>
      </c>
      <c r="C10754" t="str">
        <f>"A0118673"</f>
        <v>A0118673</v>
      </c>
      <c r="D10754" t="s">
        <v>39772</v>
      </c>
      <c r="E10754" t="s">
        <v>39773</v>
      </c>
      <c r="F10754" t="s">
        <v>1439</v>
      </c>
      <c r="G10754" t="s">
        <v>110</v>
      </c>
      <c r="H10754">
        <v>92103</v>
      </c>
      <c r="I10754" t="s">
        <v>30</v>
      </c>
      <c r="J10754" t="s">
        <v>41</v>
      </c>
      <c r="K10754" t="s">
        <v>229</v>
      </c>
      <c r="Q10754">
        <v>0</v>
      </c>
      <c r="R10754">
        <v>110</v>
      </c>
      <c r="S10754">
        <v>110</v>
      </c>
      <c r="T10754" t="s">
        <v>39774</v>
      </c>
    </row>
    <row r="10755" spans="1:20" customFormat="1" ht="15" x14ac:dyDescent="0.25">
      <c r="A10755" t="s">
        <v>35</v>
      </c>
      <c r="B10755" t="s">
        <v>61</v>
      </c>
      <c r="C10755" t="str">
        <f>"A0128328"</f>
        <v>A0128328</v>
      </c>
      <c r="D10755" t="s">
        <v>39775</v>
      </c>
      <c r="E10755" t="s">
        <v>39776</v>
      </c>
      <c r="F10755" t="s">
        <v>8093</v>
      </c>
      <c r="G10755" t="s">
        <v>427</v>
      </c>
      <c r="H10755">
        <v>68776</v>
      </c>
      <c r="I10755" t="s">
        <v>30</v>
      </c>
      <c r="J10755" t="s">
        <v>41</v>
      </c>
      <c r="K10755" t="s">
        <v>229</v>
      </c>
      <c r="Q10755">
        <v>0</v>
      </c>
      <c r="R10755">
        <v>102</v>
      </c>
      <c r="S10755">
        <v>102</v>
      </c>
      <c r="T10755" t="s">
        <v>39777</v>
      </c>
    </row>
    <row r="10756" spans="1:20" customFormat="1" ht="15" x14ac:dyDescent="0.25">
      <c r="A10756" t="s">
        <v>35</v>
      </c>
      <c r="B10756" t="s">
        <v>61</v>
      </c>
      <c r="C10756" t="str">
        <f>"A0129439"</f>
        <v>A0129439</v>
      </c>
      <c r="D10756" t="s">
        <v>39778</v>
      </c>
      <c r="E10756" t="s">
        <v>39779</v>
      </c>
      <c r="F10756" t="s">
        <v>22070</v>
      </c>
      <c r="G10756" t="s">
        <v>289</v>
      </c>
      <c r="H10756">
        <v>61874</v>
      </c>
      <c r="I10756" t="s">
        <v>30</v>
      </c>
      <c r="J10756" t="s">
        <v>41</v>
      </c>
      <c r="K10756" t="s">
        <v>2760</v>
      </c>
      <c r="Q10756">
        <v>0</v>
      </c>
      <c r="R10756">
        <v>0</v>
      </c>
      <c r="S10756">
        <v>0</v>
      </c>
      <c r="T10756" t="s">
        <v>39780</v>
      </c>
    </row>
    <row r="10757" spans="1:20" customFormat="1" ht="15" x14ac:dyDescent="0.25">
      <c r="A10757" t="s">
        <v>35</v>
      </c>
      <c r="B10757" t="s">
        <v>61</v>
      </c>
      <c r="C10757" t="str">
        <f>"A0133014"</f>
        <v>A0133014</v>
      </c>
      <c r="D10757" t="s">
        <v>39781</v>
      </c>
      <c r="E10757" t="s">
        <v>39782</v>
      </c>
      <c r="F10757" t="s">
        <v>39783</v>
      </c>
      <c r="G10757" t="s">
        <v>52</v>
      </c>
      <c r="H10757">
        <v>79022</v>
      </c>
      <c r="I10757" t="s">
        <v>30</v>
      </c>
      <c r="J10757" t="s">
        <v>41</v>
      </c>
      <c r="K10757" t="s">
        <v>229</v>
      </c>
      <c r="Q10757">
        <v>0</v>
      </c>
      <c r="R10757">
        <v>56</v>
      </c>
      <c r="S10757">
        <v>56</v>
      </c>
      <c r="T10757" t="s">
        <v>39784</v>
      </c>
    </row>
    <row r="10758" spans="1:20" customFormat="1" ht="15" x14ac:dyDescent="0.25">
      <c r="A10758" t="s">
        <v>35</v>
      </c>
      <c r="B10758" t="s">
        <v>61</v>
      </c>
      <c r="C10758" t="str">
        <f>"A0125488"</f>
        <v>A0125488</v>
      </c>
      <c r="D10758" t="s">
        <v>39785</v>
      </c>
      <c r="E10758" t="s">
        <v>39786</v>
      </c>
      <c r="F10758" t="s">
        <v>15832</v>
      </c>
      <c r="G10758" t="s">
        <v>1184</v>
      </c>
      <c r="H10758">
        <v>59601</v>
      </c>
      <c r="I10758" t="s">
        <v>30</v>
      </c>
      <c r="J10758" t="s">
        <v>41</v>
      </c>
      <c r="K10758" t="s">
        <v>229</v>
      </c>
      <c r="Q10758">
        <v>0</v>
      </c>
      <c r="R10758">
        <v>76</v>
      </c>
      <c r="S10758">
        <v>76</v>
      </c>
      <c r="T10758" t="s">
        <v>39787</v>
      </c>
    </row>
    <row r="10759" spans="1:20" customFormat="1" ht="15" x14ac:dyDescent="0.25">
      <c r="A10759" t="s">
        <v>35</v>
      </c>
      <c r="B10759" t="s">
        <v>61</v>
      </c>
      <c r="C10759" t="str">
        <f>"A0123126"</f>
        <v>A0123126</v>
      </c>
      <c r="D10759" t="s">
        <v>39788</v>
      </c>
      <c r="E10759" t="s">
        <v>39789</v>
      </c>
      <c r="F10759" t="s">
        <v>39790</v>
      </c>
      <c r="G10759" t="s">
        <v>137</v>
      </c>
      <c r="H10759">
        <v>652330000</v>
      </c>
      <c r="I10759" t="s">
        <v>30</v>
      </c>
      <c r="J10759" t="s">
        <v>41</v>
      </c>
      <c r="K10759" t="s">
        <v>3713</v>
      </c>
      <c r="Q10759">
        <v>0</v>
      </c>
      <c r="R10759">
        <v>70</v>
      </c>
      <c r="S10759">
        <v>70</v>
      </c>
      <c r="T10759" t="s">
        <v>39791</v>
      </c>
    </row>
    <row r="10760" spans="1:20" customFormat="1" ht="15" x14ac:dyDescent="0.25">
      <c r="A10760" t="s">
        <v>35</v>
      </c>
      <c r="B10760" t="s">
        <v>61</v>
      </c>
      <c r="C10760" t="str">
        <f>"A0131490"</f>
        <v>A0131490</v>
      </c>
      <c r="D10760" t="s">
        <v>39792</v>
      </c>
      <c r="E10760" t="s">
        <v>39793</v>
      </c>
      <c r="F10760" t="s">
        <v>39794</v>
      </c>
      <c r="G10760" t="s">
        <v>137</v>
      </c>
      <c r="H10760">
        <v>652760000</v>
      </c>
      <c r="I10760" t="s">
        <v>30</v>
      </c>
      <c r="J10760" t="s">
        <v>41</v>
      </c>
      <c r="K10760" t="s">
        <v>229</v>
      </c>
      <c r="Q10760">
        <v>0</v>
      </c>
      <c r="R10760">
        <v>60</v>
      </c>
      <c r="S10760">
        <v>60</v>
      </c>
      <c r="T10760" t="s">
        <v>39795</v>
      </c>
    </row>
    <row r="10761" spans="1:20" customFormat="1" ht="15" x14ac:dyDescent="0.25">
      <c r="A10761" t="s">
        <v>35</v>
      </c>
      <c r="B10761" t="s">
        <v>61</v>
      </c>
      <c r="C10761" t="str">
        <f>"A0123737"</f>
        <v>A0123737</v>
      </c>
      <c r="D10761" t="s">
        <v>39796</v>
      </c>
      <c r="E10761" t="s">
        <v>39797</v>
      </c>
      <c r="F10761" t="s">
        <v>8198</v>
      </c>
      <c r="G10761" t="s">
        <v>214</v>
      </c>
      <c r="H10761">
        <v>28756</v>
      </c>
      <c r="I10761" t="s">
        <v>30</v>
      </c>
      <c r="J10761" t="s">
        <v>41</v>
      </c>
      <c r="K10761" t="s">
        <v>59</v>
      </c>
      <c r="Q10761">
        <v>0</v>
      </c>
      <c r="R10761">
        <v>50</v>
      </c>
      <c r="S10761">
        <v>50</v>
      </c>
      <c r="T10761" t="s">
        <v>39798</v>
      </c>
    </row>
    <row r="10762" spans="1:20" customFormat="1" ht="15" x14ac:dyDescent="0.25">
      <c r="A10762" t="s">
        <v>35</v>
      </c>
      <c r="B10762" t="s">
        <v>61</v>
      </c>
      <c r="C10762" t="str">
        <f>"A0123738"</f>
        <v>A0123738</v>
      </c>
      <c r="D10762" t="s">
        <v>39799</v>
      </c>
      <c r="E10762" t="s">
        <v>39800</v>
      </c>
      <c r="F10762" t="s">
        <v>39801</v>
      </c>
      <c r="G10762" t="s">
        <v>214</v>
      </c>
      <c r="H10762">
        <v>28756</v>
      </c>
      <c r="I10762" t="s">
        <v>30</v>
      </c>
      <c r="J10762" t="s">
        <v>41</v>
      </c>
      <c r="K10762" t="s">
        <v>59</v>
      </c>
      <c r="Q10762">
        <v>0</v>
      </c>
      <c r="R10762">
        <v>70</v>
      </c>
      <c r="S10762">
        <v>70</v>
      </c>
      <c r="T10762" t="s">
        <v>39802</v>
      </c>
    </row>
    <row r="10763" spans="1:20" customFormat="1" ht="15" x14ac:dyDescent="0.25">
      <c r="A10763" t="s">
        <v>35</v>
      </c>
      <c r="B10763" t="s">
        <v>106</v>
      </c>
      <c r="C10763" t="str">
        <f>"A0136135"</f>
        <v>A0136135</v>
      </c>
      <c r="D10763" t="s">
        <v>39803</v>
      </c>
      <c r="E10763" t="s">
        <v>39804</v>
      </c>
      <c r="F10763" t="s">
        <v>39805</v>
      </c>
      <c r="G10763" t="s">
        <v>1706</v>
      </c>
      <c r="H10763">
        <v>35078</v>
      </c>
      <c r="I10763" t="s">
        <v>30</v>
      </c>
      <c r="J10763" t="s">
        <v>111</v>
      </c>
      <c r="K10763" t="s">
        <v>112</v>
      </c>
      <c r="Q10763">
        <v>0</v>
      </c>
      <c r="R10763">
        <v>0</v>
      </c>
      <c r="S10763">
        <v>0</v>
      </c>
      <c r="T10763" t="s">
        <v>39806</v>
      </c>
    </row>
    <row r="10764" spans="1:20" customFormat="1" ht="15" x14ac:dyDescent="0.25">
      <c r="A10764" t="s">
        <v>35</v>
      </c>
      <c r="B10764" t="s">
        <v>61</v>
      </c>
      <c r="C10764" t="str">
        <f>"A0124684"</f>
        <v>A0124684</v>
      </c>
      <c r="D10764" t="s">
        <v>39807</v>
      </c>
      <c r="E10764" t="s">
        <v>39808</v>
      </c>
      <c r="F10764" t="s">
        <v>39809</v>
      </c>
      <c r="G10764" t="s">
        <v>1706</v>
      </c>
      <c r="H10764">
        <v>359050000</v>
      </c>
      <c r="I10764" t="s">
        <v>30</v>
      </c>
      <c r="J10764" t="s">
        <v>41</v>
      </c>
      <c r="K10764" t="s">
        <v>229</v>
      </c>
      <c r="Q10764">
        <v>0</v>
      </c>
      <c r="R10764">
        <v>124</v>
      </c>
      <c r="S10764">
        <v>124</v>
      </c>
      <c r="T10764" t="s">
        <v>39810</v>
      </c>
    </row>
    <row r="10765" spans="1:20" customFormat="1" ht="15" x14ac:dyDescent="0.25">
      <c r="A10765" t="s">
        <v>35</v>
      </c>
      <c r="B10765" t="s">
        <v>61</v>
      </c>
      <c r="C10765" t="str">
        <f>"A0118168"</f>
        <v>A0118168</v>
      </c>
      <c r="D10765" t="s">
        <v>39811</v>
      </c>
      <c r="E10765" t="s">
        <v>39812</v>
      </c>
      <c r="F10765" t="s">
        <v>39813</v>
      </c>
      <c r="G10765" t="s">
        <v>153</v>
      </c>
      <c r="H10765">
        <v>84088</v>
      </c>
      <c r="I10765" t="s">
        <v>30</v>
      </c>
      <c r="J10765" t="s">
        <v>41</v>
      </c>
      <c r="K10765" t="s">
        <v>42</v>
      </c>
      <c r="Q10765">
        <v>0</v>
      </c>
      <c r="R10765">
        <v>126</v>
      </c>
      <c r="S10765">
        <v>126</v>
      </c>
      <c r="T10765" t="s">
        <v>39814</v>
      </c>
    </row>
    <row r="10766" spans="1:20" customFormat="1" ht="15" x14ac:dyDescent="0.25">
      <c r="A10766" t="s">
        <v>35</v>
      </c>
      <c r="B10766" t="s">
        <v>61</v>
      </c>
      <c r="C10766" t="str">
        <f>"A0124169"</f>
        <v>A0124169</v>
      </c>
      <c r="D10766" t="s">
        <v>39815</v>
      </c>
      <c r="E10766" t="s">
        <v>39816</v>
      </c>
      <c r="F10766" t="s">
        <v>39817</v>
      </c>
      <c r="G10766" t="s">
        <v>123</v>
      </c>
      <c r="H10766">
        <v>21784</v>
      </c>
      <c r="I10766" t="s">
        <v>30</v>
      </c>
      <c r="J10766" t="s">
        <v>41</v>
      </c>
      <c r="K10766" t="s">
        <v>482</v>
      </c>
      <c r="Q10766">
        <v>0</v>
      </c>
      <c r="R10766">
        <v>126</v>
      </c>
      <c r="S10766">
        <v>126</v>
      </c>
      <c r="T10766" t="s">
        <v>39818</v>
      </c>
    </row>
    <row r="10767" spans="1:20" customFormat="1" ht="15" x14ac:dyDescent="0.25">
      <c r="A10767" t="s">
        <v>35</v>
      </c>
      <c r="B10767" t="s">
        <v>61</v>
      </c>
      <c r="C10767" t="str">
        <f>"A0125251"</f>
        <v>A0125251</v>
      </c>
      <c r="D10767" t="s">
        <v>39819</v>
      </c>
      <c r="E10767" t="s">
        <v>39820</v>
      </c>
      <c r="F10767" t="s">
        <v>17349</v>
      </c>
      <c r="G10767" t="s">
        <v>40</v>
      </c>
      <c r="H10767">
        <v>740170000</v>
      </c>
      <c r="I10767" t="s">
        <v>30</v>
      </c>
      <c r="J10767" t="s">
        <v>41</v>
      </c>
      <c r="K10767" t="s">
        <v>59</v>
      </c>
      <c r="Q10767">
        <v>0</v>
      </c>
      <c r="R10767">
        <v>46</v>
      </c>
      <c r="S10767">
        <v>46</v>
      </c>
      <c r="T10767" t="s">
        <v>39821</v>
      </c>
    </row>
    <row r="10768" spans="1:20" customFormat="1" ht="15" x14ac:dyDescent="0.25">
      <c r="A10768" t="s">
        <v>35</v>
      </c>
      <c r="B10768" t="s">
        <v>61</v>
      </c>
      <c r="C10768" t="str">
        <f>"A0118833"</f>
        <v>A0118833</v>
      </c>
      <c r="D10768" t="s">
        <v>39822</v>
      </c>
      <c r="E10768" t="s">
        <v>39823</v>
      </c>
      <c r="F10768" t="s">
        <v>39824</v>
      </c>
      <c r="G10768" t="s">
        <v>110</v>
      </c>
      <c r="H10768">
        <v>93212</v>
      </c>
      <c r="I10768" t="s">
        <v>30</v>
      </c>
      <c r="J10768" t="s">
        <v>41</v>
      </c>
      <c r="K10768" t="s">
        <v>3713</v>
      </c>
      <c r="Q10768">
        <v>0</v>
      </c>
      <c r="R10768">
        <v>50</v>
      </c>
      <c r="S10768">
        <v>50</v>
      </c>
      <c r="T10768" t="s">
        <v>39825</v>
      </c>
    </row>
    <row r="10769" spans="1:20" customFormat="1" ht="15" x14ac:dyDescent="0.25">
      <c r="A10769" t="s">
        <v>35</v>
      </c>
      <c r="B10769" t="s">
        <v>61</v>
      </c>
      <c r="C10769" t="str">
        <f>"A0127307"</f>
        <v>A0127307</v>
      </c>
      <c r="D10769" t="s">
        <v>39826</v>
      </c>
      <c r="E10769" t="s">
        <v>39827</v>
      </c>
      <c r="F10769" t="s">
        <v>37748</v>
      </c>
      <c r="G10769" t="s">
        <v>846</v>
      </c>
      <c r="H10769">
        <v>31015</v>
      </c>
      <c r="I10769" t="s">
        <v>30</v>
      </c>
      <c r="J10769" t="s">
        <v>41</v>
      </c>
      <c r="K10769" t="s">
        <v>229</v>
      </c>
      <c r="Q10769">
        <v>0</v>
      </c>
      <c r="R10769">
        <v>100</v>
      </c>
      <c r="S10769">
        <v>100</v>
      </c>
      <c r="T10769" t="s">
        <v>39828</v>
      </c>
    </row>
    <row r="10770" spans="1:20" customFormat="1" ht="15" x14ac:dyDescent="0.25">
      <c r="A10770" t="s">
        <v>35</v>
      </c>
      <c r="B10770" t="s">
        <v>61</v>
      </c>
      <c r="C10770" t="str">
        <f>"A0129072"</f>
        <v>A0129072</v>
      </c>
      <c r="D10770" t="s">
        <v>39829</v>
      </c>
      <c r="E10770" t="s">
        <v>39830</v>
      </c>
      <c r="F10770" t="s">
        <v>5272</v>
      </c>
      <c r="G10770" t="s">
        <v>289</v>
      </c>
      <c r="H10770">
        <v>60559</v>
      </c>
      <c r="I10770" t="s">
        <v>30</v>
      </c>
      <c r="J10770" t="s">
        <v>41</v>
      </c>
      <c r="K10770" t="s">
        <v>59</v>
      </c>
      <c r="Q10770">
        <v>0</v>
      </c>
      <c r="R10770">
        <v>120</v>
      </c>
      <c r="S10770">
        <v>120</v>
      </c>
      <c r="T10770" t="s">
        <v>39831</v>
      </c>
    </row>
    <row r="10771" spans="1:20" customFormat="1" ht="15" x14ac:dyDescent="0.25">
      <c r="A10771" t="s">
        <v>35</v>
      </c>
      <c r="B10771" t="s">
        <v>61</v>
      </c>
      <c r="C10771" t="str">
        <f>"A0118589"</f>
        <v>A0118589</v>
      </c>
      <c r="D10771" t="s">
        <v>39832</v>
      </c>
      <c r="E10771" t="s">
        <v>39833</v>
      </c>
      <c r="F10771" t="s">
        <v>23929</v>
      </c>
      <c r="G10771" t="s">
        <v>110</v>
      </c>
      <c r="H10771">
        <v>95008</v>
      </c>
      <c r="I10771" t="s">
        <v>30</v>
      </c>
      <c r="J10771" t="s">
        <v>41</v>
      </c>
      <c r="K10771" t="s">
        <v>11521</v>
      </c>
      <c r="Q10771">
        <v>0</v>
      </c>
      <c r="R10771">
        <v>1</v>
      </c>
      <c r="S10771">
        <v>1</v>
      </c>
      <c r="T10771" t="s">
        <v>39834</v>
      </c>
    </row>
    <row r="10772" spans="1:20" customFormat="1" ht="15" x14ac:dyDescent="0.25">
      <c r="A10772" t="s">
        <v>35</v>
      </c>
      <c r="B10772" t="s">
        <v>61</v>
      </c>
      <c r="C10772" t="str">
        <f>"A0125276"</f>
        <v>A0125276</v>
      </c>
      <c r="D10772" t="s">
        <v>39835</v>
      </c>
      <c r="E10772" t="s">
        <v>39836</v>
      </c>
      <c r="F10772" t="s">
        <v>39837</v>
      </c>
      <c r="G10772" t="s">
        <v>40</v>
      </c>
      <c r="H10772">
        <v>730240000</v>
      </c>
      <c r="I10772" t="s">
        <v>30</v>
      </c>
      <c r="J10772" t="s">
        <v>41</v>
      </c>
      <c r="K10772" t="s">
        <v>112</v>
      </c>
      <c r="Q10772">
        <v>0</v>
      </c>
      <c r="R10772">
        <v>1</v>
      </c>
      <c r="S10772">
        <v>1</v>
      </c>
      <c r="T10772" t="s">
        <v>39838</v>
      </c>
    </row>
    <row r="10773" spans="1:20" customFormat="1" ht="15" x14ac:dyDescent="0.25">
      <c r="A10773" t="s">
        <v>35</v>
      </c>
      <c r="B10773" t="s">
        <v>61</v>
      </c>
      <c r="C10773" t="str">
        <f>"A0129101"</f>
        <v>A0129101</v>
      </c>
      <c r="D10773" t="s">
        <v>39839</v>
      </c>
      <c r="E10773" t="s">
        <v>39840</v>
      </c>
      <c r="F10773" t="s">
        <v>1655</v>
      </c>
      <c r="G10773" t="s">
        <v>137</v>
      </c>
      <c r="H10773">
        <v>63110</v>
      </c>
      <c r="I10773" t="s">
        <v>30</v>
      </c>
      <c r="J10773" t="s">
        <v>41</v>
      </c>
      <c r="K10773" t="s">
        <v>391</v>
      </c>
      <c r="Q10773">
        <v>0</v>
      </c>
      <c r="R10773">
        <v>0</v>
      </c>
      <c r="S10773">
        <v>0</v>
      </c>
      <c r="T10773" t="s">
        <v>39841</v>
      </c>
    </row>
    <row r="10774" spans="1:20" customFormat="1" ht="15" x14ac:dyDescent="0.25">
      <c r="A10774" t="s">
        <v>35</v>
      </c>
      <c r="B10774" t="s">
        <v>61</v>
      </c>
      <c r="C10774" t="str">
        <f>"A0131734"</f>
        <v>A0131734</v>
      </c>
      <c r="D10774" t="s">
        <v>39842</v>
      </c>
      <c r="E10774" t="s">
        <v>39843</v>
      </c>
      <c r="F10774" t="s">
        <v>39844</v>
      </c>
      <c r="G10774" t="s">
        <v>65</v>
      </c>
      <c r="H10774">
        <v>45865</v>
      </c>
      <c r="I10774" t="s">
        <v>30</v>
      </c>
      <c r="J10774" t="s">
        <v>41</v>
      </c>
      <c r="K10774" t="s">
        <v>229</v>
      </c>
      <c r="Q10774">
        <v>0</v>
      </c>
      <c r="R10774">
        <v>1</v>
      </c>
      <c r="S10774">
        <v>1</v>
      </c>
      <c r="T10774" t="s">
        <v>39845</v>
      </c>
    </row>
    <row r="10775" spans="1:20" customFormat="1" ht="15" x14ac:dyDescent="0.25">
      <c r="A10775" t="s">
        <v>35</v>
      </c>
      <c r="B10775" t="s">
        <v>61</v>
      </c>
      <c r="C10775" t="str">
        <f>"A0118708"</f>
        <v>A0118708</v>
      </c>
      <c r="D10775" t="s">
        <v>39846</v>
      </c>
      <c r="E10775" t="s">
        <v>39847</v>
      </c>
      <c r="F10775" t="s">
        <v>39848</v>
      </c>
      <c r="G10775" t="s">
        <v>110</v>
      </c>
      <c r="H10775">
        <v>92118</v>
      </c>
      <c r="I10775" t="s">
        <v>30</v>
      </c>
      <c r="J10775" t="s">
        <v>41</v>
      </c>
      <c r="K10775" t="s">
        <v>59</v>
      </c>
      <c r="Q10775">
        <v>0</v>
      </c>
      <c r="R10775">
        <v>120</v>
      </c>
      <c r="S10775">
        <v>120</v>
      </c>
      <c r="T10775" t="s">
        <v>39849</v>
      </c>
    </row>
    <row r="10776" spans="1:20" customFormat="1" ht="15" x14ac:dyDescent="0.25">
      <c r="A10776" t="s">
        <v>35</v>
      </c>
      <c r="B10776" t="s">
        <v>61</v>
      </c>
      <c r="C10776" t="str">
        <f>"A0127495"</f>
        <v>A0127495</v>
      </c>
      <c r="D10776" t="s">
        <v>39850</v>
      </c>
      <c r="E10776" t="s">
        <v>39851</v>
      </c>
      <c r="F10776" t="s">
        <v>39852</v>
      </c>
      <c r="G10776" t="s">
        <v>507</v>
      </c>
      <c r="H10776">
        <v>26292</v>
      </c>
      <c r="I10776" t="s">
        <v>30</v>
      </c>
      <c r="J10776" t="s">
        <v>41</v>
      </c>
      <c r="K10776" t="s">
        <v>59</v>
      </c>
      <c r="Q10776">
        <v>0</v>
      </c>
      <c r="R10776">
        <v>120</v>
      </c>
      <c r="S10776">
        <v>120</v>
      </c>
      <c r="T10776" t="s">
        <v>39853</v>
      </c>
    </row>
    <row r="10777" spans="1:20" customFormat="1" ht="15" x14ac:dyDescent="0.25">
      <c r="A10777" t="s">
        <v>35</v>
      </c>
      <c r="B10777" t="s">
        <v>61</v>
      </c>
      <c r="C10777" t="str">
        <f>"A0130932"</f>
        <v>A0130932</v>
      </c>
      <c r="D10777" t="s">
        <v>39854</v>
      </c>
      <c r="E10777" t="s">
        <v>39855</v>
      </c>
      <c r="F10777" t="s">
        <v>1739</v>
      </c>
      <c r="G10777" t="s">
        <v>85</v>
      </c>
      <c r="H10777">
        <v>727620000</v>
      </c>
      <c r="I10777" t="s">
        <v>30</v>
      </c>
      <c r="J10777" t="s">
        <v>41</v>
      </c>
      <c r="K10777" t="s">
        <v>2760</v>
      </c>
      <c r="Q10777">
        <v>0</v>
      </c>
      <c r="R10777">
        <v>1</v>
      </c>
      <c r="S10777">
        <v>1</v>
      </c>
      <c r="T10777" t="s">
        <v>39856</v>
      </c>
    </row>
    <row r="10778" spans="1:20" customFormat="1" ht="15" x14ac:dyDescent="0.25">
      <c r="A10778" t="s">
        <v>35</v>
      </c>
      <c r="B10778" t="s">
        <v>61</v>
      </c>
      <c r="C10778" t="str">
        <f>"A0124170"</f>
        <v>A0124170</v>
      </c>
      <c r="D10778" t="s">
        <v>39857</v>
      </c>
      <c r="E10778" t="s">
        <v>39858</v>
      </c>
      <c r="F10778" t="s">
        <v>4133</v>
      </c>
      <c r="G10778" t="s">
        <v>52</v>
      </c>
      <c r="H10778">
        <v>78704</v>
      </c>
      <c r="I10778" t="s">
        <v>30</v>
      </c>
      <c r="J10778" t="s">
        <v>41</v>
      </c>
      <c r="K10778" t="s">
        <v>59</v>
      </c>
      <c r="Q10778">
        <v>0</v>
      </c>
      <c r="R10778">
        <v>28</v>
      </c>
      <c r="S10778">
        <v>28</v>
      </c>
      <c r="T10778" t="s">
        <v>39859</v>
      </c>
    </row>
    <row r="10779" spans="1:20" customFormat="1" ht="15" x14ac:dyDescent="0.25">
      <c r="A10779" t="s">
        <v>35</v>
      </c>
      <c r="B10779" t="s">
        <v>61</v>
      </c>
      <c r="C10779" t="str">
        <f>"A0124171"</f>
        <v>A0124171</v>
      </c>
      <c r="D10779" t="s">
        <v>39860</v>
      </c>
      <c r="E10779" t="s">
        <v>39861</v>
      </c>
      <c r="F10779" t="s">
        <v>21673</v>
      </c>
      <c r="G10779" t="s">
        <v>52</v>
      </c>
      <c r="H10779">
        <v>78664</v>
      </c>
      <c r="I10779" t="s">
        <v>30</v>
      </c>
      <c r="J10779" t="s">
        <v>41</v>
      </c>
      <c r="K10779" t="s">
        <v>59</v>
      </c>
      <c r="Q10779">
        <v>0</v>
      </c>
      <c r="R10779">
        <v>20</v>
      </c>
      <c r="S10779">
        <v>20</v>
      </c>
    </row>
    <row r="10780" spans="1:20" customFormat="1" ht="15" x14ac:dyDescent="0.25">
      <c r="A10780" t="s">
        <v>35</v>
      </c>
      <c r="B10780" t="s">
        <v>61</v>
      </c>
      <c r="C10780" t="str">
        <f>"A0117955"</f>
        <v>A0117955</v>
      </c>
      <c r="D10780" t="s">
        <v>39862</v>
      </c>
      <c r="E10780" t="s">
        <v>36950</v>
      </c>
      <c r="F10780" t="s">
        <v>7538</v>
      </c>
      <c r="G10780" t="s">
        <v>110</v>
      </c>
      <c r="H10780">
        <v>93422</v>
      </c>
      <c r="I10780" t="s">
        <v>30</v>
      </c>
      <c r="J10780" t="s">
        <v>41</v>
      </c>
      <c r="K10780" t="s">
        <v>229</v>
      </c>
      <c r="Q10780">
        <v>0</v>
      </c>
      <c r="R10780">
        <v>40</v>
      </c>
      <c r="S10780">
        <v>40</v>
      </c>
      <c r="T10780" t="s">
        <v>39863</v>
      </c>
    </row>
    <row r="10781" spans="1:20" customFormat="1" ht="15" x14ac:dyDescent="0.25">
      <c r="A10781" t="s">
        <v>35</v>
      </c>
      <c r="B10781" t="s">
        <v>61</v>
      </c>
      <c r="C10781" t="str">
        <f>"A0132286"</f>
        <v>A0132286</v>
      </c>
      <c r="D10781" t="s">
        <v>39864</v>
      </c>
      <c r="E10781" t="s">
        <v>39865</v>
      </c>
      <c r="F10781" t="s">
        <v>13374</v>
      </c>
      <c r="G10781" t="s">
        <v>65</v>
      </c>
      <c r="H10781">
        <v>43953</v>
      </c>
      <c r="I10781" t="s">
        <v>30</v>
      </c>
      <c r="J10781" t="s">
        <v>41</v>
      </c>
      <c r="K10781" t="s">
        <v>59</v>
      </c>
      <c r="Q10781">
        <v>0</v>
      </c>
      <c r="R10781">
        <v>50</v>
      </c>
      <c r="S10781">
        <v>50</v>
      </c>
      <c r="T10781" t="s">
        <v>39866</v>
      </c>
    </row>
    <row r="10782" spans="1:20" customFormat="1" ht="15" x14ac:dyDescent="0.25">
      <c r="A10782" t="s">
        <v>35</v>
      </c>
      <c r="B10782" t="s">
        <v>61</v>
      </c>
      <c r="C10782" t="str">
        <f>"A0125424"</f>
        <v>A0125424</v>
      </c>
      <c r="D10782" t="s">
        <v>39867</v>
      </c>
      <c r="E10782" t="s">
        <v>39868</v>
      </c>
      <c r="F10782" t="s">
        <v>8348</v>
      </c>
      <c r="G10782" t="s">
        <v>40</v>
      </c>
      <c r="H10782">
        <v>74133</v>
      </c>
      <c r="I10782" t="s">
        <v>30</v>
      </c>
      <c r="J10782" t="s">
        <v>41</v>
      </c>
      <c r="K10782" t="s">
        <v>59</v>
      </c>
      <c r="Q10782">
        <v>0</v>
      </c>
      <c r="R10782">
        <v>120</v>
      </c>
      <c r="S10782">
        <v>120</v>
      </c>
      <c r="T10782" t="s">
        <v>39869</v>
      </c>
    </row>
    <row r="10783" spans="1:20" customFormat="1" ht="15" x14ac:dyDescent="0.25">
      <c r="A10783" t="s">
        <v>35</v>
      </c>
      <c r="B10783" t="s">
        <v>61</v>
      </c>
      <c r="C10783" t="str">
        <f>"A0132851"</f>
        <v>A0132851</v>
      </c>
      <c r="D10783" t="s">
        <v>39870</v>
      </c>
      <c r="E10783" t="s">
        <v>39871</v>
      </c>
      <c r="F10783" t="s">
        <v>39872</v>
      </c>
      <c r="G10783" t="s">
        <v>65</v>
      </c>
      <c r="H10783">
        <v>44444</v>
      </c>
      <c r="I10783" t="s">
        <v>30</v>
      </c>
      <c r="J10783" t="s">
        <v>41</v>
      </c>
      <c r="K10783" t="s">
        <v>59</v>
      </c>
      <c r="Q10783">
        <v>0</v>
      </c>
      <c r="R10783">
        <v>20</v>
      </c>
      <c r="S10783">
        <v>20</v>
      </c>
      <c r="T10783" t="s">
        <v>39873</v>
      </c>
    </row>
    <row r="10784" spans="1:20" customFormat="1" ht="15" x14ac:dyDescent="0.25">
      <c r="A10784" t="s">
        <v>35</v>
      </c>
      <c r="B10784" t="s">
        <v>61</v>
      </c>
      <c r="C10784" t="str">
        <f>"A0132850"</f>
        <v>A0132850</v>
      </c>
      <c r="D10784" t="s">
        <v>39874</v>
      </c>
      <c r="E10784" t="s">
        <v>39871</v>
      </c>
      <c r="F10784" t="s">
        <v>39872</v>
      </c>
      <c r="G10784" t="s">
        <v>65</v>
      </c>
      <c r="H10784">
        <v>44444</v>
      </c>
      <c r="I10784" t="s">
        <v>30</v>
      </c>
      <c r="J10784" t="s">
        <v>41</v>
      </c>
      <c r="K10784" t="s">
        <v>59</v>
      </c>
      <c r="Q10784">
        <v>0</v>
      </c>
      <c r="R10784">
        <v>30</v>
      </c>
      <c r="S10784">
        <v>30</v>
      </c>
      <c r="T10784" t="s">
        <v>39875</v>
      </c>
    </row>
    <row r="10785" spans="1:20" customFormat="1" ht="15" x14ac:dyDescent="0.25">
      <c r="A10785" t="s">
        <v>35</v>
      </c>
      <c r="B10785" t="s">
        <v>437</v>
      </c>
      <c r="C10785" t="str">
        <f>"A0133862"</f>
        <v>A0133862</v>
      </c>
      <c r="D10785" t="s">
        <v>39876</v>
      </c>
      <c r="E10785" t="s">
        <v>39877</v>
      </c>
      <c r="F10785" t="s">
        <v>32856</v>
      </c>
      <c r="G10785" t="s">
        <v>110</v>
      </c>
      <c r="H10785">
        <v>913110000</v>
      </c>
      <c r="I10785" t="s">
        <v>30</v>
      </c>
      <c r="J10785" t="s">
        <v>441</v>
      </c>
      <c r="K10785" t="s">
        <v>442</v>
      </c>
      <c r="Q10785">
        <v>0</v>
      </c>
      <c r="R10785">
        <v>0</v>
      </c>
      <c r="S10785">
        <v>0</v>
      </c>
      <c r="T10785" t="s">
        <v>39878</v>
      </c>
    </row>
    <row r="10786" spans="1:20" customFormat="1" ht="15" x14ac:dyDescent="0.25">
      <c r="A10786" t="s">
        <v>35</v>
      </c>
      <c r="B10786" t="s">
        <v>61</v>
      </c>
      <c r="C10786" t="str">
        <f>"A0131233"</f>
        <v>A0131233</v>
      </c>
      <c r="D10786" t="s">
        <v>39879</v>
      </c>
      <c r="E10786" t="s">
        <v>39880</v>
      </c>
      <c r="F10786" t="s">
        <v>16985</v>
      </c>
      <c r="G10786" t="s">
        <v>137</v>
      </c>
      <c r="H10786">
        <v>637010000</v>
      </c>
      <c r="I10786" t="s">
        <v>30</v>
      </c>
      <c r="J10786" t="s">
        <v>41</v>
      </c>
      <c r="K10786" t="s">
        <v>229</v>
      </c>
      <c r="Q10786">
        <v>0</v>
      </c>
      <c r="R10786">
        <v>56</v>
      </c>
      <c r="S10786">
        <v>56</v>
      </c>
      <c r="T10786" t="s">
        <v>39881</v>
      </c>
    </row>
    <row r="10787" spans="1:20" customFormat="1" ht="15" x14ac:dyDescent="0.25">
      <c r="A10787" t="s">
        <v>35</v>
      </c>
      <c r="B10787" t="s">
        <v>61</v>
      </c>
      <c r="C10787" t="str">
        <f>"A0127383"</f>
        <v>A0127383</v>
      </c>
      <c r="D10787" t="s">
        <v>39882</v>
      </c>
      <c r="E10787" t="s">
        <v>39883</v>
      </c>
      <c r="F10787" t="s">
        <v>20144</v>
      </c>
      <c r="G10787" t="s">
        <v>846</v>
      </c>
      <c r="H10787">
        <v>30291</v>
      </c>
      <c r="I10787" t="s">
        <v>30</v>
      </c>
      <c r="J10787" t="s">
        <v>41</v>
      </c>
      <c r="K10787" t="s">
        <v>59</v>
      </c>
      <c r="Q10787">
        <v>0</v>
      </c>
      <c r="R10787">
        <v>45</v>
      </c>
      <c r="S10787">
        <v>45</v>
      </c>
      <c r="T10787" t="s">
        <v>39884</v>
      </c>
    </row>
    <row r="10788" spans="1:20" customFormat="1" ht="15" x14ac:dyDescent="0.25">
      <c r="A10788" t="s">
        <v>35</v>
      </c>
      <c r="B10788" t="s">
        <v>61</v>
      </c>
      <c r="C10788" t="str">
        <f>"A0125421"</f>
        <v>A0125421</v>
      </c>
      <c r="D10788" t="s">
        <v>39885</v>
      </c>
      <c r="E10788" t="s">
        <v>39886</v>
      </c>
      <c r="F10788" t="s">
        <v>17557</v>
      </c>
      <c r="G10788" t="s">
        <v>40</v>
      </c>
      <c r="H10788">
        <v>74301</v>
      </c>
      <c r="I10788" t="s">
        <v>30</v>
      </c>
      <c r="J10788" t="s">
        <v>41</v>
      </c>
      <c r="K10788" t="s">
        <v>59</v>
      </c>
      <c r="Q10788">
        <v>0</v>
      </c>
      <c r="R10788">
        <v>68</v>
      </c>
      <c r="S10788">
        <v>68</v>
      </c>
      <c r="T10788" t="s">
        <v>39887</v>
      </c>
    </row>
    <row r="10789" spans="1:20" customFormat="1" ht="15" x14ac:dyDescent="0.25">
      <c r="A10789" t="s">
        <v>35</v>
      </c>
      <c r="B10789" t="s">
        <v>61</v>
      </c>
      <c r="C10789" t="str">
        <f>"A0123046"</f>
        <v>A0123046</v>
      </c>
      <c r="D10789" t="s">
        <v>39888</v>
      </c>
      <c r="E10789" t="s">
        <v>39889</v>
      </c>
      <c r="F10789" t="s">
        <v>9703</v>
      </c>
      <c r="G10789" t="s">
        <v>433</v>
      </c>
      <c r="H10789">
        <v>83647</v>
      </c>
      <c r="I10789" t="s">
        <v>30</v>
      </c>
      <c r="J10789" t="s">
        <v>41</v>
      </c>
      <c r="K10789" t="s">
        <v>59</v>
      </c>
      <c r="Q10789">
        <v>0</v>
      </c>
      <c r="R10789">
        <v>70</v>
      </c>
      <c r="S10789">
        <v>70</v>
      </c>
      <c r="T10789" t="s">
        <v>39890</v>
      </c>
    </row>
    <row r="10790" spans="1:20" customFormat="1" ht="15" x14ac:dyDescent="0.25">
      <c r="A10790" t="s">
        <v>35</v>
      </c>
      <c r="B10790" t="s">
        <v>61</v>
      </c>
      <c r="C10790" t="str">
        <f>"A0123740"</f>
        <v>A0123740</v>
      </c>
      <c r="D10790" t="s">
        <v>39891</v>
      </c>
      <c r="E10790" t="s">
        <v>39892</v>
      </c>
      <c r="F10790" t="s">
        <v>6726</v>
      </c>
      <c r="G10790" t="s">
        <v>1898</v>
      </c>
      <c r="H10790">
        <v>52806</v>
      </c>
      <c r="I10790" t="s">
        <v>30</v>
      </c>
      <c r="J10790" t="s">
        <v>41</v>
      </c>
      <c r="K10790" t="s">
        <v>482</v>
      </c>
      <c r="Q10790">
        <v>0</v>
      </c>
      <c r="R10790">
        <v>32</v>
      </c>
      <c r="S10790">
        <v>32</v>
      </c>
      <c r="T10790" t="s">
        <v>39893</v>
      </c>
    </row>
    <row r="10791" spans="1:20" customFormat="1" ht="15" x14ac:dyDescent="0.25">
      <c r="A10791" t="s">
        <v>35</v>
      </c>
      <c r="B10791" t="s">
        <v>61</v>
      </c>
      <c r="C10791" t="str">
        <f>"A0130901"</f>
        <v>A0130901</v>
      </c>
      <c r="D10791" t="s">
        <v>39894</v>
      </c>
      <c r="E10791" t="s">
        <v>39895</v>
      </c>
      <c r="F10791" t="s">
        <v>39896</v>
      </c>
      <c r="G10791" t="s">
        <v>137</v>
      </c>
      <c r="H10791">
        <v>640290000</v>
      </c>
      <c r="I10791" t="s">
        <v>30</v>
      </c>
      <c r="J10791" t="s">
        <v>41</v>
      </c>
      <c r="K10791" t="s">
        <v>59</v>
      </c>
      <c r="Q10791">
        <v>0</v>
      </c>
      <c r="R10791">
        <v>32</v>
      </c>
      <c r="S10791">
        <v>32</v>
      </c>
      <c r="T10791" t="s">
        <v>39897</v>
      </c>
    </row>
    <row r="10792" spans="1:20" customFormat="1" ht="15" x14ac:dyDescent="0.25">
      <c r="A10792" t="s">
        <v>35</v>
      </c>
      <c r="B10792" t="s">
        <v>61</v>
      </c>
      <c r="C10792" t="str">
        <f>"A0117882"</f>
        <v>A0117882</v>
      </c>
      <c r="D10792" t="s">
        <v>39898</v>
      </c>
      <c r="E10792" t="s">
        <v>39899</v>
      </c>
      <c r="F10792" t="s">
        <v>24201</v>
      </c>
      <c r="G10792" t="s">
        <v>110</v>
      </c>
      <c r="H10792">
        <v>93454</v>
      </c>
      <c r="I10792" t="s">
        <v>30</v>
      </c>
      <c r="J10792" t="s">
        <v>41</v>
      </c>
      <c r="K10792" t="s">
        <v>229</v>
      </c>
      <c r="Q10792">
        <v>0</v>
      </c>
      <c r="R10792">
        <v>59</v>
      </c>
      <c r="S10792">
        <v>59</v>
      </c>
      <c r="T10792" t="s">
        <v>39900</v>
      </c>
    </row>
    <row r="10793" spans="1:20" customFormat="1" ht="15" x14ac:dyDescent="0.25">
      <c r="A10793" t="s">
        <v>35</v>
      </c>
      <c r="B10793" t="s">
        <v>61</v>
      </c>
      <c r="C10793" t="str">
        <f>"A0118217"</f>
        <v>A0118217</v>
      </c>
      <c r="D10793" t="s">
        <v>39901</v>
      </c>
      <c r="E10793" t="s">
        <v>39902</v>
      </c>
      <c r="F10793" t="s">
        <v>3193</v>
      </c>
      <c r="G10793" t="s">
        <v>153</v>
      </c>
      <c r="H10793">
        <v>84015</v>
      </c>
      <c r="I10793" t="s">
        <v>30</v>
      </c>
      <c r="J10793" t="s">
        <v>41</v>
      </c>
      <c r="K10793" t="s">
        <v>59</v>
      </c>
      <c r="Q10793">
        <v>0</v>
      </c>
      <c r="R10793">
        <v>55</v>
      </c>
      <c r="S10793">
        <v>55</v>
      </c>
      <c r="T10793" t="s">
        <v>39903</v>
      </c>
    </row>
    <row r="10794" spans="1:20" customFormat="1" ht="15" x14ac:dyDescent="0.25">
      <c r="A10794" t="s">
        <v>35</v>
      </c>
      <c r="B10794" t="s">
        <v>61</v>
      </c>
      <c r="C10794" t="str">
        <f>"A0119321"</f>
        <v>A0119321</v>
      </c>
      <c r="D10794" t="s">
        <v>39904</v>
      </c>
      <c r="E10794" t="s">
        <v>39905</v>
      </c>
      <c r="F10794" t="s">
        <v>25685</v>
      </c>
      <c r="G10794" t="s">
        <v>110</v>
      </c>
      <c r="H10794">
        <v>94509</v>
      </c>
      <c r="I10794" t="s">
        <v>30</v>
      </c>
      <c r="J10794" t="s">
        <v>41</v>
      </c>
      <c r="K10794" t="s">
        <v>482</v>
      </c>
      <c r="Q10794">
        <v>0</v>
      </c>
      <c r="R10794">
        <v>30</v>
      </c>
      <c r="S10794">
        <v>30</v>
      </c>
      <c r="T10794" t="s">
        <v>39906</v>
      </c>
    </row>
    <row r="10795" spans="1:20" customFormat="1" ht="15" x14ac:dyDescent="0.25">
      <c r="A10795" t="s">
        <v>35</v>
      </c>
      <c r="B10795" t="s">
        <v>61</v>
      </c>
      <c r="C10795" t="str">
        <f>"A0127655"</f>
        <v>A0127655</v>
      </c>
      <c r="D10795" t="s">
        <v>39907</v>
      </c>
      <c r="E10795" t="s">
        <v>39908</v>
      </c>
      <c r="F10795" t="s">
        <v>9480</v>
      </c>
      <c r="G10795" t="s">
        <v>528</v>
      </c>
      <c r="H10795">
        <v>19950</v>
      </c>
      <c r="I10795" t="s">
        <v>30</v>
      </c>
      <c r="J10795" t="s">
        <v>41</v>
      </c>
      <c r="K10795" t="s">
        <v>229</v>
      </c>
      <c r="Q10795">
        <v>0</v>
      </c>
      <c r="R10795">
        <v>56</v>
      </c>
      <c r="S10795">
        <v>56</v>
      </c>
      <c r="T10795" t="s">
        <v>39909</v>
      </c>
    </row>
    <row r="10796" spans="1:20" customFormat="1" ht="15" x14ac:dyDescent="0.25">
      <c r="A10796" t="s">
        <v>35</v>
      </c>
      <c r="B10796" t="s">
        <v>61</v>
      </c>
      <c r="C10796" t="str">
        <f>"A0122684"</f>
        <v>A0122684</v>
      </c>
      <c r="D10796" t="s">
        <v>39910</v>
      </c>
      <c r="E10796" t="s">
        <v>39911</v>
      </c>
      <c r="F10796" t="s">
        <v>28030</v>
      </c>
      <c r="G10796" t="s">
        <v>47</v>
      </c>
      <c r="H10796">
        <v>97013</v>
      </c>
      <c r="I10796" t="s">
        <v>30</v>
      </c>
      <c r="J10796" t="s">
        <v>41</v>
      </c>
      <c r="K10796" t="s">
        <v>59</v>
      </c>
      <c r="Q10796">
        <v>0</v>
      </c>
      <c r="R10796">
        <v>23</v>
      </c>
      <c r="S10796">
        <v>23</v>
      </c>
      <c r="T10796" t="s">
        <v>39912</v>
      </c>
    </row>
    <row r="10797" spans="1:20" customFormat="1" ht="15" x14ac:dyDescent="0.25">
      <c r="A10797" t="s">
        <v>35</v>
      </c>
      <c r="B10797" t="s">
        <v>437</v>
      </c>
      <c r="C10797" t="str">
        <f>"A0135010"</f>
        <v>A0135010</v>
      </c>
      <c r="D10797" t="s">
        <v>39913</v>
      </c>
      <c r="E10797" t="s">
        <v>39914</v>
      </c>
      <c r="F10797" t="s">
        <v>21693</v>
      </c>
      <c r="G10797" t="s">
        <v>110</v>
      </c>
      <c r="H10797">
        <v>95366</v>
      </c>
      <c r="I10797" t="s">
        <v>30</v>
      </c>
      <c r="J10797" t="s">
        <v>441</v>
      </c>
      <c r="K10797" t="s">
        <v>442</v>
      </c>
      <c r="Q10797">
        <v>0</v>
      </c>
      <c r="R10797">
        <v>0</v>
      </c>
      <c r="S10797">
        <v>0</v>
      </c>
      <c r="T10797" t="s">
        <v>39915</v>
      </c>
    </row>
    <row r="10798" spans="1:20" customFormat="1" ht="15" x14ac:dyDescent="0.25">
      <c r="A10798" t="s">
        <v>35</v>
      </c>
      <c r="B10798" t="s">
        <v>61</v>
      </c>
      <c r="C10798" t="str">
        <f>"A0123043"</f>
        <v>A0123043</v>
      </c>
      <c r="D10798" t="s">
        <v>39916</v>
      </c>
      <c r="E10798" t="s">
        <v>39917</v>
      </c>
      <c r="F10798" t="s">
        <v>39918</v>
      </c>
      <c r="G10798" t="s">
        <v>433</v>
      </c>
      <c r="H10798">
        <v>83669</v>
      </c>
      <c r="I10798" t="s">
        <v>30</v>
      </c>
      <c r="J10798" t="s">
        <v>41</v>
      </c>
      <c r="K10798" t="s">
        <v>482</v>
      </c>
      <c r="Q10798">
        <v>0</v>
      </c>
      <c r="R10798">
        <v>16</v>
      </c>
      <c r="S10798">
        <v>16</v>
      </c>
      <c r="T10798" t="s">
        <v>39919</v>
      </c>
    </row>
    <row r="10799" spans="1:20" customFormat="1" ht="15" x14ac:dyDescent="0.25">
      <c r="A10799" t="s">
        <v>35</v>
      </c>
      <c r="B10799" t="s">
        <v>61</v>
      </c>
      <c r="C10799" t="str">
        <f>"A0133149"</f>
        <v>A0133149</v>
      </c>
      <c r="D10799" t="s">
        <v>39920</v>
      </c>
      <c r="E10799" t="s">
        <v>39921</v>
      </c>
      <c r="F10799" t="s">
        <v>39922</v>
      </c>
      <c r="G10799" t="s">
        <v>52</v>
      </c>
      <c r="H10799">
        <v>75140</v>
      </c>
      <c r="I10799" t="s">
        <v>30</v>
      </c>
      <c r="J10799" t="s">
        <v>41</v>
      </c>
      <c r="K10799" t="s">
        <v>229</v>
      </c>
      <c r="Q10799">
        <v>0</v>
      </c>
      <c r="R10799">
        <v>100</v>
      </c>
      <c r="S10799">
        <v>100</v>
      </c>
      <c r="T10799" t="s">
        <v>39923</v>
      </c>
    </row>
    <row r="10800" spans="1:20" customFormat="1" ht="15" x14ac:dyDescent="0.25">
      <c r="A10800" t="s">
        <v>35</v>
      </c>
      <c r="B10800" t="s">
        <v>61</v>
      </c>
      <c r="C10800" t="str">
        <f>"A0126838"</f>
        <v>A0126838</v>
      </c>
      <c r="D10800" t="s">
        <v>39924</v>
      </c>
      <c r="E10800" t="s">
        <v>39925</v>
      </c>
      <c r="F10800" t="s">
        <v>18928</v>
      </c>
      <c r="G10800" t="s">
        <v>103</v>
      </c>
      <c r="H10800">
        <v>17566</v>
      </c>
      <c r="I10800" t="s">
        <v>30</v>
      </c>
      <c r="J10800" t="s">
        <v>41</v>
      </c>
      <c r="K10800" t="s">
        <v>59</v>
      </c>
      <c r="Q10800">
        <v>0</v>
      </c>
      <c r="R10800">
        <v>24</v>
      </c>
      <c r="S10800">
        <v>24</v>
      </c>
      <c r="T10800" t="s">
        <v>39926</v>
      </c>
    </row>
    <row r="10801" spans="1:20" customFormat="1" ht="15" x14ac:dyDescent="0.25">
      <c r="A10801" t="s">
        <v>35</v>
      </c>
      <c r="B10801" t="s">
        <v>61</v>
      </c>
      <c r="C10801" t="str">
        <f>"A0130372"</f>
        <v>A0130372</v>
      </c>
      <c r="D10801" t="s">
        <v>39927</v>
      </c>
      <c r="E10801" t="s">
        <v>39928</v>
      </c>
      <c r="F10801" t="s">
        <v>39929</v>
      </c>
      <c r="G10801" t="s">
        <v>1898</v>
      </c>
      <c r="H10801">
        <v>51249</v>
      </c>
      <c r="I10801" t="s">
        <v>30</v>
      </c>
      <c r="J10801" t="s">
        <v>41</v>
      </c>
      <c r="K10801" t="s">
        <v>229</v>
      </c>
      <c r="Q10801">
        <v>0</v>
      </c>
      <c r="R10801">
        <v>64</v>
      </c>
      <c r="S10801">
        <v>64</v>
      </c>
      <c r="T10801" t="s">
        <v>39930</v>
      </c>
    </row>
    <row r="10802" spans="1:20" customFormat="1" ht="15" x14ac:dyDescent="0.25">
      <c r="A10802" t="s">
        <v>35</v>
      </c>
      <c r="B10802" t="s">
        <v>61</v>
      </c>
      <c r="C10802" t="str">
        <f>"A0154295"</f>
        <v>A0154295</v>
      </c>
      <c r="D10802" t="s">
        <v>39931</v>
      </c>
      <c r="E10802" t="s">
        <v>39932</v>
      </c>
      <c r="F10802" t="s">
        <v>38350</v>
      </c>
      <c r="G10802" t="s">
        <v>110</v>
      </c>
      <c r="H10802">
        <v>95973</v>
      </c>
      <c r="I10802" t="s">
        <v>30</v>
      </c>
      <c r="J10802" t="s">
        <v>41</v>
      </c>
      <c r="K10802" t="s">
        <v>1032</v>
      </c>
      <c r="Q10802">
        <v>0</v>
      </c>
      <c r="R10802">
        <v>42</v>
      </c>
      <c r="S10802">
        <v>42</v>
      </c>
      <c r="T10802" t="s">
        <v>39933</v>
      </c>
    </row>
    <row r="10803" spans="1:20" customFormat="1" ht="15" x14ac:dyDescent="0.25">
      <c r="A10803" t="s">
        <v>35</v>
      </c>
      <c r="B10803" t="s">
        <v>61</v>
      </c>
      <c r="C10803" t="str">
        <f>"A0130288"</f>
        <v>A0130288</v>
      </c>
      <c r="D10803" t="s">
        <v>39934</v>
      </c>
      <c r="E10803" t="s">
        <v>39935</v>
      </c>
      <c r="F10803" t="s">
        <v>23639</v>
      </c>
      <c r="G10803" t="s">
        <v>1898</v>
      </c>
      <c r="H10803">
        <v>52136</v>
      </c>
      <c r="I10803" t="s">
        <v>30</v>
      </c>
      <c r="J10803" t="s">
        <v>41</v>
      </c>
      <c r="K10803" t="s">
        <v>131</v>
      </c>
      <c r="Q10803">
        <v>0</v>
      </c>
      <c r="R10803">
        <v>73</v>
      </c>
      <c r="S10803">
        <v>73</v>
      </c>
      <c r="T10803" t="s">
        <v>39936</v>
      </c>
    </row>
    <row r="10804" spans="1:20" customFormat="1" ht="15" x14ac:dyDescent="0.25">
      <c r="A10804" t="s">
        <v>35</v>
      </c>
      <c r="B10804" t="s">
        <v>61</v>
      </c>
      <c r="C10804" t="str">
        <f>"A0123741"</f>
        <v>A0123741</v>
      </c>
      <c r="D10804" t="s">
        <v>39937</v>
      </c>
      <c r="E10804" t="s">
        <v>39938</v>
      </c>
      <c r="F10804" t="s">
        <v>4108</v>
      </c>
      <c r="G10804" t="s">
        <v>29</v>
      </c>
      <c r="H10804">
        <v>240145275</v>
      </c>
      <c r="I10804" t="s">
        <v>30</v>
      </c>
      <c r="J10804" t="s">
        <v>41</v>
      </c>
      <c r="K10804" t="s">
        <v>482</v>
      </c>
      <c r="Q10804">
        <v>0</v>
      </c>
      <c r="R10804">
        <v>57</v>
      </c>
      <c r="S10804">
        <v>57</v>
      </c>
      <c r="T10804" t="s">
        <v>39939</v>
      </c>
    </row>
    <row r="10805" spans="1:20" customFormat="1" ht="15" x14ac:dyDescent="0.25">
      <c r="A10805" t="s">
        <v>35</v>
      </c>
      <c r="B10805" t="s">
        <v>61</v>
      </c>
      <c r="C10805" t="str">
        <f>"A0125455"</f>
        <v>A0125455</v>
      </c>
      <c r="D10805" t="s">
        <v>39940</v>
      </c>
      <c r="E10805" t="s">
        <v>39941</v>
      </c>
      <c r="F10805" t="s">
        <v>39942</v>
      </c>
      <c r="G10805" t="s">
        <v>40</v>
      </c>
      <c r="H10805">
        <v>74469</v>
      </c>
      <c r="I10805" t="s">
        <v>30</v>
      </c>
      <c r="J10805" t="s">
        <v>41</v>
      </c>
      <c r="K10805" t="s">
        <v>229</v>
      </c>
      <c r="Q10805">
        <v>0</v>
      </c>
      <c r="R10805">
        <v>80</v>
      </c>
      <c r="S10805">
        <v>80</v>
      </c>
      <c r="T10805" t="s">
        <v>39943</v>
      </c>
    </row>
    <row r="10806" spans="1:20" customFormat="1" ht="15" x14ac:dyDescent="0.25">
      <c r="A10806" t="s">
        <v>35</v>
      </c>
      <c r="B10806" t="s">
        <v>61</v>
      </c>
      <c r="C10806" t="str">
        <f>"A0122957"</f>
        <v>A0122957</v>
      </c>
      <c r="D10806" t="s">
        <v>39944</v>
      </c>
      <c r="E10806" t="s">
        <v>39945</v>
      </c>
      <c r="F10806" t="s">
        <v>27824</v>
      </c>
      <c r="G10806" t="s">
        <v>47</v>
      </c>
      <c r="H10806">
        <v>97756</v>
      </c>
      <c r="I10806" t="s">
        <v>30</v>
      </c>
      <c r="J10806" t="s">
        <v>41</v>
      </c>
      <c r="K10806" t="s">
        <v>1032</v>
      </c>
      <c r="Q10806">
        <v>0</v>
      </c>
      <c r="R10806">
        <v>42</v>
      </c>
      <c r="S10806">
        <v>42</v>
      </c>
      <c r="T10806" t="s">
        <v>39946</v>
      </c>
    </row>
    <row r="10807" spans="1:20" customFormat="1" ht="15" x14ac:dyDescent="0.25">
      <c r="A10807" t="s">
        <v>35</v>
      </c>
      <c r="B10807" t="s">
        <v>61</v>
      </c>
      <c r="C10807" t="str">
        <f>"A0125375"</f>
        <v>A0125375</v>
      </c>
      <c r="D10807" t="s">
        <v>39947</v>
      </c>
      <c r="E10807" t="s">
        <v>39948</v>
      </c>
      <c r="F10807" t="s">
        <v>10606</v>
      </c>
      <c r="G10807" t="s">
        <v>40</v>
      </c>
      <c r="H10807">
        <v>73738</v>
      </c>
      <c r="I10807" t="s">
        <v>30</v>
      </c>
      <c r="J10807" t="s">
        <v>41</v>
      </c>
      <c r="K10807" t="s">
        <v>59</v>
      </c>
      <c r="Q10807">
        <v>0</v>
      </c>
      <c r="R10807">
        <v>40</v>
      </c>
      <c r="S10807">
        <v>40</v>
      </c>
      <c r="T10807" t="s">
        <v>39949</v>
      </c>
    </row>
    <row r="10808" spans="1:20" customFormat="1" ht="15" x14ac:dyDescent="0.25">
      <c r="A10808" t="s">
        <v>35</v>
      </c>
      <c r="B10808" t="s">
        <v>61</v>
      </c>
      <c r="C10808" t="str">
        <f>"A0124854"</f>
        <v>A0124854</v>
      </c>
      <c r="D10808" t="s">
        <v>39950</v>
      </c>
      <c r="E10808" t="s">
        <v>39951</v>
      </c>
      <c r="F10808" t="s">
        <v>39952</v>
      </c>
      <c r="G10808" t="s">
        <v>214</v>
      </c>
      <c r="H10808">
        <v>27863</v>
      </c>
      <c r="I10808" t="s">
        <v>30</v>
      </c>
      <c r="J10808" t="s">
        <v>41</v>
      </c>
      <c r="K10808" t="s">
        <v>59</v>
      </c>
      <c r="Q10808">
        <v>0</v>
      </c>
      <c r="R10808">
        <v>40</v>
      </c>
      <c r="S10808">
        <v>40</v>
      </c>
      <c r="T10808" t="s">
        <v>39953</v>
      </c>
    </row>
    <row r="10809" spans="1:20" customFormat="1" ht="15" x14ac:dyDescent="0.25">
      <c r="A10809" t="s">
        <v>35</v>
      </c>
      <c r="B10809" t="s">
        <v>61</v>
      </c>
      <c r="C10809" t="str">
        <f>"A0124035"</f>
        <v>A0124035</v>
      </c>
      <c r="D10809" t="s">
        <v>39954</v>
      </c>
      <c r="E10809" t="s">
        <v>39955</v>
      </c>
      <c r="F10809" t="s">
        <v>39956</v>
      </c>
      <c r="G10809" t="s">
        <v>214</v>
      </c>
      <c r="H10809">
        <v>27537</v>
      </c>
      <c r="I10809" t="s">
        <v>30</v>
      </c>
      <c r="J10809" t="s">
        <v>41</v>
      </c>
      <c r="K10809" t="s">
        <v>482</v>
      </c>
      <c r="Q10809">
        <v>0</v>
      </c>
      <c r="R10809">
        <v>130</v>
      </c>
      <c r="S10809">
        <v>130</v>
      </c>
      <c r="T10809" t="s">
        <v>39957</v>
      </c>
    </row>
    <row r="10810" spans="1:20" customFormat="1" ht="15" x14ac:dyDescent="0.25">
      <c r="A10810" t="s">
        <v>35</v>
      </c>
      <c r="B10810" t="s">
        <v>61</v>
      </c>
      <c r="C10810" t="str">
        <f>"A0131848"</f>
        <v>A0131848</v>
      </c>
      <c r="D10810" t="s">
        <v>39958</v>
      </c>
      <c r="E10810" t="s">
        <v>39959</v>
      </c>
      <c r="F10810" t="s">
        <v>39960</v>
      </c>
      <c r="G10810" t="s">
        <v>65</v>
      </c>
      <c r="H10810">
        <v>43755</v>
      </c>
      <c r="I10810" t="s">
        <v>30</v>
      </c>
      <c r="J10810" t="s">
        <v>41</v>
      </c>
      <c r="K10810" t="s">
        <v>59</v>
      </c>
      <c r="Q10810">
        <v>0</v>
      </c>
      <c r="R10810">
        <v>40</v>
      </c>
      <c r="S10810">
        <v>40</v>
      </c>
      <c r="T10810" t="s">
        <v>39961</v>
      </c>
    </row>
    <row r="10811" spans="1:20" customFormat="1" ht="15" x14ac:dyDescent="0.25">
      <c r="A10811" t="s">
        <v>35</v>
      </c>
      <c r="B10811" t="s">
        <v>61</v>
      </c>
      <c r="C10811" t="str">
        <f>"A0126715"</f>
        <v>A0126715</v>
      </c>
      <c r="D10811" t="s">
        <v>39962</v>
      </c>
      <c r="E10811" t="s">
        <v>39963</v>
      </c>
      <c r="F10811" t="s">
        <v>531</v>
      </c>
      <c r="G10811" t="s">
        <v>528</v>
      </c>
      <c r="H10811">
        <v>19901</v>
      </c>
      <c r="I10811" t="s">
        <v>30</v>
      </c>
      <c r="J10811" t="s">
        <v>41</v>
      </c>
      <c r="K10811" t="s">
        <v>229</v>
      </c>
      <c r="Q10811">
        <v>0</v>
      </c>
      <c r="R10811">
        <v>70</v>
      </c>
      <c r="S10811">
        <v>70</v>
      </c>
      <c r="T10811" t="s">
        <v>39964</v>
      </c>
    </row>
    <row r="10812" spans="1:20" customFormat="1" ht="15" x14ac:dyDescent="0.25">
      <c r="A10812" t="s">
        <v>35</v>
      </c>
      <c r="B10812" t="s">
        <v>61</v>
      </c>
      <c r="C10812" t="str">
        <f>"A0131626"</f>
        <v>A0131626</v>
      </c>
      <c r="D10812" t="s">
        <v>39965</v>
      </c>
      <c r="E10812" t="s">
        <v>39966</v>
      </c>
      <c r="F10812" t="s">
        <v>3661</v>
      </c>
      <c r="G10812" t="s">
        <v>65</v>
      </c>
      <c r="H10812">
        <v>45236</v>
      </c>
      <c r="I10812" t="s">
        <v>30</v>
      </c>
      <c r="J10812" t="s">
        <v>41</v>
      </c>
      <c r="K10812" t="s">
        <v>229</v>
      </c>
      <c r="Q10812">
        <v>0</v>
      </c>
      <c r="R10812">
        <v>128</v>
      </c>
      <c r="S10812">
        <v>128</v>
      </c>
      <c r="T10812" t="s">
        <v>39967</v>
      </c>
    </row>
    <row r="10813" spans="1:20" customFormat="1" ht="15" x14ac:dyDescent="0.25">
      <c r="A10813" t="s">
        <v>35</v>
      </c>
      <c r="B10813" t="s">
        <v>33926</v>
      </c>
      <c r="C10813" t="str">
        <f>"A0129224"</f>
        <v>A0129224</v>
      </c>
      <c r="D10813" t="s">
        <v>39968</v>
      </c>
      <c r="E10813" t="s">
        <v>39969</v>
      </c>
      <c r="F10813" t="s">
        <v>39970</v>
      </c>
      <c r="G10813" t="s">
        <v>289</v>
      </c>
      <c r="H10813">
        <v>62640</v>
      </c>
      <c r="I10813" t="s">
        <v>30</v>
      </c>
      <c r="J10813" t="s">
        <v>41</v>
      </c>
      <c r="K10813" t="s">
        <v>1032</v>
      </c>
      <c r="Q10813">
        <v>0</v>
      </c>
      <c r="R10813">
        <v>98</v>
      </c>
      <c r="S10813">
        <v>98</v>
      </c>
      <c r="T10813" t="s">
        <v>39971</v>
      </c>
    </row>
    <row r="10814" spans="1:20" customFormat="1" ht="15" x14ac:dyDescent="0.25">
      <c r="A10814" t="s">
        <v>35</v>
      </c>
      <c r="B10814" t="s">
        <v>61</v>
      </c>
      <c r="C10814" t="str">
        <f>"A0128676"</f>
        <v>A0128676</v>
      </c>
      <c r="D10814" t="s">
        <v>39972</v>
      </c>
      <c r="E10814" t="s">
        <v>39973</v>
      </c>
      <c r="F10814" t="s">
        <v>5061</v>
      </c>
      <c r="G10814" t="s">
        <v>1170</v>
      </c>
      <c r="H10814">
        <v>70507</v>
      </c>
      <c r="I10814" t="s">
        <v>30</v>
      </c>
      <c r="J10814" t="s">
        <v>41</v>
      </c>
      <c r="K10814" t="s">
        <v>229</v>
      </c>
      <c r="Q10814">
        <v>0</v>
      </c>
      <c r="R10814">
        <v>130</v>
      </c>
      <c r="S10814">
        <v>130</v>
      </c>
      <c r="T10814" t="s">
        <v>39974</v>
      </c>
    </row>
    <row r="10815" spans="1:20" customFormat="1" ht="15" x14ac:dyDescent="0.25">
      <c r="A10815" t="s">
        <v>35</v>
      </c>
      <c r="B10815" t="s">
        <v>61</v>
      </c>
      <c r="C10815" t="str">
        <f>"A0128677"</f>
        <v>A0128677</v>
      </c>
      <c r="D10815" t="s">
        <v>39975</v>
      </c>
      <c r="E10815" t="s">
        <v>39976</v>
      </c>
      <c r="F10815" t="s">
        <v>5061</v>
      </c>
      <c r="G10815" t="s">
        <v>1170</v>
      </c>
      <c r="H10815">
        <v>70507</v>
      </c>
      <c r="I10815" t="s">
        <v>30</v>
      </c>
      <c r="J10815" t="s">
        <v>41</v>
      </c>
      <c r="K10815" t="s">
        <v>59</v>
      </c>
      <c r="Q10815">
        <v>0</v>
      </c>
      <c r="R10815">
        <v>80</v>
      </c>
      <c r="S10815">
        <v>80</v>
      </c>
      <c r="T10815" t="s">
        <v>39977</v>
      </c>
    </row>
    <row r="10816" spans="1:20" customFormat="1" ht="15" x14ac:dyDescent="0.25">
      <c r="A10816" t="s">
        <v>35</v>
      </c>
      <c r="B10816" t="s">
        <v>61</v>
      </c>
      <c r="C10816" t="str">
        <f>"A0126125"</f>
        <v>A0126125</v>
      </c>
      <c r="D10816" t="s">
        <v>39978</v>
      </c>
      <c r="E10816" t="s">
        <v>39979</v>
      </c>
      <c r="F10816" t="s">
        <v>6435</v>
      </c>
      <c r="G10816" t="s">
        <v>197</v>
      </c>
      <c r="H10816">
        <v>85201</v>
      </c>
      <c r="I10816" t="s">
        <v>30</v>
      </c>
      <c r="J10816" t="s">
        <v>41</v>
      </c>
      <c r="K10816" t="s">
        <v>59</v>
      </c>
      <c r="Q10816">
        <v>0</v>
      </c>
      <c r="R10816">
        <v>200</v>
      </c>
      <c r="S10816">
        <v>200</v>
      </c>
      <c r="T10816" t="s">
        <v>39980</v>
      </c>
    </row>
    <row r="10817" spans="1:20" customFormat="1" ht="15" x14ac:dyDescent="0.25">
      <c r="A10817" t="s">
        <v>35</v>
      </c>
      <c r="B10817" t="s">
        <v>61</v>
      </c>
      <c r="C10817" t="str">
        <f>"A0118178"</f>
        <v>A0118178</v>
      </c>
      <c r="D10817" t="s">
        <v>39981</v>
      </c>
      <c r="E10817" t="s">
        <v>39982</v>
      </c>
      <c r="F10817" t="s">
        <v>399</v>
      </c>
      <c r="G10817" t="s">
        <v>153</v>
      </c>
      <c r="H10817">
        <v>84604</v>
      </c>
      <c r="I10817" t="s">
        <v>30</v>
      </c>
      <c r="J10817" t="s">
        <v>41</v>
      </c>
      <c r="K10817" t="s">
        <v>59</v>
      </c>
      <c r="Q10817">
        <v>0</v>
      </c>
      <c r="R10817">
        <v>75</v>
      </c>
      <c r="S10817">
        <v>75</v>
      </c>
      <c r="T10817" t="s">
        <v>39983</v>
      </c>
    </row>
    <row r="10818" spans="1:20" customFormat="1" ht="15" x14ac:dyDescent="0.25">
      <c r="A10818" t="s">
        <v>35</v>
      </c>
      <c r="B10818" t="s">
        <v>61</v>
      </c>
      <c r="C10818" t="str">
        <f>"A0123742"</f>
        <v>A0123742</v>
      </c>
      <c r="D10818" t="s">
        <v>39984</v>
      </c>
      <c r="E10818" t="s">
        <v>33538</v>
      </c>
      <c r="F10818" t="s">
        <v>9365</v>
      </c>
      <c r="G10818" t="s">
        <v>29</v>
      </c>
      <c r="H10818">
        <v>23111</v>
      </c>
      <c r="I10818" t="s">
        <v>30</v>
      </c>
      <c r="J10818" t="s">
        <v>41</v>
      </c>
      <c r="K10818" t="s">
        <v>59</v>
      </c>
      <c r="Q10818">
        <v>0</v>
      </c>
      <c r="R10818">
        <v>30</v>
      </c>
      <c r="S10818">
        <v>30</v>
      </c>
      <c r="T10818" t="s">
        <v>9184</v>
      </c>
    </row>
    <row r="10819" spans="1:20" customFormat="1" ht="15" x14ac:dyDescent="0.25">
      <c r="A10819" t="s">
        <v>35</v>
      </c>
      <c r="B10819" t="s">
        <v>61</v>
      </c>
      <c r="C10819" t="str">
        <f>"A0123743"</f>
        <v>A0123743</v>
      </c>
      <c r="D10819" t="s">
        <v>39985</v>
      </c>
      <c r="E10819" t="s">
        <v>39986</v>
      </c>
      <c r="F10819" t="s">
        <v>4108</v>
      </c>
      <c r="G10819" t="s">
        <v>29</v>
      </c>
      <c r="H10819">
        <v>24018</v>
      </c>
      <c r="I10819" t="s">
        <v>30</v>
      </c>
      <c r="J10819" t="s">
        <v>41</v>
      </c>
      <c r="K10819" t="s">
        <v>59</v>
      </c>
      <c r="Q10819">
        <v>0</v>
      </c>
      <c r="R10819">
        <v>40</v>
      </c>
      <c r="S10819">
        <v>40</v>
      </c>
      <c r="T10819" t="s">
        <v>39987</v>
      </c>
    </row>
    <row r="10820" spans="1:20" customFormat="1" ht="15" x14ac:dyDescent="0.25">
      <c r="A10820" t="s">
        <v>35</v>
      </c>
      <c r="B10820" t="s">
        <v>61</v>
      </c>
      <c r="C10820" t="str">
        <f>"A0124036"</f>
        <v>A0124036</v>
      </c>
      <c r="D10820" t="s">
        <v>39988</v>
      </c>
      <c r="E10820" t="s">
        <v>39989</v>
      </c>
      <c r="F10820" t="s">
        <v>15676</v>
      </c>
      <c r="G10820" t="s">
        <v>214</v>
      </c>
      <c r="H10820">
        <v>28054</v>
      </c>
      <c r="I10820" t="s">
        <v>30</v>
      </c>
      <c r="J10820" t="s">
        <v>41</v>
      </c>
      <c r="K10820" t="s">
        <v>59</v>
      </c>
      <c r="Q10820">
        <v>0</v>
      </c>
      <c r="R10820">
        <v>180</v>
      </c>
      <c r="S10820">
        <v>180</v>
      </c>
    </row>
    <row r="10821" spans="1:20" customFormat="1" ht="15" x14ac:dyDescent="0.25">
      <c r="A10821" t="s">
        <v>35</v>
      </c>
      <c r="B10821" t="s">
        <v>61</v>
      </c>
      <c r="C10821" t="str">
        <f>"A0123744"</f>
        <v>A0123744</v>
      </c>
      <c r="D10821" t="s">
        <v>39990</v>
      </c>
      <c r="E10821" t="s">
        <v>33538</v>
      </c>
      <c r="F10821" t="s">
        <v>9365</v>
      </c>
      <c r="G10821" t="s">
        <v>29</v>
      </c>
      <c r="H10821">
        <v>23111</v>
      </c>
      <c r="I10821" t="s">
        <v>30</v>
      </c>
      <c r="J10821" t="s">
        <v>41</v>
      </c>
      <c r="K10821" t="s">
        <v>59</v>
      </c>
      <c r="Q10821">
        <v>0</v>
      </c>
      <c r="R10821">
        <v>402</v>
      </c>
      <c r="S10821">
        <v>402</v>
      </c>
      <c r="T10821" t="s">
        <v>39991</v>
      </c>
    </row>
    <row r="10822" spans="1:20" customFormat="1" ht="15" x14ac:dyDescent="0.25">
      <c r="A10822" t="s">
        <v>35</v>
      </c>
      <c r="B10822" t="s">
        <v>61</v>
      </c>
      <c r="C10822" t="str">
        <f>"A0122655"</f>
        <v>A0122655</v>
      </c>
      <c r="D10822" t="s">
        <v>39992</v>
      </c>
      <c r="E10822" t="s">
        <v>39993</v>
      </c>
      <c r="F10822" t="s">
        <v>39994</v>
      </c>
      <c r="G10822" t="s">
        <v>76</v>
      </c>
      <c r="H10822">
        <v>99344</v>
      </c>
      <c r="I10822" t="s">
        <v>30</v>
      </c>
      <c r="J10822" t="s">
        <v>41</v>
      </c>
      <c r="K10822" t="s">
        <v>59</v>
      </c>
      <c r="Q10822">
        <v>0</v>
      </c>
      <c r="R10822">
        <v>48</v>
      </c>
      <c r="S10822">
        <v>48</v>
      </c>
      <c r="T10822" t="s">
        <v>39995</v>
      </c>
    </row>
    <row r="10823" spans="1:20" customFormat="1" ht="15" x14ac:dyDescent="0.25">
      <c r="A10823" t="s">
        <v>35</v>
      </c>
      <c r="B10823" t="s">
        <v>61</v>
      </c>
      <c r="C10823" t="str">
        <f>"A0123325"</f>
        <v>A0123325</v>
      </c>
      <c r="D10823" t="s">
        <v>39996</v>
      </c>
      <c r="E10823" t="s">
        <v>39997</v>
      </c>
      <c r="F10823" t="s">
        <v>32806</v>
      </c>
      <c r="G10823" t="s">
        <v>29</v>
      </c>
      <c r="H10823">
        <v>23320</v>
      </c>
      <c r="I10823" t="s">
        <v>30</v>
      </c>
      <c r="J10823" t="s">
        <v>41</v>
      </c>
      <c r="K10823" t="s">
        <v>10880</v>
      </c>
      <c r="Q10823">
        <v>0</v>
      </c>
      <c r="R10823">
        <v>0</v>
      </c>
      <c r="S10823">
        <v>0</v>
      </c>
      <c r="T10823" t="s">
        <v>39998</v>
      </c>
    </row>
    <row r="10824" spans="1:20" customFormat="1" ht="15" x14ac:dyDescent="0.25">
      <c r="A10824" t="s">
        <v>35</v>
      </c>
      <c r="B10824" t="s">
        <v>61</v>
      </c>
      <c r="C10824" t="str">
        <f>"A0121375"</f>
        <v>A0121375</v>
      </c>
      <c r="D10824" t="s">
        <v>14156</v>
      </c>
      <c r="E10824" t="s">
        <v>39999</v>
      </c>
      <c r="F10824" t="s">
        <v>38643</v>
      </c>
      <c r="G10824" t="s">
        <v>153</v>
      </c>
      <c r="H10824">
        <v>84057</v>
      </c>
      <c r="I10824" t="s">
        <v>30</v>
      </c>
      <c r="J10824" t="s">
        <v>41</v>
      </c>
      <c r="K10824" t="s">
        <v>59</v>
      </c>
      <c r="Q10824">
        <v>0</v>
      </c>
      <c r="R10824">
        <v>104</v>
      </c>
      <c r="S10824">
        <v>104</v>
      </c>
      <c r="T10824" t="s">
        <v>14159</v>
      </c>
    </row>
    <row r="10825" spans="1:20" customFormat="1" ht="15" x14ac:dyDescent="0.25">
      <c r="A10825" t="s">
        <v>35</v>
      </c>
      <c r="B10825" t="s">
        <v>61</v>
      </c>
      <c r="C10825" t="str">
        <f>"A0121382"</f>
        <v>A0121382</v>
      </c>
      <c r="D10825" t="s">
        <v>40000</v>
      </c>
      <c r="E10825" t="s">
        <v>40001</v>
      </c>
      <c r="F10825" t="s">
        <v>36155</v>
      </c>
      <c r="G10825" t="s">
        <v>153</v>
      </c>
      <c r="H10825">
        <v>84043</v>
      </c>
      <c r="I10825" t="s">
        <v>30</v>
      </c>
      <c r="J10825" t="s">
        <v>41</v>
      </c>
      <c r="K10825" t="s">
        <v>59</v>
      </c>
      <c r="Q10825">
        <v>0</v>
      </c>
      <c r="R10825">
        <v>110</v>
      </c>
      <c r="S10825">
        <v>110</v>
      </c>
      <c r="T10825" t="s">
        <v>14159</v>
      </c>
    </row>
    <row r="10826" spans="1:20" customFormat="1" ht="15" x14ac:dyDescent="0.25">
      <c r="A10826" t="s">
        <v>35</v>
      </c>
      <c r="B10826" t="s">
        <v>61</v>
      </c>
      <c r="C10826" t="str">
        <f>"A0128589"</f>
        <v>A0128589</v>
      </c>
      <c r="D10826" t="s">
        <v>40002</v>
      </c>
      <c r="E10826" t="s">
        <v>40003</v>
      </c>
      <c r="F10826" t="s">
        <v>1766</v>
      </c>
      <c r="G10826" t="s">
        <v>840</v>
      </c>
      <c r="H10826">
        <v>42240</v>
      </c>
      <c r="I10826" t="s">
        <v>30</v>
      </c>
      <c r="J10826" t="s">
        <v>41</v>
      </c>
      <c r="K10826" t="s">
        <v>229</v>
      </c>
      <c r="Q10826">
        <v>0</v>
      </c>
      <c r="R10826">
        <v>120</v>
      </c>
      <c r="S10826">
        <v>120</v>
      </c>
      <c r="T10826" t="s">
        <v>40004</v>
      </c>
    </row>
    <row r="10827" spans="1:20" customFormat="1" ht="15" x14ac:dyDescent="0.25">
      <c r="A10827" t="s">
        <v>35</v>
      </c>
      <c r="B10827" t="s">
        <v>61</v>
      </c>
      <c r="C10827" t="str">
        <f>"A0125196"</f>
        <v>A0125196</v>
      </c>
      <c r="D10827" t="s">
        <v>40005</v>
      </c>
      <c r="E10827" t="s">
        <v>40006</v>
      </c>
      <c r="F10827" t="s">
        <v>40007</v>
      </c>
      <c r="G10827" t="s">
        <v>40</v>
      </c>
      <c r="H10827">
        <v>74429</v>
      </c>
      <c r="I10827" t="s">
        <v>30</v>
      </c>
      <c r="J10827" t="s">
        <v>41</v>
      </c>
      <c r="K10827" t="s">
        <v>229</v>
      </c>
      <c r="Q10827">
        <v>0</v>
      </c>
      <c r="R10827">
        <v>80</v>
      </c>
      <c r="S10827">
        <v>80</v>
      </c>
      <c r="T10827" t="s">
        <v>40008</v>
      </c>
    </row>
    <row r="10828" spans="1:20" customFormat="1" ht="15" x14ac:dyDescent="0.25">
      <c r="A10828" t="s">
        <v>35</v>
      </c>
      <c r="B10828" t="s">
        <v>106</v>
      </c>
      <c r="C10828" t="str">
        <f>"A0136043"</f>
        <v>A0136043</v>
      </c>
      <c r="D10828" t="s">
        <v>40009</v>
      </c>
      <c r="E10828" t="s">
        <v>40010</v>
      </c>
      <c r="F10828" t="s">
        <v>1378</v>
      </c>
      <c r="G10828" t="s">
        <v>110</v>
      </c>
      <c r="H10828">
        <v>91768</v>
      </c>
      <c r="I10828" t="s">
        <v>30</v>
      </c>
      <c r="J10828" t="s">
        <v>111</v>
      </c>
      <c r="K10828" t="s">
        <v>10012</v>
      </c>
      <c r="Q10828">
        <v>0</v>
      </c>
      <c r="R10828">
        <v>0</v>
      </c>
      <c r="S10828">
        <v>0</v>
      </c>
      <c r="T10828" t="s">
        <v>40011</v>
      </c>
    </row>
    <row r="10829" spans="1:20" customFormat="1" ht="15" x14ac:dyDescent="0.25">
      <c r="A10829" t="s">
        <v>35</v>
      </c>
      <c r="B10829" t="s">
        <v>106</v>
      </c>
      <c r="C10829" t="str">
        <f>"A0136038"</f>
        <v>A0136038</v>
      </c>
      <c r="D10829" t="s">
        <v>40012</v>
      </c>
      <c r="E10829" t="s">
        <v>40013</v>
      </c>
      <c r="F10829" t="s">
        <v>1378</v>
      </c>
      <c r="G10829" t="s">
        <v>110</v>
      </c>
      <c r="H10829">
        <v>91768</v>
      </c>
      <c r="I10829" t="s">
        <v>30</v>
      </c>
      <c r="J10829" t="s">
        <v>111</v>
      </c>
      <c r="K10829" t="s">
        <v>10012</v>
      </c>
      <c r="Q10829">
        <v>0</v>
      </c>
      <c r="R10829">
        <v>0</v>
      </c>
      <c r="S10829">
        <v>0</v>
      </c>
      <c r="T10829" t="s">
        <v>40014</v>
      </c>
    </row>
    <row r="10830" spans="1:20" customFormat="1" ht="15" x14ac:dyDescent="0.25">
      <c r="A10830" t="s">
        <v>35</v>
      </c>
      <c r="B10830" t="s">
        <v>106</v>
      </c>
      <c r="C10830" t="str">
        <f>"A0136039"</f>
        <v>A0136039</v>
      </c>
      <c r="D10830" t="s">
        <v>40015</v>
      </c>
      <c r="E10830" t="s">
        <v>40016</v>
      </c>
      <c r="F10830" t="s">
        <v>1378</v>
      </c>
      <c r="G10830" t="s">
        <v>110</v>
      </c>
      <c r="H10830">
        <v>91768</v>
      </c>
      <c r="I10830" t="s">
        <v>30</v>
      </c>
      <c r="J10830" t="s">
        <v>111</v>
      </c>
      <c r="K10830" t="s">
        <v>10012</v>
      </c>
      <c r="Q10830">
        <v>0</v>
      </c>
      <c r="R10830">
        <v>0</v>
      </c>
      <c r="S10830">
        <v>0</v>
      </c>
      <c r="T10830" t="s">
        <v>40017</v>
      </c>
    </row>
    <row r="10831" spans="1:20" customFormat="1" ht="15" x14ac:dyDescent="0.25">
      <c r="A10831" t="s">
        <v>35</v>
      </c>
      <c r="B10831" t="s">
        <v>106</v>
      </c>
      <c r="C10831" t="str">
        <f>"A0136041"</f>
        <v>A0136041</v>
      </c>
      <c r="D10831" t="s">
        <v>40018</v>
      </c>
      <c r="E10831" t="s">
        <v>40019</v>
      </c>
      <c r="F10831" t="s">
        <v>1378</v>
      </c>
      <c r="G10831" t="s">
        <v>110</v>
      </c>
      <c r="H10831">
        <v>91768</v>
      </c>
      <c r="I10831" t="s">
        <v>30</v>
      </c>
      <c r="J10831" t="s">
        <v>111</v>
      </c>
      <c r="K10831" t="s">
        <v>10012</v>
      </c>
      <c r="Q10831">
        <v>0</v>
      </c>
      <c r="R10831">
        <v>0</v>
      </c>
      <c r="S10831">
        <v>0</v>
      </c>
      <c r="T10831" t="s">
        <v>40020</v>
      </c>
    </row>
    <row r="10832" spans="1:20" customFormat="1" ht="15" x14ac:dyDescent="0.25">
      <c r="A10832" t="s">
        <v>35</v>
      </c>
      <c r="B10832" t="s">
        <v>106</v>
      </c>
      <c r="C10832" t="str">
        <f>"A0136042"</f>
        <v>A0136042</v>
      </c>
      <c r="D10832" t="s">
        <v>40021</v>
      </c>
      <c r="E10832" t="s">
        <v>40022</v>
      </c>
      <c r="F10832" t="s">
        <v>1378</v>
      </c>
      <c r="G10832" t="s">
        <v>110</v>
      </c>
      <c r="H10832">
        <v>91768</v>
      </c>
      <c r="I10832" t="s">
        <v>30</v>
      </c>
      <c r="J10832" t="s">
        <v>111</v>
      </c>
      <c r="K10832" t="s">
        <v>10012</v>
      </c>
      <c r="Q10832">
        <v>0</v>
      </c>
      <c r="R10832">
        <v>0</v>
      </c>
      <c r="S10832">
        <v>0</v>
      </c>
      <c r="T10832" t="s">
        <v>40023</v>
      </c>
    </row>
    <row r="10833" spans="1:20" customFormat="1" ht="15" x14ac:dyDescent="0.25">
      <c r="A10833" t="s">
        <v>35</v>
      </c>
      <c r="B10833" t="s">
        <v>106</v>
      </c>
      <c r="C10833" t="str">
        <f>"A0136040"</f>
        <v>A0136040</v>
      </c>
      <c r="D10833" t="s">
        <v>40024</v>
      </c>
      <c r="E10833" t="s">
        <v>40025</v>
      </c>
      <c r="F10833" t="s">
        <v>1378</v>
      </c>
      <c r="G10833" t="s">
        <v>110</v>
      </c>
      <c r="H10833">
        <v>91768</v>
      </c>
      <c r="I10833" t="s">
        <v>30</v>
      </c>
      <c r="J10833" t="s">
        <v>111</v>
      </c>
      <c r="K10833" t="s">
        <v>10012</v>
      </c>
      <c r="Q10833">
        <v>0</v>
      </c>
      <c r="R10833">
        <v>0</v>
      </c>
      <c r="S10833">
        <v>0</v>
      </c>
      <c r="T10833" t="s">
        <v>40026</v>
      </c>
    </row>
    <row r="10834" spans="1:20" customFormat="1" ht="15" x14ac:dyDescent="0.25">
      <c r="A10834" t="s">
        <v>35</v>
      </c>
      <c r="B10834" t="s">
        <v>61</v>
      </c>
      <c r="C10834" t="str">
        <f>"A0130864"</f>
        <v>A0130864</v>
      </c>
      <c r="D10834" t="s">
        <v>40027</v>
      </c>
      <c r="E10834" t="s">
        <v>40028</v>
      </c>
      <c r="F10834" t="s">
        <v>40029</v>
      </c>
      <c r="G10834" t="s">
        <v>137</v>
      </c>
      <c r="H10834">
        <v>630770000</v>
      </c>
      <c r="I10834" t="s">
        <v>30</v>
      </c>
      <c r="J10834" t="s">
        <v>41</v>
      </c>
      <c r="K10834" t="s">
        <v>59</v>
      </c>
      <c r="Q10834">
        <v>0</v>
      </c>
      <c r="R10834">
        <v>32</v>
      </c>
      <c r="S10834">
        <v>32</v>
      </c>
      <c r="T10834" t="s">
        <v>40030</v>
      </c>
    </row>
    <row r="10835" spans="1:20" customFormat="1" ht="15" x14ac:dyDescent="0.25">
      <c r="A10835" t="s">
        <v>35</v>
      </c>
      <c r="B10835" t="s">
        <v>106</v>
      </c>
      <c r="C10835" t="str">
        <f>"A0135528"</f>
        <v>A0135528</v>
      </c>
      <c r="D10835" t="s">
        <v>40031</v>
      </c>
      <c r="E10835" t="s">
        <v>40032</v>
      </c>
      <c r="F10835" t="s">
        <v>38350</v>
      </c>
      <c r="G10835" t="s">
        <v>110</v>
      </c>
      <c r="H10835">
        <v>95928</v>
      </c>
      <c r="I10835" t="s">
        <v>30</v>
      </c>
      <c r="J10835" t="s">
        <v>111</v>
      </c>
      <c r="K10835" t="s">
        <v>10012</v>
      </c>
      <c r="Q10835">
        <v>0</v>
      </c>
      <c r="R10835">
        <v>0</v>
      </c>
      <c r="S10835">
        <v>0</v>
      </c>
      <c r="T10835" t="s">
        <v>40033</v>
      </c>
    </row>
    <row r="10836" spans="1:20" customFormat="1" ht="15" x14ac:dyDescent="0.25">
      <c r="A10836" t="s">
        <v>35</v>
      </c>
      <c r="B10836" t="s">
        <v>61</v>
      </c>
      <c r="C10836" t="str">
        <f>"A0128874"</f>
        <v>A0128874</v>
      </c>
      <c r="D10836" t="s">
        <v>40034</v>
      </c>
      <c r="E10836" t="s">
        <v>40035</v>
      </c>
      <c r="F10836" t="s">
        <v>1497</v>
      </c>
      <c r="G10836" t="s">
        <v>289</v>
      </c>
      <c r="H10836">
        <v>62454</v>
      </c>
      <c r="I10836" t="s">
        <v>30</v>
      </c>
      <c r="J10836" t="s">
        <v>41</v>
      </c>
      <c r="K10836" t="s">
        <v>3713</v>
      </c>
      <c r="Q10836">
        <v>0</v>
      </c>
      <c r="R10836">
        <v>144</v>
      </c>
      <c r="S10836">
        <v>144</v>
      </c>
      <c r="T10836" t="s">
        <v>40036</v>
      </c>
    </row>
    <row r="10837" spans="1:20" customFormat="1" ht="15" x14ac:dyDescent="0.25">
      <c r="A10837" t="s">
        <v>35</v>
      </c>
      <c r="B10837" t="s">
        <v>61</v>
      </c>
      <c r="C10837" t="str">
        <f>"A0121888"</f>
        <v>A0121888</v>
      </c>
      <c r="D10837" t="s">
        <v>40037</v>
      </c>
      <c r="E10837" t="s">
        <v>40038</v>
      </c>
      <c r="F10837" t="s">
        <v>32439</v>
      </c>
      <c r="G10837" t="s">
        <v>110</v>
      </c>
      <c r="H10837">
        <v>95382</v>
      </c>
      <c r="I10837" t="s">
        <v>30</v>
      </c>
      <c r="J10837" t="s">
        <v>41</v>
      </c>
      <c r="K10837" t="s">
        <v>2477</v>
      </c>
      <c r="Q10837">
        <v>0</v>
      </c>
      <c r="R10837">
        <v>0</v>
      </c>
      <c r="S10837">
        <v>0</v>
      </c>
      <c r="T10837" t="s">
        <v>40039</v>
      </c>
    </row>
    <row r="10838" spans="1:20" customFormat="1" ht="15" x14ac:dyDescent="0.25">
      <c r="A10838" t="s">
        <v>35</v>
      </c>
      <c r="B10838" t="s">
        <v>106</v>
      </c>
      <c r="C10838" t="str">
        <f>"A0136119"</f>
        <v>A0136119</v>
      </c>
      <c r="D10838" t="s">
        <v>40040</v>
      </c>
      <c r="E10838" t="s">
        <v>40041</v>
      </c>
      <c r="F10838" t="s">
        <v>40042</v>
      </c>
      <c r="G10838" t="s">
        <v>1706</v>
      </c>
      <c r="H10838">
        <v>35148</v>
      </c>
      <c r="I10838" t="s">
        <v>30</v>
      </c>
      <c r="J10838" t="s">
        <v>111</v>
      </c>
      <c r="K10838" t="s">
        <v>112</v>
      </c>
      <c r="Q10838">
        <v>0</v>
      </c>
      <c r="R10838">
        <v>0</v>
      </c>
      <c r="S10838">
        <v>0</v>
      </c>
      <c r="T10838" t="s">
        <v>40043</v>
      </c>
    </row>
    <row r="10839" spans="1:20" customFormat="1" ht="15" x14ac:dyDescent="0.25">
      <c r="A10839" t="s">
        <v>35</v>
      </c>
      <c r="B10839" t="s">
        <v>61</v>
      </c>
      <c r="C10839" t="str">
        <f>"A0123745"</f>
        <v>A0123745</v>
      </c>
      <c r="D10839" t="s">
        <v>40044</v>
      </c>
      <c r="E10839" t="s">
        <v>40045</v>
      </c>
      <c r="F10839" t="s">
        <v>1747</v>
      </c>
      <c r="G10839" t="s">
        <v>214</v>
      </c>
      <c r="H10839">
        <v>28312</v>
      </c>
      <c r="I10839" t="s">
        <v>30</v>
      </c>
      <c r="J10839" t="s">
        <v>41</v>
      </c>
      <c r="K10839" t="s">
        <v>482</v>
      </c>
      <c r="Q10839">
        <v>0</v>
      </c>
      <c r="R10839">
        <v>163</v>
      </c>
      <c r="S10839">
        <v>163</v>
      </c>
      <c r="T10839" t="s">
        <v>40046</v>
      </c>
    </row>
    <row r="10840" spans="1:20" customFormat="1" ht="15" x14ac:dyDescent="0.25">
      <c r="A10840" t="s">
        <v>35</v>
      </c>
      <c r="B10840" t="s">
        <v>61</v>
      </c>
      <c r="C10840" t="str">
        <f>"A0151056"</f>
        <v>A0151056</v>
      </c>
      <c r="D10840" t="s">
        <v>40047</v>
      </c>
      <c r="E10840" t="s">
        <v>40048</v>
      </c>
      <c r="F10840" t="s">
        <v>4054</v>
      </c>
      <c r="G10840" t="s">
        <v>880</v>
      </c>
      <c r="H10840">
        <v>37128</v>
      </c>
      <c r="I10840" t="s">
        <v>30</v>
      </c>
      <c r="J10840" t="s">
        <v>41</v>
      </c>
      <c r="K10840" t="s">
        <v>59</v>
      </c>
      <c r="Q10840">
        <v>0</v>
      </c>
      <c r="R10840">
        <v>113</v>
      </c>
      <c r="S10840">
        <v>113</v>
      </c>
      <c r="T10840" t="s">
        <v>40049</v>
      </c>
    </row>
    <row r="10841" spans="1:20" customFormat="1" ht="15" x14ac:dyDescent="0.25">
      <c r="A10841" t="s">
        <v>35</v>
      </c>
      <c r="B10841" t="s">
        <v>437</v>
      </c>
      <c r="C10841" t="str">
        <f>"A0135279"</f>
        <v>A0135279</v>
      </c>
      <c r="D10841" t="s">
        <v>40050</v>
      </c>
      <c r="E10841" t="s">
        <v>40051</v>
      </c>
      <c r="F10841" t="s">
        <v>20721</v>
      </c>
      <c r="G10841" t="s">
        <v>99</v>
      </c>
      <c r="H10841">
        <v>13415</v>
      </c>
      <c r="I10841" t="s">
        <v>30</v>
      </c>
      <c r="J10841" t="s">
        <v>441</v>
      </c>
      <c r="K10841" t="s">
        <v>442</v>
      </c>
      <c r="Q10841">
        <v>0</v>
      </c>
      <c r="R10841">
        <v>0</v>
      </c>
      <c r="S10841">
        <v>0</v>
      </c>
      <c r="T10841" t="s">
        <v>40052</v>
      </c>
    </row>
    <row r="10842" spans="1:20" customFormat="1" ht="15" x14ac:dyDescent="0.25">
      <c r="A10842" t="s">
        <v>35</v>
      </c>
      <c r="B10842" t="s">
        <v>61</v>
      </c>
      <c r="C10842" t="str">
        <f>"A0124037"</f>
        <v>A0124037</v>
      </c>
      <c r="D10842" t="s">
        <v>40053</v>
      </c>
      <c r="E10842" t="s">
        <v>40054</v>
      </c>
      <c r="F10842" t="s">
        <v>40055</v>
      </c>
      <c r="G10842" t="s">
        <v>214</v>
      </c>
      <c r="H10842">
        <v>27284</v>
      </c>
      <c r="I10842" t="s">
        <v>30</v>
      </c>
      <c r="J10842" t="s">
        <v>41</v>
      </c>
      <c r="K10842" t="s">
        <v>482</v>
      </c>
      <c r="Q10842">
        <v>0</v>
      </c>
      <c r="R10842">
        <v>80</v>
      </c>
      <c r="S10842">
        <v>80</v>
      </c>
      <c r="T10842" t="s">
        <v>40056</v>
      </c>
    </row>
    <row r="10843" spans="1:20" customFormat="1" ht="15" x14ac:dyDescent="0.25">
      <c r="A10843" t="s">
        <v>35</v>
      </c>
      <c r="B10843" t="s">
        <v>61</v>
      </c>
      <c r="C10843" t="str">
        <f>"A0150604"</f>
        <v>A0150604</v>
      </c>
      <c r="D10843" t="s">
        <v>40057</v>
      </c>
      <c r="E10843" t="s">
        <v>40058</v>
      </c>
      <c r="F10843" t="s">
        <v>839</v>
      </c>
      <c r="G10843" t="s">
        <v>840</v>
      </c>
      <c r="H10843">
        <v>40218</v>
      </c>
      <c r="I10843" t="s">
        <v>30</v>
      </c>
      <c r="J10843" t="s">
        <v>41</v>
      </c>
      <c r="K10843" t="s">
        <v>59</v>
      </c>
      <c r="Q10843">
        <v>0</v>
      </c>
      <c r="R10843">
        <v>73</v>
      </c>
      <c r="S10843">
        <v>73</v>
      </c>
      <c r="T10843" t="s">
        <v>40059</v>
      </c>
    </row>
    <row r="10844" spans="1:20" customFormat="1" ht="15" x14ac:dyDescent="0.25">
      <c r="A10844" t="s">
        <v>35</v>
      </c>
      <c r="B10844" t="s">
        <v>61</v>
      </c>
      <c r="C10844" t="str">
        <f>"A0123746"</f>
        <v>A0123746</v>
      </c>
      <c r="D10844" t="s">
        <v>40060</v>
      </c>
      <c r="E10844" t="s">
        <v>40061</v>
      </c>
      <c r="F10844" t="s">
        <v>40062</v>
      </c>
      <c r="G10844" t="s">
        <v>214</v>
      </c>
      <c r="H10844">
        <v>28786</v>
      </c>
      <c r="I10844" t="s">
        <v>30</v>
      </c>
      <c r="J10844" t="s">
        <v>41</v>
      </c>
      <c r="K10844" t="s">
        <v>59</v>
      </c>
      <c r="Q10844">
        <v>0</v>
      </c>
      <c r="R10844">
        <v>25</v>
      </c>
      <c r="S10844">
        <v>25</v>
      </c>
      <c r="T10844" t="s">
        <v>40063</v>
      </c>
    </row>
    <row r="10845" spans="1:20" customFormat="1" ht="15" x14ac:dyDescent="0.25">
      <c r="A10845" t="s">
        <v>35</v>
      </c>
      <c r="B10845" t="s">
        <v>61</v>
      </c>
      <c r="C10845" t="str">
        <f>"A0118495"</f>
        <v>A0118495</v>
      </c>
      <c r="D10845" t="s">
        <v>40064</v>
      </c>
      <c r="E10845" t="s">
        <v>40065</v>
      </c>
      <c r="F10845" t="s">
        <v>14768</v>
      </c>
      <c r="G10845" t="s">
        <v>110</v>
      </c>
      <c r="H10845">
        <v>94947</v>
      </c>
      <c r="I10845" t="s">
        <v>30</v>
      </c>
      <c r="J10845" t="s">
        <v>41</v>
      </c>
      <c r="K10845" t="s">
        <v>59</v>
      </c>
      <c r="Q10845">
        <v>0</v>
      </c>
      <c r="R10845">
        <v>62</v>
      </c>
      <c r="S10845">
        <v>62</v>
      </c>
      <c r="T10845" t="s">
        <v>40066</v>
      </c>
    </row>
    <row r="10846" spans="1:20" customFormat="1" ht="15" x14ac:dyDescent="0.25">
      <c r="A10846" t="s">
        <v>35</v>
      </c>
      <c r="B10846" t="s">
        <v>437</v>
      </c>
      <c r="C10846" t="str">
        <f>"A0134012"</f>
        <v>A0134012</v>
      </c>
      <c r="D10846" t="s">
        <v>40067</v>
      </c>
      <c r="E10846" t="s">
        <v>40068</v>
      </c>
      <c r="F10846" t="s">
        <v>40069</v>
      </c>
      <c r="G10846" t="s">
        <v>40</v>
      </c>
      <c r="H10846">
        <v>74063</v>
      </c>
      <c r="I10846" t="s">
        <v>30</v>
      </c>
      <c r="J10846" t="s">
        <v>441</v>
      </c>
      <c r="K10846" t="s">
        <v>442</v>
      </c>
      <c r="Q10846">
        <v>0</v>
      </c>
      <c r="R10846">
        <v>0</v>
      </c>
      <c r="S10846">
        <v>0</v>
      </c>
      <c r="T10846" t="s">
        <v>40070</v>
      </c>
    </row>
    <row r="10847" spans="1:20" customFormat="1" ht="15" x14ac:dyDescent="0.25">
      <c r="A10847" t="s">
        <v>35</v>
      </c>
      <c r="B10847" t="s">
        <v>61</v>
      </c>
      <c r="C10847" t="str">
        <f>"A0117865"</f>
        <v>A0117865</v>
      </c>
      <c r="D10847" t="s">
        <v>40071</v>
      </c>
      <c r="E10847" t="s">
        <v>40072</v>
      </c>
      <c r="F10847" t="s">
        <v>12718</v>
      </c>
      <c r="G10847" t="s">
        <v>110</v>
      </c>
      <c r="H10847">
        <v>95531</v>
      </c>
      <c r="I10847" t="s">
        <v>30</v>
      </c>
      <c r="J10847" t="s">
        <v>41</v>
      </c>
      <c r="K10847" t="s">
        <v>229</v>
      </c>
      <c r="Q10847">
        <v>0</v>
      </c>
      <c r="R10847">
        <v>85</v>
      </c>
      <c r="S10847">
        <v>85</v>
      </c>
      <c r="T10847" t="s">
        <v>40073</v>
      </c>
    </row>
    <row r="10848" spans="1:20" customFormat="1" ht="15" x14ac:dyDescent="0.25">
      <c r="A10848" t="s">
        <v>35</v>
      </c>
      <c r="B10848" t="s">
        <v>61</v>
      </c>
      <c r="C10848" t="str">
        <f>"A0118562"</f>
        <v>A0118562</v>
      </c>
      <c r="D10848" t="s">
        <v>40074</v>
      </c>
      <c r="E10848" t="s">
        <v>40075</v>
      </c>
      <c r="F10848" t="s">
        <v>36968</v>
      </c>
      <c r="G10848" t="s">
        <v>110</v>
      </c>
      <c r="H10848">
        <v>94026</v>
      </c>
      <c r="I10848" t="s">
        <v>30</v>
      </c>
      <c r="J10848" t="s">
        <v>41</v>
      </c>
      <c r="K10848" t="s">
        <v>59</v>
      </c>
      <c r="Q10848">
        <v>0</v>
      </c>
      <c r="R10848">
        <v>44</v>
      </c>
      <c r="S10848">
        <v>44</v>
      </c>
      <c r="T10848" t="s">
        <v>40076</v>
      </c>
    </row>
    <row r="10849" spans="1:20" customFormat="1" ht="15" x14ac:dyDescent="0.25">
      <c r="A10849" t="s">
        <v>35</v>
      </c>
      <c r="B10849" t="s">
        <v>61</v>
      </c>
      <c r="C10849" t="str">
        <f>"A0125481"</f>
        <v>A0125481</v>
      </c>
      <c r="D10849" t="s">
        <v>40077</v>
      </c>
      <c r="E10849" t="s">
        <v>40078</v>
      </c>
      <c r="F10849" t="s">
        <v>7862</v>
      </c>
      <c r="G10849" t="s">
        <v>1184</v>
      </c>
      <c r="H10849">
        <v>59701</v>
      </c>
      <c r="I10849" t="s">
        <v>30</v>
      </c>
      <c r="J10849" t="s">
        <v>41</v>
      </c>
      <c r="K10849" t="s">
        <v>229</v>
      </c>
      <c r="Q10849">
        <v>0</v>
      </c>
      <c r="R10849">
        <v>85</v>
      </c>
      <c r="S10849">
        <v>85</v>
      </c>
      <c r="T10849" t="s">
        <v>40079</v>
      </c>
    </row>
    <row r="10850" spans="1:20" customFormat="1" ht="15" x14ac:dyDescent="0.25">
      <c r="A10850" t="s">
        <v>35</v>
      </c>
      <c r="B10850" t="s">
        <v>61</v>
      </c>
      <c r="C10850" t="str">
        <f>"A0117978"</f>
        <v>A0117978</v>
      </c>
      <c r="D10850" t="s">
        <v>40080</v>
      </c>
      <c r="E10850" t="s">
        <v>40081</v>
      </c>
      <c r="F10850" t="s">
        <v>11159</v>
      </c>
      <c r="G10850" t="s">
        <v>110</v>
      </c>
      <c r="H10850">
        <v>92025</v>
      </c>
      <c r="I10850" t="s">
        <v>30</v>
      </c>
      <c r="J10850" t="s">
        <v>41</v>
      </c>
      <c r="K10850" t="s">
        <v>229</v>
      </c>
      <c r="Q10850">
        <v>0</v>
      </c>
      <c r="R10850">
        <v>38</v>
      </c>
      <c r="S10850">
        <v>38</v>
      </c>
      <c r="T10850" t="s">
        <v>40082</v>
      </c>
    </row>
    <row r="10851" spans="1:20" customFormat="1" ht="15" x14ac:dyDescent="0.25">
      <c r="A10851" t="s">
        <v>35</v>
      </c>
      <c r="B10851" t="s">
        <v>38826</v>
      </c>
      <c r="C10851" t="str">
        <f>"A0127501"</f>
        <v>A0127501</v>
      </c>
      <c r="D10851" t="s">
        <v>40083</v>
      </c>
      <c r="E10851" t="s">
        <v>40084</v>
      </c>
      <c r="F10851" t="s">
        <v>40085</v>
      </c>
      <c r="G10851" t="s">
        <v>507</v>
      </c>
      <c r="H10851">
        <v>26378</v>
      </c>
      <c r="I10851" t="s">
        <v>30</v>
      </c>
      <c r="J10851" t="s">
        <v>41</v>
      </c>
      <c r="K10851" t="s">
        <v>229</v>
      </c>
      <c r="Q10851">
        <v>0</v>
      </c>
      <c r="R10851">
        <v>72</v>
      </c>
      <c r="S10851">
        <v>72</v>
      </c>
      <c r="T10851" t="s">
        <v>40086</v>
      </c>
    </row>
    <row r="10852" spans="1:20" customFormat="1" ht="15" x14ac:dyDescent="0.25">
      <c r="A10852" t="s">
        <v>35</v>
      </c>
      <c r="B10852" t="s">
        <v>61</v>
      </c>
      <c r="C10852" t="str">
        <f>"A0132206"</f>
        <v>A0132206</v>
      </c>
      <c r="D10852" t="s">
        <v>40087</v>
      </c>
      <c r="E10852" t="s">
        <v>40088</v>
      </c>
      <c r="F10852" t="s">
        <v>3009</v>
      </c>
      <c r="G10852" t="s">
        <v>65</v>
      </c>
      <c r="H10852">
        <v>43130</v>
      </c>
      <c r="I10852" t="s">
        <v>30</v>
      </c>
      <c r="J10852" t="s">
        <v>41</v>
      </c>
      <c r="K10852" t="s">
        <v>229</v>
      </c>
      <c r="Q10852">
        <v>0</v>
      </c>
      <c r="R10852">
        <v>204</v>
      </c>
      <c r="S10852">
        <v>204</v>
      </c>
      <c r="T10852" t="s">
        <v>40089</v>
      </c>
    </row>
    <row r="10853" spans="1:20" customFormat="1" ht="15" x14ac:dyDescent="0.25">
      <c r="A10853" t="s">
        <v>35</v>
      </c>
      <c r="B10853" t="s">
        <v>106</v>
      </c>
      <c r="C10853" t="str">
        <f>"A0136020"</f>
        <v>A0136020</v>
      </c>
      <c r="D10853" t="s">
        <v>40090</v>
      </c>
      <c r="E10853" t="s">
        <v>40091</v>
      </c>
      <c r="F10853" t="s">
        <v>40092</v>
      </c>
      <c r="G10853" t="s">
        <v>81</v>
      </c>
      <c r="H10853">
        <v>32539</v>
      </c>
      <c r="I10853" t="s">
        <v>30</v>
      </c>
      <c r="J10853" t="s">
        <v>111</v>
      </c>
      <c r="K10853" t="s">
        <v>112</v>
      </c>
      <c r="Q10853">
        <v>0</v>
      </c>
      <c r="R10853">
        <v>0</v>
      </c>
      <c r="S10853">
        <v>0</v>
      </c>
      <c r="T10853" t="s">
        <v>40093</v>
      </c>
    </row>
    <row r="10854" spans="1:20" customFormat="1" ht="15" x14ac:dyDescent="0.25">
      <c r="A10854" t="s">
        <v>35</v>
      </c>
      <c r="B10854" t="s">
        <v>61</v>
      </c>
      <c r="C10854" t="str">
        <f>"A0131299"</f>
        <v>A0131299</v>
      </c>
      <c r="D10854" t="s">
        <v>40094</v>
      </c>
      <c r="E10854" t="s">
        <v>40095</v>
      </c>
      <c r="F10854" t="s">
        <v>1655</v>
      </c>
      <c r="G10854" t="s">
        <v>137</v>
      </c>
      <c r="H10854">
        <v>63146</v>
      </c>
      <c r="I10854" t="s">
        <v>30</v>
      </c>
      <c r="J10854" t="s">
        <v>41</v>
      </c>
      <c r="K10854" t="s">
        <v>229</v>
      </c>
      <c r="Q10854">
        <v>0</v>
      </c>
      <c r="R10854">
        <v>149</v>
      </c>
      <c r="S10854">
        <v>149</v>
      </c>
      <c r="T10854" t="s">
        <v>40096</v>
      </c>
    </row>
    <row r="10855" spans="1:20" customFormat="1" ht="15" x14ac:dyDescent="0.25">
      <c r="A10855" t="s">
        <v>35</v>
      </c>
      <c r="B10855" t="s">
        <v>61</v>
      </c>
      <c r="C10855" t="str">
        <f>"A0118077"</f>
        <v>A0118077</v>
      </c>
      <c r="D10855" t="s">
        <v>40097</v>
      </c>
      <c r="E10855" t="s">
        <v>40098</v>
      </c>
      <c r="F10855" t="s">
        <v>40099</v>
      </c>
      <c r="G10855" t="s">
        <v>190</v>
      </c>
      <c r="H10855">
        <v>80813</v>
      </c>
      <c r="I10855" t="s">
        <v>30</v>
      </c>
      <c r="J10855" t="s">
        <v>41</v>
      </c>
      <c r="K10855" t="s">
        <v>229</v>
      </c>
      <c r="Q10855">
        <v>0</v>
      </c>
      <c r="R10855">
        <v>59</v>
      </c>
      <c r="S10855">
        <v>59</v>
      </c>
      <c r="T10855" t="s">
        <v>40100</v>
      </c>
    </row>
    <row r="10856" spans="1:20" customFormat="1" ht="15" x14ac:dyDescent="0.25">
      <c r="A10856" t="s">
        <v>35</v>
      </c>
      <c r="B10856" t="s">
        <v>61</v>
      </c>
      <c r="C10856" t="str">
        <f>"A0127446"</f>
        <v>A0127446</v>
      </c>
      <c r="D10856" t="s">
        <v>40101</v>
      </c>
      <c r="E10856" t="s">
        <v>40102</v>
      </c>
      <c r="F10856" t="s">
        <v>37748</v>
      </c>
      <c r="G10856" t="s">
        <v>846</v>
      </c>
      <c r="H10856">
        <v>31015</v>
      </c>
      <c r="I10856" t="s">
        <v>30</v>
      </c>
      <c r="J10856" t="s">
        <v>41</v>
      </c>
      <c r="K10856" t="s">
        <v>229</v>
      </c>
      <c r="Q10856">
        <v>0</v>
      </c>
      <c r="R10856">
        <v>143</v>
      </c>
      <c r="S10856">
        <v>143</v>
      </c>
      <c r="T10856" t="s">
        <v>40103</v>
      </c>
    </row>
    <row r="10857" spans="1:20" customFormat="1" ht="15" x14ac:dyDescent="0.25">
      <c r="A10857" t="s">
        <v>35</v>
      </c>
      <c r="B10857" t="s">
        <v>61</v>
      </c>
      <c r="C10857" t="str">
        <f>"A0130722"</f>
        <v>A0130722</v>
      </c>
      <c r="D10857" t="s">
        <v>40104</v>
      </c>
      <c r="E10857" t="s">
        <v>40105</v>
      </c>
      <c r="F10857" t="s">
        <v>40106</v>
      </c>
      <c r="G10857" t="s">
        <v>214</v>
      </c>
      <c r="H10857">
        <v>27205</v>
      </c>
      <c r="I10857" t="s">
        <v>30</v>
      </c>
      <c r="J10857" t="s">
        <v>41</v>
      </c>
      <c r="K10857" t="s">
        <v>1440</v>
      </c>
      <c r="Q10857">
        <v>0</v>
      </c>
      <c r="R10857">
        <v>200</v>
      </c>
      <c r="S10857">
        <v>200</v>
      </c>
      <c r="T10857" t="s">
        <v>40107</v>
      </c>
    </row>
    <row r="10858" spans="1:20" customFormat="1" ht="15" x14ac:dyDescent="0.25">
      <c r="A10858" t="s">
        <v>35</v>
      </c>
      <c r="B10858" t="s">
        <v>61</v>
      </c>
      <c r="C10858" t="str">
        <f>"A0130950"</f>
        <v>A0130950</v>
      </c>
      <c r="D10858" t="s">
        <v>40108</v>
      </c>
      <c r="E10858" t="s">
        <v>40109</v>
      </c>
      <c r="F10858" t="s">
        <v>36871</v>
      </c>
      <c r="G10858" t="s">
        <v>85</v>
      </c>
      <c r="H10858">
        <v>716350000</v>
      </c>
      <c r="I10858" t="s">
        <v>30</v>
      </c>
      <c r="J10858" t="s">
        <v>41</v>
      </c>
      <c r="K10858" t="s">
        <v>2760</v>
      </c>
      <c r="Q10858">
        <v>0</v>
      </c>
      <c r="R10858">
        <v>1</v>
      </c>
      <c r="S10858">
        <v>1</v>
      </c>
      <c r="T10858" t="s">
        <v>40110</v>
      </c>
    </row>
    <row r="10859" spans="1:20" customFormat="1" ht="15" x14ac:dyDescent="0.25">
      <c r="A10859" t="s">
        <v>35</v>
      </c>
      <c r="B10859" t="s">
        <v>61</v>
      </c>
      <c r="C10859" t="str">
        <f>"A0131629"</f>
        <v>A0131629</v>
      </c>
      <c r="D10859" t="s">
        <v>40111</v>
      </c>
      <c r="E10859" t="s">
        <v>40112</v>
      </c>
      <c r="F10859" t="s">
        <v>5188</v>
      </c>
      <c r="G10859" t="s">
        <v>65</v>
      </c>
      <c r="H10859">
        <v>449030000</v>
      </c>
      <c r="I10859" t="s">
        <v>30</v>
      </c>
      <c r="J10859" t="s">
        <v>41</v>
      </c>
      <c r="K10859" t="s">
        <v>418</v>
      </c>
      <c r="Q10859">
        <v>0</v>
      </c>
      <c r="R10859">
        <v>1</v>
      </c>
      <c r="S10859">
        <v>1</v>
      </c>
      <c r="T10859" t="s">
        <v>40113</v>
      </c>
    </row>
    <row r="10860" spans="1:20" customFormat="1" ht="15" x14ac:dyDescent="0.25">
      <c r="A10860" t="s">
        <v>35</v>
      </c>
      <c r="B10860" t="s">
        <v>61</v>
      </c>
      <c r="C10860" t="str">
        <f>"A0121311"</f>
        <v>A0121311</v>
      </c>
      <c r="D10860" t="s">
        <v>40114</v>
      </c>
      <c r="E10860" t="s">
        <v>40115</v>
      </c>
      <c r="F10860" t="s">
        <v>30761</v>
      </c>
      <c r="G10860" t="s">
        <v>153</v>
      </c>
      <c r="H10860">
        <v>84045</v>
      </c>
      <c r="I10860" t="s">
        <v>30</v>
      </c>
      <c r="J10860" t="s">
        <v>41</v>
      </c>
      <c r="K10860" t="s">
        <v>4020</v>
      </c>
      <c r="Q10860">
        <v>0</v>
      </c>
      <c r="R10860">
        <v>0</v>
      </c>
      <c r="S10860">
        <v>0</v>
      </c>
      <c r="T10860" t="s">
        <v>40116</v>
      </c>
    </row>
    <row r="10861" spans="1:20" customFormat="1" ht="15" x14ac:dyDescent="0.25">
      <c r="A10861" t="s">
        <v>35</v>
      </c>
      <c r="B10861" t="s">
        <v>61</v>
      </c>
      <c r="C10861" t="str">
        <f>"A0125171"</f>
        <v>A0125171</v>
      </c>
      <c r="D10861" t="s">
        <v>40117</v>
      </c>
      <c r="E10861" t="s">
        <v>40118</v>
      </c>
      <c r="F10861" t="s">
        <v>40119</v>
      </c>
      <c r="G10861" t="s">
        <v>40</v>
      </c>
      <c r="H10861">
        <v>74432</v>
      </c>
      <c r="I10861" t="s">
        <v>30</v>
      </c>
      <c r="J10861" t="s">
        <v>41</v>
      </c>
      <c r="K10861" t="s">
        <v>59</v>
      </c>
      <c r="Q10861">
        <v>0</v>
      </c>
      <c r="R10861">
        <v>55</v>
      </c>
      <c r="S10861">
        <v>55</v>
      </c>
      <c r="T10861" t="s">
        <v>40120</v>
      </c>
    </row>
    <row r="10862" spans="1:20" customFormat="1" ht="15" x14ac:dyDescent="0.25">
      <c r="A10862" t="s">
        <v>35</v>
      </c>
      <c r="B10862" t="s">
        <v>61</v>
      </c>
      <c r="C10862" t="str">
        <f>"A0125151"</f>
        <v>A0125151</v>
      </c>
      <c r="D10862" t="s">
        <v>40121</v>
      </c>
      <c r="E10862" t="s">
        <v>40122</v>
      </c>
      <c r="F10862" t="s">
        <v>21823</v>
      </c>
      <c r="G10862" t="s">
        <v>110</v>
      </c>
      <c r="H10862">
        <v>94501</v>
      </c>
      <c r="I10862" t="s">
        <v>30</v>
      </c>
      <c r="J10862" t="s">
        <v>41</v>
      </c>
      <c r="K10862" t="s">
        <v>229</v>
      </c>
      <c r="Q10862">
        <v>0</v>
      </c>
      <c r="R10862">
        <v>144</v>
      </c>
      <c r="S10862">
        <v>144</v>
      </c>
      <c r="T10862" t="s">
        <v>40123</v>
      </c>
    </row>
    <row r="10863" spans="1:20" customFormat="1" ht="15" x14ac:dyDescent="0.25">
      <c r="A10863" t="s">
        <v>35</v>
      </c>
      <c r="B10863" t="s">
        <v>61</v>
      </c>
      <c r="C10863" t="str">
        <f>"A0131589"</f>
        <v>A0131589</v>
      </c>
      <c r="D10863" t="s">
        <v>40124</v>
      </c>
      <c r="E10863" t="s">
        <v>40125</v>
      </c>
      <c r="F10863" t="s">
        <v>8622</v>
      </c>
      <c r="G10863" t="s">
        <v>381</v>
      </c>
      <c r="H10863">
        <v>46250</v>
      </c>
      <c r="I10863" t="s">
        <v>30</v>
      </c>
      <c r="J10863" t="s">
        <v>41</v>
      </c>
      <c r="K10863" t="s">
        <v>482</v>
      </c>
      <c r="Q10863">
        <v>0</v>
      </c>
      <c r="R10863">
        <v>100</v>
      </c>
      <c r="S10863">
        <v>100</v>
      </c>
      <c r="T10863" t="s">
        <v>40126</v>
      </c>
    </row>
    <row r="10864" spans="1:20" customFormat="1" ht="15" x14ac:dyDescent="0.25">
      <c r="A10864" t="s">
        <v>24</v>
      </c>
      <c r="B10864" t="s">
        <v>2373</v>
      </c>
      <c r="C10864" t="str">
        <f>"A0098374"</f>
        <v>A0098374</v>
      </c>
      <c r="D10864" t="s">
        <v>69933</v>
      </c>
      <c r="E10864" t="s">
        <v>69934</v>
      </c>
      <c r="F10864" t="s">
        <v>3860</v>
      </c>
      <c r="G10864" t="s">
        <v>137</v>
      </c>
      <c r="H10864">
        <v>63102</v>
      </c>
      <c r="I10864" t="s">
        <v>30</v>
      </c>
      <c r="J10864" t="s">
        <v>162</v>
      </c>
      <c r="K10864" t="s">
        <v>4809</v>
      </c>
      <c r="N10864" t="s">
        <v>69935</v>
      </c>
      <c r="O10864" t="s">
        <v>69936</v>
      </c>
      <c r="Q10864">
        <v>0</v>
      </c>
      <c r="R10864">
        <v>195</v>
      </c>
      <c r="S10864">
        <v>0</v>
      </c>
      <c r="T10864" t="s">
        <v>69937</v>
      </c>
    </row>
    <row r="10865" spans="1:20" customFormat="1" ht="15" x14ac:dyDescent="0.25">
      <c r="A10865" t="s">
        <v>35</v>
      </c>
      <c r="B10865" t="s">
        <v>61</v>
      </c>
      <c r="C10865" t="str">
        <f>"A0133135"</f>
        <v>A0133135</v>
      </c>
      <c r="D10865" t="s">
        <v>40133</v>
      </c>
      <c r="E10865" t="s">
        <v>40134</v>
      </c>
      <c r="F10865" t="s">
        <v>2636</v>
      </c>
      <c r="G10865" t="s">
        <v>52</v>
      </c>
      <c r="H10865">
        <v>79424</v>
      </c>
      <c r="I10865" t="s">
        <v>30</v>
      </c>
      <c r="J10865" t="s">
        <v>41</v>
      </c>
      <c r="K10865" t="s">
        <v>59</v>
      </c>
      <c r="Q10865">
        <v>0</v>
      </c>
      <c r="R10865">
        <v>1</v>
      </c>
      <c r="S10865">
        <v>1</v>
      </c>
      <c r="T10865" t="s">
        <v>40135</v>
      </c>
    </row>
    <row r="10866" spans="1:20" customFormat="1" ht="15" x14ac:dyDescent="0.25">
      <c r="A10866" t="s">
        <v>35</v>
      </c>
      <c r="B10866" t="s">
        <v>61</v>
      </c>
      <c r="C10866" t="str">
        <f>"A0130438"</f>
        <v>A0130438</v>
      </c>
      <c r="D10866" t="s">
        <v>40136</v>
      </c>
      <c r="E10866" t="s">
        <v>40137</v>
      </c>
      <c r="F10866" t="s">
        <v>12052</v>
      </c>
      <c r="G10866" t="s">
        <v>1898</v>
      </c>
      <c r="H10866">
        <v>52588</v>
      </c>
      <c r="I10866" t="s">
        <v>30</v>
      </c>
      <c r="J10866" t="s">
        <v>41</v>
      </c>
      <c r="K10866" t="s">
        <v>229</v>
      </c>
      <c r="Q10866">
        <v>0</v>
      </c>
      <c r="R10866">
        <v>78</v>
      </c>
      <c r="S10866">
        <v>78</v>
      </c>
      <c r="T10866" t="s">
        <v>40138</v>
      </c>
    </row>
    <row r="10867" spans="1:20" customFormat="1" ht="15" x14ac:dyDescent="0.25">
      <c r="A10867" t="s">
        <v>35</v>
      </c>
      <c r="B10867" t="s">
        <v>61</v>
      </c>
      <c r="C10867" t="str">
        <f>"A0131134"</f>
        <v>A0131134</v>
      </c>
      <c r="D10867" t="s">
        <v>40139</v>
      </c>
      <c r="E10867" t="s">
        <v>40140</v>
      </c>
      <c r="F10867" t="s">
        <v>40141</v>
      </c>
      <c r="G10867" t="s">
        <v>137</v>
      </c>
      <c r="H10867">
        <v>630190000</v>
      </c>
      <c r="I10867" t="s">
        <v>30</v>
      </c>
      <c r="J10867" t="s">
        <v>41</v>
      </c>
      <c r="K10867" t="s">
        <v>229</v>
      </c>
      <c r="Q10867">
        <v>0</v>
      </c>
      <c r="R10867">
        <v>155</v>
      </c>
      <c r="S10867">
        <v>155</v>
      </c>
      <c r="T10867" t="s">
        <v>40142</v>
      </c>
    </row>
    <row r="10868" spans="1:20" customFormat="1" ht="15" x14ac:dyDescent="0.25">
      <c r="A10868" t="s">
        <v>35</v>
      </c>
      <c r="B10868" t="s">
        <v>61</v>
      </c>
      <c r="C10868" t="str">
        <f>"A0123695"</f>
        <v>A0123695</v>
      </c>
      <c r="D10868" t="s">
        <v>40143</v>
      </c>
      <c r="E10868" t="s">
        <v>40144</v>
      </c>
      <c r="F10868" t="s">
        <v>25003</v>
      </c>
      <c r="G10868" t="s">
        <v>81</v>
      </c>
      <c r="H10868">
        <v>33782</v>
      </c>
      <c r="I10868" t="s">
        <v>30</v>
      </c>
      <c r="J10868" t="s">
        <v>41</v>
      </c>
      <c r="K10868" t="s">
        <v>229</v>
      </c>
      <c r="Q10868">
        <v>0</v>
      </c>
      <c r="R10868">
        <v>120</v>
      </c>
      <c r="S10868">
        <v>120</v>
      </c>
      <c r="T10868" t="s">
        <v>40145</v>
      </c>
    </row>
    <row r="10869" spans="1:20" customFormat="1" ht="15" x14ac:dyDescent="0.25">
      <c r="A10869" t="s">
        <v>35</v>
      </c>
      <c r="B10869" t="s">
        <v>61</v>
      </c>
      <c r="C10869" t="str">
        <f>"A0125391"</f>
        <v>A0125391</v>
      </c>
      <c r="D10869" t="s">
        <v>40146</v>
      </c>
      <c r="E10869" t="s">
        <v>40147</v>
      </c>
      <c r="F10869" t="s">
        <v>4037</v>
      </c>
      <c r="G10869" t="s">
        <v>40</v>
      </c>
      <c r="H10869">
        <v>73139</v>
      </c>
      <c r="I10869" t="s">
        <v>30</v>
      </c>
      <c r="J10869" t="s">
        <v>41</v>
      </c>
      <c r="K10869" t="s">
        <v>59</v>
      </c>
      <c r="Q10869">
        <v>0</v>
      </c>
      <c r="R10869">
        <v>44</v>
      </c>
      <c r="S10869">
        <v>44</v>
      </c>
      <c r="T10869" t="s">
        <v>40148</v>
      </c>
    </row>
    <row r="10870" spans="1:20" customFormat="1" ht="15" x14ac:dyDescent="0.25">
      <c r="A10870" t="s">
        <v>35</v>
      </c>
      <c r="B10870" t="s">
        <v>106</v>
      </c>
      <c r="C10870" t="str">
        <f>"A0150769"</f>
        <v>A0150769</v>
      </c>
      <c r="D10870" t="s">
        <v>40149</v>
      </c>
      <c r="E10870" t="s">
        <v>40150</v>
      </c>
      <c r="F10870" t="s">
        <v>13538</v>
      </c>
      <c r="G10870" t="s">
        <v>81</v>
      </c>
      <c r="H10870">
        <v>34744</v>
      </c>
      <c r="I10870" t="s">
        <v>30</v>
      </c>
      <c r="J10870" t="s">
        <v>111</v>
      </c>
      <c r="K10870" t="s">
        <v>112</v>
      </c>
      <c r="Q10870">
        <v>0</v>
      </c>
      <c r="R10870">
        <v>0</v>
      </c>
      <c r="S10870">
        <v>0</v>
      </c>
      <c r="T10870" t="s">
        <v>40151</v>
      </c>
    </row>
    <row r="10871" spans="1:20" customFormat="1" ht="15" x14ac:dyDescent="0.25">
      <c r="A10871" t="s">
        <v>35</v>
      </c>
      <c r="B10871" t="s">
        <v>106</v>
      </c>
      <c r="C10871" t="str">
        <f>"A0156893"</f>
        <v>A0156893</v>
      </c>
      <c r="D10871" t="s">
        <v>40152</v>
      </c>
      <c r="E10871" t="s">
        <v>40153</v>
      </c>
      <c r="F10871" t="s">
        <v>2307</v>
      </c>
      <c r="G10871" t="s">
        <v>880</v>
      </c>
      <c r="H10871">
        <v>37311</v>
      </c>
      <c r="I10871" t="s">
        <v>30</v>
      </c>
      <c r="J10871" t="s">
        <v>111</v>
      </c>
      <c r="K10871" t="s">
        <v>112</v>
      </c>
      <c r="Q10871">
        <v>0</v>
      </c>
      <c r="R10871">
        <v>0</v>
      </c>
      <c r="S10871">
        <v>0</v>
      </c>
      <c r="T10871" t="s">
        <v>37763</v>
      </c>
    </row>
    <row r="10872" spans="1:20" customFormat="1" ht="15" x14ac:dyDescent="0.25">
      <c r="A10872" t="s">
        <v>35</v>
      </c>
      <c r="B10872" t="s">
        <v>106</v>
      </c>
      <c r="C10872" t="str">
        <f>"A0154670"</f>
        <v>A0154670</v>
      </c>
      <c r="D10872" t="s">
        <v>40154</v>
      </c>
      <c r="E10872" t="s">
        <v>40155</v>
      </c>
      <c r="F10872" t="s">
        <v>15828</v>
      </c>
      <c r="G10872" t="s">
        <v>85</v>
      </c>
      <c r="H10872">
        <v>71638</v>
      </c>
      <c r="I10872" t="s">
        <v>30</v>
      </c>
      <c r="J10872" t="s">
        <v>111</v>
      </c>
      <c r="K10872" t="s">
        <v>112</v>
      </c>
      <c r="Q10872">
        <v>0</v>
      </c>
      <c r="R10872">
        <v>0</v>
      </c>
      <c r="S10872">
        <v>0</v>
      </c>
      <c r="T10872" t="s">
        <v>40156</v>
      </c>
    </row>
    <row r="10873" spans="1:20" customFormat="1" ht="15" x14ac:dyDescent="0.25">
      <c r="A10873" t="s">
        <v>35</v>
      </c>
      <c r="B10873" t="s">
        <v>106</v>
      </c>
      <c r="C10873" t="str">
        <f>"A0156892"</f>
        <v>A0156892</v>
      </c>
      <c r="D10873" t="s">
        <v>40157</v>
      </c>
      <c r="E10873" t="s">
        <v>40158</v>
      </c>
      <c r="F10873" t="s">
        <v>40159</v>
      </c>
      <c r="G10873" t="s">
        <v>880</v>
      </c>
      <c r="H10873">
        <v>37643</v>
      </c>
      <c r="I10873" t="s">
        <v>30</v>
      </c>
      <c r="J10873" t="s">
        <v>111</v>
      </c>
      <c r="K10873" t="s">
        <v>112</v>
      </c>
      <c r="Q10873">
        <v>0</v>
      </c>
      <c r="R10873">
        <v>0</v>
      </c>
      <c r="S10873">
        <v>0</v>
      </c>
      <c r="T10873" t="s">
        <v>37763</v>
      </c>
    </row>
    <row r="10874" spans="1:20" customFormat="1" ht="15" x14ac:dyDescent="0.25">
      <c r="A10874" t="s">
        <v>35</v>
      </c>
      <c r="B10874" t="s">
        <v>106</v>
      </c>
      <c r="C10874" t="str">
        <f>"A0154671"</f>
        <v>A0154671</v>
      </c>
      <c r="D10874" t="s">
        <v>40160</v>
      </c>
      <c r="E10874" t="s">
        <v>40161</v>
      </c>
      <c r="F10874" t="s">
        <v>2990</v>
      </c>
      <c r="G10874" t="s">
        <v>85</v>
      </c>
      <c r="H10874">
        <v>72432</v>
      </c>
      <c r="I10874" t="s">
        <v>30</v>
      </c>
      <c r="J10874" t="s">
        <v>111</v>
      </c>
      <c r="K10874" t="s">
        <v>112</v>
      </c>
      <c r="Q10874">
        <v>0</v>
      </c>
      <c r="R10874">
        <v>0</v>
      </c>
      <c r="S10874">
        <v>0</v>
      </c>
      <c r="T10874" t="s">
        <v>40156</v>
      </c>
    </row>
    <row r="10875" spans="1:20" customFormat="1" ht="15" x14ac:dyDescent="0.25">
      <c r="A10875" t="s">
        <v>35</v>
      </c>
      <c r="B10875" t="s">
        <v>106</v>
      </c>
      <c r="C10875" t="str">
        <f>"A0157761"</f>
        <v>A0157761</v>
      </c>
      <c r="D10875" t="s">
        <v>40162</v>
      </c>
      <c r="E10875" t="s">
        <v>40163</v>
      </c>
      <c r="F10875" t="s">
        <v>4746</v>
      </c>
      <c r="G10875" t="s">
        <v>880</v>
      </c>
      <c r="H10875">
        <v>37090</v>
      </c>
      <c r="I10875" t="s">
        <v>30</v>
      </c>
      <c r="J10875" t="s">
        <v>111</v>
      </c>
      <c r="K10875" t="s">
        <v>112</v>
      </c>
      <c r="Q10875">
        <v>0</v>
      </c>
      <c r="R10875">
        <v>0</v>
      </c>
      <c r="S10875">
        <v>0</v>
      </c>
      <c r="T10875" t="s">
        <v>37763</v>
      </c>
    </row>
    <row r="10876" spans="1:20" customFormat="1" ht="15" x14ac:dyDescent="0.25">
      <c r="A10876" t="s">
        <v>35</v>
      </c>
      <c r="B10876" t="s">
        <v>106</v>
      </c>
      <c r="C10876" t="str">
        <f>"A0154669"</f>
        <v>A0154669</v>
      </c>
      <c r="D10876" t="s">
        <v>40164</v>
      </c>
      <c r="E10876" t="s">
        <v>40165</v>
      </c>
      <c r="F10876" t="s">
        <v>40166</v>
      </c>
      <c r="G10876" t="s">
        <v>85</v>
      </c>
      <c r="H10876">
        <v>71845</v>
      </c>
      <c r="I10876" t="s">
        <v>30</v>
      </c>
      <c r="J10876" t="s">
        <v>111</v>
      </c>
      <c r="K10876" t="s">
        <v>112</v>
      </c>
      <c r="Q10876">
        <v>0</v>
      </c>
      <c r="R10876">
        <v>0</v>
      </c>
      <c r="S10876">
        <v>0</v>
      </c>
      <c r="T10876" t="s">
        <v>40156</v>
      </c>
    </row>
    <row r="10877" spans="1:20" customFormat="1" ht="15" x14ac:dyDescent="0.25">
      <c r="A10877" t="s">
        <v>35</v>
      </c>
      <c r="B10877" t="s">
        <v>106</v>
      </c>
      <c r="C10877" t="str">
        <f>"A0154668"</f>
        <v>A0154668</v>
      </c>
      <c r="D10877" t="s">
        <v>40167</v>
      </c>
      <c r="E10877" t="s">
        <v>40168</v>
      </c>
      <c r="F10877" t="s">
        <v>5188</v>
      </c>
      <c r="G10877" t="s">
        <v>85</v>
      </c>
      <c r="H10877">
        <v>72944</v>
      </c>
      <c r="I10877" t="s">
        <v>30</v>
      </c>
      <c r="J10877" t="s">
        <v>111</v>
      </c>
      <c r="K10877" t="s">
        <v>112</v>
      </c>
      <c r="Q10877">
        <v>0</v>
      </c>
      <c r="R10877">
        <v>0</v>
      </c>
      <c r="S10877">
        <v>0</v>
      </c>
      <c r="T10877" t="s">
        <v>40156</v>
      </c>
    </row>
    <row r="10878" spans="1:20" customFormat="1" ht="15" x14ac:dyDescent="0.25">
      <c r="A10878" t="s">
        <v>35</v>
      </c>
      <c r="B10878" t="s">
        <v>106</v>
      </c>
      <c r="C10878" t="str">
        <f>"A0156894"</f>
        <v>A0156894</v>
      </c>
      <c r="D10878" t="s">
        <v>40169</v>
      </c>
      <c r="E10878" t="s">
        <v>40170</v>
      </c>
      <c r="F10878" t="s">
        <v>40171</v>
      </c>
      <c r="G10878" t="s">
        <v>880</v>
      </c>
      <c r="H10878">
        <v>37122</v>
      </c>
      <c r="I10878" t="s">
        <v>30</v>
      </c>
      <c r="J10878" t="s">
        <v>111</v>
      </c>
      <c r="K10878" t="s">
        <v>112</v>
      </c>
      <c r="Q10878">
        <v>0</v>
      </c>
      <c r="R10878">
        <v>0</v>
      </c>
      <c r="S10878">
        <v>0</v>
      </c>
      <c r="T10878" t="s">
        <v>37763</v>
      </c>
    </row>
    <row r="10879" spans="1:20" customFormat="1" ht="15" x14ac:dyDescent="0.25">
      <c r="A10879" t="s">
        <v>35</v>
      </c>
      <c r="B10879" t="s">
        <v>106</v>
      </c>
      <c r="C10879" t="str">
        <f>"A0156765"</f>
        <v>A0156765</v>
      </c>
      <c r="D10879" t="s">
        <v>40172</v>
      </c>
      <c r="E10879" t="s">
        <v>40173</v>
      </c>
      <c r="F10879" t="s">
        <v>40174</v>
      </c>
      <c r="G10879" t="s">
        <v>880</v>
      </c>
      <c r="H10879">
        <v>37854</v>
      </c>
      <c r="I10879" t="s">
        <v>30</v>
      </c>
      <c r="J10879" t="s">
        <v>111</v>
      </c>
      <c r="K10879" t="s">
        <v>112</v>
      </c>
      <c r="Q10879">
        <v>0</v>
      </c>
      <c r="R10879">
        <v>0</v>
      </c>
      <c r="S10879">
        <v>0</v>
      </c>
      <c r="T10879" t="s">
        <v>40156</v>
      </c>
    </row>
    <row r="10880" spans="1:20" customFormat="1" ht="15" x14ac:dyDescent="0.25">
      <c r="A10880" t="s">
        <v>35</v>
      </c>
      <c r="B10880" t="s">
        <v>106</v>
      </c>
      <c r="C10880" t="str">
        <f>"A0151201"</f>
        <v>A0151201</v>
      </c>
      <c r="D10880" t="s">
        <v>40175</v>
      </c>
      <c r="E10880" t="s">
        <v>40176</v>
      </c>
      <c r="F10880" t="s">
        <v>2334</v>
      </c>
      <c r="G10880" t="s">
        <v>81</v>
      </c>
      <c r="H10880">
        <v>34482</v>
      </c>
      <c r="I10880" t="s">
        <v>30</v>
      </c>
      <c r="J10880" t="s">
        <v>111</v>
      </c>
      <c r="K10880" t="s">
        <v>112</v>
      </c>
      <c r="Q10880">
        <v>0</v>
      </c>
      <c r="R10880">
        <v>0</v>
      </c>
      <c r="S10880">
        <v>0</v>
      </c>
      <c r="T10880" t="s">
        <v>40151</v>
      </c>
    </row>
    <row r="10881" spans="1:20" customFormat="1" ht="15" x14ac:dyDescent="0.25">
      <c r="A10881" t="s">
        <v>35</v>
      </c>
      <c r="B10881" t="s">
        <v>61</v>
      </c>
      <c r="C10881" t="str">
        <f>"A0123757"</f>
        <v>A0123757</v>
      </c>
      <c r="D10881" t="s">
        <v>40177</v>
      </c>
      <c r="E10881" t="s">
        <v>40178</v>
      </c>
      <c r="F10881" t="s">
        <v>7257</v>
      </c>
      <c r="G10881" t="s">
        <v>29</v>
      </c>
      <c r="H10881">
        <v>23185</v>
      </c>
      <c r="I10881" t="s">
        <v>30</v>
      </c>
      <c r="J10881" t="s">
        <v>41</v>
      </c>
      <c r="K10881" t="s">
        <v>59</v>
      </c>
      <c r="Q10881">
        <v>0</v>
      </c>
      <c r="R10881">
        <v>100</v>
      </c>
      <c r="S10881">
        <v>100</v>
      </c>
      <c r="T10881" t="s">
        <v>40179</v>
      </c>
    </row>
    <row r="10882" spans="1:20" customFormat="1" ht="15" x14ac:dyDescent="0.25">
      <c r="A10882" t="s">
        <v>35</v>
      </c>
      <c r="B10882" t="s">
        <v>106</v>
      </c>
      <c r="C10882" t="str">
        <f>"A0136344"</f>
        <v>A0136344</v>
      </c>
      <c r="D10882" t="s">
        <v>40180</v>
      </c>
      <c r="E10882" t="s">
        <v>40181</v>
      </c>
      <c r="F10882" t="s">
        <v>417</v>
      </c>
      <c r="G10882" t="s">
        <v>190</v>
      </c>
      <c r="H10882">
        <v>80523</v>
      </c>
      <c r="I10882" t="s">
        <v>30</v>
      </c>
      <c r="J10882" t="s">
        <v>111</v>
      </c>
      <c r="K10882" t="s">
        <v>112</v>
      </c>
      <c r="Q10882">
        <v>0</v>
      </c>
      <c r="R10882">
        <v>0</v>
      </c>
      <c r="S10882">
        <v>0</v>
      </c>
      <c r="T10882" t="s">
        <v>39608</v>
      </c>
    </row>
    <row r="10883" spans="1:20" customFormat="1" ht="15" x14ac:dyDescent="0.25">
      <c r="A10883" t="s">
        <v>35</v>
      </c>
      <c r="B10883" t="s">
        <v>106</v>
      </c>
      <c r="C10883" t="str">
        <f>"A0136335"</f>
        <v>A0136335</v>
      </c>
      <c r="D10883" t="s">
        <v>40182</v>
      </c>
      <c r="E10883" t="s">
        <v>39607</v>
      </c>
      <c r="F10883" t="s">
        <v>417</v>
      </c>
      <c r="G10883" t="s">
        <v>190</v>
      </c>
      <c r="H10883">
        <v>80523</v>
      </c>
      <c r="I10883" t="s">
        <v>30</v>
      </c>
      <c r="J10883" t="s">
        <v>111</v>
      </c>
      <c r="K10883" t="s">
        <v>10012</v>
      </c>
      <c r="Q10883">
        <v>0</v>
      </c>
      <c r="R10883">
        <v>0</v>
      </c>
      <c r="S10883">
        <v>0</v>
      </c>
      <c r="T10883" t="s">
        <v>39608</v>
      </c>
    </row>
    <row r="10884" spans="1:20" customFormat="1" ht="15" x14ac:dyDescent="0.25">
      <c r="A10884" t="s">
        <v>35</v>
      </c>
      <c r="B10884" t="s">
        <v>106</v>
      </c>
      <c r="C10884" t="str">
        <f>"A0136353"</f>
        <v>A0136353</v>
      </c>
      <c r="D10884" t="s">
        <v>40183</v>
      </c>
      <c r="E10884" t="s">
        <v>39610</v>
      </c>
      <c r="F10884" t="s">
        <v>417</v>
      </c>
      <c r="G10884" t="s">
        <v>190</v>
      </c>
      <c r="H10884">
        <v>80523</v>
      </c>
      <c r="I10884" t="s">
        <v>30</v>
      </c>
      <c r="J10884" t="s">
        <v>111</v>
      </c>
      <c r="K10884" t="s">
        <v>10012</v>
      </c>
      <c r="Q10884">
        <v>0</v>
      </c>
      <c r="R10884">
        <v>0</v>
      </c>
      <c r="S10884">
        <v>0</v>
      </c>
      <c r="T10884" t="s">
        <v>39611</v>
      </c>
    </row>
    <row r="10885" spans="1:20" customFormat="1" ht="15" x14ac:dyDescent="0.25">
      <c r="A10885" t="s">
        <v>35</v>
      </c>
      <c r="B10885" t="s">
        <v>106</v>
      </c>
      <c r="C10885" t="str">
        <f>"A0136351"</f>
        <v>A0136351</v>
      </c>
      <c r="D10885" t="s">
        <v>40184</v>
      </c>
      <c r="E10885" t="s">
        <v>39610</v>
      </c>
      <c r="F10885" t="s">
        <v>417</v>
      </c>
      <c r="G10885" t="s">
        <v>190</v>
      </c>
      <c r="H10885">
        <v>80523</v>
      </c>
      <c r="I10885" t="s">
        <v>30</v>
      </c>
      <c r="J10885" t="s">
        <v>111</v>
      </c>
      <c r="K10885" t="s">
        <v>10012</v>
      </c>
      <c r="Q10885">
        <v>0</v>
      </c>
      <c r="R10885">
        <v>0</v>
      </c>
      <c r="S10885">
        <v>0</v>
      </c>
      <c r="T10885" t="s">
        <v>39611</v>
      </c>
    </row>
    <row r="10886" spans="1:20" customFormat="1" ht="15" x14ac:dyDescent="0.25">
      <c r="A10886" t="s">
        <v>35</v>
      </c>
      <c r="B10886" t="s">
        <v>106</v>
      </c>
      <c r="C10886" t="str">
        <f>"A0136348"</f>
        <v>A0136348</v>
      </c>
      <c r="D10886" t="s">
        <v>40185</v>
      </c>
      <c r="E10886" t="s">
        <v>39610</v>
      </c>
      <c r="F10886" t="s">
        <v>417</v>
      </c>
      <c r="G10886" t="s">
        <v>190</v>
      </c>
      <c r="H10886">
        <v>80523</v>
      </c>
      <c r="I10886" t="s">
        <v>30</v>
      </c>
      <c r="J10886" t="s">
        <v>111</v>
      </c>
      <c r="K10886" t="s">
        <v>10012</v>
      </c>
      <c r="Q10886">
        <v>0</v>
      </c>
      <c r="R10886">
        <v>0</v>
      </c>
      <c r="S10886">
        <v>0</v>
      </c>
      <c r="T10886" t="s">
        <v>39611</v>
      </c>
    </row>
    <row r="10887" spans="1:20" customFormat="1" ht="15" x14ac:dyDescent="0.25">
      <c r="A10887" t="s">
        <v>35</v>
      </c>
      <c r="B10887" t="s">
        <v>106</v>
      </c>
      <c r="C10887" t="str">
        <f>"A0136349"</f>
        <v>A0136349</v>
      </c>
      <c r="D10887" t="s">
        <v>40186</v>
      </c>
      <c r="E10887" t="s">
        <v>39610</v>
      </c>
      <c r="F10887" t="s">
        <v>417</v>
      </c>
      <c r="G10887" t="s">
        <v>190</v>
      </c>
      <c r="H10887">
        <v>80523</v>
      </c>
      <c r="I10887" t="s">
        <v>30</v>
      </c>
      <c r="J10887" t="s">
        <v>111</v>
      </c>
      <c r="K10887" t="s">
        <v>10012</v>
      </c>
      <c r="Q10887">
        <v>0</v>
      </c>
      <c r="R10887">
        <v>0</v>
      </c>
      <c r="S10887">
        <v>0</v>
      </c>
      <c r="T10887" t="s">
        <v>39611</v>
      </c>
    </row>
    <row r="10888" spans="1:20" customFormat="1" ht="15" x14ac:dyDescent="0.25">
      <c r="A10888" t="s">
        <v>35</v>
      </c>
      <c r="B10888" t="s">
        <v>106</v>
      </c>
      <c r="C10888" t="str">
        <f>"A0136354"</f>
        <v>A0136354</v>
      </c>
      <c r="D10888" t="s">
        <v>40187</v>
      </c>
      <c r="E10888" t="s">
        <v>39610</v>
      </c>
      <c r="F10888" t="s">
        <v>417</v>
      </c>
      <c r="G10888" t="s">
        <v>190</v>
      </c>
      <c r="H10888">
        <v>80523</v>
      </c>
      <c r="I10888" t="s">
        <v>30</v>
      </c>
      <c r="J10888" t="s">
        <v>111</v>
      </c>
      <c r="K10888" t="s">
        <v>10012</v>
      </c>
      <c r="Q10888">
        <v>0</v>
      </c>
      <c r="R10888">
        <v>0</v>
      </c>
      <c r="S10888">
        <v>0</v>
      </c>
      <c r="T10888" t="s">
        <v>39611</v>
      </c>
    </row>
    <row r="10889" spans="1:20" customFormat="1" ht="15" x14ac:dyDescent="0.25">
      <c r="A10889" t="s">
        <v>35</v>
      </c>
      <c r="B10889" t="s">
        <v>106</v>
      </c>
      <c r="C10889" t="str">
        <f>"A0136355"</f>
        <v>A0136355</v>
      </c>
      <c r="D10889" t="s">
        <v>40188</v>
      </c>
      <c r="E10889" t="s">
        <v>39610</v>
      </c>
      <c r="F10889" t="s">
        <v>417</v>
      </c>
      <c r="G10889" t="s">
        <v>190</v>
      </c>
      <c r="H10889">
        <v>80523</v>
      </c>
      <c r="I10889" t="s">
        <v>30</v>
      </c>
      <c r="J10889" t="s">
        <v>111</v>
      </c>
      <c r="K10889" t="s">
        <v>10012</v>
      </c>
      <c r="Q10889">
        <v>0</v>
      </c>
      <c r="R10889">
        <v>0</v>
      </c>
      <c r="S10889">
        <v>0</v>
      </c>
      <c r="T10889" t="s">
        <v>39611</v>
      </c>
    </row>
    <row r="10890" spans="1:20" customFormat="1" ht="15" x14ac:dyDescent="0.25">
      <c r="A10890" t="s">
        <v>35</v>
      </c>
      <c r="B10890" t="s">
        <v>106</v>
      </c>
      <c r="C10890" t="str">
        <f>"A0136356"</f>
        <v>A0136356</v>
      </c>
      <c r="D10890" t="s">
        <v>40189</v>
      </c>
      <c r="E10890" t="s">
        <v>39610</v>
      </c>
      <c r="F10890" t="s">
        <v>417</v>
      </c>
      <c r="G10890" t="s">
        <v>190</v>
      </c>
      <c r="H10890">
        <v>80523</v>
      </c>
      <c r="I10890" t="s">
        <v>30</v>
      </c>
      <c r="J10890" t="s">
        <v>111</v>
      </c>
      <c r="K10890" t="s">
        <v>10012</v>
      </c>
      <c r="Q10890">
        <v>0</v>
      </c>
      <c r="R10890">
        <v>0</v>
      </c>
      <c r="S10890">
        <v>0</v>
      </c>
      <c r="T10890" t="s">
        <v>39611</v>
      </c>
    </row>
    <row r="10891" spans="1:20" customFormat="1" ht="15" x14ac:dyDescent="0.25">
      <c r="A10891" t="s">
        <v>35</v>
      </c>
      <c r="B10891" t="s">
        <v>106</v>
      </c>
      <c r="C10891" t="str">
        <f>"A0136352"</f>
        <v>A0136352</v>
      </c>
      <c r="D10891" t="s">
        <v>40190</v>
      </c>
      <c r="E10891" t="s">
        <v>39610</v>
      </c>
      <c r="F10891" t="s">
        <v>417</v>
      </c>
      <c r="G10891" t="s">
        <v>190</v>
      </c>
      <c r="H10891">
        <v>80523</v>
      </c>
      <c r="I10891" t="s">
        <v>30</v>
      </c>
      <c r="J10891" t="s">
        <v>111</v>
      </c>
      <c r="K10891" t="s">
        <v>10012</v>
      </c>
      <c r="Q10891">
        <v>0</v>
      </c>
      <c r="R10891">
        <v>0</v>
      </c>
      <c r="S10891">
        <v>0</v>
      </c>
      <c r="T10891" t="s">
        <v>39611</v>
      </c>
    </row>
    <row r="10892" spans="1:20" customFormat="1" ht="15" x14ac:dyDescent="0.25">
      <c r="A10892" t="s">
        <v>35</v>
      </c>
      <c r="B10892" t="s">
        <v>106</v>
      </c>
      <c r="C10892" t="str">
        <f>"A0136350"</f>
        <v>A0136350</v>
      </c>
      <c r="D10892" t="s">
        <v>40191</v>
      </c>
      <c r="E10892" t="s">
        <v>39610</v>
      </c>
      <c r="F10892" t="s">
        <v>417</v>
      </c>
      <c r="G10892" t="s">
        <v>190</v>
      </c>
      <c r="H10892">
        <v>80523</v>
      </c>
      <c r="I10892" t="s">
        <v>30</v>
      </c>
      <c r="J10892" t="s">
        <v>111</v>
      </c>
      <c r="K10892" t="s">
        <v>10012</v>
      </c>
      <c r="Q10892">
        <v>0</v>
      </c>
      <c r="R10892">
        <v>0</v>
      </c>
      <c r="S10892">
        <v>0</v>
      </c>
      <c r="T10892" t="s">
        <v>39611</v>
      </c>
    </row>
    <row r="10893" spans="1:20" customFormat="1" ht="15" x14ac:dyDescent="0.25">
      <c r="A10893" t="s">
        <v>35</v>
      </c>
      <c r="B10893" t="s">
        <v>106</v>
      </c>
      <c r="C10893" t="str">
        <f>"A0136362"</f>
        <v>A0136362</v>
      </c>
      <c r="D10893" t="s">
        <v>40192</v>
      </c>
      <c r="E10893" t="s">
        <v>40193</v>
      </c>
      <c r="F10893" t="s">
        <v>417</v>
      </c>
      <c r="G10893" t="s">
        <v>190</v>
      </c>
      <c r="H10893">
        <v>80523</v>
      </c>
      <c r="I10893" t="s">
        <v>30</v>
      </c>
      <c r="J10893" t="s">
        <v>111</v>
      </c>
      <c r="K10893" t="s">
        <v>10012</v>
      </c>
      <c r="Q10893">
        <v>0</v>
      </c>
      <c r="R10893">
        <v>0</v>
      </c>
      <c r="S10893">
        <v>0</v>
      </c>
      <c r="T10893" t="s">
        <v>39611</v>
      </c>
    </row>
    <row r="10894" spans="1:20" customFormat="1" ht="15" x14ac:dyDescent="0.25">
      <c r="A10894" t="s">
        <v>35</v>
      </c>
      <c r="B10894" t="s">
        <v>106</v>
      </c>
      <c r="C10894" t="str">
        <f>"A0136345"</f>
        <v>A0136345</v>
      </c>
      <c r="D10894" t="s">
        <v>40194</v>
      </c>
      <c r="E10894" t="s">
        <v>40195</v>
      </c>
      <c r="F10894" t="s">
        <v>417</v>
      </c>
      <c r="G10894" t="s">
        <v>190</v>
      </c>
      <c r="H10894">
        <v>80523</v>
      </c>
      <c r="I10894" t="s">
        <v>30</v>
      </c>
      <c r="J10894" t="s">
        <v>111</v>
      </c>
      <c r="K10894" t="s">
        <v>112</v>
      </c>
      <c r="Q10894">
        <v>0</v>
      </c>
      <c r="R10894">
        <v>0</v>
      </c>
      <c r="S10894">
        <v>0</v>
      </c>
      <c r="T10894" t="s">
        <v>39608</v>
      </c>
    </row>
    <row r="10895" spans="1:20" customFormat="1" ht="15" x14ac:dyDescent="0.25">
      <c r="A10895" t="s">
        <v>35</v>
      </c>
      <c r="B10895" t="s">
        <v>106</v>
      </c>
      <c r="C10895" t="str">
        <f>"A0136336"</f>
        <v>A0136336</v>
      </c>
      <c r="D10895" t="s">
        <v>40196</v>
      </c>
      <c r="E10895" t="s">
        <v>39607</v>
      </c>
      <c r="F10895" t="s">
        <v>417</v>
      </c>
      <c r="G10895" t="s">
        <v>190</v>
      </c>
      <c r="H10895">
        <v>80523</v>
      </c>
      <c r="I10895" t="s">
        <v>30</v>
      </c>
      <c r="J10895" t="s">
        <v>111</v>
      </c>
      <c r="K10895" t="s">
        <v>10012</v>
      </c>
      <c r="Q10895">
        <v>0</v>
      </c>
      <c r="R10895">
        <v>0</v>
      </c>
      <c r="S10895">
        <v>0</v>
      </c>
      <c r="T10895" t="s">
        <v>39608</v>
      </c>
    </row>
    <row r="10896" spans="1:20" customFormat="1" ht="15" x14ac:dyDescent="0.25">
      <c r="A10896" t="s">
        <v>35</v>
      </c>
      <c r="B10896" t="s">
        <v>106</v>
      </c>
      <c r="C10896" t="str">
        <f>"A0136338"</f>
        <v>A0136338</v>
      </c>
      <c r="D10896" t="s">
        <v>40197</v>
      </c>
      <c r="E10896" t="s">
        <v>39607</v>
      </c>
      <c r="F10896" t="s">
        <v>417</v>
      </c>
      <c r="G10896" t="s">
        <v>190</v>
      </c>
      <c r="H10896">
        <v>80523</v>
      </c>
      <c r="I10896" t="s">
        <v>30</v>
      </c>
      <c r="J10896" t="s">
        <v>111</v>
      </c>
      <c r="K10896" t="s">
        <v>10012</v>
      </c>
      <c r="Q10896">
        <v>0</v>
      </c>
      <c r="R10896">
        <v>0</v>
      </c>
      <c r="S10896">
        <v>0</v>
      </c>
      <c r="T10896" t="s">
        <v>39608</v>
      </c>
    </row>
    <row r="10897" spans="1:20" customFormat="1" ht="15" x14ac:dyDescent="0.25">
      <c r="A10897" t="s">
        <v>35</v>
      </c>
      <c r="B10897" t="s">
        <v>106</v>
      </c>
      <c r="C10897" t="str">
        <f>"A0136339"</f>
        <v>A0136339</v>
      </c>
      <c r="D10897" t="s">
        <v>40198</v>
      </c>
      <c r="E10897" t="s">
        <v>39607</v>
      </c>
      <c r="F10897" t="s">
        <v>417</v>
      </c>
      <c r="G10897" t="s">
        <v>190</v>
      </c>
      <c r="H10897">
        <v>80523</v>
      </c>
      <c r="I10897" t="s">
        <v>30</v>
      </c>
      <c r="J10897" t="s">
        <v>111</v>
      </c>
      <c r="K10897" t="s">
        <v>10012</v>
      </c>
      <c r="Q10897">
        <v>0</v>
      </c>
      <c r="R10897">
        <v>0</v>
      </c>
      <c r="S10897">
        <v>0</v>
      </c>
      <c r="T10897" t="s">
        <v>39608</v>
      </c>
    </row>
    <row r="10898" spans="1:20" customFormat="1" ht="15" x14ac:dyDescent="0.25">
      <c r="A10898" t="s">
        <v>35</v>
      </c>
      <c r="B10898" t="s">
        <v>106</v>
      </c>
      <c r="C10898" t="str">
        <f>"A0136340"</f>
        <v>A0136340</v>
      </c>
      <c r="D10898" t="s">
        <v>40199</v>
      </c>
      <c r="E10898" t="s">
        <v>39607</v>
      </c>
      <c r="F10898" t="s">
        <v>417</v>
      </c>
      <c r="G10898" t="s">
        <v>190</v>
      </c>
      <c r="H10898">
        <v>80523</v>
      </c>
      <c r="I10898" t="s">
        <v>30</v>
      </c>
      <c r="J10898" t="s">
        <v>111</v>
      </c>
      <c r="K10898" t="s">
        <v>10012</v>
      </c>
      <c r="Q10898">
        <v>0</v>
      </c>
      <c r="R10898">
        <v>0</v>
      </c>
      <c r="S10898">
        <v>0</v>
      </c>
      <c r="T10898" t="s">
        <v>39608</v>
      </c>
    </row>
    <row r="10899" spans="1:20" customFormat="1" ht="15" x14ac:dyDescent="0.25">
      <c r="A10899" t="s">
        <v>35</v>
      </c>
      <c r="B10899" t="s">
        <v>106</v>
      </c>
      <c r="C10899" t="str">
        <f>"A0135534"</f>
        <v>A0135534</v>
      </c>
      <c r="D10899" t="s">
        <v>40200</v>
      </c>
      <c r="E10899" t="s">
        <v>40201</v>
      </c>
      <c r="F10899" t="s">
        <v>40202</v>
      </c>
      <c r="G10899" t="s">
        <v>110</v>
      </c>
      <c r="H10899">
        <v>90747</v>
      </c>
      <c r="I10899" t="s">
        <v>30</v>
      </c>
      <c r="J10899" t="s">
        <v>111</v>
      </c>
      <c r="K10899" t="s">
        <v>10012</v>
      </c>
      <c r="Q10899">
        <v>0</v>
      </c>
      <c r="R10899">
        <v>0</v>
      </c>
      <c r="S10899">
        <v>0</v>
      </c>
      <c r="T10899" t="s">
        <v>40203</v>
      </c>
    </row>
    <row r="10900" spans="1:20" customFormat="1" ht="15" x14ac:dyDescent="0.25">
      <c r="A10900" t="s">
        <v>35</v>
      </c>
      <c r="B10900" t="s">
        <v>106</v>
      </c>
      <c r="C10900" t="str">
        <f>"A0135532"</f>
        <v>A0135532</v>
      </c>
      <c r="D10900" t="s">
        <v>40204</v>
      </c>
      <c r="E10900" t="s">
        <v>40201</v>
      </c>
      <c r="F10900" t="s">
        <v>40202</v>
      </c>
      <c r="G10900" t="s">
        <v>110</v>
      </c>
      <c r="H10900">
        <v>90747</v>
      </c>
      <c r="I10900" t="s">
        <v>30</v>
      </c>
      <c r="J10900" t="s">
        <v>111</v>
      </c>
      <c r="K10900" t="s">
        <v>10012</v>
      </c>
      <c r="Q10900">
        <v>0</v>
      </c>
      <c r="R10900">
        <v>0</v>
      </c>
      <c r="S10900">
        <v>0</v>
      </c>
      <c r="T10900" t="s">
        <v>40203</v>
      </c>
    </row>
    <row r="10901" spans="1:20" customFormat="1" ht="15" x14ac:dyDescent="0.25">
      <c r="A10901" t="s">
        <v>35</v>
      </c>
      <c r="B10901" t="s">
        <v>106</v>
      </c>
      <c r="C10901" t="str">
        <f>"A0135531"</f>
        <v>A0135531</v>
      </c>
      <c r="D10901" t="s">
        <v>40205</v>
      </c>
      <c r="E10901" t="s">
        <v>40201</v>
      </c>
      <c r="F10901" t="s">
        <v>40202</v>
      </c>
      <c r="G10901" t="s">
        <v>110</v>
      </c>
      <c r="H10901">
        <v>90747</v>
      </c>
      <c r="I10901" t="s">
        <v>30</v>
      </c>
      <c r="J10901" t="s">
        <v>111</v>
      </c>
      <c r="K10901" t="s">
        <v>10012</v>
      </c>
      <c r="Q10901">
        <v>0</v>
      </c>
      <c r="R10901">
        <v>0</v>
      </c>
      <c r="S10901">
        <v>0</v>
      </c>
      <c r="T10901" t="s">
        <v>40203</v>
      </c>
    </row>
    <row r="10902" spans="1:20" customFormat="1" ht="15" x14ac:dyDescent="0.25">
      <c r="A10902" t="s">
        <v>35</v>
      </c>
      <c r="B10902" t="s">
        <v>106</v>
      </c>
      <c r="C10902" t="str">
        <f>"A0135533"</f>
        <v>A0135533</v>
      </c>
      <c r="D10902" t="s">
        <v>40206</v>
      </c>
      <c r="E10902" t="s">
        <v>40201</v>
      </c>
      <c r="F10902" t="s">
        <v>40202</v>
      </c>
      <c r="G10902" t="s">
        <v>110</v>
      </c>
      <c r="H10902">
        <v>90747</v>
      </c>
      <c r="I10902" t="s">
        <v>30</v>
      </c>
      <c r="J10902" t="s">
        <v>111</v>
      </c>
      <c r="K10902" t="s">
        <v>10012</v>
      </c>
      <c r="Q10902">
        <v>0</v>
      </c>
      <c r="R10902">
        <v>0</v>
      </c>
      <c r="S10902">
        <v>0</v>
      </c>
      <c r="T10902" t="s">
        <v>40203</v>
      </c>
    </row>
    <row r="10903" spans="1:20" customFormat="1" ht="15" x14ac:dyDescent="0.25">
      <c r="A10903" t="s">
        <v>35</v>
      </c>
      <c r="B10903" t="s">
        <v>106</v>
      </c>
      <c r="C10903" t="str">
        <f>"A0135535"</f>
        <v>A0135535</v>
      </c>
      <c r="D10903" t="s">
        <v>40207</v>
      </c>
      <c r="E10903" t="s">
        <v>40201</v>
      </c>
      <c r="F10903" t="s">
        <v>40202</v>
      </c>
      <c r="G10903" t="s">
        <v>110</v>
      </c>
      <c r="H10903">
        <v>90747</v>
      </c>
      <c r="I10903" t="s">
        <v>30</v>
      </c>
      <c r="J10903" t="s">
        <v>111</v>
      </c>
      <c r="K10903" t="s">
        <v>10012</v>
      </c>
      <c r="Q10903">
        <v>0</v>
      </c>
      <c r="R10903">
        <v>0</v>
      </c>
      <c r="S10903">
        <v>0</v>
      </c>
      <c r="T10903" t="s">
        <v>40203</v>
      </c>
    </row>
    <row r="10904" spans="1:20" customFormat="1" ht="15" x14ac:dyDescent="0.25">
      <c r="A10904" t="s">
        <v>35</v>
      </c>
      <c r="B10904" t="s">
        <v>106</v>
      </c>
      <c r="C10904" t="str">
        <f>"A0136342"</f>
        <v>A0136342</v>
      </c>
      <c r="D10904" t="s">
        <v>40208</v>
      </c>
      <c r="E10904" t="s">
        <v>39607</v>
      </c>
      <c r="F10904" t="s">
        <v>417</v>
      </c>
      <c r="G10904" t="s">
        <v>190</v>
      </c>
      <c r="H10904">
        <v>80523</v>
      </c>
      <c r="I10904" t="s">
        <v>30</v>
      </c>
      <c r="J10904" t="s">
        <v>111</v>
      </c>
      <c r="K10904" t="s">
        <v>10012</v>
      </c>
      <c r="Q10904">
        <v>0</v>
      </c>
      <c r="R10904">
        <v>0</v>
      </c>
      <c r="S10904">
        <v>0</v>
      </c>
      <c r="T10904" t="s">
        <v>39608</v>
      </c>
    </row>
    <row r="10905" spans="1:20" customFormat="1" ht="15" x14ac:dyDescent="0.25">
      <c r="A10905" t="s">
        <v>35</v>
      </c>
      <c r="B10905" t="s">
        <v>106</v>
      </c>
      <c r="C10905" t="str">
        <f>"A0136343"</f>
        <v>A0136343</v>
      </c>
      <c r="D10905" t="s">
        <v>40209</v>
      </c>
      <c r="E10905" t="s">
        <v>39607</v>
      </c>
      <c r="F10905" t="s">
        <v>417</v>
      </c>
      <c r="G10905" t="s">
        <v>190</v>
      </c>
      <c r="H10905">
        <v>80523</v>
      </c>
      <c r="I10905" t="s">
        <v>30</v>
      </c>
      <c r="J10905" t="s">
        <v>111</v>
      </c>
      <c r="K10905" t="s">
        <v>10012</v>
      </c>
      <c r="Q10905">
        <v>0</v>
      </c>
      <c r="R10905">
        <v>0</v>
      </c>
      <c r="S10905">
        <v>0</v>
      </c>
      <c r="T10905" t="s">
        <v>39608</v>
      </c>
    </row>
    <row r="10906" spans="1:20" customFormat="1" ht="15" x14ac:dyDescent="0.25">
      <c r="A10906" t="s">
        <v>35</v>
      </c>
      <c r="B10906" t="s">
        <v>106</v>
      </c>
      <c r="C10906" t="str">
        <f>"A0136337"</f>
        <v>A0136337</v>
      </c>
      <c r="D10906" t="s">
        <v>40210</v>
      </c>
      <c r="E10906" t="s">
        <v>39607</v>
      </c>
      <c r="F10906" t="s">
        <v>417</v>
      </c>
      <c r="G10906" t="s">
        <v>190</v>
      </c>
      <c r="H10906">
        <v>80523</v>
      </c>
      <c r="I10906" t="s">
        <v>30</v>
      </c>
      <c r="J10906" t="s">
        <v>111</v>
      </c>
      <c r="K10906" t="s">
        <v>10012</v>
      </c>
      <c r="Q10906">
        <v>0</v>
      </c>
      <c r="R10906">
        <v>0</v>
      </c>
      <c r="S10906">
        <v>0</v>
      </c>
      <c r="T10906" t="s">
        <v>39608</v>
      </c>
    </row>
    <row r="10907" spans="1:20" customFormat="1" ht="15" x14ac:dyDescent="0.25">
      <c r="A10907" t="s">
        <v>35</v>
      </c>
      <c r="B10907" t="s">
        <v>106</v>
      </c>
      <c r="C10907" t="str">
        <f>"A0136361"</f>
        <v>A0136361</v>
      </c>
      <c r="D10907" t="s">
        <v>40211</v>
      </c>
      <c r="E10907" t="s">
        <v>39610</v>
      </c>
      <c r="F10907" t="s">
        <v>417</v>
      </c>
      <c r="G10907" t="s">
        <v>190</v>
      </c>
      <c r="H10907">
        <v>80523</v>
      </c>
      <c r="I10907" t="s">
        <v>30</v>
      </c>
      <c r="J10907" t="s">
        <v>111</v>
      </c>
      <c r="K10907" t="s">
        <v>10012</v>
      </c>
      <c r="Q10907">
        <v>0</v>
      </c>
      <c r="R10907">
        <v>0</v>
      </c>
      <c r="S10907">
        <v>0</v>
      </c>
      <c r="T10907" t="s">
        <v>39611</v>
      </c>
    </row>
    <row r="10908" spans="1:20" customFormat="1" ht="15" x14ac:dyDescent="0.25">
      <c r="A10908" t="s">
        <v>35</v>
      </c>
      <c r="B10908" t="s">
        <v>106</v>
      </c>
      <c r="C10908" t="str">
        <f>"A0136360"</f>
        <v>A0136360</v>
      </c>
      <c r="D10908" t="s">
        <v>40212</v>
      </c>
      <c r="E10908" t="s">
        <v>39610</v>
      </c>
      <c r="F10908" t="s">
        <v>417</v>
      </c>
      <c r="G10908" t="s">
        <v>190</v>
      </c>
      <c r="H10908">
        <v>80523</v>
      </c>
      <c r="I10908" t="s">
        <v>30</v>
      </c>
      <c r="J10908" t="s">
        <v>111</v>
      </c>
      <c r="K10908" t="s">
        <v>10012</v>
      </c>
      <c r="Q10908">
        <v>0</v>
      </c>
      <c r="R10908">
        <v>0</v>
      </c>
      <c r="S10908">
        <v>0</v>
      </c>
      <c r="T10908" t="s">
        <v>39611</v>
      </c>
    </row>
    <row r="10909" spans="1:20" customFormat="1" ht="15" x14ac:dyDescent="0.25">
      <c r="A10909" t="s">
        <v>35</v>
      </c>
      <c r="B10909" t="s">
        <v>106</v>
      </c>
      <c r="C10909" t="str">
        <f>"A0136363"</f>
        <v>A0136363</v>
      </c>
      <c r="D10909" t="s">
        <v>40213</v>
      </c>
      <c r="E10909" t="s">
        <v>39610</v>
      </c>
      <c r="F10909" t="s">
        <v>417</v>
      </c>
      <c r="G10909" t="s">
        <v>190</v>
      </c>
      <c r="H10909">
        <v>80523</v>
      </c>
      <c r="I10909" t="s">
        <v>30</v>
      </c>
      <c r="J10909" t="s">
        <v>111</v>
      </c>
      <c r="K10909" t="s">
        <v>10012</v>
      </c>
      <c r="Q10909">
        <v>0</v>
      </c>
      <c r="R10909">
        <v>0</v>
      </c>
      <c r="S10909">
        <v>0</v>
      </c>
      <c r="T10909" t="s">
        <v>39611</v>
      </c>
    </row>
    <row r="10910" spans="1:20" customFormat="1" ht="15" x14ac:dyDescent="0.25">
      <c r="A10910" t="s">
        <v>35</v>
      </c>
      <c r="B10910" t="s">
        <v>106</v>
      </c>
      <c r="C10910" t="str">
        <f>"A0136364"</f>
        <v>A0136364</v>
      </c>
      <c r="D10910" t="s">
        <v>40214</v>
      </c>
      <c r="E10910" t="s">
        <v>39610</v>
      </c>
      <c r="F10910" t="s">
        <v>417</v>
      </c>
      <c r="G10910" t="s">
        <v>190</v>
      </c>
      <c r="H10910">
        <v>80523</v>
      </c>
      <c r="I10910" t="s">
        <v>30</v>
      </c>
      <c r="J10910" t="s">
        <v>111</v>
      </c>
      <c r="K10910" t="s">
        <v>10012</v>
      </c>
      <c r="Q10910">
        <v>0</v>
      </c>
      <c r="R10910">
        <v>0</v>
      </c>
      <c r="S10910">
        <v>0</v>
      </c>
      <c r="T10910" t="s">
        <v>39611</v>
      </c>
    </row>
    <row r="10911" spans="1:20" customFormat="1" ht="15" x14ac:dyDescent="0.25">
      <c r="A10911" t="s">
        <v>35</v>
      </c>
      <c r="B10911" t="s">
        <v>106</v>
      </c>
      <c r="C10911" t="str">
        <f>"A0136365"</f>
        <v>A0136365</v>
      </c>
      <c r="D10911" t="s">
        <v>40215</v>
      </c>
      <c r="E10911" t="s">
        <v>39610</v>
      </c>
      <c r="F10911" t="s">
        <v>417</v>
      </c>
      <c r="G10911" t="s">
        <v>190</v>
      </c>
      <c r="H10911">
        <v>80523</v>
      </c>
      <c r="I10911" t="s">
        <v>30</v>
      </c>
      <c r="J10911" t="s">
        <v>111</v>
      </c>
      <c r="K10911" t="s">
        <v>10012</v>
      </c>
      <c r="Q10911">
        <v>0</v>
      </c>
      <c r="R10911">
        <v>0</v>
      </c>
      <c r="S10911">
        <v>0</v>
      </c>
      <c r="T10911" t="s">
        <v>39611</v>
      </c>
    </row>
    <row r="10912" spans="1:20" customFormat="1" ht="15" x14ac:dyDescent="0.25">
      <c r="A10912" t="s">
        <v>35</v>
      </c>
      <c r="B10912" t="s">
        <v>106</v>
      </c>
      <c r="C10912" t="str">
        <f>"A0136357"</f>
        <v>A0136357</v>
      </c>
      <c r="D10912" t="s">
        <v>40216</v>
      </c>
      <c r="E10912" t="s">
        <v>39610</v>
      </c>
      <c r="F10912" t="s">
        <v>417</v>
      </c>
      <c r="G10912" t="s">
        <v>190</v>
      </c>
      <c r="H10912">
        <v>80523</v>
      </c>
      <c r="I10912" t="s">
        <v>30</v>
      </c>
      <c r="J10912" t="s">
        <v>111</v>
      </c>
      <c r="K10912" t="s">
        <v>10012</v>
      </c>
      <c r="Q10912">
        <v>0</v>
      </c>
      <c r="R10912">
        <v>0</v>
      </c>
      <c r="S10912">
        <v>0</v>
      </c>
      <c r="T10912" t="s">
        <v>39611</v>
      </c>
    </row>
    <row r="10913" spans="1:20" customFormat="1" ht="15" x14ac:dyDescent="0.25">
      <c r="A10913" t="s">
        <v>35</v>
      </c>
      <c r="B10913" t="s">
        <v>106</v>
      </c>
      <c r="C10913" t="str">
        <f>"A0136359"</f>
        <v>A0136359</v>
      </c>
      <c r="D10913" t="s">
        <v>40217</v>
      </c>
      <c r="E10913" t="s">
        <v>39610</v>
      </c>
      <c r="F10913" t="s">
        <v>417</v>
      </c>
      <c r="G10913" t="s">
        <v>190</v>
      </c>
      <c r="H10913">
        <v>80523</v>
      </c>
      <c r="I10913" t="s">
        <v>30</v>
      </c>
      <c r="J10913" t="s">
        <v>111</v>
      </c>
      <c r="K10913" t="s">
        <v>10012</v>
      </c>
      <c r="Q10913">
        <v>0</v>
      </c>
      <c r="R10913">
        <v>0</v>
      </c>
      <c r="S10913">
        <v>0</v>
      </c>
      <c r="T10913" t="s">
        <v>39611</v>
      </c>
    </row>
    <row r="10914" spans="1:20" customFormat="1" ht="15" x14ac:dyDescent="0.25">
      <c r="A10914" t="s">
        <v>35</v>
      </c>
      <c r="B10914" t="s">
        <v>106</v>
      </c>
      <c r="C10914" t="str">
        <f>"A0136358"</f>
        <v>A0136358</v>
      </c>
      <c r="D10914" t="s">
        <v>40218</v>
      </c>
      <c r="E10914" t="s">
        <v>39610</v>
      </c>
      <c r="F10914" t="s">
        <v>417</v>
      </c>
      <c r="G10914" t="s">
        <v>190</v>
      </c>
      <c r="H10914">
        <v>80523</v>
      </c>
      <c r="I10914" t="s">
        <v>30</v>
      </c>
      <c r="J10914" t="s">
        <v>111</v>
      </c>
      <c r="K10914" t="s">
        <v>10012</v>
      </c>
      <c r="Q10914">
        <v>0</v>
      </c>
      <c r="R10914">
        <v>0</v>
      </c>
      <c r="S10914">
        <v>0</v>
      </c>
      <c r="T10914" t="s">
        <v>39611</v>
      </c>
    </row>
    <row r="10915" spans="1:20" customFormat="1" ht="15" x14ac:dyDescent="0.25">
      <c r="A10915" t="s">
        <v>35</v>
      </c>
      <c r="B10915" t="s">
        <v>106</v>
      </c>
      <c r="C10915" t="str">
        <f>"A0136341"</f>
        <v>A0136341</v>
      </c>
      <c r="D10915" t="s">
        <v>40219</v>
      </c>
      <c r="E10915" t="s">
        <v>39607</v>
      </c>
      <c r="F10915" t="s">
        <v>417</v>
      </c>
      <c r="G10915" t="s">
        <v>190</v>
      </c>
      <c r="H10915">
        <v>80523</v>
      </c>
      <c r="I10915" t="s">
        <v>30</v>
      </c>
      <c r="J10915" t="s">
        <v>111</v>
      </c>
      <c r="K10915" t="s">
        <v>10012</v>
      </c>
      <c r="Q10915">
        <v>0</v>
      </c>
      <c r="R10915">
        <v>0</v>
      </c>
      <c r="S10915">
        <v>0</v>
      </c>
      <c r="T10915" t="s">
        <v>39608</v>
      </c>
    </row>
    <row r="10916" spans="1:20" customFormat="1" ht="15" x14ac:dyDescent="0.25">
      <c r="A10916" t="s">
        <v>35</v>
      </c>
      <c r="B10916" t="s">
        <v>437</v>
      </c>
      <c r="C10916" t="str">
        <f>"A0134433"</f>
        <v>A0134433</v>
      </c>
      <c r="D10916" t="s">
        <v>40220</v>
      </c>
      <c r="E10916" t="s">
        <v>40221</v>
      </c>
      <c r="F10916" t="s">
        <v>40222</v>
      </c>
      <c r="G10916" t="s">
        <v>99</v>
      </c>
      <c r="H10916">
        <v>13304</v>
      </c>
      <c r="I10916" t="s">
        <v>30</v>
      </c>
      <c r="J10916" t="s">
        <v>441</v>
      </c>
      <c r="K10916" t="s">
        <v>442</v>
      </c>
      <c r="Q10916">
        <v>0</v>
      </c>
      <c r="R10916">
        <v>0</v>
      </c>
      <c r="S10916">
        <v>0</v>
      </c>
      <c r="T10916" t="s">
        <v>40223</v>
      </c>
    </row>
    <row r="10917" spans="1:20" customFormat="1" ht="15" x14ac:dyDescent="0.25">
      <c r="A10917" t="s">
        <v>35</v>
      </c>
      <c r="B10917" t="s">
        <v>106</v>
      </c>
      <c r="C10917" t="str">
        <f>"A0135683"</f>
        <v>A0135683</v>
      </c>
      <c r="D10917" t="s">
        <v>40224</v>
      </c>
      <c r="E10917" t="s">
        <v>40225</v>
      </c>
      <c r="F10917" t="s">
        <v>1439</v>
      </c>
      <c r="G10917" t="s">
        <v>110</v>
      </c>
      <c r="H10917">
        <v>92182</v>
      </c>
      <c r="I10917" t="s">
        <v>30</v>
      </c>
      <c r="J10917" t="s">
        <v>111</v>
      </c>
      <c r="K10917" t="s">
        <v>10012</v>
      </c>
      <c r="Q10917">
        <v>0</v>
      </c>
      <c r="R10917">
        <v>0</v>
      </c>
      <c r="S10917">
        <v>0</v>
      </c>
    </row>
    <row r="10918" spans="1:20" customFormat="1" ht="15" x14ac:dyDescent="0.25">
      <c r="A10918" t="s">
        <v>35</v>
      </c>
      <c r="B10918" t="s">
        <v>106</v>
      </c>
      <c r="C10918" t="str">
        <f>"A0136604"</f>
        <v>A0136604</v>
      </c>
      <c r="D10918" t="s">
        <v>40226</v>
      </c>
      <c r="E10918" t="s">
        <v>40227</v>
      </c>
      <c r="F10918" t="s">
        <v>40228</v>
      </c>
      <c r="G10918" t="s">
        <v>1184</v>
      </c>
      <c r="H10918">
        <v>59901</v>
      </c>
      <c r="I10918" t="s">
        <v>30</v>
      </c>
      <c r="J10918" t="s">
        <v>111</v>
      </c>
      <c r="K10918" t="s">
        <v>112</v>
      </c>
      <c r="Q10918">
        <v>0</v>
      </c>
      <c r="R10918">
        <v>0</v>
      </c>
      <c r="S10918">
        <v>0</v>
      </c>
      <c r="T10918" t="s">
        <v>40229</v>
      </c>
    </row>
    <row r="10919" spans="1:20" customFormat="1" ht="15" x14ac:dyDescent="0.25">
      <c r="A10919" t="s">
        <v>35</v>
      </c>
      <c r="B10919" t="s">
        <v>106</v>
      </c>
      <c r="C10919" t="str">
        <f>"A0136579"</f>
        <v>A0136579</v>
      </c>
      <c r="D10919" t="s">
        <v>40230</v>
      </c>
      <c r="E10919" t="s">
        <v>40231</v>
      </c>
      <c r="F10919" t="s">
        <v>40232</v>
      </c>
      <c r="G10919" t="s">
        <v>1184</v>
      </c>
      <c r="H10919">
        <v>59937</v>
      </c>
      <c r="I10919" t="s">
        <v>30</v>
      </c>
      <c r="J10919" t="s">
        <v>111</v>
      </c>
      <c r="K10919" t="s">
        <v>112</v>
      </c>
      <c r="Q10919">
        <v>0</v>
      </c>
      <c r="R10919">
        <v>0</v>
      </c>
      <c r="S10919">
        <v>0</v>
      </c>
      <c r="T10919" t="s">
        <v>40233</v>
      </c>
    </row>
    <row r="10920" spans="1:20" customFormat="1" ht="15" x14ac:dyDescent="0.25">
      <c r="A10920" t="s">
        <v>35</v>
      </c>
      <c r="B10920" t="s">
        <v>61</v>
      </c>
      <c r="C10920" t="str">
        <f>"A0125676"</f>
        <v>A0125676</v>
      </c>
      <c r="D10920" t="s">
        <v>40234</v>
      </c>
      <c r="E10920" t="s">
        <v>40235</v>
      </c>
      <c r="F10920" t="s">
        <v>7395</v>
      </c>
      <c r="G10920" t="s">
        <v>29</v>
      </c>
      <c r="H10920">
        <v>22701</v>
      </c>
      <c r="I10920" t="s">
        <v>30</v>
      </c>
      <c r="J10920" t="s">
        <v>41</v>
      </c>
      <c r="K10920" t="s">
        <v>2715</v>
      </c>
      <c r="Q10920">
        <v>0</v>
      </c>
      <c r="R10920">
        <v>0</v>
      </c>
      <c r="S10920">
        <v>0</v>
      </c>
      <c r="T10920" t="s">
        <v>40236</v>
      </c>
    </row>
    <row r="10921" spans="1:20" customFormat="1" ht="15" x14ac:dyDescent="0.25">
      <c r="A10921" t="s">
        <v>35</v>
      </c>
      <c r="B10921" t="s">
        <v>61</v>
      </c>
      <c r="C10921" t="str">
        <f>"A0124150"</f>
        <v>A0124150</v>
      </c>
      <c r="D10921" t="s">
        <v>40237</v>
      </c>
      <c r="E10921" t="s">
        <v>40238</v>
      </c>
      <c r="F10921" t="s">
        <v>10807</v>
      </c>
      <c r="G10921" t="s">
        <v>338</v>
      </c>
      <c r="H10921">
        <v>8320</v>
      </c>
      <c r="I10921" t="s">
        <v>30</v>
      </c>
      <c r="J10921" t="s">
        <v>41</v>
      </c>
      <c r="K10921" t="s">
        <v>229</v>
      </c>
      <c r="Q10921">
        <v>0</v>
      </c>
      <c r="R10921">
        <v>196</v>
      </c>
      <c r="S10921">
        <v>196</v>
      </c>
      <c r="T10921" t="s">
        <v>40239</v>
      </c>
    </row>
    <row r="10922" spans="1:20" customFormat="1" ht="15" x14ac:dyDescent="0.25">
      <c r="A10922" t="s">
        <v>35</v>
      </c>
      <c r="B10922" t="s">
        <v>61</v>
      </c>
      <c r="C10922" t="str">
        <f>"A0128552"</f>
        <v>A0128552</v>
      </c>
      <c r="D10922" t="s">
        <v>40240</v>
      </c>
      <c r="E10922" t="s">
        <v>40241</v>
      </c>
      <c r="F10922" t="s">
        <v>16096</v>
      </c>
      <c r="G10922" t="s">
        <v>840</v>
      </c>
      <c r="H10922">
        <v>427170000</v>
      </c>
      <c r="I10922" t="s">
        <v>30</v>
      </c>
      <c r="J10922" t="s">
        <v>41</v>
      </c>
      <c r="K10922" t="s">
        <v>229</v>
      </c>
      <c r="Q10922">
        <v>0</v>
      </c>
      <c r="R10922">
        <v>80</v>
      </c>
      <c r="S10922">
        <v>80</v>
      </c>
      <c r="T10922" t="s">
        <v>40242</v>
      </c>
    </row>
    <row r="10923" spans="1:20" customFormat="1" ht="15" x14ac:dyDescent="0.25">
      <c r="A10923" t="s">
        <v>35</v>
      </c>
      <c r="B10923" t="s">
        <v>61</v>
      </c>
      <c r="C10923" t="str">
        <f>"A0125143"</f>
        <v>A0125143</v>
      </c>
      <c r="D10923" t="s">
        <v>40243</v>
      </c>
      <c r="E10923" t="s">
        <v>40244</v>
      </c>
      <c r="F10923" t="s">
        <v>57</v>
      </c>
      <c r="G10923" t="s">
        <v>58</v>
      </c>
      <c r="H10923">
        <v>29801</v>
      </c>
      <c r="I10923" t="s">
        <v>30</v>
      </c>
      <c r="J10923" t="s">
        <v>41</v>
      </c>
      <c r="K10923" t="s">
        <v>1440</v>
      </c>
      <c r="Q10923">
        <v>0</v>
      </c>
      <c r="R10923">
        <v>230</v>
      </c>
      <c r="S10923">
        <v>230</v>
      </c>
      <c r="T10923" t="s">
        <v>40245</v>
      </c>
    </row>
    <row r="10924" spans="1:20" customFormat="1" ht="15" x14ac:dyDescent="0.25">
      <c r="A10924" t="s">
        <v>35</v>
      </c>
      <c r="B10924" t="s">
        <v>61</v>
      </c>
      <c r="C10924" t="str">
        <f>"A0123698"</f>
        <v>A0123698</v>
      </c>
      <c r="D10924" t="s">
        <v>40243</v>
      </c>
      <c r="E10924" t="s">
        <v>40045</v>
      </c>
      <c r="F10924" t="s">
        <v>1747</v>
      </c>
      <c r="G10924" t="s">
        <v>214</v>
      </c>
      <c r="H10924">
        <v>28301</v>
      </c>
      <c r="I10924" t="s">
        <v>30</v>
      </c>
      <c r="J10924" t="s">
        <v>41</v>
      </c>
      <c r="K10924" t="s">
        <v>482</v>
      </c>
      <c r="Q10924">
        <v>0</v>
      </c>
      <c r="R10924">
        <v>163</v>
      </c>
      <c r="S10924">
        <v>163</v>
      </c>
      <c r="T10924" t="s">
        <v>40046</v>
      </c>
    </row>
    <row r="10925" spans="1:20" customFormat="1" ht="15" x14ac:dyDescent="0.25">
      <c r="A10925" t="s">
        <v>35</v>
      </c>
      <c r="B10925" t="s">
        <v>61</v>
      </c>
      <c r="C10925" t="str">
        <f>"A0150596"</f>
        <v>A0150596</v>
      </c>
      <c r="D10925" t="s">
        <v>40246</v>
      </c>
      <c r="E10925" t="s">
        <v>40247</v>
      </c>
      <c r="F10925" t="s">
        <v>30378</v>
      </c>
      <c r="G10925" t="s">
        <v>846</v>
      </c>
      <c r="H10925">
        <v>30040</v>
      </c>
      <c r="I10925" t="s">
        <v>30</v>
      </c>
      <c r="J10925" t="s">
        <v>41</v>
      </c>
      <c r="K10925" t="s">
        <v>229</v>
      </c>
      <c r="Q10925">
        <v>0</v>
      </c>
      <c r="R10925">
        <v>87</v>
      </c>
      <c r="S10925">
        <v>87</v>
      </c>
      <c r="T10925" t="s">
        <v>40248</v>
      </c>
    </row>
    <row r="10926" spans="1:20" customFormat="1" ht="15" x14ac:dyDescent="0.25">
      <c r="A10926" t="s">
        <v>35</v>
      </c>
      <c r="B10926" t="s">
        <v>61</v>
      </c>
      <c r="C10926" t="str">
        <f>"A0127523"</f>
        <v>A0127523</v>
      </c>
      <c r="D10926" t="s">
        <v>40249</v>
      </c>
      <c r="E10926" t="s">
        <v>40250</v>
      </c>
      <c r="F10926" t="s">
        <v>27013</v>
      </c>
      <c r="G10926" t="s">
        <v>117</v>
      </c>
      <c r="H10926">
        <v>49601</v>
      </c>
      <c r="I10926" t="s">
        <v>30</v>
      </c>
      <c r="J10926" t="s">
        <v>41</v>
      </c>
      <c r="K10926" t="s">
        <v>59</v>
      </c>
      <c r="Q10926">
        <v>0</v>
      </c>
      <c r="R10926">
        <v>84</v>
      </c>
      <c r="S10926">
        <v>84</v>
      </c>
      <c r="T10926" t="s">
        <v>40251</v>
      </c>
    </row>
    <row r="10927" spans="1:20" customFormat="1" ht="15" x14ac:dyDescent="0.25">
      <c r="A10927" t="s">
        <v>35</v>
      </c>
      <c r="B10927" t="s">
        <v>106</v>
      </c>
      <c r="C10927" t="str">
        <f>"A0136599"</f>
        <v>A0136599</v>
      </c>
      <c r="D10927" t="s">
        <v>40252</v>
      </c>
      <c r="E10927" t="s">
        <v>40253</v>
      </c>
      <c r="F10927" t="s">
        <v>40254</v>
      </c>
      <c r="G10927" t="s">
        <v>1184</v>
      </c>
      <c r="H10927">
        <v>59024</v>
      </c>
      <c r="I10927" t="s">
        <v>30</v>
      </c>
      <c r="J10927" t="s">
        <v>111</v>
      </c>
      <c r="K10927" t="s">
        <v>112</v>
      </c>
      <c r="Q10927">
        <v>0</v>
      </c>
      <c r="R10927">
        <v>0</v>
      </c>
      <c r="S10927">
        <v>0</v>
      </c>
      <c r="T10927" t="s">
        <v>40255</v>
      </c>
    </row>
    <row r="10928" spans="1:20" customFormat="1" ht="15" x14ac:dyDescent="0.25">
      <c r="A10928" t="s">
        <v>35</v>
      </c>
      <c r="B10928" t="s">
        <v>106</v>
      </c>
      <c r="C10928" t="str">
        <f>"A0135368"</f>
        <v>A0135368</v>
      </c>
      <c r="D10928" t="s">
        <v>40256</v>
      </c>
      <c r="E10928" t="s">
        <v>40225</v>
      </c>
      <c r="F10928" t="s">
        <v>1439</v>
      </c>
      <c r="G10928" t="s">
        <v>110</v>
      </c>
      <c r="H10928">
        <v>92182</v>
      </c>
      <c r="I10928" t="s">
        <v>30</v>
      </c>
      <c r="J10928" t="s">
        <v>111</v>
      </c>
      <c r="K10928" t="s">
        <v>10012</v>
      </c>
      <c r="Q10928">
        <v>0</v>
      </c>
      <c r="R10928">
        <v>0</v>
      </c>
      <c r="S10928">
        <v>0</v>
      </c>
      <c r="T10928" t="s">
        <v>37152</v>
      </c>
    </row>
    <row r="10929" spans="1:20" customFormat="1" ht="15" x14ac:dyDescent="0.25">
      <c r="A10929" t="s">
        <v>35</v>
      </c>
      <c r="B10929" t="s">
        <v>61</v>
      </c>
      <c r="C10929" t="str">
        <f>"A0126281"</f>
        <v>A0126281</v>
      </c>
      <c r="D10929" t="s">
        <v>40257</v>
      </c>
      <c r="E10929" t="s">
        <v>40258</v>
      </c>
      <c r="F10929" t="s">
        <v>6764</v>
      </c>
      <c r="G10929" t="s">
        <v>81</v>
      </c>
      <c r="H10929">
        <v>33908</v>
      </c>
      <c r="I10929" t="s">
        <v>30</v>
      </c>
      <c r="J10929" t="s">
        <v>41</v>
      </c>
      <c r="K10929" t="s">
        <v>1440</v>
      </c>
      <c r="Q10929">
        <v>0</v>
      </c>
      <c r="R10929">
        <v>364</v>
      </c>
      <c r="S10929">
        <v>364</v>
      </c>
      <c r="T10929" t="s">
        <v>40259</v>
      </c>
    </row>
    <row r="10930" spans="1:20" customFormat="1" ht="15" x14ac:dyDescent="0.25">
      <c r="A10930" t="s">
        <v>35</v>
      </c>
      <c r="B10930" t="s">
        <v>61</v>
      </c>
      <c r="C10930" t="str">
        <f>"A0123699"</f>
        <v>A0123699</v>
      </c>
      <c r="D10930" t="s">
        <v>40260</v>
      </c>
      <c r="E10930" t="s">
        <v>40261</v>
      </c>
      <c r="F10930" t="s">
        <v>40262</v>
      </c>
      <c r="G10930" t="s">
        <v>81</v>
      </c>
      <c r="H10930">
        <v>33573</v>
      </c>
      <c r="I10930" t="s">
        <v>30</v>
      </c>
      <c r="J10930" t="s">
        <v>41</v>
      </c>
      <c r="K10930" t="s">
        <v>482</v>
      </c>
      <c r="Q10930">
        <v>0</v>
      </c>
      <c r="R10930">
        <v>1</v>
      </c>
      <c r="S10930">
        <v>1</v>
      </c>
      <c r="T10930" t="s">
        <v>40263</v>
      </c>
    </row>
    <row r="10931" spans="1:20" customFormat="1" ht="15" x14ac:dyDescent="0.25">
      <c r="A10931" t="s">
        <v>35</v>
      </c>
      <c r="B10931" t="s">
        <v>61</v>
      </c>
      <c r="C10931" t="str">
        <f>"A0123700"</f>
        <v>A0123700</v>
      </c>
      <c r="D10931" t="s">
        <v>40264</v>
      </c>
      <c r="E10931" t="s">
        <v>40261</v>
      </c>
      <c r="F10931" t="s">
        <v>8051</v>
      </c>
      <c r="G10931" t="s">
        <v>81</v>
      </c>
      <c r="H10931">
        <v>33573</v>
      </c>
      <c r="I10931" t="s">
        <v>30</v>
      </c>
      <c r="J10931" t="s">
        <v>41</v>
      </c>
      <c r="K10931" t="s">
        <v>482</v>
      </c>
      <c r="Q10931">
        <v>0</v>
      </c>
      <c r="R10931">
        <v>110</v>
      </c>
      <c r="S10931">
        <v>110</v>
      </c>
      <c r="T10931" t="s">
        <v>40263</v>
      </c>
    </row>
    <row r="10932" spans="1:20" customFormat="1" ht="15" x14ac:dyDescent="0.25">
      <c r="A10932" t="s">
        <v>35</v>
      </c>
      <c r="B10932" t="s">
        <v>61</v>
      </c>
      <c r="C10932" t="str">
        <f>"A0123701"</f>
        <v>A0123701</v>
      </c>
      <c r="D10932" t="s">
        <v>40265</v>
      </c>
      <c r="E10932" t="s">
        <v>40266</v>
      </c>
      <c r="F10932" t="s">
        <v>93</v>
      </c>
      <c r="G10932" t="s">
        <v>214</v>
      </c>
      <c r="H10932">
        <v>27858</v>
      </c>
      <c r="I10932" t="s">
        <v>30</v>
      </c>
      <c r="J10932" t="s">
        <v>41</v>
      </c>
      <c r="K10932" t="s">
        <v>482</v>
      </c>
      <c r="Q10932">
        <v>0</v>
      </c>
      <c r="R10932">
        <v>50</v>
      </c>
      <c r="S10932">
        <v>50</v>
      </c>
      <c r="T10932" t="s">
        <v>40267</v>
      </c>
    </row>
    <row r="10933" spans="1:20" customFormat="1" ht="15" x14ac:dyDescent="0.25">
      <c r="A10933" t="s">
        <v>35</v>
      </c>
      <c r="B10933" t="s">
        <v>61</v>
      </c>
      <c r="C10933" t="str">
        <f>"A0123702"</f>
        <v>A0123702</v>
      </c>
      <c r="D10933" t="s">
        <v>40268</v>
      </c>
      <c r="E10933" t="s">
        <v>40269</v>
      </c>
      <c r="F10933" t="s">
        <v>5502</v>
      </c>
      <c r="G10933" t="s">
        <v>81</v>
      </c>
      <c r="H10933">
        <v>33771</v>
      </c>
      <c r="I10933" t="s">
        <v>30</v>
      </c>
      <c r="J10933" t="s">
        <v>41</v>
      </c>
      <c r="K10933" t="s">
        <v>482</v>
      </c>
      <c r="Q10933">
        <v>0</v>
      </c>
      <c r="R10933">
        <v>180</v>
      </c>
      <c r="S10933">
        <v>180</v>
      </c>
      <c r="T10933" t="s">
        <v>40270</v>
      </c>
    </row>
    <row r="10934" spans="1:20" customFormat="1" ht="15" x14ac:dyDescent="0.25">
      <c r="A10934" t="s">
        <v>35</v>
      </c>
      <c r="B10934" t="s">
        <v>61</v>
      </c>
      <c r="C10934" t="str">
        <f>"A0125446"</f>
        <v>A0125446</v>
      </c>
      <c r="D10934" t="s">
        <v>40271</v>
      </c>
      <c r="E10934" t="s">
        <v>40272</v>
      </c>
      <c r="F10934" t="s">
        <v>36904</v>
      </c>
      <c r="G10934" t="s">
        <v>40</v>
      </c>
      <c r="H10934">
        <v>74883</v>
      </c>
      <c r="I10934" t="s">
        <v>30</v>
      </c>
      <c r="J10934" t="s">
        <v>41</v>
      </c>
      <c r="K10934" t="s">
        <v>131</v>
      </c>
      <c r="Q10934">
        <v>0</v>
      </c>
      <c r="R10934">
        <v>8</v>
      </c>
      <c r="S10934">
        <v>8</v>
      </c>
      <c r="T10934" t="s">
        <v>36905</v>
      </c>
    </row>
    <row r="10935" spans="1:20" customFormat="1" ht="15" x14ac:dyDescent="0.25">
      <c r="A10935" t="s">
        <v>35</v>
      </c>
      <c r="B10935" t="s">
        <v>61</v>
      </c>
      <c r="C10935" t="str">
        <f>"A0133321"</f>
        <v>A0133321</v>
      </c>
      <c r="D10935" t="s">
        <v>40273</v>
      </c>
      <c r="E10935" t="s">
        <v>40274</v>
      </c>
      <c r="F10935" t="s">
        <v>22899</v>
      </c>
      <c r="G10935" t="s">
        <v>52</v>
      </c>
      <c r="H10935">
        <v>77515</v>
      </c>
      <c r="I10935" t="s">
        <v>30</v>
      </c>
      <c r="J10935" t="s">
        <v>41</v>
      </c>
      <c r="K10935" t="s">
        <v>229</v>
      </c>
      <c r="Q10935">
        <v>0</v>
      </c>
      <c r="R10935">
        <v>105</v>
      </c>
      <c r="S10935">
        <v>105</v>
      </c>
      <c r="T10935" t="s">
        <v>40275</v>
      </c>
    </row>
    <row r="10936" spans="1:20" customFormat="1" ht="15" x14ac:dyDescent="0.25">
      <c r="A10936" t="s">
        <v>35</v>
      </c>
      <c r="B10936" t="s">
        <v>61</v>
      </c>
      <c r="C10936" t="str">
        <f>"A0127273"</f>
        <v>A0127273</v>
      </c>
      <c r="D10936" t="s">
        <v>40276</v>
      </c>
      <c r="E10936" t="s">
        <v>36634</v>
      </c>
      <c r="F10936" t="s">
        <v>16371</v>
      </c>
      <c r="G10936" t="s">
        <v>846</v>
      </c>
      <c r="H10936">
        <v>30024</v>
      </c>
      <c r="I10936" t="s">
        <v>30</v>
      </c>
      <c r="J10936" t="s">
        <v>41</v>
      </c>
      <c r="K10936" t="s">
        <v>229</v>
      </c>
      <c r="Q10936">
        <v>0</v>
      </c>
      <c r="R10936">
        <v>16</v>
      </c>
      <c r="S10936">
        <v>16</v>
      </c>
      <c r="T10936" t="s">
        <v>40277</v>
      </c>
    </row>
    <row r="10937" spans="1:20" customFormat="1" ht="15" x14ac:dyDescent="0.25">
      <c r="A10937" t="s">
        <v>35</v>
      </c>
      <c r="B10937" t="s">
        <v>61</v>
      </c>
      <c r="C10937" t="str">
        <f>"A0131069"</f>
        <v>A0131069</v>
      </c>
      <c r="D10937" t="s">
        <v>40278</v>
      </c>
      <c r="E10937" t="s">
        <v>40279</v>
      </c>
      <c r="F10937" t="s">
        <v>3336</v>
      </c>
      <c r="G10937" t="s">
        <v>137</v>
      </c>
      <c r="H10937">
        <v>656610000</v>
      </c>
      <c r="I10937" t="s">
        <v>30</v>
      </c>
      <c r="J10937" t="s">
        <v>41</v>
      </c>
      <c r="K10937" t="s">
        <v>229</v>
      </c>
      <c r="Q10937">
        <v>0</v>
      </c>
      <c r="R10937">
        <v>144</v>
      </c>
      <c r="S10937">
        <v>144</v>
      </c>
      <c r="T10937" t="s">
        <v>40280</v>
      </c>
    </row>
    <row r="10938" spans="1:20" customFormat="1" ht="15" x14ac:dyDescent="0.25">
      <c r="A10938" t="s">
        <v>35</v>
      </c>
      <c r="B10938" t="s">
        <v>61</v>
      </c>
      <c r="C10938" t="str">
        <f>"A0153293"</f>
        <v>A0153293</v>
      </c>
      <c r="D10938" t="s">
        <v>40281</v>
      </c>
      <c r="E10938" t="s">
        <v>40282</v>
      </c>
      <c r="F10938" t="s">
        <v>12194</v>
      </c>
      <c r="G10938" t="s">
        <v>40</v>
      </c>
      <c r="H10938">
        <v>74354</v>
      </c>
      <c r="I10938" t="s">
        <v>30</v>
      </c>
      <c r="J10938" t="s">
        <v>41</v>
      </c>
      <c r="K10938" t="s">
        <v>59</v>
      </c>
      <c r="Q10938">
        <v>0</v>
      </c>
      <c r="R10938">
        <v>26</v>
      </c>
      <c r="S10938">
        <v>26</v>
      </c>
      <c r="T10938" t="s">
        <v>40283</v>
      </c>
    </row>
    <row r="10939" spans="1:20" customFormat="1" ht="15" x14ac:dyDescent="0.25">
      <c r="A10939" t="s">
        <v>35</v>
      </c>
      <c r="B10939" t="s">
        <v>61</v>
      </c>
      <c r="C10939" t="str">
        <f>"A0130528"</f>
        <v>A0130528</v>
      </c>
      <c r="D10939" t="s">
        <v>40284</v>
      </c>
      <c r="E10939" t="s">
        <v>40285</v>
      </c>
      <c r="F10939" t="s">
        <v>20709</v>
      </c>
      <c r="G10939" t="s">
        <v>71</v>
      </c>
      <c r="H10939">
        <v>53593</v>
      </c>
      <c r="I10939" t="s">
        <v>30</v>
      </c>
      <c r="J10939" t="s">
        <v>41</v>
      </c>
      <c r="K10939" t="s">
        <v>229</v>
      </c>
      <c r="Q10939">
        <v>0</v>
      </c>
      <c r="R10939">
        <v>120</v>
      </c>
      <c r="S10939">
        <v>120</v>
      </c>
      <c r="T10939" t="s">
        <v>40286</v>
      </c>
    </row>
    <row r="10940" spans="1:20" customFormat="1" ht="15" x14ac:dyDescent="0.25">
      <c r="A10940" t="s">
        <v>35</v>
      </c>
      <c r="B10940" t="s">
        <v>61</v>
      </c>
      <c r="C10940" t="str">
        <f>"A0124516"</f>
        <v>A0124516</v>
      </c>
      <c r="D10940" t="s">
        <v>40287</v>
      </c>
      <c r="E10940" t="s">
        <v>40288</v>
      </c>
      <c r="F10940" t="s">
        <v>31123</v>
      </c>
      <c r="G10940" t="s">
        <v>1369</v>
      </c>
      <c r="H10940">
        <v>388430000</v>
      </c>
      <c r="I10940" t="s">
        <v>30</v>
      </c>
      <c r="J10940" t="s">
        <v>41</v>
      </c>
      <c r="K10940" t="s">
        <v>229</v>
      </c>
      <c r="Q10940">
        <v>0</v>
      </c>
      <c r="R10940">
        <v>120</v>
      </c>
      <c r="S10940">
        <v>120</v>
      </c>
      <c r="T10940" t="s">
        <v>40289</v>
      </c>
    </row>
    <row r="10941" spans="1:20" customFormat="1" ht="15" x14ac:dyDescent="0.25">
      <c r="A10941" t="s">
        <v>35</v>
      </c>
      <c r="B10941" t="s">
        <v>437</v>
      </c>
      <c r="C10941" t="str">
        <f>"A0134949"</f>
        <v>A0134949</v>
      </c>
      <c r="D10941" t="s">
        <v>40290</v>
      </c>
      <c r="E10941" t="s">
        <v>40291</v>
      </c>
      <c r="F10941" t="s">
        <v>6290</v>
      </c>
      <c r="G10941" t="s">
        <v>846</v>
      </c>
      <c r="H10941">
        <v>30501</v>
      </c>
      <c r="I10941" t="s">
        <v>30</v>
      </c>
      <c r="J10941" t="s">
        <v>441</v>
      </c>
      <c r="K10941" t="s">
        <v>442</v>
      </c>
      <c r="Q10941">
        <v>0</v>
      </c>
      <c r="R10941">
        <v>0</v>
      </c>
      <c r="S10941">
        <v>0</v>
      </c>
      <c r="T10941" t="s">
        <v>40292</v>
      </c>
    </row>
    <row r="10942" spans="1:20" customFormat="1" ht="15" x14ac:dyDescent="0.25">
      <c r="A10942" t="s">
        <v>35</v>
      </c>
      <c r="B10942" t="s">
        <v>61</v>
      </c>
      <c r="C10942" t="str">
        <f>"A0123273"</f>
        <v>A0123273</v>
      </c>
      <c r="D10942" t="s">
        <v>40293</v>
      </c>
      <c r="E10942" t="s">
        <v>40294</v>
      </c>
      <c r="F10942" t="s">
        <v>15431</v>
      </c>
      <c r="G10942" t="s">
        <v>29</v>
      </c>
      <c r="H10942">
        <v>24541</v>
      </c>
      <c r="I10942" t="s">
        <v>30</v>
      </c>
      <c r="J10942" t="s">
        <v>41</v>
      </c>
      <c r="K10942" t="s">
        <v>3713</v>
      </c>
      <c r="Q10942">
        <v>0</v>
      </c>
      <c r="R10942">
        <v>0</v>
      </c>
      <c r="S10942">
        <v>0</v>
      </c>
      <c r="T10942" t="s">
        <v>40295</v>
      </c>
    </row>
    <row r="10943" spans="1:20" customFormat="1" ht="15" x14ac:dyDescent="0.25">
      <c r="A10943" t="s">
        <v>35</v>
      </c>
      <c r="B10943" t="s">
        <v>61</v>
      </c>
      <c r="C10943" t="str">
        <f>"A0154593"</f>
        <v>A0154593</v>
      </c>
      <c r="D10943" t="s">
        <v>40296</v>
      </c>
      <c r="E10943" t="s">
        <v>40297</v>
      </c>
      <c r="F10943" t="s">
        <v>40298</v>
      </c>
      <c r="G10943" t="s">
        <v>153</v>
      </c>
      <c r="H10943">
        <v>84041</v>
      </c>
      <c r="I10943" t="s">
        <v>30</v>
      </c>
      <c r="J10943" t="s">
        <v>41</v>
      </c>
      <c r="K10943" t="s">
        <v>447</v>
      </c>
      <c r="Q10943">
        <v>0</v>
      </c>
      <c r="R10943">
        <v>50</v>
      </c>
      <c r="S10943">
        <v>50</v>
      </c>
      <c r="T10943" t="s">
        <v>40299</v>
      </c>
    </row>
    <row r="10944" spans="1:20" customFormat="1" ht="15" x14ac:dyDescent="0.25">
      <c r="A10944" t="s">
        <v>35</v>
      </c>
      <c r="B10944" t="s">
        <v>61</v>
      </c>
      <c r="C10944" t="str">
        <f>"A0130681"</f>
        <v>A0130681</v>
      </c>
      <c r="D10944" t="s">
        <v>40300</v>
      </c>
      <c r="E10944" t="s">
        <v>40301</v>
      </c>
      <c r="F10944" t="s">
        <v>9151</v>
      </c>
      <c r="G10944" t="s">
        <v>1898</v>
      </c>
      <c r="H10944">
        <v>52537</v>
      </c>
      <c r="I10944" t="s">
        <v>30</v>
      </c>
      <c r="J10944" t="s">
        <v>41</v>
      </c>
      <c r="K10944" t="s">
        <v>229</v>
      </c>
      <c r="Q10944">
        <v>0</v>
      </c>
      <c r="R10944">
        <v>32</v>
      </c>
      <c r="S10944">
        <v>32</v>
      </c>
      <c r="T10944" t="s">
        <v>40302</v>
      </c>
    </row>
    <row r="10945" spans="1:20" customFormat="1" ht="15" x14ac:dyDescent="0.25">
      <c r="A10945" t="s">
        <v>35</v>
      </c>
      <c r="B10945" t="s">
        <v>61</v>
      </c>
      <c r="C10945" t="str">
        <f>"A0123274"</f>
        <v>A0123274</v>
      </c>
      <c r="D10945" t="s">
        <v>40303</v>
      </c>
      <c r="E10945" t="s">
        <v>40304</v>
      </c>
      <c r="F10945" t="s">
        <v>36233</v>
      </c>
      <c r="G10945" t="s">
        <v>214</v>
      </c>
      <c r="H10945">
        <v>28677</v>
      </c>
      <c r="I10945" t="s">
        <v>30</v>
      </c>
      <c r="J10945" t="s">
        <v>41</v>
      </c>
      <c r="K10945" t="s">
        <v>229</v>
      </c>
      <c r="Q10945">
        <v>0</v>
      </c>
      <c r="R10945">
        <v>186</v>
      </c>
      <c r="S10945">
        <v>186</v>
      </c>
      <c r="T10945" t="s">
        <v>40305</v>
      </c>
    </row>
    <row r="10946" spans="1:20" customFormat="1" ht="15" x14ac:dyDescent="0.25">
      <c r="A10946" t="s">
        <v>35</v>
      </c>
      <c r="B10946" t="s">
        <v>61</v>
      </c>
      <c r="C10946" t="str">
        <f>"A0132542"</f>
        <v>A0132542</v>
      </c>
      <c r="D10946" t="s">
        <v>40306</v>
      </c>
      <c r="E10946" t="s">
        <v>40307</v>
      </c>
      <c r="F10946" t="s">
        <v>2640</v>
      </c>
      <c r="G10946" t="s">
        <v>65</v>
      </c>
      <c r="H10946">
        <v>45344</v>
      </c>
      <c r="I10946" t="s">
        <v>30</v>
      </c>
      <c r="J10946" t="s">
        <v>41</v>
      </c>
      <c r="K10946" t="s">
        <v>229</v>
      </c>
      <c r="Q10946">
        <v>0</v>
      </c>
      <c r="R10946">
        <v>92</v>
      </c>
      <c r="S10946">
        <v>92</v>
      </c>
      <c r="T10946" t="s">
        <v>2708</v>
      </c>
    </row>
    <row r="10947" spans="1:20" customFormat="1" ht="15" x14ac:dyDescent="0.25">
      <c r="A10947" t="s">
        <v>35</v>
      </c>
      <c r="B10947" t="s">
        <v>61</v>
      </c>
      <c r="C10947" t="str">
        <f>"A0127072"</f>
        <v>A0127072</v>
      </c>
      <c r="D10947" t="s">
        <v>40308</v>
      </c>
      <c r="E10947" t="s">
        <v>40309</v>
      </c>
      <c r="F10947" t="s">
        <v>40310</v>
      </c>
      <c r="G10947" t="s">
        <v>103</v>
      </c>
      <c r="H10947">
        <v>19301</v>
      </c>
      <c r="I10947" t="s">
        <v>30</v>
      </c>
      <c r="J10947" t="s">
        <v>41</v>
      </c>
      <c r="K10947" t="s">
        <v>59</v>
      </c>
      <c r="Q10947">
        <v>0</v>
      </c>
      <c r="R10947">
        <v>150</v>
      </c>
      <c r="S10947">
        <v>150</v>
      </c>
      <c r="T10947" t="s">
        <v>40311</v>
      </c>
    </row>
    <row r="10948" spans="1:20" customFormat="1" ht="15" x14ac:dyDescent="0.25">
      <c r="A10948" t="s">
        <v>35</v>
      </c>
      <c r="B10948" t="s">
        <v>61</v>
      </c>
      <c r="C10948" t="str">
        <f>"A0118186"</f>
        <v>A0118186</v>
      </c>
      <c r="D10948" t="s">
        <v>40312</v>
      </c>
      <c r="E10948" t="s">
        <v>40313</v>
      </c>
      <c r="F10948" t="s">
        <v>40314</v>
      </c>
      <c r="G10948" t="s">
        <v>153</v>
      </c>
      <c r="H10948">
        <v>84405</v>
      </c>
      <c r="I10948" t="s">
        <v>30</v>
      </c>
      <c r="J10948" t="s">
        <v>41</v>
      </c>
      <c r="K10948" t="s">
        <v>290</v>
      </c>
      <c r="Q10948">
        <v>0</v>
      </c>
      <c r="R10948">
        <v>1</v>
      </c>
      <c r="S10948">
        <v>1</v>
      </c>
      <c r="T10948" t="s">
        <v>40315</v>
      </c>
    </row>
    <row r="10949" spans="1:20" customFormat="1" ht="15" x14ac:dyDescent="0.25">
      <c r="A10949" t="s">
        <v>35</v>
      </c>
      <c r="B10949" t="s">
        <v>106</v>
      </c>
      <c r="C10949" t="str">
        <f>"A0135516"</f>
        <v>A0135516</v>
      </c>
      <c r="D10949" t="s">
        <v>40316</v>
      </c>
      <c r="E10949" t="s">
        <v>40317</v>
      </c>
      <c r="F10949" t="s">
        <v>28744</v>
      </c>
      <c r="G10949" t="s">
        <v>110</v>
      </c>
      <c r="H10949">
        <v>95014</v>
      </c>
      <c r="I10949" t="s">
        <v>30</v>
      </c>
      <c r="J10949" t="s">
        <v>111</v>
      </c>
      <c r="K10949" t="s">
        <v>112</v>
      </c>
      <c r="Q10949">
        <v>0</v>
      </c>
      <c r="R10949">
        <v>0</v>
      </c>
      <c r="S10949">
        <v>0</v>
      </c>
      <c r="T10949" t="s">
        <v>40318</v>
      </c>
    </row>
    <row r="10950" spans="1:20" customFormat="1" ht="15" x14ac:dyDescent="0.25">
      <c r="A10950" t="s">
        <v>35</v>
      </c>
      <c r="B10950" t="s">
        <v>61</v>
      </c>
      <c r="C10950" t="str">
        <f>"A0154177"</f>
        <v>A0154177</v>
      </c>
      <c r="D10950" t="s">
        <v>40319</v>
      </c>
      <c r="E10950" t="s">
        <v>40320</v>
      </c>
      <c r="F10950" t="s">
        <v>13113</v>
      </c>
      <c r="G10950" t="s">
        <v>381</v>
      </c>
      <c r="H10950">
        <v>47001</v>
      </c>
      <c r="I10950" t="s">
        <v>30</v>
      </c>
      <c r="J10950" t="s">
        <v>41</v>
      </c>
      <c r="K10950" t="s">
        <v>1412</v>
      </c>
      <c r="Q10950">
        <v>0</v>
      </c>
      <c r="R10950">
        <v>0</v>
      </c>
      <c r="S10950">
        <v>0</v>
      </c>
      <c r="T10950" t="s">
        <v>40321</v>
      </c>
    </row>
    <row r="10951" spans="1:20" customFormat="1" ht="15" x14ac:dyDescent="0.25">
      <c r="A10951" t="s">
        <v>35</v>
      </c>
      <c r="B10951" t="s">
        <v>437</v>
      </c>
      <c r="C10951" t="str">
        <f>"A0134607"</f>
        <v>A0134607</v>
      </c>
      <c r="D10951" t="s">
        <v>40322</v>
      </c>
      <c r="E10951" t="s">
        <v>40323</v>
      </c>
      <c r="F10951" t="s">
        <v>33716</v>
      </c>
      <c r="G10951" t="s">
        <v>110</v>
      </c>
      <c r="H10951">
        <v>92629</v>
      </c>
      <c r="I10951" t="s">
        <v>30</v>
      </c>
      <c r="J10951" t="s">
        <v>441</v>
      </c>
      <c r="K10951" t="s">
        <v>442</v>
      </c>
      <c r="Q10951">
        <v>0</v>
      </c>
      <c r="R10951">
        <v>0</v>
      </c>
      <c r="S10951">
        <v>0</v>
      </c>
      <c r="T10951" t="s">
        <v>40324</v>
      </c>
    </row>
    <row r="10952" spans="1:20" customFormat="1" ht="15" x14ac:dyDescent="0.25">
      <c r="A10952" t="s">
        <v>35</v>
      </c>
      <c r="B10952" t="s">
        <v>61</v>
      </c>
      <c r="C10952" t="str">
        <f>"A0123703"</f>
        <v>A0123703</v>
      </c>
      <c r="D10952" t="s">
        <v>40325</v>
      </c>
      <c r="E10952" t="s">
        <v>40326</v>
      </c>
      <c r="F10952" t="s">
        <v>32806</v>
      </c>
      <c r="G10952" t="s">
        <v>29</v>
      </c>
      <c r="H10952">
        <v>23323</v>
      </c>
      <c r="I10952" t="s">
        <v>30</v>
      </c>
      <c r="J10952" t="s">
        <v>41</v>
      </c>
      <c r="K10952" t="s">
        <v>482</v>
      </c>
      <c r="Q10952">
        <v>0</v>
      </c>
      <c r="R10952">
        <v>55</v>
      </c>
      <c r="S10952">
        <v>55</v>
      </c>
      <c r="T10952" t="s">
        <v>40327</v>
      </c>
    </row>
    <row r="10953" spans="1:20" customFormat="1" ht="15" x14ac:dyDescent="0.25">
      <c r="A10953" t="s">
        <v>35</v>
      </c>
      <c r="B10953" t="s">
        <v>61</v>
      </c>
      <c r="C10953" t="str">
        <f>"A0128663"</f>
        <v>A0128663</v>
      </c>
      <c r="D10953" t="s">
        <v>40328</v>
      </c>
      <c r="E10953" t="s">
        <v>40329</v>
      </c>
      <c r="F10953" t="s">
        <v>8070</v>
      </c>
      <c r="G10953" t="s">
        <v>1170</v>
      </c>
      <c r="H10953">
        <v>71232</v>
      </c>
      <c r="I10953" t="s">
        <v>30</v>
      </c>
      <c r="J10953" t="s">
        <v>41</v>
      </c>
      <c r="K10953" t="s">
        <v>229</v>
      </c>
      <c r="Q10953">
        <v>0</v>
      </c>
      <c r="R10953">
        <v>103</v>
      </c>
      <c r="S10953">
        <v>103</v>
      </c>
      <c r="T10953" t="s">
        <v>40330</v>
      </c>
    </row>
    <row r="10954" spans="1:20" customFormat="1" ht="15" x14ac:dyDescent="0.25">
      <c r="A10954" t="s">
        <v>35</v>
      </c>
      <c r="B10954" t="s">
        <v>61</v>
      </c>
      <c r="C10954" t="str">
        <f>"A0130505"</f>
        <v>A0130505</v>
      </c>
      <c r="D10954" t="s">
        <v>40331</v>
      </c>
      <c r="E10954" t="s">
        <v>40332</v>
      </c>
      <c r="F10954" t="s">
        <v>1710</v>
      </c>
      <c r="G10954" t="s">
        <v>1898</v>
      </c>
      <c r="H10954">
        <v>50475</v>
      </c>
      <c r="I10954" t="s">
        <v>30</v>
      </c>
      <c r="J10954" t="s">
        <v>41</v>
      </c>
      <c r="K10954" t="s">
        <v>59</v>
      </c>
      <c r="Q10954">
        <v>0</v>
      </c>
      <c r="R10954">
        <v>16</v>
      </c>
      <c r="S10954">
        <v>16</v>
      </c>
      <c r="T10954" t="s">
        <v>40333</v>
      </c>
    </row>
    <row r="10955" spans="1:20" customFormat="1" ht="15" x14ac:dyDescent="0.25">
      <c r="A10955" t="s">
        <v>35</v>
      </c>
      <c r="B10955" t="s">
        <v>61</v>
      </c>
      <c r="C10955" t="str">
        <f>"A0124029"</f>
        <v>A0124029</v>
      </c>
      <c r="D10955" t="s">
        <v>40334</v>
      </c>
      <c r="E10955" t="s">
        <v>40335</v>
      </c>
      <c r="F10955" t="s">
        <v>8198</v>
      </c>
      <c r="G10955" t="s">
        <v>214</v>
      </c>
      <c r="H10955">
        <v>28803</v>
      </c>
      <c r="I10955" t="s">
        <v>30</v>
      </c>
      <c r="J10955" t="s">
        <v>41</v>
      </c>
      <c r="K10955" t="s">
        <v>482</v>
      </c>
      <c r="Q10955">
        <v>0</v>
      </c>
      <c r="R10955">
        <v>560</v>
      </c>
      <c r="S10955">
        <v>560</v>
      </c>
      <c r="T10955" t="s">
        <v>40336</v>
      </c>
    </row>
    <row r="10956" spans="1:20" customFormat="1" ht="15" x14ac:dyDescent="0.25">
      <c r="A10956" t="s">
        <v>35</v>
      </c>
      <c r="B10956" t="s">
        <v>61</v>
      </c>
      <c r="C10956" t="str">
        <f>"A0131854"</f>
        <v>A0131854</v>
      </c>
      <c r="D10956" t="s">
        <v>40337</v>
      </c>
      <c r="E10956" t="s">
        <v>40338</v>
      </c>
      <c r="F10956" t="s">
        <v>3782</v>
      </c>
      <c r="G10956" t="s">
        <v>65</v>
      </c>
      <c r="H10956">
        <v>43512</v>
      </c>
      <c r="I10956" t="s">
        <v>30</v>
      </c>
      <c r="J10956" t="s">
        <v>41</v>
      </c>
      <c r="K10956" t="s">
        <v>2760</v>
      </c>
      <c r="Q10956">
        <v>0</v>
      </c>
      <c r="R10956">
        <v>1</v>
      </c>
      <c r="S10956">
        <v>1</v>
      </c>
      <c r="T10956" t="s">
        <v>40339</v>
      </c>
    </row>
    <row r="10957" spans="1:20" customFormat="1" ht="15" x14ac:dyDescent="0.25">
      <c r="A10957" t="s">
        <v>35</v>
      </c>
      <c r="B10957" t="s">
        <v>61</v>
      </c>
      <c r="C10957" t="str">
        <f>"A0129227"</f>
        <v>A0129227</v>
      </c>
      <c r="D10957" t="s">
        <v>40340</v>
      </c>
      <c r="E10957" t="s">
        <v>40341</v>
      </c>
      <c r="F10957" t="s">
        <v>5679</v>
      </c>
      <c r="G10957" t="s">
        <v>289</v>
      </c>
      <c r="H10957">
        <v>60115</v>
      </c>
      <c r="I10957" t="s">
        <v>30</v>
      </c>
      <c r="J10957" t="s">
        <v>41</v>
      </c>
      <c r="K10957" t="s">
        <v>229</v>
      </c>
      <c r="Q10957">
        <v>0</v>
      </c>
      <c r="R10957">
        <v>194</v>
      </c>
      <c r="S10957">
        <v>194</v>
      </c>
      <c r="T10957" t="s">
        <v>40342</v>
      </c>
    </row>
    <row r="10958" spans="1:20" customFormat="1" ht="15" x14ac:dyDescent="0.25">
      <c r="A10958" t="s">
        <v>35</v>
      </c>
      <c r="B10958" t="s">
        <v>61</v>
      </c>
      <c r="C10958" t="str">
        <f>"A0117782"</f>
        <v>A0117782</v>
      </c>
      <c r="D10958" t="s">
        <v>40343</v>
      </c>
      <c r="E10958" t="s">
        <v>40344</v>
      </c>
      <c r="F10958" t="s">
        <v>9836</v>
      </c>
      <c r="G10958" t="s">
        <v>110</v>
      </c>
      <c r="H10958">
        <v>91106</v>
      </c>
      <c r="I10958" t="s">
        <v>30</v>
      </c>
      <c r="J10958" t="s">
        <v>41</v>
      </c>
      <c r="K10958" t="s">
        <v>59</v>
      </c>
      <c r="Q10958">
        <v>0</v>
      </c>
      <c r="R10958">
        <v>64</v>
      </c>
      <c r="S10958">
        <v>64</v>
      </c>
      <c r="T10958" t="s">
        <v>40345</v>
      </c>
    </row>
    <row r="10959" spans="1:20" customFormat="1" ht="15" x14ac:dyDescent="0.25">
      <c r="A10959" t="s">
        <v>35</v>
      </c>
      <c r="B10959" t="s">
        <v>61</v>
      </c>
      <c r="C10959" t="str">
        <f>"A0154422"</f>
        <v>A0154422</v>
      </c>
      <c r="D10959" t="s">
        <v>40346</v>
      </c>
      <c r="E10959" t="s">
        <v>40347</v>
      </c>
      <c r="F10959" t="s">
        <v>13469</v>
      </c>
      <c r="G10959" t="s">
        <v>110</v>
      </c>
      <c r="H10959">
        <v>93950</v>
      </c>
      <c r="I10959" t="s">
        <v>30</v>
      </c>
      <c r="J10959" t="s">
        <v>41</v>
      </c>
      <c r="K10959" t="s">
        <v>482</v>
      </c>
      <c r="Q10959">
        <v>0</v>
      </c>
      <c r="R10959">
        <v>60</v>
      </c>
      <c r="S10959">
        <v>60</v>
      </c>
      <c r="T10959" t="s">
        <v>40348</v>
      </c>
    </row>
    <row r="10960" spans="1:20" customFormat="1" ht="15" x14ac:dyDescent="0.25">
      <c r="A10960" t="s">
        <v>35</v>
      </c>
      <c r="B10960" t="s">
        <v>61</v>
      </c>
      <c r="C10960" t="str">
        <f>"A0124151"</f>
        <v>A0124151</v>
      </c>
      <c r="D10960" t="s">
        <v>40349</v>
      </c>
      <c r="E10960" t="s">
        <v>40350</v>
      </c>
      <c r="F10960" t="s">
        <v>4629</v>
      </c>
      <c r="G10960" t="s">
        <v>103</v>
      </c>
      <c r="H10960">
        <v>19104</v>
      </c>
      <c r="I10960" t="s">
        <v>30</v>
      </c>
      <c r="J10960" t="s">
        <v>41</v>
      </c>
      <c r="K10960" t="s">
        <v>229</v>
      </c>
      <c r="Q10960">
        <v>0</v>
      </c>
      <c r="R10960">
        <v>180</v>
      </c>
      <c r="S10960">
        <v>180</v>
      </c>
      <c r="T10960" t="s">
        <v>40351</v>
      </c>
    </row>
    <row r="10961" spans="1:20" customFormat="1" ht="15" x14ac:dyDescent="0.25">
      <c r="A10961" t="s">
        <v>35</v>
      </c>
      <c r="B10961" t="s">
        <v>61</v>
      </c>
      <c r="C10961" t="str">
        <f>"A0117881"</f>
        <v>A0117881</v>
      </c>
      <c r="D10961" t="s">
        <v>40352</v>
      </c>
      <c r="E10961" t="s">
        <v>40353</v>
      </c>
      <c r="F10961" t="s">
        <v>40354</v>
      </c>
      <c r="G10961" t="s">
        <v>110</v>
      </c>
      <c r="H10961">
        <v>93215</v>
      </c>
      <c r="I10961" t="s">
        <v>30</v>
      </c>
      <c r="J10961" t="s">
        <v>41</v>
      </c>
      <c r="K10961" t="s">
        <v>229</v>
      </c>
      <c r="Q10961">
        <v>0</v>
      </c>
      <c r="R10961">
        <v>141</v>
      </c>
      <c r="S10961">
        <v>141</v>
      </c>
      <c r="T10961" t="s">
        <v>40355</v>
      </c>
    </row>
    <row r="10962" spans="1:20" customFormat="1" ht="15" x14ac:dyDescent="0.25">
      <c r="A10962" t="s">
        <v>35</v>
      </c>
      <c r="B10962" t="s">
        <v>61</v>
      </c>
      <c r="C10962" t="str">
        <f>"A0130082"</f>
        <v>A0130082</v>
      </c>
      <c r="D10962" t="s">
        <v>40356</v>
      </c>
      <c r="E10962" t="s">
        <v>40357</v>
      </c>
      <c r="F10962" t="s">
        <v>11777</v>
      </c>
      <c r="G10962" t="s">
        <v>880</v>
      </c>
      <c r="H10962">
        <v>37042</v>
      </c>
      <c r="I10962" t="s">
        <v>30</v>
      </c>
      <c r="J10962" t="s">
        <v>41</v>
      </c>
      <c r="K10962" t="s">
        <v>42</v>
      </c>
      <c r="Q10962">
        <v>0</v>
      </c>
      <c r="R10962">
        <v>0</v>
      </c>
      <c r="S10962">
        <v>0</v>
      </c>
      <c r="T10962" t="s">
        <v>40358</v>
      </c>
    </row>
    <row r="10963" spans="1:20" customFormat="1" ht="15" x14ac:dyDescent="0.25">
      <c r="A10963" t="s">
        <v>35</v>
      </c>
      <c r="B10963" t="s">
        <v>61</v>
      </c>
      <c r="C10963" t="str">
        <f>"A0127656"</f>
        <v>A0127656</v>
      </c>
      <c r="D10963" t="s">
        <v>40359</v>
      </c>
      <c r="E10963" t="s">
        <v>40360</v>
      </c>
      <c r="F10963" t="s">
        <v>25517</v>
      </c>
      <c r="G10963" t="s">
        <v>123</v>
      </c>
      <c r="H10963">
        <v>21875</v>
      </c>
      <c r="I10963" t="s">
        <v>30</v>
      </c>
      <c r="J10963" t="s">
        <v>41</v>
      </c>
      <c r="K10963" t="s">
        <v>229</v>
      </c>
      <c r="Q10963">
        <v>0</v>
      </c>
      <c r="R10963">
        <v>15</v>
      </c>
      <c r="S10963">
        <v>15</v>
      </c>
      <c r="T10963" t="s">
        <v>40361</v>
      </c>
    </row>
    <row r="10964" spans="1:20" customFormat="1" ht="15" x14ac:dyDescent="0.25">
      <c r="A10964" t="s">
        <v>35</v>
      </c>
      <c r="B10964" t="s">
        <v>61</v>
      </c>
      <c r="C10964" t="str">
        <f>"A0126647"</f>
        <v>A0126647</v>
      </c>
      <c r="D10964" t="s">
        <v>40362</v>
      </c>
      <c r="E10964" t="s">
        <v>40363</v>
      </c>
      <c r="F10964" t="s">
        <v>25517</v>
      </c>
      <c r="G10964" t="s">
        <v>528</v>
      </c>
      <c r="H10964">
        <v>19940</v>
      </c>
      <c r="I10964" t="s">
        <v>30</v>
      </c>
      <c r="J10964" t="s">
        <v>41</v>
      </c>
      <c r="K10964" t="s">
        <v>229</v>
      </c>
      <c r="Q10964">
        <v>0</v>
      </c>
      <c r="R10964">
        <v>109</v>
      </c>
      <c r="S10964">
        <v>109</v>
      </c>
      <c r="T10964" t="s">
        <v>40364</v>
      </c>
    </row>
    <row r="10965" spans="1:20" customFormat="1" ht="15" x14ac:dyDescent="0.25">
      <c r="A10965" t="s">
        <v>35</v>
      </c>
      <c r="B10965" t="s">
        <v>61</v>
      </c>
      <c r="C10965" t="str">
        <f>"A0127657"</f>
        <v>A0127657</v>
      </c>
      <c r="D10965" t="s">
        <v>40365</v>
      </c>
      <c r="E10965" t="s">
        <v>40366</v>
      </c>
      <c r="F10965" t="s">
        <v>25517</v>
      </c>
      <c r="G10965" t="s">
        <v>123</v>
      </c>
      <c r="H10965">
        <v>21875</v>
      </c>
      <c r="I10965" t="s">
        <v>30</v>
      </c>
      <c r="J10965" t="s">
        <v>41</v>
      </c>
      <c r="K10965" t="s">
        <v>59</v>
      </c>
      <c r="Q10965">
        <v>0</v>
      </c>
      <c r="R10965">
        <v>15</v>
      </c>
      <c r="S10965">
        <v>15</v>
      </c>
      <c r="T10965" t="s">
        <v>40361</v>
      </c>
    </row>
    <row r="10966" spans="1:20" customFormat="1" ht="15" x14ac:dyDescent="0.25">
      <c r="A10966" t="s">
        <v>35</v>
      </c>
      <c r="B10966" t="s">
        <v>106</v>
      </c>
      <c r="C10966" t="str">
        <f>"A0136547"</f>
        <v>A0136547</v>
      </c>
      <c r="D10966" t="s">
        <v>40367</v>
      </c>
      <c r="E10966" t="s">
        <v>40368</v>
      </c>
      <c r="F10966" t="s">
        <v>40369</v>
      </c>
      <c r="G10966" t="s">
        <v>117</v>
      </c>
      <c r="H10966">
        <v>48710</v>
      </c>
      <c r="I10966" t="s">
        <v>30</v>
      </c>
      <c r="J10966" t="s">
        <v>111</v>
      </c>
      <c r="K10966" t="s">
        <v>10012</v>
      </c>
      <c r="Q10966">
        <v>0</v>
      </c>
      <c r="R10966">
        <v>0</v>
      </c>
      <c r="S10966">
        <v>0</v>
      </c>
      <c r="T10966" t="s">
        <v>40370</v>
      </c>
    </row>
    <row r="10967" spans="1:20" customFormat="1" ht="15" x14ac:dyDescent="0.25">
      <c r="A10967" t="s">
        <v>35</v>
      </c>
      <c r="B10967" t="s">
        <v>106</v>
      </c>
      <c r="C10967" t="str">
        <f>"A0136592"</f>
        <v>A0136592</v>
      </c>
      <c r="D10967" t="s">
        <v>40371</v>
      </c>
      <c r="E10967" t="s">
        <v>40372</v>
      </c>
      <c r="F10967" t="s">
        <v>4133</v>
      </c>
      <c r="G10967" t="s">
        <v>52</v>
      </c>
      <c r="H10967">
        <v>78705</v>
      </c>
      <c r="I10967" t="s">
        <v>30</v>
      </c>
      <c r="J10967" t="s">
        <v>111</v>
      </c>
      <c r="K10967" t="s">
        <v>10012</v>
      </c>
      <c r="Q10967">
        <v>0</v>
      </c>
      <c r="R10967">
        <v>0</v>
      </c>
      <c r="S10967">
        <v>0</v>
      </c>
      <c r="T10967" t="s">
        <v>40373</v>
      </c>
    </row>
    <row r="10968" spans="1:20" customFormat="1" ht="15" x14ac:dyDescent="0.25">
      <c r="A10968" t="s">
        <v>35</v>
      </c>
      <c r="B10968" t="s">
        <v>106</v>
      </c>
      <c r="C10968" t="str">
        <f>"A0135887"</f>
        <v>A0135887</v>
      </c>
      <c r="D10968" t="s">
        <v>40374</v>
      </c>
      <c r="E10968" t="s">
        <v>40375</v>
      </c>
      <c r="F10968" t="s">
        <v>1444</v>
      </c>
      <c r="G10968" t="s">
        <v>76</v>
      </c>
      <c r="H10968">
        <v>98105</v>
      </c>
      <c r="I10968" t="s">
        <v>30</v>
      </c>
      <c r="J10968" t="s">
        <v>111</v>
      </c>
      <c r="K10968" t="s">
        <v>112</v>
      </c>
      <c r="Q10968">
        <v>0</v>
      </c>
      <c r="R10968">
        <v>0</v>
      </c>
      <c r="S10968">
        <v>0</v>
      </c>
      <c r="T10968" t="s">
        <v>40376</v>
      </c>
    </row>
    <row r="10969" spans="1:20" customFormat="1" ht="15" x14ac:dyDescent="0.25">
      <c r="A10969" t="s">
        <v>35</v>
      </c>
      <c r="B10969" t="s">
        <v>106</v>
      </c>
      <c r="C10969" t="str">
        <f>"A0135886"</f>
        <v>A0135886</v>
      </c>
      <c r="D10969" t="s">
        <v>40377</v>
      </c>
      <c r="E10969" t="s">
        <v>40378</v>
      </c>
      <c r="F10969" t="s">
        <v>1444</v>
      </c>
      <c r="G10969" t="s">
        <v>76</v>
      </c>
      <c r="H10969">
        <v>98105</v>
      </c>
      <c r="I10969" t="s">
        <v>30</v>
      </c>
      <c r="J10969" t="s">
        <v>111</v>
      </c>
      <c r="K10969" t="s">
        <v>112</v>
      </c>
      <c r="Q10969">
        <v>0</v>
      </c>
      <c r="R10969">
        <v>0</v>
      </c>
      <c r="S10969">
        <v>0</v>
      </c>
      <c r="T10969" t="s">
        <v>40379</v>
      </c>
    </row>
    <row r="10970" spans="1:20" customFormat="1" ht="15" x14ac:dyDescent="0.25">
      <c r="A10970" t="s">
        <v>35</v>
      </c>
      <c r="B10970" t="s">
        <v>106</v>
      </c>
      <c r="C10970" t="str">
        <f>"A0136302"</f>
        <v>A0136302</v>
      </c>
      <c r="D10970" t="s">
        <v>40380</v>
      </c>
      <c r="E10970" t="s">
        <v>40381</v>
      </c>
      <c r="F10970" t="s">
        <v>11919</v>
      </c>
      <c r="G10970" t="s">
        <v>1369</v>
      </c>
      <c r="H10970">
        <v>38655</v>
      </c>
      <c r="I10970" t="s">
        <v>30</v>
      </c>
      <c r="J10970" t="s">
        <v>111</v>
      </c>
      <c r="K10970" t="s">
        <v>112</v>
      </c>
      <c r="Q10970">
        <v>0</v>
      </c>
      <c r="R10970">
        <v>0</v>
      </c>
      <c r="S10970">
        <v>0</v>
      </c>
      <c r="T10970" t="s">
        <v>40382</v>
      </c>
    </row>
    <row r="10971" spans="1:20" customFormat="1" ht="15" x14ac:dyDescent="0.25">
      <c r="A10971" t="s">
        <v>35</v>
      </c>
      <c r="B10971" t="s">
        <v>106</v>
      </c>
      <c r="C10971" t="str">
        <f>"A0135611"</f>
        <v>A0135611</v>
      </c>
      <c r="D10971" t="s">
        <v>40383</v>
      </c>
      <c r="E10971" t="s">
        <v>40384</v>
      </c>
      <c r="F10971" t="s">
        <v>4133</v>
      </c>
      <c r="G10971" t="s">
        <v>52</v>
      </c>
      <c r="H10971">
        <v>78705</v>
      </c>
      <c r="I10971" t="s">
        <v>30</v>
      </c>
      <c r="J10971" t="s">
        <v>111</v>
      </c>
      <c r="K10971" t="s">
        <v>112</v>
      </c>
      <c r="Q10971">
        <v>0</v>
      </c>
      <c r="R10971">
        <v>0</v>
      </c>
      <c r="S10971">
        <v>0</v>
      </c>
      <c r="T10971" t="s">
        <v>40385</v>
      </c>
    </row>
    <row r="10972" spans="1:20" customFormat="1" ht="15" x14ac:dyDescent="0.25">
      <c r="A10972" t="s">
        <v>35</v>
      </c>
      <c r="B10972" t="s">
        <v>106</v>
      </c>
      <c r="C10972" t="str">
        <f>"A0135474"</f>
        <v>A0135474</v>
      </c>
      <c r="D10972" t="s">
        <v>40386</v>
      </c>
      <c r="E10972" t="s">
        <v>40387</v>
      </c>
      <c r="F10972" t="s">
        <v>9135</v>
      </c>
      <c r="G10972" t="s">
        <v>110</v>
      </c>
      <c r="H10972">
        <v>95112</v>
      </c>
      <c r="I10972" t="s">
        <v>30</v>
      </c>
      <c r="J10972" t="s">
        <v>111</v>
      </c>
      <c r="K10972" t="s">
        <v>10012</v>
      </c>
      <c r="Q10972">
        <v>0</v>
      </c>
      <c r="R10972">
        <v>0</v>
      </c>
      <c r="S10972">
        <v>0</v>
      </c>
      <c r="T10972" t="s">
        <v>40388</v>
      </c>
    </row>
    <row r="10973" spans="1:20" customFormat="1" ht="15" x14ac:dyDescent="0.25">
      <c r="A10973" t="s">
        <v>35</v>
      </c>
      <c r="B10973" t="s">
        <v>106</v>
      </c>
      <c r="C10973" t="str">
        <f>"A0156886"</f>
        <v>A0156886</v>
      </c>
      <c r="D10973" t="s">
        <v>40389</v>
      </c>
      <c r="E10973" t="s">
        <v>40390</v>
      </c>
      <c r="F10973" t="s">
        <v>22478</v>
      </c>
      <c r="G10973" t="s">
        <v>214</v>
      </c>
      <c r="H10973">
        <v>27514</v>
      </c>
      <c r="I10973" t="s">
        <v>30</v>
      </c>
      <c r="J10973" t="s">
        <v>111</v>
      </c>
      <c r="K10973" t="s">
        <v>112</v>
      </c>
      <c r="Q10973">
        <v>0</v>
      </c>
      <c r="R10973">
        <v>0</v>
      </c>
      <c r="S10973">
        <v>0</v>
      </c>
      <c r="T10973" t="s">
        <v>40391</v>
      </c>
    </row>
    <row r="10974" spans="1:20" customFormat="1" ht="15" x14ac:dyDescent="0.25">
      <c r="A10974" t="s">
        <v>35</v>
      </c>
      <c r="B10974" t="s">
        <v>61</v>
      </c>
      <c r="C10974" t="str">
        <f>"A0125175"</f>
        <v>A0125175</v>
      </c>
      <c r="D10974" t="s">
        <v>40392</v>
      </c>
      <c r="E10974" t="s">
        <v>40393</v>
      </c>
      <c r="F10974" t="s">
        <v>39281</v>
      </c>
      <c r="G10974" t="s">
        <v>40</v>
      </c>
      <c r="H10974">
        <v>73533</v>
      </c>
      <c r="I10974" t="s">
        <v>30</v>
      </c>
      <c r="J10974" t="s">
        <v>41</v>
      </c>
      <c r="K10974" t="s">
        <v>6300</v>
      </c>
      <c r="Q10974">
        <v>0</v>
      </c>
      <c r="R10974">
        <v>1</v>
      </c>
      <c r="S10974">
        <v>1</v>
      </c>
      <c r="T10974" t="s">
        <v>40394</v>
      </c>
    </row>
    <row r="10975" spans="1:20" customFormat="1" ht="15" x14ac:dyDescent="0.25">
      <c r="A10975" t="s">
        <v>35</v>
      </c>
      <c r="B10975" t="s">
        <v>106</v>
      </c>
      <c r="C10975" t="str">
        <f>"A0136543"</f>
        <v>A0136543</v>
      </c>
      <c r="D10975" t="s">
        <v>40395</v>
      </c>
      <c r="E10975" t="s">
        <v>40396</v>
      </c>
      <c r="F10975" t="s">
        <v>4133</v>
      </c>
      <c r="G10975" t="s">
        <v>52</v>
      </c>
      <c r="H10975">
        <v>78705</v>
      </c>
      <c r="I10975" t="s">
        <v>30</v>
      </c>
      <c r="J10975" t="s">
        <v>111</v>
      </c>
      <c r="K10975" t="s">
        <v>10012</v>
      </c>
      <c r="Q10975">
        <v>0</v>
      </c>
      <c r="R10975">
        <v>0</v>
      </c>
      <c r="S10975">
        <v>0</v>
      </c>
      <c r="T10975" t="s">
        <v>40397</v>
      </c>
    </row>
    <row r="10976" spans="1:20" customFormat="1" ht="15" x14ac:dyDescent="0.25">
      <c r="A10976" t="s">
        <v>35</v>
      </c>
      <c r="B10976" t="s">
        <v>61</v>
      </c>
      <c r="C10976" t="str">
        <f>"A0124152"</f>
        <v>A0124152</v>
      </c>
      <c r="D10976" t="s">
        <v>40398</v>
      </c>
      <c r="E10976" t="s">
        <v>40399</v>
      </c>
      <c r="F10976" t="s">
        <v>13792</v>
      </c>
      <c r="G10976" t="s">
        <v>29</v>
      </c>
      <c r="H10976">
        <v>22204</v>
      </c>
      <c r="I10976" t="s">
        <v>30</v>
      </c>
      <c r="J10976" t="s">
        <v>41</v>
      </c>
      <c r="K10976" t="s">
        <v>59</v>
      </c>
      <c r="Q10976">
        <v>0</v>
      </c>
      <c r="R10976">
        <v>35</v>
      </c>
      <c r="S10976">
        <v>35</v>
      </c>
      <c r="T10976" t="s">
        <v>40400</v>
      </c>
    </row>
    <row r="10977" spans="1:20" customFormat="1" ht="15" x14ac:dyDescent="0.25">
      <c r="A10977" t="s">
        <v>35</v>
      </c>
      <c r="B10977" t="s">
        <v>61</v>
      </c>
      <c r="C10977" t="str">
        <f>"A0130275"</f>
        <v>A0130275</v>
      </c>
      <c r="D10977" t="s">
        <v>40401</v>
      </c>
      <c r="E10977" t="s">
        <v>40402</v>
      </c>
      <c r="F10977" t="s">
        <v>2719</v>
      </c>
      <c r="G10977" t="s">
        <v>1898</v>
      </c>
      <c r="H10977">
        <v>506220000</v>
      </c>
      <c r="I10977" t="s">
        <v>30</v>
      </c>
      <c r="J10977" t="s">
        <v>41</v>
      </c>
      <c r="K10977" t="s">
        <v>229</v>
      </c>
      <c r="Q10977">
        <v>0</v>
      </c>
      <c r="R10977">
        <v>36</v>
      </c>
      <c r="S10977">
        <v>36</v>
      </c>
      <c r="T10977" t="s">
        <v>40403</v>
      </c>
    </row>
    <row r="10978" spans="1:20" customFormat="1" ht="15" x14ac:dyDescent="0.25">
      <c r="A10978" t="s">
        <v>35</v>
      </c>
      <c r="B10978" t="s">
        <v>61</v>
      </c>
      <c r="C10978" t="str">
        <f>"A0121995"</f>
        <v>A0121995</v>
      </c>
      <c r="D10978" t="s">
        <v>40404</v>
      </c>
      <c r="E10978" t="s">
        <v>40405</v>
      </c>
      <c r="F10978" t="s">
        <v>1439</v>
      </c>
      <c r="G10978" t="s">
        <v>110</v>
      </c>
      <c r="H10978">
        <v>92119</v>
      </c>
      <c r="I10978" t="s">
        <v>30</v>
      </c>
      <c r="J10978" t="s">
        <v>41</v>
      </c>
      <c r="K10978" t="s">
        <v>290</v>
      </c>
      <c r="Q10978">
        <v>0</v>
      </c>
      <c r="R10978">
        <v>0</v>
      </c>
      <c r="S10978">
        <v>0</v>
      </c>
      <c r="T10978" t="s">
        <v>40406</v>
      </c>
    </row>
    <row r="10979" spans="1:20" customFormat="1" ht="15" x14ac:dyDescent="0.25">
      <c r="A10979" t="s">
        <v>35</v>
      </c>
      <c r="B10979" t="s">
        <v>61</v>
      </c>
      <c r="C10979" t="str">
        <f>"A0153042"</f>
        <v>A0153042</v>
      </c>
      <c r="D10979" t="s">
        <v>40407</v>
      </c>
      <c r="E10979" t="s">
        <v>40408</v>
      </c>
      <c r="F10979" t="s">
        <v>40409</v>
      </c>
      <c r="G10979" t="s">
        <v>507</v>
      </c>
      <c r="H10979">
        <v>25425</v>
      </c>
      <c r="I10979" t="s">
        <v>30</v>
      </c>
      <c r="J10979" t="s">
        <v>41</v>
      </c>
      <c r="K10979" t="s">
        <v>4317</v>
      </c>
      <c r="Q10979">
        <v>0</v>
      </c>
      <c r="R10979">
        <v>0</v>
      </c>
      <c r="S10979">
        <v>0</v>
      </c>
      <c r="T10979" t="s">
        <v>40410</v>
      </c>
    </row>
    <row r="10980" spans="1:20" customFormat="1" ht="15" x14ac:dyDescent="0.25">
      <c r="A10980" t="s">
        <v>35</v>
      </c>
      <c r="B10980" t="s">
        <v>61</v>
      </c>
      <c r="C10980" t="str">
        <f>"A0130946"</f>
        <v>A0130946</v>
      </c>
      <c r="D10980" t="s">
        <v>40411</v>
      </c>
      <c r="E10980" t="s">
        <v>40412</v>
      </c>
      <c r="F10980" t="s">
        <v>15828</v>
      </c>
      <c r="G10980" t="s">
        <v>85</v>
      </c>
      <c r="H10980">
        <v>716380000</v>
      </c>
      <c r="I10980" t="s">
        <v>30</v>
      </c>
      <c r="J10980" t="s">
        <v>41</v>
      </c>
      <c r="K10980" t="s">
        <v>2760</v>
      </c>
      <c r="Q10980">
        <v>0</v>
      </c>
      <c r="R10980">
        <v>1</v>
      </c>
      <c r="S10980">
        <v>1</v>
      </c>
      <c r="T10980" t="s">
        <v>40413</v>
      </c>
    </row>
    <row r="10981" spans="1:20" customFormat="1" ht="15" x14ac:dyDescent="0.25">
      <c r="A10981" t="s">
        <v>35</v>
      </c>
      <c r="B10981" t="s">
        <v>61</v>
      </c>
      <c r="C10981" t="str">
        <f>"A0121690"</f>
        <v>A0121690</v>
      </c>
      <c r="D10981" t="s">
        <v>40414</v>
      </c>
      <c r="E10981" t="s">
        <v>40415</v>
      </c>
      <c r="F10981" t="s">
        <v>1281</v>
      </c>
      <c r="G10981" t="s">
        <v>110</v>
      </c>
      <c r="H10981">
        <v>92201</v>
      </c>
      <c r="I10981" t="s">
        <v>30</v>
      </c>
      <c r="J10981" t="s">
        <v>41</v>
      </c>
      <c r="K10981" t="s">
        <v>482</v>
      </c>
      <c r="Q10981">
        <v>0</v>
      </c>
      <c r="R10981">
        <v>12</v>
      </c>
      <c r="S10981">
        <v>12</v>
      </c>
      <c r="T10981" t="s">
        <v>40416</v>
      </c>
    </row>
    <row r="10982" spans="1:20" customFormat="1" ht="15" x14ac:dyDescent="0.25">
      <c r="A10982" t="s">
        <v>35</v>
      </c>
      <c r="B10982" t="s">
        <v>61</v>
      </c>
      <c r="C10982" t="str">
        <f>"A0121689"</f>
        <v>A0121689</v>
      </c>
      <c r="D10982" t="s">
        <v>40417</v>
      </c>
      <c r="E10982" t="s">
        <v>40418</v>
      </c>
      <c r="F10982" t="s">
        <v>40419</v>
      </c>
      <c r="G10982" t="s">
        <v>110</v>
      </c>
      <c r="H10982">
        <v>92240</v>
      </c>
      <c r="I10982" t="s">
        <v>30</v>
      </c>
      <c r="J10982" t="s">
        <v>41</v>
      </c>
      <c r="K10982" t="s">
        <v>482</v>
      </c>
      <c r="Q10982">
        <v>0</v>
      </c>
      <c r="R10982">
        <v>56</v>
      </c>
      <c r="S10982">
        <v>56</v>
      </c>
      <c r="T10982" t="s">
        <v>40416</v>
      </c>
    </row>
    <row r="10983" spans="1:20" customFormat="1" ht="15" x14ac:dyDescent="0.25">
      <c r="A10983" t="s">
        <v>35</v>
      </c>
      <c r="B10983" t="s">
        <v>61</v>
      </c>
      <c r="C10983" t="str">
        <f>"A0124153"</f>
        <v>A0124153</v>
      </c>
      <c r="D10983" t="s">
        <v>40420</v>
      </c>
      <c r="E10983" t="s">
        <v>40421</v>
      </c>
      <c r="F10983" t="s">
        <v>40422</v>
      </c>
      <c r="G10983" t="s">
        <v>110</v>
      </c>
      <c r="H10983">
        <v>92234</v>
      </c>
      <c r="I10983" t="s">
        <v>30</v>
      </c>
      <c r="J10983" t="s">
        <v>41</v>
      </c>
      <c r="K10983" t="s">
        <v>229</v>
      </c>
      <c r="Q10983">
        <v>0</v>
      </c>
      <c r="R10983">
        <v>75</v>
      </c>
      <c r="S10983">
        <v>75</v>
      </c>
      <c r="T10983" t="s">
        <v>40423</v>
      </c>
    </row>
    <row r="10984" spans="1:20" customFormat="1" ht="15" x14ac:dyDescent="0.25">
      <c r="A10984" t="s">
        <v>35</v>
      </c>
      <c r="B10984" t="s">
        <v>61</v>
      </c>
      <c r="C10984" t="str">
        <f>"A0119329"</f>
        <v>A0119329</v>
      </c>
      <c r="D10984" t="s">
        <v>40424</v>
      </c>
      <c r="E10984" t="s">
        <v>40425</v>
      </c>
      <c r="F10984" t="s">
        <v>1281</v>
      </c>
      <c r="G10984" t="s">
        <v>110</v>
      </c>
      <c r="H10984">
        <v>92201</v>
      </c>
      <c r="I10984" t="s">
        <v>30</v>
      </c>
      <c r="J10984" t="s">
        <v>41</v>
      </c>
      <c r="K10984" t="s">
        <v>418</v>
      </c>
      <c r="Q10984">
        <v>0</v>
      </c>
      <c r="R10984">
        <v>34</v>
      </c>
      <c r="S10984">
        <v>34</v>
      </c>
      <c r="T10984" t="s">
        <v>40426</v>
      </c>
    </row>
    <row r="10985" spans="1:20" customFormat="1" ht="15" x14ac:dyDescent="0.25">
      <c r="A10985" t="s">
        <v>35</v>
      </c>
      <c r="B10985" t="s">
        <v>5511</v>
      </c>
      <c r="C10985" t="str">
        <f>"A0123001"</f>
        <v>A0123001</v>
      </c>
      <c r="D10985" t="s">
        <v>40427</v>
      </c>
      <c r="E10985" t="s">
        <v>40428</v>
      </c>
      <c r="F10985" t="s">
        <v>32163</v>
      </c>
      <c r="G10985" t="s">
        <v>433</v>
      </c>
      <c r="H10985">
        <v>83316</v>
      </c>
      <c r="I10985" t="s">
        <v>30</v>
      </c>
      <c r="J10985" t="s">
        <v>41</v>
      </c>
      <c r="K10985" t="s">
        <v>229</v>
      </c>
      <c r="Q10985">
        <v>0</v>
      </c>
      <c r="R10985">
        <v>65</v>
      </c>
      <c r="S10985">
        <v>65</v>
      </c>
      <c r="T10985" t="s">
        <v>40429</v>
      </c>
    </row>
    <row r="10986" spans="1:20" customFormat="1" ht="15" x14ac:dyDescent="0.25">
      <c r="A10986" t="s">
        <v>35</v>
      </c>
      <c r="B10986" t="s">
        <v>61</v>
      </c>
      <c r="C10986" t="str">
        <f>"A0121659"</f>
        <v>A0121659</v>
      </c>
      <c r="D10986" t="s">
        <v>40430</v>
      </c>
      <c r="E10986" t="s">
        <v>40431</v>
      </c>
      <c r="F10986" t="s">
        <v>902</v>
      </c>
      <c r="G10986" t="s">
        <v>221</v>
      </c>
      <c r="H10986">
        <v>89129</v>
      </c>
      <c r="I10986" t="s">
        <v>30</v>
      </c>
      <c r="J10986" t="s">
        <v>41</v>
      </c>
      <c r="K10986" t="s">
        <v>59</v>
      </c>
      <c r="Q10986">
        <v>0</v>
      </c>
      <c r="R10986">
        <v>50</v>
      </c>
      <c r="S10986">
        <v>50</v>
      </c>
      <c r="T10986" t="s">
        <v>40432</v>
      </c>
    </row>
    <row r="10987" spans="1:20" customFormat="1" ht="15" x14ac:dyDescent="0.25">
      <c r="A10987" t="s">
        <v>35</v>
      </c>
      <c r="B10987" t="s">
        <v>61</v>
      </c>
      <c r="C10987" t="str">
        <f>"A0130956"</f>
        <v>A0130956</v>
      </c>
      <c r="D10987" t="s">
        <v>40433</v>
      </c>
      <c r="E10987" t="s">
        <v>40434</v>
      </c>
      <c r="F10987" t="s">
        <v>40435</v>
      </c>
      <c r="G10987" t="s">
        <v>85</v>
      </c>
      <c r="H10987">
        <v>716540000</v>
      </c>
      <c r="I10987" t="s">
        <v>30</v>
      </c>
      <c r="J10987" t="s">
        <v>41</v>
      </c>
      <c r="K10987" t="s">
        <v>2463</v>
      </c>
      <c r="Q10987">
        <v>0</v>
      </c>
      <c r="R10987">
        <v>1</v>
      </c>
      <c r="S10987">
        <v>1</v>
      </c>
      <c r="T10987" t="s">
        <v>40436</v>
      </c>
    </row>
    <row r="10988" spans="1:20" customFormat="1" ht="15" x14ac:dyDescent="0.25">
      <c r="A10988" t="s">
        <v>35</v>
      </c>
      <c r="B10988" t="s">
        <v>61</v>
      </c>
      <c r="C10988" t="str">
        <f>"A0154072"</f>
        <v>A0154072</v>
      </c>
      <c r="D10988" t="s">
        <v>40437</v>
      </c>
      <c r="E10988" t="s">
        <v>40438</v>
      </c>
      <c r="F10988" t="s">
        <v>40439</v>
      </c>
      <c r="G10988" t="s">
        <v>47</v>
      </c>
      <c r="H10988">
        <v>97801</v>
      </c>
      <c r="I10988" t="s">
        <v>30</v>
      </c>
      <c r="J10988" t="s">
        <v>41</v>
      </c>
      <c r="K10988" t="s">
        <v>59</v>
      </c>
      <c r="Q10988">
        <v>0</v>
      </c>
      <c r="R10988">
        <v>50</v>
      </c>
      <c r="S10988">
        <v>50</v>
      </c>
      <c r="T10988" t="s">
        <v>40440</v>
      </c>
    </row>
    <row r="10989" spans="1:20" customFormat="1" ht="15" x14ac:dyDescent="0.25">
      <c r="A10989" t="s">
        <v>35</v>
      </c>
      <c r="B10989" t="s">
        <v>106</v>
      </c>
      <c r="C10989" t="str">
        <f>"A0135851"</f>
        <v>A0135851</v>
      </c>
      <c r="D10989" t="s">
        <v>40441</v>
      </c>
      <c r="E10989" t="s">
        <v>40442</v>
      </c>
      <c r="F10989" t="s">
        <v>40443</v>
      </c>
      <c r="G10989" t="s">
        <v>1184</v>
      </c>
      <c r="H10989">
        <v>59808</v>
      </c>
      <c r="I10989" t="s">
        <v>30</v>
      </c>
      <c r="J10989" t="s">
        <v>111</v>
      </c>
      <c r="K10989" t="s">
        <v>112</v>
      </c>
      <c r="Q10989">
        <v>0</v>
      </c>
      <c r="R10989">
        <v>0</v>
      </c>
      <c r="S10989">
        <v>0</v>
      </c>
      <c r="T10989" t="s">
        <v>40444</v>
      </c>
    </row>
    <row r="10990" spans="1:20" customFormat="1" ht="15" x14ac:dyDescent="0.25">
      <c r="A10990" t="s">
        <v>35</v>
      </c>
      <c r="B10990" t="s">
        <v>61</v>
      </c>
      <c r="C10990" t="str">
        <f>"A0128591"</f>
        <v>A0128591</v>
      </c>
      <c r="D10990" t="s">
        <v>40445</v>
      </c>
      <c r="E10990" t="s">
        <v>40446</v>
      </c>
      <c r="F10990" t="s">
        <v>40447</v>
      </c>
      <c r="G10990" t="s">
        <v>840</v>
      </c>
      <c r="H10990">
        <v>41360</v>
      </c>
      <c r="I10990" t="s">
        <v>30</v>
      </c>
      <c r="J10990" t="s">
        <v>41</v>
      </c>
      <c r="K10990" t="s">
        <v>66</v>
      </c>
      <c r="Q10990">
        <v>0</v>
      </c>
      <c r="R10990">
        <v>30</v>
      </c>
      <c r="S10990">
        <v>30</v>
      </c>
      <c r="T10990" t="s">
        <v>40448</v>
      </c>
    </row>
    <row r="10991" spans="1:20" customFormat="1" ht="15" x14ac:dyDescent="0.25">
      <c r="A10991" t="s">
        <v>35</v>
      </c>
      <c r="B10991" t="s">
        <v>61</v>
      </c>
      <c r="C10991" t="str">
        <f>"A0127868"</f>
        <v>A0127868</v>
      </c>
      <c r="D10991" t="s">
        <v>40449</v>
      </c>
      <c r="E10991" t="s">
        <v>40450</v>
      </c>
      <c r="F10991" t="s">
        <v>894</v>
      </c>
      <c r="G10991" t="s">
        <v>117</v>
      </c>
      <c r="H10991">
        <v>48334</v>
      </c>
      <c r="I10991" t="s">
        <v>30</v>
      </c>
      <c r="J10991" t="s">
        <v>41</v>
      </c>
      <c r="K10991" t="s">
        <v>59</v>
      </c>
      <c r="Q10991">
        <v>0</v>
      </c>
      <c r="R10991">
        <v>550</v>
      </c>
      <c r="S10991">
        <v>550</v>
      </c>
      <c r="T10991" t="s">
        <v>40451</v>
      </c>
    </row>
    <row r="10992" spans="1:20" customFormat="1" ht="15" x14ac:dyDescent="0.25">
      <c r="A10992" t="s">
        <v>35</v>
      </c>
      <c r="B10992" t="s">
        <v>61</v>
      </c>
      <c r="C10992" t="str">
        <f>"A0124154"</f>
        <v>A0124154</v>
      </c>
      <c r="D10992" t="s">
        <v>40452</v>
      </c>
      <c r="E10992" t="s">
        <v>40453</v>
      </c>
      <c r="F10992" t="s">
        <v>40454</v>
      </c>
      <c r="G10992" t="s">
        <v>103</v>
      </c>
      <c r="H10992">
        <v>19333</v>
      </c>
      <c r="I10992" t="s">
        <v>30</v>
      </c>
      <c r="J10992" t="s">
        <v>41</v>
      </c>
      <c r="K10992" t="s">
        <v>59</v>
      </c>
      <c r="Q10992">
        <v>0</v>
      </c>
      <c r="R10992">
        <v>180</v>
      </c>
      <c r="S10992">
        <v>180</v>
      </c>
      <c r="T10992" t="s">
        <v>40455</v>
      </c>
    </row>
    <row r="10993" spans="1:20" customFormat="1" ht="15" x14ac:dyDescent="0.25">
      <c r="A10993" t="s">
        <v>35</v>
      </c>
      <c r="B10993" t="s">
        <v>61</v>
      </c>
      <c r="C10993" t="str">
        <f>"A0127107"</f>
        <v>A0127107</v>
      </c>
      <c r="D10993" t="s">
        <v>40456</v>
      </c>
      <c r="E10993" t="s">
        <v>40457</v>
      </c>
      <c r="F10993" t="s">
        <v>11728</v>
      </c>
      <c r="G10993" t="s">
        <v>103</v>
      </c>
      <c r="H10993">
        <v>18103</v>
      </c>
      <c r="I10993" t="s">
        <v>30</v>
      </c>
      <c r="J10993" t="s">
        <v>41</v>
      </c>
      <c r="K10993" t="s">
        <v>59</v>
      </c>
      <c r="Q10993">
        <v>0</v>
      </c>
      <c r="R10993">
        <v>100</v>
      </c>
      <c r="S10993">
        <v>100</v>
      </c>
      <c r="T10993" t="s">
        <v>40458</v>
      </c>
    </row>
    <row r="10994" spans="1:20" customFormat="1" ht="15" x14ac:dyDescent="0.25">
      <c r="A10994" t="s">
        <v>35</v>
      </c>
      <c r="B10994" t="s">
        <v>61</v>
      </c>
      <c r="C10994" t="str">
        <f>"A0117796"</f>
        <v>A0117796</v>
      </c>
      <c r="D10994" t="s">
        <v>40459</v>
      </c>
      <c r="E10994" t="s">
        <v>40460</v>
      </c>
      <c r="F10994" t="s">
        <v>36171</v>
      </c>
      <c r="G10994" t="s">
        <v>110</v>
      </c>
      <c r="H10994">
        <v>940620000</v>
      </c>
      <c r="I10994" t="s">
        <v>30</v>
      </c>
      <c r="J10994" t="s">
        <v>41</v>
      </c>
      <c r="K10994" t="s">
        <v>229</v>
      </c>
      <c r="Q10994">
        <v>0</v>
      </c>
      <c r="R10994">
        <v>39</v>
      </c>
      <c r="S10994">
        <v>39</v>
      </c>
      <c r="T10994" t="s">
        <v>40461</v>
      </c>
    </row>
    <row r="10995" spans="1:20" customFormat="1" ht="15" x14ac:dyDescent="0.25">
      <c r="A10995" t="s">
        <v>35</v>
      </c>
      <c r="B10995" t="s">
        <v>61</v>
      </c>
      <c r="C10995" t="str">
        <f>"A0123704"</f>
        <v>A0123704</v>
      </c>
      <c r="D10995" t="s">
        <v>40462</v>
      </c>
      <c r="E10995" t="s">
        <v>40463</v>
      </c>
      <c r="F10995" t="s">
        <v>37790</v>
      </c>
      <c r="G10995" t="s">
        <v>29</v>
      </c>
      <c r="H10995">
        <v>23666</v>
      </c>
      <c r="I10995" t="s">
        <v>30</v>
      </c>
      <c r="J10995" t="s">
        <v>41</v>
      </c>
      <c r="K10995" t="s">
        <v>59</v>
      </c>
      <c r="Q10995">
        <v>0</v>
      </c>
      <c r="R10995">
        <v>200</v>
      </c>
      <c r="S10995">
        <v>200</v>
      </c>
      <c r="T10995" t="s">
        <v>40464</v>
      </c>
    </row>
    <row r="10996" spans="1:20" customFormat="1" ht="15" x14ac:dyDescent="0.25">
      <c r="A10996" t="s">
        <v>35</v>
      </c>
      <c r="B10996" t="s">
        <v>61</v>
      </c>
      <c r="C10996" t="str">
        <f>"A0130951"</f>
        <v>A0130951</v>
      </c>
      <c r="D10996" t="s">
        <v>40465</v>
      </c>
      <c r="E10996" t="s">
        <v>40466</v>
      </c>
      <c r="F10996" t="s">
        <v>35540</v>
      </c>
      <c r="G10996" t="s">
        <v>85</v>
      </c>
      <c r="H10996">
        <v>720420000</v>
      </c>
      <c r="I10996" t="s">
        <v>30</v>
      </c>
      <c r="J10996" t="s">
        <v>41</v>
      </c>
      <c r="K10996" t="s">
        <v>2760</v>
      </c>
      <c r="Q10996">
        <v>0</v>
      </c>
      <c r="R10996">
        <v>1</v>
      </c>
      <c r="S10996">
        <v>1</v>
      </c>
      <c r="T10996" t="s">
        <v>40467</v>
      </c>
    </row>
    <row r="10997" spans="1:20" customFormat="1" ht="15" x14ac:dyDescent="0.25">
      <c r="A10997" t="s">
        <v>35</v>
      </c>
      <c r="B10997" t="s">
        <v>61</v>
      </c>
      <c r="C10997" t="str">
        <f>"A0128322"</f>
        <v>A0128322</v>
      </c>
      <c r="D10997" t="s">
        <v>40468</v>
      </c>
      <c r="E10997" t="s">
        <v>40469</v>
      </c>
      <c r="F10997" t="s">
        <v>426</v>
      </c>
      <c r="G10997" t="s">
        <v>427</v>
      </c>
      <c r="H10997">
        <v>68124</v>
      </c>
      <c r="I10997" t="s">
        <v>30</v>
      </c>
      <c r="J10997" t="s">
        <v>41</v>
      </c>
      <c r="K10997" t="s">
        <v>4020</v>
      </c>
      <c r="Q10997">
        <v>0</v>
      </c>
      <c r="R10997">
        <v>0</v>
      </c>
      <c r="S10997">
        <v>0</v>
      </c>
      <c r="T10997" t="s">
        <v>40470</v>
      </c>
    </row>
    <row r="10998" spans="1:20" customFormat="1" ht="15" x14ac:dyDescent="0.25">
      <c r="A10998" t="s">
        <v>35</v>
      </c>
      <c r="B10998" t="s">
        <v>61</v>
      </c>
      <c r="C10998" t="str">
        <f>"A0117990"</f>
        <v>A0117990</v>
      </c>
      <c r="D10998" t="s">
        <v>40471</v>
      </c>
      <c r="E10998" t="s">
        <v>40472</v>
      </c>
      <c r="F10998" t="s">
        <v>15961</v>
      </c>
      <c r="G10998" t="s">
        <v>110</v>
      </c>
      <c r="H10998">
        <v>93230</v>
      </c>
      <c r="I10998" t="s">
        <v>30</v>
      </c>
      <c r="J10998" t="s">
        <v>41</v>
      </c>
      <c r="K10998" t="s">
        <v>59</v>
      </c>
      <c r="Q10998">
        <v>0</v>
      </c>
      <c r="R10998">
        <v>35</v>
      </c>
      <c r="S10998">
        <v>35</v>
      </c>
      <c r="T10998" t="s">
        <v>40473</v>
      </c>
    </row>
    <row r="10999" spans="1:20" customFormat="1" ht="15" x14ac:dyDescent="0.25">
      <c r="A10999" t="s">
        <v>35</v>
      </c>
      <c r="B10999" t="s">
        <v>61</v>
      </c>
      <c r="C10999" t="str">
        <f>"A0132466"</f>
        <v>A0132466</v>
      </c>
      <c r="D10999" t="s">
        <v>40474</v>
      </c>
      <c r="E10999" t="s">
        <v>40475</v>
      </c>
      <c r="F10999" t="s">
        <v>5188</v>
      </c>
      <c r="G10999" t="s">
        <v>65</v>
      </c>
      <c r="H10999">
        <v>44903</v>
      </c>
      <c r="I10999" t="s">
        <v>30</v>
      </c>
      <c r="J10999" t="s">
        <v>41</v>
      </c>
      <c r="K10999" t="s">
        <v>229</v>
      </c>
      <c r="Q10999">
        <v>0</v>
      </c>
      <c r="R10999">
        <v>130</v>
      </c>
      <c r="S10999">
        <v>130</v>
      </c>
      <c r="T10999" t="s">
        <v>40476</v>
      </c>
    </row>
    <row r="11000" spans="1:20" customFormat="1" ht="15" x14ac:dyDescent="0.25">
      <c r="A11000" t="s">
        <v>35</v>
      </c>
      <c r="B11000" t="s">
        <v>106</v>
      </c>
      <c r="C11000" t="str">
        <f>"A0135327"</f>
        <v>A0135327</v>
      </c>
      <c r="D11000" t="s">
        <v>40477</v>
      </c>
      <c r="E11000" t="s">
        <v>40478</v>
      </c>
      <c r="F11000" t="s">
        <v>40479</v>
      </c>
      <c r="G11000" t="s">
        <v>117</v>
      </c>
      <c r="H11000">
        <v>49802</v>
      </c>
      <c r="I11000" t="s">
        <v>30</v>
      </c>
      <c r="J11000" t="s">
        <v>111</v>
      </c>
      <c r="K11000" t="s">
        <v>10012</v>
      </c>
      <c r="Q11000">
        <v>0</v>
      </c>
      <c r="R11000">
        <v>0</v>
      </c>
      <c r="S11000">
        <v>0</v>
      </c>
      <c r="T11000" t="s">
        <v>40480</v>
      </c>
    </row>
    <row r="11001" spans="1:20" customFormat="1" ht="15" x14ac:dyDescent="0.25">
      <c r="A11001" t="s">
        <v>35</v>
      </c>
      <c r="B11001" t="s">
        <v>437</v>
      </c>
      <c r="C11001" t="str">
        <f>"A0135127"</f>
        <v>A0135127</v>
      </c>
      <c r="D11001" t="s">
        <v>40481</v>
      </c>
      <c r="E11001" t="s">
        <v>40482</v>
      </c>
      <c r="F11001" t="s">
        <v>22419</v>
      </c>
      <c r="G11001" t="s">
        <v>99</v>
      </c>
      <c r="H11001">
        <v>13669</v>
      </c>
      <c r="I11001" t="s">
        <v>30</v>
      </c>
      <c r="J11001" t="s">
        <v>441</v>
      </c>
      <c r="K11001" t="s">
        <v>442</v>
      </c>
      <c r="Q11001">
        <v>0</v>
      </c>
      <c r="R11001">
        <v>0</v>
      </c>
      <c r="S11001">
        <v>0</v>
      </c>
      <c r="T11001" t="s">
        <v>40483</v>
      </c>
    </row>
    <row r="11002" spans="1:20" customFormat="1" ht="15" x14ac:dyDescent="0.25">
      <c r="A11002" t="s">
        <v>35</v>
      </c>
      <c r="B11002" t="s">
        <v>61</v>
      </c>
      <c r="C11002" t="str">
        <f>"A0125816"</f>
        <v>A0125816</v>
      </c>
      <c r="D11002" t="s">
        <v>40484</v>
      </c>
      <c r="E11002" t="s">
        <v>40485</v>
      </c>
      <c r="F11002" t="s">
        <v>4310</v>
      </c>
      <c r="G11002" t="s">
        <v>29</v>
      </c>
      <c r="H11002">
        <v>22602</v>
      </c>
      <c r="I11002" t="s">
        <v>30</v>
      </c>
      <c r="J11002" t="s">
        <v>41</v>
      </c>
      <c r="K11002" t="s">
        <v>2477</v>
      </c>
      <c r="Q11002">
        <v>0</v>
      </c>
      <c r="R11002">
        <v>0</v>
      </c>
      <c r="S11002">
        <v>0</v>
      </c>
      <c r="T11002" t="s">
        <v>40486</v>
      </c>
    </row>
    <row r="11003" spans="1:20" customFormat="1" ht="15" x14ac:dyDescent="0.25">
      <c r="A11003" t="s">
        <v>35</v>
      </c>
      <c r="B11003" t="s">
        <v>61</v>
      </c>
      <c r="C11003" t="str">
        <f>"A0126352"</f>
        <v>A0126352</v>
      </c>
      <c r="D11003" t="s">
        <v>40487</v>
      </c>
      <c r="E11003" t="s">
        <v>40488</v>
      </c>
      <c r="F11003" t="s">
        <v>13919</v>
      </c>
      <c r="G11003" t="s">
        <v>81</v>
      </c>
      <c r="H11003">
        <v>34677</v>
      </c>
      <c r="I11003" t="s">
        <v>30</v>
      </c>
      <c r="J11003" t="s">
        <v>41</v>
      </c>
      <c r="K11003" t="s">
        <v>290</v>
      </c>
      <c r="Q11003">
        <v>0</v>
      </c>
      <c r="R11003">
        <v>0</v>
      </c>
      <c r="S11003">
        <v>0</v>
      </c>
      <c r="T11003" t="s">
        <v>40489</v>
      </c>
    </row>
    <row r="11004" spans="1:20" customFormat="1" ht="15" x14ac:dyDescent="0.25">
      <c r="A11004" t="s">
        <v>35</v>
      </c>
      <c r="B11004" t="s">
        <v>61</v>
      </c>
      <c r="C11004" t="str">
        <f>"A0117898"</f>
        <v>A0117898</v>
      </c>
      <c r="D11004" t="s">
        <v>40490</v>
      </c>
      <c r="E11004" t="s">
        <v>40491</v>
      </c>
      <c r="F11004" t="s">
        <v>40492</v>
      </c>
      <c r="G11004" t="s">
        <v>110</v>
      </c>
      <c r="H11004">
        <v>92014</v>
      </c>
      <c r="I11004" t="s">
        <v>30</v>
      </c>
      <c r="J11004" t="s">
        <v>41</v>
      </c>
      <c r="K11004" t="s">
        <v>461</v>
      </c>
      <c r="Q11004">
        <v>0</v>
      </c>
      <c r="R11004">
        <v>99</v>
      </c>
      <c r="S11004">
        <v>99</v>
      </c>
      <c r="T11004" t="s">
        <v>40493</v>
      </c>
    </row>
    <row r="11005" spans="1:20" customFormat="1" ht="15" x14ac:dyDescent="0.25">
      <c r="A11005" t="s">
        <v>35</v>
      </c>
      <c r="B11005" t="s">
        <v>106</v>
      </c>
      <c r="C11005" t="str">
        <f>"A0136320"</f>
        <v>A0136320</v>
      </c>
      <c r="D11005" t="s">
        <v>40494</v>
      </c>
      <c r="E11005" t="s">
        <v>40495</v>
      </c>
      <c r="F11005" t="s">
        <v>19101</v>
      </c>
      <c r="G11005" t="s">
        <v>1369</v>
      </c>
      <c r="H11005">
        <v>39073</v>
      </c>
      <c r="I11005" t="s">
        <v>30</v>
      </c>
      <c r="J11005" t="s">
        <v>111</v>
      </c>
      <c r="K11005" t="s">
        <v>112</v>
      </c>
      <c r="Q11005">
        <v>0</v>
      </c>
      <c r="R11005">
        <v>0</v>
      </c>
      <c r="S11005">
        <v>0</v>
      </c>
      <c r="T11005" t="s">
        <v>40496</v>
      </c>
    </row>
    <row r="11006" spans="1:20" customFormat="1" ht="15" x14ac:dyDescent="0.25">
      <c r="A11006" t="s">
        <v>35</v>
      </c>
      <c r="B11006" t="s">
        <v>61</v>
      </c>
      <c r="C11006" t="str">
        <f>"A0130907"</f>
        <v>A0130907</v>
      </c>
      <c r="D11006" t="s">
        <v>40497</v>
      </c>
      <c r="E11006" t="s">
        <v>40498</v>
      </c>
      <c r="F11006" t="s">
        <v>40499</v>
      </c>
      <c r="G11006" t="s">
        <v>137</v>
      </c>
      <c r="H11006">
        <v>654660000</v>
      </c>
      <c r="I11006" t="s">
        <v>30</v>
      </c>
      <c r="J11006" t="s">
        <v>41</v>
      </c>
      <c r="K11006" t="s">
        <v>112</v>
      </c>
      <c r="Q11006">
        <v>0</v>
      </c>
      <c r="R11006">
        <v>1</v>
      </c>
      <c r="S11006">
        <v>1</v>
      </c>
      <c r="T11006" t="s">
        <v>40500</v>
      </c>
    </row>
    <row r="11007" spans="1:20" customFormat="1" ht="15" x14ac:dyDescent="0.25">
      <c r="A11007" t="s">
        <v>35</v>
      </c>
      <c r="B11007" t="s">
        <v>61</v>
      </c>
      <c r="C11007" t="str">
        <f>"A0126144"</f>
        <v>A0126144</v>
      </c>
      <c r="D11007" t="s">
        <v>40501</v>
      </c>
      <c r="E11007" t="s">
        <v>40502</v>
      </c>
      <c r="F11007" t="s">
        <v>6435</v>
      </c>
      <c r="G11007" t="s">
        <v>197</v>
      </c>
      <c r="H11007">
        <v>85206</v>
      </c>
      <c r="I11007" t="s">
        <v>30</v>
      </c>
      <c r="J11007" t="s">
        <v>41</v>
      </c>
      <c r="K11007" t="s">
        <v>59</v>
      </c>
      <c r="Q11007">
        <v>0</v>
      </c>
      <c r="R11007">
        <v>150</v>
      </c>
      <c r="S11007">
        <v>150</v>
      </c>
      <c r="T11007" t="s">
        <v>40503</v>
      </c>
    </row>
    <row r="11008" spans="1:20" customFormat="1" ht="15" x14ac:dyDescent="0.25">
      <c r="A11008" t="s">
        <v>35</v>
      </c>
      <c r="B11008" t="s">
        <v>61</v>
      </c>
      <c r="C11008" t="str">
        <f>"A0150603"</f>
        <v>A0150603</v>
      </c>
      <c r="D11008" t="s">
        <v>40504</v>
      </c>
      <c r="E11008" t="s">
        <v>40505</v>
      </c>
      <c r="F11008" t="s">
        <v>13867</v>
      </c>
      <c r="G11008" t="s">
        <v>840</v>
      </c>
      <c r="H11008">
        <v>41014</v>
      </c>
      <c r="I11008" t="s">
        <v>30</v>
      </c>
      <c r="J11008" t="s">
        <v>41</v>
      </c>
      <c r="K11008" t="s">
        <v>6300</v>
      </c>
      <c r="Q11008">
        <v>0</v>
      </c>
      <c r="R11008">
        <v>0</v>
      </c>
      <c r="S11008">
        <v>0</v>
      </c>
      <c r="T11008" t="s">
        <v>40506</v>
      </c>
    </row>
    <row r="11009" spans="1:20" customFormat="1" ht="15" x14ac:dyDescent="0.25">
      <c r="A11009" t="s">
        <v>35</v>
      </c>
      <c r="B11009" t="s">
        <v>61</v>
      </c>
      <c r="C11009" t="str">
        <f>"A0123705"</f>
        <v>A0123705</v>
      </c>
      <c r="D11009" t="s">
        <v>40507</v>
      </c>
      <c r="E11009" t="s">
        <v>40508</v>
      </c>
      <c r="F11009" t="s">
        <v>13542</v>
      </c>
      <c r="G11009" t="s">
        <v>81</v>
      </c>
      <c r="H11009">
        <v>34654</v>
      </c>
      <c r="I11009" t="s">
        <v>30</v>
      </c>
      <c r="J11009" t="s">
        <v>41</v>
      </c>
      <c r="K11009" t="s">
        <v>482</v>
      </c>
      <c r="Q11009">
        <v>0</v>
      </c>
      <c r="R11009">
        <v>40</v>
      </c>
      <c r="S11009">
        <v>40</v>
      </c>
      <c r="T11009" t="s">
        <v>40509</v>
      </c>
    </row>
    <row r="11010" spans="1:20" customFormat="1" ht="15" x14ac:dyDescent="0.25">
      <c r="A11010" t="s">
        <v>35</v>
      </c>
      <c r="B11010" t="s">
        <v>61</v>
      </c>
      <c r="C11010" t="str">
        <f>"A0150858"</f>
        <v>A0150858</v>
      </c>
      <c r="D11010" t="s">
        <v>40510</v>
      </c>
      <c r="E11010" t="s">
        <v>40511</v>
      </c>
      <c r="F11010" t="s">
        <v>40512</v>
      </c>
      <c r="G11010" t="s">
        <v>117</v>
      </c>
      <c r="H11010">
        <v>49251</v>
      </c>
      <c r="I11010" t="s">
        <v>30</v>
      </c>
      <c r="J11010" t="s">
        <v>41</v>
      </c>
      <c r="K11010" t="s">
        <v>59</v>
      </c>
      <c r="Q11010">
        <v>0</v>
      </c>
      <c r="R11010">
        <v>20</v>
      </c>
      <c r="S11010">
        <v>20</v>
      </c>
      <c r="T11010" t="s">
        <v>40513</v>
      </c>
    </row>
    <row r="11011" spans="1:20" customFormat="1" ht="15" x14ac:dyDescent="0.25">
      <c r="A11011" t="s">
        <v>35</v>
      </c>
      <c r="B11011" t="s">
        <v>106</v>
      </c>
      <c r="C11011" t="str">
        <f>"A0135693"</f>
        <v>A0135693</v>
      </c>
      <c r="D11011" t="s">
        <v>40514</v>
      </c>
      <c r="E11011" t="s">
        <v>40515</v>
      </c>
      <c r="F11011" t="s">
        <v>4133</v>
      </c>
      <c r="G11011" t="s">
        <v>52</v>
      </c>
      <c r="H11011">
        <v>787050000</v>
      </c>
      <c r="I11011" t="s">
        <v>30</v>
      </c>
      <c r="J11011" t="s">
        <v>111</v>
      </c>
      <c r="K11011" t="s">
        <v>112</v>
      </c>
      <c r="Q11011">
        <v>0</v>
      </c>
      <c r="R11011">
        <v>0</v>
      </c>
      <c r="S11011">
        <v>0</v>
      </c>
      <c r="T11011" t="s">
        <v>40516</v>
      </c>
    </row>
    <row r="11012" spans="1:20" customFormat="1" ht="15" x14ac:dyDescent="0.25">
      <c r="A11012" t="s">
        <v>35</v>
      </c>
      <c r="B11012" t="s">
        <v>61</v>
      </c>
      <c r="C11012" t="str">
        <f>"A0127614"</f>
        <v>A0127614</v>
      </c>
      <c r="D11012" t="s">
        <v>40517</v>
      </c>
      <c r="E11012" t="s">
        <v>40518</v>
      </c>
      <c r="F11012" t="s">
        <v>8288</v>
      </c>
      <c r="G11012" t="s">
        <v>123</v>
      </c>
      <c r="H11012">
        <v>21742</v>
      </c>
      <c r="I11012" t="s">
        <v>30</v>
      </c>
      <c r="J11012" t="s">
        <v>41</v>
      </c>
      <c r="K11012" t="s">
        <v>456</v>
      </c>
      <c r="Q11012">
        <v>0</v>
      </c>
      <c r="R11012">
        <v>0</v>
      </c>
      <c r="S11012">
        <v>0</v>
      </c>
      <c r="T11012" t="s">
        <v>40519</v>
      </c>
    </row>
    <row r="11013" spans="1:20" customFormat="1" ht="15" x14ac:dyDescent="0.25">
      <c r="A11013" t="s">
        <v>35</v>
      </c>
      <c r="B11013" t="s">
        <v>61</v>
      </c>
      <c r="C11013" t="str">
        <f>"A0125750"</f>
        <v>A0125750</v>
      </c>
      <c r="D11013" t="s">
        <v>40520</v>
      </c>
      <c r="E11013" t="s">
        <v>40521</v>
      </c>
      <c r="F11013" t="s">
        <v>1634</v>
      </c>
      <c r="G11013" t="s">
        <v>29</v>
      </c>
      <c r="H11013">
        <v>22960</v>
      </c>
      <c r="I11013" t="s">
        <v>30</v>
      </c>
      <c r="J11013" t="s">
        <v>41</v>
      </c>
      <c r="K11013" t="s">
        <v>229</v>
      </c>
      <c r="Q11013">
        <v>0</v>
      </c>
      <c r="R11013">
        <v>168</v>
      </c>
      <c r="S11013">
        <v>168</v>
      </c>
      <c r="T11013" t="s">
        <v>40522</v>
      </c>
    </row>
    <row r="11014" spans="1:20" customFormat="1" ht="15" x14ac:dyDescent="0.25">
      <c r="A11014" t="s">
        <v>35</v>
      </c>
      <c r="B11014" t="s">
        <v>437</v>
      </c>
      <c r="C11014" t="str">
        <f>"A0134068"</f>
        <v>A0134068</v>
      </c>
      <c r="D11014" t="s">
        <v>40523</v>
      </c>
      <c r="E11014" t="s">
        <v>40524</v>
      </c>
      <c r="F11014" t="s">
        <v>33716</v>
      </c>
      <c r="G11014" t="s">
        <v>110</v>
      </c>
      <c r="H11014">
        <v>92629</v>
      </c>
      <c r="I11014" t="s">
        <v>30</v>
      </c>
      <c r="J11014" t="s">
        <v>441</v>
      </c>
      <c r="K11014" t="s">
        <v>442</v>
      </c>
      <c r="Q11014">
        <v>0</v>
      </c>
      <c r="R11014">
        <v>0</v>
      </c>
      <c r="S11014">
        <v>0</v>
      </c>
      <c r="T11014" t="s">
        <v>40525</v>
      </c>
    </row>
    <row r="11015" spans="1:20" customFormat="1" ht="15" x14ac:dyDescent="0.25">
      <c r="A11015" t="s">
        <v>35</v>
      </c>
      <c r="B11015" t="s">
        <v>106</v>
      </c>
      <c r="C11015" t="str">
        <f>"A0166855"</f>
        <v>A0166855</v>
      </c>
      <c r="D11015" t="s">
        <v>40526</v>
      </c>
      <c r="E11015" t="s">
        <v>40527</v>
      </c>
      <c r="F11015" t="s">
        <v>40528</v>
      </c>
      <c r="G11015" t="s">
        <v>117</v>
      </c>
      <c r="H11015">
        <v>49922</v>
      </c>
      <c r="I11015" t="s">
        <v>30</v>
      </c>
      <c r="J11015" t="s">
        <v>111</v>
      </c>
      <c r="K11015" t="s">
        <v>112</v>
      </c>
      <c r="Q11015">
        <v>0</v>
      </c>
      <c r="R11015">
        <v>0</v>
      </c>
      <c r="S11015">
        <v>0</v>
      </c>
      <c r="T11015" t="s">
        <v>40529</v>
      </c>
    </row>
    <row r="11016" spans="1:20" customFormat="1" ht="15" x14ac:dyDescent="0.25">
      <c r="A11016" t="s">
        <v>35</v>
      </c>
      <c r="B11016" t="s">
        <v>61</v>
      </c>
      <c r="C11016" t="str">
        <f>"A0126307"</f>
        <v>A0126307</v>
      </c>
      <c r="D11016" t="s">
        <v>40530</v>
      </c>
      <c r="E11016" t="s">
        <v>40531</v>
      </c>
      <c r="F11016" t="s">
        <v>8276</v>
      </c>
      <c r="G11016" t="s">
        <v>81</v>
      </c>
      <c r="H11016">
        <v>325050000</v>
      </c>
      <c r="I11016" t="s">
        <v>30</v>
      </c>
      <c r="J11016" t="s">
        <v>41</v>
      </c>
      <c r="K11016" t="s">
        <v>290</v>
      </c>
      <c r="Q11016">
        <v>0</v>
      </c>
      <c r="R11016">
        <v>1</v>
      </c>
      <c r="S11016">
        <v>1</v>
      </c>
      <c r="T11016" t="s">
        <v>40532</v>
      </c>
    </row>
    <row r="11017" spans="1:20" customFormat="1" ht="15" x14ac:dyDescent="0.25">
      <c r="A11017" t="s">
        <v>35</v>
      </c>
      <c r="B11017" t="s">
        <v>61</v>
      </c>
      <c r="C11017" t="str">
        <f>"A0128568"</f>
        <v>A0128568</v>
      </c>
      <c r="D11017" t="s">
        <v>40533</v>
      </c>
      <c r="E11017" t="s">
        <v>40534</v>
      </c>
      <c r="F11017" t="s">
        <v>40535</v>
      </c>
      <c r="G11017" t="s">
        <v>840</v>
      </c>
      <c r="H11017">
        <v>40061</v>
      </c>
      <c r="I11017" t="s">
        <v>30</v>
      </c>
      <c r="J11017" t="s">
        <v>41</v>
      </c>
      <c r="K11017" t="s">
        <v>59</v>
      </c>
      <c r="Q11017">
        <v>0</v>
      </c>
      <c r="R11017">
        <v>50</v>
      </c>
      <c r="S11017">
        <v>50</v>
      </c>
      <c r="T11017" t="s">
        <v>40536</v>
      </c>
    </row>
    <row r="11018" spans="1:20" customFormat="1" ht="15" x14ac:dyDescent="0.25">
      <c r="A11018" t="s">
        <v>35</v>
      </c>
      <c r="B11018" t="s">
        <v>61</v>
      </c>
      <c r="C11018" t="str">
        <f>"A0151061"</f>
        <v>A0151061</v>
      </c>
      <c r="D11018" t="s">
        <v>40537</v>
      </c>
      <c r="E11018" t="s">
        <v>40538</v>
      </c>
      <c r="F11018" t="s">
        <v>64</v>
      </c>
      <c r="G11018" t="s">
        <v>65</v>
      </c>
      <c r="H11018">
        <v>43219</v>
      </c>
      <c r="I11018" t="s">
        <v>30</v>
      </c>
      <c r="J11018" t="s">
        <v>41</v>
      </c>
      <c r="K11018" t="s">
        <v>59</v>
      </c>
      <c r="Q11018">
        <v>0</v>
      </c>
      <c r="R11018">
        <v>75</v>
      </c>
      <c r="S11018">
        <v>75</v>
      </c>
      <c r="T11018" t="s">
        <v>40539</v>
      </c>
    </row>
    <row r="11019" spans="1:20" customFormat="1" ht="15" x14ac:dyDescent="0.25">
      <c r="A11019" t="s">
        <v>35</v>
      </c>
      <c r="B11019" t="s">
        <v>61</v>
      </c>
      <c r="C11019" t="str">
        <f>"A0123275"</f>
        <v>A0123275</v>
      </c>
      <c r="D11019" t="s">
        <v>40540</v>
      </c>
      <c r="E11019" t="s">
        <v>40541</v>
      </c>
      <c r="F11019" t="s">
        <v>7257</v>
      </c>
      <c r="G11019" t="s">
        <v>29</v>
      </c>
      <c r="H11019">
        <v>23188</v>
      </c>
      <c r="I11019" t="s">
        <v>30</v>
      </c>
      <c r="J11019" t="s">
        <v>41</v>
      </c>
      <c r="K11019" t="s">
        <v>482</v>
      </c>
      <c r="Q11019">
        <v>0</v>
      </c>
      <c r="R11019">
        <v>54</v>
      </c>
      <c r="S11019">
        <v>54</v>
      </c>
      <c r="T11019" t="s">
        <v>40542</v>
      </c>
    </row>
    <row r="11020" spans="1:20" customFormat="1" ht="15" x14ac:dyDescent="0.25">
      <c r="A11020" t="s">
        <v>35</v>
      </c>
      <c r="B11020" t="s">
        <v>61</v>
      </c>
      <c r="C11020" t="str">
        <f>"A0123276"</f>
        <v>A0123276</v>
      </c>
      <c r="D11020" t="s">
        <v>40543</v>
      </c>
      <c r="E11020" t="s">
        <v>40544</v>
      </c>
      <c r="F11020" t="s">
        <v>1795</v>
      </c>
      <c r="G11020" t="s">
        <v>29</v>
      </c>
      <c r="H11020">
        <v>23220</v>
      </c>
      <c r="I11020" t="s">
        <v>30</v>
      </c>
      <c r="J11020" t="s">
        <v>41</v>
      </c>
      <c r="K11020" t="s">
        <v>482</v>
      </c>
      <c r="Q11020">
        <v>0</v>
      </c>
      <c r="R11020">
        <v>60</v>
      </c>
      <c r="S11020">
        <v>60</v>
      </c>
      <c r="T11020" t="s">
        <v>40545</v>
      </c>
    </row>
    <row r="11021" spans="1:20" customFormat="1" ht="15" x14ac:dyDescent="0.25">
      <c r="A11021" t="s">
        <v>35</v>
      </c>
      <c r="B11021" t="s">
        <v>61</v>
      </c>
      <c r="C11021" t="str">
        <f>"A0123277"</f>
        <v>A0123277</v>
      </c>
      <c r="D11021" t="s">
        <v>40546</v>
      </c>
      <c r="E11021" t="s">
        <v>40547</v>
      </c>
      <c r="F11021" t="s">
        <v>7257</v>
      </c>
      <c r="G11021" t="s">
        <v>29</v>
      </c>
      <c r="H11021">
        <v>23185</v>
      </c>
      <c r="I11021" t="s">
        <v>30</v>
      </c>
      <c r="J11021" t="s">
        <v>41</v>
      </c>
      <c r="K11021" t="s">
        <v>442</v>
      </c>
      <c r="Q11021">
        <v>0</v>
      </c>
      <c r="R11021">
        <v>0</v>
      </c>
      <c r="S11021">
        <v>0</v>
      </c>
    </row>
    <row r="11022" spans="1:20" customFormat="1" ht="15" x14ac:dyDescent="0.25">
      <c r="A11022" t="s">
        <v>35</v>
      </c>
      <c r="B11022" t="s">
        <v>61</v>
      </c>
      <c r="C11022" t="str">
        <f>"A0117726"</f>
        <v>A0117726</v>
      </c>
      <c r="D11022" t="s">
        <v>40548</v>
      </c>
      <c r="E11022" t="s">
        <v>40549</v>
      </c>
      <c r="F11022" t="s">
        <v>40550</v>
      </c>
      <c r="G11022" t="s">
        <v>110</v>
      </c>
      <c r="H11022">
        <v>93620</v>
      </c>
      <c r="I11022" t="s">
        <v>30</v>
      </c>
      <c r="J11022" t="s">
        <v>41</v>
      </c>
      <c r="K11022" t="s">
        <v>229</v>
      </c>
      <c r="Q11022">
        <v>0</v>
      </c>
      <c r="R11022">
        <v>40</v>
      </c>
      <c r="S11022">
        <v>40</v>
      </c>
      <c r="T11022" t="s">
        <v>40551</v>
      </c>
    </row>
    <row r="11023" spans="1:20" customFormat="1" ht="15" x14ac:dyDescent="0.25">
      <c r="A11023" t="s">
        <v>35</v>
      </c>
      <c r="B11023" t="s">
        <v>61</v>
      </c>
      <c r="C11023" t="str">
        <f>"A0121977"</f>
        <v>A0121977</v>
      </c>
      <c r="D11023" t="s">
        <v>40552</v>
      </c>
      <c r="E11023" t="s">
        <v>40553</v>
      </c>
      <c r="F11023" t="s">
        <v>5742</v>
      </c>
      <c r="G11023" t="s">
        <v>110</v>
      </c>
      <c r="H11023">
        <v>95822</v>
      </c>
      <c r="I11023" t="s">
        <v>30</v>
      </c>
      <c r="J11023" t="s">
        <v>41</v>
      </c>
      <c r="K11023" t="s">
        <v>1032</v>
      </c>
      <c r="Q11023">
        <v>0</v>
      </c>
      <c r="R11023">
        <v>122</v>
      </c>
      <c r="S11023">
        <v>122</v>
      </c>
      <c r="T11023" t="s">
        <v>40554</v>
      </c>
    </row>
    <row r="11024" spans="1:20" customFormat="1" ht="15" x14ac:dyDescent="0.25">
      <c r="A11024" t="s">
        <v>35</v>
      </c>
      <c r="B11024" t="s">
        <v>106</v>
      </c>
      <c r="C11024" t="str">
        <f>"A0136470"</f>
        <v>A0136470</v>
      </c>
      <c r="D11024" t="s">
        <v>40555</v>
      </c>
      <c r="E11024" t="s">
        <v>40556</v>
      </c>
      <c r="F11024" t="s">
        <v>32343</v>
      </c>
      <c r="G11024" t="s">
        <v>190</v>
      </c>
      <c r="H11024">
        <v>80109</v>
      </c>
      <c r="I11024" t="s">
        <v>30</v>
      </c>
      <c r="J11024" t="s">
        <v>111</v>
      </c>
      <c r="K11024" t="s">
        <v>112</v>
      </c>
      <c r="Q11024">
        <v>0</v>
      </c>
      <c r="R11024">
        <v>0</v>
      </c>
      <c r="S11024">
        <v>0</v>
      </c>
      <c r="T11024" t="s">
        <v>40557</v>
      </c>
    </row>
    <row r="11025" spans="1:20" customFormat="1" ht="15" x14ac:dyDescent="0.25">
      <c r="A11025" t="s">
        <v>35</v>
      </c>
      <c r="B11025" t="s">
        <v>61</v>
      </c>
      <c r="C11025" t="str">
        <f>"A0153281"</f>
        <v>A0153281</v>
      </c>
      <c r="D11025" t="s">
        <v>40558</v>
      </c>
      <c r="E11025" t="s">
        <v>40559</v>
      </c>
      <c r="F11025" t="s">
        <v>40560</v>
      </c>
      <c r="G11025" t="s">
        <v>29</v>
      </c>
      <c r="H11025">
        <v>23103</v>
      </c>
      <c r="I11025" t="s">
        <v>30</v>
      </c>
      <c r="J11025" t="s">
        <v>41</v>
      </c>
      <c r="K11025" t="s">
        <v>1412</v>
      </c>
      <c r="Q11025">
        <v>0</v>
      </c>
      <c r="R11025">
        <v>0</v>
      </c>
      <c r="S11025">
        <v>0</v>
      </c>
      <c r="T11025" t="s">
        <v>40561</v>
      </c>
    </row>
    <row r="11026" spans="1:20" customFormat="1" ht="15" x14ac:dyDescent="0.25">
      <c r="A11026" t="s">
        <v>35</v>
      </c>
      <c r="B11026" t="s">
        <v>61</v>
      </c>
      <c r="C11026" t="str">
        <f>"A0118990"</f>
        <v>A0118990</v>
      </c>
      <c r="D11026" t="s">
        <v>40562</v>
      </c>
      <c r="E11026" t="s">
        <v>40563</v>
      </c>
      <c r="F11026" t="s">
        <v>40564</v>
      </c>
      <c r="G11026" t="s">
        <v>110</v>
      </c>
      <c r="H11026">
        <v>90241</v>
      </c>
      <c r="I11026" t="s">
        <v>30</v>
      </c>
      <c r="J11026" t="s">
        <v>41</v>
      </c>
      <c r="K11026" t="s">
        <v>229</v>
      </c>
      <c r="Q11026">
        <v>0</v>
      </c>
      <c r="R11026">
        <v>198</v>
      </c>
      <c r="S11026">
        <v>198</v>
      </c>
      <c r="T11026" t="s">
        <v>40565</v>
      </c>
    </row>
    <row r="11027" spans="1:20" customFormat="1" ht="15" x14ac:dyDescent="0.25">
      <c r="A11027" t="s">
        <v>35</v>
      </c>
      <c r="B11027" t="s">
        <v>61</v>
      </c>
      <c r="C11027" t="str">
        <f>"A0118001"</f>
        <v>A0118001</v>
      </c>
      <c r="D11027" t="s">
        <v>40566</v>
      </c>
      <c r="E11027" t="s">
        <v>40567</v>
      </c>
      <c r="F11027" t="s">
        <v>40564</v>
      </c>
      <c r="G11027" t="s">
        <v>110</v>
      </c>
      <c r="H11027">
        <v>90241</v>
      </c>
      <c r="I11027" t="s">
        <v>30</v>
      </c>
      <c r="J11027" t="s">
        <v>41</v>
      </c>
      <c r="K11027" t="s">
        <v>59</v>
      </c>
      <c r="Q11027">
        <v>0</v>
      </c>
      <c r="R11027">
        <v>135</v>
      </c>
      <c r="S11027">
        <v>135</v>
      </c>
      <c r="T11027" t="s">
        <v>40568</v>
      </c>
    </row>
    <row r="11028" spans="1:20" customFormat="1" ht="15" x14ac:dyDescent="0.25">
      <c r="A11028" t="s">
        <v>35</v>
      </c>
      <c r="B11028" t="s">
        <v>61</v>
      </c>
      <c r="C11028" t="str">
        <f>"A0130955"</f>
        <v>A0130955</v>
      </c>
      <c r="D11028" t="s">
        <v>40569</v>
      </c>
      <c r="E11028" t="s">
        <v>40570</v>
      </c>
      <c r="F11028" t="s">
        <v>6729</v>
      </c>
      <c r="G11028" t="s">
        <v>85</v>
      </c>
      <c r="H11028">
        <v>716570000</v>
      </c>
      <c r="I11028" t="s">
        <v>30</v>
      </c>
      <c r="J11028" t="s">
        <v>41</v>
      </c>
      <c r="K11028" t="s">
        <v>2463</v>
      </c>
      <c r="Q11028">
        <v>0</v>
      </c>
      <c r="R11028">
        <v>1</v>
      </c>
      <c r="S11028">
        <v>1</v>
      </c>
      <c r="T11028" t="s">
        <v>40571</v>
      </c>
    </row>
    <row r="11029" spans="1:20" customFormat="1" ht="15" x14ac:dyDescent="0.25">
      <c r="A11029" t="s">
        <v>35</v>
      </c>
      <c r="B11029" t="s">
        <v>61</v>
      </c>
      <c r="C11029" t="str">
        <f>"A0127767"</f>
        <v>A0127767</v>
      </c>
      <c r="D11029" t="s">
        <v>40572</v>
      </c>
      <c r="E11029" t="s">
        <v>40573</v>
      </c>
      <c r="F11029" t="s">
        <v>25485</v>
      </c>
      <c r="G11029" t="s">
        <v>117</v>
      </c>
      <c r="H11029">
        <v>49036</v>
      </c>
      <c r="I11029" t="s">
        <v>30</v>
      </c>
      <c r="J11029" t="s">
        <v>41</v>
      </c>
      <c r="K11029" t="s">
        <v>59</v>
      </c>
      <c r="Q11029">
        <v>0</v>
      </c>
      <c r="R11029">
        <v>20</v>
      </c>
      <c r="S11029">
        <v>20</v>
      </c>
      <c r="T11029" t="s">
        <v>40574</v>
      </c>
    </row>
    <row r="11030" spans="1:20" customFormat="1" ht="15" x14ac:dyDescent="0.25">
      <c r="A11030" t="s">
        <v>35</v>
      </c>
      <c r="B11030" t="s">
        <v>61</v>
      </c>
      <c r="C11030" t="str">
        <f>"A0127768"</f>
        <v>A0127768</v>
      </c>
      <c r="D11030" t="s">
        <v>40575</v>
      </c>
      <c r="E11030" t="s">
        <v>40576</v>
      </c>
      <c r="F11030" t="s">
        <v>6285</v>
      </c>
      <c r="G11030" t="s">
        <v>117</v>
      </c>
      <c r="H11030">
        <v>49242</v>
      </c>
      <c r="I11030" t="s">
        <v>30</v>
      </c>
      <c r="J11030" t="s">
        <v>41</v>
      </c>
      <c r="K11030" t="s">
        <v>59</v>
      </c>
      <c r="Q11030">
        <v>0</v>
      </c>
      <c r="R11030">
        <v>20</v>
      </c>
      <c r="S11030">
        <v>20</v>
      </c>
      <c r="T11030" t="s">
        <v>40577</v>
      </c>
    </row>
    <row r="11031" spans="1:20" customFormat="1" ht="15" x14ac:dyDescent="0.25">
      <c r="A11031" t="s">
        <v>35</v>
      </c>
      <c r="B11031" t="s">
        <v>61</v>
      </c>
      <c r="C11031" t="str">
        <f>"A0125158"</f>
        <v>A0125158</v>
      </c>
      <c r="D11031" t="s">
        <v>40578</v>
      </c>
      <c r="E11031" t="s">
        <v>40579</v>
      </c>
      <c r="F11031" t="s">
        <v>40580</v>
      </c>
      <c r="G11031" t="s">
        <v>40</v>
      </c>
      <c r="H11031">
        <v>740300000</v>
      </c>
      <c r="I11031" t="s">
        <v>30</v>
      </c>
      <c r="J11031" t="s">
        <v>41</v>
      </c>
      <c r="K11031" t="s">
        <v>3713</v>
      </c>
      <c r="Q11031">
        <v>0</v>
      </c>
      <c r="R11031">
        <v>15</v>
      </c>
      <c r="S11031">
        <v>15</v>
      </c>
      <c r="T11031" t="s">
        <v>40581</v>
      </c>
    </row>
    <row r="11032" spans="1:20" customFormat="1" ht="15" x14ac:dyDescent="0.25">
      <c r="A11032" t="s">
        <v>35</v>
      </c>
      <c r="B11032" t="s">
        <v>437</v>
      </c>
      <c r="C11032" t="str">
        <f>"A0133976"</f>
        <v>A0133976</v>
      </c>
      <c r="D11032" t="s">
        <v>40582</v>
      </c>
      <c r="E11032" t="s">
        <v>40583</v>
      </c>
      <c r="F11032" t="s">
        <v>9135</v>
      </c>
      <c r="G11032" t="s">
        <v>110</v>
      </c>
      <c r="H11032">
        <v>95113</v>
      </c>
      <c r="I11032" t="s">
        <v>30</v>
      </c>
      <c r="J11032" t="s">
        <v>441</v>
      </c>
      <c r="K11032" t="s">
        <v>442</v>
      </c>
      <c r="Q11032">
        <v>0</v>
      </c>
      <c r="R11032">
        <v>0</v>
      </c>
      <c r="S11032">
        <v>0</v>
      </c>
      <c r="T11032" t="s">
        <v>40584</v>
      </c>
    </row>
    <row r="11033" spans="1:20" customFormat="1" ht="15" x14ac:dyDescent="0.25">
      <c r="A11033" t="s">
        <v>35</v>
      </c>
      <c r="B11033" t="s">
        <v>61</v>
      </c>
      <c r="C11033" t="str">
        <f>"A0124155"</f>
        <v>A0124155</v>
      </c>
      <c r="D11033" t="s">
        <v>40585</v>
      </c>
      <c r="E11033" t="s">
        <v>40586</v>
      </c>
      <c r="F11033" t="s">
        <v>1969</v>
      </c>
      <c r="G11033" t="s">
        <v>1363</v>
      </c>
      <c r="H11033">
        <v>3444</v>
      </c>
      <c r="I11033" t="s">
        <v>30</v>
      </c>
      <c r="J11033" t="s">
        <v>41</v>
      </c>
      <c r="K11033" t="s">
        <v>59</v>
      </c>
      <c r="Q11033">
        <v>0</v>
      </c>
      <c r="R11033">
        <v>12</v>
      </c>
      <c r="S11033">
        <v>12</v>
      </c>
      <c r="T11033" t="s">
        <v>40587</v>
      </c>
    </row>
    <row r="11034" spans="1:20" customFormat="1" ht="15" x14ac:dyDescent="0.25">
      <c r="A11034" t="s">
        <v>35</v>
      </c>
      <c r="B11034" t="s">
        <v>61</v>
      </c>
      <c r="C11034" t="str">
        <f>"A0117807"</f>
        <v>A0117807</v>
      </c>
      <c r="D11034" t="s">
        <v>40588</v>
      </c>
      <c r="E11034" t="s">
        <v>40589</v>
      </c>
      <c r="F11034" t="s">
        <v>26945</v>
      </c>
      <c r="G11034" t="s">
        <v>110</v>
      </c>
      <c r="H11034">
        <v>916060000</v>
      </c>
      <c r="I11034" t="s">
        <v>30</v>
      </c>
      <c r="J11034" t="s">
        <v>41</v>
      </c>
      <c r="K11034" t="s">
        <v>391</v>
      </c>
      <c r="Q11034">
        <v>0</v>
      </c>
      <c r="R11034">
        <v>1</v>
      </c>
      <c r="S11034">
        <v>1</v>
      </c>
      <c r="T11034" t="s">
        <v>40590</v>
      </c>
    </row>
    <row r="11035" spans="1:20" customFormat="1" ht="15" x14ac:dyDescent="0.25">
      <c r="A11035" t="s">
        <v>35</v>
      </c>
      <c r="B11035" t="s">
        <v>61</v>
      </c>
      <c r="C11035" t="str">
        <f>"A0152962"</f>
        <v>A0152962</v>
      </c>
      <c r="D11035" t="s">
        <v>40591</v>
      </c>
      <c r="E11035" t="s">
        <v>40592</v>
      </c>
      <c r="F11035" t="s">
        <v>40593</v>
      </c>
      <c r="G11035" t="s">
        <v>880</v>
      </c>
      <c r="H11035">
        <v>57356</v>
      </c>
      <c r="I11035" t="s">
        <v>30</v>
      </c>
      <c r="J11035" t="s">
        <v>41</v>
      </c>
      <c r="K11035" t="s">
        <v>42</v>
      </c>
      <c r="Q11035">
        <v>0</v>
      </c>
      <c r="R11035">
        <v>0</v>
      </c>
      <c r="S11035">
        <v>0</v>
      </c>
      <c r="T11035" t="s">
        <v>40594</v>
      </c>
    </row>
    <row r="11036" spans="1:20" customFormat="1" ht="15" x14ac:dyDescent="0.25">
      <c r="A11036" t="s">
        <v>35</v>
      </c>
      <c r="B11036" t="s">
        <v>61</v>
      </c>
      <c r="C11036" t="str">
        <f>"A0131018"</f>
        <v>A0131018</v>
      </c>
      <c r="D11036" t="s">
        <v>40595</v>
      </c>
      <c r="E11036" t="s">
        <v>40596</v>
      </c>
      <c r="F11036" t="s">
        <v>33261</v>
      </c>
      <c r="G11036" t="s">
        <v>85</v>
      </c>
      <c r="H11036">
        <v>717540000</v>
      </c>
      <c r="I11036" t="s">
        <v>30</v>
      </c>
      <c r="J11036" t="s">
        <v>41</v>
      </c>
      <c r="K11036" t="s">
        <v>59</v>
      </c>
      <c r="Q11036">
        <v>0</v>
      </c>
      <c r="R11036">
        <v>48</v>
      </c>
      <c r="S11036">
        <v>48</v>
      </c>
      <c r="T11036" t="s">
        <v>40597</v>
      </c>
    </row>
    <row r="11037" spans="1:20" customFormat="1" ht="15" x14ac:dyDescent="0.25">
      <c r="A11037" t="s">
        <v>35</v>
      </c>
      <c r="B11037" t="s">
        <v>61</v>
      </c>
      <c r="C11037" t="str">
        <f>"A0123708"</f>
        <v>A0123708</v>
      </c>
      <c r="D11037" t="s">
        <v>40598</v>
      </c>
      <c r="E11037" t="s">
        <v>40599</v>
      </c>
      <c r="F11037" t="s">
        <v>40600</v>
      </c>
      <c r="G11037" t="s">
        <v>29</v>
      </c>
      <c r="H11037">
        <v>24244</v>
      </c>
      <c r="I11037" t="s">
        <v>30</v>
      </c>
      <c r="J11037" t="s">
        <v>41</v>
      </c>
      <c r="K11037" t="s">
        <v>229</v>
      </c>
      <c r="Q11037">
        <v>0</v>
      </c>
      <c r="R11037">
        <v>29</v>
      </c>
      <c r="S11037">
        <v>29</v>
      </c>
      <c r="T11037" t="s">
        <v>40601</v>
      </c>
    </row>
    <row r="11038" spans="1:20" customFormat="1" ht="15" x14ac:dyDescent="0.25">
      <c r="A11038" t="s">
        <v>35</v>
      </c>
      <c r="B11038" t="s">
        <v>437</v>
      </c>
      <c r="C11038" t="str">
        <f>"A0133939"</f>
        <v>A0133939</v>
      </c>
      <c r="D11038" t="s">
        <v>40602</v>
      </c>
      <c r="E11038" t="s">
        <v>40603</v>
      </c>
      <c r="F11038" t="s">
        <v>17375</v>
      </c>
      <c r="G11038" t="s">
        <v>40</v>
      </c>
      <c r="H11038">
        <v>74012</v>
      </c>
      <c r="I11038" t="s">
        <v>30</v>
      </c>
      <c r="J11038" t="s">
        <v>441</v>
      </c>
      <c r="K11038" t="s">
        <v>442</v>
      </c>
      <c r="Q11038">
        <v>0</v>
      </c>
      <c r="R11038">
        <v>0</v>
      </c>
      <c r="S11038">
        <v>0</v>
      </c>
      <c r="T11038" t="s">
        <v>40604</v>
      </c>
    </row>
    <row r="11039" spans="1:20" customFormat="1" ht="15" x14ac:dyDescent="0.25">
      <c r="A11039" t="s">
        <v>35</v>
      </c>
      <c r="B11039" t="s">
        <v>437</v>
      </c>
      <c r="C11039" t="str">
        <f>"A0134897"</f>
        <v>A0134897</v>
      </c>
      <c r="D11039" t="s">
        <v>40605</v>
      </c>
      <c r="E11039" t="s">
        <v>40606</v>
      </c>
      <c r="F11039" t="s">
        <v>40607</v>
      </c>
      <c r="G11039" t="s">
        <v>40</v>
      </c>
      <c r="H11039">
        <v>74477</v>
      </c>
      <c r="I11039" t="s">
        <v>30</v>
      </c>
      <c r="J11039" t="s">
        <v>441</v>
      </c>
      <c r="K11039" t="s">
        <v>442</v>
      </c>
      <c r="Q11039">
        <v>0</v>
      </c>
      <c r="R11039">
        <v>0</v>
      </c>
      <c r="S11039">
        <v>0</v>
      </c>
      <c r="T11039" t="s">
        <v>40608</v>
      </c>
    </row>
    <row r="11040" spans="1:20" customFormat="1" ht="15" x14ac:dyDescent="0.25">
      <c r="A11040" t="s">
        <v>35</v>
      </c>
      <c r="B11040" t="s">
        <v>61</v>
      </c>
      <c r="C11040" t="str">
        <f>"A0125273"</f>
        <v>A0125273</v>
      </c>
      <c r="D11040" t="s">
        <v>40609</v>
      </c>
      <c r="E11040" t="s">
        <v>40610</v>
      </c>
      <c r="F11040" t="s">
        <v>39281</v>
      </c>
      <c r="G11040" t="s">
        <v>40</v>
      </c>
      <c r="H11040">
        <v>735340000</v>
      </c>
      <c r="I11040" t="s">
        <v>30</v>
      </c>
      <c r="J11040" t="s">
        <v>41</v>
      </c>
      <c r="K11040" t="s">
        <v>59</v>
      </c>
      <c r="Q11040">
        <v>0</v>
      </c>
      <c r="R11040">
        <v>25</v>
      </c>
      <c r="S11040">
        <v>25</v>
      </c>
      <c r="T11040" t="s">
        <v>40611</v>
      </c>
    </row>
    <row r="11041" spans="1:20" customFormat="1" ht="15" x14ac:dyDescent="0.25">
      <c r="A11041" t="s">
        <v>35</v>
      </c>
      <c r="B11041" t="s">
        <v>61</v>
      </c>
      <c r="C11041" t="str">
        <f>"A0150472"</f>
        <v>A0150472</v>
      </c>
      <c r="D11041" t="s">
        <v>40612</v>
      </c>
      <c r="E11041" t="s">
        <v>40613</v>
      </c>
      <c r="F11041" t="s">
        <v>37109</v>
      </c>
      <c r="G11041" t="s">
        <v>1898</v>
      </c>
      <c r="H11041">
        <v>50438</v>
      </c>
      <c r="I11041" t="s">
        <v>30</v>
      </c>
      <c r="J11041" t="s">
        <v>41</v>
      </c>
      <c r="K11041" t="s">
        <v>131</v>
      </c>
      <c r="Q11041">
        <v>0</v>
      </c>
      <c r="R11041">
        <v>0</v>
      </c>
      <c r="S11041">
        <v>0</v>
      </c>
      <c r="T11041" t="s">
        <v>40614</v>
      </c>
    </row>
    <row r="11042" spans="1:20" customFormat="1" ht="15" x14ac:dyDescent="0.25">
      <c r="A11042" t="s">
        <v>35</v>
      </c>
      <c r="B11042" t="s">
        <v>61</v>
      </c>
      <c r="C11042" t="str">
        <f>"A0131521"</f>
        <v>A0131521</v>
      </c>
      <c r="D11042" t="s">
        <v>40615</v>
      </c>
      <c r="E11042" t="s">
        <v>40616</v>
      </c>
      <c r="F11042" t="s">
        <v>1795</v>
      </c>
      <c r="G11042" t="s">
        <v>381</v>
      </c>
      <c r="H11042">
        <v>473750000</v>
      </c>
      <c r="I11042" t="s">
        <v>30</v>
      </c>
      <c r="J11042" t="s">
        <v>41</v>
      </c>
      <c r="K11042" t="s">
        <v>229</v>
      </c>
      <c r="Q11042">
        <v>0</v>
      </c>
      <c r="R11042">
        <v>43</v>
      </c>
      <c r="S11042">
        <v>43</v>
      </c>
      <c r="T11042" t="s">
        <v>40617</v>
      </c>
    </row>
    <row r="11043" spans="1:20" customFormat="1" ht="15" x14ac:dyDescent="0.25">
      <c r="A11043" t="s">
        <v>35</v>
      </c>
      <c r="B11043" t="s">
        <v>61</v>
      </c>
      <c r="C11043" t="str">
        <f>"A0132530"</f>
        <v>A0132530</v>
      </c>
      <c r="D11043" t="s">
        <v>40618</v>
      </c>
      <c r="E11043" t="s">
        <v>40619</v>
      </c>
      <c r="F11043" t="s">
        <v>40620</v>
      </c>
      <c r="G11043" t="s">
        <v>65</v>
      </c>
      <c r="H11043">
        <v>45856</v>
      </c>
      <c r="I11043" t="s">
        <v>30</v>
      </c>
      <c r="J11043" t="s">
        <v>41</v>
      </c>
      <c r="K11043" t="s">
        <v>2463</v>
      </c>
      <c r="Q11043">
        <v>0</v>
      </c>
      <c r="R11043">
        <v>0</v>
      </c>
      <c r="S11043">
        <v>0</v>
      </c>
      <c r="T11043" t="s">
        <v>40621</v>
      </c>
    </row>
    <row r="11044" spans="1:20" customFormat="1" ht="15" x14ac:dyDescent="0.25">
      <c r="A11044" t="s">
        <v>35</v>
      </c>
      <c r="B11044" t="s">
        <v>61</v>
      </c>
      <c r="C11044" t="str">
        <f>"A0123710"</f>
        <v>A0123710</v>
      </c>
      <c r="D11044" t="s">
        <v>40622</v>
      </c>
      <c r="E11044" t="s">
        <v>40623</v>
      </c>
      <c r="F11044" t="s">
        <v>40624</v>
      </c>
      <c r="G11044" t="s">
        <v>29</v>
      </c>
      <c r="H11044">
        <v>22644</v>
      </c>
      <c r="I11044" t="s">
        <v>30</v>
      </c>
      <c r="J11044" t="s">
        <v>41</v>
      </c>
      <c r="K11044" t="s">
        <v>59</v>
      </c>
      <c r="Q11044">
        <v>0</v>
      </c>
      <c r="R11044">
        <v>52</v>
      </c>
      <c r="S11044">
        <v>52</v>
      </c>
      <c r="T11044" t="s">
        <v>40625</v>
      </c>
    </row>
    <row r="11045" spans="1:20" customFormat="1" ht="15" x14ac:dyDescent="0.25">
      <c r="A11045" t="s">
        <v>35</v>
      </c>
      <c r="B11045" t="s">
        <v>61</v>
      </c>
      <c r="C11045" t="str">
        <f>"A0118575"</f>
        <v>A0118575</v>
      </c>
      <c r="D11045" t="s">
        <v>40626</v>
      </c>
      <c r="E11045" t="s">
        <v>40627</v>
      </c>
      <c r="F11045" t="s">
        <v>12489</v>
      </c>
      <c r="G11045" t="s">
        <v>110</v>
      </c>
      <c r="H11045">
        <v>960020000</v>
      </c>
      <c r="I11045" t="s">
        <v>30</v>
      </c>
      <c r="J11045" t="s">
        <v>41</v>
      </c>
      <c r="K11045" t="s">
        <v>2760</v>
      </c>
      <c r="Q11045">
        <v>0</v>
      </c>
      <c r="R11045">
        <v>1</v>
      </c>
      <c r="S11045">
        <v>1</v>
      </c>
      <c r="T11045" t="s">
        <v>40628</v>
      </c>
    </row>
    <row r="11046" spans="1:20" customFormat="1" ht="15" x14ac:dyDescent="0.25">
      <c r="A11046" t="s">
        <v>35</v>
      </c>
      <c r="B11046" t="s">
        <v>61</v>
      </c>
      <c r="C11046" t="str">
        <f>"A0121893"</f>
        <v>A0121893</v>
      </c>
      <c r="D11046" t="s">
        <v>40629</v>
      </c>
      <c r="E11046" t="s">
        <v>40630</v>
      </c>
      <c r="F11046" t="s">
        <v>8622</v>
      </c>
      <c r="G11046" t="s">
        <v>381</v>
      </c>
      <c r="H11046">
        <v>46237</v>
      </c>
      <c r="I11046" t="s">
        <v>30</v>
      </c>
      <c r="J11046" t="s">
        <v>41</v>
      </c>
      <c r="K11046" t="s">
        <v>290</v>
      </c>
      <c r="Q11046">
        <v>0</v>
      </c>
      <c r="R11046">
        <v>0</v>
      </c>
      <c r="S11046">
        <v>0</v>
      </c>
      <c r="T11046" t="s">
        <v>40631</v>
      </c>
    </row>
    <row r="11047" spans="1:20" customFormat="1" ht="15" x14ac:dyDescent="0.25">
      <c r="A11047" t="s">
        <v>35</v>
      </c>
      <c r="B11047" t="s">
        <v>61</v>
      </c>
      <c r="C11047" t="str">
        <f>"A0121932"</f>
        <v>A0121932</v>
      </c>
      <c r="D11047" t="s">
        <v>40632</v>
      </c>
      <c r="E11047" t="s">
        <v>40633</v>
      </c>
      <c r="F11047" t="s">
        <v>8622</v>
      </c>
      <c r="G11047" t="s">
        <v>381</v>
      </c>
      <c r="H11047">
        <v>46203</v>
      </c>
      <c r="I11047" t="s">
        <v>30</v>
      </c>
      <c r="J11047" t="s">
        <v>41</v>
      </c>
      <c r="K11047" t="s">
        <v>229</v>
      </c>
      <c r="Q11047">
        <v>0</v>
      </c>
      <c r="R11047">
        <v>115</v>
      </c>
      <c r="S11047">
        <v>115</v>
      </c>
      <c r="T11047" t="s">
        <v>40634</v>
      </c>
    </row>
    <row r="11048" spans="1:20" customFormat="1" ht="15" x14ac:dyDescent="0.25">
      <c r="A11048" t="s">
        <v>35</v>
      </c>
      <c r="B11048" t="s">
        <v>61</v>
      </c>
      <c r="C11048" t="str">
        <f>"A0121899"</f>
        <v>A0121899</v>
      </c>
      <c r="D11048" t="s">
        <v>40635</v>
      </c>
      <c r="E11048" t="s">
        <v>40636</v>
      </c>
      <c r="F11048" t="s">
        <v>12934</v>
      </c>
      <c r="G11048" t="s">
        <v>381</v>
      </c>
      <c r="H11048">
        <v>47401</v>
      </c>
      <c r="I11048" t="s">
        <v>30</v>
      </c>
      <c r="J11048" t="s">
        <v>41</v>
      </c>
      <c r="K11048" t="s">
        <v>229</v>
      </c>
      <c r="Q11048">
        <v>0</v>
      </c>
      <c r="R11048">
        <v>153</v>
      </c>
      <c r="S11048">
        <v>153</v>
      </c>
      <c r="T11048" t="s">
        <v>40637</v>
      </c>
    </row>
    <row r="11049" spans="1:20" customFormat="1" ht="15" x14ac:dyDescent="0.25">
      <c r="A11049" t="s">
        <v>35</v>
      </c>
      <c r="B11049" t="s">
        <v>61</v>
      </c>
      <c r="C11049" t="str">
        <f>"A0121907"</f>
        <v>A0121907</v>
      </c>
      <c r="D11049" t="s">
        <v>40638</v>
      </c>
      <c r="E11049" t="s">
        <v>40639</v>
      </c>
      <c r="F11049" t="s">
        <v>475</v>
      </c>
      <c r="G11049" t="s">
        <v>381</v>
      </c>
      <c r="H11049">
        <v>46517</v>
      </c>
      <c r="I11049" t="s">
        <v>30</v>
      </c>
      <c r="J11049" t="s">
        <v>41</v>
      </c>
      <c r="K11049" t="s">
        <v>229</v>
      </c>
      <c r="Q11049">
        <v>0</v>
      </c>
      <c r="R11049">
        <v>175</v>
      </c>
      <c r="S11049">
        <v>175</v>
      </c>
      <c r="T11049" t="s">
        <v>40640</v>
      </c>
    </row>
    <row r="11050" spans="1:20" customFormat="1" ht="15" x14ac:dyDescent="0.25">
      <c r="A11050" t="s">
        <v>35</v>
      </c>
      <c r="B11050" t="s">
        <v>61</v>
      </c>
      <c r="C11050" t="str">
        <f>"A0121898"</f>
        <v>A0121898</v>
      </c>
      <c r="D11050" t="s">
        <v>40641</v>
      </c>
      <c r="E11050" t="s">
        <v>40642</v>
      </c>
      <c r="F11050" t="s">
        <v>12071</v>
      </c>
      <c r="G11050" t="s">
        <v>381</v>
      </c>
      <c r="H11050">
        <v>47710</v>
      </c>
      <c r="I11050" t="s">
        <v>30</v>
      </c>
      <c r="J11050" t="s">
        <v>41</v>
      </c>
      <c r="K11050" t="s">
        <v>229</v>
      </c>
      <c r="Q11050">
        <v>0</v>
      </c>
      <c r="R11050">
        <v>67</v>
      </c>
      <c r="S11050">
        <v>67</v>
      </c>
      <c r="T11050" t="s">
        <v>40643</v>
      </c>
    </row>
    <row r="11051" spans="1:20" customFormat="1" ht="15" x14ac:dyDescent="0.25">
      <c r="A11051" t="s">
        <v>35</v>
      </c>
      <c r="B11051" t="s">
        <v>61</v>
      </c>
      <c r="C11051" t="str">
        <f>"A0121895"</f>
        <v>A0121895</v>
      </c>
      <c r="D11051" t="s">
        <v>40644</v>
      </c>
      <c r="E11051" t="s">
        <v>40645</v>
      </c>
      <c r="F11051" t="s">
        <v>12071</v>
      </c>
      <c r="G11051" t="s">
        <v>381</v>
      </c>
      <c r="H11051">
        <v>47713</v>
      </c>
      <c r="I11051" t="s">
        <v>30</v>
      </c>
      <c r="J11051" t="s">
        <v>41</v>
      </c>
      <c r="K11051" t="s">
        <v>229</v>
      </c>
      <c r="Q11051">
        <v>0</v>
      </c>
      <c r="R11051">
        <v>114</v>
      </c>
      <c r="S11051">
        <v>114</v>
      </c>
      <c r="T11051" t="s">
        <v>40646</v>
      </c>
    </row>
    <row r="11052" spans="1:20" customFormat="1" ht="15" x14ac:dyDescent="0.25">
      <c r="A11052" t="s">
        <v>35</v>
      </c>
      <c r="B11052" t="s">
        <v>61</v>
      </c>
      <c r="C11052" t="str">
        <f>"A0121931"</f>
        <v>A0121931</v>
      </c>
      <c r="D11052" t="s">
        <v>40647</v>
      </c>
      <c r="E11052" t="s">
        <v>40648</v>
      </c>
      <c r="F11052" t="s">
        <v>3336</v>
      </c>
      <c r="G11052" t="s">
        <v>381</v>
      </c>
      <c r="H11052">
        <v>46140</v>
      </c>
      <c r="I11052" t="s">
        <v>30</v>
      </c>
      <c r="J11052" t="s">
        <v>41</v>
      </c>
      <c r="K11052" t="s">
        <v>229</v>
      </c>
      <c r="Q11052">
        <v>0</v>
      </c>
      <c r="R11052">
        <v>128</v>
      </c>
      <c r="S11052">
        <v>128</v>
      </c>
      <c r="T11052" t="s">
        <v>40649</v>
      </c>
    </row>
    <row r="11053" spans="1:20" customFormat="1" ht="15" x14ac:dyDescent="0.25">
      <c r="A11053" t="s">
        <v>35</v>
      </c>
      <c r="B11053" t="s">
        <v>61</v>
      </c>
      <c r="C11053" t="str">
        <f>"A0121934"</f>
        <v>A0121934</v>
      </c>
      <c r="D11053" t="s">
        <v>40650</v>
      </c>
      <c r="E11053" t="s">
        <v>40651</v>
      </c>
      <c r="F11053" t="s">
        <v>8622</v>
      </c>
      <c r="G11053" t="s">
        <v>381</v>
      </c>
      <c r="H11053">
        <v>46219</v>
      </c>
      <c r="I11053" t="s">
        <v>30</v>
      </c>
      <c r="J11053" t="s">
        <v>41</v>
      </c>
      <c r="K11053" t="s">
        <v>229</v>
      </c>
      <c r="Q11053">
        <v>0</v>
      </c>
      <c r="R11053">
        <v>136</v>
      </c>
      <c r="S11053">
        <v>136</v>
      </c>
      <c r="T11053" t="s">
        <v>40652</v>
      </c>
    </row>
    <row r="11054" spans="1:20" customFormat="1" ht="15" x14ac:dyDescent="0.25">
      <c r="A11054" t="s">
        <v>35</v>
      </c>
      <c r="B11054" t="s">
        <v>61</v>
      </c>
      <c r="C11054" t="str">
        <f>"A0121894"</f>
        <v>A0121894</v>
      </c>
      <c r="D11054" t="s">
        <v>40653</v>
      </c>
      <c r="E11054" t="s">
        <v>40654</v>
      </c>
      <c r="F11054" t="s">
        <v>40655</v>
      </c>
      <c r="G11054" t="s">
        <v>381</v>
      </c>
      <c r="H11054">
        <v>46534</v>
      </c>
      <c r="I11054" t="s">
        <v>30</v>
      </c>
      <c r="J11054" t="s">
        <v>41</v>
      </c>
      <c r="K11054" t="s">
        <v>229</v>
      </c>
      <c r="Q11054">
        <v>0</v>
      </c>
      <c r="R11054">
        <v>57</v>
      </c>
      <c r="S11054">
        <v>57</v>
      </c>
      <c r="T11054" t="s">
        <v>40656</v>
      </c>
    </row>
    <row r="11055" spans="1:20" customFormat="1" ht="15" x14ac:dyDescent="0.25">
      <c r="A11055" t="s">
        <v>35</v>
      </c>
      <c r="B11055" t="s">
        <v>61</v>
      </c>
      <c r="C11055" t="str">
        <f>"A0121908"</f>
        <v>A0121908</v>
      </c>
      <c r="D11055" t="s">
        <v>40657</v>
      </c>
      <c r="E11055" t="s">
        <v>40658</v>
      </c>
      <c r="F11055" t="s">
        <v>15520</v>
      </c>
      <c r="G11055" t="s">
        <v>381</v>
      </c>
      <c r="H11055">
        <v>46901</v>
      </c>
      <c r="I11055" t="s">
        <v>30</v>
      </c>
      <c r="J11055" t="s">
        <v>41</v>
      </c>
      <c r="K11055" t="s">
        <v>229</v>
      </c>
      <c r="Q11055">
        <v>0</v>
      </c>
      <c r="R11055">
        <v>110</v>
      </c>
      <c r="S11055">
        <v>110</v>
      </c>
      <c r="T11055" t="s">
        <v>40659</v>
      </c>
    </row>
    <row r="11056" spans="1:20" customFormat="1" ht="15" x14ac:dyDescent="0.25">
      <c r="A11056" t="s">
        <v>35</v>
      </c>
      <c r="B11056" t="s">
        <v>61</v>
      </c>
      <c r="C11056" t="str">
        <f>"A0121902"</f>
        <v>A0121902</v>
      </c>
      <c r="D11056" t="s">
        <v>40660</v>
      </c>
      <c r="E11056" t="s">
        <v>40661</v>
      </c>
      <c r="F11056" t="s">
        <v>40662</v>
      </c>
      <c r="G11056" t="s">
        <v>381</v>
      </c>
      <c r="H11056">
        <v>46350</v>
      </c>
      <c r="I11056" t="s">
        <v>30</v>
      </c>
      <c r="J11056" t="s">
        <v>41</v>
      </c>
      <c r="K11056" t="s">
        <v>229</v>
      </c>
      <c r="Q11056">
        <v>0</v>
      </c>
      <c r="R11056">
        <v>87</v>
      </c>
      <c r="S11056">
        <v>87</v>
      </c>
      <c r="T11056" t="s">
        <v>40663</v>
      </c>
    </row>
    <row r="11057" spans="1:20" customFormat="1" ht="15" x14ac:dyDescent="0.25">
      <c r="A11057" t="s">
        <v>35</v>
      </c>
      <c r="B11057" t="s">
        <v>61</v>
      </c>
      <c r="C11057" t="str">
        <f>"A0121903"</f>
        <v>A0121903</v>
      </c>
      <c r="D11057" t="s">
        <v>40664</v>
      </c>
      <c r="E11057" t="s">
        <v>40665</v>
      </c>
      <c r="F11057" t="s">
        <v>40662</v>
      </c>
      <c r="G11057" t="s">
        <v>381</v>
      </c>
      <c r="H11057">
        <v>46350</v>
      </c>
      <c r="I11057" t="s">
        <v>30</v>
      </c>
      <c r="J11057" t="s">
        <v>41</v>
      </c>
      <c r="K11057" t="s">
        <v>229</v>
      </c>
      <c r="Q11057">
        <v>0</v>
      </c>
      <c r="R11057">
        <v>176</v>
      </c>
      <c r="S11057">
        <v>176</v>
      </c>
      <c r="T11057" t="s">
        <v>40666</v>
      </c>
    </row>
    <row r="11058" spans="1:20" customFormat="1" ht="15" x14ac:dyDescent="0.25">
      <c r="A11058" t="s">
        <v>35</v>
      </c>
      <c r="B11058" t="s">
        <v>61</v>
      </c>
      <c r="C11058" t="str">
        <f>"A0121937"</f>
        <v>A0121937</v>
      </c>
      <c r="D11058" t="s">
        <v>40667</v>
      </c>
      <c r="E11058" t="s">
        <v>40668</v>
      </c>
      <c r="F11058" t="s">
        <v>10611</v>
      </c>
      <c r="G11058" t="s">
        <v>381</v>
      </c>
      <c r="H11058">
        <v>46544</v>
      </c>
      <c r="I11058" t="s">
        <v>30</v>
      </c>
      <c r="J11058" t="s">
        <v>41</v>
      </c>
      <c r="K11058" t="s">
        <v>229</v>
      </c>
      <c r="Q11058">
        <v>0</v>
      </c>
      <c r="R11058">
        <v>87</v>
      </c>
      <c r="S11058">
        <v>87</v>
      </c>
      <c r="T11058" t="s">
        <v>40669</v>
      </c>
    </row>
    <row r="11059" spans="1:20" customFormat="1" ht="15" x14ac:dyDescent="0.25">
      <c r="A11059" t="s">
        <v>35</v>
      </c>
      <c r="B11059" t="s">
        <v>61</v>
      </c>
      <c r="C11059" t="str">
        <f>"A0121938"</f>
        <v>A0121938</v>
      </c>
      <c r="D11059" t="s">
        <v>40670</v>
      </c>
      <c r="E11059" t="s">
        <v>40671</v>
      </c>
      <c r="F11059" t="s">
        <v>10611</v>
      </c>
      <c r="G11059" t="s">
        <v>381</v>
      </c>
      <c r="H11059">
        <v>46545</v>
      </c>
      <c r="I11059" t="s">
        <v>30</v>
      </c>
      <c r="J11059" t="s">
        <v>41</v>
      </c>
      <c r="K11059" t="s">
        <v>229</v>
      </c>
      <c r="Q11059">
        <v>0</v>
      </c>
      <c r="R11059">
        <v>130</v>
      </c>
      <c r="S11059">
        <v>130</v>
      </c>
      <c r="T11059" t="s">
        <v>40672</v>
      </c>
    </row>
    <row r="11060" spans="1:20" customFormat="1" ht="15" x14ac:dyDescent="0.25">
      <c r="A11060" t="s">
        <v>35</v>
      </c>
      <c r="B11060" t="s">
        <v>61</v>
      </c>
      <c r="C11060" t="str">
        <f>"A0121906"</f>
        <v>A0121906</v>
      </c>
      <c r="D11060" t="s">
        <v>40673</v>
      </c>
      <c r="E11060" t="s">
        <v>40674</v>
      </c>
      <c r="F11060" t="s">
        <v>17093</v>
      </c>
      <c r="G11060" t="s">
        <v>381</v>
      </c>
      <c r="H11060">
        <v>47304</v>
      </c>
      <c r="I11060" t="s">
        <v>30</v>
      </c>
      <c r="J11060" t="s">
        <v>41</v>
      </c>
      <c r="K11060" t="s">
        <v>229</v>
      </c>
      <c r="Q11060">
        <v>0</v>
      </c>
      <c r="R11060">
        <v>117</v>
      </c>
      <c r="S11060">
        <v>117</v>
      </c>
      <c r="T11060" t="s">
        <v>40675</v>
      </c>
    </row>
    <row r="11061" spans="1:20" customFormat="1" ht="15" x14ac:dyDescent="0.25">
      <c r="A11061" t="s">
        <v>35</v>
      </c>
      <c r="B11061" t="s">
        <v>61</v>
      </c>
      <c r="C11061" t="str">
        <f>"A0121896"</f>
        <v>A0121896</v>
      </c>
      <c r="D11061" t="s">
        <v>40676</v>
      </c>
      <c r="E11061" t="s">
        <v>40677</v>
      </c>
      <c r="F11061" t="s">
        <v>40678</v>
      </c>
      <c r="G11061" t="s">
        <v>381</v>
      </c>
      <c r="H11061">
        <v>47630</v>
      </c>
      <c r="I11061" t="s">
        <v>30</v>
      </c>
      <c r="J11061" t="s">
        <v>41</v>
      </c>
      <c r="K11061" t="s">
        <v>229</v>
      </c>
      <c r="Q11061">
        <v>0</v>
      </c>
      <c r="R11061">
        <v>120</v>
      </c>
      <c r="S11061">
        <v>120</v>
      </c>
      <c r="T11061" t="s">
        <v>40679</v>
      </c>
    </row>
    <row r="11062" spans="1:20" customFormat="1" ht="15" x14ac:dyDescent="0.25">
      <c r="A11062" t="s">
        <v>35</v>
      </c>
      <c r="B11062" t="s">
        <v>61</v>
      </c>
      <c r="C11062" t="str">
        <f>"A0121905"</f>
        <v>A0121905</v>
      </c>
      <c r="D11062" t="s">
        <v>40680</v>
      </c>
      <c r="E11062" t="s">
        <v>40681</v>
      </c>
      <c r="F11062" t="s">
        <v>24124</v>
      </c>
      <c r="G11062" t="s">
        <v>381</v>
      </c>
      <c r="H11062">
        <v>47567</v>
      </c>
      <c r="I11062" t="s">
        <v>30</v>
      </c>
      <c r="J11062" t="s">
        <v>41</v>
      </c>
      <c r="K11062" t="s">
        <v>229</v>
      </c>
      <c r="Q11062">
        <v>0</v>
      </c>
      <c r="R11062">
        <v>86</v>
      </c>
      <c r="S11062">
        <v>86</v>
      </c>
      <c r="T11062" t="s">
        <v>40682</v>
      </c>
    </row>
    <row r="11063" spans="1:20" customFormat="1" ht="15" x14ac:dyDescent="0.25">
      <c r="A11063" t="s">
        <v>35</v>
      </c>
      <c r="B11063" t="s">
        <v>61</v>
      </c>
      <c r="C11063" t="str">
        <f>"A0121901"</f>
        <v>A0121901</v>
      </c>
      <c r="D11063" t="s">
        <v>40683</v>
      </c>
      <c r="E11063" t="s">
        <v>40684</v>
      </c>
      <c r="F11063" t="s">
        <v>5766</v>
      </c>
      <c r="G11063" t="s">
        <v>381</v>
      </c>
      <c r="H11063">
        <v>46368</v>
      </c>
      <c r="I11063" t="s">
        <v>30</v>
      </c>
      <c r="J11063" t="s">
        <v>41</v>
      </c>
      <c r="K11063" t="s">
        <v>229</v>
      </c>
      <c r="Q11063">
        <v>0</v>
      </c>
      <c r="R11063">
        <v>186</v>
      </c>
      <c r="S11063">
        <v>186</v>
      </c>
      <c r="T11063" t="s">
        <v>40685</v>
      </c>
    </row>
    <row r="11064" spans="1:20" customFormat="1" ht="15" x14ac:dyDescent="0.25">
      <c r="A11064" t="s">
        <v>35</v>
      </c>
      <c r="B11064" t="s">
        <v>61</v>
      </c>
      <c r="C11064" t="str">
        <f>"A0121935"</f>
        <v>A0121935</v>
      </c>
      <c r="D11064" t="s">
        <v>40686</v>
      </c>
      <c r="E11064" t="s">
        <v>40687</v>
      </c>
      <c r="F11064" t="s">
        <v>1795</v>
      </c>
      <c r="G11064" t="s">
        <v>381</v>
      </c>
      <c r="H11064">
        <v>47374</v>
      </c>
      <c r="I11064" t="s">
        <v>30</v>
      </c>
      <c r="J11064" t="s">
        <v>41</v>
      </c>
      <c r="K11064" t="s">
        <v>229</v>
      </c>
      <c r="Q11064">
        <v>0</v>
      </c>
      <c r="R11064">
        <v>122</v>
      </c>
      <c r="S11064">
        <v>122</v>
      </c>
      <c r="T11064" t="s">
        <v>40688</v>
      </c>
    </row>
    <row r="11065" spans="1:20" customFormat="1" ht="15" x14ac:dyDescent="0.25">
      <c r="A11065" t="s">
        <v>35</v>
      </c>
      <c r="B11065" t="s">
        <v>61</v>
      </c>
      <c r="C11065" t="str">
        <f>"A0121936"</f>
        <v>A0121936</v>
      </c>
      <c r="D11065" t="s">
        <v>40689</v>
      </c>
      <c r="E11065" t="s">
        <v>40690</v>
      </c>
      <c r="F11065" t="s">
        <v>1795</v>
      </c>
      <c r="G11065" t="s">
        <v>381</v>
      </c>
      <c r="H11065">
        <v>47374</v>
      </c>
      <c r="I11065" t="s">
        <v>30</v>
      </c>
      <c r="J11065" t="s">
        <v>41</v>
      </c>
      <c r="K11065" t="s">
        <v>229</v>
      </c>
      <c r="Q11065">
        <v>0</v>
      </c>
      <c r="R11065">
        <v>170</v>
      </c>
      <c r="S11065">
        <v>170</v>
      </c>
      <c r="T11065" t="s">
        <v>40691</v>
      </c>
    </row>
    <row r="11066" spans="1:20" customFormat="1" ht="15" x14ac:dyDescent="0.25">
      <c r="A11066" t="s">
        <v>35</v>
      </c>
      <c r="B11066" t="s">
        <v>61</v>
      </c>
      <c r="C11066" t="str">
        <f>"A0121897"</f>
        <v>A0121897</v>
      </c>
      <c r="D11066" t="s">
        <v>40692</v>
      </c>
      <c r="E11066" t="s">
        <v>40693</v>
      </c>
      <c r="F11066" t="s">
        <v>40694</v>
      </c>
      <c r="G11066" t="s">
        <v>381</v>
      </c>
      <c r="H11066">
        <v>47586</v>
      </c>
      <c r="I11066" t="s">
        <v>30</v>
      </c>
      <c r="J11066" t="s">
        <v>41</v>
      </c>
      <c r="K11066" t="s">
        <v>229</v>
      </c>
      <c r="Q11066">
        <v>0</v>
      </c>
      <c r="R11066">
        <v>86</v>
      </c>
      <c r="S11066">
        <v>86</v>
      </c>
      <c r="T11066" t="s">
        <v>40695</v>
      </c>
    </row>
    <row r="11067" spans="1:20" customFormat="1" ht="15" x14ac:dyDescent="0.25">
      <c r="A11067" t="s">
        <v>35</v>
      </c>
      <c r="B11067" t="s">
        <v>61</v>
      </c>
      <c r="C11067" t="str">
        <f>"A0121904"</f>
        <v>A0121904</v>
      </c>
      <c r="D11067" t="s">
        <v>40696</v>
      </c>
      <c r="E11067" t="s">
        <v>40697</v>
      </c>
      <c r="F11067" t="s">
        <v>40698</v>
      </c>
      <c r="G11067" t="s">
        <v>381</v>
      </c>
      <c r="H11067">
        <v>46383</v>
      </c>
      <c r="I11067" t="s">
        <v>30</v>
      </c>
      <c r="J11067" t="s">
        <v>41</v>
      </c>
      <c r="K11067" t="s">
        <v>229</v>
      </c>
      <c r="Q11067">
        <v>0</v>
      </c>
      <c r="R11067">
        <v>85</v>
      </c>
      <c r="S11067">
        <v>85</v>
      </c>
      <c r="T11067" t="s">
        <v>40699</v>
      </c>
    </row>
    <row r="11068" spans="1:20" customFormat="1" ht="15" x14ac:dyDescent="0.25">
      <c r="A11068" t="s">
        <v>35</v>
      </c>
      <c r="B11068" t="s">
        <v>61</v>
      </c>
      <c r="C11068" t="str">
        <f>"A0121933"</f>
        <v>A0121933</v>
      </c>
      <c r="D11068" t="s">
        <v>40700</v>
      </c>
      <c r="E11068" t="s">
        <v>40701</v>
      </c>
      <c r="F11068" t="s">
        <v>8622</v>
      </c>
      <c r="G11068" t="s">
        <v>381</v>
      </c>
      <c r="H11068">
        <v>46260</v>
      </c>
      <c r="I11068" t="s">
        <v>30</v>
      </c>
      <c r="J11068" t="s">
        <v>41</v>
      </c>
      <c r="K11068" t="s">
        <v>229</v>
      </c>
      <c r="Q11068">
        <v>0</v>
      </c>
      <c r="R11068">
        <v>208</v>
      </c>
      <c r="S11068">
        <v>208</v>
      </c>
      <c r="T11068" t="s">
        <v>40702</v>
      </c>
    </row>
    <row r="11069" spans="1:20" customFormat="1" ht="15" x14ac:dyDescent="0.25">
      <c r="A11069" t="s">
        <v>35</v>
      </c>
      <c r="B11069" t="s">
        <v>61</v>
      </c>
      <c r="C11069" t="str">
        <f>"A0121900"</f>
        <v>A0121900</v>
      </c>
      <c r="D11069" t="s">
        <v>40703</v>
      </c>
      <c r="E11069" t="s">
        <v>40704</v>
      </c>
      <c r="F11069" t="s">
        <v>9699</v>
      </c>
      <c r="G11069" t="s">
        <v>381</v>
      </c>
      <c r="H11069">
        <v>46410</v>
      </c>
      <c r="I11069" t="s">
        <v>30</v>
      </c>
      <c r="J11069" t="s">
        <v>41</v>
      </c>
      <c r="K11069" t="s">
        <v>229</v>
      </c>
      <c r="Q11069">
        <v>0</v>
      </c>
      <c r="R11069">
        <v>164</v>
      </c>
      <c r="S11069">
        <v>164</v>
      </c>
      <c r="T11069" t="s">
        <v>40705</v>
      </c>
    </row>
    <row r="11070" spans="1:20" customFormat="1" ht="15" x14ac:dyDescent="0.25">
      <c r="A11070" t="s">
        <v>35</v>
      </c>
      <c r="B11070" t="s">
        <v>61</v>
      </c>
      <c r="C11070" t="str">
        <f>"A0150611"</f>
        <v>A0150611</v>
      </c>
      <c r="D11070" t="s">
        <v>40706</v>
      </c>
      <c r="E11070" t="s">
        <v>40707</v>
      </c>
      <c r="F11070" t="s">
        <v>3657</v>
      </c>
      <c r="G11070" t="s">
        <v>880</v>
      </c>
      <c r="H11070">
        <v>37917</v>
      </c>
      <c r="I11070" t="s">
        <v>30</v>
      </c>
      <c r="J11070" t="s">
        <v>41</v>
      </c>
      <c r="K11070" t="s">
        <v>418</v>
      </c>
      <c r="Q11070">
        <v>0</v>
      </c>
      <c r="R11070">
        <v>60</v>
      </c>
      <c r="S11070">
        <v>60</v>
      </c>
      <c r="T11070" t="s">
        <v>40708</v>
      </c>
    </row>
    <row r="11071" spans="1:20" customFormat="1" ht="15" x14ac:dyDescent="0.25">
      <c r="A11071" t="s">
        <v>35</v>
      </c>
      <c r="B11071" t="s">
        <v>61</v>
      </c>
      <c r="C11071" t="str">
        <f>"A0118397"</f>
        <v>A0118397</v>
      </c>
      <c r="D11071" t="s">
        <v>40709</v>
      </c>
      <c r="E11071" t="s">
        <v>40710</v>
      </c>
      <c r="F11071" t="s">
        <v>40711</v>
      </c>
      <c r="G11071" t="s">
        <v>221</v>
      </c>
      <c r="H11071">
        <v>89706</v>
      </c>
      <c r="I11071" t="s">
        <v>30</v>
      </c>
      <c r="J11071" t="s">
        <v>41</v>
      </c>
      <c r="K11071" t="s">
        <v>59</v>
      </c>
      <c r="Q11071">
        <v>0</v>
      </c>
      <c r="R11071">
        <v>38</v>
      </c>
      <c r="S11071">
        <v>38</v>
      </c>
      <c r="T11071" t="s">
        <v>40712</v>
      </c>
    </row>
    <row r="11072" spans="1:20" customFormat="1" ht="15" x14ac:dyDescent="0.25">
      <c r="A11072" t="s">
        <v>35</v>
      </c>
      <c r="B11072" t="s">
        <v>61</v>
      </c>
      <c r="C11072" t="str">
        <f>"A0132867"</f>
        <v>A0132867</v>
      </c>
      <c r="D11072" t="s">
        <v>40713</v>
      </c>
      <c r="E11072" t="s">
        <v>40714</v>
      </c>
      <c r="F11072" t="s">
        <v>40715</v>
      </c>
      <c r="G11072" t="s">
        <v>65</v>
      </c>
      <c r="H11072">
        <v>43030</v>
      </c>
      <c r="I11072" t="s">
        <v>30</v>
      </c>
      <c r="J11072" t="s">
        <v>41</v>
      </c>
      <c r="K11072" t="s">
        <v>112</v>
      </c>
      <c r="Q11072">
        <v>0</v>
      </c>
      <c r="R11072">
        <v>0</v>
      </c>
      <c r="S11072">
        <v>0</v>
      </c>
      <c r="T11072" t="s">
        <v>40716</v>
      </c>
    </row>
    <row r="11073" spans="1:20" customFormat="1" ht="15" x14ac:dyDescent="0.25">
      <c r="A11073" t="s">
        <v>35</v>
      </c>
      <c r="B11073" t="s">
        <v>61</v>
      </c>
      <c r="C11073" t="str">
        <f>"A0125486"</f>
        <v>A0125486</v>
      </c>
      <c r="D11073" t="s">
        <v>40717</v>
      </c>
      <c r="E11073" t="s">
        <v>40718</v>
      </c>
      <c r="F11073" t="s">
        <v>10828</v>
      </c>
      <c r="G11073" t="s">
        <v>1184</v>
      </c>
      <c r="H11073">
        <v>59457</v>
      </c>
      <c r="I11073" t="s">
        <v>30</v>
      </c>
      <c r="J11073" t="s">
        <v>41</v>
      </c>
      <c r="K11073" t="s">
        <v>59</v>
      </c>
      <c r="Q11073">
        <v>0</v>
      </c>
      <c r="R11073">
        <v>62</v>
      </c>
      <c r="S11073">
        <v>62</v>
      </c>
      <c r="T11073" t="s">
        <v>40719</v>
      </c>
    </row>
    <row r="11074" spans="1:20" customFormat="1" ht="15" x14ac:dyDescent="0.25">
      <c r="A11074" t="s">
        <v>35</v>
      </c>
      <c r="B11074" t="s">
        <v>61</v>
      </c>
      <c r="C11074" t="str">
        <f>"A0122921"</f>
        <v>A0122921</v>
      </c>
      <c r="D11074" t="s">
        <v>40720</v>
      </c>
      <c r="E11074" t="s">
        <v>40721</v>
      </c>
      <c r="F11074" t="s">
        <v>2429</v>
      </c>
      <c r="G11074" t="s">
        <v>76</v>
      </c>
      <c r="H11074">
        <v>99169</v>
      </c>
      <c r="I11074" t="s">
        <v>30</v>
      </c>
      <c r="J11074" t="s">
        <v>41</v>
      </c>
      <c r="K11074" t="s">
        <v>229</v>
      </c>
      <c r="Q11074">
        <v>0</v>
      </c>
      <c r="R11074">
        <v>50</v>
      </c>
      <c r="S11074">
        <v>50</v>
      </c>
      <c r="T11074" t="s">
        <v>40722</v>
      </c>
    </row>
    <row r="11075" spans="1:20" customFormat="1" ht="15" x14ac:dyDescent="0.25">
      <c r="A11075" t="s">
        <v>35</v>
      </c>
      <c r="B11075" t="s">
        <v>61</v>
      </c>
      <c r="C11075" t="str">
        <f>"A0129250"</f>
        <v>A0129250</v>
      </c>
      <c r="D11075" t="s">
        <v>40723</v>
      </c>
      <c r="E11075" t="s">
        <v>40724</v>
      </c>
      <c r="F11075" t="s">
        <v>40725</v>
      </c>
      <c r="G11075" t="s">
        <v>289</v>
      </c>
      <c r="H11075">
        <v>61111</v>
      </c>
      <c r="I11075" t="s">
        <v>30</v>
      </c>
      <c r="J11075" t="s">
        <v>41</v>
      </c>
      <c r="K11075" t="s">
        <v>229</v>
      </c>
      <c r="Q11075">
        <v>0</v>
      </c>
      <c r="R11075">
        <v>47</v>
      </c>
      <c r="S11075">
        <v>47</v>
      </c>
      <c r="T11075" t="s">
        <v>40726</v>
      </c>
    </row>
    <row r="11076" spans="1:20" customFormat="1" ht="15" x14ac:dyDescent="0.25">
      <c r="A11076" t="s">
        <v>35</v>
      </c>
      <c r="B11076" t="s">
        <v>61</v>
      </c>
      <c r="C11076" t="str">
        <f>"A0124595"</f>
        <v>A0124595</v>
      </c>
      <c r="D11076" t="s">
        <v>40727</v>
      </c>
      <c r="E11076" t="s">
        <v>40728</v>
      </c>
      <c r="F11076" t="s">
        <v>1705</v>
      </c>
      <c r="G11076" t="s">
        <v>1706</v>
      </c>
      <c r="H11076">
        <v>352350000</v>
      </c>
      <c r="I11076" t="s">
        <v>30</v>
      </c>
      <c r="J11076" t="s">
        <v>41</v>
      </c>
      <c r="K11076" t="s">
        <v>229</v>
      </c>
      <c r="Q11076">
        <v>0</v>
      </c>
      <c r="R11076">
        <v>54</v>
      </c>
      <c r="S11076">
        <v>54</v>
      </c>
      <c r="T11076" t="s">
        <v>40729</v>
      </c>
    </row>
    <row r="11077" spans="1:20" customFormat="1" ht="15" x14ac:dyDescent="0.25">
      <c r="A11077" t="s">
        <v>35</v>
      </c>
      <c r="B11077" t="s">
        <v>106</v>
      </c>
      <c r="C11077" t="str">
        <f>"A0136471"</f>
        <v>A0136471</v>
      </c>
      <c r="D11077" t="s">
        <v>40730</v>
      </c>
      <c r="E11077" t="s">
        <v>40731</v>
      </c>
      <c r="F11077" t="s">
        <v>40732</v>
      </c>
      <c r="G11077" t="s">
        <v>190</v>
      </c>
      <c r="H11077">
        <v>80446</v>
      </c>
      <c r="I11077" t="s">
        <v>30</v>
      </c>
      <c r="J11077" t="s">
        <v>111</v>
      </c>
      <c r="K11077" t="s">
        <v>112</v>
      </c>
      <c r="Q11077">
        <v>0</v>
      </c>
      <c r="R11077">
        <v>0</v>
      </c>
      <c r="S11077">
        <v>0</v>
      </c>
      <c r="T11077" t="s">
        <v>40733</v>
      </c>
    </row>
    <row r="11078" spans="1:20" customFormat="1" ht="15" x14ac:dyDescent="0.25">
      <c r="A11078" t="s">
        <v>35</v>
      </c>
      <c r="B11078" t="s">
        <v>106</v>
      </c>
      <c r="C11078" t="str">
        <f>"A0136591"</f>
        <v>A0136591</v>
      </c>
      <c r="D11078" t="s">
        <v>40734</v>
      </c>
      <c r="E11078" t="s">
        <v>40735</v>
      </c>
      <c r="F11078" t="s">
        <v>40736</v>
      </c>
      <c r="G11078" t="s">
        <v>1184</v>
      </c>
      <c r="H11078">
        <v>59635</v>
      </c>
      <c r="I11078" t="s">
        <v>30</v>
      </c>
      <c r="J11078" t="s">
        <v>111</v>
      </c>
      <c r="K11078" t="s">
        <v>112</v>
      </c>
      <c r="Q11078">
        <v>0</v>
      </c>
      <c r="R11078">
        <v>0</v>
      </c>
      <c r="S11078">
        <v>0</v>
      </c>
      <c r="T11078" t="s">
        <v>40737</v>
      </c>
    </row>
    <row r="11079" spans="1:20" customFormat="1" ht="15" x14ac:dyDescent="0.25">
      <c r="A11079" t="s">
        <v>35</v>
      </c>
      <c r="B11079" t="s">
        <v>61</v>
      </c>
      <c r="C11079" t="str">
        <f>"A0132740"</f>
        <v>A0132740</v>
      </c>
      <c r="D11079" t="s">
        <v>40738</v>
      </c>
      <c r="E11079" t="s">
        <v>40739</v>
      </c>
      <c r="F11079" t="s">
        <v>40740</v>
      </c>
      <c r="G11079" t="s">
        <v>65</v>
      </c>
      <c r="H11079">
        <v>44142</v>
      </c>
      <c r="I11079" t="s">
        <v>30</v>
      </c>
      <c r="J11079" t="s">
        <v>41</v>
      </c>
      <c r="K11079" t="s">
        <v>229</v>
      </c>
      <c r="Q11079">
        <v>0</v>
      </c>
      <c r="R11079">
        <v>60</v>
      </c>
      <c r="S11079">
        <v>60</v>
      </c>
      <c r="T11079" t="s">
        <v>40741</v>
      </c>
    </row>
    <row r="11080" spans="1:20" customFormat="1" ht="15" x14ac:dyDescent="0.25">
      <c r="A11080" t="s">
        <v>35</v>
      </c>
      <c r="B11080" t="s">
        <v>61</v>
      </c>
      <c r="C11080" t="str">
        <f>"A0132741"</f>
        <v>A0132741</v>
      </c>
      <c r="D11080" t="s">
        <v>40742</v>
      </c>
      <c r="E11080" t="s">
        <v>40743</v>
      </c>
      <c r="F11080" t="s">
        <v>40740</v>
      </c>
      <c r="G11080" t="s">
        <v>65</v>
      </c>
      <c r="H11080">
        <v>44142</v>
      </c>
      <c r="I11080" t="s">
        <v>30</v>
      </c>
      <c r="J11080" t="s">
        <v>41</v>
      </c>
      <c r="K11080" t="s">
        <v>59</v>
      </c>
      <c r="Q11080">
        <v>0</v>
      </c>
      <c r="R11080">
        <v>83</v>
      </c>
      <c r="S11080">
        <v>83</v>
      </c>
      <c r="T11080" t="s">
        <v>40744</v>
      </c>
    </row>
    <row r="11081" spans="1:20" customFormat="1" ht="15" x14ac:dyDescent="0.25">
      <c r="A11081" t="s">
        <v>35</v>
      </c>
      <c r="B11081" t="s">
        <v>61</v>
      </c>
      <c r="C11081" t="str">
        <f>"A0131216"</f>
        <v>A0131216</v>
      </c>
      <c r="D11081" t="s">
        <v>40745</v>
      </c>
      <c r="E11081" t="s">
        <v>40746</v>
      </c>
      <c r="F11081" t="s">
        <v>10174</v>
      </c>
      <c r="G11081" t="s">
        <v>85</v>
      </c>
      <c r="H11081">
        <v>72212</v>
      </c>
      <c r="I11081" t="s">
        <v>30</v>
      </c>
      <c r="J11081" t="s">
        <v>41</v>
      </c>
      <c r="K11081" t="s">
        <v>418</v>
      </c>
      <c r="Q11081">
        <v>0</v>
      </c>
      <c r="R11081">
        <v>40</v>
      </c>
      <c r="S11081">
        <v>40</v>
      </c>
      <c r="T11081" t="s">
        <v>40747</v>
      </c>
    </row>
    <row r="11082" spans="1:20" customFormat="1" ht="15" x14ac:dyDescent="0.25">
      <c r="A11082" t="s">
        <v>35</v>
      </c>
      <c r="B11082" t="s">
        <v>106</v>
      </c>
      <c r="C11082" t="str">
        <f>"A0166370"</f>
        <v>A0166370</v>
      </c>
      <c r="D11082" t="s">
        <v>40748</v>
      </c>
      <c r="E11082" t="s">
        <v>40749</v>
      </c>
      <c r="F11082" t="s">
        <v>40750</v>
      </c>
      <c r="G11082" t="s">
        <v>197</v>
      </c>
      <c r="H11082">
        <v>85552</v>
      </c>
      <c r="I11082" t="s">
        <v>30</v>
      </c>
      <c r="J11082" t="s">
        <v>111</v>
      </c>
      <c r="K11082" t="s">
        <v>112</v>
      </c>
      <c r="Q11082">
        <v>0</v>
      </c>
      <c r="R11082">
        <v>0</v>
      </c>
      <c r="S11082">
        <v>0</v>
      </c>
      <c r="T11082" t="s">
        <v>40751</v>
      </c>
    </row>
    <row r="11083" spans="1:20" customFormat="1" ht="15" x14ac:dyDescent="0.25">
      <c r="A11083" t="s">
        <v>35</v>
      </c>
      <c r="B11083" t="s">
        <v>106</v>
      </c>
      <c r="C11083" t="str">
        <f>"A0136293"</f>
        <v>A0136293</v>
      </c>
      <c r="D11083" t="s">
        <v>40752</v>
      </c>
      <c r="E11083" t="s">
        <v>40753</v>
      </c>
      <c r="F11083" t="s">
        <v>116</v>
      </c>
      <c r="G11083" t="s">
        <v>117</v>
      </c>
      <c r="H11083">
        <v>48197</v>
      </c>
      <c r="I11083" t="s">
        <v>30</v>
      </c>
      <c r="J11083" t="s">
        <v>111</v>
      </c>
      <c r="K11083" t="s">
        <v>10012</v>
      </c>
      <c r="Q11083">
        <v>0</v>
      </c>
      <c r="R11083">
        <v>0</v>
      </c>
      <c r="S11083">
        <v>0</v>
      </c>
      <c r="T11083" t="s">
        <v>40754</v>
      </c>
    </row>
    <row r="11084" spans="1:20" customFormat="1" ht="15" x14ac:dyDescent="0.25">
      <c r="A11084" t="s">
        <v>35</v>
      </c>
      <c r="B11084" t="s">
        <v>61</v>
      </c>
      <c r="C11084" t="str">
        <f>"A0132832"</f>
        <v>A0132832</v>
      </c>
      <c r="D11084" t="s">
        <v>40755</v>
      </c>
      <c r="E11084" t="s">
        <v>40756</v>
      </c>
      <c r="F11084" t="s">
        <v>22424</v>
      </c>
      <c r="G11084" t="s">
        <v>65</v>
      </c>
      <c r="H11084">
        <v>44432</v>
      </c>
      <c r="I11084" t="s">
        <v>30</v>
      </c>
      <c r="J11084" t="s">
        <v>41</v>
      </c>
      <c r="K11084" t="s">
        <v>8643</v>
      </c>
      <c r="Q11084">
        <v>0</v>
      </c>
      <c r="R11084">
        <v>0</v>
      </c>
      <c r="S11084">
        <v>0</v>
      </c>
      <c r="T11084" t="s">
        <v>40757</v>
      </c>
    </row>
    <row r="11085" spans="1:20" customFormat="1" ht="15" x14ac:dyDescent="0.25">
      <c r="A11085" t="s">
        <v>35</v>
      </c>
      <c r="B11085" t="s">
        <v>61</v>
      </c>
      <c r="C11085" t="str">
        <f>"A0132831"</f>
        <v>A0132831</v>
      </c>
      <c r="D11085" t="s">
        <v>40758</v>
      </c>
      <c r="E11085" t="s">
        <v>40759</v>
      </c>
      <c r="F11085" t="s">
        <v>40760</v>
      </c>
      <c r="G11085" t="s">
        <v>65</v>
      </c>
      <c r="H11085">
        <v>43953</v>
      </c>
      <c r="I11085" t="s">
        <v>30</v>
      </c>
      <c r="J11085" t="s">
        <v>41</v>
      </c>
      <c r="K11085" t="s">
        <v>8643</v>
      </c>
      <c r="Q11085">
        <v>0</v>
      </c>
      <c r="R11085">
        <v>0</v>
      </c>
      <c r="S11085">
        <v>0</v>
      </c>
      <c r="T11085" t="s">
        <v>40761</v>
      </c>
    </row>
    <row r="11086" spans="1:20" customFormat="1" ht="15" x14ac:dyDescent="0.25">
      <c r="A11086" t="s">
        <v>35</v>
      </c>
      <c r="B11086" t="s">
        <v>61</v>
      </c>
      <c r="C11086" t="str">
        <f>"A0123711"</f>
        <v>A0123711</v>
      </c>
      <c r="D11086" t="s">
        <v>40762</v>
      </c>
      <c r="E11086" t="s">
        <v>40763</v>
      </c>
      <c r="F11086" t="s">
        <v>1795</v>
      </c>
      <c r="G11086" t="s">
        <v>29</v>
      </c>
      <c r="H11086">
        <v>23223</v>
      </c>
      <c r="I11086" t="s">
        <v>30</v>
      </c>
      <c r="J11086" t="s">
        <v>41</v>
      </c>
      <c r="K11086" t="s">
        <v>482</v>
      </c>
      <c r="Q11086">
        <v>0</v>
      </c>
      <c r="R11086">
        <v>52</v>
      </c>
      <c r="S11086">
        <v>52</v>
      </c>
      <c r="T11086" t="s">
        <v>40764</v>
      </c>
    </row>
    <row r="11087" spans="1:20" customFormat="1" ht="15" x14ac:dyDescent="0.25">
      <c r="A11087" t="s">
        <v>35</v>
      </c>
      <c r="B11087" t="s">
        <v>106</v>
      </c>
      <c r="C11087" t="str">
        <f>"A0136381"</f>
        <v>A0136381</v>
      </c>
      <c r="D11087" t="s">
        <v>40765</v>
      </c>
      <c r="E11087" t="s">
        <v>40766</v>
      </c>
      <c r="F11087" t="s">
        <v>40767</v>
      </c>
      <c r="G11087" t="s">
        <v>76</v>
      </c>
      <c r="H11087">
        <v>99004</v>
      </c>
      <c r="I11087" t="s">
        <v>30</v>
      </c>
      <c r="J11087" t="s">
        <v>111</v>
      </c>
      <c r="K11087" t="s">
        <v>112</v>
      </c>
      <c r="Q11087">
        <v>0</v>
      </c>
      <c r="R11087">
        <v>0</v>
      </c>
      <c r="S11087">
        <v>0</v>
      </c>
      <c r="T11087" t="s">
        <v>40768</v>
      </c>
    </row>
    <row r="11088" spans="1:20" customFormat="1" ht="15" x14ac:dyDescent="0.25">
      <c r="A11088" t="s">
        <v>35</v>
      </c>
      <c r="B11088" t="s">
        <v>106</v>
      </c>
      <c r="C11088" t="str">
        <f>"A0136379"</f>
        <v>A0136379</v>
      </c>
      <c r="D11088" t="s">
        <v>40769</v>
      </c>
      <c r="E11088" t="s">
        <v>40770</v>
      </c>
      <c r="F11088" t="s">
        <v>30986</v>
      </c>
      <c r="G11088" t="s">
        <v>76</v>
      </c>
      <c r="H11088">
        <v>99004</v>
      </c>
      <c r="I11088" t="s">
        <v>30</v>
      </c>
      <c r="J11088" t="s">
        <v>111</v>
      </c>
      <c r="K11088" t="s">
        <v>10012</v>
      </c>
      <c r="Q11088">
        <v>0</v>
      </c>
      <c r="R11088">
        <v>0</v>
      </c>
      <c r="S11088">
        <v>0</v>
      </c>
      <c r="T11088" t="s">
        <v>40768</v>
      </c>
    </row>
    <row r="11089" spans="1:20" customFormat="1" ht="15" x14ac:dyDescent="0.25">
      <c r="A11089" t="s">
        <v>35</v>
      </c>
      <c r="B11089" t="s">
        <v>106</v>
      </c>
      <c r="C11089" t="str">
        <f>"A0136377"</f>
        <v>A0136377</v>
      </c>
      <c r="D11089" t="s">
        <v>40771</v>
      </c>
      <c r="E11089" t="s">
        <v>40772</v>
      </c>
      <c r="F11089" t="s">
        <v>30986</v>
      </c>
      <c r="G11089" t="s">
        <v>76</v>
      </c>
      <c r="H11089">
        <v>99004</v>
      </c>
      <c r="I11089" t="s">
        <v>30</v>
      </c>
      <c r="J11089" t="s">
        <v>111</v>
      </c>
      <c r="K11089" t="s">
        <v>10012</v>
      </c>
      <c r="Q11089">
        <v>0</v>
      </c>
      <c r="R11089">
        <v>0</v>
      </c>
      <c r="S11089">
        <v>0</v>
      </c>
      <c r="T11089" t="s">
        <v>40768</v>
      </c>
    </row>
    <row r="11090" spans="1:20" customFormat="1" ht="15" x14ac:dyDescent="0.25">
      <c r="A11090" t="s">
        <v>35</v>
      </c>
      <c r="B11090" t="s">
        <v>106</v>
      </c>
      <c r="C11090" t="str">
        <f>"A0136375"</f>
        <v>A0136375</v>
      </c>
      <c r="D11090" t="s">
        <v>40773</v>
      </c>
      <c r="E11090" t="s">
        <v>40772</v>
      </c>
      <c r="F11090" t="s">
        <v>30986</v>
      </c>
      <c r="G11090" t="s">
        <v>76</v>
      </c>
      <c r="H11090">
        <v>99004</v>
      </c>
      <c r="I11090" t="s">
        <v>30</v>
      </c>
      <c r="J11090" t="s">
        <v>111</v>
      </c>
      <c r="K11090" t="s">
        <v>10012</v>
      </c>
      <c r="Q11090">
        <v>0</v>
      </c>
      <c r="R11090">
        <v>0</v>
      </c>
      <c r="S11090">
        <v>0</v>
      </c>
      <c r="T11090" t="s">
        <v>40768</v>
      </c>
    </row>
    <row r="11091" spans="1:20" customFormat="1" ht="15" x14ac:dyDescent="0.25">
      <c r="A11091" t="s">
        <v>35</v>
      </c>
      <c r="B11091" t="s">
        <v>106</v>
      </c>
      <c r="C11091" t="str">
        <f>"A0136373"</f>
        <v>A0136373</v>
      </c>
      <c r="D11091" t="s">
        <v>40774</v>
      </c>
      <c r="E11091" t="s">
        <v>40775</v>
      </c>
      <c r="F11091" t="s">
        <v>30986</v>
      </c>
      <c r="G11091" t="s">
        <v>76</v>
      </c>
      <c r="H11091">
        <v>99004</v>
      </c>
      <c r="I11091" t="s">
        <v>30</v>
      </c>
      <c r="J11091" t="s">
        <v>111</v>
      </c>
      <c r="K11091" t="s">
        <v>10012</v>
      </c>
      <c r="Q11091">
        <v>0</v>
      </c>
      <c r="R11091">
        <v>0</v>
      </c>
      <c r="S11091">
        <v>0</v>
      </c>
      <c r="T11091" t="s">
        <v>40768</v>
      </c>
    </row>
    <row r="11092" spans="1:20" customFormat="1" ht="15" x14ac:dyDescent="0.25">
      <c r="A11092" t="s">
        <v>35</v>
      </c>
      <c r="B11092" t="s">
        <v>106</v>
      </c>
      <c r="C11092" t="str">
        <f>"A0136372"</f>
        <v>A0136372</v>
      </c>
      <c r="D11092" t="s">
        <v>40776</v>
      </c>
      <c r="E11092" t="s">
        <v>40777</v>
      </c>
      <c r="F11092" t="s">
        <v>30986</v>
      </c>
      <c r="G11092" t="s">
        <v>76</v>
      </c>
      <c r="H11092">
        <v>99004</v>
      </c>
      <c r="I11092" t="s">
        <v>30</v>
      </c>
      <c r="J11092" t="s">
        <v>111</v>
      </c>
      <c r="K11092" t="s">
        <v>10012</v>
      </c>
      <c r="Q11092">
        <v>0</v>
      </c>
      <c r="R11092">
        <v>0</v>
      </c>
      <c r="S11092">
        <v>0</v>
      </c>
      <c r="T11092" t="s">
        <v>40768</v>
      </c>
    </row>
    <row r="11093" spans="1:20" customFormat="1" ht="15" x14ac:dyDescent="0.25">
      <c r="A11093" t="s">
        <v>35</v>
      </c>
      <c r="B11093" t="s">
        <v>106</v>
      </c>
      <c r="C11093" t="str">
        <f>"A0136378"</f>
        <v>A0136378</v>
      </c>
      <c r="D11093" t="s">
        <v>40778</v>
      </c>
      <c r="E11093" t="s">
        <v>40775</v>
      </c>
      <c r="F11093" t="s">
        <v>30986</v>
      </c>
      <c r="G11093" t="s">
        <v>76</v>
      </c>
      <c r="H11093">
        <v>99004</v>
      </c>
      <c r="I11093" t="s">
        <v>30</v>
      </c>
      <c r="J11093" t="s">
        <v>111</v>
      </c>
      <c r="K11093" t="s">
        <v>10012</v>
      </c>
      <c r="Q11093">
        <v>0</v>
      </c>
      <c r="R11093">
        <v>0</v>
      </c>
      <c r="S11093">
        <v>0</v>
      </c>
      <c r="T11093" t="s">
        <v>40768</v>
      </c>
    </row>
    <row r="11094" spans="1:20" customFormat="1" ht="15" x14ac:dyDescent="0.25">
      <c r="A11094" t="s">
        <v>35</v>
      </c>
      <c r="B11094" t="s">
        <v>106</v>
      </c>
      <c r="C11094" t="str">
        <f>"A0157762"</f>
        <v>A0157762</v>
      </c>
      <c r="D11094" t="s">
        <v>40779</v>
      </c>
      <c r="E11094" t="s">
        <v>40775</v>
      </c>
      <c r="F11094" t="s">
        <v>30986</v>
      </c>
      <c r="G11094" t="s">
        <v>76</v>
      </c>
      <c r="H11094">
        <v>99004</v>
      </c>
      <c r="I11094" t="s">
        <v>30</v>
      </c>
      <c r="J11094" t="s">
        <v>111</v>
      </c>
      <c r="K11094" t="s">
        <v>112</v>
      </c>
      <c r="Q11094">
        <v>0</v>
      </c>
      <c r="R11094">
        <v>0</v>
      </c>
      <c r="S11094">
        <v>0</v>
      </c>
      <c r="T11094" t="s">
        <v>40768</v>
      </c>
    </row>
    <row r="11095" spans="1:20" customFormat="1" ht="15" x14ac:dyDescent="0.25">
      <c r="A11095" t="s">
        <v>35</v>
      </c>
      <c r="B11095" t="s">
        <v>106</v>
      </c>
      <c r="C11095" t="str">
        <f>"A0157764"</f>
        <v>A0157764</v>
      </c>
      <c r="D11095" t="s">
        <v>40780</v>
      </c>
      <c r="E11095" t="s">
        <v>40775</v>
      </c>
      <c r="F11095" t="s">
        <v>30986</v>
      </c>
      <c r="G11095" t="s">
        <v>76</v>
      </c>
      <c r="H11095">
        <v>99004</v>
      </c>
      <c r="I11095" t="s">
        <v>30</v>
      </c>
      <c r="J11095" t="s">
        <v>111</v>
      </c>
      <c r="K11095" t="s">
        <v>112</v>
      </c>
      <c r="Q11095">
        <v>0</v>
      </c>
      <c r="R11095">
        <v>0</v>
      </c>
      <c r="S11095">
        <v>0</v>
      </c>
      <c r="T11095" t="s">
        <v>40768</v>
      </c>
    </row>
    <row r="11096" spans="1:20" customFormat="1" ht="15" x14ac:dyDescent="0.25">
      <c r="A11096" t="s">
        <v>35</v>
      </c>
      <c r="B11096" t="s">
        <v>106</v>
      </c>
      <c r="C11096" t="str">
        <f>"A0157768"</f>
        <v>A0157768</v>
      </c>
      <c r="D11096" t="s">
        <v>40781</v>
      </c>
      <c r="E11096" t="s">
        <v>40775</v>
      </c>
      <c r="F11096" t="s">
        <v>30986</v>
      </c>
      <c r="G11096" t="s">
        <v>76</v>
      </c>
      <c r="H11096">
        <v>99004</v>
      </c>
      <c r="I11096" t="s">
        <v>30</v>
      </c>
      <c r="J11096" t="s">
        <v>111</v>
      </c>
      <c r="K11096" t="s">
        <v>112</v>
      </c>
      <c r="Q11096">
        <v>0</v>
      </c>
      <c r="R11096">
        <v>0</v>
      </c>
      <c r="S11096">
        <v>0</v>
      </c>
      <c r="T11096" t="s">
        <v>40768</v>
      </c>
    </row>
    <row r="11097" spans="1:20" customFormat="1" ht="15" x14ac:dyDescent="0.25">
      <c r="A11097" t="s">
        <v>35</v>
      </c>
      <c r="B11097" t="s">
        <v>106</v>
      </c>
      <c r="C11097" t="str">
        <f>"A0157765"</f>
        <v>A0157765</v>
      </c>
      <c r="D11097" t="s">
        <v>40782</v>
      </c>
      <c r="E11097" t="s">
        <v>40783</v>
      </c>
      <c r="F11097" t="s">
        <v>30986</v>
      </c>
      <c r="G11097" t="s">
        <v>76</v>
      </c>
      <c r="H11097">
        <v>99004</v>
      </c>
      <c r="I11097" t="s">
        <v>30</v>
      </c>
      <c r="J11097" t="s">
        <v>111</v>
      </c>
      <c r="K11097" t="s">
        <v>112</v>
      </c>
      <c r="Q11097">
        <v>0</v>
      </c>
      <c r="R11097">
        <v>0</v>
      </c>
      <c r="S11097">
        <v>0</v>
      </c>
      <c r="T11097" t="s">
        <v>40768</v>
      </c>
    </row>
    <row r="11098" spans="1:20" customFormat="1" ht="15" x14ac:dyDescent="0.25">
      <c r="A11098" t="s">
        <v>35</v>
      </c>
      <c r="B11098" t="s">
        <v>106</v>
      </c>
      <c r="C11098" t="str">
        <f>"A0157766"</f>
        <v>A0157766</v>
      </c>
      <c r="D11098" t="s">
        <v>40784</v>
      </c>
      <c r="E11098" t="s">
        <v>40775</v>
      </c>
      <c r="F11098" t="s">
        <v>30986</v>
      </c>
      <c r="G11098" t="s">
        <v>76</v>
      </c>
      <c r="H11098">
        <v>99004</v>
      </c>
      <c r="I11098" t="s">
        <v>30</v>
      </c>
      <c r="J11098" t="s">
        <v>111</v>
      </c>
      <c r="K11098" t="s">
        <v>112</v>
      </c>
      <c r="Q11098">
        <v>0</v>
      </c>
      <c r="R11098">
        <v>0</v>
      </c>
      <c r="S11098">
        <v>0</v>
      </c>
      <c r="T11098" t="s">
        <v>40768</v>
      </c>
    </row>
    <row r="11099" spans="1:20" customFormat="1" ht="15" x14ac:dyDescent="0.25">
      <c r="A11099" t="s">
        <v>35</v>
      </c>
      <c r="B11099" t="s">
        <v>106</v>
      </c>
      <c r="C11099" t="str">
        <f>"A0157763"</f>
        <v>A0157763</v>
      </c>
      <c r="D11099" t="s">
        <v>40785</v>
      </c>
      <c r="E11099" t="s">
        <v>40775</v>
      </c>
      <c r="F11099" t="s">
        <v>30986</v>
      </c>
      <c r="G11099" t="s">
        <v>76</v>
      </c>
      <c r="H11099">
        <v>99004</v>
      </c>
      <c r="I11099" t="s">
        <v>30</v>
      </c>
      <c r="J11099" t="s">
        <v>111</v>
      </c>
      <c r="K11099" t="s">
        <v>112</v>
      </c>
      <c r="Q11099">
        <v>0</v>
      </c>
      <c r="R11099">
        <v>0</v>
      </c>
      <c r="S11099">
        <v>0</v>
      </c>
      <c r="T11099" t="s">
        <v>40768</v>
      </c>
    </row>
    <row r="11100" spans="1:20" customFormat="1" ht="15" x14ac:dyDescent="0.25">
      <c r="A11100" t="s">
        <v>35</v>
      </c>
      <c r="B11100" t="s">
        <v>106</v>
      </c>
      <c r="C11100" t="str">
        <f>"A0157767"</f>
        <v>A0157767</v>
      </c>
      <c r="D11100" t="s">
        <v>40786</v>
      </c>
      <c r="E11100" t="s">
        <v>40775</v>
      </c>
      <c r="F11100" t="s">
        <v>40787</v>
      </c>
      <c r="G11100" t="s">
        <v>76</v>
      </c>
      <c r="H11100">
        <v>99004</v>
      </c>
      <c r="I11100" t="s">
        <v>30</v>
      </c>
      <c r="J11100" t="s">
        <v>111</v>
      </c>
      <c r="K11100" t="s">
        <v>112</v>
      </c>
      <c r="Q11100">
        <v>0</v>
      </c>
      <c r="R11100">
        <v>0</v>
      </c>
      <c r="S11100">
        <v>0</v>
      </c>
      <c r="T11100" t="s">
        <v>40768</v>
      </c>
    </row>
    <row r="11101" spans="1:20" customFormat="1" ht="15" x14ac:dyDescent="0.25">
      <c r="A11101" t="s">
        <v>35</v>
      </c>
      <c r="B11101" t="s">
        <v>106</v>
      </c>
      <c r="C11101" t="str">
        <f>"A0136376"</f>
        <v>A0136376</v>
      </c>
      <c r="D11101" t="s">
        <v>40788</v>
      </c>
      <c r="E11101" t="s">
        <v>40775</v>
      </c>
      <c r="F11101" t="s">
        <v>30986</v>
      </c>
      <c r="G11101" t="s">
        <v>76</v>
      </c>
      <c r="H11101">
        <v>99004</v>
      </c>
      <c r="I11101" t="s">
        <v>30</v>
      </c>
      <c r="J11101" t="s">
        <v>111</v>
      </c>
      <c r="K11101" t="s">
        <v>10012</v>
      </c>
      <c r="Q11101">
        <v>0</v>
      </c>
      <c r="R11101">
        <v>0</v>
      </c>
      <c r="S11101">
        <v>0</v>
      </c>
      <c r="T11101" t="s">
        <v>40768</v>
      </c>
    </row>
    <row r="11102" spans="1:20" customFormat="1" ht="15" x14ac:dyDescent="0.25">
      <c r="A11102" t="s">
        <v>35</v>
      </c>
      <c r="B11102" t="s">
        <v>106</v>
      </c>
      <c r="C11102" t="str">
        <f>"A0136380"</f>
        <v>A0136380</v>
      </c>
      <c r="D11102" t="s">
        <v>40789</v>
      </c>
      <c r="E11102" t="s">
        <v>40770</v>
      </c>
      <c r="F11102" t="s">
        <v>30986</v>
      </c>
      <c r="G11102" t="s">
        <v>76</v>
      </c>
      <c r="H11102">
        <v>99004</v>
      </c>
      <c r="I11102" t="s">
        <v>30</v>
      </c>
      <c r="J11102" t="s">
        <v>111</v>
      </c>
      <c r="K11102" t="s">
        <v>112</v>
      </c>
      <c r="Q11102">
        <v>0</v>
      </c>
      <c r="R11102">
        <v>0</v>
      </c>
      <c r="S11102">
        <v>0</v>
      </c>
      <c r="T11102" t="s">
        <v>40768</v>
      </c>
    </row>
    <row r="11103" spans="1:20" customFormat="1" ht="15" x14ac:dyDescent="0.25">
      <c r="A11103" t="s">
        <v>35</v>
      </c>
      <c r="B11103" t="s">
        <v>106</v>
      </c>
      <c r="C11103" t="str">
        <f>"A0136374"</f>
        <v>A0136374</v>
      </c>
      <c r="D11103" t="s">
        <v>40790</v>
      </c>
      <c r="E11103" t="s">
        <v>40772</v>
      </c>
      <c r="F11103" t="s">
        <v>30986</v>
      </c>
      <c r="G11103" t="s">
        <v>76</v>
      </c>
      <c r="H11103">
        <v>99004</v>
      </c>
      <c r="I11103" t="s">
        <v>30</v>
      </c>
      <c r="J11103" t="s">
        <v>111</v>
      </c>
      <c r="K11103" t="s">
        <v>10012</v>
      </c>
      <c r="Q11103">
        <v>0</v>
      </c>
      <c r="R11103">
        <v>0</v>
      </c>
      <c r="S11103">
        <v>0</v>
      </c>
      <c r="T11103" t="s">
        <v>40768</v>
      </c>
    </row>
    <row r="11104" spans="1:20" customFormat="1" ht="15" x14ac:dyDescent="0.25">
      <c r="A11104" t="s">
        <v>35</v>
      </c>
      <c r="B11104" t="s">
        <v>106</v>
      </c>
      <c r="C11104" t="str">
        <f>"A0136382"</f>
        <v>A0136382</v>
      </c>
      <c r="D11104" t="s">
        <v>40791</v>
      </c>
      <c r="E11104" t="s">
        <v>40775</v>
      </c>
      <c r="F11104" t="s">
        <v>30986</v>
      </c>
      <c r="G11104" t="s">
        <v>76</v>
      </c>
      <c r="H11104">
        <v>99004</v>
      </c>
      <c r="I11104" t="s">
        <v>30</v>
      </c>
      <c r="J11104" t="s">
        <v>111</v>
      </c>
      <c r="K11104" t="s">
        <v>112</v>
      </c>
      <c r="Q11104">
        <v>0</v>
      </c>
      <c r="R11104">
        <v>0</v>
      </c>
      <c r="S11104">
        <v>0</v>
      </c>
      <c r="T11104" t="s">
        <v>40768</v>
      </c>
    </row>
    <row r="11105" spans="1:20" customFormat="1" ht="15" x14ac:dyDescent="0.25">
      <c r="A11105" t="s">
        <v>35</v>
      </c>
      <c r="B11105" t="s">
        <v>61</v>
      </c>
      <c r="C11105" t="str">
        <f>"A0129172"</f>
        <v>A0129172</v>
      </c>
      <c r="D11105" t="s">
        <v>40792</v>
      </c>
      <c r="E11105" t="s">
        <v>40793</v>
      </c>
      <c r="F11105" t="s">
        <v>40794</v>
      </c>
      <c r="G11105" t="s">
        <v>289</v>
      </c>
      <c r="H11105">
        <v>61755</v>
      </c>
      <c r="I11105" t="s">
        <v>30</v>
      </c>
      <c r="J11105" t="s">
        <v>41</v>
      </c>
      <c r="K11105" t="s">
        <v>391</v>
      </c>
      <c r="Q11105">
        <v>0</v>
      </c>
      <c r="R11105">
        <v>80</v>
      </c>
      <c r="S11105">
        <v>80</v>
      </c>
      <c r="T11105" t="s">
        <v>40795</v>
      </c>
    </row>
    <row r="11106" spans="1:20" customFormat="1" ht="15" x14ac:dyDescent="0.25">
      <c r="A11106" t="s">
        <v>35</v>
      </c>
      <c r="B11106" t="s">
        <v>61</v>
      </c>
      <c r="C11106" t="str">
        <f>"A0123712"</f>
        <v>A0123712</v>
      </c>
      <c r="D11106" t="s">
        <v>40796</v>
      </c>
      <c r="E11106" t="s">
        <v>40797</v>
      </c>
      <c r="F11106" t="s">
        <v>4108</v>
      </c>
      <c r="G11106" t="s">
        <v>29</v>
      </c>
      <c r="H11106">
        <v>24012</v>
      </c>
      <c r="I11106" t="s">
        <v>30</v>
      </c>
      <c r="J11106" t="s">
        <v>41</v>
      </c>
      <c r="K11106" t="s">
        <v>482</v>
      </c>
      <c r="Q11106">
        <v>0</v>
      </c>
      <c r="R11106">
        <v>80</v>
      </c>
      <c r="S11106">
        <v>80</v>
      </c>
      <c r="T11106" t="s">
        <v>40798</v>
      </c>
    </row>
    <row r="11107" spans="1:20" customFormat="1" ht="15" x14ac:dyDescent="0.25">
      <c r="A11107" t="s">
        <v>35</v>
      </c>
      <c r="B11107" t="s">
        <v>61</v>
      </c>
      <c r="C11107" t="str">
        <f>"A0127960"</f>
        <v>A0127960</v>
      </c>
      <c r="D11107" t="s">
        <v>40799</v>
      </c>
      <c r="E11107" t="s">
        <v>40800</v>
      </c>
      <c r="F11107" t="s">
        <v>1926</v>
      </c>
      <c r="G11107" t="s">
        <v>117</v>
      </c>
      <c r="H11107">
        <v>48813</v>
      </c>
      <c r="I11107" t="s">
        <v>30</v>
      </c>
      <c r="J11107" t="s">
        <v>41</v>
      </c>
      <c r="K11107" t="s">
        <v>8643</v>
      </c>
      <c r="Q11107">
        <v>0</v>
      </c>
      <c r="R11107">
        <v>1</v>
      </c>
      <c r="S11107">
        <v>1</v>
      </c>
      <c r="T11107" t="s">
        <v>40801</v>
      </c>
    </row>
    <row r="11108" spans="1:20" customFormat="1" ht="15" x14ac:dyDescent="0.25">
      <c r="A11108" t="s">
        <v>35</v>
      </c>
      <c r="B11108" t="s">
        <v>61</v>
      </c>
      <c r="C11108" t="str">
        <f>"A0127961"</f>
        <v>A0127961</v>
      </c>
      <c r="D11108" t="s">
        <v>40802</v>
      </c>
      <c r="E11108" t="s">
        <v>40803</v>
      </c>
      <c r="F11108" t="s">
        <v>1926</v>
      </c>
      <c r="G11108" t="s">
        <v>117</v>
      </c>
      <c r="H11108">
        <v>48813</v>
      </c>
      <c r="I11108" t="s">
        <v>30</v>
      </c>
      <c r="J11108" t="s">
        <v>41</v>
      </c>
      <c r="K11108" t="s">
        <v>8643</v>
      </c>
      <c r="Q11108">
        <v>0</v>
      </c>
      <c r="R11108">
        <v>1</v>
      </c>
      <c r="S11108">
        <v>1</v>
      </c>
      <c r="T11108" t="s">
        <v>40804</v>
      </c>
    </row>
    <row r="11109" spans="1:20" customFormat="1" ht="15" x14ac:dyDescent="0.25">
      <c r="A11109" t="s">
        <v>35</v>
      </c>
      <c r="B11109" t="s">
        <v>61</v>
      </c>
      <c r="C11109" t="str">
        <f>"A0128957"</f>
        <v>A0128957</v>
      </c>
      <c r="D11109" t="s">
        <v>40805</v>
      </c>
      <c r="E11109" t="s">
        <v>40806</v>
      </c>
      <c r="F11109" t="s">
        <v>36830</v>
      </c>
      <c r="G11109" t="s">
        <v>289</v>
      </c>
      <c r="H11109">
        <v>61911</v>
      </c>
      <c r="I11109" t="s">
        <v>30</v>
      </c>
      <c r="J11109" t="s">
        <v>41</v>
      </c>
      <c r="K11109" t="s">
        <v>59</v>
      </c>
      <c r="Q11109">
        <v>0</v>
      </c>
      <c r="R11109">
        <v>36</v>
      </c>
      <c r="S11109">
        <v>36</v>
      </c>
      <c r="T11109" t="s">
        <v>40807</v>
      </c>
    </row>
    <row r="11110" spans="1:20" customFormat="1" ht="15" x14ac:dyDescent="0.25">
      <c r="A11110" t="s">
        <v>35</v>
      </c>
      <c r="B11110" t="s">
        <v>106</v>
      </c>
      <c r="C11110" t="str">
        <f>"A0136326"</f>
        <v>A0136326</v>
      </c>
      <c r="D11110" t="s">
        <v>40808</v>
      </c>
      <c r="E11110" t="s">
        <v>40809</v>
      </c>
      <c r="F11110" t="s">
        <v>1705</v>
      </c>
      <c r="G11110" t="s">
        <v>1706</v>
      </c>
      <c r="H11110">
        <v>35243</v>
      </c>
      <c r="I11110" t="s">
        <v>30</v>
      </c>
      <c r="J11110" t="s">
        <v>111</v>
      </c>
      <c r="K11110" t="s">
        <v>112</v>
      </c>
      <c r="Q11110">
        <v>0</v>
      </c>
      <c r="R11110">
        <v>0</v>
      </c>
      <c r="S11110">
        <v>0</v>
      </c>
      <c r="T11110" t="s">
        <v>40810</v>
      </c>
    </row>
    <row r="11111" spans="1:20" customFormat="1" ht="15" x14ac:dyDescent="0.25">
      <c r="A11111" t="s">
        <v>35</v>
      </c>
      <c r="B11111" t="s">
        <v>106</v>
      </c>
      <c r="C11111" t="str">
        <f>"A0136330"</f>
        <v>A0136330</v>
      </c>
      <c r="D11111" t="s">
        <v>40811</v>
      </c>
      <c r="E11111" t="s">
        <v>40812</v>
      </c>
      <c r="F11111" t="s">
        <v>4645</v>
      </c>
      <c r="G11111" t="s">
        <v>81</v>
      </c>
      <c r="H11111">
        <v>32207</v>
      </c>
      <c r="I11111" t="s">
        <v>30</v>
      </c>
      <c r="J11111" t="s">
        <v>111</v>
      </c>
      <c r="K11111" t="s">
        <v>112</v>
      </c>
      <c r="Q11111">
        <v>0</v>
      </c>
      <c r="R11111">
        <v>0</v>
      </c>
      <c r="S11111">
        <v>0</v>
      </c>
      <c r="T11111" t="s">
        <v>40813</v>
      </c>
    </row>
    <row r="11112" spans="1:20" customFormat="1" ht="15" x14ac:dyDescent="0.25">
      <c r="A11112" t="s">
        <v>35</v>
      </c>
      <c r="B11112" t="s">
        <v>106</v>
      </c>
      <c r="C11112" t="str">
        <f>"A0136327"</f>
        <v>A0136327</v>
      </c>
      <c r="D11112" t="s">
        <v>40814</v>
      </c>
      <c r="E11112" t="s">
        <v>40815</v>
      </c>
      <c r="F11112" t="s">
        <v>1705</v>
      </c>
      <c r="G11112" t="s">
        <v>1706</v>
      </c>
      <c r="H11112">
        <v>35243</v>
      </c>
      <c r="I11112" t="s">
        <v>30</v>
      </c>
      <c r="J11112" t="s">
        <v>111</v>
      </c>
      <c r="K11112" t="s">
        <v>112</v>
      </c>
      <c r="Q11112">
        <v>0</v>
      </c>
      <c r="R11112">
        <v>0</v>
      </c>
      <c r="S11112">
        <v>0</v>
      </c>
      <c r="T11112" t="s">
        <v>40810</v>
      </c>
    </row>
    <row r="11113" spans="1:20" customFormat="1" ht="15" x14ac:dyDescent="0.25">
      <c r="A11113" t="s">
        <v>35</v>
      </c>
      <c r="B11113" t="s">
        <v>61</v>
      </c>
      <c r="C11113" t="str">
        <f>"A0133328"</f>
        <v>A0133328</v>
      </c>
      <c r="D11113" t="s">
        <v>40816</v>
      </c>
      <c r="E11113" t="s">
        <v>40817</v>
      </c>
      <c r="F11113" t="s">
        <v>5188</v>
      </c>
      <c r="G11113" t="s">
        <v>52</v>
      </c>
      <c r="H11113">
        <v>76063</v>
      </c>
      <c r="I11113" t="s">
        <v>30</v>
      </c>
      <c r="J11113" t="s">
        <v>41</v>
      </c>
      <c r="K11113" t="s">
        <v>229</v>
      </c>
      <c r="Q11113">
        <v>0</v>
      </c>
      <c r="R11113">
        <v>16</v>
      </c>
      <c r="S11113">
        <v>16</v>
      </c>
      <c r="T11113" t="s">
        <v>40818</v>
      </c>
    </row>
    <row r="11114" spans="1:20" customFormat="1" ht="15" x14ac:dyDescent="0.25">
      <c r="A11114" t="s">
        <v>35</v>
      </c>
      <c r="B11114" t="s">
        <v>437</v>
      </c>
      <c r="C11114" t="str">
        <f>"A0134005"</f>
        <v>A0134005</v>
      </c>
      <c r="D11114" t="s">
        <v>40819</v>
      </c>
      <c r="E11114" t="s">
        <v>40820</v>
      </c>
      <c r="F11114" t="s">
        <v>40821</v>
      </c>
      <c r="G11114" t="s">
        <v>99</v>
      </c>
      <c r="H11114">
        <v>13157</v>
      </c>
      <c r="I11114" t="s">
        <v>30</v>
      </c>
      <c r="J11114" t="s">
        <v>441</v>
      </c>
      <c r="K11114" t="s">
        <v>442</v>
      </c>
      <c r="Q11114">
        <v>0</v>
      </c>
      <c r="R11114">
        <v>0</v>
      </c>
      <c r="S11114">
        <v>0</v>
      </c>
      <c r="T11114" t="s">
        <v>40822</v>
      </c>
    </row>
    <row r="11115" spans="1:20" customFormat="1" ht="15" x14ac:dyDescent="0.25">
      <c r="A11115" t="s">
        <v>35</v>
      </c>
      <c r="B11115" t="s">
        <v>61</v>
      </c>
      <c r="C11115" t="str">
        <f>"A0133762"</f>
        <v>A0133762</v>
      </c>
      <c r="D11115" t="s">
        <v>40823</v>
      </c>
      <c r="E11115" t="s">
        <v>40824</v>
      </c>
      <c r="F11115" t="s">
        <v>24984</v>
      </c>
      <c r="G11115" t="s">
        <v>52</v>
      </c>
      <c r="H11115">
        <v>77429</v>
      </c>
      <c r="I11115" t="s">
        <v>30</v>
      </c>
      <c r="J11115" t="s">
        <v>41</v>
      </c>
      <c r="K11115" t="s">
        <v>1032</v>
      </c>
      <c r="Q11115">
        <v>0</v>
      </c>
      <c r="R11115">
        <v>16</v>
      </c>
      <c r="S11115">
        <v>16</v>
      </c>
      <c r="T11115" t="s">
        <v>40825</v>
      </c>
    </row>
    <row r="11116" spans="1:20" customFormat="1" ht="15" x14ac:dyDescent="0.25">
      <c r="A11116" t="s">
        <v>35</v>
      </c>
      <c r="B11116" t="s">
        <v>61</v>
      </c>
      <c r="C11116" t="str">
        <f>"A0121683"</f>
        <v>A0121683</v>
      </c>
      <c r="D11116" t="s">
        <v>40826</v>
      </c>
      <c r="E11116" t="s">
        <v>40827</v>
      </c>
      <c r="F11116" t="s">
        <v>40828</v>
      </c>
      <c r="G11116" t="s">
        <v>110</v>
      </c>
      <c r="H11116">
        <v>93960</v>
      </c>
      <c r="I11116" t="s">
        <v>30</v>
      </c>
      <c r="J11116" t="s">
        <v>41</v>
      </c>
      <c r="K11116" t="s">
        <v>229</v>
      </c>
      <c r="Q11116">
        <v>0</v>
      </c>
      <c r="R11116">
        <v>65</v>
      </c>
      <c r="S11116">
        <v>65</v>
      </c>
      <c r="T11116" t="s">
        <v>40829</v>
      </c>
    </row>
    <row r="11117" spans="1:20" customFormat="1" ht="15" x14ac:dyDescent="0.25">
      <c r="A11117" t="s">
        <v>35</v>
      </c>
      <c r="B11117" t="s">
        <v>61</v>
      </c>
      <c r="C11117" t="str">
        <f>"A0129015"</f>
        <v>A0129015</v>
      </c>
      <c r="D11117" t="s">
        <v>40830</v>
      </c>
      <c r="E11117" t="s">
        <v>40831</v>
      </c>
      <c r="F11117" t="s">
        <v>6236</v>
      </c>
      <c r="G11117" t="s">
        <v>289</v>
      </c>
      <c r="H11117">
        <v>62034</v>
      </c>
      <c r="I11117" t="s">
        <v>30</v>
      </c>
      <c r="J11117" t="s">
        <v>41</v>
      </c>
      <c r="K11117" t="s">
        <v>229</v>
      </c>
      <c r="Q11117">
        <v>0</v>
      </c>
      <c r="R11117">
        <v>138</v>
      </c>
      <c r="S11117">
        <v>138</v>
      </c>
      <c r="T11117" t="s">
        <v>40832</v>
      </c>
    </row>
    <row r="11118" spans="1:20" customFormat="1" ht="15" x14ac:dyDescent="0.25">
      <c r="A11118" t="s">
        <v>35</v>
      </c>
      <c r="B11118" t="s">
        <v>61</v>
      </c>
      <c r="C11118" t="str">
        <f>"A0123717"</f>
        <v>A0123717</v>
      </c>
      <c r="D11118" t="s">
        <v>40833</v>
      </c>
      <c r="E11118" t="s">
        <v>40834</v>
      </c>
      <c r="F11118" t="s">
        <v>38045</v>
      </c>
      <c r="G11118" t="s">
        <v>214</v>
      </c>
      <c r="H11118">
        <v>27932</v>
      </c>
      <c r="I11118" t="s">
        <v>30</v>
      </c>
      <c r="J11118" t="s">
        <v>41</v>
      </c>
      <c r="K11118" t="s">
        <v>482</v>
      </c>
      <c r="Q11118">
        <v>0</v>
      </c>
      <c r="R11118">
        <v>30</v>
      </c>
      <c r="S11118">
        <v>30</v>
      </c>
      <c r="T11118" t="s">
        <v>40835</v>
      </c>
    </row>
    <row r="11119" spans="1:20" customFormat="1" ht="15" x14ac:dyDescent="0.25">
      <c r="A11119" t="s">
        <v>35</v>
      </c>
      <c r="B11119" t="s">
        <v>106</v>
      </c>
      <c r="C11119" t="str">
        <f>"A0135670"</f>
        <v>A0135670</v>
      </c>
      <c r="D11119" t="s">
        <v>40836</v>
      </c>
      <c r="E11119" t="s">
        <v>40837</v>
      </c>
      <c r="F11119" t="s">
        <v>38643</v>
      </c>
      <c r="G11119" t="s">
        <v>153</v>
      </c>
      <c r="H11119">
        <v>840970000</v>
      </c>
      <c r="I11119" t="s">
        <v>30</v>
      </c>
      <c r="J11119" t="s">
        <v>111</v>
      </c>
      <c r="K11119" t="s">
        <v>2477</v>
      </c>
      <c r="Q11119">
        <v>0</v>
      </c>
      <c r="R11119">
        <v>0</v>
      </c>
      <c r="S11119">
        <v>0</v>
      </c>
      <c r="T11119" t="s">
        <v>36470</v>
      </c>
    </row>
    <row r="11120" spans="1:20" customFormat="1" ht="15" x14ac:dyDescent="0.25">
      <c r="A11120" t="s">
        <v>35</v>
      </c>
      <c r="B11120" t="s">
        <v>61</v>
      </c>
      <c r="C11120" t="str">
        <f>"A0125719"</f>
        <v>A0125719</v>
      </c>
      <c r="D11120" t="s">
        <v>40838</v>
      </c>
      <c r="E11120" t="s">
        <v>40839</v>
      </c>
      <c r="F11120" t="s">
        <v>32875</v>
      </c>
      <c r="G11120" t="s">
        <v>29</v>
      </c>
      <c r="H11120">
        <v>243820000</v>
      </c>
      <c r="I11120" t="s">
        <v>30</v>
      </c>
      <c r="J11120" t="s">
        <v>41</v>
      </c>
      <c r="K11120" t="s">
        <v>229</v>
      </c>
      <c r="Q11120">
        <v>0</v>
      </c>
      <c r="R11120">
        <v>60</v>
      </c>
      <c r="S11120">
        <v>60</v>
      </c>
      <c r="T11120" t="s">
        <v>40840</v>
      </c>
    </row>
    <row r="11121" spans="1:20" customFormat="1" ht="15" x14ac:dyDescent="0.25">
      <c r="A11121" t="s">
        <v>35</v>
      </c>
      <c r="B11121" t="s">
        <v>61</v>
      </c>
      <c r="C11121" t="str">
        <f>"A0127515"</f>
        <v>A0127515</v>
      </c>
      <c r="D11121" t="s">
        <v>40841</v>
      </c>
      <c r="E11121" t="s">
        <v>40842</v>
      </c>
      <c r="F11121" t="s">
        <v>7257</v>
      </c>
      <c r="G11121" t="s">
        <v>29</v>
      </c>
      <c r="H11121">
        <v>23188</v>
      </c>
      <c r="I11121" t="s">
        <v>30</v>
      </c>
      <c r="J11121" t="s">
        <v>41</v>
      </c>
      <c r="K11121" t="s">
        <v>59</v>
      </c>
      <c r="Q11121">
        <v>0</v>
      </c>
      <c r="R11121">
        <v>120</v>
      </c>
      <c r="S11121">
        <v>120</v>
      </c>
      <c r="T11121" t="s">
        <v>40843</v>
      </c>
    </row>
    <row r="11122" spans="1:20" customFormat="1" ht="15" x14ac:dyDescent="0.25">
      <c r="A11122" t="s">
        <v>35</v>
      </c>
      <c r="B11122" t="s">
        <v>61</v>
      </c>
      <c r="C11122" t="str">
        <f>"A0125181"</f>
        <v>A0125181</v>
      </c>
      <c r="D11122" t="s">
        <v>40844</v>
      </c>
      <c r="E11122" t="s">
        <v>40845</v>
      </c>
      <c r="F11122" t="s">
        <v>12923</v>
      </c>
      <c r="G11122" t="s">
        <v>40</v>
      </c>
      <c r="H11122">
        <v>73003</v>
      </c>
      <c r="I11122" t="s">
        <v>30</v>
      </c>
      <c r="J11122" t="s">
        <v>41</v>
      </c>
      <c r="K11122" t="s">
        <v>2760</v>
      </c>
      <c r="Q11122">
        <v>0</v>
      </c>
      <c r="R11122">
        <v>0</v>
      </c>
      <c r="S11122">
        <v>0</v>
      </c>
      <c r="T11122" t="s">
        <v>40846</v>
      </c>
    </row>
    <row r="11123" spans="1:20" customFormat="1" ht="15" x14ac:dyDescent="0.25">
      <c r="A11123" t="s">
        <v>35</v>
      </c>
      <c r="B11123" t="s">
        <v>40847</v>
      </c>
      <c r="C11123" t="str">
        <f>"A0152989"</f>
        <v>A0152989</v>
      </c>
      <c r="D11123" t="s">
        <v>40848</v>
      </c>
      <c r="E11123" t="s">
        <v>40849</v>
      </c>
      <c r="F11123" t="s">
        <v>40850</v>
      </c>
      <c r="G11123" t="s">
        <v>117</v>
      </c>
      <c r="H11123">
        <v>49323</v>
      </c>
      <c r="I11123" t="s">
        <v>30</v>
      </c>
      <c r="J11123" t="s">
        <v>41</v>
      </c>
      <c r="K11123" t="s">
        <v>391</v>
      </c>
      <c r="Q11123">
        <v>0</v>
      </c>
      <c r="R11123">
        <v>0</v>
      </c>
      <c r="S11123">
        <v>0</v>
      </c>
      <c r="T11123" t="s">
        <v>40851</v>
      </c>
    </row>
    <row r="11124" spans="1:20" customFormat="1" ht="15" x14ac:dyDescent="0.25">
      <c r="A11124" t="s">
        <v>35</v>
      </c>
      <c r="B11124" t="s">
        <v>40847</v>
      </c>
      <c r="C11124" t="str">
        <f>"A0152987"</f>
        <v>A0152987</v>
      </c>
      <c r="D11124" t="s">
        <v>40852</v>
      </c>
      <c r="E11124" t="s">
        <v>40853</v>
      </c>
      <c r="F11124" t="s">
        <v>27446</v>
      </c>
      <c r="G11124" t="s">
        <v>117</v>
      </c>
      <c r="H11124">
        <v>49058</v>
      </c>
      <c r="I11124" t="s">
        <v>30</v>
      </c>
      <c r="J11124" t="s">
        <v>41</v>
      </c>
      <c r="K11124" t="s">
        <v>391</v>
      </c>
      <c r="Q11124">
        <v>0</v>
      </c>
      <c r="R11124">
        <v>0</v>
      </c>
      <c r="S11124">
        <v>0</v>
      </c>
      <c r="T11124" t="s">
        <v>40854</v>
      </c>
    </row>
    <row r="11125" spans="1:20" customFormat="1" ht="15" x14ac:dyDescent="0.25">
      <c r="A11125" t="s">
        <v>35</v>
      </c>
      <c r="B11125" t="s">
        <v>40847</v>
      </c>
      <c r="C11125" t="str">
        <f>"A0152986"</f>
        <v>A0152986</v>
      </c>
      <c r="D11125" t="s">
        <v>40855</v>
      </c>
      <c r="E11125" t="s">
        <v>40856</v>
      </c>
      <c r="F11125" t="s">
        <v>40857</v>
      </c>
      <c r="G11125" t="s">
        <v>117</v>
      </c>
      <c r="H11125">
        <v>49333</v>
      </c>
      <c r="I11125" t="s">
        <v>30</v>
      </c>
      <c r="J11125" t="s">
        <v>41</v>
      </c>
      <c r="K11125" t="s">
        <v>391</v>
      </c>
      <c r="Q11125">
        <v>0</v>
      </c>
      <c r="R11125">
        <v>0</v>
      </c>
      <c r="S11125">
        <v>0</v>
      </c>
      <c r="T11125" t="s">
        <v>40858</v>
      </c>
    </row>
    <row r="11126" spans="1:20" customFormat="1" ht="15" x14ac:dyDescent="0.25">
      <c r="A11126" t="s">
        <v>35</v>
      </c>
      <c r="B11126" t="s">
        <v>40847</v>
      </c>
      <c r="C11126" t="str">
        <f>"A0152990"</f>
        <v>A0152990</v>
      </c>
      <c r="D11126" t="s">
        <v>40859</v>
      </c>
      <c r="E11126" t="s">
        <v>40860</v>
      </c>
      <c r="F11126" t="s">
        <v>40861</v>
      </c>
      <c r="G11126" t="s">
        <v>117</v>
      </c>
      <c r="H11126">
        <v>46956</v>
      </c>
      <c r="I11126" t="s">
        <v>30</v>
      </c>
      <c r="J11126" t="s">
        <v>41</v>
      </c>
      <c r="K11126" t="s">
        <v>391</v>
      </c>
      <c r="Q11126">
        <v>0</v>
      </c>
      <c r="R11126">
        <v>0</v>
      </c>
      <c r="S11126">
        <v>0</v>
      </c>
      <c r="T11126" t="s">
        <v>40862</v>
      </c>
    </row>
    <row r="11127" spans="1:20" customFormat="1" ht="15" x14ac:dyDescent="0.25">
      <c r="A11127" t="s">
        <v>35</v>
      </c>
      <c r="B11127" t="s">
        <v>40847</v>
      </c>
      <c r="C11127" t="str">
        <f>"A0152988"</f>
        <v>A0152988</v>
      </c>
      <c r="D11127" t="s">
        <v>40863</v>
      </c>
      <c r="E11127" t="s">
        <v>40864</v>
      </c>
      <c r="F11127" t="s">
        <v>31337</v>
      </c>
      <c r="G11127" t="s">
        <v>117</v>
      </c>
      <c r="H11127">
        <v>49348</v>
      </c>
      <c r="I11127" t="s">
        <v>30</v>
      </c>
      <c r="J11127" t="s">
        <v>41</v>
      </c>
      <c r="K11127" t="s">
        <v>391</v>
      </c>
      <c r="Q11127">
        <v>0</v>
      </c>
      <c r="R11127">
        <v>0</v>
      </c>
      <c r="S11127">
        <v>0</v>
      </c>
      <c r="T11127" t="s">
        <v>40865</v>
      </c>
    </row>
    <row r="11128" spans="1:20" customFormat="1" ht="15" x14ac:dyDescent="0.25">
      <c r="A11128" t="s">
        <v>35</v>
      </c>
      <c r="B11128" t="s">
        <v>61</v>
      </c>
      <c r="C11128" t="str">
        <f>"A0129216"</f>
        <v>A0129216</v>
      </c>
      <c r="D11128" t="s">
        <v>40866</v>
      </c>
      <c r="E11128" t="s">
        <v>40867</v>
      </c>
      <c r="F11128" t="s">
        <v>25322</v>
      </c>
      <c r="G11128" t="s">
        <v>289</v>
      </c>
      <c r="H11128">
        <v>62806</v>
      </c>
      <c r="I11128" t="s">
        <v>30</v>
      </c>
      <c r="J11128" t="s">
        <v>41</v>
      </c>
      <c r="K11128" t="s">
        <v>6300</v>
      </c>
      <c r="Q11128">
        <v>0</v>
      </c>
      <c r="R11128">
        <v>0</v>
      </c>
      <c r="S11128">
        <v>0</v>
      </c>
      <c r="T11128" t="s">
        <v>40868</v>
      </c>
    </row>
    <row r="11129" spans="1:20" customFormat="1" ht="15" x14ac:dyDescent="0.25">
      <c r="A11129" t="s">
        <v>35</v>
      </c>
      <c r="B11129" t="s">
        <v>61</v>
      </c>
      <c r="C11129" t="str">
        <f>"A0153312"</f>
        <v>A0153312</v>
      </c>
      <c r="D11129" t="s">
        <v>40869</v>
      </c>
      <c r="E11129" t="s">
        <v>40870</v>
      </c>
      <c r="F11129" t="s">
        <v>9836</v>
      </c>
      <c r="G11129" t="s">
        <v>110</v>
      </c>
      <c r="H11129">
        <v>91103</v>
      </c>
      <c r="I11129" t="s">
        <v>30</v>
      </c>
      <c r="J11129" t="s">
        <v>41</v>
      </c>
      <c r="K11129" t="s">
        <v>229</v>
      </c>
      <c r="Q11129">
        <v>0</v>
      </c>
      <c r="R11129">
        <v>71</v>
      </c>
      <c r="S11129">
        <v>71</v>
      </c>
      <c r="T11129" t="s">
        <v>40871</v>
      </c>
    </row>
    <row r="11130" spans="1:20" customFormat="1" ht="15" x14ac:dyDescent="0.25">
      <c r="A11130" t="s">
        <v>35</v>
      </c>
      <c r="B11130" t="s">
        <v>437</v>
      </c>
      <c r="C11130" t="str">
        <f>"A0133922"</f>
        <v>A0133922</v>
      </c>
      <c r="D11130" t="s">
        <v>40872</v>
      </c>
      <c r="E11130" t="s">
        <v>40873</v>
      </c>
      <c r="F11130" t="s">
        <v>2535</v>
      </c>
      <c r="G11130" t="s">
        <v>110</v>
      </c>
      <c r="H11130">
        <v>92675</v>
      </c>
      <c r="I11130" t="s">
        <v>30</v>
      </c>
      <c r="J11130" t="s">
        <v>441</v>
      </c>
      <c r="K11130" t="s">
        <v>442</v>
      </c>
      <c r="Q11130">
        <v>0</v>
      </c>
      <c r="R11130">
        <v>0</v>
      </c>
      <c r="S11130">
        <v>0</v>
      </c>
      <c r="T11130" t="s">
        <v>40874</v>
      </c>
    </row>
    <row r="11131" spans="1:20" customFormat="1" ht="15" x14ac:dyDescent="0.25">
      <c r="A11131" t="s">
        <v>35</v>
      </c>
      <c r="B11131" t="s">
        <v>9198</v>
      </c>
      <c r="C11131" t="str">
        <f>"A0121885"</f>
        <v>A0121885</v>
      </c>
      <c r="D11131" t="s">
        <v>40875</v>
      </c>
      <c r="E11131" t="s">
        <v>40876</v>
      </c>
      <c r="F11131" t="s">
        <v>24246</v>
      </c>
      <c r="G11131" t="s">
        <v>110</v>
      </c>
      <c r="H11131">
        <v>92243</v>
      </c>
      <c r="I11131" t="s">
        <v>30</v>
      </c>
      <c r="J11131" t="s">
        <v>41</v>
      </c>
      <c r="K11131" t="s">
        <v>229</v>
      </c>
      <c r="Q11131">
        <v>0</v>
      </c>
      <c r="R11131">
        <v>99</v>
      </c>
      <c r="S11131">
        <v>99</v>
      </c>
      <c r="T11131" t="s">
        <v>40877</v>
      </c>
    </row>
    <row r="11132" spans="1:20" customFormat="1" ht="15" x14ac:dyDescent="0.25">
      <c r="A11132" t="s">
        <v>35</v>
      </c>
      <c r="B11132" t="s">
        <v>61</v>
      </c>
      <c r="C11132" t="str">
        <f>"A0128265"</f>
        <v>A0128265</v>
      </c>
      <c r="D11132" t="s">
        <v>40878</v>
      </c>
      <c r="E11132" t="s">
        <v>40879</v>
      </c>
      <c r="F11132" t="s">
        <v>40880</v>
      </c>
      <c r="G11132" t="s">
        <v>110</v>
      </c>
      <c r="H11132">
        <v>91745</v>
      </c>
      <c r="I11132" t="s">
        <v>30</v>
      </c>
      <c r="J11132" t="s">
        <v>41</v>
      </c>
      <c r="K11132" t="s">
        <v>229</v>
      </c>
      <c r="Q11132">
        <v>0</v>
      </c>
      <c r="R11132">
        <v>155</v>
      </c>
      <c r="S11132">
        <v>155</v>
      </c>
      <c r="T11132" t="s">
        <v>40881</v>
      </c>
    </row>
    <row r="11133" spans="1:20" customFormat="1" ht="15" x14ac:dyDescent="0.25">
      <c r="A11133" t="s">
        <v>35</v>
      </c>
      <c r="B11133" t="s">
        <v>61</v>
      </c>
      <c r="C11133" t="str">
        <f>"A0118422"</f>
        <v>A0118422</v>
      </c>
      <c r="D11133" t="s">
        <v>40882</v>
      </c>
      <c r="E11133" t="s">
        <v>40883</v>
      </c>
      <c r="F11133" t="s">
        <v>40884</v>
      </c>
      <c r="G11133" t="s">
        <v>110</v>
      </c>
      <c r="H11133">
        <v>917311094</v>
      </c>
      <c r="I11133" t="s">
        <v>30</v>
      </c>
      <c r="J11133" t="s">
        <v>41</v>
      </c>
      <c r="K11133" t="s">
        <v>229</v>
      </c>
      <c r="Q11133">
        <v>0</v>
      </c>
      <c r="R11133">
        <v>93</v>
      </c>
      <c r="S11133">
        <v>93</v>
      </c>
      <c r="T11133" t="s">
        <v>40885</v>
      </c>
    </row>
    <row r="11134" spans="1:20" customFormat="1" ht="15" x14ac:dyDescent="0.25">
      <c r="A11134" t="s">
        <v>35</v>
      </c>
      <c r="B11134" t="s">
        <v>61</v>
      </c>
      <c r="C11134" t="str">
        <f>"A0125426"</f>
        <v>A0125426</v>
      </c>
      <c r="D11134" t="s">
        <v>40886</v>
      </c>
      <c r="E11134" t="s">
        <v>40887</v>
      </c>
      <c r="F11134" t="s">
        <v>17401</v>
      </c>
      <c r="G11134" t="s">
        <v>40</v>
      </c>
      <c r="H11134">
        <v>73036</v>
      </c>
      <c r="I11134" t="s">
        <v>30</v>
      </c>
      <c r="J11134" t="s">
        <v>41</v>
      </c>
      <c r="K11134" t="s">
        <v>229</v>
      </c>
      <c r="Q11134">
        <v>0</v>
      </c>
      <c r="R11134">
        <v>50</v>
      </c>
      <c r="S11134">
        <v>50</v>
      </c>
      <c r="T11134" t="s">
        <v>40888</v>
      </c>
    </row>
    <row r="11135" spans="1:20" customFormat="1" ht="15" x14ac:dyDescent="0.25">
      <c r="A11135" t="s">
        <v>35</v>
      </c>
      <c r="B11135" t="s">
        <v>61</v>
      </c>
      <c r="C11135" t="str">
        <f>"A0124635"</f>
        <v>A0124635</v>
      </c>
      <c r="D11135" t="s">
        <v>40889</v>
      </c>
      <c r="E11135" t="s">
        <v>40890</v>
      </c>
      <c r="F11135" t="s">
        <v>19101</v>
      </c>
      <c r="G11135" t="s">
        <v>1706</v>
      </c>
      <c r="H11135">
        <v>356340000</v>
      </c>
      <c r="I11135" t="s">
        <v>30</v>
      </c>
      <c r="J11135" t="s">
        <v>41</v>
      </c>
      <c r="K11135" t="s">
        <v>229</v>
      </c>
      <c r="Q11135">
        <v>0</v>
      </c>
      <c r="R11135">
        <v>60</v>
      </c>
      <c r="S11135">
        <v>60</v>
      </c>
      <c r="T11135" t="s">
        <v>40891</v>
      </c>
    </row>
    <row r="11136" spans="1:20" customFormat="1" ht="15" x14ac:dyDescent="0.25">
      <c r="A11136" t="s">
        <v>35</v>
      </c>
      <c r="B11136" t="s">
        <v>437</v>
      </c>
      <c r="C11136" t="str">
        <f>"A0134016"</f>
        <v>A0134016</v>
      </c>
      <c r="D11136" t="s">
        <v>40892</v>
      </c>
      <c r="E11136" t="s">
        <v>40893</v>
      </c>
      <c r="F11136" t="s">
        <v>37617</v>
      </c>
      <c r="G11136" t="s">
        <v>110</v>
      </c>
      <c r="H11136">
        <v>93662</v>
      </c>
      <c r="I11136" t="s">
        <v>30</v>
      </c>
      <c r="J11136" t="s">
        <v>441</v>
      </c>
      <c r="K11136" t="s">
        <v>442</v>
      </c>
      <c r="Q11136">
        <v>0</v>
      </c>
      <c r="R11136">
        <v>0</v>
      </c>
      <c r="S11136">
        <v>0</v>
      </c>
      <c r="T11136" t="s">
        <v>40894</v>
      </c>
    </row>
    <row r="11137" spans="1:20" customFormat="1" ht="15" x14ac:dyDescent="0.25">
      <c r="A11137" t="s">
        <v>35</v>
      </c>
      <c r="B11137" t="s">
        <v>61</v>
      </c>
      <c r="C11137" t="str">
        <f>"A0150857"</f>
        <v>A0150857</v>
      </c>
      <c r="D11137" t="s">
        <v>40895</v>
      </c>
      <c r="E11137" t="s">
        <v>40896</v>
      </c>
      <c r="F11137" t="s">
        <v>16381</v>
      </c>
      <c r="G11137" t="s">
        <v>117</v>
      </c>
      <c r="H11137">
        <v>49285</v>
      </c>
      <c r="I11137" t="s">
        <v>30</v>
      </c>
      <c r="J11137" t="s">
        <v>41</v>
      </c>
      <c r="K11137" t="s">
        <v>59</v>
      </c>
      <c r="Q11137">
        <v>0</v>
      </c>
      <c r="R11137">
        <v>20</v>
      </c>
      <c r="S11137">
        <v>20</v>
      </c>
      <c r="T11137" t="s">
        <v>40897</v>
      </c>
    </row>
    <row r="11138" spans="1:20" customFormat="1" ht="15" x14ac:dyDescent="0.25">
      <c r="A11138" t="s">
        <v>35</v>
      </c>
      <c r="B11138" t="s">
        <v>61</v>
      </c>
      <c r="C11138" t="str">
        <f>"A0118482"</f>
        <v>A0118482</v>
      </c>
      <c r="D11138" t="s">
        <v>40898</v>
      </c>
      <c r="E11138" t="s">
        <v>40899</v>
      </c>
      <c r="F11138" t="s">
        <v>36346</v>
      </c>
      <c r="G11138" t="s">
        <v>110</v>
      </c>
      <c r="H11138">
        <v>957760000</v>
      </c>
      <c r="I11138" t="s">
        <v>30</v>
      </c>
      <c r="J11138" t="s">
        <v>41</v>
      </c>
      <c r="K11138" t="s">
        <v>2760</v>
      </c>
      <c r="Q11138">
        <v>0</v>
      </c>
      <c r="R11138">
        <v>1</v>
      </c>
      <c r="S11138">
        <v>1</v>
      </c>
      <c r="T11138" t="s">
        <v>40900</v>
      </c>
    </row>
    <row r="11139" spans="1:20" customFormat="1" ht="15" x14ac:dyDescent="0.25">
      <c r="A11139" t="s">
        <v>35</v>
      </c>
      <c r="B11139" t="s">
        <v>61</v>
      </c>
      <c r="C11139" t="str">
        <f>"A0122586"</f>
        <v>A0122586</v>
      </c>
      <c r="D11139" t="s">
        <v>40901</v>
      </c>
      <c r="E11139" t="s">
        <v>40902</v>
      </c>
      <c r="F11139" t="s">
        <v>1039</v>
      </c>
      <c r="G11139" t="s">
        <v>76</v>
      </c>
      <c r="H11139">
        <v>98406</v>
      </c>
      <c r="I11139" t="s">
        <v>30</v>
      </c>
      <c r="J11139" t="s">
        <v>41</v>
      </c>
      <c r="K11139" t="s">
        <v>1440</v>
      </c>
      <c r="Q11139">
        <v>0</v>
      </c>
      <c r="R11139">
        <v>375</v>
      </c>
      <c r="S11139">
        <v>375</v>
      </c>
      <c r="T11139" t="s">
        <v>40903</v>
      </c>
    </row>
    <row r="11140" spans="1:20" customFormat="1" ht="15" x14ac:dyDescent="0.25">
      <c r="A11140" t="s">
        <v>35</v>
      </c>
      <c r="B11140" t="s">
        <v>61</v>
      </c>
      <c r="C11140" t="str">
        <f>"A0124157"</f>
        <v>A0124157</v>
      </c>
      <c r="D11140" t="s">
        <v>40904</v>
      </c>
      <c r="E11140" t="s">
        <v>40905</v>
      </c>
      <c r="F11140" t="s">
        <v>4674</v>
      </c>
      <c r="G11140" t="s">
        <v>314</v>
      </c>
      <c r="H11140">
        <v>20002</v>
      </c>
      <c r="I11140" t="s">
        <v>30</v>
      </c>
      <c r="J11140" t="s">
        <v>41</v>
      </c>
      <c r="K11140" t="s">
        <v>59</v>
      </c>
      <c r="Q11140">
        <v>0</v>
      </c>
      <c r="R11140">
        <v>300</v>
      </c>
      <c r="S11140">
        <v>300</v>
      </c>
      <c r="T11140" t="s">
        <v>40906</v>
      </c>
    </row>
    <row r="11141" spans="1:20" customFormat="1" ht="15" x14ac:dyDescent="0.25">
      <c r="A11141" t="s">
        <v>35</v>
      </c>
      <c r="B11141" t="s">
        <v>61</v>
      </c>
      <c r="C11141" t="str">
        <f>"A0124468"</f>
        <v>A0124468</v>
      </c>
      <c r="D11141" t="s">
        <v>40907</v>
      </c>
      <c r="E11141" t="s">
        <v>40908</v>
      </c>
      <c r="F11141" t="s">
        <v>1705</v>
      </c>
      <c r="G11141" t="s">
        <v>1706</v>
      </c>
      <c r="H11141">
        <v>35209</v>
      </c>
      <c r="I11141" t="s">
        <v>30</v>
      </c>
      <c r="J11141" t="s">
        <v>41</v>
      </c>
      <c r="K11141" t="s">
        <v>229</v>
      </c>
      <c r="Q11141">
        <v>0</v>
      </c>
      <c r="R11141">
        <v>150</v>
      </c>
      <c r="S11141">
        <v>150</v>
      </c>
      <c r="T11141" t="s">
        <v>40909</v>
      </c>
    </row>
    <row r="11142" spans="1:20" customFormat="1" ht="15" x14ac:dyDescent="0.25">
      <c r="A11142" t="s">
        <v>35</v>
      </c>
      <c r="B11142" t="s">
        <v>61</v>
      </c>
      <c r="C11142" t="str">
        <f>"A0123280"</f>
        <v>A0123280</v>
      </c>
      <c r="D11142" t="s">
        <v>40910</v>
      </c>
      <c r="E11142" t="s">
        <v>40911</v>
      </c>
      <c r="F11142" t="s">
        <v>9675</v>
      </c>
      <c r="G11142" t="s">
        <v>29</v>
      </c>
      <c r="H11142" t="s">
        <v>40912</v>
      </c>
      <c r="I11142" t="s">
        <v>30</v>
      </c>
      <c r="J11142" t="s">
        <v>41</v>
      </c>
      <c r="K11142" t="s">
        <v>229</v>
      </c>
      <c r="Q11142">
        <v>0</v>
      </c>
      <c r="R11142">
        <v>180</v>
      </c>
      <c r="S11142">
        <v>180</v>
      </c>
      <c r="T11142" t="s">
        <v>40913</v>
      </c>
    </row>
    <row r="11143" spans="1:20" customFormat="1" ht="15" x14ac:dyDescent="0.25">
      <c r="A11143" t="s">
        <v>35</v>
      </c>
      <c r="B11143" t="s">
        <v>61</v>
      </c>
      <c r="C11143" t="str">
        <f>"A0123281"</f>
        <v>A0123281</v>
      </c>
      <c r="D11143" t="s">
        <v>40914</v>
      </c>
      <c r="E11143" t="s">
        <v>40915</v>
      </c>
      <c r="F11143" t="s">
        <v>9675</v>
      </c>
      <c r="G11143" t="s">
        <v>29</v>
      </c>
      <c r="H11143">
        <v>230601918</v>
      </c>
      <c r="I11143" t="s">
        <v>30</v>
      </c>
      <c r="J11143" t="s">
        <v>41</v>
      </c>
      <c r="K11143" t="s">
        <v>482</v>
      </c>
      <c r="Q11143">
        <v>0</v>
      </c>
      <c r="R11143">
        <v>48</v>
      </c>
      <c r="S11143">
        <v>48</v>
      </c>
      <c r="T11143" t="s">
        <v>40916</v>
      </c>
    </row>
    <row r="11144" spans="1:20" customFormat="1" ht="15" x14ac:dyDescent="0.25">
      <c r="A11144" t="s">
        <v>35</v>
      </c>
      <c r="B11144" t="s">
        <v>61</v>
      </c>
      <c r="C11144" t="str">
        <f>"A0132279"</f>
        <v>A0132279</v>
      </c>
      <c r="D11144" t="s">
        <v>40917</v>
      </c>
      <c r="E11144" t="s">
        <v>40918</v>
      </c>
      <c r="F11144" t="s">
        <v>4723</v>
      </c>
      <c r="G11144" t="s">
        <v>65</v>
      </c>
      <c r="H11144">
        <v>43537</v>
      </c>
      <c r="I11144" t="s">
        <v>30</v>
      </c>
      <c r="J11144" t="s">
        <v>41</v>
      </c>
      <c r="K11144" t="s">
        <v>59</v>
      </c>
      <c r="Q11144">
        <v>0</v>
      </c>
      <c r="R11144">
        <v>144</v>
      </c>
      <c r="S11144">
        <v>144</v>
      </c>
      <c r="T11144" t="s">
        <v>40919</v>
      </c>
    </row>
    <row r="11145" spans="1:20" customFormat="1" ht="15" x14ac:dyDescent="0.25">
      <c r="A11145" t="s">
        <v>35</v>
      </c>
      <c r="B11145" t="s">
        <v>106</v>
      </c>
      <c r="C11145" t="str">
        <f>"A0136427"</f>
        <v>A0136427</v>
      </c>
      <c r="D11145" t="s">
        <v>40920</v>
      </c>
      <c r="E11145" t="s">
        <v>40921</v>
      </c>
      <c r="F11145" t="s">
        <v>4069</v>
      </c>
      <c r="G11145" t="s">
        <v>103</v>
      </c>
      <c r="H11145">
        <v>17022</v>
      </c>
      <c r="I11145" t="s">
        <v>30</v>
      </c>
      <c r="J11145" t="s">
        <v>111</v>
      </c>
      <c r="K11145" t="s">
        <v>10012</v>
      </c>
      <c r="Q11145">
        <v>0</v>
      </c>
      <c r="R11145">
        <v>0</v>
      </c>
      <c r="S11145">
        <v>0</v>
      </c>
      <c r="T11145" t="s">
        <v>40922</v>
      </c>
    </row>
    <row r="11146" spans="1:20" customFormat="1" ht="15" x14ac:dyDescent="0.25">
      <c r="A11146" t="s">
        <v>35</v>
      </c>
      <c r="B11146" t="s">
        <v>61</v>
      </c>
      <c r="C11146" t="str">
        <f>"A0151049"</f>
        <v>A0151049</v>
      </c>
      <c r="D11146" t="s">
        <v>40923</v>
      </c>
      <c r="E11146" t="s">
        <v>40924</v>
      </c>
      <c r="F11146" t="s">
        <v>4069</v>
      </c>
      <c r="G11146" t="s">
        <v>103</v>
      </c>
      <c r="H11146">
        <v>17022</v>
      </c>
      <c r="I11146" t="s">
        <v>30</v>
      </c>
      <c r="J11146" t="s">
        <v>41</v>
      </c>
      <c r="K11146" t="s">
        <v>229</v>
      </c>
      <c r="Q11146">
        <v>0</v>
      </c>
      <c r="R11146">
        <v>45</v>
      </c>
      <c r="S11146">
        <v>45</v>
      </c>
      <c r="T11146" t="s">
        <v>40925</v>
      </c>
    </row>
    <row r="11147" spans="1:20" customFormat="1" ht="15" x14ac:dyDescent="0.25">
      <c r="A11147" t="s">
        <v>35</v>
      </c>
      <c r="B11147" t="s">
        <v>61</v>
      </c>
      <c r="C11147" t="str">
        <f>"A0125450"</f>
        <v>A0125450</v>
      </c>
      <c r="D11147" t="s">
        <v>40926</v>
      </c>
      <c r="E11147" t="s">
        <v>40927</v>
      </c>
      <c r="F11147" t="s">
        <v>40928</v>
      </c>
      <c r="G11147" t="s">
        <v>40</v>
      </c>
      <c r="H11147">
        <v>73533</v>
      </c>
      <c r="I11147" t="s">
        <v>30</v>
      </c>
      <c r="J11147" t="s">
        <v>41</v>
      </c>
      <c r="K11147" t="s">
        <v>229</v>
      </c>
      <c r="Q11147">
        <v>0</v>
      </c>
      <c r="R11147">
        <v>100</v>
      </c>
      <c r="S11147">
        <v>100</v>
      </c>
      <c r="T11147" t="s">
        <v>40929</v>
      </c>
    </row>
    <row r="11148" spans="1:20" customFormat="1" ht="15" x14ac:dyDescent="0.25">
      <c r="A11148" t="s">
        <v>35</v>
      </c>
      <c r="B11148" t="s">
        <v>61</v>
      </c>
      <c r="C11148" t="str">
        <f>"A0121335"</f>
        <v>A0121335</v>
      </c>
      <c r="D11148" t="s">
        <v>40930</v>
      </c>
      <c r="E11148" t="s">
        <v>40931</v>
      </c>
      <c r="F11148" t="s">
        <v>40932</v>
      </c>
      <c r="G11148" t="s">
        <v>153</v>
      </c>
      <c r="H11148">
        <v>84651</v>
      </c>
      <c r="I11148" t="s">
        <v>30</v>
      </c>
      <c r="J11148" t="s">
        <v>41</v>
      </c>
      <c r="K11148" t="s">
        <v>59</v>
      </c>
      <c r="Q11148">
        <v>0</v>
      </c>
      <c r="R11148">
        <v>33</v>
      </c>
      <c r="S11148">
        <v>33</v>
      </c>
      <c r="T11148" t="s">
        <v>40933</v>
      </c>
    </row>
    <row r="11149" spans="1:20" customFormat="1" ht="15" x14ac:dyDescent="0.25">
      <c r="A11149" t="s">
        <v>35</v>
      </c>
      <c r="B11149" t="s">
        <v>61</v>
      </c>
      <c r="C11149" t="str">
        <f>"A0118044"</f>
        <v>A0118044</v>
      </c>
      <c r="D11149" t="s">
        <v>40934</v>
      </c>
      <c r="E11149" t="s">
        <v>40935</v>
      </c>
      <c r="F11149" t="s">
        <v>23685</v>
      </c>
      <c r="G11149" t="s">
        <v>190</v>
      </c>
      <c r="H11149">
        <v>80439</v>
      </c>
      <c r="I11149" t="s">
        <v>30</v>
      </c>
      <c r="J11149" t="s">
        <v>41</v>
      </c>
      <c r="K11149" t="s">
        <v>59</v>
      </c>
      <c r="Q11149">
        <v>0</v>
      </c>
      <c r="R11149">
        <v>60</v>
      </c>
      <c r="S11149">
        <v>60</v>
      </c>
      <c r="T11149" t="s">
        <v>40936</v>
      </c>
    </row>
    <row r="11150" spans="1:20" customFormat="1" ht="15" x14ac:dyDescent="0.25">
      <c r="A11150" t="s">
        <v>35</v>
      </c>
      <c r="B11150" t="s">
        <v>61</v>
      </c>
      <c r="C11150" t="str">
        <f>"A0123719"</f>
        <v>A0123719</v>
      </c>
      <c r="D11150" t="s">
        <v>40937</v>
      </c>
      <c r="E11150" t="s">
        <v>40938</v>
      </c>
      <c r="F11150" t="s">
        <v>40939</v>
      </c>
      <c r="G11150" t="s">
        <v>214</v>
      </c>
      <c r="H11150">
        <v>28621</v>
      </c>
      <c r="I11150" t="s">
        <v>30</v>
      </c>
      <c r="J11150" t="s">
        <v>41</v>
      </c>
      <c r="K11150" t="s">
        <v>482</v>
      </c>
      <c r="Q11150">
        <v>0</v>
      </c>
      <c r="R11150">
        <v>60</v>
      </c>
      <c r="S11150">
        <v>60</v>
      </c>
      <c r="T11150" t="s">
        <v>40940</v>
      </c>
    </row>
    <row r="11151" spans="1:20" customFormat="1" ht="15" x14ac:dyDescent="0.25">
      <c r="A11151" t="s">
        <v>35</v>
      </c>
      <c r="B11151" t="s">
        <v>61</v>
      </c>
      <c r="C11151" t="str">
        <f>"A0123282"</f>
        <v>A0123282</v>
      </c>
      <c r="D11151" t="s">
        <v>40941</v>
      </c>
      <c r="E11151" t="s">
        <v>40942</v>
      </c>
      <c r="F11151" t="s">
        <v>40943</v>
      </c>
      <c r="G11151" t="s">
        <v>507</v>
      </c>
      <c r="H11151">
        <v>26241</v>
      </c>
      <c r="I11151" t="s">
        <v>30</v>
      </c>
      <c r="J11151" t="s">
        <v>41</v>
      </c>
      <c r="K11151" t="s">
        <v>59</v>
      </c>
      <c r="Q11151">
        <v>0</v>
      </c>
      <c r="R11151">
        <v>52</v>
      </c>
      <c r="S11151">
        <v>52</v>
      </c>
      <c r="T11151" t="s">
        <v>40944</v>
      </c>
    </row>
    <row r="11152" spans="1:20" customFormat="1" ht="15" x14ac:dyDescent="0.25">
      <c r="A11152" t="s">
        <v>35</v>
      </c>
      <c r="B11152" t="s">
        <v>61</v>
      </c>
      <c r="C11152" t="str">
        <f>"A0125959"</f>
        <v>A0125959</v>
      </c>
      <c r="D11152" t="s">
        <v>40945</v>
      </c>
      <c r="E11152" t="s">
        <v>40946</v>
      </c>
      <c r="F11152" t="s">
        <v>33154</v>
      </c>
      <c r="G11152" t="s">
        <v>29</v>
      </c>
      <c r="H11152">
        <v>22827</v>
      </c>
      <c r="I11152" t="s">
        <v>30</v>
      </c>
      <c r="J11152" t="s">
        <v>41</v>
      </c>
      <c r="K11152" t="s">
        <v>59</v>
      </c>
      <c r="Q11152">
        <v>0</v>
      </c>
      <c r="R11152">
        <v>25</v>
      </c>
      <c r="S11152">
        <v>25</v>
      </c>
      <c r="T11152" t="s">
        <v>40947</v>
      </c>
    </row>
    <row r="11153" spans="1:20" customFormat="1" ht="15" x14ac:dyDescent="0.25">
      <c r="A11153" t="s">
        <v>35</v>
      </c>
      <c r="B11153" t="s">
        <v>40948</v>
      </c>
      <c r="C11153" t="str">
        <f>"A0152984"</f>
        <v>A0152984</v>
      </c>
      <c r="D11153" t="s">
        <v>40949</v>
      </c>
      <c r="E11153" t="s">
        <v>36284</v>
      </c>
      <c r="F11153" t="s">
        <v>36285</v>
      </c>
      <c r="G11153" t="s">
        <v>85</v>
      </c>
      <c r="H11153">
        <v>71730</v>
      </c>
      <c r="I11153" t="s">
        <v>30</v>
      </c>
      <c r="J11153" t="s">
        <v>41</v>
      </c>
      <c r="K11153" t="s">
        <v>482</v>
      </c>
      <c r="Q11153">
        <v>0</v>
      </c>
      <c r="R11153">
        <v>60</v>
      </c>
      <c r="S11153">
        <v>60</v>
      </c>
      <c r="T11153" t="s">
        <v>72</v>
      </c>
    </row>
    <row r="11154" spans="1:20" customFormat="1" ht="15" x14ac:dyDescent="0.25">
      <c r="A11154" t="s">
        <v>35</v>
      </c>
      <c r="B11154" t="s">
        <v>61</v>
      </c>
      <c r="C11154" t="str">
        <f>"A0126611"</f>
        <v>A0126611</v>
      </c>
      <c r="D11154" t="s">
        <v>40950</v>
      </c>
      <c r="E11154" t="s">
        <v>40951</v>
      </c>
      <c r="F11154" t="s">
        <v>40952</v>
      </c>
      <c r="G11154" t="s">
        <v>103</v>
      </c>
      <c r="H11154">
        <v>18431</v>
      </c>
      <c r="I11154" t="s">
        <v>30</v>
      </c>
      <c r="J11154" t="s">
        <v>41</v>
      </c>
      <c r="K11154" t="s">
        <v>229</v>
      </c>
      <c r="Q11154">
        <v>0</v>
      </c>
      <c r="R11154">
        <v>143</v>
      </c>
      <c r="S11154">
        <v>143</v>
      </c>
      <c r="T11154" t="s">
        <v>40953</v>
      </c>
    </row>
    <row r="11155" spans="1:20" customFormat="1" ht="15" x14ac:dyDescent="0.25">
      <c r="A11155" t="s">
        <v>35</v>
      </c>
      <c r="B11155" t="s">
        <v>61</v>
      </c>
      <c r="C11155" t="str">
        <f>"A0131139"</f>
        <v>A0131139</v>
      </c>
      <c r="D11155" t="s">
        <v>40954</v>
      </c>
      <c r="E11155" t="s">
        <v>40955</v>
      </c>
      <c r="F11155" t="s">
        <v>40956</v>
      </c>
      <c r="G11155" t="s">
        <v>137</v>
      </c>
      <c r="H11155">
        <v>647240000</v>
      </c>
      <c r="I11155" t="s">
        <v>30</v>
      </c>
      <c r="J11155" t="s">
        <v>41</v>
      </c>
      <c r="K11155" t="s">
        <v>3713</v>
      </c>
      <c r="Q11155">
        <v>0</v>
      </c>
      <c r="R11155">
        <v>25</v>
      </c>
      <c r="S11155">
        <v>25</v>
      </c>
      <c r="T11155" t="s">
        <v>40957</v>
      </c>
    </row>
    <row r="11156" spans="1:20" customFormat="1" ht="15" x14ac:dyDescent="0.25">
      <c r="A11156" t="s">
        <v>35</v>
      </c>
      <c r="B11156" t="s">
        <v>61</v>
      </c>
      <c r="C11156" t="str">
        <f>"A0129148"</f>
        <v>A0129148</v>
      </c>
      <c r="D11156" t="s">
        <v>40958</v>
      </c>
      <c r="E11156" t="s">
        <v>40959</v>
      </c>
      <c r="F11156" t="s">
        <v>40960</v>
      </c>
      <c r="G11156" t="s">
        <v>289</v>
      </c>
      <c r="H11156">
        <v>60126</v>
      </c>
      <c r="I11156" t="s">
        <v>30</v>
      </c>
      <c r="J11156" t="s">
        <v>41</v>
      </c>
      <c r="K11156" t="s">
        <v>229</v>
      </c>
      <c r="Q11156">
        <v>0</v>
      </c>
      <c r="R11156">
        <v>112</v>
      </c>
      <c r="S11156">
        <v>112</v>
      </c>
      <c r="T11156" t="s">
        <v>40961</v>
      </c>
    </row>
    <row r="11157" spans="1:20" customFormat="1" ht="15" x14ac:dyDescent="0.25">
      <c r="A11157" t="s">
        <v>35</v>
      </c>
      <c r="B11157" t="s">
        <v>4725</v>
      </c>
      <c r="C11157" t="str">
        <f>"A0132320"</f>
        <v>A0132320</v>
      </c>
      <c r="D11157" t="s">
        <v>40962</v>
      </c>
      <c r="E11157" t="s">
        <v>40963</v>
      </c>
      <c r="F11157" t="s">
        <v>15605</v>
      </c>
      <c r="G11157" t="s">
        <v>65</v>
      </c>
      <c r="H11157">
        <v>45628</v>
      </c>
      <c r="I11157" t="s">
        <v>30</v>
      </c>
      <c r="J11157" t="s">
        <v>41</v>
      </c>
      <c r="K11157" t="s">
        <v>229</v>
      </c>
      <c r="Q11157">
        <v>0</v>
      </c>
      <c r="R11157">
        <v>50</v>
      </c>
      <c r="S11157">
        <v>50</v>
      </c>
      <c r="T11157" t="s">
        <v>40964</v>
      </c>
    </row>
    <row r="11158" spans="1:20" customFormat="1" ht="15" x14ac:dyDescent="0.25">
      <c r="A11158" t="s">
        <v>35</v>
      </c>
      <c r="B11158" t="s">
        <v>61</v>
      </c>
      <c r="C11158" t="str">
        <f>"A0122599"</f>
        <v>A0122599</v>
      </c>
      <c r="D11158" t="s">
        <v>40965</v>
      </c>
      <c r="E11158" t="s">
        <v>40966</v>
      </c>
      <c r="F11158" t="s">
        <v>40967</v>
      </c>
      <c r="G11158" t="s">
        <v>76</v>
      </c>
      <c r="H11158">
        <v>98951</v>
      </c>
      <c r="I11158" t="s">
        <v>30</v>
      </c>
      <c r="J11158" t="s">
        <v>41</v>
      </c>
      <c r="K11158" t="s">
        <v>229</v>
      </c>
      <c r="Q11158">
        <v>0</v>
      </c>
      <c r="R11158">
        <v>76</v>
      </c>
      <c r="S11158">
        <v>76</v>
      </c>
      <c r="T11158" t="s">
        <v>40968</v>
      </c>
    </row>
    <row r="11159" spans="1:20" customFormat="1" ht="15" x14ac:dyDescent="0.25">
      <c r="A11159" t="s">
        <v>35</v>
      </c>
      <c r="B11159" t="s">
        <v>61</v>
      </c>
      <c r="C11159" t="str">
        <f>"A0124158"</f>
        <v>A0124158</v>
      </c>
      <c r="D11159" t="s">
        <v>40969</v>
      </c>
      <c r="E11159" t="s">
        <v>40970</v>
      </c>
      <c r="F11159" t="s">
        <v>4770</v>
      </c>
      <c r="G11159" t="s">
        <v>117</v>
      </c>
      <c r="H11159">
        <v>48083</v>
      </c>
      <c r="I11159" t="s">
        <v>30</v>
      </c>
      <c r="J11159" t="s">
        <v>41</v>
      </c>
      <c r="K11159" t="s">
        <v>482</v>
      </c>
      <c r="Q11159">
        <v>0</v>
      </c>
      <c r="R11159">
        <v>120</v>
      </c>
      <c r="S11159">
        <v>120</v>
      </c>
      <c r="T11159" t="s">
        <v>40971</v>
      </c>
    </row>
    <row r="11160" spans="1:20" customFormat="1" ht="15" x14ac:dyDescent="0.25">
      <c r="A11160" t="s">
        <v>35</v>
      </c>
      <c r="B11160" t="s">
        <v>61</v>
      </c>
      <c r="C11160" t="str">
        <f>"A0122544"</f>
        <v>A0122544</v>
      </c>
      <c r="D11160" t="s">
        <v>40972</v>
      </c>
      <c r="E11160" t="s">
        <v>40973</v>
      </c>
      <c r="F11160" t="s">
        <v>27824</v>
      </c>
      <c r="G11160" t="s">
        <v>76</v>
      </c>
      <c r="H11160">
        <v>98052</v>
      </c>
      <c r="I11160" t="s">
        <v>30</v>
      </c>
      <c r="J11160" t="s">
        <v>41</v>
      </c>
      <c r="K11160" t="s">
        <v>1440</v>
      </c>
      <c r="Q11160">
        <v>0</v>
      </c>
      <c r="R11160">
        <v>117</v>
      </c>
      <c r="S11160">
        <v>117</v>
      </c>
      <c r="T11160" t="s">
        <v>40974</v>
      </c>
    </row>
    <row r="11161" spans="1:20" customFormat="1" ht="15" x14ac:dyDescent="0.25">
      <c r="A11161" t="s">
        <v>35</v>
      </c>
      <c r="B11161" t="s">
        <v>61</v>
      </c>
      <c r="C11161" t="str">
        <f>"A0118371"</f>
        <v>A0118371</v>
      </c>
      <c r="D11161" t="s">
        <v>40975</v>
      </c>
      <c r="E11161" t="s">
        <v>40976</v>
      </c>
      <c r="F11161" t="s">
        <v>5467</v>
      </c>
      <c r="G11161" t="s">
        <v>110</v>
      </c>
      <c r="H11161">
        <v>95993</v>
      </c>
      <c r="I11161" t="s">
        <v>30</v>
      </c>
      <c r="J11161" t="s">
        <v>41</v>
      </c>
      <c r="K11161" t="s">
        <v>59</v>
      </c>
      <c r="Q11161">
        <v>0</v>
      </c>
      <c r="R11161">
        <v>68</v>
      </c>
      <c r="S11161">
        <v>68</v>
      </c>
      <c r="T11161" t="s">
        <v>40977</v>
      </c>
    </row>
    <row r="11162" spans="1:20" customFormat="1" ht="15" x14ac:dyDescent="0.25">
      <c r="A11162" t="s">
        <v>35</v>
      </c>
      <c r="B11162" t="s">
        <v>61</v>
      </c>
      <c r="C11162" t="str">
        <f>"A0123283"</f>
        <v>A0123283</v>
      </c>
      <c r="D11162" t="s">
        <v>40978</v>
      </c>
      <c r="E11162" t="s">
        <v>40979</v>
      </c>
      <c r="F11162" t="s">
        <v>13792</v>
      </c>
      <c r="G11162" t="s">
        <v>29</v>
      </c>
      <c r="H11162" t="s">
        <v>40980</v>
      </c>
      <c r="I11162" t="s">
        <v>30</v>
      </c>
      <c r="J11162" t="s">
        <v>41</v>
      </c>
      <c r="K11162" t="s">
        <v>482</v>
      </c>
      <c r="Q11162">
        <v>0</v>
      </c>
      <c r="R11162">
        <v>160</v>
      </c>
      <c r="S11162">
        <v>160</v>
      </c>
      <c r="T11162" t="s">
        <v>40981</v>
      </c>
    </row>
    <row r="11163" spans="1:20" customFormat="1" ht="15" x14ac:dyDescent="0.25">
      <c r="A11163" t="s">
        <v>35</v>
      </c>
      <c r="B11163" t="s">
        <v>61</v>
      </c>
      <c r="C11163" t="str">
        <f>"A0121362"</f>
        <v>A0121362</v>
      </c>
      <c r="D11163" t="s">
        <v>40982</v>
      </c>
      <c r="E11163" t="s">
        <v>40983</v>
      </c>
      <c r="F11163" t="s">
        <v>40984</v>
      </c>
      <c r="G11163" t="s">
        <v>153</v>
      </c>
      <c r="H11163">
        <v>845130817</v>
      </c>
      <c r="I11163" t="s">
        <v>30</v>
      </c>
      <c r="J11163" t="s">
        <v>41</v>
      </c>
      <c r="K11163" t="s">
        <v>9463</v>
      </c>
      <c r="Q11163">
        <v>0</v>
      </c>
      <c r="R11163">
        <v>60</v>
      </c>
      <c r="S11163">
        <v>60</v>
      </c>
      <c r="T11163" t="s">
        <v>40985</v>
      </c>
    </row>
    <row r="11164" spans="1:20" customFormat="1" ht="15" x14ac:dyDescent="0.25">
      <c r="A11164" t="s">
        <v>35</v>
      </c>
      <c r="B11164" t="s">
        <v>61</v>
      </c>
      <c r="C11164" t="str">
        <f>"A0123721"</f>
        <v>A0123721</v>
      </c>
      <c r="D11164" t="s">
        <v>40986</v>
      </c>
      <c r="E11164" t="s">
        <v>40987</v>
      </c>
      <c r="F11164" t="s">
        <v>11715</v>
      </c>
      <c r="G11164" t="s">
        <v>29</v>
      </c>
      <c r="H11164">
        <v>23707</v>
      </c>
      <c r="I11164" t="s">
        <v>30</v>
      </c>
      <c r="J11164" t="s">
        <v>41</v>
      </c>
      <c r="K11164" t="s">
        <v>59</v>
      </c>
      <c r="Q11164">
        <v>0</v>
      </c>
      <c r="R11164">
        <v>37</v>
      </c>
      <c r="S11164">
        <v>37</v>
      </c>
      <c r="T11164" t="s">
        <v>40988</v>
      </c>
    </row>
    <row r="11165" spans="1:20" customFormat="1" ht="15" x14ac:dyDescent="0.25">
      <c r="A11165" t="s">
        <v>35</v>
      </c>
      <c r="B11165" t="s">
        <v>106</v>
      </c>
      <c r="C11165" t="str">
        <f>"A0136003"</f>
        <v>A0136003</v>
      </c>
      <c r="D11165" t="s">
        <v>40989</v>
      </c>
      <c r="E11165" t="s">
        <v>40990</v>
      </c>
      <c r="F11165" t="s">
        <v>20532</v>
      </c>
      <c r="G11165" t="s">
        <v>81</v>
      </c>
      <c r="H11165">
        <v>32922</v>
      </c>
      <c r="I11165" t="s">
        <v>30</v>
      </c>
      <c r="J11165" t="s">
        <v>111</v>
      </c>
      <c r="K11165" t="s">
        <v>112</v>
      </c>
      <c r="Q11165">
        <v>0</v>
      </c>
      <c r="R11165">
        <v>0</v>
      </c>
      <c r="S11165">
        <v>0</v>
      </c>
      <c r="T11165" t="s">
        <v>40991</v>
      </c>
    </row>
    <row r="11166" spans="1:20" customFormat="1" ht="15" x14ac:dyDescent="0.25">
      <c r="A11166" t="s">
        <v>35</v>
      </c>
      <c r="B11166" t="s">
        <v>61</v>
      </c>
      <c r="C11166" t="str">
        <f>"A0151183"</f>
        <v>A0151183</v>
      </c>
      <c r="D11166" t="s">
        <v>40992</v>
      </c>
      <c r="E11166" t="s">
        <v>40993</v>
      </c>
      <c r="F11166" t="s">
        <v>40994</v>
      </c>
      <c r="G11166" t="s">
        <v>117</v>
      </c>
      <c r="H11166">
        <v>49770</v>
      </c>
      <c r="I11166" t="s">
        <v>30</v>
      </c>
      <c r="J11166" t="s">
        <v>41</v>
      </c>
      <c r="K11166" t="s">
        <v>6300</v>
      </c>
      <c r="Q11166">
        <v>0</v>
      </c>
      <c r="R11166">
        <v>0</v>
      </c>
      <c r="S11166">
        <v>0</v>
      </c>
      <c r="T11166" t="s">
        <v>40995</v>
      </c>
    </row>
    <row r="11167" spans="1:20" customFormat="1" ht="15" x14ac:dyDescent="0.25">
      <c r="A11167" t="s">
        <v>35</v>
      </c>
      <c r="B11167" t="s">
        <v>61</v>
      </c>
      <c r="C11167" t="str">
        <f>"A0123722"</f>
        <v>A0123722</v>
      </c>
      <c r="D11167" t="s">
        <v>40996</v>
      </c>
      <c r="E11167" t="s">
        <v>37116</v>
      </c>
      <c r="F11167" t="s">
        <v>22547</v>
      </c>
      <c r="G11167" t="s">
        <v>338</v>
      </c>
      <c r="H11167">
        <v>7731</v>
      </c>
      <c r="I11167" t="s">
        <v>30</v>
      </c>
      <c r="J11167" t="s">
        <v>41</v>
      </c>
      <c r="K11167" t="s">
        <v>229</v>
      </c>
      <c r="Q11167">
        <v>0</v>
      </c>
      <c r="R11167">
        <v>120</v>
      </c>
      <c r="S11167">
        <v>120</v>
      </c>
      <c r="T11167" t="s">
        <v>40997</v>
      </c>
    </row>
    <row r="11168" spans="1:20" customFormat="1" ht="15" x14ac:dyDescent="0.25">
      <c r="A11168" t="s">
        <v>35</v>
      </c>
      <c r="B11168" t="s">
        <v>61</v>
      </c>
      <c r="C11168" t="str">
        <f>"A0132716"</f>
        <v>A0132716</v>
      </c>
      <c r="D11168" t="s">
        <v>40998</v>
      </c>
      <c r="E11168" t="s">
        <v>40999</v>
      </c>
      <c r="F11168" t="s">
        <v>2748</v>
      </c>
      <c r="G11168" t="s">
        <v>65</v>
      </c>
      <c r="H11168">
        <v>43604</v>
      </c>
      <c r="I11168" t="s">
        <v>30</v>
      </c>
      <c r="J11168" t="s">
        <v>41</v>
      </c>
      <c r="K11168" t="s">
        <v>461</v>
      </c>
      <c r="Q11168">
        <v>0</v>
      </c>
      <c r="R11168">
        <v>100</v>
      </c>
      <c r="S11168">
        <v>100</v>
      </c>
      <c r="T11168" t="s">
        <v>41000</v>
      </c>
    </row>
    <row r="11169" spans="1:20" customFormat="1" ht="15" x14ac:dyDescent="0.25">
      <c r="A11169" t="s">
        <v>35</v>
      </c>
      <c r="B11169" t="s">
        <v>61</v>
      </c>
      <c r="C11169" t="str">
        <f>"A0151570"</f>
        <v>A0151570</v>
      </c>
      <c r="D11169" t="s">
        <v>41001</v>
      </c>
      <c r="E11169" t="s">
        <v>41002</v>
      </c>
      <c r="F11169" t="s">
        <v>41003</v>
      </c>
      <c r="G11169" t="s">
        <v>840</v>
      </c>
      <c r="H11169">
        <v>41017</v>
      </c>
      <c r="I11169" t="s">
        <v>30</v>
      </c>
      <c r="J11169" t="s">
        <v>41</v>
      </c>
      <c r="K11169" t="s">
        <v>3713</v>
      </c>
      <c r="Q11169">
        <v>0</v>
      </c>
      <c r="R11169">
        <v>51</v>
      </c>
      <c r="S11169">
        <v>51</v>
      </c>
      <c r="T11169" t="s">
        <v>41004</v>
      </c>
    </row>
    <row r="11170" spans="1:20" customFormat="1" ht="15" x14ac:dyDescent="0.25">
      <c r="A11170" t="s">
        <v>35</v>
      </c>
      <c r="B11170" t="s">
        <v>61</v>
      </c>
      <c r="C11170" t="str">
        <f>"A0131207"</f>
        <v>A0131207</v>
      </c>
      <c r="D11170" t="s">
        <v>41005</v>
      </c>
      <c r="E11170" t="s">
        <v>41006</v>
      </c>
      <c r="F11170" t="s">
        <v>41007</v>
      </c>
      <c r="G11170" t="s">
        <v>85</v>
      </c>
      <c r="H11170">
        <v>720460000</v>
      </c>
      <c r="I11170" t="s">
        <v>30</v>
      </c>
      <c r="J11170" t="s">
        <v>41</v>
      </c>
      <c r="K11170" t="s">
        <v>2760</v>
      </c>
      <c r="Q11170">
        <v>0</v>
      </c>
      <c r="R11170">
        <v>1</v>
      </c>
      <c r="S11170">
        <v>1</v>
      </c>
      <c r="T11170" t="s">
        <v>41008</v>
      </c>
    </row>
    <row r="11171" spans="1:20" customFormat="1" ht="15" x14ac:dyDescent="0.25">
      <c r="A11171" t="s">
        <v>35</v>
      </c>
      <c r="B11171" t="s">
        <v>61</v>
      </c>
      <c r="C11171" t="str">
        <f>"A0123723"</f>
        <v>A0123723</v>
      </c>
      <c r="D11171" t="s">
        <v>41009</v>
      </c>
      <c r="E11171" t="s">
        <v>41010</v>
      </c>
      <c r="F11171" t="s">
        <v>12375</v>
      </c>
      <c r="G11171" t="s">
        <v>29</v>
      </c>
      <c r="H11171">
        <v>240603950</v>
      </c>
      <c r="I11171" t="s">
        <v>30</v>
      </c>
      <c r="J11171" t="s">
        <v>41</v>
      </c>
      <c r="K11171" t="s">
        <v>290</v>
      </c>
      <c r="Q11171">
        <v>0</v>
      </c>
      <c r="R11171">
        <v>0</v>
      </c>
      <c r="S11171">
        <v>0</v>
      </c>
      <c r="T11171" t="s">
        <v>32955</v>
      </c>
    </row>
    <row r="11172" spans="1:20" customFormat="1" ht="15" x14ac:dyDescent="0.25">
      <c r="A11172" t="s">
        <v>35</v>
      </c>
      <c r="B11172" t="s">
        <v>61</v>
      </c>
      <c r="C11172" t="str">
        <f>"A0130279"</f>
        <v>A0130279</v>
      </c>
      <c r="D11172" t="s">
        <v>41011</v>
      </c>
      <c r="E11172" t="s">
        <v>41012</v>
      </c>
      <c r="F11172" t="s">
        <v>41013</v>
      </c>
      <c r="G11172" t="s">
        <v>1898</v>
      </c>
      <c r="H11172">
        <v>52316</v>
      </c>
      <c r="I11172" t="s">
        <v>30</v>
      </c>
      <c r="J11172" t="s">
        <v>41</v>
      </c>
      <c r="K11172" t="s">
        <v>229</v>
      </c>
      <c r="Q11172">
        <v>0</v>
      </c>
      <c r="R11172">
        <v>60</v>
      </c>
      <c r="S11172">
        <v>60</v>
      </c>
      <c r="T11172" t="s">
        <v>41014</v>
      </c>
    </row>
    <row r="11173" spans="1:20" customFormat="1" ht="15" x14ac:dyDescent="0.25">
      <c r="A11173" t="s">
        <v>35</v>
      </c>
      <c r="B11173" t="s">
        <v>61</v>
      </c>
      <c r="C11173" t="str">
        <f>"A0125298"</f>
        <v>A0125298</v>
      </c>
      <c r="D11173" t="s">
        <v>41015</v>
      </c>
      <c r="E11173" t="s">
        <v>41016</v>
      </c>
      <c r="F11173" t="s">
        <v>17344</v>
      </c>
      <c r="G11173" t="s">
        <v>40</v>
      </c>
      <c r="H11173">
        <v>73521</v>
      </c>
      <c r="I11173" t="s">
        <v>30</v>
      </c>
      <c r="J11173" t="s">
        <v>41</v>
      </c>
      <c r="K11173" t="s">
        <v>229</v>
      </c>
      <c r="Q11173">
        <v>0</v>
      </c>
      <c r="R11173">
        <v>128</v>
      </c>
      <c r="S11173">
        <v>128</v>
      </c>
      <c r="T11173" t="s">
        <v>41017</v>
      </c>
    </row>
    <row r="11174" spans="1:20" customFormat="1" ht="15" x14ac:dyDescent="0.25">
      <c r="A11174" t="s">
        <v>35</v>
      </c>
      <c r="B11174" t="s">
        <v>106</v>
      </c>
      <c r="C11174" t="str">
        <f>"A0136089"</f>
        <v>A0136089</v>
      </c>
      <c r="D11174" t="s">
        <v>41018</v>
      </c>
      <c r="E11174" t="s">
        <v>41019</v>
      </c>
      <c r="F11174" t="s">
        <v>30223</v>
      </c>
      <c r="G11174" t="s">
        <v>1587</v>
      </c>
      <c r="H11174">
        <v>88203</v>
      </c>
      <c r="I11174" t="s">
        <v>30</v>
      </c>
      <c r="J11174" t="s">
        <v>111</v>
      </c>
      <c r="K11174" t="s">
        <v>10012</v>
      </c>
      <c r="Q11174">
        <v>0</v>
      </c>
      <c r="R11174">
        <v>0</v>
      </c>
      <c r="S11174">
        <v>0</v>
      </c>
      <c r="T11174" t="s">
        <v>41020</v>
      </c>
    </row>
    <row r="11175" spans="1:20" customFormat="1" ht="15" x14ac:dyDescent="0.25">
      <c r="A11175" t="s">
        <v>35</v>
      </c>
      <c r="B11175" t="s">
        <v>106</v>
      </c>
      <c r="C11175" t="str">
        <f>"A0136459"</f>
        <v>A0136459</v>
      </c>
      <c r="D11175" t="s">
        <v>41021</v>
      </c>
      <c r="E11175" t="s">
        <v>41022</v>
      </c>
      <c r="F11175" t="s">
        <v>41023</v>
      </c>
      <c r="G11175" t="s">
        <v>1184</v>
      </c>
      <c r="H11175">
        <v>59729</v>
      </c>
      <c r="I11175" t="s">
        <v>30</v>
      </c>
      <c r="J11175" t="s">
        <v>111</v>
      </c>
      <c r="K11175" t="s">
        <v>112</v>
      </c>
      <c r="Q11175">
        <v>0</v>
      </c>
      <c r="R11175">
        <v>0</v>
      </c>
      <c r="S11175">
        <v>0</v>
      </c>
      <c r="T11175" t="s">
        <v>41024</v>
      </c>
    </row>
    <row r="11176" spans="1:20" customFormat="1" ht="15" x14ac:dyDescent="0.25">
      <c r="A11176" t="s">
        <v>35</v>
      </c>
      <c r="B11176" t="s">
        <v>61</v>
      </c>
      <c r="C11176" t="str">
        <f>"A0125005"</f>
        <v>A0125005</v>
      </c>
      <c r="D11176" t="s">
        <v>41025</v>
      </c>
      <c r="E11176" t="s">
        <v>41026</v>
      </c>
      <c r="F11176" t="s">
        <v>15531</v>
      </c>
      <c r="G11176" t="s">
        <v>214</v>
      </c>
      <c r="H11176">
        <v>27712</v>
      </c>
      <c r="I11176" t="s">
        <v>30</v>
      </c>
      <c r="J11176" t="s">
        <v>41</v>
      </c>
      <c r="K11176" t="s">
        <v>59</v>
      </c>
      <c r="Q11176">
        <v>0</v>
      </c>
      <c r="R11176">
        <v>100</v>
      </c>
      <c r="S11176">
        <v>100</v>
      </c>
      <c r="T11176" t="s">
        <v>41027</v>
      </c>
    </row>
    <row r="11177" spans="1:20" customFormat="1" ht="15" x14ac:dyDescent="0.25">
      <c r="A11177" t="s">
        <v>35</v>
      </c>
      <c r="B11177" t="s">
        <v>61</v>
      </c>
      <c r="C11177" t="str">
        <f>"A0126181"</f>
        <v>A0126181</v>
      </c>
      <c r="D11177" t="s">
        <v>41028</v>
      </c>
      <c r="E11177" t="s">
        <v>41029</v>
      </c>
      <c r="F11177" t="s">
        <v>41030</v>
      </c>
      <c r="G11177" t="s">
        <v>197</v>
      </c>
      <c r="H11177">
        <v>85283</v>
      </c>
      <c r="I11177" t="s">
        <v>30</v>
      </c>
      <c r="J11177" t="s">
        <v>41</v>
      </c>
      <c r="K11177" t="s">
        <v>229</v>
      </c>
      <c r="Q11177">
        <v>0</v>
      </c>
      <c r="R11177">
        <v>0</v>
      </c>
      <c r="S11177">
        <v>0</v>
      </c>
      <c r="T11177" t="s">
        <v>41031</v>
      </c>
    </row>
    <row r="11178" spans="1:20" customFormat="1" ht="15" x14ac:dyDescent="0.25">
      <c r="A11178" t="s">
        <v>35</v>
      </c>
      <c r="B11178" t="s">
        <v>61</v>
      </c>
      <c r="C11178" t="str">
        <f>"A0123041"</f>
        <v>A0123041</v>
      </c>
      <c r="D11178" t="s">
        <v>41032</v>
      </c>
      <c r="E11178" t="s">
        <v>41033</v>
      </c>
      <c r="F11178" t="s">
        <v>1444</v>
      </c>
      <c r="G11178" t="s">
        <v>76</v>
      </c>
      <c r="H11178">
        <v>98105</v>
      </c>
      <c r="I11178" t="s">
        <v>30</v>
      </c>
      <c r="J11178" t="s">
        <v>41</v>
      </c>
      <c r="K11178" t="s">
        <v>2463</v>
      </c>
      <c r="Q11178">
        <v>0</v>
      </c>
      <c r="R11178">
        <v>50</v>
      </c>
      <c r="S11178">
        <v>50</v>
      </c>
      <c r="T11178" t="s">
        <v>41034</v>
      </c>
    </row>
    <row r="11179" spans="1:20" customFormat="1" ht="15" x14ac:dyDescent="0.25">
      <c r="A11179" t="s">
        <v>35</v>
      </c>
      <c r="B11179" t="s">
        <v>61</v>
      </c>
      <c r="C11179" t="str">
        <f>"A0124587"</f>
        <v>A0124587</v>
      </c>
      <c r="D11179" t="s">
        <v>41035</v>
      </c>
      <c r="E11179" t="s">
        <v>41036</v>
      </c>
      <c r="F11179" t="s">
        <v>17993</v>
      </c>
      <c r="G11179" t="s">
        <v>1706</v>
      </c>
      <c r="H11179">
        <v>363310000</v>
      </c>
      <c r="I11179" t="s">
        <v>30</v>
      </c>
      <c r="J11179" t="s">
        <v>41</v>
      </c>
      <c r="K11179" t="s">
        <v>229</v>
      </c>
      <c r="Q11179">
        <v>0</v>
      </c>
      <c r="R11179">
        <v>213</v>
      </c>
      <c r="S11179">
        <v>213</v>
      </c>
      <c r="T11179" t="s">
        <v>41037</v>
      </c>
    </row>
    <row r="11180" spans="1:20" customFormat="1" ht="15" x14ac:dyDescent="0.25">
      <c r="A11180" t="s">
        <v>35</v>
      </c>
      <c r="B11180" t="s">
        <v>437</v>
      </c>
      <c r="C11180" t="str">
        <f>"A0134606"</f>
        <v>A0134606</v>
      </c>
      <c r="D11180" t="s">
        <v>41038</v>
      </c>
      <c r="E11180" t="s">
        <v>41039</v>
      </c>
      <c r="F11180" t="s">
        <v>28565</v>
      </c>
      <c r="G11180" t="s">
        <v>71</v>
      </c>
      <c r="H11180">
        <v>56039</v>
      </c>
      <c r="I11180" t="s">
        <v>30</v>
      </c>
      <c r="J11180" t="s">
        <v>441</v>
      </c>
      <c r="K11180" t="s">
        <v>442</v>
      </c>
      <c r="Q11180">
        <v>0</v>
      </c>
      <c r="R11180">
        <v>0</v>
      </c>
      <c r="S11180">
        <v>0</v>
      </c>
      <c r="T11180" t="s">
        <v>41040</v>
      </c>
    </row>
    <row r="11181" spans="1:20" customFormat="1" ht="15" x14ac:dyDescent="0.25">
      <c r="A11181" t="s">
        <v>35</v>
      </c>
      <c r="B11181" t="s">
        <v>61</v>
      </c>
      <c r="C11181" t="str">
        <f>"A0125183"</f>
        <v>A0125183</v>
      </c>
      <c r="D11181" t="s">
        <v>41041</v>
      </c>
      <c r="E11181" t="s">
        <v>41042</v>
      </c>
      <c r="F11181" t="s">
        <v>1731</v>
      </c>
      <c r="G11181" t="s">
        <v>52</v>
      </c>
      <c r="H11181">
        <v>75237</v>
      </c>
      <c r="I11181" t="s">
        <v>30</v>
      </c>
      <c r="J11181" t="s">
        <v>41</v>
      </c>
      <c r="K11181" t="s">
        <v>59</v>
      </c>
      <c r="Q11181">
        <v>0</v>
      </c>
      <c r="R11181">
        <v>50</v>
      </c>
      <c r="S11181">
        <v>50</v>
      </c>
      <c r="T11181" t="s">
        <v>41043</v>
      </c>
    </row>
    <row r="11182" spans="1:20" customFormat="1" ht="15" x14ac:dyDescent="0.25">
      <c r="A11182" t="s">
        <v>35</v>
      </c>
      <c r="B11182" t="s">
        <v>61</v>
      </c>
      <c r="C11182" t="str">
        <f>"A0133068"</f>
        <v>A0133068</v>
      </c>
      <c r="D11182" t="s">
        <v>41044</v>
      </c>
      <c r="E11182" t="s">
        <v>41045</v>
      </c>
      <c r="F11182" t="s">
        <v>1427</v>
      </c>
      <c r="G11182" t="s">
        <v>52</v>
      </c>
      <c r="H11182">
        <v>76701</v>
      </c>
      <c r="I11182" t="s">
        <v>30</v>
      </c>
      <c r="J11182" t="s">
        <v>41</v>
      </c>
      <c r="K11182" t="s">
        <v>39685</v>
      </c>
      <c r="Q11182">
        <v>0</v>
      </c>
      <c r="R11182">
        <v>0</v>
      </c>
      <c r="S11182">
        <v>0</v>
      </c>
      <c r="T11182" t="s">
        <v>41046</v>
      </c>
    </row>
    <row r="11183" spans="1:20" customFormat="1" ht="15" x14ac:dyDescent="0.25">
      <c r="A11183" t="s">
        <v>35</v>
      </c>
      <c r="B11183" t="s">
        <v>61</v>
      </c>
      <c r="C11183" t="str">
        <f>"A0122676"</f>
        <v>A0122676</v>
      </c>
      <c r="D11183" t="s">
        <v>41047</v>
      </c>
      <c r="E11183" t="s">
        <v>41048</v>
      </c>
      <c r="F11183" t="s">
        <v>38878</v>
      </c>
      <c r="G11183" t="s">
        <v>76</v>
      </c>
      <c r="H11183">
        <v>98815</v>
      </c>
      <c r="I11183" t="s">
        <v>30</v>
      </c>
      <c r="J11183" t="s">
        <v>41</v>
      </c>
      <c r="K11183" t="s">
        <v>59</v>
      </c>
      <c r="Q11183">
        <v>0</v>
      </c>
      <c r="R11183">
        <v>50</v>
      </c>
      <c r="S11183">
        <v>50</v>
      </c>
      <c r="T11183" t="s">
        <v>41049</v>
      </c>
    </row>
    <row r="11184" spans="1:20" customFormat="1" ht="15" x14ac:dyDescent="0.25">
      <c r="A11184" t="s">
        <v>35</v>
      </c>
      <c r="B11184" t="s">
        <v>106</v>
      </c>
      <c r="C11184" t="str">
        <f>"A0136082"</f>
        <v>A0136082</v>
      </c>
      <c r="D11184" t="s">
        <v>41050</v>
      </c>
      <c r="E11184" t="s">
        <v>41051</v>
      </c>
      <c r="F11184" t="s">
        <v>9791</v>
      </c>
      <c r="G11184" t="s">
        <v>47</v>
      </c>
      <c r="H11184">
        <v>97403</v>
      </c>
      <c r="I11184" t="s">
        <v>30</v>
      </c>
      <c r="J11184" t="s">
        <v>111</v>
      </c>
      <c r="K11184" t="s">
        <v>10012</v>
      </c>
      <c r="Q11184">
        <v>0</v>
      </c>
      <c r="R11184">
        <v>0</v>
      </c>
      <c r="S11184">
        <v>0</v>
      </c>
      <c r="T11184" t="s">
        <v>41052</v>
      </c>
    </row>
    <row r="11185" spans="1:20" customFormat="1" ht="15" x14ac:dyDescent="0.25">
      <c r="A11185" t="s">
        <v>35</v>
      </c>
      <c r="B11185" t="s">
        <v>61</v>
      </c>
      <c r="C11185" t="str">
        <f>"A0123286"</f>
        <v>A0123286</v>
      </c>
      <c r="D11185" t="s">
        <v>41053</v>
      </c>
      <c r="E11185" t="s">
        <v>41054</v>
      </c>
      <c r="F11185" t="s">
        <v>15531</v>
      </c>
      <c r="G11185" t="s">
        <v>214</v>
      </c>
      <c r="H11185">
        <v>27705</v>
      </c>
      <c r="I11185" t="s">
        <v>30</v>
      </c>
      <c r="J11185" t="s">
        <v>41</v>
      </c>
      <c r="K11185" t="s">
        <v>229</v>
      </c>
      <c r="Q11185">
        <v>0</v>
      </c>
      <c r="R11185">
        <v>1</v>
      </c>
      <c r="S11185">
        <v>1</v>
      </c>
      <c r="T11185" t="s">
        <v>41055</v>
      </c>
    </row>
    <row r="11186" spans="1:20" customFormat="1" ht="15" x14ac:dyDescent="0.25">
      <c r="A11186" t="s">
        <v>35</v>
      </c>
      <c r="B11186" t="s">
        <v>61</v>
      </c>
      <c r="C11186" t="str">
        <f>"A0130842"</f>
        <v>A0130842</v>
      </c>
      <c r="D11186" t="s">
        <v>41056</v>
      </c>
      <c r="E11186" t="s">
        <v>41057</v>
      </c>
      <c r="F11186" t="s">
        <v>30138</v>
      </c>
      <c r="G11186" t="s">
        <v>137</v>
      </c>
      <c r="H11186">
        <v>638460000</v>
      </c>
      <c r="I11186" t="s">
        <v>30</v>
      </c>
      <c r="J11186" t="s">
        <v>41</v>
      </c>
      <c r="K11186" t="s">
        <v>229</v>
      </c>
      <c r="Q11186">
        <v>0</v>
      </c>
      <c r="R11186">
        <v>50</v>
      </c>
      <c r="S11186">
        <v>50</v>
      </c>
      <c r="T11186" t="s">
        <v>41058</v>
      </c>
    </row>
    <row r="11187" spans="1:20" customFormat="1" ht="15" x14ac:dyDescent="0.25">
      <c r="A11187" t="s">
        <v>35</v>
      </c>
      <c r="B11187" t="s">
        <v>61</v>
      </c>
      <c r="C11187" t="str">
        <f>"A0130944"</f>
        <v>A0130944</v>
      </c>
      <c r="D11187" t="s">
        <v>41059</v>
      </c>
      <c r="E11187" t="s">
        <v>41060</v>
      </c>
      <c r="F11187" t="s">
        <v>41061</v>
      </c>
      <c r="G11187" t="s">
        <v>85</v>
      </c>
      <c r="H11187">
        <v>716400000</v>
      </c>
      <c r="I11187" t="s">
        <v>30</v>
      </c>
      <c r="J11187" t="s">
        <v>41</v>
      </c>
      <c r="K11187" t="s">
        <v>2760</v>
      </c>
      <c r="Q11187">
        <v>0</v>
      </c>
      <c r="R11187">
        <v>1</v>
      </c>
      <c r="S11187">
        <v>1</v>
      </c>
      <c r="T11187" t="s">
        <v>41062</v>
      </c>
    </row>
    <row r="11188" spans="1:20" customFormat="1" ht="15" x14ac:dyDescent="0.25">
      <c r="A11188" t="s">
        <v>35</v>
      </c>
      <c r="B11188" t="s">
        <v>61</v>
      </c>
      <c r="C11188" t="str">
        <f>"A0125779"</f>
        <v>A0125779</v>
      </c>
      <c r="D11188" t="s">
        <v>41063</v>
      </c>
      <c r="E11188" t="s">
        <v>41064</v>
      </c>
      <c r="F11188" t="s">
        <v>4591</v>
      </c>
      <c r="G11188" t="s">
        <v>29</v>
      </c>
      <c r="H11188">
        <v>24354</v>
      </c>
      <c r="I11188" t="s">
        <v>30</v>
      </c>
      <c r="J11188" t="s">
        <v>41</v>
      </c>
      <c r="K11188" t="s">
        <v>59</v>
      </c>
      <c r="Q11188">
        <v>0</v>
      </c>
      <c r="R11188">
        <v>32</v>
      </c>
      <c r="S11188">
        <v>32</v>
      </c>
      <c r="T11188" t="s">
        <v>41065</v>
      </c>
    </row>
    <row r="11189" spans="1:20" customFormat="1" ht="15" x14ac:dyDescent="0.25">
      <c r="A11189" t="s">
        <v>35</v>
      </c>
      <c r="B11189" t="s">
        <v>61</v>
      </c>
      <c r="C11189" t="str">
        <f>"A0131532"</f>
        <v>A0131532</v>
      </c>
      <c r="D11189" t="s">
        <v>41066</v>
      </c>
      <c r="E11189" t="s">
        <v>41067</v>
      </c>
      <c r="F11189" t="s">
        <v>12071</v>
      </c>
      <c r="G11189" t="s">
        <v>381</v>
      </c>
      <c r="H11189">
        <v>477140000</v>
      </c>
      <c r="I11189" t="s">
        <v>30</v>
      </c>
      <c r="J11189" t="s">
        <v>41</v>
      </c>
      <c r="K11189" t="s">
        <v>229</v>
      </c>
      <c r="Q11189">
        <v>0</v>
      </c>
      <c r="R11189">
        <v>75</v>
      </c>
      <c r="S11189">
        <v>75</v>
      </c>
      <c r="T11189" t="s">
        <v>41068</v>
      </c>
    </row>
    <row r="11190" spans="1:20" customFormat="1" ht="15" x14ac:dyDescent="0.25">
      <c r="A11190" t="s">
        <v>35</v>
      </c>
      <c r="B11190" t="s">
        <v>61</v>
      </c>
      <c r="C11190" t="str">
        <f>"A0129019"</f>
        <v>A0129019</v>
      </c>
      <c r="D11190" t="s">
        <v>41069</v>
      </c>
      <c r="E11190" t="s">
        <v>41070</v>
      </c>
      <c r="F11190" t="s">
        <v>9939</v>
      </c>
      <c r="G11190" t="s">
        <v>289</v>
      </c>
      <c r="H11190">
        <v>61764</v>
      </c>
      <c r="I11190" t="s">
        <v>30</v>
      </c>
      <c r="J11190" t="s">
        <v>41</v>
      </c>
      <c r="K11190" t="s">
        <v>1032</v>
      </c>
      <c r="Q11190">
        <v>0</v>
      </c>
      <c r="R11190">
        <v>26</v>
      </c>
      <c r="S11190">
        <v>26</v>
      </c>
      <c r="T11190" t="s">
        <v>41071</v>
      </c>
    </row>
    <row r="11191" spans="1:20" customFormat="1" ht="15" x14ac:dyDescent="0.25">
      <c r="A11191" t="s">
        <v>35</v>
      </c>
      <c r="B11191" t="s">
        <v>61</v>
      </c>
      <c r="C11191" t="str">
        <f>"A0128997"</f>
        <v>A0128997</v>
      </c>
      <c r="D11191" t="s">
        <v>41072</v>
      </c>
      <c r="E11191" t="s">
        <v>41073</v>
      </c>
      <c r="F11191" t="s">
        <v>9939</v>
      </c>
      <c r="G11191" t="s">
        <v>289</v>
      </c>
      <c r="H11191">
        <v>61764</v>
      </c>
      <c r="I11191" t="s">
        <v>30</v>
      </c>
      <c r="J11191" t="s">
        <v>41</v>
      </c>
      <c r="K11191" t="s">
        <v>59</v>
      </c>
      <c r="Q11191">
        <v>0</v>
      </c>
      <c r="R11191">
        <v>214</v>
      </c>
      <c r="S11191">
        <v>214</v>
      </c>
      <c r="T11191" t="s">
        <v>41074</v>
      </c>
    </row>
    <row r="11192" spans="1:20" customFormat="1" ht="15" x14ac:dyDescent="0.25">
      <c r="A11192" t="s">
        <v>35</v>
      </c>
      <c r="B11192" t="s">
        <v>61</v>
      </c>
      <c r="C11192" t="str">
        <f>"A0121299"</f>
        <v>A0121299</v>
      </c>
      <c r="D11192" t="s">
        <v>41075</v>
      </c>
      <c r="E11192" t="s">
        <v>41076</v>
      </c>
      <c r="F11192" t="s">
        <v>41077</v>
      </c>
      <c r="G11192" t="s">
        <v>190</v>
      </c>
      <c r="H11192">
        <v>81122</v>
      </c>
      <c r="I11192" t="s">
        <v>30</v>
      </c>
      <c r="J11192" t="s">
        <v>41</v>
      </c>
      <c r="K11192" t="s">
        <v>59</v>
      </c>
      <c r="Q11192">
        <v>0</v>
      </c>
      <c r="R11192">
        <v>16</v>
      </c>
      <c r="S11192">
        <v>16</v>
      </c>
      <c r="T11192" t="s">
        <v>41078</v>
      </c>
    </row>
    <row r="11193" spans="1:20" customFormat="1" ht="15" x14ac:dyDescent="0.25">
      <c r="A11193" t="s">
        <v>35</v>
      </c>
      <c r="B11193" t="s">
        <v>61</v>
      </c>
      <c r="C11193" t="str">
        <f>"A0130113"</f>
        <v>A0130113</v>
      </c>
      <c r="D11193" t="s">
        <v>41079</v>
      </c>
      <c r="E11193" t="s">
        <v>41080</v>
      </c>
      <c r="F11193" t="s">
        <v>18462</v>
      </c>
      <c r="G11193" t="s">
        <v>1898</v>
      </c>
      <c r="H11193">
        <v>51442</v>
      </c>
      <c r="I11193" t="s">
        <v>30</v>
      </c>
      <c r="J11193" t="s">
        <v>41</v>
      </c>
      <c r="K11193" t="s">
        <v>229</v>
      </c>
      <c r="Q11193">
        <v>0</v>
      </c>
      <c r="R11193">
        <v>111</v>
      </c>
      <c r="S11193">
        <v>111</v>
      </c>
      <c r="T11193" t="s">
        <v>41081</v>
      </c>
    </row>
    <row r="11194" spans="1:20" customFormat="1" ht="15" x14ac:dyDescent="0.25">
      <c r="A11194" t="s">
        <v>35</v>
      </c>
      <c r="B11194" t="s">
        <v>61</v>
      </c>
      <c r="C11194" t="str">
        <f>"A0122665"</f>
        <v>A0122665</v>
      </c>
      <c r="D11194" t="s">
        <v>41082</v>
      </c>
      <c r="E11194" t="s">
        <v>41083</v>
      </c>
      <c r="F11194" t="s">
        <v>5775</v>
      </c>
      <c r="G11194" t="s">
        <v>76</v>
      </c>
      <c r="H11194">
        <v>98203</v>
      </c>
      <c r="I11194" t="s">
        <v>30</v>
      </c>
      <c r="J11194" t="s">
        <v>41</v>
      </c>
      <c r="K11194" t="s">
        <v>1032</v>
      </c>
      <c r="Q11194">
        <v>0</v>
      </c>
      <c r="R11194">
        <v>47</v>
      </c>
      <c r="S11194">
        <v>47</v>
      </c>
      <c r="T11194" t="s">
        <v>41084</v>
      </c>
    </row>
    <row r="11195" spans="1:20" customFormat="1" ht="15" x14ac:dyDescent="0.25">
      <c r="A11195" t="s">
        <v>35</v>
      </c>
      <c r="B11195" t="s">
        <v>61</v>
      </c>
      <c r="C11195" t="str">
        <f>"A0124159"</f>
        <v>A0124159</v>
      </c>
      <c r="D11195" t="s">
        <v>41085</v>
      </c>
      <c r="E11195" t="s">
        <v>41086</v>
      </c>
      <c r="F11195" t="s">
        <v>5723</v>
      </c>
      <c r="G11195" t="s">
        <v>117</v>
      </c>
      <c r="H11195">
        <v>49423</v>
      </c>
      <c r="I11195" t="s">
        <v>30</v>
      </c>
      <c r="J11195" t="s">
        <v>41</v>
      </c>
      <c r="K11195" t="s">
        <v>482</v>
      </c>
      <c r="Q11195">
        <v>0</v>
      </c>
      <c r="R11195">
        <v>150</v>
      </c>
      <c r="S11195">
        <v>150</v>
      </c>
      <c r="T11195" t="s">
        <v>41087</v>
      </c>
    </row>
    <row r="11196" spans="1:20" customFormat="1" ht="15" x14ac:dyDescent="0.25">
      <c r="A11196" t="s">
        <v>35</v>
      </c>
      <c r="B11196" t="s">
        <v>61</v>
      </c>
      <c r="C11196" t="str">
        <f>"A0126036"</f>
        <v>A0126036</v>
      </c>
      <c r="D11196" t="s">
        <v>41088</v>
      </c>
      <c r="E11196" t="s">
        <v>41089</v>
      </c>
      <c r="F11196" t="s">
        <v>4310</v>
      </c>
      <c r="G11196" t="s">
        <v>29</v>
      </c>
      <c r="H11196">
        <v>22604</v>
      </c>
      <c r="I11196" t="s">
        <v>30</v>
      </c>
      <c r="J11196" t="s">
        <v>41</v>
      </c>
      <c r="K11196" t="s">
        <v>229</v>
      </c>
      <c r="Q11196">
        <v>0</v>
      </c>
      <c r="R11196">
        <v>174</v>
      </c>
      <c r="S11196">
        <v>174</v>
      </c>
      <c r="T11196" t="s">
        <v>41090</v>
      </c>
    </row>
    <row r="11197" spans="1:20" customFormat="1" ht="15" x14ac:dyDescent="0.25">
      <c r="A11197" t="s">
        <v>35</v>
      </c>
      <c r="B11197" t="s">
        <v>61</v>
      </c>
      <c r="C11197" t="str">
        <f>"A0127393"</f>
        <v>A0127393</v>
      </c>
      <c r="D11197" t="s">
        <v>41091</v>
      </c>
      <c r="E11197" t="s">
        <v>41092</v>
      </c>
      <c r="F11197" t="s">
        <v>3180</v>
      </c>
      <c r="G11197" t="s">
        <v>846</v>
      </c>
      <c r="H11197">
        <v>30165</v>
      </c>
      <c r="I11197" t="s">
        <v>30</v>
      </c>
      <c r="J11197" t="s">
        <v>41</v>
      </c>
      <c r="K11197" t="s">
        <v>229</v>
      </c>
      <c r="Q11197">
        <v>0</v>
      </c>
      <c r="R11197">
        <v>100</v>
      </c>
      <c r="S11197">
        <v>100</v>
      </c>
      <c r="T11197" t="s">
        <v>41093</v>
      </c>
    </row>
    <row r="11198" spans="1:20" customFormat="1" ht="15" x14ac:dyDescent="0.25">
      <c r="A11198" t="s">
        <v>35</v>
      </c>
      <c r="B11198" t="s">
        <v>1162</v>
      </c>
      <c r="C11198" t="str">
        <f>"A0127888"</f>
        <v>A0127888</v>
      </c>
      <c r="D11198" t="s">
        <v>41094</v>
      </c>
      <c r="E11198" t="s">
        <v>41095</v>
      </c>
      <c r="F11198" t="s">
        <v>40479</v>
      </c>
      <c r="G11198" t="s">
        <v>117</v>
      </c>
      <c r="H11198">
        <v>49801</v>
      </c>
      <c r="I11198" t="s">
        <v>30</v>
      </c>
      <c r="J11198" t="s">
        <v>41</v>
      </c>
      <c r="K11198" t="s">
        <v>59</v>
      </c>
      <c r="Q11198">
        <v>0</v>
      </c>
      <c r="R11198">
        <v>75</v>
      </c>
      <c r="S11198">
        <v>75</v>
      </c>
      <c r="T11198" t="s">
        <v>41096</v>
      </c>
    </row>
    <row r="11199" spans="1:20" customFormat="1" ht="15" x14ac:dyDescent="0.25">
      <c r="A11199" t="s">
        <v>35</v>
      </c>
      <c r="B11199" t="s">
        <v>61</v>
      </c>
      <c r="C11199" t="str">
        <f>"A0128112"</f>
        <v>A0128112</v>
      </c>
      <c r="D11199" t="s">
        <v>41097</v>
      </c>
      <c r="E11199" t="s">
        <v>41098</v>
      </c>
      <c r="F11199" t="s">
        <v>41099</v>
      </c>
      <c r="G11199" t="s">
        <v>117</v>
      </c>
      <c r="H11199">
        <v>49781</v>
      </c>
      <c r="I11199" t="s">
        <v>30</v>
      </c>
      <c r="J11199" t="s">
        <v>41</v>
      </c>
      <c r="K11199" t="s">
        <v>3713</v>
      </c>
      <c r="Q11199">
        <v>0</v>
      </c>
      <c r="R11199">
        <v>100</v>
      </c>
      <c r="S11199">
        <v>100</v>
      </c>
      <c r="T11199" t="s">
        <v>41100</v>
      </c>
    </row>
    <row r="11200" spans="1:20" customFormat="1" ht="15" x14ac:dyDescent="0.25">
      <c r="A11200" t="s">
        <v>35</v>
      </c>
      <c r="B11200" t="s">
        <v>1162</v>
      </c>
      <c r="C11200" t="str">
        <f>"A0127892"</f>
        <v>A0127892</v>
      </c>
      <c r="D11200" t="s">
        <v>41101</v>
      </c>
      <c r="E11200" t="s">
        <v>41102</v>
      </c>
      <c r="F11200" t="s">
        <v>41103</v>
      </c>
      <c r="G11200" t="s">
        <v>117</v>
      </c>
      <c r="H11200">
        <v>49870</v>
      </c>
      <c r="I11200" t="s">
        <v>30</v>
      </c>
      <c r="J11200" t="s">
        <v>41</v>
      </c>
      <c r="K11200" t="s">
        <v>59</v>
      </c>
      <c r="Q11200">
        <v>0</v>
      </c>
      <c r="R11200">
        <v>0</v>
      </c>
      <c r="S11200">
        <v>0</v>
      </c>
      <c r="T11200" t="s">
        <v>41104</v>
      </c>
    </row>
    <row r="11201" spans="1:20" customFormat="1" ht="15" x14ac:dyDescent="0.25">
      <c r="A11201" t="s">
        <v>35</v>
      </c>
      <c r="B11201" t="s">
        <v>61</v>
      </c>
      <c r="C11201" t="str">
        <f>"A0130232"</f>
        <v>A0130232</v>
      </c>
      <c r="D11201" t="s">
        <v>26315</v>
      </c>
      <c r="E11201" t="s">
        <v>41105</v>
      </c>
      <c r="F11201" t="s">
        <v>11884</v>
      </c>
      <c r="G11201" t="s">
        <v>71</v>
      </c>
      <c r="H11201">
        <v>54902</v>
      </c>
      <c r="I11201" t="s">
        <v>30</v>
      </c>
      <c r="J11201" t="s">
        <v>41</v>
      </c>
      <c r="K11201" t="s">
        <v>1440</v>
      </c>
      <c r="Q11201">
        <v>0</v>
      </c>
      <c r="R11201">
        <v>200</v>
      </c>
      <c r="S11201">
        <v>200</v>
      </c>
      <c r="T11201" t="s">
        <v>41106</v>
      </c>
    </row>
    <row r="11202" spans="1:20" customFormat="1" ht="15" x14ac:dyDescent="0.25">
      <c r="A11202" t="s">
        <v>35</v>
      </c>
      <c r="B11202" t="s">
        <v>106</v>
      </c>
      <c r="C11202" t="str">
        <f>"A0136598"</f>
        <v>A0136598</v>
      </c>
      <c r="D11202" t="s">
        <v>41107</v>
      </c>
      <c r="E11202" t="s">
        <v>41108</v>
      </c>
      <c r="F11202" t="s">
        <v>40232</v>
      </c>
      <c r="G11202" t="s">
        <v>1184</v>
      </c>
      <c r="H11202">
        <v>59901</v>
      </c>
      <c r="I11202" t="s">
        <v>30</v>
      </c>
      <c r="J11202" t="s">
        <v>111</v>
      </c>
      <c r="K11202" t="s">
        <v>112</v>
      </c>
      <c r="Q11202">
        <v>0</v>
      </c>
      <c r="R11202">
        <v>0</v>
      </c>
      <c r="S11202">
        <v>0</v>
      </c>
      <c r="T11202" t="s">
        <v>41109</v>
      </c>
    </row>
    <row r="11203" spans="1:20" customFormat="1" ht="15" x14ac:dyDescent="0.25">
      <c r="A11203" t="s">
        <v>35</v>
      </c>
      <c r="B11203" t="s">
        <v>61</v>
      </c>
      <c r="C11203" t="str">
        <f>"A0125784"</f>
        <v>A0125784</v>
      </c>
      <c r="D11203" t="s">
        <v>41110</v>
      </c>
      <c r="E11203" t="s">
        <v>41111</v>
      </c>
      <c r="F11203" t="s">
        <v>41112</v>
      </c>
      <c r="G11203" t="s">
        <v>29</v>
      </c>
      <c r="H11203">
        <v>229730000</v>
      </c>
      <c r="I11203" t="s">
        <v>30</v>
      </c>
      <c r="J11203" t="s">
        <v>41</v>
      </c>
      <c r="K11203" t="s">
        <v>59</v>
      </c>
      <c r="Q11203">
        <v>0</v>
      </c>
      <c r="R11203">
        <v>25</v>
      </c>
      <c r="S11203">
        <v>25</v>
      </c>
      <c r="T11203" t="s">
        <v>41113</v>
      </c>
    </row>
    <row r="11204" spans="1:20" customFormat="1" ht="15" x14ac:dyDescent="0.25">
      <c r="A11204" t="s">
        <v>35</v>
      </c>
      <c r="B11204" t="s">
        <v>61</v>
      </c>
      <c r="C11204" t="str">
        <f>"A0125727"</f>
        <v>A0125727</v>
      </c>
      <c r="D11204" t="s">
        <v>41114</v>
      </c>
      <c r="E11204" t="s">
        <v>41115</v>
      </c>
      <c r="F11204" t="s">
        <v>41112</v>
      </c>
      <c r="G11204" t="s">
        <v>29</v>
      </c>
      <c r="H11204">
        <v>229730000</v>
      </c>
      <c r="I11204" t="s">
        <v>30</v>
      </c>
      <c r="J11204" t="s">
        <v>41</v>
      </c>
      <c r="K11204" t="s">
        <v>229</v>
      </c>
      <c r="Q11204">
        <v>0</v>
      </c>
      <c r="R11204">
        <v>65</v>
      </c>
      <c r="S11204">
        <v>65</v>
      </c>
      <c r="T11204" t="s">
        <v>41116</v>
      </c>
    </row>
    <row r="11205" spans="1:20" customFormat="1" ht="15" x14ac:dyDescent="0.25">
      <c r="A11205" t="s">
        <v>35</v>
      </c>
      <c r="B11205" t="s">
        <v>61</v>
      </c>
      <c r="C11205" t="str">
        <f>"A0125780"</f>
        <v>A0125780</v>
      </c>
      <c r="D11205" t="s">
        <v>41117</v>
      </c>
      <c r="E11205" t="s">
        <v>41118</v>
      </c>
      <c r="F11205" t="s">
        <v>41112</v>
      </c>
      <c r="G11205" t="s">
        <v>29</v>
      </c>
      <c r="H11205">
        <v>22973</v>
      </c>
      <c r="I11205" t="s">
        <v>30</v>
      </c>
      <c r="J11205" t="s">
        <v>41</v>
      </c>
      <c r="K11205" t="s">
        <v>229</v>
      </c>
      <c r="Q11205">
        <v>0</v>
      </c>
      <c r="R11205">
        <v>60</v>
      </c>
      <c r="S11205">
        <v>60</v>
      </c>
      <c r="T11205" t="s">
        <v>41119</v>
      </c>
    </row>
    <row r="11206" spans="1:20" customFormat="1" ht="15" x14ac:dyDescent="0.25">
      <c r="A11206" t="s">
        <v>35</v>
      </c>
      <c r="B11206" t="s">
        <v>61</v>
      </c>
      <c r="C11206" t="str">
        <f>"A0126716"</f>
        <v>A0126716</v>
      </c>
      <c r="D11206" t="s">
        <v>41120</v>
      </c>
      <c r="E11206" t="s">
        <v>41121</v>
      </c>
      <c r="F11206" t="s">
        <v>4615</v>
      </c>
      <c r="G11206" t="s">
        <v>528</v>
      </c>
      <c r="H11206">
        <v>19713</v>
      </c>
      <c r="I11206" t="s">
        <v>30</v>
      </c>
      <c r="J11206" t="s">
        <v>41</v>
      </c>
      <c r="K11206" t="s">
        <v>229</v>
      </c>
      <c r="Q11206">
        <v>0</v>
      </c>
      <c r="R11206">
        <v>32</v>
      </c>
      <c r="S11206">
        <v>32</v>
      </c>
      <c r="T11206" t="s">
        <v>41122</v>
      </c>
    </row>
    <row r="11207" spans="1:20" customFormat="1" ht="15" x14ac:dyDescent="0.25">
      <c r="A11207" t="s">
        <v>35</v>
      </c>
      <c r="B11207" t="s">
        <v>61</v>
      </c>
      <c r="C11207" t="str">
        <f>"A0124160"</f>
        <v>A0124160</v>
      </c>
      <c r="D11207" t="s">
        <v>41123</v>
      </c>
      <c r="E11207" t="s">
        <v>41124</v>
      </c>
      <c r="F11207" t="s">
        <v>25831</v>
      </c>
      <c r="G11207" t="s">
        <v>90</v>
      </c>
      <c r="H11207">
        <v>2822</v>
      </c>
      <c r="I11207" t="s">
        <v>30</v>
      </c>
      <c r="J11207" t="s">
        <v>41</v>
      </c>
      <c r="K11207" t="s">
        <v>59</v>
      </c>
      <c r="Q11207">
        <v>0</v>
      </c>
      <c r="R11207">
        <v>20</v>
      </c>
      <c r="S11207">
        <v>20</v>
      </c>
      <c r="T11207" t="s">
        <v>41125</v>
      </c>
    </row>
    <row r="11208" spans="1:20" customFormat="1" ht="15" x14ac:dyDescent="0.25">
      <c r="A11208" t="s">
        <v>35</v>
      </c>
      <c r="B11208" t="s">
        <v>61</v>
      </c>
      <c r="C11208" t="str">
        <f>"A0130397"</f>
        <v>A0130397</v>
      </c>
      <c r="D11208" t="s">
        <v>41126</v>
      </c>
      <c r="E11208" t="s">
        <v>41127</v>
      </c>
      <c r="F11208" t="s">
        <v>41128</v>
      </c>
      <c r="G11208" t="s">
        <v>1898</v>
      </c>
      <c r="H11208">
        <v>50076</v>
      </c>
      <c r="I11208" t="s">
        <v>30</v>
      </c>
      <c r="J11208" t="s">
        <v>41</v>
      </c>
      <c r="K11208" t="s">
        <v>229</v>
      </c>
      <c r="Q11208">
        <v>0</v>
      </c>
      <c r="R11208">
        <v>60</v>
      </c>
      <c r="S11208">
        <v>60</v>
      </c>
      <c r="T11208" t="s">
        <v>41129</v>
      </c>
    </row>
    <row r="11209" spans="1:20" customFormat="1" ht="15" x14ac:dyDescent="0.25">
      <c r="A11209" t="s">
        <v>35</v>
      </c>
      <c r="B11209" t="s">
        <v>61</v>
      </c>
      <c r="C11209" t="str">
        <f>"A0124500"</f>
        <v>A0124500</v>
      </c>
      <c r="D11209" t="s">
        <v>41130</v>
      </c>
      <c r="E11209" t="s">
        <v>41131</v>
      </c>
      <c r="F11209" t="s">
        <v>41132</v>
      </c>
      <c r="G11209" t="s">
        <v>1706</v>
      </c>
      <c r="H11209">
        <v>363010000</v>
      </c>
      <c r="I11209" t="s">
        <v>30</v>
      </c>
      <c r="J11209" t="s">
        <v>41</v>
      </c>
      <c r="K11209" t="s">
        <v>229</v>
      </c>
      <c r="Q11209">
        <v>0</v>
      </c>
      <c r="R11209">
        <v>132</v>
      </c>
      <c r="S11209">
        <v>132</v>
      </c>
      <c r="T11209" t="s">
        <v>41133</v>
      </c>
    </row>
    <row r="11210" spans="1:20" customFormat="1" ht="15" x14ac:dyDescent="0.25">
      <c r="A11210" t="s">
        <v>35</v>
      </c>
      <c r="B11210" t="s">
        <v>61</v>
      </c>
      <c r="C11210" t="str">
        <f>"A0123725"</f>
        <v>A0123725</v>
      </c>
      <c r="D11210" t="s">
        <v>41134</v>
      </c>
      <c r="E11210" t="s">
        <v>41135</v>
      </c>
      <c r="F11210" t="s">
        <v>4108</v>
      </c>
      <c r="G11210" t="s">
        <v>29</v>
      </c>
      <c r="H11210">
        <v>24018</v>
      </c>
      <c r="I11210" t="s">
        <v>30</v>
      </c>
      <c r="J11210" t="s">
        <v>41</v>
      </c>
      <c r="K11210" t="s">
        <v>41136</v>
      </c>
      <c r="Q11210">
        <v>0</v>
      </c>
      <c r="R11210">
        <v>0</v>
      </c>
      <c r="S11210">
        <v>0</v>
      </c>
    </row>
    <row r="11211" spans="1:20" customFormat="1" ht="15" x14ac:dyDescent="0.25">
      <c r="A11211" t="s">
        <v>35</v>
      </c>
      <c r="B11211" t="s">
        <v>61</v>
      </c>
      <c r="C11211" t="str">
        <f>"A0128132"</f>
        <v>A0128132</v>
      </c>
      <c r="D11211" t="s">
        <v>41137</v>
      </c>
      <c r="E11211" t="s">
        <v>41138</v>
      </c>
      <c r="F11211" t="s">
        <v>41139</v>
      </c>
      <c r="G11211" t="s">
        <v>117</v>
      </c>
      <c r="H11211">
        <v>49240</v>
      </c>
      <c r="I11211" t="s">
        <v>30</v>
      </c>
      <c r="J11211" t="s">
        <v>41</v>
      </c>
      <c r="K11211" t="s">
        <v>42</v>
      </c>
      <c r="Q11211">
        <v>0</v>
      </c>
      <c r="R11211">
        <v>0</v>
      </c>
      <c r="S11211">
        <v>0</v>
      </c>
      <c r="T11211" t="s">
        <v>41140</v>
      </c>
    </row>
    <row r="11212" spans="1:20" customFormat="1" ht="15" x14ac:dyDescent="0.25">
      <c r="A11212" t="s">
        <v>35</v>
      </c>
      <c r="B11212" t="s">
        <v>61</v>
      </c>
      <c r="C11212" t="str">
        <f>"A0127633"</f>
        <v>A0127633</v>
      </c>
      <c r="D11212" t="s">
        <v>41141</v>
      </c>
      <c r="E11212" t="s">
        <v>41142</v>
      </c>
      <c r="F11212" t="s">
        <v>41143</v>
      </c>
      <c r="G11212" t="s">
        <v>123</v>
      </c>
      <c r="H11212">
        <v>21713</v>
      </c>
      <c r="I11212" t="s">
        <v>30</v>
      </c>
      <c r="J11212" t="s">
        <v>41</v>
      </c>
      <c r="K11212" t="s">
        <v>229</v>
      </c>
      <c r="Q11212">
        <v>0</v>
      </c>
      <c r="R11212">
        <v>101</v>
      </c>
      <c r="S11212">
        <v>101</v>
      </c>
      <c r="T11212" t="s">
        <v>41144</v>
      </c>
    </row>
    <row r="11213" spans="1:20" customFormat="1" ht="15" x14ac:dyDescent="0.25">
      <c r="A11213" t="s">
        <v>35</v>
      </c>
      <c r="B11213" t="s">
        <v>61</v>
      </c>
      <c r="C11213" t="str">
        <f>"A0124817"</f>
        <v>A0124817</v>
      </c>
      <c r="D11213" t="s">
        <v>41145</v>
      </c>
      <c r="E11213" t="s">
        <v>41146</v>
      </c>
      <c r="F11213" t="s">
        <v>41147</v>
      </c>
      <c r="G11213" t="s">
        <v>214</v>
      </c>
      <c r="H11213">
        <v>28018</v>
      </c>
      <c r="I11213" t="s">
        <v>30</v>
      </c>
      <c r="J11213" t="s">
        <v>41</v>
      </c>
      <c r="K11213" t="s">
        <v>229</v>
      </c>
      <c r="Q11213">
        <v>0</v>
      </c>
      <c r="R11213">
        <v>67</v>
      </c>
      <c r="S11213">
        <v>67</v>
      </c>
      <c r="T11213" t="s">
        <v>41148</v>
      </c>
    </row>
    <row r="11214" spans="1:20" customFormat="1" ht="15" x14ac:dyDescent="0.25">
      <c r="A11214" t="s">
        <v>35</v>
      </c>
      <c r="B11214" t="s">
        <v>61</v>
      </c>
      <c r="C11214" t="str">
        <f>"A0124442"</f>
        <v>A0124442</v>
      </c>
      <c r="D11214" t="s">
        <v>41149</v>
      </c>
      <c r="E11214" t="s">
        <v>41150</v>
      </c>
      <c r="F11214" t="s">
        <v>41151</v>
      </c>
      <c r="G11214" t="s">
        <v>214</v>
      </c>
      <c r="H11214">
        <v>28043</v>
      </c>
      <c r="I11214" t="s">
        <v>30</v>
      </c>
      <c r="J11214" t="s">
        <v>41</v>
      </c>
      <c r="K11214" t="s">
        <v>229</v>
      </c>
      <c r="Q11214">
        <v>0</v>
      </c>
      <c r="R11214">
        <v>100</v>
      </c>
      <c r="S11214">
        <v>100</v>
      </c>
      <c r="T11214" t="s">
        <v>41152</v>
      </c>
    </row>
    <row r="11215" spans="1:20" customFormat="1" ht="15" x14ac:dyDescent="0.25">
      <c r="A11215" t="s">
        <v>35</v>
      </c>
      <c r="B11215" t="s">
        <v>61</v>
      </c>
      <c r="C11215" t="str">
        <f>"A0118391"</f>
        <v>A0118391</v>
      </c>
      <c r="D11215" t="s">
        <v>41153</v>
      </c>
      <c r="E11215" t="s">
        <v>41154</v>
      </c>
      <c r="F11215" t="s">
        <v>9124</v>
      </c>
      <c r="G11215" t="s">
        <v>110</v>
      </c>
      <c r="H11215">
        <v>956080000</v>
      </c>
      <c r="I11215" t="s">
        <v>30</v>
      </c>
      <c r="J11215" t="s">
        <v>41</v>
      </c>
      <c r="K11215" t="s">
        <v>59</v>
      </c>
      <c r="Q11215">
        <v>0</v>
      </c>
      <c r="R11215">
        <v>51</v>
      </c>
      <c r="S11215">
        <v>51</v>
      </c>
      <c r="T11215" t="s">
        <v>41155</v>
      </c>
    </row>
    <row r="11216" spans="1:20" customFormat="1" ht="15" x14ac:dyDescent="0.25">
      <c r="A11216" t="s">
        <v>35</v>
      </c>
      <c r="B11216" t="s">
        <v>61</v>
      </c>
      <c r="C11216" t="str">
        <f>"A0128584"</f>
        <v>A0128584</v>
      </c>
      <c r="D11216" t="s">
        <v>41156</v>
      </c>
      <c r="E11216" t="s">
        <v>41157</v>
      </c>
      <c r="F11216" t="s">
        <v>13957</v>
      </c>
      <c r="G11216" t="s">
        <v>840</v>
      </c>
      <c r="H11216">
        <v>42629</v>
      </c>
      <c r="I11216" t="s">
        <v>30</v>
      </c>
      <c r="J11216" t="s">
        <v>41</v>
      </c>
      <c r="K11216" t="s">
        <v>229</v>
      </c>
      <c r="Q11216">
        <v>0</v>
      </c>
      <c r="R11216">
        <v>114</v>
      </c>
      <c r="S11216">
        <v>114</v>
      </c>
      <c r="T11216" t="s">
        <v>13958</v>
      </c>
    </row>
    <row r="11217" spans="1:20" customFormat="1" ht="15" x14ac:dyDescent="0.25">
      <c r="A11217" t="s">
        <v>35</v>
      </c>
      <c r="B11217" t="s">
        <v>61</v>
      </c>
      <c r="C11217" t="str">
        <f>"A0125203"</f>
        <v>A0125203</v>
      </c>
      <c r="D11217" t="s">
        <v>41158</v>
      </c>
      <c r="E11217" t="s">
        <v>41159</v>
      </c>
      <c r="F11217" t="s">
        <v>41160</v>
      </c>
      <c r="G11217" t="s">
        <v>40</v>
      </c>
      <c r="H11217">
        <v>74350</v>
      </c>
      <c r="I11217" t="s">
        <v>30</v>
      </c>
      <c r="J11217" t="s">
        <v>41</v>
      </c>
      <c r="K11217" t="s">
        <v>59</v>
      </c>
      <c r="Q11217">
        <v>0</v>
      </c>
      <c r="R11217">
        <v>40</v>
      </c>
      <c r="S11217">
        <v>40</v>
      </c>
      <c r="T11217" t="s">
        <v>41161</v>
      </c>
    </row>
    <row r="11218" spans="1:20" customFormat="1" ht="15" x14ac:dyDescent="0.25">
      <c r="A11218" t="s">
        <v>35</v>
      </c>
      <c r="B11218" t="s">
        <v>61</v>
      </c>
      <c r="C11218" t="str">
        <f>"A0118884"</f>
        <v>A0118884</v>
      </c>
      <c r="D11218" t="s">
        <v>41162</v>
      </c>
      <c r="E11218" t="s">
        <v>41163</v>
      </c>
      <c r="F11218" t="s">
        <v>14779</v>
      </c>
      <c r="G11218" t="s">
        <v>110</v>
      </c>
      <c r="H11218">
        <v>95628</v>
      </c>
      <c r="I11218" t="s">
        <v>30</v>
      </c>
      <c r="J11218" t="s">
        <v>41</v>
      </c>
      <c r="K11218" t="s">
        <v>229</v>
      </c>
      <c r="Q11218">
        <v>0</v>
      </c>
      <c r="R11218">
        <v>6</v>
      </c>
      <c r="S11218">
        <v>6</v>
      </c>
      <c r="T11218" t="s">
        <v>41164</v>
      </c>
    </row>
    <row r="11219" spans="1:20" customFormat="1" ht="15" x14ac:dyDescent="0.25">
      <c r="A11219" t="s">
        <v>35</v>
      </c>
      <c r="B11219" t="s">
        <v>61</v>
      </c>
      <c r="C11219" t="str">
        <f>"A0125606"</f>
        <v>A0125606</v>
      </c>
      <c r="D11219" t="s">
        <v>41165</v>
      </c>
      <c r="E11219" t="s">
        <v>41166</v>
      </c>
      <c r="F11219" t="s">
        <v>1783</v>
      </c>
      <c r="G11219" t="s">
        <v>52</v>
      </c>
      <c r="H11219">
        <v>76652</v>
      </c>
      <c r="I11219" t="s">
        <v>30</v>
      </c>
      <c r="J11219" t="s">
        <v>41</v>
      </c>
      <c r="K11219" t="s">
        <v>229</v>
      </c>
      <c r="Q11219">
        <v>0</v>
      </c>
      <c r="R11219">
        <v>160</v>
      </c>
      <c r="S11219">
        <v>160</v>
      </c>
      <c r="T11219" t="s">
        <v>41167</v>
      </c>
    </row>
    <row r="11220" spans="1:20" customFormat="1" ht="15" x14ac:dyDescent="0.25">
      <c r="A11220" t="s">
        <v>35</v>
      </c>
      <c r="B11220" t="s">
        <v>61</v>
      </c>
      <c r="C11220" t="str">
        <f>"A0123726"</f>
        <v>A0123726</v>
      </c>
      <c r="D11220" t="s">
        <v>41168</v>
      </c>
      <c r="E11220" t="s">
        <v>37525</v>
      </c>
      <c r="F11220" t="s">
        <v>37526</v>
      </c>
      <c r="G11220" t="s">
        <v>29</v>
      </c>
      <c r="H11220">
        <v>220602703</v>
      </c>
      <c r="I11220" t="s">
        <v>30</v>
      </c>
      <c r="J11220" t="s">
        <v>41</v>
      </c>
      <c r="K11220" t="s">
        <v>482</v>
      </c>
      <c r="Q11220">
        <v>0</v>
      </c>
      <c r="R11220">
        <v>55</v>
      </c>
      <c r="S11220">
        <v>55</v>
      </c>
      <c r="T11220" t="s">
        <v>37527</v>
      </c>
    </row>
    <row r="11221" spans="1:20" customFormat="1" ht="15" x14ac:dyDescent="0.25">
      <c r="A11221" t="s">
        <v>35</v>
      </c>
      <c r="B11221" t="s">
        <v>61</v>
      </c>
      <c r="C11221" t="str">
        <f>"A0131121"</f>
        <v>A0131121</v>
      </c>
      <c r="D11221" t="s">
        <v>41169</v>
      </c>
      <c r="E11221" t="s">
        <v>41170</v>
      </c>
      <c r="F11221" t="s">
        <v>41171</v>
      </c>
      <c r="G11221" t="s">
        <v>85</v>
      </c>
      <c r="H11221">
        <v>720880000</v>
      </c>
      <c r="I11221" t="s">
        <v>30</v>
      </c>
      <c r="J11221" t="s">
        <v>41</v>
      </c>
      <c r="K11221" t="s">
        <v>2760</v>
      </c>
      <c r="Q11221">
        <v>0</v>
      </c>
      <c r="R11221">
        <v>1</v>
      </c>
      <c r="S11221">
        <v>1</v>
      </c>
      <c r="T11221" t="s">
        <v>41172</v>
      </c>
    </row>
    <row r="11222" spans="1:20" customFormat="1" ht="15" x14ac:dyDescent="0.25">
      <c r="A11222" t="s">
        <v>35</v>
      </c>
      <c r="B11222" t="s">
        <v>61</v>
      </c>
      <c r="C11222" t="str">
        <f>"A0124535"</f>
        <v>A0124535</v>
      </c>
      <c r="D11222" t="s">
        <v>41173</v>
      </c>
      <c r="E11222" t="s">
        <v>41174</v>
      </c>
      <c r="F11222" t="s">
        <v>41175</v>
      </c>
      <c r="G11222" t="s">
        <v>1369</v>
      </c>
      <c r="H11222">
        <v>38901</v>
      </c>
      <c r="I11222" t="s">
        <v>30</v>
      </c>
      <c r="J11222" t="s">
        <v>41</v>
      </c>
      <c r="K11222" t="s">
        <v>59</v>
      </c>
      <c r="Q11222">
        <v>0</v>
      </c>
      <c r="R11222">
        <v>36</v>
      </c>
      <c r="S11222">
        <v>36</v>
      </c>
      <c r="T11222" t="s">
        <v>41176</v>
      </c>
    </row>
    <row r="11223" spans="1:20" customFormat="1" ht="15" x14ac:dyDescent="0.25">
      <c r="A11223" t="s">
        <v>35</v>
      </c>
      <c r="B11223" t="s">
        <v>437</v>
      </c>
      <c r="C11223" t="str">
        <f>"A0135121"</f>
        <v>A0135121</v>
      </c>
      <c r="D11223" t="s">
        <v>41177</v>
      </c>
      <c r="E11223" t="s">
        <v>41178</v>
      </c>
      <c r="F11223" t="s">
        <v>3339</v>
      </c>
      <c r="G11223" t="s">
        <v>99</v>
      </c>
      <c r="H11223">
        <v>13601</v>
      </c>
      <c r="I11223" t="s">
        <v>30</v>
      </c>
      <c r="J11223" t="s">
        <v>441</v>
      </c>
      <c r="K11223" t="s">
        <v>442</v>
      </c>
      <c r="Q11223">
        <v>0</v>
      </c>
      <c r="R11223">
        <v>0</v>
      </c>
      <c r="S11223">
        <v>0</v>
      </c>
      <c r="T11223" t="s">
        <v>41179</v>
      </c>
    </row>
    <row r="11224" spans="1:20" customFormat="1" ht="15" x14ac:dyDescent="0.25">
      <c r="A11224" t="s">
        <v>35</v>
      </c>
      <c r="B11224" t="s">
        <v>61</v>
      </c>
      <c r="C11224" t="str">
        <f>"A0129079"</f>
        <v>A0129079</v>
      </c>
      <c r="D11224" t="s">
        <v>41180</v>
      </c>
      <c r="E11224" t="s">
        <v>41181</v>
      </c>
      <c r="F11224" t="s">
        <v>9205</v>
      </c>
      <c r="G11224" t="s">
        <v>289</v>
      </c>
      <c r="H11224">
        <v>61108</v>
      </c>
      <c r="I11224" t="s">
        <v>30</v>
      </c>
      <c r="J11224" t="s">
        <v>41</v>
      </c>
      <c r="K11224" t="s">
        <v>229</v>
      </c>
      <c r="Q11224">
        <v>0</v>
      </c>
      <c r="R11224">
        <v>96</v>
      </c>
      <c r="S11224">
        <v>96</v>
      </c>
      <c r="T11224" t="s">
        <v>41182</v>
      </c>
    </row>
    <row r="11225" spans="1:20" customFormat="1" ht="15" x14ac:dyDescent="0.25">
      <c r="A11225" t="s">
        <v>35</v>
      </c>
      <c r="B11225" t="s">
        <v>61</v>
      </c>
      <c r="C11225" t="str">
        <f>"A0124161"</f>
        <v>A0124161</v>
      </c>
      <c r="D11225" t="s">
        <v>41183</v>
      </c>
      <c r="E11225" t="s">
        <v>41184</v>
      </c>
      <c r="F11225" t="s">
        <v>39817</v>
      </c>
      <c r="G11225" t="s">
        <v>123</v>
      </c>
      <c r="H11225">
        <v>21784</v>
      </c>
      <c r="I11225" t="s">
        <v>30</v>
      </c>
      <c r="J11225" t="s">
        <v>41</v>
      </c>
      <c r="K11225" t="s">
        <v>59</v>
      </c>
      <c r="Q11225">
        <v>0</v>
      </c>
      <c r="R11225">
        <v>450</v>
      </c>
      <c r="S11225">
        <v>450</v>
      </c>
      <c r="T11225" t="s">
        <v>41185</v>
      </c>
    </row>
    <row r="11226" spans="1:20" customFormat="1" ht="15" x14ac:dyDescent="0.25">
      <c r="A11226" t="s">
        <v>35</v>
      </c>
      <c r="B11226" t="s">
        <v>61</v>
      </c>
      <c r="C11226" t="str">
        <f>"A0123727"</f>
        <v>A0123727</v>
      </c>
      <c r="D11226" t="s">
        <v>41186</v>
      </c>
      <c r="E11226" t="s">
        <v>41187</v>
      </c>
      <c r="F11226" t="s">
        <v>26351</v>
      </c>
      <c r="G11226" t="s">
        <v>29</v>
      </c>
      <c r="H11226">
        <v>24521</v>
      </c>
      <c r="I11226" t="s">
        <v>30</v>
      </c>
      <c r="J11226" t="s">
        <v>41</v>
      </c>
      <c r="K11226" t="s">
        <v>229</v>
      </c>
      <c r="Q11226">
        <v>0</v>
      </c>
      <c r="R11226">
        <v>120</v>
      </c>
      <c r="S11226">
        <v>120</v>
      </c>
      <c r="T11226" t="s">
        <v>41188</v>
      </c>
    </row>
    <row r="11227" spans="1:20" customFormat="1" ht="15" x14ac:dyDescent="0.25">
      <c r="A11227" t="s">
        <v>35</v>
      </c>
      <c r="B11227" t="s">
        <v>15175</v>
      </c>
      <c r="C11227" t="str">
        <f>"A0121475"</f>
        <v>A0121475</v>
      </c>
      <c r="D11227" t="s">
        <v>41189</v>
      </c>
      <c r="E11227" t="s">
        <v>41190</v>
      </c>
      <c r="F11227" t="s">
        <v>15178</v>
      </c>
      <c r="G11227" t="s">
        <v>3236</v>
      </c>
      <c r="H11227">
        <v>57709</v>
      </c>
      <c r="I11227" t="s">
        <v>30</v>
      </c>
      <c r="J11227" t="s">
        <v>41</v>
      </c>
      <c r="K11227" t="s">
        <v>59</v>
      </c>
      <c r="Q11227">
        <v>0</v>
      </c>
      <c r="R11227">
        <v>48</v>
      </c>
      <c r="S11227">
        <v>48</v>
      </c>
      <c r="T11227" t="s">
        <v>41191</v>
      </c>
    </row>
    <row r="11228" spans="1:20" customFormat="1" ht="15" x14ac:dyDescent="0.25">
      <c r="A11228" t="s">
        <v>35</v>
      </c>
      <c r="B11228" t="s">
        <v>61</v>
      </c>
      <c r="C11228" t="str">
        <f>"A0131535"</f>
        <v>A0131535</v>
      </c>
      <c r="D11228" t="s">
        <v>41192</v>
      </c>
      <c r="E11228" t="s">
        <v>41193</v>
      </c>
      <c r="F11228" t="s">
        <v>15520</v>
      </c>
      <c r="G11228" t="s">
        <v>381</v>
      </c>
      <c r="H11228">
        <v>469020000</v>
      </c>
      <c r="I11228" t="s">
        <v>30</v>
      </c>
      <c r="J11228" t="s">
        <v>41</v>
      </c>
      <c r="K11228" t="s">
        <v>229</v>
      </c>
      <c r="Q11228">
        <v>0</v>
      </c>
      <c r="R11228">
        <v>105</v>
      </c>
      <c r="S11228">
        <v>105</v>
      </c>
      <c r="T11228" t="s">
        <v>15521</v>
      </c>
    </row>
    <row r="11229" spans="1:20" customFormat="1" ht="15" x14ac:dyDescent="0.25">
      <c r="A11229" t="s">
        <v>35</v>
      </c>
      <c r="B11229" t="s">
        <v>61</v>
      </c>
      <c r="C11229" t="str">
        <f>"A0132836"</f>
        <v>A0132836</v>
      </c>
      <c r="D11229" t="s">
        <v>41194</v>
      </c>
      <c r="E11229" t="s">
        <v>41195</v>
      </c>
      <c r="F11229" t="s">
        <v>2299</v>
      </c>
      <c r="G11229" t="s">
        <v>65</v>
      </c>
      <c r="H11229">
        <v>43764</v>
      </c>
      <c r="I11229" t="s">
        <v>30</v>
      </c>
      <c r="J11229" t="s">
        <v>41</v>
      </c>
      <c r="K11229" t="s">
        <v>59</v>
      </c>
      <c r="Q11229">
        <v>0</v>
      </c>
      <c r="R11229">
        <v>50</v>
      </c>
      <c r="S11229">
        <v>50</v>
      </c>
      <c r="T11229" t="s">
        <v>41196</v>
      </c>
    </row>
    <row r="11230" spans="1:20" customFormat="1" ht="15" x14ac:dyDescent="0.25">
      <c r="A11230" t="s">
        <v>35</v>
      </c>
      <c r="B11230" t="s">
        <v>61</v>
      </c>
      <c r="C11230" t="str">
        <f>"A0125289"</f>
        <v>A0125289</v>
      </c>
      <c r="D11230" t="s">
        <v>41197</v>
      </c>
      <c r="E11230" t="s">
        <v>41198</v>
      </c>
      <c r="F11230" t="s">
        <v>41199</v>
      </c>
      <c r="G11230" t="s">
        <v>40</v>
      </c>
      <c r="H11230">
        <v>73737</v>
      </c>
      <c r="I11230" t="s">
        <v>30</v>
      </c>
      <c r="J11230" t="s">
        <v>41</v>
      </c>
      <c r="K11230" t="s">
        <v>229</v>
      </c>
      <c r="Q11230">
        <v>0</v>
      </c>
      <c r="R11230">
        <v>136</v>
      </c>
      <c r="S11230">
        <v>136</v>
      </c>
      <c r="T11230" t="s">
        <v>41200</v>
      </c>
    </row>
    <row r="11231" spans="1:20" customFormat="1" ht="15" x14ac:dyDescent="0.25">
      <c r="A11231" t="s">
        <v>35</v>
      </c>
      <c r="B11231" t="s">
        <v>61</v>
      </c>
      <c r="C11231" t="str">
        <f>"A0129451"</f>
        <v>A0129451</v>
      </c>
      <c r="D11231" t="s">
        <v>41201</v>
      </c>
      <c r="E11231" t="s">
        <v>41202</v>
      </c>
      <c r="F11231" t="s">
        <v>41203</v>
      </c>
      <c r="G11231" t="s">
        <v>289</v>
      </c>
      <c r="H11231">
        <v>61739</v>
      </c>
      <c r="I11231" t="s">
        <v>30</v>
      </c>
      <c r="J11231" t="s">
        <v>41</v>
      </c>
      <c r="K11231" t="s">
        <v>229</v>
      </c>
      <c r="Q11231">
        <v>0</v>
      </c>
      <c r="R11231">
        <v>63</v>
      </c>
      <c r="S11231">
        <v>63</v>
      </c>
      <c r="T11231" t="s">
        <v>41204</v>
      </c>
    </row>
    <row r="11232" spans="1:20" customFormat="1" ht="15" x14ac:dyDescent="0.25">
      <c r="A11232" t="s">
        <v>35</v>
      </c>
      <c r="B11232" t="s">
        <v>61</v>
      </c>
      <c r="C11232" t="str">
        <f>"A0131700"</f>
        <v>A0131700</v>
      </c>
      <c r="D11232" t="s">
        <v>41205</v>
      </c>
      <c r="E11232" t="s">
        <v>41206</v>
      </c>
      <c r="F11232" t="s">
        <v>41207</v>
      </c>
      <c r="G11232" t="s">
        <v>65</v>
      </c>
      <c r="H11232">
        <v>448200000</v>
      </c>
      <c r="I11232" t="s">
        <v>30</v>
      </c>
      <c r="J11232" t="s">
        <v>41</v>
      </c>
      <c r="K11232" t="s">
        <v>229</v>
      </c>
      <c r="Q11232">
        <v>0</v>
      </c>
      <c r="R11232">
        <v>75</v>
      </c>
      <c r="S11232">
        <v>75</v>
      </c>
      <c r="T11232" t="s">
        <v>41208</v>
      </c>
    </row>
    <row r="11233" spans="1:20" customFormat="1" ht="15" x14ac:dyDescent="0.25">
      <c r="A11233" t="s">
        <v>35</v>
      </c>
      <c r="B11233" t="s">
        <v>61</v>
      </c>
      <c r="C11233" t="str">
        <f>"A0129083"</f>
        <v>A0129083</v>
      </c>
      <c r="D11233" t="s">
        <v>41209</v>
      </c>
      <c r="E11233" t="s">
        <v>41210</v>
      </c>
      <c r="F11233" t="s">
        <v>41211</v>
      </c>
      <c r="G11233" t="s">
        <v>289</v>
      </c>
      <c r="H11233">
        <v>62832</v>
      </c>
      <c r="I11233" t="s">
        <v>30</v>
      </c>
      <c r="J11233" t="s">
        <v>41</v>
      </c>
      <c r="K11233" t="s">
        <v>229</v>
      </c>
      <c r="Q11233">
        <v>0</v>
      </c>
      <c r="R11233">
        <v>77</v>
      </c>
      <c r="S11233">
        <v>77</v>
      </c>
      <c r="T11233" t="s">
        <v>41212</v>
      </c>
    </row>
    <row r="11234" spans="1:20" customFormat="1" ht="15" x14ac:dyDescent="0.25">
      <c r="A11234" t="s">
        <v>35</v>
      </c>
      <c r="B11234" t="s">
        <v>61</v>
      </c>
      <c r="C11234" t="str">
        <f>"A0124031"</f>
        <v>A0124031</v>
      </c>
      <c r="D11234" t="s">
        <v>41213</v>
      </c>
      <c r="E11234" t="s">
        <v>41214</v>
      </c>
      <c r="F11234" t="s">
        <v>41215</v>
      </c>
      <c r="G11234" t="s">
        <v>58</v>
      </c>
      <c r="H11234">
        <v>29601</v>
      </c>
      <c r="I11234" t="s">
        <v>30</v>
      </c>
      <c r="J11234" t="s">
        <v>41</v>
      </c>
      <c r="K11234" t="s">
        <v>482</v>
      </c>
      <c r="Q11234">
        <v>0</v>
      </c>
      <c r="R11234">
        <v>60</v>
      </c>
      <c r="S11234">
        <v>60</v>
      </c>
      <c r="T11234" t="s">
        <v>41216</v>
      </c>
    </row>
    <row r="11235" spans="1:20" customFormat="1" ht="15" x14ac:dyDescent="0.25">
      <c r="A11235" t="s">
        <v>35</v>
      </c>
      <c r="B11235" t="s">
        <v>61</v>
      </c>
      <c r="C11235" t="str">
        <f>"A0130318"</f>
        <v>A0130318</v>
      </c>
      <c r="D11235" t="s">
        <v>41217</v>
      </c>
      <c r="E11235" t="s">
        <v>41218</v>
      </c>
      <c r="F11235" t="s">
        <v>41219</v>
      </c>
      <c r="G11235" t="s">
        <v>1898</v>
      </c>
      <c r="H11235">
        <v>50461</v>
      </c>
      <c r="I11235" t="s">
        <v>30</v>
      </c>
      <c r="J11235" t="s">
        <v>41</v>
      </c>
      <c r="K11235" t="s">
        <v>229</v>
      </c>
      <c r="Q11235">
        <v>0</v>
      </c>
      <c r="R11235">
        <v>60</v>
      </c>
      <c r="S11235">
        <v>60</v>
      </c>
      <c r="T11235" t="s">
        <v>41220</v>
      </c>
    </row>
    <row r="11236" spans="1:20" customFormat="1" ht="15" x14ac:dyDescent="0.25">
      <c r="A11236" t="s">
        <v>35</v>
      </c>
      <c r="B11236" t="s">
        <v>61</v>
      </c>
      <c r="C11236" t="str">
        <f>"A0126796"</f>
        <v>A0126796</v>
      </c>
      <c r="D11236" t="s">
        <v>41221</v>
      </c>
      <c r="E11236" t="s">
        <v>41222</v>
      </c>
      <c r="F11236" t="s">
        <v>2719</v>
      </c>
      <c r="G11236" t="s">
        <v>103</v>
      </c>
      <c r="H11236">
        <v>17517</v>
      </c>
      <c r="I11236" t="s">
        <v>30</v>
      </c>
      <c r="J11236" t="s">
        <v>41</v>
      </c>
      <c r="K11236" t="s">
        <v>59</v>
      </c>
      <c r="Q11236">
        <v>0</v>
      </c>
      <c r="R11236">
        <v>75</v>
      </c>
      <c r="S11236">
        <v>75</v>
      </c>
      <c r="T11236" t="s">
        <v>41223</v>
      </c>
    </row>
    <row r="11237" spans="1:20" customFormat="1" ht="15" x14ac:dyDescent="0.25">
      <c r="A11237" t="s">
        <v>35</v>
      </c>
      <c r="B11237" t="s">
        <v>61</v>
      </c>
      <c r="C11237" t="str">
        <f>"A0122592"</f>
        <v>A0122592</v>
      </c>
      <c r="D11237" t="s">
        <v>41224</v>
      </c>
      <c r="E11237" t="s">
        <v>41225</v>
      </c>
      <c r="F11237" t="s">
        <v>41226</v>
      </c>
      <c r="G11237" t="s">
        <v>76</v>
      </c>
      <c r="H11237">
        <v>98198</v>
      </c>
      <c r="I11237" t="s">
        <v>30</v>
      </c>
      <c r="J11237" t="s">
        <v>41</v>
      </c>
      <c r="K11237" t="s">
        <v>59</v>
      </c>
      <c r="Q11237">
        <v>0</v>
      </c>
      <c r="R11237">
        <v>91</v>
      </c>
      <c r="S11237">
        <v>91</v>
      </c>
      <c r="T11237" t="s">
        <v>41227</v>
      </c>
    </row>
    <row r="11238" spans="1:20" customFormat="1" ht="15" x14ac:dyDescent="0.25">
      <c r="A11238" t="s">
        <v>35</v>
      </c>
      <c r="B11238" t="s">
        <v>61</v>
      </c>
      <c r="C11238" t="str">
        <f>"A0125889"</f>
        <v>A0125889</v>
      </c>
      <c r="D11238" t="s">
        <v>41228</v>
      </c>
      <c r="E11238" t="s">
        <v>41229</v>
      </c>
      <c r="F11238" t="s">
        <v>41230</v>
      </c>
      <c r="G11238" t="s">
        <v>29</v>
      </c>
      <c r="H11238">
        <v>20165</v>
      </c>
      <c r="I11238" t="s">
        <v>30</v>
      </c>
      <c r="J11238" t="s">
        <v>41</v>
      </c>
      <c r="K11238" t="s">
        <v>1440</v>
      </c>
      <c r="Q11238">
        <v>0</v>
      </c>
      <c r="R11238">
        <v>500</v>
      </c>
      <c r="S11238">
        <v>500</v>
      </c>
      <c r="T11238" t="s">
        <v>41231</v>
      </c>
    </row>
    <row r="11239" spans="1:20" customFormat="1" ht="15" x14ac:dyDescent="0.25">
      <c r="A11239" t="s">
        <v>35</v>
      </c>
      <c r="B11239" t="s">
        <v>61</v>
      </c>
      <c r="C11239" t="str">
        <f>"A0152961"</f>
        <v>A0152961</v>
      </c>
      <c r="D11239" t="s">
        <v>41232</v>
      </c>
      <c r="E11239" t="s">
        <v>41233</v>
      </c>
      <c r="F11239" t="s">
        <v>10570</v>
      </c>
      <c r="G11239" t="s">
        <v>81</v>
      </c>
      <c r="H11239">
        <v>33073</v>
      </c>
      <c r="I11239" t="s">
        <v>30</v>
      </c>
      <c r="J11239" t="s">
        <v>41</v>
      </c>
      <c r="K11239" t="s">
        <v>42</v>
      </c>
      <c r="Q11239">
        <v>0</v>
      </c>
      <c r="R11239">
        <v>0</v>
      </c>
      <c r="S11239">
        <v>0</v>
      </c>
      <c r="T11239" t="s">
        <v>41234</v>
      </c>
    </row>
    <row r="11240" spans="1:20" customFormat="1" ht="15" x14ac:dyDescent="0.25">
      <c r="A11240" t="s">
        <v>35</v>
      </c>
      <c r="B11240" t="s">
        <v>8342</v>
      </c>
      <c r="C11240" t="str">
        <f>"A0125159"</f>
        <v>A0125159</v>
      </c>
      <c r="D11240" t="s">
        <v>41235</v>
      </c>
      <c r="E11240" t="s">
        <v>41236</v>
      </c>
      <c r="F11240" t="s">
        <v>41237</v>
      </c>
      <c r="G11240" t="s">
        <v>40</v>
      </c>
      <c r="H11240">
        <v>79502</v>
      </c>
      <c r="I11240" t="s">
        <v>30</v>
      </c>
      <c r="J11240" t="s">
        <v>41</v>
      </c>
      <c r="K11240" t="s">
        <v>229</v>
      </c>
      <c r="Q11240">
        <v>0</v>
      </c>
      <c r="R11240">
        <v>60</v>
      </c>
      <c r="S11240">
        <v>60</v>
      </c>
      <c r="T11240" t="s">
        <v>41238</v>
      </c>
    </row>
    <row r="11241" spans="1:20" customFormat="1" ht="15" x14ac:dyDescent="0.25">
      <c r="A11241" t="s">
        <v>35</v>
      </c>
      <c r="B11241" t="s">
        <v>61</v>
      </c>
      <c r="C11241" t="str">
        <f>"A0125160"</f>
        <v>A0125160</v>
      </c>
      <c r="D11241" t="s">
        <v>41239</v>
      </c>
      <c r="E11241" t="s">
        <v>41240</v>
      </c>
      <c r="F11241" t="s">
        <v>24802</v>
      </c>
      <c r="G11241" t="s">
        <v>40</v>
      </c>
      <c r="H11241">
        <v>73439</v>
      </c>
      <c r="I11241" t="s">
        <v>30</v>
      </c>
      <c r="J11241" t="s">
        <v>41</v>
      </c>
      <c r="K11241" t="s">
        <v>229</v>
      </c>
      <c r="Q11241">
        <v>0</v>
      </c>
      <c r="R11241">
        <v>70</v>
      </c>
      <c r="S11241">
        <v>70</v>
      </c>
      <c r="T11241" t="s">
        <v>41241</v>
      </c>
    </row>
    <row r="11242" spans="1:20" customFormat="1" ht="15" x14ac:dyDescent="0.25">
      <c r="A11242" t="s">
        <v>35</v>
      </c>
      <c r="B11242" t="s">
        <v>61</v>
      </c>
      <c r="C11242" t="str">
        <f>"A0131583"</f>
        <v>A0131583</v>
      </c>
      <c r="D11242" t="s">
        <v>41242</v>
      </c>
      <c r="E11242" t="s">
        <v>41243</v>
      </c>
      <c r="F11242" t="s">
        <v>8622</v>
      </c>
      <c r="G11242" t="s">
        <v>381</v>
      </c>
      <c r="H11242">
        <v>462500000</v>
      </c>
      <c r="I11242" t="s">
        <v>30</v>
      </c>
      <c r="J11242" t="s">
        <v>41</v>
      </c>
      <c r="K11242" t="s">
        <v>4020</v>
      </c>
      <c r="Q11242">
        <v>0</v>
      </c>
      <c r="R11242">
        <v>1</v>
      </c>
      <c r="S11242">
        <v>1</v>
      </c>
      <c r="T11242" t="s">
        <v>41244</v>
      </c>
    </row>
    <row r="11243" spans="1:20" customFormat="1" ht="15" x14ac:dyDescent="0.25">
      <c r="A11243" t="s">
        <v>35</v>
      </c>
      <c r="B11243" t="s">
        <v>61</v>
      </c>
      <c r="C11243" t="str">
        <f>"A0127959"</f>
        <v>A0127959</v>
      </c>
      <c r="D11243" t="s">
        <v>41245</v>
      </c>
      <c r="E11243" t="s">
        <v>41246</v>
      </c>
      <c r="F11243" t="s">
        <v>13336</v>
      </c>
      <c r="G11243" t="s">
        <v>117</v>
      </c>
      <c r="H11243">
        <v>49037</v>
      </c>
      <c r="I11243" t="s">
        <v>30</v>
      </c>
      <c r="J11243" t="s">
        <v>41</v>
      </c>
      <c r="K11243" t="s">
        <v>4020</v>
      </c>
      <c r="Q11243">
        <v>0</v>
      </c>
      <c r="R11243">
        <v>0</v>
      </c>
      <c r="S11243">
        <v>0</v>
      </c>
      <c r="T11243" t="s">
        <v>41247</v>
      </c>
    </row>
    <row r="11244" spans="1:20" customFormat="1" ht="15" x14ac:dyDescent="0.25">
      <c r="A11244" t="s">
        <v>35</v>
      </c>
      <c r="B11244" t="s">
        <v>437</v>
      </c>
      <c r="C11244" t="str">
        <f>"A0133980"</f>
        <v>A0133980</v>
      </c>
      <c r="D11244" t="s">
        <v>41248</v>
      </c>
      <c r="E11244" t="s">
        <v>41249</v>
      </c>
      <c r="F11244" t="s">
        <v>41250</v>
      </c>
      <c r="G11244" t="s">
        <v>110</v>
      </c>
      <c r="H11244">
        <v>92231</v>
      </c>
      <c r="I11244" t="s">
        <v>30</v>
      </c>
      <c r="J11244" t="s">
        <v>441</v>
      </c>
      <c r="K11244" t="s">
        <v>442</v>
      </c>
      <c r="Q11244">
        <v>0</v>
      </c>
      <c r="R11244">
        <v>0</v>
      </c>
      <c r="S11244">
        <v>0</v>
      </c>
      <c r="T11244" t="s">
        <v>41251</v>
      </c>
    </row>
    <row r="11245" spans="1:20" customFormat="1" ht="15" x14ac:dyDescent="0.25">
      <c r="A11245" t="s">
        <v>35</v>
      </c>
      <c r="B11245" t="s">
        <v>61</v>
      </c>
      <c r="C11245" t="str">
        <f>"A0124162"</f>
        <v>A0124162</v>
      </c>
      <c r="D11245" t="s">
        <v>41252</v>
      </c>
      <c r="E11245" t="s">
        <v>41253</v>
      </c>
      <c r="F11245" t="s">
        <v>19847</v>
      </c>
      <c r="G11245" t="s">
        <v>103</v>
      </c>
      <c r="H11245">
        <v>17522</v>
      </c>
      <c r="I11245" t="s">
        <v>30</v>
      </c>
      <c r="J11245" t="s">
        <v>41</v>
      </c>
      <c r="K11245" t="s">
        <v>59</v>
      </c>
      <c r="Q11245">
        <v>0</v>
      </c>
      <c r="R11245">
        <v>127</v>
      </c>
      <c r="S11245">
        <v>127</v>
      </c>
      <c r="T11245" t="s">
        <v>41254</v>
      </c>
    </row>
    <row r="11246" spans="1:20" customFormat="1" ht="15" x14ac:dyDescent="0.25">
      <c r="A11246" t="s">
        <v>35</v>
      </c>
      <c r="B11246" t="s">
        <v>106</v>
      </c>
      <c r="C11246" t="str">
        <f>"A0136132"</f>
        <v>A0136132</v>
      </c>
      <c r="D11246" t="s">
        <v>41255</v>
      </c>
      <c r="E11246" t="s">
        <v>41256</v>
      </c>
      <c r="F11246" t="s">
        <v>5317</v>
      </c>
      <c r="G11246" t="s">
        <v>1706</v>
      </c>
      <c r="H11246">
        <v>36831</v>
      </c>
      <c r="I11246" t="s">
        <v>30</v>
      </c>
      <c r="J11246" t="s">
        <v>111</v>
      </c>
      <c r="K11246" t="s">
        <v>112</v>
      </c>
      <c r="Q11246">
        <v>0</v>
      </c>
      <c r="R11246">
        <v>0</v>
      </c>
      <c r="S11246">
        <v>0</v>
      </c>
      <c r="T11246" t="s">
        <v>41257</v>
      </c>
    </row>
    <row r="11247" spans="1:20" customFormat="1" ht="15" x14ac:dyDescent="0.25">
      <c r="A11247" t="s">
        <v>35</v>
      </c>
      <c r="B11247" t="s">
        <v>61</v>
      </c>
      <c r="C11247" t="str">
        <f>"A0131302"</f>
        <v>A0131302</v>
      </c>
      <c r="D11247" t="s">
        <v>41258</v>
      </c>
      <c r="E11247" t="s">
        <v>41259</v>
      </c>
      <c r="F11247" t="s">
        <v>10170</v>
      </c>
      <c r="G11247" t="s">
        <v>137</v>
      </c>
      <c r="H11247">
        <v>63640</v>
      </c>
      <c r="I11247" t="s">
        <v>30</v>
      </c>
      <c r="J11247" t="s">
        <v>41</v>
      </c>
      <c r="K11247" t="s">
        <v>36814</v>
      </c>
      <c r="Q11247">
        <v>0</v>
      </c>
      <c r="R11247">
        <v>1</v>
      </c>
      <c r="S11247">
        <v>1</v>
      </c>
      <c r="T11247" t="s">
        <v>41260</v>
      </c>
    </row>
    <row r="11248" spans="1:20" customFormat="1" ht="15" x14ac:dyDescent="0.25">
      <c r="A11248" t="s">
        <v>35</v>
      </c>
      <c r="B11248" t="s">
        <v>61</v>
      </c>
      <c r="C11248" t="str">
        <f>"A0130935"</f>
        <v>A0130935</v>
      </c>
      <c r="D11248" t="s">
        <v>41261</v>
      </c>
      <c r="E11248" t="s">
        <v>41262</v>
      </c>
      <c r="F11248" t="s">
        <v>10170</v>
      </c>
      <c r="G11248" t="s">
        <v>137</v>
      </c>
      <c r="H11248">
        <v>636400000</v>
      </c>
      <c r="I11248" t="s">
        <v>30</v>
      </c>
      <c r="J11248" t="s">
        <v>41</v>
      </c>
      <c r="K11248" t="s">
        <v>59</v>
      </c>
      <c r="Q11248">
        <v>0</v>
      </c>
      <c r="R11248">
        <v>70</v>
      </c>
      <c r="S11248">
        <v>70</v>
      </c>
      <c r="T11248" t="s">
        <v>41263</v>
      </c>
    </row>
    <row r="11249" spans="1:20" customFormat="1" ht="15" x14ac:dyDescent="0.25">
      <c r="A11249" t="s">
        <v>35</v>
      </c>
      <c r="B11249" t="s">
        <v>61</v>
      </c>
      <c r="C11249" t="str">
        <f>"A0131025"</f>
        <v>A0131025</v>
      </c>
      <c r="D11249" t="s">
        <v>41264</v>
      </c>
      <c r="E11249" t="s">
        <v>41265</v>
      </c>
      <c r="F11249" t="s">
        <v>10170</v>
      </c>
      <c r="G11249" t="s">
        <v>85</v>
      </c>
      <c r="H11249">
        <v>727300000</v>
      </c>
      <c r="I11249" t="s">
        <v>30</v>
      </c>
      <c r="J11249" t="s">
        <v>41</v>
      </c>
      <c r="K11249" t="s">
        <v>2760</v>
      </c>
      <c r="Q11249">
        <v>0</v>
      </c>
      <c r="R11249">
        <v>1</v>
      </c>
      <c r="S11249">
        <v>1</v>
      </c>
      <c r="T11249" t="s">
        <v>41266</v>
      </c>
    </row>
    <row r="11250" spans="1:20" customFormat="1" ht="15" x14ac:dyDescent="0.25">
      <c r="A11250" t="s">
        <v>35</v>
      </c>
      <c r="B11250" t="s">
        <v>61</v>
      </c>
      <c r="C11250" t="str">
        <f>"A0133015"</f>
        <v>A0133015</v>
      </c>
      <c r="D11250" t="s">
        <v>41267</v>
      </c>
      <c r="E11250" t="s">
        <v>41268</v>
      </c>
      <c r="F11250" t="s">
        <v>41269</v>
      </c>
      <c r="G11250" t="s">
        <v>52</v>
      </c>
      <c r="H11250">
        <v>79325</v>
      </c>
      <c r="I11250" t="s">
        <v>30</v>
      </c>
      <c r="J11250" t="s">
        <v>41</v>
      </c>
      <c r="K11250" t="s">
        <v>229</v>
      </c>
      <c r="Q11250">
        <v>0</v>
      </c>
      <c r="R11250">
        <v>75</v>
      </c>
      <c r="S11250">
        <v>75</v>
      </c>
      <c r="T11250" t="s">
        <v>41270</v>
      </c>
    </row>
    <row r="11251" spans="1:20" customFormat="1" ht="15" x14ac:dyDescent="0.25">
      <c r="A11251" t="s">
        <v>35</v>
      </c>
      <c r="B11251" t="s">
        <v>61</v>
      </c>
      <c r="C11251" t="str">
        <f>"A0124582"</f>
        <v>A0124582</v>
      </c>
      <c r="D11251" t="s">
        <v>41271</v>
      </c>
      <c r="E11251" t="s">
        <v>41272</v>
      </c>
      <c r="F11251" t="s">
        <v>11404</v>
      </c>
      <c r="G11251" t="s">
        <v>1706</v>
      </c>
      <c r="H11251">
        <v>361080000</v>
      </c>
      <c r="I11251" t="s">
        <v>30</v>
      </c>
      <c r="J11251" t="s">
        <v>41</v>
      </c>
      <c r="K11251" t="s">
        <v>229</v>
      </c>
      <c r="Q11251">
        <v>0</v>
      </c>
      <c r="R11251">
        <v>58</v>
      </c>
      <c r="S11251">
        <v>58</v>
      </c>
      <c r="T11251" t="s">
        <v>41273</v>
      </c>
    </row>
    <row r="11252" spans="1:20" customFormat="1" ht="15" x14ac:dyDescent="0.25">
      <c r="A11252" t="s">
        <v>35</v>
      </c>
      <c r="B11252" t="s">
        <v>106</v>
      </c>
      <c r="C11252" t="str">
        <f>"A0136129"</f>
        <v>A0136129</v>
      </c>
      <c r="D11252" t="s">
        <v>41274</v>
      </c>
      <c r="E11252" t="s">
        <v>41275</v>
      </c>
      <c r="F11252" t="s">
        <v>41276</v>
      </c>
      <c r="G11252" t="s">
        <v>1706</v>
      </c>
      <c r="H11252">
        <v>36117</v>
      </c>
      <c r="I11252" t="s">
        <v>30</v>
      </c>
      <c r="J11252" t="s">
        <v>111</v>
      </c>
      <c r="K11252" t="s">
        <v>112</v>
      </c>
      <c r="Q11252">
        <v>0</v>
      </c>
      <c r="R11252">
        <v>0</v>
      </c>
      <c r="S11252">
        <v>0</v>
      </c>
      <c r="T11252" t="s">
        <v>41277</v>
      </c>
    </row>
    <row r="11253" spans="1:20" customFormat="1" ht="15" x14ac:dyDescent="0.25">
      <c r="A11253" t="s">
        <v>35</v>
      </c>
      <c r="B11253" t="s">
        <v>61</v>
      </c>
      <c r="C11253" t="str">
        <f>"A0123728"</f>
        <v>A0123728</v>
      </c>
      <c r="D11253" t="s">
        <v>41278</v>
      </c>
      <c r="E11253" t="s">
        <v>41279</v>
      </c>
      <c r="F11253" t="s">
        <v>2756</v>
      </c>
      <c r="G11253" t="s">
        <v>29</v>
      </c>
      <c r="H11253">
        <v>20186</v>
      </c>
      <c r="I11253" t="s">
        <v>30</v>
      </c>
      <c r="J11253" t="s">
        <v>41</v>
      </c>
      <c r="K11253" t="s">
        <v>229</v>
      </c>
      <c r="Q11253">
        <v>0</v>
      </c>
      <c r="R11253">
        <v>115</v>
      </c>
      <c r="S11253">
        <v>115</v>
      </c>
      <c r="T11253" t="s">
        <v>41280</v>
      </c>
    </row>
    <row r="11254" spans="1:20" customFormat="1" ht="15" x14ac:dyDescent="0.25">
      <c r="A11254" t="s">
        <v>35</v>
      </c>
      <c r="B11254" t="s">
        <v>61</v>
      </c>
      <c r="C11254" t="str">
        <f>"A0123729"</f>
        <v>A0123729</v>
      </c>
      <c r="D11254" t="s">
        <v>41281</v>
      </c>
      <c r="E11254" t="s">
        <v>41282</v>
      </c>
      <c r="F11254" t="s">
        <v>2756</v>
      </c>
      <c r="G11254" t="s">
        <v>29</v>
      </c>
      <c r="H11254">
        <v>20186</v>
      </c>
      <c r="I11254" t="s">
        <v>30</v>
      </c>
      <c r="J11254" t="s">
        <v>41</v>
      </c>
      <c r="K11254" t="s">
        <v>2463</v>
      </c>
      <c r="Q11254">
        <v>0</v>
      </c>
      <c r="R11254">
        <v>0</v>
      </c>
      <c r="S11254">
        <v>0</v>
      </c>
      <c r="T11254" t="s">
        <v>41283</v>
      </c>
    </row>
    <row r="11255" spans="1:20" customFormat="1" ht="15" x14ac:dyDescent="0.25">
      <c r="A11255" t="s">
        <v>35</v>
      </c>
      <c r="B11255" t="s">
        <v>61</v>
      </c>
      <c r="C11255" t="str">
        <f>"A0131685"</f>
        <v>A0131685</v>
      </c>
      <c r="D11255" t="s">
        <v>41284</v>
      </c>
      <c r="E11255" t="s">
        <v>41285</v>
      </c>
      <c r="F11255" t="s">
        <v>12403</v>
      </c>
      <c r="G11255" t="s">
        <v>65</v>
      </c>
      <c r="H11255">
        <v>43160</v>
      </c>
      <c r="I11255" t="s">
        <v>30</v>
      </c>
      <c r="J11255" t="s">
        <v>41</v>
      </c>
      <c r="K11255" t="s">
        <v>8643</v>
      </c>
      <c r="Q11255">
        <v>0</v>
      </c>
      <c r="R11255">
        <v>1</v>
      </c>
      <c r="S11255">
        <v>1</v>
      </c>
      <c r="T11255" t="s">
        <v>41286</v>
      </c>
    </row>
    <row r="11256" spans="1:20" customFormat="1" ht="15" x14ac:dyDescent="0.25">
      <c r="A11256" t="s">
        <v>35</v>
      </c>
      <c r="B11256" t="s">
        <v>106</v>
      </c>
      <c r="C11256" t="str">
        <f>"A0135378"</f>
        <v>A0135378</v>
      </c>
      <c r="D11256" t="s">
        <v>41287</v>
      </c>
      <c r="E11256" t="s">
        <v>41288</v>
      </c>
      <c r="F11256" t="s">
        <v>1747</v>
      </c>
      <c r="G11256" t="s">
        <v>214</v>
      </c>
      <c r="H11256">
        <v>28304</v>
      </c>
      <c r="I11256" t="s">
        <v>30</v>
      </c>
      <c r="J11256" t="s">
        <v>111</v>
      </c>
      <c r="K11256" t="s">
        <v>112</v>
      </c>
      <c r="Q11256">
        <v>0</v>
      </c>
      <c r="R11256">
        <v>0</v>
      </c>
      <c r="S11256">
        <v>0</v>
      </c>
      <c r="T11256" t="s">
        <v>41289</v>
      </c>
    </row>
    <row r="11257" spans="1:20" customFormat="1" ht="15" x14ac:dyDescent="0.25">
      <c r="A11257" t="s">
        <v>35</v>
      </c>
      <c r="B11257" t="s">
        <v>106</v>
      </c>
      <c r="C11257" t="str">
        <f>"A0135966"</f>
        <v>A0135966</v>
      </c>
      <c r="D11257" t="s">
        <v>41290</v>
      </c>
      <c r="E11257" t="s">
        <v>41291</v>
      </c>
      <c r="F11257" t="s">
        <v>30435</v>
      </c>
      <c r="G11257" t="s">
        <v>1508</v>
      </c>
      <c r="H11257">
        <v>82520</v>
      </c>
      <c r="I11257" t="s">
        <v>30</v>
      </c>
      <c r="J11257" t="s">
        <v>111</v>
      </c>
      <c r="K11257" t="s">
        <v>112</v>
      </c>
      <c r="Q11257">
        <v>0</v>
      </c>
      <c r="R11257">
        <v>0</v>
      </c>
      <c r="S11257">
        <v>0</v>
      </c>
      <c r="T11257" t="s">
        <v>41292</v>
      </c>
    </row>
    <row r="11258" spans="1:20" customFormat="1" ht="15" x14ac:dyDescent="0.25">
      <c r="A11258" t="s">
        <v>35</v>
      </c>
      <c r="B11258" t="s">
        <v>106</v>
      </c>
      <c r="C11258" t="str">
        <f>"A0135967"</f>
        <v>A0135967</v>
      </c>
      <c r="D11258" t="s">
        <v>41293</v>
      </c>
      <c r="E11258" t="s">
        <v>41291</v>
      </c>
      <c r="F11258" t="s">
        <v>30435</v>
      </c>
      <c r="G11258" t="s">
        <v>1508</v>
      </c>
      <c r="H11258">
        <v>82520</v>
      </c>
      <c r="I11258" t="s">
        <v>30</v>
      </c>
      <c r="J11258" t="s">
        <v>111</v>
      </c>
      <c r="K11258" t="s">
        <v>112</v>
      </c>
      <c r="Q11258">
        <v>0</v>
      </c>
      <c r="R11258">
        <v>0</v>
      </c>
      <c r="S11258">
        <v>0</v>
      </c>
      <c r="T11258" t="s">
        <v>41292</v>
      </c>
    </row>
    <row r="11259" spans="1:20" customFormat="1" ht="15" x14ac:dyDescent="0.25">
      <c r="A11259" t="s">
        <v>35</v>
      </c>
      <c r="B11259" t="s">
        <v>106</v>
      </c>
      <c r="C11259" t="str">
        <f>"A0135969"</f>
        <v>A0135969</v>
      </c>
      <c r="D11259" t="s">
        <v>41294</v>
      </c>
      <c r="E11259" t="s">
        <v>41291</v>
      </c>
      <c r="F11259" t="s">
        <v>41295</v>
      </c>
      <c r="G11259" t="s">
        <v>1508</v>
      </c>
      <c r="H11259">
        <v>82520</v>
      </c>
      <c r="I11259" t="s">
        <v>30</v>
      </c>
      <c r="J11259" t="s">
        <v>111</v>
      </c>
      <c r="K11259" t="s">
        <v>112</v>
      </c>
      <c r="Q11259">
        <v>0</v>
      </c>
      <c r="R11259">
        <v>0</v>
      </c>
      <c r="S11259">
        <v>0</v>
      </c>
      <c r="T11259" t="s">
        <v>41292</v>
      </c>
    </row>
    <row r="11260" spans="1:20" customFormat="1" ht="15" x14ac:dyDescent="0.25">
      <c r="A11260" t="s">
        <v>35</v>
      </c>
      <c r="B11260" t="s">
        <v>106</v>
      </c>
      <c r="C11260" t="str">
        <f>"A0135970"</f>
        <v>A0135970</v>
      </c>
      <c r="D11260" t="s">
        <v>41296</v>
      </c>
      <c r="E11260" t="s">
        <v>41291</v>
      </c>
      <c r="F11260" t="s">
        <v>30435</v>
      </c>
      <c r="G11260" t="s">
        <v>1508</v>
      </c>
      <c r="H11260">
        <v>82520</v>
      </c>
      <c r="I11260" t="s">
        <v>30</v>
      </c>
      <c r="J11260" t="s">
        <v>111</v>
      </c>
      <c r="K11260" t="s">
        <v>112</v>
      </c>
      <c r="Q11260">
        <v>0</v>
      </c>
      <c r="R11260">
        <v>0</v>
      </c>
      <c r="S11260">
        <v>0</v>
      </c>
      <c r="T11260" t="s">
        <v>41292</v>
      </c>
    </row>
    <row r="11261" spans="1:20" customFormat="1" ht="15" x14ac:dyDescent="0.25">
      <c r="A11261" t="s">
        <v>35</v>
      </c>
      <c r="B11261" t="s">
        <v>106</v>
      </c>
      <c r="C11261" t="str">
        <f>"A0135971"</f>
        <v>A0135971</v>
      </c>
      <c r="D11261" t="s">
        <v>41297</v>
      </c>
      <c r="E11261" t="s">
        <v>41291</v>
      </c>
      <c r="F11261" t="s">
        <v>30435</v>
      </c>
      <c r="G11261" t="s">
        <v>1508</v>
      </c>
      <c r="H11261">
        <v>82520</v>
      </c>
      <c r="I11261" t="s">
        <v>30</v>
      </c>
      <c r="J11261" t="s">
        <v>111</v>
      </c>
      <c r="K11261" t="s">
        <v>112</v>
      </c>
      <c r="Q11261">
        <v>0</v>
      </c>
      <c r="R11261">
        <v>0</v>
      </c>
      <c r="S11261">
        <v>0</v>
      </c>
      <c r="T11261" t="s">
        <v>41292</v>
      </c>
    </row>
    <row r="11262" spans="1:20" customFormat="1" ht="15" x14ac:dyDescent="0.25">
      <c r="A11262" t="s">
        <v>35</v>
      </c>
      <c r="B11262" t="s">
        <v>106</v>
      </c>
      <c r="C11262" t="str">
        <f>"A0135968"</f>
        <v>A0135968</v>
      </c>
      <c r="D11262" t="s">
        <v>41298</v>
      </c>
      <c r="E11262" t="s">
        <v>41291</v>
      </c>
      <c r="F11262" t="s">
        <v>41295</v>
      </c>
      <c r="G11262" t="s">
        <v>1508</v>
      </c>
      <c r="H11262">
        <v>82520</v>
      </c>
      <c r="I11262" t="s">
        <v>30</v>
      </c>
      <c r="J11262" t="s">
        <v>111</v>
      </c>
      <c r="K11262" t="s">
        <v>112</v>
      </c>
      <c r="Q11262">
        <v>0</v>
      </c>
      <c r="R11262">
        <v>0</v>
      </c>
      <c r="S11262">
        <v>0</v>
      </c>
      <c r="T11262" t="s">
        <v>41292</v>
      </c>
    </row>
    <row r="11263" spans="1:20" customFormat="1" ht="15" x14ac:dyDescent="0.25">
      <c r="A11263" t="s">
        <v>35</v>
      </c>
      <c r="B11263" t="s">
        <v>61</v>
      </c>
      <c r="C11263" t="str">
        <f>"A0125477"</f>
        <v>A0125477</v>
      </c>
      <c r="D11263" t="s">
        <v>41299</v>
      </c>
      <c r="E11263" t="s">
        <v>41300</v>
      </c>
      <c r="F11263" t="s">
        <v>2704</v>
      </c>
      <c r="G11263" t="s">
        <v>40</v>
      </c>
      <c r="H11263">
        <v>74820</v>
      </c>
      <c r="I11263" t="s">
        <v>30</v>
      </c>
      <c r="J11263" t="s">
        <v>41</v>
      </c>
      <c r="K11263" t="s">
        <v>482</v>
      </c>
      <c r="Q11263">
        <v>0</v>
      </c>
      <c r="R11263">
        <v>40</v>
      </c>
      <c r="S11263">
        <v>40</v>
      </c>
      <c r="T11263" t="s">
        <v>41301</v>
      </c>
    </row>
    <row r="11264" spans="1:20" customFormat="1" ht="15" x14ac:dyDescent="0.25">
      <c r="A11264" t="s">
        <v>35</v>
      </c>
      <c r="B11264" t="s">
        <v>61</v>
      </c>
      <c r="C11264" t="str">
        <f>"A0125470"</f>
        <v>A0125470</v>
      </c>
      <c r="D11264" t="s">
        <v>41302</v>
      </c>
      <c r="E11264" t="s">
        <v>41303</v>
      </c>
      <c r="F11264" t="s">
        <v>9467</v>
      </c>
      <c r="G11264" t="s">
        <v>40</v>
      </c>
      <c r="H11264">
        <v>74701</v>
      </c>
      <c r="I11264" t="s">
        <v>30</v>
      </c>
      <c r="J11264" t="s">
        <v>41</v>
      </c>
      <c r="K11264" t="s">
        <v>482</v>
      </c>
      <c r="Q11264">
        <v>0</v>
      </c>
      <c r="R11264">
        <v>40</v>
      </c>
      <c r="S11264">
        <v>40</v>
      </c>
      <c r="T11264" t="s">
        <v>41304</v>
      </c>
    </row>
    <row r="11265" spans="1:20" customFormat="1" ht="15" x14ac:dyDescent="0.25">
      <c r="A11265" t="s">
        <v>35</v>
      </c>
      <c r="B11265" t="s">
        <v>61</v>
      </c>
      <c r="C11265" t="str">
        <f>"A0125465"</f>
        <v>A0125465</v>
      </c>
      <c r="D11265" t="s">
        <v>41305</v>
      </c>
      <c r="E11265" t="s">
        <v>41306</v>
      </c>
      <c r="F11265" t="s">
        <v>41307</v>
      </c>
      <c r="G11265" t="s">
        <v>40</v>
      </c>
      <c r="H11265">
        <v>73160</v>
      </c>
      <c r="I11265" t="s">
        <v>30</v>
      </c>
      <c r="J11265" t="s">
        <v>41</v>
      </c>
      <c r="K11265" t="s">
        <v>482</v>
      </c>
      <c r="Q11265">
        <v>0</v>
      </c>
      <c r="R11265">
        <v>45</v>
      </c>
      <c r="S11265">
        <v>45</v>
      </c>
      <c r="T11265" t="s">
        <v>41308</v>
      </c>
    </row>
    <row r="11266" spans="1:20" customFormat="1" ht="15" x14ac:dyDescent="0.25">
      <c r="A11266" t="s">
        <v>35</v>
      </c>
      <c r="B11266" t="s">
        <v>61</v>
      </c>
      <c r="C11266" t="str">
        <f>"A0131636"</f>
        <v>A0131636</v>
      </c>
      <c r="D11266" t="s">
        <v>41309</v>
      </c>
      <c r="E11266" t="s">
        <v>41310</v>
      </c>
      <c r="F11266" t="s">
        <v>1948</v>
      </c>
      <c r="G11266" t="s">
        <v>65</v>
      </c>
      <c r="H11266">
        <v>441070000</v>
      </c>
      <c r="I11266" t="s">
        <v>30</v>
      </c>
      <c r="J11266" t="s">
        <v>41</v>
      </c>
      <c r="K11266" t="s">
        <v>2477</v>
      </c>
      <c r="Q11266">
        <v>0</v>
      </c>
      <c r="R11266">
        <v>146</v>
      </c>
      <c r="S11266">
        <v>146</v>
      </c>
      <c r="T11266" t="s">
        <v>41311</v>
      </c>
    </row>
    <row r="11267" spans="1:20" customFormat="1" ht="15" x14ac:dyDescent="0.25">
      <c r="A11267" t="s">
        <v>35</v>
      </c>
      <c r="B11267" t="s">
        <v>61</v>
      </c>
      <c r="C11267" t="str">
        <f>"A0150698"</f>
        <v>A0150698</v>
      </c>
      <c r="D11267" t="s">
        <v>41312</v>
      </c>
      <c r="E11267" t="s">
        <v>41313</v>
      </c>
      <c r="F11267" t="s">
        <v>1795</v>
      </c>
      <c r="G11267" t="s">
        <v>29</v>
      </c>
      <c r="H11267">
        <v>23220</v>
      </c>
      <c r="I11267" t="s">
        <v>30</v>
      </c>
      <c r="J11267" t="s">
        <v>41</v>
      </c>
      <c r="K11267" t="s">
        <v>4020</v>
      </c>
      <c r="Q11267">
        <v>0</v>
      </c>
      <c r="R11267">
        <v>0</v>
      </c>
      <c r="S11267">
        <v>0</v>
      </c>
      <c r="T11267" t="s">
        <v>41314</v>
      </c>
    </row>
    <row r="11268" spans="1:20" customFormat="1" ht="15" x14ac:dyDescent="0.25">
      <c r="A11268" t="s">
        <v>35</v>
      </c>
      <c r="B11268" t="s">
        <v>61</v>
      </c>
      <c r="C11268" t="str">
        <f>"A0124163"</f>
        <v>A0124163</v>
      </c>
      <c r="D11268" t="s">
        <v>41315</v>
      </c>
      <c r="E11268" t="s">
        <v>41316</v>
      </c>
      <c r="F11268" t="s">
        <v>1731</v>
      </c>
      <c r="G11268" t="s">
        <v>52</v>
      </c>
      <c r="H11268">
        <v>75219</v>
      </c>
      <c r="I11268" t="s">
        <v>30</v>
      </c>
      <c r="J11268" t="s">
        <v>41</v>
      </c>
      <c r="K11268" t="s">
        <v>59</v>
      </c>
      <c r="Q11268">
        <v>0</v>
      </c>
      <c r="R11268">
        <v>52</v>
      </c>
      <c r="S11268">
        <v>52</v>
      </c>
      <c r="T11268" t="s">
        <v>41317</v>
      </c>
    </row>
    <row r="11269" spans="1:20" customFormat="1" ht="15" x14ac:dyDescent="0.25">
      <c r="A11269" t="s">
        <v>35</v>
      </c>
      <c r="B11269" t="s">
        <v>61</v>
      </c>
      <c r="C11269" t="str">
        <f>"A0127404"</f>
        <v>A0127404</v>
      </c>
      <c r="D11269" t="s">
        <v>41318</v>
      </c>
      <c r="E11269" t="s">
        <v>41319</v>
      </c>
      <c r="F11269" t="s">
        <v>35367</v>
      </c>
      <c r="G11269" t="s">
        <v>846</v>
      </c>
      <c r="H11269">
        <v>31061</v>
      </c>
      <c r="I11269" t="s">
        <v>30</v>
      </c>
      <c r="J11269" t="s">
        <v>41</v>
      </c>
      <c r="K11269" t="s">
        <v>59</v>
      </c>
      <c r="Q11269">
        <v>0</v>
      </c>
      <c r="R11269">
        <v>80</v>
      </c>
      <c r="S11269">
        <v>80</v>
      </c>
      <c r="T11269" t="s">
        <v>41320</v>
      </c>
    </row>
    <row r="11270" spans="1:20" customFormat="1" ht="15" x14ac:dyDescent="0.25">
      <c r="A11270" t="s">
        <v>35</v>
      </c>
      <c r="B11270" t="s">
        <v>61</v>
      </c>
      <c r="C11270" t="str">
        <f>"A0124167"</f>
        <v>A0124167</v>
      </c>
      <c r="D11270" t="s">
        <v>41321</v>
      </c>
      <c r="E11270" t="s">
        <v>41322</v>
      </c>
      <c r="F11270" t="s">
        <v>41323</v>
      </c>
      <c r="G11270" t="s">
        <v>123</v>
      </c>
      <c r="H11270">
        <v>20745</v>
      </c>
      <c r="I11270" t="s">
        <v>30</v>
      </c>
      <c r="J11270" t="s">
        <v>41</v>
      </c>
      <c r="K11270" t="s">
        <v>59</v>
      </c>
      <c r="Q11270">
        <v>0</v>
      </c>
      <c r="R11270">
        <v>42</v>
      </c>
      <c r="S11270">
        <v>42</v>
      </c>
      <c r="T11270" t="s">
        <v>41324</v>
      </c>
    </row>
    <row r="11271" spans="1:20" customFormat="1" ht="15" x14ac:dyDescent="0.25">
      <c r="A11271" t="s">
        <v>35</v>
      </c>
      <c r="B11271" t="s">
        <v>61</v>
      </c>
      <c r="C11271" t="str">
        <f>"A0124164"</f>
        <v>A0124164</v>
      </c>
      <c r="D11271" t="s">
        <v>41325</v>
      </c>
      <c r="E11271" t="s">
        <v>41326</v>
      </c>
      <c r="F11271" t="s">
        <v>122</v>
      </c>
      <c r="G11271" t="s">
        <v>123</v>
      </c>
      <c r="H11271">
        <v>20602</v>
      </c>
      <c r="I11271" t="s">
        <v>30</v>
      </c>
      <c r="J11271" t="s">
        <v>41</v>
      </c>
      <c r="K11271" t="s">
        <v>482</v>
      </c>
      <c r="Q11271">
        <v>0</v>
      </c>
      <c r="R11271">
        <v>34</v>
      </c>
      <c r="S11271">
        <v>34</v>
      </c>
      <c r="T11271" t="s">
        <v>41327</v>
      </c>
    </row>
    <row r="11272" spans="1:20" customFormat="1" ht="15" x14ac:dyDescent="0.25">
      <c r="A11272" t="s">
        <v>35</v>
      </c>
      <c r="B11272" t="s">
        <v>61</v>
      </c>
      <c r="C11272" t="str">
        <f>"A0124165"</f>
        <v>A0124165</v>
      </c>
      <c r="D11272" t="s">
        <v>41328</v>
      </c>
      <c r="E11272" t="s">
        <v>41326</v>
      </c>
      <c r="F11272" t="s">
        <v>122</v>
      </c>
      <c r="G11272" t="s">
        <v>123</v>
      </c>
      <c r="H11272">
        <v>20602</v>
      </c>
      <c r="I11272" t="s">
        <v>30</v>
      </c>
      <c r="J11272" t="s">
        <v>41</v>
      </c>
      <c r="K11272" t="s">
        <v>59</v>
      </c>
      <c r="Q11272">
        <v>0</v>
      </c>
      <c r="R11272">
        <v>22</v>
      </c>
      <c r="S11272">
        <v>22</v>
      </c>
      <c r="T11272" t="s">
        <v>41327</v>
      </c>
    </row>
    <row r="11273" spans="1:20" customFormat="1" ht="15" x14ac:dyDescent="0.25">
      <c r="A11273" t="s">
        <v>35</v>
      </c>
      <c r="B11273" t="s">
        <v>61</v>
      </c>
      <c r="C11273" t="str">
        <f>"A0124166"</f>
        <v>A0124166</v>
      </c>
      <c r="D11273" t="s">
        <v>41329</v>
      </c>
      <c r="E11273" t="s">
        <v>41322</v>
      </c>
      <c r="F11273" t="s">
        <v>41323</v>
      </c>
      <c r="G11273" t="s">
        <v>123</v>
      </c>
      <c r="H11273">
        <v>20745</v>
      </c>
      <c r="I11273" t="s">
        <v>30</v>
      </c>
      <c r="J11273" t="s">
        <v>41</v>
      </c>
      <c r="K11273" t="s">
        <v>482</v>
      </c>
      <c r="Q11273">
        <v>0</v>
      </c>
      <c r="R11273">
        <v>22</v>
      </c>
      <c r="S11273">
        <v>22</v>
      </c>
      <c r="T11273" t="s">
        <v>41324</v>
      </c>
    </row>
    <row r="11274" spans="1:20" customFormat="1" ht="15" x14ac:dyDescent="0.25">
      <c r="A11274" t="s">
        <v>35</v>
      </c>
      <c r="B11274" t="s">
        <v>61</v>
      </c>
      <c r="C11274" t="str">
        <f>"A0131768"</f>
        <v>A0131768</v>
      </c>
      <c r="D11274" t="s">
        <v>41330</v>
      </c>
      <c r="E11274" t="s">
        <v>41331</v>
      </c>
      <c r="F11274" t="s">
        <v>15307</v>
      </c>
      <c r="G11274" t="s">
        <v>65</v>
      </c>
      <c r="H11274">
        <v>43082</v>
      </c>
      <c r="I11274" t="s">
        <v>30</v>
      </c>
      <c r="J11274" t="s">
        <v>41</v>
      </c>
      <c r="K11274" t="s">
        <v>59</v>
      </c>
      <c r="Q11274">
        <v>0</v>
      </c>
      <c r="R11274">
        <v>66</v>
      </c>
      <c r="S11274">
        <v>66</v>
      </c>
      <c r="T11274" t="s">
        <v>41332</v>
      </c>
    </row>
    <row r="11275" spans="1:20" customFormat="1" ht="15" x14ac:dyDescent="0.25">
      <c r="A11275" t="s">
        <v>35</v>
      </c>
      <c r="B11275" t="s">
        <v>61</v>
      </c>
      <c r="C11275" t="str">
        <f>"A0119246"</f>
        <v>A0119246</v>
      </c>
      <c r="D11275" t="s">
        <v>41333</v>
      </c>
      <c r="E11275" t="s">
        <v>41334</v>
      </c>
      <c r="F11275" t="s">
        <v>6409</v>
      </c>
      <c r="G11275" t="s">
        <v>110</v>
      </c>
      <c r="H11275">
        <v>94546</v>
      </c>
      <c r="I11275" t="s">
        <v>30</v>
      </c>
      <c r="J11275" t="s">
        <v>41</v>
      </c>
      <c r="K11275" t="s">
        <v>229</v>
      </c>
      <c r="Q11275">
        <v>0</v>
      </c>
      <c r="R11275">
        <v>35</v>
      </c>
      <c r="S11275">
        <v>35</v>
      </c>
      <c r="T11275" t="s">
        <v>41335</v>
      </c>
    </row>
    <row r="11276" spans="1:20" customFormat="1" ht="15" x14ac:dyDescent="0.25">
      <c r="A11276" t="s">
        <v>35</v>
      </c>
      <c r="B11276" t="s">
        <v>106</v>
      </c>
      <c r="C11276" t="str">
        <f>"A0136280"</f>
        <v>A0136280</v>
      </c>
      <c r="D11276" t="s">
        <v>41336</v>
      </c>
      <c r="E11276" t="s">
        <v>41337</v>
      </c>
      <c r="F11276" t="s">
        <v>41338</v>
      </c>
      <c r="G11276" t="s">
        <v>117</v>
      </c>
      <c r="H11276">
        <v>493072289</v>
      </c>
      <c r="I11276" t="s">
        <v>30</v>
      </c>
      <c r="J11276" t="s">
        <v>111</v>
      </c>
      <c r="K11276" t="s">
        <v>10012</v>
      </c>
      <c r="Q11276">
        <v>0</v>
      </c>
      <c r="R11276">
        <v>0</v>
      </c>
      <c r="S11276">
        <v>0</v>
      </c>
      <c r="T11276" t="s">
        <v>41339</v>
      </c>
    </row>
    <row r="11277" spans="1:20" customFormat="1" ht="15" x14ac:dyDescent="0.25">
      <c r="A11277" t="s">
        <v>35</v>
      </c>
      <c r="B11277" t="s">
        <v>106</v>
      </c>
      <c r="C11277" t="str">
        <f>"A0136283"</f>
        <v>A0136283</v>
      </c>
      <c r="D11277" t="s">
        <v>41340</v>
      </c>
      <c r="E11277" t="s">
        <v>41337</v>
      </c>
      <c r="F11277" t="s">
        <v>41338</v>
      </c>
      <c r="G11277" t="s">
        <v>117</v>
      </c>
      <c r="H11277">
        <v>49307</v>
      </c>
      <c r="I11277" t="s">
        <v>30</v>
      </c>
      <c r="J11277" t="s">
        <v>111</v>
      </c>
      <c r="K11277" t="s">
        <v>10012</v>
      </c>
      <c r="Q11277">
        <v>0</v>
      </c>
      <c r="R11277">
        <v>0</v>
      </c>
      <c r="S11277">
        <v>0</v>
      </c>
      <c r="T11277" t="s">
        <v>41339</v>
      </c>
    </row>
    <row r="11278" spans="1:20" customFormat="1" ht="15" x14ac:dyDescent="0.25">
      <c r="A11278" t="s">
        <v>35</v>
      </c>
      <c r="B11278" t="s">
        <v>106</v>
      </c>
      <c r="C11278" t="str">
        <f>"A0136285"</f>
        <v>A0136285</v>
      </c>
      <c r="D11278" t="s">
        <v>41341</v>
      </c>
      <c r="E11278" t="s">
        <v>41337</v>
      </c>
      <c r="F11278" t="s">
        <v>41338</v>
      </c>
      <c r="G11278" t="s">
        <v>117</v>
      </c>
      <c r="H11278">
        <v>49307</v>
      </c>
      <c r="I11278" t="s">
        <v>30</v>
      </c>
      <c r="J11278" t="s">
        <v>111</v>
      </c>
      <c r="K11278" t="s">
        <v>112</v>
      </c>
      <c r="Q11278">
        <v>0</v>
      </c>
      <c r="R11278">
        <v>0</v>
      </c>
      <c r="S11278">
        <v>0</v>
      </c>
      <c r="T11278" t="s">
        <v>41339</v>
      </c>
    </row>
    <row r="11279" spans="1:20" customFormat="1" ht="15" x14ac:dyDescent="0.25">
      <c r="A11279" t="s">
        <v>35</v>
      </c>
      <c r="B11279" t="s">
        <v>106</v>
      </c>
      <c r="C11279" t="str">
        <f>"A0136282"</f>
        <v>A0136282</v>
      </c>
      <c r="D11279" t="s">
        <v>41342</v>
      </c>
      <c r="E11279" t="s">
        <v>41337</v>
      </c>
      <c r="F11279" t="s">
        <v>41338</v>
      </c>
      <c r="G11279" t="s">
        <v>117</v>
      </c>
      <c r="H11279">
        <v>49307</v>
      </c>
      <c r="I11279" t="s">
        <v>30</v>
      </c>
      <c r="J11279" t="s">
        <v>111</v>
      </c>
      <c r="K11279" t="s">
        <v>10012</v>
      </c>
      <c r="Q11279">
        <v>0</v>
      </c>
      <c r="R11279">
        <v>0</v>
      </c>
      <c r="S11279">
        <v>0</v>
      </c>
      <c r="T11279" t="s">
        <v>41339</v>
      </c>
    </row>
    <row r="11280" spans="1:20" customFormat="1" ht="15" x14ac:dyDescent="0.25">
      <c r="A11280" t="s">
        <v>35</v>
      </c>
      <c r="B11280" t="s">
        <v>106</v>
      </c>
      <c r="C11280" t="str">
        <f>"A0136281"</f>
        <v>A0136281</v>
      </c>
      <c r="D11280" t="s">
        <v>41343</v>
      </c>
      <c r="E11280" t="s">
        <v>41337</v>
      </c>
      <c r="F11280" t="s">
        <v>41338</v>
      </c>
      <c r="G11280" t="s">
        <v>117</v>
      </c>
      <c r="H11280">
        <v>49307</v>
      </c>
      <c r="I11280" t="s">
        <v>30</v>
      </c>
      <c r="J11280" t="s">
        <v>111</v>
      </c>
      <c r="K11280" t="s">
        <v>10012</v>
      </c>
      <c r="Q11280">
        <v>0</v>
      </c>
      <c r="R11280">
        <v>0</v>
      </c>
      <c r="S11280">
        <v>0</v>
      </c>
      <c r="T11280" t="s">
        <v>41339</v>
      </c>
    </row>
    <row r="11281" spans="1:20" customFormat="1" ht="15" x14ac:dyDescent="0.25">
      <c r="A11281" t="s">
        <v>35</v>
      </c>
      <c r="B11281" t="s">
        <v>106</v>
      </c>
      <c r="C11281" t="str">
        <f>"A0136284"</f>
        <v>A0136284</v>
      </c>
      <c r="D11281" t="s">
        <v>41344</v>
      </c>
      <c r="E11281" t="s">
        <v>41337</v>
      </c>
      <c r="F11281" t="s">
        <v>41338</v>
      </c>
      <c r="G11281" t="s">
        <v>117</v>
      </c>
      <c r="H11281">
        <v>49307</v>
      </c>
      <c r="I11281" t="s">
        <v>30</v>
      </c>
      <c r="J11281" t="s">
        <v>111</v>
      </c>
      <c r="K11281" t="s">
        <v>10012</v>
      </c>
      <c r="Q11281">
        <v>0</v>
      </c>
      <c r="R11281">
        <v>0</v>
      </c>
      <c r="S11281">
        <v>0</v>
      </c>
      <c r="T11281" t="s">
        <v>41339</v>
      </c>
    </row>
    <row r="11282" spans="1:20" customFormat="1" ht="15" x14ac:dyDescent="0.25">
      <c r="A11282" t="s">
        <v>35</v>
      </c>
      <c r="B11282" t="s">
        <v>106</v>
      </c>
      <c r="C11282" t="str">
        <f>"A0136602"</f>
        <v>A0136602</v>
      </c>
      <c r="D11282" t="s">
        <v>41345</v>
      </c>
      <c r="E11282" t="s">
        <v>41346</v>
      </c>
      <c r="F11282" t="s">
        <v>41347</v>
      </c>
      <c r="G11282" t="s">
        <v>144</v>
      </c>
      <c r="H11282">
        <v>58438</v>
      </c>
      <c r="I11282" t="s">
        <v>30</v>
      </c>
      <c r="J11282" t="s">
        <v>111</v>
      </c>
      <c r="K11282" t="s">
        <v>112</v>
      </c>
      <c r="Q11282">
        <v>0</v>
      </c>
      <c r="R11282">
        <v>0</v>
      </c>
      <c r="S11282">
        <v>0</v>
      </c>
      <c r="T11282" t="s">
        <v>41348</v>
      </c>
    </row>
    <row r="11283" spans="1:20" customFormat="1" ht="15" x14ac:dyDescent="0.25">
      <c r="A11283" t="s">
        <v>35</v>
      </c>
      <c r="B11283" t="s">
        <v>61</v>
      </c>
      <c r="C11283" t="str">
        <f>"A0130993"</f>
        <v>A0130993</v>
      </c>
      <c r="D11283" t="s">
        <v>41349</v>
      </c>
      <c r="E11283" t="s">
        <v>41350</v>
      </c>
      <c r="F11283" t="s">
        <v>41351</v>
      </c>
      <c r="G11283" t="s">
        <v>137</v>
      </c>
      <c r="H11283">
        <v>630280000</v>
      </c>
      <c r="I11283" t="s">
        <v>30</v>
      </c>
      <c r="J11283" t="s">
        <v>41</v>
      </c>
      <c r="K11283" t="s">
        <v>229</v>
      </c>
      <c r="Q11283">
        <v>0</v>
      </c>
      <c r="R11283">
        <v>120</v>
      </c>
      <c r="S11283">
        <v>120</v>
      </c>
      <c r="T11283" t="s">
        <v>41352</v>
      </c>
    </row>
    <row r="11284" spans="1:20" customFormat="1" ht="15" x14ac:dyDescent="0.25">
      <c r="A11284" t="s">
        <v>35</v>
      </c>
      <c r="B11284" t="s">
        <v>61</v>
      </c>
      <c r="C11284" t="str">
        <f>"A0130651"</f>
        <v>A0130651</v>
      </c>
      <c r="D11284" t="s">
        <v>41353</v>
      </c>
      <c r="E11284" t="s">
        <v>41354</v>
      </c>
      <c r="F11284" t="s">
        <v>41355</v>
      </c>
      <c r="G11284" t="s">
        <v>71</v>
      </c>
      <c r="H11284">
        <v>53042</v>
      </c>
      <c r="I11284" t="s">
        <v>30</v>
      </c>
      <c r="J11284" t="s">
        <v>41</v>
      </c>
      <c r="K11284" t="s">
        <v>59</v>
      </c>
      <c r="Q11284">
        <v>0</v>
      </c>
      <c r="R11284">
        <v>24</v>
      </c>
      <c r="S11284">
        <v>24</v>
      </c>
      <c r="T11284" t="s">
        <v>41356</v>
      </c>
    </row>
    <row r="11285" spans="1:20" customFormat="1" ht="15" x14ac:dyDescent="0.25">
      <c r="A11285" t="s">
        <v>35</v>
      </c>
      <c r="B11285" t="s">
        <v>106</v>
      </c>
      <c r="C11285" t="str">
        <f>"A0136430"</f>
        <v>A0136430</v>
      </c>
      <c r="D11285" t="s">
        <v>41357</v>
      </c>
      <c r="E11285" t="s">
        <v>41358</v>
      </c>
      <c r="F11285" t="s">
        <v>41359</v>
      </c>
      <c r="G11285" t="s">
        <v>117</v>
      </c>
      <c r="H11285">
        <v>49930</v>
      </c>
      <c r="I11285" t="s">
        <v>30</v>
      </c>
      <c r="J11285" t="s">
        <v>111</v>
      </c>
      <c r="K11285" t="s">
        <v>112</v>
      </c>
      <c r="Q11285">
        <v>0</v>
      </c>
      <c r="R11285">
        <v>0</v>
      </c>
      <c r="S11285">
        <v>0</v>
      </c>
      <c r="T11285" t="s">
        <v>41360</v>
      </c>
    </row>
    <row r="11286" spans="1:20" customFormat="1" ht="15" x14ac:dyDescent="0.25">
      <c r="A11286" t="s">
        <v>35</v>
      </c>
      <c r="B11286" t="s">
        <v>106</v>
      </c>
      <c r="C11286" t="str">
        <f>"A0136431"</f>
        <v>A0136431</v>
      </c>
      <c r="D11286" t="s">
        <v>41361</v>
      </c>
      <c r="E11286" t="s">
        <v>41358</v>
      </c>
      <c r="F11286" t="s">
        <v>41359</v>
      </c>
      <c r="G11286" t="s">
        <v>117</v>
      </c>
      <c r="H11286">
        <v>49930</v>
      </c>
      <c r="I11286" t="s">
        <v>30</v>
      </c>
      <c r="J11286" t="s">
        <v>111</v>
      </c>
      <c r="K11286" t="s">
        <v>112</v>
      </c>
      <c r="Q11286">
        <v>0</v>
      </c>
      <c r="R11286">
        <v>0</v>
      </c>
      <c r="S11286">
        <v>0</v>
      </c>
      <c r="T11286" t="s">
        <v>41360</v>
      </c>
    </row>
    <row r="11287" spans="1:20" customFormat="1" ht="15" x14ac:dyDescent="0.25">
      <c r="A11287" t="s">
        <v>35</v>
      </c>
      <c r="B11287" t="s">
        <v>61</v>
      </c>
      <c r="C11287" t="str">
        <f>"A0132335"</f>
        <v>A0132335</v>
      </c>
      <c r="D11287" t="s">
        <v>41362</v>
      </c>
      <c r="E11287" t="s">
        <v>41363</v>
      </c>
      <c r="F11287" t="s">
        <v>41364</v>
      </c>
      <c r="G11287" t="s">
        <v>65</v>
      </c>
      <c r="H11287">
        <v>44889</v>
      </c>
      <c r="I11287" t="s">
        <v>30</v>
      </c>
      <c r="J11287" t="s">
        <v>41</v>
      </c>
      <c r="K11287" t="s">
        <v>42</v>
      </c>
      <c r="Q11287">
        <v>0</v>
      </c>
      <c r="R11287">
        <v>0</v>
      </c>
      <c r="S11287">
        <v>0</v>
      </c>
      <c r="T11287" t="s">
        <v>41365</v>
      </c>
    </row>
    <row r="11288" spans="1:20" customFormat="1" ht="15" x14ac:dyDescent="0.25">
      <c r="A11288" t="s">
        <v>35</v>
      </c>
      <c r="B11288" t="s">
        <v>437</v>
      </c>
      <c r="C11288" t="str">
        <f>"A0153048"</f>
        <v>A0153048</v>
      </c>
      <c r="D11288" t="s">
        <v>41366</v>
      </c>
      <c r="E11288" t="s">
        <v>41367</v>
      </c>
      <c r="F11288" t="s">
        <v>41368</v>
      </c>
      <c r="G11288" t="s">
        <v>110</v>
      </c>
      <c r="H11288">
        <v>92315</v>
      </c>
      <c r="I11288" t="s">
        <v>30</v>
      </c>
      <c r="J11288" t="s">
        <v>441</v>
      </c>
      <c r="K11288" t="s">
        <v>2458</v>
      </c>
      <c r="Q11288">
        <v>0</v>
      </c>
      <c r="R11288">
        <v>0</v>
      </c>
      <c r="S11288">
        <v>0</v>
      </c>
      <c r="T11288" t="s">
        <v>41369</v>
      </c>
    </row>
    <row r="11289" spans="1:20" customFormat="1" ht="15" x14ac:dyDescent="0.25">
      <c r="A11289" t="s">
        <v>35</v>
      </c>
      <c r="B11289" t="s">
        <v>61</v>
      </c>
      <c r="C11289" t="str">
        <f>"A0133181"</f>
        <v>A0133181</v>
      </c>
      <c r="D11289" t="s">
        <v>41370</v>
      </c>
      <c r="E11289" t="s">
        <v>41371</v>
      </c>
      <c r="F11289" t="s">
        <v>853</v>
      </c>
      <c r="G11289" t="s">
        <v>52</v>
      </c>
      <c r="H11289">
        <v>761140000</v>
      </c>
      <c r="I11289" t="s">
        <v>30</v>
      </c>
      <c r="J11289" t="s">
        <v>41</v>
      </c>
      <c r="K11289" t="s">
        <v>229</v>
      </c>
      <c r="Q11289">
        <v>0</v>
      </c>
      <c r="R11289">
        <v>100</v>
      </c>
      <c r="S11289">
        <v>100</v>
      </c>
      <c r="T11289" t="s">
        <v>41372</v>
      </c>
    </row>
    <row r="11290" spans="1:20" customFormat="1" ht="15" x14ac:dyDescent="0.25">
      <c r="A11290" t="s">
        <v>35</v>
      </c>
      <c r="B11290" t="s">
        <v>61</v>
      </c>
      <c r="C11290" t="str">
        <f>"A0123730"</f>
        <v>A0123730</v>
      </c>
      <c r="D11290" t="s">
        <v>41373</v>
      </c>
      <c r="E11290" t="s">
        <v>41374</v>
      </c>
      <c r="F11290" t="s">
        <v>15622</v>
      </c>
      <c r="G11290" t="s">
        <v>29</v>
      </c>
      <c r="H11290">
        <v>23510</v>
      </c>
      <c r="I11290" t="s">
        <v>30</v>
      </c>
      <c r="J11290" t="s">
        <v>41</v>
      </c>
      <c r="K11290" t="s">
        <v>59</v>
      </c>
      <c r="Q11290">
        <v>0</v>
      </c>
      <c r="R11290">
        <v>52</v>
      </c>
      <c r="S11290">
        <v>52</v>
      </c>
      <c r="T11290" t="s">
        <v>41375</v>
      </c>
    </row>
    <row r="11291" spans="1:20" customFormat="1" ht="15" x14ac:dyDescent="0.25">
      <c r="A11291" t="s">
        <v>35</v>
      </c>
      <c r="B11291" t="s">
        <v>61</v>
      </c>
      <c r="C11291" t="str">
        <f>"A0129557"</f>
        <v>A0129557</v>
      </c>
      <c r="D11291" t="s">
        <v>41376</v>
      </c>
      <c r="E11291" t="s">
        <v>41377</v>
      </c>
      <c r="F11291" t="s">
        <v>93</v>
      </c>
      <c r="G11291" t="s">
        <v>289</v>
      </c>
      <c r="H11291">
        <v>62246</v>
      </c>
      <c r="I11291" t="s">
        <v>30</v>
      </c>
      <c r="J11291" t="s">
        <v>41</v>
      </c>
      <c r="K11291" t="s">
        <v>2760</v>
      </c>
      <c r="Q11291">
        <v>0</v>
      </c>
      <c r="R11291">
        <v>0</v>
      </c>
      <c r="S11291">
        <v>0</v>
      </c>
      <c r="T11291" t="s">
        <v>41378</v>
      </c>
    </row>
    <row r="11292" spans="1:20" customFormat="1" ht="15" x14ac:dyDescent="0.25">
      <c r="A11292" t="s">
        <v>35</v>
      </c>
      <c r="B11292" t="s">
        <v>61</v>
      </c>
      <c r="C11292" t="str">
        <f>"A0152979"</f>
        <v>A0152979</v>
      </c>
      <c r="D11292" t="s">
        <v>41379</v>
      </c>
      <c r="E11292" t="s">
        <v>41380</v>
      </c>
      <c r="F11292" t="s">
        <v>36536</v>
      </c>
      <c r="G11292" t="s">
        <v>214</v>
      </c>
      <c r="H11292">
        <v>28665</v>
      </c>
      <c r="I11292" t="s">
        <v>30</v>
      </c>
      <c r="J11292" t="s">
        <v>41</v>
      </c>
      <c r="K11292" t="s">
        <v>42</v>
      </c>
      <c r="Q11292">
        <v>0</v>
      </c>
      <c r="R11292">
        <v>0</v>
      </c>
      <c r="S11292">
        <v>0</v>
      </c>
      <c r="T11292" t="s">
        <v>41381</v>
      </c>
    </row>
    <row r="11293" spans="1:20" customFormat="1" ht="15" x14ac:dyDescent="0.25">
      <c r="A11293" t="s">
        <v>35</v>
      </c>
      <c r="B11293" t="s">
        <v>61</v>
      </c>
      <c r="C11293" t="str">
        <f>"A0131255"</f>
        <v>A0131255</v>
      </c>
      <c r="D11293" t="s">
        <v>41382</v>
      </c>
      <c r="E11293" t="s">
        <v>41383</v>
      </c>
      <c r="F11293" t="s">
        <v>17360</v>
      </c>
      <c r="G11293" t="s">
        <v>137</v>
      </c>
      <c r="H11293">
        <v>63841</v>
      </c>
      <c r="I11293" t="s">
        <v>30</v>
      </c>
      <c r="J11293" t="s">
        <v>41</v>
      </c>
      <c r="K11293" t="s">
        <v>112</v>
      </c>
      <c r="Q11293">
        <v>0</v>
      </c>
      <c r="R11293">
        <v>1</v>
      </c>
      <c r="S11293">
        <v>1</v>
      </c>
      <c r="T11293" t="s">
        <v>41384</v>
      </c>
    </row>
    <row r="11294" spans="1:20" customFormat="1" ht="15" x14ac:dyDescent="0.25">
      <c r="A11294" t="s">
        <v>35</v>
      </c>
      <c r="B11294" t="s">
        <v>106</v>
      </c>
      <c r="C11294" t="str">
        <f>"A0135621"</f>
        <v>A0135621</v>
      </c>
      <c r="D11294" t="s">
        <v>41385</v>
      </c>
      <c r="E11294" t="s">
        <v>41386</v>
      </c>
      <c r="F11294" t="s">
        <v>4133</v>
      </c>
      <c r="G11294" t="s">
        <v>52</v>
      </c>
      <c r="H11294">
        <v>78748</v>
      </c>
      <c r="I11294" t="s">
        <v>30</v>
      </c>
      <c r="J11294" t="s">
        <v>111</v>
      </c>
      <c r="K11294" t="s">
        <v>112</v>
      </c>
      <c r="Q11294">
        <v>0</v>
      </c>
      <c r="R11294">
        <v>0</v>
      </c>
      <c r="S11294">
        <v>0</v>
      </c>
      <c r="T11294" t="s">
        <v>41387</v>
      </c>
    </row>
    <row r="11295" spans="1:20" customFormat="1" ht="15" x14ac:dyDescent="0.25">
      <c r="A11295" t="s">
        <v>35</v>
      </c>
      <c r="B11295" t="s">
        <v>106</v>
      </c>
      <c r="C11295" t="str">
        <f>"A0135623"</f>
        <v>A0135623</v>
      </c>
      <c r="D11295" t="s">
        <v>41388</v>
      </c>
      <c r="E11295" t="s">
        <v>41389</v>
      </c>
      <c r="F11295" t="s">
        <v>4133</v>
      </c>
      <c r="G11295" t="s">
        <v>52</v>
      </c>
      <c r="H11295">
        <v>78747</v>
      </c>
      <c r="I11295" t="s">
        <v>30</v>
      </c>
      <c r="J11295" t="s">
        <v>111</v>
      </c>
      <c r="K11295" t="s">
        <v>112</v>
      </c>
      <c r="Q11295">
        <v>0</v>
      </c>
      <c r="R11295">
        <v>0</v>
      </c>
      <c r="S11295">
        <v>0</v>
      </c>
      <c r="T11295" t="s">
        <v>41387</v>
      </c>
    </row>
    <row r="11296" spans="1:20" customFormat="1" ht="15" x14ac:dyDescent="0.25">
      <c r="A11296" t="s">
        <v>35</v>
      </c>
      <c r="B11296" t="s">
        <v>61</v>
      </c>
      <c r="C11296" t="str">
        <f>"A0125094"</f>
        <v>A0125094</v>
      </c>
      <c r="D11296" t="s">
        <v>22831</v>
      </c>
      <c r="E11296" t="s">
        <v>41390</v>
      </c>
      <c r="F11296" t="s">
        <v>1298</v>
      </c>
      <c r="G11296" t="s">
        <v>58</v>
      </c>
      <c r="H11296">
        <v>29201</v>
      </c>
      <c r="I11296" t="s">
        <v>30</v>
      </c>
      <c r="J11296" t="s">
        <v>41</v>
      </c>
      <c r="K11296" t="s">
        <v>42</v>
      </c>
      <c r="Q11296">
        <v>0</v>
      </c>
      <c r="R11296">
        <v>0</v>
      </c>
      <c r="S11296">
        <v>0</v>
      </c>
      <c r="T11296" t="s">
        <v>41391</v>
      </c>
    </row>
    <row r="11297" spans="1:20" customFormat="1" ht="15" x14ac:dyDescent="0.25">
      <c r="A11297" t="s">
        <v>35</v>
      </c>
      <c r="B11297" t="s">
        <v>61</v>
      </c>
      <c r="C11297" t="str">
        <f>"A0132205"</f>
        <v>A0132205</v>
      </c>
      <c r="D11297" t="s">
        <v>41392</v>
      </c>
      <c r="E11297" t="s">
        <v>41393</v>
      </c>
      <c r="F11297" t="s">
        <v>41394</v>
      </c>
      <c r="G11297" t="s">
        <v>65</v>
      </c>
      <c r="H11297">
        <v>43019</v>
      </c>
      <c r="I11297" t="s">
        <v>30</v>
      </c>
      <c r="J11297" t="s">
        <v>41</v>
      </c>
      <c r="K11297" t="s">
        <v>42</v>
      </c>
      <c r="Q11297">
        <v>0</v>
      </c>
      <c r="R11297">
        <v>1</v>
      </c>
      <c r="S11297">
        <v>1</v>
      </c>
      <c r="T11297" t="s">
        <v>41395</v>
      </c>
    </row>
    <row r="11298" spans="1:20" customFormat="1" ht="15" x14ac:dyDescent="0.25">
      <c r="A11298" t="s">
        <v>35</v>
      </c>
      <c r="B11298" t="s">
        <v>61</v>
      </c>
      <c r="C11298" t="str">
        <f>"A0123127"</f>
        <v>A0123127</v>
      </c>
      <c r="D11298" t="s">
        <v>41396</v>
      </c>
      <c r="E11298" t="s">
        <v>41397</v>
      </c>
      <c r="F11298" t="s">
        <v>21292</v>
      </c>
      <c r="G11298" t="s">
        <v>137</v>
      </c>
      <c r="H11298">
        <v>653400000</v>
      </c>
      <c r="I11298" t="s">
        <v>30</v>
      </c>
      <c r="J11298" t="s">
        <v>41</v>
      </c>
      <c r="K11298" t="s">
        <v>3713</v>
      </c>
      <c r="Q11298">
        <v>0</v>
      </c>
      <c r="R11298">
        <v>60</v>
      </c>
      <c r="S11298">
        <v>60</v>
      </c>
      <c r="T11298" t="s">
        <v>41398</v>
      </c>
    </row>
    <row r="11299" spans="1:20" customFormat="1" ht="15" x14ac:dyDescent="0.25">
      <c r="A11299" t="s">
        <v>35</v>
      </c>
      <c r="B11299" t="s">
        <v>437</v>
      </c>
      <c r="C11299" t="str">
        <f>"A0135275"</f>
        <v>A0135275</v>
      </c>
      <c r="D11299" t="s">
        <v>41399</v>
      </c>
      <c r="E11299" t="s">
        <v>41400</v>
      </c>
      <c r="F11299" t="s">
        <v>4259</v>
      </c>
      <c r="G11299" t="s">
        <v>99</v>
      </c>
      <c r="H11299">
        <v>13502</v>
      </c>
      <c r="I11299" t="s">
        <v>30</v>
      </c>
      <c r="J11299" t="s">
        <v>441</v>
      </c>
      <c r="K11299" t="s">
        <v>442</v>
      </c>
      <c r="Q11299">
        <v>0</v>
      </c>
      <c r="R11299">
        <v>0</v>
      </c>
      <c r="S11299">
        <v>0</v>
      </c>
      <c r="T11299" t="s">
        <v>41401</v>
      </c>
    </row>
    <row r="11300" spans="1:20" customFormat="1" ht="15" x14ac:dyDescent="0.25">
      <c r="A11300" t="s">
        <v>35</v>
      </c>
      <c r="B11300" t="s">
        <v>61</v>
      </c>
      <c r="C11300" t="str">
        <f>"A0153272"</f>
        <v>A0153272</v>
      </c>
      <c r="D11300" t="s">
        <v>41402</v>
      </c>
      <c r="E11300" t="s">
        <v>41403</v>
      </c>
      <c r="F11300" t="s">
        <v>25591</v>
      </c>
      <c r="G11300" t="s">
        <v>117</v>
      </c>
      <c r="H11300">
        <v>49331</v>
      </c>
      <c r="I11300" t="s">
        <v>30</v>
      </c>
      <c r="J11300" t="s">
        <v>41</v>
      </c>
      <c r="K11300" t="s">
        <v>391</v>
      </c>
      <c r="Q11300">
        <v>0</v>
      </c>
      <c r="R11300">
        <v>0</v>
      </c>
      <c r="S11300">
        <v>0</v>
      </c>
      <c r="T11300" t="s">
        <v>41404</v>
      </c>
    </row>
    <row r="11301" spans="1:20" customFormat="1" ht="15" x14ac:dyDescent="0.25">
      <c r="A11301" t="s">
        <v>35</v>
      </c>
      <c r="B11301" t="s">
        <v>61</v>
      </c>
      <c r="C11301" t="str">
        <f>"A0124030"</f>
        <v>A0124030</v>
      </c>
      <c r="D11301" t="s">
        <v>41405</v>
      </c>
      <c r="E11301" t="s">
        <v>41406</v>
      </c>
      <c r="F11301" t="s">
        <v>41199</v>
      </c>
      <c r="G11301" t="s">
        <v>214</v>
      </c>
      <c r="H11301">
        <v>28730</v>
      </c>
      <c r="I11301" t="s">
        <v>30</v>
      </c>
      <c r="J11301" t="s">
        <v>41</v>
      </c>
      <c r="K11301" t="s">
        <v>229</v>
      </c>
      <c r="Q11301">
        <v>0</v>
      </c>
      <c r="R11301">
        <v>120</v>
      </c>
      <c r="S11301">
        <v>120</v>
      </c>
      <c r="T11301" t="s">
        <v>41407</v>
      </c>
    </row>
    <row r="11302" spans="1:20" customFormat="1" ht="15" x14ac:dyDescent="0.25">
      <c r="A11302" t="s">
        <v>35</v>
      </c>
      <c r="B11302" t="s">
        <v>106</v>
      </c>
      <c r="C11302" t="str">
        <f>"A0135997"</f>
        <v>A0135997</v>
      </c>
      <c r="D11302" t="s">
        <v>41408</v>
      </c>
      <c r="E11302" t="s">
        <v>41409</v>
      </c>
      <c r="F11302" t="s">
        <v>4057</v>
      </c>
      <c r="G11302" t="s">
        <v>81</v>
      </c>
      <c r="H11302">
        <v>32901</v>
      </c>
      <c r="I11302" t="s">
        <v>30</v>
      </c>
      <c r="J11302" t="s">
        <v>111</v>
      </c>
      <c r="K11302" t="s">
        <v>10012</v>
      </c>
      <c r="Q11302">
        <v>0</v>
      </c>
      <c r="R11302">
        <v>0</v>
      </c>
      <c r="S11302">
        <v>0</v>
      </c>
      <c r="T11302" t="s">
        <v>41410</v>
      </c>
    </row>
    <row r="11303" spans="1:20" customFormat="1" ht="15" x14ac:dyDescent="0.25">
      <c r="A11303" t="s">
        <v>35</v>
      </c>
      <c r="B11303" t="s">
        <v>61</v>
      </c>
      <c r="C11303" t="str">
        <f>"A0123732"</f>
        <v>A0123732</v>
      </c>
      <c r="D11303" t="s">
        <v>41411</v>
      </c>
      <c r="E11303" t="s">
        <v>41412</v>
      </c>
      <c r="F11303" t="s">
        <v>10598</v>
      </c>
      <c r="G11303" t="s">
        <v>81</v>
      </c>
      <c r="H11303">
        <v>33803</v>
      </c>
      <c r="I11303" t="s">
        <v>30</v>
      </c>
      <c r="J11303" t="s">
        <v>41</v>
      </c>
      <c r="K11303" t="s">
        <v>482</v>
      </c>
      <c r="Q11303">
        <v>0</v>
      </c>
      <c r="R11303">
        <v>300</v>
      </c>
      <c r="S11303">
        <v>300</v>
      </c>
      <c r="T11303" t="s">
        <v>41413</v>
      </c>
    </row>
    <row r="11304" spans="1:20" customFormat="1" ht="15" x14ac:dyDescent="0.25">
      <c r="A11304" t="s">
        <v>35</v>
      </c>
      <c r="B11304" t="s">
        <v>106</v>
      </c>
      <c r="C11304" t="str">
        <f>"A0135998"</f>
        <v>A0135998</v>
      </c>
      <c r="D11304" t="s">
        <v>41414</v>
      </c>
      <c r="E11304" t="s">
        <v>41409</v>
      </c>
      <c r="F11304" t="s">
        <v>4057</v>
      </c>
      <c r="G11304" t="s">
        <v>81</v>
      </c>
      <c r="H11304">
        <v>32901</v>
      </c>
      <c r="I11304" t="s">
        <v>30</v>
      </c>
      <c r="J11304" t="s">
        <v>111</v>
      </c>
      <c r="K11304" t="s">
        <v>10012</v>
      </c>
      <c r="Q11304">
        <v>0</v>
      </c>
      <c r="R11304">
        <v>0</v>
      </c>
      <c r="S11304">
        <v>0</v>
      </c>
      <c r="T11304" t="s">
        <v>41410</v>
      </c>
    </row>
    <row r="11305" spans="1:20" customFormat="1" ht="15" x14ac:dyDescent="0.25">
      <c r="A11305" t="s">
        <v>35</v>
      </c>
      <c r="B11305" t="s">
        <v>106</v>
      </c>
      <c r="C11305" t="str">
        <f>"A0136000"</f>
        <v>A0136000</v>
      </c>
      <c r="D11305" t="s">
        <v>41415</v>
      </c>
      <c r="E11305" t="s">
        <v>41409</v>
      </c>
      <c r="F11305" t="s">
        <v>4057</v>
      </c>
      <c r="G11305" t="s">
        <v>81</v>
      </c>
      <c r="H11305">
        <v>32901</v>
      </c>
      <c r="I11305" t="s">
        <v>30</v>
      </c>
      <c r="J11305" t="s">
        <v>111</v>
      </c>
      <c r="K11305" t="s">
        <v>10012</v>
      </c>
      <c r="Q11305">
        <v>0</v>
      </c>
      <c r="R11305">
        <v>0</v>
      </c>
      <c r="S11305">
        <v>0</v>
      </c>
      <c r="T11305" t="s">
        <v>41410</v>
      </c>
    </row>
    <row r="11306" spans="1:20" customFormat="1" ht="15" x14ac:dyDescent="0.25">
      <c r="A11306" t="s">
        <v>35</v>
      </c>
      <c r="B11306" t="s">
        <v>106</v>
      </c>
      <c r="C11306" t="str">
        <f>"A0135999"</f>
        <v>A0135999</v>
      </c>
      <c r="D11306" t="s">
        <v>41416</v>
      </c>
      <c r="E11306" t="s">
        <v>41409</v>
      </c>
      <c r="F11306" t="s">
        <v>4057</v>
      </c>
      <c r="G11306" t="s">
        <v>81</v>
      </c>
      <c r="H11306">
        <v>32901</v>
      </c>
      <c r="I11306" t="s">
        <v>30</v>
      </c>
      <c r="J11306" t="s">
        <v>111</v>
      </c>
      <c r="K11306" t="s">
        <v>10012</v>
      </c>
      <c r="Q11306">
        <v>0</v>
      </c>
      <c r="R11306">
        <v>0</v>
      </c>
      <c r="S11306">
        <v>0</v>
      </c>
      <c r="T11306" t="s">
        <v>41410</v>
      </c>
    </row>
    <row r="11307" spans="1:20" customFormat="1" ht="15" x14ac:dyDescent="0.25">
      <c r="A11307" t="s">
        <v>35</v>
      </c>
      <c r="B11307" t="s">
        <v>61</v>
      </c>
      <c r="C11307" t="str">
        <f>"A0124554"</f>
        <v>A0124554</v>
      </c>
      <c r="D11307" t="s">
        <v>41417</v>
      </c>
      <c r="E11307" t="s">
        <v>41418</v>
      </c>
      <c r="F11307" t="s">
        <v>23386</v>
      </c>
      <c r="G11307" t="s">
        <v>1706</v>
      </c>
      <c r="H11307">
        <v>358110000</v>
      </c>
      <c r="I11307" t="s">
        <v>30</v>
      </c>
      <c r="J11307" t="s">
        <v>41</v>
      </c>
      <c r="K11307" t="s">
        <v>229</v>
      </c>
      <c r="Q11307">
        <v>0</v>
      </c>
      <c r="R11307">
        <v>150</v>
      </c>
      <c r="S11307">
        <v>150</v>
      </c>
      <c r="T11307" t="s">
        <v>41419</v>
      </c>
    </row>
    <row r="11308" spans="1:20" customFormat="1" ht="15" x14ac:dyDescent="0.25">
      <c r="A11308" t="s">
        <v>35</v>
      </c>
      <c r="B11308" t="s">
        <v>61</v>
      </c>
      <c r="C11308" t="str">
        <f>"A0118428"</f>
        <v>A0118428</v>
      </c>
      <c r="D11308" t="s">
        <v>41420</v>
      </c>
      <c r="E11308" t="s">
        <v>41421</v>
      </c>
      <c r="F11308" t="s">
        <v>14775</v>
      </c>
      <c r="G11308" t="s">
        <v>110</v>
      </c>
      <c r="H11308">
        <v>95630</v>
      </c>
      <c r="I11308" t="s">
        <v>30</v>
      </c>
      <c r="J11308" t="s">
        <v>41</v>
      </c>
      <c r="K11308" t="s">
        <v>229</v>
      </c>
      <c r="Q11308">
        <v>0</v>
      </c>
      <c r="R11308">
        <v>99</v>
      </c>
      <c r="S11308">
        <v>99</v>
      </c>
      <c r="T11308" t="s">
        <v>41422</v>
      </c>
    </row>
    <row r="11309" spans="1:20" customFormat="1" ht="15" x14ac:dyDescent="0.25">
      <c r="A11309" t="s">
        <v>35</v>
      </c>
      <c r="B11309" t="s">
        <v>61</v>
      </c>
      <c r="C11309" t="str">
        <f>"A0119007"</f>
        <v>A0119007</v>
      </c>
      <c r="D11309" t="s">
        <v>41423</v>
      </c>
      <c r="E11309" t="s">
        <v>41424</v>
      </c>
      <c r="F11309" t="s">
        <v>32491</v>
      </c>
      <c r="G11309" t="s">
        <v>110</v>
      </c>
      <c r="H11309">
        <v>92887</v>
      </c>
      <c r="I11309" t="s">
        <v>30</v>
      </c>
      <c r="J11309" t="s">
        <v>41</v>
      </c>
      <c r="K11309" t="s">
        <v>1412</v>
      </c>
      <c r="Q11309">
        <v>0</v>
      </c>
      <c r="R11309">
        <v>0</v>
      </c>
      <c r="S11309">
        <v>0</v>
      </c>
      <c r="T11309" t="s">
        <v>41425</v>
      </c>
    </row>
    <row r="11310" spans="1:20" customFormat="1" ht="15" x14ac:dyDescent="0.25">
      <c r="A11310" t="s">
        <v>35</v>
      </c>
      <c r="B11310" t="s">
        <v>61</v>
      </c>
      <c r="C11310" t="str">
        <f>"A0130841"</f>
        <v>A0130841</v>
      </c>
      <c r="D11310" t="s">
        <v>41426</v>
      </c>
      <c r="E11310" t="s">
        <v>41427</v>
      </c>
      <c r="F11310" t="s">
        <v>1655</v>
      </c>
      <c r="G11310" t="s">
        <v>137</v>
      </c>
      <c r="H11310">
        <v>631030000</v>
      </c>
      <c r="I11310" t="s">
        <v>30</v>
      </c>
      <c r="J11310" t="s">
        <v>41</v>
      </c>
      <c r="K11310" t="s">
        <v>2760</v>
      </c>
      <c r="Q11310">
        <v>0</v>
      </c>
      <c r="R11310">
        <v>1</v>
      </c>
      <c r="S11310">
        <v>1</v>
      </c>
      <c r="T11310" t="s">
        <v>41428</v>
      </c>
    </row>
    <row r="11311" spans="1:20" customFormat="1" ht="15" x14ac:dyDescent="0.25">
      <c r="A11311" t="s">
        <v>35</v>
      </c>
      <c r="B11311" t="s">
        <v>61</v>
      </c>
      <c r="C11311" t="str">
        <f>"A0118509"</f>
        <v>A0118509</v>
      </c>
      <c r="D11311" t="s">
        <v>41429</v>
      </c>
      <c r="E11311" t="s">
        <v>41430</v>
      </c>
      <c r="F11311" t="s">
        <v>41431</v>
      </c>
      <c r="G11311" t="s">
        <v>110</v>
      </c>
      <c r="H11311">
        <v>95222</v>
      </c>
      <c r="I11311" t="s">
        <v>30</v>
      </c>
      <c r="J11311" t="s">
        <v>41</v>
      </c>
      <c r="K11311" t="s">
        <v>59</v>
      </c>
      <c r="Q11311">
        <v>0</v>
      </c>
      <c r="R11311">
        <v>76</v>
      </c>
      <c r="S11311">
        <v>76</v>
      </c>
      <c r="T11311" t="s">
        <v>41432</v>
      </c>
    </row>
    <row r="11312" spans="1:20" customFormat="1" ht="15" x14ac:dyDescent="0.25">
      <c r="A11312" t="s">
        <v>35</v>
      </c>
      <c r="B11312" t="s">
        <v>106</v>
      </c>
      <c r="C11312" t="str">
        <f>"A0136143"</f>
        <v>A0136143</v>
      </c>
      <c r="D11312" t="s">
        <v>41433</v>
      </c>
      <c r="E11312" t="s">
        <v>41434</v>
      </c>
      <c r="F11312" t="s">
        <v>93</v>
      </c>
      <c r="G11312" t="s">
        <v>1706</v>
      </c>
      <c r="H11312">
        <v>36037</v>
      </c>
      <c r="I11312" t="s">
        <v>30</v>
      </c>
      <c r="J11312" t="s">
        <v>111</v>
      </c>
      <c r="K11312" t="s">
        <v>112</v>
      </c>
      <c r="Q11312">
        <v>0</v>
      </c>
      <c r="R11312">
        <v>0</v>
      </c>
      <c r="S11312">
        <v>0</v>
      </c>
      <c r="T11312" t="s">
        <v>41435</v>
      </c>
    </row>
    <row r="11313" spans="1:20" customFormat="1" ht="15" x14ac:dyDescent="0.25">
      <c r="A11313" t="s">
        <v>35</v>
      </c>
      <c r="B11313" t="s">
        <v>61</v>
      </c>
      <c r="C11313" t="str">
        <f>"A0119288"</f>
        <v>A0119288</v>
      </c>
      <c r="D11313" t="s">
        <v>41436</v>
      </c>
      <c r="E11313" t="s">
        <v>41437</v>
      </c>
      <c r="F11313" t="s">
        <v>41438</v>
      </c>
      <c r="G11313" t="s">
        <v>110</v>
      </c>
      <c r="H11313">
        <v>92345</v>
      </c>
      <c r="I11313" t="s">
        <v>30</v>
      </c>
      <c r="J11313" t="s">
        <v>41</v>
      </c>
      <c r="K11313" t="s">
        <v>482</v>
      </c>
      <c r="Q11313">
        <v>0</v>
      </c>
      <c r="R11313">
        <v>96</v>
      </c>
      <c r="S11313">
        <v>96</v>
      </c>
      <c r="T11313" t="s">
        <v>41439</v>
      </c>
    </row>
    <row r="11314" spans="1:20" customFormat="1" ht="15" x14ac:dyDescent="0.25">
      <c r="A11314" t="s">
        <v>35</v>
      </c>
      <c r="B11314" t="s">
        <v>225</v>
      </c>
      <c r="C11314" t="str">
        <f>"A0127075"</f>
        <v>A0127075</v>
      </c>
      <c r="D11314" t="s">
        <v>41440</v>
      </c>
      <c r="E11314" t="s">
        <v>41441</v>
      </c>
      <c r="F11314" t="s">
        <v>41151</v>
      </c>
      <c r="G11314" t="s">
        <v>103</v>
      </c>
      <c r="H11314">
        <v>18421</v>
      </c>
      <c r="I11314" t="s">
        <v>30</v>
      </c>
      <c r="J11314" t="s">
        <v>41</v>
      </c>
      <c r="K11314" t="s">
        <v>229</v>
      </c>
      <c r="Q11314">
        <v>0</v>
      </c>
      <c r="R11314">
        <v>132</v>
      </c>
      <c r="S11314">
        <v>132</v>
      </c>
      <c r="T11314" t="s">
        <v>41442</v>
      </c>
    </row>
    <row r="11315" spans="1:20" customFormat="1" ht="15" x14ac:dyDescent="0.25">
      <c r="A11315" t="s">
        <v>35</v>
      </c>
      <c r="B11315" t="s">
        <v>61</v>
      </c>
      <c r="C11315" t="str">
        <f>"A0124583"</f>
        <v>A0124583</v>
      </c>
      <c r="D11315" t="s">
        <v>41443</v>
      </c>
      <c r="E11315" t="s">
        <v>41444</v>
      </c>
      <c r="F11315" t="s">
        <v>41445</v>
      </c>
      <c r="G11315" t="s">
        <v>1706</v>
      </c>
      <c r="H11315">
        <v>354760000</v>
      </c>
      <c r="I11315" t="s">
        <v>30</v>
      </c>
      <c r="J11315" t="s">
        <v>41</v>
      </c>
      <c r="K11315" t="s">
        <v>229</v>
      </c>
      <c r="Q11315">
        <v>0</v>
      </c>
      <c r="R11315">
        <v>150</v>
      </c>
      <c r="S11315">
        <v>150</v>
      </c>
      <c r="T11315" t="s">
        <v>41446</v>
      </c>
    </row>
    <row r="11316" spans="1:20" customFormat="1" ht="15" x14ac:dyDescent="0.25">
      <c r="A11316" t="s">
        <v>35</v>
      </c>
      <c r="B11316" t="s">
        <v>61</v>
      </c>
      <c r="C11316" t="str">
        <f>"A0131876"</f>
        <v>A0131876</v>
      </c>
      <c r="D11316" t="s">
        <v>41447</v>
      </c>
      <c r="E11316" t="s">
        <v>41448</v>
      </c>
      <c r="F11316" t="s">
        <v>14105</v>
      </c>
      <c r="G11316" t="s">
        <v>65</v>
      </c>
      <c r="H11316">
        <v>442560000</v>
      </c>
      <c r="I11316" t="s">
        <v>30</v>
      </c>
      <c r="J11316" t="s">
        <v>41</v>
      </c>
      <c r="K11316" t="s">
        <v>59</v>
      </c>
      <c r="Q11316">
        <v>0</v>
      </c>
      <c r="R11316">
        <v>50</v>
      </c>
      <c r="S11316">
        <v>50</v>
      </c>
      <c r="T11316" t="s">
        <v>41449</v>
      </c>
    </row>
    <row r="11317" spans="1:20" customFormat="1" ht="15" x14ac:dyDescent="0.25">
      <c r="A11317" t="s">
        <v>35</v>
      </c>
      <c r="B11317" t="s">
        <v>61</v>
      </c>
      <c r="C11317" t="str">
        <f>"A0130324"</f>
        <v>A0130324</v>
      </c>
      <c r="D11317" t="s">
        <v>41450</v>
      </c>
      <c r="E11317" t="s">
        <v>41451</v>
      </c>
      <c r="F11317" t="s">
        <v>41151</v>
      </c>
      <c r="G11317" t="s">
        <v>1898</v>
      </c>
      <c r="H11317">
        <v>504360000</v>
      </c>
      <c r="I11317" t="s">
        <v>30</v>
      </c>
      <c r="J11317" t="s">
        <v>41</v>
      </c>
      <c r="K11317" t="s">
        <v>59</v>
      </c>
      <c r="Q11317">
        <v>0</v>
      </c>
      <c r="R11317">
        <v>23</v>
      </c>
      <c r="S11317">
        <v>23</v>
      </c>
      <c r="T11317" t="s">
        <v>41452</v>
      </c>
    </row>
    <row r="11318" spans="1:20" customFormat="1" ht="15" x14ac:dyDescent="0.25">
      <c r="A11318" t="s">
        <v>35</v>
      </c>
      <c r="B11318" t="s">
        <v>61</v>
      </c>
      <c r="C11318" t="str">
        <f>"A0125089"</f>
        <v>A0125089</v>
      </c>
      <c r="D11318" t="s">
        <v>41453</v>
      </c>
      <c r="E11318" t="s">
        <v>41454</v>
      </c>
      <c r="F11318" t="s">
        <v>41455</v>
      </c>
      <c r="G11318" t="s">
        <v>58</v>
      </c>
      <c r="H11318">
        <v>29835</v>
      </c>
      <c r="I11318" t="s">
        <v>30</v>
      </c>
      <c r="J11318" t="s">
        <v>41</v>
      </c>
      <c r="K11318" t="s">
        <v>59</v>
      </c>
      <c r="Q11318">
        <v>0</v>
      </c>
      <c r="R11318">
        <v>24</v>
      </c>
      <c r="S11318">
        <v>24</v>
      </c>
      <c r="T11318" t="s">
        <v>41456</v>
      </c>
    </row>
    <row r="11319" spans="1:20" customFormat="1" ht="15" x14ac:dyDescent="0.25">
      <c r="A11319" t="s">
        <v>35</v>
      </c>
      <c r="B11319" t="s">
        <v>61</v>
      </c>
      <c r="C11319" t="str">
        <f>"A0126051"</f>
        <v>A0126051</v>
      </c>
      <c r="D11319" t="s">
        <v>41457</v>
      </c>
      <c r="E11319" t="s">
        <v>41458</v>
      </c>
      <c r="F11319" t="s">
        <v>41459</v>
      </c>
      <c r="G11319" t="s">
        <v>314</v>
      </c>
      <c r="H11319">
        <v>20015</v>
      </c>
      <c r="I11319" t="s">
        <v>30</v>
      </c>
      <c r="J11319" t="s">
        <v>41</v>
      </c>
      <c r="K11319" t="s">
        <v>59</v>
      </c>
      <c r="Q11319">
        <v>0</v>
      </c>
      <c r="R11319">
        <v>33</v>
      </c>
      <c r="S11319">
        <v>33</v>
      </c>
      <c r="T11319" t="s">
        <v>41460</v>
      </c>
    </row>
    <row r="11320" spans="1:20" customFormat="1" ht="15" x14ac:dyDescent="0.25">
      <c r="A11320" t="s">
        <v>35</v>
      </c>
      <c r="B11320" t="s">
        <v>106</v>
      </c>
      <c r="C11320" t="str">
        <f>"A0135384"</f>
        <v>A0135384</v>
      </c>
      <c r="D11320" t="s">
        <v>41461</v>
      </c>
      <c r="E11320" t="s">
        <v>41462</v>
      </c>
      <c r="F11320" t="s">
        <v>27261</v>
      </c>
      <c r="G11320" t="s">
        <v>433</v>
      </c>
      <c r="H11320">
        <v>83864</v>
      </c>
      <c r="I11320" t="s">
        <v>30</v>
      </c>
      <c r="J11320" t="s">
        <v>111</v>
      </c>
      <c r="K11320" t="s">
        <v>112</v>
      </c>
      <c r="Q11320">
        <v>0</v>
      </c>
      <c r="R11320">
        <v>0</v>
      </c>
      <c r="S11320">
        <v>0</v>
      </c>
      <c r="T11320" t="s">
        <v>41463</v>
      </c>
    </row>
    <row r="11321" spans="1:20" customFormat="1" ht="15" x14ac:dyDescent="0.25">
      <c r="A11321" t="s">
        <v>35</v>
      </c>
      <c r="B11321" t="s">
        <v>61</v>
      </c>
      <c r="C11321" t="str">
        <f>"A0124032"</f>
        <v>A0124032</v>
      </c>
      <c r="D11321" t="s">
        <v>41464</v>
      </c>
      <c r="E11321" t="s">
        <v>41465</v>
      </c>
      <c r="F11321" t="s">
        <v>15684</v>
      </c>
      <c r="G11321" t="s">
        <v>214</v>
      </c>
      <c r="H11321">
        <v>27105</v>
      </c>
      <c r="I11321" t="s">
        <v>30</v>
      </c>
      <c r="J11321" t="s">
        <v>41</v>
      </c>
      <c r="K11321" t="s">
        <v>482</v>
      </c>
      <c r="Q11321">
        <v>0</v>
      </c>
      <c r="R11321">
        <v>60</v>
      </c>
      <c r="S11321">
        <v>60</v>
      </c>
      <c r="T11321" t="s">
        <v>41466</v>
      </c>
    </row>
    <row r="11322" spans="1:20" customFormat="1" ht="15" x14ac:dyDescent="0.25">
      <c r="A11322" t="s">
        <v>35</v>
      </c>
      <c r="B11322" t="s">
        <v>61</v>
      </c>
      <c r="C11322" t="str">
        <f>"A0129162"</f>
        <v>A0129162</v>
      </c>
      <c r="D11322" t="s">
        <v>41467</v>
      </c>
      <c r="E11322" t="s">
        <v>41468</v>
      </c>
      <c r="F11322" t="s">
        <v>19228</v>
      </c>
      <c r="G11322" t="s">
        <v>289</v>
      </c>
      <c r="H11322">
        <v>61201</v>
      </c>
      <c r="I11322" t="s">
        <v>30</v>
      </c>
      <c r="J11322" t="s">
        <v>41</v>
      </c>
      <c r="K11322" t="s">
        <v>59</v>
      </c>
      <c r="Q11322">
        <v>0</v>
      </c>
      <c r="R11322">
        <v>144</v>
      </c>
      <c r="S11322">
        <v>144</v>
      </c>
      <c r="T11322" t="s">
        <v>41469</v>
      </c>
    </row>
    <row r="11323" spans="1:20" customFormat="1" ht="15" x14ac:dyDescent="0.25">
      <c r="A11323" t="s">
        <v>35</v>
      </c>
      <c r="B11323" t="s">
        <v>106</v>
      </c>
      <c r="C11323" t="str">
        <f>"A0136142"</f>
        <v>A0136142</v>
      </c>
      <c r="D11323" t="s">
        <v>41470</v>
      </c>
      <c r="E11323" t="s">
        <v>41434</v>
      </c>
      <c r="F11323" t="s">
        <v>93</v>
      </c>
      <c r="G11323" t="s">
        <v>1706</v>
      </c>
      <c r="H11323">
        <v>36057</v>
      </c>
      <c r="I11323" t="s">
        <v>30</v>
      </c>
      <c r="J11323" t="s">
        <v>111</v>
      </c>
      <c r="K11323" t="s">
        <v>112</v>
      </c>
      <c r="Q11323">
        <v>0</v>
      </c>
      <c r="R11323">
        <v>0</v>
      </c>
      <c r="S11323">
        <v>0</v>
      </c>
      <c r="T11323" t="s">
        <v>41471</v>
      </c>
    </row>
    <row r="11324" spans="1:20" customFormat="1" ht="15" x14ac:dyDescent="0.25">
      <c r="A11324" t="s">
        <v>35</v>
      </c>
      <c r="B11324" t="s">
        <v>61</v>
      </c>
      <c r="C11324" t="str">
        <f>"A0125875"</f>
        <v>A0125875</v>
      </c>
      <c r="D11324" t="s">
        <v>41472</v>
      </c>
      <c r="E11324" t="s">
        <v>41473</v>
      </c>
      <c r="F11324" t="s">
        <v>1916</v>
      </c>
      <c r="G11324" t="s">
        <v>29</v>
      </c>
      <c r="H11324">
        <v>24201</v>
      </c>
      <c r="I11324" t="s">
        <v>30</v>
      </c>
      <c r="J11324" t="s">
        <v>41</v>
      </c>
      <c r="K11324" t="s">
        <v>59</v>
      </c>
      <c r="Q11324">
        <v>0</v>
      </c>
      <c r="R11324">
        <v>44</v>
      </c>
      <c r="S11324">
        <v>44</v>
      </c>
      <c r="T11324" t="s">
        <v>41474</v>
      </c>
    </row>
    <row r="11325" spans="1:20" customFormat="1" ht="15" x14ac:dyDescent="0.25">
      <c r="A11325" t="s">
        <v>35</v>
      </c>
      <c r="B11325" t="s">
        <v>61</v>
      </c>
      <c r="C11325" t="str">
        <f>"A0133166"</f>
        <v>A0133166</v>
      </c>
      <c r="D11325" t="s">
        <v>41475</v>
      </c>
      <c r="E11325" t="s">
        <v>41476</v>
      </c>
      <c r="F11325" t="s">
        <v>853</v>
      </c>
      <c r="G11325" t="s">
        <v>52</v>
      </c>
      <c r="H11325">
        <v>76108</v>
      </c>
      <c r="I11325" t="s">
        <v>30</v>
      </c>
      <c r="J11325" t="s">
        <v>41</v>
      </c>
      <c r="K11325" t="s">
        <v>229</v>
      </c>
      <c r="Q11325">
        <v>0</v>
      </c>
      <c r="R11325">
        <v>130</v>
      </c>
      <c r="S11325">
        <v>130</v>
      </c>
      <c r="T11325" t="s">
        <v>41477</v>
      </c>
    </row>
    <row r="11326" spans="1:20" customFormat="1" ht="15" x14ac:dyDescent="0.25">
      <c r="A11326" t="s">
        <v>35</v>
      </c>
      <c r="B11326" t="s">
        <v>106</v>
      </c>
      <c r="C11326" t="str">
        <f>"A0135416"</f>
        <v>A0135416</v>
      </c>
      <c r="D11326" t="s">
        <v>41478</v>
      </c>
      <c r="E11326" t="s">
        <v>41479</v>
      </c>
      <c r="F11326" t="s">
        <v>1277</v>
      </c>
      <c r="G11326" t="s">
        <v>110</v>
      </c>
      <c r="H11326">
        <v>92407</v>
      </c>
      <c r="I11326" t="s">
        <v>30</v>
      </c>
      <c r="J11326" t="s">
        <v>111</v>
      </c>
      <c r="K11326" t="s">
        <v>10012</v>
      </c>
      <c r="Q11326">
        <v>0</v>
      </c>
      <c r="R11326">
        <v>0</v>
      </c>
      <c r="S11326">
        <v>0</v>
      </c>
      <c r="T11326" t="s">
        <v>41480</v>
      </c>
    </row>
    <row r="11327" spans="1:20" customFormat="1" ht="15" x14ac:dyDescent="0.25">
      <c r="A11327" t="s">
        <v>35</v>
      </c>
      <c r="B11327" t="s">
        <v>106</v>
      </c>
      <c r="C11327" t="str">
        <f>"A0135414"</f>
        <v>A0135414</v>
      </c>
      <c r="D11327" t="s">
        <v>41481</v>
      </c>
      <c r="E11327" t="s">
        <v>41479</v>
      </c>
      <c r="F11327" t="s">
        <v>1277</v>
      </c>
      <c r="G11327" t="s">
        <v>110</v>
      </c>
      <c r="H11327">
        <v>92407</v>
      </c>
      <c r="I11327" t="s">
        <v>30</v>
      </c>
      <c r="J11327" t="s">
        <v>111</v>
      </c>
      <c r="K11327" t="s">
        <v>10012</v>
      </c>
      <c r="Q11327">
        <v>0</v>
      </c>
      <c r="R11327">
        <v>0</v>
      </c>
      <c r="S11327">
        <v>0</v>
      </c>
      <c r="T11327" t="s">
        <v>41482</v>
      </c>
    </row>
    <row r="11328" spans="1:20" customFormat="1" ht="15" x14ac:dyDescent="0.25">
      <c r="A11328" t="s">
        <v>35</v>
      </c>
      <c r="B11328" t="s">
        <v>106</v>
      </c>
      <c r="C11328" t="str">
        <f>"A0135417"</f>
        <v>A0135417</v>
      </c>
      <c r="D11328" t="s">
        <v>41483</v>
      </c>
      <c r="E11328" t="s">
        <v>41479</v>
      </c>
      <c r="F11328" t="s">
        <v>1277</v>
      </c>
      <c r="G11328" t="s">
        <v>110</v>
      </c>
      <c r="H11328">
        <v>92407</v>
      </c>
      <c r="I11328" t="s">
        <v>30</v>
      </c>
      <c r="J11328" t="s">
        <v>111</v>
      </c>
      <c r="K11328" t="s">
        <v>10012</v>
      </c>
      <c r="Q11328">
        <v>0</v>
      </c>
      <c r="R11328">
        <v>0</v>
      </c>
      <c r="S11328">
        <v>0</v>
      </c>
      <c r="T11328" t="s">
        <v>41480</v>
      </c>
    </row>
    <row r="11329" spans="1:20" customFormat="1" ht="15" x14ac:dyDescent="0.25">
      <c r="A11329" t="s">
        <v>35</v>
      </c>
      <c r="B11329" t="s">
        <v>106</v>
      </c>
      <c r="C11329" t="str">
        <f>"A0135418"</f>
        <v>A0135418</v>
      </c>
      <c r="D11329" t="s">
        <v>41484</v>
      </c>
      <c r="E11329" t="s">
        <v>41479</v>
      </c>
      <c r="F11329" t="s">
        <v>1277</v>
      </c>
      <c r="G11329" t="s">
        <v>110</v>
      </c>
      <c r="H11329">
        <v>92407</v>
      </c>
      <c r="I11329" t="s">
        <v>30</v>
      </c>
      <c r="J11329" t="s">
        <v>111</v>
      </c>
      <c r="K11329" t="s">
        <v>10012</v>
      </c>
      <c r="Q11329">
        <v>0</v>
      </c>
      <c r="R11329">
        <v>0</v>
      </c>
      <c r="S11329">
        <v>0</v>
      </c>
      <c r="T11329" t="s">
        <v>41480</v>
      </c>
    </row>
    <row r="11330" spans="1:20" customFormat="1" ht="15" x14ac:dyDescent="0.25">
      <c r="A11330" t="s">
        <v>35</v>
      </c>
      <c r="B11330" t="s">
        <v>106</v>
      </c>
      <c r="C11330" t="str">
        <f>"A0135415"</f>
        <v>A0135415</v>
      </c>
      <c r="D11330" t="s">
        <v>41485</v>
      </c>
      <c r="E11330" t="s">
        <v>41486</v>
      </c>
      <c r="F11330" t="s">
        <v>1277</v>
      </c>
      <c r="G11330" t="s">
        <v>110</v>
      </c>
      <c r="H11330">
        <v>92407</v>
      </c>
      <c r="I11330" t="s">
        <v>30</v>
      </c>
      <c r="J11330" t="s">
        <v>111</v>
      </c>
      <c r="K11330" t="s">
        <v>10012</v>
      </c>
      <c r="Q11330">
        <v>0</v>
      </c>
      <c r="R11330">
        <v>0</v>
      </c>
      <c r="S11330">
        <v>0</v>
      </c>
      <c r="T11330" t="s">
        <v>41480</v>
      </c>
    </row>
    <row r="11331" spans="1:20" customFormat="1" ht="15" x14ac:dyDescent="0.25">
      <c r="A11331" t="s">
        <v>35</v>
      </c>
      <c r="B11331" t="s">
        <v>61</v>
      </c>
      <c r="C11331" t="str">
        <f>"A0122673"</f>
        <v>A0122673</v>
      </c>
      <c r="D11331" t="s">
        <v>41487</v>
      </c>
      <c r="E11331" t="s">
        <v>41488</v>
      </c>
      <c r="F11331" t="s">
        <v>37844</v>
      </c>
      <c r="G11331" t="s">
        <v>76</v>
      </c>
      <c r="H11331">
        <v>908110000</v>
      </c>
      <c r="I11331" t="s">
        <v>30</v>
      </c>
      <c r="J11331" t="s">
        <v>41</v>
      </c>
      <c r="K11331" t="s">
        <v>59</v>
      </c>
      <c r="Q11331">
        <v>0</v>
      </c>
      <c r="R11331">
        <v>120</v>
      </c>
      <c r="S11331">
        <v>120</v>
      </c>
      <c r="T11331" t="s">
        <v>41489</v>
      </c>
    </row>
    <row r="11332" spans="1:20" customFormat="1" ht="15" x14ac:dyDescent="0.25">
      <c r="A11332" t="s">
        <v>35</v>
      </c>
      <c r="B11332" t="s">
        <v>61</v>
      </c>
      <c r="C11332" t="str">
        <f>"A0153033"</f>
        <v>A0153033</v>
      </c>
      <c r="D11332" t="s">
        <v>12720</v>
      </c>
      <c r="E11332" t="s">
        <v>41490</v>
      </c>
      <c r="F11332" t="s">
        <v>14154</v>
      </c>
      <c r="G11332" t="s">
        <v>110</v>
      </c>
      <c r="H11332">
        <v>92672</v>
      </c>
      <c r="I11332" t="s">
        <v>30</v>
      </c>
      <c r="J11332" t="s">
        <v>41</v>
      </c>
      <c r="K11332" t="s">
        <v>290</v>
      </c>
      <c r="Q11332">
        <v>0</v>
      </c>
      <c r="R11332">
        <v>0</v>
      </c>
      <c r="S11332">
        <v>0</v>
      </c>
      <c r="T11332" t="s">
        <v>41491</v>
      </c>
    </row>
    <row r="11333" spans="1:20" customFormat="1" ht="15" x14ac:dyDescent="0.25">
      <c r="A11333" t="s">
        <v>35</v>
      </c>
      <c r="B11333" t="s">
        <v>61</v>
      </c>
      <c r="C11333" t="str">
        <f>"A0133293"</f>
        <v>A0133293</v>
      </c>
      <c r="D11333" t="s">
        <v>41492</v>
      </c>
      <c r="E11333" t="s">
        <v>41493</v>
      </c>
      <c r="F11333" t="s">
        <v>41494</v>
      </c>
      <c r="G11333" t="s">
        <v>52</v>
      </c>
      <c r="H11333">
        <v>750984004</v>
      </c>
      <c r="I11333" t="s">
        <v>30</v>
      </c>
      <c r="J11333" t="s">
        <v>41</v>
      </c>
      <c r="K11333" t="s">
        <v>229</v>
      </c>
      <c r="Q11333">
        <v>0</v>
      </c>
      <c r="R11333">
        <v>120</v>
      </c>
      <c r="S11333">
        <v>120</v>
      </c>
      <c r="T11333" t="s">
        <v>41495</v>
      </c>
    </row>
    <row r="11334" spans="1:20" customFormat="1" ht="15" x14ac:dyDescent="0.25">
      <c r="A11334" t="s">
        <v>35</v>
      </c>
      <c r="B11334" t="s">
        <v>61</v>
      </c>
      <c r="C11334" t="str">
        <f>"A0126431"</f>
        <v>A0126431</v>
      </c>
      <c r="D11334" t="s">
        <v>41496</v>
      </c>
      <c r="E11334" t="s">
        <v>41497</v>
      </c>
      <c r="F11334" t="s">
        <v>24728</v>
      </c>
      <c r="G11334" t="s">
        <v>81</v>
      </c>
      <c r="H11334">
        <v>33161</v>
      </c>
      <c r="I11334" t="s">
        <v>30</v>
      </c>
      <c r="J11334" t="s">
        <v>41</v>
      </c>
      <c r="K11334" t="s">
        <v>229</v>
      </c>
      <c r="Q11334">
        <v>0</v>
      </c>
      <c r="R11334">
        <v>0</v>
      </c>
      <c r="S11334">
        <v>0</v>
      </c>
      <c r="T11334" t="s">
        <v>41498</v>
      </c>
    </row>
    <row r="11335" spans="1:20" customFormat="1" ht="15" x14ac:dyDescent="0.25">
      <c r="A11335" t="s">
        <v>35</v>
      </c>
      <c r="B11335" t="s">
        <v>61</v>
      </c>
      <c r="C11335" t="str">
        <f>"A0123107"</f>
        <v>A0123107</v>
      </c>
      <c r="D11335" t="s">
        <v>41499</v>
      </c>
      <c r="E11335" t="s">
        <v>41500</v>
      </c>
      <c r="F11335" t="s">
        <v>3744</v>
      </c>
      <c r="G11335" t="s">
        <v>47</v>
      </c>
      <c r="H11335">
        <v>97504</v>
      </c>
      <c r="I11335" t="s">
        <v>30</v>
      </c>
      <c r="J11335" t="s">
        <v>41</v>
      </c>
      <c r="K11335" t="s">
        <v>59</v>
      </c>
      <c r="Q11335">
        <v>0</v>
      </c>
      <c r="R11335">
        <v>132</v>
      </c>
      <c r="S11335">
        <v>132</v>
      </c>
      <c r="T11335" t="s">
        <v>41501</v>
      </c>
    </row>
    <row r="11336" spans="1:20" customFormat="1" ht="15" x14ac:dyDescent="0.25">
      <c r="A11336" t="s">
        <v>35</v>
      </c>
      <c r="B11336" t="s">
        <v>61</v>
      </c>
      <c r="C11336" t="str">
        <f>"A0125287"</f>
        <v>A0125287</v>
      </c>
      <c r="D11336" t="s">
        <v>41502</v>
      </c>
      <c r="E11336" t="s">
        <v>41503</v>
      </c>
      <c r="F11336" t="s">
        <v>41504</v>
      </c>
      <c r="G11336" t="s">
        <v>40</v>
      </c>
      <c r="H11336">
        <v>74437</v>
      </c>
      <c r="I11336" t="s">
        <v>30</v>
      </c>
      <c r="J11336" t="s">
        <v>41</v>
      </c>
      <c r="K11336" t="s">
        <v>229</v>
      </c>
      <c r="Q11336">
        <v>0</v>
      </c>
      <c r="R11336">
        <v>140</v>
      </c>
      <c r="S11336">
        <v>140</v>
      </c>
      <c r="T11336" t="s">
        <v>41505</v>
      </c>
    </row>
    <row r="11337" spans="1:20" customFormat="1" ht="15" x14ac:dyDescent="0.25">
      <c r="A11337" t="s">
        <v>35</v>
      </c>
      <c r="B11337" t="s">
        <v>61</v>
      </c>
      <c r="C11337" t="str">
        <f>"A0127579"</f>
        <v>A0127579</v>
      </c>
      <c r="D11337" t="s">
        <v>41506</v>
      </c>
      <c r="E11337" t="s">
        <v>41507</v>
      </c>
      <c r="F11337" t="s">
        <v>6137</v>
      </c>
      <c r="G11337" t="s">
        <v>123</v>
      </c>
      <c r="H11337">
        <v>209100000</v>
      </c>
      <c r="I11337" t="s">
        <v>30</v>
      </c>
      <c r="J11337" t="s">
        <v>41</v>
      </c>
      <c r="K11337" t="s">
        <v>229</v>
      </c>
      <c r="Q11337">
        <v>0</v>
      </c>
      <c r="R11337">
        <v>87</v>
      </c>
      <c r="S11337">
        <v>87</v>
      </c>
      <c r="T11337" t="s">
        <v>41508</v>
      </c>
    </row>
    <row r="11338" spans="1:20" customFormat="1" ht="15" x14ac:dyDescent="0.25">
      <c r="A11338" t="s">
        <v>35</v>
      </c>
      <c r="B11338" t="s">
        <v>61</v>
      </c>
      <c r="C11338" t="str">
        <f>"A0123733"</f>
        <v>A0123733</v>
      </c>
      <c r="D11338" t="s">
        <v>41509</v>
      </c>
      <c r="E11338" t="s">
        <v>41510</v>
      </c>
      <c r="F11338" t="s">
        <v>7086</v>
      </c>
      <c r="G11338" t="s">
        <v>214</v>
      </c>
      <c r="H11338">
        <v>28374</v>
      </c>
      <c r="I11338" t="s">
        <v>30</v>
      </c>
      <c r="J11338" t="s">
        <v>41</v>
      </c>
      <c r="K11338" t="s">
        <v>482</v>
      </c>
      <c r="Q11338">
        <v>0</v>
      </c>
      <c r="R11338">
        <v>120</v>
      </c>
      <c r="S11338">
        <v>120</v>
      </c>
      <c r="T11338" t="s">
        <v>41511</v>
      </c>
    </row>
    <row r="11339" spans="1:20" customFormat="1" ht="15" x14ac:dyDescent="0.25">
      <c r="A11339" t="s">
        <v>35</v>
      </c>
      <c r="B11339" t="s">
        <v>61</v>
      </c>
      <c r="C11339" t="str">
        <f>"A0150688"</f>
        <v>A0150688</v>
      </c>
      <c r="D11339" t="s">
        <v>41512</v>
      </c>
      <c r="E11339" t="s">
        <v>41513</v>
      </c>
      <c r="F11339" t="s">
        <v>26827</v>
      </c>
      <c r="G11339" t="s">
        <v>433</v>
      </c>
      <c r="H11339">
        <v>83616</v>
      </c>
      <c r="I11339" t="s">
        <v>30</v>
      </c>
      <c r="J11339" t="s">
        <v>41</v>
      </c>
      <c r="K11339" t="s">
        <v>59</v>
      </c>
      <c r="Q11339">
        <v>0</v>
      </c>
      <c r="R11339">
        <v>60</v>
      </c>
      <c r="S11339">
        <v>60</v>
      </c>
      <c r="T11339" t="s">
        <v>41514</v>
      </c>
    </row>
    <row r="11340" spans="1:20" customFormat="1" ht="15" x14ac:dyDescent="0.25">
      <c r="A11340" t="s">
        <v>35</v>
      </c>
      <c r="B11340" t="s">
        <v>61</v>
      </c>
      <c r="C11340" t="str">
        <f>"A0123734"</f>
        <v>A0123734</v>
      </c>
      <c r="D11340" t="s">
        <v>41515</v>
      </c>
      <c r="E11340" t="s">
        <v>41516</v>
      </c>
      <c r="F11340" t="s">
        <v>4591</v>
      </c>
      <c r="G11340" t="s">
        <v>29</v>
      </c>
      <c r="H11340">
        <v>243540880</v>
      </c>
      <c r="I11340" t="s">
        <v>30</v>
      </c>
      <c r="J11340" t="s">
        <v>41</v>
      </c>
      <c r="K11340" t="s">
        <v>229</v>
      </c>
      <c r="Q11340">
        <v>0</v>
      </c>
      <c r="R11340">
        <v>109</v>
      </c>
      <c r="S11340">
        <v>109</v>
      </c>
      <c r="T11340" t="s">
        <v>41517</v>
      </c>
    </row>
    <row r="11341" spans="1:20" customFormat="1" ht="15" x14ac:dyDescent="0.25">
      <c r="A11341" t="s">
        <v>35</v>
      </c>
      <c r="B11341" t="s">
        <v>61</v>
      </c>
      <c r="C11341" t="str">
        <f>"A0132614"</f>
        <v>A0132614</v>
      </c>
      <c r="D11341" t="s">
        <v>41518</v>
      </c>
      <c r="E11341" t="s">
        <v>41519</v>
      </c>
      <c r="F11341" t="s">
        <v>2748</v>
      </c>
      <c r="G11341" t="s">
        <v>65</v>
      </c>
      <c r="H11341">
        <v>436230000</v>
      </c>
      <c r="I11341" t="s">
        <v>30</v>
      </c>
      <c r="J11341" t="s">
        <v>41</v>
      </c>
      <c r="K11341" t="s">
        <v>229</v>
      </c>
      <c r="Q11341">
        <v>0</v>
      </c>
      <c r="R11341">
        <v>99</v>
      </c>
      <c r="S11341">
        <v>99</v>
      </c>
      <c r="T11341" t="s">
        <v>41520</v>
      </c>
    </row>
    <row r="11342" spans="1:20" customFormat="1" ht="15" x14ac:dyDescent="0.25">
      <c r="A11342" t="s">
        <v>35</v>
      </c>
      <c r="B11342" t="s">
        <v>61</v>
      </c>
      <c r="C11342" t="str">
        <f>"A0128953"</f>
        <v>A0128953</v>
      </c>
      <c r="D11342" t="s">
        <v>41521</v>
      </c>
      <c r="E11342" t="s">
        <v>41522</v>
      </c>
      <c r="F11342" t="s">
        <v>36681</v>
      </c>
      <c r="G11342" t="s">
        <v>289</v>
      </c>
      <c r="H11342">
        <v>601850000</v>
      </c>
      <c r="I11342" t="s">
        <v>30</v>
      </c>
      <c r="J11342" t="s">
        <v>41</v>
      </c>
      <c r="K11342" t="s">
        <v>59</v>
      </c>
      <c r="Q11342">
        <v>0</v>
      </c>
      <c r="R11342">
        <v>70</v>
      </c>
      <c r="S11342">
        <v>70</v>
      </c>
      <c r="T11342" t="s">
        <v>41523</v>
      </c>
    </row>
    <row r="11343" spans="1:20" customFormat="1" ht="15" x14ac:dyDescent="0.25">
      <c r="A11343" t="s">
        <v>35</v>
      </c>
      <c r="B11343" t="s">
        <v>61</v>
      </c>
      <c r="C11343" t="str">
        <f>"A0122683"</f>
        <v>A0122683</v>
      </c>
      <c r="D11343" t="s">
        <v>41524</v>
      </c>
      <c r="E11343" t="s">
        <v>41525</v>
      </c>
      <c r="F11343" t="s">
        <v>1039</v>
      </c>
      <c r="G11343" t="s">
        <v>76</v>
      </c>
      <c r="H11343">
        <v>98407</v>
      </c>
      <c r="I11343" t="s">
        <v>30</v>
      </c>
      <c r="J11343" t="s">
        <v>41</v>
      </c>
      <c r="K11343" t="s">
        <v>1440</v>
      </c>
      <c r="Q11343">
        <v>0</v>
      </c>
      <c r="R11343">
        <v>205</v>
      </c>
      <c r="S11343">
        <v>205</v>
      </c>
      <c r="T11343" t="s">
        <v>41526</v>
      </c>
    </row>
    <row r="11344" spans="1:20" customFormat="1" ht="15" x14ac:dyDescent="0.25">
      <c r="A11344" t="s">
        <v>35</v>
      </c>
      <c r="B11344" t="s">
        <v>437</v>
      </c>
      <c r="C11344" t="str">
        <f>"A0134922"</f>
        <v>A0134922</v>
      </c>
      <c r="D11344" t="s">
        <v>41527</v>
      </c>
      <c r="E11344" t="s">
        <v>30643</v>
      </c>
      <c r="F11344" t="s">
        <v>41528</v>
      </c>
      <c r="G11344" t="s">
        <v>99</v>
      </c>
      <c r="H11344">
        <v>13420</v>
      </c>
      <c r="I11344" t="s">
        <v>30</v>
      </c>
      <c r="J11344" t="s">
        <v>441</v>
      </c>
      <c r="K11344" t="s">
        <v>442</v>
      </c>
      <c r="Q11344">
        <v>0</v>
      </c>
      <c r="R11344">
        <v>0</v>
      </c>
      <c r="S11344">
        <v>0</v>
      </c>
      <c r="T11344" t="s">
        <v>41529</v>
      </c>
    </row>
    <row r="11345" spans="1:20" customFormat="1" ht="15" x14ac:dyDescent="0.25">
      <c r="A11345" t="s">
        <v>35</v>
      </c>
      <c r="B11345" t="s">
        <v>437</v>
      </c>
      <c r="C11345" t="str">
        <f>"A0134754"</f>
        <v>A0134754</v>
      </c>
      <c r="D11345" t="s">
        <v>41530</v>
      </c>
      <c r="E11345" t="s">
        <v>41531</v>
      </c>
      <c r="F11345" t="s">
        <v>41532</v>
      </c>
      <c r="G11345" t="s">
        <v>99</v>
      </c>
      <c r="H11345">
        <v>13420</v>
      </c>
      <c r="I11345" t="s">
        <v>30</v>
      </c>
      <c r="J11345" t="s">
        <v>441</v>
      </c>
      <c r="K11345" t="s">
        <v>442</v>
      </c>
      <c r="Q11345">
        <v>0</v>
      </c>
      <c r="R11345">
        <v>0</v>
      </c>
      <c r="S11345">
        <v>0</v>
      </c>
      <c r="T11345" t="s">
        <v>41529</v>
      </c>
    </row>
    <row r="11346" spans="1:20" customFormat="1" ht="15" x14ac:dyDescent="0.25">
      <c r="A11346" t="s">
        <v>35</v>
      </c>
      <c r="B11346" t="s">
        <v>61</v>
      </c>
      <c r="C11346" t="str">
        <f>"A0123287"</f>
        <v>A0123287</v>
      </c>
      <c r="D11346" t="s">
        <v>41533</v>
      </c>
      <c r="E11346" t="s">
        <v>41534</v>
      </c>
      <c r="F11346" t="s">
        <v>26644</v>
      </c>
      <c r="G11346" t="s">
        <v>29</v>
      </c>
      <c r="H11346" t="s">
        <v>41535</v>
      </c>
      <c r="I11346" t="s">
        <v>30</v>
      </c>
      <c r="J11346" t="s">
        <v>41</v>
      </c>
      <c r="K11346" t="s">
        <v>229</v>
      </c>
      <c r="Q11346">
        <v>0</v>
      </c>
      <c r="R11346">
        <v>60</v>
      </c>
      <c r="S11346">
        <v>60</v>
      </c>
      <c r="T11346" t="s">
        <v>4623</v>
      </c>
    </row>
    <row r="11347" spans="1:20" customFormat="1" ht="15" x14ac:dyDescent="0.25">
      <c r="A11347" t="s">
        <v>35</v>
      </c>
      <c r="B11347" t="s">
        <v>61</v>
      </c>
      <c r="C11347" t="str">
        <f>"A0128150"</f>
        <v>A0128150</v>
      </c>
      <c r="D11347" t="s">
        <v>41536</v>
      </c>
      <c r="E11347" t="s">
        <v>41537</v>
      </c>
      <c r="F11347" t="s">
        <v>17551</v>
      </c>
      <c r="G11347" t="s">
        <v>117</v>
      </c>
      <c r="H11347">
        <v>48033</v>
      </c>
      <c r="I11347" t="s">
        <v>30</v>
      </c>
      <c r="J11347" t="s">
        <v>41</v>
      </c>
      <c r="K11347" t="s">
        <v>59</v>
      </c>
      <c r="Q11347">
        <v>0</v>
      </c>
      <c r="R11347">
        <v>87</v>
      </c>
      <c r="S11347">
        <v>87</v>
      </c>
      <c r="T11347" t="s">
        <v>41538</v>
      </c>
    </row>
    <row r="11348" spans="1:20" customFormat="1" ht="15" x14ac:dyDescent="0.25">
      <c r="A11348" t="s">
        <v>35</v>
      </c>
      <c r="B11348" t="s">
        <v>106</v>
      </c>
      <c r="C11348" t="str">
        <f>"A0135339"</f>
        <v>A0135339</v>
      </c>
      <c r="D11348" t="s">
        <v>41539</v>
      </c>
      <c r="E11348" t="s">
        <v>41540</v>
      </c>
      <c r="F11348" t="s">
        <v>41541</v>
      </c>
      <c r="G11348" t="s">
        <v>110</v>
      </c>
      <c r="H11348">
        <v>90262</v>
      </c>
      <c r="I11348" t="s">
        <v>30</v>
      </c>
      <c r="J11348" t="s">
        <v>111</v>
      </c>
      <c r="K11348" t="s">
        <v>112</v>
      </c>
      <c r="Q11348">
        <v>0</v>
      </c>
      <c r="R11348">
        <v>0</v>
      </c>
      <c r="S11348">
        <v>0</v>
      </c>
      <c r="T11348" t="s">
        <v>41542</v>
      </c>
    </row>
    <row r="11349" spans="1:20" customFormat="1" ht="15" x14ac:dyDescent="0.25">
      <c r="A11349" t="s">
        <v>35</v>
      </c>
      <c r="B11349" t="s">
        <v>106</v>
      </c>
      <c r="C11349" t="str">
        <f>"A0135342"</f>
        <v>A0135342</v>
      </c>
      <c r="D11349" t="s">
        <v>41543</v>
      </c>
      <c r="E11349" t="s">
        <v>41544</v>
      </c>
      <c r="F11349" t="s">
        <v>41541</v>
      </c>
      <c r="G11349" t="s">
        <v>110</v>
      </c>
      <c r="H11349">
        <v>90262</v>
      </c>
      <c r="I11349" t="s">
        <v>30</v>
      </c>
      <c r="J11349" t="s">
        <v>111</v>
      </c>
      <c r="K11349" t="s">
        <v>112</v>
      </c>
      <c r="Q11349">
        <v>0</v>
      </c>
      <c r="R11349">
        <v>0</v>
      </c>
      <c r="S11349">
        <v>0</v>
      </c>
      <c r="T11349" t="s">
        <v>41542</v>
      </c>
    </row>
    <row r="11350" spans="1:20" customFormat="1" ht="15" x14ac:dyDescent="0.25">
      <c r="A11350" t="s">
        <v>35</v>
      </c>
      <c r="B11350" t="s">
        <v>106</v>
      </c>
      <c r="C11350" t="str">
        <f>"A0135343"</f>
        <v>A0135343</v>
      </c>
      <c r="D11350" t="s">
        <v>41545</v>
      </c>
      <c r="E11350" t="s">
        <v>41546</v>
      </c>
      <c r="F11350" t="s">
        <v>41541</v>
      </c>
      <c r="G11350" t="s">
        <v>110</v>
      </c>
      <c r="H11350">
        <v>90262</v>
      </c>
      <c r="I11350" t="s">
        <v>30</v>
      </c>
      <c r="J11350" t="s">
        <v>111</v>
      </c>
      <c r="K11350" t="s">
        <v>112</v>
      </c>
      <c r="Q11350">
        <v>0</v>
      </c>
      <c r="R11350">
        <v>0</v>
      </c>
      <c r="S11350">
        <v>0</v>
      </c>
      <c r="T11350" t="s">
        <v>41542</v>
      </c>
    </row>
    <row r="11351" spans="1:20" customFormat="1" ht="15" x14ac:dyDescent="0.25">
      <c r="A11351" t="s">
        <v>35</v>
      </c>
      <c r="B11351" t="s">
        <v>106</v>
      </c>
      <c r="C11351" t="str">
        <f>"A0135344"</f>
        <v>A0135344</v>
      </c>
      <c r="D11351" t="s">
        <v>41547</v>
      </c>
      <c r="E11351" t="s">
        <v>41548</v>
      </c>
      <c r="F11351" t="s">
        <v>41541</v>
      </c>
      <c r="G11351" t="s">
        <v>110</v>
      </c>
      <c r="H11351">
        <v>90262</v>
      </c>
      <c r="I11351" t="s">
        <v>30</v>
      </c>
      <c r="J11351" t="s">
        <v>111</v>
      </c>
      <c r="K11351" t="s">
        <v>112</v>
      </c>
      <c r="Q11351">
        <v>0</v>
      </c>
      <c r="R11351">
        <v>0</v>
      </c>
      <c r="S11351">
        <v>0</v>
      </c>
      <c r="T11351" t="s">
        <v>41542</v>
      </c>
    </row>
    <row r="11352" spans="1:20" customFormat="1" ht="15" x14ac:dyDescent="0.25">
      <c r="A11352" t="s">
        <v>35</v>
      </c>
      <c r="B11352" t="s">
        <v>106</v>
      </c>
      <c r="C11352" t="str">
        <f>"A0135338"</f>
        <v>A0135338</v>
      </c>
      <c r="D11352" t="s">
        <v>41549</v>
      </c>
      <c r="E11352" t="s">
        <v>41550</v>
      </c>
      <c r="F11352" t="s">
        <v>41541</v>
      </c>
      <c r="G11352" t="s">
        <v>110</v>
      </c>
      <c r="H11352">
        <v>90262</v>
      </c>
      <c r="I11352" t="s">
        <v>30</v>
      </c>
      <c r="J11352" t="s">
        <v>111</v>
      </c>
      <c r="K11352" t="s">
        <v>112</v>
      </c>
      <c r="Q11352">
        <v>0</v>
      </c>
      <c r="R11352">
        <v>0</v>
      </c>
      <c r="S11352">
        <v>0</v>
      </c>
      <c r="T11352" t="s">
        <v>41542</v>
      </c>
    </row>
    <row r="11353" spans="1:20" customFormat="1" ht="15" x14ac:dyDescent="0.25">
      <c r="A11353" t="s">
        <v>35</v>
      </c>
      <c r="B11353" t="s">
        <v>61</v>
      </c>
      <c r="C11353" t="str">
        <f>"A0122662"</f>
        <v>A0122662</v>
      </c>
      <c r="D11353" t="s">
        <v>41551</v>
      </c>
      <c r="E11353" t="s">
        <v>41552</v>
      </c>
      <c r="F11353" t="s">
        <v>1444</v>
      </c>
      <c r="G11353" t="s">
        <v>76</v>
      </c>
      <c r="H11353">
        <v>981220000</v>
      </c>
      <c r="I11353" t="s">
        <v>30</v>
      </c>
      <c r="J11353" t="s">
        <v>41</v>
      </c>
      <c r="K11353" t="s">
        <v>59</v>
      </c>
      <c r="Q11353">
        <v>0</v>
      </c>
      <c r="R11353">
        <v>82</v>
      </c>
      <c r="S11353">
        <v>82</v>
      </c>
      <c r="T11353" t="s">
        <v>41553</v>
      </c>
    </row>
    <row r="11354" spans="1:20" customFormat="1" ht="15" x14ac:dyDescent="0.25">
      <c r="A11354" t="s">
        <v>35</v>
      </c>
      <c r="B11354" t="s">
        <v>61</v>
      </c>
      <c r="C11354" t="str">
        <f>"A0123289"</f>
        <v>A0123289</v>
      </c>
      <c r="D11354" t="s">
        <v>41554</v>
      </c>
      <c r="E11354" t="s">
        <v>37660</v>
      </c>
      <c r="F11354" t="s">
        <v>4094</v>
      </c>
      <c r="G11354" t="s">
        <v>29</v>
      </c>
      <c r="H11354" t="s">
        <v>41555</v>
      </c>
      <c r="I11354" t="s">
        <v>30</v>
      </c>
      <c r="J11354" t="s">
        <v>41</v>
      </c>
      <c r="K11354" t="s">
        <v>59</v>
      </c>
      <c r="Q11354">
        <v>0</v>
      </c>
      <c r="R11354">
        <v>16</v>
      </c>
      <c r="S11354">
        <v>16</v>
      </c>
      <c r="T11354" t="s">
        <v>41556</v>
      </c>
    </row>
    <row r="11355" spans="1:20" customFormat="1" ht="15" x14ac:dyDescent="0.25">
      <c r="A11355" t="s">
        <v>35</v>
      </c>
      <c r="B11355" t="s">
        <v>61</v>
      </c>
      <c r="C11355" t="str">
        <f>"A0129085"</f>
        <v>A0129085</v>
      </c>
      <c r="D11355" t="s">
        <v>41557</v>
      </c>
      <c r="E11355" t="s">
        <v>41558</v>
      </c>
      <c r="F11355" t="s">
        <v>41559</v>
      </c>
      <c r="G11355" t="s">
        <v>289</v>
      </c>
      <c r="H11355">
        <v>62243</v>
      </c>
      <c r="I11355" t="s">
        <v>30</v>
      </c>
      <c r="J11355" t="s">
        <v>41</v>
      </c>
      <c r="K11355" t="s">
        <v>229</v>
      </c>
      <c r="Q11355">
        <v>0</v>
      </c>
      <c r="R11355">
        <v>98</v>
      </c>
      <c r="S11355">
        <v>98</v>
      </c>
      <c r="T11355" t="s">
        <v>41560</v>
      </c>
    </row>
    <row r="11356" spans="1:20" customFormat="1" ht="15" x14ac:dyDescent="0.25">
      <c r="A11356" t="s">
        <v>35</v>
      </c>
      <c r="B11356" t="s">
        <v>61</v>
      </c>
      <c r="C11356" t="str">
        <f>"A0124033"</f>
        <v>A0124033</v>
      </c>
      <c r="D11356" t="s">
        <v>41561</v>
      </c>
      <c r="E11356" t="s">
        <v>41562</v>
      </c>
      <c r="F11356" t="s">
        <v>41563</v>
      </c>
      <c r="G11356" t="s">
        <v>880</v>
      </c>
      <c r="H11356">
        <v>37876</v>
      </c>
      <c r="I11356" t="s">
        <v>30</v>
      </c>
      <c r="J11356" t="s">
        <v>41</v>
      </c>
      <c r="K11356" t="s">
        <v>482</v>
      </c>
      <c r="Q11356">
        <v>0</v>
      </c>
      <c r="R11356">
        <v>60</v>
      </c>
      <c r="S11356">
        <v>60</v>
      </c>
      <c r="T11356" t="s">
        <v>41564</v>
      </c>
    </row>
    <row r="11357" spans="1:20" customFormat="1" ht="15" x14ac:dyDescent="0.25">
      <c r="A11357" t="s">
        <v>35</v>
      </c>
      <c r="B11357" t="s">
        <v>106</v>
      </c>
      <c r="C11357" t="str">
        <f>"A0135965"</f>
        <v>A0135965</v>
      </c>
      <c r="D11357" t="s">
        <v>41565</v>
      </c>
      <c r="E11357" t="s">
        <v>41291</v>
      </c>
      <c r="F11357" t="s">
        <v>30435</v>
      </c>
      <c r="G11357" t="s">
        <v>1508</v>
      </c>
      <c r="H11357">
        <v>82520</v>
      </c>
      <c r="I11357" t="s">
        <v>30</v>
      </c>
      <c r="J11357" t="s">
        <v>111</v>
      </c>
      <c r="K11357" t="s">
        <v>112</v>
      </c>
      <c r="Q11357">
        <v>0</v>
      </c>
      <c r="R11357">
        <v>0</v>
      </c>
      <c r="S11357">
        <v>0</v>
      </c>
      <c r="T11357" t="s">
        <v>41292</v>
      </c>
    </row>
    <row r="11358" spans="1:20" customFormat="1" ht="15" x14ac:dyDescent="0.25">
      <c r="A11358" t="s">
        <v>35</v>
      </c>
      <c r="B11358" t="s">
        <v>61</v>
      </c>
      <c r="C11358" t="str">
        <f>"A0131297"</f>
        <v>A0131297</v>
      </c>
      <c r="D11358" t="s">
        <v>41566</v>
      </c>
      <c r="E11358" t="s">
        <v>41567</v>
      </c>
      <c r="F11358" t="s">
        <v>41568</v>
      </c>
      <c r="G11358" t="s">
        <v>137</v>
      </c>
      <c r="H11358">
        <v>65066</v>
      </c>
      <c r="I11358" t="s">
        <v>30</v>
      </c>
      <c r="J11358" t="s">
        <v>41</v>
      </c>
      <c r="K11358" t="s">
        <v>229</v>
      </c>
      <c r="Q11358">
        <v>0</v>
      </c>
      <c r="R11358">
        <v>60</v>
      </c>
      <c r="S11358">
        <v>60</v>
      </c>
      <c r="T11358" t="s">
        <v>41569</v>
      </c>
    </row>
    <row r="11359" spans="1:20" customFormat="1" ht="15" x14ac:dyDescent="0.25">
      <c r="A11359" t="s">
        <v>35</v>
      </c>
      <c r="B11359" t="s">
        <v>61</v>
      </c>
      <c r="C11359" t="str">
        <f>"A0131296"</f>
        <v>A0131296</v>
      </c>
      <c r="D11359" t="s">
        <v>41570</v>
      </c>
      <c r="E11359" t="s">
        <v>41571</v>
      </c>
      <c r="F11359" t="s">
        <v>41572</v>
      </c>
      <c r="G11359" t="s">
        <v>137</v>
      </c>
      <c r="H11359">
        <v>65041</v>
      </c>
      <c r="I11359" t="s">
        <v>30</v>
      </c>
      <c r="J11359" t="s">
        <v>41</v>
      </c>
      <c r="K11359" t="s">
        <v>229</v>
      </c>
      <c r="Q11359">
        <v>0</v>
      </c>
      <c r="R11359">
        <v>90</v>
      </c>
      <c r="S11359">
        <v>90</v>
      </c>
      <c r="T11359" t="s">
        <v>41573</v>
      </c>
    </row>
    <row r="11360" spans="1:20" customFormat="1" ht="15" x14ac:dyDescent="0.25">
      <c r="A11360" t="s">
        <v>35</v>
      </c>
      <c r="B11360" t="s">
        <v>437</v>
      </c>
      <c r="C11360" t="str">
        <f>"A0134017"</f>
        <v>A0134017</v>
      </c>
      <c r="D11360" t="s">
        <v>41574</v>
      </c>
      <c r="E11360" t="s">
        <v>41575</v>
      </c>
      <c r="F11360" t="s">
        <v>3180</v>
      </c>
      <c r="G11360" t="s">
        <v>99</v>
      </c>
      <c r="H11360">
        <v>13323</v>
      </c>
      <c r="I11360" t="s">
        <v>30</v>
      </c>
      <c r="J11360" t="s">
        <v>441</v>
      </c>
      <c r="K11360" t="s">
        <v>442</v>
      </c>
      <c r="Q11360">
        <v>0</v>
      </c>
      <c r="R11360">
        <v>0</v>
      </c>
      <c r="S11360">
        <v>0</v>
      </c>
      <c r="T11360" t="s">
        <v>7662</v>
      </c>
    </row>
    <row r="11361" spans="1:20" customFormat="1" ht="15" x14ac:dyDescent="0.25">
      <c r="A11361" t="s">
        <v>35</v>
      </c>
      <c r="B11361" t="s">
        <v>61</v>
      </c>
      <c r="C11361" t="str">
        <f>"A0121686"</f>
        <v>A0121686</v>
      </c>
      <c r="D11361" t="s">
        <v>41576</v>
      </c>
      <c r="E11361" t="s">
        <v>41577</v>
      </c>
      <c r="F11361" t="s">
        <v>6244</v>
      </c>
      <c r="G11361" t="s">
        <v>110</v>
      </c>
      <c r="H11361">
        <v>93727</v>
      </c>
      <c r="I11361" t="s">
        <v>30</v>
      </c>
      <c r="J11361" t="s">
        <v>41</v>
      </c>
      <c r="K11361" t="s">
        <v>112</v>
      </c>
      <c r="Q11361">
        <v>0</v>
      </c>
      <c r="R11361">
        <v>0</v>
      </c>
      <c r="S11361">
        <v>0</v>
      </c>
      <c r="T11361" t="s">
        <v>41578</v>
      </c>
    </row>
    <row r="11362" spans="1:20" customFormat="1" ht="15" x14ac:dyDescent="0.25">
      <c r="A11362" t="s">
        <v>35</v>
      </c>
      <c r="B11362" t="s">
        <v>61</v>
      </c>
      <c r="C11362" t="str">
        <f>"A0121854"</f>
        <v>A0121854</v>
      </c>
      <c r="D11362" t="s">
        <v>41579</v>
      </c>
      <c r="E11362" t="s">
        <v>41580</v>
      </c>
      <c r="F11362" t="s">
        <v>6244</v>
      </c>
      <c r="G11362" t="s">
        <v>110</v>
      </c>
      <c r="H11362">
        <v>93721</v>
      </c>
      <c r="I11362" t="s">
        <v>30</v>
      </c>
      <c r="J11362" t="s">
        <v>41</v>
      </c>
      <c r="K11362" t="s">
        <v>391</v>
      </c>
      <c r="Q11362">
        <v>0</v>
      </c>
      <c r="R11362">
        <v>0</v>
      </c>
      <c r="S11362">
        <v>0</v>
      </c>
      <c r="T11362" t="s">
        <v>41581</v>
      </c>
    </row>
    <row r="11363" spans="1:20" customFormat="1" ht="15" x14ac:dyDescent="0.25">
      <c r="A11363" t="s">
        <v>35</v>
      </c>
      <c r="B11363" t="s">
        <v>61</v>
      </c>
      <c r="C11363" t="str">
        <f>"A0128885"</f>
        <v>A0128885</v>
      </c>
      <c r="D11363" t="s">
        <v>41582</v>
      </c>
      <c r="E11363" t="s">
        <v>41583</v>
      </c>
      <c r="F11363" t="s">
        <v>288</v>
      </c>
      <c r="G11363" t="s">
        <v>289</v>
      </c>
      <c r="H11363">
        <v>60625</v>
      </c>
      <c r="I11363" t="s">
        <v>30</v>
      </c>
      <c r="J11363" t="s">
        <v>41</v>
      </c>
      <c r="K11363" t="s">
        <v>229</v>
      </c>
      <c r="Q11363">
        <v>0</v>
      </c>
      <c r="R11363">
        <v>81</v>
      </c>
      <c r="S11363">
        <v>81</v>
      </c>
      <c r="T11363" t="s">
        <v>41584</v>
      </c>
    </row>
    <row r="11364" spans="1:20" customFormat="1" ht="15" x14ac:dyDescent="0.25">
      <c r="A11364" t="s">
        <v>35</v>
      </c>
      <c r="B11364" t="s">
        <v>61</v>
      </c>
      <c r="C11364" t="str">
        <f>"A0123290"</f>
        <v>A0123290</v>
      </c>
      <c r="D11364" t="s">
        <v>41585</v>
      </c>
      <c r="E11364" t="s">
        <v>41586</v>
      </c>
      <c r="F11364" t="s">
        <v>41587</v>
      </c>
      <c r="G11364" t="s">
        <v>214</v>
      </c>
      <c r="H11364">
        <v>27822</v>
      </c>
      <c r="I11364" t="s">
        <v>30</v>
      </c>
      <c r="J11364" t="s">
        <v>41</v>
      </c>
      <c r="K11364" t="s">
        <v>482</v>
      </c>
      <c r="Q11364">
        <v>0</v>
      </c>
      <c r="R11364">
        <v>80</v>
      </c>
      <c r="S11364">
        <v>80</v>
      </c>
      <c r="T11364" t="s">
        <v>41588</v>
      </c>
    </row>
    <row r="11365" spans="1:20" customFormat="1" ht="15" x14ac:dyDescent="0.25">
      <c r="A11365" t="s">
        <v>35</v>
      </c>
      <c r="B11365" t="s">
        <v>61</v>
      </c>
      <c r="C11365" t="str">
        <f>"A0131627"</f>
        <v>A0131627</v>
      </c>
      <c r="D11365" t="s">
        <v>41589</v>
      </c>
      <c r="E11365" t="s">
        <v>41590</v>
      </c>
      <c r="F11365" t="s">
        <v>5188</v>
      </c>
      <c r="G11365" t="s">
        <v>65</v>
      </c>
      <c r="H11365">
        <v>44902</v>
      </c>
      <c r="I11365" t="s">
        <v>30</v>
      </c>
      <c r="J11365" t="s">
        <v>41</v>
      </c>
      <c r="K11365" t="s">
        <v>66</v>
      </c>
      <c r="Q11365">
        <v>0</v>
      </c>
      <c r="R11365">
        <v>0</v>
      </c>
      <c r="S11365">
        <v>0</v>
      </c>
      <c r="T11365" t="s">
        <v>41591</v>
      </c>
    </row>
    <row r="11366" spans="1:20" customFormat="1" ht="15" x14ac:dyDescent="0.25">
      <c r="A11366" t="s">
        <v>35</v>
      </c>
      <c r="B11366" t="s">
        <v>61</v>
      </c>
      <c r="C11366" t="str">
        <f>"A0118205"</f>
        <v>A0118205</v>
      </c>
      <c r="D11366" t="s">
        <v>41592</v>
      </c>
      <c r="E11366" t="s">
        <v>41593</v>
      </c>
      <c r="F11366" t="s">
        <v>2483</v>
      </c>
      <c r="G11366" t="s">
        <v>433</v>
      </c>
      <c r="H11366">
        <v>83402</v>
      </c>
      <c r="I11366" t="s">
        <v>30</v>
      </c>
      <c r="J11366" t="s">
        <v>41</v>
      </c>
      <c r="K11366" t="s">
        <v>59</v>
      </c>
      <c r="Q11366">
        <v>0</v>
      </c>
      <c r="R11366">
        <v>60</v>
      </c>
      <c r="S11366">
        <v>60</v>
      </c>
      <c r="T11366" t="s">
        <v>41594</v>
      </c>
    </row>
    <row r="11367" spans="1:20" customFormat="1" ht="15" x14ac:dyDescent="0.25">
      <c r="A11367" t="s">
        <v>35</v>
      </c>
      <c r="B11367" t="s">
        <v>61</v>
      </c>
      <c r="C11367" t="str">
        <f>"A0126610"</f>
        <v>A0126610</v>
      </c>
      <c r="D11367" t="s">
        <v>41595</v>
      </c>
      <c r="E11367" t="s">
        <v>41596</v>
      </c>
      <c r="F11367" t="s">
        <v>4629</v>
      </c>
      <c r="G11367" t="s">
        <v>103</v>
      </c>
      <c r="H11367">
        <v>19124</v>
      </c>
      <c r="I11367" t="s">
        <v>30</v>
      </c>
      <c r="J11367" t="s">
        <v>41</v>
      </c>
      <c r="K11367" t="s">
        <v>2468</v>
      </c>
      <c r="Q11367">
        <v>0</v>
      </c>
      <c r="R11367">
        <v>191</v>
      </c>
      <c r="S11367">
        <v>191</v>
      </c>
      <c r="T11367" t="s">
        <v>41597</v>
      </c>
    </row>
    <row r="11368" spans="1:20" customFormat="1" ht="15" x14ac:dyDescent="0.25">
      <c r="A11368" t="s">
        <v>35</v>
      </c>
      <c r="B11368" t="s">
        <v>61</v>
      </c>
      <c r="C11368" t="str">
        <f>"A0132112"</f>
        <v>A0132112</v>
      </c>
      <c r="D11368" t="s">
        <v>41598</v>
      </c>
      <c r="E11368" t="s">
        <v>41599</v>
      </c>
      <c r="F11368" t="s">
        <v>41600</v>
      </c>
      <c r="G11368" t="s">
        <v>65</v>
      </c>
      <c r="H11368">
        <v>45387</v>
      </c>
      <c r="I11368" t="s">
        <v>30</v>
      </c>
      <c r="J11368" t="s">
        <v>41</v>
      </c>
      <c r="K11368" t="s">
        <v>59</v>
      </c>
      <c r="Q11368">
        <v>0</v>
      </c>
      <c r="R11368">
        <v>74</v>
      </c>
      <c r="S11368">
        <v>74</v>
      </c>
      <c r="T11368" t="s">
        <v>41601</v>
      </c>
    </row>
    <row r="11369" spans="1:20" customFormat="1" ht="15" x14ac:dyDescent="0.25">
      <c r="A11369" t="s">
        <v>35</v>
      </c>
      <c r="B11369" t="s">
        <v>61</v>
      </c>
      <c r="C11369" t="str">
        <f>"A0118818"</f>
        <v>A0118818</v>
      </c>
      <c r="D11369" t="s">
        <v>41602</v>
      </c>
      <c r="E11369" t="s">
        <v>41603</v>
      </c>
      <c r="F11369" t="s">
        <v>9668</v>
      </c>
      <c r="G11369" t="s">
        <v>110</v>
      </c>
      <c r="H11369">
        <v>95409</v>
      </c>
      <c r="I11369" t="s">
        <v>30</v>
      </c>
      <c r="J11369" t="s">
        <v>41</v>
      </c>
      <c r="K11369" t="s">
        <v>1440</v>
      </c>
      <c r="Q11369">
        <v>0</v>
      </c>
      <c r="R11369">
        <v>100</v>
      </c>
      <c r="S11369">
        <v>100</v>
      </c>
      <c r="T11369" t="s">
        <v>41604</v>
      </c>
    </row>
    <row r="11370" spans="1:20" customFormat="1" ht="15" x14ac:dyDescent="0.25">
      <c r="A11370" t="s">
        <v>35</v>
      </c>
      <c r="B11370" t="s">
        <v>61</v>
      </c>
      <c r="C11370" t="str">
        <f>"A0124168"</f>
        <v>A0124168</v>
      </c>
      <c r="D11370" t="s">
        <v>41605</v>
      </c>
      <c r="E11370" t="s">
        <v>41606</v>
      </c>
      <c r="F11370" t="s">
        <v>18148</v>
      </c>
      <c r="G11370" t="s">
        <v>123</v>
      </c>
      <c r="H11370">
        <v>20860</v>
      </c>
      <c r="I11370" t="s">
        <v>30</v>
      </c>
      <c r="J11370" t="s">
        <v>41</v>
      </c>
      <c r="K11370" t="s">
        <v>482</v>
      </c>
      <c r="Q11370">
        <v>0</v>
      </c>
      <c r="R11370">
        <v>418</v>
      </c>
      <c r="S11370">
        <v>418</v>
      </c>
      <c r="T11370" t="s">
        <v>41607</v>
      </c>
    </row>
    <row r="11371" spans="1:20" customFormat="1" ht="15" x14ac:dyDescent="0.25">
      <c r="A11371" t="s">
        <v>35</v>
      </c>
      <c r="B11371" t="s">
        <v>61</v>
      </c>
      <c r="C11371" t="str">
        <f>"A0130112"</f>
        <v>A0130112</v>
      </c>
      <c r="D11371" t="s">
        <v>41608</v>
      </c>
      <c r="E11371" t="s">
        <v>41609</v>
      </c>
      <c r="F11371" t="s">
        <v>41610</v>
      </c>
      <c r="G11371" t="s">
        <v>1898</v>
      </c>
      <c r="H11371">
        <v>50501</v>
      </c>
      <c r="I11371" t="s">
        <v>30</v>
      </c>
      <c r="J11371" t="s">
        <v>41</v>
      </c>
      <c r="K11371" t="s">
        <v>1440</v>
      </c>
      <c r="Q11371">
        <v>0</v>
      </c>
      <c r="R11371">
        <v>155</v>
      </c>
      <c r="S11371">
        <v>155</v>
      </c>
      <c r="T11371" t="s">
        <v>41611</v>
      </c>
    </row>
    <row r="11372" spans="1:20" customFormat="1" ht="15" x14ac:dyDescent="0.25">
      <c r="A11372" t="s">
        <v>35</v>
      </c>
      <c r="B11372" t="s">
        <v>61</v>
      </c>
      <c r="C11372" t="str">
        <f>"A0128546"</f>
        <v>A0128546</v>
      </c>
      <c r="D11372" t="s">
        <v>41612</v>
      </c>
      <c r="E11372" t="s">
        <v>41613</v>
      </c>
      <c r="F11372" t="s">
        <v>41614</v>
      </c>
      <c r="G11372" t="s">
        <v>840</v>
      </c>
      <c r="H11372">
        <v>40056</v>
      </c>
      <c r="I11372" t="s">
        <v>30</v>
      </c>
      <c r="J11372" t="s">
        <v>41</v>
      </c>
      <c r="K11372" t="s">
        <v>229</v>
      </c>
      <c r="Q11372">
        <v>0</v>
      </c>
      <c r="R11372">
        <v>100</v>
      </c>
      <c r="S11372">
        <v>100</v>
      </c>
      <c r="T11372" t="s">
        <v>41615</v>
      </c>
    </row>
    <row r="11373" spans="1:20" customFormat="1" ht="15" x14ac:dyDescent="0.25">
      <c r="A11373" t="s">
        <v>35</v>
      </c>
      <c r="B11373" t="s">
        <v>61</v>
      </c>
      <c r="C11373" t="str">
        <f>"A0130409"</f>
        <v>A0130409</v>
      </c>
      <c r="D11373" t="s">
        <v>41616</v>
      </c>
      <c r="E11373" t="s">
        <v>41617</v>
      </c>
      <c r="F11373" t="s">
        <v>41618</v>
      </c>
      <c r="G11373" t="s">
        <v>1898</v>
      </c>
      <c r="H11373">
        <v>500250000</v>
      </c>
      <c r="I11373" t="s">
        <v>30</v>
      </c>
      <c r="J11373" t="s">
        <v>41</v>
      </c>
      <c r="K11373" t="s">
        <v>229</v>
      </c>
      <c r="N11373" t="s">
        <v>41619</v>
      </c>
      <c r="Q11373">
        <v>0</v>
      </c>
      <c r="R11373">
        <v>155</v>
      </c>
      <c r="S11373">
        <v>155</v>
      </c>
      <c r="T11373" t="s">
        <v>41620</v>
      </c>
    </row>
    <row r="11374" spans="1:20" customFormat="1" ht="15" x14ac:dyDescent="0.25">
      <c r="A11374" t="s">
        <v>35</v>
      </c>
      <c r="B11374" t="s">
        <v>61</v>
      </c>
      <c r="C11374" t="str">
        <f>"A0121325"</f>
        <v>A0121325</v>
      </c>
      <c r="D11374" t="s">
        <v>41621</v>
      </c>
      <c r="E11374" t="s">
        <v>41622</v>
      </c>
      <c r="F11374" t="s">
        <v>26973</v>
      </c>
      <c r="G11374" t="s">
        <v>190</v>
      </c>
      <c r="H11374">
        <v>81212</v>
      </c>
      <c r="I11374" t="s">
        <v>30</v>
      </c>
      <c r="J11374" t="s">
        <v>41</v>
      </c>
      <c r="K11374" t="s">
        <v>59</v>
      </c>
      <c r="Q11374">
        <v>0</v>
      </c>
      <c r="R11374">
        <v>36</v>
      </c>
      <c r="S11374">
        <v>36</v>
      </c>
      <c r="T11374" t="s">
        <v>41623</v>
      </c>
    </row>
    <row r="11375" spans="1:20" customFormat="1" ht="15" x14ac:dyDescent="0.25">
      <c r="A11375" t="s">
        <v>35</v>
      </c>
      <c r="B11375" t="s">
        <v>61</v>
      </c>
      <c r="C11375" t="str">
        <f>"A0117847"</f>
        <v>A0117847</v>
      </c>
      <c r="D11375" t="s">
        <v>41624</v>
      </c>
      <c r="E11375" t="s">
        <v>41625</v>
      </c>
      <c r="F11375" t="s">
        <v>41626</v>
      </c>
      <c r="G11375" t="s">
        <v>110</v>
      </c>
      <c r="H11375">
        <v>931170000</v>
      </c>
      <c r="I11375" t="s">
        <v>30</v>
      </c>
      <c r="J11375" t="s">
        <v>41</v>
      </c>
      <c r="K11375" t="s">
        <v>59</v>
      </c>
      <c r="Q11375">
        <v>0</v>
      </c>
      <c r="R11375">
        <v>200</v>
      </c>
      <c r="S11375">
        <v>200</v>
      </c>
      <c r="T11375" t="s">
        <v>41627</v>
      </c>
    </row>
    <row r="11376" spans="1:20" customFormat="1" ht="15" x14ac:dyDescent="0.25">
      <c r="A11376" t="s">
        <v>35</v>
      </c>
      <c r="B11376" t="s">
        <v>61</v>
      </c>
      <c r="C11376" t="str">
        <f>"A0124173"</f>
        <v>A0124173</v>
      </c>
      <c r="D11376" t="s">
        <v>41628</v>
      </c>
      <c r="E11376" t="s">
        <v>41629</v>
      </c>
      <c r="F11376" t="s">
        <v>4674</v>
      </c>
      <c r="G11376" t="s">
        <v>314</v>
      </c>
      <c r="H11376">
        <v>20016</v>
      </c>
      <c r="I11376" t="s">
        <v>30</v>
      </c>
      <c r="J11376" t="s">
        <v>41</v>
      </c>
      <c r="K11376" t="s">
        <v>229</v>
      </c>
      <c r="Q11376">
        <v>0</v>
      </c>
      <c r="R11376">
        <v>122</v>
      </c>
      <c r="S11376">
        <v>122</v>
      </c>
      <c r="T11376" t="s">
        <v>41630</v>
      </c>
    </row>
    <row r="11377" spans="1:20" customFormat="1" ht="15" x14ac:dyDescent="0.25">
      <c r="A11377" t="s">
        <v>35</v>
      </c>
      <c r="B11377" t="s">
        <v>61</v>
      </c>
      <c r="C11377" t="str">
        <f>"A0132086"</f>
        <v>A0132086</v>
      </c>
      <c r="D11377" t="s">
        <v>41631</v>
      </c>
      <c r="E11377" t="s">
        <v>41632</v>
      </c>
      <c r="F11377" t="s">
        <v>64</v>
      </c>
      <c r="G11377" t="s">
        <v>65</v>
      </c>
      <c r="H11377">
        <v>43231</v>
      </c>
      <c r="I11377" t="s">
        <v>30</v>
      </c>
      <c r="J11377" t="s">
        <v>41</v>
      </c>
      <c r="K11377" t="s">
        <v>229</v>
      </c>
      <c r="Q11377">
        <v>0</v>
      </c>
      <c r="R11377">
        <v>375</v>
      </c>
      <c r="S11377">
        <v>375</v>
      </c>
      <c r="T11377" t="s">
        <v>41633</v>
      </c>
    </row>
    <row r="11378" spans="1:20" customFormat="1" ht="15" x14ac:dyDescent="0.25">
      <c r="A11378" t="s">
        <v>35</v>
      </c>
      <c r="B11378" t="s">
        <v>61</v>
      </c>
      <c r="C11378" t="str">
        <f>"A0125995"</f>
        <v>A0125995</v>
      </c>
      <c r="D11378" t="s">
        <v>41634</v>
      </c>
      <c r="E11378" t="s">
        <v>41635</v>
      </c>
      <c r="F11378" t="s">
        <v>41636</v>
      </c>
      <c r="G11378" t="s">
        <v>2450</v>
      </c>
      <c r="H11378">
        <v>4037</v>
      </c>
      <c r="I11378" t="s">
        <v>30</v>
      </c>
      <c r="J11378" t="s">
        <v>41</v>
      </c>
      <c r="K11378" t="s">
        <v>112</v>
      </c>
      <c r="Q11378">
        <v>0</v>
      </c>
      <c r="R11378">
        <v>0</v>
      </c>
      <c r="S11378">
        <v>0</v>
      </c>
      <c r="T11378" t="s">
        <v>41637</v>
      </c>
    </row>
    <row r="11379" spans="1:20" customFormat="1" ht="15" x14ac:dyDescent="0.25">
      <c r="A11379" t="s">
        <v>35</v>
      </c>
      <c r="B11379" t="s">
        <v>106</v>
      </c>
      <c r="C11379" t="str">
        <f>"A0136396"</f>
        <v>A0136396</v>
      </c>
      <c r="D11379" t="s">
        <v>41638</v>
      </c>
      <c r="E11379" t="s">
        <v>41639</v>
      </c>
      <c r="F11379" t="s">
        <v>6244</v>
      </c>
      <c r="G11379" t="s">
        <v>110</v>
      </c>
      <c r="H11379">
        <v>93740</v>
      </c>
      <c r="I11379" t="s">
        <v>30</v>
      </c>
      <c r="J11379" t="s">
        <v>111</v>
      </c>
      <c r="K11379" t="s">
        <v>10012</v>
      </c>
      <c r="Q11379">
        <v>0</v>
      </c>
      <c r="R11379">
        <v>0</v>
      </c>
      <c r="S11379">
        <v>0</v>
      </c>
      <c r="T11379" t="s">
        <v>38366</v>
      </c>
    </row>
    <row r="11380" spans="1:20" customFormat="1" ht="15" x14ac:dyDescent="0.25">
      <c r="A11380" t="s">
        <v>35</v>
      </c>
      <c r="B11380" t="s">
        <v>106</v>
      </c>
      <c r="C11380" t="str">
        <f>"A0136389"</f>
        <v>A0136389</v>
      </c>
      <c r="D11380" t="s">
        <v>41640</v>
      </c>
      <c r="E11380" t="s">
        <v>41639</v>
      </c>
      <c r="F11380" t="s">
        <v>6244</v>
      </c>
      <c r="G11380" t="s">
        <v>110</v>
      </c>
      <c r="H11380">
        <v>93740</v>
      </c>
      <c r="I11380" t="s">
        <v>30</v>
      </c>
      <c r="J11380" t="s">
        <v>111</v>
      </c>
      <c r="K11380" t="s">
        <v>10012</v>
      </c>
      <c r="Q11380">
        <v>0</v>
      </c>
      <c r="R11380">
        <v>0</v>
      </c>
      <c r="S11380">
        <v>0</v>
      </c>
      <c r="T11380" t="s">
        <v>38366</v>
      </c>
    </row>
    <row r="11381" spans="1:20" customFormat="1" ht="15" x14ac:dyDescent="0.25">
      <c r="A11381" t="s">
        <v>35</v>
      </c>
      <c r="B11381" t="s">
        <v>106</v>
      </c>
      <c r="C11381" t="str">
        <f>"A0136394"</f>
        <v>A0136394</v>
      </c>
      <c r="D11381" t="s">
        <v>41641</v>
      </c>
      <c r="E11381" t="s">
        <v>41639</v>
      </c>
      <c r="F11381" t="s">
        <v>6244</v>
      </c>
      <c r="G11381" t="s">
        <v>110</v>
      </c>
      <c r="H11381">
        <v>93740</v>
      </c>
      <c r="I11381" t="s">
        <v>30</v>
      </c>
      <c r="J11381" t="s">
        <v>111</v>
      </c>
      <c r="K11381" t="s">
        <v>10012</v>
      </c>
      <c r="Q11381">
        <v>0</v>
      </c>
      <c r="R11381">
        <v>0</v>
      </c>
      <c r="S11381">
        <v>0</v>
      </c>
      <c r="T11381" t="s">
        <v>38366</v>
      </c>
    </row>
    <row r="11382" spans="1:20" customFormat="1" ht="15" x14ac:dyDescent="0.25">
      <c r="A11382" t="s">
        <v>35</v>
      </c>
      <c r="B11382" t="s">
        <v>106</v>
      </c>
      <c r="C11382" t="str">
        <f>"A0136407"</f>
        <v>A0136407</v>
      </c>
      <c r="D11382" t="s">
        <v>41642</v>
      </c>
      <c r="E11382" t="s">
        <v>41639</v>
      </c>
      <c r="F11382" t="s">
        <v>6244</v>
      </c>
      <c r="G11382" t="s">
        <v>110</v>
      </c>
      <c r="H11382">
        <v>39740</v>
      </c>
      <c r="I11382" t="s">
        <v>30</v>
      </c>
      <c r="J11382" t="s">
        <v>111</v>
      </c>
      <c r="K11382" t="s">
        <v>112</v>
      </c>
      <c r="Q11382">
        <v>0</v>
      </c>
      <c r="R11382">
        <v>0</v>
      </c>
      <c r="S11382">
        <v>0</v>
      </c>
      <c r="T11382" t="s">
        <v>38366</v>
      </c>
    </row>
    <row r="11383" spans="1:20" customFormat="1" ht="15" x14ac:dyDescent="0.25">
      <c r="A11383" t="s">
        <v>35</v>
      </c>
      <c r="B11383" t="s">
        <v>106</v>
      </c>
      <c r="C11383" t="str">
        <f>"A0136404"</f>
        <v>A0136404</v>
      </c>
      <c r="D11383" t="s">
        <v>41643</v>
      </c>
      <c r="E11383" t="s">
        <v>41644</v>
      </c>
      <c r="F11383" t="s">
        <v>6244</v>
      </c>
      <c r="G11383" t="s">
        <v>110</v>
      </c>
      <c r="H11383">
        <v>93710</v>
      </c>
      <c r="I11383" t="s">
        <v>30</v>
      </c>
      <c r="J11383" t="s">
        <v>111</v>
      </c>
      <c r="K11383" t="s">
        <v>112</v>
      </c>
      <c r="Q11383">
        <v>0</v>
      </c>
      <c r="R11383">
        <v>0</v>
      </c>
      <c r="S11383">
        <v>0</v>
      </c>
      <c r="T11383" t="s">
        <v>41645</v>
      </c>
    </row>
    <row r="11384" spans="1:20" customFormat="1" ht="15" x14ac:dyDescent="0.25">
      <c r="A11384" t="s">
        <v>35</v>
      </c>
      <c r="B11384" t="s">
        <v>106</v>
      </c>
      <c r="C11384" t="str">
        <f>"A0136406"</f>
        <v>A0136406</v>
      </c>
      <c r="D11384" t="s">
        <v>41646</v>
      </c>
      <c r="E11384" t="s">
        <v>41647</v>
      </c>
      <c r="F11384" t="s">
        <v>6244</v>
      </c>
      <c r="G11384" t="s">
        <v>110</v>
      </c>
      <c r="H11384">
        <v>93710</v>
      </c>
      <c r="I11384" t="s">
        <v>30</v>
      </c>
      <c r="J11384" t="s">
        <v>111</v>
      </c>
      <c r="K11384" t="s">
        <v>112</v>
      </c>
      <c r="Q11384">
        <v>0</v>
      </c>
      <c r="R11384">
        <v>0</v>
      </c>
      <c r="S11384">
        <v>0</v>
      </c>
      <c r="T11384" t="s">
        <v>41648</v>
      </c>
    </row>
    <row r="11385" spans="1:20" customFormat="1" ht="15" x14ac:dyDescent="0.25">
      <c r="A11385" t="s">
        <v>35</v>
      </c>
      <c r="B11385" t="s">
        <v>106</v>
      </c>
      <c r="C11385" t="str">
        <f>"A0136403"</f>
        <v>A0136403</v>
      </c>
      <c r="D11385" t="s">
        <v>41649</v>
      </c>
      <c r="E11385" t="s">
        <v>41639</v>
      </c>
      <c r="F11385" t="s">
        <v>6244</v>
      </c>
      <c r="G11385" t="s">
        <v>110</v>
      </c>
      <c r="H11385">
        <v>93740</v>
      </c>
      <c r="I11385" t="s">
        <v>30</v>
      </c>
      <c r="J11385" t="s">
        <v>111</v>
      </c>
      <c r="K11385" t="s">
        <v>10012</v>
      </c>
      <c r="Q11385">
        <v>0</v>
      </c>
      <c r="R11385">
        <v>0</v>
      </c>
      <c r="S11385">
        <v>0</v>
      </c>
      <c r="T11385" t="s">
        <v>38366</v>
      </c>
    </row>
    <row r="11386" spans="1:20" customFormat="1" ht="15" x14ac:dyDescent="0.25">
      <c r="A11386" t="s">
        <v>35</v>
      </c>
      <c r="B11386" t="s">
        <v>106</v>
      </c>
      <c r="C11386" t="str">
        <f>"A0136405"</f>
        <v>A0136405</v>
      </c>
      <c r="D11386" t="s">
        <v>41650</v>
      </c>
      <c r="E11386" t="s">
        <v>41647</v>
      </c>
      <c r="F11386" t="s">
        <v>6244</v>
      </c>
      <c r="G11386" t="s">
        <v>110</v>
      </c>
      <c r="H11386">
        <v>93710</v>
      </c>
      <c r="I11386" t="s">
        <v>30</v>
      </c>
      <c r="J11386" t="s">
        <v>111</v>
      </c>
      <c r="K11386" t="s">
        <v>112</v>
      </c>
      <c r="Q11386">
        <v>0</v>
      </c>
      <c r="R11386">
        <v>0</v>
      </c>
      <c r="S11386">
        <v>0</v>
      </c>
      <c r="T11386" t="s">
        <v>41645</v>
      </c>
    </row>
    <row r="11387" spans="1:20" customFormat="1" ht="15" x14ac:dyDescent="0.25">
      <c r="A11387" t="s">
        <v>35</v>
      </c>
      <c r="B11387" t="s">
        <v>106</v>
      </c>
      <c r="C11387" t="str">
        <f>"A0136399"</f>
        <v>A0136399</v>
      </c>
      <c r="D11387" t="s">
        <v>41651</v>
      </c>
      <c r="E11387" t="s">
        <v>41639</v>
      </c>
      <c r="F11387" t="s">
        <v>6244</v>
      </c>
      <c r="G11387" t="s">
        <v>110</v>
      </c>
      <c r="H11387">
        <v>93740</v>
      </c>
      <c r="I11387" t="s">
        <v>30</v>
      </c>
      <c r="J11387" t="s">
        <v>111</v>
      </c>
      <c r="K11387" t="s">
        <v>10012</v>
      </c>
      <c r="Q11387">
        <v>0</v>
      </c>
      <c r="R11387">
        <v>0</v>
      </c>
      <c r="S11387">
        <v>0</v>
      </c>
      <c r="T11387" t="s">
        <v>38366</v>
      </c>
    </row>
    <row r="11388" spans="1:20" customFormat="1" ht="15" x14ac:dyDescent="0.25">
      <c r="A11388" t="s">
        <v>35</v>
      </c>
      <c r="B11388" t="s">
        <v>106</v>
      </c>
      <c r="C11388" t="str">
        <f>"A0136397"</f>
        <v>A0136397</v>
      </c>
      <c r="D11388" t="s">
        <v>41652</v>
      </c>
      <c r="E11388" t="s">
        <v>41639</v>
      </c>
      <c r="F11388" t="s">
        <v>6244</v>
      </c>
      <c r="G11388" t="s">
        <v>110</v>
      </c>
      <c r="H11388">
        <v>93740</v>
      </c>
      <c r="I11388" t="s">
        <v>30</v>
      </c>
      <c r="J11388" t="s">
        <v>111</v>
      </c>
      <c r="K11388" t="s">
        <v>10012</v>
      </c>
      <c r="Q11388">
        <v>0</v>
      </c>
      <c r="R11388">
        <v>0</v>
      </c>
      <c r="S11388">
        <v>0</v>
      </c>
      <c r="T11388" t="s">
        <v>38366</v>
      </c>
    </row>
    <row r="11389" spans="1:20" customFormat="1" ht="15" x14ac:dyDescent="0.25">
      <c r="A11389" t="s">
        <v>35</v>
      </c>
      <c r="B11389" t="s">
        <v>106</v>
      </c>
      <c r="C11389" t="str">
        <f>"A0136398"</f>
        <v>A0136398</v>
      </c>
      <c r="D11389" t="s">
        <v>41653</v>
      </c>
      <c r="E11389" t="s">
        <v>41639</v>
      </c>
      <c r="F11389" t="s">
        <v>6244</v>
      </c>
      <c r="G11389" t="s">
        <v>110</v>
      </c>
      <c r="H11389">
        <v>93740</v>
      </c>
      <c r="I11389" t="s">
        <v>30</v>
      </c>
      <c r="J11389" t="s">
        <v>111</v>
      </c>
      <c r="K11389" t="s">
        <v>10012</v>
      </c>
      <c r="Q11389">
        <v>0</v>
      </c>
      <c r="R11389">
        <v>0</v>
      </c>
      <c r="S11389">
        <v>0</v>
      </c>
      <c r="T11389" t="s">
        <v>38366</v>
      </c>
    </row>
    <row r="11390" spans="1:20" customFormat="1" ht="15" x14ac:dyDescent="0.25">
      <c r="A11390" t="s">
        <v>35</v>
      </c>
      <c r="B11390" t="s">
        <v>106</v>
      </c>
      <c r="C11390" t="str">
        <f>"A0136395"</f>
        <v>A0136395</v>
      </c>
      <c r="D11390" t="s">
        <v>41654</v>
      </c>
      <c r="E11390" t="s">
        <v>41639</v>
      </c>
      <c r="F11390" t="s">
        <v>6244</v>
      </c>
      <c r="G11390" t="s">
        <v>110</v>
      </c>
      <c r="H11390">
        <v>93740</v>
      </c>
      <c r="I11390" t="s">
        <v>30</v>
      </c>
      <c r="J11390" t="s">
        <v>111</v>
      </c>
      <c r="K11390" t="s">
        <v>10012</v>
      </c>
      <c r="Q11390">
        <v>0</v>
      </c>
      <c r="R11390">
        <v>0</v>
      </c>
      <c r="S11390">
        <v>0</v>
      </c>
      <c r="T11390" t="s">
        <v>38366</v>
      </c>
    </row>
    <row r="11391" spans="1:20" customFormat="1" ht="15" x14ac:dyDescent="0.25">
      <c r="A11391" t="s">
        <v>35</v>
      </c>
      <c r="B11391" t="s">
        <v>106</v>
      </c>
      <c r="C11391" t="str">
        <f>"A0136401"</f>
        <v>A0136401</v>
      </c>
      <c r="D11391" t="s">
        <v>41655</v>
      </c>
      <c r="E11391" t="s">
        <v>41639</v>
      </c>
      <c r="F11391" t="s">
        <v>6244</v>
      </c>
      <c r="G11391" t="s">
        <v>110</v>
      </c>
      <c r="H11391">
        <v>93740</v>
      </c>
      <c r="I11391" t="s">
        <v>30</v>
      </c>
      <c r="J11391" t="s">
        <v>111</v>
      </c>
      <c r="K11391" t="s">
        <v>10012</v>
      </c>
      <c r="Q11391">
        <v>0</v>
      </c>
      <c r="R11391">
        <v>0</v>
      </c>
      <c r="S11391">
        <v>0</v>
      </c>
      <c r="T11391" t="s">
        <v>38366</v>
      </c>
    </row>
    <row r="11392" spans="1:20" customFormat="1" ht="15" x14ac:dyDescent="0.25">
      <c r="A11392" t="s">
        <v>35</v>
      </c>
      <c r="B11392" t="s">
        <v>106</v>
      </c>
      <c r="C11392" t="str">
        <f>"A0136388"</f>
        <v>A0136388</v>
      </c>
      <c r="D11392" t="s">
        <v>41656</v>
      </c>
      <c r="E11392" t="s">
        <v>41639</v>
      </c>
      <c r="F11392" t="s">
        <v>6244</v>
      </c>
      <c r="G11392" t="s">
        <v>110</v>
      </c>
      <c r="H11392">
        <v>93740</v>
      </c>
      <c r="I11392" t="s">
        <v>30</v>
      </c>
      <c r="J11392" t="s">
        <v>111</v>
      </c>
      <c r="K11392" t="s">
        <v>10012</v>
      </c>
      <c r="Q11392">
        <v>0</v>
      </c>
      <c r="R11392">
        <v>0</v>
      </c>
      <c r="S11392">
        <v>0</v>
      </c>
      <c r="T11392" t="s">
        <v>38366</v>
      </c>
    </row>
    <row r="11393" spans="1:20" customFormat="1" ht="15" x14ac:dyDescent="0.25">
      <c r="A11393" t="s">
        <v>35</v>
      </c>
      <c r="B11393" t="s">
        <v>106</v>
      </c>
      <c r="C11393" t="str">
        <f>"A0136408"</f>
        <v>A0136408</v>
      </c>
      <c r="D11393" t="s">
        <v>41657</v>
      </c>
      <c r="E11393" t="s">
        <v>41639</v>
      </c>
      <c r="F11393" t="s">
        <v>6244</v>
      </c>
      <c r="G11393" t="s">
        <v>110</v>
      </c>
      <c r="H11393">
        <v>39740</v>
      </c>
      <c r="I11393" t="s">
        <v>30</v>
      </c>
      <c r="J11393" t="s">
        <v>111</v>
      </c>
      <c r="K11393" t="s">
        <v>112</v>
      </c>
      <c r="Q11393">
        <v>0</v>
      </c>
      <c r="R11393">
        <v>0</v>
      </c>
      <c r="S11393">
        <v>0</v>
      </c>
      <c r="T11393" t="s">
        <v>38366</v>
      </c>
    </row>
    <row r="11394" spans="1:20" customFormat="1" ht="15" x14ac:dyDescent="0.25">
      <c r="A11394" t="s">
        <v>35</v>
      </c>
      <c r="B11394" t="s">
        <v>106</v>
      </c>
      <c r="C11394" t="str">
        <f>"A0136390"</f>
        <v>A0136390</v>
      </c>
      <c r="D11394" t="s">
        <v>41658</v>
      </c>
      <c r="E11394" t="s">
        <v>41639</v>
      </c>
      <c r="F11394" t="s">
        <v>6244</v>
      </c>
      <c r="G11394" t="s">
        <v>110</v>
      </c>
      <c r="H11394">
        <v>93740</v>
      </c>
      <c r="I11394" t="s">
        <v>30</v>
      </c>
      <c r="J11394" t="s">
        <v>111</v>
      </c>
      <c r="K11394" t="s">
        <v>10012</v>
      </c>
      <c r="Q11394">
        <v>0</v>
      </c>
      <c r="R11394">
        <v>0</v>
      </c>
      <c r="S11394">
        <v>0</v>
      </c>
      <c r="T11394" t="s">
        <v>38366</v>
      </c>
    </row>
    <row r="11395" spans="1:20" customFormat="1" ht="15" x14ac:dyDescent="0.25">
      <c r="A11395" t="s">
        <v>35</v>
      </c>
      <c r="B11395" t="s">
        <v>106</v>
      </c>
      <c r="C11395" t="str">
        <f>"A0136391"</f>
        <v>A0136391</v>
      </c>
      <c r="D11395" t="s">
        <v>41659</v>
      </c>
      <c r="E11395" t="s">
        <v>41639</v>
      </c>
      <c r="F11395" t="s">
        <v>6244</v>
      </c>
      <c r="G11395" t="s">
        <v>110</v>
      </c>
      <c r="H11395">
        <v>93740</v>
      </c>
      <c r="I11395" t="s">
        <v>30</v>
      </c>
      <c r="J11395" t="s">
        <v>111</v>
      </c>
      <c r="K11395" t="s">
        <v>10012</v>
      </c>
      <c r="Q11395">
        <v>0</v>
      </c>
      <c r="R11395">
        <v>0</v>
      </c>
      <c r="S11395">
        <v>0</v>
      </c>
      <c r="T11395" t="s">
        <v>38366</v>
      </c>
    </row>
    <row r="11396" spans="1:20" customFormat="1" ht="15" x14ac:dyDescent="0.25">
      <c r="A11396" t="s">
        <v>35</v>
      </c>
      <c r="B11396" t="s">
        <v>106</v>
      </c>
      <c r="C11396" t="str">
        <f>"A0136402"</f>
        <v>A0136402</v>
      </c>
      <c r="D11396" t="s">
        <v>41660</v>
      </c>
      <c r="E11396" t="s">
        <v>41639</v>
      </c>
      <c r="F11396" t="s">
        <v>6244</v>
      </c>
      <c r="G11396" t="s">
        <v>110</v>
      </c>
      <c r="H11396">
        <v>93740</v>
      </c>
      <c r="I11396" t="s">
        <v>30</v>
      </c>
      <c r="J11396" t="s">
        <v>111</v>
      </c>
      <c r="K11396" t="s">
        <v>10012</v>
      </c>
      <c r="Q11396">
        <v>0</v>
      </c>
      <c r="R11396">
        <v>0</v>
      </c>
      <c r="S11396">
        <v>0</v>
      </c>
      <c r="T11396" t="s">
        <v>38366</v>
      </c>
    </row>
    <row r="11397" spans="1:20" customFormat="1" ht="15" x14ac:dyDescent="0.25">
      <c r="A11397" t="s">
        <v>35</v>
      </c>
      <c r="B11397" t="s">
        <v>106</v>
      </c>
      <c r="C11397" t="str">
        <f>"A0136386"</f>
        <v>A0136386</v>
      </c>
      <c r="D11397" t="s">
        <v>41661</v>
      </c>
      <c r="E11397" t="s">
        <v>41639</v>
      </c>
      <c r="F11397" t="s">
        <v>6244</v>
      </c>
      <c r="G11397" t="s">
        <v>110</v>
      </c>
      <c r="H11397">
        <v>93740</v>
      </c>
      <c r="I11397" t="s">
        <v>30</v>
      </c>
      <c r="J11397" t="s">
        <v>111</v>
      </c>
      <c r="K11397" t="s">
        <v>10012</v>
      </c>
      <c r="Q11397">
        <v>0</v>
      </c>
      <c r="R11397">
        <v>0</v>
      </c>
      <c r="S11397">
        <v>0</v>
      </c>
      <c r="T11397" t="s">
        <v>38366</v>
      </c>
    </row>
    <row r="11398" spans="1:20" customFormat="1" ht="15" x14ac:dyDescent="0.25">
      <c r="A11398" t="s">
        <v>35</v>
      </c>
      <c r="B11398" t="s">
        <v>106</v>
      </c>
      <c r="C11398" t="str">
        <f>"A0136387"</f>
        <v>A0136387</v>
      </c>
      <c r="D11398" t="s">
        <v>41662</v>
      </c>
      <c r="E11398" t="s">
        <v>41639</v>
      </c>
      <c r="F11398" t="s">
        <v>6244</v>
      </c>
      <c r="G11398" t="s">
        <v>110</v>
      </c>
      <c r="H11398">
        <v>93740</v>
      </c>
      <c r="I11398" t="s">
        <v>30</v>
      </c>
      <c r="J11398" t="s">
        <v>111</v>
      </c>
      <c r="K11398" t="s">
        <v>10012</v>
      </c>
      <c r="Q11398">
        <v>0</v>
      </c>
      <c r="R11398">
        <v>0</v>
      </c>
      <c r="S11398">
        <v>0</v>
      </c>
      <c r="T11398" t="s">
        <v>38366</v>
      </c>
    </row>
    <row r="11399" spans="1:20" customFormat="1" ht="15" x14ac:dyDescent="0.25">
      <c r="A11399" t="s">
        <v>35</v>
      </c>
      <c r="B11399" t="s">
        <v>106</v>
      </c>
      <c r="C11399" t="str">
        <f>"A0136392"</f>
        <v>A0136392</v>
      </c>
      <c r="D11399" t="s">
        <v>41663</v>
      </c>
      <c r="E11399" t="s">
        <v>41639</v>
      </c>
      <c r="F11399" t="s">
        <v>6244</v>
      </c>
      <c r="G11399" t="s">
        <v>110</v>
      </c>
      <c r="H11399">
        <v>93740</v>
      </c>
      <c r="I11399" t="s">
        <v>30</v>
      </c>
      <c r="J11399" t="s">
        <v>111</v>
      </c>
      <c r="K11399" t="s">
        <v>10012</v>
      </c>
      <c r="Q11399">
        <v>0</v>
      </c>
      <c r="R11399">
        <v>0</v>
      </c>
      <c r="S11399">
        <v>0</v>
      </c>
      <c r="T11399" t="s">
        <v>38366</v>
      </c>
    </row>
    <row r="11400" spans="1:20" customFormat="1" ht="15" x14ac:dyDescent="0.25">
      <c r="A11400" t="s">
        <v>35</v>
      </c>
      <c r="B11400" t="s">
        <v>106</v>
      </c>
      <c r="C11400" t="str">
        <f>"A0136393"</f>
        <v>A0136393</v>
      </c>
      <c r="D11400" t="s">
        <v>41664</v>
      </c>
      <c r="E11400" t="s">
        <v>41639</v>
      </c>
      <c r="F11400" t="s">
        <v>6244</v>
      </c>
      <c r="G11400" t="s">
        <v>110</v>
      </c>
      <c r="H11400">
        <v>93740</v>
      </c>
      <c r="I11400" t="s">
        <v>30</v>
      </c>
      <c r="J11400" t="s">
        <v>111</v>
      </c>
      <c r="K11400" t="s">
        <v>10012</v>
      </c>
      <c r="Q11400">
        <v>0</v>
      </c>
      <c r="R11400">
        <v>0</v>
      </c>
      <c r="S11400">
        <v>0</v>
      </c>
      <c r="T11400" t="s">
        <v>38366</v>
      </c>
    </row>
    <row r="11401" spans="1:20" customFormat="1" ht="15" x14ac:dyDescent="0.25">
      <c r="A11401" t="s">
        <v>35</v>
      </c>
      <c r="B11401" t="s">
        <v>106</v>
      </c>
      <c r="C11401" t="str">
        <f>"A0136400"</f>
        <v>A0136400</v>
      </c>
      <c r="D11401" t="s">
        <v>41665</v>
      </c>
      <c r="E11401" t="s">
        <v>41639</v>
      </c>
      <c r="F11401" t="s">
        <v>6244</v>
      </c>
      <c r="G11401" t="s">
        <v>110</v>
      </c>
      <c r="H11401">
        <v>93740</v>
      </c>
      <c r="I11401" t="s">
        <v>30</v>
      </c>
      <c r="J11401" t="s">
        <v>111</v>
      </c>
      <c r="K11401" t="s">
        <v>10012</v>
      </c>
      <c r="Q11401">
        <v>0</v>
      </c>
      <c r="R11401">
        <v>0</v>
      </c>
      <c r="S11401">
        <v>0</v>
      </c>
      <c r="T11401" t="s">
        <v>38366</v>
      </c>
    </row>
    <row r="11402" spans="1:20" customFormat="1" ht="15" x14ac:dyDescent="0.25">
      <c r="A11402" t="s">
        <v>35</v>
      </c>
      <c r="B11402" t="s">
        <v>106</v>
      </c>
      <c r="C11402" t="str">
        <f>"A0136016"</f>
        <v>A0136016</v>
      </c>
      <c r="D11402" t="s">
        <v>41666</v>
      </c>
      <c r="E11402" t="s">
        <v>41667</v>
      </c>
      <c r="F11402" t="s">
        <v>3555</v>
      </c>
      <c r="G11402" t="s">
        <v>81</v>
      </c>
      <c r="H11402">
        <v>32301</v>
      </c>
      <c r="I11402" t="s">
        <v>30</v>
      </c>
      <c r="J11402" t="s">
        <v>111</v>
      </c>
      <c r="K11402" t="s">
        <v>112</v>
      </c>
      <c r="Q11402">
        <v>0</v>
      </c>
      <c r="R11402">
        <v>0</v>
      </c>
      <c r="S11402">
        <v>0</v>
      </c>
      <c r="T11402" t="s">
        <v>41668</v>
      </c>
    </row>
    <row r="11403" spans="1:20" customFormat="1" ht="15" x14ac:dyDescent="0.25">
      <c r="A11403" t="s">
        <v>35</v>
      </c>
      <c r="B11403" t="s">
        <v>6747</v>
      </c>
      <c r="C11403" t="str">
        <f>"A0128545"</f>
        <v>A0128545</v>
      </c>
      <c r="D11403" t="s">
        <v>41669</v>
      </c>
      <c r="E11403" t="s">
        <v>41670</v>
      </c>
      <c r="F11403" t="s">
        <v>31123</v>
      </c>
      <c r="G11403" t="s">
        <v>840</v>
      </c>
      <c r="H11403">
        <v>42041</v>
      </c>
      <c r="I11403" t="s">
        <v>30</v>
      </c>
      <c r="J11403" t="s">
        <v>41</v>
      </c>
      <c r="K11403" t="s">
        <v>229</v>
      </c>
      <c r="Q11403">
        <v>0</v>
      </c>
      <c r="R11403">
        <v>60</v>
      </c>
      <c r="S11403">
        <v>60</v>
      </c>
      <c r="T11403" t="s">
        <v>41671</v>
      </c>
    </row>
    <row r="11404" spans="1:20" customFormat="1" ht="15" x14ac:dyDescent="0.25">
      <c r="A11404" t="s">
        <v>35</v>
      </c>
      <c r="B11404" t="s">
        <v>106</v>
      </c>
      <c r="C11404" t="str">
        <f>"A0136018"</f>
        <v>A0136018</v>
      </c>
      <c r="D11404" t="s">
        <v>41672</v>
      </c>
      <c r="E11404" t="s">
        <v>36097</v>
      </c>
      <c r="F11404" t="s">
        <v>36098</v>
      </c>
      <c r="G11404" t="s">
        <v>1170</v>
      </c>
      <c r="H11404">
        <v>70726</v>
      </c>
      <c r="I11404" t="s">
        <v>30</v>
      </c>
      <c r="J11404" t="s">
        <v>111</v>
      </c>
      <c r="K11404" t="s">
        <v>112</v>
      </c>
      <c r="Q11404">
        <v>0</v>
      </c>
      <c r="R11404">
        <v>0</v>
      </c>
      <c r="S11404">
        <v>0</v>
      </c>
      <c r="T11404" t="s">
        <v>36099</v>
      </c>
    </row>
    <row r="11405" spans="1:20" customFormat="1" ht="15" x14ac:dyDescent="0.25">
      <c r="A11405" t="s">
        <v>35</v>
      </c>
      <c r="B11405" t="s">
        <v>437</v>
      </c>
      <c r="C11405" t="str">
        <f>"A0133887"</f>
        <v>A0133887</v>
      </c>
      <c r="D11405" t="s">
        <v>41673</v>
      </c>
      <c r="E11405" t="s">
        <v>41674</v>
      </c>
      <c r="F11405" t="s">
        <v>10190</v>
      </c>
      <c r="G11405" t="s">
        <v>110</v>
      </c>
      <c r="H11405">
        <v>905050000</v>
      </c>
      <c r="I11405" t="s">
        <v>30</v>
      </c>
      <c r="J11405" t="s">
        <v>441</v>
      </c>
      <c r="K11405" t="s">
        <v>36814</v>
      </c>
      <c r="Q11405">
        <v>0</v>
      </c>
      <c r="R11405">
        <v>0</v>
      </c>
      <c r="S11405">
        <v>0</v>
      </c>
      <c r="T11405" t="s">
        <v>41675</v>
      </c>
    </row>
    <row r="11406" spans="1:20" customFormat="1" ht="15" x14ac:dyDescent="0.25">
      <c r="A11406" t="s">
        <v>35</v>
      </c>
      <c r="B11406" t="s">
        <v>61</v>
      </c>
      <c r="C11406" t="str">
        <f>"A0124584"</f>
        <v>A0124584</v>
      </c>
      <c r="D11406" t="s">
        <v>41676</v>
      </c>
      <c r="E11406" t="s">
        <v>41677</v>
      </c>
      <c r="F11406" t="s">
        <v>41678</v>
      </c>
      <c r="G11406" t="s">
        <v>1706</v>
      </c>
      <c r="H11406">
        <v>359040000</v>
      </c>
      <c r="I11406" t="s">
        <v>30</v>
      </c>
      <c r="J11406" t="s">
        <v>41</v>
      </c>
      <c r="K11406" t="s">
        <v>229</v>
      </c>
      <c r="Q11406">
        <v>0</v>
      </c>
      <c r="R11406">
        <v>152</v>
      </c>
      <c r="S11406">
        <v>152</v>
      </c>
      <c r="T11406" t="s">
        <v>41679</v>
      </c>
    </row>
    <row r="11407" spans="1:20" customFormat="1" ht="15" x14ac:dyDescent="0.25">
      <c r="A11407" t="s">
        <v>35</v>
      </c>
      <c r="B11407" t="s">
        <v>61</v>
      </c>
      <c r="C11407" t="str">
        <f>"A0129947"</f>
        <v>A0129947</v>
      </c>
      <c r="D11407" t="s">
        <v>11961</v>
      </c>
      <c r="E11407" t="s">
        <v>41680</v>
      </c>
      <c r="F11407" t="s">
        <v>8249</v>
      </c>
      <c r="G11407" t="s">
        <v>880</v>
      </c>
      <c r="H11407">
        <v>370662399</v>
      </c>
      <c r="I11407" t="s">
        <v>30</v>
      </c>
      <c r="J11407" t="s">
        <v>41</v>
      </c>
      <c r="K11407" t="s">
        <v>229</v>
      </c>
      <c r="Q11407">
        <v>0</v>
      </c>
      <c r="R11407">
        <v>200</v>
      </c>
      <c r="S11407">
        <v>200</v>
      </c>
      <c r="T11407" t="s">
        <v>41681</v>
      </c>
    </row>
    <row r="11408" spans="1:20" customFormat="1" ht="15" x14ac:dyDescent="0.25">
      <c r="A11408" t="s">
        <v>35</v>
      </c>
      <c r="B11408" t="s">
        <v>61</v>
      </c>
      <c r="C11408" t="str">
        <f>"A0131885"</f>
        <v>A0131885</v>
      </c>
      <c r="D11408" t="s">
        <v>41682</v>
      </c>
      <c r="E11408" t="s">
        <v>41683</v>
      </c>
      <c r="F11408" t="s">
        <v>41684</v>
      </c>
      <c r="G11408" t="s">
        <v>65</v>
      </c>
      <c r="H11408">
        <v>45631</v>
      </c>
      <c r="I11408" t="s">
        <v>30</v>
      </c>
      <c r="J11408" t="s">
        <v>41</v>
      </c>
      <c r="K11408" t="s">
        <v>2760</v>
      </c>
      <c r="Q11408">
        <v>0</v>
      </c>
      <c r="R11408">
        <v>1</v>
      </c>
      <c r="S11408">
        <v>1</v>
      </c>
      <c r="T11408" t="s">
        <v>41685</v>
      </c>
    </row>
    <row r="11409" spans="1:20" customFormat="1" ht="15" x14ac:dyDescent="0.25">
      <c r="A11409" t="s">
        <v>35</v>
      </c>
      <c r="B11409" t="s">
        <v>61</v>
      </c>
      <c r="C11409" t="str">
        <f>"A0131932"</f>
        <v>A0131932</v>
      </c>
      <c r="D11409" t="s">
        <v>41686</v>
      </c>
      <c r="E11409" t="s">
        <v>41687</v>
      </c>
      <c r="F11409" t="s">
        <v>19113</v>
      </c>
      <c r="G11409" t="s">
        <v>65</v>
      </c>
      <c r="H11409">
        <v>45042</v>
      </c>
      <c r="I11409" t="s">
        <v>30</v>
      </c>
      <c r="J11409" t="s">
        <v>41</v>
      </c>
      <c r="K11409" t="s">
        <v>229</v>
      </c>
      <c r="Q11409">
        <v>0</v>
      </c>
      <c r="R11409">
        <v>361</v>
      </c>
      <c r="S11409">
        <v>361</v>
      </c>
      <c r="T11409" t="s">
        <v>41688</v>
      </c>
    </row>
    <row r="11410" spans="1:20" customFormat="1" ht="15" x14ac:dyDescent="0.25">
      <c r="A11410" t="s">
        <v>35</v>
      </c>
      <c r="B11410" t="s">
        <v>61</v>
      </c>
      <c r="C11410" t="str">
        <f>"A0124174"</f>
        <v>A0124174</v>
      </c>
      <c r="D11410" t="s">
        <v>41689</v>
      </c>
      <c r="E11410" t="s">
        <v>41690</v>
      </c>
      <c r="F11410" t="s">
        <v>5257</v>
      </c>
      <c r="G11410" t="s">
        <v>52</v>
      </c>
      <c r="H11410">
        <v>77018</v>
      </c>
      <c r="I11410" t="s">
        <v>30</v>
      </c>
      <c r="J11410" t="s">
        <v>41</v>
      </c>
      <c r="K11410" t="s">
        <v>229</v>
      </c>
      <c r="Q11410">
        <v>0</v>
      </c>
      <c r="R11410">
        <v>96</v>
      </c>
      <c r="S11410">
        <v>96</v>
      </c>
      <c r="T11410" t="s">
        <v>41691</v>
      </c>
    </row>
    <row r="11411" spans="1:20" customFormat="1" ht="15" x14ac:dyDescent="0.25">
      <c r="A11411" t="s">
        <v>35</v>
      </c>
      <c r="B11411" t="s">
        <v>61</v>
      </c>
      <c r="C11411" t="str">
        <f>"A0150807"</f>
        <v>A0150807</v>
      </c>
      <c r="D11411" t="s">
        <v>41692</v>
      </c>
      <c r="E11411" t="s">
        <v>41693</v>
      </c>
      <c r="F11411" t="s">
        <v>41694</v>
      </c>
      <c r="G11411" t="s">
        <v>433</v>
      </c>
      <c r="H11411">
        <v>83854</v>
      </c>
      <c r="I11411" t="s">
        <v>30</v>
      </c>
      <c r="J11411" t="s">
        <v>41</v>
      </c>
      <c r="K11411" t="s">
        <v>59</v>
      </c>
      <c r="Q11411">
        <v>0</v>
      </c>
      <c r="R11411">
        <v>80</v>
      </c>
      <c r="S11411">
        <v>80</v>
      </c>
      <c r="T11411" t="s">
        <v>41695</v>
      </c>
    </row>
    <row r="11412" spans="1:20" customFormat="1" ht="15" x14ac:dyDescent="0.25">
      <c r="A11412" t="s">
        <v>35</v>
      </c>
      <c r="B11412" t="s">
        <v>61</v>
      </c>
      <c r="C11412" t="str">
        <f>"A0122595"</f>
        <v>A0122595</v>
      </c>
      <c r="D11412" t="s">
        <v>41696</v>
      </c>
      <c r="E11412" t="s">
        <v>41697</v>
      </c>
      <c r="F11412" t="s">
        <v>18721</v>
      </c>
      <c r="G11412" t="s">
        <v>76</v>
      </c>
      <c r="H11412">
        <v>98801</v>
      </c>
      <c r="I11412" t="s">
        <v>30</v>
      </c>
      <c r="J11412" t="s">
        <v>41</v>
      </c>
      <c r="K11412" t="s">
        <v>59</v>
      </c>
      <c r="Q11412">
        <v>0</v>
      </c>
      <c r="R11412">
        <v>146</v>
      </c>
      <c r="S11412">
        <v>146</v>
      </c>
      <c r="T11412" t="s">
        <v>41698</v>
      </c>
    </row>
    <row r="11413" spans="1:20" customFormat="1" ht="15" x14ac:dyDescent="0.25">
      <c r="A11413" t="s">
        <v>35</v>
      </c>
      <c r="B11413" t="s">
        <v>61</v>
      </c>
      <c r="C11413" t="str">
        <f>"A0131238"</f>
        <v>A0131238</v>
      </c>
      <c r="D11413" t="s">
        <v>41699</v>
      </c>
      <c r="E11413" t="s">
        <v>41700</v>
      </c>
      <c r="F11413" t="s">
        <v>8703</v>
      </c>
      <c r="G11413" t="s">
        <v>137</v>
      </c>
      <c r="H11413">
        <v>641540000</v>
      </c>
      <c r="I11413" t="s">
        <v>30</v>
      </c>
      <c r="J11413" t="s">
        <v>41</v>
      </c>
      <c r="K11413" t="s">
        <v>229</v>
      </c>
      <c r="Q11413">
        <v>0</v>
      </c>
      <c r="R11413">
        <v>182</v>
      </c>
      <c r="S11413">
        <v>182</v>
      </c>
      <c r="T11413" t="s">
        <v>41701</v>
      </c>
    </row>
    <row r="11414" spans="1:20" customFormat="1" ht="15" x14ac:dyDescent="0.25">
      <c r="A11414" t="s">
        <v>35</v>
      </c>
      <c r="B11414" t="s">
        <v>61</v>
      </c>
      <c r="C11414" t="str">
        <f>"A0131148"</f>
        <v>A0131148</v>
      </c>
      <c r="D11414" t="s">
        <v>41702</v>
      </c>
      <c r="E11414" t="s">
        <v>41703</v>
      </c>
      <c r="F11414" t="s">
        <v>1655</v>
      </c>
      <c r="G11414" t="s">
        <v>137</v>
      </c>
      <c r="H11414">
        <v>630880000</v>
      </c>
      <c r="I11414" t="s">
        <v>30</v>
      </c>
      <c r="J11414" t="s">
        <v>41</v>
      </c>
      <c r="K11414" t="s">
        <v>229</v>
      </c>
      <c r="Q11414">
        <v>0</v>
      </c>
      <c r="R11414">
        <v>120</v>
      </c>
      <c r="S11414">
        <v>120</v>
      </c>
      <c r="T11414" t="s">
        <v>41704</v>
      </c>
    </row>
    <row r="11415" spans="1:20" customFormat="1" ht="15" x14ac:dyDescent="0.25">
      <c r="A11415" t="s">
        <v>35</v>
      </c>
      <c r="B11415" t="s">
        <v>61</v>
      </c>
      <c r="C11415" t="str">
        <f>"A0131147"</f>
        <v>A0131147</v>
      </c>
      <c r="D11415" t="s">
        <v>41705</v>
      </c>
      <c r="E11415" t="s">
        <v>41706</v>
      </c>
      <c r="F11415" t="s">
        <v>9679</v>
      </c>
      <c r="G11415" t="s">
        <v>137</v>
      </c>
      <c r="H11415">
        <v>633660000</v>
      </c>
      <c r="I11415" t="s">
        <v>30</v>
      </c>
      <c r="J11415" t="s">
        <v>41</v>
      </c>
      <c r="K11415" t="s">
        <v>229</v>
      </c>
      <c r="Q11415">
        <v>0</v>
      </c>
      <c r="R11415">
        <v>120</v>
      </c>
      <c r="S11415">
        <v>120</v>
      </c>
      <c r="T11415" t="s">
        <v>41707</v>
      </c>
    </row>
    <row r="11416" spans="1:20" customFormat="1" ht="15" x14ac:dyDescent="0.25">
      <c r="A11416" t="s">
        <v>35</v>
      </c>
      <c r="B11416" t="s">
        <v>61</v>
      </c>
      <c r="C11416" t="str">
        <f>"A0131241"</f>
        <v>A0131241</v>
      </c>
      <c r="D11416" t="s">
        <v>41708</v>
      </c>
      <c r="E11416" t="s">
        <v>41709</v>
      </c>
      <c r="F11416" t="s">
        <v>1677</v>
      </c>
      <c r="G11416" t="s">
        <v>137</v>
      </c>
      <c r="H11416">
        <v>63017</v>
      </c>
      <c r="I11416" t="s">
        <v>30</v>
      </c>
      <c r="J11416" t="s">
        <v>41</v>
      </c>
      <c r="K11416" t="s">
        <v>229</v>
      </c>
      <c r="Q11416">
        <v>0</v>
      </c>
      <c r="R11416">
        <v>130</v>
      </c>
      <c r="S11416">
        <v>130</v>
      </c>
      <c r="T11416" t="s">
        <v>41710</v>
      </c>
    </row>
    <row r="11417" spans="1:20" customFormat="1" ht="15" x14ac:dyDescent="0.25">
      <c r="A11417" t="s">
        <v>35</v>
      </c>
      <c r="B11417" t="s">
        <v>61</v>
      </c>
      <c r="C11417" t="str">
        <f>"A0124038"</f>
        <v>A0124038</v>
      </c>
      <c r="D11417" t="s">
        <v>41711</v>
      </c>
      <c r="E11417" t="s">
        <v>41712</v>
      </c>
      <c r="F11417" t="s">
        <v>93</v>
      </c>
      <c r="G11417" t="s">
        <v>58</v>
      </c>
      <c r="H11417">
        <v>29615</v>
      </c>
      <c r="I11417" t="s">
        <v>30</v>
      </c>
      <c r="J11417" t="s">
        <v>41</v>
      </c>
      <c r="K11417" t="s">
        <v>482</v>
      </c>
      <c r="Q11417">
        <v>0</v>
      </c>
      <c r="R11417">
        <v>80</v>
      </c>
      <c r="S11417">
        <v>80</v>
      </c>
      <c r="T11417" t="s">
        <v>41713</v>
      </c>
    </row>
    <row r="11418" spans="1:20" customFormat="1" ht="15" x14ac:dyDescent="0.25">
      <c r="A11418" t="s">
        <v>35</v>
      </c>
      <c r="B11418" t="s">
        <v>61</v>
      </c>
      <c r="C11418" t="str">
        <f>"A0122685"</f>
        <v>A0122685</v>
      </c>
      <c r="D11418" t="s">
        <v>41714</v>
      </c>
      <c r="E11418" t="s">
        <v>41715</v>
      </c>
      <c r="F11418" t="s">
        <v>11421</v>
      </c>
      <c r="G11418" t="s">
        <v>76</v>
      </c>
      <c r="H11418">
        <v>98034</v>
      </c>
      <c r="I11418" t="s">
        <v>30</v>
      </c>
      <c r="J11418" t="s">
        <v>41</v>
      </c>
      <c r="K11418" t="s">
        <v>59</v>
      </c>
      <c r="Q11418">
        <v>0</v>
      </c>
      <c r="R11418">
        <v>48</v>
      </c>
      <c r="S11418">
        <v>48</v>
      </c>
      <c r="T11418" t="s">
        <v>41716</v>
      </c>
    </row>
    <row r="11419" spans="1:20" customFormat="1" ht="15" x14ac:dyDescent="0.25">
      <c r="A11419" t="s">
        <v>35</v>
      </c>
      <c r="B11419" t="s">
        <v>61</v>
      </c>
      <c r="C11419" t="str">
        <f>"A0124833"</f>
        <v>A0124833</v>
      </c>
      <c r="D11419" t="s">
        <v>41717</v>
      </c>
      <c r="E11419" t="s">
        <v>41718</v>
      </c>
      <c r="F11419" t="s">
        <v>38089</v>
      </c>
      <c r="G11419" t="s">
        <v>214</v>
      </c>
      <c r="H11419">
        <v>28529</v>
      </c>
      <c r="I11419" t="s">
        <v>30</v>
      </c>
      <c r="J11419" t="s">
        <v>41</v>
      </c>
      <c r="K11419" t="s">
        <v>59</v>
      </c>
      <c r="Q11419">
        <v>0</v>
      </c>
      <c r="R11419">
        <v>50</v>
      </c>
      <c r="S11419">
        <v>50</v>
      </c>
      <c r="T11419" t="s">
        <v>41719</v>
      </c>
    </row>
    <row r="11420" spans="1:20" customFormat="1" ht="15" x14ac:dyDescent="0.25">
      <c r="A11420" t="s">
        <v>35</v>
      </c>
      <c r="B11420" t="s">
        <v>106</v>
      </c>
      <c r="C11420" t="str">
        <f>"A0135854"</f>
        <v>A0135854</v>
      </c>
      <c r="D11420" t="s">
        <v>41720</v>
      </c>
      <c r="E11420" t="s">
        <v>41721</v>
      </c>
      <c r="F11420" t="s">
        <v>18383</v>
      </c>
      <c r="G11420" t="s">
        <v>1184</v>
      </c>
      <c r="H11420">
        <v>59030</v>
      </c>
      <c r="I11420" t="s">
        <v>30</v>
      </c>
      <c r="J11420" t="s">
        <v>111</v>
      </c>
      <c r="K11420" t="s">
        <v>112</v>
      </c>
      <c r="Q11420">
        <v>0</v>
      </c>
      <c r="R11420">
        <v>0</v>
      </c>
      <c r="S11420">
        <v>0</v>
      </c>
      <c r="T11420" t="s">
        <v>41722</v>
      </c>
    </row>
    <row r="11421" spans="1:20" customFormat="1" ht="15" x14ac:dyDescent="0.25">
      <c r="A11421" t="s">
        <v>35</v>
      </c>
      <c r="B11421" t="s">
        <v>61</v>
      </c>
      <c r="C11421" t="str">
        <f>"A0131240"</f>
        <v>A0131240</v>
      </c>
      <c r="D11421" t="s">
        <v>41723</v>
      </c>
      <c r="E11421" t="s">
        <v>41724</v>
      </c>
      <c r="F11421" t="s">
        <v>41725</v>
      </c>
      <c r="G11421" t="s">
        <v>85</v>
      </c>
      <c r="H11421">
        <v>716670000</v>
      </c>
      <c r="I11421" t="s">
        <v>30</v>
      </c>
      <c r="J11421" t="s">
        <v>41</v>
      </c>
      <c r="K11421" t="s">
        <v>229</v>
      </c>
      <c r="Q11421">
        <v>0</v>
      </c>
      <c r="R11421">
        <v>67</v>
      </c>
      <c r="S11421">
        <v>67</v>
      </c>
      <c r="T11421" t="s">
        <v>41726</v>
      </c>
    </row>
    <row r="11422" spans="1:20" customFormat="1" ht="15" x14ac:dyDescent="0.25">
      <c r="A11422" t="s">
        <v>35</v>
      </c>
      <c r="B11422" t="s">
        <v>61</v>
      </c>
      <c r="C11422" t="str">
        <f>"A0126673"</f>
        <v>A0126673</v>
      </c>
      <c r="D11422" t="s">
        <v>41727</v>
      </c>
      <c r="E11422" t="s">
        <v>41728</v>
      </c>
      <c r="F11422" t="s">
        <v>24541</v>
      </c>
      <c r="G11422" t="s">
        <v>99</v>
      </c>
      <c r="H11422">
        <v>10801</v>
      </c>
      <c r="I11422" t="s">
        <v>30</v>
      </c>
      <c r="J11422" t="s">
        <v>41</v>
      </c>
      <c r="K11422" t="s">
        <v>59</v>
      </c>
      <c r="Q11422">
        <v>0</v>
      </c>
      <c r="R11422">
        <v>102</v>
      </c>
      <c r="S11422">
        <v>102</v>
      </c>
      <c r="T11422" t="s">
        <v>41729</v>
      </c>
    </row>
    <row r="11423" spans="1:20" customFormat="1" ht="15" x14ac:dyDescent="0.25">
      <c r="A11423" t="s">
        <v>35</v>
      </c>
      <c r="B11423" t="s">
        <v>61</v>
      </c>
      <c r="C11423" t="str">
        <f>"A0130144"</f>
        <v>A0130144</v>
      </c>
      <c r="D11423" t="s">
        <v>41730</v>
      </c>
      <c r="E11423" t="s">
        <v>41731</v>
      </c>
      <c r="F11423" t="s">
        <v>12509</v>
      </c>
      <c r="G11423" t="s">
        <v>71</v>
      </c>
      <c r="H11423">
        <v>54110</v>
      </c>
      <c r="I11423" t="s">
        <v>30</v>
      </c>
      <c r="J11423" t="s">
        <v>41</v>
      </c>
      <c r="K11423" t="s">
        <v>59</v>
      </c>
      <c r="Q11423">
        <v>0</v>
      </c>
      <c r="R11423">
        <v>20</v>
      </c>
      <c r="S11423">
        <v>20</v>
      </c>
      <c r="T11423" t="s">
        <v>41732</v>
      </c>
    </row>
    <row r="11424" spans="1:20" customFormat="1" ht="15" x14ac:dyDescent="0.25">
      <c r="A11424" t="s">
        <v>35</v>
      </c>
      <c r="B11424" t="s">
        <v>61</v>
      </c>
      <c r="C11424" t="str">
        <f>"A0131724"</f>
        <v>A0131724</v>
      </c>
      <c r="D11424" t="s">
        <v>41733</v>
      </c>
      <c r="E11424" t="s">
        <v>41734</v>
      </c>
      <c r="F11424" t="s">
        <v>7303</v>
      </c>
      <c r="G11424" t="s">
        <v>65</v>
      </c>
      <c r="H11424">
        <v>445150000</v>
      </c>
      <c r="I11424" t="s">
        <v>30</v>
      </c>
      <c r="J11424" t="s">
        <v>41</v>
      </c>
      <c r="K11424" t="s">
        <v>2760</v>
      </c>
      <c r="Q11424">
        <v>0</v>
      </c>
      <c r="R11424">
        <v>137</v>
      </c>
      <c r="S11424">
        <v>137</v>
      </c>
      <c r="T11424" t="s">
        <v>41735</v>
      </c>
    </row>
    <row r="11425" spans="1:20" customFormat="1" ht="15" x14ac:dyDescent="0.25">
      <c r="A11425" t="s">
        <v>35</v>
      </c>
      <c r="B11425" t="s">
        <v>61</v>
      </c>
      <c r="C11425" t="str">
        <f>"A0123328"</f>
        <v>A0123328</v>
      </c>
      <c r="D11425" t="s">
        <v>41736</v>
      </c>
      <c r="E11425" t="s">
        <v>41737</v>
      </c>
      <c r="F11425" t="s">
        <v>29375</v>
      </c>
      <c r="G11425" t="s">
        <v>65</v>
      </c>
      <c r="H11425">
        <v>44857</v>
      </c>
      <c r="I11425" t="s">
        <v>30</v>
      </c>
      <c r="J11425" t="s">
        <v>41</v>
      </c>
      <c r="K11425" t="s">
        <v>229</v>
      </c>
      <c r="Q11425">
        <v>0</v>
      </c>
      <c r="R11425">
        <v>84</v>
      </c>
      <c r="S11425">
        <v>84</v>
      </c>
      <c r="T11425" t="s">
        <v>41738</v>
      </c>
    </row>
    <row r="11426" spans="1:20" customFormat="1" ht="15" x14ac:dyDescent="0.25">
      <c r="A11426" t="s">
        <v>35</v>
      </c>
      <c r="B11426" t="s">
        <v>61</v>
      </c>
      <c r="C11426" t="str">
        <f>"A0133002"</f>
        <v>A0133002</v>
      </c>
      <c r="D11426" t="s">
        <v>41739</v>
      </c>
      <c r="E11426" t="s">
        <v>41740</v>
      </c>
      <c r="F11426" t="s">
        <v>40166</v>
      </c>
      <c r="G11426" t="s">
        <v>52</v>
      </c>
      <c r="H11426">
        <v>76107</v>
      </c>
      <c r="I11426" t="s">
        <v>30</v>
      </c>
      <c r="J11426" t="s">
        <v>41</v>
      </c>
      <c r="K11426" t="s">
        <v>2715</v>
      </c>
      <c r="Q11426">
        <v>0</v>
      </c>
      <c r="R11426">
        <v>0</v>
      </c>
      <c r="S11426">
        <v>0</v>
      </c>
      <c r="T11426" t="s">
        <v>41741</v>
      </c>
    </row>
    <row r="11427" spans="1:20" customFormat="1" ht="15" x14ac:dyDescent="0.25">
      <c r="A11427" t="s">
        <v>35</v>
      </c>
      <c r="B11427" t="s">
        <v>61</v>
      </c>
      <c r="C11427" t="str">
        <f>"A0132262"</f>
        <v>A0132262</v>
      </c>
      <c r="D11427" t="s">
        <v>41742</v>
      </c>
      <c r="E11427" t="s">
        <v>41743</v>
      </c>
      <c r="F11427" t="s">
        <v>36523</v>
      </c>
      <c r="G11427" t="s">
        <v>65</v>
      </c>
      <c r="H11427">
        <v>44026</v>
      </c>
      <c r="I11427" t="s">
        <v>30</v>
      </c>
      <c r="J11427" t="s">
        <v>41</v>
      </c>
      <c r="K11427" t="s">
        <v>131</v>
      </c>
      <c r="Q11427">
        <v>0</v>
      </c>
      <c r="R11427">
        <v>0</v>
      </c>
      <c r="S11427">
        <v>0</v>
      </c>
      <c r="T11427" t="s">
        <v>41744</v>
      </c>
    </row>
    <row r="11428" spans="1:20" customFormat="1" ht="15" x14ac:dyDescent="0.25">
      <c r="A11428" t="s">
        <v>35</v>
      </c>
      <c r="B11428" t="s">
        <v>61</v>
      </c>
      <c r="C11428" t="str">
        <f>"A0118045"</f>
        <v>A0118045</v>
      </c>
      <c r="D11428" t="s">
        <v>41745</v>
      </c>
      <c r="E11428" t="s">
        <v>41746</v>
      </c>
      <c r="F11428" t="s">
        <v>2719</v>
      </c>
      <c r="G11428" t="s">
        <v>190</v>
      </c>
      <c r="H11428">
        <v>802300000</v>
      </c>
      <c r="I11428" t="s">
        <v>30</v>
      </c>
      <c r="J11428" t="s">
        <v>41</v>
      </c>
      <c r="K11428" t="s">
        <v>2463</v>
      </c>
      <c r="Q11428">
        <v>0</v>
      </c>
      <c r="R11428">
        <v>1</v>
      </c>
      <c r="S11428">
        <v>1</v>
      </c>
      <c r="T11428" t="s">
        <v>41747</v>
      </c>
    </row>
    <row r="11429" spans="1:20" customFormat="1" ht="15" x14ac:dyDescent="0.25">
      <c r="A11429" t="s">
        <v>35</v>
      </c>
      <c r="B11429" t="s">
        <v>61</v>
      </c>
      <c r="C11429" t="str">
        <f>"A0129223"</f>
        <v>A0129223</v>
      </c>
      <c r="D11429" t="s">
        <v>41748</v>
      </c>
      <c r="E11429" t="s">
        <v>41749</v>
      </c>
      <c r="F11429" t="s">
        <v>41750</v>
      </c>
      <c r="G11429" t="s">
        <v>289</v>
      </c>
      <c r="H11429">
        <v>61010</v>
      </c>
      <c r="I11429" t="s">
        <v>30</v>
      </c>
      <c r="J11429" t="s">
        <v>41</v>
      </c>
      <c r="K11429" t="s">
        <v>229</v>
      </c>
      <c r="Q11429">
        <v>0</v>
      </c>
      <c r="R11429">
        <v>131</v>
      </c>
      <c r="S11429">
        <v>131</v>
      </c>
      <c r="T11429" t="s">
        <v>41751</v>
      </c>
    </row>
    <row r="11430" spans="1:20" customFormat="1" ht="15" x14ac:dyDescent="0.25">
      <c r="A11430" t="s">
        <v>35</v>
      </c>
      <c r="B11430" t="s">
        <v>61</v>
      </c>
      <c r="C11430" t="str">
        <f>"A0123068"</f>
        <v>A0123068</v>
      </c>
      <c r="D11430" t="s">
        <v>41752</v>
      </c>
      <c r="E11430" t="s">
        <v>41753</v>
      </c>
      <c r="F11430" t="s">
        <v>950</v>
      </c>
      <c r="G11430" t="s">
        <v>76</v>
      </c>
      <c r="H11430">
        <v>98225</v>
      </c>
      <c r="I11430" t="s">
        <v>30</v>
      </c>
      <c r="J11430" t="s">
        <v>41</v>
      </c>
      <c r="K11430" t="s">
        <v>391</v>
      </c>
      <c r="Q11430">
        <v>0</v>
      </c>
      <c r="R11430">
        <v>0</v>
      </c>
      <c r="S11430">
        <v>0</v>
      </c>
      <c r="T11430" t="s">
        <v>41754</v>
      </c>
    </row>
    <row r="11431" spans="1:20" customFormat="1" ht="15" x14ac:dyDescent="0.25">
      <c r="A11431" t="s">
        <v>35</v>
      </c>
      <c r="B11431" t="s">
        <v>61</v>
      </c>
      <c r="C11431" t="str">
        <f>"A0125973"</f>
        <v>A0125973</v>
      </c>
      <c r="D11431" t="s">
        <v>41755</v>
      </c>
      <c r="E11431" t="s">
        <v>41756</v>
      </c>
      <c r="F11431" t="s">
        <v>17879</v>
      </c>
      <c r="G11431" t="s">
        <v>29</v>
      </c>
      <c r="H11431">
        <v>23464</v>
      </c>
      <c r="I11431" t="s">
        <v>30</v>
      </c>
      <c r="J11431" t="s">
        <v>41</v>
      </c>
      <c r="K11431" t="s">
        <v>2463</v>
      </c>
      <c r="Q11431">
        <v>0</v>
      </c>
      <c r="R11431">
        <v>0</v>
      </c>
      <c r="S11431">
        <v>0</v>
      </c>
      <c r="T11431" t="s">
        <v>41757</v>
      </c>
    </row>
    <row r="11432" spans="1:20" customFormat="1" ht="15" x14ac:dyDescent="0.25">
      <c r="A11432" t="s">
        <v>35</v>
      </c>
      <c r="B11432" t="s">
        <v>61</v>
      </c>
      <c r="C11432" t="str">
        <f>"A0124548"</f>
        <v>A0124548</v>
      </c>
      <c r="D11432" t="s">
        <v>41758</v>
      </c>
      <c r="E11432" t="s">
        <v>41759</v>
      </c>
      <c r="F11432" t="s">
        <v>41760</v>
      </c>
      <c r="G11432" t="s">
        <v>1706</v>
      </c>
      <c r="H11432">
        <v>35582</v>
      </c>
      <c r="I11432" t="s">
        <v>30</v>
      </c>
      <c r="J11432" t="s">
        <v>41</v>
      </c>
      <c r="K11432" t="s">
        <v>229</v>
      </c>
      <c r="Q11432">
        <v>0</v>
      </c>
      <c r="R11432">
        <v>90</v>
      </c>
      <c r="S11432">
        <v>90</v>
      </c>
      <c r="T11432" t="s">
        <v>41761</v>
      </c>
    </row>
    <row r="11433" spans="1:20" customFormat="1" ht="15" x14ac:dyDescent="0.25">
      <c r="A11433" t="s">
        <v>35</v>
      </c>
      <c r="B11433" t="s">
        <v>61</v>
      </c>
      <c r="C11433" t="str">
        <f>"A0124547"</f>
        <v>A0124547</v>
      </c>
      <c r="D11433" t="s">
        <v>41762</v>
      </c>
      <c r="E11433" t="s">
        <v>41763</v>
      </c>
      <c r="F11433" t="s">
        <v>9165</v>
      </c>
      <c r="G11433" t="s">
        <v>1706</v>
      </c>
      <c r="H11433">
        <v>35592</v>
      </c>
      <c r="I11433" t="s">
        <v>30</v>
      </c>
      <c r="J11433" t="s">
        <v>41</v>
      </c>
      <c r="K11433" t="s">
        <v>229</v>
      </c>
      <c r="Q11433">
        <v>0</v>
      </c>
      <c r="R11433">
        <v>158</v>
      </c>
      <c r="S11433">
        <v>158</v>
      </c>
      <c r="T11433" t="s">
        <v>41764</v>
      </c>
    </row>
    <row r="11434" spans="1:20" customFormat="1" ht="15" x14ac:dyDescent="0.25">
      <c r="A11434" t="s">
        <v>35</v>
      </c>
      <c r="B11434" t="s">
        <v>61</v>
      </c>
      <c r="C11434" t="str">
        <f>"A0124039"</f>
        <v>A0124039</v>
      </c>
      <c r="D11434" t="s">
        <v>41765</v>
      </c>
      <c r="E11434" t="s">
        <v>41766</v>
      </c>
      <c r="F11434" t="s">
        <v>19101</v>
      </c>
      <c r="G11434" t="s">
        <v>58</v>
      </c>
      <c r="H11434">
        <v>29506</v>
      </c>
      <c r="I11434" t="s">
        <v>30</v>
      </c>
      <c r="J11434" t="s">
        <v>41</v>
      </c>
      <c r="K11434" t="s">
        <v>482</v>
      </c>
      <c r="Q11434">
        <v>0</v>
      </c>
      <c r="R11434">
        <v>47</v>
      </c>
      <c r="S11434">
        <v>47</v>
      </c>
      <c r="T11434" t="s">
        <v>41767</v>
      </c>
    </row>
    <row r="11435" spans="1:20" customFormat="1" ht="15" x14ac:dyDescent="0.25">
      <c r="A11435" t="s">
        <v>35</v>
      </c>
      <c r="B11435" t="s">
        <v>106</v>
      </c>
      <c r="C11435" t="str">
        <f>"A0136581"</f>
        <v>A0136581</v>
      </c>
      <c r="D11435" t="s">
        <v>41768</v>
      </c>
      <c r="E11435" t="s">
        <v>41769</v>
      </c>
      <c r="F11435" t="s">
        <v>41770</v>
      </c>
      <c r="G11435" t="s">
        <v>190</v>
      </c>
      <c r="H11435">
        <v>80454</v>
      </c>
      <c r="I11435" t="s">
        <v>30</v>
      </c>
      <c r="J11435" t="s">
        <v>111</v>
      </c>
      <c r="K11435" t="s">
        <v>112</v>
      </c>
      <c r="Q11435">
        <v>0</v>
      </c>
      <c r="R11435">
        <v>0</v>
      </c>
      <c r="S11435">
        <v>0</v>
      </c>
      <c r="T11435" t="s">
        <v>41771</v>
      </c>
    </row>
    <row r="11436" spans="1:20" customFormat="1" ht="15" x14ac:dyDescent="0.25">
      <c r="A11436" t="s">
        <v>35</v>
      </c>
      <c r="B11436" t="s">
        <v>437</v>
      </c>
      <c r="C11436" t="str">
        <f>"A0134096"</f>
        <v>A0134096</v>
      </c>
      <c r="D11436" t="s">
        <v>41772</v>
      </c>
      <c r="E11436" t="s">
        <v>41773</v>
      </c>
      <c r="F11436" t="s">
        <v>41774</v>
      </c>
      <c r="G11436" t="s">
        <v>1363</v>
      </c>
      <c r="H11436">
        <v>3254</v>
      </c>
      <c r="I11436" t="s">
        <v>30</v>
      </c>
      <c r="J11436" t="s">
        <v>441</v>
      </c>
      <c r="K11436" t="s">
        <v>42</v>
      </c>
      <c r="Q11436">
        <v>0</v>
      </c>
      <c r="R11436">
        <v>0</v>
      </c>
      <c r="S11436">
        <v>0</v>
      </c>
      <c r="T11436" t="s">
        <v>41775</v>
      </c>
    </row>
    <row r="11437" spans="1:20" customFormat="1" ht="15" x14ac:dyDescent="0.25">
      <c r="A11437" t="s">
        <v>35</v>
      </c>
      <c r="B11437" t="s">
        <v>61</v>
      </c>
      <c r="C11437" t="str">
        <f>"A0130160"</f>
        <v>A0130160</v>
      </c>
      <c r="D11437" t="s">
        <v>41776</v>
      </c>
      <c r="E11437" t="s">
        <v>41777</v>
      </c>
      <c r="F11437" t="s">
        <v>4591</v>
      </c>
      <c r="G11437" t="s">
        <v>1898</v>
      </c>
      <c r="H11437">
        <v>52302</v>
      </c>
      <c r="I11437" t="s">
        <v>30</v>
      </c>
      <c r="J11437" t="s">
        <v>41</v>
      </c>
      <c r="K11437" t="s">
        <v>290</v>
      </c>
      <c r="Q11437">
        <v>0</v>
      </c>
      <c r="R11437">
        <v>0</v>
      </c>
      <c r="S11437">
        <v>0</v>
      </c>
      <c r="T11437" t="s">
        <v>41778</v>
      </c>
    </row>
    <row r="11438" spans="1:20" customFormat="1" ht="15" x14ac:dyDescent="0.25">
      <c r="A11438" t="s">
        <v>35</v>
      </c>
      <c r="B11438" t="s">
        <v>61</v>
      </c>
      <c r="C11438" t="str">
        <f>"A0123329"</f>
        <v>A0123329</v>
      </c>
      <c r="D11438" t="s">
        <v>41779</v>
      </c>
      <c r="E11438" t="s">
        <v>41780</v>
      </c>
      <c r="F11438" t="s">
        <v>472</v>
      </c>
      <c r="G11438" t="s">
        <v>214</v>
      </c>
      <c r="H11438">
        <v>27610</v>
      </c>
      <c r="I11438" t="s">
        <v>30</v>
      </c>
      <c r="J11438" t="s">
        <v>41</v>
      </c>
      <c r="K11438" t="s">
        <v>10880</v>
      </c>
      <c r="Q11438">
        <v>0</v>
      </c>
      <c r="R11438">
        <v>0</v>
      </c>
      <c r="S11438">
        <v>0</v>
      </c>
    </row>
    <row r="11439" spans="1:20" customFormat="1" ht="15" x14ac:dyDescent="0.25">
      <c r="A11439" t="s">
        <v>35</v>
      </c>
      <c r="B11439" t="s">
        <v>106</v>
      </c>
      <c r="C11439" t="str">
        <f>"A0136515"</f>
        <v>A0136515</v>
      </c>
      <c r="D11439" t="s">
        <v>41781</v>
      </c>
      <c r="E11439" t="s">
        <v>41782</v>
      </c>
      <c r="F11439" t="s">
        <v>41783</v>
      </c>
      <c r="G11439" t="s">
        <v>123</v>
      </c>
      <c r="H11439">
        <v>20852</v>
      </c>
      <c r="I11439" t="s">
        <v>30</v>
      </c>
      <c r="J11439" t="s">
        <v>111</v>
      </c>
      <c r="K11439" t="s">
        <v>112</v>
      </c>
      <c r="Q11439">
        <v>0</v>
      </c>
      <c r="R11439">
        <v>0</v>
      </c>
      <c r="S11439">
        <v>0</v>
      </c>
      <c r="T11439" t="s">
        <v>41784</v>
      </c>
    </row>
    <row r="11440" spans="1:20" customFormat="1" ht="15" x14ac:dyDescent="0.25">
      <c r="A11440" t="s">
        <v>35</v>
      </c>
      <c r="B11440" t="s">
        <v>61</v>
      </c>
      <c r="C11440" t="str">
        <f>"A0133323"</f>
        <v>A0133323</v>
      </c>
      <c r="D11440" t="s">
        <v>41785</v>
      </c>
      <c r="E11440" t="s">
        <v>41786</v>
      </c>
      <c r="F11440" t="s">
        <v>18470</v>
      </c>
      <c r="G11440" t="s">
        <v>52</v>
      </c>
      <c r="H11440">
        <v>791100000</v>
      </c>
      <c r="I11440" t="s">
        <v>30</v>
      </c>
      <c r="J11440" t="s">
        <v>41</v>
      </c>
      <c r="K11440" t="s">
        <v>229</v>
      </c>
      <c r="Q11440">
        <v>0</v>
      </c>
      <c r="R11440">
        <v>40</v>
      </c>
      <c r="S11440">
        <v>40</v>
      </c>
      <c r="T11440" t="s">
        <v>41787</v>
      </c>
    </row>
    <row r="11441" spans="1:20" customFormat="1" ht="15" x14ac:dyDescent="0.25">
      <c r="A11441" t="s">
        <v>35</v>
      </c>
      <c r="B11441" t="s">
        <v>61</v>
      </c>
      <c r="C11441" t="str">
        <f>"A0124040"</f>
        <v>A0124040</v>
      </c>
      <c r="D11441" t="s">
        <v>41788</v>
      </c>
      <c r="E11441" t="s">
        <v>41789</v>
      </c>
      <c r="F11441" t="s">
        <v>7801</v>
      </c>
      <c r="G11441" t="s">
        <v>846</v>
      </c>
      <c r="H11441">
        <v>31406</v>
      </c>
      <c r="I11441" t="s">
        <v>30</v>
      </c>
      <c r="J11441" t="s">
        <v>41</v>
      </c>
      <c r="K11441" t="s">
        <v>229</v>
      </c>
      <c r="Q11441">
        <v>0</v>
      </c>
      <c r="R11441">
        <v>125</v>
      </c>
      <c r="S11441">
        <v>125</v>
      </c>
      <c r="T11441" t="s">
        <v>41790</v>
      </c>
    </row>
    <row r="11442" spans="1:20" customFormat="1" ht="15" x14ac:dyDescent="0.25">
      <c r="A11442" t="s">
        <v>35</v>
      </c>
      <c r="B11442" t="s">
        <v>61</v>
      </c>
      <c r="C11442" t="str">
        <f>"A0128557"</f>
        <v>A0128557</v>
      </c>
      <c r="D11442" t="s">
        <v>41791</v>
      </c>
      <c r="E11442" t="s">
        <v>41792</v>
      </c>
      <c r="F11442" t="s">
        <v>41793</v>
      </c>
      <c r="G11442" t="s">
        <v>840</v>
      </c>
      <c r="H11442">
        <v>413110000</v>
      </c>
      <c r="I11442" t="s">
        <v>30</v>
      </c>
      <c r="J11442" t="s">
        <v>41</v>
      </c>
      <c r="K11442" t="s">
        <v>391</v>
      </c>
      <c r="Q11442">
        <v>0</v>
      </c>
      <c r="R11442">
        <v>35</v>
      </c>
      <c r="S11442">
        <v>35</v>
      </c>
      <c r="T11442" t="s">
        <v>41794</v>
      </c>
    </row>
    <row r="11443" spans="1:20" customFormat="1" ht="15" x14ac:dyDescent="0.25">
      <c r="A11443" t="s">
        <v>35</v>
      </c>
      <c r="B11443" t="s">
        <v>106</v>
      </c>
      <c r="C11443" t="str">
        <f>"A0135373"</f>
        <v>A0135373</v>
      </c>
      <c r="D11443" t="s">
        <v>41795</v>
      </c>
      <c r="E11443" t="s">
        <v>41796</v>
      </c>
      <c r="F11443" t="s">
        <v>23011</v>
      </c>
      <c r="G11443" t="s">
        <v>103</v>
      </c>
      <c r="H11443">
        <v>17325</v>
      </c>
      <c r="I11443" t="s">
        <v>30</v>
      </c>
      <c r="J11443" t="s">
        <v>111</v>
      </c>
      <c r="K11443" t="s">
        <v>10012</v>
      </c>
      <c r="Q11443">
        <v>0</v>
      </c>
      <c r="R11443">
        <v>0</v>
      </c>
      <c r="S11443">
        <v>0</v>
      </c>
      <c r="T11443" t="s">
        <v>41797</v>
      </c>
    </row>
    <row r="11444" spans="1:20" customFormat="1" ht="15" x14ac:dyDescent="0.25">
      <c r="A11444" t="s">
        <v>35</v>
      </c>
      <c r="B11444" t="s">
        <v>61</v>
      </c>
      <c r="C11444" t="str">
        <f>"A0125771"</f>
        <v>A0125771</v>
      </c>
      <c r="D11444" t="s">
        <v>41798</v>
      </c>
      <c r="E11444" t="s">
        <v>41799</v>
      </c>
      <c r="F11444" t="s">
        <v>41800</v>
      </c>
      <c r="G11444" t="s">
        <v>29</v>
      </c>
      <c r="H11444">
        <v>23417</v>
      </c>
      <c r="I11444" t="s">
        <v>30</v>
      </c>
      <c r="J11444" t="s">
        <v>41</v>
      </c>
      <c r="K11444" t="s">
        <v>59</v>
      </c>
      <c r="Q11444">
        <v>0</v>
      </c>
      <c r="R11444">
        <v>100</v>
      </c>
      <c r="S11444">
        <v>100</v>
      </c>
      <c r="T11444" t="s">
        <v>41801</v>
      </c>
    </row>
    <row r="11445" spans="1:20" customFormat="1" ht="15" x14ac:dyDescent="0.25">
      <c r="A11445" t="s">
        <v>35</v>
      </c>
      <c r="B11445" t="s">
        <v>61</v>
      </c>
      <c r="C11445" t="str">
        <f>"A0123330"</f>
        <v>A0123330</v>
      </c>
      <c r="D11445" t="s">
        <v>41802</v>
      </c>
      <c r="E11445" t="s">
        <v>41803</v>
      </c>
      <c r="F11445" t="s">
        <v>15622</v>
      </c>
      <c r="G11445" t="s">
        <v>29</v>
      </c>
      <c r="H11445">
        <v>23507</v>
      </c>
      <c r="I11445" t="s">
        <v>30</v>
      </c>
      <c r="J11445" t="s">
        <v>41</v>
      </c>
      <c r="K11445" t="s">
        <v>482</v>
      </c>
      <c r="Q11445">
        <v>0</v>
      </c>
      <c r="R11445">
        <v>96</v>
      </c>
      <c r="S11445">
        <v>96</v>
      </c>
      <c r="T11445" t="s">
        <v>41804</v>
      </c>
    </row>
    <row r="11446" spans="1:20" customFormat="1" ht="15" x14ac:dyDescent="0.25">
      <c r="A11446" t="s">
        <v>35</v>
      </c>
      <c r="B11446" t="s">
        <v>61</v>
      </c>
      <c r="C11446" t="str">
        <f>"A0131243"</f>
        <v>A0131243</v>
      </c>
      <c r="D11446" t="s">
        <v>41805</v>
      </c>
      <c r="E11446" t="s">
        <v>41806</v>
      </c>
      <c r="F11446" t="s">
        <v>41807</v>
      </c>
      <c r="G11446" t="s">
        <v>137</v>
      </c>
      <c r="H11446">
        <v>655650000</v>
      </c>
      <c r="I11446" t="s">
        <v>30</v>
      </c>
      <c r="J11446" t="s">
        <v>41</v>
      </c>
      <c r="K11446" t="s">
        <v>229</v>
      </c>
      <c r="Q11446">
        <v>0</v>
      </c>
      <c r="R11446">
        <v>60</v>
      </c>
      <c r="S11446">
        <v>60</v>
      </c>
      <c r="T11446" t="s">
        <v>41808</v>
      </c>
    </row>
    <row r="11447" spans="1:20" customFormat="1" ht="15" x14ac:dyDescent="0.25">
      <c r="A11447" t="s">
        <v>35</v>
      </c>
      <c r="B11447" t="s">
        <v>61</v>
      </c>
      <c r="C11447" t="str">
        <f>"A0123749"</f>
        <v>A0123749</v>
      </c>
      <c r="D11447" t="s">
        <v>41809</v>
      </c>
      <c r="E11447" t="s">
        <v>41810</v>
      </c>
      <c r="F11447" t="s">
        <v>3327</v>
      </c>
      <c r="G11447" t="s">
        <v>214</v>
      </c>
      <c r="H11447">
        <v>28401</v>
      </c>
      <c r="I11447" t="s">
        <v>30</v>
      </c>
      <c r="J11447" t="s">
        <v>41</v>
      </c>
      <c r="K11447" t="s">
        <v>59</v>
      </c>
      <c r="Q11447">
        <v>0</v>
      </c>
      <c r="R11447">
        <v>100</v>
      </c>
      <c r="S11447">
        <v>100</v>
      </c>
      <c r="T11447" t="s">
        <v>41811</v>
      </c>
    </row>
    <row r="11448" spans="1:20" customFormat="1" ht="15" x14ac:dyDescent="0.25">
      <c r="A11448" t="s">
        <v>35</v>
      </c>
      <c r="B11448" t="s">
        <v>61</v>
      </c>
      <c r="C11448" t="str">
        <f>"A0123750"</f>
        <v>A0123750</v>
      </c>
      <c r="D11448" t="s">
        <v>41812</v>
      </c>
      <c r="E11448" t="s">
        <v>41813</v>
      </c>
      <c r="F11448" t="s">
        <v>3327</v>
      </c>
      <c r="G11448" t="s">
        <v>214</v>
      </c>
      <c r="H11448">
        <v>28401</v>
      </c>
      <c r="I11448" t="s">
        <v>30</v>
      </c>
      <c r="J11448" t="s">
        <v>41</v>
      </c>
      <c r="K11448" t="s">
        <v>59</v>
      </c>
      <c r="Q11448">
        <v>0</v>
      </c>
      <c r="R11448">
        <v>100</v>
      </c>
      <c r="S11448">
        <v>100</v>
      </c>
      <c r="T11448" t="s">
        <v>41811</v>
      </c>
    </row>
    <row r="11449" spans="1:20" customFormat="1" ht="15" x14ac:dyDescent="0.25">
      <c r="A11449" t="s">
        <v>35</v>
      </c>
      <c r="B11449" t="s">
        <v>61</v>
      </c>
      <c r="C11449" t="str">
        <f>"A0133288"</f>
        <v>A0133288</v>
      </c>
      <c r="D11449" t="s">
        <v>41814</v>
      </c>
      <c r="E11449" t="s">
        <v>41815</v>
      </c>
      <c r="F11449" t="s">
        <v>41816</v>
      </c>
      <c r="G11449" t="s">
        <v>52</v>
      </c>
      <c r="H11449">
        <v>795020000</v>
      </c>
      <c r="I11449" t="s">
        <v>30</v>
      </c>
      <c r="J11449" t="s">
        <v>41</v>
      </c>
      <c r="K11449" t="s">
        <v>229</v>
      </c>
      <c r="Q11449">
        <v>0</v>
      </c>
      <c r="R11449">
        <v>60</v>
      </c>
      <c r="S11449">
        <v>60</v>
      </c>
      <c r="T11449" t="s">
        <v>41817</v>
      </c>
    </row>
    <row r="11450" spans="1:20" customFormat="1" ht="15" x14ac:dyDescent="0.25">
      <c r="A11450" t="s">
        <v>35</v>
      </c>
      <c r="B11450" t="s">
        <v>61</v>
      </c>
      <c r="C11450" t="str">
        <f>"A0123162"</f>
        <v>A0123162</v>
      </c>
      <c r="D11450" t="s">
        <v>41818</v>
      </c>
      <c r="E11450" t="s">
        <v>41819</v>
      </c>
      <c r="F11450" t="s">
        <v>16985</v>
      </c>
      <c r="G11450" t="s">
        <v>137</v>
      </c>
      <c r="H11450">
        <v>637030000</v>
      </c>
      <c r="I11450" t="s">
        <v>30</v>
      </c>
      <c r="J11450" t="s">
        <v>41</v>
      </c>
      <c r="K11450" t="s">
        <v>229</v>
      </c>
      <c r="Q11450">
        <v>0</v>
      </c>
      <c r="R11450">
        <v>1</v>
      </c>
      <c r="S11450">
        <v>1</v>
      </c>
      <c r="T11450" t="s">
        <v>41820</v>
      </c>
    </row>
    <row r="11451" spans="1:20" customFormat="1" ht="15" x14ac:dyDescent="0.25">
      <c r="A11451" t="s">
        <v>35</v>
      </c>
      <c r="B11451" t="s">
        <v>61</v>
      </c>
      <c r="C11451" t="str">
        <f>"A0131293"</f>
        <v>A0131293</v>
      </c>
      <c r="D11451" t="s">
        <v>41821</v>
      </c>
      <c r="E11451" t="s">
        <v>41822</v>
      </c>
      <c r="F11451" t="s">
        <v>41823</v>
      </c>
      <c r="G11451" t="s">
        <v>137</v>
      </c>
      <c r="H11451">
        <v>63848</v>
      </c>
      <c r="I11451" t="s">
        <v>30</v>
      </c>
      <c r="J11451" t="s">
        <v>41</v>
      </c>
      <c r="K11451" t="s">
        <v>229</v>
      </c>
      <c r="Q11451">
        <v>0</v>
      </c>
      <c r="R11451">
        <v>73</v>
      </c>
      <c r="S11451">
        <v>73</v>
      </c>
      <c r="T11451" t="s">
        <v>41824</v>
      </c>
    </row>
    <row r="11452" spans="1:20" customFormat="1" ht="15" x14ac:dyDescent="0.25">
      <c r="A11452" t="s">
        <v>35</v>
      </c>
      <c r="B11452" t="s">
        <v>61</v>
      </c>
      <c r="C11452" t="str">
        <f>"A0126082"</f>
        <v>A0126082</v>
      </c>
      <c r="D11452" t="s">
        <v>41825</v>
      </c>
      <c r="E11452" t="s">
        <v>41826</v>
      </c>
      <c r="F11452" t="s">
        <v>41827</v>
      </c>
      <c r="G11452" t="s">
        <v>197</v>
      </c>
      <c r="H11452">
        <v>85147</v>
      </c>
      <c r="I11452" t="s">
        <v>30</v>
      </c>
      <c r="J11452" t="s">
        <v>41</v>
      </c>
      <c r="K11452" t="s">
        <v>229</v>
      </c>
      <c r="Q11452">
        <v>0</v>
      </c>
      <c r="R11452">
        <v>60</v>
      </c>
      <c r="S11452">
        <v>60</v>
      </c>
      <c r="T11452" t="s">
        <v>41828</v>
      </c>
    </row>
    <row r="11453" spans="1:20" customFormat="1" ht="15" x14ac:dyDescent="0.25">
      <c r="A11453" t="s">
        <v>35</v>
      </c>
      <c r="B11453" t="s">
        <v>61</v>
      </c>
      <c r="C11453" t="str">
        <f>"A0152980"</f>
        <v>A0152980</v>
      </c>
      <c r="D11453" t="s">
        <v>41829</v>
      </c>
      <c r="E11453" t="s">
        <v>41830</v>
      </c>
      <c r="F11453" t="s">
        <v>41827</v>
      </c>
      <c r="G11453" t="s">
        <v>197</v>
      </c>
      <c r="H11453">
        <v>85147</v>
      </c>
      <c r="I11453" t="s">
        <v>30</v>
      </c>
      <c r="J11453" t="s">
        <v>41</v>
      </c>
      <c r="K11453" t="s">
        <v>229</v>
      </c>
      <c r="Q11453">
        <v>0</v>
      </c>
      <c r="R11453">
        <v>0</v>
      </c>
      <c r="S11453">
        <v>0</v>
      </c>
      <c r="T11453" t="s">
        <v>41831</v>
      </c>
    </row>
    <row r="11454" spans="1:20" customFormat="1" ht="15" x14ac:dyDescent="0.25">
      <c r="A11454" t="s">
        <v>35</v>
      </c>
      <c r="B11454" t="s">
        <v>61</v>
      </c>
      <c r="C11454" t="str">
        <f>"A0127864"</f>
        <v>A0127864</v>
      </c>
      <c r="D11454" t="s">
        <v>41832</v>
      </c>
      <c r="E11454" t="s">
        <v>41833</v>
      </c>
      <c r="F11454" t="s">
        <v>116</v>
      </c>
      <c r="G11454" t="s">
        <v>117</v>
      </c>
      <c r="H11454">
        <v>48197</v>
      </c>
      <c r="I11454" t="s">
        <v>30</v>
      </c>
      <c r="J11454" t="s">
        <v>41</v>
      </c>
      <c r="K11454" t="s">
        <v>229</v>
      </c>
      <c r="Q11454">
        <v>0</v>
      </c>
      <c r="R11454">
        <v>72</v>
      </c>
      <c r="S11454">
        <v>72</v>
      </c>
      <c r="T11454" t="s">
        <v>41834</v>
      </c>
    </row>
    <row r="11455" spans="1:20" customFormat="1" ht="15" x14ac:dyDescent="0.25">
      <c r="A11455" t="s">
        <v>35</v>
      </c>
      <c r="B11455" t="s">
        <v>106</v>
      </c>
      <c r="C11455" t="str">
        <f>"A0135755"</f>
        <v>A0135755</v>
      </c>
      <c r="D11455" t="s">
        <v>41835</v>
      </c>
      <c r="E11455" t="s">
        <v>41836</v>
      </c>
      <c r="F11455" t="s">
        <v>446</v>
      </c>
      <c r="G11455" t="s">
        <v>123</v>
      </c>
      <c r="H11455">
        <v>21401</v>
      </c>
      <c r="I11455" t="s">
        <v>30</v>
      </c>
      <c r="J11455" t="s">
        <v>111</v>
      </c>
      <c r="K11455" t="s">
        <v>112</v>
      </c>
      <c r="Q11455">
        <v>0</v>
      </c>
      <c r="R11455">
        <v>0</v>
      </c>
      <c r="S11455">
        <v>0</v>
      </c>
      <c r="T11455" t="s">
        <v>41837</v>
      </c>
    </row>
    <row r="11456" spans="1:20" customFormat="1" ht="15" x14ac:dyDescent="0.25">
      <c r="A11456" t="s">
        <v>35</v>
      </c>
      <c r="B11456" t="s">
        <v>106</v>
      </c>
      <c r="C11456" t="str">
        <f>"A0135771"</f>
        <v>A0135771</v>
      </c>
      <c r="D11456" t="s">
        <v>41838</v>
      </c>
      <c r="E11456" t="s">
        <v>41839</v>
      </c>
      <c r="F11456" t="s">
        <v>451</v>
      </c>
      <c r="G11456" t="s">
        <v>117</v>
      </c>
      <c r="H11456">
        <v>48104</v>
      </c>
      <c r="I11456" t="s">
        <v>30</v>
      </c>
      <c r="J11456" t="s">
        <v>111</v>
      </c>
      <c r="K11456" t="s">
        <v>112</v>
      </c>
      <c r="Q11456">
        <v>0</v>
      </c>
      <c r="R11456">
        <v>0</v>
      </c>
      <c r="S11456">
        <v>0</v>
      </c>
      <c r="T11456" t="s">
        <v>41840</v>
      </c>
    </row>
    <row r="11457" spans="1:20" customFormat="1" ht="15" x14ac:dyDescent="0.25">
      <c r="A11457" t="s">
        <v>35</v>
      </c>
      <c r="B11457" t="s">
        <v>106</v>
      </c>
      <c r="C11457" t="str">
        <f>"A0135831"</f>
        <v>A0135831</v>
      </c>
      <c r="D11457" t="s">
        <v>41841</v>
      </c>
      <c r="E11457" t="s">
        <v>41842</v>
      </c>
      <c r="F11457" t="s">
        <v>4629</v>
      </c>
      <c r="G11457" t="s">
        <v>103</v>
      </c>
      <c r="H11457">
        <v>19104</v>
      </c>
      <c r="I11457" t="s">
        <v>30</v>
      </c>
      <c r="J11457" t="s">
        <v>111</v>
      </c>
      <c r="K11457" t="s">
        <v>112</v>
      </c>
      <c r="Q11457">
        <v>0</v>
      </c>
      <c r="R11457">
        <v>0</v>
      </c>
      <c r="S11457">
        <v>0</v>
      </c>
      <c r="T11457" t="s">
        <v>41837</v>
      </c>
    </row>
    <row r="11458" spans="1:20" customFormat="1" ht="15" x14ac:dyDescent="0.25">
      <c r="A11458" t="s">
        <v>35</v>
      </c>
      <c r="B11458" t="s">
        <v>106</v>
      </c>
      <c r="C11458" t="str">
        <f>"A0151158"</f>
        <v>A0151158</v>
      </c>
      <c r="D11458" t="s">
        <v>41843</v>
      </c>
      <c r="E11458" t="s">
        <v>41844</v>
      </c>
      <c r="F11458" t="s">
        <v>26129</v>
      </c>
      <c r="G11458" t="s">
        <v>899</v>
      </c>
      <c r="H11458">
        <v>2215</v>
      </c>
      <c r="I11458" t="s">
        <v>30</v>
      </c>
      <c r="J11458" t="s">
        <v>111</v>
      </c>
      <c r="K11458" t="s">
        <v>112</v>
      </c>
      <c r="Q11458">
        <v>0</v>
      </c>
      <c r="R11458">
        <v>0</v>
      </c>
      <c r="S11458">
        <v>0</v>
      </c>
      <c r="T11458" t="s">
        <v>41837</v>
      </c>
    </row>
    <row r="11459" spans="1:20" customFormat="1" ht="15" x14ac:dyDescent="0.25">
      <c r="A11459" t="s">
        <v>35</v>
      </c>
      <c r="B11459" t="s">
        <v>106</v>
      </c>
      <c r="C11459" t="str">
        <f>"A0135803"</f>
        <v>A0135803</v>
      </c>
      <c r="D11459" t="s">
        <v>41845</v>
      </c>
      <c r="E11459" t="s">
        <v>41846</v>
      </c>
      <c r="F11459" t="s">
        <v>41847</v>
      </c>
      <c r="G11459" t="s">
        <v>123</v>
      </c>
      <c r="H11459">
        <v>20740</v>
      </c>
      <c r="I11459" t="s">
        <v>30</v>
      </c>
      <c r="J11459" t="s">
        <v>111</v>
      </c>
      <c r="K11459" t="s">
        <v>112</v>
      </c>
      <c r="Q11459">
        <v>0</v>
      </c>
      <c r="R11459">
        <v>0</v>
      </c>
      <c r="S11459">
        <v>0</v>
      </c>
      <c r="T11459" t="s">
        <v>41837</v>
      </c>
    </row>
    <row r="11460" spans="1:20" customFormat="1" ht="15" x14ac:dyDescent="0.25">
      <c r="A11460" t="s">
        <v>35</v>
      </c>
      <c r="B11460" t="s">
        <v>106</v>
      </c>
      <c r="C11460" t="str">
        <f>"A0135829"</f>
        <v>A0135829</v>
      </c>
      <c r="D11460" t="s">
        <v>41848</v>
      </c>
      <c r="E11460" t="s">
        <v>41849</v>
      </c>
      <c r="F11460" t="s">
        <v>21278</v>
      </c>
      <c r="G11460" t="s">
        <v>99</v>
      </c>
      <c r="H11460">
        <v>13210</v>
      </c>
      <c r="I11460" t="s">
        <v>30</v>
      </c>
      <c r="J11460" t="s">
        <v>111</v>
      </c>
      <c r="K11460" t="s">
        <v>112</v>
      </c>
      <c r="Q11460">
        <v>0</v>
      </c>
      <c r="R11460">
        <v>0</v>
      </c>
      <c r="S11460">
        <v>0</v>
      </c>
      <c r="T11460" t="s">
        <v>41850</v>
      </c>
    </row>
    <row r="11461" spans="1:20" customFormat="1" ht="15" x14ac:dyDescent="0.25">
      <c r="A11461" t="s">
        <v>35</v>
      </c>
      <c r="B11461" t="s">
        <v>106</v>
      </c>
      <c r="C11461" t="str">
        <f>"A0150764"</f>
        <v>A0150764</v>
      </c>
      <c r="D11461" t="s">
        <v>41851</v>
      </c>
      <c r="E11461" t="s">
        <v>41852</v>
      </c>
      <c r="F11461" t="s">
        <v>21278</v>
      </c>
      <c r="G11461" t="s">
        <v>99</v>
      </c>
      <c r="H11461">
        <v>13210</v>
      </c>
      <c r="I11461" t="s">
        <v>30</v>
      </c>
      <c r="J11461" t="s">
        <v>111</v>
      </c>
      <c r="K11461" t="s">
        <v>112</v>
      </c>
      <c r="Q11461">
        <v>0</v>
      </c>
      <c r="R11461">
        <v>0</v>
      </c>
      <c r="S11461">
        <v>0</v>
      </c>
      <c r="T11461" t="s">
        <v>41837</v>
      </c>
    </row>
    <row r="11462" spans="1:20" customFormat="1" ht="15" x14ac:dyDescent="0.25">
      <c r="A11462" t="s">
        <v>35</v>
      </c>
      <c r="B11462" t="s">
        <v>106</v>
      </c>
      <c r="C11462" t="str">
        <f>"A0135783"</f>
        <v>A0135783</v>
      </c>
      <c r="D11462" t="s">
        <v>41853</v>
      </c>
      <c r="E11462" t="s">
        <v>41854</v>
      </c>
      <c r="F11462" t="s">
        <v>41847</v>
      </c>
      <c r="G11462" t="s">
        <v>123</v>
      </c>
      <c r="H11462">
        <v>20740</v>
      </c>
      <c r="I11462" t="s">
        <v>30</v>
      </c>
      <c r="J11462" t="s">
        <v>111</v>
      </c>
      <c r="K11462" t="s">
        <v>112</v>
      </c>
      <c r="Q11462">
        <v>0</v>
      </c>
      <c r="R11462">
        <v>0</v>
      </c>
      <c r="S11462">
        <v>0</v>
      </c>
      <c r="T11462" t="s">
        <v>41855</v>
      </c>
    </row>
    <row r="11463" spans="1:20" customFormat="1" ht="15" x14ac:dyDescent="0.25">
      <c r="A11463" t="s">
        <v>35</v>
      </c>
      <c r="B11463" t="s">
        <v>106</v>
      </c>
      <c r="C11463" t="str">
        <f>"A0135772"</f>
        <v>A0135772</v>
      </c>
      <c r="D11463" t="s">
        <v>41856</v>
      </c>
      <c r="E11463" t="s">
        <v>41857</v>
      </c>
      <c r="F11463" t="s">
        <v>25141</v>
      </c>
      <c r="G11463" t="s">
        <v>99</v>
      </c>
      <c r="H11463">
        <v>14850</v>
      </c>
      <c r="I11463" t="s">
        <v>30</v>
      </c>
      <c r="J11463" t="s">
        <v>111</v>
      </c>
      <c r="K11463" t="s">
        <v>112</v>
      </c>
      <c r="Q11463">
        <v>0</v>
      </c>
      <c r="R11463">
        <v>0</v>
      </c>
      <c r="S11463">
        <v>0</v>
      </c>
      <c r="T11463" t="s">
        <v>41837</v>
      </c>
    </row>
    <row r="11464" spans="1:20" customFormat="1" ht="15" x14ac:dyDescent="0.25">
      <c r="A11464" t="s">
        <v>35</v>
      </c>
      <c r="B11464" t="s">
        <v>106</v>
      </c>
      <c r="C11464" t="str">
        <f>"A0135797"</f>
        <v>A0135797</v>
      </c>
      <c r="D11464" t="s">
        <v>41858</v>
      </c>
      <c r="E11464" t="s">
        <v>41859</v>
      </c>
      <c r="F11464" t="s">
        <v>41847</v>
      </c>
      <c r="G11464" t="s">
        <v>123</v>
      </c>
      <c r="H11464">
        <v>20740</v>
      </c>
      <c r="I11464" t="s">
        <v>30</v>
      </c>
      <c r="J11464" t="s">
        <v>111</v>
      </c>
      <c r="K11464" t="s">
        <v>112</v>
      </c>
      <c r="Q11464">
        <v>0</v>
      </c>
      <c r="R11464">
        <v>0</v>
      </c>
      <c r="S11464">
        <v>0</v>
      </c>
      <c r="T11464" t="s">
        <v>41837</v>
      </c>
    </row>
    <row r="11465" spans="1:20" customFormat="1" ht="15" x14ac:dyDescent="0.25">
      <c r="A11465" t="s">
        <v>35</v>
      </c>
      <c r="B11465" t="s">
        <v>106</v>
      </c>
      <c r="C11465" t="str">
        <f>"A0135756"</f>
        <v>A0135756</v>
      </c>
      <c r="D11465" t="s">
        <v>41860</v>
      </c>
      <c r="E11465" t="s">
        <v>41861</v>
      </c>
      <c r="F11465" t="s">
        <v>26129</v>
      </c>
      <c r="G11465" t="s">
        <v>899</v>
      </c>
      <c r="H11465">
        <v>2215</v>
      </c>
      <c r="I11465" t="s">
        <v>30</v>
      </c>
      <c r="J11465" t="s">
        <v>111</v>
      </c>
      <c r="K11465" t="s">
        <v>112</v>
      </c>
      <c r="Q11465">
        <v>0</v>
      </c>
      <c r="R11465">
        <v>0</v>
      </c>
      <c r="S11465">
        <v>0</v>
      </c>
      <c r="T11465" t="s">
        <v>41837</v>
      </c>
    </row>
    <row r="11466" spans="1:20" customFormat="1" ht="15" x14ac:dyDescent="0.25">
      <c r="A11466" t="s">
        <v>35</v>
      </c>
      <c r="B11466" t="s">
        <v>106</v>
      </c>
      <c r="C11466" t="str">
        <f>"A0135757"</f>
        <v>A0135757</v>
      </c>
      <c r="D11466" t="s">
        <v>41862</v>
      </c>
      <c r="E11466" t="s">
        <v>41863</v>
      </c>
      <c r="F11466" t="s">
        <v>20129</v>
      </c>
      <c r="G11466" t="s">
        <v>507</v>
      </c>
      <c r="H11466">
        <v>26505</v>
      </c>
      <c r="I11466" t="s">
        <v>30</v>
      </c>
      <c r="J11466" t="s">
        <v>111</v>
      </c>
      <c r="K11466" t="s">
        <v>112</v>
      </c>
      <c r="Q11466">
        <v>0</v>
      </c>
      <c r="R11466">
        <v>0</v>
      </c>
      <c r="S11466">
        <v>0</v>
      </c>
      <c r="T11466" t="s">
        <v>41837</v>
      </c>
    </row>
    <row r="11467" spans="1:20" customFormat="1" ht="15" x14ac:dyDescent="0.25">
      <c r="A11467" t="s">
        <v>35</v>
      </c>
      <c r="B11467" t="s">
        <v>106</v>
      </c>
      <c r="C11467" t="str">
        <f>"A0135768"</f>
        <v>A0135768</v>
      </c>
      <c r="D11467" t="s">
        <v>41864</v>
      </c>
      <c r="E11467" t="s">
        <v>41865</v>
      </c>
      <c r="F11467" t="s">
        <v>36450</v>
      </c>
      <c r="G11467" t="s">
        <v>1706</v>
      </c>
      <c r="H11467">
        <v>35401</v>
      </c>
      <c r="I11467" t="s">
        <v>30</v>
      </c>
      <c r="J11467" t="s">
        <v>111</v>
      </c>
      <c r="K11467" t="s">
        <v>10012</v>
      </c>
      <c r="Q11467">
        <v>0</v>
      </c>
      <c r="R11467">
        <v>0</v>
      </c>
      <c r="S11467">
        <v>0</v>
      </c>
      <c r="T11467" t="s">
        <v>41837</v>
      </c>
    </row>
    <row r="11468" spans="1:20" customFormat="1" ht="15" x14ac:dyDescent="0.25">
      <c r="A11468" t="s">
        <v>35</v>
      </c>
      <c r="B11468" t="s">
        <v>106</v>
      </c>
      <c r="C11468" t="str">
        <f>"A0136521"</f>
        <v>A0136521</v>
      </c>
      <c r="D11468" t="s">
        <v>41866</v>
      </c>
      <c r="E11468" t="s">
        <v>41867</v>
      </c>
      <c r="F11468" t="s">
        <v>64</v>
      </c>
      <c r="G11468" t="s">
        <v>65</v>
      </c>
      <c r="H11468">
        <v>43201</v>
      </c>
      <c r="I11468" t="s">
        <v>30</v>
      </c>
      <c r="J11468" t="s">
        <v>111</v>
      </c>
      <c r="K11468" t="s">
        <v>112</v>
      </c>
      <c r="Q11468">
        <v>0</v>
      </c>
      <c r="R11468">
        <v>0</v>
      </c>
      <c r="S11468">
        <v>0</v>
      </c>
      <c r="T11468" t="s">
        <v>41837</v>
      </c>
    </row>
    <row r="11469" spans="1:20" customFormat="1" ht="15" x14ac:dyDescent="0.25">
      <c r="A11469" t="s">
        <v>35</v>
      </c>
      <c r="B11469" t="s">
        <v>106</v>
      </c>
      <c r="C11469" t="str">
        <f>"A0135801"</f>
        <v>A0135801</v>
      </c>
      <c r="D11469" t="s">
        <v>41868</v>
      </c>
      <c r="E11469" t="s">
        <v>41869</v>
      </c>
      <c r="F11469" t="s">
        <v>41847</v>
      </c>
      <c r="G11469" t="s">
        <v>123</v>
      </c>
      <c r="H11469">
        <v>20740</v>
      </c>
      <c r="I11469" t="s">
        <v>30</v>
      </c>
      <c r="J11469" t="s">
        <v>111</v>
      </c>
      <c r="K11469" t="s">
        <v>112</v>
      </c>
      <c r="Q11469">
        <v>0</v>
      </c>
      <c r="R11469">
        <v>0</v>
      </c>
      <c r="S11469">
        <v>0</v>
      </c>
      <c r="T11469" t="s">
        <v>41837</v>
      </c>
    </row>
    <row r="11470" spans="1:20" customFormat="1" ht="15" x14ac:dyDescent="0.25">
      <c r="A11470" t="s">
        <v>35</v>
      </c>
      <c r="B11470" t="s">
        <v>106</v>
      </c>
      <c r="C11470" t="str">
        <f>"A0135775"</f>
        <v>A0135775</v>
      </c>
      <c r="D11470" t="s">
        <v>41870</v>
      </c>
      <c r="E11470" t="s">
        <v>41871</v>
      </c>
      <c r="F11470" t="s">
        <v>25141</v>
      </c>
      <c r="G11470" t="s">
        <v>99</v>
      </c>
      <c r="H11470">
        <v>14850</v>
      </c>
      <c r="I11470" t="s">
        <v>30</v>
      </c>
      <c r="J11470" t="s">
        <v>111</v>
      </c>
      <c r="K11470" t="s">
        <v>112</v>
      </c>
      <c r="Q11470">
        <v>0</v>
      </c>
      <c r="R11470">
        <v>0</v>
      </c>
      <c r="S11470">
        <v>0</v>
      </c>
      <c r="T11470" t="s">
        <v>41837</v>
      </c>
    </row>
    <row r="11471" spans="1:20" customFormat="1" ht="15" x14ac:dyDescent="0.25">
      <c r="A11471" t="s">
        <v>35</v>
      </c>
      <c r="B11471" t="s">
        <v>106</v>
      </c>
      <c r="C11471" t="str">
        <f>"A0135786"</f>
        <v>A0135786</v>
      </c>
      <c r="D11471" t="s">
        <v>41872</v>
      </c>
      <c r="E11471" t="s">
        <v>41873</v>
      </c>
      <c r="F11471" t="s">
        <v>26129</v>
      </c>
      <c r="G11471" t="s">
        <v>899</v>
      </c>
      <c r="H11471">
        <v>2215</v>
      </c>
      <c r="I11471" t="s">
        <v>30</v>
      </c>
      <c r="J11471" t="s">
        <v>111</v>
      </c>
      <c r="K11471" t="s">
        <v>112</v>
      </c>
      <c r="Q11471">
        <v>0</v>
      </c>
      <c r="R11471">
        <v>0</v>
      </c>
      <c r="S11471">
        <v>0</v>
      </c>
      <c r="T11471" t="s">
        <v>41837</v>
      </c>
    </row>
    <row r="11472" spans="1:20" customFormat="1" ht="15" x14ac:dyDescent="0.25">
      <c r="A11472" t="s">
        <v>35</v>
      </c>
      <c r="B11472" t="s">
        <v>106</v>
      </c>
      <c r="C11472" t="str">
        <f>"A0135776"</f>
        <v>A0135776</v>
      </c>
      <c r="D11472" t="s">
        <v>41874</v>
      </c>
      <c r="E11472" t="s">
        <v>41875</v>
      </c>
      <c r="F11472" t="s">
        <v>25141</v>
      </c>
      <c r="G11472" t="s">
        <v>99</v>
      </c>
      <c r="H11472">
        <v>14850</v>
      </c>
      <c r="I11472" t="s">
        <v>30</v>
      </c>
      <c r="J11472" t="s">
        <v>111</v>
      </c>
      <c r="K11472" t="s">
        <v>112</v>
      </c>
      <c r="Q11472">
        <v>0</v>
      </c>
      <c r="R11472">
        <v>0</v>
      </c>
      <c r="S11472">
        <v>0</v>
      </c>
      <c r="T11472" t="s">
        <v>41837</v>
      </c>
    </row>
    <row r="11473" spans="1:20" customFormat="1" ht="15" x14ac:dyDescent="0.25">
      <c r="A11473" t="s">
        <v>35</v>
      </c>
      <c r="B11473" t="s">
        <v>106</v>
      </c>
      <c r="C11473" t="str">
        <f>"A0135795"</f>
        <v>A0135795</v>
      </c>
      <c r="D11473" t="s">
        <v>41876</v>
      </c>
      <c r="E11473" t="s">
        <v>41877</v>
      </c>
      <c r="F11473" t="s">
        <v>41847</v>
      </c>
      <c r="G11473" t="s">
        <v>123</v>
      </c>
      <c r="H11473">
        <v>20740</v>
      </c>
      <c r="I11473" t="s">
        <v>30</v>
      </c>
      <c r="J11473" t="s">
        <v>111</v>
      </c>
      <c r="K11473" t="s">
        <v>112</v>
      </c>
      <c r="Q11473">
        <v>0</v>
      </c>
      <c r="R11473">
        <v>0</v>
      </c>
      <c r="S11473">
        <v>0</v>
      </c>
      <c r="T11473" t="s">
        <v>41837</v>
      </c>
    </row>
    <row r="11474" spans="1:20" customFormat="1" ht="15" x14ac:dyDescent="0.25">
      <c r="A11474" t="s">
        <v>35</v>
      </c>
      <c r="B11474" t="s">
        <v>106</v>
      </c>
      <c r="C11474" t="str">
        <f>"A0135823"</f>
        <v>A0135823</v>
      </c>
      <c r="D11474" t="s">
        <v>41878</v>
      </c>
      <c r="E11474" t="s">
        <v>41879</v>
      </c>
      <c r="F11474" t="s">
        <v>10276</v>
      </c>
      <c r="G11474" t="s">
        <v>846</v>
      </c>
      <c r="H11474">
        <v>30322</v>
      </c>
      <c r="I11474" t="s">
        <v>30</v>
      </c>
      <c r="J11474" t="s">
        <v>111</v>
      </c>
      <c r="K11474" t="s">
        <v>112</v>
      </c>
      <c r="Q11474">
        <v>0</v>
      </c>
      <c r="R11474">
        <v>0</v>
      </c>
      <c r="S11474">
        <v>0</v>
      </c>
      <c r="T11474" t="s">
        <v>41837</v>
      </c>
    </row>
    <row r="11475" spans="1:20" customFormat="1" ht="15" x14ac:dyDescent="0.25">
      <c r="A11475" t="s">
        <v>35</v>
      </c>
      <c r="B11475" t="s">
        <v>106</v>
      </c>
      <c r="C11475" t="str">
        <f>"A0135813"</f>
        <v>A0135813</v>
      </c>
      <c r="D11475" t="s">
        <v>41880</v>
      </c>
      <c r="E11475" t="s">
        <v>41881</v>
      </c>
      <c r="F11475" t="s">
        <v>41847</v>
      </c>
      <c r="G11475" t="s">
        <v>123</v>
      </c>
      <c r="H11475">
        <v>20740</v>
      </c>
      <c r="I11475" t="s">
        <v>30</v>
      </c>
      <c r="J11475" t="s">
        <v>111</v>
      </c>
      <c r="K11475" t="s">
        <v>112</v>
      </c>
      <c r="Q11475">
        <v>0</v>
      </c>
      <c r="R11475">
        <v>0</v>
      </c>
      <c r="S11475">
        <v>0</v>
      </c>
      <c r="T11475" t="s">
        <v>41837</v>
      </c>
    </row>
    <row r="11476" spans="1:20" customFormat="1" ht="15" x14ac:dyDescent="0.25">
      <c r="A11476" t="s">
        <v>35</v>
      </c>
      <c r="B11476" t="s">
        <v>106</v>
      </c>
      <c r="C11476" t="str">
        <f>"A0135758"</f>
        <v>A0135758</v>
      </c>
      <c r="D11476" t="s">
        <v>41880</v>
      </c>
      <c r="E11476" t="s">
        <v>41882</v>
      </c>
      <c r="F11476" t="s">
        <v>20129</v>
      </c>
      <c r="G11476" t="s">
        <v>507</v>
      </c>
      <c r="H11476">
        <v>26505</v>
      </c>
      <c r="I11476" t="s">
        <v>30</v>
      </c>
      <c r="J11476" t="s">
        <v>111</v>
      </c>
      <c r="K11476" t="s">
        <v>112</v>
      </c>
      <c r="Q11476">
        <v>0</v>
      </c>
      <c r="R11476">
        <v>0</v>
      </c>
      <c r="S11476">
        <v>0</v>
      </c>
      <c r="T11476" t="s">
        <v>41837</v>
      </c>
    </row>
    <row r="11477" spans="1:20" customFormat="1" ht="15" x14ac:dyDescent="0.25">
      <c r="A11477" t="s">
        <v>35</v>
      </c>
      <c r="B11477" t="s">
        <v>106</v>
      </c>
      <c r="C11477" t="str">
        <f>"A0136593"</f>
        <v>A0136593</v>
      </c>
      <c r="D11477" t="s">
        <v>41883</v>
      </c>
      <c r="E11477" t="s">
        <v>41884</v>
      </c>
      <c r="F11477" t="s">
        <v>25141</v>
      </c>
      <c r="G11477" t="s">
        <v>99</v>
      </c>
      <c r="H11477">
        <v>14850</v>
      </c>
      <c r="I11477" t="s">
        <v>30</v>
      </c>
      <c r="J11477" t="s">
        <v>111</v>
      </c>
      <c r="K11477" t="s">
        <v>10012</v>
      </c>
      <c r="Q11477">
        <v>0</v>
      </c>
      <c r="R11477">
        <v>0</v>
      </c>
      <c r="S11477">
        <v>0</v>
      </c>
      <c r="T11477" t="s">
        <v>41837</v>
      </c>
    </row>
    <row r="11478" spans="1:20" customFormat="1" ht="15" x14ac:dyDescent="0.25">
      <c r="A11478" t="s">
        <v>35</v>
      </c>
      <c r="B11478" t="s">
        <v>106</v>
      </c>
      <c r="C11478" t="str">
        <f>"A0135784"</f>
        <v>A0135784</v>
      </c>
      <c r="D11478" t="s">
        <v>41885</v>
      </c>
      <c r="E11478" t="s">
        <v>41886</v>
      </c>
      <c r="F11478" t="s">
        <v>15531</v>
      </c>
      <c r="G11478" t="s">
        <v>1363</v>
      </c>
      <c r="H11478">
        <v>3824</v>
      </c>
      <c r="I11478" t="s">
        <v>30</v>
      </c>
      <c r="J11478" t="s">
        <v>111</v>
      </c>
      <c r="K11478" t="s">
        <v>112</v>
      </c>
      <c r="Q11478">
        <v>0</v>
      </c>
      <c r="R11478">
        <v>0</v>
      </c>
      <c r="S11478">
        <v>0</v>
      </c>
      <c r="T11478" t="s">
        <v>41837</v>
      </c>
    </row>
    <row r="11479" spans="1:20" customFormat="1" ht="15" x14ac:dyDescent="0.25">
      <c r="A11479" t="s">
        <v>35</v>
      </c>
      <c r="B11479" t="s">
        <v>106</v>
      </c>
      <c r="C11479" t="str">
        <f>"A0135785"</f>
        <v>A0135785</v>
      </c>
      <c r="D11479" t="s">
        <v>41887</v>
      </c>
      <c r="E11479" t="s">
        <v>41888</v>
      </c>
      <c r="F11479" t="s">
        <v>24802</v>
      </c>
      <c r="G11479" t="s">
        <v>90</v>
      </c>
      <c r="H11479">
        <v>2884</v>
      </c>
      <c r="I11479" t="s">
        <v>30</v>
      </c>
      <c r="J11479" t="s">
        <v>111</v>
      </c>
      <c r="K11479" t="s">
        <v>112</v>
      </c>
      <c r="Q11479">
        <v>0</v>
      </c>
      <c r="R11479">
        <v>0</v>
      </c>
      <c r="S11479">
        <v>0</v>
      </c>
      <c r="T11479" t="s">
        <v>41837</v>
      </c>
    </row>
    <row r="11480" spans="1:20" customFormat="1" ht="15" x14ac:dyDescent="0.25">
      <c r="A11480" t="s">
        <v>35</v>
      </c>
      <c r="B11480" t="s">
        <v>106</v>
      </c>
      <c r="C11480" t="str">
        <f>"A0135767"</f>
        <v>A0135767</v>
      </c>
      <c r="D11480" t="s">
        <v>41889</v>
      </c>
      <c r="E11480" t="s">
        <v>41890</v>
      </c>
      <c r="F11480" t="s">
        <v>21278</v>
      </c>
      <c r="G11480" t="s">
        <v>99</v>
      </c>
      <c r="H11480">
        <v>13210</v>
      </c>
      <c r="I11480" t="s">
        <v>30</v>
      </c>
      <c r="J11480" t="s">
        <v>111</v>
      </c>
      <c r="K11480" t="s">
        <v>10012</v>
      </c>
      <c r="Q11480">
        <v>0</v>
      </c>
      <c r="R11480">
        <v>0</v>
      </c>
      <c r="S11480">
        <v>0</v>
      </c>
      <c r="T11480" t="s">
        <v>41837</v>
      </c>
    </row>
    <row r="11481" spans="1:20" customFormat="1" ht="15" x14ac:dyDescent="0.25">
      <c r="A11481" t="s">
        <v>35</v>
      </c>
      <c r="B11481" t="s">
        <v>106</v>
      </c>
      <c r="C11481" t="str">
        <f>"A0158208"</f>
        <v>A0158208</v>
      </c>
      <c r="D11481" t="s">
        <v>41891</v>
      </c>
      <c r="E11481" t="s">
        <v>41886</v>
      </c>
      <c r="F11481" t="s">
        <v>15531</v>
      </c>
      <c r="G11481" t="s">
        <v>1363</v>
      </c>
      <c r="H11481">
        <v>3824</v>
      </c>
      <c r="I11481" t="s">
        <v>30</v>
      </c>
      <c r="J11481" t="s">
        <v>111</v>
      </c>
      <c r="K11481" t="s">
        <v>112</v>
      </c>
      <c r="Q11481">
        <v>0</v>
      </c>
      <c r="R11481">
        <v>0</v>
      </c>
      <c r="S11481">
        <v>0</v>
      </c>
      <c r="T11481" t="s">
        <v>41837</v>
      </c>
    </row>
    <row r="11482" spans="1:20" customFormat="1" ht="15" x14ac:dyDescent="0.25">
      <c r="A11482" t="s">
        <v>35</v>
      </c>
      <c r="B11482" t="s">
        <v>106</v>
      </c>
      <c r="C11482" t="str">
        <f>"A0135792"</f>
        <v>A0135792</v>
      </c>
      <c r="D11482" t="s">
        <v>41892</v>
      </c>
      <c r="E11482" t="s">
        <v>41893</v>
      </c>
      <c r="F11482" t="s">
        <v>41847</v>
      </c>
      <c r="G11482" t="s">
        <v>123</v>
      </c>
      <c r="H11482">
        <v>20740</v>
      </c>
      <c r="I11482" t="s">
        <v>30</v>
      </c>
      <c r="J11482" t="s">
        <v>111</v>
      </c>
      <c r="K11482" t="s">
        <v>112</v>
      </c>
      <c r="Q11482">
        <v>0</v>
      </c>
      <c r="R11482">
        <v>0</v>
      </c>
      <c r="S11482">
        <v>0</v>
      </c>
      <c r="T11482" t="s">
        <v>41837</v>
      </c>
    </row>
    <row r="11483" spans="1:20" customFormat="1" ht="15" x14ac:dyDescent="0.25">
      <c r="A11483" t="s">
        <v>35</v>
      </c>
      <c r="B11483" t="s">
        <v>106</v>
      </c>
      <c r="C11483" t="str">
        <f>"A0135765"</f>
        <v>A0135765</v>
      </c>
      <c r="D11483" t="s">
        <v>41894</v>
      </c>
      <c r="E11483" t="s">
        <v>41895</v>
      </c>
      <c r="F11483" t="s">
        <v>20129</v>
      </c>
      <c r="G11483" t="s">
        <v>507</v>
      </c>
      <c r="H11483">
        <v>26505</v>
      </c>
      <c r="I11483" t="s">
        <v>30</v>
      </c>
      <c r="J11483" t="s">
        <v>111</v>
      </c>
      <c r="K11483" t="s">
        <v>10012</v>
      </c>
      <c r="Q11483">
        <v>0</v>
      </c>
      <c r="R11483">
        <v>0</v>
      </c>
      <c r="S11483">
        <v>0</v>
      </c>
      <c r="T11483" t="s">
        <v>41837</v>
      </c>
    </row>
    <row r="11484" spans="1:20" customFormat="1" ht="15" x14ac:dyDescent="0.25">
      <c r="A11484" t="s">
        <v>35</v>
      </c>
      <c r="B11484" t="s">
        <v>106</v>
      </c>
      <c r="C11484" t="str">
        <f>"A0135818"</f>
        <v>A0135818</v>
      </c>
      <c r="D11484" t="s">
        <v>41896</v>
      </c>
      <c r="E11484" t="s">
        <v>41897</v>
      </c>
      <c r="F11484" t="s">
        <v>36450</v>
      </c>
      <c r="G11484" t="s">
        <v>1706</v>
      </c>
      <c r="H11484">
        <v>35401</v>
      </c>
      <c r="I11484" t="s">
        <v>30</v>
      </c>
      <c r="J11484" t="s">
        <v>111</v>
      </c>
      <c r="K11484" t="s">
        <v>112</v>
      </c>
      <c r="Q11484">
        <v>0</v>
      </c>
      <c r="R11484">
        <v>0</v>
      </c>
      <c r="S11484">
        <v>0</v>
      </c>
      <c r="T11484" t="s">
        <v>41837</v>
      </c>
    </row>
    <row r="11485" spans="1:20" customFormat="1" ht="15" x14ac:dyDescent="0.25">
      <c r="A11485" t="s">
        <v>35</v>
      </c>
      <c r="B11485" t="s">
        <v>106</v>
      </c>
      <c r="C11485" t="str">
        <f>"A0135817"</f>
        <v>A0135817</v>
      </c>
      <c r="D11485" t="s">
        <v>41898</v>
      </c>
      <c r="E11485" t="s">
        <v>41899</v>
      </c>
      <c r="F11485" t="s">
        <v>15531</v>
      </c>
      <c r="G11485" t="s">
        <v>1363</v>
      </c>
      <c r="H11485">
        <v>3824</v>
      </c>
      <c r="I11485" t="s">
        <v>30</v>
      </c>
      <c r="J11485" t="s">
        <v>111</v>
      </c>
      <c r="K11485" t="s">
        <v>112</v>
      </c>
      <c r="Q11485">
        <v>0</v>
      </c>
      <c r="R11485">
        <v>0</v>
      </c>
      <c r="S11485">
        <v>0</v>
      </c>
      <c r="T11485" t="s">
        <v>41837</v>
      </c>
    </row>
    <row r="11486" spans="1:20" customFormat="1" ht="15" x14ac:dyDescent="0.25">
      <c r="A11486" t="s">
        <v>35</v>
      </c>
      <c r="B11486" t="s">
        <v>106</v>
      </c>
      <c r="C11486" t="str">
        <f>"A0135828"</f>
        <v>A0135828</v>
      </c>
      <c r="D11486" t="s">
        <v>41900</v>
      </c>
      <c r="E11486" t="s">
        <v>41901</v>
      </c>
      <c r="F11486" t="s">
        <v>25141</v>
      </c>
      <c r="G11486" t="s">
        <v>99</v>
      </c>
      <c r="H11486">
        <v>14850</v>
      </c>
      <c r="I11486" t="s">
        <v>30</v>
      </c>
      <c r="J11486" t="s">
        <v>111</v>
      </c>
      <c r="K11486" t="s">
        <v>112</v>
      </c>
      <c r="Q11486">
        <v>0</v>
      </c>
      <c r="R11486">
        <v>0</v>
      </c>
      <c r="S11486">
        <v>0</v>
      </c>
      <c r="T11486" t="s">
        <v>41902</v>
      </c>
    </row>
    <row r="11487" spans="1:20" customFormat="1" ht="15" x14ac:dyDescent="0.25">
      <c r="A11487" t="s">
        <v>35</v>
      </c>
      <c r="B11487" t="s">
        <v>106</v>
      </c>
      <c r="C11487" t="str">
        <f>"A0135802"</f>
        <v>A0135802</v>
      </c>
      <c r="D11487" t="s">
        <v>41903</v>
      </c>
      <c r="E11487" t="s">
        <v>41904</v>
      </c>
      <c r="F11487" t="s">
        <v>41847</v>
      </c>
      <c r="G11487" t="s">
        <v>123</v>
      </c>
      <c r="H11487">
        <v>20740</v>
      </c>
      <c r="I11487" t="s">
        <v>30</v>
      </c>
      <c r="J11487" t="s">
        <v>111</v>
      </c>
      <c r="K11487" t="s">
        <v>112</v>
      </c>
      <c r="Q11487">
        <v>0</v>
      </c>
      <c r="R11487">
        <v>0</v>
      </c>
      <c r="S11487">
        <v>0</v>
      </c>
      <c r="T11487" t="s">
        <v>41837</v>
      </c>
    </row>
    <row r="11488" spans="1:20" customFormat="1" ht="15" x14ac:dyDescent="0.25">
      <c r="A11488" t="s">
        <v>35</v>
      </c>
      <c r="B11488" t="s">
        <v>106</v>
      </c>
      <c r="C11488" t="str">
        <f>"A0135781"</f>
        <v>A0135781</v>
      </c>
      <c r="D11488" t="s">
        <v>41905</v>
      </c>
      <c r="E11488" t="s">
        <v>41906</v>
      </c>
      <c r="F11488" t="s">
        <v>36450</v>
      </c>
      <c r="G11488" t="s">
        <v>1706</v>
      </c>
      <c r="H11488">
        <v>35401</v>
      </c>
      <c r="I11488" t="s">
        <v>30</v>
      </c>
      <c r="J11488" t="s">
        <v>111</v>
      </c>
      <c r="K11488" t="s">
        <v>112</v>
      </c>
      <c r="Q11488">
        <v>0</v>
      </c>
      <c r="R11488">
        <v>0</v>
      </c>
      <c r="S11488">
        <v>0</v>
      </c>
      <c r="T11488" t="s">
        <v>41837</v>
      </c>
    </row>
    <row r="11489" spans="1:20" customFormat="1" ht="15" x14ac:dyDescent="0.25">
      <c r="A11489" t="s">
        <v>35</v>
      </c>
      <c r="B11489" t="s">
        <v>106</v>
      </c>
      <c r="C11489" t="str">
        <f>"A0155557"</f>
        <v>A0155557</v>
      </c>
      <c r="D11489" t="s">
        <v>41907</v>
      </c>
      <c r="E11489" t="s">
        <v>41908</v>
      </c>
      <c r="F11489" t="s">
        <v>20330</v>
      </c>
      <c r="G11489" t="s">
        <v>29</v>
      </c>
      <c r="H11489">
        <v>22903</v>
      </c>
      <c r="I11489" t="s">
        <v>30</v>
      </c>
      <c r="J11489" t="s">
        <v>111</v>
      </c>
      <c r="K11489" t="s">
        <v>112</v>
      </c>
      <c r="Q11489">
        <v>0</v>
      </c>
      <c r="R11489">
        <v>0</v>
      </c>
      <c r="S11489">
        <v>0</v>
      </c>
      <c r="T11489" t="s">
        <v>41909</v>
      </c>
    </row>
    <row r="11490" spans="1:20" customFormat="1" ht="15" x14ac:dyDescent="0.25">
      <c r="A11490" t="s">
        <v>35</v>
      </c>
      <c r="B11490" t="s">
        <v>106</v>
      </c>
      <c r="C11490" t="str">
        <f>"A0135814"</f>
        <v>A0135814</v>
      </c>
      <c r="D11490" t="s">
        <v>41910</v>
      </c>
      <c r="E11490" t="s">
        <v>41911</v>
      </c>
      <c r="F11490" t="s">
        <v>41847</v>
      </c>
      <c r="G11490" t="s">
        <v>123</v>
      </c>
      <c r="H11490">
        <v>20740</v>
      </c>
      <c r="I11490" t="s">
        <v>30</v>
      </c>
      <c r="J11490" t="s">
        <v>111</v>
      </c>
      <c r="K11490" t="s">
        <v>112</v>
      </c>
      <c r="Q11490">
        <v>0</v>
      </c>
      <c r="R11490">
        <v>0</v>
      </c>
      <c r="S11490">
        <v>0</v>
      </c>
      <c r="T11490" t="s">
        <v>41837</v>
      </c>
    </row>
    <row r="11491" spans="1:20" customFormat="1" ht="15" x14ac:dyDescent="0.25">
      <c r="A11491" t="s">
        <v>35</v>
      </c>
      <c r="B11491" t="s">
        <v>106</v>
      </c>
      <c r="C11491" t="str">
        <f>"A0135826"</f>
        <v>A0135826</v>
      </c>
      <c r="D11491" t="s">
        <v>41912</v>
      </c>
      <c r="E11491" t="s">
        <v>41913</v>
      </c>
      <c r="F11491" t="s">
        <v>20129</v>
      </c>
      <c r="G11491" t="s">
        <v>507</v>
      </c>
      <c r="H11491">
        <v>26585</v>
      </c>
      <c r="I11491" t="s">
        <v>30</v>
      </c>
      <c r="J11491" t="s">
        <v>111</v>
      </c>
      <c r="K11491" t="s">
        <v>112</v>
      </c>
      <c r="Q11491">
        <v>0</v>
      </c>
      <c r="R11491">
        <v>0</v>
      </c>
      <c r="S11491">
        <v>0</v>
      </c>
      <c r="T11491" t="s">
        <v>41837</v>
      </c>
    </row>
    <row r="11492" spans="1:20" customFormat="1" ht="15" x14ac:dyDescent="0.25">
      <c r="A11492" t="s">
        <v>35</v>
      </c>
      <c r="B11492" t="s">
        <v>106</v>
      </c>
      <c r="C11492" t="str">
        <f>"A0150760"</f>
        <v>A0150760</v>
      </c>
      <c r="D11492" t="s">
        <v>41914</v>
      </c>
      <c r="E11492" t="s">
        <v>41915</v>
      </c>
      <c r="F11492" t="s">
        <v>25141</v>
      </c>
      <c r="G11492" t="s">
        <v>99</v>
      </c>
      <c r="H11492">
        <v>14850</v>
      </c>
      <c r="I11492" t="s">
        <v>30</v>
      </c>
      <c r="J11492" t="s">
        <v>111</v>
      </c>
      <c r="K11492" t="s">
        <v>112</v>
      </c>
      <c r="Q11492">
        <v>0</v>
      </c>
      <c r="R11492">
        <v>0</v>
      </c>
      <c r="S11492">
        <v>0</v>
      </c>
      <c r="T11492" t="s">
        <v>41837</v>
      </c>
    </row>
    <row r="11493" spans="1:20" customFormat="1" ht="15" x14ac:dyDescent="0.25">
      <c r="A11493" t="s">
        <v>35</v>
      </c>
      <c r="B11493" t="s">
        <v>106</v>
      </c>
      <c r="C11493" t="str">
        <f>"A0135811"</f>
        <v>A0135811</v>
      </c>
      <c r="D11493" t="s">
        <v>41916</v>
      </c>
      <c r="E11493" t="s">
        <v>41917</v>
      </c>
      <c r="F11493" t="s">
        <v>41847</v>
      </c>
      <c r="G11493" t="s">
        <v>123</v>
      </c>
      <c r="H11493">
        <v>20740</v>
      </c>
      <c r="I11493" t="s">
        <v>30</v>
      </c>
      <c r="J11493" t="s">
        <v>111</v>
      </c>
      <c r="K11493" t="s">
        <v>112</v>
      </c>
      <c r="Q11493">
        <v>0</v>
      </c>
      <c r="R11493">
        <v>0</v>
      </c>
      <c r="S11493">
        <v>0</v>
      </c>
      <c r="T11493" t="s">
        <v>41837</v>
      </c>
    </row>
    <row r="11494" spans="1:20" customFormat="1" ht="15" x14ac:dyDescent="0.25">
      <c r="A11494" t="s">
        <v>35</v>
      </c>
      <c r="B11494" t="s">
        <v>106</v>
      </c>
      <c r="C11494" t="str">
        <f>"A0135816"</f>
        <v>A0135816</v>
      </c>
      <c r="D11494" t="s">
        <v>41918</v>
      </c>
      <c r="E11494" t="s">
        <v>41919</v>
      </c>
      <c r="F11494" t="s">
        <v>21278</v>
      </c>
      <c r="G11494" t="s">
        <v>99</v>
      </c>
      <c r="H11494">
        <v>13210</v>
      </c>
      <c r="I11494" t="s">
        <v>30</v>
      </c>
      <c r="J11494" t="s">
        <v>111</v>
      </c>
      <c r="K11494" t="s">
        <v>112</v>
      </c>
      <c r="Q11494">
        <v>0</v>
      </c>
      <c r="R11494">
        <v>0</v>
      </c>
      <c r="S11494">
        <v>0</v>
      </c>
      <c r="T11494" t="s">
        <v>41837</v>
      </c>
    </row>
    <row r="11495" spans="1:20" customFormat="1" ht="15" x14ac:dyDescent="0.25">
      <c r="A11495" t="s">
        <v>35</v>
      </c>
      <c r="B11495" t="s">
        <v>106</v>
      </c>
      <c r="C11495" t="str">
        <f>"A0150765"</f>
        <v>A0150765</v>
      </c>
      <c r="D11495" t="s">
        <v>41920</v>
      </c>
      <c r="E11495" t="s">
        <v>41921</v>
      </c>
      <c r="F11495" t="s">
        <v>12934</v>
      </c>
      <c r="G11495" t="s">
        <v>381</v>
      </c>
      <c r="H11495">
        <v>47406</v>
      </c>
      <c r="I11495" t="s">
        <v>30</v>
      </c>
      <c r="J11495" t="s">
        <v>111</v>
      </c>
      <c r="K11495" t="s">
        <v>112</v>
      </c>
      <c r="Q11495">
        <v>0</v>
      </c>
      <c r="R11495">
        <v>0</v>
      </c>
      <c r="S11495">
        <v>0</v>
      </c>
      <c r="T11495" t="s">
        <v>41837</v>
      </c>
    </row>
    <row r="11496" spans="1:20" customFormat="1" ht="15" x14ac:dyDescent="0.25">
      <c r="A11496" t="s">
        <v>35</v>
      </c>
      <c r="B11496" t="s">
        <v>106</v>
      </c>
      <c r="C11496" t="str">
        <f>"A0150978"</f>
        <v>A0150978</v>
      </c>
      <c r="D11496" t="s">
        <v>41922</v>
      </c>
      <c r="E11496" t="s">
        <v>41923</v>
      </c>
      <c r="F11496" t="s">
        <v>9960</v>
      </c>
      <c r="G11496" t="s">
        <v>338</v>
      </c>
      <c r="H11496">
        <v>8648</v>
      </c>
      <c r="I11496" t="s">
        <v>30</v>
      </c>
      <c r="J11496" t="s">
        <v>111</v>
      </c>
      <c r="K11496" t="s">
        <v>112</v>
      </c>
      <c r="Q11496">
        <v>0</v>
      </c>
      <c r="R11496">
        <v>0</v>
      </c>
      <c r="S11496">
        <v>0</v>
      </c>
      <c r="T11496" t="s">
        <v>72</v>
      </c>
    </row>
    <row r="11497" spans="1:20" customFormat="1" ht="15" x14ac:dyDescent="0.25">
      <c r="A11497" t="s">
        <v>35</v>
      </c>
      <c r="B11497" t="s">
        <v>106</v>
      </c>
      <c r="C11497" t="str">
        <f>"A0150766"</f>
        <v>A0150766</v>
      </c>
      <c r="D11497" t="s">
        <v>41924</v>
      </c>
      <c r="E11497" t="s">
        <v>41925</v>
      </c>
      <c r="F11497" t="s">
        <v>41926</v>
      </c>
      <c r="G11497" t="s">
        <v>90</v>
      </c>
      <c r="H11497">
        <v>2881</v>
      </c>
      <c r="I11497" t="s">
        <v>30</v>
      </c>
      <c r="J11497" t="s">
        <v>111</v>
      </c>
      <c r="K11497" t="s">
        <v>112</v>
      </c>
      <c r="Q11497">
        <v>0</v>
      </c>
      <c r="R11497">
        <v>0</v>
      </c>
      <c r="S11497">
        <v>0</v>
      </c>
      <c r="T11497" t="s">
        <v>41837</v>
      </c>
    </row>
    <row r="11498" spans="1:20" customFormat="1" ht="15" x14ac:dyDescent="0.25">
      <c r="A11498" t="s">
        <v>35</v>
      </c>
      <c r="B11498" t="s">
        <v>106</v>
      </c>
      <c r="C11498" t="str">
        <f>"A0155551"</f>
        <v>A0155551</v>
      </c>
      <c r="D11498" t="s">
        <v>41927</v>
      </c>
      <c r="E11498" t="s">
        <v>41928</v>
      </c>
      <c r="F11498" t="s">
        <v>5208</v>
      </c>
      <c r="G11498" t="s">
        <v>103</v>
      </c>
      <c r="H11498">
        <v>16801</v>
      </c>
      <c r="I11498" t="s">
        <v>30</v>
      </c>
      <c r="J11498" t="s">
        <v>111</v>
      </c>
      <c r="K11498" t="s">
        <v>112</v>
      </c>
      <c r="Q11498">
        <v>0</v>
      </c>
      <c r="R11498">
        <v>0</v>
      </c>
      <c r="S11498">
        <v>0</v>
      </c>
      <c r="T11498" t="s">
        <v>41929</v>
      </c>
    </row>
    <row r="11499" spans="1:20" customFormat="1" ht="15" x14ac:dyDescent="0.25">
      <c r="A11499" t="s">
        <v>35</v>
      </c>
      <c r="B11499" t="s">
        <v>106</v>
      </c>
      <c r="C11499" t="str">
        <f>"A0135759"</f>
        <v>A0135759</v>
      </c>
      <c r="D11499" t="s">
        <v>41930</v>
      </c>
      <c r="E11499" t="s">
        <v>41931</v>
      </c>
      <c r="F11499" t="s">
        <v>26129</v>
      </c>
      <c r="G11499" t="s">
        <v>899</v>
      </c>
      <c r="H11499">
        <v>2215</v>
      </c>
      <c r="I11499" t="s">
        <v>30</v>
      </c>
      <c r="J11499" t="s">
        <v>111</v>
      </c>
      <c r="K11499" t="s">
        <v>112</v>
      </c>
      <c r="Q11499">
        <v>0</v>
      </c>
      <c r="R11499">
        <v>0</v>
      </c>
      <c r="S11499">
        <v>0</v>
      </c>
      <c r="T11499" t="s">
        <v>41837</v>
      </c>
    </row>
    <row r="11500" spans="1:20" customFormat="1" ht="15" x14ac:dyDescent="0.25">
      <c r="A11500" t="s">
        <v>35</v>
      </c>
      <c r="B11500" t="s">
        <v>106</v>
      </c>
      <c r="C11500" t="str">
        <f>"A0135824"</f>
        <v>A0135824</v>
      </c>
      <c r="D11500" t="s">
        <v>41932</v>
      </c>
      <c r="E11500" t="s">
        <v>41933</v>
      </c>
      <c r="F11500" t="s">
        <v>25141</v>
      </c>
      <c r="G11500" t="s">
        <v>99</v>
      </c>
      <c r="H11500">
        <v>14850</v>
      </c>
      <c r="I11500" t="s">
        <v>30</v>
      </c>
      <c r="J11500" t="s">
        <v>111</v>
      </c>
      <c r="K11500" t="s">
        <v>112</v>
      </c>
      <c r="Q11500">
        <v>0</v>
      </c>
      <c r="R11500">
        <v>0</v>
      </c>
      <c r="S11500">
        <v>0</v>
      </c>
      <c r="T11500" t="s">
        <v>41837</v>
      </c>
    </row>
    <row r="11501" spans="1:20" customFormat="1" ht="15" x14ac:dyDescent="0.25">
      <c r="A11501" t="s">
        <v>35</v>
      </c>
      <c r="B11501" t="s">
        <v>106</v>
      </c>
      <c r="C11501" t="str">
        <f>"A0150763"</f>
        <v>A0150763</v>
      </c>
      <c r="D11501" t="s">
        <v>41934</v>
      </c>
      <c r="E11501" t="s">
        <v>41935</v>
      </c>
      <c r="F11501" t="s">
        <v>21278</v>
      </c>
      <c r="G11501" t="s">
        <v>99</v>
      </c>
      <c r="H11501">
        <v>13210</v>
      </c>
      <c r="I11501" t="s">
        <v>30</v>
      </c>
      <c r="J11501" t="s">
        <v>111</v>
      </c>
      <c r="K11501" t="s">
        <v>112</v>
      </c>
      <c r="Q11501">
        <v>0</v>
      </c>
      <c r="R11501">
        <v>0</v>
      </c>
      <c r="S11501">
        <v>0</v>
      </c>
      <c r="T11501" t="s">
        <v>41837</v>
      </c>
    </row>
    <row r="11502" spans="1:20" customFormat="1" ht="15" x14ac:dyDescent="0.25">
      <c r="A11502" t="s">
        <v>35</v>
      </c>
      <c r="B11502" t="s">
        <v>106</v>
      </c>
      <c r="C11502" t="str">
        <f>"A0135794"</f>
        <v>A0135794</v>
      </c>
      <c r="D11502" t="s">
        <v>41936</v>
      </c>
      <c r="E11502" t="s">
        <v>41937</v>
      </c>
      <c r="F11502" t="s">
        <v>41847</v>
      </c>
      <c r="G11502" t="s">
        <v>123</v>
      </c>
      <c r="H11502">
        <v>20740</v>
      </c>
      <c r="I11502" t="s">
        <v>30</v>
      </c>
      <c r="J11502" t="s">
        <v>111</v>
      </c>
      <c r="K11502" t="s">
        <v>112</v>
      </c>
      <c r="Q11502">
        <v>0</v>
      </c>
      <c r="R11502">
        <v>0</v>
      </c>
      <c r="S11502">
        <v>0</v>
      </c>
      <c r="T11502" t="s">
        <v>41837</v>
      </c>
    </row>
    <row r="11503" spans="1:20" customFormat="1" ht="15" x14ac:dyDescent="0.25">
      <c r="A11503" t="s">
        <v>35</v>
      </c>
      <c r="B11503" t="s">
        <v>106</v>
      </c>
      <c r="C11503" t="str">
        <f>"A0135779"</f>
        <v>A0135779</v>
      </c>
      <c r="D11503" t="s">
        <v>41938</v>
      </c>
      <c r="E11503" t="s">
        <v>41939</v>
      </c>
      <c r="F11503" t="s">
        <v>36450</v>
      </c>
      <c r="G11503" t="s">
        <v>1706</v>
      </c>
      <c r="H11503">
        <v>35401</v>
      </c>
      <c r="I11503" t="s">
        <v>30</v>
      </c>
      <c r="J11503" t="s">
        <v>111</v>
      </c>
      <c r="K11503" t="s">
        <v>112</v>
      </c>
      <c r="Q11503">
        <v>0</v>
      </c>
      <c r="R11503">
        <v>0</v>
      </c>
      <c r="S11503">
        <v>0</v>
      </c>
      <c r="T11503" t="s">
        <v>41837</v>
      </c>
    </row>
    <row r="11504" spans="1:20" customFormat="1" ht="15" x14ac:dyDescent="0.25">
      <c r="A11504" t="s">
        <v>35</v>
      </c>
      <c r="B11504" t="s">
        <v>106</v>
      </c>
      <c r="C11504" t="str">
        <f>"A0136522"</f>
        <v>A0136522</v>
      </c>
      <c r="D11504" t="s">
        <v>41940</v>
      </c>
      <c r="E11504" t="s">
        <v>41941</v>
      </c>
      <c r="F11504" t="s">
        <v>64</v>
      </c>
      <c r="G11504" t="s">
        <v>65</v>
      </c>
      <c r="H11504">
        <v>43201</v>
      </c>
      <c r="I11504" t="s">
        <v>30</v>
      </c>
      <c r="J11504" t="s">
        <v>111</v>
      </c>
      <c r="K11504" t="s">
        <v>112</v>
      </c>
      <c r="Q11504">
        <v>0</v>
      </c>
      <c r="R11504">
        <v>0</v>
      </c>
      <c r="S11504">
        <v>0</v>
      </c>
      <c r="T11504" t="s">
        <v>41837</v>
      </c>
    </row>
    <row r="11505" spans="1:20" customFormat="1" ht="15" x14ac:dyDescent="0.25">
      <c r="A11505" t="s">
        <v>35</v>
      </c>
      <c r="B11505" t="s">
        <v>106</v>
      </c>
      <c r="C11505" t="str">
        <f>"A0135821"</f>
        <v>A0135821</v>
      </c>
      <c r="D11505" t="s">
        <v>41942</v>
      </c>
      <c r="E11505" t="s">
        <v>41943</v>
      </c>
      <c r="F11505" t="s">
        <v>41847</v>
      </c>
      <c r="G11505" t="s">
        <v>123</v>
      </c>
      <c r="H11505">
        <v>20740</v>
      </c>
      <c r="I11505" t="s">
        <v>30</v>
      </c>
      <c r="J11505" t="s">
        <v>111</v>
      </c>
      <c r="K11505" t="s">
        <v>112</v>
      </c>
      <c r="Q11505">
        <v>0</v>
      </c>
      <c r="R11505">
        <v>0</v>
      </c>
      <c r="S11505">
        <v>0</v>
      </c>
      <c r="T11505" t="s">
        <v>41837</v>
      </c>
    </row>
    <row r="11506" spans="1:20" customFormat="1" ht="15" x14ac:dyDescent="0.25">
      <c r="A11506" t="s">
        <v>35</v>
      </c>
      <c r="B11506" t="s">
        <v>106</v>
      </c>
      <c r="C11506" t="str">
        <f>"A0135810"</f>
        <v>A0135810</v>
      </c>
      <c r="D11506" t="s">
        <v>41944</v>
      </c>
      <c r="E11506" t="s">
        <v>41945</v>
      </c>
      <c r="F11506" t="s">
        <v>41847</v>
      </c>
      <c r="G11506" t="s">
        <v>123</v>
      </c>
      <c r="H11506">
        <v>20740</v>
      </c>
      <c r="I11506" t="s">
        <v>30</v>
      </c>
      <c r="J11506" t="s">
        <v>111</v>
      </c>
      <c r="K11506" t="s">
        <v>112</v>
      </c>
      <c r="Q11506">
        <v>0</v>
      </c>
      <c r="R11506">
        <v>0</v>
      </c>
      <c r="S11506">
        <v>0</v>
      </c>
      <c r="T11506" t="s">
        <v>41837</v>
      </c>
    </row>
    <row r="11507" spans="1:20" customFormat="1" ht="15" x14ac:dyDescent="0.25">
      <c r="A11507" t="s">
        <v>35</v>
      </c>
      <c r="B11507" t="s">
        <v>106</v>
      </c>
      <c r="C11507" t="str">
        <f>"A0135787"</f>
        <v>A0135787</v>
      </c>
      <c r="D11507" t="s">
        <v>41946</v>
      </c>
      <c r="E11507" t="s">
        <v>41947</v>
      </c>
      <c r="F11507" t="s">
        <v>9211</v>
      </c>
      <c r="G11507" t="s">
        <v>103</v>
      </c>
      <c r="H11507">
        <v>18015</v>
      </c>
      <c r="I11507" t="s">
        <v>30</v>
      </c>
      <c r="J11507" t="s">
        <v>111</v>
      </c>
      <c r="K11507" t="s">
        <v>112</v>
      </c>
      <c r="Q11507">
        <v>0</v>
      </c>
      <c r="R11507">
        <v>0</v>
      </c>
      <c r="S11507">
        <v>0</v>
      </c>
      <c r="T11507" t="s">
        <v>41837</v>
      </c>
    </row>
    <row r="11508" spans="1:20" customFormat="1" ht="15" x14ac:dyDescent="0.25">
      <c r="A11508" t="s">
        <v>35</v>
      </c>
      <c r="B11508" t="s">
        <v>106</v>
      </c>
      <c r="C11508" t="str">
        <f>"A0155555"</f>
        <v>A0155555</v>
      </c>
      <c r="D11508" t="s">
        <v>41948</v>
      </c>
      <c r="E11508" t="s">
        <v>41949</v>
      </c>
      <c r="F11508" t="s">
        <v>10276</v>
      </c>
      <c r="G11508" t="s">
        <v>846</v>
      </c>
      <c r="H11508">
        <v>30322</v>
      </c>
      <c r="I11508" t="s">
        <v>30</v>
      </c>
      <c r="J11508" t="s">
        <v>111</v>
      </c>
      <c r="K11508" t="s">
        <v>112</v>
      </c>
      <c r="Q11508">
        <v>0</v>
      </c>
      <c r="R11508">
        <v>0</v>
      </c>
      <c r="S11508">
        <v>0</v>
      </c>
      <c r="T11508" t="s">
        <v>41950</v>
      </c>
    </row>
    <row r="11509" spans="1:20" customFormat="1" ht="15" x14ac:dyDescent="0.25">
      <c r="A11509" t="s">
        <v>35</v>
      </c>
      <c r="B11509" t="s">
        <v>106</v>
      </c>
      <c r="C11509" t="str">
        <f>"A0135822"</f>
        <v>A0135822</v>
      </c>
      <c r="D11509" t="s">
        <v>41951</v>
      </c>
      <c r="E11509" t="s">
        <v>41952</v>
      </c>
      <c r="F11509" t="s">
        <v>41847</v>
      </c>
      <c r="G11509" t="s">
        <v>123</v>
      </c>
      <c r="H11509">
        <v>20740</v>
      </c>
      <c r="I11509" t="s">
        <v>30</v>
      </c>
      <c r="J11509" t="s">
        <v>111</v>
      </c>
      <c r="K11509" t="s">
        <v>112</v>
      </c>
      <c r="Q11509">
        <v>0</v>
      </c>
      <c r="R11509">
        <v>0</v>
      </c>
      <c r="S11509">
        <v>0</v>
      </c>
      <c r="T11509" t="s">
        <v>41837</v>
      </c>
    </row>
    <row r="11510" spans="1:20" customFormat="1" ht="15" x14ac:dyDescent="0.25">
      <c r="A11510" t="s">
        <v>35</v>
      </c>
      <c r="B11510" t="s">
        <v>106</v>
      </c>
      <c r="C11510" t="str">
        <f>"A0135773"</f>
        <v>A0135773</v>
      </c>
      <c r="D11510" t="s">
        <v>41953</v>
      </c>
      <c r="E11510" t="s">
        <v>41954</v>
      </c>
      <c r="F11510" t="s">
        <v>25141</v>
      </c>
      <c r="G11510" t="s">
        <v>99</v>
      </c>
      <c r="H11510">
        <v>14850</v>
      </c>
      <c r="I11510" t="s">
        <v>30</v>
      </c>
      <c r="J11510" t="s">
        <v>111</v>
      </c>
      <c r="K11510" t="s">
        <v>112</v>
      </c>
      <c r="Q11510">
        <v>0</v>
      </c>
      <c r="R11510">
        <v>0</v>
      </c>
      <c r="S11510">
        <v>0</v>
      </c>
      <c r="T11510" t="s">
        <v>41837</v>
      </c>
    </row>
    <row r="11511" spans="1:20" customFormat="1" ht="15" x14ac:dyDescent="0.25">
      <c r="A11511" t="s">
        <v>35</v>
      </c>
      <c r="B11511" t="s">
        <v>106</v>
      </c>
      <c r="C11511" t="str">
        <f>"A0155650"</f>
        <v>A0155650</v>
      </c>
      <c r="D11511" t="s">
        <v>41953</v>
      </c>
      <c r="E11511" t="s">
        <v>41955</v>
      </c>
      <c r="F11511" t="s">
        <v>37113</v>
      </c>
      <c r="G11511" t="s">
        <v>110</v>
      </c>
      <c r="H11511">
        <v>93401</v>
      </c>
      <c r="I11511" t="s">
        <v>30</v>
      </c>
      <c r="J11511" t="s">
        <v>111</v>
      </c>
      <c r="K11511" t="s">
        <v>112</v>
      </c>
      <c r="Q11511">
        <v>0</v>
      </c>
      <c r="R11511">
        <v>0</v>
      </c>
      <c r="S11511">
        <v>0</v>
      </c>
      <c r="T11511" t="s">
        <v>72</v>
      </c>
    </row>
    <row r="11512" spans="1:20" customFormat="1" ht="15" x14ac:dyDescent="0.25">
      <c r="A11512" t="s">
        <v>35</v>
      </c>
      <c r="B11512" t="s">
        <v>106</v>
      </c>
      <c r="C11512" t="str">
        <f>"A0135788"</f>
        <v>A0135788</v>
      </c>
      <c r="D11512" t="s">
        <v>41956</v>
      </c>
      <c r="E11512" t="s">
        <v>41957</v>
      </c>
      <c r="F11512" t="s">
        <v>20129</v>
      </c>
      <c r="G11512" t="s">
        <v>507</v>
      </c>
      <c r="H11512">
        <v>26501</v>
      </c>
      <c r="I11512" t="s">
        <v>30</v>
      </c>
      <c r="J11512" t="s">
        <v>111</v>
      </c>
      <c r="K11512" t="s">
        <v>112</v>
      </c>
      <c r="Q11512">
        <v>0</v>
      </c>
      <c r="R11512">
        <v>0</v>
      </c>
      <c r="S11512">
        <v>0</v>
      </c>
      <c r="T11512" t="s">
        <v>41837</v>
      </c>
    </row>
    <row r="11513" spans="1:20" customFormat="1" ht="15" x14ac:dyDescent="0.25">
      <c r="A11513" t="s">
        <v>35</v>
      </c>
      <c r="B11513" t="s">
        <v>106</v>
      </c>
      <c r="C11513" t="str">
        <f>"A0135766"</f>
        <v>A0135766</v>
      </c>
      <c r="D11513" t="s">
        <v>41958</v>
      </c>
      <c r="E11513" t="s">
        <v>41959</v>
      </c>
      <c r="F11513" t="s">
        <v>7112</v>
      </c>
      <c r="G11513" t="s">
        <v>899</v>
      </c>
      <c r="H11513">
        <v>21390</v>
      </c>
      <c r="I11513" t="s">
        <v>30</v>
      </c>
      <c r="J11513" t="s">
        <v>111</v>
      </c>
      <c r="K11513" t="s">
        <v>10012</v>
      </c>
      <c r="Q11513">
        <v>0</v>
      </c>
      <c r="R11513">
        <v>0</v>
      </c>
      <c r="S11513">
        <v>0</v>
      </c>
      <c r="T11513" t="s">
        <v>41837</v>
      </c>
    </row>
    <row r="11514" spans="1:20" customFormat="1" ht="15" x14ac:dyDescent="0.25">
      <c r="A11514" t="s">
        <v>35</v>
      </c>
      <c r="B11514" t="s">
        <v>106</v>
      </c>
      <c r="C11514" t="str">
        <f>"A0135798"</f>
        <v>A0135798</v>
      </c>
      <c r="D11514" t="s">
        <v>41960</v>
      </c>
      <c r="E11514" t="s">
        <v>41961</v>
      </c>
      <c r="F11514" t="s">
        <v>41847</v>
      </c>
      <c r="G11514" t="s">
        <v>123</v>
      </c>
      <c r="H11514">
        <v>20740</v>
      </c>
      <c r="I11514" t="s">
        <v>30</v>
      </c>
      <c r="J11514" t="s">
        <v>111</v>
      </c>
      <c r="K11514" t="s">
        <v>112</v>
      </c>
      <c r="Q11514">
        <v>0</v>
      </c>
      <c r="R11514">
        <v>0</v>
      </c>
      <c r="S11514">
        <v>0</v>
      </c>
      <c r="T11514" t="s">
        <v>41837</v>
      </c>
    </row>
    <row r="11515" spans="1:20" customFormat="1" ht="15" x14ac:dyDescent="0.25">
      <c r="A11515" t="s">
        <v>35</v>
      </c>
      <c r="B11515" t="s">
        <v>106</v>
      </c>
      <c r="C11515" t="str">
        <f>"A0135769"</f>
        <v>A0135769</v>
      </c>
      <c r="D11515" t="s">
        <v>41962</v>
      </c>
      <c r="E11515" t="s">
        <v>41963</v>
      </c>
      <c r="F11515" t="s">
        <v>30885</v>
      </c>
      <c r="G11515" t="s">
        <v>338</v>
      </c>
      <c r="H11515">
        <v>8901</v>
      </c>
      <c r="I11515" t="s">
        <v>30</v>
      </c>
      <c r="J11515" t="s">
        <v>111</v>
      </c>
      <c r="K11515" t="s">
        <v>10012</v>
      </c>
      <c r="Q11515">
        <v>0</v>
      </c>
      <c r="R11515">
        <v>0</v>
      </c>
      <c r="S11515">
        <v>0</v>
      </c>
      <c r="T11515" t="s">
        <v>41837</v>
      </c>
    </row>
    <row r="11516" spans="1:20" customFormat="1" ht="15" x14ac:dyDescent="0.25">
      <c r="A11516" t="s">
        <v>35</v>
      </c>
      <c r="B11516" t="s">
        <v>106</v>
      </c>
      <c r="C11516" t="str">
        <f>"A0135830"</f>
        <v>A0135830</v>
      </c>
      <c r="D11516" t="s">
        <v>41964</v>
      </c>
      <c r="E11516" t="s">
        <v>41965</v>
      </c>
      <c r="F11516" t="s">
        <v>1444</v>
      </c>
      <c r="G11516" t="s">
        <v>76</v>
      </c>
      <c r="H11516">
        <v>98105</v>
      </c>
      <c r="I11516" t="s">
        <v>30</v>
      </c>
      <c r="J11516" t="s">
        <v>111</v>
      </c>
      <c r="K11516" t="s">
        <v>112</v>
      </c>
      <c r="Q11516">
        <v>0</v>
      </c>
      <c r="R11516">
        <v>0</v>
      </c>
      <c r="S11516">
        <v>0</v>
      </c>
      <c r="T11516" t="s">
        <v>41837</v>
      </c>
    </row>
    <row r="11517" spans="1:20" customFormat="1" ht="15" x14ac:dyDescent="0.25">
      <c r="A11517" t="s">
        <v>35</v>
      </c>
      <c r="B11517" t="s">
        <v>106</v>
      </c>
      <c r="C11517" t="str">
        <f>"A0135777"</f>
        <v>A0135777</v>
      </c>
      <c r="D11517" t="s">
        <v>41966</v>
      </c>
      <c r="E11517" t="s">
        <v>41967</v>
      </c>
      <c r="F11517" t="s">
        <v>25141</v>
      </c>
      <c r="G11517" t="s">
        <v>99</v>
      </c>
      <c r="H11517">
        <v>14850</v>
      </c>
      <c r="I11517" t="s">
        <v>30</v>
      </c>
      <c r="J11517" t="s">
        <v>111</v>
      </c>
      <c r="K11517" t="s">
        <v>112</v>
      </c>
      <c r="Q11517">
        <v>0</v>
      </c>
      <c r="R11517">
        <v>0</v>
      </c>
      <c r="S11517">
        <v>0</v>
      </c>
      <c r="T11517" t="s">
        <v>41837</v>
      </c>
    </row>
    <row r="11518" spans="1:20" customFormat="1" ht="15" x14ac:dyDescent="0.25">
      <c r="A11518" t="s">
        <v>35</v>
      </c>
      <c r="B11518" t="s">
        <v>106</v>
      </c>
      <c r="C11518" t="str">
        <f>"A0135760"</f>
        <v>A0135760</v>
      </c>
      <c r="D11518" t="s">
        <v>41966</v>
      </c>
      <c r="E11518" t="s">
        <v>41968</v>
      </c>
      <c r="F11518" t="s">
        <v>26129</v>
      </c>
      <c r="G11518" t="s">
        <v>899</v>
      </c>
      <c r="H11518">
        <v>2215</v>
      </c>
      <c r="I11518" t="s">
        <v>30</v>
      </c>
      <c r="J11518" t="s">
        <v>111</v>
      </c>
      <c r="K11518" t="s">
        <v>112</v>
      </c>
      <c r="Q11518">
        <v>0</v>
      </c>
      <c r="R11518">
        <v>0</v>
      </c>
      <c r="S11518">
        <v>0</v>
      </c>
      <c r="T11518" t="s">
        <v>41837</v>
      </c>
    </row>
    <row r="11519" spans="1:20" customFormat="1" ht="15" x14ac:dyDescent="0.25">
      <c r="A11519" t="s">
        <v>35</v>
      </c>
      <c r="B11519" t="s">
        <v>106</v>
      </c>
      <c r="C11519" t="str">
        <f>"A0135793"</f>
        <v>A0135793</v>
      </c>
      <c r="D11519" t="s">
        <v>41969</v>
      </c>
      <c r="E11519" t="s">
        <v>41970</v>
      </c>
      <c r="F11519" t="s">
        <v>41847</v>
      </c>
      <c r="G11519" t="s">
        <v>123</v>
      </c>
      <c r="H11519">
        <v>20740</v>
      </c>
      <c r="I11519" t="s">
        <v>30</v>
      </c>
      <c r="J11519" t="s">
        <v>111</v>
      </c>
      <c r="K11519" t="s">
        <v>112</v>
      </c>
      <c r="Q11519">
        <v>0</v>
      </c>
      <c r="R11519">
        <v>0</v>
      </c>
      <c r="S11519">
        <v>0</v>
      </c>
      <c r="T11519" t="s">
        <v>41837</v>
      </c>
    </row>
    <row r="11520" spans="1:20" customFormat="1" ht="15" x14ac:dyDescent="0.25">
      <c r="A11520" t="s">
        <v>35</v>
      </c>
      <c r="B11520" t="s">
        <v>106</v>
      </c>
      <c r="C11520" t="str">
        <f>"A0136524"</f>
        <v>A0136524</v>
      </c>
      <c r="D11520" t="s">
        <v>41971</v>
      </c>
      <c r="E11520" t="s">
        <v>41972</v>
      </c>
      <c r="F11520" t="s">
        <v>25141</v>
      </c>
      <c r="G11520" t="s">
        <v>99</v>
      </c>
      <c r="H11520">
        <v>14850</v>
      </c>
      <c r="I11520" t="s">
        <v>30</v>
      </c>
      <c r="J11520" t="s">
        <v>111</v>
      </c>
      <c r="K11520" t="s">
        <v>112</v>
      </c>
      <c r="Q11520">
        <v>0</v>
      </c>
      <c r="R11520">
        <v>0</v>
      </c>
      <c r="S11520">
        <v>0</v>
      </c>
      <c r="T11520" t="s">
        <v>41837</v>
      </c>
    </row>
    <row r="11521" spans="1:20" customFormat="1" ht="15" x14ac:dyDescent="0.25">
      <c r="A11521" t="s">
        <v>35</v>
      </c>
      <c r="B11521" t="s">
        <v>106</v>
      </c>
      <c r="C11521" t="str">
        <f>"A0136523"</f>
        <v>A0136523</v>
      </c>
      <c r="D11521" t="s">
        <v>41973</v>
      </c>
      <c r="E11521" t="s">
        <v>41974</v>
      </c>
      <c r="F11521" t="s">
        <v>41847</v>
      </c>
      <c r="G11521" t="s">
        <v>123</v>
      </c>
      <c r="H11521">
        <v>20740</v>
      </c>
      <c r="I11521" t="s">
        <v>30</v>
      </c>
      <c r="J11521" t="s">
        <v>111</v>
      </c>
      <c r="K11521" t="s">
        <v>112</v>
      </c>
      <c r="Q11521">
        <v>0</v>
      </c>
      <c r="R11521">
        <v>0</v>
      </c>
      <c r="S11521">
        <v>0</v>
      </c>
      <c r="T11521" t="s">
        <v>72</v>
      </c>
    </row>
    <row r="11522" spans="1:20" customFormat="1" ht="15" x14ac:dyDescent="0.25">
      <c r="A11522" t="s">
        <v>35</v>
      </c>
      <c r="B11522" t="s">
        <v>106</v>
      </c>
      <c r="C11522" t="str">
        <f>"A0158207"</f>
        <v>A0158207</v>
      </c>
      <c r="D11522" t="s">
        <v>41975</v>
      </c>
      <c r="E11522" t="s">
        <v>41976</v>
      </c>
      <c r="F11522" t="s">
        <v>7112</v>
      </c>
      <c r="G11522" t="s">
        <v>899</v>
      </c>
      <c r="H11522">
        <v>21390</v>
      </c>
      <c r="I11522" t="s">
        <v>30</v>
      </c>
      <c r="J11522" t="s">
        <v>111</v>
      </c>
      <c r="K11522" t="s">
        <v>112</v>
      </c>
      <c r="Q11522">
        <v>0</v>
      </c>
      <c r="R11522">
        <v>0</v>
      </c>
      <c r="S11522">
        <v>0</v>
      </c>
      <c r="T11522" t="s">
        <v>41837</v>
      </c>
    </row>
    <row r="11523" spans="1:20" customFormat="1" ht="15" x14ac:dyDescent="0.25">
      <c r="A11523" t="s">
        <v>35</v>
      </c>
      <c r="B11523" t="s">
        <v>106</v>
      </c>
      <c r="C11523" t="str">
        <f>"A0155554"</f>
        <v>A0155554</v>
      </c>
      <c r="D11523" t="s">
        <v>41977</v>
      </c>
      <c r="E11523" t="s">
        <v>41978</v>
      </c>
      <c r="F11523" t="s">
        <v>4629</v>
      </c>
      <c r="G11523" t="s">
        <v>103</v>
      </c>
      <c r="H11523">
        <v>19104</v>
      </c>
      <c r="I11523" t="s">
        <v>30</v>
      </c>
      <c r="J11523" t="s">
        <v>111</v>
      </c>
      <c r="K11523" t="s">
        <v>112</v>
      </c>
      <c r="Q11523">
        <v>0</v>
      </c>
      <c r="R11523">
        <v>0</v>
      </c>
      <c r="S11523">
        <v>0</v>
      </c>
      <c r="T11523" t="s">
        <v>41979</v>
      </c>
    </row>
    <row r="11524" spans="1:20" customFormat="1" ht="15" x14ac:dyDescent="0.25">
      <c r="A11524" t="s">
        <v>35</v>
      </c>
      <c r="B11524" t="s">
        <v>106</v>
      </c>
      <c r="C11524" t="str">
        <f>"A0135820"</f>
        <v>A0135820</v>
      </c>
      <c r="D11524" t="s">
        <v>41980</v>
      </c>
      <c r="E11524" t="s">
        <v>41981</v>
      </c>
      <c r="F11524" t="s">
        <v>4629</v>
      </c>
      <c r="G11524" t="s">
        <v>103</v>
      </c>
      <c r="H11524">
        <v>19104</v>
      </c>
      <c r="I11524" t="s">
        <v>30</v>
      </c>
      <c r="J11524" t="s">
        <v>111</v>
      </c>
      <c r="K11524" t="s">
        <v>112</v>
      </c>
      <c r="Q11524">
        <v>0</v>
      </c>
      <c r="R11524">
        <v>0</v>
      </c>
      <c r="S11524">
        <v>0</v>
      </c>
      <c r="T11524" t="s">
        <v>41837</v>
      </c>
    </row>
    <row r="11525" spans="1:20" customFormat="1" ht="15" x14ac:dyDescent="0.25">
      <c r="A11525" t="s">
        <v>35</v>
      </c>
      <c r="B11525" t="s">
        <v>106</v>
      </c>
      <c r="C11525" t="str">
        <f>"A0135761"</f>
        <v>A0135761</v>
      </c>
      <c r="D11525" t="s">
        <v>41982</v>
      </c>
      <c r="E11525" t="s">
        <v>41983</v>
      </c>
      <c r="F11525" t="s">
        <v>26129</v>
      </c>
      <c r="G11525" t="s">
        <v>899</v>
      </c>
      <c r="H11525">
        <v>2215</v>
      </c>
      <c r="I11525" t="s">
        <v>30</v>
      </c>
      <c r="J11525" t="s">
        <v>111</v>
      </c>
      <c r="K11525" t="s">
        <v>112</v>
      </c>
      <c r="Q11525">
        <v>0</v>
      </c>
      <c r="R11525">
        <v>0</v>
      </c>
      <c r="S11525">
        <v>0</v>
      </c>
      <c r="T11525" t="s">
        <v>41837</v>
      </c>
    </row>
    <row r="11526" spans="1:20" customFormat="1" ht="15" x14ac:dyDescent="0.25">
      <c r="A11526" t="s">
        <v>35</v>
      </c>
      <c r="B11526" t="s">
        <v>106</v>
      </c>
      <c r="C11526" t="str">
        <f>"A0135790"</f>
        <v>A0135790</v>
      </c>
      <c r="D11526" t="s">
        <v>41984</v>
      </c>
      <c r="E11526" t="s">
        <v>41985</v>
      </c>
      <c r="F11526" t="s">
        <v>41847</v>
      </c>
      <c r="G11526" t="s">
        <v>123</v>
      </c>
      <c r="H11526">
        <v>20740</v>
      </c>
      <c r="I11526" t="s">
        <v>30</v>
      </c>
      <c r="J11526" t="s">
        <v>111</v>
      </c>
      <c r="K11526" t="s">
        <v>112</v>
      </c>
      <c r="Q11526">
        <v>0</v>
      </c>
      <c r="R11526">
        <v>0</v>
      </c>
      <c r="S11526">
        <v>0</v>
      </c>
      <c r="T11526" t="s">
        <v>41837</v>
      </c>
    </row>
    <row r="11527" spans="1:20" customFormat="1" ht="15" x14ac:dyDescent="0.25">
      <c r="A11527" t="s">
        <v>35</v>
      </c>
      <c r="B11527" t="s">
        <v>106</v>
      </c>
      <c r="C11527" t="str">
        <f>"A0135778"</f>
        <v>A0135778</v>
      </c>
      <c r="D11527" t="s">
        <v>41986</v>
      </c>
      <c r="E11527" t="s">
        <v>41987</v>
      </c>
      <c r="F11527" t="s">
        <v>41847</v>
      </c>
      <c r="G11527" t="s">
        <v>123</v>
      </c>
      <c r="H11527">
        <v>20740</v>
      </c>
      <c r="I11527" t="s">
        <v>30</v>
      </c>
      <c r="J11527" t="s">
        <v>111</v>
      </c>
      <c r="K11527" t="s">
        <v>112</v>
      </c>
      <c r="Q11527">
        <v>0</v>
      </c>
      <c r="R11527">
        <v>0</v>
      </c>
      <c r="S11527">
        <v>0</v>
      </c>
      <c r="T11527" t="s">
        <v>41837</v>
      </c>
    </row>
    <row r="11528" spans="1:20" customFormat="1" ht="15" x14ac:dyDescent="0.25">
      <c r="A11528" t="s">
        <v>35</v>
      </c>
      <c r="B11528" t="s">
        <v>106</v>
      </c>
      <c r="C11528" t="str">
        <f>"A0135780"</f>
        <v>A0135780</v>
      </c>
      <c r="D11528" t="s">
        <v>41988</v>
      </c>
      <c r="E11528" t="s">
        <v>41989</v>
      </c>
      <c r="F11528" t="s">
        <v>20129</v>
      </c>
      <c r="G11528" t="s">
        <v>507</v>
      </c>
      <c r="H11528">
        <v>26506</v>
      </c>
      <c r="I11528" t="s">
        <v>30</v>
      </c>
      <c r="J11528" t="s">
        <v>111</v>
      </c>
      <c r="K11528" t="s">
        <v>112</v>
      </c>
      <c r="Q11528">
        <v>0</v>
      </c>
      <c r="R11528">
        <v>0</v>
      </c>
      <c r="S11528">
        <v>0</v>
      </c>
      <c r="T11528" t="s">
        <v>41837</v>
      </c>
    </row>
    <row r="11529" spans="1:20" customFormat="1" ht="15" x14ac:dyDescent="0.25">
      <c r="A11529" t="s">
        <v>35</v>
      </c>
      <c r="B11529" t="s">
        <v>106</v>
      </c>
      <c r="C11529" t="str">
        <f>"A0135827"</f>
        <v>A0135827</v>
      </c>
      <c r="D11529" t="s">
        <v>41990</v>
      </c>
      <c r="E11529" t="s">
        <v>41989</v>
      </c>
      <c r="F11529" t="s">
        <v>20129</v>
      </c>
      <c r="G11529" t="s">
        <v>507</v>
      </c>
      <c r="H11529">
        <v>26505</v>
      </c>
      <c r="I11529" t="s">
        <v>30</v>
      </c>
      <c r="J11529" t="s">
        <v>111</v>
      </c>
      <c r="K11529" t="s">
        <v>112</v>
      </c>
      <c r="Q11529">
        <v>0</v>
      </c>
      <c r="R11529">
        <v>0</v>
      </c>
      <c r="S11529">
        <v>0</v>
      </c>
      <c r="T11529" t="s">
        <v>41837</v>
      </c>
    </row>
    <row r="11530" spans="1:20" customFormat="1" ht="15" x14ac:dyDescent="0.25">
      <c r="A11530" t="s">
        <v>35</v>
      </c>
      <c r="B11530" t="s">
        <v>106</v>
      </c>
      <c r="C11530" t="str">
        <f>"A0135782"</f>
        <v>A0135782</v>
      </c>
      <c r="D11530" t="s">
        <v>41991</v>
      </c>
      <c r="E11530" t="s">
        <v>41992</v>
      </c>
      <c r="F11530" t="s">
        <v>25141</v>
      </c>
      <c r="G11530" t="s">
        <v>99</v>
      </c>
      <c r="H11530">
        <v>14850</v>
      </c>
      <c r="I11530" t="s">
        <v>30</v>
      </c>
      <c r="J11530" t="s">
        <v>111</v>
      </c>
      <c r="K11530" t="s">
        <v>112</v>
      </c>
      <c r="Q11530">
        <v>0</v>
      </c>
      <c r="R11530">
        <v>0</v>
      </c>
      <c r="S11530">
        <v>0</v>
      </c>
      <c r="T11530" t="s">
        <v>41850</v>
      </c>
    </row>
    <row r="11531" spans="1:20" customFormat="1" ht="15" x14ac:dyDescent="0.25">
      <c r="A11531" t="s">
        <v>35</v>
      </c>
      <c r="B11531" t="s">
        <v>106</v>
      </c>
      <c r="C11531" t="str">
        <f>"A0135819"</f>
        <v>A0135819</v>
      </c>
      <c r="D11531" t="s">
        <v>41993</v>
      </c>
      <c r="E11531" t="s">
        <v>41994</v>
      </c>
      <c r="F11531" t="s">
        <v>36450</v>
      </c>
      <c r="G11531" t="s">
        <v>1706</v>
      </c>
      <c r="H11531">
        <v>35401</v>
      </c>
      <c r="I11531" t="s">
        <v>30</v>
      </c>
      <c r="J11531" t="s">
        <v>111</v>
      </c>
      <c r="K11531" t="s">
        <v>112</v>
      </c>
      <c r="Q11531">
        <v>0</v>
      </c>
      <c r="R11531">
        <v>0</v>
      </c>
      <c r="S11531">
        <v>0</v>
      </c>
      <c r="T11531" t="s">
        <v>41837</v>
      </c>
    </row>
    <row r="11532" spans="1:20" customFormat="1" ht="15" x14ac:dyDescent="0.25">
      <c r="A11532" t="s">
        <v>35</v>
      </c>
      <c r="B11532" t="s">
        <v>106</v>
      </c>
      <c r="C11532" t="str">
        <f>"A0150762"</f>
        <v>A0150762</v>
      </c>
      <c r="D11532" t="s">
        <v>41995</v>
      </c>
      <c r="E11532" t="s">
        <v>41996</v>
      </c>
      <c r="F11532" t="s">
        <v>10276</v>
      </c>
      <c r="G11532" t="s">
        <v>846</v>
      </c>
      <c r="H11532">
        <v>30322</v>
      </c>
      <c r="I11532" t="s">
        <v>30</v>
      </c>
      <c r="J11532" t="s">
        <v>111</v>
      </c>
      <c r="K11532" t="s">
        <v>112</v>
      </c>
      <c r="Q11532">
        <v>0</v>
      </c>
      <c r="R11532">
        <v>0</v>
      </c>
      <c r="S11532">
        <v>0</v>
      </c>
      <c r="T11532" t="s">
        <v>41837</v>
      </c>
    </row>
    <row r="11533" spans="1:20" customFormat="1" ht="15" x14ac:dyDescent="0.25">
      <c r="A11533" t="s">
        <v>35</v>
      </c>
      <c r="B11533" t="s">
        <v>106</v>
      </c>
      <c r="C11533" t="str">
        <f>"A0135800"</f>
        <v>A0135800</v>
      </c>
      <c r="D11533" t="s">
        <v>41997</v>
      </c>
      <c r="E11533" t="s">
        <v>41998</v>
      </c>
      <c r="F11533" t="s">
        <v>41847</v>
      </c>
      <c r="G11533" t="s">
        <v>123</v>
      </c>
      <c r="H11533">
        <v>20740</v>
      </c>
      <c r="I11533" t="s">
        <v>30</v>
      </c>
      <c r="J11533" t="s">
        <v>111</v>
      </c>
      <c r="K11533" t="s">
        <v>112</v>
      </c>
      <c r="Q11533">
        <v>0</v>
      </c>
      <c r="R11533">
        <v>0</v>
      </c>
      <c r="S11533">
        <v>0</v>
      </c>
      <c r="T11533" t="s">
        <v>41837</v>
      </c>
    </row>
    <row r="11534" spans="1:20" customFormat="1" ht="15" x14ac:dyDescent="0.25">
      <c r="A11534" t="s">
        <v>35</v>
      </c>
      <c r="B11534" t="s">
        <v>106</v>
      </c>
      <c r="C11534" t="str">
        <f>"A0150761"</f>
        <v>A0150761</v>
      </c>
      <c r="D11534" t="s">
        <v>41999</v>
      </c>
      <c r="E11534" t="s">
        <v>42000</v>
      </c>
      <c r="F11534" t="s">
        <v>10276</v>
      </c>
      <c r="G11534" t="s">
        <v>846</v>
      </c>
      <c r="H11534">
        <v>30322</v>
      </c>
      <c r="I11534" t="s">
        <v>30</v>
      </c>
      <c r="J11534" t="s">
        <v>111</v>
      </c>
      <c r="K11534" t="s">
        <v>112</v>
      </c>
      <c r="Q11534">
        <v>0</v>
      </c>
      <c r="R11534">
        <v>0</v>
      </c>
      <c r="S11534">
        <v>0</v>
      </c>
      <c r="T11534" t="s">
        <v>41837</v>
      </c>
    </row>
    <row r="11535" spans="1:20" customFormat="1" ht="15" x14ac:dyDescent="0.25">
      <c r="A11535" t="s">
        <v>35</v>
      </c>
      <c r="B11535" t="s">
        <v>106</v>
      </c>
      <c r="C11535" t="str">
        <f>"A0155556"</f>
        <v>A0155556</v>
      </c>
      <c r="D11535" t="s">
        <v>42001</v>
      </c>
      <c r="E11535" t="s">
        <v>42002</v>
      </c>
      <c r="F11535" t="s">
        <v>26129</v>
      </c>
      <c r="G11535" t="s">
        <v>899</v>
      </c>
      <c r="H11535">
        <v>2215</v>
      </c>
      <c r="I11535" t="s">
        <v>30</v>
      </c>
      <c r="J11535" t="s">
        <v>111</v>
      </c>
      <c r="K11535" t="s">
        <v>112</v>
      </c>
      <c r="Q11535">
        <v>0</v>
      </c>
      <c r="R11535">
        <v>0</v>
      </c>
      <c r="S11535">
        <v>0</v>
      </c>
      <c r="T11535" t="s">
        <v>42003</v>
      </c>
    </row>
    <row r="11536" spans="1:20" customFormat="1" ht="15" x14ac:dyDescent="0.25">
      <c r="A11536" t="s">
        <v>35</v>
      </c>
      <c r="B11536" t="s">
        <v>106</v>
      </c>
      <c r="C11536" t="str">
        <f>"A0135774"</f>
        <v>A0135774</v>
      </c>
      <c r="D11536" t="s">
        <v>42004</v>
      </c>
      <c r="E11536" t="s">
        <v>42005</v>
      </c>
      <c r="F11536" t="s">
        <v>21278</v>
      </c>
      <c r="G11536" t="s">
        <v>99</v>
      </c>
      <c r="H11536">
        <v>13210</v>
      </c>
      <c r="I11536" t="s">
        <v>30</v>
      </c>
      <c r="J11536" t="s">
        <v>111</v>
      </c>
      <c r="K11536" t="s">
        <v>112</v>
      </c>
      <c r="Q11536">
        <v>0</v>
      </c>
      <c r="R11536">
        <v>0</v>
      </c>
      <c r="S11536">
        <v>0</v>
      </c>
      <c r="T11536" t="s">
        <v>41837</v>
      </c>
    </row>
    <row r="11537" spans="1:20" customFormat="1" ht="15" x14ac:dyDescent="0.25">
      <c r="A11537" t="s">
        <v>35</v>
      </c>
      <c r="B11537" t="s">
        <v>106</v>
      </c>
      <c r="C11537" t="str">
        <f>"A0135753"</f>
        <v>A0135753</v>
      </c>
      <c r="D11537" t="s">
        <v>42006</v>
      </c>
      <c r="E11537" t="s">
        <v>42007</v>
      </c>
      <c r="F11537" t="s">
        <v>21278</v>
      </c>
      <c r="G11537" t="s">
        <v>99</v>
      </c>
      <c r="H11537">
        <v>13210</v>
      </c>
      <c r="I11537" t="s">
        <v>30</v>
      </c>
      <c r="J11537" t="s">
        <v>111</v>
      </c>
      <c r="K11537" t="s">
        <v>112</v>
      </c>
      <c r="Q11537">
        <v>0</v>
      </c>
      <c r="R11537">
        <v>0</v>
      </c>
      <c r="S11537">
        <v>0</v>
      </c>
      <c r="T11537" t="s">
        <v>41837</v>
      </c>
    </row>
    <row r="11538" spans="1:20" customFormat="1" ht="15" x14ac:dyDescent="0.25">
      <c r="A11538" t="s">
        <v>35</v>
      </c>
      <c r="B11538" t="s">
        <v>106</v>
      </c>
      <c r="C11538" t="str">
        <f>"A0135812"</f>
        <v>A0135812</v>
      </c>
      <c r="D11538" t="s">
        <v>42006</v>
      </c>
      <c r="E11538" t="s">
        <v>42008</v>
      </c>
      <c r="F11538" t="s">
        <v>41847</v>
      </c>
      <c r="G11538" t="s">
        <v>123</v>
      </c>
      <c r="H11538">
        <v>20740</v>
      </c>
      <c r="I11538" t="s">
        <v>30</v>
      </c>
      <c r="J11538" t="s">
        <v>111</v>
      </c>
      <c r="K11538" t="s">
        <v>112</v>
      </c>
      <c r="Q11538">
        <v>0</v>
      </c>
      <c r="R11538">
        <v>0</v>
      </c>
      <c r="S11538">
        <v>0</v>
      </c>
      <c r="T11538" t="s">
        <v>41837</v>
      </c>
    </row>
    <row r="11539" spans="1:20" customFormat="1" ht="15" x14ac:dyDescent="0.25">
      <c r="A11539" t="s">
        <v>35</v>
      </c>
      <c r="B11539" t="s">
        <v>106</v>
      </c>
      <c r="C11539" t="str">
        <f>"A0155552"</f>
        <v>A0155552</v>
      </c>
      <c r="D11539" t="s">
        <v>42009</v>
      </c>
      <c r="E11539" t="s">
        <v>42010</v>
      </c>
      <c r="F11539" t="s">
        <v>4629</v>
      </c>
      <c r="G11539" t="s">
        <v>103</v>
      </c>
      <c r="H11539">
        <v>19104</v>
      </c>
      <c r="I11539" t="s">
        <v>30</v>
      </c>
      <c r="J11539" t="s">
        <v>111</v>
      </c>
      <c r="K11539" t="s">
        <v>112</v>
      </c>
      <c r="Q11539">
        <v>0</v>
      </c>
      <c r="R11539">
        <v>0</v>
      </c>
      <c r="S11539">
        <v>0</v>
      </c>
      <c r="T11539" t="s">
        <v>42011</v>
      </c>
    </row>
    <row r="11540" spans="1:20" customFormat="1" ht="15" x14ac:dyDescent="0.25">
      <c r="A11540" t="s">
        <v>35</v>
      </c>
      <c r="B11540" t="s">
        <v>106</v>
      </c>
      <c r="C11540" t="str">
        <f>"A0135796"</f>
        <v>A0135796</v>
      </c>
      <c r="D11540" t="s">
        <v>42012</v>
      </c>
      <c r="E11540" t="s">
        <v>42013</v>
      </c>
      <c r="F11540" t="s">
        <v>41847</v>
      </c>
      <c r="G11540" t="s">
        <v>123</v>
      </c>
      <c r="H11540">
        <v>20740</v>
      </c>
      <c r="I11540" t="s">
        <v>30</v>
      </c>
      <c r="J11540" t="s">
        <v>111</v>
      </c>
      <c r="K11540" t="s">
        <v>112</v>
      </c>
      <c r="Q11540">
        <v>0</v>
      </c>
      <c r="R11540">
        <v>0</v>
      </c>
      <c r="S11540">
        <v>0</v>
      </c>
      <c r="T11540" t="s">
        <v>41837</v>
      </c>
    </row>
    <row r="11541" spans="1:20" customFormat="1" ht="15" x14ac:dyDescent="0.25">
      <c r="A11541" t="s">
        <v>35</v>
      </c>
      <c r="B11541" t="s">
        <v>106</v>
      </c>
      <c r="C11541" t="str">
        <f>"A0135762"</f>
        <v>A0135762</v>
      </c>
      <c r="D11541" t="s">
        <v>42012</v>
      </c>
      <c r="E11541" t="s">
        <v>42014</v>
      </c>
      <c r="F11541" t="s">
        <v>26129</v>
      </c>
      <c r="G11541" t="s">
        <v>899</v>
      </c>
      <c r="H11541">
        <v>2215</v>
      </c>
      <c r="I11541" t="s">
        <v>30</v>
      </c>
      <c r="J11541" t="s">
        <v>111</v>
      </c>
      <c r="K11541" t="s">
        <v>112</v>
      </c>
      <c r="Q11541">
        <v>0</v>
      </c>
      <c r="R11541">
        <v>0</v>
      </c>
      <c r="S11541">
        <v>0</v>
      </c>
      <c r="T11541" t="s">
        <v>41837</v>
      </c>
    </row>
    <row r="11542" spans="1:20" customFormat="1" ht="15" x14ac:dyDescent="0.25">
      <c r="A11542" t="s">
        <v>35</v>
      </c>
      <c r="B11542" t="s">
        <v>106</v>
      </c>
      <c r="C11542" t="str">
        <f>"A0135815"</f>
        <v>A0135815</v>
      </c>
      <c r="D11542" t="s">
        <v>42015</v>
      </c>
      <c r="E11542" t="s">
        <v>42016</v>
      </c>
      <c r="F11542" t="s">
        <v>41847</v>
      </c>
      <c r="G11542" t="s">
        <v>123</v>
      </c>
      <c r="H11542">
        <v>20740</v>
      </c>
      <c r="I11542" t="s">
        <v>30</v>
      </c>
      <c r="J11542" t="s">
        <v>111</v>
      </c>
      <c r="K11542" t="s">
        <v>112</v>
      </c>
      <c r="Q11542">
        <v>0</v>
      </c>
      <c r="R11542">
        <v>0</v>
      </c>
      <c r="S11542">
        <v>0</v>
      </c>
      <c r="T11542" t="s">
        <v>41837</v>
      </c>
    </row>
    <row r="11543" spans="1:20" customFormat="1" ht="15" x14ac:dyDescent="0.25">
      <c r="A11543" t="s">
        <v>35</v>
      </c>
      <c r="B11543" t="s">
        <v>106</v>
      </c>
      <c r="C11543" t="str">
        <f>"A0155553"</f>
        <v>A0155553</v>
      </c>
      <c r="D11543" t="s">
        <v>42017</v>
      </c>
      <c r="E11543" t="s">
        <v>42018</v>
      </c>
      <c r="F11543" t="s">
        <v>4629</v>
      </c>
      <c r="G11543" t="s">
        <v>103</v>
      </c>
      <c r="H11543">
        <v>19104</v>
      </c>
      <c r="I11543" t="s">
        <v>30</v>
      </c>
      <c r="J11543" t="s">
        <v>111</v>
      </c>
      <c r="K11543" t="s">
        <v>112</v>
      </c>
      <c r="Q11543">
        <v>0</v>
      </c>
      <c r="R11543">
        <v>0</v>
      </c>
      <c r="S11543">
        <v>0</v>
      </c>
      <c r="T11543" t="s">
        <v>41979</v>
      </c>
    </row>
    <row r="11544" spans="1:20" customFormat="1" ht="15" x14ac:dyDescent="0.25">
      <c r="A11544" t="s">
        <v>35</v>
      </c>
      <c r="B11544" t="s">
        <v>106</v>
      </c>
      <c r="C11544" t="str">
        <f>"A0135789"</f>
        <v>A0135789</v>
      </c>
      <c r="D11544" t="s">
        <v>42019</v>
      </c>
      <c r="E11544" t="s">
        <v>42020</v>
      </c>
      <c r="F11544" t="s">
        <v>42021</v>
      </c>
      <c r="G11544" t="s">
        <v>338</v>
      </c>
      <c r="H11544">
        <v>7030</v>
      </c>
      <c r="I11544" t="s">
        <v>30</v>
      </c>
      <c r="J11544" t="s">
        <v>111</v>
      </c>
      <c r="K11544" t="s">
        <v>112</v>
      </c>
      <c r="Q11544">
        <v>0</v>
      </c>
      <c r="R11544">
        <v>0</v>
      </c>
      <c r="S11544">
        <v>0</v>
      </c>
      <c r="T11544" t="s">
        <v>42022</v>
      </c>
    </row>
    <row r="11545" spans="1:20" customFormat="1" ht="15" x14ac:dyDescent="0.25">
      <c r="A11545" t="s">
        <v>35</v>
      </c>
      <c r="B11545" t="s">
        <v>106</v>
      </c>
      <c r="C11545" t="str">
        <f>"A0150768"</f>
        <v>A0150768</v>
      </c>
      <c r="D11545" t="s">
        <v>42023</v>
      </c>
      <c r="E11545" t="s">
        <v>42024</v>
      </c>
      <c r="F11545" t="s">
        <v>4770</v>
      </c>
      <c r="G11545" t="s">
        <v>99</v>
      </c>
      <c r="H11545">
        <v>12180</v>
      </c>
      <c r="I11545" t="s">
        <v>30</v>
      </c>
      <c r="J11545" t="s">
        <v>111</v>
      </c>
      <c r="K11545" t="s">
        <v>112</v>
      </c>
      <c r="Q11545">
        <v>0</v>
      </c>
      <c r="R11545">
        <v>0</v>
      </c>
      <c r="S11545">
        <v>0</v>
      </c>
      <c r="T11545" t="s">
        <v>41837</v>
      </c>
    </row>
    <row r="11546" spans="1:20" customFormat="1" ht="15" x14ac:dyDescent="0.25">
      <c r="A11546" t="s">
        <v>35</v>
      </c>
      <c r="B11546" t="s">
        <v>106</v>
      </c>
      <c r="C11546" t="str">
        <f>"A0150770"</f>
        <v>A0150770</v>
      </c>
      <c r="D11546" t="s">
        <v>42025</v>
      </c>
      <c r="E11546" t="s">
        <v>42026</v>
      </c>
      <c r="F11546" t="s">
        <v>41847</v>
      </c>
      <c r="G11546" t="s">
        <v>123</v>
      </c>
      <c r="H11546">
        <v>20741</v>
      </c>
      <c r="I11546" t="s">
        <v>30</v>
      </c>
      <c r="J11546" t="s">
        <v>111</v>
      </c>
      <c r="K11546" t="s">
        <v>112</v>
      </c>
      <c r="Q11546">
        <v>0</v>
      </c>
      <c r="R11546">
        <v>0</v>
      </c>
      <c r="S11546">
        <v>0</v>
      </c>
      <c r="T11546" t="s">
        <v>41837</v>
      </c>
    </row>
    <row r="11547" spans="1:20" customFormat="1" ht="15" x14ac:dyDescent="0.25">
      <c r="A11547" t="s">
        <v>35</v>
      </c>
      <c r="B11547" t="s">
        <v>106</v>
      </c>
      <c r="C11547" t="str">
        <f>"A0135825"</f>
        <v>A0135825</v>
      </c>
      <c r="D11547" t="s">
        <v>42027</v>
      </c>
      <c r="E11547" t="s">
        <v>42028</v>
      </c>
      <c r="F11547" t="s">
        <v>41847</v>
      </c>
      <c r="G11547" t="s">
        <v>123</v>
      </c>
      <c r="H11547">
        <v>20740</v>
      </c>
      <c r="I11547" t="s">
        <v>30</v>
      </c>
      <c r="J11547" t="s">
        <v>111</v>
      </c>
      <c r="K11547" t="s">
        <v>112</v>
      </c>
      <c r="Q11547">
        <v>0</v>
      </c>
      <c r="R11547">
        <v>0</v>
      </c>
      <c r="S11547">
        <v>0</v>
      </c>
      <c r="T11547" t="s">
        <v>42029</v>
      </c>
    </row>
    <row r="11548" spans="1:20" customFormat="1" ht="15" x14ac:dyDescent="0.25">
      <c r="A11548" t="s">
        <v>35</v>
      </c>
      <c r="B11548" t="s">
        <v>106</v>
      </c>
      <c r="C11548" t="str">
        <f>"A0136122"</f>
        <v>A0136122</v>
      </c>
      <c r="D11548" t="s">
        <v>42030</v>
      </c>
      <c r="E11548" t="s">
        <v>42031</v>
      </c>
      <c r="F11548" t="s">
        <v>36450</v>
      </c>
      <c r="G11548" t="s">
        <v>1706</v>
      </c>
      <c r="H11548">
        <v>35401</v>
      </c>
      <c r="I11548" t="s">
        <v>30</v>
      </c>
      <c r="J11548" t="s">
        <v>111</v>
      </c>
      <c r="K11548" t="s">
        <v>10012</v>
      </c>
      <c r="Q11548">
        <v>0</v>
      </c>
      <c r="R11548">
        <v>0</v>
      </c>
      <c r="S11548">
        <v>0</v>
      </c>
      <c r="T11548" t="s">
        <v>41837</v>
      </c>
    </row>
    <row r="11549" spans="1:20" customFormat="1" ht="15" x14ac:dyDescent="0.25">
      <c r="A11549" t="s">
        <v>35</v>
      </c>
      <c r="B11549" t="s">
        <v>106</v>
      </c>
      <c r="C11549" t="str">
        <f>"A0136520"</f>
        <v>A0136520</v>
      </c>
      <c r="D11549" t="s">
        <v>42032</v>
      </c>
      <c r="E11549" t="s">
        <v>42033</v>
      </c>
      <c r="F11549" t="s">
        <v>41847</v>
      </c>
      <c r="G11549" t="s">
        <v>123</v>
      </c>
      <c r="H11549">
        <v>20740</v>
      </c>
      <c r="I11549" t="s">
        <v>30</v>
      </c>
      <c r="J11549" t="s">
        <v>111</v>
      </c>
      <c r="K11549" t="s">
        <v>10012</v>
      </c>
      <c r="Q11549">
        <v>0</v>
      </c>
      <c r="R11549">
        <v>0</v>
      </c>
      <c r="S11549">
        <v>0</v>
      </c>
      <c r="T11549" t="s">
        <v>41837</v>
      </c>
    </row>
    <row r="11550" spans="1:20" customFormat="1" ht="15" x14ac:dyDescent="0.25">
      <c r="A11550" t="s">
        <v>35</v>
      </c>
      <c r="B11550" t="s">
        <v>106</v>
      </c>
      <c r="C11550" t="str">
        <f>"A0135763"</f>
        <v>A0135763</v>
      </c>
      <c r="D11550" t="s">
        <v>42034</v>
      </c>
      <c r="E11550" t="s">
        <v>42035</v>
      </c>
      <c r="F11550" t="s">
        <v>26129</v>
      </c>
      <c r="G11550" t="s">
        <v>899</v>
      </c>
      <c r="H11550">
        <v>2215</v>
      </c>
      <c r="I11550" t="s">
        <v>30</v>
      </c>
      <c r="J11550" t="s">
        <v>111</v>
      </c>
      <c r="K11550" t="s">
        <v>112</v>
      </c>
      <c r="Q11550">
        <v>0</v>
      </c>
      <c r="R11550">
        <v>0</v>
      </c>
      <c r="S11550">
        <v>0</v>
      </c>
      <c r="T11550" t="s">
        <v>41837</v>
      </c>
    </row>
    <row r="11551" spans="1:20" customFormat="1" ht="15" x14ac:dyDescent="0.25">
      <c r="A11551" t="s">
        <v>35</v>
      </c>
      <c r="B11551" t="s">
        <v>106</v>
      </c>
      <c r="C11551" t="str">
        <f>"A0136519"</f>
        <v>A0136519</v>
      </c>
      <c r="D11551" t="s">
        <v>42036</v>
      </c>
      <c r="E11551" t="s">
        <v>41836</v>
      </c>
      <c r="F11551" t="s">
        <v>42037</v>
      </c>
      <c r="G11551" t="s">
        <v>123</v>
      </c>
      <c r="H11551">
        <v>21401</v>
      </c>
      <c r="I11551" t="s">
        <v>30</v>
      </c>
      <c r="J11551" t="s">
        <v>111</v>
      </c>
      <c r="K11551" t="s">
        <v>10012</v>
      </c>
      <c r="Q11551">
        <v>0</v>
      </c>
      <c r="R11551">
        <v>0</v>
      </c>
      <c r="S11551">
        <v>0</v>
      </c>
      <c r="T11551" t="s">
        <v>42022</v>
      </c>
    </row>
    <row r="11552" spans="1:20" customFormat="1" ht="15" x14ac:dyDescent="0.25">
      <c r="A11552" t="s">
        <v>35</v>
      </c>
      <c r="B11552" t="s">
        <v>106</v>
      </c>
      <c r="C11552" t="str">
        <f>"A0150767"</f>
        <v>A0150767</v>
      </c>
      <c r="D11552" t="s">
        <v>42038</v>
      </c>
      <c r="E11552" t="s">
        <v>42039</v>
      </c>
      <c r="F11552" t="s">
        <v>24802</v>
      </c>
      <c r="G11552" t="s">
        <v>90</v>
      </c>
      <c r="H11552">
        <v>2881</v>
      </c>
      <c r="I11552" t="s">
        <v>30</v>
      </c>
      <c r="J11552" t="s">
        <v>111</v>
      </c>
      <c r="K11552" t="s">
        <v>112</v>
      </c>
      <c r="Q11552">
        <v>0</v>
      </c>
      <c r="R11552">
        <v>0</v>
      </c>
      <c r="S11552">
        <v>0</v>
      </c>
      <c r="T11552" t="s">
        <v>41837</v>
      </c>
    </row>
    <row r="11553" spans="1:20" customFormat="1" ht="15" x14ac:dyDescent="0.25">
      <c r="A11553" t="s">
        <v>35</v>
      </c>
      <c r="B11553" t="s">
        <v>106</v>
      </c>
      <c r="C11553" t="str">
        <f>"A0135764"</f>
        <v>A0135764</v>
      </c>
      <c r="D11553" t="s">
        <v>42040</v>
      </c>
      <c r="E11553" t="s">
        <v>42041</v>
      </c>
      <c r="F11553" t="s">
        <v>20129</v>
      </c>
      <c r="G11553" t="s">
        <v>507</v>
      </c>
      <c r="H11553">
        <v>26505</v>
      </c>
      <c r="I11553" t="s">
        <v>30</v>
      </c>
      <c r="J11553" t="s">
        <v>111</v>
      </c>
      <c r="K11553" t="s">
        <v>112</v>
      </c>
      <c r="Q11553">
        <v>0</v>
      </c>
      <c r="R11553">
        <v>0</v>
      </c>
      <c r="S11553">
        <v>0</v>
      </c>
      <c r="T11553" t="s">
        <v>41837</v>
      </c>
    </row>
    <row r="11554" spans="1:20" customFormat="1" ht="15" x14ac:dyDescent="0.25">
      <c r="A11554" t="s">
        <v>35</v>
      </c>
      <c r="B11554" t="s">
        <v>106</v>
      </c>
      <c r="C11554" t="str">
        <f>"A0135791"</f>
        <v>A0135791</v>
      </c>
      <c r="D11554" t="s">
        <v>42042</v>
      </c>
      <c r="E11554" t="s">
        <v>42043</v>
      </c>
      <c r="F11554" t="s">
        <v>41847</v>
      </c>
      <c r="G11554" t="s">
        <v>123</v>
      </c>
      <c r="H11554">
        <v>20740</v>
      </c>
      <c r="I11554" t="s">
        <v>30</v>
      </c>
      <c r="J11554" t="s">
        <v>111</v>
      </c>
      <c r="K11554" t="s">
        <v>112</v>
      </c>
      <c r="Q11554">
        <v>0</v>
      </c>
      <c r="R11554">
        <v>0</v>
      </c>
      <c r="S11554">
        <v>0</v>
      </c>
      <c r="T11554" t="s">
        <v>41837</v>
      </c>
    </row>
    <row r="11555" spans="1:20" customFormat="1" ht="15" x14ac:dyDescent="0.25">
      <c r="A11555" t="s">
        <v>35</v>
      </c>
      <c r="B11555" t="s">
        <v>106</v>
      </c>
      <c r="C11555" t="str">
        <f>"A0135804"</f>
        <v>A0135804</v>
      </c>
      <c r="D11555" t="s">
        <v>42044</v>
      </c>
      <c r="E11555" t="s">
        <v>42045</v>
      </c>
      <c r="F11555" t="s">
        <v>29521</v>
      </c>
      <c r="G11555" t="s">
        <v>899</v>
      </c>
      <c r="H11555">
        <v>2446</v>
      </c>
      <c r="I11555" t="s">
        <v>30</v>
      </c>
      <c r="J11555" t="s">
        <v>111</v>
      </c>
      <c r="K11555" t="s">
        <v>112</v>
      </c>
      <c r="Q11555">
        <v>0</v>
      </c>
      <c r="R11555">
        <v>0</v>
      </c>
      <c r="S11555">
        <v>0</v>
      </c>
      <c r="T11555" t="s">
        <v>42046</v>
      </c>
    </row>
    <row r="11556" spans="1:20" customFormat="1" ht="15" x14ac:dyDescent="0.25">
      <c r="A11556" t="s">
        <v>35</v>
      </c>
      <c r="B11556" t="s">
        <v>106</v>
      </c>
      <c r="C11556" t="str">
        <f>"A0150759"</f>
        <v>A0150759</v>
      </c>
      <c r="D11556" t="s">
        <v>42047</v>
      </c>
      <c r="E11556" t="s">
        <v>42048</v>
      </c>
      <c r="F11556" t="s">
        <v>5208</v>
      </c>
      <c r="G11556" t="s">
        <v>103</v>
      </c>
      <c r="H11556">
        <v>16801</v>
      </c>
      <c r="I11556" t="s">
        <v>30</v>
      </c>
      <c r="J11556" t="s">
        <v>111</v>
      </c>
      <c r="K11556" t="s">
        <v>112</v>
      </c>
      <c r="Q11556">
        <v>0</v>
      </c>
      <c r="R11556">
        <v>0</v>
      </c>
      <c r="S11556">
        <v>0</v>
      </c>
      <c r="T11556" t="s">
        <v>41837</v>
      </c>
    </row>
    <row r="11557" spans="1:20" customFormat="1" ht="15" x14ac:dyDescent="0.25">
      <c r="A11557" t="s">
        <v>35</v>
      </c>
      <c r="B11557" t="s">
        <v>106</v>
      </c>
      <c r="C11557" t="str">
        <f>"A0135799"</f>
        <v>A0135799</v>
      </c>
      <c r="D11557" t="s">
        <v>42049</v>
      </c>
      <c r="E11557" t="s">
        <v>42050</v>
      </c>
      <c r="F11557" t="s">
        <v>41847</v>
      </c>
      <c r="G11557" t="s">
        <v>123</v>
      </c>
      <c r="H11557">
        <v>20740</v>
      </c>
      <c r="I11557" t="s">
        <v>30</v>
      </c>
      <c r="J11557" t="s">
        <v>111</v>
      </c>
      <c r="K11557" t="s">
        <v>112</v>
      </c>
      <c r="Q11557">
        <v>0</v>
      </c>
      <c r="R11557">
        <v>0</v>
      </c>
      <c r="S11557">
        <v>0</v>
      </c>
      <c r="T11557" t="s">
        <v>41837</v>
      </c>
    </row>
    <row r="11558" spans="1:20" customFormat="1" ht="15" x14ac:dyDescent="0.25">
      <c r="A11558" t="s">
        <v>35</v>
      </c>
      <c r="B11558" t="s">
        <v>106</v>
      </c>
      <c r="C11558" t="str">
        <f>"A0135770"</f>
        <v>A0135770</v>
      </c>
      <c r="D11558" t="s">
        <v>42051</v>
      </c>
      <c r="E11558" t="s">
        <v>42052</v>
      </c>
      <c r="F11558" t="s">
        <v>41847</v>
      </c>
      <c r="G11558" t="s">
        <v>123</v>
      </c>
      <c r="H11558">
        <v>20742</v>
      </c>
      <c r="I11558" t="s">
        <v>30</v>
      </c>
      <c r="J11558" t="s">
        <v>111</v>
      </c>
      <c r="K11558" t="s">
        <v>112</v>
      </c>
      <c r="Q11558">
        <v>0</v>
      </c>
      <c r="R11558">
        <v>0</v>
      </c>
      <c r="S11558">
        <v>0</v>
      </c>
      <c r="T11558" t="s">
        <v>41837</v>
      </c>
    </row>
    <row r="11559" spans="1:20" customFormat="1" ht="15" x14ac:dyDescent="0.25">
      <c r="A11559" t="s">
        <v>35</v>
      </c>
      <c r="B11559" t="s">
        <v>61</v>
      </c>
      <c r="C11559" t="str">
        <f>"A0132718"</f>
        <v>A0132718</v>
      </c>
      <c r="D11559" t="s">
        <v>42053</v>
      </c>
      <c r="E11559" t="s">
        <v>42054</v>
      </c>
      <c r="F11559" t="s">
        <v>460</v>
      </c>
      <c r="G11559" t="s">
        <v>65</v>
      </c>
      <c r="H11559">
        <v>44483</v>
      </c>
      <c r="I11559" t="s">
        <v>30</v>
      </c>
      <c r="J11559" t="s">
        <v>41</v>
      </c>
      <c r="K11559" t="s">
        <v>229</v>
      </c>
      <c r="Q11559">
        <v>0</v>
      </c>
      <c r="R11559">
        <v>100</v>
      </c>
      <c r="S11559">
        <v>100</v>
      </c>
      <c r="T11559" t="s">
        <v>42055</v>
      </c>
    </row>
    <row r="11560" spans="1:20" customFormat="1" ht="15" x14ac:dyDescent="0.25">
      <c r="A11560" t="s">
        <v>35</v>
      </c>
      <c r="B11560" t="s">
        <v>106</v>
      </c>
      <c r="C11560" t="str">
        <f>"A0135380"</f>
        <v>A0135380</v>
      </c>
      <c r="D11560" t="s">
        <v>42056</v>
      </c>
      <c r="E11560" t="s">
        <v>42057</v>
      </c>
      <c r="F11560" t="s">
        <v>42058</v>
      </c>
      <c r="G11560" t="s">
        <v>190</v>
      </c>
      <c r="H11560">
        <v>80422</v>
      </c>
      <c r="I11560" t="s">
        <v>30</v>
      </c>
      <c r="J11560" t="s">
        <v>111</v>
      </c>
      <c r="K11560" t="s">
        <v>112</v>
      </c>
      <c r="Q11560">
        <v>0</v>
      </c>
      <c r="R11560">
        <v>0</v>
      </c>
      <c r="S11560">
        <v>0</v>
      </c>
      <c r="T11560" t="s">
        <v>42059</v>
      </c>
    </row>
    <row r="11561" spans="1:20" customFormat="1" ht="15" x14ac:dyDescent="0.25">
      <c r="A11561" t="s">
        <v>35</v>
      </c>
      <c r="B11561" t="s">
        <v>61</v>
      </c>
      <c r="C11561" t="str">
        <f>"A0126770"</f>
        <v>A0126770</v>
      </c>
      <c r="D11561" t="s">
        <v>42060</v>
      </c>
      <c r="E11561" t="s">
        <v>42061</v>
      </c>
      <c r="F11561" t="s">
        <v>3327</v>
      </c>
      <c r="G11561" t="s">
        <v>528</v>
      </c>
      <c r="H11561">
        <v>19806</v>
      </c>
      <c r="I11561" t="s">
        <v>30</v>
      </c>
      <c r="J11561" t="s">
        <v>41</v>
      </c>
      <c r="K11561" t="s">
        <v>229</v>
      </c>
      <c r="Q11561">
        <v>0</v>
      </c>
      <c r="R11561">
        <v>96</v>
      </c>
      <c r="S11561">
        <v>96</v>
      </c>
      <c r="T11561" t="s">
        <v>42062</v>
      </c>
    </row>
    <row r="11562" spans="1:20" customFormat="1" ht="15" x14ac:dyDescent="0.25">
      <c r="A11562" t="s">
        <v>35</v>
      </c>
      <c r="B11562" t="s">
        <v>61</v>
      </c>
      <c r="C11562" t="str">
        <f>"A0123751"</f>
        <v>A0123751</v>
      </c>
      <c r="D11562" t="s">
        <v>42063</v>
      </c>
      <c r="E11562" t="s">
        <v>42064</v>
      </c>
      <c r="F11562" t="s">
        <v>1795</v>
      </c>
      <c r="G11562" t="s">
        <v>29</v>
      </c>
      <c r="H11562">
        <v>23235</v>
      </c>
      <c r="I11562" t="s">
        <v>30</v>
      </c>
      <c r="J11562" t="s">
        <v>41</v>
      </c>
      <c r="K11562" t="s">
        <v>482</v>
      </c>
      <c r="Q11562">
        <v>0</v>
      </c>
      <c r="R11562">
        <v>125</v>
      </c>
      <c r="S11562">
        <v>125</v>
      </c>
      <c r="T11562" t="s">
        <v>42065</v>
      </c>
    </row>
    <row r="11563" spans="1:20" customFormat="1" ht="15" x14ac:dyDescent="0.25">
      <c r="A11563" t="s">
        <v>35</v>
      </c>
      <c r="B11563" t="s">
        <v>61</v>
      </c>
      <c r="C11563" t="str">
        <f>"A0132868"</f>
        <v>A0132868</v>
      </c>
      <c r="D11563" t="s">
        <v>42066</v>
      </c>
      <c r="E11563" t="s">
        <v>42067</v>
      </c>
      <c r="F11563" t="s">
        <v>39970</v>
      </c>
      <c r="G11563" t="s">
        <v>65</v>
      </c>
      <c r="H11563">
        <v>44420</v>
      </c>
      <c r="I11563" t="s">
        <v>30</v>
      </c>
      <c r="J11563" t="s">
        <v>41</v>
      </c>
      <c r="K11563" t="s">
        <v>36814</v>
      </c>
      <c r="Q11563">
        <v>0</v>
      </c>
      <c r="R11563">
        <v>0</v>
      </c>
      <c r="S11563">
        <v>0</v>
      </c>
      <c r="T11563" t="s">
        <v>42068</v>
      </c>
    </row>
    <row r="11564" spans="1:20" customFormat="1" ht="15" x14ac:dyDescent="0.25">
      <c r="A11564" t="s">
        <v>35</v>
      </c>
      <c r="B11564" t="s">
        <v>61</v>
      </c>
      <c r="C11564" t="str">
        <f>"A0130645"</f>
        <v>A0130645</v>
      </c>
      <c r="D11564" t="s">
        <v>42069</v>
      </c>
      <c r="E11564" t="s">
        <v>42070</v>
      </c>
      <c r="F11564" t="s">
        <v>13072</v>
      </c>
      <c r="G11564" t="s">
        <v>71</v>
      </c>
      <c r="H11564">
        <v>53083</v>
      </c>
      <c r="I11564" t="s">
        <v>30</v>
      </c>
      <c r="J11564" t="s">
        <v>41</v>
      </c>
      <c r="K11564" t="s">
        <v>42</v>
      </c>
      <c r="Q11564">
        <v>0</v>
      </c>
      <c r="R11564">
        <v>150</v>
      </c>
      <c r="S11564">
        <v>150</v>
      </c>
      <c r="T11564" t="s">
        <v>42071</v>
      </c>
    </row>
    <row r="11565" spans="1:20" customFormat="1" ht="15" x14ac:dyDescent="0.25">
      <c r="A11565" t="s">
        <v>35</v>
      </c>
      <c r="B11565" t="s">
        <v>61</v>
      </c>
      <c r="C11565" t="str">
        <f>"A0128896"</f>
        <v>A0128896</v>
      </c>
      <c r="D11565" t="s">
        <v>42072</v>
      </c>
      <c r="E11565" t="s">
        <v>42073</v>
      </c>
      <c r="F11565" t="s">
        <v>9923</v>
      </c>
      <c r="G11565" t="s">
        <v>289</v>
      </c>
      <c r="H11565">
        <v>60124</v>
      </c>
      <c r="I11565" t="s">
        <v>30</v>
      </c>
      <c r="J11565" t="s">
        <v>41</v>
      </c>
      <c r="K11565" t="s">
        <v>42</v>
      </c>
      <c r="Q11565">
        <v>0</v>
      </c>
      <c r="R11565">
        <v>0</v>
      </c>
      <c r="S11565">
        <v>0</v>
      </c>
      <c r="T11565" t="s">
        <v>42074</v>
      </c>
    </row>
    <row r="11566" spans="1:20" customFormat="1" ht="15" x14ac:dyDescent="0.25">
      <c r="A11566" t="s">
        <v>35</v>
      </c>
      <c r="B11566" t="s">
        <v>61</v>
      </c>
      <c r="C11566" t="str">
        <f>"A0124175"</f>
        <v>A0124175</v>
      </c>
      <c r="D11566" t="s">
        <v>42075</v>
      </c>
      <c r="E11566" t="s">
        <v>42076</v>
      </c>
      <c r="F11566" t="s">
        <v>13792</v>
      </c>
      <c r="G11566" t="s">
        <v>29</v>
      </c>
      <c r="H11566">
        <v>22204</v>
      </c>
      <c r="I11566" t="s">
        <v>30</v>
      </c>
      <c r="J11566" t="s">
        <v>41</v>
      </c>
      <c r="K11566" t="s">
        <v>59</v>
      </c>
      <c r="Q11566">
        <v>0</v>
      </c>
      <c r="R11566">
        <v>12</v>
      </c>
      <c r="S11566">
        <v>12</v>
      </c>
      <c r="T11566" t="s">
        <v>40400</v>
      </c>
    </row>
    <row r="11567" spans="1:20" customFormat="1" ht="15" x14ac:dyDescent="0.25">
      <c r="A11567" t="s">
        <v>35</v>
      </c>
      <c r="B11567" t="s">
        <v>61</v>
      </c>
      <c r="C11567" t="str">
        <f>"A0124041"</f>
        <v>A0124041</v>
      </c>
      <c r="D11567" t="s">
        <v>42077</v>
      </c>
      <c r="E11567" t="s">
        <v>42078</v>
      </c>
      <c r="F11567" t="s">
        <v>8198</v>
      </c>
      <c r="G11567" t="s">
        <v>214</v>
      </c>
      <c r="H11567">
        <v>28803</v>
      </c>
      <c r="I11567" t="s">
        <v>30</v>
      </c>
      <c r="J11567" t="s">
        <v>41</v>
      </c>
      <c r="K11567" t="s">
        <v>59</v>
      </c>
      <c r="Q11567">
        <v>0</v>
      </c>
      <c r="R11567">
        <v>330</v>
      </c>
      <c r="S11567">
        <v>330</v>
      </c>
      <c r="T11567" t="s">
        <v>42079</v>
      </c>
    </row>
    <row r="11568" spans="1:20" customFormat="1" ht="15" x14ac:dyDescent="0.25">
      <c r="A11568" t="s">
        <v>35</v>
      </c>
      <c r="B11568" t="s">
        <v>61</v>
      </c>
      <c r="C11568" t="str">
        <f>"A0124042"</f>
        <v>A0124042</v>
      </c>
      <c r="D11568" t="s">
        <v>42080</v>
      </c>
      <c r="E11568" t="s">
        <v>42081</v>
      </c>
      <c r="F11568" t="s">
        <v>8198</v>
      </c>
      <c r="G11568" t="s">
        <v>214</v>
      </c>
      <c r="H11568">
        <v>28803</v>
      </c>
      <c r="I11568" t="s">
        <v>30</v>
      </c>
      <c r="J11568" t="s">
        <v>41</v>
      </c>
      <c r="K11568" t="s">
        <v>59</v>
      </c>
      <c r="Q11568">
        <v>0</v>
      </c>
      <c r="R11568">
        <v>330</v>
      </c>
      <c r="S11568">
        <v>330</v>
      </c>
      <c r="T11568" t="s">
        <v>42079</v>
      </c>
    </row>
    <row r="11569" spans="1:20" customFormat="1" ht="15" x14ac:dyDescent="0.25">
      <c r="A11569" t="s">
        <v>35</v>
      </c>
      <c r="B11569" t="s">
        <v>61</v>
      </c>
      <c r="C11569" t="str">
        <f>"A0127689"</f>
        <v>A0127689</v>
      </c>
      <c r="D11569" t="s">
        <v>42082</v>
      </c>
      <c r="E11569" t="s">
        <v>42083</v>
      </c>
      <c r="F11569" t="s">
        <v>451</v>
      </c>
      <c r="G11569" t="s">
        <v>117</v>
      </c>
      <c r="H11569">
        <v>48105</v>
      </c>
      <c r="I11569" t="s">
        <v>30</v>
      </c>
      <c r="J11569" t="s">
        <v>41</v>
      </c>
      <c r="K11569" t="s">
        <v>229</v>
      </c>
      <c r="Q11569">
        <v>0</v>
      </c>
      <c r="R11569">
        <v>250</v>
      </c>
      <c r="S11569">
        <v>250</v>
      </c>
      <c r="T11569" t="s">
        <v>42084</v>
      </c>
    </row>
    <row r="11570" spans="1:20" customFormat="1" ht="15" x14ac:dyDescent="0.25">
      <c r="A11570" t="s">
        <v>35</v>
      </c>
      <c r="B11570" t="s">
        <v>61</v>
      </c>
      <c r="C11570" t="str">
        <f>"A0123752"</f>
        <v>A0123752</v>
      </c>
      <c r="D11570" t="s">
        <v>42085</v>
      </c>
      <c r="E11570" t="s">
        <v>42086</v>
      </c>
      <c r="F11570" t="s">
        <v>32891</v>
      </c>
      <c r="G11570" t="s">
        <v>29</v>
      </c>
      <c r="H11570">
        <v>24083</v>
      </c>
      <c r="I11570" t="s">
        <v>30</v>
      </c>
      <c r="J11570" t="s">
        <v>41</v>
      </c>
      <c r="K11570" t="s">
        <v>59</v>
      </c>
      <c r="Q11570">
        <v>0</v>
      </c>
      <c r="R11570">
        <v>295</v>
      </c>
      <c r="S11570">
        <v>295</v>
      </c>
      <c r="T11570" t="s">
        <v>42087</v>
      </c>
    </row>
    <row r="11571" spans="1:20" customFormat="1" ht="15" x14ac:dyDescent="0.25">
      <c r="A11571" t="s">
        <v>35</v>
      </c>
      <c r="B11571" t="s">
        <v>61</v>
      </c>
      <c r="C11571" t="str">
        <f>"A0123331"</f>
        <v>A0123331</v>
      </c>
      <c r="D11571" t="s">
        <v>42088</v>
      </c>
      <c r="E11571" t="s">
        <v>42089</v>
      </c>
      <c r="F11571" t="s">
        <v>42090</v>
      </c>
      <c r="G11571" t="s">
        <v>214</v>
      </c>
      <c r="H11571">
        <v>28365</v>
      </c>
      <c r="I11571" t="s">
        <v>30</v>
      </c>
      <c r="J11571" t="s">
        <v>41</v>
      </c>
      <c r="K11571" t="s">
        <v>59</v>
      </c>
      <c r="Q11571">
        <v>0</v>
      </c>
      <c r="R11571">
        <v>1</v>
      </c>
      <c r="S11571">
        <v>1</v>
      </c>
      <c r="T11571" t="s">
        <v>42091</v>
      </c>
    </row>
    <row r="11572" spans="1:20" customFormat="1" ht="15" x14ac:dyDescent="0.25">
      <c r="A11572" t="s">
        <v>35</v>
      </c>
      <c r="B11572" t="s">
        <v>61</v>
      </c>
      <c r="C11572" t="str">
        <f>"A0123672"</f>
        <v>A0123672</v>
      </c>
      <c r="D11572" t="s">
        <v>42092</v>
      </c>
      <c r="E11572" t="s">
        <v>42093</v>
      </c>
      <c r="F11572" t="s">
        <v>1795</v>
      </c>
      <c r="G11572" t="s">
        <v>29</v>
      </c>
      <c r="H11572">
        <v>232261808</v>
      </c>
      <c r="I11572" t="s">
        <v>30</v>
      </c>
      <c r="J11572" t="s">
        <v>41</v>
      </c>
      <c r="K11572" t="s">
        <v>229</v>
      </c>
      <c r="Q11572">
        <v>0</v>
      </c>
      <c r="R11572">
        <v>195</v>
      </c>
      <c r="S11572">
        <v>195</v>
      </c>
      <c r="T11572" t="s">
        <v>42094</v>
      </c>
    </row>
    <row r="11573" spans="1:20" customFormat="1" ht="15" x14ac:dyDescent="0.25">
      <c r="A11573" t="s">
        <v>35</v>
      </c>
      <c r="B11573" t="s">
        <v>61</v>
      </c>
      <c r="C11573" t="str">
        <f>"A0132217"</f>
        <v>A0132217</v>
      </c>
      <c r="D11573" t="s">
        <v>42095</v>
      </c>
      <c r="E11573" t="s">
        <v>42096</v>
      </c>
      <c r="F11573" t="s">
        <v>42097</v>
      </c>
      <c r="G11573" t="s">
        <v>65</v>
      </c>
      <c r="H11573">
        <v>44452</v>
      </c>
      <c r="I11573" t="s">
        <v>30</v>
      </c>
      <c r="J11573" t="s">
        <v>41</v>
      </c>
      <c r="K11573" t="s">
        <v>59</v>
      </c>
      <c r="Q11573">
        <v>0</v>
      </c>
      <c r="R11573">
        <v>136</v>
      </c>
      <c r="S11573">
        <v>136</v>
      </c>
      <c r="T11573" t="s">
        <v>42098</v>
      </c>
    </row>
    <row r="11574" spans="1:20" customFormat="1" ht="15" x14ac:dyDescent="0.25">
      <c r="A11574" t="s">
        <v>35</v>
      </c>
      <c r="B11574" t="s">
        <v>61</v>
      </c>
      <c r="C11574" t="str">
        <f>"A0128639"</f>
        <v>A0128639</v>
      </c>
      <c r="D11574" t="s">
        <v>42099</v>
      </c>
      <c r="E11574" t="s">
        <v>42100</v>
      </c>
      <c r="F11574" t="s">
        <v>37257</v>
      </c>
      <c r="G11574" t="s">
        <v>840</v>
      </c>
      <c r="H11574">
        <v>42141</v>
      </c>
      <c r="I11574" t="s">
        <v>30</v>
      </c>
      <c r="J11574" t="s">
        <v>41</v>
      </c>
      <c r="K11574" t="s">
        <v>229</v>
      </c>
      <c r="Q11574">
        <v>0</v>
      </c>
      <c r="R11574">
        <v>60</v>
      </c>
      <c r="S11574">
        <v>60</v>
      </c>
      <c r="T11574" t="s">
        <v>42101</v>
      </c>
    </row>
    <row r="11575" spans="1:20" customFormat="1" ht="15" x14ac:dyDescent="0.25">
      <c r="A11575" t="s">
        <v>35</v>
      </c>
      <c r="B11575" t="s">
        <v>61</v>
      </c>
      <c r="C11575" t="str">
        <f>"A0130578"</f>
        <v>A0130578</v>
      </c>
      <c r="D11575" t="s">
        <v>42102</v>
      </c>
      <c r="E11575" t="s">
        <v>42103</v>
      </c>
      <c r="F11575" t="s">
        <v>42104</v>
      </c>
      <c r="G11575" t="s">
        <v>71</v>
      </c>
      <c r="H11575">
        <v>54871</v>
      </c>
      <c r="I11575" t="s">
        <v>30</v>
      </c>
      <c r="J11575" t="s">
        <v>41</v>
      </c>
      <c r="K11575" t="s">
        <v>59</v>
      </c>
      <c r="Q11575">
        <v>0</v>
      </c>
      <c r="R11575">
        <v>40</v>
      </c>
      <c r="S11575">
        <v>40</v>
      </c>
      <c r="T11575" t="s">
        <v>42105</v>
      </c>
    </row>
    <row r="11576" spans="1:20" customFormat="1" ht="15" x14ac:dyDescent="0.25">
      <c r="A11576" t="s">
        <v>35</v>
      </c>
      <c r="B11576" t="s">
        <v>61</v>
      </c>
      <c r="C11576" t="str">
        <f>"A0119261"</f>
        <v>A0119261</v>
      </c>
      <c r="D11576" t="s">
        <v>42106</v>
      </c>
      <c r="E11576" t="s">
        <v>42107</v>
      </c>
      <c r="F11576" t="s">
        <v>40354</v>
      </c>
      <c r="G11576" t="s">
        <v>110</v>
      </c>
      <c r="H11576">
        <v>93215</v>
      </c>
      <c r="I11576" t="s">
        <v>30</v>
      </c>
      <c r="J11576" t="s">
        <v>41</v>
      </c>
      <c r="K11576" t="s">
        <v>4020</v>
      </c>
      <c r="Q11576">
        <v>0</v>
      </c>
      <c r="R11576">
        <v>1</v>
      </c>
      <c r="S11576">
        <v>1</v>
      </c>
      <c r="T11576" t="s">
        <v>42108</v>
      </c>
    </row>
    <row r="11577" spans="1:20" customFormat="1" ht="15" x14ac:dyDescent="0.25">
      <c r="A11577" t="s">
        <v>35</v>
      </c>
      <c r="B11577" t="s">
        <v>61</v>
      </c>
      <c r="C11577" t="str">
        <f>"A0119004"</f>
        <v>A0119004</v>
      </c>
      <c r="D11577" t="s">
        <v>42109</v>
      </c>
      <c r="E11577" t="s">
        <v>42110</v>
      </c>
      <c r="F11577" t="s">
        <v>42111</v>
      </c>
      <c r="G11577" t="s">
        <v>110</v>
      </c>
      <c r="H11577">
        <v>90638</v>
      </c>
      <c r="I11577" t="s">
        <v>30</v>
      </c>
      <c r="J11577" t="s">
        <v>41</v>
      </c>
      <c r="K11577" t="s">
        <v>2463</v>
      </c>
      <c r="Q11577">
        <v>0</v>
      </c>
      <c r="R11577">
        <v>22</v>
      </c>
      <c r="S11577">
        <v>22</v>
      </c>
      <c r="T11577" t="s">
        <v>42112</v>
      </c>
    </row>
    <row r="11578" spans="1:20" customFormat="1" ht="15" x14ac:dyDescent="0.25">
      <c r="A11578" t="s">
        <v>35</v>
      </c>
      <c r="B11578" t="s">
        <v>61</v>
      </c>
      <c r="C11578" t="str">
        <f>"A0125728"</f>
        <v>A0125728</v>
      </c>
      <c r="D11578" t="s">
        <v>42113</v>
      </c>
      <c r="E11578" t="s">
        <v>42114</v>
      </c>
      <c r="F11578" t="s">
        <v>6768</v>
      </c>
      <c r="G11578" t="s">
        <v>29</v>
      </c>
      <c r="H11578">
        <v>24503</v>
      </c>
      <c r="I11578" t="s">
        <v>30</v>
      </c>
      <c r="J11578" t="s">
        <v>41</v>
      </c>
      <c r="K11578" t="s">
        <v>2463</v>
      </c>
      <c r="Q11578">
        <v>0</v>
      </c>
      <c r="R11578">
        <v>1</v>
      </c>
      <c r="S11578">
        <v>1</v>
      </c>
      <c r="T11578" t="s">
        <v>42115</v>
      </c>
    </row>
    <row r="11579" spans="1:20" customFormat="1" ht="15" x14ac:dyDescent="0.25">
      <c r="A11579" t="s">
        <v>35</v>
      </c>
      <c r="B11579" t="s">
        <v>61</v>
      </c>
      <c r="C11579" t="str">
        <f>"A0129249"</f>
        <v>A0129249</v>
      </c>
      <c r="D11579" t="s">
        <v>42116</v>
      </c>
      <c r="E11579" t="s">
        <v>42117</v>
      </c>
      <c r="F11579" t="s">
        <v>41211</v>
      </c>
      <c r="G11579" t="s">
        <v>289</v>
      </c>
      <c r="H11579">
        <v>62832</v>
      </c>
      <c r="I11579" t="s">
        <v>30</v>
      </c>
      <c r="J11579" t="s">
        <v>41</v>
      </c>
      <c r="K11579" t="s">
        <v>2760</v>
      </c>
      <c r="Q11579">
        <v>0</v>
      </c>
      <c r="R11579">
        <v>0</v>
      </c>
      <c r="S11579">
        <v>0</v>
      </c>
      <c r="T11579" t="s">
        <v>42118</v>
      </c>
    </row>
    <row r="11580" spans="1:20" customFormat="1" ht="15" x14ac:dyDescent="0.25">
      <c r="A11580" t="s">
        <v>35</v>
      </c>
      <c r="B11580" t="s">
        <v>61</v>
      </c>
      <c r="C11580" t="str">
        <f>"A0118759"</f>
        <v>A0118759</v>
      </c>
      <c r="D11580" t="s">
        <v>42119</v>
      </c>
      <c r="E11580" t="s">
        <v>42120</v>
      </c>
      <c r="F11580" t="s">
        <v>5467</v>
      </c>
      <c r="G11580" t="s">
        <v>110</v>
      </c>
      <c r="H11580">
        <v>959930000</v>
      </c>
      <c r="I11580" t="s">
        <v>30</v>
      </c>
      <c r="J11580" t="s">
        <v>41</v>
      </c>
      <c r="K11580" t="s">
        <v>59</v>
      </c>
      <c r="Q11580">
        <v>0</v>
      </c>
      <c r="R11580">
        <v>24</v>
      </c>
      <c r="S11580">
        <v>24</v>
      </c>
      <c r="T11580" t="s">
        <v>42121</v>
      </c>
    </row>
    <row r="11581" spans="1:20" customFormat="1" ht="15" x14ac:dyDescent="0.25">
      <c r="A11581" t="s">
        <v>35</v>
      </c>
      <c r="B11581" t="s">
        <v>61</v>
      </c>
      <c r="C11581" t="str">
        <f>"A0130750"</f>
        <v>A0130750</v>
      </c>
      <c r="D11581" t="s">
        <v>42122</v>
      </c>
      <c r="E11581" t="s">
        <v>42123</v>
      </c>
      <c r="F11581" t="s">
        <v>42124</v>
      </c>
      <c r="G11581" t="s">
        <v>144</v>
      </c>
      <c r="H11581">
        <v>58421</v>
      </c>
      <c r="I11581" t="s">
        <v>30</v>
      </c>
      <c r="J11581" t="s">
        <v>41</v>
      </c>
      <c r="K11581" t="s">
        <v>229</v>
      </c>
      <c r="Q11581">
        <v>0</v>
      </c>
      <c r="R11581">
        <v>60</v>
      </c>
      <c r="S11581">
        <v>60</v>
      </c>
      <c r="T11581" t="s">
        <v>42125</v>
      </c>
    </row>
    <row r="11582" spans="1:20" customFormat="1" ht="15" x14ac:dyDescent="0.25">
      <c r="A11582" t="s">
        <v>35</v>
      </c>
      <c r="B11582" t="s">
        <v>61</v>
      </c>
      <c r="C11582" t="str">
        <f>"A0124625"</f>
        <v>A0124625</v>
      </c>
      <c r="D11582" t="s">
        <v>42126</v>
      </c>
      <c r="E11582" t="s">
        <v>42127</v>
      </c>
      <c r="F11582" t="s">
        <v>9480</v>
      </c>
      <c r="G11582" t="s">
        <v>1369</v>
      </c>
      <c r="H11582">
        <v>38930</v>
      </c>
      <c r="I11582" t="s">
        <v>30</v>
      </c>
      <c r="J11582" t="s">
        <v>41</v>
      </c>
      <c r="K11582" t="s">
        <v>229</v>
      </c>
      <c r="Q11582">
        <v>0</v>
      </c>
      <c r="R11582">
        <v>180</v>
      </c>
      <c r="S11582">
        <v>180</v>
      </c>
      <c r="T11582" t="s">
        <v>42128</v>
      </c>
    </row>
    <row r="11583" spans="1:20" customFormat="1" ht="15" x14ac:dyDescent="0.25">
      <c r="A11583" t="s">
        <v>35</v>
      </c>
      <c r="B11583" t="s">
        <v>61</v>
      </c>
      <c r="C11583" t="str">
        <f>"A0128669"</f>
        <v>A0128669</v>
      </c>
      <c r="D11583" t="s">
        <v>42129</v>
      </c>
      <c r="E11583" t="s">
        <v>42130</v>
      </c>
      <c r="F11583" t="s">
        <v>42131</v>
      </c>
      <c r="G11583" t="s">
        <v>1170</v>
      </c>
      <c r="H11583">
        <v>70591</v>
      </c>
      <c r="I11583" t="s">
        <v>30</v>
      </c>
      <c r="J11583" t="s">
        <v>41</v>
      </c>
      <c r="K11583" t="s">
        <v>229</v>
      </c>
      <c r="Q11583">
        <v>0</v>
      </c>
      <c r="R11583">
        <v>132</v>
      </c>
      <c r="S11583">
        <v>132</v>
      </c>
      <c r="T11583" t="s">
        <v>42132</v>
      </c>
    </row>
    <row r="11584" spans="1:20" customFormat="1" ht="15" x14ac:dyDescent="0.25">
      <c r="A11584" t="s">
        <v>35</v>
      </c>
      <c r="B11584" t="s">
        <v>61</v>
      </c>
      <c r="C11584" t="str">
        <f>"A0118255"</f>
        <v>A0118255</v>
      </c>
      <c r="D11584" t="s">
        <v>42133</v>
      </c>
      <c r="E11584" t="s">
        <v>42134</v>
      </c>
      <c r="F11584" t="s">
        <v>42135</v>
      </c>
      <c r="G11584" t="s">
        <v>153</v>
      </c>
      <c r="H11584">
        <v>84078</v>
      </c>
      <c r="I11584" t="s">
        <v>30</v>
      </c>
      <c r="J11584" t="s">
        <v>41</v>
      </c>
      <c r="K11584" t="s">
        <v>2760</v>
      </c>
      <c r="Q11584">
        <v>0</v>
      </c>
      <c r="R11584">
        <v>0</v>
      </c>
      <c r="S11584">
        <v>0</v>
      </c>
      <c r="T11584" t="s">
        <v>42136</v>
      </c>
    </row>
    <row r="11585" spans="1:20" customFormat="1" ht="15" x14ac:dyDescent="0.25">
      <c r="A11585" t="s">
        <v>35</v>
      </c>
      <c r="B11585" t="s">
        <v>61</v>
      </c>
      <c r="C11585" t="str">
        <f>"A0121538"</f>
        <v>A0121538</v>
      </c>
      <c r="D11585" t="s">
        <v>42137</v>
      </c>
      <c r="E11585" t="s">
        <v>42138</v>
      </c>
      <c r="F11585" t="s">
        <v>7000</v>
      </c>
      <c r="G11585" t="s">
        <v>110</v>
      </c>
      <c r="H11585">
        <v>92270</v>
      </c>
      <c r="I11585" t="s">
        <v>30</v>
      </c>
      <c r="J11585" t="s">
        <v>41</v>
      </c>
      <c r="K11585" t="s">
        <v>2477</v>
      </c>
      <c r="Q11585">
        <v>0</v>
      </c>
      <c r="R11585">
        <v>18</v>
      </c>
      <c r="S11585">
        <v>18</v>
      </c>
      <c r="T11585" t="s">
        <v>42139</v>
      </c>
    </row>
    <row r="11586" spans="1:20" customFormat="1" ht="15" x14ac:dyDescent="0.25">
      <c r="A11586" t="s">
        <v>35</v>
      </c>
      <c r="B11586" t="s">
        <v>61</v>
      </c>
      <c r="C11586" t="str">
        <f>"A0121688"</f>
        <v>A0121688</v>
      </c>
      <c r="D11586" t="s">
        <v>42140</v>
      </c>
      <c r="E11586" t="s">
        <v>42141</v>
      </c>
      <c r="F11586" t="s">
        <v>1136</v>
      </c>
      <c r="G11586" t="s">
        <v>110</v>
      </c>
      <c r="H11586">
        <v>94303</v>
      </c>
      <c r="I11586" t="s">
        <v>30</v>
      </c>
      <c r="J11586" t="s">
        <v>41</v>
      </c>
      <c r="K11586" t="s">
        <v>42</v>
      </c>
      <c r="Q11586">
        <v>0</v>
      </c>
      <c r="R11586">
        <v>0</v>
      </c>
      <c r="S11586">
        <v>0</v>
      </c>
      <c r="T11586" t="s">
        <v>42142</v>
      </c>
    </row>
    <row r="11587" spans="1:20" customFormat="1" ht="15" x14ac:dyDescent="0.25">
      <c r="A11587" t="s">
        <v>35</v>
      </c>
      <c r="B11587" t="s">
        <v>61</v>
      </c>
      <c r="C11587" t="str">
        <f>"A0152951"</f>
        <v>A0152951</v>
      </c>
      <c r="D11587" t="s">
        <v>42143</v>
      </c>
      <c r="E11587" t="s">
        <v>42144</v>
      </c>
      <c r="F11587" t="s">
        <v>9836</v>
      </c>
      <c r="G11587" t="s">
        <v>110</v>
      </c>
      <c r="H11587">
        <v>91103</v>
      </c>
      <c r="I11587" t="s">
        <v>30</v>
      </c>
      <c r="J11587" t="s">
        <v>41</v>
      </c>
      <c r="K11587" t="s">
        <v>229</v>
      </c>
      <c r="Q11587">
        <v>0</v>
      </c>
      <c r="R11587">
        <v>96</v>
      </c>
      <c r="S11587">
        <v>96</v>
      </c>
      <c r="T11587" t="s">
        <v>42145</v>
      </c>
    </row>
    <row r="11588" spans="1:20" customFormat="1" ht="15" x14ac:dyDescent="0.25">
      <c r="A11588" t="s">
        <v>35</v>
      </c>
      <c r="B11588" t="s">
        <v>61</v>
      </c>
      <c r="C11588" t="str">
        <f>"A0150679"</f>
        <v>A0150679</v>
      </c>
      <c r="D11588" t="s">
        <v>42146</v>
      </c>
      <c r="E11588" t="s">
        <v>42147</v>
      </c>
      <c r="F11588" t="s">
        <v>10417</v>
      </c>
      <c r="G11588" t="s">
        <v>110</v>
      </c>
      <c r="H11588">
        <v>95945</v>
      </c>
      <c r="I11588" t="s">
        <v>30</v>
      </c>
      <c r="J11588" t="s">
        <v>41</v>
      </c>
      <c r="K11588" t="s">
        <v>229</v>
      </c>
      <c r="Q11588">
        <v>0</v>
      </c>
      <c r="R11588">
        <v>148</v>
      </c>
      <c r="S11588">
        <v>148</v>
      </c>
      <c r="T11588" t="s">
        <v>42148</v>
      </c>
    </row>
    <row r="11589" spans="1:20" customFormat="1" ht="15" x14ac:dyDescent="0.25">
      <c r="A11589" t="s">
        <v>35</v>
      </c>
      <c r="B11589" t="s">
        <v>61</v>
      </c>
      <c r="C11589" t="str">
        <f>"A0131038"</f>
        <v>A0131038</v>
      </c>
      <c r="D11589" t="s">
        <v>42149</v>
      </c>
      <c r="E11589" t="s">
        <v>42150</v>
      </c>
      <c r="F11589" t="s">
        <v>1755</v>
      </c>
      <c r="G11589" t="s">
        <v>137</v>
      </c>
      <c r="H11589">
        <v>658030000</v>
      </c>
      <c r="I11589" t="s">
        <v>30</v>
      </c>
      <c r="J11589" t="s">
        <v>41</v>
      </c>
      <c r="K11589" t="s">
        <v>1440</v>
      </c>
      <c r="Q11589">
        <v>0</v>
      </c>
      <c r="R11589">
        <v>31</v>
      </c>
      <c r="S11589">
        <v>31</v>
      </c>
      <c r="T11589" t="s">
        <v>42151</v>
      </c>
    </row>
    <row r="11590" spans="1:20" customFormat="1" ht="15" x14ac:dyDescent="0.25">
      <c r="A11590" t="s">
        <v>35</v>
      </c>
      <c r="B11590" t="s">
        <v>61</v>
      </c>
      <c r="C11590" t="str">
        <f>"A0133692"</f>
        <v>A0133692</v>
      </c>
      <c r="D11590" t="s">
        <v>42152</v>
      </c>
      <c r="E11590" t="s">
        <v>42153</v>
      </c>
      <c r="F11590" t="s">
        <v>23270</v>
      </c>
      <c r="G11590" t="s">
        <v>52</v>
      </c>
      <c r="H11590">
        <v>75070</v>
      </c>
      <c r="I11590" t="s">
        <v>30</v>
      </c>
      <c r="J11590" t="s">
        <v>41</v>
      </c>
      <c r="K11590" t="s">
        <v>391</v>
      </c>
      <c r="Q11590">
        <v>0</v>
      </c>
      <c r="R11590">
        <v>0</v>
      </c>
      <c r="S11590">
        <v>0</v>
      </c>
      <c r="T11590" t="s">
        <v>42154</v>
      </c>
    </row>
    <row r="11591" spans="1:20" customFormat="1" ht="15" x14ac:dyDescent="0.25">
      <c r="A11591" t="s">
        <v>35</v>
      </c>
      <c r="B11591" t="s">
        <v>61</v>
      </c>
      <c r="C11591" t="str">
        <f>"A0118396"</f>
        <v>A0118396</v>
      </c>
      <c r="D11591" t="s">
        <v>42155</v>
      </c>
      <c r="E11591" t="s">
        <v>42156</v>
      </c>
      <c r="F11591" t="s">
        <v>8043</v>
      </c>
      <c r="G11591" t="s">
        <v>110</v>
      </c>
      <c r="H11591">
        <v>95204</v>
      </c>
      <c r="I11591" t="s">
        <v>30</v>
      </c>
      <c r="J11591" t="s">
        <v>41</v>
      </c>
      <c r="K11591" t="s">
        <v>59</v>
      </c>
      <c r="Q11591">
        <v>0</v>
      </c>
      <c r="R11591">
        <v>32</v>
      </c>
      <c r="S11591">
        <v>32</v>
      </c>
      <c r="T11591" t="s">
        <v>42157</v>
      </c>
    </row>
    <row r="11592" spans="1:20" customFormat="1" ht="15" x14ac:dyDescent="0.25">
      <c r="A11592" t="s">
        <v>35</v>
      </c>
      <c r="B11592" t="s">
        <v>61</v>
      </c>
      <c r="C11592" t="str">
        <f>"A0118672"</f>
        <v>A0118672</v>
      </c>
      <c r="D11592" t="s">
        <v>42158</v>
      </c>
      <c r="E11592" t="s">
        <v>42159</v>
      </c>
      <c r="F11592" t="s">
        <v>9135</v>
      </c>
      <c r="G11592" t="s">
        <v>110</v>
      </c>
      <c r="H11592">
        <v>95112</v>
      </c>
      <c r="I11592" t="s">
        <v>30</v>
      </c>
      <c r="J11592" t="s">
        <v>41</v>
      </c>
      <c r="K11592" t="s">
        <v>59</v>
      </c>
      <c r="Q11592">
        <v>0</v>
      </c>
      <c r="R11592">
        <v>68</v>
      </c>
      <c r="S11592">
        <v>68</v>
      </c>
      <c r="T11592" t="s">
        <v>42160</v>
      </c>
    </row>
    <row r="11593" spans="1:20" customFormat="1" ht="15" x14ac:dyDescent="0.25">
      <c r="A11593" t="s">
        <v>35</v>
      </c>
      <c r="B11593" t="s">
        <v>61</v>
      </c>
      <c r="C11593" t="str">
        <f>"A0117896"</f>
        <v>A0117896</v>
      </c>
      <c r="D11593" t="s">
        <v>42161</v>
      </c>
      <c r="E11593" t="s">
        <v>42162</v>
      </c>
      <c r="F11593" t="s">
        <v>7523</v>
      </c>
      <c r="G11593" t="s">
        <v>110</v>
      </c>
      <c r="H11593">
        <v>94903</v>
      </c>
      <c r="I11593" t="s">
        <v>30</v>
      </c>
      <c r="J11593" t="s">
        <v>41</v>
      </c>
      <c r="K11593" t="s">
        <v>229</v>
      </c>
      <c r="Q11593">
        <v>0</v>
      </c>
      <c r="R11593">
        <v>28</v>
      </c>
      <c r="S11593">
        <v>28</v>
      </c>
      <c r="T11593" t="s">
        <v>42163</v>
      </c>
    </row>
    <row r="11594" spans="1:20" customFormat="1" ht="15" x14ac:dyDescent="0.25">
      <c r="A11594" t="s">
        <v>35</v>
      </c>
      <c r="B11594" t="s">
        <v>61</v>
      </c>
      <c r="C11594" t="str">
        <f>"A0123777"</f>
        <v>A0123777</v>
      </c>
      <c r="D11594" t="s">
        <v>42164</v>
      </c>
      <c r="E11594" t="s">
        <v>42165</v>
      </c>
      <c r="F11594" t="s">
        <v>42166</v>
      </c>
      <c r="G11594" t="s">
        <v>29</v>
      </c>
      <c r="H11594">
        <v>244220167</v>
      </c>
      <c r="I11594" t="s">
        <v>30</v>
      </c>
      <c r="J11594" t="s">
        <v>41</v>
      </c>
      <c r="K11594" t="s">
        <v>229</v>
      </c>
      <c r="Q11594">
        <v>0</v>
      </c>
      <c r="R11594">
        <v>105</v>
      </c>
      <c r="S11594">
        <v>105</v>
      </c>
      <c r="T11594" t="s">
        <v>42167</v>
      </c>
    </row>
    <row r="11595" spans="1:20" customFormat="1" ht="15" x14ac:dyDescent="0.25">
      <c r="A11595" t="s">
        <v>35</v>
      </c>
      <c r="B11595" t="s">
        <v>61</v>
      </c>
      <c r="C11595" t="str">
        <f>"A0125308"</f>
        <v>A0125308</v>
      </c>
      <c r="D11595" t="s">
        <v>42168</v>
      </c>
      <c r="E11595" t="s">
        <v>42169</v>
      </c>
      <c r="F11595" t="s">
        <v>130</v>
      </c>
      <c r="G11595" t="s">
        <v>40</v>
      </c>
      <c r="H11595">
        <v>73701</v>
      </c>
      <c r="I11595" t="s">
        <v>30</v>
      </c>
      <c r="J11595" t="s">
        <v>41</v>
      </c>
      <c r="K11595" t="s">
        <v>229</v>
      </c>
      <c r="Q11595">
        <v>0</v>
      </c>
      <c r="R11595">
        <v>175</v>
      </c>
      <c r="S11595">
        <v>175</v>
      </c>
      <c r="T11595" t="s">
        <v>42170</v>
      </c>
    </row>
    <row r="11596" spans="1:20" customFormat="1" ht="15" x14ac:dyDescent="0.25">
      <c r="A11596" t="s">
        <v>35</v>
      </c>
      <c r="B11596" t="s">
        <v>61</v>
      </c>
      <c r="C11596" t="str">
        <f>"A0123778"</f>
        <v>A0123778</v>
      </c>
      <c r="D11596" t="s">
        <v>42171</v>
      </c>
      <c r="E11596" t="s">
        <v>42172</v>
      </c>
      <c r="F11596" t="s">
        <v>42173</v>
      </c>
      <c r="G11596" t="s">
        <v>81</v>
      </c>
      <c r="H11596">
        <v>34787</v>
      </c>
      <c r="I11596" t="s">
        <v>30</v>
      </c>
      <c r="J11596" t="s">
        <v>41</v>
      </c>
      <c r="K11596" t="s">
        <v>482</v>
      </c>
      <c r="Q11596">
        <v>0</v>
      </c>
      <c r="R11596">
        <v>150</v>
      </c>
      <c r="S11596">
        <v>150</v>
      </c>
      <c r="T11596" t="s">
        <v>42174</v>
      </c>
    </row>
    <row r="11597" spans="1:20" customFormat="1" ht="15" x14ac:dyDescent="0.25">
      <c r="A11597" t="s">
        <v>35</v>
      </c>
      <c r="B11597" t="s">
        <v>61</v>
      </c>
      <c r="C11597" t="str">
        <f>"A0124189"</f>
        <v>A0124189</v>
      </c>
      <c r="D11597" t="s">
        <v>42175</v>
      </c>
      <c r="E11597" t="s">
        <v>42176</v>
      </c>
      <c r="F11597" t="s">
        <v>8647</v>
      </c>
      <c r="G11597" t="s">
        <v>338</v>
      </c>
      <c r="H11597">
        <v>8079</v>
      </c>
      <c r="I11597" t="s">
        <v>30</v>
      </c>
      <c r="J11597" t="s">
        <v>41</v>
      </c>
      <c r="K11597" t="s">
        <v>229</v>
      </c>
      <c r="Q11597">
        <v>0</v>
      </c>
      <c r="R11597">
        <v>116</v>
      </c>
      <c r="S11597">
        <v>116</v>
      </c>
      <c r="T11597" t="s">
        <v>42177</v>
      </c>
    </row>
    <row r="11598" spans="1:20" customFormat="1" ht="15" x14ac:dyDescent="0.25">
      <c r="A11598" t="s">
        <v>35</v>
      </c>
      <c r="B11598" t="s">
        <v>61</v>
      </c>
      <c r="C11598" t="str">
        <f>"A0121859"</f>
        <v>A0121859</v>
      </c>
      <c r="D11598" t="s">
        <v>42178</v>
      </c>
      <c r="E11598" t="s">
        <v>42179</v>
      </c>
      <c r="F11598" t="s">
        <v>42180</v>
      </c>
      <c r="G11598" t="s">
        <v>110</v>
      </c>
      <c r="H11598">
        <v>92220</v>
      </c>
      <c r="I11598" t="s">
        <v>30</v>
      </c>
      <c r="J11598" t="s">
        <v>41</v>
      </c>
      <c r="K11598" t="s">
        <v>482</v>
      </c>
      <c r="Q11598">
        <v>0</v>
      </c>
      <c r="R11598">
        <v>49</v>
      </c>
      <c r="S11598">
        <v>49</v>
      </c>
      <c r="T11598" t="s">
        <v>42181</v>
      </c>
    </row>
    <row r="11599" spans="1:20" customFormat="1" ht="15" x14ac:dyDescent="0.25">
      <c r="A11599" t="s">
        <v>35</v>
      </c>
      <c r="B11599" t="s">
        <v>61</v>
      </c>
      <c r="C11599" t="str">
        <f>"A0123644"</f>
        <v>A0123644</v>
      </c>
      <c r="D11599" t="s">
        <v>42182</v>
      </c>
      <c r="E11599" t="s">
        <v>42183</v>
      </c>
      <c r="F11599" t="s">
        <v>37790</v>
      </c>
      <c r="G11599" t="s">
        <v>29</v>
      </c>
      <c r="H11599">
        <v>23666</v>
      </c>
      <c r="I11599" t="s">
        <v>30</v>
      </c>
      <c r="J11599" t="s">
        <v>41</v>
      </c>
      <c r="K11599" t="s">
        <v>482</v>
      </c>
      <c r="Q11599">
        <v>0</v>
      </c>
      <c r="R11599">
        <v>40</v>
      </c>
      <c r="S11599">
        <v>40</v>
      </c>
      <c r="T11599" t="s">
        <v>42184</v>
      </c>
    </row>
    <row r="11600" spans="1:20" customFormat="1" ht="15" x14ac:dyDescent="0.25">
      <c r="A11600" t="s">
        <v>35</v>
      </c>
      <c r="B11600" t="s">
        <v>61</v>
      </c>
      <c r="C11600" t="str">
        <f>"A0128902"</f>
        <v>A0128902</v>
      </c>
      <c r="D11600" t="s">
        <v>42185</v>
      </c>
      <c r="E11600" t="s">
        <v>42186</v>
      </c>
      <c r="F11600" t="s">
        <v>42187</v>
      </c>
      <c r="G11600" t="s">
        <v>289</v>
      </c>
      <c r="H11600">
        <v>610720000</v>
      </c>
      <c r="I11600" t="s">
        <v>30</v>
      </c>
      <c r="J11600" t="s">
        <v>41</v>
      </c>
      <c r="K11600" t="s">
        <v>229</v>
      </c>
      <c r="Q11600">
        <v>0</v>
      </c>
      <c r="R11600">
        <v>55</v>
      </c>
      <c r="S11600">
        <v>55</v>
      </c>
      <c r="T11600" t="s">
        <v>42188</v>
      </c>
    </row>
    <row r="11601" spans="1:20" customFormat="1" ht="15" x14ac:dyDescent="0.25">
      <c r="A11601" t="s">
        <v>35</v>
      </c>
      <c r="B11601" t="s">
        <v>61</v>
      </c>
      <c r="C11601" t="str">
        <f>"A0129149"</f>
        <v>A0129149</v>
      </c>
      <c r="D11601" t="s">
        <v>42189</v>
      </c>
      <c r="E11601" t="s">
        <v>42190</v>
      </c>
      <c r="F11601" t="s">
        <v>21492</v>
      </c>
      <c r="G11601" t="s">
        <v>289</v>
      </c>
      <c r="H11601">
        <v>60016</v>
      </c>
      <c r="I11601" t="s">
        <v>30</v>
      </c>
      <c r="J11601" t="s">
        <v>41</v>
      </c>
      <c r="K11601" t="s">
        <v>229</v>
      </c>
      <c r="Q11601">
        <v>0</v>
      </c>
      <c r="R11601">
        <v>135</v>
      </c>
      <c r="S11601">
        <v>135</v>
      </c>
      <c r="T11601" t="s">
        <v>42191</v>
      </c>
    </row>
    <row r="11602" spans="1:20" customFormat="1" ht="15" x14ac:dyDescent="0.25">
      <c r="A11602" t="s">
        <v>35</v>
      </c>
      <c r="B11602" t="s">
        <v>61</v>
      </c>
      <c r="C11602" t="str">
        <f>"A0123779"</f>
        <v>A0123779</v>
      </c>
      <c r="D11602" t="s">
        <v>42192</v>
      </c>
      <c r="E11602" t="s">
        <v>42193</v>
      </c>
      <c r="F11602" t="s">
        <v>21128</v>
      </c>
      <c r="G11602" t="s">
        <v>289</v>
      </c>
      <c r="H11602">
        <v>61081</v>
      </c>
      <c r="I11602" t="s">
        <v>30</v>
      </c>
      <c r="J11602" t="s">
        <v>41</v>
      </c>
      <c r="K11602" t="s">
        <v>482</v>
      </c>
      <c r="Q11602">
        <v>0</v>
      </c>
      <c r="R11602">
        <v>100</v>
      </c>
      <c r="S11602">
        <v>100</v>
      </c>
      <c r="T11602" t="s">
        <v>42194</v>
      </c>
    </row>
    <row r="11603" spans="1:20" customFormat="1" ht="15" x14ac:dyDescent="0.25">
      <c r="A11603" t="s">
        <v>35</v>
      </c>
      <c r="B11603" t="s">
        <v>61</v>
      </c>
      <c r="C11603" t="str">
        <f>"A0130065"</f>
        <v>A0130065</v>
      </c>
      <c r="D11603" t="s">
        <v>42195</v>
      </c>
      <c r="E11603" t="s">
        <v>42196</v>
      </c>
      <c r="F11603" t="s">
        <v>25685</v>
      </c>
      <c r="G11603" t="s">
        <v>880</v>
      </c>
      <c r="H11603">
        <v>37013</v>
      </c>
      <c r="I11603" t="s">
        <v>30</v>
      </c>
      <c r="J11603" t="s">
        <v>41</v>
      </c>
      <c r="K11603" t="s">
        <v>229</v>
      </c>
      <c r="Q11603">
        <v>0</v>
      </c>
      <c r="R11603">
        <v>110</v>
      </c>
      <c r="S11603">
        <v>110</v>
      </c>
      <c r="T11603" t="s">
        <v>42197</v>
      </c>
    </row>
    <row r="11604" spans="1:20" customFormat="1" ht="15" x14ac:dyDescent="0.25">
      <c r="A11604" t="s">
        <v>35</v>
      </c>
      <c r="B11604" t="s">
        <v>61</v>
      </c>
      <c r="C11604" t="str">
        <f>"A0129191"</f>
        <v>A0129191</v>
      </c>
      <c r="D11604" t="s">
        <v>42198</v>
      </c>
      <c r="E11604" t="s">
        <v>42199</v>
      </c>
      <c r="F11604" t="s">
        <v>9939</v>
      </c>
      <c r="G11604" t="s">
        <v>289</v>
      </c>
      <c r="H11604">
        <v>61764</v>
      </c>
      <c r="I11604" t="s">
        <v>30</v>
      </c>
      <c r="J11604" t="s">
        <v>41</v>
      </c>
      <c r="K11604" t="s">
        <v>229</v>
      </c>
      <c r="Q11604">
        <v>0</v>
      </c>
      <c r="R11604">
        <v>60</v>
      </c>
      <c r="S11604">
        <v>60</v>
      </c>
      <c r="T11604" t="s">
        <v>42200</v>
      </c>
    </row>
    <row r="11605" spans="1:20" customFormat="1" ht="15" x14ac:dyDescent="0.25">
      <c r="A11605" t="s">
        <v>35</v>
      </c>
      <c r="B11605" t="s">
        <v>61</v>
      </c>
      <c r="C11605" t="str">
        <f>"A0129245"</f>
        <v>A0129245</v>
      </c>
      <c r="D11605" t="s">
        <v>42201</v>
      </c>
      <c r="E11605" t="s">
        <v>42202</v>
      </c>
      <c r="F11605" t="s">
        <v>6723</v>
      </c>
      <c r="G11605" t="s">
        <v>289</v>
      </c>
      <c r="H11605">
        <v>623010000</v>
      </c>
      <c r="I11605" t="s">
        <v>30</v>
      </c>
      <c r="J11605" t="s">
        <v>41</v>
      </c>
      <c r="K11605" t="s">
        <v>229</v>
      </c>
      <c r="Q11605">
        <v>0</v>
      </c>
      <c r="R11605">
        <v>275</v>
      </c>
      <c r="S11605">
        <v>275</v>
      </c>
      <c r="T11605" t="s">
        <v>42203</v>
      </c>
    </row>
    <row r="11606" spans="1:20" customFormat="1" ht="15" x14ac:dyDescent="0.25">
      <c r="A11606" t="s">
        <v>35</v>
      </c>
      <c r="B11606" t="s">
        <v>61</v>
      </c>
      <c r="C11606" t="str">
        <f>"A0131527"</f>
        <v>A0131527</v>
      </c>
      <c r="D11606" t="s">
        <v>42204</v>
      </c>
      <c r="E11606" t="s">
        <v>42205</v>
      </c>
      <c r="F11606" t="s">
        <v>12071</v>
      </c>
      <c r="G11606" t="s">
        <v>381</v>
      </c>
      <c r="H11606">
        <v>477110000</v>
      </c>
      <c r="I11606" t="s">
        <v>30</v>
      </c>
      <c r="J11606" t="s">
        <v>41</v>
      </c>
      <c r="K11606" t="s">
        <v>229</v>
      </c>
      <c r="Q11606">
        <v>0</v>
      </c>
      <c r="R11606">
        <v>100</v>
      </c>
      <c r="S11606">
        <v>100</v>
      </c>
      <c r="T11606" t="s">
        <v>42206</v>
      </c>
    </row>
    <row r="11607" spans="1:20" customFormat="1" ht="15" x14ac:dyDescent="0.25">
      <c r="A11607" t="s">
        <v>35</v>
      </c>
      <c r="B11607" t="s">
        <v>61</v>
      </c>
      <c r="C11607" t="str">
        <f>"A0128998"</f>
        <v>A0128998</v>
      </c>
      <c r="D11607" t="s">
        <v>42207</v>
      </c>
      <c r="E11607" t="s">
        <v>42199</v>
      </c>
      <c r="F11607" t="s">
        <v>9939</v>
      </c>
      <c r="G11607" t="s">
        <v>289</v>
      </c>
      <c r="H11607">
        <v>61740</v>
      </c>
      <c r="I11607" t="s">
        <v>30</v>
      </c>
      <c r="J11607" t="s">
        <v>41</v>
      </c>
      <c r="K11607" t="s">
        <v>229</v>
      </c>
      <c r="Q11607">
        <v>0</v>
      </c>
      <c r="R11607">
        <v>125</v>
      </c>
      <c r="S11607">
        <v>125</v>
      </c>
      <c r="T11607" t="s">
        <v>42208</v>
      </c>
    </row>
    <row r="11608" spans="1:20" customFormat="1" ht="15" x14ac:dyDescent="0.25">
      <c r="A11608" t="s">
        <v>35</v>
      </c>
      <c r="B11608" t="s">
        <v>61</v>
      </c>
      <c r="C11608" t="str">
        <f>"A0126180"</f>
        <v>A0126180</v>
      </c>
      <c r="D11608" t="s">
        <v>42209</v>
      </c>
      <c r="E11608" t="s">
        <v>42210</v>
      </c>
      <c r="F11608" t="s">
        <v>6220</v>
      </c>
      <c r="G11608" t="s">
        <v>197</v>
      </c>
      <c r="H11608">
        <v>86314</v>
      </c>
      <c r="I11608" t="s">
        <v>30</v>
      </c>
      <c r="J11608" t="s">
        <v>41</v>
      </c>
      <c r="K11608" t="s">
        <v>229</v>
      </c>
      <c r="Q11608">
        <v>0</v>
      </c>
      <c r="R11608">
        <v>0</v>
      </c>
      <c r="S11608">
        <v>0</v>
      </c>
      <c r="T11608" t="s">
        <v>42211</v>
      </c>
    </row>
    <row r="11609" spans="1:20" customFormat="1" ht="15" x14ac:dyDescent="0.25">
      <c r="A11609" t="s">
        <v>35</v>
      </c>
      <c r="B11609" t="s">
        <v>61</v>
      </c>
      <c r="C11609" t="str">
        <f>"A0126179"</f>
        <v>A0126179</v>
      </c>
      <c r="D11609" t="s">
        <v>42212</v>
      </c>
      <c r="E11609" t="s">
        <v>42213</v>
      </c>
      <c r="F11609" t="s">
        <v>6220</v>
      </c>
      <c r="G11609" t="s">
        <v>197</v>
      </c>
      <c r="H11609">
        <v>86301</v>
      </c>
      <c r="I11609" t="s">
        <v>30</v>
      </c>
      <c r="J11609" t="s">
        <v>41</v>
      </c>
      <c r="K11609" t="s">
        <v>229</v>
      </c>
      <c r="Q11609">
        <v>0</v>
      </c>
      <c r="R11609">
        <v>0</v>
      </c>
      <c r="S11609">
        <v>0</v>
      </c>
      <c r="T11609" t="s">
        <v>42211</v>
      </c>
    </row>
    <row r="11610" spans="1:20" customFormat="1" ht="15" x14ac:dyDescent="0.25">
      <c r="A11610" t="s">
        <v>35</v>
      </c>
      <c r="B11610" t="s">
        <v>61</v>
      </c>
      <c r="C11610" t="str">
        <f>"A0121445"</f>
        <v>A0121445</v>
      </c>
      <c r="D11610" t="s">
        <v>42214</v>
      </c>
      <c r="E11610" t="s">
        <v>42215</v>
      </c>
      <c r="F11610" t="s">
        <v>390</v>
      </c>
      <c r="G11610" t="s">
        <v>110</v>
      </c>
      <c r="H11610">
        <v>92019</v>
      </c>
      <c r="I11610" t="s">
        <v>30</v>
      </c>
      <c r="J11610" t="s">
        <v>41</v>
      </c>
      <c r="K11610" t="s">
        <v>59</v>
      </c>
      <c r="Q11610">
        <v>0</v>
      </c>
      <c r="R11610">
        <v>70</v>
      </c>
      <c r="S11610">
        <v>70</v>
      </c>
      <c r="T11610" t="s">
        <v>42216</v>
      </c>
    </row>
    <row r="11611" spans="1:20" customFormat="1" ht="15" x14ac:dyDescent="0.25">
      <c r="A11611" t="s">
        <v>35</v>
      </c>
      <c r="B11611" t="s">
        <v>61</v>
      </c>
      <c r="C11611" t="str">
        <f>"A0126178"</f>
        <v>A0126178</v>
      </c>
      <c r="D11611" t="s">
        <v>42217</v>
      </c>
      <c r="E11611" t="s">
        <v>42218</v>
      </c>
      <c r="F11611" t="s">
        <v>6220</v>
      </c>
      <c r="G11611" t="s">
        <v>197</v>
      </c>
      <c r="H11611">
        <v>86305</v>
      </c>
      <c r="I11611" t="s">
        <v>30</v>
      </c>
      <c r="J11611" t="s">
        <v>41</v>
      </c>
      <c r="K11611" t="s">
        <v>229</v>
      </c>
      <c r="Q11611">
        <v>0</v>
      </c>
      <c r="R11611">
        <v>0</v>
      </c>
      <c r="S11611">
        <v>0</v>
      </c>
      <c r="T11611" t="s">
        <v>42211</v>
      </c>
    </row>
    <row r="11612" spans="1:20" customFormat="1" ht="15" x14ac:dyDescent="0.25">
      <c r="A11612" t="s">
        <v>35</v>
      </c>
      <c r="B11612" t="s">
        <v>61</v>
      </c>
      <c r="C11612" t="str">
        <f>"A0128514"</f>
        <v>A0128514</v>
      </c>
      <c r="D11612" t="s">
        <v>42219</v>
      </c>
      <c r="E11612" t="s">
        <v>42220</v>
      </c>
      <c r="F11612" t="s">
        <v>84</v>
      </c>
      <c r="G11612" t="s">
        <v>85</v>
      </c>
      <c r="H11612">
        <v>71909</v>
      </c>
      <c r="I11612" t="s">
        <v>30</v>
      </c>
      <c r="J11612" t="s">
        <v>41</v>
      </c>
      <c r="K11612" t="s">
        <v>229</v>
      </c>
      <c r="Q11612">
        <v>0</v>
      </c>
      <c r="R11612">
        <v>1</v>
      </c>
      <c r="S11612">
        <v>1</v>
      </c>
      <c r="T11612" t="s">
        <v>42221</v>
      </c>
    </row>
    <row r="11613" spans="1:20" customFormat="1" ht="15" x14ac:dyDescent="0.25">
      <c r="A11613" t="s">
        <v>35</v>
      </c>
      <c r="B11613" t="s">
        <v>61</v>
      </c>
      <c r="C11613" t="str">
        <f>"A0131009"</f>
        <v>A0131009</v>
      </c>
      <c r="D11613" t="s">
        <v>17141</v>
      </c>
      <c r="E11613" t="s">
        <v>42222</v>
      </c>
      <c r="F11613" t="s">
        <v>9169</v>
      </c>
      <c r="G11613" t="s">
        <v>137</v>
      </c>
      <c r="H11613">
        <v>65084</v>
      </c>
      <c r="I11613" t="s">
        <v>30</v>
      </c>
      <c r="J11613" t="s">
        <v>41</v>
      </c>
      <c r="K11613" t="s">
        <v>229</v>
      </c>
      <c r="Q11613">
        <v>0</v>
      </c>
      <c r="R11613">
        <v>168</v>
      </c>
      <c r="S11613">
        <v>168</v>
      </c>
      <c r="T11613" t="s">
        <v>42223</v>
      </c>
    </row>
    <row r="11614" spans="1:20" customFormat="1" ht="15" x14ac:dyDescent="0.25">
      <c r="A11614" t="s">
        <v>35</v>
      </c>
      <c r="B11614" t="s">
        <v>61</v>
      </c>
      <c r="C11614" t="str">
        <f>"A0130903"</f>
        <v>A0130903</v>
      </c>
      <c r="D11614" t="s">
        <v>42224</v>
      </c>
      <c r="E11614" t="s">
        <v>42225</v>
      </c>
      <c r="F11614" t="s">
        <v>10174</v>
      </c>
      <c r="G11614" t="s">
        <v>85</v>
      </c>
      <c r="H11614">
        <v>722050000</v>
      </c>
      <c r="I11614" t="s">
        <v>30</v>
      </c>
      <c r="J11614" t="s">
        <v>41</v>
      </c>
      <c r="K11614" t="s">
        <v>59</v>
      </c>
      <c r="Q11614">
        <v>0</v>
      </c>
      <c r="R11614">
        <v>395</v>
      </c>
      <c r="S11614">
        <v>395</v>
      </c>
      <c r="T11614" t="s">
        <v>42226</v>
      </c>
    </row>
    <row r="11615" spans="1:20" customFormat="1" ht="15" x14ac:dyDescent="0.25">
      <c r="A11615" t="s">
        <v>35</v>
      </c>
      <c r="B11615" t="s">
        <v>61</v>
      </c>
      <c r="C11615" t="str">
        <f>"A0131650"</f>
        <v>A0131650</v>
      </c>
      <c r="D11615" t="s">
        <v>42227</v>
      </c>
      <c r="E11615" t="s">
        <v>42228</v>
      </c>
      <c r="F11615" t="s">
        <v>42229</v>
      </c>
      <c r="G11615" t="s">
        <v>65</v>
      </c>
      <c r="H11615">
        <v>44830</v>
      </c>
      <c r="I11615" t="s">
        <v>30</v>
      </c>
      <c r="J11615" t="s">
        <v>41</v>
      </c>
      <c r="K11615" t="s">
        <v>59</v>
      </c>
      <c r="Q11615">
        <v>0</v>
      </c>
      <c r="R11615">
        <v>155</v>
      </c>
      <c r="S11615">
        <v>155</v>
      </c>
      <c r="T11615" t="s">
        <v>42230</v>
      </c>
    </row>
    <row r="11616" spans="1:20" customFormat="1" ht="15" x14ac:dyDescent="0.25">
      <c r="A11616" t="s">
        <v>35</v>
      </c>
      <c r="B11616" t="s">
        <v>61</v>
      </c>
      <c r="C11616" t="str">
        <f>"A0118279"</f>
        <v>A0118279</v>
      </c>
      <c r="D11616" t="s">
        <v>42231</v>
      </c>
      <c r="E11616" t="s">
        <v>42232</v>
      </c>
      <c r="F11616" t="s">
        <v>7267</v>
      </c>
      <c r="G11616" t="s">
        <v>153</v>
      </c>
      <c r="H11616">
        <v>84117</v>
      </c>
      <c r="I11616" t="s">
        <v>30</v>
      </c>
      <c r="J11616" t="s">
        <v>41</v>
      </c>
      <c r="K11616" t="s">
        <v>456</v>
      </c>
      <c r="Q11616">
        <v>0</v>
      </c>
      <c r="R11616">
        <v>50</v>
      </c>
      <c r="S11616">
        <v>50</v>
      </c>
      <c r="T11616" t="s">
        <v>42233</v>
      </c>
    </row>
    <row r="11617" spans="1:20" customFormat="1" ht="15" x14ac:dyDescent="0.25">
      <c r="A11617" t="s">
        <v>35</v>
      </c>
      <c r="B11617" t="s">
        <v>61</v>
      </c>
      <c r="C11617" t="str">
        <f>"A0129063"</f>
        <v>A0129063</v>
      </c>
      <c r="D11617" t="s">
        <v>42234</v>
      </c>
      <c r="E11617" t="s">
        <v>42235</v>
      </c>
      <c r="F11617" t="s">
        <v>42236</v>
      </c>
      <c r="G11617" t="s">
        <v>289</v>
      </c>
      <c r="H11617">
        <v>60954</v>
      </c>
      <c r="I11617" t="s">
        <v>30</v>
      </c>
      <c r="J11617" t="s">
        <v>41</v>
      </c>
      <c r="K11617" t="s">
        <v>229</v>
      </c>
      <c r="Q11617">
        <v>0</v>
      </c>
      <c r="R11617">
        <v>125</v>
      </c>
      <c r="S11617">
        <v>125</v>
      </c>
      <c r="T11617" t="s">
        <v>42237</v>
      </c>
    </row>
    <row r="11618" spans="1:20" customFormat="1" ht="15" x14ac:dyDescent="0.25">
      <c r="A11618" t="s">
        <v>35</v>
      </c>
      <c r="B11618" t="s">
        <v>61</v>
      </c>
      <c r="C11618" t="str">
        <f>"A0123780"</f>
        <v>A0123780</v>
      </c>
      <c r="D11618" t="s">
        <v>42238</v>
      </c>
      <c r="E11618" t="s">
        <v>42239</v>
      </c>
      <c r="F11618" t="s">
        <v>20261</v>
      </c>
      <c r="G11618" t="s">
        <v>507</v>
      </c>
      <c r="H11618">
        <v>26003</v>
      </c>
      <c r="I11618" t="s">
        <v>30</v>
      </c>
      <c r="J11618" t="s">
        <v>41</v>
      </c>
      <c r="K11618" t="s">
        <v>482</v>
      </c>
      <c r="Q11618">
        <v>0</v>
      </c>
      <c r="R11618">
        <v>335</v>
      </c>
      <c r="S11618">
        <v>335</v>
      </c>
      <c r="T11618" t="s">
        <v>42240</v>
      </c>
    </row>
    <row r="11619" spans="1:20" customFormat="1" ht="15" x14ac:dyDescent="0.25">
      <c r="A11619" t="s">
        <v>35</v>
      </c>
      <c r="B11619" t="s">
        <v>61</v>
      </c>
      <c r="C11619" t="str">
        <f>"A0131068"</f>
        <v>A0131068</v>
      </c>
      <c r="D11619" t="s">
        <v>42241</v>
      </c>
      <c r="E11619" t="s">
        <v>42242</v>
      </c>
      <c r="F11619" t="s">
        <v>42243</v>
      </c>
      <c r="G11619" t="s">
        <v>137</v>
      </c>
      <c r="H11619">
        <v>656820000</v>
      </c>
      <c r="I11619" t="s">
        <v>30</v>
      </c>
      <c r="J11619" t="s">
        <v>41</v>
      </c>
      <c r="K11619" t="s">
        <v>229</v>
      </c>
      <c r="Q11619">
        <v>0</v>
      </c>
      <c r="R11619">
        <v>66</v>
      </c>
      <c r="S11619">
        <v>66</v>
      </c>
      <c r="T11619" t="s">
        <v>42244</v>
      </c>
    </row>
    <row r="11620" spans="1:20" customFormat="1" ht="15" x14ac:dyDescent="0.25">
      <c r="A11620" t="s">
        <v>35</v>
      </c>
      <c r="B11620" t="s">
        <v>61</v>
      </c>
      <c r="C11620" t="str">
        <f>"A0131833"</f>
        <v>A0131833</v>
      </c>
      <c r="D11620" t="s">
        <v>42245</v>
      </c>
      <c r="E11620" t="s">
        <v>42246</v>
      </c>
      <c r="F11620" t="s">
        <v>1755</v>
      </c>
      <c r="G11620" t="s">
        <v>65</v>
      </c>
      <c r="H11620">
        <v>45503</v>
      </c>
      <c r="I11620" t="s">
        <v>30</v>
      </c>
      <c r="J11620" t="s">
        <v>41</v>
      </c>
      <c r="K11620" t="s">
        <v>229</v>
      </c>
      <c r="Q11620">
        <v>0</v>
      </c>
      <c r="R11620">
        <v>81</v>
      </c>
      <c r="S11620">
        <v>81</v>
      </c>
      <c r="T11620" t="s">
        <v>42247</v>
      </c>
    </row>
    <row r="11621" spans="1:20" customFormat="1" ht="15" x14ac:dyDescent="0.25">
      <c r="A11621" t="s">
        <v>35</v>
      </c>
      <c r="B11621" t="s">
        <v>437</v>
      </c>
      <c r="C11621" t="str">
        <f>"A0133879"</f>
        <v>A0133879</v>
      </c>
      <c r="D11621" t="s">
        <v>42248</v>
      </c>
      <c r="E11621" t="s">
        <v>42249</v>
      </c>
      <c r="F11621" t="s">
        <v>42250</v>
      </c>
      <c r="G11621" t="s">
        <v>110</v>
      </c>
      <c r="H11621">
        <v>90245</v>
      </c>
      <c r="I11621" t="s">
        <v>30</v>
      </c>
      <c r="J11621" t="s">
        <v>441</v>
      </c>
      <c r="K11621" t="s">
        <v>442</v>
      </c>
      <c r="Q11621">
        <v>0</v>
      </c>
      <c r="R11621">
        <v>0</v>
      </c>
      <c r="S11621">
        <v>0</v>
      </c>
      <c r="T11621" t="s">
        <v>42251</v>
      </c>
    </row>
    <row r="11622" spans="1:20" customFormat="1" ht="15" x14ac:dyDescent="0.25">
      <c r="A11622" t="s">
        <v>35</v>
      </c>
      <c r="B11622" t="s">
        <v>437</v>
      </c>
      <c r="C11622" t="str">
        <f>"A0133876"</f>
        <v>A0133876</v>
      </c>
      <c r="D11622" t="s">
        <v>42252</v>
      </c>
      <c r="E11622" t="s">
        <v>42253</v>
      </c>
      <c r="F11622" t="s">
        <v>42254</v>
      </c>
      <c r="G11622" t="s">
        <v>110</v>
      </c>
      <c r="H11622">
        <v>90254</v>
      </c>
      <c r="I11622" t="s">
        <v>30</v>
      </c>
      <c r="J11622" t="s">
        <v>441</v>
      </c>
      <c r="K11622" t="s">
        <v>442</v>
      </c>
      <c r="Q11622">
        <v>0</v>
      </c>
      <c r="R11622">
        <v>0</v>
      </c>
      <c r="S11622">
        <v>0</v>
      </c>
      <c r="T11622" t="s">
        <v>42255</v>
      </c>
    </row>
    <row r="11623" spans="1:20" customFormat="1" ht="15" x14ac:dyDescent="0.25">
      <c r="A11623" t="s">
        <v>35</v>
      </c>
      <c r="B11623" t="s">
        <v>437</v>
      </c>
      <c r="C11623" t="str">
        <f>"A0133877"</f>
        <v>A0133877</v>
      </c>
      <c r="D11623" t="s">
        <v>42256</v>
      </c>
      <c r="E11623" t="s">
        <v>42257</v>
      </c>
      <c r="F11623" t="s">
        <v>42258</v>
      </c>
      <c r="G11623" t="s">
        <v>110</v>
      </c>
      <c r="H11623">
        <v>90276</v>
      </c>
      <c r="I11623" t="s">
        <v>30</v>
      </c>
      <c r="J11623" t="s">
        <v>441</v>
      </c>
      <c r="K11623" t="s">
        <v>442</v>
      </c>
      <c r="Q11623">
        <v>0</v>
      </c>
      <c r="R11623">
        <v>0</v>
      </c>
      <c r="S11623">
        <v>0</v>
      </c>
      <c r="T11623" t="s">
        <v>42259</v>
      </c>
    </row>
    <row r="11624" spans="1:20" customFormat="1" ht="15" x14ac:dyDescent="0.25">
      <c r="A11624" t="s">
        <v>35</v>
      </c>
      <c r="B11624" t="s">
        <v>437</v>
      </c>
      <c r="C11624" t="str">
        <f>"A0133875"</f>
        <v>A0133875</v>
      </c>
      <c r="D11624" t="s">
        <v>42260</v>
      </c>
      <c r="E11624" t="s">
        <v>42261</v>
      </c>
      <c r="F11624" t="s">
        <v>25169</v>
      </c>
      <c r="G11624" t="s">
        <v>110</v>
      </c>
      <c r="H11624">
        <v>90277</v>
      </c>
      <c r="I11624" t="s">
        <v>30</v>
      </c>
      <c r="J11624" t="s">
        <v>441</v>
      </c>
      <c r="K11624" t="s">
        <v>442</v>
      </c>
      <c r="Q11624">
        <v>0</v>
      </c>
      <c r="R11624">
        <v>0</v>
      </c>
      <c r="S11624">
        <v>0</v>
      </c>
      <c r="T11624" t="s">
        <v>42262</v>
      </c>
    </row>
    <row r="11625" spans="1:20" customFormat="1" ht="15" x14ac:dyDescent="0.25">
      <c r="A11625" t="s">
        <v>35</v>
      </c>
      <c r="B11625" t="s">
        <v>437</v>
      </c>
      <c r="C11625" t="str">
        <f>"A0133878"</f>
        <v>A0133878</v>
      </c>
      <c r="D11625" t="s">
        <v>42263</v>
      </c>
      <c r="E11625" t="s">
        <v>42264</v>
      </c>
      <c r="F11625" t="s">
        <v>42265</v>
      </c>
      <c r="G11625" t="s">
        <v>110</v>
      </c>
      <c r="H11625">
        <v>900640000</v>
      </c>
      <c r="I11625" t="s">
        <v>30</v>
      </c>
      <c r="J11625" t="s">
        <v>441</v>
      </c>
      <c r="K11625" t="s">
        <v>442</v>
      </c>
      <c r="Q11625">
        <v>0</v>
      </c>
      <c r="R11625">
        <v>0</v>
      </c>
      <c r="S11625">
        <v>0</v>
      </c>
      <c r="T11625" t="s">
        <v>42266</v>
      </c>
    </row>
    <row r="11626" spans="1:20" customFormat="1" ht="15" x14ac:dyDescent="0.25">
      <c r="A11626" t="s">
        <v>35</v>
      </c>
      <c r="B11626" t="s">
        <v>61</v>
      </c>
      <c r="C11626" t="str">
        <f>"A0132846"</f>
        <v>A0132846</v>
      </c>
      <c r="D11626" t="s">
        <v>42267</v>
      </c>
      <c r="E11626" t="s">
        <v>42268</v>
      </c>
      <c r="F11626" t="s">
        <v>64</v>
      </c>
      <c r="G11626" t="s">
        <v>65</v>
      </c>
      <c r="H11626">
        <v>43212</v>
      </c>
      <c r="I11626" t="s">
        <v>30</v>
      </c>
      <c r="J11626" t="s">
        <v>41</v>
      </c>
      <c r="K11626" t="s">
        <v>131</v>
      </c>
      <c r="Q11626">
        <v>0</v>
      </c>
      <c r="R11626">
        <v>23</v>
      </c>
      <c r="S11626">
        <v>23</v>
      </c>
      <c r="T11626" t="s">
        <v>42269</v>
      </c>
    </row>
    <row r="11627" spans="1:20" customFormat="1" ht="15" x14ac:dyDescent="0.25">
      <c r="A11627" t="s">
        <v>35</v>
      </c>
      <c r="B11627" t="s">
        <v>61</v>
      </c>
      <c r="C11627" t="str">
        <f>"A0123781"</f>
        <v>A0123781</v>
      </c>
      <c r="D11627" t="s">
        <v>42270</v>
      </c>
      <c r="E11627" t="s">
        <v>42271</v>
      </c>
      <c r="F11627" t="s">
        <v>42272</v>
      </c>
      <c r="G11627" t="s">
        <v>29</v>
      </c>
      <c r="H11627">
        <v>229429137</v>
      </c>
      <c r="I11627" t="s">
        <v>30</v>
      </c>
      <c r="J11627" t="s">
        <v>41</v>
      </c>
      <c r="K11627" t="s">
        <v>482</v>
      </c>
      <c r="Q11627">
        <v>0</v>
      </c>
      <c r="R11627">
        <v>36</v>
      </c>
      <c r="S11627">
        <v>36</v>
      </c>
      <c r="T11627" t="s">
        <v>42273</v>
      </c>
    </row>
    <row r="11628" spans="1:20" customFormat="1" ht="15" x14ac:dyDescent="0.25">
      <c r="A11628" t="s">
        <v>35</v>
      </c>
      <c r="B11628" t="s">
        <v>61</v>
      </c>
      <c r="C11628" t="str">
        <f>"A0121759"</f>
        <v>A0121759</v>
      </c>
      <c r="D11628" t="s">
        <v>42274</v>
      </c>
      <c r="E11628" t="s">
        <v>42275</v>
      </c>
      <c r="F11628" t="s">
        <v>36171</v>
      </c>
      <c r="G11628" t="s">
        <v>110</v>
      </c>
      <c r="H11628">
        <v>94061</v>
      </c>
      <c r="I11628" t="s">
        <v>30</v>
      </c>
      <c r="J11628" t="s">
        <v>41</v>
      </c>
      <c r="K11628" t="s">
        <v>482</v>
      </c>
      <c r="Q11628">
        <v>0</v>
      </c>
      <c r="R11628">
        <v>40</v>
      </c>
      <c r="S11628">
        <v>40</v>
      </c>
      <c r="T11628" t="s">
        <v>42276</v>
      </c>
    </row>
    <row r="11629" spans="1:20" customFormat="1" ht="15" x14ac:dyDescent="0.25">
      <c r="A11629" t="s">
        <v>35</v>
      </c>
      <c r="B11629" t="s">
        <v>61</v>
      </c>
      <c r="C11629" t="str">
        <f>"A0123782"</f>
        <v>A0123782</v>
      </c>
      <c r="D11629" t="s">
        <v>42277</v>
      </c>
      <c r="E11629" t="s">
        <v>42278</v>
      </c>
      <c r="F11629" t="s">
        <v>15444</v>
      </c>
      <c r="G11629" t="s">
        <v>846</v>
      </c>
      <c r="H11629">
        <v>30297</v>
      </c>
      <c r="I11629" t="s">
        <v>30</v>
      </c>
      <c r="J11629" t="s">
        <v>41</v>
      </c>
      <c r="K11629" t="s">
        <v>482</v>
      </c>
      <c r="Q11629">
        <v>0</v>
      </c>
      <c r="R11629">
        <v>48</v>
      </c>
      <c r="S11629">
        <v>48</v>
      </c>
      <c r="T11629" t="s">
        <v>42279</v>
      </c>
    </row>
    <row r="11630" spans="1:20" customFormat="1" ht="15" x14ac:dyDescent="0.25">
      <c r="A11630" t="s">
        <v>35</v>
      </c>
      <c r="B11630" t="s">
        <v>61</v>
      </c>
      <c r="C11630" t="str">
        <f>"A0132645"</f>
        <v>A0132645</v>
      </c>
      <c r="D11630" t="s">
        <v>42280</v>
      </c>
      <c r="E11630" t="s">
        <v>42281</v>
      </c>
      <c r="F11630" t="s">
        <v>647</v>
      </c>
      <c r="G11630" t="s">
        <v>65</v>
      </c>
      <c r="H11630">
        <v>45322</v>
      </c>
      <c r="I11630" t="s">
        <v>30</v>
      </c>
      <c r="J11630" t="s">
        <v>41</v>
      </c>
      <c r="K11630" t="s">
        <v>229</v>
      </c>
      <c r="Q11630">
        <v>0</v>
      </c>
      <c r="R11630">
        <v>126</v>
      </c>
      <c r="S11630">
        <v>126</v>
      </c>
      <c r="T11630" t="s">
        <v>42282</v>
      </c>
    </row>
    <row r="11631" spans="1:20" customFormat="1" ht="15" x14ac:dyDescent="0.25">
      <c r="A11631" t="s">
        <v>35</v>
      </c>
      <c r="B11631" t="s">
        <v>61</v>
      </c>
      <c r="C11631" t="str">
        <f>"A0121454"</f>
        <v>A0121454</v>
      </c>
      <c r="D11631" t="s">
        <v>42283</v>
      </c>
      <c r="E11631" t="s">
        <v>42284</v>
      </c>
      <c r="F11631" t="s">
        <v>9973</v>
      </c>
      <c r="G11631" t="s">
        <v>110</v>
      </c>
      <c r="H11631">
        <v>93657</v>
      </c>
      <c r="I11631" t="s">
        <v>30</v>
      </c>
      <c r="J11631" t="s">
        <v>41</v>
      </c>
      <c r="K11631" t="s">
        <v>59</v>
      </c>
      <c r="Q11631">
        <v>0</v>
      </c>
      <c r="R11631">
        <v>6</v>
      </c>
      <c r="S11631">
        <v>6</v>
      </c>
      <c r="T11631" t="s">
        <v>42285</v>
      </c>
    </row>
    <row r="11632" spans="1:20" customFormat="1" ht="15" x14ac:dyDescent="0.25">
      <c r="A11632" t="s">
        <v>35</v>
      </c>
      <c r="B11632" t="s">
        <v>61</v>
      </c>
      <c r="C11632" t="str">
        <f>"A0123783"</f>
        <v>A0123783</v>
      </c>
      <c r="D11632" t="s">
        <v>42286</v>
      </c>
      <c r="E11632" t="s">
        <v>42287</v>
      </c>
      <c r="F11632" t="s">
        <v>18818</v>
      </c>
      <c r="G11632" t="s">
        <v>29</v>
      </c>
      <c r="H11632">
        <v>24212</v>
      </c>
      <c r="I11632" t="s">
        <v>30</v>
      </c>
      <c r="J11632" t="s">
        <v>41</v>
      </c>
      <c r="K11632" t="s">
        <v>229</v>
      </c>
      <c r="Q11632">
        <v>0</v>
      </c>
      <c r="R11632">
        <v>120</v>
      </c>
      <c r="S11632">
        <v>120</v>
      </c>
      <c r="T11632" t="s">
        <v>42288</v>
      </c>
    </row>
    <row r="11633" spans="1:20" customFormat="1" ht="15" x14ac:dyDescent="0.25">
      <c r="A11633" t="s">
        <v>35</v>
      </c>
      <c r="B11633" t="s">
        <v>61</v>
      </c>
      <c r="C11633" t="str">
        <f>"A0130915"</f>
        <v>A0130915</v>
      </c>
      <c r="D11633" t="s">
        <v>42289</v>
      </c>
      <c r="E11633" t="s">
        <v>42290</v>
      </c>
      <c r="F11633" t="s">
        <v>7073</v>
      </c>
      <c r="G11633" t="s">
        <v>85</v>
      </c>
      <c r="H11633">
        <v>720150000</v>
      </c>
      <c r="I11633" t="s">
        <v>30</v>
      </c>
      <c r="J11633" t="s">
        <v>41</v>
      </c>
      <c r="K11633" t="s">
        <v>229</v>
      </c>
      <c r="Q11633">
        <v>0</v>
      </c>
      <c r="R11633">
        <v>120</v>
      </c>
      <c r="S11633">
        <v>120</v>
      </c>
      <c r="T11633" t="s">
        <v>42291</v>
      </c>
    </row>
    <row r="11634" spans="1:20" customFormat="1" ht="15" x14ac:dyDescent="0.25">
      <c r="A11634" t="s">
        <v>35</v>
      </c>
      <c r="B11634" t="s">
        <v>61</v>
      </c>
      <c r="C11634" t="str">
        <f>"A0123784"</f>
        <v>A0123784</v>
      </c>
      <c r="D11634" t="s">
        <v>42292</v>
      </c>
      <c r="E11634" t="s">
        <v>42293</v>
      </c>
      <c r="F11634" t="s">
        <v>6768</v>
      </c>
      <c r="G11634" t="s">
        <v>29</v>
      </c>
      <c r="H11634">
        <v>24505</v>
      </c>
      <c r="I11634" t="s">
        <v>30</v>
      </c>
      <c r="J11634" t="s">
        <v>41</v>
      </c>
      <c r="K11634" t="s">
        <v>59</v>
      </c>
      <c r="Q11634">
        <v>0</v>
      </c>
      <c r="R11634">
        <v>144</v>
      </c>
      <c r="S11634">
        <v>144</v>
      </c>
      <c r="T11634" t="s">
        <v>42294</v>
      </c>
    </row>
    <row r="11635" spans="1:20" customFormat="1" ht="15" x14ac:dyDescent="0.25">
      <c r="A11635" t="s">
        <v>35</v>
      </c>
      <c r="B11635" t="s">
        <v>61</v>
      </c>
      <c r="C11635" t="str">
        <f>"A0129145"</f>
        <v>A0129145</v>
      </c>
      <c r="D11635" t="s">
        <v>42295</v>
      </c>
      <c r="E11635" t="s">
        <v>42296</v>
      </c>
      <c r="F11635" t="s">
        <v>15435</v>
      </c>
      <c r="G11635" t="s">
        <v>289</v>
      </c>
      <c r="H11635">
        <v>61944</v>
      </c>
      <c r="I11635" t="s">
        <v>30</v>
      </c>
      <c r="J11635" t="s">
        <v>41</v>
      </c>
      <c r="K11635" t="s">
        <v>391</v>
      </c>
      <c r="Q11635">
        <v>0</v>
      </c>
      <c r="R11635">
        <v>88</v>
      </c>
      <c r="S11635">
        <v>88</v>
      </c>
      <c r="T11635" t="s">
        <v>42297</v>
      </c>
    </row>
    <row r="11636" spans="1:20" customFormat="1" ht="15" x14ac:dyDescent="0.25">
      <c r="A11636" t="s">
        <v>35</v>
      </c>
      <c r="B11636" t="s">
        <v>61</v>
      </c>
      <c r="C11636" t="str">
        <f>"A0117964"</f>
        <v>A0117964</v>
      </c>
      <c r="D11636" t="s">
        <v>42298</v>
      </c>
      <c r="E11636" t="s">
        <v>42299</v>
      </c>
      <c r="F11636" t="s">
        <v>42300</v>
      </c>
      <c r="G11636" t="s">
        <v>110</v>
      </c>
      <c r="H11636">
        <v>95334</v>
      </c>
      <c r="I11636" t="s">
        <v>30</v>
      </c>
      <c r="J11636" t="s">
        <v>41</v>
      </c>
      <c r="K11636" t="s">
        <v>229</v>
      </c>
      <c r="Q11636">
        <v>0</v>
      </c>
      <c r="R11636">
        <v>33</v>
      </c>
      <c r="S11636">
        <v>33</v>
      </c>
      <c r="T11636" t="s">
        <v>42301</v>
      </c>
    </row>
    <row r="11637" spans="1:20" customFormat="1" ht="15" x14ac:dyDescent="0.25">
      <c r="A11637" t="s">
        <v>35</v>
      </c>
      <c r="B11637" t="s">
        <v>61</v>
      </c>
      <c r="C11637" t="str">
        <f>"A0150580"</f>
        <v>A0150580</v>
      </c>
      <c r="D11637" t="s">
        <v>42302</v>
      </c>
      <c r="E11637" t="s">
        <v>42303</v>
      </c>
      <c r="F11637" t="s">
        <v>38287</v>
      </c>
      <c r="G11637" t="s">
        <v>103</v>
      </c>
      <c r="H11637">
        <v>18360</v>
      </c>
      <c r="I11637" t="s">
        <v>30</v>
      </c>
      <c r="J11637" t="s">
        <v>41</v>
      </c>
      <c r="K11637" t="s">
        <v>59</v>
      </c>
      <c r="Q11637">
        <v>0</v>
      </c>
      <c r="R11637">
        <v>75</v>
      </c>
      <c r="S11637">
        <v>75</v>
      </c>
      <c r="T11637" t="s">
        <v>42304</v>
      </c>
    </row>
    <row r="11638" spans="1:20" customFormat="1" ht="15" x14ac:dyDescent="0.25">
      <c r="A11638" t="s">
        <v>35</v>
      </c>
      <c r="B11638" t="s">
        <v>61</v>
      </c>
      <c r="C11638" t="str">
        <f>"A0155442"</f>
        <v>A0155442</v>
      </c>
      <c r="D11638" t="s">
        <v>42305</v>
      </c>
      <c r="E11638" t="s">
        <v>42306</v>
      </c>
      <c r="F11638" t="s">
        <v>9255</v>
      </c>
      <c r="G11638" t="s">
        <v>289</v>
      </c>
      <c r="H11638">
        <v>62521</v>
      </c>
      <c r="I11638" t="s">
        <v>30</v>
      </c>
      <c r="J11638" t="s">
        <v>41</v>
      </c>
      <c r="K11638" t="s">
        <v>6300</v>
      </c>
      <c r="Q11638">
        <v>0</v>
      </c>
      <c r="R11638">
        <v>50</v>
      </c>
      <c r="S11638">
        <v>50</v>
      </c>
      <c r="T11638" t="s">
        <v>42307</v>
      </c>
    </row>
    <row r="11639" spans="1:20" customFormat="1" ht="15" x14ac:dyDescent="0.25">
      <c r="A11639" t="s">
        <v>35</v>
      </c>
      <c r="B11639" t="s">
        <v>61</v>
      </c>
      <c r="C11639" t="str">
        <f>"A0124688"</f>
        <v>A0124688</v>
      </c>
      <c r="D11639" t="s">
        <v>42308</v>
      </c>
      <c r="E11639" t="s">
        <v>42309</v>
      </c>
      <c r="F11639" t="s">
        <v>11919</v>
      </c>
      <c r="G11639" t="s">
        <v>1369</v>
      </c>
      <c r="H11639">
        <v>386550000</v>
      </c>
      <c r="I11639" t="s">
        <v>30</v>
      </c>
      <c r="J11639" t="s">
        <v>41</v>
      </c>
      <c r="K11639" t="s">
        <v>229</v>
      </c>
      <c r="Q11639">
        <v>0</v>
      </c>
      <c r="R11639">
        <v>135</v>
      </c>
      <c r="S11639">
        <v>135</v>
      </c>
      <c r="T11639" t="s">
        <v>42310</v>
      </c>
    </row>
    <row r="11640" spans="1:20" customFormat="1" ht="15" x14ac:dyDescent="0.25">
      <c r="A11640" t="s">
        <v>35</v>
      </c>
      <c r="B11640" t="s">
        <v>61</v>
      </c>
      <c r="C11640" t="str">
        <f>"A0124689"</f>
        <v>A0124689</v>
      </c>
      <c r="D11640" t="s">
        <v>42311</v>
      </c>
      <c r="E11640" t="s">
        <v>42312</v>
      </c>
      <c r="F11640" t="s">
        <v>42313</v>
      </c>
      <c r="G11640" t="s">
        <v>1369</v>
      </c>
      <c r="H11640">
        <v>388630000</v>
      </c>
      <c r="I11640" t="s">
        <v>30</v>
      </c>
      <c r="J11640" t="s">
        <v>41</v>
      </c>
      <c r="K11640" t="s">
        <v>229</v>
      </c>
      <c r="Q11640">
        <v>0</v>
      </c>
      <c r="R11640">
        <v>60</v>
      </c>
      <c r="S11640">
        <v>60</v>
      </c>
      <c r="T11640" t="s">
        <v>42314</v>
      </c>
    </row>
    <row r="11641" spans="1:20" customFormat="1" ht="15" x14ac:dyDescent="0.25">
      <c r="A11641" t="s">
        <v>35</v>
      </c>
      <c r="B11641" t="s">
        <v>61</v>
      </c>
      <c r="C11641" t="str">
        <f>"A0124690"</f>
        <v>A0124690</v>
      </c>
      <c r="D11641" t="s">
        <v>42315</v>
      </c>
      <c r="E11641" t="s">
        <v>42316</v>
      </c>
      <c r="F11641" t="s">
        <v>11996</v>
      </c>
      <c r="G11641" t="s">
        <v>1369</v>
      </c>
      <c r="H11641">
        <v>386520000</v>
      </c>
      <c r="I11641" t="s">
        <v>30</v>
      </c>
      <c r="J11641" t="s">
        <v>41</v>
      </c>
      <c r="K11641" t="s">
        <v>229</v>
      </c>
      <c r="Q11641">
        <v>0</v>
      </c>
      <c r="R11641">
        <v>120</v>
      </c>
      <c r="S11641">
        <v>120</v>
      </c>
      <c r="T11641" t="s">
        <v>42317</v>
      </c>
    </row>
    <row r="11642" spans="1:20" customFormat="1" ht="15" x14ac:dyDescent="0.25">
      <c r="A11642" t="s">
        <v>35</v>
      </c>
      <c r="B11642" t="s">
        <v>61</v>
      </c>
      <c r="C11642" t="str">
        <f>"A0130063"</f>
        <v>A0130063</v>
      </c>
      <c r="D11642" t="s">
        <v>42318</v>
      </c>
      <c r="E11642" t="s">
        <v>42319</v>
      </c>
      <c r="F11642" t="s">
        <v>1501</v>
      </c>
      <c r="G11642" t="s">
        <v>880</v>
      </c>
      <c r="H11642">
        <v>38116</v>
      </c>
      <c r="I11642" t="s">
        <v>30</v>
      </c>
      <c r="J11642" t="s">
        <v>41</v>
      </c>
      <c r="K11642" t="s">
        <v>229</v>
      </c>
      <c r="Q11642">
        <v>0</v>
      </c>
      <c r="R11642">
        <v>240</v>
      </c>
      <c r="S11642">
        <v>240</v>
      </c>
      <c r="T11642" t="s">
        <v>42320</v>
      </c>
    </row>
    <row r="11643" spans="1:20" customFormat="1" ht="15" x14ac:dyDescent="0.25">
      <c r="A11643" t="s">
        <v>35</v>
      </c>
      <c r="B11643" t="s">
        <v>61</v>
      </c>
      <c r="C11643" t="str">
        <f>"A0154481"</f>
        <v>A0154481</v>
      </c>
      <c r="D11643" t="s">
        <v>42321</v>
      </c>
      <c r="E11643" t="s">
        <v>42322</v>
      </c>
      <c r="F11643" t="s">
        <v>3478</v>
      </c>
      <c r="G11643" t="s">
        <v>65</v>
      </c>
      <c r="H11643">
        <v>45406</v>
      </c>
      <c r="I11643" t="s">
        <v>30</v>
      </c>
      <c r="J11643" t="s">
        <v>41</v>
      </c>
      <c r="K11643" t="s">
        <v>229</v>
      </c>
      <c r="Q11643">
        <v>0</v>
      </c>
      <c r="R11643">
        <v>99</v>
      </c>
      <c r="S11643">
        <v>99</v>
      </c>
      <c r="T11643" t="s">
        <v>42323</v>
      </c>
    </row>
    <row r="11644" spans="1:20" customFormat="1" ht="15" x14ac:dyDescent="0.25">
      <c r="A11644" t="s">
        <v>35</v>
      </c>
      <c r="B11644" t="s">
        <v>61</v>
      </c>
      <c r="C11644" t="str">
        <f>"A0125237"</f>
        <v>A0125237</v>
      </c>
      <c r="D11644" t="s">
        <v>42324</v>
      </c>
      <c r="E11644" t="s">
        <v>42325</v>
      </c>
      <c r="F11644" t="s">
        <v>17370</v>
      </c>
      <c r="G11644" t="s">
        <v>40</v>
      </c>
      <c r="H11644">
        <v>730990000</v>
      </c>
      <c r="I11644" t="s">
        <v>30</v>
      </c>
      <c r="J11644" t="s">
        <v>41</v>
      </c>
      <c r="K11644" t="s">
        <v>229</v>
      </c>
      <c r="Q11644">
        <v>0</v>
      </c>
      <c r="R11644">
        <v>60</v>
      </c>
      <c r="S11644">
        <v>60</v>
      </c>
      <c r="T11644" t="s">
        <v>42326</v>
      </c>
    </row>
    <row r="11645" spans="1:20" customFormat="1" ht="15" x14ac:dyDescent="0.25">
      <c r="A11645" t="s">
        <v>35</v>
      </c>
      <c r="B11645" t="s">
        <v>61</v>
      </c>
      <c r="C11645" t="str">
        <f>"A0124486"</f>
        <v>A0124486</v>
      </c>
      <c r="D11645" t="s">
        <v>42327</v>
      </c>
      <c r="E11645" t="s">
        <v>42328</v>
      </c>
      <c r="F11645" t="s">
        <v>42329</v>
      </c>
      <c r="G11645" t="s">
        <v>1706</v>
      </c>
      <c r="H11645">
        <v>365410000</v>
      </c>
      <c r="I11645" t="s">
        <v>30</v>
      </c>
      <c r="J11645" t="s">
        <v>41</v>
      </c>
      <c r="K11645" t="s">
        <v>229</v>
      </c>
      <c r="Q11645">
        <v>0</v>
      </c>
      <c r="R11645">
        <v>92</v>
      </c>
      <c r="S11645">
        <v>92</v>
      </c>
      <c r="T11645" t="s">
        <v>42330</v>
      </c>
    </row>
    <row r="11646" spans="1:20" customFormat="1" ht="15" x14ac:dyDescent="0.25">
      <c r="A11646" t="s">
        <v>35</v>
      </c>
      <c r="B11646" t="s">
        <v>61</v>
      </c>
      <c r="C11646" t="str">
        <f>"A0124586"</f>
        <v>A0124586</v>
      </c>
      <c r="D11646" t="s">
        <v>42331</v>
      </c>
      <c r="E11646" t="s">
        <v>42332</v>
      </c>
      <c r="F11646" t="s">
        <v>42329</v>
      </c>
      <c r="G11646" t="s">
        <v>1706</v>
      </c>
      <c r="H11646">
        <v>365410000</v>
      </c>
      <c r="I11646" t="s">
        <v>30</v>
      </c>
      <c r="J11646" t="s">
        <v>41</v>
      </c>
      <c r="K11646" t="s">
        <v>229</v>
      </c>
      <c r="Q11646">
        <v>0</v>
      </c>
      <c r="R11646">
        <v>53</v>
      </c>
      <c r="S11646">
        <v>53</v>
      </c>
      <c r="T11646" t="s">
        <v>42330</v>
      </c>
    </row>
    <row r="11647" spans="1:20" customFormat="1" ht="15" x14ac:dyDescent="0.25">
      <c r="A11647" t="s">
        <v>35</v>
      </c>
      <c r="B11647" t="s">
        <v>61</v>
      </c>
      <c r="C11647" t="str">
        <f>"A0150470"</f>
        <v>A0150470</v>
      </c>
      <c r="D11647" t="s">
        <v>42333</v>
      </c>
      <c r="E11647" t="s">
        <v>42334</v>
      </c>
      <c r="F11647" t="s">
        <v>19594</v>
      </c>
      <c r="G11647" t="s">
        <v>289</v>
      </c>
      <c r="H11647">
        <v>62544</v>
      </c>
      <c r="I11647" t="s">
        <v>30</v>
      </c>
      <c r="J11647" t="s">
        <v>41</v>
      </c>
      <c r="K11647" t="s">
        <v>229</v>
      </c>
      <c r="Q11647">
        <v>0</v>
      </c>
      <c r="R11647">
        <v>57</v>
      </c>
      <c r="S11647">
        <v>57</v>
      </c>
      <c r="T11647" t="s">
        <v>42335</v>
      </c>
    </row>
    <row r="11648" spans="1:20" customFormat="1" ht="15" x14ac:dyDescent="0.25">
      <c r="A11648" t="s">
        <v>35</v>
      </c>
      <c r="B11648" t="s">
        <v>61</v>
      </c>
      <c r="C11648" t="str">
        <f>"A0128570"</f>
        <v>A0128570</v>
      </c>
      <c r="D11648" t="s">
        <v>42336</v>
      </c>
      <c r="E11648" t="s">
        <v>42337</v>
      </c>
      <c r="F11648" t="s">
        <v>42338</v>
      </c>
      <c r="G11648" t="s">
        <v>840</v>
      </c>
      <c r="H11648">
        <v>41031</v>
      </c>
      <c r="I11648" t="s">
        <v>30</v>
      </c>
      <c r="J11648" t="s">
        <v>41</v>
      </c>
      <c r="K11648" t="s">
        <v>229</v>
      </c>
      <c r="Q11648">
        <v>0</v>
      </c>
      <c r="R11648">
        <v>54</v>
      </c>
      <c r="S11648">
        <v>54</v>
      </c>
      <c r="T11648" t="s">
        <v>42339</v>
      </c>
    </row>
    <row r="11649" spans="1:20" customFormat="1" ht="15" x14ac:dyDescent="0.25">
      <c r="A11649" t="s">
        <v>35</v>
      </c>
      <c r="B11649" t="s">
        <v>61</v>
      </c>
      <c r="C11649" t="str">
        <f>"A0125265"</f>
        <v>A0125265</v>
      </c>
      <c r="D11649" t="s">
        <v>42340</v>
      </c>
      <c r="E11649" t="s">
        <v>42341</v>
      </c>
      <c r="F11649" t="s">
        <v>42342</v>
      </c>
      <c r="G11649" t="s">
        <v>40</v>
      </c>
      <c r="H11649">
        <v>743310000</v>
      </c>
      <c r="I11649" t="s">
        <v>30</v>
      </c>
      <c r="J11649" t="s">
        <v>41</v>
      </c>
      <c r="K11649" t="s">
        <v>6300</v>
      </c>
      <c r="Q11649">
        <v>0</v>
      </c>
      <c r="R11649">
        <v>41</v>
      </c>
      <c r="S11649">
        <v>41</v>
      </c>
      <c r="T11649" t="s">
        <v>42343</v>
      </c>
    </row>
    <row r="11650" spans="1:20" customFormat="1" ht="15" x14ac:dyDescent="0.25">
      <c r="A11650" t="s">
        <v>35</v>
      </c>
      <c r="B11650" t="s">
        <v>61</v>
      </c>
      <c r="C11650" t="str">
        <f>"A0125266"</f>
        <v>A0125266</v>
      </c>
      <c r="D11650" t="s">
        <v>42344</v>
      </c>
      <c r="E11650" t="s">
        <v>42345</v>
      </c>
      <c r="F11650" t="s">
        <v>42346</v>
      </c>
      <c r="G11650" t="s">
        <v>40</v>
      </c>
      <c r="H11650">
        <v>74048</v>
      </c>
      <c r="I11650" t="s">
        <v>30</v>
      </c>
      <c r="J11650" t="s">
        <v>41</v>
      </c>
      <c r="K11650" t="s">
        <v>290</v>
      </c>
      <c r="Q11650">
        <v>0</v>
      </c>
      <c r="R11650">
        <v>1</v>
      </c>
      <c r="S11650">
        <v>1</v>
      </c>
      <c r="T11650" t="s">
        <v>42347</v>
      </c>
    </row>
    <row r="11651" spans="1:20" customFormat="1" ht="15" x14ac:dyDescent="0.25">
      <c r="A11651" t="s">
        <v>35</v>
      </c>
      <c r="B11651" t="s">
        <v>61</v>
      </c>
      <c r="C11651" t="str">
        <f>"A0123785"</f>
        <v>A0123785</v>
      </c>
      <c r="D11651" t="s">
        <v>42348</v>
      </c>
      <c r="E11651" t="s">
        <v>42349</v>
      </c>
      <c r="F11651" t="s">
        <v>42350</v>
      </c>
      <c r="G11651" t="s">
        <v>81</v>
      </c>
      <c r="H11651">
        <v>34957</v>
      </c>
      <c r="I11651" t="s">
        <v>30</v>
      </c>
      <c r="J11651" t="s">
        <v>41</v>
      </c>
      <c r="K11651" t="s">
        <v>482</v>
      </c>
      <c r="Q11651">
        <v>0</v>
      </c>
      <c r="R11651">
        <v>62</v>
      </c>
      <c r="S11651">
        <v>62</v>
      </c>
      <c r="T11651" t="s">
        <v>42351</v>
      </c>
    </row>
    <row r="11652" spans="1:20" customFormat="1" ht="15" x14ac:dyDescent="0.25">
      <c r="A11652" t="s">
        <v>35</v>
      </c>
      <c r="B11652" t="s">
        <v>61</v>
      </c>
      <c r="C11652" t="str">
        <f>"A0123786"</f>
        <v>A0123786</v>
      </c>
      <c r="D11652" t="s">
        <v>42352</v>
      </c>
      <c r="E11652" t="s">
        <v>42353</v>
      </c>
      <c r="F11652" t="s">
        <v>35497</v>
      </c>
      <c r="G11652" t="s">
        <v>81</v>
      </c>
      <c r="H11652">
        <v>34974</v>
      </c>
      <c r="I11652" t="s">
        <v>30</v>
      </c>
      <c r="J11652" t="s">
        <v>41</v>
      </c>
      <c r="K11652" t="s">
        <v>59</v>
      </c>
      <c r="Q11652">
        <v>0</v>
      </c>
      <c r="R11652">
        <v>60</v>
      </c>
      <c r="S11652">
        <v>60</v>
      </c>
      <c r="T11652" t="s">
        <v>42354</v>
      </c>
    </row>
    <row r="11653" spans="1:20" customFormat="1" ht="15" x14ac:dyDescent="0.25">
      <c r="A11653" t="s">
        <v>35</v>
      </c>
      <c r="B11653" t="s">
        <v>61</v>
      </c>
      <c r="C11653" t="str">
        <f>"A0123787"</f>
        <v>A0123787</v>
      </c>
      <c r="D11653" t="s">
        <v>42355</v>
      </c>
      <c r="E11653" t="s">
        <v>42356</v>
      </c>
      <c r="F11653" t="s">
        <v>24310</v>
      </c>
      <c r="G11653" t="s">
        <v>81</v>
      </c>
      <c r="H11653">
        <v>34990</v>
      </c>
      <c r="I11653" t="s">
        <v>30</v>
      </c>
      <c r="J11653" t="s">
        <v>41</v>
      </c>
      <c r="K11653" t="s">
        <v>482</v>
      </c>
      <c r="Q11653">
        <v>0</v>
      </c>
      <c r="R11653">
        <v>78</v>
      </c>
      <c r="S11653">
        <v>78</v>
      </c>
    </row>
    <row r="11654" spans="1:20" customFormat="1" ht="15" x14ac:dyDescent="0.25">
      <c r="A11654" t="s">
        <v>35</v>
      </c>
      <c r="B11654" t="s">
        <v>61</v>
      </c>
      <c r="C11654" t="str">
        <f>"A0154311"</f>
        <v>A0154311</v>
      </c>
      <c r="D11654" t="s">
        <v>42357</v>
      </c>
      <c r="E11654" t="s">
        <v>42358</v>
      </c>
      <c r="F11654" t="s">
        <v>9607</v>
      </c>
      <c r="G11654" t="s">
        <v>117</v>
      </c>
      <c r="H11654">
        <v>49503</v>
      </c>
      <c r="I11654" t="s">
        <v>30</v>
      </c>
      <c r="J11654" t="s">
        <v>41</v>
      </c>
      <c r="K11654" t="s">
        <v>391</v>
      </c>
      <c r="Q11654">
        <v>0</v>
      </c>
      <c r="R11654">
        <v>0</v>
      </c>
      <c r="S11654">
        <v>0</v>
      </c>
      <c r="T11654" t="s">
        <v>42359</v>
      </c>
    </row>
    <row r="11655" spans="1:20" customFormat="1" ht="15" x14ac:dyDescent="0.25">
      <c r="A11655" t="s">
        <v>35</v>
      </c>
      <c r="B11655" t="s">
        <v>106</v>
      </c>
      <c r="C11655" t="str">
        <f>"A0135385"</f>
        <v>A0135385</v>
      </c>
      <c r="D11655" t="s">
        <v>42360</v>
      </c>
      <c r="E11655" t="s">
        <v>42361</v>
      </c>
      <c r="F11655" t="s">
        <v>2483</v>
      </c>
      <c r="G11655" t="s">
        <v>433</v>
      </c>
      <c r="H11655">
        <v>83402</v>
      </c>
      <c r="I11655" t="s">
        <v>30</v>
      </c>
      <c r="J11655" t="s">
        <v>111</v>
      </c>
      <c r="K11655" t="s">
        <v>42</v>
      </c>
      <c r="Q11655">
        <v>0</v>
      </c>
      <c r="R11655">
        <v>0</v>
      </c>
      <c r="S11655">
        <v>0</v>
      </c>
      <c r="T11655" t="s">
        <v>42362</v>
      </c>
    </row>
    <row r="11656" spans="1:20" customFormat="1" ht="15" x14ac:dyDescent="0.25">
      <c r="A11656" t="s">
        <v>35</v>
      </c>
      <c r="B11656" t="s">
        <v>61</v>
      </c>
      <c r="C11656" t="str">
        <f>"A0123788"</f>
        <v>A0123788</v>
      </c>
      <c r="D11656" t="s">
        <v>42363</v>
      </c>
      <c r="E11656" t="s">
        <v>42364</v>
      </c>
      <c r="F11656" t="s">
        <v>42365</v>
      </c>
      <c r="G11656" t="s">
        <v>289</v>
      </c>
      <c r="H11656">
        <v>61554</v>
      </c>
      <c r="I11656" t="s">
        <v>30</v>
      </c>
      <c r="J11656" t="s">
        <v>41</v>
      </c>
      <c r="K11656" t="s">
        <v>59</v>
      </c>
      <c r="Q11656">
        <v>0</v>
      </c>
      <c r="R11656">
        <v>61</v>
      </c>
      <c r="S11656">
        <v>61</v>
      </c>
      <c r="T11656" t="s">
        <v>42366</v>
      </c>
    </row>
    <row r="11657" spans="1:20" customFormat="1" ht="15" x14ac:dyDescent="0.25">
      <c r="A11657" t="s">
        <v>35</v>
      </c>
      <c r="B11657" t="s">
        <v>61</v>
      </c>
      <c r="C11657" t="str">
        <f>"A0150787"</f>
        <v>A0150787</v>
      </c>
      <c r="D11657" t="s">
        <v>42367</v>
      </c>
      <c r="E11657" t="s">
        <v>42368</v>
      </c>
      <c r="F11657" t="s">
        <v>9873</v>
      </c>
      <c r="G11657" t="s">
        <v>110</v>
      </c>
      <c r="H11657">
        <v>93612</v>
      </c>
      <c r="I11657" t="s">
        <v>30</v>
      </c>
      <c r="J11657" t="s">
        <v>41</v>
      </c>
      <c r="K11657" t="s">
        <v>229</v>
      </c>
      <c r="Q11657">
        <v>0</v>
      </c>
      <c r="R11657">
        <v>18</v>
      </c>
      <c r="S11657">
        <v>18</v>
      </c>
      <c r="T11657" t="s">
        <v>42369</v>
      </c>
    </row>
    <row r="11658" spans="1:20" customFormat="1" ht="15" x14ac:dyDescent="0.25">
      <c r="A11658" t="s">
        <v>35</v>
      </c>
      <c r="B11658" t="s">
        <v>61</v>
      </c>
      <c r="C11658" t="str">
        <f>"A0130282"</f>
        <v>A0130282</v>
      </c>
      <c r="D11658" t="s">
        <v>42370</v>
      </c>
      <c r="E11658" t="s">
        <v>42371</v>
      </c>
      <c r="F11658" t="s">
        <v>42372</v>
      </c>
      <c r="G11658" t="s">
        <v>1898</v>
      </c>
      <c r="H11658">
        <v>501580000</v>
      </c>
      <c r="I11658" t="s">
        <v>30</v>
      </c>
      <c r="J11658" t="s">
        <v>41</v>
      </c>
      <c r="K11658" t="s">
        <v>229</v>
      </c>
      <c r="Q11658">
        <v>0</v>
      </c>
      <c r="R11658">
        <v>129</v>
      </c>
      <c r="S11658">
        <v>129</v>
      </c>
      <c r="T11658" t="s">
        <v>42373</v>
      </c>
    </row>
    <row r="11659" spans="1:20" customFormat="1" ht="15" x14ac:dyDescent="0.25">
      <c r="A11659" t="s">
        <v>35</v>
      </c>
      <c r="B11659" t="s">
        <v>61</v>
      </c>
      <c r="C11659" t="str">
        <f>"A0121402"</f>
        <v>A0121402</v>
      </c>
      <c r="D11659" t="s">
        <v>42374</v>
      </c>
      <c r="E11659" t="s">
        <v>42375</v>
      </c>
      <c r="F11659" t="s">
        <v>4288</v>
      </c>
      <c r="G11659" t="s">
        <v>110</v>
      </c>
      <c r="H11659">
        <v>92507</v>
      </c>
      <c r="I11659" t="s">
        <v>30</v>
      </c>
      <c r="J11659" t="s">
        <v>41</v>
      </c>
      <c r="K11659" t="s">
        <v>2477</v>
      </c>
      <c r="Q11659">
        <v>0</v>
      </c>
      <c r="R11659">
        <v>82</v>
      </c>
      <c r="S11659">
        <v>82</v>
      </c>
      <c r="T11659" t="s">
        <v>42376</v>
      </c>
    </row>
    <row r="11660" spans="1:20" customFormat="1" ht="15" x14ac:dyDescent="0.25">
      <c r="A11660" t="s">
        <v>35</v>
      </c>
      <c r="B11660" t="s">
        <v>61</v>
      </c>
      <c r="C11660" t="str">
        <f>"A0133206"</f>
        <v>A0133206</v>
      </c>
      <c r="D11660" t="s">
        <v>42377</v>
      </c>
      <c r="E11660" t="s">
        <v>42378</v>
      </c>
      <c r="F11660" t="s">
        <v>42379</v>
      </c>
      <c r="G11660" t="s">
        <v>52</v>
      </c>
      <c r="H11660">
        <v>760500000</v>
      </c>
      <c r="I11660" t="s">
        <v>30</v>
      </c>
      <c r="J11660" t="s">
        <v>41</v>
      </c>
      <c r="K11660" t="s">
        <v>229</v>
      </c>
      <c r="Q11660">
        <v>0</v>
      </c>
      <c r="R11660">
        <v>75</v>
      </c>
      <c r="S11660">
        <v>75</v>
      </c>
      <c r="T11660" t="s">
        <v>42380</v>
      </c>
    </row>
    <row r="11661" spans="1:20" customFormat="1" ht="15" x14ac:dyDescent="0.25">
      <c r="A11661" t="s">
        <v>35</v>
      </c>
      <c r="B11661" t="s">
        <v>61</v>
      </c>
      <c r="C11661" t="str">
        <f>"A0126143"</f>
        <v>A0126143</v>
      </c>
      <c r="D11661" t="s">
        <v>42381</v>
      </c>
      <c r="E11661" t="s">
        <v>42382</v>
      </c>
      <c r="F11661" t="s">
        <v>42383</v>
      </c>
      <c r="G11661" t="s">
        <v>197</v>
      </c>
      <c r="H11661">
        <v>85375</v>
      </c>
      <c r="I11661" t="s">
        <v>30</v>
      </c>
      <c r="J11661" t="s">
        <v>41</v>
      </c>
      <c r="K11661" t="s">
        <v>59</v>
      </c>
      <c r="Q11661">
        <v>0</v>
      </c>
      <c r="R11661">
        <v>133</v>
      </c>
      <c r="S11661">
        <v>133</v>
      </c>
      <c r="T11661" t="s">
        <v>42384</v>
      </c>
    </row>
    <row r="11662" spans="1:20" customFormat="1" ht="15" x14ac:dyDescent="0.25">
      <c r="A11662" t="s">
        <v>35</v>
      </c>
      <c r="B11662" t="s">
        <v>61</v>
      </c>
      <c r="C11662" t="str">
        <f>"A0126126"</f>
        <v>A0126126</v>
      </c>
      <c r="D11662" t="s">
        <v>42385</v>
      </c>
      <c r="E11662" t="s">
        <v>42386</v>
      </c>
      <c r="F11662" t="s">
        <v>6220</v>
      </c>
      <c r="G11662" t="s">
        <v>197</v>
      </c>
      <c r="H11662">
        <v>86301</v>
      </c>
      <c r="I11662" t="s">
        <v>30</v>
      </c>
      <c r="J11662" t="s">
        <v>41</v>
      </c>
      <c r="K11662" t="s">
        <v>59</v>
      </c>
      <c r="Q11662">
        <v>0</v>
      </c>
      <c r="R11662">
        <v>117</v>
      </c>
      <c r="S11662">
        <v>117</v>
      </c>
      <c r="T11662" t="s">
        <v>42387</v>
      </c>
    </row>
    <row r="11663" spans="1:20" customFormat="1" ht="15" x14ac:dyDescent="0.25">
      <c r="A11663" t="s">
        <v>35</v>
      </c>
      <c r="B11663" t="s">
        <v>61</v>
      </c>
      <c r="C11663" t="str">
        <f>"A0130954"</f>
        <v>A0130954</v>
      </c>
      <c r="D11663" t="s">
        <v>42388</v>
      </c>
      <c r="E11663" t="s">
        <v>42389</v>
      </c>
      <c r="F11663" t="s">
        <v>3104</v>
      </c>
      <c r="G11663" t="s">
        <v>85</v>
      </c>
      <c r="H11663">
        <v>721500000</v>
      </c>
      <c r="I11663" t="s">
        <v>30</v>
      </c>
      <c r="J11663" t="s">
        <v>41</v>
      </c>
      <c r="K11663" t="s">
        <v>2463</v>
      </c>
      <c r="Q11663">
        <v>0</v>
      </c>
      <c r="R11663">
        <v>1</v>
      </c>
      <c r="S11663">
        <v>1</v>
      </c>
      <c r="T11663" t="s">
        <v>42390</v>
      </c>
    </row>
    <row r="11664" spans="1:20" customFormat="1" ht="15" x14ac:dyDescent="0.25">
      <c r="A11664" t="s">
        <v>35</v>
      </c>
      <c r="B11664" t="s">
        <v>61</v>
      </c>
      <c r="C11664" t="str">
        <f>"A0123379"</f>
        <v>A0123379</v>
      </c>
      <c r="D11664" t="s">
        <v>42391</v>
      </c>
      <c r="E11664" t="s">
        <v>42392</v>
      </c>
      <c r="F11664" t="s">
        <v>24124</v>
      </c>
      <c r="G11664" t="s">
        <v>507</v>
      </c>
      <c r="H11664">
        <v>26847</v>
      </c>
      <c r="I11664" t="s">
        <v>30</v>
      </c>
      <c r="J11664" t="s">
        <v>41</v>
      </c>
      <c r="K11664" t="s">
        <v>59</v>
      </c>
      <c r="Q11664">
        <v>0</v>
      </c>
      <c r="R11664">
        <v>100</v>
      </c>
      <c r="S11664">
        <v>100</v>
      </c>
      <c r="T11664" t="s">
        <v>42393</v>
      </c>
    </row>
    <row r="11665" spans="1:20" customFormat="1" ht="15" x14ac:dyDescent="0.25">
      <c r="A11665" t="s">
        <v>35</v>
      </c>
      <c r="B11665" t="s">
        <v>61</v>
      </c>
      <c r="C11665" t="str">
        <f>"A0123789"</f>
        <v>A0123789</v>
      </c>
      <c r="D11665" t="s">
        <v>42394</v>
      </c>
      <c r="E11665" t="s">
        <v>42395</v>
      </c>
      <c r="F11665" t="s">
        <v>24124</v>
      </c>
      <c r="G11665" t="s">
        <v>507</v>
      </c>
      <c r="H11665">
        <v>268479403</v>
      </c>
      <c r="I11665" t="s">
        <v>30</v>
      </c>
      <c r="J11665" t="s">
        <v>41</v>
      </c>
      <c r="K11665" t="s">
        <v>482</v>
      </c>
      <c r="Q11665">
        <v>0</v>
      </c>
      <c r="R11665">
        <v>120</v>
      </c>
      <c r="S11665">
        <v>120</v>
      </c>
      <c r="T11665" t="s">
        <v>42396</v>
      </c>
    </row>
    <row r="11666" spans="1:20" customFormat="1" ht="15" x14ac:dyDescent="0.25">
      <c r="A11666" t="s">
        <v>35</v>
      </c>
      <c r="B11666" t="s">
        <v>61</v>
      </c>
      <c r="C11666" t="str">
        <f>"A0127489"</f>
        <v>A0127489</v>
      </c>
      <c r="D11666" t="s">
        <v>42397</v>
      </c>
      <c r="E11666" t="s">
        <v>42398</v>
      </c>
      <c r="F11666" t="s">
        <v>42399</v>
      </c>
      <c r="G11666" t="s">
        <v>507</v>
      </c>
      <c r="H11666">
        <v>26287</v>
      </c>
      <c r="I11666" t="s">
        <v>30</v>
      </c>
      <c r="J11666" t="s">
        <v>41</v>
      </c>
      <c r="K11666" t="s">
        <v>59</v>
      </c>
      <c r="Q11666">
        <v>0</v>
      </c>
      <c r="R11666">
        <v>16</v>
      </c>
      <c r="S11666">
        <v>16</v>
      </c>
      <c r="T11666" t="s">
        <v>42400</v>
      </c>
    </row>
    <row r="11667" spans="1:20" customFormat="1" ht="15" x14ac:dyDescent="0.25">
      <c r="A11667" t="s">
        <v>35</v>
      </c>
      <c r="B11667" t="s">
        <v>61</v>
      </c>
      <c r="C11667" t="str">
        <f>"A0132872"</f>
        <v>A0132872</v>
      </c>
      <c r="D11667" t="s">
        <v>42401</v>
      </c>
      <c r="E11667" t="s">
        <v>42402</v>
      </c>
      <c r="F11667" t="s">
        <v>19577</v>
      </c>
      <c r="G11667" t="s">
        <v>65</v>
      </c>
      <c r="H11667">
        <v>43023</v>
      </c>
      <c r="I11667" t="s">
        <v>30</v>
      </c>
      <c r="J11667" t="s">
        <v>41</v>
      </c>
      <c r="K11667" t="s">
        <v>36814</v>
      </c>
      <c r="Q11667">
        <v>0</v>
      </c>
      <c r="R11667">
        <v>0</v>
      </c>
      <c r="S11667">
        <v>0</v>
      </c>
      <c r="T11667" t="s">
        <v>42403</v>
      </c>
    </row>
    <row r="11668" spans="1:20" customFormat="1" ht="15" x14ac:dyDescent="0.25">
      <c r="A11668" t="s">
        <v>35</v>
      </c>
      <c r="B11668" t="s">
        <v>61</v>
      </c>
      <c r="C11668" t="str">
        <f>"A0124852"</f>
        <v>A0124852</v>
      </c>
      <c r="D11668" t="s">
        <v>42404</v>
      </c>
      <c r="E11668" t="s">
        <v>42405</v>
      </c>
      <c r="F11668" t="s">
        <v>5556</v>
      </c>
      <c r="G11668" t="s">
        <v>214</v>
      </c>
      <c r="H11668">
        <v>27370</v>
      </c>
      <c r="I11668" t="s">
        <v>30</v>
      </c>
      <c r="J11668" t="s">
        <v>41</v>
      </c>
      <c r="K11668" t="s">
        <v>229</v>
      </c>
      <c r="Q11668">
        <v>0</v>
      </c>
      <c r="R11668">
        <v>128</v>
      </c>
      <c r="S11668">
        <v>128</v>
      </c>
      <c r="T11668" t="s">
        <v>5557</v>
      </c>
    </row>
    <row r="11669" spans="1:20" customFormat="1" ht="15" x14ac:dyDescent="0.25">
      <c r="A11669" t="s">
        <v>35</v>
      </c>
      <c r="B11669" t="s">
        <v>61</v>
      </c>
      <c r="C11669" t="str">
        <f>"A0128566"</f>
        <v>A0128566</v>
      </c>
      <c r="D11669" t="s">
        <v>42406</v>
      </c>
      <c r="E11669" t="s">
        <v>42407</v>
      </c>
      <c r="F11669" t="s">
        <v>14008</v>
      </c>
      <c r="G11669" t="s">
        <v>840</v>
      </c>
      <c r="H11669">
        <v>42754</v>
      </c>
      <c r="I11669" t="s">
        <v>30</v>
      </c>
      <c r="J11669" t="s">
        <v>41</v>
      </c>
      <c r="K11669" t="s">
        <v>229</v>
      </c>
      <c r="Q11669">
        <v>0</v>
      </c>
      <c r="R11669">
        <v>110</v>
      </c>
      <c r="S11669">
        <v>110</v>
      </c>
      <c r="T11669" t="s">
        <v>42408</v>
      </c>
    </row>
    <row r="11670" spans="1:20" customFormat="1" ht="15" x14ac:dyDescent="0.25">
      <c r="A11670" t="s">
        <v>35</v>
      </c>
      <c r="B11670" t="s">
        <v>61</v>
      </c>
      <c r="C11670" t="str">
        <f>"A0130100"</f>
        <v>A0130100</v>
      </c>
      <c r="D11670" t="s">
        <v>42409</v>
      </c>
      <c r="E11670" t="s">
        <v>42410</v>
      </c>
      <c r="F11670" t="s">
        <v>42411</v>
      </c>
      <c r="G11670" t="s">
        <v>880</v>
      </c>
      <c r="H11670">
        <v>38018</v>
      </c>
      <c r="I11670" t="s">
        <v>30</v>
      </c>
      <c r="J11670" t="s">
        <v>41</v>
      </c>
      <c r="K11670" t="s">
        <v>391</v>
      </c>
      <c r="Q11670">
        <v>0</v>
      </c>
      <c r="R11670">
        <v>0</v>
      </c>
      <c r="S11670">
        <v>0</v>
      </c>
      <c r="T11670" t="s">
        <v>42412</v>
      </c>
    </row>
    <row r="11671" spans="1:20" customFormat="1" ht="15" x14ac:dyDescent="0.25">
      <c r="A11671" t="s">
        <v>35</v>
      </c>
      <c r="B11671" t="s">
        <v>61</v>
      </c>
      <c r="C11671" t="str">
        <f>"A0124190"</f>
        <v>A0124190</v>
      </c>
      <c r="D11671" t="s">
        <v>42413</v>
      </c>
      <c r="E11671" t="s">
        <v>42414</v>
      </c>
      <c r="F11671" t="s">
        <v>4674</v>
      </c>
      <c r="G11671" t="s">
        <v>314</v>
      </c>
      <c r="H11671">
        <v>20032</v>
      </c>
      <c r="I11671" t="s">
        <v>30</v>
      </c>
      <c r="J11671" t="s">
        <v>41</v>
      </c>
      <c r="K11671" t="s">
        <v>229</v>
      </c>
      <c r="Q11671">
        <v>0</v>
      </c>
      <c r="R11671">
        <v>330</v>
      </c>
      <c r="S11671">
        <v>330</v>
      </c>
      <c r="T11671" t="s">
        <v>42415</v>
      </c>
    </row>
    <row r="11672" spans="1:20" customFormat="1" ht="15" x14ac:dyDescent="0.25">
      <c r="A11672" t="s">
        <v>35</v>
      </c>
      <c r="B11672" t="s">
        <v>61</v>
      </c>
      <c r="C11672" t="str">
        <f>"A0124191"</f>
        <v>A0124191</v>
      </c>
      <c r="D11672" t="s">
        <v>42416</v>
      </c>
      <c r="E11672" t="s">
        <v>42417</v>
      </c>
      <c r="F11672" t="s">
        <v>20261</v>
      </c>
      <c r="G11672" t="s">
        <v>289</v>
      </c>
      <c r="H11672">
        <v>60090</v>
      </c>
      <c r="I11672" t="s">
        <v>30</v>
      </c>
      <c r="J11672" t="s">
        <v>41</v>
      </c>
      <c r="K11672" t="s">
        <v>229</v>
      </c>
      <c r="Q11672">
        <v>0</v>
      </c>
      <c r="R11672">
        <v>198</v>
      </c>
      <c r="S11672">
        <v>198</v>
      </c>
      <c r="T11672" t="s">
        <v>42418</v>
      </c>
    </row>
    <row r="11673" spans="1:20" customFormat="1" ht="15" x14ac:dyDescent="0.25">
      <c r="A11673" t="s">
        <v>35</v>
      </c>
      <c r="B11673" t="s">
        <v>106</v>
      </c>
      <c r="C11673" t="str">
        <f>"A0136090"</f>
        <v>A0136090</v>
      </c>
      <c r="D11673" t="s">
        <v>42419</v>
      </c>
      <c r="E11673" t="s">
        <v>42420</v>
      </c>
      <c r="F11673" t="s">
        <v>42421</v>
      </c>
      <c r="G11673" t="s">
        <v>1706</v>
      </c>
      <c r="H11673">
        <v>35401</v>
      </c>
      <c r="I11673" t="s">
        <v>30</v>
      </c>
      <c r="J11673" t="s">
        <v>111</v>
      </c>
      <c r="K11673" t="s">
        <v>112</v>
      </c>
      <c r="Q11673">
        <v>0</v>
      </c>
      <c r="R11673">
        <v>0</v>
      </c>
      <c r="S11673">
        <v>0</v>
      </c>
      <c r="T11673" t="s">
        <v>42422</v>
      </c>
    </row>
    <row r="11674" spans="1:20" customFormat="1" ht="15" x14ac:dyDescent="0.25">
      <c r="A11674" t="s">
        <v>35</v>
      </c>
      <c r="B11674" t="s">
        <v>106</v>
      </c>
      <c r="C11674" t="str">
        <f>"A0136091"</f>
        <v>A0136091</v>
      </c>
      <c r="D11674" t="s">
        <v>42423</v>
      </c>
      <c r="E11674" t="s">
        <v>42420</v>
      </c>
      <c r="F11674" t="s">
        <v>42421</v>
      </c>
      <c r="G11674" t="s">
        <v>1706</v>
      </c>
      <c r="H11674">
        <v>35401</v>
      </c>
      <c r="I11674" t="s">
        <v>30</v>
      </c>
      <c r="J11674" t="s">
        <v>111</v>
      </c>
      <c r="K11674" t="s">
        <v>112</v>
      </c>
      <c r="Q11674">
        <v>0</v>
      </c>
      <c r="R11674">
        <v>0</v>
      </c>
      <c r="S11674">
        <v>0</v>
      </c>
      <c r="T11674" t="s">
        <v>42422</v>
      </c>
    </row>
    <row r="11675" spans="1:20" customFormat="1" ht="15" x14ac:dyDescent="0.25">
      <c r="A11675" t="s">
        <v>35</v>
      </c>
      <c r="B11675" t="s">
        <v>106</v>
      </c>
      <c r="C11675" t="str">
        <f>"A0136092"</f>
        <v>A0136092</v>
      </c>
      <c r="D11675" t="s">
        <v>42424</v>
      </c>
      <c r="E11675" t="s">
        <v>42420</v>
      </c>
      <c r="F11675" t="s">
        <v>36450</v>
      </c>
      <c r="G11675" t="s">
        <v>1706</v>
      </c>
      <c r="H11675">
        <v>35401</v>
      </c>
      <c r="I11675" t="s">
        <v>30</v>
      </c>
      <c r="J11675" t="s">
        <v>111</v>
      </c>
      <c r="K11675" t="s">
        <v>112</v>
      </c>
      <c r="Q11675">
        <v>0</v>
      </c>
      <c r="R11675">
        <v>0</v>
      </c>
      <c r="S11675">
        <v>0</v>
      </c>
      <c r="T11675" t="s">
        <v>42422</v>
      </c>
    </row>
    <row r="11676" spans="1:20" customFormat="1" ht="15" x14ac:dyDescent="0.25">
      <c r="A11676" t="s">
        <v>35</v>
      </c>
      <c r="B11676" t="s">
        <v>106</v>
      </c>
      <c r="C11676" t="str">
        <f>"A0136093"</f>
        <v>A0136093</v>
      </c>
      <c r="D11676" t="s">
        <v>42425</v>
      </c>
      <c r="E11676" t="s">
        <v>42420</v>
      </c>
      <c r="F11676" t="s">
        <v>36450</v>
      </c>
      <c r="G11676" t="s">
        <v>1706</v>
      </c>
      <c r="H11676">
        <v>35401</v>
      </c>
      <c r="I11676" t="s">
        <v>30</v>
      </c>
      <c r="J11676" t="s">
        <v>111</v>
      </c>
      <c r="K11676" t="s">
        <v>112</v>
      </c>
      <c r="Q11676">
        <v>0</v>
      </c>
      <c r="R11676">
        <v>0</v>
      </c>
      <c r="S11676">
        <v>0</v>
      </c>
      <c r="T11676" t="s">
        <v>42422</v>
      </c>
    </row>
    <row r="11677" spans="1:20" customFormat="1" ht="15" x14ac:dyDescent="0.25">
      <c r="A11677" t="s">
        <v>35</v>
      </c>
      <c r="B11677" t="s">
        <v>106</v>
      </c>
      <c r="C11677" t="str">
        <f>"A0136094"</f>
        <v>A0136094</v>
      </c>
      <c r="D11677" t="s">
        <v>42426</v>
      </c>
      <c r="E11677" t="s">
        <v>42420</v>
      </c>
      <c r="F11677" t="s">
        <v>36450</v>
      </c>
      <c r="G11677" t="s">
        <v>1706</v>
      </c>
      <c r="H11677">
        <v>35401</v>
      </c>
      <c r="I11677" t="s">
        <v>30</v>
      </c>
      <c r="J11677" t="s">
        <v>111</v>
      </c>
      <c r="K11677" t="s">
        <v>112</v>
      </c>
      <c r="Q11677">
        <v>0</v>
      </c>
      <c r="R11677">
        <v>0</v>
      </c>
      <c r="S11677">
        <v>0</v>
      </c>
      <c r="T11677" t="s">
        <v>42422</v>
      </c>
    </row>
    <row r="11678" spans="1:20" customFormat="1" ht="15" x14ac:dyDescent="0.25">
      <c r="A11678" t="s">
        <v>35</v>
      </c>
      <c r="B11678" t="s">
        <v>106</v>
      </c>
      <c r="C11678" t="str">
        <f>"A0136095"</f>
        <v>A0136095</v>
      </c>
      <c r="D11678" t="s">
        <v>42427</v>
      </c>
      <c r="E11678" t="s">
        <v>42420</v>
      </c>
      <c r="F11678" t="s">
        <v>36450</v>
      </c>
      <c r="G11678" t="s">
        <v>1706</v>
      </c>
      <c r="H11678">
        <v>35401</v>
      </c>
      <c r="I11678" t="s">
        <v>30</v>
      </c>
      <c r="J11678" t="s">
        <v>111</v>
      </c>
      <c r="K11678" t="s">
        <v>112</v>
      </c>
      <c r="Q11678">
        <v>0</v>
      </c>
      <c r="R11678">
        <v>0</v>
      </c>
      <c r="S11678">
        <v>0</v>
      </c>
      <c r="T11678" t="s">
        <v>42422</v>
      </c>
    </row>
    <row r="11679" spans="1:20" customFormat="1" ht="15" x14ac:dyDescent="0.25">
      <c r="A11679" t="s">
        <v>35</v>
      </c>
      <c r="B11679" t="s">
        <v>106</v>
      </c>
      <c r="C11679" t="str">
        <f>"A0136096"</f>
        <v>A0136096</v>
      </c>
      <c r="D11679" t="s">
        <v>42428</v>
      </c>
      <c r="E11679" t="s">
        <v>42420</v>
      </c>
      <c r="F11679" t="s">
        <v>36450</v>
      </c>
      <c r="G11679" t="s">
        <v>1706</v>
      </c>
      <c r="H11679">
        <v>35401</v>
      </c>
      <c r="I11679" t="s">
        <v>30</v>
      </c>
      <c r="J11679" t="s">
        <v>111</v>
      </c>
      <c r="K11679" t="s">
        <v>112</v>
      </c>
      <c r="Q11679">
        <v>0</v>
      </c>
      <c r="R11679">
        <v>0</v>
      </c>
      <c r="S11679">
        <v>0</v>
      </c>
      <c r="T11679" t="s">
        <v>42422</v>
      </c>
    </row>
    <row r="11680" spans="1:20" customFormat="1" ht="15" x14ac:dyDescent="0.25">
      <c r="A11680" t="s">
        <v>35</v>
      </c>
      <c r="B11680" t="s">
        <v>106</v>
      </c>
      <c r="C11680" t="str">
        <f>"A0136097"</f>
        <v>A0136097</v>
      </c>
      <c r="D11680" t="s">
        <v>42429</v>
      </c>
      <c r="E11680" t="s">
        <v>42420</v>
      </c>
      <c r="F11680" t="s">
        <v>36450</v>
      </c>
      <c r="G11680" t="s">
        <v>1706</v>
      </c>
      <c r="H11680">
        <v>35401</v>
      </c>
      <c r="I11680" t="s">
        <v>30</v>
      </c>
      <c r="J11680" t="s">
        <v>111</v>
      </c>
      <c r="K11680" t="s">
        <v>112</v>
      </c>
      <c r="Q11680">
        <v>0</v>
      </c>
      <c r="R11680">
        <v>0</v>
      </c>
      <c r="S11680">
        <v>0</v>
      </c>
      <c r="T11680" t="s">
        <v>42422</v>
      </c>
    </row>
    <row r="11681" spans="1:20" customFormat="1" ht="15" x14ac:dyDescent="0.25">
      <c r="A11681" t="s">
        <v>35</v>
      </c>
      <c r="B11681" t="s">
        <v>106</v>
      </c>
      <c r="C11681" t="str">
        <f>"A0136098"</f>
        <v>A0136098</v>
      </c>
      <c r="D11681" t="s">
        <v>42430</v>
      </c>
      <c r="E11681" t="s">
        <v>42420</v>
      </c>
      <c r="F11681" t="s">
        <v>36450</v>
      </c>
      <c r="G11681" t="s">
        <v>1706</v>
      </c>
      <c r="H11681">
        <v>35401</v>
      </c>
      <c r="I11681" t="s">
        <v>30</v>
      </c>
      <c r="J11681" t="s">
        <v>111</v>
      </c>
      <c r="K11681" t="s">
        <v>112</v>
      </c>
      <c r="Q11681">
        <v>0</v>
      </c>
      <c r="R11681">
        <v>0</v>
      </c>
      <c r="S11681">
        <v>0</v>
      </c>
      <c r="T11681" t="s">
        <v>42422</v>
      </c>
    </row>
    <row r="11682" spans="1:20" customFormat="1" ht="15" x14ac:dyDescent="0.25">
      <c r="A11682" t="s">
        <v>35</v>
      </c>
      <c r="B11682" t="s">
        <v>106</v>
      </c>
      <c r="C11682" t="str">
        <f>"A0136099"</f>
        <v>A0136099</v>
      </c>
      <c r="D11682" t="s">
        <v>42431</v>
      </c>
      <c r="E11682" t="s">
        <v>42420</v>
      </c>
      <c r="F11682" t="s">
        <v>42421</v>
      </c>
      <c r="G11682" t="s">
        <v>1706</v>
      </c>
      <c r="H11682">
        <v>35401</v>
      </c>
      <c r="I11682" t="s">
        <v>30</v>
      </c>
      <c r="J11682" t="s">
        <v>111</v>
      </c>
      <c r="K11682" t="s">
        <v>112</v>
      </c>
      <c r="Q11682">
        <v>0</v>
      </c>
      <c r="R11682">
        <v>0</v>
      </c>
      <c r="S11682">
        <v>0</v>
      </c>
      <c r="T11682" t="s">
        <v>42422</v>
      </c>
    </row>
    <row r="11683" spans="1:20" customFormat="1" ht="15" x14ac:dyDescent="0.25">
      <c r="A11683" t="s">
        <v>35</v>
      </c>
      <c r="B11683" t="s">
        <v>106</v>
      </c>
      <c r="C11683" t="str">
        <f>"A0136100"</f>
        <v>A0136100</v>
      </c>
      <c r="D11683" t="s">
        <v>42432</v>
      </c>
      <c r="E11683" t="s">
        <v>42420</v>
      </c>
      <c r="F11683" t="s">
        <v>42421</v>
      </c>
      <c r="G11683" t="s">
        <v>1706</v>
      </c>
      <c r="H11683">
        <v>35401</v>
      </c>
      <c r="I11683" t="s">
        <v>30</v>
      </c>
      <c r="J11683" t="s">
        <v>111</v>
      </c>
      <c r="K11683" t="s">
        <v>112</v>
      </c>
      <c r="Q11683">
        <v>0</v>
      </c>
      <c r="R11683">
        <v>0</v>
      </c>
      <c r="S11683">
        <v>0</v>
      </c>
      <c r="T11683" t="s">
        <v>42422</v>
      </c>
    </row>
    <row r="11684" spans="1:20" customFormat="1" ht="15" x14ac:dyDescent="0.25">
      <c r="A11684" t="s">
        <v>35</v>
      </c>
      <c r="B11684" t="s">
        <v>106</v>
      </c>
      <c r="C11684" t="str">
        <f>"A0136101"</f>
        <v>A0136101</v>
      </c>
      <c r="D11684" t="s">
        <v>42433</v>
      </c>
      <c r="E11684" t="s">
        <v>42420</v>
      </c>
      <c r="F11684" t="s">
        <v>36450</v>
      </c>
      <c r="G11684" t="s">
        <v>1706</v>
      </c>
      <c r="H11684">
        <v>35401</v>
      </c>
      <c r="I11684" t="s">
        <v>30</v>
      </c>
      <c r="J11684" t="s">
        <v>111</v>
      </c>
      <c r="K11684" t="s">
        <v>112</v>
      </c>
      <c r="Q11684">
        <v>0</v>
      </c>
      <c r="R11684">
        <v>0</v>
      </c>
      <c r="S11684">
        <v>0</v>
      </c>
      <c r="T11684" t="s">
        <v>42422</v>
      </c>
    </row>
    <row r="11685" spans="1:20" customFormat="1" ht="15" x14ac:dyDescent="0.25">
      <c r="A11685" t="s">
        <v>35</v>
      </c>
      <c r="B11685" t="s">
        <v>106</v>
      </c>
      <c r="C11685" t="str">
        <f>"A0136102"</f>
        <v>A0136102</v>
      </c>
      <c r="D11685" t="s">
        <v>42434</v>
      </c>
      <c r="E11685" t="s">
        <v>42420</v>
      </c>
      <c r="F11685" t="s">
        <v>42421</v>
      </c>
      <c r="G11685" t="s">
        <v>1706</v>
      </c>
      <c r="H11685">
        <v>35401</v>
      </c>
      <c r="I11685" t="s">
        <v>30</v>
      </c>
      <c r="J11685" t="s">
        <v>111</v>
      </c>
      <c r="K11685" t="s">
        <v>112</v>
      </c>
      <c r="Q11685">
        <v>0</v>
      </c>
      <c r="R11685">
        <v>0</v>
      </c>
      <c r="S11685">
        <v>0</v>
      </c>
      <c r="T11685" t="s">
        <v>42422</v>
      </c>
    </row>
    <row r="11686" spans="1:20" customFormat="1" ht="15" x14ac:dyDescent="0.25">
      <c r="A11686" t="s">
        <v>35</v>
      </c>
      <c r="B11686" t="s">
        <v>106</v>
      </c>
      <c r="C11686" t="str">
        <f>"A0136103"</f>
        <v>A0136103</v>
      </c>
      <c r="D11686" t="s">
        <v>42435</v>
      </c>
      <c r="E11686" t="s">
        <v>42420</v>
      </c>
      <c r="F11686" t="s">
        <v>36450</v>
      </c>
      <c r="G11686" t="s">
        <v>1706</v>
      </c>
      <c r="H11686">
        <v>35401</v>
      </c>
      <c r="I11686" t="s">
        <v>30</v>
      </c>
      <c r="J11686" t="s">
        <v>111</v>
      </c>
      <c r="K11686" t="s">
        <v>112</v>
      </c>
      <c r="Q11686">
        <v>0</v>
      </c>
      <c r="R11686">
        <v>0</v>
      </c>
      <c r="S11686">
        <v>0</v>
      </c>
      <c r="T11686" t="s">
        <v>42422</v>
      </c>
    </row>
    <row r="11687" spans="1:20" customFormat="1" ht="15" x14ac:dyDescent="0.25">
      <c r="A11687" t="s">
        <v>35</v>
      </c>
      <c r="B11687" t="s">
        <v>106</v>
      </c>
      <c r="C11687" t="str">
        <f>"A0136104"</f>
        <v>A0136104</v>
      </c>
      <c r="D11687" t="s">
        <v>42436</v>
      </c>
      <c r="E11687" t="s">
        <v>42420</v>
      </c>
      <c r="F11687" t="s">
        <v>36450</v>
      </c>
      <c r="G11687" t="s">
        <v>1706</v>
      </c>
      <c r="H11687">
        <v>35401</v>
      </c>
      <c r="I11687" t="s">
        <v>30</v>
      </c>
      <c r="J11687" t="s">
        <v>111</v>
      </c>
      <c r="K11687" t="s">
        <v>112</v>
      </c>
      <c r="Q11687">
        <v>0</v>
      </c>
      <c r="R11687">
        <v>0</v>
      </c>
      <c r="S11687">
        <v>0</v>
      </c>
      <c r="T11687" t="s">
        <v>42422</v>
      </c>
    </row>
    <row r="11688" spans="1:20" customFormat="1" ht="15" x14ac:dyDescent="0.25">
      <c r="A11688" t="s">
        <v>35</v>
      </c>
      <c r="B11688" t="s">
        <v>106</v>
      </c>
      <c r="C11688" t="str">
        <f>"A0136105"</f>
        <v>A0136105</v>
      </c>
      <c r="D11688" t="s">
        <v>42437</v>
      </c>
      <c r="E11688" t="s">
        <v>42420</v>
      </c>
      <c r="F11688" t="s">
        <v>42421</v>
      </c>
      <c r="G11688" t="s">
        <v>1706</v>
      </c>
      <c r="H11688">
        <v>35401</v>
      </c>
      <c r="I11688" t="s">
        <v>30</v>
      </c>
      <c r="J11688" t="s">
        <v>111</v>
      </c>
      <c r="K11688" t="s">
        <v>112</v>
      </c>
      <c r="Q11688">
        <v>0</v>
      </c>
      <c r="R11688">
        <v>0</v>
      </c>
      <c r="S11688">
        <v>0</v>
      </c>
      <c r="T11688" t="s">
        <v>42422</v>
      </c>
    </row>
    <row r="11689" spans="1:20" customFormat="1" ht="15" x14ac:dyDescent="0.25">
      <c r="A11689" t="s">
        <v>35</v>
      </c>
      <c r="B11689" t="s">
        <v>106</v>
      </c>
      <c r="C11689" t="str">
        <f>"A0136106"</f>
        <v>A0136106</v>
      </c>
      <c r="D11689" t="s">
        <v>42438</v>
      </c>
      <c r="E11689" t="s">
        <v>42420</v>
      </c>
      <c r="F11689" t="s">
        <v>36450</v>
      </c>
      <c r="G11689" t="s">
        <v>1706</v>
      </c>
      <c r="H11689">
        <v>35401</v>
      </c>
      <c r="I11689" t="s">
        <v>30</v>
      </c>
      <c r="J11689" t="s">
        <v>111</v>
      </c>
      <c r="K11689" t="s">
        <v>112</v>
      </c>
      <c r="Q11689">
        <v>0</v>
      </c>
      <c r="R11689">
        <v>0</v>
      </c>
      <c r="S11689">
        <v>0</v>
      </c>
      <c r="T11689" t="s">
        <v>42422</v>
      </c>
    </row>
    <row r="11690" spans="1:20" customFormat="1" ht="15" x14ac:dyDescent="0.25">
      <c r="A11690" t="s">
        <v>35</v>
      </c>
      <c r="B11690" t="s">
        <v>106</v>
      </c>
      <c r="C11690" t="str">
        <f>"A0136107"</f>
        <v>A0136107</v>
      </c>
      <c r="D11690" t="s">
        <v>42439</v>
      </c>
      <c r="E11690" t="s">
        <v>42420</v>
      </c>
      <c r="F11690" t="s">
        <v>36450</v>
      </c>
      <c r="G11690" t="s">
        <v>1706</v>
      </c>
      <c r="H11690">
        <v>35401</v>
      </c>
      <c r="I11690" t="s">
        <v>30</v>
      </c>
      <c r="J11690" t="s">
        <v>111</v>
      </c>
      <c r="K11690" t="s">
        <v>112</v>
      </c>
      <c r="Q11690">
        <v>0</v>
      </c>
      <c r="R11690">
        <v>0</v>
      </c>
      <c r="S11690">
        <v>0</v>
      </c>
      <c r="T11690" t="s">
        <v>42422</v>
      </c>
    </row>
    <row r="11691" spans="1:20" customFormat="1" ht="15" x14ac:dyDescent="0.25">
      <c r="A11691" t="s">
        <v>35</v>
      </c>
      <c r="B11691" t="s">
        <v>106</v>
      </c>
      <c r="C11691" t="str">
        <f>"A0136108"</f>
        <v>A0136108</v>
      </c>
      <c r="D11691" t="s">
        <v>42440</v>
      </c>
      <c r="E11691" t="s">
        <v>42420</v>
      </c>
      <c r="F11691" t="s">
        <v>36450</v>
      </c>
      <c r="G11691" t="s">
        <v>1706</v>
      </c>
      <c r="H11691">
        <v>35401</v>
      </c>
      <c r="I11691" t="s">
        <v>30</v>
      </c>
      <c r="J11691" t="s">
        <v>111</v>
      </c>
      <c r="K11691" t="s">
        <v>112</v>
      </c>
      <c r="Q11691">
        <v>0</v>
      </c>
      <c r="R11691">
        <v>0</v>
      </c>
      <c r="S11691">
        <v>0</v>
      </c>
      <c r="T11691" t="s">
        <v>42422</v>
      </c>
    </row>
    <row r="11692" spans="1:20" customFormat="1" ht="15" x14ac:dyDescent="0.25">
      <c r="A11692" t="s">
        <v>35</v>
      </c>
      <c r="B11692" t="s">
        <v>106</v>
      </c>
      <c r="C11692" t="str">
        <f>"A0136109"</f>
        <v>A0136109</v>
      </c>
      <c r="D11692" t="s">
        <v>42441</v>
      </c>
      <c r="E11692" t="s">
        <v>42420</v>
      </c>
      <c r="F11692" t="s">
        <v>36450</v>
      </c>
      <c r="G11692" t="s">
        <v>1706</v>
      </c>
      <c r="H11692">
        <v>35401</v>
      </c>
      <c r="I11692" t="s">
        <v>30</v>
      </c>
      <c r="J11692" t="s">
        <v>111</v>
      </c>
      <c r="K11692" t="s">
        <v>112</v>
      </c>
      <c r="Q11692">
        <v>0</v>
      </c>
      <c r="R11692">
        <v>0</v>
      </c>
      <c r="S11692">
        <v>0</v>
      </c>
      <c r="T11692" t="s">
        <v>42422</v>
      </c>
    </row>
    <row r="11693" spans="1:20" customFormat="1" ht="15" x14ac:dyDescent="0.25">
      <c r="A11693" t="s">
        <v>35</v>
      </c>
      <c r="B11693" t="s">
        <v>106</v>
      </c>
      <c r="C11693" t="str">
        <f>"A0136110"</f>
        <v>A0136110</v>
      </c>
      <c r="D11693" t="s">
        <v>42442</v>
      </c>
      <c r="E11693" t="s">
        <v>42420</v>
      </c>
      <c r="F11693" t="s">
        <v>36450</v>
      </c>
      <c r="G11693" t="s">
        <v>1706</v>
      </c>
      <c r="H11693">
        <v>35401</v>
      </c>
      <c r="I11693" t="s">
        <v>30</v>
      </c>
      <c r="J11693" t="s">
        <v>111</v>
      </c>
      <c r="K11693" t="s">
        <v>112</v>
      </c>
      <c r="Q11693">
        <v>0</v>
      </c>
      <c r="R11693">
        <v>0</v>
      </c>
      <c r="S11693">
        <v>0</v>
      </c>
      <c r="T11693" t="s">
        <v>42422</v>
      </c>
    </row>
    <row r="11694" spans="1:20" customFormat="1" ht="15" x14ac:dyDescent="0.25">
      <c r="A11694" t="s">
        <v>35</v>
      </c>
      <c r="B11694" t="s">
        <v>106</v>
      </c>
      <c r="C11694" t="str">
        <f>"A0136111"</f>
        <v>A0136111</v>
      </c>
      <c r="D11694" t="s">
        <v>42443</v>
      </c>
      <c r="E11694" t="s">
        <v>42420</v>
      </c>
      <c r="F11694" t="s">
        <v>36450</v>
      </c>
      <c r="G11694" t="s">
        <v>1706</v>
      </c>
      <c r="H11694">
        <v>35401</v>
      </c>
      <c r="I11694" t="s">
        <v>30</v>
      </c>
      <c r="J11694" t="s">
        <v>111</v>
      </c>
      <c r="K11694" t="s">
        <v>112</v>
      </c>
      <c r="Q11694">
        <v>0</v>
      </c>
      <c r="R11694">
        <v>0</v>
      </c>
      <c r="S11694">
        <v>0</v>
      </c>
      <c r="T11694" t="s">
        <v>42422</v>
      </c>
    </row>
    <row r="11695" spans="1:20" customFormat="1" ht="15" x14ac:dyDescent="0.25">
      <c r="A11695" t="s">
        <v>35</v>
      </c>
      <c r="B11695" t="s">
        <v>106</v>
      </c>
      <c r="C11695" t="str">
        <f>"A0136112"</f>
        <v>A0136112</v>
      </c>
      <c r="D11695" t="s">
        <v>42444</v>
      </c>
      <c r="E11695" t="s">
        <v>42445</v>
      </c>
      <c r="F11695" t="s">
        <v>36450</v>
      </c>
      <c r="G11695" t="s">
        <v>1706</v>
      </c>
      <c r="H11695">
        <v>35401</v>
      </c>
      <c r="I11695" t="s">
        <v>30</v>
      </c>
      <c r="J11695" t="s">
        <v>111</v>
      </c>
      <c r="K11695" t="s">
        <v>112</v>
      </c>
      <c r="Q11695">
        <v>0</v>
      </c>
      <c r="R11695">
        <v>0</v>
      </c>
      <c r="S11695">
        <v>0</v>
      </c>
      <c r="T11695" t="s">
        <v>42446</v>
      </c>
    </row>
    <row r="11696" spans="1:20" customFormat="1" ht="15" x14ac:dyDescent="0.25">
      <c r="A11696" t="s">
        <v>35</v>
      </c>
      <c r="B11696" t="s">
        <v>106</v>
      </c>
      <c r="C11696" t="str">
        <f>"A0136116"</f>
        <v>A0136116</v>
      </c>
      <c r="D11696" t="s">
        <v>42447</v>
      </c>
      <c r="E11696" t="s">
        <v>42420</v>
      </c>
      <c r="F11696" t="s">
        <v>36450</v>
      </c>
      <c r="G11696" t="s">
        <v>1706</v>
      </c>
      <c r="H11696">
        <v>35401</v>
      </c>
      <c r="I11696" t="s">
        <v>30</v>
      </c>
      <c r="J11696" t="s">
        <v>111</v>
      </c>
      <c r="K11696" t="s">
        <v>112</v>
      </c>
      <c r="Q11696">
        <v>0</v>
      </c>
      <c r="R11696">
        <v>0</v>
      </c>
      <c r="S11696">
        <v>0</v>
      </c>
      <c r="T11696" t="s">
        <v>42446</v>
      </c>
    </row>
    <row r="11697" spans="1:20" customFormat="1" ht="15" x14ac:dyDescent="0.25">
      <c r="A11697" t="s">
        <v>35</v>
      </c>
      <c r="B11697" t="s">
        <v>106</v>
      </c>
      <c r="C11697" t="str">
        <f>"A0136114"</f>
        <v>A0136114</v>
      </c>
      <c r="D11697" t="s">
        <v>42448</v>
      </c>
      <c r="E11697" t="s">
        <v>42445</v>
      </c>
      <c r="F11697" t="s">
        <v>36450</v>
      </c>
      <c r="G11697" t="s">
        <v>1706</v>
      </c>
      <c r="H11697">
        <v>35401</v>
      </c>
      <c r="I11697" t="s">
        <v>30</v>
      </c>
      <c r="J11697" t="s">
        <v>111</v>
      </c>
      <c r="K11697" t="s">
        <v>112</v>
      </c>
      <c r="Q11697">
        <v>0</v>
      </c>
      <c r="R11697">
        <v>0</v>
      </c>
      <c r="S11697">
        <v>0</v>
      </c>
      <c r="T11697" t="s">
        <v>42446</v>
      </c>
    </row>
    <row r="11698" spans="1:20" customFormat="1" ht="15" x14ac:dyDescent="0.25">
      <c r="A11698" t="s">
        <v>35</v>
      </c>
      <c r="B11698" t="s">
        <v>106</v>
      </c>
      <c r="C11698" t="str">
        <f>"A0136115"</f>
        <v>A0136115</v>
      </c>
      <c r="D11698" t="s">
        <v>42449</v>
      </c>
      <c r="E11698" t="s">
        <v>42450</v>
      </c>
      <c r="F11698" t="s">
        <v>36450</v>
      </c>
      <c r="G11698" t="s">
        <v>1706</v>
      </c>
      <c r="H11698">
        <v>35401</v>
      </c>
      <c r="I11698" t="s">
        <v>30</v>
      </c>
      <c r="J11698" t="s">
        <v>111</v>
      </c>
      <c r="K11698" t="s">
        <v>112</v>
      </c>
      <c r="Q11698">
        <v>0</v>
      </c>
      <c r="R11698">
        <v>0</v>
      </c>
      <c r="S11698">
        <v>0</v>
      </c>
      <c r="T11698" t="s">
        <v>42446</v>
      </c>
    </row>
    <row r="11699" spans="1:20" customFormat="1" ht="15" x14ac:dyDescent="0.25">
      <c r="A11699" t="s">
        <v>35</v>
      </c>
      <c r="B11699" t="s">
        <v>61</v>
      </c>
      <c r="C11699" t="str">
        <f>"A0123381"</f>
        <v>A0123381</v>
      </c>
      <c r="D11699" t="s">
        <v>42451</v>
      </c>
      <c r="E11699" t="s">
        <v>42452</v>
      </c>
      <c r="F11699" t="s">
        <v>6743</v>
      </c>
      <c r="G11699" t="s">
        <v>507</v>
      </c>
      <c r="H11699">
        <v>25537</v>
      </c>
      <c r="I11699" t="s">
        <v>30</v>
      </c>
      <c r="J11699" t="s">
        <v>41</v>
      </c>
      <c r="K11699" t="s">
        <v>482</v>
      </c>
      <c r="Q11699">
        <v>0</v>
      </c>
      <c r="R11699">
        <v>34</v>
      </c>
      <c r="S11699">
        <v>34</v>
      </c>
      <c r="T11699" t="s">
        <v>42453</v>
      </c>
    </row>
    <row r="11700" spans="1:20" customFormat="1" ht="15" x14ac:dyDescent="0.25">
      <c r="A11700" t="s">
        <v>35</v>
      </c>
      <c r="B11700" t="s">
        <v>61</v>
      </c>
      <c r="C11700" t="str">
        <f>"A0130060"</f>
        <v>A0130060</v>
      </c>
      <c r="D11700" t="s">
        <v>42454</v>
      </c>
      <c r="E11700" t="s">
        <v>42455</v>
      </c>
      <c r="F11700" t="s">
        <v>42399</v>
      </c>
      <c r="G11700" t="s">
        <v>880</v>
      </c>
      <c r="H11700">
        <v>38363</v>
      </c>
      <c r="I11700" t="s">
        <v>30</v>
      </c>
      <c r="J11700" t="s">
        <v>41</v>
      </c>
      <c r="K11700" t="s">
        <v>59</v>
      </c>
      <c r="Q11700">
        <v>0</v>
      </c>
      <c r="R11700">
        <v>0</v>
      </c>
      <c r="S11700">
        <v>0</v>
      </c>
      <c r="T11700" t="s">
        <v>42456</v>
      </c>
    </row>
    <row r="11701" spans="1:20" customFormat="1" ht="15" x14ac:dyDescent="0.25">
      <c r="A11701" t="s">
        <v>35</v>
      </c>
      <c r="B11701" t="s">
        <v>61</v>
      </c>
      <c r="C11701" t="str">
        <f>"A0132554"</f>
        <v>A0132554</v>
      </c>
      <c r="D11701" t="s">
        <v>11944</v>
      </c>
      <c r="E11701" t="s">
        <v>42457</v>
      </c>
      <c r="F11701" t="s">
        <v>11946</v>
      </c>
      <c r="G11701" t="s">
        <v>65</v>
      </c>
      <c r="H11701">
        <v>43357</v>
      </c>
      <c r="I11701" t="s">
        <v>30</v>
      </c>
      <c r="J11701" t="s">
        <v>41</v>
      </c>
      <c r="K11701" t="s">
        <v>229</v>
      </c>
      <c r="Q11701">
        <v>0</v>
      </c>
      <c r="R11701">
        <v>254</v>
      </c>
      <c r="S11701">
        <v>254</v>
      </c>
      <c r="T11701" t="s">
        <v>11947</v>
      </c>
    </row>
    <row r="11702" spans="1:20" customFormat="1" ht="15" x14ac:dyDescent="0.25">
      <c r="A11702" t="s">
        <v>35</v>
      </c>
      <c r="B11702" t="s">
        <v>61</v>
      </c>
      <c r="C11702" t="str">
        <f>"A0131599"</f>
        <v>A0131599</v>
      </c>
      <c r="D11702" t="s">
        <v>42458</v>
      </c>
      <c r="E11702" t="s">
        <v>42459</v>
      </c>
      <c r="F11702" t="s">
        <v>16914</v>
      </c>
      <c r="G11702" t="s">
        <v>381</v>
      </c>
      <c r="H11702">
        <v>46032</v>
      </c>
      <c r="I11702" t="s">
        <v>30</v>
      </c>
      <c r="J11702" t="s">
        <v>41</v>
      </c>
      <c r="K11702" t="s">
        <v>229</v>
      </c>
      <c r="Q11702">
        <v>0</v>
      </c>
      <c r="R11702">
        <v>72</v>
      </c>
      <c r="S11702">
        <v>72</v>
      </c>
      <c r="T11702" t="s">
        <v>42460</v>
      </c>
    </row>
    <row r="11703" spans="1:20" customFormat="1" ht="15" x14ac:dyDescent="0.25">
      <c r="A11703" t="s">
        <v>35</v>
      </c>
      <c r="B11703" t="s">
        <v>61</v>
      </c>
      <c r="C11703" t="str">
        <f>"A0128691"</f>
        <v>A0128691</v>
      </c>
      <c r="D11703" t="s">
        <v>42461</v>
      </c>
      <c r="E11703" t="s">
        <v>42462</v>
      </c>
      <c r="F11703" t="s">
        <v>42463</v>
      </c>
      <c r="G11703" t="s">
        <v>1170</v>
      </c>
      <c r="H11703">
        <v>71019</v>
      </c>
      <c r="I11703" t="s">
        <v>30</v>
      </c>
      <c r="J11703" t="s">
        <v>41</v>
      </c>
      <c r="K11703" t="s">
        <v>229</v>
      </c>
      <c r="Q11703">
        <v>0</v>
      </c>
      <c r="R11703">
        <v>55</v>
      </c>
      <c r="S11703">
        <v>55</v>
      </c>
      <c r="T11703" t="s">
        <v>42464</v>
      </c>
    </row>
    <row r="11704" spans="1:20" customFormat="1" ht="15" x14ac:dyDescent="0.25">
      <c r="A11704" t="s">
        <v>35</v>
      </c>
      <c r="B11704" t="s">
        <v>61</v>
      </c>
      <c r="C11704" t="str">
        <f>"A0131328"</f>
        <v>A0131328</v>
      </c>
      <c r="D11704" t="s">
        <v>42465</v>
      </c>
      <c r="E11704" t="s">
        <v>42466</v>
      </c>
      <c r="F11704" t="s">
        <v>39592</v>
      </c>
      <c r="G11704" t="s">
        <v>137</v>
      </c>
      <c r="H11704">
        <v>638010000</v>
      </c>
      <c r="I11704" t="s">
        <v>30</v>
      </c>
      <c r="J11704" t="s">
        <v>41</v>
      </c>
      <c r="K11704" t="s">
        <v>229</v>
      </c>
      <c r="Q11704">
        <v>0</v>
      </c>
      <c r="R11704">
        <v>60</v>
      </c>
      <c r="S11704">
        <v>60</v>
      </c>
      <c r="T11704" t="s">
        <v>42467</v>
      </c>
    </row>
    <row r="11705" spans="1:20" customFormat="1" ht="15" x14ac:dyDescent="0.25">
      <c r="A11705" t="s">
        <v>35</v>
      </c>
      <c r="B11705" t="s">
        <v>61</v>
      </c>
      <c r="C11705" t="str">
        <f>"A0130928"</f>
        <v>A0130928</v>
      </c>
      <c r="D11705" t="s">
        <v>42468</v>
      </c>
      <c r="E11705" t="s">
        <v>42469</v>
      </c>
      <c r="F11705" t="s">
        <v>21269</v>
      </c>
      <c r="G11705" t="s">
        <v>137</v>
      </c>
      <c r="H11705">
        <v>650510000</v>
      </c>
      <c r="I11705" t="s">
        <v>30</v>
      </c>
      <c r="J11705" t="s">
        <v>41</v>
      </c>
      <c r="K11705" t="s">
        <v>229</v>
      </c>
      <c r="Q11705">
        <v>0</v>
      </c>
      <c r="R11705">
        <v>132</v>
      </c>
      <c r="S11705">
        <v>132</v>
      </c>
      <c r="T11705" t="s">
        <v>42470</v>
      </c>
    </row>
    <row r="11706" spans="1:20" customFormat="1" ht="15" x14ac:dyDescent="0.25">
      <c r="A11706" t="s">
        <v>35</v>
      </c>
      <c r="B11706" t="s">
        <v>61</v>
      </c>
      <c r="C11706" t="str">
        <f>"A0127948"</f>
        <v>A0127948</v>
      </c>
      <c r="D11706" t="s">
        <v>42471</v>
      </c>
      <c r="E11706" t="s">
        <v>42472</v>
      </c>
      <c r="F11706" t="s">
        <v>42473</v>
      </c>
      <c r="G11706" t="s">
        <v>117</v>
      </c>
      <c r="H11706">
        <v>49934</v>
      </c>
      <c r="I11706" t="s">
        <v>30</v>
      </c>
      <c r="J11706" t="s">
        <v>41</v>
      </c>
      <c r="K11706" t="s">
        <v>229</v>
      </c>
      <c r="Q11706">
        <v>0</v>
      </c>
      <c r="R11706">
        <v>45</v>
      </c>
      <c r="S11706">
        <v>45</v>
      </c>
      <c r="T11706" t="s">
        <v>42474</v>
      </c>
    </row>
    <row r="11707" spans="1:20" customFormat="1" ht="15" x14ac:dyDescent="0.25">
      <c r="A11707" t="s">
        <v>35</v>
      </c>
      <c r="B11707" t="s">
        <v>61</v>
      </c>
      <c r="C11707" t="str">
        <f>"A0130897"</f>
        <v>A0130897</v>
      </c>
      <c r="D11707" t="s">
        <v>42475</v>
      </c>
      <c r="E11707" t="s">
        <v>42476</v>
      </c>
      <c r="F11707" t="s">
        <v>1655</v>
      </c>
      <c r="G11707" t="s">
        <v>137</v>
      </c>
      <c r="H11707">
        <v>631380000</v>
      </c>
      <c r="I11707" t="s">
        <v>30</v>
      </c>
      <c r="J11707" t="s">
        <v>41</v>
      </c>
      <c r="K11707" t="s">
        <v>229</v>
      </c>
      <c r="Q11707">
        <v>0</v>
      </c>
      <c r="R11707">
        <v>206</v>
      </c>
      <c r="S11707">
        <v>206</v>
      </c>
      <c r="T11707" t="s">
        <v>42477</v>
      </c>
    </row>
    <row r="11708" spans="1:20" customFormat="1" ht="15" x14ac:dyDescent="0.25">
      <c r="A11708" t="s">
        <v>35</v>
      </c>
      <c r="B11708" t="s">
        <v>61</v>
      </c>
      <c r="C11708" t="str">
        <f>"A0131916"</f>
        <v>A0131916</v>
      </c>
      <c r="D11708" t="s">
        <v>42478</v>
      </c>
      <c r="E11708" t="s">
        <v>42479</v>
      </c>
      <c r="F11708" t="s">
        <v>39662</v>
      </c>
      <c r="G11708" t="s">
        <v>65</v>
      </c>
      <c r="H11708">
        <v>44512</v>
      </c>
      <c r="I11708" t="s">
        <v>30</v>
      </c>
      <c r="J11708" t="s">
        <v>41</v>
      </c>
      <c r="K11708" t="s">
        <v>3713</v>
      </c>
      <c r="Q11708">
        <v>0</v>
      </c>
      <c r="R11708">
        <v>29</v>
      </c>
      <c r="S11708">
        <v>29</v>
      </c>
      <c r="T11708" t="s">
        <v>42480</v>
      </c>
    </row>
    <row r="11709" spans="1:20" customFormat="1" ht="15" x14ac:dyDescent="0.25">
      <c r="A11709" t="s">
        <v>35</v>
      </c>
      <c r="B11709" t="s">
        <v>61</v>
      </c>
      <c r="C11709" t="str">
        <f>"A0123382"</f>
        <v>A0123382</v>
      </c>
      <c r="D11709" t="s">
        <v>42481</v>
      </c>
      <c r="E11709" t="s">
        <v>42482</v>
      </c>
      <c r="F11709" t="s">
        <v>18414</v>
      </c>
      <c r="G11709" t="s">
        <v>507</v>
      </c>
      <c r="H11709">
        <v>24901</v>
      </c>
      <c r="I11709" t="s">
        <v>30</v>
      </c>
      <c r="J11709" t="s">
        <v>41</v>
      </c>
      <c r="K11709" t="s">
        <v>229</v>
      </c>
      <c r="Q11709">
        <v>0</v>
      </c>
      <c r="R11709">
        <v>100</v>
      </c>
      <c r="S11709">
        <v>100</v>
      </c>
      <c r="T11709" t="s">
        <v>42483</v>
      </c>
    </row>
    <row r="11710" spans="1:20" customFormat="1" ht="15" x14ac:dyDescent="0.25">
      <c r="A11710" t="s">
        <v>35</v>
      </c>
      <c r="B11710" t="s">
        <v>61</v>
      </c>
      <c r="C11710" t="str">
        <f>"A0130845"</f>
        <v>A0130845</v>
      </c>
      <c r="D11710" t="s">
        <v>42484</v>
      </c>
      <c r="E11710" t="s">
        <v>42485</v>
      </c>
      <c r="F11710" t="s">
        <v>42486</v>
      </c>
      <c r="G11710" t="s">
        <v>85</v>
      </c>
      <c r="H11710">
        <v>724500000</v>
      </c>
      <c r="I11710" t="s">
        <v>30</v>
      </c>
      <c r="J11710" t="s">
        <v>41</v>
      </c>
      <c r="K11710" t="s">
        <v>229</v>
      </c>
      <c r="Q11710">
        <v>0</v>
      </c>
      <c r="R11710">
        <v>125</v>
      </c>
      <c r="S11710">
        <v>125</v>
      </c>
      <c r="T11710" t="s">
        <v>42487</v>
      </c>
    </row>
    <row r="11711" spans="1:20" customFormat="1" ht="15" x14ac:dyDescent="0.25">
      <c r="A11711" t="s">
        <v>35</v>
      </c>
      <c r="B11711" t="s">
        <v>61</v>
      </c>
      <c r="C11711" t="str">
        <f>"A0123384"</f>
        <v>A0123384</v>
      </c>
      <c r="D11711" t="s">
        <v>42488</v>
      </c>
      <c r="E11711" t="s">
        <v>42489</v>
      </c>
      <c r="F11711" t="s">
        <v>4094</v>
      </c>
      <c r="G11711" t="s">
        <v>29</v>
      </c>
      <c r="H11711">
        <v>22405</v>
      </c>
      <c r="I11711" t="s">
        <v>30</v>
      </c>
      <c r="J11711" t="s">
        <v>41</v>
      </c>
      <c r="K11711" t="s">
        <v>482</v>
      </c>
      <c r="Q11711">
        <v>0</v>
      </c>
      <c r="R11711">
        <v>60</v>
      </c>
      <c r="S11711">
        <v>60</v>
      </c>
      <c r="T11711" t="s">
        <v>42490</v>
      </c>
    </row>
    <row r="11712" spans="1:20" customFormat="1" ht="15" x14ac:dyDescent="0.25">
      <c r="A11712" t="s">
        <v>35</v>
      </c>
      <c r="B11712" t="s">
        <v>61</v>
      </c>
      <c r="C11712" t="str">
        <f>"A0123385"</f>
        <v>A0123385</v>
      </c>
      <c r="D11712" t="s">
        <v>42491</v>
      </c>
      <c r="E11712" t="s">
        <v>42492</v>
      </c>
      <c r="F11712" t="s">
        <v>1501</v>
      </c>
      <c r="G11712" t="s">
        <v>880</v>
      </c>
      <c r="H11712" t="s">
        <v>42493</v>
      </c>
      <c r="I11712" t="s">
        <v>30</v>
      </c>
      <c r="J11712" t="s">
        <v>41</v>
      </c>
      <c r="K11712" t="s">
        <v>482</v>
      </c>
      <c r="Q11712">
        <v>0</v>
      </c>
      <c r="R11712">
        <v>1</v>
      </c>
      <c r="S11712">
        <v>1</v>
      </c>
      <c r="T11712" t="s">
        <v>42494</v>
      </c>
    </row>
    <row r="11713" spans="1:20" customFormat="1" ht="15" x14ac:dyDescent="0.25">
      <c r="A11713" t="s">
        <v>35</v>
      </c>
      <c r="B11713" t="s">
        <v>61</v>
      </c>
      <c r="C11713" t="str">
        <f>"A0124865"</f>
        <v>A0124865</v>
      </c>
      <c r="D11713" t="s">
        <v>42495</v>
      </c>
      <c r="E11713" t="s">
        <v>42496</v>
      </c>
      <c r="F11713" t="s">
        <v>93</v>
      </c>
      <c r="G11713" t="s">
        <v>214</v>
      </c>
      <c r="H11713">
        <v>27834</v>
      </c>
      <c r="I11713" t="s">
        <v>30</v>
      </c>
      <c r="J11713" t="s">
        <v>41</v>
      </c>
      <c r="K11713" t="s">
        <v>229</v>
      </c>
      <c r="Q11713">
        <v>0</v>
      </c>
      <c r="R11713">
        <v>150</v>
      </c>
      <c r="S11713">
        <v>150</v>
      </c>
      <c r="T11713" t="s">
        <v>42497</v>
      </c>
    </row>
    <row r="11714" spans="1:20" customFormat="1" ht="15" x14ac:dyDescent="0.25">
      <c r="A11714" t="s">
        <v>35</v>
      </c>
      <c r="B11714" t="s">
        <v>61</v>
      </c>
      <c r="C11714" t="str">
        <f>"A0127873"</f>
        <v>A0127873</v>
      </c>
      <c r="D11714" t="s">
        <v>42498</v>
      </c>
      <c r="E11714" t="s">
        <v>42499</v>
      </c>
      <c r="F11714" t="s">
        <v>26186</v>
      </c>
      <c r="G11714" t="s">
        <v>117</v>
      </c>
      <c r="H11714">
        <v>48073</v>
      </c>
      <c r="I11714" t="s">
        <v>30</v>
      </c>
      <c r="J11714" t="s">
        <v>41</v>
      </c>
      <c r="K11714" t="s">
        <v>229</v>
      </c>
      <c r="Q11714">
        <v>0</v>
      </c>
      <c r="R11714">
        <v>151</v>
      </c>
      <c r="S11714">
        <v>151</v>
      </c>
      <c r="T11714" t="s">
        <v>42500</v>
      </c>
    </row>
    <row r="11715" spans="1:20" customFormat="1" ht="15" x14ac:dyDescent="0.25">
      <c r="A11715" t="s">
        <v>35</v>
      </c>
      <c r="B11715" t="s">
        <v>61</v>
      </c>
      <c r="C11715" t="str">
        <f>"A0126074"</f>
        <v>A0126074</v>
      </c>
      <c r="D11715" t="s">
        <v>42501</v>
      </c>
      <c r="E11715" t="s">
        <v>42502</v>
      </c>
      <c r="F11715" t="s">
        <v>853</v>
      </c>
      <c r="G11715" t="s">
        <v>52</v>
      </c>
      <c r="H11715">
        <v>76108</v>
      </c>
      <c r="I11715" t="s">
        <v>30</v>
      </c>
      <c r="J11715" t="s">
        <v>41</v>
      </c>
      <c r="K11715" t="s">
        <v>59</v>
      </c>
      <c r="Q11715">
        <v>0</v>
      </c>
      <c r="R11715">
        <v>99</v>
      </c>
      <c r="S11715">
        <v>99</v>
      </c>
      <c r="T11715" t="s">
        <v>42503</v>
      </c>
    </row>
    <row r="11716" spans="1:20" customFormat="1" ht="15" x14ac:dyDescent="0.25">
      <c r="A11716" t="s">
        <v>35</v>
      </c>
      <c r="B11716" t="s">
        <v>61</v>
      </c>
      <c r="C11716" t="str">
        <f>"A0127073"</f>
        <v>A0127073</v>
      </c>
      <c r="D11716" t="s">
        <v>42504</v>
      </c>
      <c r="E11716" t="s">
        <v>42505</v>
      </c>
      <c r="F11716" t="s">
        <v>19198</v>
      </c>
      <c r="G11716" t="s">
        <v>103</v>
      </c>
      <c r="H11716">
        <v>18901</v>
      </c>
      <c r="I11716" t="s">
        <v>30</v>
      </c>
      <c r="J11716" t="s">
        <v>41</v>
      </c>
      <c r="K11716" t="s">
        <v>229</v>
      </c>
      <c r="Q11716">
        <v>0</v>
      </c>
      <c r="R11716">
        <v>130</v>
      </c>
      <c r="S11716">
        <v>130</v>
      </c>
      <c r="T11716" t="s">
        <v>42506</v>
      </c>
    </row>
    <row r="11717" spans="1:20" customFormat="1" ht="15" x14ac:dyDescent="0.25">
      <c r="A11717" t="s">
        <v>35</v>
      </c>
      <c r="B11717" t="s">
        <v>61</v>
      </c>
      <c r="C11717" t="str">
        <f>"A0127403"</f>
        <v>A0127403</v>
      </c>
      <c r="D11717" t="s">
        <v>42507</v>
      </c>
      <c r="E11717" t="s">
        <v>42508</v>
      </c>
      <c r="F11717" t="s">
        <v>1747</v>
      </c>
      <c r="G11717" t="s">
        <v>846</v>
      </c>
      <c r="H11717">
        <v>30214</v>
      </c>
      <c r="I11717" t="s">
        <v>30</v>
      </c>
      <c r="J11717" t="s">
        <v>41</v>
      </c>
      <c r="K11717" t="s">
        <v>2463</v>
      </c>
      <c r="Q11717">
        <v>0</v>
      </c>
      <c r="R11717">
        <v>0</v>
      </c>
      <c r="S11717">
        <v>0</v>
      </c>
      <c r="T11717" t="s">
        <v>42509</v>
      </c>
    </row>
    <row r="11718" spans="1:20" customFormat="1" ht="15" x14ac:dyDescent="0.25">
      <c r="A11718" t="s">
        <v>35</v>
      </c>
      <c r="B11718" t="s">
        <v>61</v>
      </c>
      <c r="C11718" t="str">
        <f>"A0123796"</f>
        <v>A0123796</v>
      </c>
      <c r="D11718" t="s">
        <v>42510</v>
      </c>
      <c r="E11718" t="s">
        <v>42511</v>
      </c>
      <c r="F11718" t="s">
        <v>1755</v>
      </c>
      <c r="G11718" t="s">
        <v>29</v>
      </c>
      <c r="H11718">
        <v>22150</v>
      </c>
      <c r="I11718" t="s">
        <v>30</v>
      </c>
      <c r="J11718" t="s">
        <v>41</v>
      </c>
      <c r="K11718" t="s">
        <v>229</v>
      </c>
      <c r="Q11718">
        <v>0</v>
      </c>
      <c r="R11718">
        <v>60</v>
      </c>
      <c r="S11718">
        <v>60</v>
      </c>
      <c r="T11718" t="s">
        <v>42512</v>
      </c>
    </row>
    <row r="11719" spans="1:20" customFormat="1" ht="15" x14ac:dyDescent="0.25">
      <c r="A11719" t="s">
        <v>35</v>
      </c>
      <c r="B11719" t="s">
        <v>61</v>
      </c>
      <c r="C11719" t="str">
        <f>"A0123797"</f>
        <v>A0123797</v>
      </c>
      <c r="D11719" t="s">
        <v>42513</v>
      </c>
      <c r="E11719" t="s">
        <v>42514</v>
      </c>
      <c r="F11719" t="s">
        <v>37117</v>
      </c>
      <c r="G11719" t="s">
        <v>29</v>
      </c>
      <c r="H11719">
        <v>238471224</v>
      </c>
      <c r="I11719" t="s">
        <v>30</v>
      </c>
      <c r="J11719" t="s">
        <v>41</v>
      </c>
      <c r="K11719" t="s">
        <v>229</v>
      </c>
      <c r="Q11719">
        <v>0</v>
      </c>
      <c r="R11719">
        <v>65</v>
      </c>
      <c r="S11719">
        <v>65</v>
      </c>
      <c r="T11719" t="s">
        <v>42515</v>
      </c>
    </row>
    <row r="11720" spans="1:20" customFormat="1" ht="15" x14ac:dyDescent="0.25">
      <c r="A11720" t="s">
        <v>35</v>
      </c>
      <c r="B11720" t="s">
        <v>61</v>
      </c>
      <c r="C11720" t="str">
        <f>"A0124604"</f>
        <v>A0124604</v>
      </c>
      <c r="D11720" t="s">
        <v>42516</v>
      </c>
      <c r="E11720" t="s">
        <v>42517</v>
      </c>
      <c r="F11720" t="s">
        <v>93</v>
      </c>
      <c r="G11720" t="s">
        <v>1369</v>
      </c>
      <c r="H11720">
        <v>387010000</v>
      </c>
      <c r="I11720" t="s">
        <v>30</v>
      </c>
      <c r="J11720" t="s">
        <v>41</v>
      </c>
      <c r="K11720" t="s">
        <v>229</v>
      </c>
      <c r="Q11720">
        <v>0</v>
      </c>
      <c r="R11720">
        <v>60</v>
      </c>
      <c r="S11720">
        <v>60</v>
      </c>
      <c r="T11720" t="s">
        <v>42518</v>
      </c>
    </row>
    <row r="11721" spans="1:20" customFormat="1" ht="15" x14ac:dyDescent="0.25">
      <c r="A11721" t="s">
        <v>35</v>
      </c>
      <c r="B11721" t="s">
        <v>61</v>
      </c>
      <c r="C11721" t="str">
        <f>"A0130380"</f>
        <v>A0130380</v>
      </c>
      <c r="D11721" t="s">
        <v>42519</v>
      </c>
      <c r="E11721" t="s">
        <v>42520</v>
      </c>
      <c r="F11721" t="s">
        <v>42521</v>
      </c>
      <c r="G11721" t="s">
        <v>71</v>
      </c>
      <c r="H11721">
        <v>53588</v>
      </c>
      <c r="I11721" t="s">
        <v>30</v>
      </c>
      <c r="J11721" t="s">
        <v>41</v>
      </c>
      <c r="K11721" t="s">
        <v>229</v>
      </c>
      <c r="Q11721">
        <v>0</v>
      </c>
      <c r="R11721">
        <v>60</v>
      </c>
      <c r="S11721">
        <v>60</v>
      </c>
      <c r="T11721" t="s">
        <v>42522</v>
      </c>
    </row>
    <row r="11722" spans="1:20" customFormat="1" ht="15" x14ac:dyDescent="0.25">
      <c r="A11722" t="s">
        <v>35</v>
      </c>
      <c r="B11722" t="s">
        <v>61</v>
      </c>
      <c r="C11722" t="str">
        <f>"A0151511"</f>
        <v>A0151511</v>
      </c>
      <c r="D11722" t="s">
        <v>42523</v>
      </c>
      <c r="E11722" t="s">
        <v>42524</v>
      </c>
      <c r="F11722" t="s">
        <v>7523</v>
      </c>
      <c r="G11722" t="s">
        <v>110</v>
      </c>
      <c r="H11722">
        <v>94901</v>
      </c>
      <c r="I11722" t="s">
        <v>30</v>
      </c>
      <c r="J11722" t="s">
        <v>41</v>
      </c>
      <c r="K11722" t="s">
        <v>1032</v>
      </c>
      <c r="Q11722">
        <v>0</v>
      </c>
      <c r="R11722">
        <v>30</v>
      </c>
      <c r="S11722">
        <v>30</v>
      </c>
      <c r="T11722" t="s">
        <v>42525</v>
      </c>
    </row>
    <row r="11723" spans="1:20" customFormat="1" ht="15" x14ac:dyDescent="0.25">
      <c r="A11723" t="s">
        <v>35</v>
      </c>
      <c r="B11723" t="s">
        <v>61</v>
      </c>
      <c r="C11723" t="str">
        <f>"A0123798"</f>
        <v>A0123798</v>
      </c>
      <c r="D11723" t="s">
        <v>42523</v>
      </c>
      <c r="E11723" t="s">
        <v>42526</v>
      </c>
      <c r="F11723" t="s">
        <v>12375</v>
      </c>
      <c r="G11723" t="s">
        <v>29</v>
      </c>
      <c r="H11723">
        <v>24060</v>
      </c>
      <c r="I11723" t="s">
        <v>30</v>
      </c>
      <c r="J11723" t="s">
        <v>41</v>
      </c>
      <c r="K11723" t="s">
        <v>482</v>
      </c>
      <c r="Q11723">
        <v>0</v>
      </c>
      <c r="R11723">
        <v>70</v>
      </c>
      <c r="S11723">
        <v>70</v>
      </c>
      <c r="T11723" t="s">
        <v>42527</v>
      </c>
    </row>
    <row r="11724" spans="1:20" customFormat="1" ht="15" x14ac:dyDescent="0.25">
      <c r="A11724" t="s">
        <v>35</v>
      </c>
      <c r="B11724" t="s">
        <v>61</v>
      </c>
      <c r="C11724" t="str">
        <f>"A0129238"</f>
        <v>A0129238</v>
      </c>
      <c r="D11724" t="s">
        <v>42528</v>
      </c>
      <c r="E11724" t="s">
        <v>42529</v>
      </c>
      <c r="F11724" t="s">
        <v>38709</v>
      </c>
      <c r="G11724" t="s">
        <v>289</v>
      </c>
      <c r="H11724">
        <v>62231</v>
      </c>
      <c r="I11724" t="s">
        <v>30</v>
      </c>
      <c r="J11724" t="s">
        <v>41</v>
      </c>
      <c r="K11724" t="s">
        <v>290</v>
      </c>
      <c r="Q11724">
        <v>0</v>
      </c>
      <c r="R11724">
        <v>1</v>
      </c>
      <c r="S11724">
        <v>1</v>
      </c>
      <c r="T11724" t="s">
        <v>42530</v>
      </c>
    </row>
    <row r="11725" spans="1:20" customFormat="1" ht="15" x14ac:dyDescent="0.25">
      <c r="A11725" t="s">
        <v>35</v>
      </c>
      <c r="B11725" t="s">
        <v>61</v>
      </c>
      <c r="C11725" t="str">
        <f>"A0125300"</f>
        <v>A0125300</v>
      </c>
      <c r="D11725" t="s">
        <v>42531</v>
      </c>
      <c r="E11725" t="s">
        <v>42532</v>
      </c>
      <c r="F11725" t="s">
        <v>42533</v>
      </c>
      <c r="G11725" t="s">
        <v>40</v>
      </c>
      <c r="H11725">
        <v>73055</v>
      </c>
      <c r="I11725" t="s">
        <v>30</v>
      </c>
      <c r="J11725" t="s">
        <v>41</v>
      </c>
      <c r="K11725" t="s">
        <v>229</v>
      </c>
      <c r="Q11725">
        <v>0</v>
      </c>
      <c r="R11725">
        <v>96</v>
      </c>
      <c r="S11725">
        <v>96</v>
      </c>
      <c r="T11725" t="s">
        <v>40929</v>
      </c>
    </row>
    <row r="11726" spans="1:20" customFormat="1" ht="15" x14ac:dyDescent="0.25">
      <c r="A11726" t="s">
        <v>35</v>
      </c>
      <c r="B11726" t="s">
        <v>61</v>
      </c>
      <c r="C11726" t="str">
        <f>"A0118408"</f>
        <v>A0118408</v>
      </c>
      <c r="D11726" t="s">
        <v>42534</v>
      </c>
      <c r="E11726" t="s">
        <v>42535</v>
      </c>
      <c r="F11726" t="s">
        <v>41175</v>
      </c>
      <c r="G11726" t="s">
        <v>110</v>
      </c>
      <c r="H11726">
        <v>96038</v>
      </c>
      <c r="I11726" t="s">
        <v>30</v>
      </c>
      <c r="J11726" t="s">
        <v>41</v>
      </c>
      <c r="K11726" t="s">
        <v>59</v>
      </c>
      <c r="Q11726">
        <v>0</v>
      </c>
      <c r="R11726">
        <v>100</v>
      </c>
      <c r="S11726">
        <v>100</v>
      </c>
      <c r="T11726" t="s">
        <v>42536</v>
      </c>
    </row>
    <row r="11727" spans="1:20" customFormat="1" ht="15" x14ac:dyDescent="0.25">
      <c r="A11727" t="s">
        <v>35</v>
      </c>
      <c r="B11727" t="s">
        <v>61</v>
      </c>
      <c r="C11727" t="str">
        <f>"A0123391"</f>
        <v>A0123391</v>
      </c>
      <c r="D11727" t="s">
        <v>42537</v>
      </c>
      <c r="E11727" t="s">
        <v>42538</v>
      </c>
      <c r="F11727" t="s">
        <v>8103</v>
      </c>
      <c r="G11727" t="s">
        <v>29</v>
      </c>
      <c r="H11727" t="s">
        <v>42539</v>
      </c>
      <c r="I11727" t="s">
        <v>30</v>
      </c>
      <c r="J11727" t="s">
        <v>41</v>
      </c>
      <c r="K11727" t="s">
        <v>229</v>
      </c>
      <c r="Q11727">
        <v>0</v>
      </c>
      <c r="R11727">
        <v>90</v>
      </c>
      <c r="S11727">
        <v>90</v>
      </c>
      <c r="T11727" t="s">
        <v>42540</v>
      </c>
    </row>
    <row r="11728" spans="1:20" customFormat="1" ht="15" x14ac:dyDescent="0.25">
      <c r="A11728" t="s">
        <v>35</v>
      </c>
      <c r="B11728" t="s">
        <v>61</v>
      </c>
      <c r="C11728" t="str">
        <f>"A0124050"</f>
        <v>A0124050</v>
      </c>
      <c r="D11728" t="s">
        <v>42541</v>
      </c>
      <c r="E11728" t="s">
        <v>42542</v>
      </c>
      <c r="F11728" t="s">
        <v>42543</v>
      </c>
      <c r="G11728" t="s">
        <v>29</v>
      </c>
      <c r="H11728">
        <v>24224</v>
      </c>
      <c r="I11728" t="s">
        <v>30</v>
      </c>
      <c r="J11728" t="s">
        <v>41</v>
      </c>
      <c r="K11728" t="s">
        <v>482</v>
      </c>
      <c r="Q11728">
        <v>0</v>
      </c>
      <c r="R11728">
        <v>60</v>
      </c>
      <c r="S11728">
        <v>60</v>
      </c>
      <c r="T11728" t="s">
        <v>42544</v>
      </c>
    </row>
    <row r="11729" spans="1:20" customFormat="1" ht="15" x14ac:dyDescent="0.25">
      <c r="A11729" t="s">
        <v>35</v>
      </c>
      <c r="B11729" t="s">
        <v>61</v>
      </c>
      <c r="C11729" t="str">
        <f>"A0124599"</f>
        <v>A0124599</v>
      </c>
      <c r="D11729" t="s">
        <v>42545</v>
      </c>
      <c r="E11729" t="s">
        <v>42546</v>
      </c>
      <c r="F11729" t="s">
        <v>23386</v>
      </c>
      <c r="G11729" t="s">
        <v>1706</v>
      </c>
      <c r="H11729">
        <v>358020000</v>
      </c>
      <c r="I11729" t="s">
        <v>30</v>
      </c>
      <c r="J11729" t="s">
        <v>41</v>
      </c>
      <c r="K11729" t="s">
        <v>59</v>
      </c>
      <c r="Q11729">
        <v>0</v>
      </c>
      <c r="R11729">
        <v>64</v>
      </c>
      <c r="S11729">
        <v>64</v>
      </c>
      <c r="T11729" t="s">
        <v>42547</v>
      </c>
    </row>
    <row r="11730" spans="1:20" customFormat="1" ht="15" x14ac:dyDescent="0.25">
      <c r="A11730" t="s">
        <v>35</v>
      </c>
      <c r="B11730" t="s">
        <v>61</v>
      </c>
      <c r="C11730" t="str">
        <f>"A0155445"</f>
        <v>A0155445</v>
      </c>
      <c r="D11730" t="s">
        <v>42548</v>
      </c>
      <c r="E11730" t="s">
        <v>42549</v>
      </c>
      <c r="F11730" t="s">
        <v>42550</v>
      </c>
      <c r="G11730" t="s">
        <v>65</v>
      </c>
      <c r="H11730">
        <v>44124</v>
      </c>
      <c r="I11730" t="s">
        <v>30</v>
      </c>
      <c r="J11730" t="s">
        <v>41</v>
      </c>
      <c r="K11730" t="s">
        <v>112</v>
      </c>
      <c r="Q11730">
        <v>0</v>
      </c>
      <c r="R11730">
        <v>0</v>
      </c>
      <c r="S11730">
        <v>0</v>
      </c>
      <c r="T11730" t="s">
        <v>42551</v>
      </c>
    </row>
    <row r="11731" spans="1:20" customFormat="1" ht="15" x14ac:dyDescent="0.25">
      <c r="A11731" t="s">
        <v>35</v>
      </c>
      <c r="B11731" t="s">
        <v>106</v>
      </c>
      <c r="C11731" t="str">
        <f>"A0135371"</f>
        <v>A0135371</v>
      </c>
      <c r="D11731" t="s">
        <v>42552</v>
      </c>
      <c r="E11731" t="s">
        <v>40225</v>
      </c>
      <c r="F11731" t="s">
        <v>1439</v>
      </c>
      <c r="G11731" t="s">
        <v>110</v>
      </c>
      <c r="H11731">
        <v>92182</v>
      </c>
      <c r="I11731" t="s">
        <v>30</v>
      </c>
      <c r="J11731" t="s">
        <v>111</v>
      </c>
      <c r="K11731" t="s">
        <v>10012</v>
      </c>
      <c r="Q11731">
        <v>0</v>
      </c>
      <c r="R11731">
        <v>0</v>
      </c>
      <c r="S11731">
        <v>0</v>
      </c>
      <c r="T11731" t="s">
        <v>37152</v>
      </c>
    </row>
    <row r="11732" spans="1:20" customFormat="1" ht="15" x14ac:dyDescent="0.25">
      <c r="A11732" t="s">
        <v>35</v>
      </c>
      <c r="B11732" t="s">
        <v>396</v>
      </c>
      <c r="C11732" t="str">
        <f>"A0121273"</f>
        <v>A0121273</v>
      </c>
      <c r="D11732" t="s">
        <v>42553</v>
      </c>
      <c r="E11732" t="s">
        <v>42554</v>
      </c>
      <c r="F11732" t="s">
        <v>36308</v>
      </c>
      <c r="G11732" t="s">
        <v>153</v>
      </c>
      <c r="H11732">
        <v>84042</v>
      </c>
      <c r="I11732" t="s">
        <v>30</v>
      </c>
      <c r="J11732" t="s">
        <v>41</v>
      </c>
      <c r="K11732" t="s">
        <v>59</v>
      </c>
      <c r="Q11732">
        <v>0</v>
      </c>
      <c r="R11732">
        <v>47</v>
      </c>
      <c r="S11732">
        <v>47</v>
      </c>
      <c r="T11732" t="s">
        <v>42555</v>
      </c>
    </row>
    <row r="11733" spans="1:20" customFormat="1" ht="15" x14ac:dyDescent="0.25">
      <c r="A11733" t="s">
        <v>35</v>
      </c>
      <c r="B11733" t="s">
        <v>61</v>
      </c>
      <c r="C11733" t="str">
        <f>"A0133285"</f>
        <v>A0133285</v>
      </c>
      <c r="D11733" t="s">
        <v>42556</v>
      </c>
      <c r="E11733" t="s">
        <v>42557</v>
      </c>
      <c r="F11733" t="s">
        <v>42558</v>
      </c>
      <c r="G11733" t="s">
        <v>52</v>
      </c>
      <c r="H11733">
        <v>75845</v>
      </c>
      <c r="I11733" t="s">
        <v>30</v>
      </c>
      <c r="J11733" t="s">
        <v>41</v>
      </c>
      <c r="K11733" t="s">
        <v>229</v>
      </c>
      <c r="Q11733">
        <v>0</v>
      </c>
      <c r="R11733">
        <v>51</v>
      </c>
      <c r="S11733">
        <v>51</v>
      </c>
      <c r="T11733" t="s">
        <v>42559</v>
      </c>
    </row>
    <row r="11734" spans="1:20" customFormat="1" ht="15" x14ac:dyDescent="0.25">
      <c r="A11734" t="s">
        <v>35</v>
      </c>
      <c r="B11734" t="s">
        <v>61</v>
      </c>
      <c r="C11734" t="str">
        <f>"A0123393"</f>
        <v>A0123393</v>
      </c>
      <c r="D11734" t="s">
        <v>42560</v>
      </c>
      <c r="E11734" t="s">
        <v>42561</v>
      </c>
      <c r="F11734" t="s">
        <v>19113</v>
      </c>
      <c r="G11734" t="s">
        <v>528</v>
      </c>
      <c r="H11734">
        <v>19709</v>
      </c>
      <c r="I11734" t="s">
        <v>30</v>
      </c>
      <c r="J11734" t="s">
        <v>41</v>
      </c>
      <c r="K11734" t="s">
        <v>391</v>
      </c>
      <c r="Q11734">
        <v>0</v>
      </c>
      <c r="R11734">
        <v>0</v>
      </c>
      <c r="S11734">
        <v>0</v>
      </c>
      <c r="T11734" t="s">
        <v>42562</v>
      </c>
    </row>
    <row r="11735" spans="1:20" customFormat="1" ht="15" x14ac:dyDescent="0.25">
      <c r="A11735" t="s">
        <v>35</v>
      </c>
      <c r="B11735" t="s">
        <v>61</v>
      </c>
      <c r="C11735" t="str">
        <f>"A0129528"</f>
        <v>A0129528</v>
      </c>
      <c r="D11735" t="s">
        <v>42563</v>
      </c>
      <c r="E11735" t="s">
        <v>42564</v>
      </c>
      <c r="F11735" t="s">
        <v>5679</v>
      </c>
      <c r="G11735" t="s">
        <v>289</v>
      </c>
      <c r="H11735">
        <v>60015</v>
      </c>
      <c r="I11735" t="s">
        <v>30</v>
      </c>
      <c r="J11735" t="s">
        <v>41</v>
      </c>
      <c r="K11735" t="s">
        <v>391</v>
      </c>
      <c r="Q11735">
        <v>0</v>
      </c>
      <c r="R11735">
        <v>0</v>
      </c>
      <c r="S11735">
        <v>0</v>
      </c>
      <c r="T11735" t="s">
        <v>42565</v>
      </c>
    </row>
    <row r="11736" spans="1:20" customFormat="1" ht="15" x14ac:dyDescent="0.25">
      <c r="A11736" t="s">
        <v>35</v>
      </c>
      <c r="B11736" t="s">
        <v>61</v>
      </c>
      <c r="C11736" t="str">
        <f>"A0133011"</f>
        <v>A0133011</v>
      </c>
      <c r="D11736" t="s">
        <v>42566</v>
      </c>
      <c r="E11736" t="s">
        <v>42567</v>
      </c>
      <c r="F11736" t="s">
        <v>17954</v>
      </c>
      <c r="G11736" t="s">
        <v>52</v>
      </c>
      <c r="H11736">
        <v>78130</v>
      </c>
      <c r="I11736" t="s">
        <v>30</v>
      </c>
      <c r="J11736" t="s">
        <v>41</v>
      </c>
      <c r="K11736" t="s">
        <v>59</v>
      </c>
      <c r="Q11736">
        <v>0</v>
      </c>
      <c r="R11736">
        <v>51</v>
      </c>
      <c r="S11736">
        <v>51</v>
      </c>
      <c r="T11736" t="s">
        <v>42568</v>
      </c>
    </row>
    <row r="11737" spans="1:20" customFormat="1" ht="15" x14ac:dyDescent="0.25">
      <c r="A11737" t="s">
        <v>35</v>
      </c>
      <c r="B11737" t="s">
        <v>61</v>
      </c>
      <c r="C11737" t="str">
        <f>"A0123397"</f>
        <v>A0123397</v>
      </c>
      <c r="D11737" t="s">
        <v>42569</v>
      </c>
      <c r="E11737" t="s">
        <v>42570</v>
      </c>
      <c r="F11737" t="s">
        <v>26644</v>
      </c>
      <c r="G11737" t="s">
        <v>214</v>
      </c>
      <c r="H11737">
        <v>27804</v>
      </c>
      <c r="I11737" t="s">
        <v>30</v>
      </c>
      <c r="J11737" t="s">
        <v>41</v>
      </c>
      <c r="K11737" t="s">
        <v>59</v>
      </c>
      <c r="Q11737">
        <v>0</v>
      </c>
      <c r="R11737">
        <v>1</v>
      </c>
      <c r="S11737">
        <v>1</v>
      </c>
      <c r="T11737" t="s">
        <v>42571</v>
      </c>
    </row>
    <row r="11738" spans="1:20" customFormat="1" ht="15" x14ac:dyDescent="0.25">
      <c r="A11738" t="s">
        <v>35</v>
      </c>
      <c r="B11738" t="s">
        <v>61</v>
      </c>
      <c r="C11738" t="str">
        <f>"A0123399"</f>
        <v>A0123399</v>
      </c>
      <c r="D11738" t="s">
        <v>42572</v>
      </c>
      <c r="E11738" t="s">
        <v>42573</v>
      </c>
      <c r="F11738" t="s">
        <v>42574</v>
      </c>
      <c r="G11738" t="s">
        <v>214</v>
      </c>
      <c r="H11738">
        <v>27597</v>
      </c>
      <c r="I11738" t="s">
        <v>30</v>
      </c>
      <c r="J11738" t="s">
        <v>41</v>
      </c>
      <c r="K11738" t="s">
        <v>59</v>
      </c>
      <c r="Q11738">
        <v>0</v>
      </c>
      <c r="R11738">
        <v>1</v>
      </c>
      <c r="S11738">
        <v>1</v>
      </c>
      <c r="T11738" t="s">
        <v>42575</v>
      </c>
    </row>
    <row r="11739" spans="1:20" customFormat="1" ht="15" x14ac:dyDescent="0.25">
      <c r="A11739" t="s">
        <v>35</v>
      </c>
      <c r="B11739" t="s">
        <v>61</v>
      </c>
      <c r="C11739" t="str">
        <f>"A0131974"</f>
        <v>A0131974</v>
      </c>
      <c r="D11739" t="s">
        <v>42576</v>
      </c>
      <c r="E11739" t="s">
        <v>42577</v>
      </c>
      <c r="F11739" t="s">
        <v>42578</v>
      </c>
      <c r="G11739" t="s">
        <v>65</v>
      </c>
      <c r="H11739">
        <v>43723</v>
      </c>
      <c r="I11739" t="s">
        <v>30</v>
      </c>
      <c r="J11739" t="s">
        <v>41</v>
      </c>
      <c r="K11739" t="s">
        <v>131</v>
      </c>
      <c r="Q11739">
        <v>0</v>
      </c>
      <c r="R11739">
        <v>85</v>
      </c>
      <c r="S11739">
        <v>85</v>
      </c>
      <c r="T11739" t="s">
        <v>42579</v>
      </c>
    </row>
    <row r="11740" spans="1:20" customFormat="1" ht="15" x14ac:dyDescent="0.25">
      <c r="A11740" t="s">
        <v>35</v>
      </c>
      <c r="B11740" t="s">
        <v>61</v>
      </c>
      <c r="C11740" t="str">
        <f>"A0132849"</f>
        <v>A0132849</v>
      </c>
      <c r="D11740" t="s">
        <v>42580</v>
      </c>
      <c r="E11740" t="s">
        <v>42581</v>
      </c>
      <c r="F11740" t="s">
        <v>7112</v>
      </c>
      <c r="G11740" t="s">
        <v>65</v>
      </c>
      <c r="H11740">
        <v>43725</v>
      </c>
      <c r="I11740" t="s">
        <v>30</v>
      </c>
      <c r="J11740" t="s">
        <v>41</v>
      </c>
      <c r="K11740" t="s">
        <v>2760</v>
      </c>
      <c r="Q11740">
        <v>0</v>
      </c>
      <c r="R11740">
        <v>0</v>
      </c>
      <c r="S11740">
        <v>0</v>
      </c>
      <c r="T11740" t="s">
        <v>42582</v>
      </c>
    </row>
    <row r="11741" spans="1:20" customFormat="1" ht="15" x14ac:dyDescent="0.25">
      <c r="A11741" t="s">
        <v>35</v>
      </c>
      <c r="B11741" t="s">
        <v>61</v>
      </c>
      <c r="C11741" t="str">
        <f>"A0127853"</f>
        <v>A0127853</v>
      </c>
      <c r="D11741" t="s">
        <v>42583</v>
      </c>
      <c r="E11741" t="s">
        <v>42584</v>
      </c>
      <c r="F11741" t="s">
        <v>27125</v>
      </c>
      <c r="G11741" t="s">
        <v>117</v>
      </c>
      <c r="H11741">
        <v>48360</v>
      </c>
      <c r="I11741" t="s">
        <v>30</v>
      </c>
      <c r="J11741" t="s">
        <v>41</v>
      </c>
      <c r="K11741" t="s">
        <v>59</v>
      </c>
      <c r="Q11741">
        <v>0</v>
      </c>
      <c r="R11741">
        <v>30</v>
      </c>
      <c r="S11741">
        <v>30</v>
      </c>
      <c r="T11741" t="s">
        <v>42585</v>
      </c>
    </row>
    <row r="11742" spans="1:20" customFormat="1" ht="15" x14ac:dyDescent="0.25">
      <c r="A11742" t="s">
        <v>35</v>
      </c>
      <c r="B11742" t="s">
        <v>61</v>
      </c>
      <c r="C11742" t="str">
        <f>"A0123799"</f>
        <v>A0123799</v>
      </c>
      <c r="D11742" t="s">
        <v>42586</v>
      </c>
      <c r="E11742" t="s">
        <v>42587</v>
      </c>
      <c r="F11742" t="s">
        <v>6768</v>
      </c>
      <c r="G11742" t="s">
        <v>29</v>
      </c>
      <c r="H11742">
        <v>245043524</v>
      </c>
      <c r="I11742" t="s">
        <v>30</v>
      </c>
      <c r="J11742" t="s">
        <v>41</v>
      </c>
      <c r="K11742" t="s">
        <v>229</v>
      </c>
      <c r="Q11742">
        <v>0</v>
      </c>
      <c r="R11742">
        <v>130</v>
      </c>
      <c r="S11742">
        <v>130</v>
      </c>
      <c r="T11742" t="s">
        <v>42588</v>
      </c>
    </row>
    <row r="11743" spans="1:20" customFormat="1" ht="15" x14ac:dyDescent="0.25">
      <c r="A11743" t="s">
        <v>35</v>
      </c>
      <c r="B11743" t="s">
        <v>106</v>
      </c>
      <c r="C11743" t="str">
        <f>"A0135345"</f>
        <v>A0135345</v>
      </c>
      <c r="D11743" t="s">
        <v>42589</v>
      </c>
      <c r="E11743" t="s">
        <v>42590</v>
      </c>
      <c r="F11743" t="s">
        <v>22046</v>
      </c>
      <c r="G11743" t="s">
        <v>110</v>
      </c>
      <c r="H11743">
        <v>91711</v>
      </c>
      <c r="I11743" t="s">
        <v>30</v>
      </c>
      <c r="J11743" t="s">
        <v>111</v>
      </c>
      <c r="K11743" t="s">
        <v>112</v>
      </c>
      <c r="Q11743">
        <v>0</v>
      </c>
      <c r="R11743">
        <v>0</v>
      </c>
      <c r="S11743">
        <v>0</v>
      </c>
      <c r="T11743" t="s">
        <v>42591</v>
      </c>
    </row>
    <row r="11744" spans="1:20" customFormat="1" ht="15" x14ac:dyDescent="0.25">
      <c r="A11744" t="s">
        <v>35</v>
      </c>
      <c r="B11744" t="s">
        <v>106</v>
      </c>
      <c r="C11744" t="str">
        <f>"A0150665"</f>
        <v>A0150665</v>
      </c>
      <c r="D11744" t="s">
        <v>42592</v>
      </c>
      <c r="E11744" t="s">
        <v>42593</v>
      </c>
      <c r="F11744" t="s">
        <v>23880</v>
      </c>
      <c r="G11744" t="s">
        <v>110</v>
      </c>
      <c r="H11744">
        <v>90731</v>
      </c>
      <c r="I11744" t="s">
        <v>30</v>
      </c>
      <c r="J11744" t="s">
        <v>111</v>
      </c>
      <c r="K11744" t="s">
        <v>112</v>
      </c>
      <c r="Q11744">
        <v>0</v>
      </c>
      <c r="R11744">
        <v>0</v>
      </c>
      <c r="S11744">
        <v>0</v>
      </c>
      <c r="T11744" t="s">
        <v>42594</v>
      </c>
    </row>
    <row r="11745" spans="1:20" customFormat="1" ht="15" x14ac:dyDescent="0.25">
      <c r="A11745" t="s">
        <v>35</v>
      </c>
      <c r="B11745" t="s">
        <v>106</v>
      </c>
      <c r="C11745" t="str">
        <f>"A0135347"</f>
        <v>A0135347</v>
      </c>
      <c r="D11745" t="s">
        <v>42595</v>
      </c>
      <c r="E11745" t="s">
        <v>42596</v>
      </c>
      <c r="F11745" t="s">
        <v>42597</v>
      </c>
      <c r="G11745" t="s">
        <v>110</v>
      </c>
      <c r="H11745">
        <v>92549</v>
      </c>
      <c r="I11745" t="s">
        <v>30</v>
      </c>
      <c r="J11745" t="s">
        <v>111</v>
      </c>
      <c r="K11745" t="s">
        <v>112</v>
      </c>
      <c r="Q11745">
        <v>0</v>
      </c>
      <c r="R11745">
        <v>0</v>
      </c>
      <c r="S11745">
        <v>0</v>
      </c>
      <c r="T11745" t="s">
        <v>42598</v>
      </c>
    </row>
    <row r="11746" spans="1:20" customFormat="1" ht="15" x14ac:dyDescent="0.25">
      <c r="A11746" t="s">
        <v>35</v>
      </c>
      <c r="B11746" t="s">
        <v>106</v>
      </c>
      <c r="C11746" t="str">
        <f>"A0151610"</f>
        <v>A0151610</v>
      </c>
      <c r="D11746" t="s">
        <v>42599</v>
      </c>
      <c r="E11746" t="s">
        <v>42600</v>
      </c>
      <c r="F11746" t="s">
        <v>42601</v>
      </c>
      <c r="G11746" t="s">
        <v>29</v>
      </c>
      <c r="H11746">
        <v>24534</v>
      </c>
      <c r="I11746" t="s">
        <v>30</v>
      </c>
      <c r="J11746" t="s">
        <v>111</v>
      </c>
      <c r="K11746" t="s">
        <v>112</v>
      </c>
      <c r="Q11746">
        <v>0</v>
      </c>
      <c r="R11746">
        <v>0</v>
      </c>
      <c r="S11746">
        <v>0</v>
      </c>
      <c r="T11746" t="s">
        <v>42602</v>
      </c>
    </row>
    <row r="11747" spans="1:20" customFormat="1" ht="15" x14ac:dyDescent="0.25">
      <c r="A11747" t="s">
        <v>35</v>
      </c>
      <c r="B11747" t="s">
        <v>106</v>
      </c>
      <c r="C11747" t="str">
        <f>"A0135348"</f>
        <v>A0135348</v>
      </c>
      <c r="D11747" t="s">
        <v>42603</v>
      </c>
      <c r="E11747" t="s">
        <v>42604</v>
      </c>
      <c r="F11747" t="s">
        <v>42605</v>
      </c>
      <c r="G11747" t="s">
        <v>110</v>
      </c>
      <c r="H11747">
        <v>90704</v>
      </c>
      <c r="I11747" t="s">
        <v>30</v>
      </c>
      <c r="J11747" t="s">
        <v>111</v>
      </c>
      <c r="K11747" t="s">
        <v>112</v>
      </c>
      <c r="Q11747">
        <v>0</v>
      </c>
      <c r="R11747">
        <v>0</v>
      </c>
      <c r="S11747">
        <v>0</v>
      </c>
      <c r="T11747" t="s">
        <v>42598</v>
      </c>
    </row>
    <row r="11748" spans="1:20" customFormat="1" ht="15" x14ac:dyDescent="0.25">
      <c r="A11748" t="s">
        <v>35</v>
      </c>
      <c r="B11748" t="s">
        <v>106</v>
      </c>
      <c r="C11748" t="str">
        <f>"A0135349"</f>
        <v>A0135349</v>
      </c>
      <c r="D11748" t="s">
        <v>42606</v>
      </c>
      <c r="E11748" t="s">
        <v>42607</v>
      </c>
      <c r="F11748" t="s">
        <v>26402</v>
      </c>
      <c r="G11748" t="s">
        <v>110</v>
      </c>
      <c r="H11748">
        <v>90704</v>
      </c>
      <c r="I11748" t="s">
        <v>30</v>
      </c>
      <c r="J11748" t="s">
        <v>111</v>
      </c>
      <c r="K11748" t="s">
        <v>112</v>
      </c>
      <c r="Q11748">
        <v>0</v>
      </c>
      <c r="R11748">
        <v>0</v>
      </c>
      <c r="S11748">
        <v>0</v>
      </c>
      <c r="T11748" t="s">
        <v>42598</v>
      </c>
    </row>
    <row r="11749" spans="1:20" customFormat="1" ht="15" x14ac:dyDescent="0.25">
      <c r="A11749" t="s">
        <v>35</v>
      </c>
      <c r="B11749" t="s">
        <v>106</v>
      </c>
      <c r="C11749" t="str">
        <f>"A0135346"</f>
        <v>A0135346</v>
      </c>
      <c r="D11749" t="s">
        <v>42608</v>
      </c>
      <c r="E11749" t="s">
        <v>42609</v>
      </c>
      <c r="F11749" t="s">
        <v>42605</v>
      </c>
      <c r="G11749" t="s">
        <v>110</v>
      </c>
      <c r="H11749">
        <v>90704</v>
      </c>
      <c r="I11749" t="s">
        <v>30</v>
      </c>
      <c r="J11749" t="s">
        <v>111</v>
      </c>
      <c r="K11749" t="s">
        <v>112</v>
      </c>
      <c r="Q11749">
        <v>0</v>
      </c>
      <c r="R11749">
        <v>0</v>
      </c>
      <c r="S11749">
        <v>0</v>
      </c>
      <c r="T11749" t="s">
        <v>42598</v>
      </c>
    </row>
    <row r="11750" spans="1:20" customFormat="1" ht="15" x14ac:dyDescent="0.25">
      <c r="A11750" t="s">
        <v>35</v>
      </c>
      <c r="B11750" t="s">
        <v>106</v>
      </c>
      <c r="C11750" t="str">
        <f>"A0150666"</f>
        <v>A0150666</v>
      </c>
      <c r="D11750" t="s">
        <v>42610</v>
      </c>
      <c r="E11750" t="s">
        <v>42593</v>
      </c>
      <c r="F11750" t="s">
        <v>23880</v>
      </c>
      <c r="G11750" t="s">
        <v>110</v>
      </c>
      <c r="H11750">
        <v>90731</v>
      </c>
      <c r="I11750" t="s">
        <v>30</v>
      </c>
      <c r="J11750" t="s">
        <v>111</v>
      </c>
      <c r="K11750" t="s">
        <v>112</v>
      </c>
      <c r="Q11750">
        <v>0</v>
      </c>
      <c r="R11750">
        <v>0</v>
      </c>
      <c r="S11750">
        <v>0</v>
      </c>
      <c r="T11750" t="s">
        <v>42594</v>
      </c>
    </row>
    <row r="11751" spans="1:20" customFormat="1" ht="15" x14ac:dyDescent="0.25">
      <c r="A11751" t="s">
        <v>35</v>
      </c>
      <c r="B11751" t="s">
        <v>61</v>
      </c>
      <c r="C11751" t="str">
        <f>"A0123400"</f>
        <v>A0123400</v>
      </c>
      <c r="D11751" t="s">
        <v>42611</v>
      </c>
      <c r="E11751" t="s">
        <v>42612</v>
      </c>
      <c r="F11751" t="s">
        <v>3685</v>
      </c>
      <c r="G11751" t="s">
        <v>214</v>
      </c>
      <c r="H11751">
        <v>27406</v>
      </c>
      <c r="I11751" t="s">
        <v>30</v>
      </c>
      <c r="J11751" t="s">
        <v>41</v>
      </c>
      <c r="K11751" t="s">
        <v>229</v>
      </c>
      <c r="Q11751">
        <v>0</v>
      </c>
      <c r="R11751">
        <v>80</v>
      </c>
      <c r="S11751">
        <v>80</v>
      </c>
      <c r="T11751" t="s">
        <v>42613</v>
      </c>
    </row>
    <row r="11752" spans="1:20" customFormat="1" ht="15" x14ac:dyDescent="0.25">
      <c r="A11752" t="s">
        <v>35</v>
      </c>
      <c r="B11752" t="s">
        <v>61</v>
      </c>
      <c r="C11752" t="str">
        <f>"A0123401"</f>
        <v>A0123401</v>
      </c>
      <c r="D11752" t="s">
        <v>42614</v>
      </c>
      <c r="E11752" t="s">
        <v>42615</v>
      </c>
      <c r="F11752" t="s">
        <v>6542</v>
      </c>
      <c r="G11752" t="s">
        <v>81</v>
      </c>
      <c r="H11752">
        <v>33991</v>
      </c>
      <c r="I11752" t="s">
        <v>30</v>
      </c>
      <c r="J11752" t="s">
        <v>41</v>
      </c>
      <c r="K11752" t="s">
        <v>59</v>
      </c>
      <c r="Q11752">
        <v>0</v>
      </c>
      <c r="R11752">
        <v>1</v>
      </c>
      <c r="S11752">
        <v>1</v>
      </c>
      <c r="T11752" t="s">
        <v>42616</v>
      </c>
    </row>
    <row r="11753" spans="1:20" customFormat="1" ht="15" x14ac:dyDescent="0.25">
      <c r="A11753" t="s">
        <v>35</v>
      </c>
      <c r="B11753" t="s">
        <v>61</v>
      </c>
      <c r="C11753" t="str">
        <f>"A0128416"</f>
        <v>A0128416</v>
      </c>
      <c r="D11753" t="s">
        <v>42617</v>
      </c>
      <c r="E11753" t="s">
        <v>42618</v>
      </c>
      <c r="F11753" t="s">
        <v>3115</v>
      </c>
      <c r="G11753" t="s">
        <v>52</v>
      </c>
      <c r="H11753">
        <v>78382</v>
      </c>
      <c r="I11753" t="s">
        <v>30</v>
      </c>
      <c r="J11753" t="s">
        <v>41</v>
      </c>
      <c r="K11753" t="s">
        <v>229</v>
      </c>
      <c r="Q11753">
        <v>0</v>
      </c>
      <c r="R11753">
        <v>120</v>
      </c>
      <c r="S11753">
        <v>120</v>
      </c>
      <c r="T11753" t="s">
        <v>42619</v>
      </c>
    </row>
    <row r="11754" spans="1:20" customFormat="1" ht="15" x14ac:dyDescent="0.25">
      <c r="A11754" t="s">
        <v>35</v>
      </c>
      <c r="B11754" t="s">
        <v>61</v>
      </c>
      <c r="C11754" t="str">
        <f>"A0128417"</f>
        <v>A0128417</v>
      </c>
      <c r="D11754" t="s">
        <v>42620</v>
      </c>
      <c r="E11754" t="s">
        <v>42621</v>
      </c>
      <c r="F11754" t="s">
        <v>3115</v>
      </c>
      <c r="G11754" t="s">
        <v>52</v>
      </c>
      <c r="H11754">
        <v>78382</v>
      </c>
      <c r="I11754" t="s">
        <v>30</v>
      </c>
      <c r="J11754" t="s">
        <v>41</v>
      </c>
      <c r="K11754" t="s">
        <v>229</v>
      </c>
      <c r="Q11754">
        <v>0</v>
      </c>
      <c r="R11754">
        <v>34</v>
      </c>
      <c r="S11754">
        <v>34</v>
      </c>
      <c r="T11754" t="s">
        <v>42622</v>
      </c>
    </row>
    <row r="11755" spans="1:20" customFormat="1" ht="15" x14ac:dyDescent="0.25">
      <c r="A11755" t="s">
        <v>35</v>
      </c>
      <c r="B11755" t="s">
        <v>61</v>
      </c>
      <c r="C11755" t="str">
        <f>"A0124195"</f>
        <v>A0124195</v>
      </c>
      <c r="D11755" t="s">
        <v>42623</v>
      </c>
      <c r="E11755" t="s">
        <v>42624</v>
      </c>
      <c r="F11755" t="s">
        <v>1981</v>
      </c>
      <c r="G11755" t="s">
        <v>117</v>
      </c>
      <c r="H11755">
        <v>48906</v>
      </c>
      <c r="I11755" t="s">
        <v>30</v>
      </c>
      <c r="J11755" t="s">
        <v>41</v>
      </c>
      <c r="K11755" t="s">
        <v>482</v>
      </c>
      <c r="Q11755">
        <v>0</v>
      </c>
      <c r="R11755">
        <v>88</v>
      </c>
      <c r="S11755">
        <v>88</v>
      </c>
      <c r="T11755" t="s">
        <v>42625</v>
      </c>
    </row>
    <row r="11756" spans="1:20" customFormat="1" ht="15" x14ac:dyDescent="0.25">
      <c r="A11756" t="s">
        <v>35</v>
      </c>
      <c r="B11756" t="s">
        <v>61</v>
      </c>
      <c r="C11756" t="str">
        <f>"A0126531"</f>
        <v>A0126531</v>
      </c>
      <c r="D11756" t="s">
        <v>19580</v>
      </c>
      <c r="E11756" t="s">
        <v>42626</v>
      </c>
      <c r="F11756" t="s">
        <v>19582</v>
      </c>
      <c r="G11756" t="s">
        <v>103</v>
      </c>
      <c r="H11756">
        <v>15834</v>
      </c>
      <c r="I11756" t="s">
        <v>30</v>
      </c>
      <c r="J11756" t="s">
        <v>41</v>
      </c>
      <c r="K11756" t="s">
        <v>229</v>
      </c>
      <c r="Q11756">
        <v>0</v>
      </c>
      <c r="R11756">
        <v>50</v>
      </c>
      <c r="S11756">
        <v>50</v>
      </c>
      <c r="T11756" t="s">
        <v>42627</v>
      </c>
    </row>
    <row r="11757" spans="1:20" customFormat="1" ht="15" x14ac:dyDescent="0.25">
      <c r="A11757" t="s">
        <v>35</v>
      </c>
      <c r="B11757" t="s">
        <v>61</v>
      </c>
      <c r="C11757" t="str">
        <f>"A0118919"</f>
        <v>A0118919</v>
      </c>
      <c r="D11757" t="s">
        <v>42628</v>
      </c>
      <c r="E11757" t="s">
        <v>42629</v>
      </c>
      <c r="F11757" t="s">
        <v>20829</v>
      </c>
      <c r="G11757" t="s">
        <v>110</v>
      </c>
      <c r="H11757">
        <v>90804</v>
      </c>
      <c r="I11757" t="s">
        <v>30</v>
      </c>
      <c r="J11757" t="s">
        <v>41</v>
      </c>
      <c r="K11757" t="s">
        <v>59</v>
      </c>
      <c r="Q11757">
        <v>0</v>
      </c>
      <c r="R11757">
        <v>120</v>
      </c>
      <c r="S11757">
        <v>120</v>
      </c>
      <c r="T11757" t="s">
        <v>42630</v>
      </c>
    </row>
    <row r="11758" spans="1:20" customFormat="1" ht="15" x14ac:dyDescent="0.25">
      <c r="A11758" t="s">
        <v>35</v>
      </c>
      <c r="B11758" t="s">
        <v>61</v>
      </c>
      <c r="C11758" t="str">
        <f>"A0117855"</f>
        <v>A0117855</v>
      </c>
      <c r="D11758" t="s">
        <v>42631</v>
      </c>
      <c r="E11758" t="s">
        <v>42632</v>
      </c>
      <c r="F11758" t="s">
        <v>15961</v>
      </c>
      <c r="G11758" t="s">
        <v>110</v>
      </c>
      <c r="H11758">
        <v>93230</v>
      </c>
      <c r="I11758" t="s">
        <v>30</v>
      </c>
      <c r="J11758" t="s">
        <v>41</v>
      </c>
      <c r="K11758" t="s">
        <v>229</v>
      </c>
      <c r="Q11758">
        <v>0</v>
      </c>
      <c r="R11758">
        <v>133</v>
      </c>
      <c r="S11758">
        <v>133</v>
      </c>
      <c r="T11758" t="s">
        <v>42633</v>
      </c>
    </row>
    <row r="11759" spans="1:20" customFormat="1" ht="15" x14ac:dyDescent="0.25">
      <c r="A11759" t="s">
        <v>35</v>
      </c>
      <c r="B11759" t="s">
        <v>61</v>
      </c>
      <c r="C11759" t="str">
        <f>"A0133542"</f>
        <v>A0133542</v>
      </c>
      <c r="D11759" t="s">
        <v>42634</v>
      </c>
      <c r="E11759" t="s">
        <v>42635</v>
      </c>
      <c r="F11759" t="s">
        <v>4133</v>
      </c>
      <c r="G11759" t="s">
        <v>52</v>
      </c>
      <c r="H11759">
        <v>78759</v>
      </c>
      <c r="I11759" t="s">
        <v>30</v>
      </c>
      <c r="J11759" t="s">
        <v>41</v>
      </c>
      <c r="K11759" t="s">
        <v>2463</v>
      </c>
      <c r="Q11759">
        <v>0</v>
      </c>
      <c r="R11759">
        <v>0</v>
      </c>
      <c r="S11759">
        <v>0</v>
      </c>
      <c r="T11759" t="s">
        <v>42636</v>
      </c>
    </row>
    <row r="11760" spans="1:20" customFormat="1" ht="15" x14ac:dyDescent="0.25">
      <c r="A11760" t="s">
        <v>35</v>
      </c>
      <c r="B11760" t="s">
        <v>15432</v>
      </c>
      <c r="C11760" t="str">
        <f>"A0129302"</f>
        <v>A0129302</v>
      </c>
      <c r="D11760" t="s">
        <v>42637</v>
      </c>
      <c r="E11760" t="s">
        <v>42638</v>
      </c>
      <c r="F11760" t="s">
        <v>42365</v>
      </c>
      <c r="G11760" t="s">
        <v>289</v>
      </c>
      <c r="H11760">
        <v>61554</v>
      </c>
      <c r="I11760" t="s">
        <v>30</v>
      </c>
      <c r="J11760" t="s">
        <v>41</v>
      </c>
      <c r="K11760" t="s">
        <v>229</v>
      </c>
      <c r="Q11760">
        <v>0</v>
      </c>
      <c r="R11760">
        <v>71</v>
      </c>
      <c r="S11760">
        <v>71</v>
      </c>
      <c r="T11760" t="s">
        <v>42639</v>
      </c>
    </row>
    <row r="11761" spans="1:20" customFormat="1" ht="15" x14ac:dyDescent="0.25">
      <c r="A11761" t="s">
        <v>35</v>
      </c>
      <c r="B11761" t="s">
        <v>61</v>
      </c>
      <c r="C11761" t="str">
        <f>"A0118869"</f>
        <v>A0118869</v>
      </c>
      <c r="D11761" t="s">
        <v>42640</v>
      </c>
      <c r="E11761" t="s">
        <v>42641</v>
      </c>
      <c r="F11761" t="s">
        <v>4300</v>
      </c>
      <c r="G11761" t="s">
        <v>110</v>
      </c>
      <c r="H11761">
        <v>92262</v>
      </c>
      <c r="I11761" t="s">
        <v>30</v>
      </c>
      <c r="J11761" t="s">
        <v>41</v>
      </c>
      <c r="K11761" t="s">
        <v>59</v>
      </c>
      <c r="Q11761">
        <v>0</v>
      </c>
      <c r="R11761">
        <v>55</v>
      </c>
      <c r="S11761">
        <v>55</v>
      </c>
      <c r="T11761" t="s">
        <v>42642</v>
      </c>
    </row>
    <row r="11762" spans="1:20" customFormat="1" ht="15" x14ac:dyDescent="0.25">
      <c r="A11762" t="s">
        <v>35</v>
      </c>
      <c r="B11762" t="s">
        <v>61</v>
      </c>
      <c r="C11762" t="str">
        <f>"A0130948"</f>
        <v>A0130948</v>
      </c>
      <c r="D11762" t="s">
        <v>42643</v>
      </c>
      <c r="E11762" t="s">
        <v>42644</v>
      </c>
      <c r="F11762" t="s">
        <v>42645</v>
      </c>
      <c r="G11762" t="s">
        <v>85</v>
      </c>
      <c r="H11762">
        <v>716460000</v>
      </c>
      <c r="I11762" t="s">
        <v>30</v>
      </c>
      <c r="J11762" t="s">
        <v>41</v>
      </c>
      <c r="K11762" t="s">
        <v>2760</v>
      </c>
      <c r="Q11762">
        <v>0</v>
      </c>
      <c r="R11762">
        <v>1</v>
      </c>
      <c r="S11762">
        <v>1</v>
      </c>
      <c r="T11762" t="s">
        <v>42646</v>
      </c>
    </row>
    <row r="11763" spans="1:20" customFormat="1" ht="15" x14ac:dyDescent="0.25">
      <c r="A11763" t="s">
        <v>35</v>
      </c>
      <c r="B11763" t="s">
        <v>61</v>
      </c>
      <c r="C11763" t="str">
        <f>"A0127124"</f>
        <v>A0127124</v>
      </c>
      <c r="D11763" t="s">
        <v>42647</v>
      </c>
      <c r="E11763" t="s">
        <v>42648</v>
      </c>
      <c r="F11763" t="s">
        <v>23599</v>
      </c>
      <c r="G11763" t="s">
        <v>338</v>
      </c>
      <c r="H11763">
        <v>8690</v>
      </c>
      <c r="I11763" t="s">
        <v>30</v>
      </c>
      <c r="J11763" t="s">
        <v>41</v>
      </c>
      <c r="K11763" t="s">
        <v>229</v>
      </c>
      <c r="Q11763">
        <v>0</v>
      </c>
      <c r="R11763">
        <v>180</v>
      </c>
      <c r="S11763">
        <v>180</v>
      </c>
      <c r="T11763" t="s">
        <v>42649</v>
      </c>
    </row>
    <row r="11764" spans="1:20" customFormat="1" ht="15" x14ac:dyDescent="0.25">
      <c r="A11764" t="s">
        <v>35</v>
      </c>
      <c r="B11764" t="s">
        <v>437</v>
      </c>
      <c r="C11764" t="str">
        <f>"A0134040"</f>
        <v>A0134040</v>
      </c>
      <c r="D11764" t="s">
        <v>42650</v>
      </c>
      <c r="E11764" t="s">
        <v>42651</v>
      </c>
      <c r="F11764" t="s">
        <v>23599</v>
      </c>
      <c r="G11764" t="s">
        <v>99</v>
      </c>
      <c r="H11764">
        <v>13346</v>
      </c>
      <c r="I11764" t="s">
        <v>30</v>
      </c>
      <c r="J11764" t="s">
        <v>441</v>
      </c>
      <c r="K11764" t="s">
        <v>442</v>
      </c>
      <c r="Q11764">
        <v>0</v>
      </c>
      <c r="R11764">
        <v>0</v>
      </c>
      <c r="S11764">
        <v>0</v>
      </c>
      <c r="T11764" t="s">
        <v>42652</v>
      </c>
    </row>
    <row r="11765" spans="1:20" customFormat="1" ht="15" x14ac:dyDescent="0.25">
      <c r="A11765" t="s">
        <v>35</v>
      </c>
      <c r="B11765" t="s">
        <v>61</v>
      </c>
      <c r="C11765" t="str">
        <f>"A0129057"</f>
        <v>A0129057</v>
      </c>
      <c r="D11765" t="s">
        <v>42653</v>
      </c>
      <c r="E11765" t="s">
        <v>42654</v>
      </c>
      <c r="F11765" t="s">
        <v>42655</v>
      </c>
      <c r="G11765" t="s">
        <v>289</v>
      </c>
      <c r="H11765">
        <v>62859</v>
      </c>
      <c r="I11765" t="s">
        <v>30</v>
      </c>
      <c r="J11765" t="s">
        <v>41</v>
      </c>
      <c r="K11765" t="s">
        <v>229</v>
      </c>
      <c r="Q11765">
        <v>0</v>
      </c>
      <c r="R11765">
        <v>60</v>
      </c>
      <c r="S11765">
        <v>60</v>
      </c>
      <c r="T11765" t="s">
        <v>42656</v>
      </c>
    </row>
    <row r="11766" spans="1:20" customFormat="1" ht="15" x14ac:dyDescent="0.25">
      <c r="A11766" t="s">
        <v>35</v>
      </c>
      <c r="B11766" t="s">
        <v>225</v>
      </c>
      <c r="C11766" t="str">
        <f>"A0127838"</f>
        <v>A0127838</v>
      </c>
      <c r="D11766" t="s">
        <v>42657</v>
      </c>
      <c r="E11766" t="s">
        <v>42658</v>
      </c>
      <c r="F11766" t="s">
        <v>8846</v>
      </c>
      <c r="G11766" t="s">
        <v>117</v>
      </c>
      <c r="H11766">
        <v>48207</v>
      </c>
      <c r="I11766" t="s">
        <v>30</v>
      </c>
      <c r="J11766" t="s">
        <v>41</v>
      </c>
      <c r="K11766" t="s">
        <v>229</v>
      </c>
      <c r="Q11766">
        <v>0</v>
      </c>
      <c r="R11766">
        <v>64</v>
      </c>
      <c r="S11766">
        <v>64</v>
      </c>
      <c r="T11766" t="s">
        <v>42659</v>
      </c>
    </row>
    <row r="11767" spans="1:20" customFormat="1" ht="15" x14ac:dyDescent="0.25">
      <c r="A11767" t="s">
        <v>35</v>
      </c>
      <c r="B11767" t="s">
        <v>61</v>
      </c>
      <c r="C11767" t="str">
        <f>"A0126412"</f>
        <v>A0126412</v>
      </c>
      <c r="D11767" t="s">
        <v>42660</v>
      </c>
      <c r="E11767" t="s">
        <v>42661</v>
      </c>
      <c r="F11767" t="s">
        <v>42662</v>
      </c>
      <c r="G11767" t="s">
        <v>81</v>
      </c>
      <c r="H11767">
        <v>33169</v>
      </c>
      <c r="I11767" t="s">
        <v>30</v>
      </c>
      <c r="J11767" t="s">
        <v>41</v>
      </c>
      <c r="K11767" t="s">
        <v>229</v>
      </c>
      <c r="Q11767">
        <v>0</v>
      </c>
      <c r="R11767">
        <v>120</v>
      </c>
      <c r="S11767">
        <v>120</v>
      </c>
      <c r="T11767" t="s">
        <v>42663</v>
      </c>
    </row>
    <row r="11768" spans="1:20" customFormat="1" ht="15" x14ac:dyDescent="0.25">
      <c r="A11768" t="s">
        <v>35</v>
      </c>
      <c r="B11768" t="s">
        <v>437</v>
      </c>
      <c r="C11768" t="str">
        <f>"A0134031"</f>
        <v>A0134031</v>
      </c>
      <c r="D11768" t="s">
        <v>42664</v>
      </c>
      <c r="E11768" t="s">
        <v>42665</v>
      </c>
      <c r="F11768" t="s">
        <v>21632</v>
      </c>
      <c r="G11768" t="s">
        <v>52</v>
      </c>
      <c r="H11768">
        <v>75493</v>
      </c>
      <c r="I11768" t="s">
        <v>30</v>
      </c>
      <c r="J11768" t="s">
        <v>441</v>
      </c>
      <c r="K11768" t="s">
        <v>442</v>
      </c>
      <c r="Q11768">
        <v>0</v>
      </c>
      <c r="R11768">
        <v>0</v>
      </c>
      <c r="S11768">
        <v>0</v>
      </c>
      <c r="T11768" t="s">
        <v>42666</v>
      </c>
    </row>
    <row r="11769" spans="1:20" customFormat="1" ht="15" x14ac:dyDescent="0.25">
      <c r="A11769" t="s">
        <v>35</v>
      </c>
      <c r="B11769" t="s">
        <v>61</v>
      </c>
      <c r="C11769" t="str">
        <f>"A0124529"</f>
        <v>A0124529</v>
      </c>
      <c r="D11769" t="s">
        <v>42667</v>
      </c>
      <c r="E11769" t="s">
        <v>42668</v>
      </c>
      <c r="F11769" t="s">
        <v>42669</v>
      </c>
      <c r="G11769" t="s">
        <v>1706</v>
      </c>
      <c r="H11769">
        <v>350770000</v>
      </c>
      <c r="I11769" t="s">
        <v>30</v>
      </c>
      <c r="J11769" t="s">
        <v>41</v>
      </c>
      <c r="K11769" t="s">
        <v>229</v>
      </c>
      <c r="Q11769">
        <v>0</v>
      </c>
      <c r="R11769">
        <v>172</v>
      </c>
      <c r="S11769">
        <v>172</v>
      </c>
      <c r="T11769" t="s">
        <v>42670</v>
      </c>
    </row>
    <row r="11770" spans="1:20" customFormat="1" ht="15" x14ac:dyDescent="0.25">
      <c r="A11770" t="s">
        <v>35</v>
      </c>
      <c r="B11770" t="s">
        <v>106</v>
      </c>
      <c r="C11770" t="str">
        <f>"A0136288"</f>
        <v>A0136288</v>
      </c>
      <c r="D11770" t="s">
        <v>42671</v>
      </c>
      <c r="E11770" t="s">
        <v>42672</v>
      </c>
      <c r="F11770" t="s">
        <v>41359</v>
      </c>
      <c r="G11770" t="s">
        <v>117</v>
      </c>
      <c r="H11770">
        <v>49930</v>
      </c>
      <c r="I11770" t="s">
        <v>30</v>
      </c>
      <c r="J11770" t="s">
        <v>111</v>
      </c>
      <c r="K11770" t="s">
        <v>112</v>
      </c>
      <c r="Q11770">
        <v>0</v>
      </c>
      <c r="R11770">
        <v>0</v>
      </c>
      <c r="S11770">
        <v>0</v>
      </c>
      <c r="T11770" t="s">
        <v>42673</v>
      </c>
    </row>
    <row r="11771" spans="1:20" customFormat="1" ht="15" x14ac:dyDescent="0.25">
      <c r="A11771" t="s">
        <v>35</v>
      </c>
      <c r="B11771" t="s">
        <v>61</v>
      </c>
      <c r="C11771" t="str">
        <f>"A0126149"</f>
        <v>A0126149</v>
      </c>
      <c r="D11771" t="s">
        <v>42674</v>
      </c>
      <c r="E11771" t="s">
        <v>42675</v>
      </c>
      <c r="F11771" t="s">
        <v>7734</v>
      </c>
      <c r="G11771" t="s">
        <v>197</v>
      </c>
      <c r="H11771">
        <v>85712</v>
      </c>
      <c r="I11771" t="s">
        <v>30</v>
      </c>
      <c r="J11771" t="s">
        <v>41</v>
      </c>
      <c r="K11771" t="s">
        <v>229</v>
      </c>
      <c r="Q11771">
        <v>0</v>
      </c>
      <c r="R11771">
        <v>60</v>
      </c>
      <c r="S11771">
        <v>60</v>
      </c>
      <c r="T11771" t="s">
        <v>42676</v>
      </c>
    </row>
    <row r="11772" spans="1:20" customFormat="1" ht="15" x14ac:dyDescent="0.25">
      <c r="A11772" t="s">
        <v>35</v>
      </c>
      <c r="B11772" t="s">
        <v>61</v>
      </c>
      <c r="C11772" t="str">
        <f>"A0125829"</f>
        <v>A0125829</v>
      </c>
      <c r="D11772" t="s">
        <v>42677</v>
      </c>
      <c r="E11772" t="s">
        <v>42678</v>
      </c>
      <c r="F11772" t="s">
        <v>4591</v>
      </c>
      <c r="G11772" t="s">
        <v>29</v>
      </c>
      <c r="H11772">
        <v>24354</v>
      </c>
      <c r="I11772" t="s">
        <v>30</v>
      </c>
      <c r="J11772" t="s">
        <v>41</v>
      </c>
      <c r="K11772" t="s">
        <v>59</v>
      </c>
      <c r="Q11772">
        <v>0</v>
      </c>
      <c r="R11772">
        <v>120</v>
      </c>
      <c r="S11772">
        <v>120</v>
      </c>
      <c r="T11772" t="s">
        <v>42679</v>
      </c>
    </row>
    <row r="11773" spans="1:20" customFormat="1" ht="15" x14ac:dyDescent="0.25">
      <c r="A11773" t="s">
        <v>35</v>
      </c>
      <c r="B11773" t="s">
        <v>61</v>
      </c>
      <c r="C11773" t="str">
        <f>"A0131030"</f>
        <v>A0131030</v>
      </c>
      <c r="D11773" t="s">
        <v>42680</v>
      </c>
      <c r="E11773" t="s">
        <v>42681</v>
      </c>
      <c r="F11773" t="s">
        <v>15435</v>
      </c>
      <c r="G11773" t="s">
        <v>137</v>
      </c>
      <c r="H11773">
        <v>652750000</v>
      </c>
      <c r="I11773" t="s">
        <v>30</v>
      </c>
      <c r="J11773" t="s">
        <v>41</v>
      </c>
      <c r="K11773" t="s">
        <v>59</v>
      </c>
      <c r="Q11773">
        <v>0</v>
      </c>
      <c r="R11773">
        <v>22</v>
      </c>
      <c r="S11773">
        <v>22</v>
      </c>
      <c r="T11773" t="s">
        <v>42682</v>
      </c>
    </row>
    <row r="11774" spans="1:20" customFormat="1" ht="15" x14ac:dyDescent="0.25">
      <c r="A11774" t="s">
        <v>35</v>
      </c>
      <c r="B11774" t="s">
        <v>61</v>
      </c>
      <c r="C11774" t="str">
        <f>"A0123403"</f>
        <v>A0123403</v>
      </c>
      <c r="D11774" t="s">
        <v>42683</v>
      </c>
      <c r="E11774" t="s">
        <v>42684</v>
      </c>
      <c r="F11774" t="s">
        <v>9365</v>
      </c>
      <c r="G11774" t="s">
        <v>29</v>
      </c>
      <c r="H11774" t="s">
        <v>42685</v>
      </c>
      <c r="I11774" t="s">
        <v>30</v>
      </c>
      <c r="J11774" t="s">
        <v>41</v>
      </c>
      <c r="K11774" t="s">
        <v>229</v>
      </c>
      <c r="Q11774">
        <v>0</v>
      </c>
      <c r="R11774">
        <v>60</v>
      </c>
      <c r="S11774">
        <v>60</v>
      </c>
      <c r="T11774" t="s">
        <v>42686</v>
      </c>
    </row>
    <row r="11775" spans="1:20" customFormat="1" ht="15" x14ac:dyDescent="0.25">
      <c r="A11775" t="s">
        <v>35</v>
      </c>
      <c r="B11775" t="s">
        <v>61</v>
      </c>
      <c r="C11775" t="str">
        <f>"A0133067"</f>
        <v>A0133067</v>
      </c>
      <c r="D11775" t="s">
        <v>42687</v>
      </c>
      <c r="E11775" t="s">
        <v>42688</v>
      </c>
      <c r="F11775" t="s">
        <v>42689</v>
      </c>
      <c r="G11775" t="s">
        <v>52</v>
      </c>
      <c r="H11775">
        <v>79081</v>
      </c>
      <c r="I11775" t="s">
        <v>30</v>
      </c>
      <c r="J11775" t="s">
        <v>41</v>
      </c>
      <c r="K11775" t="s">
        <v>229</v>
      </c>
      <c r="Q11775">
        <v>0</v>
      </c>
      <c r="R11775">
        <v>80</v>
      </c>
      <c r="S11775">
        <v>80</v>
      </c>
      <c r="T11775" t="s">
        <v>42690</v>
      </c>
    </row>
    <row r="11776" spans="1:20" customFormat="1" ht="15" x14ac:dyDescent="0.25">
      <c r="A11776" t="s">
        <v>35</v>
      </c>
      <c r="B11776" t="s">
        <v>61</v>
      </c>
      <c r="C11776" t="str">
        <f>"A0127271"</f>
        <v>A0127271</v>
      </c>
      <c r="D11776" t="s">
        <v>42691</v>
      </c>
      <c r="E11776" t="s">
        <v>42692</v>
      </c>
      <c r="F11776" t="s">
        <v>42693</v>
      </c>
      <c r="G11776" t="s">
        <v>846</v>
      </c>
      <c r="H11776">
        <v>30354</v>
      </c>
      <c r="I11776" t="s">
        <v>30</v>
      </c>
      <c r="J11776" t="s">
        <v>41</v>
      </c>
      <c r="K11776" t="s">
        <v>59</v>
      </c>
      <c r="Q11776">
        <v>0</v>
      </c>
      <c r="R11776">
        <v>35</v>
      </c>
      <c r="S11776">
        <v>35</v>
      </c>
      <c r="T11776" t="s">
        <v>42694</v>
      </c>
    </row>
    <row r="11777" spans="1:20" customFormat="1" ht="15" x14ac:dyDescent="0.25">
      <c r="A11777" t="s">
        <v>35</v>
      </c>
      <c r="B11777" t="s">
        <v>437</v>
      </c>
      <c r="C11777" t="str">
        <f>"A0134051"</f>
        <v>A0134051</v>
      </c>
      <c r="D11777" t="s">
        <v>42695</v>
      </c>
      <c r="E11777" t="s">
        <v>42696</v>
      </c>
      <c r="F11777" t="s">
        <v>14154</v>
      </c>
      <c r="G11777" t="s">
        <v>110</v>
      </c>
      <c r="H11777">
        <v>92672</v>
      </c>
      <c r="I11777" t="s">
        <v>30</v>
      </c>
      <c r="J11777" t="s">
        <v>441</v>
      </c>
      <c r="K11777" t="s">
        <v>442</v>
      </c>
      <c r="Q11777">
        <v>0</v>
      </c>
      <c r="R11777">
        <v>0</v>
      </c>
      <c r="S11777">
        <v>0</v>
      </c>
      <c r="T11777" t="s">
        <v>42697</v>
      </c>
    </row>
    <row r="11778" spans="1:20" customFormat="1" ht="15" x14ac:dyDescent="0.25">
      <c r="A11778" t="s">
        <v>35</v>
      </c>
      <c r="B11778" t="s">
        <v>106</v>
      </c>
      <c r="C11778" t="str">
        <f>"A0136556"</f>
        <v>A0136556</v>
      </c>
      <c r="D11778" t="s">
        <v>42698</v>
      </c>
      <c r="E11778" t="s">
        <v>42699</v>
      </c>
      <c r="F11778" t="s">
        <v>4133</v>
      </c>
      <c r="G11778" t="s">
        <v>52</v>
      </c>
      <c r="H11778">
        <v>78712</v>
      </c>
      <c r="I11778" t="s">
        <v>30</v>
      </c>
      <c r="J11778" t="s">
        <v>111</v>
      </c>
      <c r="K11778" t="s">
        <v>112</v>
      </c>
      <c r="Q11778">
        <v>0</v>
      </c>
      <c r="R11778">
        <v>0</v>
      </c>
      <c r="S11778">
        <v>0</v>
      </c>
      <c r="T11778" t="s">
        <v>42700</v>
      </c>
    </row>
    <row r="11779" spans="1:20" customFormat="1" ht="15" x14ac:dyDescent="0.25">
      <c r="A11779" t="s">
        <v>35</v>
      </c>
      <c r="B11779" t="s">
        <v>106</v>
      </c>
      <c r="C11779" t="str">
        <f>"A0136590"</f>
        <v>A0136590</v>
      </c>
      <c r="D11779" t="s">
        <v>42701</v>
      </c>
      <c r="E11779" t="s">
        <v>42702</v>
      </c>
      <c r="F11779" t="s">
        <v>42703</v>
      </c>
      <c r="G11779" t="s">
        <v>52</v>
      </c>
      <c r="H11779">
        <v>78642</v>
      </c>
      <c r="I11779" t="s">
        <v>30</v>
      </c>
      <c r="J11779" t="s">
        <v>111</v>
      </c>
      <c r="K11779" t="s">
        <v>112</v>
      </c>
      <c r="Q11779">
        <v>0</v>
      </c>
      <c r="R11779">
        <v>0</v>
      </c>
      <c r="S11779">
        <v>0</v>
      </c>
      <c r="T11779" t="s">
        <v>42704</v>
      </c>
    </row>
    <row r="11780" spans="1:20" customFormat="1" ht="15" x14ac:dyDescent="0.25">
      <c r="A11780" t="s">
        <v>35</v>
      </c>
      <c r="B11780" t="s">
        <v>61</v>
      </c>
      <c r="C11780" t="str">
        <f>"A0129904"</f>
        <v>A0129904</v>
      </c>
      <c r="D11780" t="s">
        <v>42705</v>
      </c>
      <c r="E11780" t="s">
        <v>42706</v>
      </c>
      <c r="F11780" t="s">
        <v>7801</v>
      </c>
      <c r="G11780" t="s">
        <v>880</v>
      </c>
      <c r="H11780">
        <v>383725409</v>
      </c>
      <c r="I11780" t="s">
        <v>30</v>
      </c>
      <c r="J11780" t="s">
        <v>41</v>
      </c>
      <c r="K11780" t="s">
        <v>229</v>
      </c>
      <c r="Q11780">
        <v>0</v>
      </c>
      <c r="R11780">
        <v>49</v>
      </c>
      <c r="S11780">
        <v>49</v>
      </c>
      <c r="T11780" t="s">
        <v>42707</v>
      </c>
    </row>
    <row r="11781" spans="1:20" customFormat="1" ht="15" x14ac:dyDescent="0.25">
      <c r="A11781" t="s">
        <v>35</v>
      </c>
      <c r="B11781" t="s">
        <v>61</v>
      </c>
      <c r="C11781" t="str">
        <f>"A0128208"</f>
        <v>A0128208</v>
      </c>
      <c r="D11781" t="s">
        <v>42708</v>
      </c>
      <c r="E11781" t="s">
        <v>42709</v>
      </c>
      <c r="F11781" t="s">
        <v>42710</v>
      </c>
      <c r="G11781" t="s">
        <v>117</v>
      </c>
      <c r="H11781">
        <v>48441</v>
      </c>
      <c r="I11781" t="s">
        <v>30</v>
      </c>
      <c r="J11781" t="s">
        <v>41</v>
      </c>
      <c r="K11781" t="s">
        <v>3713</v>
      </c>
      <c r="Q11781">
        <v>0</v>
      </c>
      <c r="R11781">
        <v>38</v>
      </c>
      <c r="S11781">
        <v>38</v>
      </c>
      <c r="T11781" t="s">
        <v>42711</v>
      </c>
    </row>
    <row r="11782" spans="1:20" customFormat="1" ht="15" x14ac:dyDescent="0.25">
      <c r="A11782" t="s">
        <v>35</v>
      </c>
      <c r="B11782" t="s">
        <v>437</v>
      </c>
      <c r="C11782" t="str">
        <f>"A0133904"</f>
        <v>A0133904</v>
      </c>
      <c r="D11782" t="s">
        <v>42712</v>
      </c>
      <c r="E11782" t="s">
        <v>42713</v>
      </c>
      <c r="F11782" t="s">
        <v>33716</v>
      </c>
      <c r="G11782" t="s">
        <v>110</v>
      </c>
      <c r="H11782">
        <v>926290000</v>
      </c>
      <c r="I11782" t="s">
        <v>30</v>
      </c>
      <c r="J11782" t="s">
        <v>441</v>
      </c>
      <c r="K11782" t="s">
        <v>442</v>
      </c>
      <c r="Q11782">
        <v>0</v>
      </c>
      <c r="R11782">
        <v>0</v>
      </c>
      <c r="S11782">
        <v>0</v>
      </c>
      <c r="T11782" t="s">
        <v>42714</v>
      </c>
    </row>
    <row r="11783" spans="1:20" customFormat="1" ht="15" x14ac:dyDescent="0.25">
      <c r="A11783" t="s">
        <v>35</v>
      </c>
      <c r="B11783" t="s">
        <v>61</v>
      </c>
      <c r="C11783" t="str">
        <f>"A0127944"</f>
        <v>A0127944</v>
      </c>
      <c r="D11783" t="s">
        <v>42715</v>
      </c>
      <c r="E11783" t="s">
        <v>42716</v>
      </c>
      <c r="F11783" t="s">
        <v>42717</v>
      </c>
      <c r="G11783" t="s">
        <v>117</v>
      </c>
      <c r="H11783">
        <v>49770</v>
      </c>
      <c r="I11783" t="s">
        <v>30</v>
      </c>
      <c r="J11783" t="s">
        <v>41</v>
      </c>
      <c r="K11783" t="s">
        <v>461</v>
      </c>
      <c r="Q11783">
        <v>0</v>
      </c>
      <c r="R11783">
        <v>0</v>
      </c>
      <c r="S11783">
        <v>0</v>
      </c>
      <c r="T11783" t="s">
        <v>42718</v>
      </c>
    </row>
    <row r="11784" spans="1:20" customFormat="1" ht="15" x14ac:dyDescent="0.25">
      <c r="A11784" t="s">
        <v>35</v>
      </c>
      <c r="B11784" t="s">
        <v>61</v>
      </c>
      <c r="C11784" t="str">
        <f>"A0127945"</f>
        <v>A0127945</v>
      </c>
      <c r="D11784" t="s">
        <v>42719</v>
      </c>
      <c r="E11784" t="s">
        <v>42720</v>
      </c>
      <c r="F11784" t="s">
        <v>40994</v>
      </c>
      <c r="G11784" t="s">
        <v>117</v>
      </c>
      <c r="H11784">
        <v>49770</v>
      </c>
      <c r="I11784" t="s">
        <v>30</v>
      </c>
      <c r="J11784" t="s">
        <v>41</v>
      </c>
      <c r="K11784" t="s">
        <v>461</v>
      </c>
      <c r="Q11784">
        <v>0</v>
      </c>
      <c r="R11784">
        <v>0</v>
      </c>
      <c r="S11784">
        <v>0</v>
      </c>
      <c r="T11784" t="s">
        <v>42721</v>
      </c>
    </row>
    <row r="11785" spans="1:20" customFormat="1" ht="15" x14ac:dyDescent="0.25">
      <c r="A11785" t="s">
        <v>35</v>
      </c>
      <c r="B11785" t="s">
        <v>61</v>
      </c>
      <c r="C11785" t="str">
        <f>"A0132030"</f>
        <v>A0132030</v>
      </c>
      <c r="D11785" t="s">
        <v>42722</v>
      </c>
      <c r="E11785" t="s">
        <v>42723</v>
      </c>
      <c r="F11785" t="s">
        <v>36767</v>
      </c>
      <c r="G11785" t="s">
        <v>65</v>
      </c>
      <c r="H11785">
        <v>45638</v>
      </c>
      <c r="I11785" t="s">
        <v>30</v>
      </c>
      <c r="J11785" t="s">
        <v>41</v>
      </c>
      <c r="K11785" t="s">
        <v>229</v>
      </c>
      <c r="Q11785">
        <v>0</v>
      </c>
      <c r="R11785">
        <v>159</v>
      </c>
      <c r="S11785">
        <v>159</v>
      </c>
      <c r="T11785" t="s">
        <v>42724</v>
      </c>
    </row>
    <row r="11786" spans="1:20" customFormat="1" ht="15" x14ac:dyDescent="0.25">
      <c r="A11786" t="s">
        <v>35</v>
      </c>
      <c r="B11786" t="s">
        <v>61</v>
      </c>
      <c r="C11786" t="str">
        <f>"A0127862"</f>
        <v>A0127862</v>
      </c>
      <c r="D11786" t="s">
        <v>42725</v>
      </c>
      <c r="E11786" t="s">
        <v>42726</v>
      </c>
      <c r="F11786" t="s">
        <v>42727</v>
      </c>
      <c r="G11786" t="s">
        <v>117</v>
      </c>
      <c r="H11786">
        <v>494280000</v>
      </c>
      <c r="I11786" t="s">
        <v>30</v>
      </c>
      <c r="J11786" t="s">
        <v>41</v>
      </c>
      <c r="K11786" t="s">
        <v>131</v>
      </c>
      <c r="Q11786">
        <v>0</v>
      </c>
      <c r="R11786">
        <v>12</v>
      </c>
      <c r="S11786">
        <v>12</v>
      </c>
      <c r="T11786" t="s">
        <v>42728</v>
      </c>
    </row>
    <row r="11787" spans="1:20" customFormat="1" ht="15" x14ac:dyDescent="0.25">
      <c r="A11787" t="s">
        <v>35</v>
      </c>
      <c r="B11787" t="s">
        <v>61</v>
      </c>
      <c r="C11787" t="str">
        <f>"A0127776"</f>
        <v>A0127776</v>
      </c>
      <c r="D11787" t="s">
        <v>42729</v>
      </c>
      <c r="E11787" t="s">
        <v>42730</v>
      </c>
      <c r="F11787" t="s">
        <v>42731</v>
      </c>
      <c r="G11787" t="s">
        <v>117</v>
      </c>
      <c r="H11787">
        <v>48047</v>
      </c>
      <c r="I11787" t="s">
        <v>30</v>
      </c>
      <c r="J11787" t="s">
        <v>41</v>
      </c>
      <c r="K11787" t="s">
        <v>2468</v>
      </c>
      <c r="Q11787">
        <v>0</v>
      </c>
      <c r="R11787">
        <v>67</v>
      </c>
      <c r="S11787">
        <v>67</v>
      </c>
      <c r="T11787" t="s">
        <v>42732</v>
      </c>
    </row>
    <row r="11788" spans="1:20" customFormat="1" ht="15" x14ac:dyDescent="0.25">
      <c r="A11788" t="s">
        <v>35</v>
      </c>
      <c r="B11788" t="s">
        <v>61</v>
      </c>
      <c r="C11788" t="str">
        <f>"A0131459"</f>
        <v>A0131459</v>
      </c>
      <c r="D11788" t="s">
        <v>42733</v>
      </c>
      <c r="E11788" t="s">
        <v>42734</v>
      </c>
      <c r="F11788" t="s">
        <v>2756</v>
      </c>
      <c r="G11788" t="s">
        <v>137</v>
      </c>
      <c r="H11788">
        <v>63883</v>
      </c>
      <c r="I11788" t="s">
        <v>30</v>
      </c>
      <c r="J11788" t="s">
        <v>41</v>
      </c>
      <c r="K11788" t="s">
        <v>59</v>
      </c>
      <c r="Q11788">
        <v>0</v>
      </c>
      <c r="R11788">
        <v>0</v>
      </c>
      <c r="S11788">
        <v>0</v>
      </c>
      <c r="T11788" t="s">
        <v>42735</v>
      </c>
    </row>
    <row r="11789" spans="1:20" customFormat="1" ht="15" x14ac:dyDescent="0.25">
      <c r="A11789" t="s">
        <v>35</v>
      </c>
      <c r="B11789" t="s">
        <v>61</v>
      </c>
      <c r="C11789" t="str">
        <f>"A0133483"</f>
        <v>A0133483</v>
      </c>
      <c r="D11789" t="s">
        <v>42736</v>
      </c>
      <c r="E11789" t="s">
        <v>42737</v>
      </c>
      <c r="F11789" t="s">
        <v>23230</v>
      </c>
      <c r="G11789" t="s">
        <v>52</v>
      </c>
      <c r="H11789">
        <v>78401</v>
      </c>
      <c r="I11789" t="s">
        <v>30</v>
      </c>
      <c r="J11789" t="s">
        <v>41</v>
      </c>
      <c r="K11789" t="s">
        <v>229</v>
      </c>
      <c r="Q11789">
        <v>0</v>
      </c>
      <c r="R11789">
        <v>116</v>
      </c>
      <c r="S11789">
        <v>116</v>
      </c>
      <c r="T11789" t="s">
        <v>42738</v>
      </c>
    </row>
    <row r="11790" spans="1:20" customFormat="1" ht="15" x14ac:dyDescent="0.25">
      <c r="A11790" t="s">
        <v>35</v>
      </c>
      <c r="B11790" t="s">
        <v>61</v>
      </c>
      <c r="C11790" t="str">
        <f>"A0123801"</f>
        <v>A0123801</v>
      </c>
      <c r="D11790" t="s">
        <v>42739</v>
      </c>
      <c r="E11790" t="s">
        <v>42740</v>
      </c>
      <c r="F11790" t="s">
        <v>57</v>
      </c>
      <c r="G11790" t="s">
        <v>58</v>
      </c>
      <c r="H11790">
        <v>29803</v>
      </c>
      <c r="I11790" t="s">
        <v>30</v>
      </c>
      <c r="J11790" t="s">
        <v>41</v>
      </c>
      <c r="K11790" t="s">
        <v>59</v>
      </c>
      <c r="Q11790">
        <v>0</v>
      </c>
      <c r="R11790">
        <v>1</v>
      </c>
      <c r="S11790">
        <v>1</v>
      </c>
      <c r="T11790" t="s">
        <v>42741</v>
      </c>
    </row>
    <row r="11791" spans="1:20" customFormat="1" ht="15" x14ac:dyDescent="0.25">
      <c r="A11791" t="s">
        <v>35</v>
      </c>
      <c r="B11791" t="s">
        <v>61</v>
      </c>
      <c r="C11791" t="str">
        <f>"A0123803"</f>
        <v>A0123803</v>
      </c>
      <c r="D11791" t="s">
        <v>42742</v>
      </c>
      <c r="E11791" t="s">
        <v>42743</v>
      </c>
      <c r="F11791" t="s">
        <v>1298</v>
      </c>
      <c r="G11791" t="s">
        <v>58</v>
      </c>
      <c r="H11791">
        <v>29212</v>
      </c>
      <c r="I11791" t="s">
        <v>30</v>
      </c>
      <c r="J11791" t="s">
        <v>41</v>
      </c>
      <c r="K11791" t="s">
        <v>59</v>
      </c>
      <c r="Q11791">
        <v>0</v>
      </c>
      <c r="R11791">
        <v>1</v>
      </c>
      <c r="S11791">
        <v>1</v>
      </c>
      <c r="T11791" t="s">
        <v>42744</v>
      </c>
    </row>
    <row r="11792" spans="1:20" customFormat="1" ht="15" x14ac:dyDescent="0.25">
      <c r="A11792" t="s">
        <v>35</v>
      </c>
      <c r="B11792" t="s">
        <v>61</v>
      </c>
      <c r="C11792" t="str">
        <f>"A0123804"</f>
        <v>A0123804</v>
      </c>
      <c r="D11792" t="s">
        <v>42745</v>
      </c>
      <c r="E11792" t="s">
        <v>42746</v>
      </c>
      <c r="F11792" t="s">
        <v>22236</v>
      </c>
      <c r="G11792" t="s">
        <v>81</v>
      </c>
      <c r="H11792">
        <v>33065</v>
      </c>
      <c r="I11792" t="s">
        <v>30</v>
      </c>
      <c r="J11792" t="s">
        <v>41</v>
      </c>
      <c r="K11792" t="s">
        <v>59</v>
      </c>
      <c r="Q11792">
        <v>0</v>
      </c>
      <c r="R11792">
        <v>1</v>
      </c>
      <c r="S11792">
        <v>1</v>
      </c>
      <c r="T11792" t="s">
        <v>42747</v>
      </c>
    </row>
    <row r="11793" spans="1:20" customFormat="1" ht="15" x14ac:dyDescent="0.25">
      <c r="A11793" t="s">
        <v>35</v>
      </c>
      <c r="B11793" t="s">
        <v>61</v>
      </c>
      <c r="C11793" t="str">
        <f>"A0123805"</f>
        <v>A0123805</v>
      </c>
      <c r="D11793" t="s">
        <v>42748</v>
      </c>
      <c r="E11793" t="s">
        <v>42749</v>
      </c>
      <c r="F11793" t="s">
        <v>6290</v>
      </c>
      <c r="G11793" t="s">
        <v>81</v>
      </c>
      <c r="H11793">
        <v>32606</v>
      </c>
      <c r="I11793" t="s">
        <v>30</v>
      </c>
      <c r="J11793" t="s">
        <v>41</v>
      </c>
      <c r="K11793" t="s">
        <v>59</v>
      </c>
      <c r="Q11793">
        <v>0</v>
      </c>
      <c r="R11793">
        <v>1</v>
      </c>
      <c r="S11793">
        <v>1</v>
      </c>
      <c r="T11793" t="s">
        <v>42750</v>
      </c>
    </row>
    <row r="11794" spans="1:20" customFormat="1" ht="15" x14ac:dyDescent="0.25">
      <c r="A11794" t="s">
        <v>35</v>
      </c>
      <c r="B11794" t="s">
        <v>61</v>
      </c>
      <c r="C11794" t="str">
        <f>"A0123806"</f>
        <v>A0123806</v>
      </c>
      <c r="D11794" t="s">
        <v>42751</v>
      </c>
      <c r="E11794" t="s">
        <v>42752</v>
      </c>
      <c r="F11794" t="s">
        <v>23386</v>
      </c>
      <c r="G11794" t="s">
        <v>1706</v>
      </c>
      <c r="H11794">
        <v>35801</v>
      </c>
      <c r="I11794" t="s">
        <v>30</v>
      </c>
      <c r="J11794" t="s">
        <v>41</v>
      </c>
      <c r="K11794" t="s">
        <v>59</v>
      </c>
      <c r="Q11794">
        <v>0</v>
      </c>
      <c r="R11794">
        <v>1</v>
      </c>
      <c r="S11794">
        <v>1</v>
      </c>
      <c r="T11794" t="s">
        <v>42753</v>
      </c>
    </row>
    <row r="11795" spans="1:20" customFormat="1" ht="15" x14ac:dyDescent="0.25">
      <c r="A11795" t="s">
        <v>35</v>
      </c>
      <c r="B11795" t="s">
        <v>61</v>
      </c>
      <c r="C11795" t="str">
        <f>"A0123807"</f>
        <v>A0123807</v>
      </c>
      <c r="D11795" t="s">
        <v>42754</v>
      </c>
      <c r="E11795" t="s">
        <v>42755</v>
      </c>
      <c r="F11795" t="s">
        <v>4645</v>
      </c>
      <c r="G11795" t="s">
        <v>81</v>
      </c>
      <c r="H11795">
        <v>32224</v>
      </c>
      <c r="I11795" t="s">
        <v>30</v>
      </c>
      <c r="J11795" t="s">
        <v>41</v>
      </c>
      <c r="K11795" t="s">
        <v>59</v>
      </c>
      <c r="Q11795">
        <v>0</v>
      </c>
      <c r="R11795">
        <v>1</v>
      </c>
      <c r="S11795">
        <v>1</v>
      </c>
      <c r="T11795" t="s">
        <v>42756</v>
      </c>
    </row>
    <row r="11796" spans="1:20" customFormat="1" ht="15" x14ac:dyDescent="0.25">
      <c r="A11796" t="s">
        <v>35</v>
      </c>
      <c r="B11796" t="s">
        <v>61</v>
      </c>
      <c r="C11796" t="str">
        <f>"A0123808"</f>
        <v>A0123808</v>
      </c>
      <c r="D11796" t="s">
        <v>42757</v>
      </c>
      <c r="E11796" t="s">
        <v>42758</v>
      </c>
      <c r="F11796" t="s">
        <v>3671</v>
      </c>
      <c r="G11796" t="s">
        <v>81</v>
      </c>
      <c r="H11796">
        <v>34109</v>
      </c>
      <c r="I11796" t="s">
        <v>30</v>
      </c>
      <c r="J11796" t="s">
        <v>41</v>
      </c>
      <c r="K11796" t="s">
        <v>59</v>
      </c>
      <c r="Q11796">
        <v>0</v>
      </c>
      <c r="R11796">
        <v>1</v>
      </c>
      <c r="S11796">
        <v>1</v>
      </c>
      <c r="T11796" t="s">
        <v>42759</v>
      </c>
    </row>
    <row r="11797" spans="1:20" customFormat="1" ht="15" x14ac:dyDescent="0.25">
      <c r="A11797" t="s">
        <v>35</v>
      </c>
      <c r="B11797" t="s">
        <v>61</v>
      </c>
      <c r="C11797" t="str">
        <f>"A0123809"</f>
        <v>A0123809</v>
      </c>
      <c r="D11797" t="s">
        <v>42760</v>
      </c>
      <c r="E11797" t="s">
        <v>42761</v>
      </c>
      <c r="F11797" t="s">
        <v>3671</v>
      </c>
      <c r="G11797" t="s">
        <v>81</v>
      </c>
      <c r="H11797">
        <v>34110</v>
      </c>
      <c r="I11797" t="s">
        <v>30</v>
      </c>
      <c r="J11797" t="s">
        <v>41</v>
      </c>
      <c r="K11797" t="s">
        <v>59</v>
      </c>
      <c r="Q11797">
        <v>0</v>
      </c>
      <c r="R11797">
        <v>1</v>
      </c>
      <c r="S11797">
        <v>1</v>
      </c>
      <c r="T11797" t="s">
        <v>42762</v>
      </c>
    </row>
    <row r="11798" spans="1:20" customFormat="1" ht="15" x14ac:dyDescent="0.25">
      <c r="A11798" t="s">
        <v>35</v>
      </c>
      <c r="B11798" t="s">
        <v>61</v>
      </c>
      <c r="C11798" t="str">
        <f>"A0123810"</f>
        <v>A0123810</v>
      </c>
      <c r="D11798" t="s">
        <v>42763</v>
      </c>
      <c r="E11798" t="s">
        <v>42764</v>
      </c>
      <c r="F11798" t="s">
        <v>13899</v>
      </c>
      <c r="G11798" t="s">
        <v>81</v>
      </c>
      <c r="H11798">
        <v>34684</v>
      </c>
      <c r="I11798" t="s">
        <v>30</v>
      </c>
      <c r="J11798" t="s">
        <v>41</v>
      </c>
      <c r="K11798" t="s">
        <v>59</v>
      </c>
      <c r="Q11798">
        <v>0</v>
      </c>
      <c r="R11798">
        <v>1</v>
      </c>
      <c r="S11798">
        <v>1</v>
      </c>
      <c r="T11798" t="s">
        <v>42765</v>
      </c>
    </row>
    <row r="11799" spans="1:20" customFormat="1" ht="15" x14ac:dyDescent="0.25">
      <c r="A11799" t="s">
        <v>35</v>
      </c>
      <c r="B11799" t="s">
        <v>61</v>
      </c>
      <c r="C11799" t="str">
        <f>"A0123811"</f>
        <v>A0123811</v>
      </c>
      <c r="D11799" t="s">
        <v>42766</v>
      </c>
      <c r="E11799" t="s">
        <v>42767</v>
      </c>
      <c r="F11799" t="s">
        <v>3285</v>
      </c>
      <c r="G11799" t="s">
        <v>58</v>
      </c>
      <c r="H11799">
        <v>29732</v>
      </c>
      <c r="I11799" t="s">
        <v>30</v>
      </c>
      <c r="J11799" t="s">
        <v>41</v>
      </c>
      <c r="K11799" t="s">
        <v>59</v>
      </c>
      <c r="Q11799">
        <v>0</v>
      </c>
      <c r="R11799">
        <v>1</v>
      </c>
      <c r="S11799">
        <v>1</v>
      </c>
      <c r="T11799" t="s">
        <v>42768</v>
      </c>
    </row>
    <row r="11800" spans="1:20" customFormat="1" ht="15" x14ac:dyDescent="0.25">
      <c r="A11800" t="s">
        <v>35</v>
      </c>
      <c r="B11800" t="s">
        <v>61</v>
      </c>
      <c r="C11800" t="str">
        <f>"A0123813"</f>
        <v>A0123813</v>
      </c>
      <c r="D11800" t="s">
        <v>42769</v>
      </c>
      <c r="E11800" t="s">
        <v>42770</v>
      </c>
      <c r="F11800" t="s">
        <v>3555</v>
      </c>
      <c r="G11800" t="s">
        <v>81</v>
      </c>
      <c r="H11800">
        <v>32303</v>
      </c>
      <c r="I11800" t="s">
        <v>30</v>
      </c>
      <c r="J11800" t="s">
        <v>41</v>
      </c>
      <c r="K11800" t="s">
        <v>59</v>
      </c>
      <c r="Q11800">
        <v>0</v>
      </c>
      <c r="R11800">
        <v>1</v>
      </c>
      <c r="S11800">
        <v>1</v>
      </c>
      <c r="T11800" t="s">
        <v>42771</v>
      </c>
    </row>
    <row r="11801" spans="1:20" customFormat="1" ht="15" x14ac:dyDescent="0.25">
      <c r="A11801" t="s">
        <v>35</v>
      </c>
      <c r="B11801" t="s">
        <v>61</v>
      </c>
      <c r="C11801" t="str">
        <f>"A0123814"</f>
        <v>A0123814</v>
      </c>
      <c r="D11801" t="s">
        <v>42772</v>
      </c>
      <c r="E11801" t="s">
        <v>42773</v>
      </c>
      <c r="F11801" t="s">
        <v>15170</v>
      </c>
      <c r="G11801" t="s">
        <v>81</v>
      </c>
      <c r="H11801">
        <v>33321</v>
      </c>
      <c r="I11801" t="s">
        <v>30</v>
      </c>
      <c r="J11801" t="s">
        <v>41</v>
      </c>
      <c r="K11801" t="s">
        <v>59</v>
      </c>
      <c r="Q11801">
        <v>0</v>
      </c>
      <c r="R11801">
        <v>1</v>
      </c>
      <c r="S11801">
        <v>1</v>
      </c>
      <c r="T11801" t="s">
        <v>42774</v>
      </c>
    </row>
    <row r="11802" spans="1:20" customFormat="1" ht="15" x14ac:dyDescent="0.25">
      <c r="A11802" t="s">
        <v>35</v>
      </c>
      <c r="B11802" t="s">
        <v>61</v>
      </c>
      <c r="C11802" t="str">
        <f>"A0123815"</f>
        <v>A0123815</v>
      </c>
      <c r="D11802" t="s">
        <v>42775</v>
      </c>
      <c r="E11802" t="s">
        <v>42776</v>
      </c>
      <c r="F11802" t="s">
        <v>5488</v>
      </c>
      <c r="G11802" t="s">
        <v>81</v>
      </c>
      <c r="H11802">
        <v>34285</v>
      </c>
      <c r="I11802" t="s">
        <v>30</v>
      </c>
      <c r="J11802" t="s">
        <v>41</v>
      </c>
      <c r="K11802" t="s">
        <v>59</v>
      </c>
      <c r="Q11802">
        <v>0</v>
      </c>
      <c r="R11802">
        <v>1</v>
      </c>
      <c r="S11802">
        <v>1</v>
      </c>
      <c r="T11802" t="s">
        <v>42777</v>
      </c>
    </row>
    <row r="11803" spans="1:20" customFormat="1" ht="15" x14ac:dyDescent="0.25">
      <c r="A11803" t="s">
        <v>35</v>
      </c>
      <c r="B11803" t="s">
        <v>61</v>
      </c>
      <c r="C11803" t="str">
        <f>"A0123816"</f>
        <v>A0123816</v>
      </c>
      <c r="D11803" t="s">
        <v>42778</v>
      </c>
      <c r="E11803" t="s">
        <v>42779</v>
      </c>
      <c r="F11803" t="s">
        <v>10564</v>
      </c>
      <c r="G11803" t="s">
        <v>81</v>
      </c>
      <c r="H11803">
        <v>32967</v>
      </c>
      <c r="I11803" t="s">
        <v>30</v>
      </c>
      <c r="J11803" t="s">
        <v>41</v>
      </c>
      <c r="K11803" t="s">
        <v>59</v>
      </c>
      <c r="Q11803">
        <v>0</v>
      </c>
      <c r="R11803">
        <v>1</v>
      </c>
      <c r="S11803">
        <v>1</v>
      </c>
      <c r="T11803" t="s">
        <v>42780</v>
      </c>
    </row>
    <row r="11804" spans="1:20" customFormat="1" ht="15" x14ac:dyDescent="0.25">
      <c r="A11804" t="s">
        <v>35</v>
      </c>
      <c r="B11804" t="s">
        <v>61</v>
      </c>
      <c r="C11804" t="str">
        <f>"A0123817"</f>
        <v>A0123817</v>
      </c>
      <c r="D11804" t="s">
        <v>42781</v>
      </c>
      <c r="E11804" t="s">
        <v>42782</v>
      </c>
      <c r="F11804" t="s">
        <v>42783</v>
      </c>
      <c r="G11804" t="s">
        <v>81</v>
      </c>
      <c r="H11804">
        <v>32159</v>
      </c>
      <c r="I11804" t="s">
        <v>30</v>
      </c>
      <c r="J11804" t="s">
        <v>41</v>
      </c>
      <c r="K11804" t="s">
        <v>59</v>
      </c>
      <c r="Q11804">
        <v>0</v>
      </c>
      <c r="R11804">
        <v>1</v>
      </c>
      <c r="S11804">
        <v>1</v>
      </c>
    </row>
    <row r="11805" spans="1:20" customFormat="1" ht="15" x14ac:dyDescent="0.25">
      <c r="A11805" t="s">
        <v>35</v>
      </c>
      <c r="B11805" t="s">
        <v>61</v>
      </c>
      <c r="C11805" t="str">
        <f>"A0124923"</f>
        <v>A0124923</v>
      </c>
      <c r="D11805" t="s">
        <v>42784</v>
      </c>
      <c r="E11805" t="s">
        <v>42785</v>
      </c>
      <c r="F11805" t="s">
        <v>15622</v>
      </c>
      <c r="G11805" t="s">
        <v>29</v>
      </c>
      <c r="H11805">
        <v>235109869</v>
      </c>
      <c r="I11805" t="s">
        <v>30</v>
      </c>
      <c r="J11805" t="s">
        <v>41</v>
      </c>
      <c r="K11805" t="s">
        <v>1440</v>
      </c>
      <c r="Q11805">
        <v>0</v>
      </c>
      <c r="R11805">
        <v>229</v>
      </c>
      <c r="S11805">
        <v>229</v>
      </c>
      <c r="T11805" t="s">
        <v>42786</v>
      </c>
    </row>
    <row r="11806" spans="1:20" customFormat="1" ht="15" x14ac:dyDescent="0.25">
      <c r="A11806" t="s">
        <v>35</v>
      </c>
      <c r="B11806" t="s">
        <v>61</v>
      </c>
      <c r="C11806" t="str">
        <f>"A0132238"</f>
        <v>A0132238</v>
      </c>
      <c r="D11806" t="s">
        <v>42787</v>
      </c>
      <c r="E11806" t="s">
        <v>42788</v>
      </c>
      <c r="F11806" t="s">
        <v>42789</v>
      </c>
      <c r="G11806" t="s">
        <v>65</v>
      </c>
      <c r="H11806">
        <v>435580000</v>
      </c>
      <c r="I11806" t="s">
        <v>30</v>
      </c>
      <c r="J11806" t="s">
        <v>41</v>
      </c>
      <c r="K11806" t="s">
        <v>229</v>
      </c>
      <c r="Q11806">
        <v>0</v>
      </c>
      <c r="R11806">
        <v>50</v>
      </c>
      <c r="S11806">
        <v>50</v>
      </c>
      <c r="T11806" t="s">
        <v>42790</v>
      </c>
    </row>
    <row r="11807" spans="1:20" customFormat="1" ht="15" x14ac:dyDescent="0.25">
      <c r="A11807" t="s">
        <v>35</v>
      </c>
      <c r="B11807" t="s">
        <v>61</v>
      </c>
      <c r="C11807" t="str">
        <f>"A0127453"</f>
        <v>A0127453</v>
      </c>
      <c r="D11807" t="s">
        <v>42791</v>
      </c>
      <c r="E11807" t="s">
        <v>42792</v>
      </c>
      <c r="F11807" t="s">
        <v>42793</v>
      </c>
      <c r="G11807" t="s">
        <v>846</v>
      </c>
      <c r="H11807">
        <v>31516</v>
      </c>
      <c r="I11807" t="s">
        <v>30</v>
      </c>
      <c r="J11807" t="s">
        <v>41</v>
      </c>
      <c r="K11807" t="s">
        <v>229</v>
      </c>
      <c r="Q11807">
        <v>0</v>
      </c>
      <c r="R11807">
        <v>0</v>
      </c>
      <c r="S11807">
        <v>0</v>
      </c>
      <c r="T11807" t="s">
        <v>42794</v>
      </c>
    </row>
    <row r="11808" spans="1:20" customFormat="1" ht="15" x14ac:dyDescent="0.25">
      <c r="A11808" t="s">
        <v>35</v>
      </c>
      <c r="B11808" t="s">
        <v>61</v>
      </c>
      <c r="C11808" t="str">
        <f>"A0127455"</f>
        <v>A0127455</v>
      </c>
      <c r="D11808" t="s">
        <v>42795</v>
      </c>
      <c r="E11808" t="s">
        <v>42796</v>
      </c>
      <c r="F11808" t="s">
        <v>42797</v>
      </c>
      <c r="G11808" t="s">
        <v>846</v>
      </c>
      <c r="H11808">
        <v>31545</v>
      </c>
      <c r="I11808" t="s">
        <v>30</v>
      </c>
      <c r="J11808" t="s">
        <v>41</v>
      </c>
      <c r="K11808" t="s">
        <v>229</v>
      </c>
      <c r="Q11808">
        <v>0</v>
      </c>
      <c r="R11808">
        <v>0</v>
      </c>
      <c r="S11808">
        <v>0</v>
      </c>
      <c r="T11808" t="s">
        <v>42798</v>
      </c>
    </row>
    <row r="11809" spans="1:20" customFormat="1" ht="15" x14ac:dyDescent="0.25">
      <c r="A11809" t="s">
        <v>35</v>
      </c>
      <c r="B11809" t="s">
        <v>61</v>
      </c>
      <c r="C11809" t="str">
        <f>"A0127454"</f>
        <v>A0127454</v>
      </c>
      <c r="D11809" t="s">
        <v>42799</v>
      </c>
      <c r="E11809" t="s">
        <v>42800</v>
      </c>
      <c r="F11809" t="s">
        <v>37241</v>
      </c>
      <c r="G11809" t="s">
        <v>846</v>
      </c>
      <c r="H11809">
        <v>31501</v>
      </c>
      <c r="I11809" t="s">
        <v>30</v>
      </c>
      <c r="J11809" t="s">
        <v>41</v>
      </c>
      <c r="K11809" t="s">
        <v>229</v>
      </c>
      <c r="Q11809">
        <v>0</v>
      </c>
      <c r="R11809">
        <v>0</v>
      </c>
      <c r="S11809">
        <v>0</v>
      </c>
      <c r="T11809" t="s">
        <v>42801</v>
      </c>
    </row>
    <row r="11810" spans="1:20" customFormat="1" ht="15" x14ac:dyDescent="0.25">
      <c r="A11810" t="s">
        <v>35</v>
      </c>
      <c r="B11810" t="s">
        <v>61</v>
      </c>
      <c r="C11810" t="str">
        <f>"A0127452"</f>
        <v>A0127452</v>
      </c>
      <c r="D11810" t="s">
        <v>42802</v>
      </c>
      <c r="E11810" t="s">
        <v>42803</v>
      </c>
      <c r="F11810" t="s">
        <v>42804</v>
      </c>
      <c r="G11810" t="s">
        <v>846</v>
      </c>
      <c r="H11810">
        <v>30286</v>
      </c>
      <c r="I11810" t="s">
        <v>30</v>
      </c>
      <c r="J11810" t="s">
        <v>41</v>
      </c>
      <c r="K11810" t="s">
        <v>229</v>
      </c>
      <c r="Q11810">
        <v>0</v>
      </c>
      <c r="R11810">
        <v>0</v>
      </c>
      <c r="S11810">
        <v>0</v>
      </c>
      <c r="T11810" t="s">
        <v>42805</v>
      </c>
    </row>
    <row r="11811" spans="1:20" customFormat="1" ht="15" x14ac:dyDescent="0.25">
      <c r="A11811" t="s">
        <v>35</v>
      </c>
      <c r="B11811" t="s">
        <v>61</v>
      </c>
      <c r="C11811" t="str">
        <f>"A0123818"</f>
        <v>A0123818</v>
      </c>
      <c r="D11811" t="s">
        <v>42806</v>
      </c>
      <c r="E11811" t="s">
        <v>42807</v>
      </c>
      <c r="F11811" t="s">
        <v>42808</v>
      </c>
      <c r="G11811" t="s">
        <v>214</v>
      </c>
      <c r="H11811">
        <v>28557</v>
      </c>
      <c r="I11811" t="s">
        <v>30</v>
      </c>
      <c r="J11811" t="s">
        <v>41</v>
      </c>
      <c r="K11811" t="s">
        <v>229</v>
      </c>
      <c r="Q11811">
        <v>0</v>
      </c>
      <c r="R11811">
        <v>122</v>
      </c>
      <c r="S11811">
        <v>122</v>
      </c>
      <c r="T11811" t="s">
        <v>42809</v>
      </c>
    </row>
    <row r="11812" spans="1:20" customFormat="1" ht="15" x14ac:dyDescent="0.25">
      <c r="A11812" t="s">
        <v>35</v>
      </c>
      <c r="B11812" t="s">
        <v>61</v>
      </c>
      <c r="C11812" t="str">
        <f>"A0123404"</f>
        <v>A0123404</v>
      </c>
      <c r="D11812" t="s">
        <v>42810</v>
      </c>
      <c r="E11812" t="s">
        <v>42811</v>
      </c>
      <c r="F11812" t="s">
        <v>15622</v>
      </c>
      <c r="G11812" t="s">
        <v>29</v>
      </c>
      <c r="H11812" t="s">
        <v>42812</v>
      </c>
      <c r="I11812" t="s">
        <v>30</v>
      </c>
      <c r="J11812" t="s">
        <v>41</v>
      </c>
      <c r="K11812" t="s">
        <v>229</v>
      </c>
      <c r="Q11812">
        <v>0</v>
      </c>
      <c r="R11812">
        <v>172</v>
      </c>
      <c r="S11812">
        <v>172</v>
      </c>
      <c r="T11812" t="s">
        <v>42813</v>
      </c>
    </row>
    <row r="11813" spans="1:20" customFormat="1" ht="15" x14ac:dyDescent="0.25">
      <c r="A11813" t="s">
        <v>35</v>
      </c>
      <c r="B11813" t="s">
        <v>61</v>
      </c>
      <c r="C11813" t="str">
        <f>"A0132053"</f>
        <v>A0132053</v>
      </c>
      <c r="D11813" t="s">
        <v>42814</v>
      </c>
      <c r="E11813" t="s">
        <v>42815</v>
      </c>
      <c r="F11813" t="s">
        <v>42816</v>
      </c>
      <c r="G11813" t="s">
        <v>65</v>
      </c>
      <c r="H11813">
        <v>43326</v>
      </c>
      <c r="I11813" t="s">
        <v>30</v>
      </c>
      <c r="J11813" t="s">
        <v>41</v>
      </c>
      <c r="K11813" t="s">
        <v>229</v>
      </c>
      <c r="Q11813">
        <v>0</v>
      </c>
      <c r="R11813">
        <v>78</v>
      </c>
      <c r="S11813">
        <v>78</v>
      </c>
      <c r="T11813" t="s">
        <v>42817</v>
      </c>
    </row>
    <row r="11814" spans="1:20" customFormat="1" ht="15" x14ac:dyDescent="0.25">
      <c r="A11814" t="s">
        <v>35</v>
      </c>
      <c r="B11814" t="s">
        <v>61</v>
      </c>
      <c r="C11814" t="str">
        <f>"A0126594"</f>
        <v>A0126594</v>
      </c>
      <c r="D11814" t="s">
        <v>42818</v>
      </c>
      <c r="E11814" t="s">
        <v>42819</v>
      </c>
      <c r="F11814" t="s">
        <v>1755</v>
      </c>
      <c r="G11814" t="s">
        <v>103</v>
      </c>
      <c r="H11814">
        <v>19064</v>
      </c>
      <c r="I11814" t="s">
        <v>30</v>
      </c>
      <c r="J11814" t="s">
        <v>41</v>
      </c>
      <c r="K11814" t="s">
        <v>229</v>
      </c>
      <c r="Q11814">
        <v>0</v>
      </c>
      <c r="R11814">
        <v>184</v>
      </c>
      <c r="S11814">
        <v>184</v>
      </c>
      <c r="T11814" t="s">
        <v>42820</v>
      </c>
    </row>
    <row r="11815" spans="1:20" customFormat="1" ht="15" x14ac:dyDescent="0.25">
      <c r="A11815" t="s">
        <v>35</v>
      </c>
      <c r="B11815" t="s">
        <v>106</v>
      </c>
      <c r="C11815" t="str">
        <f>"A0136578"</f>
        <v>A0136578</v>
      </c>
      <c r="D11815" t="s">
        <v>42821</v>
      </c>
      <c r="E11815" t="s">
        <v>42822</v>
      </c>
      <c r="F11815" t="s">
        <v>42823</v>
      </c>
      <c r="G11815" t="s">
        <v>1184</v>
      </c>
      <c r="H11815">
        <v>59526</v>
      </c>
      <c r="I11815" t="s">
        <v>30</v>
      </c>
      <c r="J11815" t="s">
        <v>111</v>
      </c>
      <c r="K11815" t="s">
        <v>112</v>
      </c>
      <c r="Q11815">
        <v>0</v>
      </c>
      <c r="R11815">
        <v>0</v>
      </c>
      <c r="S11815">
        <v>0</v>
      </c>
      <c r="T11815" t="s">
        <v>42824</v>
      </c>
    </row>
    <row r="11816" spans="1:20" customFormat="1" ht="15" x14ac:dyDescent="0.25">
      <c r="A11816" t="s">
        <v>35</v>
      </c>
      <c r="B11816" t="s">
        <v>61</v>
      </c>
      <c r="C11816" t="str">
        <f>"A0133316"</f>
        <v>A0133316</v>
      </c>
      <c r="D11816" t="s">
        <v>42825</v>
      </c>
      <c r="E11816" t="s">
        <v>42826</v>
      </c>
      <c r="F11816" t="s">
        <v>26351</v>
      </c>
      <c r="G11816" t="s">
        <v>52</v>
      </c>
      <c r="H11816">
        <v>79312</v>
      </c>
      <c r="I11816" t="s">
        <v>30</v>
      </c>
      <c r="J11816" t="s">
        <v>41</v>
      </c>
      <c r="K11816" t="s">
        <v>229</v>
      </c>
      <c r="Q11816">
        <v>0</v>
      </c>
      <c r="R11816">
        <v>35</v>
      </c>
      <c r="S11816">
        <v>35</v>
      </c>
      <c r="T11816" t="s">
        <v>42827</v>
      </c>
    </row>
    <row r="11817" spans="1:20" customFormat="1" ht="15" x14ac:dyDescent="0.25">
      <c r="A11817" t="s">
        <v>35</v>
      </c>
      <c r="B11817" t="s">
        <v>61</v>
      </c>
      <c r="C11817" t="str">
        <f>"A0128324"</f>
        <v>A0128324</v>
      </c>
      <c r="D11817" t="s">
        <v>42828</v>
      </c>
      <c r="E11817" t="s">
        <v>42829</v>
      </c>
      <c r="F11817" t="s">
        <v>42830</v>
      </c>
      <c r="G11817" t="s">
        <v>427</v>
      </c>
      <c r="H11817">
        <v>68005</v>
      </c>
      <c r="I11817" t="s">
        <v>30</v>
      </c>
      <c r="J11817" t="s">
        <v>41</v>
      </c>
      <c r="K11817" t="s">
        <v>59</v>
      </c>
      <c r="Q11817">
        <v>0</v>
      </c>
      <c r="R11817">
        <v>86</v>
      </c>
      <c r="S11817">
        <v>86</v>
      </c>
      <c r="T11817" t="s">
        <v>42831</v>
      </c>
    </row>
    <row r="11818" spans="1:20" customFormat="1" ht="15" x14ac:dyDescent="0.25">
      <c r="A11818" t="s">
        <v>35</v>
      </c>
      <c r="B11818" t="s">
        <v>61</v>
      </c>
      <c r="C11818" t="str">
        <f>"A0130148"</f>
        <v>A0130148</v>
      </c>
      <c r="D11818" t="s">
        <v>42832</v>
      </c>
      <c r="E11818" t="s">
        <v>42833</v>
      </c>
      <c r="F11818" t="s">
        <v>12064</v>
      </c>
      <c r="G11818" t="s">
        <v>1898</v>
      </c>
      <c r="H11818">
        <v>51503</v>
      </c>
      <c r="I11818" t="s">
        <v>30</v>
      </c>
      <c r="J11818" t="s">
        <v>41</v>
      </c>
      <c r="K11818" t="s">
        <v>59</v>
      </c>
      <c r="Q11818">
        <v>0</v>
      </c>
      <c r="R11818">
        <v>103</v>
      </c>
      <c r="S11818">
        <v>103</v>
      </c>
      <c r="T11818" t="s">
        <v>42834</v>
      </c>
    </row>
    <row r="11819" spans="1:20" customFormat="1" ht="15" x14ac:dyDescent="0.25">
      <c r="A11819" t="s">
        <v>35</v>
      </c>
      <c r="B11819" t="s">
        <v>61</v>
      </c>
      <c r="C11819" t="str">
        <f>"A0123754"</f>
        <v>A0123754</v>
      </c>
      <c r="D11819" t="s">
        <v>42835</v>
      </c>
      <c r="E11819" t="s">
        <v>42836</v>
      </c>
      <c r="F11819" t="s">
        <v>42837</v>
      </c>
      <c r="G11819" t="s">
        <v>29</v>
      </c>
      <c r="H11819">
        <v>24055</v>
      </c>
      <c r="I11819" t="s">
        <v>30</v>
      </c>
      <c r="J11819" t="s">
        <v>41</v>
      </c>
      <c r="K11819" t="s">
        <v>59</v>
      </c>
      <c r="Q11819">
        <v>0</v>
      </c>
      <c r="R11819">
        <v>50</v>
      </c>
      <c r="S11819">
        <v>50</v>
      </c>
      <c r="T11819" t="s">
        <v>42838</v>
      </c>
    </row>
    <row r="11820" spans="1:20" customFormat="1" ht="15" x14ac:dyDescent="0.25">
      <c r="A11820" t="s">
        <v>35</v>
      </c>
      <c r="B11820" t="s">
        <v>61</v>
      </c>
      <c r="C11820" t="str">
        <f>"A0126393"</f>
        <v>A0126393</v>
      </c>
      <c r="D11820" t="s">
        <v>42839</v>
      </c>
      <c r="E11820" t="s">
        <v>42840</v>
      </c>
      <c r="F11820" t="s">
        <v>12216</v>
      </c>
      <c r="G11820" t="s">
        <v>81</v>
      </c>
      <c r="H11820">
        <v>32702</v>
      </c>
      <c r="I11820" t="s">
        <v>30</v>
      </c>
      <c r="J11820" t="s">
        <v>41</v>
      </c>
      <c r="K11820" t="s">
        <v>59</v>
      </c>
      <c r="Q11820">
        <v>0</v>
      </c>
      <c r="R11820">
        <v>48</v>
      </c>
      <c r="S11820">
        <v>48</v>
      </c>
      <c r="T11820" t="s">
        <v>42841</v>
      </c>
    </row>
    <row r="11821" spans="1:20" customFormat="1" ht="15" x14ac:dyDescent="0.25">
      <c r="A11821" t="s">
        <v>35</v>
      </c>
      <c r="B11821" t="s">
        <v>61</v>
      </c>
      <c r="C11821" t="str">
        <f>"A0153056"</f>
        <v>A0153056</v>
      </c>
      <c r="D11821" t="s">
        <v>42842</v>
      </c>
      <c r="E11821" t="s">
        <v>42843</v>
      </c>
      <c r="F11821" t="s">
        <v>455</v>
      </c>
      <c r="G11821" t="s">
        <v>433</v>
      </c>
      <c r="H11821">
        <v>83642</v>
      </c>
      <c r="I11821" t="s">
        <v>30</v>
      </c>
      <c r="J11821" t="s">
        <v>41</v>
      </c>
      <c r="K11821" t="s">
        <v>59</v>
      </c>
      <c r="Q11821">
        <v>0</v>
      </c>
      <c r="R11821">
        <v>90</v>
      </c>
      <c r="S11821">
        <v>90</v>
      </c>
      <c r="T11821" t="s">
        <v>42844</v>
      </c>
    </row>
    <row r="11822" spans="1:20" customFormat="1" ht="15" x14ac:dyDescent="0.25">
      <c r="A11822" t="s">
        <v>35</v>
      </c>
      <c r="B11822" t="s">
        <v>61</v>
      </c>
      <c r="C11822" t="str">
        <f>"A0131501"</f>
        <v>A0131501</v>
      </c>
      <c r="D11822" t="s">
        <v>42845</v>
      </c>
      <c r="E11822" t="s">
        <v>42846</v>
      </c>
      <c r="F11822" t="s">
        <v>17468</v>
      </c>
      <c r="G11822" t="s">
        <v>137</v>
      </c>
      <c r="H11822">
        <v>63401</v>
      </c>
      <c r="I11822" t="s">
        <v>30</v>
      </c>
      <c r="J11822" t="s">
        <v>41</v>
      </c>
      <c r="K11822" t="s">
        <v>482</v>
      </c>
      <c r="Q11822">
        <v>0</v>
      </c>
      <c r="R11822">
        <v>43</v>
      </c>
      <c r="S11822">
        <v>43</v>
      </c>
      <c r="T11822" t="s">
        <v>42847</v>
      </c>
    </row>
    <row r="11823" spans="1:20" customFormat="1" ht="15" x14ac:dyDescent="0.25">
      <c r="A11823" t="s">
        <v>35</v>
      </c>
      <c r="B11823" t="s">
        <v>437</v>
      </c>
      <c r="C11823" t="str">
        <f>"A0134006"</f>
        <v>A0134006</v>
      </c>
      <c r="D11823" t="s">
        <v>42848</v>
      </c>
      <c r="E11823" t="s">
        <v>42849</v>
      </c>
      <c r="F11823" t="s">
        <v>40821</v>
      </c>
      <c r="G11823" t="s">
        <v>99</v>
      </c>
      <c r="H11823">
        <v>13157</v>
      </c>
      <c r="I11823" t="s">
        <v>30</v>
      </c>
      <c r="J11823" t="s">
        <v>441</v>
      </c>
      <c r="K11823" t="s">
        <v>442</v>
      </c>
      <c r="Q11823">
        <v>0</v>
      </c>
      <c r="R11823">
        <v>0</v>
      </c>
      <c r="S11823">
        <v>0</v>
      </c>
      <c r="T11823" t="s">
        <v>42850</v>
      </c>
    </row>
    <row r="11824" spans="1:20" customFormat="1" ht="15" x14ac:dyDescent="0.25">
      <c r="A11824" t="s">
        <v>35</v>
      </c>
      <c r="B11824" t="s">
        <v>437</v>
      </c>
      <c r="C11824" t="str">
        <f>"A0133918"</f>
        <v>A0133918</v>
      </c>
      <c r="D11824" t="s">
        <v>42851</v>
      </c>
      <c r="E11824" t="s">
        <v>42852</v>
      </c>
      <c r="F11824" t="s">
        <v>33716</v>
      </c>
      <c r="G11824" t="s">
        <v>110</v>
      </c>
      <c r="H11824">
        <v>926290000</v>
      </c>
      <c r="I11824" t="s">
        <v>30</v>
      </c>
      <c r="J11824" t="s">
        <v>441</v>
      </c>
      <c r="K11824" t="s">
        <v>442</v>
      </c>
      <c r="Q11824">
        <v>0</v>
      </c>
      <c r="R11824">
        <v>0</v>
      </c>
      <c r="S11824">
        <v>0</v>
      </c>
      <c r="T11824" t="s">
        <v>42853</v>
      </c>
    </row>
    <row r="11825" spans="1:20" customFormat="1" ht="15" x14ac:dyDescent="0.25">
      <c r="A11825" t="s">
        <v>35</v>
      </c>
      <c r="B11825" t="s">
        <v>61</v>
      </c>
      <c r="C11825" t="str">
        <f>"A0124176"</f>
        <v>A0124176</v>
      </c>
      <c r="D11825" t="s">
        <v>42854</v>
      </c>
      <c r="E11825" t="s">
        <v>42855</v>
      </c>
      <c r="F11825" t="s">
        <v>11868</v>
      </c>
      <c r="G11825" t="s">
        <v>123</v>
      </c>
      <c r="H11825">
        <v>21801</v>
      </c>
      <c r="I11825" t="s">
        <v>30</v>
      </c>
      <c r="J11825" t="s">
        <v>41</v>
      </c>
      <c r="K11825" t="s">
        <v>229</v>
      </c>
      <c r="Q11825">
        <v>0</v>
      </c>
      <c r="R11825">
        <v>82</v>
      </c>
      <c r="S11825">
        <v>82</v>
      </c>
      <c r="T11825" t="s">
        <v>42856</v>
      </c>
    </row>
    <row r="11826" spans="1:20" customFormat="1" ht="15" x14ac:dyDescent="0.25">
      <c r="A11826" t="s">
        <v>35</v>
      </c>
      <c r="B11826" t="s">
        <v>61</v>
      </c>
      <c r="C11826" t="str">
        <f>"A0127380"</f>
        <v>A0127380</v>
      </c>
      <c r="D11826" t="s">
        <v>42857</v>
      </c>
      <c r="E11826" t="s">
        <v>42858</v>
      </c>
      <c r="F11826" t="s">
        <v>42859</v>
      </c>
      <c r="G11826" t="s">
        <v>846</v>
      </c>
      <c r="H11826">
        <v>30643</v>
      </c>
      <c r="I11826" t="s">
        <v>30</v>
      </c>
      <c r="J11826" t="s">
        <v>41</v>
      </c>
      <c r="K11826" t="s">
        <v>229</v>
      </c>
      <c r="Q11826">
        <v>0</v>
      </c>
      <c r="R11826">
        <v>117</v>
      </c>
      <c r="S11826">
        <v>117</v>
      </c>
      <c r="T11826" t="s">
        <v>42860</v>
      </c>
    </row>
    <row r="11827" spans="1:20" customFormat="1" ht="15" x14ac:dyDescent="0.25">
      <c r="A11827" t="s">
        <v>35</v>
      </c>
      <c r="B11827" t="s">
        <v>61</v>
      </c>
      <c r="C11827" t="str">
        <f>"A0127585"</f>
        <v>A0127585</v>
      </c>
      <c r="D11827" t="s">
        <v>42861</v>
      </c>
      <c r="E11827" t="s">
        <v>42862</v>
      </c>
      <c r="F11827" t="s">
        <v>42863</v>
      </c>
      <c r="G11827" t="s">
        <v>123</v>
      </c>
      <c r="H11827">
        <v>21851</v>
      </c>
      <c r="I11827" t="s">
        <v>30</v>
      </c>
      <c r="J11827" t="s">
        <v>41</v>
      </c>
      <c r="K11827" t="s">
        <v>229</v>
      </c>
      <c r="Q11827">
        <v>0</v>
      </c>
      <c r="R11827">
        <v>70</v>
      </c>
      <c r="S11827">
        <v>70</v>
      </c>
      <c r="T11827" t="s">
        <v>42864</v>
      </c>
    </row>
    <row r="11828" spans="1:20" customFormat="1" ht="15" x14ac:dyDescent="0.25">
      <c r="A11828" t="s">
        <v>35</v>
      </c>
      <c r="B11828" t="s">
        <v>437</v>
      </c>
      <c r="C11828" t="str">
        <f>"A0134019"</f>
        <v>A0134019</v>
      </c>
      <c r="D11828" t="s">
        <v>42865</v>
      </c>
      <c r="E11828" t="s">
        <v>42866</v>
      </c>
      <c r="F11828" t="s">
        <v>11809</v>
      </c>
      <c r="G11828" t="s">
        <v>99</v>
      </c>
      <c r="H11828">
        <v>13492</v>
      </c>
      <c r="I11828" t="s">
        <v>30</v>
      </c>
      <c r="J11828" t="s">
        <v>441</v>
      </c>
      <c r="K11828" t="s">
        <v>442</v>
      </c>
      <c r="Q11828">
        <v>0</v>
      </c>
      <c r="R11828">
        <v>0</v>
      </c>
      <c r="S11828">
        <v>0</v>
      </c>
      <c r="T11828" t="s">
        <v>7662</v>
      </c>
    </row>
    <row r="11829" spans="1:20" customFormat="1" ht="15" x14ac:dyDescent="0.25">
      <c r="A11829" t="s">
        <v>35</v>
      </c>
      <c r="B11829" t="s">
        <v>61</v>
      </c>
      <c r="C11829" t="str">
        <f>"A0130080"</f>
        <v>A0130080</v>
      </c>
      <c r="D11829" t="s">
        <v>42867</v>
      </c>
      <c r="E11829" t="s">
        <v>42868</v>
      </c>
      <c r="F11829" t="s">
        <v>2739</v>
      </c>
      <c r="G11829" t="s">
        <v>880</v>
      </c>
      <c r="H11829">
        <v>37074</v>
      </c>
      <c r="I11829" t="s">
        <v>30</v>
      </c>
      <c r="J11829" t="s">
        <v>41</v>
      </c>
      <c r="K11829" t="s">
        <v>229</v>
      </c>
      <c r="Q11829">
        <v>0</v>
      </c>
      <c r="R11829">
        <v>95</v>
      </c>
      <c r="S11829">
        <v>95</v>
      </c>
      <c r="T11829" t="s">
        <v>42869</v>
      </c>
    </row>
    <row r="11830" spans="1:20" customFormat="1" ht="15" x14ac:dyDescent="0.25">
      <c r="A11830" t="s">
        <v>35</v>
      </c>
      <c r="B11830" t="s">
        <v>106</v>
      </c>
      <c r="C11830" t="str">
        <f>"A0135323"</f>
        <v>A0135323</v>
      </c>
      <c r="D11830" t="s">
        <v>42870</v>
      </c>
      <c r="E11830" t="s">
        <v>42871</v>
      </c>
      <c r="F11830" t="s">
        <v>7112</v>
      </c>
      <c r="G11830" t="s">
        <v>899</v>
      </c>
      <c r="H11830">
        <v>2139</v>
      </c>
      <c r="I11830" t="s">
        <v>30</v>
      </c>
      <c r="J11830" t="s">
        <v>111</v>
      </c>
      <c r="K11830" t="s">
        <v>10012</v>
      </c>
      <c r="Q11830">
        <v>0</v>
      </c>
      <c r="R11830">
        <v>0</v>
      </c>
      <c r="S11830">
        <v>0</v>
      </c>
      <c r="T11830" t="s">
        <v>42872</v>
      </c>
    </row>
    <row r="11831" spans="1:20" customFormat="1" ht="15" x14ac:dyDescent="0.25">
      <c r="A11831" t="s">
        <v>35</v>
      </c>
      <c r="B11831" t="s">
        <v>106</v>
      </c>
      <c r="C11831" t="str">
        <f>"A0135322"</f>
        <v>A0135322</v>
      </c>
      <c r="D11831" t="s">
        <v>42873</v>
      </c>
      <c r="E11831" t="s">
        <v>42874</v>
      </c>
      <c r="F11831" t="s">
        <v>7112</v>
      </c>
      <c r="G11831" t="s">
        <v>899</v>
      </c>
      <c r="H11831">
        <v>2139</v>
      </c>
      <c r="I11831" t="s">
        <v>30</v>
      </c>
      <c r="J11831" t="s">
        <v>111</v>
      </c>
      <c r="K11831" t="s">
        <v>10012</v>
      </c>
      <c r="Q11831">
        <v>0</v>
      </c>
      <c r="R11831">
        <v>0</v>
      </c>
      <c r="S11831">
        <v>0</v>
      </c>
      <c r="T11831" t="s">
        <v>42872</v>
      </c>
    </row>
    <row r="11832" spans="1:20" customFormat="1" ht="15" x14ac:dyDescent="0.25">
      <c r="A11832" t="s">
        <v>35</v>
      </c>
      <c r="B11832" t="s">
        <v>61</v>
      </c>
      <c r="C11832" t="str">
        <f>"A0128937"</f>
        <v>A0128937</v>
      </c>
      <c r="D11832" t="s">
        <v>42875</v>
      </c>
      <c r="E11832" t="s">
        <v>42876</v>
      </c>
      <c r="F11832" t="s">
        <v>42877</v>
      </c>
      <c r="G11832" t="s">
        <v>289</v>
      </c>
      <c r="H11832">
        <v>60941</v>
      </c>
      <c r="I11832" t="s">
        <v>30</v>
      </c>
      <c r="J11832" t="s">
        <v>41</v>
      </c>
      <c r="K11832" t="s">
        <v>59</v>
      </c>
      <c r="Q11832">
        <v>0</v>
      </c>
      <c r="R11832">
        <v>42</v>
      </c>
      <c r="S11832">
        <v>42</v>
      </c>
      <c r="T11832" t="s">
        <v>42878</v>
      </c>
    </row>
    <row r="11833" spans="1:20" customFormat="1" ht="15" x14ac:dyDescent="0.25">
      <c r="A11833" t="s">
        <v>35</v>
      </c>
      <c r="B11833" t="s">
        <v>61</v>
      </c>
      <c r="C11833" t="str">
        <f>"A0155547"</f>
        <v>A0155547</v>
      </c>
      <c r="D11833" t="s">
        <v>42879</v>
      </c>
      <c r="E11833" t="s">
        <v>42880</v>
      </c>
      <c r="F11833" t="s">
        <v>42881</v>
      </c>
      <c r="G11833" t="s">
        <v>117</v>
      </c>
      <c r="H11833">
        <v>48005</v>
      </c>
      <c r="I11833" t="s">
        <v>30</v>
      </c>
      <c r="J11833" t="s">
        <v>41</v>
      </c>
      <c r="K11833" t="s">
        <v>1032</v>
      </c>
      <c r="Q11833">
        <v>0</v>
      </c>
      <c r="R11833">
        <v>117</v>
      </c>
      <c r="S11833">
        <v>117</v>
      </c>
      <c r="T11833" t="s">
        <v>42882</v>
      </c>
    </row>
    <row r="11834" spans="1:20" customFormat="1" ht="15" x14ac:dyDescent="0.25">
      <c r="A11834" t="s">
        <v>35</v>
      </c>
      <c r="B11834" t="s">
        <v>61</v>
      </c>
      <c r="C11834" t="str">
        <f>"A0126623"</f>
        <v>A0126623</v>
      </c>
      <c r="D11834" t="s">
        <v>42883</v>
      </c>
      <c r="E11834" t="s">
        <v>42884</v>
      </c>
      <c r="F11834" t="s">
        <v>23705</v>
      </c>
      <c r="G11834" t="s">
        <v>103</v>
      </c>
      <c r="H11834">
        <v>16101</v>
      </c>
      <c r="I11834" t="s">
        <v>30</v>
      </c>
      <c r="J11834" t="s">
        <v>41</v>
      </c>
      <c r="K11834" t="s">
        <v>229</v>
      </c>
      <c r="Q11834">
        <v>0</v>
      </c>
      <c r="R11834">
        <v>91</v>
      </c>
      <c r="S11834">
        <v>91</v>
      </c>
      <c r="T11834" t="s">
        <v>42885</v>
      </c>
    </row>
    <row r="11835" spans="1:20" customFormat="1" ht="15" x14ac:dyDescent="0.25">
      <c r="A11835" t="s">
        <v>35</v>
      </c>
      <c r="B11835" t="s">
        <v>61</v>
      </c>
      <c r="C11835" t="str">
        <f>"A0131326"</f>
        <v>A0131326</v>
      </c>
      <c r="D11835" t="s">
        <v>42886</v>
      </c>
      <c r="E11835" t="s">
        <v>42887</v>
      </c>
      <c r="F11835" t="s">
        <v>1999</v>
      </c>
      <c r="G11835" t="s">
        <v>137</v>
      </c>
      <c r="H11835">
        <v>630310000</v>
      </c>
      <c r="I11835" t="s">
        <v>30</v>
      </c>
      <c r="J11835" t="s">
        <v>41</v>
      </c>
      <c r="K11835" t="s">
        <v>229</v>
      </c>
      <c r="Q11835">
        <v>0</v>
      </c>
      <c r="R11835">
        <v>125</v>
      </c>
      <c r="S11835">
        <v>125</v>
      </c>
      <c r="T11835" t="s">
        <v>42888</v>
      </c>
    </row>
    <row r="11836" spans="1:20" customFormat="1" ht="15" x14ac:dyDescent="0.25">
      <c r="A11836" t="s">
        <v>35</v>
      </c>
      <c r="B11836" t="s">
        <v>61</v>
      </c>
      <c r="C11836" t="str">
        <f>"A0125681"</f>
        <v>A0125681</v>
      </c>
      <c r="D11836" t="s">
        <v>42889</v>
      </c>
      <c r="E11836" t="s">
        <v>42890</v>
      </c>
      <c r="F11836" t="s">
        <v>1689</v>
      </c>
      <c r="G11836" t="s">
        <v>29</v>
      </c>
      <c r="H11836">
        <v>24450</v>
      </c>
      <c r="I11836" t="s">
        <v>30</v>
      </c>
      <c r="J11836" t="s">
        <v>41</v>
      </c>
      <c r="K11836" t="s">
        <v>59</v>
      </c>
      <c r="Q11836">
        <v>0</v>
      </c>
      <c r="R11836">
        <v>28</v>
      </c>
      <c r="S11836">
        <v>28</v>
      </c>
      <c r="T11836" t="s">
        <v>42891</v>
      </c>
    </row>
    <row r="11837" spans="1:20" customFormat="1" ht="15" x14ac:dyDescent="0.25">
      <c r="A11837" t="s">
        <v>35</v>
      </c>
      <c r="B11837" t="s">
        <v>61</v>
      </c>
      <c r="C11837" t="str">
        <f>"A0128032"</f>
        <v>A0128032</v>
      </c>
      <c r="D11837" t="s">
        <v>42892</v>
      </c>
      <c r="E11837" t="s">
        <v>42893</v>
      </c>
      <c r="F11837" t="s">
        <v>18094</v>
      </c>
      <c r="G11837" t="s">
        <v>117</v>
      </c>
      <c r="H11837">
        <v>483260000</v>
      </c>
      <c r="I11837" t="s">
        <v>30</v>
      </c>
      <c r="J11837" t="s">
        <v>41</v>
      </c>
      <c r="K11837" t="s">
        <v>2468</v>
      </c>
      <c r="Q11837">
        <v>0</v>
      </c>
      <c r="R11837">
        <v>140</v>
      </c>
      <c r="S11837">
        <v>140</v>
      </c>
      <c r="T11837" t="s">
        <v>42894</v>
      </c>
    </row>
    <row r="11838" spans="1:20" customFormat="1" ht="15" x14ac:dyDescent="0.25">
      <c r="A11838" t="s">
        <v>35</v>
      </c>
      <c r="B11838" t="s">
        <v>106</v>
      </c>
      <c r="C11838" t="str">
        <f>"A0135355"</f>
        <v>A0135355</v>
      </c>
      <c r="D11838" t="s">
        <v>42895</v>
      </c>
      <c r="E11838" t="s">
        <v>42896</v>
      </c>
      <c r="F11838" t="s">
        <v>19786</v>
      </c>
      <c r="G11838" t="s">
        <v>103</v>
      </c>
      <c r="H11838">
        <v>19010</v>
      </c>
      <c r="I11838" t="s">
        <v>30</v>
      </c>
      <c r="J11838" t="s">
        <v>111</v>
      </c>
      <c r="K11838" t="s">
        <v>10012</v>
      </c>
      <c r="Q11838">
        <v>0</v>
      </c>
      <c r="R11838">
        <v>0</v>
      </c>
      <c r="S11838">
        <v>0</v>
      </c>
      <c r="T11838" t="s">
        <v>42897</v>
      </c>
    </row>
    <row r="11839" spans="1:20" customFormat="1" ht="15" x14ac:dyDescent="0.25">
      <c r="A11839" t="s">
        <v>35</v>
      </c>
      <c r="B11839" t="s">
        <v>106</v>
      </c>
      <c r="C11839" t="str">
        <f>"A0135357"</f>
        <v>A0135357</v>
      </c>
      <c r="D11839" t="s">
        <v>42898</v>
      </c>
      <c r="E11839" t="s">
        <v>42899</v>
      </c>
      <c r="F11839" t="s">
        <v>19786</v>
      </c>
      <c r="G11839" t="s">
        <v>103</v>
      </c>
      <c r="H11839">
        <v>19010</v>
      </c>
      <c r="I11839" t="s">
        <v>30</v>
      </c>
      <c r="J11839" t="s">
        <v>111</v>
      </c>
      <c r="K11839" t="s">
        <v>10012</v>
      </c>
      <c r="Q11839">
        <v>0</v>
      </c>
      <c r="R11839">
        <v>0</v>
      </c>
      <c r="S11839">
        <v>0</v>
      </c>
      <c r="T11839" t="s">
        <v>42897</v>
      </c>
    </row>
    <row r="11840" spans="1:20" customFormat="1" ht="15" x14ac:dyDescent="0.25">
      <c r="A11840" t="s">
        <v>35</v>
      </c>
      <c r="B11840" t="s">
        <v>106</v>
      </c>
      <c r="C11840" t="str">
        <f>"A0135356"</f>
        <v>A0135356</v>
      </c>
      <c r="D11840" t="s">
        <v>42900</v>
      </c>
      <c r="E11840" t="s">
        <v>42896</v>
      </c>
      <c r="F11840" t="s">
        <v>19786</v>
      </c>
      <c r="G11840" t="s">
        <v>103</v>
      </c>
      <c r="H11840">
        <v>19010</v>
      </c>
      <c r="I11840" t="s">
        <v>30</v>
      </c>
      <c r="J11840" t="s">
        <v>111</v>
      </c>
      <c r="K11840" t="s">
        <v>10012</v>
      </c>
      <c r="Q11840">
        <v>0</v>
      </c>
      <c r="R11840">
        <v>0</v>
      </c>
      <c r="S11840">
        <v>0</v>
      </c>
      <c r="T11840" t="s">
        <v>42897</v>
      </c>
    </row>
    <row r="11841" spans="1:20" customFormat="1" ht="15" x14ac:dyDescent="0.25">
      <c r="A11841" t="s">
        <v>35</v>
      </c>
      <c r="B11841" t="s">
        <v>106</v>
      </c>
      <c r="C11841" t="str">
        <f>"A0136536"</f>
        <v>A0136536</v>
      </c>
      <c r="D11841" t="s">
        <v>42901</v>
      </c>
      <c r="E11841" t="s">
        <v>42902</v>
      </c>
      <c r="F11841" t="s">
        <v>37873</v>
      </c>
      <c r="G11841" t="s">
        <v>1184</v>
      </c>
      <c r="H11841">
        <v>59501</v>
      </c>
      <c r="I11841" t="s">
        <v>30</v>
      </c>
      <c r="J11841" t="s">
        <v>111</v>
      </c>
      <c r="K11841" t="s">
        <v>112</v>
      </c>
      <c r="Q11841">
        <v>0</v>
      </c>
      <c r="R11841">
        <v>0</v>
      </c>
      <c r="S11841">
        <v>0</v>
      </c>
      <c r="T11841" t="s">
        <v>42903</v>
      </c>
    </row>
    <row r="11842" spans="1:20" customFormat="1" ht="15" x14ac:dyDescent="0.25">
      <c r="A11842" t="s">
        <v>35</v>
      </c>
      <c r="B11842" t="s">
        <v>106</v>
      </c>
      <c r="C11842" t="str">
        <f>"A0136605"</f>
        <v>A0136605</v>
      </c>
      <c r="D11842" t="s">
        <v>42904</v>
      </c>
      <c r="E11842" t="s">
        <v>42905</v>
      </c>
      <c r="F11842" t="s">
        <v>37873</v>
      </c>
      <c r="G11842" t="s">
        <v>1184</v>
      </c>
      <c r="H11842">
        <v>59501</v>
      </c>
      <c r="I11842" t="s">
        <v>30</v>
      </c>
      <c r="J11842" t="s">
        <v>111</v>
      </c>
      <c r="K11842" t="s">
        <v>112</v>
      </c>
      <c r="Q11842">
        <v>0</v>
      </c>
      <c r="R11842">
        <v>0</v>
      </c>
      <c r="S11842">
        <v>0</v>
      </c>
      <c r="T11842" t="s">
        <v>42906</v>
      </c>
    </row>
    <row r="11843" spans="1:20" customFormat="1" ht="15" x14ac:dyDescent="0.25">
      <c r="A11843" t="s">
        <v>35</v>
      </c>
      <c r="B11843" t="s">
        <v>61</v>
      </c>
      <c r="C11843" t="str">
        <f>"A0130749"</f>
        <v>A0130749</v>
      </c>
      <c r="D11843" t="s">
        <v>42907</v>
      </c>
      <c r="E11843" t="s">
        <v>42908</v>
      </c>
      <c r="F11843" t="s">
        <v>42909</v>
      </c>
      <c r="G11843" t="s">
        <v>144</v>
      </c>
      <c r="H11843">
        <v>58602</v>
      </c>
      <c r="I11843" t="s">
        <v>30</v>
      </c>
      <c r="J11843" t="s">
        <v>41</v>
      </c>
      <c r="K11843" t="s">
        <v>59</v>
      </c>
      <c r="Q11843">
        <v>0</v>
      </c>
      <c r="R11843">
        <v>89</v>
      </c>
      <c r="S11843">
        <v>89</v>
      </c>
      <c r="T11843" t="s">
        <v>42910</v>
      </c>
    </row>
    <row r="11844" spans="1:20" customFormat="1" ht="15" x14ac:dyDescent="0.25">
      <c r="A11844" t="s">
        <v>35</v>
      </c>
      <c r="B11844" t="s">
        <v>61</v>
      </c>
      <c r="C11844" t="str">
        <f>"A0118372"</f>
        <v>A0118372</v>
      </c>
      <c r="D11844" t="s">
        <v>42911</v>
      </c>
      <c r="E11844" t="s">
        <v>42912</v>
      </c>
      <c r="F11844" t="s">
        <v>42913</v>
      </c>
      <c r="G11844" t="s">
        <v>110</v>
      </c>
      <c r="H11844">
        <v>94117</v>
      </c>
      <c r="I11844" t="s">
        <v>30</v>
      </c>
      <c r="J11844" t="s">
        <v>41</v>
      </c>
      <c r="K11844" t="s">
        <v>229</v>
      </c>
      <c r="Q11844">
        <v>0</v>
      </c>
      <c r="R11844">
        <v>36</v>
      </c>
      <c r="S11844">
        <v>36</v>
      </c>
      <c r="T11844" t="s">
        <v>42914</v>
      </c>
    </row>
    <row r="11845" spans="1:20" customFormat="1" ht="15" x14ac:dyDescent="0.25">
      <c r="A11845" t="s">
        <v>35</v>
      </c>
      <c r="B11845" t="s">
        <v>61</v>
      </c>
      <c r="C11845" t="str">
        <f>"A0125783"</f>
        <v>A0125783</v>
      </c>
      <c r="D11845" t="s">
        <v>42915</v>
      </c>
      <c r="E11845" t="s">
        <v>42916</v>
      </c>
      <c r="F11845" t="s">
        <v>31616</v>
      </c>
      <c r="G11845" t="s">
        <v>29</v>
      </c>
      <c r="H11845">
        <v>22192</v>
      </c>
      <c r="I11845" t="s">
        <v>30</v>
      </c>
      <c r="J11845" t="s">
        <v>41</v>
      </c>
      <c r="K11845" t="s">
        <v>2477</v>
      </c>
      <c r="Q11845">
        <v>0</v>
      </c>
      <c r="R11845">
        <v>32</v>
      </c>
      <c r="S11845">
        <v>32</v>
      </c>
      <c r="T11845" t="s">
        <v>42917</v>
      </c>
    </row>
    <row r="11846" spans="1:20" customFormat="1" ht="15" x14ac:dyDescent="0.25">
      <c r="A11846" t="s">
        <v>35</v>
      </c>
      <c r="B11846" t="s">
        <v>61</v>
      </c>
      <c r="C11846" t="str">
        <f>"A0133150"</f>
        <v>A0133150</v>
      </c>
      <c r="D11846" t="s">
        <v>42918</v>
      </c>
      <c r="E11846" t="s">
        <v>42919</v>
      </c>
      <c r="F11846" t="s">
        <v>16066</v>
      </c>
      <c r="G11846" t="s">
        <v>52</v>
      </c>
      <c r="H11846">
        <v>786660000</v>
      </c>
      <c r="I11846" t="s">
        <v>30</v>
      </c>
      <c r="J11846" t="s">
        <v>41</v>
      </c>
      <c r="K11846" t="s">
        <v>229</v>
      </c>
      <c r="Q11846">
        <v>0</v>
      </c>
      <c r="R11846">
        <v>120</v>
      </c>
      <c r="S11846">
        <v>120</v>
      </c>
      <c r="T11846" t="s">
        <v>42920</v>
      </c>
    </row>
    <row r="11847" spans="1:20" customFormat="1" ht="15" x14ac:dyDescent="0.25">
      <c r="A11847" t="s">
        <v>35</v>
      </c>
      <c r="B11847" t="s">
        <v>106</v>
      </c>
      <c r="C11847" t="str">
        <f>"A0136577"</f>
        <v>A0136577</v>
      </c>
      <c r="D11847" t="s">
        <v>42921</v>
      </c>
      <c r="E11847" t="s">
        <v>42922</v>
      </c>
      <c r="F11847" t="s">
        <v>21546</v>
      </c>
      <c r="G11847" t="s">
        <v>1184</v>
      </c>
      <c r="H11847">
        <v>59527</v>
      </c>
      <c r="I11847" t="s">
        <v>30</v>
      </c>
      <c r="J11847" t="s">
        <v>111</v>
      </c>
      <c r="K11847" t="s">
        <v>112</v>
      </c>
      <c r="Q11847">
        <v>0</v>
      </c>
      <c r="R11847">
        <v>0</v>
      </c>
      <c r="S11847">
        <v>0</v>
      </c>
      <c r="T11847" t="s">
        <v>42923</v>
      </c>
    </row>
    <row r="11848" spans="1:20" customFormat="1" ht="15" x14ac:dyDescent="0.25">
      <c r="A11848" t="s">
        <v>35</v>
      </c>
      <c r="B11848" t="s">
        <v>61</v>
      </c>
      <c r="C11848" t="str">
        <f>"A0118366"</f>
        <v>A0118366</v>
      </c>
      <c r="D11848" t="s">
        <v>42924</v>
      </c>
      <c r="E11848" t="s">
        <v>42925</v>
      </c>
      <c r="F11848" t="s">
        <v>3755</v>
      </c>
      <c r="G11848" t="s">
        <v>110</v>
      </c>
      <c r="H11848">
        <v>945410000</v>
      </c>
      <c r="I11848" t="s">
        <v>30</v>
      </c>
      <c r="J11848" t="s">
        <v>41</v>
      </c>
      <c r="K11848" t="s">
        <v>229</v>
      </c>
      <c r="Q11848">
        <v>0</v>
      </c>
      <c r="R11848">
        <v>99</v>
      </c>
      <c r="S11848">
        <v>99</v>
      </c>
      <c r="T11848" t="s">
        <v>42926</v>
      </c>
    </row>
    <row r="11849" spans="1:20" customFormat="1" ht="15" x14ac:dyDescent="0.25">
      <c r="A11849" t="s">
        <v>35</v>
      </c>
      <c r="B11849" t="s">
        <v>61</v>
      </c>
      <c r="C11849" t="str">
        <f>"A0124043"</f>
        <v>A0124043</v>
      </c>
      <c r="D11849" t="s">
        <v>42927</v>
      </c>
      <c r="E11849" t="s">
        <v>42928</v>
      </c>
      <c r="F11849" t="s">
        <v>40062</v>
      </c>
      <c r="G11849" t="s">
        <v>214</v>
      </c>
      <c r="H11849">
        <v>28786</v>
      </c>
      <c r="I11849" t="s">
        <v>30</v>
      </c>
      <c r="J11849" t="s">
        <v>41</v>
      </c>
      <c r="K11849" t="s">
        <v>482</v>
      </c>
      <c r="Q11849">
        <v>0</v>
      </c>
      <c r="R11849">
        <v>80</v>
      </c>
      <c r="S11849">
        <v>80</v>
      </c>
      <c r="T11849" t="s">
        <v>42929</v>
      </c>
    </row>
    <row r="11850" spans="1:20" customFormat="1" ht="15" x14ac:dyDescent="0.25">
      <c r="A11850" t="s">
        <v>35</v>
      </c>
      <c r="B11850" t="s">
        <v>61</v>
      </c>
      <c r="C11850" t="str">
        <f>"A0118479"</f>
        <v>A0118479</v>
      </c>
      <c r="D11850" t="s">
        <v>42930</v>
      </c>
      <c r="E11850" t="s">
        <v>42931</v>
      </c>
      <c r="F11850" t="s">
        <v>36933</v>
      </c>
      <c r="G11850" t="s">
        <v>110</v>
      </c>
      <c r="H11850">
        <v>956620000</v>
      </c>
      <c r="I11850" t="s">
        <v>30</v>
      </c>
      <c r="J11850" t="s">
        <v>41</v>
      </c>
      <c r="K11850" t="s">
        <v>59</v>
      </c>
      <c r="Q11850">
        <v>0</v>
      </c>
      <c r="R11850">
        <v>100</v>
      </c>
      <c r="S11850">
        <v>100</v>
      </c>
      <c r="T11850" t="s">
        <v>42932</v>
      </c>
    </row>
    <row r="11851" spans="1:20" customFormat="1" ht="15" x14ac:dyDescent="0.25">
      <c r="A11851" t="s">
        <v>35</v>
      </c>
      <c r="B11851" t="s">
        <v>106</v>
      </c>
      <c r="C11851" t="str">
        <f>"A0136606"</f>
        <v>A0136606</v>
      </c>
      <c r="D11851" t="s">
        <v>42933</v>
      </c>
      <c r="E11851" t="s">
        <v>42934</v>
      </c>
      <c r="F11851" t="s">
        <v>42935</v>
      </c>
      <c r="G11851" t="s">
        <v>144</v>
      </c>
      <c r="H11851">
        <v>58544</v>
      </c>
      <c r="I11851" t="s">
        <v>30</v>
      </c>
      <c r="J11851" t="s">
        <v>111</v>
      </c>
      <c r="K11851" t="s">
        <v>112</v>
      </c>
      <c r="Q11851">
        <v>0</v>
      </c>
      <c r="R11851">
        <v>0</v>
      </c>
      <c r="S11851">
        <v>0</v>
      </c>
      <c r="T11851" t="s">
        <v>42936</v>
      </c>
    </row>
    <row r="11852" spans="1:20" customFormat="1" ht="15" x14ac:dyDescent="0.25">
      <c r="A11852" t="s">
        <v>35</v>
      </c>
      <c r="B11852" t="s">
        <v>61</v>
      </c>
      <c r="C11852" t="str">
        <f>"A0123755"</f>
        <v>A0123755</v>
      </c>
      <c r="D11852" t="s">
        <v>42937</v>
      </c>
      <c r="E11852" t="s">
        <v>42938</v>
      </c>
      <c r="F11852" t="s">
        <v>15496</v>
      </c>
      <c r="G11852" t="s">
        <v>29</v>
      </c>
      <c r="H11852">
        <v>23112</v>
      </c>
      <c r="I11852" t="s">
        <v>30</v>
      </c>
      <c r="J11852" t="s">
        <v>41</v>
      </c>
      <c r="K11852" t="s">
        <v>229</v>
      </c>
      <c r="Q11852">
        <v>0</v>
      </c>
      <c r="R11852">
        <v>60</v>
      </c>
      <c r="S11852">
        <v>60</v>
      </c>
      <c r="T11852" t="s">
        <v>42939</v>
      </c>
    </row>
    <row r="11853" spans="1:20" customFormat="1" ht="15" x14ac:dyDescent="0.25">
      <c r="A11853" t="s">
        <v>35</v>
      </c>
      <c r="B11853" t="s">
        <v>61</v>
      </c>
      <c r="C11853" t="str">
        <f>"A0124725"</f>
        <v>A0124725</v>
      </c>
      <c r="D11853" t="s">
        <v>42940</v>
      </c>
      <c r="E11853" t="s">
        <v>42941</v>
      </c>
      <c r="F11853" t="s">
        <v>42942</v>
      </c>
      <c r="G11853" t="s">
        <v>85</v>
      </c>
      <c r="H11853">
        <v>72301</v>
      </c>
      <c r="I11853" t="s">
        <v>30</v>
      </c>
      <c r="J11853" t="s">
        <v>41</v>
      </c>
      <c r="K11853" t="s">
        <v>229</v>
      </c>
      <c r="Q11853">
        <v>0</v>
      </c>
      <c r="R11853">
        <v>155</v>
      </c>
      <c r="S11853">
        <v>155</v>
      </c>
      <c r="T11853" t="s">
        <v>33333</v>
      </c>
    </row>
    <row r="11854" spans="1:20" customFormat="1" ht="15" x14ac:dyDescent="0.25">
      <c r="A11854" t="s">
        <v>35</v>
      </c>
      <c r="B11854" t="s">
        <v>61</v>
      </c>
      <c r="C11854" t="str">
        <f>"A0123336"</f>
        <v>A0123336</v>
      </c>
      <c r="D11854" t="s">
        <v>42943</v>
      </c>
      <c r="E11854" t="s">
        <v>42944</v>
      </c>
      <c r="F11854" t="s">
        <v>1795</v>
      </c>
      <c r="G11854" t="s">
        <v>29</v>
      </c>
      <c r="H11854">
        <v>23235</v>
      </c>
      <c r="I11854" t="s">
        <v>30</v>
      </c>
      <c r="J11854" t="s">
        <v>41</v>
      </c>
      <c r="K11854" t="s">
        <v>59</v>
      </c>
      <c r="Q11854">
        <v>0</v>
      </c>
      <c r="R11854">
        <v>1</v>
      </c>
      <c r="S11854">
        <v>1</v>
      </c>
      <c r="T11854" t="s">
        <v>42945</v>
      </c>
    </row>
    <row r="11855" spans="1:20" customFormat="1" ht="15" x14ac:dyDescent="0.25">
      <c r="A11855" t="s">
        <v>35</v>
      </c>
      <c r="B11855" t="s">
        <v>61</v>
      </c>
      <c r="C11855" t="str">
        <f>"A0126035"</f>
        <v>A0126035</v>
      </c>
      <c r="D11855" t="s">
        <v>42946</v>
      </c>
      <c r="E11855" t="s">
        <v>42947</v>
      </c>
      <c r="F11855" t="s">
        <v>1382</v>
      </c>
      <c r="G11855" t="s">
        <v>29</v>
      </c>
      <c r="H11855">
        <v>23606</v>
      </c>
      <c r="I11855" t="s">
        <v>30</v>
      </c>
      <c r="J11855" t="s">
        <v>41</v>
      </c>
      <c r="K11855" t="s">
        <v>38451</v>
      </c>
      <c r="Q11855">
        <v>0</v>
      </c>
      <c r="R11855">
        <v>0</v>
      </c>
      <c r="S11855">
        <v>0</v>
      </c>
      <c r="T11855" t="s">
        <v>42948</v>
      </c>
    </row>
    <row r="11856" spans="1:20" customFormat="1" ht="15" x14ac:dyDescent="0.25">
      <c r="A11856" t="s">
        <v>35</v>
      </c>
      <c r="B11856" t="s">
        <v>61</v>
      </c>
      <c r="C11856" t="str">
        <f>"A0123337"</f>
        <v>A0123337</v>
      </c>
      <c r="D11856" t="s">
        <v>42949</v>
      </c>
      <c r="E11856" t="s">
        <v>42950</v>
      </c>
      <c r="F11856" t="s">
        <v>42951</v>
      </c>
      <c r="G11856" t="s">
        <v>214</v>
      </c>
      <c r="H11856">
        <v>27944</v>
      </c>
      <c r="I11856" t="s">
        <v>30</v>
      </c>
      <c r="J11856" t="s">
        <v>41</v>
      </c>
      <c r="K11856" t="s">
        <v>482</v>
      </c>
      <c r="Q11856">
        <v>0</v>
      </c>
      <c r="R11856">
        <v>45</v>
      </c>
      <c r="S11856">
        <v>45</v>
      </c>
      <c r="T11856" t="s">
        <v>42952</v>
      </c>
    </row>
    <row r="11857" spans="1:20" customFormat="1" ht="15" x14ac:dyDescent="0.25">
      <c r="A11857" t="s">
        <v>35</v>
      </c>
      <c r="B11857" t="s">
        <v>61</v>
      </c>
      <c r="C11857" t="str">
        <f>"A0130894"</f>
        <v>A0130894</v>
      </c>
      <c r="D11857" t="s">
        <v>42953</v>
      </c>
      <c r="E11857" t="s">
        <v>39688</v>
      </c>
      <c r="F11857" t="s">
        <v>10170</v>
      </c>
      <c r="G11857" t="s">
        <v>137</v>
      </c>
      <c r="H11857">
        <v>636400000</v>
      </c>
      <c r="I11857" t="s">
        <v>30</v>
      </c>
      <c r="J11857" t="s">
        <v>41</v>
      </c>
      <c r="K11857" t="s">
        <v>290</v>
      </c>
      <c r="Q11857">
        <v>0</v>
      </c>
      <c r="R11857">
        <v>1</v>
      </c>
      <c r="S11857">
        <v>1</v>
      </c>
      <c r="T11857" t="s">
        <v>42954</v>
      </c>
    </row>
    <row r="11858" spans="1:20" customFormat="1" ht="15" x14ac:dyDescent="0.25">
      <c r="A11858" t="s">
        <v>35</v>
      </c>
      <c r="B11858" t="s">
        <v>61</v>
      </c>
      <c r="C11858" t="str">
        <f>"A0123756"</f>
        <v>A0123756</v>
      </c>
      <c r="D11858" t="s">
        <v>42955</v>
      </c>
      <c r="E11858" t="s">
        <v>42956</v>
      </c>
      <c r="F11858" t="s">
        <v>37533</v>
      </c>
      <c r="G11858" t="s">
        <v>214</v>
      </c>
      <c r="H11858">
        <v>28603</v>
      </c>
      <c r="I11858" t="s">
        <v>30</v>
      </c>
      <c r="J11858" t="s">
        <v>41</v>
      </c>
      <c r="K11858" t="s">
        <v>482</v>
      </c>
      <c r="Q11858">
        <v>0</v>
      </c>
      <c r="R11858">
        <v>0</v>
      </c>
      <c r="S11858">
        <v>0</v>
      </c>
      <c r="T11858" t="s">
        <v>42957</v>
      </c>
    </row>
    <row r="11859" spans="1:20" customFormat="1" ht="15" x14ac:dyDescent="0.25">
      <c r="A11859" t="s">
        <v>35</v>
      </c>
      <c r="B11859" t="s">
        <v>61</v>
      </c>
      <c r="C11859" t="str">
        <f>"A0126643"</f>
        <v>A0126643</v>
      </c>
      <c r="D11859" t="s">
        <v>42958</v>
      </c>
      <c r="E11859" t="s">
        <v>42959</v>
      </c>
      <c r="F11859" t="s">
        <v>37694</v>
      </c>
      <c r="G11859" t="s">
        <v>103</v>
      </c>
      <c r="H11859">
        <v>16686</v>
      </c>
      <c r="I11859" t="s">
        <v>30</v>
      </c>
      <c r="J11859" t="s">
        <v>41</v>
      </c>
      <c r="K11859" t="s">
        <v>290</v>
      </c>
      <c r="Q11859">
        <v>0</v>
      </c>
      <c r="R11859">
        <v>1</v>
      </c>
      <c r="S11859">
        <v>1</v>
      </c>
      <c r="T11859" t="s">
        <v>42960</v>
      </c>
    </row>
    <row r="11860" spans="1:20" customFormat="1" ht="15" x14ac:dyDescent="0.25">
      <c r="A11860" t="s">
        <v>35</v>
      </c>
      <c r="B11860" t="s">
        <v>61</v>
      </c>
      <c r="C11860" t="str">
        <f>"A0118098"</f>
        <v>A0118098</v>
      </c>
      <c r="D11860" t="s">
        <v>42961</v>
      </c>
      <c r="E11860" t="s">
        <v>42962</v>
      </c>
      <c r="F11860" t="s">
        <v>12384</v>
      </c>
      <c r="G11860" t="s">
        <v>190</v>
      </c>
      <c r="H11860">
        <v>80910</v>
      </c>
      <c r="I11860" t="s">
        <v>30</v>
      </c>
      <c r="J11860" t="s">
        <v>41</v>
      </c>
      <c r="K11860" t="s">
        <v>229</v>
      </c>
      <c r="Q11860">
        <v>0</v>
      </c>
      <c r="R11860">
        <v>165</v>
      </c>
      <c r="S11860">
        <v>165</v>
      </c>
      <c r="T11860" t="s">
        <v>42963</v>
      </c>
    </row>
    <row r="11861" spans="1:20" customFormat="1" ht="15" x14ac:dyDescent="0.25">
      <c r="A11861" t="s">
        <v>35</v>
      </c>
      <c r="B11861" t="s">
        <v>61</v>
      </c>
      <c r="C11861" t="str">
        <f>"A0129907"</f>
        <v>A0129907</v>
      </c>
      <c r="D11861" t="s">
        <v>42964</v>
      </c>
      <c r="E11861" t="s">
        <v>42965</v>
      </c>
      <c r="F11861" t="s">
        <v>4746</v>
      </c>
      <c r="G11861" t="s">
        <v>880</v>
      </c>
      <c r="H11861">
        <v>370870000</v>
      </c>
      <c r="I11861" t="s">
        <v>30</v>
      </c>
      <c r="J11861" t="s">
        <v>41</v>
      </c>
      <c r="K11861" t="s">
        <v>59</v>
      </c>
      <c r="Q11861">
        <v>0</v>
      </c>
      <c r="R11861">
        <v>50</v>
      </c>
      <c r="S11861">
        <v>50</v>
      </c>
      <c r="T11861" t="s">
        <v>42966</v>
      </c>
    </row>
    <row r="11862" spans="1:20" customFormat="1" ht="15" x14ac:dyDescent="0.25">
      <c r="A11862" t="s">
        <v>35</v>
      </c>
      <c r="B11862" t="s">
        <v>61</v>
      </c>
      <c r="C11862" t="str">
        <f>"A0118195"</f>
        <v>A0118195</v>
      </c>
      <c r="D11862" t="s">
        <v>21017</v>
      </c>
      <c r="E11862" t="s">
        <v>42967</v>
      </c>
      <c r="F11862" t="s">
        <v>36185</v>
      </c>
      <c r="G11862" t="s">
        <v>153</v>
      </c>
      <c r="H11862">
        <v>84660</v>
      </c>
      <c r="I11862" t="s">
        <v>30</v>
      </c>
      <c r="J11862" t="s">
        <v>41</v>
      </c>
      <c r="K11862" t="s">
        <v>59</v>
      </c>
      <c r="Q11862">
        <v>0</v>
      </c>
      <c r="R11862">
        <v>32</v>
      </c>
      <c r="S11862">
        <v>32</v>
      </c>
      <c r="T11862" t="s">
        <v>42968</v>
      </c>
    </row>
    <row r="11863" spans="1:20" customFormat="1" ht="15" x14ac:dyDescent="0.25">
      <c r="A11863" t="s">
        <v>35</v>
      </c>
      <c r="B11863" t="s">
        <v>61</v>
      </c>
      <c r="C11863" t="str">
        <f>"A0129448"</f>
        <v>A0129448</v>
      </c>
      <c r="D11863" t="s">
        <v>42969</v>
      </c>
      <c r="E11863" t="s">
        <v>42970</v>
      </c>
      <c r="F11863" t="s">
        <v>288</v>
      </c>
      <c r="G11863" t="s">
        <v>289</v>
      </c>
      <c r="H11863">
        <v>60640</v>
      </c>
      <c r="I11863" t="s">
        <v>30</v>
      </c>
      <c r="J11863" t="s">
        <v>41</v>
      </c>
      <c r="K11863" t="s">
        <v>2477</v>
      </c>
      <c r="Q11863">
        <v>0</v>
      </c>
      <c r="R11863">
        <v>250</v>
      </c>
      <c r="S11863">
        <v>250</v>
      </c>
      <c r="T11863" t="s">
        <v>42971</v>
      </c>
    </row>
    <row r="11864" spans="1:20" customFormat="1" ht="15" x14ac:dyDescent="0.25">
      <c r="A11864" t="s">
        <v>35</v>
      </c>
      <c r="B11864" t="s">
        <v>61</v>
      </c>
      <c r="C11864" t="str">
        <f>"A0130310"</f>
        <v>A0130310</v>
      </c>
      <c r="D11864" t="s">
        <v>21561</v>
      </c>
      <c r="E11864" t="s">
        <v>42972</v>
      </c>
      <c r="F11864" t="s">
        <v>42973</v>
      </c>
      <c r="G11864" t="s">
        <v>1898</v>
      </c>
      <c r="H11864">
        <v>51035</v>
      </c>
      <c r="I11864" t="s">
        <v>30</v>
      </c>
      <c r="J11864" t="s">
        <v>41</v>
      </c>
      <c r="K11864" t="s">
        <v>229</v>
      </c>
      <c r="Q11864">
        <v>0</v>
      </c>
      <c r="R11864">
        <v>50</v>
      </c>
      <c r="S11864">
        <v>50</v>
      </c>
      <c r="T11864" t="s">
        <v>42974</v>
      </c>
    </row>
    <row r="11865" spans="1:20" customFormat="1" ht="15" x14ac:dyDescent="0.25">
      <c r="A11865" t="s">
        <v>35</v>
      </c>
      <c r="B11865" t="s">
        <v>61</v>
      </c>
      <c r="C11865" t="str">
        <f>"A0129468"</f>
        <v>A0129468</v>
      </c>
      <c r="D11865" t="s">
        <v>42975</v>
      </c>
      <c r="E11865" t="s">
        <v>42976</v>
      </c>
      <c r="F11865" t="s">
        <v>12934</v>
      </c>
      <c r="G11865" t="s">
        <v>289</v>
      </c>
      <c r="H11865">
        <v>61701</v>
      </c>
      <c r="I11865" t="s">
        <v>30</v>
      </c>
      <c r="J11865" t="s">
        <v>41</v>
      </c>
      <c r="K11865" t="s">
        <v>391</v>
      </c>
      <c r="Q11865">
        <v>0</v>
      </c>
      <c r="R11865">
        <v>0</v>
      </c>
      <c r="S11865">
        <v>0</v>
      </c>
      <c r="T11865" t="s">
        <v>42977</v>
      </c>
    </row>
    <row r="11866" spans="1:20" customFormat="1" ht="15" x14ac:dyDescent="0.25">
      <c r="A11866" t="s">
        <v>35</v>
      </c>
      <c r="B11866" t="s">
        <v>61</v>
      </c>
      <c r="C11866" t="str">
        <f>"A0129469"</f>
        <v>A0129469</v>
      </c>
      <c r="D11866" t="s">
        <v>42978</v>
      </c>
      <c r="E11866" t="s">
        <v>42979</v>
      </c>
      <c r="F11866" t="s">
        <v>12934</v>
      </c>
      <c r="G11866" t="s">
        <v>289</v>
      </c>
      <c r="H11866">
        <v>61701</v>
      </c>
      <c r="I11866" t="s">
        <v>30</v>
      </c>
      <c r="J11866" t="s">
        <v>41</v>
      </c>
      <c r="K11866" t="s">
        <v>391</v>
      </c>
      <c r="Q11866">
        <v>0</v>
      </c>
      <c r="R11866">
        <v>0</v>
      </c>
      <c r="S11866">
        <v>0</v>
      </c>
      <c r="T11866" t="s">
        <v>42977</v>
      </c>
    </row>
    <row r="11867" spans="1:20" customFormat="1" ht="15" x14ac:dyDescent="0.25">
      <c r="A11867" t="s">
        <v>35</v>
      </c>
      <c r="B11867" t="s">
        <v>61</v>
      </c>
      <c r="C11867" t="str">
        <f>"A0118105"</f>
        <v>A0118105</v>
      </c>
      <c r="D11867" t="s">
        <v>42980</v>
      </c>
      <c r="E11867" t="s">
        <v>42981</v>
      </c>
      <c r="F11867" t="s">
        <v>2748</v>
      </c>
      <c r="G11867" t="s">
        <v>65</v>
      </c>
      <c r="H11867">
        <v>43604</v>
      </c>
      <c r="I11867" t="s">
        <v>30</v>
      </c>
      <c r="J11867" t="s">
        <v>41</v>
      </c>
      <c r="K11867" t="s">
        <v>2463</v>
      </c>
      <c r="Q11867">
        <v>0</v>
      </c>
      <c r="R11867">
        <v>0</v>
      </c>
      <c r="S11867">
        <v>0</v>
      </c>
      <c r="T11867" t="s">
        <v>42982</v>
      </c>
    </row>
    <row r="11868" spans="1:20" customFormat="1" ht="15" x14ac:dyDescent="0.25">
      <c r="A11868" t="s">
        <v>35</v>
      </c>
      <c r="B11868" t="s">
        <v>61</v>
      </c>
      <c r="C11868" t="str">
        <f>"A0125474"</f>
        <v>A0125474</v>
      </c>
      <c r="D11868" t="s">
        <v>42983</v>
      </c>
      <c r="E11868" t="s">
        <v>42984</v>
      </c>
      <c r="F11868" t="s">
        <v>12194</v>
      </c>
      <c r="G11868" t="s">
        <v>40</v>
      </c>
      <c r="H11868">
        <v>74354</v>
      </c>
      <c r="I11868" t="s">
        <v>30</v>
      </c>
      <c r="J11868" t="s">
        <v>41</v>
      </c>
      <c r="K11868" t="s">
        <v>482</v>
      </c>
      <c r="Q11868">
        <v>0</v>
      </c>
      <c r="R11868">
        <v>40</v>
      </c>
      <c r="S11868">
        <v>40</v>
      </c>
      <c r="T11868" t="s">
        <v>42985</v>
      </c>
    </row>
    <row r="11869" spans="1:20" customFormat="1" ht="15" x14ac:dyDescent="0.25">
      <c r="A11869" t="s">
        <v>35</v>
      </c>
      <c r="B11869" t="s">
        <v>61</v>
      </c>
      <c r="C11869" t="str">
        <f>"A0152999"</f>
        <v>A0152999</v>
      </c>
      <c r="D11869" t="s">
        <v>42986</v>
      </c>
      <c r="E11869" t="s">
        <v>42987</v>
      </c>
      <c r="F11869" t="s">
        <v>11958</v>
      </c>
      <c r="G11869" t="s">
        <v>161</v>
      </c>
      <c r="H11869">
        <v>56088</v>
      </c>
      <c r="I11869" t="s">
        <v>30</v>
      </c>
      <c r="J11869" t="s">
        <v>41</v>
      </c>
      <c r="K11869" t="s">
        <v>229</v>
      </c>
      <c r="Q11869">
        <v>0</v>
      </c>
      <c r="R11869">
        <v>68</v>
      </c>
      <c r="S11869">
        <v>68</v>
      </c>
      <c r="T11869" t="s">
        <v>42988</v>
      </c>
    </row>
    <row r="11870" spans="1:20" customFormat="1" ht="15" x14ac:dyDescent="0.25">
      <c r="A11870" t="s">
        <v>35</v>
      </c>
      <c r="B11870" t="s">
        <v>61</v>
      </c>
      <c r="C11870" t="str">
        <f>"A0124044"</f>
        <v>A0124044</v>
      </c>
      <c r="D11870" t="s">
        <v>42989</v>
      </c>
      <c r="E11870" t="s">
        <v>42990</v>
      </c>
      <c r="F11870" t="s">
        <v>42991</v>
      </c>
      <c r="G11870" t="s">
        <v>214</v>
      </c>
      <c r="H11870">
        <v>29058</v>
      </c>
      <c r="I11870" t="s">
        <v>30</v>
      </c>
      <c r="J11870" t="s">
        <v>41</v>
      </c>
      <c r="K11870" t="s">
        <v>482</v>
      </c>
      <c r="Q11870">
        <v>0</v>
      </c>
      <c r="R11870">
        <v>60</v>
      </c>
      <c r="S11870">
        <v>60</v>
      </c>
      <c r="T11870" t="s">
        <v>42992</v>
      </c>
    </row>
    <row r="11871" spans="1:20" customFormat="1" ht="15" x14ac:dyDescent="0.25">
      <c r="A11871" t="s">
        <v>35</v>
      </c>
      <c r="B11871" t="s">
        <v>61</v>
      </c>
      <c r="C11871" t="str">
        <f>"A0123338"</f>
        <v>A0123338</v>
      </c>
      <c r="D11871" t="s">
        <v>42993</v>
      </c>
      <c r="E11871" t="s">
        <v>42994</v>
      </c>
      <c r="F11871" t="s">
        <v>38280</v>
      </c>
      <c r="G11871" t="s">
        <v>29</v>
      </c>
      <c r="H11871">
        <v>22015</v>
      </c>
      <c r="I11871" t="s">
        <v>30</v>
      </c>
      <c r="J11871" t="s">
        <v>41</v>
      </c>
      <c r="K11871" t="s">
        <v>482</v>
      </c>
      <c r="Q11871">
        <v>0</v>
      </c>
      <c r="R11871">
        <v>112</v>
      </c>
      <c r="S11871">
        <v>112</v>
      </c>
      <c r="T11871" t="s">
        <v>42995</v>
      </c>
    </row>
    <row r="11872" spans="1:20" customFormat="1" ht="15" x14ac:dyDescent="0.25">
      <c r="A11872" t="s">
        <v>35</v>
      </c>
      <c r="B11872" t="s">
        <v>61</v>
      </c>
      <c r="C11872" t="str">
        <f>"A0125167"</f>
        <v>A0125167</v>
      </c>
      <c r="D11872" t="s">
        <v>42996</v>
      </c>
      <c r="E11872" t="s">
        <v>42997</v>
      </c>
      <c r="F11872" t="s">
        <v>42998</v>
      </c>
      <c r="G11872" t="s">
        <v>40</v>
      </c>
      <c r="H11872">
        <v>74937</v>
      </c>
      <c r="I11872" t="s">
        <v>30</v>
      </c>
      <c r="J11872" t="s">
        <v>41</v>
      </c>
      <c r="K11872" t="s">
        <v>229</v>
      </c>
      <c r="Q11872">
        <v>0</v>
      </c>
      <c r="R11872">
        <v>44</v>
      </c>
      <c r="S11872">
        <v>44</v>
      </c>
      <c r="T11872" t="s">
        <v>42999</v>
      </c>
    </row>
    <row r="11873" spans="1:20" customFormat="1" ht="15" x14ac:dyDescent="0.25">
      <c r="A11873" t="s">
        <v>35</v>
      </c>
      <c r="B11873" t="s">
        <v>61</v>
      </c>
      <c r="C11873" t="str">
        <f>"A0127539"</f>
        <v>A0127539</v>
      </c>
      <c r="D11873" t="s">
        <v>43000</v>
      </c>
      <c r="E11873" t="s">
        <v>43001</v>
      </c>
      <c r="F11873" t="s">
        <v>6152</v>
      </c>
      <c r="G11873" t="s">
        <v>123</v>
      </c>
      <c r="H11873">
        <v>20852</v>
      </c>
      <c r="I11873" t="s">
        <v>30</v>
      </c>
      <c r="J11873" t="s">
        <v>41</v>
      </c>
      <c r="K11873" t="s">
        <v>229</v>
      </c>
      <c r="Q11873">
        <v>0</v>
      </c>
      <c r="R11873">
        <v>550</v>
      </c>
      <c r="S11873">
        <v>550</v>
      </c>
      <c r="T11873" t="s">
        <v>43002</v>
      </c>
    </row>
    <row r="11874" spans="1:20" customFormat="1" ht="15" x14ac:dyDescent="0.25">
      <c r="A11874" t="s">
        <v>35</v>
      </c>
      <c r="B11874" t="s">
        <v>437</v>
      </c>
      <c r="C11874" t="str">
        <f>"A0134067"</f>
        <v>A0134067</v>
      </c>
      <c r="D11874" t="s">
        <v>43003</v>
      </c>
      <c r="E11874" t="s">
        <v>43004</v>
      </c>
      <c r="F11874" t="s">
        <v>22142</v>
      </c>
      <c r="G11874" t="s">
        <v>110</v>
      </c>
      <c r="H11874">
        <v>92651</v>
      </c>
      <c r="I11874" t="s">
        <v>30</v>
      </c>
      <c r="J11874" t="s">
        <v>441</v>
      </c>
      <c r="K11874" t="s">
        <v>442</v>
      </c>
      <c r="Q11874">
        <v>0</v>
      </c>
      <c r="R11874">
        <v>0</v>
      </c>
      <c r="S11874">
        <v>0</v>
      </c>
      <c r="T11874" t="s">
        <v>43005</v>
      </c>
    </row>
    <row r="11875" spans="1:20" customFormat="1" ht="15" x14ac:dyDescent="0.25">
      <c r="A11875" t="s">
        <v>35</v>
      </c>
      <c r="B11875" t="s">
        <v>61</v>
      </c>
      <c r="C11875" t="str">
        <f>"A0131284"</f>
        <v>A0131284</v>
      </c>
      <c r="D11875" t="s">
        <v>43006</v>
      </c>
      <c r="E11875" t="s">
        <v>43007</v>
      </c>
      <c r="F11875" t="s">
        <v>17069</v>
      </c>
      <c r="G11875" t="s">
        <v>137</v>
      </c>
      <c r="H11875">
        <v>651090000</v>
      </c>
      <c r="I11875" t="s">
        <v>30</v>
      </c>
      <c r="J11875" t="s">
        <v>41</v>
      </c>
      <c r="K11875" t="s">
        <v>229</v>
      </c>
      <c r="Q11875">
        <v>0</v>
      </c>
      <c r="R11875">
        <v>50</v>
      </c>
      <c r="S11875">
        <v>50</v>
      </c>
      <c r="T11875" t="s">
        <v>43008</v>
      </c>
    </row>
    <row r="11876" spans="1:20" customFormat="1" ht="15" x14ac:dyDescent="0.25">
      <c r="A11876" t="s">
        <v>35</v>
      </c>
      <c r="B11876" t="s">
        <v>61</v>
      </c>
      <c r="C11876" t="str">
        <f>"A0132557"</f>
        <v>A0132557</v>
      </c>
      <c r="D11876" t="s">
        <v>43009</v>
      </c>
      <c r="E11876" t="s">
        <v>43010</v>
      </c>
      <c r="F11876" t="s">
        <v>12412</v>
      </c>
      <c r="G11876" t="s">
        <v>65</v>
      </c>
      <c r="H11876">
        <v>43701</v>
      </c>
      <c r="I11876" t="s">
        <v>30</v>
      </c>
      <c r="J11876" t="s">
        <v>41</v>
      </c>
      <c r="K11876" t="s">
        <v>229</v>
      </c>
      <c r="Q11876">
        <v>0</v>
      </c>
      <c r="R11876">
        <v>76</v>
      </c>
      <c r="S11876">
        <v>76</v>
      </c>
      <c r="T11876" t="s">
        <v>43011</v>
      </c>
    </row>
    <row r="11877" spans="1:20" customFormat="1" ht="15" x14ac:dyDescent="0.25">
      <c r="A11877" t="s">
        <v>35</v>
      </c>
      <c r="B11877" t="s">
        <v>106</v>
      </c>
      <c r="C11877" t="str">
        <f>"A0135617"</f>
        <v>A0135617</v>
      </c>
      <c r="D11877" t="s">
        <v>43012</v>
      </c>
      <c r="E11877" t="s">
        <v>43013</v>
      </c>
      <c r="F11877" t="s">
        <v>4133</v>
      </c>
      <c r="G11877" t="s">
        <v>52</v>
      </c>
      <c r="H11877">
        <v>78751</v>
      </c>
      <c r="I11877" t="s">
        <v>30</v>
      </c>
      <c r="J11877" t="s">
        <v>111</v>
      </c>
      <c r="K11877" t="s">
        <v>112</v>
      </c>
      <c r="Q11877">
        <v>0</v>
      </c>
      <c r="R11877">
        <v>41</v>
      </c>
      <c r="S11877">
        <v>41</v>
      </c>
      <c r="T11877" t="s">
        <v>43014</v>
      </c>
    </row>
    <row r="11878" spans="1:20" customFormat="1" ht="15" x14ac:dyDescent="0.25">
      <c r="A11878" t="s">
        <v>35</v>
      </c>
      <c r="B11878" t="s">
        <v>106</v>
      </c>
      <c r="C11878" t="str">
        <f>"A0158209"</f>
        <v>A0158209</v>
      </c>
      <c r="D11878" t="s">
        <v>43015</v>
      </c>
      <c r="E11878" t="s">
        <v>43016</v>
      </c>
      <c r="F11878" t="s">
        <v>1783</v>
      </c>
      <c r="G11878" t="s">
        <v>214</v>
      </c>
      <c r="H11878">
        <v>27536</v>
      </c>
      <c r="I11878" t="s">
        <v>30</v>
      </c>
      <c r="J11878" t="s">
        <v>111</v>
      </c>
      <c r="K11878" t="s">
        <v>112</v>
      </c>
      <c r="Q11878">
        <v>0</v>
      </c>
      <c r="R11878">
        <v>0</v>
      </c>
      <c r="S11878">
        <v>0</v>
      </c>
      <c r="T11878" t="s">
        <v>43017</v>
      </c>
    </row>
    <row r="11879" spans="1:20" customFormat="1" ht="15" x14ac:dyDescent="0.25">
      <c r="A11879" t="s">
        <v>35</v>
      </c>
      <c r="B11879" t="s">
        <v>437</v>
      </c>
      <c r="C11879" t="str">
        <f>"A0133912"</f>
        <v>A0133912</v>
      </c>
      <c r="D11879" t="s">
        <v>43018</v>
      </c>
      <c r="E11879" t="s">
        <v>43019</v>
      </c>
      <c r="F11879" t="s">
        <v>1783</v>
      </c>
      <c r="G11879" t="s">
        <v>840</v>
      </c>
      <c r="H11879">
        <v>42420</v>
      </c>
      <c r="I11879" t="s">
        <v>30</v>
      </c>
      <c r="J11879" t="s">
        <v>441</v>
      </c>
      <c r="K11879" t="s">
        <v>8643</v>
      </c>
      <c r="Q11879">
        <v>0</v>
      </c>
      <c r="R11879">
        <v>0</v>
      </c>
      <c r="S11879">
        <v>0</v>
      </c>
      <c r="T11879" t="s">
        <v>43020</v>
      </c>
    </row>
    <row r="11880" spans="1:20" customFormat="1" ht="15" x14ac:dyDescent="0.25">
      <c r="A11880" t="s">
        <v>35</v>
      </c>
      <c r="B11880" t="s">
        <v>61</v>
      </c>
      <c r="C11880" t="str">
        <f>"A0132675"</f>
        <v>A0132675</v>
      </c>
      <c r="D11880" t="s">
        <v>43021</v>
      </c>
      <c r="E11880" t="s">
        <v>43022</v>
      </c>
      <c r="F11880" t="s">
        <v>17839</v>
      </c>
      <c r="G11880" t="s">
        <v>65</v>
      </c>
      <c r="H11880">
        <v>44612</v>
      </c>
      <c r="I11880" t="s">
        <v>30</v>
      </c>
      <c r="J11880" t="s">
        <v>41</v>
      </c>
      <c r="K11880" t="s">
        <v>229</v>
      </c>
      <c r="Q11880">
        <v>0</v>
      </c>
      <c r="R11880">
        <v>95</v>
      </c>
      <c r="S11880">
        <v>95</v>
      </c>
      <c r="T11880" t="s">
        <v>43023</v>
      </c>
    </row>
    <row r="11881" spans="1:20" customFormat="1" ht="15" x14ac:dyDescent="0.25">
      <c r="A11881" t="s">
        <v>35</v>
      </c>
      <c r="B11881" t="s">
        <v>61</v>
      </c>
      <c r="C11881" t="str">
        <f>"A0132676"</f>
        <v>A0132676</v>
      </c>
      <c r="D11881" t="s">
        <v>43024</v>
      </c>
      <c r="E11881" t="s">
        <v>43025</v>
      </c>
      <c r="F11881" t="s">
        <v>531</v>
      </c>
      <c r="G11881" t="s">
        <v>65</v>
      </c>
      <c r="H11881">
        <v>44622</v>
      </c>
      <c r="I11881" t="s">
        <v>30</v>
      </c>
      <c r="J11881" t="s">
        <v>41</v>
      </c>
      <c r="K11881" t="s">
        <v>229</v>
      </c>
      <c r="Q11881">
        <v>0</v>
      </c>
      <c r="R11881">
        <v>103</v>
      </c>
      <c r="S11881">
        <v>103</v>
      </c>
      <c r="T11881" t="s">
        <v>43026</v>
      </c>
    </row>
    <row r="11882" spans="1:20" customFormat="1" ht="15" x14ac:dyDescent="0.25">
      <c r="A11882" t="s">
        <v>35</v>
      </c>
      <c r="B11882" t="s">
        <v>61</v>
      </c>
      <c r="C11882" t="str">
        <f>"A0123339"</f>
        <v>A0123339</v>
      </c>
      <c r="D11882" t="s">
        <v>43027</v>
      </c>
      <c r="E11882" t="s">
        <v>43028</v>
      </c>
      <c r="F11882" t="s">
        <v>43029</v>
      </c>
      <c r="G11882" t="s">
        <v>29</v>
      </c>
      <c r="H11882" t="s">
        <v>43030</v>
      </c>
      <c r="I11882" t="s">
        <v>30</v>
      </c>
      <c r="J11882" t="s">
        <v>41</v>
      </c>
      <c r="K11882" t="s">
        <v>229</v>
      </c>
      <c r="Q11882">
        <v>0</v>
      </c>
      <c r="R11882">
        <v>120</v>
      </c>
      <c r="S11882">
        <v>120</v>
      </c>
      <c r="T11882" t="s">
        <v>43031</v>
      </c>
    </row>
    <row r="11883" spans="1:20" customFormat="1" ht="15" x14ac:dyDescent="0.25">
      <c r="A11883" t="s">
        <v>35</v>
      </c>
      <c r="B11883" t="s">
        <v>106</v>
      </c>
      <c r="C11883" t="str">
        <f>"A0136568"</f>
        <v>A0136568</v>
      </c>
      <c r="D11883" t="s">
        <v>43032</v>
      </c>
      <c r="E11883" t="s">
        <v>43033</v>
      </c>
      <c r="F11883" t="s">
        <v>7130</v>
      </c>
      <c r="G11883" t="s">
        <v>1706</v>
      </c>
      <c r="H11883">
        <v>36310</v>
      </c>
      <c r="I11883" t="s">
        <v>30</v>
      </c>
      <c r="J11883" t="s">
        <v>111</v>
      </c>
      <c r="K11883" t="s">
        <v>112</v>
      </c>
      <c r="Q11883">
        <v>0</v>
      </c>
      <c r="R11883">
        <v>0</v>
      </c>
      <c r="S11883">
        <v>0</v>
      </c>
      <c r="T11883" t="s">
        <v>43034</v>
      </c>
    </row>
    <row r="11884" spans="1:20" customFormat="1" ht="15" x14ac:dyDescent="0.25">
      <c r="A11884" t="s">
        <v>35</v>
      </c>
      <c r="B11884" t="s">
        <v>61</v>
      </c>
      <c r="C11884" t="str">
        <f>"A0124464"</f>
        <v>A0124464</v>
      </c>
      <c r="D11884" t="s">
        <v>43035</v>
      </c>
      <c r="E11884" t="s">
        <v>43036</v>
      </c>
      <c r="F11884" t="s">
        <v>7130</v>
      </c>
      <c r="G11884" t="s">
        <v>1706</v>
      </c>
      <c r="H11884">
        <v>363100000</v>
      </c>
      <c r="I11884" t="s">
        <v>30</v>
      </c>
      <c r="J11884" t="s">
        <v>41</v>
      </c>
      <c r="K11884" t="s">
        <v>229</v>
      </c>
      <c r="Q11884">
        <v>0</v>
      </c>
      <c r="R11884">
        <v>81</v>
      </c>
      <c r="S11884">
        <v>81</v>
      </c>
      <c r="T11884" t="s">
        <v>43037</v>
      </c>
    </row>
    <row r="11885" spans="1:20" customFormat="1" ht="15" x14ac:dyDescent="0.25">
      <c r="A11885" t="s">
        <v>35</v>
      </c>
      <c r="B11885" t="s">
        <v>61</v>
      </c>
      <c r="C11885" t="str">
        <f>"A0132869"</f>
        <v>A0132869</v>
      </c>
      <c r="D11885" t="s">
        <v>43038</v>
      </c>
      <c r="E11885" t="s">
        <v>43039</v>
      </c>
      <c r="F11885" t="s">
        <v>26234</v>
      </c>
      <c r="G11885" t="s">
        <v>65</v>
      </c>
      <c r="H11885">
        <v>43454</v>
      </c>
      <c r="I11885" t="s">
        <v>30</v>
      </c>
      <c r="J11885" t="s">
        <v>41</v>
      </c>
      <c r="K11885" t="s">
        <v>36814</v>
      </c>
      <c r="Q11885">
        <v>0</v>
      </c>
      <c r="R11885">
        <v>0</v>
      </c>
      <c r="S11885">
        <v>0</v>
      </c>
      <c r="T11885" t="s">
        <v>43040</v>
      </c>
    </row>
    <row r="11886" spans="1:20" customFormat="1" ht="15" x14ac:dyDescent="0.25">
      <c r="A11886" t="s">
        <v>35</v>
      </c>
      <c r="B11886" t="s">
        <v>61</v>
      </c>
      <c r="C11886" t="str">
        <f>"A0133278"</f>
        <v>A0133278</v>
      </c>
      <c r="D11886" t="s">
        <v>43041</v>
      </c>
      <c r="E11886" t="s">
        <v>43042</v>
      </c>
      <c r="F11886" t="s">
        <v>19214</v>
      </c>
      <c r="G11886" t="s">
        <v>52</v>
      </c>
      <c r="H11886">
        <v>79045</v>
      </c>
      <c r="I11886" t="s">
        <v>30</v>
      </c>
      <c r="J11886" t="s">
        <v>41</v>
      </c>
      <c r="K11886" t="s">
        <v>229</v>
      </c>
      <c r="Q11886">
        <v>0</v>
      </c>
      <c r="R11886">
        <v>100</v>
      </c>
      <c r="S11886">
        <v>100</v>
      </c>
      <c r="T11886" t="s">
        <v>43043</v>
      </c>
    </row>
    <row r="11887" spans="1:20" customFormat="1" ht="15" x14ac:dyDescent="0.25">
      <c r="A11887" t="s">
        <v>35</v>
      </c>
      <c r="B11887" t="s">
        <v>61</v>
      </c>
      <c r="C11887" t="str">
        <f>"A0123340"</f>
        <v>A0123340</v>
      </c>
      <c r="D11887" t="s">
        <v>25805</v>
      </c>
      <c r="E11887" t="s">
        <v>43044</v>
      </c>
      <c r="F11887" t="s">
        <v>5491</v>
      </c>
      <c r="G11887" t="s">
        <v>507</v>
      </c>
      <c r="H11887">
        <v>26330</v>
      </c>
      <c r="I11887" t="s">
        <v>30</v>
      </c>
      <c r="J11887" t="s">
        <v>41</v>
      </c>
      <c r="K11887" t="s">
        <v>482</v>
      </c>
      <c r="Q11887">
        <v>0</v>
      </c>
      <c r="R11887">
        <v>51</v>
      </c>
      <c r="S11887">
        <v>51</v>
      </c>
      <c r="T11887" t="s">
        <v>43045</v>
      </c>
    </row>
    <row r="11888" spans="1:20" customFormat="1" ht="15" x14ac:dyDescent="0.25">
      <c r="A11888" t="s">
        <v>35</v>
      </c>
      <c r="B11888" t="s">
        <v>61</v>
      </c>
      <c r="C11888" t="str">
        <f>"A0129952"</f>
        <v>A0129952</v>
      </c>
      <c r="D11888" t="s">
        <v>43046</v>
      </c>
      <c r="E11888" t="s">
        <v>43047</v>
      </c>
      <c r="F11888" t="s">
        <v>30779</v>
      </c>
      <c r="G11888" t="s">
        <v>880</v>
      </c>
      <c r="H11888">
        <v>385740000</v>
      </c>
      <c r="I11888" t="s">
        <v>30</v>
      </c>
      <c r="J11888" t="s">
        <v>41</v>
      </c>
      <c r="K11888" t="s">
        <v>131</v>
      </c>
      <c r="Q11888">
        <v>0</v>
      </c>
      <c r="R11888">
        <v>33</v>
      </c>
      <c r="S11888">
        <v>33</v>
      </c>
      <c r="T11888" t="s">
        <v>43048</v>
      </c>
    </row>
    <row r="11889" spans="1:20" customFormat="1" ht="15" x14ac:dyDescent="0.25">
      <c r="A11889" t="s">
        <v>35</v>
      </c>
      <c r="B11889" t="s">
        <v>61</v>
      </c>
      <c r="C11889" t="str">
        <f>"A0121456"</f>
        <v>A0121456</v>
      </c>
      <c r="D11889" t="s">
        <v>43049</v>
      </c>
      <c r="E11889" t="s">
        <v>43050</v>
      </c>
      <c r="F11889" t="s">
        <v>6244</v>
      </c>
      <c r="G11889" t="s">
        <v>110</v>
      </c>
      <c r="H11889">
        <v>93705</v>
      </c>
      <c r="I11889" t="s">
        <v>30</v>
      </c>
      <c r="J11889" t="s">
        <v>41</v>
      </c>
      <c r="K11889" t="s">
        <v>391</v>
      </c>
      <c r="Q11889">
        <v>0</v>
      </c>
      <c r="R11889">
        <v>0</v>
      </c>
      <c r="S11889">
        <v>0</v>
      </c>
      <c r="T11889" t="s">
        <v>43051</v>
      </c>
    </row>
    <row r="11890" spans="1:20" customFormat="1" ht="15" x14ac:dyDescent="0.25">
      <c r="A11890" t="s">
        <v>35</v>
      </c>
      <c r="B11890" t="s">
        <v>61</v>
      </c>
      <c r="C11890" t="str">
        <f>"A0125261"</f>
        <v>A0125261</v>
      </c>
      <c r="D11890" t="s">
        <v>43052</v>
      </c>
      <c r="E11890" t="s">
        <v>43053</v>
      </c>
      <c r="F11890" t="s">
        <v>17370</v>
      </c>
      <c r="G11890" t="s">
        <v>40</v>
      </c>
      <c r="H11890">
        <v>73099</v>
      </c>
      <c r="I11890" t="s">
        <v>30</v>
      </c>
      <c r="J11890" t="s">
        <v>41</v>
      </c>
      <c r="K11890" t="s">
        <v>59</v>
      </c>
      <c r="Q11890">
        <v>0</v>
      </c>
      <c r="R11890">
        <v>79</v>
      </c>
      <c r="S11890">
        <v>79</v>
      </c>
      <c r="T11890" t="s">
        <v>43054</v>
      </c>
    </row>
    <row r="11891" spans="1:20" customFormat="1" ht="15" x14ac:dyDescent="0.25">
      <c r="A11891" t="s">
        <v>35</v>
      </c>
      <c r="B11891" t="s">
        <v>61</v>
      </c>
      <c r="C11891" t="str">
        <f>"A0125431"</f>
        <v>A0125431</v>
      </c>
      <c r="D11891" t="s">
        <v>43055</v>
      </c>
      <c r="E11891" t="s">
        <v>43056</v>
      </c>
      <c r="F11891" t="s">
        <v>4037</v>
      </c>
      <c r="G11891" t="s">
        <v>40</v>
      </c>
      <c r="H11891">
        <v>73142</v>
      </c>
      <c r="I11891" t="s">
        <v>30</v>
      </c>
      <c r="J11891" t="s">
        <v>41</v>
      </c>
      <c r="K11891" t="s">
        <v>229</v>
      </c>
      <c r="Q11891">
        <v>0</v>
      </c>
      <c r="R11891">
        <v>118</v>
      </c>
      <c r="S11891">
        <v>118</v>
      </c>
      <c r="T11891" t="s">
        <v>43057</v>
      </c>
    </row>
    <row r="11892" spans="1:20" customFormat="1" ht="15" x14ac:dyDescent="0.25">
      <c r="A11892" t="s">
        <v>35</v>
      </c>
      <c r="B11892" t="s">
        <v>61</v>
      </c>
      <c r="C11892" t="str">
        <f>"A0133495"</f>
        <v>A0133495</v>
      </c>
      <c r="D11892" t="s">
        <v>43058</v>
      </c>
      <c r="E11892" t="s">
        <v>43059</v>
      </c>
      <c r="F11892" t="s">
        <v>19029</v>
      </c>
      <c r="G11892" t="s">
        <v>52</v>
      </c>
      <c r="H11892">
        <v>75601</v>
      </c>
      <c r="I11892" t="s">
        <v>30</v>
      </c>
      <c r="J11892" t="s">
        <v>41</v>
      </c>
      <c r="K11892" t="s">
        <v>229</v>
      </c>
      <c r="Q11892">
        <v>0</v>
      </c>
      <c r="R11892">
        <v>100</v>
      </c>
      <c r="S11892">
        <v>100</v>
      </c>
      <c r="T11892" t="s">
        <v>43060</v>
      </c>
    </row>
    <row r="11893" spans="1:20" customFormat="1" ht="15" x14ac:dyDescent="0.25">
      <c r="A11893" t="s">
        <v>35</v>
      </c>
      <c r="B11893" t="s">
        <v>61</v>
      </c>
      <c r="C11893" t="str">
        <f>"A0133494"</f>
        <v>A0133494</v>
      </c>
      <c r="D11893" t="s">
        <v>43061</v>
      </c>
      <c r="E11893" t="s">
        <v>43062</v>
      </c>
      <c r="F11893" t="s">
        <v>22585</v>
      </c>
      <c r="G11893" t="s">
        <v>52</v>
      </c>
      <c r="H11893">
        <v>75050</v>
      </c>
      <c r="I11893" t="s">
        <v>30</v>
      </c>
      <c r="J11893" t="s">
        <v>41</v>
      </c>
      <c r="K11893" t="s">
        <v>229</v>
      </c>
      <c r="Q11893">
        <v>0</v>
      </c>
      <c r="R11893">
        <v>120</v>
      </c>
      <c r="S11893">
        <v>120</v>
      </c>
      <c r="T11893" t="s">
        <v>43063</v>
      </c>
    </row>
    <row r="11894" spans="1:20" customFormat="1" ht="15" x14ac:dyDescent="0.25">
      <c r="A11894" t="s">
        <v>35</v>
      </c>
      <c r="B11894" t="s">
        <v>61</v>
      </c>
      <c r="C11894" t="str">
        <f>"A0123341"</f>
        <v>A0123341</v>
      </c>
      <c r="D11894" t="s">
        <v>43064</v>
      </c>
      <c r="E11894" t="s">
        <v>43065</v>
      </c>
      <c r="F11894" t="s">
        <v>912</v>
      </c>
      <c r="G11894" t="s">
        <v>507</v>
      </c>
      <c r="H11894">
        <v>25716</v>
      </c>
      <c r="I11894" t="s">
        <v>30</v>
      </c>
      <c r="J11894" t="s">
        <v>41</v>
      </c>
      <c r="K11894" t="s">
        <v>229</v>
      </c>
      <c r="Q11894">
        <v>0</v>
      </c>
      <c r="R11894">
        <v>120</v>
      </c>
      <c r="S11894">
        <v>120</v>
      </c>
      <c r="T11894" t="s">
        <v>43066</v>
      </c>
    </row>
    <row r="11895" spans="1:20" customFormat="1" ht="15" x14ac:dyDescent="0.25">
      <c r="A11895" t="s">
        <v>35</v>
      </c>
      <c r="B11895" t="s">
        <v>43067</v>
      </c>
      <c r="C11895" t="str">
        <f>"A0131518"</f>
        <v>A0131518</v>
      </c>
      <c r="D11895" t="s">
        <v>43068</v>
      </c>
      <c r="E11895" t="s">
        <v>43069</v>
      </c>
      <c r="F11895" t="s">
        <v>12071</v>
      </c>
      <c r="G11895" t="s">
        <v>381</v>
      </c>
      <c r="H11895">
        <v>47710</v>
      </c>
      <c r="I11895" t="s">
        <v>30</v>
      </c>
      <c r="J11895" t="s">
        <v>41</v>
      </c>
      <c r="K11895" t="s">
        <v>229</v>
      </c>
      <c r="Q11895">
        <v>0</v>
      </c>
      <c r="R11895">
        <v>117</v>
      </c>
      <c r="S11895">
        <v>117</v>
      </c>
      <c r="T11895" t="s">
        <v>43070</v>
      </c>
    </row>
    <row r="11896" spans="1:20" customFormat="1" ht="15" x14ac:dyDescent="0.25">
      <c r="A11896" t="s">
        <v>35</v>
      </c>
      <c r="B11896" t="s">
        <v>61</v>
      </c>
      <c r="C11896" t="str">
        <f>"A0133738"</f>
        <v>A0133738</v>
      </c>
      <c r="D11896" t="s">
        <v>43071</v>
      </c>
      <c r="E11896" t="s">
        <v>43072</v>
      </c>
      <c r="F11896" t="s">
        <v>5240</v>
      </c>
      <c r="G11896" t="s">
        <v>52</v>
      </c>
      <c r="H11896">
        <v>78240</v>
      </c>
      <c r="I11896" t="s">
        <v>30</v>
      </c>
      <c r="J11896" t="s">
        <v>41</v>
      </c>
      <c r="K11896" t="s">
        <v>482</v>
      </c>
      <c r="Q11896">
        <v>0</v>
      </c>
      <c r="R11896">
        <v>40</v>
      </c>
      <c r="S11896">
        <v>40</v>
      </c>
      <c r="T11896" t="s">
        <v>43073</v>
      </c>
    </row>
    <row r="11897" spans="1:20" customFormat="1" ht="15" x14ac:dyDescent="0.25">
      <c r="A11897" t="s">
        <v>35</v>
      </c>
      <c r="B11897" t="s">
        <v>61</v>
      </c>
      <c r="C11897" t="str">
        <f>"A0118156"</f>
        <v>A0118156</v>
      </c>
      <c r="D11897" t="s">
        <v>43074</v>
      </c>
      <c r="E11897" t="s">
        <v>43075</v>
      </c>
      <c r="F11897" t="s">
        <v>7282</v>
      </c>
      <c r="G11897" t="s">
        <v>153</v>
      </c>
      <c r="H11897">
        <v>84663</v>
      </c>
      <c r="I11897" t="s">
        <v>30</v>
      </c>
      <c r="J11897" t="s">
        <v>41</v>
      </c>
      <c r="K11897" t="s">
        <v>59</v>
      </c>
      <c r="Q11897">
        <v>0</v>
      </c>
      <c r="R11897">
        <v>30</v>
      </c>
      <c r="S11897">
        <v>30</v>
      </c>
      <c r="T11897" t="s">
        <v>43076</v>
      </c>
    </row>
    <row r="11898" spans="1:20" customFormat="1" ht="15" x14ac:dyDescent="0.25">
      <c r="A11898" t="s">
        <v>35</v>
      </c>
      <c r="B11898" t="s">
        <v>16386</v>
      </c>
      <c r="C11898" t="str">
        <f>"A0123713"</f>
        <v>A0123713</v>
      </c>
      <c r="D11898" t="s">
        <v>9363</v>
      </c>
      <c r="E11898" t="s">
        <v>43077</v>
      </c>
      <c r="F11898" t="s">
        <v>9365</v>
      </c>
      <c r="G11898" t="s">
        <v>29</v>
      </c>
      <c r="H11898">
        <v>23111</v>
      </c>
      <c r="I11898" t="s">
        <v>30</v>
      </c>
      <c r="J11898" t="s">
        <v>41</v>
      </c>
      <c r="K11898" t="s">
        <v>482</v>
      </c>
      <c r="Q11898">
        <v>0</v>
      </c>
      <c r="R11898">
        <v>65</v>
      </c>
      <c r="S11898">
        <v>65</v>
      </c>
      <c r="T11898" t="s">
        <v>9366</v>
      </c>
    </row>
    <row r="11899" spans="1:20" customFormat="1" ht="15" x14ac:dyDescent="0.25">
      <c r="A11899" t="s">
        <v>35</v>
      </c>
      <c r="B11899" t="s">
        <v>16386</v>
      </c>
      <c r="C11899" t="str">
        <f>"A0123714"</f>
        <v>A0123714</v>
      </c>
      <c r="D11899" t="s">
        <v>43078</v>
      </c>
      <c r="E11899" t="s">
        <v>43079</v>
      </c>
      <c r="F11899" t="s">
        <v>6768</v>
      </c>
      <c r="G11899" t="s">
        <v>29</v>
      </c>
      <c r="H11899">
        <v>24502</v>
      </c>
      <c r="I11899" t="s">
        <v>30</v>
      </c>
      <c r="J11899" t="s">
        <v>41</v>
      </c>
      <c r="K11899" t="s">
        <v>482</v>
      </c>
      <c r="Q11899">
        <v>0</v>
      </c>
      <c r="R11899">
        <v>63</v>
      </c>
      <c r="S11899">
        <v>63</v>
      </c>
      <c r="T11899" t="s">
        <v>43080</v>
      </c>
    </row>
    <row r="11900" spans="1:20" customFormat="1" ht="15" x14ac:dyDescent="0.25">
      <c r="A11900" t="s">
        <v>35</v>
      </c>
      <c r="B11900" t="s">
        <v>36544</v>
      </c>
      <c r="C11900" t="str">
        <f>"A0123342"</f>
        <v>A0123342</v>
      </c>
      <c r="D11900" t="s">
        <v>43081</v>
      </c>
      <c r="E11900" t="s">
        <v>43082</v>
      </c>
      <c r="F11900" t="s">
        <v>43083</v>
      </c>
      <c r="G11900" t="s">
        <v>29</v>
      </c>
      <c r="H11900">
        <v>242193319</v>
      </c>
      <c r="I11900" t="s">
        <v>30</v>
      </c>
      <c r="J11900" t="s">
        <v>41</v>
      </c>
      <c r="K11900" t="s">
        <v>229</v>
      </c>
      <c r="Q11900">
        <v>0</v>
      </c>
      <c r="R11900">
        <v>180</v>
      </c>
      <c r="S11900">
        <v>180</v>
      </c>
      <c r="T11900" t="s">
        <v>43084</v>
      </c>
    </row>
    <row r="11901" spans="1:20" customFormat="1" ht="15" x14ac:dyDescent="0.25">
      <c r="A11901" t="s">
        <v>35</v>
      </c>
      <c r="B11901" t="s">
        <v>36544</v>
      </c>
      <c r="C11901" t="str">
        <f>"A0123343"</f>
        <v>A0123343</v>
      </c>
      <c r="D11901" t="s">
        <v>43085</v>
      </c>
      <c r="E11901" t="s">
        <v>43086</v>
      </c>
      <c r="F11901" t="s">
        <v>12375</v>
      </c>
      <c r="G11901" t="s">
        <v>29</v>
      </c>
      <c r="H11901">
        <v>240607015</v>
      </c>
      <c r="I11901" t="s">
        <v>30</v>
      </c>
      <c r="J11901" t="s">
        <v>41</v>
      </c>
      <c r="K11901" t="s">
        <v>229</v>
      </c>
      <c r="Q11901">
        <v>0</v>
      </c>
      <c r="R11901">
        <v>194</v>
      </c>
      <c r="S11901">
        <v>194</v>
      </c>
      <c r="T11901" t="s">
        <v>43087</v>
      </c>
    </row>
    <row r="11902" spans="1:20" customFormat="1" ht="15" x14ac:dyDescent="0.25">
      <c r="A11902" t="s">
        <v>35</v>
      </c>
      <c r="B11902" t="s">
        <v>36544</v>
      </c>
      <c r="C11902" t="str">
        <f>"A0123344"</f>
        <v>A0123344</v>
      </c>
      <c r="D11902" t="s">
        <v>43088</v>
      </c>
      <c r="E11902" t="s">
        <v>36395</v>
      </c>
      <c r="F11902" t="s">
        <v>39406</v>
      </c>
      <c r="G11902" t="s">
        <v>29</v>
      </c>
      <c r="H11902">
        <v>238240550</v>
      </c>
      <c r="I11902" t="s">
        <v>30</v>
      </c>
      <c r="J11902" t="s">
        <v>41</v>
      </c>
      <c r="K11902" t="s">
        <v>229</v>
      </c>
      <c r="Q11902">
        <v>0</v>
      </c>
      <c r="R11902">
        <v>180</v>
      </c>
      <c r="S11902">
        <v>180</v>
      </c>
      <c r="T11902" t="s">
        <v>43089</v>
      </c>
    </row>
    <row r="11903" spans="1:20" customFormat="1" ht="15" x14ac:dyDescent="0.25">
      <c r="A11903" t="s">
        <v>35</v>
      </c>
      <c r="B11903" t="s">
        <v>36544</v>
      </c>
      <c r="C11903" t="str">
        <f>"A0123345"</f>
        <v>A0123345</v>
      </c>
      <c r="D11903" t="s">
        <v>43090</v>
      </c>
      <c r="E11903" t="s">
        <v>43091</v>
      </c>
      <c r="F11903" t="s">
        <v>43092</v>
      </c>
      <c r="G11903" t="s">
        <v>29</v>
      </c>
      <c r="H11903">
        <v>245280470</v>
      </c>
      <c r="I11903" t="s">
        <v>30</v>
      </c>
      <c r="J11903" t="s">
        <v>41</v>
      </c>
      <c r="K11903" t="s">
        <v>229</v>
      </c>
      <c r="Q11903">
        <v>0</v>
      </c>
      <c r="R11903">
        <v>60</v>
      </c>
      <c r="S11903">
        <v>60</v>
      </c>
      <c r="T11903" t="s">
        <v>43093</v>
      </c>
    </row>
    <row r="11904" spans="1:20" customFormat="1" ht="15" x14ac:dyDescent="0.25">
      <c r="A11904" t="s">
        <v>35</v>
      </c>
      <c r="B11904" t="s">
        <v>36544</v>
      </c>
      <c r="C11904" t="str">
        <f>"A0123346"</f>
        <v>A0123346</v>
      </c>
      <c r="D11904" t="s">
        <v>43094</v>
      </c>
      <c r="E11904" t="s">
        <v>43095</v>
      </c>
      <c r="F11904" t="s">
        <v>43096</v>
      </c>
      <c r="G11904" t="s">
        <v>29</v>
      </c>
      <c r="H11904">
        <v>242280909</v>
      </c>
      <c r="I11904" t="s">
        <v>30</v>
      </c>
      <c r="J11904" t="s">
        <v>41</v>
      </c>
      <c r="K11904" t="s">
        <v>229</v>
      </c>
      <c r="Q11904">
        <v>0</v>
      </c>
      <c r="R11904">
        <v>100</v>
      </c>
      <c r="S11904">
        <v>100</v>
      </c>
      <c r="T11904" t="s">
        <v>43097</v>
      </c>
    </row>
    <row r="11905" spans="1:20" customFormat="1" ht="15" x14ac:dyDescent="0.25">
      <c r="A11905" t="s">
        <v>35</v>
      </c>
      <c r="B11905" t="s">
        <v>36544</v>
      </c>
      <c r="C11905" t="str">
        <f>"A0123347"</f>
        <v>A0123347</v>
      </c>
      <c r="D11905" t="s">
        <v>43098</v>
      </c>
      <c r="E11905" t="s">
        <v>43099</v>
      </c>
      <c r="F11905" t="s">
        <v>43100</v>
      </c>
      <c r="G11905" t="s">
        <v>29</v>
      </c>
      <c r="H11905">
        <v>239360580</v>
      </c>
      <c r="I11905" t="s">
        <v>30</v>
      </c>
      <c r="J11905" t="s">
        <v>41</v>
      </c>
      <c r="K11905" t="s">
        <v>229</v>
      </c>
      <c r="Q11905">
        <v>0</v>
      </c>
      <c r="R11905">
        <v>60</v>
      </c>
      <c r="S11905">
        <v>60</v>
      </c>
      <c r="T11905" t="s">
        <v>43101</v>
      </c>
    </row>
    <row r="11906" spans="1:20" customFormat="1" ht="15" x14ac:dyDescent="0.25">
      <c r="A11906" t="s">
        <v>35</v>
      </c>
      <c r="B11906" t="s">
        <v>36544</v>
      </c>
      <c r="C11906" t="str">
        <f>"A0123348"</f>
        <v>A0123348</v>
      </c>
      <c r="D11906" t="s">
        <v>43102</v>
      </c>
      <c r="E11906" t="s">
        <v>43103</v>
      </c>
      <c r="F11906" t="s">
        <v>1627</v>
      </c>
      <c r="G11906" t="s">
        <v>29</v>
      </c>
      <c r="H11906">
        <v>226304644</v>
      </c>
      <c r="I11906" t="s">
        <v>30</v>
      </c>
      <c r="J11906" t="s">
        <v>41</v>
      </c>
      <c r="K11906" t="s">
        <v>229</v>
      </c>
      <c r="Q11906">
        <v>0</v>
      </c>
      <c r="R11906">
        <v>60</v>
      </c>
      <c r="S11906">
        <v>60</v>
      </c>
      <c r="T11906" t="s">
        <v>43104</v>
      </c>
    </row>
    <row r="11907" spans="1:20" customFormat="1" ht="15" x14ac:dyDescent="0.25">
      <c r="A11907" t="s">
        <v>35</v>
      </c>
      <c r="B11907" t="s">
        <v>36544</v>
      </c>
      <c r="C11907" t="str">
        <f>"A0123349"</f>
        <v>A0123349</v>
      </c>
      <c r="D11907" t="s">
        <v>43105</v>
      </c>
      <c r="E11907" t="s">
        <v>43106</v>
      </c>
      <c r="F11907" t="s">
        <v>43107</v>
      </c>
      <c r="G11907" t="s">
        <v>29</v>
      </c>
      <c r="H11907">
        <v>246149504</v>
      </c>
      <c r="I11907" t="s">
        <v>30</v>
      </c>
      <c r="J11907" t="s">
        <v>41</v>
      </c>
      <c r="K11907" t="s">
        <v>229</v>
      </c>
      <c r="Q11907">
        <v>0</v>
      </c>
      <c r="R11907">
        <v>120</v>
      </c>
      <c r="S11907">
        <v>120</v>
      </c>
      <c r="T11907" t="s">
        <v>43108</v>
      </c>
    </row>
    <row r="11908" spans="1:20" customFormat="1" ht="15" x14ac:dyDescent="0.25">
      <c r="A11908" t="s">
        <v>35</v>
      </c>
      <c r="B11908" t="s">
        <v>36544</v>
      </c>
      <c r="C11908" t="str">
        <f>"A0123350"</f>
        <v>A0123350</v>
      </c>
      <c r="D11908" t="s">
        <v>43109</v>
      </c>
      <c r="E11908" t="s">
        <v>43110</v>
      </c>
      <c r="F11908" t="s">
        <v>43111</v>
      </c>
      <c r="G11908" t="s">
        <v>29</v>
      </c>
      <c r="H11908">
        <v>224850495</v>
      </c>
      <c r="I11908" t="s">
        <v>30</v>
      </c>
      <c r="J11908" t="s">
        <v>41</v>
      </c>
      <c r="K11908" t="s">
        <v>229</v>
      </c>
      <c r="Q11908">
        <v>0</v>
      </c>
      <c r="R11908">
        <v>130</v>
      </c>
      <c r="S11908">
        <v>130</v>
      </c>
      <c r="T11908" t="s">
        <v>43112</v>
      </c>
    </row>
    <row r="11909" spans="1:20" customFormat="1" ht="15" x14ac:dyDescent="0.25">
      <c r="A11909" t="s">
        <v>35</v>
      </c>
      <c r="B11909" t="s">
        <v>36544</v>
      </c>
      <c r="C11909" t="str">
        <f>"A0123351"</f>
        <v>A0123351</v>
      </c>
      <c r="D11909" t="s">
        <v>43113</v>
      </c>
      <c r="E11909" t="s">
        <v>43114</v>
      </c>
      <c r="F11909" t="s">
        <v>43115</v>
      </c>
      <c r="G11909" t="s">
        <v>29</v>
      </c>
      <c r="H11909">
        <v>243529707</v>
      </c>
      <c r="I11909" t="s">
        <v>30</v>
      </c>
      <c r="J11909" t="s">
        <v>41</v>
      </c>
      <c r="K11909" t="s">
        <v>229</v>
      </c>
      <c r="Q11909">
        <v>0</v>
      </c>
      <c r="R11909">
        <v>60</v>
      </c>
      <c r="S11909">
        <v>60</v>
      </c>
      <c r="T11909" t="s">
        <v>43116</v>
      </c>
    </row>
    <row r="11910" spans="1:20" customFormat="1" ht="15" x14ac:dyDescent="0.25">
      <c r="A11910" t="s">
        <v>35</v>
      </c>
      <c r="B11910" t="s">
        <v>36544</v>
      </c>
      <c r="C11910" t="str">
        <f>"A0123352"</f>
        <v>A0123352</v>
      </c>
      <c r="D11910" t="s">
        <v>43117</v>
      </c>
      <c r="E11910" t="s">
        <v>43118</v>
      </c>
      <c r="F11910" t="s">
        <v>6115</v>
      </c>
      <c r="G11910" t="s">
        <v>29</v>
      </c>
      <c r="H11910">
        <v>201762024</v>
      </c>
      <c r="I11910" t="s">
        <v>30</v>
      </c>
      <c r="J11910" t="s">
        <v>41</v>
      </c>
      <c r="K11910" t="s">
        <v>229</v>
      </c>
      <c r="Q11910">
        <v>0</v>
      </c>
      <c r="R11910">
        <v>164</v>
      </c>
      <c r="S11910">
        <v>164</v>
      </c>
      <c r="T11910" t="s">
        <v>43119</v>
      </c>
    </row>
    <row r="11911" spans="1:20" customFormat="1" ht="15" x14ac:dyDescent="0.25">
      <c r="A11911" t="s">
        <v>35</v>
      </c>
      <c r="B11911" t="s">
        <v>36544</v>
      </c>
      <c r="C11911" t="str">
        <f>"A0123353"</f>
        <v>A0123353</v>
      </c>
      <c r="D11911" t="s">
        <v>43120</v>
      </c>
      <c r="E11911" t="s">
        <v>43121</v>
      </c>
      <c r="F11911" t="s">
        <v>1689</v>
      </c>
      <c r="G11911" t="s">
        <v>29</v>
      </c>
      <c r="H11911">
        <v>244502415</v>
      </c>
      <c r="I11911" t="s">
        <v>30</v>
      </c>
      <c r="J11911" t="s">
        <v>41</v>
      </c>
      <c r="K11911" t="s">
        <v>229</v>
      </c>
      <c r="Q11911">
        <v>0</v>
      </c>
      <c r="R11911">
        <v>60</v>
      </c>
      <c r="S11911">
        <v>60</v>
      </c>
      <c r="T11911" t="s">
        <v>43122</v>
      </c>
    </row>
    <row r="11912" spans="1:20" customFormat="1" ht="15" x14ac:dyDescent="0.25">
      <c r="A11912" t="s">
        <v>35</v>
      </c>
      <c r="B11912" t="s">
        <v>36544</v>
      </c>
      <c r="C11912" t="str">
        <f>"A0123354"</f>
        <v>A0123354</v>
      </c>
      <c r="D11912" t="s">
        <v>43123</v>
      </c>
      <c r="E11912" t="s">
        <v>43124</v>
      </c>
      <c r="F11912" t="s">
        <v>43125</v>
      </c>
      <c r="G11912" t="s">
        <v>29</v>
      </c>
      <c r="H11912">
        <v>234130176</v>
      </c>
      <c r="I11912" t="s">
        <v>30</v>
      </c>
      <c r="J11912" t="s">
        <v>41</v>
      </c>
      <c r="K11912" t="s">
        <v>229</v>
      </c>
      <c r="Q11912">
        <v>0</v>
      </c>
      <c r="R11912">
        <v>145</v>
      </c>
      <c r="S11912">
        <v>145</v>
      </c>
      <c r="T11912" t="s">
        <v>43126</v>
      </c>
    </row>
    <row r="11913" spans="1:20" customFormat="1" ht="15" x14ac:dyDescent="0.25">
      <c r="A11913" t="s">
        <v>35</v>
      </c>
      <c r="B11913" t="s">
        <v>36544</v>
      </c>
      <c r="C11913" t="str">
        <f>"A0123355"</f>
        <v>A0123355</v>
      </c>
      <c r="D11913" t="s">
        <v>43127</v>
      </c>
      <c r="E11913" t="s">
        <v>43128</v>
      </c>
      <c r="F11913" t="s">
        <v>43129</v>
      </c>
      <c r="G11913" t="s">
        <v>29</v>
      </c>
      <c r="H11913">
        <v>246519703</v>
      </c>
      <c r="I11913" t="s">
        <v>30</v>
      </c>
      <c r="J11913" t="s">
        <v>41</v>
      </c>
      <c r="K11913" t="s">
        <v>229</v>
      </c>
      <c r="Q11913">
        <v>0</v>
      </c>
      <c r="R11913">
        <v>180</v>
      </c>
      <c r="S11913">
        <v>180</v>
      </c>
      <c r="T11913" t="s">
        <v>43130</v>
      </c>
    </row>
    <row r="11914" spans="1:20" customFormat="1" ht="15" x14ac:dyDescent="0.25">
      <c r="A11914" t="s">
        <v>35</v>
      </c>
      <c r="B11914" t="s">
        <v>36544</v>
      </c>
      <c r="C11914" t="str">
        <f>"A0123357"</f>
        <v>A0123357</v>
      </c>
      <c r="D11914" t="s">
        <v>43131</v>
      </c>
      <c r="E11914" t="s">
        <v>43132</v>
      </c>
      <c r="F11914" t="s">
        <v>43133</v>
      </c>
      <c r="G11914" t="s">
        <v>29</v>
      </c>
      <c r="H11914">
        <v>242931009</v>
      </c>
      <c r="I11914" t="s">
        <v>30</v>
      </c>
      <c r="J11914" t="s">
        <v>41</v>
      </c>
      <c r="K11914" t="s">
        <v>229</v>
      </c>
      <c r="Q11914">
        <v>0</v>
      </c>
      <c r="R11914">
        <v>97</v>
      </c>
      <c r="S11914">
        <v>97</v>
      </c>
      <c r="T11914" t="s">
        <v>43134</v>
      </c>
    </row>
    <row r="11915" spans="1:20" customFormat="1" ht="15" x14ac:dyDescent="0.25">
      <c r="A11915" t="s">
        <v>35</v>
      </c>
      <c r="B11915" t="s">
        <v>61</v>
      </c>
      <c r="C11915" t="str">
        <f>"A0129008"</f>
        <v>A0129008</v>
      </c>
      <c r="D11915" t="s">
        <v>43135</v>
      </c>
      <c r="E11915" t="s">
        <v>43136</v>
      </c>
      <c r="F11915" t="s">
        <v>43137</v>
      </c>
      <c r="G11915" t="s">
        <v>289</v>
      </c>
      <c r="H11915">
        <v>62433</v>
      </c>
      <c r="I11915" t="s">
        <v>30</v>
      </c>
      <c r="J11915" t="s">
        <v>41</v>
      </c>
      <c r="K11915" t="s">
        <v>229</v>
      </c>
      <c r="Q11915">
        <v>0</v>
      </c>
      <c r="R11915">
        <v>48</v>
      </c>
      <c r="S11915">
        <v>48</v>
      </c>
      <c r="T11915" t="s">
        <v>43138</v>
      </c>
    </row>
    <row r="11916" spans="1:20" customFormat="1" ht="15" x14ac:dyDescent="0.25">
      <c r="A11916" t="s">
        <v>35</v>
      </c>
      <c r="B11916" t="s">
        <v>61</v>
      </c>
      <c r="C11916" t="str">
        <f>"A0124470"</f>
        <v>A0124470</v>
      </c>
      <c r="D11916" t="s">
        <v>43139</v>
      </c>
      <c r="E11916" t="s">
        <v>43140</v>
      </c>
      <c r="F11916" t="s">
        <v>36450</v>
      </c>
      <c r="G11916" t="s">
        <v>1706</v>
      </c>
      <c r="H11916">
        <v>35406</v>
      </c>
      <c r="I11916" t="s">
        <v>30</v>
      </c>
      <c r="J11916" t="s">
        <v>41</v>
      </c>
      <c r="K11916" t="s">
        <v>229</v>
      </c>
      <c r="Q11916">
        <v>0</v>
      </c>
      <c r="R11916">
        <v>152</v>
      </c>
      <c r="S11916">
        <v>152</v>
      </c>
      <c r="T11916" t="s">
        <v>43141</v>
      </c>
    </row>
    <row r="11917" spans="1:20" customFormat="1" ht="15" x14ac:dyDescent="0.25">
      <c r="A11917" t="s">
        <v>35</v>
      </c>
      <c r="B11917" t="s">
        <v>61</v>
      </c>
      <c r="C11917" t="str">
        <f>"A0123052"</f>
        <v>A0123052</v>
      </c>
      <c r="D11917" t="s">
        <v>43142</v>
      </c>
      <c r="E11917" t="s">
        <v>43143</v>
      </c>
      <c r="F11917" t="s">
        <v>4820</v>
      </c>
      <c r="G11917" t="s">
        <v>433</v>
      </c>
      <c r="H11917">
        <v>83200</v>
      </c>
      <c r="I11917" t="s">
        <v>30</v>
      </c>
      <c r="J11917" t="s">
        <v>41</v>
      </c>
      <c r="K11917" t="s">
        <v>2463</v>
      </c>
      <c r="Q11917">
        <v>0</v>
      </c>
      <c r="R11917">
        <v>0</v>
      </c>
      <c r="S11917">
        <v>0</v>
      </c>
      <c r="T11917" t="s">
        <v>43144</v>
      </c>
    </row>
    <row r="11918" spans="1:20" customFormat="1" ht="15" x14ac:dyDescent="0.25">
      <c r="A11918" t="s">
        <v>35</v>
      </c>
      <c r="B11918" t="s">
        <v>61</v>
      </c>
      <c r="C11918" t="str">
        <f>"A0123053"</f>
        <v>A0123053</v>
      </c>
      <c r="D11918" t="s">
        <v>43145</v>
      </c>
      <c r="E11918" t="s">
        <v>43146</v>
      </c>
      <c r="F11918" t="s">
        <v>37952</v>
      </c>
      <c r="G11918" t="s">
        <v>433</v>
      </c>
      <c r="H11918">
        <v>83301</v>
      </c>
      <c r="I11918" t="s">
        <v>30</v>
      </c>
      <c r="J11918" t="s">
        <v>41</v>
      </c>
      <c r="K11918" t="s">
        <v>2463</v>
      </c>
      <c r="Q11918">
        <v>0</v>
      </c>
      <c r="R11918">
        <v>0</v>
      </c>
      <c r="S11918">
        <v>0</v>
      </c>
      <c r="T11918" t="s">
        <v>43147</v>
      </c>
    </row>
    <row r="11919" spans="1:20" customFormat="1" ht="15" x14ac:dyDescent="0.25">
      <c r="A11919" t="s">
        <v>35</v>
      </c>
      <c r="B11919" t="s">
        <v>61</v>
      </c>
      <c r="C11919" t="str">
        <f>"A0125473"</f>
        <v>A0125473</v>
      </c>
      <c r="D11919" t="s">
        <v>43148</v>
      </c>
      <c r="E11919" t="s">
        <v>43149</v>
      </c>
      <c r="F11919" t="s">
        <v>17740</v>
      </c>
      <c r="G11919" t="s">
        <v>40</v>
      </c>
      <c r="H11919">
        <v>74501</v>
      </c>
      <c r="I11919" t="s">
        <v>30</v>
      </c>
      <c r="J11919" t="s">
        <v>41</v>
      </c>
      <c r="K11919" t="s">
        <v>229</v>
      </c>
      <c r="Q11919">
        <v>0</v>
      </c>
      <c r="R11919">
        <v>80</v>
      </c>
      <c r="S11919">
        <v>80</v>
      </c>
      <c r="T11919" t="s">
        <v>43150</v>
      </c>
    </row>
    <row r="11920" spans="1:20" customFormat="1" ht="15" x14ac:dyDescent="0.25">
      <c r="A11920" t="s">
        <v>35</v>
      </c>
      <c r="B11920" t="s">
        <v>61</v>
      </c>
      <c r="C11920" t="str">
        <f>"A0154283"</f>
        <v>A0154283</v>
      </c>
      <c r="D11920" t="s">
        <v>43151</v>
      </c>
      <c r="E11920" t="s">
        <v>43152</v>
      </c>
      <c r="F11920" t="s">
        <v>43153</v>
      </c>
      <c r="G11920" t="s">
        <v>103</v>
      </c>
      <c r="H11920">
        <v>17225</v>
      </c>
      <c r="I11920" t="s">
        <v>30</v>
      </c>
      <c r="J11920" t="s">
        <v>41</v>
      </c>
      <c r="K11920" t="s">
        <v>59</v>
      </c>
      <c r="Q11920">
        <v>0</v>
      </c>
      <c r="R11920">
        <v>27</v>
      </c>
      <c r="S11920">
        <v>27</v>
      </c>
      <c r="T11920" t="s">
        <v>43154</v>
      </c>
    </row>
    <row r="11921" spans="1:20" customFormat="1" ht="15" x14ac:dyDescent="0.25">
      <c r="A11921" t="s">
        <v>35</v>
      </c>
      <c r="B11921" t="s">
        <v>61</v>
      </c>
      <c r="C11921" t="str">
        <f>"A0124045"</f>
        <v>A0124045</v>
      </c>
      <c r="D11921" t="s">
        <v>43155</v>
      </c>
      <c r="E11921" t="s">
        <v>43156</v>
      </c>
      <c r="F11921" t="s">
        <v>19101</v>
      </c>
      <c r="G11921" t="s">
        <v>58</v>
      </c>
      <c r="H11921">
        <v>29801</v>
      </c>
      <c r="I11921" t="s">
        <v>30</v>
      </c>
      <c r="J11921" t="s">
        <v>41</v>
      </c>
      <c r="K11921" t="s">
        <v>229</v>
      </c>
      <c r="Q11921">
        <v>0</v>
      </c>
      <c r="R11921">
        <v>132</v>
      </c>
      <c r="S11921">
        <v>132</v>
      </c>
      <c r="T11921" t="s">
        <v>43157</v>
      </c>
    </row>
    <row r="11922" spans="1:20" customFormat="1" ht="15" x14ac:dyDescent="0.25">
      <c r="A11922" t="s">
        <v>35</v>
      </c>
      <c r="B11922" t="s">
        <v>43067</v>
      </c>
      <c r="C11922" t="str">
        <f>"A0131524"</f>
        <v>A0131524</v>
      </c>
      <c r="D11922" t="s">
        <v>43158</v>
      </c>
      <c r="E11922" t="s">
        <v>43159</v>
      </c>
      <c r="F11922" t="s">
        <v>12071</v>
      </c>
      <c r="G11922" t="s">
        <v>381</v>
      </c>
      <c r="H11922">
        <v>47710</v>
      </c>
      <c r="I11922" t="s">
        <v>30</v>
      </c>
      <c r="J11922" t="s">
        <v>41</v>
      </c>
      <c r="K11922" t="s">
        <v>456</v>
      </c>
      <c r="Q11922">
        <v>0</v>
      </c>
      <c r="R11922">
        <v>40</v>
      </c>
      <c r="S11922">
        <v>40</v>
      </c>
      <c r="T11922" t="s">
        <v>43160</v>
      </c>
    </row>
    <row r="11923" spans="1:20" customFormat="1" ht="15" x14ac:dyDescent="0.25">
      <c r="A11923" t="s">
        <v>35</v>
      </c>
      <c r="B11923" t="s">
        <v>61</v>
      </c>
      <c r="C11923" t="str">
        <f>"A0133725"</f>
        <v>A0133725</v>
      </c>
      <c r="D11923" t="s">
        <v>43161</v>
      </c>
      <c r="E11923" t="s">
        <v>43162</v>
      </c>
      <c r="F11923" t="s">
        <v>21292</v>
      </c>
      <c r="G11923" t="s">
        <v>52</v>
      </c>
      <c r="H11923">
        <v>75672</v>
      </c>
      <c r="I11923" t="s">
        <v>30</v>
      </c>
      <c r="J11923" t="s">
        <v>41</v>
      </c>
      <c r="K11923" t="s">
        <v>59</v>
      </c>
      <c r="Q11923">
        <v>0</v>
      </c>
      <c r="R11923">
        <v>100</v>
      </c>
      <c r="S11923">
        <v>100</v>
      </c>
      <c r="T11923" t="s">
        <v>43163</v>
      </c>
    </row>
    <row r="11924" spans="1:20" customFormat="1" ht="15" x14ac:dyDescent="0.25">
      <c r="A11924" t="s">
        <v>35</v>
      </c>
      <c r="B11924" t="s">
        <v>61</v>
      </c>
      <c r="C11924" t="str">
        <f>"A0132623"</f>
        <v>A0132623</v>
      </c>
      <c r="D11924" t="s">
        <v>43164</v>
      </c>
      <c r="E11924" t="s">
        <v>43165</v>
      </c>
      <c r="F11924" t="s">
        <v>43166</v>
      </c>
      <c r="G11924" t="s">
        <v>65</v>
      </c>
      <c r="H11924">
        <v>456520000</v>
      </c>
      <c r="I11924" t="s">
        <v>30</v>
      </c>
      <c r="J11924" t="s">
        <v>41</v>
      </c>
      <c r="K11924" t="s">
        <v>229</v>
      </c>
      <c r="Q11924">
        <v>0</v>
      </c>
      <c r="R11924">
        <v>14</v>
      </c>
      <c r="S11924">
        <v>14</v>
      </c>
      <c r="T11924" t="s">
        <v>43167</v>
      </c>
    </row>
    <row r="11925" spans="1:20" customFormat="1" ht="15" x14ac:dyDescent="0.25">
      <c r="A11925" t="s">
        <v>35</v>
      </c>
      <c r="B11925" t="s">
        <v>61</v>
      </c>
      <c r="C11925" t="str">
        <f>"A0117909"</f>
        <v>A0117909</v>
      </c>
      <c r="D11925" t="s">
        <v>43168</v>
      </c>
      <c r="E11925" t="s">
        <v>43169</v>
      </c>
      <c r="F11925" t="s">
        <v>4032</v>
      </c>
      <c r="G11925" t="s">
        <v>110</v>
      </c>
      <c r="H11925">
        <v>932111000</v>
      </c>
      <c r="I11925" t="s">
        <v>30</v>
      </c>
      <c r="J11925" t="s">
        <v>41</v>
      </c>
      <c r="K11925" t="s">
        <v>59</v>
      </c>
      <c r="Q11925">
        <v>0</v>
      </c>
      <c r="R11925">
        <v>56</v>
      </c>
      <c r="S11925">
        <v>56</v>
      </c>
      <c r="T11925" t="s">
        <v>43170</v>
      </c>
    </row>
    <row r="11926" spans="1:20" customFormat="1" ht="15" x14ac:dyDescent="0.25">
      <c r="A11926" t="s">
        <v>35</v>
      </c>
      <c r="B11926" t="s">
        <v>61</v>
      </c>
      <c r="C11926" t="str">
        <f>"A0125772"</f>
        <v>A0125772</v>
      </c>
      <c r="D11926" t="s">
        <v>43171</v>
      </c>
      <c r="E11926" t="s">
        <v>43172</v>
      </c>
      <c r="F11926" t="s">
        <v>20330</v>
      </c>
      <c r="G11926" t="s">
        <v>29</v>
      </c>
      <c r="H11926">
        <v>22911</v>
      </c>
      <c r="I11926" t="s">
        <v>30</v>
      </c>
      <c r="J11926" t="s">
        <v>41</v>
      </c>
      <c r="K11926" t="s">
        <v>59</v>
      </c>
      <c r="Q11926">
        <v>0</v>
      </c>
      <c r="R11926">
        <v>72</v>
      </c>
      <c r="S11926">
        <v>72</v>
      </c>
      <c r="T11926" t="s">
        <v>43173</v>
      </c>
    </row>
    <row r="11927" spans="1:20" customFormat="1" ht="15" x14ac:dyDescent="0.25">
      <c r="A11927" t="s">
        <v>35</v>
      </c>
      <c r="B11927" t="s">
        <v>61</v>
      </c>
      <c r="C11927" t="str">
        <f>"A0126069"</f>
        <v>A0126069</v>
      </c>
      <c r="D11927" t="s">
        <v>43174</v>
      </c>
      <c r="E11927" t="s">
        <v>43175</v>
      </c>
      <c r="F11927" t="s">
        <v>6435</v>
      </c>
      <c r="G11927" t="s">
        <v>197</v>
      </c>
      <c r="H11927">
        <v>85210</v>
      </c>
      <c r="I11927" t="s">
        <v>30</v>
      </c>
      <c r="J11927" t="s">
        <v>41</v>
      </c>
      <c r="K11927" t="s">
        <v>59</v>
      </c>
      <c r="Q11927">
        <v>0</v>
      </c>
      <c r="R11927">
        <v>50</v>
      </c>
      <c r="S11927">
        <v>50</v>
      </c>
      <c r="T11927" t="s">
        <v>43176</v>
      </c>
    </row>
    <row r="11928" spans="1:20" customFormat="1" ht="15" x14ac:dyDescent="0.25">
      <c r="A11928" t="s">
        <v>35</v>
      </c>
      <c r="B11928" t="s">
        <v>61</v>
      </c>
      <c r="C11928" t="str">
        <f>"A0126852"</f>
        <v>A0126852</v>
      </c>
      <c r="D11928" t="s">
        <v>43177</v>
      </c>
      <c r="E11928" t="s">
        <v>43178</v>
      </c>
      <c r="F11928" t="s">
        <v>102</v>
      </c>
      <c r="G11928" t="s">
        <v>103</v>
      </c>
      <c r="H11928">
        <v>15227</v>
      </c>
      <c r="I11928" t="s">
        <v>30</v>
      </c>
      <c r="J11928" t="s">
        <v>41</v>
      </c>
      <c r="K11928" t="s">
        <v>59</v>
      </c>
      <c r="Q11928">
        <v>0</v>
      </c>
      <c r="R11928">
        <v>76</v>
      </c>
      <c r="S11928">
        <v>76</v>
      </c>
      <c r="T11928" t="s">
        <v>43179</v>
      </c>
    </row>
    <row r="11929" spans="1:20" customFormat="1" ht="15" x14ac:dyDescent="0.25">
      <c r="A11929" t="s">
        <v>35</v>
      </c>
      <c r="B11929" t="s">
        <v>61</v>
      </c>
      <c r="C11929" t="str">
        <f>"A0123759"</f>
        <v>A0123759</v>
      </c>
      <c r="D11929" t="s">
        <v>43180</v>
      </c>
      <c r="E11929" t="s">
        <v>43181</v>
      </c>
      <c r="F11929" t="s">
        <v>1795</v>
      </c>
      <c r="G11929" t="s">
        <v>29</v>
      </c>
      <c r="H11929">
        <v>23225</v>
      </c>
      <c r="I11929" t="s">
        <v>30</v>
      </c>
      <c r="J11929" t="s">
        <v>41</v>
      </c>
      <c r="K11929" t="s">
        <v>482</v>
      </c>
      <c r="Q11929">
        <v>0</v>
      </c>
      <c r="R11929">
        <v>60</v>
      </c>
      <c r="S11929">
        <v>60</v>
      </c>
      <c r="T11929" t="s">
        <v>43182</v>
      </c>
    </row>
    <row r="11930" spans="1:20" customFormat="1" ht="15" x14ac:dyDescent="0.25">
      <c r="A11930" t="s">
        <v>35</v>
      </c>
      <c r="B11930" t="s">
        <v>61</v>
      </c>
      <c r="C11930" t="str">
        <f>"A0119245"</f>
        <v>A0119245</v>
      </c>
      <c r="D11930" t="s">
        <v>43183</v>
      </c>
      <c r="E11930" t="s">
        <v>43184</v>
      </c>
      <c r="F11930" t="s">
        <v>43185</v>
      </c>
      <c r="G11930" t="s">
        <v>110</v>
      </c>
      <c r="H11930">
        <v>92691</v>
      </c>
      <c r="I11930" t="s">
        <v>30</v>
      </c>
      <c r="J11930" t="s">
        <v>41</v>
      </c>
      <c r="K11930" t="s">
        <v>59</v>
      </c>
      <c r="Q11930">
        <v>0</v>
      </c>
      <c r="R11930">
        <v>225</v>
      </c>
      <c r="S11930">
        <v>225</v>
      </c>
      <c r="T11930" t="s">
        <v>43186</v>
      </c>
    </row>
    <row r="11931" spans="1:20" customFormat="1" ht="15" x14ac:dyDescent="0.25">
      <c r="A11931" t="s">
        <v>35</v>
      </c>
      <c r="B11931" t="s">
        <v>43187</v>
      </c>
      <c r="C11931" t="str">
        <f>"A0127104"</f>
        <v>A0127104</v>
      </c>
      <c r="D11931" t="s">
        <v>43187</v>
      </c>
      <c r="E11931" t="s">
        <v>43188</v>
      </c>
      <c r="F11931" t="s">
        <v>18414</v>
      </c>
      <c r="G11931" t="s">
        <v>103</v>
      </c>
      <c r="H11931">
        <v>17837</v>
      </c>
      <c r="I11931" t="s">
        <v>30</v>
      </c>
      <c r="J11931" t="s">
        <v>41</v>
      </c>
      <c r="K11931" t="s">
        <v>59</v>
      </c>
      <c r="Q11931">
        <v>0</v>
      </c>
      <c r="R11931">
        <v>48</v>
      </c>
      <c r="S11931">
        <v>48</v>
      </c>
      <c r="T11931" t="s">
        <v>43189</v>
      </c>
    </row>
    <row r="11932" spans="1:20" customFormat="1" ht="15" x14ac:dyDescent="0.25">
      <c r="A11932" t="s">
        <v>35</v>
      </c>
      <c r="B11932" t="s">
        <v>43187</v>
      </c>
      <c r="C11932" t="str">
        <f>"A0151121"</f>
        <v>A0151121</v>
      </c>
      <c r="D11932" t="s">
        <v>43190</v>
      </c>
      <c r="E11932" t="s">
        <v>43191</v>
      </c>
      <c r="F11932" t="s">
        <v>30707</v>
      </c>
      <c r="G11932" t="s">
        <v>103</v>
      </c>
      <c r="H11932">
        <v>17756</v>
      </c>
      <c r="I11932" t="s">
        <v>30</v>
      </c>
      <c r="J11932" t="s">
        <v>41</v>
      </c>
      <c r="K11932" t="s">
        <v>59</v>
      </c>
      <c r="Q11932">
        <v>0</v>
      </c>
      <c r="R11932">
        <v>45</v>
      </c>
      <c r="S11932">
        <v>45</v>
      </c>
      <c r="T11932" t="s">
        <v>43192</v>
      </c>
    </row>
    <row r="11933" spans="1:20" customFormat="1" ht="15" x14ac:dyDescent="0.25">
      <c r="A11933" t="s">
        <v>35</v>
      </c>
      <c r="B11933" t="s">
        <v>61</v>
      </c>
      <c r="C11933" t="str">
        <f>"A0131864"</f>
        <v>A0131864</v>
      </c>
      <c r="D11933" t="s">
        <v>43193</v>
      </c>
      <c r="E11933" t="s">
        <v>43194</v>
      </c>
      <c r="F11933" t="s">
        <v>43195</v>
      </c>
      <c r="G11933" t="s">
        <v>65</v>
      </c>
      <c r="H11933">
        <v>45662</v>
      </c>
      <c r="I11933" t="s">
        <v>30</v>
      </c>
      <c r="J11933" t="s">
        <v>41</v>
      </c>
      <c r="K11933" t="s">
        <v>59</v>
      </c>
      <c r="Q11933">
        <v>0</v>
      </c>
      <c r="R11933">
        <v>116</v>
      </c>
      <c r="S11933">
        <v>116</v>
      </c>
      <c r="T11933" t="s">
        <v>43196</v>
      </c>
    </row>
    <row r="11934" spans="1:20" customFormat="1" ht="15" x14ac:dyDescent="0.25">
      <c r="A11934" t="s">
        <v>35</v>
      </c>
      <c r="B11934" t="s">
        <v>61</v>
      </c>
      <c r="C11934" t="str">
        <f>"A0123119"</f>
        <v>A0123119</v>
      </c>
      <c r="D11934" t="s">
        <v>43197</v>
      </c>
      <c r="E11934" t="s">
        <v>43198</v>
      </c>
      <c r="F11934" t="s">
        <v>43199</v>
      </c>
      <c r="G11934" t="s">
        <v>76</v>
      </c>
      <c r="H11934">
        <v>98948</v>
      </c>
      <c r="I11934" t="s">
        <v>30</v>
      </c>
      <c r="J11934" t="s">
        <v>41</v>
      </c>
      <c r="K11934" t="s">
        <v>112</v>
      </c>
      <c r="Q11934">
        <v>0</v>
      </c>
      <c r="R11934">
        <v>0</v>
      </c>
      <c r="S11934">
        <v>0</v>
      </c>
      <c r="T11934" t="s">
        <v>43200</v>
      </c>
    </row>
    <row r="11935" spans="1:20" customFormat="1" ht="15" x14ac:dyDescent="0.25">
      <c r="A11935" t="s">
        <v>35</v>
      </c>
      <c r="B11935" t="s">
        <v>61</v>
      </c>
      <c r="C11935" t="str">
        <f>"A0123118"</f>
        <v>A0123118</v>
      </c>
      <c r="D11935" t="s">
        <v>43201</v>
      </c>
      <c r="E11935" t="s">
        <v>43198</v>
      </c>
      <c r="F11935" t="s">
        <v>43199</v>
      </c>
      <c r="G11935" t="s">
        <v>76</v>
      </c>
      <c r="H11935">
        <v>98948</v>
      </c>
      <c r="I11935" t="s">
        <v>30</v>
      </c>
      <c r="J11935" t="s">
        <v>41</v>
      </c>
      <c r="K11935" t="s">
        <v>112</v>
      </c>
      <c r="Q11935">
        <v>0</v>
      </c>
      <c r="R11935">
        <v>0</v>
      </c>
      <c r="S11935">
        <v>0</v>
      </c>
      <c r="T11935" t="s">
        <v>43200</v>
      </c>
    </row>
    <row r="11936" spans="1:20" customFormat="1" ht="15" x14ac:dyDescent="0.25">
      <c r="A11936" t="s">
        <v>35</v>
      </c>
      <c r="B11936" t="s">
        <v>61</v>
      </c>
      <c r="C11936" t="str">
        <f>"A0121446"</f>
        <v>A0121446</v>
      </c>
      <c r="D11936" t="s">
        <v>43202</v>
      </c>
      <c r="E11936" t="s">
        <v>43203</v>
      </c>
      <c r="F11936" t="s">
        <v>6244</v>
      </c>
      <c r="G11936" t="s">
        <v>110</v>
      </c>
      <c r="H11936">
        <v>93711</v>
      </c>
      <c r="I11936" t="s">
        <v>30</v>
      </c>
      <c r="J11936" t="s">
        <v>41</v>
      </c>
      <c r="K11936" t="s">
        <v>391</v>
      </c>
      <c r="Q11936">
        <v>0</v>
      </c>
      <c r="R11936">
        <v>0</v>
      </c>
      <c r="S11936">
        <v>0</v>
      </c>
      <c r="T11936" t="s">
        <v>43204</v>
      </c>
    </row>
    <row r="11937" spans="1:20" customFormat="1" ht="15" x14ac:dyDescent="0.25">
      <c r="A11937" t="s">
        <v>35</v>
      </c>
      <c r="B11937" t="s">
        <v>61</v>
      </c>
      <c r="C11937" t="str">
        <f>"A0123136"</f>
        <v>A0123136</v>
      </c>
      <c r="D11937" t="s">
        <v>43205</v>
      </c>
      <c r="E11937" t="s">
        <v>43206</v>
      </c>
      <c r="F11937" t="s">
        <v>41572</v>
      </c>
      <c r="G11937" t="s">
        <v>137</v>
      </c>
      <c r="H11937">
        <v>650410000</v>
      </c>
      <c r="I11937" t="s">
        <v>30</v>
      </c>
      <c r="J11937" t="s">
        <v>41</v>
      </c>
      <c r="K11937" t="s">
        <v>3713</v>
      </c>
      <c r="Q11937">
        <v>0</v>
      </c>
      <c r="R11937">
        <v>46</v>
      </c>
      <c r="S11937">
        <v>46</v>
      </c>
      <c r="T11937" t="s">
        <v>43207</v>
      </c>
    </row>
    <row r="11938" spans="1:20" customFormat="1" ht="15" x14ac:dyDescent="0.25">
      <c r="A11938" t="s">
        <v>35</v>
      </c>
      <c r="B11938" t="s">
        <v>61</v>
      </c>
      <c r="C11938" t="str">
        <f>"A0124178"</f>
        <v>A0124178</v>
      </c>
      <c r="D11938" t="s">
        <v>43208</v>
      </c>
      <c r="E11938" t="s">
        <v>43209</v>
      </c>
      <c r="F11938" t="s">
        <v>19203</v>
      </c>
      <c r="G11938" t="s">
        <v>29</v>
      </c>
      <c r="H11938">
        <v>22311</v>
      </c>
      <c r="I11938" t="s">
        <v>30</v>
      </c>
      <c r="J11938" t="s">
        <v>41</v>
      </c>
      <c r="K11938" t="s">
        <v>482</v>
      </c>
      <c r="Q11938">
        <v>0</v>
      </c>
      <c r="R11938">
        <v>321</v>
      </c>
      <c r="S11938">
        <v>321</v>
      </c>
      <c r="T11938" t="s">
        <v>43210</v>
      </c>
    </row>
    <row r="11939" spans="1:20" customFormat="1" ht="15" x14ac:dyDescent="0.25">
      <c r="A11939" t="s">
        <v>35</v>
      </c>
      <c r="B11939" t="s">
        <v>61</v>
      </c>
      <c r="C11939" t="str">
        <f>"A0124308"</f>
        <v>A0124308</v>
      </c>
      <c r="D11939" t="s">
        <v>43211</v>
      </c>
      <c r="E11939" t="s">
        <v>43212</v>
      </c>
      <c r="F11939" t="s">
        <v>4108</v>
      </c>
      <c r="G11939" t="s">
        <v>29</v>
      </c>
      <c r="H11939">
        <v>24017</v>
      </c>
      <c r="I11939" t="s">
        <v>30</v>
      </c>
      <c r="J11939" t="s">
        <v>41</v>
      </c>
      <c r="K11939" t="s">
        <v>482</v>
      </c>
      <c r="Q11939">
        <v>0</v>
      </c>
      <c r="R11939">
        <v>100</v>
      </c>
      <c r="S11939">
        <v>100</v>
      </c>
      <c r="T11939" t="s">
        <v>43213</v>
      </c>
    </row>
    <row r="11940" spans="1:20" customFormat="1" ht="15" x14ac:dyDescent="0.25">
      <c r="A11940" t="s">
        <v>35</v>
      </c>
      <c r="B11940" t="s">
        <v>61</v>
      </c>
      <c r="C11940" t="str">
        <f>"A0124179"</f>
        <v>A0124179</v>
      </c>
      <c r="D11940" t="s">
        <v>43214</v>
      </c>
      <c r="E11940" t="s">
        <v>43215</v>
      </c>
      <c r="F11940" t="s">
        <v>41800</v>
      </c>
      <c r="G11940" t="s">
        <v>29</v>
      </c>
      <c r="H11940">
        <v>23417</v>
      </c>
      <c r="I11940" t="s">
        <v>30</v>
      </c>
      <c r="J11940" t="s">
        <v>41</v>
      </c>
      <c r="K11940" t="s">
        <v>59</v>
      </c>
      <c r="Q11940">
        <v>0</v>
      </c>
      <c r="R11940">
        <v>195</v>
      </c>
      <c r="S11940">
        <v>195</v>
      </c>
      <c r="T11940" t="s">
        <v>43216</v>
      </c>
    </row>
    <row r="11941" spans="1:20" customFormat="1" ht="15" x14ac:dyDescent="0.25">
      <c r="A11941" t="s">
        <v>35</v>
      </c>
      <c r="B11941" t="s">
        <v>61</v>
      </c>
      <c r="C11941" t="str">
        <f>"A0123358"</f>
        <v>A0123358</v>
      </c>
      <c r="D11941" t="s">
        <v>43217</v>
      </c>
      <c r="E11941" t="s">
        <v>43218</v>
      </c>
      <c r="F11941" t="s">
        <v>37286</v>
      </c>
      <c r="G11941" t="s">
        <v>214</v>
      </c>
      <c r="H11941">
        <v>28358</v>
      </c>
      <c r="I11941" t="s">
        <v>30</v>
      </c>
      <c r="J11941" t="s">
        <v>41</v>
      </c>
      <c r="K11941" t="s">
        <v>482</v>
      </c>
      <c r="Q11941">
        <v>0</v>
      </c>
      <c r="R11941">
        <v>62</v>
      </c>
      <c r="S11941">
        <v>62</v>
      </c>
      <c r="T11941" t="s">
        <v>43219</v>
      </c>
    </row>
    <row r="11942" spans="1:20" customFormat="1" ht="15" x14ac:dyDescent="0.25">
      <c r="A11942" t="s">
        <v>35</v>
      </c>
      <c r="B11942" t="s">
        <v>61</v>
      </c>
      <c r="C11942" t="str">
        <f>"A0123359"</f>
        <v>A0123359</v>
      </c>
      <c r="D11942" t="s">
        <v>43220</v>
      </c>
      <c r="E11942" t="s">
        <v>43221</v>
      </c>
      <c r="F11942" t="s">
        <v>43222</v>
      </c>
      <c r="G11942" t="s">
        <v>214</v>
      </c>
      <c r="H11942">
        <v>28376</v>
      </c>
      <c r="I11942" t="s">
        <v>30</v>
      </c>
      <c r="J11942" t="s">
        <v>41</v>
      </c>
      <c r="K11942" t="s">
        <v>482</v>
      </c>
      <c r="Q11942">
        <v>0</v>
      </c>
      <c r="R11942">
        <v>0</v>
      </c>
      <c r="S11942">
        <v>0</v>
      </c>
    </row>
    <row r="11943" spans="1:20" customFormat="1" ht="15" x14ac:dyDescent="0.25">
      <c r="A11943" t="s">
        <v>35</v>
      </c>
      <c r="B11943" t="s">
        <v>61</v>
      </c>
      <c r="C11943" t="str">
        <f>"A0151231"</f>
        <v>A0151231</v>
      </c>
      <c r="D11943" t="s">
        <v>43223</v>
      </c>
      <c r="E11943" t="s">
        <v>43224</v>
      </c>
      <c r="F11943" t="s">
        <v>1079</v>
      </c>
      <c r="G11943" t="s">
        <v>76</v>
      </c>
      <c r="H11943">
        <v>98332</v>
      </c>
      <c r="I11943" t="s">
        <v>30</v>
      </c>
      <c r="J11943" t="s">
        <v>41</v>
      </c>
      <c r="K11943" t="s">
        <v>1440</v>
      </c>
      <c r="Q11943">
        <v>0</v>
      </c>
      <c r="R11943">
        <v>150</v>
      </c>
      <c r="S11943">
        <v>150</v>
      </c>
      <c r="T11943" t="s">
        <v>43225</v>
      </c>
    </row>
    <row r="11944" spans="1:20" customFormat="1" ht="15" x14ac:dyDescent="0.25">
      <c r="A11944" t="s">
        <v>35</v>
      </c>
      <c r="B11944" t="s">
        <v>61</v>
      </c>
      <c r="C11944" t="str">
        <f>"A0130098"</f>
        <v>A0130098</v>
      </c>
      <c r="D11944" t="s">
        <v>43226</v>
      </c>
      <c r="E11944" t="s">
        <v>43227</v>
      </c>
      <c r="F11944" t="s">
        <v>2743</v>
      </c>
      <c r="G11944" t="s">
        <v>880</v>
      </c>
      <c r="H11944">
        <v>38320</v>
      </c>
      <c r="I11944" t="s">
        <v>30</v>
      </c>
      <c r="J11944" t="s">
        <v>41</v>
      </c>
      <c r="K11944" t="s">
        <v>418</v>
      </c>
      <c r="Q11944">
        <v>0</v>
      </c>
      <c r="R11944">
        <v>0</v>
      </c>
      <c r="S11944">
        <v>0</v>
      </c>
      <c r="T11944" t="s">
        <v>43228</v>
      </c>
    </row>
    <row r="11945" spans="1:20" customFormat="1" ht="15" x14ac:dyDescent="0.25">
      <c r="A11945" t="s">
        <v>35</v>
      </c>
      <c r="B11945" t="s">
        <v>61</v>
      </c>
      <c r="C11945" t="str">
        <f>"A0127535"</f>
        <v>A0127535</v>
      </c>
      <c r="D11945" t="s">
        <v>43229</v>
      </c>
      <c r="E11945" t="s">
        <v>43230</v>
      </c>
      <c r="F11945" t="s">
        <v>1298</v>
      </c>
      <c r="G11945" t="s">
        <v>123</v>
      </c>
      <c r="H11945">
        <v>21045</v>
      </c>
      <c r="I11945" t="s">
        <v>30</v>
      </c>
      <c r="J11945" t="s">
        <v>41</v>
      </c>
      <c r="K11945" t="s">
        <v>33536</v>
      </c>
      <c r="Q11945">
        <v>0</v>
      </c>
      <c r="R11945">
        <v>1</v>
      </c>
      <c r="S11945">
        <v>1</v>
      </c>
      <c r="T11945" t="s">
        <v>43231</v>
      </c>
    </row>
    <row r="11946" spans="1:20" customFormat="1" ht="15" x14ac:dyDescent="0.25">
      <c r="A11946" t="s">
        <v>35</v>
      </c>
      <c r="B11946" t="s">
        <v>61</v>
      </c>
      <c r="C11946" t="str">
        <f>"A0119242"</f>
        <v>A0119242</v>
      </c>
      <c r="D11946" t="s">
        <v>43232</v>
      </c>
      <c r="E11946" t="s">
        <v>43233</v>
      </c>
      <c r="F11946" t="s">
        <v>14779</v>
      </c>
      <c r="G11946" t="s">
        <v>110</v>
      </c>
      <c r="H11946">
        <v>95628</v>
      </c>
      <c r="I11946" t="s">
        <v>30</v>
      </c>
      <c r="J11946" t="s">
        <v>41</v>
      </c>
      <c r="K11946" t="s">
        <v>1032</v>
      </c>
      <c r="Q11946">
        <v>0</v>
      </c>
      <c r="R11946">
        <v>6</v>
      </c>
      <c r="S11946">
        <v>6</v>
      </c>
      <c r="T11946" t="s">
        <v>43234</v>
      </c>
    </row>
    <row r="11947" spans="1:20" customFormat="1" ht="15" x14ac:dyDescent="0.25">
      <c r="A11947" t="s">
        <v>35</v>
      </c>
      <c r="B11947" t="s">
        <v>61</v>
      </c>
      <c r="C11947" t="str">
        <f>"A0128831"</f>
        <v>A0128831</v>
      </c>
      <c r="D11947" t="s">
        <v>43235</v>
      </c>
      <c r="E11947" t="s">
        <v>43236</v>
      </c>
      <c r="F11947" t="s">
        <v>43237</v>
      </c>
      <c r="G11947" t="s">
        <v>289</v>
      </c>
      <c r="H11947">
        <v>62557</v>
      </c>
      <c r="I11947" t="s">
        <v>30</v>
      </c>
      <c r="J11947" t="s">
        <v>41</v>
      </c>
      <c r="K11947" t="s">
        <v>59</v>
      </c>
      <c r="Q11947">
        <v>0</v>
      </c>
      <c r="R11947">
        <v>54</v>
      </c>
      <c r="S11947">
        <v>54</v>
      </c>
      <c r="T11947" t="s">
        <v>43238</v>
      </c>
    </row>
    <row r="11948" spans="1:20" customFormat="1" ht="15" x14ac:dyDescent="0.25">
      <c r="A11948" t="s">
        <v>35</v>
      </c>
      <c r="B11948" t="s">
        <v>61</v>
      </c>
      <c r="C11948" t="str">
        <f>"A0128848"</f>
        <v>A0128848</v>
      </c>
      <c r="D11948" t="s">
        <v>43239</v>
      </c>
      <c r="E11948" t="s">
        <v>43240</v>
      </c>
      <c r="F11948" t="s">
        <v>8151</v>
      </c>
      <c r="G11948" t="s">
        <v>289</v>
      </c>
      <c r="H11948">
        <v>62568</v>
      </c>
      <c r="I11948" t="s">
        <v>30</v>
      </c>
      <c r="J11948" t="s">
        <v>41</v>
      </c>
      <c r="K11948" t="s">
        <v>59</v>
      </c>
      <c r="Q11948">
        <v>0</v>
      </c>
      <c r="R11948">
        <v>50</v>
      </c>
      <c r="S11948">
        <v>50</v>
      </c>
      <c r="T11948" t="s">
        <v>43241</v>
      </c>
    </row>
    <row r="11949" spans="1:20" customFormat="1" ht="15" x14ac:dyDescent="0.25">
      <c r="A11949" t="s">
        <v>35</v>
      </c>
      <c r="B11949" t="s">
        <v>61</v>
      </c>
      <c r="C11949" t="str">
        <f>"A0125682"</f>
        <v>A0125682</v>
      </c>
      <c r="D11949" t="s">
        <v>43242</v>
      </c>
      <c r="E11949" t="s">
        <v>43243</v>
      </c>
      <c r="F11949" t="s">
        <v>43244</v>
      </c>
      <c r="G11949" t="s">
        <v>29</v>
      </c>
      <c r="H11949">
        <v>23922</v>
      </c>
      <c r="I11949" t="s">
        <v>30</v>
      </c>
      <c r="J11949" t="s">
        <v>41</v>
      </c>
      <c r="K11949" t="s">
        <v>1440</v>
      </c>
      <c r="Q11949">
        <v>0</v>
      </c>
      <c r="R11949">
        <v>120</v>
      </c>
      <c r="S11949">
        <v>120</v>
      </c>
      <c r="T11949" t="s">
        <v>43245</v>
      </c>
    </row>
    <row r="11950" spans="1:20" customFormat="1" ht="15" x14ac:dyDescent="0.25">
      <c r="A11950" t="s">
        <v>35</v>
      </c>
      <c r="B11950" t="s">
        <v>61</v>
      </c>
      <c r="C11950" t="str">
        <f>"A0128539"</f>
        <v>A0128539</v>
      </c>
      <c r="D11950" t="s">
        <v>43246</v>
      </c>
      <c r="E11950" t="s">
        <v>43247</v>
      </c>
      <c r="F11950" t="s">
        <v>6729</v>
      </c>
      <c r="G11950" t="s">
        <v>840</v>
      </c>
      <c r="H11950">
        <v>42633</v>
      </c>
      <c r="I11950" t="s">
        <v>30</v>
      </c>
      <c r="J11950" t="s">
        <v>41</v>
      </c>
      <c r="K11950" t="s">
        <v>229</v>
      </c>
      <c r="Q11950">
        <v>0</v>
      </c>
      <c r="R11950">
        <v>60</v>
      </c>
      <c r="S11950">
        <v>60</v>
      </c>
      <c r="T11950" t="s">
        <v>43248</v>
      </c>
    </row>
    <row r="11951" spans="1:20" customFormat="1" ht="15" x14ac:dyDescent="0.25">
      <c r="A11951" t="s">
        <v>35</v>
      </c>
      <c r="B11951" t="s">
        <v>61</v>
      </c>
      <c r="C11951" t="str">
        <f>"A0133102"</f>
        <v>A0133102</v>
      </c>
      <c r="D11951" t="s">
        <v>43249</v>
      </c>
      <c r="E11951" t="s">
        <v>43250</v>
      </c>
      <c r="F11951" t="s">
        <v>43251</v>
      </c>
      <c r="G11951" t="s">
        <v>52</v>
      </c>
      <c r="H11951">
        <v>764570000</v>
      </c>
      <c r="I11951" t="s">
        <v>30</v>
      </c>
      <c r="J11951" t="s">
        <v>41</v>
      </c>
      <c r="K11951" t="s">
        <v>229</v>
      </c>
      <c r="Q11951">
        <v>0</v>
      </c>
      <c r="R11951">
        <v>40</v>
      </c>
      <c r="S11951">
        <v>40</v>
      </c>
      <c r="T11951" t="s">
        <v>43252</v>
      </c>
    </row>
    <row r="11952" spans="1:20" customFormat="1" ht="15" x14ac:dyDescent="0.25">
      <c r="A11952" t="s">
        <v>35</v>
      </c>
      <c r="B11952" t="s">
        <v>61</v>
      </c>
      <c r="C11952" t="str">
        <f>"A0131628"</f>
        <v>A0131628</v>
      </c>
      <c r="D11952" t="s">
        <v>43253</v>
      </c>
      <c r="E11952" t="s">
        <v>43254</v>
      </c>
      <c r="F11952" t="s">
        <v>43255</v>
      </c>
      <c r="G11952" t="s">
        <v>65</v>
      </c>
      <c r="H11952">
        <v>44813</v>
      </c>
      <c r="I11952" t="s">
        <v>30</v>
      </c>
      <c r="J11952" t="s">
        <v>41</v>
      </c>
      <c r="K11952" t="s">
        <v>42</v>
      </c>
      <c r="Q11952">
        <v>0</v>
      </c>
      <c r="R11952">
        <v>0</v>
      </c>
      <c r="S11952">
        <v>0</v>
      </c>
      <c r="T11952" t="s">
        <v>43256</v>
      </c>
    </row>
    <row r="11953" spans="1:20" customFormat="1" ht="15" x14ac:dyDescent="0.25">
      <c r="A11953" t="s">
        <v>35</v>
      </c>
      <c r="B11953" t="s">
        <v>61</v>
      </c>
      <c r="C11953" t="str">
        <f>"A0153292"</f>
        <v>A0153292</v>
      </c>
      <c r="D11953" t="s">
        <v>43257</v>
      </c>
      <c r="E11953" t="s">
        <v>43258</v>
      </c>
      <c r="F11953" t="s">
        <v>43259</v>
      </c>
      <c r="G11953" t="s">
        <v>1184</v>
      </c>
      <c r="H11953">
        <v>59912</v>
      </c>
      <c r="I11953" t="s">
        <v>30</v>
      </c>
      <c r="J11953" t="s">
        <v>41</v>
      </c>
      <c r="K11953" t="s">
        <v>59</v>
      </c>
      <c r="Q11953">
        <v>0</v>
      </c>
      <c r="R11953">
        <v>40</v>
      </c>
      <c r="S11953">
        <v>40</v>
      </c>
      <c r="T11953" t="s">
        <v>43260</v>
      </c>
    </row>
    <row r="11954" spans="1:20" customFormat="1" ht="15" x14ac:dyDescent="0.25">
      <c r="A11954" t="s">
        <v>35</v>
      </c>
      <c r="B11954" t="s">
        <v>61</v>
      </c>
      <c r="C11954" t="str">
        <f>"A0125683"</f>
        <v>A0125683</v>
      </c>
      <c r="D11954" t="s">
        <v>43261</v>
      </c>
      <c r="E11954" t="s">
        <v>43262</v>
      </c>
      <c r="F11954" t="s">
        <v>37549</v>
      </c>
      <c r="G11954" t="s">
        <v>29</v>
      </c>
      <c r="H11954">
        <v>22610</v>
      </c>
      <c r="I11954" t="s">
        <v>30</v>
      </c>
      <c r="J11954" t="s">
        <v>41</v>
      </c>
      <c r="K11954" t="s">
        <v>59</v>
      </c>
      <c r="Q11954">
        <v>0</v>
      </c>
      <c r="R11954">
        <v>36</v>
      </c>
      <c r="S11954">
        <v>36</v>
      </c>
      <c r="T11954" t="s">
        <v>43263</v>
      </c>
    </row>
    <row r="11955" spans="1:20" customFormat="1" ht="15" x14ac:dyDescent="0.25">
      <c r="A11955" t="s">
        <v>35</v>
      </c>
      <c r="B11955" t="s">
        <v>61</v>
      </c>
      <c r="C11955" t="str">
        <f>"A0130899"</f>
        <v>A0130899</v>
      </c>
      <c r="D11955" t="s">
        <v>43264</v>
      </c>
      <c r="E11955" t="s">
        <v>43265</v>
      </c>
      <c r="F11955" t="s">
        <v>17360</v>
      </c>
      <c r="G11955" t="s">
        <v>137</v>
      </c>
      <c r="H11955">
        <v>638410000</v>
      </c>
      <c r="I11955" t="s">
        <v>30</v>
      </c>
      <c r="J11955" t="s">
        <v>41</v>
      </c>
      <c r="K11955" t="s">
        <v>2760</v>
      </c>
      <c r="Q11955">
        <v>0</v>
      </c>
      <c r="R11955">
        <v>1</v>
      </c>
      <c r="S11955">
        <v>1</v>
      </c>
      <c r="T11955" t="s">
        <v>43266</v>
      </c>
    </row>
    <row r="11956" spans="1:20" customFormat="1" ht="15" x14ac:dyDescent="0.25">
      <c r="A11956" t="s">
        <v>35</v>
      </c>
      <c r="B11956" t="s">
        <v>61</v>
      </c>
      <c r="C11956" t="str">
        <f>"A0121376"</f>
        <v>A0121376</v>
      </c>
      <c r="D11956" t="s">
        <v>43267</v>
      </c>
      <c r="E11956" t="s">
        <v>43268</v>
      </c>
      <c r="F11956" t="s">
        <v>40314</v>
      </c>
      <c r="G11956" t="s">
        <v>153</v>
      </c>
      <c r="H11956">
        <v>84404</v>
      </c>
      <c r="I11956" t="s">
        <v>30</v>
      </c>
      <c r="J11956" t="s">
        <v>41</v>
      </c>
      <c r="K11956" t="s">
        <v>59</v>
      </c>
      <c r="Q11956">
        <v>0</v>
      </c>
      <c r="R11956">
        <v>64</v>
      </c>
      <c r="S11956">
        <v>64</v>
      </c>
      <c r="T11956" t="s">
        <v>43269</v>
      </c>
    </row>
    <row r="11957" spans="1:20" customFormat="1" ht="15" x14ac:dyDescent="0.25">
      <c r="A11957" t="s">
        <v>35</v>
      </c>
      <c r="B11957" t="s">
        <v>61</v>
      </c>
      <c r="C11957" t="str">
        <f>"A0123360"</f>
        <v>A0123360</v>
      </c>
      <c r="D11957" t="s">
        <v>43270</v>
      </c>
      <c r="E11957" t="s">
        <v>43271</v>
      </c>
      <c r="F11957" t="s">
        <v>43272</v>
      </c>
      <c r="G11957" t="s">
        <v>507</v>
      </c>
      <c r="H11957">
        <v>25901</v>
      </c>
      <c r="I11957" t="s">
        <v>30</v>
      </c>
      <c r="J11957" t="s">
        <v>41</v>
      </c>
      <c r="K11957" t="s">
        <v>229</v>
      </c>
      <c r="Q11957">
        <v>0</v>
      </c>
      <c r="R11957">
        <v>80</v>
      </c>
      <c r="S11957">
        <v>80</v>
      </c>
      <c r="T11957" t="s">
        <v>43273</v>
      </c>
    </row>
    <row r="11958" spans="1:20" customFormat="1" ht="15" x14ac:dyDescent="0.25">
      <c r="A11958" t="s">
        <v>35</v>
      </c>
      <c r="B11958" t="s">
        <v>61</v>
      </c>
      <c r="C11958" t="str">
        <f>"A0123361"</f>
        <v>A0123361</v>
      </c>
      <c r="D11958" t="s">
        <v>43274</v>
      </c>
      <c r="E11958" t="s">
        <v>43275</v>
      </c>
      <c r="F11958" t="s">
        <v>1382</v>
      </c>
      <c r="G11958" t="s">
        <v>29</v>
      </c>
      <c r="H11958">
        <v>23606</v>
      </c>
      <c r="I11958" t="s">
        <v>30</v>
      </c>
      <c r="J11958" t="s">
        <v>41</v>
      </c>
      <c r="K11958" t="s">
        <v>11521</v>
      </c>
      <c r="Q11958">
        <v>0</v>
      </c>
      <c r="R11958">
        <v>0</v>
      </c>
      <c r="S11958">
        <v>0</v>
      </c>
      <c r="T11958" t="s">
        <v>43276</v>
      </c>
    </row>
    <row r="11959" spans="1:20" customFormat="1" ht="15" x14ac:dyDescent="0.25">
      <c r="A11959" t="s">
        <v>35</v>
      </c>
      <c r="B11959" t="s">
        <v>61</v>
      </c>
      <c r="C11959" t="str">
        <f>"A0118334"</f>
        <v>A0118334</v>
      </c>
      <c r="D11959" t="s">
        <v>43277</v>
      </c>
      <c r="E11959" t="s">
        <v>43278</v>
      </c>
      <c r="F11959" t="s">
        <v>43279</v>
      </c>
      <c r="G11959" t="s">
        <v>110</v>
      </c>
      <c r="H11959">
        <v>93555</v>
      </c>
      <c r="I11959" t="s">
        <v>30</v>
      </c>
      <c r="J11959" t="s">
        <v>41</v>
      </c>
      <c r="K11959" t="s">
        <v>59</v>
      </c>
      <c r="Q11959">
        <v>0</v>
      </c>
      <c r="R11959">
        <v>25</v>
      </c>
      <c r="S11959">
        <v>25</v>
      </c>
      <c r="T11959" t="s">
        <v>43280</v>
      </c>
    </row>
    <row r="11960" spans="1:20" customFormat="1" ht="15" x14ac:dyDescent="0.25">
      <c r="A11960" t="s">
        <v>35</v>
      </c>
      <c r="B11960" t="s">
        <v>437</v>
      </c>
      <c r="C11960" t="str">
        <f>"A0133942"</f>
        <v>A0133942</v>
      </c>
      <c r="D11960" t="s">
        <v>43281</v>
      </c>
      <c r="E11960" t="s">
        <v>43282</v>
      </c>
      <c r="F11960" t="s">
        <v>875</v>
      </c>
      <c r="G11960" t="s">
        <v>190</v>
      </c>
      <c r="H11960">
        <v>80517</v>
      </c>
      <c r="I11960" t="s">
        <v>30</v>
      </c>
      <c r="J11960" t="s">
        <v>441</v>
      </c>
      <c r="K11960" t="s">
        <v>42</v>
      </c>
      <c r="Q11960">
        <v>0</v>
      </c>
      <c r="R11960">
        <v>0</v>
      </c>
      <c r="S11960">
        <v>0</v>
      </c>
      <c r="T11960" t="s">
        <v>43283</v>
      </c>
    </row>
    <row r="11961" spans="1:20" customFormat="1" ht="15" x14ac:dyDescent="0.25">
      <c r="A11961" t="s">
        <v>35</v>
      </c>
      <c r="B11961" t="s">
        <v>61</v>
      </c>
      <c r="C11961" t="str">
        <f>"A0123761"</f>
        <v>A0123761</v>
      </c>
      <c r="D11961" t="s">
        <v>43284</v>
      </c>
      <c r="E11961" t="s">
        <v>43285</v>
      </c>
      <c r="F11961" t="s">
        <v>15690</v>
      </c>
      <c r="G11961" t="s">
        <v>214</v>
      </c>
      <c r="H11961">
        <v>27320</v>
      </c>
      <c r="I11961" t="s">
        <v>30</v>
      </c>
      <c r="J11961" t="s">
        <v>41</v>
      </c>
      <c r="K11961" t="s">
        <v>229</v>
      </c>
      <c r="Q11961">
        <v>0</v>
      </c>
      <c r="R11961">
        <v>50</v>
      </c>
      <c r="S11961">
        <v>50</v>
      </c>
      <c r="T11961" t="s">
        <v>43286</v>
      </c>
    </row>
    <row r="11962" spans="1:20" customFormat="1" ht="15" x14ac:dyDescent="0.25">
      <c r="A11962" t="s">
        <v>35</v>
      </c>
      <c r="B11962" t="s">
        <v>61</v>
      </c>
      <c r="C11962" t="str">
        <f>"A0123762"</f>
        <v>A0123762</v>
      </c>
      <c r="D11962" t="s">
        <v>43287</v>
      </c>
      <c r="E11962" t="s">
        <v>43285</v>
      </c>
      <c r="F11962" t="s">
        <v>15690</v>
      </c>
      <c r="G11962" t="s">
        <v>214</v>
      </c>
      <c r="H11962">
        <v>27320</v>
      </c>
      <c r="I11962" t="s">
        <v>30</v>
      </c>
      <c r="J11962" t="s">
        <v>41</v>
      </c>
      <c r="K11962" t="s">
        <v>482</v>
      </c>
      <c r="Q11962">
        <v>0</v>
      </c>
      <c r="R11962">
        <v>60</v>
      </c>
      <c r="S11962">
        <v>60</v>
      </c>
      <c r="T11962" t="s">
        <v>43286</v>
      </c>
    </row>
    <row r="11963" spans="1:20" customFormat="1" ht="15" x14ac:dyDescent="0.25">
      <c r="A11963" t="s">
        <v>35</v>
      </c>
      <c r="B11963" t="s">
        <v>106</v>
      </c>
      <c r="C11963" t="str">
        <f>"A0135392"</f>
        <v>A0135392</v>
      </c>
      <c r="D11963" t="s">
        <v>43288</v>
      </c>
      <c r="E11963" t="s">
        <v>43289</v>
      </c>
      <c r="F11963" t="s">
        <v>10873</v>
      </c>
      <c r="G11963" t="s">
        <v>289</v>
      </c>
      <c r="H11963">
        <v>61032</v>
      </c>
      <c r="I11963" t="s">
        <v>30</v>
      </c>
      <c r="J11963" t="s">
        <v>111</v>
      </c>
      <c r="K11963" t="s">
        <v>112</v>
      </c>
      <c r="Q11963">
        <v>0</v>
      </c>
      <c r="R11963">
        <v>0</v>
      </c>
      <c r="S11963">
        <v>0</v>
      </c>
      <c r="T11963" t="s">
        <v>43290</v>
      </c>
    </row>
    <row r="11964" spans="1:20" customFormat="1" ht="15" x14ac:dyDescent="0.25">
      <c r="A11964" t="s">
        <v>35</v>
      </c>
      <c r="B11964" t="s">
        <v>61</v>
      </c>
      <c r="C11964" t="str">
        <f>"A0123036"</f>
        <v>A0123036</v>
      </c>
      <c r="D11964" t="s">
        <v>43291</v>
      </c>
      <c r="E11964" t="s">
        <v>43292</v>
      </c>
      <c r="F11964" t="s">
        <v>10919</v>
      </c>
      <c r="G11964" t="s">
        <v>76</v>
      </c>
      <c r="H11964">
        <v>98362</v>
      </c>
      <c r="I11964" t="s">
        <v>30</v>
      </c>
      <c r="J11964" t="s">
        <v>41</v>
      </c>
      <c r="K11964" t="s">
        <v>1032</v>
      </c>
      <c r="Q11964">
        <v>0</v>
      </c>
      <c r="R11964">
        <v>43</v>
      </c>
      <c r="S11964">
        <v>43</v>
      </c>
      <c r="T11964" t="s">
        <v>43293</v>
      </c>
    </row>
    <row r="11965" spans="1:20" customFormat="1" ht="15" x14ac:dyDescent="0.25">
      <c r="A11965" t="s">
        <v>35</v>
      </c>
      <c r="B11965" t="s">
        <v>61</v>
      </c>
      <c r="C11965" t="str">
        <f>"A0125644"</f>
        <v>A0125644</v>
      </c>
      <c r="D11965" t="s">
        <v>43294</v>
      </c>
      <c r="E11965" t="s">
        <v>43295</v>
      </c>
      <c r="F11965" t="s">
        <v>7267</v>
      </c>
      <c r="G11965" t="s">
        <v>153</v>
      </c>
      <c r="H11965">
        <v>84106</v>
      </c>
      <c r="I11965" t="s">
        <v>30</v>
      </c>
      <c r="J11965" t="s">
        <v>41</v>
      </c>
      <c r="K11965" t="s">
        <v>59</v>
      </c>
      <c r="Q11965">
        <v>0</v>
      </c>
      <c r="R11965">
        <v>125</v>
      </c>
      <c r="S11965">
        <v>125</v>
      </c>
      <c r="T11965" t="s">
        <v>43296</v>
      </c>
    </row>
    <row r="11966" spans="1:20" customFormat="1" ht="15" x14ac:dyDescent="0.25">
      <c r="A11966" t="s">
        <v>35</v>
      </c>
      <c r="B11966" t="s">
        <v>61</v>
      </c>
      <c r="C11966" t="str">
        <f>"A0123362"</f>
        <v>A0123362</v>
      </c>
      <c r="D11966" t="s">
        <v>43297</v>
      </c>
      <c r="E11966" t="s">
        <v>43298</v>
      </c>
      <c r="F11966" t="s">
        <v>1747</v>
      </c>
      <c r="G11966" t="s">
        <v>214</v>
      </c>
      <c r="H11966">
        <v>28301</v>
      </c>
      <c r="I11966" t="s">
        <v>30</v>
      </c>
      <c r="J11966" t="s">
        <v>41</v>
      </c>
      <c r="K11966" t="s">
        <v>59</v>
      </c>
      <c r="Q11966">
        <v>0</v>
      </c>
      <c r="R11966">
        <v>1</v>
      </c>
      <c r="S11966">
        <v>1</v>
      </c>
      <c r="T11966" t="s">
        <v>43299</v>
      </c>
    </row>
    <row r="11967" spans="1:20" customFormat="1" ht="15" x14ac:dyDescent="0.25">
      <c r="A11967" t="s">
        <v>35</v>
      </c>
      <c r="B11967" t="s">
        <v>61</v>
      </c>
      <c r="C11967" t="str">
        <f>"A0128882"</f>
        <v>A0128882</v>
      </c>
      <c r="D11967" t="s">
        <v>9921</v>
      </c>
      <c r="E11967" t="s">
        <v>43300</v>
      </c>
      <c r="F11967" t="s">
        <v>9923</v>
      </c>
      <c r="G11967" t="s">
        <v>289</v>
      </c>
      <c r="H11967">
        <v>60123</v>
      </c>
      <c r="I11967" t="s">
        <v>30</v>
      </c>
      <c r="J11967" t="s">
        <v>41</v>
      </c>
      <c r="K11967" t="s">
        <v>229</v>
      </c>
      <c r="Q11967">
        <v>0</v>
      </c>
      <c r="R11967">
        <v>50</v>
      </c>
      <c r="S11967">
        <v>50</v>
      </c>
      <c r="T11967" t="s">
        <v>43301</v>
      </c>
    </row>
    <row r="11968" spans="1:20" customFormat="1" ht="15" x14ac:dyDescent="0.25">
      <c r="A11968" t="s">
        <v>35</v>
      </c>
      <c r="B11968" t="s">
        <v>61</v>
      </c>
      <c r="C11968" t="str">
        <f>"A0150865"</f>
        <v>A0150865</v>
      </c>
      <c r="D11968" t="s">
        <v>43302</v>
      </c>
      <c r="E11968" t="s">
        <v>43303</v>
      </c>
      <c r="F11968" t="s">
        <v>37257</v>
      </c>
      <c r="G11968" t="s">
        <v>840</v>
      </c>
      <c r="H11968">
        <v>42102</v>
      </c>
      <c r="I11968" t="s">
        <v>30</v>
      </c>
      <c r="J11968" t="s">
        <v>41</v>
      </c>
      <c r="K11968" t="s">
        <v>59</v>
      </c>
      <c r="Q11968">
        <v>0</v>
      </c>
      <c r="R11968">
        <v>50</v>
      </c>
      <c r="S11968">
        <v>50</v>
      </c>
      <c r="T11968" t="s">
        <v>43304</v>
      </c>
    </row>
    <row r="11969" spans="1:20" customFormat="1" ht="15" x14ac:dyDescent="0.25">
      <c r="A11969" t="s">
        <v>35</v>
      </c>
      <c r="B11969" t="s">
        <v>61</v>
      </c>
      <c r="C11969" t="str">
        <f>"A0128470"</f>
        <v>A0128470</v>
      </c>
      <c r="D11969" t="s">
        <v>43305</v>
      </c>
      <c r="E11969" t="s">
        <v>43295</v>
      </c>
      <c r="F11969" t="s">
        <v>7267</v>
      </c>
      <c r="G11969" t="s">
        <v>153</v>
      </c>
      <c r="H11969">
        <v>84106</v>
      </c>
      <c r="I11969" t="s">
        <v>30</v>
      </c>
      <c r="J11969" t="s">
        <v>41</v>
      </c>
      <c r="K11969" t="s">
        <v>59</v>
      </c>
      <c r="Q11969">
        <v>0</v>
      </c>
      <c r="R11969">
        <v>102</v>
      </c>
      <c r="S11969">
        <v>102</v>
      </c>
      <c r="T11969" t="s">
        <v>43296</v>
      </c>
    </row>
    <row r="11970" spans="1:20" customFormat="1" ht="15" x14ac:dyDescent="0.25">
      <c r="A11970" t="s">
        <v>35</v>
      </c>
      <c r="B11970" t="s">
        <v>61</v>
      </c>
      <c r="C11970" t="str">
        <f>"A0128581"</f>
        <v>A0128581</v>
      </c>
      <c r="D11970" t="s">
        <v>43306</v>
      </c>
      <c r="E11970" t="s">
        <v>43307</v>
      </c>
      <c r="F11970" t="s">
        <v>43308</v>
      </c>
      <c r="G11970" t="s">
        <v>840</v>
      </c>
      <c r="H11970">
        <v>41075</v>
      </c>
      <c r="I11970" t="s">
        <v>30</v>
      </c>
      <c r="J11970" t="s">
        <v>41</v>
      </c>
      <c r="K11970" t="s">
        <v>42</v>
      </c>
      <c r="Q11970">
        <v>0</v>
      </c>
      <c r="R11970">
        <v>150</v>
      </c>
      <c r="S11970">
        <v>150</v>
      </c>
      <c r="T11970" t="s">
        <v>43309</v>
      </c>
    </row>
    <row r="11971" spans="1:20" customFormat="1" ht="15" x14ac:dyDescent="0.25">
      <c r="A11971" t="s">
        <v>35</v>
      </c>
      <c r="B11971" t="s">
        <v>106</v>
      </c>
      <c r="C11971" t="str">
        <f>"A0136264"</f>
        <v>A0136264</v>
      </c>
      <c r="D11971" t="s">
        <v>43310</v>
      </c>
      <c r="E11971" t="s">
        <v>43311</v>
      </c>
      <c r="F11971" t="s">
        <v>43312</v>
      </c>
      <c r="G11971" t="s">
        <v>137</v>
      </c>
      <c r="H11971">
        <v>65754</v>
      </c>
      <c r="I11971" t="s">
        <v>30</v>
      </c>
      <c r="J11971" t="s">
        <v>111</v>
      </c>
      <c r="K11971" t="s">
        <v>112</v>
      </c>
      <c r="Q11971">
        <v>0</v>
      </c>
      <c r="R11971">
        <v>0</v>
      </c>
      <c r="S11971">
        <v>0</v>
      </c>
      <c r="T11971" t="s">
        <v>43313</v>
      </c>
    </row>
    <row r="11972" spans="1:20" customFormat="1" ht="15" x14ac:dyDescent="0.25">
      <c r="A11972" t="s">
        <v>35</v>
      </c>
      <c r="B11972" t="s">
        <v>61</v>
      </c>
      <c r="C11972" t="str">
        <f>"A0128893"</f>
        <v>A0128893</v>
      </c>
      <c r="D11972" t="s">
        <v>43314</v>
      </c>
      <c r="E11972" t="s">
        <v>43315</v>
      </c>
      <c r="F11972" t="s">
        <v>42187</v>
      </c>
      <c r="G11972" t="s">
        <v>289</v>
      </c>
      <c r="H11972">
        <v>61072</v>
      </c>
      <c r="I11972" t="s">
        <v>30</v>
      </c>
      <c r="J11972" t="s">
        <v>41</v>
      </c>
      <c r="K11972" t="s">
        <v>59</v>
      </c>
      <c r="Q11972">
        <v>0</v>
      </c>
      <c r="R11972">
        <v>40</v>
      </c>
      <c r="S11972">
        <v>40</v>
      </c>
      <c r="T11972" t="s">
        <v>43316</v>
      </c>
    </row>
    <row r="11973" spans="1:20" customFormat="1" ht="15" x14ac:dyDescent="0.25">
      <c r="A11973" t="s">
        <v>35</v>
      </c>
      <c r="B11973" t="s">
        <v>61</v>
      </c>
      <c r="C11973" t="str">
        <f>"A0121326"</f>
        <v>A0121326</v>
      </c>
      <c r="D11973" t="s">
        <v>43317</v>
      </c>
      <c r="E11973" t="s">
        <v>43318</v>
      </c>
      <c r="F11973" t="s">
        <v>26973</v>
      </c>
      <c r="G11973" t="s">
        <v>190</v>
      </c>
      <c r="H11973">
        <v>81212</v>
      </c>
      <c r="I11973" t="s">
        <v>30</v>
      </c>
      <c r="J11973" t="s">
        <v>41</v>
      </c>
      <c r="K11973" t="s">
        <v>229</v>
      </c>
      <c r="Q11973">
        <v>0</v>
      </c>
      <c r="R11973">
        <v>85</v>
      </c>
      <c r="S11973">
        <v>85</v>
      </c>
      <c r="T11973" t="s">
        <v>43319</v>
      </c>
    </row>
    <row r="11974" spans="1:20" customFormat="1" ht="15" x14ac:dyDescent="0.25">
      <c r="A11974" t="s">
        <v>35</v>
      </c>
      <c r="B11974" t="s">
        <v>61</v>
      </c>
      <c r="C11974" t="str">
        <f>"A0132562"</f>
        <v>A0132562</v>
      </c>
      <c r="D11974" t="s">
        <v>11713</v>
      </c>
      <c r="E11974" t="s">
        <v>43320</v>
      </c>
      <c r="F11974" t="s">
        <v>11715</v>
      </c>
      <c r="G11974" t="s">
        <v>65</v>
      </c>
      <c r="H11974">
        <v>45662</v>
      </c>
      <c r="I11974" t="s">
        <v>30</v>
      </c>
      <c r="J11974" t="s">
        <v>41</v>
      </c>
      <c r="K11974" t="s">
        <v>229</v>
      </c>
      <c r="Q11974">
        <v>0</v>
      </c>
      <c r="R11974">
        <v>250</v>
      </c>
      <c r="S11974">
        <v>250</v>
      </c>
      <c r="T11974" t="s">
        <v>11716</v>
      </c>
    </row>
    <row r="11975" spans="1:20" customFormat="1" ht="15" x14ac:dyDescent="0.25">
      <c r="A11975" t="s">
        <v>35</v>
      </c>
      <c r="B11975" t="s">
        <v>61</v>
      </c>
      <c r="C11975" t="str">
        <f>"A0124851"</f>
        <v>A0124851</v>
      </c>
      <c r="D11975" t="s">
        <v>43321</v>
      </c>
      <c r="E11975" t="s">
        <v>43322</v>
      </c>
      <c r="F11975" t="s">
        <v>41151</v>
      </c>
      <c r="G11975" t="s">
        <v>214</v>
      </c>
      <c r="H11975">
        <v>29043</v>
      </c>
      <c r="I11975" t="s">
        <v>30</v>
      </c>
      <c r="J11975" t="s">
        <v>41</v>
      </c>
      <c r="K11975" t="s">
        <v>229</v>
      </c>
      <c r="Q11975">
        <v>0</v>
      </c>
      <c r="R11975">
        <v>44</v>
      </c>
      <c r="S11975">
        <v>44</v>
      </c>
      <c r="T11975" t="s">
        <v>43323</v>
      </c>
    </row>
    <row r="11976" spans="1:20" customFormat="1" ht="15" x14ac:dyDescent="0.25">
      <c r="A11976" t="s">
        <v>35</v>
      </c>
      <c r="B11976" t="s">
        <v>61</v>
      </c>
      <c r="C11976" t="str">
        <f>"A0118131"</f>
        <v>A0118131</v>
      </c>
      <c r="D11976" t="s">
        <v>43324</v>
      </c>
      <c r="E11976" t="s">
        <v>43325</v>
      </c>
      <c r="F11976" t="s">
        <v>7329</v>
      </c>
      <c r="G11976" t="s">
        <v>153</v>
      </c>
      <c r="H11976">
        <v>84091</v>
      </c>
      <c r="I11976" t="s">
        <v>30</v>
      </c>
      <c r="J11976" t="s">
        <v>41</v>
      </c>
      <c r="K11976" t="s">
        <v>229</v>
      </c>
      <c r="Q11976">
        <v>0</v>
      </c>
      <c r="R11976">
        <v>60</v>
      </c>
      <c r="S11976">
        <v>60</v>
      </c>
      <c r="T11976" t="s">
        <v>43326</v>
      </c>
    </row>
    <row r="11977" spans="1:20" customFormat="1" ht="15" x14ac:dyDescent="0.25">
      <c r="A11977" t="s">
        <v>35</v>
      </c>
      <c r="B11977" t="s">
        <v>61</v>
      </c>
      <c r="C11977" t="str">
        <f>"A0128304"</f>
        <v>A0128304</v>
      </c>
      <c r="D11977" t="s">
        <v>43327</v>
      </c>
      <c r="E11977" t="s">
        <v>43328</v>
      </c>
      <c r="F11977" t="s">
        <v>6119</v>
      </c>
      <c r="G11977" t="s">
        <v>427</v>
      </c>
      <c r="H11977">
        <v>687450000</v>
      </c>
      <c r="I11977" t="s">
        <v>30</v>
      </c>
      <c r="J11977" t="s">
        <v>41</v>
      </c>
      <c r="K11977" t="s">
        <v>229</v>
      </c>
      <c r="Q11977">
        <v>0</v>
      </c>
      <c r="R11977">
        <v>41</v>
      </c>
      <c r="S11977">
        <v>41</v>
      </c>
      <c r="T11977" t="s">
        <v>43329</v>
      </c>
    </row>
    <row r="11978" spans="1:20" customFormat="1" ht="15" x14ac:dyDescent="0.25">
      <c r="A11978" t="s">
        <v>35</v>
      </c>
      <c r="B11978" t="s">
        <v>61</v>
      </c>
      <c r="C11978" t="str">
        <f>"A0118054"</f>
        <v>A0118054</v>
      </c>
      <c r="D11978" t="s">
        <v>43330</v>
      </c>
      <c r="E11978" t="s">
        <v>43331</v>
      </c>
      <c r="F11978" t="s">
        <v>43332</v>
      </c>
      <c r="G11978" t="s">
        <v>190</v>
      </c>
      <c r="H11978">
        <v>80758</v>
      </c>
      <c r="I11978" t="s">
        <v>30</v>
      </c>
      <c r="J11978" t="s">
        <v>41</v>
      </c>
      <c r="K11978" t="s">
        <v>229</v>
      </c>
      <c r="Q11978">
        <v>0</v>
      </c>
      <c r="R11978">
        <v>38</v>
      </c>
      <c r="S11978">
        <v>38</v>
      </c>
      <c r="T11978" t="s">
        <v>43333</v>
      </c>
    </row>
    <row r="11979" spans="1:20" customFormat="1" ht="15" x14ac:dyDescent="0.25">
      <c r="A11979" t="s">
        <v>35</v>
      </c>
      <c r="B11979" t="s">
        <v>61</v>
      </c>
      <c r="C11979" t="str">
        <f>"A0124842"</f>
        <v>A0124842</v>
      </c>
      <c r="D11979" t="s">
        <v>43334</v>
      </c>
      <c r="E11979" t="s">
        <v>43335</v>
      </c>
      <c r="F11979" t="s">
        <v>15531</v>
      </c>
      <c r="G11979" t="s">
        <v>214</v>
      </c>
      <c r="H11979">
        <v>27705</v>
      </c>
      <c r="I11979" t="s">
        <v>30</v>
      </c>
      <c r="J11979" t="s">
        <v>41</v>
      </c>
      <c r="K11979" t="s">
        <v>229</v>
      </c>
      <c r="Q11979">
        <v>0</v>
      </c>
      <c r="R11979">
        <v>154</v>
      </c>
      <c r="S11979">
        <v>154</v>
      </c>
      <c r="T11979" t="s">
        <v>43336</v>
      </c>
    </row>
    <row r="11980" spans="1:20" customFormat="1" ht="15" x14ac:dyDescent="0.25">
      <c r="A11980" t="s">
        <v>35</v>
      </c>
      <c r="B11980" t="s">
        <v>61</v>
      </c>
      <c r="C11980" t="str">
        <f>"A0129930"</f>
        <v>A0129930</v>
      </c>
      <c r="D11980" t="s">
        <v>43337</v>
      </c>
      <c r="E11980" t="s">
        <v>43338</v>
      </c>
      <c r="F11980" t="s">
        <v>43339</v>
      </c>
      <c r="G11980" t="s">
        <v>880</v>
      </c>
      <c r="H11980">
        <v>370155402</v>
      </c>
      <c r="I11980" t="s">
        <v>30</v>
      </c>
      <c r="J11980" t="s">
        <v>41</v>
      </c>
      <c r="K11980" t="s">
        <v>229</v>
      </c>
      <c r="Q11980">
        <v>0</v>
      </c>
      <c r="R11980">
        <v>95</v>
      </c>
      <c r="S11980">
        <v>95</v>
      </c>
      <c r="T11980" t="s">
        <v>43340</v>
      </c>
    </row>
    <row r="11981" spans="1:20" customFormat="1" ht="15" x14ac:dyDescent="0.25">
      <c r="A11981" t="s">
        <v>35</v>
      </c>
      <c r="B11981" t="s">
        <v>61</v>
      </c>
      <c r="C11981" t="str">
        <f>"A0128876"</f>
        <v>A0128876</v>
      </c>
      <c r="D11981" t="s">
        <v>43341</v>
      </c>
      <c r="E11981" t="s">
        <v>43342</v>
      </c>
      <c r="F11981" t="s">
        <v>43343</v>
      </c>
      <c r="G11981" t="s">
        <v>289</v>
      </c>
      <c r="H11981">
        <v>61254</v>
      </c>
      <c r="I11981" t="s">
        <v>30</v>
      </c>
      <c r="J11981" t="s">
        <v>41</v>
      </c>
      <c r="K11981" t="s">
        <v>229</v>
      </c>
      <c r="Q11981">
        <v>0</v>
      </c>
      <c r="R11981">
        <v>194</v>
      </c>
      <c r="S11981">
        <v>194</v>
      </c>
      <c r="T11981" t="s">
        <v>43344</v>
      </c>
    </row>
    <row r="11982" spans="1:20" customFormat="1" ht="15" x14ac:dyDescent="0.25">
      <c r="A11982" t="s">
        <v>35</v>
      </c>
      <c r="B11982" t="s">
        <v>61</v>
      </c>
      <c r="C11982" t="str">
        <f>"A0130933"</f>
        <v>A0130933</v>
      </c>
      <c r="D11982" t="s">
        <v>43345</v>
      </c>
      <c r="E11982" t="s">
        <v>43346</v>
      </c>
      <c r="F11982" t="s">
        <v>27776</v>
      </c>
      <c r="G11982" t="s">
        <v>85</v>
      </c>
      <c r="H11982">
        <v>726010000</v>
      </c>
      <c r="I11982" t="s">
        <v>30</v>
      </c>
      <c r="J11982" t="s">
        <v>41</v>
      </c>
      <c r="K11982" t="s">
        <v>229</v>
      </c>
      <c r="Q11982">
        <v>0</v>
      </c>
      <c r="R11982">
        <v>93</v>
      </c>
      <c r="S11982">
        <v>93</v>
      </c>
      <c r="T11982" t="s">
        <v>43347</v>
      </c>
    </row>
    <row r="11983" spans="1:20" customFormat="1" ht="15" x14ac:dyDescent="0.25">
      <c r="A11983" t="s">
        <v>35</v>
      </c>
      <c r="B11983" t="s">
        <v>61</v>
      </c>
      <c r="C11983" t="str">
        <f>"A0121775"</f>
        <v>A0121775</v>
      </c>
      <c r="D11983" t="s">
        <v>43348</v>
      </c>
      <c r="E11983" t="s">
        <v>43349</v>
      </c>
      <c r="F11983" t="s">
        <v>43350</v>
      </c>
      <c r="G11983" t="s">
        <v>110</v>
      </c>
      <c r="H11983">
        <v>91750</v>
      </c>
      <c r="I11983" t="s">
        <v>30</v>
      </c>
      <c r="J11983" t="s">
        <v>41</v>
      </c>
      <c r="K11983" t="s">
        <v>1440</v>
      </c>
      <c r="Q11983">
        <v>0</v>
      </c>
      <c r="R11983">
        <v>74</v>
      </c>
      <c r="S11983">
        <v>74</v>
      </c>
      <c r="T11983" t="s">
        <v>43351</v>
      </c>
    </row>
    <row r="11984" spans="1:20" customFormat="1" ht="15" x14ac:dyDescent="0.25">
      <c r="A11984" t="s">
        <v>35</v>
      </c>
      <c r="B11984" t="s">
        <v>61</v>
      </c>
      <c r="C11984" t="str">
        <f>"A0130416"</f>
        <v>A0130416</v>
      </c>
      <c r="D11984" t="s">
        <v>43352</v>
      </c>
      <c r="E11984" t="s">
        <v>43353</v>
      </c>
      <c r="F11984" t="s">
        <v>1043</v>
      </c>
      <c r="G11984" t="s">
        <v>1898</v>
      </c>
      <c r="H11984">
        <v>50674</v>
      </c>
      <c r="I11984" t="s">
        <v>30</v>
      </c>
      <c r="J11984" t="s">
        <v>41</v>
      </c>
      <c r="K11984" t="s">
        <v>229</v>
      </c>
      <c r="Q11984">
        <v>0</v>
      </c>
      <c r="R11984">
        <v>71</v>
      </c>
      <c r="S11984">
        <v>71</v>
      </c>
      <c r="T11984" t="s">
        <v>43354</v>
      </c>
    </row>
    <row r="11985" spans="1:20" customFormat="1" ht="15" x14ac:dyDescent="0.25">
      <c r="A11985" t="s">
        <v>35</v>
      </c>
      <c r="B11985" t="s">
        <v>61</v>
      </c>
      <c r="C11985" t="str">
        <f>"A0121439"</f>
        <v>A0121439</v>
      </c>
      <c r="D11985" t="s">
        <v>43355</v>
      </c>
      <c r="E11985" t="s">
        <v>43356</v>
      </c>
      <c r="F11985" t="s">
        <v>14363</v>
      </c>
      <c r="G11985" t="s">
        <v>110</v>
      </c>
      <c r="H11985">
        <v>91950</v>
      </c>
      <c r="I11985" t="s">
        <v>30</v>
      </c>
      <c r="J11985" t="s">
        <v>41</v>
      </c>
      <c r="K11985" t="s">
        <v>2468</v>
      </c>
      <c r="Q11985">
        <v>0</v>
      </c>
      <c r="R11985">
        <v>60</v>
      </c>
      <c r="S11985">
        <v>60</v>
      </c>
      <c r="T11985" t="s">
        <v>43357</v>
      </c>
    </row>
    <row r="11986" spans="1:20" customFormat="1" ht="15" x14ac:dyDescent="0.25">
      <c r="A11986" t="s">
        <v>35</v>
      </c>
      <c r="B11986" t="s">
        <v>61</v>
      </c>
      <c r="C11986" t="str">
        <f>"A0118752"</f>
        <v>A0118752</v>
      </c>
      <c r="D11986" t="s">
        <v>43358</v>
      </c>
      <c r="E11986" t="s">
        <v>43359</v>
      </c>
      <c r="F11986" t="s">
        <v>1277</v>
      </c>
      <c r="G11986" t="s">
        <v>110</v>
      </c>
      <c r="H11986">
        <v>924070000</v>
      </c>
      <c r="I11986" t="s">
        <v>30</v>
      </c>
      <c r="J11986" t="s">
        <v>41</v>
      </c>
      <c r="K11986" t="s">
        <v>229</v>
      </c>
      <c r="Q11986">
        <v>0</v>
      </c>
      <c r="R11986">
        <v>59</v>
      </c>
      <c r="S11986">
        <v>59</v>
      </c>
      <c r="T11986" t="s">
        <v>43360</v>
      </c>
    </row>
    <row r="11987" spans="1:20" customFormat="1" ht="15" x14ac:dyDescent="0.25">
      <c r="A11987" t="s">
        <v>35</v>
      </c>
      <c r="B11987" t="s">
        <v>61</v>
      </c>
      <c r="C11987" t="str">
        <f>"A0124570"</f>
        <v>A0124570</v>
      </c>
      <c r="D11987" t="s">
        <v>43361</v>
      </c>
      <c r="E11987" t="s">
        <v>43362</v>
      </c>
      <c r="F11987" t="s">
        <v>35620</v>
      </c>
      <c r="G11987" t="s">
        <v>1369</v>
      </c>
      <c r="H11987">
        <v>39111</v>
      </c>
      <c r="I11987" t="s">
        <v>30</v>
      </c>
      <c r="J11987" t="s">
        <v>41</v>
      </c>
      <c r="K11987" t="s">
        <v>229</v>
      </c>
      <c r="Q11987">
        <v>0</v>
      </c>
      <c r="R11987">
        <v>120</v>
      </c>
      <c r="S11987">
        <v>120</v>
      </c>
      <c r="T11987" t="s">
        <v>43363</v>
      </c>
    </row>
    <row r="11988" spans="1:20" customFormat="1" ht="15" x14ac:dyDescent="0.25">
      <c r="A11988" t="s">
        <v>35</v>
      </c>
      <c r="B11988" t="s">
        <v>61</v>
      </c>
      <c r="C11988" t="str">
        <f>"A0130731"</f>
        <v>A0130731</v>
      </c>
      <c r="D11988" t="s">
        <v>43364</v>
      </c>
      <c r="E11988" t="s">
        <v>43365</v>
      </c>
      <c r="F11988" t="s">
        <v>472</v>
      </c>
      <c r="G11988" t="s">
        <v>214</v>
      </c>
      <c r="H11988">
        <v>27612</v>
      </c>
      <c r="I11988" t="s">
        <v>30</v>
      </c>
      <c r="J11988" t="s">
        <v>41</v>
      </c>
      <c r="K11988" t="s">
        <v>229</v>
      </c>
      <c r="Q11988">
        <v>0</v>
      </c>
      <c r="R11988">
        <v>134</v>
      </c>
      <c r="S11988">
        <v>134</v>
      </c>
      <c r="T11988" t="s">
        <v>43366</v>
      </c>
    </row>
    <row r="11989" spans="1:20" customFormat="1" ht="15" x14ac:dyDescent="0.25">
      <c r="A11989" t="s">
        <v>35</v>
      </c>
      <c r="B11989" t="s">
        <v>61</v>
      </c>
      <c r="C11989" t="str">
        <f>"A0118240"</f>
        <v>A0118240</v>
      </c>
      <c r="D11989" t="s">
        <v>43367</v>
      </c>
      <c r="E11989" t="s">
        <v>43368</v>
      </c>
      <c r="F11989" t="s">
        <v>436</v>
      </c>
      <c r="G11989" t="s">
        <v>433</v>
      </c>
      <c r="H11989">
        <v>83705</v>
      </c>
      <c r="I11989" t="s">
        <v>30</v>
      </c>
      <c r="J11989" t="s">
        <v>41</v>
      </c>
      <c r="K11989" t="s">
        <v>59</v>
      </c>
      <c r="Q11989">
        <v>0</v>
      </c>
      <c r="R11989">
        <v>124</v>
      </c>
      <c r="S11989">
        <v>124</v>
      </c>
      <c r="T11989" t="s">
        <v>43369</v>
      </c>
    </row>
    <row r="11990" spans="1:20" customFormat="1" ht="15" x14ac:dyDescent="0.25">
      <c r="A11990" t="s">
        <v>35</v>
      </c>
      <c r="B11990" t="s">
        <v>61</v>
      </c>
      <c r="C11990" t="str">
        <f>"A0125756"</f>
        <v>A0125756</v>
      </c>
      <c r="D11990" t="s">
        <v>43370</v>
      </c>
      <c r="E11990" t="s">
        <v>43371</v>
      </c>
      <c r="F11990" t="s">
        <v>32806</v>
      </c>
      <c r="G11990" t="s">
        <v>29</v>
      </c>
      <c r="H11990">
        <v>23324</v>
      </c>
      <c r="I11990" t="s">
        <v>30</v>
      </c>
      <c r="J11990" t="s">
        <v>41</v>
      </c>
      <c r="K11990" t="s">
        <v>59</v>
      </c>
      <c r="Q11990">
        <v>0</v>
      </c>
      <c r="R11990">
        <v>48</v>
      </c>
      <c r="S11990">
        <v>48</v>
      </c>
      <c r="T11990" t="s">
        <v>43372</v>
      </c>
    </row>
    <row r="11991" spans="1:20" customFormat="1" ht="15" x14ac:dyDescent="0.25">
      <c r="A11991" t="s">
        <v>35</v>
      </c>
      <c r="B11991" t="s">
        <v>61</v>
      </c>
      <c r="C11991" t="str">
        <f>"A0124418"</f>
        <v>A0124418</v>
      </c>
      <c r="D11991" t="s">
        <v>43373</v>
      </c>
      <c r="E11991" t="s">
        <v>43374</v>
      </c>
      <c r="F11991" t="s">
        <v>6285</v>
      </c>
      <c r="G11991" t="s">
        <v>117</v>
      </c>
      <c r="H11991">
        <v>49242</v>
      </c>
      <c r="I11991" t="s">
        <v>30</v>
      </c>
      <c r="J11991" t="s">
        <v>41</v>
      </c>
      <c r="K11991" t="s">
        <v>482</v>
      </c>
      <c r="Q11991">
        <v>0</v>
      </c>
      <c r="R11991">
        <v>100</v>
      </c>
      <c r="S11991">
        <v>100</v>
      </c>
      <c r="T11991" t="s">
        <v>43375</v>
      </c>
    </row>
    <row r="11992" spans="1:20" customFormat="1" ht="15" x14ac:dyDescent="0.25">
      <c r="A11992" t="s">
        <v>35</v>
      </c>
      <c r="B11992" t="s">
        <v>61</v>
      </c>
      <c r="C11992" t="str">
        <f>"A0123763"</f>
        <v>A0123763</v>
      </c>
      <c r="D11992" t="s">
        <v>43376</v>
      </c>
      <c r="E11992" t="s">
        <v>43377</v>
      </c>
      <c r="F11992" t="s">
        <v>43378</v>
      </c>
      <c r="G11992" t="s">
        <v>103</v>
      </c>
      <c r="H11992">
        <v>17754</v>
      </c>
      <c r="I11992" t="s">
        <v>30</v>
      </c>
      <c r="J11992" t="s">
        <v>41</v>
      </c>
      <c r="K11992" t="s">
        <v>482</v>
      </c>
      <c r="Q11992">
        <v>0</v>
      </c>
      <c r="R11992">
        <v>60</v>
      </c>
      <c r="S11992">
        <v>60</v>
      </c>
      <c r="T11992" t="s">
        <v>43379</v>
      </c>
    </row>
    <row r="11993" spans="1:20" customFormat="1" ht="15" x14ac:dyDescent="0.25">
      <c r="A11993" t="s">
        <v>35</v>
      </c>
      <c r="B11993" t="s">
        <v>61</v>
      </c>
      <c r="C11993" t="str">
        <f>"A0131070"</f>
        <v>A0131070</v>
      </c>
      <c r="D11993" t="s">
        <v>43380</v>
      </c>
      <c r="E11993" t="s">
        <v>43381</v>
      </c>
      <c r="F11993" t="s">
        <v>17468</v>
      </c>
      <c r="G11993" t="s">
        <v>137</v>
      </c>
      <c r="H11993">
        <v>634010000</v>
      </c>
      <c r="I11993" t="s">
        <v>30</v>
      </c>
      <c r="J11993" t="s">
        <v>41</v>
      </c>
      <c r="K11993" t="s">
        <v>59</v>
      </c>
      <c r="Q11993">
        <v>0</v>
      </c>
      <c r="R11993">
        <v>30</v>
      </c>
      <c r="S11993">
        <v>30</v>
      </c>
      <c r="T11993" t="s">
        <v>43382</v>
      </c>
    </row>
    <row r="11994" spans="1:20" customFormat="1" ht="15" x14ac:dyDescent="0.25">
      <c r="A11994" t="s">
        <v>35</v>
      </c>
      <c r="B11994" t="s">
        <v>61</v>
      </c>
      <c r="C11994" t="str">
        <f>"A0127089"</f>
        <v>A0127089</v>
      </c>
      <c r="D11994" t="s">
        <v>43383</v>
      </c>
      <c r="E11994" t="s">
        <v>43384</v>
      </c>
      <c r="F11994" t="s">
        <v>43385</v>
      </c>
      <c r="G11994" t="s">
        <v>103</v>
      </c>
      <c r="H11994">
        <v>15425</v>
      </c>
      <c r="I11994" t="s">
        <v>30</v>
      </c>
      <c r="J11994" t="s">
        <v>41</v>
      </c>
      <c r="K11994" t="s">
        <v>59</v>
      </c>
      <c r="Q11994">
        <v>0</v>
      </c>
      <c r="R11994">
        <v>20</v>
      </c>
      <c r="S11994">
        <v>20</v>
      </c>
      <c r="T11994" t="s">
        <v>43386</v>
      </c>
    </row>
    <row r="11995" spans="1:20" customFormat="1" ht="15" x14ac:dyDescent="0.25">
      <c r="A11995" t="s">
        <v>35</v>
      </c>
      <c r="B11995" t="s">
        <v>61</v>
      </c>
      <c r="C11995" t="str">
        <f>"A0117950"</f>
        <v>A0117950</v>
      </c>
      <c r="D11995" t="s">
        <v>43387</v>
      </c>
      <c r="E11995" t="s">
        <v>43388</v>
      </c>
      <c r="F11995" t="s">
        <v>4032</v>
      </c>
      <c r="G11995" t="s">
        <v>110</v>
      </c>
      <c r="H11995">
        <v>931050000</v>
      </c>
      <c r="I11995" t="s">
        <v>30</v>
      </c>
      <c r="J11995" t="s">
        <v>41</v>
      </c>
      <c r="K11995" t="s">
        <v>229</v>
      </c>
      <c r="Q11995">
        <v>0</v>
      </c>
      <c r="R11995">
        <v>59</v>
      </c>
      <c r="S11995">
        <v>59</v>
      </c>
      <c r="T11995" t="s">
        <v>43389</v>
      </c>
    </row>
    <row r="11996" spans="1:20" customFormat="1" ht="15" x14ac:dyDescent="0.25">
      <c r="A11996" t="s">
        <v>35</v>
      </c>
      <c r="B11996" t="s">
        <v>61</v>
      </c>
      <c r="C11996" t="str">
        <f>"A0127074"</f>
        <v>A0127074</v>
      </c>
      <c r="D11996" t="s">
        <v>43390</v>
      </c>
      <c r="E11996" t="s">
        <v>43391</v>
      </c>
      <c r="F11996" t="s">
        <v>19508</v>
      </c>
      <c r="G11996" t="s">
        <v>103</v>
      </c>
      <c r="H11996">
        <v>15401</v>
      </c>
      <c r="I11996" t="s">
        <v>30</v>
      </c>
      <c r="J11996" t="s">
        <v>41</v>
      </c>
      <c r="K11996" t="s">
        <v>59</v>
      </c>
      <c r="Q11996">
        <v>0</v>
      </c>
      <c r="R11996">
        <v>76</v>
      </c>
      <c r="S11996">
        <v>76</v>
      </c>
      <c r="T11996" t="s">
        <v>43392</v>
      </c>
    </row>
    <row r="11997" spans="1:20" customFormat="1" ht="15" x14ac:dyDescent="0.25">
      <c r="A11997" t="s">
        <v>35</v>
      </c>
      <c r="B11997" t="s">
        <v>61</v>
      </c>
      <c r="C11997" t="str">
        <f>"A0124916"</f>
        <v>A0124916</v>
      </c>
      <c r="D11997" t="s">
        <v>43393</v>
      </c>
      <c r="E11997" t="s">
        <v>43394</v>
      </c>
      <c r="F11997" t="s">
        <v>1400</v>
      </c>
      <c r="G11997" t="s">
        <v>214</v>
      </c>
      <c r="H11997">
        <v>27587</v>
      </c>
      <c r="I11997" t="s">
        <v>30</v>
      </c>
      <c r="J11997" t="s">
        <v>41</v>
      </c>
      <c r="K11997" t="s">
        <v>229</v>
      </c>
      <c r="Q11997">
        <v>0</v>
      </c>
      <c r="R11997">
        <v>150</v>
      </c>
      <c r="S11997">
        <v>150</v>
      </c>
      <c r="T11997" t="s">
        <v>43395</v>
      </c>
    </row>
    <row r="11998" spans="1:20" customFormat="1" ht="15" x14ac:dyDescent="0.25">
      <c r="A11998" t="s">
        <v>35</v>
      </c>
      <c r="B11998" t="s">
        <v>61</v>
      </c>
      <c r="C11998" t="str">
        <f>"A0118048"</f>
        <v>A0118048</v>
      </c>
      <c r="D11998" t="s">
        <v>43396</v>
      </c>
      <c r="E11998" t="s">
        <v>43397</v>
      </c>
      <c r="F11998" t="s">
        <v>24486</v>
      </c>
      <c r="G11998" t="s">
        <v>190</v>
      </c>
      <c r="H11998">
        <v>81506</v>
      </c>
      <c r="I11998" t="s">
        <v>30</v>
      </c>
      <c r="J11998" t="s">
        <v>41</v>
      </c>
      <c r="K11998" t="s">
        <v>1440</v>
      </c>
      <c r="Q11998">
        <v>0</v>
      </c>
      <c r="R11998">
        <v>375</v>
      </c>
      <c r="S11998">
        <v>375</v>
      </c>
      <c r="T11998" t="s">
        <v>43398</v>
      </c>
    </row>
    <row r="11999" spans="1:20" customFormat="1" ht="15" x14ac:dyDescent="0.25">
      <c r="A11999" t="s">
        <v>35</v>
      </c>
      <c r="B11999" t="s">
        <v>61</v>
      </c>
      <c r="C11999" t="str">
        <f>"A0132303"</f>
        <v>A0132303</v>
      </c>
      <c r="D11999" t="s">
        <v>43399</v>
      </c>
      <c r="E11999" t="s">
        <v>43400</v>
      </c>
      <c r="F11999" t="s">
        <v>43401</v>
      </c>
      <c r="G11999" t="s">
        <v>65</v>
      </c>
      <c r="H11999">
        <v>44654</v>
      </c>
      <c r="I11999" t="s">
        <v>30</v>
      </c>
      <c r="J11999" t="s">
        <v>41</v>
      </c>
      <c r="K11999" t="s">
        <v>2477</v>
      </c>
      <c r="Q11999">
        <v>0</v>
      </c>
      <c r="R11999">
        <v>18</v>
      </c>
      <c r="S11999">
        <v>18</v>
      </c>
      <c r="T11999" t="s">
        <v>43402</v>
      </c>
    </row>
    <row r="12000" spans="1:20" customFormat="1" ht="15" x14ac:dyDescent="0.25">
      <c r="A12000" t="s">
        <v>35</v>
      </c>
      <c r="B12000" t="s">
        <v>61</v>
      </c>
      <c r="C12000" t="str">
        <f>"A0125007"</f>
        <v>A0125007</v>
      </c>
      <c r="D12000" t="s">
        <v>43403</v>
      </c>
      <c r="E12000" t="s">
        <v>43404</v>
      </c>
      <c r="F12000" t="s">
        <v>472</v>
      </c>
      <c r="G12000" t="s">
        <v>214</v>
      </c>
      <c r="H12000">
        <v>27620</v>
      </c>
      <c r="I12000" t="s">
        <v>30</v>
      </c>
      <c r="J12000" t="s">
        <v>41</v>
      </c>
      <c r="K12000" t="s">
        <v>66</v>
      </c>
      <c r="Q12000">
        <v>0</v>
      </c>
      <c r="R12000">
        <v>22</v>
      </c>
      <c r="S12000">
        <v>22</v>
      </c>
      <c r="T12000" t="s">
        <v>43405</v>
      </c>
    </row>
    <row r="12001" spans="1:20" customFormat="1" ht="15" x14ac:dyDescent="0.25">
      <c r="A12001" t="s">
        <v>35</v>
      </c>
      <c r="B12001" t="s">
        <v>437</v>
      </c>
      <c r="C12001" t="str">
        <f>"A0134007"</f>
        <v>A0134007</v>
      </c>
      <c r="D12001" t="s">
        <v>43406</v>
      </c>
      <c r="E12001" t="s">
        <v>43407</v>
      </c>
      <c r="F12001" t="s">
        <v>43408</v>
      </c>
      <c r="G12001" t="s">
        <v>899</v>
      </c>
      <c r="H12001">
        <v>2771</v>
      </c>
      <c r="I12001" t="s">
        <v>30</v>
      </c>
      <c r="J12001" t="s">
        <v>441</v>
      </c>
      <c r="K12001" t="s">
        <v>37340</v>
      </c>
      <c r="Q12001">
        <v>0</v>
      </c>
      <c r="R12001">
        <v>0</v>
      </c>
      <c r="S12001">
        <v>0</v>
      </c>
      <c r="T12001" t="s">
        <v>43409</v>
      </c>
    </row>
    <row r="12002" spans="1:20" customFormat="1" ht="15" x14ac:dyDescent="0.25">
      <c r="A12002" t="s">
        <v>35</v>
      </c>
      <c r="B12002" t="s">
        <v>61</v>
      </c>
      <c r="C12002" t="str">
        <f>"A0122635"</f>
        <v>A0122635</v>
      </c>
      <c r="D12002" t="s">
        <v>43410</v>
      </c>
      <c r="E12002" t="s">
        <v>43411</v>
      </c>
      <c r="F12002" t="s">
        <v>1444</v>
      </c>
      <c r="G12002" t="s">
        <v>76</v>
      </c>
      <c r="H12002">
        <v>98104</v>
      </c>
      <c r="I12002" t="s">
        <v>30</v>
      </c>
      <c r="J12002" t="s">
        <v>41</v>
      </c>
      <c r="K12002" t="s">
        <v>59</v>
      </c>
      <c r="Q12002">
        <v>0</v>
      </c>
      <c r="R12002">
        <v>124</v>
      </c>
      <c r="S12002">
        <v>124</v>
      </c>
      <c r="T12002" t="s">
        <v>43412</v>
      </c>
    </row>
    <row r="12003" spans="1:20" customFormat="1" ht="15" x14ac:dyDescent="0.25">
      <c r="A12003" t="s">
        <v>35</v>
      </c>
      <c r="B12003" t="s">
        <v>61</v>
      </c>
      <c r="C12003" t="str">
        <f>"A0121869"</f>
        <v>A0121869</v>
      </c>
      <c r="D12003" t="s">
        <v>43413</v>
      </c>
      <c r="E12003" t="s">
        <v>43414</v>
      </c>
      <c r="F12003" t="s">
        <v>43415</v>
      </c>
      <c r="G12003" t="s">
        <v>110</v>
      </c>
      <c r="H12003">
        <v>95423</v>
      </c>
      <c r="I12003" t="s">
        <v>30</v>
      </c>
      <c r="J12003" t="s">
        <v>41</v>
      </c>
      <c r="K12003" t="s">
        <v>461</v>
      </c>
      <c r="Q12003">
        <v>0</v>
      </c>
      <c r="R12003">
        <v>30</v>
      </c>
      <c r="S12003">
        <v>30</v>
      </c>
      <c r="T12003" t="s">
        <v>43416</v>
      </c>
    </row>
    <row r="12004" spans="1:20" customFormat="1" ht="15" x14ac:dyDescent="0.25">
      <c r="A12004" t="s">
        <v>35</v>
      </c>
      <c r="B12004" t="s">
        <v>7245</v>
      </c>
      <c r="C12004" t="str">
        <f>"A0132284"</f>
        <v>A0132284</v>
      </c>
      <c r="D12004" t="s">
        <v>43417</v>
      </c>
      <c r="E12004" t="s">
        <v>43418</v>
      </c>
      <c r="F12004" t="s">
        <v>2307</v>
      </c>
      <c r="G12004" t="s">
        <v>65</v>
      </c>
      <c r="H12004">
        <v>44132</v>
      </c>
      <c r="I12004" t="s">
        <v>30</v>
      </c>
      <c r="J12004" t="s">
        <v>41</v>
      </c>
      <c r="K12004" t="s">
        <v>59</v>
      </c>
      <c r="Q12004">
        <v>0</v>
      </c>
      <c r="R12004">
        <v>0</v>
      </c>
      <c r="S12004">
        <v>0</v>
      </c>
      <c r="T12004" t="s">
        <v>43419</v>
      </c>
    </row>
    <row r="12005" spans="1:20" customFormat="1" ht="15" x14ac:dyDescent="0.25">
      <c r="A12005" t="s">
        <v>35</v>
      </c>
      <c r="B12005" t="s">
        <v>61</v>
      </c>
      <c r="C12005" t="str">
        <f>"A0118417"</f>
        <v>A0118417</v>
      </c>
      <c r="D12005" t="s">
        <v>43420</v>
      </c>
      <c r="E12005" t="s">
        <v>43421</v>
      </c>
      <c r="F12005" t="s">
        <v>43422</v>
      </c>
      <c r="G12005" t="s">
        <v>110</v>
      </c>
      <c r="H12005">
        <v>95037</v>
      </c>
      <c r="I12005" t="s">
        <v>30</v>
      </c>
      <c r="J12005" t="s">
        <v>41</v>
      </c>
      <c r="K12005" t="s">
        <v>229</v>
      </c>
      <c r="Q12005">
        <v>0</v>
      </c>
      <c r="R12005">
        <v>52</v>
      </c>
      <c r="S12005">
        <v>52</v>
      </c>
      <c r="T12005" t="s">
        <v>43423</v>
      </c>
    </row>
    <row r="12006" spans="1:20" customFormat="1" ht="15" x14ac:dyDescent="0.25">
      <c r="A12006" t="s">
        <v>35</v>
      </c>
      <c r="B12006" t="s">
        <v>61</v>
      </c>
      <c r="C12006" t="str">
        <f>"A0129257"</f>
        <v>A0129257</v>
      </c>
      <c r="D12006" t="s">
        <v>43424</v>
      </c>
      <c r="E12006" t="s">
        <v>43425</v>
      </c>
      <c r="F12006" t="s">
        <v>21892</v>
      </c>
      <c r="G12006" t="s">
        <v>289</v>
      </c>
      <c r="H12006">
        <v>62995</v>
      </c>
      <c r="I12006" t="s">
        <v>30</v>
      </c>
      <c r="J12006" t="s">
        <v>41</v>
      </c>
      <c r="K12006" t="s">
        <v>229</v>
      </c>
      <c r="Q12006">
        <v>0</v>
      </c>
      <c r="R12006">
        <v>71</v>
      </c>
      <c r="S12006">
        <v>71</v>
      </c>
      <c r="T12006" t="s">
        <v>43426</v>
      </c>
    </row>
    <row r="12007" spans="1:20" customFormat="1" ht="15" x14ac:dyDescent="0.25">
      <c r="A12007" t="s">
        <v>35</v>
      </c>
      <c r="B12007" t="s">
        <v>61</v>
      </c>
      <c r="C12007" t="str">
        <f>"A0124481"</f>
        <v>A0124481</v>
      </c>
      <c r="D12007" t="s">
        <v>43427</v>
      </c>
      <c r="E12007" t="s">
        <v>43428</v>
      </c>
      <c r="F12007" t="s">
        <v>11404</v>
      </c>
      <c r="G12007" t="s">
        <v>1706</v>
      </c>
      <c r="H12007">
        <v>361090000</v>
      </c>
      <c r="I12007" t="s">
        <v>30</v>
      </c>
      <c r="J12007" t="s">
        <v>41</v>
      </c>
      <c r="K12007" t="s">
        <v>229</v>
      </c>
      <c r="Q12007">
        <v>0</v>
      </c>
      <c r="R12007">
        <v>143</v>
      </c>
      <c r="S12007">
        <v>143</v>
      </c>
      <c r="T12007" t="s">
        <v>43429</v>
      </c>
    </row>
    <row r="12008" spans="1:20" customFormat="1" ht="15" x14ac:dyDescent="0.25">
      <c r="A12008" t="s">
        <v>35</v>
      </c>
      <c r="B12008" t="s">
        <v>61</v>
      </c>
      <c r="C12008" t="str">
        <f>"A0123764"</f>
        <v>A0123764</v>
      </c>
      <c r="D12008" t="s">
        <v>43430</v>
      </c>
      <c r="E12008" t="s">
        <v>43431</v>
      </c>
      <c r="F12008" t="s">
        <v>1382</v>
      </c>
      <c r="G12008" t="s">
        <v>29</v>
      </c>
      <c r="H12008">
        <v>23601</v>
      </c>
      <c r="I12008" t="s">
        <v>30</v>
      </c>
      <c r="J12008" t="s">
        <v>41</v>
      </c>
      <c r="K12008" t="s">
        <v>482</v>
      </c>
      <c r="Q12008">
        <v>0</v>
      </c>
      <c r="R12008">
        <v>71</v>
      </c>
      <c r="S12008">
        <v>71</v>
      </c>
      <c r="T12008" t="s">
        <v>43432</v>
      </c>
    </row>
    <row r="12009" spans="1:20" customFormat="1" ht="15" x14ac:dyDescent="0.25">
      <c r="A12009" t="s">
        <v>35</v>
      </c>
      <c r="B12009" t="s">
        <v>61</v>
      </c>
      <c r="C12009" t="str">
        <f>"A0129177"</f>
        <v>A0129177</v>
      </c>
      <c r="D12009" t="s">
        <v>12850</v>
      </c>
      <c r="E12009" t="s">
        <v>43433</v>
      </c>
      <c r="F12009" t="s">
        <v>12852</v>
      </c>
      <c r="G12009" t="s">
        <v>289</v>
      </c>
      <c r="H12009">
        <v>62001</v>
      </c>
      <c r="I12009" t="s">
        <v>30</v>
      </c>
      <c r="J12009" t="s">
        <v>41</v>
      </c>
      <c r="K12009" t="s">
        <v>229</v>
      </c>
      <c r="Q12009">
        <v>0</v>
      </c>
      <c r="R12009">
        <v>67</v>
      </c>
      <c r="S12009">
        <v>67</v>
      </c>
      <c r="T12009" t="s">
        <v>36366</v>
      </c>
    </row>
    <row r="12010" spans="1:20" customFormat="1" ht="15" x14ac:dyDescent="0.25">
      <c r="A12010" t="s">
        <v>35</v>
      </c>
      <c r="B12010" t="s">
        <v>437</v>
      </c>
      <c r="C12010" t="str">
        <f>"A0133982"</f>
        <v>A0133982</v>
      </c>
      <c r="D12010" t="s">
        <v>43434</v>
      </c>
      <c r="E12010" t="s">
        <v>43435</v>
      </c>
      <c r="F12010" t="s">
        <v>9135</v>
      </c>
      <c r="G12010" t="s">
        <v>110</v>
      </c>
      <c r="H12010">
        <v>95150</v>
      </c>
      <c r="I12010" t="s">
        <v>30</v>
      </c>
      <c r="J12010" t="s">
        <v>441</v>
      </c>
      <c r="K12010" t="s">
        <v>442</v>
      </c>
      <c r="Q12010">
        <v>0</v>
      </c>
      <c r="R12010">
        <v>0</v>
      </c>
      <c r="S12010">
        <v>0</v>
      </c>
      <c r="T12010" t="s">
        <v>43436</v>
      </c>
    </row>
    <row r="12011" spans="1:20" customFormat="1" ht="15" x14ac:dyDescent="0.25">
      <c r="A12011" t="s">
        <v>35</v>
      </c>
      <c r="B12011" t="s">
        <v>61</v>
      </c>
      <c r="C12011" t="str">
        <f>"A0123765"</f>
        <v>A0123765</v>
      </c>
      <c r="D12011" t="s">
        <v>43437</v>
      </c>
      <c r="E12011" t="s">
        <v>43438</v>
      </c>
      <c r="F12011" t="s">
        <v>1795</v>
      </c>
      <c r="G12011" t="s">
        <v>29</v>
      </c>
      <c r="H12011">
        <v>23236</v>
      </c>
      <c r="I12011" t="s">
        <v>30</v>
      </c>
      <c r="J12011" t="s">
        <v>41</v>
      </c>
      <c r="K12011" t="s">
        <v>59</v>
      </c>
      <c r="Q12011">
        <v>0</v>
      </c>
      <c r="R12011">
        <v>32</v>
      </c>
      <c r="S12011">
        <v>32</v>
      </c>
      <c r="T12011" t="s">
        <v>43439</v>
      </c>
    </row>
    <row r="12012" spans="1:20" customFormat="1" ht="15" x14ac:dyDescent="0.25">
      <c r="A12012" t="s">
        <v>35</v>
      </c>
      <c r="B12012" t="s">
        <v>61</v>
      </c>
      <c r="C12012" t="str">
        <f>"A0129100"</f>
        <v>A0129100</v>
      </c>
      <c r="D12012" t="s">
        <v>43440</v>
      </c>
      <c r="E12012" t="s">
        <v>43441</v>
      </c>
      <c r="F12012" t="s">
        <v>9205</v>
      </c>
      <c r="G12012" t="s">
        <v>289</v>
      </c>
      <c r="H12012">
        <v>61108</v>
      </c>
      <c r="I12012" t="s">
        <v>30</v>
      </c>
      <c r="J12012" t="s">
        <v>41</v>
      </c>
      <c r="K12012" t="s">
        <v>2760</v>
      </c>
      <c r="Q12012">
        <v>0</v>
      </c>
      <c r="R12012">
        <v>0</v>
      </c>
      <c r="S12012">
        <v>0</v>
      </c>
      <c r="T12012" t="s">
        <v>43442</v>
      </c>
    </row>
    <row r="12013" spans="1:20" customFormat="1" ht="15" x14ac:dyDescent="0.25">
      <c r="A12013" t="s">
        <v>35</v>
      </c>
      <c r="B12013" t="s">
        <v>61</v>
      </c>
      <c r="C12013" t="str">
        <f>"A0129146"</f>
        <v>A0129146</v>
      </c>
      <c r="D12013" t="s">
        <v>43443</v>
      </c>
      <c r="E12013" t="s">
        <v>43444</v>
      </c>
      <c r="F12013" t="s">
        <v>4704</v>
      </c>
      <c r="G12013" t="s">
        <v>289</v>
      </c>
      <c r="H12013">
        <v>60510</v>
      </c>
      <c r="I12013" t="s">
        <v>30</v>
      </c>
      <c r="J12013" t="s">
        <v>41</v>
      </c>
      <c r="K12013" t="s">
        <v>1412</v>
      </c>
      <c r="Q12013">
        <v>0</v>
      </c>
      <c r="R12013">
        <v>0</v>
      </c>
      <c r="S12013">
        <v>0</v>
      </c>
      <c r="T12013" t="s">
        <v>43445</v>
      </c>
    </row>
    <row r="12014" spans="1:20" customFormat="1" ht="15" x14ac:dyDescent="0.25">
      <c r="A12014" t="s">
        <v>35</v>
      </c>
      <c r="B12014" t="s">
        <v>61</v>
      </c>
      <c r="C12014" t="str">
        <f>"A0127490"</f>
        <v>A0127490</v>
      </c>
      <c r="D12014" t="s">
        <v>43446</v>
      </c>
      <c r="E12014" t="s">
        <v>43447</v>
      </c>
      <c r="F12014" t="s">
        <v>43448</v>
      </c>
      <c r="G12014" t="s">
        <v>507</v>
      </c>
      <c r="H12014">
        <v>26201</v>
      </c>
      <c r="I12014" t="s">
        <v>30</v>
      </c>
      <c r="J12014" t="s">
        <v>41</v>
      </c>
      <c r="K12014" t="s">
        <v>229</v>
      </c>
      <c r="Q12014">
        <v>0</v>
      </c>
      <c r="R12014">
        <v>120</v>
      </c>
      <c r="S12014">
        <v>120</v>
      </c>
      <c r="T12014" t="s">
        <v>43449</v>
      </c>
    </row>
    <row r="12015" spans="1:20" customFormat="1" ht="15" x14ac:dyDescent="0.25">
      <c r="A12015" t="s">
        <v>35</v>
      </c>
      <c r="B12015" t="s">
        <v>61</v>
      </c>
      <c r="C12015" t="str">
        <f>"A0128319"</f>
        <v>A0128319</v>
      </c>
      <c r="D12015" t="s">
        <v>43450</v>
      </c>
      <c r="E12015" t="s">
        <v>43451</v>
      </c>
      <c r="F12015" t="s">
        <v>39314</v>
      </c>
      <c r="G12015" t="s">
        <v>427</v>
      </c>
      <c r="H12015">
        <v>68949</v>
      </c>
      <c r="I12015" t="s">
        <v>30</v>
      </c>
      <c r="J12015" t="s">
        <v>41</v>
      </c>
      <c r="K12015" t="s">
        <v>229</v>
      </c>
      <c r="Q12015">
        <v>0</v>
      </c>
      <c r="R12015">
        <v>83</v>
      </c>
      <c r="S12015">
        <v>83</v>
      </c>
      <c r="T12015" t="s">
        <v>43452</v>
      </c>
    </row>
    <row r="12016" spans="1:20" customFormat="1" ht="15" x14ac:dyDescent="0.25">
      <c r="A12016" t="s">
        <v>35</v>
      </c>
      <c r="B12016" t="s">
        <v>61</v>
      </c>
      <c r="C12016" t="str">
        <f>"A0133009"</f>
        <v>A0133009</v>
      </c>
      <c r="D12016" t="s">
        <v>43453</v>
      </c>
      <c r="E12016" t="s">
        <v>43454</v>
      </c>
      <c r="F12016" t="s">
        <v>43455</v>
      </c>
      <c r="G12016" t="s">
        <v>52</v>
      </c>
      <c r="H12016">
        <v>76834</v>
      </c>
      <c r="I12016" t="s">
        <v>30</v>
      </c>
      <c r="J12016" t="s">
        <v>41</v>
      </c>
      <c r="K12016" t="s">
        <v>229</v>
      </c>
      <c r="Q12016">
        <v>0</v>
      </c>
      <c r="R12016">
        <v>100</v>
      </c>
      <c r="S12016">
        <v>100</v>
      </c>
      <c r="T12016" t="s">
        <v>43456</v>
      </c>
    </row>
    <row r="12017" spans="1:20" customFormat="1" ht="15" x14ac:dyDescent="0.25">
      <c r="A12017" t="s">
        <v>35</v>
      </c>
      <c r="B12017" t="s">
        <v>61</v>
      </c>
      <c r="C12017" t="str">
        <f>"A0125970"</f>
        <v>A0125970</v>
      </c>
      <c r="D12017" t="s">
        <v>43457</v>
      </c>
      <c r="E12017" t="s">
        <v>43458</v>
      </c>
      <c r="F12017" t="s">
        <v>11715</v>
      </c>
      <c r="G12017" t="s">
        <v>29</v>
      </c>
      <c r="H12017">
        <v>23707</v>
      </c>
      <c r="I12017" t="s">
        <v>30</v>
      </c>
      <c r="J12017" t="s">
        <v>41</v>
      </c>
      <c r="K12017" t="s">
        <v>66</v>
      </c>
      <c r="Q12017">
        <v>0</v>
      </c>
      <c r="R12017">
        <v>28</v>
      </c>
      <c r="S12017">
        <v>28</v>
      </c>
      <c r="T12017" t="s">
        <v>43459</v>
      </c>
    </row>
    <row r="12018" spans="1:20" customFormat="1" ht="15" x14ac:dyDescent="0.25">
      <c r="A12018" t="s">
        <v>35</v>
      </c>
      <c r="B12018" t="s">
        <v>43067</v>
      </c>
      <c r="C12018" t="str">
        <f>"A0131519"</f>
        <v>A0131519</v>
      </c>
      <c r="D12018" t="s">
        <v>43460</v>
      </c>
      <c r="E12018" t="s">
        <v>43461</v>
      </c>
      <c r="F12018" t="s">
        <v>12071</v>
      </c>
      <c r="G12018" t="s">
        <v>381</v>
      </c>
      <c r="H12018">
        <v>47710</v>
      </c>
      <c r="I12018" t="s">
        <v>30</v>
      </c>
      <c r="J12018" t="s">
        <v>41</v>
      </c>
      <c r="K12018" t="s">
        <v>59</v>
      </c>
      <c r="Q12018">
        <v>0</v>
      </c>
      <c r="R12018">
        <v>50</v>
      </c>
      <c r="S12018">
        <v>50</v>
      </c>
      <c r="T12018" t="s">
        <v>43462</v>
      </c>
    </row>
    <row r="12019" spans="1:20" customFormat="1" ht="15" x14ac:dyDescent="0.25">
      <c r="A12019" t="s">
        <v>35</v>
      </c>
      <c r="B12019" t="s">
        <v>61</v>
      </c>
      <c r="C12019" t="str">
        <f>"A0133303"</f>
        <v>A0133303</v>
      </c>
      <c r="D12019" t="s">
        <v>43463</v>
      </c>
      <c r="E12019" t="s">
        <v>43464</v>
      </c>
      <c r="F12019" t="s">
        <v>43465</v>
      </c>
      <c r="G12019" t="s">
        <v>52</v>
      </c>
      <c r="H12019">
        <v>76086</v>
      </c>
      <c r="I12019" t="s">
        <v>30</v>
      </c>
      <c r="J12019" t="s">
        <v>41</v>
      </c>
      <c r="K12019" t="s">
        <v>229</v>
      </c>
      <c r="Q12019">
        <v>0</v>
      </c>
      <c r="R12019">
        <v>120</v>
      </c>
      <c r="S12019">
        <v>120</v>
      </c>
      <c r="T12019" t="s">
        <v>43466</v>
      </c>
    </row>
    <row r="12020" spans="1:20" customFormat="1" ht="15" x14ac:dyDescent="0.25">
      <c r="A12020" t="s">
        <v>35</v>
      </c>
      <c r="B12020" t="s">
        <v>61</v>
      </c>
      <c r="C12020" t="str">
        <f>"A0127388"</f>
        <v>A0127388</v>
      </c>
      <c r="D12020" t="s">
        <v>43467</v>
      </c>
      <c r="E12020" t="s">
        <v>43468</v>
      </c>
      <c r="F12020" t="s">
        <v>26754</v>
      </c>
      <c r="G12020" t="s">
        <v>846</v>
      </c>
      <c r="H12020">
        <v>30655</v>
      </c>
      <c r="I12020" t="s">
        <v>30</v>
      </c>
      <c r="J12020" t="s">
        <v>41</v>
      </c>
      <c r="K12020" t="s">
        <v>59</v>
      </c>
      <c r="Q12020">
        <v>0</v>
      </c>
      <c r="R12020">
        <v>51</v>
      </c>
      <c r="S12020">
        <v>51</v>
      </c>
      <c r="T12020" t="s">
        <v>43469</v>
      </c>
    </row>
    <row r="12021" spans="1:20" customFormat="1" ht="15" x14ac:dyDescent="0.25">
      <c r="A12021" t="s">
        <v>35</v>
      </c>
      <c r="B12021" t="s">
        <v>61</v>
      </c>
      <c r="C12021" t="str">
        <f>"A0127389"</f>
        <v>A0127389</v>
      </c>
      <c r="D12021" t="s">
        <v>43470</v>
      </c>
      <c r="E12021" t="s">
        <v>43471</v>
      </c>
      <c r="F12021" t="s">
        <v>10276</v>
      </c>
      <c r="G12021" t="s">
        <v>846</v>
      </c>
      <c r="H12021">
        <v>30342</v>
      </c>
      <c r="I12021" t="s">
        <v>30</v>
      </c>
      <c r="J12021" t="s">
        <v>41</v>
      </c>
      <c r="K12021" t="s">
        <v>59</v>
      </c>
      <c r="Q12021">
        <v>0</v>
      </c>
      <c r="R12021">
        <v>52</v>
      </c>
      <c r="S12021">
        <v>52</v>
      </c>
      <c r="T12021" t="s">
        <v>43472</v>
      </c>
    </row>
    <row r="12022" spans="1:20" customFormat="1" ht="15" x14ac:dyDescent="0.25">
      <c r="A12022" t="s">
        <v>35</v>
      </c>
      <c r="B12022" t="s">
        <v>61</v>
      </c>
      <c r="C12022" t="str">
        <f>"A0117963"</f>
        <v>A0117963</v>
      </c>
      <c r="D12022" t="s">
        <v>43473</v>
      </c>
      <c r="E12022" t="s">
        <v>43474</v>
      </c>
      <c r="F12022" t="s">
        <v>7362</v>
      </c>
      <c r="G12022" t="s">
        <v>110</v>
      </c>
      <c r="H12022">
        <v>900330000</v>
      </c>
      <c r="I12022" t="s">
        <v>30</v>
      </c>
      <c r="J12022" t="s">
        <v>41</v>
      </c>
      <c r="K12022" t="s">
        <v>1440</v>
      </c>
      <c r="Q12022">
        <v>0</v>
      </c>
      <c r="R12022">
        <v>150</v>
      </c>
      <c r="S12022">
        <v>150</v>
      </c>
      <c r="T12022" t="s">
        <v>43475</v>
      </c>
    </row>
    <row r="12023" spans="1:20" customFormat="1" ht="15" x14ac:dyDescent="0.25">
      <c r="A12023" t="s">
        <v>35</v>
      </c>
      <c r="B12023" t="s">
        <v>61</v>
      </c>
      <c r="C12023" t="str">
        <f>"A0123365"</f>
        <v>A0123365</v>
      </c>
      <c r="D12023" t="s">
        <v>43476</v>
      </c>
      <c r="E12023" t="s">
        <v>43477</v>
      </c>
      <c r="F12023" t="s">
        <v>4108</v>
      </c>
      <c r="G12023" t="s">
        <v>29</v>
      </c>
      <c r="H12023">
        <v>24019</v>
      </c>
      <c r="I12023" t="s">
        <v>30</v>
      </c>
      <c r="J12023" t="s">
        <v>41</v>
      </c>
      <c r="K12023" t="s">
        <v>482</v>
      </c>
      <c r="Q12023">
        <v>0</v>
      </c>
      <c r="R12023">
        <v>155</v>
      </c>
      <c r="S12023">
        <v>155</v>
      </c>
      <c r="T12023" t="s">
        <v>43478</v>
      </c>
    </row>
    <row r="12024" spans="1:20" customFormat="1" ht="15" x14ac:dyDescent="0.25">
      <c r="A12024" t="s">
        <v>35</v>
      </c>
      <c r="B12024" t="s">
        <v>61</v>
      </c>
      <c r="C12024" t="str">
        <f>"A0124872"</f>
        <v>A0124872</v>
      </c>
      <c r="D12024" t="s">
        <v>43479</v>
      </c>
      <c r="E12024" t="s">
        <v>43480</v>
      </c>
      <c r="F12024" t="s">
        <v>15696</v>
      </c>
      <c r="G12024" t="s">
        <v>214</v>
      </c>
      <c r="H12024">
        <v>28139</v>
      </c>
      <c r="I12024" t="s">
        <v>30</v>
      </c>
      <c r="J12024" t="s">
        <v>41</v>
      </c>
      <c r="K12024" t="s">
        <v>59</v>
      </c>
      <c r="Q12024">
        <v>0</v>
      </c>
      <c r="R12024">
        <v>32</v>
      </c>
      <c r="S12024">
        <v>32</v>
      </c>
      <c r="T12024" t="s">
        <v>43481</v>
      </c>
    </row>
    <row r="12025" spans="1:20" customFormat="1" ht="15" x14ac:dyDescent="0.25">
      <c r="A12025" t="s">
        <v>35</v>
      </c>
      <c r="B12025" t="s">
        <v>61</v>
      </c>
      <c r="C12025" t="str">
        <f>"A0128595"</f>
        <v>A0128595</v>
      </c>
      <c r="D12025" t="s">
        <v>12122</v>
      </c>
      <c r="E12025" t="s">
        <v>43482</v>
      </c>
      <c r="F12025" t="s">
        <v>4057</v>
      </c>
      <c r="G12025" t="s">
        <v>840</v>
      </c>
      <c r="H12025">
        <v>410590000</v>
      </c>
      <c r="I12025" t="s">
        <v>30</v>
      </c>
      <c r="J12025" t="s">
        <v>41</v>
      </c>
      <c r="K12025" t="s">
        <v>59</v>
      </c>
      <c r="Q12025">
        <v>0</v>
      </c>
      <c r="R12025">
        <v>70</v>
      </c>
      <c r="S12025">
        <v>70</v>
      </c>
      <c r="T12025" t="s">
        <v>43483</v>
      </c>
    </row>
    <row r="12026" spans="1:20" customFormat="1" ht="15" x14ac:dyDescent="0.25">
      <c r="A12026" t="s">
        <v>35</v>
      </c>
      <c r="B12026" t="s">
        <v>61</v>
      </c>
      <c r="C12026" t="str">
        <f>"A0126636"</f>
        <v>A0126636</v>
      </c>
      <c r="D12026" t="s">
        <v>12122</v>
      </c>
      <c r="E12026" t="s">
        <v>43484</v>
      </c>
      <c r="F12026" t="s">
        <v>4629</v>
      </c>
      <c r="G12026" t="s">
        <v>103</v>
      </c>
      <c r="H12026">
        <v>19143</v>
      </c>
      <c r="I12026" t="s">
        <v>30</v>
      </c>
      <c r="J12026" t="s">
        <v>41</v>
      </c>
      <c r="K12026" t="s">
        <v>229</v>
      </c>
      <c r="Q12026">
        <v>0</v>
      </c>
      <c r="R12026">
        <v>97</v>
      </c>
      <c r="S12026">
        <v>97</v>
      </c>
      <c r="T12026" t="s">
        <v>43485</v>
      </c>
    </row>
    <row r="12027" spans="1:20" customFormat="1" ht="15" x14ac:dyDescent="0.25">
      <c r="A12027" t="s">
        <v>35</v>
      </c>
      <c r="B12027" t="s">
        <v>61</v>
      </c>
      <c r="C12027" t="str">
        <f>"A0130346"</f>
        <v>A0130346</v>
      </c>
      <c r="D12027" t="s">
        <v>43486</v>
      </c>
      <c r="E12027" t="s">
        <v>43487</v>
      </c>
      <c r="F12027" t="s">
        <v>22189</v>
      </c>
      <c r="G12027" t="s">
        <v>1898</v>
      </c>
      <c r="H12027">
        <v>51103</v>
      </c>
      <c r="I12027" t="s">
        <v>30</v>
      </c>
      <c r="J12027" t="s">
        <v>41</v>
      </c>
      <c r="K12027" t="s">
        <v>229</v>
      </c>
      <c r="Q12027">
        <v>0</v>
      </c>
      <c r="R12027">
        <v>94</v>
      </c>
      <c r="S12027">
        <v>94</v>
      </c>
      <c r="T12027" t="s">
        <v>43488</v>
      </c>
    </row>
    <row r="12028" spans="1:20" customFormat="1" ht="15" x14ac:dyDescent="0.25">
      <c r="A12028" t="s">
        <v>35</v>
      </c>
      <c r="B12028" t="s">
        <v>61</v>
      </c>
      <c r="C12028" t="str">
        <f>"A0151249"</f>
        <v>A0151249</v>
      </c>
      <c r="D12028" t="s">
        <v>43489</v>
      </c>
      <c r="E12028" t="s">
        <v>43490</v>
      </c>
      <c r="F12028" t="s">
        <v>1403</v>
      </c>
      <c r="G12028" t="s">
        <v>65</v>
      </c>
      <c r="H12028">
        <v>44011</v>
      </c>
      <c r="I12028" t="s">
        <v>30</v>
      </c>
      <c r="J12028" t="s">
        <v>41</v>
      </c>
      <c r="K12028" t="s">
        <v>112</v>
      </c>
      <c r="Q12028">
        <v>0</v>
      </c>
      <c r="R12028">
        <v>0</v>
      </c>
      <c r="S12028">
        <v>0</v>
      </c>
      <c r="T12028" t="s">
        <v>43491</v>
      </c>
    </row>
    <row r="12029" spans="1:20" customFormat="1" ht="15" x14ac:dyDescent="0.25">
      <c r="A12029" t="s">
        <v>35</v>
      </c>
      <c r="B12029" t="s">
        <v>61</v>
      </c>
      <c r="C12029" t="str">
        <f>"A0123766"</f>
        <v>A0123766</v>
      </c>
      <c r="D12029" t="s">
        <v>43492</v>
      </c>
      <c r="E12029" t="s">
        <v>43493</v>
      </c>
      <c r="F12029" t="s">
        <v>4098</v>
      </c>
      <c r="G12029" t="s">
        <v>29</v>
      </c>
      <c r="H12029">
        <v>22664</v>
      </c>
      <c r="I12029" t="s">
        <v>30</v>
      </c>
      <c r="J12029" t="s">
        <v>41</v>
      </c>
      <c r="K12029" t="s">
        <v>59</v>
      </c>
      <c r="Q12029">
        <v>0</v>
      </c>
      <c r="R12029">
        <v>34</v>
      </c>
      <c r="S12029">
        <v>34</v>
      </c>
      <c r="T12029" t="s">
        <v>43494</v>
      </c>
    </row>
    <row r="12030" spans="1:20" customFormat="1" ht="15" x14ac:dyDescent="0.25">
      <c r="A12030" t="s">
        <v>35</v>
      </c>
      <c r="B12030" t="s">
        <v>61</v>
      </c>
      <c r="C12030" t="str">
        <f>"A0123366"</f>
        <v>A0123366</v>
      </c>
      <c r="D12030" t="s">
        <v>43495</v>
      </c>
      <c r="E12030" t="s">
        <v>43496</v>
      </c>
      <c r="F12030" t="s">
        <v>43497</v>
      </c>
      <c r="G12030" t="s">
        <v>29</v>
      </c>
      <c r="H12030">
        <v>23901</v>
      </c>
      <c r="I12030" t="s">
        <v>30</v>
      </c>
      <c r="J12030" t="s">
        <v>41</v>
      </c>
      <c r="K12030" t="s">
        <v>2463</v>
      </c>
      <c r="Q12030">
        <v>0</v>
      </c>
      <c r="R12030">
        <v>0</v>
      </c>
      <c r="S12030">
        <v>0</v>
      </c>
      <c r="T12030" t="s">
        <v>43498</v>
      </c>
    </row>
    <row r="12031" spans="1:20" customFormat="1" ht="15" x14ac:dyDescent="0.25">
      <c r="A12031" t="s">
        <v>35</v>
      </c>
      <c r="B12031" t="s">
        <v>61</v>
      </c>
      <c r="C12031" t="str">
        <f>"A0126396"</f>
        <v>A0126396</v>
      </c>
      <c r="D12031" t="s">
        <v>43499</v>
      </c>
      <c r="E12031" t="s">
        <v>43500</v>
      </c>
      <c r="F12031" t="s">
        <v>43501</v>
      </c>
      <c r="G12031" t="s">
        <v>81</v>
      </c>
      <c r="H12031">
        <v>33572</v>
      </c>
      <c r="I12031" t="s">
        <v>30</v>
      </c>
      <c r="J12031" t="s">
        <v>41</v>
      </c>
      <c r="K12031" t="s">
        <v>2463</v>
      </c>
      <c r="Q12031">
        <v>0</v>
      </c>
      <c r="R12031">
        <v>0</v>
      </c>
      <c r="S12031">
        <v>0</v>
      </c>
      <c r="T12031" t="s">
        <v>72</v>
      </c>
    </row>
    <row r="12032" spans="1:20" customFormat="1" ht="15" x14ac:dyDescent="0.25">
      <c r="A12032" t="s">
        <v>35</v>
      </c>
      <c r="B12032" t="s">
        <v>61</v>
      </c>
      <c r="C12032" t="str">
        <f>"A0150991"</f>
        <v>A0150991</v>
      </c>
      <c r="D12032" t="s">
        <v>43502</v>
      </c>
      <c r="E12032" t="s">
        <v>43503</v>
      </c>
      <c r="F12032" t="s">
        <v>906</v>
      </c>
      <c r="G12032" t="s">
        <v>221</v>
      </c>
      <c r="H12032">
        <v>89506</v>
      </c>
      <c r="I12032" t="s">
        <v>30</v>
      </c>
      <c r="J12032" t="s">
        <v>41</v>
      </c>
      <c r="K12032" t="s">
        <v>2463</v>
      </c>
      <c r="Q12032">
        <v>0</v>
      </c>
      <c r="R12032">
        <v>0</v>
      </c>
      <c r="S12032">
        <v>0</v>
      </c>
      <c r="T12032" t="s">
        <v>43504</v>
      </c>
    </row>
    <row r="12033" spans="1:20" customFormat="1" ht="15" x14ac:dyDescent="0.25">
      <c r="A12033" t="s">
        <v>35</v>
      </c>
      <c r="B12033" t="s">
        <v>61</v>
      </c>
      <c r="C12033" t="str">
        <f>"A0128757"</f>
        <v>A0128757</v>
      </c>
      <c r="D12033" t="s">
        <v>43505</v>
      </c>
      <c r="E12033" t="s">
        <v>43506</v>
      </c>
      <c r="F12033" t="s">
        <v>7095</v>
      </c>
      <c r="G12033" t="s">
        <v>1170</v>
      </c>
      <c r="H12033">
        <v>70115</v>
      </c>
      <c r="I12033" t="s">
        <v>30</v>
      </c>
      <c r="J12033" t="s">
        <v>41</v>
      </c>
      <c r="K12033" t="s">
        <v>59</v>
      </c>
      <c r="Q12033">
        <v>0</v>
      </c>
      <c r="R12033">
        <v>64</v>
      </c>
      <c r="S12033">
        <v>64</v>
      </c>
      <c r="T12033" t="s">
        <v>43507</v>
      </c>
    </row>
    <row r="12034" spans="1:20" customFormat="1" ht="15" x14ac:dyDescent="0.25">
      <c r="A12034" t="s">
        <v>35</v>
      </c>
      <c r="B12034" t="s">
        <v>61</v>
      </c>
      <c r="C12034" t="str">
        <f>"A0154440"</f>
        <v>A0154440</v>
      </c>
      <c r="D12034" t="s">
        <v>43508</v>
      </c>
      <c r="E12034" t="s">
        <v>43509</v>
      </c>
      <c r="F12034" t="s">
        <v>43510</v>
      </c>
      <c r="G12034" t="s">
        <v>846</v>
      </c>
      <c r="H12034">
        <v>30284</v>
      </c>
      <c r="I12034" t="s">
        <v>30</v>
      </c>
      <c r="J12034" t="s">
        <v>41</v>
      </c>
      <c r="K12034" t="s">
        <v>456</v>
      </c>
      <c r="Q12034">
        <v>0</v>
      </c>
      <c r="R12034">
        <v>0</v>
      </c>
      <c r="S12034">
        <v>0</v>
      </c>
      <c r="T12034" t="s">
        <v>43511</v>
      </c>
    </row>
    <row r="12035" spans="1:20" customFormat="1" ht="15" x14ac:dyDescent="0.25">
      <c r="A12035" t="s">
        <v>35</v>
      </c>
      <c r="B12035" t="s">
        <v>61</v>
      </c>
      <c r="C12035" t="str">
        <f>"A0154439"</f>
        <v>A0154439</v>
      </c>
      <c r="D12035" t="s">
        <v>43512</v>
      </c>
      <c r="E12035" t="s">
        <v>43513</v>
      </c>
      <c r="F12035" t="s">
        <v>43510</v>
      </c>
      <c r="G12035" t="s">
        <v>846</v>
      </c>
      <c r="H12035">
        <v>30284</v>
      </c>
      <c r="I12035" t="s">
        <v>30</v>
      </c>
      <c r="J12035" t="s">
        <v>41</v>
      </c>
      <c r="K12035" t="s">
        <v>456</v>
      </c>
      <c r="Q12035">
        <v>0</v>
      </c>
      <c r="R12035">
        <v>0</v>
      </c>
      <c r="S12035">
        <v>0</v>
      </c>
      <c r="T12035" t="s">
        <v>43511</v>
      </c>
    </row>
    <row r="12036" spans="1:20" customFormat="1" ht="15" x14ac:dyDescent="0.25">
      <c r="A12036" t="s">
        <v>35</v>
      </c>
      <c r="B12036" t="s">
        <v>61</v>
      </c>
      <c r="C12036" t="str">
        <f>"A0123367"</f>
        <v>A0123367</v>
      </c>
      <c r="D12036" t="s">
        <v>43514</v>
      </c>
      <c r="E12036" t="s">
        <v>43515</v>
      </c>
      <c r="F12036" t="s">
        <v>18818</v>
      </c>
      <c r="G12036" t="s">
        <v>29</v>
      </c>
      <c r="H12036">
        <v>24210</v>
      </c>
      <c r="I12036" t="s">
        <v>30</v>
      </c>
      <c r="J12036" t="s">
        <v>41</v>
      </c>
      <c r="K12036" t="s">
        <v>229</v>
      </c>
      <c r="Q12036">
        <v>0</v>
      </c>
      <c r="R12036">
        <v>1</v>
      </c>
      <c r="S12036">
        <v>1</v>
      </c>
    </row>
    <row r="12037" spans="1:20" customFormat="1" ht="15" x14ac:dyDescent="0.25">
      <c r="A12037" t="s">
        <v>35</v>
      </c>
      <c r="B12037" t="s">
        <v>61</v>
      </c>
      <c r="C12037" t="str">
        <f>"A0125325"</f>
        <v>A0125325</v>
      </c>
      <c r="D12037" t="s">
        <v>43516</v>
      </c>
      <c r="E12037" t="s">
        <v>43517</v>
      </c>
      <c r="F12037" t="s">
        <v>17557</v>
      </c>
      <c r="G12037" t="s">
        <v>40</v>
      </c>
      <c r="H12037">
        <v>74301</v>
      </c>
      <c r="I12037" t="s">
        <v>30</v>
      </c>
      <c r="J12037" t="s">
        <v>41</v>
      </c>
      <c r="K12037" t="s">
        <v>66</v>
      </c>
      <c r="Q12037">
        <v>0</v>
      </c>
      <c r="R12037">
        <v>1</v>
      </c>
      <c r="S12037">
        <v>1</v>
      </c>
      <c r="T12037" t="s">
        <v>43518</v>
      </c>
    </row>
    <row r="12038" spans="1:20" customFormat="1" ht="15" x14ac:dyDescent="0.25">
      <c r="A12038" t="s">
        <v>35</v>
      </c>
      <c r="B12038" t="s">
        <v>61</v>
      </c>
      <c r="C12038" t="str">
        <f>"A0123368"</f>
        <v>A0123368</v>
      </c>
      <c r="D12038" t="s">
        <v>43519</v>
      </c>
      <c r="E12038" t="s">
        <v>43520</v>
      </c>
      <c r="F12038" t="s">
        <v>15622</v>
      </c>
      <c r="G12038" t="s">
        <v>29</v>
      </c>
      <c r="H12038">
        <v>23523</v>
      </c>
      <c r="I12038" t="s">
        <v>30</v>
      </c>
      <c r="J12038" t="s">
        <v>41</v>
      </c>
      <c r="K12038" t="s">
        <v>59</v>
      </c>
      <c r="Q12038">
        <v>0</v>
      </c>
      <c r="R12038">
        <v>1</v>
      </c>
      <c r="S12038">
        <v>1</v>
      </c>
    </row>
    <row r="12039" spans="1:20" customFormat="1" ht="15" x14ac:dyDescent="0.25">
      <c r="A12039" t="s">
        <v>35</v>
      </c>
      <c r="B12039" t="s">
        <v>61</v>
      </c>
      <c r="C12039" t="str">
        <f>"A0127604"</f>
        <v>A0127604</v>
      </c>
      <c r="D12039" t="s">
        <v>43521</v>
      </c>
      <c r="E12039" t="s">
        <v>43522</v>
      </c>
      <c r="F12039" t="s">
        <v>6137</v>
      </c>
      <c r="G12039" t="s">
        <v>123</v>
      </c>
      <c r="H12039">
        <v>20906</v>
      </c>
      <c r="I12039" t="s">
        <v>30</v>
      </c>
      <c r="J12039" t="s">
        <v>41</v>
      </c>
      <c r="K12039" t="s">
        <v>2477</v>
      </c>
      <c r="Q12039">
        <v>0</v>
      </c>
      <c r="R12039">
        <v>277</v>
      </c>
      <c r="S12039">
        <v>277</v>
      </c>
      <c r="T12039" t="s">
        <v>43523</v>
      </c>
    </row>
    <row r="12040" spans="1:20" customFormat="1" ht="15" x14ac:dyDescent="0.25">
      <c r="A12040" t="s">
        <v>35</v>
      </c>
      <c r="B12040" t="s">
        <v>61</v>
      </c>
      <c r="C12040" t="str">
        <f>"A0127392"</f>
        <v>A0127392</v>
      </c>
      <c r="D12040" t="s">
        <v>43524</v>
      </c>
      <c r="E12040" t="s">
        <v>43525</v>
      </c>
      <c r="F12040" t="s">
        <v>29438</v>
      </c>
      <c r="G12040" t="s">
        <v>846</v>
      </c>
      <c r="H12040">
        <v>31525</v>
      </c>
      <c r="I12040" t="s">
        <v>30</v>
      </c>
      <c r="J12040" t="s">
        <v>41</v>
      </c>
      <c r="K12040" t="s">
        <v>59</v>
      </c>
      <c r="Q12040">
        <v>0</v>
      </c>
      <c r="R12040">
        <v>50</v>
      </c>
      <c r="S12040">
        <v>50</v>
      </c>
      <c r="T12040" t="s">
        <v>43526</v>
      </c>
    </row>
    <row r="12041" spans="1:20" customFormat="1" ht="15" x14ac:dyDescent="0.25">
      <c r="A12041" t="s">
        <v>35</v>
      </c>
      <c r="B12041" t="s">
        <v>61</v>
      </c>
      <c r="C12041" t="str">
        <f>"A0127408"</f>
        <v>A0127408</v>
      </c>
      <c r="D12041" t="s">
        <v>43527</v>
      </c>
      <c r="E12041" t="s">
        <v>43528</v>
      </c>
      <c r="F12041" t="s">
        <v>32895</v>
      </c>
      <c r="G12041" t="s">
        <v>846</v>
      </c>
      <c r="H12041">
        <v>30701</v>
      </c>
      <c r="I12041" t="s">
        <v>30</v>
      </c>
      <c r="J12041" t="s">
        <v>41</v>
      </c>
      <c r="K12041" t="s">
        <v>456</v>
      </c>
      <c r="Q12041">
        <v>0</v>
      </c>
      <c r="R12041">
        <v>0</v>
      </c>
      <c r="S12041">
        <v>0</v>
      </c>
      <c r="T12041" t="s">
        <v>43529</v>
      </c>
    </row>
    <row r="12042" spans="1:20" customFormat="1" ht="15" x14ac:dyDescent="0.25">
      <c r="A12042" t="s">
        <v>35</v>
      </c>
      <c r="B12042" t="s">
        <v>61</v>
      </c>
      <c r="C12042" t="str">
        <f>"A0130921"</f>
        <v>A0130921</v>
      </c>
      <c r="D12042" t="s">
        <v>43530</v>
      </c>
      <c r="E12042" t="s">
        <v>43531</v>
      </c>
      <c r="F12042" t="s">
        <v>4674</v>
      </c>
      <c r="G12042" t="s">
        <v>137</v>
      </c>
      <c r="H12042">
        <v>630900000</v>
      </c>
      <c r="I12042" t="s">
        <v>30</v>
      </c>
      <c r="J12042" t="s">
        <v>41</v>
      </c>
      <c r="K12042" t="s">
        <v>59</v>
      </c>
      <c r="Q12042">
        <v>0</v>
      </c>
      <c r="R12042">
        <v>60</v>
      </c>
      <c r="S12042">
        <v>60</v>
      </c>
      <c r="T12042" t="s">
        <v>43532</v>
      </c>
    </row>
    <row r="12043" spans="1:20" customFormat="1" ht="15" x14ac:dyDescent="0.25">
      <c r="A12043" t="s">
        <v>35</v>
      </c>
      <c r="B12043" t="s">
        <v>61</v>
      </c>
      <c r="C12043" t="str">
        <f>"A0123767"</f>
        <v>A0123767</v>
      </c>
      <c r="D12043" t="s">
        <v>43533</v>
      </c>
      <c r="E12043" t="s">
        <v>43534</v>
      </c>
      <c r="F12043" t="s">
        <v>6538</v>
      </c>
      <c r="G12043" t="s">
        <v>214</v>
      </c>
      <c r="H12043">
        <v>27103</v>
      </c>
      <c r="I12043" t="s">
        <v>30</v>
      </c>
      <c r="J12043" t="s">
        <v>41</v>
      </c>
      <c r="K12043" t="s">
        <v>11521</v>
      </c>
      <c r="Q12043">
        <v>0</v>
      </c>
      <c r="R12043">
        <v>0</v>
      </c>
      <c r="S12043">
        <v>0</v>
      </c>
      <c r="T12043" t="s">
        <v>43535</v>
      </c>
    </row>
    <row r="12044" spans="1:20" customFormat="1" ht="15" x14ac:dyDescent="0.25">
      <c r="A12044" t="s">
        <v>35</v>
      </c>
      <c r="B12044" t="s">
        <v>61</v>
      </c>
      <c r="C12044" t="str">
        <f>"A0132634"</f>
        <v>A0132634</v>
      </c>
      <c r="D12044" t="s">
        <v>43536</v>
      </c>
      <c r="E12044" t="s">
        <v>43537</v>
      </c>
      <c r="F12044" t="s">
        <v>916</v>
      </c>
      <c r="G12044" t="s">
        <v>65</v>
      </c>
      <c r="H12044">
        <v>44077</v>
      </c>
      <c r="I12044" t="s">
        <v>30</v>
      </c>
      <c r="J12044" t="s">
        <v>41</v>
      </c>
      <c r="K12044" t="s">
        <v>229</v>
      </c>
      <c r="Q12044">
        <v>0</v>
      </c>
      <c r="R12044">
        <v>53</v>
      </c>
      <c r="S12044">
        <v>53</v>
      </c>
      <c r="T12044" t="s">
        <v>5674</v>
      </c>
    </row>
    <row r="12045" spans="1:20" customFormat="1" ht="15" x14ac:dyDescent="0.25">
      <c r="A12045" t="s">
        <v>35</v>
      </c>
      <c r="B12045" t="s">
        <v>61</v>
      </c>
      <c r="C12045" t="str">
        <f>"A0132635"</f>
        <v>A0132635</v>
      </c>
      <c r="D12045" t="s">
        <v>43538</v>
      </c>
      <c r="E12045" t="s">
        <v>43539</v>
      </c>
      <c r="F12045" t="s">
        <v>916</v>
      </c>
      <c r="G12045" t="s">
        <v>65</v>
      </c>
      <c r="H12045">
        <v>44077</v>
      </c>
      <c r="I12045" t="s">
        <v>30</v>
      </c>
      <c r="J12045" t="s">
        <v>41</v>
      </c>
      <c r="K12045" t="s">
        <v>229</v>
      </c>
      <c r="Q12045">
        <v>0</v>
      </c>
      <c r="R12045">
        <v>52</v>
      </c>
      <c r="S12045">
        <v>52</v>
      </c>
      <c r="T12045" t="s">
        <v>5674</v>
      </c>
    </row>
    <row r="12046" spans="1:20" customFormat="1" ht="15" x14ac:dyDescent="0.25">
      <c r="A12046" t="s">
        <v>35</v>
      </c>
      <c r="B12046" t="s">
        <v>61</v>
      </c>
      <c r="C12046" t="str">
        <f>"A0125464"</f>
        <v>A0125464</v>
      </c>
      <c r="D12046" t="s">
        <v>43540</v>
      </c>
      <c r="E12046" t="s">
        <v>43541</v>
      </c>
      <c r="F12046" t="s">
        <v>43542</v>
      </c>
      <c r="G12046" t="s">
        <v>40</v>
      </c>
      <c r="H12046">
        <v>74301</v>
      </c>
      <c r="I12046" t="s">
        <v>30</v>
      </c>
      <c r="J12046" t="s">
        <v>41</v>
      </c>
      <c r="K12046" t="s">
        <v>59</v>
      </c>
      <c r="Q12046">
        <v>0</v>
      </c>
      <c r="R12046">
        <v>46</v>
      </c>
      <c r="S12046">
        <v>46</v>
      </c>
      <c r="T12046" t="s">
        <v>43543</v>
      </c>
    </row>
    <row r="12047" spans="1:20" customFormat="1" ht="15" x14ac:dyDescent="0.25">
      <c r="A12047" t="s">
        <v>35</v>
      </c>
      <c r="B12047" t="s">
        <v>61</v>
      </c>
      <c r="C12047" t="str">
        <f>"A0123072"</f>
        <v>A0123072</v>
      </c>
      <c r="D12047" t="s">
        <v>43544</v>
      </c>
      <c r="E12047" t="s">
        <v>43545</v>
      </c>
      <c r="F12047" t="s">
        <v>27898</v>
      </c>
      <c r="G12047" t="s">
        <v>47</v>
      </c>
      <c r="H12047">
        <v>97801</v>
      </c>
      <c r="I12047" t="s">
        <v>30</v>
      </c>
      <c r="J12047" t="s">
        <v>41</v>
      </c>
      <c r="K12047" t="s">
        <v>66</v>
      </c>
      <c r="Q12047">
        <v>0</v>
      </c>
      <c r="R12047">
        <v>30</v>
      </c>
      <c r="S12047">
        <v>30</v>
      </c>
      <c r="T12047" t="s">
        <v>43546</v>
      </c>
    </row>
    <row r="12048" spans="1:20" customFormat="1" ht="15" x14ac:dyDescent="0.25">
      <c r="A12048" t="s">
        <v>35</v>
      </c>
      <c r="B12048" t="s">
        <v>437</v>
      </c>
      <c r="C12048" t="str">
        <f>"A0133880"</f>
        <v>A0133880</v>
      </c>
      <c r="D12048" t="s">
        <v>43547</v>
      </c>
      <c r="E12048" t="s">
        <v>43548</v>
      </c>
      <c r="F12048" t="s">
        <v>26945</v>
      </c>
      <c r="G12048" t="s">
        <v>110</v>
      </c>
      <c r="H12048">
        <v>91602</v>
      </c>
      <c r="I12048" t="s">
        <v>30</v>
      </c>
      <c r="J12048" t="s">
        <v>441</v>
      </c>
      <c r="K12048" t="s">
        <v>10607</v>
      </c>
      <c r="Q12048">
        <v>0</v>
      </c>
      <c r="R12048">
        <v>0</v>
      </c>
      <c r="S12048">
        <v>0</v>
      </c>
      <c r="T12048" t="s">
        <v>43549</v>
      </c>
    </row>
    <row r="12049" spans="1:20" customFormat="1" ht="15" x14ac:dyDescent="0.25">
      <c r="A12049" t="s">
        <v>35</v>
      </c>
      <c r="B12049" t="s">
        <v>61</v>
      </c>
      <c r="C12049" t="str">
        <f>"A0130756"</f>
        <v>A0130756</v>
      </c>
      <c r="D12049" t="s">
        <v>43550</v>
      </c>
      <c r="E12049" t="s">
        <v>43551</v>
      </c>
      <c r="F12049" t="s">
        <v>9228</v>
      </c>
      <c r="G12049" t="s">
        <v>3236</v>
      </c>
      <c r="H12049">
        <v>57005</v>
      </c>
      <c r="I12049" t="s">
        <v>30</v>
      </c>
      <c r="J12049" t="s">
        <v>41</v>
      </c>
      <c r="K12049" t="s">
        <v>391</v>
      </c>
      <c r="Q12049">
        <v>0</v>
      </c>
      <c r="R12049">
        <v>0</v>
      </c>
      <c r="S12049">
        <v>0</v>
      </c>
      <c r="T12049" t="s">
        <v>43552</v>
      </c>
    </row>
    <row r="12050" spans="1:20" customFormat="1" ht="15" x14ac:dyDescent="0.25">
      <c r="A12050" t="s">
        <v>35</v>
      </c>
      <c r="B12050" t="s">
        <v>61</v>
      </c>
      <c r="C12050" t="str">
        <f>"A0130669"</f>
        <v>A0130669</v>
      </c>
      <c r="D12050" t="s">
        <v>43553</v>
      </c>
      <c r="E12050" t="s">
        <v>43554</v>
      </c>
      <c r="F12050" t="s">
        <v>43555</v>
      </c>
      <c r="G12050" t="s">
        <v>71</v>
      </c>
      <c r="H12050">
        <v>54562</v>
      </c>
      <c r="I12050" t="s">
        <v>30</v>
      </c>
      <c r="J12050" t="s">
        <v>41</v>
      </c>
      <c r="K12050" t="s">
        <v>42</v>
      </c>
      <c r="Q12050">
        <v>0</v>
      </c>
      <c r="R12050">
        <v>50</v>
      </c>
      <c r="S12050">
        <v>50</v>
      </c>
      <c r="T12050" t="s">
        <v>43556</v>
      </c>
    </row>
    <row r="12051" spans="1:20" customFormat="1" ht="15" x14ac:dyDescent="0.25">
      <c r="A12051" t="s">
        <v>35</v>
      </c>
      <c r="B12051" t="s">
        <v>61</v>
      </c>
      <c r="C12051" t="str">
        <f>"A0123371"</f>
        <v>A0123371</v>
      </c>
      <c r="D12051" t="s">
        <v>43557</v>
      </c>
      <c r="E12051" t="s">
        <v>43558</v>
      </c>
      <c r="F12051" t="s">
        <v>43559</v>
      </c>
      <c r="G12051" t="s">
        <v>1170</v>
      </c>
      <c r="H12051">
        <v>70422</v>
      </c>
      <c r="I12051" t="s">
        <v>30</v>
      </c>
      <c r="J12051" t="s">
        <v>41</v>
      </c>
      <c r="K12051" t="s">
        <v>229</v>
      </c>
      <c r="Q12051">
        <v>0</v>
      </c>
      <c r="R12051">
        <v>25</v>
      </c>
      <c r="S12051">
        <v>25</v>
      </c>
      <c r="T12051" t="s">
        <v>43560</v>
      </c>
    </row>
    <row r="12052" spans="1:20" customFormat="1" ht="15" x14ac:dyDescent="0.25">
      <c r="A12052" t="s">
        <v>35</v>
      </c>
      <c r="B12052" t="s">
        <v>61</v>
      </c>
      <c r="C12052" t="str">
        <f>"A0123372"</f>
        <v>A0123372</v>
      </c>
      <c r="D12052" t="s">
        <v>43561</v>
      </c>
      <c r="E12052" t="s">
        <v>43562</v>
      </c>
      <c r="F12052" t="s">
        <v>43563</v>
      </c>
      <c r="G12052" t="s">
        <v>214</v>
      </c>
      <c r="H12052">
        <v>27055</v>
      </c>
      <c r="I12052" t="s">
        <v>30</v>
      </c>
      <c r="J12052" t="s">
        <v>41</v>
      </c>
      <c r="K12052" t="s">
        <v>3713</v>
      </c>
      <c r="Q12052">
        <v>0</v>
      </c>
      <c r="R12052">
        <v>0</v>
      </c>
      <c r="S12052">
        <v>0</v>
      </c>
      <c r="T12052" t="s">
        <v>43564</v>
      </c>
    </row>
    <row r="12053" spans="1:20" customFormat="1" ht="15" x14ac:dyDescent="0.25">
      <c r="A12053" t="s">
        <v>35</v>
      </c>
      <c r="B12053" t="s">
        <v>61</v>
      </c>
      <c r="C12053" t="str">
        <f>"A0132842"</f>
        <v>A0132842</v>
      </c>
      <c r="D12053" t="s">
        <v>43565</v>
      </c>
      <c r="E12053" t="s">
        <v>43566</v>
      </c>
      <c r="F12053" t="s">
        <v>18933</v>
      </c>
      <c r="G12053" t="s">
        <v>65</v>
      </c>
      <c r="H12053">
        <v>43123</v>
      </c>
      <c r="I12053" t="s">
        <v>30</v>
      </c>
      <c r="J12053" t="s">
        <v>41</v>
      </c>
      <c r="K12053" t="s">
        <v>59</v>
      </c>
      <c r="Q12053">
        <v>0</v>
      </c>
      <c r="R12053">
        <v>22</v>
      </c>
      <c r="S12053">
        <v>22</v>
      </c>
      <c r="T12053" t="s">
        <v>43567</v>
      </c>
    </row>
    <row r="12054" spans="1:20" customFormat="1" ht="15" x14ac:dyDescent="0.25">
      <c r="A12054" t="s">
        <v>35</v>
      </c>
      <c r="B12054" t="s">
        <v>61</v>
      </c>
      <c r="C12054" t="str">
        <f>"A0124046"</f>
        <v>A0124046</v>
      </c>
      <c r="D12054" t="s">
        <v>43568</v>
      </c>
      <c r="E12054" t="s">
        <v>43569</v>
      </c>
      <c r="F12054" t="s">
        <v>2657</v>
      </c>
      <c r="G12054" t="s">
        <v>58</v>
      </c>
      <c r="H12054">
        <v>29576</v>
      </c>
      <c r="I12054" t="s">
        <v>30</v>
      </c>
      <c r="J12054" t="s">
        <v>41</v>
      </c>
      <c r="K12054" t="s">
        <v>482</v>
      </c>
      <c r="Q12054">
        <v>0</v>
      </c>
      <c r="R12054">
        <v>60</v>
      </c>
      <c r="S12054">
        <v>60</v>
      </c>
      <c r="T12054" t="s">
        <v>43570</v>
      </c>
    </row>
    <row r="12055" spans="1:20" customFormat="1" ht="15" x14ac:dyDescent="0.25">
      <c r="A12055" t="s">
        <v>35</v>
      </c>
      <c r="B12055" t="s">
        <v>61</v>
      </c>
      <c r="C12055" t="str">
        <f>"A0124047"</f>
        <v>A0124047</v>
      </c>
      <c r="D12055" t="s">
        <v>43571</v>
      </c>
      <c r="E12055" t="s">
        <v>43572</v>
      </c>
      <c r="F12055" t="s">
        <v>43573</v>
      </c>
      <c r="G12055" t="s">
        <v>58</v>
      </c>
      <c r="H12055">
        <v>29569</v>
      </c>
      <c r="I12055" t="s">
        <v>30</v>
      </c>
      <c r="J12055" t="s">
        <v>41</v>
      </c>
      <c r="K12055" t="s">
        <v>482</v>
      </c>
      <c r="Q12055">
        <v>0</v>
      </c>
      <c r="R12055">
        <v>60</v>
      </c>
      <c r="S12055">
        <v>60</v>
      </c>
      <c r="T12055" t="s">
        <v>43570</v>
      </c>
    </row>
    <row r="12056" spans="1:20" customFormat="1" ht="15" x14ac:dyDescent="0.25">
      <c r="A12056" t="s">
        <v>35</v>
      </c>
      <c r="B12056" t="s">
        <v>61</v>
      </c>
      <c r="C12056" t="str">
        <f>"A0154067"</f>
        <v>A0154067</v>
      </c>
      <c r="D12056" t="s">
        <v>43574</v>
      </c>
      <c r="E12056" t="s">
        <v>43575</v>
      </c>
      <c r="F12056" t="s">
        <v>17551</v>
      </c>
      <c r="G12056" t="s">
        <v>117</v>
      </c>
      <c r="H12056">
        <v>48076</v>
      </c>
      <c r="I12056" t="s">
        <v>30</v>
      </c>
      <c r="J12056" t="s">
        <v>41</v>
      </c>
      <c r="K12056" t="s">
        <v>2463</v>
      </c>
      <c r="Q12056">
        <v>0</v>
      </c>
      <c r="R12056">
        <v>0</v>
      </c>
      <c r="S12056">
        <v>0</v>
      </c>
      <c r="T12056" t="s">
        <v>43576</v>
      </c>
    </row>
    <row r="12057" spans="1:20" customFormat="1" ht="15" x14ac:dyDescent="0.25">
      <c r="A12057" t="s">
        <v>35</v>
      </c>
      <c r="B12057" t="s">
        <v>61</v>
      </c>
      <c r="C12057" t="str">
        <f>"A0123768"</f>
        <v>A0123768</v>
      </c>
      <c r="D12057" t="s">
        <v>43577</v>
      </c>
      <c r="E12057" t="s">
        <v>43578</v>
      </c>
      <c r="F12057" t="s">
        <v>1926</v>
      </c>
      <c r="G12057" t="s">
        <v>214</v>
      </c>
      <c r="H12057">
        <v>28206</v>
      </c>
      <c r="I12057" t="s">
        <v>30</v>
      </c>
      <c r="J12057" t="s">
        <v>41</v>
      </c>
      <c r="K12057" t="s">
        <v>59</v>
      </c>
      <c r="Q12057">
        <v>0</v>
      </c>
      <c r="R12057">
        <v>120</v>
      </c>
      <c r="S12057">
        <v>120</v>
      </c>
      <c r="T12057" t="s">
        <v>43579</v>
      </c>
    </row>
    <row r="12058" spans="1:20" customFormat="1" ht="15" x14ac:dyDescent="0.25">
      <c r="A12058" t="s">
        <v>35</v>
      </c>
      <c r="B12058" t="s">
        <v>61</v>
      </c>
      <c r="C12058" t="str">
        <f>"A0124048"</f>
        <v>A0124048</v>
      </c>
      <c r="D12058" t="s">
        <v>43580</v>
      </c>
      <c r="E12058" t="s">
        <v>43581</v>
      </c>
      <c r="F12058" t="s">
        <v>19101</v>
      </c>
      <c r="G12058" t="s">
        <v>58</v>
      </c>
      <c r="H12058">
        <v>29501</v>
      </c>
      <c r="I12058" t="s">
        <v>30</v>
      </c>
      <c r="J12058" t="s">
        <v>41</v>
      </c>
      <c r="K12058" t="s">
        <v>59</v>
      </c>
      <c r="Q12058">
        <v>0</v>
      </c>
      <c r="R12058">
        <v>50</v>
      </c>
      <c r="S12058">
        <v>50</v>
      </c>
      <c r="T12058" t="s">
        <v>43582</v>
      </c>
    </row>
    <row r="12059" spans="1:20" customFormat="1" ht="15" x14ac:dyDescent="0.25">
      <c r="A12059" t="s">
        <v>35</v>
      </c>
      <c r="B12059" t="s">
        <v>61</v>
      </c>
      <c r="C12059" t="str">
        <f>"A0127384"</f>
        <v>A0127384</v>
      </c>
      <c r="D12059" t="s">
        <v>43583</v>
      </c>
      <c r="E12059" t="s">
        <v>43584</v>
      </c>
      <c r="F12059" t="s">
        <v>43585</v>
      </c>
      <c r="G12059" t="s">
        <v>846</v>
      </c>
      <c r="H12059">
        <v>30019</v>
      </c>
      <c r="I12059" t="s">
        <v>30</v>
      </c>
      <c r="J12059" t="s">
        <v>41</v>
      </c>
      <c r="K12059" t="s">
        <v>59</v>
      </c>
      <c r="Q12059">
        <v>0</v>
      </c>
      <c r="R12059">
        <v>45</v>
      </c>
      <c r="S12059">
        <v>45</v>
      </c>
      <c r="T12059" t="s">
        <v>43586</v>
      </c>
    </row>
    <row r="12060" spans="1:20" customFormat="1" ht="15" x14ac:dyDescent="0.25">
      <c r="A12060" t="s">
        <v>35</v>
      </c>
      <c r="B12060" t="s">
        <v>61</v>
      </c>
      <c r="C12060" t="str">
        <f>"A0127688"</f>
        <v>A0127688</v>
      </c>
      <c r="D12060" t="s">
        <v>43587</v>
      </c>
      <c r="E12060" t="s">
        <v>43588</v>
      </c>
      <c r="F12060" t="s">
        <v>25485</v>
      </c>
      <c r="G12060" t="s">
        <v>117</v>
      </c>
      <c r="H12060">
        <v>49036</v>
      </c>
      <c r="I12060" t="s">
        <v>30</v>
      </c>
      <c r="J12060" t="s">
        <v>41</v>
      </c>
      <c r="K12060" t="s">
        <v>229</v>
      </c>
      <c r="Q12060">
        <v>0</v>
      </c>
      <c r="R12060">
        <v>20</v>
      </c>
      <c r="S12060">
        <v>20</v>
      </c>
      <c r="T12060" t="s">
        <v>43589</v>
      </c>
    </row>
    <row r="12061" spans="1:20" customFormat="1" ht="15" x14ac:dyDescent="0.25">
      <c r="A12061" t="s">
        <v>35</v>
      </c>
      <c r="B12061" t="s">
        <v>61</v>
      </c>
      <c r="C12061" t="str">
        <f>"A0128996"</f>
        <v>A0128996</v>
      </c>
      <c r="D12061" t="s">
        <v>43590</v>
      </c>
      <c r="E12061" t="s">
        <v>43591</v>
      </c>
      <c r="F12061" t="s">
        <v>43592</v>
      </c>
      <c r="G12061" t="s">
        <v>289</v>
      </c>
      <c r="H12061">
        <v>61747</v>
      </c>
      <c r="I12061" t="s">
        <v>30</v>
      </c>
      <c r="J12061" t="s">
        <v>41</v>
      </c>
      <c r="K12061" t="s">
        <v>229</v>
      </c>
      <c r="Q12061">
        <v>0</v>
      </c>
      <c r="R12061">
        <v>96</v>
      </c>
      <c r="S12061">
        <v>96</v>
      </c>
      <c r="T12061" t="s">
        <v>43593</v>
      </c>
    </row>
    <row r="12062" spans="1:20" customFormat="1" ht="15" x14ac:dyDescent="0.25">
      <c r="A12062" t="s">
        <v>35</v>
      </c>
      <c r="B12062" t="s">
        <v>61</v>
      </c>
      <c r="C12062" t="str">
        <f>"A0118487"</f>
        <v>A0118487</v>
      </c>
      <c r="D12062" t="s">
        <v>43594</v>
      </c>
      <c r="E12062" t="s">
        <v>43595</v>
      </c>
      <c r="F12062" t="s">
        <v>36171</v>
      </c>
      <c r="G12062" t="s">
        <v>110</v>
      </c>
      <c r="H12062">
        <v>940620000</v>
      </c>
      <c r="I12062" t="s">
        <v>30</v>
      </c>
      <c r="J12062" t="s">
        <v>41</v>
      </c>
      <c r="K12062" t="s">
        <v>59</v>
      </c>
      <c r="Q12062">
        <v>0</v>
      </c>
      <c r="R12062">
        <v>50</v>
      </c>
      <c r="S12062">
        <v>50</v>
      </c>
      <c r="T12062" t="s">
        <v>43596</v>
      </c>
    </row>
    <row r="12063" spans="1:20" customFormat="1" ht="15" x14ac:dyDescent="0.25">
      <c r="A12063" t="s">
        <v>35</v>
      </c>
      <c r="B12063" t="s">
        <v>61</v>
      </c>
      <c r="C12063" t="str">
        <f>"A0153005"</f>
        <v>A0153005</v>
      </c>
      <c r="D12063" t="s">
        <v>43597</v>
      </c>
      <c r="E12063" t="s">
        <v>43598</v>
      </c>
      <c r="F12063" t="s">
        <v>15328</v>
      </c>
      <c r="G12063" t="s">
        <v>65</v>
      </c>
      <c r="H12063">
        <v>44070</v>
      </c>
      <c r="I12063" t="s">
        <v>30</v>
      </c>
      <c r="J12063" t="s">
        <v>41</v>
      </c>
      <c r="K12063" t="s">
        <v>391</v>
      </c>
      <c r="Q12063">
        <v>0</v>
      </c>
      <c r="R12063">
        <v>0</v>
      </c>
      <c r="S12063">
        <v>0</v>
      </c>
      <c r="T12063" t="s">
        <v>43599</v>
      </c>
    </row>
    <row r="12064" spans="1:20" customFormat="1" ht="15" x14ac:dyDescent="0.25">
      <c r="A12064" t="s">
        <v>35</v>
      </c>
      <c r="B12064" t="s">
        <v>61</v>
      </c>
      <c r="C12064" t="str">
        <f>"A0123769"</f>
        <v>A0123769</v>
      </c>
      <c r="D12064" t="s">
        <v>43600</v>
      </c>
      <c r="E12064" t="s">
        <v>43601</v>
      </c>
      <c r="F12064" t="s">
        <v>32875</v>
      </c>
      <c r="G12064" t="s">
        <v>29</v>
      </c>
      <c r="H12064">
        <v>24382</v>
      </c>
      <c r="I12064" t="s">
        <v>30</v>
      </c>
      <c r="J12064" t="s">
        <v>41</v>
      </c>
      <c r="K12064" t="s">
        <v>59</v>
      </c>
      <c r="Q12064">
        <v>0</v>
      </c>
      <c r="R12064">
        <v>11</v>
      </c>
      <c r="S12064">
        <v>11</v>
      </c>
      <c r="T12064" t="s">
        <v>43602</v>
      </c>
    </row>
    <row r="12065" spans="1:20" customFormat="1" ht="15" x14ac:dyDescent="0.25">
      <c r="A12065" t="s">
        <v>35</v>
      </c>
      <c r="B12065" t="s">
        <v>61</v>
      </c>
      <c r="C12065" t="str">
        <f>"A0150554"</f>
        <v>A0150554</v>
      </c>
      <c r="D12065" t="s">
        <v>43603</v>
      </c>
      <c r="E12065" t="s">
        <v>43604</v>
      </c>
      <c r="F12065" t="s">
        <v>6538</v>
      </c>
      <c r="G12065" t="s">
        <v>214</v>
      </c>
      <c r="H12065">
        <v>27106</v>
      </c>
      <c r="I12065" t="s">
        <v>30</v>
      </c>
      <c r="J12065" t="s">
        <v>41</v>
      </c>
      <c r="K12065" t="s">
        <v>131</v>
      </c>
      <c r="Q12065">
        <v>0</v>
      </c>
      <c r="R12065">
        <v>10</v>
      </c>
      <c r="S12065">
        <v>10</v>
      </c>
      <c r="T12065" t="s">
        <v>43605</v>
      </c>
    </row>
    <row r="12066" spans="1:20" customFormat="1" ht="15" x14ac:dyDescent="0.25">
      <c r="A12066" t="s">
        <v>35</v>
      </c>
      <c r="B12066" t="s">
        <v>61</v>
      </c>
      <c r="C12066" t="str">
        <f>"A0125093"</f>
        <v>A0125093</v>
      </c>
      <c r="D12066" t="s">
        <v>43606</v>
      </c>
      <c r="E12066" t="s">
        <v>43607</v>
      </c>
      <c r="F12066" t="s">
        <v>43608</v>
      </c>
      <c r="G12066" t="s">
        <v>214</v>
      </c>
      <c r="H12066">
        <v>27045</v>
      </c>
      <c r="I12066" t="s">
        <v>30</v>
      </c>
      <c r="J12066" t="s">
        <v>41</v>
      </c>
      <c r="K12066" t="s">
        <v>131</v>
      </c>
      <c r="Q12066">
        <v>0</v>
      </c>
      <c r="R12066">
        <v>40</v>
      </c>
      <c r="S12066">
        <v>40</v>
      </c>
      <c r="T12066" t="s">
        <v>43609</v>
      </c>
    </row>
    <row r="12067" spans="1:20" customFormat="1" ht="15" x14ac:dyDescent="0.25">
      <c r="A12067" t="s">
        <v>35</v>
      </c>
      <c r="B12067" t="s">
        <v>61</v>
      </c>
      <c r="C12067" t="str">
        <f>"A0123108"</f>
        <v>A0123108</v>
      </c>
      <c r="D12067" t="s">
        <v>43610</v>
      </c>
      <c r="E12067" t="s">
        <v>43611</v>
      </c>
      <c r="F12067" t="s">
        <v>3744</v>
      </c>
      <c r="G12067" t="s">
        <v>47</v>
      </c>
      <c r="H12067">
        <v>97504</v>
      </c>
      <c r="I12067" t="s">
        <v>30</v>
      </c>
      <c r="J12067" t="s">
        <v>41</v>
      </c>
      <c r="K12067" t="s">
        <v>59</v>
      </c>
      <c r="Q12067">
        <v>0</v>
      </c>
      <c r="R12067">
        <v>94</v>
      </c>
      <c r="S12067">
        <v>94</v>
      </c>
      <c r="T12067" t="s">
        <v>43612</v>
      </c>
    </row>
    <row r="12068" spans="1:20" customFormat="1" ht="15" x14ac:dyDescent="0.25">
      <c r="A12068" t="s">
        <v>35</v>
      </c>
      <c r="B12068" t="s">
        <v>61</v>
      </c>
      <c r="C12068" t="str">
        <f>"A0123374"</f>
        <v>A0123374</v>
      </c>
      <c r="D12068" t="s">
        <v>43613</v>
      </c>
      <c r="E12068" t="s">
        <v>43614</v>
      </c>
      <c r="F12068" t="s">
        <v>1926</v>
      </c>
      <c r="G12068" t="s">
        <v>214</v>
      </c>
      <c r="H12068">
        <v>28204</v>
      </c>
      <c r="I12068" t="s">
        <v>30</v>
      </c>
      <c r="J12068" t="s">
        <v>41</v>
      </c>
      <c r="K12068" t="s">
        <v>456</v>
      </c>
      <c r="Q12068">
        <v>0</v>
      </c>
      <c r="R12068">
        <v>0</v>
      </c>
      <c r="S12068">
        <v>0</v>
      </c>
      <c r="T12068" t="s">
        <v>43615</v>
      </c>
    </row>
    <row r="12069" spans="1:20" customFormat="1" ht="15" x14ac:dyDescent="0.25">
      <c r="A12069" t="s">
        <v>35</v>
      </c>
      <c r="B12069" t="s">
        <v>61</v>
      </c>
      <c r="C12069" t="str">
        <f>"A0131684"</f>
        <v>A0131684</v>
      </c>
      <c r="D12069" t="s">
        <v>43616</v>
      </c>
      <c r="E12069" t="s">
        <v>43617</v>
      </c>
      <c r="F12069" t="s">
        <v>43618</v>
      </c>
      <c r="G12069" t="s">
        <v>65</v>
      </c>
      <c r="H12069">
        <v>44514</v>
      </c>
      <c r="I12069" t="s">
        <v>30</v>
      </c>
      <c r="J12069" t="s">
        <v>41</v>
      </c>
      <c r="K12069" t="s">
        <v>456</v>
      </c>
      <c r="Q12069">
        <v>0</v>
      </c>
      <c r="R12069">
        <v>16</v>
      </c>
      <c r="S12069">
        <v>16</v>
      </c>
      <c r="T12069" t="s">
        <v>43619</v>
      </c>
    </row>
    <row r="12070" spans="1:20" customFormat="1" ht="15" x14ac:dyDescent="0.25">
      <c r="A12070" t="s">
        <v>35</v>
      </c>
      <c r="B12070" t="s">
        <v>61</v>
      </c>
      <c r="C12070" t="str">
        <f>"A0126078"</f>
        <v>A0126078</v>
      </c>
      <c r="D12070" t="s">
        <v>43620</v>
      </c>
      <c r="E12070" t="s">
        <v>43621</v>
      </c>
      <c r="F12070" t="s">
        <v>10187</v>
      </c>
      <c r="G12070" t="s">
        <v>197</v>
      </c>
      <c r="H12070">
        <v>85207</v>
      </c>
      <c r="I12070" t="s">
        <v>30</v>
      </c>
      <c r="J12070" t="s">
        <v>41</v>
      </c>
      <c r="K12070" t="s">
        <v>456</v>
      </c>
      <c r="Q12070">
        <v>0</v>
      </c>
      <c r="R12070">
        <v>14</v>
      </c>
      <c r="S12070">
        <v>14</v>
      </c>
      <c r="T12070" t="s">
        <v>43622</v>
      </c>
    </row>
    <row r="12071" spans="1:20" customFormat="1" ht="15" x14ac:dyDescent="0.25">
      <c r="A12071" t="s">
        <v>35</v>
      </c>
      <c r="B12071" t="s">
        <v>61</v>
      </c>
      <c r="C12071" t="str">
        <f>"A0125353"</f>
        <v>A0125353</v>
      </c>
      <c r="D12071" t="s">
        <v>43623</v>
      </c>
      <c r="E12071" t="s">
        <v>43624</v>
      </c>
      <c r="F12071" t="s">
        <v>17740</v>
      </c>
      <c r="G12071" t="s">
        <v>40</v>
      </c>
      <c r="H12071">
        <v>74502</v>
      </c>
      <c r="I12071" t="s">
        <v>30</v>
      </c>
      <c r="J12071" t="s">
        <v>41</v>
      </c>
      <c r="K12071" t="s">
        <v>456</v>
      </c>
      <c r="Q12071">
        <v>0</v>
      </c>
      <c r="R12071">
        <v>1</v>
      </c>
      <c r="S12071">
        <v>1</v>
      </c>
      <c r="T12071" t="s">
        <v>43625</v>
      </c>
    </row>
    <row r="12072" spans="1:20" customFormat="1" ht="15" x14ac:dyDescent="0.25">
      <c r="A12072" t="s">
        <v>35</v>
      </c>
      <c r="B12072" t="s">
        <v>35981</v>
      </c>
      <c r="C12072" t="str">
        <f>"A0132148"</f>
        <v>A0132148</v>
      </c>
      <c r="D12072" t="s">
        <v>43626</v>
      </c>
      <c r="E12072" t="s">
        <v>43627</v>
      </c>
      <c r="F12072" t="s">
        <v>967</v>
      </c>
      <c r="G12072" t="s">
        <v>65</v>
      </c>
      <c r="H12072">
        <v>44805</v>
      </c>
      <c r="I12072" t="s">
        <v>30</v>
      </c>
      <c r="J12072" t="s">
        <v>41</v>
      </c>
      <c r="K12072" t="s">
        <v>456</v>
      </c>
      <c r="Q12072">
        <v>0</v>
      </c>
      <c r="R12072">
        <v>12</v>
      </c>
      <c r="S12072">
        <v>12</v>
      </c>
      <c r="T12072" t="s">
        <v>43628</v>
      </c>
    </row>
    <row r="12073" spans="1:20" customFormat="1" ht="15" x14ac:dyDescent="0.25">
      <c r="A12073" t="s">
        <v>35</v>
      </c>
      <c r="B12073" t="s">
        <v>35981</v>
      </c>
      <c r="C12073" t="str">
        <f>"A0132149"</f>
        <v>A0132149</v>
      </c>
      <c r="D12073" t="s">
        <v>43629</v>
      </c>
      <c r="E12073" t="s">
        <v>43630</v>
      </c>
      <c r="F12073" t="s">
        <v>36392</v>
      </c>
      <c r="G12073" t="s">
        <v>65</v>
      </c>
      <c r="H12073">
        <v>44907</v>
      </c>
      <c r="I12073" t="s">
        <v>30</v>
      </c>
      <c r="J12073" t="s">
        <v>41</v>
      </c>
      <c r="K12073" t="s">
        <v>456</v>
      </c>
      <c r="Q12073">
        <v>0</v>
      </c>
      <c r="R12073">
        <v>12</v>
      </c>
      <c r="S12073">
        <v>12</v>
      </c>
      <c r="T12073" t="s">
        <v>43631</v>
      </c>
    </row>
    <row r="12074" spans="1:20" customFormat="1" ht="15" x14ac:dyDescent="0.25">
      <c r="A12074" t="s">
        <v>35</v>
      </c>
      <c r="B12074" t="s">
        <v>61</v>
      </c>
      <c r="C12074" t="str">
        <f>"A0127605"</f>
        <v>A0127605</v>
      </c>
      <c r="D12074" t="s">
        <v>43632</v>
      </c>
      <c r="E12074" t="s">
        <v>43633</v>
      </c>
      <c r="F12074" t="s">
        <v>8288</v>
      </c>
      <c r="G12074" t="s">
        <v>123</v>
      </c>
      <c r="H12074">
        <v>21742</v>
      </c>
      <c r="I12074" t="s">
        <v>30</v>
      </c>
      <c r="J12074" t="s">
        <v>41</v>
      </c>
      <c r="K12074" t="s">
        <v>456</v>
      </c>
      <c r="Q12074">
        <v>0</v>
      </c>
      <c r="R12074">
        <v>200</v>
      </c>
      <c r="S12074">
        <v>200</v>
      </c>
      <c r="T12074" t="s">
        <v>43634</v>
      </c>
    </row>
    <row r="12075" spans="1:20" customFormat="1" ht="15" x14ac:dyDescent="0.25">
      <c r="A12075" t="s">
        <v>35</v>
      </c>
      <c r="B12075" t="s">
        <v>61</v>
      </c>
      <c r="C12075" t="str">
        <f>"A0125327"</f>
        <v>A0125327</v>
      </c>
      <c r="D12075" t="s">
        <v>43635</v>
      </c>
      <c r="E12075" t="s">
        <v>43636</v>
      </c>
      <c r="F12075" t="s">
        <v>17232</v>
      </c>
      <c r="G12075" t="s">
        <v>40</v>
      </c>
      <c r="H12075">
        <v>731100000</v>
      </c>
      <c r="I12075" t="s">
        <v>30</v>
      </c>
      <c r="J12075" t="s">
        <v>41</v>
      </c>
      <c r="K12075" t="s">
        <v>456</v>
      </c>
      <c r="Q12075">
        <v>0</v>
      </c>
      <c r="R12075">
        <v>12</v>
      </c>
      <c r="S12075">
        <v>12</v>
      </c>
      <c r="T12075" t="s">
        <v>43637</v>
      </c>
    </row>
    <row r="12076" spans="1:20" customFormat="1" ht="15" x14ac:dyDescent="0.25">
      <c r="A12076" t="s">
        <v>35</v>
      </c>
      <c r="B12076" t="s">
        <v>437</v>
      </c>
      <c r="C12076" t="str">
        <f>"A0134057"</f>
        <v>A0134057</v>
      </c>
      <c r="D12076" t="s">
        <v>43638</v>
      </c>
      <c r="E12076" t="s">
        <v>43639</v>
      </c>
      <c r="F12076" t="s">
        <v>2535</v>
      </c>
      <c r="G12076" t="s">
        <v>110</v>
      </c>
      <c r="H12076">
        <v>92675</v>
      </c>
      <c r="I12076" t="s">
        <v>30</v>
      </c>
      <c r="J12076" t="s">
        <v>441</v>
      </c>
      <c r="K12076" t="s">
        <v>442</v>
      </c>
      <c r="Q12076">
        <v>0</v>
      </c>
      <c r="R12076">
        <v>0</v>
      </c>
      <c r="S12076">
        <v>0</v>
      </c>
      <c r="T12076" t="s">
        <v>43640</v>
      </c>
    </row>
    <row r="12077" spans="1:20" customFormat="1" ht="15" x14ac:dyDescent="0.25">
      <c r="A12077" t="s">
        <v>35</v>
      </c>
      <c r="B12077" t="s">
        <v>437</v>
      </c>
      <c r="C12077" t="str">
        <f>"A0133979"</f>
        <v>A0133979</v>
      </c>
      <c r="D12077" t="s">
        <v>43641</v>
      </c>
      <c r="E12077" t="s">
        <v>43642</v>
      </c>
      <c r="F12077" t="s">
        <v>10245</v>
      </c>
      <c r="G12077" t="s">
        <v>71</v>
      </c>
      <c r="H12077">
        <v>54494</v>
      </c>
      <c r="I12077" t="s">
        <v>30</v>
      </c>
      <c r="J12077" t="s">
        <v>441</v>
      </c>
      <c r="K12077" t="s">
        <v>37340</v>
      </c>
      <c r="Q12077">
        <v>0</v>
      </c>
      <c r="R12077">
        <v>0</v>
      </c>
      <c r="S12077">
        <v>0</v>
      </c>
      <c r="T12077" t="s">
        <v>43643</v>
      </c>
    </row>
    <row r="12078" spans="1:20" customFormat="1" ht="15" x14ac:dyDescent="0.25">
      <c r="A12078" t="s">
        <v>35</v>
      </c>
      <c r="B12078" t="s">
        <v>106</v>
      </c>
      <c r="C12078" t="str">
        <f>"A0135332"</f>
        <v>A0135332</v>
      </c>
      <c r="D12078" t="s">
        <v>43644</v>
      </c>
      <c r="E12078" t="s">
        <v>43645</v>
      </c>
      <c r="F12078" t="s">
        <v>4316</v>
      </c>
      <c r="G12078" t="s">
        <v>117</v>
      </c>
      <c r="H12078">
        <v>49931</v>
      </c>
      <c r="I12078" t="s">
        <v>30</v>
      </c>
      <c r="J12078" t="s">
        <v>111</v>
      </c>
      <c r="K12078" t="s">
        <v>10012</v>
      </c>
      <c r="Q12078">
        <v>0</v>
      </c>
      <c r="R12078">
        <v>0</v>
      </c>
      <c r="S12078">
        <v>0</v>
      </c>
      <c r="T12078" t="s">
        <v>43646</v>
      </c>
    </row>
    <row r="12079" spans="1:20" customFormat="1" ht="15" x14ac:dyDescent="0.25">
      <c r="A12079" t="s">
        <v>35</v>
      </c>
      <c r="B12079" t="s">
        <v>61</v>
      </c>
      <c r="C12079" t="str">
        <f>"A0131127"</f>
        <v>A0131127</v>
      </c>
      <c r="D12079" t="s">
        <v>43647</v>
      </c>
      <c r="E12079" t="s">
        <v>43648</v>
      </c>
      <c r="F12079" t="s">
        <v>43649</v>
      </c>
      <c r="G12079" t="s">
        <v>137</v>
      </c>
      <c r="H12079">
        <v>631320000</v>
      </c>
      <c r="I12079" t="s">
        <v>30</v>
      </c>
      <c r="J12079" t="s">
        <v>41</v>
      </c>
      <c r="K12079" t="s">
        <v>2463</v>
      </c>
      <c r="Q12079">
        <v>0</v>
      </c>
      <c r="R12079">
        <v>1</v>
      </c>
      <c r="S12079">
        <v>1</v>
      </c>
      <c r="T12079" t="s">
        <v>43650</v>
      </c>
    </row>
    <row r="12080" spans="1:20" customFormat="1" ht="15" x14ac:dyDescent="0.25">
      <c r="A12080" t="s">
        <v>35</v>
      </c>
      <c r="B12080" t="s">
        <v>437</v>
      </c>
      <c r="C12080" t="str">
        <f>"A0133884"</f>
        <v>A0133884</v>
      </c>
      <c r="D12080" t="s">
        <v>43651</v>
      </c>
      <c r="E12080" t="s">
        <v>43652</v>
      </c>
      <c r="F12080" t="s">
        <v>24984</v>
      </c>
      <c r="G12080" t="s">
        <v>110</v>
      </c>
      <c r="H12080">
        <v>906300000</v>
      </c>
      <c r="I12080" t="s">
        <v>30</v>
      </c>
      <c r="J12080" t="s">
        <v>441</v>
      </c>
      <c r="K12080" t="s">
        <v>442</v>
      </c>
      <c r="Q12080">
        <v>0</v>
      </c>
      <c r="R12080">
        <v>0</v>
      </c>
      <c r="S12080">
        <v>0</v>
      </c>
      <c r="T12080" t="s">
        <v>43653</v>
      </c>
    </row>
    <row r="12081" spans="1:20" customFormat="1" ht="15" x14ac:dyDescent="0.25">
      <c r="A12081" t="s">
        <v>35</v>
      </c>
      <c r="B12081" t="s">
        <v>61</v>
      </c>
      <c r="C12081" t="str">
        <f>"A0151236"</f>
        <v>A0151236</v>
      </c>
      <c r="D12081" t="s">
        <v>43654</v>
      </c>
      <c r="E12081" t="s">
        <v>43655</v>
      </c>
      <c r="F12081" t="s">
        <v>22547</v>
      </c>
      <c r="G12081" t="s">
        <v>117</v>
      </c>
      <c r="H12081">
        <v>48843</v>
      </c>
      <c r="I12081" t="s">
        <v>30</v>
      </c>
      <c r="J12081" t="s">
        <v>41</v>
      </c>
      <c r="K12081" t="s">
        <v>42</v>
      </c>
      <c r="Q12081">
        <v>0</v>
      </c>
      <c r="R12081">
        <v>0</v>
      </c>
      <c r="S12081">
        <v>0</v>
      </c>
      <c r="T12081" t="s">
        <v>43656</v>
      </c>
    </row>
    <row r="12082" spans="1:20" customFormat="1" ht="15" x14ac:dyDescent="0.25">
      <c r="A12082" t="s">
        <v>35</v>
      </c>
      <c r="B12082" t="s">
        <v>61</v>
      </c>
      <c r="C12082" t="str">
        <f>"A0133830"</f>
        <v>A0133830</v>
      </c>
      <c r="D12082" t="s">
        <v>43657</v>
      </c>
      <c r="E12082" t="s">
        <v>43658</v>
      </c>
      <c r="F12082" t="s">
        <v>14856</v>
      </c>
      <c r="G12082" t="s">
        <v>110</v>
      </c>
      <c r="H12082">
        <v>92618</v>
      </c>
      <c r="I12082" t="s">
        <v>30</v>
      </c>
      <c r="J12082" t="s">
        <v>41</v>
      </c>
      <c r="K12082" t="s">
        <v>290</v>
      </c>
      <c r="Q12082">
        <v>0</v>
      </c>
      <c r="R12082">
        <v>0</v>
      </c>
      <c r="S12082">
        <v>0</v>
      </c>
      <c r="T12082" t="s">
        <v>43659</v>
      </c>
    </row>
    <row r="12083" spans="1:20" customFormat="1" ht="15" x14ac:dyDescent="0.25">
      <c r="A12083" t="s">
        <v>35</v>
      </c>
      <c r="B12083" t="s">
        <v>61</v>
      </c>
      <c r="C12083" t="str">
        <f>"A0118577"</f>
        <v>A0118577</v>
      </c>
      <c r="D12083" t="s">
        <v>43660</v>
      </c>
      <c r="E12083" t="s">
        <v>43658</v>
      </c>
      <c r="F12083" t="s">
        <v>14856</v>
      </c>
      <c r="G12083" t="s">
        <v>110</v>
      </c>
      <c r="H12083">
        <v>92618</v>
      </c>
      <c r="I12083" t="s">
        <v>30</v>
      </c>
      <c r="J12083" t="s">
        <v>41</v>
      </c>
      <c r="K12083" t="s">
        <v>290</v>
      </c>
      <c r="Q12083">
        <v>0</v>
      </c>
      <c r="R12083">
        <v>1</v>
      </c>
      <c r="S12083">
        <v>1</v>
      </c>
      <c r="T12083" t="s">
        <v>43659</v>
      </c>
    </row>
    <row r="12084" spans="1:20" customFormat="1" ht="15" x14ac:dyDescent="0.25">
      <c r="A12084" t="s">
        <v>35</v>
      </c>
      <c r="B12084" t="s">
        <v>61</v>
      </c>
      <c r="C12084" t="str">
        <f>"A0124180"</f>
        <v>A0124180</v>
      </c>
      <c r="D12084" t="s">
        <v>43661</v>
      </c>
      <c r="E12084" t="s">
        <v>43662</v>
      </c>
      <c r="F12084" t="s">
        <v>38096</v>
      </c>
      <c r="G12084" t="s">
        <v>123</v>
      </c>
      <c r="H12084">
        <v>21863</v>
      </c>
      <c r="I12084" t="s">
        <v>30</v>
      </c>
      <c r="J12084" t="s">
        <v>41</v>
      </c>
      <c r="K12084" t="s">
        <v>229</v>
      </c>
      <c r="Q12084">
        <v>0</v>
      </c>
      <c r="R12084">
        <v>117</v>
      </c>
      <c r="S12084">
        <v>117</v>
      </c>
      <c r="T12084" t="s">
        <v>43663</v>
      </c>
    </row>
    <row r="12085" spans="1:20" customFormat="1" ht="15" x14ac:dyDescent="0.25">
      <c r="A12085" t="s">
        <v>35</v>
      </c>
      <c r="B12085" t="s">
        <v>106</v>
      </c>
      <c r="C12085" t="str">
        <f>"A0136032"</f>
        <v>A0136032</v>
      </c>
      <c r="D12085" t="s">
        <v>43664</v>
      </c>
      <c r="E12085" t="s">
        <v>43665</v>
      </c>
      <c r="F12085" t="s">
        <v>43666</v>
      </c>
      <c r="G12085" t="s">
        <v>110</v>
      </c>
      <c r="H12085">
        <v>95521</v>
      </c>
      <c r="I12085" t="s">
        <v>30</v>
      </c>
      <c r="J12085" t="s">
        <v>111</v>
      </c>
      <c r="K12085" t="s">
        <v>112</v>
      </c>
      <c r="Q12085">
        <v>0</v>
      </c>
      <c r="R12085">
        <v>0</v>
      </c>
      <c r="S12085">
        <v>0</v>
      </c>
      <c r="T12085" t="s">
        <v>43667</v>
      </c>
    </row>
    <row r="12086" spans="1:20" customFormat="1" ht="15" x14ac:dyDescent="0.25">
      <c r="A12086" t="s">
        <v>35</v>
      </c>
      <c r="B12086" t="s">
        <v>106</v>
      </c>
      <c r="C12086" t="str">
        <f>"A0136028"</f>
        <v>A0136028</v>
      </c>
      <c r="D12086" t="s">
        <v>43668</v>
      </c>
      <c r="E12086" t="s">
        <v>43669</v>
      </c>
      <c r="F12086" t="s">
        <v>43666</v>
      </c>
      <c r="G12086" t="s">
        <v>110</v>
      </c>
      <c r="H12086">
        <v>95521</v>
      </c>
      <c r="I12086" t="s">
        <v>30</v>
      </c>
      <c r="J12086" t="s">
        <v>111</v>
      </c>
      <c r="K12086" t="s">
        <v>10012</v>
      </c>
      <c r="Q12086">
        <v>0</v>
      </c>
      <c r="R12086">
        <v>0</v>
      </c>
      <c r="S12086">
        <v>0</v>
      </c>
      <c r="T12086" t="s">
        <v>43667</v>
      </c>
    </row>
    <row r="12087" spans="1:20" customFormat="1" ht="15" x14ac:dyDescent="0.25">
      <c r="A12087" t="s">
        <v>35</v>
      </c>
      <c r="B12087" t="s">
        <v>106</v>
      </c>
      <c r="C12087" t="str">
        <f>"A0136026"</f>
        <v>A0136026</v>
      </c>
      <c r="D12087" t="s">
        <v>43670</v>
      </c>
      <c r="E12087" t="s">
        <v>43669</v>
      </c>
      <c r="F12087" t="s">
        <v>43666</v>
      </c>
      <c r="G12087" t="s">
        <v>110</v>
      </c>
      <c r="H12087">
        <v>95521</v>
      </c>
      <c r="I12087" t="s">
        <v>30</v>
      </c>
      <c r="J12087" t="s">
        <v>111</v>
      </c>
      <c r="K12087" t="s">
        <v>10012</v>
      </c>
      <c r="Q12087">
        <v>0</v>
      </c>
      <c r="R12087">
        <v>0</v>
      </c>
      <c r="S12087">
        <v>0</v>
      </c>
      <c r="T12087" t="s">
        <v>43667</v>
      </c>
    </row>
    <row r="12088" spans="1:20" customFormat="1" ht="15" x14ac:dyDescent="0.25">
      <c r="A12088" t="s">
        <v>35</v>
      </c>
      <c r="B12088" t="s">
        <v>106</v>
      </c>
      <c r="C12088" t="str">
        <f>"A0136029"</f>
        <v>A0136029</v>
      </c>
      <c r="D12088" t="s">
        <v>43671</v>
      </c>
      <c r="E12088" t="s">
        <v>43669</v>
      </c>
      <c r="F12088" t="s">
        <v>43666</v>
      </c>
      <c r="G12088" t="s">
        <v>110</v>
      </c>
      <c r="H12088">
        <v>95521</v>
      </c>
      <c r="I12088" t="s">
        <v>30</v>
      </c>
      <c r="J12088" t="s">
        <v>111</v>
      </c>
      <c r="K12088" t="s">
        <v>10012</v>
      </c>
      <c r="Q12088">
        <v>0</v>
      </c>
      <c r="R12088">
        <v>0</v>
      </c>
      <c r="S12088">
        <v>0</v>
      </c>
      <c r="T12088" t="s">
        <v>43667</v>
      </c>
    </row>
    <row r="12089" spans="1:20" customFormat="1" ht="15" x14ac:dyDescent="0.25">
      <c r="A12089" t="s">
        <v>35</v>
      </c>
      <c r="B12089" t="s">
        <v>106</v>
      </c>
      <c r="C12089" t="str">
        <f>"A0136031"</f>
        <v>A0136031</v>
      </c>
      <c r="D12089" t="s">
        <v>43672</v>
      </c>
      <c r="E12089" t="s">
        <v>43673</v>
      </c>
      <c r="F12089" t="s">
        <v>43666</v>
      </c>
      <c r="G12089" t="s">
        <v>110</v>
      </c>
      <c r="H12089">
        <v>95521</v>
      </c>
      <c r="I12089" t="s">
        <v>30</v>
      </c>
      <c r="J12089" t="s">
        <v>111</v>
      </c>
      <c r="K12089" t="s">
        <v>112</v>
      </c>
      <c r="Q12089">
        <v>0</v>
      </c>
      <c r="R12089">
        <v>0</v>
      </c>
      <c r="S12089">
        <v>0</v>
      </c>
      <c r="T12089" t="s">
        <v>43667</v>
      </c>
    </row>
    <row r="12090" spans="1:20" customFormat="1" ht="15" x14ac:dyDescent="0.25">
      <c r="A12090" t="s">
        <v>35</v>
      </c>
      <c r="B12090" t="s">
        <v>106</v>
      </c>
      <c r="C12090" t="str">
        <f>"A0136030"</f>
        <v>A0136030</v>
      </c>
      <c r="D12090" t="s">
        <v>43674</v>
      </c>
      <c r="E12090" t="s">
        <v>43669</v>
      </c>
      <c r="F12090" t="s">
        <v>43666</v>
      </c>
      <c r="G12090" t="s">
        <v>110</v>
      </c>
      <c r="H12090">
        <v>95521</v>
      </c>
      <c r="I12090" t="s">
        <v>30</v>
      </c>
      <c r="J12090" t="s">
        <v>111</v>
      </c>
      <c r="K12090" t="s">
        <v>10012</v>
      </c>
      <c r="Q12090">
        <v>0</v>
      </c>
      <c r="R12090">
        <v>0</v>
      </c>
      <c r="S12090">
        <v>0</v>
      </c>
      <c r="T12090" t="s">
        <v>43667</v>
      </c>
    </row>
    <row r="12091" spans="1:20" customFormat="1" ht="15" x14ac:dyDescent="0.25">
      <c r="A12091" t="s">
        <v>35</v>
      </c>
      <c r="B12091" t="s">
        <v>106</v>
      </c>
      <c r="C12091" t="str">
        <f>"A0136025"</f>
        <v>A0136025</v>
      </c>
      <c r="D12091" t="s">
        <v>43675</v>
      </c>
      <c r="E12091" t="s">
        <v>43669</v>
      </c>
      <c r="F12091" t="s">
        <v>43666</v>
      </c>
      <c r="G12091" t="s">
        <v>110</v>
      </c>
      <c r="H12091">
        <v>95521</v>
      </c>
      <c r="I12091" t="s">
        <v>30</v>
      </c>
      <c r="J12091" t="s">
        <v>111</v>
      </c>
      <c r="K12091" t="s">
        <v>10012</v>
      </c>
      <c r="Q12091">
        <v>0</v>
      </c>
      <c r="R12091">
        <v>0</v>
      </c>
      <c r="S12091">
        <v>0</v>
      </c>
      <c r="T12091" t="s">
        <v>43667</v>
      </c>
    </row>
    <row r="12092" spans="1:20" customFormat="1" ht="15" x14ac:dyDescent="0.25">
      <c r="A12092" t="s">
        <v>35</v>
      </c>
      <c r="B12092" t="s">
        <v>106</v>
      </c>
      <c r="C12092" t="str">
        <f>"A0136027"</f>
        <v>A0136027</v>
      </c>
      <c r="D12092" t="s">
        <v>43676</v>
      </c>
      <c r="E12092" t="s">
        <v>43669</v>
      </c>
      <c r="F12092" t="s">
        <v>43666</v>
      </c>
      <c r="G12092" t="s">
        <v>110</v>
      </c>
      <c r="H12092">
        <v>95521</v>
      </c>
      <c r="I12092" t="s">
        <v>30</v>
      </c>
      <c r="J12092" t="s">
        <v>111</v>
      </c>
      <c r="K12092" t="s">
        <v>10012</v>
      </c>
      <c r="Q12092">
        <v>0</v>
      </c>
      <c r="R12092">
        <v>0</v>
      </c>
      <c r="S12092">
        <v>0</v>
      </c>
      <c r="T12092" t="s">
        <v>43667</v>
      </c>
    </row>
    <row r="12093" spans="1:20" customFormat="1" ht="15" x14ac:dyDescent="0.25">
      <c r="A12093" t="s">
        <v>35</v>
      </c>
      <c r="B12093" t="s">
        <v>61</v>
      </c>
      <c r="C12093" t="str">
        <f>"A0130293"</f>
        <v>A0130293</v>
      </c>
      <c r="D12093" t="s">
        <v>43677</v>
      </c>
      <c r="E12093" t="s">
        <v>43678</v>
      </c>
      <c r="F12093" t="s">
        <v>43679</v>
      </c>
      <c r="G12093" t="s">
        <v>1898</v>
      </c>
      <c r="H12093">
        <v>50122</v>
      </c>
      <c r="I12093" t="s">
        <v>30</v>
      </c>
      <c r="J12093" t="s">
        <v>41</v>
      </c>
      <c r="K12093" t="s">
        <v>229</v>
      </c>
      <c r="Q12093">
        <v>0</v>
      </c>
      <c r="R12093">
        <v>60</v>
      </c>
      <c r="S12093">
        <v>60</v>
      </c>
      <c r="T12093" t="s">
        <v>43680</v>
      </c>
    </row>
    <row r="12094" spans="1:20" customFormat="1" ht="15" x14ac:dyDescent="0.25">
      <c r="A12094" t="s">
        <v>35</v>
      </c>
      <c r="B12094" t="s">
        <v>61</v>
      </c>
      <c r="C12094" t="str">
        <f>"A0124840"</f>
        <v>A0124840</v>
      </c>
      <c r="D12094" t="s">
        <v>43681</v>
      </c>
      <c r="E12094" t="s">
        <v>43682</v>
      </c>
      <c r="F12094" t="s">
        <v>27264</v>
      </c>
      <c r="G12094" t="s">
        <v>214</v>
      </c>
      <c r="H12094">
        <v>28607</v>
      </c>
      <c r="I12094" t="s">
        <v>30</v>
      </c>
      <c r="J12094" t="s">
        <v>41</v>
      </c>
      <c r="K12094" t="s">
        <v>290</v>
      </c>
      <c r="Q12094">
        <v>0</v>
      </c>
      <c r="R12094">
        <v>1</v>
      </c>
      <c r="S12094">
        <v>1</v>
      </c>
      <c r="T12094" t="s">
        <v>43683</v>
      </c>
    </row>
    <row r="12095" spans="1:20" customFormat="1" ht="15" x14ac:dyDescent="0.25">
      <c r="A12095" t="s">
        <v>35</v>
      </c>
      <c r="B12095" t="s">
        <v>61</v>
      </c>
      <c r="C12095" t="str">
        <f>"A0132263"</f>
        <v>A0132263</v>
      </c>
      <c r="D12095" t="s">
        <v>43684</v>
      </c>
      <c r="E12095" t="s">
        <v>43685</v>
      </c>
      <c r="F12095" t="s">
        <v>10577</v>
      </c>
      <c r="G12095" t="s">
        <v>65</v>
      </c>
      <c r="H12095">
        <v>44236</v>
      </c>
      <c r="I12095" t="s">
        <v>30</v>
      </c>
      <c r="J12095" t="s">
        <v>41</v>
      </c>
      <c r="K12095" t="s">
        <v>59</v>
      </c>
      <c r="Q12095">
        <v>0</v>
      </c>
      <c r="R12095">
        <v>137</v>
      </c>
      <c r="S12095">
        <v>137</v>
      </c>
      <c r="T12095" t="s">
        <v>43686</v>
      </c>
    </row>
    <row r="12096" spans="1:20" customFormat="1" ht="15" x14ac:dyDescent="0.25">
      <c r="A12096" t="s">
        <v>35</v>
      </c>
      <c r="B12096" t="s">
        <v>61</v>
      </c>
      <c r="C12096" t="str">
        <f>"A0125799"</f>
        <v>A0125799</v>
      </c>
      <c r="D12096" t="s">
        <v>43687</v>
      </c>
      <c r="E12096" t="s">
        <v>43688</v>
      </c>
      <c r="F12096" t="s">
        <v>4094</v>
      </c>
      <c r="G12096" t="s">
        <v>29</v>
      </c>
      <c r="H12096">
        <v>22401</v>
      </c>
      <c r="I12096" t="s">
        <v>30</v>
      </c>
      <c r="J12096" t="s">
        <v>41</v>
      </c>
      <c r="K12096" t="s">
        <v>1440</v>
      </c>
      <c r="Q12096">
        <v>0</v>
      </c>
      <c r="R12096">
        <v>68</v>
      </c>
      <c r="S12096">
        <v>68</v>
      </c>
      <c r="T12096" t="s">
        <v>43689</v>
      </c>
    </row>
    <row r="12097" spans="1:20" customFormat="1" ht="15" x14ac:dyDescent="0.25">
      <c r="A12097" t="s">
        <v>35</v>
      </c>
      <c r="B12097" t="s">
        <v>437</v>
      </c>
      <c r="C12097" t="str">
        <f>"A0134008"</f>
        <v>A0134008</v>
      </c>
      <c r="D12097" t="s">
        <v>43690</v>
      </c>
      <c r="E12097" t="s">
        <v>43691</v>
      </c>
      <c r="F12097" t="s">
        <v>17349</v>
      </c>
      <c r="G12097" t="s">
        <v>40</v>
      </c>
      <c r="H12097">
        <v>74017</v>
      </c>
      <c r="I12097" t="s">
        <v>30</v>
      </c>
      <c r="J12097" t="s">
        <v>441</v>
      </c>
      <c r="K12097" t="s">
        <v>442</v>
      </c>
      <c r="Q12097">
        <v>0</v>
      </c>
      <c r="R12097">
        <v>0</v>
      </c>
      <c r="S12097">
        <v>0</v>
      </c>
      <c r="T12097" t="s">
        <v>43692</v>
      </c>
    </row>
    <row r="12098" spans="1:20" customFormat="1" ht="15" x14ac:dyDescent="0.25">
      <c r="A12098" t="s">
        <v>35</v>
      </c>
      <c r="B12098" t="s">
        <v>437</v>
      </c>
      <c r="C12098" t="str">
        <f>"A0134066"</f>
        <v>A0134066</v>
      </c>
      <c r="D12098" t="s">
        <v>43693</v>
      </c>
      <c r="E12098" t="s">
        <v>43694</v>
      </c>
      <c r="F12098" t="s">
        <v>6992</v>
      </c>
      <c r="G12098" t="s">
        <v>110</v>
      </c>
      <c r="H12098">
        <v>92663</v>
      </c>
      <c r="I12098" t="s">
        <v>30</v>
      </c>
      <c r="J12098" t="s">
        <v>441</v>
      </c>
      <c r="K12098" t="s">
        <v>442</v>
      </c>
      <c r="Q12098">
        <v>0</v>
      </c>
      <c r="R12098">
        <v>0</v>
      </c>
      <c r="S12098">
        <v>0</v>
      </c>
      <c r="T12098" t="s">
        <v>43695</v>
      </c>
    </row>
    <row r="12099" spans="1:20" customFormat="1" ht="15" x14ac:dyDescent="0.25">
      <c r="A12099" t="s">
        <v>35</v>
      </c>
      <c r="B12099" t="s">
        <v>106</v>
      </c>
      <c r="C12099" t="str">
        <f>"A0136024"</f>
        <v>A0136024</v>
      </c>
      <c r="D12099" t="s">
        <v>43696</v>
      </c>
      <c r="E12099" t="s">
        <v>43669</v>
      </c>
      <c r="F12099" t="s">
        <v>43697</v>
      </c>
      <c r="G12099" t="s">
        <v>110</v>
      </c>
      <c r="H12099">
        <v>95521</v>
      </c>
      <c r="I12099" t="s">
        <v>30</v>
      </c>
      <c r="J12099" t="s">
        <v>111</v>
      </c>
      <c r="K12099" t="s">
        <v>10012</v>
      </c>
      <c r="Q12099">
        <v>0</v>
      </c>
      <c r="R12099">
        <v>0</v>
      </c>
      <c r="S12099">
        <v>0</v>
      </c>
      <c r="T12099" t="s">
        <v>43667</v>
      </c>
    </row>
    <row r="12100" spans="1:20" customFormat="1" ht="15" x14ac:dyDescent="0.25">
      <c r="A12100" t="s">
        <v>35</v>
      </c>
      <c r="B12100" t="s">
        <v>61</v>
      </c>
      <c r="C12100" t="str">
        <f>"A0129972"</f>
        <v>A0129972</v>
      </c>
      <c r="D12100" t="s">
        <v>43698</v>
      </c>
      <c r="E12100" t="s">
        <v>43699</v>
      </c>
      <c r="F12100" t="s">
        <v>8085</v>
      </c>
      <c r="G12100" t="s">
        <v>880</v>
      </c>
      <c r="H12100">
        <v>37185</v>
      </c>
      <c r="I12100" t="s">
        <v>30</v>
      </c>
      <c r="J12100" t="s">
        <v>41</v>
      </c>
      <c r="K12100" t="s">
        <v>229</v>
      </c>
      <c r="Q12100">
        <v>0</v>
      </c>
      <c r="R12100">
        <v>66</v>
      </c>
      <c r="S12100">
        <v>66</v>
      </c>
      <c r="T12100" t="s">
        <v>43700</v>
      </c>
    </row>
    <row r="12101" spans="1:20" customFormat="1" ht="15" x14ac:dyDescent="0.25">
      <c r="A12101" t="s">
        <v>35</v>
      </c>
      <c r="B12101" t="s">
        <v>61</v>
      </c>
      <c r="C12101" t="str">
        <f>"A0123770"</f>
        <v>A0123770</v>
      </c>
      <c r="D12101" t="s">
        <v>43701</v>
      </c>
      <c r="E12101" t="s">
        <v>43702</v>
      </c>
      <c r="F12101" t="s">
        <v>26644</v>
      </c>
      <c r="G12101" t="s">
        <v>214</v>
      </c>
      <c r="H12101">
        <v>27804</v>
      </c>
      <c r="I12101" t="s">
        <v>30</v>
      </c>
      <c r="J12101" t="s">
        <v>41</v>
      </c>
      <c r="K12101" t="s">
        <v>482</v>
      </c>
      <c r="Q12101">
        <v>0</v>
      </c>
      <c r="R12101">
        <v>60</v>
      </c>
      <c r="S12101">
        <v>60</v>
      </c>
      <c r="T12101" t="s">
        <v>43703</v>
      </c>
    </row>
    <row r="12102" spans="1:20" customFormat="1" ht="15" x14ac:dyDescent="0.25">
      <c r="A12102" t="s">
        <v>35</v>
      </c>
      <c r="B12102" t="s">
        <v>61</v>
      </c>
      <c r="C12102" t="str">
        <f>"A0133076"</f>
        <v>A0133076</v>
      </c>
      <c r="D12102" t="s">
        <v>43704</v>
      </c>
      <c r="E12102" t="s">
        <v>43705</v>
      </c>
      <c r="F12102" t="s">
        <v>912</v>
      </c>
      <c r="G12102" t="s">
        <v>52</v>
      </c>
      <c r="H12102">
        <v>75949</v>
      </c>
      <c r="I12102" t="s">
        <v>30</v>
      </c>
      <c r="J12102" t="s">
        <v>41</v>
      </c>
      <c r="K12102" t="s">
        <v>229</v>
      </c>
      <c r="Q12102">
        <v>0</v>
      </c>
      <c r="R12102">
        <v>112</v>
      </c>
      <c r="S12102">
        <v>112</v>
      </c>
      <c r="T12102" t="s">
        <v>43706</v>
      </c>
    </row>
    <row r="12103" spans="1:20" customFormat="1" ht="15" x14ac:dyDescent="0.25">
      <c r="A12103" t="s">
        <v>35</v>
      </c>
      <c r="B12103" t="s">
        <v>106</v>
      </c>
      <c r="C12103" t="str">
        <f>"A0136526"</f>
        <v>A0136526</v>
      </c>
      <c r="D12103" t="s">
        <v>43707</v>
      </c>
      <c r="E12103" t="s">
        <v>43708</v>
      </c>
      <c r="F12103" t="s">
        <v>18109</v>
      </c>
      <c r="G12103" t="s">
        <v>2450</v>
      </c>
      <c r="H12103">
        <v>4401</v>
      </c>
      <c r="I12103" t="s">
        <v>30</v>
      </c>
      <c r="J12103" t="s">
        <v>111</v>
      </c>
      <c r="K12103" t="s">
        <v>10012</v>
      </c>
      <c r="Q12103">
        <v>0</v>
      </c>
      <c r="R12103">
        <v>0</v>
      </c>
      <c r="S12103">
        <v>0</v>
      </c>
      <c r="T12103" t="s">
        <v>43709</v>
      </c>
    </row>
    <row r="12104" spans="1:20" customFormat="1" ht="15" x14ac:dyDescent="0.25">
      <c r="A12104" t="s">
        <v>35</v>
      </c>
      <c r="B12104" t="s">
        <v>106</v>
      </c>
      <c r="C12104" t="str">
        <f>"A0136527"</f>
        <v>A0136527</v>
      </c>
      <c r="D12104" t="s">
        <v>43710</v>
      </c>
      <c r="E12104" t="s">
        <v>43708</v>
      </c>
      <c r="F12104" t="s">
        <v>18109</v>
      </c>
      <c r="G12104" t="s">
        <v>2450</v>
      </c>
      <c r="H12104">
        <v>4401</v>
      </c>
      <c r="I12104" t="s">
        <v>30</v>
      </c>
      <c r="J12104" t="s">
        <v>111</v>
      </c>
      <c r="K12104" t="s">
        <v>10012</v>
      </c>
      <c r="Q12104">
        <v>0</v>
      </c>
      <c r="R12104">
        <v>0</v>
      </c>
      <c r="S12104">
        <v>0</v>
      </c>
      <c r="T12104" t="s">
        <v>43709</v>
      </c>
    </row>
    <row r="12105" spans="1:20" customFormat="1" ht="15" x14ac:dyDescent="0.25">
      <c r="A12105" t="s">
        <v>35</v>
      </c>
      <c r="B12105" t="s">
        <v>106</v>
      </c>
      <c r="C12105" t="str">
        <f>"A0136528"</f>
        <v>A0136528</v>
      </c>
      <c r="D12105" t="s">
        <v>43711</v>
      </c>
      <c r="E12105" t="s">
        <v>43708</v>
      </c>
      <c r="F12105" t="s">
        <v>18109</v>
      </c>
      <c r="G12105" t="s">
        <v>2450</v>
      </c>
      <c r="H12105">
        <v>4401</v>
      </c>
      <c r="I12105" t="s">
        <v>30</v>
      </c>
      <c r="J12105" t="s">
        <v>111</v>
      </c>
      <c r="K12105" t="s">
        <v>10012</v>
      </c>
      <c r="Q12105">
        <v>0</v>
      </c>
      <c r="R12105">
        <v>0</v>
      </c>
      <c r="S12105">
        <v>0</v>
      </c>
      <c r="T12105" t="s">
        <v>43709</v>
      </c>
    </row>
    <row r="12106" spans="1:20" customFormat="1" ht="15" x14ac:dyDescent="0.25">
      <c r="A12106" t="s">
        <v>35</v>
      </c>
      <c r="B12106" t="s">
        <v>61</v>
      </c>
      <c r="C12106" t="str">
        <f>"A0131640"</f>
        <v>A0131640</v>
      </c>
      <c r="D12106" t="s">
        <v>43712</v>
      </c>
      <c r="E12106" t="s">
        <v>43713</v>
      </c>
      <c r="F12106" t="s">
        <v>3661</v>
      </c>
      <c r="G12106" t="s">
        <v>65</v>
      </c>
      <c r="H12106">
        <v>45209</v>
      </c>
      <c r="I12106" t="s">
        <v>30</v>
      </c>
      <c r="J12106" t="s">
        <v>41</v>
      </c>
      <c r="K12106" t="s">
        <v>229</v>
      </c>
      <c r="Q12106">
        <v>0</v>
      </c>
      <c r="R12106">
        <v>226</v>
      </c>
      <c r="S12106">
        <v>226</v>
      </c>
      <c r="T12106" t="s">
        <v>43714</v>
      </c>
    </row>
    <row r="12107" spans="1:20" customFormat="1" ht="15" x14ac:dyDescent="0.25">
      <c r="A12107" t="s">
        <v>35</v>
      </c>
      <c r="B12107" t="s">
        <v>61</v>
      </c>
      <c r="C12107" t="str">
        <f>"A0122552"</f>
        <v>A0122552</v>
      </c>
      <c r="D12107" t="s">
        <v>43715</v>
      </c>
      <c r="E12107" t="s">
        <v>43716</v>
      </c>
      <c r="F12107" t="s">
        <v>43717</v>
      </c>
      <c r="G12107" t="s">
        <v>1184</v>
      </c>
      <c r="H12107">
        <v>59715</v>
      </c>
      <c r="I12107" t="s">
        <v>30</v>
      </c>
      <c r="J12107" t="s">
        <v>41</v>
      </c>
      <c r="K12107" t="s">
        <v>59</v>
      </c>
      <c r="Q12107">
        <v>0</v>
      </c>
      <c r="R12107">
        <v>7</v>
      </c>
      <c r="S12107">
        <v>7</v>
      </c>
      <c r="T12107" t="s">
        <v>43718</v>
      </c>
    </row>
    <row r="12108" spans="1:20" customFormat="1" ht="15" x14ac:dyDescent="0.25">
      <c r="A12108" t="s">
        <v>35</v>
      </c>
      <c r="B12108" t="s">
        <v>61</v>
      </c>
      <c r="C12108" t="str">
        <f>"A0130406"</f>
        <v>A0130406</v>
      </c>
      <c r="D12108" t="s">
        <v>43719</v>
      </c>
      <c r="E12108" t="s">
        <v>43720</v>
      </c>
      <c r="F12108" t="s">
        <v>35391</v>
      </c>
      <c r="G12108" t="s">
        <v>1898</v>
      </c>
      <c r="H12108">
        <v>50401</v>
      </c>
      <c r="I12108" t="s">
        <v>30</v>
      </c>
      <c r="J12108" t="s">
        <v>41</v>
      </c>
      <c r="K12108" t="s">
        <v>229</v>
      </c>
      <c r="Q12108">
        <v>0</v>
      </c>
      <c r="R12108">
        <v>90</v>
      </c>
      <c r="S12108">
        <v>90</v>
      </c>
      <c r="T12108" t="s">
        <v>43721</v>
      </c>
    </row>
    <row r="12109" spans="1:20" customFormat="1" ht="15" x14ac:dyDescent="0.25">
      <c r="A12109" t="s">
        <v>35</v>
      </c>
      <c r="B12109" t="s">
        <v>61</v>
      </c>
      <c r="C12109" t="str">
        <f>"A0122619"</f>
        <v>A0122619</v>
      </c>
      <c r="D12109" t="s">
        <v>43722</v>
      </c>
      <c r="E12109" t="s">
        <v>43723</v>
      </c>
      <c r="F12109" t="s">
        <v>1444</v>
      </c>
      <c r="G12109" t="s">
        <v>76</v>
      </c>
      <c r="H12109">
        <v>98104</v>
      </c>
      <c r="I12109" t="s">
        <v>30</v>
      </c>
      <c r="J12109" t="s">
        <v>41</v>
      </c>
      <c r="K12109" t="s">
        <v>59</v>
      </c>
      <c r="Q12109">
        <v>0</v>
      </c>
      <c r="R12109">
        <v>75</v>
      </c>
      <c r="S12109">
        <v>75</v>
      </c>
      <c r="T12109" t="s">
        <v>43724</v>
      </c>
    </row>
    <row r="12110" spans="1:20" customFormat="1" ht="15" x14ac:dyDescent="0.25">
      <c r="A12110" t="s">
        <v>35</v>
      </c>
      <c r="B12110" t="s">
        <v>61</v>
      </c>
      <c r="C12110" t="str">
        <f>"A0118290"</f>
        <v>A0118290</v>
      </c>
      <c r="D12110" t="s">
        <v>43725</v>
      </c>
      <c r="E12110" t="s">
        <v>43726</v>
      </c>
      <c r="F12110" t="s">
        <v>4820</v>
      </c>
      <c r="G12110" t="s">
        <v>433</v>
      </c>
      <c r="H12110">
        <v>83209</v>
      </c>
      <c r="I12110" t="s">
        <v>30</v>
      </c>
      <c r="J12110" t="s">
        <v>41</v>
      </c>
      <c r="K12110" t="s">
        <v>112</v>
      </c>
      <c r="Q12110">
        <v>0</v>
      </c>
      <c r="R12110">
        <v>0</v>
      </c>
      <c r="S12110">
        <v>0</v>
      </c>
      <c r="T12110" t="s">
        <v>43727</v>
      </c>
    </row>
    <row r="12111" spans="1:20" customFormat="1" ht="15" x14ac:dyDescent="0.25">
      <c r="A12111" t="s">
        <v>35</v>
      </c>
      <c r="B12111" t="s">
        <v>61</v>
      </c>
      <c r="C12111" t="str">
        <f>"A0123771"</f>
        <v>A0123771</v>
      </c>
      <c r="D12111" t="s">
        <v>43728</v>
      </c>
      <c r="E12111" t="s">
        <v>43729</v>
      </c>
      <c r="F12111" t="s">
        <v>43730</v>
      </c>
      <c r="G12111" t="s">
        <v>29</v>
      </c>
      <c r="H12111">
        <v>22027</v>
      </c>
      <c r="I12111" t="s">
        <v>30</v>
      </c>
      <c r="J12111" t="s">
        <v>41</v>
      </c>
      <c r="K12111" t="s">
        <v>229</v>
      </c>
      <c r="Q12111">
        <v>0</v>
      </c>
      <c r="R12111">
        <v>130</v>
      </c>
      <c r="S12111">
        <v>130</v>
      </c>
      <c r="T12111" t="s">
        <v>43731</v>
      </c>
    </row>
    <row r="12112" spans="1:20" customFormat="1" ht="15" x14ac:dyDescent="0.25">
      <c r="A12112" t="s">
        <v>35</v>
      </c>
      <c r="B12112" t="s">
        <v>61</v>
      </c>
      <c r="C12112" t="str">
        <f>"A0129240"</f>
        <v>A0129240</v>
      </c>
      <c r="D12112" t="s">
        <v>43732</v>
      </c>
      <c r="E12112" t="s">
        <v>43733</v>
      </c>
      <c r="F12112" t="s">
        <v>1755</v>
      </c>
      <c r="G12112" t="s">
        <v>289</v>
      </c>
      <c r="H12112">
        <v>62704</v>
      </c>
      <c r="I12112" t="s">
        <v>30</v>
      </c>
      <c r="J12112" t="s">
        <v>41</v>
      </c>
      <c r="K12112" t="s">
        <v>59</v>
      </c>
      <c r="Q12112">
        <v>0</v>
      </c>
      <c r="R12112">
        <v>105</v>
      </c>
      <c r="S12112">
        <v>105</v>
      </c>
      <c r="T12112" t="s">
        <v>43734</v>
      </c>
    </row>
    <row r="12113" spans="1:20" customFormat="1" ht="15" x14ac:dyDescent="0.25">
      <c r="A12113" t="s">
        <v>35</v>
      </c>
      <c r="B12113" t="s">
        <v>61</v>
      </c>
      <c r="C12113" t="str">
        <f>"A0124181"</f>
        <v>A0124181</v>
      </c>
      <c r="D12113" t="s">
        <v>43735</v>
      </c>
      <c r="E12113" t="s">
        <v>43736</v>
      </c>
      <c r="F12113" t="s">
        <v>4284</v>
      </c>
      <c r="G12113" t="s">
        <v>289</v>
      </c>
      <c r="H12113">
        <v>61354</v>
      </c>
      <c r="I12113" t="s">
        <v>30</v>
      </c>
      <c r="J12113" t="s">
        <v>41</v>
      </c>
      <c r="K12113" t="s">
        <v>3713</v>
      </c>
      <c r="Q12113">
        <v>0</v>
      </c>
      <c r="R12113">
        <v>0</v>
      </c>
      <c r="S12113">
        <v>0</v>
      </c>
      <c r="T12113" t="s">
        <v>43737</v>
      </c>
    </row>
    <row r="12114" spans="1:20" customFormat="1" ht="15" x14ac:dyDescent="0.25">
      <c r="A12114" t="s">
        <v>35</v>
      </c>
      <c r="B12114" t="s">
        <v>61</v>
      </c>
      <c r="C12114" t="str">
        <f>"A0152993"</f>
        <v>A0152993</v>
      </c>
      <c r="D12114" t="s">
        <v>43738</v>
      </c>
      <c r="E12114" t="s">
        <v>43739</v>
      </c>
      <c r="F12114" t="s">
        <v>43740</v>
      </c>
      <c r="G12114" t="s">
        <v>289</v>
      </c>
      <c r="H12114">
        <v>61301</v>
      </c>
      <c r="I12114" t="s">
        <v>30</v>
      </c>
      <c r="J12114" t="s">
        <v>41</v>
      </c>
      <c r="K12114" t="s">
        <v>229</v>
      </c>
      <c r="Q12114">
        <v>0</v>
      </c>
      <c r="R12114">
        <v>190</v>
      </c>
      <c r="S12114">
        <v>190</v>
      </c>
      <c r="T12114" t="s">
        <v>43741</v>
      </c>
    </row>
    <row r="12115" spans="1:20" customFormat="1" ht="15" x14ac:dyDescent="0.25">
      <c r="A12115" t="s">
        <v>35</v>
      </c>
      <c r="B12115" t="s">
        <v>61</v>
      </c>
      <c r="C12115" t="str">
        <f>"A0151055"</f>
        <v>A0151055</v>
      </c>
      <c r="D12115" t="s">
        <v>43742</v>
      </c>
      <c r="E12115" t="s">
        <v>43743</v>
      </c>
      <c r="F12115" t="s">
        <v>43744</v>
      </c>
      <c r="G12115" t="s">
        <v>289</v>
      </c>
      <c r="H12115">
        <v>62906</v>
      </c>
      <c r="I12115" t="s">
        <v>30</v>
      </c>
      <c r="J12115" t="s">
        <v>41</v>
      </c>
      <c r="K12115" t="s">
        <v>229</v>
      </c>
      <c r="Q12115">
        <v>0</v>
      </c>
      <c r="R12115">
        <v>50</v>
      </c>
      <c r="S12115">
        <v>50</v>
      </c>
      <c r="T12115" t="s">
        <v>43745</v>
      </c>
    </row>
    <row r="12116" spans="1:20" customFormat="1" ht="15" x14ac:dyDescent="0.25">
      <c r="A12116" t="s">
        <v>35</v>
      </c>
      <c r="B12116" t="s">
        <v>61</v>
      </c>
      <c r="C12116" t="str">
        <f>"A0121247"</f>
        <v>A0121247</v>
      </c>
      <c r="D12116" t="s">
        <v>43746</v>
      </c>
      <c r="E12116" t="s">
        <v>43747</v>
      </c>
      <c r="F12116" t="s">
        <v>43748</v>
      </c>
      <c r="G12116" t="s">
        <v>1508</v>
      </c>
      <c r="H12116">
        <v>82716</v>
      </c>
      <c r="I12116" t="s">
        <v>30</v>
      </c>
      <c r="J12116" t="s">
        <v>41</v>
      </c>
      <c r="K12116" t="s">
        <v>391</v>
      </c>
      <c r="Q12116">
        <v>0</v>
      </c>
      <c r="R12116">
        <v>0</v>
      </c>
      <c r="S12116">
        <v>0</v>
      </c>
      <c r="T12116" t="s">
        <v>43749</v>
      </c>
    </row>
    <row r="12117" spans="1:20" customFormat="1" ht="15" x14ac:dyDescent="0.25">
      <c r="A12117" t="s">
        <v>35</v>
      </c>
      <c r="B12117" t="s">
        <v>61</v>
      </c>
      <c r="C12117" t="str">
        <f>"A0129229"</f>
        <v>A0129229</v>
      </c>
      <c r="D12117" t="s">
        <v>43750</v>
      </c>
      <c r="E12117" t="s">
        <v>43751</v>
      </c>
      <c r="F12117" t="s">
        <v>9255</v>
      </c>
      <c r="G12117" t="s">
        <v>289</v>
      </c>
      <c r="H12117">
        <v>62521</v>
      </c>
      <c r="I12117" t="s">
        <v>30</v>
      </c>
      <c r="J12117" t="s">
        <v>41</v>
      </c>
      <c r="K12117" t="s">
        <v>59</v>
      </c>
      <c r="Q12117">
        <v>0</v>
      </c>
      <c r="R12117">
        <v>46</v>
      </c>
      <c r="S12117">
        <v>46</v>
      </c>
      <c r="T12117" t="s">
        <v>43752</v>
      </c>
    </row>
    <row r="12118" spans="1:20" customFormat="1" ht="15" x14ac:dyDescent="0.25">
      <c r="A12118" t="s">
        <v>35</v>
      </c>
      <c r="B12118" t="s">
        <v>61</v>
      </c>
      <c r="C12118" t="str">
        <f>"A0129228"</f>
        <v>A0129228</v>
      </c>
      <c r="D12118" t="s">
        <v>43753</v>
      </c>
      <c r="E12118" t="s">
        <v>43754</v>
      </c>
      <c r="F12118" t="s">
        <v>9255</v>
      </c>
      <c r="G12118" t="s">
        <v>289</v>
      </c>
      <c r="H12118">
        <v>62521</v>
      </c>
      <c r="I12118" t="s">
        <v>30</v>
      </c>
      <c r="J12118" t="s">
        <v>41</v>
      </c>
      <c r="K12118" t="s">
        <v>229</v>
      </c>
      <c r="N12118" t="s">
        <v>43755</v>
      </c>
      <c r="Q12118">
        <v>0</v>
      </c>
      <c r="R12118">
        <v>95</v>
      </c>
      <c r="S12118">
        <v>95</v>
      </c>
      <c r="T12118" t="s">
        <v>43756</v>
      </c>
    </row>
    <row r="12119" spans="1:20" customFormat="1" ht="15" x14ac:dyDescent="0.25">
      <c r="A12119" t="s">
        <v>35</v>
      </c>
      <c r="B12119" t="s">
        <v>61</v>
      </c>
      <c r="C12119" t="str">
        <f>"A0126203"</f>
        <v>A0126203</v>
      </c>
      <c r="D12119" t="s">
        <v>43757</v>
      </c>
      <c r="E12119" t="s">
        <v>43758</v>
      </c>
      <c r="F12119" t="s">
        <v>16521</v>
      </c>
      <c r="G12119" t="s">
        <v>197</v>
      </c>
      <c r="H12119">
        <v>85345</v>
      </c>
      <c r="I12119" t="s">
        <v>30</v>
      </c>
      <c r="J12119" t="s">
        <v>41</v>
      </c>
      <c r="K12119" t="s">
        <v>59</v>
      </c>
      <c r="Q12119">
        <v>0</v>
      </c>
      <c r="R12119">
        <v>245</v>
      </c>
      <c r="S12119">
        <v>245</v>
      </c>
      <c r="T12119" t="s">
        <v>43759</v>
      </c>
    </row>
    <row r="12120" spans="1:20" customFormat="1" ht="15" x14ac:dyDescent="0.25">
      <c r="A12120" t="s">
        <v>35</v>
      </c>
      <c r="B12120" t="s">
        <v>106</v>
      </c>
      <c r="C12120" t="str">
        <f>"A0136007"</f>
        <v>A0136007</v>
      </c>
      <c r="D12120" t="s">
        <v>43760</v>
      </c>
      <c r="E12120" t="s">
        <v>43761</v>
      </c>
      <c r="F12120" t="s">
        <v>43762</v>
      </c>
      <c r="G12120" t="s">
        <v>1170</v>
      </c>
      <c r="H12120">
        <v>70714</v>
      </c>
      <c r="I12120" t="s">
        <v>30</v>
      </c>
      <c r="J12120" t="s">
        <v>111</v>
      </c>
      <c r="K12120" t="s">
        <v>112</v>
      </c>
      <c r="Q12120">
        <v>0</v>
      </c>
      <c r="R12120">
        <v>0</v>
      </c>
      <c r="S12120">
        <v>0</v>
      </c>
      <c r="T12120" t="s">
        <v>43763</v>
      </c>
    </row>
    <row r="12121" spans="1:20" customFormat="1" ht="15" x14ac:dyDescent="0.25">
      <c r="A12121" t="s">
        <v>35</v>
      </c>
      <c r="B12121" t="s">
        <v>61</v>
      </c>
      <c r="C12121" t="str">
        <f>"A0118828"</f>
        <v>A0118828</v>
      </c>
      <c r="D12121" t="s">
        <v>43764</v>
      </c>
      <c r="E12121" t="s">
        <v>43765</v>
      </c>
      <c r="F12121" t="s">
        <v>9836</v>
      </c>
      <c r="G12121" t="s">
        <v>110</v>
      </c>
      <c r="H12121">
        <v>91103</v>
      </c>
      <c r="I12121" t="s">
        <v>30</v>
      </c>
      <c r="J12121" t="s">
        <v>41</v>
      </c>
      <c r="K12121" t="s">
        <v>418</v>
      </c>
      <c r="Q12121">
        <v>0</v>
      </c>
      <c r="R12121">
        <v>120</v>
      </c>
      <c r="S12121">
        <v>120</v>
      </c>
      <c r="T12121" t="s">
        <v>43766</v>
      </c>
    </row>
    <row r="12122" spans="1:20" customFormat="1" ht="15" x14ac:dyDescent="0.25">
      <c r="A12122" t="s">
        <v>35</v>
      </c>
      <c r="B12122" t="s">
        <v>61</v>
      </c>
      <c r="C12122" t="str">
        <f>"A0121687"</f>
        <v>A0121687</v>
      </c>
      <c r="D12122" t="s">
        <v>43767</v>
      </c>
      <c r="E12122" t="s">
        <v>43768</v>
      </c>
      <c r="F12122" t="s">
        <v>42111</v>
      </c>
      <c r="G12122" t="s">
        <v>110</v>
      </c>
      <c r="H12122">
        <v>90638</v>
      </c>
      <c r="I12122" t="s">
        <v>30</v>
      </c>
      <c r="J12122" t="s">
        <v>41</v>
      </c>
      <c r="K12122" t="s">
        <v>229</v>
      </c>
      <c r="Q12122">
        <v>0</v>
      </c>
      <c r="R12122">
        <v>99</v>
      </c>
      <c r="S12122">
        <v>99</v>
      </c>
      <c r="T12122" t="s">
        <v>43769</v>
      </c>
    </row>
    <row r="12123" spans="1:20" customFormat="1" ht="15" x14ac:dyDescent="0.25">
      <c r="A12123" t="s">
        <v>35</v>
      </c>
      <c r="B12123" t="s">
        <v>61</v>
      </c>
      <c r="C12123" t="str">
        <f>"A0128199"</f>
        <v>A0128199</v>
      </c>
      <c r="D12123" t="s">
        <v>43770</v>
      </c>
      <c r="E12123" t="s">
        <v>43771</v>
      </c>
      <c r="F12123" t="s">
        <v>17551</v>
      </c>
      <c r="G12123" t="s">
        <v>117</v>
      </c>
      <c r="H12123">
        <v>48034</v>
      </c>
      <c r="I12123" t="s">
        <v>30</v>
      </c>
      <c r="J12123" t="s">
        <v>41</v>
      </c>
      <c r="K12123" t="s">
        <v>59</v>
      </c>
      <c r="Q12123">
        <v>0</v>
      </c>
      <c r="R12123">
        <v>200</v>
      </c>
      <c r="S12123">
        <v>200</v>
      </c>
      <c r="T12123" t="s">
        <v>43772</v>
      </c>
    </row>
    <row r="12124" spans="1:20" customFormat="1" ht="15" x14ac:dyDescent="0.25">
      <c r="A12124" t="s">
        <v>35</v>
      </c>
      <c r="B12124" t="s">
        <v>61</v>
      </c>
      <c r="C12124" t="str">
        <f>"A0123138"</f>
        <v>A0123138</v>
      </c>
      <c r="D12124" t="s">
        <v>43773</v>
      </c>
      <c r="E12124" t="s">
        <v>43774</v>
      </c>
      <c r="F12124" t="s">
        <v>43775</v>
      </c>
      <c r="G12124" t="s">
        <v>137</v>
      </c>
      <c r="H12124">
        <v>63775</v>
      </c>
      <c r="I12124" t="s">
        <v>30</v>
      </c>
      <c r="J12124" t="s">
        <v>41</v>
      </c>
      <c r="K12124" t="s">
        <v>229</v>
      </c>
      <c r="Q12124">
        <v>0</v>
      </c>
      <c r="R12124">
        <v>1</v>
      </c>
      <c r="S12124">
        <v>1</v>
      </c>
      <c r="T12124" t="s">
        <v>43776</v>
      </c>
    </row>
    <row r="12125" spans="1:20" customFormat="1" ht="15" x14ac:dyDescent="0.25">
      <c r="A12125" t="s">
        <v>35</v>
      </c>
      <c r="B12125" t="s">
        <v>61</v>
      </c>
      <c r="C12125" t="str">
        <f>"A0123054"</f>
        <v>A0123054</v>
      </c>
      <c r="D12125" t="s">
        <v>43777</v>
      </c>
      <c r="E12125" t="s">
        <v>43778</v>
      </c>
      <c r="F12125" t="s">
        <v>10170</v>
      </c>
      <c r="G12125" t="s">
        <v>153</v>
      </c>
      <c r="H12125">
        <v>84025</v>
      </c>
      <c r="I12125" t="s">
        <v>30</v>
      </c>
      <c r="J12125" t="s">
        <v>41</v>
      </c>
      <c r="K12125" t="s">
        <v>2463</v>
      </c>
      <c r="Q12125">
        <v>0</v>
      </c>
      <c r="R12125">
        <v>0</v>
      </c>
      <c r="S12125">
        <v>0</v>
      </c>
      <c r="T12125" t="s">
        <v>43779</v>
      </c>
    </row>
    <row r="12126" spans="1:20" customFormat="1" ht="15" x14ac:dyDescent="0.25">
      <c r="A12126" t="s">
        <v>35</v>
      </c>
      <c r="B12126" t="s">
        <v>61</v>
      </c>
      <c r="C12126" t="str">
        <f>"A0124182"</f>
        <v>A0124182</v>
      </c>
      <c r="D12126" t="s">
        <v>43780</v>
      </c>
      <c r="E12126" t="s">
        <v>43781</v>
      </c>
      <c r="F12126" t="s">
        <v>13792</v>
      </c>
      <c r="G12126" t="s">
        <v>29</v>
      </c>
      <c r="H12126">
        <v>22209</v>
      </c>
      <c r="I12126" t="s">
        <v>30</v>
      </c>
      <c r="J12126" t="s">
        <v>41</v>
      </c>
      <c r="K12126" t="s">
        <v>59</v>
      </c>
      <c r="Q12126">
        <v>0</v>
      </c>
      <c r="R12126">
        <v>18</v>
      </c>
      <c r="S12126">
        <v>18</v>
      </c>
      <c r="T12126" t="s">
        <v>43782</v>
      </c>
    </row>
    <row r="12127" spans="1:20" customFormat="1" ht="15" x14ac:dyDescent="0.25">
      <c r="A12127" t="s">
        <v>35</v>
      </c>
      <c r="B12127" t="s">
        <v>61</v>
      </c>
      <c r="C12127" t="str">
        <f>"A0124183"</f>
        <v>A0124183</v>
      </c>
      <c r="D12127" t="s">
        <v>43783</v>
      </c>
      <c r="E12127" t="s">
        <v>43784</v>
      </c>
      <c r="F12127" t="s">
        <v>43785</v>
      </c>
      <c r="G12127" t="s">
        <v>338</v>
      </c>
      <c r="H12127">
        <v>8822</v>
      </c>
      <c r="I12127" t="s">
        <v>30</v>
      </c>
      <c r="J12127" t="s">
        <v>41</v>
      </c>
      <c r="K12127" t="s">
        <v>482</v>
      </c>
      <c r="Q12127">
        <v>0</v>
      </c>
      <c r="R12127">
        <v>106</v>
      </c>
      <c r="S12127">
        <v>106</v>
      </c>
      <c r="T12127" t="s">
        <v>43786</v>
      </c>
    </row>
    <row r="12128" spans="1:20" customFormat="1" ht="15" x14ac:dyDescent="0.25">
      <c r="A12128" t="s">
        <v>35</v>
      </c>
      <c r="B12128" t="s">
        <v>61</v>
      </c>
      <c r="C12128" t="str">
        <f>"A0125145"</f>
        <v>A0125145</v>
      </c>
      <c r="D12128" t="s">
        <v>43787</v>
      </c>
      <c r="E12128" t="s">
        <v>43788</v>
      </c>
      <c r="F12128" t="s">
        <v>472</v>
      </c>
      <c r="G12128" t="s">
        <v>214</v>
      </c>
      <c r="H12128">
        <v>27612</v>
      </c>
      <c r="I12128" t="s">
        <v>30</v>
      </c>
      <c r="J12128" t="s">
        <v>41</v>
      </c>
      <c r="K12128" t="s">
        <v>59</v>
      </c>
      <c r="Q12128">
        <v>0</v>
      </c>
      <c r="R12128">
        <v>167</v>
      </c>
      <c r="S12128">
        <v>167</v>
      </c>
      <c r="T12128" t="s">
        <v>43789</v>
      </c>
    </row>
    <row r="12129" spans="1:20" customFormat="1" ht="15" x14ac:dyDescent="0.25">
      <c r="A12129" t="s">
        <v>35</v>
      </c>
      <c r="B12129" t="s">
        <v>61</v>
      </c>
      <c r="C12129" t="str">
        <f>"A0130390"</f>
        <v>A0130390</v>
      </c>
      <c r="D12129" t="s">
        <v>43790</v>
      </c>
      <c r="E12129" t="s">
        <v>43791</v>
      </c>
      <c r="F12129" t="s">
        <v>43792</v>
      </c>
      <c r="G12129" t="s">
        <v>1898</v>
      </c>
      <c r="H12129">
        <v>50263</v>
      </c>
      <c r="I12129" t="s">
        <v>30</v>
      </c>
      <c r="J12129" t="s">
        <v>41</v>
      </c>
      <c r="K12129" t="s">
        <v>59</v>
      </c>
      <c r="Q12129">
        <v>0</v>
      </c>
      <c r="R12129">
        <v>40</v>
      </c>
      <c r="S12129">
        <v>40</v>
      </c>
      <c r="T12129" t="s">
        <v>43793</v>
      </c>
    </row>
    <row r="12130" spans="1:20" customFormat="1" ht="15" x14ac:dyDescent="0.25">
      <c r="A12130" t="s">
        <v>35</v>
      </c>
      <c r="B12130" t="s">
        <v>61</v>
      </c>
      <c r="C12130" t="str">
        <f>"A0123376"</f>
        <v>A0123376</v>
      </c>
      <c r="D12130" t="s">
        <v>43794</v>
      </c>
      <c r="E12130" t="s">
        <v>43795</v>
      </c>
      <c r="F12130" t="s">
        <v>43796</v>
      </c>
      <c r="G12130" t="s">
        <v>29</v>
      </c>
      <c r="H12130">
        <v>24230</v>
      </c>
      <c r="I12130" t="s">
        <v>30</v>
      </c>
      <c r="J12130" t="s">
        <v>41</v>
      </c>
      <c r="K12130" t="s">
        <v>59</v>
      </c>
      <c r="Q12130">
        <v>0</v>
      </c>
      <c r="R12130">
        <v>1</v>
      </c>
      <c r="S12130">
        <v>1</v>
      </c>
      <c r="T12130" t="s">
        <v>43797</v>
      </c>
    </row>
    <row r="12131" spans="1:20" customFormat="1" ht="15" x14ac:dyDescent="0.25">
      <c r="A12131" t="s">
        <v>35</v>
      </c>
      <c r="B12131" t="s">
        <v>61</v>
      </c>
      <c r="C12131" t="str">
        <f>"A0118150"</f>
        <v>A0118150</v>
      </c>
      <c r="D12131" t="s">
        <v>43798</v>
      </c>
      <c r="E12131" t="s">
        <v>43799</v>
      </c>
      <c r="F12131" t="s">
        <v>436</v>
      </c>
      <c r="G12131" t="s">
        <v>433</v>
      </c>
      <c r="H12131">
        <v>83707</v>
      </c>
      <c r="I12131" t="s">
        <v>30</v>
      </c>
      <c r="J12131" t="s">
        <v>41</v>
      </c>
      <c r="K12131" t="s">
        <v>59</v>
      </c>
      <c r="Q12131">
        <v>0</v>
      </c>
      <c r="R12131">
        <v>22</v>
      </c>
      <c r="S12131">
        <v>22</v>
      </c>
      <c r="T12131" t="s">
        <v>43800</v>
      </c>
    </row>
    <row r="12132" spans="1:20" customFormat="1" ht="15" x14ac:dyDescent="0.25">
      <c r="A12132" t="s">
        <v>35</v>
      </c>
      <c r="B12132" t="s">
        <v>61</v>
      </c>
      <c r="C12132" t="str">
        <f>"A0118815"</f>
        <v>A0118815</v>
      </c>
      <c r="D12132" t="s">
        <v>43801</v>
      </c>
      <c r="E12132" t="s">
        <v>43802</v>
      </c>
      <c r="F12132" t="s">
        <v>6984</v>
      </c>
      <c r="G12132" t="s">
        <v>110</v>
      </c>
      <c r="H12132">
        <v>917190000</v>
      </c>
      <c r="I12132" t="s">
        <v>30</v>
      </c>
      <c r="J12132" t="s">
        <v>41</v>
      </c>
      <c r="K12132" t="s">
        <v>290</v>
      </c>
      <c r="Q12132">
        <v>0</v>
      </c>
      <c r="R12132">
        <v>1</v>
      </c>
      <c r="S12132">
        <v>1</v>
      </c>
      <c r="T12132" t="s">
        <v>43803</v>
      </c>
    </row>
    <row r="12133" spans="1:20" customFormat="1" ht="15" x14ac:dyDescent="0.25">
      <c r="A12133" t="s">
        <v>35</v>
      </c>
      <c r="B12133" t="s">
        <v>61</v>
      </c>
      <c r="C12133" t="str">
        <f>"A0123772"</f>
        <v>A0123772</v>
      </c>
      <c r="D12133" t="s">
        <v>43804</v>
      </c>
      <c r="E12133" t="s">
        <v>43805</v>
      </c>
      <c r="F12133" t="s">
        <v>5502</v>
      </c>
      <c r="G12133" t="s">
        <v>81</v>
      </c>
      <c r="H12133">
        <v>33774</v>
      </c>
      <c r="I12133" t="s">
        <v>30</v>
      </c>
      <c r="J12133" t="s">
        <v>41</v>
      </c>
      <c r="K12133" t="s">
        <v>482</v>
      </c>
      <c r="Q12133">
        <v>0</v>
      </c>
      <c r="R12133">
        <v>45</v>
      </c>
      <c r="S12133">
        <v>45</v>
      </c>
      <c r="T12133" t="s">
        <v>43806</v>
      </c>
    </row>
    <row r="12134" spans="1:20" customFormat="1" ht="15" x14ac:dyDescent="0.25">
      <c r="A12134" t="s">
        <v>35</v>
      </c>
      <c r="B12134" t="s">
        <v>61</v>
      </c>
      <c r="C12134" t="str">
        <f>"A0124184"</f>
        <v>A0124184</v>
      </c>
      <c r="D12134" t="s">
        <v>43807</v>
      </c>
      <c r="E12134" t="s">
        <v>43808</v>
      </c>
      <c r="F12134" t="s">
        <v>3327</v>
      </c>
      <c r="G12134" t="s">
        <v>528</v>
      </c>
      <c r="H12134">
        <v>19806</v>
      </c>
      <c r="I12134" t="s">
        <v>30</v>
      </c>
      <c r="J12134" t="s">
        <v>41</v>
      </c>
      <c r="K12134" t="s">
        <v>482</v>
      </c>
      <c r="Q12134">
        <v>0</v>
      </c>
      <c r="R12134">
        <v>120</v>
      </c>
      <c r="S12134">
        <v>120</v>
      </c>
      <c r="T12134" t="s">
        <v>43809</v>
      </c>
    </row>
    <row r="12135" spans="1:20" customFormat="1" ht="15" x14ac:dyDescent="0.25">
      <c r="A12135" t="s">
        <v>35</v>
      </c>
      <c r="B12135" t="s">
        <v>61</v>
      </c>
      <c r="C12135" t="str">
        <f>"A0126052"</f>
        <v>A0126052</v>
      </c>
      <c r="D12135" t="s">
        <v>43810</v>
      </c>
      <c r="E12135" t="s">
        <v>43811</v>
      </c>
      <c r="F12135" t="s">
        <v>4674</v>
      </c>
      <c r="G12135" t="s">
        <v>314</v>
      </c>
      <c r="H12135">
        <v>20015</v>
      </c>
      <c r="I12135" t="s">
        <v>30</v>
      </c>
      <c r="J12135" t="s">
        <v>41</v>
      </c>
      <c r="K12135" t="s">
        <v>229</v>
      </c>
      <c r="Q12135">
        <v>0</v>
      </c>
      <c r="R12135">
        <v>73</v>
      </c>
      <c r="S12135">
        <v>73</v>
      </c>
      <c r="T12135" t="s">
        <v>43812</v>
      </c>
    </row>
    <row r="12136" spans="1:20" customFormat="1" ht="15" x14ac:dyDescent="0.25">
      <c r="A12136" t="s">
        <v>35</v>
      </c>
      <c r="B12136" t="s">
        <v>61</v>
      </c>
      <c r="C12136" t="str">
        <f>"A0124185"</f>
        <v>A0124185</v>
      </c>
      <c r="D12136" t="s">
        <v>43813</v>
      </c>
      <c r="E12136" t="s">
        <v>43814</v>
      </c>
      <c r="F12136" t="s">
        <v>3327</v>
      </c>
      <c r="G12136" t="s">
        <v>528</v>
      </c>
      <c r="H12136">
        <v>19806</v>
      </c>
      <c r="I12136" t="s">
        <v>30</v>
      </c>
      <c r="J12136" t="s">
        <v>41</v>
      </c>
      <c r="K12136" t="s">
        <v>482</v>
      </c>
      <c r="Q12136">
        <v>0</v>
      </c>
      <c r="R12136">
        <v>140</v>
      </c>
      <c r="S12136">
        <v>140</v>
      </c>
      <c r="T12136" t="s">
        <v>43809</v>
      </c>
    </row>
    <row r="12137" spans="1:20" customFormat="1" ht="15" x14ac:dyDescent="0.25">
      <c r="A12137" t="s">
        <v>35</v>
      </c>
      <c r="B12137" t="s">
        <v>61</v>
      </c>
      <c r="C12137" t="str">
        <f>"A0126609"</f>
        <v>A0126609</v>
      </c>
      <c r="D12137" t="s">
        <v>43815</v>
      </c>
      <c r="E12137" t="s">
        <v>43816</v>
      </c>
      <c r="F12137" t="s">
        <v>4629</v>
      </c>
      <c r="G12137" t="s">
        <v>103</v>
      </c>
      <c r="H12137">
        <v>19131</v>
      </c>
      <c r="I12137" t="s">
        <v>30</v>
      </c>
      <c r="J12137" t="s">
        <v>41</v>
      </c>
      <c r="K12137" t="s">
        <v>229</v>
      </c>
      <c r="Q12137">
        <v>0</v>
      </c>
      <c r="R12137">
        <v>297</v>
      </c>
      <c r="S12137">
        <v>297</v>
      </c>
      <c r="T12137" t="s">
        <v>43817</v>
      </c>
    </row>
    <row r="12138" spans="1:20" customFormat="1" ht="15" x14ac:dyDescent="0.25">
      <c r="A12138" t="s">
        <v>35</v>
      </c>
      <c r="B12138" t="s">
        <v>61</v>
      </c>
      <c r="C12138" t="str">
        <f>"A0118395"</f>
        <v>A0118395</v>
      </c>
      <c r="D12138" t="s">
        <v>43818</v>
      </c>
      <c r="E12138" t="s">
        <v>43819</v>
      </c>
      <c r="F12138" t="s">
        <v>36392</v>
      </c>
      <c r="G12138" t="s">
        <v>110</v>
      </c>
      <c r="H12138">
        <v>91762</v>
      </c>
      <c r="I12138" t="s">
        <v>30</v>
      </c>
      <c r="J12138" t="s">
        <v>41</v>
      </c>
      <c r="K12138" t="s">
        <v>229</v>
      </c>
      <c r="Q12138">
        <v>0</v>
      </c>
      <c r="R12138">
        <v>59</v>
      </c>
      <c r="S12138">
        <v>59</v>
      </c>
      <c r="T12138" t="s">
        <v>43820</v>
      </c>
    </row>
    <row r="12139" spans="1:20" customFormat="1" ht="15" x14ac:dyDescent="0.25">
      <c r="A12139" t="s">
        <v>35</v>
      </c>
      <c r="B12139" t="s">
        <v>61</v>
      </c>
      <c r="C12139" t="str">
        <f>"A0121864"</f>
        <v>A0121864</v>
      </c>
      <c r="D12139" t="s">
        <v>43821</v>
      </c>
      <c r="E12139" t="s">
        <v>43822</v>
      </c>
      <c r="F12139" t="s">
        <v>43823</v>
      </c>
      <c r="G12139" t="s">
        <v>110</v>
      </c>
      <c r="H12139">
        <v>92595</v>
      </c>
      <c r="I12139" t="s">
        <v>30</v>
      </c>
      <c r="J12139" t="s">
        <v>41</v>
      </c>
      <c r="K12139" t="s">
        <v>3713</v>
      </c>
      <c r="Q12139">
        <v>0</v>
      </c>
      <c r="R12139">
        <v>122</v>
      </c>
      <c r="S12139">
        <v>122</v>
      </c>
      <c r="T12139" t="s">
        <v>43824</v>
      </c>
    </row>
    <row r="12140" spans="1:20" customFormat="1" ht="15" x14ac:dyDescent="0.25">
      <c r="A12140" t="s">
        <v>35</v>
      </c>
      <c r="B12140" t="s">
        <v>61</v>
      </c>
      <c r="C12140" t="str">
        <f>"A0121323"</f>
        <v>A0121323</v>
      </c>
      <c r="D12140" t="s">
        <v>43825</v>
      </c>
      <c r="E12140" t="s">
        <v>43826</v>
      </c>
      <c r="F12140" t="s">
        <v>16848</v>
      </c>
      <c r="G12140" t="s">
        <v>1587</v>
      </c>
      <c r="H12140">
        <v>87109</v>
      </c>
      <c r="I12140" t="s">
        <v>30</v>
      </c>
      <c r="J12140" t="s">
        <v>41</v>
      </c>
      <c r="K12140" t="s">
        <v>4020</v>
      </c>
      <c r="Q12140">
        <v>0</v>
      </c>
      <c r="R12140">
        <v>0</v>
      </c>
      <c r="S12140">
        <v>0</v>
      </c>
      <c r="T12140" t="s">
        <v>43827</v>
      </c>
    </row>
    <row r="12141" spans="1:20" customFormat="1" ht="15" x14ac:dyDescent="0.25">
      <c r="A12141" t="s">
        <v>35</v>
      </c>
      <c r="B12141" t="s">
        <v>61</v>
      </c>
      <c r="C12141" t="str">
        <f>"A0128901"</f>
        <v>A0128901</v>
      </c>
      <c r="D12141" t="s">
        <v>43828</v>
      </c>
      <c r="E12141" t="s">
        <v>43829</v>
      </c>
      <c r="F12141" t="s">
        <v>43830</v>
      </c>
      <c r="G12141" t="s">
        <v>71</v>
      </c>
      <c r="H12141">
        <v>53184</v>
      </c>
      <c r="I12141" t="s">
        <v>30</v>
      </c>
      <c r="J12141" t="s">
        <v>41</v>
      </c>
      <c r="K12141" t="s">
        <v>131</v>
      </c>
      <c r="Q12141">
        <v>0</v>
      </c>
      <c r="R12141">
        <v>75</v>
      </c>
      <c r="S12141">
        <v>75</v>
      </c>
      <c r="T12141" t="s">
        <v>43831</v>
      </c>
    </row>
    <row r="12142" spans="1:20" customFormat="1" ht="15" x14ac:dyDescent="0.25">
      <c r="A12142" t="s">
        <v>35</v>
      </c>
      <c r="B12142" t="s">
        <v>61</v>
      </c>
      <c r="C12142" t="str">
        <f>"A0152992"</f>
        <v>A0152992</v>
      </c>
      <c r="D12142" t="s">
        <v>43832</v>
      </c>
      <c r="E12142" t="s">
        <v>43833</v>
      </c>
      <c r="F12142" t="s">
        <v>43834</v>
      </c>
      <c r="G12142" t="s">
        <v>137</v>
      </c>
      <c r="H12142">
        <v>64116</v>
      </c>
      <c r="I12142" t="s">
        <v>30</v>
      </c>
      <c r="J12142" t="s">
        <v>41</v>
      </c>
      <c r="K12142" t="s">
        <v>59</v>
      </c>
      <c r="Q12142">
        <v>0</v>
      </c>
      <c r="R12142">
        <v>100</v>
      </c>
      <c r="S12142">
        <v>100</v>
      </c>
      <c r="T12142" t="s">
        <v>43835</v>
      </c>
    </row>
    <row r="12143" spans="1:20" customFormat="1" ht="15" x14ac:dyDescent="0.25">
      <c r="A12143" t="s">
        <v>35</v>
      </c>
      <c r="B12143" t="s">
        <v>61</v>
      </c>
      <c r="C12143" t="str">
        <f>"A0118504"</f>
        <v>A0118504</v>
      </c>
      <c r="D12143" t="s">
        <v>43836</v>
      </c>
      <c r="E12143" t="s">
        <v>43837</v>
      </c>
      <c r="F12143" t="s">
        <v>8081</v>
      </c>
      <c r="G12143" t="s">
        <v>110</v>
      </c>
      <c r="H12143">
        <v>94118</v>
      </c>
      <c r="I12143" t="s">
        <v>30</v>
      </c>
      <c r="J12143" t="s">
        <v>41</v>
      </c>
      <c r="K12143" t="s">
        <v>59</v>
      </c>
      <c r="Q12143">
        <v>0</v>
      </c>
      <c r="R12143">
        <v>1</v>
      </c>
      <c r="S12143">
        <v>1</v>
      </c>
      <c r="T12143" t="s">
        <v>8373</v>
      </c>
    </row>
    <row r="12144" spans="1:20" customFormat="1" ht="15" x14ac:dyDescent="0.25">
      <c r="A12144" t="s">
        <v>35</v>
      </c>
      <c r="B12144" t="s">
        <v>61</v>
      </c>
      <c r="C12144" t="str">
        <f>"A0128469"</f>
        <v>A0128469</v>
      </c>
      <c r="D12144" t="s">
        <v>43838</v>
      </c>
      <c r="E12144" t="s">
        <v>43839</v>
      </c>
      <c r="F12144" t="s">
        <v>20829</v>
      </c>
      <c r="G12144" t="s">
        <v>110</v>
      </c>
      <c r="H12144">
        <v>90815</v>
      </c>
      <c r="I12144" t="s">
        <v>30</v>
      </c>
      <c r="J12144" t="s">
        <v>41</v>
      </c>
      <c r="K12144" t="s">
        <v>2468</v>
      </c>
      <c r="Q12144">
        <v>0</v>
      </c>
      <c r="R12144">
        <v>147</v>
      </c>
      <c r="S12144">
        <v>147</v>
      </c>
      <c r="T12144" t="s">
        <v>43840</v>
      </c>
    </row>
    <row r="12145" spans="1:20" customFormat="1" ht="15" x14ac:dyDescent="0.25">
      <c r="A12145" t="s">
        <v>35</v>
      </c>
      <c r="B12145" t="s">
        <v>61</v>
      </c>
      <c r="C12145" t="str">
        <f>"A0130744"</f>
        <v>A0130744</v>
      </c>
      <c r="D12145" t="s">
        <v>43841</v>
      </c>
      <c r="E12145" t="s">
        <v>43842</v>
      </c>
      <c r="F12145" t="s">
        <v>1373</v>
      </c>
      <c r="G12145" t="s">
        <v>3236</v>
      </c>
      <c r="H12145">
        <v>570420000</v>
      </c>
      <c r="I12145" t="s">
        <v>30</v>
      </c>
      <c r="J12145" t="s">
        <v>41</v>
      </c>
      <c r="K12145" t="s">
        <v>6300</v>
      </c>
      <c r="Q12145">
        <v>0</v>
      </c>
      <c r="R12145">
        <v>1</v>
      </c>
      <c r="S12145">
        <v>1</v>
      </c>
      <c r="T12145" t="s">
        <v>43843</v>
      </c>
    </row>
    <row r="12146" spans="1:20" customFormat="1" ht="15" x14ac:dyDescent="0.25">
      <c r="A12146" t="s">
        <v>35</v>
      </c>
      <c r="B12146" t="s">
        <v>106</v>
      </c>
      <c r="C12146" t="str">
        <f>"A0136410"</f>
        <v>A0136410</v>
      </c>
      <c r="D12146" t="s">
        <v>43844</v>
      </c>
      <c r="E12146" t="s">
        <v>43845</v>
      </c>
      <c r="F12146" t="s">
        <v>7362</v>
      </c>
      <c r="G12146" t="s">
        <v>110</v>
      </c>
      <c r="H12146">
        <v>90031</v>
      </c>
      <c r="I12146" t="s">
        <v>30</v>
      </c>
      <c r="J12146" t="s">
        <v>111</v>
      </c>
      <c r="K12146" t="s">
        <v>112</v>
      </c>
      <c r="Q12146">
        <v>0</v>
      </c>
      <c r="R12146">
        <v>0</v>
      </c>
      <c r="S12146">
        <v>0</v>
      </c>
      <c r="T12146" t="s">
        <v>43846</v>
      </c>
    </row>
    <row r="12147" spans="1:20" customFormat="1" ht="15" x14ac:dyDescent="0.25">
      <c r="A12147" t="s">
        <v>35</v>
      </c>
      <c r="B12147" t="s">
        <v>61</v>
      </c>
      <c r="C12147" t="str">
        <f>"A0127993"</f>
        <v>A0127993</v>
      </c>
      <c r="D12147" t="s">
        <v>43847</v>
      </c>
      <c r="E12147" t="s">
        <v>43848</v>
      </c>
      <c r="F12147" t="s">
        <v>43849</v>
      </c>
      <c r="G12147" t="s">
        <v>117</v>
      </c>
      <c r="H12147">
        <v>48763</v>
      </c>
      <c r="I12147" t="s">
        <v>30</v>
      </c>
      <c r="J12147" t="s">
        <v>41</v>
      </c>
      <c r="K12147" t="s">
        <v>8643</v>
      </c>
      <c r="Q12147">
        <v>0</v>
      </c>
      <c r="R12147">
        <v>0</v>
      </c>
      <c r="S12147">
        <v>0</v>
      </c>
      <c r="T12147" t="s">
        <v>43850</v>
      </c>
    </row>
    <row r="12148" spans="1:20" customFormat="1" ht="15" x14ac:dyDescent="0.25">
      <c r="A12148" t="s">
        <v>35</v>
      </c>
      <c r="B12148" t="s">
        <v>61</v>
      </c>
      <c r="C12148" t="str">
        <f>"A0130361"</f>
        <v>A0130361</v>
      </c>
      <c r="D12148" t="s">
        <v>43851</v>
      </c>
      <c r="E12148" t="s">
        <v>43852</v>
      </c>
      <c r="F12148" t="s">
        <v>43853</v>
      </c>
      <c r="G12148" t="s">
        <v>1898</v>
      </c>
      <c r="H12148">
        <v>52722</v>
      </c>
      <c r="I12148" t="s">
        <v>30</v>
      </c>
      <c r="J12148" t="s">
        <v>41</v>
      </c>
      <c r="K12148" t="s">
        <v>229</v>
      </c>
      <c r="Q12148">
        <v>0</v>
      </c>
      <c r="R12148">
        <v>79</v>
      </c>
      <c r="S12148">
        <v>79</v>
      </c>
      <c r="T12148" t="s">
        <v>43854</v>
      </c>
    </row>
    <row r="12149" spans="1:20" customFormat="1" ht="15" x14ac:dyDescent="0.25">
      <c r="A12149" t="s">
        <v>35</v>
      </c>
      <c r="B12149" t="s">
        <v>61</v>
      </c>
      <c r="C12149" t="str">
        <f>"A0133240"</f>
        <v>A0133240</v>
      </c>
      <c r="D12149" t="s">
        <v>43855</v>
      </c>
      <c r="E12149" t="s">
        <v>43856</v>
      </c>
      <c r="F12149" t="s">
        <v>1731</v>
      </c>
      <c r="G12149" t="s">
        <v>52</v>
      </c>
      <c r="H12149">
        <v>75219</v>
      </c>
      <c r="I12149" t="s">
        <v>30</v>
      </c>
      <c r="J12149" t="s">
        <v>41</v>
      </c>
      <c r="K12149" t="s">
        <v>59</v>
      </c>
      <c r="Q12149">
        <v>0</v>
      </c>
      <c r="R12149">
        <v>54</v>
      </c>
      <c r="S12149">
        <v>54</v>
      </c>
      <c r="T12149" t="s">
        <v>43857</v>
      </c>
    </row>
    <row r="12150" spans="1:20" customFormat="1" ht="15" x14ac:dyDescent="0.25">
      <c r="A12150" t="s">
        <v>35</v>
      </c>
      <c r="B12150" t="s">
        <v>106</v>
      </c>
      <c r="C12150" t="str">
        <f>"A0136290"</f>
        <v>A0136290</v>
      </c>
      <c r="D12150" t="s">
        <v>43858</v>
      </c>
      <c r="E12150" t="s">
        <v>43859</v>
      </c>
      <c r="F12150" t="s">
        <v>1165</v>
      </c>
      <c r="G12150" t="s">
        <v>117</v>
      </c>
      <c r="H12150">
        <v>49801</v>
      </c>
      <c r="I12150" t="s">
        <v>30</v>
      </c>
      <c r="J12150" t="s">
        <v>111</v>
      </c>
      <c r="K12150" t="s">
        <v>112</v>
      </c>
      <c r="Q12150">
        <v>0</v>
      </c>
      <c r="R12150">
        <v>0</v>
      </c>
      <c r="S12150">
        <v>0</v>
      </c>
      <c r="T12150" t="s">
        <v>43860</v>
      </c>
    </row>
    <row r="12151" spans="1:20" customFormat="1" ht="15" x14ac:dyDescent="0.25">
      <c r="A12151" t="s">
        <v>35</v>
      </c>
      <c r="B12151" t="s">
        <v>61</v>
      </c>
      <c r="C12151" t="str">
        <f>"A0127958"</f>
        <v>A0127958</v>
      </c>
      <c r="D12151" t="s">
        <v>43861</v>
      </c>
      <c r="E12151" t="s">
        <v>43862</v>
      </c>
      <c r="F12151" t="s">
        <v>43863</v>
      </c>
      <c r="G12151" t="s">
        <v>117</v>
      </c>
      <c r="H12151">
        <v>49935</v>
      </c>
      <c r="I12151" t="s">
        <v>30</v>
      </c>
      <c r="J12151" t="s">
        <v>41</v>
      </c>
      <c r="K12151" t="s">
        <v>229</v>
      </c>
      <c r="Q12151">
        <v>0</v>
      </c>
      <c r="R12151">
        <v>69</v>
      </c>
      <c r="S12151">
        <v>69</v>
      </c>
      <c r="T12151" t="s">
        <v>43864</v>
      </c>
    </row>
    <row r="12152" spans="1:20" customFormat="1" ht="15" x14ac:dyDescent="0.25">
      <c r="A12152" t="s">
        <v>35</v>
      </c>
      <c r="B12152" t="s">
        <v>437</v>
      </c>
      <c r="C12152" t="str">
        <f>"A0133840"</f>
        <v>A0133840</v>
      </c>
      <c r="D12152" t="s">
        <v>43865</v>
      </c>
      <c r="E12152" t="s">
        <v>43866</v>
      </c>
      <c r="F12152" t="s">
        <v>7362</v>
      </c>
      <c r="G12152" t="s">
        <v>110</v>
      </c>
      <c r="H12152">
        <v>90045</v>
      </c>
      <c r="I12152" t="s">
        <v>30</v>
      </c>
      <c r="J12152" t="s">
        <v>441</v>
      </c>
      <c r="K12152" t="s">
        <v>442</v>
      </c>
      <c r="Q12152">
        <v>0</v>
      </c>
      <c r="R12152">
        <v>0</v>
      </c>
      <c r="S12152">
        <v>0</v>
      </c>
      <c r="T12152" t="s">
        <v>43867</v>
      </c>
    </row>
    <row r="12153" spans="1:20" customFormat="1" ht="15" x14ac:dyDescent="0.25">
      <c r="A12153" t="s">
        <v>35</v>
      </c>
      <c r="B12153" t="s">
        <v>61</v>
      </c>
      <c r="C12153" t="str">
        <f>"A0124536"</f>
        <v>A0124536</v>
      </c>
      <c r="D12153" t="s">
        <v>43868</v>
      </c>
      <c r="E12153" t="s">
        <v>43869</v>
      </c>
      <c r="F12153" t="s">
        <v>40159</v>
      </c>
      <c r="G12153" t="s">
        <v>880</v>
      </c>
      <c r="H12153">
        <v>37643</v>
      </c>
      <c r="I12153" t="s">
        <v>30</v>
      </c>
      <c r="J12153" t="s">
        <v>41</v>
      </c>
      <c r="K12153" t="s">
        <v>229</v>
      </c>
      <c r="Q12153">
        <v>0</v>
      </c>
      <c r="R12153">
        <v>76</v>
      </c>
      <c r="S12153">
        <v>76</v>
      </c>
      <c r="T12153" t="s">
        <v>43870</v>
      </c>
    </row>
    <row r="12154" spans="1:20" customFormat="1" ht="15" x14ac:dyDescent="0.25">
      <c r="A12154" t="s">
        <v>35</v>
      </c>
      <c r="B12154" t="s">
        <v>61</v>
      </c>
      <c r="C12154" t="str">
        <f>"A0128741"</f>
        <v>A0128741</v>
      </c>
      <c r="D12154" t="s">
        <v>43871</v>
      </c>
      <c r="E12154" t="s">
        <v>43872</v>
      </c>
      <c r="F12154" t="s">
        <v>43873</v>
      </c>
      <c r="G12154" t="s">
        <v>1170</v>
      </c>
      <c r="H12154">
        <v>70512</v>
      </c>
      <c r="I12154" t="s">
        <v>30</v>
      </c>
      <c r="J12154" t="s">
        <v>41</v>
      </c>
      <c r="K12154" t="s">
        <v>229</v>
      </c>
      <c r="Q12154">
        <v>0</v>
      </c>
      <c r="R12154">
        <v>120</v>
      </c>
      <c r="S12154">
        <v>120</v>
      </c>
      <c r="T12154" t="s">
        <v>43874</v>
      </c>
    </row>
    <row r="12155" spans="1:20" customFormat="1" ht="15" x14ac:dyDescent="0.25">
      <c r="A12155" t="s">
        <v>35</v>
      </c>
      <c r="B12155" t="s">
        <v>61</v>
      </c>
      <c r="C12155" t="str">
        <f>"A0123773"</f>
        <v>A0123773</v>
      </c>
      <c r="D12155" t="s">
        <v>43875</v>
      </c>
      <c r="E12155" t="s">
        <v>43876</v>
      </c>
      <c r="F12155" t="s">
        <v>32958</v>
      </c>
      <c r="G12155" t="s">
        <v>29</v>
      </c>
      <c r="H12155">
        <v>23093</v>
      </c>
      <c r="I12155" t="s">
        <v>30</v>
      </c>
      <c r="J12155" t="s">
        <v>41</v>
      </c>
      <c r="K12155" t="s">
        <v>59</v>
      </c>
      <c r="Q12155">
        <v>0</v>
      </c>
      <c r="R12155">
        <v>34</v>
      </c>
      <c r="S12155">
        <v>34</v>
      </c>
      <c r="T12155" t="s">
        <v>43877</v>
      </c>
    </row>
    <row r="12156" spans="1:20" customFormat="1" ht="15" x14ac:dyDescent="0.25">
      <c r="A12156" t="s">
        <v>35</v>
      </c>
      <c r="B12156" t="s">
        <v>61</v>
      </c>
      <c r="C12156" t="str">
        <f>"A0124720"</f>
        <v>A0124720</v>
      </c>
      <c r="D12156" t="s">
        <v>43878</v>
      </c>
      <c r="E12156" t="s">
        <v>43879</v>
      </c>
      <c r="F12156" t="s">
        <v>12532</v>
      </c>
      <c r="G12156" t="s">
        <v>137</v>
      </c>
      <c r="H12156">
        <v>63755</v>
      </c>
      <c r="I12156" t="s">
        <v>30</v>
      </c>
      <c r="J12156" t="s">
        <v>41</v>
      </c>
      <c r="K12156" t="s">
        <v>229</v>
      </c>
      <c r="Q12156">
        <v>0</v>
      </c>
      <c r="R12156">
        <v>90</v>
      </c>
      <c r="S12156">
        <v>90</v>
      </c>
      <c r="T12156" t="s">
        <v>43880</v>
      </c>
    </row>
    <row r="12157" spans="1:20" customFormat="1" ht="15" x14ac:dyDescent="0.25">
      <c r="A12157" t="s">
        <v>35</v>
      </c>
      <c r="B12157" t="s">
        <v>61</v>
      </c>
      <c r="C12157" t="str">
        <f>"A0131811"</f>
        <v>A0131811</v>
      </c>
      <c r="D12157" t="s">
        <v>43881</v>
      </c>
      <c r="E12157" t="s">
        <v>43882</v>
      </c>
      <c r="F12157" t="s">
        <v>43883</v>
      </c>
      <c r="G12157" t="s">
        <v>65</v>
      </c>
      <c r="H12157">
        <v>43812</v>
      </c>
      <c r="I12157" t="s">
        <v>30</v>
      </c>
      <c r="J12157" t="s">
        <v>41</v>
      </c>
      <c r="K12157" t="s">
        <v>229</v>
      </c>
      <c r="Q12157">
        <v>0</v>
      </c>
      <c r="R12157">
        <v>24</v>
      </c>
      <c r="S12157">
        <v>24</v>
      </c>
      <c r="T12157" t="s">
        <v>43884</v>
      </c>
    </row>
    <row r="12158" spans="1:20" customFormat="1" ht="15" x14ac:dyDescent="0.25">
      <c r="A12158" t="s">
        <v>35</v>
      </c>
      <c r="B12158" t="s">
        <v>61</v>
      </c>
      <c r="C12158" t="str">
        <f>"A0133017"</f>
        <v>A0133017</v>
      </c>
      <c r="D12158" t="s">
        <v>43885</v>
      </c>
      <c r="E12158" t="s">
        <v>43886</v>
      </c>
      <c r="F12158" t="s">
        <v>4133</v>
      </c>
      <c r="G12158" t="s">
        <v>52</v>
      </c>
      <c r="H12158">
        <v>78758</v>
      </c>
      <c r="I12158" t="s">
        <v>30</v>
      </c>
      <c r="J12158" t="s">
        <v>41</v>
      </c>
      <c r="K12158" t="s">
        <v>290</v>
      </c>
      <c r="Q12158">
        <v>0</v>
      </c>
      <c r="R12158">
        <v>0</v>
      </c>
      <c r="S12158">
        <v>0</v>
      </c>
      <c r="T12158" t="s">
        <v>43887</v>
      </c>
    </row>
    <row r="12159" spans="1:20" customFormat="1" ht="15" x14ac:dyDescent="0.25">
      <c r="A12159" t="s">
        <v>35</v>
      </c>
      <c r="B12159" t="s">
        <v>61</v>
      </c>
      <c r="C12159" t="str">
        <f>"A0128933"</f>
        <v>A0128933</v>
      </c>
      <c r="D12159" t="s">
        <v>43888</v>
      </c>
      <c r="E12159" t="s">
        <v>43889</v>
      </c>
      <c r="F12159" t="s">
        <v>43890</v>
      </c>
      <c r="G12159" t="s">
        <v>289</v>
      </c>
      <c r="H12159">
        <v>61462</v>
      </c>
      <c r="I12159" t="s">
        <v>30</v>
      </c>
      <c r="J12159" t="s">
        <v>41</v>
      </c>
      <c r="K12159" t="s">
        <v>2760</v>
      </c>
      <c r="Q12159">
        <v>0</v>
      </c>
      <c r="R12159">
        <v>1</v>
      </c>
      <c r="S12159">
        <v>1</v>
      </c>
      <c r="T12159" t="s">
        <v>43891</v>
      </c>
    </row>
    <row r="12160" spans="1:20" customFormat="1" ht="15" x14ac:dyDescent="0.25">
      <c r="A12160" t="s">
        <v>35</v>
      </c>
      <c r="B12160" t="s">
        <v>61</v>
      </c>
      <c r="C12160" t="str">
        <f>"A0127865"</f>
        <v>A0127865</v>
      </c>
      <c r="D12160" t="s">
        <v>43892</v>
      </c>
      <c r="E12160" t="s">
        <v>43893</v>
      </c>
      <c r="F12160" t="s">
        <v>19759</v>
      </c>
      <c r="G12160" t="s">
        <v>117</v>
      </c>
      <c r="H12160">
        <v>48740</v>
      </c>
      <c r="I12160" t="s">
        <v>30</v>
      </c>
      <c r="J12160" t="s">
        <v>41</v>
      </c>
      <c r="K12160" t="s">
        <v>229</v>
      </c>
      <c r="Q12160">
        <v>0</v>
      </c>
      <c r="R12160">
        <v>51</v>
      </c>
      <c r="S12160">
        <v>51</v>
      </c>
      <c r="T12160" t="s">
        <v>43894</v>
      </c>
    </row>
    <row r="12161" spans="1:20" customFormat="1" ht="15" x14ac:dyDescent="0.25">
      <c r="A12161" t="s">
        <v>35</v>
      </c>
      <c r="B12161" t="s">
        <v>61</v>
      </c>
      <c r="C12161" t="str">
        <f>"A0124186"</f>
        <v>A0124186</v>
      </c>
      <c r="D12161" t="s">
        <v>43895</v>
      </c>
      <c r="E12161" t="s">
        <v>43896</v>
      </c>
      <c r="F12161" t="s">
        <v>4674</v>
      </c>
      <c r="G12161" t="s">
        <v>314</v>
      </c>
      <c r="H12161">
        <v>20001</v>
      </c>
      <c r="I12161" t="s">
        <v>30</v>
      </c>
      <c r="J12161" t="s">
        <v>41</v>
      </c>
      <c r="K12161" t="s">
        <v>229</v>
      </c>
      <c r="Q12161">
        <v>0</v>
      </c>
      <c r="R12161">
        <v>244</v>
      </c>
      <c r="S12161">
        <v>244</v>
      </c>
      <c r="T12161" t="s">
        <v>43897</v>
      </c>
    </row>
    <row r="12162" spans="1:20" customFormat="1" ht="15" x14ac:dyDescent="0.25">
      <c r="A12162" t="s">
        <v>35</v>
      </c>
      <c r="B12162" t="s">
        <v>437</v>
      </c>
      <c r="C12162" t="str">
        <f>"A0133832"</f>
        <v>A0133832</v>
      </c>
      <c r="D12162" t="s">
        <v>43898</v>
      </c>
      <c r="E12162" t="s">
        <v>43899</v>
      </c>
      <c r="F12162" t="s">
        <v>43900</v>
      </c>
      <c r="G12162" t="s">
        <v>110</v>
      </c>
      <c r="H12162">
        <v>91604</v>
      </c>
      <c r="I12162" t="s">
        <v>30</v>
      </c>
      <c r="J12162" t="s">
        <v>441</v>
      </c>
      <c r="K12162" t="s">
        <v>1412</v>
      </c>
      <c r="Q12162">
        <v>0</v>
      </c>
      <c r="R12162">
        <v>0</v>
      </c>
      <c r="S12162">
        <v>0</v>
      </c>
      <c r="T12162" t="s">
        <v>43901</v>
      </c>
    </row>
    <row r="12163" spans="1:20" customFormat="1" ht="15" x14ac:dyDescent="0.25">
      <c r="A12163" t="s">
        <v>35</v>
      </c>
      <c r="B12163" t="s">
        <v>61</v>
      </c>
      <c r="C12163" t="str">
        <f>"A0128648"</f>
        <v>A0128648</v>
      </c>
      <c r="D12163" t="s">
        <v>43902</v>
      </c>
      <c r="E12163" t="s">
        <v>43903</v>
      </c>
      <c r="F12163" t="s">
        <v>3123</v>
      </c>
      <c r="G12163" t="s">
        <v>1170</v>
      </c>
      <c r="H12163">
        <v>705460000</v>
      </c>
      <c r="I12163" t="s">
        <v>30</v>
      </c>
      <c r="J12163" t="s">
        <v>41</v>
      </c>
      <c r="K12163" t="s">
        <v>229</v>
      </c>
      <c r="Q12163">
        <v>0</v>
      </c>
      <c r="R12163">
        <v>141</v>
      </c>
      <c r="S12163">
        <v>141</v>
      </c>
      <c r="T12163" t="s">
        <v>43904</v>
      </c>
    </row>
    <row r="12164" spans="1:20" customFormat="1" ht="15" x14ac:dyDescent="0.25">
      <c r="A12164" t="s">
        <v>35</v>
      </c>
      <c r="B12164" t="s">
        <v>61</v>
      </c>
      <c r="C12164" t="str">
        <f>"A0123775"</f>
        <v>A0123775</v>
      </c>
      <c r="D12164" t="s">
        <v>43905</v>
      </c>
      <c r="E12164" t="s">
        <v>43906</v>
      </c>
      <c r="F12164" t="s">
        <v>20330</v>
      </c>
      <c r="G12164" t="s">
        <v>29</v>
      </c>
      <c r="H12164">
        <v>22901</v>
      </c>
      <c r="I12164" t="s">
        <v>30</v>
      </c>
      <c r="J12164" t="s">
        <v>41</v>
      </c>
      <c r="K12164" t="s">
        <v>59</v>
      </c>
      <c r="Q12164">
        <v>0</v>
      </c>
      <c r="R12164">
        <v>11</v>
      </c>
      <c r="S12164">
        <v>11</v>
      </c>
      <c r="T12164" t="s">
        <v>43907</v>
      </c>
    </row>
    <row r="12165" spans="1:20" customFormat="1" ht="15" x14ac:dyDescent="0.25">
      <c r="A12165" t="s">
        <v>35</v>
      </c>
      <c r="B12165" t="s">
        <v>61</v>
      </c>
      <c r="C12165" t="str">
        <f>"A0130958"</f>
        <v>A0130958</v>
      </c>
      <c r="D12165" t="s">
        <v>43908</v>
      </c>
      <c r="E12165" t="s">
        <v>43909</v>
      </c>
      <c r="F12165" t="s">
        <v>36794</v>
      </c>
      <c r="G12165" t="s">
        <v>85</v>
      </c>
      <c r="H12165">
        <v>716110000</v>
      </c>
      <c r="I12165" t="s">
        <v>30</v>
      </c>
      <c r="J12165" t="s">
        <v>41</v>
      </c>
      <c r="K12165" t="s">
        <v>2463</v>
      </c>
      <c r="Q12165">
        <v>0</v>
      </c>
      <c r="R12165">
        <v>1</v>
      </c>
      <c r="S12165">
        <v>1</v>
      </c>
      <c r="T12165" t="s">
        <v>36795</v>
      </c>
    </row>
    <row r="12166" spans="1:20" customFormat="1" ht="15" x14ac:dyDescent="0.25">
      <c r="A12166" t="s">
        <v>35</v>
      </c>
      <c r="B12166" t="s">
        <v>61</v>
      </c>
      <c r="C12166" t="str">
        <f>"A0130302"</f>
        <v>A0130302</v>
      </c>
      <c r="D12166" t="s">
        <v>43910</v>
      </c>
      <c r="E12166" t="s">
        <v>43911</v>
      </c>
      <c r="F12166" t="s">
        <v>2294</v>
      </c>
      <c r="G12166" t="s">
        <v>1898</v>
      </c>
      <c r="H12166">
        <v>52556</v>
      </c>
      <c r="I12166" t="s">
        <v>30</v>
      </c>
      <c r="J12166" t="s">
        <v>41</v>
      </c>
      <c r="K12166" t="s">
        <v>3713</v>
      </c>
      <c r="Q12166">
        <v>0</v>
      </c>
      <c r="R12166">
        <v>25</v>
      </c>
      <c r="S12166">
        <v>25</v>
      </c>
      <c r="T12166" t="s">
        <v>43912</v>
      </c>
    </row>
    <row r="12167" spans="1:20" customFormat="1" ht="15" x14ac:dyDescent="0.25">
      <c r="A12167" t="s">
        <v>35</v>
      </c>
      <c r="B12167" t="s">
        <v>61</v>
      </c>
      <c r="C12167" t="str">
        <f>"A0123377"</f>
        <v>A0123377</v>
      </c>
      <c r="D12167" t="s">
        <v>43913</v>
      </c>
      <c r="E12167" t="s">
        <v>43914</v>
      </c>
      <c r="F12167" t="s">
        <v>19203</v>
      </c>
      <c r="G12167" t="s">
        <v>29</v>
      </c>
      <c r="H12167">
        <v>22302</v>
      </c>
      <c r="I12167" t="s">
        <v>30</v>
      </c>
      <c r="J12167" t="s">
        <v>41</v>
      </c>
      <c r="K12167" t="s">
        <v>3713</v>
      </c>
      <c r="Q12167">
        <v>0</v>
      </c>
      <c r="R12167">
        <v>0</v>
      </c>
      <c r="S12167">
        <v>0</v>
      </c>
      <c r="T12167" t="s">
        <v>43915</v>
      </c>
    </row>
    <row r="12168" spans="1:20" customFormat="1" ht="15" x14ac:dyDescent="0.25">
      <c r="A12168" t="s">
        <v>35</v>
      </c>
      <c r="B12168" t="s">
        <v>61</v>
      </c>
      <c r="C12168" t="str">
        <f>"A0131032"</f>
        <v>A0131032</v>
      </c>
      <c r="D12168" t="s">
        <v>43916</v>
      </c>
      <c r="E12168" t="s">
        <v>43917</v>
      </c>
      <c r="F12168" t="s">
        <v>31123</v>
      </c>
      <c r="G12168" t="s">
        <v>137</v>
      </c>
      <c r="H12168">
        <v>652510000</v>
      </c>
      <c r="I12168" t="s">
        <v>30</v>
      </c>
      <c r="J12168" t="s">
        <v>41</v>
      </c>
      <c r="K12168" t="s">
        <v>59</v>
      </c>
      <c r="Q12168">
        <v>0</v>
      </c>
      <c r="R12168">
        <v>94</v>
      </c>
      <c r="S12168">
        <v>94</v>
      </c>
      <c r="T12168" t="s">
        <v>43918</v>
      </c>
    </row>
    <row r="12169" spans="1:20" customFormat="1" ht="15" x14ac:dyDescent="0.25">
      <c r="A12169" t="s">
        <v>35</v>
      </c>
      <c r="B12169" t="s">
        <v>61</v>
      </c>
      <c r="C12169" t="str">
        <f>"A0126602"</f>
        <v>A0126602</v>
      </c>
      <c r="D12169" t="s">
        <v>43919</v>
      </c>
      <c r="E12169" t="s">
        <v>43920</v>
      </c>
      <c r="F12169" t="s">
        <v>18956</v>
      </c>
      <c r="G12169" t="s">
        <v>103</v>
      </c>
      <c r="H12169">
        <v>15825</v>
      </c>
      <c r="I12169" t="s">
        <v>30</v>
      </c>
      <c r="J12169" t="s">
        <v>41</v>
      </c>
      <c r="K12169" t="s">
        <v>1440</v>
      </c>
      <c r="Q12169">
        <v>0</v>
      </c>
      <c r="R12169">
        <v>224</v>
      </c>
      <c r="S12169">
        <v>224</v>
      </c>
      <c r="T12169" t="s">
        <v>43921</v>
      </c>
    </row>
    <row r="12170" spans="1:20" customFormat="1" ht="15" x14ac:dyDescent="0.25">
      <c r="A12170" t="s">
        <v>35</v>
      </c>
      <c r="B12170" t="s">
        <v>61</v>
      </c>
      <c r="C12170" t="str">
        <f>"A0130092"</f>
        <v>A0130092</v>
      </c>
      <c r="D12170" t="s">
        <v>43922</v>
      </c>
      <c r="E12170" t="s">
        <v>43923</v>
      </c>
      <c r="F12170" t="s">
        <v>43924</v>
      </c>
      <c r="G12170" t="s">
        <v>880</v>
      </c>
      <c r="H12170">
        <v>37725</v>
      </c>
      <c r="I12170" t="s">
        <v>30</v>
      </c>
      <c r="J12170" t="s">
        <v>41</v>
      </c>
      <c r="K12170" t="s">
        <v>229</v>
      </c>
      <c r="Q12170">
        <v>0</v>
      </c>
      <c r="R12170">
        <v>160</v>
      </c>
      <c r="S12170">
        <v>160</v>
      </c>
      <c r="T12170" t="s">
        <v>43925</v>
      </c>
    </row>
    <row r="12171" spans="1:20" customFormat="1" ht="15" x14ac:dyDescent="0.25">
      <c r="A12171" t="s">
        <v>35</v>
      </c>
      <c r="B12171" t="s">
        <v>61</v>
      </c>
      <c r="C12171" t="str">
        <f>"A0124187"</f>
        <v>A0124187</v>
      </c>
      <c r="D12171" t="s">
        <v>43926</v>
      </c>
      <c r="E12171" t="s">
        <v>43927</v>
      </c>
      <c r="F12171" t="s">
        <v>11847</v>
      </c>
      <c r="G12171" t="s">
        <v>99</v>
      </c>
      <c r="H12171">
        <v>11720</v>
      </c>
      <c r="I12171" t="s">
        <v>30</v>
      </c>
      <c r="J12171" t="s">
        <v>41</v>
      </c>
      <c r="K12171" t="s">
        <v>59</v>
      </c>
      <c r="Q12171">
        <v>0</v>
      </c>
      <c r="R12171">
        <v>520</v>
      </c>
      <c r="S12171">
        <v>520</v>
      </c>
      <c r="T12171" t="s">
        <v>43928</v>
      </c>
    </row>
    <row r="12172" spans="1:20" customFormat="1" ht="15" x14ac:dyDescent="0.25">
      <c r="A12172" t="s">
        <v>35</v>
      </c>
      <c r="B12172" t="s">
        <v>61</v>
      </c>
      <c r="C12172" t="str">
        <f>"A0123378"</f>
        <v>A0123378</v>
      </c>
      <c r="D12172" t="s">
        <v>43929</v>
      </c>
      <c r="E12172" t="s">
        <v>43930</v>
      </c>
      <c r="F12172" t="s">
        <v>19203</v>
      </c>
      <c r="G12172" t="s">
        <v>29</v>
      </c>
      <c r="H12172">
        <v>22314</v>
      </c>
      <c r="I12172" t="s">
        <v>30</v>
      </c>
      <c r="J12172" t="s">
        <v>41</v>
      </c>
      <c r="K12172" t="s">
        <v>59</v>
      </c>
      <c r="Q12172">
        <v>0</v>
      </c>
      <c r="R12172">
        <v>88</v>
      </c>
      <c r="S12172">
        <v>88</v>
      </c>
      <c r="T12172" t="s">
        <v>43931</v>
      </c>
    </row>
    <row r="12173" spans="1:20" customFormat="1" ht="15" x14ac:dyDescent="0.25">
      <c r="A12173" t="s">
        <v>35</v>
      </c>
      <c r="B12173" t="s">
        <v>61</v>
      </c>
      <c r="C12173" t="str">
        <f>"A0132565"</f>
        <v>A0132565</v>
      </c>
      <c r="D12173" t="s">
        <v>43932</v>
      </c>
      <c r="E12173" t="s">
        <v>43933</v>
      </c>
      <c r="F12173" t="s">
        <v>43934</v>
      </c>
      <c r="G12173" t="s">
        <v>65</v>
      </c>
      <c r="H12173">
        <v>45692</v>
      </c>
      <c r="I12173" t="s">
        <v>30</v>
      </c>
      <c r="J12173" t="s">
        <v>41</v>
      </c>
      <c r="K12173" t="s">
        <v>229</v>
      </c>
      <c r="Q12173">
        <v>0</v>
      </c>
      <c r="R12173">
        <v>93</v>
      </c>
      <c r="S12173">
        <v>93</v>
      </c>
      <c r="T12173" t="s">
        <v>43935</v>
      </c>
    </row>
    <row r="12174" spans="1:20" customFormat="1" ht="15" x14ac:dyDescent="0.25">
      <c r="A12174" t="s">
        <v>35</v>
      </c>
      <c r="B12174" t="s">
        <v>61</v>
      </c>
      <c r="C12174" t="str">
        <f>"A0154470"</f>
        <v>A0154470</v>
      </c>
      <c r="D12174" t="s">
        <v>43936</v>
      </c>
      <c r="E12174" t="s">
        <v>43937</v>
      </c>
      <c r="F12174" t="s">
        <v>43938</v>
      </c>
      <c r="G12174" t="s">
        <v>65</v>
      </c>
      <c r="H12174">
        <v>44141</v>
      </c>
      <c r="I12174" t="s">
        <v>30</v>
      </c>
      <c r="J12174" t="s">
        <v>41</v>
      </c>
      <c r="K12174" t="s">
        <v>59</v>
      </c>
      <c r="Q12174">
        <v>0</v>
      </c>
      <c r="R12174">
        <v>72</v>
      </c>
      <c r="S12174">
        <v>72</v>
      </c>
      <c r="T12174" t="s">
        <v>43939</v>
      </c>
    </row>
    <row r="12175" spans="1:20" customFormat="1" ht="15" x14ac:dyDescent="0.25">
      <c r="A12175" t="s">
        <v>35</v>
      </c>
      <c r="B12175" t="s">
        <v>61</v>
      </c>
      <c r="C12175" t="str">
        <f>"A0131732"</f>
        <v>A0131732</v>
      </c>
      <c r="D12175" t="s">
        <v>43940</v>
      </c>
      <c r="E12175" t="s">
        <v>43941</v>
      </c>
      <c r="F12175" t="s">
        <v>4078</v>
      </c>
      <c r="G12175" t="s">
        <v>65</v>
      </c>
      <c r="H12175">
        <v>441250000</v>
      </c>
      <c r="I12175" t="s">
        <v>30</v>
      </c>
      <c r="J12175" t="s">
        <v>41</v>
      </c>
      <c r="K12175" t="s">
        <v>59</v>
      </c>
      <c r="Q12175">
        <v>0</v>
      </c>
      <c r="R12175">
        <v>251</v>
      </c>
      <c r="S12175">
        <v>251</v>
      </c>
      <c r="T12175" t="s">
        <v>43942</v>
      </c>
    </row>
    <row r="12176" spans="1:20" customFormat="1" ht="15" x14ac:dyDescent="0.25">
      <c r="A12176" t="s">
        <v>35</v>
      </c>
      <c r="B12176" t="s">
        <v>61</v>
      </c>
      <c r="C12176" t="str">
        <f>"A0129554"</f>
        <v>A0129554</v>
      </c>
      <c r="D12176" t="s">
        <v>43943</v>
      </c>
      <c r="E12176" t="s">
        <v>43944</v>
      </c>
      <c r="F12176" t="s">
        <v>13113</v>
      </c>
      <c r="G12176" t="s">
        <v>289</v>
      </c>
      <c r="H12176">
        <v>60505</v>
      </c>
      <c r="I12176" t="s">
        <v>30</v>
      </c>
      <c r="J12176" t="s">
        <v>41</v>
      </c>
      <c r="K12176" t="s">
        <v>229</v>
      </c>
      <c r="Q12176">
        <v>0</v>
      </c>
      <c r="R12176">
        <v>125</v>
      </c>
      <c r="S12176">
        <v>125</v>
      </c>
      <c r="T12176" t="s">
        <v>43945</v>
      </c>
    </row>
    <row r="12177" spans="1:20" customFormat="1" ht="15" x14ac:dyDescent="0.25">
      <c r="A12177" t="s">
        <v>35</v>
      </c>
      <c r="B12177" t="s">
        <v>61</v>
      </c>
      <c r="C12177" t="str">
        <f>"A0125165"</f>
        <v>A0125165</v>
      </c>
      <c r="D12177" t="s">
        <v>43946</v>
      </c>
      <c r="E12177" t="s">
        <v>43947</v>
      </c>
      <c r="F12177" t="s">
        <v>4037</v>
      </c>
      <c r="G12177" t="s">
        <v>40</v>
      </c>
      <c r="H12177">
        <v>731460000</v>
      </c>
      <c r="I12177" t="s">
        <v>30</v>
      </c>
      <c r="J12177" t="s">
        <v>41</v>
      </c>
      <c r="K12177" t="s">
        <v>461</v>
      </c>
      <c r="Q12177">
        <v>0</v>
      </c>
      <c r="R12177">
        <v>40</v>
      </c>
      <c r="S12177">
        <v>40</v>
      </c>
      <c r="T12177" t="s">
        <v>43948</v>
      </c>
    </row>
    <row r="12178" spans="1:20" customFormat="1" ht="15" x14ac:dyDescent="0.25">
      <c r="A12178" t="s">
        <v>35</v>
      </c>
      <c r="B12178" t="s">
        <v>61</v>
      </c>
      <c r="C12178" t="str">
        <f>"A0132705"</f>
        <v>A0132705</v>
      </c>
      <c r="D12178" t="s">
        <v>43949</v>
      </c>
      <c r="E12178" t="s">
        <v>43950</v>
      </c>
      <c r="F12178" t="s">
        <v>21119</v>
      </c>
      <c r="G12178" t="s">
        <v>65</v>
      </c>
      <c r="H12178">
        <v>44505</v>
      </c>
      <c r="I12178" t="s">
        <v>30</v>
      </c>
      <c r="J12178" t="s">
        <v>41</v>
      </c>
      <c r="K12178" t="s">
        <v>36814</v>
      </c>
      <c r="Q12178">
        <v>0</v>
      </c>
      <c r="R12178">
        <v>0</v>
      </c>
      <c r="S12178">
        <v>0</v>
      </c>
      <c r="T12178" t="s">
        <v>43951</v>
      </c>
    </row>
    <row r="12179" spans="1:20" customFormat="1" ht="15" x14ac:dyDescent="0.25">
      <c r="A12179" t="s">
        <v>35</v>
      </c>
      <c r="B12179" t="s">
        <v>61</v>
      </c>
      <c r="C12179" t="str">
        <f>"A0125884"</f>
        <v>A0125884</v>
      </c>
      <c r="D12179" t="s">
        <v>43952</v>
      </c>
      <c r="E12179" t="s">
        <v>43953</v>
      </c>
      <c r="F12179" t="s">
        <v>1795</v>
      </c>
      <c r="G12179" t="s">
        <v>29</v>
      </c>
      <c r="H12179">
        <v>23226</v>
      </c>
      <c r="I12179" t="s">
        <v>30</v>
      </c>
      <c r="J12179" t="s">
        <v>41</v>
      </c>
      <c r="K12179" t="s">
        <v>2463</v>
      </c>
      <c r="Q12179">
        <v>0</v>
      </c>
      <c r="R12179">
        <v>0</v>
      </c>
      <c r="S12179">
        <v>0</v>
      </c>
      <c r="T12179" t="s">
        <v>43954</v>
      </c>
    </row>
    <row r="12180" spans="1:20" customFormat="1" ht="15" x14ac:dyDescent="0.25">
      <c r="A12180" t="s">
        <v>35</v>
      </c>
      <c r="B12180" t="s">
        <v>61</v>
      </c>
      <c r="C12180" t="str">
        <f>"A0126720"</f>
        <v>A0126720</v>
      </c>
      <c r="D12180" t="s">
        <v>43955</v>
      </c>
      <c r="E12180" t="s">
        <v>43956</v>
      </c>
      <c r="F12180" t="s">
        <v>3002</v>
      </c>
      <c r="G12180" t="s">
        <v>103</v>
      </c>
      <c r="H12180">
        <v>17331</v>
      </c>
      <c r="I12180" t="s">
        <v>30</v>
      </c>
      <c r="J12180" t="s">
        <v>41</v>
      </c>
      <c r="K12180" t="s">
        <v>59</v>
      </c>
      <c r="Q12180">
        <v>0</v>
      </c>
      <c r="R12180">
        <v>35</v>
      </c>
      <c r="S12180">
        <v>35</v>
      </c>
      <c r="T12180" t="s">
        <v>43957</v>
      </c>
    </row>
    <row r="12181" spans="1:20" customFormat="1" ht="15" x14ac:dyDescent="0.25">
      <c r="A12181" t="s">
        <v>35</v>
      </c>
      <c r="B12181" t="s">
        <v>3074</v>
      </c>
      <c r="C12181" t="str">
        <f>"A0128779"</f>
        <v>A0128779</v>
      </c>
      <c r="D12181" t="s">
        <v>43958</v>
      </c>
      <c r="E12181" t="s">
        <v>43959</v>
      </c>
      <c r="F12181" t="s">
        <v>7095</v>
      </c>
      <c r="G12181" t="s">
        <v>1170</v>
      </c>
      <c r="H12181">
        <v>70131</v>
      </c>
      <c r="I12181" t="s">
        <v>30</v>
      </c>
      <c r="J12181" t="s">
        <v>41</v>
      </c>
      <c r="K12181" t="s">
        <v>59</v>
      </c>
      <c r="Q12181">
        <v>0</v>
      </c>
      <c r="R12181">
        <v>80</v>
      </c>
      <c r="S12181">
        <v>80</v>
      </c>
      <c r="T12181" t="s">
        <v>43960</v>
      </c>
    </row>
    <row r="12182" spans="1:20" customFormat="1" ht="15" x14ac:dyDescent="0.25">
      <c r="A12182" t="s">
        <v>35</v>
      </c>
      <c r="B12182" t="s">
        <v>61</v>
      </c>
      <c r="C12182" t="str">
        <f>"A0124537"</f>
        <v>A0124537</v>
      </c>
      <c r="D12182" t="s">
        <v>43961</v>
      </c>
      <c r="E12182" t="s">
        <v>43962</v>
      </c>
      <c r="F12182" t="s">
        <v>12532</v>
      </c>
      <c r="G12182" t="s">
        <v>880</v>
      </c>
      <c r="H12182">
        <v>38302</v>
      </c>
      <c r="I12182" t="s">
        <v>30</v>
      </c>
      <c r="J12182" t="s">
        <v>41</v>
      </c>
      <c r="K12182" t="s">
        <v>229</v>
      </c>
      <c r="Q12182">
        <v>0</v>
      </c>
      <c r="R12182">
        <v>26</v>
      </c>
      <c r="S12182">
        <v>26</v>
      </c>
      <c r="T12182" t="s">
        <v>43963</v>
      </c>
    </row>
    <row r="12183" spans="1:20" customFormat="1" ht="15" x14ac:dyDescent="0.25">
      <c r="A12183" t="s">
        <v>35</v>
      </c>
      <c r="B12183" t="s">
        <v>61</v>
      </c>
      <c r="C12183" t="str">
        <f>"A0131643"</f>
        <v>A0131643</v>
      </c>
      <c r="D12183" t="s">
        <v>43964</v>
      </c>
      <c r="E12183" t="s">
        <v>43965</v>
      </c>
      <c r="F12183" t="s">
        <v>43401</v>
      </c>
      <c r="G12183" t="s">
        <v>65</v>
      </c>
      <c r="H12183">
        <v>446540000</v>
      </c>
      <c r="I12183" t="s">
        <v>30</v>
      </c>
      <c r="J12183" t="s">
        <v>41</v>
      </c>
      <c r="K12183" t="s">
        <v>3713</v>
      </c>
      <c r="Q12183">
        <v>0</v>
      </c>
      <c r="R12183">
        <v>50</v>
      </c>
      <c r="S12183">
        <v>50</v>
      </c>
      <c r="T12183" t="s">
        <v>43966</v>
      </c>
    </row>
    <row r="12184" spans="1:20" customFormat="1" ht="15" x14ac:dyDescent="0.25">
      <c r="A12184" t="s">
        <v>35</v>
      </c>
      <c r="B12184" t="s">
        <v>61</v>
      </c>
      <c r="C12184" t="str">
        <f>"A0124188"</f>
        <v>A0124188</v>
      </c>
      <c r="D12184" t="s">
        <v>43967</v>
      </c>
      <c r="E12184" t="s">
        <v>42855</v>
      </c>
      <c r="F12184" t="s">
        <v>11868</v>
      </c>
      <c r="G12184" t="s">
        <v>123</v>
      </c>
      <c r="H12184">
        <v>21801</v>
      </c>
      <c r="I12184" t="s">
        <v>30</v>
      </c>
      <c r="J12184" t="s">
        <v>41</v>
      </c>
      <c r="K12184" t="s">
        <v>229</v>
      </c>
      <c r="Q12184">
        <v>0</v>
      </c>
      <c r="R12184">
        <v>82</v>
      </c>
      <c r="S12184">
        <v>82</v>
      </c>
      <c r="T12184" t="s">
        <v>42856</v>
      </c>
    </row>
    <row r="12185" spans="1:20" customFormat="1" ht="15" x14ac:dyDescent="0.25">
      <c r="A12185" t="s">
        <v>35</v>
      </c>
      <c r="B12185" t="s">
        <v>437</v>
      </c>
      <c r="C12185" t="str">
        <f>"A0136647"</f>
        <v>A0136647</v>
      </c>
      <c r="D12185" t="s">
        <v>43968</v>
      </c>
      <c r="E12185" t="s">
        <v>43969</v>
      </c>
      <c r="F12185" t="s">
        <v>7362</v>
      </c>
      <c r="G12185" t="s">
        <v>110</v>
      </c>
      <c r="H12185">
        <v>900240000</v>
      </c>
      <c r="I12185" t="s">
        <v>30</v>
      </c>
      <c r="J12185" t="s">
        <v>441</v>
      </c>
      <c r="K12185" t="s">
        <v>10607</v>
      </c>
      <c r="Q12185">
        <v>0</v>
      </c>
      <c r="R12185">
        <v>0</v>
      </c>
      <c r="S12185">
        <v>0</v>
      </c>
      <c r="T12185" t="s">
        <v>43970</v>
      </c>
    </row>
    <row r="12186" spans="1:20" customFormat="1" ht="15" x14ac:dyDescent="0.25">
      <c r="A12186" t="s">
        <v>35</v>
      </c>
      <c r="B12186" t="s">
        <v>61</v>
      </c>
      <c r="C12186" t="str">
        <f>"A0117791"</f>
        <v>A0117791</v>
      </c>
      <c r="D12186" t="s">
        <v>43971</v>
      </c>
      <c r="E12186" t="s">
        <v>43972</v>
      </c>
      <c r="F12186" t="s">
        <v>43973</v>
      </c>
      <c r="G12186" t="s">
        <v>110</v>
      </c>
      <c r="H12186">
        <v>95338</v>
      </c>
      <c r="I12186" t="s">
        <v>30</v>
      </c>
      <c r="J12186" t="s">
        <v>41</v>
      </c>
      <c r="K12186" t="s">
        <v>3713</v>
      </c>
      <c r="Q12186">
        <v>0</v>
      </c>
      <c r="R12186">
        <v>34</v>
      </c>
      <c r="S12186">
        <v>34</v>
      </c>
      <c r="T12186" t="s">
        <v>43974</v>
      </c>
    </row>
    <row r="12187" spans="1:20" customFormat="1" ht="15" x14ac:dyDescent="0.25">
      <c r="A12187" t="s">
        <v>35</v>
      </c>
      <c r="B12187" t="s">
        <v>106</v>
      </c>
      <c r="C12187" t="str">
        <f>"A0135606"</f>
        <v>A0135606</v>
      </c>
      <c r="D12187" t="s">
        <v>43975</v>
      </c>
      <c r="E12187" t="s">
        <v>43976</v>
      </c>
      <c r="F12187" t="s">
        <v>22759</v>
      </c>
      <c r="G12187" t="s">
        <v>52</v>
      </c>
      <c r="H12187">
        <v>77381</v>
      </c>
      <c r="I12187" t="s">
        <v>30</v>
      </c>
      <c r="J12187" t="s">
        <v>111</v>
      </c>
      <c r="K12187" t="s">
        <v>112</v>
      </c>
      <c r="Q12187">
        <v>0</v>
      </c>
      <c r="R12187">
        <v>0</v>
      </c>
      <c r="S12187">
        <v>0</v>
      </c>
      <c r="T12187" t="s">
        <v>43977</v>
      </c>
    </row>
    <row r="12188" spans="1:20" customFormat="1" ht="15" x14ac:dyDescent="0.25">
      <c r="A12188" t="s">
        <v>35</v>
      </c>
      <c r="B12188" t="s">
        <v>61</v>
      </c>
      <c r="C12188" t="str">
        <f>"A0126288"</f>
        <v>A0126288</v>
      </c>
      <c r="D12188" t="s">
        <v>43978</v>
      </c>
      <c r="E12188" t="s">
        <v>43979</v>
      </c>
      <c r="F12188" t="s">
        <v>22916</v>
      </c>
      <c r="G12188" t="s">
        <v>81</v>
      </c>
      <c r="H12188">
        <v>33060</v>
      </c>
      <c r="I12188" t="s">
        <v>30</v>
      </c>
      <c r="J12188" t="s">
        <v>41</v>
      </c>
      <c r="K12188" t="s">
        <v>2463</v>
      </c>
      <c r="Q12188">
        <v>0</v>
      </c>
      <c r="R12188">
        <v>1</v>
      </c>
      <c r="S12188">
        <v>1</v>
      </c>
      <c r="T12188" t="s">
        <v>43980</v>
      </c>
    </row>
    <row r="12189" spans="1:20" customFormat="1" ht="15" x14ac:dyDescent="0.25">
      <c r="A12189" t="s">
        <v>35</v>
      </c>
      <c r="B12189" t="s">
        <v>61</v>
      </c>
      <c r="C12189" t="str">
        <f>"A0150574"</f>
        <v>A0150574</v>
      </c>
      <c r="D12189" t="s">
        <v>14346</v>
      </c>
      <c r="E12189" t="s">
        <v>43981</v>
      </c>
      <c r="F12189" t="s">
        <v>11842</v>
      </c>
      <c r="G12189" t="s">
        <v>81</v>
      </c>
      <c r="H12189">
        <v>32763</v>
      </c>
      <c r="I12189" t="s">
        <v>30</v>
      </c>
      <c r="J12189" t="s">
        <v>41</v>
      </c>
      <c r="K12189" t="s">
        <v>59</v>
      </c>
      <c r="Q12189">
        <v>0</v>
      </c>
      <c r="R12189">
        <v>800</v>
      </c>
      <c r="S12189">
        <v>800</v>
      </c>
      <c r="T12189" t="s">
        <v>43982</v>
      </c>
    </row>
    <row r="12190" spans="1:20" customFormat="1" ht="15" x14ac:dyDescent="0.25">
      <c r="A12190" t="s">
        <v>35</v>
      </c>
      <c r="B12190" t="s">
        <v>61</v>
      </c>
      <c r="C12190" t="str">
        <f>"A0123776"</f>
        <v>A0123776</v>
      </c>
      <c r="D12190" t="s">
        <v>43983</v>
      </c>
      <c r="E12190" t="s">
        <v>43984</v>
      </c>
      <c r="F12190" t="s">
        <v>43985</v>
      </c>
      <c r="G12190" t="s">
        <v>880</v>
      </c>
      <c r="H12190">
        <v>37681</v>
      </c>
      <c r="I12190" t="s">
        <v>30</v>
      </c>
      <c r="J12190" t="s">
        <v>41</v>
      </c>
      <c r="K12190" t="s">
        <v>229</v>
      </c>
      <c r="Q12190">
        <v>0</v>
      </c>
      <c r="R12190">
        <v>76</v>
      </c>
      <c r="S12190">
        <v>76</v>
      </c>
      <c r="T12190" t="s">
        <v>43986</v>
      </c>
    </row>
    <row r="12191" spans="1:20" customFormat="1" ht="15" x14ac:dyDescent="0.25">
      <c r="A12191" t="s">
        <v>35</v>
      </c>
      <c r="B12191" t="s">
        <v>61</v>
      </c>
      <c r="C12191" t="str">
        <f>"A0123443"</f>
        <v>A0123443</v>
      </c>
      <c r="D12191" t="s">
        <v>43987</v>
      </c>
      <c r="E12191" t="s">
        <v>43988</v>
      </c>
      <c r="F12191" t="s">
        <v>28763</v>
      </c>
      <c r="G12191" t="s">
        <v>507</v>
      </c>
      <c r="H12191">
        <v>26554</v>
      </c>
      <c r="I12191" t="s">
        <v>30</v>
      </c>
      <c r="J12191" t="s">
        <v>41</v>
      </c>
      <c r="K12191" t="s">
        <v>59</v>
      </c>
      <c r="Q12191">
        <v>0</v>
      </c>
      <c r="R12191">
        <v>1</v>
      </c>
      <c r="S12191">
        <v>1</v>
      </c>
      <c r="T12191" t="s">
        <v>43989</v>
      </c>
    </row>
    <row r="12192" spans="1:20" customFormat="1" ht="15" x14ac:dyDescent="0.25">
      <c r="A12192" t="s">
        <v>35</v>
      </c>
      <c r="B12192" t="s">
        <v>106</v>
      </c>
      <c r="C12192" t="str">
        <f>"A0136134"</f>
        <v>A0136134</v>
      </c>
      <c r="D12192" t="s">
        <v>43990</v>
      </c>
      <c r="E12192" t="s">
        <v>43991</v>
      </c>
      <c r="F12192" t="s">
        <v>37617</v>
      </c>
      <c r="G12192" t="s">
        <v>1706</v>
      </c>
      <c r="H12192">
        <v>36701</v>
      </c>
      <c r="I12192" t="s">
        <v>30</v>
      </c>
      <c r="J12192" t="s">
        <v>111</v>
      </c>
      <c r="K12192" t="s">
        <v>112</v>
      </c>
      <c r="Q12192">
        <v>0</v>
      </c>
      <c r="R12192">
        <v>0</v>
      </c>
      <c r="S12192">
        <v>0</v>
      </c>
      <c r="T12192" t="s">
        <v>43992</v>
      </c>
    </row>
    <row r="12193" spans="1:20" customFormat="1" ht="15" x14ac:dyDescent="0.25">
      <c r="A12193" t="s">
        <v>35</v>
      </c>
      <c r="B12193" t="s">
        <v>61</v>
      </c>
      <c r="C12193" t="str">
        <f>"A0118905"</f>
        <v>A0118905</v>
      </c>
      <c r="D12193" t="s">
        <v>43993</v>
      </c>
      <c r="E12193" t="s">
        <v>43994</v>
      </c>
      <c r="F12193" t="s">
        <v>43995</v>
      </c>
      <c r="G12193" t="s">
        <v>110</v>
      </c>
      <c r="H12193">
        <v>93637</v>
      </c>
      <c r="I12193" t="s">
        <v>30</v>
      </c>
      <c r="J12193" t="s">
        <v>41</v>
      </c>
      <c r="K12193" t="s">
        <v>391</v>
      </c>
      <c r="Q12193">
        <v>0</v>
      </c>
      <c r="R12193">
        <v>0</v>
      </c>
      <c r="S12193">
        <v>0</v>
      </c>
      <c r="T12193" t="s">
        <v>43996</v>
      </c>
    </row>
    <row r="12194" spans="1:20" customFormat="1" ht="15" x14ac:dyDescent="0.25">
      <c r="A12194" t="s">
        <v>35</v>
      </c>
      <c r="B12194" t="s">
        <v>61</v>
      </c>
      <c r="C12194" t="str">
        <f>"A0123841"</f>
        <v>A0123841</v>
      </c>
      <c r="D12194" t="s">
        <v>43997</v>
      </c>
      <c r="E12194" t="s">
        <v>43998</v>
      </c>
      <c r="F12194" t="s">
        <v>26351</v>
      </c>
      <c r="G12194" t="s">
        <v>29</v>
      </c>
      <c r="H12194">
        <v>24521</v>
      </c>
      <c r="I12194" t="s">
        <v>30</v>
      </c>
      <c r="J12194" t="s">
        <v>41</v>
      </c>
      <c r="K12194" t="s">
        <v>59</v>
      </c>
      <c r="Q12194">
        <v>0</v>
      </c>
      <c r="R12194">
        <v>36</v>
      </c>
      <c r="S12194">
        <v>36</v>
      </c>
      <c r="T12194" t="s">
        <v>43999</v>
      </c>
    </row>
    <row r="12195" spans="1:20" customFormat="1" ht="15" x14ac:dyDescent="0.25">
      <c r="A12195" t="s">
        <v>35</v>
      </c>
      <c r="B12195" t="s">
        <v>61</v>
      </c>
      <c r="C12195" t="str">
        <f>"A0125162"</f>
        <v>A0125162</v>
      </c>
      <c r="D12195" t="s">
        <v>44000</v>
      </c>
      <c r="E12195" t="s">
        <v>44001</v>
      </c>
      <c r="F12195" t="s">
        <v>44002</v>
      </c>
      <c r="G12195" t="s">
        <v>40</v>
      </c>
      <c r="H12195">
        <v>73460</v>
      </c>
      <c r="I12195" t="s">
        <v>30</v>
      </c>
      <c r="J12195" t="s">
        <v>41</v>
      </c>
      <c r="K12195" t="s">
        <v>3713</v>
      </c>
      <c r="Q12195">
        <v>0</v>
      </c>
      <c r="R12195">
        <v>25</v>
      </c>
      <c r="S12195">
        <v>25</v>
      </c>
      <c r="T12195" t="s">
        <v>44003</v>
      </c>
    </row>
    <row r="12196" spans="1:20" customFormat="1" ht="15" x14ac:dyDescent="0.25">
      <c r="A12196" t="s">
        <v>35</v>
      </c>
      <c r="B12196" t="s">
        <v>61</v>
      </c>
      <c r="C12196" t="str">
        <f>"A0129474"</f>
        <v>A0129474</v>
      </c>
      <c r="D12196" t="s">
        <v>44004</v>
      </c>
      <c r="E12196" t="s">
        <v>44005</v>
      </c>
      <c r="F12196" t="s">
        <v>19668</v>
      </c>
      <c r="G12196" t="s">
        <v>289</v>
      </c>
      <c r="H12196">
        <v>60431</v>
      </c>
      <c r="I12196" t="s">
        <v>30</v>
      </c>
      <c r="J12196" t="s">
        <v>41</v>
      </c>
      <c r="K12196" t="s">
        <v>456</v>
      </c>
      <c r="Q12196">
        <v>0</v>
      </c>
      <c r="R12196">
        <v>16</v>
      </c>
      <c r="S12196">
        <v>16</v>
      </c>
      <c r="T12196" t="s">
        <v>44006</v>
      </c>
    </row>
    <row r="12197" spans="1:20" customFormat="1" ht="15" x14ac:dyDescent="0.25">
      <c r="A12197" t="s">
        <v>35</v>
      </c>
      <c r="B12197" t="s">
        <v>61</v>
      </c>
      <c r="C12197" t="str">
        <f>"A0121444"</f>
        <v>A0121444</v>
      </c>
      <c r="D12197" t="s">
        <v>44007</v>
      </c>
      <c r="E12197" t="s">
        <v>44008</v>
      </c>
      <c r="F12197" t="s">
        <v>1277</v>
      </c>
      <c r="G12197" t="s">
        <v>110</v>
      </c>
      <c r="H12197">
        <v>92423</v>
      </c>
      <c r="I12197" t="s">
        <v>30</v>
      </c>
      <c r="J12197" t="s">
        <v>41</v>
      </c>
      <c r="K12197" t="s">
        <v>131</v>
      </c>
      <c r="Q12197">
        <v>0</v>
      </c>
      <c r="R12197">
        <v>0</v>
      </c>
      <c r="S12197">
        <v>0</v>
      </c>
      <c r="T12197" t="s">
        <v>44009</v>
      </c>
    </row>
    <row r="12198" spans="1:20" customFormat="1" ht="15" x14ac:dyDescent="0.25">
      <c r="A12198" t="s">
        <v>35</v>
      </c>
      <c r="B12198" t="s">
        <v>61</v>
      </c>
      <c r="C12198" t="str">
        <f>"A0123842"</f>
        <v>A0123842</v>
      </c>
      <c r="D12198" t="s">
        <v>44010</v>
      </c>
      <c r="E12198" t="s">
        <v>44011</v>
      </c>
      <c r="F12198" t="s">
        <v>1795</v>
      </c>
      <c r="G12198" t="s">
        <v>29</v>
      </c>
      <c r="H12198">
        <v>23225</v>
      </c>
      <c r="I12198" t="s">
        <v>30</v>
      </c>
      <c r="J12198" t="s">
        <v>41</v>
      </c>
      <c r="K12198" t="s">
        <v>482</v>
      </c>
      <c r="Q12198">
        <v>0</v>
      </c>
      <c r="R12198">
        <v>50</v>
      </c>
      <c r="S12198">
        <v>50</v>
      </c>
      <c r="T12198" t="s">
        <v>44012</v>
      </c>
    </row>
    <row r="12199" spans="1:20" customFormat="1" ht="15" x14ac:dyDescent="0.25">
      <c r="A12199" t="s">
        <v>35</v>
      </c>
      <c r="B12199" t="s">
        <v>61</v>
      </c>
      <c r="C12199" t="str">
        <f>"A0123444"</f>
        <v>A0123444</v>
      </c>
      <c r="D12199" t="s">
        <v>44013</v>
      </c>
      <c r="E12199" t="s">
        <v>44014</v>
      </c>
      <c r="F12199" t="s">
        <v>44015</v>
      </c>
      <c r="G12199" t="s">
        <v>137</v>
      </c>
      <c r="H12199">
        <v>64804</v>
      </c>
      <c r="I12199" t="s">
        <v>30</v>
      </c>
      <c r="J12199" t="s">
        <v>41</v>
      </c>
      <c r="K12199" t="s">
        <v>229</v>
      </c>
      <c r="Q12199">
        <v>0</v>
      </c>
      <c r="R12199">
        <v>80</v>
      </c>
      <c r="S12199">
        <v>80</v>
      </c>
      <c r="T12199" t="s">
        <v>44016</v>
      </c>
    </row>
    <row r="12200" spans="1:20" customFormat="1" ht="15" x14ac:dyDescent="0.25">
      <c r="A12200" t="s">
        <v>35</v>
      </c>
      <c r="B12200" t="s">
        <v>61</v>
      </c>
      <c r="C12200" t="str">
        <f>"A0122959"</f>
        <v>A0122959</v>
      </c>
      <c r="D12200" t="s">
        <v>44017</v>
      </c>
      <c r="E12200" t="s">
        <v>44018</v>
      </c>
      <c r="F12200" t="s">
        <v>11613</v>
      </c>
      <c r="G12200" t="s">
        <v>76</v>
      </c>
      <c r="H12200">
        <v>98292</v>
      </c>
      <c r="I12200" t="s">
        <v>30</v>
      </c>
      <c r="J12200" t="s">
        <v>41</v>
      </c>
      <c r="K12200" t="s">
        <v>229</v>
      </c>
      <c r="Q12200">
        <v>0</v>
      </c>
      <c r="R12200">
        <v>217</v>
      </c>
      <c r="S12200">
        <v>217</v>
      </c>
      <c r="T12200" t="s">
        <v>44019</v>
      </c>
    </row>
    <row r="12201" spans="1:20" customFormat="1" ht="15" x14ac:dyDescent="0.25">
      <c r="A12201" t="s">
        <v>35</v>
      </c>
      <c r="B12201" t="s">
        <v>4042</v>
      </c>
      <c r="C12201" t="str">
        <f>"A0130081"</f>
        <v>A0130081</v>
      </c>
      <c r="D12201" t="s">
        <v>44020</v>
      </c>
      <c r="E12201" t="s">
        <v>44021</v>
      </c>
      <c r="F12201" t="s">
        <v>4054</v>
      </c>
      <c r="G12201" t="s">
        <v>880</v>
      </c>
      <c r="H12201">
        <v>37129</v>
      </c>
      <c r="I12201" t="s">
        <v>30</v>
      </c>
      <c r="J12201" t="s">
        <v>41</v>
      </c>
      <c r="K12201" t="s">
        <v>461</v>
      </c>
      <c r="Q12201">
        <v>0</v>
      </c>
      <c r="R12201">
        <v>0</v>
      </c>
      <c r="S12201">
        <v>1</v>
      </c>
      <c r="T12201" t="s">
        <v>44022</v>
      </c>
    </row>
    <row r="12202" spans="1:20" customFormat="1" ht="15" x14ac:dyDescent="0.25">
      <c r="A12202" t="s">
        <v>35</v>
      </c>
      <c r="B12202" t="s">
        <v>61</v>
      </c>
      <c r="C12202" t="str">
        <f>"A0130670"</f>
        <v>A0130670</v>
      </c>
      <c r="D12202" t="s">
        <v>44023</v>
      </c>
      <c r="E12202" t="s">
        <v>44024</v>
      </c>
      <c r="F12202" t="s">
        <v>44025</v>
      </c>
      <c r="G12202" t="s">
        <v>1898</v>
      </c>
      <c r="H12202">
        <v>51401</v>
      </c>
      <c r="I12202" t="s">
        <v>30</v>
      </c>
      <c r="J12202" t="s">
        <v>41</v>
      </c>
      <c r="K12202" t="s">
        <v>59</v>
      </c>
      <c r="Q12202">
        <v>0</v>
      </c>
      <c r="R12202">
        <v>24</v>
      </c>
      <c r="S12202">
        <v>24</v>
      </c>
      <c r="T12202" t="s">
        <v>44026</v>
      </c>
    </row>
    <row r="12203" spans="1:20" customFormat="1" ht="15" x14ac:dyDescent="0.25">
      <c r="A12203" t="s">
        <v>35</v>
      </c>
      <c r="B12203" t="s">
        <v>61</v>
      </c>
      <c r="C12203" t="str">
        <f>"A0130996"</f>
        <v>A0130996</v>
      </c>
      <c r="D12203" t="s">
        <v>44027</v>
      </c>
      <c r="E12203" t="s">
        <v>44028</v>
      </c>
      <c r="F12203" t="s">
        <v>3193</v>
      </c>
      <c r="G12203" t="s">
        <v>137</v>
      </c>
      <c r="H12203">
        <v>647350000</v>
      </c>
      <c r="I12203" t="s">
        <v>30</v>
      </c>
      <c r="J12203" t="s">
        <v>41</v>
      </c>
      <c r="K12203" t="s">
        <v>59</v>
      </c>
      <c r="Q12203">
        <v>0</v>
      </c>
      <c r="R12203">
        <v>42</v>
      </c>
      <c r="S12203">
        <v>42</v>
      </c>
      <c r="T12203" t="s">
        <v>44029</v>
      </c>
    </row>
    <row r="12204" spans="1:20" customFormat="1" ht="15" x14ac:dyDescent="0.25">
      <c r="A12204" t="s">
        <v>35</v>
      </c>
      <c r="B12204" t="s">
        <v>61</v>
      </c>
      <c r="C12204" t="str">
        <f>"A0130995"</f>
        <v>A0130995</v>
      </c>
      <c r="D12204" t="s">
        <v>44030</v>
      </c>
      <c r="E12204" t="s">
        <v>44031</v>
      </c>
      <c r="F12204" t="s">
        <v>1755</v>
      </c>
      <c r="G12204" t="s">
        <v>137</v>
      </c>
      <c r="H12204">
        <v>658010000</v>
      </c>
      <c r="I12204" t="s">
        <v>30</v>
      </c>
      <c r="J12204" t="s">
        <v>41</v>
      </c>
      <c r="K12204" t="s">
        <v>59</v>
      </c>
      <c r="Q12204">
        <v>0</v>
      </c>
      <c r="R12204">
        <v>76</v>
      </c>
      <c r="S12204">
        <v>76</v>
      </c>
      <c r="T12204" t="s">
        <v>44032</v>
      </c>
    </row>
    <row r="12205" spans="1:20" customFormat="1" ht="15" x14ac:dyDescent="0.25">
      <c r="A12205" t="s">
        <v>35</v>
      </c>
      <c r="B12205" t="s">
        <v>106</v>
      </c>
      <c r="C12205" t="str">
        <f>"A0136548"</f>
        <v>A0136548</v>
      </c>
      <c r="D12205" t="s">
        <v>44033</v>
      </c>
      <c r="E12205" t="s">
        <v>44034</v>
      </c>
      <c r="F12205" t="s">
        <v>44035</v>
      </c>
      <c r="G12205" t="s">
        <v>76</v>
      </c>
      <c r="H12205">
        <v>99348</v>
      </c>
      <c r="I12205" t="s">
        <v>30</v>
      </c>
      <c r="J12205" t="s">
        <v>111</v>
      </c>
      <c r="K12205" t="s">
        <v>112</v>
      </c>
      <c r="Q12205">
        <v>0</v>
      </c>
      <c r="R12205">
        <v>0</v>
      </c>
      <c r="S12205">
        <v>0</v>
      </c>
      <c r="T12205" t="s">
        <v>36030</v>
      </c>
    </row>
    <row r="12206" spans="1:20" customFormat="1" ht="15" x14ac:dyDescent="0.25">
      <c r="A12206" t="s">
        <v>35</v>
      </c>
      <c r="B12206" t="s">
        <v>61</v>
      </c>
      <c r="C12206" t="str">
        <f>"A0132771"</f>
        <v>A0132771</v>
      </c>
      <c r="D12206" t="s">
        <v>44036</v>
      </c>
      <c r="E12206" t="s">
        <v>44037</v>
      </c>
      <c r="F12206" t="s">
        <v>13583</v>
      </c>
      <c r="G12206" t="s">
        <v>65</v>
      </c>
      <c r="H12206">
        <v>45840</v>
      </c>
      <c r="I12206" t="s">
        <v>30</v>
      </c>
      <c r="J12206" t="s">
        <v>41</v>
      </c>
      <c r="K12206" t="s">
        <v>229</v>
      </c>
      <c r="Q12206">
        <v>0</v>
      </c>
      <c r="R12206">
        <v>15</v>
      </c>
      <c r="S12206">
        <v>15</v>
      </c>
      <c r="T12206" t="s">
        <v>44038</v>
      </c>
    </row>
    <row r="12207" spans="1:20" customFormat="1" ht="15" x14ac:dyDescent="0.25">
      <c r="A12207" t="s">
        <v>35</v>
      </c>
      <c r="B12207" t="s">
        <v>61</v>
      </c>
      <c r="C12207" t="str">
        <f>"A0119008"</f>
        <v>A0119008</v>
      </c>
      <c r="D12207" t="s">
        <v>44039</v>
      </c>
      <c r="E12207" t="s">
        <v>44040</v>
      </c>
      <c r="F12207" t="s">
        <v>37113</v>
      </c>
      <c r="G12207" t="s">
        <v>110</v>
      </c>
      <c r="H12207">
        <v>93401</v>
      </c>
      <c r="I12207" t="s">
        <v>30</v>
      </c>
      <c r="J12207" t="s">
        <v>41</v>
      </c>
      <c r="K12207" t="s">
        <v>59</v>
      </c>
      <c r="Q12207">
        <v>0</v>
      </c>
      <c r="R12207">
        <v>107</v>
      </c>
      <c r="S12207">
        <v>107</v>
      </c>
      <c r="T12207" t="s">
        <v>44041</v>
      </c>
    </row>
    <row r="12208" spans="1:20" customFormat="1" ht="15" x14ac:dyDescent="0.25">
      <c r="A12208" t="s">
        <v>35</v>
      </c>
      <c r="B12208" t="s">
        <v>61</v>
      </c>
      <c r="C12208" t="str">
        <f>"A0123843"</f>
        <v>A0123843</v>
      </c>
      <c r="D12208" t="s">
        <v>44042</v>
      </c>
      <c r="E12208" t="s">
        <v>44043</v>
      </c>
      <c r="F12208" t="s">
        <v>32806</v>
      </c>
      <c r="G12208" t="s">
        <v>29</v>
      </c>
      <c r="H12208">
        <v>23452</v>
      </c>
      <c r="I12208" t="s">
        <v>30</v>
      </c>
      <c r="J12208" t="s">
        <v>41</v>
      </c>
      <c r="K12208" t="s">
        <v>482</v>
      </c>
      <c r="Q12208">
        <v>0</v>
      </c>
      <c r="R12208">
        <v>19</v>
      </c>
      <c r="S12208">
        <v>19</v>
      </c>
      <c r="T12208" t="s">
        <v>40327</v>
      </c>
    </row>
    <row r="12209" spans="1:20" customFormat="1" ht="15" x14ac:dyDescent="0.25">
      <c r="A12209" t="s">
        <v>35</v>
      </c>
      <c r="B12209" t="s">
        <v>61</v>
      </c>
      <c r="C12209" t="str">
        <f>"A0123445"</f>
        <v>A0123445</v>
      </c>
      <c r="D12209" t="s">
        <v>44044</v>
      </c>
      <c r="E12209" t="s">
        <v>44045</v>
      </c>
      <c r="F12209" t="s">
        <v>22374</v>
      </c>
      <c r="G12209" t="s">
        <v>99</v>
      </c>
      <c r="H12209" t="s">
        <v>44046</v>
      </c>
      <c r="I12209" t="s">
        <v>30</v>
      </c>
      <c r="J12209" t="s">
        <v>41</v>
      </c>
      <c r="K12209" t="s">
        <v>229</v>
      </c>
      <c r="Q12209">
        <v>0</v>
      </c>
      <c r="R12209">
        <v>200</v>
      </c>
      <c r="S12209">
        <v>200</v>
      </c>
      <c r="T12209" t="s">
        <v>44047</v>
      </c>
    </row>
    <row r="12210" spans="1:20" customFormat="1" ht="15" x14ac:dyDescent="0.25">
      <c r="A12210" t="s">
        <v>35</v>
      </c>
      <c r="B12210" t="s">
        <v>61</v>
      </c>
      <c r="C12210" t="str">
        <f>"A0126628"</f>
        <v>A0126628</v>
      </c>
      <c r="D12210" t="s">
        <v>44048</v>
      </c>
      <c r="E12210" t="s">
        <v>44049</v>
      </c>
      <c r="F12210" t="s">
        <v>19624</v>
      </c>
      <c r="G12210" t="s">
        <v>103</v>
      </c>
      <c r="H12210">
        <v>19020</v>
      </c>
      <c r="I12210" t="s">
        <v>30</v>
      </c>
      <c r="J12210" t="s">
        <v>41</v>
      </c>
      <c r="K12210" t="s">
        <v>1440</v>
      </c>
      <c r="Q12210">
        <v>0</v>
      </c>
      <c r="R12210">
        <v>333</v>
      </c>
      <c r="S12210">
        <v>333</v>
      </c>
      <c r="T12210" t="s">
        <v>44050</v>
      </c>
    </row>
    <row r="12211" spans="1:20" customFormat="1" ht="15" x14ac:dyDescent="0.25">
      <c r="A12211" t="s">
        <v>35</v>
      </c>
      <c r="B12211" t="s">
        <v>61</v>
      </c>
      <c r="C12211" t="str">
        <f>"A0133761"</f>
        <v>A0133761</v>
      </c>
      <c r="D12211" t="s">
        <v>44051</v>
      </c>
      <c r="E12211" t="s">
        <v>44052</v>
      </c>
      <c r="F12211" t="s">
        <v>35525</v>
      </c>
      <c r="G12211" t="s">
        <v>52</v>
      </c>
      <c r="H12211">
        <v>77303</v>
      </c>
      <c r="I12211" t="s">
        <v>30</v>
      </c>
      <c r="J12211" t="s">
        <v>41</v>
      </c>
      <c r="K12211" t="s">
        <v>2760</v>
      </c>
      <c r="Q12211">
        <v>0</v>
      </c>
      <c r="R12211">
        <v>0</v>
      </c>
      <c r="S12211">
        <v>0</v>
      </c>
      <c r="T12211" t="s">
        <v>44053</v>
      </c>
    </row>
    <row r="12212" spans="1:20" customFormat="1" ht="15" x14ac:dyDescent="0.25">
      <c r="A12212" t="s">
        <v>35</v>
      </c>
      <c r="B12212" t="s">
        <v>61</v>
      </c>
      <c r="C12212" t="str">
        <f>"A0130902"</f>
        <v>A0130902</v>
      </c>
      <c r="D12212" t="s">
        <v>44054</v>
      </c>
      <c r="E12212" t="s">
        <v>44055</v>
      </c>
      <c r="F12212" t="s">
        <v>44056</v>
      </c>
      <c r="G12212" t="s">
        <v>137</v>
      </c>
      <c r="H12212">
        <v>656890000</v>
      </c>
      <c r="I12212" t="s">
        <v>30</v>
      </c>
      <c r="J12212" t="s">
        <v>41</v>
      </c>
      <c r="K12212" t="s">
        <v>229</v>
      </c>
      <c r="Q12212">
        <v>0</v>
      </c>
      <c r="R12212">
        <v>135</v>
      </c>
      <c r="S12212">
        <v>135</v>
      </c>
      <c r="T12212" t="s">
        <v>44057</v>
      </c>
    </row>
    <row r="12213" spans="1:20" customFormat="1" ht="15" x14ac:dyDescent="0.25">
      <c r="A12213" t="s">
        <v>35</v>
      </c>
      <c r="B12213" t="s">
        <v>61</v>
      </c>
      <c r="C12213" t="str">
        <f>"A0121462"</f>
        <v>A0121462</v>
      </c>
      <c r="D12213" t="s">
        <v>44058</v>
      </c>
      <c r="E12213" t="s">
        <v>44059</v>
      </c>
      <c r="F12213" t="s">
        <v>44060</v>
      </c>
      <c r="G12213" t="s">
        <v>4815</v>
      </c>
      <c r="H12213">
        <v>96731</v>
      </c>
      <c r="I12213" t="s">
        <v>30</v>
      </c>
      <c r="J12213" t="s">
        <v>41</v>
      </c>
      <c r="K12213" t="s">
        <v>3713</v>
      </c>
      <c r="Q12213">
        <v>0</v>
      </c>
      <c r="R12213">
        <v>99</v>
      </c>
      <c r="S12213">
        <v>99</v>
      </c>
      <c r="T12213" t="s">
        <v>44061</v>
      </c>
    </row>
    <row r="12214" spans="1:20" customFormat="1" ht="15" x14ac:dyDescent="0.25">
      <c r="A12214" t="s">
        <v>35</v>
      </c>
      <c r="B12214" t="s">
        <v>61</v>
      </c>
      <c r="C12214" t="str">
        <f>"A0124213"</f>
        <v>A0124213</v>
      </c>
      <c r="D12214" t="s">
        <v>44062</v>
      </c>
      <c r="E12214" t="s">
        <v>44063</v>
      </c>
      <c r="F12214" t="s">
        <v>13336</v>
      </c>
      <c r="G12214" t="s">
        <v>117</v>
      </c>
      <c r="H12214">
        <v>49017</v>
      </c>
      <c r="I12214" t="s">
        <v>30</v>
      </c>
      <c r="J12214" t="s">
        <v>41</v>
      </c>
      <c r="K12214" t="s">
        <v>482</v>
      </c>
      <c r="Q12214">
        <v>0</v>
      </c>
      <c r="R12214">
        <v>25</v>
      </c>
      <c r="S12214">
        <v>25</v>
      </c>
      <c r="T12214" t="s">
        <v>44064</v>
      </c>
    </row>
    <row r="12215" spans="1:20" customFormat="1" ht="15" x14ac:dyDescent="0.25">
      <c r="A12215" t="s">
        <v>35</v>
      </c>
      <c r="B12215" t="s">
        <v>61</v>
      </c>
      <c r="C12215" t="str">
        <f>"A0130379"</f>
        <v>A0130379</v>
      </c>
      <c r="D12215" t="s">
        <v>44065</v>
      </c>
      <c r="E12215" t="s">
        <v>44066</v>
      </c>
      <c r="F12215" t="s">
        <v>44067</v>
      </c>
      <c r="G12215" t="s">
        <v>1898</v>
      </c>
      <c r="H12215">
        <v>50447</v>
      </c>
      <c r="I12215" t="s">
        <v>30</v>
      </c>
      <c r="J12215" t="s">
        <v>41</v>
      </c>
      <c r="K12215" t="s">
        <v>229</v>
      </c>
      <c r="Q12215">
        <v>0</v>
      </c>
      <c r="R12215">
        <v>38</v>
      </c>
      <c r="S12215">
        <v>38</v>
      </c>
      <c r="T12215" t="s">
        <v>44068</v>
      </c>
    </row>
    <row r="12216" spans="1:20" customFormat="1" ht="15" x14ac:dyDescent="0.25">
      <c r="A12216" t="s">
        <v>35</v>
      </c>
      <c r="B12216" t="s">
        <v>61</v>
      </c>
      <c r="C12216" t="str">
        <f>"A0123844"</f>
        <v>A0123844</v>
      </c>
      <c r="D12216" t="s">
        <v>44069</v>
      </c>
      <c r="E12216" t="s">
        <v>44070</v>
      </c>
      <c r="F12216" t="s">
        <v>1795</v>
      </c>
      <c r="G12216" t="s">
        <v>29</v>
      </c>
      <c r="H12216">
        <v>23225</v>
      </c>
      <c r="I12216" t="s">
        <v>30</v>
      </c>
      <c r="J12216" t="s">
        <v>41</v>
      </c>
      <c r="K12216" t="s">
        <v>59</v>
      </c>
      <c r="Q12216">
        <v>0</v>
      </c>
      <c r="R12216">
        <v>11</v>
      </c>
      <c r="S12216">
        <v>11</v>
      </c>
      <c r="T12216" t="s">
        <v>44071</v>
      </c>
    </row>
    <row r="12217" spans="1:20" customFormat="1" ht="15" x14ac:dyDescent="0.25">
      <c r="A12217" t="s">
        <v>35</v>
      </c>
      <c r="B12217" t="s">
        <v>106</v>
      </c>
      <c r="C12217" t="str">
        <f>"A0136272"</f>
        <v>A0136272</v>
      </c>
      <c r="D12217" t="s">
        <v>44072</v>
      </c>
      <c r="E12217" t="s">
        <v>44073</v>
      </c>
      <c r="F12217" t="s">
        <v>8703</v>
      </c>
      <c r="G12217" t="s">
        <v>137</v>
      </c>
      <c r="H12217">
        <v>14106</v>
      </c>
      <c r="I12217" t="s">
        <v>30</v>
      </c>
      <c r="J12217" t="s">
        <v>111</v>
      </c>
      <c r="K12217" t="s">
        <v>112</v>
      </c>
      <c r="Q12217">
        <v>0</v>
      </c>
      <c r="R12217">
        <v>0</v>
      </c>
      <c r="S12217">
        <v>0</v>
      </c>
      <c r="T12217" t="s">
        <v>44074</v>
      </c>
    </row>
    <row r="12218" spans="1:20" customFormat="1" ht="15" x14ac:dyDescent="0.25">
      <c r="A12218" t="s">
        <v>35</v>
      </c>
      <c r="B12218" t="s">
        <v>106</v>
      </c>
      <c r="C12218" t="str">
        <f>"A0136317"</f>
        <v>A0136317</v>
      </c>
      <c r="D12218" t="s">
        <v>44075</v>
      </c>
      <c r="E12218" t="s">
        <v>44076</v>
      </c>
      <c r="F12218" t="s">
        <v>44077</v>
      </c>
      <c r="G12218" t="s">
        <v>1369</v>
      </c>
      <c r="H12218">
        <v>38677</v>
      </c>
      <c r="I12218" t="s">
        <v>30</v>
      </c>
      <c r="J12218" t="s">
        <v>111</v>
      </c>
      <c r="K12218" t="s">
        <v>112</v>
      </c>
      <c r="Q12218">
        <v>0</v>
      </c>
      <c r="R12218">
        <v>0</v>
      </c>
      <c r="S12218">
        <v>0</v>
      </c>
      <c r="T12218" t="s">
        <v>44078</v>
      </c>
    </row>
    <row r="12219" spans="1:20" customFormat="1" ht="15" x14ac:dyDescent="0.25">
      <c r="A12219" t="s">
        <v>35</v>
      </c>
      <c r="B12219" t="s">
        <v>106</v>
      </c>
      <c r="C12219" t="str">
        <f>"A0135303"</f>
        <v>A0135303</v>
      </c>
      <c r="D12219" t="s">
        <v>44079</v>
      </c>
      <c r="E12219" t="s">
        <v>44080</v>
      </c>
      <c r="F12219" t="s">
        <v>22478</v>
      </c>
      <c r="G12219" t="s">
        <v>214</v>
      </c>
      <c r="H12219">
        <v>27514</v>
      </c>
      <c r="I12219" t="s">
        <v>30</v>
      </c>
      <c r="J12219" t="s">
        <v>111</v>
      </c>
      <c r="K12219" t="s">
        <v>112</v>
      </c>
      <c r="Q12219">
        <v>0</v>
      </c>
      <c r="R12219">
        <v>0</v>
      </c>
      <c r="S12219">
        <v>0</v>
      </c>
      <c r="T12219" t="s">
        <v>44081</v>
      </c>
    </row>
    <row r="12220" spans="1:20" customFormat="1" ht="15" x14ac:dyDescent="0.25">
      <c r="A12220" t="s">
        <v>35</v>
      </c>
      <c r="B12220" t="s">
        <v>106</v>
      </c>
      <c r="C12220" t="str">
        <f>"A0135376"</f>
        <v>A0135376</v>
      </c>
      <c r="D12220" t="s">
        <v>44082</v>
      </c>
      <c r="E12220" t="s">
        <v>44083</v>
      </c>
      <c r="F12220" t="s">
        <v>472</v>
      </c>
      <c r="G12220" t="s">
        <v>214</v>
      </c>
      <c r="H12220">
        <v>27606</v>
      </c>
      <c r="I12220" t="s">
        <v>30</v>
      </c>
      <c r="J12220" t="s">
        <v>111</v>
      </c>
      <c r="K12220" t="s">
        <v>112</v>
      </c>
      <c r="Q12220">
        <v>0</v>
      </c>
      <c r="R12220">
        <v>0</v>
      </c>
      <c r="S12220">
        <v>0</v>
      </c>
      <c r="T12220" t="s">
        <v>44084</v>
      </c>
    </row>
    <row r="12221" spans="1:20" customFormat="1" ht="15" x14ac:dyDescent="0.25">
      <c r="A12221" t="s">
        <v>35</v>
      </c>
      <c r="B12221" t="s">
        <v>106</v>
      </c>
      <c r="C12221" t="str">
        <f>"A0135304"</f>
        <v>A0135304</v>
      </c>
      <c r="D12221" t="s">
        <v>44085</v>
      </c>
      <c r="E12221" t="s">
        <v>44086</v>
      </c>
      <c r="F12221" t="s">
        <v>22478</v>
      </c>
      <c r="G12221" t="s">
        <v>214</v>
      </c>
      <c r="H12221">
        <v>27516</v>
      </c>
      <c r="I12221" t="s">
        <v>30</v>
      </c>
      <c r="J12221" t="s">
        <v>111</v>
      </c>
      <c r="K12221" t="s">
        <v>112</v>
      </c>
      <c r="Q12221">
        <v>0</v>
      </c>
      <c r="R12221">
        <v>0</v>
      </c>
      <c r="S12221">
        <v>0</v>
      </c>
      <c r="T12221" t="s">
        <v>44087</v>
      </c>
    </row>
    <row r="12222" spans="1:20" customFormat="1" ht="15" x14ac:dyDescent="0.25">
      <c r="A12222" t="s">
        <v>35</v>
      </c>
      <c r="B12222" t="s">
        <v>106</v>
      </c>
      <c r="C12222" t="str">
        <f>"A0135888"</f>
        <v>A0135888</v>
      </c>
      <c r="D12222" t="s">
        <v>44088</v>
      </c>
      <c r="E12222" t="s">
        <v>44089</v>
      </c>
      <c r="F12222" t="s">
        <v>1444</v>
      </c>
      <c r="G12222" t="s">
        <v>76</v>
      </c>
      <c r="H12222">
        <v>98105</v>
      </c>
      <c r="I12222" t="s">
        <v>30</v>
      </c>
      <c r="J12222" t="s">
        <v>111</v>
      </c>
      <c r="K12222" t="s">
        <v>112</v>
      </c>
      <c r="Q12222">
        <v>0</v>
      </c>
      <c r="R12222">
        <v>0</v>
      </c>
      <c r="S12222">
        <v>0</v>
      </c>
      <c r="T12222" t="s">
        <v>44090</v>
      </c>
    </row>
    <row r="12223" spans="1:20" customFormat="1" ht="15" x14ac:dyDescent="0.25">
      <c r="A12223" t="s">
        <v>35</v>
      </c>
      <c r="B12223" t="s">
        <v>61</v>
      </c>
      <c r="C12223" t="str">
        <f>"A0123446"</f>
        <v>A0123446</v>
      </c>
      <c r="D12223" t="s">
        <v>44091</v>
      </c>
      <c r="E12223" t="s">
        <v>44092</v>
      </c>
      <c r="F12223" t="s">
        <v>44093</v>
      </c>
      <c r="G12223" t="s">
        <v>52</v>
      </c>
      <c r="H12223">
        <v>78118</v>
      </c>
      <c r="I12223" t="s">
        <v>30</v>
      </c>
      <c r="J12223" t="s">
        <v>41</v>
      </c>
      <c r="K12223" t="s">
        <v>229</v>
      </c>
      <c r="Q12223">
        <v>0</v>
      </c>
      <c r="R12223">
        <v>55</v>
      </c>
      <c r="S12223">
        <v>55</v>
      </c>
      <c r="T12223" t="s">
        <v>44094</v>
      </c>
    </row>
    <row r="12224" spans="1:20" customFormat="1" ht="15" x14ac:dyDescent="0.25">
      <c r="A12224" t="s">
        <v>35</v>
      </c>
      <c r="B12224" t="s">
        <v>61</v>
      </c>
      <c r="C12224" t="str">
        <f>"A0151193"</f>
        <v>A0151193</v>
      </c>
      <c r="D12224" t="s">
        <v>44095</v>
      </c>
      <c r="E12224" t="s">
        <v>8729</v>
      </c>
      <c r="F12224" t="s">
        <v>64</v>
      </c>
      <c r="G12224" t="s">
        <v>65</v>
      </c>
      <c r="H12224">
        <v>43230</v>
      </c>
      <c r="I12224" t="s">
        <v>30</v>
      </c>
      <c r="J12224" t="s">
        <v>41</v>
      </c>
      <c r="K12224" t="s">
        <v>1412</v>
      </c>
      <c r="Q12224">
        <v>0</v>
      </c>
      <c r="R12224">
        <v>0</v>
      </c>
      <c r="S12224">
        <v>0</v>
      </c>
      <c r="T12224" t="s">
        <v>8730</v>
      </c>
    </row>
    <row r="12225" spans="1:20" customFormat="1" ht="15" x14ac:dyDescent="0.25">
      <c r="A12225" t="s">
        <v>35</v>
      </c>
      <c r="B12225" t="s">
        <v>61</v>
      </c>
      <c r="C12225" t="str">
        <f>"A0121526"</f>
        <v>A0121526</v>
      </c>
      <c r="D12225" t="s">
        <v>44096</v>
      </c>
      <c r="E12225" t="s">
        <v>44097</v>
      </c>
      <c r="F12225" t="s">
        <v>21958</v>
      </c>
      <c r="G12225" t="s">
        <v>110</v>
      </c>
      <c r="H12225">
        <v>94952</v>
      </c>
      <c r="I12225" t="s">
        <v>30</v>
      </c>
      <c r="J12225" t="s">
        <v>41</v>
      </c>
      <c r="K12225" t="s">
        <v>482</v>
      </c>
      <c r="Q12225">
        <v>0</v>
      </c>
      <c r="R12225">
        <v>25</v>
      </c>
      <c r="S12225">
        <v>25</v>
      </c>
      <c r="T12225" t="s">
        <v>44098</v>
      </c>
    </row>
    <row r="12226" spans="1:20" customFormat="1" ht="15" x14ac:dyDescent="0.25">
      <c r="A12226" t="s">
        <v>35</v>
      </c>
      <c r="B12226" t="s">
        <v>61</v>
      </c>
      <c r="C12226" t="str">
        <f>"A0123447"</f>
        <v>A0123447</v>
      </c>
      <c r="D12226" t="s">
        <v>44099</v>
      </c>
      <c r="E12226" t="s">
        <v>44100</v>
      </c>
      <c r="F12226" t="s">
        <v>23226</v>
      </c>
      <c r="G12226" t="s">
        <v>52</v>
      </c>
      <c r="H12226">
        <v>77493</v>
      </c>
      <c r="I12226" t="s">
        <v>30</v>
      </c>
      <c r="J12226" t="s">
        <v>41</v>
      </c>
      <c r="K12226" t="s">
        <v>482</v>
      </c>
      <c r="Q12226">
        <v>0</v>
      </c>
      <c r="R12226">
        <v>106</v>
      </c>
      <c r="S12226">
        <v>106</v>
      </c>
      <c r="T12226" t="s">
        <v>44101</v>
      </c>
    </row>
    <row r="12227" spans="1:20" customFormat="1" ht="15" x14ac:dyDescent="0.25">
      <c r="A12227" t="s">
        <v>35</v>
      </c>
      <c r="B12227" t="s">
        <v>61</v>
      </c>
      <c r="C12227" t="str">
        <f>"A0122560"</f>
        <v>A0122560</v>
      </c>
      <c r="D12227" t="s">
        <v>44102</v>
      </c>
      <c r="E12227" t="s">
        <v>44103</v>
      </c>
      <c r="F12227" t="s">
        <v>1444</v>
      </c>
      <c r="G12227" t="s">
        <v>76</v>
      </c>
      <c r="H12227">
        <v>98144</v>
      </c>
      <c r="I12227" t="s">
        <v>30</v>
      </c>
      <c r="J12227" t="s">
        <v>41</v>
      </c>
      <c r="K12227" t="s">
        <v>59</v>
      </c>
      <c r="Q12227">
        <v>0</v>
      </c>
      <c r="R12227">
        <v>180</v>
      </c>
      <c r="S12227">
        <v>180</v>
      </c>
      <c r="T12227" t="s">
        <v>44104</v>
      </c>
    </row>
    <row r="12228" spans="1:20" customFormat="1" ht="15" x14ac:dyDescent="0.25">
      <c r="A12228" t="s">
        <v>35</v>
      </c>
      <c r="B12228" t="s">
        <v>61</v>
      </c>
      <c r="C12228" t="str">
        <f>"A0124214"</f>
        <v>A0124214</v>
      </c>
      <c r="D12228" t="s">
        <v>44105</v>
      </c>
      <c r="E12228" t="s">
        <v>44106</v>
      </c>
      <c r="F12228" t="s">
        <v>4629</v>
      </c>
      <c r="G12228" t="s">
        <v>103</v>
      </c>
      <c r="H12228">
        <v>19144</v>
      </c>
      <c r="I12228" t="s">
        <v>30</v>
      </c>
      <c r="J12228" t="s">
        <v>41</v>
      </c>
      <c r="K12228" t="s">
        <v>482</v>
      </c>
      <c r="Q12228">
        <v>0</v>
      </c>
      <c r="R12228">
        <v>81</v>
      </c>
      <c r="S12228">
        <v>81</v>
      </c>
      <c r="T12228" t="s">
        <v>44107</v>
      </c>
    </row>
    <row r="12229" spans="1:20" customFormat="1" ht="15" x14ac:dyDescent="0.25">
      <c r="A12229" t="s">
        <v>35</v>
      </c>
      <c r="B12229" t="s">
        <v>61</v>
      </c>
      <c r="C12229" t="str">
        <f>"A0124215"</f>
        <v>A0124215</v>
      </c>
      <c r="D12229" t="s">
        <v>44108</v>
      </c>
      <c r="E12229" t="s">
        <v>44109</v>
      </c>
      <c r="F12229" t="s">
        <v>1435</v>
      </c>
      <c r="G12229" t="s">
        <v>1363</v>
      </c>
      <c r="H12229">
        <v>3431</v>
      </c>
      <c r="I12229" t="s">
        <v>30</v>
      </c>
      <c r="J12229" t="s">
        <v>41</v>
      </c>
      <c r="K12229" t="s">
        <v>59</v>
      </c>
      <c r="Q12229">
        <v>0</v>
      </c>
      <c r="R12229">
        <v>25</v>
      </c>
      <c r="S12229">
        <v>25</v>
      </c>
      <c r="T12229" t="s">
        <v>44110</v>
      </c>
    </row>
    <row r="12230" spans="1:20" customFormat="1" ht="15" x14ac:dyDescent="0.25">
      <c r="A12230" t="s">
        <v>35</v>
      </c>
      <c r="B12230" t="s">
        <v>61</v>
      </c>
      <c r="C12230" t="str">
        <f>"A0133562"</f>
        <v>A0133562</v>
      </c>
      <c r="D12230" t="s">
        <v>44111</v>
      </c>
      <c r="E12230" t="s">
        <v>44112</v>
      </c>
      <c r="F12230" t="s">
        <v>5240</v>
      </c>
      <c r="G12230" t="s">
        <v>52</v>
      </c>
      <c r="H12230">
        <v>78230</v>
      </c>
      <c r="I12230" t="s">
        <v>30</v>
      </c>
      <c r="J12230" t="s">
        <v>41</v>
      </c>
      <c r="K12230" t="s">
        <v>2477</v>
      </c>
      <c r="Q12230">
        <v>0</v>
      </c>
      <c r="R12230">
        <v>0</v>
      </c>
      <c r="S12230">
        <v>0</v>
      </c>
      <c r="T12230" t="s">
        <v>72</v>
      </c>
    </row>
    <row r="12231" spans="1:20" customFormat="1" ht="15" x14ac:dyDescent="0.25">
      <c r="A12231" t="s">
        <v>35</v>
      </c>
      <c r="B12231" t="s">
        <v>61</v>
      </c>
      <c r="C12231" t="str">
        <f>"A0129134"</f>
        <v>A0129134</v>
      </c>
      <c r="D12231" t="s">
        <v>44113</v>
      </c>
      <c r="E12231" t="s">
        <v>44114</v>
      </c>
      <c r="F12231" t="s">
        <v>44115</v>
      </c>
      <c r="G12231" t="s">
        <v>289</v>
      </c>
      <c r="H12231">
        <v>62510</v>
      </c>
      <c r="I12231" t="s">
        <v>30</v>
      </c>
      <c r="J12231" t="s">
        <v>41</v>
      </c>
      <c r="K12231" t="s">
        <v>66</v>
      </c>
      <c r="Q12231">
        <v>0</v>
      </c>
      <c r="R12231">
        <v>40</v>
      </c>
      <c r="S12231">
        <v>40</v>
      </c>
      <c r="T12231" t="s">
        <v>44116</v>
      </c>
    </row>
    <row r="12232" spans="1:20" customFormat="1" ht="15" x14ac:dyDescent="0.25">
      <c r="A12232" t="s">
        <v>35</v>
      </c>
      <c r="B12232" t="s">
        <v>61</v>
      </c>
      <c r="C12232" t="str">
        <f>"A0123448"</f>
        <v>A0123448</v>
      </c>
      <c r="D12232" t="s">
        <v>44117</v>
      </c>
      <c r="E12232" t="s">
        <v>44118</v>
      </c>
      <c r="F12232" t="s">
        <v>44119</v>
      </c>
      <c r="G12232" t="s">
        <v>29</v>
      </c>
      <c r="H12232">
        <v>23944</v>
      </c>
      <c r="I12232" t="s">
        <v>30</v>
      </c>
      <c r="J12232" t="s">
        <v>41</v>
      </c>
      <c r="K12232" t="s">
        <v>112</v>
      </c>
      <c r="Q12232">
        <v>0</v>
      </c>
      <c r="R12232">
        <v>0</v>
      </c>
      <c r="S12232">
        <v>0</v>
      </c>
      <c r="T12232" t="s">
        <v>44120</v>
      </c>
    </row>
    <row r="12233" spans="1:20" customFormat="1" ht="15" x14ac:dyDescent="0.25">
      <c r="A12233" t="s">
        <v>35</v>
      </c>
      <c r="B12233" t="s">
        <v>61</v>
      </c>
      <c r="C12233" t="str">
        <f>"A0152969"</f>
        <v>A0152969</v>
      </c>
      <c r="D12233" t="s">
        <v>44121</v>
      </c>
      <c r="E12233" t="s">
        <v>44122</v>
      </c>
      <c r="F12233" t="s">
        <v>25141</v>
      </c>
      <c r="G12233" t="s">
        <v>99</v>
      </c>
      <c r="H12233">
        <v>14850</v>
      </c>
      <c r="I12233" t="s">
        <v>30</v>
      </c>
      <c r="J12233" t="s">
        <v>41</v>
      </c>
      <c r="K12233" t="s">
        <v>1440</v>
      </c>
      <c r="Q12233">
        <v>0</v>
      </c>
      <c r="R12233">
        <v>199</v>
      </c>
      <c r="S12233">
        <v>199</v>
      </c>
      <c r="T12233" t="s">
        <v>44123</v>
      </c>
    </row>
    <row r="12234" spans="1:20" customFormat="1" ht="15" x14ac:dyDescent="0.25">
      <c r="A12234" t="s">
        <v>35</v>
      </c>
      <c r="B12234" t="s">
        <v>61</v>
      </c>
      <c r="C12234" t="str">
        <f>"A0123846"</f>
        <v>A0123846</v>
      </c>
      <c r="D12234" t="s">
        <v>44124</v>
      </c>
      <c r="E12234" t="s">
        <v>44011</v>
      </c>
      <c r="F12234" t="s">
        <v>1795</v>
      </c>
      <c r="G12234" t="s">
        <v>29</v>
      </c>
      <c r="H12234">
        <v>23225</v>
      </c>
      <c r="I12234" t="s">
        <v>30</v>
      </c>
      <c r="J12234" t="s">
        <v>41</v>
      </c>
      <c r="K12234" t="s">
        <v>482</v>
      </c>
      <c r="Q12234">
        <v>0</v>
      </c>
      <c r="R12234">
        <v>61</v>
      </c>
      <c r="S12234">
        <v>61</v>
      </c>
      <c r="T12234" t="s">
        <v>44125</v>
      </c>
    </row>
    <row r="12235" spans="1:20" customFormat="1" ht="15" x14ac:dyDescent="0.25">
      <c r="A12235" t="s">
        <v>35</v>
      </c>
      <c r="B12235" t="s">
        <v>61</v>
      </c>
      <c r="C12235" t="str">
        <f>"A0131034"</f>
        <v>A0131034</v>
      </c>
      <c r="D12235" t="s">
        <v>44126</v>
      </c>
      <c r="E12235" t="s">
        <v>44127</v>
      </c>
      <c r="F12235" t="s">
        <v>44128</v>
      </c>
      <c r="G12235" t="s">
        <v>137</v>
      </c>
      <c r="H12235">
        <v>638570000</v>
      </c>
      <c r="I12235" t="s">
        <v>30</v>
      </c>
      <c r="J12235" t="s">
        <v>41</v>
      </c>
      <c r="K12235" t="s">
        <v>59</v>
      </c>
      <c r="Q12235">
        <v>0</v>
      </c>
      <c r="R12235">
        <v>47</v>
      </c>
      <c r="S12235">
        <v>47</v>
      </c>
      <c r="T12235" t="s">
        <v>44129</v>
      </c>
    </row>
    <row r="12236" spans="1:20" customFormat="1" ht="15" x14ac:dyDescent="0.25">
      <c r="A12236" t="s">
        <v>35</v>
      </c>
      <c r="B12236" t="s">
        <v>61</v>
      </c>
      <c r="C12236" t="str">
        <f>"A0124219"</f>
        <v>A0124219</v>
      </c>
      <c r="D12236" t="s">
        <v>44130</v>
      </c>
      <c r="E12236" t="s">
        <v>44131</v>
      </c>
      <c r="F12236" t="s">
        <v>16062</v>
      </c>
      <c r="G12236" t="s">
        <v>71</v>
      </c>
      <c r="H12236">
        <v>53141</v>
      </c>
      <c r="I12236" t="s">
        <v>30</v>
      </c>
      <c r="J12236" t="s">
        <v>41</v>
      </c>
      <c r="K12236" t="s">
        <v>229</v>
      </c>
      <c r="Q12236">
        <v>0</v>
      </c>
      <c r="R12236">
        <v>97</v>
      </c>
      <c r="S12236">
        <v>97</v>
      </c>
      <c r="T12236" t="s">
        <v>44132</v>
      </c>
    </row>
    <row r="12237" spans="1:20" customFormat="1" ht="15" x14ac:dyDescent="0.25">
      <c r="A12237" t="s">
        <v>35</v>
      </c>
      <c r="B12237" t="s">
        <v>61</v>
      </c>
      <c r="C12237" t="str">
        <f>"A0124220"</f>
        <v>A0124220</v>
      </c>
      <c r="D12237" t="s">
        <v>44133</v>
      </c>
      <c r="E12237" t="s">
        <v>44134</v>
      </c>
      <c r="F12237" t="s">
        <v>44135</v>
      </c>
      <c r="G12237" t="s">
        <v>103</v>
      </c>
      <c r="H12237">
        <v>15012</v>
      </c>
      <c r="I12237" t="s">
        <v>30</v>
      </c>
      <c r="J12237" t="s">
        <v>41</v>
      </c>
      <c r="K12237" t="s">
        <v>229</v>
      </c>
      <c r="Q12237">
        <v>0</v>
      </c>
      <c r="R12237">
        <v>68</v>
      </c>
      <c r="S12237">
        <v>68</v>
      </c>
      <c r="T12237" t="s">
        <v>44136</v>
      </c>
    </row>
    <row r="12238" spans="1:20" customFormat="1" ht="15" x14ac:dyDescent="0.25">
      <c r="A12238" t="s">
        <v>35</v>
      </c>
      <c r="B12238" t="s">
        <v>61</v>
      </c>
      <c r="C12238" t="str">
        <f>"A0132768"</f>
        <v>A0132768</v>
      </c>
      <c r="D12238" t="s">
        <v>44137</v>
      </c>
      <c r="E12238" t="s">
        <v>44138</v>
      </c>
      <c r="F12238" t="s">
        <v>64</v>
      </c>
      <c r="G12238" t="s">
        <v>65</v>
      </c>
      <c r="H12238">
        <v>43219</v>
      </c>
      <c r="I12238" t="s">
        <v>30</v>
      </c>
      <c r="J12238" t="s">
        <v>41</v>
      </c>
      <c r="K12238" t="s">
        <v>59</v>
      </c>
      <c r="Q12238">
        <v>0</v>
      </c>
      <c r="R12238">
        <v>120</v>
      </c>
      <c r="S12238">
        <v>120</v>
      </c>
      <c r="T12238" t="s">
        <v>44139</v>
      </c>
    </row>
    <row r="12239" spans="1:20" customFormat="1" ht="15" x14ac:dyDescent="0.25">
      <c r="A12239" t="s">
        <v>35</v>
      </c>
      <c r="B12239" t="s">
        <v>61</v>
      </c>
      <c r="C12239" t="str">
        <f>"A0132624"</f>
        <v>A0132624</v>
      </c>
      <c r="D12239" t="s">
        <v>44140</v>
      </c>
      <c r="E12239" t="s">
        <v>44141</v>
      </c>
      <c r="F12239" t="s">
        <v>44142</v>
      </c>
      <c r="G12239" t="s">
        <v>65</v>
      </c>
      <c r="H12239">
        <v>44240</v>
      </c>
      <c r="I12239" t="s">
        <v>30</v>
      </c>
      <c r="J12239" t="s">
        <v>41</v>
      </c>
      <c r="K12239" t="s">
        <v>229</v>
      </c>
      <c r="Q12239">
        <v>0</v>
      </c>
      <c r="R12239">
        <v>100</v>
      </c>
      <c r="S12239">
        <v>100</v>
      </c>
      <c r="T12239" t="s">
        <v>44143</v>
      </c>
    </row>
    <row r="12240" spans="1:20" customFormat="1" ht="15" x14ac:dyDescent="0.25">
      <c r="A12240" t="s">
        <v>35</v>
      </c>
      <c r="B12240" t="s">
        <v>61</v>
      </c>
      <c r="C12240" t="str">
        <f>"A0124221"</f>
        <v>A0124221</v>
      </c>
      <c r="D12240" t="s">
        <v>44144</v>
      </c>
      <c r="E12240" t="s">
        <v>44145</v>
      </c>
      <c r="F12240" t="s">
        <v>39190</v>
      </c>
      <c r="G12240" t="s">
        <v>123</v>
      </c>
      <c r="H12240">
        <v>21620</v>
      </c>
      <c r="I12240" t="s">
        <v>30</v>
      </c>
      <c r="J12240" t="s">
        <v>41</v>
      </c>
      <c r="K12240" t="s">
        <v>482</v>
      </c>
      <c r="Q12240">
        <v>0</v>
      </c>
      <c r="R12240">
        <v>40</v>
      </c>
      <c r="S12240">
        <v>40</v>
      </c>
      <c r="T12240" t="s">
        <v>44146</v>
      </c>
    </row>
    <row r="12241" spans="1:20" customFormat="1" ht="15" x14ac:dyDescent="0.25">
      <c r="A12241" t="s">
        <v>35</v>
      </c>
      <c r="B12241" t="s">
        <v>61</v>
      </c>
      <c r="C12241" t="str">
        <f>"A0128535"</f>
        <v>A0128535</v>
      </c>
      <c r="D12241" t="s">
        <v>44147</v>
      </c>
      <c r="E12241" t="s">
        <v>44148</v>
      </c>
      <c r="F12241" t="s">
        <v>839</v>
      </c>
      <c r="G12241" t="s">
        <v>840</v>
      </c>
      <c r="H12241">
        <v>402230000</v>
      </c>
      <c r="I12241" t="s">
        <v>30</v>
      </c>
      <c r="J12241" t="s">
        <v>41</v>
      </c>
      <c r="K12241" t="s">
        <v>33536</v>
      </c>
      <c r="Q12241">
        <v>0</v>
      </c>
      <c r="R12241">
        <v>1</v>
      </c>
      <c r="S12241">
        <v>1</v>
      </c>
      <c r="T12241" t="s">
        <v>44149</v>
      </c>
    </row>
    <row r="12242" spans="1:20" customFormat="1" ht="15" x14ac:dyDescent="0.25">
      <c r="A12242" t="s">
        <v>35</v>
      </c>
      <c r="B12242" t="s">
        <v>61</v>
      </c>
      <c r="C12242" t="str">
        <f>"A0125680"</f>
        <v>A0125680</v>
      </c>
      <c r="D12242" t="s">
        <v>44150</v>
      </c>
      <c r="E12242" t="s">
        <v>44151</v>
      </c>
      <c r="F12242" t="s">
        <v>44152</v>
      </c>
      <c r="G12242" t="s">
        <v>29</v>
      </c>
      <c r="H12242">
        <v>20151</v>
      </c>
      <c r="I12242" t="s">
        <v>30</v>
      </c>
      <c r="J12242" t="s">
        <v>41</v>
      </c>
      <c r="K12242" t="s">
        <v>59</v>
      </c>
      <c r="Q12242">
        <v>0</v>
      </c>
      <c r="R12242">
        <v>8</v>
      </c>
      <c r="S12242">
        <v>8</v>
      </c>
      <c r="T12242" t="s">
        <v>44153</v>
      </c>
    </row>
    <row r="12243" spans="1:20" customFormat="1" ht="15" x14ac:dyDescent="0.25">
      <c r="A12243" t="s">
        <v>35</v>
      </c>
      <c r="B12243" t="s">
        <v>61</v>
      </c>
      <c r="C12243" t="str">
        <f>"A0122020"</f>
        <v>A0122020</v>
      </c>
      <c r="D12243" t="s">
        <v>44154</v>
      </c>
      <c r="E12243" t="s">
        <v>44155</v>
      </c>
      <c r="F12243" t="s">
        <v>4780</v>
      </c>
      <c r="G12243" t="s">
        <v>110</v>
      </c>
      <c r="H12243">
        <v>93240</v>
      </c>
      <c r="I12243" t="s">
        <v>30</v>
      </c>
      <c r="J12243" t="s">
        <v>41</v>
      </c>
      <c r="K12243" t="s">
        <v>4317</v>
      </c>
      <c r="Q12243">
        <v>0</v>
      </c>
      <c r="R12243">
        <v>0</v>
      </c>
      <c r="S12243">
        <v>0</v>
      </c>
      <c r="T12243" t="s">
        <v>44156</v>
      </c>
    </row>
    <row r="12244" spans="1:20" customFormat="1" ht="15" x14ac:dyDescent="0.25">
      <c r="A12244" t="s">
        <v>35</v>
      </c>
      <c r="B12244" t="s">
        <v>437</v>
      </c>
      <c r="C12244" t="str">
        <f>"A0150657"</f>
        <v>A0150657</v>
      </c>
      <c r="D12244" t="s">
        <v>44157</v>
      </c>
      <c r="E12244" t="s">
        <v>44158</v>
      </c>
      <c r="F12244" t="s">
        <v>10897</v>
      </c>
      <c r="G12244" t="s">
        <v>433</v>
      </c>
      <c r="H12244">
        <v>83815</v>
      </c>
      <c r="I12244" t="s">
        <v>30</v>
      </c>
      <c r="J12244" t="s">
        <v>441</v>
      </c>
      <c r="K12244" t="s">
        <v>44159</v>
      </c>
      <c r="Q12244">
        <v>0</v>
      </c>
      <c r="R12244">
        <v>0</v>
      </c>
      <c r="S12244">
        <v>0</v>
      </c>
      <c r="T12244" t="s">
        <v>44160</v>
      </c>
    </row>
    <row r="12245" spans="1:20" customFormat="1" ht="15" x14ac:dyDescent="0.25">
      <c r="A12245" t="s">
        <v>35</v>
      </c>
      <c r="B12245" t="s">
        <v>61</v>
      </c>
      <c r="C12245" t="str">
        <f>"A0127647"</f>
        <v>A0127647</v>
      </c>
      <c r="D12245" t="s">
        <v>18288</v>
      </c>
      <c r="E12245" t="s">
        <v>44161</v>
      </c>
      <c r="F12245" t="s">
        <v>4082</v>
      </c>
      <c r="G12245" t="s">
        <v>123</v>
      </c>
      <c r="H12245">
        <v>21211</v>
      </c>
      <c r="I12245" t="s">
        <v>30</v>
      </c>
      <c r="J12245" t="s">
        <v>41</v>
      </c>
      <c r="K12245" t="s">
        <v>229</v>
      </c>
      <c r="Q12245">
        <v>0</v>
      </c>
      <c r="R12245">
        <v>242</v>
      </c>
      <c r="S12245">
        <v>242</v>
      </c>
      <c r="T12245" t="s">
        <v>44162</v>
      </c>
    </row>
    <row r="12246" spans="1:20" customFormat="1" ht="15" x14ac:dyDescent="0.25">
      <c r="A12246" t="s">
        <v>35</v>
      </c>
      <c r="B12246" t="s">
        <v>437</v>
      </c>
      <c r="C12246" t="str">
        <f>"A0134390"</f>
        <v>A0134390</v>
      </c>
      <c r="D12246" t="s">
        <v>44163</v>
      </c>
      <c r="E12246" t="s">
        <v>44164</v>
      </c>
      <c r="F12246" t="s">
        <v>41528</v>
      </c>
      <c r="G12246" t="s">
        <v>99</v>
      </c>
      <c r="H12246">
        <v>13420</v>
      </c>
      <c r="I12246" t="s">
        <v>30</v>
      </c>
      <c r="J12246" t="s">
        <v>441</v>
      </c>
      <c r="K12246" t="s">
        <v>442</v>
      </c>
      <c r="Q12246">
        <v>0</v>
      </c>
      <c r="R12246">
        <v>0</v>
      </c>
      <c r="S12246">
        <v>0</v>
      </c>
      <c r="T12246" t="s">
        <v>44165</v>
      </c>
    </row>
    <row r="12247" spans="1:20" customFormat="1" ht="15" x14ac:dyDescent="0.25">
      <c r="A12247" t="s">
        <v>35</v>
      </c>
      <c r="B12247" t="s">
        <v>61</v>
      </c>
      <c r="C12247" t="str">
        <f>"A0126525"</f>
        <v>A0126525</v>
      </c>
      <c r="D12247" t="s">
        <v>44166</v>
      </c>
      <c r="E12247" t="s">
        <v>44167</v>
      </c>
      <c r="F12247" t="s">
        <v>4670</v>
      </c>
      <c r="G12247" t="s">
        <v>103</v>
      </c>
      <c r="H12247">
        <v>19038</v>
      </c>
      <c r="I12247" t="s">
        <v>30</v>
      </c>
      <c r="J12247" t="s">
        <v>41</v>
      </c>
      <c r="K12247" t="s">
        <v>456</v>
      </c>
      <c r="Q12247">
        <v>0</v>
      </c>
      <c r="R12247">
        <v>20</v>
      </c>
      <c r="S12247">
        <v>20</v>
      </c>
      <c r="T12247" t="s">
        <v>44168</v>
      </c>
    </row>
    <row r="12248" spans="1:20" customFormat="1" ht="15" x14ac:dyDescent="0.25">
      <c r="A12248" t="s">
        <v>35</v>
      </c>
      <c r="B12248" t="s">
        <v>61</v>
      </c>
      <c r="C12248" t="str">
        <f>"A0130301"</f>
        <v>A0130301</v>
      </c>
      <c r="D12248" t="s">
        <v>44169</v>
      </c>
      <c r="E12248" t="s">
        <v>7847</v>
      </c>
      <c r="F12248" t="s">
        <v>32920</v>
      </c>
      <c r="G12248" t="s">
        <v>1898</v>
      </c>
      <c r="H12248">
        <v>522490000</v>
      </c>
      <c r="I12248" t="s">
        <v>30</v>
      </c>
      <c r="J12248" t="s">
        <v>41</v>
      </c>
      <c r="K12248" t="s">
        <v>229</v>
      </c>
      <c r="Q12248">
        <v>0</v>
      </c>
      <c r="R12248">
        <v>45</v>
      </c>
      <c r="S12248">
        <v>45</v>
      </c>
      <c r="T12248" t="s">
        <v>44170</v>
      </c>
    </row>
    <row r="12249" spans="1:20" customFormat="1" ht="15" x14ac:dyDescent="0.25">
      <c r="A12249" t="s">
        <v>35</v>
      </c>
      <c r="B12249" t="s">
        <v>61</v>
      </c>
      <c r="C12249" t="str">
        <f>"A0153001"</f>
        <v>A0153001</v>
      </c>
      <c r="D12249" t="s">
        <v>44171</v>
      </c>
      <c r="E12249" t="s">
        <v>44172</v>
      </c>
      <c r="F12249" t="s">
        <v>44173</v>
      </c>
      <c r="G12249" t="s">
        <v>615</v>
      </c>
      <c r="H12249">
        <v>6810</v>
      </c>
      <c r="I12249" t="s">
        <v>30</v>
      </c>
      <c r="J12249" t="s">
        <v>41</v>
      </c>
      <c r="K12249" t="s">
        <v>59</v>
      </c>
      <c r="Q12249">
        <v>0</v>
      </c>
      <c r="R12249">
        <v>139</v>
      </c>
      <c r="S12249">
        <v>139</v>
      </c>
      <c r="T12249" t="s">
        <v>44174</v>
      </c>
    </row>
    <row r="12250" spans="1:20" customFormat="1" ht="15" x14ac:dyDescent="0.25">
      <c r="A12250" t="s">
        <v>35</v>
      </c>
      <c r="B12250" t="s">
        <v>61</v>
      </c>
      <c r="C12250" t="str">
        <f>"A0154479"</f>
        <v>A0154479</v>
      </c>
      <c r="D12250" t="s">
        <v>44175</v>
      </c>
      <c r="E12250" t="s">
        <v>44176</v>
      </c>
      <c r="F12250" t="s">
        <v>38066</v>
      </c>
      <c r="G12250" t="s">
        <v>846</v>
      </c>
      <c r="H12250">
        <v>30816</v>
      </c>
      <c r="I12250" t="s">
        <v>30</v>
      </c>
      <c r="J12250" t="s">
        <v>41</v>
      </c>
      <c r="K12250" t="s">
        <v>229</v>
      </c>
      <c r="Q12250">
        <v>0</v>
      </c>
      <c r="R12250">
        <v>64</v>
      </c>
      <c r="S12250">
        <v>64</v>
      </c>
      <c r="T12250" t="s">
        <v>44177</v>
      </c>
    </row>
    <row r="12251" spans="1:20" customFormat="1" ht="15" x14ac:dyDescent="0.25">
      <c r="A12251" t="s">
        <v>35</v>
      </c>
      <c r="B12251" t="s">
        <v>106</v>
      </c>
      <c r="C12251" t="str">
        <f>"A0154175"</f>
        <v>A0154175</v>
      </c>
      <c r="D12251" t="s">
        <v>44178</v>
      </c>
      <c r="E12251" t="s">
        <v>44179</v>
      </c>
      <c r="F12251" t="s">
        <v>13884</v>
      </c>
      <c r="G12251" t="s">
        <v>81</v>
      </c>
      <c r="H12251">
        <v>32750</v>
      </c>
      <c r="I12251" t="s">
        <v>30</v>
      </c>
      <c r="J12251" t="s">
        <v>111</v>
      </c>
      <c r="K12251" t="s">
        <v>112</v>
      </c>
      <c r="Q12251">
        <v>0</v>
      </c>
      <c r="R12251">
        <v>0</v>
      </c>
      <c r="S12251">
        <v>0</v>
      </c>
      <c r="T12251" t="s">
        <v>44180</v>
      </c>
    </row>
    <row r="12252" spans="1:20" customFormat="1" ht="15" x14ac:dyDescent="0.25">
      <c r="A12252" t="s">
        <v>35</v>
      </c>
      <c r="B12252" t="s">
        <v>106</v>
      </c>
      <c r="C12252" t="str">
        <f>"A0154174"</f>
        <v>A0154174</v>
      </c>
      <c r="D12252" t="s">
        <v>44181</v>
      </c>
      <c r="E12252" t="s">
        <v>44179</v>
      </c>
      <c r="F12252" t="s">
        <v>13884</v>
      </c>
      <c r="G12252" t="s">
        <v>81</v>
      </c>
      <c r="H12252">
        <v>32750</v>
      </c>
      <c r="I12252" t="s">
        <v>30</v>
      </c>
      <c r="J12252" t="s">
        <v>111</v>
      </c>
      <c r="K12252" t="s">
        <v>112</v>
      </c>
      <c r="Q12252">
        <v>0</v>
      </c>
      <c r="R12252">
        <v>0</v>
      </c>
      <c r="S12252">
        <v>0</v>
      </c>
      <c r="T12252" t="s">
        <v>44180</v>
      </c>
    </row>
    <row r="12253" spans="1:20" customFormat="1" ht="15" x14ac:dyDescent="0.25">
      <c r="A12253" t="s">
        <v>35</v>
      </c>
      <c r="B12253" t="s">
        <v>106</v>
      </c>
      <c r="C12253" t="str">
        <f>"A0136005"</f>
        <v>A0136005</v>
      </c>
      <c r="D12253" t="s">
        <v>44182</v>
      </c>
      <c r="E12253" t="s">
        <v>44183</v>
      </c>
      <c r="F12253" t="s">
        <v>44184</v>
      </c>
      <c r="G12253" t="s">
        <v>81</v>
      </c>
      <c r="H12253">
        <v>34711</v>
      </c>
      <c r="I12253" t="s">
        <v>30</v>
      </c>
      <c r="J12253" t="s">
        <v>111</v>
      </c>
      <c r="K12253" t="s">
        <v>112</v>
      </c>
      <c r="Q12253">
        <v>0</v>
      </c>
      <c r="R12253">
        <v>0</v>
      </c>
      <c r="S12253">
        <v>0</v>
      </c>
      <c r="T12253" t="s">
        <v>44185</v>
      </c>
    </row>
    <row r="12254" spans="1:20" customFormat="1" ht="15" x14ac:dyDescent="0.25">
      <c r="A12254" t="s">
        <v>35</v>
      </c>
      <c r="B12254" t="s">
        <v>61</v>
      </c>
      <c r="C12254" t="str">
        <f>"A0150957"</f>
        <v>A0150957</v>
      </c>
      <c r="D12254" t="s">
        <v>44186</v>
      </c>
      <c r="E12254" t="s">
        <v>44187</v>
      </c>
      <c r="F12254" t="s">
        <v>4753</v>
      </c>
      <c r="G12254" t="s">
        <v>65</v>
      </c>
      <c r="H12254">
        <v>44123</v>
      </c>
      <c r="I12254" t="s">
        <v>30</v>
      </c>
      <c r="J12254" t="s">
        <v>41</v>
      </c>
      <c r="K12254" t="s">
        <v>391</v>
      </c>
      <c r="Q12254">
        <v>0</v>
      </c>
      <c r="R12254">
        <v>0</v>
      </c>
      <c r="S12254">
        <v>0</v>
      </c>
      <c r="T12254" t="s">
        <v>44188</v>
      </c>
    </row>
    <row r="12255" spans="1:20" customFormat="1" ht="15" x14ac:dyDescent="0.25">
      <c r="A12255" t="s">
        <v>35</v>
      </c>
      <c r="B12255" t="s">
        <v>106</v>
      </c>
      <c r="C12255" t="str">
        <f>"A0136011"</f>
        <v>A0136011</v>
      </c>
      <c r="D12255" t="s">
        <v>44189</v>
      </c>
      <c r="E12255" t="s">
        <v>44190</v>
      </c>
      <c r="F12255" t="s">
        <v>6294</v>
      </c>
      <c r="G12255" t="s">
        <v>81</v>
      </c>
      <c r="H12255">
        <v>32720</v>
      </c>
      <c r="I12255" t="s">
        <v>30</v>
      </c>
      <c r="J12255" t="s">
        <v>111</v>
      </c>
      <c r="K12255" t="s">
        <v>112</v>
      </c>
      <c r="Q12255">
        <v>0</v>
      </c>
      <c r="R12255">
        <v>0</v>
      </c>
      <c r="S12255">
        <v>0</v>
      </c>
      <c r="T12255" t="s">
        <v>44191</v>
      </c>
    </row>
    <row r="12256" spans="1:20" customFormat="1" ht="15" x14ac:dyDescent="0.25">
      <c r="A12256" t="s">
        <v>35</v>
      </c>
      <c r="B12256" t="s">
        <v>106</v>
      </c>
      <c r="C12256" t="str">
        <f>"A0136012"</f>
        <v>A0136012</v>
      </c>
      <c r="D12256" t="s">
        <v>44192</v>
      </c>
      <c r="E12256" t="s">
        <v>44193</v>
      </c>
      <c r="F12256" t="s">
        <v>6294</v>
      </c>
      <c r="G12256" t="s">
        <v>81</v>
      </c>
      <c r="H12256">
        <v>32720</v>
      </c>
      <c r="I12256" t="s">
        <v>30</v>
      </c>
      <c r="J12256" t="s">
        <v>111</v>
      </c>
      <c r="K12256" t="s">
        <v>112</v>
      </c>
      <c r="Q12256">
        <v>0</v>
      </c>
      <c r="R12256">
        <v>0</v>
      </c>
      <c r="S12256">
        <v>0</v>
      </c>
      <c r="T12256" t="s">
        <v>44191</v>
      </c>
    </row>
    <row r="12257" spans="1:20" customFormat="1" ht="15" x14ac:dyDescent="0.25">
      <c r="A12257" t="s">
        <v>35</v>
      </c>
      <c r="B12257" t="s">
        <v>106</v>
      </c>
      <c r="C12257" t="str">
        <f>"A0136009"</f>
        <v>A0136009</v>
      </c>
      <c r="D12257" t="s">
        <v>44194</v>
      </c>
      <c r="E12257" t="s">
        <v>44195</v>
      </c>
      <c r="F12257" t="s">
        <v>6294</v>
      </c>
      <c r="G12257" t="s">
        <v>81</v>
      </c>
      <c r="H12257">
        <v>32720</v>
      </c>
      <c r="I12257" t="s">
        <v>30</v>
      </c>
      <c r="J12257" t="s">
        <v>111</v>
      </c>
      <c r="K12257" t="s">
        <v>112</v>
      </c>
      <c r="Q12257">
        <v>0</v>
      </c>
      <c r="R12257">
        <v>0</v>
      </c>
      <c r="S12257">
        <v>0</v>
      </c>
      <c r="T12257" t="s">
        <v>44191</v>
      </c>
    </row>
    <row r="12258" spans="1:20" customFormat="1" ht="15" x14ac:dyDescent="0.25">
      <c r="A12258" t="s">
        <v>35</v>
      </c>
      <c r="B12258" t="s">
        <v>106</v>
      </c>
      <c r="C12258" t="str">
        <f>"A0136010"</f>
        <v>A0136010</v>
      </c>
      <c r="D12258" t="s">
        <v>44196</v>
      </c>
      <c r="E12258" t="s">
        <v>44197</v>
      </c>
      <c r="F12258" t="s">
        <v>6294</v>
      </c>
      <c r="G12258" t="s">
        <v>81</v>
      </c>
      <c r="H12258">
        <v>32720</v>
      </c>
      <c r="I12258" t="s">
        <v>30</v>
      </c>
      <c r="J12258" t="s">
        <v>111</v>
      </c>
      <c r="K12258" t="s">
        <v>112</v>
      </c>
      <c r="Q12258">
        <v>0</v>
      </c>
      <c r="R12258">
        <v>0</v>
      </c>
      <c r="S12258">
        <v>0</v>
      </c>
      <c r="T12258" t="s">
        <v>44191</v>
      </c>
    </row>
    <row r="12259" spans="1:20" customFormat="1" ht="15" x14ac:dyDescent="0.25">
      <c r="A12259" t="s">
        <v>35</v>
      </c>
      <c r="B12259" t="s">
        <v>106</v>
      </c>
      <c r="C12259" t="str">
        <f>"A0136013"</f>
        <v>A0136013</v>
      </c>
      <c r="D12259" t="s">
        <v>44198</v>
      </c>
      <c r="E12259" t="s">
        <v>44199</v>
      </c>
      <c r="F12259" t="s">
        <v>6294</v>
      </c>
      <c r="G12259" t="s">
        <v>81</v>
      </c>
      <c r="H12259">
        <v>32720</v>
      </c>
      <c r="I12259" t="s">
        <v>30</v>
      </c>
      <c r="J12259" t="s">
        <v>111</v>
      </c>
      <c r="K12259" t="s">
        <v>112</v>
      </c>
      <c r="Q12259">
        <v>0</v>
      </c>
      <c r="R12259">
        <v>0</v>
      </c>
      <c r="S12259">
        <v>0</v>
      </c>
      <c r="T12259" t="s">
        <v>44191</v>
      </c>
    </row>
    <row r="12260" spans="1:20" customFormat="1" ht="15" x14ac:dyDescent="0.25">
      <c r="A12260" t="s">
        <v>35</v>
      </c>
      <c r="B12260" t="s">
        <v>106</v>
      </c>
      <c r="C12260" t="str">
        <f>"A0136008"</f>
        <v>A0136008</v>
      </c>
      <c r="D12260" t="s">
        <v>44200</v>
      </c>
      <c r="E12260" t="s">
        <v>44201</v>
      </c>
      <c r="F12260" t="s">
        <v>6294</v>
      </c>
      <c r="G12260" t="s">
        <v>81</v>
      </c>
      <c r="H12260">
        <v>32720</v>
      </c>
      <c r="I12260" t="s">
        <v>30</v>
      </c>
      <c r="J12260" t="s">
        <v>111</v>
      </c>
      <c r="K12260" t="s">
        <v>112</v>
      </c>
      <c r="Q12260">
        <v>0</v>
      </c>
      <c r="R12260">
        <v>0</v>
      </c>
      <c r="S12260">
        <v>0</v>
      </c>
      <c r="T12260" t="s">
        <v>44191</v>
      </c>
    </row>
    <row r="12261" spans="1:20" customFormat="1" ht="15" x14ac:dyDescent="0.25">
      <c r="A12261" t="s">
        <v>35</v>
      </c>
      <c r="B12261" t="s">
        <v>61</v>
      </c>
      <c r="C12261" t="str">
        <f>"A0132261"</f>
        <v>A0132261</v>
      </c>
      <c r="D12261" t="s">
        <v>44202</v>
      </c>
      <c r="E12261" t="s">
        <v>44203</v>
      </c>
      <c r="F12261" t="s">
        <v>44204</v>
      </c>
      <c r="G12261" t="s">
        <v>65</v>
      </c>
      <c r="H12261">
        <v>43125</v>
      </c>
      <c r="I12261" t="s">
        <v>30</v>
      </c>
      <c r="J12261" t="s">
        <v>41</v>
      </c>
      <c r="K12261" t="s">
        <v>391</v>
      </c>
      <c r="Q12261">
        <v>0</v>
      </c>
      <c r="R12261">
        <v>0</v>
      </c>
      <c r="S12261">
        <v>0</v>
      </c>
      <c r="T12261" t="s">
        <v>44205</v>
      </c>
    </row>
    <row r="12262" spans="1:20" customFormat="1" ht="15" x14ac:dyDescent="0.25">
      <c r="A12262" t="s">
        <v>35</v>
      </c>
      <c r="B12262" t="s">
        <v>106</v>
      </c>
      <c r="C12262" t="str">
        <f>"A0136014"</f>
        <v>A0136014</v>
      </c>
      <c r="D12262" t="s">
        <v>44206</v>
      </c>
      <c r="E12262" t="s">
        <v>44207</v>
      </c>
      <c r="F12262" t="s">
        <v>10530</v>
      </c>
      <c r="G12262" t="s">
        <v>81</v>
      </c>
      <c r="H12262">
        <v>32824</v>
      </c>
      <c r="I12262" t="s">
        <v>30</v>
      </c>
      <c r="J12262" t="s">
        <v>111</v>
      </c>
      <c r="K12262" t="s">
        <v>112</v>
      </c>
      <c r="Q12262">
        <v>0</v>
      </c>
      <c r="R12262">
        <v>0</v>
      </c>
      <c r="S12262">
        <v>0</v>
      </c>
      <c r="T12262" t="s">
        <v>44208</v>
      </c>
    </row>
    <row r="12263" spans="1:20" customFormat="1" ht="15" x14ac:dyDescent="0.25">
      <c r="A12263" t="s">
        <v>35</v>
      </c>
      <c r="B12263" t="s">
        <v>61</v>
      </c>
      <c r="C12263" t="str">
        <f>"A0125091"</f>
        <v>A0125091</v>
      </c>
      <c r="D12263" t="s">
        <v>44209</v>
      </c>
      <c r="E12263" t="s">
        <v>44210</v>
      </c>
      <c r="F12263" t="s">
        <v>1926</v>
      </c>
      <c r="G12263" t="s">
        <v>214</v>
      </c>
      <c r="H12263">
        <v>28262</v>
      </c>
      <c r="I12263" t="s">
        <v>30</v>
      </c>
      <c r="J12263" t="s">
        <v>41</v>
      </c>
      <c r="K12263" t="s">
        <v>391</v>
      </c>
      <c r="Q12263">
        <v>0</v>
      </c>
      <c r="R12263">
        <v>0</v>
      </c>
      <c r="S12263">
        <v>0</v>
      </c>
      <c r="T12263" t="s">
        <v>44211</v>
      </c>
    </row>
    <row r="12264" spans="1:20" customFormat="1" ht="15" x14ac:dyDescent="0.25">
      <c r="A12264" t="s">
        <v>35</v>
      </c>
      <c r="B12264" t="s">
        <v>61</v>
      </c>
      <c r="C12264" t="str">
        <f>"A0125098"</f>
        <v>A0125098</v>
      </c>
      <c r="D12264" t="s">
        <v>44212</v>
      </c>
      <c r="E12264" t="s">
        <v>44213</v>
      </c>
      <c r="F12264" t="s">
        <v>3323</v>
      </c>
      <c r="G12264" t="s">
        <v>214</v>
      </c>
      <c r="H12264">
        <v>28104</v>
      </c>
      <c r="I12264" t="s">
        <v>30</v>
      </c>
      <c r="J12264" t="s">
        <v>41</v>
      </c>
      <c r="K12264" t="s">
        <v>391</v>
      </c>
      <c r="Q12264">
        <v>0</v>
      </c>
      <c r="R12264">
        <v>0</v>
      </c>
      <c r="S12264">
        <v>0</v>
      </c>
      <c r="T12264" t="s">
        <v>44214</v>
      </c>
    </row>
    <row r="12265" spans="1:20" customFormat="1" ht="15" x14ac:dyDescent="0.25">
      <c r="A12265" t="s">
        <v>35</v>
      </c>
      <c r="B12265" t="s">
        <v>61</v>
      </c>
      <c r="C12265" t="str">
        <f>"A0131866"</f>
        <v>A0131866</v>
      </c>
      <c r="D12265" t="s">
        <v>44215</v>
      </c>
      <c r="E12265" t="s">
        <v>44216</v>
      </c>
      <c r="F12265" t="s">
        <v>4227</v>
      </c>
      <c r="G12265" t="s">
        <v>65</v>
      </c>
      <c r="H12265">
        <v>45704</v>
      </c>
      <c r="I12265" t="s">
        <v>30</v>
      </c>
      <c r="J12265" t="s">
        <v>41</v>
      </c>
      <c r="K12265" t="s">
        <v>229</v>
      </c>
      <c r="Q12265">
        <v>0</v>
      </c>
      <c r="R12265">
        <v>61</v>
      </c>
      <c r="S12265">
        <v>61</v>
      </c>
      <c r="T12265" t="s">
        <v>44217</v>
      </c>
    </row>
    <row r="12266" spans="1:20" customFormat="1" ht="15" x14ac:dyDescent="0.25">
      <c r="A12266" t="s">
        <v>35</v>
      </c>
      <c r="B12266" t="s">
        <v>61</v>
      </c>
      <c r="C12266" t="str">
        <f>"A0122675"</f>
        <v>A0122675</v>
      </c>
      <c r="D12266" t="s">
        <v>44218</v>
      </c>
      <c r="E12266" t="s">
        <v>44219</v>
      </c>
      <c r="F12266" t="s">
        <v>1444</v>
      </c>
      <c r="G12266" t="s">
        <v>76</v>
      </c>
      <c r="H12266">
        <v>98118</v>
      </c>
      <c r="I12266" t="s">
        <v>30</v>
      </c>
      <c r="J12266" t="s">
        <v>41</v>
      </c>
      <c r="K12266" t="s">
        <v>229</v>
      </c>
      <c r="Q12266">
        <v>0</v>
      </c>
      <c r="R12266">
        <v>100</v>
      </c>
      <c r="S12266">
        <v>100</v>
      </c>
      <c r="T12266" t="s">
        <v>44220</v>
      </c>
    </row>
    <row r="12267" spans="1:20" customFormat="1" ht="15" x14ac:dyDescent="0.25">
      <c r="A12267" t="s">
        <v>35</v>
      </c>
      <c r="B12267" t="s">
        <v>61</v>
      </c>
      <c r="C12267" t="str">
        <f>"A0125214"</f>
        <v>A0125214</v>
      </c>
      <c r="D12267" t="s">
        <v>44221</v>
      </c>
      <c r="E12267" t="s">
        <v>44222</v>
      </c>
      <c r="F12267" t="s">
        <v>2704</v>
      </c>
      <c r="G12267" t="s">
        <v>40</v>
      </c>
      <c r="H12267">
        <v>74820</v>
      </c>
      <c r="I12267" t="s">
        <v>30</v>
      </c>
      <c r="J12267" t="s">
        <v>41</v>
      </c>
      <c r="K12267" t="s">
        <v>391</v>
      </c>
      <c r="Q12267">
        <v>0</v>
      </c>
      <c r="R12267">
        <v>0</v>
      </c>
      <c r="S12267">
        <v>0</v>
      </c>
      <c r="T12267" t="s">
        <v>44223</v>
      </c>
    </row>
    <row r="12268" spans="1:20" customFormat="1" ht="15" x14ac:dyDescent="0.25">
      <c r="A12268" t="s">
        <v>35</v>
      </c>
      <c r="B12268" t="s">
        <v>61</v>
      </c>
      <c r="C12268" t="str">
        <f>"A0128949"</f>
        <v>A0128949</v>
      </c>
      <c r="D12268" t="s">
        <v>44224</v>
      </c>
      <c r="E12268" t="s">
        <v>44225</v>
      </c>
      <c r="F12268" t="s">
        <v>13092</v>
      </c>
      <c r="G12268" t="s">
        <v>289</v>
      </c>
      <c r="H12268">
        <v>60521</v>
      </c>
      <c r="I12268" t="s">
        <v>30</v>
      </c>
      <c r="J12268" t="s">
        <v>41</v>
      </c>
      <c r="K12268" t="s">
        <v>229</v>
      </c>
      <c r="Q12268">
        <v>0</v>
      </c>
      <c r="R12268">
        <v>102</v>
      </c>
      <c r="S12268">
        <v>102</v>
      </c>
      <c r="T12268" t="s">
        <v>44226</v>
      </c>
    </row>
    <row r="12269" spans="1:20" customFormat="1" ht="15" x14ac:dyDescent="0.25">
      <c r="A12269" t="s">
        <v>35</v>
      </c>
      <c r="B12269" t="s">
        <v>106</v>
      </c>
      <c r="C12269" t="str">
        <f>"A0136270"</f>
        <v>A0136270</v>
      </c>
      <c r="D12269" t="s">
        <v>44227</v>
      </c>
      <c r="E12269" t="s">
        <v>44228</v>
      </c>
      <c r="F12269" t="s">
        <v>44229</v>
      </c>
      <c r="G12269" t="s">
        <v>137</v>
      </c>
      <c r="H12269">
        <v>64463</v>
      </c>
      <c r="I12269" t="s">
        <v>30</v>
      </c>
      <c r="J12269" t="s">
        <v>111</v>
      </c>
      <c r="K12269" t="s">
        <v>112</v>
      </c>
      <c r="Q12269">
        <v>0</v>
      </c>
      <c r="R12269">
        <v>0</v>
      </c>
      <c r="S12269">
        <v>0</v>
      </c>
      <c r="T12269" t="s">
        <v>44230</v>
      </c>
    </row>
    <row r="12270" spans="1:20" customFormat="1" ht="15" x14ac:dyDescent="0.25">
      <c r="A12270" t="s">
        <v>35</v>
      </c>
      <c r="B12270" t="s">
        <v>61</v>
      </c>
      <c r="C12270" t="str">
        <f>"A0128871"</f>
        <v>A0128871</v>
      </c>
      <c r="D12270" t="s">
        <v>44231</v>
      </c>
      <c r="E12270" t="s">
        <v>44232</v>
      </c>
      <c r="F12270" t="s">
        <v>44233</v>
      </c>
      <c r="G12270" t="s">
        <v>289</v>
      </c>
      <c r="H12270">
        <v>60970</v>
      </c>
      <c r="I12270" t="s">
        <v>30</v>
      </c>
      <c r="J12270" t="s">
        <v>41</v>
      </c>
      <c r="K12270" t="s">
        <v>59</v>
      </c>
      <c r="Q12270">
        <v>0</v>
      </c>
      <c r="R12270">
        <v>75</v>
      </c>
      <c r="S12270">
        <v>75</v>
      </c>
      <c r="T12270" t="s">
        <v>44234</v>
      </c>
    </row>
    <row r="12271" spans="1:20" customFormat="1" ht="15" x14ac:dyDescent="0.25">
      <c r="A12271" t="s">
        <v>35</v>
      </c>
      <c r="B12271" t="s">
        <v>61</v>
      </c>
      <c r="C12271" t="str">
        <f>"A0127697"</f>
        <v>A0127697</v>
      </c>
      <c r="D12271" t="s">
        <v>44235</v>
      </c>
      <c r="E12271" t="s">
        <v>44236</v>
      </c>
      <c r="F12271" t="s">
        <v>5133</v>
      </c>
      <c r="G12271" t="s">
        <v>117</v>
      </c>
      <c r="H12271">
        <v>486400000</v>
      </c>
      <c r="I12271" t="s">
        <v>30</v>
      </c>
      <c r="J12271" t="s">
        <v>41</v>
      </c>
      <c r="K12271" t="s">
        <v>229</v>
      </c>
      <c r="Q12271">
        <v>0</v>
      </c>
      <c r="R12271">
        <v>61</v>
      </c>
      <c r="S12271">
        <v>61</v>
      </c>
      <c r="T12271" t="s">
        <v>44237</v>
      </c>
    </row>
    <row r="12272" spans="1:20" customFormat="1" ht="15" x14ac:dyDescent="0.25">
      <c r="A12272" t="s">
        <v>35</v>
      </c>
      <c r="B12272" t="s">
        <v>61</v>
      </c>
      <c r="C12272" t="str">
        <f>"A0125238"</f>
        <v>A0125238</v>
      </c>
      <c r="D12272" t="s">
        <v>44238</v>
      </c>
      <c r="E12272" t="s">
        <v>44239</v>
      </c>
      <c r="F12272" t="s">
        <v>9467</v>
      </c>
      <c r="G12272" t="s">
        <v>40</v>
      </c>
      <c r="H12272">
        <v>74701</v>
      </c>
      <c r="I12272" t="s">
        <v>30</v>
      </c>
      <c r="J12272" t="s">
        <v>41</v>
      </c>
      <c r="K12272" t="s">
        <v>229</v>
      </c>
      <c r="Q12272">
        <v>0</v>
      </c>
      <c r="R12272">
        <v>65</v>
      </c>
      <c r="S12272">
        <v>65</v>
      </c>
      <c r="T12272" t="s">
        <v>44240</v>
      </c>
    </row>
    <row r="12273" spans="1:20" customFormat="1" ht="15" x14ac:dyDescent="0.25">
      <c r="A12273" t="s">
        <v>35</v>
      </c>
      <c r="B12273" t="s">
        <v>61</v>
      </c>
      <c r="C12273" t="str">
        <f>"A0129899"</f>
        <v>A0129899</v>
      </c>
      <c r="D12273" t="s">
        <v>44241</v>
      </c>
      <c r="E12273" t="s">
        <v>44242</v>
      </c>
      <c r="F12273" t="s">
        <v>12268</v>
      </c>
      <c r="G12273" t="s">
        <v>880</v>
      </c>
      <c r="H12273">
        <v>38184</v>
      </c>
      <c r="I12273" t="s">
        <v>30</v>
      </c>
      <c r="J12273" t="s">
        <v>41</v>
      </c>
      <c r="K12273" t="s">
        <v>229</v>
      </c>
      <c r="Q12273">
        <v>0</v>
      </c>
      <c r="R12273">
        <v>108</v>
      </c>
      <c r="S12273">
        <v>108</v>
      </c>
      <c r="T12273" t="s">
        <v>44243</v>
      </c>
    </row>
    <row r="12274" spans="1:20" customFormat="1" ht="15" x14ac:dyDescent="0.25">
      <c r="A12274" t="s">
        <v>35</v>
      </c>
      <c r="B12274" t="s">
        <v>61</v>
      </c>
      <c r="C12274" t="str">
        <f>"A0128895"</f>
        <v>A0128895</v>
      </c>
      <c r="D12274" t="s">
        <v>44244</v>
      </c>
      <c r="E12274" t="s">
        <v>44245</v>
      </c>
      <c r="F12274" t="s">
        <v>15848</v>
      </c>
      <c r="G12274" t="s">
        <v>289</v>
      </c>
      <c r="H12274">
        <v>62223</v>
      </c>
      <c r="I12274" t="s">
        <v>30</v>
      </c>
      <c r="J12274" t="s">
        <v>41</v>
      </c>
      <c r="K12274" t="s">
        <v>36814</v>
      </c>
      <c r="Q12274">
        <v>0</v>
      </c>
      <c r="R12274">
        <v>1</v>
      </c>
      <c r="S12274">
        <v>1</v>
      </c>
      <c r="T12274" t="s">
        <v>44246</v>
      </c>
    </row>
    <row r="12275" spans="1:20" customFormat="1" ht="15" x14ac:dyDescent="0.25">
      <c r="A12275" t="s">
        <v>35</v>
      </c>
      <c r="B12275" t="s">
        <v>61</v>
      </c>
      <c r="C12275" t="str">
        <f>"A0125744"</f>
        <v>A0125744</v>
      </c>
      <c r="D12275" t="s">
        <v>44247</v>
      </c>
      <c r="E12275" t="s">
        <v>44248</v>
      </c>
      <c r="F12275" t="s">
        <v>40600</v>
      </c>
      <c r="G12275" t="s">
        <v>29</v>
      </c>
      <c r="H12275">
        <v>24244</v>
      </c>
      <c r="I12275" t="s">
        <v>30</v>
      </c>
      <c r="J12275" t="s">
        <v>41</v>
      </c>
      <c r="K12275" t="s">
        <v>229</v>
      </c>
      <c r="Q12275">
        <v>0</v>
      </c>
      <c r="R12275">
        <v>100</v>
      </c>
      <c r="S12275">
        <v>100</v>
      </c>
      <c r="T12275" t="s">
        <v>44249</v>
      </c>
    </row>
    <row r="12276" spans="1:20" customFormat="1" ht="15" x14ac:dyDescent="0.25">
      <c r="A12276" t="s">
        <v>35</v>
      </c>
      <c r="B12276" t="s">
        <v>61</v>
      </c>
      <c r="C12276" t="str">
        <f>"A0154308"</f>
        <v>A0154308</v>
      </c>
      <c r="D12276" t="s">
        <v>44250</v>
      </c>
      <c r="E12276" t="s">
        <v>44251</v>
      </c>
      <c r="F12276" t="s">
        <v>11740</v>
      </c>
      <c r="G12276" t="s">
        <v>1898</v>
      </c>
      <c r="H12276">
        <v>52405</v>
      </c>
      <c r="I12276" t="s">
        <v>30</v>
      </c>
      <c r="J12276" t="s">
        <v>41</v>
      </c>
      <c r="K12276" t="s">
        <v>104</v>
      </c>
      <c r="Q12276">
        <v>0</v>
      </c>
      <c r="R12276">
        <v>15</v>
      </c>
      <c r="S12276">
        <v>15</v>
      </c>
      <c r="T12276" t="s">
        <v>44252</v>
      </c>
    </row>
    <row r="12277" spans="1:20" customFormat="1" ht="15" x14ac:dyDescent="0.25">
      <c r="A12277" t="s">
        <v>35</v>
      </c>
      <c r="B12277" t="s">
        <v>61</v>
      </c>
      <c r="C12277" t="str">
        <f>"A0150582"</f>
        <v>A0150582</v>
      </c>
      <c r="D12277" t="s">
        <v>44253</v>
      </c>
      <c r="E12277" t="s">
        <v>44254</v>
      </c>
      <c r="F12277" t="s">
        <v>44255</v>
      </c>
      <c r="G12277" t="s">
        <v>103</v>
      </c>
      <c r="H12277">
        <v>17020</v>
      </c>
      <c r="I12277" t="s">
        <v>30</v>
      </c>
      <c r="J12277" t="s">
        <v>41</v>
      </c>
      <c r="K12277" t="s">
        <v>229</v>
      </c>
      <c r="N12277" t="s">
        <v>44256</v>
      </c>
      <c r="Q12277">
        <v>0</v>
      </c>
      <c r="R12277">
        <v>119</v>
      </c>
      <c r="S12277">
        <v>119</v>
      </c>
      <c r="T12277" t="s">
        <v>44257</v>
      </c>
    </row>
    <row r="12278" spans="1:20" customFormat="1" ht="15" x14ac:dyDescent="0.25">
      <c r="A12278" t="s">
        <v>35</v>
      </c>
      <c r="B12278" t="s">
        <v>61</v>
      </c>
      <c r="C12278" t="str">
        <f>"A0124222"</f>
        <v>A0124222</v>
      </c>
      <c r="D12278" t="s">
        <v>44258</v>
      </c>
      <c r="E12278" t="s">
        <v>44259</v>
      </c>
      <c r="F12278" t="s">
        <v>10807</v>
      </c>
      <c r="G12278" t="s">
        <v>338</v>
      </c>
      <c r="H12278">
        <v>8302</v>
      </c>
      <c r="I12278" t="s">
        <v>30</v>
      </c>
      <c r="J12278" t="s">
        <v>41</v>
      </c>
      <c r="K12278" t="s">
        <v>59</v>
      </c>
      <c r="Q12278">
        <v>0</v>
      </c>
      <c r="R12278">
        <v>145</v>
      </c>
      <c r="S12278">
        <v>145</v>
      </c>
      <c r="T12278" t="s">
        <v>44260</v>
      </c>
    </row>
    <row r="12279" spans="1:20" customFormat="1" ht="15" x14ac:dyDescent="0.25">
      <c r="A12279" t="s">
        <v>35</v>
      </c>
      <c r="B12279" t="s">
        <v>61</v>
      </c>
      <c r="C12279" t="str">
        <f>"A0124223"</f>
        <v>A0124223</v>
      </c>
      <c r="D12279" t="s">
        <v>44261</v>
      </c>
      <c r="E12279" t="s">
        <v>44262</v>
      </c>
      <c r="F12279" t="s">
        <v>10807</v>
      </c>
      <c r="G12279" t="s">
        <v>338</v>
      </c>
      <c r="H12279">
        <v>8302</v>
      </c>
      <c r="I12279" t="s">
        <v>30</v>
      </c>
      <c r="J12279" t="s">
        <v>41</v>
      </c>
      <c r="K12279" t="s">
        <v>59</v>
      </c>
      <c r="Q12279">
        <v>0</v>
      </c>
      <c r="R12279">
        <v>150</v>
      </c>
      <c r="S12279">
        <v>150</v>
      </c>
      <c r="T12279" t="s">
        <v>44260</v>
      </c>
    </row>
    <row r="12280" spans="1:20" customFormat="1" ht="15" x14ac:dyDescent="0.25">
      <c r="A12280" t="s">
        <v>35</v>
      </c>
      <c r="B12280" t="s">
        <v>61</v>
      </c>
      <c r="C12280" t="str">
        <f>"A0124224"</f>
        <v>A0124224</v>
      </c>
      <c r="D12280" t="s">
        <v>44263</v>
      </c>
      <c r="E12280" t="s">
        <v>44264</v>
      </c>
      <c r="F12280" t="s">
        <v>4615</v>
      </c>
      <c r="G12280" t="s">
        <v>338</v>
      </c>
      <c r="H12280">
        <v>7101</v>
      </c>
      <c r="I12280" t="s">
        <v>30</v>
      </c>
      <c r="J12280" t="s">
        <v>41</v>
      </c>
      <c r="K12280" t="s">
        <v>59</v>
      </c>
      <c r="Q12280">
        <v>0</v>
      </c>
      <c r="R12280">
        <v>190</v>
      </c>
      <c r="S12280">
        <v>190</v>
      </c>
      <c r="T12280" t="s">
        <v>44265</v>
      </c>
    </row>
    <row r="12281" spans="1:20" customFormat="1" ht="15" x14ac:dyDescent="0.25">
      <c r="A12281" t="s">
        <v>35</v>
      </c>
      <c r="B12281" t="s">
        <v>61</v>
      </c>
      <c r="C12281" t="str">
        <f>"A0124225"</f>
        <v>A0124225</v>
      </c>
      <c r="D12281" t="s">
        <v>44266</v>
      </c>
      <c r="E12281" t="s">
        <v>44267</v>
      </c>
      <c r="F12281" t="s">
        <v>4629</v>
      </c>
      <c r="G12281" t="s">
        <v>103</v>
      </c>
      <c r="H12281">
        <v>19134</v>
      </c>
      <c r="I12281" t="s">
        <v>30</v>
      </c>
      <c r="J12281" t="s">
        <v>41</v>
      </c>
      <c r="K12281" t="s">
        <v>59</v>
      </c>
      <c r="Q12281">
        <v>0</v>
      </c>
      <c r="R12281">
        <v>150</v>
      </c>
      <c r="S12281">
        <v>150</v>
      </c>
      <c r="T12281" t="s">
        <v>44268</v>
      </c>
    </row>
    <row r="12282" spans="1:20" customFormat="1" ht="15" x14ac:dyDescent="0.25">
      <c r="A12282" t="s">
        <v>35</v>
      </c>
      <c r="B12282" t="s">
        <v>61</v>
      </c>
      <c r="C12282" t="str">
        <f>"A0127414"</f>
        <v>A0127414</v>
      </c>
      <c r="D12282" t="s">
        <v>44269</v>
      </c>
      <c r="E12282" t="s">
        <v>44270</v>
      </c>
      <c r="F12282" t="s">
        <v>44271</v>
      </c>
      <c r="G12282" t="s">
        <v>925</v>
      </c>
      <c r="H12282">
        <v>67070</v>
      </c>
      <c r="I12282" t="s">
        <v>30</v>
      </c>
      <c r="J12282" t="s">
        <v>41</v>
      </c>
      <c r="K12282" t="s">
        <v>3713</v>
      </c>
      <c r="Q12282">
        <v>0</v>
      </c>
      <c r="R12282">
        <v>24</v>
      </c>
      <c r="S12282">
        <v>24</v>
      </c>
      <c r="T12282" t="s">
        <v>44272</v>
      </c>
    </row>
    <row r="12283" spans="1:20" customFormat="1" ht="15" x14ac:dyDescent="0.25">
      <c r="A12283" t="s">
        <v>35</v>
      </c>
      <c r="B12283" t="s">
        <v>61</v>
      </c>
      <c r="C12283" t="str">
        <f>"A0127415"</f>
        <v>A0127415</v>
      </c>
      <c r="D12283" t="s">
        <v>44273</v>
      </c>
      <c r="E12283" t="s">
        <v>44274</v>
      </c>
      <c r="F12283" t="s">
        <v>44271</v>
      </c>
      <c r="G12283" t="s">
        <v>925</v>
      </c>
      <c r="H12283">
        <v>67070</v>
      </c>
      <c r="I12283" t="s">
        <v>30</v>
      </c>
      <c r="J12283" t="s">
        <v>41</v>
      </c>
      <c r="K12283" t="s">
        <v>229</v>
      </c>
      <c r="Q12283">
        <v>0</v>
      </c>
      <c r="R12283">
        <v>37</v>
      </c>
      <c r="S12283">
        <v>37</v>
      </c>
      <c r="T12283" t="s">
        <v>44275</v>
      </c>
    </row>
    <row r="12284" spans="1:20" customFormat="1" ht="15" x14ac:dyDescent="0.25">
      <c r="A12284" t="s">
        <v>35</v>
      </c>
      <c r="B12284" t="s">
        <v>61</v>
      </c>
      <c r="C12284" t="str">
        <f>"A0118995"</f>
        <v>A0118995</v>
      </c>
      <c r="D12284" t="s">
        <v>44276</v>
      </c>
      <c r="E12284" t="s">
        <v>44277</v>
      </c>
      <c r="F12284" t="s">
        <v>5742</v>
      </c>
      <c r="G12284" t="s">
        <v>110</v>
      </c>
      <c r="H12284">
        <v>95823</v>
      </c>
      <c r="I12284" t="s">
        <v>30</v>
      </c>
      <c r="J12284" t="s">
        <v>41</v>
      </c>
      <c r="K12284" t="s">
        <v>59</v>
      </c>
      <c r="Q12284">
        <v>0</v>
      </c>
      <c r="R12284">
        <v>6</v>
      </c>
      <c r="S12284">
        <v>6</v>
      </c>
      <c r="T12284" t="s">
        <v>44278</v>
      </c>
    </row>
    <row r="12285" spans="1:20" customFormat="1" ht="15" x14ac:dyDescent="0.25">
      <c r="A12285" t="s">
        <v>35</v>
      </c>
      <c r="B12285" t="s">
        <v>61</v>
      </c>
      <c r="C12285" t="str">
        <f>"A0129931"</f>
        <v>A0129931</v>
      </c>
      <c r="D12285" t="s">
        <v>44279</v>
      </c>
      <c r="E12285" t="s">
        <v>44280</v>
      </c>
      <c r="F12285" t="s">
        <v>44281</v>
      </c>
      <c r="G12285" t="s">
        <v>880</v>
      </c>
      <c r="H12285">
        <v>38115</v>
      </c>
      <c r="I12285" t="s">
        <v>30</v>
      </c>
      <c r="J12285" t="s">
        <v>41</v>
      </c>
      <c r="K12285" t="s">
        <v>59</v>
      </c>
      <c r="Q12285">
        <v>0</v>
      </c>
      <c r="R12285">
        <v>460</v>
      </c>
      <c r="S12285">
        <v>460</v>
      </c>
      <c r="T12285" t="s">
        <v>44282</v>
      </c>
    </row>
    <row r="12286" spans="1:20" customFormat="1" ht="15" x14ac:dyDescent="0.25">
      <c r="A12286" t="s">
        <v>35</v>
      </c>
      <c r="B12286" t="s">
        <v>106</v>
      </c>
      <c r="C12286" t="str">
        <f>"A0157990"</f>
        <v>A0157990</v>
      </c>
      <c r="D12286" t="s">
        <v>44283</v>
      </c>
      <c r="E12286" t="s">
        <v>44284</v>
      </c>
      <c r="F12286" t="s">
        <v>30549</v>
      </c>
      <c r="G12286" t="s">
        <v>117</v>
      </c>
      <c r="H12286">
        <v>49738</v>
      </c>
      <c r="I12286" t="s">
        <v>30</v>
      </c>
      <c r="J12286" t="s">
        <v>111</v>
      </c>
      <c r="K12286" t="s">
        <v>112</v>
      </c>
      <c r="Q12286">
        <v>0</v>
      </c>
      <c r="R12286">
        <v>0</v>
      </c>
      <c r="S12286">
        <v>0</v>
      </c>
      <c r="T12286" t="s">
        <v>44285</v>
      </c>
    </row>
    <row r="12287" spans="1:20" customFormat="1" ht="15" x14ac:dyDescent="0.25">
      <c r="A12287" t="s">
        <v>35</v>
      </c>
      <c r="B12287" t="s">
        <v>106</v>
      </c>
      <c r="C12287" t="str">
        <f>"A0150979"</f>
        <v>A0150979</v>
      </c>
      <c r="D12287" t="s">
        <v>44286</v>
      </c>
      <c r="E12287" t="s">
        <v>44287</v>
      </c>
      <c r="F12287" t="s">
        <v>6791</v>
      </c>
      <c r="G12287" t="s">
        <v>81</v>
      </c>
      <c r="H12287">
        <v>34744</v>
      </c>
      <c r="I12287" t="s">
        <v>30</v>
      </c>
      <c r="J12287" t="s">
        <v>111</v>
      </c>
      <c r="K12287" t="s">
        <v>112</v>
      </c>
      <c r="Q12287">
        <v>0</v>
      </c>
      <c r="R12287">
        <v>0</v>
      </c>
      <c r="S12287">
        <v>0</v>
      </c>
      <c r="T12287" t="s">
        <v>44288</v>
      </c>
    </row>
    <row r="12288" spans="1:20" customFormat="1" ht="15" x14ac:dyDescent="0.25">
      <c r="A12288" t="s">
        <v>35</v>
      </c>
      <c r="B12288" t="s">
        <v>437</v>
      </c>
      <c r="C12288" t="str">
        <f>"A0134035"</f>
        <v>A0134035</v>
      </c>
      <c r="D12288" t="s">
        <v>44289</v>
      </c>
      <c r="E12288" t="s">
        <v>44290</v>
      </c>
      <c r="F12288" t="s">
        <v>10276</v>
      </c>
      <c r="G12288" t="s">
        <v>846</v>
      </c>
      <c r="H12288">
        <v>30331</v>
      </c>
      <c r="I12288" t="s">
        <v>30</v>
      </c>
      <c r="J12288" t="s">
        <v>441</v>
      </c>
      <c r="K12288" t="s">
        <v>442</v>
      </c>
      <c r="Q12288">
        <v>0</v>
      </c>
      <c r="R12288">
        <v>0</v>
      </c>
      <c r="S12288">
        <v>0</v>
      </c>
      <c r="T12288" t="s">
        <v>36972</v>
      </c>
    </row>
    <row r="12289" spans="1:20" customFormat="1" ht="15" x14ac:dyDescent="0.25">
      <c r="A12289" t="s">
        <v>35</v>
      </c>
      <c r="B12289" t="s">
        <v>61</v>
      </c>
      <c r="C12289" t="str">
        <f>"A0122876"</f>
        <v>A0122876</v>
      </c>
      <c r="D12289" t="s">
        <v>44291</v>
      </c>
      <c r="E12289" t="s">
        <v>44292</v>
      </c>
      <c r="F12289" t="s">
        <v>10884</v>
      </c>
      <c r="G12289" t="s">
        <v>76</v>
      </c>
      <c r="H12289">
        <v>98337</v>
      </c>
      <c r="I12289" t="s">
        <v>30</v>
      </c>
      <c r="J12289" t="s">
        <v>41</v>
      </c>
      <c r="K12289" t="s">
        <v>6300</v>
      </c>
      <c r="Q12289">
        <v>0</v>
      </c>
      <c r="R12289">
        <v>0</v>
      </c>
      <c r="S12289">
        <v>0</v>
      </c>
      <c r="T12289" t="s">
        <v>44293</v>
      </c>
    </row>
    <row r="12290" spans="1:20" customFormat="1" ht="15" x14ac:dyDescent="0.25">
      <c r="A12290" t="s">
        <v>35</v>
      </c>
      <c r="B12290" t="s">
        <v>106</v>
      </c>
      <c r="C12290" t="str">
        <f>"A0135379"</f>
        <v>A0135379</v>
      </c>
      <c r="D12290" t="s">
        <v>44294</v>
      </c>
      <c r="E12290" t="s">
        <v>44295</v>
      </c>
      <c r="F12290" t="s">
        <v>44296</v>
      </c>
      <c r="G12290" t="s">
        <v>214</v>
      </c>
      <c r="H12290">
        <v>27544</v>
      </c>
      <c r="I12290" t="s">
        <v>30</v>
      </c>
      <c r="J12290" t="s">
        <v>111</v>
      </c>
      <c r="K12290" t="s">
        <v>112</v>
      </c>
      <c r="Q12290">
        <v>0</v>
      </c>
      <c r="R12290">
        <v>0</v>
      </c>
      <c r="S12290">
        <v>0</v>
      </c>
      <c r="T12290" t="s">
        <v>44297</v>
      </c>
    </row>
    <row r="12291" spans="1:20" customFormat="1" ht="15" x14ac:dyDescent="0.25">
      <c r="A12291" t="s">
        <v>35</v>
      </c>
      <c r="B12291" t="s">
        <v>61</v>
      </c>
      <c r="C12291" t="str">
        <f>"A0123449"</f>
        <v>A0123449</v>
      </c>
      <c r="D12291" t="s">
        <v>44298</v>
      </c>
      <c r="E12291" t="s">
        <v>44299</v>
      </c>
      <c r="F12291" t="s">
        <v>3315</v>
      </c>
      <c r="G12291" t="s">
        <v>214</v>
      </c>
      <c r="H12291">
        <v>27511</v>
      </c>
      <c r="I12291" t="s">
        <v>30</v>
      </c>
      <c r="J12291" t="s">
        <v>41</v>
      </c>
      <c r="K12291" t="s">
        <v>391</v>
      </c>
      <c r="Q12291">
        <v>0</v>
      </c>
      <c r="R12291">
        <v>0</v>
      </c>
      <c r="S12291">
        <v>0</v>
      </c>
      <c r="T12291" t="s">
        <v>44300</v>
      </c>
    </row>
    <row r="12292" spans="1:20" customFormat="1" ht="15" x14ac:dyDescent="0.25">
      <c r="A12292" t="s">
        <v>35</v>
      </c>
      <c r="B12292" t="s">
        <v>61</v>
      </c>
      <c r="C12292" t="str">
        <f>"A0131637"</f>
        <v>A0131637</v>
      </c>
      <c r="D12292" t="s">
        <v>44301</v>
      </c>
      <c r="E12292" t="s">
        <v>44302</v>
      </c>
      <c r="F12292" t="s">
        <v>44303</v>
      </c>
      <c r="G12292" t="s">
        <v>65</v>
      </c>
      <c r="H12292">
        <v>44140</v>
      </c>
      <c r="I12292" t="s">
        <v>30</v>
      </c>
      <c r="J12292" t="s">
        <v>41</v>
      </c>
      <c r="K12292" t="s">
        <v>2477</v>
      </c>
      <c r="Q12292">
        <v>0</v>
      </c>
      <c r="R12292">
        <v>168</v>
      </c>
      <c r="S12292">
        <v>168</v>
      </c>
      <c r="T12292" t="s">
        <v>44304</v>
      </c>
    </row>
    <row r="12293" spans="1:20" customFormat="1" ht="15" x14ac:dyDescent="0.25">
      <c r="A12293" t="s">
        <v>35</v>
      </c>
      <c r="B12293" t="s">
        <v>106</v>
      </c>
      <c r="C12293" t="str">
        <f>"A0135694"</f>
        <v>A0135694</v>
      </c>
      <c r="D12293" t="s">
        <v>44305</v>
      </c>
      <c r="E12293" t="s">
        <v>44306</v>
      </c>
      <c r="F12293" t="s">
        <v>21673</v>
      </c>
      <c r="G12293" t="s">
        <v>52</v>
      </c>
      <c r="H12293">
        <v>78666</v>
      </c>
      <c r="I12293" t="s">
        <v>30</v>
      </c>
      <c r="J12293" t="s">
        <v>111</v>
      </c>
      <c r="K12293" t="s">
        <v>112</v>
      </c>
      <c r="Q12293">
        <v>0</v>
      </c>
      <c r="R12293">
        <v>0</v>
      </c>
      <c r="S12293">
        <v>0</v>
      </c>
      <c r="T12293" t="s">
        <v>44307</v>
      </c>
    </row>
    <row r="12294" spans="1:20" customFormat="1" ht="15" x14ac:dyDescent="0.25">
      <c r="A12294" t="s">
        <v>35</v>
      </c>
      <c r="B12294" t="s">
        <v>61</v>
      </c>
      <c r="C12294" t="str">
        <f>"A0132228"</f>
        <v>A0132228</v>
      </c>
      <c r="D12294" t="s">
        <v>44308</v>
      </c>
      <c r="E12294" t="s">
        <v>44309</v>
      </c>
      <c r="F12294" t="s">
        <v>43883</v>
      </c>
      <c r="G12294" t="s">
        <v>65</v>
      </c>
      <c r="H12294">
        <v>43812</v>
      </c>
      <c r="I12294" t="s">
        <v>30</v>
      </c>
      <c r="J12294" t="s">
        <v>41</v>
      </c>
      <c r="K12294" t="s">
        <v>2760</v>
      </c>
      <c r="Q12294">
        <v>0</v>
      </c>
      <c r="R12294">
        <v>1</v>
      </c>
      <c r="S12294">
        <v>1</v>
      </c>
      <c r="T12294" t="s">
        <v>44310</v>
      </c>
    </row>
    <row r="12295" spans="1:20" customFormat="1" ht="15" x14ac:dyDescent="0.25">
      <c r="A12295" t="s">
        <v>35</v>
      </c>
      <c r="B12295" t="s">
        <v>61</v>
      </c>
      <c r="C12295" t="str">
        <f>"A0129903"</f>
        <v>A0129903</v>
      </c>
      <c r="D12295" t="s">
        <v>44311</v>
      </c>
      <c r="E12295" t="s">
        <v>44312</v>
      </c>
      <c r="F12295" t="s">
        <v>5061</v>
      </c>
      <c r="G12295" t="s">
        <v>880</v>
      </c>
      <c r="H12295">
        <v>370831247</v>
      </c>
      <c r="I12295" t="s">
        <v>30</v>
      </c>
      <c r="J12295" t="s">
        <v>41</v>
      </c>
      <c r="K12295" t="s">
        <v>229</v>
      </c>
      <c r="Q12295">
        <v>0</v>
      </c>
      <c r="R12295">
        <v>49</v>
      </c>
      <c r="S12295">
        <v>49</v>
      </c>
      <c r="T12295" t="s">
        <v>44313</v>
      </c>
    </row>
    <row r="12296" spans="1:20" customFormat="1" ht="15" x14ac:dyDescent="0.25">
      <c r="A12296" t="s">
        <v>35</v>
      </c>
      <c r="B12296" t="s">
        <v>61</v>
      </c>
      <c r="C12296" t="str">
        <f>"A0128917"</f>
        <v>A0128917</v>
      </c>
      <c r="D12296" t="s">
        <v>44314</v>
      </c>
      <c r="E12296" t="s">
        <v>44315</v>
      </c>
      <c r="F12296" t="s">
        <v>4645</v>
      </c>
      <c r="G12296" t="s">
        <v>289</v>
      </c>
      <c r="H12296">
        <v>626500000</v>
      </c>
      <c r="I12296" t="s">
        <v>30</v>
      </c>
      <c r="J12296" t="s">
        <v>41</v>
      </c>
      <c r="K12296" t="s">
        <v>59</v>
      </c>
      <c r="Q12296">
        <v>0</v>
      </c>
      <c r="R12296">
        <v>96</v>
      </c>
      <c r="S12296">
        <v>96</v>
      </c>
      <c r="T12296" t="s">
        <v>44316</v>
      </c>
    </row>
    <row r="12297" spans="1:20" customFormat="1" ht="15" x14ac:dyDescent="0.25">
      <c r="A12297" t="s">
        <v>35</v>
      </c>
      <c r="B12297" t="s">
        <v>61</v>
      </c>
      <c r="C12297" t="str">
        <f>"A0129122"</f>
        <v>A0129122</v>
      </c>
      <c r="D12297" t="s">
        <v>44317</v>
      </c>
      <c r="E12297" t="s">
        <v>44318</v>
      </c>
      <c r="F12297" t="s">
        <v>44319</v>
      </c>
      <c r="G12297" t="s">
        <v>289</v>
      </c>
      <c r="H12297">
        <v>62232</v>
      </c>
      <c r="I12297" t="s">
        <v>30</v>
      </c>
      <c r="J12297" t="s">
        <v>41</v>
      </c>
      <c r="K12297" t="s">
        <v>59</v>
      </c>
      <c r="Q12297">
        <v>0</v>
      </c>
      <c r="R12297">
        <v>96</v>
      </c>
      <c r="S12297">
        <v>96</v>
      </c>
      <c r="T12297" t="s">
        <v>44320</v>
      </c>
    </row>
    <row r="12298" spans="1:20" customFormat="1" ht="15" x14ac:dyDescent="0.25">
      <c r="A12298" t="s">
        <v>35</v>
      </c>
      <c r="B12298" t="s">
        <v>61</v>
      </c>
      <c r="C12298" t="str">
        <f>"A0133256"</f>
        <v>A0133256</v>
      </c>
      <c r="D12298" t="s">
        <v>44321</v>
      </c>
      <c r="E12298" t="s">
        <v>44322</v>
      </c>
      <c r="F12298" t="s">
        <v>4094</v>
      </c>
      <c r="G12298" t="s">
        <v>52</v>
      </c>
      <c r="H12298">
        <v>78624</v>
      </c>
      <c r="I12298" t="s">
        <v>30</v>
      </c>
      <c r="J12298" t="s">
        <v>41</v>
      </c>
      <c r="K12298" t="s">
        <v>59</v>
      </c>
      <c r="Q12298">
        <v>0</v>
      </c>
      <c r="R12298">
        <v>50</v>
      </c>
      <c r="S12298">
        <v>50</v>
      </c>
      <c r="T12298" t="s">
        <v>44323</v>
      </c>
    </row>
    <row r="12299" spans="1:20" customFormat="1" ht="15" x14ac:dyDescent="0.25">
      <c r="A12299" t="s">
        <v>35</v>
      </c>
      <c r="B12299" t="s">
        <v>437</v>
      </c>
      <c r="C12299" t="str">
        <f>"A0134033"</f>
        <v>A0134033</v>
      </c>
      <c r="D12299" t="s">
        <v>44324</v>
      </c>
      <c r="E12299" t="s">
        <v>44325</v>
      </c>
      <c r="F12299" t="s">
        <v>44326</v>
      </c>
      <c r="G12299" t="s">
        <v>99</v>
      </c>
      <c r="H12299">
        <v>13163</v>
      </c>
      <c r="I12299" t="s">
        <v>30</v>
      </c>
      <c r="J12299" t="s">
        <v>441</v>
      </c>
      <c r="K12299" t="s">
        <v>442</v>
      </c>
      <c r="Q12299">
        <v>0</v>
      </c>
      <c r="R12299">
        <v>0</v>
      </c>
      <c r="S12299">
        <v>0</v>
      </c>
      <c r="T12299" t="s">
        <v>7662</v>
      </c>
    </row>
    <row r="12300" spans="1:20" customFormat="1" ht="15" x14ac:dyDescent="0.25">
      <c r="A12300" t="s">
        <v>35</v>
      </c>
      <c r="B12300" t="s">
        <v>61</v>
      </c>
      <c r="C12300" t="str">
        <f>"A0130062"</f>
        <v>A0130062</v>
      </c>
      <c r="D12300" t="s">
        <v>44327</v>
      </c>
      <c r="E12300" t="s">
        <v>44328</v>
      </c>
      <c r="F12300" t="s">
        <v>1420</v>
      </c>
      <c r="G12300" t="s">
        <v>880</v>
      </c>
      <c r="H12300">
        <v>37218</v>
      </c>
      <c r="I12300" t="s">
        <v>30</v>
      </c>
      <c r="J12300" t="s">
        <v>41</v>
      </c>
      <c r="K12300" t="s">
        <v>229</v>
      </c>
      <c r="Q12300">
        <v>0</v>
      </c>
      <c r="R12300">
        <v>100</v>
      </c>
      <c r="S12300">
        <v>100</v>
      </c>
      <c r="T12300" t="s">
        <v>44329</v>
      </c>
    </row>
    <row r="12301" spans="1:20" customFormat="1" ht="15" x14ac:dyDescent="0.25">
      <c r="A12301" t="s">
        <v>35</v>
      </c>
      <c r="B12301" t="s">
        <v>61</v>
      </c>
      <c r="C12301" t="str">
        <f>"A0132864"</f>
        <v>A0132864</v>
      </c>
      <c r="D12301" t="s">
        <v>44330</v>
      </c>
      <c r="E12301" t="s">
        <v>44331</v>
      </c>
      <c r="F12301" t="s">
        <v>2623</v>
      </c>
      <c r="G12301" t="s">
        <v>65</v>
      </c>
      <c r="H12301">
        <v>43050</v>
      </c>
      <c r="I12301" t="s">
        <v>30</v>
      </c>
      <c r="J12301" t="s">
        <v>41</v>
      </c>
      <c r="K12301" t="s">
        <v>3713</v>
      </c>
      <c r="Q12301">
        <v>0</v>
      </c>
      <c r="R12301">
        <v>0</v>
      </c>
      <c r="S12301">
        <v>0</v>
      </c>
      <c r="T12301" t="s">
        <v>44332</v>
      </c>
    </row>
    <row r="12302" spans="1:20" customFormat="1" ht="15" x14ac:dyDescent="0.25">
      <c r="A12302" t="s">
        <v>35</v>
      </c>
      <c r="B12302" t="s">
        <v>61</v>
      </c>
      <c r="C12302" t="str">
        <f>"A0129235"</f>
        <v>A0129235</v>
      </c>
      <c r="D12302" t="s">
        <v>30437</v>
      </c>
      <c r="E12302" t="s">
        <v>44333</v>
      </c>
      <c r="F12302" t="s">
        <v>3657</v>
      </c>
      <c r="G12302" t="s">
        <v>289</v>
      </c>
      <c r="H12302">
        <v>61448</v>
      </c>
      <c r="I12302" t="s">
        <v>30</v>
      </c>
      <c r="J12302" t="s">
        <v>41</v>
      </c>
      <c r="K12302" t="s">
        <v>229</v>
      </c>
      <c r="Q12302">
        <v>0</v>
      </c>
      <c r="R12302">
        <v>204</v>
      </c>
      <c r="S12302">
        <v>204</v>
      </c>
      <c r="T12302" t="s">
        <v>44334</v>
      </c>
    </row>
    <row r="12303" spans="1:20" customFormat="1" ht="15" x14ac:dyDescent="0.25">
      <c r="A12303" t="s">
        <v>35</v>
      </c>
      <c r="B12303" t="s">
        <v>437</v>
      </c>
      <c r="C12303" t="str">
        <f>"A0134037"</f>
        <v>A0134037</v>
      </c>
      <c r="D12303" t="s">
        <v>44335</v>
      </c>
      <c r="E12303" t="s">
        <v>44336</v>
      </c>
      <c r="F12303" t="s">
        <v>7661</v>
      </c>
      <c r="G12303" t="s">
        <v>99</v>
      </c>
      <c r="H12303">
        <v>13490</v>
      </c>
      <c r="I12303" t="s">
        <v>30</v>
      </c>
      <c r="J12303" t="s">
        <v>441</v>
      </c>
      <c r="K12303" t="s">
        <v>9719</v>
      </c>
      <c r="Q12303">
        <v>0</v>
      </c>
      <c r="R12303">
        <v>0</v>
      </c>
      <c r="S12303">
        <v>0</v>
      </c>
      <c r="T12303" t="s">
        <v>44337</v>
      </c>
    </row>
    <row r="12304" spans="1:20" customFormat="1" ht="15" x14ac:dyDescent="0.25">
      <c r="A12304" t="s">
        <v>35</v>
      </c>
      <c r="B12304" t="s">
        <v>61</v>
      </c>
      <c r="C12304" t="str">
        <f>"A0128899"</f>
        <v>A0128899</v>
      </c>
      <c r="D12304" t="s">
        <v>44338</v>
      </c>
      <c r="E12304" t="s">
        <v>44339</v>
      </c>
      <c r="F12304" t="s">
        <v>21033</v>
      </c>
      <c r="G12304" t="s">
        <v>289</v>
      </c>
      <c r="H12304">
        <v>610210000</v>
      </c>
      <c r="I12304" t="s">
        <v>30</v>
      </c>
      <c r="J12304" t="s">
        <v>41</v>
      </c>
      <c r="K12304" t="s">
        <v>59</v>
      </c>
      <c r="Q12304">
        <v>0</v>
      </c>
      <c r="R12304">
        <v>160</v>
      </c>
      <c r="S12304">
        <v>160</v>
      </c>
      <c r="T12304" t="s">
        <v>44340</v>
      </c>
    </row>
    <row r="12305" spans="1:20" customFormat="1" ht="15" x14ac:dyDescent="0.25">
      <c r="A12305" t="s">
        <v>35</v>
      </c>
      <c r="B12305" t="s">
        <v>106</v>
      </c>
      <c r="C12305" t="str">
        <f>"A0136148"</f>
        <v>A0136148</v>
      </c>
      <c r="D12305" t="s">
        <v>44341</v>
      </c>
      <c r="E12305" t="s">
        <v>44342</v>
      </c>
      <c r="F12305" t="s">
        <v>21186</v>
      </c>
      <c r="G12305" t="s">
        <v>925</v>
      </c>
      <c r="H12305">
        <v>66506</v>
      </c>
      <c r="I12305" t="s">
        <v>30</v>
      </c>
      <c r="J12305" t="s">
        <v>111</v>
      </c>
      <c r="K12305" t="s">
        <v>10012</v>
      </c>
      <c r="Q12305">
        <v>0</v>
      </c>
      <c r="R12305">
        <v>0</v>
      </c>
      <c r="S12305">
        <v>0</v>
      </c>
      <c r="T12305" t="s">
        <v>44343</v>
      </c>
    </row>
    <row r="12306" spans="1:20" customFormat="1" ht="15" x14ac:dyDescent="0.25">
      <c r="A12306" t="s">
        <v>35</v>
      </c>
      <c r="B12306" t="s">
        <v>61</v>
      </c>
      <c r="C12306" t="str">
        <f>"A0126598"</f>
        <v>A0126598</v>
      </c>
      <c r="D12306" t="s">
        <v>44344</v>
      </c>
      <c r="E12306" t="s">
        <v>44345</v>
      </c>
      <c r="F12306" t="s">
        <v>44346</v>
      </c>
      <c r="G12306" t="s">
        <v>103</v>
      </c>
      <c r="H12306">
        <v>19530</v>
      </c>
      <c r="I12306" t="s">
        <v>30</v>
      </c>
      <c r="J12306" t="s">
        <v>41</v>
      </c>
      <c r="K12306" t="s">
        <v>229</v>
      </c>
      <c r="Q12306">
        <v>0</v>
      </c>
      <c r="R12306">
        <v>140</v>
      </c>
      <c r="S12306">
        <v>140</v>
      </c>
      <c r="T12306" t="s">
        <v>44347</v>
      </c>
    </row>
    <row r="12307" spans="1:20" customFormat="1" ht="15" x14ac:dyDescent="0.25">
      <c r="A12307" t="s">
        <v>35</v>
      </c>
      <c r="B12307" t="s">
        <v>61</v>
      </c>
      <c r="C12307" t="str">
        <f>"A0131067"</f>
        <v>A0131067</v>
      </c>
      <c r="D12307" t="s">
        <v>44348</v>
      </c>
      <c r="E12307" t="s">
        <v>44349</v>
      </c>
      <c r="F12307" t="s">
        <v>10170</v>
      </c>
      <c r="G12307" t="s">
        <v>137</v>
      </c>
      <c r="H12307">
        <v>636400000</v>
      </c>
      <c r="I12307" t="s">
        <v>30</v>
      </c>
      <c r="J12307" t="s">
        <v>41</v>
      </c>
      <c r="K12307" t="s">
        <v>59</v>
      </c>
      <c r="Q12307">
        <v>0</v>
      </c>
      <c r="R12307">
        <v>38</v>
      </c>
      <c r="S12307">
        <v>38</v>
      </c>
      <c r="T12307" t="s">
        <v>44350</v>
      </c>
    </row>
    <row r="12308" spans="1:20" customFormat="1" ht="15" x14ac:dyDescent="0.25">
      <c r="A12308" t="s">
        <v>35</v>
      </c>
      <c r="B12308" t="s">
        <v>61</v>
      </c>
      <c r="C12308" t="str">
        <f>"A0126070"</f>
        <v>A0126070</v>
      </c>
      <c r="D12308" t="s">
        <v>44351</v>
      </c>
      <c r="E12308" t="s">
        <v>44352</v>
      </c>
      <c r="F12308" t="s">
        <v>17642</v>
      </c>
      <c r="G12308" t="s">
        <v>197</v>
      </c>
      <c r="H12308">
        <v>85296</v>
      </c>
      <c r="I12308" t="s">
        <v>30</v>
      </c>
      <c r="J12308" t="s">
        <v>41</v>
      </c>
      <c r="K12308" t="s">
        <v>104</v>
      </c>
      <c r="Q12308">
        <v>0</v>
      </c>
      <c r="R12308">
        <v>0</v>
      </c>
      <c r="S12308">
        <v>0</v>
      </c>
      <c r="T12308" t="s">
        <v>41491</v>
      </c>
    </row>
    <row r="12309" spans="1:20" customFormat="1" ht="15" x14ac:dyDescent="0.25">
      <c r="A12309" t="s">
        <v>35</v>
      </c>
      <c r="B12309" t="s">
        <v>437</v>
      </c>
      <c r="C12309" t="str">
        <f>"A0133845"</f>
        <v>A0133845</v>
      </c>
      <c r="D12309" t="s">
        <v>44353</v>
      </c>
      <c r="E12309" t="s">
        <v>44354</v>
      </c>
      <c r="F12309" t="s">
        <v>7362</v>
      </c>
      <c r="G12309" t="s">
        <v>110</v>
      </c>
      <c r="H12309">
        <v>90014</v>
      </c>
      <c r="I12309" t="s">
        <v>30</v>
      </c>
      <c r="J12309" t="s">
        <v>441</v>
      </c>
      <c r="K12309" t="s">
        <v>442</v>
      </c>
      <c r="Q12309">
        <v>0</v>
      </c>
      <c r="R12309">
        <v>0</v>
      </c>
      <c r="S12309">
        <v>0</v>
      </c>
      <c r="T12309" t="s">
        <v>44355</v>
      </c>
    </row>
    <row r="12310" spans="1:20" customFormat="1" ht="15" x14ac:dyDescent="0.25">
      <c r="A12310" t="s">
        <v>35</v>
      </c>
      <c r="B12310" t="s">
        <v>61</v>
      </c>
      <c r="C12310" t="str">
        <f>"A0133237"</f>
        <v>A0133237</v>
      </c>
      <c r="D12310" t="s">
        <v>44356</v>
      </c>
      <c r="E12310" t="s">
        <v>44357</v>
      </c>
      <c r="F12310" t="s">
        <v>8642</v>
      </c>
      <c r="G12310" t="s">
        <v>52</v>
      </c>
      <c r="H12310">
        <v>76021</v>
      </c>
      <c r="I12310" t="s">
        <v>30</v>
      </c>
      <c r="J12310" t="s">
        <v>41</v>
      </c>
      <c r="K12310" t="s">
        <v>229</v>
      </c>
      <c r="Q12310">
        <v>0</v>
      </c>
      <c r="R12310">
        <v>50</v>
      </c>
      <c r="S12310">
        <v>50</v>
      </c>
      <c r="T12310" t="s">
        <v>44358</v>
      </c>
    </row>
    <row r="12311" spans="1:20" customFormat="1" ht="15" x14ac:dyDescent="0.25">
      <c r="A12311" t="s">
        <v>35</v>
      </c>
      <c r="B12311" t="s">
        <v>61</v>
      </c>
      <c r="C12311" t="str">
        <f>"A0126163"</f>
        <v>A0126163</v>
      </c>
      <c r="D12311" t="s">
        <v>44359</v>
      </c>
      <c r="E12311" t="s">
        <v>44360</v>
      </c>
      <c r="F12311" t="s">
        <v>10187</v>
      </c>
      <c r="G12311" t="s">
        <v>197</v>
      </c>
      <c r="H12311">
        <v>85048</v>
      </c>
      <c r="I12311" t="s">
        <v>30</v>
      </c>
      <c r="J12311" t="s">
        <v>41</v>
      </c>
      <c r="K12311" t="s">
        <v>229</v>
      </c>
      <c r="Q12311">
        <v>0</v>
      </c>
      <c r="R12311">
        <v>120</v>
      </c>
      <c r="S12311">
        <v>120</v>
      </c>
      <c r="T12311" t="s">
        <v>44361</v>
      </c>
    </row>
    <row r="12312" spans="1:20" customFormat="1" ht="15" x14ac:dyDescent="0.25">
      <c r="A12312" t="s">
        <v>35</v>
      </c>
      <c r="B12312" t="s">
        <v>61</v>
      </c>
      <c r="C12312" t="str">
        <f>"A0126142"</f>
        <v>A0126142</v>
      </c>
      <c r="D12312" t="s">
        <v>44362</v>
      </c>
      <c r="E12312" t="s">
        <v>44363</v>
      </c>
      <c r="F12312" t="s">
        <v>44364</v>
      </c>
      <c r="G12312" t="s">
        <v>197</v>
      </c>
      <c r="H12312">
        <v>85340</v>
      </c>
      <c r="I12312" t="s">
        <v>30</v>
      </c>
      <c r="J12312" t="s">
        <v>41</v>
      </c>
      <c r="K12312" t="s">
        <v>59</v>
      </c>
      <c r="Q12312">
        <v>0</v>
      </c>
      <c r="R12312">
        <v>96</v>
      </c>
      <c r="S12312">
        <v>96</v>
      </c>
      <c r="T12312" t="s">
        <v>44365</v>
      </c>
    </row>
    <row r="12313" spans="1:20" customFormat="1" ht="15" x14ac:dyDescent="0.25">
      <c r="A12313" t="s">
        <v>35</v>
      </c>
      <c r="B12313" t="s">
        <v>61</v>
      </c>
      <c r="C12313" t="str">
        <f>"A0118607"</f>
        <v>A0118607</v>
      </c>
      <c r="D12313" t="s">
        <v>44366</v>
      </c>
      <c r="E12313" t="s">
        <v>44367</v>
      </c>
      <c r="F12313" t="s">
        <v>2294</v>
      </c>
      <c r="G12313" t="s">
        <v>110</v>
      </c>
      <c r="H12313">
        <v>94533</v>
      </c>
      <c r="I12313" t="s">
        <v>30</v>
      </c>
      <c r="J12313" t="s">
        <v>41</v>
      </c>
      <c r="K12313" t="s">
        <v>229</v>
      </c>
      <c r="Q12313">
        <v>0</v>
      </c>
      <c r="R12313">
        <v>99</v>
      </c>
      <c r="S12313">
        <v>99</v>
      </c>
      <c r="T12313" t="s">
        <v>44368</v>
      </c>
    </row>
    <row r="12314" spans="1:20" customFormat="1" ht="15" x14ac:dyDescent="0.25">
      <c r="A12314" t="s">
        <v>35</v>
      </c>
      <c r="B12314" t="s">
        <v>106</v>
      </c>
      <c r="C12314" t="str">
        <f>"A0136517"</f>
        <v>A0136517</v>
      </c>
      <c r="D12314" t="s">
        <v>44369</v>
      </c>
      <c r="E12314" t="s">
        <v>44370</v>
      </c>
      <c r="F12314" t="s">
        <v>44371</v>
      </c>
      <c r="G12314" t="s">
        <v>123</v>
      </c>
      <c r="H12314">
        <v>20740</v>
      </c>
      <c r="I12314" t="s">
        <v>30</v>
      </c>
      <c r="J12314" t="s">
        <v>111</v>
      </c>
      <c r="K12314" t="s">
        <v>112</v>
      </c>
      <c r="Q12314">
        <v>0</v>
      </c>
      <c r="R12314">
        <v>0</v>
      </c>
      <c r="S12314">
        <v>0</v>
      </c>
      <c r="T12314" t="s">
        <v>44372</v>
      </c>
    </row>
    <row r="12315" spans="1:20" customFormat="1" ht="15" x14ac:dyDescent="0.25">
      <c r="A12315" t="s">
        <v>35</v>
      </c>
      <c r="B12315" t="s">
        <v>61</v>
      </c>
      <c r="C12315" t="str">
        <f>"A0125432"</f>
        <v>A0125432</v>
      </c>
      <c r="D12315" t="s">
        <v>44373</v>
      </c>
      <c r="E12315" t="s">
        <v>44374</v>
      </c>
      <c r="F12315" t="s">
        <v>4037</v>
      </c>
      <c r="G12315" t="s">
        <v>40</v>
      </c>
      <c r="H12315">
        <v>73141</v>
      </c>
      <c r="I12315" t="s">
        <v>30</v>
      </c>
      <c r="J12315" t="s">
        <v>41</v>
      </c>
      <c r="K12315" t="s">
        <v>66</v>
      </c>
      <c r="Q12315">
        <v>0</v>
      </c>
      <c r="R12315">
        <v>116</v>
      </c>
      <c r="S12315">
        <v>116</v>
      </c>
      <c r="T12315" t="s">
        <v>44375</v>
      </c>
    </row>
    <row r="12316" spans="1:20" customFormat="1" ht="15" x14ac:dyDescent="0.25">
      <c r="A12316" t="s">
        <v>35</v>
      </c>
      <c r="B12316" t="s">
        <v>437</v>
      </c>
      <c r="C12316" t="str">
        <f>"A0134061"</f>
        <v>A0134061</v>
      </c>
      <c r="D12316" t="s">
        <v>44376</v>
      </c>
      <c r="E12316" t="s">
        <v>44377</v>
      </c>
      <c r="F12316" t="s">
        <v>12923</v>
      </c>
      <c r="G12316" t="s">
        <v>40</v>
      </c>
      <c r="H12316">
        <v>73003</v>
      </c>
      <c r="I12316" t="s">
        <v>30</v>
      </c>
      <c r="J12316" t="s">
        <v>441</v>
      </c>
      <c r="K12316" t="s">
        <v>442</v>
      </c>
      <c r="Q12316">
        <v>0</v>
      </c>
      <c r="R12316">
        <v>0</v>
      </c>
      <c r="S12316">
        <v>0</v>
      </c>
      <c r="T12316" t="s">
        <v>44378</v>
      </c>
    </row>
    <row r="12317" spans="1:20" customFormat="1" ht="15" x14ac:dyDescent="0.25">
      <c r="A12317" t="s">
        <v>35</v>
      </c>
      <c r="B12317" t="s">
        <v>437</v>
      </c>
      <c r="C12317" t="str">
        <f>"A0134060"</f>
        <v>A0134060</v>
      </c>
      <c r="D12317" t="s">
        <v>44379</v>
      </c>
      <c r="E12317" t="s">
        <v>44380</v>
      </c>
      <c r="F12317" t="s">
        <v>4037</v>
      </c>
      <c r="G12317" t="s">
        <v>40</v>
      </c>
      <c r="H12317">
        <v>73107</v>
      </c>
      <c r="I12317" t="s">
        <v>30</v>
      </c>
      <c r="J12317" t="s">
        <v>441</v>
      </c>
      <c r="K12317" t="s">
        <v>442</v>
      </c>
      <c r="Q12317">
        <v>0</v>
      </c>
      <c r="R12317">
        <v>0</v>
      </c>
      <c r="S12317">
        <v>0</v>
      </c>
      <c r="T12317" t="s">
        <v>44375</v>
      </c>
    </row>
    <row r="12318" spans="1:20" customFormat="1" ht="15" x14ac:dyDescent="0.25">
      <c r="A12318" t="s">
        <v>35</v>
      </c>
      <c r="B12318" t="s">
        <v>61</v>
      </c>
      <c r="C12318" t="str">
        <f>"A0118093"</f>
        <v>A0118093</v>
      </c>
      <c r="D12318" t="s">
        <v>44381</v>
      </c>
      <c r="E12318" t="s">
        <v>44382</v>
      </c>
      <c r="F12318" t="s">
        <v>16848</v>
      </c>
      <c r="G12318" t="s">
        <v>1587</v>
      </c>
      <c r="H12318">
        <v>87111</v>
      </c>
      <c r="I12318" t="s">
        <v>30</v>
      </c>
      <c r="J12318" t="s">
        <v>41</v>
      </c>
      <c r="K12318" t="s">
        <v>229</v>
      </c>
      <c r="Q12318">
        <v>0</v>
      </c>
      <c r="R12318">
        <v>124</v>
      </c>
      <c r="S12318">
        <v>124</v>
      </c>
      <c r="T12318" t="s">
        <v>44383</v>
      </c>
    </row>
    <row r="12319" spans="1:20" customFormat="1" ht="15" x14ac:dyDescent="0.25">
      <c r="A12319" t="s">
        <v>35</v>
      </c>
      <c r="B12319" t="s">
        <v>61</v>
      </c>
      <c r="C12319" t="str">
        <f>"A0131303"</f>
        <v>A0131303</v>
      </c>
      <c r="D12319" t="s">
        <v>44384</v>
      </c>
      <c r="E12319" t="s">
        <v>44385</v>
      </c>
      <c r="F12319" t="s">
        <v>13999</v>
      </c>
      <c r="G12319" t="s">
        <v>137</v>
      </c>
      <c r="H12319">
        <v>63447</v>
      </c>
      <c r="I12319" t="s">
        <v>30</v>
      </c>
      <c r="J12319" t="s">
        <v>41</v>
      </c>
      <c r="K12319" t="s">
        <v>229</v>
      </c>
      <c r="Q12319">
        <v>0</v>
      </c>
      <c r="R12319">
        <v>94</v>
      </c>
      <c r="S12319">
        <v>94</v>
      </c>
      <c r="T12319" t="s">
        <v>44386</v>
      </c>
    </row>
    <row r="12320" spans="1:20" customFormat="1" ht="15" x14ac:dyDescent="0.25">
      <c r="A12320" t="s">
        <v>35</v>
      </c>
      <c r="B12320" t="s">
        <v>61</v>
      </c>
      <c r="C12320" t="str">
        <f>"A0118359"</f>
        <v>A0118359</v>
      </c>
      <c r="D12320" t="s">
        <v>44387</v>
      </c>
      <c r="E12320" t="s">
        <v>44388</v>
      </c>
      <c r="F12320" t="s">
        <v>44389</v>
      </c>
      <c r="G12320" t="s">
        <v>110</v>
      </c>
      <c r="H12320">
        <v>940220000</v>
      </c>
      <c r="I12320" t="s">
        <v>30</v>
      </c>
      <c r="J12320" t="s">
        <v>41</v>
      </c>
      <c r="K12320" t="s">
        <v>59</v>
      </c>
      <c r="Q12320">
        <v>0</v>
      </c>
      <c r="R12320">
        <v>5</v>
      </c>
      <c r="S12320">
        <v>5</v>
      </c>
      <c r="T12320" t="s">
        <v>44390</v>
      </c>
    </row>
    <row r="12321" spans="1:20" customFormat="1" ht="15" x14ac:dyDescent="0.25">
      <c r="A12321" t="s">
        <v>35</v>
      </c>
      <c r="B12321" t="s">
        <v>61</v>
      </c>
      <c r="C12321" t="str">
        <f>"A0130836"</f>
        <v>A0130836</v>
      </c>
      <c r="D12321" t="s">
        <v>44391</v>
      </c>
      <c r="E12321" t="s">
        <v>44392</v>
      </c>
      <c r="F12321" t="s">
        <v>44393</v>
      </c>
      <c r="G12321" t="s">
        <v>137</v>
      </c>
      <c r="H12321">
        <v>657080000</v>
      </c>
      <c r="I12321" t="s">
        <v>30</v>
      </c>
      <c r="J12321" t="s">
        <v>41</v>
      </c>
      <c r="K12321" t="s">
        <v>229</v>
      </c>
      <c r="Q12321">
        <v>0</v>
      </c>
      <c r="R12321">
        <v>66</v>
      </c>
      <c r="S12321">
        <v>66</v>
      </c>
      <c r="T12321" t="s">
        <v>44394</v>
      </c>
    </row>
    <row r="12322" spans="1:20" customFormat="1" ht="15" x14ac:dyDescent="0.25">
      <c r="A12322" t="s">
        <v>35</v>
      </c>
      <c r="B12322" t="s">
        <v>61</v>
      </c>
      <c r="C12322" t="str">
        <f>"A0128766"</f>
        <v>A0128766</v>
      </c>
      <c r="D12322" t="s">
        <v>44395</v>
      </c>
      <c r="E12322" t="s">
        <v>44396</v>
      </c>
      <c r="F12322" t="s">
        <v>44397</v>
      </c>
      <c r="G12322" t="s">
        <v>1170</v>
      </c>
      <c r="H12322">
        <v>70760</v>
      </c>
      <c r="I12322" t="s">
        <v>30</v>
      </c>
      <c r="J12322" t="s">
        <v>41</v>
      </c>
      <c r="K12322" t="s">
        <v>59</v>
      </c>
      <c r="Q12322">
        <v>0</v>
      </c>
      <c r="R12322">
        <v>80</v>
      </c>
      <c r="S12322">
        <v>80</v>
      </c>
      <c r="T12322" t="s">
        <v>44398</v>
      </c>
    </row>
    <row r="12323" spans="1:20" customFormat="1" ht="15" x14ac:dyDescent="0.25">
      <c r="A12323" t="s">
        <v>35</v>
      </c>
      <c r="B12323" t="s">
        <v>61</v>
      </c>
      <c r="C12323" t="str">
        <f>"A0130138"</f>
        <v>A0130138</v>
      </c>
      <c r="D12323" t="s">
        <v>44399</v>
      </c>
      <c r="E12323" t="s">
        <v>44400</v>
      </c>
      <c r="F12323" t="s">
        <v>3748</v>
      </c>
      <c r="G12323" t="s">
        <v>71</v>
      </c>
      <c r="H12323">
        <v>54848</v>
      </c>
      <c r="I12323" t="s">
        <v>30</v>
      </c>
      <c r="J12323" t="s">
        <v>41</v>
      </c>
      <c r="K12323" t="s">
        <v>229</v>
      </c>
      <c r="Q12323">
        <v>0</v>
      </c>
      <c r="R12323">
        <v>62</v>
      </c>
      <c r="S12323">
        <v>62</v>
      </c>
      <c r="T12323" t="s">
        <v>44401</v>
      </c>
    </row>
    <row r="12324" spans="1:20" customFormat="1" ht="15" x14ac:dyDescent="0.25">
      <c r="A12324" t="s">
        <v>35</v>
      </c>
      <c r="B12324" t="s">
        <v>61</v>
      </c>
      <c r="C12324" t="str">
        <f>"A0125595"</f>
        <v>A0125595</v>
      </c>
      <c r="D12324" t="s">
        <v>44402</v>
      </c>
      <c r="E12324" t="s">
        <v>44403</v>
      </c>
      <c r="F12324" t="s">
        <v>5061</v>
      </c>
      <c r="G12324" t="s">
        <v>1170</v>
      </c>
      <c r="H12324">
        <v>70501</v>
      </c>
      <c r="I12324" t="s">
        <v>30</v>
      </c>
      <c r="J12324" t="s">
        <v>41</v>
      </c>
      <c r="K12324" t="s">
        <v>229</v>
      </c>
      <c r="Q12324">
        <v>0</v>
      </c>
      <c r="R12324">
        <v>60</v>
      </c>
      <c r="S12324">
        <v>60</v>
      </c>
      <c r="T12324" t="s">
        <v>44404</v>
      </c>
    </row>
    <row r="12325" spans="1:20" customFormat="1" ht="15" x14ac:dyDescent="0.25">
      <c r="A12325" t="s">
        <v>35</v>
      </c>
      <c r="B12325" t="s">
        <v>61</v>
      </c>
      <c r="C12325" t="str">
        <f>"A0124662"</f>
        <v>A0124662</v>
      </c>
      <c r="D12325" t="s">
        <v>44405</v>
      </c>
      <c r="E12325" t="s">
        <v>44406</v>
      </c>
      <c r="F12325" t="s">
        <v>5061</v>
      </c>
      <c r="G12325" t="s">
        <v>1706</v>
      </c>
      <c r="H12325">
        <v>368620000</v>
      </c>
      <c r="I12325" t="s">
        <v>30</v>
      </c>
      <c r="J12325" t="s">
        <v>41</v>
      </c>
      <c r="K12325" t="s">
        <v>229</v>
      </c>
      <c r="Q12325">
        <v>0</v>
      </c>
      <c r="R12325">
        <v>45</v>
      </c>
      <c r="S12325">
        <v>45</v>
      </c>
      <c r="T12325" t="s">
        <v>44407</v>
      </c>
    </row>
    <row r="12326" spans="1:20" customFormat="1" ht="15" x14ac:dyDescent="0.25">
      <c r="A12326" t="s">
        <v>35</v>
      </c>
      <c r="B12326" t="s">
        <v>61</v>
      </c>
      <c r="C12326" t="str">
        <f>"A0128760"</f>
        <v>A0128760</v>
      </c>
      <c r="D12326" t="s">
        <v>44408</v>
      </c>
      <c r="E12326" t="s">
        <v>44409</v>
      </c>
      <c r="F12326" t="s">
        <v>7095</v>
      </c>
      <c r="G12326" t="s">
        <v>1170</v>
      </c>
      <c r="H12326">
        <v>70126</v>
      </c>
      <c r="I12326" t="s">
        <v>30</v>
      </c>
      <c r="J12326" t="s">
        <v>41</v>
      </c>
      <c r="K12326" t="s">
        <v>229</v>
      </c>
      <c r="Q12326">
        <v>0</v>
      </c>
      <c r="R12326">
        <v>85</v>
      </c>
      <c r="S12326">
        <v>85</v>
      </c>
      <c r="T12326" t="s">
        <v>44410</v>
      </c>
    </row>
    <row r="12327" spans="1:20" customFormat="1" ht="15" x14ac:dyDescent="0.25">
      <c r="A12327" t="s">
        <v>35</v>
      </c>
      <c r="B12327" t="s">
        <v>437</v>
      </c>
      <c r="C12327" t="str">
        <f>"A0133859"</f>
        <v>A0133859</v>
      </c>
      <c r="D12327" t="s">
        <v>44411</v>
      </c>
      <c r="E12327" t="s">
        <v>44412</v>
      </c>
      <c r="F12327" t="s">
        <v>902</v>
      </c>
      <c r="G12327" t="s">
        <v>221</v>
      </c>
      <c r="H12327">
        <v>89105</v>
      </c>
      <c r="I12327" t="s">
        <v>30</v>
      </c>
      <c r="J12327" t="s">
        <v>441</v>
      </c>
      <c r="K12327" t="s">
        <v>37340</v>
      </c>
      <c r="Q12327">
        <v>0</v>
      </c>
      <c r="R12327">
        <v>0</v>
      </c>
      <c r="S12327">
        <v>0</v>
      </c>
      <c r="T12327" t="s">
        <v>44413</v>
      </c>
    </row>
    <row r="12328" spans="1:20" customFormat="1" ht="15" x14ac:dyDescent="0.25">
      <c r="A12328" t="s">
        <v>35</v>
      </c>
      <c r="B12328" t="s">
        <v>10553</v>
      </c>
      <c r="C12328" t="str">
        <f>"A0126278"</f>
        <v>A0126278</v>
      </c>
      <c r="D12328" t="s">
        <v>44414</v>
      </c>
      <c r="E12328" t="s">
        <v>44415</v>
      </c>
      <c r="F12328" t="s">
        <v>10287</v>
      </c>
      <c r="G12328" t="s">
        <v>81</v>
      </c>
      <c r="H12328">
        <v>34761</v>
      </c>
      <c r="I12328" t="s">
        <v>30</v>
      </c>
      <c r="J12328" t="s">
        <v>41</v>
      </c>
      <c r="K12328" t="s">
        <v>229</v>
      </c>
      <c r="Q12328">
        <v>0</v>
      </c>
      <c r="R12328">
        <v>120</v>
      </c>
      <c r="S12328">
        <v>120</v>
      </c>
      <c r="T12328" t="s">
        <v>44416</v>
      </c>
    </row>
    <row r="12329" spans="1:20" customFormat="1" ht="15" x14ac:dyDescent="0.25">
      <c r="A12329" t="s">
        <v>35</v>
      </c>
      <c r="B12329" t="s">
        <v>61</v>
      </c>
      <c r="C12329" t="str">
        <f>"A0131814"</f>
        <v>A0131814</v>
      </c>
      <c r="D12329" t="s">
        <v>44417</v>
      </c>
      <c r="E12329" t="s">
        <v>44418</v>
      </c>
      <c r="F12329" t="s">
        <v>44419</v>
      </c>
      <c r="G12329" t="s">
        <v>65</v>
      </c>
      <c r="H12329">
        <v>44060</v>
      </c>
      <c r="I12329" t="s">
        <v>30</v>
      </c>
      <c r="J12329" t="s">
        <v>41</v>
      </c>
      <c r="K12329" t="s">
        <v>112</v>
      </c>
      <c r="Q12329">
        <v>0</v>
      </c>
      <c r="R12329">
        <v>88</v>
      </c>
      <c r="S12329">
        <v>88</v>
      </c>
      <c r="T12329" t="s">
        <v>44420</v>
      </c>
    </row>
    <row r="12330" spans="1:20" customFormat="1" ht="15" x14ac:dyDescent="0.25">
      <c r="A12330" t="s">
        <v>35</v>
      </c>
      <c r="B12330" t="s">
        <v>61</v>
      </c>
      <c r="C12330" t="str">
        <f>"A0125469"</f>
        <v>A0125469</v>
      </c>
      <c r="D12330" t="s">
        <v>44421</v>
      </c>
      <c r="E12330" t="s">
        <v>44422</v>
      </c>
      <c r="F12330" t="s">
        <v>44423</v>
      </c>
      <c r="G12330" t="s">
        <v>40</v>
      </c>
      <c r="H12330">
        <v>74964</v>
      </c>
      <c r="I12330" t="s">
        <v>30</v>
      </c>
      <c r="J12330" t="s">
        <v>41</v>
      </c>
      <c r="K12330" t="s">
        <v>59</v>
      </c>
      <c r="Q12330">
        <v>0</v>
      </c>
      <c r="R12330">
        <v>40</v>
      </c>
      <c r="S12330">
        <v>40</v>
      </c>
      <c r="T12330" t="s">
        <v>44424</v>
      </c>
    </row>
    <row r="12331" spans="1:20" customFormat="1" ht="15" x14ac:dyDescent="0.25">
      <c r="A12331" t="s">
        <v>35</v>
      </c>
      <c r="B12331" t="s">
        <v>61</v>
      </c>
      <c r="C12331" t="str">
        <f>"A0128920"</f>
        <v>A0128920</v>
      </c>
      <c r="D12331" t="s">
        <v>44425</v>
      </c>
      <c r="E12331" t="s">
        <v>44426</v>
      </c>
      <c r="F12331" t="s">
        <v>44427</v>
      </c>
      <c r="G12331" t="s">
        <v>71</v>
      </c>
      <c r="H12331">
        <v>531470000</v>
      </c>
      <c r="I12331" t="s">
        <v>30</v>
      </c>
      <c r="J12331" t="s">
        <v>41</v>
      </c>
      <c r="K12331" t="s">
        <v>42</v>
      </c>
      <c r="Q12331">
        <v>0</v>
      </c>
      <c r="R12331">
        <v>200</v>
      </c>
      <c r="S12331">
        <v>200</v>
      </c>
      <c r="T12331" t="s">
        <v>44428</v>
      </c>
    </row>
    <row r="12332" spans="1:20" customFormat="1" ht="15" x14ac:dyDescent="0.25">
      <c r="A12332" t="s">
        <v>35</v>
      </c>
      <c r="B12332" t="s">
        <v>106</v>
      </c>
      <c r="C12332" t="str">
        <f>"A0135329"</f>
        <v>A0135329</v>
      </c>
      <c r="D12332" t="s">
        <v>44429</v>
      </c>
      <c r="E12332" t="s">
        <v>44430</v>
      </c>
      <c r="F12332" t="s">
        <v>44431</v>
      </c>
      <c r="G12332" t="s">
        <v>117</v>
      </c>
      <c r="H12332">
        <v>40045</v>
      </c>
      <c r="I12332" t="s">
        <v>30</v>
      </c>
      <c r="J12332" t="s">
        <v>111</v>
      </c>
      <c r="K12332" t="s">
        <v>10012</v>
      </c>
      <c r="Q12332">
        <v>0</v>
      </c>
      <c r="R12332">
        <v>0</v>
      </c>
      <c r="S12332">
        <v>0</v>
      </c>
      <c r="T12332" t="s">
        <v>44432</v>
      </c>
    </row>
    <row r="12333" spans="1:20" customFormat="1" ht="15" x14ac:dyDescent="0.25">
      <c r="A12333" t="s">
        <v>35</v>
      </c>
      <c r="B12333" t="s">
        <v>61</v>
      </c>
      <c r="C12333" t="str">
        <f>"A0123128"</f>
        <v>A0123128</v>
      </c>
      <c r="D12333" t="s">
        <v>44433</v>
      </c>
      <c r="E12333" t="s">
        <v>44434</v>
      </c>
      <c r="F12333" t="s">
        <v>44435</v>
      </c>
      <c r="G12333" t="s">
        <v>137</v>
      </c>
      <c r="H12333">
        <v>650650000</v>
      </c>
      <c r="I12333" t="s">
        <v>30</v>
      </c>
      <c r="J12333" t="s">
        <v>41</v>
      </c>
      <c r="K12333" t="s">
        <v>3713</v>
      </c>
      <c r="Q12333">
        <v>0</v>
      </c>
      <c r="R12333">
        <v>99</v>
      </c>
      <c r="S12333">
        <v>99</v>
      </c>
      <c r="T12333" t="s">
        <v>44436</v>
      </c>
    </row>
    <row r="12334" spans="1:20" customFormat="1" ht="15" x14ac:dyDescent="0.25">
      <c r="A12334" t="s">
        <v>35</v>
      </c>
      <c r="B12334" t="s">
        <v>61</v>
      </c>
      <c r="C12334" t="str">
        <f>"A0127728"</f>
        <v>A0127728</v>
      </c>
      <c r="D12334" t="s">
        <v>44437</v>
      </c>
      <c r="E12334" t="s">
        <v>44438</v>
      </c>
      <c r="F12334" t="s">
        <v>27125</v>
      </c>
      <c r="G12334" t="s">
        <v>117</v>
      </c>
      <c r="H12334">
        <v>48362</v>
      </c>
      <c r="I12334" t="s">
        <v>30</v>
      </c>
      <c r="J12334" t="s">
        <v>41</v>
      </c>
      <c r="K12334" t="s">
        <v>229</v>
      </c>
      <c r="Q12334">
        <v>0</v>
      </c>
      <c r="R12334">
        <v>120</v>
      </c>
      <c r="S12334">
        <v>120</v>
      </c>
      <c r="T12334" t="s">
        <v>44439</v>
      </c>
    </row>
    <row r="12335" spans="1:20" customFormat="1" ht="15" x14ac:dyDescent="0.25">
      <c r="A12335" t="s">
        <v>35</v>
      </c>
      <c r="B12335" t="s">
        <v>61</v>
      </c>
      <c r="C12335" t="str">
        <f>"A0123850"</f>
        <v>A0123850</v>
      </c>
      <c r="D12335" t="s">
        <v>18964</v>
      </c>
      <c r="E12335" t="s">
        <v>44440</v>
      </c>
      <c r="F12335" t="s">
        <v>15409</v>
      </c>
      <c r="G12335" t="s">
        <v>29</v>
      </c>
      <c r="H12335">
        <v>23434</v>
      </c>
      <c r="I12335" t="s">
        <v>30</v>
      </c>
      <c r="J12335" t="s">
        <v>41</v>
      </c>
      <c r="K12335" t="s">
        <v>482</v>
      </c>
      <c r="Q12335">
        <v>0</v>
      </c>
      <c r="R12335">
        <v>90</v>
      </c>
      <c r="S12335">
        <v>90</v>
      </c>
      <c r="T12335" t="s">
        <v>44441</v>
      </c>
    </row>
    <row r="12336" spans="1:20" customFormat="1" ht="15" x14ac:dyDescent="0.25">
      <c r="A12336" t="s">
        <v>35</v>
      </c>
      <c r="B12336" t="s">
        <v>61</v>
      </c>
      <c r="C12336" t="str">
        <f>"A0123851"</f>
        <v>A0123851</v>
      </c>
      <c r="D12336" t="s">
        <v>44442</v>
      </c>
      <c r="E12336" t="s">
        <v>44443</v>
      </c>
      <c r="F12336" t="s">
        <v>15622</v>
      </c>
      <c r="G12336" t="s">
        <v>29</v>
      </c>
      <c r="H12336">
        <v>23502</v>
      </c>
      <c r="I12336" t="s">
        <v>30</v>
      </c>
      <c r="J12336" t="s">
        <v>41</v>
      </c>
      <c r="K12336" t="s">
        <v>229</v>
      </c>
      <c r="Q12336">
        <v>0</v>
      </c>
      <c r="R12336">
        <v>192</v>
      </c>
      <c r="S12336">
        <v>192</v>
      </c>
      <c r="T12336" t="s">
        <v>44444</v>
      </c>
    </row>
    <row r="12337" spans="1:20" customFormat="1" ht="15" x14ac:dyDescent="0.25">
      <c r="A12337" t="s">
        <v>35</v>
      </c>
      <c r="B12337" t="s">
        <v>61</v>
      </c>
      <c r="C12337" t="str">
        <f>"A0126257"</f>
        <v>A0126257</v>
      </c>
      <c r="D12337" t="s">
        <v>44445</v>
      </c>
      <c r="E12337" t="s">
        <v>44446</v>
      </c>
      <c r="F12337" t="s">
        <v>3653</v>
      </c>
      <c r="G12337" t="s">
        <v>81</v>
      </c>
      <c r="H12337">
        <v>33701</v>
      </c>
      <c r="I12337" t="s">
        <v>30</v>
      </c>
      <c r="J12337" t="s">
        <v>41</v>
      </c>
      <c r="K12337" t="s">
        <v>59</v>
      </c>
      <c r="Q12337">
        <v>0</v>
      </c>
      <c r="R12337">
        <v>36</v>
      </c>
      <c r="S12337">
        <v>36</v>
      </c>
      <c r="T12337" t="s">
        <v>44447</v>
      </c>
    </row>
    <row r="12338" spans="1:20" customFormat="1" ht="15" x14ac:dyDescent="0.25">
      <c r="A12338" t="s">
        <v>35</v>
      </c>
      <c r="B12338" t="s">
        <v>61</v>
      </c>
      <c r="C12338" t="str">
        <f>"A0131435"</f>
        <v>A0131435</v>
      </c>
      <c r="D12338" t="s">
        <v>44448</v>
      </c>
      <c r="E12338" t="s">
        <v>44449</v>
      </c>
      <c r="F12338" t="s">
        <v>8249</v>
      </c>
      <c r="G12338" t="s">
        <v>137</v>
      </c>
      <c r="H12338">
        <v>646400000</v>
      </c>
      <c r="I12338" t="s">
        <v>30</v>
      </c>
      <c r="J12338" t="s">
        <v>41</v>
      </c>
      <c r="K12338" t="s">
        <v>229</v>
      </c>
      <c r="Q12338">
        <v>0</v>
      </c>
      <c r="R12338">
        <v>97</v>
      </c>
      <c r="S12338">
        <v>97</v>
      </c>
      <c r="T12338" t="s">
        <v>44450</v>
      </c>
    </row>
    <row r="12339" spans="1:20" customFormat="1" ht="15" x14ac:dyDescent="0.25">
      <c r="A12339" t="s">
        <v>35</v>
      </c>
      <c r="B12339" t="s">
        <v>61</v>
      </c>
      <c r="C12339" t="str">
        <f>"A0130945"</f>
        <v>A0130945</v>
      </c>
      <c r="D12339" t="s">
        <v>44451</v>
      </c>
      <c r="E12339" t="s">
        <v>44452</v>
      </c>
      <c r="F12339" t="s">
        <v>39222</v>
      </c>
      <c r="G12339" t="s">
        <v>85</v>
      </c>
      <c r="H12339">
        <v>716530000</v>
      </c>
      <c r="I12339" t="s">
        <v>30</v>
      </c>
      <c r="J12339" t="s">
        <v>41</v>
      </c>
      <c r="K12339" t="s">
        <v>2760</v>
      </c>
      <c r="Q12339">
        <v>0</v>
      </c>
      <c r="R12339">
        <v>1</v>
      </c>
      <c r="S12339">
        <v>1</v>
      </c>
      <c r="T12339" t="s">
        <v>44453</v>
      </c>
    </row>
    <row r="12340" spans="1:20" customFormat="1" ht="15" x14ac:dyDescent="0.25">
      <c r="A12340" t="s">
        <v>35</v>
      </c>
      <c r="B12340" t="s">
        <v>61</v>
      </c>
      <c r="C12340" t="str">
        <f>"A0133227"</f>
        <v>A0133227</v>
      </c>
      <c r="D12340" t="s">
        <v>44454</v>
      </c>
      <c r="E12340" t="s">
        <v>44455</v>
      </c>
      <c r="F12340" t="s">
        <v>853</v>
      </c>
      <c r="G12340" t="s">
        <v>52</v>
      </c>
      <c r="H12340">
        <v>761350000</v>
      </c>
      <c r="I12340" t="s">
        <v>30</v>
      </c>
      <c r="J12340" t="s">
        <v>41</v>
      </c>
      <c r="K12340" t="s">
        <v>229</v>
      </c>
      <c r="Q12340">
        <v>0</v>
      </c>
      <c r="R12340">
        <v>50</v>
      </c>
      <c r="S12340">
        <v>50</v>
      </c>
      <c r="T12340" t="s">
        <v>44456</v>
      </c>
    </row>
    <row r="12341" spans="1:20" customFormat="1" ht="15" x14ac:dyDescent="0.25">
      <c r="A12341" t="s">
        <v>35</v>
      </c>
      <c r="B12341" t="s">
        <v>106</v>
      </c>
      <c r="C12341" t="str">
        <f>"A0136274"</f>
        <v>A0136274</v>
      </c>
      <c r="D12341" t="s">
        <v>44457</v>
      </c>
      <c r="E12341" t="s">
        <v>44458</v>
      </c>
      <c r="F12341" t="s">
        <v>44459</v>
      </c>
      <c r="G12341" t="s">
        <v>65</v>
      </c>
      <c r="H12341">
        <v>440945198</v>
      </c>
      <c r="I12341" t="s">
        <v>30</v>
      </c>
      <c r="J12341" t="s">
        <v>111</v>
      </c>
      <c r="K12341" t="s">
        <v>112</v>
      </c>
      <c r="Q12341">
        <v>0</v>
      </c>
      <c r="R12341">
        <v>0</v>
      </c>
      <c r="S12341">
        <v>0</v>
      </c>
      <c r="T12341" t="s">
        <v>44460</v>
      </c>
    </row>
    <row r="12342" spans="1:20" customFormat="1" ht="15" x14ac:dyDescent="0.25">
      <c r="A12342" t="s">
        <v>35</v>
      </c>
      <c r="B12342" t="s">
        <v>61</v>
      </c>
      <c r="C12342" t="str">
        <f>"A0124227"</f>
        <v>A0124227</v>
      </c>
      <c r="D12342" t="s">
        <v>31507</v>
      </c>
      <c r="E12342" t="s">
        <v>44461</v>
      </c>
      <c r="F12342" t="s">
        <v>44462</v>
      </c>
      <c r="G12342" t="s">
        <v>338</v>
      </c>
      <c r="H12342">
        <v>7420</v>
      </c>
      <c r="I12342" t="s">
        <v>30</v>
      </c>
      <c r="J12342" t="s">
        <v>41</v>
      </c>
      <c r="K12342" t="s">
        <v>482</v>
      </c>
      <c r="Q12342">
        <v>0</v>
      </c>
      <c r="R12342">
        <v>195</v>
      </c>
      <c r="S12342">
        <v>195</v>
      </c>
      <c r="T12342" t="s">
        <v>44463</v>
      </c>
    </row>
    <row r="12343" spans="1:20" customFormat="1" ht="15" x14ac:dyDescent="0.25">
      <c r="A12343" t="s">
        <v>35</v>
      </c>
      <c r="B12343" t="s">
        <v>437</v>
      </c>
      <c r="C12343" t="str">
        <f>"A0154592"</f>
        <v>A0154592</v>
      </c>
      <c r="D12343" t="s">
        <v>44464</v>
      </c>
      <c r="E12343" t="s">
        <v>44465</v>
      </c>
      <c r="F12343" t="s">
        <v>20184</v>
      </c>
      <c r="G12343" t="s">
        <v>161</v>
      </c>
      <c r="H12343">
        <v>56401</v>
      </c>
      <c r="I12343" t="s">
        <v>30</v>
      </c>
      <c r="J12343" t="s">
        <v>441</v>
      </c>
      <c r="K12343" t="s">
        <v>2477</v>
      </c>
      <c r="Q12343">
        <v>0</v>
      </c>
      <c r="R12343">
        <v>0</v>
      </c>
      <c r="S12343">
        <v>0</v>
      </c>
      <c r="T12343" t="s">
        <v>44466</v>
      </c>
    </row>
    <row r="12344" spans="1:20" customFormat="1" ht="15" x14ac:dyDescent="0.25">
      <c r="A12344" t="s">
        <v>35</v>
      </c>
      <c r="B12344" t="s">
        <v>61</v>
      </c>
      <c r="C12344" t="str">
        <f>"A0123852"</f>
        <v>A0123852</v>
      </c>
      <c r="D12344" t="s">
        <v>44467</v>
      </c>
      <c r="E12344" t="s">
        <v>44468</v>
      </c>
      <c r="F12344" t="s">
        <v>44469</v>
      </c>
      <c r="G12344" t="s">
        <v>58</v>
      </c>
      <c r="H12344">
        <v>29585</v>
      </c>
      <c r="I12344" t="s">
        <v>30</v>
      </c>
      <c r="J12344" t="s">
        <v>41</v>
      </c>
      <c r="K12344" t="s">
        <v>59</v>
      </c>
      <c r="Q12344">
        <v>0</v>
      </c>
      <c r="R12344">
        <v>1</v>
      </c>
      <c r="S12344">
        <v>1</v>
      </c>
      <c r="T12344" t="s">
        <v>44470</v>
      </c>
    </row>
    <row r="12345" spans="1:20" customFormat="1" ht="15" x14ac:dyDescent="0.25">
      <c r="A12345" t="s">
        <v>35</v>
      </c>
      <c r="B12345" t="s">
        <v>61</v>
      </c>
      <c r="C12345" t="str">
        <f>"A0118829"</f>
        <v>A0118829</v>
      </c>
      <c r="D12345" t="s">
        <v>44471</v>
      </c>
      <c r="E12345" t="s">
        <v>44472</v>
      </c>
      <c r="F12345" t="s">
        <v>9128</v>
      </c>
      <c r="G12345" t="s">
        <v>110</v>
      </c>
      <c r="H12345">
        <v>94606</v>
      </c>
      <c r="I12345" t="s">
        <v>30</v>
      </c>
      <c r="J12345" t="s">
        <v>41</v>
      </c>
      <c r="K12345" t="s">
        <v>59</v>
      </c>
      <c r="Q12345">
        <v>0</v>
      </c>
      <c r="R12345">
        <v>40</v>
      </c>
      <c r="S12345">
        <v>40</v>
      </c>
      <c r="T12345" t="s">
        <v>44473</v>
      </c>
    </row>
    <row r="12346" spans="1:20" customFormat="1" ht="15" x14ac:dyDescent="0.25">
      <c r="A12346" t="s">
        <v>35</v>
      </c>
      <c r="B12346" t="s">
        <v>61</v>
      </c>
      <c r="C12346" t="str">
        <f>"A0130336"</f>
        <v>A0130336</v>
      </c>
      <c r="D12346" t="s">
        <v>44474</v>
      </c>
      <c r="E12346" t="s">
        <v>44475</v>
      </c>
      <c r="F12346" t="s">
        <v>44476</v>
      </c>
      <c r="G12346" t="s">
        <v>1898</v>
      </c>
      <c r="H12346">
        <v>50536</v>
      </c>
      <c r="I12346" t="s">
        <v>30</v>
      </c>
      <c r="J12346" t="s">
        <v>41</v>
      </c>
      <c r="K12346" t="s">
        <v>229</v>
      </c>
      <c r="Q12346">
        <v>0</v>
      </c>
      <c r="R12346">
        <v>55</v>
      </c>
      <c r="S12346">
        <v>55</v>
      </c>
      <c r="T12346" t="s">
        <v>44477</v>
      </c>
    </row>
    <row r="12347" spans="1:20" customFormat="1" ht="15" x14ac:dyDescent="0.25">
      <c r="A12347" t="s">
        <v>35</v>
      </c>
      <c r="B12347" t="s">
        <v>61</v>
      </c>
      <c r="C12347" t="str">
        <f>"A0117808"</f>
        <v>A0117808</v>
      </c>
      <c r="D12347" t="s">
        <v>44478</v>
      </c>
      <c r="E12347" t="s">
        <v>44479</v>
      </c>
      <c r="F12347" t="s">
        <v>906</v>
      </c>
      <c r="G12347" t="s">
        <v>221</v>
      </c>
      <c r="H12347">
        <v>89509</v>
      </c>
      <c r="I12347" t="s">
        <v>30</v>
      </c>
      <c r="J12347" t="s">
        <v>41</v>
      </c>
      <c r="K12347" t="s">
        <v>59</v>
      </c>
      <c r="Q12347">
        <v>0</v>
      </c>
      <c r="R12347">
        <v>80</v>
      </c>
      <c r="S12347">
        <v>80</v>
      </c>
      <c r="T12347" t="s">
        <v>44480</v>
      </c>
    </row>
    <row r="12348" spans="1:20" customFormat="1" ht="15" x14ac:dyDescent="0.25">
      <c r="A12348" t="s">
        <v>35</v>
      </c>
      <c r="B12348" t="s">
        <v>61</v>
      </c>
      <c r="C12348" t="str">
        <f>"A0121480"</f>
        <v>A0121480</v>
      </c>
      <c r="D12348" t="s">
        <v>44481</v>
      </c>
      <c r="E12348" t="s">
        <v>44482</v>
      </c>
      <c r="F12348" t="s">
        <v>9128</v>
      </c>
      <c r="G12348" t="s">
        <v>110</v>
      </c>
      <c r="H12348">
        <v>94610</v>
      </c>
      <c r="I12348" t="s">
        <v>30</v>
      </c>
      <c r="J12348" t="s">
        <v>41</v>
      </c>
      <c r="K12348" t="s">
        <v>59</v>
      </c>
      <c r="Q12348">
        <v>0</v>
      </c>
      <c r="R12348">
        <v>60</v>
      </c>
      <c r="S12348">
        <v>60</v>
      </c>
      <c r="T12348" t="s">
        <v>44483</v>
      </c>
    </row>
    <row r="12349" spans="1:20" customFormat="1" ht="15" x14ac:dyDescent="0.25">
      <c r="A12349" t="s">
        <v>35</v>
      </c>
      <c r="B12349" t="s">
        <v>61</v>
      </c>
      <c r="C12349" t="str">
        <f>"A0152958"</f>
        <v>A0152958</v>
      </c>
      <c r="D12349" t="s">
        <v>44484</v>
      </c>
      <c r="E12349" t="s">
        <v>44485</v>
      </c>
      <c r="F12349" t="s">
        <v>44486</v>
      </c>
      <c r="G12349" t="s">
        <v>1706</v>
      </c>
      <c r="H12349">
        <v>36875</v>
      </c>
      <c r="I12349" t="s">
        <v>30</v>
      </c>
      <c r="J12349" t="s">
        <v>41</v>
      </c>
      <c r="K12349" t="s">
        <v>42</v>
      </c>
      <c r="Q12349">
        <v>0</v>
      </c>
      <c r="R12349">
        <v>0</v>
      </c>
      <c r="S12349">
        <v>0</v>
      </c>
      <c r="T12349" t="s">
        <v>44487</v>
      </c>
    </row>
    <row r="12350" spans="1:20" customFormat="1" ht="15" x14ac:dyDescent="0.25">
      <c r="A12350" t="s">
        <v>35</v>
      </c>
      <c r="B12350" t="s">
        <v>44488</v>
      </c>
      <c r="C12350" t="str">
        <f>"A0128138"</f>
        <v>A0128138</v>
      </c>
      <c r="D12350" t="s">
        <v>44489</v>
      </c>
      <c r="E12350" t="s">
        <v>44490</v>
      </c>
      <c r="F12350" t="s">
        <v>13336</v>
      </c>
      <c r="G12350" t="s">
        <v>117</v>
      </c>
      <c r="H12350">
        <v>49015</v>
      </c>
      <c r="I12350" t="s">
        <v>30</v>
      </c>
      <c r="J12350" t="s">
        <v>41</v>
      </c>
      <c r="K12350" t="s">
        <v>59</v>
      </c>
      <c r="Q12350">
        <v>0</v>
      </c>
      <c r="R12350">
        <v>50</v>
      </c>
      <c r="S12350">
        <v>50</v>
      </c>
      <c r="T12350" t="s">
        <v>37300</v>
      </c>
    </row>
    <row r="12351" spans="1:20" customFormat="1" ht="15" x14ac:dyDescent="0.25">
      <c r="A12351" t="s">
        <v>35</v>
      </c>
      <c r="B12351" t="s">
        <v>61</v>
      </c>
      <c r="C12351" t="str">
        <f>"A0121312"</f>
        <v>A0121312</v>
      </c>
      <c r="D12351" t="s">
        <v>44491</v>
      </c>
      <c r="E12351" t="s">
        <v>44492</v>
      </c>
      <c r="F12351" t="s">
        <v>38643</v>
      </c>
      <c r="G12351" t="s">
        <v>153</v>
      </c>
      <c r="H12351">
        <v>84057</v>
      </c>
      <c r="I12351" t="s">
        <v>30</v>
      </c>
      <c r="J12351" t="s">
        <v>41</v>
      </c>
      <c r="K12351" t="s">
        <v>4020</v>
      </c>
      <c r="Q12351">
        <v>0</v>
      </c>
      <c r="R12351">
        <v>0</v>
      </c>
      <c r="S12351">
        <v>0</v>
      </c>
      <c r="T12351" t="s">
        <v>44493</v>
      </c>
    </row>
    <row r="12352" spans="1:20" customFormat="1" ht="15" x14ac:dyDescent="0.25">
      <c r="A12352" t="s">
        <v>35</v>
      </c>
      <c r="B12352" t="s">
        <v>61</v>
      </c>
      <c r="C12352" t="str">
        <f>"A0118514"</f>
        <v>A0118514</v>
      </c>
      <c r="D12352" t="s">
        <v>44494</v>
      </c>
      <c r="E12352" t="s">
        <v>44495</v>
      </c>
      <c r="F12352" t="s">
        <v>36171</v>
      </c>
      <c r="G12352" t="s">
        <v>110</v>
      </c>
      <c r="H12352">
        <v>940620000</v>
      </c>
      <c r="I12352" t="s">
        <v>30</v>
      </c>
      <c r="J12352" t="s">
        <v>41</v>
      </c>
      <c r="K12352" t="s">
        <v>59</v>
      </c>
      <c r="Q12352">
        <v>0</v>
      </c>
      <c r="R12352">
        <v>49</v>
      </c>
      <c r="S12352">
        <v>49</v>
      </c>
      <c r="T12352" t="s">
        <v>44496</v>
      </c>
    </row>
    <row r="12353" spans="1:20" customFormat="1" ht="15" x14ac:dyDescent="0.25">
      <c r="A12353" t="s">
        <v>35</v>
      </c>
      <c r="B12353" t="s">
        <v>61</v>
      </c>
      <c r="C12353" t="str">
        <f>"A0119330"</f>
        <v>A0119330</v>
      </c>
      <c r="D12353" t="s">
        <v>44497</v>
      </c>
      <c r="E12353" t="s">
        <v>44498</v>
      </c>
      <c r="F12353" t="s">
        <v>14856</v>
      </c>
      <c r="G12353" t="s">
        <v>110</v>
      </c>
      <c r="H12353">
        <v>92604</v>
      </c>
      <c r="I12353" t="s">
        <v>30</v>
      </c>
      <c r="J12353" t="s">
        <v>41</v>
      </c>
      <c r="K12353" t="s">
        <v>2760</v>
      </c>
      <c r="Q12353">
        <v>0</v>
      </c>
      <c r="R12353">
        <v>0</v>
      </c>
      <c r="S12353">
        <v>0</v>
      </c>
      <c r="T12353" t="s">
        <v>44499</v>
      </c>
    </row>
    <row r="12354" spans="1:20" customFormat="1" ht="15" x14ac:dyDescent="0.25">
      <c r="A12354" t="s">
        <v>35</v>
      </c>
      <c r="B12354" t="s">
        <v>61</v>
      </c>
      <c r="C12354" t="str">
        <f>"A0154673"</f>
        <v>A0154673</v>
      </c>
      <c r="D12354" t="s">
        <v>44500</v>
      </c>
      <c r="E12354" t="s">
        <v>44501</v>
      </c>
      <c r="F12354" t="s">
        <v>12216</v>
      </c>
      <c r="G12354" t="s">
        <v>81</v>
      </c>
      <c r="H12354">
        <v>32702</v>
      </c>
      <c r="I12354" t="s">
        <v>30</v>
      </c>
      <c r="J12354" t="s">
        <v>41</v>
      </c>
      <c r="K12354" t="s">
        <v>59</v>
      </c>
      <c r="Q12354">
        <v>0</v>
      </c>
      <c r="R12354">
        <v>240</v>
      </c>
      <c r="S12354">
        <v>240</v>
      </c>
      <c r="T12354" t="s">
        <v>44502</v>
      </c>
    </row>
    <row r="12355" spans="1:20" customFormat="1" ht="15" x14ac:dyDescent="0.25">
      <c r="A12355" t="s">
        <v>35</v>
      </c>
      <c r="B12355" t="s">
        <v>61</v>
      </c>
      <c r="C12355" t="str">
        <f>"A0117977"</f>
        <v>A0117977</v>
      </c>
      <c r="D12355" t="s">
        <v>44503</v>
      </c>
      <c r="E12355" t="s">
        <v>44504</v>
      </c>
      <c r="F12355" t="s">
        <v>7362</v>
      </c>
      <c r="G12355" t="s">
        <v>110</v>
      </c>
      <c r="H12355">
        <v>90057</v>
      </c>
      <c r="I12355" t="s">
        <v>30</v>
      </c>
      <c r="J12355" t="s">
        <v>41</v>
      </c>
      <c r="K12355" t="s">
        <v>229</v>
      </c>
      <c r="Q12355">
        <v>0</v>
      </c>
      <c r="R12355">
        <v>89</v>
      </c>
      <c r="S12355">
        <v>89</v>
      </c>
      <c r="T12355" t="s">
        <v>44505</v>
      </c>
    </row>
    <row r="12356" spans="1:20" customFormat="1" ht="15" x14ac:dyDescent="0.25">
      <c r="A12356" t="s">
        <v>35</v>
      </c>
      <c r="B12356" t="s">
        <v>61</v>
      </c>
      <c r="C12356" t="str">
        <f>"A0132854"</f>
        <v>A0132854</v>
      </c>
      <c r="D12356" t="s">
        <v>44506</v>
      </c>
      <c r="E12356" t="s">
        <v>44507</v>
      </c>
      <c r="F12356" t="s">
        <v>1948</v>
      </c>
      <c r="G12356" t="s">
        <v>65</v>
      </c>
      <c r="H12356">
        <v>44107</v>
      </c>
      <c r="I12356" t="s">
        <v>30</v>
      </c>
      <c r="J12356" t="s">
        <v>41</v>
      </c>
      <c r="K12356" t="s">
        <v>2760</v>
      </c>
      <c r="Q12356">
        <v>0</v>
      </c>
      <c r="R12356">
        <v>0</v>
      </c>
      <c r="S12356">
        <v>0</v>
      </c>
      <c r="T12356" t="s">
        <v>44508</v>
      </c>
    </row>
    <row r="12357" spans="1:20" customFormat="1" ht="15" x14ac:dyDescent="0.25">
      <c r="A12357" t="s">
        <v>35</v>
      </c>
      <c r="B12357" t="s">
        <v>61</v>
      </c>
      <c r="C12357" t="str">
        <f>"A0118917"</f>
        <v>A0118917</v>
      </c>
      <c r="D12357" t="s">
        <v>44509</v>
      </c>
      <c r="E12357" t="s">
        <v>44510</v>
      </c>
      <c r="F12357" t="s">
        <v>40564</v>
      </c>
      <c r="G12357" t="s">
        <v>110</v>
      </c>
      <c r="H12357">
        <v>90242</v>
      </c>
      <c r="I12357" t="s">
        <v>30</v>
      </c>
      <c r="J12357" t="s">
        <v>41</v>
      </c>
      <c r="K12357" t="s">
        <v>59</v>
      </c>
      <c r="Q12357">
        <v>0</v>
      </c>
      <c r="R12357">
        <v>160</v>
      </c>
      <c r="S12357">
        <v>160</v>
      </c>
      <c r="T12357" t="s">
        <v>44511</v>
      </c>
    </row>
    <row r="12358" spans="1:20" customFormat="1" ht="15" x14ac:dyDescent="0.25">
      <c r="A12358" t="s">
        <v>35</v>
      </c>
      <c r="B12358" t="s">
        <v>61</v>
      </c>
      <c r="C12358" t="str">
        <f>"A0130079"</f>
        <v>A0130079</v>
      </c>
      <c r="D12358" t="s">
        <v>44512</v>
      </c>
      <c r="E12358" t="s">
        <v>44513</v>
      </c>
      <c r="F12358" t="s">
        <v>14657</v>
      </c>
      <c r="G12358" t="s">
        <v>880</v>
      </c>
      <c r="H12358">
        <v>37774</v>
      </c>
      <c r="I12358" t="s">
        <v>30</v>
      </c>
      <c r="J12358" t="s">
        <v>41</v>
      </c>
      <c r="K12358" t="s">
        <v>59</v>
      </c>
      <c r="Q12358">
        <v>0</v>
      </c>
      <c r="R12358">
        <v>50</v>
      </c>
      <c r="S12358">
        <v>50</v>
      </c>
      <c r="T12358" t="s">
        <v>44514</v>
      </c>
    </row>
    <row r="12359" spans="1:20" customFormat="1" ht="15" x14ac:dyDescent="0.25">
      <c r="A12359" t="s">
        <v>35</v>
      </c>
      <c r="B12359" t="s">
        <v>61</v>
      </c>
      <c r="C12359" t="str">
        <f>"A0124229"</f>
        <v>A0124229</v>
      </c>
      <c r="D12359" t="s">
        <v>44515</v>
      </c>
      <c r="E12359" t="s">
        <v>44516</v>
      </c>
      <c r="F12359" t="s">
        <v>16521</v>
      </c>
      <c r="G12359" t="s">
        <v>197</v>
      </c>
      <c r="H12359">
        <v>85345</v>
      </c>
      <c r="I12359" t="s">
        <v>30</v>
      </c>
      <c r="J12359" t="s">
        <v>41</v>
      </c>
      <c r="K12359" t="s">
        <v>482</v>
      </c>
      <c r="Q12359">
        <v>0</v>
      </c>
      <c r="R12359">
        <v>115</v>
      </c>
      <c r="S12359">
        <v>115</v>
      </c>
      <c r="T12359" t="s">
        <v>44517</v>
      </c>
    </row>
    <row r="12360" spans="1:20" customFormat="1" ht="15" x14ac:dyDescent="0.25">
      <c r="A12360" t="s">
        <v>35</v>
      </c>
      <c r="B12360" t="s">
        <v>61</v>
      </c>
      <c r="C12360" t="str">
        <f>"A0124230"</f>
        <v>A0124230</v>
      </c>
      <c r="D12360" t="s">
        <v>44518</v>
      </c>
      <c r="E12360" t="s">
        <v>44519</v>
      </c>
      <c r="F12360" t="s">
        <v>1795</v>
      </c>
      <c r="G12360" t="s">
        <v>381</v>
      </c>
      <c r="H12360">
        <v>47374</v>
      </c>
      <c r="I12360" t="s">
        <v>30</v>
      </c>
      <c r="J12360" t="s">
        <v>41</v>
      </c>
      <c r="K12360" t="s">
        <v>482</v>
      </c>
      <c r="Q12360">
        <v>0</v>
      </c>
      <c r="R12360">
        <v>89</v>
      </c>
      <c r="S12360">
        <v>89</v>
      </c>
      <c r="T12360" t="s">
        <v>44520</v>
      </c>
    </row>
    <row r="12361" spans="1:20" customFormat="1" ht="15" x14ac:dyDescent="0.25">
      <c r="A12361" t="s">
        <v>35</v>
      </c>
      <c r="B12361" t="s">
        <v>61</v>
      </c>
      <c r="C12361" t="str">
        <f>"A0124234"</f>
        <v>A0124234</v>
      </c>
      <c r="D12361" t="s">
        <v>44521</v>
      </c>
      <c r="E12361" t="s">
        <v>44519</v>
      </c>
      <c r="F12361" t="s">
        <v>1795</v>
      </c>
      <c r="G12361" t="s">
        <v>381</v>
      </c>
      <c r="H12361">
        <v>47374</v>
      </c>
      <c r="I12361" t="s">
        <v>30</v>
      </c>
      <c r="J12361" t="s">
        <v>41</v>
      </c>
      <c r="K12361" t="s">
        <v>482</v>
      </c>
      <c r="Q12361">
        <v>0</v>
      </c>
      <c r="R12361">
        <v>89</v>
      </c>
      <c r="S12361">
        <v>89</v>
      </c>
      <c r="T12361" t="s">
        <v>44520</v>
      </c>
    </row>
    <row r="12362" spans="1:20" customFormat="1" ht="15" x14ac:dyDescent="0.25">
      <c r="A12362" t="s">
        <v>35</v>
      </c>
      <c r="B12362" t="s">
        <v>61</v>
      </c>
      <c r="C12362" t="str">
        <f>"A0123854"</f>
        <v>A0123854</v>
      </c>
      <c r="D12362" t="s">
        <v>44522</v>
      </c>
      <c r="E12362" t="s">
        <v>44523</v>
      </c>
      <c r="F12362" t="s">
        <v>2770</v>
      </c>
      <c r="G12362" t="s">
        <v>65</v>
      </c>
      <c r="H12362">
        <v>44708</v>
      </c>
      <c r="I12362" t="s">
        <v>30</v>
      </c>
      <c r="J12362" t="s">
        <v>41</v>
      </c>
      <c r="K12362" t="s">
        <v>59</v>
      </c>
      <c r="Q12362">
        <v>0</v>
      </c>
      <c r="R12362">
        <v>80</v>
      </c>
      <c r="S12362">
        <v>80</v>
      </c>
      <c r="T12362" t="s">
        <v>44524</v>
      </c>
    </row>
    <row r="12363" spans="1:20" customFormat="1" ht="15" x14ac:dyDescent="0.25">
      <c r="A12363" t="s">
        <v>35</v>
      </c>
      <c r="B12363" t="s">
        <v>61</v>
      </c>
      <c r="C12363" t="str">
        <f>"A0121256"</f>
        <v>A0121256</v>
      </c>
      <c r="D12363" t="s">
        <v>44525</v>
      </c>
      <c r="E12363" t="s">
        <v>44526</v>
      </c>
      <c r="F12363" t="s">
        <v>1378</v>
      </c>
      <c r="G12363" t="s">
        <v>110</v>
      </c>
      <c r="H12363">
        <v>91767</v>
      </c>
      <c r="I12363" t="s">
        <v>30</v>
      </c>
      <c r="J12363" t="s">
        <v>41</v>
      </c>
      <c r="K12363" t="s">
        <v>2468</v>
      </c>
      <c r="Q12363">
        <v>0</v>
      </c>
      <c r="R12363">
        <v>95</v>
      </c>
      <c r="S12363">
        <v>95</v>
      </c>
      <c r="T12363" t="s">
        <v>44527</v>
      </c>
    </row>
    <row r="12364" spans="1:20" customFormat="1" ht="15" x14ac:dyDescent="0.25">
      <c r="A12364" t="s">
        <v>35</v>
      </c>
      <c r="B12364" t="s">
        <v>61</v>
      </c>
      <c r="C12364" t="str">
        <f>"A0118099"</f>
        <v>A0118099</v>
      </c>
      <c r="D12364" t="s">
        <v>44528</v>
      </c>
      <c r="E12364" t="s">
        <v>44529</v>
      </c>
      <c r="F12364" t="s">
        <v>7534</v>
      </c>
      <c r="G12364" t="s">
        <v>1587</v>
      </c>
      <c r="H12364">
        <v>88220</v>
      </c>
      <c r="I12364" t="s">
        <v>30</v>
      </c>
      <c r="J12364" t="s">
        <v>41</v>
      </c>
      <c r="K12364" t="s">
        <v>229</v>
      </c>
      <c r="Q12364">
        <v>0</v>
      </c>
      <c r="R12364">
        <v>140</v>
      </c>
      <c r="S12364">
        <v>140</v>
      </c>
      <c r="T12364" t="s">
        <v>44530</v>
      </c>
    </row>
    <row r="12365" spans="1:20" customFormat="1" ht="15" x14ac:dyDescent="0.25">
      <c r="A12365" t="s">
        <v>35</v>
      </c>
      <c r="B12365" t="s">
        <v>61</v>
      </c>
      <c r="C12365" t="str">
        <f>"A0132334"</f>
        <v>A0132334</v>
      </c>
      <c r="D12365" t="s">
        <v>44531</v>
      </c>
      <c r="E12365" t="s">
        <v>44532</v>
      </c>
      <c r="F12365" t="s">
        <v>44533</v>
      </c>
      <c r="G12365" t="s">
        <v>65</v>
      </c>
      <c r="H12365">
        <v>45424</v>
      </c>
      <c r="I12365" t="s">
        <v>30</v>
      </c>
      <c r="J12365" t="s">
        <v>41</v>
      </c>
      <c r="K12365" t="s">
        <v>59</v>
      </c>
      <c r="Q12365">
        <v>0</v>
      </c>
      <c r="R12365">
        <v>78</v>
      </c>
      <c r="S12365">
        <v>78</v>
      </c>
      <c r="T12365" t="s">
        <v>44534</v>
      </c>
    </row>
    <row r="12366" spans="1:20" customFormat="1" ht="15" x14ac:dyDescent="0.25">
      <c r="A12366" t="s">
        <v>35</v>
      </c>
      <c r="B12366" t="s">
        <v>61</v>
      </c>
      <c r="C12366" t="str">
        <f>"A0132549"</f>
        <v>A0132549</v>
      </c>
      <c r="D12366" t="s">
        <v>44535</v>
      </c>
      <c r="E12366" t="s">
        <v>44536</v>
      </c>
      <c r="F12366" t="s">
        <v>21748</v>
      </c>
      <c r="G12366" t="s">
        <v>65</v>
      </c>
      <c r="H12366">
        <v>45365</v>
      </c>
      <c r="I12366" t="s">
        <v>30</v>
      </c>
      <c r="J12366" t="s">
        <v>41</v>
      </c>
      <c r="K12366" t="s">
        <v>59</v>
      </c>
      <c r="Q12366">
        <v>0</v>
      </c>
      <c r="R12366">
        <v>78</v>
      </c>
      <c r="S12366">
        <v>78</v>
      </c>
      <c r="T12366" t="s">
        <v>44537</v>
      </c>
    </row>
    <row r="12367" spans="1:20" customFormat="1" ht="15" x14ac:dyDescent="0.25">
      <c r="A12367" t="s">
        <v>35</v>
      </c>
      <c r="B12367" t="s">
        <v>61</v>
      </c>
      <c r="C12367" t="str">
        <f>"A0132873"</f>
        <v>A0132873</v>
      </c>
      <c r="D12367" t="s">
        <v>44538</v>
      </c>
      <c r="E12367" t="s">
        <v>44539</v>
      </c>
      <c r="F12367" t="s">
        <v>8428</v>
      </c>
      <c r="G12367" t="s">
        <v>65</v>
      </c>
      <c r="H12367">
        <v>43616</v>
      </c>
      <c r="I12367" t="s">
        <v>30</v>
      </c>
      <c r="J12367" t="s">
        <v>41</v>
      </c>
      <c r="K12367" t="s">
        <v>59</v>
      </c>
      <c r="Q12367">
        <v>0</v>
      </c>
      <c r="R12367">
        <v>78</v>
      </c>
      <c r="S12367">
        <v>78</v>
      </c>
      <c r="T12367" t="s">
        <v>44540</v>
      </c>
    </row>
    <row r="12368" spans="1:20" customFormat="1" ht="15" x14ac:dyDescent="0.25">
      <c r="A12368" t="s">
        <v>35</v>
      </c>
      <c r="B12368" t="s">
        <v>106</v>
      </c>
      <c r="C12368" t="str">
        <f>"A0135952"</f>
        <v>A0135952</v>
      </c>
      <c r="D12368" t="s">
        <v>44541</v>
      </c>
      <c r="E12368" t="s">
        <v>37059</v>
      </c>
      <c r="F12368" t="s">
        <v>14693</v>
      </c>
      <c r="G12368" t="s">
        <v>110</v>
      </c>
      <c r="H12368">
        <v>92834</v>
      </c>
      <c r="I12368" t="s">
        <v>30</v>
      </c>
      <c r="J12368" t="s">
        <v>111</v>
      </c>
      <c r="K12368" t="s">
        <v>10012</v>
      </c>
      <c r="Q12368">
        <v>0</v>
      </c>
      <c r="R12368">
        <v>0</v>
      </c>
      <c r="S12368">
        <v>0</v>
      </c>
      <c r="T12368" t="s">
        <v>37060</v>
      </c>
    </row>
    <row r="12369" spans="1:20" customFormat="1" ht="15" x14ac:dyDescent="0.25">
      <c r="A12369" t="s">
        <v>35</v>
      </c>
      <c r="B12369" t="s">
        <v>61</v>
      </c>
      <c r="C12369" t="str">
        <f>"A0126434"</f>
        <v>A0126434</v>
      </c>
      <c r="D12369" t="s">
        <v>44542</v>
      </c>
      <c r="E12369" t="s">
        <v>44543</v>
      </c>
      <c r="F12369" t="s">
        <v>4645</v>
      </c>
      <c r="G12369" t="s">
        <v>81</v>
      </c>
      <c r="H12369">
        <v>32226</v>
      </c>
      <c r="I12369" t="s">
        <v>30</v>
      </c>
      <c r="J12369" t="s">
        <v>41</v>
      </c>
      <c r="K12369" t="s">
        <v>229</v>
      </c>
      <c r="Q12369">
        <v>0</v>
      </c>
      <c r="R12369">
        <v>120</v>
      </c>
      <c r="S12369">
        <v>120</v>
      </c>
      <c r="T12369" t="s">
        <v>44544</v>
      </c>
    </row>
    <row r="12370" spans="1:20" customFormat="1" ht="15" x14ac:dyDescent="0.25">
      <c r="A12370" t="s">
        <v>35</v>
      </c>
      <c r="B12370" t="s">
        <v>61</v>
      </c>
      <c r="C12370" t="str">
        <f>"A0121858"</f>
        <v>A0121858</v>
      </c>
      <c r="D12370" t="s">
        <v>44545</v>
      </c>
      <c r="E12370" t="s">
        <v>44546</v>
      </c>
      <c r="F12370" t="s">
        <v>44547</v>
      </c>
      <c r="G12370" t="s">
        <v>110</v>
      </c>
      <c r="H12370">
        <v>92071</v>
      </c>
      <c r="I12370" t="s">
        <v>30</v>
      </c>
      <c r="J12370" t="s">
        <v>41</v>
      </c>
      <c r="K12370" t="s">
        <v>229</v>
      </c>
      <c r="Q12370">
        <v>0</v>
      </c>
      <c r="R12370">
        <v>182</v>
      </c>
      <c r="S12370">
        <v>182</v>
      </c>
      <c r="T12370" t="s">
        <v>44548</v>
      </c>
    </row>
    <row r="12371" spans="1:20" customFormat="1" ht="15" x14ac:dyDescent="0.25">
      <c r="A12371" t="s">
        <v>35</v>
      </c>
      <c r="B12371" t="s">
        <v>61</v>
      </c>
      <c r="C12371" t="str">
        <f>"A0118057"</f>
        <v>A0118057</v>
      </c>
      <c r="D12371" t="s">
        <v>44549</v>
      </c>
      <c r="E12371" t="s">
        <v>44550</v>
      </c>
      <c r="F12371" t="s">
        <v>24486</v>
      </c>
      <c r="G12371" t="s">
        <v>190</v>
      </c>
      <c r="H12371">
        <v>81506</v>
      </c>
      <c r="I12371" t="s">
        <v>30</v>
      </c>
      <c r="J12371" t="s">
        <v>41</v>
      </c>
      <c r="K12371" t="s">
        <v>229</v>
      </c>
      <c r="Q12371">
        <v>0</v>
      </c>
      <c r="R12371">
        <v>98</v>
      </c>
      <c r="S12371">
        <v>98</v>
      </c>
      <c r="T12371" t="s">
        <v>44551</v>
      </c>
    </row>
    <row r="12372" spans="1:20" customFormat="1" ht="15" x14ac:dyDescent="0.25">
      <c r="A12372" t="s">
        <v>35</v>
      </c>
      <c r="B12372" t="s">
        <v>61</v>
      </c>
      <c r="C12372" t="str">
        <f>"A0125348"</f>
        <v>A0125348</v>
      </c>
      <c r="D12372" t="s">
        <v>44552</v>
      </c>
      <c r="E12372" t="s">
        <v>44553</v>
      </c>
      <c r="F12372" t="s">
        <v>17557</v>
      </c>
      <c r="G12372" t="s">
        <v>40</v>
      </c>
      <c r="H12372">
        <v>74301</v>
      </c>
      <c r="I12372" t="s">
        <v>30</v>
      </c>
      <c r="J12372" t="s">
        <v>41</v>
      </c>
      <c r="K12372" t="s">
        <v>59</v>
      </c>
      <c r="Q12372">
        <v>0</v>
      </c>
      <c r="R12372">
        <v>34</v>
      </c>
      <c r="S12372">
        <v>34</v>
      </c>
      <c r="T12372" t="s">
        <v>44554</v>
      </c>
    </row>
    <row r="12373" spans="1:20" customFormat="1" ht="15" x14ac:dyDescent="0.25">
      <c r="A12373" t="s">
        <v>35</v>
      </c>
      <c r="B12373" t="s">
        <v>61</v>
      </c>
      <c r="C12373" t="str">
        <f>"A0117799"</f>
        <v>A0117799</v>
      </c>
      <c r="D12373" t="s">
        <v>44555</v>
      </c>
      <c r="E12373" t="s">
        <v>44556</v>
      </c>
      <c r="F12373" t="s">
        <v>32439</v>
      </c>
      <c r="G12373" t="s">
        <v>110</v>
      </c>
      <c r="H12373">
        <v>95382</v>
      </c>
      <c r="I12373" t="s">
        <v>30</v>
      </c>
      <c r="J12373" t="s">
        <v>41</v>
      </c>
      <c r="K12373" t="s">
        <v>59</v>
      </c>
      <c r="Q12373">
        <v>0</v>
      </c>
      <c r="R12373">
        <v>79</v>
      </c>
      <c r="S12373">
        <v>79</v>
      </c>
      <c r="T12373" t="s">
        <v>44557</v>
      </c>
    </row>
    <row r="12374" spans="1:20" customFormat="1" ht="15" x14ac:dyDescent="0.25">
      <c r="A12374" t="s">
        <v>35</v>
      </c>
      <c r="B12374" t="s">
        <v>61</v>
      </c>
      <c r="C12374" t="str">
        <f>"A0128699"</f>
        <v>A0128699</v>
      </c>
      <c r="D12374" t="s">
        <v>44558</v>
      </c>
      <c r="E12374" t="s">
        <v>44559</v>
      </c>
      <c r="F12374" t="s">
        <v>44560</v>
      </c>
      <c r="G12374" t="s">
        <v>1170</v>
      </c>
      <c r="H12374">
        <v>713420000</v>
      </c>
      <c r="I12374" t="s">
        <v>30</v>
      </c>
      <c r="J12374" t="s">
        <v>41</v>
      </c>
      <c r="K12374" t="s">
        <v>229</v>
      </c>
      <c r="Q12374">
        <v>0</v>
      </c>
      <c r="R12374">
        <v>103</v>
      </c>
      <c r="S12374">
        <v>103</v>
      </c>
      <c r="T12374" t="s">
        <v>44561</v>
      </c>
    </row>
    <row r="12375" spans="1:20" customFormat="1" ht="15" x14ac:dyDescent="0.25">
      <c r="A12375" t="s">
        <v>35</v>
      </c>
      <c r="B12375" t="s">
        <v>61</v>
      </c>
      <c r="C12375" t="str">
        <f>"A0125284"</f>
        <v>A0125284</v>
      </c>
      <c r="D12375" t="s">
        <v>44562</v>
      </c>
      <c r="E12375" t="s">
        <v>44563</v>
      </c>
      <c r="F12375" t="s">
        <v>44564</v>
      </c>
      <c r="G12375" t="s">
        <v>40</v>
      </c>
      <c r="H12375">
        <v>74578</v>
      </c>
      <c r="I12375" t="s">
        <v>30</v>
      </c>
      <c r="J12375" t="s">
        <v>41</v>
      </c>
      <c r="K12375" t="s">
        <v>229</v>
      </c>
      <c r="Q12375">
        <v>0</v>
      </c>
      <c r="R12375">
        <v>48</v>
      </c>
      <c r="S12375">
        <v>48</v>
      </c>
      <c r="T12375" t="s">
        <v>44565</v>
      </c>
    </row>
    <row r="12376" spans="1:20" customFormat="1" ht="15" x14ac:dyDescent="0.25">
      <c r="A12376" t="s">
        <v>35</v>
      </c>
      <c r="B12376" t="s">
        <v>61</v>
      </c>
      <c r="C12376" t="str">
        <f>"A0121239"</f>
        <v>A0121239</v>
      </c>
      <c r="D12376" t="s">
        <v>44566</v>
      </c>
      <c r="E12376" t="s">
        <v>44567</v>
      </c>
      <c r="F12376" t="s">
        <v>44568</v>
      </c>
      <c r="G12376" t="s">
        <v>153</v>
      </c>
      <c r="H12376">
        <v>84655</v>
      </c>
      <c r="I12376" t="s">
        <v>30</v>
      </c>
      <c r="J12376" t="s">
        <v>41</v>
      </c>
      <c r="K12376" t="s">
        <v>59</v>
      </c>
      <c r="Q12376">
        <v>0</v>
      </c>
      <c r="R12376">
        <v>20</v>
      </c>
      <c r="S12376">
        <v>20</v>
      </c>
      <c r="T12376" t="s">
        <v>44569</v>
      </c>
    </row>
    <row r="12377" spans="1:20" customFormat="1" ht="15" x14ac:dyDescent="0.25">
      <c r="A12377" t="s">
        <v>35</v>
      </c>
      <c r="B12377" t="s">
        <v>61</v>
      </c>
      <c r="C12377" t="str">
        <f>"A0124588"</f>
        <v>A0124588</v>
      </c>
      <c r="D12377" t="s">
        <v>44570</v>
      </c>
      <c r="E12377" t="s">
        <v>44571</v>
      </c>
      <c r="F12377" t="s">
        <v>44572</v>
      </c>
      <c r="G12377" t="s">
        <v>1706</v>
      </c>
      <c r="H12377">
        <v>356450000</v>
      </c>
      <c r="I12377" t="s">
        <v>30</v>
      </c>
      <c r="J12377" t="s">
        <v>41</v>
      </c>
      <c r="K12377" t="s">
        <v>229</v>
      </c>
      <c r="Q12377">
        <v>0</v>
      </c>
      <c r="R12377">
        <v>58</v>
      </c>
      <c r="S12377">
        <v>58</v>
      </c>
      <c r="T12377" t="s">
        <v>44573</v>
      </c>
    </row>
    <row r="12378" spans="1:20" customFormat="1" ht="15" x14ac:dyDescent="0.25">
      <c r="A12378" t="s">
        <v>35</v>
      </c>
      <c r="B12378" t="s">
        <v>61</v>
      </c>
      <c r="C12378" t="str">
        <f>"A0121266"</f>
        <v>A0121266</v>
      </c>
      <c r="D12378" t="s">
        <v>44574</v>
      </c>
      <c r="E12378" t="s">
        <v>44575</v>
      </c>
      <c r="F12378" t="s">
        <v>44576</v>
      </c>
      <c r="G12378" t="s">
        <v>153</v>
      </c>
      <c r="H12378">
        <v>84648</v>
      </c>
      <c r="I12378" t="s">
        <v>30</v>
      </c>
      <c r="J12378" t="s">
        <v>41</v>
      </c>
      <c r="K12378" t="s">
        <v>59</v>
      </c>
      <c r="Q12378">
        <v>0</v>
      </c>
      <c r="R12378">
        <v>29</v>
      </c>
      <c r="S12378">
        <v>29</v>
      </c>
      <c r="T12378" t="s">
        <v>44577</v>
      </c>
    </row>
    <row r="12379" spans="1:20" customFormat="1" ht="15" x14ac:dyDescent="0.25">
      <c r="A12379" t="s">
        <v>35</v>
      </c>
      <c r="B12379" t="s">
        <v>61</v>
      </c>
      <c r="C12379" t="str">
        <f>"A0121761"</f>
        <v>A0121761</v>
      </c>
      <c r="D12379" t="s">
        <v>44578</v>
      </c>
      <c r="E12379" t="s">
        <v>44579</v>
      </c>
      <c r="F12379" t="s">
        <v>8081</v>
      </c>
      <c r="G12379" t="s">
        <v>110</v>
      </c>
      <c r="H12379">
        <v>94115</v>
      </c>
      <c r="I12379" t="s">
        <v>30</v>
      </c>
      <c r="J12379" t="s">
        <v>41</v>
      </c>
      <c r="K12379" t="s">
        <v>229</v>
      </c>
      <c r="Q12379">
        <v>0</v>
      </c>
      <c r="R12379">
        <v>40</v>
      </c>
      <c r="S12379">
        <v>40</v>
      </c>
      <c r="T12379" t="s">
        <v>44580</v>
      </c>
    </row>
    <row r="12380" spans="1:20" customFormat="1" ht="15" x14ac:dyDescent="0.25">
      <c r="A12380" t="s">
        <v>35</v>
      </c>
      <c r="B12380" t="s">
        <v>61</v>
      </c>
      <c r="C12380" t="str">
        <f>"A0123856"</f>
        <v>A0123856</v>
      </c>
      <c r="D12380" t="s">
        <v>44581</v>
      </c>
      <c r="E12380" t="s">
        <v>44582</v>
      </c>
      <c r="F12380" t="s">
        <v>38076</v>
      </c>
      <c r="G12380" t="s">
        <v>214</v>
      </c>
      <c r="H12380">
        <v>27549</v>
      </c>
      <c r="I12380" t="s">
        <v>30</v>
      </c>
      <c r="J12380" t="s">
        <v>41</v>
      </c>
      <c r="K12380" t="s">
        <v>229</v>
      </c>
      <c r="Q12380">
        <v>0</v>
      </c>
      <c r="R12380">
        <v>56</v>
      </c>
      <c r="S12380">
        <v>56</v>
      </c>
      <c r="T12380" t="s">
        <v>44583</v>
      </c>
    </row>
    <row r="12381" spans="1:20" customFormat="1" ht="15" x14ac:dyDescent="0.25">
      <c r="A12381" t="s">
        <v>35</v>
      </c>
      <c r="B12381" t="s">
        <v>61</v>
      </c>
      <c r="C12381" t="str">
        <f>"A0124059"</f>
        <v>A0124059</v>
      </c>
      <c r="D12381" t="s">
        <v>44584</v>
      </c>
      <c r="E12381" t="s">
        <v>44585</v>
      </c>
      <c r="F12381" t="s">
        <v>64</v>
      </c>
      <c r="G12381" t="s">
        <v>214</v>
      </c>
      <c r="H12381">
        <v>28722</v>
      </c>
      <c r="I12381" t="s">
        <v>30</v>
      </c>
      <c r="J12381" t="s">
        <v>41</v>
      </c>
      <c r="K12381" t="s">
        <v>482</v>
      </c>
      <c r="Q12381">
        <v>0</v>
      </c>
      <c r="R12381">
        <v>100</v>
      </c>
      <c r="S12381">
        <v>100</v>
      </c>
      <c r="T12381" t="s">
        <v>44586</v>
      </c>
    </row>
    <row r="12382" spans="1:20" customFormat="1" ht="15" x14ac:dyDescent="0.25">
      <c r="A12382" t="s">
        <v>35</v>
      </c>
      <c r="B12382" t="s">
        <v>106</v>
      </c>
      <c r="C12382" t="str">
        <f>"A0136567"</f>
        <v>A0136567</v>
      </c>
      <c r="D12382" t="s">
        <v>44587</v>
      </c>
      <c r="E12382" t="s">
        <v>44588</v>
      </c>
      <c r="F12382" t="s">
        <v>6119</v>
      </c>
      <c r="G12382" t="s">
        <v>1184</v>
      </c>
      <c r="H12382">
        <v>59044</v>
      </c>
      <c r="I12382" t="s">
        <v>30</v>
      </c>
      <c r="J12382" t="s">
        <v>111</v>
      </c>
      <c r="K12382" t="s">
        <v>112</v>
      </c>
      <c r="Q12382">
        <v>0</v>
      </c>
      <c r="R12382">
        <v>0</v>
      </c>
      <c r="S12382">
        <v>0</v>
      </c>
      <c r="T12382" t="s">
        <v>44589</v>
      </c>
    </row>
    <row r="12383" spans="1:20" customFormat="1" ht="15" x14ac:dyDescent="0.25">
      <c r="A12383" t="s">
        <v>35</v>
      </c>
      <c r="B12383" t="s">
        <v>61</v>
      </c>
      <c r="C12383" t="str">
        <f>"A0129906"</f>
        <v>A0129906</v>
      </c>
      <c r="D12383" t="s">
        <v>44590</v>
      </c>
      <c r="E12383" t="s">
        <v>44591</v>
      </c>
      <c r="F12383" t="s">
        <v>3478</v>
      </c>
      <c r="G12383" t="s">
        <v>880</v>
      </c>
      <c r="H12383">
        <v>373219542</v>
      </c>
      <c r="I12383" t="s">
        <v>30</v>
      </c>
      <c r="J12383" t="s">
        <v>41</v>
      </c>
      <c r="K12383" t="s">
        <v>229</v>
      </c>
      <c r="Q12383">
        <v>0</v>
      </c>
      <c r="R12383">
        <v>49</v>
      </c>
      <c r="S12383">
        <v>49</v>
      </c>
      <c r="T12383" t="s">
        <v>44592</v>
      </c>
    </row>
    <row r="12384" spans="1:20" customFormat="1" ht="15" x14ac:dyDescent="0.25">
      <c r="A12384" t="s">
        <v>35</v>
      </c>
      <c r="B12384" t="s">
        <v>61</v>
      </c>
      <c r="C12384" t="str">
        <f>"A0124685"</f>
        <v>A0124685</v>
      </c>
      <c r="D12384" t="s">
        <v>44593</v>
      </c>
      <c r="E12384" t="s">
        <v>44594</v>
      </c>
      <c r="F12384" t="s">
        <v>12532</v>
      </c>
      <c r="G12384" t="s">
        <v>880</v>
      </c>
      <c r="H12384">
        <v>38301</v>
      </c>
      <c r="I12384" t="s">
        <v>30</v>
      </c>
      <c r="J12384" t="s">
        <v>41</v>
      </c>
      <c r="K12384" t="s">
        <v>229</v>
      </c>
      <c r="Q12384">
        <v>0</v>
      </c>
      <c r="R12384">
        <v>60</v>
      </c>
      <c r="S12384">
        <v>60</v>
      </c>
      <c r="T12384" t="s">
        <v>44595</v>
      </c>
    </row>
    <row r="12385" spans="1:20" customFormat="1" ht="15" x14ac:dyDescent="0.25">
      <c r="A12385" t="s">
        <v>35</v>
      </c>
      <c r="B12385" t="s">
        <v>61</v>
      </c>
      <c r="C12385" t="str">
        <f>"A0130519"</f>
        <v>A0130519</v>
      </c>
      <c r="D12385" t="s">
        <v>44596</v>
      </c>
      <c r="E12385" t="s">
        <v>44597</v>
      </c>
      <c r="F12385" t="s">
        <v>10645</v>
      </c>
      <c r="G12385" t="s">
        <v>1898</v>
      </c>
      <c r="H12385">
        <v>50554</v>
      </c>
      <c r="I12385" t="s">
        <v>30</v>
      </c>
      <c r="J12385" t="s">
        <v>41</v>
      </c>
      <c r="K12385" t="s">
        <v>229</v>
      </c>
      <c r="Q12385">
        <v>0</v>
      </c>
      <c r="R12385">
        <v>30</v>
      </c>
      <c r="S12385">
        <v>30</v>
      </c>
      <c r="T12385" t="s">
        <v>44598</v>
      </c>
    </row>
    <row r="12386" spans="1:20" customFormat="1" ht="15" x14ac:dyDescent="0.25">
      <c r="A12386" t="s">
        <v>35</v>
      </c>
      <c r="B12386" t="s">
        <v>61</v>
      </c>
      <c r="C12386" t="str">
        <f>"A0125096"</f>
        <v>A0125096</v>
      </c>
      <c r="D12386" t="s">
        <v>44599</v>
      </c>
      <c r="E12386" t="s">
        <v>44600</v>
      </c>
      <c r="F12386" t="s">
        <v>10645</v>
      </c>
      <c r="G12386" t="s">
        <v>58</v>
      </c>
      <c r="H12386">
        <v>29360</v>
      </c>
      <c r="I12386" t="s">
        <v>30</v>
      </c>
      <c r="J12386" t="s">
        <v>41</v>
      </c>
      <c r="K12386" t="s">
        <v>59</v>
      </c>
      <c r="Q12386">
        <v>0</v>
      </c>
      <c r="R12386">
        <v>34</v>
      </c>
      <c r="S12386">
        <v>34</v>
      </c>
      <c r="T12386" t="s">
        <v>44601</v>
      </c>
    </row>
    <row r="12387" spans="1:20" customFormat="1" ht="15" x14ac:dyDescent="0.25">
      <c r="A12387" t="s">
        <v>35</v>
      </c>
      <c r="B12387" t="s">
        <v>61</v>
      </c>
      <c r="C12387" t="str">
        <f>"A0131010"</f>
        <v>A0131010</v>
      </c>
      <c r="D12387" t="s">
        <v>44602</v>
      </c>
      <c r="E12387" t="s">
        <v>44603</v>
      </c>
      <c r="F12387" t="s">
        <v>44604</v>
      </c>
      <c r="G12387" t="s">
        <v>137</v>
      </c>
      <c r="H12387">
        <v>65038</v>
      </c>
      <c r="I12387" t="s">
        <v>30</v>
      </c>
      <c r="J12387" t="s">
        <v>41</v>
      </c>
      <c r="K12387" t="s">
        <v>229</v>
      </c>
      <c r="Q12387">
        <v>0</v>
      </c>
      <c r="R12387">
        <v>176</v>
      </c>
      <c r="S12387">
        <v>176</v>
      </c>
      <c r="T12387" t="s">
        <v>44605</v>
      </c>
    </row>
    <row r="12388" spans="1:20" customFormat="1" ht="15" x14ac:dyDescent="0.25">
      <c r="A12388" t="s">
        <v>35</v>
      </c>
      <c r="B12388" t="s">
        <v>61</v>
      </c>
      <c r="C12388" t="str">
        <f>"A0123857"</f>
        <v>A0123857</v>
      </c>
      <c r="D12388" t="s">
        <v>44606</v>
      </c>
      <c r="E12388" t="s">
        <v>44607</v>
      </c>
      <c r="F12388" t="s">
        <v>44608</v>
      </c>
      <c r="G12388" t="s">
        <v>103</v>
      </c>
      <c r="H12388">
        <v>18901</v>
      </c>
      <c r="I12388" t="s">
        <v>30</v>
      </c>
      <c r="J12388" t="s">
        <v>41</v>
      </c>
      <c r="K12388" t="s">
        <v>10880</v>
      </c>
      <c r="Q12388">
        <v>0</v>
      </c>
      <c r="R12388">
        <v>0</v>
      </c>
      <c r="S12388">
        <v>0</v>
      </c>
    </row>
    <row r="12389" spans="1:20" customFormat="1" ht="15" x14ac:dyDescent="0.25">
      <c r="A12389" t="s">
        <v>35</v>
      </c>
      <c r="B12389" t="s">
        <v>61</v>
      </c>
      <c r="C12389" t="str">
        <f>"A0128207"</f>
        <v>A0128207</v>
      </c>
      <c r="D12389" t="s">
        <v>44609</v>
      </c>
      <c r="E12389" t="s">
        <v>44610</v>
      </c>
      <c r="F12389" t="s">
        <v>17551</v>
      </c>
      <c r="G12389" t="s">
        <v>117</v>
      </c>
      <c r="H12389">
        <v>48076</v>
      </c>
      <c r="I12389" t="s">
        <v>30</v>
      </c>
      <c r="J12389" t="s">
        <v>41</v>
      </c>
      <c r="K12389" t="s">
        <v>290</v>
      </c>
      <c r="Q12389">
        <v>0</v>
      </c>
      <c r="R12389">
        <v>0</v>
      </c>
      <c r="S12389">
        <v>0</v>
      </c>
      <c r="T12389" t="s">
        <v>44611</v>
      </c>
    </row>
    <row r="12390" spans="1:20" customFormat="1" ht="15" x14ac:dyDescent="0.25">
      <c r="A12390" t="s">
        <v>35</v>
      </c>
      <c r="B12390" t="s">
        <v>61</v>
      </c>
      <c r="C12390" t="str">
        <f>"A0129523"</f>
        <v>A0129523</v>
      </c>
      <c r="D12390" t="s">
        <v>44612</v>
      </c>
      <c r="E12390" t="s">
        <v>44613</v>
      </c>
      <c r="F12390" t="s">
        <v>9960</v>
      </c>
      <c r="G12390" t="s">
        <v>289</v>
      </c>
      <c r="H12390">
        <v>62439</v>
      </c>
      <c r="I12390" t="s">
        <v>30</v>
      </c>
      <c r="J12390" t="s">
        <v>41</v>
      </c>
      <c r="K12390" t="s">
        <v>6300</v>
      </c>
      <c r="Q12390">
        <v>0</v>
      </c>
      <c r="R12390">
        <v>0</v>
      </c>
      <c r="S12390">
        <v>0</v>
      </c>
      <c r="T12390" t="s">
        <v>44614</v>
      </c>
    </row>
    <row r="12391" spans="1:20" customFormat="1" ht="15" x14ac:dyDescent="0.25">
      <c r="A12391" t="s">
        <v>35</v>
      </c>
      <c r="B12391" t="s">
        <v>61</v>
      </c>
      <c r="C12391" t="str">
        <f>"A0130755"</f>
        <v>A0130755</v>
      </c>
      <c r="D12391" t="s">
        <v>44615</v>
      </c>
      <c r="E12391" t="s">
        <v>44616</v>
      </c>
      <c r="F12391" t="s">
        <v>44617</v>
      </c>
      <c r="G12391" t="s">
        <v>3236</v>
      </c>
      <c r="H12391">
        <v>57732</v>
      </c>
      <c r="I12391" t="s">
        <v>30</v>
      </c>
      <c r="J12391" t="s">
        <v>41</v>
      </c>
      <c r="K12391" t="s">
        <v>9463</v>
      </c>
      <c r="Q12391">
        <v>0</v>
      </c>
      <c r="R12391">
        <v>0</v>
      </c>
      <c r="S12391">
        <v>0</v>
      </c>
      <c r="T12391" t="s">
        <v>44618</v>
      </c>
    </row>
    <row r="12392" spans="1:20" customFormat="1" ht="15" x14ac:dyDescent="0.25">
      <c r="A12392" t="s">
        <v>35</v>
      </c>
      <c r="B12392" t="s">
        <v>61</v>
      </c>
      <c r="C12392" t="str">
        <f>"A0125079"</f>
        <v>A0125079</v>
      </c>
      <c r="D12392" t="s">
        <v>44619</v>
      </c>
      <c r="E12392" t="s">
        <v>44620</v>
      </c>
      <c r="F12392" t="s">
        <v>1926</v>
      </c>
      <c r="G12392" t="s">
        <v>214</v>
      </c>
      <c r="H12392">
        <v>28227</v>
      </c>
      <c r="I12392" t="s">
        <v>30</v>
      </c>
      <c r="J12392" t="s">
        <v>41</v>
      </c>
      <c r="K12392" t="s">
        <v>59</v>
      </c>
      <c r="Q12392">
        <v>0</v>
      </c>
      <c r="R12392">
        <v>100</v>
      </c>
      <c r="S12392">
        <v>100</v>
      </c>
      <c r="T12392" t="s">
        <v>44621</v>
      </c>
    </row>
    <row r="12393" spans="1:20" customFormat="1" ht="15" x14ac:dyDescent="0.25">
      <c r="A12393" t="s">
        <v>35</v>
      </c>
      <c r="B12393" t="s">
        <v>61</v>
      </c>
      <c r="C12393" t="str">
        <f>"A0122688"</f>
        <v>A0122688</v>
      </c>
      <c r="D12393" t="s">
        <v>44622</v>
      </c>
      <c r="E12393" t="s">
        <v>44623</v>
      </c>
      <c r="F12393" t="s">
        <v>1039</v>
      </c>
      <c r="G12393" t="s">
        <v>76</v>
      </c>
      <c r="H12393">
        <v>98402</v>
      </c>
      <c r="I12393" t="s">
        <v>30</v>
      </c>
      <c r="J12393" t="s">
        <v>41</v>
      </c>
      <c r="K12393" t="s">
        <v>104</v>
      </c>
      <c r="Q12393">
        <v>0</v>
      </c>
      <c r="R12393">
        <v>1</v>
      </c>
      <c r="S12393">
        <v>1</v>
      </c>
      <c r="T12393" t="s">
        <v>44624</v>
      </c>
    </row>
    <row r="12394" spans="1:20" customFormat="1" ht="15" x14ac:dyDescent="0.25">
      <c r="A12394" t="s">
        <v>35</v>
      </c>
      <c r="B12394" t="s">
        <v>61</v>
      </c>
      <c r="C12394" t="str">
        <f>"A0124562"</f>
        <v>A0124562</v>
      </c>
      <c r="D12394" t="s">
        <v>44625</v>
      </c>
      <c r="E12394" t="s">
        <v>44626</v>
      </c>
      <c r="F12394" t="s">
        <v>44627</v>
      </c>
      <c r="G12394" t="s">
        <v>1369</v>
      </c>
      <c r="H12394">
        <v>39451</v>
      </c>
      <c r="I12394" t="s">
        <v>30</v>
      </c>
      <c r="J12394" t="s">
        <v>41</v>
      </c>
      <c r="K12394" t="s">
        <v>229</v>
      </c>
      <c r="Q12394">
        <v>0</v>
      </c>
      <c r="R12394">
        <v>60</v>
      </c>
      <c r="S12394">
        <v>60</v>
      </c>
      <c r="T12394" t="s">
        <v>44628</v>
      </c>
    </row>
    <row r="12395" spans="1:20" customFormat="1" ht="15" x14ac:dyDescent="0.25">
      <c r="A12395" t="s">
        <v>35</v>
      </c>
      <c r="B12395" t="s">
        <v>61</v>
      </c>
      <c r="C12395" t="str">
        <f>"A0123033"</f>
        <v>A0123033</v>
      </c>
      <c r="D12395" t="s">
        <v>44629</v>
      </c>
      <c r="E12395" t="s">
        <v>44630</v>
      </c>
      <c r="F12395" t="s">
        <v>12115</v>
      </c>
      <c r="G12395" t="s">
        <v>76</v>
      </c>
      <c r="H12395">
        <v>98901</v>
      </c>
      <c r="I12395" t="s">
        <v>30</v>
      </c>
      <c r="J12395" t="s">
        <v>41</v>
      </c>
      <c r="K12395" t="s">
        <v>66</v>
      </c>
      <c r="Q12395">
        <v>0</v>
      </c>
      <c r="R12395">
        <v>0</v>
      </c>
      <c r="S12395">
        <v>0</v>
      </c>
      <c r="T12395" t="s">
        <v>44631</v>
      </c>
    </row>
    <row r="12396" spans="1:20" customFormat="1" ht="15" x14ac:dyDescent="0.25">
      <c r="A12396" t="s">
        <v>35</v>
      </c>
      <c r="B12396" t="s">
        <v>61</v>
      </c>
      <c r="C12396" t="str">
        <f>"A0151583"</f>
        <v>A0151583</v>
      </c>
      <c r="D12396" t="s">
        <v>44632</v>
      </c>
      <c r="E12396" t="s">
        <v>44633</v>
      </c>
      <c r="F12396" t="s">
        <v>7312</v>
      </c>
      <c r="G12396" t="s">
        <v>65</v>
      </c>
      <c r="H12396">
        <v>44121</v>
      </c>
      <c r="I12396" t="s">
        <v>30</v>
      </c>
      <c r="J12396" t="s">
        <v>41</v>
      </c>
      <c r="K12396" t="s">
        <v>391</v>
      </c>
      <c r="Q12396">
        <v>0</v>
      </c>
      <c r="R12396">
        <v>0</v>
      </c>
      <c r="S12396">
        <v>0</v>
      </c>
      <c r="T12396" t="s">
        <v>34673</v>
      </c>
    </row>
    <row r="12397" spans="1:20" customFormat="1" ht="15" x14ac:dyDescent="0.25">
      <c r="A12397" t="s">
        <v>35</v>
      </c>
      <c r="B12397" t="s">
        <v>61</v>
      </c>
      <c r="C12397" t="str">
        <f>"A0129175"</f>
        <v>A0129175</v>
      </c>
      <c r="D12397" t="s">
        <v>44634</v>
      </c>
      <c r="E12397" t="s">
        <v>44635</v>
      </c>
      <c r="F12397" t="s">
        <v>44636</v>
      </c>
      <c r="G12397" t="s">
        <v>289</v>
      </c>
      <c r="H12397">
        <v>61607</v>
      </c>
      <c r="I12397" t="s">
        <v>30</v>
      </c>
      <c r="J12397" t="s">
        <v>41</v>
      </c>
      <c r="K12397" t="s">
        <v>391</v>
      </c>
      <c r="Q12397">
        <v>0</v>
      </c>
      <c r="R12397">
        <v>80</v>
      </c>
      <c r="S12397">
        <v>80</v>
      </c>
      <c r="T12397" t="s">
        <v>44637</v>
      </c>
    </row>
    <row r="12398" spans="1:20" customFormat="1" ht="15" x14ac:dyDescent="0.25">
      <c r="A12398" t="s">
        <v>35</v>
      </c>
      <c r="B12398" t="s">
        <v>61</v>
      </c>
      <c r="C12398" t="str">
        <f>"A0129531"</f>
        <v>A0129531</v>
      </c>
      <c r="D12398" t="s">
        <v>44638</v>
      </c>
      <c r="E12398" t="s">
        <v>44639</v>
      </c>
      <c r="F12398" t="s">
        <v>13843</v>
      </c>
      <c r="G12398" t="s">
        <v>289</v>
      </c>
      <c r="H12398">
        <v>61401</v>
      </c>
      <c r="I12398" t="s">
        <v>30</v>
      </c>
      <c r="J12398" t="s">
        <v>41</v>
      </c>
      <c r="K12398" t="s">
        <v>391</v>
      </c>
      <c r="Q12398">
        <v>0</v>
      </c>
      <c r="R12398">
        <v>80</v>
      </c>
      <c r="S12398">
        <v>80</v>
      </c>
      <c r="T12398" t="s">
        <v>44640</v>
      </c>
    </row>
    <row r="12399" spans="1:20" customFormat="1" ht="15" x14ac:dyDescent="0.25">
      <c r="A12399" t="s">
        <v>35</v>
      </c>
      <c r="B12399" t="s">
        <v>61</v>
      </c>
      <c r="C12399" t="str">
        <f>"A0124476"</f>
        <v>A0124476</v>
      </c>
      <c r="D12399" t="s">
        <v>44641</v>
      </c>
      <c r="E12399" t="s">
        <v>44642</v>
      </c>
      <c r="F12399" t="s">
        <v>36735</v>
      </c>
      <c r="G12399" t="s">
        <v>1706</v>
      </c>
      <c r="H12399">
        <v>368010000</v>
      </c>
      <c r="I12399" t="s">
        <v>30</v>
      </c>
      <c r="J12399" t="s">
        <v>41</v>
      </c>
      <c r="K12399" t="s">
        <v>66</v>
      </c>
      <c r="Q12399">
        <v>0</v>
      </c>
      <c r="R12399">
        <v>104</v>
      </c>
      <c r="S12399">
        <v>104</v>
      </c>
      <c r="T12399" t="s">
        <v>44643</v>
      </c>
    </row>
    <row r="12400" spans="1:20" customFormat="1" ht="15" x14ac:dyDescent="0.25">
      <c r="A12400" t="s">
        <v>35</v>
      </c>
      <c r="B12400" t="s">
        <v>61</v>
      </c>
      <c r="C12400" t="str">
        <f>"A0123859"</f>
        <v>A0123859</v>
      </c>
      <c r="D12400" t="s">
        <v>44644</v>
      </c>
      <c r="E12400" t="s">
        <v>44645</v>
      </c>
      <c r="F12400" t="s">
        <v>20179</v>
      </c>
      <c r="G12400" t="s">
        <v>29</v>
      </c>
      <c r="H12400">
        <v>22003</v>
      </c>
      <c r="I12400" t="s">
        <v>30</v>
      </c>
      <c r="J12400" t="s">
        <v>41</v>
      </c>
      <c r="K12400" t="s">
        <v>229</v>
      </c>
      <c r="Q12400">
        <v>0</v>
      </c>
      <c r="R12400">
        <v>176</v>
      </c>
      <c r="S12400">
        <v>176</v>
      </c>
      <c r="T12400" t="s">
        <v>44646</v>
      </c>
    </row>
    <row r="12401" spans="1:20" customFormat="1" ht="15" x14ac:dyDescent="0.25">
      <c r="A12401" t="s">
        <v>35</v>
      </c>
      <c r="B12401" t="s">
        <v>61</v>
      </c>
      <c r="C12401" t="str">
        <f>"A0121358"</f>
        <v>A0121358</v>
      </c>
      <c r="D12401" t="s">
        <v>44647</v>
      </c>
      <c r="E12401" t="s">
        <v>44648</v>
      </c>
      <c r="F12401" t="s">
        <v>26973</v>
      </c>
      <c r="G12401" t="s">
        <v>190</v>
      </c>
      <c r="H12401">
        <v>81212</v>
      </c>
      <c r="I12401" t="s">
        <v>30</v>
      </c>
      <c r="J12401" t="s">
        <v>41</v>
      </c>
      <c r="K12401" t="s">
        <v>59</v>
      </c>
      <c r="Q12401">
        <v>0</v>
      </c>
      <c r="R12401">
        <v>32</v>
      </c>
      <c r="S12401">
        <v>32</v>
      </c>
      <c r="T12401" t="s">
        <v>44649</v>
      </c>
    </row>
    <row r="12402" spans="1:20" customFormat="1" ht="15" x14ac:dyDescent="0.25">
      <c r="A12402" t="s">
        <v>35</v>
      </c>
      <c r="B12402" t="s">
        <v>61</v>
      </c>
      <c r="C12402" t="str">
        <f>"A0118236"</f>
        <v>A0118236</v>
      </c>
      <c r="D12402" t="s">
        <v>44650</v>
      </c>
      <c r="E12402" t="s">
        <v>44651</v>
      </c>
      <c r="F12402" t="s">
        <v>1989</v>
      </c>
      <c r="G12402" t="s">
        <v>153</v>
      </c>
      <c r="H12402">
        <v>84095</v>
      </c>
      <c r="I12402" t="s">
        <v>30</v>
      </c>
      <c r="J12402" t="s">
        <v>41</v>
      </c>
      <c r="K12402" t="s">
        <v>59</v>
      </c>
      <c r="Q12402">
        <v>0</v>
      </c>
      <c r="R12402">
        <v>86</v>
      </c>
      <c r="S12402">
        <v>86</v>
      </c>
      <c r="T12402" t="s">
        <v>44652</v>
      </c>
    </row>
    <row r="12403" spans="1:20" customFormat="1" ht="15" x14ac:dyDescent="0.25">
      <c r="A12403" t="s">
        <v>35</v>
      </c>
      <c r="B12403" t="s">
        <v>61</v>
      </c>
      <c r="C12403" t="str">
        <f>"A0121248"</f>
        <v>A0121248</v>
      </c>
      <c r="D12403" t="s">
        <v>44653</v>
      </c>
      <c r="E12403" t="s">
        <v>44654</v>
      </c>
      <c r="F12403" t="s">
        <v>36185</v>
      </c>
      <c r="G12403" t="s">
        <v>153</v>
      </c>
      <c r="H12403">
        <v>84660</v>
      </c>
      <c r="I12403" t="s">
        <v>30</v>
      </c>
      <c r="J12403" t="s">
        <v>41</v>
      </c>
      <c r="K12403" t="s">
        <v>59</v>
      </c>
      <c r="Q12403">
        <v>0</v>
      </c>
      <c r="R12403">
        <v>96</v>
      </c>
      <c r="S12403">
        <v>96</v>
      </c>
      <c r="T12403" t="s">
        <v>44655</v>
      </c>
    </row>
    <row r="12404" spans="1:20" customFormat="1" ht="15" x14ac:dyDescent="0.25">
      <c r="A12404" t="s">
        <v>35</v>
      </c>
      <c r="B12404" t="s">
        <v>61</v>
      </c>
      <c r="C12404" t="str">
        <f>"A0118671"</f>
        <v>A0118671</v>
      </c>
      <c r="D12404" t="s">
        <v>44656</v>
      </c>
      <c r="E12404" t="s">
        <v>44657</v>
      </c>
      <c r="F12404" t="s">
        <v>36362</v>
      </c>
      <c r="G12404" t="s">
        <v>110</v>
      </c>
      <c r="H12404">
        <v>94553</v>
      </c>
      <c r="I12404" t="s">
        <v>30</v>
      </c>
      <c r="J12404" t="s">
        <v>41</v>
      </c>
      <c r="K12404" t="s">
        <v>229</v>
      </c>
      <c r="Q12404">
        <v>0</v>
      </c>
      <c r="R12404">
        <v>90</v>
      </c>
      <c r="S12404">
        <v>90</v>
      </c>
      <c r="T12404" t="s">
        <v>44658</v>
      </c>
    </row>
    <row r="12405" spans="1:20" customFormat="1" ht="15" x14ac:dyDescent="0.25">
      <c r="A12405" t="s">
        <v>35</v>
      </c>
      <c r="B12405" t="s">
        <v>61</v>
      </c>
      <c r="C12405" t="str">
        <f>"A0126850"</f>
        <v>A0126850</v>
      </c>
      <c r="D12405" t="s">
        <v>44659</v>
      </c>
      <c r="E12405" t="s">
        <v>44660</v>
      </c>
      <c r="F12405" t="s">
        <v>11728</v>
      </c>
      <c r="G12405" t="s">
        <v>103</v>
      </c>
      <c r="H12405">
        <v>18103</v>
      </c>
      <c r="I12405" t="s">
        <v>30</v>
      </c>
      <c r="J12405" t="s">
        <v>41</v>
      </c>
      <c r="K12405" t="s">
        <v>59</v>
      </c>
      <c r="Q12405">
        <v>0</v>
      </c>
      <c r="R12405">
        <v>50</v>
      </c>
      <c r="S12405">
        <v>50</v>
      </c>
      <c r="T12405" t="s">
        <v>44661</v>
      </c>
    </row>
    <row r="12406" spans="1:20" customFormat="1" ht="15" x14ac:dyDescent="0.25">
      <c r="A12406" t="s">
        <v>35</v>
      </c>
      <c r="B12406" t="s">
        <v>61</v>
      </c>
      <c r="C12406" t="str">
        <f>"A0133016"</f>
        <v>A0133016</v>
      </c>
      <c r="D12406" t="s">
        <v>44662</v>
      </c>
      <c r="E12406" t="s">
        <v>44663</v>
      </c>
      <c r="F12406" t="s">
        <v>12228</v>
      </c>
      <c r="G12406" t="s">
        <v>52</v>
      </c>
      <c r="H12406">
        <v>79022</v>
      </c>
      <c r="I12406" t="s">
        <v>30</v>
      </c>
      <c r="J12406" t="s">
        <v>41</v>
      </c>
      <c r="K12406" t="s">
        <v>229</v>
      </c>
      <c r="Q12406">
        <v>0</v>
      </c>
      <c r="R12406">
        <v>100</v>
      </c>
      <c r="S12406">
        <v>100</v>
      </c>
      <c r="T12406" t="s">
        <v>44664</v>
      </c>
    </row>
    <row r="12407" spans="1:20" customFormat="1" ht="15" x14ac:dyDescent="0.25">
      <c r="A12407" t="s">
        <v>35</v>
      </c>
      <c r="B12407" t="s">
        <v>61</v>
      </c>
      <c r="C12407" t="str">
        <f>"A0118252"</f>
        <v>A0118252</v>
      </c>
      <c r="D12407" t="s">
        <v>44665</v>
      </c>
      <c r="E12407" t="s">
        <v>44666</v>
      </c>
      <c r="F12407" t="s">
        <v>29545</v>
      </c>
      <c r="G12407" t="s">
        <v>153</v>
      </c>
      <c r="H12407">
        <v>84118</v>
      </c>
      <c r="I12407" t="s">
        <v>30</v>
      </c>
      <c r="J12407" t="s">
        <v>41</v>
      </c>
      <c r="K12407" t="s">
        <v>229</v>
      </c>
      <c r="Q12407">
        <v>0</v>
      </c>
      <c r="R12407">
        <v>77</v>
      </c>
      <c r="S12407">
        <v>77</v>
      </c>
      <c r="T12407" t="s">
        <v>44667</v>
      </c>
    </row>
    <row r="12408" spans="1:20" customFormat="1" ht="15" x14ac:dyDescent="0.25">
      <c r="A12408" t="s">
        <v>35</v>
      </c>
      <c r="B12408" t="s">
        <v>61</v>
      </c>
      <c r="C12408" t="str">
        <f>"A0132323"</f>
        <v>A0132323</v>
      </c>
      <c r="D12408" t="s">
        <v>44668</v>
      </c>
      <c r="E12408" t="s">
        <v>44669</v>
      </c>
      <c r="F12408" t="s">
        <v>44670</v>
      </c>
      <c r="G12408" t="s">
        <v>65</v>
      </c>
      <c r="H12408">
        <v>44004</v>
      </c>
      <c r="I12408" t="s">
        <v>30</v>
      </c>
      <c r="J12408" t="s">
        <v>41</v>
      </c>
      <c r="K12408" t="s">
        <v>290</v>
      </c>
      <c r="Q12408">
        <v>0</v>
      </c>
      <c r="R12408">
        <v>0</v>
      </c>
      <c r="S12408">
        <v>0</v>
      </c>
      <c r="T12408" t="s">
        <v>44671</v>
      </c>
    </row>
    <row r="12409" spans="1:20" customFormat="1" ht="15" x14ac:dyDescent="0.25">
      <c r="A12409" t="s">
        <v>35</v>
      </c>
      <c r="B12409" t="s">
        <v>61</v>
      </c>
      <c r="C12409" t="str">
        <f>"A0128731"</f>
        <v>A0128731</v>
      </c>
      <c r="D12409" t="s">
        <v>44672</v>
      </c>
      <c r="E12409" t="s">
        <v>44673</v>
      </c>
      <c r="F12409" t="s">
        <v>44674</v>
      </c>
      <c r="G12409" t="s">
        <v>1170</v>
      </c>
      <c r="H12409">
        <v>71220</v>
      </c>
      <c r="I12409" t="s">
        <v>30</v>
      </c>
      <c r="J12409" t="s">
        <v>41</v>
      </c>
      <c r="K12409" t="s">
        <v>1440</v>
      </c>
      <c r="Q12409">
        <v>0</v>
      </c>
      <c r="R12409">
        <v>120</v>
      </c>
      <c r="S12409">
        <v>120</v>
      </c>
      <c r="T12409" t="s">
        <v>44675</v>
      </c>
    </row>
    <row r="12410" spans="1:20" customFormat="1" ht="15" x14ac:dyDescent="0.25">
      <c r="A12410" t="s">
        <v>35</v>
      </c>
      <c r="B12410" t="s">
        <v>61</v>
      </c>
      <c r="C12410" t="str">
        <f>"A0121554"</f>
        <v>A0121554</v>
      </c>
      <c r="D12410" t="s">
        <v>44676</v>
      </c>
      <c r="E12410" t="s">
        <v>44677</v>
      </c>
      <c r="F12410" t="s">
        <v>5742</v>
      </c>
      <c r="G12410" t="s">
        <v>110</v>
      </c>
      <c r="H12410">
        <v>95821</v>
      </c>
      <c r="I12410" t="s">
        <v>30</v>
      </c>
      <c r="J12410" t="s">
        <v>41</v>
      </c>
      <c r="K12410" t="s">
        <v>59</v>
      </c>
      <c r="Q12410">
        <v>0</v>
      </c>
      <c r="R12410">
        <v>100</v>
      </c>
      <c r="S12410">
        <v>100</v>
      </c>
      <c r="T12410" t="s">
        <v>44678</v>
      </c>
    </row>
    <row r="12411" spans="1:20" customFormat="1" ht="15" x14ac:dyDescent="0.25">
      <c r="A12411" t="s">
        <v>35</v>
      </c>
      <c r="B12411" t="s">
        <v>61</v>
      </c>
      <c r="C12411" t="str">
        <f>"A0124237"</f>
        <v>A0124237</v>
      </c>
      <c r="D12411" t="s">
        <v>44679</v>
      </c>
      <c r="E12411" t="s">
        <v>44519</v>
      </c>
      <c r="F12411" t="s">
        <v>1795</v>
      </c>
      <c r="G12411" t="s">
        <v>381</v>
      </c>
      <c r="H12411">
        <v>47374</v>
      </c>
      <c r="I12411" t="s">
        <v>30</v>
      </c>
      <c r="J12411" t="s">
        <v>41</v>
      </c>
      <c r="K12411" t="s">
        <v>482</v>
      </c>
      <c r="Q12411">
        <v>0</v>
      </c>
      <c r="R12411">
        <v>89</v>
      </c>
      <c r="S12411">
        <v>89</v>
      </c>
      <c r="T12411" t="s">
        <v>44520</v>
      </c>
    </row>
    <row r="12412" spans="1:20" customFormat="1" ht="15" x14ac:dyDescent="0.25">
      <c r="A12412" t="s">
        <v>35</v>
      </c>
      <c r="B12412" t="s">
        <v>106</v>
      </c>
      <c r="C12412" t="str">
        <f>"A0136291"</f>
        <v>A0136291</v>
      </c>
      <c r="D12412" t="s">
        <v>44680</v>
      </c>
      <c r="E12412" t="s">
        <v>44681</v>
      </c>
      <c r="F12412" t="s">
        <v>136</v>
      </c>
      <c r="G12412" t="s">
        <v>117</v>
      </c>
      <c r="H12412">
        <v>49221</v>
      </c>
      <c r="I12412" t="s">
        <v>30</v>
      </c>
      <c r="J12412" t="s">
        <v>111</v>
      </c>
      <c r="K12412" t="s">
        <v>112</v>
      </c>
      <c r="Q12412">
        <v>0</v>
      </c>
      <c r="R12412">
        <v>0</v>
      </c>
      <c r="S12412">
        <v>0</v>
      </c>
      <c r="T12412" t="s">
        <v>44682</v>
      </c>
    </row>
    <row r="12413" spans="1:20" customFormat="1" ht="15" x14ac:dyDescent="0.25">
      <c r="A12413" t="s">
        <v>35</v>
      </c>
      <c r="B12413" t="s">
        <v>61</v>
      </c>
      <c r="C12413" t="str">
        <f>"A0127321"</f>
        <v>A0127321</v>
      </c>
      <c r="D12413" t="s">
        <v>44683</v>
      </c>
      <c r="E12413" t="s">
        <v>44684</v>
      </c>
      <c r="F12413" t="s">
        <v>10276</v>
      </c>
      <c r="G12413" t="s">
        <v>846</v>
      </c>
      <c r="H12413">
        <v>30319</v>
      </c>
      <c r="I12413" t="s">
        <v>30</v>
      </c>
      <c r="J12413" t="s">
        <v>41</v>
      </c>
      <c r="K12413" t="s">
        <v>59</v>
      </c>
      <c r="Q12413">
        <v>0</v>
      </c>
      <c r="R12413">
        <v>60</v>
      </c>
      <c r="S12413">
        <v>60</v>
      </c>
      <c r="T12413" t="s">
        <v>44685</v>
      </c>
    </row>
    <row r="12414" spans="1:20" customFormat="1" ht="15" x14ac:dyDescent="0.25">
      <c r="A12414" t="s">
        <v>35</v>
      </c>
      <c r="B12414" t="s">
        <v>61</v>
      </c>
      <c r="C12414" t="str">
        <f>"A0123071"</f>
        <v>A0123071</v>
      </c>
      <c r="D12414" t="s">
        <v>44686</v>
      </c>
      <c r="E12414" t="s">
        <v>44687</v>
      </c>
      <c r="F12414" t="s">
        <v>44688</v>
      </c>
      <c r="G12414" t="s">
        <v>433</v>
      </c>
      <c r="H12414">
        <v>83605</v>
      </c>
      <c r="I12414" t="s">
        <v>30</v>
      </c>
      <c r="J12414" t="s">
        <v>41</v>
      </c>
      <c r="K12414" t="s">
        <v>1032</v>
      </c>
      <c r="Q12414">
        <v>0</v>
      </c>
      <c r="R12414">
        <v>108</v>
      </c>
      <c r="S12414">
        <v>108</v>
      </c>
      <c r="T12414" t="s">
        <v>44689</v>
      </c>
    </row>
    <row r="12415" spans="1:20" customFormat="1" ht="15" x14ac:dyDescent="0.25">
      <c r="A12415" t="s">
        <v>35</v>
      </c>
      <c r="B12415" t="s">
        <v>61</v>
      </c>
      <c r="C12415" t="str">
        <f>"A0123860"</f>
        <v>A0123860</v>
      </c>
      <c r="D12415" t="s">
        <v>44690</v>
      </c>
      <c r="E12415" t="s">
        <v>44691</v>
      </c>
      <c r="F12415" t="s">
        <v>44692</v>
      </c>
      <c r="G12415" t="s">
        <v>214</v>
      </c>
      <c r="H12415">
        <v>28572</v>
      </c>
      <c r="I12415" t="s">
        <v>30</v>
      </c>
      <c r="J12415" t="s">
        <v>41</v>
      </c>
      <c r="K12415" t="s">
        <v>482</v>
      </c>
      <c r="Q12415">
        <v>0</v>
      </c>
      <c r="R12415">
        <v>60</v>
      </c>
      <c r="S12415">
        <v>60</v>
      </c>
      <c r="T12415" t="s">
        <v>44693</v>
      </c>
    </row>
    <row r="12416" spans="1:20" customFormat="1" ht="15" x14ac:dyDescent="0.25">
      <c r="A12416" t="s">
        <v>35</v>
      </c>
      <c r="B12416" t="s">
        <v>61</v>
      </c>
      <c r="C12416" t="str">
        <f>"A0123453"</f>
        <v>A0123453</v>
      </c>
      <c r="D12416" t="s">
        <v>44694</v>
      </c>
      <c r="E12416" t="s">
        <v>44695</v>
      </c>
      <c r="F12416" t="s">
        <v>3685</v>
      </c>
      <c r="G12416" t="s">
        <v>214</v>
      </c>
      <c r="H12416">
        <v>27410</v>
      </c>
      <c r="I12416" t="s">
        <v>30</v>
      </c>
      <c r="J12416" t="s">
        <v>41</v>
      </c>
      <c r="K12416" t="s">
        <v>2477</v>
      </c>
      <c r="Q12416">
        <v>0</v>
      </c>
      <c r="R12416">
        <v>0</v>
      </c>
      <c r="S12416">
        <v>0</v>
      </c>
      <c r="T12416" t="s">
        <v>44696</v>
      </c>
    </row>
    <row r="12417" spans="1:20" customFormat="1" ht="15" x14ac:dyDescent="0.25">
      <c r="A12417" t="s">
        <v>35</v>
      </c>
      <c r="B12417" t="s">
        <v>437</v>
      </c>
      <c r="C12417" t="str">
        <f>"A0134018"</f>
        <v>A0134018</v>
      </c>
      <c r="D12417" t="s">
        <v>44697</v>
      </c>
      <c r="E12417" t="s">
        <v>44698</v>
      </c>
      <c r="F12417" t="s">
        <v>3180</v>
      </c>
      <c r="G12417" t="s">
        <v>99</v>
      </c>
      <c r="H12417">
        <v>13440</v>
      </c>
      <c r="I12417" t="s">
        <v>30</v>
      </c>
      <c r="J12417" t="s">
        <v>441</v>
      </c>
      <c r="K12417" t="s">
        <v>442</v>
      </c>
      <c r="Q12417">
        <v>0</v>
      </c>
      <c r="R12417">
        <v>0</v>
      </c>
      <c r="S12417">
        <v>0</v>
      </c>
      <c r="T12417" t="s">
        <v>7662</v>
      </c>
    </row>
    <row r="12418" spans="1:20" customFormat="1" ht="15" x14ac:dyDescent="0.25">
      <c r="A12418" t="s">
        <v>35</v>
      </c>
      <c r="B12418" t="s">
        <v>61</v>
      </c>
      <c r="C12418" t="str">
        <f>"A0124238"</f>
        <v>A0124238</v>
      </c>
      <c r="D12418" t="s">
        <v>44699</v>
      </c>
      <c r="E12418" t="s">
        <v>44700</v>
      </c>
      <c r="F12418" t="s">
        <v>14879</v>
      </c>
      <c r="G12418" t="s">
        <v>29</v>
      </c>
      <c r="H12418">
        <v>22101</v>
      </c>
      <c r="I12418" t="s">
        <v>30</v>
      </c>
      <c r="J12418" t="s">
        <v>41</v>
      </c>
      <c r="K12418" t="s">
        <v>229</v>
      </c>
      <c r="Q12418">
        <v>0</v>
      </c>
      <c r="R12418">
        <v>165</v>
      </c>
      <c r="S12418">
        <v>165</v>
      </c>
      <c r="T12418" t="s">
        <v>44701</v>
      </c>
    </row>
    <row r="12419" spans="1:20" customFormat="1" ht="15" x14ac:dyDescent="0.25">
      <c r="A12419" t="s">
        <v>35</v>
      </c>
      <c r="B12419" t="s">
        <v>61</v>
      </c>
      <c r="C12419" t="str">
        <f>"A0131141"</f>
        <v>A0131141</v>
      </c>
      <c r="D12419" t="s">
        <v>44702</v>
      </c>
      <c r="E12419" t="s">
        <v>44703</v>
      </c>
      <c r="F12419" t="s">
        <v>2770</v>
      </c>
      <c r="G12419" t="s">
        <v>137</v>
      </c>
      <c r="H12419">
        <v>634350000</v>
      </c>
      <c r="I12419" t="s">
        <v>30</v>
      </c>
      <c r="J12419" t="s">
        <v>41</v>
      </c>
      <c r="K12419" t="s">
        <v>229</v>
      </c>
      <c r="Q12419">
        <v>0</v>
      </c>
      <c r="R12419">
        <v>120</v>
      </c>
      <c r="S12419">
        <v>120</v>
      </c>
      <c r="T12419" t="s">
        <v>44704</v>
      </c>
    </row>
    <row r="12420" spans="1:20" customFormat="1" ht="15" x14ac:dyDescent="0.25">
      <c r="A12420" t="s">
        <v>35</v>
      </c>
      <c r="B12420" t="s">
        <v>61</v>
      </c>
      <c r="C12420" t="str">
        <f>"A0122670"</f>
        <v>A0122670</v>
      </c>
      <c r="D12420" t="s">
        <v>44705</v>
      </c>
      <c r="E12420" t="s">
        <v>44706</v>
      </c>
      <c r="F12420" t="s">
        <v>36533</v>
      </c>
      <c r="G12420" t="s">
        <v>76</v>
      </c>
      <c r="H12420">
        <v>98532</v>
      </c>
      <c r="I12420" t="s">
        <v>30</v>
      </c>
      <c r="J12420" t="s">
        <v>41</v>
      </c>
      <c r="K12420" t="s">
        <v>6300</v>
      </c>
      <c r="Q12420">
        <v>0</v>
      </c>
      <c r="R12420">
        <v>1</v>
      </c>
      <c r="S12420">
        <v>1</v>
      </c>
      <c r="T12420" t="s">
        <v>44707</v>
      </c>
    </row>
    <row r="12421" spans="1:20" customFormat="1" ht="15" x14ac:dyDescent="0.25">
      <c r="A12421" t="s">
        <v>35</v>
      </c>
      <c r="B12421" t="s">
        <v>61</v>
      </c>
      <c r="C12421" t="str">
        <f>"A0123454"</f>
        <v>A0123454</v>
      </c>
      <c r="D12421" t="s">
        <v>44708</v>
      </c>
      <c r="E12421" t="s">
        <v>44709</v>
      </c>
      <c r="F12421" t="s">
        <v>1689</v>
      </c>
      <c r="G12421" t="s">
        <v>214</v>
      </c>
      <c r="H12421">
        <v>27292</v>
      </c>
      <c r="I12421" t="s">
        <v>30</v>
      </c>
      <c r="J12421" t="s">
        <v>41</v>
      </c>
      <c r="K12421" t="s">
        <v>229</v>
      </c>
      <c r="Q12421">
        <v>0</v>
      </c>
      <c r="R12421">
        <v>110</v>
      </c>
      <c r="S12421">
        <v>110</v>
      </c>
      <c r="T12421" t="s">
        <v>44710</v>
      </c>
    </row>
    <row r="12422" spans="1:20" customFormat="1" ht="15" x14ac:dyDescent="0.25">
      <c r="A12422" t="s">
        <v>35</v>
      </c>
      <c r="B12422" t="s">
        <v>61</v>
      </c>
      <c r="C12422" t="str">
        <f>"A0125253"</f>
        <v>A0125253</v>
      </c>
      <c r="D12422" t="s">
        <v>44711</v>
      </c>
      <c r="E12422" t="s">
        <v>44712</v>
      </c>
      <c r="F12422" t="s">
        <v>1689</v>
      </c>
      <c r="G12422" t="s">
        <v>40</v>
      </c>
      <c r="H12422">
        <v>73051</v>
      </c>
      <c r="I12422" t="s">
        <v>30</v>
      </c>
      <c r="J12422" t="s">
        <v>41</v>
      </c>
      <c r="K12422" t="s">
        <v>229</v>
      </c>
      <c r="Q12422">
        <v>0</v>
      </c>
      <c r="R12422">
        <v>70</v>
      </c>
      <c r="S12422">
        <v>70</v>
      </c>
      <c r="T12422" t="s">
        <v>44713</v>
      </c>
    </row>
    <row r="12423" spans="1:20" customFormat="1" ht="15" x14ac:dyDescent="0.25">
      <c r="A12423" t="s">
        <v>35</v>
      </c>
      <c r="B12423" t="s">
        <v>61</v>
      </c>
      <c r="C12423" t="str">
        <f>"A0124060"</f>
        <v>A0124060</v>
      </c>
      <c r="D12423" t="s">
        <v>44714</v>
      </c>
      <c r="E12423" t="s">
        <v>44715</v>
      </c>
      <c r="F12423" t="s">
        <v>43129</v>
      </c>
      <c r="G12423" t="s">
        <v>29</v>
      </c>
      <c r="H12423">
        <v>24651</v>
      </c>
      <c r="I12423" t="s">
        <v>30</v>
      </c>
      <c r="J12423" t="s">
        <v>41</v>
      </c>
      <c r="K12423" t="s">
        <v>482</v>
      </c>
      <c r="Q12423">
        <v>0</v>
      </c>
      <c r="R12423">
        <v>60</v>
      </c>
      <c r="S12423">
        <v>60</v>
      </c>
      <c r="T12423" t="s">
        <v>44716</v>
      </c>
    </row>
    <row r="12424" spans="1:20" customFormat="1" ht="15" x14ac:dyDescent="0.25">
      <c r="A12424" t="s">
        <v>35</v>
      </c>
      <c r="B12424" t="s">
        <v>61</v>
      </c>
      <c r="C12424" t="str">
        <f>"A0130174"</f>
        <v>A0130174</v>
      </c>
      <c r="D12424" t="s">
        <v>44717</v>
      </c>
      <c r="E12424" t="s">
        <v>44718</v>
      </c>
      <c r="F12424" t="s">
        <v>5786</v>
      </c>
      <c r="G12424" t="s">
        <v>1898</v>
      </c>
      <c r="H12424">
        <v>52632</v>
      </c>
      <c r="I12424" t="s">
        <v>30</v>
      </c>
      <c r="J12424" t="s">
        <v>41</v>
      </c>
      <c r="K12424" t="s">
        <v>290</v>
      </c>
      <c r="Q12424">
        <v>0</v>
      </c>
      <c r="R12424">
        <v>0</v>
      </c>
      <c r="S12424">
        <v>0</v>
      </c>
      <c r="T12424" t="s">
        <v>44719</v>
      </c>
    </row>
    <row r="12425" spans="1:20" customFormat="1" ht="15" x14ac:dyDescent="0.25">
      <c r="A12425" t="s">
        <v>35</v>
      </c>
      <c r="B12425" t="s">
        <v>61</v>
      </c>
      <c r="C12425" t="str">
        <f>"A0124061"</f>
        <v>A0124061</v>
      </c>
      <c r="D12425" t="s">
        <v>44720</v>
      </c>
      <c r="E12425" t="s">
        <v>44721</v>
      </c>
      <c r="F12425" t="s">
        <v>8284</v>
      </c>
      <c r="G12425" t="s">
        <v>880</v>
      </c>
      <c r="H12425">
        <v>37604</v>
      </c>
      <c r="I12425" t="s">
        <v>30</v>
      </c>
      <c r="J12425" t="s">
        <v>41</v>
      </c>
      <c r="K12425" t="s">
        <v>59</v>
      </c>
      <c r="Q12425">
        <v>0</v>
      </c>
      <c r="R12425">
        <v>100</v>
      </c>
      <c r="S12425">
        <v>100</v>
      </c>
    </row>
    <row r="12426" spans="1:20" customFormat="1" ht="15" x14ac:dyDescent="0.25">
      <c r="A12426" t="s">
        <v>35</v>
      </c>
      <c r="B12426" t="s">
        <v>61</v>
      </c>
      <c r="C12426" t="str">
        <f>"A0118063"</f>
        <v>A0118063</v>
      </c>
      <c r="D12426" t="s">
        <v>44722</v>
      </c>
      <c r="E12426" t="s">
        <v>44723</v>
      </c>
      <c r="F12426" t="s">
        <v>12909</v>
      </c>
      <c r="G12426" t="s">
        <v>190</v>
      </c>
      <c r="H12426">
        <v>80120</v>
      </c>
      <c r="I12426" t="s">
        <v>30</v>
      </c>
      <c r="J12426" t="s">
        <v>41</v>
      </c>
      <c r="K12426" t="s">
        <v>59</v>
      </c>
      <c r="Q12426">
        <v>0</v>
      </c>
      <c r="R12426">
        <v>100</v>
      </c>
      <c r="S12426">
        <v>100</v>
      </c>
      <c r="T12426" t="s">
        <v>44724</v>
      </c>
    </row>
    <row r="12427" spans="1:20" customFormat="1" ht="15" x14ac:dyDescent="0.25">
      <c r="A12427" t="s">
        <v>35</v>
      </c>
      <c r="B12427" t="s">
        <v>61</v>
      </c>
      <c r="C12427" t="str">
        <f>"A0151239"</f>
        <v>A0151239</v>
      </c>
      <c r="D12427" t="s">
        <v>44725</v>
      </c>
      <c r="E12427" t="s">
        <v>44726</v>
      </c>
      <c r="F12427" t="s">
        <v>37184</v>
      </c>
      <c r="G12427" t="s">
        <v>137</v>
      </c>
      <c r="H12427">
        <v>63020</v>
      </c>
      <c r="I12427" t="s">
        <v>30</v>
      </c>
      <c r="J12427" t="s">
        <v>41</v>
      </c>
      <c r="K12427" t="s">
        <v>1412</v>
      </c>
      <c r="Q12427">
        <v>0</v>
      </c>
      <c r="R12427">
        <v>0</v>
      </c>
      <c r="S12427">
        <v>0</v>
      </c>
      <c r="T12427" t="s">
        <v>44727</v>
      </c>
    </row>
    <row r="12428" spans="1:20" customFormat="1" ht="15" x14ac:dyDescent="0.25">
      <c r="A12428" t="s">
        <v>35</v>
      </c>
      <c r="B12428" t="s">
        <v>61</v>
      </c>
      <c r="C12428" t="str">
        <f>"A0118272"</f>
        <v>A0118272</v>
      </c>
      <c r="D12428" t="s">
        <v>44728</v>
      </c>
      <c r="E12428" t="s">
        <v>44729</v>
      </c>
      <c r="F12428" t="s">
        <v>44730</v>
      </c>
      <c r="G12428" t="s">
        <v>433</v>
      </c>
      <c r="H12428">
        <v>83406</v>
      </c>
      <c r="I12428" t="s">
        <v>30</v>
      </c>
      <c r="J12428" t="s">
        <v>41</v>
      </c>
      <c r="K12428" t="s">
        <v>59</v>
      </c>
      <c r="Q12428">
        <v>0</v>
      </c>
      <c r="R12428">
        <v>42</v>
      </c>
      <c r="S12428">
        <v>42</v>
      </c>
      <c r="T12428" t="s">
        <v>44731</v>
      </c>
    </row>
    <row r="12429" spans="1:20" customFormat="1" ht="15" x14ac:dyDescent="0.25">
      <c r="A12429" t="s">
        <v>35</v>
      </c>
      <c r="B12429" t="s">
        <v>61</v>
      </c>
      <c r="C12429" t="str">
        <f>"A0132283"</f>
        <v>A0132283</v>
      </c>
      <c r="D12429" t="s">
        <v>44732</v>
      </c>
      <c r="E12429" t="s">
        <v>44733</v>
      </c>
      <c r="F12429" t="s">
        <v>44734</v>
      </c>
      <c r="G12429" t="s">
        <v>65</v>
      </c>
      <c r="H12429">
        <v>43055</v>
      </c>
      <c r="I12429" t="s">
        <v>30</v>
      </c>
      <c r="J12429" t="s">
        <v>41</v>
      </c>
      <c r="K12429" t="s">
        <v>2760</v>
      </c>
      <c r="Q12429">
        <v>0</v>
      </c>
      <c r="R12429">
        <v>1</v>
      </c>
      <c r="S12429">
        <v>1</v>
      </c>
      <c r="T12429" t="s">
        <v>44735</v>
      </c>
    </row>
    <row r="12430" spans="1:20" customFormat="1" ht="15" x14ac:dyDescent="0.25">
      <c r="A12430" t="s">
        <v>35</v>
      </c>
      <c r="B12430" t="s">
        <v>61</v>
      </c>
      <c r="C12430" t="str">
        <f>"A0131651"</f>
        <v>A0131651</v>
      </c>
      <c r="D12430" t="s">
        <v>44736</v>
      </c>
      <c r="E12430" t="s">
        <v>44737</v>
      </c>
      <c r="F12430" t="s">
        <v>44738</v>
      </c>
      <c r="G12430" t="s">
        <v>65</v>
      </c>
      <c r="H12430">
        <v>43055</v>
      </c>
      <c r="I12430" t="s">
        <v>30</v>
      </c>
      <c r="J12430" t="s">
        <v>41</v>
      </c>
      <c r="K12430" t="s">
        <v>8643</v>
      </c>
      <c r="Q12430">
        <v>0</v>
      </c>
      <c r="R12430">
        <v>1</v>
      </c>
      <c r="S12430">
        <v>1</v>
      </c>
      <c r="T12430" t="s">
        <v>44739</v>
      </c>
    </row>
    <row r="12431" spans="1:20" customFormat="1" ht="15" x14ac:dyDescent="0.25">
      <c r="A12431" t="s">
        <v>35</v>
      </c>
      <c r="B12431" t="s">
        <v>61</v>
      </c>
      <c r="C12431" t="str">
        <f>"A0130895"</f>
        <v>A0130895</v>
      </c>
      <c r="D12431" t="s">
        <v>44740</v>
      </c>
      <c r="E12431" t="s">
        <v>44741</v>
      </c>
      <c r="F12431" t="s">
        <v>44742</v>
      </c>
      <c r="G12431" t="s">
        <v>137</v>
      </c>
      <c r="H12431">
        <v>655420000</v>
      </c>
      <c r="I12431" t="s">
        <v>30</v>
      </c>
      <c r="J12431" t="s">
        <v>41</v>
      </c>
      <c r="K12431" t="s">
        <v>59</v>
      </c>
      <c r="Q12431">
        <v>0</v>
      </c>
      <c r="R12431">
        <v>60</v>
      </c>
      <c r="S12431">
        <v>60</v>
      </c>
      <c r="T12431" t="s">
        <v>44743</v>
      </c>
    </row>
    <row r="12432" spans="1:20" customFormat="1" ht="15" x14ac:dyDescent="0.25">
      <c r="A12432" t="s">
        <v>35</v>
      </c>
      <c r="B12432" t="s">
        <v>61</v>
      </c>
      <c r="C12432" t="str">
        <f>"A0132572"</f>
        <v>A0132572</v>
      </c>
      <c r="D12432" t="s">
        <v>44744</v>
      </c>
      <c r="E12432" t="s">
        <v>44745</v>
      </c>
      <c r="F12432" t="s">
        <v>64</v>
      </c>
      <c r="G12432" t="s">
        <v>65</v>
      </c>
      <c r="H12432">
        <v>43223</v>
      </c>
      <c r="I12432" t="s">
        <v>30</v>
      </c>
      <c r="J12432" t="s">
        <v>41</v>
      </c>
      <c r="K12432" t="s">
        <v>2760</v>
      </c>
      <c r="Q12432">
        <v>0</v>
      </c>
      <c r="R12432">
        <v>1</v>
      </c>
      <c r="S12432">
        <v>1</v>
      </c>
      <c r="T12432" t="s">
        <v>44746</v>
      </c>
    </row>
    <row r="12433" spans="1:20" customFormat="1" ht="15" x14ac:dyDescent="0.25">
      <c r="A12433" t="s">
        <v>35</v>
      </c>
      <c r="B12433" t="s">
        <v>61</v>
      </c>
      <c r="C12433" t="str">
        <f>"A0132835"</f>
        <v>A0132835</v>
      </c>
      <c r="D12433" t="s">
        <v>44747</v>
      </c>
      <c r="E12433" t="s">
        <v>44748</v>
      </c>
      <c r="F12433" t="s">
        <v>8062</v>
      </c>
      <c r="G12433" t="s">
        <v>65</v>
      </c>
      <c r="H12433">
        <v>44691</v>
      </c>
      <c r="I12433" t="s">
        <v>30</v>
      </c>
      <c r="J12433" t="s">
        <v>41</v>
      </c>
      <c r="K12433" t="s">
        <v>456</v>
      </c>
      <c r="Q12433">
        <v>0</v>
      </c>
      <c r="R12433">
        <v>12</v>
      </c>
      <c r="S12433">
        <v>12</v>
      </c>
      <c r="T12433" t="s">
        <v>44749</v>
      </c>
    </row>
    <row r="12434" spans="1:20" customFormat="1" ht="15" x14ac:dyDescent="0.25">
      <c r="A12434" t="s">
        <v>35</v>
      </c>
      <c r="B12434" t="s">
        <v>61</v>
      </c>
      <c r="C12434" t="str">
        <f>"A0121296"</f>
        <v>A0121296</v>
      </c>
      <c r="D12434" t="s">
        <v>44750</v>
      </c>
      <c r="E12434" t="s">
        <v>44751</v>
      </c>
      <c r="F12434" t="s">
        <v>43748</v>
      </c>
      <c r="G12434" t="s">
        <v>1508</v>
      </c>
      <c r="H12434">
        <v>82718</v>
      </c>
      <c r="I12434" t="s">
        <v>30</v>
      </c>
      <c r="J12434" t="s">
        <v>41</v>
      </c>
      <c r="K12434" t="s">
        <v>131</v>
      </c>
      <c r="Q12434">
        <v>0</v>
      </c>
      <c r="R12434">
        <v>12</v>
      </c>
      <c r="S12434">
        <v>12</v>
      </c>
      <c r="T12434" t="s">
        <v>44752</v>
      </c>
    </row>
    <row r="12435" spans="1:20" customFormat="1" ht="15" x14ac:dyDescent="0.25">
      <c r="A12435" t="s">
        <v>35</v>
      </c>
      <c r="B12435" t="s">
        <v>61</v>
      </c>
      <c r="C12435" t="str">
        <f>"A0122594"</f>
        <v>A0122594</v>
      </c>
      <c r="D12435" t="s">
        <v>44753</v>
      </c>
      <c r="E12435" t="s">
        <v>44754</v>
      </c>
      <c r="F12435" t="s">
        <v>1444</v>
      </c>
      <c r="G12435" t="s">
        <v>76</v>
      </c>
      <c r="H12435">
        <v>98108</v>
      </c>
      <c r="I12435" t="s">
        <v>30</v>
      </c>
      <c r="J12435" t="s">
        <v>41</v>
      </c>
      <c r="K12435" t="s">
        <v>2760</v>
      </c>
      <c r="Q12435">
        <v>0</v>
      </c>
      <c r="R12435">
        <v>1</v>
      </c>
      <c r="S12435">
        <v>1</v>
      </c>
      <c r="T12435" t="s">
        <v>44755</v>
      </c>
    </row>
    <row r="12436" spans="1:20" customFormat="1" ht="15" x14ac:dyDescent="0.25">
      <c r="A12436" t="s">
        <v>35</v>
      </c>
      <c r="B12436" t="s">
        <v>61</v>
      </c>
      <c r="C12436" t="str">
        <f>"A0131600"</f>
        <v>A0131600</v>
      </c>
      <c r="D12436" t="s">
        <v>44756</v>
      </c>
      <c r="E12436" t="s">
        <v>44757</v>
      </c>
      <c r="F12436" t="s">
        <v>8622</v>
      </c>
      <c r="G12436" t="s">
        <v>381</v>
      </c>
      <c r="H12436">
        <v>46234</v>
      </c>
      <c r="I12436" t="s">
        <v>30</v>
      </c>
      <c r="J12436" t="s">
        <v>41</v>
      </c>
      <c r="K12436" t="s">
        <v>2477</v>
      </c>
      <c r="Q12436">
        <v>0</v>
      </c>
      <c r="R12436">
        <v>25</v>
      </c>
      <c r="S12436">
        <v>25</v>
      </c>
      <c r="T12436" t="s">
        <v>44758</v>
      </c>
    </row>
    <row r="12437" spans="1:20" customFormat="1" ht="15" x14ac:dyDescent="0.25">
      <c r="A12437" t="s">
        <v>35</v>
      </c>
      <c r="B12437" t="s">
        <v>61</v>
      </c>
      <c r="C12437" t="str">
        <f>"A0127110"</f>
        <v>A0127110</v>
      </c>
      <c r="D12437" t="s">
        <v>44759</v>
      </c>
      <c r="E12437" t="s">
        <v>44760</v>
      </c>
      <c r="F12437" t="s">
        <v>19454</v>
      </c>
      <c r="G12437" t="s">
        <v>103</v>
      </c>
      <c r="H12437">
        <v>15658</v>
      </c>
      <c r="I12437" t="s">
        <v>30</v>
      </c>
      <c r="J12437" t="s">
        <v>41</v>
      </c>
      <c r="K12437" t="s">
        <v>59</v>
      </c>
      <c r="Q12437">
        <v>0</v>
      </c>
      <c r="R12437">
        <v>50</v>
      </c>
      <c r="S12437">
        <v>50</v>
      </c>
      <c r="T12437" t="s">
        <v>43386</v>
      </c>
    </row>
    <row r="12438" spans="1:20" customFormat="1" ht="15" x14ac:dyDescent="0.25">
      <c r="A12438" t="s">
        <v>35</v>
      </c>
      <c r="B12438" t="s">
        <v>61</v>
      </c>
      <c r="C12438" t="str">
        <f>"A0133113"</f>
        <v>A0133113</v>
      </c>
      <c r="D12438" t="s">
        <v>44761</v>
      </c>
      <c r="E12438" t="s">
        <v>44762</v>
      </c>
      <c r="F12438" t="s">
        <v>5240</v>
      </c>
      <c r="G12438" t="s">
        <v>52</v>
      </c>
      <c r="H12438">
        <v>782230000</v>
      </c>
      <c r="I12438" t="s">
        <v>30</v>
      </c>
      <c r="J12438" t="s">
        <v>41</v>
      </c>
      <c r="K12438" t="s">
        <v>461</v>
      </c>
      <c r="Q12438">
        <v>0</v>
      </c>
      <c r="R12438">
        <v>40</v>
      </c>
      <c r="S12438">
        <v>40</v>
      </c>
      <c r="T12438" t="s">
        <v>44763</v>
      </c>
    </row>
    <row r="12439" spans="1:20" customFormat="1" ht="15" x14ac:dyDescent="0.25">
      <c r="A12439" t="s">
        <v>35</v>
      </c>
      <c r="B12439" t="s">
        <v>61</v>
      </c>
      <c r="C12439" t="str">
        <f>"A0117889"</f>
        <v>A0117889</v>
      </c>
      <c r="D12439" t="s">
        <v>44764</v>
      </c>
      <c r="E12439" t="s">
        <v>44765</v>
      </c>
      <c r="F12439" t="s">
        <v>1439</v>
      </c>
      <c r="G12439" t="s">
        <v>110</v>
      </c>
      <c r="H12439">
        <v>92121</v>
      </c>
      <c r="I12439" t="s">
        <v>30</v>
      </c>
      <c r="J12439" t="s">
        <v>41</v>
      </c>
      <c r="K12439" t="s">
        <v>456</v>
      </c>
      <c r="Q12439">
        <v>0</v>
      </c>
      <c r="R12439">
        <v>1</v>
      </c>
      <c r="S12439">
        <v>1</v>
      </c>
      <c r="T12439" t="s">
        <v>44766</v>
      </c>
    </row>
    <row r="12440" spans="1:20" customFormat="1" ht="15" x14ac:dyDescent="0.25">
      <c r="A12440" t="s">
        <v>35</v>
      </c>
      <c r="B12440" t="s">
        <v>61</v>
      </c>
      <c r="C12440" t="str">
        <f>"A0123066"</f>
        <v>A0123066</v>
      </c>
      <c r="D12440" t="s">
        <v>44767</v>
      </c>
      <c r="E12440" t="s">
        <v>44768</v>
      </c>
      <c r="F12440" t="s">
        <v>455</v>
      </c>
      <c r="G12440" t="s">
        <v>433</v>
      </c>
      <c r="H12440">
        <v>83642</v>
      </c>
      <c r="I12440" t="s">
        <v>30</v>
      </c>
      <c r="J12440" t="s">
        <v>41</v>
      </c>
      <c r="K12440" t="s">
        <v>456</v>
      </c>
      <c r="Q12440">
        <v>0</v>
      </c>
      <c r="R12440">
        <v>0</v>
      </c>
      <c r="S12440">
        <v>0</v>
      </c>
      <c r="T12440" t="s">
        <v>44769</v>
      </c>
    </row>
    <row r="12441" spans="1:20" customFormat="1" ht="15" x14ac:dyDescent="0.25">
      <c r="A12441" t="s">
        <v>35</v>
      </c>
      <c r="B12441" t="s">
        <v>61</v>
      </c>
      <c r="C12441" t="str">
        <f>"A0124601"</f>
        <v>A0124601</v>
      </c>
      <c r="D12441" t="s">
        <v>44770</v>
      </c>
      <c r="E12441" t="s">
        <v>44771</v>
      </c>
      <c r="F12441" t="s">
        <v>37617</v>
      </c>
      <c r="G12441" t="s">
        <v>1706</v>
      </c>
      <c r="H12441">
        <v>367030000</v>
      </c>
      <c r="I12441" t="s">
        <v>30</v>
      </c>
      <c r="J12441" t="s">
        <v>41</v>
      </c>
      <c r="K12441" t="s">
        <v>229</v>
      </c>
      <c r="Q12441">
        <v>0</v>
      </c>
      <c r="R12441">
        <v>48</v>
      </c>
      <c r="S12441">
        <v>48</v>
      </c>
      <c r="T12441" t="s">
        <v>44772</v>
      </c>
    </row>
    <row r="12442" spans="1:20" customFormat="1" ht="15" x14ac:dyDescent="0.25">
      <c r="A12442" t="s">
        <v>35</v>
      </c>
      <c r="B12442" t="s">
        <v>61</v>
      </c>
      <c r="C12442" t="str">
        <f>"A0124198"</f>
        <v>A0124198</v>
      </c>
      <c r="D12442" t="s">
        <v>44773</v>
      </c>
      <c r="E12442" t="s">
        <v>44774</v>
      </c>
      <c r="F12442" t="s">
        <v>44775</v>
      </c>
      <c r="G12442" t="s">
        <v>123</v>
      </c>
      <c r="H12442">
        <v>21043</v>
      </c>
      <c r="I12442" t="s">
        <v>30</v>
      </c>
      <c r="J12442" t="s">
        <v>41</v>
      </c>
      <c r="K12442" t="s">
        <v>482</v>
      </c>
      <c r="Q12442">
        <v>0</v>
      </c>
      <c r="R12442">
        <v>50</v>
      </c>
      <c r="S12442">
        <v>50</v>
      </c>
      <c r="T12442" t="s">
        <v>44776</v>
      </c>
    </row>
    <row r="12443" spans="1:20" customFormat="1" ht="15" x14ac:dyDescent="0.25">
      <c r="A12443" t="s">
        <v>35</v>
      </c>
      <c r="B12443" t="s">
        <v>61</v>
      </c>
      <c r="C12443" t="str">
        <f>"A0132573"</f>
        <v>A0132573</v>
      </c>
      <c r="D12443" t="s">
        <v>44777</v>
      </c>
      <c r="E12443" t="s">
        <v>44778</v>
      </c>
      <c r="F12443" t="s">
        <v>9274</v>
      </c>
      <c r="G12443" t="s">
        <v>65</v>
      </c>
      <c r="H12443">
        <v>45805</v>
      </c>
      <c r="I12443" t="s">
        <v>30</v>
      </c>
      <c r="J12443" t="s">
        <v>41</v>
      </c>
      <c r="K12443" t="s">
        <v>229</v>
      </c>
      <c r="Q12443">
        <v>0</v>
      </c>
      <c r="R12443">
        <v>87</v>
      </c>
      <c r="S12443">
        <v>87</v>
      </c>
      <c r="T12443" t="s">
        <v>44779</v>
      </c>
    </row>
    <row r="12444" spans="1:20" customFormat="1" ht="15" x14ac:dyDescent="0.25">
      <c r="A12444" t="s">
        <v>35</v>
      </c>
      <c r="B12444" t="s">
        <v>5511</v>
      </c>
      <c r="C12444" t="str">
        <f>"A0122998"</f>
        <v>A0122998</v>
      </c>
      <c r="D12444" t="s">
        <v>44780</v>
      </c>
      <c r="E12444" t="s">
        <v>44781</v>
      </c>
      <c r="F12444" t="s">
        <v>44782</v>
      </c>
      <c r="G12444" t="s">
        <v>433</v>
      </c>
      <c r="H12444">
        <v>83352</v>
      </c>
      <c r="I12444" t="s">
        <v>30</v>
      </c>
      <c r="J12444" t="s">
        <v>41</v>
      </c>
      <c r="K12444" t="s">
        <v>59</v>
      </c>
      <c r="Q12444">
        <v>0</v>
      </c>
      <c r="R12444">
        <v>65</v>
      </c>
      <c r="S12444">
        <v>65</v>
      </c>
      <c r="T12444" t="s">
        <v>44783</v>
      </c>
    </row>
    <row r="12445" spans="1:20" customFormat="1" ht="15" x14ac:dyDescent="0.25">
      <c r="A12445" t="s">
        <v>35</v>
      </c>
      <c r="B12445" t="s">
        <v>61</v>
      </c>
      <c r="C12445" t="str">
        <f>"A0130953"</f>
        <v>A0130953</v>
      </c>
      <c r="D12445" t="s">
        <v>44784</v>
      </c>
      <c r="E12445" t="s">
        <v>44785</v>
      </c>
      <c r="F12445" t="s">
        <v>41725</v>
      </c>
      <c r="G12445" t="s">
        <v>85</v>
      </c>
      <c r="H12445">
        <v>716670000</v>
      </c>
      <c r="I12445" t="s">
        <v>30</v>
      </c>
      <c r="J12445" t="s">
        <v>41</v>
      </c>
      <c r="K12445" t="s">
        <v>2463</v>
      </c>
      <c r="Q12445">
        <v>0</v>
      </c>
      <c r="R12445">
        <v>1</v>
      </c>
      <c r="S12445">
        <v>1</v>
      </c>
      <c r="T12445" t="s">
        <v>44786</v>
      </c>
    </row>
    <row r="12446" spans="1:20" customFormat="1" ht="15" x14ac:dyDescent="0.25">
      <c r="A12446" t="s">
        <v>35</v>
      </c>
      <c r="B12446" t="s">
        <v>61</v>
      </c>
      <c r="C12446" t="str">
        <f>"A0123129"</f>
        <v>A0123129</v>
      </c>
      <c r="D12446" t="s">
        <v>44787</v>
      </c>
      <c r="E12446" t="s">
        <v>44788</v>
      </c>
      <c r="F12446" t="s">
        <v>4770</v>
      </c>
      <c r="G12446" t="s">
        <v>137</v>
      </c>
      <c r="H12446">
        <v>633790000</v>
      </c>
      <c r="I12446" t="s">
        <v>30</v>
      </c>
      <c r="J12446" t="s">
        <v>41</v>
      </c>
      <c r="K12446" t="s">
        <v>3713</v>
      </c>
      <c r="Q12446">
        <v>0</v>
      </c>
      <c r="R12446">
        <v>88</v>
      </c>
      <c r="S12446">
        <v>88</v>
      </c>
      <c r="T12446" t="s">
        <v>44789</v>
      </c>
    </row>
    <row r="12447" spans="1:20" customFormat="1" ht="15" x14ac:dyDescent="0.25">
      <c r="A12447" t="s">
        <v>35</v>
      </c>
      <c r="B12447" t="s">
        <v>61</v>
      </c>
      <c r="C12447" t="str">
        <f>"A0131475"</f>
        <v>A0131475</v>
      </c>
      <c r="D12447" t="s">
        <v>44790</v>
      </c>
      <c r="E12447" t="s">
        <v>44791</v>
      </c>
      <c r="F12447" t="s">
        <v>4770</v>
      </c>
      <c r="G12447" t="s">
        <v>137</v>
      </c>
      <c r="H12447">
        <v>63379</v>
      </c>
      <c r="I12447" t="s">
        <v>30</v>
      </c>
      <c r="J12447" t="s">
        <v>41</v>
      </c>
      <c r="K12447" t="s">
        <v>8643</v>
      </c>
      <c r="Q12447">
        <v>0</v>
      </c>
      <c r="R12447">
        <v>40</v>
      </c>
      <c r="S12447">
        <v>40</v>
      </c>
      <c r="T12447" t="s">
        <v>44792</v>
      </c>
    </row>
    <row r="12448" spans="1:20" customFormat="1" ht="15" x14ac:dyDescent="0.25">
      <c r="A12448" t="s">
        <v>35</v>
      </c>
      <c r="B12448" t="s">
        <v>61</v>
      </c>
      <c r="C12448" t="str">
        <f>"A0118520"</f>
        <v>A0118520</v>
      </c>
      <c r="D12448" t="s">
        <v>44793</v>
      </c>
      <c r="E12448" t="s">
        <v>44794</v>
      </c>
      <c r="F12448" t="s">
        <v>4599</v>
      </c>
      <c r="G12448" t="s">
        <v>110</v>
      </c>
      <c r="H12448">
        <v>945380000</v>
      </c>
      <c r="I12448" t="s">
        <v>30</v>
      </c>
      <c r="J12448" t="s">
        <v>41</v>
      </c>
      <c r="K12448" t="s">
        <v>59</v>
      </c>
      <c r="Q12448">
        <v>0</v>
      </c>
      <c r="R12448">
        <v>60</v>
      </c>
      <c r="S12448">
        <v>60</v>
      </c>
      <c r="T12448" t="s">
        <v>44795</v>
      </c>
    </row>
    <row r="12449" spans="1:20" customFormat="1" ht="15" x14ac:dyDescent="0.25">
      <c r="A12449" t="s">
        <v>35</v>
      </c>
      <c r="B12449" t="s">
        <v>61</v>
      </c>
      <c r="C12449" t="str">
        <f>"A0131024"</f>
        <v>A0131024</v>
      </c>
      <c r="D12449" t="s">
        <v>44796</v>
      </c>
      <c r="E12449" t="s">
        <v>44797</v>
      </c>
      <c r="F12449" t="s">
        <v>5292</v>
      </c>
      <c r="G12449" t="s">
        <v>85</v>
      </c>
      <c r="H12449">
        <v>727440000</v>
      </c>
      <c r="I12449" t="s">
        <v>30</v>
      </c>
      <c r="J12449" t="s">
        <v>41</v>
      </c>
      <c r="K12449" t="s">
        <v>2760</v>
      </c>
      <c r="Q12449">
        <v>0</v>
      </c>
      <c r="R12449">
        <v>1</v>
      </c>
      <c r="S12449">
        <v>1</v>
      </c>
      <c r="T12449" t="s">
        <v>44798</v>
      </c>
    </row>
    <row r="12450" spans="1:20" customFormat="1" ht="15" x14ac:dyDescent="0.25">
      <c r="A12450" t="s">
        <v>35</v>
      </c>
      <c r="B12450" t="s">
        <v>61</v>
      </c>
      <c r="C12450" t="str">
        <f>"A0124199"</f>
        <v>A0124199</v>
      </c>
      <c r="D12450" t="s">
        <v>44799</v>
      </c>
      <c r="E12450" t="s">
        <v>44800</v>
      </c>
      <c r="F12450" t="s">
        <v>44801</v>
      </c>
      <c r="G12450" t="s">
        <v>338</v>
      </c>
      <c r="H12450">
        <v>8361</v>
      </c>
      <c r="I12450" t="s">
        <v>30</v>
      </c>
      <c r="J12450" t="s">
        <v>41</v>
      </c>
      <c r="K12450" t="s">
        <v>229</v>
      </c>
      <c r="Q12450">
        <v>0</v>
      </c>
      <c r="R12450">
        <v>180</v>
      </c>
      <c r="S12450">
        <v>180</v>
      </c>
      <c r="T12450" t="s">
        <v>44802</v>
      </c>
    </row>
    <row r="12451" spans="1:20" customFormat="1" ht="15" x14ac:dyDescent="0.25">
      <c r="A12451" t="s">
        <v>35</v>
      </c>
      <c r="B12451" t="s">
        <v>61</v>
      </c>
      <c r="C12451" t="str">
        <f>"A0127169"</f>
        <v>A0127169</v>
      </c>
      <c r="D12451" t="s">
        <v>44803</v>
      </c>
      <c r="E12451" t="s">
        <v>44804</v>
      </c>
      <c r="F12451" t="s">
        <v>44805</v>
      </c>
      <c r="G12451" t="s">
        <v>899</v>
      </c>
      <c r="H12451">
        <v>2043</v>
      </c>
      <c r="I12451" t="s">
        <v>30</v>
      </c>
      <c r="J12451" t="s">
        <v>41</v>
      </c>
      <c r="K12451" t="s">
        <v>1440</v>
      </c>
      <c r="Q12451">
        <v>0</v>
      </c>
      <c r="R12451">
        <v>100</v>
      </c>
      <c r="S12451">
        <v>100</v>
      </c>
      <c r="T12451" t="s">
        <v>44806</v>
      </c>
    </row>
    <row r="12452" spans="1:20" customFormat="1" ht="15" x14ac:dyDescent="0.25">
      <c r="A12452" t="s">
        <v>35</v>
      </c>
      <c r="B12452" t="s">
        <v>106</v>
      </c>
      <c r="C12452" t="str">
        <f>"A0136367"</f>
        <v>A0136367</v>
      </c>
      <c r="D12452" t="s">
        <v>44807</v>
      </c>
      <c r="E12452" t="s">
        <v>44808</v>
      </c>
      <c r="F12452" t="s">
        <v>1298</v>
      </c>
      <c r="G12452" t="s">
        <v>840</v>
      </c>
      <c r="H12452">
        <v>42728</v>
      </c>
      <c r="I12452" t="s">
        <v>30</v>
      </c>
      <c r="J12452" t="s">
        <v>111</v>
      </c>
      <c r="K12452" t="s">
        <v>112</v>
      </c>
      <c r="Q12452">
        <v>0</v>
      </c>
      <c r="R12452">
        <v>0</v>
      </c>
      <c r="S12452">
        <v>0</v>
      </c>
      <c r="T12452" t="s">
        <v>44809</v>
      </c>
    </row>
    <row r="12453" spans="1:20" customFormat="1" ht="15" x14ac:dyDescent="0.25">
      <c r="A12453" t="s">
        <v>35</v>
      </c>
      <c r="B12453" t="s">
        <v>61</v>
      </c>
      <c r="C12453" t="str">
        <f>"A0124200"</f>
        <v>A0124200</v>
      </c>
      <c r="D12453" t="s">
        <v>44810</v>
      </c>
      <c r="E12453" t="s">
        <v>44811</v>
      </c>
      <c r="F12453" t="s">
        <v>44812</v>
      </c>
      <c r="G12453" t="s">
        <v>117</v>
      </c>
      <c r="H12453">
        <v>48374</v>
      </c>
      <c r="I12453" t="s">
        <v>30</v>
      </c>
      <c r="J12453" t="s">
        <v>41</v>
      </c>
      <c r="K12453" t="s">
        <v>59</v>
      </c>
      <c r="Q12453">
        <v>0</v>
      </c>
      <c r="R12453">
        <v>100</v>
      </c>
      <c r="S12453">
        <v>100</v>
      </c>
      <c r="T12453" t="s">
        <v>44813</v>
      </c>
    </row>
    <row r="12454" spans="1:20" customFormat="1" ht="15" x14ac:dyDescent="0.25">
      <c r="A12454" t="s">
        <v>35</v>
      </c>
      <c r="B12454" t="s">
        <v>61</v>
      </c>
      <c r="C12454" t="str">
        <f>"A0130529"</f>
        <v>A0130529</v>
      </c>
      <c r="D12454" t="s">
        <v>44814</v>
      </c>
      <c r="E12454" t="s">
        <v>44815</v>
      </c>
      <c r="F12454" t="s">
        <v>44816</v>
      </c>
      <c r="G12454" t="s">
        <v>1898</v>
      </c>
      <c r="H12454">
        <v>52302</v>
      </c>
      <c r="I12454" t="s">
        <v>30</v>
      </c>
      <c r="J12454" t="s">
        <v>41</v>
      </c>
      <c r="K12454" t="s">
        <v>229</v>
      </c>
      <c r="Q12454">
        <v>0</v>
      </c>
      <c r="R12454">
        <v>38</v>
      </c>
      <c r="S12454">
        <v>38</v>
      </c>
      <c r="T12454" t="s">
        <v>44817</v>
      </c>
    </row>
    <row r="12455" spans="1:20" customFormat="1" ht="15" x14ac:dyDescent="0.25">
      <c r="A12455" t="s">
        <v>35</v>
      </c>
      <c r="B12455" t="s">
        <v>61</v>
      </c>
      <c r="C12455" t="str">
        <f>"A0126045"</f>
        <v>A0126045</v>
      </c>
      <c r="D12455" t="s">
        <v>44818</v>
      </c>
      <c r="E12455" t="s">
        <v>44819</v>
      </c>
      <c r="F12455" t="s">
        <v>4674</v>
      </c>
      <c r="G12455" t="s">
        <v>314</v>
      </c>
      <c r="H12455">
        <v>20015</v>
      </c>
      <c r="I12455" t="s">
        <v>30</v>
      </c>
      <c r="J12455" t="s">
        <v>41</v>
      </c>
      <c r="K12455" t="s">
        <v>229</v>
      </c>
      <c r="Q12455">
        <v>0</v>
      </c>
      <c r="R12455">
        <v>60</v>
      </c>
      <c r="S12455">
        <v>60</v>
      </c>
      <c r="T12455" t="s">
        <v>44820</v>
      </c>
    </row>
    <row r="12456" spans="1:20" customFormat="1" ht="15" x14ac:dyDescent="0.25">
      <c r="A12456" t="s">
        <v>35</v>
      </c>
      <c r="B12456" t="s">
        <v>106</v>
      </c>
      <c r="C12456" t="str">
        <f>"A0135853"</f>
        <v>A0135853</v>
      </c>
      <c r="D12456" t="s">
        <v>44821</v>
      </c>
      <c r="E12456" t="s">
        <v>44822</v>
      </c>
      <c r="F12456" t="s">
        <v>44823</v>
      </c>
      <c r="G12456" t="s">
        <v>1184</v>
      </c>
      <c r="H12456">
        <v>59022</v>
      </c>
      <c r="I12456" t="s">
        <v>30</v>
      </c>
      <c r="J12456" t="s">
        <v>111</v>
      </c>
      <c r="K12456" t="s">
        <v>112</v>
      </c>
      <c r="Q12456">
        <v>0</v>
      </c>
      <c r="R12456">
        <v>0</v>
      </c>
      <c r="S12456">
        <v>0</v>
      </c>
      <c r="T12456" t="s">
        <v>44824</v>
      </c>
    </row>
    <row r="12457" spans="1:20" customFormat="1" ht="15" x14ac:dyDescent="0.25">
      <c r="A12457" t="s">
        <v>35</v>
      </c>
      <c r="B12457" t="s">
        <v>61</v>
      </c>
      <c r="C12457" t="str">
        <f>"A0128952"</f>
        <v>A0128952</v>
      </c>
      <c r="D12457" t="s">
        <v>44825</v>
      </c>
      <c r="E12457" t="s">
        <v>44826</v>
      </c>
      <c r="F12457" t="s">
        <v>3193</v>
      </c>
      <c r="G12457" t="s">
        <v>289</v>
      </c>
      <c r="H12457">
        <v>61727</v>
      </c>
      <c r="I12457" t="s">
        <v>30</v>
      </c>
      <c r="J12457" t="s">
        <v>41</v>
      </c>
      <c r="K12457" t="s">
        <v>42</v>
      </c>
      <c r="Q12457">
        <v>0</v>
      </c>
      <c r="R12457">
        <v>1</v>
      </c>
      <c r="S12457">
        <v>1</v>
      </c>
      <c r="T12457" t="s">
        <v>44827</v>
      </c>
    </row>
    <row r="12458" spans="1:20" customFormat="1" ht="15" x14ac:dyDescent="0.25">
      <c r="A12458" t="s">
        <v>35</v>
      </c>
      <c r="B12458" t="s">
        <v>106</v>
      </c>
      <c r="C12458" t="str">
        <f>"A0135620"</f>
        <v>A0135620</v>
      </c>
      <c r="D12458" t="s">
        <v>44828</v>
      </c>
      <c r="E12458" t="s">
        <v>44829</v>
      </c>
      <c r="F12458" t="s">
        <v>4133</v>
      </c>
      <c r="G12458" t="s">
        <v>52</v>
      </c>
      <c r="H12458">
        <v>78758</v>
      </c>
      <c r="I12458" t="s">
        <v>30</v>
      </c>
      <c r="J12458" t="s">
        <v>111</v>
      </c>
      <c r="K12458" t="s">
        <v>112</v>
      </c>
      <c r="Q12458">
        <v>0</v>
      </c>
      <c r="R12458">
        <v>0</v>
      </c>
      <c r="S12458">
        <v>0</v>
      </c>
      <c r="T12458" t="s">
        <v>44830</v>
      </c>
    </row>
    <row r="12459" spans="1:20" customFormat="1" ht="15" x14ac:dyDescent="0.25">
      <c r="A12459" t="s">
        <v>35</v>
      </c>
      <c r="B12459" t="s">
        <v>61</v>
      </c>
      <c r="C12459" t="str">
        <f>"A0121970"</f>
        <v>A0121970</v>
      </c>
      <c r="D12459" t="s">
        <v>44831</v>
      </c>
      <c r="E12459" t="s">
        <v>44832</v>
      </c>
      <c r="F12459" t="s">
        <v>21910</v>
      </c>
      <c r="G12459" t="s">
        <v>221</v>
      </c>
      <c r="H12459">
        <v>89301</v>
      </c>
      <c r="I12459" t="s">
        <v>30</v>
      </c>
      <c r="J12459" t="s">
        <v>41</v>
      </c>
      <c r="K12459" t="s">
        <v>39685</v>
      </c>
      <c r="Q12459">
        <v>0</v>
      </c>
      <c r="R12459">
        <v>91</v>
      </c>
      <c r="S12459">
        <v>91</v>
      </c>
      <c r="T12459" t="s">
        <v>44833</v>
      </c>
    </row>
    <row r="12460" spans="1:20" customFormat="1" ht="15" x14ac:dyDescent="0.25">
      <c r="A12460" t="s">
        <v>35</v>
      </c>
      <c r="B12460" t="s">
        <v>61</v>
      </c>
      <c r="C12460" t="str">
        <f>"A0118744"</f>
        <v>A0118744</v>
      </c>
      <c r="D12460" t="s">
        <v>21059</v>
      </c>
      <c r="E12460" t="s">
        <v>44834</v>
      </c>
      <c r="F12460" t="s">
        <v>23880</v>
      </c>
      <c r="G12460" t="s">
        <v>110</v>
      </c>
      <c r="H12460">
        <v>907320000</v>
      </c>
      <c r="I12460" t="s">
        <v>30</v>
      </c>
      <c r="J12460" t="s">
        <v>41</v>
      </c>
      <c r="K12460" t="s">
        <v>59</v>
      </c>
      <c r="Q12460">
        <v>0</v>
      </c>
      <c r="R12460">
        <v>100</v>
      </c>
      <c r="S12460">
        <v>100</v>
      </c>
      <c r="T12460" t="s">
        <v>44835</v>
      </c>
    </row>
    <row r="12461" spans="1:20" customFormat="1" ht="15" x14ac:dyDescent="0.25">
      <c r="A12461" t="s">
        <v>35</v>
      </c>
      <c r="B12461" t="s">
        <v>61</v>
      </c>
      <c r="C12461" t="str">
        <f>"A0126049"</f>
        <v>A0126049</v>
      </c>
      <c r="D12461" t="s">
        <v>21059</v>
      </c>
      <c r="E12461" t="s">
        <v>44836</v>
      </c>
      <c r="F12461" t="s">
        <v>4674</v>
      </c>
      <c r="G12461" t="s">
        <v>314</v>
      </c>
      <c r="H12461">
        <v>20017</v>
      </c>
      <c r="I12461" t="s">
        <v>30</v>
      </c>
      <c r="J12461" t="s">
        <v>41</v>
      </c>
      <c r="K12461" t="s">
        <v>229</v>
      </c>
      <c r="Q12461">
        <v>0</v>
      </c>
      <c r="R12461">
        <v>77</v>
      </c>
      <c r="S12461">
        <v>77</v>
      </c>
      <c r="T12461" t="s">
        <v>44837</v>
      </c>
    </row>
    <row r="12462" spans="1:20" customFormat="1" ht="15" x14ac:dyDescent="0.25">
      <c r="A12462" t="s">
        <v>35</v>
      </c>
      <c r="B12462" t="s">
        <v>61</v>
      </c>
      <c r="C12462" t="str">
        <f>"A0126780"</f>
        <v>A0126780</v>
      </c>
      <c r="D12462" t="s">
        <v>44838</v>
      </c>
      <c r="E12462" t="s">
        <v>44839</v>
      </c>
      <c r="F12462" t="s">
        <v>4615</v>
      </c>
      <c r="G12462" t="s">
        <v>528</v>
      </c>
      <c r="H12462">
        <v>19713</v>
      </c>
      <c r="I12462" t="s">
        <v>30</v>
      </c>
      <c r="J12462" t="s">
        <v>41</v>
      </c>
      <c r="K12462" t="s">
        <v>229</v>
      </c>
      <c r="Q12462">
        <v>0</v>
      </c>
      <c r="R12462">
        <v>80</v>
      </c>
      <c r="S12462">
        <v>80</v>
      </c>
      <c r="T12462" t="s">
        <v>44840</v>
      </c>
    </row>
    <row r="12463" spans="1:20" customFormat="1" ht="15" x14ac:dyDescent="0.25">
      <c r="A12463" t="s">
        <v>35</v>
      </c>
      <c r="B12463" t="s">
        <v>61</v>
      </c>
      <c r="C12463" t="str">
        <f>"A0124589"</f>
        <v>A0124589</v>
      </c>
      <c r="D12463" t="s">
        <v>44841</v>
      </c>
      <c r="E12463" t="s">
        <v>44842</v>
      </c>
      <c r="F12463" t="s">
        <v>36407</v>
      </c>
      <c r="G12463" t="s">
        <v>1706</v>
      </c>
      <c r="H12463">
        <v>366040000</v>
      </c>
      <c r="I12463" t="s">
        <v>30</v>
      </c>
      <c r="J12463" t="s">
        <v>41</v>
      </c>
      <c r="K12463" t="s">
        <v>229</v>
      </c>
      <c r="Q12463">
        <v>0</v>
      </c>
      <c r="R12463">
        <v>109</v>
      </c>
      <c r="S12463">
        <v>109</v>
      </c>
      <c r="T12463" t="s">
        <v>44843</v>
      </c>
    </row>
    <row r="12464" spans="1:20" customFormat="1" ht="15" x14ac:dyDescent="0.25">
      <c r="A12464" t="s">
        <v>35</v>
      </c>
      <c r="B12464" t="s">
        <v>61</v>
      </c>
      <c r="C12464" t="str">
        <f>"A0125762"</f>
        <v>A0125762</v>
      </c>
      <c r="D12464" t="s">
        <v>44844</v>
      </c>
      <c r="E12464" t="s">
        <v>44845</v>
      </c>
      <c r="F12464" t="s">
        <v>11400</v>
      </c>
      <c r="G12464" t="s">
        <v>29</v>
      </c>
      <c r="H12464">
        <v>23229</v>
      </c>
      <c r="I12464" t="s">
        <v>30</v>
      </c>
      <c r="J12464" t="s">
        <v>41</v>
      </c>
      <c r="K12464" t="s">
        <v>229</v>
      </c>
      <c r="Q12464">
        <v>0</v>
      </c>
      <c r="R12464">
        <v>95</v>
      </c>
      <c r="S12464">
        <v>95</v>
      </c>
      <c r="T12464" t="s">
        <v>44846</v>
      </c>
    </row>
    <row r="12465" spans="1:20" customFormat="1" ht="15" x14ac:dyDescent="0.25">
      <c r="A12465" t="s">
        <v>35</v>
      </c>
      <c r="B12465" t="s">
        <v>61</v>
      </c>
      <c r="C12465" t="str">
        <f>"A0126243"</f>
        <v>A0126243</v>
      </c>
      <c r="D12465" t="s">
        <v>44847</v>
      </c>
      <c r="E12465" t="s">
        <v>44848</v>
      </c>
      <c r="F12465" t="s">
        <v>10426</v>
      </c>
      <c r="G12465" t="s">
        <v>81</v>
      </c>
      <c r="H12465">
        <v>34240</v>
      </c>
      <c r="I12465" t="s">
        <v>30</v>
      </c>
      <c r="J12465" t="s">
        <v>41</v>
      </c>
      <c r="K12465" t="s">
        <v>59</v>
      </c>
      <c r="Q12465">
        <v>0</v>
      </c>
      <c r="R12465">
        <v>40</v>
      </c>
      <c r="S12465">
        <v>40</v>
      </c>
      <c r="T12465" t="s">
        <v>44849</v>
      </c>
    </row>
    <row r="12466" spans="1:20" customFormat="1" ht="15" x14ac:dyDescent="0.25">
      <c r="A12466" t="s">
        <v>35</v>
      </c>
      <c r="B12466" t="s">
        <v>61</v>
      </c>
      <c r="C12466" t="str">
        <f>"A0125732"</f>
        <v>A0125732</v>
      </c>
      <c r="D12466" t="s">
        <v>44850</v>
      </c>
      <c r="E12466" t="s">
        <v>44851</v>
      </c>
      <c r="F12466" t="s">
        <v>44852</v>
      </c>
      <c r="G12466" t="s">
        <v>29</v>
      </c>
      <c r="H12466">
        <v>229390000</v>
      </c>
      <c r="I12466" t="s">
        <v>30</v>
      </c>
      <c r="J12466" t="s">
        <v>41</v>
      </c>
      <c r="K12466" t="s">
        <v>229</v>
      </c>
      <c r="Q12466">
        <v>0</v>
      </c>
      <c r="R12466">
        <v>31</v>
      </c>
      <c r="S12466">
        <v>31</v>
      </c>
      <c r="T12466" t="s">
        <v>44853</v>
      </c>
    </row>
    <row r="12467" spans="1:20" customFormat="1" ht="15" x14ac:dyDescent="0.25">
      <c r="A12467" t="s">
        <v>35</v>
      </c>
      <c r="B12467" t="s">
        <v>61</v>
      </c>
      <c r="C12467" t="str">
        <f>"A0123820"</f>
        <v>A0123820</v>
      </c>
      <c r="D12467" t="s">
        <v>44854</v>
      </c>
      <c r="E12467" t="s">
        <v>44855</v>
      </c>
      <c r="F12467" t="s">
        <v>44856</v>
      </c>
      <c r="G12467" t="s">
        <v>29</v>
      </c>
      <c r="H12467">
        <v>22853</v>
      </c>
      <c r="I12467" t="s">
        <v>30</v>
      </c>
      <c r="J12467" t="s">
        <v>41</v>
      </c>
      <c r="K12467" t="s">
        <v>482</v>
      </c>
      <c r="Q12467">
        <v>0</v>
      </c>
      <c r="R12467">
        <v>30</v>
      </c>
      <c r="S12467">
        <v>30</v>
      </c>
      <c r="T12467" t="s">
        <v>44857</v>
      </c>
    </row>
    <row r="12468" spans="1:20" customFormat="1" ht="15" x14ac:dyDescent="0.25">
      <c r="A12468" t="s">
        <v>35</v>
      </c>
      <c r="B12468" t="s">
        <v>61</v>
      </c>
      <c r="C12468" t="str">
        <f>"A0131285"</f>
        <v>A0131285</v>
      </c>
      <c r="D12468" t="s">
        <v>44858</v>
      </c>
      <c r="E12468" t="s">
        <v>44859</v>
      </c>
      <c r="F12468" t="s">
        <v>19594</v>
      </c>
      <c r="G12468" t="s">
        <v>137</v>
      </c>
      <c r="H12468">
        <v>63552</v>
      </c>
      <c r="I12468" t="s">
        <v>30</v>
      </c>
      <c r="J12468" t="s">
        <v>41</v>
      </c>
      <c r="K12468" t="s">
        <v>229</v>
      </c>
      <c r="Q12468">
        <v>0</v>
      </c>
      <c r="R12468">
        <v>180</v>
      </c>
      <c r="S12468">
        <v>180</v>
      </c>
      <c r="T12468" t="s">
        <v>44860</v>
      </c>
    </row>
    <row r="12469" spans="1:20" customFormat="1" ht="15" x14ac:dyDescent="0.25">
      <c r="A12469" t="s">
        <v>35</v>
      </c>
      <c r="B12469" t="s">
        <v>61</v>
      </c>
      <c r="C12469" t="str">
        <f>"A0132575"</f>
        <v>A0132575</v>
      </c>
      <c r="D12469" t="s">
        <v>44861</v>
      </c>
      <c r="E12469" t="s">
        <v>44862</v>
      </c>
      <c r="F12469" t="s">
        <v>9274</v>
      </c>
      <c r="G12469" t="s">
        <v>65</v>
      </c>
      <c r="H12469">
        <v>45805</v>
      </c>
      <c r="I12469" t="s">
        <v>30</v>
      </c>
      <c r="J12469" t="s">
        <v>41</v>
      </c>
      <c r="K12469" t="s">
        <v>59</v>
      </c>
      <c r="Q12469">
        <v>0</v>
      </c>
      <c r="R12469">
        <v>66</v>
      </c>
      <c r="S12469">
        <v>66</v>
      </c>
      <c r="T12469" t="s">
        <v>44863</v>
      </c>
    </row>
    <row r="12470" spans="1:20" customFormat="1" ht="15" x14ac:dyDescent="0.25">
      <c r="A12470" t="s">
        <v>35</v>
      </c>
      <c r="B12470" t="s">
        <v>61</v>
      </c>
      <c r="C12470" t="str">
        <f>"A0153007"</f>
        <v>A0153007</v>
      </c>
      <c r="D12470" t="s">
        <v>44864</v>
      </c>
      <c r="E12470" t="s">
        <v>44865</v>
      </c>
      <c r="F12470" t="s">
        <v>7257</v>
      </c>
      <c r="G12470" t="s">
        <v>65</v>
      </c>
      <c r="H12470">
        <v>45176</v>
      </c>
      <c r="I12470" t="s">
        <v>30</v>
      </c>
      <c r="J12470" t="s">
        <v>41</v>
      </c>
      <c r="K12470" t="s">
        <v>229</v>
      </c>
      <c r="Q12470">
        <v>0</v>
      </c>
      <c r="R12470">
        <v>61</v>
      </c>
      <c r="S12470">
        <v>61</v>
      </c>
      <c r="T12470" t="s">
        <v>44866</v>
      </c>
    </row>
    <row r="12471" spans="1:20" customFormat="1" ht="15" x14ac:dyDescent="0.25">
      <c r="A12471" t="s">
        <v>35</v>
      </c>
      <c r="B12471" t="s">
        <v>106</v>
      </c>
      <c r="C12471" t="str">
        <f>"A0136564"</f>
        <v>A0136564</v>
      </c>
      <c r="D12471" t="s">
        <v>44867</v>
      </c>
      <c r="E12471" t="s">
        <v>44868</v>
      </c>
      <c r="F12471" t="s">
        <v>44869</v>
      </c>
      <c r="G12471" t="s">
        <v>1184</v>
      </c>
      <c r="H12471">
        <v>59050</v>
      </c>
      <c r="I12471" t="s">
        <v>30</v>
      </c>
      <c r="J12471" t="s">
        <v>111</v>
      </c>
      <c r="K12471" t="s">
        <v>112</v>
      </c>
      <c r="Q12471">
        <v>0</v>
      </c>
      <c r="R12471">
        <v>0</v>
      </c>
      <c r="S12471">
        <v>0</v>
      </c>
      <c r="T12471" t="s">
        <v>44870</v>
      </c>
    </row>
    <row r="12472" spans="1:20" customFormat="1" ht="15" x14ac:dyDescent="0.25">
      <c r="A12472" t="s">
        <v>35</v>
      </c>
      <c r="B12472" t="s">
        <v>61</v>
      </c>
      <c r="C12472" t="str">
        <f>"A0132576"</f>
        <v>A0132576</v>
      </c>
      <c r="D12472" t="s">
        <v>44871</v>
      </c>
      <c r="E12472" t="s">
        <v>44872</v>
      </c>
      <c r="F12472" t="s">
        <v>15508</v>
      </c>
      <c r="G12472" t="s">
        <v>65</v>
      </c>
      <c r="H12472">
        <v>43311</v>
      </c>
      <c r="I12472" t="s">
        <v>30</v>
      </c>
      <c r="J12472" t="s">
        <v>41</v>
      </c>
      <c r="K12472" t="s">
        <v>229</v>
      </c>
      <c r="Q12472">
        <v>0</v>
      </c>
      <c r="R12472">
        <v>95</v>
      </c>
      <c r="S12472">
        <v>95</v>
      </c>
      <c r="T12472" t="s">
        <v>44873</v>
      </c>
    </row>
    <row r="12473" spans="1:20" customFormat="1" ht="15" x14ac:dyDescent="0.25">
      <c r="A12473" t="s">
        <v>35</v>
      </c>
      <c r="B12473" t="s">
        <v>61</v>
      </c>
      <c r="C12473" t="str">
        <f>"A0130999"</f>
        <v>A0130999</v>
      </c>
      <c r="D12473" t="s">
        <v>44874</v>
      </c>
      <c r="E12473" t="s">
        <v>44875</v>
      </c>
      <c r="F12473" t="s">
        <v>6025</v>
      </c>
      <c r="G12473" t="s">
        <v>85</v>
      </c>
      <c r="H12473">
        <v>729270000</v>
      </c>
      <c r="I12473" t="s">
        <v>30</v>
      </c>
      <c r="J12473" t="s">
        <v>41</v>
      </c>
      <c r="K12473" t="s">
        <v>2760</v>
      </c>
      <c r="Q12473">
        <v>0</v>
      </c>
      <c r="R12473">
        <v>1</v>
      </c>
      <c r="S12473">
        <v>1</v>
      </c>
      <c r="T12473" t="s">
        <v>44876</v>
      </c>
    </row>
    <row r="12474" spans="1:20" customFormat="1" ht="15" x14ac:dyDescent="0.25">
      <c r="A12474" t="s">
        <v>35</v>
      </c>
      <c r="B12474" t="s">
        <v>61</v>
      </c>
      <c r="C12474" t="str">
        <f>"A0130998"</f>
        <v>A0130998</v>
      </c>
      <c r="D12474" t="s">
        <v>44877</v>
      </c>
      <c r="E12474" t="s">
        <v>44878</v>
      </c>
      <c r="F12474" t="s">
        <v>15435</v>
      </c>
      <c r="G12474" t="s">
        <v>85</v>
      </c>
      <c r="H12474">
        <v>728550000</v>
      </c>
      <c r="I12474" t="s">
        <v>30</v>
      </c>
      <c r="J12474" t="s">
        <v>41</v>
      </c>
      <c r="K12474" t="s">
        <v>2760</v>
      </c>
      <c r="Q12474">
        <v>0</v>
      </c>
      <c r="R12474">
        <v>1</v>
      </c>
      <c r="S12474">
        <v>1</v>
      </c>
      <c r="T12474" t="s">
        <v>44879</v>
      </c>
    </row>
    <row r="12475" spans="1:20" customFormat="1" ht="15" x14ac:dyDescent="0.25">
      <c r="A12475" t="s">
        <v>35</v>
      </c>
      <c r="B12475" t="s">
        <v>437</v>
      </c>
      <c r="C12475" t="str">
        <f>"A0134002"</f>
        <v>A0134002</v>
      </c>
      <c r="D12475" t="s">
        <v>44880</v>
      </c>
      <c r="E12475" t="s">
        <v>44881</v>
      </c>
      <c r="F12475" t="s">
        <v>8081</v>
      </c>
      <c r="G12475" t="s">
        <v>110</v>
      </c>
      <c r="H12475">
        <v>94110</v>
      </c>
      <c r="I12475" t="s">
        <v>30</v>
      </c>
      <c r="J12475" t="s">
        <v>441</v>
      </c>
      <c r="K12475" t="s">
        <v>442</v>
      </c>
      <c r="Q12475">
        <v>0</v>
      </c>
      <c r="R12475">
        <v>0</v>
      </c>
      <c r="S12475">
        <v>0</v>
      </c>
      <c r="T12475" t="s">
        <v>44882</v>
      </c>
    </row>
    <row r="12476" spans="1:20" customFormat="1" ht="15" x14ac:dyDescent="0.25">
      <c r="A12476" t="s">
        <v>35</v>
      </c>
      <c r="B12476" t="s">
        <v>61</v>
      </c>
      <c r="C12476" t="str">
        <f>"A0133691"</f>
        <v>A0133691</v>
      </c>
      <c r="D12476" t="s">
        <v>44883</v>
      </c>
      <c r="E12476" t="s">
        <v>44884</v>
      </c>
      <c r="F12476" t="s">
        <v>5257</v>
      </c>
      <c r="G12476" t="s">
        <v>52</v>
      </c>
      <c r="H12476">
        <v>77031</v>
      </c>
      <c r="I12476" t="s">
        <v>30</v>
      </c>
      <c r="J12476" t="s">
        <v>41</v>
      </c>
      <c r="K12476" t="s">
        <v>59</v>
      </c>
      <c r="Q12476">
        <v>0</v>
      </c>
      <c r="R12476">
        <v>0</v>
      </c>
      <c r="S12476">
        <v>0</v>
      </c>
      <c r="T12476" t="s">
        <v>44885</v>
      </c>
    </row>
    <row r="12477" spans="1:20" customFormat="1" ht="15" x14ac:dyDescent="0.25">
      <c r="A12477" t="s">
        <v>35</v>
      </c>
      <c r="B12477" t="s">
        <v>61</v>
      </c>
      <c r="C12477" t="str">
        <f>"A0117887"</f>
        <v>A0117887</v>
      </c>
      <c r="D12477" t="s">
        <v>44886</v>
      </c>
      <c r="E12477" t="s">
        <v>44887</v>
      </c>
      <c r="F12477" t="s">
        <v>25685</v>
      </c>
      <c r="G12477" t="s">
        <v>110</v>
      </c>
      <c r="H12477">
        <v>94509</v>
      </c>
      <c r="I12477" t="s">
        <v>30</v>
      </c>
      <c r="J12477" t="s">
        <v>41</v>
      </c>
      <c r="K12477" t="s">
        <v>229</v>
      </c>
      <c r="Q12477">
        <v>0</v>
      </c>
      <c r="R12477">
        <v>99</v>
      </c>
      <c r="S12477">
        <v>99</v>
      </c>
      <c r="T12477" t="s">
        <v>44888</v>
      </c>
    </row>
    <row r="12478" spans="1:20" customFormat="1" ht="15" x14ac:dyDescent="0.25">
      <c r="A12478" t="s">
        <v>35</v>
      </c>
      <c r="B12478" t="s">
        <v>61</v>
      </c>
      <c r="C12478" t="str">
        <f>"A0130331"</f>
        <v>A0130331</v>
      </c>
      <c r="D12478" t="s">
        <v>44889</v>
      </c>
      <c r="E12478" t="s">
        <v>44890</v>
      </c>
      <c r="F12478" t="s">
        <v>44891</v>
      </c>
      <c r="G12478" t="s">
        <v>1898</v>
      </c>
      <c r="H12478">
        <v>52755</v>
      </c>
      <c r="I12478" t="s">
        <v>30</v>
      </c>
      <c r="J12478" t="s">
        <v>41</v>
      </c>
      <c r="K12478" t="s">
        <v>229</v>
      </c>
      <c r="Q12478">
        <v>0</v>
      </c>
      <c r="R12478">
        <v>46</v>
      </c>
      <c r="S12478">
        <v>46</v>
      </c>
      <c r="T12478" t="s">
        <v>44892</v>
      </c>
    </row>
    <row r="12479" spans="1:20" customFormat="1" ht="15" x14ac:dyDescent="0.25">
      <c r="A12479" t="s">
        <v>35</v>
      </c>
      <c r="B12479" t="s">
        <v>61</v>
      </c>
      <c r="C12479" t="str">
        <f>"A0130357"</f>
        <v>A0130357</v>
      </c>
      <c r="D12479" t="s">
        <v>44893</v>
      </c>
      <c r="E12479" t="s">
        <v>44894</v>
      </c>
      <c r="F12479" t="s">
        <v>15601</v>
      </c>
      <c r="G12479" t="s">
        <v>1898</v>
      </c>
      <c r="H12479">
        <v>51301</v>
      </c>
      <c r="I12479" t="s">
        <v>30</v>
      </c>
      <c r="J12479" t="s">
        <v>41</v>
      </c>
      <c r="K12479" t="s">
        <v>229</v>
      </c>
      <c r="Q12479">
        <v>0</v>
      </c>
      <c r="R12479">
        <v>140</v>
      </c>
      <c r="S12479">
        <v>140</v>
      </c>
      <c r="T12479" t="s">
        <v>44895</v>
      </c>
    </row>
    <row r="12480" spans="1:20" customFormat="1" ht="15" x14ac:dyDescent="0.25">
      <c r="A12480" t="s">
        <v>35</v>
      </c>
      <c r="B12480" t="s">
        <v>61</v>
      </c>
      <c r="C12480" t="str">
        <f>"A0131209"</f>
        <v>A0131209</v>
      </c>
      <c r="D12480" t="s">
        <v>44896</v>
      </c>
      <c r="E12480" t="s">
        <v>44897</v>
      </c>
      <c r="F12480" t="s">
        <v>13445</v>
      </c>
      <c r="G12480" t="s">
        <v>85</v>
      </c>
      <c r="H12480">
        <v>720860000</v>
      </c>
      <c r="I12480" t="s">
        <v>30</v>
      </c>
      <c r="J12480" t="s">
        <v>41</v>
      </c>
      <c r="K12480" t="s">
        <v>2760</v>
      </c>
      <c r="Q12480">
        <v>0</v>
      </c>
      <c r="R12480">
        <v>1</v>
      </c>
      <c r="S12480">
        <v>1</v>
      </c>
      <c r="T12480" t="s">
        <v>44898</v>
      </c>
    </row>
    <row r="12481" spans="1:20" customFormat="1" ht="15" x14ac:dyDescent="0.25">
      <c r="A12481" t="s">
        <v>35</v>
      </c>
      <c r="B12481" t="s">
        <v>61</v>
      </c>
      <c r="C12481" t="str">
        <f>"A0118361"</f>
        <v>A0118361</v>
      </c>
      <c r="D12481" t="s">
        <v>44899</v>
      </c>
      <c r="E12481" t="s">
        <v>44900</v>
      </c>
      <c r="F12481" t="s">
        <v>44901</v>
      </c>
      <c r="G12481" t="s">
        <v>110</v>
      </c>
      <c r="H12481">
        <v>956500000</v>
      </c>
      <c r="I12481" t="s">
        <v>30</v>
      </c>
      <c r="J12481" t="s">
        <v>41</v>
      </c>
      <c r="K12481" t="s">
        <v>59</v>
      </c>
      <c r="Q12481">
        <v>0</v>
      </c>
      <c r="R12481">
        <v>27</v>
      </c>
      <c r="S12481">
        <v>27</v>
      </c>
      <c r="T12481" t="s">
        <v>44902</v>
      </c>
    </row>
    <row r="12482" spans="1:20" customFormat="1" ht="15" x14ac:dyDescent="0.25">
      <c r="A12482" t="s">
        <v>35</v>
      </c>
      <c r="B12482" t="s">
        <v>61</v>
      </c>
      <c r="C12482" t="str">
        <f>"A0124203"</f>
        <v>A0124203</v>
      </c>
      <c r="D12482" t="s">
        <v>44903</v>
      </c>
      <c r="E12482" t="s">
        <v>44904</v>
      </c>
      <c r="F12482" t="s">
        <v>11735</v>
      </c>
      <c r="G12482" t="s">
        <v>65</v>
      </c>
      <c r="H12482">
        <v>44321</v>
      </c>
      <c r="I12482" t="s">
        <v>30</v>
      </c>
      <c r="J12482" t="s">
        <v>41</v>
      </c>
      <c r="K12482" t="s">
        <v>229</v>
      </c>
      <c r="Q12482">
        <v>0</v>
      </c>
      <c r="R12482">
        <v>94</v>
      </c>
      <c r="S12482">
        <v>94</v>
      </c>
      <c r="T12482" t="s">
        <v>44905</v>
      </c>
    </row>
    <row r="12483" spans="1:20" customFormat="1" ht="15" x14ac:dyDescent="0.25">
      <c r="A12483" t="s">
        <v>35</v>
      </c>
      <c r="B12483" t="s">
        <v>61</v>
      </c>
      <c r="C12483" t="str">
        <f>"A0150465"</f>
        <v>A0150465</v>
      </c>
      <c r="D12483" t="s">
        <v>44906</v>
      </c>
      <c r="E12483" t="s">
        <v>44907</v>
      </c>
      <c r="F12483" t="s">
        <v>44908</v>
      </c>
      <c r="G12483" t="s">
        <v>840</v>
      </c>
      <c r="H12483">
        <v>40049</v>
      </c>
      <c r="I12483" t="s">
        <v>30</v>
      </c>
      <c r="J12483" t="s">
        <v>41</v>
      </c>
      <c r="K12483" t="s">
        <v>229</v>
      </c>
      <c r="Q12483">
        <v>0</v>
      </c>
      <c r="R12483">
        <v>85</v>
      </c>
      <c r="S12483">
        <v>85</v>
      </c>
      <c r="T12483" t="s">
        <v>44909</v>
      </c>
    </row>
    <row r="12484" spans="1:20" customFormat="1" ht="15" x14ac:dyDescent="0.25">
      <c r="A12484" t="s">
        <v>35</v>
      </c>
      <c r="B12484" t="s">
        <v>61</v>
      </c>
      <c r="C12484" t="str">
        <f>"A0117900"</f>
        <v>A0117900</v>
      </c>
      <c r="D12484" t="s">
        <v>44910</v>
      </c>
      <c r="E12484" t="s">
        <v>44911</v>
      </c>
      <c r="F12484" t="s">
        <v>20660</v>
      </c>
      <c r="G12484" t="s">
        <v>110</v>
      </c>
      <c r="H12484">
        <v>95032</v>
      </c>
      <c r="I12484" t="s">
        <v>30</v>
      </c>
      <c r="J12484" t="s">
        <v>41</v>
      </c>
      <c r="K12484" t="s">
        <v>229</v>
      </c>
      <c r="Q12484">
        <v>0</v>
      </c>
      <c r="R12484">
        <v>30</v>
      </c>
      <c r="S12484">
        <v>30</v>
      </c>
      <c r="T12484" t="s">
        <v>44912</v>
      </c>
    </row>
    <row r="12485" spans="1:20" customFormat="1" ht="15" x14ac:dyDescent="0.25">
      <c r="A12485" t="s">
        <v>35</v>
      </c>
      <c r="B12485" t="s">
        <v>106</v>
      </c>
      <c r="C12485" t="str">
        <f>"A0135334"</f>
        <v>A0135334</v>
      </c>
      <c r="D12485" t="s">
        <v>44913</v>
      </c>
      <c r="E12485" t="s">
        <v>44914</v>
      </c>
      <c r="F12485" t="s">
        <v>44915</v>
      </c>
      <c r="G12485" t="s">
        <v>117</v>
      </c>
      <c r="H12485">
        <v>49735</v>
      </c>
      <c r="I12485" t="s">
        <v>30</v>
      </c>
      <c r="J12485" t="s">
        <v>111</v>
      </c>
      <c r="K12485" t="s">
        <v>112</v>
      </c>
      <c r="Q12485">
        <v>0</v>
      </c>
      <c r="R12485">
        <v>0</v>
      </c>
      <c r="S12485">
        <v>0</v>
      </c>
      <c r="T12485" t="s">
        <v>44916</v>
      </c>
    </row>
    <row r="12486" spans="1:20" customFormat="1" ht="15" x14ac:dyDescent="0.25">
      <c r="A12486" t="s">
        <v>35</v>
      </c>
      <c r="B12486" t="s">
        <v>61</v>
      </c>
      <c r="C12486" t="str">
        <f>"A0131933"</f>
        <v>A0131933</v>
      </c>
      <c r="D12486" t="s">
        <v>44917</v>
      </c>
      <c r="E12486" t="s">
        <v>44918</v>
      </c>
      <c r="F12486" t="s">
        <v>39588</v>
      </c>
      <c r="G12486" t="s">
        <v>65</v>
      </c>
      <c r="H12486">
        <v>44842</v>
      </c>
      <c r="I12486" t="s">
        <v>30</v>
      </c>
      <c r="J12486" t="s">
        <v>41</v>
      </c>
      <c r="K12486" t="s">
        <v>229</v>
      </c>
      <c r="Q12486">
        <v>0</v>
      </c>
      <c r="R12486">
        <v>55</v>
      </c>
      <c r="S12486">
        <v>55</v>
      </c>
      <c r="T12486" t="s">
        <v>44919</v>
      </c>
    </row>
    <row r="12487" spans="1:20" customFormat="1" ht="15" x14ac:dyDescent="0.25">
      <c r="A12487" t="s">
        <v>35</v>
      </c>
      <c r="B12487" t="s">
        <v>61</v>
      </c>
      <c r="C12487" t="str">
        <f>"A0123405"</f>
        <v>A0123405</v>
      </c>
      <c r="D12487" t="s">
        <v>44920</v>
      </c>
      <c r="E12487" t="s">
        <v>44921</v>
      </c>
      <c r="F12487" t="s">
        <v>32958</v>
      </c>
      <c r="G12487" t="s">
        <v>29</v>
      </c>
      <c r="H12487">
        <v>23093</v>
      </c>
      <c r="I12487" t="s">
        <v>30</v>
      </c>
      <c r="J12487" t="s">
        <v>41</v>
      </c>
      <c r="K12487" t="s">
        <v>229</v>
      </c>
      <c r="Q12487">
        <v>0</v>
      </c>
      <c r="R12487">
        <v>90</v>
      </c>
      <c r="S12487">
        <v>90</v>
      </c>
      <c r="T12487" t="s">
        <v>44922</v>
      </c>
    </row>
    <row r="12488" spans="1:20" customFormat="1" ht="15" x14ac:dyDescent="0.25">
      <c r="A12488" t="s">
        <v>35</v>
      </c>
      <c r="B12488" t="s">
        <v>61</v>
      </c>
      <c r="C12488" t="str">
        <f>"A0124837"</f>
        <v>A0124837</v>
      </c>
      <c r="D12488" t="s">
        <v>44923</v>
      </c>
      <c r="E12488" t="s">
        <v>44924</v>
      </c>
      <c r="F12488" t="s">
        <v>38076</v>
      </c>
      <c r="G12488" t="s">
        <v>214</v>
      </c>
      <c r="H12488">
        <v>27549</v>
      </c>
      <c r="I12488" t="s">
        <v>30</v>
      </c>
      <c r="J12488" t="s">
        <v>41</v>
      </c>
      <c r="K12488" t="s">
        <v>59</v>
      </c>
      <c r="Q12488">
        <v>0</v>
      </c>
      <c r="R12488">
        <v>56</v>
      </c>
      <c r="S12488">
        <v>56</v>
      </c>
      <c r="T12488" t="s">
        <v>44925</v>
      </c>
    </row>
    <row r="12489" spans="1:20" customFormat="1" ht="15" x14ac:dyDescent="0.25">
      <c r="A12489" t="s">
        <v>35</v>
      </c>
      <c r="B12489" t="s">
        <v>61</v>
      </c>
      <c r="C12489" t="str">
        <f>"A0123407"</f>
        <v>A0123407</v>
      </c>
      <c r="D12489" t="s">
        <v>44926</v>
      </c>
      <c r="E12489" t="s">
        <v>44927</v>
      </c>
      <c r="F12489" t="s">
        <v>44928</v>
      </c>
      <c r="G12489" t="s">
        <v>29</v>
      </c>
      <c r="H12489" t="s">
        <v>44929</v>
      </c>
      <c r="I12489" t="s">
        <v>30</v>
      </c>
      <c r="J12489" t="s">
        <v>41</v>
      </c>
      <c r="K12489" t="s">
        <v>229</v>
      </c>
      <c r="Q12489">
        <v>0</v>
      </c>
      <c r="R12489">
        <v>60</v>
      </c>
      <c r="S12489">
        <v>60</v>
      </c>
      <c r="T12489" t="s">
        <v>44930</v>
      </c>
    </row>
    <row r="12490" spans="1:20" customFormat="1" ht="15" x14ac:dyDescent="0.25">
      <c r="A12490" t="s">
        <v>35</v>
      </c>
      <c r="B12490" t="s">
        <v>437</v>
      </c>
      <c r="C12490" t="str">
        <f>"A0134014"</f>
        <v>A0134014</v>
      </c>
      <c r="D12490" t="s">
        <v>44931</v>
      </c>
      <c r="E12490" t="s">
        <v>44932</v>
      </c>
      <c r="F12490" t="s">
        <v>44933</v>
      </c>
      <c r="G12490" t="s">
        <v>110</v>
      </c>
      <c r="H12490">
        <v>91302</v>
      </c>
      <c r="I12490" t="s">
        <v>30</v>
      </c>
      <c r="J12490" t="s">
        <v>441</v>
      </c>
      <c r="K12490" t="s">
        <v>442</v>
      </c>
      <c r="Q12490">
        <v>0</v>
      </c>
      <c r="R12490">
        <v>0</v>
      </c>
      <c r="S12490">
        <v>0</v>
      </c>
      <c r="T12490" t="s">
        <v>44934</v>
      </c>
    </row>
    <row r="12491" spans="1:20" customFormat="1" ht="15" x14ac:dyDescent="0.25">
      <c r="A12491" t="s">
        <v>35</v>
      </c>
      <c r="B12491" t="s">
        <v>106</v>
      </c>
      <c r="C12491" t="str">
        <f>"A0136457"</f>
        <v>A0136457</v>
      </c>
      <c r="D12491" t="s">
        <v>44935</v>
      </c>
      <c r="E12491" t="s">
        <v>44936</v>
      </c>
      <c r="F12491" t="s">
        <v>19029</v>
      </c>
      <c r="G12491" t="s">
        <v>76</v>
      </c>
      <c r="H12491">
        <v>98632</v>
      </c>
      <c r="I12491" t="s">
        <v>30</v>
      </c>
      <c r="J12491" t="s">
        <v>111</v>
      </c>
      <c r="K12491" t="s">
        <v>112</v>
      </c>
      <c r="Q12491">
        <v>0</v>
      </c>
      <c r="R12491">
        <v>0</v>
      </c>
      <c r="S12491">
        <v>0</v>
      </c>
      <c r="T12491" t="s">
        <v>44937</v>
      </c>
    </row>
    <row r="12492" spans="1:20" customFormat="1" ht="15" x14ac:dyDescent="0.25">
      <c r="A12492" t="s">
        <v>35</v>
      </c>
      <c r="B12492" t="s">
        <v>61</v>
      </c>
      <c r="C12492" t="str">
        <f>"A0122001"</f>
        <v>A0122001</v>
      </c>
      <c r="D12492" t="s">
        <v>44938</v>
      </c>
      <c r="E12492" t="s">
        <v>44939</v>
      </c>
      <c r="F12492" t="s">
        <v>24655</v>
      </c>
      <c r="G12492" t="s">
        <v>110</v>
      </c>
      <c r="H12492">
        <v>90232</v>
      </c>
      <c r="I12492" t="s">
        <v>30</v>
      </c>
      <c r="J12492" t="s">
        <v>41</v>
      </c>
      <c r="K12492" t="s">
        <v>59</v>
      </c>
      <c r="Q12492">
        <v>0</v>
      </c>
      <c r="R12492">
        <v>6</v>
      </c>
      <c r="S12492">
        <v>6</v>
      </c>
      <c r="T12492" t="s">
        <v>44940</v>
      </c>
    </row>
    <row r="12493" spans="1:20" customFormat="1" ht="15" x14ac:dyDescent="0.25">
      <c r="A12493" t="s">
        <v>35</v>
      </c>
      <c r="B12493" t="s">
        <v>437</v>
      </c>
      <c r="C12493" t="str">
        <f>"A0154055"</f>
        <v>A0154055</v>
      </c>
      <c r="D12493" t="s">
        <v>44941</v>
      </c>
      <c r="E12493" t="s">
        <v>44942</v>
      </c>
      <c r="F12493" t="s">
        <v>11421</v>
      </c>
      <c r="G12493" t="s">
        <v>76</v>
      </c>
      <c r="H12493">
        <v>98034</v>
      </c>
      <c r="I12493" t="s">
        <v>30</v>
      </c>
      <c r="J12493" t="s">
        <v>441</v>
      </c>
      <c r="K12493" t="s">
        <v>9719</v>
      </c>
      <c r="Q12493">
        <v>0</v>
      </c>
      <c r="R12493">
        <v>0</v>
      </c>
      <c r="S12493">
        <v>0</v>
      </c>
      <c r="T12493" t="s">
        <v>44943</v>
      </c>
    </row>
    <row r="12494" spans="1:20" customFormat="1" ht="15" x14ac:dyDescent="0.25">
      <c r="A12494" t="s">
        <v>35</v>
      </c>
      <c r="B12494" t="s">
        <v>61</v>
      </c>
      <c r="C12494" t="str">
        <f>"A0123822"</f>
        <v>A0123822</v>
      </c>
      <c r="D12494" t="s">
        <v>44944</v>
      </c>
      <c r="E12494" t="s">
        <v>44945</v>
      </c>
      <c r="F12494" t="s">
        <v>44946</v>
      </c>
      <c r="G12494" t="s">
        <v>29</v>
      </c>
      <c r="H12494">
        <v>238320170</v>
      </c>
      <c r="I12494" t="s">
        <v>30</v>
      </c>
      <c r="J12494" t="s">
        <v>41</v>
      </c>
      <c r="K12494" t="s">
        <v>229</v>
      </c>
      <c r="Q12494">
        <v>0</v>
      </c>
      <c r="R12494">
        <v>240</v>
      </c>
      <c r="S12494">
        <v>240</v>
      </c>
      <c r="T12494" t="s">
        <v>44947</v>
      </c>
    </row>
    <row r="12495" spans="1:20" customFormat="1" ht="15" x14ac:dyDescent="0.25">
      <c r="A12495" t="s">
        <v>35</v>
      </c>
      <c r="B12495" t="s">
        <v>437</v>
      </c>
      <c r="C12495" t="str">
        <f>"A0133945"</f>
        <v>A0133945</v>
      </c>
      <c r="D12495" t="s">
        <v>44948</v>
      </c>
      <c r="E12495" t="s">
        <v>44949</v>
      </c>
      <c r="F12495" t="s">
        <v>8348</v>
      </c>
      <c r="G12495" t="s">
        <v>40</v>
      </c>
      <c r="H12495">
        <v>74133</v>
      </c>
      <c r="I12495" t="s">
        <v>30</v>
      </c>
      <c r="J12495" t="s">
        <v>441</v>
      </c>
      <c r="K12495" t="s">
        <v>442</v>
      </c>
      <c r="Q12495">
        <v>0</v>
      </c>
      <c r="R12495">
        <v>0</v>
      </c>
      <c r="S12495">
        <v>0</v>
      </c>
      <c r="T12495" t="s">
        <v>44950</v>
      </c>
    </row>
    <row r="12496" spans="1:20" customFormat="1" ht="15" x14ac:dyDescent="0.25">
      <c r="A12496" t="s">
        <v>35</v>
      </c>
      <c r="B12496" t="s">
        <v>437</v>
      </c>
      <c r="C12496" t="str">
        <f>"A0134507"</f>
        <v>A0134507</v>
      </c>
      <c r="D12496" t="s">
        <v>44951</v>
      </c>
      <c r="E12496" t="s">
        <v>44952</v>
      </c>
      <c r="F12496" t="s">
        <v>3180</v>
      </c>
      <c r="G12496" t="s">
        <v>99</v>
      </c>
      <c r="H12496">
        <v>13448</v>
      </c>
      <c r="I12496" t="s">
        <v>30</v>
      </c>
      <c r="J12496" t="s">
        <v>441</v>
      </c>
      <c r="K12496" t="s">
        <v>442</v>
      </c>
      <c r="Q12496">
        <v>0</v>
      </c>
      <c r="R12496">
        <v>0</v>
      </c>
      <c r="S12496">
        <v>0</v>
      </c>
      <c r="T12496" t="s">
        <v>44953</v>
      </c>
    </row>
    <row r="12497" spans="1:20" customFormat="1" ht="15" x14ac:dyDescent="0.25">
      <c r="A12497" t="s">
        <v>35</v>
      </c>
      <c r="B12497" t="s">
        <v>437</v>
      </c>
      <c r="C12497" t="str">
        <f>"A0134506"</f>
        <v>A0134506</v>
      </c>
      <c r="D12497" t="s">
        <v>44954</v>
      </c>
      <c r="E12497" t="s">
        <v>44955</v>
      </c>
      <c r="F12497" t="s">
        <v>3180</v>
      </c>
      <c r="G12497" t="s">
        <v>99</v>
      </c>
      <c r="H12497">
        <v>13440</v>
      </c>
      <c r="I12497" t="s">
        <v>30</v>
      </c>
      <c r="J12497" t="s">
        <v>441</v>
      </c>
      <c r="K12497" t="s">
        <v>442</v>
      </c>
      <c r="Q12497">
        <v>0</v>
      </c>
      <c r="R12497">
        <v>0</v>
      </c>
      <c r="S12497">
        <v>0</v>
      </c>
      <c r="T12497" t="s">
        <v>44956</v>
      </c>
    </row>
    <row r="12498" spans="1:20" customFormat="1" ht="15" x14ac:dyDescent="0.25">
      <c r="A12498" t="s">
        <v>35</v>
      </c>
      <c r="B12498" t="s">
        <v>61</v>
      </c>
      <c r="C12498" t="str">
        <f>"A0123823"</f>
        <v>A0123823</v>
      </c>
      <c r="D12498" t="s">
        <v>44957</v>
      </c>
      <c r="E12498" t="s">
        <v>44958</v>
      </c>
      <c r="F12498" t="s">
        <v>37286</v>
      </c>
      <c r="G12498" t="s">
        <v>214</v>
      </c>
      <c r="H12498">
        <v>27317</v>
      </c>
      <c r="I12498" t="s">
        <v>30</v>
      </c>
      <c r="J12498" t="s">
        <v>41</v>
      </c>
      <c r="K12498" t="s">
        <v>482</v>
      </c>
      <c r="Q12498">
        <v>0</v>
      </c>
      <c r="R12498">
        <v>80</v>
      </c>
      <c r="S12498">
        <v>80</v>
      </c>
      <c r="T12498" t="s">
        <v>43219</v>
      </c>
    </row>
    <row r="12499" spans="1:20" customFormat="1" ht="15" x14ac:dyDescent="0.25">
      <c r="A12499" t="s">
        <v>35</v>
      </c>
      <c r="B12499" t="s">
        <v>437</v>
      </c>
      <c r="C12499" t="str">
        <f>"A0133842"</f>
        <v>A0133842</v>
      </c>
      <c r="D12499" t="s">
        <v>44959</v>
      </c>
      <c r="E12499" t="s">
        <v>44960</v>
      </c>
      <c r="F12499" t="s">
        <v>22142</v>
      </c>
      <c r="G12499" t="s">
        <v>110</v>
      </c>
      <c r="H12499">
        <v>926510000</v>
      </c>
      <c r="I12499" t="s">
        <v>30</v>
      </c>
      <c r="J12499" t="s">
        <v>441</v>
      </c>
      <c r="K12499" t="s">
        <v>442</v>
      </c>
      <c r="Q12499">
        <v>0</v>
      </c>
      <c r="R12499">
        <v>0</v>
      </c>
      <c r="S12499">
        <v>0</v>
      </c>
      <c r="T12499" t="s">
        <v>44961</v>
      </c>
    </row>
    <row r="12500" spans="1:20" customFormat="1" ht="15" x14ac:dyDescent="0.25">
      <c r="A12500" t="s">
        <v>35</v>
      </c>
      <c r="B12500" t="s">
        <v>61</v>
      </c>
      <c r="C12500" t="str">
        <f>"A0154080"</f>
        <v>A0154080</v>
      </c>
      <c r="D12500" t="s">
        <v>44962</v>
      </c>
      <c r="E12500" t="s">
        <v>44963</v>
      </c>
      <c r="F12500" t="s">
        <v>522</v>
      </c>
      <c r="G12500" t="s">
        <v>123</v>
      </c>
      <c r="H12500">
        <v>21146</v>
      </c>
      <c r="I12500" t="s">
        <v>30</v>
      </c>
      <c r="J12500" t="s">
        <v>41</v>
      </c>
      <c r="K12500" t="s">
        <v>59</v>
      </c>
      <c r="Q12500">
        <v>0</v>
      </c>
      <c r="R12500">
        <v>0</v>
      </c>
      <c r="S12500">
        <v>0</v>
      </c>
      <c r="T12500" t="s">
        <v>44964</v>
      </c>
    </row>
    <row r="12501" spans="1:20" customFormat="1" ht="15" x14ac:dyDescent="0.25">
      <c r="A12501" t="s">
        <v>35</v>
      </c>
      <c r="B12501" t="s">
        <v>61</v>
      </c>
      <c r="C12501" t="str">
        <f>"A0132883"</f>
        <v>A0132883</v>
      </c>
      <c r="D12501" t="s">
        <v>44965</v>
      </c>
      <c r="E12501" t="s">
        <v>44966</v>
      </c>
      <c r="F12501" t="s">
        <v>44967</v>
      </c>
      <c r="G12501" t="s">
        <v>65</v>
      </c>
      <c r="H12501">
        <v>45069</v>
      </c>
      <c r="I12501" t="s">
        <v>30</v>
      </c>
      <c r="J12501" t="s">
        <v>41</v>
      </c>
      <c r="K12501" t="s">
        <v>461</v>
      </c>
      <c r="Q12501">
        <v>0</v>
      </c>
      <c r="R12501">
        <v>60</v>
      </c>
      <c r="S12501">
        <v>60</v>
      </c>
      <c r="T12501" t="s">
        <v>44968</v>
      </c>
    </row>
    <row r="12502" spans="1:20" customFormat="1" ht="15" x14ac:dyDescent="0.25">
      <c r="A12502" t="s">
        <v>35</v>
      </c>
      <c r="B12502" t="s">
        <v>61</v>
      </c>
      <c r="C12502" t="str">
        <f>"A0131883"</f>
        <v>A0131883</v>
      </c>
      <c r="D12502" t="s">
        <v>44969</v>
      </c>
      <c r="E12502" t="s">
        <v>44970</v>
      </c>
      <c r="F12502" t="s">
        <v>17870</v>
      </c>
      <c r="G12502" t="s">
        <v>65</v>
      </c>
      <c r="H12502">
        <v>434680000</v>
      </c>
      <c r="I12502" t="s">
        <v>30</v>
      </c>
      <c r="J12502" t="s">
        <v>41</v>
      </c>
      <c r="K12502" t="s">
        <v>229</v>
      </c>
      <c r="Q12502">
        <v>0</v>
      </c>
      <c r="R12502">
        <v>113</v>
      </c>
      <c r="S12502">
        <v>113</v>
      </c>
      <c r="T12502" t="s">
        <v>44971</v>
      </c>
    </row>
    <row r="12503" spans="1:20" customFormat="1" ht="15" x14ac:dyDescent="0.25">
      <c r="A12503" t="s">
        <v>35</v>
      </c>
      <c r="B12503" t="s">
        <v>61</v>
      </c>
      <c r="C12503" t="str">
        <f>"A0123824"</f>
        <v>A0123824</v>
      </c>
      <c r="D12503" t="s">
        <v>11453</v>
      </c>
      <c r="E12503" t="s">
        <v>44972</v>
      </c>
      <c r="F12503" t="s">
        <v>17879</v>
      </c>
      <c r="G12503" t="s">
        <v>29</v>
      </c>
      <c r="H12503">
        <v>23452</v>
      </c>
      <c r="I12503" t="s">
        <v>30</v>
      </c>
      <c r="J12503" t="s">
        <v>41</v>
      </c>
      <c r="K12503" t="s">
        <v>59</v>
      </c>
      <c r="Q12503">
        <v>0</v>
      </c>
      <c r="R12503">
        <v>135</v>
      </c>
      <c r="S12503">
        <v>135</v>
      </c>
      <c r="T12503" t="s">
        <v>44973</v>
      </c>
    </row>
    <row r="12504" spans="1:20" customFormat="1" ht="15" x14ac:dyDescent="0.25">
      <c r="A12504" t="s">
        <v>35</v>
      </c>
      <c r="B12504" t="s">
        <v>61</v>
      </c>
      <c r="C12504" t="str">
        <f>"A0131140"</f>
        <v>A0131140</v>
      </c>
      <c r="D12504" t="s">
        <v>44974</v>
      </c>
      <c r="E12504" t="s">
        <v>44975</v>
      </c>
      <c r="F12504" t="s">
        <v>17468</v>
      </c>
      <c r="G12504" t="s">
        <v>137</v>
      </c>
      <c r="H12504">
        <v>634010000</v>
      </c>
      <c r="I12504" t="s">
        <v>30</v>
      </c>
      <c r="J12504" t="s">
        <v>41</v>
      </c>
      <c r="K12504" t="s">
        <v>229</v>
      </c>
      <c r="Q12504">
        <v>0</v>
      </c>
      <c r="R12504">
        <v>60</v>
      </c>
      <c r="S12504">
        <v>60</v>
      </c>
      <c r="T12504" t="s">
        <v>44976</v>
      </c>
    </row>
    <row r="12505" spans="1:20" customFormat="1" ht="15" x14ac:dyDescent="0.25">
      <c r="A12505" t="s">
        <v>35</v>
      </c>
      <c r="B12505" t="s">
        <v>61</v>
      </c>
      <c r="C12505" t="str">
        <f>"A0131961"</f>
        <v>A0131961</v>
      </c>
      <c r="D12505" t="s">
        <v>44977</v>
      </c>
      <c r="E12505" t="s">
        <v>44978</v>
      </c>
      <c r="F12505" t="s">
        <v>9274</v>
      </c>
      <c r="G12505" t="s">
        <v>65</v>
      </c>
      <c r="H12505">
        <v>45804</v>
      </c>
      <c r="I12505" t="s">
        <v>30</v>
      </c>
      <c r="J12505" t="s">
        <v>41</v>
      </c>
      <c r="K12505" t="s">
        <v>4272</v>
      </c>
      <c r="Q12505">
        <v>0</v>
      </c>
      <c r="R12505">
        <v>1</v>
      </c>
      <c r="S12505">
        <v>1</v>
      </c>
      <c r="T12505" t="s">
        <v>44979</v>
      </c>
    </row>
    <row r="12506" spans="1:20" customFormat="1" ht="15" x14ac:dyDescent="0.25">
      <c r="A12506" t="s">
        <v>35</v>
      </c>
      <c r="B12506" t="s">
        <v>61</v>
      </c>
      <c r="C12506" t="str">
        <f>"A0131988"</f>
        <v>A0131988</v>
      </c>
      <c r="D12506" t="s">
        <v>44980</v>
      </c>
      <c r="E12506" t="s">
        <v>44981</v>
      </c>
      <c r="F12506" t="s">
        <v>8428</v>
      </c>
      <c r="G12506" t="s">
        <v>65</v>
      </c>
      <c r="H12506">
        <v>43616</v>
      </c>
      <c r="I12506" t="s">
        <v>30</v>
      </c>
      <c r="J12506" t="s">
        <v>41</v>
      </c>
      <c r="K12506" t="s">
        <v>2477</v>
      </c>
      <c r="Q12506">
        <v>0</v>
      </c>
      <c r="R12506">
        <v>40</v>
      </c>
      <c r="S12506">
        <v>40</v>
      </c>
      <c r="T12506" t="s">
        <v>44982</v>
      </c>
    </row>
    <row r="12507" spans="1:20" customFormat="1" ht="15" x14ac:dyDescent="0.25">
      <c r="A12507" t="s">
        <v>35</v>
      </c>
      <c r="B12507" t="s">
        <v>61</v>
      </c>
      <c r="C12507" t="str">
        <f>"A0129179"</f>
        <v>A0129179</v>
      </c>
      <c r="D12507" t="s">
        <v>44983</v>
      </c>
      <c r="E12507" t="s">
        <v>44984</v>
      </c>
      <c r="F12507" t="s">
        <v>3280</v>
      </c>
      <c r="G12507" t="s">
        <v>289</v>
      </c>
      <c r="H12507">
        <v>60004</v>
      </c>
      <c r="I12507" t="s">
        <v>30</v>
      </c>
      <c r="J12507" t="s">
        <v>41</v>
      </c>
      <c r="K12507" t="s">
        <v>59</v>
      </c>
      <c r="Q12507">
        <v>0</v>
      </c>
      <c r="R12507">
        <v>500</v>
      </c>
      <c r="S12507">
        <v>500</v>
      </c>
      <c r="T12507" t="s">
        <v>44985</v>
      </c>
    </row>
    <row r="12508" spans="1:20" customFormat="1" ht="15" x14ac:dyDescent="0.25">
      <c r="A12508" t="s">
        <v>35</v>
      </c>
      <c r="B12508" t="s">
        <v>10179</v>
      </c>
      <c r="C12508" t="str">
        <f>"A0129056"</f>
        <v>A0129056</v>
      </c>
      <c r="D12508" t="s">
        <v>44986</v>
      </c>
      <c r="E12508" t="s">
        <v>44987</v>
      </c>
      <c r="F12508" t="s">
        <v>10182</v>
      </c>
      <c r="G12508" t="s">
        <v>289</v>
      </c>
      <c r="H12508">
        <v>62411</v>
      </c>
      <c r="I12508" t="s">
        <v>30</v>
      </c>
      <c r="J12508" t="s">
        <v>41</v>
      </c>
      <c r="K12508" t="s">
        <v>229</v>
      </c>
      <c r="Q12508">
        <v>0</v>
      </c>
      <c r="R12508">
        <v>97</v>
      </c>
      <c r="S12508">
        <v>97</v>
      </c>
      <c r="T12508" t="s">
        <v>10183</v>
      </c>
    </row>
    <row r="12509" spans="1:20" customFormat="1" ht="15" x14ac:dyDescent="0.25">
      <c r="A12509" t="s">
        <v>35</v>
      </c>
      <c r="B12509" t="s">
        <v>61</v>
      </c>
      <c r="C12509" t="str">
        <f>"A0128914"</f>
        <v>A0128914</v>
      </c>
      <c r="D12509" t="s">
        <v>44988</v>
      </c>
      <c r="E12509" t="s">
        <v>44989</v>
      </c>
      <c r="F12509" t="s">
        <v>8428</v>
      </c>
      <c r="G12509" t="s">
        <v>289</v>
      </c>
      <c r="H12509">
        <v>610610000</v>
      </c>
      <c r="I12509" t="s">
        <v>30</v>
      </c>
      <c r="J12509" t="s">
        <v>41</v>
      </c>
      <c r="K12509" t="s">
        <v>42</v>
      </c>
      <c r="Q12509">
        <v>0</v>
      </c>
      <c r="R12509">
        <v>1</v>
      </c>
      <c r="S12509">
        <v>1</v>
      </c>
      <c r="T12509" t="s">
        <v>44990</v>
      </c>
    </row>
    <row r="12510" spans="1:20" customFormat="1" ht="15" x14ac:dyDescent="0.25">
      <c r="A12510" t="s">
        <v>35</v>
      </c>
      <c r="B12510" t="s">
        <v>61</v>
      </c>
      <c r="C12510" t="str">
        <f>"A0130423"</f>
        <v>A0130423</v>
      </c>
      <c r="D12510" t="s">
        <v>11956</v>
      </c>
      <c r="E12510" t="s">
        <v>44991</v>
      </c>
      <c r="F12510" t="s">
        <v>21733</v>
      </c>
      <c r="G12510" t="s">
        <v>1898</v>
      </c>
      <c r="H12510">
        <v>504590000</v>
      </c>
      <c r="I12510" t="s">
        <v>30</v>
      </c>
      <c r="J12510" t="s">
        <v>41</v>
      </c>
      <c r="K12510" t="s">
        <v>229</v>
      </c>
      <c r="Q12510">
        <v>0</v>
      </c>
      <c r="R12510">
        <v>62</v>
      </c>
      <c r="S12510">
        <v>62</v>
      </c>
      <c r="T12510" t="s">
        <v>11960</v>
      </c>
    </row>
    <row r="12511" spans="1:20" customFormat="1" ht="15" x14ac:dyDescent="0.25">
      <c r="A12511" t="s">
        <v>35</v>
      </c>
      <c r="B12511" t="s">
        <v>10179</v>
      </c>
      <c r="C12511" t="str">
        <f>"A0129054"</f>
        <v>A0129054</v>
      </c>
      <c r="D12511" t="s">
        <v>44992</v>
      </c>
      <c r="E12511" t="s">
        <v>44987</v>
      </c>
      <c r="F12511" t="s">
        <v>10182</v>
      </c>
      <c r="G12511" t="s">
        <v>289</v>
      </c>
      <c r="H12511">
        <v>62411</v>
      </c>
      <c r="I12511" t="s">
        <v>30</v>
      </c>
      <c r="J12511" t="s">
        <v>41</v>
      </c>
      <c r="K12511" t="s">
        <v>229</v>
      </c>
      <c r="Q12511">
        <v>0</v>
      </c>
      <c r="R12511">
        <v>20</v>
      </c>
      <c r="S12511">
        <v>20</v>
      </c>
      <c r="T12511" t="s">
        <v>10183</v>
      </c>
    </row>
    <row r="12512" spans="1:20" customFormat="1" ht="15" x14ac:dyDescent="0.25">
      <c r="A12512" t="s">
        <v>35</v>
      </c>
      <c r="B12512" t="s">
        <v>10179</v>
      </c>
      <c r="C12512" t="str">
        <f>"A0129053"</f>
        <v>A0129053</v>
      </c>
      <c r="D12512" t="s">
        <v>44993</v>
      </c>
      <c r="E12512" t="s">
        <v>44994</v>
      </c>
      <c r="F12512" t="s">
        <v>10182</v>
      </c>
      <c r="G12512" t="s">
        <v>289</v>
      </c>
      <c r="H12512">
        <v>62411</v>
      </c>
      <c r="I12512" t="s">
        <v>30</v>
      </c>
      <c r="J12512" t="s">
        <v>41</v>
      </c>
      <c r="K12512" t="s">
        <v>229</v>
      </c>
      <c r="Q12512">
        <v>0</v>
      </c>
      <c r="R12512">
        <v>15</v>
      </c>
      <c r="S12512">
        <v>15</v>
      </c>
      <c r="T12512" t="s">
        <v>10183</v>
      </c>
    </row>
    <row r="12513" spans="1:20" customFormat="1" ht="15" x14ac:dyDescent="0.25">
      <c r="A12513" t="s">
        <v>35</v>
      </c>
      <c r="B12513" t="s">
        <v>61</v>
      </c>
      <c r="C12513" t="str">
        <f>"A0124204"</f>
        <v>A0124204</v>
      </c>
      <c r="D12513" t="s">
        <v>44995</v>
      </c>
      <c r="E12513" t="s">
        <v>44996</v>
      </c>
      <c r="F12513" t="s">
        <v>15622</v>
      </c>
      <c r="G12513" t="s">
        <v>29</v>
      </c>
      <c r="H12513">
        <v>23504</v>
      </c>
      <c r="I12513" t="s">
        <v>30</v>
      </c>
      <c r="J12513" t="s">
        <v>41</v>
      </c>
      <c r="K12513" t="s">
        <v>482</v>
      </c>
      <c r="Q12513">
        <v>0</v>
      </c>
      <c r="R12513">
        <v>27</v>
      </c>
      <c r="S12513">
        <v>27</v>
      </c>
      <c r="T12513" t="s">
        <v>44997</v>
      </c>
    </row>
    <row r="12514" spans="1:20" customFormat="1" ht="15" x14ac:dyDescent="0.25">
      <c r="A12514" t="s">
        <v>35</v>
      </c>
      <c r="B12514" t="s">
        <v>61</v>
      </c>
      <c r="C12514" t="str">
        <f>"A0132085"</f>
        <v>A0132085</v>
      </c>
      <c r="D12514" t="s">
        <v>44998</v>
      </c>
      <c r="E12514" t="s">
        <v>44999</v>
      </c>
      <c r="F12514" t="s">
        <v>2748</v>
      </c>
      <c r="G12514" t="s">
        <v>65</v>
      </c>
      <c r="H12514">
        <v>436090000</v>
      </c>
      <c r="I12514" t="s">
        <v>30</v>
      </c>
      <c r="J12514" t="s">
        <v>41</v>
      </c>
      <c r="K12514" t="s">
        <v>2760</v>
      </c>
      <c r="Q12514">
        <v>0</v>
      </c>
      <c r="R12514">
        <v>1</v>
      </c>
      <c r="S12514">
        <v>1</v>
      </c>
      <c r="T12514" t="s">
        <v>45000</v>
      </c>
    </row>
    <row r="12515" spans="1:20" customFormat="1" ht="15" x14ac:dyDescent="0.25">
      <c r="A12515" t="s">
        <v>35</v>
      </c>
      <c r="B12515" t="s">
        <v>106</v>
      </c>
      <c r="C12515" t="str">
        <f>"A0136118"</f>
        <v>A0136118</v>
      </c>
      <c r="D12515" t="s">
        <v>45001</v>
      </c>
      <c r="E12515" t="s">
        <v>45002</v>
      </c>
      <c r="F12515" t="s">
        <v>20029</v>
      </c>
      <c r="G12515" t="s">
        <v>1706</v>
      </c>
      <c r="H12515">
        <v>36850</v>
      </c>
      <c r="I12515" t="s">
        <v>30</v>
      </c>
      <c r="J12515" t="s">
        <v>111</v>
      </c>
      <c r="K12515" t="s">
        <v>112</v>
      </c>
      <c r="Q12515">
        <v>0</v>
      </c>
      <c r="R12515">
        <v>0</v>
      </c>
      <c r="S12515">
        <v>0</v>
      </c>
      <c r="T12515" t="s">
        <v>45003</v>
      </c>
    </row>
    <row r="12516" spans="1:20" customFormat="1" ht="15" x14ac:dyDescent="0.25">
      <c r="A12516" t="s">
        <v>35</v>
      </c>
      <c r="B12516" t="s">
        <v>106</v>
      </c>
      <c r="C12516" t="str">
        <f>"A0135975"</f>
        <v>A0135975</v>
      </c>
      <c r="D12516" t="s">
        <v>45004</v>
      </c>
      <c r="E12516" t="s">
        <v>45005</v>
      </c>
      <c r="F12516" t="s">
        <v>6768</v>
      </c>
      <c r="G12516" t="s">
        <v>29</v>
      </c>
      <c r="H12516">
        <v>24501</v>
      </c>
      <c r="I12516" t="s">
        <v>30</v>
      </c>
      <c r="J12516" t="s">
        <v>111</v>
      </c>
      <c r="K12516" t="s">
        <v>112</v>
      </c>
      <c r="Q12516">
        <v>0</v>
      </c>
      <c r="R12516">
        <v>0</v>
      </c>
      <c r="S12516">
        <v>0</v>
      </c>
      <c r="T12516" t="s">
        <v>45006</v>
      </c>
    </row>
    <row r="12517" spans="1:20" customFormat="1" ht="15" x14ac:dyDescent="0.25">
      <c r="A12517" t="s">
        <v>35</v>
      </c>
      <c r="B12517" t="s">
        <v>61</v>
      </c>
      <c r="C12517" t="str">
        <f>"A0123408"</f>
        <v>A0123408</v>
      </c>
      <c r="D12517" t="s">
        <v>45007</v>
      </c>
      <c r="E12517" t="s">
        <v>45008</v>
      </c>
      <c r="F12517" t="s">
        <v>6768</v>
      </c>
      <c r="G12517" t="s">
        <v>29</v>
      </c>
      <c r="H12517" t="s">
        <v>45009</v>
      </c>
      <c r="I12517" t="s">
        <v>30</v>
      </c>
      <c r="J12517" t="s">
        <v>41</v>
      </c>
      <c r="K12517" t="s">
        <v>229</v>
      </c>
      <c r="Q12517">
        <v>0</v>
      </c>
      <c r="R12517">
        <v>180</v>
      </c>
      <c r="S12517">
        <v>180</v>
      </c>
      <c r="T12517" t="s">
        <v>45010</v>
      </c>
    </row>
    <row r="12518" spans="1:20" customFormat="1" ht="15" x14ac:dyDescent="0.25">
      <c r="A12518" t="s">
        <v>35</v>
      </c>
      <c r="B12518" t="s">
        <v>61</v>
      </c>
      <c r="C12518" t="str">
        <f>"A0123044"</f>
        <v>A0123044</v>
      </c>
      <c r="D12518" t="s">
        <v>45011</v>
      </c>
      <c r="E12518" t="s">
        <v>45012</v>
      </c>
      <c r="F12518" t="s">
        <v>39310</v>
      </c>
      <c r="G12518" t="s">
        <v>76</v>
      </c>
      <c r="H12518">
        <v>98264</v>
      </c>
      <c r="I12518" t="s">
        <v>30</v>
      </c>
      <c r="J12518" t="s">
        <v>41</v>
      </c>
      <c r="K12518" t="s">
        <v>482</v>
      </c>
      <c r="Q12518">
        <v>0</v>
      </c>
      <c r="R12518">
        <v>115</v>
      </c>
      <c r="S12518">
        <v>115</v>
      </c>
      <c r="T12518" t="s">
        <v>45013</v>
      </c>
    </row>
    <row r="12519" spans="1:20" customFormat="1" ht="15" x14ac:dyDescent="0.25">
      <c r="A12519" t="s">
        <v>35</v>
      </c>
      <c r="B12519" t="s">
        <v>61</v>
      </c>
      <c r="C12519" t="str">
        <f>"A0131590"</f>
        <v>A0131590</v>
      </c>
      <c r="D12519" t="s">
        <v>45014</v>
      </c>
      <c r="E12519" t="s">
        <v>45015</v>
      </c>
      <c r="F12519" t="s">
        <v>8622</v>
      </c>
      <c r="G12519" t="s">
        <v>381</v>
      </c>
      <c r="H12519">
        <v>46241</v>
      </c>
      <c r="I12519" t="s">
        <v>30</v>
      </c>
      <c r="J12519" t="s">
        <v>41</v>
      </c>
      <c r="K12519" t="s">
        <v>229</v>
      </c>
      <c r="Q12519">
        <v>0</v>
      </c>
      <c r="R12519">
        <v>40</v>
      </c>
      <c r="S12519">
        <v>40</v>
      </c>
      <c r="T12519" t="s">
        <v>45016</v>
      </c>
    </row>
    <row r="12520" spans="1:20" customFormat="1" ht="15" x14ac:dyDescent="0.25">
      <c r="A12520" t="s">
        <v>35</v>
      </c>
      <c r="B12520" t="s">
        <v>61</v>
      </c>
      <c r="C12520" t="str">
        <f>"A0125892"</f>
        <v>A0125892</v>
      </c>
      <c r="D12520" t="s">
        <v>45017</v>
      </c>
      <c r="E12520" t="s">
        <v>45018</v>
      </c>
      <c r="F12520" t="s">
        <v>19203</v>
      </c>
      <c r="G12520" t="s">
        <v>29</v>
      </c>
      <c r="H12520">
        <v>22304</v>
      </c>
      <c r="I12520" t="s">
        <v>30</v>
      </c>
      <c r="J12520" t="s">
        <v>41</v>
      </c>
      <c r="K12520" t="s">
        <v>229</v>
      </c>
      <c r="Q12520">
        <v>0</v>
      </c>
      <c r="R12520">
        <v>22</v>
      </c>
      <c r="S12520">
        <v>22</v>
      </c>
      <c r="T12520" t="s">
        <v>45019</v>
      </c>
    </row>
    <row r="12521" spans="1:20" customFormat="1" ht="15" x14ac:dyDescent="0.25">
      <c r="A12521" t="s">
        <v>35</v>
      </c>
      <c r="B12521" t="s">
        <v>61</v>
      </c>
      <c r="C12521" t="str">
        <f>"A0131007"</f>
        <v>A0131007</v>
      </c>
      <c r="D12521" t="s">
        <v>45020</v>
      </c>
      <c r="E12521" t="s">
        <v>45021</v>
      </c>
      <c r="F12521" t="s">
        <v>45022</v>
      </c>
      <c r="G12521" t="s">
        <v>137</v>
      </c>
      <c r="H12521">
        <v>633530000</v>
      </c>
      <c r="I12521" t="s">
        <v>30</v>
      </c>
      <c r="J12521" t="s">
        <v>41</v>
      </c>
      <c r="K12521" t="s">
        <v>59</v>
      </c>
      <c r="Q12521">
        <v>0</v>
      </c>
      <c r="R12521">
        <v>44</v>
      </c>
      <c r="S12521">
        <v>44</v>
      </c>
      <c r="T12521" t="s">
        <v>45023</v>
      </c>
    </row>
    <row r="12522" spans="1:20" customFormat="1" ht="15" x14ac:dyDescent="0.25">
      <c r="A12522" t="s">
        <v>35</v>
      </c>
      <c r="B12522" t="s">
        <v>12656</v>
      </c>
      <c r="C12522" t="str">
        <f>"A0118336"</f>
        <v>A0118336</v>
      </c>
      <c r="D12522" t="s">
        <v>45024</v>
      </c>
      <c r="E12522" t="s">
        <v>45025</v>
      </c>
      <c r="F12522" t="s">
        <v>1136</v>
      </c>
      <c r="G12522" t="s">
        <v>110</v>
      </c>
      <c r="H12522">
        <v>94301</v>
      </c>
      <c r="I12522" t="s">
        <v>30</v>
      </c>
      <c r="J12522" t="s">
        <v>41</v>
      </c>
      <c r="K12522" t="s">
        <v>59</v>
      </c>
      <c r="Q12522">
        <v>0</v>
      </c>
      <c r="R12522">
        <v>145</v>
      </c>
      <c r="S12522">
        <v>145</v>
      </c>
      <c r="T12522" t="s">
        <v>45026</v>
      </c>
    </row>
    <row r="12523" spans="1:20" customFormat="1" ht="15" x14ac:dyDescent="0.25">
      <c r="A12523" t="s">
        <v>35</v>
      </c>
      <c r="B12523" t="s">
        <v>61</v>
      </c>
      <c r="C12523" t="str">
        <f>"A0130069"</f>
        <v>A0130069</v>
      </c>
      <c r="D12523" t="s">
        <v>45027</v>
      </c>
      <c r="E12523" t="s">
        <v>45028</v>
      </c>
      <c r="F12523" t="s">
        <v>45029</v>
      </c>
      <c r="G12523" t="s">
        <v>880</v>
      </c>
      <c r="H12523">
        <v>38562</v>
      </c>
      <c r="I12523" t="s">
        <v>30</v>
      </c>
      <c r="J12523" t="s">
        <v>41</v>
      </c>
      <c r="K12523" t="s">
        <v>229</v>
      </c>
      <c r="Q12523">
        <v>0</v>
      </c>
      <c r="R12523">
        <v>85</v>
      </c>
      <c r="S12523">
        <v>85</v>
      </c>
      <c r="T12523" t="s">
        <v>45030</v>
      </c>
    </row>
    <row r="12524" spans="1:20" customFormat="1" ht="15" x14ac:dyDescent="0.25">
      <c r="A12524" t="s">
        <v>35</v>
      </c>
      <c r="B12524" t="s">
        <v>106</v>
      </c>
      <c r="C12524" t="str">
        <f>"A0135618"</f>
        <v>A0135618</v>
      </c>
      <c r="D12524" t="s">
        <v>45031</v>
      </c>
      <c r="E12524" t="s">
        <v>45032</v>
      </c>
      <c r="F12524" t="s">
        <v>36141</v>
      </c>
      <c r="G12524" t="s">
        <v>52</v>
      </c>
      <c r="H12524">
        <v>78701</v>
      </c>
      <c r="I12524" t="s">
        <v>30</v>
      </c>
      <c r="J12524" t="s">
        <v>111</v>
      </c>
      <c r="K12524" t="s">
        <v>112</v>
      </c>
      <c r="Q12524">
        <v>0</v>
      </c>
      <c r="R12524">
        <v>0</v>
      </c>
      <c r="S12524">
        <v>0</v>
      </c>
      <c r="T12524" t="s">
        <v>45033</v>
      </c>
    </row>
    <row r="12525" spans="1:20" customFormat="1" ht="15" x14ac:dyDescent="0.25">
      <c r="A12525" t="s">
        <v>35</v>
      </c>
      <c r="B12525" t="s">
        <v>61</v>
      </c>
      <c r="C12525" t="str">
        <f>"A0126107"</f>
        <v>A0126107</v>
      </c>
      <c r="D12525" t="s">
        <v>45034</v>
      </c>
      <c r="E12525" t="s">
        <v>45035</v>
      </c>
      <c r="F12525" t="s">
        <v>14385</v>
      </c>
      <c r="G12525" t="s">
        <v>197</v>
      </c>
      <c r="H12525">
        <v>85226</v>
      </c>
      <c r="I12525" t="s">
        <v>30</v>
      </c>
      <c r="J12525" t="s">
        <v>41</v>
      </c>
      <c r="K12525" t="s">
        <v>59</v>
      </c>
      <c r="Q12525">
        <v>0</v>
      </c>
      <c r="R12525">
        <v>5</v>
      </c>
      <c r="S12525">
        <v>5</v>
      </c>
      <c r="T12525" t="s">
        <v>45036</v>
      </c>
    </row>
    <row r="12526" spans="1:20" customFormat="1" ht="15" x14ac:dyDescent="0.25">
      <c r="A12526" t="s">
        <v>35</v>
      </c>
      <c r="B12526" t="s">
        <v>61</v>
      </c>
      <c r="C12526" t="str">
        <f>"A0121503"</f>
        <v>A0121503</v>
      </c>
      <c r="D12526" t="s">
        <v>45037</v>
      </c>
      <c r="E12526" t="s">
        <v>45038</v>
      </c>
      <c r="F12526" t="s">
        <v>45039</v>
      </c>
      <c r="G12526" t="s">
        <v>110</v>
      </c>
      <c r="H12526">
        <v>93637</v>
      </c>
      <c r="I12526" t="s">
        <v>30</v>
      </c>
      <c r="J12526" t="s">
        <v>41</v>
      </c>
      <c r="K12526" t="s">
        <v>3713</v>
      </c>
      <c r="Q12526">
        <v>0</v>
      </c>
      <c r="R12526">
        <v>150</v>
      </c>
      <c r="S12526">
        <v>150</v>
      </c>
      <c r="T12526" t="s">
        <v>45040</v>
      </c>
    </row>
    <row r="12527" spans="1:20" customFormat="1" ht="15" x14ac:dyDescent="0.25">
      <c r="A12527" t="s">
        <v>35</v>
      </c>
      <c r="B12527" t="s">
        <v>61</v>
      </c>
      <c r="C12527" t="str">
        <f>"A0122954"</f>
        <v>A0122954</v>
      </c>
      <c r="D12527" t="s">
        <v>45041</v>
      </c>
      <c r="E12527" t="s">
        <v>45042</v>
      </c>
      <c r="F12527" t="s">
        <v>45043</v>
      </c>
      <c r="G12527" t="s">
        <v>76</v>
      </c>
      <c r="H12527">
        <v>98110</v>
      </c>
      <c r="I12527" t="s">
        <v>30</v>
      </c>
      <c r="J12527" t="s">
        <v>41</v>
      </c>
      <c r="K12527" t="s">
        <v>59</v>
      </c>
      <c r="Q12527">
        <v>0</v>
      </c>
      <c r="R12527">
        <v>54</v>
      </c>
      <c r="S12527">
        <v>54</v>
      </c>
      <c r="T12527" t="s">
        <v>45044</v>
      </c>
    </row>
    <row r="12528" spans="1:20" customFormat="1" ht="15" x14ac:dyDescent="0.25">
      <c r="A12528" t="s">
        <v>35</v>
      </c>
      <c r="B12528" t="s">
        <v>437</v>
      </c>
      <c r="C12528" t="str">
        <f>"A0134799"</f>
        <v>A0134799</v>
      </c>
      <c r="D12528" t="s">
        <v>45045</v>
      </c>
      <c r="E12528" t="s">
        <v>45046</v>
      </c>
      <c r="F12528" t="s">
        <v>2678</v>
      </c>
      <c r="G12528" t="s">
        <v>99</v>
      </c>
      <c r="H12528">
        <v>13334</v>
      </c>
      <c r="I12528" t="s">
        <v>30</v>
      </c>
      <c r="J12528" t="s">
        <v>441</v>
      </c>
      <c r="K12528" t="s">
        <v>42</v>
      </c>
      <c r="Q12528">
        <v>0</v>
      </c>
      <c r="R12528">
        <v>0</v>
      </c>
      <c r="S12528">
        <v>0</v>
      </c>
      <c r="T12528" t="s">
        <v>45047</v>
      </c>
    </row>
    <row r="12529" spans="1:20" customFormat="1" ht="15" x14ac:dyDescent="0.25">
      <c r="A12529" t="s">
        <v>35</v>
      </c>
      <c r="B12529" t="s">
        <v>106</v>
      </c>
      <c r="C12529" t="str">
        <f>"A0135943"</f>
        <v>A0135943</v>
      </c>
      <c r="D12529" t="s">
        <v>45048</v>
      </c>
      <c r="E12529" t="s">
        <v>45049</v>
      </c>
      <c r="F12529" t="s">
        <v>19811</v>
      </c>
      <c r="G12529" t="s">
        <v>99</v>
      </c>
      <c r="H12529">
        <v>13408</v>
      </c>
      <c r="I12529" t="s">
        <v>30</v>
      </c>
      <c r="J12529" t="s">
        <v>111</v>
      </c>
      <c r="K12529" t="s">
        <v>112</v>
      </c>
      <c r="Q12529">
        <v>0</v>
      </c>
      <c r="R12529">
        <v>0</v>
      </c>
      <c r="S12529">
        <v>0</v>
      </c>
      <c r="T12529" t="s">
        <v>45050</v>
      </c>
    </row>
    <row r="12530" spans="1:20" customFormat="1" ht="15" x14ac:dyDescent="0.25">
      <c r="A12530" t="s">
        <v>35</v>
      </c>
      <c r="B12530" t="s">
        <v>61</v>
      </c>
      <c r="C12530" t="str">
        <f>"A0131202"</f>
        <v>A0131202</v>
      </c>
      <c r="D12530" t="s">
        <v>45051</v>
      </c>
      <c r="E12530" t="s">
        <v>45052</v>
      </c>
      <c r="F12530" t="s">
        <v>23386</v>
      </c>
      <c r="G12530" t="s">
        <v>85</v>
      </c>
      <c r="H12530">
        <v>727400000</v>
      </c>
      <c r="I12530" t="s">
        <v>30</v>
      </c>
      <c r="J12530" t="s">
        <v>41</v>
      </c>
      <c r="K12530" t="s">
        <v>2760</v>
      </c>
      <c r="Q12530">
        <v>0</v>
      </c>
      <c r="R12530">
        <v>1</v>
      </c>
      <c r="S12530">
        <v>1</v>
      </c>
      <c r="T12530" t="s">
        <v>45053</v>
      </c>
    </row>
    <row r="12531" spans="1:20" customFormat="1" ht="15" x14ac:dyDescent="0.25">
      <c r="A12531" t="s">
        <v>35</v>
      </c>
      <c r="B12531" t="s">
        <v>61</v>
      </c>
      <c r="C12531" t="str">
        <f>"A0128196"</f>
        <v>A0128196</v>
      </c>
      <c r="D12531" t="s">
        <v>45054</v>
      </c>
      <c r="E12531" t="s">
        <v>45055</v>
      </c>
      <c r="F12531" t="s">
        <v>41394</v>
      </c>
      <c r="G12531" t="s">
        <v>137</v>
      </c>
      <c r="H12531">
        <v>63645</v>
      </c>
      <c r="I12531" t="s">
        <v>30</v>
      </c>
      <c r="J12531" t="s">
        <v>41</v>
      </c>
      <c r="K12531" t="s">
        <v>2760</v>
      </c>
      <c r="Q12531">
        <v>0</v>
      </c>
      <c r="R12531">
        <v>0</v>
      </c>
      <c r="S12531">
        <v>0</v>
      </c>
      <c r="T12531" t="s">
        <v>45056</v>
      </c>
    </row>
    <row r="12532" spans="1:20" customFormat="1" ht="15" x14ac:dyDescent="0.25">
      <c r="A12532" t="s">
        <v>35</v>
      </c>
      <c r="B12532" t="s">
        <v>61</v>
      </c>
      <c r="C12532" t="str">
        <f>"A0132370"</f>
        <v>A0132370</v>
      </c>
      <c r="D12532" t="s">
        <v>45057</v>
      </c>
      <c r="E12532" t="s">
        <v>45058</v>
      </c>
      <c r="F12532" t="s">
        <v>1373</v>
      </c>
      <c r="G12532" t="s">
        <v>65</v>
      </c>
      <c r="H12532">
        <v>440570000</v>
      </c>
      <c r="I12532" t="s">
        <v>30</v>
      </c>
      <c r="J12532" t="s">
        <v>41</v>
      </c>
      <c r="K12532" t="s">
        <v>229</v>
      </c>
      <c r="Q12532">
        <v>0</v>
      </c>
      <c r="R12532">
        <v>130</v>
      </c>
      <c r="S12532">
        <v>130</v>
      </c>
      <c r="T12532" t="s">
        <v>45059</v>
      </c>
    </row>
    <row r="12533" spans="1:20" customFormat="1" ht="15" x14ac:dyDescent="0.25">
      <c r="A12533" t="s">
        <v>35</v>
      </c>
      <c r="B12533" t="s">
        <v>61</v>
      </c>
      <c r="C12533" t="str">
        <f>"A0123825"</f>
        <v>A0123825</v>
      </c>
      <c r="D12533" t="s">
        <v>45060</v>
      </c>
      <c r="E12533" t="s">
        <v>45061</v>
      </c>
      <c r="F12533" t="s">
        <v>1795</v>
      </c>
      <c r="G12533" t="s">
        <v>29</v>
      </c>
      <c r="H12533">
        <v>23227</v>
      </c>
      <c r="I12533" t="s">
        <v>30</v>
      </c>
      <c r="J12533" t="s">
        <v>41</v>
      </c>
      <c r="K12533" t="s">
        <v>482</v>
      </c>
      <c r="Q12533">
        <v>0</v>
      </c>
      <c r="R12533">
        <v>20</v>
      </c>
      <c r="S12533">
        <v>20</v>
      </c>
      <c r="T12533" t="s">
        <v>45062</v>
      </c>
    </row>
    <row r="12534" spans="1:20" customFormat="1" ht="15" x14ac:dyDescent="0.25">
      <c r="A12534" t="s">
        <v>35</v>
      </c>
      <c r="B12534" t="s">
        <v>61</v>
      </c>
      <c r="C12534" t="str">
        <f>"A0123826"</f>
        <v>A0123826</v>
      </c>
      <c r="D12534" t="s">
        <v>45063</v>
      </c>
      <c r="E12534" t="s">
        <v>45064</v>
      </c>
      <c r="F12534" t="s">
        <v>7257</v>
      </c>
      <c r="G12534" t="s">
        <v>29</v>
      </c>
      <c r="H12534">
        <v>23185</v>
      </c>
      <c r="I12534" t="s">
        <v>30</v>
      </c>
      <c r="J12534" t="s">
        <v>41</v>
      </c>
      <c r="K12534" t="s">
        <v>482</v>
      </c>
      <c r="Q12534">
        <v>0</v>
      </c>
      <c r="R12534">
        <v>92</v>
      </c>
      <c r="S12534">
        <v>92</v>
      </c>
      <c r="T12534" t="s">
        <v>45065</v>
      </c>
    </row>
    <row r="12535" spans="1:20" customFormat="1" ht="15" x14ac:dyDescent="0.25">
      <c r="A12535" t="s">
        <v>35</v>
      </c>
      <c r="B12535" t="s">
        <v>61</v>
      </c>
      <c r="C12535" t="str">
        <f>"A0122952"</f>
        <v>A0122952</v>
      </c>
      <c r="D12535" t="s">
        <v>45066</v>
      </c>
      <c r="E12535" t="s">
        <v>45067</v>
      </c>
      <c r="F12535" t="s">
        <v>45043</v>
      </c>
      <c r="G12535" t="s">
        <v>76</v>
      </c>
      <c r="H12535">
        <v>98110</v>
      </c>
      <c r="I12535" t="s">
        <v>30</v>
      </c>
      <c r="J12535" t="s">
        <v>41</v>
      </c>
      <c r="K12535" t="s">
        <v>59</v>
      </c>
      <c r="Q12535">
        <v>0</v>
      </c>
      <c r="R12535">
        <v>80</v>
      </c>
      <c r="S12535">
        <v>80</v>
      </c>
      <c r="T12535" t="s">
        <v>45068</v>
      </c>
    </row>
    <row r="12536" spans="1:20" customFormat="1" ht="15" x14ac:dyDescent="0.25">
      <c r="A12536" t="s">
        <v>35</v>
      </c>
      <c r="B12536" t="s">
        <v>61</v>
      </c>
      <c r="C12536" t="str">
        <f>"A0123827"</f>
        <v>A0123827</v>
      </c>
      <c r="D12536" t="s">
        <v>45069</v>
      </c>
      <c r="E12536" t="s">
        <v>45070</v>
      </c>
      <c r="F12536" t="s">
        <v>45071</v>
      </c>
      <c r="G12536" t="s">
        <v>214</v>
      </c>
      <c r="H12536">
        <v>28751</v>
      </c>
      <c r="I12536" t="s">
        <v>30</v>
      </c>
      <c r="J12536" t="s">
        <v>41</v>
      </c>
      <c r="K12536" t="s">
        <v>229</v>
      </c>
      <c r="Q12536">
        <v>0</v>
      </c>
      <c r="R12536">
        <v>0</v>
      </c>
      <c r="S12536">
        <v>0</v>
      </c>
      <c r="T12536" t="s">
        <v>45072</v>
      </c>
    </row>
    <row r="12537" spans="1:20" customFormat="1" ht="15" x14ac:dyDescent="0.25">
      <c r="A12537" t="s">
        <v>35</v>
      </c>
      <c r="B12537" t="s">
        <v>61</v>
      </c>
      <c r="C12537" t="str">
        <f>"A0128770"</f>
        <v>A0128770</v>
      </c>
      <c r="D12537" t="s">
        <v>45073</v>
      </c>
      <c r="E12537" t="s">
        <v>45074</v>
      </c>
      <c r="F12537" t="s">
        <v>20970</v>
      </c>
      <c r="G12537" t="s">
        <v>1170</v>
      </c>
      <c r="H12537">
        <v>70737</v>
      </c>
      <c r="I12537" t="s">
        <v>30</v>
      </c>
      <c r="J12537" t="s">
        <v>41</v>
      </c>
      <c r="K12537" t="s">
        <v>59</v>
      </c>
      <c r="Q12537">
        <v>0</v>
      </c>
      <c r="R12537">
        <v>80</v>
      </c>
      <c r="S12537">
        <v>80</v>
      </c>
      <c r="T12537" t="s">
        <v>45075</v>
      </c>
    </row>
    <row r="12538" spans="1:20" customFormat="1" ht="15" x14ac:dyDescent="0.25">
      <c r="A12538" t="s">
        <v>35</v>
      </c>
      <c r="B12538" t="s">
        <v>61</v>
      </c>
      <c r="C12538" t="str">
        <f>"A0123829"</f>
        <v>A0123829</v>
      </c>
      <c r="D12538" t="s">
        <v>45076</v>
      </c>
      <c r="E12538" t="s">
        <v>45077</v>
      </c>
      <c r="F12538" t="s">
        <v>45078</v>
      </c>
      <c r="G12538" t="s">
        <v>846</v>
      </c>
      <c r="H12538">
        <v>30622</v>
      </c>
      <c r="I12538" t="s">
        <v>30</v>
      </c>
      <c r="J12538" t="s">
        <v>41</v>
      </c>
      <c r="K12538" t="s">
        <v>482</v>
      </c>
      <c r="Q12538">
        <v>0</v>
      </c>
      <c r="R12538">
        <v>47</v>
      </c>
      <c r="S12538">
        <v>47</v>
      </c>
      <c r="T12538" t="s">
        <v>45079</v>
      </c>
    </row>
    <row r="12539" spans="1:20" customFormat="1" ht="15" x14ac:dyDescent="0.25">
      <c r="A12539" t="s">
        <v>35</v>
      </c>
      <c r="B12539" t="s">
        <v>61</v>
      </c>
      <c r="C12539" t="str">
        <f>"A0118641"</f>
        <v>A0118641</v>
      </c>
      <c r="D12539" t="s">
        <v>45080</v>
      </c>
      <c r="E12539" t="s">
        <v>45081</v>
      </c>
      <c r="F12539" t="s">
        <v>15431</v>
      </c>
      <c r="G12539" t="s">
        <v>110</v>
      </c>
      <c r="H12539">
        <v>94526</v>
      </c>
      <c r="I12539" t="s">
        <v>30</v>
      </c>
      <c r="J12539" t="s">
        <v>41</v>
      </c>
      <c r="K12539" t="s">
        <v>59</v>
      </c>
      <c r="Q12539">
        <v>0</v>
      </c>
      <c r="R12539">
        <v>36</v>
      </c>
      <c r="S12539">
        <v>36</v>
      </c>
      <c r="T12539" t="s">
        <v>45082</v>
      </c>
    </row>
    <row r="12540" spans="1:20" customFormat="1" ht="15" x14ac:dyDescent="0.25">
      <c r="A12540" t="s">
        <v>35</v>
      </c>
      <c r="B12540" t="s">
        <v>61</v>
      </c>
      <c r="C12540" t="str">
        <f>"A0125142"</f>
        <v>A0125142</v>
      </c>
      <c r="D12540" t="s">
        <v>45083</v>
      </c>
      <c r="E12540" t="s">
        <v>45084</v>
      </c>
      <c r="F12540" t="s">
        <v>22436</v>
      </c>
      <c r="G12540" t="s">
        <v>214</v>
      </c>
      <c r="H12540">
        <v>28387</v>
      </c>
      <c r="I12540" t="s">
        <v>30</v>
      </c>
      <c r="J12540" t="s">
        <v>41</v>
      </c>
      <c r="K12540" t="s">
        <v>482</v>
      </c>
      <c r="Q12540">
        <v>0</v>
      </c>
      <c r="R12540">
        <v>100</v>
      </c>
      <c r="S12540">
        <v>100</v>
      </c>
      <c r="T12540" t="s">
        <v>45085</v>
      </c>
    </row>
    <row r="12541" spans="1:20" customFormat="1" ht="15" x14ac:dyDescent="0.25">
      <c r="A12541" t="s">
        <v>35</v>
      </c>
      <c r="B12541" t="s">
        <v>61</v>
      </c>
      <c r="C12541" t="str">
        <f>"A0124669"</f>
        <v>A0124669</v>
      </c>
      <c r="D12541" t="s">
        <v>45086</v>
      </c>
      <c r="E12541" t="s">
        <v>45087</v>
      </c>
      <c r="F12541" t="s">
        <v>17074</v>
      </c>
      <c r="G12541" t="s">
        <v>1369</v>
      </c>
      <c r="H12541">
        <v>39437</v>
      </c>
      <c r="I12541" t="s">
        <v>30</v>
      </c>
      <c r="J12541" t="s">
        <v>41</v>
      </c>
      <c r="K12541" t="s">
        <v>229</v>
      </c>
      <c r="Q12541">
        <v>0</v>
      </c>
      <c r="R12541">
        <v>30</v>
      </c>
      <c r="S12541">
        <v>30</v>
      </c>
      <c r="T12541" t="s">
        <v>45088</v>
      </c>
    </row>
    <row r="12542" spans="1:20" customFormat="1" ht="15" x14ac:dyDescent="0.25">
      <c r="A12542" t="s">
        <v>35</v>
      </c>
      <c r="B12542" t="s">
        <v>61</v>
      </c>
      <c r="C12542" t="str">
        <f>"A0124670"</f>
        <v>A0124670</v>
      </c>
      <c r="D12542" t="s">
        <v>45089</v>
      </c>
      <c r="E12542" t="s">
        <v>45090</v>
      </c>
      <c r="F12542" t="s">
        <v>6119</v>
      </c>
      <c r="G12542" t="s">
        <v>1369</v>
      </c>
      <c r="H12542">
        <v>39440</v>
      </c>
      <c r="I12542" t="s">
        <v>30</v>
      </c>
      <c r="J12542" t="s">
        <v>41</v>
      </c>
      <c r="K12542" t="s">
        <v>229</v>
      </c>
      <c r="Q12542">
        <v>0</v>
      </c>
      <c r="R12542">
        <v>56</v>
      </c>
      <c r="S12542">
        <v>56</v>
      </c>
      <c r="T12542" t="s">
        <v>45091</v>
      </c>
    </row>
    <row r="12543" spans="1:20" customFormat="1" ht="15" x14ac:dyDescent="0.25">
      <c r="A12543" t="s">
        <v>35</v>
      </c>
      <c r="B12543" t="s">
        <v>61</v>
      </c>
      <c r="C12543" t="str">
        <f>"A0124838"</f>
        <v>A0124838</v>
      </c>
      <c r="D12543" t="s">
        <v>45092</v>
      </c>
      <c r="E12543" t="s">
        <v>45093</v>
      </c>
      <c r="F12543" t="s">
        <v>2756</v>
      </c>
      <c r="G12543" t="s">
        <v>214</v>
      </c>
      <c r="H12543">
        <v>275890000</v>
      </c>
      <c r="I12543" t="s">
        <v>30</v>
      </c>
      <c r="J12543" t="s">
        <v>41</v>
      </c>
      <c r="K12543" t="s">
        <v>59</v>
      </c>
      <c r="Q12543">
        <v>0</v>
      </c>
      <c r="R12543">
        <v>100</v>
      </c>
      <c r="S12543">
        <v>100</v>
      </c>
      <c r="T12543" t="s">
        <v>45094</v>
      </c>
    </row>
    <row r="12544" spans="1:20" customFormat="1" ht="15" x14ac:dyDescent="0.25">
      <c r="A12544" t="s">
        <v>35</v>
      </c>
      <c r="B12544" t="s">
        <v>61</v>
      </c>
      <c r="C12544" t="str">
        <f>"A0128733"</f>
        <v>A0128733</v>
      </c>
      <c r="D12544" t="s">
        <v>45095</v>
      </c>
      <c r="E12544" t="s">
        <v>45096</v>
      </c>
      <c r="F12544" t="s">
        <v>6988</v>
      </c>
      <c r="G12544" t="s">
        <v>1170</v>
      </c>
      <c r="H12544">
        <v>710010000</v>
      </c>
      <c r="I12544" t="s">
        <v>30</v>
      </c>
      <c r="J12544" t="s">
        <v>41</v>
      </c>
      <c r="K12544" t="s">
        <v>2463</v>
      </c>
      <c r="Q12544">
        <v>0</v>
      </c>
      <c r="R12544">
        <v>1</v>
      </c>
      <c r="S12544">
        <v>1</v>
      </c>
      <c r="T12544" t="s">
        <v>45097</v>
      </c>
    </row>
    <row r="12545" spans="1:20" customFormat="1" ht="15" x14ac:dyDescent="0.25">
      <c r="A12545" t="s">
        <v>35</v>
      </c>
      <c r="B12545" t="s">
        <v>61</v>
      </c>
      <c r="C12545" t="str">
        <f>"A0124052"</f>
        <v>A0124052</v>
      </c>
      <c r="D12545" t="s">
        <v>45098</v>
      </c>
      <c r="E12545" t="s">
        <v>45099</v>
      </c>
      <c r="F12545" t="s">
        <v>22719</v>
      </c>
      <c r="G12545" t="s">
        <v>214</v>
      </c>
      <c r="H12545">
        <v>27330</v>
      </c>
      <c r="I12545" t="s">
        <v>30</v>
      </c>
      <c r="J12545" t="s">
        <v>41</v>
      </c>
      <c r="K12545" t="s">
        <v>482</v>
      </c>
      <c r="Q12545">
        <v>0</v>
      </c>
      <c r="R12545">
        <v>50</v>
      </c>
      <c r="S12545">
        <v>50</v>
      </c>
      <c r="T12545" t="s">
        <v>45100</v>
      </c>
    </row>
    <row r="12546" spans="1:20" customFormat="1" ht="15" x14ac:dyDescent="0.25">
      <c r="A12546" t="s">
        <v>35</v>
      </c>
      <c r="B12546" t="s">
        <v>61</v>
      </c>
      <c r="C12546" t="str">
        <f>"A0130979"</f>
        <v>A0130979</v>
      </c>
      <c r="D12546" t="s">
        <v>45101</v>
      </c>
      <c r="E12546" t="s">
        <v>45102</v>
      </c>
      <c r="F12546" t="s">
        <v>33261</v>
      </c>
      <c r="G12546" t="s">
        <v>85</v>
      </c>
      <c r="H12546">
        <v>717530000</v>
      </c>
      <c r="I12546" t="s">
        <v>30</v>
      </c>
      <c r="J12546" t="s">
        <v>41</v>
      </c>
      <c r="K12546" t="s">
        <v>2760</v>
      </c>
      <c r="Q12546">
        <v>0</v>
      </c>
      <c r="R12546">
        <v>1</v>
      </c>
      <c r="S12546">
        <v>1</v>
      </c>
      <c r="T12546" t="s">
        <v>45103</v>
      </c>
    </row>
    <row r="12547" spans="1:20" customFormat="1" ht="15" x14ac:dyDescent="0.25">
      <c r="A12547" t="s">
        <v>35</v>
      </c>
      <c r="B12547" t="s">
        <v>61</v>
      </c>
      <c r="C12547" t="str">
        <f>"A0130070"</f>
        <v>A0130070</v>
      </c>
      <c r="D12547" t="s">
        <v>45104</v>
      </c>
      <c r="E12547" t="s">
        <v>45105</v>
      </c>
      <c r="F12547" t="s">
        <v>5044</v>
      </c>
      <c r="G12547" t="s">
        <v>880</v>
      </c>
      <c r="H12547">
        <v>38201</v>
      </c>
      <c r="I12547" t="s">
        <v>30</v>
      </c>
      <c r="J12547" t="s">
        <v>41</v>
      </c>
      <c r="K12547" t="s">
        <v>59</v>
      </c>
      <c r="Q12547">
        <v>0</v>
      </c>
      <c r="R12547">
        <v>0</v>
      </c>
      <c r="S12547">
        <v>0</v>
      </c>
      <c r="T12547" t="s">
        <v>45106</v>
      </c>
    </row>
    <row r="12548" spans="1:20" customFormat="1" ht="15" x14ac:dyDescent="0.25">
      <c r="A12548" t="s">
        <v>35</v>
      </c>
      <c r="B12548" t="s">
        <v>61</v>
      </c>
      <c r="C12548" t="str">
        <f>"A0118356"</f>
        <v>A0118356</v>
      </c>
      <c r="D12548" t="s">
        <v>45107</v>
      </c>
      <c r="E12548" t="s">
        <v>45108</v>
      </c>
      <c r="F12548" t="s">
        <v>4288</v>
      </c>
      <c r="G12548" t="s">
        <v>110</v>
      </c>
      <c r="H12548">
        <v>92504</v>
      </c>
      <c r="I12548" t="s">
        <v>30</v>
      </c>
      <c r="J12548" t="s">
        <v>41</v>
      </c>
      <c r="K12548" t="s">
        <v>229</v>
      </c>
      <c r="Q12548">
        <v>0</v>
      </c>
      <c r="R12548">
        <v>120</v>
      </c>
      <c r="S12548">
        <v>120</v>
      </c>
      <c r="T12548" t="s">
        <v>45109</v>
      </c>
    </row>
    <row r="12549" spans="1:20" customFormat="1" ht="15" x14ac:dyDescent="0.25">
      <c r="A12549" t="s">
        <v>35</v>
      </c>
      <c r="B12549" t="s">
        <v>61</v>
      </c>
      <c r="C12549" t="str">
        <f>"A0125758"</f>
        <v>A0125758</v>
      </c>
      <c r="D12549" t="s">
        <v>45110</v>
      </c>
      <c r="E12549" t="s">
        <v>45111</v>
      </c>
      <c r="F12549" t="s">
        <v>4108</v>
      </c>
      <c r="G12549" t="s">
        <v>29</v>
      </c>
      <c r="H12549">
        <v>240150000</v>
      </c>
      <c r="I12549" t="s">
        <v>30</v>
      </c>
      <c r="J12549" t="s">
        <v>41</v>
      </c>
      <c r="K12549" t="s">
        <v>59</v>
      </c>
      <c r="Q12549">
        <v>0</v>
      </c>
      <c r="R12549">
        <v>32</v>
      </c>
      <c r="S12549">
        <v>32</v>
      </c>
      <c r="T12549" t="s">
        <v>45112</v>
      </c>
    </row>
    <row r="12550" spans="1:20" customFormat="1" ht="15" x14ac:dyDescent="0.25">
      <c r="A12550" t="s">
        <v>35</v>
      </c>
      <c r="B12550" t="s">
        <v>61</v>
      </c>
      <c r="C12550" t="str">
        <f>"A0130991"</f>
        <v>A0130991</v>
      </c>
      <c r="D12550" t="s">
        <v>45113</v>
      </c>
      <c r="E12550" t="s">
        <v>45114</v>
      </c>
      <c r="F12550" t="s">
        <v>1755</v>
      </c>
      <c r="G12550" t="s">
        <v>137</v>
      </c>
      <c r="H12550">
        <v>658070000</v>
      </c>
      <c r="I12550" t="s">
        <v>30</v>
      </c>
      <c r="J12550" t="s">
        <v>41</v>
      </c>
      <c r="K12550" t="s">
        <v>229</v>
      </c>
      <c r="Q12550">
        <v>0</v>
      </c>
      <c r="R12550">
        <v>102</v>
      </c>
      <c r="S12550">
        <v>102</v>
      </c>
      <c r="T12550" t="s">
        <v>45115</v>
      </c>
    </row>
    <row r="12551" spans="1:20" customFormat="1" ht="15" x14ac:dyDescent="0.25">
      <c r="A12551" t="s">
        <v>35</v>
      </c>
      <c r="B12551" t="s">
        <v>61</v>
      </c>
      <c r="C12551" t="str">
        <f>"A0131957"</f>
        <v>A0131957</v>
      </c>
      <c r="D12551" t="s">
        <v>45116</v>
      </c>
      <c r="E12551" t="s">
        <v>45117</v>
      </c>
      <c r="F12551" t="s">
        <v>45118</v>
      </c>
      <c r="G12551" t="s">
        <v>65</v>
      </c>
      <c r="H12551">
        <v>448330000</v>
      </c>
      <c r="I12551" t="s">
        <v>30</v>
      </c>
      <c r="J12551" t="s">
        <v>41</v>
      </c>
      <c r="K12551" t="s">
        <v>59</v>
      </c>
      <c r="Q12551">
        <v>0</v>
      </c>
      <c r="R12551">
        <v>50</v>
      </c>
      <c r="S12551">
        <v>50</v>
      </c>
      <c r="T12551" t="s">
        <v>45119</v>
      </c>
    </row>
    <row r="12552" spans="1:20" customFormat="1" ht="15" x14ac:dyDescent="0.25">
      <c r="A12552" t="s">
        <v>35</v>
      </c>
      <c r="B12552" t="s">
        <v>61</v>
      </c>
      <c r="C12552" t="str">
        <f>"A0123410"</f>
        <v>A0123410</v>
      </c>
      <c r="D12552" t="s">
        <v>45120</v>
      </c>
      <c r="E12552" t="s">
        <v>45121</v>
      </c>
      <c r="F12552" t="s">
        <v>17879</v>
      </c>
      <c r="G12552" t="s">
        <v>29</v>
      </c>
      <c r="H12552">
        <v>23451</v>
      </c>
      <c r="I12552" t="s">
        <v>30</v>
      </c>
      <c r="J12552" t="s">
        <v>41</v>
      </c>
      <c r="K12552" t="s">
        <v>10880</v>
      </c>
      <c r="Q12552">
        <v>0</v>
      </c>
      <c r="R12552">
        <v>0</v>
      </c>
      <c r="S12552">
        <v>0</v>
      </c>
      <c r="T12552" t="s">
        <v>45122</v>
      </c>
    </row>
    <row r="12553" spans="1:20" customFormat="1" ht="15" x14ac:dyDescent="0.25">
      <c r="A12553" t="s">
        <v>35</v>
      </c>
      <c r="B12553" t="s">
        <v>61</v>
      </c>
      <c r="C12553" t="str">
        <f>"A0131802"</f>
        <v>A0131802</v>
      </c>
      <c r="D12553" t="s">
        <v>45123</v>
      </c>
      <c r="E12553" t="s">
        <v>45124</v>
      </c>
      <c r="F12553" t="s">
        <v>39662</v>
      </c>
      <c r="G12553" t="s">
        <v>65</v>
      </c>
      <c r="H12553">
        <v>445120000</v>
      </c>
      <c r="I12553" t="s">
        <v>30</v>
      </c>
      <c r="J12553" t="s">
        <v>41</v>
      </c>
      <c r="K12553" t="s">
        <v>3713</v>
      </c>
      <c r="Q12553">
        <v>0</v>
      </c>
      <c r="R12553">
        <v>50</v>
      </c>
      <c r="S12553">
        <v>50</v>
      </c>
      <c r="T12553" t="s">
        <v>45125</v>
      </c>
    </row>
    <row r="12554" spans="1:20" customFormat="1" ht="15" x14ac:dyDescent="0.25">
      <c r="A12554" t="s">
        <v>35</v>
      </c>
      <c r="B12554" t="s">
        <v>61</v>
      </c>
      <c r="C12554" t="str">
        <f>"A0126582"</f>
        <v>A0126582</v>
      </c>
      <c r="D12554" t="s">
        <v>45126</v>
      </c>
      <c r="E12554" t="s">
        <v>45127</v>
      </c>
      <c r="F12554" t="s">
        <v>45128</v>
      </c>
      <c r="G12554" t="s">
        <v>103</v>
      </c>
      <c r="H12554">
        <v>18235</v>
      </c>
      <c r="I12554" t="s">
        <v>30</v>
      </c>
      <c r="J12554" t="s">
        <v>41</v>
      </c>
      <c r="K12554" t="s">
        <v>229</v>
      </c>
      <c r="Q12554">
        <v>0</v>
      </c>
      <c r="R12554">
        <v>159</v>
      </c>
      <c r="S12554">
        <v>159</v>
      </c>
      <c r="T12554" t="s">
        <v>45129</v>
      </c>
    </row>
    <row r="12555" spans="1:20" customFormat="1" ht="15" x14ac:dyDescent="0.25">
      <c r="A12555" t="s">
        <v>35</v>
      </c>
      <c r="B12555" t="s">
        <v>61</v>
      </c>
      <c r="C12555" t="str">
        <f>"A0124205"</f>
        <v>A0124205</v>
      </c>
      <c r="D12555" t="s">
        <v>45130</v>
      </c>
      <c r="E12555" t="s">
        <v>45131</v>
      </c>
      <c r="F12555" t="s">
        <v>45132</v>
      </c>
      <c r="G12555" t="s">
        <v>123</v>
      </c>
      <c r="H12555">
        <v>20715</v>
      </c>
      <c r="I12555" t="s">
        <v>30</v>
      </c>
      <c r="J12555" t="s">
        <v>41</v>
      </c>
      <c r="K12555" t="s">
        <v>59</v>
      </c>
      <c r="Q12555">
        <v>0</v>
      </c>
      <c r="R12555">
        <v>120</v>
      </c>
      <c r="S12555">
        <v>120</v>
      </c>
      <c r="T12555" t="s">
        <v>45133</v>
      </c>
    </row>
    <row r="12556" spans="1:20" customFormat="1" ht="15" x14ac:dyDescent="0.25">
      <c r="A12556" t="s">
        <v>35</v>
      </c>
      <c r="B12556" t="s">
        <v>61</v>
      </c>
      <c r="C12556" t="str">
        <f>"A0128768"</f>
        <v>A0128768</v>
      </c>
      <c r="D12556" t="s">
        <v>45134</v>
      </c>
      <c r="E12556" t="s">
        <v>45135</v>
      </c>
      <c r="F12556" t="s">
        <v>45136</v>
      </c>
      <c r="G12556" t="s">
        <v>1170</v>
      </c>
      <c r="H12556">
        <v>70726</v>
      </c>
      <c r="I12556" t="s">
        <v>30</v>
      </c>
      <c r="J12556" t="s">
        <v>41</v>
      </c>
      <c r="K12556" t="s">
        <v>59</v>
      </c>
      <c r="Q12556">
        <v>0</v>
      </c>
      <c r="R12556">
        <v>80</v>
      </c>
      <c r="S12556">
        <v>80</v>
      </c>
      <c r="T12556" t="s">
        <v>45137</v>
      </c>
    </row>
    <row r="12557" spans="1:20" customFormat="1" ht="15" x14ac:dyDescent="0.25">
      <c r="A12557" t="s">
        <v>35</v>
      </c>
      <c r="B12557" t="s">
        <v>61</v>
      </c>
      <c r="C12557" t="str">
        <f>"A0150573"</f>
        <v>A0150573</v>
      </c>
      <c r="D12557" t="s">
        <v>45138</v>
      </c>
      <c r="E12557" t="s">
        <v>45139</v>
      </c>
      <c r="F12557" t="s">
        <v>11842</v>
      </c>
      <c r="G12557" t="s">
        <v>81</v>
      </c>
      <c r="H12557">
        <v>32763</v>
      </c>
      <c r="I12557" t="s">
        <v>30</v>
      </c>
      <c r="J12557" t="s">
        <v>41</v>
      </c>
      <c r="K12557" t="s">
        <v>229</v>
      </c>
      <c r="Q12557">
        <v>0</v>
      </c>
      <c r="R12557">
        <v>150</v>
      </c>
      <c r="S12557">
        <v>150</v>
      </c>
      <c r="T12557" t="s">
        <v>45140</v>
      </c>
    </row>
    <row r="12558" spans="1:20" customFormat="1" ht="15" x14ac:dyDescent="0.25">
      <c r="A12558" t="s">
        <v>35</v>
      </c>
      <c r="B12558" t="s">
        <v>61</v>
      </c>
      <c r="C12558" t="str">
        <f>"A0132440"</f>
        <v>A0132440</v>
      </c>
      <c r="D12558" t="s">
        <v>45141</v>
      </c>
      <c r="E12558" t="s">
        <v>45142</v>
      </c>
      <c r="F12558" t="s">
        <v>45143</v>
      </c>
      <c r="G12558" t="s">
        <v>65</v>
      </c>
      <c r="H12558">
        <v>45246</v>
      </c>
      <c r="I12558" t="s">
        <v>30</v>
      </c>
      <c r="J12558" t="s">
        <v>41</v>
      </c>
      <c r="K12558" t="s">
        <v>59</v>
      </c>
      <c r="Q12558">
        <v>0</v>
      </c>
      <c r="R12558">
        <v>123</v>
      </c>
      <c r="S12558">
        <v>123</v>
      </c>
      <c r="T12558" t="s">
        <v>45144</v>
      </c>
    </row>
    <row r="12559" spans="1:20" customFormat="1" ht="15" x14ac:dyDescent="0.25">
      <c r="A12559" t="s">
        <v>35</v>
      </c>
      <c r="B12559" t="s">
        <v>61</v>
      </c>
      <c r="C12559" t="str">
        <f>"A0123411"</f>
        <v>A0123411</v>
      </c>
      <c r="D12559" t="s">
        <v>45145</v>
      </c>
      <c r="E12559" t="s">
        <v>45146</v>
      </c>
      <c r="F12559" t="s">
        <v>37790</v>
      </c>
      <c r="G12559" t="s">
        <v>29</v>
      </c>
      <c r="H12559">
        <v>23666</v>
      </c>
      <c r="I12559" t="s">
        <v>30</v>
      </c>
      <c r="J12559" t="s">
        <v>41</v>
      </c>
      <c r="K12559" t="s">
        <v>482</v>
      </c>
      <c r="Q12559">
        <v>0</v>
      </c>
      <c r="R12559">
        <v>45</v>
      </c>
      <c r="S12559">
        <v>45</v>
      </c>
      <c r="T12559" t="s">
        <v>45147</v>
      </c>
    </row>
    <row r="12560" spans="1:20" customFormat="1" ht="15" x14ac:dyDescent="0.25">
      <c r="A12560" t="s">
        <v>35</v>
      </c>
      <c r="B12560" t="s">
        <v>61</v>
      </c>
      <c r="C12560" t="str">
        <f>"A0124206"</f>
        <v>A0124206</v>
      </c>
      <c r="D12560" t="s">
        <v>45148</v>
      </c>
      <c r="E12560" t="s">
        <v>45149</v>
      </c>
      <c r="F12560" t="s">
        <v>37234</v>
      </c>
      <c r="G12560" t="s">
        <v>103</v>
      </c>
      <c r="H12560">
        <v>19355</v>
      </c>
      <c r="I12560" t="s">
        <v>30</v>
      </c>
      <c r="J12560" t="s">
        <v>41</v>
      </c>
      <c r="K12560" t="s">
        <v>59</v>
      </c>
      <c r="Q12560">
        <v>0</v>
      </c>
      <c r="R12560">
        <v>180</v>
      </c>
      <c r="S12560">
        <v>180</v>
      </c>
      <c r="T12560" t="s">
        <v>45150</v>
      </c>
    </row>
    <row r="12561" spans="1:20" customFormat="1" ht="15" x14ac:dyDescent="0.25">
      <c r="A12561" t="s">
        <v>35</v>
      </c>
      <c r="B12561" t="s">
        <v>61</v>
      </c>
      <c r="C12561" t="str">
        <f>"A0123830"</f>
        <v>A0123830</v>
      </c>
      <c r="D12561" t="s">
        <v>45151</v>
      </c>
      <c r="E12561" t="s">
        <v>45152</v>
      </c>
      <c r="F12561" t="s">
        <v>24087</v>
      </c>
      <c r="G12561" t="s">
        <v>81</v>
      </c>
      <c r="H12561">
        <v>34221</v>
      </c>
      <c r="I12561" t="s">
        <v>30</v>
      </c>
      <c r="J12561" t="s">
        <v>41</v>
      </c>
      <c r="K12561" t="s">
        <v>482</v>
      </c>
      <c r="Q12561">
        <v>0</v>
      </c>
      <c r="R12561">
        <v>110</v>
      </c>
      <c r="S12561">
        <v>110</v>
      </c>
      <c r="T12561" t="s">
        <v>45153</v>
      </c>
    </row>
    <row r="12562" spans="1:20" customFormat="1" ht="15" x14ac:dyDescent="0.25">
      <c r="A12562" t="s">
        <v>35</v>
      </c>
      <c r="B12562" t="s">
        <v>61</v>
      </c>
      <c r="C12562" t="str">
        <f>"A0130435"</f>
        <v>A0130435</v>
      </c>
      <c r="D12562" t="s">
        <v>45154</v>
      </c>
      <c r="E12562" t="s">
        <v>45155</v>
      </c>
      <c r="F12562" t="s">
        <v>45156</v>
      </c>
      <c r="G12562" t="s">
        <v>71</v>
      </c>
      <c r="H12562">
        <v>549490000</v>
      </c>
      <c r="I12562" t="s">
        <v>30</v>
      </c>
      <c r="J12562" t="s">
        <v>41</v>
      </c>
      <c r="K12562" t="s">
        <v>36689</v>
      </c>
      <c r="Q12562">
        <v>0</v>
      </c>
      <c r="R12562">
        <v>50</v>
      </c>
      <c r="S12562">
        <v>50</v>
      </c>
      <c r="T12562" t="s">
        <v>45157</v>
      </c>
    </row>
    <row r="12563" spans="1:20" customFormat="1" ht="15" x14ac:dyDescent="0.25">
      <c r="A12563" t="s">
        <v>35</v>
      </c>
      <c r="B12563" t="s">
        <v>106</v>
      </c>
      <c r="C12563" t="str">
        <f>"A0136299"</f>
        <v>A0136299</v>
      </c>
      <c r="D12563" t="s">
        <v>45158</v>
      </c>
      <c r="E12563" t="s">
        <v>45159</v>
      </c>
      <c r="F12563" t="s">
        <v>45160</v>
      </c>
      <c r="G12563" t="s">
        <v>1369</v>
      </c>
      <c r="H12563">
        <v>39194</v>
      </c>
      <c r="I12563" t="s">
        <v>30</v>
      </c>
      <c r="J12563" t="s">
        <v>111</v>
      </c>
      <c r="K12563" t="s">
        <v>112</v>
      </c>
      <c r="Q12563">
        <v>0</v>
      </c>
      <c r="R12563">
        <v>0</v>
      </c>
      <c r="S12563">
        <v>0</v>
      </c>
      <c r="T12563" t="s">
        <v>45161</v>
      </c>
    </row>
    <row r="12564" spans="1:20" customFormat="1" ht="15" x14ac:dyDescent="0.25">
      <c r="A12564" t="s">
        <v>35</v>
      </c>
      <c r="B12564" t="s">
        <v>106</v>
      </c>
      <c r="C12564" t="str">
        <f>"A0136300"</f>
        <v>A0136300</v>
      </c>
      <c r="D12564" t="s">
        <v>45162</v>
      </c>
      <c r="E12564" t="s">
        <v>45159</v>
      </c>
      <c r="F12564" t="s">
        <v>45160</v>
      </c>
      <c r="G12564" t="s">
        <v>1369</v>
      </c>
      <c r="H12564">
        <v>39194</v>
      </c>
      <c r="I12564" t="s">
        <v>30</v>
      </c>
      <c r="J12564" t="s">
        <v>111</v>
      </c>
      <c r="K12564" t="s">
        <v>112</v>
      </c>
      <c r="Q12564">
        <v>0</v>
      </c>
      <c r="R12564">
        <v>0</v>
      </c>
      <c r="S12564">
        <v>0</v>
      </c>
      <c r="T12564" t="s">
        <v>45161</v>
      </c>
    </row>
    <row r="12565" spans="1:20" customFormat="1" ht="15" x14ac:dyDescent="0.25">
      <c r="A12565" t="s">
        <v>35</v>
      </c>
      <c r="B12565" t="s">
        <v>106</v>
      </c>
      <c r="C12565" t="str">
        <f>"A0135850"</f>
        <v>A0135850</v>
      </c>
      <c r="D12565" t="s">
        <v>45163</v>
      </c>
      <c r="E12565" t="s">
        <v>45164</v>
      </c>
      <c r="F12565" t="s">
        <v>21186</v>
      </c>
      <c r="G12565" t="s">
        <v>1184</v>
      </c>
      <c r="H12565">
        <v>59741</v>
      </c>
      <c r="I12565" t="s">
        <v>30</v>
      </c>
      <c r="J12565" t="s">
        <v>111</v>
      </c>
      <c r="K12565" t="s">
        <v>112</v>
      </c>
      <c r="Q12565">
        <v>0</v>
      </c>
      <c r="R12565">
        <v>0</v>
      </c>
      <c r="S12565">
        <v>0</v>
      </c>
      <c r="T12565" t="s">
        <v>45165</v>
      </c>
    </row>
    <row r="12566" spans="1:20" customFormat="1" ht="15" x14ac:dyDescent="0.25">
      <c r="A12566" t="s">
        <v>35</v>
      </c>
      <c r="B12566" t="s">
        <v>61</v>
      </c>
      <c r="C12566" t="str">
        <f>"A0118035"</f>
        <v>A0118035</v>
      </c>
      <c r="D12566" t="s">
        <v>45166</v>
      </c>
      <c r="E12566" t="s">
        <v>45167</v>
      </c>
      <c r="F12566" t="s">
        <v>6244</v>
      </c>
      <c r="G12566" t="s">
        <v>110</v>
      </c>
      <c r="H12566">
        <v>93725</v>
      </c>
      <c r="I12566" t="s">
        <v>30</v>
      </c>
      <c r="J12566" t="s">
        <v>41</v>
      </c>
      <c r="K12566" t="s">
        <v>229</v>
      </c>
      <c r="Q12566">
        <v>0</v>
      </c>
      <c r="R12566">
        <v>59</v>
      </c>
      <c r="S12566">
        <v>59</v>
      </c>
      <c r="T12566" t="s">
        <v>45168</v>
      </c>
    </row>
    <row r="12567" spans="1:20" customFormat="1" ht="15" x14ac:dyDescent="0.25">
      <c r="A12567" t="s">
        <v>35</v>
      </c>
      <c r="B12567" t="s">
        <v>61</v>
      </c>
      <c r="C12567" t="str">
        <f>"A0117862"</f>
        <v>A0117862</v>
      </c>
      <c r="D12567" t="s">
        <v>45169</v>
      </c>
      <c r="E12567" t="s">
        <v>45170</v>
      </c>
      <c r="F12567" t="s">
        <v>4814</v>
      </c>
      <c r="G12567" t="s">
        <v>4815</v>
      </c>
      <c r="H12567">
        <v>96816</v>
      </c>
      <c r="I12567" t="s">
        <v>30</v>
      </c>
      <c r="J12567" t="s">
        <v>41</v>
      </c>
      <c r="K12567" t="s">
        <v>229</v>
      </c>
      <c r="Q12567">
        <v>0</v>
      </c>
      <c r="R12567">
        <v>27</v>
      </c>
      <c r="S12567">
        <v>27</v>
      </c>
      <c r="T12567" t="s">
        <v>45171</v>
      </c>
    </row>
    <row r="12568" spans="1:20" customFormat="1" ht="15" x14ac:dyDescent="0.25">
      <c r="A12568" t="s">
        <v>35</v>
      </c>
      <c r="B12568" t="s">
        <v>61</v>
      </c>
      <c r="C12568" t="str">
        <f>"A0125770"</f>
        <v>A0125770</v>
      </c>
      <c r="D12568" t="s">
        <v>45172</v>
      </c>
      <c r="E12568" t="s">
        <v>40797</v>
      </c>
      <c r="F12568" t="s">
        <v>4108</v>
      </c>
      <c r="G12568" t="s">
        <v>29</v>
      </c>
      <c r="H12568">
        <v>24012</v>
      </c>
      <c r="I12568" t="s">
        <v>30</v>
      </c>
      <c r="J12568" t="s">
        <v>41</v>
      </c>
      <c r="K12568" t="s">
        <v>482</v>
      </c>
      <c r="Q12568">
        <v>0</v>
      </c>
      <c r="R12568">
        <v>91</v>
      </c>
      <c r="S12568">
        <v>91</v>
      </c>
      <c r="T12568" t="s">
        <v>45173</v>
      </c>
    </row>
    <row r="12569" spans="1:20" customFormat="1" ht="15" x14ac:dyDescent="0.25">
      <c r="A12569" t="s">
        <v>35</v>
      </c>
      <c r="B12569" t="s">
        <v>61</v>
      </c>
      <c r="C12569" t="str">
        <f>"A0125735"</f>
        <v>A0125735</v>
      </c>
      <c r="D12569" t="s">
        <v>45174</v>
      </c>
      <c r="E12569" t="s">
        <v>45175</v>
      </c>
      <c r="F12569" t="s">
        <v>45176</v>
      </c>
      <c r="G12569" t="s">
        <v>29</v>
      </c>
      <c r="H12569">
        <v>24578</v>
      </c>
      <c r="I12569" t="s">
        <v>30</v>
      </c>
      <c r="J12569" t="s">
        <v>41</v>
      </c>
      <c r="K12569" t="s">
        <v>59</v>
      </c>
      <c r="Q12569">
        <v>0</v>
      </c>
      <c r="R12569">
        <v>60</v>
      </c>
      <c r="S12569">
        <v>60</v>
      </c>
      <c r="T12569" t="s">
        <v>45177</v>
      </c>
    </row>
    <row r="12570" spans="1:20" customFormat="1" ht="15" x14ac:dyDescent="0.25">
      <c r="A12570" t="s">
        <v>35</v>
      </c>
      <c r="B12570" t="s">
        <v>61</v>
      </c>
      <c r="C12570" t="str">
        <f>"A0123412"</f>
        <v>A0123412</v>
      </c>
      <c r="D12570" t="s">
        <v>45178</v>
      </c>
      <c r="E12570" t="s">
        <v>45179</v>
      </c>
      <c r="F12570" t="s">
        <v>19203</v>
      </c>
      <c r="G12570" t="s">
        <v>29</v>
      </c>
      <c r="H12570" t="s">
        <v>45180</v>
      </c>
      <c r="I12570" t="s">
        <v>30</v>
      </c>
      <c r="J12570" t="s">
        <v>41</v>
      </c>
      <c r="K12570" t="s">
        <v>229</v>
      </c>
      <c r="Q12570">
        <v>0</v>
      </c>
      <c r="R12570">
        <v>96</v>
      </c>
      <c r="S12570">
        <v>96</v>
      </c>
      <c r="T12570" t="s">
        <v>45181</v>
      </c>
    </row>
    <row r="12571" spans="1:20" customFormat="1" ht="15" x14ac:dyDescent="0.25">
      <c r="A12571" t="s">
        <v>35</v>
      </c>
      <c r="B12571" t="s">
        <v>61</v>
      </c>
      <c r="C12571" t="str">
        <f>"A0123413"</f>
        <v>A0123413</v>
      </c>
      <c r="D12571" t="s">
        <v>45182</v>
      </c>
      <c r="E12571" t="s">
        <v>45183</v>
      </c>
      <c r="F12571" t="s">
        <v>13792</v>
      </c>
      <c r="G12571" t="s">
        <v>29</v>
      </c>
      <c r="H12571" t="s">
        <v>45184</v>
      </c>
      <c r="I12571" t="s">
        <v>30</v>
      </c>
      <c r="J12571" t="s">
        <v>41</v>
      </c>
      <c r="K12571" t="s">
        <v>229</v>
      </c>
      <c r="Q12571">
        <v>0</v>
      </c>
      <c r="R12571">
        <v>171</v>
      </c>
      <c r="S12571">
        <v>171</v>
      </c>
      <c r="T12571" t="s">
        <v>45185</v>
      </c>
    </row>
    <row r="12572" spans="1:20" customFormat="1" ht="15" x14ac:dyDescent="0.25">
      <c r="A12572" t="s">
        <v>35</v>
      </c>
      <c r="B12572" t="s">
        <v>61</v>
      </c>
      <c r="C12572" t="str">
        <f>"A0123414"</f>
        <v>A0123414</v>
      </c>
      <c r="D12572" t="s">
        <v>45186</v>
      </c>
      <c r="E12572" t="s">
        <v>45187</v>
      </c>
      <c r="F12572" t="s">
        <v>465</v>
      </c>
      <c r="G12572" t="s">
        <v>29</v>
      </c>
      <c r="H12572" t="s">
        <v>45188</v>
      </c>
      <c r="I12572" t="s">
        <v>30</v>
      </c>
      <c r="J12572" t="s">
        <v>41</v>
      </c>
      <c r="K12572" t="s">
        <v>229</v>
      </c>
      <c r="Q12572">
        <v>0</v>
      </c>
      <c r="R12572">
        <v>145</v>
      </c>
      <c r="S12572">
        <v>145</v>
      </c>
      <c r="T12572" t="s">
        <v>45189</v>
      </c>
    </row>
    <row r="12573" spans="1:20" customFormat="1" ht="15" x14ac:dyDescent="0.25">
      <c r="A12573" t="s">
        <v>35</v>
      </c>
      <c r="B12573" t="s">
        <v>61</v>
      </c>
      <c r="C12573" t="str">
        <f>"A0123415"</f>
        <v>A0123415</v>
      </c>
      <c r="D12573" t="s">
        <v>45190</v>
      </c>
      <c r="E12573" t="s">
        <v>45191</v>
      </c>
      <c r="F12573" t="s">
        <v>1795</v>
      </c>
      <c r="G12573" t="s">
        <v>29</v>
      </c>
      <c r="H12573" t="s">
        <v>45192</v>
      </c>
      <c r="I12573" t="s">
        <v>30</v>
      </c>
      <c r="J12573" t="s">
        <v>41</v>
      </c>
      <c r="K12573" t="s">
        <v>229</v>
      </c>
      <c r="Q12573">
        <v>0</v>
      </c>
      <c r="R12573">
        <v>128</v>
      </c>
      <c r="S12573">
        <v>128</v>
      </c>
      <c r="T12573" t="s">
        <v>45193</v>
      </c>
    </row>
    <row r="12574" spans="1:20" customFormat="1" ht="15" x14ac:dyDescent="0.25">
      <c r="A12574" t="s">
        <v>35</v>
      </c>
      <c r="B12574" t="s">
        <v>61</v>
      </c>
      <c r="C12574" t="str">
        <f>"A0123416"</f>
        <v>A0123416</v>
      </c>
      <c r="D12574" t="s">
        <v>45194</v>
      </c>
      <c r="E12574" t="s">
        <v>45195</v>
      </c>
      <c r="F12574" t="s">
        <v>1795</v>
      </c>
      <c r="G12574" t="s">
        <v>29</v>
      </c>
      <c r="H12574" t="s">
        <v>45196</v>
      </c>
      <c r="I12574" t="s">
        <v>30</v>
      </c>
      <c r="J12574" t="s">
        <v>41</v>
      </c>
      <c r="K12574" t="s">
        <v>229</v>
      </c>
      <c r="Q12574">
        <v>0</v>
      </c>
      <c r="R12574">
        <v>194</v>
      </c>
      <c r="S12574">
        <v>194</v>
      </c>
      <c r="T12574" t="s">
        <v>45197</v>
      </c>
    </row>
    <row r="12575" spans="1:20" customFormat="1" ht="15" x14ac:dyDescent="0.25">
      <c r="A12575" t="s">
        <v>35</v>
      </c>
      <c r="B12575" t="s">
        <v>61</v>
      </c>
      <c r="C12575" t="str">
        <f>"A0123832"</f>
        <v>A0123832</v>
      </c>
      <c r="D12575" t="s">
        <v>45198</v>
      </c>
      <c r="E12575" t="s">
        <v>45199</v>
      </c>
      <c r="F12575" t="s">
        <v>11400</v>
      </c>
      <c r="G12575" t="s">
        <v>29</v>
      </c>
      <c r="H12575">
        <v>23233</v>
      </c>
      <c r="I12575" t="s">
        <v>30</v>
      </c>
      <c r="J12575" t="s">
        <v>41</v>
      </c>
      <c r="K12575" t="s">
        <v>482</v>
      </c>
      <c r="Q12575">
        <v>0</v>
      </c>
      <c r="R12575">
        <v>180</v>
      </c>
      <c r="S12575">
        <v>180</v>
      </c>
      <c r="T12575" t="s">
        <v>45200</v>
      </c>
    </row>
    <row r="12576" spans="1:20" customFormat="1" ht="15" x14ac:dyDescent="0.25">
      <c r="A12576" t="s">
        <v>35</v>
      </c>
      <c r="B12576" t="s">
        <v>61</v>
      </c>
      <c r="C12576" t="str">
        <f>"A0123833"</f>
        <v>A0123833</v>
      </c>
      <c r="D12576" t="s">
        <v>45201</v>
      </c>
      <c r="E12576" t="s">
        <v>45202</v>
      </c>
      <c r="F12576" t="s">
        <v>1904</v>
      </c>
      <c r="G12576" t="s">
        <v>880</v>
      </c>
      <c r="H12576">
        <v>37405</v>
      </c>
      <c r="I12576" t="s">
        <v>30</v>
      </c>
      <c r="J12576" t="s">
        <v>41</v>
      </c>
      <c r="K12576" t="s">
        <v>482</v>
      </c>
      <c r="Q12576">
        <v>0</v>
      </c>
      <c r="R12576">
        <v>120</v>
      </c>
      <c r="S12576">
        <v>120</v>
      </c>
      <c r="T12576" t="s">
        <v>45203</v>
      </c>
    </row>
    <row r="12577" spans="1:20" customFormat="1" ht="15" x14ac:dyDescent="0.25">
      <c r="A12577" t="s">
        <v>35</v>
      </c>
      <c r="B12577" t="s">
        <v>61</v>
      </c>
      <c r="C12577" t="str">
        <f>"A0123834"</f>
        <v>A0123834</v>
      </c>
      <c r="D12577" t="s">
        <v>45204</v>
      </c>
      <c r="E12577" t="s">
        <v>45205</v>
      </c>
      <c r="F12577" t="s">
        <v>3657</v>
      </c>
      <c r="G12577" t="s">
        <v>880</v>
      </c>
      <c r="H12577">
        <v>37922</v>
      </c>
      <c r="I12577" t="s">
        <v>30</v>
      </c>
      <c r="J12577" t="s">
        <v>41</v>
      </c>
      <c r="K12577" t="s">
        <v>482</v>
      </c>
      <c r="Q12577">
        <v>0</v>
      </c>
      <c r="R12577">
        <v>120</v>
      </c>
      <c r="S12577">
        <v>120</v>
      </c>
      <c r="T12577" t="s">
        <v>45206</v>
      </c>
    </row>
    <row r="12578" spans="1:20" customFormat="1" ht="15" x14ac:dyDescent="0.25">
      <c r="A12578" t="s">
        <v>35</v>
      </c>
      <c r="B12578" t="s">
        <v>61</v>
      </c>
      <c r="C12578" t="str">
        <f>"A0123417"</f>
        <v>A0123417</v>
      </c>
      <c r="D12578" t="s">
        <v>45207</v>
      </c>
      <c r="E12578" t="s">
        <v>45208</v>
      </c>
      <c r="F12578" t="s">
        <v>15676</v>
      </c>
      <c r="G12578" t="s">
        <v>214</v>
      </c>
      <c r="H12578">
        <v>28054</v>
      </c>
      <c r="I12578" t="s">
        <v>30</v>
      </c>
      <c r="J12578" t="s">
        <v>41</v>
      </c>
      <c r="K12578" t="s">
        <v>482</v>
      </c>
      <c r="Q12578">
        <v>0</v>
      </c>
      <c r="R12578">
        <v>120</v>
      </c>
      <c r="S12578">
        <v>120</v>
      </c>
      <c r="T12578" t="s">
        <v>45209</v>
      </c>
    </row>
    <row r="12579" spans="1:20" customFormat="1" ht="15" x14ac:dyDescent="0.25">
      <c r="A12579" t="s">
        <v>35</v>
      </c>
      <c r="B12579" t="s">
        <v>61</v>
      </c>
      <c r="C12579" t="str">
        <f>"A0123418"</f>
        <v>A0123418</v>
      </c>
      <c r="D12579" t="s">
        <v>45210</v>
      </c>
      <c r="E12579" t="s">
        <v>45211</v>
      </c>
      <c r="F12579" t="s">
        <v>3685</v>
      </c>
      <c r="G12579" t="s">
        <v>214</v>
      </c>
      <c r="H12579">
        <v>27408</v>
      </c>
      <c r="I12579" t="s">
        <v>30</v>
      </c>
      <c r="J12579" t="s">
        <v>41</v>
      </c>
      <c r="K12579" t="s">
        <v>482</v>
      </c>
      <c r="Q12579">
        <v>0</v>
      </c>
      <c r="R12579">
        <v>120</v>
      </c>
      <c r="S12579">
        <v>120</v>
      </c>
      <c r="T12579" t="s">
        <v>45212</v>
      </c>
    </row>
    <row r="12580" spans="1:20" customFormat="1" ht="15" x14ac:dyDescent="0.25">
      <c r="A12580" t="s">
        <v>35</v>
      </c>
      <c r="B12580" t="s">
        <v>61</v>
      </c>
      <c r="C12580" t="str">
        <f>"A0123419"</f>
        <v>A0123419</v>
      </c>
      <c r="D12580" t="s">
        <v>45213</v>
      </c>
      <c r="E12580" t="s">
        <v>45214</v>
      </c>
      <c r="F12580" t="s">
        <v>1926</v>
      </c>
      <c r="G12580" t="s">
        <v>214</v>
      </c>
      <c r="H12580">
        <v>28209</v>
      </c>
      <c r="I12580" t="s">
        <v>30</v>
      </c>
      <c r="J12580" t="s">
        <v>41</v>
      </c>
      <c r="K12580" t="s">
        <v>482</v>
      </c>
      <c r="Q12580">
        <v>0</v>
      </c>
      <c r="R12580">
        <v>120</v>
      </c>
      <c r="S12580">
        <v>120</v>
      </c>
      <c r="T12580" t="s">
        <v>45215</v>
      </c>
    </row>
    <row r="12581" spans="1:20" customFormat="1" ht="15" x14ac:dyDescent="0.25">
      <c r="A12581" t="s">
        <v>35</v>
      </c>
      <c r="B12581" t="s">
        <v>61</v>
      </c>
      <c r="C12581" t="str">
        <f>"A0123420"</f>
        <v>A0123420</v>
      </c>
      <c r="D12581" t="s">
        <v>45216</v>
      </c>
      <c r="E12581" t="s">
        <v>45217</v>
      </c>
      <c r="F12581" t="s">
        <v>6538</v>
      </c>
      <c r="G12581" t="s">
        <v>214</v>
      </c>
      <c r="H12581">
        <v>27106</v>
      </c>
      <c r="I12581" t="s">
        <v>30</v>
      </c>
      <c r="J12581" t="s">
        <v>41</v>
      </c>
      <c r="K12581" t="s">
        <v>482</v>
      </c>
      <c r="Q12581">
        <v>0</v>
      </c>
      <c r="R12581">
        <v>120</v>
      </c>
      <c r="S12581">
        <v>120</v>
      </c>
      <c r="T12581" t="s">
        <v>45218</v>
      </c>
    </row>
    <row r="12582" spans="1:20" customFormat="1" ht="15" x14ac:dyDescent="0.25">
      <c r="A12582" t="s">
        <v>35</v>
      </c>
      <c r="B12582" t="s">
        <v>61</v>
      </c>
      <c r="C12582" t="str">
        <f>"A0132585"</f>
        <v>A0132585</v>
      </c>
      <c r="D12582" t="s">
        <v>45219</v>
      </c>
      <c r="E12582" t="s">
        <v>45220</v>
      </c>
      <c r="F12582" t="s">
        <v>5188</v>
      </c>
      <c r="G12582" t="s">
        <v>65</v>
      </c>
      <c r="H12582">
        <v>44903</v>
      </c>
      <c r="I12582" t="s">
        <v>30</v>
      </c>
      <c r="J12582" t="s">
        <v>41</v>
      </c>
      <c r="K12582" t="s">
        <v>229</v>
      </c>
      <c r="Q12582">
        <v>0</v>
      </c>
      <c r="R12582">
        <v>254</v>
      </c>
      <c r="S12582">
        <v>254</v>
      </c>
      <c r="T12582" t="s">
        <v>45221</v>
      </c>
    </row>
    <row r="12583" spans="1:20" customFormat="1" ht="15" x14ac:dyDescent="0.25">
      <c r="A12583" t="s">
        <v>35</v>
      </c>
      <c r="B12583" t="s">
        <v>61</v>
      </c>
      <c r="C12583" t="str">
        <f>"A0118652"</f>
        <v>A0118652</v>
      </c>
      <c r="D12583" t="s">
        <v>45222</v>
      </c>
      <c r="E12583" t="s">
        <v>45223</v>
      </c>
      <c r="F12583" t="s">
        <v>36392</v>
      </c>
      <c r="G12583" t="s">
        <v>110</v>
      </c>
      <c r="H12583">
        <v>917620000</v>
      </c>
      <c r="I12583" t="s">
        <v>30</v>
      </c>
      <c r="J12583" t="s">
        <v>41</v>
      </c>
      <c r="K12583" t="s">
        <v>2477</v>
      </c>
      <c r="Q12583">
        <v>0</v>
      </c>
      <c r="R12583">
        <v>6</v>
      </c>
      <c r="S12583">
        <v>6</v>
      </c>
      <c r="T12583" t="s">
        <v>45224</v>
      </c>
    </row>
    <row r="12584" spans="1:20" customFormat="1" ht="15" x14ac:dyDescent="0.25">
      <c r="A12584" t="s">
        <v>35</v>
      </c>
      <c r="B12584" t="s">
        <v>61</v>
      </c>
      <c r="C12584" t="str">
        <f>"A0130418"</f>
        <v>A0130418</v>
      </c>
      <c r="D12584" t="s">
        <v>45225</v>
      </c>
      <c r="E12584" t="s">
        <v>45226</v>
      </c>
      <c r="F12584" t="s">
        <v>45227</v>
      </c>
      <c r="G12584" t="s">
        <v>1898</v>
      </c>
      <c r="H12584">
        <v>521420000</v>
      </c>
      <c r="I12584" t="s">
        <v>30</v>
      </c>
      <c r="J12584" t="s">
        <v>41</v>
      </c>
      <c r="K12584" t="s">
        <v>229</v>
      </c>
      <c r="Q12584">
        <v>0</v>
      </c>
      <c r="R12584">
        <v>60</v>
      </c>
      <c r="S12584">
        <v>60</v>
      </c>
      <c r="T12584" t="s">
        <v>45228</v>
      </c>
    </row>
    <row r="12585" spans="1:20" customFormat="1" ht="15" x14ac:dyDescent="0.25">
      <c r="A12585" t="s">
        <v>35</v>
      </c>
      <c r="B12585" t="s">
        <v>61</v>
      </c>
      <c r="C12585" t="str">
        <f>"A0131254"</f>
        <v>A0131254</v>
      </c>
      <c r="D12585" t="s">
        <v>45229</v>
      </c>
      <c r="E12585" t="s">
        <v>45230</v>
      </c>
      <c r="F12585" t="s">
        <v>16985</v>
      </c>
      <c r="G12585" t="s">
        <v>137</v>
      </c>
      <c r="H12585">
        <v>63701</v>
      </c>
      <c r="I12585" t="s">
        <v>30</v>
      </c>
      <c r="J12585" t="s">
        <v>41</v>
      </c>
      <c r="K12585" t="s">
        <v>229</v>
      </c>
      <c r="Q12585">
        <v>0</v>
      </c>
      <c r="R12585">
        <v>80</v>
      </c>
      <c r="S12585">
        <v>80</v>
      </c>
      <c r="T12585" t="s">
        <v>45231</v>
      </c>
    </row>
    <row r="12586" spans="1:20" customFormat="1" ht="15" x14ac:dyDescent="0.25">
      <c r="A12586" t="s">
        <v>35</v>
      </c>
      <c r="B12586" t="s">
        <v>61</v>
      </c>
      <c r="C12586" t="str">
        <f>"A0128311"</f>
        <v>A0128311</v>
      </c>
      <c r="D12586" t="s">
        <v>45232</v>
      </c>
      <c r="E12586" t="s">
        <v>45233</v>
      </c>
      <c r="F12586" t="s">
        <v>426</v>
      </c>
      <c r="G12586" t="s">
        <v>427</v>
      </c>
      <c r="H12586">
        <v>681040000</v>
      </c>
      <c r="I12586" t="s">
        <v>30</v>
      </c>
      <c r="J12586" t="s">
        <v>41</v>
      </c>
      <c r="K12586" t="s">
        <v>229</v>
      </c>
      <c r="Q12586">
        <v>0</v>
      </c>
      <c r="R12586">
        <v>138</v>
      </c>
      <c r="S12586">
        <v>138</v>
      </c>
      <c r="T12586" t="s">
        <v>45234</v>
      </c>
    </row>
    <row r="12587" spans="1:20" customFormat="1" ht="15" x14ac:dyDescent="0.25">
      <c r="A12587" t="s">
        <v>35</v>
      </c>
      <c r="B12587" t="s">
        <v>61</v>
      </c>
      <c r="C12587" t="str">
        <f>"A0132204"</f>
        <v>A0132204</v>
      </c>
      <c r="D12587" t="s">
        <v>45235</v>
      </c>
      <c r="E12587" t="s">
        <v>45236</v>
      </c>
      <c r="F12587" t="s">
        <v>33762</v>
      </c>
      <c r="G12587" t="s">
        <v>65</v>
      </c>
      <c r="H12587">
        <v>458170000</v>
      </c>
      <c r="I12587" t="s">
        <v>30</v>
      </c>
      <c r="J12587" t="s">
        <v>41</v>
      </c>
      <c r="K12587" t="s">
        <v>59</v>
      </c>
      <c r="Q12587">
        <v>0</v>
      </c>
      <c r="R12587">
        <v>30</v>
      </c>
      <c r="S12587">
        <v>30</v>
      </c>
      <c r="T12587" t="s">
        <v>45237</v>
      </c>
    </row>
    <row r="12588" spans="1:20" customFormat="1" ht="15" x14ac:dyDescent="0.25">
      <c r="A12588" t="s">
        <v>35</v>
      </c>
      <c r="B12588" t="s">
        <v>61</v>
      </c>
      <c r="C12588" t="str">
        <f>"A0124053"</f>
        <v>A0124053</v>
      </c>
      <c r="D12588" t="s">
        <v>45238</v>
      </c>
      <c r="E12588" t="s">
        <v>45239</v>
      </c>
      <c r="F12588" t="s">
        <v>38440</v>
      </c>
      <c r="G12588" t="s">
        <v>214</v>
      </c>
      <c r="H12588">
        <v>27573</v>
      </c>
      <c r="I12588" t="s">
        <v>30</v>
      </c>
      <c r="J12588" t="s">
        <v>41</v>
      </c>
      <c r="K12588" t="s">
        <v>482</v>
      </c>
      <c r="Q12588">
        <v>0</v>
      </c>
      <c r="R12588">
        <v>35</v>
      </c>
      <c r="S12588">
        <v>35</v>
      </c>
      <c r="T12588" t="s">
        <v>45240</v>
      </c>
    </row>
    <row r="12589" spans="1:20" customFormat="1" ht="15" x14ac:dyDescent="0.25">
      <c r="A12589" t="s">
        <v>35</v>
      </c>
      <c r="B12589" t="s">
        <v>61</v>
      </c>
      <c r="C12589" t="str">
        <f>"A0130350"</f>
        <v>A0130350</v>
      </c>
      <c r="D12589" t="s">
        <v>45241</v>
      </c>
      <c r="E12589" t="s">
        <v>45242</v>
      </c>
      <c r="F12589" t="s">
        <v>26801</v>
      </c>
      <c r="G12589" t="s">
        <v>1898</v>
      </c>
      <c r="H12589">
        <v>510340000</v>
      </c>
      <c r="I12589" t="s">
        <v>30</v>
      </c>
      <c r="J12589" t="s">
        <v>41</v>
      </c>
      <c r="K12589" t="s">
        <v>229</v>
      </c>
      <c r="Q12589">
        <v>0</v>
      </c>
      <c r="R12589">
        <v>64</v>
      </c>
      <c r="S12589">
        <v>64</v>
      </c>
      <c r="T12589" t="s">
        <v>45243</v>
      </c>
    </row>
    <row r="12590" spans="1:20" customFormat="1" ht="15" x14ac:dyDescent="0.25">
      <c r="A12590" t="s">
        <v>35</v>
      </c>
      <c r="B12590" t="s">
        <v>61</v>
      </c>
      <c r="C12590" t="str">
        <f>"A0129529"</f>
        <v>A0129529</v>
      </c>
      <c r="D12590" t="s">
        <v>45244</v>
      </c>
      <c r="E12590" t="s">
        <v>45245</v>
      </c>
      <c r="F12590" t="s">
        <v>1669</v>
      </c>
      <c r="G12590" t="s">
        <v>289</v>
      </c>
      <c r="H12590">
        <v>61530</v>
      </c>
      <c r="I12590" t="s">
        <v>30</v>
      </c>
      <c r="J12590" t="s">
        <v>41</v>
      </c>
      <c r="K12590" t="s">
        <v>229</v>
      </c>
      <c r="Q12590">
        <v>0</v>
      </c>
      <c r="R12590">
        <v>95</v>
      </c>
      <c r="S12590">
        <v>95</v>
      </c>
      <c r="T12590" t="s">
        <v>45246</v>
      </c>
    </row>
    <row r="12591" spans="1:20" customFormat="1" ht="15" x14ac:dyDescent="0.25">
      <c r="A12591" t="s">
        <v>35</v>
      </c>
      <c r="B12591" t="s">
        <v>61</v>
      </c>
      <c r="C12591" t="str">
        <f>"A0127785"</f>
        <v>A0127785</v>
      </c>
      <c r="D12591" t="s">
        <v>45247</v>
      </c>
      <c r="E12591" t="s">
        <v>45248</v>
      </c>
      <c r="F12591" t="s">
        <v>265</v>
      </c>
      <c r="G12591" t="s">
        <v>117</v>
      </c>
      <c r="H12591">
        <v>481840000</v>
      </c>
      <c r="I12591" t="s">
        <v>30</v>
      </c>
      <c r="J12591" t="s">
        <v>41</v>
      </c>
      <c r="K12591" t="s">
        <v>229</v>
      </c>
      <c r="Q12591">
        <v>0</v>
      </c>
      <c r="R12591">
        <v>80</v>
      </c>
      <c r="S12591">
        <v>80</v>
      </c>
      <c r="T12591" t="s">
        <v>45249</v>
      </c>
    </row>
    <row r="12592" spans="1:20" customFormat="1" ht="15" x14ac:dyDescent="0.25">
      <c r="A12592" t="s">
        <v>35</v>
      </c>
      <c r="B12592" t="s">
        <v>61</v>
      </c>
      <c r="C12592" t="str">
        <f>"A0128131"</f>
        <v>A0128131</v>
      </c>
      <c r="D12592" t="s">
        <v>45250</v>
      </c>
      <c r="E12592" t="s">
        <v>45251</v>
      </c>
      <c r="F12592" t="s">
        <v>44812</v>
      </c>
      <c r="G12592" t="s">
        <v>117</v>
      </c>
      <c r="H12592">
        <v>48377</v>
      </c>
      <c r="I12592" t="s">
        <v>30</v>
      </c>
      <c r="J12592" t="s">
        <v>41</v>
      </c>
      <c r="K12592" t="s">
        <v>1440</v>
      </c>
      <c r="Q12592">
        <v>0</v>
      </c>
      <c r="R12592">
        <v>90</v>
      </c>
      <c r="S12592">
        <v>90</v>
      </c>
      <c r="T12592" t="s">
        <v>45249</v>
      </c>
    </row>
    <row r="12593" spans="1:20" customFormat="1" ht="15" x14ac:dyDescent="0.25">
      <c r="A12593" t="s">
        <v>35</v>
      </c>
      <c r="B12593" t="s">
        <v>61</v>
      </c>
      <c r="C12593" t="str">
        <f>"A0125445"</f>
        <v>A0125445</v>
      </c>
      <c r="D12593" t="s">
        <v>45252</v>
      </c>
      <c r="E12593" t="s">
        <v>45253</v>
      </c>
      <c r="F12593" t="s">
        <v>36904</v>
      </c>
      <c r="G12593" t="s">
        <v>40</v>
      </c>
      <c r="H12593">
        <v>74883</v>
      </c>
      <c r="I12593" t="s">
        <v>30</v>
      </c>
      <c r="J12593" t="s">
        <v>41</v>
      </c>
      <c r="K12593" t="s">
        <v>131</v>
      </c>
      <c r="Q12593">
        <v>0</v>
      </c>
      <c r="R12593">
        <v>16</v>
      </c>
      <c r="S12593">
        <v>16</v>
      </c>
      <c r="T12593" t="s">
        <v>36905</v>
      </c>
    </row>
    <row r="12594" spans="1:20" customFormat="1" ht="15" x14ac:dyDescent="0.25">
      <c r="A12594" t="s">
        <v>35</v>
      </c>
      <c r="B12594" t="s">
        <v>61</v>
      </c>
      <c r="C12594" t="str">
        <f>"A0151500"</f>
        <v>A0151500</v>
      </c>
      <c r="D12594" t="s">
        <v>45254</v>
      </c>
      <c r="E12594" t="s">
        <v>45255</v>
      </c>
      <c r="F12594" t="s">
        <v>38697</v>
      </c>
      <c r="G12594" t="s">
        <v>153</v>
      </c>
      <c r="H12594">
        <v>84341</v>
      </c>
      <c r="I12594" t="s">
        <v>30</v>
      </c>
      <c r="J12594" t="s">
        <v>41</v>
      </c>
      <c r="K12594" t="s">
        <v>59</v>
      </c>
      <c r="Q12594">
        <v>0</v>
      </c>
      <c r="R12594">
        <v>80</v>
      </c>
      <c r="S12594">
        <v>80</v>
      </c>
      <c r="T12594" t="s">
        <v>45256</v>
      </c>
    </row>
    <row r="12595" spans="1:20" customFormat="1" ht="15" x14ac:dyDescent="0.25">
      <c r="A12595" t="s">
        <v>35</v>
      </c>
      <c r="B12595" t="s">
        <v>61</v>
      </c>
      <c r="C12595" t="str">
        <f>"A0127779"</f>
        <v>A0127779</v>
      </c>
      <c r="D12595" t="s">
        <v>45257</v>
      </c>
      <c r="E12595" t="s">
        <v>45258</v>
      </c>
      <c r="F12595" t="s">
        <v>45259</v>
      </c>
      <c r="G12595" t="s">
        <v>117</v>
      </c>
      <c r="H12595">
        <v>49664</v>
      </c>
      <c r="I12595" t="s">
        <v>30</v>
      </c>
      <c r="J12595" t="s">
        <v>41</v>
      </c>
      <c r="K12595" t="s">
        <v>1032</v>
      </c>
      <c r="Q12595">
        <v>0</v>
      </c>
      <c r="R12595">
        <v>25</v>
      </c>
      <c r="S12595">
        <v>25</v>
      </c>
      <c r="T12595" t="s">
        <v>45260</v>
      </c>
    </row>
    <row r="12596" spans="1:20" customFormat="1" ht="15" x14ac:dyDescent="0.25">
      <c r="A12596" t="s">
        <v>35</v>
      </c>
      <c r="B12596" t="s">
        <v>61</v>
      </c>
      <c r="C12596" t="str">
        <f>"A0123421"</f>
        <v>A0123421</v>
      </c>
      <c r="D12596" t="s">
        <v>45261</v>
      </c>
      <c r="E12596" t="s">
        <v>45262</v>
      </c>
      <c r="F12596" t="s">
        <v>36565</v>
      </c>
      <c r="G12596" t="s">
        <v>507</v>
      </c>
      <c r="H12596">
        <v>24701</v>
      </c>
      <c r="I12596" t="s">
        <v>30</v>
      </c>
      <c r="J12596" t="s">
        <v>41</v>
      </c>
      <c r="K12596" t="s">
        <v>229</v>
      </c>
      <c r="Q12596">
        <v>0</v>
      </c>
      <c r="R12596">
        <v>78</v>
      </c>
      <c r="S12596">
        <v>78</v>
      </c>
      <c r="T12596" t="s">
        <v>45263</v>
      </c>
    </row>
    <row r="12597" spans="1:20" customFormat="1" ht="15" x14ac:dyDescent="0.25">
      <c r="A12597" t="s">
        <v>35</v>
      </c>
      <c r="B12597" t="s">
        <v>61</v>
      </c>
      <c r="C12597" t="str">
        <f>"A0121474"</f>
        <v>A0121474</v>
      </c>
      <c r="D12597" t="s">
        <v>45264</v>
      </c>
      <c r="E12597" t="s">
        <v>45265</v>
      </c>
      <c r="F12597" t="s">
        <v>75</v>
      </c>
      <c r="G12597" t="s">
        <v>76</v>
      </c>
      <c r="H12597">
        <v>99202</v>
      </c>
      <c r="I12597" t="s">
        <v>30</v>
      </c>
      <c r="J12597" t="s">
        <v>41</v>
      </c>
      <c r="K12597" t="s">
        <v>482</v>
      </c>
      <c r="Q12597">
        <v>0</v>
      </c>
      <c r="R12597">
        <v>175</v>
      </c>
      <c r="S12597">
        <v>175</v>
      </c>
      <c r="T12597" t="s">
        <v>45266</v>
      </c>
    </row>
    <row r="12598" spans="1:20" customFormat="1" ht="15" x14ac:dyDescent="0.25">
      <c r="A12598" t="s">
        <v>35</v>
      </c>
      <c r="B12598" t="s">
        <v>61</v>
      </c>
      <c r="C12598" t="str">
        <f>"A0124686"</f>
        <v>A0124686</v>
      </c>
      <c r="D12598" t="s">
        <v>45267</v>
      </c>
      <c r="E12598" t="s">
        <v>45268</v>
      </c>
      <c r="F12598" t="s">
        <v>12532</v>
      </c>
      <c r="G12598" t="s">
        <v>880</v>
      </c>
      <c r="H12598">
        <v>38305</v>
      </c>
      <c r="I12598" t="s">
        <v>30</v>
      </c>
      <c r="J12598" t="s">
        <v>41</v>
      </c>
      <c r="K12598" t="s">
        <v>229</v>
      </c>
      <c r="Q12598">
        <v>0</v>
      </c>
      <c r="R12598">
        <v>133</v>
      </c>
      <c r="S12598">
        <v>133</v>
      </c>
      <c r="T12598" t="s">
        <v>45269</v>
      </c>
    </row>
    <row r="12599" spans="1:20" customFormat="1" ht="15" x14ac:dyDescent="0.25">
      <c r="A12599" t="s">
        <v>35</v>
      </c>
      <c r="B12599" t="s">
        <v>61</v>
      </c>
      <c r="C12599" t="str">
        <f>"A0130863"</f>
        <v>A0130863</v>
      </c>
      <c r="D12599" t="s">
        <v>45270</v>
      </c>
      <c r="E12599" t="s">
        <v>45271</v>
      </c>
      <c r="F12599" t="s">
        <v>1755</v>
      </c>
      <c r="G12599" t="s">
        <v>137</v>
      </c>
      <c r="H12599">
        <v>658030000</v>
      </c>
      <c r="I12599" t="s">
        <v>30</v>
      </c>
      <c r="J12599" t="s">
        <v>41</v>
      </c>
      <c r="K12599" t="s">
        <v>229</v>
      </c>
      <c r="Q12599">
        <v>0</v>
      </c>
      <c r="R12599">
        <v>263</v>
      </c>
      <c r="S12599">
        <v>263</v>
      </c>
      <c r="T12599" t="s">
        <v>45272</v>
      </c>
    </row>
    <row r="12600" spans="1:20" customFormat="1" ht="15" x14ac:dyDescent="0.25">
      <c r="A12600" t="s">
        <v>35</v>
      </c>
      <c r="B12600" t="s">
        <v>106</v>
      </c>
      <c r="C12600" t="str">
        <f>"A0135616"</f>
        <v>A0135616</v>
      </c>
      <c r="D12600" t="s">
        <v>45273</v>
      </c>
      <c r="E12600" t="s">
        <v>45274</v>
      </c>
      <c r="F12600" t="s">
        <v>45275</v>
      </c>
      <c r="G12600" t="s">
        <v>52</v>
      </c>
      <c r="H12600">
        <v>78652</v>
      </c>
      <c r="I12600" t="s">
        <v>30</v>
      </c>
      <c r="J12600" t="s">
        <v>111</v>
      </c>
      <c r="K12600" t="s">
        <v>131</v>
      </c>
      <c r="Q12600">
        <v>0</v>
      </c>
      <c r="R12600">
        <v>220</v>
      </c>
      <c r="S12600">
        <v>220</v>
      </c>
      <c r="T12600" t="s">
        <v>45276</v>
      </c>
    </row>
    <row r="12601" spans="1:20" customFormat="1" ht="15" x14ac:dyDescent="0.25">
      <c r="A12601" t="s">
        <v>35</v>
      </c>
      <c r="B12601" t="s">
        <v>61</v>
      </c>
      <c r="C12601" t="str">
        <f>"A0132870"</f>
        <v>A0132870</v>
      </c>
      <c r="D12601" t="s">
        <v>45277</v>
      </c>
      <c r="E12601" t="s">
        <v>45278</v>
      </c>
      <c r="F12601" t="s">
        <v>2748</v>
      </c>
      <c r="G12601" t="s">
        <v>65</v>
      </c>
      <c r="H12601">
        <v>43614</v>
      </c>
      <c r="I12601" t="s">
        <v>30</v>
      </c>
      <c r="J12601" t="s">
        <v>41</v>
      </c>
      <c r="K12601" t="s">
        <v>36814</v>
      </c>
      <c r="Q12601">
        <v>0</v>
      </c>
      <c r="R12601">
        <v>0</v>
      </c>
      <c r="S12601">
        <v>0</v>
      </c>
      <c r="T12601" t="s">
        <v>45279</v>
      </c>
    </row>
    <row r="12602" spans="1:20" customFormat="1" ht="15" x14ac:dyDescent="0.25">
      <c r="A12602" t="s">
        <v>35</v>
      </c>
      <c r="B12602" t="s">
        <v>61</v>
      </c>
      <c r="C12602" t="str">
        <f>"A0125004"</f>
        <v>A0125004</v>
      </c>
      <c r="D12602" t="s">
        <v>45280</v>
      </c>
      <c r="E12602" t="s">
        <v>45281</v>
      </c>
      <c r="F12602" t="s">
        <v>28237</v>
      </c>
      <c r="G12602" t="s">
        <v>214</v>
      </c>
      <c r="H12602">
        <v>28640</v>
      </c>
      <c r="I12602" t="s">
        <v>30</v>
      </c>
      <c r="J12602" t="s">
        <v>41</v>
      </c>
      <c r="K12602" t="s">
        <v>229</v>
      </c>
      <c r="Q12602">
        <v>0</v>
      </c>
      <c r="R12602">
        <v>150</v>
      </c>
      <c r="S12602">
        <v>150</v>
      </c>
      <c r="T12602" t="s">
        <v>45282</v>
      </c>
    </row>
    <row r="12603" spans="1:20" customFormat="1" ht="15" x14ac:dyDescent="0.25">
      <c r="A12603" t="s">
        <v>35</v>
      </c>
      <c r="B12603" t="s">
        <v>61</v>
      </c>
      <c r="C12603" t="str">
        <f>"A0127632"</f>
        <v>A0127632</v>
      </c>
      <c r="D12603" t="s">
        <v>45283</v>
      </c>
      <c r="E12603" t="s">
        <v>45284</v>
      </c>
      <c r="F12603" t="s">
        <v>4082</v>
      </c>
      <c r="G12603" t="s">
        <v>123</v>
      </c>
      <c r="H12603">
        <v>21212</v>
      </c>
      <c r="I12603" t="s">
        <v>30</v>
      </c>
      <c r="J12603" t="s">
        <v>41</v>
      </c>
      <c r="K12603" t="s">
        <v>229</v>
      </c>
      <c r="Q12603">
        <v>0</v>
      </c>
      <c r="R12603">
        <v>60</v>
      </c>
      <c r="S12603">
        <v>60</v>
      </c>
      <c r="T12603" t="s">
        <v>45285</v>
      </c>
    </row>
    <row r="12604" spans="1:20" customFormat="1" ht="15" x14ac:dyDescent="0.25">
      <c r="A12604" t="s">
        <v>35</v>
      </c>
      <c r="B12604" t="s">
        <v>61</v>
      </c>
      <c r="C12604" t="str">
        <f>"A0131137"</f>
        <v>A0131137</v>
      </c>
      <c r="D12604" t="s">
        <v>45286</v>
      </c>
      <c r="E12604" t="s">
        <v>45287</v>
      </c>
      <c r="F12604" t="s">
        <v>45288</v>
      </c>
      <c r="G12604" t="s">
        <v>137</v>
      </c>
      <c r="H12604">
        <v>636730000</v>
      </c>
      <c r="I12604" t="s">
        <v>30</v>
      </c>
      <c r="J12604" t="s">
        <v>41</v>
      </c>
      <c r="K12604" t="s">
        <v>59</v>
      </c>
      <c r="Q12604">
        <v>0</v>
      </c>
      <c r="R12604">
        <v>66</v>
      </c>
      <c r="S12604">
        <v>66</v>
      </c>
      <c r="T12604" t="s">
        <v>45289</v>
      </c>
    </row>
    <row r="12605" spans="1:20" customFormat="1" ht="15" x14ac:dyDescent="0.25">
      <c r="A12605" t="s">
        <v>35</v>
      </c>
      <c r="B12605" t="s">
        <v>61</v>
      </c>
      <c r="C12605" t="str">
        <f>"A0130375"</f>
        <v>A0130375</v>
      </c>
      <c r="D12605" t="s">
        <v>45290</v>
      </c>
      <c r="E12605" t="s">
        <v>45291</v>
      </c>
      <c r="F12605" t="s">
        <v>41610</v>
      </c>
      <c r="G12605" t="s">
        <v>1898</v>
      </c>
      <c r="H12605">
        <v>50501</v>
      </c>
      <c r="I12605" t="s">
        <v>30</v>
      </c>
      <c r="J12605" t="s">
        <v>41</v>
      </c>
      <c r="K12605" t="s">
        <v>229</v>
      </c>
      <c r="Q12605">
        <v>0</v>
      </c>
      <c r="R12605">
        <v>97</v>
      </c>
      <c r="S12605">
        <v>97</v>
      </c>
      <c r="T12605" t="s">
        <v>45292</v>
      </c>
    </row>
    <row r="12606" spans="1:20" customFormat="1" ht="15" x14ac:dyDescent="0.25">
      <c r="A12606" t="s">
        <v>35</v>
      </c>
      <c r="B12606" t="s">
        <v>106</v>
      </c>
      <c r="C12606" t="str">
        <f>"A0135954"</f>
        <v>A0135954</v>
      </c>
      <c r="D12606" t="s">
        <v>45293</v>
      </c>
      <c r="E12606" t="s">
        <v>45294</v>
      </c>
      <c r="F12606" t="s">
        <v>14693</v>
      </c>
      <c r="G12606" t="s">
        <v>110</v>
      </c>
      <c r="H12606">
        <v>92834</v>
      </c>
      <c r="I12606" t="s">
        <v>30</v>
      </c>
      <c r="J12606" t="s">
        <v>111</v>
      </c>
      <c r="K12606" t="s">
        <v>10012</v>
      </c>
      <c r="Q12606">
        <v>0</v>
      </c>
      <c r="R12606">
        <v>0</v>
      </c>
      <c r="S12606">
        <v>0</v>
      </c>
      <c r="T12606" t="s">
        <v>37060</v>
      </c>
    </row>
    <row r="12607" spans="1:20" customFormat="1" ht="15" x14ac:dyDescent="0.25">
      <c r="A12607" t="s">
        <v>35</v>
      </c>
      <c r="B12607" t="s">
        <v>437</v>
      </c>
      <c r="C12607" t="str">
        <f>"A0134660"</f>
        <v>A0134660</v>
      </c>
      <c r="D12607" t="s">
        <v>45295</v>
      </c>
      <c r="E12607" t="s">
        <v>45296</v>
      </c>
      <c r="F12607" t="s">
        <v>1439</v>
      </c>
      <c r="G12607" t="s">
        <v>110</v>
      </c>
      <c r="H12607">
        <v>92120</v>
      </c>
      <c r="I12607" t="s">
        <v>30</v>
      </c>
      <c r="J12607" t="s">
        <v>441</v>
      </c>
      <c r="K12607" t="s">
        <v>442</v>
      </c>
      <c r="Q12607">
        <v>0</v>
      </c>
      <c r="R12607">
        <v>0</v>
      </c>
      <c r="S12607">
        <v>0</v>
      </c>
      <c r="T12607" t="s">
        <v>45297</v>
      </c>
    </row>
    <row r="12608" spans="1:20" customFormat="1" ht="15" x14ac:dyDescent="0.25">
      <c r="A12608" t="s">
        <v>35</v>
      </c>
      <c r="B12608" t="s">
        <v>61</v>
      </c>
      <c r="C12608" t="str">
        <f>"A0118543"</f>
        <v>A0118543</v>
      </c>
      <c r="D12608" t="s">
        <v>45298</v>
      </c>
      <c r="E12608" t="s">
        <v>45299</v>
      </c>
      <c r="F12608" t="s">
        <v>45300</v>
      </c>
      <c r="G12608" t="s">
        <v>110</v>
      </c>
      <c r="H12608">
        <v>94941</v>
      </c>
      <c r="I12608" t="s">
        <v>30</v>
      </c>
      <c r="J12608" t="s">
        <v>41</v>
      </c>
      <c r="K12608" t="s">
        <v>229</v>
      </c>
      <c r="Q12608">
        <v>0</v>
      </c>
      <c r="R12608">
        <v>30</v>
      </c>
      <c r="S12608">
        <v>30</v>
      </c>
      <c r="T12608" t="s">
        <v>45301</v>
      </c>
    </row>
    <row r="12609" spans="1:20" customFormat="1" ht="15" x14ac:dyDescent="0.25">
      <c r="A12609" t="s">
        <v>35</v>
      </c>
      <c r="B12609" t="s">
        <v>437</v>
      </c>
      <c r="C12609" t="str">
        <f>"A0153008"</f>
        <v>A0153008</v>
      </c>
      <c r="D12609" t="s">
        <v>45302</v>
      </c>
      <c r="E12609" t="s">
        <v>45303</v>
      </c>
      <c r="F12609" t="s">
        <v>41368</v>
      </c>
      <c r="G12609" t="s">
        <v>110</v>
      </c>
      <c r="H12609">
        <v>92315</v>
      </c>
      <c r="I12609" t="s">
        <v>30</v>
      </c>
      <c r="J12609" t="s">
        <v>441</v>
      </c>
      <c r="K12609" t="s">
        <v>36814</v>
      </c>
      <c r="Q12609">
        <v>0</v>
      </c>
      <c r="R12609">
        <v>0</v>
      </c>
      <c r="S12609">
        <v>0</v>
      </c>
      <c r="T12609" t="s">
        <v>45304</v>
      </c>
    </row>
    <row r="12610" spans="1:20" customFormat="1" ht="15" x14ac:dyDescent="0.25">
      <c r="A12610" t="s">
        <v>35</v>
      </c>
      <c r="B12610" t="s">
        <v>61</v>
      </c>
      <c r="C12610" t="str">
        <f>"A0123423"</f>
        <v>A0123423</v>
      </c>
      <c r="D12610" t="s">
        <v>45305</v>
      </c>
      <c r="E12610" t="s">
        <v>45306</v>
      </c>
      <c r="F12610" t="s">
        <v>912</v>
      </c>
      <c r="G12610" t="s">
        <v>507</v>
      </c>
      <c r="H12610">
        <v>25701</v>
      </c>
      <c r="I12610" t="s">
        <v>30</v>
      </c>
      <c r="J12610" t="s">
        <v>41</v>
      </c>
      <c r="K12610" t="s">
        <v>59</v>
      </c>
      <c r="Q12610">
        <v>0</v>
      </c>
      <c r="R12610">
        <v>1</v>
      </c>
      <c r="S12610">
        <v>1</v>
      </c>
      <c r="T12610" t="s">
        <v>45307</v>
      </c>
    </row>
    <row r="12611" spans="1:20" customFormat="1" ht="15" x14ac:dyDescent="0.25">
      <c r="A12611" t="s">
        <v>35</v>
      </c>
      <c r="B12611" t="s">
        <v>61</v>
      </c>
      <c r="C12611" t="str">
        <f>"A0132267"</f>
        <v>A0132267</v>
      </c>
      <c r="D12611" t="s">
        <v>45308</v>
      </c>
      <c r="E12611" t="s">
        <v>45309</v>
      </c>
      <c r="F12611" t="s">
        <v>4591</v>
      </c>
      <c r="G12611" t="s">
        <v>65</v>
      </c>
      <c r="H12611">
        <v>43302</v>
      </c>
      <c r="I12611" t="s">
        <v>30</v>
      </c>
      <c r="J12611" t="s">
        <v>41</v>
      </c>
      <c r="K12611" t="s">
        <v>8643</v>
      </c>
      <c r="Q12611">
        <v>0</v>
      </c>
      <c r="R12611">
        <v>0</v>
      </c>
      <c r="S12611">
        <v>0</v>
      </c>
      <c r="T12611" t="s">
        <v>45310</v>
      </c>
    </row>
    <row r="12612" spans="1:20" customFormat="1" ht="15" x14ac:dyDescent="0.25">
      <c r="A12612" t="s">
        <v>35</v>
      </c>
      <c r="B12612" t="s">
        <v>61</v>
      </c>
      <c r="C12612" t="str">
        <f>"A0132921"</f>
        <v>A0132921</v>
      </c>
      <c r="D12612" t="s">
        <v>45311</v>
      </c>
      <c r="E12612" t="s">
        <v>45312</v>
      </c>
      <c r="F12612" t="s">
        <v>4591</v>
      </c>
      <c r="G12612" t="s">
        <v>65</v>
      </c>
      <c r="H12612">
        <v>43302</v>
      </c>
      <c r="I12612" t="s">
        <v>30</v>
      </c>
      <c r="J12612" t="s">
        <v>41</v>
      </c>
      <c r="K12612" t="s">
        <v>8643</v>
      </c>
      <c r="Q12612">
        <v>0</v>
      </c>
      <c r="R12612">
        <v>45</v>
      </c>
      <c r="S12612">
        <v>45</v>
      </c>
      <c r="T12612" t="s">
        <v>45313</v>
      </c>
    </row>
    <row r="12613" spans="1:20" customFormat="1" ht="15" x14ac:dyDescent="0.25">
      <c r="A12613" t="s">
        <v>35</v>
      </c>
      <c r="B12613" t="s">
        <v>61</v>
      </c>
      <c r="C12613" t="str">
        <f>"A0131199"</f>
        <v>A0131199</v>
      </c>
      <c r="D12613" t="s">
        <v>45314</v>
      </c>
      <c r="E12613" t="s">
        <v>45315</v>
      </c>
      <c r="F12613" t="s">
        <v>45316</v>
      </c>
      <c r="G12613" t="s">
        <v>85</v>
      </c>
      <c r="H12613">
        <v>726340000</v>
      </c>
      <c r="I12613" t="s">
        <v>30</v>
      </c>
      <c r="J12613" t="s">
        <v>41</v>
      </c>
      <c r="K12613" t="s">
        <v>2760</v>
      </c>
      <c r="Q12613">
        <v>0</v>
      </c>
      <c r="R12613">
        <v>1</v>
      </c>
      <c r="S12613">
        <v>1</v>
      </c>
      <c r="T12613" t="s">
        <v>45317</v>
      </c>
    </row>
    <row r="12614" spans="1:20" customFormat="1" ht="15" x14ac:dyDescent="0.25">
      <c r="A12614" t="s">
        <v>35</v>
      </c>
      <c r="B12614" t="s">
        <v>61</v>
      </c>
      <c r="C12614" t="str">
        <f>"A0123424"</f>
        <v>A0123424</v>
      </c>
      <c r="D12614" t="s">
        <v>45318</v>
      </c>
      <c r="E12614" t="s">
        <v>45319</v>
      </c>
      <c r="F12614" t="s">
        <v>4591</v>
      </c>
      <c r="G12614" t="s">
        <v>58</v>
      </c>
      <c r="H12614">
        <v>29571</v>
      </c>
      <c r="I12614" t="s">
        <v>30</v>
      </c>
      <c r="J12614" t="s">
        <v>41</v>
      </c>
      <c r="K12614" t="s">
        <v>229</v>
      </c>
      <c r="Q12614">
        <v>0</v>
      </c>
      <c r="R12614">
        <v>88</v>
      </c>
      <c r="S12614">
        <v>88</v>
      </c>
      <c r="T12614" t="s">
        <v>45320</v>
      </c>
    </row>
    <row r="12615" spans="1:20" customFormat="1" ht="15" x14ac:dyDescent="0.25">
      <c r="A12615" t="s">
        <v>35</v>
      </c>
      <c r="B12615" t="s">
        <v>61</v>
      </c>
      <c r="C12615" t="str">
        <f>"A0123109"</f>
        <v>A0123109</v>
      </c>
      <c r="D12615" t="s">
        <v>45321</v>
      </c>
      <c r="E12615" t="s">
        <v>45322</v>
      </c>
      <c r="F12615" t="s">
        <v>8647</v>
      </c>
      <c r="G12615" t="s">
        <v>47</v>
      </c>
      <c r="H12615">
        <v>97303</v>
      </c>
      <c r="I12615" t="s">
        <v>30</v>
      </c>
      <c r="J12615" t="s">
        <v>41</v>
      </c>
      <c r="K12615" t="s">
        <v>1412</v>
      </c>
      <c r="Q12615">
        <v>0</v>
      </c>
      <c r="R12615">
        <v>0</v>
      </c>
      <c r="S12615">
        <v>0</v>
      </c>
      <c r="T12615" t="s">
        <v>45323</v>
      </c>
    </row>
    <row r="12616" spans="1:20" customFormat="1" ht="15" x14ac:dyDescent="0.25">
      <c r="A12616" t="s">
        <v>35</v>
      </c>
      <c r="B12616" t="s">
        <v>61</v>
      </c>
      <c r="C12616" t="str">
        <f>"A0125509"</f>
        <v>A0125509</v>
      </c>
      <c r="D12616" t="s">
        <v>45324</v>
      </c>
      <c r="E12616" t="s">
        <v>45325</v>
      </c>
      <c r="F12616" t="s">
        <v>38369</v>
      </c>
      <c r="G12616" t="s">
        <v>110</v>
      </c>
      <c r="H12616">
        <v>95349</v>
      </c>
      <c r="I12616" t="s">
        <v>30</v>
      </c>
      <c r="J12616" t="s">
        <v>41</v>
      </c>
      <c r="K12616" t="s">
        <v>229</v>
      </c>
      <c r="Q12616">
        <v>0</v>
      </c>
      <c r="R12616">
        <v>99</v>
      </c>
      <c r="S12616">
        <v>99</v>
      </c>
      <c r="T12616" t="s">
        <v>45326</v>
      </c>
    </row>
    <row r="12617" spans="1:20" customFormat="1" ht="15" x14ac:dyDescent="0.25">
      <c r="A12617" t="s">
        <v>35</v>
      </c>
      <c r="B12617" t="s">
        <v>61</v>
      </c>
      <c r="C12617" t="str">
        <f>"A0131029"</f>
        <v>A0131029</v>
      </c>
      <c r="D12617" t="s">
        <v>45327</v>
      </c>
      <c r="E12617" t="s">
        <v>45328</v>
      </c>
      <c r="F12617" t="s">
        <v>10807</v>
      </c>
      <c r="G12617" t="s">
        <v>137</v>
      </c>
      <c r="H12617">
        <v>630440000</v>
      </c>
      <c r="I12617" t="s">
        <v>30</v>
      </c>
      <c r="J12617" t="s">
        <v>41</v>
      </c>
      <c r="K12617" t="s">
        <v>229</v>
      </c>
      <c r="Q12617">
        <v>0</v>
      </c>
      <c r="R12617">
        <v>120</v>
      </c>
      <c r="S12617">
        <v>120</v>
      </c>
      <c r="T12617" t="s">
        <v>45329</v>
      </c>
    </row>
    <row r="12618" spans="1:20" customFormat="1" ht="15" x14ac:dyDescent="0.25">
      <c r="A12618" t="s">
        <v>35</v>
      </c>
      <c r="B12618" t="s">
        <v>61</v>
      </c>
      <c r="C12618" t="str">
        <f>"A0131027"</f>
        <v>A0131027</v>
      </c>
      <c r="D12618" t="s">
        <v>45330</v>
      </c>
      <c r="E12618" t="s">
        <v>45331</v>
      </c>
      <c r="F12618" t="s">
        <v>23386</v>
      </c>
      <c r="G12618" t="s">
        <v>137</v>
      </c>
      <c r="H12618">
        <v>652590000</v>
      </c>
      <c r="I12618" t="s">
        <v>30</v>
      </c>
      <c r="J12618" t="s">
        <v>41</v>
      </c>
      <c r="K12618" t="s">
        <v>59</v>
      </c>
      <c r="Q12618">
        <v>0</v>
      </c>
      <c r="R12618">
        <v>30</v>
      </c>
      <c r="S12618">
        <v>30</v>
      </c>
      <c r="T12618" t="s">
        <v>45332</v>
      </c>
    </row>
    <row r="12619" spans="1:20" customFormat="1" ht="15" x14ac:dyDescent="0.25">
      <c r="A12619" t="s">
        <v>35</v>
      </c>
      <c r="B12619" t="s">
        <v>61</v>
      </c>
      <c r="C12619" t="str">
        <f>"A0131026"</f>
        <v>A0131026</v>
      </c>
      <c r="D12619" t="s">
        <v>45333</v>
      </c>
      <c r="E12619" t="s">
        <v>45334</v>
      </c>
      <c r="F12619" t="s">
        <v>45335</v>
      </c>
      <c r="G12619" t="s">
        <v>137</v>
      </c>
      <c r="H12619">
        <v>652750000</v>
      </c>
      <c r="I12619" t="s">
        <v>30</v>
      </c>
      <c r="J12619" t="s">
        <v>41</v>
      </c>
      <c r="K12619" t="s">
        <v>59</v>
      </c>
      <c r="Q12619">
        <v>0</v>
      </c>
      <c r="R12619">
        <v>37</v>
      </c>
      <c r="S12619">
        <v>37</v>
      </c>
      <c r="T12619" t="s">
        <v>45336</v>
      </c>
    </row>
    <row r="12620" spans="1:20" customFormat="1" ht="15" x14ac:dyDescent="0.25">
      <c r="A12620" t="s">
        <v>35</v>
      </c>
      <c r="B12620" t="s">
        <v>61</v>
      </c>
      <c r="C12620" t="str">
        <f>"A0131552"</f>
        <v>A0131552</v>
      </c>
      <c r="D12620" t="s">
        <v>45337</v>
      </c>
      <c r="E12620" t="s">
        <v>45338</v>
      </c>
      <c r="F12620" t="s">
        <v>12071</v>
      </c>
      <c r="G12620" t="s">
        <v>381</v>
      </c>
      <c r="H12620">
        <v>47708</v>
      </c>
      <c r="I12620" t="s">
        <v>30</v>
      </c>
      <c r="J12620" t="s">
        <v>41</v>
      </c>
      <c r="K12620" t="s">
        <v>59</v>
      </c>
      <c r="Q12620">
        <v>0</v>
      </c>
      <c r="R12620">
        <v>60</v>
      </c>
      <c r="S12620">
        <v>60</v>
      </c>
      <c r="T12620" t="s">
        <v>45339</v>
      </c>
    </row>
    <row r="12621" spans="1:20" customFormat="1" ht="15" x14ac:dyDescent="0.25">
      <c r="A12621" t="s">
        <v>35</v>
      </c>
      <c r="B12621" t="s">
        <v>61</v>
      </c>
      <c r="C12621" t="str">
        <f>"A0129014"</f>
        <v>A0129014</v>
      </c>
      <c r="D12621" t="s">
        <v>45340</v>
      </c>
      <c r="E12621" t="s">
        <v>45341</v>
      </c>
      <c r="F12621" t="s">
        <v>9923</v>
      </c>
      <c r="G12621" t="s">
        <v>289</v>
      </c>
      <c r="H12621">
        <v>60120</v>
      </c>
      <c r="I12621" t="s">
        <v>30</v>
      </c>
      <c r="J12621" t="s">
        <v>41</v>
      </c>
      <c r="K12621" t="s">
        <v>229</v>
      </c>
      <c r="Q12621">
        <v>0</v>
      </c>
      <c r="R12621">
        <v>57</v>
      </c>
      <c r="S12621">
        <v>57</v>
      </c>
      <c r="T12621" t="s">
        <v>45342</v>
      </c>
    </row>
    <row r="12622" spans="1:20" customFormat="1" ht="15" x14ac:dyDescent="0.25">
      <c r="A12622" t="s">
        <v>35</v>
      </c>
      <c r="B12622" t="s">
        <v>61</v>
      </c>
      <c r="C12622" t="str">
        <f>"A0117825"</f>
        <v>A0117825</v>
      </c>
      <c r="D12622" t="s">
        <v>45343</v>
      </c>
      <c r="E12622" t="s">
        <v>45344</v>
      </c>
      <c r="F12622" t="s">
        <v>20829</v>
      </c>
      <c r="G12622" t="s">
        <v>110</v>
      </c>
      <c r="H12622">
        <v>90804</v>
      </c>
      <c r="I12622" t="s">
        <v>30</v>
      </c>
      <c r="J12622" t="s">
        <v>41</v>
      </c>
      <c r="K12622" t="s">
        <v>229</v>
      </c>
      <c r="Q12622">
        <v>0</v>
      </c>
      <c r="R12622">
        <v>99</v>
      </c>
      <c r="S12622">
        <v>99</v>
      </c>
      <c r="T12622" t="s">
        <v>45345</v>
      </c>
    </row>
    <row r="12623" spans="1:20" customFormat="1" ht="15" x14ac:dyDescent="0.25">
      <c r="A12623" t="s">
        <v>35</v>
      </c>
      <c r="B12623" t="s">
        <v>106</v>
      </c>
      <c r="C12623" t="str">
        <f>"A0135391"</f>
        <v>A0135391</v>
      </c>
      <c r="D12623" t="s">
        <v>45346</v>
      </c>
      <c r="E12623" t="s">
        <v>45347</v>
      </c>
      <c r="F12623" t="s">
        <v>35548</v>
      </c>
      <c r="G12623" t="s">
        <v>289</v>
      </c>
      <c r="H12623">
        <v>62002</v>
      </c>
      <c r="I12623" t="s">
        <v>30</v>
      </c>
      <c r="J12623" t="s">
        <v>111</v>
      </c>
      <c r="K12623" t="s">
        <v>112</v>
      </c>
      <c r="Q12623">
        <v>0</v>
      </c>
      <c r="R12623">
        <v>0</v>
      </c>
      <c r="S12623">
        <v>0</v>
      </c>
      <c r="T12623" t="s">
        <v>45348</v>
      </c>
    </row>
    <row r="12624" spans="1:20" customFormat="1" ht="15" x14ac:dyDescent="0.25">
      <c r="A12624" t="s">
        <v>35</v>
      </c>
      <c r="B12624" t="s">
        <v>61</v>
      </c>
      <c r="C12624" t="str">
        <f>"A0127698"</f>
        <v>A0127698</v>
      </c>
      <c r="D12624" t="s">
        <v>45349</v>
      </c>
      <c r="E12624" t="s">
        <v>45350</v>
      </c>
      <c r="F12624" t="s">
        <v>26876</v>
      </c>
      <c r="G12624" t="s">
        <v>117</v>
      </c>
      <c r="H12624">
        <v>481850000</v>
      </c>
      <c r="I12624" t="s">
        <v>30</v>
      </c>
      <c r="J12624" t="s">
        <v>41</v>
      </c>
      <c r="K12624" t="s">
        <v>59</v>
      </c>
      <c r="Q12624">
        <v>0</v>
      </c>
      <c r="R12624">
        <v>98</v>
      </c>
      <c r="S12624">
        <v>98</v>
      </c>
      <c r="T12624" t="s">
        <v>45351</v>
      </c>
    </row>
    <row r="12625" spans="1:20" customFormat="1" ht="15" x14ac:dyDescent="0.25">
      <c r="A12625" t="s">
        <v>35</v>
      </c>
      <c r="B12625" t="s">
        <v>106</v>
      </c>
      <c r="C12625" t="str">
        <f>"A0135328"</f>
        <v>A0135328</v>
      </c>
      <c r="D12625" t="s">
        <v>45352</v>
      </c>
      <c r="E12625" t="s">
        <v>45353</v>
      </c>
      <c r="F12625" t="s">
        <v>22095</v>
      </c>
      <c r="G12625" t="s">
        <v>117</v>
      </c>
      <c r="H12625">
        <v>49855</v>
      </c>
      <c r="I12625" t="s">
        <v>30</v>
      </c>
      <c r="J12625" t="s">
        <v>111</v>
      </c>
      <c r="K12625" t="s">
        <v>10012</v>
      </c>
      <c r="Q12625">
        <v>0</v>
      </c>
      <c r="R12625">
        <v>0</v>
      </c>
      <c r="S12625">
        <v>0</v>
      </c>
      <c r="T12625" t="s">
        <v>45354</v>
      </c>
    </row>
    <row r="12626" spans="1:20" customFormat="1" ht="15" x14ac:dyDescent="0.25">
      <c r="A12626" t="s">
        <v>35</v>
      </c>
      <c r="B12626" t="s">
        <v>61</v>
      </c>
      <c r="C12626" t="str">
        <f>"A0130732"</f>
        <v>A0130732</v>
      </c>
      <c r="D12626" t="s">
        <v>45355</v>
      </c>
      <c r="E12626" t="s">
        <v>45356</v>
      </c>
      <c r="F12626" t="s">
        <v>45357</v>
      </c>
      <c r="G12626" t="s">
        <v>214</v>
      </c>
      <c r="H12626">
        <v>28754</v>
      </c>
      <c r="I12626" t="s">
        <v>30</v>
      </c>
      <c r="J12626" t="s">
        <v>41</v>
      </c>
      <c r="K12626" t="s">
        <v>59</v>
      </c>
      <c r="Q12626">
        <v>0</v>
      </c>
      <c r="R12626">
        <v>69</v>
      </c>
      <c r="S12626">
        <v>69</v>
      </c>
      <c r="T12626" t="s">
        <v>45358</v>
      </c>
    </row>
    <row r="12627" spans="1:20" customFormat="1" ht="15" x14ac:dyDescent="0.25">
      <c r="A12627" t="s">
        <v>35</v>
      </c>
      <c r="B12627" t="s">
        <v>61</v>
      </c>
      <c r="C12627" t="str">
        <f>"A0124475"</f>
        <v>A0124475</v>
      </c>
      <c r="D12627" t="s">
        <v>45359</v>
      </c>
      <c r="E12627" t="s">
        <v>45360</v>
      </c>
      <c r="F12627" t="s">
        <v>45361</v>
      </c>
      <c r="G12627" t="s">
        <v>1706</v>
      </c>
      <c r="H12627">
        <v>359760000</v>
      </c>
      <c r="I12627" t="s">
        <v>30</v>
      </c>
      <c r="J12627" t="s">
        <v>41</v>
      </c>
      <c r="K12627" t="s">
        <v>229</v>
      </c>
      <c r="Q12627">
        <v>0</v>
      </c>
      <c r="R12627">
        <v>91</v>
      </c>
      <c r="S12627">
        <v>91</v>
      </c>
      <c r="T12627" t="s">
        <v>45362</v>
      </c>
    </row>
    <row r="12628" spans="1:20" customFormat="1" ht="15" x14ac:dyDescent="0.25">
      <c r="A12628" t="s">
        <v>35</v>
      </c>
      <c r="B12628" t="s">
        <v>61</v>
      </c>
      <c r="C12628" t="str">
        <f>"A0124055"</f>
        <v>A0124055</v>
      </c>
      <c r="D12628" t="s">
        <v>45363</v>
      </c>
      <c r="E12628" t="s">
        <v>45364</v>
      </c>
      <c r="F12628" t="s">
        <v>10645</v>
      </c>
      <c r="G12628" t="s">
        <v>58</v>
      </c>
      <c r="H12628">
        <v>29360</v>
      </c>
      <c r="I12628" t="s">
        <v>30</v>
      </c>
      <c r="J12628" t="s">
        <v>41</v>
      </c>
      <c r="K12628" t="s">
        <v>59</v>
      </c>
      <c r="Q12628">
        <v>0</v>
      </c>
      <c r="R12628">
        <v>400</v>
      </c>
      <c r="S12628">
        <v>400</v>
      </c>
      <c r="T12628" t="s">
        <v>45365</v>
      </c>
    </row>
    <row r="12629" spans="1:20" customFormat="1" ht="15" x14ac:dyDescent="0.25">
      <c r="A12629" t="s">
        <v>35</v>
      </c>
      <c r="B12629" t="s">
        <v>61</v>
      </c>
      <c r="C12629" t="str">
        <f>"A0125894"</f>
        <v>A0125894</v>
      </c>
      <c r="D12629" t="s">
        <v>45366</v>
      </c>
      <c r="E12629" t="s">
        <v>45367</v>
      </c>
      <c r="F12629" t="s">
        <v>20330</v>
      </c>
      <c r="G12629" t="s">
        <v>29</v>
      </c>
      <c r="H12629">
        <v>22903</v>
      </c>
      <c r="I12629" t="s">
        <v>30</v>
      </c>
      <c r="J12629" t="s">
        <v>41</v>
      </c>
      <c r="K12629" t="s">
        <v>59</v>
      </c>
      <c r="Q12629">
        <v>0</v>
      </c>
      <c r="R12629">
        <v>70</v>
      </c>
      <c r="S12629">
        <v>70</v>
      </c>
      <c r="T12629" t="s">
        <v>45368</v>
      </c>
    </row>
    <row r="12630" spans="1:20" customFormat="1" ht="15" x14ac:dyDescent="0.25">
      <c r="A12630" t="s">
        <v>35</v>
      </c>
      <c r="B12630" t="s">
        <v>61</v>
      </c>
      <c r="C12630" t="str">
        <f>"A0124056"</f>
        <v>A0124056</v>
      </c>
      <c r="D12630" t="s">
        <v>45369</v>
      </c>
      <c r="E12630" t="s">
        <v>45370</v>
      </c>
      <c r="F12630" t="s">
        <v>1904</v>
      </c>
      <c r="G12630" t="s">
        <v>880</v>
      </c>
      <c r="H12630">
        <v>37421</v>
      </c>
      <c r="I12630" t="s">
        <v>30</v>
      </c>
      <c r="J12630" t="s">
        <v>41</v>
      </c>
      <c r="K12630" t="s">
        <v>482</v>
      </c>
      <c r="Q12630">
        <v>0</v>
      </c>
      <c r="R12630">
        <v>97</v>
      </c>
      <c r="S12630">
        <v>97</v>
      </c>
      <c r="T12630" t="s">
        <v>45371</v>
      </c>
    </row>
    <row r="12631" spans="1:20" customFormat="1" ht="15" x14ac:dyDescent="0.25">
      <c r="A12631" t="s">
        <v>35</v>
      </c>
      <c r="B12631" t="s">
        <v>61</v>
      </c>
      <c r="C12631" t="str">
        <f>"A0127742"</f>
        <v>A0127742</v>
      </c>
      <c r="D12631" t="s">
        <v>45372</v>
      </c>
      <c r="E12631" t="s">
        <v>45373</v>
      </c>
      <c r="F12631" t="s">
        <v>27121</v>
      </c>
      <c r="G12631" t="s">
        <v>117</v>
      </c>
      <c r="H12631">
        <v>48060</v>
      </c>
      <c r="I12631" t="s">
        <v>30</v>
      </c>
      <c r="J12631" t="s">
        <v>41</v>
      </c>
      <c r="K12631" t="s">
        <v>229</v>
      </c>
      <c r="Q12631">
        <v>0</v>
      </c>
      <c r="R12631">
        <v>252</v>
      </c>
      <c r="S12631">
        <v>252</v>
      </c>
      <c r="T12631" t="s">
        <v>45374</v>
      </c>
    </row>
    <row r="12632" spans="1:20" customFormat="1" ht="15" x14ac:dyDescent="0.25">
      <c r="A12632" t="s">
        <v>35</v>
      </c>
      <c r="B12632" t="s">
        <v>61</v>
      </c>
      <c r="C12632" t="str">
        <f>"A0129163"</f>
        <v>A0129163</v>
      </c>
      <c r="D12632" t="s">
        <v>45375</v>
      </c>
      <c r="E12632" t="s">
        <v>45376</v>
      </c>
      <c r="F12632" t="s">
        <v>1755</v>
      </c>
      <c r="G12632" t="s">
        <v>289</v>
      </c>
      <c r="H12632">
        <v>62703</v>
      </c>
      <c r="I12632" t="s">
        <v>30</v>
      </c>
      <c r="J12632" t="s">
        <v>41</v>
      </c>
      <c r="K12632" t="s">
        <v>59</v>
      </c>
      <c r="Q12632">
        <v>0</v>
      </c>
      <c r="R12632">
        <v>47</v>
      </c>
      <c r="S12632">
        <v>47</v>
      </c>
      <c r="T12632" t="s">
        <v>45377</v>
      </c>
    </row>
    <row r="12633" spans="1:20" customFormat="1" ht="15" x14ac:dyDescent="0.25">
      <c r="A12633" t="s">
        <v>35</v>
      </c>
      <c r="B12633" t="s">
        <v>61</v>
      </c>
      <c r="C12633" t="str">
        <f>"A0118449"</f>
        <v>A0118449</v>
      </c>
      <c r="D12633" t="s">
        <v>45378</v>
      </c>
      <c r="E12633" t="s">
        <v>45379</v>
      </c>
      <c r="F12633" t="s">
        <v>45380</v>
      </c>
      <c r="G12633" t="s">
        <v>110</v>
      </c>
      <c r="H12633">
        <v>91320</v>
      </c>
      <c r="I12633" t="s">
        <v>30</v>
      </c>
      <c r="J12633" t="s">
        <v>41</v>
      </c>
      <c r="K12633" t="s">
        <v>229</v>
      </c>
      <c r="Q12633">
        <v>0</v>
      </c>
      <c r="R12633">
        <v>61</v>
      </c>
      <c r="S12633">
        <v>61</v>
      </c>
      <c r="T12633" t="s">
        <v>45381</v>
      </c>
    </row>
    <row r="12634" spans="1:20" customFormat="1" ht="15" x14ac:dyDescent="0.25">
      <c r="A12634" t="s">
        <v>35</v>
      </c>
      <c r="B12634" t="s">
        <v>61</v>
      </c>
      <c r="C12634" t="str">
        <f>"A0130078"</f>
        <v>A0130078</v>
      </c>
      <c r="D12634" t="s">
        <v>45382</v>
      </c>
      <c r="E12634" t="s">
        <v>45383</v>
      </c>
      <c r="F12634" t="s">
        <v>1420</v>
      </c>
      <c r="G12634" t="s">
        <v>880</v>
      </c>
      <c r="H12634">
        <v>37205</v>
      </c>
      <c r="I12634" t="s">
        <v>30</v>
      </c>
      <c r="J12634" t="s">
        <v>41</v>
      </c>
      <c r="K12634" t="s">
        <v>59</v>
      </c>
      <c r="Q12634">
        <v>0</v>
      </c>
      <c r="R12634">
        <v>130</v>
      </c>
      <c r="S12634">
        <v>130</v>
      </c>
      <c r="T12634" t="s">
        <v>45384</v>
      </c>
    </row>
    <row r="12635" spans="1:20" customFormat="1" ht="15" x14ac:dyDescent="0.25">
      <c r="A12635" t="s">
        <v>35</v>
      </c>
      <c r="B12635" t="s">
        <v>61</v>
      </c>
      <c r="C12635" t="str">
        <f>"A0127940"</f>
        <v>A0127940</v>
      </c>
      <c r="D12635" t="s">
        <v>45385</v>
      </c>
      <c r="E12635" t="s">
        <v>45386</v>
      </c>
      <c r="F12635" t="s">
        <v>45387</v>
      </c>
      <c r="G12635" t="s">
        <v>117</v>
      </c>
      <c r="H12635">
        <v>48154</v>
      </c>
      <c r="I12635" t="s">
        <v>30</v>
      </c>
      <c r="J12635" t="s">
        <v>41</v>
      </c>
      <c r="K12635" t="s">
        <v>229</v>
      </c>
      <c r="Q12635">
        <v>0</v>
      </c>
      <c r="R12635">
        <v>55</v>
      </c>
      <c r="S12635">
        <v>55</v>
      </c>
      <c r="T12635" t="s">
        <v>45388</v>
      </c>
    </row>
    <row r="12636" spans="1:20" customFormat="1" ht="15" x14ac:dyDescent="0.25">
      <c r="A12636" t="s">
        <v>35</v>
      </c>
      <c r="B12636" t="s">
        <v>61</v>
      </c>
      <c r="C12636" t="str">
        <f>"A0132117"</f>
        <v>A0132117</v>
      </c>
      <c r="D12636" t="s">
        <v>45389</v>
      </c>
      <c r="E12636" t="s">
        <v>45390</v>
      </c>
      <c r="F12636" t="s">
        <v>64</v>
      </c>
      <c r="G12636" t="s">
        <v>65</v>
      </c>
      <c r="H12636">
        <v>43207</v>
      </c>
      <c r="I12636" t="s">
        <v>30</v>
      </c>
      <c r="J12636" t="s">
        <v>41</v>
      </c>
      <c r="K12636" t="s">
        <v>461</v>
      </c>
      <c r="Q12636">
        <v>0</v>
      </c>
      <c r="R12636">
        <v>0</v>
      </c>
      <c r="S12636">
        <v>0</v>
      </c>
      <c r="T12636" t="s">
        <v>45391</v>
      </c>
    </row>
    <row r="12637" spans="1:20" customFormat="1" ht="15" x14ac:dyDescent="0.25">
      <c r="A12637" t="s">
        <v>35</v>
      </c>
      <c r="B12637" t="s">
        <v>61</v>
      </c>
      <c r="C12637" t="str">
        <f>"A0151558"</f>
        <v>A0151558</v>
      </c>
      <c r="D12637" t="s">
        <v>45392</v>
      </c>
      <c r="E12637" t="s">
        <v>45393</v>
      </c>
      <c r="F12637" t="s">
        <v>18387</v>
      </c>
      <c r="G12637" t="s">
        <v>123</v>
      </c>
      <c r="H12637">
        <v>21030</v>
      </c>
      <c r="I12637" t="s">
        <v>30</v>
      </c>
      <c r="J12637" t="s">
        <v>41</v>
      </c>
      <c r="K12637" t="s">
        <v>59</v>
      </c>
      <c r="Q12637">
        <v>0</v>
      </c>
      <c r="R12637">
        <v>180</v>
      </c>
      <c r="S12637">
        <v>180</v>
      </c>
      <c r="T12637" t="s">
        <v>45394</v>
      </c>
    </row>
    <row r="12638" spans="1:20" customFormat="1" ht="15" x14ac:dyDescent="0.25">
      <c r="A12638" t="s">
        <v>35</v>
      </c>
      <c r="B12638" t="s">
        <v>61</v>
      </c>
      <c r="C12638" t="str">
        <f>"A0117785"</f>
        <v>A0117785</v>
      </c>
      <c r="D12638" t="s">
        <v>45395</v>
      </c>
      <c r="E12638" t="s">
        <v>45396</v>
      </c>
      <c r="F12638" t="s">
        <v>831</v>
      </c>
      <c r="G12638" t="s">
        <v>110</v>
      </c>
      <c r="H12638">
        <v>94030</v>
      </c>
      <c r="I12638" t="s">
        <v>30</v>
      </c>
      <c r="J12638" t="s">
        <v>41</v>
      </c>
      <c r="K12638" t="s">
        <v>59</v>
      </c>
      <c r="Q12638">
        <v>0</v>
      </c>
      <c r="R12638">
        <v>130</v>
      </c>
      <c r="S12638">
        <v>130</v>
      </c>
      <c r="T12638" t="s">
        <v>45397</v>
      </c>
    </row>
    <row r="12639" spans="1:20" customFormat="1" ht="15" x14ac:dyDescent="0.25">
      <c r="A12639" t="s">
        <v>35</v>
      </c>
      <c r="B12639" t="s">
        <v>61</v>
      </c>
      <c r="C12639" t="str">
        <f>"A0117794"</f>
        <v>A0117794</v>
      </c>
      <c r="D12639" t="s">
        <v>45398</v>
      </c>
      <c r="E12639" t="s">
        <v>45399</v>
      </c>
      <c r="F12639" t="s">
        <v>37230</v>
      </c>
      <c r="G12639" t="s">
        <v>110</v>
      </c>
      <c r="H12639">
        <v>94577</v>
      </c>
      <c r="I12639" t="s">
        <v>30</v>
      </c>
      <c r="J12639" t="s">
        <v>41</v>
      </c>
      <c r="K12639" t="s">
        <v>59</v>
      </c>
      <c r="Q12639">
        <v>0</v>
      </c>
      <c r="R12639">
        <v>57</v>
      </c>
      <c r="S12639">
        <v>57</v>
      </c>
      <c r="T12639" t="s">
        <v>45400</v>
      </c>
    </row>
    <row r="12640" spans="1:20" customFormat="1" ht="15" x14ac:dyDescent="0.25">
      <c r="A12640" t="s">
        <v>35</v>
      </c>
      <c r="B12640" t="s">
        <v>61</v>
      </c>
      <c r="C12640" t="str">
        <f>"A0125692"</f>
        <v>A0125692</v>
      </c>
      <c r="D12640" t="s">
        <v>45401</v>
      </c>
      <c r="E12640" t="s">
        <v>45402</v>
      </c>
      <c r="F12640" t="s">
        <v>43497</v>
      </c>
      <c r="G12640" t="s">
        <v>29</v>
      </c>
      <c r="H12640">
        <v>23901</v>
      </c>
      <c r="I12640" t="s">
        <v>30</v>
      </c>
      <c r="J12640" t="s">
        <v>41</v>
      </c>
      <c r="K12640" t="s">
        <v>59</v>
      </c>
      <c r="Q12640">
        <v>0</v>
      </c>
      <c r="R12640">
        <v>20</v>
      </c>
      <c r="S12640">
        <v>20</v>
      </c>
      <c r="T12640" t="s">
        <v>45403</v>
      </c>
    </row>
    <row r="12641" spans="1:20" customFormat="1" ht="15" x14ac:dyDescent="0.25">
      <c r="A12641" t="s">
        <v>35</v>
      </c>
      <c r="B12641" t="s">
        <v>61</v>
      </c>
      <c r="C12641" t="str">
        <f>"A0123425"</f>
        <v>A0123425</v>
      </c>
      <c r="D12641" t="s">
        <v>45404</v>
      </c>
      <c r="E12641" t="s">
        <v>45405</v>
      </c>
      <c r="F12641" t="s">
        <v>15409</v>
      </c>
      <c r="G12641" t="s">
        <v>29</v>
      </c>
      <c r="H12641" t="s">
        <v>45406</v>
      </c>
      <c r="I12641" t="s">
        <v>30</v>
      </c>
      <c r="J12641" t="s">
        <v>41</v>
      </c>
      <c r="K12641" t="s">
        <v>229</v>
      </c>
      <c r="Q12641">
        <v>0</v>
      </c>
      <c r="R12641">
        <v>120</v>
      </c>
      <c r="S12641">
        <v>120</v>
      </c>
      <c r="T12641" t="s">
        <v>45407</v>
      </c>
    </row>
    <row r="12642" spans="1:20" customFormat="1" ht="15" x14ac:dyDescent="0.25">
      <c r="A12642" t="s">
        <v>35</v>
      </c>
      <c r="B12642" t="s">
        <v>61</v>
      </c>
      <c r="C12642" t="str">
        <f>"A0127836"</f>
        <v>A0127836</v>
      </c>
      <c r="D12642" t="s">
        <v>45408</v>
      </c>
      <c r="E12642" t="s">
        <v>45409</v>
      </c>
      <c r="F12642" t="s">
        <v>9607</v>
      </c>
      <c r="G12642" t="s">
        <v>117</v>
      </c>
      <c r="H12642">
        <v>49503</v>
      </c>
      <c r="I12642" t="s">
        <v>30</v>
      </c>
      <c r="J12642" t="s">
        <v>41</v>
      </c>
      <c r="K12642" t="s">
        <v>229</v>
      </c>
      <c r="Q12642">
        <v>0</v>
      </c>
      <c r="R12642">
        <v>0</v>
      </c>
      <c r="S12642">
        <v>0</v>
      </c>
      <c r="T12642" t="s">
        <v>45410</v>
      </c>
    </row>
    <row r="12643" spans="1:20" customFormat="1" ht="15" x14ac:dyDescent="0.25">
      <c r="A12643" t="s">
        <v>35</v>
      </c>
      <c r="B12643" t="s">
        <v>61</v>
      </c>
      <c r="C12643" t="str">
        <f>"A0132483"</f>
        <v>A0132483</v>
      </c>
      <c r="D12643" t="s">
        <v>45411</v>
      </c>
      <c r="E12643" t="s">
        <v>45412</v>
      </c>
      <c r="F12643" t="s">
        <v>7333</v>
      </c>
      <c r="G12643" t="s">
        <v>65</v>
      </c>
      <c r="H12643">
        <v>45040</v>
      </c>
      <c r="I12643" t="s">
        <v>30</v>
      </c>
      <c r="J12643" t="s">
        <v>41</v>
      </c>
      <c r="K12643" t="s">
        <v>229</v>
      </c>
      <c r="Q12643">
        <v>0</v>
      </c>
      <c r="R12643">
        <v>186</v>
      </c>
      <c r="S12643">
        <v>186</v>
      </c>
      <c r="T12643" t="s">
        <v>45413</v>
      </c>
    </row>
    <row r="12644" spans="1:20" customFormat="1" ht="15" x14ac:dyDescent="0.25">
      <c r="A12644" t="s">
        <v>35</v>
      </c>
      <c r="B12644" t="s">
        <v>61</v>
      </c>
      <c r="C12644" t="str">
        <f>"A0123426"</f>
        <v>A0123426</v>
      </c>
      <c r="D12644" t="s">
        <v>45414</v>
      </c>
      <c r="E12644" t="s">
        <v>45415</v>
      </c>
      <c r="F12644" t="s">
        <v>11919</v>
      </c>
      <c r="G12644" t="s">
        <v>214</v>
      </c>
      <c r="H12644">
        <v>27565</v>
      </c>
      <c r="I12644" t="s">
        <v>30</v>
      </c>
      <c r="J12644" t="s">
        <v>41</v>
      </c>
      <c r="K12644" t="s">
        <v>59</v>
      </c>
      <c r="Q12644">
        <v>0</v>
      </c>
      <c r="R12644">
        <v>150</v>
      </c>
      <c r="S12644">
        <v>150</v>
      </c>
      <c r="T12644" t="s">
        <v>45416</v>
      </c>
    </row>
    <row r="12645" spans="1:20" customFormat="1" ht="15" x14ac:dyDescent="0.25">
      <c r="A12645" t="s">
        <v>35</v>
      </c>
      <c r="B12645" t="s">
        <v>61</v>
      </c>
      <c r="C12645" t="str">
        <f>"A0125670"</f>
        <v>A0125670</v>
      </c>
      <c r="D12645" t="s">
        <v>45417</v>
      </c>
      <c r="E12645" t="s">
        <v>45418</v>
      </c>
      <c r="F12645" t="s">
        <v>11400</v>
      </c>
      <c r="G12645" t="s">
        <v>29</v>
      </c>
      <c r="H12645">
        <v>23231</v>
      </c>
      <c r="I12645" t="s">
        <v>30</v>
      </c>
      <c r="J12645" t="s">
        <v>41</v>
      </c>
      <c r="K12645" t="s">
        <v>229</v>
      </c>
      <c r="Q12645">
        <v>0</v>
      </c>
      <c r="R12645">
        <v>281</v>
      </c>
      <c r="S12645">
        <v>281</v>
      </c>
      <c r="T12645" t="s">
        <v>45419</v>
      </c>
    </row>
    <row r="12646" spans="1:20" customFormat="1" ht="15" x14ac:dyDescent="0.25">
      <c r="A12646" t="s">
        <v>35</v>
      </c>
      <c r="B12646" t="s">
        <v>61</v>
      </c>
      <c r="C12646" t="str">
        <f>"A0127905"</f>
        <v>A0127905</v>
      </c>
      <c r="D12646" t="s">
        <v>45420</v>
      </c>
      <c r="E12646" t="s">
        <v>45421</v>
      </c>
      <c r="F12646" t="s">
        <v>30566</v>
      </c>
      <c r="G12646" t="s">
        <v>117</v>
      </c>
      <c r="H12646">
        <v>48801</v>
      </c>
      <c r="I12646" t="s">
        <v>30</v>
      </c>
      <c r="J12646" t="s">
        <v>41</v>
      </c>
      <c r="K12646" t="s">
        <v>229</v>
      </c>
      <c r="Q12646">
        <v>0</v>
      </c>
      <c r="R12646">
        <v>450</v>
      </c>
      <c r="S12646">
        <v>450</v>
      </c>
      <c r="T12646" t="s">
        <v>45422</v>
      </c>
    </row>
    <row r="12647" spans="1:20" customFormat="1" ht="15" x14ac:dyDescent="0.25">
      <c r="A12647" t="s">
        <v>35</v>
      </c>
      <c r="B12647" t="s">
        <v>106</v>
      </c>
      <c r="C12647" t="str">
        <f>"A0166638"</f>
        <v>A0166638</v>
      </c>
      <c r="D12647" t="s">
        <v>45423</v>
      </c>
      <c r="E12647" t="s">
        <v>4097</v>
      </c>
      <c r="F12647" t="s">
        <v>4098</v>
      </c>
      <c r="G12647" t="s">
        <v>29</v>
      </c>
      <c r="H12647">
        <v>22664</v>
      </c>
      <c r="I12647" t="s">
        <v>30</v>
      </c>
      <c r="J12647" t="s">
        <v>111</v>
      </c>
      <c r="K12647" t="s">
        <v>112</v>
      </c>
      <c r="Q12647">
        <v>0</v>
      </c>
      <c r="R12647">
        <v>0</v>
      </c>
      <c r="S12647">
        <v>0</v>
      </c>
      <c r="T12647" t="s">
        <v>4099</v>
      </c>
    </row>
    <row r="12648" spans="1:20" customFormat="1" ht="15" x14ac:dyDescent="0.25">
      <c r="A12648" t="s">
        <v>35</v>
      </c>
      <c r="B12648" t="s">
        <v>61</v>
      </c>
      <c r="C12648" t="str">
        <f>"A0128653"</f>
        <v>A0128653</v>
      </c>
      <c r="D12648" t="s">
        <v>45424</v>
      </c>
      <c r="E12648" t="s">
        <v>45425</v>
      </c>
      <c r="F12648" t="s">
        <v>19203</v>
      </c>
      <c r="G12648" t="s">
        <v>1170</v>
      </c>
      <c r="H12648">
        <v>71303</v>
      </c>
      <c r="I12648" t="s">
        <v>30</v>
      </c>
      <c r="J12648" t="s">
        <v>41</v>
      </c>
      <c r="K12648" t="s">
        <v>229</v>
      </c>
      <c r="Q12648">
        <v>0</v>
      </c>
      <c r="R12648">
        <v>159</v>
      </c>
      <c r="S12648">
        <v>159</v>
      </c>
      <c r="T12648" t="s">
        <v>45426</v>
      </c>
    </row>
    <row r="12649" spans="1:20" customFormat="1" ht="15" x14ac:dyDescent="0.25">
      <c r="A12649" t="s">
        <v>35</v>
      </c>
      <c r="B12649" t="s">
        <v>61</v>
      </c>
      <c r="C12649" t="str">
        <f>"A0123838"</f>
        <v>A0123838</v>
      </c>
      <c r="D12649" t="s">
        <v>45427</v>
      </c>
      <c r="E12649" t="s">
        <v>45428</v>
      </c>
      <c r="F12649" t="s">
        <v>6768</v>
      </c>
      <c r="G12649" t="s">
        <v>29</v>
      </c>
      <c r="H12649">
        <v>24502</v>
      </c>
      <c r="I12649" t="s">
        <v>30</v>
      </c>
      <c r="J12649" t="s">
        <v>41</v>
      </c>
      <c r="K12649" t="s">
        <v>482</v>
      </c>
      <c r="Q12649">
        <v>0</v>
      </c>
      <c r="R12649">
        <v>40</v>
      </c>
      <c r="S12649">
        <v>40</v>
      </c>
      <c r="T12649" t="s">
        <v>45429</v>
      </c>
    </row>
    <row r="12650" spans="1:20" customFormat="1" ht="15" x14ac:dyDescent="0.25">
      <c r="A12650" t="s">
        <v>35</v>
      </c>
      <c r="B12650" t="s">
        <v>61</v>
      </c>
      <c r="C12650" t="str">
        <f>"A0123839"</f>
        <v>A0123839</v>
      </c>
      <c r="D12650" t="s">
        <v>45430</v>
      </c>
      <c r="E12650" t="s">
        <v>45431</v>
      </c>
      <c r="F12650" t="s">
        <v>11715</v>
      </c>
      <c r="G12650" t="s">
        <v>29</v>
      </c>
      <c r="H12650">
        <v>23704</v>
      </c>
      <c r="I12650" t="s">
        <v>30</v>
      </c>
      <c r="J12650" t="s">
        <v>41</v>
      </c>
      <c r="K12650" t="s">
        <v>482</v>
      </c>
      <c r="Q12650">
        <v>0</v>
      </c>
      <c r="R12650">
        <v>50</v>
      </c>
      <c r="S12650">
        <v>50</v>
      </c>
      <c r="T12650" t="s">
        <v>45432</v>
      </c>
    </row>
    <row r="12651" spans="1:20" customFormat="1" ht="15" x14ac:dyDescent="0.25">
      <c r="A12651" t="s">
        <v>35</v>
      </c>
      <c r="B12651" t="s">
        <v>61</v>
      </c>
      <c r="C12651" t="str">
        <f>"A0129093"</f>
        <v>A0129093</v>
      </c>
      <c r="D12651" t="s">
        <v>45433</v>
      </c>
      <c r="E12651" t="s">
        <v>45434</v>
      </c>
      <c r="F12651" t="s">
        <v>36164</v>
      </c>
      <c r="G12651" t="s">
        <v>289</v>
      </c>
      <c r="H12651">
        <v>60521</v>
      </c>
      <c r="I12651" t="s">
        <v>30</v>
      </c>
      <c r="J12651" t="s">
        <v>41</v>
      </c>
      <c r="K12651" t="s">
        <v>59</v>
      </c>
      <c r="Q12651">
        <v>0</v>
      </c>
      <c r="R12651">
        <v>750</v>
      </c>
      <c r="S12651">
        <v>750</v>
      </c>
      <c r="T12651" t="s">
        <v>45435</v>
      </c>
    </row>
    <row r="12652" spans="1:20" customFormat="1" ht="15" x14ac:dyDescent="0.25">
      <c r="A12652" t="s">
        <v>35</v>
      </c>
      <c r="B12652" t="s">
        <v>61</v>
      </c>
      <c r="C12652" t="str">
        <f>"A0124922"</f>
        <v>A0124922</v>
      </c>
      <c r="D12652" t="s">
        <v>45436</v>
      </c>
      <c r="E12652" t="s">
        <v>45437</v>
      </c>
      <c r="F12652" t="s">
        <v>472</v>
      </c>
      <c r="G12652" t="s">
        <v>214</v>
      </c>
      <c r="H12652">
        <v>276080000</v>
      </c>
      <c r="I12652" t="s">
        <v>30</v>
      </c>
      <c r="J12652" t="s">
        <v>41</v>
      </c>
      <c r="K12652" t="s">
        <v>229</v>
      </c>
      <c r="Q12652">
        <v>0</v>
      </c>
      <c r="R12652">
        <v>139</v>
      </c>
      <c r="S12652">
        <v>139</v>
      </c>
      <c r="T12652" t="s">
        <v>45438</v>
      </c>
    </row>
    <row r="12653" spans="1:20" customFormat="1" ht="15" x14ac:dyDescent="0.25">
      <c r="A12653" t="s">
        <v>35</v>
      </c>
      <c r="B12653" t="s">
        <v>61</v>
      </c>
      <c r="C12653" t="str">
        <f>"A0119243"</f>
        <v>A0119243</v>
      </c>
      <c r="D12653" t="s">
        <v>45439</v>
      </c>
      <c r="E12653" t="s">
        <v>45440</v>
      </c>
      <c r="F12653" t="s">
        <v>14738</v>
      </c>
      <c r="G12653" t="s">
        <v>110</v>
      </c>
      <c r="H12653">
        <v>93033</v>
      </c>
      <c r="I12653" t="s">
        <v>30</v>
      </c>
      <c r="J12653" t="s">
        <v>41</v>
      </c>
      <c r="K12653" t="s">
        <v>229</v>
      </c>
      <c r="Q12653">
        <v>0</v>
      </c>
      <c r="R12653">
        <v>98</v>
      </c>
      <c r="S12653">
        <v>98</v>
      </c>
      <c r="T12653" t="s">
        <v>45441</v>
      </c>
    </row>
    <row r="12654" spans="1:20" customFormat="1" ht="15" x14ac:dyDescent="0.25">
      <c r="A12654" t="s">
        <v>35</v>
      </c>
      <c r="B12654" t="s">
        <v>61</v>
      </c>
      <c r="C12654" t="str">
        <f>"A0124207"</f>
        <v>A0124207</v>
      </c>
      <c r="D12654" t="s">
        <v>45442</v>
      </c>
      <c r="E12654" t="s">
        <v>45443</v>
      </c>
      <c r="F12654" t="s">
        <v>13105</v>
      </c>
      <c r="G12654" t="s">
        <v>289</v>
      </c>
      <c r="H12654">
        <v>60478</v>
      </c>
      <c r="I12654" t="s">
        <v>30</v>
      </c>
      <c r="J12654" t="s">
        <v>41</v>
      </c>
      <c r="K12654" t="s">
        <v>229</v>
      </c>
      <c r="Q12654">
        <v>0</v>
      </c>
      <c r="R12654">
        <v>111</v>
      </c>
      <c r="S12654">
        <v>111</v>
      </c>
      <c r="T12654" t="s">
        <v>45444</v>
      </c>
    </row>
    <row r="12655" spans="1:20" customFormat="1" ht="15" x14ac:dyDescent="0.25">
      <c r="A12655" t="s">
        <v>35</v>
      </c>
      <c r="B12655" t="s">
        <v>61</v>
      </c>
      <c r="C12655" t="str">
        <f>"A0154065"</f>
        <v>A0154065</v>
      </c>
      <c r="D12655" t="s">
        <v>45445</v>
      </c>
      <c r="E12655" t="s">
        <v>45446</v>
      </c>
      <c r="F12655" t="s">
        <v>2704</v>
      </c>
      <c r="G12655" t="s">
        <v>40</v>
      </c>
      <c r="H12655">
        <v>74820</v>
      </c>
      <c r="I12655" t="s">
        <v>30</v>
      </c>
      <c r="J12655" t="s">
        <v>41</v>
      </c>
      <c r="K12655" t="s">
        <v>131</v>
      </c>
      <c r="Q12655">
        <v>0</v>
      </c>
      <c r="R12655">
        <v>148</v>
      </c>
      <c r="S12655">
        <v>148</v>
      </c>
      <c r="T12655" t="s">
        <v>45447</v>
      </c>
    </row>
    <row r="12656" spans="1:20" customFormat="1" ht="15" x14ac:dyDescent="0.25">
      <c r="A12656" t="s">
        <v>35</v>
      </c>
      <c r="B12656" t="s">
        <v>61</v>
      </c>
      <c r="C12656" t="str">
        <f>"A0131458"</f>
        <v>A0131458</v>
      </c>
      <c r="D12656" t="s">
        <v>45448</v>
      </c>
      <c r="E12656" t="s">
        <v>45449</v>
      </c>
      <c r="F12656" t="s">
        <v>45450</v>
      </c>
      <c r="G12656" t="s">
        <v>137</v>
      </c>
      <c r="H12656">
        <v>63376</v>
      </c>
      <c r="I12656" t="s">
        <v>30</v>
      </c>
      <c r="J12656" t="s">
        <v>41</v>
      </c>
      <c r="K12656" t="s">
        <v>391</v>
      </c>
      <c r="Q12656">
        <v>0</v>
      </c>
      <c r="R12656">
        <v>36</v>
      </c>
      <c r="S12656">
        <v>36</v>
      </c>
      <c r="T12656" t="s">
        <v>42735</v>
      </c>
    </row>
    <row r="12657" spans="1:20" customFormat="1" ht="15" x14ac:dyDescent="0.25">
      <c r="A12657" t="s">
        <v>35</v>
      </c>
      <c r="B12657" t="s">
        <v>61</v>
      </c>
      <c r="C12657" t="str">
        <f>"A0131470"</f>
        <v>A0131470</v>
      </c>
      <c r="D12657" t="s">
        <v>45451</v>
      </c>
      <c r="E12657" t="s">
        <v>45452</v>
      </c>
      <c r="F12657" t="s">
        <v>45450</v>
      </c>
      <c r="G12657" t="s">
        <v>137</v>
      </c>
      <c r="H12657">
        <v>63373</v>
      </c>
      <c r="I12657" t="s">
        <v>30</v>
      </c>
      <c r="J12657" t="s">
        <v>41</v>
      </c>
      <c r="K12657" t="s">
        <v>1032</v>
      </c>
      <c r="Q12657">
        <v>0</v>
      </c>
      <c r="R12657">
        <v>60</v>
      </c>
      <c r="S12657">
        <v>60</v>
      </c>
      <c r="T12657" t="s">
        <v>45453</v>
      </c>
    </row>
    <row r="12658" spans="1:20" customFormat="1" ht="15" x14ac:dyDescent="0.25">
      <c r="A12658" t="s">
        <v>35</v>
      </c>
      <c r="B12658" t="s">
        <v>106</v>
      </c>
      <c r="C12658" t="str">
        <f>"A0135572"</f>
        <v>A0135572</v>
      </c>
      <c r="D12658" t="s">
        <v>45454</v>
      </c>
      <c r="E12658" t="s">
        <v>45455</v>
      </c>
      <c r="F12658" t="s">
        <v>45456</v>
      </c>
      <c r="G12658" t="s">
        <v>880</v>
      </c>
      <c r="H12658">
        <v>37383</v>
      </c>
      <c r="I12658" t="s">
        <v>30</v>
      </c>
      <c r="J12658" t="s">
        <v>111</v>
      </c>
      <c r="K12658" t="s">
        <v>112</v>
      </c>
      <c r="Q12658">
        <v>0</v>
      </c>
      <c r="R12658">
        <v>0</v>
      </c>
      <c r="S12658">
        <v>0</v>
      </c>
      <c r="T12658" t="s">
        <v>45457</v>
      </c>
    </row>
    <row r="12659" spans="1:20" customFormat="1" ht="15" x14ac:dyDescent="0.25">
      <c r="A12659" t="s">
        <v>35</v>
      </c>
      <c r="B12659" t="s">
        <v>61</v>
      </c>
      <c r="C12659" t="str">
        <f>"A0125022"</f>
        <v>A0125022</v>
      </c>
      <c r="D12659" t="s">
        <v>45458</v>
      </c>
      <c r="E12659" t="s">
        <v>45459</v>
      </c>
      <c r="F12659" t="s">
        <v>40062</v>
      </c>
      <c r="G12659" t="s">
        <v>214</v>
      </c>
      <c r="H12659">
        <v>28786</v>
      </c>
      <c r="I12659" t="s">
        <v>30</v>
      </c>
      <c r="J12659" t="s">
        <v>41</v>
      </c>
      <c r="K12659" t="s">
        <v>59</v>
      </c>
      <c r="Q12659">
        <v>0</v>
      </c>
      <c r="R12659">
        <v>22</v>
      </c>
      <c r="S12659">
        <v>22</v>
      </c>
      <c r="T12659" t="s">
        <v>45460</v>
      </c>
    </row>
    <row r="12660" spans="1:20" customFormat="1" ht="15" x14ac:dyDescent="0.25">
      <c r="A12660" t="s">
        <v>35</v>
      </c>
      <c r="B12660" t="s">
        <v>61</v>
      </c>
      <c r="C12660" t="str">
        <f>"A0133236"</f>
        <v>A0133236</v>
      </c>
      <c r="D12660" t="s">
        <v>45461</v>
      </c>
      <c r="E12660" t="s">
        <v>45462</v>
      </c>
      <c r="F12660" t="s">
        <v>5240</v>
      </c>
      <c r="G12660" t="s">
        <v>52</v>
      </c>
      <c r="H12660">
        <v>782070000</v>
      </c>
      <c r="I12660" t="s">
        <v>30</v>
      </c>
      <c r="J12660" t="s">
        <v>41</v>
      </c>
      <c r="K12660" t="s">
        <v>229</v>
      </c>
      <c r="Q12660">
        <v>0</v>
      </c>
      <c r="R12660">
        <v>51</v>
      </c>
      <c r="S12660">
        <v>51</v>
      </c>
      <c r="T12660" t="s">
        <v>45463</v>
      </c>
    </row>
    <row r="12661" spans="1:20" customFormat="1" ht="15" x14ac:dyDescent="0.25">
      <c r="A12661" t="s">
        <v>35</v>
      </c>
      <c r="B12661" t="s">
        <v>61</v>
      </c>
      <c r="C12661" t="str">
        <f>"A0124057"</f>
        <v>A0124057</v>
      </c>
      <c r="D12661" t="s">
        <v>45464</v>
      </c>
      <c r="E12661" t="s">
        <v>45465</v>
      </c>
      <c r="F12661" t="s">
        <v>4591</v>
      </c>
      <c r="G12661" t="s">
        <v>214</v>
      </c>
      <c r="H12661">
        <v>28752</v>
      </c>
      <c r="I12661" t="s">
        <v>30</v>
      </c>
      <c r="J12661" t="s">
        <v>41</v>
      </c>
      <c r="K12661" t="s">
        <v>482</v>
      </c>
      <c r="Q12661">
        <v>0</v>
      </c>
      <c r="R12661">
        <v>60</v>
      </c>
      <c r="S12661">
        <v>60</v>
      </c>
      <c r="T12661" t="s">
        <v>45466</v>
      </c>
    </row>
    <row r="12662" spans="1:20" customFormat="1" ht="15" x14ac:dyDescent="0.25">
      <c r="A12662" t="s">
        <v>35</v>
      </c>
      <c r="B12662" t="s">
        <v>61</v>
      </c>
      <c r="C12662" t="str">
        <f>"A0130942"</f>
        <v>A0130942</v>
      </c>
      <c r="D12662" t="s">
        <v>45467</v>
      </c>
      <c r="E12662" t="s">
        <v>45468</v>
      </c>
      <c r="F12662" t="s">
        <v>40435</v>
      </c>
      <c r="G12662" t="s">
        <v>85</v>
      </c>
      <c r="H12662">
        <v>716540000</v>
      </c>
      <c r="I12662" t="s">
        <v>30</v>
      </c>
      <c r="J12662" t="s">
        <v>41</v>
      </c>
      <c r="K12662" t="s">
        <v>2760</v>
      </c>
      <c r="Q12662">
        <v>0</v>
      </c>
      <c r="R12662">
        <v>1</v>
      </c>
      <c r="S12662">
        <v>1</v>
      </c>
      <c r="T12662" t="s">
        <v>45469</v>
      </c>
    </row>
    <row r="12663" spans="1:20" customFormat="1" ht="15" x14ac:dyDescent="0.25">
      <c r="A12663" t="s">
        <v>35</v>
      </c>
      <c r="B12663" t="s">
        <v>61</v>
      </c>
      <c r="C12663" t="str">
        <f>"A0124485"</f>
        <v>A0124485</v>
      </c>
      <c r="D12663" t="s">
        <v>45470</v>
      </c>
      <c r="E12663" t="s">
        <v>45471</v>
      </c>
      <c r="F12663" t="s">
        <v>41678</v>
      </c>
      <c r="G12663" t="s">
        <v>1706</v>
      </c>
      <c r="H12663">
        <v>359990000</v>
      </c>
      <c r="I12663" t="s">
        <v>30</v>
      </c>
      <c r="J12663" t="s">
        <v>41</v>
      </c>
      <c r="K12663" t="s">
        <v>229</v>
      </c>
      <c r="Q12663">
        <v>0</v>
      </c>
      <c r="R12663">
        <v>209</v>
      </c>
      <c r="S12663">
        <v>209</v>
      </c>
      <c r="T12663" t="s">
        <v>45472</v>
      </c>
    </row>
    <row r="12664" spans="1:20" customFormat="1" ht="15" x14ac:dyDescent="0.25">
      <c r="A12664" t="s">
        <v>35</v>
      </c>
      <c r="B12664" t="s">
        <v>61</v>
      </c>
      <c r="C12664" t="str">
        <f>"A0128881"</f>
        <v>A0128881</v>
      </c>
      <c r="D12664" t="s">
        <v>45473</v>
      </c>
      <c r="E12664" t="s">
        <v>45474</v>
      </c>
      <c r="F12664" t="s">
        <v>45475</v>
      </c>
      <c r="G12664" t="s">
        <v>289</v>
      </c>
      <c r="H12664">
        <v>60050</v>
      </c>
      <c r="I12664" t="s">
        <v>30</v>
      </c>
      <c r="J12664" t="s">
        <v>41</v>
      </c>
      <c r="K12664" t="s">
        <v>482</v>
      </c>
      <c r="Q12664">
        <v>0</v>
      </c>
      <c r="R12664">
        <v>108</v>
      </c>
      <c r="S12664">
        <v>108</v>
      </c>
      <c r="T12664" t="s">
        <v>45476</v>
      </c>
    </row>
    <row r="12665" spans="1:20" customFormat="1" ht="15" x14ac:dyDescent="0.25">
      <c r="A12665" t="s">
        <v>35</v>
      </c>
      <c r="B12665" t="s">
        <v>61</v>
      </c>
      <c r="C12665" t="str">
        <f>"A0123031"</f>
        <v>A0123031</v>
      </c>
      <c r="D12665" t="s">
        <v>45477</v>
      </c>
      <c r="E12665" t="s">
        <v>45478</v>
      </c>
      <c r="F12665" t="s">
        <v>45479</v>
      </c>
      <c r="G12665" t="s">
        <v>76</v>
      </c>
      <c r="H12665">
        <v>98851</v>
      </c>
      <c r="I12665" t="s">
        <v>30</v>
      </c>
      <c r="J12665" t="s">
        <v>41</v>
      </c>
      <c r="K12665" t="s">
        <v>229</v>
      </c>
      <c r="Q12665">
        <v>0</v>
      </c>
      <c r="R12665">
        <v>42</v>
      </c>
      <c r="S12665">
        <v>42</v>
      </c>
      <c r="T12665" t="s">
        <v>45480</v>
      </c>
    </row>
    <row r="12666" spans="1:20" customFormat="1" ht="15" x14ac:dyDescent="0.25">
      <c r="A12666" t="s">
        <v>35</v>
      </c>
      <c r="B12666" t="s">
        <v>61</v>
      </c>
      <c r="C12666" t="str">
        <f>"A0124687"</f>
        <v>A0124687</v>
      </c>
      <c r="D12666" t="s">
        <v>45481</v>
      </c>
      <c r="E12666" t="s">
        <v>45482</v>
      </c>
      <c r="F12666" t="s">
        <v>18921</v>
      </c>
      <c r="G12666" t="s">
        <v>880</v>
      </c>
      <c r="H12666">
        <v>37076</v>
      </c>
      <c r="I12666" t="s">
        <v>30</v>
      </c>
      <c r="J12666" t="s">
        <v>41</v>
      </c>
      <c r="K12666" t="s">
        <v>1440</v>
      </c>
      <c r="Q12666">
        <v>0</v>
      </c>
      <c r="R12666">
        <v>515</v>
      </c>
      <c r="S12666">
        <v>515</v>
      </c>
      <c r="T12666" t="s">
        <v>45483</v>
      </c>
    </row>
    <row r="12667" spans="1:20" customFormat="1" ht="15" x14ac:dyDescent="0.25">
      <c r="A12667" t="s">
        <v>35</v>
      </c>
      <c r="B12667" t="s">
        <v>61</v>
      </c>
      <c r="C12667" t="str">
        <f>"A0131827"</f>
        <v>A0131827</v>
      </c>
      <c r="D12667" t="s">
        <v>45484</v>
      </c>
      <c r="E12667" t="s">
        <v>45485</v>
      </c>
      <c r="F12667" t="s">
        <v>2770</v>
      </c>
      <c r="G12667" t="s">
        <v>65</v>
      </c>
      <c r="H12667">
        <v>447020000</v>
      </c>
      <c r="I12667" t="s">
        <v>30</v>
      </c>
      <c r="J12667" t="s">
        <v>41</v>
      </c>
      <c r="K12667" t="s">
        <v>229</v>
      </c>
      <c r="Q12667">
        <v>0</v>
      </c>
      <c r="R12667">
        <v>164</v>
      </c>
      <c r="S12667">
        <v>164</v>
      </c>
      <c r="T12667" t="s">
        <v>45486</v>
      </c>
    </row>
    <row r="12668" spans="1:20" customFormat="1" ht="15" x14ac:dyDescent="0.25">
      <c r="A12668" t="s">
        <v>35</v>
      </c>
      <c r="B12668" t="s">
        <v>61</v>
      </c>
      <c r="C12668" t="str">
        <f>"A0130926"</f>
        <v>A0130926</v>
      </c>
      <c r="D12668" t="s">
        <v>45487</v>
      </c>
      <c r="E12668" t="s">
        <v>45488</v>
      </c>
      <c r="F12668" t="s">
        <v>1655</v>
      </c>
      <c r="G12668" t="s">
        <v>137</v>
      </c>
      <c r="H12668">
        <v>631470000</v>
      </c>
      <c r="I12668" t="s">
        <v>30</v>
      </c>
      <c r="J12668" t="s">
        <v>41</v>
      </c>
      <c r="K12668" t="s">
        <v>229</v>
      </c>
      <c r="Q12668">
        <v>0</v>
      </c>
      <c r="R12668">
        <v>208</v>
      </c>
      <c r="S12668">
        <v>208</v>
      </c>
      <c r="T12668" t="s">
        <v>45489</v>
      </c>
    </row>
    <row r="12669" spans="1:20" customFormat="1" ht="15" x14ac:dyDescent="0.25">
      <c r="A12669" t="s">
        <v>35</v>
      </c>
      <c r="B12669" t="s">
        <v>61</v>
      </c>
      <c r="C12669" t="str">
        <f>"A0133304"</f>
        <v>A0133304</v>
      </c>
      <c r="D12669" t="s">
        <v>45490</v>
      </c>
      <c r="E12669" t="s">
        <v>45491</v>
      </c>
      <c r="F12669" t="s">
        <v>14879</v>
      </c>
      <c r="G12669" t="s">
        <v>52</v>
      </c>
      <c r="H12669">
        <v>790570000</v>
      </c>
      <c r="I12669" t="s">
        <v>30</v>
      </c>
      <c r="J12669" t="s">
        <v>41</v>
      </c>
      <c r="K12669" t="s">
        <v>229</v>
      </c>
      <c r="Q12669">
        <v>0</v>
      </c>
      <c r="R12669">
        <v>59</v>
      </c>
      <c r="S12669">
        <v>59</v>
      </c>
      <c r="T12669" t="s">
        <v>45492</v>
      </c>
    </row>
    <row r="12670" spans="1:20" customFormat="1" ht="15" x14ac:dyDescent="0.25">
      <c r="A12670" t="s">
        <v>35</v>
      </c>
      <c r="B12670" t="s">
        <v>61</v>
      </c>
      <c r="C12670" t="str">
        <f>"A0128886"</f>
        <v>A0128886</v>
      </c>
      <c r="D12670" t="s">
        <v>45493</v>
      </c>
      <c r="E12670" t="s">
        <v>45494</v>
      </c>
      <c r="F12670" t="s">
        <v>45495</v>
      </c>
      <c r="G12670" t="s">
        <v>289</v>
      </c>
      <c r="H12670">
        <v>61761</v>
      </c>
      <c r="I12670" t="s">
        <v>30</v>
      </c>
      <c r="J12670" t="s">
        <v>41</v>
      </c>
      <c r="K12670" t="s">
        <v>229</v>
      </c>
      <c r="Q12670">
        <v>0</v>
      </c>
      <c r="R12670">
        <v>150</v>
      </c>
      <c r="S12670">
        <v>150</v>
      </c>
      <c r="T12670" t="s">
        <v>45496</v>
      </c>
    </row>
    <row r="12671" spans="1:20" customFormat="1" ht="15" x14ac:dyDescent="0.25">
      <c r="A12671" t="s">
        <v>35</v>
      </c>
      <c r="B12671" t="s">
        <v>61</v>
      </c>
      <c r="C12671" t="str">
        <f>"A0131635"</f>
        <v>A0131635</v>
      </c>
      <c r="D12671" t="s">
        <v>45497</v>
      </c>
      <c r="E12671" t="s">
        <v>45498</v>
      </c>
      <c r="F12671" t="s">
        <v>39588</v>
      </c>
      <c r="G12671" t="s">
        <v>65</v>
      </c>
      <c r="H12671">
        <v>448420000</v>
      </c>
      <c r="I12671" t="s">
        <v>30</v>
      </c>
      <c r="J12671" t="s">
        <v>41</v>
      </c>
      <c r="K12671" t="s">
        <v>59</v>
      </c>
      <c r="Q12671">
        <v>0</v>
      </c>
      <c r="R12671">
        <v>19</v>
      </c>
      <c r="S12671">
        <v>19</v>
      </c>
      <c r="T12671" t="s">
        <v>45499</v>
      </c>
    </row>
    <row r="12672" spans="1:20" customFormat="1" ht="15" x14ac:dyDescent="0.25">
      <c r="A12672" t="s">
        <v>35</v>
      </c>
      <c r="B12672" t="s">
        <v>106</v>
      </c>
      <c r="C12672" t="str">
        <f>"A0136144"</f>
        <v>A0136144</v>
      </c>
      <c r="D12672" t="s">
        <v>45500</v>
      </c>
      <c r="E12672" t="s">
        <v>45501</v>
      </c>
      <c r="F12672" t="s">
        <v>1705</v>
      </c>
      <c r="G12672" t="s">
        <v>1706</v>
      </c>
      <c r="H12672">
        <v>35203</v>
      </c>
      <c r="I12672" t="s">
        <v>30</v>
      </c>
      <c r="J12672" t="s">
        <v>111</v>
      </c>
      <c r="K12672" t="s">
        <v>112</v>
      </c>
      <c r="Q12672">
        <v>0</v>
      </c>
      <c r="R12672">
        <v>0</v>
      </c>
      <c r="S12672">
        <v>0</v>
      </c>
      <c r="T12672" t="s">
        <v>45502</v>
      </c>
    </row>
    <row r="12673" spans="1:20" customFormat="1" ht="15" x14ac:dyDescent="0.25">
      <c r="A12673" t="s">
        <v>35</v>
      </c>
      <c r="B12673" t="s">
        <v>61</v>
      </c>
      <c r="C12673" t="str">
        <f>"A0130746"</f>
        <v>A0130746</v>
      </c>
      <c r="D12673" t="s">
        <v>45503</v>
      </c>
      <c r="E12673" t="s">
        <v>45504</v>
      </c>
      <c r="F12673" t="s">
        <v>19721</v>
      </c>
      <c r="G12673" t="s">
        <v>3236</v>
      </c>
      <c r="H12673">
        <v>57785</v>
      </c>
      <c r="I12673" t="s">
        <v>30</v>
      </c>
      <c r="J12673" t="s">
        <v>41</v>
      </c>
      <c r="K12673" t="s">
        <v>8643</v>
      </c>
      <c r="Q12673">
        <v>0</v>
      </c>
      <c r="R12673">
        <v>0</v>
      </c>
      <c r="S12673">
        <v>0</v>
      </c>
      <c r="T12673" t="s">
        <v>45505</v>
      </c>
    </row>
    <row r="12674" spans="1:20" customFormat="1" ht="15" x14ac:dyDescent="0.25">
      <c r="A12674" t="s">
        <v>35</v>
      </c>
      <c r="B12674" t="s">
        <v>61</v>
      </c>
      <c r="C12674" t="str">
        <f>"A0125427"</f>
        <v>A0125427</v>
      </c>
      <c r="D12674" t="s">
        <v>45506</v>
      </c>
      <c r="E12674" t="s">
        <v>45507</v>
      </c>
      <c r="F12674" t="s">
        <v>45508</v>
      </c>
      <c r="G12674" t="s">
        <v>40</v>
      </c>
      <c r="H12674">
        <v>74940</v>
      </c>
      <c r="I12674" t="s">
        <v>30</v>
      </c>
      <c r="J12674" t="s">
        <v>41</v>
      </c>
      <c r="K12674" t="s">
        <v>131</v>
      </c>
      <c r="Q12674">
        <v>0</v>
      </c>
      <c r="R12674">
        <v>45</v>
      </c>
      <c r="S12674">
        <v>45</v>
      </c>
      <c r="T12674" t="s">
        <v>45509</v>
      </c>
    </row>
    <row r="12675" spans="1:20" customFormat="1" ht="15" x14ac:dyDescent="0.25">
      <c r="A12675" t="s">
        <v>35</v>
      </c>
      <c r="B12675" t="s">
        <v>61</v>
      </c>
      <c r="C12675" t="str">
        <f>"A0125411"</f>
        <v>A0125411</v>
      </c>
      <c r="D12675" t="s">
        <v>45510</v>
      </c>
      <c r="E12675" t="s">
        <v>45511</v>
      </c>
      <c r="F12675" t="s">
        <v>45508</v>
      </c>
      <c r="G12675" t="s">
        <v>40</v>
      </c>
      <c r="H12675">
        <v>74940</v>
      </c>
      <c r="I12675" t="s">
        <v>30</v>
      </c>
      <c r="J12675" t="s">
        <v>41</v>
      </c>
      <c r="K12675" t="s">
        <v>59</v>
      </c>
      <c r="Q12675">
        <v>0</v>
      </c>
      <c r="R12675">
        <v>74</v>
      </c>
      <c r="S12675">
        <v>74</v>
      </c>
      <c r="T12675" t="s">
        <v>45512</v>
      </c>
    </row>
    <row r="12676" spans="1:20" customFormat="1" ht="15" x14ac:dyDescent="0.25">
      <c r="A12676" t="s">
        <v>35</v>
      </c>
      <c r="B12676" t="s">
        <v>61</v>
      </c>
      <c r="C12676" t="str">
        <f>"A0124208"</f>
        <v>A0124208</v>
      </c>
      <c r="D12676" t="s">
        <v>45513</v>
      </c>
      <c r="E12676" t="s">
        <v>45514</v>
      </c>
      <c r="F12676" t="s">
        <v>5781</v>
      </c>
      <c r="G12676" t="s">
        <v>103</v>
      </c>
      <c r="H12676">
        <v>17402</v>
      </c>
      <c r="I12676" t="s">
        <v>30</v>
      </c>
      <c r="J12676" t="s">
        <v>41</v>
      </c>
      <c r="K12676" t="s">
        <v>59</v>
      </c>
      <c r="Q12676">
        <v>0</v>
      </c>
      <c r="R12676">
        <v>75</v>
      </c>
      <c r="S12676">
        <v>75</v>
      </c>
      <c r="T12676" t="s">
        <v>45515</v>
      </c>
    </row>
    <row r="12677" spans="1:20" customFormat="1" ht="15" x14ac:dyDescent="0.25">
      <c r="A12677" t="s">
        <v>35</v>
      </c>
      <c r="B12677" t="s">
        <v>61</v>
      </c>
      <c r="C12677" t="str">
        <f>"A0133726"</f>
        <v>A0133726</v>
      </c>
      <c r="D12677" t="s">
        <v>45516</v>
      </c>
      <c r="E12677" t="s">
        <v>45517</v>
      </c>
      <c r="F12677" t="s">
        <v>45518</v>
      </c>
      <c r="G12677" t="s">
        <v>52</v>
      </c>
      <c r="H12677">
        <v>76015</v>
      </c>
      <c r="I12677" t="s">
        <v>30</v>
      </c>
      <c r="J12677" t="s">
        <v>41</v>
      </c>
      <c r="K12677" t="s">
        <v>229</v>
      </c>
      <c r="Q12677">
        <v>0</v>
      </c>
      <c r="R12677">
        <v>80</v>
      </c>
      <c r="S12677">
        <v>80</v>
      </c>
      <c r="T12677" t="s">
        <v>45519</v>
      </c>
    </row>
    <row r="12678" spans="1:20" customFormat="1" ht="15" x14ac:dyDescent="0.25">
      <c r="A12678" t="s">
        <v>35</v>
      </c>
      <c r="B12678" t="s">
        <v>61</v>
      </c>
      <c r="C12678" t="str">
        <f>"A0131639"</f>
        <v>A0131639</v>
      </c>
      <c r="D12678" t="s">
        <v>45520</v>
      </c>
      <c r="E12678" t="s">
        <v>45521</v>
      </c>
      <c r="F12678" t="s">
        <v>23505</v>
      </c>
      <c r="G12678" t="s">
        <v>65</v>
      </c>
      <c r="H12678">
        <v>446460000</v>
      </c>
      <c r="I12678" t="s">
        <v>30</v>
      </c>
      <c r="J12678" t="s">
        <v>41</v>
      </c>
      <c r="K12678" t="s">
        <v>229</v>
      </c>
      <c r="Q12678">
        <v>0</v>
      </c>
      <c r="R12678">
        <v>100</v>
      </c>
      <c r="S12678">
        <v>100</v>
      </c>
      <c r="T12678" t="s">
        <v>45522</v>
      </c>
    </row>
    <row r="12679" spans="1:20" customFormat="1" ht="15" x14ac:dyDescent="0.25">
      <c r="A12679" t="s">
        <v>35</v>
      </c>
      <c r="B12679" t="s">
        <v>61</v>
      </c>
      <c r="C12679" t="str">
        <f>"A0124209"</f>
        <v>A0124209</v>
      </c>
      <c r="D12679" t="s">
        <v>45523</v>
      </c>
      <c r="E12679" t="s">
        <v>45524</v>
      </c>
      <c r="F12679" t="s">
        <v>23705</v>
      </c>
      <c r="G12679" t="s">
        <v>528</v>
      </c>
      <c r="H12679">
        <v>19720</v>
      </c>
      <c r="I12679" t="s">
        <v>30</v>
      </c>
      <c r="J12679" t="s">
        <v>41</v>
      </c>
      <c r="K12679" t="s">
        <v>482</v>
      </c>
      <c r="Q12679">
        <v>0</v>
      </c>
      <c r="R12679">
        <v>53</v>
      </c>
      <c r="S12679">
        <v>53</v>
      </c>
      <c r="T12679" t="s">
        <v>45525</v>
      </c>
    </row>
    <row r="12680" spans="1:20" customFormat="1" ht="15" x14ac:dyDescent="0.25">
      <c r="A12680" t="s">
        <v>35</v>
      </c>
      <c r="B12680" t="s">
        <v>61</v>
      </c>
      <c r="C12680" t="str">
        <f>"A0131891"</f>
        <v>A0131891</v>
      </c>
      <c r="D12680" t="s">
        <v>45526</v>
      </c>
      <c r="E12680" t="s">
        <v>45527</v>
      </c>
      <c r="F12680" t="s">
        <v>3661</v>
      </c>
      <c r="G12680" t="s">
        <v>65</v>
      </c>
      <c r="H12680">
        <v>45242</v>
      </c>
      <c r="I12680" t="s">
        <v>30</v>
      </c>
      <c r="J12680" t="s">
        <v>41</v>
      </c>
      <c r="K12680" t="s">
        <v>229</v>
      </c>
      <c r="Q12680">
        <v>0</v>
      </c>
      <c r="R12680">
        <v>156</v>
      </c>
      <c r="S12680">
        <v>156</v>
      </c>
      <c r="T12680" t="s">
        <v>45528</v>
      </c>
    </row>
    <row r="12681" spans="1:20" customFormat="1" ht="15" x14ac:dyDescent="0.25">
      <c r="A12681" t="s">
        <v>35</v>
      </c>
      <c r="B12681" t="s">
        <v>61</v>
      </c>
      <c r="C12681" t="str">
        <f>"A0118619"</f>
        <v>A0118619</v>
      </c>
      <c r="D12681" t="s">
        <v>45529</v>
      </c>
      <c r="E12681" t="s">
        <v>45530</v>
      </c>
      <c r="F12681" t="s">
        <v>35566</v>
      </c>
      <c r="G12681" t="s">
        <v>110</v>
      </c>
      <c r="H12681">
        <v>92343</v>
      </c>
      <c r="I12681" t="s">
        <v>30</v>
      </c>
      <c r="J12681" t="s">
        <v>41</v>
      </c>
      <c r="K12681" t="s">
        <v>229</v>
      </c>
      <c r="Q12681">
        <v>0</v>
      </c>
      <c r="R12681">
        <v>104</v>
      </c>
      <c r="S12681">
        <v>104</v>
      </c>
      <c r="T12681" t="s">
        <v>45531</v>
      </c>
    </row>
    <row r="12682" spans="1:20" customFormat="1" ht="15" x14ac:dyDescent="0.25">
      <c r="A12682" t="s">
        <v>35</v>
      </c>
      <c r="B12682" t="s">
        <v>61</v>
      </c>
      <c r="C12682" t="str">
        <f>"A0131003"</f>
        <v>A0131003</v>
      </c>
      <c r="D12682" t="s">
        <v>45532</v>
      </c>
      <c r="E12682" t="s">
        <v>45533</v>
      </c>
      <c r="F12682" t="s">
        <v>45534</v>
      </c>
      <c r="G12682" t="s">
        <v>137</v>
      </c>
      <c r="H12682">
        <v>636630000</v>
      </c>
      <c r="I12682" t="s">
        <v>30</v>
      </c>
      <c r="J12682" t="s">
        <v>41</v>
      </c>
      <c r="K12682" t="s">
        <v>59</v>
      </c>
      <c r="Q12682">
        <v>0</v>
      </c>
      <c r="R12682">
        <v>33</v>
      </c>
      <c r="S12682">
        <v>33</v>
      </c>
      <c r="T12682" t="s">
        <v>45535</v>
      </c>
    </row>
    <row r="12683" spans="1:20" customFormat="1" ht="15" x14ac:dyDescent="0.25">
      <c r="A12683" t="s">
        <v>35</v>
      </c>
      <c r="B12683" t="s">
        <v>61</v>
      </c>
      <c r="C12683" t="str">
        <f>"A0118338"</f>
        <v>A0118338</v>
      </c>
      <c r="D12683" t="s">
        <v>45536</v>
      </c>
      <c r="E12683" t="s">
        <v>45537</v>
      </c>
      <c r="F12683" t="s">
        <v>8043</v>
      </c>
      <c r="G12683" t="s">
        <v>110</v>
      </c>
      <c r="H12683">
        <v>95209</v>
      </c>
      <c r="I12683" t="s">
        <v>30</v>
      </c>
      <c r="J12683" t="s">
        <v>41</v>
      </c>
      <c r="K12683" t="s">
        <v>229</v>
      </c>
      <c r="Q12683">
        <v>0</v>
      </c>
      <c r="R12683">
        <v>99</v>
      </c>
      <c r="S12683">
        <v>99</v>
      </c>
      <c r="T12683" t="s">
        <v>45538</v>
      </c>
    </row>
    <row r="12684" spans="1:20" customFormat="1" ht="15" x14ac:dyDescent="0.25">
      <c r="A12684" t="s">
        <v>35</v>
      </c>
      <c r="B12684" t="s">
        <v>61</v>
      </c>
      <c r="C12684" t="str">
        <f>"A0119268"</f>
        <v>A0119268</v>
      </c>
      <c r="D12684" t="s">
        <v>45539</v>
      </c>
      <c r="E12684" t="s">
        <v>45540</v>
      </c>
      <c r="F12684" t="s">
        <v>7758</v>
      </c>
      <c r="G12684" t="s">
        <v>110</v>
      </c>
      <c r="H12684">
        <v>95422</v>
      </c>
      <c r="I12684" t="s">
        <v>30</v>
      </c>
      <c r="J12684" t="s">
        <v>41</v>
      </c>
      <c r="K12684" t="s">
        <v>229</v>
      </c>
      <c r="Q12684">
        <v>0</v>
      </c>
      <c r="R12684">
        <v>75</v>
      </c>
      <c r="S12684">
        <v>75</v>
      </c>
      <c r="T12684" t="s">
        <v>45541</v>
      </c>
    </row>
    <row r="12685" spans="1:20" customFormat="1" ht="15" x14ac:dyDescent="0.25">
      <c r="A12685" t="s">
        <v>35</v>
      </c>
      <c r="B12685" t="s">
        <v>61</v>
      </c>
      <c r="C12685" t="str">
        <f>"A0129190"</f>
        <v>A0129190</v>
      </c>
      <c r="D12685" t="s">
        <v>45542</v>
      </c>
      <c r="E12685" t="s">
        <v>45543</v>
      </c>
      <c r="F12685" t="s">
        <v>45544</v>
      </c>
      <c r="G12685" t="s">
        <v>289</v>
      </c>
      <c r="H12685">
        <v>62844</v>
      </c>
      <c r="I12685" t="s">
        <v>30</v>
      </c>
      <c r="J12685" t="s">
        <v>41</v>
      </c>
      <c r="K12685" t="s">
        <v>229</v>
      </c>
      <c r="Q12685">
        <v>0</v>
      </c>
      <c r="R12685">
        <v>100</v>
      </c>
      <c r="S12685">
        <v>100</v>
      </c>
      <c r="T12685" t="s">
        <v>45545</v>
      </c>
    </row>
    <row r="12686" spans="1:20" customFormat="1" ht="15" x14ac:dyDescent="0.25">
      <c r="A12686" t="s">
        <v>35</v>
      </c>
      <c r="B12686" t="s">
        <v>61</v>
      </c>
      <c r="C12686" t="str">
        <f>"A0124683"</f>
        <v>A0124683</v>
      </c>
      <c r="D12686" t="s">
        <v>45546</v>
      </c>
      <c r="E12686" t="s">
        <v>45547</v>
      </c>
      <c r="F12686" t="s">
        <v>39809</v>
      </c>
      <c r="G12686" t="s">
        <v>1706</v>
      </c>
      <c r="H12686">
        <v>359050000</v>
      </c>
      <c r="I12686" t="s">
        <v>30</v>
      </c>
      <c r="J12686" t="s">
        <v>41</v>
      </c>
      <c r="K12686" t="s">
        <v>59</v>
      </c>
      <c r="Q12686">
        <v>0</v>
      </c>
      <c r="R12686">
        <v>124</v>
      </c>
      <c r="S12686">
        <v>124</v>
      </c>
      <c r="T12686" t="s">
        <v>39810</v>
      </c>
    </row>
    <row r="12687" spans="1:20" customFormat="1" ht="15" x14ac:dyDescent="0.25">
      <c r="A12687" t="s">
        <v>35</v>
      </c>
      <c r="B12687" t="s">
        <v>61</v>
      </c>
      <c r="C12687" t="str">
        <f>"A0150862"</f>
        <v>A0150862</v>
      </c>
      <c r="D12687" t="s">
        <v>45548</v>
      </c>
      <c r="E12687" t="s">
        <v>45549</v>
      </c>
      <c r="F12687" t="s">
        <v>45550</v>
      </c>
      <c r="G12687" t="s">
        <v>117</v>
      </c>
      <c r="H12687">
        <v>48043</v>
      </c>
      <c r="I12687" t="s">
        <v>30</v>
      </c>
      <c r="J12687" t="s">
        <v>41</v>
      </c>
      <c r="K12687" t="s">
        <v>482</v>
      </c>
      <c r="Q12687">
        <v>0</v>
      </c>
      <c r="R12687">
        <v>40</v>
      </c>
      <c r="S12687">
        <v>40</v>
      </c>
      <c r="T12687" t="s">
        <v>45551</v>
      </c>
    </row>
    <row r="12688" spans="1:20" customFormat="1" ht="15" x14ac:dyDescent="0.25">
      <c r="A12688" t="s">
        <v>35</v>
      </c>
      <c r="B12688" t="s">
        <v>61</v>
      </c>
      <c r="C12688" t="str">
        <f>"A0129525"</f>
        <v>A0129525</v>
      </c>
      <c r="D12688" t="s">
        <v>45552</v>
      </c>
      <c r="E12688" t="s">
        <v>45553</v>
      </c>
      <c r="F12688" t="s">
        <v>45554</v>
      </c>
      <c r="G12688" t="s">
        <v>289</v>
      </c>
      <c r="H12688">
        <v>61726</v>
      </c>
      <c r="I12688" t="s">
        <v>30</v>
      </c>
      <c r="J12688" t="s">
        <v>41</v>
      </c>
      <c r="K12688" t="s">
        <v>229</v>
      </c>
      <c r="Q12688">
        <v>0</v>
      </c>
      <c r="R12688">
        <v>159</v>
      </c>
      <c r="S12688">
        <v>159</v>
      </c>
      <c r="T12688" t="s">
        <v>45555</v>
      </c>
    </row>
    <row r="12689" spans="1:20" customFormat="1" ht="15" x14ac:dyDescent="0.25">
      <c r="A12689" t="s">
        <v>35</v>
      </c>
      <c r="B12689" t="s">
        <v>61</v>
      </c>
      <c r="C12689" t="str">
        <f>"A0123429"</f>
        <v>A0123429</v>
      </c>
      <c r="D12689" t="s">
        <v>45556</v>
      </c>
      <c r="E12689" t="s">
        <v>45557</v>
      </c>
      <c r="F12689" t="s">
        <v>38034</v>
      </c>
      <c r="G12689" t="s">
        <v>214</v>
      </c>
      <c r="H12689">
        <v>28504</v>
      </c>
      <c r="I12689" t="s">
        <v>30</v>
      </c>
      <c r="J12689" t="s">
        <v>41</v>
      </c>
      <c r="K12689" t="s">
        <v>482</v>
      </c>
      <c r="Q12689">
        <v>0</v>
      </c>
      <c r="R12689">
        <v>60</v>
      </c>
      <c r="S12689">
        <v>60</v>
      </c>
      <c r="T12689" t="s">
        <v>45558</v>
      </c>
    </row>
    <row r="12690" spans="1:20" customFormat="1" ht="15" x14ac:dyDescent="0.25">
      <c r="A12690" t="s">
        <v>35</v>
      </c>
      <c r="B12690" t="s">
        <v>61</v>
      </c>
      <c r="C12690" t="str">
        <f>"A0123430"</f>
        <v>A0123430</v>
      </c>
      <c r="D12690" t="s">
        <v>45559</v>
      </c>
      <c r="E12690" t="s">
        <v>45560</v>
      </c>
      <c r="F12690" t="s">
        <v>45561</v>
      </c>
      <c r="G12690" t="s">
        <v>214</v>
      </c>
      <c r="H12690">
        <v>28425</v>
      </c>
      <c r="I12690" t="s">
        <v>30</v>
      </c>
      <c r="J12690" t="s">
        <v>41</v>
      </c>
      <c r="K12690" t="s">
        <v>482</v>
      </c>
      <c r="Q12690">
        <v>0</v>
      </c>
      <c r="R12690">
        <v>60</v>
      </c>
      <c r="S12690">
        <v>60</v>
      </c>
      <c r="T12690" t="s">
        <v>45562</v>
      </c>
    </row>
    <row r="12691" spans="1:20" customFormat="1" ht="15" x14ac:dyDescent="0.25">
      <c r="A12691" t="s">
        <v>35</v>
      </c>
      <c r="B12691" t="s">
        <v>61</v>
      </c>
      <c r="C12691" t="str">
        <f>"A0123431"</f>
        <v>A0123431</v>
      </c>
      <c r="D12691" t="s">
        <v>45563</v>
      </c>
      <c r="E12691" t="s">
        <v>45564</v>
      </c>
      <c r="F12691" t="s">
        <v>38052</v>
      </c>
      <c r="G12691" t="s">
        <v>214</v>
      </c>
      <c r="H12691">
        <v>27534</v>
      </c>
      <c r="I12691" t="s">
        <v>30</v>
      </c>
      <c r="J12691" t="s">
        <v>41</v>
      </c>
      <c r="K12691" t="s">
        <v>482</v>
      </c>
      <c r="Q12691">
        <v>0</v>
      </c>
      <c r="R12691">
        <v>60</v>
      </c>
      <c r="S12691">
        <v>60</v>
      </c>
      <c r="T12691" t="s">
        <v>45565</v>
      </c>
    </row>
    <row r="12692" spans="1:20" customFormat="1" ht="15" x14ac:dyDescent="0.25">
      <c r="A12692" t="s">
        <v>35</v>
      </c>
      <c r="B12692" t="s">
        <v>61</v>
      </c>
      <c r="C12692" t="str">
        <f>"A0123432"</f>
        <v>A0123432</v>
      </c>
      <c r="D12692" t="s">
        <v>45566</v>
      </c>
      <c r="E12692" t="s">
        <v>45567</v>
      </c>
      <c r="F12692" t="s">
        <v>45568</v>
      </c>
      <c r="G12692" t="s">
        <v>214</v>
      </c>
      <c r="H12692">
        <v>29445</v>
      </c>
      <c r="I12692" t="s">
        <v>30</v>
      </c>
      <c r="J12692" t="s">
        <v>41</v>
      </c>
      <c r="K12692" t="s">
        <v>482</v>
      </c>
      <c r="Q12692">
        <v>0</v>
      </c>
      <c r="R12692">
        <v>40</v>
      </c>
      <c r="S12692">
        <v>40</v>
      </c>
      <c r="T12692" t="s">
        <v>45569</v>
      </c>
    </row>
    <row r="12693" spans="1:20" customFormat="1" ht="15" x14ac:dyDescent="0.25">
      <c r="A12693" t="s">
        <v>35</v>
      </c>
      <c r="B12693" t="s">
        <v>61</v>
      </c>
      <c r="C12693" t="str">
        <f>"A0123433"</f>
        <v>A0123433</v>
      </c>
      <c r="D12693" t="s">
        <v>45570</v>
      </c>
      <c r="E12693" t="s">
        <v>45571</v>
      </c>
      <c r="F12693" t="s">
        <v>45572</v>
      </c>
      <c r="G12693" t="s">
        <v>214</v>
      </c>
      <c r="H12693">
        <v>27549</v>
      </c>
      <c r="I12693" t="s">
        <v>30</v>
      </c>
      <c r="J12693" t="s">
        <v>41</v>
      </c>
      <c r="K12693" t="s">
        <v>482</v>
      </c>
      <c r="Q12693">
        <v>0</v>
      </c>
      <c r="R12693">
        <v>80</v>
      </c>
      <c r="S12693">
        <v>80</v>
      </c>
      <c r="T12693" t="s">
        <v>45573</v>
      </c>
    </row>
    <row r="12694" spans="1:20" customFormat="1" ht="15" x14ac:dyDescent="0.25">
      <c r="A12694" t="s">
        <v>35</v>
      </c>
      <c r="B12694" t="s">
        <v>61</v>
      </c>
      <c r="C12694" t="str">
        <f>"A0123434"</f>
        <v>A0123434</v>
      </c>
      <c r="D12694" t="s">
        <v>45574</v>
      </c>
      <c r="E12694" t="s">
        <v>45575</v>
      </c>
      <c r="F12694" t="s">
        <v>15531</v>
      </c>
      <c r="G12694" t="s">
        <v>214</v>
      </c>
      <c r="H12694">
        <v>27703</v>
      </c>
      <c r="I12694" t="s">
        <v>30</v>
      </c>
      <c r="J12694" t="s">
        <v>41</v>
      </c>
      <c r="K12694" t="s">
        <v>482</v>
      </c>
      <c r="Q12694">
        <v>0</v>
      </c>
      <c r="R12694">
        <v>142</v>
      </c>
      <c r="S12694">
        <v>142</v>
      </c>
      <c r="T12694" t="s">
        <v>45576</v>
      </c>
    </row>
    <row r="12695" spans="1:20" customFormat="1" ht="15" x14ac:dyDescent="0.25">
      <c r="A12695" t="s">
        <v>35</v>
      </c>
      <c r="B12695" t="s">
        <v>61</v>
      </c>
      <c r="C12695" t="str">
        <f>"A0123435"</f>
        <v>A0123435</v>
      </c>
      <c r="D12695" t="s">
        <v>45577</v>
      </c>
      <c r="E12695" t="s">
        <v>45578</v>
      </c>
      <c r="F12695" t="s">
        <v>44692</v>
      </c>
      <c r="G12695" t="s">
        <v>214</v>
      </c>
      <c r="H12695">
        <v>28572</v>
      </c>
      <c r="I12695" t="s">
        <v>30</v>
      </c>
      <c r="J12695" t="s">
        <v>41</v>
      </c>
      <c r="K12695" t="s">
        <v>482</v>
      </c>
      <c r="Q12695">
        <v>0</v>
      </c>
      <c r="R12695">
        <v>94</v>
      </c>
      <c r="S12695">
        <v>94</v>
      </c>
      <c r="T12695" t="s">
        <v>44693</v>
      </c>
    </row>
    <row r="12696" spans="1:20" customFormat="1" ht="15" x14ac:dyDescent="0.25">
      <c r="A12696" t="s">
        <v>35</v>
      </c>
      <c r="B12696" t="s">
        <v>61</v>
      </c>
      <c r="C12696" t="str">
        <f>"A0123437"</f>
        <v>A0123437</v>
      </c>
      <c r="D12696" t="s">
        <v>45579</v>
      </c>
      <c r="E12696" t="s">
        <v>45580</v>
      </c>
      <c r="F12696" t="s">
        <v>32806</v>
      </c>
      <c r="G12696" t="s">
        <v>29</v>
      </c>
      <c r="H12696">
        <v>23320</v>
      </c>
      <c r="I12696" t="s">
        <v>30</v>
      </c>
      <c r="J12696" t="s">
        <v>41</v>
      </c>
      <c r="K12696" t="s">
        <v>59</v>
      </c>
      <c r="Q12696">
        <v>0</v>
      </c>
      <c r="R12696">
        <v>69</v>
      </c>
      <c r="S12696">
        <v>69</v>
      </c>
      <c r="T12696" t="s">
        <v>45581</v>
      </c>
    </row>
    <row r="12697" spans="1:20" customFormat="1" ht="15" x14ac:dyDescent="0.25">
      <c r="A12697" t="s">
        <v>35</v>
      </c>
      <c r="B12697" t="s">
        <v>61</v>
      </c>
      <c r="C12697" t="str">
        <f>"A0129090"</f>
        <v>A0129090</v>
      </c>
      <c r="D12697" t="s">
        <v>45582</v>
      </c>
      <c r="E12697" t="s">
        <v>45583</v>
      </c>
      <c r="F12697" t="s">
        <v>7288</v>
      </c>
      <c r="G12697" t="s">
        <v>289</v>
      </c>
      <c r="H12697">
        <v>60008</v>
      </c>
      <c r="I12697" t="s">
        <v>30</v>
      </c>
      <c r="J12697" t="s">
        <v>41</v>
      </c>
      <c r="K12697" t="s">
        <v>229</v>
      </c>
      <c r="Q12697">
        <v>0</v>
      </c>
      <c r="R12697">
        <v>98</v>
      </c>
      <c r="S12697">
        <v>98</v>
      </c>
      <c r="T12697" t="s">
        <v>45584</v>
      </c>
    </row>
    <row r="12698" spans="1:20" customFormat="1" ht="15" x14ac:dyDescent="0.25">
      <c r="A12698" t="s">
        <v>35</v>
      </c>
      <c r="B12698" t="s">
        <v>61</v>
      </c>
      <c r="C12698" t="str">
        <f>"A0123438"</f>
        <v>A0123438</v>
      </c>
      <c r="D12698" t="s">
        <v>45585</v>
      </c>
      <c r="E12698" t="s">
        <v>45586</v>
      </c>
      <c r="F12698" t="s">
        <v>38034</v>
      </c>
      <c r="G12698" t="s">
        <v>214</v>
      </c>
      <c r="H12698">
        <v>28501</v>
      </c>
      <c r="I12698" t="s">
        <v>30</v>
      </c>
      <c r="J12698" t="s">
        <v>41</v>
      </c>
      <c r="K12698" t="s">
        <v>482</v>
      </c>
      <c r="Q12698">
        <v>0</v>
      </c>
      <c r="R12698">
        <v>29</v>
      </c>
      <c r="S12698">
        <v>29</v>
      </c>
      <c r="T12698" t="s">
        <v>45587</v>
      </c>
    </row>
    <row r="12699" spans="1:20" customFormat="1" ht="15" x14ac:dyDescent="0.25">
      <c r="A12699" t="s">
        <v>35</v>
      </c>
      <c r="B12699" t="s">
        <v>61</v>
      </c>
      <c r="C12699" t="str">
        <f>"A0153302"</f>
        <v>A0153302</v>
      </c>
      <c r="D12699" t="s">
        <v>45588</v>
      </c>
      <c r="E12699" t="s">
        <v>29461</v>
      </c>
      <c r="F12699" t="s">
        <v>1689</v>
      </c>
      <c r="G12699" t="s">
        <v>840</v>
      </c>
      <c r="H12699">
        <v>40511</v>
      </c>
      <c r="I12699" t="s">
        <v>30</v>
      </c>
      <c r="J12699" t="s">
        <v>41</v>
      </c>
      <c r="K12699" t="s">
        <v>59</v>
      </c>
      <c r="Q12699">
        <v>0</v>
      </c>
      <c r="R12699">
        <v>40</v>
      </c>
      <c r="S12699">
        <v>40</v>
      </c>
      <c r="T12699" t="s">
        <v>45589</v>
      </c>
    </row>
    <row r="12700" spans="1:20" customFormat="1" ht="15" x14ac:dyDescent="0.25">
      <c r="A12700" t="s">
        <v>35</v>
      </c>
      <c r="B12700" t="s">
        <v>106</v>
      </c>
      <c r="C12700" t="str">
        <f>"A0136130"</f>
        <v>A0136130</v>
      </c>
      <c r="D12700" t="s">
        <v>45590</v>
      </c>
      <c r="E12700" t="s">
        <v>45591</v>
      </c>
      <c r="F12700" t="s">
        <v>37617</v>
      </c>
      <c r="G12700" t="s">
        <v>1706</v>
      </c>
      <c r="H12700">
        <v>36701</v>
      </c>
      <c r="I12700" t="s">
        <v>30</v>
      </c>
      <c r="J12700" t="s">
        <v>111</v>
      </c>
      <c r="K12700" t="s">
        <v>112</v>
      </c>
      <c r="Q12700">
        <v>0</v>
      </c>
      <c r="R12700">
        <v>0</v>
      </c>
      <c r="S12700">
        <v>0</v>
      </c>
      <c r="T12700" t="s">
        <v>45592</v>
      </c>
    </row>
    <row r="12701" spans="1:20" customFormat="1" ht="15" x14ac:dyDescent="0.25">
      <c r="A12701" t="s">
        <v>35</v>
      </c>
      <c r="B12701" t="s">
        <v>61</v>
      </c>
      <c r="C12701" t="str">
        <f>"A0131630"</f>
        <v>A0131630</v>
      </c>
      <c r="D12701" t="s">
        <v>45593</v>
      </c>
      <c r="E12701" t="s">
        <v>45594</v>
      </c>
      <c r="F12701" t="s">
        <v>45595</v>
      </c>
      <c r="G12701" t="s">
        <v>65</v>
      </c>
      <c r="H12701">
        <v>44273</v>
      </c>
      <c r="I12701" t="s">
        <v>30</v>
      </c>
      <c r="J12701" t="s">
        <v>41</v>
      </c>
      <c r="K12701" t="s">
        <v>229</v>
      </c>
      <c r="Q12701">
        <v>0</v>
      </c>
      <c r="R12701">
        <v>100</v>
      </c>
      <c r="S12701">
        <v>100</v>
      </c>
      <c r="T12701" t="s">
        <v>45596</v>
      </c>
    </row>
    <row r="12702" spans="1:20" customFormat="1" ht="15" x14ac:dyDescent="0.25">
      <c r="A12702" t="s">
        <v>35</v>
      </c>
      <c r="B12702" t="s">
        <v>61</v>
      </c>
      <c r="C12702" t="str">
        <f>"A0126659"</f>
        <v>A0126659</v>
      </c>
      <c r="D12702" t="s">
        <v>45597</v>
      </c>
      <c r="E12702" t="s">
        <v>45598</v>
      </c>
      <c r="F12702" t="s">
        <v>45599</v>
      </c>
      <c r="G12702" t="s">
        <v>103</v>
      </c>
      <c r="H12702">
        <v>17051</v>
      </c>
      <c r="I12702" t="s">
        <v>30</v>
      </c>
      <c r="J12702" t="s">
        <v>41</v>
      </c>
      <c r="K12702" t="s">
        <v>59</v>
      </c>
      <c r="Q12702">
        <v>0</v>
      </c>
      <c r="R12702">
        <v>52</v>
      </c>
      <c r="S12702">
        <v>52</v>
      </c>
      <c r="T12702" t="s">
        <v>45600</v>
      </c>
    </row>
    <row r="12703" spans="1:20" customFormat="1" ht="15" x14ac:dyDescent="0.25">
      <c r="A12703" t="s">
        <v>35</v>
      </c>
      <c r="B12703" t="s">
        <v>61</v>
      </c>
      <c r="C12703" t="str">
        <f>"A0124667"</f>
        <v>A0124667</v>
      </c>
      <c r="D12703" t="s">
        <v>45601</v>
      </c>
      <c r="E12703" t="s">
        <v>45602</v>
      </c>
      <c r="F12703" t="s">
        <v>5299</v>
      </c>
      <c r="G12703" t="s">
        <v>1369</v>
      </c>
      <c r="H12703">
        <v>39653</v>
      </c>
      <c r="I12703" t="s">
        <v>30</v>
      </c>
      <c r="J12703" t="s">
        <v>41</v>
      </c>
      <c r="K12703" t="s">
        <v>229</v>
      </c>
      <c r="Q12703">
        <v>0</v>
      </c>
      <c r="R12703">
        <v>60</v>
      </c>
      <c r="S12703">
        <v>60</v>
      </c>
      <c r="T12703" t="s">
        <v>45603</v>
      </c>
    </row>
    <row r="12704" spans="1:20" customFormat="1" ht="15" x14ac:dyDescent="0.25">
      <c r="A12704" t="s">
        <v>35</v>
      </c>
      <c r="B12704" t="s">
        <v>61</v>
      </c>
      <c r="C12704" t="str">
        <f>"A0133183"</f>
        <v>A0133183</v>
      </c>
      <c r="D12704" t="s">
        <v>45604</v>
      </c>
      <c r="E12704" t="s">
        <v>45605</v>
      </c>
      <c r="F12704" t="s">
        <v>4133</v>
      </c>
      <c r="G12704" t="s">
        <v>52</v>
      </c>
      <c r="H12704">
        <v>787620000</v>
      </c>
      <c r="I12704" t="s">
        <v>30</v>
      </c>
      <c r="J12704" t="s">
        <v>41</v>
      </c>
      <c r="K12704" t="s">
        <v>229</v>
      </c>
      <c r="Q12704">
        <v>0</v>
      </c>
      <c r="R12704">
        <v>100</v>
      </c>
      <c r="S12704">
        <v>100</v>
      </c>
      <c r="T12704" t="s">
        <v>45606</v>
      </c>
    </row>
    <row r="12705" spans="1:20" customFormat="1" ht="15" x14ac:dyDescent="0.25">
      <c r="A12705" t="s">
        <v>35</v>
      </c>
      <c r="B12705" t="s">
        <v>61</v>
      </c>
      <c r="C12705" t="str">
        <f>"A0125736"</f>
        <v>A0125736</v>
      </c>
      <c r="D12705" t="s">
        <v>45607</v>
      </c>
      <c r="E12705" t="s">
        <v>45608</v>
      </c>
      <c r="F12705" t="s">
        <v>19203</v>
      </c>
      <c r="G12705" t="s">
        <v>29</v>
      </c>
      <c r="H12705">
        <v>223140000</v>
      </c>
      <c r="I12705" t="s">
        <v>30</v>
      </c>
      <c r="J12705" t="s">
        <v>41</v>
      </c>
      <c r="K12705" t="s">
        <v>2760</v>
      </c>
      <c r="Q12705">
        <v>0</v>
      </c>
      <c r="R12705">
        <v>1</v>
      </c>
      <c r="S12705">
        <v>1</v>
      </c>
      <c r="T12705" t="s">
        <v>45609</v>
      </c>
    </row>
    <row r="12706" spans="1:20" customFormat="1" ht="15" x14ac:dyDescent="0.25">
      <c r="A12706" t="s">
        <v>35</v>
      </c>
      <c r="B12706" t="s">
        <v>61</v>
      </c>
      <c r="C12706" t="str">
        <f>"A0126632"</f>
        <v>A0126632</v>
      </c>
      <c r="D12706" t="s">
        <v>45610</v>
      </c>
      <c r="E12706" t="s">
        <v>45611</v>
      </c>
      <c r="F12706" t="s">
        <v>9211</v>
      </c>
      <c r="G12706" t="s">
        <v>103</v>
      </c>
      <c r="H12706">
        <v>18020</v>
      </c>
      <c r="I12706" t="s">
        <v>30</v>
      </c>
      <c r="J12706" t="s">
        <v>41</v>
      </c>
      <c r="K12706" t="s">
        <v>2760</v>
      </c>
      <c r="Q12706">
        <v>0</v>
      </c>
      <c r="R12706">
        <v>1</v>
      </c>
      <c r="S12706">
        <v>1</v>
      </c>
      <c r="T12706" t="s">
        <v>45612</v>
      </c>
    </row>
    <row r="12707" spans="1:20" customFormat="1" ht="15" x14ac:dyDescent="0.25">
      <c r="A12707" t="s">
        <v>35</v>
      </c>
      <c r="B12707" t="s">
        <v>61</v>
      </c>
      <c r="C12707" t="str">
        <f>"A0124210"</f>
        <v>A0124210</v>
      </c>
      <c r="D12707" t="s">
        <v>45613</v>
      </c>
      <c r="E12707" t="s">
        <v>45614</v>
      </c>
      <c r="F12707" t="s">
        <v>4082</v>
      </c>
      <c r="G12707" t="s">
        <v>123</v>
      </c>
      <c r="H12707">
        <v>21224</v>
      </c>
      <c r="I12707" t="s">
        <v>30</v>
      </c>
      <c r="J12707" t="s">
        <v>41</v>
      </c>
      <c r="K12707" t="s">
        <v>59</v>
      </c>
      <c r="Q12707">
        <v>0</v>
      </c>
      <c r="R12707">
        <v>220</v>
      </c>
      <c r="S12707">
        <v>220</v>
      </c>
      <c r="T12707" t="s">
        <v>45615</v>
      </c>
    </row>
    <row r="12708" spans="1:20" customFormat="1" ht="15" x14ac:dyDescent="0.25">
      <c r="A12708" t="s">
        <v>35</v>
      </c>
      <c r="B12708" t="s">
        <v>61</v>
      </c>
      <c r="C12708" t="str">
        <f>"A0117873"</f>
        <v>A0117873</v>
      </c>
      <c r="D12708" t="s">
        <v>45616</v>
      </c>
      <c r="E12708" t="s">
        <v>45617</v>
      </c>
      <c r="F12708" t="s">
        <v>45618</v>
      </c>
      <c r="G12708" t="s">
        <v>110</v>
      </c>
      <c r="H12708">
        <v>94585</v>
      </c>
      <c r="I12708" t="s">
        <v>30</v>
      </c>
      <c r="J12708" t="s">
        <v>41</v>
      </c>
      <c r="K12708" t="s">
        <v>2760</v>
      </c>
      <c r="Q12708">
        <v>0</v>
      </c>
      <c r="R12708">
        <v>1</v>
      </c>
      <c r="S12708">
        <v>1</v>
      </c>
      <c r="T12708" t="s">
        <v>45619</v>
      </c>
    </row>
    <row r="12709" spans="1:20" customFormat="1" ht="15" x14ac:dyDescent="0.25">
      <c r="A12709" t="s">
        <v>35</v>
      </c>
      <c r="B12709" t="s">
        <v>61</v>
      </c>
      <c r="C12709" t="str">
        <f>"A0123440"</f>
        <v>A0123440</v>
      </c>
      <c r="D12709" t="s">
        <v>45620</v>
      </c>
      <c r="E12709" t="s">
        <v>45621</v>
      </c>
      <c r="F12709" t="s">
        <v>1926</v>
      </c>
      <c r="G12709" t="s">
        <v>214</v>
      </c>
      <c r="H12709">
        <v>28273</v>
      </c>
      <c r="I12709" t="s">
        <v>30</v>
      </c>
      <c r="J12709" t="s">
        <v>41</v>
      </c>
      <c r="K12709" t="s">
        <v>229</v>
      </c>
      <c r="Q12709">
        <v>0</v>
      </c>
      <c r="R12709">
        <v>100</v>
      </c>
      <c r="S12709">
        <v>100</v>
      </c>
      <c r="T12709" t="s">
        <v>45622</v>
      </c>
    </row>
    <row r="12710" spans="1:20" customFormat="1" ht="15" x14ac:dyDescent="0.25">
      <c r="A12710" t="s">
        <v>35</v>
      </c>
      <c r="B12710" t="s">
        <v>61</v>
      </c>
      <c r="C12710" t="str">
        <f>"A0126362"</f>
        <v>A0126362</v>
      </c>
      <c r="D12710" t="s">
        <v>45623</v>
      </c>
      <c r="E12710" t="s">
        <v>45624</v>
      </c>
      <c r="F12710" t="s">
        <v>45625</v>
      </c>
      <c r="G12710" t="s">
        <v>81</v>
      </c>
      <c r="H12710">
        <v>33122</v>
      </c>
      <c r="I12710" t="s">
        <v>30</v>
      </c>
      <c r="J12710" t="s">
        <v>41</v>
      </c>
      <c r="K12710" t="s">
        <v>36689</v>
      </c>
      <c r="Q12710">
        <v>0</v>
      </c>
      <c r="R12710">
        <v>0</v>
      </c>
      <c r="S12710">
        <v>0</v>
      </c>
      <c r="T12710" t="s">
        <v>45626</v>
      </c>
    </row>
    <row r="12711" spans="1:20" customFormat="1" ht="15" x14ac:dyDescent="0.25">
      <c r="A12711" t="s">
        <v>35</v>
      </c>
      <c r="B12711" t="s">
        <v>61</v>
      </c>
      <c r="C12711" t="str">
        <f>"A0124474"</f>
        <v>A0124474</v>
      </c>
      <c r="D12711" t="s">
        <v>45627</v>
      </c>
      <c r="E12711" t="s">
        <v>45628</v>
      </c>
      <c r="F12711" t="s">
        <v>4227</v>
      </c>
      <c r="G12711" t="s">
        <v>1706</v>
      </c>
      <c r="H12711">
        <v>356110000</v>
      </c>
      <c r="I12711" t="s">
        <v>30</v>
      </c>
      <c r="J12711" t="s">
        <v>41</v>
      </c>
      <c r="K12711" t="s">
        <v>290</v>
      </c>
      <c r="Q12711">
        <v>0</v>
      </c>
      <c r="R12711">
        <v>1</v>
      </c>
      <c r="S12711">
        <v>1</v>
      </c>
      <c r="T12711" t="s">
        <v>45629</v>
      </c>
    </row>
    <row r="12712" spans="1:20" customFormat="1" ht="15" x14ac:dyDescent="0.25">
      <c r="A12712" t="s">
        <v>35</v>
      </c>
      <c r="B12712" t="s">
        <v>61</v>
      </c>
      <c r="C12712" t="str">
        <f>"A0133292"</f>
        <v>A0133292</v>
      </c>
      <c r="D12712" t="s">
        <v>45630</v>
      </c>
      <c r="E12712" t="s">
        <v>45631</v>
      </c>
      <c r="F12712" t="s">
        <v>19029</v>
      </c>
      <c r="G12712" t="s">
        <v>52</v>
      </c>
      <c r="H12712">
        <v>756050000</v>
      </c>
      <c r="I12712" t="s">
        <v>30</v>
      </c>
      <c r="J12712" t="s">
        <v>41</v>
      </c>
      <c r="K12712" t="s">
        <v>2463</v>
      </c>
      <c r="Q12712">
        <v>0</v>
      </c>
      <c r="R12712">
        <v>1</v>
      </c>
      <c r="S12712">
        <v>1</v>
      </c>
      <c r="T12712" t="s">
        <v>45632</v>
      </c>
    </row>
    <row r="12713" spans="1:20" customFormat="1" ht="15" x14ac:dyDescent="0.25">
      <c r="A12713" t="s">
        <v>35</v>
      </c>
      <c r="B12713" t="s">
        <v>61</v>
      </c>
      <c r="C12713" t="str">
        <f>"A0124484"</f>
        <v>A0124484</v>
      </c>
      <c r="D12713" t="s">
        <v>45633</v>
      </c>
      <c r="E12713" t="s">
        <v>45634</v>
      </c>
      <c r="F12713" t="s">
        <v>37712</v>
      </c>
      <c r="G12713" t="s">
        <v>1706</v>
      </c>
      <c r="H12713">
        <v>35010</v>
      </c>
      <c r="I12713" t="s">
        <v>30</v>
      </c>
      <c r="J12713" t="s">
        <v>41</v>
      </c>
      <c r="K12713" t="s">
        <v>1440</v>
      </c>
      <c r="Q12713">
        <v>0</v>
      </c>
      <c r="R12713">
        <v>0</v>
      </c>
      <c r="S12713">
        <v>0</v>
      </c>
      <c r="T12713" t="s">
        <v>45635</v>
      </c>
    </row>
    <row r="12714" spans="1:20" customFormat="1" ht="15" x14ac:dyDescent="0.25">
      <c r="A12714" t="s">
        <v>35</v>
      </c>
      <c r="B12714" t="s">
        <v>61</v>
      </c>
      <c r="C12714" t="str">
        <f>"A0124211"</f>
        <v>A0124211</v>
      </c>
      <c r="D12714" t="s">
        <v>45636</v>
      </c>
      <c r="E12714" t="s">
        <v>45637</v>
      </c>
      <c r="F12714" t="s">
        <v>3744</v>
      </c>
      <c r="G12714" t="s">
        <v>99</v>
      </c>
      <c r="H12714">
        <v>11763</v>
      </c>
      <c r="I12714" t="s">
        <v>30</v>
      </c>
      <c r="J12714" t="s">
        <v>41</v>
      </c>
      <c r="K12714" t="s">
        <v>229</v>
      </c>
      <c r="Q12714">
        <v>0</v>
      </c>
      <c r="R12714">
        <v>320</v>
      </c>
      <c r="S12714">
        <v>320</v>
      </c>
      <c r="T12714" t="s">
        <v>45638</v>
      </c>
    </row>
    <row r="12715" spans="1:20" customFormat="1" ht="15" x14ac:dyDescent="0.25">
      <c r="A12715" t="s">
        <v>35</v>
      </c>
      <c r="B12715" t="s">
        <v>61</v>
      </c>
      <c r="C12715" t="str">
        <f>"A0123441"</f>
        <v>A0123441</v>
      </c>
      <c r="D12715" t="s">
        <v>45639</v>
      </c>
      <c r="E12715" t="s">
        <v>45640</v>
      </c>
      <c r="F12715" t="s">
        <v>6768</v>
      </c>
      <c r="G12715" t="s">
        <v>29</v>
      </c>
      <c r="H12715" t="s">
        <v>45641</v>
      </c>
      <c r="I12715" t="s">
        <v>30</v>
      </c>
      <c r="J12715" t="s">
        <v>41</v>
      </c>
      <c r="K12715" t="s">
        <v>229</v>
      </c>
      <c r="Q12715">
        <v>0</v>
      </c>
      <c r="R12715">
        <v>118</v>
      </c>
      <c r="S12715">
        <v>118</v>
      </c>
      <c r="T12715" t="s">
        <v>45642</v>
      </c>
    </row>
    <row r="12716" spans="1:20" customFormat="1" ht="15" x14ac:dyDescent="0.25">
      <c r="A12716" t="s">
        <v>35</v>
      </c>
      <c r="B12716" t="s">
        <v>61</v>
      </c>
      <c r="C12716" t="str">
        <f>"A0126606"</f>
        <v>A0126606</v>
      </c>
      <c r="D12716" t="s">
        <v>45643</v>
      </c>
      <c r="E12716" t="s">
        <v>45644</v>
      </c>
      <c r="F12716" t="s">
        <v>45645</v>
      </c>
      <c r="G12716" t="s">
        <v>338</v>
      </c>
      <c r="H12716">
        <v>8077</v>
      </c>
      <c r="I12716" t="s">
        <v>30</v>
      </c>
      <c r="J12716" t="s">
        <v>41</v>
      </c>
      <c r="K12716" t="s">
        <v>2463</v>
      </c>
      <c r="Q12716">
        <v>0</v>
      </c>
      <c r="R12716">
        <v>1</v>
      </c>
      <c r="S12716">
        <v>1</v>
      </c>
      <c r="T12716" t="s">
        <v>45646</v>
      </c>
    </row>
    <row r="12717" spans="1:20" customFormat="1" ht="15" x14ac:dyDescent="0.25">
      <c r="A12717" t="s">
        <v>35</v>
      </c>
      <c r="B12717" t="s">
        <v>61</v>
      </c>
      <c r="C12717" t="str">
        <f>"A0123442"</f>
        <v>A0123442</v>
      </c>
      <c r="D12717" t="s">
        <v>45647</v>
      </c>
      <c r="E12717" t="s">
        <v>45648</v>
      </c>
      <c r="F12717" t="s">
        <v>4108</v>
      </c>
      <c r="G12717" t="s">
        <v>29</v>
      </c>
      <c r="H12717">
        <v>24018</v>
      </c>
      <c r="I12717" t="s">
        <v>30</v>
      </c>
      <c r="J12717" t="s">
        <v>41</v>
      </c>
      <c r="K12717" t="s">
        <v>59</v>
      </c>
      <c r="Q12717">
        <v>0</v>
      </c>
      <c r="R12717">
        <v>15</v>
      </c>
      <c r="S12717">
        <v>15</v>
      </c>
      <c r="T12717" t="s">
        <v>45649</v>
      </c>
    </row>
    <row r="12718" spans="1:20" customFormat="1" ht="15" x14ac:dyDescent="0.25">
      <c r="A12718" t="s">
        <v>35</v>
      </c>
      <c r="B12718" t="s">
        <v>106</v>
      </c>
      <c r="C12718" t="str">
        <f>"A0136580"</f>
        <v>A0136580</v>
      </c>
      <c r="D12718" t="s">
        <v>45650</v>
      </c>
      <c r="E12718" t="s">
        <v>45651</v>
      </c>
      <c r="F12718" t="s">
        <v>45652</v>
      </c>
      <c r="G12718" t="s">
        <v>1184</v>
      </c>
      <c r="H12718">
        <v>59247</v>
      </c>
      <c r="I12718" t="s">
        <v>30</v>
      </c>
      <c r="J12718" t="s">
        <v>111</v>
      </c>
      <c r="K12718" t="s">
        <v>112</v>
      </c>
      <c r="Q12718">
        <v>0</v>
      </c>
      <c r="R12718">
        <v>0</v>
      </c>
      <c r="S12718">
        <v>0</v>
      </c>
      <c r="T12718" t="s">
        <v>45653</v>
      </c>
    </row>
    <row r="12719" spans="1:20" customFormat="1" ht="15" x14ac:dyDescent="0.25">
      <c r="A12719" t="s">
        <v>35</v>
      </c>
      <c r="B12719" t="s">
        <v>61</v>
      </c>
      <c r="C12719" t="str">
        <f>"A0128094"</f>
        <v>A0128094</v>
      </c>
      <c r="D12719" t="s">
        <v>45654</v>
      </c>
      <c r="E12719" t="s">
        <v>45655</v>
      </c>
      <c r="F12719" t="s">
        <v>28465</v>
      </c>
      <c r="G12719" t="s">
        <v>117</v>
      </c>
      <c r="H12719">
        <v>49721</v>
      </c>
      <c r="I12719" t="s">
        <v>30</v>
      </c>
      <c r="J12719" t="s">
        <v>41</v>
      </c>
      <c r="K12719" t="s">
        <v>229</v>
      </c>
      <c r="Q12719">
        <v>0</v>
      </c>
      <c r="R12719">
        <v>105</v>
      </c>
      <c r="S12719">
        <v>105</v>
      </c>
      <c r="T12719" t="s">
        <v>45656</v>
      </c>
    </row>
    <row r="12720" spans="1:20" customFormat="1" ht="15" x14ac:dyDescent="0.25">
      <c r="A12720" t="s">
        <v>35</v>
      </c>
      <c r="B12720" t="s">
        <v>61</v>
      </c>
      <c r="C12720" t="str">
        <f>"A0153039"</f>
        <v>A0153039</v>
      </c>
      <c r="D12720" t="s">
        <v>45657</v>
      </c>
      <c r="E12720" t="s">
        <v>45658</v>
      </c>
      <c r="F12720" t="s">
        <v>14105</v>
      </c>
      <c r="G12720" t="s">
        <v>65</v>
      </c>
      <c r="H12720">
        <v>44256</v>
      </c>
      <c r="I12720" t="s">
        <v>30</v>
      </c>
      <c r="J12720" t="s">
        <v>41</v>
      </c>
      <c r="K12720" t="s">
        <v>112</v>
      </c>
      <c r="Q12720">
        <v>0</v>
      </c>
      <c r="R12720">
        <v>0</v>
      </c>
      <c r="S12720">
        <v>0</v>
      </c>
      <c r="T12720" t="s">
        <v>45659</v>
      </c>
    </row>
    <row r="12721" spans="1:20" customFormat="1" ht="15" x14ac:dyDescent="0.25">
      <c r="A12721" t="s">
        <v>35</v>
      </c>
      <c r="B12721" t="s">
        <v>61</v>
      </c>
      <c r="C12721" t="str">
        <f>"A0129147"</f>
        <v>A0129147</v>
      </c>
      <c r="D12721" t="s">
        <v>45660</v>
      </c>
      <c r="E12721" t="s">
        <v>45661</v>
      </c>
      <c r="F12721" t="s">
        <v>45662</v>
      </c>
      <c r="G12721" t="s">
        <v>289</v>
      </c>
      <c r="H12721">
        <v>61024</v>
      </c>
      <c r="I12721" t="s">
        <v>30</v>
      </c>
      <c r="J12721" t="s">
        <v>41</v>
      </c>
      <c r="K12721" t="s">
        <v>229</v>
      </c>
      <c r="Q12721">
        <v>0</v>
      </c>
      <c r="R12721">
        <v>89</v>
      </c>
      <c r="S12721">
        <v>89</v>
      </c>
      <c r="T12721" t="s">
        <v>45663</v>
      </c>
    </row>
    <row r="12722" spans="1:20" customFormat="1" ht="15" x14ac:dyDescent="0.25">
      <c r="A12722" t="s">
        <v>35</v>
      </c>
      <c r="B12722" t="s">
        <v>61</v>
      </c>
      <c r="C12722" t="str">
        <f>"A0133250"</f>
        <v>A0133250</v>
      </c>
      <c r="D12722" t="s">
        <v>45664</v>
      </c>
      <c r="E12722" t="s">
        <v>45665</v>
      </c>
      <c r="F12722" t="s">
        <v>45666</v>
      </c>
      <c r="G12722" t="s">
        <v>52</v>
      </c>
      <c r="H12722">
        <v>780090000</v>
      </c>
      <c r="I12722" t="s">
        <v>30</v>
      </c>
      <c r="J12722" t="s">
        <v>41</v>
      </c>
      <c r="K12722" t="s">
        <v>229</v>
      </c>
      <c r="Q12722">
        <v>0</v>
      </c>
      <c r="R12722">
        <v>116</v>
      </c>
      <c r="S12722">
        <v>116</v>
      </c>
      <c r="T12722" t="s">
        <v>45667</v>
      </c>
    </row>
    <row r="12723" spans="1:20" customFormat="1" ht="15" x14ac:dyDescent="0.25">
      <c r="A12723" t="s">
        <v>35</v>
      </c>
      <c r="B12723" t="s">
        <v>61</v>
      </c>
      <c r="C12723" t="str">
        <f>"A0150583"</f>
        <v>A0150583</v>
      </c>
      <c r="D12723" t="s">
        <v>45668</v>
      </c>
      <c r="E12723" t="s">
        <v>45669</v>
      </c>
      <c r="F12723" t="s">
        <v>45670</v>
      </c>
      <c r="G12723" t="s">
        <v>99</v>
      </c>
      <c r="H12723">
        <v>11516</v>
      </c>
      <c r="I12723" t="s">
        <v>30</v>
      </c>
      <c r="J12723" t="s">
        <v>41</v>
      </c>
      <c r="K12723" t="s">
        <v>2463</v>
      </c>
      <c r="Q12723">
        <v>0</v>
      </c>
      <c r="R12723">
        <v>0</v>
      </c>
      <c r="S12723">
        <v>0</v>
      </c>
      <c r="T12723" t="s">
        <v>45671</v>
      </c>
    </row>
    <row r="12724" spans="1:20" customFormat="1" ht="15" x14ac:dyDescent="0.25">
      <c r="A12724" t="s">
        <v>35</v>
      </c>
      <c r="B12724" t="s">
        <v>61</v>
      </c>
      <c r="C12724" t="str">
        <f>"A0132345"</f>
        <v>A0132345</v>
      </c>
      <c r="D12724" t="s">
        <v>45672</v>
      </c>
      <c r="E12724" t="s">
        <v>45673</v>
      </c>
      <c r="F12724" t="s">
        <v>5463</v>
      </c>
      <c r="G12724" t="s">
        <v>65</v>
      </c>
      <c r="H12724">
        <v>43040</v>
      </c>
      <c r="I12724" t="s">
        <v>30</v>
      </c>
      <c r="J12724" t="s">
        <v>41</v>
      </c>
      <c r="K12724" t="s">
        <v>229</v>
      </c>
      <c r="Q12724">
        <v>0</v>
      </c>
      <c r="R12724">
        <v>112</v>
      </c>
      <c r="S12724">
        <v>112</v>
      </c>
      <c r="T12724" t="s">
        <v>45674</v>
      </c>
    </row>
    <row r="12725" spans="1:20" customFormat="1" ht="15" x14ac:dyDescent="0.25">
      <c r="A12725" t="s">
        <v>35</v>
      </c>
      <c r="B12725" t="s">
        <v>61</v>
      </c>
      <c r="C12725" t="str">
        <f>"A0125218"</f>
        <v>A0125218</v>
      </c>
      <c r="D12725" t="s">
        <v>45675</v>
      </c>
      <c r="E12725" t="s">
        <v>45676</v>
      </c>
      <c r="F12725" t="s">
        <v>30510</v>
      </c>
      <c r="G12725" t="s">
        <v>40</v>
      </c>
      <c r="H12725">
        <v>73942</v>
      </c>
      <c r="I12725" t="s">
        <v>30</v>
      </c>
      <c r="J12725" t="s">
        <v>41</v>
      </c>
      <c r="K12725" t="s">
        <v>3713</v>
      </c>
      <c r="Q12725">
        <v>0</v>
      </c>
      <c r="R12725">
        <v>23</v>
      </c>
      <c r="S12725">
        <v>23</v>
      </c>
      <c r="T12725" t="s">
        <v>45677</v>
      </c>
    </row>
    <row r="12726" spans="1:20" customFormat="1" ht="15" x14ac:dyDescent="0.25">
      <c r="A12726" t="s">
        <v>35</v>
      </c>
      <c r="B12726" t="s">
        <v>61</v>
      </c>
      <c r="C12726" t="str">
        <f>"A0126853"</f>
        <v>A0126853</v>
      </c>
      <c r="D12726" t="s">
        <v>45678</v>
      </c>
      <c r="E12726" t="s">
        <v>45679</v>
      </c>
      <c r="F12726" t="s">
        <v>19189</v>
      </c>
      <c r="G12726" t="s">
        <v>103</v>
      </c>
      <c r="H12726">
        <v>15905</v>
      </c>
      <c r="I12726" t="s">
        <v>30</v>
      </c>
      <c r="J12726" t="s">
        <v>41</v>
      </c>
      <c r="K12726" t="s">
        <v>3713</v>
      </c>
      <c r="Q12726">
        <v>0</v>
      </c>
      <c r="R12726">
        <v>0</v>
      </c>
      <c r="S12726">
        <v>0</v>
      </c>
      <c r="T12726" t="s">
        <v>45680</v>
      </c>
    </row>
    <row r="12727" spans="1:20" customFormat="1" ht="15" x14ac:dyDescent="0.25">
      <c r="A12727" t="s">
        <v>35</v>
      </c>
      <c r="B12727" t="s">
        <v>61</v>
      </c>
      <c r="C12727" t="str">
        <f>"A0123861"</f>
        <v>A0123861</v>
      </c>
      <c r="D12727" t="s">
        <v>45681</v>
      </c>
      <c r="E12727" t="s">
        <v>45682</v>
      </c>
      <c r="F12727" t="s">
        <v>9365</v>
      </c>
      <c r="G12727" t="s">
        <v>29</v>
      </c>
      <c r="H12727">
        <v>23116</v>
      </c>
      <c r="I12727" t="s">
        <v>30</v>
      </c>
      <c r="J12727" t="s">
        <v>41</v>
      </c>
      <c r="K12727" t="s">
        <v>59</v>
      </c>
      <c r="Q12727">
        <v>0</v>
      </c>
      <c r="R12727">
        <v>1</v>
      </c>
      <c r="S12727">
        <v>1</v>
      </c>
      <c r="T12727" t="s">
        <v>45683</v>
      </c>
    </row>
    <row r="12728" spans="1:20" customFormat="1" ht="15" x14ac:dyDescent="0.25">
      <c r="A12728" t="s">
        <v>35</v>
      </c>
      <c r="B12728" t="s">
        <v>61</v>
      </c>
      <c r="C12728" t="str">
        <f>"A0132297"</f>
        <v>A0132297</v>
      </c>
      <c r="D12728" t="s">
        <v>45684</v>
      </c>
      <c r="E12728" t="s">
        <v>45685</v>
      </c>
      <c r="F12728" t="s">
        <v>13227</v>
      </c>
      <c r="G12728" t="s">
        <v>65</v>
      </c>
      <c r="H12728">
        <v>43964</v>
      </c>
      <c r="I12728" t="s">
        <v>30</v>
      </c>
      <c r="J12728" t="s">
        <v>41</v>
      </c>
      <c r="K12728" t="s">
        <v>59</v>
      </c>
      <c r="Q12728">
        <v>0</v>
      </c>
      <c r="R12728">
        <v>17</v>
      </c>
      <c r="S12728">
        <v>17</v>
      </c>
      <c r="T12728" t="s">
        <v>45686</v>
      </c>
    </row>
    <row r="12729" spans="1:20" customFormat="1" ht="15" x14ac:dyDescent="0.25">
      <c r="A12729" t="s">
        <v>35</v>
      </c>
      <c r="B12729" t="s">
        <v>61</v>
      </c>
      <c r="C12729" t="str">
        <f>"A0123862"</f>
        <v>A0123862</v>
      </c>
      <c r="D12729" t="s">
        <v>45687</v>
      </c>
      <c r="E12729" t="s">
        <v>45688</v>
      </c>
      <c r="F12729" t="s">
        <v>17879</v>
      </c>
      <c r="G12729" t="s">
        <v>29</v>
      </c>
      <c r="H12729">
        <v>23454</v>
      </c>
      <c r="I12729" t="s">
        <v>30</v>
      </c>
      <c r="J12729" t="s">
        <v>41</v>
      </c>
      <c r="K12729" t="s">
        <v>229</v>
      </c>
      <c r="Q12729">
        <v>0</v>
      </c>
      <c r="R12729">
        <v>48</v>
      </c>
      <c r="S12729">
        <v>48</v>
      </c>
      <c r="T12729" t="s">
        <v>45689</v>
      </c>
    </row>
    <row r="12730" spans="1:20" customFormat="1" ht="15" x14ac:dyDescent="0.25">
      <c r="A12730" t="s">
        <v>35</v>
      </c>
      <c r="B12730" t="s">
        <v>61</v>
      </c>
      <c r="C12730" t="str">
        <f>"A0133315"</f>
        <v>A0133315</v>
      </c>
      <c r="D12730" t="s">
        <v>45690</v>
      </c>
      <c r="E12730" t="s">
        <v>45691</v>
      </c>
      <c r="F12730" t="s">
        <v>1501</v>
      </c>
      <c r="G12730" t="s">
        <v>52</v>
      </c>
      <c r="H12730">
        <v>792450000</v>
      </c>
      <c r="I12730" t="s">
        <v>30</v>
      </c>
      <c r="J12730" t="s">
        <v>41</v>
      </c>
      <c r="K12730" t="s">
        <v>229</v>
      </c>
      <c r="Q12730">
        <v>0</v>
      </c>
      <c r="R12730">
        <v>60</v>
      </c>
      <c r="S12730">
        <v>60</v>
      </c>
      <c r="T12730" t="s">
        <v>45692</v>
      </c>
    </row>
    <row r="12731" spans="1:20" customFormat="1" ht="15" x14ac:dyDescent="0.25">
      <c r="A12731" t="s">
        <v>35</v>
      </c>
      <c r="B12731" t="s">
        <v>61</v>
      </c>
      <c r="C12731" t="str">
        <f>"A0130064"</f>
        <v>A0130064</v>
      </c>
      <c r="D12731" t="s">
        <v>45693</v>
      </c>
      <c r="E12731" t="s">
        <v>45694</v>
      </c>
      <c r="F12731" t="s">
        <v>42411</v>
      </c>
      <c r="G12731" t="s">
        <v>880</v>
      </c>
      <c r="H12731">
        <v>38018</v>
      </c>
      <c r="I12731" t="s">
        <v>30</v>
      </c>
      <c r="J12731" t="s">
        <v>41</v>
      </c>
      <c r="K12731" t="s">
        <v>229</v>
      </c>
      <c r="Q12731">
        <v>0</v>
      </c>
      <c r="R12731">
        <v>160</v>
      </c>
      <c r="S12731">
        <v>160</v>
      </c>
      <c r="T12731" t="s">
        <v>45695</v>
      </c>
    </row>
    <row r="12732" spans="1:20" customFormat="1" ht="15" x14ac:dyDescent="0.25">
      <c r="A12732" t="s">
        <v>35</v>
      </c>
      <c r="B12732" t="s">
        <v>61</v>
      </c>
      <c r="C12732" t="str">
        <f>"A0124239"</f>
        <v>A0124239</v>
      </c>
      <c r="D12732" t="s">
        <v>45696</v>
      </c>
      <c r="E12732" t="s">
        <v>45697</v>
      </c>
      <c r="F12732" t="s">
        <v>3009</v>
      </c>
      <c r="G12732" t="s">
        <v>103</v>
      </c>
      <c r="H12732">
        <v>17601</v>
      </c>
      <c r="I12732" t="s">
        <v>30</v>
      </c>
      <c r="J12732" t="s">
        <v>41</v>
      </c>
      <c r="K12732" t="s">
        <v>482</v>
      </c>
      <c r="Q12732">
        <v>0</v>
      </c>
      <c r="R12732">
        <v>100</v>
      </c>
      <c r="S12732">
        <v>100</v>
      </c>
      <c r="T12732" t="s">
        <v>45698</v>
      </c>
    </row>
    <row r="12733" spans="1:20" customFormat="1" ht="15" x14ac:dyDescent="0.25">
      <c r="A12733" t="s">
        <v>35</v>
      </c>
      <c r="B12733" t="s">
        <v>61</v>
      </c>
      <c r="C12733" t="str">
        <f>"A0132203"</f>
        <v>A0132203</v>
      </c>
      <c r="D12733" t="s">
        <v>45699</v>
      </c>
      <c r="E12733" t="s">
        <v>45700</v>
      </c>
      <c r="F12733" t="s">
        <v>33762</v>
      </c>
      <c r="G12733" t="s">
        <v>65</v>
      </c>
      <c r="H12733">
        <v>458170000</v>
      </c>
      <c r="I12733" t="s">
        <v>30</v>
      </c>
      <c r="J12733" t="s">
        <v>41</v>
      </c>
      <c r="K12733" t="s">
        <v>229</v>
      </c>
      <c r="Q12733">
        <v>0</v>
      </c>
      <c r="R12733">
        <v>140</v>
      </c>
      <c r="S12733">
        <v>140</v>
      </c>
      <c r="T12733" t="s">
        <v>45701</v>
      </c>
    </row>
    <row r="12734" spans="1:20" customFormat="1" ht="15" x14ac:dyDescent="0.25">
      <c r="A12734" t="s">
        <v>35</v>
      </c>
      <c r="B12734" t="s">
        <v>61</v>
      </c>
      <c r="C12734" t="str">
        <f>"A0123456"</f>
        <v>A0123456</v>
      </c>
      <c r="D12734" t="s">
        <v>45702</v>
      </c>
      <c r="E12734" t="s">
        <v>36564</v>
      </c>
      <c r="F12734" t="s">
        <v>36565</v>
      </c>
      <c r="G12734" t="s">
        <v>507</v>
      </c>
      <c r="H12734">
        <v>24701</v>
      </c>
      <c r="I12734" t="s">
        <v>30</v>
      </c>
      <c r="J12734" t="s">
        <v>41</v>
      </c>
      <c r="K12734" t="s">
        <v>229</v>
      </c>
      <c r="Q12734">
        <v>0</v>
      </c>
      <c r="R12734">
        <v>90</v>
      </c>
      <c r="S12734">
        <v>90</v>
      </c>
      <c r="T12734" t="s">
        <v>36566</v>
      </c>
    </row>
    <row r="12735" spans="1:20" customFormat="1" ht="15" x14ac:dyDescent="0.25">
      <c r="A12735" t="s">
        <v>35</v>
      </c>
      <c r="B12735" t="s">
        <v>106</v>
      </c>
      <c r="C12735" t="str">
        <f>"A0136238"</f>
        <v>A0136238</v>
      </c>
      <c r="D12735" t="s">
        <v>45703</v>
      </c>
      <c r="E12735" t="s">
        <v>45704</v>
      </c>
      <c r="F12735" t="s">
        <v>839</v>
      </c>
      <c r="G12735" t="s">
        <v>840</v>
      </c>
      <c r="H12735">
        <v>40228</v>
      </c>
      <c r="I12735" t="s">
        <v>30</v>
      </c>
      <c r="J12735" t="s">
        <v>111</v>
      </c>
      <c r="K12735" t="s">
        <v>112</v>
      </c>
      <c r="Q12735">
        <v>0</v>
      </c>
      <c r="R12735">
        <v>0</v>
      </c>
      <c r="S12735">
        <v>0</v>
      </c>
      <c r="T12735" t="s">
        <v>45705</v>
      </c>
    </row>
    <row r="12736" spans="1:20" customFormat="1" ht="15" x14ac:dyDescent="0.25">
      <c r="A12736" t="s">
        <v>35</v>
      </c>
      <c r="B12736" t="s">
        <v>61</v>
      </c>
      <c r="C12736" t="str">
        <f>"A0121401"</f>
        <v>A0121401</v>
      </c>
      <c r="D12736" t="s">
        <v>45706</v>
      </c>
      <c r="E12736" t="s">
        <v>45707</v>
      </c>
      <c r="F12736" t="s">
        <v>4777</v>
      </c>
      <c r="G12736" t="s">
        <v>110</v>
      </c>
      <c r="H12736">
        <v>93309</v>
      </c>
      <c r="I12736" t="s">
        <v>30</v>
      </c>
      <c r="J12736" t="s">
        <v>41</v>
      </c>
      <c r="K12736" t="s">
        <v>391</v>
      </c>
      <c r="Q12736">
        <v>0</v>
      </c>
      <c r="R12736">
        <v>0</v>
      </c>
      <c r="S12736">
        <v>0</v>
      </c>
      <c r="T12736" t="s">
        <v>45708</v>
      </c>
    </row>
    <row r="12737" spans="1:20" customFormat="1" ht="15" x14ac:dyDescent="0.25">
      <c r="A12737" t="s">
        <v>35</v>
      </c>
      <c r="B12737" t="s">
        <v>61</v>
      </c>
      <c r="C12737" t="str">
        <f>"A0129524"</f>
        <v>A0129524</v>
      </c>
      <c r="D12737" t="s">
        <v>45709</v>
      </c>
      <c r="E12737" t="s">
        <v>45710</v>
      </c>
      <c r="F12737" t="s">
        <v>45495</v>
      </c>
      <c r="G12737" t="s">
        <v>289</v>
      </c>
      <c r="H12737">
        <v>61761</v>
      </c>
      <c r="I12737" t="s">
        <v>30</v>
      </c>
      <c r="J12737" t="s">
        <v>41</v>
      </c>
      <c r="K12737" t="s">
        <v>229</v>
      </c>
      <c r="Q12737">
        <v>0</v>
      </c>
      <c r="R12737">
        <v>60</v>
      </c>
      <c r="S12737">
        <v>60</v>
      </c>
      <c r="T12737" t="s">
        <v>45711</v>
      </c>
    </row>
    <row r="12738" spans="1:20" customFormat="1" ht="15" x14ac:dyDescent="0.25">
      <c r="A12738" t="s">
        <v>35</v>
      </c>
      <c r="B12738" t="s">
        <v>61</v>
      </c>
      <c r="C12738" t="str">
        <f>"A0124240"</f>
        <v>A0124240</v>
      </c>
      <c r="D12738" t="s">
        <v>45712</v>
      </c>
      <c r="E12738" t="s">
        <v>45713</v>
      </c>
      <c r="F12738" t="s">
        <v>4629</v>
      </c>
      <c r="G12738" t="s">
        <v>103</v>
      </c>
      <c r="H12738">
        <v>19140</v>
      </c>
      <c r="I12738" t="s">
        <v>30</v>
      </c>
      <c r="J12738" t="s">
        <v>41</v>
      </c>
      <c r="K12738" t="s">
        <v>482</v>
      </c>
      <c r="Q12738">
        <v>0</v>
      </c>
      <c r="R12738">
        <v>75</v>
      </c>
      <c r="S12738">
        <v>75</v>
      </c>
      <c r="T12738" t="s">
        <v>45714</v>
      </c>
    </row>
    <row r="12739" spans="1:20" customFormat="1" ht="15" x14ac:dyDescent="0.25">
      <c r="A12739" t="s">
        <v>35</v>
      </c>
      <c r="B12739" t="s">
        <v>61</v>
      </c>
      <c r="C12739" t="str">
        <f>"A0124241"</f>
        <v>A0124241</v>
      </c>
      <c r="D12739" t="s">
        <v>45715</v>
      </c>
      <c r="E12739" t="s">
        <v>45716</v>
      </c>
      <c r="F12739" t="s">
        <v>4629</v>
      </c>
      <c r="G12739" t="s">
        <v>103</v>
      </c>
      <c r="H12739">
        <v>19140</v>
      </c>
      <c r="I12739" t="s">
        <v>30</v>
      </c>
      <c r="J12739" t="s">
        <v>41</v>
      </c>
      <c r="K12739" t="s">
        <v>482</v>
      </c>
      <c r="Q12739">
        <v>0</v>
      </c>
      <c r="R12739">
        <v>75</v>
      </c>
      <c r="S12739">
        <v>75</v>
      </c>
      <c r="T12739" t="s">
        <v>45714</v>
      </c>
    </row>
    <row r="12740" spans="1:20" customFormat="1" ht="15" x14ac:dyDescent="0.25">
      <c r="A12740" t="s">
        <v>35</v>
      </c>
      <c r="B12740" t="s">
        <v>61</v>
      </c>
      <c r="C12740" t="str">
        <f>"A0124242"</f>
        <v>A0124242</v>
      </c>
      <c r="D12740" t="s">
        <v>45717</v>
      </c>
      <c r="E12740" t="s">
        <v>45718</v>
      </c>
      <c r="F12740" t="s">
        <v>4629</v>
      </c>
      <c r="G12740" t="s">
        <v>103</v>
      </c>
      <c r="H12740">
        <v>19145</v>
      </c>
      <c r="I12740" t="s">
        <v>30</v>
      </c>
      <c r="J12740" t="s">
        <v>41</v>
      </c>
      <c r="K12740" t="s">
        <v>482</v>
      </c>
      <c r="Q12740">
        <v>0</v>
      </c>
      <c r="R12740">
        <v>50</v>
      </c>
      <c r="S12740">
        <v>50</v>
      </c>
      <c r="T12740" t="s">
        <v>45714</v>
      </c>
    </row>
    <row r="12741" spans="1:20" customFormat="1" ht="15" x14ac:dyDescent="0.25">
      <c r="A12741" t="s">
        <v>35</v>
      </c>
      <c r="B12741" t="s">
        <v>61</v>
      </c>
      <c r="C12741" t="str">
        <f>"A0121862"</f>
        <v>A0121862</v>
      </c>
      <c r="D12741" t="s">
        <v>45719</v>
      </c>
      <c r="E12741" t="s">
        <v>45720</v>
      </c>
      <c r="F12741" t="s">
        <v>5742</v>
      </c>
      <c r="G12741" t="s">
        <v>110</v>
      </c>
      <c r="H12741">
        <v>95816</v>
      </c>
      <c r="I12741" t="s">
        <v>30</v>
      </c>
      <c r="J12741" t="s">
        <v>41</v>
      </c>
      <c r="K12741" t="s">
        <v>59</v>
      </c>
      <c r="Q12741">
        <v>0</v>
      </c>
      <c r="R12741">
        <v>114</v>
      </c>
      <c r="S12741">
        <v>114</v>
      </c>
      <c r="T12741" t="s">
        <v>45721</v>
      </c>
    </row>
    <row r="12742" spans="1:20" customFormat="1" ht="15" x14ac:dyDescent="0.25">
      <c r="A12742" t="s">
        <v>35</v>
      </c>
      <c r="B12742" t="s">
        <v>61</v>
      </c>
      <c r="C12742" t="str">
        <f>"A0128129"</f>
        <v>A0128129</v>
      </c>
      <c r="D12742" t="s">
        <v>45722</v>
      </c>
      <c r="E12742" t="s">
        <v>45723</v>
      </c>
      <c r="F12742" t="s">
        <v>26754</v>
      </c>
      <c r="G12742" t="s">
        <v>117</v>
      </c>
      <c r="H12742">
        <v>48161</v>
      </c>
      <c r="I12742" t="s">
        <v>30</v>
      </c>
      <c r="J12742" t="s">
        <v>41</v>
      </c>
      <c r="K12742" t="s">
        <v>229</v>
      </c>
      <c r="Q12742">
        <v>0</v>
      </c>
      <c r="R12742">
        <v>70</v>
      </c>
      <c r="S12742">
        <v>70</v>
      </c>
      <c r="T12742" t="s">
        <v>45724</v>
      </c>
    </row>
    <row r="12743" spans="1:20" customFormat="1" ht="15" x14ac:dyDescent="0.25">
      <c r="A12743" t="s">
        <v>35</v>
      </c>
      <c r="B12743" t="s">
        <v>61</v>
      </c>
      <c r="C12743" t="str">
        <f>"A0129394"</f>
        <v>A0129394</v>
      </c>
      <c r="D12743" t="s">
        <v>45725</v>
      </c>
      <c r="E12743" t="s">
        <v>45726</v>
      </c>
      <c r="F12743" t="s">
        <v>4662</v>
      </c>
      <c r="G12743" t="s">
        <v>289</v>
      </c>
      <c r="H12743">
        <v>62226</v>
      </c>
      <c r="I12743" t="s">
        <v>30</v>
      </c>
      <c r="J12743" t="s">
        <v>41</v>
      </c>
      <c r="K12743" t="s">
        <v>229</v>
      </c>
      <c r="Q12743">
        <v>0</v>
      </c>
      <c r="R12743">
        <v>120</v>
      </c>
      <c r="S12743">
        <v>120</v>
      </c>
      <c r="T12743" t="s">
        <v>45727</v>
      </c>
    </row>
    <row r="12744" spans="1:20" customFormat="1" ht="15" x14ac:dyDescent="0.25">
      <c r="A12744" t="s">
        <v>35</v>
      </c>
      <c r="B12744" t="s">
        <v>61</v>
      </c>
      <c r="C12744" t="str">
        <f>"A0127630"</f>
        <v>A0127630</v>
      </c>
      <c r="D12744" t="s">
        <v>45728</v>
      </c>
      <c r="E12744" t="s">
        <v>45729</v>
      </c>
      <c r="F12744" t="s">
        <v>18329</v>
      </c>
      <c r="G12744" t="s">
        <v>123</v>
      </c>
      <c r="H12744">
        <v>21093</v>
      </c>
      <c r="I12744" t="s">
        <v>30</v>
      </c>
      <c r="J12744" t="s">
        <v>41</v>
      </c>
      <c r="K12744" t="s">
        <v>229</v>
      </c>
      <c r="Q12744">
        <v>0</v>
      </c>
      <c r="R12744">
        <v>238</v>
      </c>
      <c r="S12744">
        <v>238</v>
      </c>
      <c r="T12744" t="s">
        <v>45730</v>
      </c>
    </row>
    <row r="12745" spans="1:20" customFormat="1" ht="15" x14ac:dyDescent="0.25">
      <c r="A12745" t="s">
        <v>35</v>
      </c>
      <c r="B12745" t="s">
        <v>61</v>
      </c>
      <c r="C12745" t="str">
        <f>"A0151051"</f>
        <v>A0151051</v>
      </c>
      <c r="D12745" t="s">
        <v>45731</v>
      </c>
      <c r="E12745" t="s">
        <v>45732</v>
      </c>
      <c r="F12745" t="s">
        <v>22719</v>
      </c>
      <c r="G12745" t="s">
        <v>117</v>
      </c>
      <c r="H12745">
        <v>48657</v>
      </c>
      <c r="I12745" t="s">
        <v>30</v>
      </c>
      <c r="J12745" t="s">
        <v>41</v>
      </c>
      <c r="K12745" t="s">
        <v>59</v>
      </c>
      <c r="Q12745">
        <v>0</v>
      </c>
      <c r="R12745">
        <v>40</v>
      </c>
      <c r="S12745">
        <v>40</v>
      </c>
      <c r="T12745" t="s">
        <v>45733</v>
      </c>
    </row>
    <row r="12746" spans="1:20" customFormat="1" ht="15" x14ac:dyDescent="0.25">
      <c r="A12746" t="s">
        <v>35</v>
      </c>
      <c r="B12746" t="s">
        <v>61</v>
      </c>
      <c r="C12746" t="str">
        <f>"A0123457"</f>
        <v>A0123457</v>
      </c>
      <c r="D12746" t="s">
        <v>45734</v>
      </c>
      <c r="E12746" t="s">
        <v>45735</v>
      </c>
      <c r="F12746" t="s">
        <v>45736</v>
      </c>
      <c r="G12746" t="s">
        <v>81</v>
      </c>
      <c r="H12746">
        <v>33301</v>
      </c>
      <c r="I12746" t="s">
        <v>30</v>
      </c>
      <c r="J12746" t="s">
        <v>41</v>
      </c>
      <c r="K12746" t="s">
        <v>2468</v>
      </c>
      <c r="Q12746">
        <v>0</v>
      </c>
      <c r="R12746">
        <v>0</v>
      </c>
      <c r="S12746">
        <v>0</v>
      </c>
      <c r="T12746" t="s">
        <v>45737</v>
      </c>
    </row>
    <row r="12747" spans="1:20" customFormat="1" ht="15" x14ac:dyDescent="0.25">
      <c r="A12747" t="s">
        <v>35</v>
      </c>
      <c r="B12747" t="s">
        <v>61</v>
      </c>
      <c r="C12747" t="str">
        <f>"A0123458"</f>
        <v>A0123458</v>
      </c>
      <c r="D12747" t="s">
        <v>45738</v>
      </c>
      <c r="E12747" t="s">
        <v>45739</v>
      </c>
      <c r="F12747" t="s">
        <v>8249</v>
      </c>
      <c r="G12747" t="s">
        <v>880</v>
      </c>
      <c r="H12747">
        <v>37066</v>
      </c>
      <c r="I12747" t="s">
        <v>30</v>
      </c>
      <c r="J12747" t="s">
        <v>41</v>
      </c>
      <c r="K12747" t="s">
        <v>59</v>
      </c>
      <c r="Q12747">
        <v>0</v>
      </c>
      <c r="R12747">
        <v>60</v>
      </c>
      <c r="S12747">
        <v>60</v>
      </c>
      <c r="T12747" t="s">
        <v>45740</v>
      </c>
    </row>
    <row r="12748" spans="1:20" customFormat="1" ht="15" x14ac:dyDescent="0.25">
      <c r="A12748" t="s">
        <v>35</v>
      </c>
      <c r="B12748" t="s">
        <v>61</v>
      </c>
      <c r="C12748" t="str">
        <f>"A0123459"</f>
        <v>A0123459</v>
      </c>
      <c r="D12748" t="s">
        <v>45741</v>
      </c>
      <c r="E12748" t="s">
        <v>45742</v>
      </c>
      <c r="F12748" t="s">
        <v>41541</v>
      </c>
      <c r="G12748" t="s">
        <v>110</v>
      </c>
      <c r="H12748">
        <v>90266</v>
      </c>
      <c r="I12748" t="s">
        <v>30</v>
      </c>
      <c r="J12748" t="s">
        <v>41</v>
      </c>
      <c r="K12748" t="s">
        <v>41136</v>
      </c>
      <c r="Q12748">
        <v>0</v>
      </c>
      <c r="R12748">
        <v>0</v>
      </c>
      <c r="S12748">
        <v>0</v>
      </c>
      <c r="T12748" t="s">
        <v>45743</v>
      </c>
    </row>
    <row r="12749" spans="1:20" customFormat="1" ht="15" x14ac:dyDescent="0.25">
      <c r="A12749" t="s">
        <v>35</v>
      </c>
      <c r="B12749" t="s">
        <v>61</v>
      </c>
      <c r="C12749" t="str">
        <f>"A0133124"</f>
        <v>A0133124</v>
      </c>
      <c r="D12749" t="s">
        <v>45744</v>
      </c>
      <c r="E12749" t="s">
        <v>45745</v>
      </c>
      <c r="F12749" t="s">
        <v>45746</v>
      </c>
      <c r="G12749" t="s">
        <v>52</v>
      </c>
      <c r="H12749">
        <v>79902</v>
      </c>
      <c r="I12749" t="s">
        <v>30</v>
      </c>
      <c r="J12749" t="s">
        <v>41</v>
      </c>
      <c r="K12749" t="s">
        <v>2715</v>
      </c>
      <c r="Q12749">
        <v>0</v>
      </c>
      <c r="R12749">
        <v>1</v>
      </c>
      <c r="S12749">
        <v>1</v>
      </c>
      <c r="T12749" t="s">
        <v>45747</v>
      </c>
    </row>
    <row r="12750" spans="1:20" customFormat="1" ht="15" x14ac:dyDescent="0.25">
      <c r="A12750" t="s">
        <v>35</v>
      </c>
      <c r="B12750" t="s">
        <v>61</v>
      </c>
      <c r="C12750" t="str">
        <f>"A0133109"</f>
        <v>A0133109</v>
      </c>
      <c r="D12750" t="s">
        <v>45748</v>
      </c>
      <c r="E12750" t="s">
        <v>45749</v>
      </c>
      <c r="F12750" t="s">
        <v>1731</v>
      </c>
      <c r="G12750" t="s">
        <v>52</v>
      </c>
      <c r="H12750">
        <v>752190000</v>
      </c>
      <c r="I12750" t="s">
        <v>30</v>
      </c>
      <c r="J12750" t="s">
        <v>41</v>
      </c>
      <c r="K12750" t="s">
        <v>229</v>
      </c>
      <c r="Q12750">
        <v>0</v>
      </c>
      <c r="R12750">
        <v>80</v>
      </c>
      <c r="S12750">
        <v>80</v>
      </c>
      <c r="T12750" t="s">
        <v>45750</v>
      </c>
    </row>
    <row r="12751" spans="1:20" customFormat="1" ht="15" x14ac:dyDescent="0.25">
      <c r="A12751" t="s">
        <v>35</v>
      </c>
      <c r="B12751" t="s">
        <v>61</v>
      </c>
      <c r="C12751" t="str">
        <f>"A0123490"</f>
        <v>A0123490</v>
      </c>
      <c r="D12751" t="s">
        <v>45751</v>
      </c>
      <c r="E12751" t="s">
        <v>45752</v>
      </c>
      <c r="F12751" t="s">
        <v>17227</v>
      </c>
      <c r="G12751" t="s">
        <v>40</v>
      </c>
      <c r="H12751" t="s">
        <v>45753</v>
      </c>
      <c r="I12751" t="s">
        <v>30</v>
      </c>
      <c r="J12751" t="s">
        <v>41</v>
      </c>
      <c r="K12751" t="s">
        <v>112</v>
      </c>
      <c r="Q12751">
        <v>0</v>
      </c>
      <c r="R12751">
        <v>0</v>
      </c>
      <c r="S12751">
        <v>0</v>
      </c>
      <c r="T12751" t="s">
        <v>45754</v>
      </c>
    </row>
    <row r="12752" spans="1:20" customFormat="1" ht="15" x14ac:dyDescent="0.25">
      <c r="A12752" t="s">
        <v>35</v>
      </c>
      <c r="B12752" t="s">
        <v>61</v>
      </c>
      <c r="C12752" t="str">
        <f>"A0126615"</f>
        <v>A0126615</v>
      </c>
      <c r="D12752" t="s">
        <v>45755</v>
      </c>
      <c r="E12752" t="s">
        <v>45756</v>
      </c>
      <c r="F12752" t="s">
        <v>38732</v>
      </c>
      <c r="G12752" t="s">
        <v>338</v>
      </c>
      <c r="H12752">
        <v>8069</v>
      </c>
      <c r="I12752" t="s">
        <v>30</v>
      </c>
      <c r="J12752" t="s">
        <v>41</v>
      </c>
      <c r="K12752" t="s">
        <v>59</v>
      </c>
      <c r="Q12752">
        <v>0</v>
      </c>
      <c r="R12752">
        <v>98</v>
      </c>
      <c r="S12752">
        <v>98</v>
      </c>
      <c r="T12752" t="s">
        <v>45757</v>
      </c>
    </row>
    <row r="12753" spans="1:20" customFormat="1" ht="15" x14ac:dyDescent="0.25">
      <c r="A12753" t="s">
        <v>35</v>
      </c>
      <c r="B12753" t="s">
        <v>61</v>
      </c>
      <c r="C12753" t="str">
        <f>"A0121451"</f>
        <v>A0121451</v>
      </c>
      <c r="D12753" t="s">
        <v>45758</v>
      </c>
      <c r="E12753" t="s">
        <v>45759</v>
      </c>
      <c r="F12753" t="s">
        <v>38350</v>
      </c>
      <c r="G12753" t="s">
        <v>110</v>
      </c>
      <c r="H12753">
        <v>95973</v>
      </c>
      <c r="I12753" t="s">
        <v>30</v>
      </c>
      <c r="J12753" t="s">
        <v>41</v>
      </c>
      <c r="K12753" t="s">
        <v>290</v>
      </c>
      <c r="Q12753">
        <v>0</v>
      </c>
      <c r="R12753">
        <v>0</v>
      </c>
      <c r="S12753">
        <v>0</v>
      </c>
      <c r="T12753" t="s">
        <v>45760</v>
      </c>
    </row>
    <row r="12754" spans="1:20" customFormat="1" ht="15" x14ac:dyDescent="0.25">
      <c r="A12754" t="s">
        <v>35</v>
      </c>
      <c r="B12754" t="s">
        <v>61</v>
      </c>
      <c r="C12754" t="str">
        <f>"A0151060"</f>
        <v>A0151060</v>
      </c>
      <c r="D12754" t="s">
        <v>45761</v>
      </c>
      <c r="E12754" t="s">
        <v>45762</v>
      </c>
      <c r="F12754" t="s">
        <v>2307</v>
      </c>
      <c r="G12754" t="s">
        <v>65</v>
      </c>
      <c r="H12754">
        <v>44113</v>
      </c>
      <c r="I12754" t="s">
        <v>30</v>
      </c>
      <c r="J12754" t="s">
        <v>41</v>
      </c>
      <c r="K12754" t="s">
        <v>104</v>
      </c>
      <c r="Q12754">
        <v>0</v>
      </c>
      <c r="R12754">
        <v>0</v>
      </c>
      <c r="S12754">
        <v>0</v>
      </c>
      <c r="T12754" t="s">
        <v>45763</v>
      </c>
    </row>
    <row r="12755" spans="1:20" customFormat="1" ht="15" x14ac:dyDescent="0.25">
      <c r="A12755" t="s">
        <v>35</v>
      </c>
      <c r="B12755" t="s">
        <v>61</v>
      </c>
      <c r="C12755" t="str">
        <f>"A0124284"</f>
        <v>A0124284</v>
      </c>
      <c r="D12755" t="s">
        <v>45764</v>
      </c>
      <c r="E12755" t="s">
        <v>45765</v>
      </c>
      <c r="F12755" t="s">
        <v>45766</v>
      </c>
      <c r="G12755" t="s">
        <v>338</v>
      </c>
      <c r="H12755">
        <v>7801</v>
      </c>
      <c r="I12755" t="s">
        <v>30</v>
      </c>
      <c r="J12755" t="s">
        <v>41</v>
      </c>
      <c r="K12755" t="s">
        <v>482</v>
      </c>
      <c r="Q12755">
        <v>0</v>
      </c>
      <c r="R12755">
        <v>100</v>
      </c>
      <c r="S12755">
        <v>100</v>
      </c>
      <c r="T12755" t="s">
        <v>45767</v>
      </c>
    </row>
    <row r="12756" spans="1:20" customFormat="1" ht="15" x14ac:dyDescent="0.25">
      <c r="A12756" t="s">
        <v>35</v>
      </c>
      <c r="B12756" t="s">
        <v>61</v>
      </c>
      <c r="C12756" t="str">
        <f>"A0124285"</f>
        <v>A0124285</v>
      </c>
      <c r="D12756" t="s">
        <v>45768</v>
      </c>
      <c r="E12756" t="s">
        <v>45769</v>
      </c>
      <c r="F12756" t="s">
        <v>45766</v>
      </c>
      <c r="G12756" t="s">
        <v>338</v>
      </c>
      <c r="H12756">
        <v>7801</v>
      </c>
      <c r="I12756" t="s">
        <v>30</v>
      </c>
      <c r="J12756" t="s">
        <v>41</v>
      </c>
      <c r="K12756" t="s">
        <v>229</v>
      </c>
      <c r="Q12756">
        <v>0</v>
      </c>
      <c r="R12756">
        <v>113</v>
      </c>
      <c r="S12756">
        <v>113</v>
      </c>
      <c r="T12756" t="s">
        <v>45767</v>
      </c>
    </row>
    <row r="12757" spans="1:20" customFormat="1" ht="15" x14ac:dyDescent="0.25">
      <c r="A12757" t="s">
        <v>35</v>
      </c>
      <c r="B12757" t="s">
        <v>61</v>
      </c>
      <c r="C12757" t="str">
        <f>"A0124286"</f>
        <v>A0124286</v>
      </c>
      <c r="D12757" t="s">
        <v>45770</v>
      </c>
      <c r="E12757" t="s">
        <v>45771</v>
      </c>
      <c r="F12757" t="s">
        <v>45772</v>
      </c>
      <c r="G12757" t="s">
        <v>338</v>
      </c>
      <c r="H12757">
        <v>7005</v>
      </c>
      <c r="I12757" t="s">
        <v>30</v>
      </c>
      <c r="J12757" t="s">
        <v>41</v>
      </c>
      <c r="K12757" t="s">
        <v>229</v>
      </c>
      <c r="Q12757">
        <v>0</v>
      </c>
      <c r="R12757">
        <v>103</v>
      </c>
      <c r="S12757">
        <v>103</v>
      </c>
      <c r="T12757" t="s">
        <v>45773</v>
      </c>
    </row>
    <row r="12758" spans="1:20" customFormat="1" ht="15" x14ac:dyDescent="0.25">
      <c r="A12758" t="s">
        <v>35</v>
      </c>
      <c r="B12758" t="s">
        <v>61</v>
      </c>
      <c r="C12758" t="str">
        <f>"A0127659"</f>
        <v>A0127659</v>
      </c>
      <c r="D12758" t="s">
        <v>45774</v>
      </c>
      <c r="E12758" t="s">
        <v>45775</v>
      </c>
      <c r="F12758" t="s">
        <v>10843</v>
      </c>
      <c r="G12758" t="s">
        <v>117</v>
      </c>
      <c r="H12758">
        <v>49509</v>
      </c>
      <c r="I12758" t="s">
        <v>30</v>
      </c>
      <c r="J12758" t="s">
        <v>41</v>
      </c>
      <c r="K12758" t="s">
        <v>290</v>
      </c>
      <c r="Q12758">
        <v>0</v>
      </c>
      <c r="R12758">
        <v>1</v>
      </c>
      <c r="S12758">
        <v>1</v>
      </c>
      <c r="T12758" t="s">
        <v>45776</v>
      </c>
    </row>
    <row r="12759" spans="1:20" customFormat="1" ht="15" x14ac:dyDescent="0.25">
      <c r="A12759" t="s">
        <v>35</v>
      </c>
      <c r="B12759" t="s">
        <v>61</v>
      </c>
      <c r="C12759" t="str">
        <f>"A0130829"</f>
        <v>A0130829</v>
      </c>
      <c r="D12759" t="s">
        <v>45777</v>
      </c>
      <c r="E12759" t="s">
        <v>45778</v>
      </c>
      <c r="F12759" t="s">
        <v>17360</v>
      </c>
      <c r="G12759" t="s">
        <v>137</v>
      </c>
      <c r="H12759">
        <v>638410000</v>
      </c>
      <c r="I12759" t="s">
        <v>30</v>
      </c>
      <c r="J12759" t="s">
        <v>41</v>
      </c>
      <c r="K12759" t="s">
        <v>290</v>
      </c>
      <c r="Q12759">
        <v>0</v>
      </c>
      <c r="R12759">
        <v>1</v>
      </c>
      <c r="S12759">
        <v>1</v>
      </c>
      <c r="T12759" t="s">
        <v>45779</v>
      </c>
    </row>
    <row r="12760" spans="1:20" customFormat="1" ht="15" x14ac:dyDescent="0.25">
      <c r="A12760" t="s">
        <v>35</v>
      </c>
      <c r="B12760" t="s">
        <v>61</v>
      </c>
      <c r="C12760" t="str">
        <f>"A0131625"</f>
        <v>A0131625</v>
      </c>
      <c r="D12760" t="s">
        <v>45780</v>
      </c>
      <c r="E12760" t="s">
        <v>45781</v>
      </c>
      <c r="F12760" t="s">
        <v>45782</v>
      </c>
      <c r="G12760" t="s">
        <v>65</v>
      </c>
      <c r="H12760">
        <v>434690000</v>
      </c>
      <c r="I12760" t="s">
        <v>30</v>
      </c>
      <c r="J12760" t="s">
        <v>41</v>
      </c>
      <c r="K12760" t="s">
        <v>290</v>
      </c>
      <c r="Q12760">
        <v>0</v>
      </c>
      <c r="R12760">
        <v>1</v>
      </c>
      <c r="S12760">
        <v>1</v>
      </c>
      <c r="T12760" t="s">
        <v>45783</v>
      </c>
    </row>
    <row r="12761" spans="1:20" customFormat="1" ht="15" x14ac:dyDescent="0.25">
      <c r="A12761" t="s">
        <v>35</v>
      </c>
      <c r="B12761" t="s">
        <v>61</v>
      </c>
      <c r="C12761" t="str">
        <f>"A0124463"</f>
        <v>A0124463</v>
      </c>
      <c r="D12761" t="s">
        <v>45784</v>
      </c>
      <c r="E12761" t="s">
        <v>45785</v>
      </c>
      <c r="F12761" t="s">
        <v>45786</v>
      </c>
      <c r="G12761" t="s">
        <v>1369</v>
      </c>
      <c r="H12761">
        <v>39154</v>
      </c>
      <c r="I12761" t="s">
        <v>30</v>
      </c>
      <c r="J12761" t="s">
        <v>41</v>
      </c>
      <c r="K12761" t="s">
        <v>290</v>
      </c>
      <c r="Q12761">
        <v>0</v>
      </c>
      <c r="R12761">
        <v>1</v>
      </c>
      <c r="S12761">
        <v>1</v>
      </c>
      <c r="T12761" t="s">
        <v>45787</v>
      </c>
    </row>
    <row r="12762" spans="1:20" customFormat="1" ht="15" x14ac:dyDescent="0.25">
      <c r="A12762" t="s">
        <v>35</v>
      </c>
      <c r="B12762" t="s">
        <v>61</v>
      </c>
      <c r="C12762" t="str">
        <f>"A0126058"</f>
        <v>A0126058</v>
      </c>
      <c r="D12762" t="s">
        <v>45788</v>
      </c>
      <c r="E12762" t="s">
        <v>45789</v>
      </c>
      <c r="F12762" t="s">
        <v>6435</v>
      </c>
      <c r="G12762" t="s">
        <v>197</v>
      </c>
      <c r="H12762">
        <v>85201</v>
      </c>
      <c r="I12762" t="s">
        <v>30</v>
      </c>
      <c r="J12762" t="s">
        <v>41</v>
      </c>
      <c r="K12762" t="s">
        <v>229</v>
      </c>
      <c r="Q12762">
        <v>0</v>
      </c>
      <c r="R12762">
        <v>150</v>
      </c>
      <c r="S12762">
        <v>150</v>
      </c>
      <c r="T12762" t="s">
        <v>45790</v>
      </c>
    </row>
    <row r="12763" spans="1:20" customFormat="1" ht="15" x14ac:dyDescent="0.25">
      <c r="A12763" t="s">
        <v>35</v>
      </c>
      <c r="B12763" t="s">
        <v>61</v>
      </c>
      <c r="C12763" t="str">
        <f>"A0121309"</f>
        <v>A0121309</v>
      </c>
      <c r="D12763" t="s">
        <v>45791</v>
      </c>
      <c r="E12763" t="s">
        <v>45792</v>
      </c>
      <c r="F12763" t="s">
        <v>45793</v>
      </c>
      <c r="G12763" t="s">
        <v>1587</v>
      </c>
      <c r="H12763">
        <v>88340</v>
      </c>
      <c r="I12763" t="s">
        <v>30</v>
      </c>
      <c r="J12763" t="s">
        <v>41</v>
      </c>
      <c r="K12763" t="s">
        <v>229</v>
      </c>
      <c r="Q12763">
        <v>0</v>
      </c>
      <c r="R12763">
        <v>40</v>
      </c>
      <c r="S12763">
        <v>40</v>
      </c>
      <c r="T12763" t="s">
        <v>45794</v>
      </c>
    </row>
    <row r="12764" spans="1:20" customFormat="1" ht="15" x14ac:dyDescent="0.25">
      <c r="A12764" t="s">
        <v>35</v>
      </c>
      <c r="B12764" t="s">
        <v>61</v>
      </c>
      <c r="C12764" t="str">
        <f>"A0121306"</f>
        <v>A0121306</v>
      </c>
      <c r="D12764" t="s">
        <v>45795</v>
      </c>
      <c r="E12764" t="s">
        <v>45796</v>
      </c>
      <c r="F12764" t="s">
        <v>45793</v>
      </c>
      <c r="G12764" t="s">
        <v>1587</v>
      </c>
      <c r="H12764">
        <v>88340</v>
      </c>
      <c r="I12764" t="s">
        <v>30</v>
      </c>
      <c r="J12764" t="s">
        <v>41</v>
      </c>
      <c r="K12764" t="s">
        <v>4317</v>
      </c>
      <c r="Q12764">
        <v>0</v>
      </c>
      <c r="R12764">
        <v>0</v>
      </c>
      <c r="S12764">
        <v>0</v>
      </c>
      <c r="T12764" t="s">
        <v>45797</v>
      </c>
    </row>
    <row r="12765" spans="1:20" customFormat="1" ht="15" x14ac:dyDescent="0.25">
      <c r="A12765" t="s">
        <v>35</v>
      </c>
      <c r="B12765" t="s">
        <v>106</v>
      </c>
      <c r="C12765" t="str">
        <f>"A0136529"</f>
        <v>A0136529</v>
      </c>
      <c r="D12765" t="s">
        <v>45798</v>
      </c>
      <c r="E12765" t="s">
        <v>45799</v>
      </c>
      <c r="F12765" t="s">
        <v>18901</v>
      </c>
      <c r="G12765" t="s">
        <v>103</v>
      </c>
      <c r="H12765">
        <v>17055</v>
      </c>
      <c r="I12765" t="s">
        <v>30</v>
      </c>
      <c r="J12765" t="s">
        <v>111</v>
      </c>
      <c r="K12765" t="s">
        <v>10012</v>
      </c>
      <c r="Q12765">
        <v>0</v>
      </c>
      <c r="R12765">
        <v>0</v>
      </c>
      <c r="S12765">
        <v>0</v>
      </c>
      <c r="T12765" t="s">
        <v>45800</v>
      </c>
    </row>
    <row r="12766" spans="1:20" customFormat="1" ht="15" x14ac:dyDescent="0.25">
      <c r="A12766" t="s">
        <v>35</v>
      </c>
      <c r="B12766" t="s">
        <v>106</v>
      </c>
      <c r="C12766" t="str">
        <f>"A0136530"</f>
        <v>A0136530</v>
      </c>
      <c r="D12766" t="s">
        <v>45801</v>
      </c>
      <c r="E12766" t="s">
        <v>45802</v>
      </c>
      <c r="F12766" t="s">
        <v>18901</v>
      </c>
      <c r="G12766" t="s">
        <v>103</v>
      </c>
      <c r="H12766">
        <v>17055</v>
      </c>
      <c r="I12766" t="s">
        <v>30</v>
      </c>
      <c r="J12766" t="s">
        <v>111</v>
      </c>
      <c r="K12766" t="s">
        <v>10012</v>
      </c>
      <c r="Q12766">
        <v>0</v>
      </c>
      <c r="R12766">
        <v>0</v>
      </c>
      <c r="S12766">
        <v>0</v>
      </c>
      <c r="T12766" t="s">
        <v>45800</v>
      </c>
    </row>
    <row r="12767" spans="1:20" customFormat="1" ht="15" x14ac:dyDescent="0.25">
      <c r="A12767" t="s">
        <v>35</v>
      </c>
      <c r="B12767" t="s">
        <v>61</v>
      </c>
      <c r="C12767" t="str">
        <f>"A0125008"</f>
        <v>A0125008</v>
      </c>
      <c r="D12767" t="s">
        <v>45803</v>
      </c>
      <c r="E12767" t="s">
        <v>45804</v>
      </c>
      <c r="F12767" t="s">
        <v>19101</v>
      </c>
      <c r="G12767" t="s">
        <v>58</v>
      </c>
      <c r="H12767">
        <v>29501</v>
      </c>
      <c r="I12767" t="s">
        <v>30</v>
      </c>
      <c r="J12767" t="s">
        <v>41</v>
      </c>
      <c r="K12767" t="s">
        <v>229</v>
      </c>
      <c r="Q12767">
        <v>0</v>
      </c>
      <c r="R12767">
        <v>100</v>
      </c>
      <c r="S12767">
        <v>100</v>
      </c>
      <c r="T12767" t="s">
        <v>45805</v>
      </c>
    </row>
    <row r="12768" spans="1:20" customFormat="1" ht="15" x14ac:dyDescent="0.25">
      <c r="A12768" t="s">
        <v>35</v>
      </c>
      <c r="B12768" t="s">
        <v>61</v>
      </c>
      <c r="C12768" t="str">
        <f>"A0130384"</f>
        <v>A0130384</v>
      </c>
      <c r="D12768" t="s">
        <v>45806</v>
      </c>
      <c r="E12768" t="s">
        <v>45807</v>
      </c>
      <c r="F12768" t="s">
        <v>12138</v>
      </c>
      <c r="G12768" t="s">
        <v>1898</v>
      </c>
      <c r="H12768">
        <v>50588</v>
      </c>
      <c r="I12768" t="s">
        <v>30</v>
      </c>
      <c r="J12768" t="s">
        <v>41</v>
      </c>
      <c r="K12768" t="s">
        <v>229</v>
      </c>
      <c r="Q12768">
        <v>0</v>
      </c>
      <c r="R12768">
        <v>181</v>
      </c>
      <c r="S12768">
        <v>181</v>
      </c>
      <c r="T12768" t="s">
        <v>45808</v>
      </c>
    </row>
    <row r="12769" spans="1:20" customFormat="1" ht="15" x14ac:dyDescent="0.25">
      <c r="A12769" t="s">
        <v>35</v>
      </c>
      <c r="B12769" t="s">
        <v>61</v>
      </c>
      <c r="C12769" t="str">
        <f>"A0124515"</f>
        <v>A0124515</v>
      </c>
      <c r="D12769" t="s">
        <v>45809</v>
      </c>
      <c r="E12769" t="s">
        <v>45810</v>
      </c>
      <c r="F12769" t="s">
        <v>45811</v>
      </c>
      <c r="G12769" t="s">
        <v>1369</v>
      </c>
      <c r="H12769">
        <v>395300000</v>
      </c>
      <c r="I12769" t="s">
        <v>30</v>
      </c>
      <c r="J12769" t="s">
        <v>41</v>
      </c>
      <c r="K12769" t="s">
        <v>59</v>
      </c>
      <c r="Q12769">
        <v>0</v>
      </c>
      <c r="R12769">
        <v>231</v>
      </c>
      <c r="S12769">
        <v>231</v>
      </c>
      <c r="T12769" t="s">
        <v>45812</v>
      </c>
    </row>
    <row r="12770" spans="1:20" customFormat="1" ht="15" x14ac:dyDescent="0.25">
      <c r="A12770" t="s">
        <v>35</v>
      </c>
      <c r="B12770" t="s">
        <v>61</v>
      </c>
      <c r="C12770" t="str">
        <f>"A0132013"</f>
        <v>A0132013</v>
      </c>
      <c r="D12770" t="s">
        <v>45813</v>
      </c>
      <c r="E12770" t="s">
        <v>45814</v>
      </c>
      <c r="F12770" t="s">
        <v>45815</v>
      </c>
      <c r="G12770" t="s">
        <v>65</v>
      </c>
      <c r="H12770">
        <v>43015</v>
      </c>
      <c r="I12770" t="s">
        <v>30</v>
      </c>
      <c r="J12770" t="s">
        <v>41</v>
      </c>
      <c r="K12770" t="s">
        <v>112</v>
      </c>
      <c r="Q12770">
        <v>0</v>
      </c>
      <c r="R12770">
        <v>1</v>
      </c>
      <c r="S12770">
        <v>1</v>
      </c>
      <c r="T12770" t="s">
        <v>45816</v>
      </c>
    </row>
    <row r="12771" spans="1:20" customFormat="1" ht="15" x14ac:dyDescent="0.25">
      <c r="A12771" t="s">
        <v>35</v>
      </c>
      <c r="B12771" t="s">
        <v>61</v>
      </c>
      <c r="C12771" t="str">
        <f>"A0129962"</f>
        <v>A0129962</v>
      </c>
      <c r="D12771" t="s">
        <v>45817</v>
      </c>
      <c r="E12771" t="s">
        <v>45818</v>
      </c>
      <c r="F12771" t="s">
        <v>1501</v>
      </c>
      <c r="G12771" t="s">
        <v>880</v>
      </c>
      <c r="H12771">
        <v>38106</v>
      </c>
      <c r="I12771" t="s">
        <v>30</v>
      </c>
      <c r="J12771" t="s">
        <v>41</v>
      </c>
      <c r="K12771" t="s">
        <v>2477</v>
      </c>
      <c r="Q12771">
        <v>0</v>
      </c>
      <c r="R12771">
        <v>0</v>
      </c>
      <c r="S12771">
        <v>0</v>
      </c>
      <c r="T12771" t="s">
        <v>45819</v>
      </c>
    </row>
    <row r="12772" spans="1:20" customFormat="1" ht="15" x14ac:dyDescent="0.25">
      <c r="A12772" t="s">
        <v>35</v>
      </c>
      <c r="B12772" t="s">
        <v>61</v>
      </c>
      <c r="C12772" t="str">
        <f>"A0129961"</f>
        <v>A0129961</v>
      </c>
      <c r="D12772" t="s">
        <v>45820</v>
      </c>
      <c r="E12772" t="s">
        <v>45821</v>
      </c>
      <c r="F12772" t="s">
        <v>1501</v>
      </c>
      <c r="G12772" t="s">
        <v>880</v>
      </c>
      <c r="H12772">
        <v>38106</v>
      </c>
      <c r="I12772" t="s">
        <v>30</v>
      </c>
      <c r="J12772" t="s">
        <v>41</v>
      </c>
      <c r="K12772" t="s">
        <v>2477</v>
      </c>
      <c r="Q12772">
        <v>0</v>
      </c>
      <c r="R12772">
        <v>0</v>
      </c>
      <c r="S12772">
        <v>0</v>
      </c>
      <c r="T12772" t="s">
        <v>45822</v>
      </c>
    </row>
    <row r="12773" spans="1:20" customFormat="1" ht="15" x14ac:dyDescent="0.25">
      <c r="A12773" t="s">
        <v>35</v>
      </c>
      <c r="B12773" t="s">
        <v>61</v>
      </c>
      <c r="C12773" t="str">
        <f>"A0125674"</f>
        <v>A0125674</v>
      </c>
      <c r="D12773" t="s">
        <v>45823</v>
      </c>
      <c r="E12773" t="s">
        <v>45824</v>
      </c>
      <c r="F12773" t="s">
        <v>24124</v>
      </c>
      <c r="G12773" t="s">
        <v>29</v>
      </c>
      <c r="H12773">
        <v>23803</v>
      </c>
      <c r="I12773" t="s">
        <v>30</v>
      </c>
      <c r="J12773" t="s">
        <v>41</v>
      </c>
      <c r="K12773" t="s">
        <v>59</v>
      </c>
      <c r="Q12773">
        <v>0</v>
      </c>
      <c r="R12773">
        <v>35</v>
      </c>
      <c r="S12773">
        <v>35</v>
      </c>
      <c r="T12773" t="s">
        <v>45825</v>
      </c>
    </row>
    <row r="12774" spans="1:20" customFormat="1" ht="15" x14ac:dyDescent="0.25">
      <c r="A12774" t="s">
        <v>35</v>
      </c>
      <c r="B12774" t="s">
        <v>437</v>
      </c>
      <c r="C12774" t="str">
        <f>"A0133838"</f>
        <v>A0133838</v>
      </c>
      <c r="D12774" t="s">
        <v>45826</v>
      </c>
      <c r="E12774" t="s">
        <v>45827</v>
      </c>
      <c r="F12774" t="s">
        <v>7362</v>
      </c>
      <c r="G12774" t="s">
        <v>110</v>
      </c>
      <c r="H12774">
        <v>900680000</v>
      </c>
      <c r="I12774" t="s">
        <v>30</v>
      </c>
      <c r="J12774" t="s">
        <v>441</v>
      </c>
      <c r="K12774" t="s">
        <v>442</v>
      </c>
      <c r="Q12774">
        <v>0</v>
      </c>
      <c r="R12774">
        <v>0</v>
      </c>
      <c r="S12774">
        <v>0</v>
      </c>
      <c r="T12774" t="s">
        <v>45828</v>
      </c>
    </row>
    <row r="12775" spans="1:20" customFormat="1" ht="15" x14ac:dyDescent="0.25">
      <c r="A12775" t="s">
        <v>35</v>
      </c>
      <c r="B12775" t="s">
        <v>437</v>
      </c>
      <c r="C12775" t="str">
        <f>"A0133914"</f>
        <v>A0133914</v>
      </c>
      <c r="D12775" t="s">
        <v>45826</v>
      </c>
      <c r="E12775" t="s">
        <v>45829</v>
      </c>
      <c r="F12775" t="s">
        <v>7362</v>
      </c>
      <c r="G12775" t="s">
        <v>110</v>
      </c>
      <c r="H12775">
        <v>90028</v>
      </c>
      <c r="I12775" t="s">
        <v>30</v>
      </c>
      <c r="J12775" t="s">
        <v>441</v>
      </c>
      <c r="K12775" t="s">
        <v>2458</v>
      </c>
      <c r="Q12775">
        <v>0</v>
      </c>
      <c r="R12775">
        <v>0</v>
      </c>
      <c r="S12775">
        <v>0</v>
      </c>
      <c r="T12775" t="s">
        <v>45830</v>
      </c>
    </row>
    <row r="12776" spans="1:20" customFormat="1" ht="15" x14ac:dyDescent="0.25">
      <c r="A12776" t="s">
        <v>35</v>
      </c>
      <c r="B12776" t="s">
        <v>61</v>
      </c>
      <c r="C12776" t="str">
        <f>"A0123884"</f>
        <v>A0123884</v>
      </c>
      <c r="D12776" t="s">
        <v>45831</v>
      </c>
      <c r="E12776" t="s">
        <v>45832</v>
      </c>
      <c r="F12776" t="s">
        <v>45833</v>
      </c>
      <c r="G12776" t="s">
        <v>29</v>
      </c>
      <c r="H12776">
        <v>23103</v>
      </c>
      <c r="I12776" t="s">
        <v>30</v>
      </c>
      <c r="J12776" t="s">
        <v>41</v>
      </c>
      <c r="K12776" t="s">
        <v>59</v>
      </c>
      <c r="Q12776">
        <v>0</v>
      </c>
      <c r="R12776">
        <v>11</v>
      </c>
      <c r="S12776">
        <v>11</v>
      </c>
      <c r="T12776" t="s">
        <v>45834</v>
      </c>
    </row>
    <row r="12777" spans="1:20" customFormat="1" ht="15" x14ac:dyDescent="0.25">
      <c r="A12777" t="s">
        <v>35</v>
      </c>
      <c r="B12777" t="s">
        <v>61</v>
      </c>
      <c r="C12777" t="str">
        <f>"A0132586"</f>
        <v>A0132586</v>
      </c>
      <c r="D12777" t="s">
        <v>45835</v>
      </c>
      <c r="E12777" t="s">
        <v>45836</v>
      </c>
      <c r="F12777" t="s">
        <v>45837</v>
      </c>
      <c r="G12777" t="s">
        <v>65</v>
      </c>
      <c r="H12777">
        <v>43035</v>
      </c>
      <c r="I12777" t="s">
        <v>30</v>
      </c>
      <c r="J12777" t="s">
        <v>41</v>
      </c>
      <c r="K12777" t="s">
        <v>391</v>
      </c>
      <c r="Q12777">
        <v>0</v>
      </c>
      <c r="R12777">
        <v>0</v>
      </c>
      <c r="S12777">
        <v>0</v>
      </c>
      <c r="T12777" t="s">
        <v>45838</v>
      </c>
    </row>
    <row r="12778" spans="1:20" customFormat="1" ht="15" x14ac:dyDescent="0.25">
      <c r="A12778" t="s">
        <v>35</v>
      </c>
      <c r="B12778" t="s">
        <v>61</v>
      </c>
      <c r="C12778" t="str">
        <f>"A0132587"</f>
        <v>A0132587</v>
      </c>
      <c r="D12778" t="s">
        <v>45839</v>
      </c>
      <c r="E12778" t="s">
        <v>45840</v>
      </c>
      <c r="F12778" t="s">
        <v>21341</v>
      </c>
      <c r="G12778" t="s">
        <v>65</v>
      </c>
      <c r="H12778">
        <v>43004</v>
      </c>
      <c r="I12778" t="s">
        <v>30</v>
      </c>
      <c r="J12778" t="s">
        <v>41</v>
      </c>
      <c r="K12778" t="s">
        <v>391</v>
      </c>
      <c r="Q12778">
        <v>0</v>
      </c>
      <c r="R12778">
        <v>0</v>
      </c>
      <c r="S12778">
        <v>0</v>
      </c>
      <c r="T12778" t="s">
        <v>45838</v>
      </c>
    </row>
    <row r="12779" spans="1:20" customFormat="1" ht="15" x14ac:dyDescent="0.25">
      <c r="A12779" t="s">
        <v>35</v>
      </c>
      <c r="B12779" t="s">
        <v>61</v>
      </c>
      <c r="C12779" t="str">
        <f>"A0127787"</f>
        <v>A0127787</v>
      </c>
      <c r="D12779" t="s">
        <v>45841</v>
      </c>
      <c r="E12779" t="s">
        <v>45842</v>
      </c>
      <c r="F12779" t="s">
        <v>45843</v>
      </c>
      <c r="G12779" t="s">
        <v>117</v>
      </c>
      <c r="H12779">
        <v>49242</v>
      </c>
      <c r="I12779" t="s">
        <v>30</v>
      </c>
      <c r="J12779" t="s">
        <v>41</v>
      </c>
      <c r="K12779" t="s">
        <v>42</v>
      </c>
      <c r="Q12779">
        <v>0</v>
      </c>
      <c r="R12779">
        <v>0</v>
      </c>
      <c r="S12779">
        <v>0</v>
      </c>
      <c r="T12779" t="s">
        <v>45844</v>
      </c>
    </row>
    <row r="12780" spans="1:20" customFormat="1" ht="15" x14ac:dyDescent="0.25">
      <c r="A12780" t="s">
        <v>35</v>
      </c>
      <c r="B12780" t="s">
        <v>61</v>
      </c>
      <c r="C12780" t="str">
        <f>"A0151134"</f>
        <v>A0151134</v>
      </c>
      <c r="D12780" t="s">
        <v>1409</v>
      </c>
      <c r="E12780" t="s">
        <v>45845</v>
      </c>
      <c r="F12780" t="s">
        <v>18933</v>
      </c>
      <c r="G12780" t="s">
        <v>65</v>
      </c>
      <c r="H12780">
        <v>43123</v>
      </c>
      <c r="I12780" t="s">
        <v>30</v>
      </c>
      <c r="J12780" t="s">
        <v>41</v>
      </c>
      <c r="K12780" t="s">
        <v>1412</v>
      </c>
      <c r="Q12780">
        <v>0</v>
      </c>
      <c r="R12780">
        <v>0</v>
      </c>
      <c r="S12780">
        <v>0</v>
      </c>
      <c r="T12780" t="s">
        <v>1413</v>
      </c>
    </row>
    <row r="12781" spans="1:20" customFormat="1" ht="15" x14ac:dyDescent="0.25">
      <c r="A12781" t="s">
        <v>35</v>
      </c>
      <c r="B12781" t="s">
        <v>61</v>
      </c>
      <c r="C12781" t="str">
        <f>"A0151135"</f>
        <v>A0151135</v>
      </c>
      <c r="D12781" t="s">
        <v>45846</v>
      </c>
      <c r="E12781" t="s">
        <v>45847</v>
      </c>
      <c r="F12781" t="s">
        <v>18933</v>
      </c>
      <c r="G12781" t="s">
        <v>65</v>
      </c>
      <c r="H12781">
        <v>43123</v>
      </c>
      <c r="I12781" t="s">
        <v>30</v>
      </c>
      <c r="J12781" t="s">
        <v>41</v>
      </c>
      <c r="K12781" t="s">
        <v>1412</v>
      </c>
      <c r="Q12781">
        <v>0</v>
      </c>
      <c r="R12781">
        <v>0</v>
      </c>
      <c r="S12781">
        <v>0</v>
      </c>
      <c r="T12781" t="s">
        <v>45848</v>
      </c>
    </row>
    <row r="12782" spans="1:20" customFormat="1" ht="15" x14ac:dyDescent="0.25">
      <c r="A12782" t="s">
        <v>35</v>
      </c>
      <c r="B12782" t="s">
        <v>61</v>
      </c>
      <c r="C12782" t="str">
        <f>"A0129945"</f>
        <v>A0129945</v>
      </c>
      <c r="D12782" t="s">
        <v>45849</v>
      </c>
      <c r="E12782" t="s">
        <v>45850</v>
      </c>
      <c r="F12782" t="s">
        <v>4054</v>
      </c>
      <c r="G12782" t="s">
        <v>880</v>
      </c>
      <c r="H12782">
        <v>37130</v>
      </c>
      <c r="I12782" t="s">
        <v>30</v>
      </c>
      <c r="J12782" t="s">
        <v>41</v>
      </c>
      <c r="K12782" t="s">
        <v>39685</v>
      </c>
      <c r="Q12782">
        <v>0</v>
      </c>
      <c r="R12782">
        <v>0</v>
      </c>
      <c r="S12782">
        <v>0</v>
      </c>
      <c r="T12782" t="s">
        <v>45851</v>
      </c>
    </row>
    <row r="12783" spans="1:20" customFormat="1" ht="15" x14ac:dyDescent="0.25">
      <c r="A12783" t="s">
        <v>35</v>
      </c>
      <c r="B12783" t="s">
        <v>61</v>
      </c>
      <c r="C12783" t="str">
        <f>"A0122775"</f>
        <v>A0122775</v>
      </c>
      <c r="D12783" t="s">
        <v>45852</v>
      </c>
      <c r="E12783" t="s">
        <v>45853</v>
      </c>
      <c r="F12783" t="s">
        <v>45854</v>
      </c>
      <c r="G12783" t="s">
        <v>47</v>
      </c>
      <c r="H12783">
        <v>97424</v>
      </c>
      <c r="I12783" t="s">
        <v>30</v>
      </c>
      <c r="J12783" t="s">
        <v>41</v>
      </c>
      <c r="K12783" t="s">
        <v>59</v>
      </c>
      <c r="Q12783">
        <v>0</v>
      </c>
      <c r="R12783">
        <v>104</v>
      </c>
      <c r="S12783">
        <v>104</v>
      </c>
      <c r="T12783" t="s">
        <v>45855</v>
      </c>
    </row>
    <row r="12784" spans="1:20" customFormat="1" ht="15" x14ac:dyDescent="0.25">
      <c r="A12784" t="s">
        <v>35</v>
      </c>
      <c r="B12784" t="s">
        <v>61</v>
      </c>
      <c r="C12784" t="str">
        <f>"A0128367"</f>
        <v>A0128367</v>
      </c>
      <c r="D12784" t="s">
        <v>45856</v>
      </c>
      <c r="E12784" t="s">
        <v>45857</v>
      </c>
      <c r="F12784" t="s">
        <v>64</v>
      </c>
      <c r="G12784" t="s">
        <v>427</v>
      </c>
      <c r="H12784">
        <v>68601</v>
      </c>
      <c r="I12784" t="s">
        <v>30</v>
      </c>
      <c r="J12784" t="s">
        <v>41</v>
      </c>
      <c r="K12784" t="s">
        <v>45858</v>
      </c>
      <c r="Q12784">
        <v>0</v>
      </c>
      <c r="R12784">
        <v>0</v>
      </c>
      <c r="S12784">
        <v>0</v>
      </c>
      <c r="T12784" t="s">
        <v>45859</v>
      </c>
    </row>
    <row r="12785" spans="1:20" customFormat="1" ht="15" x14ac:dyDescent="0.25">
      <c r="A12785" t="s">
        <v>35</v>
      </c>
      <c r="B12785" t="s">
        <v>61</v>
      </c>
      <c r="C12785" t="str">
        <f>"A0133295"</f>
        <v>A0133295</v>
      </c>
      <c r="D12785" t="s">
        <v>45860</v>
      </c>
      <c r="E12785" t="s">
        <v>45861</v>
      </c>
      <c r="F12785" t="s">
        <v>5133</v>
      </c>
      <c r="G12785" t="s">
        <v>52</v>
      </c>
      <c r="H12785">
        <v>797050000</v>
      </c>
      <c r="I12785" t="s">
        <v>30</v>
      </c>
      <c r="J12785" t="s">
        <v>41</v>
      </c>
      <c r="K12785" t="s">
        <v>131</v>
      </c>
      <c r="Q12785">
        <v>0</v>
      </c>
      <c r="R12785">
        <v>52</v>
      </c>
      <c r="S12785">
        <v>52</v>
      </c>
      <c r="T12785" t="s">
        <v>45862</v>
      </c>
    </row>
    <row r="12786" spans="1:20" customFormat="1" ht="15" x14ac:dyDescent="0.25">
      <c r="A12786" t="s">
        <v>35</v>
      </c>
      <c r="B12786" t="s">
        <v>61</v>
      </c>
      <c r="C12786" t="str">
        <f>"A0153269"</f>
        <v>A0153269</v>
      </c>
      <c r="D12786" t="s">
        <v>45863</v>
      </c>
      <c r="E12786" t="s">
        <v>45864</v>
      </c>
      <c r="F12786" t="s">
        <v>15496</v>
      </c>
      <c r="G12786" t="s">
        <v>29</v>
      </c>
      <c r="H12786">
        <v>23113</v>
      </c>
      <c r="I12786" t="s">
        <v>30</v>
      </c>
      <c r="J12786" t="s">
        <v>41</v>
      </c>
      <c r="K12786" t="s">
        <v>4020</v>
      </c>
      <c r="Q12786">
        <v>0</v>
      </c>
      <c r="R12786">
        <v>0</v>
      </c>
      <c r="S12786">
        <v>0</v>
      </c>
      <c r="T12786" t="s">
        <v>45865</v>
      </c>
    </row>
    <row r="12787" spans="1:20" customFormat="1" ht="15" x14ac:dyDescent="0.25">
      <c r="A12787" t="s">
        <v>35</v>
      </c>
      <c r="B12787" t="s">
        <v>61</v>
      </c>
      <c r="C12787" t="str">
        <f>"A0130071"</f>
        <v>A0130071</v>
      </c>
      <c r="D12787" t="s">
        <v>45866</v>
      </c>
      <c r="E12787" t="s">
        <v>45867</v>
      </c>
      <c r="F12787" t="s">
        <v>17824</v>
      </c>
      <c r="G12787" t="s">
        <v>880</v>
      </c>
      <c r="H12787">
        <v>38139</v>
      </c>
      <c r="I12787" t="s">
        <v>30</v>
      </c>
      <c r="J12787" t="s">
        <v>41</v>
      </c>
      <c r="K12787" t="s">
        <v>131</v>
      </c>
      <c r="Q12787">
        <v>0</v>
      </c>
      <c r="R12787">
        <v>73</v>
      </c>
      <c r="S12787">
        <v>73</v>
      </c>
      <c r="T12787" t="s">
        <v>45868</v>
      </c>
    </row>
    <row r="12788" spans="1:20" customFormat="1" ht="15" x14ac:dyDescent="0.25">
      <c r="A12788" t="s">
        <v>35</v>
      </c>
      <c r="B12788" t="s">
        <v>61</v>
      </c>
      <c r="C12788" t="str">
        <f>"A0126366"</f>
        <v>A0126366</v>
      </c>
      <c r="D12788" t="s">
        <v>45869</v>
      </c>
      <c r="E12788" t="s">
        <v>45870</v>
      </c>
      <c r="F12788" t="s">
        <v>12931</v>
      </c>
      <c r="G12788" t="s">
        <v>81</v>
      </c>
      <c r="H12788">
        <v>33756</v>
      </c>
      <c r="I12788" t="s">
        <v>30</v>
      </c>
      <c r="J12788" t="s">
        <v>41</v>
      </c>
      <c r="K12788" t="s">
        <v>59</v>
      </c>
      <c r="Q12788">
        <v>0</v>
      </c>
      <c r="R12788">
        <v>50</v>
      </c>
      <c r="S12788">
        <v>50</v>
      </c>
      <c r="T12788" t="s">
        <v>45871</v>
      </c>
    </row>
    <row r="12789" spans="1:20" customFormat="1" ht="15" x14ac:dyDescent="0.25">
      <c r="A12789" t="s">
        <v>35</v>
      </c>
      <c r="B12789" t="s">
        <v>61</v>
      </c>
      <c r="C12789" t="str">
        <f>"A0128307"</f>
        <v>A0128307</v>
      </c>
      <c r="D12789" t="s">
        <v>26369</v>
      </c>
      <c r="E12789" t="s">
        <v>45872</v>
      </c>
      <c r="F12789" t="s">
        <v>45873</v>
      </c>
      <c r="G12789" t="s">
        <v>427</v>
      </c>
      <c r="H12789">
        <v>68666</v>
      </c>
      <c r="I12789" t="s">
        <v>30</v>
      </c>
      <c r="J12789" t="s">
        <v>41</v>
      </c>
      <c r="K12789" t="s">
        <v>229</v>
      </c>
      <c r="Q12789">
        <v>0</v>
      </c>
      <c r="R12789">
        <v>58</v>
      </c>
      <c r="S12789">
        <v>58</v>
      </c>
      <c r="T12789" t="s">
        <v>45874</v>
      </c>
    </row>
    <row r="12790" spans="1:20" customFormat="1" ht="15" x14ac:dyDescent="0.25">
      <c r="A12790" t="s">
        <v>35</v>
      </c>
      <c r="B12790" t="s">
        <v>61</v>
      </c>
      <c r="C12790" t="str">
        <f>"A0118715"</f>
        <v>A0118715</v>
      </c>
      <c r="D12790" t="s">
        <v>45875</v>
      </c>
      <c r="E12790" t="s">
        <v>45876</v>
      </c>
      <c r="F12790" t="s">
        <v>7362</v>
      </c>
      <c r="G12790" t="s">
        <v>110</v>
      </c>
      <c r="H12790">
        <v>90057</v>
      </c>
      <c r="I12790" t="s">
        <v>30</v>
      </c>
      <c r="J12790" t="s">
        <v>41</v>
      </c>
      <c r="K12790" t="s">
        <v>229</v>
      </c>
      <c r="Q12790">
        <v>0</v>
      </c>
      <c r="R12790">
        <v>80</v>
      </c>
      <c r="S12790">
        <v>80</v>
      </c>
      <c r="T12790" t="s">
        <v>45877</v>
      </c>
    </row>
    <row r="12791" spans="1:20" customFormat="1" ht="15" x14ac:dyDescent="0.25">
      <c r="A12791" t="s">
        <v>35</v>
      </c>
      <c r="B12791" t="s">
        <v>437</v>
      </c>
      <c r="C12791" t="str">
        <f>"A0133910"</f>
        <v>A0133910</v>
      </c>
      <c r="D12791" t="s">
        <v>45878</v>
      </c>
      <c r="E12791" t="s">
        <v>45879</v>
      </c>
      <c r="F12791" t="s">
        <v>28699</v>
      </c>
      <c r="G12791" t="s">
        <v>110</v>
      </c>
      <c r="H12791">
        <v>927080000</v>
      </c>
      <c r="I12791" t="s">
        <v>30</v>
      </c>
      <c r="J12791" t="s">
        <v>441</v>
      </c>
      <c r="K12791" t="s">
        <v>36814</v>
      </c>
      <c r="Q12791">
        <v>0</v>
      </c>
      <c r="R12791">
        <v>0</v>
      </c>
      <c r="S12791">
        <v>0</v>
      </c>
      <c r="T12791" t="s">
        <v>45880</v>
      </c>
    </row>
    <row r="12792" spans="1:20" customFormat="1" ht="15" x14ac:dyDescent="0.25">
      <c r="A12792" t="s">
        <v>35</v>
      </c>
      <c r="B12792" t="s">
        <v>106</v>
      </c>
      <c r="C12792" t="str">
        <f>"A0136600"</f>
        <v>A0136600</v>
      </c>
      <c r="D12792" t="s">
        <v>45881</v>
      </c>
      <c r="E12792" t="s">
        <v>45882</v>
      </c>
      <c r="F12792" t="s">
        <v>45883</v>
      </c>
      <c r="G12792" t="s">
        <v>1184</v>
      </c>
      <c r="H12792">
        <v>59301</v>
      </c>
      <c r="I12792" t="s">
        <v>30</v>
      </c>
      <c r="J12792" t="s">
        <v>111</v>
      </c>
      <c r="K12792" t="s">
        <v>10012</v>
      </c>
      <c r="Q12792">
        <v>0</v>
      </c>
      <c r="R12792">
        <v>0</v>
      </c>
      <c r="S12792">
        <v>0</v>
      </c>
      <c r="T12792" t="s">
        <v>45884</v>
      </c>
    </row>
    <row r="12793" spans="1:20" customFormat="1" ht="15" x14ac:dyDescent="0.25">
      <c r="A12793" t="s">
        <v>35</v>
      </c>
      <c r="B12793" t="s">
        <v>61</v>
      </c>
      <c r="C12793" t="str">
        <f>"A0129203"</f>
        <v>A0129203</v>
      </c>
      <c r="D12793" t="s">
        <v>45885</v>
      </c>
      <c r="E12793" t="s">
        <v>45886</v>
      </c>
      <c r="F12793" t="s">
        <v>45887</v>
      </c>
      <c r="G12793" t="s">
        <v>289</v>
      </c>
      <c r="H12793">
        <v>61701</v>
      </c>
      <c r="I12793" t="s">
        <v>30</v>
      </c>
      <c r="J12793" t="s">
        <v>41</v>
      </c>
      <c r="K12793" t="s">
        <v>391</v>
      </c>
      <c r="Q12793">
        <v>0</v>
      </c>
      <c r="R12793">
        <v>0</v>
      </c>
      <c r="S12793">
        <v>0</v>
      </c>
      <c r="T12793" t="s">
        <v>45888</v>
      </c>
    </row>
    <row r="12794" spans="1:20" customFormat="1" ht="15" x14ac:dyDescent="0.25">
      <c r="A12794" t="s">
        <v>35</v>
      </c>
      <c r="B12794" t="s">
        <v>61</v>
      </c>
      <c r="C12794" t="str">
        <f>"A0131838"</f>
        <v>A0131838</v>
      </c>
      <c r="D12794" t="s">
        <v>45889</v>
      </c>
      <c r="E12794" t="s">
        <v>45890</v>
      </c>
      <c r="F12794" t="s">
        <v>45891</v>
      </c>
      <c r="G12794" t="s">
        <v>65</v>
      </c>
      <c r="H12794">
        <v>440890000</v>
      </c>
      <c r="I12794" t="s">
        <v>30</v>
      </c>
      <c r="J12794" t="s">
        <v>41</v>
      </c>
      <c r="K12794" t="s">
        <v>229</v>
      </c>
      <c r="Q12794">
        <v>0</v>
      </c>
      <c r="R12794">
        <v>25</v>
      </c>
      <c r="S12794">
        <v>25</v>
      </c>
      <c r="T12794" t="s">
        <v>45892</v>
      </c>
    </row>
    <row r="12795" spans="1:20" customFormat="1" ht="15" x14ac:dyDescent="0.25">
      <c r="A12795" t="s">
        <v>35</v>
      </c>
      <c r="B12795" t="s">
        <v>61</v>
      </c>
      <c r="C12795" t="str">
        <f>"A0121380"</f>
        <v>A0121380</v>
      </c>
      <c r="D12795" t="s">
        <v>45893</v>
      </c>
      <c r="E12795" t="s">
        <v>45894</v>
      </c>
      <c r="F12795" t="s">
        <v>45895</v>
      </c>
      <c r="G12795" t="s">
        <v>153</v>
      </c>
      <c r="H12795">
        <v>84631</v>
      </c>
      <c r="I12795" t="s">
        <v>30</v>
      </c>
      <c r="J12795" t="s">
        <v>41</v>
      </c>
      <c r="K12795" t="s">
        <v>9463</v>
      </c>
      <c r="Q12795">
        <v>0</v>
      </c>
      <c r="R12795">
        <v>116</v>
      </c>
      <c r="S12795">
        <v>116</v>
      </c>
      <c r="T12795" t="s">
        <v>45896</v>
      </c>
    </row>
    <row r="12796" spans="1:20" customFormat="1" ht="15" x14ac:dyDescent="0.25">
      <c r="A12796" t="s">
        <v>35</v>
      </c>
      <c r="B12796" t="s">
        <v>61</v>
      </c>
      <c r="C12796" t="str">
        <f>"A0131031"</f>
        <v>A0131031</v>
      </c>
      <c r="D12796" t="s">
        <v>45897</v>
      </c>
      <c r="E12796" t="s">
        <v>42681</v>
      </c>
      <c r="F12796" t="s">
        <v>15435</v>
      </c>
      <c r="G12796" t="s">
        <v>137</v>
      </c>
      <c r="H12796">
        <v>652750000</v>
      </c>
      <c r="I12796" t="s">
        <v>30</v>
      </c>
      <c r="J12796" t="s">
        <v>41</v>
      </c>
      <c r="K12796" t="s">
        <v>59</v>
      </c>
      <c r="Q12796">
        <v>0</v>
      </c>
      <c r="R12796">
        <v>40</v>
      </c>
      <c r="S12796">
        <v>40</v>
      </c>
      <c r="T12796" t="s">
        <v>45898</v>
      </c>
    </row>
    <row r="12797" spans="1:20" customFormat="1" ht="15" x14ac:dyDescent="0.25">
      <c r="A12797" t="s">
        <v>35</v>
      </c>
      <c r="B12797" t="s">
        <v>61</v>
      </c>
      <c r="C12797" t="str">
        <f>"A0125264"</f>
        <v>A0125264</v>
      </c>
      <c r="D12797" t="s">
        <v>45899</v>
      </c>
      <c r="E12797" t="s">
        <v>45900</v>
      </c>
      <c r="F12797" t="s">
        <v>17557</v>
      </c>
      <c r="G12797" t="s">
        <v>40</v>
      </c>
      <c r="H12797">
        <v>74301</v>
      </c>
      <c r="I12797" t="s">
        <v>30</v>
      </c>
      <c r="J12797" t="s">
        <v>41</v>
      </c>
      <c r="K12797" t="s">
        <v>59</v>
      </c>
      <c r="Q12797">
        <v>0</v>
      </c>
      <c r="R12797">
        <v>54</v>
      </c>
      <c r="S12797">
        <v>54</v>
      </c>
      <c r="T12797" t="s">
        <v>45901</v>
      </c>
    </row>
    <row r="12798" spans="1:20" customFormat="1" ht="15" x14ac:dyDescent="0.25">
      <c r="A12798" t="s">
        <v>35</v>
      </c>
      <c r="B12798" t="s">
        <v>106</v>
      </c>
      <c r="C12798" t="str">
        <f>"A0135360"</f>
        <v>A0135360</v>
      </c>
      <c r="D12798" t="s">
        <v>45902</v>
      </c>
      <c r="E12798" t="s">
        <v>45903</v>
      </c>
      <c r="F12798" t="s">
        <v>45904</v>
      </c>
      <c r="G12798" t="s">
        <v>103</v>
      </c>
      <c r="H12798">
        <v>17551</v>
      </c>
      <c r="I12798" t="s">
        <v>30</v>
      </c>
      <c r="J12798" t="s">
        <v>111</v>
      </c>
      <c r="K12798" t="s">
        <v>10012</v>
      </c>
      <c r="Q12798">
        <v>0</v>
      </c>
      <c r="R12798">
        <v>0</v>
      </c>
      <c r="S12798">
        <v>0</v>
      </c>
      <c r="T12798" t="s">
        <v>45905</v>
      </c>
    </row>
    <row r="12799" spans="1:20" customFormat="1" ht="15" x14ac:dyDescent="0.25">
      <c r="A12799" t="s">
        <v>35</v>
      </c>
      <c r="B12799" t="s">
        <v>106</v>
      </c>
      <c r="C12799" t="str">
        <f>"A0136294"</f>
        <v>A0136294</v>
      </c>
      <c r="D12799" t="s">
        <v>45906</v>
      </c>
      <c r="E12799" t="s">
        <v>45907</v>
      </c>
      <c r="F12799" t="s">
        <v>9128</v>
      </c>
      <c r="G12799" t="s">
        <v>110</v>
      </c>
      <c r="H12799">
        <v>94613</v>
      </c>
      <c r="I12799" t="s">
        <v>30</v>
      </c>
      <c r="J12799" t="s">
        <v>111</v>
      </c>
      <c r="K12799" t="s">
        <v>10012</v>
      </c>
      <c r="Q12799">
        <v>0</v>
      </c>
      <c r="R12799">
        <v>0</v>
      </c>
      <c r="S12799">
        <v>0</v>
      </c>
      <c r="T12799" t="s">
        <v>45908</v>
      </c>
    </row>
    <row r="12800" spans="1:20" customFormat="1" ht="15" x14ac:dyDescent="0.25">
      <c r="A12800" t="s">
        <v>35</v>
      </c>
      <c r="B12800" t="s">
        <v>106</v>
      </c>
      <c r="C12800" t="str">
        <f>"A0136298"</f>
        <v>A0136298</v>
      </c>
      <c r="D12800" t="s">
        <v>45909</v>
      </c>
      <c r="E12800" t="s">
        <v>45907</v>
      </c>
      <c r="F12800" t="s">
        <v>9128</v>
      </c>
      <c r="G12800" t="s">
        <v>110</v>
      </c>
      <c r="H12800">
        <v>94613</v>
      </c>
      <c r="I12800" t="s">
        <v>30</v>
      </c>
      <c r="J12800" t="s">
        <v>111</v>
      </c>
      <c r="K12800" t="s">
        <v>10012</v>
      </c>
      <c r="Q12800">
        <v>0</v>
      </c>
      <c r="R12800">
        <v>0</v>
      </c>
      <c r="S12800">
        <v>0</v>
      </c>
      <c r="T12800" t="s">
        <v>45908</v>
      </c>
    </row>
    <row r="12801" spans="1:20" customFormat="1" ht="15" x14ac:dyDescent="0.25">
      <c r="A12801" t="s">
        <v>35</v>
      </c>
      <c r="B12801" t="s">
        <v>106</v>
      </c>
      <c r="C12801" t="str">
        <f>"A0136295"</f>
        <v>A0136295</v>
      </c>
      <c r="D12801" t="s">
        <v>45910</v>
      </c>
      <c r="E12801" t="s">
        <v>45907</v>
      </c>
      <c r="F12801" t="s">
        <v>9128</v>
      </c>
      <c r="G12801" t="s">
        <v>110</v>
      </c>
      <c r="H12801">
        <v>94613</v>
      </c>
      <c r="I12801" t="s">
        <v>30</v>
      </c>
      <c r="J12801" t="s">
        <v>111</v>
      </c>
      <c r="K12801" t="s">
        <v>10012</v>
      </c>
      <c r="Q12801">
        <v>0</v>
      </c>
      <c r="R12801">
        <v>0</v>
      </c>
      <c r="S12801">
        <v>0</v>
      </c>
      <c r="T12801" t="s">
        <v>45908</v>
      </c>
    </row>
    <row r="12802" spans="1:20" customFormat="1" ht="15" x14ac:dyDescent="0.25">
      <c r="A12802" t="s">
        <v>35</v>
      </c>
      <c r="B12802" t="s">
        <v>106</v>
      </c>
      <c r="C12802" t="str">
        <f>"A0136296"</f>
        <v>A0136296</v>
      </c>
      <c r="D12802" t="s">
        <v>45911</v>
      </c>
      <c r="E12802" t="s">
        <v>45907</v>
      </c>
      <c r="F12802" t="s">
        <v>9128</v>
      </c>
      <c r="G12802" t="s">
        <v>110</v>
      </c>
      <c r="H12802">
        <v>94613</v>
      </c>
      <c r="I12802" t="s">
        <v>30</v>
      </c>
      <c r="J12802" t="s">
        <v>111</v>
      </c>
      <c r="K12802" t="s">
        <v>10012</v>
      </c>
      <c r="Q12802">
        <v>0</v>
      </c>
      <c r="R12802">
        <v>0</v>
      </c>
      <c r="S12802">
        <v>0</v>
      </c>
      <c r="T12802" t="s">
        <v>45908</v>
      </c>
    </row>
    <row r="12803" spans="1:20" customFormat="1" ht="15" x14ac:dyDescent="0.25">
      <c r="A12803" t="s">
        <v>35</v>
      </c>
      <c r="B12803" t="s">
        <v>106</v>
      </c>
      <c r="C12803" t="str">
        <f>"A0136297"</f>
        <v>A0136297</v>
      </c>
      <c r="D12803" t="s">
        <v>45912</v>
      </c>
      <c r="E12803" t="s">
        <v>45907</v>
      </c>
      <c r="F12803" t="s">
        <v>9128</v>
      </c>
      <c r="G12803" t="s">
        <v>110</v>
      </c>
      <c r="H12803">
        <v>94613</v>
      </c>
      <c r="I12803" t="s">
        <v>30</v>
      </c>
      <c r="J12803" t="s">
        <v>111</v>
      </c>
      <c r="K12803" t="s">
        <v>10012</v>
      </c>
      <c r="Q12803">
        <v>0</v>
      </c>
      <c r="R12803">
        <v>0</v>
      </c>
      <c r="S12803">
        <v>0</v>
      </c>
      <c r="T12803" t="s">
        <v>45908</v>
      </c>
    </row>
    <row r="12804" spans="1:20" customFormat="1" ht="15" x14ac:dyDescent="0.25">
      <c r="A12804" t="s">
        <v>35</v>
      </c>
      <c r="B12804" t="s">
        <v>61</v>
      </c>
      <c r="C12804" t="str">
        <f>"A0118427"</f>
        <v>A0118427</v>
      </c>
      <c r="D12804" t="s">
        <v>45913</v>
      </c>
      <c r="E12804" t="s">
        <v>45914</v>
      </c>
      <c r="F12804" t="s">
        <v>45915</v>
      </c>
      <c r="G12804" t="s">
        <v>110</v>
      </c>
      <c r="H12804">
        <v>95035</v>
      </c>
      <c r="I12804" t="s">
        <v>30</v>
      </c>
      <c r="J12804" t="s">
        <v>41</v>
      </c>
      <c r="K12804" t="s">
        <v>229</v>
      </c>
      <c r="Q12804">
        <v>0</v>
      </c>
      <c r="R12804">
        <v>30</v>
      </c>
      <c r="S12804">
        <v>30</v>
      </c>
      <c r="T12804" t="s">
        <v>45916</v>
      </c>
    </row>
    <row r="12805" spans="1:20" customFormat="1" ht="15" x14ac:dyDescent="0.25">
      <c r="A12805" t="s">
        <v>35</v>
      </c>
      <c r="B12805" t="s">
        <v>61</v>
      </c>
      <c r="C12805" t="str">
        <f>"A0124287"</f>
        <v>A0124287</v>
      </c>
      <c r="D12805" t="s">
        <v>45917</v>
      </c>
      <c r="E12805" t="s">
        <v>45918</v>
      </c>
      <c r="F12805" t="s">
        <v>4112</v>
      </c>
      <c r="G12805" t="s">
        <v>71</v>
      </c>
      <c r="H12805">
        <v>53223</v>
      </c>
      <c r="I12805" t="s">
        <v>30</v>
      </c>
      <c r="J12805" t="s">
        <v>41</v>
      </c>
      <c r="K12805" t="s">
        <v>229</v>
      </c>
      <c r="Q12805">
        <v>0</v>
      </c>
      <c r="R12805">
        <v>144</v>
      </c>
      <c r="S12805">
        <v>144</v>
      </c>
      <c r="T12805" t="s">
        <v>45919</v>
      </c>
    </row>
    <row r="12806" spans="1:20" customFormat="1" ht="15" x14ac:dyDescent="0.25">
      <c r="A12806" t="s">
        <v>35</v>
      </c>
      <c r="B12806" t="s">
        <v>61</v>
      </c>
      <c r="C12806" t="str">
        <f>"A0130581"</f>
        <v>A0130581</v>
      </c>
      <c r="D12806" t="s">
        <v>45920</v>
      </c>
      <c r="E12806" t="s">
        <v>45921</v>
      </c>
      <c r="F12806" t="s">
        <v>45922</v>
      </c>
      <c r="G12806" t="s">
        <v>71</v>
      </c>
      <c r="H12806">
        <v>53021</v>
      </c>
      <c r="I12806" t="s">
        <v>30</v>
      </c>
      <c r="J12806" t="s">
        <v>41</v>
      </c>
      <c r="K12806" t="s">
        <v>290</v>
      </c>
      <c r="Q12806">
        <v>0</v>
      </c>
      <c r="R12806">
        <v>0</v>
      </c>
      <c r="S12806">
        <v>0</v>
      </c>
      <c r="T12806" t="s">
        <v>45923</v>
      </c>
    </row>
    <row r="12807" spans="1:20" customFormat="1" ht="15" x14ac:dyDescent="0.25">
      <c r="A12807" t="s">
        <v>35</v>
      </c>
      <c r="B12807" t="s">
        <v>61</v>
      </c>
      <c r="C12807" t="str">
        <f>"A0131914"</f>
        <v>A0131914</v>
      </c>
      <c r="D12807" t="s">
        <v>45924</v>
      </c>
      <c r="E12807" t="s">
        <v>45925</v>
      </c>
      <c r="F12807" t="s">
        <v>45926</v>
      </c>
      <c r="G12807" t="s">
        <v>65</v>
      </c>
      <c r="H12807">
        <v>45653</v>
      </c>
      <c r="I12807" t="s">
        <v>30</v>
      </c>
      <c r="J12807" t="s">
        <v>41</v>
      </c>
      <c r="K12807" t="s">
        <v>229</v>
      </c>
      <c r="Q12807">
        <v>0</v>
      </c>
      <c r="R12807">
        <v>113</v>
      </c>
      <c r="S12807">
        <v>113</v>
      </c>
      <c r="T12807" t="s">
        <v>45927</v>
      </c>
    </row>
    <row r="12808" spans="1:20" customFormat="1" ht="15" x14ac:dyDescent="0.25">
      <c r="A12808" t="s">
        <v>35</v>
      </c>
      <c r="B12808" t="s">
        <v>5511</v>
      </c>
      <c r="C12808" t="str">
        <f>"A0122999"</f>
        <v>A0122999</v>
      </c>
      <c r="D12808" t="s">
        <v>45928</v>
      </c>
      <c r="E12808" t="s">
        <v>45929</v>
      </c>
      <c r="F12808" t="s">
        <v>33001</v>
      </c>
      <c r="G12808" t="s">
        <v>433</v>
      </c>
      <c r="H12808">
        <v>83318</v>
      </c>
      <c r="I12808" t="s">
        <v>30</v>
      </c>
      <c r="J12808" t="s">
        <v>41</v>
      </c>
      <c r="K12808" t="s">
        <v>229</v>
      </c>
      <c r="Q12808">
        <v>0</v>
      </c>
      <c r="R12808">
        <v>65</v>
      </c>
      <c r="S12808">
        <v>65</v>
      </c>
      <c r="T12808" t="s">
        <v>45930</v>
      </c>
    </row>
    <row r="12809" spans="1:20" customFormat="1" ht="15" x14ac:dyDescent="0.25">
      <c r="A12809" t="s">
        <v>35</v>
      </c>
      <c r="B12809" t="s">
        <v>106</v>
      </c>
      <c r="C12809" t="str">
        <f>"A0136266"</f>
        <v>A0136266</v>
      </c>
      <c r="D12809" t="s">
        <v>45931</v>
      </c>
      <c r="E12809" t="s">
        <v>45932</v>
      </c>
      <c r="F12809" t="s">
        <v>45933</v>
      </c>
      <c r="G12809" t="s">
        <v>137</v>
      </c>
      <c r="H12809">
        <v>64485</v>
      </c>
      <c r="I12809" t="s">
        <v>30</v>
      </c>
      <c r="J12809" t="s">
        <v>111</v>
      </c>
      <c r="K12809" t="s">
        <v>112</v>
      </c>
      <c r="Q12809">
        <v>0</v>
      </c>
      <c r="R12809">
        <v>0</v>
      </c>
      <c r="S12809">
        <v>0</v>
      </c>
      <c r="T12809" t="s">
        <v>45934</v>
      </c>
    </row>
    <row r="12810" spans="1:20" customFormat="1" ht="15" x14ac:dyDescent="0.25">
      <c r="A12810" t="s">
        <v>35</v>
      </c>
      <c r="B12810" t="s">
        <v>61</v>
      </c>
      <c r="C12810" t="str">
        <f>"A0127407"</f>
        <v>A0127407</v>
      </c>
      <c r="D12810" t="s">
        <v>45935</v>
      </c>
      <c r="E12810" t="s">
        <v>45936</v>
      </c>
      <c r="F12810" t="s">
        <v>45937</v>
      </c>
      <c r="G12810" t="s">
        <v>846</v>
      </c>
      <c r="H12810">
        <v>31057</v>
      </c>
      <c r="I12810" t="s">
        <v>30</v>
      </c>
      <c r="J12810" t="s">
        <v>41</v>
      </c>
      <c r="K12810" t="s">
        <v>1032</v>
      </c>
      <c r="Q12810">
        <v>0</v>
      </c>
      <c r="R12810">
        <v>88</v>
      </c>
      <c r="S12810">
        <v>88</v>
      </c>
      <c r="T12810" t="s">
        <v>45938</v>
      </c>
    </row>
    <row r="12811" spans="1:20" customFormat="1" ht="15" x14ac:dyDescent="0.25">
      <c r="A12811" t="s">
        <v>35</v>
      </c>
      <c r="B12811" t="s">
        <v>61</v>
      </c>
      <c r="C12811" t="str">
        <f>"A0122774"</f>
        <v>A0122774</v>
      </c>
      <c r="D12811" t="s">
        <v>45939</v>
      </c>
      <c r="E12811" t="s">
        <v>45940</v>
      </c>
      <c r="F12811" t="s">
        <v>1431</v>
      </c>
      <c r="G12811" t="s">
        <v>47</v>
      </c>
      <c r="H12811">
        <v>97239</v>
      </c>
      <c r="I12811" t="s">
        <v>30</v>
      </c>
      <c r="J12811" t="s">
        <v>41</v>
      </c>
      <c r="K12811" t="s">
        <v>1440</v>
      </c>
      <c r="Q12811">
        <v>0</v>
      </c>
      <c r="R12811">
        <v>310</v>
      </c>
      <c r="S12811">
        <v>310</v>
      </c>
      <c r="T12811" t="s">
        <v>45941</v>
      </c>
    </row>
    <row r="12812" spans="1:20" customFormat="1" ht="15" x14ac:dyDescent="0.25">
      <c r="A12812" t="s">
        <v>35</v>
      </c>
      <c r="B12812" t="s">
        <v>61</v>
      </c>
      <c r="C12812" t="str">
        <f>"A0121954"</f>
        <v>A0121954</v>
      </c>
      <c r="D12812" t="s">
        <v>45942</v>
      </c>
      <c r="E12812" t="s">
        <v>45943</v>
      </c>
      <c r="F12812" t="s">
        <v>7362</v>
      </c>
      <c r="G12812" t="s">
        <v>110</v>
      </c>
      <c r="H12812">
        <v>90019</v>
      </c>
      <c r="I12812" t="s">
        <v>30</v>
      </c>
      <c r="J12812" t="s">
        <v>41</v>
      </c>
      <c r="K12812" t="s">
        <v>229</v>
      </c>
      <c r="Q12812">
        <v>0</v>
      </c>
      <c r="R12812">
        <v>120</v>
      </c>
      <c r="S12812">
        <v>120</v>
      </c>
      <c r="T12812" t="s">
        <v>45944</v>
      </c>
    </row>
    <row r="12813" spans="1:20" customFormat="1" ht="15" x14ac:dyDescent="0.25">
      <c r="A12813" t="s">
        <v>35</v>
      </c>
      <c r="B12813" t="s">
        <v>61</v>
      </c>
      <c r="C12813" t="str">
        <f>"A0121267"</f>
        <v>A0121267</v>
      </c>
      <c r="D12813" t="s">
        <v>45945</v>
      </c>
      <c r="E12813" t="s">
        <v>45946</v>
      </c>
      <c r="F12813" t="s">
        <v>45947</v>
      </c>
      <c r="G12813" t="s">
        <v>153</v>
      </c>
      <c r="H12813">
        <v>84622</v>
      </c>
      <c r="I12813" t="s">
        <v>30</v>
      </c>
      <c r="J12813" t="s">
        <v>41</v>
      </c>
      <c r="K12813" t="s">
        <v>229</v>
      </c>
      <c r="Q12813">
        <v>0</v>
      </c>
      <c r="R12813">
        <v>68</v>
      </c>
      <c r="S12813">
        <v>68</v>
      </c>
      <c r="T12813" t="s">
        <v>45948</v>
      </c>
    </row>
    <row r="12814" spans="1:20" customFormat="1" ht="15" x14ac:dyDescent="0.25">
      <c r="A12814" t="s">
        <v>35</v>
      </c>
      <c r="B12814" t="s">
        <v>61</v>
      </c>
      <c r="C12814" t="str">
        <f>"A0129908"</f>
        <v>A0129908</v>
      </c>
      <c r="D12814" t="s">
        <v>45949</v>
      </c>
      <c r="E12814" t="s">
        <v>45950</v>
      </c>
      <c r="F12814" t="s">
        <v>12532</v>
      </c>
      <c r="G12814" t="s">
        <v>880</v>
      </c>
      <c r="H12814">
        <v>38301</v>
      </c>
      <c r="I12814" t="s">
        <v>30</v>
      </c>
      <c r="J12814" t="s">
        <v>41</v>
      </c>
      <c r="K12814" t="s">
        <v>229</v>
      </c>
      <c r="Q12814">
        <v>0</v>
      </c>
      <c r="R12814">
        <v>57</v>
      </c>
      <c r="S12814">
        <v>57</v>
      </c>
      <c r="T12814" t="s">
        <v>45951</v>
      </c>
    </row>
    <row r="12815" spans="1:20" customFormat="1" ht="15" x14ac:dyDescent="0.25">
      <c r="A12815" t="s">
        <v>35</v>
      </c>
      <c r="B12815" t="s">
        <v>61</v>
      </c>
      <c r="C12815" t="str">
        <f>"A0117976"</f>
        <v>A0117976</v>
      </c>
      <c r="D12815" t="s">
        <v>45952</v>
      </c>
      <c r="E12815" t="s">
        <v>45953</v>
      </c>
      <c r="F12815" t="s">
        <v>9135</v>
      </c>
      <c r="G12815" t="s">
        <v>110</v>
      </c>
      <c r="H12815">
        <v>951210000</v>
      </c>
      <c r="I12815" t="s">
        <v>30</v>
      </c>
      <c r="J12815" t="s">
        <v>41</v>
      </c>
      <c r="K12815" t="s">
        <v>229</v>
      </c>
      <c r="Q12815">
        <v>0</v>
      </c>
      <c r="R12815">
        <v>163</v>
      </c>
      <c r="S12815">
        <v>163</v>
      </c>
      <c r="T12815" t="s">
        <v>45954</v>
      </c>
    </row>
    <row r="12816" spans="1:20" customFormat="1" ht="15" x14ac:dyDescent="0.25">
      <c r="A12816" t="s">
        <v>35</v>
      </c>
      <c r="B12816" t="s">
        <v>61</v>
      </c>
      <c r="C12816" t="str">
        <f>"A0119333"</f>
        <v>A0119333</v>
      </c>
      <c r="D12816" t="s">
        <v>45955</v>
      </c>
      <c r="E12816" t="s">
        <v>45956</v>
      </c>
      <c r="F12816" t="s">
        <v>1439</v>
      </c>
      <c r="G12816" t="s">
        <v>110</v>
      </c>
      <c r="H12816">
        <v>92108</v>
      </c>
      <c r="I12816" t="s">
        <v>30</v>
      </c>
      <c r="J12816" t="s">
        <v>41</v>
      </c>
      <c r="K12816" t="s">
        <v>2463</v>
      </c>
      <c r="Q12816">
        <v>0</v>
      </c>
      <c r="R12816">
        <v>0</v>
      </c>
      <c r="S12816">
        <v>0</v>
      </c>
      <c r="T12816" t="s">
        <v>45957</v>
      </c>
    </row>
    <row r="12817" spans="1:20" customFormat="1" ht="15" x14ac:dyDescent="0.25">
      <c r="A12817" t="s">
        <v>35</v>
      </c>
      <c r="B12817" t="s">
        <v>437</v>
      </c>
      <c r="C12817" t="str">
        <f>"A0135216"</f>
        <v>A0135216</v>
      </c>
      <c r="D12817" t="s">
        <v>45958</v>
      </c>
      <c r="E12817" t="s">
        <v>45959</v>
      </c>
      <c r="F12817" t="s">
        <v>40419</v>
      </c>
      <c r="G12817" t="s">
        <v>110</v>
      </c>
      <c r="H12817">
        <v>92240</v>
      </c>
      <c r="I12817" t="s">
        <v>30</v>
      </c>
      <c r="J12817" t="s">
        <v>441</v>
      </c>
      <c r="K12817" t="s">
        <v>442</v>
      </c>
      <c r="Q12817">
        <v>0</v>
      </c>
      <c r="R12817">
        <v>0</v>
      </c>
      <c r="S12817">
        <v>0</v>
      </c>
      <c r="T12817" t="s">
        <v>45960</v>
      </c>
    </row>
    <row r="12818" spans="1:20" customFormat="1" ht="15" x14ac:dyDescent="0.25">
      <c r="A12818" t="s">
        <v>35</v>
      </c>
      <c r="B12818" t="s">
        <v>61</v>
      </c>
      <c r="C12818" t="str">
        <f>"A0133209"</f>
        <v>A0133209</v>
      </c>
      <c r="D12818" t="s">
        <v>45961</v>
      </c>
      <c r="E12818" t="s">
        <v>45962</v>
      </c>
      <c r="F12818" t="s">
        <v>5240</v>
      </c>
      <c r="G12818" t="s">
        <v>52</v>
      </c>
      <c r="H12818">
        <v>782140000</v>
      </c>
      <c r="I12818" t="s">
        <v>30</v>
      </c>
      <c r="J12818" t="s">
        <v>41</v>
      </c>
      <c r="K12818" t="s">
        <v>229</v>
      </c>
      <c r="Q12818">
        <v>0</v>
      </c>
      <c r="R12818">
        <v>80</v>
      </c>
      <c r="S12818">
        <v>80</v>
      </c>
      <c r="T12818" t="s">
        <v>45963</v>
      </c>
    </row>
    <row r="12819" spans="1:20" customFormat="1" ht="15" x14ac:dyDescent="0.25">
      <c r="A12819" t="s">
        <v>35</v>
      </c>
      <c r="B12819" t="s">
        <v>61</v>
      </c>
      <c r="C12819" t="str">
        <f>"A0118017"</f>
        <v>A0118017</v>
      </c>
      <c r="D12819" t="s">
        <v>45964</v>
      </c>
      <c r="E12819" t="s">
        <v>45965</v>
      </c>
      <c r="F12819" t="s">
        <v>4032</v>
      </c>
      <c r="G12819" t="s">
        <v>110</v>
      </c>
      <c r="H12819">
        <v>93105</v>
      </c>
      <c r="I12819" t="s">
        <v>30</v>
      </c>
      <c r="J12819" t="s">
        <v>41</v>
      </c>
      <c r="K12819" t="s">
        <v>59</v>
      </c>
      <c r="Q12819">
        <v>0</v>
      </c>
      <c r="R12819">
        <v>138</v>
      </c>
      <c r="S12819">
        <v>138</v>
      </c>
      <c r="T12819" t="s">
        <v>45966</v>
      </c>
    </row>
    <row r="12820" spans="1:20" customFormat="1" ht="15" x14ac:dyDescent="0.25">
      <c r="A12820" t="s">
        <v>35</v>
      </c>
      <c r="B12820" t="s">
        <v>61</v>
      </c>
      <c r="C12820" t="str">
        <f>"A0117911"</f>
        <v>A0117911</v>
      </c>
      <c r="D12820" t="s">
        <v>45967</v>
      </c>
      <c r="E12820" t="s">
        <v>45968</v>
      </c>
      <c r="F12820" t="s">
        <v>23929</v>
      </c>
      <c r="G12820" t="s">
        <v>110</v>
      </c>
      <c r="H12820">
        <v>95008</v>
      </c>
      <c r="I12820" t="s">
        <v>30</v>
      </c>
      <c r="J12820" t="s">
        <v>41</v>
      </c>
      <c r="K12820" t="s">
        <v>1032</v>
      </c>
      <c r="Q12820">
        <v>0</v>
      </c>
      <c r="R12820">
        <v>47</v>
      </c>
      <c r="S12820">
        <v>47</v>
      </c>
      <c r="T12820" t="s">
        <v>45969</v>
      </c>
    </row>
    <row r="12821" spans="1:20" customFormat="1" ht="15" x14ac:dyDescent="0.25">
      <c r="A12821" t="s">
        <v>35</v>
      </c>
      <c r="B12821" t="s">
        <v>106</v>
      </c>
      <c r="C12821" t="str">
        <f>"A0136305"</f>
        <v>A0136305</v>
      </c>
      <c r="D12821" t="s">
        <v>45970</v>
      </c>
      <c r="E12821" t="s">
        <v>45971</v>
      </c>
      <c r="F12821" t="s">
        <v>45972</v>
      </c>
      <c r="G12821" t="s">
        <v>1369</v>
      </c>
      <c r="H12821">
        <v>39059</v>
      </c>
      <c r="I12821" t="s">
        <v>30</v>
      </c>
      <c r="J12821" t="s">
        <v>111</v>
      </c>
      <c r="K12821" t="s">
        <v>112</v>
      </c>
      <c r="Q12821">
        <v>0</v>
      </c>
      <c r="R12821">
        <v>0</v>
      </c>
      <c r="S12821">
        <v>0</v>
      </c>
      <c r="T12821" t="s">
        <v>45973</v>
      </c>
    </row>
    <row r="12822" spans="1:20" customFormat="1" ht="15" x14ac:dyDescent="0.25">
      <c r="A12822" t="s">
        <v>35</v>
      </c>
      <c r="B12822" t="s">
        <v>61</v>
      </c>
      <c r="C12822" t="str">
        <f>"A0130166"</f>
        <v>A0130166</v>
      </c>
      <c r="D12822" t="s">
        <v>45974</v>
      </c>
      <c r="E12822" t="s">
        <v>45975</v>
      </c>
      <c r="F12822" t="s">
        <v>5786</v>
      </c>
      <c r="G12822" t="s">
        <v>1898</v>
      </c>
      <c r="H12822">
        <v>52632</v>
      </c>
      <c r="I12822" t="s">
        <v>30</v>
      </c>
      <c r="J12822" t="s">
        <v>41</v>
      </c>
      <c r="K12822" t="s">
        <v>229</v>
      </c>
      <c r="Q12822">
        <v>0</v>
      </c>
      <c r="R12822">
        <v>126</v>
      </c>
      <c r="S12822">
        <v>126</v>
      </c>
      <c r="T12822" t="s">
        <v>45976</v>
      </c>
    </row>
    <row r="12823" spans="1:20" customFormat="1" ht="15" x14ac:dyDescent="0.25">
      <c r="A12823" t="s">
        <v>35</v>
      </c>
      <c r="B12823" t="s">
        <v>61</v>
      </c>
      <c r="C12823" t="str">
        <f>"A0130832"</f>
        <v>A0130832</v>
      </c>
      <c r="D12823" t="s">
        <v>45977</v>
      </c>
      <c r="E12823" t="s">
        <v>45978</v>
      </c>
      <c r="F12823" t="s">
        <v>17069</v>
      </c>
      <c r="G12823" t="s">
        <v>137</v>
      </c>
      <c r="H12823">
        <v>651090000</v>
      </c>
      <c r="I12823" t="s">
        <v>30</v>
      </c>
      <c r="J12823" t="s">
        <v>41</v>
      </c>
      <c r="K12823" t="s">
        <v>33536</v>
      </c>
      <c r="Q12823">
        <v>0</v>
      </c>
      <c r="R12823">
        <v>1</v>
      </c>
      <c r="S12823">
        <v>1</v>
      </c>
      <c r="T12823" t="s">
        <v>45979</v>
      </c>
    </row>
    <row r="12824" spans="1:20" customFormat="1" ht="15" x14ac:dyDescent="0.25">
      <c r="A12824" t="s">
        <v>35</v>
      </c>
      <c r="B12824" t="s">
        <v>61</v>
      </c>
      <c r="C12824" t="str">
        <f>"A0124577"</f>
        <v>A0124577</v>
      </c>
      <c r="D12824" t="s">
        <v>45980</v>
      </c>
      <c r="E12824" t="s">
        <v>45981</v>
      </c>
      <c r="F12824" t="s">
        <v>19101</v>
      </c>
      <c r="G12824" t="s">
        <v>1706</v>
      </c>
      <c r="H12824">
        <v>356300000</v>
      </c>
      <c r="I12824" t="s">
        <v>30</v>
      </c>
      <c r="J12824" t="s">
        <v>41</v>
      </c>
      <c r="K12824" t="s">
        <v>229</v>
      </c>
      <c r="Q12824">
        <v>0</v>
      </c>
      <c r="R12824">
        <v>222</v>
      </c>
      <c r="S12824">
        <v>222</v>
      </c>
      <c r="T12824" t="s">
        <v>45982</v>
      </c>
    </row>
    <row r="12825" spans="1:20" customFormat="1" ht="15" x14ac:dyDescent="0.25">
      <c r="A12825" t="s">
        <v>35</v>
      </c>
      <c r="B12825" t="s">
        <v>61</v>
      </c>
      <c r="C12825" t="str">
        <f>"A0132588"</f>
        <v>A0132588</v>
      </c>
      <c r="D12825" t="s">
        <v>12106</v>
      </c>
      <c r="E12825" t="s">
        <v>45983</v>
      </c>
      <c r="F12825" t="s">
        <v>64</v>
      </c>
      <c r="G12825" t="s">
        <v>65</v>
      </c>
      <c r="H12825">
        <v>43219</v>
      </c>
      <c r="I12825" t="s">
        <v>30</v>
      </c>
      <c r="J12825" t="s">
        <v>41</v>
      </c>
      <c r="K12825" t="s">
        <v>229</v>
      </c>
      <c r="Q12825">
        <v>0</v>
      </c>
      <c r="R12825">
        <v>97</v>
      </c>
      <c r="S12825">
        <v>97</v>
      </c>
      <c r="T12825" t="s">
        <v>45984</v>
      </c>
    </row>
    <row r="12826" spans="1:20" customFormat="1" ht="15" x14ac:dyDescent="0.25">
      <c r="A12826" t="s">
        <v>35</v>
      </c>
      <c r="B12826" t="s">
        <v>61</v>
      </c>
      <c r="C12826" t="str">
        <f>"A0118991"</f>
        <v>A0118991</v>
      </c>
      <c r="D12826" t="s">
        <v>45985</v>
      </c>
      <c r="E12826" t="s">
        <v>45986</v>
      </c>
      <c r="F12826" t="s">
        <v>1136</v>
      </c>
      <c r="G12826" t="s">
        <v>110</v>
      </c>
      <c r="H12826">
        <v>94303</v>
      </c>
      <c r="I12826" t="s">
        <v>30</v>
      </c>
      <c r="J12826" t="s">
        <v>41</v>
      </c>
      <c r="K12826" t="s">
        <v>1440</v>
      </c>
      <c r="Q12826">
        <v>0</v>
      </c>
      <c r="R12826">
        <v>270</v>
      </c>
      <c r="S12826">
        <v>270</v>
      </c>
      <c r="T12826" t="s">
        <v>45987</v>
      </c>
    </row>
    <row r="12827" spans="1:20" customFormat="1" ht="15" x14ac:dyDescent="0.25">
      <c r="A12827" t="s">
        <v>35</v>
      </c>
      <c r="B12827" t="s">
        <v>61</v>
      </c>
      <c r="C12827" t="str">
        <f>"A0126864"</f>
        <v>A0126864</v>
      </c>
      <c r="D12827" t="s">
        <v>45988</v>
      </c>
      <c r="E12827" t="s">
        <v>45989</v>
      </c>
      <c r="F12827" t="s">
        <v>45990</v>
      </c>
      <c r="G12827" t="s">
        <v>103</v>
      </c>
      <c r="H12827">
        <v>15063</v>
      </c>
      <c r="I12827" t="s">
        <v>30</v>
      </c>
      <c r="J12827" t="s">
        <v>41</v>
      </c>
      <c r="K12827" t="s">
        <v>1440</v>
      </c>
      <c r="Q12827">
        <v>0</v>
      </c>
      <c r="R12827">
        <v>101</v>
      </c>
      <c r="S12827">
        <v>101</v>
      </c>
      <c r="T12827" t="s">
        <v>45991</v>
      </c>
    </row>
    <row r="12828" spans="1:20" customFormat="1" ht="15" x14ac:dyDescent="0.25">
      <c r="A12828" t="s">
        <v>35</v>
      </c>
      <c r="B12828" t="s">
        <v>61</v>
      </c>
      <c r="C12828" t="str">
        <f>"A0131731"</f>
        <v>A0131731</v>
      </c>
      <c r="D12828" t="s">
        <v>45992</v>
      </c>
      <c r="E12828" t="s">
        <v>45993</v>
      </c>
      <c r="F12828" t="s">
        <v>64</v>
      </c>
      <c r="G12828" t="s">
        <v>65</v>
      </c>
      <c r="H12828">
        <v>43220</v>
      </c>
      <c r="I12828" t="s">
        <v>30</v>
      </c>
      <c r="J12828" t="s">
        <v>41</v>
      </c>
      <c r="K12828" t="s">
        <v>447</v>
      </c>
      <c r="Q12828">
        <v>0</v>
      </c>
      <c r="R12828">
        <v>1</v>
      </c>
      <c r="S12828">
        <v>1</v>
      </c>
      <c r="T12828" t="s">
        <v>45994</v>
      </c>
    </row>
    <row r="12829" spans="1:20" customFormat="1" ht="15" x14ac:dyDescent="0.25">
      <c r="A12829" t="s">
        <v>35</v>
      </c>
      <c r="B12829" t="s">
        <v>61</v>
      </c>
      <c r="C12829" t="str">
        <f>"A0118703"</f>
        <v>A0118703</v>
      </c>
      <c r="D12829" t="s">
        <v>45995</v>
      </c>
      <c r="E12829" t="s">
        <v>45996</v>
      </c>
      <c r="F12829" t="s">
        <v>7000</v>
      </c>
      <c r="G12829" t="s">
        <v>110</v>
      </c>
      <c r="H12829">
        <v>922700000</v>
      </c>
      <c r="I12829" t="s">
        <v>30</v>
      </c>
      <c r="J12829" t="s">
        <v>41</v>
      </c>
      <c r="K12829" t="s">
        <v>1032</v>
      </c>
      <c r="Q12829">
        <v>0</v>
      </c>
      <c r="R12829">
        <v>120</v>
      </c>
      <c r="S12829">
        <v>120</v>
      </c>
      <c r="T12829" t="s">
        <v>45997</v>
      </c>
    </row>
    <row r="12830" spans="1:20" customFormat="1" ht="15" x14ac:dyDescent="0.25">
      <c r="A12830" t="s">
        <v>35</v>
      </c>
      <c r="B12830" t="s">
        <v>61</v>
      </c>
      <c r="C12830" t="str">
        <f>"A0118704"</f>
        <v>A0118704</v>
      </c>
      <c r="D12830" t="s">
        <v>45998</v>
      </c>
      <c r="E12830" t="s">
        <v>45999</v>
      </c>
      <c r="F12830" t="s">
        <v>109</v>
      </c>
      <c r="G12830" t="s">
        <v>110</v>
      </c>
      <c r="H12830">
        <v>91910</v>
      </c>
      <c r="I12830" t="s">
        <v>30</v>
      </c>
      <c r="J12830" t="s">
        <v>41</v>
      </c>
      <c r="K12830" t="s">
        <v>59</v>
      </c>
      <c r="Q12830">
        <v>0</v>
      </c>
      <c r="R12830">
        <v>165</v>
      </c>
      <c r="S12830">
        <v>165</v>
      </c>
      <c r="T12830" t="s">
        <v>46000</v>
      </c>
    </row>
    <row r="12831" spans="1:20" customFormat="1" ht="15" x14ac:dyDescent="0.25">
      <c r="A12831" t="s">
        <v>35</v>
      </c>
      <c r="B12831" t="s">
        <v>61</v>
      </c>
      <c r="C12831" t="str">
        <f>"A0127297"</f>
        <v>A0127297</v>
      </c>
      <c r="D12831" t="s">
        <v>46001</v>
      </c>
      <c r="E12831" t="s">
        <v>46002</v>
      </c>
      <c r="F12831" t="s">
        <v>12528</v>
      </c>
      <c r="G12831" t="s">
        <v>846</v>
      </c>
      <c r="H12831">
        <v>30094</v>
      </c>
      <c r="I12831" t="s">
        <v>30</v>
      </c>
      <c r="J12831" t="s">
        <v>41</v>
      </c>
      <c r="K12831" t="s">
        <v>2477</v>
      </c>
      <c r="Q12831">
        <v>0</v>
      </c>
      <c r="R12831">
        <v>20</v>
      </c>
      <c r="S12831">
        <v>20</v>
      </c>
      <c r="T12831" t="s">
        <v>46003</v>
      </c>
    </row>
    <row r="12832" spans="1:20" customFormat="1" ht="15" x14ac:dyDescent="0.25">
      <c r="A12832" t="s">
        <v>35</v>
      </c>
      <c r="B12832" t="s">
        <v>61</v>
      </c>
      <c r="C12832" t="str">
        <f>"A0123491"</f>
        <v>A0123491</v>
      </c>
      <c r="D12832" t="s">
        <v>46004</v>
      </c>
      <c r="E12832" t="s">
        <v>46005</v>
      </c>
      <c r="F12832" t="s">
        <v>20129</v>
      </c>
      <c r="G12832" t="s">
        <v>507</v>
      </c>
      <c r="H12832">
        <v>26505</v>
      </c>
      <c r="I12832" t="s">
        <v>30</v>
      </c>
      <c r="J12832" t="s">
        <v>41</v>
      </c>
      <c r="K12832" t="s">
        <v>229</v>
      </c>
      <c r="Q12832">
        <v>0</v>
      </c>
      <c r="R12832">
        <v>120</v>
      </c>
      <c r="S12832">
        <v>120</v>
      </c>
      <c r="T12832" t="s">
        <v>46006</v>
      </c>
    </row>
    <row r="12833" spans="1:20" customFormat="1" ht="15" x14ac:dyDescent="0.25">
      <c r="A12833" t="s">
        <v>35</v>
      </c>
      <c r="B12833" t="s">
        <v>61</v>
      </c>
      <c r="C12833" t="str">
        <f>"A0154178"</f>
        <v>A0154178</v>
      </c>
      <c r="D12833" t="s">
        <v>46007</v>
      </c>
      <c r="E12833" t="s">
        <v>46008</v>
      </c>
      <c r="F12833" t="s">
        <v>26754</v>
      </c>
      <c r="G12833" t="s">
        <v>117</v>
      </c>
      <c r="H12833">
        <v>48161</v>
      </c>
      <c r="I12833" t="s">
        <v>30</v>
      </c>
      <c r="J12833" t="s">
        <v>41</v>
      </c>
      <c r="K12833" t="s">
        <v>418</v>
      </c>
      <c r="Q12833">
        <v>0</v>
      </c>
      <c r="R12833">
        <v>0</v>
      </c>
      <c r="S12833">
        <v>0</v>
      </c>
      <c r="T12833" t="s">
        <v>46009</v>
      </c>
    </row>
    <row r="12834" spans="1:20" customFormat="1" ht="15" x14ac:dyDescent="0.25">
      <c r="A12834" t="s">
        <v>35</v>
      </c>
      <c r="B12834" t="s">
        <v>61</v>
      </c>
      <c r="C12834" t="str">
        <f>"A0131313"</f>
        <v>A0131313</v>
      </c>
      <c r="D12834" t="s">
        <v>46010</v>
      </c>
      <c r="E12834" t="s">
        <v>46011</v>
      </c>
      <c r="F12834" t="s">
        <v>46012</v>
      </c>
      <c r="G12834" t="s">
        <v>137</v>
      </c>
      <c r="H12834">
        <v>634560000</v>
      </c>
      <c r="I12834" t="s">
        <v>30</v>
      </c>
      <c r="J12834" t="s">
        <v>41</v>
      </c>
      <c r="K12834" t="s">
        <v>229</v>
      </c>
      <c r="Q12834">
        <v>0</v>
      </c>
      <c r="R12834">
        <v>52</v>
      </c>
      <c r="S12834">
        <v>52</v>
      </c>
      <c r="T12834" t="s">
        <v>46013</v>
      </c>
    </row>
    <row r="12835" spans="1:20" customFormat="1" ht="15" x14ac:dyDescent="0.25">
      <c r="A12835" t="s">
        <v>35</v>
      </c>
      <c r="B12835" t="s">
        <v>61</v>
      </c>
      <c r="C12835" t="str">
        <f>"A0125363"</f>
        <v>A0125363</v>
      </c>
      <c r="D12835" t="s">
        <v>46014</v>
      </c>
      <c r="E12835" t="s">
        <v>46015</v>
      </c>
      <c r="F12835" t="s">
        <v>46016</v>
      </c>
      <c r="G12835" t="s">
        <v>40</v>
      </c>
      <c r="H12835">
        <v>74346</v>
      </c>
      <c r="I12835" t="s">
        <v>30</v>
      </c>
      <c r="J12835" t="s">
        <v>41</v>
      </c>
      <c r="K12835" t="s">
        <v>229</v>
      </c>
      <c r="Q12835">
        <v>0</v>
      </c>
      <c r="R12835">
        <v>98</v>
      </c>
      <c r="S12835">
        <v>98</v>
      </c>
      <c r="T12835" t="s">
        <v>46017</v>
      </c>
    </row>
    <row r="12836" spans="1:20" customFormat="1" ht="15" x14ac:dyDescent="0.25">
      <c r="A12836" t="s">
        <v>35</v>
      </c>
      <c r="B12836" t="s">
        <v>106</v>
      </c>
      <c r="C12836" t="str">
        <f>"A0135855"</f>
        <v>A0135855</v>
      </c>
      <c r="D12836" t="s">
        <v>46018</v>
      </c>
      <c r="E12836" t="s">
        <v>46019</v>
      </c>
      <c r="F12836" t="s">
        <v>43717</v>
      </c>
      <c r="G12836" t="s">
        <v>1184</v>
      </c>
      <c r="H12836">
        <v>59717</v>
      </c>
      <c r="I12836" t="s">
        <v>30</v>
      </c>
      <c r="J12836" t="s">
        <v>111</v>
      </c>
      <c r="K12836" t="s">
        <v>10012</v>
      </c>
      <c r="Q12836">
        <v>0</v>
      </c>
      <c r="R12836">
        <v>0</v>
      </c>
      <c r="S12836">
        <v>0</v>
      </c>
      <c r="T12836" t="s">
        <v>46020</v>
      </c>
    </row>
    <row r="12837" spans="1:20" customFormat="1" ht="15" x14ac:dyDescent="0.25">
      <c r="A12837" t="s">
        <v>35</v>
      </c>
      <c r="B12837" t="s">
        <v>61</v>
      </c>
      <c r="C12837" t="str">
        <f>"A0121785"</f>
        <v>A0121785</v>
      </c>
      <c r="D12837" t="s">
        <v>46021</v>
      </c>
      <c r="E12837" t="s">
        <v>46022</v>
      </c>
      <c r="F12837" t="s">
        <v>9907</v>
      </c>
      <c r="G12837" t="s">
        <v>52</v>
      </c>
      <c r="H12837">
        <v>75043</v>
      </c>
      <c r="I12837" t="s">
        <v>30</v>
      </c>
      <c r="J12837" t="s">
        <v>41</v>
      </c>
      <c r="K12837" t="s">
        <v>59</v>
      </c>
      <c r="Q12837">
        <v>0</v>
      </c>
      <c r="R12837">
        <v>111</v>
      </c>
      <c r="S12837">
        <v>111</v>
      </c>
      <c r="T12837" t="s">
        <v>46023</v>
      </c>
    </row>
    <row r="12838" spans="1:20" customFormat="1" ht="15" x14ac:dyDescent="0.25">
      <c r="A12838" t="s">
        <v>35</v>
      </c>
      <c r="B12838" t="s">
        <v>61</v>
      </c>
      <c r="C12838" t="str">
        <f>"A0131307"</f>
        <v>A0131307</v>
      </c>
      <c r="D12838" t="s">
        <v>46024</v>
      </c>
      <c r="E12838" t="s">
        <v>46025</v>
      </c>
      <c r="F12838" t="s">
        <v>43775</v>
      </c>
      <c r="G12838" t="s">
        <v>137</v>
      </c>
      <c r="H12838">
        <v>637750000</v>
      </c>
      <c r="I12838" t="s">
        <v>30</v>
      </c>
      <c r="J12838" t="s">
        <v>41</v>
      </c>
      <c r="K12838" t="s">
        <v>229</v>
      </c>
      <c r="Q12838">
        <v>0</v>
      </c>
      <c r="R12838">
        <v>20</v>
      </c>
      <c r="S12838">
        <v>20</v>
      </c>
      <c r="T12838" t="s">
        <v>46026</v>
      </c>
    </row>
    <row r="12839" spans="1:20" customFormat="1" ht="15" x14ac:dyDescent="0.25">
      <c r="A12839" t="s">
        <v>35</v>
      </c>
      <c r="B12839" t="s">
        <v>61</v>
      </c>
      <c r="C12839" t="str">
        <f>"A0117869"</f>
        <v>A0117869</v>
      </c>
      <c r="D12839" t="s">
        <v>46027</v>
      </c>
      <c r="E12839" t="s">
        <v>46028</v>
      </c>
      <c r="F12839" t="s">
        <v>9836</v>
      </c>
      <c r="G12839" t="s">
        <v>110</v>
      </c>
      <c r="H12839">
        <v>91107</v>
      </c>
      <c r="I12839" t="s">
        <v>30</v>
      </c>
      <c r="J12839" t="s">
        <v>41</v>
      </c>
      <c r="K12839" t="s">
        <v>59</v>
      </c>
      <c r="Q12839">
        <v>0</v>
      </c>
      <c r="R12839">
        <v>40</v>
      </c>
      <c r="S12839">
        <v>40</v>
      </c>
      <c r="T12839" t="s">
        <v>46029</v>
      </c>
    </row>
    <row r="12840" spans="1:20" customFormat="1" ht="15" x14ac:dyDescent="0.25">
      <c r="A12840" t="s">
        <v>35</v>
      </c>
      <c r="B12840" t="s">
        <v>61</v>
      </c>
      <c r="C12840" t="str">
        <f>"A0132589"</f>
        <v>A0132589</v>
      </c>
      <c r="D12840" t="s">
        <v>46030</v>
      </c>
      <c r="E12840" t="s">
        <v>46031</v>
      </c>
      <c r="F12840" t="s">
        <v>21770</v>
      </c>
      <c r="G12840" t="s">
        <v>65</v>
      </c>
      <c r="H12840">
        <v>441220000</v>
      </c>
      <c r="I12840" t="s">
        <v>30</v>
      </c>
      <c r="J12840" t="s">
        <v>41</v>
      </c>
      <c r="K12840" t="s">
        <v>229</v>
      </c>
      <c r="Q12840">
        <v>0</v>
      </c>
      <c r="R12840">
        <v>240</v>
      </c>
      <c r="S12840">
        <v>240</v>
      </c>
      <c r="T12840" t="s">
        <v>46032</v>
      </c>
    </row>
    <row r="12841" spans="1:20" customFormat="1" ht="15" x14ac:dyDescent="0.25">
      <c r="A12841" t="s">
        <v>35</v>
      </c>
      <c r="B12841" t="s">
        <v>61</v>
      </c>
      <c r="C12841" t="str">
        <f>"A0125429"</f>
        <v>A0125429</v>
      </c>
      <c r="D12841" t="s">
        <v>46033</v>
      </c>
      <c r="E12841" t="s">
        <v>46034</v>
      </c>
      <c r="F12841" t="s">
        <v>8348</v>
      </c>
      <c r="G12841" t="s">
        <v>40</v>
      </c>
      <c r="H12841">
        <v>74136</v>
      </c>
      <c r="I12841" t="s">
        <v>30</v>
      </c>
      <c r="J12841" t="s">
        <v>41</v>
      </c>
      <c r="K12841" t="s">
        <v>229</v>
      </c>
      <c r="Q12841">
        <v>0</v>
      </c>
      <c r="R12841">
        <v>600</v>
      </c>
      <c r="S12841">
        <v>600</v>
      </c>
      <c r="T12841" t="s">
        <v>46035</v>
      </c>
    </row>
    <row r="12842" spans="1:20" customFormat="1" ht="15" x14ac:dyDescent="0.25">
      <c r="A12842" t="s">
        <v>35</v>
      </c>
      <c r="B12842" t="s">
        <v>61</v>
      </c>
      <c r="C12842" t="str">
        <f>"A0131125"</f>
        <v>A0131125</v>
      </c>
      <c r="D12842" t="s">
        <v>46036</v>
      </c>
      <c r="E12842" t="s">
        <v>46037</v>
      </c>
      <c r="F12842" t="s">
        <v>46038</v>
      </c>
      <c r="G12842" t="s">
        <v>85</v>
      </c>
      <c r="H12842">
        <v>71957</v>
      </c>
      <c r="I12842" t="s">
        <v>30</v>
      </c>
      <c r="J12842" t="s">
        <v>41</v>
      </c>
      <c r="K12842" t="s">
        <v>59</v>
      </c>
      <c r="Q12842">
        <v>0</v>
      </c>
      <c r="R12842">
        <v>42</v>
      </c>
      <c r="S12842">
        <v>42</v>
      </c>
      <c r="T12842" t="s">
        <v>46039</v>
      </c>
    </row>
    <row r="12843" spans="1:20" customFormat="1" ht="15" x14ac:dyDescent="0.25">
      <c r="A12843" t="s">
        <v>35</v>
      </c>
      <c r="B12843" t="s">
        <v>61</v>
      </c>
      <c r="C12843" t="str">
        <f>"A0131124"</f>
        <v>A0131124</v>
      </c>
      <c r="D12843" t="s">
        <v>46040</v>
      </c>
      <c r="E12843" t="s">
        <v>46041</v>
      </c>
      <c r="F12843" t="s">
        <v>46042</v>
      </c>
      <c r="G12843" t="s">
        <v>85</v>
      </c>
      <c r="H12843">
        <v>71957</v>
      </c>
      <c r="I12843" t="s">
        <v>30</v>
      </c>
      <c r="J12843" t="s">
        <v>41</v>
      </c>
      <c r="K12843" t="s">
        <v>229</v>
      </c>
      <c r="Q12843">
        <v>0</v>
      </c>
      <c r="R12843">
        <v>112</v>
      </c>
      <c r="S12843">
        <v>112</v>
      </c>
      <c r="T12843" t="s">
        <v>46043</v>
      </c>
    </row>
    <row r="12844" spans="1:20" customFormat="1" ht="15" x14ac:dyDescent="0.25">
      <c r="A12844" t="s">
        <v>35</v>
      </c>
      <c r="B12844" t="s">
        <v>61</v>
      </c>
      <c r="C12844" t="str">
        <f>"A0129089"</f>
        <v>A0129089</v>
      </c>
      <c r="D12844" t="s">
        <v>46044</v>
      </c>
      <c r="E12844" t="s">
        <v>46045</v>
      </c>
      <c r="F12844" t="s">
        <v>288</v>
      </c>
      <c r="G12844" t="s">
        <v>289</v>
      </c>
      <c r="H12844">
        <v>60637</v>
      </c>
      <c r="I12844" t="s">
        <v>30</v>
      </c>
      <c r="J12844" t="s">
        <v>41</v>
      </c>
      <c r="K12844" t="s">
        <v>59</v>
      </c>
      <c r="Q12844">
        <v>0</v>
      </c>
      <c r="R12844">
        <v>227</v>
      </c>
      <c r="S12844">
        <v>227</v>
      </c>
      <c r="T12844" t="s">
        <v>46046</v>
      </c>
    </row>
    <row r="12845" spans="1:20" customFormat="1" ht="15" x14ac:dyDescent="0.25">
      <c r="A12845" t="s">
        <v>35</v>
      </c>
      <c r="B12845" t="s">
        <v>61</v>
      </c>
      <c r="C12845" t="str">
        <f>"A0123684"</f>
        <v>A0123684</v>
      </c>
      <c r="D12845" t="s">
        <v>46047</v>
      </c>
      <c r="E12845" t="s">
        <v>46048</v>
      </c>
      <c r="F12845" t="s">
        <v>39918</v>
      </c>
      <c r="G12845" t="s">
        <v>214</v>
      </c>
      <c r="H12845">
        <v>27356</v>
      </c>
      <c r="I12845" t="s">
        <v>30</v>
      </c>
      <c r="J12845" t="s">
        <v>41</v>
      </c>
      <c r="K12845" t="s">
        <v>482</v>
      </c>
      <c r="Q12845">
        <v>0</v>
      </c>
      <c r="R12845">
        <v>40</v>
      </c>
      <c r="S12845">
        <v>40</v>
      </c>
      <c r="T12845" t="s">
        <v>46049</v>
      </c>
    </row>
    <row r="12846" spans="1:20" customFormat="1" ht="15" x14ac:dyDescent="0.25">
      <c r="A12846" t="s">
        <v>35</v>
      </c>
      <c r="B12846" t="s">
        <v>61</v>
      </c>
      <c r="C12846" t="str">
        <f>"A0125870"</f>
        <v>A0125870</v>
      </c>
      <c r="D12846" t="s">
        <v>46050</v>
      </c>
      <c r="E12846" t="s">
        <v>46051</v>
      </c>
      <c r="F12846" t="s">
        <v>20330</v>
      </c>
      <c r="G12846" t="s">
        <v>29</v>
      </c>
      <c r="H12846">
        <v>22902</v>
      </c>
      <c r="I12846" t="s">
        <v>30</v>
      </c>
      <c r="J12846" t="s">
        <v>41</v>
      </c>
      <c r="K12846" t="s">
        <v>482</v>
      </c>
      <c r="Q12846">
        <v>0</v>
      </c>
      <c r="R12846">
        <v>34</v>
      </c>
      <c r="S12846">
        <v>34</v>
      </c>
      <c r="T12846" t="s">
        <v>46052</v>
      </c>
    </row>
    <row r="12847" spans="1:20" customFormat="1" ht="15" x14ac:dyDescent="0.25">
      <c r="A12847" t="s">
        <v>35</v>
      </c>
      <c r="B12847" t="s">
        <v>61</v>
      </c>
      <c r="C12847" t="str">
        <f>"A0131832"</f>
        <v>A0131832</v>
      </c>
      <c r="D12847" t="s">
        <v>46053</v>
      </c>
      <c r="E12847" t="s">
        <v>46054</v>
      </c>
      <c r="F12847" t="s">
        <v>46055</v>
      </c>
      <c r="G12847" t="s">
        <v>65</v>
      </c>
      <c r="H12847">
        <v>43543</v>
      </c>
      <c r="I12847" t="s">
        <v>30</v>
      </c>
      <c r="J12847" t="s">
        <v>41</v>
      </c>
      <c r="K12847" t="s">
        <v>59</v>
      </c>
      <c r="Q12847">
        <v>0</v>
      </c>
      <c r="R12847">
        <v>1</v>
      </c>
      <c r="S12847">
        <v>1</v>
      </c>
      <c r="T12847" t="s">
        <v>46056</v>
      </c>
    </row>
    <row r="12848" spans="1:20" customFormat="1" ht="15" x14ac:dyDescent="0.25">
      <c r="A12848" t="s">
        <v>35</v>
      </c>
      <c r="B12848" t="s">
        <v>106</v>
      </c>
      <c r="C12848" t="str">
        <f>"A0135688"</f>
        <v>A0135688</v>
      </c>
      <c r="D12848" t="s">
        <v>46057</v>
      </c>
      <c r="E12848" t="s">
        <v>37151</v>
      </c>
      <c r="F12848" t="s">
        <v>1439</v>
      </c>
      <c r="G12848" t="s">
        <v>110</v>
      </c>
      <c r="H12848">
        <v>92182</v>
      </c>
      <c r="I12848" t="s">
        <v>30</v>
      </c>
      <c r="J12848" t="s">
        <v>111</v>
      </c>
      <c r="K12848" t="s">
        <v>10012</v>
      </c>
      <c r="Q12848">
        <v>0</v>
      </c>
      <c r="R12848">
        <v>0</v>
      </c>
      <c r="S12848">
        <v>0</v>
      </c>
      <c r="T12848" t="s">
        <v>37152</v>
      </c>
    </row>
    <row r="12849" spans="1:20" customFormat="1" ht="15" x14ac:dyDescent="0.25">
      <c r="A12849" t="s">
        <v>35</v>
      </c>
      <c r="B12849" t="s">
        <v>106</v>
      </c>
      <c r="C12849" t="str">
        <f>"A0135678"</f>
        <v>A0135678</v>
      </c>
      <c r="D12849" t="s">
        <v>46058</v>
      </c>
      <c r="E12849" t="s">
        <v>37151</v>
      </c>
      <c r="F12849" t="s">
        <v>1439</v>
      </c>
      <c r="G12849" t="s">
        <v>110</v>
      </c>
      <c r="H12849">
        <v>92182</v>
      </c>
      <c r="I12849" t="s">
        <v>30</v>
      </c>
      <c r="J12849" t="s">
        <v>111</v>
      </c>
      <c r="K12849" t="s">
        <v>10012</v>
      </c>
      <c r="Q12849">
        <v>0</v>
      </c>
      <c r="R12849">
        <v>0</v>
      </c>
      <c r="S12849">
        <v>0</v>
      </c>
      <c r="T12849" t="s">
        <v>37152</v>
      </c>
    </row>
    <row r="12850" spans="1:20" customFormat="1" ht="15" x14ac:dyDescent="0.25">
      <c r="A12850" t="s">
        <v>35</v>
      </c>
      <c r="B12850" t="s">
        <v>106</v>
      </c>
      <c r="C12850" t="str">
        <f>"A0135681"</f>
        <v>A0135681</v>
      </c>
      <c r="D12850" t="s">
        <v>46059</v>
      </c>
      <c r="E12850" t="s">
        <v>37151</v>
      </c>
      <c r="F12850" t="s">
        <v>1439</v>
      </c>
      <c r="G12850" t="s">
        <v>110</v>
      </c>
      <c r="H12850">
        <v>92182</v>
      </c>
      <c r="I12850" t="s">
        <v>30</v>
      </c>
      <c r="J12850" t="s">
        <v>111</v>
      </c>
      <c r="K12850" t="s">
        <v>10012</v>
      </c>
      <c r="Q12850">
        <v>0</v>
      </c>
      <c r="R12850">
        <v>0</v>
      </c>
      <c r="S12850">
        <v>0</v>
      </c>
      <c r="T12850" t="s">
        <v>37152</v>
      </c>
    </row>
    <row r="12851" spans="1:20" customFormat="1" ht="15" x14ac:dyDescent="0.25">
      <c r="A12851" t="s">
        <v>35</v>
      </c>
      <c r="B12851" t="s">
        <v>106</v>
      </c>
      <c r="C12851" t="str">
        <f>"A0135675"</f>
        <v>A0135675</v>
      </c>
      <c r="D12851" t="s">
        <v>46060</v>
      </c>
      <c r="E12851" t="s">
        <v>37151</v>
      </c>
      <c r="F12851" t="s">
        <v>1439</v>
      </c>
      <c r="G12851" t="s">
        <v>110</v>
      </c>
      <c r="H12851">
        <v>92182</v>
      </c>
      <c r="I12851" t="s">
        <v>30</v>
      </c>
      <c r="J12851" t="s">
        <v>111</v>
      </c>
      <c r="K12851" t="s">
        <v>10012</v>
      </c>
      <c r="Q12851">
        <v>0</v>
      </c>
      <c r="R12851">
        <v>0</v>
      </c>
      <c r="S12851">
        <v>0</v>
      </c>
    </row>
    <row r="12852" spans="1:20" customFormat="1" ht="15" x14ac:dyDescent="0.25">
      <c r="A12852" t="s">
        <v>35</v>
      </c>
      <c r="B12852" t="s">
        <v>106</v>
      </c>
      <c r="C12852" t="str">
        <f>"A0135682"</f>
        <v>A0135682</v>
      </c>
      <c r="D12852" t="s">
        <v>46061</v>
      </c>
      <c r="E12852" t="s">
        <v>37151</v>
      </c>
      <c r="F12852" t="s">
        <v>1439</v>
      </c>
      <c r="G12852" t="s">
        <v>110</v>
      </c>
      <c r="H12852">
        <v>92182</v>
      </c>
      <c r="I12852" t="s">
        <v>30</v>
      </c>
      <c r="J12852" t="s">
        <v>111</v>
      </c>
      <c r="K12852" t="s">
        <v>10012</v>
      </c>
      <c r="Q12852">
        <v>0</v>
      </c>
      <c r="R12852">
        <v>0</v>
      </c>
      <c r="S12852">
        <v>0</v>
      </c>
      <c r="T12852" t="s">
        <v>37152</v>
      </c>
    </row>
    <row r="12853" spans="1:20" customFormat="1" ht="15" x14ac:dyDescent="0.25">
      <c r="A12853" t="s">
        <v>35</v>
      </c>
      <c r="B12853" t="s">
        <v>106</v>
      </c>
      <c r="C12853" t="str">
        <f>"A0135676"</f>
        <v>A0135676</v>
      </c>
      <c r="D12853" t="s">
        <v>46062</v>
      </c>
      <c r="E12853" t="s">
        <v>37151</v>
      </c>
      <c r="F12853" t="s">
        <v>1439</v>
      </c>
      <c r="G12853" t="s">
        <v>110</v>
      </c>
      <c r="H12853">
        <v>92182</v>
      </c>
      <c r="I12853" t="s">
        <v>30</v>
      </c>
      <c r="J12853" t="s">
        <v>111</v>
      </c>
      <c r="K12853" t="s">
        <v>10012</v>
      </c>
      <c r="Q12853">
        <v>0</v>
      </c>
      <c r="R12853">
        <v>0</v>
      </c>
      <c r="S12853">
        <v>0</v>
      </c>
      <c r="T12853" t="s">
        <v>37152</v>
      </c>
    </row>
    <row r="12854" spans="1:20" customFormat="1" ht="15" x14ac:dyDescent="0.25">
      <c r="A12854" t="s">
        <v>35</v>
      </c>
      <c r="B12854" t="s">
        <v>61</v>
      </c>
      <c r="C12854" t="str">
        <f>"A0126271"</f>
        <v>A0126271</v>
      </c>
      <c r="D12854" t="s">
        <v>46063</v>
      </c>
      <c r="E12854" t="s">
        <v>46064</v>
      </c>
      <c r="F12854" t="s">
        <v>9471</v>
      </c>
      <c r="G12854" t="s">
        <v>81</v>
      </c>
      <c r="H12854">
        <v>32073</v>
      </c>
      <c r="I12854" t="s">
        <v>30</v>
      </c>
      <c r="J12854" t="s">
        <v>41</v>
      </c>
      <c r="K12854" t="s">
        <v>1440</v>
      </c>
      <c r="Q12854">
        <v>0</v>
      </c>
      <c r="R12854">
        <v>408</v>
      </c>
      <c r="S12854">
        <v>408</v>
      </c>
      <c r="T12854" t="s">
        <v>46065</v>
      </c>
    </row>
    <row r="12855" spans="1:20" customFormat="1" ht="15" x14ac:dyDescent="0.25">
      <c r="A12855" t="s">
        <v>35</v>
      </c>
      <c r="B12855" t="s">
        <v>61</v>
      </c>
      <c r="C12855" t="str">
        <f>"A0129946"</f>
        <v>A0129946</v>
      </c>
      <c r="D12855" t="s">
        <v>46066</v>
      </c>
      <c r="E12855" t="s">
        <v>46067</v>
      </c>
      <c r="F12855" t="s">
        <v>46068</v>
      </c>
      <c r="G12855" t="s">
        <v>880</v>
      </c>
      <c r="H12855">
        <v>37887</v>
      </c>
      <c r="I12855" t="s">
        <v>30</v>
      </c>
      <c r="J12855" t="s">
        <v>41</v>
      </c>
      <c r="K12855" t="s">
        <v>39685</v>
      </c>
      <c r="Q12855">
        <v>0</v>
      </c>
      <c r="R12855">
        <v>0</v>
      </c>
      <c r="S12855">
        <v>0</v>
      </c>
      <c r="T12855" t="s">
        <v>46069</v>
      </c>
    </row>
    <row r="12856" spans="1:20" customFormat="1" ht="15" x14ac:dyDescent="0.25">
      <c r="A12856" t="s">
        <v>35</v>
      </c>
      <c r="B12856" t="s">
        <v>61</v>
      </c>
      <c r="C12856" t="str">
        <f>"A0123492"</f>
        <v>A0123492</v>
      </c>
      <c r="D12856" t="s">
        <v>46070</v>
      </c>
      <c r="E12856" t="s">
        <v>46071</v>
      </c>
      <c r="F12856" t="s">
        <v>1904</v>
      </c>
      <c r="G12856" t="s">
        <v>880</v>
      </c>
      <c r="H12856">
        <v>37421</v>
      </c>
      <c r="I12856" t="s">
        <v>30</v>
      </c>
      <c r="J12856" t="s">
        <v>41</v>
      </c>
      <c r="K12856" t="s">
        <v>482</v>
      </c>
      <c r="Q12856">
        <v>0</v>
      </c>
      <c r="R12856">
        <v>69</v>
      </c>
      <c r="S12856">
        <v>69</v>
      </c>
      <c r="T12856" t="s">
        <v>46072</v>
      </c>
    </row>
    <row r="12857" spans="1:20" customFormat="1" ht="15" x14ac:dyDescent="0.25">
      <c r="A12857" t="s">
        <v>35</v>
      </c>
      <c r="B12857" t="s">
        <v>61</v>
      </c>
      <c r="C12857" t="str">
        <f>"A0123493"</f>
        <v>A0123493</v>
      </c>
      <c r="D12857" t="s">
        <v>46073</v>
      </c>
      <c r="E12857" t="s">
        <v>46074</v>
      </c>
      <c r="F12857" t="s">
        <v>46075</v>
      </c>
      <c r="G12857" t="s">
        <v>880</v>
      </c>
      <c r="H12857">
        <v>37363</v>
      </c>
      <c r="I12857" t="s">
        <v>30</v>
      </c>
      <c r="J12857" t="s">
        <v>41</v>
      </c>
      <c r="K12857" t="s">
        <v>482</v>
      </c>
      <c r="Q12857">
        <v>0</v>
      </c>
      <c r="R12857">
        <v>65</v>
      </c>
      <c r="S12857">
        <v>65</v>
      </c>
      <c r="T12857" t="s">
        <v>46076</v>
      </c>
    </row>
    <row r="12858" spans="1:20" customFormat="1" ht="15" x14ac:dyDescent="0.25">
      <c r="A12858" t="s">
        <v>35</v>
      </c>
      <c r="B12858" t="s">
        <v>61</v>
      </c>
      <c r="C12858" t="str">
        <f>"A0122759"</f>
        <v>A0122759</v>
      </c>
      <c r="D12858" t="s">
        <v>46077</v>
      </c>
      <c r="E12858" t="s">
        <v>46078</v>
      </c>
      <c r="F12858" t="s">
        <v>46079</v>
      </c>
      <c r="G12858" t="s">
        <v>1508</v>
      </c>
      <c r="H12858">
        <v>82514</v>
      </c>
      <c r="I12858" t="s">
        <v>30</v>
      </c>
      <c r="J12858" t="s">
        <v>41</v>
      </c>
      <c r="K12858" t="s">
        <v>229</v>
      </c>
      <c r="Q12858">
        <v>0</v>
      </c>
      <c r="R12858">
        <v>45</v>
      </c>
      <c r="S12858">
        <v>45</v>
      </c>
      <c r="T12858" t="s">
        <v>46080</v>
      </c>
    </row>
    <row r="12859" spans="1:20" customFormat="1" ht="15" x14ac:dyDescent="0.25">
      <c r="A12859" t="s">
        <v>35</v>
      </c>
      <c r="B12859" t="s">
        <v>61</v>
      </c>
      <c r="C12859" t="str">
        <f>"A0129255"</f>
        <v>A0129255</v>
      </c>
      <c r="D12859" t="s">
        <v>46081</v>
      </c>
      <c r="E12859" t="s">
        <v>46082</v>
      </c>
      <c r="F12859" t="s">
        <v>9205</v>
      </c>
      <c r="G12859" t="s">
        <v>289</v>
      </c>
      <c r="H12859">
        <v>61107</v>
      </c>
      <c r="I12859" t="s">
        <v>30</v>
      </c>
      <c r="J12859" t="s">
        <v>41</v>
      </c>
      <c r="K12859" t="s">
        <v>59</v>
      </c>
      <c r="Q12859">
        <v>0</v>
      </c>
      <c r="R12859">
        <v>74</v>
      </c>
      <c r="S12859">
        <v>74</v>
      </c>
      <c r="T12859" t="s">
        <v>46083</v>
      </c>
    </row>
    <row r="12860" spans="1:20" customFormat="1" ht="15" x14ac:dyDescent="0.25">
      <c r="A12860" t="s">
        <v>35</v>
      </c>
      <c r="B12860" t="s">
        <v>61</v>
      </c>
      <c r="C12860" t="str">
        <f>"A0124288"</f>
        <v>A0124288</v>
      </c>
      <c r="D12860" t="s">
        <v>46084</v>
      </c>
      <c r="E12860" t="s">
        <v>46085</v>
      </c>
      <c r="F12860" t="s">
        <v>7104</v>
      </c>
      <c r="G12860" t="s">
        <v>381</v>
      </c>
      <c r="H12860">
        <v>46617</v>
      </c>
      <c r="I12860" t="s">
        <v>30</v>
      </c>
      <c r="J12860" t="s">
        <v>41</v>
      </c>
      <c r="K12860" t="s">
        <v>229</v>
      </c>
      <c r="Q12860">
        <v>0</v>
      </c>
      <c r="R12860">
        <v>120</v>
      </c>
      <c r="S12860">
        <v>120</v>
      </c>
      <c r="T12860" t="s">
        <v>46086</v>
      </c>
    </row>
    <row r="12861" spans="1:20" customFormat="1" ht="15" x14ac:dyDescent="0.25">
      <c r="A12861" t="s">
        <v>35</v>
      </c>
      <c r="B12861" t="s">
        <v>61</v>
      </c>
      <c r="C12861" t="str">
        <f>"A0124289"</f>
        <v>A0124289</v>
      </c>
      <c r="D12861" t="s">
        <v>46087</v>
      </c>
      <c r="E12861" t="s">
        <v>46088</v>
      </c>
      <c r="F12861" t="s">
        <v>7104</v>
      </c>
      <c r="G12861" t="s">
        <v>381</v>
      </c>
      <c r="H12861">
        <v>46615</v>
      </c>
      <c r="I12861" t="s">
        <v>30</v>
      </c>
      <c r="J12861" t="s">
        <v>41</v>
      </c>
      <c r="K12861" t="s">
        <v>229</v>
      </c>
      <c r="Q12861">
        <v>0</v>
      </c>
      <c r="R12861">
        <v>65</v>
      </c>
      <c r="S12861">
        <v>65</v>
      </c>
      <c r="T12861" t="s">
        <v>46089</v>
      </c>
    </row>
    <row r="12862" spans="1:20" customFormat="1" ht="15" x14ac:dyDescent="0.25">
      <c r="A12862" t="s">
        <v>35</v>
      </c>
      <c r="B12862" t="s">
        <v>61</v>
      </c>
      <c r="C12862" t="str">
        <f>"A0123494"</f>
        <v>A0123494</v>
      </c>
      <c r="D12862" t="s">
        <v>46090</v>
      </c>
      <c r="E12862" t="s">
        <v>46091</v>
      </c>
      <c r="F12862" t="s">
        <v>15496</v>
      </c>
      <c r="G12862" t="s">
        <v>29</v>
      </c>
      <c r="H12862">
        <v>23113</v>
      </c>
      <c r="I12862" t="s">
        <v>30</v>
      </c>
      <c r="J12862" t="s">
        <v>41</v>
      </c>
      <c r="K12862" t="s">
        <v>482</v>
      </c>
      <c r="Q12862">
        <v>0</v>
      </c>
      <c r="R12862">
        <v>120</v>
      </c>
      <c r="S12862">
        <v>120</v>
      </c>
      <c r="T12862" t="s">
        <v>46092</v>
      </c>
    </row>
    <row r="12863" spans="1:20" customFormat="1" ht="15" x14ac:dyDescent="0.25">
      <c r="A12863" t="s">
        <v>35</v>
      </c>
      <c r="B12863" t="s">
        <v>61</v>
      </c>
      <c r="C12863" t="str">
        <f>"A0123495"</f>
        <v>A0123495</v>
      </c>
      <c r="D12863" t="s">
        <v>46093</v>
      </c>
      <c r="E12863" t="s">
        <v>46094</v>
      </c>
      <c r="F12863" t="s">
        <v>14745</v>
      </c>
      <c r="G12863" t="s">
        <v>214</v>
      </c>
      <c r="H12863">
        <v>28025</v>
      </c>
      <c r="I12863" t="s">
        <v>30</v>
      </c>
      <c r="J12863" t="s">
        <v>41</v>
      </c>
      <c r="K12863" t="s">
        <v>482</v>
      </c>
      <c r="Q12863">
        <v>0</v>
      </c>
      <c r="R12863">
        <v>120</v>
      </c>
      <c r="S12863">
        <v>120</v>
      </c>
      <c r="T12863" t="s">
        <v>46095</v>
      </c>
    </row>
    <row r="12864" spans="1:20" customFormat="1" ht="15" x14ac:dyDescent="0.25">
      <c r="A12864" t="s">
        <v>35</v>
      </c>
      <c r="B12864" t="s">
        <v>61</v>
      </c>
      <c r="C12864" t="str">
        <f>"A0123496"</f>
        <v>A0123496</v>
      </c>
      <c r="D12864" t="s">
        <v>46096</v>
      </c>
      <c r="E12864" t="s">
        <v>46097</v>
      </c>
      <c r="F12864" t="s">
        <v>7257</v>
      </c>
      <c r="G12864" t="s">
        <v>29</v>
      </c>
      <c r="H12864">
        <v>23185</v>
      </c>
      <c r="I12864" t="s">
        <v>30</v>
      </c>
      <c r="J12864" t="s">
        <v>41</v>
      </c>
      <c r="K12864" t="s">
        <v>482</v>
      </c>
      <c r="Q12864">
        <v>0</v>
      </c>
      <c r="R12864">
        <v>120</v>
      </c>
      <c r="S12864">
        <v>120</v>
      </c>
      <c r="T12864" t="s">
        <v>46098</v>
      </c>
    </row>
    <row r="12865" spans="1:20" customFormat="1" ht="15" x14ac:dyDescent="0.25">
      <c r="A12865" t="s">
        <v>35</v>
      </c>
      <c r="B12865" t="s">
        <v>61</v>
      </c>
      <c r="C12865" t="str">
        <f>"A0123497"</f>
        <v>A0123497</v>
      </c>
      <c r="D12865" t="s">
        <v>46099</v>
      </c>
      <c r="E12865" t="s">
        <v>46100</v>
      </c>
      <c r="F12865" t="s">
        <v>472</v>
      </c>
      <c r="G12865" t="s">
        <v>214</v>
      </c>
      <c r="H12865">
        <v>27607</v>
      </c>
      <c r="I12865" t="s">
        <v>30</v>
      </c>
      <c r="J12865" t="s">
        <v>41</v>
      </c>
      <c r="K12865" t="s">
        <v>482</v>
      </c>
      <c r="Q12865">
        <v>0</v>
      </c>
      <c r="R12865">
        <v>120</v>
      </c>
      <c r="S12865">
        <v>120</v>
      </c>
      <c r="T12865" t="s">
        <v>46101</v>
      </c>
    </row>
    <row r="12866" spans="1:20" customFormat="1" ht="15" x14ac:dyDescent="0.25">
      <c r="A12866" t="s">
        <v>35</v>
      </c>
      <c r="B12866" t="s">
        <v>61</v>
      </c>
      <c r="C12866" t="str">
        <f>"A0123498"</f>
        <v>A0123498</v>
      </c>
      <c r="D12866" t="s">
        <v>46102</v>
      </c>
      <c r="E12866" t="s">
        <v>46103</v>
      </c>
      <c r="F12866" t="s">
        <v>20330</v>
      </c>
      <c r="G12866" t="s">
        <v>29</v>
      </c>
      <c r="H12866">
        <v>22903</v>
      </c>
      <c r="I12866" t="s">
        <v>30</v>
      </c>
      <c r="J12866" t="s">
        <v>41</v>
      </c>
      <c r="K12866" t="s">
        <v>482</v>
      </c>
      <c r="Q12866">
        <v>0</v>
      </c>
      <c r="R12866">
        <v>120</v>
      </c>
      <c r="S12866">
        <v>120</v>
      </c>
      <c r="T12866" t="s">
        <v>46104</v>
      </c>
    </row>
    <row r="12867" spans="1:20" customFormat="1" ht="15" x14ac:dyDescent="0.25">
      <c r="A12867" t="s">
        <v>35</v>
      </c>
      <c r="B12867" t="s">
        <v>61</v>
      </c>
      <c r="C12867" t="str">
        <f>"A0124290"</f>
        <v>A0124290</v>
      </c>
      <c r="D12867" t="s">
        <v>46105</v>
      </c>
      <c r="E12867" t="s">
        <v>46106</v>
      </c>
      <c r="F12867" t="s">
        <v>21128</v>
      </c>
      <c r="G12867" t="s">
        <v>29</v>
      </c>
      <c r="H12867">
        <v>20164</v>
      </c>
      <c r="I12867" t="s">
        <v>30</v>
      </c>
      <c r="J12867" t="s">
        <v>41</v>
      </c>
      <c r="K12867" t="s">
        <v>482</v>
      </c>
      <c r="Q12867">
        <v>0</v>
      </c>
      <c r="R12867">
        <v>71</v>
      </c>
      <c r="S12867">
        <v>71</v>
      </c>
      <c r="T12867" t="s">
        <v>46107</v>
      </c>
    </row>
    <row r="12868" spans="1:20" customFormat="1" ht="15" x14ac:dyDescent="0.25">
      <c r="A12868" t="s">
        <v>35</v>
      </c>
      <c r="B12868" t="s">
        <v>61</v>
      </c>
      <c r="C12868" t="str">
        <f>"A0124291"</f>
        <v>A0124291</v>
      </c>
      <c r="D12868" t="s">
        <v>46108</v>
      </c>
      <c r="E12868" t="s">
        <v>46109</v>
      </c>
      <c r="F12868" t="s">
        <v>46110</v>
      </c>
      <c r="G12868" t="s">
        <v>123</v>
      </c>
      <c r="H12868">
        <v>21042</v>
      </c>
      <c r="I12868" t="s">
        <v>30</v>
      </c>
      <c r="J12868" t="s">
        <v>41</v>
      </c>
      <c r="K12868" t="s">
        <v>482</v>
      </c>
      <c r="Q12868">
        <v>0</v>
      </c>
      <c r="R12868">
        <v>120</v>
      </c>
      <c r="S12868">
        <v>120</v>
      </c>
      <c r="T12868" t="s">
        <v>46111</v>
      </c>
    </row>
    <row r="12869" spans="1:20" customFormat="1" ht="15" x14ac:dyDescent="0.25">
      <c r="A12869" t="s">
        <v>35</v>
      </c>
      <c r="B12869" t="s">
        <v>61</v>
      </c>
      <c r="C12869" t="str">
        <f>"A0124292"</f>
        <v>A0124292</v>
      </c>
      <c r="D12869" t="s">
        <v>46112</v>
      </c>
      <c r="E12869" t="s">
        <v>46113</v>
      </c>
      <c r="F12869" t="s">
        <v>3002</v>
      </c>
      <c r="G12869" t="s">
        <v>123</v>
      </c>
      <c r="H12869">
        <v>21076</v>
      </c>
      <c r="I12869" t="s">
        <v>30</v>
      </c>
      <c r="J12869" t="s">
        <v>41</v>
      </c>
      <c r="K12869" t="s">
        <v>482</v>
      </c>
      <c r="Q12869">
        <v>0</v>
      </c>
      <c r="R12869">
        <v>100</v>
      </c>
      <c r="S12869">
        <v>100</v>
      </c>
      <c r="T12869" t="s">
        <v>46114</v>
      </c>
    </row>
    <row r="12870" spans="1:20" customFormat="1" ht="15" x14ac:dyDescent="0.25">
      <c r="A12870" t="s">
        <v>35</v>
      </c>
      <c r="B12870" t="s">
        <v>61</v>
      </c>
      <c r="C12870" t="str">
        <f>"A0124293"</f>
        <v>A0124293</v>
      </c>
      <c r="D12870" t="s">
        <v>46115</v>
      </c>
      <c r="E12870" t="s">
        <v>46116</v>
      </c>
      <c r="F12870" t="s">
        <v>6119</v>
      </c>
      <c r="G12870" t="s">
        <v>123</v>
      </c>
      <c r="H12870">
        <v>20707</v>
      </c>
      <c r="I12870" t="s">
        <v>30</v>
      </c>
      <c r="J12870" t="s">
        <v>41</v>
      </c>
      <c r="K12870" t="s">
        <v>482</v>
      </c>
      <c r="Q12870">
        <v>0</v>
      </c>
      <c r="R12870">
        <v>105</v>
      </c>
      <c r="S12870">
        <v>105</v>
      </c>
      <c r="T12870" t="s">
        <v>46117</v>
      </c>
    </row>
    <row r="12871" spans="1:20" customFormat="1" ht="15" x14ac:dyDescent="0.25">
      <c r="A12871" t="s">
        <v>35</v>
      </c>
      <c r="B12871" t="s">
        <v>61</v>
      </c>
      <c r="C12871" t="str">
        <f>"A0124294"</f>
        <v>A0124294</v>
      </c>
      <c r="D12871" t="s">
        <v>46118</v>
      </c>
      <c r="E12871" t="s">
        <v>46119</v>
      </c>
      <c r="F12871" t="s">
        <v>6115</v>
      </c>
      <c r="G12871" t="s">
        <v>29</v>
      </c>
      <c r="H12871">
        <v>20175</v>
      </c>
      <c r="I12871" t="s">
        <v>30</v>
      </c>
      <c r="J12871" t="s">
        <v>41</v>
      </c>
      <c r="K12871" t="s">
        <v>482</v>
      </c>
      <c r="Q12871">
        <v>0</v>
      </c>
      <c r="R12871">
        <v>64</v>
      </c>
      <c r="S12871">
        <v>64</v>
      </c>
      <c r="T12871" t="s">
        <v>46120</v>
      </c>
    </row>
    <row r="12872" spans="1:20" customFormat="1" ht="15" x14ac:dyDescent="0.25">
      <c r="A12872" t="s">
        <v>35</v>
      </c>
      <c r="B12872" t="s">
        <v>61</v>
      </c>
      <c r="C12872" t="str">
        <f>"A0124295"</f>
        <v>A0124295</v>
      </c>
      <c r="D12872" t="s">
        <v>46121</v>
      </c>
      <c r="E12872" t="s">
        <v>46122</v>
      </c>
      <c r="F12872" t="s">
        <v>46123</v>
      </c>
      <c r="G12872" t="s">
        <v>123</v>
      </c>
      <c r="H12872">
        <v>21234</v>
      </c>
      <c r="I12872" t="s">
        <v>30</v>
      </c>
      <c r="J12872" t="s">
        <v>41</v>
      </c>
      <c r="K12872" t="s">
        <v>482</v>
      </c>
      <c r="Q12872">
        <v>0</v>
      </c>
      <c r="R12872">
        <v>103</v>
      </c>
      <c r="S12872">
        <v>103</v>
      </c>
      <c r="T12872" t="s">
        <v>46124</v>
      </c>
    </row>
    <row r="12873" spans="1:20" customFormat="1" ht="15" x14ac:dyDescent="0.25">
      <c r="A12873" t="s">
        <v>35</v>
      </c>
      <c r="B12873" t="s">
        <v>61</v>
      </c>
      <c r="C12873" t="str">
        <f>"A0124296"</f>
        <v>A0124296</v>
      </c>
      <c r="D12873" t="s">
        <v>46125</v>
      </c>
      <c r="E12873" t="s">
        <v>46126</v>
      </c>
      <c r="F12873" t="s">
        <v>122</v>
      </c>
      <c r="G12873" t="s">
        <v>123</v>
      </c>
      <c r="H12873">
        <v>20602</v>
      </c>
      <c r="I12873" t="s">
        <v>30</v>
      </c>
      <c r="J12873" t="s">
        <v>41</v>
      </c>
      <c r="K12873" t="s">
        <v>482</v>
      </c>
      <c r="Q12873">
        <v>0</v>
      </c>
      <c r="R12873">
        <v>86</v>
      </c>
      <c r="S12873">
        <v>86</v>
      </c>
      <c r="T12873" t="s">
        <v>46127</v>
      </c>
    </row>
    <row r="12874" spans="1:20" customFormat="1" ht="15" x14ac:dyDescent="0.25">
      <c r="A12874" t="s">
        <v>35</v>
      </c>
      <c r="B12874" t="s">
        <v>61</v>
      </c>
      <c r="C12874" t="str">
        <f>"A0123499"</f>
        <v>A0123499</v>
      </c>
      <c r="D12874" t="s">
        <v>46128</v>
      </c>
      <c r="E12874" t="s">
        <v>46129</v>
      </c>
      <c r="F12874" t="s">
        <v>1795</v>
      </c>
      <c r="G12874" t="s">
        <v>29</v>
      </c>
      <c r="H12874">
        <v>23294</v>
      </c>
      <c r="I12874" t="s">
        <v>30</v>
      </c>
      <c r="J12874" t="s">
        <v>41</v>
      </c>
      <c r="K12874" t="s">
        <v>482</v>
      </c>
      <c r="Q12874">
        <v>0</v>
      </c>
      <c r="R12874">
        <v>120</v>
      </c>
      <c r="S12874">
        <v>120</v>
      </c>
      <c r="T12874" t="s">
        <v>46130</v>
      </c>
    </row>
    <row r="12875" spans="1:20" customFormat="1" ht="15" x14ac:dyDescent="0.25">
      <c r="A12875" t="s">
        <v>35</v>
      </c>
      <c r="B12875" t="s">
        <v>61</v>
      </c>
      <c r="C12875" t="str">
        <f>"A0133537"</f>
        <v>A0133537</v>
      </c>
      <c r="D12875" t="s">
        <v>46131</v>
      </c>
      <c r="E12875" t="s">
        <v>46132</v>
      </c>
      <c r="F12875" t="s">
        <v>5240</v>
      </c>
      <c r="G12875" t="s">
        <v>52</v>
      </c>
      <c r="H12875">
        <v>78201</v>
      </c>
      <c r="I12875" t="s">
        <v>30</v>
      </c>
      <c r="J12875" t="s">
        <v>41</v>
      </c>
      <c r="K12875" t="s">
        <v>229</v>
      </c>
      <c r="Q12875">
        <v>0</v>
      </c>
      <c r="R12875">
        <v>119</v>
      </c>
      <c r="S12875">
        <v>119</v>
      </c>
      <c r="T12875" t="s">
        <v>46133</v>
      </c>
    </row>
    <row r="12876" spans="1:20" customFormat="1" ht="15" x14ac:dyDescent="0.25">
      <c r="A12876" t="s">
        <v>35</v>
      </c>
      <c r="B12876" t="s">
        <v>61</v>
      </c>
      <c r="C12876" t="str">
        <f>"A0123500"</f>
        <v>A0123500</v>
      </c>
      <c r="D12876" t="s">
        <v>46134</v>
      </c>
      <c r="E12876" t="s">
        <v>46135</v>
      </c>
      <c r="F12876" t="s">
        <v>1382</v>
      </c>
      <c r="G12876" t="s">
        <v>29</v>
      </c>
      <c r="H12876">
        <v>23608</v>
      </c>
      <c r="I12876" t="s">
        <v>30</v>
      </c>
      <c r="J12876" t="s">
        <v>41</v>
      </c>
      <c r="K12876" t="s">
        <v>482</v>
      </c>
      <c r="Q12876">
        <v>0</v>
      </c>
      <c r="R12876">
        <v>120</v>
      </c>
      <c r="S12876">
        <v>120</v>
      </c>
      <c r="T12876" t="s">
        <v>46136</v>
      </c>
    </row>
    <row r="12877" spans="1:20" customFormat="1" ht="15" x14ac:dyDescent="0.25">
      <c r="A12877" t="s">
        <v>35</v>
      </c>
      <c r="B12877" t="s">
        <v>61</v>
      </c>
      <c r="C12877" t="str">
        <f>"A0124297"</f>
        <v>A0124297</v>
      </c>
      <c r="D12877" t="s">
        <v>46137</v>
      </c>
      <c r="E12877" t="s">
        <v>46138</v>
      </c>
      <c r="F12877" t="s">
        <v>4674</v>
      </c>
      <c r="G12877" t="s">
        <v>314</v>
      </c>
      <c r="H12877">
        <v>20010</v>
      </c>
      <c r="I12877" t="s">
        <v>30</v>
      </c>
      <c r="J12877" t="s">
        <v>41</v>
      </c>
      <c r="K12877" t="s">
        <v>59</v>
      </c>
      <c r="Q12877">
        <v>0</v>
      </c>
      <c r="R12877">
        <v>100</v>
      </c>
      <c r="S12877">
        <v>100</v>
      </c>
      <c r="T12877" t="s">
        <v>46139</v>
      </c>
    </row>
    <row r="12878" spans="1:20" customFormat="1" ht="15" x14ac:dyDescent="0.25">
      <c r="A12878" t="s">
        <v>35</v>
      </c>
      <c r="B12878" t="s">
        <v>61</v>
      </c>
      <c r="C12878" t="str">
        <f>"A0150960"</f>
        <v>A0150960</v>
      </c>
      <c r="D12878" t="s">
        <v>46140</v>
      </c>
      <c r="E12878" t="s">
        <v>46141</v>
      </c>
      <c r="F12878" t="s">
        <v>3661</v>
      </c>
      <c r="G12878" t="s">
        <v>65</v>
      </c>
      <c r="H12878">
        <v>45219</v>
      </c>
      <c r="I12878" t="s">
        <v>30</v>
      </c>
      <c r="J12878" t="s">
        <v>41</v>
      </c>
      <c r="K12878" t="s">
        <v>1412</v>
      </c>
      <c r="Q12878">
        <v>0</v>
      </c>
      <c r="R12878">
        <v>0</v>
      </c>
      <c r="S12878">
        <v>0</v>
      </c>
      <c r="T12878" t="s">
        <v>46142</v>
      </c>
    </row>
    <row r="12879" spans="1:20" customFormat="1" ht="15" x14ac:dyDescent="0.25">
      <c r="A12879" t="s">
        <v>35</v>
      </c>
      <c r="B12879" t="s">
        <v>61</v>
      </c>
      <c r="C12879" t="str">
        <f>"A0132727"</f>
        <v>A0132727</v>
      </c>
      <c r="D12879" t="s">
        <v>46143</v>
      </c>
      <c r="E12879" t="s">
        <v>46144</v>
      </c>
      <c r="F12879" t="s">
        <v>9690</v>
      </c>
      <c r="G12879" t="s">
        <v>65</v>
      </c>
      <c r="H12879">
        <v>45069</v>
      </c>
      <c r="I12879" t="s">
        <v>30</v>
      </c>
      <c r="J12879" t="s">
        <v>41</v>
      </c>
      <c r="K12879" t="s">
        <v>3713</v>
      </c>
      <c r="Q12879">
        <v>0</v>
      </c>
      <c r="R12879">
        <v>0</v>
      </c>
      <c r="S12879">
        <v>0</v>
      </c>
      <c r="T12879" t="s">
        <v>46145</v>
      </c>
    </row>
    <row r="12880" spans="1:20" customFormat="1" ht="15" x14ac:dyDescent="0.25">
      <c r="A12880" t="s">
        <v>35</v>
      </c>
      <c r="B12880" t="s">
        <v>106</v>
      </c>
      <c r="C12880" t="str">
        <f>"A0135938"</f>
        <v>A0135938</v>
      </c>
      <c r="D12880" t="s">
        <v>46146</v>
      </c>
      <c r="E12880" t="s">
        <v>46147</v>
      </c>
      <c r="F12880" t="s">
        <v>19811</v>
      </c>
      <c r="G12880" t="s">
        <v>99</v>
      </c>
      <c r="H12880">
        <v>13408</v>
      </c>
      <c r="I12880" t="s">
        <v>30</v>
      </c>
      <c r="J12880" t="s">
        <v>111</v>
      </c>
      <c r="K12880" t="s">
        <v>112</v>
      </c>
      <c r="Q12880">
        <v>0</v>
      </c>
      <c r="R12880">
        <v>0</v>
      </c>
      <c r="S12880">
        <v>0</v>
      </c>
      <c r="T12880" t="s">
        <v>46148</v>
      </c>
    </row>
    <row r="12881" spans="1:20" customFormat="1" ht="15" x14ac:dyDescent="0.25">
      <c r="A12881" t="s">
        <v>35</v>
      </c>
      <c r="B12881" t="s">
        <v>106</v>
      </c>
      <c r="C12881" t="str">
        <f>"A0135940"</f>
        <v>A0135940</v>
      </c>
      <c r="D12881" t="s">
        <v>46149</v>
      </c>
      <c r="E12881" t="s">
        <v>46150</v>
      </c>
      <c r="F12881" t="s">
        <v>46151</v>
      </c>
      <c r="G12881" t="s">
        <v>99</v>
      </c>
      <c r="H12881">
        <v>13408</v>
      </c>
      <c r="I12881" t="s">
        <v>30</v>
      </c>
      <c r="J12881" t="s">
        <v>111</v>
      </c>
      <c r="K12881" t="s">
        <v>10012</v>
      </c>
      <c r="Q12881">
        <v>0</v>
      </c>
      <c r="R12881">
        <v>0</v>
      </c>
      <c r="S12881">
        <v>0</v>
      </c>
      <c r="T12881" t="s">
        <v>46148</v>
      </c>
    </row>
    <row r="12882" spans="1:20" customFormat="1" ht="15" x14ac:dyDescent="0.25">
      <c r="A12882" t="s">
        <v>35</v>
      </c>
      <c r="B12882" t="s">
        <v>61</v>
      </c>
      <c r="C12882" t="str">
        <f>"A0124298"</f>
        <v>A0124298</v>
      </c>
      <c r="D12882" t="s">
        <v>46152</v>
      </c>
      <c r="E12882" t="s">
        <v>46153</v>
      </c>
      <c r="F12882" t="s">
        <v>31852</v>
      </c>
      <c r="G12882" t="s">
        <v>289</v>
      </c>
      <c r="H12882">
        <v>61550</v>
      </c>
      <c r="I12882" t="s">
        <v>30</v>
      </c>
      <c r="J12882" t="s">
        <v>41</v>
      </c>
      <c r="K12882" t="s">
        <v>229</v>
      </c>
      <c r="Q12882">
        <v>0</v>
      </c>
      <c r="R12882">
        <v>166</v>
      </c>
      <c r="S12882">
        <v>166</v>
      </c>
      <c r="T12882" t="s">
        <v>46154</v>
      </c>
    </row>
    <row r="12883" spans="1:20" customFormat="1" ht="15" x14ac:dyDescent="0.25">
      <c r="A12883" t="s">
        <v>35</v>
      </c>
      <c r="B12883" t="s">
        <v>61</v>
      </c>
      <c r="C12883" t="str">
        <f>"A0118023"</f>
        <v>A0118023</v>
      </c>
      <c r="D12883" t="s">
        <v>46155</v>
      </c>
      <c r="E12883" t="s">
        <v>46156</v>
      </c>
      <c r="F12883" t="s">
        <v>46157</v>
      </c>
      <c r="G12883" t="s">
        <v>110</v>
      </c>
      <c r="H12883">
        <v>930030000</v>
      </c>
      <c r="I12883" t="s">
        <v>30</v>
      </c>
      <c r="J12883" t="s">
        <v>41</v>
      </c>
      <c r="K12883" t="s">
        <v>59</v>
      </c>
      <c r="Q12883">
        <v>0</v>
      </c>
      <c r="R12883">
        <v>49</v>
      </c>
      <c r="S12883">
        <v>49</v>
      </c>
      <c r="T12883" t="s">
        <v>46158</v>
      </c>
    </row>
    <row r="12884" spans="1:20" customFormat="1" ht="15" x14ac:dyDescent="0.25">
      <c r="A12884" t="s">
        <v>35</v>
      </c>
      <c r="B12884" t="s">
        <v>61</v>
      </c>
      <c r="C12884" t="str">
        <f>"A0130451"</f>
        <v>A0130451</v>
      </c>
      <c r="D12884" t="s">
        <v>46159</v>
      </c>
      <c r="E12884" t="s">
        <v>46160</v>
      </c>
      <c r="F12884" t="s">
        <v>498</v>
      </c>
      <c r="G12884" t="s">
        <v>71</v>
      </c>
      <c r="H12884">
        <v>539340000</v>
      </c>
      <c r="I12884" t="s">
        <v>30</v>
      </c>
      <c r="J12884" t="s">
        <v>41</v>
      </c>
      <c r="K12884" t="s">
        <v>229</v>
      </c>
      <c r="Q12884">
        <v>0</v>
      </c>
      <c r="R12884">
        <v>25</v>
      </c>
      <c r="S12884">
        <v>25</v>
      </c>
      <c r="T12884" t="s">
        <v>46161</v>
      </c>
    </row>
    <row r="12885" spans="1:20" customFormat="1" ht="15" x14ac:dyDescent="0.25">
      <c r="A12885" t="s">
        <v>35</v>
      </c>
      <c r="B12885" t="s">
        <v>61</v>
      </c>
      <c r="C12885" t="str">
        <f>"A0132590"</f>
        <v>A0132590</v>
      </c>
      <c r="D12885" t="s">
        <v>46162</v>
      </c>
      <c r="E12885" t="s">
        <v>46163</v>
      </c>
      <c r="F12885" t="s">
        <v>46164</v>
      </c>
      <c r="G12885" t="s">
        <v>65</v>
      </c>
      <c r="H12885">
        <v>441340000</v>
      </c>
      <c r="I12885" t="s">
        <v>30</v>
      </c>
      <c r="J12885" t="s">
        <v>41</v>
      </c>
      <c r="K12885" t="s">
        <v>229</v>
      </c>
      <c r="Q12885">
        <v>0</v>
      </c>
      <c r="R12885">
        <v>203</v>
      </c>
      <c r="S12885">
        <v>203</v>
      </c>
      <c r="T12885" t="s">
        <v>46165</v>
      </c>
    </row>
    <row r="12886" spans="1:20" customFormat="1" ht="15" x14ac:dyDescent="0.25">
      <c r="A12886" t="s">
        <v>35</v>
      </c>
      <c r="B12886" t="s">
        <v>106</v>
      </c>
      <c r="C12886" t="str">
        <f>"A0136145"</f>
        <v>A0136145</v>
      </c>
      <c r="D12886" t="s">
        <v>46166</v>
      </c>
      <c r="E12886" t="s">
        <v>46167</v>
      </c>
      <c r="F12886" t="s">
        <v>6019</v>
      </c>
      <c r="G12886" t="s">
        <v>899</v>
      </c>
      <c r="H12886">
        <v>1075</v>
      </c>
      <c r="I12886" t="s">
        <v>30</v>
      </c>
      <c r="J12886" t="s">
        <v>111</v>
      </c>
      <c r="K12886" t="s">
        <v>10012</v>
      </c>
      <c r="Q12886">
        <v>0</v>
      </c>
      <c r="R12886">
        <v>0</v>
      </c>
      <c r="S12886">
        <v>0</v>
      </c>
      <c r="T12886" t="s">
        <v>46168</v>
      </c>
    </row>
    <row r="12887" spans="1:20" customFormat="1" ht="15" x14ac:dyDescent="0.25">
      <c r="A12887" t="s">
        <v>35</v>
      </c>
      <c r="B12887" t="s">
        <v>61</v>
      </c>
      <c r="C12887" t="str">
        <f>"A0121234"</f>
        <v>A0121234</v>
      </c>
      <c r="D12887" t="s">
        <v>46169</v>
      </c>
      <c r="E12887" t="s">
        <v>46170</v>
      </c>
      <c r="F12887" t="s">
        <v>12384</v>
      </c>
      <c r="G12887" t="s">
        <v>190</v>
      </c>
      <c r="H12887">
        <v>80919</v>
      </c>
      <c r="I12887" t="s">
        <v>30</v>
      </c>
      <c r="J12887" t="s">
        <v>41</v>
      </c>
      <c r="K12887" t="s">
        <v>229</v>
      </c>
      <c r="Q12887">
        <v>0</v>
      </c>
      <c r="R12887">
        <v>108</v>
      </c>
      <c r="S12887">
        <v>108</v>
      </c>
      <c r="T12887" t="s">
        <v>46171</v>
      </c>
    </row>
    <row r="12888" spans="1:20" customFormat="1" ht="15" x14ac:dyDescent="0.25">
      <c r="A12888" t="s">
        <v>35</v>
      </c>
      <c r="B12888" t="s">
        <v>61</v>
      </c>
      <c r="C12888" t="str">
        <f>"A0125729"</f>
        <v>A0125729</v>
      </c>
      <c r="D12888" t="s">
        <v>46172</v>
      </c>
      <c r="E12888" t="s">
        <v>46173</v>
      </c>
      <c r="F12888" t="s">
        <v>19203</v>
      </c>
      <c r="G12888" t="s">
        <v>29</v>
      </c>
      <c r="H12888">
        <v>22306</v>
      </c>
      <c r="I12888" t="s">
        <v>30</v>
      </c>
      <c r="J12888" t="s">
        <v>41</v>
      </c>
      <c r="K12888" t="s">
        <v>229</v>
      </c>
      <c r="Q12888">
        <v>0</v>
      </c>
      <c r="R12888">
        <v>130</v>
      </c>
      <c r="S12888">
        <v>130</v>
      </c>
      <c r="T12888" t="s">
        <v>46174</v>
      </c>
    </row>
    <row r="12889" spans="1:20" customFormat="1" ht="15" x14ac:dyDescent="0.25">
      <c r="A12889" t="s">
        <v>35</v>
      </c>
      <c r="B12889" t="s">
        <v>61</v>
      </c>
      <c r="C12889" t="str">
        <f>"A0123885"</f>
        <v>A0123885</v>
      </c>
      <c r="D12889" t="s">
        <v>46175</v>
      </c>
      <c r="E12889" t="s">
        <v>46176</v>
      </c>
      <c r="F12889" t="s">
        <v>46177</v>
      </c>
      <c r="G12889" t="s">
        <v>214</v>
      </c>
      <c r="H12889" t="s">
        <v>46178</v>
      </c>
      <c r="I12889" t="s">
        <v>30</v>
      </c>
      <c r="J12889" t="s">
        <v>41</v>
      </c>
      <c r="K12889" t="s">
        <v>59</v>
      </c>
      <c r="Q12889">
        <v>0</v>
      </c>
      <c r="R12889">
        <v>70</v>
      </c>
      <c r="S12889">
        <v>70</v>
      </c>
      <c r="T12889" t="s">
        <v>46179</v>
      </c>
    </row>
    <row r="12890" spans="1:20" customFormat="1" ht="15" x14ac:dyDescent="0.25">
      <c r="A12890" t="s">
        <v>35</v>
      </c>
      <c r="B12890" t="s">
        <v>61</v>
      </c>
      <c r="C12890" t="str">
        <f>"A0124850"</f>
        <v>A0124850</v>
      </c>
      <c r="D12890" t="s">
        <v>46180</v>
      </c>
      <c r="E12890" t="s">
        <v>46181</v>
      </c>
      <c r="F12890" t="s">
        <v>36536</v>
      </c>
      <c r="G12890" t="s">
        <v>214</v>
      </c>
      <c r="H12890">
        <v>286800000</v>
      </c>
      <c r="I12890" t="s">
        <v>30</v>
      </c>
      <c r="J12890" t="s">
        <v>41</v>
      </c>
      <c r="K12890" t="s">
        <v>2463</v>
      </c>
      <c r="Q12890">
        <v>0</v>
      </c>
      <c r="R12890">
        <v>1</v>
      </c>
      <c r="S12890">
        <v>1</v>
      </c>
      <c r="T12890" t="s">
        <v>46182</v>
      </c>
    </row>
    <row r="12891" spans="1:20" customFormat="1" ht="15" x14ac:dyDescent="0.25">
      <c r="A12891" t="s">
        <v>35</v>
      </c>
      <c r="B12891" t="s">
        <v>61</v>
      </c>
      <c r="C12891" t="str">
        <f>"A0121681"</f>
        <v>A0121681</v>
      </c>
      <c r="D12891" t="s">
        <v>46183</v>
      </c>
      <c r="E12891" t="s">
        <v>46184</v>
      </c>
      <c r="F12891" t="s">
        <v>9124</v>
      </c>
      <c r="G12891" t="s">
        <v>110</v>
      </c>
      <c r="H12891">
        <v>95608</v>
      </c>
      <c r="I12891" t="s">
        <v>30</v>
      </c>
      <c r="J12891" t="s">
        <v>41</v>
      </c>
      <c r="K12891" t="s">
        <v>229</v>
      </c>
      <c r="Q12891">
        <v>0</v>
      </c>
      <c r="R12891">
        <v>80</v>
      </c>
      <c r="S12891">
        <v>80</v>
      </c>
      <c r="T12891" t="s">
        <v>46185</v>
      </c>
    </row>
    <row r="12892" spans="1:20" customFormat="1" ht="15" x14ac:dyDescent="0.25">
      <c r="A12892" t="s">
        <v>35</v>
      </c>
      <c r="B12892" t="s">
        <v>106</v>
      </c>
      <c r="C12892" t="str">
        <f>"A0135672"</f>
        <v>A0135672</v>
      </c>
      <c r="D12892" t="s">
        <v>46186</v>
      </c>
      <c r="E12892" t="s">
        <v>46187</v>
      </c>
      <c r="F12892" t="s">
        <v>46188</v>
      </c>
      <c r="G12892" t="s">
        <v>433</v>
      </c>
      <c r="H12892">
        <v>834400000</v>
      </c>
      <c r="I12892" t="s">
        <v>30</v>
      </c>
      <c r="J12892" t="s">
        <v>111</v>
      </c>
      <c r="K12892" t="s">
        <v>2477</v>
      </c>
      <c r="Q12892">
        <v>0</v>
      </c>
      <c r="R12892">
        <v>0</v>
      </c>
      <c r="S12892">
        <v>0</v>
      </c>
      <c r="T12892" t="s">
        <v>46189</v>
      </c>
    </row>
    <row r="12893" spans="1:20" customFormat="1" ht="15" x14ac:dyDescent="0.25">
      <c r="A12893" t="s">
        <v>35</v>
      </c>
      <c r="B12893" t="s">
        <v>61</v>
      </c>
      <c r="C12893" t="str">
        <f>"A0123886"</f>
        <v>A0123886</v>
      </c>
      <c r="D12893" t="s">
        <v>46190</v>
      </c>
      <c r="E12893" t="s">
        <v>46191</v>
      </c>
      <c r="F12893" t="s">
        <v>40062</v>
      </c>
      <c r="G12893" t="s">
        <v>214</v>
      </c>
      <c r="H12893">
        <v>28786</v>
      </c>
      <c r="I12893" t="s">
        <v>30</v>
      </c>
      <c r="J12893" t="s">
        <v>41</v>
      </c>
      <c r="K12893" t="s">
        <v>59</v>
      </c>
      <c r="Q12893">
        <v>0</v>
      </c>
      <c r="R12893">
        <v>100</v>
      </c>
      <c r="S12893">
        <v>100</v>
      </c>
      <c r="T12893" t="s">
        <v>46192</v>
      </c>
    </row>
    <row r="12894" spans="1:20" customFormat="1" ht="15" x14ac:dyDescent="0.25">
      <c r="A12894" t="s">
        <v>35</v>
      </c>
      <c r="B12894" t="s">
        <v>61</v>
      </c>
      <c r="C12894" t="str">
        <f>"A0124827"</f>
        <v>A0124827</v>
      </c>
      <c r="D12894" t="s">
        <v>46193</v>
      </c>
      <c r="E12894" t="s">
        <v>46194</v>
      </c>
      <c r="F12894" t="s">
        <v>46195</v>
      </c>
      <c r="G12894" t="s">
        <v>214</v>
      </c>
      <c r="H12894">
        <v>287110000</v>
      </c>
      <c r="I12894" t="s">
        <v>30</v>
      </c>
      <c r="J12894" t="s">
        <v>41</v>
      </c>
      <c r="K12894" t="s">
        <v>229</v>
      </c>
      <c r="Q12894">
        <v>0</v>
      </c>
      <c r="R12894">
        <v>100</v>
      </c>
      <c r="S12894">
        <v>100</v>
      </c>
      <c r="T12894" t="s">
        <v>46196</v>
      </c>
    </row>
    <row r="12895" spans="1:20" customFormat="1" ht="15" x14ac:dyDescent="0.25">
      <c r="A12895" t="s">
        <v>35</v>
      </c>
      <c r="B12895" t="s">
        <v>61</v>
      </c>
      <c r="C12895" t="str">
        <f>"A0118344"</f>
        <v>A0118344</v>
      </c>
      <c r="D12895" t="s">
        <v>46197</v>
      </c>
      <c r="E12895" t="s">
        <v>46198</v>
      </c>
      <c r="F12895" t="s">
        <v>14068</v>
      </c>
      <c r="G12895" t="s">
        <v>110</v>
      </c>
      <c r="H12895">
        <v>940400000</v>
      </c>
      <c r="I12895" t="s">
        <v>30</v>
      </c>
      <c r="J12895" t="s">
        <v>41</v>
      </c>
      <c r="K12895" t="s">
        <v>229</v>
      </c>
      <c r="Q12895">
        <v>0</v>
      </c>
      <c r="R12895">
        <v>130</v>
      </c>
      <c r="S12895">
        <v>130</v>
      </c>
      <c r="T12895" t="s">
        <v>46199</v>
      </c>
    </row>
    <row r="12896" spans="1:20" customFormat="1" ht="15" x14ac:dyDescent="0.25">
      <c r="A12896" t="s">
        <v>35</v>
      </c>
      <c r="B12896" t="s">
        <v>61</v>
      </c>
      <c r="C12896" t="str">
        <f>"A0125781"</f>
        <v>A0125781</v>
      </c>
      <c r="D12896" t="s">
        <v>46200</v>
      </c>
      <c r="E12896" t="s">
        <v>46201</v>
      </c>
      <c r="F12896" t="s">
        <v>46202</v>
      </c>
      <c r="G12896" t="s">
        <v>29</v>
      </c>
      <c r="H12896">
        <v>22709</v>
      </c>
      <c r="I12896" t="s">
        <v>30</v>
      </c>
      <c r="J12896" t="s">
        <v>41</v>
      </c>
      <c r="K12896" t="s">
        <v>229</v>
      </c>
      <c r="Q12896">
        <v>0</v>
      </c>
      <c r="R12896">
        <v>40</v>
      </c>
      <c r="S12896">
        <v>40</v>
      </c>
      <c r="T12896" t="s">
        <v>46203</v>
      </c>
    </row>
    <row r="12897" spans="1:20" customFormat="1" ht="15" x14ac:dyDescent="0.25">
      <c r="A12897" t="s">
        <v>35</v>
      </c>
      <c r="B12897" t="s">
        <v>61</v>
      </c>
      <c r="C12897" t="str">
        <f>"A0127322"</f>
        <v>A0127322</v>
      </c>
      <c r="D12897" t="s">
        <v>46204</v>
      </c>
      <c r="E12897" t="s">
        <v>46205</v>
      </c>
      <c r="F12897" t="s">
        <v>9255</v>
      </c>
      <c r="G12897" t="s">
        <v>846</v>
      </c>
      <c r="H12897">
        <v>30032</v>
      </c>
      <c r="I12897" t="s">
        <v>30</v>
      </c>
      <c r="J12897" t="s">
        <v>41</v>
      </c>
      <c r="K12897" t="s">
        <v>59</v>
      </c>
      <c r="Q12897">
        <v>0</v>
      </c>
      <c r="R12897">
        <v>35</v>
      </c>
      <c r="S12897">
        <v>35</v>
      </c>
      <c r="T12897" t="s">
        <v>46206</v>
      </c>
    </row>
    <row r="12898" spans="1:20" customFormat="1" ht="15" x14ac:dyDescent="0.25">
      <c r="A12898" t="s">
        <v>35</v>
      </c>
      <c r="B12898" t="s">
        <v>61</v>
      </c>
      <c r="C12898" t="str">
        <f>"A0118531"</f>
        <v>A0118531</v>
      </c>
      <c r="D12898" t="s">
        <v>46207</v>
      </c>
      <c r="E12898" t="s">
        <v>46208</v>
      </c>
      <c r="F12898" t="s">
        <v>8032</v>
      </c>
      <c r="G12898" t="s">
        <v>110</v>
      </c>
      <c r="H12898">
        <v>92373</v>
      </c>
      <c r="I12898" t="s">
        <v>30</v>
      </c>
      <c r="J12898" t="s">
        <v>41</v>
      </c>
      <c r="K12898" t="s">
        <v>290</v>
      </c>
      <c r="Q12898">
        <v>0</v>
      </c>
      <c r="R12898">
        <v>1</v>
      </c>
      <c r="S12898">
        <v>1</v>
      </c>
      <c r="T12898" t="s">
        <v>46209</v>
      </c>
    </row>
    <row r="12899" spans="1:20" customFormat="1" ht="15" x14ac:dyDescent="0.25">
      <c r="A12899" t="s">
        <v>35</v>
      </c>
      <c r="B12899" t="s">
        <v>61</v>
      </c>
      <c r="C12899" t="str">
        <f>"A0124897"</f>
        <v>A0124897</v>
      </c>
      <c r="D12899" t="s">
        <v>46210</v>
      </c>
      <c r="E12899" t="s">
        <v>46211</v>
      </c>
      <c r="F12899" t="s">
        <v>11723</v>
      </c>
      <c r="G12899" t="s">
        <v>214</v>
      </c>
      <c r="H12899">
        <v>27239</v>
      </c>
      <c r="I12899" t="s">
        <v>30</v>
      </c>
      <c r="J12899" t="s">
        <v>41</v>
      </c>
      <c r="K12899" t="s">
        <v>229</v>
      </c>
      <c r="Q12899">
        <v>0</v>
      </c>
      <c r="R12899">
        <v>120</v>
      </c>
      <c r="S12899">
        <v>120</v>
      </c>
      <c r="T12899" t="s">
        <v>46212</v>
      </c>
    </row>
    <row r="12900" spans="1:20" customFormat="1" ht="15" x14ac:dyDescent="0.25">
      <c r="A12900" t="s">
        <v>35</v>
      </c>
      <c r="B12900" t="s">
        <v>61</v>
      </c>
      <c r="C12900" t="str">
        <f>"A0124068"</f>
        <v>A0124068</v>
      </c>
      <c r="D12900" t="s">
        <v>46213</v>
      </c>
      <c r="E12900" t="s">
        <v>46214</v>
      </c>
      <c r="F12900" t="s">
        <v>41563</v>
      </c>
      <c r="G12900" t="s">
        <v>880</v>
      </c>
      <c r="H12900">
        <v>37862</v>
      </c>
      <c r="I12900" t="s">
        <v>30</v>
      </c>
      <c r="J12900" t="s">
        <v>41</v>
      </c>
      <c r="K12900" t="s">
        <v>482</v>
      </c>
      <c r="Q12900">
        <v>0</v>
      </c>
      <c r="R12900">
        <v>120</v>
      </c>
      <c r="S12900">
        <v>120</v>
      </c>
      <c r="T12900" t="s">
        <v>46215</v>
      </c>
    </row>
    <row r="12901" spans="1:20" customFormat="1" ht="15" x14ac:dyDescent="0.25">
      <c r="A12901" t="s">
        <v>35</v>
      </c>
      <c r="B12901" t="s">
        <v>61</v>
      </c>
      <c r="C12901" t="str">
        <f>"A0131184"</f>
        <v>A0131184</v>
      </c>
      <c r="D12901" t="s">
        <v>46216</v>
      </c>
      <c r="E12901" t="s">
        <v>46217</v>
      </c>
      <c r="F12901" t="s">
        <v>46218</v>
      </c>
      <c r="G12901" t="s">
        <v>85</v>
      </c>
      <c r="H12901">
        <v>729460000</v>
      </c>
      <c r="I12901" t="s">
        <v>30</v>
      </c>
      <c r="J12901" t="s">
        <v>41</v>
      </c>
      <c r="K12901" t="s">
        <v>2760</v>
      </c>
      <c r="Q12901">
        <v>0</v>
      </c>
      <c r="R12901">
        <v>1</v>
      </c>
      <c r="S12901">
        <v>1</v>
      </c>
      <c r="T12901" t="s">
        <v>46219</v>
      </c>
    </row>
    <row r="12902" spans="1:20" customFormat="1" ht="15" x14ac:dyDescent="0.25">
      <c r="A12902" t="s">
        <v>35</v>
      </c>
      <c r="B12902" t="s">
        <v>61</v>
      </c>
      <c r="C12902" t="str">
        <f>"A0125033"</f>
        <v>A0125033</v>
      </c>
      <c r="D12902" t="s">
        <v>46220</v>
      </c>
      <c r="E12902" t="s">
        <v>46221</v>
      </c>
      <c r="F12902" t="s">
        <v>3189</v>
      </c>
      <c r="G12902" t="s">
        <v>58</v>
      </c>
      <c r="H12902">
        <v>29302</v>
      </c>
      <c r="I12902" t="s">
        <v>30</v>
      </c>
      <c r="J12902" t="s">
        <v>41</v>
      </c>
      <c r="K12902" t="s">
        <v>229</v>
      </c>
      <c r="Q12902">
        <v>0</v>
      </c>
      <c r="R12902">
        <v>132</v>
      </c>
      <c r="S12902">
        <v>132</v>
      </c>
      <c r="T12902" t="s">
        <v>46222</v>
      </c>
    </row>
    <row r="12903" spans="1:20" customFormat="1" ht="15" x14ac:dyDescent="0.25">
      <c r="A12903" t="s">
        <v>35</v>
      </c>
      <c r="B12903" t="s">
        <v>61</v>
      </c>
      <c r="C12903" t="str">
        <f>"A0124300"</f>
        <v>A0124300</v>
      </c>
      <c r="D12903" t="s">
        <v>46223</v>
      </c>
      <c r="E12903" t="s">
        <v>46224</v>
      </c>
      <c r="F12903" t="s">
        <v>4082</v>
      </c>
      <c r="G12903" t="s">
        <v>123</v>
      </c>
      <c r="H12903">
        <v>21205</v>
      </c>
      <c r="I12903" t="s">
        <v>30</v>
      </c>
      <c r="J12903" t="s">
        <v>41</v>
      </c>
      <c r="K12903" t="s">
        <v>59</v>
      </c>
      <c r="Q12903">
        <v>0</v>
      </c>
      <c r="R12903">
        <v>220</v>
      </c>
      <c r="S12903">
        <v>220</v>
      </c>
      <c r="T12903" t="s">
        <v>46225</v>
      </c>
    </row>
    <row r="12904" spans="1:20" customFormat="1" ht="15" x14ac:dyDescent="0.25">
      <c r="A12904" t="s">
        <v>35</v>
      </c>
      <c r="B12904" t="s">
        <v>61</v>
      </c>
      <c r="C12904" t="str">
        <f>"A0119326"</f>
        <v>A0119326</v>
      </c>
      <c r="D12904" t="s">
        <v>46226</v>
      </c>
      <c r="E12904" t="s">
        <v>46227</v>
      </c>
      <c r="F12904" t="s">
        <v>9873</v>
      </c>
      <c r="G12904" t="s">
        <v>110</v>
      </c>
      <c r="H12904">
        <v>93612</v>
      </c>
      <c r="I12904" t="s">
        <v>30</v>
      </c>
      <c r="J12904" t="s">
        <v>41</v>
      </c>
      <c r="K12904" t="s">
        <v>2760</v>
      </c>
      <c r="Q12904">
        <v>0</v>
      </c>
      <c r="R12904">
        <v>0</v>
      </c>
      <c r="S12904">
        <v>0</v>
      </c>
      <c r="T12904" t="s">
        <v>46228</v>
      </c>
    </row>
    <row r="12905" spans="1:20" customFormat="1" ht="15" x14ac:dyDescent="0.25">
      <c r="A12905" t="s">
        <v>35</v>
      </c>
      <c r="B12905" t="s">
        <v>61</v>
      </c>
      <c r="C12905" t="str">
        <f>"A0129168"</f>
        <v>A0129168</v>
      </c>
      <c r="D12905" t="s">
        <v>46229</v>
      </c>
      <c r="E12905" t="s">
        <v>46230</v>
      </c>
      <c r="F12905" t="s">
        <v>46231</v>
      </c>
      <c r="G12905" t="s">
        <v>289</v>
      </c>
      <c r="H12905">
        <v>62550</v>
      </c>
      <c r="I12905" t="s">
        <v>30</v>
      </c>
      <c r="J12905" t="s">
        <v>41</v>
      </c>
      <c r="K12905" t="s">
        <v>229</v>
      </c>
      <c r="Q12905">
        <v>0</v>
      </c>
      <c r="R12905">
        <v>70</v>
      </c>
      <c r="S12905">
        <v>70</v>
      </c>
      <c r="T12905" t="s">
        <v>46232</v>
      </c>
    </row>
    <row r="12906" spans="1:20" customFormat="1" ht="15" x14ac:dyDescent="0.25">
      <c r="A12906" t="s">
        <v>35</v>
      </c>
      <c r="B12906" t="s">
        <v>61</v>
      </c>
      <c r="C12906" t="str">
        <f>"A0133050"</f>
        <v>A0133050</v>
      </c>
      <c r="D12906" t="s">
        <v>46233</v>
      </c>
      <c r="E12906" t="s">
        <v>46234</v>
      </c>
      <c r="F12906" t="s">
        <v>45666</v>
      </c>
      <c r="G12906" t="s">
        <v>52</v>
      </c>
      <c r="H12906">
        <v>78009</v>
      </c>
      <c r="I12906" t="s">
        <v>30</v>
      </c>
      <c r="J12906" t="s">
        <v>41</v>
      </c>
      <c r="K12906" t="s">
        <v>36814</v>
      </c>
      <c r="Q12906">
        <v>0</v>
      </c>
      <c r="R12906">
        <v>0</v>
      </c>
      <c r="S12906">
        <v>0</v>
      </c>
      <c r="T12906" t="s">
        <v>46235</v>
      </c>
    </row>
    <row r="12907" spans="1:20" customFormat="1" ht="15" x14ac:dyDescent="0.25">
      <c r="A12907" t="s">
        <v>35</v>
      </c>
      <c r="B12907" t="s">
        <v>61</v>
      </c>
      <c r="C12907" t="str">
        <f>"A0152995"</f>
        <v>A0152995</v>
      </c>
      <c r="D12907" t="s">
        <v>46236</v>
      </c>
      <c r="E12907" t="s">
        <v>46237</v>
      </c>
      <c r="F12907" t="s">
        <v>17839</v>
      </c>
      <c r="G12907" t="s">
        <v>880</v>
      </c>
      <c r="H12907">
        <v>38008</v>
      </c>
      <c r="I12907" t="s">
        <v>30</v>
      </c>
      <c r="J12907" t="s">
        <v>41</v>
      </c>
      <c r="K12907" t="s">
        <v>418</v>
      </c>
      <c r="Q12907">
        <v>0</v>
      </c>
      <c r="R12907">
        <v>20</v>
      </c>
      <c r="S12907">
        <v>20</v>
      </c>
      <c r="T12907" t="s">
        <v>46238</v>
      </c>
    </row>
    <row r="12908" spans="1:20" customFormat="1" ht="15" x14ac:dyDescent="0.25">
      <c r="A12908" t="s">
        <v>35</v>
      </c>
      <c r="B12908" t="s">
        <v>106</v>
      </c>
      <c r="C12908" t="str">
        <f>"A0135856"</f>
        <v>A0135856</v>
      </c>
      <c r="D12908" t="s">
        <v>46239</v>
      </c>
      <c r="E12908" t="s">
        <v>46240</v>
      </c>
      <c r="F12908" t="s">
        <v>43717</v>
      </c>
      <c r="G12908" t="s">
        <v>1184</v>
      </c>
      <c r="H12908">
        <v>59717</v>
      </c>
      <c r="I12908" t="s">
        <v>30</v>
      </c>
      <c r="J12908" t="s">
        <v>111</v>
      </c>
      <c r="K12908" t="s">
        <v>10012</v>
      </c>
      <c r="Q12908">
        <v>0</v>
      </c>
      <c r="R12908">
        <v>0</v>
      </c>
      <c r="S12908">
        <v>0</v>
      </c>
      <c r="T12908" t="s">
        <v>46241</v>
      </c>
    </row>
    <row r="12909" spans="1:20" customFormat="1" ht="15" x14ac:dyDescent="0.25">
      <c r="A12909" t="s">
        <v>35</v>
      </c>
      <c r="B12909" t="s">
        <v>106</v>
      </c>
      <c r="C12909" t="str">
        <f>"A0136534"</f>
        <v>A0136534</v>
      </c>
      <c r="D12909" t="s">
        <v>46242</v>
      </c>
      <c r="E12909" t="s">
        <v>46243</v>
      </c>
      <c r="F12909" t="s">
        <v>10011</v>
      </c>
      <c r="G12909" t="s">
        <v>840</v>
      </c>
      <c r="H12909">
        <v>420713356</v>
      </c>
      <c r="I12909" t="s">
        <v>30</v>
      </c>
      <c r="J12909" t="s">
        <v>111</v>
      </c>
      <c r="K12909" t="s">
        <v>10012</v>
      </c>
      <c r="Q12909">
        <v>0</v>
      </c>
      <c r="R12909">
        <v>0</v>
      </c>
      <c r="S12909">
        <v>0</v>
      </c>
      <c r="T12909" t="s">
        <v>10013</v>
      </c>
    </row>
    <row r="12910" spans="1:20" customFormat="1" ht="15" x14ac:dyDescent="0.25">
      <c r="A12910" t="s">
        <v>35</v>
      </c>
      <c r="B12910" t="s">
        <v>61</v>
      </c>
      <c r="C12910" t="str">
        <f>"A0130303"</f>
        <v>A0130303</v>
      </c>
      <c r="D12910" t="s">
        <v>46244</v>
      </c>
      <c r="E12910" t="s">
        <v>46245</v>
      </c>
      <c r="F12910" t="s">
        <v>46246</v>
      </c>
      <c r="G12910" t="s">
        <v>1898</v>
      </c>
      <c r="H12910">
        <v>50854</v>
      </c>
      <c r="I12910" t="s">
        <v>30</v>
      </c>
      <c r="J12910" t="s">
        <v>41</v>
      </c>
      <c r="K12910" t="s">
        <v>229</v>
      </c>
      <c r="Q12910">
        <v>0</v>
      </c>
      <c r="R12910">
        <v>46</v>
      </c>
      <c r="S12910">
        <v>46</v>
      </c>
      <c r="T12910" t="s">
        <v>46247</v>
      </c>
    </row>
    <row r="12911" spans="1:20" customFormat="1" ht="15" x14ac:dyDescent="0.25">
      <c r="A12911" t="s">
        <v>35</v>
      </c>
      <c r="B12911" t="s">
        <v>61</v>
      </c>
      <c r="C12911" t="str">
        <f>"A0131037"</f>
        <v>A0131037</v>
      </c>
      <c r="D12911" t="s">
        <v>46248</v>
      </c>
      <c r="E12911" t="s">
        <v>46249</v>
      </c>
      <c r="F12911" t="s">
        <v>7073</v>
      </c>
      <c r="G12911" t="s">
        <v>85</v>
      </c>
      <c r="H12911">
        <v>72015</v>
      </c>
      <c r="I12911" t="s">
        <v>30</v>
      </c>
      <c r="J12911" t="s">
        <v>41</v>
      </c>
      <c r="K12911" t="s">
        <v>59</v>
      </c>
      <c r="Q12911">
        <v>0</v>
      </c>
      <c r="R12911">
        <v>75</v>
      </c>
      <c r="S12911">
        <v>100</v>
      </c>
      <c r="T12911" t="s">
        <v>46250</v>
      </c>
    </row>
    <row r="12912" spans="1:20" customFormat="1" ht="15" x14ac:dyDescent="0.25">
      <c r="A12912" t="s">
        <v>35</v>
      </c>
      <c r="B12912" t="s">
        <v>61</v>
      </c>
      <c r="C12912" t="str">
        <f>"A0128321"</f>
        <v>A0128321</v>
      </c>
      <c r="D12912" t="s">
        <v>46251</v>
      </c>
      <c r="E12912" t="s">
        <v>46252</v>
      </c>
      <c r="F12912" t="s">
        <v>8699</v>
      </c>
      <c r="G12912" t="s">
        <v>427</v>
      </c>
      <c r="H12912">
        <v>688455998</v>
      </c>
      <c r="I12912" t="s">
        <v>30</v>
      </c>
      <c r="J12912" t="s">
        <v>41</v>
      </c>
      <c r="K12912" t="s">
        <v>229</v>
      </c>
      <c r="Q12912">
        <v>0</v>
      </c>
      <c r="R12912">
        <v>75</v>
      </c>
      <c r="S12912">
        <v>75</v>
      </c>
      <c r="T12912" t="s">
        <v>46253</v>
      </c>
    </row>
    <row r="12913" spans="1:20" customFormat="1" ht="15" x14ac:dyDescent="0.25">
      <c r="A12913" t="s">
        <v>35</v>
      </c>
      <c r="B12913" t="s">
        <v>106</v>
      </c>
      <c r="C12913" t="str">
        <f>"A0136472"</f>
        <v>A0136472</v>
      </c>
      <c r="D12913" t="s">
        <v>46254</v>
      </c>
      <c r="E12913" t="s">
        <v>46255</v>
      </c>
      <c r="F12913" t="s">
        <v>23685</v>
      </c>
      <c r="G12913" t="s">
        <v>190</v>
      </c>
      <c r="H12913">
        <v>80439</v>
      </c>
      <c r="I12913" t="s">
        <v>30</v>
      </c>
      <c r="J12913" t="s">
        <v>111</v>
      </c>
      <c r="K12913" t="s">
        <v>112</v>
      </c>
      <c r="Q12913">
        <v>0</v>
      </c>
      <c r="R12913">
        <v>0</v>
      </c>
      <c r="S12913">
        <v>0</v>
      </c>
      <c r="T12913" t="s">
        <v>46256</v>
      </c>
    </row>
    <row r="12914" spans="1:20" customFormat="1" ht="15" x14ac:dyDescent="0.25">
      <c r="A12914" t="s">
        <v>35</v>
      </c>
      <c r="B12914" t="s">
        <v>61</v>
      </c>
      <c r="C12914" t="str">
        <f>"A0118333"</f>
        <v>A0118333</v>
      </c>
      <c r="D12914" t="s">
        <v>46257</v>
      </c>
      <c r="E12914" t="s">
        <v>46258</v>
      </c>
      <c r="F12914" t="s">
        <v>1378</v>
      </c>
      <c r="G12914" t="s">
        <v>110</v>
      </c>
      <c r="H12914">
        <v>91767</v>
      </c>
      <c r="I12914" t="s">
        <v>30</v>
      </c>
      <c r="J12914" t="s">
        <v>41</v>
      </c>
      <c r="K12914" t="s">
        <v>229</v>
      </c>
      <c r="Q12914">
        <v>0</v>
      </c>
      <c r="R12914">
        <v>573</v>
      </c>
      <c r="S12914">
        <v>573</v>
      </c>
      <c r="T12914" t="s">
        <v>46259</v>
      </c>
    </row>
    <row r="12915" spans="1:20" customFormat="1" ht="15" x14ac:dyDescent="0.25">
      <c r="A12915" t="s">
        <v>35</v>
      </c>
      <c r="B12915" t="s">
        <v>61</v>
      </c>
      <c r="C12915" t="str">
        <f>"A0131188"</f>
        <v>A0131188</v>
      </c>
      <c r="D12915" t="s">
        <v>46260</v>
      </c>
      <c r="E12915" t="s">
        <v>46261</v>
      </c>
      <c r="F12915" t="s">
        <v>46262</v>
      </c>
      <c r="G12915" t="s">
        <v>85</v>
      </c>
      <c r="H12915">
        <v>729470000</v>
      </c>
      <c r="I12915" t="s">
        <v>30</v>
      </c>
      <c r="J12915" t="s">
        <v>41</v>
      </c>
      <c r="K12915" t="s">
        <v>2760</v>
      </c>
      <c r="Q12915">
        <v>0</v>
      </c>
      <c r="R12915">
        <v>1</v>
      </c>
      <c r="S12915">
        <v>1</v>
      </c>
      <c r="T12915" t="s">
        <v>46263</v>
      </c>
    </row>
    <row r="12916" spans="1:20" customFormat="1" ht="15" x14ac:dyDescent="0.25">
      <c r="A12916" t="s">
        <v>35</v>
      </c>
      <c r="B12916" t="s">
        <v>61</v>
      </c>
      <c r="C12916" t="str">
        <f>"A0127093"</f>
        <v>A0127093</v>
      </c>
      <c r="D12916" t="s">
        <v>46264</v>
      </c>
      <c r="E12916" t="s">
        <v>46265</v>
      </c>
      <c r="F12916" t="s">
        <v>46266</v>
      </c>
      <c r="G12916" t="s">
        <v>338</v>
      </c>
      <c r="H12916">
        <v>8062</v>
      </c>
      <c r="I12916" t="s">
        <v>30</v>
      </c>
      <c r="J12916" t="s">
        <v>41</v>
      </c>
      <c r="K12916" t="s">
        <v>482</v>
      </c>
      <c r="Q12916">
        <v>0</v>
      </c>
      <c r="R12916">
        <v>80</v>
      </c>
      <c r="S12916">
        <v>80</v>
      </c>
      <c r="T12916" t="s">
        <v>46267</v>
      </c>
    </row>
    <row r="12917" spans="1:20" customFormat="1" ht="15" x14ac:dyDescent="0.25">
      <c r="A12917" t="s">
        <v>35</v>
      </c>
      <c r="B12917" t="s">
        <v>61</v>
      </c>
      <c r="C12917" t="str">
        <f>"A0131126"</f>
        <v>A0131126</v>
      </c>
      <c r="D12917" t="s">
        <v>46268</v>
      </c>
      <c r="E12917" t="s">
        <v>46269</v>
      </c>
      <c r="F12917" t="s">
        <v>1655</v>
      </c>
      <c r="G12917" t="s">
        <v>137</v>
      </c>
      <c r="H12917">
        <v>631320000</v>
      </c>
      <c r="I12917" t="s">
        <v>30</v>
      </c>
      <c r="J12917" t="s">
        <v>41</v>
      </c>
      <c r="K12917" t="s">
        <v>290</v>
      </c>
      <c r="Q12917">
        <v>0</v>
      </c>
      <c r="R12917">
        <v>1</v>
      </c>
      <c r="S12917">
        <v>1</v>
      </c>
      <c r="T12917" t="s">
        <v>46270</v>
      </c>
    </row>
    <row r="12918" spans="1:20" customFormat="1" ht="15" x14ac:dyDescent="0.25">
      <c r="A12918" t="s">
        <v>35</v>
      </c>
      <c r="B12918" t="s">
        <v>61</v>
      </c>
      <c r="C12918" t="str">
        <f>"A0131973"</f>
        <v>A0131973</v>
      </c>
      <c r="D12918" t="s">
        <v>46271</v>
      </c>
      <c r="E12918" t="s">
        <v>46272</v>
      </c>
      <c r="F12918" t="s">
        <v>12412</v>
      </c>
      <c r="G12918" t="s">
        <v>65</v>
      </c>
      <c r="H12918">
        <v>43701</v>
      </c>
      <c r="I12918" t="s">
        <v>30</v>
      </c>
      <c r="J12918" t="s">
        <v>41</v>
      </c>
      <c r="K12918" t="s">
        <v>2760</v>
      </c>
      <c r="Q12918">
        <v>0</v>
      </c>
      <c r="R12918">
        <v>1</v>
      </c>
      <c r="S12918">
        <v>1</v>
      </c>
      <c r="T12918" t="s">
        <v>46273</v>
      </c>
    </row>
    <row r="12919" spans="1:20" customFormat="1" ht="15" x14ac:dyDescent="0.25">
      <c r="A12919" t="s">
        <v>35</v>
      </c>
      <c r="B12919" t="s">
        <v>61</v>
      </c>
      <c r="C12919" t="str">
        <f>"A0150868"</f>
        <v>A0150868</v>
      </c>
      <c r="D12919" t="s">
        <v>46274</v>
      </c>
      <c r="E12919" t="s">
        <v>46275</v>
      </c>
      <c r="F12919" t="s">
        <v>46276</v>
      </c>
      <c r="G12919" t="s">
        <v>289</v>
      </c>
      <c r="H12919">
        <v>60963</v>
      </c>
      <c r="I12919" t="s">
        <v>30</v>
      </c>
      <c r="J12919" t="s">
        <v>41</v>
      </c>
      <c r="K12919" t="s">
        <v>391</v>
      </c>
      <c r="Q12919">
        <v>0</v>
      </c>
      <c r="R12919">
        <v>0</v>
      </c>
      <c r="S12919">
        <v>0</v>
      </c>
      <c r="T12919" t="s">
        <v>46277</v>
      </c>
    </row>
    <row r="12920" spans="1:20" customFormat="1" ht="15" x14ac:dyDescent="0.25">
      <c r="A12920" t="s">
        <v>35</v>
      </c>
      <c r="B12920" t="s">
        <v>61</v>
      </c>
      <c r="C12920" t="str">
        <f>"A0128139"</f>
        <v>A0128139</v>
      </c>
      <c r="D12920" t="s">
        <v>46278</v>
      </c>
      <c r="E12920" t="s">
        <v>46279</v>
      </c>
      <c r="F12920" t="s">
        <v>12148</v>
      </c>
      <c r="G12920" t="s">
        <v>117</v>
      </c>
      <c r="H12920">
        <v>48312</v>
      </c>
      <c r="I12920" t="s">
        <v>30</v>
      </c>
      <c r="J12920" t="s">
        <v>41</v>
      </c>
      <c r="K12920" t="s">
        <v>1032</v>
      </c>
      <c r="Q12920">
        <v>0</v>
      </c>
      <c r="R12920">
        <v>98</v>
      </c>
      <c r="S12920">
        <v>98</v>
      </c>
      <c r="T12920" t="s">
        <v>46280</v>
      </c>
    </row>
    <row r="12921" spans="1:20" customFormat="1" ht="15" x14ac:dyDescent="0.25">
      <c r="A12921" t="s">
        <v>35</v>
      </c>
      <c r="B12921" t="s">
        <v>61</v>
      </c>
      <c r="C12921" t="str">
        <f>"A0118538"</f>
        <v>A0118538</v>
      </c>
      <c r="D12921" t="s">
        <v>46281</v>
      </c>
      <c r="E12921" t="s">
        <v>46282</v>
      </c>
      <c r="F12921" t="s">
        <v>36933</v>
      </c>
      <c r="G12921" t="s">
        <v>110</v>
      </c>
      <c r="H12921">
        <v>956620000</v>
      </c>
      <c r="I12921" t="s">
        <v>30</v>
      </c>
      <c r="J12921" t="s">
        <v>41</v>
      </c>
      <c r="K12921" t="s">
        <v>391</v>
      </c>
      <c r="Q12921">
        <v>0</v>
      </c>
      <c r="R12921">
        <v>1</v>
      </c>
      <c r="S12921">
        <v>1</v>
      </c>
      <c r="T12921" t="s">
        <v>46283</v>
      </c>
    </row>
    <row r="12922" spans="1:20" customFormat="1" ht="15" x14ac:dyDescent="0.25">
      <c r="A12922" t="s">
        <v>35</v>
      </c>
      <c r="B12922" t="s">
        <v>437</v>
      </c>
      <c r="C12922" t="str">
        <f>"A0133851"</f>
        <v>A0133851</v>
      </c>
      <c r="D12922" t="s">
        <v>46284</v>
      </c>
      <c r="E12922" t="s">
        <v>46285</v>
      </c>
      <c r="F12922" t="s">
        <v>25128</v>
      </c>
      <c r="G12922" t="s">
        <v>110</v>
      </c>
      <c r="H12922">
        <v>91016</v>
      </c>
      <c r="I12922" t="s">
        <v>30</v>
      </c>
      <c r="J12922" t="s">
        <v>441</v>
      </c>
      <c r="K12922" t="s">
        <v>442</v>
      </c>
      <c r="Q12922">
        <v>0</v>
      </c>
      <c r="R12922">
        <v>0</v>
      </c>
      <c r="S12922">
        <v>0</v>
      </c>
      <c r="T12922" t="s">
        <v>46286</v>
      </c>
    </row>
    <row r="12923" spans="1:20" customFormat="1" ht="15" x14ac:dyDescent="0.25">
      <c r="A12923" t="s">
        <v>35</v>
      </c>
      <c r="B12923" t="s">
        <v>437</v>
      </c>
      <c r="C12923" t="str">
        <f>"A0134999"</f>
        <v>A0134999</v>
      </c>
      <c r="D12923" t="s">
        <v>46287</v>
      </c>
      <c r="E12923" t="s">
        <v>46288</v>
      </c>
      <c r="F12923" t="s">
        <v>46289</v>
      </c>
      <c r="G12923" t="s">
        <v>110</v>
      </c>
      <c r="H12923">
        <v>91024</v>
      </c>
      <c r="I12923" t="s">
        <v>30</v>
      </c>
      <c r="J12923" t="s">
        <v>441</v>
      </c>
      <c r="K12923" t="s">
        <v>442</v>
      </c>
      <c r="Q12923">
        <v>0</v>
      </c>
      <c r="R12923">
        <v>0</v>
      </c>
      <c r="S12923">
        <v>0</v>
      </c>
      <c r="T12923" t="s">
        <v>46290</v>
      </c>
    </row>
    <row r="12924" spans="1:20" customFormat="1" ht="15" x14ac:dyDescent="0.25">
      <c r="A12924" t="s">
        <v>35</v>
      </c>
      <c r="B12924" t="s">
        <v>61</v>
      </c>
      <c r="C12924" t="str">
        <f>"A0118392"</f>
        <v>A0118392</v>
      </c>
      <c r="D12924" t="s">
        <v>46291</v>
      </c>
      <c r="E12924" t="s">
        <v>46292</v>
      </c>
      <c r="F12924" t="s">
        <v>46293</v>
      </c>
      <c r="G12924" t="s">
        <v>110</v>
      </c>
      <c r="H12924">
        <v>94599</v>
      </c>
      <c r="I12924" t="s">
        <v>30</v>
      </c>
      <c r="J12924" t="s">
        <v>41</v>
      </c>
      <c r="K12924" t="s">
        <v>59</v>
      </c>
      <c r="Q12924">
        <v>0</v>
      </c>
      <c r="R12924">
        <v>60</v>
      </c>
      <c r="S12924">
        <v>60</v>
      </c>
      <c r="T12924" t="s">
        <v>46294</v>
      </c>
    </row>
    <row r="12925" spans="1:20" customFormat="1" ht="15" x14ac:dyDescent="0.25">
      <c r="A12925" t="s">
        <v>35</v>
      </c>
      <c r="B12925" t="s">
        <v>61</v>
      </c>
      <c r="C12925" t="str">
        <f>"A0126111"</f>
        <v>A0126111</v>
      </c>
      <c r="D12925" t="s">
        <v>46295</v>
      </c>
      <c r="E12925" t="s">
        <v>46296</v>
      </c>
      <c r="F12925" t="s">
        <v>10187</v>
      </c>
      <c r="G12925" t="s">
        <v>197</v>
      </c>
      <c r="H12925">
        <v>85012</v>
      </c>
      <c r="I12925" t="s">
        <v>30</v>
      </c>
      <c r="J12925" t="s">
        <v>41</v>
      </c>
      <c r="K12925" t="s">
        <v>229</v>
      </c>
      <c r="Q12925">
        <v>0</v>
      </c>
      <c r="R12925">
        <v>48</v>
      </c>
      <c r="S12925">
        <v>48</v>
      </c>
      <c r="T12925" t="s">
        <v>46297</v>
      </c>
    </row>
    <row r="12926" spans="1:20" customFormat="1" ht="15" x14ac:dyDescent="0.25">
      <c r="A12926" t="s">
        <v>35</v>
      </c>
      <c r="B12926" t="s">
        <v>61</v>
      </c>
      <c r="C12926" t="str">
        <f>"A0126350"</f>
        <v>A0126350</v>
      </c>
      <c r="D12926" t="s">
        <v>46298</v>
      </c>
      <c r="E12926" t="s">
        <v>46299</v>
      </c>
      <c r="F12926" t="s">
        <v>5249</v>
      </c>
      <c r="G12926" t="s">
        <v>81</v>
      </c>
      <c r="H12926">
        <v>34461</v>
      </c>
      <c r="I12926" t="s">
        <v>30</v>
      </c>
      <c r="J12926" t="s">
        <v>41</v>
      </c>
      <c r="K12926" t="s">
        <v>59</v>
      </c>
      <c r="Q12926">
        <v>0</v>
      </c>
      <c r="R12926">
        <v>96</v>
      </c>
      <c r="S12926">
        <v>96</v>
      </c>
      <c r="T12926" t="s">
        <v>46300</v>
      </c>
    </row>
    <row r="12927" spans="1:20" customFormat="1" ht="15" x14ac:dyDescent="0.25">
      <c r="A12927" t="s">
        <v>35</v>
      </c>
      <c r="B12927" t="s">
        <v>106</v>
      </c>
      <c r="C12927" t="str">
        <f>"A0135671"</f>
        <v>A0135671</v>
      </c>
      <c r="D12927" t="s">
        <v>46301</v>
      </c>
      <c r="E12927" t="s">
        <v>46302</v>
      </c>
      <c r="F12927" t="s">
        <v>46188</v>
      </c>
      <c r="G12927" t="s">
        <v>433</v>
      </c>
      <c r="H12927">
        <v>834400000</v>
      </c>
      <c r="I12927" t="s">
        <v>30</v>
      </c>
      <c r="J12927" t="s">
        <v>111</v>
      </c>
      <c r="K12927" t="s">
        <v>2477</v>
      </c>
      <c r="Q12927">
        <v>0</v>
      </c>
      <c r="R12927">
        <v>0</v>
      </c>
      <c r="S12927">
        <v>0</v>
      </c>
      <c r="T12927" t="s">
        <v>46303</v>
      </c>
    </row>
    <row r="12928" spans="1:20" customFormat="1" ht="15" x14ac:dyDescent="0.25">
      <c r="A12928" t="s">
        <v>35</v>
      </c>
      <c r="B12928" t="s">
        <v>61</v>
      </c>
      <c r="C12928" t="str">
        <f>"A0133108"</f>
        <v>A0133108</v>
      </c>
      <c r="D12928" t="s">
        <v>46304</v>
      </c>
      <c r="E12928" t="s">
        <v>46305</v>
      </c>
      <c r="F12928" t="s">
        <v>5734</v>
      </c>
      <c r="G12928" t="s">
        <v>52</v>
      </c>
      <c r="H12928">
        <v>79903</v>
      </c>
      <c r="I12928" t="s">
        <v>30</v>
      </c>
      <c r="J12928" t="s">
        <v>41</v>
      </c>
      <c r="K12928" t="s">
        <v>229</v>
      </c>
      <c r="Q12928">
        <v>0</v>
      </c>
      <c r="R12928">
        <v>70</v>
      </c>
      <c r="S12928">
        <v>70</v>
      </c>
      <c r="T12928" t="s">
        <v>46306</v>
      </c>
    </row>
    <row r="12929" spans="1:20" customFormat="1" ht="15" x14ac:dyDescent="0.25">
      <c r="A12929" t="s">
        <v>35</v>
      </c>
      <c r="B12929" t="s">
        <v>61</v>
      </c>
      <c r="C12929" t="str">
        <f>"A0128540"</f>
        <v>A0128540</v>
      </c>
      <c r="D12929" t="s">
        <v>46307</v>
      </c>
      <c r="E12929" t="s">
        <v>46308</v>
      </c>
      <c r="F12929" t="s">
        <v>839</v>
      </c>
      <c r="G12929" t="s">
        <v>840</v>
      </c>
      <c r="H12929">
        <v>40205</v>
      </c>
      <c r="I12929" t="s">
        <v>30</v>
      </c>
      <c r="J12929" t="s">
        <v>41</v>
      </c>
      <c r="K12929" t="s">
        <v>229</v>
      </c>
      <c r="Q12929">
        <v>0</v>
      </c>
      <c r="R12929">
        <v>100</v>
      </c>
      <c r="S12929">
        <v>100</v>
      </c>
      <c r="T12929" t="s">
        <v>46309</v>
      </c>
    </row>
    <row r="12930" spans="1:20" customFormat="1" ht="15" x14ac:dyDescent="0.25">
      <c r="A12930" t="s">
        <v>35</v>
      </c>
      <c r="B12930" t="s">
        <v>61</v>
      </c>
      <c r="C12930" t="str">
        <f>"A0128640"</f>
        <v>A0128640</v>
      </c>
      <c r="D12930" t="s">
        <v>46310</v>
      </c>
      <c r="E12930" t="s">
        <v>46311</v>
      </c>
      <c r="F12930" t="s">
        <v>839</v>
      </c>
      <c r="G12930" t="s">
        <v>840</v>
      </c>
      <c r="H12930">
        <v>40206</v>
      </c>
      <c r="I12930" t="s">
        <v>30</v>
      </c>
      <c r="J12930" t="s">
        <v>41</v>
      </c>
      <c r="K12930" t="s">
        <v>229</v>
      </c>
      <c r="Q12930">
        <v>0</v>
      </c>
      <c r="R12930">
        <v>160</v>
      </c>
      <c r="S12930">
        <v>160</v>
      </c>
      <c r="T12930" t="s">
        <v>46312</v>
      </c>
    </row>
    <row r="12931" spans="1:20" customFormat="1" ht="15" x14ac:dyDescent="0.25">
      <c r="A12931" t="s">
        <v>35</v>
      </c>
      <c r="B12931" t="s">
        <v>61</v>
      </c>
      <c r="C12931" t="str">
        <f>"A0118007"</f>
        <v>A0118007</v>
      </c>
      <c r="D12931" t="s">
        <v>46313</v>
      </c>
      <c r="E12931" t="s">
        <v>46314</v>
      </c>
      <c r="F12931" t="s">
        <v>7362</v>
      </c>
      <c r="G12931" t="s">
        <v>110</v>
      </c>
      <c r="H12931">
        <v>90064</v>
      </c>
      <c r="I12931" t="s">
        <v>30</v>
      </c>
      <c r="J12931" t="s">
        <v>41</v>
      </c>
      <c r="K12931" t="s">
        <v>229</v>
      </c>
      <c r="Q12931">
        <v>0</v>
      </c>
      <c r="R12931">
        <v>158</v>
      </c>
      <c r="S12931">
        <v>158</v>
      </c>
      <c r="T12931" t="s">
        <v>46315</v>
      </c>
    </row>
    <row r="12932" spans="1:20" customFormat="1" ht="15" x14ac:dyDescent="0.25">
      <c r="A12932" t="s">
        <v>35</v>
      </c>
      <c r="B12932" t="s">
        <v>106</v>
      </c>
      <c r="C12932" t="str">
        <f>"A0136205"</f>
        <v>A0136205</v>
      </c>
      <c r="D12932" t="s">
        <v>46316</v>
      </c>
      <c r="E12932" t="s">
        <v>46317</v>
      </c>
      <c r="F12932" t="s">
        <v>16939</v>
      </c>
      <c r="G12932" t="s">
        <v>381</v>
      </c>
      <c r="H12932">
        <v>465561043</v>
      </c>
      <c r="I12932" t="s">
        <v>30</v>
      </c>
      <c r="J12932" t="s">
        <v>111</v>
      </c>
      <c r="K12932" t="s">
        <v>10012</v>
      </c>
      <c r="Q12932">
        <v>0</v>
      </c>
      <c r="R12932">
        <v>0</v>
      </c>
      <c r="S12932">
        <v>0</v>
      </c>
      <c r="T12932" t="s">
        <v>46318</v>
      </c>
    </row>
    <row r="12933" spans="1:20" customFormat="1" ht="15" x14ac:dyDescent="0.25">
      <c r="A12933" t="s">
        <v>35</v>
      </c>
      <c r="B12933" t="s">
        <v>106</v>
      </c>
      <c r="C12933" t="str">
        <f>"A0136193"</f>
        <v>A0136193</v>
      </c>
      <c r="D12933" t="s">
        <v>46319</v>
      </c>
      <c r="E12933" t="s">
        <v>46317</v>
      </c>
      <c r="F12933" t="s">
        <v>16939</v>
      </c>
      <c r="G12933" t="s">
        <v>381</v>
      </c>
      <c r="H12933">
        <v>465561043</v>
      </c>
      <c r="I12933" t="s">
        <v>30</v>
      </c>
      <c r="J12933" t="s">
        <v>111</v>
      </c>
      <c r="K12933" t="s">
        <v>10012</v>
      </c>
      <c r="Q12933">
        <v>0</v>
      </c>
      <c r="R12933">
        <v>0</v>
      </c>
      <c r="S12933">
        <v>0</v>
      </c>
      <c r="T12933" t="s">
        <v>46318</v>
      </c>
    </row>
    <row r="12934" spans="1:20" customFormat="1" ht="15" x14ac:dyDescent="0.25">
      <c r="A12934" t="s">
        <v>35</v>
      </c>
      <c r="B12934" t="s">
        <v>106</v>
      </c>
      <c r="C12934" t="str">
        <f>"A0136217"</f>
        <v>A0136217</v>
      </c>
      <c r="D12934" t="s">
        <v>46320</v>
      </c>
      <c r="E12934" t="s">
        <v>46317</v>
      </c>
      <c r="F12934" t="s">
        <v>16939</v>
      </c>
      <c r="G12934" t="s">
        <v>381</v>
      </c>
      <c r="H12934">
        <v>465561043</v>
      </c>
      <c r="I12934" t="s">
        <v>30</v>
      </c>
      <c r="J12934" t="s">
        <v>111</v>
      </c>
      <c r="K12934" t="s">
        <v>10012</v>
      </c>
      <c r="Q12934">
        <v>0</v>
      </c>
      <c r="R12934">
        <v>0</v>
      </c>
      <c r="S12934">
        <v>0</v>
      </c>
      <c r="T12934" t="s">
        <v>46318</v>
      </c>
    </row>
    <row r="12935" spans="1:20" customFormat="1" ht="15" x14ac:dyDescent="0.25">
      <c r="A12935" t="s">
        <v>35</v>
      </c>
      <c r="B12935" t="s">
        <v>106</v>
      </c>
      <c r="C12935" t="str">
        <f>"A0136202"</f>
        <v>A0136202</v>
      </c>
      <c r="D12935" t="s">
        <v>46321</v>
      </c>
      <c r="E12935" t="s">
        <v>46317</v>
      </c>
      <c r="F12935" t="s">
        <v>16939</v>
      </c>
      <c r="G12935" t="s">
        <v>381</v>
      </c>
      <c r="H12935">
        <v>465561043</v>
      </c>
      <c r="I12935" t="s">
        <v>30</v>
      </c>
      <c r="J12935" t="s">
        <v>111</v>
      </c>
      <c r="K12935" t="s">
        <v>10012</v>
      </c>
      <c r="Q12935">
        <v>0</v>
      </c>
      <c r="R12935">
        <v>0</v>
      </c>
      <c r="S12935">
        <v>0</v>
      </c>
      <c r="T12935" t="s">
        <v>46318</v>
      </c>
    </row>
    <row r="12936" spans="1:20" customFormat="1" ht="15" x14ac:dyDescent="0.25">
      <c r="A12936" t="s">
        <v>35</v>
      </c>
      <c r="B12936" t="s">
        <v>106</v>
      </c>
      <c r="C12936" t="str">
        <f>"A0158357"</f>
        <v>A0158357</v>
      </c>
      <c r="D12936" t="s">
        <v>46322</v>
      </c>
      <c r="E12936" t="s">
        <v>46323</v>
      </c>
      <c r="F12936" t="s">
        <v>16939</v>
      </c>
      <c r="G12936" t="s">
        <v>381</v>
      </c>
      <c r="H12936">
        <v>46556</v>
      </c>
      <c r="I12936" t="s">
        <v>30</v>
      </c>
      <c r="J12936" t="s">
        <v>111</v>
      </c>
      <c r="K12936" t="s">
        <v>112</v>
      </c>
      <c r="Q12936">
        <v>0</v>
      </c>
      <c r="R12936">
        <v>0</v>
      </c>
      <c r="S12936">
        <v>0</v>
      </c>
      <c r="T12936" t="s">
        <v>46324</v>
      </c>
    </row>
    <row r="12937" spans="1:20" customFormat="1" ht="15" x14ac:dyDescent="0.25">
      <c r="A12937" t="s">
        <v>35</v>
      </c>
      <c r="B12937" t="s">
        <v>106</v>
      </c>
      <c r="C12937" t="str">
        <f>"A0136190"</f>
        <v>A0136190</v>
      </c>
      <c r="D12937" t="s">
        <v>46325</v>
      </c>
      <c r="E12937" t="s">
        <v>46317</v>
      </c>
      <c r="F12937" t="s">
        <v>16939</v>
      </c>
      <c r="G12937" t="s">
        <v>381</v>
      </c>
      <c r="H12937">
        <v>465561043</v>
      </c>
      <c r="I12937" t="s">
        <v>30</v>
      </c>
      <c r="J12937" t="s">
        <v>111</v>
      </c>
      <c r="K12937" t="s">
        <v>10012</v>
      </c>
      <c r="Q12937">
        <v>0</v>
      </c>
      <c r="R12937">
        <v>0</v>
      </c>
      <c r="S12937">
        <v>0</v>
      </c>
      <c r="T12937" t="s">
        <v>46318</v>
      </c>
    </row>
    <row r="12938" spans="1:20" customFormat="1" ht="15" x14ac:dyDescent="0.25">
      <c r="A12938" t="s">
        <v>35</v>
      </c>
      <c r="B12938" t="s">
        <v>106</v>
      </c>
      <c r="C12938" t="str">
        <f>"A0136200"</f>
        <v>A0136200</v>
      </c>
      <c r="D12938" t="s">
        <v>46326</v>
      </c>
      <c r="E12938" t="s">
        <v>46323</v>
      </c>
      <c r="F12938" t="s">
        <v>16939</v>
      </c>
      <c r="G12938" t="s">
        <v>381</v>
      </c>
      <c r="H12938">
        <v>465561043</v>
      </c>
      <c r="I12938" t="s">
        <v>30</v>
      </c>
      <c r="J12938" t="s">
        <v>111</v>
      </c>
      <c r="K12938" t="s">
        <v>10012</v>
      </c>
      <c r="Q12938">
        <v>0</v>
      </c>
      <c r="R12938">
        <v>0</v>
      </c>
      <c r="S12938">
        <v>0</v>
      </c>
      <c r="T12938" t="s">
        <v>46324</v>
      </c>
    </row>
    <row r="12939" spans="1:20" customFormat="1" ht="15" x14ac:dyDescent="0.25">
      <c r="A12939" t="s">
        <v>35</v>
      </c>
      <c r="B12939" t="s">
        <v>106</v>
      </c>
      <c r="C12939" t="str">
        <f>"A0136196"</f>
        <v>A0136196</v>
      </c>
      <c r="D12939" t="s">
        <v>46327</v>
      </c>
      <c r="E12939" t="s">
        <v>46317</v>
      </c>
      <c r="F12939" t="s">
        <v>16939</v>
      </c>
      <c r="G12939" t="s">
        <v>381</v>
      </c>
      <c r="H12939">
        <v>465561043</v>
      </c>
      <c r="I12939" t="s">
        <v>30</v>
      </c>
      <c r="J12939" t="s">
        <v>111</v>
      </c>
      <c r="K12939" t="s">
        <v>10012</v>
      </c>
      <c r="Q12939">
        <v>0</v>
      </c>
      <c r="R12939">
        <v>0</v>
      </c>
      <c r="S12939">
        <v>0</v>
      </c>
      <c r="T12939" t="s">
        <v>46318</v>
      </c>
    </row>
    <row r="12940" spans="1:20" customFormat="1" ht="15" x14ac:dyDescent="0.25">
      <c r="A12940" t="s">
        <v>35</v>
      </c>
      <c r="B12940" t="s">
        <v>106</v>
      </c>
      <c r="C12940" t="str">
        <f>"A0136184"</f>
        <v>A0136184</v>
      </c>
      <c r="D12940" t="s">
        <v>46328</v>
      </c>
      <c r="E12940" t="s">
        <v>46317</v>
      </c>
      <c r="F12940" t="s">
        <v>16939</v>
      </c>
      <c r="G12940" t="s">
        <v>381</v>
      </c>
      <c r="H12940">
        <v>465561043</v>
      </c>
      <c r="I12940" t="s">
        <v>30</v>
      </c>
      <c r="J12940" t="s">
        <v>111</v>
      </c>
      <c r="K12940" t="s">
        <v>10012</v>
      </c>
      <c r="Q12940">
        <v>0</v>
      </c>
      <c r="R12940">
        <v>0</v>
      </c>
      <c r="S12940">
        <v>0</v>
      </c>
      <c r="T12940" t="s">
        <v>46318</v>
      </c>
    </row>
    <row r="12941" spans="1:20" customFormat="1" ht="15" x14ac:dyDescent="0.25">
      <c r="A12941" t="s">
        <v>35</v>
      </c>
      <c r="B12941" t="s">
        <v>106</v>
      </c>
      <c r="C12941" t="str">
        <f>"A0136199"</f>
        <v>A0136199</v>
      </c>
      <c r="D12941" t="s">
        <v>46329</v>
      </c>
      <c r="E12941" t="s">
        <v>46317</v>
      </c>
      <c r="F12941" t="s">
        <v>16939</v>
      </c>
      <c r="G12941" t="s">
        <v>381</v>
      </c>
      <c r="H12941">
        <v>465561043</v>
      </c>
      <c r="I12941" t="s">
        <v>30</v>
      </c>
      <c r="J12941" t="s">
        <v>111</v>
      </c>
      <c r="K12941" t="s">
        <v>10012</v>
      </c>
      <c r="Q12941">
        <v>0</v>
      </c>
      <c r="R12941">
        <v>0</v>
      </c>
      <c r="S12941">
        <v>0</v>
      </c>
      <c r="T12941" t="s">
        <v>46318</v>
      </c>
    </row>
    <row r="12942" spans="1:20" customFormat="1" ht="15" x14ac:dyDescent="0.25">
      <c r="A12942" t="s">
        <v>35</v>
      </c>
      <c r="B12942" t="s">
        <v>106</v>
      </c>
      <c r="C12942" t="str">
        <f>"A0136203"</f>
        <v>A0136203</v>
      </c>
      <c r="D12942" t="s">
        <v>46330</v>
      </c>
      <c r="E12942" t="s">
        <v>46317</v>
      </c>
      <c r="F12942" t="s">
        <v>16939</v>
      </c>
      <c r="G12942" t="s">
        <v>381</v>
      </c>
      <c r="H12942">
        <v>465561043</v>
      </c>
      <c r="I12942" t="s">
        <v>30</v>
      </c>
      <c r="J12942" t="s">
        <v>111</v>
      </c>
      <c r="K12942" t="s">
        <v>10012</v>
      </c>
      <c r="Q12942">
        <v>0</v>
      </c>
      <c r="R12942">
        <v>0</v>
      </c>
      <c r="S12942">
        <v>0</v>
      </c>
    </row>
    <row r="12943" spans="1:20" customFormat="1" ht="15" x14ac:dyDescent="0.25">
      <c r="A12943" t="s">
        <v>35</v>
      </c>
      <c r="B12943" t="s">
        <v>106</v>
      </c>
      <c r="C12943" t="str">
        <f>"A0136215"</f>
        <v>A0136215</v>
      </c>
      <c r="D12943" t="s">
        <v>46331</v>
      </c>
      <c r="E12943" t="s">
        <v>46317</v>
      </c>
      <c r="F12943" t="s">
        <v>16939</v>
      </c>
      <c r="G12943" t="s">
        <v>381</v>
      </c>
      <c r="H12943">
        <v>465561043</v>
      </c>
      <c r="I12943" t="s">
        <v>30</v>
      </c>
      <c r="J12943" t="s">
        <v>111</v>
      </c>
      <c r="K12943" t="s">
        <v>10012</v>
      </c>
      <c r="Q12943">
        <v>0</v>
      </c>
      <c r="R12943">
        <v>0</v>
      </c>
      <c r="S12943">
        <v>0</v>
      </c>
      <c r="T12943" t="s">
        <v>46318</v>
      </c>
    </row>
    <row r="12944" spans="1:20" customFormat="1" ht="15" x14ac:dyDescent="0.25">
      <c r="A12944" t="s">
        <v>35</v>
      </c>
      <c r="B12944" t="s">
        <v>106</v>
      </c>
      <c r="C12944" t="str">
        <f>"A0136210"</f>
        <v>A0136210</v>
      </c>
      <c r="D12944" t="s">
        <v>46332</v>
      </c>
      <c r="E12944" t="s">
        <v>46333</v>
      </c>
      <c r="F12944" t="s">
        <v>16939</v>
      </c>
      <c r="G12944" t="s">
        <v>381</v>
      </c>
      <c r="H12944">
        <v>465561043</v>
      </c>
      <c r="I12944" t="s">
        <v>30</v>
      </c>
      <c r="J12944" t="s">
        <v>111</v>
      </c>
      <c r="K12944" t="s">
        <v>10012</v>
      </c>
      <c r="Q12944">
        <v>0</v>
      </c>
      <c r="R12944">
        <v>0</v>
      </c>
      <c r="S12944">
        <v>0</v>
      </c>
      <c r="T12944" t="s">
        <v>46318</v>
      </c>
    </row>
    <row r="12945" spans="1:20" customFormat="1" ht="15" x14ac:dyDescent="0.25">
      <c r="A12945" t="s">
        <v>35</v>
      </c>
      <c r="B12945" t="s">
        <v>106</v>
      </c>
      <c r="C12945" t="str">
        <f>"A0136185"</f>
        <v>A0136185</v>
      </c>
      <c r="D12945" t="s">
        <v>46334</v>
      </c>
      <c r="E12945" t="s">
        <v>46317</v>
      </c>
      <c r="F12945" t="s">
        <v>16939</v>
      </c>
      <c r="G12945" t="s">
        <v>381</v>
      </c>
      <c r="H12945">
        <v>465561043</v>
      </c>
      <c r="I12945" t="s">
        <v>30</v>
      </c>
      <c r="J12945" t="s">
        <v>111</v>
      </c>
      <c r="K12945" t="s">
        <v>10012</v>
      </c>
      <c r="Q12945">
        <v>0</v>
      </c>
      <c r="R12945">
        <v>0</v>
      </c>
      <c r="S12945">
        <v>0</v>
      </c>
      <c r="T12945" t="s">
        <v>46318</v>
      </c>
    </row>
    <row r="12946" spans="1:20" customFormat="1" ht="15" x14ac:dyDescent="0.25">
      <c r="A12946" t="s">
        <v>35</v>
      </c>
      <c r="B12946" t="s">
        <v>106</v>
      </c>
      <c r="C12946" t="str">
        <f>"A0136206"</f>
        <v>A0136206</v>
      </c>
      <c r="D12946" t="s">
        <v>46335</v>
      </c>
      <c r="E12946" t="s">
        <v>46317</v>
      </c>
      <c r="F12946" t="s">
        <v>16939</v>
      </c>
      <c r="G12946" t="s">
        <v>381</v>
      </c>
      <c r="H12946">
        <v>465561043</v>
      </c>
      <c r="I12946" t="s">
        <v>30</v>
      </c>
      <c r="J12946" t="s">
        <v>111</v>
      </c>
      <c r="K12946" t="s">
        <v>10012</v>
      </c>
      <c r="Q12946">
        <v>0</v>
      </c>
      <c r="R12946">
        <v>0</v>
      </c>
      <c r="S12946">
        <v>0</v>
      </c>
      <c r="T12946" t="s">
        <v>46318</v>
      </c>
    </row>
    <row r="12947" spans="1:20" customFormat="1" ht="15" x14ac:dyDescent="0.25">
      <c r="A12947" t="s">
        <v>35</v>
      </c>
      <c r="B12947" t="s">
        <v>106</v>
      </c>
      <c r="C12947" t="str">
        <f>"A0158451"</f>
        <v>A0158451</v>
      </c>
      <c r="D12947" t="s">
        <v>46336</v>
      </c>
      <c r="E12947" t="s">
        <v>46337</v>
      </c>
      <c r="F12947" t="s">
        <v>16939</v>
      </c>
      <c r="G12947" t="s">
        <v>381</v>
      </c>
      <c r="H12947">
        <v>46556</v>
      </c>
      <c r="I12947" t="s">
        <v>30</v>
      </c>
      <c r="J12947" t="s">
        <v>111</v>
      </c>
      <c r="K12947" t="s">
        <v>112</v>
      </c>
      <c r="Q12947">
        <v>0</v>
      </c>
      <c r="R12947">
        <v>0</v>
      </c>
      <c r="S12947">
        <v>0</v>
      </c>
      <c r="T12947" t="s">
        <v>46324</v>
      </c>
    </row>
    <row r="12948" spans="1:20" customFormat="1" ht="15" x14ac:dyDescent="0.25">
      <c r="A12948" t="s">
        <v>35</v>
      </c>
      <c r="B12948" t="s">
        <v>106</v>
      </c>
      <c r="C12948" t="str">
        <f>"A0158450"</f>
        <v>A0158450</v>
      </c>
      <c r="D12948" t="s">
        <v>46338</v>
      </c>
      <c r="E12948" t="s">
        <v>46323</v>
      </c>
      <c r="F12948" t="s">
        <v>16939</v>
      </c>
      <c r="G12948" t="s">
        <v>381</v>
      </c>
      <c r="H12948">
        <v>46556</v>
      </c>
      <c r="I12948" t="s">
        <v>30</v>
      </c>
      <c r="J12948" t="s">
        <v>111</v>
      </c>
      <c r="K12948" t="s">
        <v>112</v>
      </c>
      <c r="Q12948">
        <v>0</v>
      </c>
      <c r="R12948">
        <v>0</v>
      </c>
      <c r="S12948">
        <v>0</v>
      </c>
      <c r="T12948" t="s">
        <v>46324</v>
      </c>
    </row>
    <row r="12949" spans="1:20" customFormat="1" ht="15" x14ac:dyDescent="0.25">
      <c r="A12949" t="s">
        <v>35</v>
      </c>
      <c r="B12949" t="s">
        <v>106</v>
      </c>
      <c r="C12949" t="str">
        <f>"A0136189"</f>
        <v>A0136189</v>
      </c>
      <c r="D12949" t="s">
        <v>46339</v>
      </c>
      <c r="E12949" t="s">
        <v>46317</v>
      </c>
      <c r="F12949" t="s">
        <v>16939</v>
      </c>
      <c r="G12949" t="s">
        <v>381</v>
      </c>
      <c r="H12949">
        <v>465561043</v>
      </c>
      <c r="I12949" t="s">
        <v>30</v>
      </c>
      <c r="J12949" t="s">
        <v>111</v>
      </c>
      <c r="K12949" t="s">
        <v>10012</v>
      </c>
      <c r="Q12949">
        <v>0</v>
      </c>
      <c r="R12949">
        <v>0</v>
      </c>
      <c r="S12949">
        <v>0</v>
      </c>
      <c r="T12949" t="s">
        <v>46318</v>
      </c>
    </row>
    <row r="12950" spans="1:20" customFormat="1" ht="15" x14ac:dyDescent="0.25">
      <c r="A12950" t="s">
        <v>35</v>
      </c>
      <c r="B12950" t="s">
        <v>106</v>
      </c>
      <c r="C12950" t="str">
        <f>"A0136188"</f>
        <v>A0136188</v>
      </c>
      <c r="D12950" t="s">
        <v>46340</v>
      </c>
      <c r="E12950" t="s">
        <v>46317</v>
      </c>
      <c r="F12950" t="s">
        <v>16939</v>
      </c>
      <c r="G12950" t="s">
        <v>381</v>
      </c>
      <c r="H12950">
        <v>465561043</v>
      </c>
      <c r="I12950" t="s">
        <v>30</v>
      </c>
      <c r="J12950" t="s">
        <v>111</v>
      </c>
      <c r="K12950" t="s">
        <v>10012</v>
      </c>
      <c r="Q12950">
        <v>0</v>
      </c>
      <c r="R12950">
        <v>0</v>
      </c>
      <c r="S12950">
        <v>0</v>
      </c>
      <c r="T12950" t="s">
        <v>46318</v>
      </c>
    </row>
    <row r="12951" spans="1:20" customFormat="1" ht="15" x14ac:dyDescent="0.25">
      <c r="A12951" t="s">
        <v>35</v>
      </c>
      <c r="B12951" t="s">
        <v>106</v>
      </c>
      <c r="C12951" t="str">
        <f>"A0136197"</f>
        <v>A0136197</v>
      </c>
      <c r="D12951" t="s">
        <v>46341</v>
      </c>
      <c r="E12951" t="s">
        <v>46323</v>
      </c>
      <c r="F12951" t="s">
        <v>16939</v>
      </c>
      <c r="G12951" t="s">
        <v>381</v>
      </c>
      <c r="H12951">
        <v>465561043</v>
      </c>
      <c r="I12951" t="s">
        <v>30</v>
      </c>
      <c r="J12951" t="s">
        <v>111</v>
      </c>
      <c r="K12951" t="s">
        <v>10012</v>
      </c>
      <c r="Q12951">
        <v>0</v>
      </c>
      <c r="R12951">
        <v>0</v>
      </c>
      <c r="S12951">
        <v>0</v>
      </c>
      <c r="T12951" t="s">
        <v>46324</v>
      </c>
    </row>
    <row r="12952" spans="1:20" customFormat="1" ht="15" x14ac:dyDescent="0.25">
      <c r="A12952" t="s">
        <v>35</v>
      </c>
      <c r="B12952" t="s">
        <v>106</v>
      </c>
      <c r="C12952" t="str">
        <f>"A0136216"</f>
        <v>A0136216</v>
      </c>
      <c r="D12952" t="s">
        <v>46342</v>
      </c>
      <c r="E12952" t="s">
        <v>46317</v>
      </c>
      <c r="F12952" t="s">
        <v>16939</v>
      </c>
      <c r="G12952" t="s">
        <v>381</v>
      </c>
      <c r="H12952">
        <v>465561043</v>
      </c>
      <c r="I12952" t="s">
        <v>30</v>
      </c>
      <c r="J12952" t="s">
        <v>111</v>
      </c>
      <c r="K12952" t="s">
        <v>10012</v>
      </c>
      <c r="Q12952">
        <v>0</v>
      </c>
      <c r="R12952">
        <v>0</v>
      </c>
      <c r="S12952">
        <v>0</v>
      </c>
      <c r="T12952" t="s">
        <v>46318</v>
      </c>
    </row>
    <row r="12953" spans="1:20" customFormat="1" ht="15" x14ac:dyDescent="0.25">
      <c r="A12953" t="s">
        <v>35</v>
      </c>
      <c r="B12953" t="s">
        <v>106</v>
      </c>
      <c r="C12953" t="str">
        <f>"A0136220"</f>
        <v>A0136220</v>
      </c>
      <c r="D12953" t="s">
        <v>46343</v>
      </c>
      <c r="E12953" t="s">
        <v>46323</v>
      </c>
      <c r="F12953" t="s">
        <v>16939</v>
      </c>
      <c r="G12953" t="s">
        <v>381</v>
      </c>
      <c r="H12953">
        <v>465561043</v>
      </c>
      <c r="I12953" t="s">
        <v>30</v>
      </c>
      <c r="J12953" t="s">
        <v>111</v>
      </c>
      <c r="K12953" t="s">
        <v>10012</v>
      </c>
      <c r="Q12953">
        <v>0</v>
      </c>
      <c r="R12953">
        <v>0</v>
      </c>
      <c r="S12953">
        <v>0</v>
      </c>
      <c r="T12953" t="s">
        <v>46324</v>
      </c>
    </row>
    <row r="12954" spans="1:20" customFormat="1" ht="15" x14ac:dyDescent="0.25">
      <c r="A12954" t="s">
        <v>35</v>
      </c>
      <c r="B12954" t="s">
        <v>106</v>
      </c>
      <c r="C12954" t="str">
        <f>"A0136201"</f>
        <v>A0136201</v>
      </c>
      <c r="D12954" t="s">
        <v>46344</v>
      </c>
      <c r="E12954" t="s">
        <v>46323</v>
      </c>
      <c r="F12954" t="s">
        <v>16939</v>
      </c>
      <c r="G12954" t="s">
        <v>381</v>
      </c>
      <c r="H12954">
        <v>465561043</v>
      </c>
      <c r="I12954" t="s">
        <v>30</v>
      </c>
      <c r="J12954" t="s">
        <v>111</v>
      </c>
      <c r="K12954" t="s">
        <v>10012</v>
      </c>
      <c r="Q12954">
        <v>0</v>
      </c>
      <c r="R12954">
        <v>0</v>
      </c>
      <c r="S12954">
        <v>0</v>
      </c>
      <c r="T12954" t="s">
        <v>46324</v>
      </c>
    </row>
    <row r="12955" spans="1:20" customFormat="1" ht="15" x14ac:dyDescent="0.25">
      <c r="A12955" t="s">
        <v>35</v>
      </c>
      <c r="B12955" t="s">
        <v>106</v>
      </c>
      <c r="C12955" t="str">
        <f>"A0136187"</f>
        <v>A0136187</v>
      </c>
      <c r="D12955" t="s">
        <v>46345</v>
      </c>
      <c r="E12955" t="s">
        <v>46317</v>
      </c>
      <c r="F12955" t="s">
        <v>16939</v>
      </c>
      <c r="G12955" t="s">
        <v>381</v>
      </c>
      <c r="H12955">
        <v>465561043</v>
      </c>
      <c r="I12955" t="s">
        <v>30</v>
      </c>
      <c r="J12955" t="s">
        <v>111</v>
      </c>
      <c r="K12955" t="s">
        <v>10012</v>
      </c>
      <c r="Q12955">
        <v>0</v>
      </c>
      <c r="R12955">
        <v>0</v>
      </c>
      <c r="S12955">
        <v>0</v>
      </c>
      <c r="T12955" t="s">
        <v>46318</v>
      </c>
    </row>
    <row r="12956" spans="1:20" customFormat="1" ht="15" x14ac:dyDescent="0.25">
      <c r="A12956" t="s">
        <v>35</v>
      </c>
      <c r="B12956" t="s">
        <v>106</v>
      </c>
      <c r="C12956" t="str">
        <f>"A0136191"</f>
        <v>A0136191</v>
      </c>
      <c r="D12956" t="s">
        <v>46346</v>
      </c>
      <c r="E12956" t="s">
        <v>46317</v>
      </c>
      <c r="F12956" t="s">
        <v>16939</v>
      </c>
      <c r="G12956" t="s">
        <v>381</v>
      </c>
      <c r="H12956">
        <v>465561043</v>
      </c>
      <c r="I12956" t="s">
        <v>30</v>
      </c>
      <c r="J12956" t="s">
        <v>111</v>
      </c>
      <c r="K12956" t="s">
        <v>10012</v>
      </c>
      <c r="Q12956">
        <v>0</v>
      </c>
      <c r="R12956">
        <v>0</v>
      </c>
      <c r="S12956">
        <v>0</v>
      </c>
      <c r="T12956" t="s">
        <v>46318</v>
      </c>
    </row>
    <row r="12957" spans="1:20" customFormat="1" ht="15" x14ac:dyDescent="0.25">
      <c r="A12957" t="s">
        <v>35</v>
      </c>
      <c r="B12957" t="s">
        <v>106</v>
      </c>
      <c r="C12957" t="str">
        <f>"A0136198"</f>
        <v>A0136198</v>
      </c>
      <c r="D12957" t="s">
        <v>46347</v>
      </c>
      <c r="E12957" t="s">
        <v>46317</v>
      </c>
      <c r="F12957" t="s">
        <v>16939</v>
      </c>
      <c r="G12957" t="s">
        <v>381</v>
      </c>
      <c r="H12957">
        <v>465561043</v>
      </c>
      <c r="I12957" t="s">
        <v>30</v>
      </c>
      <c r="J12957" t="s">
        <v>111</v>
      </c>
      <c r="K12957" t="s">
        <v>10012</v>
      </c>
      <c r="Q12957">
        <v>0</v>
      </c>
      <c r="R12957">
        <v>0</v>
      </c>
      <c r="S12957">
        <v>0</v>
      </c>
      <c r="T12957" t="s">
        <v>46318</v>
      </c>
    </row>
    <row r="12958" spans="1:20" customFormat="1" ht="15" x14ac:dyDescent="0.25">
      <c r="A12958" t="s">
        <v>35</v>
      </c>
      <c r="B12958" t="s">
        <v>106</v>
      </c>
      <c r="C12958" t="str">
        <f>"A0136219"</f>
        <v>A0136219</v>
      </c>
      <c r="D12958" t="s">
        <v>46348</v>
      </c>
      <c r="E12958" t="s">
        <v>46317</v>
      </c>
      <c r="F12958" t="s">
        <v>16939</v>
      </c>
      <c r="G12958" t="s">
        <v>381</v>
      </c>
      <c r="H12958">
        <v>465561043</v>
      </c>
      <c r="I12958" t="s">
        <v>30</v>
      </c>
      <c r="J12958" t="s">
        <v>111</v>
      </c>
      <c r="K12958" t="s">
        <v>10012</v>
      </c>
      <c r="Q12958">
        <v>0</v>
      </c>
      <c r="R12958">
        <v>0</v>
      </c>
      <c r="S12958">
        <v>0</v>
      </c>
      <c r="T12958" t="s">
        <v>46318</v>
      </c>
    </row>
    <row r="12959" spans="1:20" customFormat="1" ht="15" x14ac:dyDescent="0.25">
      <c r="A12959" t="s">
        <v>35</v>
      </c>
      <c r="B12959" t="s">
        <v>106</v>
      </c>
      <c r="C12959" t="str">
        <f>"A0136218"</f>
        <v>A0136218</v>
      </c>
      <c r="D12959" t="s">
        <v>46349</v>
      </c>
      <c r="E12959" t="s">
        <v>46317</v>
      </c>
      <c r="F12959" t="s">
        <v>16939</v>
      </c>
      <c r="G12959" t="s">
        <v>381</v>
      </c>
      <c r="H12959">
        <v>465561043</v>
      </c>
      <c r="I12959" t="s">
        <v>30</v>
      </c>
      <c r="J12959" t="s">
        <v>111</v>
      </c>
      <c r="K12959" t="s">
        <v>10012</v>
      </c>
      <c r="Q12959">
        <v>0</v>
      </c>
      <c r="R12959">
        <v>0</v>
      </c>
      <c r="S12959">
        <v>0</v>
      </c>
      <c r="T12959" t="s">
        <v>46318</v>
      </c>
    </row>
    <row r="12960" spans="1:20" customFormat="1" ht="15" x14ac:dyDescent="0.25">
      <c r="A12960" t="s">
        <v>35</v>
      </c>
      <c r="B12960" t="s">
        <v>106</v>
      </c>
      <c r="C12960" t="str">
        <f>"A0158452"</f>
        <v>A0158452</v>
      </c>
      <c r="D12960" t="s">
        <v>46350</v>
      </c>
      <c r="E12960" t="s">
        <v>46323</v>
      </c>
      <c r="F12960" t="s">
        <v>16939</v>
      </c>
      <c r="G12960" t="s">
        <v>381</v>
      </c>
      <c r="H12960">
        <v>46556</v>
      </c>
      <c r="I12960" t="s">
        <v>30</v>
      </c>
      <c r="J12960" t="s">
        <v>111</v>
      </c>
      <c r="K12960" t="s">
        <v>112</v>
      </c>
      <c r="Q12960">
        <v>0</v>
      </c>
      <c r="R12960">
        <v>0</v>
      </c>
      <c r="S12960">
        <v>0</v>
      </c>
      <c r="T12960" t="s">
        <v>46324</v>
      </c>
    </row>
    <row r="12961" spans="1:20" customFormat="1" ht="15" x14ac:dyDescent="0.25">
      <c r="A12961" t="s">
        <v>35</v>
      </c>
      <c r="B12961" t="s">
        <v>106</v>
      </c>
      <c r="C12961" t="str">
        <f>"A0136211"</f>
        <v>A0136211</v>
      </c>
      <c r="D12961" t="s">
        <v>46351</v>
      </c>
      <c r="E12961" t="s">
        <v>46323</v>
      </c>
      <c r="F12961" t="s">
        <v>16939</v>
      </c>
      <c r="G12961" t="s">
        <v>381</v>
      </c>
      <c r="H12961">
        <v>465561043</v>
      </c>
      <c r="I12961" t="s">
        <v>30</v>
      </c>
      <c r="J12961" t="s">
        <v>111</v>
      </c>
      <c r="K12961" t="s">
        <v>10012</v>
      </c>
      <c r="Q12961">
        <v>0</v>
      </c>
      <c r="R12961">
        <v>0</v>
      </c>
      <c r="S12961">
        <v>0</v>
      </c>
      <c r="T12961" t="s">
        <v>46352</v>
      </c>
    </row>
    <row r="12962" spans="1:20" customFormat="1" ht="15" x14ac:dyDescent="0.25">
      <c r="A12962" t="s">
        <v>35</v>
      </c>
      <c r="B12962" t="s">
        <v>106</v>
      </c>
      <c r="C12962" t="str">
        <f>"A0136221"</f>
        <v>A0136221</v>
      </c>
      <c r="D12962" t="s">
        <v>46353</v>
      </c>
      <c r="E12962" t="s">
        <v>46354</v>
      </c>
      <c r="F12962" t="s">
        <v>16939</v>
      </c>
      <c r="G12962" t="s">
        <v>381</v>
      </c>
      <c r="H12962">
        <v>465561043</v>
      </c>
      <c r="I12962" t="s">
        <v>30</v>
      </c>
      <c r="J12962" t="s">
        <v>111</v>
      </c>
      <c r="K12962" t="s">
        <v>10012</v>
      </c>
      <c r="Q12962">
        <v>0</v>
      </c>
      <c r="R12962">
        <v>0</v>
      </c>
      <c r="S12962">
        <v>0</v>
      </c>
      <c r="T12962" t="s">
        <v>46324</v>
      </c>
    </row>
    <row r="12963" spans="1:20" customFormat="1" ht="15" x14ac:dyDescent="0.25">
      <c r="A12963" t="s">
        <v>35</v>
      </c>
      <c r="B12963" t="s">
        <v>106</v>
      </c>
      <c r="C12963" t="str">
        <f>"A0136207"</f>
        <v>A0136207</v>
      </c>
      <c r="D12963" t="s">
        <v>46355</v>
      </c>
      <c r="E12963" t="s">
        <v>46317</v>
      </c>
      <c r="F12963" t="s">
        <v>16939</v>
      </c>
      <c r="G12963" t="s">
        <v>381</v>
      </c>
      <c r="H12963">
        <v>465561043</v>
      </c>
      <c r="I12963" t="s">
        <v>30</v>
      </c>
      <c r="J12963" t="s">
        <v>111</v>
      </c>
      <c r="K12963" t="s">
        <v>10012</v>
      </c>
      <c r="Q12963">
        <v>0</v>
      </c>
      <c r="R12963">
        <v>0</v>
      </c>
      <c r="S12963">
        <v>0</v>
      </c>
      <c r="T12963" t="s">
        <v>46318</v>
      </c>
    </row>
    <row r="12964" spans="1:20" customFormat="1" ht="15" x14ac:dyDescent="0.25">
      <c r="A12964" t="s">
        <v>35</v>
      </c>
      <c r="B12964" t="s">
        <v>106</v>
      </c>
      <c r="C12964" t="str">
        <f>"A0158355"</f>
        <v>A0158355</v>
      </c>
      <c r="D12964" t="s">
        <v>46356</v>
      </c>
      <c r="E12964" t="s">
        <v>46323</v>
      </c>
      <c r="F12964" t="s">
        <v>16939</v>
      </c>
      <c r="G12964" t="s">
        <v>381</v>
      </c>
      <c r="H12964">
        <v>46556</v>
      </c>
      <c r="I12964" t="s">
        <v>30</v>
      </c>
      <c r="J12964" t="s">
        <v>111</v>
      </c>
      <c r="K12964" t="s">
        <v>112</v>
      </c>
      <c r="Q12964">
        <v>0</v>
      </c>
      <c r="R12964">
        <v>0</v>
      </c>
      <c r="S12964">
        <v>0</v>
      </c>
      <c r="T12964" t="s">
        <v>46324</v>
      </c>
    </row>
    <row r="12965" spans="1:20" customFormat="1" ht="15" x14ac:dyDescent="0.25">
      <c r="A12965" t="s">
        <v>35</v>
      </c>
      <c r="B12965" t="s">
        <v>106</v>
      </c>
      <c r="C12965" t="str">
        <f>"A0136186"</f>
        <v>A0136186</v>
      </c>
      <c r="D12965" t="s">
        <v>46357</v>
      </c>
      <c r="E12965" t="s">
        <v>46317</v>
      </c>
      <c r="F12965" t="s">
        <v>16939</v>
      </c>
      <c r="G12965" t="s">
        <v>381</v>
      </c>
      <c r="H12965">
        <v>465561043</v>
      </c>
      <c r="I12965" t="s">
        <v>30</v>
      </c>
      <c r="J12965" t="s">
        <v>111</v>
      </c>
      <c r="K12965" t="s">
        <v>10012</v>
      </c>
      <c r="Q12965">
        <v>0</v>
      </c>
      <c r="R12965">
        <v>0</v>
      </c>
      <c r="S12965">
        <v>0</v>
      </c>
      <c r="T12965" t="s">
        <v>46318</v>
      </c>
    </row>
    <row r="12966" spans="1:20" customFormat="1" ht="15" x14ac:dyDescent="0.25">
      <c r="A12966" t="s">
        <v>35</v>
      </c>
      <c r="B12966" t="s">
        <v>106</v>
      </c>
      <c r="C12966" t="str">
        <f>"A0158449"</f>
        <v>A0158449</v>
      </c>
      <c r="D12966" t="s">
        <v>46358</v>
      </c>
      <c r="E12966" t="s">
        <v>46323</v>
      </c>
      <c r="F12966" t="s">
        <v>16939</v>
      </c>
      <c r="G12966" t="s">
        <v>381</v>
      </c>
      <c r="H12966">
        <v>46556</v>
      </c>
      <c r="I12966" t="s">
        <v>30</v>
      </c>
      <c r="J12966" t="s">
        <v>111</v>
      </c>
      <c r="K12966" t="s">
        <v>112</v>
      </c>
      <c r="Q12966">
        <v>0</v>
      </c>
      <c r="R12966">
        <v>0</v>
      </c>
      <c r="S12966">
        <v>0</v>
      </c>
      <c r="T12966" t="s">
        <v>46324</v>
      </c>
    </row>
    <row r="12967" spans="1:20" customFormat="1" ht="15" x14ac:dyDescent="0.25">
      <c r="A12967" t="s">
        <v>35</v>
      </c>
      <c r="B12967" t="s">
        <v>106</v>
      </c>
      <c r="C12967" t="str">
        <f>"A0136183"</f>
        <v>A0136183</v>
      </c>
      <c r="D12967" t="s">
        <v>46359</v>
      </c>
      <c r="E12967" t="s">
        <v>46317</v>
      </c>
      <c r="F12967" t="s">
        <v>16939</v>
      </c>
      <c r="G12967" t="s">
        <v>381</v>
      </c>
      <c r="H12967">
        <v>465561043</v>
      </c>
      <c r="I12967" t="s">
        <v>30</v>
      </c>
      <c r="J12967" t="s">
        <v>111</v>
      </c>
      <c r="K12967" t="s">
        <v>10012</v>
      </c>
      <c r="Q12967">
        <v>0</v>
      </c>
      <c r="R12967">
        <v>0</v>
      </c>
      <c r="S12967">
        <v>0</v>
      </c>
      <c r="T12967" t="s">
        <v>46318</v>
      </c>
    </row>
    <row r="12968" spans="1:20" customFormat="1" ht="15" x14ac:dyDescent="0.25">
      <c r="A12968" t="s">
        <v>35</v>
      </c>
      <c r="B12968" t="s">
        <v>106</v>
      </c>
      <c r="C12968" t="str">
        <f>"A0136182"</f>
        <v>A0136182</v>
      </c>
      <c r="D12968" t="s">
        <v>46360</v>
      </c>
      <c r="E12968" t="s">
        <v>46323</v>
      </c>
      <c r="F12968" t="s">
        <v>16939</v>
      </c>
      <c r="G12968" t="s">
        <v>381</v>
      </c>
      <c r="H12968">
        <v>465561043</v>
      </c>
      <c r="I12968" t="s">
        <v>30</v>
      </c>
      <c r="J12968" t="s">
        <v>111</v>
      </c>
      <c r="K12968" t="s">
        <v>10012</v>
      </c>
      <c r="Q12968">
        <v>0</v>
      </c>
      <c r="R12968">
        <v>0</v>
      </c>
      <c r="S12968">
        <v>0</v>
      </c>
      <c r="T12968" t="s">
        <v>46324</v>
      </c>
    </row>
    <row r="12969" spans="1:20" customFormat="1" ht="15" x14ac:dyDescent="0.25">
      <c r="A12969" t="s">
        <v>35</v>
      </c>
      <c r="B12969" t="s">
        <v>106</v>
      </c>
      <c r="C12969" t="str">
        <f>"A0136209"</f>
        <v>A0136209</v>
      </c>
      <c r="D12969" t="s">
        <v>46361</v>
      </c>
      <c r="E12969" t="s">
        <v>46317</v>
      </c>
      <c r="F12969" t="s">
        <v>16939</v>
      </c>
      <c r="G12969" t="s">
        <v>381</v>
      </c>
      <c r="H12969">
        <v>465561043</v>
      </c>
      <c r="I12969" t="s">
        <v>30</v>
      </c>
      <c r="J12969" t="s">
        <v>111</v>
      </c>
      <c r="K12969" t="s">
        <v>10012</v>
      </c>
      <c r="Q12969">
        <v>0</v>
      </c>
      <c r="R12969">
        <v>0</v>
      </c>
      <c r="S12969">
        <v>0</v>
      </c>
      <c r="T12969" t="s">
        <v>46362</v>
      </c>
    </row>
    <row r="12970" spans="1:20" customFormat="1" ht="15" x14ac:dyDescent="0.25">
      <c r="A12970" t="s">
        <v>35</v>
      </c>
      <c r="B12970" t="s">
        <v>106</v>
      </c>
      <c r="C12970" t="str">
        <f>"A0136208"</f>
        <v>A0136208</v>
      </c>
      <c r="D12970" t="s">
        <v>46363</v>
      </c>
      <c r="E12970" t="s">
        <v>46317</v>
      </c>
      <c r="F12970" t="s">
        <v>16939</v>
      </c>
      <c r="G12970" t="s">
        <v>381</v>
      </c>
      <c r="H12970">
        <v>465561043</v>
      </c>
      <c r="I12970" t="s">
        <v>30</v>
      </c>
      <c r="J12970" t="s">
        <v>111</v>
      </c>
      <c r="K12970" t="s">
        <v>10012</v>
      </c>
      <c r="Q12970">
        <v>0</v>
      </c>
      <c r="R12970">
        <v>0</v>
      </c>
      <c r="S12970">
        <v>0</v>
      </c>
      <c r="T12970" t="s">
        <v>46318</v>
      </c>
    </row>
    <row r="12971" spans="1:20" customFormat="1" ht="15" x14ac:dyDescent="0.25">
      <c r="A12971" t="s">
        <v>35</v>
      </c>
      <c r="B12971" t="s">
        <v>106</v>
      </c>
      <c r="C12971" t="str">
        <f>"A0136213"</f>
        <v>A0136213</v>
      </c>
      <c r="D12971" t="s">
        <v>46364</v>
      </c>
      <c r="E12971" t="s">
        <v>46317</v>
      </c>
      <c r="F12971" t="s">
        <v>16939</v>
      </c>
      <c r="G12971" t="s">
        <v>381</v>
      </c>
      <c r="H12971">
        <v>465561043</v>
      </c>
      <c r="I12971" t="s">
        <v>30</v>
      </c>
      <c r="J12971" t="s">
        <v>111</v>
      </c>
      <c r="K12971" t="s">
        <v>10012</v>
      </c>
      <c r="Q12971">
        <v>0</v>
      </c>
      <c r="R12971">
        <v>0</v>
      </c>
      <c r="S12971">
        <v>0</v>
      </c>
      <c r="T12971" t="s">
        <v>46318</v>
      </c>
    </row>
    <row r="12972" spans="1:20" customFormat="1" ht="15" x14ac:dyDescent="0.25">
      <c r="A12972" t="s">
        <v>35</v>
      </c>
      <c r="B12972" t="s">
        <v>106</v>
      </c>
      <c r="C12972" t="str">
        <f>"A0136181"</f>
        <v>A0136181</v>
      </c>
      <c r="D12972" t="s">
        <v>46365</v>
      </c>
      <c r="E12972" t="s">
        <v>46333</v>
      </c>
      <c r="F12972" t="s">
        <v>16939</v>
      </c>
      <c r="G12972" t="s">
        <v>381</v>
      </c>
      <c r="H12972">
        <v>465561043</v>
      </c>
      <c r="I12972" t="s">
        <v>30</v>
      </c>
      <c r="J12972" t="s">
        <v>111</v>
      </c>
      <c r="K12972" t="s">
        <v>10012</v>
      </c>
      <c r="Q12972">
        <v>0</v>
      </c>
      <c r="R12972">
        <v>0</v>
      </c>
      <c r="S12972">
        <v>0</v>
      </c>
      <c r="T12972" t="s">
        <v>46318</v>
      </c>
    </row>
    <row r="12973" spans="1:20" customFormat="1" ht="15" x14ac:dyDescent="0.25">
      <c r="A12973" t="s">
        <v>35</v>
      </c>
      <c r="B12973" t="s">
        <v>106</v>
      </c>
      <c r="C12973" t="str">
        <f>"A0136194"</f>
        <v>A0136194</v>
      </c>
      <c r="D12973" t="s">
        <v>46366</v>
      </c>
      <c r="E12973" t="s">
        <v>46317</v>
      </c>
      <c r="F12973" t="s">
        <v>16939</v>
      </c>
      <c r="G12973" t="s">
        <v>381</v>
      </c>
      <c r="H12973">
        <v>465561043</v>
      </c>
      <c r="I12973" t="s">
        <v>30</v>
      </c>
      <c r="J12973" t="s">
        <v>111</v>
      </c>
      <c r="K12973" t="s">
        <v>10012</v>
      </c>
      <c r="Q12973">
        <v>0</v>
      </c>
      <c r="R12973">
        <v>0</v>
      </c>
      <c r="S12973">
        <v>0</v>
      </c>
      <c r="T12973" t="s">
        <v>46318</v>
      </c>
    </row>
    <row r="12974" spans="1:20" customFormat="1" ht="15" x14ac:dyDescent="0.25">
      <c r="A12974" t="s">
        <v>35</v>
      </c>
      <c r="B12974" t="s">
        <v>106</v>
      </c>
      <c r="C12974" t="str">
        <f>"A0158356"</f>
        <v>A0158356</v>
      </c>
      <c r="D12974" t="s">
        <v>46367</v>
      </c>
      <c r="E12974" t="s">
        <v>46323</v>
      </c>
      <c r="F12974" t="s">
        <v>16939</v>
      </c>
      <c r="G12974" t="s">
        <v>381</v>
      </c>
      <c r="H12974">
        <v>46556</v>
      </c>
      <c r="I12974" t="s">
        <v>30</v>
      </c>
      <c r="J12974" t="s">
        <v>111</v>
      </c>
      <c r="K12974" t="s">
        <v>112</v>
      </c>
      <c r="Q12974">
        <v>0</v>
      </c>
      <c r="R12974">
        <v>0</v>
      </c>
      <c r="S12974">
        <v>0</v>
      </c>
      <c r="T12974" t="s">
        <v>46324</v>
      </c>
    </row>
    <row r="12975" spans="1:20" customFormat="1" ht="15" x14ac:dyDescent="0.25">
      <c r="A12975" t="s">
        <v>35</v>
      </c>
      <c r="B12975" t="s">
        <v>106</v>
      </c>
      <c r="C12975" t="str">
        <f>"A0136204"</f>
        <v>A0136204</v>
      </c>
      <c r="D12975" t="s">
        <v>46368</v>
      </c>
      <c r="E12975" t="s">
        <v>46317</v>
      </c>
      <c r="F12975" t="s">
        <v>16939</v>
      </c>
      <c r="G12975" t="s">
        <v>381</v>
      </c>
      <c r="H12975">
        <v>465561043</v>
      </c>
      <c r="I12975" t="s">
        <v>30</v>
      </c>
      <c r="J12975" t="s">
        <v>111</v>
      </c>
      <c r="K12975" t="s">
        <v>10012</v>
      </c>
      <c r="Q12975">
        <v>0</v>
      </c>
      <c r="R12975">
        <v>0</v>
      </c>
      <c r="S12975">
        <v>0</v>
      </c>
    </row>
    <row r="12976" spans="1:20" customFormat="1" ht="15" x14ac:dyDescent="0.25">
      <c r="A12976" t="s">
        <v>35</v>
      </c>
      <c r="B12976" t="s">
        <v>106</v>
      </c>
      <c r="C12976" t="str">
        <f>"A0136212"</f>
        <v>A0136212</v>
      </c>
      <c r="D12976" t="s">
        <v>46369</v>
      </c>
      <c r="E12976" t="s">
        <v>46317</v>
      </c>
      <c r="F12976" t="s">
        <v>16939</v>
      </c>
      <c r="G12976" t="s">
        <v>381</v>
      </c>
      <c r="H12976">
        <v>465561043</v>
      </c>
      <c r="I12976" t="s">
        <v>30</v>
      </c>
      <c r="J12976" t="s">
        <v>111</v>
      </c>
      <c r="K12976" t="s">
        <v>10012</v>
      </c>
      <c r="Q12976">
        <v>0</v>
      </c>
      <c r="R12976">
        <v>0</v>
      </c>
      <c r="S12976">
        <v>0</v>
      </c>
      <c r="T12976" t="s">
        <v>46318</v>
      </c>
    </row>
    <row r="12977" spans="1:20" customFormat="1" ht="15" x14ac:dyDescent="0.25">
      <c r="A12977" t="s">
        <v>35</v>
      </c>
      <c r="B12977" t="s">
        <v>106</v>
      </c>
      <c r="C12977" t="str">
        <f>"A0136214"</f>
        <v>A0136214</v>
      </c>
      <c r="D12977" t="s">
        <v>46370</v>
      </c>
      <c r="E12977" t="s">
        <v>46317</v>
      </c>
      <c r="F12977" t="s">
        <v>16939</v>
      </c>
      <c r="G12977" t="s">
        <v>381</v>
      </c>
      <c r="H12977">
        <v>465561043</v>
      </c>
      <c r="I12977" t="s">
        <v>30</v>
      </c>
      <c r="J12977" t="s">
        <v>111</v>
      </c>
      <c r="K12977" t="s">
        <v>10012</v>
      </c>
      <c r="Q12977">
        <v>0</v>
      </c>
      <c r="R12977">
        <v>0</v>
      </c>
      <c r="S12977">
        <v>0</v>
      </c>
      <c r="T12977" t="s">
        <v>46318</v>
      </c>
    </row>
    <row r="12978" spans="1:20" customFormat="1" ht="15" x14ac:dyDescent="0.25">
      <c r="A12978" t="s">
        <v>35</v>
      </c>
      <c r="B12978" t="s">
        <v>106</v>
      </c>
      <c r="C12978" t="str">
        <f>"A0136192"</f>
        <v>A0136192</v>
      </c>
      <c r="D12978" t="s">
        <v>46371</v>
      </c>
      <c r="E12978" t="s">
        <v>46317</v>
      </c>
      <c r="F12978" t="s">
        <v>16939</v>
      </c>
      <c r="G12978" t="s">
        <v>381</v>
      </c>
      <c r="H12978">
        <v>465561043</v>
      </c>
      <c r="I12978" t="s">
        <v>30</v>
      </c>
      <c r="J12978" t="s">
        <v>111</v>
      </c>
      <c r="K12978" t="s">
        <v>10012</v>
      </c>
      <c r="Q12978">
        <v>0</v>
      </c>
      <c r="R12978">
        <v>0</v>
      </c>
      <c r="S12978">
        <v>0</v>
      </c>
      <c r="T12978" t="s">
        <v>46318</v>
      </c>
    </row>
    <row r="12979" spans="1:20" customFormat="1" ht="15" x14ac:dyDescent="0.25">
      <c r="A12979" t="s">
        <v>35</v>
      </c>
      <c r="B12979" t="s">
        <v>106</v>
      </c>
      <c r="C12979" t="str">
        <f>"A0136195"</f>
        <v>A0136195</v>
      </c>
      <c r="D12979" t="s">
        <v>46372</v>
      </c>
      <c r="E12979" t="s">
        <v>46317</v>
      </c>
      <c r="F12979" t="s">
        <v>16939</v>
      </c>
      <c r="G12979" t="s">
        <v>381</v>
      </c>
      <c r="H12979">
        <v>465561043</v>
      </c>
      <c r="I12979" t="s">
        <v>30</v>
      </c>
      <c r="J12979" t="s">
        <v>111</v>
      </c>
      <c r="K12979" t="s">
        <v>10012</v>
      </c>
      <c r="Q12979">
        <v>0</v>
      </c>
      <c r="R12979">
        <v>0</v>
      </c>
      <c r="S12979">
        <v>0</v>
      </c>
      <c r="T12979" t="s">
        <v>46318</v>
      </c>
    </row>
    <row r="12980" spans="1:20" customFormat="1" ht="15" x14ac:dyDescent="0.25">
      <c r="A12980" t="s">
        <v>35</v>
      </c>
      <c r="B12980" t="s">
        <v>61</v>
      </c>
      <c r="C12980" t="str">
        <f>"A0123887"</f>
        <v>A0123887</v>
      </c>
      <c r="D12980" t="s">
        <v>46373</v>
      </c>
      <c r="E12980" t="s">
        <v>46374</v>
      </c>
      <c r="F12980" t="s">
        <v>3327</v>
      </c>
      <c r="G12980" t="s">
        <v>214</v>
      </c>
      <c r="H12980">
        <v>28403</v>
      </c>
      <c r="I12980" t="s">
        <v>30</v>
      </c>
      <c r="J12980" t="s">
        <v>41</v>
      </c>
      <c r="K12980" t="s">
        <v>59</v>
      </c>
      <c r="Q12980">
        <v>0</v>
      </c>
      <c r="R12980">
        <v>60</v>
      </c>
      <c r="S12980">
        <v>60</v>
      </c>
      <c r="T12980" t="s">
        <v>46375</v>
      </c>
    </row>
    <row r="12981" spans="1:20" customFormat="1" ht="15" x14ac:dyDescent="0.25">
      <c r="A12981" t="s">
        <v>35</v>
      </c>
      <c r="B12981" t="s">
        <v>61</v>
      </c>
      <c r="C12981" t="str">
        <f>"A0123503"</f>
        <v>A0123503</v>
      </c>
      <c r="D12981" t="s">
        <v>46376</v>
      </c>
      <c r="E12981" t="s">
        <v>46377</v>
      </c>
      <c r="F12981" t="s">
        <v>40943</v>
      </c>
      <c r="G12981" t="s">
        <v>507</v>
      </c>
      <c r="H12981">
        <v>26241</v>
      </c>
      <c r="I12981" t="s">
        <v>30</v>
      </c>
      <c r="J12981" t="s">
        <v>41</v>
      </c>
      <c r="K12981" t="s">
        <v>229</v>
      </c>
      <c r="Q12981">
        <v>0</v>
      </c>
      <c r="R12981">
        <v>180</v>
      </c>
      <c r="S12981">
        <v>180</v>
      </c>
      <c r="T12981" t="s">
        <v>46378</v>
      </c>
    </row>
    <row r="12982" spans="1:20" customFormat="1" ht="15" x14ac:dyDescent="0.25">
      <c r="A12982" t="s">
        <v>35</v>
      </c>
      <c r="B12982" t="s">
        <v>61</v>
      </c>
      <c r="C12982" t="str">
        <f>"A0130359"</f>
        <v>A0130359</v>
      </c>
      <c r="D12982" t="s">
        <v>46379</v>
      </c>
      <c r="E12982" t="s">
        <v>46380</v>
      </c>
      <c r="F12982" t="s">
        <v>638</v>
      </c>
      <c r="G12982" t="s">
        <v>1898</v>
      </c>
      <c r="H12982">
        <v>50208</v>
      </c>
      <c r="I12982" t="s">
        <v>30</v>
      </c>
      <c r="J12982" t="s">
        <v>41</v>
      </c>
      <c r="K12982" t="s">
        <v>229</v>
      </c>
      <c r="Q12982">
        <v>0</v>
      </c>
      <c r="R12982">
        <v>36</v>
      </c>
      <c r="S12982">
        <v>36</v>
      </c>
      <c r="T12982" t="s">
        <v>46381</v>
      </c>
    </row>
    <row r="12983" spans="1:20" customFormat="1" ht="15" x14ac:dyDescent="0.25">
      <c r="A12983" t="s">
        <v>35</v>
      </c>
      <c r="B12983" t="s">
        <v>61</v>
      </c>
      <c r="C12983" t="str">
        <f>"A0129472"</f>
        <v>A0129472</v>
      </c>
      <c r="D12983" t="s">
        <v>46382</v>
      </c>
      <c r="E12983" t="s">
        <v>46383</v>
      </c>
      <c r="F12983" t="s">
        <v>1755</v>
      </c>
      <c r="G12983" t="s">
        <v>289</v>
      </c>
      <c r="H12983">
        <v>62711</v>
      </c>
      <c r="I12983" t="s">
        <v>30</v>
      </c>
      <c r="J12983" t="s">
        <v>41</v>
      </c>
      <c r="K12983" t="s">
        <v>1412</v>
      </c>
      <c r="Q12983">
        <v>0</v>
      </c>
      <c r="R12983">
        <v>0</v>
      </c>
      <c r="S12983">
        <v>0</v>
      </c>
      <c r="T12983" t="s">
        <v>46384</v>
      </c>
    </row>
    <row r="12984" spans="1:20" customFormat="1" ht="15" x14ac:dyDescent="0.25">
      <c r="A12984" t="s">
        <v>35</v>
      </c>
      <c r="B12984" t="s">
        <v>61</v>
      </c>
      <c r="C12984" t="str">
        <f>"A0126660"</f>
        <v>A0126660</v>
      </c>
      <c r="D12984" t="s">
        <v>46385</v>
      </c>
      <c r="E12984" t="s">
        <v>46386</v>
      </c>
      <c r="F12984" t="s">
        <v>36622</v>
      </c>
      <c r="G12984" t="s">
        <v>103</v>
      </c>
      <c r="H12984">
        <v>15801</v>
      </c>
      <c r="I12984" t="s">
        <v>30</v>
      </c>
      <c r="J12984" t="s">
        <v>41</v>
      </c>
      <c r="K12984" t="s">
        <v>59</v>
      </c>
      <c r="Q12984">
        <v>0</v>
      </c>
      <c r="R12984">
        <v>60</v>
      </c>
      <c r="S12984">
        <v>60</v>
      </c>
      <c r="T12984" t="s">
        <v>46387</v>
      </c>
    </row>
    <row r="12985" spans="1:20" customFormat="1" ht="15" x14ac:dyDescent="0.25">
      <c r="A12985" t="s">
        <v>35</v>
      </c>
      <c r="B12985" t="s">
        <v>61</v>
      </c>
      <c r="C12985" t="str">
        <f>"A0121243"</f>
        <v>A0121243</v>
      </c>
      <c r="D12985" t="s">
        <v>46388</v>
      </c>
      <c r="E12985" t="s">
        <v>46389</v>
      </c>
      <c r="F12985" t="s">
        <v>12384</v>
      </c>
      <c r="G12985" t="s">
        <v>190</v>
      </c>
      <c r="H12985">
        <v>80904</v>
      </c>
      <c r="I12985" t="s">
        <v>30</v>
      </c>
      <c r="J12985" t="s">
        <v>41</v>
      </c>
      <c r="K12985" t="s">
        <v>2463</v>
      </c>
      <c r="Q12985">
        <v>0</v>
      </c>
      <c r="R12985">
        <v>0</v>
      </c>
      <c r="S12985">
        <v>0</v>
      </c>
      <c r="T12985" t="s">
        <v>46390</v>
      </c>
    </row>
    <row r="12986" spans="1:20" customFormat="1" ht="15" x14ac:dyDescent="0.25">
      <c r="A12986" t="s">
        <v>35</v>
      </c>
      <c r="B12986" t="s">
        <v>61</v>
      </c>
      <c r="C12986" t="str">
        <f>"A0124664"</f>
        <v>A0124664</v>
      </c>
      <c r="D12986" t="s">
        <v>46391</v>
      </c>
      <c r="E12986" t="s">
        <v>46392</v>
      </c>
      <c r="F12986" t="s">
        <v>4629</v>
      </c>
      <c r="G12986" t="s">
        <v>1369</v>
      </c>
      <c r="H12986">
        <v>39350</v>
      </c>
      <c r="I12986" t="s">
        <v>30</v>
      </c>
      <c r="J12986" t="s">
        <v>41</v>
      </c>
      <c r="K12986" t="s">
        <v>229</v>
      </c>
      <c r="Q12986">
        <v>0</v>
      </c>
      <c r="R12986">
        <v>160</v>
      </c>
      <c r="S12986">
        <v>160</v>
      </c>
      <c r="T12986" t="s">
        <v>46393</v>
      </c>
    </row>
    <row r="12987" spans="1:20" customFormat="1" ht="15" x14ac:dyDescent="0.25">
      <c r="A12987" t="s">
        <v>35</v>
      </c>
      <c r="B12987" t="s">
        <v>61</v>
      </c>
      <c r="C12987" t="str">
        <f>"A0125208"</f>
        <v>A0125208</v>
      </c>
      <c r="D12987" t="s">
        <v>46394</v>
      </c>
      <c r="E12987" t="s">
        <v>46395</v>
      </c>
      <c r="F12987" t="s">
        <v>46396</v>
      </c>
      <c r="G12987" t="s">
        <v>40</v>
      </c>
      <c r="H12987">
        <v>74848</v>
      </c>
      <c r="I12987" t="s">
        <v>30</v>
      </c>
      <c r="J12987" t="s">
        <v>41</v>
      </c>
      <c r="K12987" t="s">
        <v>6300</v>
      </c>
      <c r="Q12987">
        <v>0</v>
      </c>
      <c r="R12987">
        <v>0</v>
      </c>
      <c r="S12987">
        <v>0</v>
      </c>
      <c r="T12987" t="s">
        <v>46397</v>
      </c>
    </row>
    <row r="12988" spans="1:20" customFormat="1" ht="15" x14ac:dyDescent="0.25">
      <c r="A12988" t="s">
        <v>35</v>
      </c>
      <c r="B12988" t="s">
        <v>61</v>
      </c>
      <c r="C12988" t="str">
        <f>"A0129064"</f>
        <v>A0129064</v>
      </c>
      <c r="D12988" t="s">
        <v>46398</v>
      </c>
      <c r="E12988" t="s">
        <v>46399</v>
      </c>
      <c r="F12988" t="s">
        <v>46400</v>
      </c>
      <c r="G12988" t="s">
        <v>289</v>
      </c>
      <c r="H12988">
        <v>62264</v>
      </c>
      <c r="I12988" t="s">
        <v>30</v>
      </c>
      <c r="J12988" t="s">
        <v>41</v>
      </c>
      <c r="K12988" t="s">
        <v>229</v>
      </c>
      <c r="Q12988">
        <v>0</v>
      </c>
      <c r="R12988">
        <v>64</v>
      </c>
      <c r="S12988">
        <v>64</v>
      </c>
      <c r="T12988" t="s">
        <v>46401</v>
      </c>
    </row>
    <row r="12989" spans="1:20" customFormat="1" ht="15" x14ac:dyDescent="0.25">
      <c r="A12989" t="s">
        <v>35</v>
      </c>
      <c r="B12989" t="s">
        <v>61</v>
      </c>
      <c r="C12989" t="str">
        <f>"A0128308"</f>
        <v>A0128308</v>
      </c>
      <c r="D12989" t="s">
        <v>46402</v>
      </c>
      <c r="E12989" t="s">
        <v>46403</v>
      </c>
      <c r="F12989" t="s">
        <v>426</v>
      </c>
      <c r="G12989" t="s">
        <v>427</v>
      </c>
      <c r="H12989">
        <v>681540000</v>
      </c>
      <c r="I12989" t="s">
        <v>30</v>
      </c>
      <c r="J12989" t="s">
        <v>41</v>
      </c>
      <c r="K12989" t="s">
        <v>59</v>
      </c>
      <c r="Q12989">
        <v>0</v>
      </c>
      <c r="R12989">
        <v>276</v>
      </c>
      <c r="S12989">
        <v>276</v>
      </c>
      <c r="T12989" t="s">
        <v>46404</v>
      </c>
    </row>
    <row r="12990" spans="1:20" customFormat="1" ht="15" x14ac:dyDescent="0.25">
      <c r="A12990" t="s">
        <v>35</v>
      </c>
      <c r="B12990" t="s">
        <v>61</v>
      </c>
      <c r="C12990" t="str">
        <f>"A0133310"</f>
        <v>A0133310</v>
      </c>
      <c r="D12990" t="s">
        <v>46405</v>
      </c>
      <c r="E12990" t="s">
        <v>46406</v>
      </c>
      <c r="F12990" t="s">
        <v>5472</v>
      </c>
      <c r="G12990" t="s">
        <v>52</v>
      </c>
      <c r="H12990">
        <v>764500000</v>
      </c>
      <c r="I12990" t="s">
        <v>30</v>
      </c>
      <c r="J12990" t="s">
        <v>41</v>
      </c>
      <c r="K12990" t="s">
        <v>229</v>
      </c>
      <c r="Q12990">
        <v>0</v>
      </c>
      <c r="R12990">
        <v>100</v>
      </c>
      <c r="S12990">
        <v>100</v>
      </c>
      <c r="T12990" t="s">
        <v>46407</v>
      </c>
    </row>
    <row r="12991" spans="1:20" customFormat="1" ht="15" x14ac:dyDescent="0.25">
      <c r="A12991" t="s">
        <v>35</v>
      </c>
      <c r="B12991" t="s">
        <v>61</v>
      </c>
      <c r="C12991" t="str">
        <f>"A0123888"</f>
        <v>A0123888</v>
      </c>
      <c r="D12991" t="s">
        <v>46408</v>
      </c>
      <c r="E12991" t="s">
        <v>46409</v>
      </c>
      <c r="F12991" t="s">
        <v>3327</v>
      </c>
      <c r="G12991" t="s">
        <v>214</v>
      </c>
      <c r="H12991">
        <v>28405</v>
      </c>
      <c r="I12991" t="s">
        <v>30</v>
      </c>
      <c r="J12991" t="s">
        <v>41</v>
      </c>
      <c r="K12991" t="s">
        <v>229</v>
      </c>
      <c r="Q12991">
        <v>0</v>
      </c>
      <c r="R12991">
        <v>60</v>
      </c>
      <c r="S12991">
        <v>60</v>
      </c>
      <c r="T12991" t="s">
        <v>46410</v>
      </c>
    </row>
    <row r="12992" spans="1:20" customFormat="1" ht="15" x14ac:dyDescent="0.25">
      <c r="A12992" t="s">
        <v>35</v>
      </c>
      <c r="B12992" t="s">
        <v>61</v>
      </c>
      <c r="C12992" t="str">
        <f>"A0118166"</f>
        <v>A0118166</v>
      </c>
      <c r="D12992" t="s">
        <v>3707</v>
      </c>
      <c r="E12992" t="s">
        <v>46411</v>
      </c>
      <c r="F12992" t="s">
        <v>399</v>
      </c>
      <c r="G12992" t="s">
        <v>153</v>
      </c>
      <c r="H12992">
        <v>846050000</v>
      </c>
      <c r="I12992" t="s">
        <v>30</v>
      </c>
      <c r="J12992" t="s">
        <v>41</v>
      </c>
      <c r="K12992" t="s">
        <v>66</v>
      </c>
      <c r="Q12992">
        <v>0</v>
      </c>
      <c r="R12992">
        <v>30</v>
      </c>
      <c r="S12992">
        <v>30</v>
      </c>
      <c r="T12992" t="s">
        <v>46412</v>
      </c>
    </row>
    <row r="12993" spans="1:20" customFormat="1" ht="15" x14ac:dyDescent="0.25">
      <c r="A12993" t="s">
        <v>35</v>
      </c>
      <c r="B12993" t="s">
        <v>61</v>
      </c>
      <c r="C12993" t="str">
        <f>"A0130870"</f>
        <v>A0130870</v>
      </c>
      <c r="D12993" t="s">
        <v>46413</v>
      </c>
      <c r="E12993" t="s">
        <v>46414</v>
      </c>
      <c r="F12993" t="s">
        <v>3707</v>
      </c>
      <c r="G12993" t="s">
        <v>137</v>
      </c>
      <c r="H12993">
        <v>63068</v>
      </c>
      <c r="I12993" t="s">
        <v>30</v>
      </c>
      <c r="J12993" t="s">
        <v>41</v>
      </c>
      <c r="K12993" t="s">
        <v>229</v>
      </c>
      <c r="Q12993">
        <v>0</v>
      </c>
      <c r="R12993">
        <v>90</v>
      </c>
      <c r="S12993">
        <v>90</v>
      </c>
      <c r="T12993" t="s">
        <v>46415</v>
      </c>
    </row>
    <row r="12994" spans="1:20" customFormat="1" ht="15" x14ac:dyDescent="0.25">
      <c r="A12994" t="s">
        <v>35</v>
      </c>
      <c r="B12994" t="s">
        <v>106</v>
      </c>
      <c r="C12994" t="str">
        <f>"A0135754"</f>
        <v>A0135754</v>
      </c>
      <c r="D12994" t="s">
        <v>46416</v>
      </c>
      <c r="E12994" t="s">
        <v>46417</v>
      </c>
      <c r="F12994" t="s">
        <v>3707</v>
      </c>
      <c r="G12994" t="s">
        <v>615</v>
      </c>
      <c r="H12994">
        <v>6513</v>
      </c>
      <c r="I12994" t="s">
        <v>30</v>
      </c>
      <c r="J12994" t="s">
        <v>111</v>
      </c>
      <c r="K12994" t="s">
        <v>112</v>
      </c>
      <c r="Q12994">
        <v>0</v>
      </c>
      <c r="R12994">
        <v>0</v>
      </c>
      <c r="S12994">
        <v>0</v>
      </c>
      <c r="T12994" t="s">
        <v>46418</v>
      </c>
    </row>
    <row r="12995" spans="1:20" customFormat="1" ht="15" x14ac:dyDescent="0.25">
      <c r="A12995" t="s">
        <v>35</v>
      </c>
      <c r="B12995" t="s">
        <v>61</v>
      </c>
      <c r="C12995" t="str">
        <f>"A0131059"</f>
        <v>A0131059</v>
      </c>
      <c r="D12995" t="s">
        <v>46419</v>
      </c>
      <c r="E12995" t="s">
        <v>46420</v>
      </c>
      <c r="F12995" t="s">
        <v>1655</v>
      </c>
      <c r="G12995" t="s">
        <v>137</v>
      </c>
      <c r="H12995">
        <v>631180000</v>
      </c>
      <c r="I12995" t="s">
        <v>30</v>
      </c>
      <c r="J12995" t="s">
        <v>41</v>
      </c>
      <c r="K12995" t="s">
        <v>59</v>
      </c>
      <c r="Q12995">
        <v>0</v>
      </c>
      <c r="R12995">
        <v>30</v>
      </c>
      <c r="S12995">
        <v>30</v>
      </c>
      <c r="T12995" t="s">
        <v>46421</v>
      </c>
    </row>
    <row r="12996" spans="1:20" customFormat="1" ht="15" x14ac:dyDescent="0.25">
      <c r="A12996" t="s">
        <v>35</v>
      </c>
      <c r="B12996" t="s">
        <v>61</v>
      </c>
      <c r="C12996" t="str">
        <f>"A0132545"</f>
        <v>A0132545</v>
      </c>
      <c r="D12996" t="s">
        <v>46422</v>
      </c>
      <c r="E12996" t="s">
        <v>46423</v>
      </c>
      <c r="F12996" t="s">
        <v>12399</v>
      </c>
      <c r="G12996" t="s">
        <v>65</v>
      </c>
      <c r="H12996">
        <v>43113</v>
      </c>
      <c r="I12996" t="s">
        <v>30</v>
      </c>
      <c r="J12996" t="s">
        <v>41</v>
      </c>
      <c r="K12996" t="s">
        <v>112</v>
      </c>
      <c r="Q12996">
        <v>0</v>
      </c>
      <c r="R12996">
        <v>0</v>
      </c>
      <c r="S12996">
        <v>0</v>
      </c>
      <c r="T12996" t="s">
        <v>46424</v>
      </c>
    </row>
    <row r="12997" spans="1:20" customFormat="1" ht="15" x14ac:dyDescent="0.25">
      <c r="A12997" t="s">
        <v>35</v>
      </c>
      <c r="B12997" t="s">
        <v>61</v>
      </c>
      <c r="C12997" t="str">
        <f>"A0130246"</f>
        <v>A0130246</v>
      </c>
      <c r="D12997" t="s">
        <v>46425</v>
      </c>
      <c r="E12997" t="s">
        <v>46426</v>
      </c>
      <c r="F12997" t="s">
        <v>28347</v>
      </c>
      <c r="G12997" t="s">
        <v>161</v>
      </c>
      <c r="H12997">
        <v>56072</v>
      </c>
      <c r="I12997" t="s">
        <v>30</v>
      </c>
      <c r="J12997" t="s">
        <v>41</v>
      </c>
      <c r="K12997" t="s">
        <v>229</v>
      </c>
      <c r="Q12997">
        <v>0</v>
      </c>
      <c r="R12997">
        <v>50</v>
      </c>
      <c r="S12997">
        <v>50</v>
      </c>
      <c r="T12997" t="s">
        <v>46427</v>
      </c>
    </row>
    <row r="12998" spans="1:20" customFormat="1" ht="15" x14ac:dyDescent="0.25">
      <c r="A12998" t="s">
        <v>35</v>
      </c>
      <c r="B12998" t="s">
        <v>61</v>
      </c>
      <c r="C12998" t="str">
        <f>"A0123889"</f>
        <v>A0123889</v>
      </c>
      <c r="D12998" t="s">
        <v>46428</v>
      </c>
      <c r="E12998" t="s">
        <v>46429</v>
      </c>
      <c r="F12998" t="s">
        <v>1969</v>
      </c>
      <c r="G12998" t="s">
        <v>29</v>
      </c>
      <c r="H12998">
        <v>24084</v>
      </c>
      <c r="I12998" t="s">
        <v>30</v>
      </c>
      <c r="J12998" t="s">
        <v>41</v>
      </c>
      <c r="K12998" t="s">
        <v>229</v>
      </c>
      <c r="Q12998">
        <v>0</v>
      </c>
      <c r="R12998">
        <v>50</v>
      </c>
      <c r="S12998">
        <v>50</v>
      </c>
      <c r="T12998" t="s">
        <v>46430</v>
      </c>
    </row>
    <row r="12999" spans="1:20" customFormat="1" ht="15" x14ac:dyDescent="0.25">
      <c r="A12999" t="s">
        <v>35</v>
      </c>
      <c r="B12999" t="s">
        <v>61</v>
      </c>
      <c r="C12999" t="str">
        <f>"A0124302"</f>
        <v>A0124302</v>
      </c>
      <c r="D12999" t="s">
        <v>46431</v>
      </c>
      <c r="E12999" t="s">
        <v>46432</v>
      </c>
      <c r="F12999" t="s">
        <v>4615</v>
      </c>
      <c r="G12999" t="s">
        <v>528</v>
      </c>
      <c r="H12999">
        <v>19713</v>
      </c>
      <c r="I12999" t="s">
        <v>30</v>
      </c>
      <c r="J12999" t="s">
        <v>41</v>
      </c>
      <c r="K12999" t="s">
        <v>59</v>
      </c>
      <c r="Q12999">
        <v>0</v>
      </c>
      <c r="R12999">
        <v>50</v>
      </c>
      <c r="S12999">
        <v>50</v>
      </c>
      <c r="T12999" t="s">
        <v>46433</v>
      </c>
    </row>
    <row r="13000" spans="1:20" customFormat="1" ht="15" x14ac:dyDescent="0.25">
      <c r="A13000" t="s">
        <v>35</v>
      </c>
      <c r="B13000" t="s">
        <v>61</v>
      </c>
      <c r="C13000" t="str">
        <f>"A0132321"</f>
        <v>A0132321</v>
      </c>
      <c r="D13000" t="s">
        <v>46434</v>
      </c>
      <c r="E13000" t="s">
        <v>46435</v>
      </c>
      <c r="F13000" t="s">
        <v>46436</v>
      </c>
      <c r="G13000" t="s">
        <v>65</v>
      </c>
      <c r="H13000">
        <v>43832</v>
      </c>
      <c r="I13000" t="s">
        <v>30</v>
      </c>
      <c r="J13000" t="s">
        <v>41</v>
      </c>
      <c r="K13000" t="s">
        <v>6300</v>
      </c>
      <c r="Q13000">
        <v>0</v>
      </c>
      <c r="R13000">
        <v>0</v>
      </c>
      <c r="S13000">
        <v>0</v>
      </c>
      <c r="T13000" t="s">
        <v>46437</v>
      </c>
    </row>
    <row r="13001" spans="1:20" customFormat="1" ht="15" x14ac:dyDescent="0.25">
      <c r="A13001" t="s">
        <v>35</v>
      </c>
      <c r="B13001" t="s">
        <v>61</v>
      </c>
      <c r="C13001" t="str">
        <f>"A0119331"</f>
        <v>A0119331</v>
      </c>
      <c r="D13001" t="s">
        <v>46438</v>
      </c>
      <c r="E13001" t="s">
        <v>46439</v>
      </c>
      <c r="F13001" t="s">
        <v>6992</v>
      </c>
      <c r="G13001" t="s">
        <v>110</v>
      </c>
      <c r="H13001">
        <v>92663</v>
      </c>
      <c r="I13001" t="s">
        <v>30</v>
      </c>
      <c r="J13001" t="s">
        <v>41</v>
      </c>
      <c r="K13001" t="s">
        <v>2468</v>
      </c>
      <c r="Q13001">
        <v>0</v>
      </c>
      <c r="R13001">
        <v>35</v>
      </c>
      <c r="S13001">
        <v>35</v>
      </c>
      <c r="T13001" t="s">
        <v>46440</v>
      </c>
    </row>
    <row r="13002" spans="1:20" customFormat="1" ht="15" x14ac:dyDescent="0.25">
      <c r="A13002" t="s">
        <v>35</v>
      </c>
      <c r="B13002" t="s">
        <v>437</v>
      </c>
      <c r="C13002" t="str">
        <f>"A0133890"</f>
        <v>A0133890</v>
      </c>
      <c r="D13002" t="s">
        <v>46441</v>
      </c>
      <c r="E13002" t="s">
        <v>46442</v>
      </c>
      <c r="F13002" t="s">
        <v>6992</v>
      </c>
      <c r="G13002" t="s">
        <v>110</v>
      </c>
      <c r="H13002">
        <v>92661</v>
      </c>
      <c r="I13002" t="s">
        <v>30</v>
      </c>
      <c r="J13002" t="s">
        <v>441</v>
      </c>
      <c r="K13002" t="s">
        <v>442</v>
      </c>
      <c r="Q13002">
        <v>0</v>
      </c>
      <c r="R13002">
        <v>0</v>
      </c>
      <c r="S13002">
        <v>0</v>
      </c>
      <c r="T13002" t="s">
        <v>46443</v>
      </c>
    </row>
    <row r="13003" spans="1:20" customFormat="1" ht="15" x14ac:dyDescent="0.25">
      <c r="A13003" t="s">
        <v>35</v>
      </c>
      <c r="B13003" t="s">
        <v>61</v>
      </c>
      <c r="C13003" t="str">
        <f>"A0131197"</f>
        <v>A0131197</v>
      </c>
      <c r="D13003" t="s">
        <v>46444</v>
      </c>
      <c r="E13003" t="s">
        <v>46445</v>
      </c>
      <c r="F13003" t="s">
        <v>9143</v>
      </c>
      <c r="G13003" t="s">
        <v>85</v>
      </c>
      <c r="H13003">
        <v>726410000</v>
      </c>
      <c r="I13003" t="s">
        <v>30</v>
      </c>
      <c r="J13003" t="s">
        <v>41</v>
      </c>
      <c r="K13003" t="s">
        <v>2760</v>
      </c>
      <c r="Q13003">
        <v>0</v>
      </c>
      <c r="R13003">
        <v>1</v>
      </c>
      <c r="S13003">
        <v>1</v>
      </c>
      <c r="T13003" t="s">
        <v>46446</v>
      </c>
    </row>
    <row r="13004" spans="1:20" customFormat="1" ht="15" x14ac:dyDescent="0.25">
      <c r="A13004" t="s">
        <v>35</v>
      </c>
      <c r="B13004" t="s">
        <v>61</v>
      </c>
      <c r="C13004" t="str">
        <f>"A0123890"</f>
        <v>A0123890</v>
      </c>
      <c r="D13004" t="s">
        <v>46447</v>
      </c>
      <c r="E13004" t="s">
        <v>46448</v>
      </c>
      <c r="F13004" t="s">
        <v>24998</v>
      </c>
      <c r="G13004" t="s">
        <v>81</v>
      </c>
      <c r="H13004">
        <v>33870</v>
      </c>
      <c r="I13004" t="s">
        <v>30</v>
      </c>
      <c r="J13004" t="s">
        <v>41</v>
      </c>
      <c r="K13004" t="s">
        <v>59</v>
      </c>
      <c r="Q13004">
        <v>0</v>
      </c>
      <c r="R13004">
        <v>40</v>
      </c>
      <c r="S13004">
        <v>40</v>
      </c>
      <c r="T13004" t="s">
        <v>46449</v>
      </c>
    </row>
    <row r="13005" spans="1:20" customFormat="1" ht="15" x14ac:dyDescent="0.25">
      <c r="A13005" t="s">
        <v>35</v>
      </c>
      <c r="B13005" t="s">
        <v>61</v>
      </c>
      <c r="C13005" t="str">
        <f>"A0123891"</f>
        <v>A0123891</v>
      </c>
      <c r="D13005" t="s">
        <v>46450</v>
      </c>
      <c r="E13005" t="s">
        <v>46451</v>
      </c>
      <c r="F13005" t="s">
        <v>46452</v>
      </c>
      <c r="G13005" t="s">
        <v>81</v>
      </c>
      <c r="H13005">
        <v>32751</v>
      </c>
      <c r="I13005" t="s">
        <v>30</v>
      </c>
      <c r="J13005" t="s">
        <v>41</v>
      </c>
      <c r="K13005" t="s">
        <v>59</v>
      </c>
      <c r="Q13005">
        <v>0</v>
      </c>
      <c r="R13005">
        <v>80</v>
      </c>
      <c r="S13005">
        <v>80</v>
      </c>
      <c r="T13005" t="s">
        <v>46453</v>
      </c>
    </row>
    <row r="13006" spans="1:20" customFormat="1" ht="15" x14ac:dyDescent="0.25">
      <c r="A13006" t="s">
        <v>35</v>
      </c>
      <c r="B13006" t="s">
        <v>61</v>
      </c>
      <c r="C13006" t="str">
        <f>"A0123505"</f>
        <v>A0123505</v>
      </c>
      <c r="D13006" t="s">
        <v>46454</v>
      </c>
      <c r="E13006" t="s">
        <v>46455</v>
      </c>
      <c r="F13006" t="s">
        <v>3293</v>
      </c>
      <c r="G13006" t="s">
        <v>58</v>
      </c>
      <c r="H13006">
        <v>29622</v>
      </c>
      <c r="I13006" t="s">
        <v>30</v>
      </c>
      <c r="J13006" t="s">
        <v>41</v>
      </c>
      <c r="K13006" t="s">
        <v>229</v>
      </c>
      <c r="Q13006">
        <v>0</v>
      </c>
      <c r="R13006">
        <v>226</v>
      </c>
      <c r="S13006">
        <v>226</v>
      </c>
      <c r="T13006" t="s">
        <v>46456</v>
      </c>
    </row>
    <row r="13007" spans="1:20" customFormat="1" ht="15" x14ac:dyDescent="0.25">
      <c r="A13007" t="s">
        <v>35</v>
      </c>
      <c r="B13007" t="s">
        <v>61</v>
      </c>
      <c r="C13007" t="str">
        <f>"A0123506"</f>
        <v>A0123506</v>
      </c>
      <c r="D13007" t="s">
        <v>46457</v>
      </c>
      <c r="E13007" t="s">
        <v>46458</v>
      </c>
      <c r="F13007" t="s">
        <v>3193</v>
      </c>
      <c r="G13007" t="s">
        <v>58</v>
      </c>
      <c r="H13007">
        <v>29325</v>
      </c>
      <c r="I13007" t="s">
        <v>30</v>
      </c>
      <c r="J13007" t="s">
        <v>41</v>
      </c>
      <c r="K13007" t="s">
        <v>229</v>
      </c>
      <c r="Q13007">
        <v>0</v>
      </c>
      <c r="R13007">
        <v>131</v>
      </c>
      <c r="S13007">
        <v>131</v>
      </c>
      <c r="T13007" t="s">
        <v>46459</v>
      </c>
    </row>
    <row r="13008" spans="1:20" customFormat="1" ht="15" x14ac:dyDescent="0.25">
      <c r="A13008" t="s">
        <v>35</v>
      </c>
      <c r="B13008" t="s">
        <v>61</v>
      </c>
      <c r="C13008" t="str">
        <f>"A0123507"</f>
        <v>A0123507</v>
      </c>
      <c r="D13008" t="s">
        <v>46460</v>
      </c>
      <c r="E13008" t="s">
        <v>46461</v>
      </c>
      <c r="F13008" t="s">
        <v>2657</v>
      </c>
      <c r="G13008" t="s">
        <v>58</v>
      </c>
      <c r="H13008">
        <v>29576</v>
      </c>
      <c r="I13008" t="s">
        <v>30</v>
      </c>
      <c r="J13008" t="s">
        <v>41</v>
      </c>
      <c r="K13008" t="s">
        <v>229</v>
      </c>
      <c r="Q13008">
        <v>0</v>
      </c>
      <c r="R13008">
        <v>64</v>
      </c>
      <c r="S13008">
        <v>64</v>
      </c>
      <c r="T13008" t="s">
        <v>46462</v>
      </c>
    </row>
    <row r="13009" spans="1:20" customFormat="1" ht="15" x14ac:dyDescent="0.25">
      <c r="A13009" t="s">
        <v>35</v>
      </c>
      <c r="B13009" t="s">
        <v>61</v>
      </c>
      <c r="C13009" t="str">
        <f>"A0123508"</f>
        <v>A0123508</v>
      </c>
      <c r="D13009" t="s">
        <v>46463</v>
      </c>
      <c r="E13009" t="s">
        <v>46464</v>
      </c>
      <c r="F13009" t="s">
        <v>93</v>
      </c>
      <c r="G13009" t="s">
        <v>58</v>
      </c>
      <c r="H13009">
        <v>29607</v>
      </c>
      <c r="I13009" t="s">
        <v>30</v>
      </c>
      <c r="J13009" t="s">
        <v>41</v>
      </c>
      <c r="K13009" t="s">
        <v>229</v>
      </c>
      <c r="Q13009">
        <v>0</v>
      </c>
      <c r="R13009">
        <v>85</v>
      </c>
      <c r="S13009">
        <v>85</v>
      </c>
      <c r="T13009" t="s">
        <v>46465</v>
      </c>
    </row>
    <row r="13010" spans="1:20" customFormat="1" ht="15" x14ac:dyDescent="0.25">
      <c r="A13010" t="s">
        <v>35</v>
      </c>
      <c r="B13010" t="s">
        <v>61</v>
      </c>
      <c r="C13010" t="str">
        <f>"A0123509"</f>
        <v>A0123509</v>
      </c>
      <c r="D13010" t="s">
        <v>46466</v>
      </c>
      <c r="E13010" t="s">
        <v>46467</v>
      </c>
      <c r="F13010" t="s">
        <v>9480</v>
      </c>
      <c r="G13010" t="s">
        <v>58</v>
      </c>
      <c r="H13010">
        <v>29646</v>
      </c>
      <c r="I13010" t="s">
        <v>30</v>
      </c>
      <c r="J13010" t="s">
        <v>41</v>
      </c>
      <c r="K13010" t="s">
        <v>229</v>
      </c>
      <c r="Q13010">
        <v>0</v>
      </c>
      <c r="R13010">
        <v>152</v>
      </c>
      <c r="S13010">
        <v>152</v>
      </c>
      <c r="T13010" t="s">
        <v>46468</v>
      </c>
    </row>
    <row r="13011" spans="1:20" customFormat="1" ht="15" x14ac:dyDescent="0.25">
      <c r="A13011" t="s">
        <v>35</v>
      </c>
      <c r="B13011" t="s">
        <v>61</v>
      </c>
      <c r="C13011" t="str">
        <f>"A0123510"</f>
        <v>A0123510</v>
      </c>
      <c r="D13011" t="s">
        <v>46469</v>
      </c>
      <c r="E13011" t="s">
        <v>46470</v>
      </c>
      <c r="F13011" t="s">
        <v>10645</v>
      </c>
      <c r="G13011" t="s">
        <v>58</v>
      </c>
      <c r="H13011">
        <v>29360</v>
      </c>
      <c r="I13011" t="s">
        <v>30</v>
      </c>
      <c r="J13011" t="s">
        <v>41</v>
      </c>
      <c r="K13011" t="s">
        <v>229</v>
      </c>
      <c r="Q13011">
        <v>0</v>
      </c>
      <c r="R13011">
        <v>136</v>
      </c>
      <c r="S13011">
        <v>136</v>
      </c>
      <c r="T13011" t="s">
        <v>46471</v>
      </c>
    </row>
    <row r="13012" spans="1:20" customFormat="1" ht="15" x14ac:dyDescent="0.25">
      <c r="A13012" t="s">
        <v>35</v>
      </c>
      <c r="B13012" t="s">
        <v>61</v>
      </c>
      <c r="C13012" t="str">
        <f>"A0123511"</f>
        <v>A0123511</v>
      </c>
      <c r="D13012" t="s">
        <v>46472</v>
      </c>
      <c r="E13012" t="s">
        <v>46473</v>
      </c>
      <c r="F13012" t="s">
        <v>11516</v>
      </c>
      <c r="G13012" t="s">
        <v>58</v>
      </c>
      <c r="H13012">
        <v>29171</v>
      </c>
      <c r="I13012" t="s">
        <v>30</v>
      </c>
      <c r="J13012" t="s">
        <v>41</v>
      </c>
      <c r="K13012" t="s">
        <v>229</v>
      </c>
      <c r="Q13012">
        <v>0</v>
      </c>
      <c r="R13012">
        <v>93</v>
      </c>
      <c r="S13012">
        <v>93</v>
      </c>
      <c r="T13012" t="s">
        <v>46474</v>
      </c>
    </row>
    <row r="13013" spans="1:20" customFormat="1" ht="15" x14ac:dyDescent="0.25">
      <c r="A13013" t="s">
        <v>35</v>
      </c>
      <c r="B13013" t="s">
        <v>61</v>
      </c>
      <c r="C13013" t="str">
        <f>"A0123512"</f>
        <v>A0123512</v>
      </c>
      <c r="D13013" t="s">
        <v>46475</v>
      </c>
      <c r="E13013" t="s">
        <v>46476</v>
      </c>
      <c r="F13013" t="s">
        <v>57</v>
      </c>
      <c r="G13013" t="s">
        <v>58</v>
      </c>
      <c r="H13013">
        <v>29801</v>
      </c>
      <c r="I13013" t="s">
        <v>30</v>
      </c>
      <c r="J13013" t="s">
        <v>41</v>
      </c>
      <c r="K13013" t="s">
        <v>229</v>
      </c>
      <c r="Q13013">
        <v>0</v>
      </c>
      <c r="R13013">
        <v>132</v>
      </c>
      <c r="S13013">
        <v>132</v>
      </c>
      <c r="T13013" t="s">
        <v>46477</v>
      </c>
    </row>
    <row r="13014" spans="1:20" customFormat="1" ht="15" x14ac:dyDescent="0.25">
      <c r="A13014" t="s">
        <v>35</v>
      </c>
      <c r="B13014" t="s">
        <v>61</v>
      </c>
      <c r="C13014" t="str">
        <f>"A0123513"</f>
        <v>A0123513</v>
      </c>
      <c r="D13014" t="s">
        <v>46478</v>
      </c>
      <c r="E13014" t="s">
        <v>46479</v>
      </c>
      <c r="F13014" t="s">
        <v>46480</v>
      </c>
      <c r="G13014" t="s">
        <v>58</v>
      </c>
      <c r="H13014">
        <v>29662</v>
      </c>
      <c r="I13014" t="s">
        <v>30</v>
      </c>
      <c r="J13014" t="s">
        <v>41</v>
      </c>
      <c r="K13014" t="s">
        <v>229</v>
      </c>
      <c r="Q13014">
        <v>0</v>
      </c>
      <c r="R13014">
        <v>120</v>
      </c>
      <c r="S13014">
        <v>120</v>
      </c>
      <c r="T13014" t="s">
        <v>46465</v>
      </c>
    </row>
    <row r="13015" spans="1:20" customFormat="1" ht="15" x14ac:dyDescent="0.25">
      <c r="A13015" t="s">
        <v>35</v>
      </c>
      <c r="B13015" t="s">
        <v>61</v>
      </c>
      <c r="C13015" t="str">
        <f>"A0123514"</f>
        <v>A0123514</v>
      </c>
      <c r="D13015" t="s">
        <v>46481</v>
      </c>
      <c r="E13015" t="s">
        <v>46482</v>
      </c>
      <c r="F13015" t="s">
        <v>7133</v>
      </c>
      <c r="G13015" t="s">
        <v>58</v>
      </c>
      <c r="H13015">
        <v>29841</v>
      </c>
      <c r="I13015" t="s">
        <v>30</v>
      </c>
      <c r="J13015" t="s">
        <v>41</v>
      </c>
      <c r="K13015" t="s">
        <v>229</v>
      </c>
      <c r="Q13015">
        <v>0</v>
      </c>
      <c r="R13015">
        <v>116</v>
      </c>
      <c r="S13015">
        <v>116</v>
      </c>
      <c r="T13015" t="s">
        <v>46483</v>
      </c>
    </row>
    <row r="13016" spans="1:20" customFormat="1" ht="15" x14ac:dyDescent="0.25">
      <c r="A13016" t="s">
        <v>35</v>
      </c>
      <c r="B13016" t="s">
        <v>61</v>
      </c>
      <c r="C13016" t="str">
        <f>"A0123515"</f>
        <v>A0123515</v>
      </c>
      <c r="D13016" t="s">
        <v>46484</v>
      </c>
      <c r="E13016" t="s">
        <v>46485</v>
      </c>
      <c r="F13016" t="s">
        <v>1298</v>
      </c>
      <c r="G13016" t="s">
        <v>58</v>
      </c>
      <c r="H13016">
        <v>29223</v>
      </c>
      <c r="I13016" t="s">
        <v>30</v>
      </c>
      <c r="J13016" t="s">
        <v>41</v>
      </c>
      <c r="K13016" t="s">
        <v>229</v>
      </c>
      <c r="Q13016">
        <v>0</v>
      </c>
      <c r="R13016">
        <v>65</v>
      </c>
      <c r="S13016">
        <v>65</v>
      </c>
      <c r="T13016" t="s">
        <v>46486</v>
      </c>
    </row>
    <row r="13017" spans="1:20" customFormat="1" ht="15" x14ac:dyDescent="0.25">
      <c r="A13017" t="s">
        <v>35</v>
      </c>
      <c r="B13017" t="s">
        <v>61</v>
      </c>
      <c r="C13017" t="str">
        <f>"A0123516"</f>
        <v>A0123516</v>
      </c>
      <c r="D13017" t="s">
        <v>46487</v>
      </c>
      <c r="E13017" t="s">
        <v>46488</v>
      </c>
      <c r="F13017" t="s">
        <v>9484</v>
      </c>
      <c r="G13017" t="s">
        <v>58</v>
      </c>
      <c r="H13017">
        <v>29150</v>
      </c>
      <c r="I13017" t="s">
        <v>30</v>
      </c>
      <c r="J13017" t="s">
        <v>41</v>
      </c>
      <c r="K13017" t="s">
        <v>229</v>
      </c>
      <c r="Q13017">
        <v>0</v>
      </c>
      <c r="R13017">
        <v>138</v>
      </c>
      <c r="S13017">
        <v>138</v>
      </c>
      <c r="T13017" t="s">
        <v>46489</v>
      </c>
    </row>
    <row r="13018" spans="1:20" customFormat="1" ht="15" x14ac:dyDescent="0.25">
      <c r="A13018" t="s">
        <v>35</v>
      </c>
      <c r="B13018" t="s">
        <v>61</v>
      </c>
      <c r="C13018" t="str">
        <f>"A0124538"</f>
        <v>A0124538</v>
      </c>
      <c r="D13018" t="s">
        <v>46490</v>
      </c>
      <c r="E13018" t="s">
        <v>46491</v>
      </c>
      <c r="F13018" t="s">
        <v>1724</v>
      </c>
      <c r="G13018" t="s">
        <v>1706</v>
      </c>
      <c r="H13018">
        <v>362070000</v>
      </c>
      <c r="I13018" t="s">
        <v>30</v>
      </c>
      <c r="J13018" t="s">
        <v>41</v>
      </c>
      <c r="K13018" t="s">
        <v>229</v>
      </c>
      <c r="Q13018">
        <v>0</v>
      </c>
      <c r="R13018">
        <v>151</v>
      </c>
      <c r="S13018">
        <v>151</v>
      </c>
      <c r="T13018" t="s">
        <v>46492</v>
      </c>
    </row>
    <row r="13019" spans="1:20" customFormat="1" ht="15" x14ac:dyDescent="0.25">
      <c r="A13019" t="s">
        <v>35</v>
      </c>
      <c r="B13019" t="s">
        <v>61</v>
      </c>
      <c r="C13019" t="str">
        <f>"A0123517"</f>
        <v>A0123517</v>
      </c>
      <c r="D13019" t="s">
        <v>46493</v>
      </c>
      <c r="E13019" t="s">
        <v>46494</v>
      </c>
      <c r="F13019" t="s">
        <v>1795</v>
      </c>
      <c r="G13019" t="s">
        <v>29</v>
      </c>
      <c r="H13019">
        <v>23227</v>
      </c>
      <c r="I13019" t="s">
        <v>30</v>
      </c>
      <c r="J13019" t="s">
        <v>41</v>
      </c>
      <c r="K13019" t="s">
        <v>290</v>
      </c>
      <c r="Q13019">
        <v>0</v>
      </c>
      <c r="R13019">
        <v>0</v>
      </c>
      <c r="S13019">
        <v>0</v>
      </c>
      <c r="T13019" t="s">
        <v>46495</v>
      </c>
    </row>
    <row r="13020" spans="1:20" customFormat="1" ht="15" x14ac:dyDescent="0.25">
      <c r="A13020" t="s">
        <v>35</v>
      </c>
      <c r="B13020" t="s">
        <v>61</v>
      </c>
      <c r="C13020" t="str">
        <f>"A0124303"</f>
        <v>A0124303</v>
      </c>
      <c r="D13020" t="s">
        <v>46496</v>
      </c>
      <c r="E13020" t="s">
        <v>46497</v>
      </c>
      <c r="F13020" t="s">
        <v>4082</v>
      </c>
      <c r="G13020" t="s">
        <v>123</v>
      </c>
      <c r="H13020">
        <v>21215</v>
      </c>
      <c r="I13020" t="s">
        <v>30</v>
      </c>
      <c r="J13020" t="s">
        <v>41</v>
      </c>
      <c r="K13020" t="s">
        <v>482</v>
      </c>
      <c r="Q13020">
        <v>0</v>
      </c>
      <c r="R13020">
        <v>80</v>
      </c>
      <c r="S13020">
        <v>80</v>
      </c>
      <c r="T13020" t="s">
        <v>46498</v>
      </c>
    </row>
    <row r="13021" spans="1:20" customFormat="1" ht="15" x14ac:dyDescent="0.25">
      <c r="A13021" t="s">
        <v>35</v>
      </c>
      <c r="B13021" t="s">
        <v>61</v>
      </c>
      <c r="C13021" t="str">
        <f>"A0123518"</f>
        <v>A0123518</v>
      </c>
      <c r="D13021" t="s">
        <v>46499</v>
      </c>
      <c r="E13021" t="s">
        <v>46500</v>
      </c>
      <c r="F13021" t="s">
        <v>1795</v>
      </c>
      <c r="G13021" t="s">
        <v>29</v>
      </c>
      <c r="H13021">
        <v>23227</v>
      </c>
      <c r="I13021" t="s">
        <v>30</v>
      </c>
      <c r="J13021" t="s">
        <v>41</v>
      </c>
      <c r="K13021" t="s">
        <v>290</v>
      </c>
      <c r="Q13021">
        <v>0</v>
      </c>
      <c r="R13021">
        <v>0</v>
      </c>
      <c r="S13021">
        <v>0</v>
      </c>
    </row>
    <row r="13022" spans="1:20" customFormat="1" ht="15" x14ac:dyDescent="0.25">
      <c r="A13022" t="s">
        <v>35</v>
      </c>
      <c r="B13022" t="s">
        <v>61</v>
      </c>
      <c r="C13022" t="str">
        <f>"A0123519"</f>
        <v>A0123519</v>
      </c>
      <c r="D13022" t="s">
        <v>46501</v>
      </c>
      <c r="E13022" t="s">
        <v>46502</v>
      </c>
      <c r="F13022" t="s">
        <v>20552</v>
      </c>
      <c r="G13022" t="s">
        <v>507</v>
      </c>
      <c r="H13022">
        <v>26261</v>
      </c>
      <c r="I13022" t="s">
        <v>30</v>
      </c>
      <c r="J13022" t="s">
        <v>41</v>
      </c>
      <c r="K13022" t="s">
        <v>229</v>
      </c>
      <c r="Q13022">
        <v>0</v>
      </c>
      <c r="R13022">
        <v>120</v>
      </c>
      <c r="S13022">
        <v>120</v>
      </c>
      <c r="T13022" t="s">
        <v>46503</v>
      </c>
    </row>
    <row r="13023" spans="1:20" customFormat="1" ht="15" x14ac:dyDescent="0.25">
      <c r="A13023" t="s">
        <v>35</v>
      </c>
      <c r="B13023" t="s">
        <v>61</v>
      </c>
      <c r="C13023" t="str">
        <f>"A0127165"</f>
        <v>A0127165</v>
      </c>
      <c r="D13023" t="s">
        <v>46504</v>
      </c>
      <c r="E13023" t="s">
        <v>46505</v>
      </c>
      <c r="F13023" t="s">
        <v>46506</v>
      </c>
      <c r="G13023" t="s">
        <v>99</v>
      </c>
      <c r="H13023">
        <v>10538</v>
      </c>
      <c r="I13023" t="s">
        <v>30</v>
      </c>
      <c r="J13023" t="s">
        <v>41</v>
      </c>
      <c r="K13023" t="s">
        <v>38683</v>
      </c>
      <c r="Q13023">
        <v>0</v>
      </c>
      <c r="R13023">
        <v>0</v>
      </c>
      <c r="S13023">
        <v>0</v>
      </c>
      <c r="T13023" t="s">
        <v>46507</v>
      </c>
    </row>
    <row r="13024" spans="1:20" customFormat="1" ht="15" x14ac:dyDescent="0.25">
      <c r="A13024" t="s">
        <v>35</v>
      </c>
      <c r="B13024" t="s">
        <v>9670</v>
      </c>
      <c r="C13024" t="str">
        <f>"A0124231"</f>
        <v>A0124231</v>
      </c>
      <c r="D13024" t="s">
        <v>46508</v>
      </c>
      <c r="E13024" t="s">
        <v>46509</v>
      </c>
      <c r="F13024" t="s">
        <v>4082</v>
      </c>
      <c r="G13024" t="s">
        <v>123</v>
      </c>
      <c r="H13024">
        <v>21211</v>
      </c>
      <c r="I13024" t="s">
        <v>30</v>
      </c>
      <c r="J13024" t="s">
        <v>41</v>
      </c>
      <c r="K13024" t="s">
        <v>482</v>
      </c>
      <c r="Q13024">
        <v>0</v>
      </c>
      <c r="R13024">
        <v>110</v>
      </c>
      <c r="S13024">
        <v>84</v>
      </c>
      <c r="T13024" t="s">
        <v>46510</v>
      </c>
    </row>
    <row r="13025" spans="1:20" customFormat="1" ht="15" x14ac:dyDescent="0.25">
      <c r="A13025" t="s">
        <v>35</v>
      </c>
      <c r="B13025" t="s">
        <v>9670</v>
      </c>
      <c r="C13025" t="str">
        <f>"A0124232"</f>
        <v>A0124232</v>
      </c>
      <c r="D13025" t="s">
        <v>46511</v>
      </c>
      <c r="E13025" t="s">
        <v>46512</v>
      </c>
      <c r="F13025" t="s">
        <v>6240</v>
      </c>
      <c r="G13025" t="s">
        <v>381</v>
      </c>
      <c r="H13025">
        <v>46802</v>
      </c>
      <c r="I13025" t="s">
        <v>30</v>
      </c>
      <c r="J13025" t="s">
        <v>41</v>
      </c>
      <c r="K13025" t="s">
        <v>59</v>
      </c>
      <c r="Q13025">
        <v>0</v>
      </c>
      <c r="R13025">
        <v>170</v>
      </c>
      <c r="S13025">
        <v>130</v>
      </c>
      <c r="T13025" t="s">
        <v>46513</v>
      </c>
    </row>
    <row r="13026" spans="1:20" customFormat="1" ht="15" x14ac:dyDescent="0.25">
      <c r="A13026" t="s">
        <v>35</v>
      </c>
      <c r="B13026" t="s">
        <v>9670</v>
      </c>
      <c r="C13026" t="str">
        <f>"A0123653"</f>
        <v>A0123653</v>
      </c>
      <c r="D13026" t="s">
        <v>46514</v>
      </c>
      <c r="E13026" t="s">
        <v>46515</v>
      </c>
      <c r="F13026" t="s">
        <v>3653</v>
      </c>
      <c r="G13026" t="s">
        <v>81</v>
      </c>
      <c r="H13026">
        <v>33714</v>
      </c>
      <c r="I13026" t="s">
        <v>30</v>
      </c>
      <c r="J13026" t="s">
        <v>41</v>
      </c>
      <c r="K13026" t="s">
        <v>482</v>
      </c>
      <c r="Q13026">
        <v>0</v>
      </c>
      <c r="R13026">
        <v>100</v>
      </c>
      <c r="S13026">
        <v>92</v>
      </c>
      <c r="T13026" t="s">
        <v>46516</v>
      </c>
    </row>
    <row r="13027" spans="1:20" customFormat="1" ht="15" x14ac:dyDescent="0.25">
      <c r="A13027" t="s">
        <v>35</v>
      </c>
      <c r="B13027" t="s">
        <v>9670</v>
      </c>
      <c r="C13027" t="str">
        <f>"A0124233"</f>
        <v>A0124233</v>
      </c>
      <c r="D13027" t="s">
        <v>46517</v>
      </c>
      <c r="E13027" t="s">
        <v>46518</v>
      </c>
      <c r="F13027" t="s">
        <v>30720</v>
      </c>
      <c r="G13027" t="s">
        <v>71</v>
      </c>
      <c r="H13027">
        <v>53214</v>
      </c>
      <c r="I13027" t="s">
        <v>30</v>
      </c>
      <c r="J13027" t="s">
        <v>41</v>
      </c>
      <c r="K13027" t="s">
        <v>482</v>
      </c>
      <c r="Q13027">
        <v>0</v>
      </c>
      <c r="R13027">
        <v>118</v>
      </c>
      <c r="S13027">
        <v>103</v>
      </c>
      <c r="T13027" t="s">
        <v>46519</v>
      </c>
    </row>
    <row r="13028" spans="1:20" customFormat="1" ht="15" x14ac:dyDescent="0.25">
      <c r="A13028" t="s">
        <v>35</v>
      </c>
      <c r="B13028" t="s">
        <v>61</v>
      </c>
      <c r="C13028" t="str">
        <f>"A0127043"</f>
        <v>A0127043</v>
      </c>
      <c r="D13028" t="s">
        <v>46520</v>
      </c>
      <c r="E13028" t="s">
        <v>46521</v>
      </c>
      <c r="F13028" t="s">
        <v>102</v>
      </c>
      <c r="G13028" t="s">
        <v>103</v>
      </c>
      <c r="H13028">
        <v>15234</v>
      </c>
      <c r="I13028" t="s">
        <v>30</v>
      </c>
      <c r="J13028" t="s">
        <v>41</v>
      </c>
      <c r="K13028" t="s">
        <v>59</v>
      </c>
      <c r="Q13028">
        <v>0</v>
      </c>
      <c r="R13028">
        <v>102</v>
      </c>
      <c r="S13028">
        <v>102</v>
      </c>
      <c r="T13028" t="s">
        <v>46522</v>
      </c>
    </row>
    <row r="13029" spans="1:20" customFormat="1" ht="15" x14ac:dyDescent="0.25">
      <c r="A13029" t="s">
        <v>35</v>
      </c>
      <c r="B13029" t="s">
        <v>61</v>
      </c>
      <c r="C13029" t="str">
        <f>"A0123520"</f>
        <v>A0123520</v>
      </c>
      <c r="D13029" t="s">
        <v>46523</v>
      </c>
      <c r="E13029" t="s">
        <v>46524</v>
      </c>
      <c r="F13029" t="s">
        <v>15622</v>
      </c>
      <c r="G13029" t="s">
        <v>29</v>
      </c>
      <c r="H13029">
        <v>23504</v>
      </c>
      <c r="I13029" t="s">
        <v>30</v>
      </c>
      <c r="J13029" t="s">
        <v>41</v>
      </c>
      <c r="K13029" t="s">
        <v>229</v>
      </c>
      <c r="Q13029">
        <v>0</v>
      </c>
      <c r="R13029">
        <v>180</v>
      </c>
      <c r="S13029">
        <v>180</v>
      </c>
      <c r="T13029" t="s">
        <v>46525</v>
      </c>
    </row>
    <row r="13030" spans="1:20" customFormat="1" ht="15" x14ac:dyDescent="0.25">
      <c r="A13030" t="s">
        <v>35</v>
      </c>
      <c r="B13030" t="s">
        <v>61</v>
      </c>
      <c r="C13030" t="str">
        <f>"A0132225"</f>
        <v>A0132225</v>
      </c>
      <c r="D13030" t="s">
        <v>46526</v>
      </c>
      <c r="E13030" t="s">
        <v>46527</v>
      </c>
      <c r="F13030" t="s">
        <v>4757</v>
      </c>
      <c r="G13030" t="s">
        <v>65</v>
      </c>
      <c r="H13030">
        <v>44116</v>
      </c>
      <c r="I13030" t="s">
        <v>30</v>
      </c>
      <c r="J13030" t="s">
        <v>41</v>
      </c>
      <c r="K13030" t="s">
        <v>229</v>
      </c>
      <c r="Q13030">
        <v>0</v>
      </c>
      <c r="R13030">
        <v>150</v>
      </c>
      <c r="S13030">
        <v>150</v>
      </c>
      <c r="T13030" t="s">
        <v>46528</v>
      </c>
    </row>
    <row r="13031" spans="1:20" customFormat="1" ht="15" x14ac:dyDescent="0.25">
      <c r="A13031" t="s">
        <v>35</v>
      </c>
      <c r="B13031" t="s">
        <v>61</v>
      </c>
      <c r="C13031" t="str">
        <f>"A0122915"</f>
        <v>A0122915</v>
      </c>
      <c r="D13031" t="s">
        <v>46529</v>
      </c>
      <c r="E13031" t="s">
        <v>46530</v>
      </c>
      <c r="F13031" t="s">
        <v>46531</v>
      </c>
      <c r="G13031" t="s">
        <v>76</v>
      </c>
      <c r="H13031">
        <v>98138</v>
      </c>
      <c r="I13031" t="s">
        <v>30</v>
      </c>
      <c r="J13031" t="s">
        <v>41</v>
      </c>
      <c r="K13031" t="s">
        <v>59</v>
      </c>
      <c r="Q13031">
        <v>0</v>
      </c>
      <c r="R13031">
        <v>85</v>
      </c>
      <c r="S13031">
        <v>85</v>
      </c>
      <c r="T13031" t="s">
        <v>46532</v>
      </c>
    </row>
    <row r="13032" spans="1:20" customFormat="1" ht="15" x14ac:dyDescent="0.25">
      <c r="A13032" t="s">
        <v>35</v>
      </c>
      <c r="B13032" t="s">
        <v>61</v>
      </c>
      <c r="C13032" t="str">
        <f>"A0122629"</f>
        <v>A0122629</v>
      </c>
      <c r="D13032" t="s">
        <v>11784</v>
      </c>
      <c r="E13032" t="s">
        <v>46533</v>
      </c>
      <c r="F13032" t="s">
        <v>1444</v>
      </c>
      <c r="G13032" t="s">
        <v>76</v>
      </c>
      <c r="H13032">
        <v>98103</v>
      </c>
      <c r="I13032" t="s">
        <v>30</v>
      </c>
      <c r="J13032" t="s">
        <v>41</v>
      </c>
      <c r="K13032" t="s">
        <v>11521</v>
      </c>
      <c r="Q13032">
        <v>0</v>
      </c>
      <c r="R13032">
        <v>140</v>
      </c>
      <c r="S13032">
        <v>140</v>
      </c>
      <c r="T13032" t="s">
        <v>46534</v>
      </c>
    </row>
    <row r="13033" spans="1:20" customFormat="1" ht="15" x14ac:dyDescent="0.25">
      <c r="A13033" t="s">
        <v>35</v>
      </c>
      <c r="B13033" t="s">
        <v>61</v>
      </c>
      <c r="C13033" t="str">
        <f>"A0129307"</f>
        <v>A0129307</v>
      </c>
      <c r="D13033" t="s">
        <v>46535</v>
      </c>
      <c r="E13033" t="s">
        <v>46536</v>
      </c>
      <c r="F13033" t="s">
        <v>46537</v>
      </c>
      <c r="G13033" t="s">
        <v>289</v>
      </c>
      <c r="H13033">
        <v>62351</v>
      </c>
      <c r="I13033" t="s">
        <v>30</v>
      </c>
      <c r="J13033" t="s">
        <v>41</v>
      </c>
      <c r="K13033" t="s">
        <v>229</v>
      </c>
      <c r="Q13033">
        <v>0</v>
      </c>
      <c r="R13033">
        <v>99</v>
      </c>
      <c r="S13033">
        <v>99</v>
      </c>
      <c r="T13033" t="s">
        <v>46538</v>
      </c>
    </row>
    <row r="13034" spans="1:20" customFormat="1" ht="15" x14ac:dyDescent="0.25">
      <c r="A13034" t="s">
        <v>35</v>
      </c>
      <c r="B13034" t="s">
        <v>437</v>
      </c>
      <c r="C13034" t="str">
        <f>"A0133858"</f>
        <v>A0133858</v>
      </c>
      <c r="D13034" t="s">
        <v>46539</v>
      </c>
      <c r="E13034" t="s">
        <v>46540</v>
      </c>
      <c r="F13034" t="s">
        <v>46541</v>
      </c>
      <c r="G13034" t="s">
        <v>110</v>
      </c>
      <c r="H13034">
        <v>923170000</v>
      </c>
      <c r="I13034" t="s">
        <v>30</v>
      </c>
      <c r="J13034" t="s">
        <v>441</v>
      </c>
      <c r="K13034" t="s">
        <v>36814</v>
      </c>
      <c r="Q13034">
        <v>0</v>
      </c>
      <c r="R13034">
        <v>0</v>
      </c>
      <c r="S13034">
        <v>0</v>
      </c>
      <c r="T13034" t="s">
        <v>46542</v>
      </c>
    </row>
    <row r="13035" spans="1:20" customFormat="1" ht="15" x14ac:dyDescent="0.25">
      <c r="A13035" t="s">
        <v>35</v>
      </c>
      <c r="B13035" t="s">
        <v>61</v>
      </c>
      <c r="C13035" t="str">
        <f>"A0151596"</f>
        <v>A0151596</v>
      </c>
      <c r="D13035" t="s">
        <v>46543</v>
      </c>
      <c r="E13035" t="s">
        <v>46544</v>
      </c>
      <c r="F13035" t="s">
        <v>23270</v>
      </c>
      <c r="G13035" t="s">
        <v>52</v>
      </c>
      <c r="H13035">
        <v>75070</v>
      </c>
      <c r="I13035" t="s">
        <v>30</v>
      </c>
      <c r="J13035" t="s">
        <v>41</v>
      </c>
      <c r="K13035" t="s">
        <v>59</v>
      </c>
      <c r="Q13035">
        <v>0</v>
      </c>
      <c r="R13035">
        <v>60</v>
      </c>
      <c r="S13035">
        <v>60</v>
      </c>
      <c r="T13035" t="s">
        <v>46545</v>
      </c>
    </row>
    <row r="13036" spans="1:20" customFormat="1" ht="15" x14ac:dyDescent="0.25">
      <c r="A13036" t="s">
        <v>35</v>
      </c>
      <c r="B13036" t="s">
        <v>106</v>
      </c>
      <c r="C13036" t="str">
        <f>"A0135374"</f>
        <v>A0135374</v>
      </c>
      <c r="D13036" t="s">
        <v>46546</v>
      </c>
      <c r="E13036" t="s">
        <v>46547</v>
      </c>
      <c r="F13036" t="s">
        <v>472</v>
      </c>
      <c r="G13036" t="s">
        <v>214</v>
      </c>
      <c r="H13036">
        <v>276957307</v>
      </c>
      <c r="I13036" t="s">
        <v>30</v>
      </c>
      <c r="J13036" t="s">
        <v>111</v>
      </c>
      <c r="K13036" t="s">
        <v>10012</v>
      </c>
      <c r="Q13036">
        <v>0</v>
      </c>
      <c r="R13036">
        <v>0</v>
      </c>
      <c r="S13036">
        <v>0</v>
      </c>
      <c r="T13036" t="s">
        <v>46548</v>
      </c>
    </row>
    <row r="13037" spans="1:20" customFormat="1" ht="15" x14ac:dyDescent="0.25">
      <c r="A13037" t="s">
        <v>35</v>
      </c>
      <c r="B13037" t="s">
        <v>61</v>
      </c>
      <c r="C13037" t="str">
        <f>"A0132281"</f>
        <v>A0132281</v>
      </c>
      <c r="D13037" t="s">
        <v>46549</v>
      </c>
      <c r="E13037" t="s">
        <v>46550</v>
      </c>
      <c r="F13037" t="s">
        <v>46551</v>
      </c>
      <c r="G13037" t="s">
        <v>507</v>
      </c>
      <c r="H13037">
        <v>26104</v>
      </c>
      <c r="I13037" t="s">
        <v>30</v>
      </c>
      <c r="J13037" t="s">
        <v>41</v>
      </c>
      <c r="K13037" t="s">
        <v>112</v>
      </c>
      <c r="Q13037">
        <v>0</v>
      </c>
      <c r="R13037">
        <v>1</v>
      </c>
      <c r="S13037">
        <v>1</v>
      </c>
      <c r="T13037" t="s">
        <v>46552</v>
      </c>
    </row>
    <row r="13038" spans="1:20" customFormat="1" ht="15" x14ac:dyDescent="0.25">
      <c r="A13038" t="s">
        <v>35</v>
      </c>
      <c r="B13038" t="s">
        <v>61</v>
      </c>
      <c r="C13038" t="str">
        <f>"A0153278"</f>
        <v>A0153278</v>
      </c>
      <c r="D13038" t="s">
        <v>46553</v>
      </c>
      <c r="E13038" t="s">
        <v>46554</v>
      </c>
      <c r="F13038" t="s">
        <v>9205</v>
      </c>
      <c r="G13038" t="s">
        <v>117</v>
      </c>
      <c r="H13038">
        <v>49341</v>
      </c>
      <c r="I13038" t="s">
        <v>30</v>
      </c>
      <c r="J13038" t="s">
        <v>41</v>
      </c>
      <c r="K13038" t="s">
        <v>2760</v>
      </c>
      <c r="Q13038">
        <v>0</v>
      </c>
      <c r="R13038">
        <v>0</v>
      </c>
      <c r="S13038">
        <v>0</v>
      </c>
      <c r="T13038" t="s">
        <v>46555</v>
      </c>
    </row>
    <row r="13039" spans="1:20" customFormat="1" ht="15" x14ac:dyDescent="0.25">
      <c r="A13039" t="s">
        <v>35</v>
      </c>
      <c r="B13039" t="s">
        <v>61</v>
      </c>
      <c r="C13039" t="str">
        <f>"A0132280"</f>
        <v>A0132280</v>
      </c>
      <c r="D13039" t="s">
        <v>46556</v>
      </c>
      <c r="E13039" t="s">
        <v>46550</v>
      </c>
      <c r="F13039" t="s">
        <v>46551</v>
      </c>
      <c r="G13039" t="s">
        <v>507</v>
      </c>
      <c r="H13039">
        <v>26104</v>
      </c>
      <c r="I13039" t="s">
        <v>30</v>
      </c>
      <c r="J13039" t="s">
        <v>41</v>
      </c>
      <c r="K13039" t="s">
        <v>391</v>
      </c>
      <c r="Q13039">
        <v>0</v>
      </c>
      <c r="R13039">
        <v>1</v>
      </c>
      <c r="S13039">
        <v>1</v>
      </c>
      <c r="T13039" t="s">
        <v>46557</v>
      </c>
    </row>
    <row r="13040" spans="1:20" customFormat="1" ht="15" x14ac:dyDescent="0.25">
      <c r="A13040" t="s">
        <v>35</v>
      </c>
      <c r="B13040" t="s">
        <v>61</v>
      </c>
      <c r="C13040" t="str">
        <f>"A0128656"</f>
        <v>A0128656</v>
      </c>
      <c r="D13040" t="s">
        <v>46558</v>
      </c>
      <c r="E13040" t="s">
        <v>46559</v>
      </c>
      <c r="F13040" t="s">
        <v>27617</v>
      </c>
      <c r="G13040" t="s">
        <v>1170</v>
      </c>
      <c r="H13040">
        <v>70401</v>
      </c>
      <c r="I13040" t="s">
        <v>30</v>
      </c>
      <c r="J13040" t="s">
        <v>41</v>
      </c>
      <c r="K13040" t="s">
        <v>229</v>
      </c>
      <c r="Q13040">
        <v>0</v>
      </c>
      <c r="R13040">
        <v>200</v>
      </c>
      <c r="S13040">
        <v>200</v>
      </c>
      <c r="T13040" t="s">
        <v>46560</v>
      </c>
    </row>
    <row r="13041" spans="1:20" customFormat="1" ht="15" x14ac:dyDescent="0.25">
      <c r="A13041" t="s">
        <v>35</v>
      </c>
      <c r="B13041" t="s">
        <v>61</v>
      </c>
      <c r="C13041" t="str">
        <f>"A0132708"</f>
        <v>A0132708</v>
      </c>
      <c r="D13041" t="s">
        <v>46561</v>
      </c>
      <c r="E13041" t="s">
        <v>46562</v>
      </c>
      <c r="F13041" t="s">
        <v>40740</v>
      </c>
      <c r="G13041" t="s">
        <v>65</v>
      </c>
      <c r="H13041">
        <v>44142</v>
      </c>
      <c r="I13041" t="s">
        <v>30</v>
      </c>
      <c r="J13041" t="s">
        <v>41</v>
      </c>
      <c r="K13041" t="s">
        <v>59</v>
      </c>
      <c r="Q13041">
        <v>0</v>
      </c>
      <c r="R13041">
        <v>78</v>
      </c>
      <c r="S13041">
        <v>78</v>
      </c>
      <c r="T13041" t="s">
        <v>46563</v>
      </c>
    </row>
    <row r="13042" spans="1:20" customFormat="1" ht="15" x14ac:dyDescent="0.25">
      <c r="A13042" t="s">
        <v>35</v>
      </c>
      <c r="B13042" t="s">
        <v>61</v>
      </c>
      <c r="C13042" t="str">
        <f>"A0123894"</f>
        <v>A0123894</v>
      </c>
      <c r="D13042" t="s">
        <v>46564</v>
      </c>
      <c r="E13042" t="s">
        <v>46565</v>
      </c>
      <c r="F13042" t="s">
        <v>46566</v>
      </c>
      <c r="G13042" t="s">
        <v>214</v>
      </c>
      <c r="H13042">
        <v>27263</v>
      </c>
      <c r="I13042" t="s">
        <v>30</v>
      </c>
      <c r="J13042" t="s">
        <v>41</v>
      </c>
      <c r="K13042" t="s">
        <v>482</v>
      </c>
      <c r="Q13042">
        <v>0</v>
      </c>
      <c r="R13042">
        <v>30</v>
      </c>
      <c r="S13042">
        <v>30</v>
      </c>
      <c r="T13042" t="s">
        <v>46567</v>
      </c>
    </row>
    <row r="13043" spans="1:20" customFormat="1" ht="15" x14ac:dyDescent="0.25">
      <c r="A13043" t="s">
        <v>35</v>
      </c>
      <c r="B13043" t="s">
        <v>61</v>
      </c>
      <c r="C13043" t="str">
        <f>"A0123895"</f>
        <v>A0123895</v>
      </c>
      <c r="D13043" t="s">
        <v>46568</v>
      </c>
      <c r="E13043" t="s">
        <v>46569</v>
      </c>
      <c r="F13043" t="s">
        <v>40106</v>
      </c>
      <c r="G13043" t="s">
        <v>214</v>
      </c>
      <c r="H13043">
        <v>27203</v>
      </c>
      <c r="I13043" t="s">
        <v>30</v>
      </c>
      <c r="J13043" t="s">
        <v>41</v>
      </c>
      <c r="K13043" t="s">
        <v>482</v>
      </c>
      <c r="Q13043">
        <v>0</v>
      </c>
      <c r="R13043">
        <v>60</v>
      </c>
      <c r="S13043">
        <v>60</v>
      </c>
      <c r="T13043" t="s">
        <v>46570</v>
      </c>
    </row>
    <row r="13044" spans="1:20" customFormat="1" ht="15" x14ac:dyDescent="0.25">
      <c r="A13044" t="s">
        <v>35</v>
      </c>
      <c r="B13044" t="s">
        <v>61</v>
      </c>
      <c r="C13044" t="str">
        <f>"A0123893"</f>
        <v>A0123893</v>
      </c>
      <c r="D13044" t="s">
        <v>46571</v>
      </c>
      <c r="E13044" t="s">
        <v>37108</v>
      </c>
      <c r="F13044" t="s">
        <v>37109</v>
      </c>
      <c r="G13044" t="s">
        <v>214</v>
      </c>
      <c r="H13044">
        <v>27529</v>
      </c>
      <c r="I13044" t="s">
        <v>30</v>
      </c>
      <c r="J13044" t="s">
        <v>41</v>
      </c>
      <c r="K13044" t="s">
        <v>482</v>
      </c>
      <c r="Q13044">
        <v>0</v>
      </c>
      <c r="R13044">
        <v>85</v>
      </c>
      <c r="S13044">
        <v>85</v>
      </c>
      <c r="T13044" t="s">
        <v>37110</v>
      </c>
    </row>
    <row r="13045" spans="1:20" customFormat="1" ht="15" x14ac:dyDescent="0.25">
      <c r="A13045" t="s">
        <v>35</v>
      </c>
      <c r="B13045" t="s">
        <v>61</v>
      </c>
      <c r="C13045" t="str">
        <f>"A0123896"</f>
        <v>A0123896</v>
      </c>
      <c r="D13045" t="s">
        <v>46572</v>
      </c>
      <c r="E13045" t="s">
        <v>46573</v>
      </c>
      <c r="F13045" t="s">
        <v>46574</v>
      </c>
      <c r="G13045" t="s">
        <v>214</v>
      </c>
      <c r="H13045">
        <v>27027</v>
      </c>
      <c r="I13045" t="s">
        <v>30</v>
      </c>
      <c r="J13045" t="s">
        <v>41</v>
      </c>
      <c r="K13045" t="s">
        <v>482</v>
      </c>
      <c r="Q13045">
        <v>0</v>
      </c>
      <c r="R13045">
        <v>60</v>
      </c>
      <c r="S13045">
        <v>60</v>
      </c>
      <c r="T13045" t="s">
        <v>46575</v>
      </c>
    </row>
    <row r="13046" spans="1:20" customFormat="1" ht="15" x14ac:dyDescent="0.25">
      <c r="A13046" t="s">
        <v>35</v>
      </c>
      <c r="B13046" t="s">
        <v>61</v>
      </c>
      <c r="C13046" t="str">
        <f>"A0131851"</f>
        <v>A0131851</v>
      </c>
      <c r="D13046" t="s">
        <v>46576</v>
      </c>
      <c r="E13046" t="s">
        <v>46577</v>
      </c>
      <c r="F13046" t="s">
        <v>46578</v>
      </c>
      <c r="G13046" t="s">
        <v>65</v>
      </c>
      <c r="H13046">
        <v>440390000</v>
      </c>
      <c r="I13046" t="s">
        <v>30</v>
      </c>
      <c r="J13046" t="s">
        <v>41</v>
      </c>
      <c r="K13046" t="s">
        <v>229</v>
      </c>
      <c r="Q13046">
        <v>0</v>
      </c>
      <c r="R13046">
        <v>126</v>
      </c>
      <c r="S13046">
        <v>126</v>
      </c>
      <c r="T13046" t="s">
        <v>46579</v>
      </c>
    </row>
    <row r="13047" spans="1:20" customFormat="1" ht="15" x14ac:dyDescent="0.25">
      <c r="A13047" t="s">
        <v>35</v>
      </c>
      <c r="B13047" t="s">
        <v>61</v>
      </c>
      <c r="C13047" t="str">
        <f>"A0131323"</f>
        <v>A0131323</v>
      </c>
      <c r="D13047" t="s">
        <v>46580</v>
      </c>
      <c r="E13047" t="s">
        <v>46581</v>
      </c>
      <c r="F13047" t="s">
        <v>10170</v>
      </c>
      <c r="G13047" t="s">
        <v>137</v>
      </c>
      <c r="H13047">
        <v>636400000</v>
      </c>
      <c r="I13047" t="s">
        <v>30</v>
      </c>
      <c r="J13047" t="s">
        <v>41</v>
      </c>
      <c r="K13047" t="s">
        <v>229</v>
      </c>
      <c r="Q13047">
        <v>0</v>
      </c>
      <c r="R13047">
        <v>100</v>
      </c>
      <c r="S13047">
        <v>100</v>
      </c>
      <c r="T13047" t="s">
        <v>46582</v>
      </c>
    </row>
    <row r="13048" spans="1:20" customFormat="1" ht="15" x14ac:dyDescent="0.25">
      <c r="A13048" t="s">
        <v>35</v>
      </c>
      <c r="B13048" t="s">
        <v>61</v>
      </c>
      <c r="C13048" t="str">
        <f>"A0151184"</f>
        <v>A0151184</v>
      </c>
      <c r="D13048" t="s">
        <v>46583</v>
      </c>
      <c r="E13048" t="s">
        <v>46584</v>
      </c>
      <c r="F13048" t="s">
        <v>11695</v>
      </c>
      <c r="G13048" t="s">
        <v>117</v>
      </c>
      <c r="H13048">
        <v>49009</v>
      </c>
      <c r="I13048" t="s">
        <v>30</v>
      </c>
      <c r="J13048" t="s">
        <v>41</v>
      </c>
      <c r="K13048" t="s">
        <v>482</v>
      </c>
      <c r="Q13048">
        <v>0</v>
      </c>
      <c r="R13048">
        <v>0</v>
      </c>
      <c r="S13048">
        <v>0</v>
      </c>
      <c r="T13048" t="s">
        <v>72</v>
      </c>
    </row>
    <row r="13049" spans="1:20" customFormat="1" ht="15" x14ac:dyDescent="0.25">
      <c r="A13049" t="s">
        <v>35</v>
      </c>
      <c r="B13049" t="s">
        <v>61</v>
      </c>
      <c r="C13049" t="str">
        <f>"A0124304"</f>
        <v>A0124304</v>
      </c>
      <c r="D13049" t="s">
        <v>46585</v>
      </c>
      <c r="E13049" t="s">
        <v>46586</v>
      </c>
      <c r="F13049" t="s">
        <v>10611</v>
      </c>
      <c r="G13049" t="s">
        <v>381</v>
      </c>
      <c r="H13049">
        <v>465453671</v>
      </c>
      <c r="I13049" t="s">
        <v>30</v>
      </c>
      <c r="J13049" t="s">
        <v>41</v>
      </c>
      <c r="K13049" t="s">
        <v>482</v>
      </c>
      <c r="Q13049">
        <v>0</v>
      </c>
      <c r="R13049">
        <v>66</v>
      </c>
      <c r="S13049">
        <v>66</v>
      </c>
      <c r="T13049" t="s">
        <v>46587</v>
      </c>
    </row>
    <row r="13050" spans="1:20" customFormat="1" ht="15" x14ac:dyDescent="0.25">
      <c r="A13050" t="s">
        <v>35</v>
      </c>
      <c r="B13050" t="s">
        <v>61</v>
      </c>
      <c r="C13050" t="str">
        <f>"A0124305"</f>
        <v>A0124305</v>
      </c>
      <c r="D13050" t="s">
        <v>46588</v>
      </c>
      <c r="E13050" t="s">
        <v>46589</v>
      </c>
      <c r="F13050" t="s">
        <v>6240</v>
      </c>
      <c r="G13050" t="s">
        <v>381</v>
      </c>
      <c r="H13050">
        <v>46804</v>
      </c>
      <c r="I13050" t="s">
        <v>30</v>
      </c>
      <c r="J13050" t="s">
        <v>41</v>
      </c>
      <c r="K13050" t="s">
        <v>229</v>
      </c>
      <c r="Q13050">
        <v>0</v>
      </c>
      <c r="R13050">
        <v>60</v>
      </c>
      <c r="S13050">
        <v>60</v>
      </c>
      <c r="T13050" t="s">
        <v>46590</v>
      </c>
    </row>
    <row r="13051" spans="1:20" customFormat="1" ht="15" x14ac:dyDescent="0.25">
      <c r="A13051" t="s">
        <v>35</v>
      </c>
      <c r="B13051" t="s">
        <v>61</v>
      </c>
      <c r="C13051" t="str">
        <f>"A0122618"</f>
        <v>A0122618</v>
      </c>
      <c r="D13051" t="s">
        <v>46591</v>
      </c>
      <c r="E13051" t="s">
        <v>46592</v>
      </c>
      <c r="F13051" t="s">
        <v>1444</v>
      </c>
      <c r="G13051" t="s">
        <v>76</v>
      </c>
      <c r="H13051">
        <v>981250000</v>
      </c>
      <c r="I13051" t="s">
        <v>30</v>
      </c>
      <c r="J13051" t="s">
        <v>41</v>
      </c>
      <c r="K13051" t="s">
        <v>59</v>
      </c>
      <c r="Q13051">
        <v>0</v>
      </c>
      <c r="R13051">
        <v>40</v>
      </c>
      <c r="S13051">
        <v>40</v>
      </c>
      <c r="T13051" t="s">
        <v>46593</v>
      </c>
    </row>
    <row r="13052" spans="1:20" customFormat="1" ht="15" x14ac:dyDescent="0.25">
      <c r="A13052" t="s">
        <v>35</v>
      </c>
      <c r="B13052" t="s">
        <v>61</v>
      </c>
      <c r="C13052" t="str">
        <f>"A0122617"</f>
        <v>A0122617</v>
      </c>
      <c r="D13052" t="s">
        <v>46594</v>
      </c>
      <c r="E13052" t="s">
        <v>46595</v>
      </c>
      <c r="F13052" t="s">
        <v>1444</v>
      </c>
      <c r="G13052" t="s">
        <v>76</v>
      </c>
      <c r="H13052">
        <v>981250000</v>
      </c>
      <c r="I13052" t="s">
        <v>30</v>
      </c>
      <c r="J13052" t="s">
        <v>41</v>
      </c>
      <c r="K13052" t="s">
        <v>59</v>
      </c>
      <c r="Q13052">
        <v>0</v>
      </c>
      <c r="R13052">
        <v>200</v>
      </c>
      <c r="S13052">
        <v>200</v>
      </c>
      <c r="T13052" t="s">
        <v>46596</v>
      </c>
    </row>
    <row r="13053" spans="1:20" customFormat="1" ht="15" x14ac:dyDescent="0.25">
      <c r="A13053" t="s">
        <v>35</v>
      </c>
      <c r="B13053" t="s">
        <v>61</v>
      </c>
      <c r="C13053" t="str">
        <f>"A0124306"</f>
        <v>A0124306</v>
      </c>
      <c r="D13053" t="s">
        <v>46597</v>
      </c>
      <c r="E13053" t="s">
        <v>46598</v>
      </c>
      <c r="F13053" t="s">
        <v>46599</v>
      </c>
      <c r="G13053" t="s">
        <v>123</v>
      </c>
      <c r="H13053">
        <v>21901</v>
      </c>
      <c r="I13053" t="s">
        <v>30</v>
      </c>
      <c r="J13053" t="s">
        <v>41</v>
      </c>
      <c r="K13053" t="s">
        <v>112</v>
      </c>
      <c r="Q13053">
        <v>0</v>
      </c>
      <c r="R13053">
        <v>300</v>
      </c>
      <c r="S13053">
        <v>300</v>
      </c>
      <c r="T13053" t="s">
        <v>46600</v>
      </c>
    </row>
    <row r="13054" spans="1:20" customFormat="1" ht="15" x14ac:dyDescent="0.25">
      <c r="A13054" t="s">
        <v>35</v>
      </c>
      <c r="B13054" t="s">
        <v>61</v>
      </c>
      <c r="C13054" t="str">
        <f>"A0130311"</f>
        <v>A0130311</v>
      </c>
      <c r="D13054" t="s">
        <v>46601</v>
      </c>
      <c r="E13054" t="s">
        <v>46602</v>
      </c>
      <c r="F13054" t="s">
        <v>11740</v>
      </c>
      <c r="G13054" t="s">
        <v>1898</v>
      </c>
      <c r="H13054">
        <v>52402</v>
      </c>
      <c r="I13054" t="s">
        <v>30</v>
      </c>
      <c r="J13054" t="s">
        <v>41</v>
      </c>
      <c r="K13054" t="s">
        <v>229</v>
      </c>
      <c r="Q13054">
        <v>0</v>
      </c>
      <c r="R13054">
        <v>130</v>
      </c>
      <c r="S13054">
        <v>130</v>
      </c>
      <c r="T13054" t="s">
        <v>46603</v>
      </c>
    </row>
    <row r="13055" spans="1:20" customFormat="1" ht="15" x14ac:dyDescent="0.25">
      <c r="A13055" t="s">
        <v>35</v>
      </c>
      <c r="B13055" t="s">
        <v>61</v>
      </c>
      <c r="C13055" t="str">
        <f>"A0130354"</f>
        <v>A0130354</v>
      </c>
      <c r="D13055" t="s">
        <v>46604</v>
      </c>
      <c r="E13055" t="s">
        <v>46605</v>
      </c>
      <c r="F13055" t="s">
        <v>12212</v>
      </c>
      <c r="G13055" t="s">
        <v>1898</v>
      </c>
      <c r="H13055">
        <v>50010</v>
      </c>
      <c r="I13055" t="s">
        <v>30</v>
      </c>
      <c r="J13055" t="s">
        <v>41</v>
      </c>
      <c r="K13055" t="s">
        <v>229</v>
      </c>
      <c r="Q13055">
        <v>0</v>
      </c>
      <c r="R13055">
        <v>28</v>
      </c>
      <c r="S13055">
        <v>28</v>
      </c>
      <c r="T13055" t="s">
        <v>46606</v>
      </c>
    </row>
    <row r="13056" spans="1:20" customFormat="1" ht="15" x14ac:dyDescent="0.25">
      <c r="A13056" t="s">
        <v>35</v>
      </c>
      <c r="B13056" t="s">
        <v>61</v>
      </c>
      <c r="C13056" t="str">
        <f>"A0153003"</f>
        <v>A0153003</v>
      </c>
      <c r="D13056" t="s">
        <v>46607</v>
      </c>
      <c r="E13056" t="s">
        <v>46608</v>
      </c>
      <c r="F13056" t="s">
        <v>26234</v>
      </c>
      <c r="G13056" t="s">
        <v>65</v>
      </c>
      <c r="H13056">
        <v>43545</v>
      </c>
      <c r="I13056" t="s">
        <v>30</v>
      </c>
      <c r="J13056" t="s">
        <v>41</v>
      </c>
      <c r="K13056" t="s">
        <v>59</v>
      </c>
      <c r="Q13056">
        <v>0</v>
      </c>
      <c r="R13056">
        <v>96</v>
      </c>
      <c r="S13056">
        <v>96</v>
      </c>
      <c r="T13056" t="s">
        <v>46609</v>
      </c>
    </row>
    <row r="13057" spans="1:20" customFormat="1" ht="15" x14ac:dyDescent="0.25">
      <c r="A13057" t="s">
        <v>35</v>
      </c>
      <c r="B13057" t="s">
        <v>61</v>
      </c>
      <c r="C13057" t="str">
        <f>"A0131837"</f>
        <v>A0131837</v>
      </c>
      <c r="D13057" t="s">
        <v>46610</v>
      </c>
      <c r="E13057" t="s">
        <v>46611</v>
      </c>
      <c r="F13057" t="s">
        <v>46612</v>
      </c>
      <c r="G13057" t="s">
        <v>65</v>
      </c>
      <c r="H13057">
        <v>441330000</v>
      </c>
      <c r="I13057" t="s">
        <v>30</v>
      </c>
      <c r="J13057" t="s">
        <v>41</v>
      </c>
      <c r="K13057" t="s">
        <v>229</v>
      </c>
      <c r="Q13057">
        <v>0</v>
      </c>
      <c r="R13057">
        <v>48</v>
      </c>
      <c r="S13057">
        <v>48</v>
      </c>
      <c r="T13057" t="s">
        <v>46613</v>
      </c>
    </row>
    <row r="13058" spans="1:20" customFormat="1" ht="15" x14ac:dyDescent="0.25">
      <c r="A13058" t="s">
        <v>35</v>
      </c>
      <c r="B13058" t="s">
        <v>61</v>
      </c>
      <c r="C13058" t="str">
        <f>"A0122638"</f>
        <v>A0122638</v>
      </c>
      <c r="D13058" t="s">
        <v>46614</v>
      </c>
      <c r="E13058" t="s">
        <v>46615</v>
      </c>
      <c r="F13058" t="s">
        <v>46616</v>
      </c>
      <c r="G13058" t="s">
        <v>1184</v>
      </c>
      <c r="H13058">
        <v>59043</v>
      </c>
      <c r="I13058" t="s">
        <v>30</v>
      </c>
      <c r="J13058" t="s">
        <v>41</v>
      </c>
      <c r="K13058" t="s">
        <v>6300</v>
      </c>
      <c r="Q13058">
        <v>0</v>
      </c>
      <c r="R13058">
        <v>1</v>
      </c>
      <c r="S13058">
        <v>1</v>
      </c>
      <c r="T13058" t="s">
        <v>46617</v>
      </c>
    </row>
    <row r="13059" spans="1:20" customFormat="1" ht="15" x14ac:dyDescent="0.25">
      <c r="A13059" t="s">
        <v>35</v>
      </c>
      <c r="B13059" t="s">
        <v>61</v>
      </c>
      <c r="C13059" t="str">
        <f>"A0122637"</f>
        <v>A0122637</v>
      </c>
      <c r="D13059" t="s">
        <v>46618</v>
      </c>
      <c r="E13059" t="s">
        <v>46619</v>
      </c>
      <c r="F13059" t="s">
        <v>46616</v>
      </c>
      <c r="G13059" t="s">
        <v>1184</v>
      </c>
      <c r="H13059">
        <v>59043</v>
      </c>
      <c r="I13059" t="s">
        <v>30</v>
      </c>
      <c r="J13059" t="s">
        <v>41</v>
      </c>
      <c r="K13059" t="s">
        <v>6300</v>
      </c>
      <c r="Q13059">
        <v>0</v>
      </c>
      <c r="R13059">
        <v>1</v>
      </c>
      <c r="S13059">
        <v>1</v>
      </c>
      <c r="T13059" t="s">
        <v>46617</v>
      </c>
    </row>
    <row r="13060" spans="1:20" customFormat="1" ht="15" x14ac:dyDescent="0.25">
      <c r="A13060" t="s">
        <v>35</v>
      </c>
      <c r="B13060" t="s">
        <v>106</v>
      </c>
      <c r="C13060" t="str">
        <f>"A0135400"</f>
        <v>A0135400</v>
      </c>
      <c r="D13060" t="s">
        <v>46620</v>
      </c>
      <c r="E13060" t="s">
        <v>46621</v>
      </c>
      <c r="F13060" t="s">
        <v>5679</v>
      </c>
      <c r="G13060" t="s">
        <v>289</v>
      </c>
      <c r="H13060">
        <v>60115</v>
      </c>
      <c r="I13060" t="s">
        <v>30</v>
      </c>
      <c r="J13060" t="s">
        <v>111</v>
      </c>
      <c r="K13060" t="s">
        <v>112</v>
      </c>
      <c r="Q13060">
        <v>0</v>
      </c>
      <c r="R13060">
        <v>0</v>
      </c>
      <c r="S13060">
        <v>0</v>
      </c>
      <c r="T13060" t="s">
        <v>46622</v>
      </c>
    </row>
    <row r="13061" spans="1:20" customFormat="1" ht="15" x14ac:dyDescent="0.25">
      <c r="A13061" t="s">
        <v>35</v>
      </c>
      <c r="B13061" t="s">
        <v>61</v>
      </c>
      <c r="C13061" t="str">
        <f>"A0124307"</f>
        <v>A0124307</v>
      </c>
      <c r="D13061" t="s">
        <v>46623</v>
      </c>
      <c r="E13061" t="s">
        <v>46624</v>
      </c>
      <c r="F13061" t="s">
        <v>15618</v>
      </c>
      <c r="G13061" t="s">
        <v>381</v>
      </c>
      <c r="H13061">
        <v>46703</v>
      </c>
      <c r="I13061" t="s">
        <v>30</v>
      </c>
      <c r="J13061" t="s">
        <v>41</v>
      </c>
      <c r="K13061" t="s">
        <v>229</v>
      </c>
      <c r="Q13061">
        <v>0</v>
      </c>
      <c r="R13061">
        <v>99</v>
      </c>
      <c r="S13061">
        <v>99</v>
      </c>
      <c r="T13061" t="s">
        <v>46625</v>
      </c>
    </row>
    <row r="13062" spans="1:20" customFormat="1" ht="15" x14ac:dyDescent="0.25">
      <c r="A13062" t="s">
        <v>35</v>
      </c>
      <c r="B13062" t="s">
        <v>106</v>
      </c>
      <c r="C13062" t="str">
        <f>"A0136286"</f>
        <v>A0136286</v>
      </c>
      <c r="D13062" t="s">
        <v>46626</v>
      </c>
      <c r="E13062" t="s">
        <v>46627</v>
      </c>
      <c r="F13062" t="s">
        <v>22095</v>
      </c>
      <c r="G13062" t="s">
        <v>117</v>
      </c>
      <c r="H13062">
        <v>49855</v>
      </c>
      <c r="I13062" t="s">
        <v>30</v>
      </c>
      <c r="J13062" t="s">
        <v>111</v>
      </c>
      <c r="K13062" t="s">
        <v>10012</v>
      </c>
      <c r="Q13062">
        <v>0</v>
      </c>
      <c r="R13062">
        <v>0</v>
      </c>
      <c r="S13062">
        <v>0</v>
      </c>
      <c r="T13062" t="s">
        <v>46628</v>
      </c>
    </row>
    <row r="13063" spans="1:20" customFormat="1" ht="15" x14ac:dyDescent="0.25">
      <c r="A13063" t="s">
        <v>35</v>
      </c>
      <c r="B13063" t="s">
        <v>61</v>
      </c>
      <c r="C13063" t="str">
        <f>"A0128411"</f>
        <v>A0128411</v>
      </c>
      <c r="D13063" t="s">
        <v>46629</v>
      </c>
      <c r="E13063" t="s">
        <v>46630</v>
      </c>
      <c r="F13063" t="s">
        <v>5304</v>
      </c>
      <c r="G13063" t="s">
        <v>52</v>
      </c>
      <c r="H13063">
        <v>75062</v>
      </c>
      <c r="I13063" t="s">
        <v>30</v>
      </c>
      <c r="J13063" t="s">
        <v>41</v>
      </c>
      <c r="K13063" t="s">
        <v>229</v>
      </c>
      <c r="Q13063">
        <v>0</v>
      </c>
      <c r="R13063">
        <v>120</v>
      </c>
      <c r="S13063">
        <v>120</v>
      </c>
      <c r="T13063" t="s">
        <v>46631</v>
      </c>
    </row>
    <row r="13064" spans="1:20" customFormat="1" ht="15" x14ac:dyDescent="0.25">
      <c r="A13064" t="s">
        <v>35</v>
      </c>
      <c r="B13064" t="s">
        <v>61</v>
      </c>
      <c r="C13064" t="str">
        <f>"A0123521"</f>
        <v>A0123521</v>
      </c>
      <c r="D13064" t="s">
        <v>46632</v>
      </c>
      <c r="E13064" t="s">
        <v>46633</v>
      </c>
      <c r="F13064" t="s">
        <v>27584</v>
      </c>
      <c r="G13064" t="s">
        <v>1170</v>
      </c>
      <c r="H13064">
        <v>70448</v>
      </c>
      <c r="I13064" t="s">
        <v>30</v>
      </c>
      <c r="J13064" t="s">
        <v>41</v>
      </c>
      <c r="K13064" t="s">
        <v>59</v>
      </c>
      <c r="Q13064">
        <v>0</v>
      </c>
      <c r="R13064">
        <v>55</v>
      </c>
      <c r="S13064">
        <v>55</v>
      </c>
    </row>
    <row r="13065" spans="1:20" customFormat="1" ht="15" x14ac:dyDescent="0.25">
      <c r="A13065" t="s">
        <v>35</v>
      </c>
      <c r="B13065" t="s">
        <v>61</v>
      </c>
      <c r="C13065" t="str">
        <f>"A0129242"</f>
        <v>A0129242</v>
      </c>
      <c r="D13065" t="s">
        <v>46634</v>
      </c>
      <c r="E13065" t="s">
        <v>46635</v>
      </c>
      <c r="F13065" t="s">
        <v>30561</v>
      </c>
      <c r="G13065" t="s">
        <v>289</v>
      </c>
      <c r="H13065">
        <v>60099</v>
      </c>
      <c r="I13065" t="s">
        <v>30</v>
      </c>
      <c r="J13065" t="s">
        <v>41</v>
      </c>
      <c r="K13065" t="s">
        <v>131</v>
      </c>
      <c r="Q13065">
        <v>0</v>
      </c>
      <c r="R13065">
        <v>70</v>
      </c>
      <c r="S13065">
        <v>70</v>
      </c>
      <c r="T13065" t="s">
        <v>46636</v>
      </c>
    </row>
    <row r="13066" spans="1:20" customFormat="1" ht="15" x14ac:dyDescent="0.25">
      <c r="A13066" t="s">
        <v>35</v>
      </c>
      <c r="B13066" t="s">
        <v>61</v>
      </c>
      <c r="C13066" t="str">
        <f>"A0124243"</f>
        <v>A0124243</v>
      </c>
      <c r="D13066" t="s">
        <v>46637</v>
      </c>
      <c r="E13066" t="s">
        <v>46638</v>
      </c>
      <c r="F13066" t="s">
        <v>41445</v>
      </c>
      <c r="G13066" t="s">
        <v>117</v>
      </c>
      <c r="H13066">
        <v>49670</v>
      </c>
      <c r="I13066" t="s">
        <v>30</v>
      </c>
      <c r="J13066" t="s">
        <v>41</v>
      </c>
      <c r="K13066" t="s">
        <v>482</v>
      </c>
      <c r="Q13066">
        <v>0</v>
      </c>
      <c r="R13066">
        <v>66</v>
      </c>
      <c r="S13066">
        <v>66</v>
      </c>
      <c r="T13066" t="s">
        <v>46639</v>
      </c>
    </row>
    <row r="13067" spans="1:20" customFormat="1" ht="15" x14ac:dyDescent="0.25">
      <c r="A13067" t="s">
        <v>35</v>
      </c>
      <c r="B13067" t="s">
        <v>61</v>
      </c>
      <c r="C13067" t="str">
        <f>"A0127038"</f>
        <v>A0127038</v>
      </c>
      <c r="D13067" t="s">
        <v>46640</v>
      </c>
      <c r="E13067" t="s">
        <v>46641</v>
      </c>
      <c r="F13067" t="s">
        <v>46642</v>
      </c>
      <c r="G13067" t="s">
        <v>103</v>
      </c>
      <c r="H13067">
        <v>16117</v>
      </c>
      <c r="I13067" t="s">
        <v>30</v>
      </c>
      <c r="J13067" t="s">
        <v>41</v>
      </c>
      <c r="K13067" t="s">
        <v>59</v>
      </c>
      <c r="Q13067">
        <v>0</v>
      </c>
      <c r="R13067">
        <v>75</v>
      </c>
      <c r="S13067">
        <v>75</v>
      </c>
      <c r="T13067" t="s">
        <v>46643</v>
      </c>
    </row>
    <row r="13068" spans="1:20" customFormat="1" ht="15" x14ac:dyDescent="0.25">
      <c r="A13068" t="s">
        <v>35</v>
      </c>
      <c r="B13068" t="s">
        <v>61</v>
      </c>
      <c r="C13068" t="str">
        <f>"A0125200"</f>
        <v>A0125200</v>
      </c>
      <c r="D13068" t="s">
        <v>46644</v>
      </c>
      <c r="E13068" t="s">
        <v>46645</v>
      </c>
      <c r="F13068" t="s">
        <v>4037</v>
      </c>
      <c r="G13068" t="s">
        <v>40</v>
      </c>
      <c r="H13068">
        <v>73112</v>
      </c>
      <c r="I13068" t="s">
        <v>30</v>
      </c>
      <c r="J13068" t="s">
        <v>41</v>
      </c>
      <c r="K13068" t="s">
        <v>229</v>
      </c>
      <c r="Q13068">
        <v>0</v>
      </c>
      <c r="R13068">
        <v>100</v>
      </c>
      <c r="S13068">
        <v>100</v>
      </c>
      <c r="T13068" t="s">
        <v>46646</v>
      </c>
    </row>
    <row r="13069" spans="1:20" customFormat="1" ht="15" x14ac:dyDescent="0.25">
      <c r="A13069" t="s">
        <v>35</v>
      </c>
      <c r="B13069" t="s">
        <v>61</v>
      </c>
      <c r="C13069" t="str">
        <f>"A0123100"</f>
        <v>A0123100</v>
      </c>
      <c r="D13069" t="s">
        <v>46647</v>
      </c>
      <c r="E13069" t="s">
        <v>46648</v>
      </c>
      <c r="F13069" t="s">
        <v>1444</v>
      </c>
      <c r="G13069" t="s">
        <v>76</v>
      </c>
      <c r="H13069">
        <v>98116</v>
      </c>
      <c r="I13069" t="s">
        <v>30</v>
      </c>
      <c r="J13069" t="s">
        <v>41</v>
      </c>
      <c r="K13069" t="s">
        <v>290</v>
      </c>
      <c r="Q13069">
        <v>0</v>
      </c>
      <c r="R13069">
        <v>0</v>
      </c>
      <c r="S13069">
        <v>0</v>
      </c>
      <c r="T13069" t="s">
        <v>46649</v>
      </c>
    </row>
    <row r="13070" spans="1:20" customFormat="1" ht="15" x14ac:dyDescent="0.25">
      <c r="A13070" t="s">
        <v>35</v>
      </c>
      <c r="B13070" t="s">
        <v>61</v>
      </c>
      <c r="C13070" t="str">
        <f>"A0132626"</f>
        <v>A0132626</v>
      </c>
      <c r="D13070" t="s">
        <v>46650</v>
      </c>
      <c r="E13070" t="s">
        <v>46651</v>
      </c>
      <c r="F13070" t="s">
        <v>2325</v>
      </c>
      <c r="G13070" t="s">
        <v>65</v>
      </c>
      <c r="H13070">
        <v>440170000</v>
      </c>
      <c r="I13070" t="s">
        <v>30</v>
      </c>
      <c r="J13070" t="s">
        <v>41</v>
      </c>
      <c r="K13070" t="s">
        <v>229</v>
      </c>
      <c r="Q13070">
        <v>0</v>
      </c>
      <c r="R13070">
        <v>100</v>
      </c>
      <c r="S13070">
        <v>100</v>
      </c>
      <c r="T13070" t="s">
        <v>46652</v>
      </c>
    </row>
    <row r="13071" spans="1:20" customFormat="1" ht="15" x14ac:dyDescent="0.25">
      <c r="A13071" t="s">
        <v>35</v>
      </c>
      <c r="B13071" t="s">
        <v>106</v>
      </c>
      <c r="C13071" t="str">
        <f>"A0135331"</f>
        <v>A0135331</v>
      </c>
      <c r="D13071" t="s">
        <v>46653</v>
      </c>
      <c r="E13071" t="s">
        <v>46654</v>
      </c>
      <c r="F13071" t="s">
        <v>41103</v>
      </c>
      <c r="G13071" t="s">
        <v>117</v>
      </c>
      <c r="H13071">
        <v>49870</v>
      </c>
      <c r="I13071" t="s">
        <v>30</v>
      </c>
      <c r="J13071" t="s">
        <v>111</v>
      </c>
      <c r="K13071" t="s">
        <v>10012</v>
      </c>
      <c r="Q13071">
        <v>0</v>
      </c>
      <c r="R13071">
        <v>0</v>
      </c>
      <c r="S13071">
        <v>0</v>
      </c>
      <c r="T13071" t="s">
        <v>46655</v>
      </c>
    </row>
    <row r="13072" spans="1:20" customFormat="1" ht="15" x14ac:dyDescent="0.25">
      <c r="A13072" t="s">
        <v>35</v>
      </c>
      <c r="B13072" t="s">
        <v>61</v>
      </c>
      <c r="C13072" t="str">
        <f>"A0124244"</f>
        <v>A0124244</v>
      </c>
      <c r="D13072" t="s">
        <v>46656</v>
      </c>
      <c r="E13072" t="s">
        <v>46657</v>
      </c>
      <c r="F13072" t="s">
        <v>288</v>
      </c>
      <c r="G13072" t="s">
        <v>289</v>
      </c>
      <c r="H13072">
        <v>60631</v>
      </c>
      <c r="I13072" t="s">
        <v>30</v>
      </c>
      <c r="J13072" t="s">
        <v>41</v>
      </c>
      <c r="K13072" t="s">
        <v>229</v>
      </c>
      <c r="Q13072">
        <v>0</v>
      </c>
      <c r="R13072">
        <v>131</v>
      </c>
      <c r="S13072">
        <v>131</v>
      </c>
      <c r="T13072" t="s">
        <v>46658</v>
      </c>
    </row>
    <row r="13073" spans="1:20" customFormat="1" ht="15" x14ac:dyDescent="0.25">
      <c r="A13073" t="s">
        <v>35</v>
      </c>
      <c r="B13073" t="s">
        <v>61</v>
      </c>
      <c r="C13073" t="str">
        <f>"A0151586"</f>
        <v>A0151586</v>
      </c>
      <c r="D13073" t="s">
        <v>46659</v>
      </c>
      <c r="E13073" t="s">
        <v>46660</v>
      </c>
      <c r="F13073" t="s">
        <v>7312</v>
      </c>
      <c r="G13073" t="s">
        <v>65</v>
      </c>
      <c r="H13073">
        <v>44121</v>
      </c>
      <c r="I13073" t="s">
        <v>30</v>
      </c>
      <c r="J13073" t="s">
        <v>41</v>
      </c>
      <c r="K13073" t="s">
        <v>1412</v>
      </c>
      <c r="Q13073">
        <v>0</v>
      </c>
      <c r="R13073">
        <v>0</v>
      </c>
      <c r="S13073">
        <v>0</v>
      </c>
      <c r="T13073" t="s">
        <v>46661</v>
      </c>
    </row>
    <row r="13074" spans="1:20" customFormat="1" ht="15" x14ac:dyDescent="0.25">
      <c r="A13074" t="s">
        <v>35</v>
      </c>
      <c r="B13074" t="s">
        <v>61</v>
      </c>
      <c r="C13074" t="str">
        <f>"A0126530"</f>
        <v>A0126530</v>
      </c>
      <c r="D13074" t="s">
        <v>46662</v>
      </c>
      <c r="E13074" t="s">
        <v>46663</v>
      </c>
      <c r="F13074" t="s">
        <v>46664</v>
      </c>
      <c r="G13074" t="s">
        <v>103</v>
      </c>
      <c r="H13074">
        <v>17857</v>
      </c>
      <c r="I13074" t="s">
        <v>30</v>
      </c>
      <c r="J13074" t="s">
        <v>41</v>
      </c>
      <c r="K13074" t="s">
        <v>1440</v>
      </c>
      <c r="Q13074">
        <v>0</v>
      </c>
      <c r="R13074">
        <v>121</v>
      </c>
      <c r="S13074">
        <v>121</v>
      </c>
      <c r="T13074" t="s">
        <v>46665</v>
      </c>
    </row>
    <row r="13075" spans="1:20" customFormat="1" ht="15" x14ac:dyDescent="0.25">
      <c r="A13075" t="s">
        <v>35</v>
      </c>
      <c r="B13075" t="s">
        <v>61</v>
      </c>
      <c r="C13075" t="str">
        <f>"A0130245"</f>
        <v>A0130245</v>
      </c>
      <c r="D13075" t="s">
        <v>46666</v>
      </c>
      <c r="E13075" t="s">
        <v>46667</v>
      </c>
      <c r="F13075" t="s">
        <v>21288</v>
      </c>
      <c r="G13075" t="s">
        <v>161</v>
      </c>
      <c r="H13075">
        <v>56345</v>
      </c>
      <c r="I13075" t="s">
        <v>30</v>
      </c>
      <c r="J13075" t="s">
        <v>41</v>
      </c>
      <c r="K13075" t="s">
        <v>59</v>
      </c>
      <c r="Q13075">
        <v>0</v>
      </c>
      <c r="R13075">
        <v>67</v>
      </c>
      <c r="S13075">
        <v>67</v>
      </c>
      <c r="T13075" t="s">
        <v>44466</v>
      </c>
    </row>
    <row r="13076" spans="1:20" customFormat="1" ht="15" x14ac:dyDescent="0.25">
      <c r="A13076" t="s">
        <v>35</v>
      </c>
      <c r="B13076" t="s">
        <v>61</v>
      </c>
      <c r="C13076" t="str">
        <f>"A0125252"</f>
        <v>A0125252</v>
      </c>
      <c r="D13076" t="s">
        <v>46668</v>
      </c>
      <c r="E13076" t="s">
        <v>46669</v>
      </c>
      <c r="F13076" t="s">
        <v>42346</v>
      </c>
      <c r="G13076" t="s">
        <v>40</v>
      </c>
      <c r="H13076">
        <v>74048</v>
      </c>
      <c r="I13076" t="s">
        <v>30</v>
      </c>
      <c r="J13076" t="s">
        <v>41</v>
      </c>
      <c r="K13076" t="s">
        <v>229</v>
      </c>
      <c r="Q13076">
        <v>0</v>
      </c>
      <c r="R13076">
        <v>65</v>
      </c>
      <c r="S13076">
        <v>65</v>
      </c>
      <c r="T13076" t="s">
        <v>46670</v>
      </c>
    </row>
    <row r="13077" spans="1:20" customFormat="1" ht="15" x14ac:dyDescent="0.25">
      <c r="A13077" t="s">
        <v>35</v>
      </c>
      <c r="B13077" t="s">
        <v>61</v>
      </c>
      <c r="C13077" t="str">
        <f>"A0131298"</f>
        <v>A0131298</v>
      </c>
      <c r="D13077" t="s">
        <v>46671</v>
      </c>
      <c r="E13077" t="s">
        <v>46672</v>
      </c>
      <c r="F13077" t="s">
        <v>46673</v>
      </c>
      <c r="G13077" t="s">
        <v>137</v>
      </c>
      <c r="H13077">
        <v>631300000</v>
      </c>
      <c r="I13077" t="s">
        <v>30</v>
      </c>
      <c r="J13077" t="s">
        <v>41</v>
      </c>
      <c r="K13077" t="s">
        <v>229</v>
      </c>
      <c r="Q13077">
        <v>0</v>
      </c>
      <c r="R13077">
        <v>130</v>
      </c>
      <c r="S13077">
        <v>130</v>
      </c>
      <c r="T13077" t="s">
        <v>46674</v>
      </c>
    </row>
    <row r="13078" spans="1:20" customFormat="1" ht="15" x14ac:dyDescent="0.25">
      <c r="A13078" t="s">
        <v>35</v>
      </c>
      <c r="B13078" t="s">
        <v>106</v>
      </c>
      <c r="C13078" t="str">
        <f>"A0135955"</f>
        <v>A0135955</v>
      </c>
      <c r="D13078" t="s">
        <v>46675</v>
      </c>
      <c r="E13078" t="s">
        <v>37059</v>
      </c>
      <c r="F13078" t="s">
        <v>14693</v>
      </c>
      <c r="G13078" t="s">
        <v>110</v>
      </c>
      <c r="H13078">
        <v>92834</v>
      </c>
      <c r="I13078" t="s">
        <v>30</v>
      </c>
      <c r="J13078" t="s">
        <v>111</v>
      </c>
      <c r="K13078" t="s">
        <v>10012</v>
      </c>
      <c r="Q13078">
        <v>0</v>
      </c>
      <c r="R13078">
        <v>0</v>
      </c>
      <c r="S13078">
        <v>0</v>
      </c>
      <c r="T13078" t="s">
        <v>37060</v>
      </c>
    </row>
    <row r="13079" spans="1:20" customFormat="1" ht="15" x14ac:dyDescent="0.25">
      <c r="A13079" t="s">
        <v>35</v>
      </c>
      <c r="B13079" t="s">
        <v>61</v>
      </c>
      <c r="C13079" t="str">
        <f>"A0131213"</f>
        <v>A0131213</v>
      </c>
      <c r="D13079" t="s">
        <v>46676</v>
      </c>
      <c r="E13079" t="s">
        <v>46677</v>
      </c>
      <c r="F13079" t="s">
        <v>27776</v>
      </c>
      <c r="G13079" t="s">
        <v>85</v>
      </c>
      <c r="H13079">
        <v>726020000</v>
      </c>
      <c r="I13079" t="s">
        <v>30</v>
      </c>
      <c r="J13079" t="s">
        <v>41</v>
      </c>
      <c r="K13079" t="s">
        <v>290</v>
      </c>
      <c r="Q13079">
        <v>0</v>
      </c>
      <c r="R13079">
        <v>1</v>
      </c>
      <c r="S13079">
        <v>1</v>
      </c>
      <c r="T13079" t="s">
        <v>46678</v>
      </c>
    </row>
    <row r="13080" spans="1:20" customFormat="1" ht="15" x14ac:dyDescent="0.25">
      <c r="A13080" t="s">
        <v>35</v>
      </c>
      <c r="B13080" t="s">
        <v>61</v>
      </c>
      <c r="C13080" t="str">
        <f>"A0121777"</f>
        <v>A0121777</v>
      </c>
      <c r="D13080" t="s">
        <v>46679</v>
      </c>
      <c r="E13080" t="s">
        <v>46680</v>
      </c>
      <c r="F13080" t="s">
        <v>4032</v>
      </c>
      <c r="G13080" t="s">
        <v>110</v>
      </c>
      <c r="H13080">
        <v>93101</v>
      </c>
      <c r="I13080" t="s">
        <v>30</v>
      </c>
      <c r="J13080" t="s">
        <v>41</v>
      </c>
      <c r="K13080" t="s">
        <v>1032</v>
      </c>
      <c r="Q13080">
        <v>0</v>
      </c>
      <c r="R13080">
        <v>35</v>
      </c>
      <c r="S13080">
        <v>35</v>
      </c>
      <c r="T13080" t="s">
        <v>46681</v>
      </c>
    </row>
    <row r="13081" spans="1:20" customFormat="1" ht="15" x14ac:dyDescent="0.25">
      <c r="A13081" t="s">
        <v>35</v>
      </c>
      <c r="B13081" t="s">
        <v>61</v>
      </c>
      <c r="C13081" t="str">
        <f>"A0133069"</f>
        <v>A0133069</v>
      </c>
      <c r="D13081" t="s">
        <v>46682</v>
      </c>
      <c r="E13081" t="s">
        <v>46683</v>
      </c>
      <c r="F13081" t="s">
        <v>24559</v>
      </c>
      <c r="G13081" t="s">
        <v>52</v>
      </c>
      <c r="H13081">
        <v>78648</v>
      </c>
      <c r="I13081" t="s">
        <v>30</v>
      </c>
      <c r="J13081" t="s">
        <v>41</v>
      </c>
      <c r="K13081" t="s">
        <v>229</v>
      </c>
      <c r="Q13081">
        <v>0</v>
      </c>
      <c r="R13081">
        <v>96</v>
      </c>
      <c r="S13081">
        <v>96</v>
      </c>
      <c r="T13081" t="s">
        <v>46684</v>
      </c>
    </row>
    <row r="13082" spans="1:20" customFormat="1" ht="15" x14ac:dyDescent="0.25">
      <c r="A13082" t="s">
        <v>35</v>
      </c>
      <c r="B13082" t="s">
        <v>5511</v>
      </c>
      <c r="C13082" t="str">
        <f>"A0123000"</f>
        <v>A0123000</v>
      </c>
      <c r="D13082" t="s">
        <v>46685</v>
      </c>
      <c r="E13082" t="s">
        <v>46686</v>
      </c>
      <c r="F13082" t="s">
        <v>46687</v>
      </c>
      <c r="G13082" t="s">
        <v>433</v>
      </c>
      <c r="H13082">
        <v>83341</v>
      </c>
      <c r="I13082" t="s">
        <v>30</v>
      </c>
      <c r="J13082" t="s">
        <v>41</v>
      </c>
      <c r="K13082" t="s">
        <v>229</v>
      </c>
      <c r="Q13082">
        <v>0</v>
      </c>
      <c r="R13082">
        <v>65</v>
      </c>
      <c r="S13082">
        <v>65</v>
      </c>
      <c r="T13082" t="s">
        <v>46688</v>
      </c>
    </row>
    <row r="13083" spans="1:20" customFormat="1" ht="15" x14ac:dyDescent="0.25">
      <c r="A13083" t="s">
        <v>35</v>
      </c>
      <c r="B13083" t="s">
        <v>61</v>
      </c>
      <c r="C13083" t="str">
        <f>"A0129209"</f>
        <v>A0129209</v>
      </c>
      <c r="D13083" t="s">
        <v>46689</v>
      </c>
      <c r="E13083" t="s">
        <v>46690</v>
      </c>
      <c r="F13083" t="s">
        <v>5679</v>
      </c>
      <c r="G13083" t="s">
        <v>289</v>
      </c>
      <c r="H13083">
        <v>60115</v>
      </c>
      <c r="I13083" t="s">
        <v>30</v>
      </c>
      <c r="J13083" t="s">
        <v>41</v>
      </c>
      <c r="K13083" t="s">
        <v>229</v>
      </c>
      <c r="Q13083">
        <v>0</v>
      </c>
      <c r="R13083">
        <v>275</v>
      </c>
      <c r="S13083">
        <v>275</v>
      </c>
      <c r="T13083" t="s">
        <v>46691</v>
      </c>
    </row>
    <row r="13084" spans="1:20" customFormat="1" ht="15" x14ac:dyDescent="0.25">
      <c r="A13084" t="s">
        <v>35</v>
      </c>
      <c r="B13084" t="s">
        <v>61</v>
      </c>
      <c r="C13084" t="str">
        <f>"A0128854"</f>
        <v>A0128854</v>
      </c>
      <c r="D13084" t="s">
        <v>46692</v>
      </c>
      <c r="E13084" t="s">
        <v>46693</v>
      </c>
      <c r="F13084" t="s">
        <v>3336</v>
      </c>
      <c r="G13084" t="s">
        <v>71</v>
      </c>
      <c r="H13084">
        <v>532280000</v>
      </c>
      <c r="I13084" t="s">
        <v>30</v>
      </c>
      <c r="J13084" t="s">
        <v>41</v>
      </c>
      <c r="K13084" t="s">
        <v>59</v>
      </c>
      <c r="Q13084">
        <v>0</v>
      </c>
      <c r="R13084">
        <v>45</v>
      </c>
      <c r="S13084">
        <v>45</v>
      </c>
      <c r="T13084" t="s">
        <v>46694</v>
      </c>
    </row>
    <row r="13085" spans="1:20" customFormat="1" ht="15" x14ac:dyDescent="0.25">
      <c r="A13085" t="s">
        <v>35</v>
      </c>
      <c r="B13085" t="s">
        <v>61</v>
      </c>
      <c r="C13085" t="str">
        <f>"A0131534"</f>
        <v>A0131534</v>
      </c>
      <c r="D13085" t="s">
        <v>46695</v>
      </c>
      <c r="E13085" t="s">
        <v>46696</v>
      </c>
      <c r="F13085" t="s">
        <v>15482</v>
      </c>
      <c r="G13085" t="s">
        <v>381</v>
      </c>
      <c r="H13085">
        <v>463100000</v>
      </c>
      <c r="I13085" t="s">
        <v>30</v>
      </c>
      <c r="J13085" t="s">
        <v>41</v>
      </c>
      <c r="K13085" t="s">
        <v>229</v>
      </c>
      <c r="Q13085">
        <v>0</v>
      </c>
      <c r="R13085">
        <v>39</v>
      </c>
      <c r="S13085">
        <v>39</v>
      </c>
      <c r="T13085" t="s">
        <v>46697</v>
      </c>
    </row>
    <row r="13086" spans="1:20" customFormat="1" ht="15" x14ac:dyDescent="0.25">
      <c r="A13086" t="s">
        <v>35</v>
      </c>
      <c r="B13086" t="s">
        <v>61</v>
      </c>
      <c r="C13086" t="str">
        <f>"A0123863"</f>
        <v>A0123863</v>
      </c>
      <c r="D13086" t="s">
        <v>46698</v>
      </c>
      <c r="E13086" t="s">
        <v>46699</v>
      </c>
      <c r="F13086" t="s">
        <v>3093</v>
      </c>
      <c r="G13086" t="s">
        <v>29</v>
      </c>
      <c r="H13086">
        <v>22980</v>
      </c>
      <c r="I13086" t="s">
        <v>30</v>
      </c>
      <c r="J13086" t="s">
        <v>41</v>
      </c>
      <c r="K13086" t="s">
        <v>482</v>
      </c>
      <c r="Q13086">
        <v>0</v>
      </c>
      <c r="R13086">
        <v>40</v>
      </c>
      <c r="S13086">
        <v>40</v>
      </c>
      <c r="T13086" t="s">
        <v>46700</v>
      </c>
    </row>
    <row r="13087" spans="1:20" customFormat="1" ht="15" x14ac:dyDescent="0.25">
      <c r="A13087" t="s">
        <v>35</v>
      </c>
      <c r="B13087" t="s">
        <v>61</v>
      </c>
      <c r="C13087" t="str">
        <f>"A0125693"</f>
        <v>A0125693</v>
      </c>
      <c r="D13087" t="s">
        <v>46701</v>
      </c>
      <c r="E13087" t="s">
        <v>46702</v>
      </c>
      <c r="F13087" t="s">
        <v>10252</v>
      </c>
      <c r="G13087" t="s">
        <v>29</v>
      </c>
      <c r="H13087">
        <v>24531</v>
      </c>
      <c r="I13087" t="s">
        <v>30</v>
      </c>
      <c r="J13087" t="s">
        <v>41</v>
      </c>
      <c r="K13087" t="s">
        <v>59</v>
      </c>
      <c r="Q13087">
        <v>0</v>
      </c>
      <c r="R13087">
        <v>63</v>
      </c>
      <c r="S13087">
        <v>63</v>
      </c>
      <c r="T13087" t="s">
        <v>46703</v>
      </c>
    </row>
    <row r="13088" spans="1:20" customFormat="1" ht="15" x14ac:dyDescent="0.25">
      <c r="A13088" t="s">
        <v>35</v>
      </c>
      <c r="B13088" t="s">
        <v>61</v>
      </c>
      <c r="C13088" t="str">
        <f>"A0124624"</f>
        <v>A0124624</v>
      </c>
      <c r="D13088" t="s">
        <v>46704</v>
      </c>
      <c r="E13088" t="s">
        <v>46705</v>
      </c>
      <c r="F13088" t="s">
        <v>39281</v>
      </c>
      <c r="G13088" t="s">
        <v>1369</v>
      </c>
      <c r="H13088">
        <v>38740</v>
      </c>
      <c r="I13088" t="s">
        <v>30</v>
      </c>
      <c r="J13088" t="s">
        <v>41</v>
      </c>
      <c r="K13088" t="s">
        <v>229</v>
      </c>
      <c r="Q13088">
        <v>0</v>
      </c>
      <c r="R13088">
        <v>60</v>
      </c>
      <c r="S13088">
        <v>60</v>
      </c>
      <c r="T13088" t="s">
        <v>46706</v>
      </c>
    </row>
    <row r="13089" spans="1:20" customFormat="1" ht="15" x14ac:dyDescent="0.25">
      <c r="A13089" t="s">
        <v>35</v>
      </c>
      <c r="B13089" t="s">
        <v>61</v>
      </c>
      <c r="C13089" t="str">
        <f>"A0123864"</f>
        <v>A0123864</v>
      </c>
      <c r="D13089" t="s">
        <v>46707</v>
      </c>
      <c r="E13089" t="s">
        <v>46708</v>
      </c>
      <c r="F13089" t="s">
        <v>93</v>
      </c>
      <c r="G13089" t="s">
        <v>214</v>
      </c>
      <c r="H13089">
        <v>27834</v>
      </c>
      <c r="I13089" t="s">
        <v>30</v>
      </c>
      <c r="J13089" t="s">
        <v>41</v>
      </c>
      <c r="K13089" t="s">
        <v>482</v>
      </c>
      <c r="Q13089">
        <v>0</v>
      </c>
      <c r="R13089">
        <v>50</v>
      </c>
      <c r="S13089">
        <v>50</v>
      </c>
      <c r="T13089" t="s">
        <v>46709</v>
      </c>
    </row>
    <row r="13090" spans="1:20" customFormat="1" ht="15" x14ac:dyDescent="0.25">
      <c r="A13090" t="s">
        <v>35</v>
      </c>
      <c r="B13090" t="s">
        <v>61</v>
      </c>
      <c r="C13090" t="str">
        <f>"A0128892"</f>
        <v>A0128892</v>
      </c>
      <c r="D13090" t="s">
        <v>20215</v>
      </c>
      <c r="E13090" t="s">
        <v>46710</v>
      </c>
      <c r="F13090" t="s">
        <v>26949</v>
      </c>
      <c r="G13090" t="s">
        <v>289</v>
      </c>
      <c r="H13090">
        <v>62298</v>
      </c>
      <c r="I13090" t="s">
        <v>30</v>
      </c>
      <c r="J13090" t="s">
        <v>41</v>
      </c>
      <c r="K13090" t="s">
        <v>229</v>
      </c>
      <c r="Q13090">
        <v>0</v>
      </c>
      <c r="R13090">
        <v>210</v>
      </c>
      <c r="S13090">
        <v>210</v>
      </c>
      <c r="T13090" t="s">
        <v>46711</v>
      </c>
    </row>
    <row r="13091" spans="1:20" customFormat="1" ht="15" x14ac:dyDescent="0.25">
      <c r="A13091" t="s">
        <v>35</v>
      </c>
      <c r="B13091" t="s">
        <v>61</v>
      </c>
      <c r="C13091" t="str">
        <f>"A0123865"</f>
        <v>A0123865</v>
      </c>
      <c r="D13091" t="s">
        <v>46712</v>
      </c>
      <c r="E13091" t="s">
        <v>46713</v>
      </c>
      <c r="F13091" t="s">
        <v>46714</v>
      </c>
      <c r="G13091" t="s">
        <v>214</v>
      </c>
      <c r="H13091">
        <v>27501</v>
      </c>
      <c r="I13091" t="s">
        <v>30</v>
      </c>
      <c r="J13091" t="s">
        <v>41</v>
      </c>
      <c r="K13091" t="s">
        <v>482</v>
      </c>
      <c r="Q13091">
        <v>0</v>
      </c>
      <c r="R13091">
        <v>100</v>
      </c>
      <c r="S13091">
        <v>100</v>
      </c>
      <c r="T13091" t="s">
        <v>46715</v>
      </c>
    </row>
    <row r="13092" spans="1:20" customFormat="1" ht="15" x14ac:dyDescent="0.25">
      <c r="A13092" t="s">
        <v>35</v>
      </c>
      <c r="B13092" t="s">
        <v>61</v>
      </c>
      <c r="C13092" t="str">
        <f>"A0131176"</f>
        <v>A0131176</v>
      </c>
      <c r="D13092" t="s">
        <v>46716</v>
      </c>
      <c r="E13092" t="s">
        <v>46717</v>
      </c>
      <c r="F13092" t="s">
        <v>46718</v>
      </c>
      <c r="G13092" t="s">
        <v>137</v>
      </c>
      <c r="H13092">
        <v>63135</v>
      </c>
      <c r="I13092" t="s">
        <v>30</v>
      </c>
      <c r="J13092" t="s">
        <v>41</v>
      </c>
      <c r="K13092" t="s">
        <v>229</v>
      </c>
      <c r="Q13092">
        <v>0</v>
      </c>
      <c r="R13092">
        <v>40</v>
      </c>
      <c r="S13092">
        <v>40</v>
      </c>
      <c r="T13092" t="s">
        <v>37063</v>
      </c>
    </row>
    <row r="13093" spans="1:20" customFormat="1" ht="15" x14ac:dyDescent="0.25">
      <c r="A13093" t="s">
        <v>35</v>
      </c>
      <c r="B13093" t="s">
        <v>61</v>
      </c>
      <c r="C13093" t="str">
        <f>"A0129185"</f>
        <v>A0129185</v>
      </c>
      <c r="D13093" t="s">
        <v>46719</v>
      </c>
      <c r="E13093" t="s">
        <v>46720</v>
      </c>
      <c r="F13093" t="s">
        <v>46721</v>
      </c>
      <c r="G13093" t="s">
        <v>289</v>
      </c>
      <c r="H13093">
        <v>61480</v>
      </c>
      <c r="I13093" t="s">
        <v>30</v>
      </c>
      <c r="J13093" t="s">
        <v>41</v>
      </c>
      <c r="K13093" t="s">
        <v>229</v>
      </c>
      <c r="Q13093">
        <v>0</v>
      </c>
      <c r="R13093">
        <v>60</v>
      </c>
      <c r="S13093">
        <v>60</v>
      </c>
      <c r="T13093" t="s">
        <v>46722</v>
      </c>
    </row>
    <row r="13094" spans="1:20" customFormat="1" ht="15" x14ac:dyDescent="0.25">
      <c r="A13094" t="s">
        <v>35</v>
      </c>
      <c r="B13094" t="s">
        <v>61</v>
      </c>
      <c r="C13094" t="str">
        <f>"A0125576"</f>
        <v>A0125576</v>
      </c>
      <c r="D13094" t="s">
        <v>46723</v>
      </c>
      <c r="E13094" t="s">
        <v>46724</v>
      </c>
      <c r="F13094" t="s">
        <v>46725</v>
      </c>
      <c r="G13094" t="s">
        <v>52</v>
      </c>
      <c r="H13094">
        <v>75961</v>
      </c>
      <c r="I13094" t="s">
        <v>30</v>
      </c>
      <c r="J13094" t="s">
        <v>41</v>
      </c>
      <c r="K13094" t="s">
        <v>229</v>
      </c>
      <c r="Q13094">
        <v>0</v>
      </c>
      <c r="R13094">
        <v>60</v>
      </c>
      <c r="S13094">
        <v>60</v>
      </c>
      <c r="T13094" t="s">
        <v>46726</v>
      </c>
    </row>
    <row r="13095" spans="1:20" customFormat="1" ht="15" x14ac:dyDescent="0.25">
      <c r="A13095" t="s">
        <v>35</v>
      </c>
      <c r="B13095" t="s">
        <v>61</v>
      </c>
      <c r="C13095" t="str">
        <f>"A0129243"</f>
        <v>A0129243</v>
      </c>
      <c r="D13095" t="s">
        <v>46727</v>
      </c>
      <c r="E13095" t="s">
        <v>46728</v>
      </c>
      <c r="F13095" t="s">
        <v>46729</v>
      </c>
      <c r="G13095" t="s">
        <v>289</v>
      </c>
      <c r="H13095">
        <v>60302</v>
      </c>
      <c r="I13095" t="s">
        <v>30</v>
      </c>
      <c r="J13095" t="s">
        <v>41</v>
      </c>
      <c r="K13095" t="s">
        <v>59</v>
      </c>
      <c r="Q13095">
        <v>0</v>
      </c>
      <c r="R13095">
        <v>191</v>
      </c>
      <c r="S13095">
        <v>191</v>
      </c>
      <c r="T13095" t="s">
        <v>46730</v>
      </c>
    </row>
    <row r="13096" spans="1:20" customFormat="1" ht="15" x14ac:dyDescent="0.25">
      <c r="A13096" t="s">
        <v>35</v>
      </c>
      <c r="B13096" t="s">
        <v>61</v>
      </c>
      <c r="C13096" t="str">
        <f>"A0125444"</f>
        <v>A0125444</v>
      </c>
      <c r="D13096" t="s">
        <v>46731</v>
      </c>
      <c r="E13096" t="s">
        <v>46732</v>
      </c>
      <c r="F13096" t="s">
        <v>36904</v>
      </c>
      <c r="G13096" t="s">
        <v>40</v>
      </c>
      <c r="H13096">
        <v>74883</v>
      </c>
      <c r="I13096" t="s">
        <v>30</v>
      </c>
      <c r="J13096" t="s">
        <v>41</v>
      </c>
      <c r="K13096" t="s">
        <v>131</v>
      </c>
      <c r="Q13096">
        <v>0</v>
      </c>
      <c r="R13096">
        <v>16</v>
      </c>
      <c r="S13096">
        <v>16</v>
      </c>
      <c r="T13096" t="s">
        <v>46733</v>
      </c>
    </row>
    <row r="13097" spans="1:20" customFormat="1" ht="15" x14ac:dyDescent="0.25">
      <c r="A13097" t="s">
        <v>35</v>
      </c>
      <c r="B13097" t="s">
        <v>61</v>
      </c>
      <c r="C13097" t="str">
        <f>"A0130433"</f>
        <v>A0130433</v>
      </c>
      <c r="D13097" t="s">
        <v>46734</v>
      </c>
      <c r="E13097" t="s">
        <v>46735</v>
      </c>
      <c r="F13097" t="s">
        <v>44915</v>
      </c>
      <c r="G13097" t="s">
        <v>161</v>
      </c>
      <c r="H13097">
        <v>553340000</v>
      </c>
      <c r="I13097" t="s">
        <v>30</v>
      </c>
      <c r="J13097" t="s">
        <v>41</v>
      </c>
      <c r="K13097" t="s">
        <v>229</v>
      </c>
      <c r="Q13097">
        <v>0</v>
      </c>
      <c r="R13097">
        <v>56</v>
      </c>
      <c r="S13097">
        <v>56</v>
      </c>
      <c r="T13097" t="s">
        <v>46736</v>
      </c>
    </row>
    <row r="13098" spans="1:20" customFormat="1" ht="15" x14ac:dyDescent="0.25">
      <c r="A13098" t="s">
        <v>35</v>
      </c>
      <c r="B13098" t="s">
        <v>61</v>
      </c>
      <c r="C13098" t="str">
        <f>"A0124514"</f>
        <v>A0124514</v>
      </c>
      <c r="D13098" t="s">
        <v>46737</v>
      </c>
      <c r="E13098" t="s">
        <v>46738</v>
      </c>
      <c r="F13098" t="s">
        <v>46739</v>
      </c>
      <c r="G13098" t="s">
        <v>1706</v>
      </c>
      <c r="H13098">
        <v>35021</v>
      </c>
      <c r="I13098" t="s">
        <v>30</v>
      </c>
      <c r="J13098" t="s">
        <v>41</v>
      </c>
      <c r="K13098" t="s">
        <v>229</v>
      </c>
      <c r="Q13098">
        <v>0</v>
      </c>
      <c r="R13098">
        <v>79</v>
      </c>
      <c r="S13098">
        <v>79</v>
      </c>
      <c r="T13098" t="s">
        <v>46740</v>
      </c>
    </row>
    <row r="13099" spans="1:20" customFormat="1" ht="15" x14ac:dyDescent="0.25">
      <c r="A13099" t="s">
        <v>35</v>
      </c>
      <c r="B13099" t="s">
        <v>61</v>
      </c>
      <c r="C13099" t="str">
        <f>"A0131325"</f>
        <v>A0131325</v>
      </c>
      <c r="D13099" t="s">
        <v>46741</v>
      </c>
      <c r="E13099" t="s">
        <v>46742</v>
      </c>
      <c r="F13099" t="s">
        <v>17069</v>
      </c>
      <c r="G13099" t="s">
        <v>137</v>
      </c>
      <c r="H13099">
        <v>651090000</v>
      </c>
      <c r="I13099" t="s">
        <v>30</v>
      </c>
      <c r="J13099" t="s">
        <v>41</v>
      </c>
      <c r="K13099" t="s">
        <v>229</v>
      </c>
      <c r="Q13099">
        <v>0</v>
      </c>
      <c r="R13099">
        <v>125</v>
      </c>
      <c r="S13099">
        <v>125</v>
      </c>
      <c r="T13099" t="s">
        <v>46743</v>
      </c>
    </row>
    <row r="13100" spans="1:20" customFormat="1" ht="15" x14ac:dyDescent="0.25">
      <c r="A13100" t="s">
        <v>35</v>
      </c>
      <c r="B13100" t="s">
        <v>61</v>
      </c>
      <c r="C13100" t="str">
        <f>"A0133541"</f>
        <v>A0133541</v>
      </c>
      <c r="D13100" t="s">
        <v>46744</v>
      </c>
      <c r="E13100" t="s">
        <v>46745</v>
      </c>
      <c r="F13100" t="s">
        <v>1423</v>
      </c>
      <c r="G13100" t="s">
        <v>52</v>
      </c>
      <c r="H13100">
        <v>78627</v>
      </c>
      <c r="I13100" t="s">
        <v>30</v>
      </c>
      <c r="J13100" t="s">
        <v>41</v>
      </c>
      <c r="K13100" t="s">
        <v>290</v>
      </c>
      <c r="Q13100">
        <v>0</v>
      </c>
      <c r="R13100">
        <v>0</v>
      </c>
      <c r="S13100">
        <v>0</v>
      </c>
      <c r="T13100" t="s">
        <v>46746</v>
      </c>
    </row>
    <row r="13101" spans="1:20" customFormat="1" ht="15" x14ac:dyDescent="0.25">
      <c r="A13101" t="s">
        <v>35</v>
      </c>
      <c r="B13101" t="s">
        <v>61</v>
      </c>
      <c r="C13101" t="str">
        <f>"A0118481"</f>
        <v>A0118481</v>
      </c>
      <c r="D13101" t="s">
        <v>46747</v>
      </c>
      <c r="E13101" t="s">
        <v>46748</v>
      </c>
      <c r="F13101" t="s">
        <v>12489</v>
      </c>
      <c r="G13101" t="s">
        <v>110</v>
      </c>
      <c r="H13101">
        <v>96003</v>
      </c>
      <c r="I13101" t="s">
        <v>30</v>
      </c>
      <c r="J13101" t="s">
        <v>41</v>
      </c>
      <c r="K13101" t="s">
        <v>59</v>
      </c>
      <c r="Q13101">
        <v>0</v>
      </c>
      <c r="R13101">
        <v>55</v>
      </c>
      <c r="S13101">
        <v>55</v>
      </c>
      <c r="T13101" t="s">
        <v>46749</v>
      </c>
    </row>
    <row r="13102" spans="1:20" customFormat="1" ht="15" x14ac:dyDescent="0.25">
      <c r="A13102" t="s">
        <v>35</v>
      </c>
      <c r="B13102" t="s">
        <v>61</v>
      </c>
      <c r="C13102" t="str">
        <f>"A0124880"</f>
        <v>A0124880</v>
      </c>
      <c r="D13102" t="s">
        <v>46750</v>
      </c>
      <c r="E13102" t="s">
        <v>46751</v>
      </c>
      <c r="F13102" t="s">
        <v>15696</v>
      </c>
      <c r="G13102" t="s">
        <v>214</v>
      </c>
      <c r="H13102">
        <v>281390000</v>
      </c>
      <c r="I13102" t="s">
        <v>30</v>
      </c>
      <c r="J13102" t="s">
        <v>41</v>
      </c>
      <c r="K13102" t="s">
        <v>59</v>
      </c>
      <c r="Q13102">
        <v>0</v>
      </c>
      <c r="R13102">
        <v>44</v>
      </c>
      <c r="S13102">
        <v>44</v>
      </c>
      <c r="T13102" t="s">
        <v>46752</v>
      </c>
    </row>
    <row r="13103" spans="1:20" customFormat="1" ht="15" x14ac:dyDescent="0.25">
      <c r="A13103" t="s">
        <v>35</v>
      </c>
      <c r="B13103" t="s">
        <v>61</v>
      </c>
      <c r="C13103" t="str">
        <f>"A0130937"</f>
        <v>A0130937</v>
      </c>
      <c r="D13103" t="s">
        <v>46753</v>
      </c>
      <c r="E13103" t="s">
        <v>46754</v>
      </c>
      <c r="F13103" t="s">
        <v>36794</v>
      </c>
      <c r="G13103" t="s">
        <v>85</v>
      </c>
      <c r="H13103">
        <v>716010000</v>
      </c>
      <c r="I13103" t="s">
        <v>30</v>
      </c>
      <c r="J13103" t="s">
        <v>41</v>
      </c>
      <c r="K13103" t="s">
        <v>2760</v>
      </c>
      <c r="Q13103">
        <v>0</v>
      </c>
      <c r="R13103">
        <v>1</v>
      </c>
      <c r="S13103">
        <v>1</v>
      </c>
      <c r="T13103" t="s">
        <v>46755</v>
      </c>
    </row>
    <row r="13104" spans="1:20" customFormat="1" ht="15" x14ac:dyDescent="0.25">
      <c r="A13104" t="s">
        <v>35</v>
      </c>
      <c r="B13104" t="s">
        <v>61</v>
      </c>
      <c r="C13104" t="str">
        <f>"A0125976"</f>
        <v>A0125976</v>
      </c>
      <c r="D13104" t="s">
        <v>46756</v>
      </c>
      <c r="E13104" t="s">
        <v>46757</v>
      </c>
      <c r="F13104" t="s">
        <v>1916</v>
      </c>
      <c r="G13104" t="s">
        <v>29</v>
      </c>
      <c r="H13104">
        <v>24201</v>
      </c>
      <c r="I13104" t="s">
        <v>30</v>
      </c>
      <c r="J13104" t="s">
        <v>41</v>
      </c>
      <c r="K13104" t="s">
        <v>482</v>
      </c>
      <c r="Q13104">
        <v>0</v>
      </c>
      <c r="R13104">
        <v>100</v>
      </c>
      <c r="S13104">
        <v>100</v>
      </c>
      <c r="T13104" t="s">
        <v>46758</v>
      </c>
    </row>
    <row r="13105" spans="1:20" customFormat="1" ht="15" x14ac:dyDescent="0.25">
      <c r="A13105" t="s">
        <v>35</v>
      </c>
      <c r="B13105" t="s">
        <v>9648</v>
      </c>
      <c r="C13105" t="str">
        <f>"A0150521"</f>
        <v>A0150521</v>
      </c>
      <c r="D13105" t="s">
        <v>46759</v>
      </c>
      <c r="E13105" t="s">
        <v>46760</v>
      </c>
      <c r="F13105" t="s">
        <v>20621</v>
      </c>
      <c r="G13105" t="s">
        <v>103</v>
      </c>
      <c r="H13105">
        <v>15139</v>
      </c>
      <c r="I13105" t="s">
        <v>30</v>
      </c>
      <c r="J13105" t="s">
        <v>41</v>
      </c>
      <c r="K13105" t="s">
        <v>229</v>
      </c>
      <c r="Q13105">
        <v>0</v>
      </c>
      <c r="R13105">
        <v>85</v>
      </c>
      <c r="S13105">
        <v>85</v>
      </c>
      <c r="T13105" t="s">
        <v>46761</v>
      </c>
    </row>
    <row r="13106" spans="1:20" customFormat="1" ht="15" x14ac:dyDescent="0.25">
      <c r="A13106" t="s">
        <v>35</v>
      </c>
      <c r="B13106" t="s">
        <v>61</v>
      </c>
      <c r="C13106" t="str">
        <f>"A0128732"</f>
        <v>A0128732</v>
      </c>
      <c r="D13106" t="s">
        <v>46762</v>
      </c>
      <c r="E13106" t="s">
        <v>46763</v>
      </c>
      <c r="F13106" t="s">
        <v>46764</v>
      </c>
      <c r="G13106" t="s">
        <v>1170</v>
      </c>
      <c r="H13106">
        <v>713500000</v>
      </c>
      <c r="I13106" t="s">
        <v>30</v>
      </c>
      <c r="J13106" t="s">
        <v>41</v>
      </c>
      <c r="K13106" t="s">
        <v>59</v>
      </c>
      <c r="Q13106">
        <v>0</v>
      </c>
      <c r="R13106">
        <v>39</v>
      </c>
      <c r="S13106">
        <v>39</v>
      </c>
      <c r="T13106" t="s">
        <v>46765</v>
      </c>
    </row>
    <row r="13107" spans="1:20" customFormat="1" ht="15" x14ac:dyDescent="0.25">
      <c r="A13107" t="s">
        <v>35</v>
      </c>
      <c r="B13107" t="s">
        <v>7359</v>
      </c>
      <c r="C13107" t="str">
        <f>"A0119125"</f>
        <v>A0119125</v>
      </c>
      <c r="D13107" t="s">
        <v>46766</v>
      </c>
      <c r="E13107" t="s">
        <v>46767</v>
      </c>
      <c r="F13107" t="s">
        <v>21823</v>
      </c>
      <c r="G13107" t="s">
        <v>110</v>
      </c>
      <c r="H13107">
        <v>94501</v>
      </c>
      <c r="I13107" t="s">
        <v>30</v>
      </c>
      <c r="J13107" t="s">
        <v>41</v>
      </c>
      <c r="K13107" t="s">
        <v>59</v>
      </c>
      <c r="Q13107">
        <v>0</v>
      </c>
      <c r="R13107">
        <v>100</v>
      </c>
      <c r="S13107">
        <v>100</v>
      </c>
      <c r="T13107" t="s">
        <v>46768</v>
      </c>
    </row>
    <row r="13108" spans="1:20" customFormat="1" ht="15" x14ac:dyDescent="0.25">
      <c r="A13108" t="s">
        <v>35</v>
      </c>
      <c r="B13108" t="s">
        <v>7359</v>
      </c>
      <c r="C13108" t="str">
        <f>"A0119137"</f>
        <v>A0119137</v>
      </c>
      <c r="D13108" t="s">
        <v>46769</v>
      </c>
      <c r="E13108" t="s">
        <v>46770</v>
      </c>
      <c r="F13108" t="s">
        <v>46771</v>
      </c>
      <c r="G13108" t="s">
        <v>110</v>
      </c>
      <c r="H13108">
        <v>91709</v>
      </c>
      <c r="I13108" t="s">
        <v>30</v>
      </c>
      <c r="J13108" t="s">
        <v>41</v>
      </c>
      <c r="K13108" t="s">
        <v>59</v>
      </c>
      <c r="Q13108">
        <v>0</v>
      </c>
      <c r="R13108">
        <v>136</v>
      </c>
      <c r="S13108">
        <v>136</v>
      </c>
      <c r="T13108" t="s">
        <v>46772</v>
      </c>
    </row>
    <row r="13109" spans="1:20" customFormat="1" ht="15" x14ac:dyDescent="0.25">
      <c r="A13109" t="s">
        <v>35</v>
      </c>
      <c r="B13109" t="s">
        <v>7359</v>
      </c>
      <c r="C13109" t="str">
        <f>"A0119151"</f>
        <v>A0119151</v>
      </c>
      <c r="D13109" t="s">
        <v>46773</v>
      </c>
      <c r="E13109" t="s">
        <v>46774</v>
      </c>
      <c r="F13109" t="s">
        <v>21823</v>
      </c>
      <c r="G13109" t="s">
        <v>110</v>
      </c>
      <c r="H13109">
        <v>94501</v>
      </c>
      <c r="I13109" t="s">
        <v>30</v>
      </c>
      <c r="J13109" t="s">
        <v>41</v>
      </c>
      <c r="K13109" t="s">
        <v>59</v>
      </c>
      <c r="Q13109">
        <v>0</v>
      </c>
      <c r="R13109">
        <v>75</v>
      </c>
      <c r="S13109">
        <v>75</v>
      </c>
      <c r="T13109" t="s">
        <v>46775</v>
      </c>
    </row>
    <row r="13110" spans="1:20" customFormat="1" ht="15" x14ac:dyDescent="0.25">
      <c r="A13110" t="s">
        <v>35</v>
      </c>
      <c r="B13110" t="s">
        <v>7359</v>
      </c>
      <c r="C13110" t="str">
        <f>"A0119153"</f>
        <v>A0119153</v>
      </c>
      <c r="D13110" t="s">
        <v>46776</v>
      </c>
      <c r="E13110" t="s">
        <v>46777</v>
      </c>
      <c r="F13110" t="s">
        <v>6224</v>
      </c>
      <c r="G13110" t="s">
        <v>110</v>
      </c>
      <c r="H13110">
        <v>92260</v>
      </c>
      <c r="I13110" t="s">
        <v>30</v>
      </c>
      <c r="J13110" t="s">
        <v>41</v>
      </c>
      <c r="K13110" t="s">
        <v>59</v>
      </c>
      <c r="Q13110">
        <v>0</v>
      </c>
      <c r="R13110">
        <v>140</v>
      </c>
      <c r="S13110">
        <v>140</v>
      </c>
      <c r="T13110" t="s">
        <v>46778</v>
      </c>
    </row>
    <row r="13111" spans="1:20" customFormat="1" ht="15" x14ac:dyDescent="0.25">
      <c r="A13111" t="s">
        <v>35</v>
      </c>
      <c r="B13111" t="s">
        <v>61</v>
      </c>
      <c r="C13111" t="str">
        <f>"A0119147"</f>
        <v>A0119147</v>
      </c>
      <c r="D13111" t="s">
        <v>7359</v>
      </c>
      <c r="E13111" t="s">
        <v>46779</v>
      </c>
      <c r="F13111" t="s">
        <v>46780</v>
      </c>
      <c r="G13111" t="s">
        <v>110</v>
      </c>
      <c r="H13111">
        <v>94592</v>
      </c>
      <c r="I13111" t="s">
        <v>30</v>
      </c>
      <c r="J13111" t="s">
        <v>41</v>
      </c>
      <c r="K13111" t="s">
        <v>290</v>
      </c>
      <c r="Q13111">
        <v>0</v>
      </c>
      <c r="R13111">
        <v>1</v>
      </c>
      <c r="S13111">
        <v>1</v>
      </c>
      <c r="T13111" t="s">
        <v>46781</v>
      </c>
    </row>
    <row r="13112" spans="1:20" customFormat="1" ht="15" x14ac:dyDescent="0.25">
      <c r="A13112" t="s">
        <v>35</v>
      </c>
      <c r="B13112" t="s">
        <v>61</v>
      </c>
      <c r="C13112" t="str">
        <f>"A0130337"</f>
        <v>A0130337</v>
      </c>
      <c r="D13112" t="s">
        <v>46782</v>
      </c>
      <c r="E13112" t="s">
        <v>46783</v>
      </c>
      <c r="F13112" t="s">
        <v>39147</v>
      </c>
      <c r="G13112" t="s">
        <v>1898</v>
      </c>
      <c r="H13112">
        <v>52246</v>
      </c>
      <c r="I13112" t="s">
        <v>30</v>
      </c>
      <c r="J13112" t="s">
        <v>41</v>
      </c>
      <c r="K13112" t="s">
        <v>59</v>
      </c>
      <c r="Q13112">
        <v>0</v>
      </c>
      <c r="R13112">
        <v>48</v>
      </c>
      <c r="S13112">
        <v>48</v>
      </c>
      <c r="T13112" t="s">
        <v>46784</v>
      </c>
    </row>
    <row r="13113" spans="1:20" customFormat="1" ht="15" x14ac:dyDescent="0.25">
      <c r="A13113" t="s">
        <v>35</v>
      </c>
      <c r="B13113" t="s">
        <v>61</v>
      </c>
      <c r="C13113" t="str">
        <f>"A0130484"</f>
        <v>A0130484</v>
      </c>
      <c r="D13113" t="s">
        <v>46782</v>
      </c>
      <c r="E13113" t="s">
        <v>46785</v>
      </c>
      <c r="F13113" t="s">
        <v>39147</v>
      </c>
      <c r="G13113" t="s">
        <v>1898</v>
      </c>
      <c r="H13113">
        <v>52246</v>
      </c>
      <c r="I13113" t="s">
        <v>30</v>
      </c>
      <c r="J13113" t="s">
        <v>41</v>
      </c>
      <c r="K13113" t="s">
        <v>1440</v>
      </c>
      <c r="Q13113">
        <v>0</v>
      </c>
      <c r="R13113">
        <v>48</v>
      </c>
      <c r="S13113">
        <v>48</v>
      </c>
      <c r="T13113" t="s">
        <v>46784</v>
      </c>
    </row>
    <row r="13114" spans="1:20" customFormat="1" ht="15" x14ac:dyDescent="0.25">
      <c r="A13114" t="s">
        <v>35</v>
      </c>
      <c r="B13114" t="s">
        <v>61</v>
      </c>
      <c r="C13114" t="str">
        <f>"A0130580"</f>
        <v>A0130580</v>
      </c>
      <c r="D13114" t="s">
        <v>46786</v>
      </c>
      <c r="E13114" t="s">
        <v>46787</v>
      </c>
      <c r="F13114" t="s">
        <v>39147</v>
      </c>
      <c r="G13114" t="s">
        <v>1898</v>
      </c>
      <c r="H13114">
        <v>52246</v>
      </c>
      <c r="I13114" t="s">
        <v>30</v>
      </c>
      <c r="J13114" t="s">
        <v>41</v>
      </c>
      <c r="K13114" t="s">
        <v>1440</v>
      </c>
      <c r="Q13114">
        <v>0</v>
      </c>
      <c r="R13114">
        <v>0</v>
      </c>
      <c r="S13114">
        <v>0</v>
      </c>
      <c r="T13114" t="s">
        <v>46788</v>
      </c>
    </row>
    <row r="13115" spans="1:20" customFormat="1" ht="15" x14ac:dyDescent="0.25">
      <c r="A13115" t="s">
        <v>35</v>
      </c>
      <c r="B13115" t="s">
        <v>61</v>
      </c>
      <c r="C13115" t="str">
        <f>"A0133140"</f>
        <v>A0133140</v>
      </c>
      <c r="D13115" t="s">
        <v>46789</v>
      </c>
      <c r="E13115" t="s">
        <v>46790</v>
      </c>
      <c r="F13115" t="s">
        <v>46791</v>
      </c>
      <c r="G13115" t="s">
        <v>52</v>
      </c>
      <c r="H13115">
        <v>78611</v>
      </c>
      <c r="I13115" t="s">
        <v>30</v>
      </c>
      <c r="J13115" t="s">
        <v>41</v>
      </c>
      <c r="K13115" t="s">
        <v>229</v>
      </c>
      <c r="Q13115">
        <v>0</v>
      </c>
      <c r="R13115">
        <v>112</v>
      </c>
      <c r="S13115">
        <v>112</v>
      </c>
      <c r="T13115" t="s">
        <v>46792</v>
      </c>
    </row>
    <row r="13116" spans="1:20" customFormat="1" ht="15" x14ac:dyDescent="0.25">
      <c r="A13116" t="s">
        <v>35</v>
      </c>
      <c r="B13116" t="s">
        <v>61</v>
      </c>
      <c r="C13116" t="str">
        <f>"A0126619"</f>
        <v>A0126619</v>
      </c>
      <c r="D13116" t="s">
        <v>46793</v>
      </c>
      <c r="E13116" t="s">
        <v>46794</v>
      </c>
      <c r="F13116" t="s">
        <v>19624</v>
      </c>
      <c r="G13116" t="s">
        <v>103</v>
      </c>
      <c r="H13116">
        <v>19020</v>
      </c>
      <c r="I13116" t="s">
        <v>30</v>
      </c>
      <c r="J13116" t="s">
        <v>41</v>
      </c>
      <c r="K13116" t="s">
        <v>59</v>
      </c>
      <c r="Q13116">
        <v>0</v>
      </c>
      <c r="R13116">
        <v>95</v>
      </c>
      <c r="S13116">
        <v>95</v>
      </c>
      <c r="T13116" t="s">
        <v>46795</v>
      </c>
    </row>
    <row r="13117" spans="1:20" customFormat="1" ht="15" x14ac:dyDescent="0.25">
      <c r="A13117" t="s">
        <v>35</v>
      </c>
      <c r="B13117" t="s">
        <v>437</v>
      </c>
      <c r="C13117" t="str">
        <f>"A0135152"</f>
        <v>A0135152</v>
      </c>
      <c r="D13117" t="s">
        <v>46796</v>
      </c>
      <c r="E13117" t="s">
        <v>46797</v>
      </c>
      <c r="F13117" t="s">
        <v>41368</v>
      </c>
      <c r="G13117" t="s">
        <v>110</v>
      </c>
      <c r="H13117">
        <v>92315</v>
      </c>
      <c r="I13117" t="s">
        <v>30</v>
      </c>
      <c r="J13117" t="s">
        <v>441</v>
      </c>
      <c r="K13117" t="s">
        <v>442</v>
      </c>
      <c r="Q13117">
        <v>0</v>
      </c>
      <c r="R13117">
        <v>0</v>
      </c>
      <c r="S13117">
        <v>0</v>
      </c>
      <c r="T13117" t="s">
        <v>46798</v>
      </c>
    </row>
    <row r="13118" spans="1:20" customFormat="1" ht="15" x14ac:dyDescent="0.25">
      <c r="A13118" t="s">
        <v>35</v>
      </c>
      <c r="B13118" t="s">
        <v>61</v>
      </c>
      <c r="C13118" t="str">
        <f>"A0123460"</f>
        <v>A0123460</v>
      </c>
      <c r="D13118" t="s">
        <v>46799</v>
      </c>
      <c r="E13118" t="s">
        <v>46800</v>
      </c>
      <c r="F13118" t="s">
        <v>15622</v>
      </c>
      <c r="G13118" t="s">
        <v>29</v>
      </c>
      <c r="H13118">
        <v>23509</v>
      </c>
      <c r="I13118" t="s">
        <v>30</v>
      </c>
      <c r="J13118" t="s">
        <v>41</v>
      </c>
      <c r="K13118" t="s">
        <v>482</v>
      </c>
      <c r="Q13118">
        <v>0</v>
      </c>
      <c r="R13118">
        <v>100</v>
      </c>
      <c r="S13118">
        <v>100</v>
      </c>
      <c r="T13118" t="s">
        <v>46801</v>
      </c>
    </row>
    <row r="13119" spans="1:20" customFormat="1" ht="15" x14ac:dyDescent="0.25">
      <c r="A13119" t="s">
        <v>35</v>
      </c>
      <c r="B13119" t="s">
        <v>61</v>
      </c>
      <c r="C13119" t="str">
        <f>"A0124473"</f>
        <v>A0124473</v>
      </c>
      <c r="D13119" t="s">
        <v>46802</v>
      </c>
      <c r="E13119" t="s">
        <v>46803</v>
      </c>
      <c r="F13119" t="s">
        <v>959</v>
      </c>
      <c r="G13119" t="s">
        <v>1706</v>
      </c>
      <c r="H13119">
        <v>363600000</v>
      </c>
      <c r="I13119" t="s">
        <v>30</v>
      </c>
      <c r="J13119" t="s">
        <v>41</v>
      </c>
      <c r="K13119" t="s">
        <v>229</v>
      </c>
      <c r="Q13119">
        <v>0</v>
      </c>
      <c r="R13119">
        <v>114</v>
      </c>
      <c r="S13119">
        <v>114</v>
      </c>
      <c r="T13119" t="s">
        <v>46804</v>
      </c>
    </row>
    <row r="13120" spans="1:20" customFormat="1" ht="15" x14ac:dyDescent="0.25">
      <c r="A13120" t="s">
        <v>35</v>
      </c>
      <c r="B13120" t="s">
        <v>61</v>
      </c>
      <c r="C13120" t="str">
        <f>"A0130401"</f>
        <v>A0130401</v>
      </c>
      <c r="D13120" t="s">
        <v>46805</v>
      </c>
      <c r="E13120" t="s">
        <v>46806</v>
      </c>
      <c r="F13120" t="s">
        <v>46807</v>
      </c>
      <c r="G13120" t="s">
        <v>1898</v>
      </c>
      <c r="H13120">
        <v>506210000</v>
      </c>
      <c r="I13120" t="s">
        <v>30</v>
      </c>
      <c r="J13120" t="s">
        <v>41</v>
      </c>
      <c r="K13120" t="s">
        <v>229</v>
      </c>
      <c r="Q13120">
        <v>0</v>
      </c>
      <c r="R13120">
        <v>46</v>
      </c>
      <c r="S13120">
        <v>46</v>
      </c>
      <c r="T13120" t="s">
        <v>46808</v>
      </c>
    </row>
    <row r="13121" spans="1:20" customFormat="1" ht="15" x14ac:dyDescent="0.25">
      <c r="A13121" t="s">
        <v>35</v>
      </c>
      <c r="B13121" t="s">
        <v>61</v>
      </c>
      <c r="C13121" t="str">
        <f>"A0124062"</f>
        <v>A0124062</v>
      </c>
      <c r="D13121" t="s">
        <v>46809</v>
      </c>
      <c r="E13121" t="s">
        <v>46810</v>
      </c>
      <c r="F13121" t="s">
        <v>46811</v>
      </c>
      <c r="G13121" t="s">
        <v>58</v>
      </c>
      <c r="H13121">
        <v>29680</v>
      </c>
      <c r="I13121" t="s">
        <v>30</v>
      </c>
      <c r="J13121" t="s">
        <v>41</v>
      </c>
      <c r="K13121" t="s">
        <v>482</v>
      </c>
      <c r="Q13121">
        <v>0</v>
      </c>
      <c r="R13121">
        <v>84</v>
      </c>
      <c r="S13121">
        <v>84</v>
      </c>
    </row>
    <row r="13122" spans="1:20" customFormat="1" ht="15" x14ac:dyDescent="0.25">
      <c r="A13122" t="s">
        <v>35</v>
      </c>
      <c r="B13122" t="s">
        <v>61</v>
      </c>
      <c r="C13122" t="str">
        <f>"A0125880"</f>
        <v>A0125880</v>
      </c>
      <c r="D13122" t="s">
        <v>46812</v>
      </c>
      <c r="E13122" t="s">
        <v>46813</v>
      </c>
      <c r="F13122" t="s">
        <v>4082</v>
      </c>
      <c r="G13122" t="s">
        <v>123</v>
      </c>
      <c r="H13122">
        <v>21220</v>
      </c>
      <c r="I13122" t="s">
        <v>30</v>
      </c>
      <c r="J13122" t="s">
        <v>41</v>
      </c>
      <c r="K13122" t="s">
        <v>229</v>
      </c>
      <c r="Q13122">
        <v>0</v>
      </c>
      <c r="R13122">
        <v>130</v>
      </c>
      <c r="S13122">
        <v>130</v>
      </c>
      <c r="T13122" t="s">
        <v>46814</v>
      </c>
    </row>
    <row r="13123" spans="1:20" customFormat="1" ht="15" x14ac:dyDescent="0.25">
      <c r="A13123" t="s">
        <v>35</v>
      </c>
      <c r="B13123" t="s">
        <v>54</v>
      </c>
      <c r="C13123" t="str">
        <f>"A0131426"</f>
        <v>A0131426</v>
      </c>
      <c r="D13123" t="s">
        <v>46815</v>
      </c>
      <c r="E13123" t="s">
        <v>46816</v>
      </c>
      <c r="F13123" t="s">
        <v>1655</v>
      </c>
      <c r="G13123" t="s">
        <v>137</v>
      </c>
      <c r="H13123">
        <v>63121</v>
      </c>
      <c r="I13123" t="s">
        <v>30</v>
      </c>
      <c r="J13123" t="s">
        <v>41</v>
      </c>
      <c r="K13123" t="s">
        <v>229</v>
      </c>
      <c r="Q13123">
        <v>0</v>
      </c>
      <c r="R13123">
        <v>115</v>
      </c>
      <c r="S13123">
        <v>115</v>
      </c>
      <c r="T13123" t="s">
        <v>46817</v>
      </c>
    </row>
    <row r="13124" spans="1:20" customFormat="1" ht="15" x14ac:dyDescent="0.25">
      <c r="A13124" t="s">
        <v>35</v>
      </c>
      <c r="B13124" t="s">
        <v>61</v>
      </c>
      <c r="C13124" t="str">
        <f>"A0127078"</f>
        <v>A0127078</v>
      </c>
      <c r="D13124" t="s">
        <v>46818</v>
      </c>
      <c r="E13124" t="s">
        <v>46819</v>
      </c>
      <c r="F13124" t="s">
        <v>1948</v>
      </c>
      <c r="G13124" t="s">
        <v>338</v>
      </c>
      <c r="H13124">
        <v>8701</v>
      </c>
      <c r="I13124" t="s">
        <v>30</v>
      </c>
      <c r="J13124" t="s">
        <v>41</v>
      </c>
      <c r="K13124" t="s">
        <v>229</v>
      </c>
      <c r="Q13124">
        <v>0</v>
      </c>
      <c r="R13124">
        <v>148</v>
      </c>
      <c r="S13124">
        <v>148</v>
      </c>
      <c r="T13124" t="s">
        <v>46820</v>
      </c>
    </row>
    <row r="13125" spans="1:20" customFormat="1" ht="15" x14ac:dyDescent="0.25">
      <c r="A13125" t="s">
        <v>35</v>
      </c>
      <c r="B13125" t="s">
        <v>61</v>
      </c>
      <c r="C13125" t="str">
        <f>"A0131597"</f>
        <v>A0131597</v>
      </c>
      <c r="D13125" t="s">
        <v>46821</v>
      </c>
      <c r="E13125" t="s">
        <v>46822</v>
      </c>
      <c r="F13125" t="s">
        <v>12071</v>
      </c>
      <c r="G13125" t="s">
        <v>381</v>
      </c>
      <c r="H13125">
        <v>47714</v>
      </c>
      <c r="I13125" t="s">
        <v>30</v>
      </c>
      <c r="J13125" t="s">
        <v>41</v>
      </c>
      <c r="K13125" t="s">
        <v>59</v>
      </c>
      <c r="Q13125">
        <v>0</v>
      </c>
      <c r="R13125">
        <v>100</v>
      </c>
      <c r="S13125">
        <v>100</v>
      </c>
      <c r="T13125" t="s">
        <v>46823</v>
      </c>
    </row>
    <row r="13126" spans="1:20" customFormat="1" ht="15" x14ac:dyDescent="0.25">
      <c r="A13126" t="s">
        <v>35</v>
      </c>
      <c r="B13126" t="s">
        <v>61</v>
      </c>
      <c r="C13126" t="str">
        <f>"A0129941"</f>
        <v>A0129941</v>
      </c>
      <c r="D13126" t="s">
        <v>46824</v>
      </c>
      <c r="E13126" t="s">
        <v>46825</v>
      </c>
      <c r="F13126" t="s">
        <v>20144</v>
      </c>
      <c r="G13126" t="s">
        <v>880</v>
      </c>
      <c r="H13126">
        <v>382619737</v>
      </c>
      <c r="I13126" t="s">
        <v>30</v>
      </c>
      <c r="J13126" t="s">
        <v>41</v>
      </c>
      <c r="K13126" t="s">
        <v>229</v>
      </c>
      <c r="Q13126">
        <v>0</v>
      </c>
      <c r="R13126">
        <v>52</v>
      </c>
      <c r="S13126">
        <v>52</v>
      </c>
      <c r="T13126" t="s">
        <v>46826</v>
      </c>
    </row>
    <row r="13127" spans="1:20" customFormat="1" ht="15" x14ac:dyDescent="0.25">
      <c r="A13127" t="s">
        <v>35</v>
      </c>
      <c r="B13127" t="s">
        <v>61</v>
      </c>
      <c r="C13127" t="str">
        <f>"A0128765"</f>
        <v>A0128765</v>
      </c>
      <c r="D13127" t="s">
        <v>46827</v>
      </c>
      <c r="E13127" t="s">
        <v>46828</v>
      </c>
      <c r="F13127" t="s">
        <v>25495</v>
      </c>
      <c r="G13127" t="s">
        <v>1170</v>
      </c>
      <c r="H13127">
        <v>70802</v>
      </c>
      <c r="I13127" t="s">
        <v>30</v>
      </c>
      <c r="J13127" t="s">
        <v>41</v>
      </c>
      <c r="K13127" t="s">
        <v>104</v>
      </c>
      <c r="Q13127">
        <v>0</v>
      </c>
      <c r="R13127">
        <v>60</v>
      </c>
      <c r="S13127">
        <v>60</v>
      </c>
      <c r="T13127" t="s">
        <v>46829</v>
      </c>
    </row>
    <row r="13128" spans="1:20" customFormat="1" ht="15" x14ac:dyDescent="0.25">
      <c r="A13128" t="s">
        <v>35</v>
      </c>
      <c r="B13128" t="s">
        <v>106</v>
      </c>
      <c r="C13128" t="str">
        <f>"A0136033"</f>
        <v>A0136033</v>
      </c>
      <c r="D13128" t="s">
        <v>46830</v>
      </c>
      <c r="E13128" t="s">
        <v>46831</v>
      </c>
      <c r="F13128" t="s">
        <v>7362</v>
      </c>
      <c r="G13128" t="s">
        <v>110</v>
      </c>
      <c r="H13128">
        <v>90041</v>
      </c>
      <c r="I13128" t="s">
        <v>30</v>
      </c>
      <c r="J13128" t="s">
        <v>111</v>
      </c>
      <c r="K13128" t="s">
        <v>10012</v>
      </c>
      <c r="Q13128">
        <v>0</v>
      </c>
      <c r="R13128">
        <v>0</v>
      </c>
      <c r="S13128">
        <v>0</v>
      </c>
      <c r="T13128" t="s">
        <v>46832</v>
      </c>
    </row>
    <row r="13129" spans="1:20" customFormat="1" ht="15" x14ac:dyDescent="0.25">
      <c r="A13129" t="s">
        <v>35</v>
      </c>
      <c r="B13129" t="s">
        <v>106</v>
      </c>
      <c r="C13129" t="str">
        <f>"A0136036"</f>
        <v>A0136036</v>
      </c>
      <c r="D13129" t="s">
        <v>46833</v>
      </c>
      <c r="E13129" t="s">
        <v>46831</v>
      </c>
      <c r="F13129" t="s">
        <v>7362</v>
      </c>
      <c r="G13129" t="s">
        <v>110</v>
      </c>
      <c r="H13129">
        <v>900413314</v>
      </c>
      <c r="I13129" t="s">
        <v>30</v>
      </c>
      <c r="J13129" t="s">
        <v>111</v>
      </c>
      <c r="K13129" t="s">
        <v>112</v>
      </c>
      <c r="Q13129">
        <v>0</v>
      </c>
      <c r="R13129">
        <v>0</v>
      </c>
      <c r="S13129">
        <v>0</v>
      </c>
      <c r="T13129" t="s">
        <v>46832</v>
      </c>
    </row>
    <row r="13130" spans="1:20" customFormat="1" ht="15" x14ac:dyDescent="0.25">
      <c r="A13130" t="s">
        <v>35</v>
      </c>
      <c r="B13130" t="s">
        <v>106</v>
      </c>
      <c r="C13130" t="str">
        <f>"A0136034"</f>
        <v>A0136034</v>
      </c>
      <c r="D13130" t="s">
        <v>46834</v>
      </c>
      <c r="E13130" t="s">
        <v>46831</v>
      </c>
      <c r="F13130" t="s">
        <v>7362</v>
      </c>
      <c r="G13130" t="s">
        <v>110</v>
      </c>
      <c r="H13130">
        <v>90041</v>
      </c>
      <c r="I13130" t="s">
        <v>30</v>
      </c>
      <c r="J13130" t="s">
        <v>111</v>
      </c>
      <c r="K13130" t="s">
        <v>10012</v>
      </c>
      <c r="Q13130">
        <v>0</v>
      </c>
      <c r="R13130">
        <v>0</v>
      </c>
      <c r="S13130">
        <v>0</v>
      </c>
      <c r="T13130" t="s">
        <v>46832</v>
      </c>
    </row>
    <row r="13131" spans="1:20" customFormat="1" ht="15" x14ac:dyDescent="0.25">
      <c r="A13131" t="s">
        <v>35</v>
      </c>
      <c r="B13131" t="s">
        <v>106</v>
      </c>
      <c r="C13131" t="str">
        <f>"A0136035"</f>
        <v>A0136035</v>
      </c>
      <c r="D13131" t="s">
        <v>46835</v>
      </c>
      <c r="E13131" t="s">
        <v>46831</v>
      </c>
      <c r="F13131" t="s">
        <v>7362</v>
      </c>
      <c r="G13131" t="s">
        <v>110</v>
      </c>
      <c r="H13131">
        <v>900413314</v>
      </c>
      <c r="I13131" t="s">
        <v>30</v>
      </c>
      <c r="J13131" t="s">
        <v>111</v>
      </c>
      <c r="K13131" t="s">
        <v>10012</v>
      </c>
      <c r="Q13131">
        <v>0</v>
      </c>
      <c r="R13131">
        <v>0</v>
      </c>
      <c r="S13131">
        <v>0</v>
      </c>
      <c r="T13131" t="s">
        <v>46832</v>
      </c>
    </row>
    <row r="13132" spans="1:20" customFormat="1" ht="15" x14ac:dyDescent="0.25">
      <c r="A13132" t="s">
        <v>35</v>
      </c>
      <c r="B13132" t="s">
        <v>61</v>
      </c>
      <c r="C13132" t="str">
        <f>"A0118993"</f>
        <v>A0118993</v>
      </c>
      <c r="D13132" t="s">
        <v>46836</v>
      </c>
      <c r="E13132" t="s">
        <v>46837</v>
      </c>
      <c r="F13132" t="s">
        <v>14714</v>
      </c>
      <c r="G13132" t="s">
        <v>110</v>
      </c>
      <c r="H13132">
        <v>92648</v>
      </c>
      <c r="I13132" t="s">
        <v>30</v>
      </c>
      <c r="J13132" t="s">
        <v>41</v>
      </c>
      <c r="K13132" t="s">
        <v>10218</v>
      </c>
      <c r="Q13132">
        <v>0</v>
      </c>
      <c r="R13132">
        <v>0</v>
      </c>
      <c r="S13132">
        <v>0</v>
      </c>
      <c r="T13132" t="s">
        <v>46838</v>
      </c>
    </row>
    <row r="13133" spans="1:20" customFormat="1" ht="15" x14ac:dyDescent="0.25">
      <c r="A13133" t="s">
        <v>35</v>
      </c>
      <c r="B13133" t="s">
        <v>61</v>
      </c>
      <c r="C13133" t="str">
        <f>"A0117826"</f>
        <v>A0117826</v>
      </c>
      <c r="D13133" t="s">
        <v>46839</v>
      </c>
      <c r="E13133" t="s">
        <v>46840</v>
      </c>
      <c r="F13133" t="s">
        <v>21814</v>
      </c>
      <c r="G13133" t="s">
        <v>110</v>
      </c>
      <c r="H13133">
        <v>90405</v>
      </c>
      <c r="I13133" t="s">
        <v>30</v>
      </c>
      <c r="J13133" t="s">
        <v>41</v>
      </c>
      <c r="K13133" t="s">
        <v>229</v>
      </c>
      <c r="Q13133">
        <v>0</v>
      </c>
      <c r="R13133">
        <v>80</v>
      </c>
      <c r="S13133">
        <v>80</v>
      </c>
      <c r="T13133" t="s">
        <v>46841</v>
      </c>
    </row>
    <row r="13134" spans="1:20" customFormat="1" ht="15" x14ac:dyDescent="0.25">
      <c r="A13134" t="s">
        <v>35</v>
      </c>
      <c r="B13134" t="s">
        <v>61</v>
      </c>
      <c r="C13134" t="str">
        <f>"A0128700"</f>
        <v>A0128700</v>
      </c>
      <c r="D13134" t="s">
        <v>46842</v>
      </c>
      <c r="E13134" t="s">
        <v>46843</v>
      </c>
      <c r="F13134" t="s">
        <v>8103</v>
      </c>
      <c r="G13134" t="s">
        <v>1170</v>
      </c>
      <c r="H13134">
        <v>70056</v>
      </c>
      <c r="I13134" t="s">
        <v>30</v>
      </c>
      <c r="J13134" t="s">
        <v>41</v>
      </c>
      <c r="K13134" t="s">
        <v>418</v>
      </c>
      <c r="Q13134">
        <v>0</v>
      </c>
      <c r="R13134">
        <v>26</v>
      </c>
      <c r="S13134">
        <v>26</v>
      </c>
      <c r="T13134" t="s">
        <v>46844</v>
      </c>
    </row>
    <row r="13135" spans="1:20" customFormat="1" ht="15" x14ac:dyDescent="0.25">
      <c r="A13135" t="s">
        <v>35</v>
      </c>
      <c r="B13135" t="s">
        <v>61</v>
      </c>
      <c r="C13135" t="str">
        <f>"A0125530"</f>
        <v>A0125530</v>
      </c>
      <c r="D13135" t="s">
        <v>46845</v>
      </c>
      <c r="E13135" t="s">
        <v>46846</v>
      </c>
      <c r="F13135" t="s">
        <v>46847</v>
      </c>
      <c r="G13135" t="s">
        <v>4815</v>
      </c>
      <c r="H13135">
        <v>96717</v>
      </c>
      <c r="I13135" t="s">
        <v>30</v>
      </c>
      <c r="J13135" t="s">
        <v>41</v>
      </c>
      <c r="K13135" t="s">
        <v>59</v>
      </c>
      <c r="Q13135">
        <v>0</v>
      </c>
      <c r="R13135">
        <v>140</v>
      </c>
      <c r="S13135">
        <v>140</v>
      </c>
      <c r="T13135" t="s">
        <v>46848</v>
      </c>
    </row>
    <row r="13136" spans="1:20" customFormat="1" ht="15" x14ac:dyDescent="0.25">
      <c r="A13136" t="s">
        <v>35</v>
      </c>
      <c r="B13136" t="s">
        <v>61</v>
      </c>
      <c r="C13136" t="str">
        <f>"A0152982"</f>
        <v>A0152982</v>
      </c>
      <c r="D13136" t="s">
        <v>46849</v>
      </c>
      <c r="E13136" t="s">
        <v>46850</v>
      </c>
      <c r="F13136" t="s">
        <v>3180</v>
      </c>
      <c r="G13136" t="s">
        <v>846</v>
      </c>
      <c r="H13136">
        <v>30165</v>
      </c>
      <c r="I13136" t="s">
        <v>30</v>
      </c>
      <c r="J13136" t="s">
        <v>41</v>
      </c>
      <c r="K13136" t="s">
        <v>229</v>
      </c>
      <c r="Q13136">
        <v>0</v>
      </c>
      <c r="R13136">
        <v>85</v>
      </c>
      <c r="S13136">
        <v>85</v>
      </c>
      <c r="T13136" t="s">
        <v>72</v>
      </c>
    </row>
    <row r="13137" spans="1:20" customFormat="1" ht="15" x14ac:dyDescent="0.25">
      <c r="A13137" t="s">
        <v>35</v>
      </c>
      <c r="B13137" t="s">
        <v>61</v>
      </c>
      <c r="C13137" t="str">
        <f>"A0125263"</f>
        <v>A0125263</v>
      </c>
      <c r="D13137" t="s">
        <v>46851</v>
      </c>
      <c r="E13137" t="s">
        <v>46852</v>
      </c>
      <c r="F13137" t="s">
        <v>4037</v>
      </c>
      <c r="G13137" t="s">
        <v>40</v>
      </c>
      <c r="H13137">
        <v>731390000</v>
      </c>
      <c r="I13137" t="s">
        <v>30</v>
      </c>
      <c r="J13137" t="s">
        <v>41</v>
      </c>
      <c r="K13137" t="s">
        <v>10218</v>
      </c>
      <c r="Q13137">
        <v>0</v>
      </c>
      <c r="R13137">
        <v>1</v>
      </c>
      <c r="S13137">
        <v>1</v>
      </c>
      <c r="T13137" t="s">
        <v>46853</v>
      </c>
    </row>
    <row r="13138" spans="1:20" customFormat="1" ht="15" x14ac:dyDescent="0.25">
      <c r="A13138" t="s">
        <v>35</v>
      </c>
      <c r="B13138" t="s">
        <v>61</v>
      </c>
      <c r="C13138" t="str">
        <f>"A0128932"</f>
        <v>A0128932</v>
      </c>
      <c r="D13138" t="s">
        <v>46854</v>
      </c>
      <c r="E13138" t="s">
        <v>46855</v>
      </c>
      <c r="F13138" t="s">
        <v>5292</v>
      </c>
      <c r="G13138" t="s">
        <v>289</v>
      </c>
      <c r="H13138">
        <v>62656</v>
      </c>
      <c r="I13138" t="s">
        <v>30</v>
      </c>
      <c r="J13138" t="s">
        <v>41</v>
      </c>
      <c r="K13138" t="s">
        <v>59</v>
      </c>
      <c r="Q13138">
        <v>0</v>
      </c>
      <c r="R13138">
        <v>124</v>
      </c>
      <c r="S13138">
        <v>124</v>
      </c>
      <c r="T13138" t="s">
        <v>46856</v>
      </c>
    </row>
    <row r="13139" spans="1:20" customFormat="1" ht="15" x14ac:dyDescent="0.25">
      <c r="A13139" t="s">
        <v>35</v>
      </c>
      <c r="B13139" t="s">
        <v>61</v>
      </c>
      <c r="C13139" t="str">
        <f>"A0129963"</f>
        <v>A0129963</v>
      </c>
      <c r="D13139" t="s">
        <v>46857</v>
      </c>
      <c r="E13139" t="s">
        <v>46858</v>
      </c>
      <c r="F13139" t="s">
        <v>1501</v>
      </c>
      <c r="G13139" t="s">
        <v>880</v>
      </c>
      <c r="H13139">
        <v>38126</v>
      </c>
      <c r="I13139" t="s">
        <v>30</v>
      </c>
      <c r="J13139" t="s">
        <v>41</v>
      </c>
      <c r="K13139" t="s">
        <v>2477</v>
      </c>
      <c r="Q13139">
        <v>0</v>
      </c>
      <c r="R13139">
        <v>0</v>
      </c>
      <c r="S13139">
        <v>0</v>
      </c>
      <c r="T13139" t="s">
        <v>45819</v>
      </c>
    </row>
    <row r="13140" spans="1:20" customFormat="1" ht="15" x14ac:dyDescent="0.25">
      <c r="A13140" t="s">
        <v>35</v>
      </c>
      <c r="B13140" t="s">
        <v>437</v>
      </c>
      <c r="C13140" t="str">
        <f>"A0133883"</f>
        <v>A0133883</v>
      </c>
      <c r="D13140" t="s">
        <v>46859</v>
      </c>
      <c r="E13140" t="s">
        <v>46860</v>
      </c>
      <c r="F13140" t="s">
        <v>46861</v>
      </c>
      <c r="G13140" t="s">
        <v>110</v>
      </c>
      <c r="H13140">
        <v>907010000</v>
      </c>
      <c r="I13140" t="s">
        <v>30</v>
      </c>
      <c r="J13140" t="s">
        <v>441</v>
      </c>
      <c r="K13140" t="s">
        <v>442</v>
      </c>
      <c r="Q13140">
        <v>0</v>
      </c>
      <c r="R13140">
        <v>0</v>
      </c>
      <c r="S13140">
        <v>0</v>
      </c>
      <c r="T13140" t="s">
        <v>46862</v>
      </c>
    </row>
    <row r="13141" spans="1:20" customFormat="1" ht="15" x14ac:dyDescent="0.25">
      <c r="A13141" t="s">
        <v>35</v>
      </c>
      <c r="B13141" t="s">
        <v>61</v>
      </c>
      <c r="C13141" t="str">
        <f>"A0130964"</f>
        <v>A0130964</v>
      </c>
      <c r="D13141" t="s">
        <v>46863</v>
      </c>
      <c r="E13141" t="s">
        <v>46864</v>
      </c>
      <c r="F13141" t="s">
        <v>14072</v>
      </c>
      <c r="G13141" t="s">
        <v>85</v>
      </c>
      <c r="H13141">
        <v>727570000</v>
      </c>
      <c r="I13141" t="s">
        <v>30</v>
      </c>
      <c r="J13141" t="s">
        <v>41</v>
      </c>
      <c r="K13141" t="s">
        <v>290</v>
      </c>
      <c r="Q13141">
        <v>0</v>
      </c>
      <c r="R13141">
        <v>1</v>
      </c>
      <c r="S13141">
        <v>1</v>
      </c>
      <c r="T13141" t="s">
        <v>46865</v>
      </c>
    </row>
    <row r="13142" spans="1:20" customFormat="1" ht="15" x14ac:dyDescent="0.25">
      <c r="A13142" t="s">
        <v>35</v>
      </c>
      <c r="B13142" t="s">
        <v>61</v>
      </c>
      <c r="C13142" t="str">
        <f>"A0123035"</f>
        <v>A0123035</v>
      </c>
      <c r="D13142" t="s">
        <v>46866</v>
      </c>
      <c r="E13142" t="s">
        <v>46867</v>
      </c>
      <c r="F13142" t="s">
        <v>12115</v>
      </c>
      <c r="G13142" t="s">
        <v>76</v>
      </c>
      <c r="H13142">
        <v>98907</v>
      </c>
      <c r="I13142" t="s">
        <v>30</v>
      </c>
      <c r="J13142" t="s">
        <v>41</v>
      </c>
      <c r="K13142" t="s">
        <v>66</v>
      </c>
      <c r="Q13142">
        <v>0</v>
      </c>
      <c r="R13142">
        <v>24</v>
      </c>
      <c r="S13142">
        <v>24</v>
      </c>
      <c r="T13142" t="s">
        <v>46868</v>
      </c>
    </row>
    <row r="13143" spans="1:20" customFormat="1" ht="15" x14ac:dyDescent="0.25">
      <c r="A13143" t="s">
        <v>35</v>
      </c>
      <c r="B13143" t="s">
        <v>61</v>
      </c>
      <c r="C13143" t="str">
        <f>"A0123034"</f>
        <v>A0123034</v>
      </c>
      <c r="D13143" t="s">
        <v>46869</v>
      </c>
      <c r="E13143" t="s">
        <v>46870</v>
      </c>
      <c r="F13143" t="s">
        <v>46871</v>
      </c>
      <c r="G13143" t="s">
        <v>76</v>
      </c>
      <c r="H13143">
        <v>98593</v>
      </c>
      <c r="I13143" t="s">
        <v>30</v>
      </c>
      <c r="J13143" t="s">
        <v>41</v>
      </c>
      <c r="K13143" t="s">
        <v>66</v>
      </c>
      <c r="Q13143">
        <v>0</v>
      </c>
      <c r="R13143">
        <v>24</v>
      </c>
      <c r="S13143">
        <v>24</v>
      </c>
      <c r="T13143" t="s">
        <v>46868</v>
      </c>
    </row>
    <row r="13144" spans="1:20" customFormat="1" ht="15" x14ac:dyDescent="0.25">
      <c r="A13144" t="s">
        <v>35</v>
      </c>
      <c r="B13144" t="s">
        <v>61</v>
      </c>
      <c r="C13144" t="str">
        <f>"A0132591"</f>
        <v>A0132591</v>
      </c>
      <c r="D13144" t="s">
        <v>46872</v>
      </c>
      <c r="E13144" t="s">
        <v>2622</v>
      </c>
      <c r="F13144" t="s">
        <v>2623</v>
      </c>
      <c r="G13144" t="s">
        <v>65</v>
      </c>
      <c r="H13144">
        <v>43050</v>
      </c>
      <c r="I13144" t="s">
        <v>30</v>
      </c>
      <c r="J13144" t="s">
        <v>41</v>
      </c>
      <c r="K13144" t="s">
        <v>229</v>
      </c>
      <c r="Q13144">
        <v>0</v>
      </c>
      <c r="R13144">
        <v>89</v>
      </c>
      <c r="S13144">
        <v>89</v>
      </c>
      <c r="T13144" t="s">
        <v>46873</v>
      </c>
    </row>
    <row r="13145" spans="1:20" customFormat="1" ht="15" x14ac:dyDescent="0.25">
      <c r="A13145" t="s">
        <v>35</v>
      </c>
      <c r="B13145" t="s">
        <v>61</v>
      </c>
      <c r="C13145" t="str">
        <f>"A0132693"</f>
        <v>A0132693</v>
      </c>
      <c r="D13145" t="s">
        <v>46874</v>
      </c>
      <c r="E13145" t="s">
        <v>46875</v>
      </c>
      <c r="F13145" t="s">
        <v>64</v>
      </c>
      <c r="G13145" t="s">
        <v>65</v>
      </c>
      <c r="H13145">
        <v>43223</v>
      </c>
      <c r="I13145" t="s">
        <v>30</v>
      </c>
      <c r="J13145" t="s">
        <v>41</v>
      </c>
      <c r="K13145" t="s">
        <v>2468</v>
      </c>
      <c r="Q13145">
        <v>0</v>
      </c>
      <c r="R13145">
        <v>130</v>
      </c>
      <c r="S13145">
        <v>130</v>
      </c>
      <c r="T13145" t="s">
        <v>46876</v>
      </c>
    </row>
    <row r="13146" spans="1:20" customFormat="1" ht="15" x14ac:dyDescent="0.25">
      <c r="A13146" t="s">
        <v>35</v>
      </c>
      <c r="B13146" t="s">
        <v>61</v>
      </c>
      <c r="C13146" t="str">
        <f>"A0132183"</f>
        <v>A0132183</v>
      </c>
      <c r="D13146" t="s">
        <v>46877</v>
      </c>
      <c r="E13146" t="s">
        <v>46878</v>
      </c>
      <c r="F13146" t="s">
        <v>40062</v>
      </c>
      <c r="G13146" t="s">
        <v>65</v>
      </c>
      <c r="H13146">
        <v>45068</v>
      </c>
      <c r="I13146" t="s">
        <v>30</v>
      </c>
      <c r="J13146" t="s">
        <v>41</v>
      </c>
      <c r="K13146" t="s">
        <v>229</v>
      </c>
      <c r="Q13146">
        <v>0</v>
      </c>
      <c r="R13146">
        <v>98</v>
      </c>
      <c r="S13146">
        <v>98</v>
      </c>
      <c r="T13146" t="s">
        <v>46879</v>
      </c>
    </row>
    <row r="13147" spans="1:20" customFormat="1" ht="15" x14ac:dyDescent="0.25">
      <c r="A13147" t="s">
        <v>35</v>
      </c>
      <c r="B13147" t="s">
        <v>61</v>
      </c>
      <c r="C13147" t="str">
        <f>"A0132209"</f>
        <v>A0132209</v>
      </c>
      <c r="D13147" t="s">
        <v>46880</v>
      </c>
      <c r="E13147" t="s">
        <v>46881</v>
      </c>
      <c r="F13147" t="s">
        <v>64</v>
      </c>
      <c r="G13147" t="s">
        <v>65</v>
      </c>
      <c r="H13147">
        <v>43220</v>
      </c>
      <c r="I13147" t="s">
        <v>30</v>
      </c>
      <c r="J13147" t="s">
        <v>41</v>
      </c>
      <c r="K13147" t="s">
        <v>10218</v>
      </c>
      <c r="Q13147">
        <v>0</v>
      </c>
      <c r="R13147">
        <v>1</v>
      </c>
      <c r="S13147">
        <v>1</v>
      </c>
      <c r="T13147" t="s">
        <v>35456</v>
      </c>
    </row>
    <row r="13148" spans="1:20" customFormat="1" ht="15" x14ac:dyDescent="0.25">
      <c r="A13148" t="s">
        <v>35</v>
      </c>
      <c r="B13148" t="s">
        <v>106</v>
      </c>
      <c r="C13148" t="str">
        <f>"A0136273"</f>
        <v>A0136273</v>
      </c>
      <c r="D13148" t="s">
        <v>46882</v>
      </c>
      <c r="E13148" t="s">
        <v>46883</v>
      </c>
      <c r="F13148" t="s">
        <v>4227</v>
      </c>
      <c r="G13148" t="s">
        <v>65</v>
      </c>
      <c r="H13148">
        <v>45701</v>
      </c>
      <c r="I13148" t="s">
        <v>30</v>
      </c>
      <c r="J13148" t="s">
        <v>111</v>
      </c>
      <c r="K13148" t="s">
        <v>10012</v>
      </c>
      <c r="Q13148">
        <v>0</v>
      </c>
      <c r="R13148">
        <v>0</v>
      </c>
      <c r="S13148">
        <v>0</v>
      </c>
      <c r="T13148" t="s">
        <v>46884</v>
      </c>
    </row>
    <row r="13149" spans="1:20" customFormat="1" ht="15" x14ac:dyDescent="0.25">
      <c r="A13149" t="s">
        <v>35</v>
      </c>
      <c r="B13149" t="s">
        <v>61</v>
      </c>
      <c r="C13149" t="str">
        <f>"A0127506"</f>
        <v>A0127506</v>
      </c>
      <c r="D13149" t="s">
        <v>46885</v>
      </c>
      <c r="E13149" t="s">
        <v>46886</v>
      </c>
      <c r="F13149" t="s">
        <v>46551</v>
      </c>
      <c r="G13149" t="s">
        <v>507</v>
      </c>
      <c r="H13149">
        <v>26104</v>
      </c>
      <c r="I13149" t="s">
        <v>30</v>
      </c>
      <c r="J13149" t="s">
        <v>41</v>
      </c>
      <c r="K13149" t="s">
        <v>229</v>
      </c>
      <c r="Q13149">
        <v>0</v>
      </c>
      <c r="R13149">
        <v>66</v>
      </c>
      <c r="S13149">
        <v>66</v>
      </c>
      <c r="T13149" t="s">
        <v>46887</v>
      </c>
    </row>
    <row r="13150" spans="1:20" customFormat="1" ht="15" x14ac:dyDescent="0.25">
      <c r="A13150" t="s">
        <v>35</v>
      </c>
      <c r="B13150" t="s">
        <v>61</v>
      </c>
      <c r="C13150" t="str">
        <f>"A0132322"</f>
        <v>A0132322</v>
      </c>
      <c r="D13150" t="s">
        <v>46888</v>
      </c>
      <c r="E13150" t="s">
        <v>46889</v>
      </c>
      <c r="F13150" t="s">
        <v>23333</v>
      </c>
      <c r="G13150" t="s">
        <v>65</v>
      </c>
      <c r="H13150">
        <v>44870</v>
      </c>
      <c r="I13150" t="s">
        <v>30</v>
      </c>
      <c r="J13150" t="s">
        <v>41</v>
      </c>
      <c r="K13150" t="s">
        <v>59</v>
      </c>
      <c r="Q13150">
        <v>0</v>
      </c>
      <c r="R13150">
        <v>707</v>
      </c>
      <c r="S13150">
        <v>707</v>
      </c>
      <c r="T13150" t="s">
        <v>46890</v>
      </c>
    </row>
    <row r="13151" spans="1:20" customFormat="1" ht="15" x14ac:dyDescent="0.25">
      <c r="A13151" t="s">
        <v>35</v>
      </c>
      <c r="B13151" t="s">
        <v>61</v>
      </c>
      <c r="C13151" t="str">
        <f>"A0129150"</f>
        <v>A0129150</v>
      </c>
      <c r="D13151" t="s">
        <v>46891</v>
      </c>
      <c r="E13151" t="s">
        <v>46892</v>
      </c>
      <c r="F13151" t="s">
        <v>46893</v>
      </c>
      <c r="G13151" t="s">
        <v>289</v>
      </c>
      <c r="H13151">
        <v>62839</v>
      </c>
      <c r="I13151" t="s">
        <v>30</v>
      </c>
      <c r="J13151" t="s">
        <v>41</v>
      </c>
      <c r="K13151" t="s">
        <v>42</v>
      </c>
      <c r="Q13151">
        <v>0</v>
      </c>
      <c r="R13151">
        <v>0</v>
      </c>
      <c r="S13151">
        <v>0</v>
      </c>
      <c r="T13151" t="s">
        <v>46894</v>
      </c>
    </row>
    <row r="13152" spans="1:20" customFormat="1" ht="15" x14ac:dyDescent="0.25">
      <c r="A13152" t="s">
        <v>35</v>
      </c>
      <c r="B13152" t="s">
        <v>106</v>
      </c>
      <c r="C13152" t="str">
        <f>"A0167401"</f>
        <v>A0167401</v>
      </c>
      <c r="D13152" t="s">
        <v>46895</v>
      </c>
      <c r="E13152" t="s">
        <v>46896</v>
      </c>
      <c r="F13152" t="s">
        <v>4037</v>
      </c>
      <c r="G13152" t="s">
        <v>40</v>
      </c>
      <c r="H13152">
        <v>73159</v>
      </c>
      <c r="I13152" t="s">
        <v>30</v>
      </c>
      <c r="J13152" t="s">
        <v>111</v>
      </c>
      <c r="K13152" t="s">
        <v>10012</v>
      </c>
      <c r="Q13152">
        <v>0</v>
      </c>
      <c r="R13152">
        <v>0</v>
      </c>
      <c r="S13152">
        <v>0</v>
      </c>
      <c r="T13152" t="s">
        <v>46897</v>
      </c>
    </row>
    <row r="13153" spans="1:20" customFormat="1" ht="15" x14ac:dyDescent="0.25">
      <c r="A13153" t="s">
        <v>35</v>
      </c>
      <c r="B13153" t="s">
        <v>61</v>
      </c>
      <c r="C13153" t="str">
        <f>"A0125413"</f>
        <v>A0125413</v>
      </c>
      <c r="D13153" t="s">
        <v>46898</v>
      </c>
      <c r="E13153" t="s">
        <v>46899</v>
      </c>
      <c r="F13153" t="s">
        <v>4037</v>
      </c>
      <c r="G13153" t="s">
        <v>40</v>
      </c>
      <c r="H13153">
        <v>73111</v>
      </c>
      <c r="I13153" t="s">
        <v>30</v>
      </c>
      <c r="J13153" t="s">
        <v>41</v>
      </c>
      <c r="K13153" t="s">
        <v>36814</v>
      </c>
      <c r="Q13153">
        <v>0</v>
      </c>
      <c r="R13153">
        <v>0</v>
      </c>
      <c r="S13153">
        <v>0</v>
      </c>
      <c r="T13153" t="s">
        <v>46900</v>
      </c>
    </row>
    <row r="13154" spans="1:20" customFormat="1" ht="15" x14ac:dyDescent="0.25">
      <c r="A13154" t="s">
        <v>35</v>
      </c>
      <c r="B13154" t="s">
        <v>61</v>
      </c>
      <c r="C13154" t="str">
        <f>"A0125420"</f>
        <v>A0125420</v>
      </c>
      <c r="D13154" t="s">
        <v>46901</v>
      </c>
      <c r="E13154" t="s">
        <v>46902</v>
      </c>
      <c r="F13154" t="s">
        <v>4037</v>
      </c>
      <c r="G13154" t="s">
        <v>40</v>
      </c>
      <c r="H13154">
        <v>73104</v>
      </c>
      <c r="I13154" t="s">
        <v>30</v>
      </c>
      <c r="J13154" t="s">
        <v>41</v>
      </c>
      <c r="K13154" t="s">
        <v>4020</v>
      </c>
      <c r="Q13154">
        <v>0</v>
      </c>
      <c r="R13154">
        <v>0</v>
      </c>
      <c r="S13154">
        <v>0</v>
      </c>
      <c r="T13154" t="s">
        <v>46903</v>
      </c>
    </row>
    <row r="13155" spans="1:20" customFormat="1" ht="15" x14ac:dyDescent="0.25">
      <c r="A13155" t="s">
        <v>35</v>
      </c>
      <c r="B13155" t="s">
        <v>61</v>
      </c>
      <c r="C13155" t="str">
        <f>"A0125428"</f>
        <v>A0125428</v>
      </c>
      <c r="D13155" t="s">
        <v>46904</v>
      </c>
      <c r="E13155" t="s">
        <v>46905</v>
      </c>
      <c r="F13155" t="s">
        <v>8348</v>
      </c>
      <c r="G13155" t="s">
        <v>40</v>
      </c>
      <c r="H13155">
        <v>74135</v>
      </c>
      <c r="I13155" t="s">
        <v>30</v>
      </c>
      <c r="J13155" t="s">
        <v>41</v>
      </c>
      <c r="K13155" t="s">
        <v>229</v>
      </c>
      <c r="Q13155">
        <v>0</v>
      </c>
      <c r="R13155">
        <v>225</v>
      </c>
      <c r="S13155">
        <v>225</v>
      </c>
      <c r="T13155" t="s">
        <v>46906</v>
      </c>
    </row>
    <row r="13156" spans="1:20" customFormat="1" ht="15" x14ac:dyDescent="0.25">
      <c r="A13156" t="s">
        <v>35</v>
      </c>
      <c r="B13156" t="s">
        <v>61</v>
      </c>
      <c r="C13156" t="str">
        <f>"A0123063"</f>
        <v>A0123063</v>
      </c>
      <c r="D13156" t="s">
        <v>46907</v>
      </c>
      <c r="E13156" t="s">
        <v>46908</v>
      </c>
      <c r="F13156" t="s">
        <v>46909</v>
      </c>
      <c r="G13156" t="s">
        <v>76</v>
      </c>
      <c r="H13156">
        <v>98359</v>
      </c>
      <c r="I13156" t="s">
        <v>30</v>
      </c>
      <c r="J13156" t="s">
        <v>41</v>
      </c>
      <c r="K13156" t="s">
        <v>461</v>
      </c>
      <c r="Q13156">
        <v>0</v>
      </c>
      <c r="R13156">
        <v>0</v>
      </c>
      <c r="S13156">
        <v>0</v>
      </c>
      <c r="T13156" t="s">
        <v>46910</v>
      </c>
    </row>
    <row r="13157" spans="1:20" customFormat="1" ht="15" x14ac:dyDescent="0.25">
      <c r="A13157" t="s">
        <v>35</v>
      </c>
      <c r="B13157" t="s">
        <v>61</v>
      </c>
      <c r="C13157" t="str">
        <f>"A0131471"</f>
        <v>A0131471</v>
      </c>
      <c r="D13157" t="s">
        <v>46911</v>
      </c>
      <c r="E13157" t="s">
        <v>46912</v>
      </c>
      <c r="F13157" t="s">
        <v>4746</v>
      </c>
      <c r="G13157" t="s">
        <v>137</v>
      </c>
      <c r="H13157">
        <v>65536</v>
      </c>
      <c r="I13157" t="s">
        <v>30</v>
      </c>
      <c r="J13157" t="s">
        <v>41</v>
      </c>
      <c r="K13157" t="s">
        <v>229</v>
      </c>
      <c r="Q13157">
        <v>0</v>
      </c>
      <c r="R13157">
        <v>80</v>
      </c>
      <c r="S13157">
        <v>80</v>
      </c>
      <c r="T13157" t="s">
        <v>46913</v>
      </c>
    </row>
    <row r="13158" spans="1:20" customFormat="1" ht="15" x14ac:dyDescent="0.25">
      <c r="A13158" t="s">
        <v>35</v>
      </c>
      <c r="B13158" t="s">
        <v>106</v>
      </c>
      <c r="C13158" t="str">
        <f>"A0135395"</f>
        <v>A0135395</v>
      </c>
      <c r="D13158" t="s">
        <v>46914</v>
      </c>
      <c r="E13158" t="s">
        <v>46915</v>
      </c>
      <c r="F13158" t="s">
        <v>14796</v>
      </c>
      <c r="G13158" t="s">
        <v>289</v>
      </c>
      <c r="H13158">
        <v>62450</v>
      </c>
      <c r="I13158" t="s">
        <v>30</v>
      </c>
      <c r="J13158" t="s">
        <v>111</v>
      </c>
      <c r="K13158" t="s">
        <v>112</v>
      </c>
      <c r="Q13158">
        <v>0</v>
      </c>
      <c r="R13158">
        <v>0</v>
      </c>
      <c r="S13158">
        <v>0</v>
      </c>
      <c r="T13158" t="s">
        <v>46916</v>
      </c>
    </row>
    <row r="13159" spans="1:20" customFormat="1" ht="15" x14ac:dyDescent="0.25">
      <c r="A13159" t="s">
        <v>35</v>
      </c>
      <c r="B13159" t="s">
        <v>61</v>
      </c>
      <c r="C13159" t="str">
        <f>"A0151050"</f>
        <v>A0151050</v>
      </c>
      <c r="D13159" t="s">
        <v>46917</v>
      </c>
      <c r="E13159" t="s">
        <v>46918</v>
      </c>
      <c r="F13159" t="s">
        <v>5133</v>
      </c>
      <c r="G13159" t="s">
        <v>117</v>
      </c>
      <c r="H13159">
        <v>48640</v>
      </c>
      <c r="I13159" t="s">
        <v>30</v>
      </c>
      <c r="J13159" t="s">
        <v>41</v>
      </c>
      <c r="K13159" t="s">
        <v>59</v>
      </c>
      <c r="Q13159">
        <v>0</v>
      </c>
      <c r="R13159">
        <v>20</v>
      </c>
      <c r="S13159">
        <v>20</v>
      </c>
      <c r="T13159" t="s">
        <v>46919</v>
      </c>
    </row>
    <row r="13160" spans="1:20" customFormat="1" ht="15" x14ac:dyDescent="0.25">
      <c r="A13160" t="s">
        <v>35</v>
      </c>
      <c r="B13160" t="s">
        <v>61</v>
      </c>
      <c r="C13160" t="str">
        <f>"A0123461"</f>
        <v>A0123461</v>
      </c>
      <c r="D13160" t="s">
        <v>46920</v>
      </c>
      <c r="E13160" t="s">
        <v>46921</v>
      </c>
      <c r="F13160" t="s">
        <v>24915</v>
      </c>
      <c r="G13160" t="s">
        <v>1170</v>
      </c>
      <c r="H13160">
        <v>70002</v>
      </c>
      <c r="I13160" t="s">
        <v>30</v>
      </c>
      <c r="J13160" t="s">
        <v>41</v>
      </c>
      <c r="K13160" t="s">
        <v>4020</v>
      </c>
      <c r="Q13160">
        <v>0</v>
      </c>
      <c r="R13160">
        <v>0</v>
      </c>
      <c r="S13160">
        <v>0</v>
      </c>
      <c r="T13160" t="s">
        <v>46922</v>
      </c>
    </row>
    <row r="13161" spans="1:20" customFormat="1" ht="15" x14ac:dyDescent="0.25">
      <c r="A13161" t="s">
        <v>35</v>
      </c>
      <c r="B13161" t="s">
        <v>61</v>
      </c>
      <c r="C13161" t="str">
        <f>"A0129964"</f>
        <v>A0129964</v>
      </c>
      <c r="D13161" t="s">
        <v>46923</v>
      </c>
      <c r="E13161" t="s">
        <v>46924</v>
      </c>
      <c r="F13161" t="s">
        <v>46925</v>
      </c>
      <c r="G13161" t="s">
        <v>880</v>
      </c>
      <c r="H13161">
        <v>37051</v>
      </c>
      <c r="I13161" t="s">
        <v>30</v>
      </c>
      <c r="J13161" t="s">
        <v>41</v>
      </c>
      <c r="K13161" t="s">
        <v>104</v>
      </c>
      <c r="Q13161">
        <v>0</v>
      </c>
      <c r="R13161">
        <v>0</v>
      </c>
      <c r="S13161">
        <v>0</v>
      </c>
      <c r="T13161" t="s">
        <v>46926</v>
      </c>
    </row>
    <row r="13162" spans="1:20" customFormat="1" ht="15" x14ac:dyDescent="0.25">
      <c r="A13162" t="s">
        <v>35</v>
      </c>
      <c r="B13162" t="s">
        <v>61</v>
      </c>
      <c r="C13162" t="str">
        <f>"A0118700"</f>
        <v>A0118700</v>
      </c>
      <c r="D13162" t="s">
        <v>46927</v>
      </c>
      <c r="E13162" t="s">
        <v>46928</v>
      </c>
      <c r="F13162" t="s">
        <v>14856</v>
      </c>
      <c r="G13162" t="s">
        <v>110</v>
      </c>
      <c r="H13162">
        <v>926140000</v>
      </c>
      <c r="I13162" t="s">
        <v>30</v>
      </c>
      <c r="J13162" t="s">
        <v>41</v>
      </c>
      <c r="K13162" t="s">
        <v>290</v>
      </c>
      <c r="Q13162">
        <v>0</v>
      </c>
      <c r="R13162">
        <v>1</v>
      </c>
      <c r="S13162">
        <v>1</v>
      </c>
      <c r="T13162" t="s">
        <v>46929</v>
      </c>
    </row>
    <row r="13163" spans="1:20" customFormat="1" ht="15" x14ac:dyDescent="0.25">
      <c r="A13163" t="s">
        <v>35</v>
      </c>
      <c r="B13163" t="s">
        <v>61</v>
      </c>
      <c r="C13163" t="str">
        <f>"A0131951"</f>
        <v>A0131951</v>
      </c>
      <c r="D13163" t="s">
        <v>46930</v>
      </c>
      <c r="E13163" t="s">
        <v>46931</v>
      </c>
      <c r="F13163" t="s">
        <v>46932</v>
      </c>
      <c r="G13163" t="s">
        <v>65</v>
      </c>
      <c r="H13163">
        <v>43085</v>
      </c>
      <c r="I13163" t="s">
        <v>30</v>
      </c>
      <c r="J13163" t="s">
        <v>41</v>
      </c>
      <c r="K13163" t="s">
        <v>290</v>
      </c>
      <c r="Q13163">
        <v>0</v>
      </c>
      <c r="R13163">
        <v>1</v>
      </c>
      <c r="S13163">
        <v>1</v>
      </c>
      <c r="T13163" t="s">
        <v>46933</v>
      </c>
    </row>
    <row r="13164" spans="1:20" customFormat="1" ht="15" x14ac:dyDescent="0.25">
      <c r="A13164" t="s">
        <v>35</v>
      </c>
      <c r="B13164" t="s">
        <v>61</v>
      </c>
      <c r="C13164" t="str">
        <f>"A0130378"</f>
        <v>A0130378</v>
      </c>
      <c r="D13164" t="s">
        <v>46934</v>
      </c>
      <c r="E13164" t="s">
        <v>46935</v>
      </c>
      <c r="F13164" t="s">
        <v>22189</v>
      </c>
      <c r="G13164" t="s">
        <v>1898</v>
      </c>
      <c r="H13164">
        <v>511040000</v>
      </c>
      <c r="I13164" t="s">
        <v>30</v>
      </c>
      <c r="J13164" t="s">
        <v>41</v>
      </c>
      <c r="K13164" t="s">
        <v>229</v>
      </c>
      <c r="Q13164">
        <v>0</v>
      </c>
      <c r="R13164">
        <v>38</v>
      </c>
      <c r="S13164">
        <v>38</v>
      </c>
      <c r="T13164" t="s">
        <v>46936</v>
      </c>
    </row>
    <row r="13165" spans="1:20" customFormat="1" ht="15" x14ac:dyDescent="0.25">
      <c r="A13165" t="s">
        <v>35</v>
      </c>
      <c r="B13165" t="s">
        <v>61</v>
      </c>
      <c r="C13165" t="str">
        <f>"A0131547"</f>
        <v>A0131547</v>
      </c>
      <c r="D13165" t="s">
        <v>46937</v>
      </c>
      <c r="E13165" t="s">
        <v>46938</v>
      </c>
      <c r="F13165" t="s">
        <v>46939</v>
      </c>
      <c r="G13165" t="s">
        <v>381</v>
      </c>
      <c r="H13165">
        <v>463830000</v>
      </c>
      <c r="I13165" t="s">
        <v>30</v>
      </c>
      <c r="J13165" t="s">
        <v>41</v>
      </c>
      <c r="K13165" t="s">
        <v>4272</v>
      </c>
      <c r="Q13165">
        <v>0</v>
      </c>
      <c r="R13165">
        <v>1</v>
      </c>
      <c r="S13165">
        <v>1</v>
      </c>
      <c r="T13165" t="s">
        <v>46940</v>
      </c>
    </row>
    <row r="13166" spans="1:20" customFormat="1" ht="15" x14ac:dyDescent="0.25">
      <c r="A13166" t="s">
        <v>35</v>
      </c>
      <c r="B13166" t="s">
        <v>61</v>
      </c>
      <c r="C13166" t="str">
        <f>"A0128841"</f>
        <v>A0128841</v>
      </c>
      <c r="D13166" t="s">
        <v>46941</v>
      </c>
      <c r="E13166" t="s">
        <v>46942</v>
      </c>
      <c r="F13166" t="s">
        <v>46943</v>
      </c>
      <c r="G13166" t="s">
        <v>289</v>
      </c>
      <c r="H13166">
        <v>60178</v>
      </c>
      <c r="I13166" t="s">
        <v>30</v>
      </c>
      <c r="J13166" t="s">
        <v>41</v>
      </c>
      <c r="K13166" t="s">
        <v>59</v>
      </c>
      <c r="Q13166">
        <v>0</v>
      </c>
      <c r="R13166">
        <v>16</v>
      </c>
      <c r="S13166">
        <v>16</v>
      </c>
      <c r="T13166" t="s">
        <v>46944</v>
      </c>
    </row>
    <row r="13167" spans="1:20" customFormat="1" ht="15" x14ac:dyDescent="0.25">
      <c r="A13167" t="s">
        <v>35</v>
      </c>
      <c r="B13167" t="s">
        <v>61</v>
      </c>
      <c r="C13167" t="str">
        <f>"A0133447"</f>
        <v>A0133447</v>
      </c>
      <c r="D13167" t="s">
        <v>46945</v>
      </c>
      <c r="E13167" t="s">
        <v>46946</v>
      </c>
      <c r="F13167" t="s">
        <v>18470</v>
      </c>
      <c r="G13167" t="s">
        <v>52</v>
      </c>
      <c r="H13167">
        <v>79109</v>
      </c>
      <c r="I13167" t="s">
        <v>30</v>
      </c>
      <c r="J13167" t="s">
        <v>41</v>
      </c>
      <c r="K13167" t="s">
        <v>418</v>
      </c>
      <c r="Q13167">
        <v>0</v>
      </c>
      <c r="R13167">
        <v>0</v>
      </c>
      <c r="S13167">
        <v>0</v>
      </c>
      <c r="T13167" t="s">
        <v>46947</v>
      </c>
    </row>
    <row r="13168" spans="1:20" customFormat="1" ht="15" x14ac:dyDescent="0.25">
      <c r="A13168" t="s">
        <v>35</v>
      </c>
      <c r="B13168" t="s">
        <v>61</v>
      </c>
      <c r="C13168" t="str">
        <f>"A0130061"</f>
        <v>A0130061</v>
      </c>
      <c r="D13168" t="s">
        <v>46948</v>
      </c>
      <c r="E13168" t="s">
        <v>46949</v>
      </c>
      <c r="F13168" t="s">
        <v>46950</v>
      </c>
      <c r="G13168" t="s">
        <v>880</v>
      </c>
      <c r="H13168">
        <v>37187</v>
      </c>
      <c r="I13168" t="s">
        <v>30</v>
      </c>
      <c r="J13168" t="s">
        <v>41</v>
      </c>
      <c r="K13168" t="s">
        <v>59</v>
      </c>
      <c r="Q13168">
        <v>0</v>
      </c>
      <c r="R13168">
        <v>23</v>
      </c>
      <c r="S13168">
        <v>23</v>
      </c>
      <c r="T13168" t="s">
        <v>46951</v>
      </c>
    </row>
    <row r="13169" spans="1:20" customFormat="1" ht="15" x14ac:dyDescent="0.25">
      <c r="A13169" t="s">
        <v>35</v>
      </c>
      <c r="B13169" t="s">
        <v>61</v>
      </c>
      <c r="C13169" t="str">
        <f>"A0129965"</f>
        <v>A0129965</v>
      </c>
      <c r="D13169" t="s">
        <v>46952</v>
      </c>
      <c r="E13169" t="s">
        <v>46953</v>
      </c>
      <c r="F13169" t="s">
        <v>1904</v>
      </c>
      <c r="G13169" t="s">
        <v>880</v>
      </c>
      <c r="H13169">
        <v>37404</v>
      </c>
      <c r="I13169" t="s">
        <v>30</v>
      </c>
      <c r="J13169" t="s">
        <v>41</v>
      </c>
      <c r="K13169" t="s">
        <v>131</v>
      </c>
      <c r="Q13169">
        <v>0</v>
      </c>
      <c r="R13169">
        <v>0</v>
      </c>
      <c r="S13169">
        <v>0</v>
      </c>
      <c r="T13169" t="s">
        <v>46954</v>
      </c>
    </row>
    <row r="13170" spans="1:20" customFormat="1" ht="15" x14ac:dyDescent="0.25">
      <c r="A13170" t="s">
        <v>35</v>
      </c>
      <c r="B13170" t="s">
        <v>61</v>
      </c>
      <c r="C13170" t="str">
        <f>"A0117857"</f>
        <v>A0117857</v>
      </c>
      <c r="D13170" t="s">
        <v>46955</v>
      </c>
      <c r="E13170" t="s">
        <v>46956</v>
      </c>
      <c r="F13170" t="s">
        <v>10867</v>
      </c>
      <c r="G13170" t="s">
        <v>110</v>
      </c>
      <c r="H13170">
        <v>95350</v>
      </c>
      <c r="I13170" t="s">
        <v>30</v>
      </c>
      <c r="J13170" t="s">
        <v>41</v>
      </c>
      <c r="K13170" t="s">
        <v>1032</v>
      </c>
      <c r="Q13170">
        <v>0</v>
      </c>
      <c r="R13170">
        <v>50</v>
      </c>
      <c r="S13170">
        <v>50</v>
      </c>
      <c r="T13170" t="s">
        <v>46957</v>
      </c>
    </row>
    <row r="13171" spans="1:20" customFormat="1" ht="15" x14ac:dyDescent="0.25">
      <c r="A13171" t="s">
        <v>35</v>
      </c>
      <c r="B13171" t="s">
        <v>61</v>
      </c>
      <c r="C13171" t="str">
        <f>"A0132547"</f>
        <v>A0132547</v>
      </c>
      <c r="D13171" t="s">
        <v>46958</v>
      </c>
      <c r="E13171" t="s">
        <v>46959</v>
      </c>
      <c r="F13171" t="s">
        <v>2307</v>
      </c>
      <c r="G13171" t="s">
        <v>65</v>
      </c>
      <c r="H13171">
        <v>44106</v>
      </c>
      <c r="I13171" t="s">
        <v>30</v>
      </c>
      <c r="J13171" t="s">
        <v>41</v>
      </c>
      <c r="K13171" t="s">
        <v>461</v>
      </c>
      <c r="Q13171">
        <v>0</v>
      </c>
      <c r="R13171">
        <v>0</v>
      </c>
      <c r="S13171">
        <v>0</v>
      </c>
      <c r="T13171" t="s">
        <v>46960</v>
      </c>
    </row>
    <row r="13172" spans="1:20" customFormat="1" ht="15" x14ac:dyDescent="0.25">
      <c r="A13172" t="s">
        <v>35</v>
      </c>
      <c r="B13172" t="s">
        <v>61</v>
      </c>
      <c r="C13172" t="str">
        <f>"A0151556"</f>
        <v>A0151556</v>
      </c>
      <c r="D13172" t="s">
        <v>46961</v>
      </c>
      <c r="E13172" t="s">
        <v>46962</v>
      </c>
      <c r="F13172" t="s">
        <v>1368</v>
      </c>
      <c r="G13172" t="s">
        <v>846</v>
      </c>
      <c r="H13172">
        <v>30329</v>
      </c>
      <c r="I13172" t="s">
        <v>30</v>
      </c>
      <c r="J13172" t="s">
        <v>41</v>
      </c>
      <c r="K13172" t="s">
        <v>59</v>
      </c>
      <c r="Q13172">
        <v>0</v>
      </c>
      <c r="R13172">
        <v>100</v>
      </c>
      <c r="S13172">
        <v>100</v>
      </c>
      <c r="T13172" t="s">
        <v>46963</v>
      </c>
    </row>
    <row r="13173" spans="1:20" customFormat="1" ht="15" x14ac:dyDescent="0.25">
      <c r="A13173" t="s">
        <v>35</v>
      </c>
      <c r="B13173" t="s">
        <v>61</v>
      </c>
      <c r="C13173" t="str">
        <f>"A0123055"</f>
        <v>A0123055</v>
      </c>
      <c r="D13173" t="s">
        <v>46964</v>
      </c>
      <c r="E13173" t="s">
        <v>46965</v>
      </c>
      <c r="F13173" t="s">
        <v>9731</v>
      </c>
      <c r="G13173" t="s">
        <v>76</v>
      </c>
      <c r="H13173">
        <v>98662</v>
      </c>
      <c r="I13173" t="s">
        <v>30</v>
      </c>
      <c r="J13173" t="s">
        <v>41</v>
      </c>
      <c r="K13173" t="s">
        <v>1032</v>
      </c>
      <c r="Q13173">
        <v>0</v>
      </c>
      <c r="R13173">
        <v>30</v>
      </c>
      <c r="S13173">
        <v>30</v>
      </c>
      <c r="T13173" t="s">
        <v>46966</v>
      </c>
    </row>
    <row r="13174" spans="1:20" customFormat="1" ht="15" x14ac:dyDescent="0.25">
      <c r="A13174" t="s">
        <v>35</v>
      </c>
      <c r="B13174" t="s">
        <v>61</v>
      </c>
      <c r="C13174" t="str">
        <f>"A0128279"</f>
        <v>A0128279</v>
      </c>
      <c r="D13174" t="s">
        <v>46967</v>
      </c>
      <c r="E13174" t="s">
        <v>46968</v>
      </c>
      <c r="F13174" t="s">
        <v>46969</v>
      </c>
      <c r="G13174" t="s">
        <v>110</v>
      </c>
      <c r="H13174">
        <v>95948</v>
      </c>
      <c r="I13174" t="s">
        <v>30</v>
      </c>
      <c r="J13174" t="s">
        <v>41</v>
      </c>
      <c r="K13174" t="s">
        <v>229</v>
      </c>
      <c r="Q13174">
        <v>0</v>
      </c>
      <c r="R13174">
        <v>82</v>
      </c>
      <c r="S13174">
        <v>82</v>
      </c>
      <c r="T13174" t="s">
        <v>46970</v>
      </c>
    </row>
    <row r="13175" spans="1:20" customFormat="1" ht="15" x14ac:dyDescent="0.25">
      <c r="A13175" t="s">
        <v>35</v>
      </c>
      <c r="B13175" t="s">
        <v>61</v>
      </c>
      <c r="C13175" t="str">
        <f>"A0123867"</f>
        <v>A0123867</v>
      </c>
      <c r="D13175" t="s">
        <v>46971</v>
      </c>
      <c r="E13175" t="s">
        <v>46972</v>
      </c>
      <c r="F13175" t="s">
        <v>23270</v>
      </c>
      <c r="G13175" t="s">
        <v>52</v>
      </c>
      <c r="H13175">
        <v>75069</v>
      </c>
      <c r="I13175" t="s">
        <v>30</v>
      </c>
      <c r="J13175" t="s">
        <v>41</v>
      </c>
      <c r="K13175" t="s">
        <v>482</v>
      </c>
      <c r="Q13175">
        <v>0</v>
      </c>
      <c r="R13175">
        <v>40</v>
      </c>
      <c r="S13175">
        <v>40</v>
      </c>
      <c r="T13175" t="s">
        <v>46973</v>
      </c>
    </row>
    <row r="13176" spans="1:20" customFormat="1" ht="15" x14ac:dyDescent="0.25">
      <c r="A13176" t="s">
        <v>35</v>
      </c>
      <c r="B13176" t="s">
        <v>61</v>
      </c>
      <c r="C13176" t="str">
        <f>"A0123868"</f>
        <v>A0123868</v>
      </c>
      <c r="D13176" t="s">
        <v>46974</v>
      </c>
      <c r="E13176" t="s">
        <v>46975</v>
      </c>
      <c r="F13176" t="s">
        <v>1423</v>
      </c>
      <c r="G13176" t="s">
        <v>52</v>
      </c>
      <c r="H13176">
        <v>78633</v>
      </c>
      <c r="I13176" t="s">
        <v>30</v>
      </c>
      <c r="J13176" t="s">
        <v>41</v>
      </c>
      <c r="K13176" t="s">
        <v>482</v>
      </c>
      <c r="Q13176">
        <v>0</v>
      </c>
      <c r="R13176">
        <v>74</v>
      </c>
      <c r="S13176">
        <v>74</v>
      </c>
      <c r="T13176" t="s">
        <v>46976</v>
      </c>
    </row>
    <row r="13177" spans="1:20" customFormat="1" ht="15" x14ac:dyDescent="0.25">
      <c r="A13177" t="s">
        <v>35</v>
      </c>
      <c r="B13177" t="s">
        <v>61</v>
      </c>
      <c r="C13177" t="str">
        <f>"A0128313"</f>
        <v>A0128313</v>
      </c>
      <c r="D13177" t="s">
        <v>46977</v>
      </c>
      <c r="E13177" t="s">
        <v>46978</v>
      </c>
      <c r="F13177" t="s">
        <v>5292</v>
      </c>
      <c r="G13177" t="s">
        <v>427</v>
      </c>
      <c r="H13177">
        <v>685060000</v>
      </c>
      <c r="I13177" t="s">
        <v>30</v>
      </c>
      <c r="J13177" t="s">
        <v>41</v>
      </c>
      <c r="K13177" t="s">
        <v>59</v>
      </c>
      <c r="Q13177">
        <v>0</v>
      </c>
      <c r="R13177">
        <v>74</v>
      </c>
      <c r="S13177">
        <v>74</v>
      </c>
      <c r="T13177" t="s">
        <v>46979</v>
      </c>
    </row>
    <row r="13178" spans="1:20" customFormat="1" ht="15" x14ac:dyDescent="0.25">
      <c r="A13178" t="s">
        <v>35</v>
      </c>
      <c r="B13178" t="s">
        <v>61</v>
      </c>
      <c r="C13178" t="str">
        <f>"A0121336"</f>
        <v>A0121336</v>
      </c>
      <c r="D13178" t="s">
        <v>46980</v>
      </c>
      <c r="E13178" t="s">
        <v>46981</v>
      </c>
      <c r="F13178" t="s">
        <v>46982</v>
      </c>
      <c r="G13178" t="s">
        <v>153</v>
      </c>
      <c r="H13178">
        <v>84651</v>
      </c>
      <c r="I13178" t="s">
        <v>30</v>
      </c>
      <c r="J13178" t="s">
        <v>41</v>
      </c>
      <c r="K13178" t="s">
        <v>59</v>
      </c>
      <c r="Q13178">
        <v>0</v>
      </c>
      <c r="R13178">
        <v>90</v>
      </c>
      <c r="S13178">
        <v>90</v>
      </c>
      <c r="T13178" t="s">
        <v>40933</v>
      </c>
    </row>
    <row r="13179" spans="1:20" customFormat="1" ht="15" x14ac:dyDescent="0.25">
      <c r="A13179" t="s">
        <v>35</v>
      </c>
      <c r="B13179" t="s">
        <v>106</v>
      </c>
      <c r="C13179" t="str">
        <f>"A0135731"</f>
        <v>A0135731</v>
      </c>
      <c r="D13179" t="s">
        <v>46983</v>
      </c>
      <c r="E13179" t="s">
        <v>46984</v>
      </c>
      <c r="F13179" t="s">
        <v>9808</v>
      </c>
      <c r="G13179" t="s">
        <v>47</v>
      </c>
      <c r="H13179">
        <v>97333</v>
      </c>
      <c r="I13179" t="s">
        <v>30</v>
      </c>
      <c r="J13179" t="s">
        <v>111</v>
      </c>
      <c r="K13179" t="s">
        <v>10012</v>
      </c>
      <c r="Q13179">
        <v>0</v>
      </c>
      <c r="R13179">
        <v>0</v>
      </c>
      <c r="S13179">
        <v>0</v>
      </c>
      <c r="T13179" t="s">
        <v>46985</v>
      </c>
    </row>
    <row r="13180" spans="1:20" customFormat="1" ht="15" x14ac:dyDescent="0.25">
      <c r="A13180" t="s">
        <v>35</v>
      </c>
      <c r="B13180" t="s">
        <v>437</v>
      </c>
      <c r="C13180" t="str">
        <f>"A0133843"</f>
        <v>A0133843</v>
      </c>
      <c r="D13180" t="s">
        <v>46986</v>
      </c>
      <c r="E13180" t="s">
        <v>46987</v>
      </c>
      <c r="F13180" t="s">
        <v>14714</v>
      </c>
      <c r="G13180" t="s">
        <v>110</v>
      </c>
      <c r="H13180">
        <v>92646</v>
      </c>
      <c r="I13180" t="s">
        <v>30</v>
      </c>
      <c r="J13180" t="s">
        <v>441</v>
      </c>
      <c r="K13180" t="s">
        <v>442</v>
      </c>
      <c r="Q13180">
        <v>0</v>
      </c>
      <c r="R13180">
        <v>0</v>
      </c>
      <c r="S13180">
        <v>0</v>
      </c>
      <c r="T13180" t="s">
        <v>46988</v>
      </c>
    </row>
    <row r="13181" spans="1:20" customFormat="1" ht="15" x14ac:dyDescent="0.25">
      <c r="A13181" t="s">
        <v>35</v>
      </c>
      <c r="B13181" t="s">
        <v>437</v>
      </c>
      <c r="C13181" t="str">
        <f>"A0133850"</f>
        <v>A0133850</v>
      </c>
      <c r="D13181" t="s">
        <v>46989</v>
      </c>
      <c r="E13181" t="s">
        <v>46990</v>
      </c>
      <c r="F13181" t="s">
        <v>46991</v>
      </c>
      <c r="G13181" t="s">
        <v>110</v>
      </c>
      <c r="H13181">
        <v>926560000</v>
      </c>
      <c r="I13181" t="s">
        <v>30</v>
      </c>
      <c r="J13181" t="s">
        <v>441</v>
      </c>
      <c r="K13181" t="s">
        <v>442</v>
      </c>
      <c r="Q13181">
        <v>0</v>
      </c>
      <c r="R13181">
        <v>0</v>
      </c>
      <c r="S13181">
        <v>0</v>
      </c>
      <c r="T13181" t="s">
        <v>46992</v>
      </c>
    </row>
    <row r="13182" spans="1:20" customFormat="1" ht="15" x14ac:dyDescent="0.25">
      <c r="A13182" t="s">
        <v>35</v>
      </c>
      <c r="B13182" t="s">
        <v>437</v>
      </c>
      <c r="C13182" t="str">
        <f>"A0133844"</f>
        <v>A0133844</v>
      </c>
      <c r="D13182" t="s">
        <v>46993</v>
      </c>
      <c r="E13182" t="s">
        <v>46994</v>
      </c>
      <c r="F13182" t="s">
        <v>25169</v>
      </c>
      <c r="G13182" t="s">
        <v>110</v>
      </c>
      <c r="H13182">
        <v>902770000</v>
      </c>
      <c r="I13182" t="s">
        <v>30</v>
      </c>
      <c r="J13182" t="s">
        <v>441</v>
      </c>
      <c r="K13182" t="s">
        <v>442</v>
      </c>
      <c r="Q13182">
        <v>0</v>
      </c>
      <c r="R13182">
        <v>0</v>
      </c>
      <c r="S13182">
        <v>0</v>
      </c>
      <c r="T13182" t="s">
        <v>46995</v>
      </c>
    </row>
    <row r="13183" spans="1:20" customFormat="1" ht="15" x14ac:dyDescent="0.25">
      <c r="A13183" t="s">
        <v>35</v>
      </c>
      <c r="B13183" t="s">
        <v>61</v>
      </c>
      <c r="C13183" t="str">
        <f>"A0152957"</f>
        <v>A0152957</v>
      </c>
      <c r="D13183" t="s">
        <v>46996</v>
      </c>
      <c r="E13183" t="s">
        <v>46997</v>
      </c>
      <c r="F13183" t="s">
        <v>22719</v>
      </c>
      <c r="G13183" t="s">
        <v>81</v>
      </c>
      <c r="H13183">
        <v>32773</v>
      </c>
      <c r="I13183" t="s">
        <v>30</v>
      </c>
      <c r="J13183" t="s">
        <v>41</v>
      </c>
      <c r="K13183" t="s">
        <v>42</v>
      </c>
      <c r="Q13183">
        <v>0</v>
      </c>
      <c r="R13183">
        <v>0</v>
      </c>
      <c r="S13183">
        <v>0</v>
      </c>
      <c r="T13183" t="s">
        <v>46998</v>
      </c>
    </row>
    <row r="13184" spans="1:20" customFormat="1" ht="15" x14ac:dyDescent="0.25">
      <c r="A13184" t="s">
        <v>35</v>
      </c>
      <c r="B13184" t="s">
        <v>61</v>
      </c>
      <c r="C13184" t="str">
        <f>"A0123869"</f>
        <v>A0123869</v>
      </c>
      <c r="D13184" t="s">
        <v>46999</v>
      </c>
      <c r="E13184" t="s">
        <v>47000</v>
      </c>
      <c r="F13184" t="s">
        <v>10530</v>
      </c>
      <c r="G13184" t="s">
        <v>81</v>
      </c>
      <c r="H13184">
        <v>32809</v>
      </c>
      <c r="I13184" t="s">
        <v>30</v>
      </c>
      <c r="J13184" t="s">
        <v>41</v>
      </c>
      <c r="K13184" t="s">
        <v>59</v>
      </c>
      <c r="Q13184">
        <v>0</v>
      </c>
      <c r="R13184">
        <v>60</v>
      </c>
      <c r="S13184">
        <v>60</v>
      </c>
      <c r="T13184" t="s">
        <v>47001</v>
      </c>
    </row>
    <row r="13185" spans="1:20" customFormat="1" ht="15" x14ac:dyDescent="0.25">
      <c r="A13185" t="s">
        <v>35</v>
      </c>
      <c r="B13185" t="s">
        <v>61</v>
      </c>
      <c r="C13185" t="str">
        <f>"A0122010"</f>
        <v>A0122010</v>
      </c>
      <c r="D13185" t="s">
        <v>47002</v>
      </c>
      <c r="E13185" t="s">
        <v>47003</v>
      </c>
      <c r="F13185" t="s">
        <v>38308</v>
      </c>
      <c r="G13185" t="s">
        <v>110</v>
      </c>
      <c r="H13185">
        <v>95966</v>
      </c>
      <c r="I13185" t="s">
        <v>30</v>
      </c>
      <c r="J13185" t="s">
        <v>41</v>
      </c>
      <c r="K13185" t="s">
        <v>3713</v>
      </c>
      <c r="Q13185">
        <v>0</v>
      </c>
      <c r="R13185">
        <v>0</v>
      </c>
      <c r="S13185">
        <v>0</v>
      </c>
      <c r="T13185" t="s">
        <v>47004</v>
      </c>
    </row>
    <row r="13186" spans="1:20" customFormat="1" ht="15" x14ac:dyDescent="0.25">
      <c r="A13186" t="s">
        <v>35</v>
      </c>
      <c r="B13186" t="s">
        <v>61</v>
      </c>
      <c r="C13186" t="str">
        <f>"A0153310"</f>
        <v>A0153310</v>
      </c>
      <c r="D13186" t="s">
        <v>47005</v>
      </c>
      <c r="E13186" t="s">
        <v>47006</v>
      </c>
      <c r="F13186" t="s">
        <v>36205</v>
      </c>
      <c r="G13186" t="s">
        <v>65</v>
      </c>
      <c r="H13186">
        <v>44667</v>
      </c>
      <c r="I13186" t="s">
        <v>30</v>
      </c>
      <c r="J13186" t="s">
        <v>41</v>
      </c>
      <c r="K13186" t="s">
        <v>59</v>
      </c>
      <c r="Q13186">
        <v>0</v>
      </c>
      <c r="R13186">
        <v>86</v>
      </c>
      <c r="S13186">
        <v>86</v>
      </c>
      <c r="T13186" t="s">
        <v>47007</v>
      </c>
    </row>
    <row r="13187" spans="1:20" customFormat="1" ht="15" x14ac:dyDescent="0.25">
      <c r="A13187" t="s">
        <v>35</v>
      </c>
      <c r="B13187" t="s">
        <v>61</v>
      </c>
      <c r="C13187" t="str">
        <f>"A0130520"</f>
        <v>A0130520</v>
      </c>
      <c r="D13187" t="s">
        <v>47008</v>
      </c>
      <c r="E13187" t="s">
        <v>47009</v>
      </c>
      <c r="F13187" t="s">
        <v>501</v>
      </c>
      <c r="G13187" t="s">
        <v>71</v>
      </c>
      <c r="H13187">
        <v>53212</v>
      </c>
      <c r="I13187" t="s">
        <v>30</v>
      </c>
      <c r="J13187" t="s">
        <v>41</v>
      </c>
      <c r="K13187" t="s">
        <v>10218</v>
      </c>
      <c r="Q13187">
        <v>0</v>
      </c>
      <c r="R13187">
        <v>30</v>
      </c>
      <c r="S13187">
        <v>30</v>
      </c>
      <c r="T13187" t="s">
        <v>47010</v>
      </c>
    </row>
    <row r="13188" spans="1:20" customFormat="1" ht="15" x14ac:dyDescent="0.25">
      <c r="A13188" t="s">
        <v>35</v>
      </c>
      <c r="B13188" t="s">
        <v>106</v>
      </c>
      <c r="C13188" t="str">
        <f>"A0136557"</f>
        <v>A0136557</v>
      </c>
      <c r="D13188" t="s">
        <v>47011</v>
      </c>
      <c r="E13188" t="s">
        <v>47012</v>
      </c>
      <c r="F13188" t="s">
        <v>4133</v>
      </c>
      <c r="G13188" t="s">
        <v>52</v>
      </c>
      <c r="H13188">
        <v>78712</v>
      </c>
      <c r="I13188" t="s">
        <v>30</v>
      </c>
      <c r="J13188" t="s">
        <v>111</v>
      </c>
      <c r="K13188" t="s">
        <v>112</v>
      </c>
      <c r="Q13188">
        <v>0</v>
      </c>
      <c r="R13188">
        <v>0</v>
      </c>
      <c r="S13188">
        <v>0</v>
      </c>
      <c r="T13188" t="s">
        <v>47013</v>
      </c>
    </row>
    <row r="13189" spans="1:20" customFormat="1" ht="15" x14ac:dyDescent="0.25">
      <c r="A13189" t="s">
        <v>35</v>
      </c>
      <c r="B13189" t="s">
        <v>61</v>
      </c>
      <c r="C13189" t="str">
        <f>"A0125215"</f>
        <v>A0125215</v>
      </c>
      <c r="D13189" t="s">
        <v>47014</v>
      </c>
      <c r="E13189" t="s">
        <v>47015</v>
      </c>
      <c r="F13189" t="s">
        <v>12194</v>
      </c>
      <c r="G13189" t="s">
        <v>40</v>
      </c>
      <c r="H13189">
        <v>74354</v>
      </c>
      <c r="I13189" t="s">
        <v>30</v>
      </c>
      <c r="J13189" t="s">
        <v>41</v>
      </c>
      <c r="K13189" t="s">
        <v>229</v>
      </c>
      <c r="Q13189">
        <v>0</v>
      </c>
      <c r="R13189">
        <v>55</v>
      </c>
      <c r="S13189">
        <v>55</v>
      </c>
      <c r="T13189" t="s">
        <v>47016</v>
      </c>
    </row>
    <row r="13190" spans="1:20" customFormat="1" ht="15" x14ac:dyDescent="0.25">
      <c r="A13190" t="s">
        <v>35</v>
      </c>
      <c r="B13190" t="s">
        <v>61</v>
      </c>
      <c r="C13190" t="str">
        <f>"A0123870"</f>
        <v>A0123870</v>
      </c>
      <c r="D13190" t="s">
        <v>47017</v>
      </c>
      <c r="E13190" t="s">
        <v>37891</v>
      </c>
      <c r="F13190" t="s">
        <v>15496</v>
      </c>
      <c r="G13190" t="s">
        <v>29</v>
      </c>
      <c r="H13190">
        <v>23112</v>
      </c>
      <c r="I13190" t="s">
        <v>30</v>
      </c>
      <c r="J13190" t="s">
        <v>41</v>
      </c>
      <c r="K13190" t="s">
        <v>59</v>
      </c>
      <c r="Q13190">
        <v>0</v>
      </c>
      <c r="R13190">
        <v>80</v>
      </c>
      <c r="S13190">
        <v>80</v>
      </c>
      <c r="T13190" t="s">
        <v>37892</v>
      </c>
    </row>
    <row r="13191" spans="1:20" customFormat="1" ht="15" x14ac:dyDescent="0.25">
      <c r="A13191" t="s">
        <v>35</v>
      </c>
      <c r="B13191" t="s">
        <v>61</v>
      </c>
      <c r="C13191" t="str">
        <f>"A0123871"</f>
        <v>A0123871</v>
      </c>
      <c r="D13191" t="s">
        <v>47018</v>
      </c>
      <c r="E13191" t="s">
        <v>47019</v>
      </c>
      <c r="F13191" t="s">
        <v>47020</v>
      </c>
      <c r="G13191" t="s">
        <v>81</v>
      </c>
      <c r="H13191">
        <v>32034</v>
      </c>
      <c r="I13191" t="s">
        <v>30</v>
      </c>
      <c r="J13191" t="s">
        <v>41</v>
      </c>
      <c r="K13191" t="s">
        <v>11521</v>
      </c>
      <c r="Q13191">
        <v>0</v>
      </c>
      <c r="R13191">
        <v>0</v>
      </c>
      <c r="S13191">
        <v>0</v>
      </c>
      <c r="T13191" t="s">
        <v>47021</v>
      </c>
    </row>
    <row r="13192" spans="1:20" customFormat="1" ht="15" x14ac:dyDescent="0.25">
      <c r="A13192" t="s">
        <v>35</v>
      </c>
      <c r="B13192" t="s">
        <v>61</v>
      </c>
      <c r="C13192" t="str">
        <f>"A0123466"</f>
        <v>A0123466</v>
      </c>
      <c r="D13192" t="s">
        <v>47022</v>
      </c>
      <c r="E13192" t="s">
        <v>47023</v>
      </c>
      <c r="F13192" t="s">
        <v>20330</v>
      </c>
      <c r="G13192" t="s">
        <v>29</v>
      </c>
      <c r="H13192">
        <v>22902</v>
      </c>
      <c r="I13192" t="s">
        <v>30</v>
      </c>
      <c r="J13192" t="s">
        <v>41</v>
      </c>
      <c r="K13192" t="s">
        <v>2477</v>
      </c>
      <c r="Q13192">
        <v>0</v>
      </c>
      <c r="R13192">
        <v>0</v>
      </c>
      <c r="S13192">
        <v>0</v>
      </c>
    </row>
    <row r="13193" spans="1:20" customFormat="1" ht="15" x14ac:dyDescent="0.25">
      <c r="A13193" t="s">
        <v>35</v>
      </c>
      <c r="B13193" t="s">
        <v>61</v>
      </c>
      <c r="C13193" t="str">
        <f>"A0130312"</f>
        <v>A0130312</v>
      </c>
      <c r="D13193" t="s">
        <v>47024</v>
      </c>
      <c r="E13193" t="s">
        <v>47025</v>
      </c>
      <c r="F13193" t="s">
        <v>47026</v>
      </c>
      <c r="G13193" t="s">
        <v>1898</v>
      </c>
      <c r="H13193">
        <v>521610000</v>
      </c>
      <c r="I13193" t="s">
        <v>30</v>
      </c>
      <c r="J13193" t="s">
        <v>41</v>
      </c>
      <c r="K13193" t="s">
        <v>456</v>
      </c>
      <c r="Q13193">
        <v>0</v>
      </c>
      <c r="R13193">
        <v>38</v>
      </c>
      <c r="S13193">
        <v>38</v>
      </c>
      <c r="T13193" t="s">
        <v>47027</v>
      </c>
    </row>
    <row r="13194" spans="1:20" customFormat="1" ht="15" x14ac:dyDescent="0.25">
      <c r="A13194" t="s">
        <v>35</v>
      </c>
      <c r="B13194" t="s">
        <v>106</v>
      </c>
      <c r="C13194" t="str">
        <f>"A0135734"</f>
        <v>A0135734</v>
      </c>
      <c r="D13194" t="s">
        <v>47028</v>
      </c>
      <c r="E13194" t="s">
        <v>46984</v>
      </c>
      <c r="F13194" t="s">
        <v>9808</v>
      </c>
      <c r="G13194" t="s">
        <v>47</v>
      </c>
      <c r="H13194">
        <v>97333</v>
      </c>
      <c r="I13194" t="s">
        <v>30</v>
      </c>
      <c r="J13194" t="s">
        <v>111</v>
      </c>
      <c r="K13194" t="s">
        <v>10012</v>
      </c>
      <c r="Q13194">
        <v>0</v>
      </c>
      <c r="R13194">
        <v>0</v>
      </c>
      <c r="S13194">
        <v>0</v>
      </c>
      <c r="T13194" t="s">
        <v>47029</v>
      </c>
    </row>
    <row r="13195" spans="1:20" customFormat="1" ht="15" x14ac:dyDescent="0.25">
      <c r="A13195" t="s">
        <v>35</v>
      </c>
      <c r="B13195" t="s">
        <v>106</v>
      </c>
      <c r="C13195" t="str">
        <f>"A0135749"</f>
        <v>A0135749</v>
      </c>
      <c r="D13195" t="s">
        <v>47030</v>
      </c>
      <c r="E13195" t="s">
        <v>46984</v>
      </c>
      <c r="F13195" t="s">
        <v>47031</v>
      </c>
      <c r="G13195" t="s">
        <v>47</v>
      </c>
      <c r="H13195">
        <v>97333</v>
      </c>
      <c r="I13195" t="s">
        <v>30</v>
      </c>
      <c r="J13195" t="s">
        <v>111</v>
      </c>
      <c r="K13195" t="s">
        <v>112</v>
      </c>
      <c r="Q13195">
        <v>0</v>
      </c>
      <c r="R13195">
        <v>0</v>
      </c>
      <c r="S13195">
        <v>0</v>
      </c>
      <c r="T13195" t="s">
        <v>47029</v>
      </c>
    </row>
    <row r="13196" spans="1:20" customFormat="1" ht="15" x14ac:dyDescent="0.25">
      <c r="A13196" t="s">
        <v>35</v>
      </c>
      <c r="B13196" t="s">
        <v>106</v>
      </c>
      <c r="C13196" t="str">
        <f>"A0135736"</f>
        <v>A0135736</v>
      </c>
      <c r="D13196" t="s">
        <v>47032</v>
      </c>
      <c r="E13196" t="s">
        <v>46984</v>
      </c>
      <c r="F13196" t="s">
        <v>9808</v>
      </c>
      <c r="G13196" t="s">
        <v>47</v>
      </c>
      <c r="H13196">
        <v>97333</v>
      </c>
      <c r="I13196" t="s">
        <v>30</v>
      </c>
      <c r="J13196" t="s">
        <v>111</v>
      </c>
      <c r="K13196" t="s">
        <v>10012</v>
      </c>
      <c r="Q13196">
        <v>0</v>
      </c>
      <c r="R13196">
        <v>0</v>
      </c>
      <c r="S13196">
        <v>0</v>
      </c>
    </row>
    <row r="13197" spans="1:20" customFormat="1" ht="15" x14ac:dyDescent="0.25">
      <c r="A13197" t="s">
        <v>35</v>
      </c>
      <c r="B13197" t="s">
        <v>106</v>
      </c>
      <c r="C13197" t="str">
        <f>"A0135747"</f>
        <v>A0135747</v>
      </c>
      <c r="D13197" t="s">
        <v>47033</v>
      </c>
      <c r="E13197" t="s">
        <v>47034</v>
      </c>
      <c r="F13197" t="s">
        <v>9808</v>
      </c>
      <c r="G13197" t="s">
        <v>47</v>
      </c>
      <c r="H13197">
        <v>97333</v>
      </c>
      <c r="I13197" t="s">
        <v>30</v>
      </c>
      <c r="J13197" t="s">
        <v>111</v>
      </c>
      <c r="K13197" t="s">
        <v>112</v>
      </c>
      <c r="Q13197">
        <v>0</v>
      </c>
      <c r="R13197">
        <v>0</v>
      </c>
      <c r="S13197">
        <v>0</v>
      </c>
      <c r="T13197" t="s">
        <v>46985</v>
      </c>
    </row>
    <row r="13198" spans="1:20" customFormat="1" ht="15" x14ac:dyDescent="0.25">
      <c r="A13198" t="s">
        <v>35</v>
      </c>
      <c r="B13198" t="s">
        <v>106</v>
      </c>
      <c r="C13198" t="str">
        <f>"A0135735"</f>
        <v>A0135735</v>
      </c>
      <c r="D13198" t="s">
        <v>47035</v>
      </c>
      <c r="E13198" t="s">
        <v>46984</v>
      </c>
      <c r="F13198" t="s">
        <v>9808</v>
      </c>
      <c r="G13198" t="s">
        <v>47</v>
      </c>
      <c r="H13198">
        <v>97333</v>
      </c>
      <c r="I13198" t="s">
        <v>30</v>
      </c>
      <c r="J13198" t="s">
        <v>111</v>
      </c>
      <c r="K13198" t="s">
        <v>10012</v>
      </c>
      <c r="Q13198">
        <v>0</v>
      </c>
      <c r="R13198">
        <v>0</v>
      </c>
      <c r="S13198">
        <v>0</v>
      </c>
      <c r="T13198" t="s">
        <v>47036</v>
      </c>
    </row>
    <row r="13199" spans="1:20" customFormat="1" ht="15" x14ac:dyDescent="0.25">
      <c r="A13199" t="s">
        <v>35</v>
      </c>
      <c r="B13199" t="s">
        <v>106</v>
      </c>
      <c r="C13199" t="str">
        <f>"A0135732"</f>
        <v>A0135732</v>
      </c>
      <c r="D13199" t="s">
        <v>47037</v>
      </c>
      <c r="E13199" t="s">
        <v>46984</v>
      </c>
      <c r="F13199" t="s">
        <v>9808</v>
      </c>
      <c r="G13199" t="s">
        <v>47</v>
      </c>
      <c r="H13199">
        <v>97333</v>
      </c>
      <c r="I13199" t="s">
        <v>30</v>
      </c>
      <c r="J13199" t="s">
        <v>111</v>
      </c>
      <c r="K13199" t="s">
        <v>10012</v>
      </c>
      <c r="Q13199">
        <v>0</v>
      </c>
      <c r="R13199">
        <v>0</v>
      </c>
      <c r="S13199">
        <v>0</v>
      </c>
      <c r="T13199" t="s">
        <v>47038</v>
      </c>
    </row>
    <row r="13200" spans="1:20" customFormat="1" ht="15" x14ac:dyDescent="0.25">
      <c r="A13200" t="s">
        <v>35</v>
      </c>
      <c r="B13200" t="s">
        <v>106</v>
      </c>
      <c r="C13200" t="str">
        <f>"A0135733"</f>
        <v>A0135733</v>
      </c>
      <c r="D13200" t="s">
        <v>47039</v>
      </c>
      <c r="E13200" t="s">
        <v>46984</v>
      </c>
      <c r="F13200" t="s">
        <v>9808</v>
      </c>
      <c r="G13200" t="s">
        <v>47</v>
      </c>
      <c r="H13200">
        <v>97333</v>
      </c>
      <c r="I13200" t="s">
        <v>30</v>
      </c>
      <c r="J13200" t="s">
        <v>111</v>
      </c>
      <c r="K13200" t="s">
        <v>10012</v>
      </c>
      <c r="Q13200">
        <v>0</v>
      </c>
      <c r="R13200">
        <v>0</v>
      </c>
      <c r="S13200">
        <v>0</v>
      </c>
      <c r="T13200" t="s">
        <v>47040</v>
      </c>
    </row>
    <row r="13201" spans="1:20" customFormat="1" ht="15" x14ac:dyDescent="0.25">
      <c r="A13201" t="s">
        <v>35</v>
      </c>
      <c r="B13201" t="s">
        <v>106</v>
      </c>
      <c r="C13201" t="str">
        <f>"A0135748"</f>
        <v>A0135748</v>
      </c>
      <c r="D13201" t="s">
        <v>47041</v>
      </c>
      <c r="E13201" t="s">
        <v>47042</v>
      </c>
      <c r="F13201" t="s">
        <v>9808</v>
      </c>
      <c r="G13201" t="s">
        <v>47</v>
      </c>
      <c r="H13201">
        <v>97331</v>
      </c>
      <c r="I13201" t="s">
        <v>30</v>
      </c>
      <c r="J13201" t="s">
        <v>111</v>
      </c>
      <c r="K13201" t="s">
        <v>112</v>
      </c>
      <c r="Q13201">
        <v>0</v>
      </c>
      <c r="R13201">
        <v>0</v>
      </c>
      <c r="S13201">
        <v>0</v>
      </c>
      <c r="T13201" t="s">
        <v>47029</v>
      </c>
    </row>
    <row r="13202" spans="1:20" customFormat="1" ht="15" x14ac:dyDescent="0.25">
      <c r="A13202" t="s">
        <v>35</v>
      </c>
      <c r="B13202" t="s">
        <v>106</v>
      </c>
      <c r="C13202" t="str">
        <f>"A0135738"</f>
        <v>A0135738</v>
      </c>
      <c r="D13202" t="s">
        <v>47043</v>
      </c>
      <c r="E13202" t="s">
        <v>47042</v>
      </c>
      <c r="F13202" t="s">
        <v>9808</v>
      </c>
      <c r="G13202" t="s">
        <v>47</v>
      </c>
      <c r="H13202">
        <v>97331</v>
      </c>
      <c r="I13202" t="s">
        <v>30</v>
      </c>
      <c r="J13202" t="s">
        <v>111</v>
      </c>
      <c r="K13202" t="s">
        <v>10012</v>
      </c>
      <c r="Q13202">
        <v>0</v>
      </c>
      <c r="R13202">
        <v>0</v>
      </c>
      <c r="S13202">
        <v>0</v>
      </c>
      <c r="T13202" t="s">
        <v>47036</v>
      </c>
    </row>
    <row r="13203" spans="1:20" customFormat="1" ht="15" x14ac:dyDescent="0.25">
      <c r="A13203" t="s">
        <v>35</v>
      </c>
      <c r="B13203" t="s">
        <v>106</v>
      </c>
      <c r="C13203" t="str">
        <f>"A0135741"</f>
        <v>A0135741</v>
      </c>
      <c r="D13203" t="s">
        <v>47044</v>
      </c>
      <c r="E13203" t="s">
        <v>47042</v>
      </c>
      <c r="F13203" t="s">
        <v>9808</v>
      </c>
      <c r="G13203" t="s">
        <v>47</v>
      </c>
      <c r="H13203">
        <v>97331</v>
      </c>
      <c r="I13203" t="s">
        <v>30</v>
      </c>
      <c r="J13203" t="s">
        <v>111</v>
      </c>
      <c r="K13203" t="s">
        <v>10012</v>
      </c>
      <c r="Q13203">
        <v>0</v>
      </c>
      <c r="R13203">
        <v>0</v>
      </c>
      <c r="S13203">
        <v>0</v>
      </c>
      <c r="T13203" t="s">
        <v>46985</v>
      </c>
    </row>
    <row r="13204" spans="1:20" customFormat="1" ht="15" x14ac:dyDescent="0.25">
      <c r="A13204" t="s">
        <v>35</v>
      </c>
      <c r="B13204" t="s">
        <v>106</v>
      </c>
      <c r="C13204" t="str">
        <f>"A0135743"</f>
        <v>A0135743</v>
      </c>
      <c r="D13204" t="s">
        <v>47045</v>
      </c>
      <c r="E13204" t="s">
        <v>47042</v>
      </c>
      <c r="F13204" t="s">
        <v>9808</v>
      </c>
      <c r="G13204" t="s">
        <v>47</v>
      </c>
      <c r="H13204">
        <v>97331</v>
      </c>
      <c r="I13204" t="s">
        <v>30</v>
      </c>
      <c r="J13204" t="s">
        <v>111</v>
      </c>
      <c r="K13204" t="s">
        <v>10012</v>
      </c>
      <c r="Q13204">
        <v>0</v>
      </c>
      <c r="R13204">
        <v>0</v>
      </c>
      <c r="S13204">
        <v>0</v>
      </c>
      <c r="T13204" t="s">
        <v>46985</v>
      </c>
    </row>
    <row r="13205" spans="1:20" customFormat="1" ht="15" x14ac:dyDescent="0.25">
      <c r="A13205" t="s">
        <v>35</v>
      </c>
      <c r="B13205" t="s">
        <v>106</v>
      </c>
      <c r="C13205" t="str">
        <f>"A0135742"</f>
        <v>A0135742</v>
      </c>
      <c r="D13205" t="s">
        <v>47046</v>
      </c>
      <c r="E13205" t="s">
        <v>47042</v>
      </c>
      <c r="F13205" t="s">
        <v>9808</v>
      </c>
      <c r="G13205" t="s">
        <v>47</v>
      </c>
      <c r="H13205">
        <v>97331</v>
      </c>
      <c r="I13205" t="s">
        <v>30</v>
      </c>
      <c r="J13205" t="s">
        <v>111</v>
      </c>
      <c r="K13205" t="s">
        <v>10012</v>
      </c>
      <c r="Q13205">
        <v>0</v>
      </c>
      <c r="R13205">
        <v>0</v>
      </c>
      <c r="S13205">
        <v>0</v>
      </c>
      <c r="T13205" t="s">
        <v>46985</v>
      </c>
    </row>
    <row r="13206" spans="1:20" customFormat="1" ht="15" x14ac:dyDescent="0.25">
      <c r="A13206" t="s">
        <v>35</v>
      </c>
      <c r="B13206" t="s">
        <v>106</v>
      </c>
      <c r="C13206" t="str">
        <f>"A0135744"</f>
        <v>A0135744</v>
      </c>
      <c r="D13206" t="s">
        <v>47047</v>
      </c>
      <c r="E13206" t="s">
        <v>47042</v>
      </c>
      <c r="F13206" t="s">
        <v>9808</v>
      </c>
      <c r="G13206" t="s">
        <v>47</v>
      </c>
      <c r="H13206">
        <v>97331</v>
      </c>
      <c r="I13206" t="s">
        <v>30</v>
      </c>
      <c r="J13206" t="s">
        <v>111</v>
      </c>
      <c r="K13206" t="s">
        <v>10012</v>
      </c>
      <c r="Q13206">
        <v>0</v>
      </c>
      <c r="R13206">
        <v>0</v>
      </c>
      <c r="S13206">
        <v>0</v>
      </c>
      <c r="T13206" t="s">
        <v>46985</v>
      </c>
    </row>
    <row r="13207" spans="1:20" customFormat="1" ht="15" x14ac:dyDescent="0.25">
      <c r="A13207" t="s">
        <v>35</v>
      </c>
      <c r="B13207" t="s">
        <v>106</v>
      </c>
      <c r="C13207" t="str">
        <f>"A0135752"</f>
        <v>A0135752</v>
      </c>
      <c r="D13207" t="s">
        <v>47048</v>
      </c>
      <c r="E13207" t="s">
        <v>46984</v>
      </c>
      <c r="F13207" t="s">
        <v>9808</v>
      </c>
      <c r="G13207" t="s">
        <v>47</v>
      </c>
      <c r="H13207">
        <v>97333</v>
      </c>
      <c r="I13207" t="s">
        <v>30</v>
      </c>
      <c r="J13207" t="s">
        <v>111</v>
      </c>
      <c r="K13207" t="s">
        <v>112</v>
      </c>
      <c r="Q13207">
        <v>0</v>
      </c>
      <c r="R13207">
        <v>0</v>
      </c>
      <c r="S13207">
        <v>0</v>
      </c>
      <c r="T13207" t="s">
        <v>46985</v>
      </c>
    </row>
    <row r="13208" spans="1:20" customFormat="1" ht="15" x14ac:dyDescent="0.25">
      <c r="A13208" t="s">
        <v>35</v>
      </c>
      <c r="B13208" t="s">
        <v>106</v>
      </c>
      <c r="C13208" t="str">
        <f>"A0135739"</f>
        <v>A0135739</v>
      </c>
      <c r="D13208" t="s">
        <v>47049</v>
      </c>
      <c r="E13208" t="s">
        <v>47042</v>
      </c>
      <c r="F13208" t="s">
        <v>9808</v>
      </c>
      <c r="G13208" t="s">
        <v>47</v>
      </c>
      <c r="H13208">
        <v>97331</v>
      </c>
      <c r="I13208" t="s">
        <v>30</v>
      </c>
      <c r="J13208" t="s">
        <v>111</v>
      </c>
      <c r="K13208" t="s">
        <v>10012</v>
      </c>
      <c r="Q13208">
        <v>0</v>
      </c>
      <c r="R13208">
        <v>0</v>
      </c>
      <c r="S13208">
        <v>0</v>
      </c>
      <c r="T13208" t="s">
        <v>47040</v>
      </c>
    </row>
    <row r="13209" spans="1:20" customFormat="1" ht="15" x14ac:dyDescent="0.25">
      <c r="A13209" t="s">
        <v>35</v>
      </c>
      <c r="B13209" t="s">
        <v>106</v>
      </c>
      <c r="C13209" t="str">
        <f>"A0136236"</f>
        <v>A0136236</v>
      </c>
      <c r="D13209" t="s">
        <v>47050</v>
      </c>
      <c r="E13209" t="s">
        <v>47051</v>
      </c>
      <c r="F13209" t="s">
        <v>9808</v>
      </c>
      <c r="G13209" t="s">
        <v>47</v>
      </c>
      <c r="H13209">
        <v>97331</v>
      </c>
      <c r="I13209" t="s">
        <v>30</v>
      </c>
      <c r="J13209" t="s">
        <v>111</v>
      </c>
      <c r="K13209" t="s">
        <v>10012</v>
      </c>
      <c r="Q13209">
        <v>0</v>
      </c>
      <c r="R13209">
        <v>0</v>
      </c>
      <c r="S13209">
        <v>0</v>
      </c>
      <c r="T13209" t="s">
        <v>47052</v>
      </c>
    </row>
    <row r="13210" spans="1:20" customFormat="1" ht="15" x14ac:dyDescent="0.25">
      <c r="A13210" t="s">
        <v>35</v>
      </c>
      <c r="B13210" t="s">
        <v>106</v>
      </c>
      <c r="C13210" t="str">
        <f>"A0135750"</f>
        <v>A0135750</v>
      </c>
      <c r="D13210" t="s">
        <v>47053</v>
      </c>
      <c r="E13210" t="s">
        <v>47054</v>
      </c>
      <c r="F13210" t="s">
        <v>9808</v>
      </c>
      <c r="G13210" t="s">
        <v>47</v>
      </c>
      <c r="H13210">
        <v>97331</v>
      </c>
      <c r="I13210" t="s">
        <v>30</v>
      </c>
      <c r="J13210" t="s">
        <v>111</v>
      </c>
      <c r="K13210" t="s">
        <v>10012</v>
      </c>
      <c r="Q13210">
        <v>0</v>
      </c>
      <c r="R13210">
        <v>0</v>
      </c>
      <c r="S13210">
        <v>0</v>
      </c>
      <c r="T13210" t="s">
        <v>47036</v>
      </c>
    </row>
    <row r="13211" spans="1:20" customFormat="1" ht="15" x14ac:dyDescent="0.25">
      <c r="A13211" t="s">
        <v>35</v>
      </c>
      <c r="B13211" t="s">
        <v>106</v>
      </c>
      <c r="C13211" t="str">
        <f>"A0135751"</f>
        <v>A0135751</v>
      </c>
      <c r="D13211" t="s">
        <v>47055</v>
      </c>
      <c r="E13211" t="s">
        <v>47056</v>
      </c>
      <c r="F13211" t="s">
        <v>9808</v>
      </c>
      <c r="G13211" t="s">
        <v>47</v>
      </c>
      <c r="H13211">
        <v>97331</v>
      </c>
      <c r="I13211" t="s">
        <v>30</v>
      </c>
      <c r="J13211" t="s">
        <v>111</v>
      </c>
      <c r="K13211" t="s">
        <v>112</v>
      </c>
      <c r="Q13211">
        <v>0</v>
      </c>
      <c r="R13211">
        <v>0</v>
      </c>
      <c r="S13211">
        <v>0</v>
      </c>
      <c r="T13211" t="s">
        <v>47036</v>
      </c>
    </row>
    <row r="13212" spans="1:20" customFormat="1" ht="15" x14ac:dyDescent="0.25">
      <c r="A13212" t="s">
        <v>35</v>
      </c>
      <c r="B13212" t="s">
        <v>106</v>
      </c>
      <c r="C13212" t="str">
        <f>"A0135737"</f>
        <v>A0135737</v>
      </c>
      <c r="D13212" t="s">
        <v>47057</v>
      </c>
      <c r="E13212" t="s">
        <v>47034</v>
      </c>
      <c r="F13212" t="s">
        <v>9808</v>
      </c>
      <c r="G13212" t="s">
        <v>47</v>
      </c>
      <c r="H13212">
        <v>97331</v>
      </c>
      <c r="I13212" t="s">
        <v>30</v>
      </c>
      <c r="J13212" t="s">
        <v>111</v>
      </c>
      <c r="K13212" t="s">
        <v>10012</v>
      </c>
      <c r="Q13212">
        <v>0</v>
      </c>
      <c r="R13212">
        <v>0</v>
      </c>
      <c r="S13212">
        <v>0</v>
      </c>
      <c r="T13212" t="s">
        <v>46985</v>
      </c>
    </row>
    <row r="13213" spans="1:20" customFormat="1" ht="15" x14ac:dyDescent="0.25">
      <c r="A13213" t="s">
        <v>35</v>
      </c>
      <c r="B13213" t="s">
        <v>61</v>
      </c>
      <c r="C13213" t="str">
        <f>"A0127823"</f>
        <v>A0127823</v>
      </c>
      <c r="D13213" t="s">
        <v>47058</v>
      </c>
      <c r="E13213" t="s">
        <v>47059</v>
      </c>
      <c r="F13213" t="s">
        <v>44915</v>
      </c>
      <c r="G13213" t="s">
        <v>117</v>
      </c>
      <c r="H13213">
        <v>49735</v>
      </c>
      <c r="I13213" t="s">
        <v>30</v>
      </c>
      <c r="J13213" t="s">
        <v>41</v>
      </c>
      <c r="K13213" t="s">
        <v>8643</v>
      </c>
      <c r="Q13213">
        <v>0</v>
      </c>
      <c r="R13213">
        <v>50</v>
      </c>
      <c r="S13213">
        <v>50</v>
      </c>
      <c r="T13213" t="s">
        <v>47060</v>
      </c>
    </row>
    <row r="13214" spans="1:20" customFormat="1" ht="15" x14ac:dyDescent="0.25">
      <c r="A13214" t="s">
        <v>35</v>
      </c>
      <c r="B13214" t="s">
        <v>61</v>
      </c>
      <c r="C13214" t="str">
        <f>"A0130458"</f>
        <v>A0130458</v>
      </c>
      <c r="D13214" t="s">
        <v>47061</v>
      </c>
      <c r="E13214" t="s">
        <v>47062</v>
      </c>
      <c r="F13214" t="s">
        <v>12138</v>
      </c>
      <c r="G13214" t="s">
        <v>1898</v>
      </c>
      <c r="H13214">
        <v>50588</v>
      </c>
      <c r="I13214" t="s">
        <v>30</v>
      </c>
      <c r="J13214" t="s">
        <v>41</v>
      </c>
      <c r="K13214" t="s">
        <v>59</v>
      </c>
      <c r="Q13214">
        <v>0</v>
      </c>
      <c r="R13214">
        <v>44</v>
      </c>
      <c r="S13214">
        <v>44</v>
      </c>
      <c r="T13214" t="s">
        <v>45808</v>
      </c>
    </row>
    <row r="13215" spans="1:20" customFormat="1" ht="15" x14ac:dyDescent="0.25">
      <c r="A13215" t="s">
        <v>35</v>
      </c>
      <c r="B13215" t="s">
        <v>61</v>
      </c>
      <c r="C13215" t="str">
        <f>"A0132276"</f>
        <v>A0132276</v>
      </c>
      <c r="D13215" t="s">
        <v>47063</v>
      </c>
      <c r="E13215" t="s">
        <v>47064</v>
      </c>
      <c r="F13215" t="s">
        <v>47065</v>
      </c>
      <c r="G13215" t="s">
        <v>65</v>
      </c>
      <c r="H13215">
        <v>43449</v>
      </c>
      <c r="I13215" t="s">
        <v>30</v>
      </c>
      <c r="J13215" t="s">
        <v>41</v>
      </c>
      <c r="K13215" t="s">
        <v>229</v>
      </c>
      <c r="Q13215">
        <v>0</v>
      </c>
      <c r="R13215">
        <v>200</v>
      </c>
      <c r="S13215">
        <v>200</v>
      </c>
      <c r="T13215" t="s">
        <v>47066</v>
      </c>
    </row>
    <row r="13216" spans="1:20" customFormat="1" ht="15" x14ac:dyDescent="0.25">
      <c r="A13216" t="s">
        <v>35</v>
      </c>
      <c r="B13216" t="s">
        <v>106</v>
      </c>
      <c r="C13216" t="str">
        <f>"A0158210"</f>
        <v>A0158210</v>
      </c>
      <c r="D13216" t="s">
        <v>47067</v>
      </c>
      <c r="E13216" t="s">
        <v>47068</v>
      </c>
      <c r="F13216" t="s">
        <v>7734</v>
      </c>
      <c r="G13216" t="s">
        <v>197</v>
      </c>
      <c r="H13216">
        <v>85719</v>
      </c>
      <c r="I13216" t="s">
        <v>30</v>
      </c>
      <c r="J13216" t="s">
        <v>111</v>
      </c>
      <c r="K13216" t="s">
        <v>112</v>
      </c>
      <c r="Q13216">
        <v>0</v>
      </c>
      <c r="R13216">
        <v>0</v>
      </c>
      <c r="S13216">
        <v>0</v>
      </c>
      <c r="T13216" t="s">
        <v>47069</v>
      </c>
    </row>
    <row r="13217" spans="1:20" customFormat="1" ht="15" x14ac:dyDescent="0.25">
      <c r="A13217" t="s">
        <v>35</v>
      </c>
      <c r="B13217" t="s">
        <v>106</v>
      </c>
      <c r="C13217" t="str">
        <f>"A0158212"</f>
        <v>A0158212</v>
      </c>
      <c r="D13217" t="s">
        <v>47070</v>
      </c>
      <c r="E13217" t="s">
        <v>47071</v>
      </c>
      <c r="F13217" t="s">
        <v>6244</v>
      </c>
      <c r="G13217" t="s">
        <v>110</v>
      </c>
      <c r="H13217">
        <v>93710</v>
      </c>
      <c r="I13217" t="s">
        <v>30</v>
      </c>
      <c r="J13217" t="s">
        <v>111</v>
      </c>
      <c r="K13217" t="s">
        <v>112</v>
      </c>
      <c r="Q13217">
        <v>0</v>
      </c>
      <c r="R13217">
        <v>0</v>
      </c>
      <c r="S13217">
        <v>0</v>
      </c>
      <c r="T13217" t="s">
        <v>47069</v>
      </c>
    </row>
    <row r="13218" spans="1:20" customFormat="1" ht="15" x14ac:dyDescent="0.25">
      <c r="A13218" t="s">
        <v>35</v>
      </c>
      <c r="B13218" t="s">
        <v>61</v>
      </c>
      <c r="C13218" t="str">
        <f>"A0123872"</f>
        <v>A0123872</v>
      </c>
      <c r="D13218" t="s">
        <v>47072</v>
      </c>
      <c r="E13218" t="s">
        <v>47073</v>
      </c>
      <c r="F13218" t="s">
        <v>47074</v>
      </c>
      <c r="G13218" t="s">
        <v>214</v>
      </c>
      <c r="H13218">
        <v>27874</v>
      </c>
      <c r="I13218" t="s">
        <v>30</v>
      </c>
      <c r="J13218" t="s">
        <v>41</v>
      </c>
      <c r="K13218" t="s">
        <v>229</v>
      </c>
      <c r="Q13218">
        <v>0</v>
      </c>
      <c r="R13218">
        <v>92</v>
      </c>
      <c r="S13218">
        <v>92</v>
      </c>
      <c r="T13218" t="s">
        <v>47075</v>
      </c>
    </row>
    <row r="13219" spans="1:20" customFormat="1" ht="15" x14ac:dyDescent="0.25">
      <c r="A13219" t="s">
        <v>35</v>
      </c>
      <c r="B13219" t="s">
        <v>61</v>
      </c>
      <c r="C13219" t="str">
        <f>"A0121288"</f>
        <v>A0121288</v>
      </c>
      <c r="D13219" t="s">
        <v>47076</v>
      </c>
      <c r="E13219" t="s">
        <v>47077</v>
      </c>
      <c r="F13219" t="s">
        <v>40314</v>
      </c>
      <c r="G13219" t="s">
        <v>153</v>
      </c>
      <c r="H13219">
        <v>84404</v>
      </c>
      <c r="I13219" t="s">
        <v>30</v>
      </c>
      <c r="J13219" t="s">
        <v>41</v>
      </c>
      <c r="K13219" t="s">
        <v>59</v>
      </c>
      <c r="Q13219">
        <v>0</v>
      </c>
      <c r="R13219">
        <v>59</v>
      </c>
      <c r="S13219">
        <v>59</v>
      </c>
      <c r="T13219" t="s">
        <v>47078</v>
      </c>
    </row>
    <row r="13220" spans="1:20" customFormat="1" ht="15" x14ac:dyDescent="0.25">
      <c r="A13220" t="s">
        <v>35</v>
      </c>
      <c r="B13220" t="s">
        <v>61</v>
      </c>
      <c r="C13220" t="str">
        <f>"A0121235"</f>
        <v>A0121235</v>
      </c>
      <c r="D13220" t="s">
        <v>47079</v>
      </c>
      <c r="E13220" t="s">
        <v>47080</v>
      </c>
      <c r="F13220" t="s">
        <v>38643</v>
      </c>
      <c r="G13220" t="s">
        <v>153</v>
      </c>
      <c r="H13220">
        <v>84058</v>
      </c>
      <c r="I13220" t="s">
        <v>30</v>
      </c>
      <c r="J13220" t="s">
        <v>41</v>
      </c>
      <c r="K13220" t="s">
        <v>59</v>
      </c>
      <c r="Q13220">
        <v>0</v>
      </c>
      <c r="R13220">
        <v>32</v>
      </c>
      <c r="S13220">
        <v>32</v>
      </c>
      <c r="T13220" t="s">
        <v>47081</v>
      </c>
    </row>
    <row r="13221" spans="1:20" customFormat="1" ht="15" x14ac:dyDescent="0.25">
      <c r="A13221" t="s">
        <v>35</v>
      </c>
      <c r="B13221" t="s">
        <v>61</v>
      </c>
      <c r="C13221" t="str">
        <f>"A0121240"</f>
        <v>A0121240</v>
      </c>
      <c r="D13221" t="s">
        <v>47082</v>
      </c>
      <c r="E13221" t="s">
        <v>47083</v>
      </c>
      <c r="F13221" t="s">
        <v>47084</v>
      </c>
      <c r="G13221" t="s">
        <v>153</v>
      </c>
      <c r="H13221">
        <v>84337</v>
      </c>
      <c r="I13221" t="s">
        <v>30</v>
      </c>
      <c r="J13221" t="s">
        <v>41</v>
      </c>
      <c r="K13221" t="s">
        <v>59</v>
      </c>
      <c r="Q13221">
        <v>0</v>
      </c>
      <c r="R13221">
        <v>18</v>
      </c>
      <c r="S13221">
        <v>18</v>
      </c>
      <c r="T13221" t="s">
        <v>47085</v>
      </c>
    </row>
    <row r="13222" spans="1:20" customFormat="1" ht="15" x14ac:dyDescent="0.25">
      <c r="A13222" t="s">
        <v>35</v>
      </c>
      <c r="B13222" t="s">
        <v>106</v>
      </c>
      <c r="C13222" t="str">
        <f>"A0136607"</f>
        <v>A0136607</v>
      </c>
      <c r="D13222" t="s">
        <v>47086</v>
      </c>
      <c r="E13222" t="s">
        <v>47087</v>
      </c>
      <c r="F13222" t="s">
        <v>9450</v>
      </c>
      <c r="G13222" t="s">
        <v>1184</v>
      </c>
      <c r="H13222">
        <v>59401</v>
      </c>
      <c r="I13222" t="s">
        <v>30</v>
      </c>
      <c r="J13222" t="s">
        <v>111</v>
      </c>
      <c r="K13222" t="s">
        <v>112</v>
      </c>
      <c r="Q13222">
        <v>0</v>
      </c>
      <c r="R13222">
        <v>0</v>
      </c>
      <c r="S13222">
        <v>0</v>
      </c>
      <c r="T13222" t="s">
        <v>47088</v>
      </c>
    </row>
    <row r="13223" spans="1:20" customFormat="1" ht="15" x14ac:dyDescent="0.25">
      <c r="A13223" t="s">
        <v>35</v>
      </c>
      <c r="B13223" t="s">
        <v>106</v>
      </c>
      <c r="C13223" t="str">
        <f>"A0136516"</f>
        <v>A0136516</v>
      </c>
      <c r="D13223" t="s">
        <v>47089</v>
      </c>
      <c r="E13223" t="s">
        <v>47090</v>
      </c>
      <c r="F13223" t="s">
        <v>516</v>
      </c>
      <c r="G13223" t="s">
        <v>123</v>
      </c>
      <c r="H13223">
        <v>212212203</v>
      </c>
      <c r="I13223" t="s">
        <v>30</v>
      </c>
      <c r="J13223" t="s">
        <v>111</v>
      </c>
      <c r="K13223" t="s">
        <v>112</v>
      </c>
      <c r="Q13223">
        <v>0</v>
      </c>
      <c r="R13223">
        <v>0</v>
      </c>
      <c r="S13223">
        <v>0</v>
      </c>
      <c r="T13223" t="s">
        <v>47091</v>
      </c>
    </row>
    <row r="13224" spans="1:20" customFormat="1" ht="15" x14ac:dyDescent="0.25">
      <c r="A13224" t="s">
        <v>35</v>
      </c>
      <c r="B13224" t="s">
        <v>61</v>
      </c>
      <c r="C13224" t="str">
        <f>"A0127278"</f>
        <v>A0127278</v>
      </c>
      <c r="D13224" t="s">
        <v>47092</v>
      </c>
      <c r="E13224" t="s">
        <v>47093</v>
      </c>
      <c r="F13224" t="s">
        <v>10276</v>
      </c>
      <c r="G13224" t="s">
        <v>846</v>
      </c>
      <c r="H13224">
        <v>30315</v>
      </c>
      <c r="I13224" t="s">
        <v>30</v>
      </c>
      <c r="J13224" t="s">
        <v>41</v>
      </c>
      <c r="K13224" t="s">
        <v>229</v>
      </c>
      <c r="Q13224">
        <v>0</v>
      </c>
      <c r="R13224">
        <v>35</v>
      </c>
      <c r="S13224">
        <v>35</v>
      </c>
      <c r="T13224" t="s">
        <v>47094</v>
      </c>
    </row>
    <row r="13225" spans="1:20" customFormat="1" ht="15" x14ac:dyDescent="0.25">
      <c r="A13225" t="s">
        <v>35</v>
      </c>
      <c r="B13225" t="s">
        <v>61</v>
      </c>
      <c r="C13225" t="str">
        <f>"A0129291"</f>
        <v>A0129291</v>
      </c>
      <c r="D13225" t="s">
        <v>47095</v>
      </c>
      <c r="E13225" t="s">
        <v>47096</v>
      </c>
      <c r="F13225" t="s">
        <v>36510</v>
      </c>
      <c r="G13225" t="s">
        <v>289</v>
      </c>
      <c r="H13225">
        <v>60439</v>
      </c>
      <c r="I13225" t="s">
        <v>30</v>
      </c>
      <c r="J13225" t="s">
        <v>41</v>
      </c>
      <c r="K13225" t="s">
        <v>229</v>
      </c>
      <c r="Q13225">
        <v>0</v>
      </c>
      <c r="R13225">
        <v>77</v>
      </c>
      <c r="S13225">
        <v>77</v>
      </c>
      <c r="T13225" t="s">
        <v>47097</v>
      </c>
    </row>
    <row r="13226" spans="1:20" customFormat="1" ht="15" x14ac:dyDescent="0.25">
      <c r="A13226" t="s">
        <v>35</v>
      </c>
      <c r="B13226" t="s">
        <v>61</v>
      </c>
      <c r="C13226" t="str">
        <f>"A0128753"</f>
        <v>A0128753</v>
      </c>
      <c r="D13226" t="s">
        <v>47098</v>
      </c>
      <c r="E13226" t="s">
        <v>47099</v>
      </c>
      <c r="F13226" t="s">
        <v>7095</v>
      </c>
      <c r="G13226" t="s">
        <v>1170</v>
      </c>
      <c r="H13226">
        <v>701310000</v>
      </c>
      <c r="I13226" t="s">
        <v>30</v>
      </c>
      <c r="J13226" t="s">
        <v>41</v>
      </c>
      <c r="K13226" t="s">
        <v>59</v>
      </c>
      <c r="Q13226">
        <v>0</v>
      </c>
      <c r="R13226">
        <v>120</v>
      </c>
      <c r="S13226">
        <v>120</v>
      </c>
      <c r="T13226" t="s">
        <v>47100</v>
      </c>
    </row>
    <row r="13227" spans="1:20" customFormat="1" ht="15" x14ac:dyDescent="0.25">
      <c r="A13227" t="s">
        <v>35</v>
      </c>
      <c r="B13227" t="s">
        <v>106</v>
      </c>
      <c r="C13227" t="str">
        <f>"A0151252"</f>
        <v>A0151252</v>
      </c>
      <c r="D13227" t="s">
        <v>47101</v>
      </c>
      <c r="E13227" t="s">
        <v>47102</v>
      </c>
      <c r="F13227" t="s">
        <v>42254</v>
      </c>
      <c r="G13227" t="s">
        <v>110</v>
      </c>
      <c r="H13227">
        <v>90254</v>
      </c>
      <c r="I13227" t="s">
        <v>30</v>
      </c>
      <c r="J13227" t="s">
        <v>111</v>
      </c>
      <c r="K13227" t="s">
        <v>112</v>
      </c>
      <c r="Q13227">
        <v>0</v>
      </c>
      <c r="R13227">
        <v>0</v>
      </c>
      <c r="S13227">
        <v>0</v>
      </c>
      <c r="T13227" t="s">
        <v>47103</v>
      </c>
    </row>
    <row r="13228" spans="1:20" customFormat="1" ht="15" x14ac:dyDescent="0.25">
      <c r="A13228" t="s">
        <v>35</v>
      </c>
      <c r="B13228" t="s">
        <v>106</v>
      </c>
      <c r="C13228" t="str">
        <f>"A0135432"</f>
        <v>A0135432</v>
      </c>
      <c r="D13228" t="s">
        <v>47104</v>
      </c>
      <c r="E13228" t="s">
        <v>47105</v>
      </c>
      <c r="F13228" t="s">
        <v>7362</v>
      </c>
      <c r="G13228" t="s">
        <v>110</v>
      </c>
      <c r="H13228">
        <v>90024</v>
      </c>
      <c r="I13228" t="s">
        <v>30</v>
      </c>
      <c r="J13228" t="s">
        <v>111</v>
      </c>
      <c r="K13228" t="s">
        <v>112</v>
      </c>
      <c r="Q13228">
        <v>0</v>
      </c>
      <c r="R13228">
        <v>0</v>
      </c>
      <c r="S13228">
        <v>0</v>
      </c>
      <c r="T13228" t="s">
        <v>47069</v>
      </c>
    </row>
    <row r="13229" spans="1:20" customFormat="1" ht="15" x14ac:dyDescent="0.25">
      <c r="A13229" t="s">
        <v>35</v>
      </c>
      <c r="B13229" t="s">
        <v>106</v>
      </c>
      <c r="C13229" t="str">
        <f>"A0135435"</f>
        <v>A0135435</v>
      </c>
      <c r="D13229" t="s">
        <v>47106</v>
      </c>
      <c r="E13229" t="s">
        <v>47107</v>
      </c>
      <c r="F13229" t="s">
        <v>1439</v>
      </c>
      <c r="G13229" t="s">
        <v>110</v>
      </c>
      <c r="H13229">
        <v>92115</v>
      </c>
      <c r="I13229" t="s">
        <v>30</v>
      </c>
      <c r="J13229" t="s">
        <v>111</v>
      </c>
      <c r="K13229" t="s">
        <v>112</v>
      </c>
      <c r="Q13229">
        <v>0</v>
      </c>
      <c r="R13229">
        <v>0</v>
      </c>
      <c r="S13229">
        <v>0</v>
      </c>
      <c r="T13229" t="s">
        <v>47069</v>
      </c>
    </row>
    <row r="13230" spans="1:20" customFormat="1" ht="15" x14ac:dyDescent="0.25">
      <c r="A13230" t="s">
        <v>35</v>
      </c>
      <c r="B13230" t="s">
        <v>106</v>
      </c>
      <c r="C13230" t="str">
        <f>"A0135422"</f>
        <v>A0135422</v>
      </c>
      <c r="D13230" t="s">
        <v>47108</v>
      </c>
      <c r="E13230" t="s">
        <v>47109</v>
      </c>
      <c r="F13230" t="s">
        <v>7362</v>
      </c>
      <c r="G13230" t="s">
        <v>110</v>
      </c>
      <c r="H13230">
        <v>90024</v>
      </c>
      <c r="I13230" t="s">
        <v>30</v>
      </c>
      <c r="J13230" t="s">
        <v>111</v>
      </c>
      <c r="K13230" t="s">
        <v>112</v>
      </c>
      <c r="Q13230">
        <v>0</v>
      </c>
      <c r="R13230">
        <v>0</v>
      </c>
      <c r="S13230">
        <v>0</v>
      </c>
      <c r="T13230" t="s">
        <v>47069</v>
      </c>
    </row>
    <row r="13231" spans="1:20" customFormat="1" ht="15" x14ac:dyDescent="0.25">
      <c r="A13231" t="s">
        <v>35</v>
      </c>
      <c r="B13231" t="s">
        <v>106</v>
      </c>
      <c r="C13231" t="str">
        <f>"A0150674"</f>
        <v>A0150674</v>
      </c>
      <c r="D13231" t="s">
        <v>47110</v>
      </c>
      <c r="E13231" t="s">
        <v>47111</v>
      </c>
      <c r="F13231" t="s">
        <v>7734</v>
      </c>
      <c r="G13231" t="s">
        <v>197</v>
      </c>
      <c r="H13231">
        <v>85719</v>
      </c>
      <c r="I13231" t="s">
        <v>30</v>
      </c>
      <c r="J13231" t="s">
        <v>111</v>
      </c>
      <c r="K13231" t="s">
        <v>112</v>
      </c>
      <c r="Q13231">
        <v>0</v>
      </c>
      <c r="R13231">
        <v>0</v>
      </c>
      <c r="S13231">
        <v>0</v>
      </c>
      <c r="T13231" t="s">
        <v>47069</v>
      </c>
    </row>
    <row r="13232" spans="1:20" customFormat="1" ht="15" x14ac:dyDescent="0.25">
      <c r="A13232" t="s">
        <v>35</v>
      </c>
      <c r="B13232" t="s">
        <v>106</v>
      </c>
      <c r="C13232" t="str">
        <f>"A0135426"</f>
        <v>A0135426</v>
      </c>
      <c r="D13232" t="s">
        <v>47112</v>
      </c>
      <c r="E13232" t="s">
        <v>47113</v>
      </c>
      <c r="F13232" t="s">
        <v>7362</v>
      </c>
      <c r="G13232" t="s">
        <v>110</v>
      </c>
      <c r="H13232">
        <v>90024</v>
      </c>
      <c r="I13232" t="s">
        <v>30</v>
      </c>
      <c r="J13232" t="s">
        <v>111</v>
      </c>
      <c r="K13232" t="s">
        <v>112</v>
      </c>
      <c r="Q13232">
        <v>0</v>
      </c>
      <c r="R13232">
        <v>0</v>
      </c>
      <c r="S13232">
        <v>0</v>
      </c>
      <c r="T13232" t="s">
        <v>47069</v>
      </c>
    </row>
    <row r="13233" spans="1:20" customFormat="1" ht="15" x14ac:dyDescent="0.25">
      <c r="A13233" t="s">
        <v>35</v>
      </c>
      <c r="B13233" t="s">
        <v>106</v>
      </c>
      <c r="C13233" t="str">
        <f>"A0150670"</f>
        <v>A0150670</v>
      </c>
      <c r="D13233" t="s">
        <v>47114</v>
      </c>
      <c r="E13233" t="s">
        <v>47115</v>
      </c>
      <c r="F13233" t="s">
        <v>1439</v>
      </c>
      <c r="G13233" t="s">
        <v>110</v>
      </c>
      <c r="H13233">
        <v>92115</v>
      </c>
      <c r="I13233" t="s">
        <v>30</v>
      </c>
      <c r="J13233" t="s">
        <v>111</v>
      </c>
      <c r="K13233" t="s">
        <v>112</v>
      </c>
      <c r="Q13233">
        <v>0</v>
      </c>
      <c r="R13233">
        <v>0</v>
      </c>
      <c r="S13233">
        <v>0</v>
      </c>
      <c r="T13233" t="s">
        <v>47069</v>
      </c>
    </row>
    <row r="13234" spans="1:20" customFormat="1" ht="15" x14ac:dyDescent="0.25">
      <c r="A13234" t="s">
        <v>35</v>
      </c>
      <c r="B13234" t="s">
        <v>106</v>
      </c>
      <c r="C13234" t="str">
        <f>"A0135434"</f>
        <v>A0135434</v>
      </c>
      <c r="D13234" t="s">
        <v>47116</v>
      </c>
      <c r="E13234" t="s">
        <v>47117</v>
      </c>
      <c r="F13234" t="s">
        <v>1439</v>
      </c>
      <c r="G13234" t="s">
        <v>110</v>
      </c>
      <c r="H13234">
        <v>92115</v>
      </c>
      <c r="I13234" t="s">
        <v>30</v>
      </c>
      <c r="J13234" t="s">
        <v>111</v>
      </c>
      <c r="K13234" t="s">
        <v>112</v>
      </c>
      <c r="Q13234">
        <v>0</v>
      </c>
      <c r="R13234">
        <v>0</v>
      </c>
      <c r="S13234">
        <v>0</v>
      </c>
      <c r="T13234" t="s">
        <v>47069</v>
      </c>
    </row>
    <row r="13235" spans="1:20" customFormat="1" ht="15" x14ac:dyDescent="0.25">
      <c r="A13235" t="s">
        <v>35</v>
      </c>
      <c r="B13235" t="s">
        <v>106</v>
      </c>
      <c r="C13235" t="str">
        <f>"A0135433"</f>
        <v>A0135433</v>
      </c>
      <c r="D13235" t="s">
        <v>47118</v>
      </c>
      <c r="E13235" t="s">
        <v>47119</v>
      </c>
      <c r="F13235" t="s">
        <v>47120</v>
      </c>
      <c r="G13235" t="s">
        <v>110</v>
      </c>
      <c r="H13235">
        <v>93117</v>
      </c>
      <c r="I13235" t="s">
        <v>30</v>
      </c>
      <c r="J13235" t="s">
        <v>111</v>
      </c>
      <c r="K13235" t="s">
        <v>112</v>
      </c>
      <c r="Q13235">
        <v>0</v>
      </c>
      <c r="R13235">
        <v>0</v>
      </c>
      <c r="S13235">
        <v>0</v>
      </c>
      <c r="T13235" t="s">
        <v>47069</v>
      </c>
    </row>
    <row r="13236" spans="1:20" customFormat="1" ht="15" x14ac:dyDescent="0.25">
      <c r="A13236" t="s">
        <v>35</v>
      </c>
      <c r="B13236" t="s">
        <v>106</v>
      </c>
      <c r="C13236" t="str">
        <f>"A0151253"</f>
        <v>A0151253</v>
      </c>
      <c r="D13236" t="s">
        <v>47121</v>
      </c>
      <c r="E13236" t="s">
        <v>47122</v>
      </c>
      <c r="F13236" t="s">
        <v>7362</v>
      </c>
      <c r="G13236" t="s">
        <v>110</v>
      </c>
      <c r="H13236">
        <v>90007</v>
      </c>
      <c r="I13236" t="s">
        <v>30</v>
      </c>
      <c r="J13236" t="s">
        <v>111</v>
      </c>
      <c r="K13236" t="s">
        <v>112</v>
      </c>
      <c r="Q13236">
        <v>0</v>
      </c>
      <c r="R13236">
        <v>0</v>
      </c>
      <c r="S13236">
        <v>0</v>
      </c>
      <c r="T13236" t="s">
        <v>47069</v>
      </c>
    </row>
    <row r="13237" spans="1:20" customFormat="1" ht="15" x14ac:dyDescent="0.25">
      <c r="A13237" t="s">
        <v>35</v>
      </c>
      <c r="B13237" t="s">
        <v>106</v>
      </c>
      <c r="C13237" t="str">
        <f>"A0135430"</f>
        <v>A0135430</v>
      </c>
      <c r="D13237" t="s">
        <v>47121</v>
      </c>
      <c r="E13237" t="s">
        <v>47123</v>
      </c>
      <c r="F13237" t="s">
        <v>7362</v>
      </c>
      <c r="G13237" t="s">
        <v>110</v>
      </c>
      <c r="H13237">
        <v>90007</v>
      </c>
      <c r="I13237" t="s">
        <v>30</v>
      </c>
      <c r="J13237" t="s">
        <v>111</v>
      </c>
      <c r="K13237" t="s">
        <v>112</v>
      </c>
      <c r="Q13237">
        <v>0</v>
      </c>
      <c r="R13237">
        <v>0</v>
      </c>
      <c r="S13237">
        <v>0</v>
      </c>
      <c r="T13237" t="s">
        <v>47069</v>
      </c>
    </row>
    <row r="13238" spans="1:20" customFormat="1" ht="15" x14ac:dyDescent="0.25">
      <c r="A13238" t="s">
        <v>35</v>
      </c>
      <c r="B13238" t="s">
        <v>106</v>
      </c>
      <c r="C13238" t="str">
        <f>"A0158211"</f>
        <v>A0158211</v>
      </c>
      <c r="D13238" t="s">
        <v>47124</v>
      </c>
      <c r="E13238" t="s">
        <v>47125</v>
      </c>
      <c r="F13238" t="s">
        <v>7362</v>
      </c>
      <c r="G13238" t="s">
        <v>110</v>
      </c>
      <c r="H13238">
        <v>90024</v>
      </c>
      <c r="I13238" t="s">
        <v>30</v>
      </c>
      <c r="J13238" t="s">
        <v>111</v>
      </c>
      <c r="K13238" t="s">
        <v>112</v>
      </c>
      <c r="Q13238">
        <v>0</v>
      </c>
      <c r="R13238">
        <v>0</v>
      </c>
      <c r="S13238">
        <v>0</v>
      </c>
      <c r="T13238" t="s">
        <v>47069</v>
      </c>
    </row>
    <row r="13239" spans="1:20" customFormat="1" ht="15" x14ac:dyDescent="0.25">
      <c r="A13239" t="s">
        <v>35</v>
      </c>
      <c r="B13239" t="s">
        <v>106</v>
      </c>
      <c r="C13239" t="str">
        <f>"A0150667"</f>
        <v>A0150667</v>
      </c>
      <c r="D13239" t="s">
        <v>47126</v>
      </c>
      <c r="E13239" t="s">
        <v>47127</v>
      </c>
      <c r="F13239" t="s">
        <v>6244</v>
      </c>
      <c r="G13239" t="s">
        <v>110</v>
      </c>
      <c r="H13239">
        <v>93710</v>
      </c>
      <c r="I13239" t="s">
        <v>30</v>
      </c>
      <c r="J13239" t="s">
        <v>111</v>
      </c>
      <c r="K13239" t="s">
        <v>112</v>
      </c>
      <c r="Q13239">
        <v>0</v>
      </c>
      <c r="R13239">
        <v>0</v>
      </c>
      <c r="S13239">
        <v>0</v>
      </c>
      <c r="T13239" t="s">
        <v>47069</v>
      </c>
    </row>
    <row r="13240" spans="1:20" customFormat="1" ht="15" x14ac:dyDescent="0.25">
      <c r="A13240" t="s">
        <v>35</v>
      </c>
      <c r="B13240" t="s">
        <v>106</v>
      </c>
      <c r="C13240" t="str">
        <f>"A0135438"</f>
        <v>A0135438</v>
      </c>
      <c r="D13240" t="s">
        <v>47128</v>
      </c>
      <c r="E13240" t="s">
        <v>47129</v>
      </c>
      <c r="F13240" t="s">
        <v>1439</v>
      </c>
      <c r="G13240" t="s">
        <v>110</v>
      </c>
      <c r="H13240">
        <v>92115</v>
      </c>
      <c r="I13240" t="s">
        <v>30</v>
      </c>
      <c r="J13240" t="s">
        <v>111</v>
      </c>
      <c r="K13240" t="s">
        <v>112</v>
      </c>
      <c r="Q13240">
        <v>0</v>
      </c>
      <c r="R13240">
        <v>0</v>
      </c>
      <c r="S13240">
        <v>0</v>
      </c>
      <c r="T13240" t="s">
        <v>47069</v>
      </c>
    </row>
    <row r="13241" spans="1:20" customFormat="1" ht="15" x14ac:dyDescent="0.25">
      <c r="A13241" t="s">
        <v>35</v>
      </c>
      <c r="B13241" t="s">
        <v>106</v>
      </c>
      <c r="C13241" t="str">
        <f>"A0150671"</f>
        <v>A0150671</v>
      </c>
      <c r="D13241" t="s">
        <v>47128</v>
      </c>
      <c r="E13241" t="s">
        <v>47130</v>
      </c>
      <c r="F13241" t="s">
        <v>1439</v>
      </c>
      <c r="G13241" t="s">
        <v>110</v>
      </c>
      <c r="H13241">
        <v>92115</v>
      </c>
      <c r="I13241" t="s">
        <v>30</v>
      </c>
      <c r="J13241" t="s">
        <v>111</v>
      </c>
      <c r="K13241" t="s">
        <v>112</v>
      </c>
      <c r="Q13241">
        <v>0</v>
      </c>
      <c r="R13241">
        <v>0</v>
      </c>
      <c r="S13241">
        <v>0</v>
      </c>
      <c r="T13241" t="s">
        <v>47069</v>
      </c>
    </row>
    <row r="13242" spans="1:20" customFormat="1" ht="15" x14ac:dyDescent="0.25">
      <c r="A13242" t="s">
        <v>35</v>
      </c>
      <c r="B13242" t="s">
        <v>106</v>
      </c>
      <c r="C13242" t="str">
        <f>"A0135446"</f>
        <v>A0135446</v>
      </c>
      <c r="D13242" t="s">
        <v>47131</v>
      </c>
      <c r="E13242" t="s">
        <v>47132</v>
      </c>
      <c r="F13242" t="s">
        <v>7362</v>
      </c>
      <c r="G13242" t="s">
        <v>110</v>
      </c>
      <c r="H13242">
        <v>90024</v>
      </c>
      <c r="I13242" t="s">
        <v>30</v>
      </c>
      <c r="J13242" t="s">
        <v>111</v>
      </c>
      <c r="K13242" t="s">
        <v>112</v>
      </c>
      <c r="Q13242">
        <v>0</v>
      </c>
      <c r="R13242">
        <v>0</v>
      </c>
      <c r="S13242">
        <v>0</v>
      </c>
      <c r="T13242" t="s">
        <v>47069</v>
      </c>
    </row>
    <row r="13243" spans="1:20" customFormat="1" ht="15" x14ac:dyDescent="0.25">
      <c r="A13243" t="s">
        <v>35</v>
      </c>
      <c r="B13243" t="s">
        <v>106</v>
      </c>
      <c r="C13243" t="str">
        <f>"A0135427"</f>
        <v>A0135427</v>
      </c>
      <c r="D13243" t="s">
        <v>47133</v>
      </c>
      <c r="E13243" t="s">
        <v>47134</v>
      </c>
      <c r="F13243" t="s">
        <v>41626</v>
      </c>
      <c r="G13243" t="s">
        <v>110</v>
      </c>
      <c r="H13243">
        <v>93117</v>
      </c>
      <c r="I13243" t="s">
        <v>30</v>
      </c>
      <c r="J13243" t="s">
        <v>111</v>
      </c>
      <c r="K13243" t="s">
        <v>112</v>
      </c>
      <c r="Q13243">
        <v>0</v>
      </c>
      <c r="R13243">
        <v>0</v>
      </c>
      <c r="S13243">
        <v>0</v>
      </c>
      <c r="T13243" t="s">
        <v>47069</v>
      </c>
    </row>
    <row r="13244" spans="1:20" customFormat="1" ht="15" x14ac:dyDescent="0.25">
      <c r="A13244" t="s">
        <v>35</v>
      </c>
      <c r="B13244" t="s">
        <v>106</v>
      </c>
      <c r="C13244" t="str">
        <f>"A0135448"</f>
        <v>A0135448</v>
      </c>
      <c r="D13244" t="s">
        <v>47135</v>
      </c>
      <c r="E13244" t="s">
        <v>47136</v>
      </c>
      <c r="F13244" t="s">
        <v>7362</v>
      </c>
      <c r="G13244" t="s">
        <v>110</v>
      </c>
      <c r="H13244">
        <v>90007</v>
      </c>
      <c r="I13244" t="s">
        <v>30</v>
      </c>
      <c r="J13244" t="s">
        <v>111</v>
      </c>
      <c r="K13244" t="s">
        <v>112</v>
      </c>
      <c r="Q13244">
        <v>0</v>
      </c>
      <c r="R13244">
        <v>0</v>
      </c>
      <c r="S13244">
        <v>0</v>
      </c>
      <c r="T13244" t="s">
        <v>47069</v>
      </c>
    </row>
    <row r="13245" spans="1:20" customFormat="1" ht="15" x14ac:dyDescent="0.25">
      <c r="A13245" t="s">
        <v>35</v>
      </c>
      <c r="B13245" t="s">
        <v>106</v>
      </c>
      <c r="C13245" t="str">
        <f>"A0151612"</f>
        <v>A0151612</v>
      </c>
      <c r="D13245" t="s">
        <v>47137</v>
      </c>
      <c r="E13245" t="s">
        <v>47138</v>
      </c>
      <c r="F13245" t="s">
        <v>6244</v>
      </c>
      <c r="G13245" t="s">
        <v>110</v>
      </c>
      <c r="H13245">
        <v>93710</v>
      </c>
      <c r="I13245" t="s">
        <v>30</v>
      </c>
      <c r="J13245" t="s">
        <v>111</v>
      </c>
      <c r="K13245" t="s">
        <v>112</v>
      </c>
      <c r="Q13245">
        <v>0</v>
      </c>
      <c r="R13245">
        <v>0</v>
      </c>
      <c r="S13245">
        <v>0</v>
      </c>
      <c r="T13245" t="s">
        <v>47069</v>
      </c>
    </row>
    <row r="13246" spans="1:20" customFormat="1" ht="15" x14ac:dyDescent="0.25">
      <c r="A13246" t="s">
        <v>35</v>
      </c>
      <c r="B13246" t="s">
        <v>106</v>
      </c>
      <c r="C13246" t="str">
        <f>"A0150669"</f>
        <v>A0150669</v>
      </c>
      <c r="D13246" t="s">
        <v>47139</v>
      </c>
      <c r="E13246" t="s">
        <v>47140</v>
      </c>
      <c r="F13246" t="s">
        <v>1439</v>
      </c>
      <c r="G13246" t="s">
        <v>110</v>
      </c>
      <c r="H13246">
        <v>92445</v>
      </c>
      <c r="I13246" t="s">
        <v>30</v>
      </c>
      <c r="J13246" t="s">
        <v>111</v>
      </c>
      <c r="K13246" t="s">
        <v>112</v>
      </c>
      <c r="Q13246">
        <v>0</v>
      </c>
      <c r="R13246">
        <v>0</v>
      </c>
      <c r="S13246">
        <v>0</v>
      </c>
      <c r="T13246" t="s">
        <v>47069</v>
      </c>
    </row>
    <row r="13247" spans="1:20" customFormat="1" ht="15" x14ac:dyDescent="0.25">
      <c r="A13247" t="s">
        <v>35</v>
      </c>
      <c r="B13247" t="s">
        <v>106</v>
      </c>
      <c r="C13247" t="str">
        <f>"A0150672"</f>
        <v>A0150672</v>
      </c>
      <c r="D13247" t="s">
        <v>47141</v>
      </c>
      <c r="E13247" t="s">
        <v>47142</v>
      </c>
      <c r="F13247" t="s">
        <v>1439</v>
      </c>
      <c r="G13247" t="s">
        <v>110</v>
      </c>
      <c r="H13247">
        <v>92115</v>
      </c>
      <c r="I13247" t="s">
        <v>30</v>
      </c>
      <c r="J13247" t="s">
        <v>111</v>
      </c>
      <c r="K13247" t="s">
        <v>112</v>
      </c>
      <c r="Q13247">
        <v>0</v>
      </c>
      <c r="R13247">
        <v>0</v>
      </c>
      <c r="S13247">
        <v>0</v>
      </c>
      <c r="T13247" t="s">
        <v>47069</v>
      </c>
    </row>
    <row r="13248" spans="1:20" customFormat="1" ht="15" x14ac:dyDescent="0.25">
      <c r="A13248" t="s">
        <v>35</v>
      </c>
      <c r="B13248" t="s">
        <v>106</v>
      </c>
      <c r="C13248" t="str">
        <f>"A0150673"</f>
        <v>A0150673</v>
      </c>
      <c r="D13248" t="s">
        <v>47143</v>
      </c>
      <c r="E13248" t="s">
        <v>47144</v>
      </c>
      <c r="F13248" t="s">
        <v>7734</v>
      </c>
      <c r="G13248" t="s">
        <v>197</v>
      </c>
      <c r="H13248">
        <v>85719</v>
      </c>
      <c r="I13248" t="s">
        <v>30</v>
      </c>
      <c r="J13248" t="s">
        <v>111</v>
      </c>
      <c r="K13248" t="s">
        <v>112</v>
      </c>
      <c r="Q13248">
        <v>0</v>
      </c>
      <c r="R13248">
        <v>0</v>
      </c>
      <c r="S13248">
        <v>0</v>
      </c>
      <c r="T13248" t="s">
        <v>47069</v>
      </c>
    </row>
    <row r="13249" spans="1:20" customFormat="1" ht="15" x14ac:dyDescent="0.25">
      <c r="A13249" t="s">
        <v>35</v>
      </c>
      <c r="B13249" t="s">
        <v>106</v>
      </c>
      <c r="C13249" t="str">
        <f>"A0150668"</f>
        <v>A0150668</v>
      </c>
      <c r="D13249" t="s">
        <v>47145</v>
      </c>
      <c r="E13249" t="s">
        <v>47146</v>
      </c>
      <c r="F13249" t="s">
        <v>1439</v>
      </c>
      <c r="G13249" t="s">
        <v>110</v>
      </c>
      <c r="H13249">
        <v>92115</v>
      </c>
      <c r="I13249" t="s">
        <v>30</v>
      </c>
      <c r="J13249" t="s">
        <v>111</v>
      </c>
      <c r="K13249" t="s">
        <v>112</v>
      </c>
      <c r="Q13249">
        <v>0</v>
      </c>
      <c r="R13249">
        <v>0</v>
      </c>
      <c r="S13249">
        <v>0</v>
      </c>
      <c r="T13249" t="s">
        <v>47069</v>
      </c>
    </row>
    <row r="13250" spans="1:20" customFormat="1" ht="15" x14ac:dyDescent="0.25">
      <c r="A13250" t="s">
        <v>35</v>
      </c>
      <c r="B13250" t="s">
        <v>106</v>
      </c>
      <c r="C13250" t="str">
        <f>"A0150676"</f>
        <v>A0150676</v>
      </c>
      <c r="D13250" t="s">
        <v>47147</v>
      </c>
      <c r="E13250" t="s">
        <v>47148</v>
      </c>
      <c r="F13250" t="s">
        <v>7734</v>
      </c>
      <c r="G13250" t="s">
        <v>197</v>
      </c>
      <c r="H13250">
        <v>85719</v>
      </c>
      <c r="I13250" t="s">
        <v>30</v>
      </c>
      <c r="J13250" t="s">
        <v>111</v>
      </c>
      <c r="K13250" t="s">
        <v>112</v>
      </c>
      <c r="Q13250">
        <v>0</v>
      </c>
      <c r="R13250">
        <v>0</v>
      </c>
      <c r="S13250">
        <v>0</v>
      </c>
      <c r="T13250" t="s">
        <v>47069</v>
      </c>
    </row>
    <row r="13251" spans="1:20" customFormat="1" ht="15" x14ac:dyDescent="0.25">
      <c r="A13251" t="s">
        <v>35</v>
      </c>
      <c r="B13251" t="s">
        <v>106</v>
      </c>
      <c r="C13251" t="str">
        <f>"A0135421"</f>
        <v>A0135421</v>
      </c>
      <c r="D13251" t="s">
        <v>47149</v>
      </c>
      <c r="E13251" t="s">
        <v>47150</v>
      </c>
      <c r="F13251" t="s">
        <v>22137</v>
      </c>
      <c r="G13251" t="s">
        <v>110</v>
      </c>
      <c r="H13251">
        <v>95616</v>
      </c>
      <c r="I13251" t="s">
        <v>30</v>
      </c>
      <c r="J13251" t="s">
        <v>111</v>
      </c>
      <c r="K13251" t="s">
        <v>112</v>
      </c>
      <c r="Q13251">
        <v>0</v>
      </c>
      <c r="R13251">
        <v>0</v>
      </c>
      <c r="S13251">
        <v>0</v>
      </c>
      <c r="T13251" t="s">
        <v>47069</v>
      </c>
    </row>
    <row r="13252" spans="1:20" customFormat="1" ht="15" x14ac:dyDescent="0.25">
      <c r="A13252" t="s">
        <v>35</v>
      </c>
      <c r="B13252" t="s">
        <v>106</v>
      </c>
      <c r="C13252" t="str">
        <f>"A0135437"</f>
        <v>A0135437</v>
      </c>
      <c r="D13252" t="s">
        <v>47151</v>
      </c>
      <c r="E13252" t="s">
        <v>47152</v>
      </c>
      <c r="F13252" t="s">
        <v>1439</v>
      </c>
      <c r="G13252" t="s">
        <v>110</v>
      </c>
      <c r="H13252">
        <v>92115</v>
      </c>
      <c r="I13252" t="s">
        <v>30</v>
      </c>
      <c r="J13252" t="s">
        <v>111</v>
      </c>
      <c r="K13252" t="s">
        <v>112</v>
      </c>
      <c r="Q13252">
        <v>0</v>
      </c>
      <c r="R13252">
        <v>0</v>
      </c>
      <c r="S13252">
        <v>0</v>
      </c>
      <c r="T13252" t="s">
        <v>47069</v>
      </c>
    </row>
    <row r="13253" spans="1:20" customFormat="1" ht="15" x14ac:dyDescent="0.25">
      <c r="A13253" t="s">
        <v>35</v>
      </c>
      <c r="B13253" t="s">
        <v>106</v>
      </c>
      <c r="C13253" t="str">
        <f>"A0150675"</f>
        <v>A0150675</v>
      </c>
      <c r="D13253" t="s">
        <v>47153</v>
      </c>
      <c r="E13253" t="s">
        <v>47154</v>
      </c>
      <c r="F13253" t="s">
        <v>7734</v>
      </c>
      <c r="G13253" t="s">
        <v>197</v>
      </c>
      <c r="H13253">
        <v>85719</v>
      </c>
      <c r="I13253" t="s">
        <v>30</v>
      </c>
      <c r="J13253" t="s">
        <v>111</v>
      </c>
      <c r="K13253" t="s">
        <v>112</v>
      </c>
      <c r="Q13253">
        <v>0</v>
      </c>
      <c r="R13253">
        <v>0</v>
      </c>
      <c r="S13253">
        <v>0</v>
      </c>
      <c r="T13253" t="s">
        <v>47069</v>
      </c>
    </row>
    <row r="13254" spans="1:20" customFormat="1" ht="15" x14ac:dyDescent="0.25">
      <c r="A13254" t="s">
        <v>35</v>
      </c>
      <c r="B13254" t="s">
        <v>106</v>
      </c>
      <c r="C13254" t="str">
        <f>"A0155446"</f>
        <v>A0155446</v>
      </c>
      <c r="D13254" t="s">
        <v>47155</v>
      </c>
      <c r="E13254" t="s">
        <v>47156</v>
      </c>
      <c r="F13254" t="s">
        <v>7734</v>
      </c>
      <c r="G13254" t="s">
        <v>197</v>
      </c>
      <c r="H13254">
        <v>85719</v>
      </c>
      <c r="I13254" t="s">
        <v>30</v>
      </c>
      <c r="J13254" t="s">
        <v>111</v>
      </c>
      <c r="K13254" t="s">
        <v>112</v>
      </c>
      <c r="Q13254">
        <v>0</v>
      </c>
      <c r="R13254">
        <v>0</v>
      </c>
      <c r="S13254">
        <v>0</v>
      </c>
      <c r="T13254" t="s">
        <v>47069</v>
      </c>
    </row>
    <row r="13255" spans="1:20" customFormat="1" ht="15" x14ac:dyDescent="0.25">
      <c r="A13255" t="s">
        <v>35</v>
      </c>
      <c r="B13255" t="s">
        <v>106</v>
      </c>
      <c r="C13255" t="str">
        <f>"A0135423"</f>
        <v>A0135423</v>
      </c>
      <c r="D13255" t="s">
        <v>47157</v>
      </c>
      <c r="E13255" t="s">
        <v>47158</v>
      </c>
      <c r="F13255" t="s">
        <v>7362</v>
      </c>
      <c r="G13255" t="s">
        <v>110</v>
      </c>
      <c r="H13255">
        <v>90024</v>
      </c>
      <c r="I13255" t="s">
        <v>30</v>
      </c>
      <c r="J13255" t="s">
        <v>111</v>
      </c>
      <c r="K13255" t="s">
        <v>10012</v>
      </c>
      <c r="Q13255">
        <v>0</v>
      </c>
      <c r="R13255">
        <v>0</v>
      </c>
      <c r="S13255">
        <v>0</v>
      </c>
      <c r="T13255" t="s">
        <v>47069</v>
      </c>
    </row>
    <row r="13256" spans="1:20" customFormat="1" ht="15" x14ac:dyDescent="0.25">
      <c r="A13256" t="s">
        <v>35</v>
      </c>
      <c r="B13256" t="s">
        <v>106</v>
      </c>
      <c r="C13256" t="str">
        <f>"A0135436"</f>
        <v>A0135436</v>
      </c>
      <c r="D13256" t="s">
        <v>47159</v>
      </c>
      <c r="E13256" t="s">
        <v>47160</v>
      </c>
      <c r="F13256" t="s">
        <v>1439</v>
      </c>
      <c r="G13256" t="s">
        <v>110</v>
      </c>
      <c r="H13256">
        <v>92115</v>
      </c>
      <c r="I13256" t="s">
        <v>30</v>
      </c>
      <c r="J13256" t="s">
        <v>111</v>
      </c>
      <c r="K13256" t="s">
        <v>112</v>
      </c>
      <c r="Q13256">
        <v>0</v>
      </c>
      <c r="R13256">
        <v>0</v>
      </c>
      <c r="S13256">
        <v>0</v>
      </c>
      <c r="T13256" t="s">
        <v>47069</v>
      </c>
    </row>
    <row r="13257" spans="1:20" customFormat="1" ht="15" x14ac:dyDescent="0.25">
      <c r="A13257" t="s">
        <v>35</v>
      </c>
      <c r="B13257" t="s">
        <v>106</v>
      </c>
      <c r="C13257" t="str">
        <f>"A0156891"</f>
        <v>A0156891</v>
      </c>
      <c r="D13257" t="s">
        <v>47161</v>
      </c>
      <c r="E13257" t="s">
        <v>47162</v>
      </c>
      <c r="F13257" t="s">
        <v>7784</v>
      </c>
      <c r="G13257" t="s">
        <v>289</v>
      </c>
      <c r="H13257">
        <v>61821</v>
      </c>
      <c r="I13257" t="s">
        <v>30</v>
      </c>
      <c r="J13257" t="s">
        <v>111</v>
      </c>
      <c r="K13257" t="s">
        <v>112</v>
      </c>
      <c r="Q13257">
        <v>0</v>
      </c>
      <c r="R13257">
        <v>0</v>
      </c>
      <c r="S13257">
        <v>0</v>
      </c>
      <c r="T13257" t="s">
        <v>47163</v>
      </c>
    </row>
    <row r="13258" spans="1:20" customFormat="1" ht="15" x14ac:dyDescent="0.25">
      <c r="A13258" t="s">
        <v>35</v>
      </c>
      <c r="B13258" t="s">
        <v>106</v>
      </c>
      <c r="C13258" t="str">
        <f>"A0135428"</f>
        <v>A0135428</v>
      </c>
      <c r="D13258" t="s">
        <v>47164</v>
      </c>
      <c r="E13258" t="s">
        <v>47165</v>
      </c>
      <c r="F13258" t="s">
        <v>1439</v>
      </c>
      <c r="G13258" t="s">
        <v>110</v>
      </c>
      <c r="H13258">
        <v>92115</v>
      </c>
      <c r="I13258" t="s">
        <v>30</v>
      </c>
      <c r="J13258" t="s">
        <v>111</v>
      </c>
      <c r="K13258" t="s">
        <v>112</v>
      </c>
      <c r="Q13258">
        <v>0</v>
      </c>
      <c r="R13258">
        <v>0</v>
      </c>
      <c r="S13258">
        <v>0</v>
      </c>
      <c r="T13258" t="s">
        <v>47069</v>
      </c>
    </row>
    <row r="13259" spans="1:20" customFormat="1" ht="15" x14ac:dyDescent="0.25">
      <c r="A13259" t="s">
        <v>35</v>
      </c>
      <c r="B13259" t="s">
        <v>106</v>
      </c>
      <c r="C13259" t="str">
        <f>"A0135425"</f>
        <v>A0135425</v>
      </c>
      <c r="D13259" t="s">
        <v>47166</v>
      </c>
      <c r="E13259" t="s">
        <v>47167</v>
      </c>
      <c r="F13259" t="s">
        <v>7362</v>
      </c>
      <c r="G13259" t="s">
        <v>110</v>
      </c>
      <c r="H13259">
        <v>90024</v>
      </c>
      <c r="I13259" t="s">
        <v>30</v>
      </c>
      <c r="J13259" t="s">
        <v>111</v>
      </c>
      <c r="K13259" t="s">
        <v>10012</v>
      </c>
      <c r="Q13259">
        <v>0</v>
      </c>
      <c r="R13259">
        <v>0</v>
      </c>
      <c r="S13259">
        <v>0</v>
      </c>
      <c r="T13259" t="s">
        <v>47069</v>
      </c>
    </row>
    <row r="13260" spans="1:20" customFormat="1" ht="15" x14ac:dyDescent="0.25">
      <c r="A13260" t="s">
        <v>35</v>
      </c>
      <c r="B13260" t="s">
        <v>106</v>
      </c>
      <c r="C13260" t="str">
        <f>"A0135419"</f>
        <v>A0135419</v>
      </c>
      <c r="D13260" t="s">
        <v>47168</v>
      </c>
      <c r="E13260" t="s">
        <v>47169</v>
      </c>
      <c r="F13260" t="s">
        <v>7362</v>
      </c>
      <c r="G13260" t="s">
        <v>110</v>
      </c>
      <c r="H13260">
        <v>90024</v>
      </c>
      <c r="I13260" t="s">
        <v>30</v>
      </c>
      <c r="J13260" t="s">
        <v>111</v>
      </c>
      <c r="K13260" t="s">
        <v>112</v>
      </c>
      <c r="Q13260">
        <v>0</v>
      </c>
      <c r="R13260">
        <v>0</v>
      </c>
      <c r="S13260">
        <v>0</v>
      </c>
      <c r="T13260" t="s">
        <v>47069</v>
      </c>
    </row>
    <row r="13261" spans="1:20" customFormat="1" ht="15" x14ac:dyDescent="0.25">
      <c r="A13261" t="s">
        <v>35</v>
      </c>
      <c r="B13261" t="s">
        <v>106</v>
      </c>
      <c r="C13261" t="str">
        <f>"A0151613"</f>
        <v>A0151613</v>
      </c>
      <c r="D13261" t="s">
        <v>47170</v>
      </c>
      <c r="E13261" t="s">
        <v>47122</v>
      </c>
      <c r="F13261" t="s">
        <v>7362</v>
      </c>
      <c r="G13261" t="s">
        <v>110</v>
      </c>
      <c r="H13261">
        <v>90007</v>
      </c>
      <c r="I13261" t="s">
        <v>30</v>
      </c>
      <c r="J13261" t="s">
        <v>111</v>
      </c>
      <c r="K13261" t="s">
        <v>112</v>
      </c>
      <c r="Q13261">
        <v>0</v>
      </c>
      <c r="R13261">
        <v>0</v>
      </c>
      <c r="S13261">
        <v>0</v>
      </c>
      <c r="T13261" t="s">
        <v>47069</v>
      </c>
    </row>
    <row r="13262" spans="1:20" customFormat="1" ht="15" x14ac:dyDescent="0.25">
      <c r="A13262" t="s">
        <v>35</v>
      </c>
      <c r="B13262" t="s">
        <v>106</v>
      </c>
      <c r="C13262" t="str">
        <f>"A0135424"</f>
        <v>A0135424</v>
      </c>
      <c r="D13262" t="s">
        <v>47171</v>
      </c>
      <c r="E13262" t="s">
        <v>47172</v>
      </c>
      <c r="F13262" t="s">
        <v>7362</v>
      </c>
      <c r="G13262" t="s">
        <v>110</v>
      </c>
      <c r="H13262">
        <v>90024</v>
      </c>
      <c r="I13262" t="s">
        <v>30</v>
      </c>
      <c r="J13262" t="s">
        <v>111</v>
      </c>
      <c r="K13262" t="s">
        <v>10012</v>
      </c>
      <c r="Q13262">
        <v>0</v>
      </c>
      <c r="R13262">
        <v>0</v>
      </c>
      <c r="S13262">
        <v>0</v>
      </c>
      <c r="T13262" t="s">
        <v>47069</v>
      </c>
    </row>
    <row r="13263" spans="1:20" customFormat="1" ht="15" x14ac:dyDescent="0.25">
      <c r="A13263" t="s">
        <v>35</v>
      </c>
      <c r="B13263" t="s">
        <v>106</v>
      </c>
      <c r="C13263" t="str">
        <f>"A0156890"</f>
        <v>A0156890</v>
      </c>
      <c r="D13263" t="s">
        <v>47173</v>
      </c>
      <c r="E13263" t="s">
        <v>47174</v>
      </c>
      <c r="F13263" t="s">
        <v>7784</v>
      </c>
      <c r="G13263" t="s">
        <v>289</v>
      </c>
      <c r="H13263">
        <v>61821</v>
      </c>
      <c r="I13263" t="s">
        <v>30</v>
      </c>
      <c r="J13263" t="s">
        <v>111</v>
      </c>
      <c r="K13263" t="s">
        <v>112</v>
      </c>
      <c r="Q13263">
        <v>0</v>
      </c>
      <c r="R13263">
        <v>0</v>
      </c>
      <c r="S13263">
        <v>0</v>
      </c>
      <c r="T13263" t="s">
        <v>47163</v>
      </c>
    </row>
    <row r="13264" spans="1:20" customFormat="1" ht="15" x14ac:dyDescent="0.25">
      <c r="A13264" t="s">
        <v>35</v>
      </c>
      <c r="B13264" t="s">
        <v>106</v>
      </c>
      <c r="C13264" t="str">
        <f>"A0156887"</f>
        <v>A0156887</v>
      </c>
      <c r="D13264" t="s">
        <v>47175</v>
      </c>
      <c r="E13264" t="s">
        <v>47176</v>
      </c>
      <c r="F13264" t="s">
        <v>16944</v>
      </c>
      <c r="G13264" t="s">
        <v>381</v>
      </c>
      <c r="H13264">
        <v>47906</v>
      </c>
      <c r="I13264" t="s">
        <v>30</v>
      </c>
      <c r="J13264" t="s">
        <v>111</v>
      </c>
      <c r="K13264" t="s">
        <v>112</v>
      </c>
      <c r="Q13264">
        <v>0</v>
      </c>
      <c r="R13264">
        <v>0</v>
      </c>
      <c r="S13264">
        <v>0</v>
      </c>
      <c r="T13264" t="s">
        <v>47163</v>
      </c>
    </row>
    <row r="13265" spans="1:20" customFormat="1" ht="15" x14ac:dyDescent="0.25">
      <c r="A13265" t="s">
        <v>35</v>
      </c>
      <c r="B13265" t="s">
        <v>106</v>
      </c>
      <c r="C13265" t="str">
        <f>"A0156888"</f>
        <v>A0156888</v>
      </c>
      <c r="D13265" t="s">
        <v>47177</v>
      </c>
      <c r="E13265" t="s">
        <v>47178</v>
      </c>
      <c r="F13265" t="s">
        <v>7784</v>
      </c>
      <c r="G13265" t="s">
        <v>289</v>
      </c>
      <c r="H13265">
        <v>61821</v>
      </c>
      <c r="I13265" t="s">
        <v>30</v>
      </c>
      <c r="J13265" t="s">
        <v>111</v>
      </c>
      <c r="K13265" t="s">
        <v>112</v>
      </c>
      <c r="Q13265">
        <v>0</v>
      </c>
      <c r="R13265">
        <v>0</v>
      </c>
      <c r="S13265">
        <v>0</v>
      </c>
      <c r="T13265" t="s">
        <v>47163</v>
      </c>
    </row>
    <row r="13266" spans="1:20" customFormat="1" ht="15" x14ac:dyDescent="0.25">
      <c r="A13266" t="s">
        <v>35</v>
      </c>
      <c r="B13266" t="s">
        <v>106</v>
      </c>
      <c r="C13266" t="str">
        <f>"A0156889"</f>
        <v>A0156889</v>
      </c>
      <c r="D13266" t="s">
        <v>47179</v>
      </c>
      <c r="E13266" t="s">
        <v>47180</v>
      </c>
      <c r="F13266" t="s">
        <v>7784</v>
      </c>
      <c r="G13266" t="s">
        <v>289</v>
      </c>
      <c r="H13266">
        <v>61821</v>
      </c>
      <c r="I13266" t="s">
        <v>30</v>
      </c>
      <c r="J13266" t="s">
        <v>111</v>
      </c>
      <c r="K13266" t="s">
        <v>112</v>
      </c>
      <c r="Q13266">
        <v>0</v>
      </c>
      <c r="R13266">
        <v>0</v>
      </c>
      <c r="S13266">
        <v>0</v>
      </c>
      <c r="T13266" t="s">
        <v>47163</v>
      </c>
    </row>
    <row r="13267" spans="1:20" customFormat="1" ht="15" x14ac:dyDescent="0.25">
      <c r="A13267" t="s">
        <v>35</v>
      </c>
      <c r="B13267" t="s">
        <v>106</v>
      </c>
      <c r="C13267" t="str">
        <f>"A0151072"</f>
        <v>A0151072</v>
      </c>
      <c r="D13267" t="s">
        <v>47181</v>
      </c>
      <c r="E13267" t="s">
        <v>47182</v>
      </c>
      <c r="F13267" t="s">
        <v>7734</v>
      </c>
      <c r="G13267" t="s">
        <v>197</v>
      </c>
      <c r="H13267">
        <v>85719</v>
      </c>
      <c r="I13267" t="s">
        <v>30</v>
      </c>
      <c r="J13267" t="s">
        <v>111</v>
      </c>
      <c r="K13267" t="s">
        <v>112</v>
      </c>
      <c r="Q13267">
        <v>0</v>
      </c>
      <c r="R13267">
        <v>0</v>
      </c>
      <c r="S13267">
        <v>0</v>
      </c>
      <c r="T13267" t="s">
        <v>47069</v>
      </c>
    </row>
    <row r="13268" spans="1:20" customFormat="1" ht="15" x14ac:dyDescent="0.25">
      <c r="A13268" t="s">
        <v>35</v>
      </c>
      <c r="B13268" t="s">
        <v>106</v>
      </c>
      <c r="C13268" t="str">
        <f>"A0151200"</f>
        <v>A0151200</v>
      </c>
      <c r="D13268" t="s">
        <v>47183</v>
      </c>
      <c r="E13268" t="s">
        <v>47184</v>
      </c>
      <c r="F13268" t="s">
        <v>7734</v>
      </c>
      <c r="G13268" t="s">
        <v>197</v>
      </c>
      <c r="H13268">
        <v>85719</v>
      </c>
      <c r="I13268" t="s">
        <v>30</v>
      </c>
      <c r="J13268" t="s">
        <v>111</v>
      </c>
      <c r="K13268" t="s">
        <v>112</v>
      </c>
      <c r="Q13268">
        <v>0</v>
      </c>
      <c r="R13268">
        <v>0</v>
      </c>
      <c r="S13268">
        <v>0</v>
      </c>
      <c r="T13268" t="s">
        <v>47069</v>
      </c>
    </row>
    <row r="13269" spans="1:20" customFormat="1" ht="15" x14ac:dyDescent="0.25">
      <c r="A13269" t="s">
        <v>35</v>
      </c>
      <c r="B13269" t="s">
        <v>106</v>
      </c>
      <c r="C13269" t="str">
        <f>"A0135420"</f>
        <v>A0135420</v>
      </c>
      <c r="D13269" t="s">
        <v>47185</v>
      </c>
      <c r="E13269" t="s">
        <v>47186</v>
      </c>
      <c r="F13269" t="s">
        <v>7362</v>
      </c>
      <c r="G13269" t="s">
        <v>110</v>
      </c>
      <c r="H13269">
        <v>90007</v>
      </c>
      <c r="I13269" t="s">
        <v>30</v>
      </c>
      <c r="J13269" t="s">
        <v>111</v>
      </c>
      <c r="K13269" t="s">
        <v>112</v>
      </c>
      <c r="Q13269">
        <v>0</v>
      </c>
      <c r="R13269">
        <v>0</v>
      </c>
      <c r="S13269">
        <v>0</v>
      </c>
      <c r="T13269" t="s">
        <v>47069</v>
      </c>
    </row>
    <row r="13270" spans="1:20" customFormat="1" ht="15" x14ac:dyDescent="0.25">
      <c r="A13270" t="s">
        <v>35</v>
      </c>
      <c r="B13270" t="s">
        <v>106</v>
      </c>
      <c r="C13270" t="str">
        <f>"A0150677"</f>
        <v>A0150677</v>
      </c>
      <c r="D13270" t="s">
        <v>47187</v>
      </c>
      <c r="E13270" t="s">
        <v>47188</v>
      </c>
      <c r="F13270" t="s">
        <v>7734</v>
      </c>
      <c r="G13270" t="s">
        <v>197</v>
      </c>
      <c r="H13270">
        <v>85719</v>
      </c>
      <c r="I13270" t="s">
        <v>30</v>
      </c>
      <c r="J13270" t="s">
        <v>111</v>
      </c>
      <c r="K13270" t="s">
        <v>112</v>
      </c>
      <c r="Q13270">
        <v>0</v>
      </c>
      <c r="R13270">
        <v>0</v>
      </c>
      <c r="S13270">
        <v>0</v>
      </c>
      <c r="T13270" t="s">
        <v>47069</v>
      </c>
    </row>
    <row r="13271" spans="1:20" customFormat="1" ht="15" x14ac:dyDescent="0.25">
      <c r="A13271" t="s">
        <v>35</v>
      </c>
      <c r="B13271" t="s">
        <v>106</v>
      </c>
      <c r="C13271" t="str">
        <f>"A0135431"</f>
        <v>A0135431</v>
      </c>
      <c r="D13271" t="s">
        <v>47189</v>
      </c>
      <c r="E13271" t="s">
        <v>47190</v>
      </c>
      <c r="F13271" t="s">
        <v>7362</v>
      </c>
      <c r="G13271" t="s">
        <v>110</v>
      </c>
      <c r="H13271">
        <v>90007</v>
      </c>
      <c r="I13271" t="s">
        <v>30</v>
      </c>
      <c r="J13271" t="s">
        <v>111</v>
      </c>
      <c r="K13271" t="s">
        <v>112</v>
      </c>
      <c r="Q13271">
        <v>0</v>
      </c>
      <c r="R13271">
        <v>0</v>
      </c>
      <c r="S13271">
        <v>0</v>
      </c>
      <c r="T13271" t="s">
        <v>47069</v>
      </c>
    </row>
    <row r="13272" spans="1:20" customFormat="1" ht="15" x14ac:dyDescent="0.25">
      <c r="A13272" t="s">
        <v>35</v>
      </c>
      <c r="B13272" t="s">
        <v>106</v>
      </c>
      <c r="C13272" t="str">
        <f>"A0135429"</f>
        <v>A0135429</v>
      </c>
      <c r="D13272" t="s">
        <v>47191</v>
      </c>
      <c r="E13272" t="s">
        <v>47192</v>
      </c>
      <c r="F13272" t="s">
        <v>7362</v>
      </c>
      <c r="G13272" t="s">
        <v>110</v>
      </c>
      <c r="H13272">
        <v>90049</v>
      </c>
      <c r="I13272" t="s">
        <v>30</v>
      </c>
      <c r="J13272" t="s">
        <v>111</v>
      </c>
      <c r="K13272" t="s">
        <v>112</v>
      </c>
      <c r="Q13272">
        <v>0</v>
      </c>
      <c r="R13272">
        <v>0</v>
      </c>
      <c r="S13272">
        <v>0</v>
      </c>
      <c r="T13272" t="s">
        <v>47069</v>
      </c>
    </row>
    <row r="13273" spans="1:20" customFormat="1" ht="15" x14ac:dyDescent="0.25">
      <c r="A13273" t="s">
        <v>35</v>
      </c>
      <c r="B13273" t="s">
        <v>61</v>
      </c>
      <c r="C13273" t="str">
        <f>"A0130992"</f>
        <v>A0130992</v>
      </c>
      <c r="D13273" t="s">
        <v>47193</v>
      </c>
      <c r="E13273" t="s">
        <v>47194</v>
      </c>
      <c r="F13273" t="s">
        <v>41394</v>
      </c>
      <c r="G13273" t="s">
        <v>137</v>
      </c>
      <c r="H13273">
        <v>63645</v>
      </c>
      <c r="I13273" t="s">
        <v>30</v>
      </c>
      <c r="J13273" t="s">
        <v>41</v>
      </c>
      <c r="K13273" t="s">
        <v>59</v>
      </c>
      <c r="Q13273">
        <v>0</v>
      </c>
      <c r="R13273">
        <v>43</v>
      </c>
      <c r="S13273">
        <v>43</v>
      </c>
      <c r="T13273" t="s">
        <v>47195</v>
      </c>
    </row>
    <row r="13274" spans="1:20" customFormat="1" ht="15" x14ac:dyDescent="0.25">
      <c r="A13274" t="s">
        <v>35</v>
      </c>
      <c r="B13274" t="s">
        <v>61</v>
      </c>
      <c r="C13274" t="str">
        <f>"A0131146"</f>
        <v>A0131146</v>
      </c>
      <c r="D13274" t="s">
        <v>47196</v>
      </c>
      <c r="E13274" t="s">
        <v>47197</v>
      </c>
      <c r="F13274" t="s">
        <v>959</v>
      </c>
      <c r="G13274" t="s">
        <v>85</v>
      </c>
      <c r="H13274">
        <v>72949</v>
      </c>
      <c r="I13274" t="s">
        <v>30</v>
      </c>
      <c r="J13274" t="s">
        <v>41</v>
      </c>
      <c r="K13274" t="s">
        <v>229</v>
      </c>
      <c r="Q13274">
        <v>0</v>
      </c>
      <c r="R13274">
        <v>152</v>
      </c>
      <c r="S13274">
        <v>152</v>
      </c>
      <c r="T13274" t="s">
        <v>47198</v>
      </c>
    </row>
    <row r="13275" spans="1:20" customFormat="1" ht="15" x14ac:dyDescent="0.25">
      <c r="A13275" t="s">
        <v>35</v>
      </c>
      <c r="B13275" t="s">
        <v>61</v>
      </c>
      <c r="C13275" t="str">
        <f>"A0130997"</f>
        <v>A0130997</v>
      </c>
      <c r="D13275" t="s">
        <v>47199</v>
      </c>
      <c r="E13275" t="s">
        <v>47200</v>
      </c>
      <c r="F13275" t="s">
        <v>17360</v>
      </c>
      <c r="G13275" t="s">
        <v>137</v>
      </c>
      <c r="H13275">
        <v>638410000</v>
      </c>
      <c r="I13275" t="s">
        <v>30</v>
      </c>
      <c r="J13275" t="s">
        <v>41</v>
      </c>
      <c r="K13275" t="s">
        <v>36814</v>
      </c>
      <c r="Q13275">
        <v>0</v>
      </c>
      <c r="R13275">
        <v>1</v>
      </c>
      <c r="S13275">
        <v>1</v>
      </c>
      <c r="T13275" t="s">
        <v>47201</v>
      </c>
    </row>
    <row r="13276" spans="1:20" customFormat="1" ht="15" x14ac:dyDescent="0.25">
      <c r="A13276" t="s">
        <v>35</v>
      </c>
      <c r="B13276" t="s">
        <v>61</v>
      </c>
      <c r="C13276" t="str">
        <f>"A0130840"</f>
        <v>A0130840</v>
      </c>
      <c r="D13276" t="s">
        <v>47202</v>
      </c>
      <c r="E13276" t="s">
        <v>47203</v>
      </c>
      <c r="F13276" t="s">
        <v>10170</v>
      </c>
      <c r="G13276" t="s">
        <v>137</v>
      </c>
      <c r="H13276">
        <v>636400000</v>
      </c>
      <c r="I13276" t="s">
        <v>30</v>
      </c>
      <c r="J13276" t="s">
        <v>41</v>
      </c>
      <c r="K13276" t="s">
        <v>391</v>
      </c>
      <c r="Q13276">
        <v>0</v>
      </c>
      <c r="R13276">
        <v>1</v>
      </c>
      <c r="S13276">
        <v>1</v>
      </c>
      <c r="T13276" t="s">
        <v>47204</v>
      </c>
    </row>
    <row r="13277" spans="1:20" customFormat="1" ht="15" x14ac:dyDescent="0.25">
      <c r="A13277" t="s">
        <v>35</v>
      </c>
      <c r="B13277" t="s">
        <v>61</v>
      </c>
      <c r="C13277" t="str">
        <f>"A0125012"</f>
        <v>A0125012</v>
      </c>
      <c r="D13277" t="s">
        <v>47205</v>
      </c>
      <c r="E13277" t="s">
        <v>47206</v>
      </c>
      <c r="F13277" t="s">
        <v>47207</v>
      </c>
      <c r="G13277" t="s">
        <v>214</v>
      </c>
      <c r="H13277">
        <v>28658</v>
      </c>
      <c r="I13277" t="s">
        <v>30</v>
      </c>
      <c r="J13277" t="s">
        <v>41</v>
      </c>
      <c r="K13277" t="s">
        <v>456</v>
      </c>
      <c r="Q13277">
        <v>0</v>
      </c>
      <c r="R13277">
        <v>8</v>
      </c>
      <c r="S13277">
        <v>8</v>
      </c>
      <c r="T13277" t="s">
        <v>38748</v>
      </c>
    </row>
    <row r="13278" spans="1:20" customFormat="1" ht="15" x14ac:dyDescent="0.25">
      <c r="A13278" t="s">
        <v>35</v>
      </c>
      <c r="B13278" t="s">
        <v>61</v>
      </c>
      <c r="C13278" t="str">
        <f>"A0131232"</f>
        <v>A0131232</v>
      </c>
      <c r="D13278" t="s">
        <v>47208</v>
      </c>
      <c r="E13278" t="s">
        <v>47209</v>
      </c>
      <c r="F13278" t="s">
        <v>47210</v>
      </c>
      <c r="G13278" t="s">
        <v>137</v>
      </c>
      <c r="H13278">
        <v>630690000</v>
      </c>
      <c r="I13278" t="s">
        <v>30</v>
      </c>
      <c r="J13278" t="s">
        <v>41</v>
      </c>
      <c r="K13278" t="s">
        <v>229</v>
      </c>
      <c r="Q13278">
        <v>0</v>
      </c>
      <c r="R13278">
        <v>120</v>
      </c>
      <c r="S13278">
        <v>120</v>
      </c>
      <c r="T13278" t="s">
        <v>47211</v>
      </c>
    </row>
    <row r="13279" spans="1:20" customFormat="1" ht="15" x14ac:dyDescent="0.25">
      <c r="A13279" t="s">
        <v>35</v>
      </c>
      <c r="B13279" t="s">
        <v>61</v>
      </c>
      <c r="C13279" t="str">
        <f>"A0118571"</f>
        <v>A0118571</v>
      </c>
      <c r="D13279" t="s">
        <v>47212</v>
      </c>
      <c r="E13279" t="s">
        <v>47213</v>
      </c>
      <c r="F13279" t="s">
        <v>20644</v>
      </c>
      <c r="G13279" t="s">
        <v>110</v>
      </c>
      <c r="H13279">
        <v>950510000</v>
      </c>
      <c r="I13279" t="s">
        <v>30</v>
      </c>
      <c r="J13279" t="s">
        <v>41</v>
      </c>
      <c r="K13279" t="s">
        <v>59</v>
      </c>
      <c r="Q13279">
        <v>0</v>
      </c>
      <c r="R13279">
        <v>103</v>
      </c>
      <c r="S13279">
        <v>103</v>
      </c>
      <c r="T13279" t="s">
        <v>47214</v>
      </c>
    </row>
    <row r="13280" spans="1:20" customFormat="1" ht="15" x14ac:dyDescent="0.25">
      <c r="A13280" t="s">
        <v>35</v>
      </c>
      <c r="B13280" t="s">
        <v>61</v>
      </c>
      <c r="C13280" t="str">
        <f>"A0118463"</f>
        <v>A0118463</v>
      </c>
      <c r="D13280" t="s">
        <v>47215</v>
      </c>
      <c r="E13280" t="s">
        <v>47216</v>
      </c>
      <c r="F13280" t="s">
        <v>13469</v>
      </c>
      <c r="G13280" t="s">
        <v>110</v>
      </c>
      <c r="H13280">
        <v>93950</v>
      </c>
      <c r="I13280" t="s">
        <v>30</v>
      </c>
      <c r="J13280" t="s">
        <v>41</v>
      </c>
      <c r="K13280" t="s">
        <v>229</v>
      </c>
      <c r="Q13280">
        <v>0</v>
      </c>
      <c r="R13280">
        <v>40</v>
      </c>
      <c r="S13280">
        <v>40</v>
      </c>
      <c r="T13280" t="s">
        <v>47217</v>
      </c>
    </row>
    <row r="13281" spans="1:20" customFormat="1" ht="15" x14ac:dyDescent="0.25">
      <c r="A13281" t="s">
        <v>35</v>
      </c>
      <c r="B13281" t="s">
        <v>61</v>
      </c>
      <c r="C13281" t="str">
        <f>"A0117942"</f>
        <v>A0117942</v>
      </c>
      <c r="D13281" t="s">
        <v>47218</v>
      </c>
      <c r="E13281" t="s">
        <v>47219</v>
      </c>
      <c r="F13281" t="s">
        <v>21773</v>
      </c>
      <c r="G13281" t="s">
        <v>110</v>
      </c>
      <c r="H13281">
        <v>92643</v>
      </c>
      <c r="I13281" t="s">
        <v>30</v>
      </c>
      <c r="J13281" t="s">
        <v>41</v>
      </c>
      <c r="K13281" t="s">
        <v>229</v>
      </c>
      <c r="Q13281">
        <v>0</v>
      </c>
      <c r="R13281">
        <v>99</v>
      </c>
      <c r="S13281">
        <v>99</v>
      </c>
      <c r="T13281" t="s">
        <v>47220</v>
      </c>
    </row>
    <row r="13282" spans="1:20" customFormat="1" ht="15" x14ac:dyDescent="0.25">
      <c r="A13282" t="s">
        <v>35</v>
      </c>
      <c r="B13282" t="s">
        <v>61</v>
      </c>
      <c r="C13282" t="str">
        <f>"A0121883"</f>
        <v>A0121883</v>
      </c>
      <c r="D13282" t="s">
        <v>47221</v>
      </c>
      <c r="E13282" t="s">
        <v>47222</v>
      </c>
      <c r="F13282" t="s">
        <v>1439</v>
      </c>
      <c r="G13282" t="s">
        <v>110</v>
      </c>
      <c r="H13282">
        <v>92122</v>
      </c>
      <c r="I13282" t="s">
        <v>30</v>
      </c>
      <c r="J13282" t="s">
        <v>41</v>
      </c>
      <c r="K13282" t="s">
        <v>59</v>
      </c>
      <c r="Q13282">
        <v>0</v>
      </c>
      <c r="R13282">
        <v>148</v>
      </c>
      <c r="S13282">
        <v>148</v>
      </c>
      <c r="T13282" t="s">
        <v>47223</v>
      </c>
    </row>
    <row r="13283" spans="1:20" customFormat="1" ht="15" x14ac:dyDescent="0.25">
      <c r="A13283" t="s">
        <v>35</v>
      </c>
      <c r="B13283" t="s">
        <v>61</v>
      </c>
      <c r="C13283" t="str">
        <f>"A0121863"</f>
        <v>A0121863</v>
      </c>
      <c r="D13283" t="s">
        <v>47224</v>
      </c>
      <c r="E13283" t="s">
        <v>47225</v>
      </c>
      <c r="F13283" t="s">
        <v>7794</v>
      </c>
      <c r="G13283" t="s">
        <v>110</v>
      </c>
      <c r="H13283">
        <v>91352</v>
      </c>
      <c r="I13283" t="s">
        <v>30</v>
      </c>
      <c r="J13283" t="s">
        <v>41</v>
      </c>
      <c r="K13283" t="s">
        <v>229</v>
      </c>
      <c r="Q13283">
        <v>0</v>
      </c>
      <c r="R13283">
        <v>98</v>
      </c>
      <c r="S13283">
        <v>98</v>
      </c>
      <c r="T13283" t="s">
        <v>47226</v>
      </c>
    </row>
    <row r="13284" spans="1:20" customFormat="1" ht="15" x14ac:dyDescent="0.25">
      <c r="A13284" t="s">
        <v>35</v>
      </c>
      <c r="B13284" t="s">
        <v>61</v>
      </c>
      <c r="C13284" t="str">
        <f>"A0117628"</f>
        <v>A0117628</v>
      </c>
      <c r="D13284" t="s">
        <v>47227</v>
      </c>
      <c r="E13284" t="s">
        <v>47228</v>
      </c>
      <c r="F13284" t="s">
        <v>8276</v>
      </c>
      <c r="G13284" t="s">
        <v>81</v>
      </c>
      <c r="H13284">
        <v>32503</v>
      </c>
      <c r="I13284" t="s">
        <v>30</v>
      </c>
      <c r="J13284" t="s">
        <v>41</v>
      </c>
      <c r="K13284" t="s">
        <v>59</v>
      </c>
      <c r="Q13284">
        <v>0</v>
      </c>
      <c r="R13284">
        <v>95</v>
      </c>
      <c r="S13284">
        <v>95</v>
      </c>
      <c r="T13284" t="s">
        <v>47229</v>
      </c>
    </row>
    <row r="13285" spans="1:20" customFormat="1" ht="15" x14ac:dyDescent="0.25">
      <c r="A13285" t="s">
        <v>35</v>
      </c>
      <c r="B13285" t="s">
        <v>61</v>
      </c>
      <c r="C13285" t="str">
        <f>"A0125746"</f>
        <v>A0125746</v>
      </c>
      <c r="D13285" t="s">
        <v>47230</v>
      </c>
      <c r="E13285" t="s">
        <v>47231</v>
      </c>
      <c r="F13285" t="s">
        <v>17879</v>
      </c>
      <c r="G13285" t="s">
        <v>29</v>
      </c>
      <c r="H13285">
        <v>23455</v>
      </c>
      <c r="I13285" t="s">
        <v>30</v>
      </c>
      <c r="J13285" t="s">
        <v>41</v>
      </c>
      <c r="K13285" t="s">
        <v>59</v>
      </c>
      <c r="Q13285">
        <v>0</v>
      </c>
      <c r="R13285">
        <v>103</v>
      </c>
      <c r="S13285">
        <v>103</v>
      </c>
      <c r="T13285" t="s">
        <v>47232</v>
      </c>
    </row>
    <row r="13286" spans="1:20" customFormat="1" ht="15" x14ac:dyDescent="0.25">
      <c r="A13286" t="s">
        <v>35</v>
      </c>
      <c r="B13286" t="s">
        <v>61</v>
      </c>
      <c r="C13286" t="str">
        <f>"A0124913"</f>
        <v>A0124913</v>
      </c>
      <c r="D13286" t="s">
        <v>47233</v>
      </c>
      <c r="E13286" t="s">
        <v>47234</v>
      </c>
      <c r="F13286" t="s">
        <v>3327</v>
      </c>
      <c r="G13286" t="s">
        <v>214</v>
      </c>
      <c r="H13286">
        <v>28412</v>
      </c>
      <c r="I13286" t="s">
        <v>30</v>
      </c>
      <c r="J13286" t="s">
        <v>41</v>
      </c>
      <c r="K13286" t="s">
        <v>59</v>
      </c>
      <c r="Q13286">
        <v>0</v>
      </c>
      <c r="R13286">
        <v>101</v>
      </c>
      <c r="S13286">
        <v>101</v>
      </c>
      <c r="T13286" t="s">
        <v>47235</v>
      </c>
    </row>
    <row r="13287" spans="1:20" customFormat="1" ht="15" x14ac:dyDescent="0.25">
      <c r="A13287" t="s">
        <v>35</v>
      </c>
      <c r="B13287" t="s">
        <v>61</v>
      </c>
      <c r="C13287" t="str">
        <f>"A0125777"</f>
        <v>A0125777</v>
      </c>
      <c r="D13287" t="s">
        <v>47236</v>
      </c>
      <c r="E13287" t="s">
        <v>47237</v>
      </c>
      <c r="F13287" t="s">
        <v>47238</v>
      </c>
      <c r="G13287" t="s">
        <v>29</v>
      </c>
      <c r="H13287">
        <v>228350000</v>
      </c>
      <c r="I13287" t="s">
        <v>30</v>
      </c>
      <c r="J13287" t="s">
        <v>41</v>
      </c>
      <c r="K13287" t="s">
        <v>3713</v>
      </c>
      <c r="Q13287">
        <v>0</v>
      </c>
      <c r="R13287">
        <v>54</v>
      </c>
      <c r="S13287">
        <v>54</v>
      </c>
      <c r="T13287" t="s">
        <v>47239</v>
      </c>
    </row>
    <row r="13288" spans="1:20" customFormat="1" ht="15" x14ac:dyDescent="0.25">
      <c r="A13288" t="s">
        <v>35</v>
      </c>
      <c r="B13288" t="s">
        <v>4767</v>
      </c>
      <c r="C13288" t="str">
        <f>"A0126259"</f>
        <v>A0126259</v>
      </c>
      <c r="D13288" t="s">
        <v>47240</v>
      </c>
      <c r="E13288" t="s">
        <v>47241</v>
      </c>
      <c r="F13288" t="s">
        <v>47242</v>
      </c>
      <c r="G13288" t="s">
        <v>81</v>
      </c>
      <c r="H13288">
        <v>33907</v>
      </c>
      <c r="I13288" t="s">
        <v>30</v>
      </c>
      <c r="J13288" t="s">
        <v>41</v>
      </c>
      <c r="K13288" t="s">
        <v>229</v>
      </c>
      <c r="Q13288">
        <v>0</v>
      </c>
      <c r="R13288">
        <v>180</v>
      </c>
      <c r="S13288">
        <v>180</v>
      </c>
      <c r="T13288" t="s">
        <v>47243</v>
      </c>
    </row>
    <row r="13289" spans="1:20" customFormat="1" ht="15" x14ac:dyDescent="0.25">
      <c r="A13289" t="s">
        <v>35</v>
      </c>
      <c r="B13289" t="s">
        <v>61</v>
      </c>
      <c r="C13289" t="str">
        <f>"A0132301"</f>
        <v>A0132301</v>
      </c>
      <c r="D13289" t="s">
        <v>47244</v>
      </c>
      <c r="E13289" t="s">
        <v>47245</v>
      </c>
      <c r="F13289" t="s">
        <v>21119</v>
      </c>
      <c r="G13289" t="s">
        <v>65</v>
      </c>
      <c r="H13289">
        <v>44509</v>
      </c>
      <c r="I13289" t="s">
        <v>30</v>
      </c>
      <c r="J13289" t="s">
        <v>41</v>
      </c>
      <c r="K13289" t="s">
        <v>59</v>
      </c>
      <c r="Q13289">
        <v>0</v>
      </c>
      <c r="R13289">
        <v>24</v>
      </c>
      <c r="S13289">
        <v>24</v>
      </c>
      <c r="T13289" t="s">
        <v>47246</v>
      </c>
    </row>
    <row r="13290" spans="1:20" customFormat="1" ht="15" x14ac:dyDescent="0.25">
      <c r="A13290" t="s">
        <v>35</v>
      </c>
      <c r="B13290" t="s">
        <v>5776</v>
      </c>
      <c r="C13290" t="str">
        <f>"A0131143"</f>
        <v>A0131143</v>
      </c>
      <c r="D13290" t="s">
        <v>47247</v>
      </c>
      <c r="E13290" t="s">
        <v>47248</v>
      </c>
      <c r="F13290" t="s">
        <v>38304</v>
      </c>
      <c r="G13290" t="s">
        <v>137</v>
      </c>
      <c r="H13290">
        <v>639020340</v>
      </c>
      <c r="I13290" t="s">
        <v>30</v>
      </c>
      <c r="J13290" t="s">
        <v>41</v>
      </c>
      <c r="K13290" t="s">
        <v>229</v>
      </c>
      <c r="Q13290">
        <v>0</v>
      </c>
      <c r="R13290">
        <v>68</v>
      </c>
      <c r="S13290">
        <v>68</v>
      </c>
      <c r="T13290" t="s">
        <v>47249</v>
      </c>
    </row>
    <row r="13291" spans="1:20" customFormat="1" ht="15" x14ac:dyDescent="0.25">
      <c r="A13291" t="s">
        <v>35</v>
      </c>
      <c r="B13291" t="s">
        <v>61</v>
      </c>
      <c r="C13291" t="str">
        <f>"A0124903"</f>
        <v>A0124903</v>
      </c>
      <c r="D13291" t="s">
        <v>47250</v>
      </c>
      <c r="E13291" t="s">
        <v>47251</v>
      </c>
      <c r="F13291" t="s">
        <v>638</v>
      </c>
      <c r="G13291" t="s">
        <v>214</v>
      </c>
      <c r="H13291">
        <v>286580000</v>
      </c>
      <c r="I13291" t="s">
        <v>30</v>
      </c>
      <c r="J13291" t="s">
        <v>41</v>
      </c>
      <c r="K13291" t="s">
        <v>456</v>
      </c>
      <c r="Q13291">
        <v>0</v>
      </c>
      <c r="R13291">
        <v>21</v>
      </c>
      <c r="S13291">
        <v>21</v>
      </c>
      <c r="T13291" t="s">
        <v>38748</v>
      </c>
    </row>
    <row r="13292" spans="1:20" customFormat="1" ht="15" x14ac:dyDescent="0.25">
      <c r="A13292" t="s">
        <v>35</v>
      </c>
      <c r="B13292" t="s">
        <v>106</v>
      </c>
      <c r="C13292" t="str">
        <f>"A0153994"</f>
        <v>A0153994</v>
      </c>
      <c r="D13292" t="s">
        <v>47252</v>
      </c>
      <c r="E13292" t="s">
        <v>47253</v>
      </c>
      <c r="F13292" t="s">
        <v>47254</v>
      </c>
      <c r="G13292" t="s">
        <v>81</v>
      </c>
      <c r="H13292">
        <v>32905</v>
      </c>
      <c r="I13292" t="s">
        <v>30</v>
      </c>
      <c r="J13292" t="s">
        <v>111</v>
      </c>
      <c r="K13292" t="s">
        <v>112</v>
      </c>
      <c r="Q13292">
        <v>0</v>
      </c>
      <c r="R13292">
        <v>0</v>
      </c>
      <c r="S13292">
        <v>0</v>
      </c>
      <c r="T13292" t="s">
        <v>47255</v>
      </c>
    </row>
    <row r="13293" spans="1:20" customFormat="1" ht="15" x14ac:dyDescent="0.25">
      <c r="A13293" t="s">
        <v>35</v>
      </c>
      <c r="B13293" t="s">
        <v>61</v>
      </c>
      <c r="C13293" t="str">
        <f>"A0123873"</f>
        <v>A0123873</v>
      </c>
      <c r="D13293" t="s">
        <v>47256</v>
      </c>
      <c r="E13293" t="s">
        <v>47257</v>
      </c>
      <c r="F13293" t="s">
        <v>13891</v>
      </c>
      <c r="G13293" t="s">
        <v>81</v>
      </c>
      <c r="H13293">
        <v>32955</v>
      </c>
      <c r="I13293" t="s">
        <v>30</v>
      </c>
      <c r="J13293" t="s">
        <v>41</v>
      </c>
      <c r="K13293" t="s">
        <v>482</v>
      </c>
      <c r="Q13293">
        <v>0</v>
      </c>
      <c r="R13293">
        <v>70</v>
      </c>
      <c r="S13293">
        <v>70</v>
      </c>
      <c r="T13293" t="s">
        <v>47258</v>
      </c>
    </row>
    <row r="13294" spans="1:20" customFormat="1" ht="15" x14ac:dyDescent="0.25">
      <c r="A13294" t="s">
        <v>35</v>
      </c>
      <c r="B13294" t="s">
        <v>61</v>
      </c>
      <c r="C13294" t="str">
        <f>"A0118453"</f>
        <v>A0118453</v>
      </c>
      <c r="D13294" t="s">
        <v>47259</v>
      </c>
      <c r="E13294" t="s">
        <v>47260</v>
      </c>
      <c r="F13294" t="s">
        <v>9881</v>
      </c>
      <c r="G13294" t="s">
        <v>110</v>
      </c>
      <c r="H13294">
        <v>93654</v>
      </c>
      <c r="I13294" t="s">
        <v>30</v>
      </c>
      <c r="J13294" t="s">
        <v>41</v>
      </c>
      <c r="K13294" t="s">
        <v>1440</v>
      </c>
      <c r="Q13294">
        <v>0</v>
      </c>
      <c r="R13294">
        <v>99</v>
      </c>
      <c r="S13294">
        <v>99</v>
      </c>
      <c r="T13294" t="s">
        <v>47261</v>
      </c>
    </row>
    <row r="13295" spans="1:20" customFormat="1" ht="15" x14ac:dyDescent="0.25">
      <c r="A13295" t="s">
        <v>35</v>
      </c>
      <c r="B13295" t="s">
        <v>61</v>
      </c>
      <c r="C13295" t="str">
        <f>"A0118454"</f>
        <v>A0118454</v>
      </c>
      <c r="D13295" t="s">
        <v>47262</v>
      </c>
      <c r="E13295" t="s">
        <v>47263</v>
      </c>
      <c r="F13295" t="s">
        <v>9881</v>
      </c>
      <c r="G13295" t="s">
        <v>110</v>
      </c>
      <c r="H13295">
        <v>93654</v>
      </c>
      <c r="I13295" t="s">
        <v>30</v>
      </c>
      <c r="J13295" t="s">
        <v>41</v>
      </c>
      <c r="K13295" t="s">
        <v>1440</v>
      </c>
      <c r="Q13295">
        <v>0</v>
      </c>
      <c r="R13295">
        <v>77</v>
      </c>
      <c r="S13295">
        <v>77</v>
      </c>
      <c r="T13295" t="s">
        <v>47264</v>
      </c>
    </row>
    <row r="13296" spans="1:20" customFormat="1" ht="15" x14ac:dyDescent="0.25">
      <c r="A13296" t="s">
        <v>35</v>
      </c>
      <c r="B13296" t="s">
        <v>61</v>
      </c>
      <c r="C13296" t="str">
        <f>"A0128560"</f>
        <v>A0128560</v>
      </c>
      <c r="D13296" t="s">
        <v>47265</v>
      </c>
      <c r="E13296" t="s">
        <v>47266</v>
      </c>
      <c r="F13296" t="s">
        <v>8024</v>
      </c>
      <c r="G13296" t="s">
        <v>840</v>
      </c>
      <c r="H13296">
        <v>42450</v>
      </c>
      <c r="I13296" t="s">
        <v>30</v>
      </c>
      <c r="J13296" t="s">
        <v>41</v>
      </c>
      <c r="K13296" t="s">
        <v>59</v>
      </c>
      <c r="Q13296">
        <v>0</v>
      </c>
      <c r="R13296">
        <v>40</v>
      </c>
      <c r="S13296">
        <v>40</v>
      </c>
      <c r="T13296" t="s">
        <v>47267</v>
      </c>
    </row>
    <row r="13297" spans="1:20" customFormat="1" ht="15" x14ac:dyDescent="0.25">
      <c r="A13297" t="s">
        <v>35</v>
      </c>
      <c r="B13297" t="s">
        <v>61</v>
      </c>
      <c r="C13297" t="str">
        <f>"A0125100"</f>
        <v>A0125100</v>
      </c>
      <c r="D13297" t="s">
        <v>47268</v>
      </c>
      <c r="E13297" t="s">
        <v>47269</v>
      </c>
      <c r="F13297" t="s">
        <v>47270</v>
      </c>
      <c r="G13297" t="s">
        <v>58</v>
      </c>
      <c r="H13297">
        <v>29520</v>
      </c>
      <c r="I13297" t="s">
        <v>30</v>
      </c>
      <c r="J13297" t="s">
        <v>41</v>
      </c>
      <c r="K13297" t="s">
        <v>59</v>
      </c>
      <c r="Q13297">
        <v>0</v>
      </c>
      <c r="R13297">
        <v>96</v>
      </c>
      <c r="S13297">
        <v>96</v>
      </c>
      <c r="T13297" t="s">
        <v>47271</v>
      </c>
    </row>
    <row r="13298" spans="1:20" customFormat="1" ht="15" x14ac:dyDescent="0.25">
      <c r="A13298" t="s">
        <v>35</v>
      </c>
      <c r="B13298" t="s">
        <v>61</v>
      </c>
      <c r="C13298" t="str">
        <f>"A0126270"</f>
        <v>A0126270</v>
      </c>
      <c r="D13298" t="s">
        <v>47272</v>
      </c>
      <c r="E13298" t="s">
        <v>47273</v>
      </c>
      <c r="F13298" t="s">
        <v>12194</v>
      </c>
      <c r="G13298" t="s">
        <v>81</v>
      </c>
      <c r="H13298">
        <v>33144</v>
      </c>
      <c r="I13298" t="s">
        <v>30</v>
      </c>
      <c r="J13298" t="s">
        <v>41</v>
      </c>
      <c r="K13298" t="s">
        <v>229</v>
      </c>
      <c r="Q13298">
        <v>0</v>
      </c>
      <c r="R13298">
        <v>85</v>
      </c>
      <c r="S13298">
        <v>85</v>
      </c>
      <c r="T13298" t="s">
        <v>47274</v>
      </c>
    </row>
    <row r="13299" spans="1:20" customFormat="1" ht="15" x14ac:dyDescent="0.25">
      <c r="A13299" t="s">
        <v>35</v>
      </c>
      <c r="B13299" t="s">
        <v>61</v>
      </c>
      <c r="C13299" t="str">
        <f>"A0124063"</f>
        <v>A0124063</v>
      </c>
      <c r="D13299" t="s">
        <v>47275</v>
      </c>
      <c r="E13299" t="s">
        <v>47276</v>
      </c>
      <c r="F13299" t="s">
        <v>29982</v>
      </c>
      <c r="G13299" t="s">
        <v>58</v>
      </c>
      <c r="H13299">
        <v>29706</v>
      </c>
      <c r="I13299" t="s">
        <v>30</v>
      </c>
      <c r="J13299" t="s">
        <v>41</v>
      </c>
      <c r="K13299" t="s">
        <v>482</v>
      </c>
      <c r="Q13299">
        <v>0</v>
      </c>
      <c r="R13299">
        <v>100</v>
      </c>
      <c r="S13299">
        <v>100</v>
      </c>
    </row>
    <row r="13300" spans="1:20" customFormat="1" ht="15" x14ac:dyDescent="0.25">
      <c r="A13300" t="s">
        <v>35</v>
      </c>
      <c r="B13300" t="s">
        <v>61</v>
      </c>
      <c r="C13300" t="str">
        <f>"A0123471"</f>
        <v>A0123471</v>
      </c>
      <c r="D13300" t="s">
        <v>47277</v>
      </c>
      <c r="E13300" t="s">
        <v>47278</v>
      </c>
      <c r="F13300" t="s">
        <v>1298</v>
      </c>
      <c r="G13300" t="s">
        <v>58</v>
      </c>
      <c r="H13300">
        <v>29223</v>
      </c>
      <c r="I13300" t="s">
        <v>30</v>
      </c>
      <c r="J13300" t="s">
        <v>41</v>
      </c>
      <c r="K13300" t="s">
        <v>59</v>
      </c>
      <c r="Q13300">
        <v>0</v>
      </c>
      <c r="R13300">
        <v>1</v>
      </c>
      <c r="S13300">
        <v>1</v>
      </c>
      <c r="T13300" t="s">
        <v>47279</v>
      </c>
    </row>
    <row r="13301" spans="1:20" customFormat="1" ht="15" x14ac:dyDescent="0.25">
      <c r="A13301" t="s">
        <v>35</v>
      </c>
      <c r="B13301" t="s">
        <v>61</v>
      </c>
      <c r="C13301" t="str">
        <f>"A0121953"</f>
        <v>A0121953</v>
      </c>
      <c r="D13301" t="s">
        <v>47280</v>
      </c>
      <c r="E13301" t="s">
        <v>47281</v>
      </c>
      <c r="F13301" t="s">
        <v>1136</v>
      </c>
      <c r="G13301" t="s">
        <v>110</v>
      </c>
      <c r="H13301">
        <v>94303</v>
      </c>
      <c r="I13301" t="s">
        <v>30</v>
      </c>
      <c r="J13301" t="s">
        <v>41</v>
      </c>
      <c r="K13301" t="s">
        <v>59</v>
      </c>
      <c r="Q13301">
        <v>0</v>
      </c>
      <c r="R13301">
        <v>200</v>
      </c>
      <c r="S13301">
        <v>200</v>
      </c>
      <c r="T13301" t="s">
        <v>47282</v>
      </c>
    </row>
    <row r="13302" spans="1:20" customFormat="1" ht="15" x14ac:dyDescent="0.25">
      <c r="A13302" t="s">
        <v>35</v>
      </c>
      <c r="B13302" t="s">
        <v>61</v>
      </c>
      <c r="C13302" t="str">
        <f>"A0121486"</f>
        <v>A0121486</v>
      </c>
      <c r="D13302" t="s">
        <v>47283</v>
      </c>
      <c r="E13302" t="s">
        <v>47284</v>
      </c>
      <c r="F13302" t="s">
        <v>47285</v>
      </c>
      <c r="G13302" t="s">
        <v>110</v>
      </c>
      <c r="H13302">
        <v>90717</v>
      </c>
      <c r="I13302" t="s">
        <v>30</v>
      </c>
      <c r="J13302" t="s">
        <v>41</v>
      </c>
      <c r="K13302" t="s">
        <v>229</v>
      </c>
      <c r="Q13302">
        <v>0</v>
      </c>
      <c r="R13302">
        <v>48</v>
      </c>
      <c r="S13302">
        <v>48</v>
      </c>
      <c r="T13302" t="s">
        <v>47286</v>
      </c>
    </row>
    <row r="13303" spans="1:20" customFormat="1" ht="15" x14ac:dyDescent="0.25">
      <c r="A13303" t="s">
        <v>35</v>
      </c>
      <c r="B13303" t="s">
        <v>61</v>
      </c>
      <c r="C13303" t="str">
        <f>"A0130967"</f>
        <v>A0130967</v>
      </c>
      <c r="D13303" t="s">
        <v>47287</v>
      </c>
      <c r="E13303" t="s">
        <v>47288</v>
      </c>
      <c r="F13303" t="s">
        <v>47289</v>
      </c>
      <c r="G13303" t="s">
        <v>85</v>
      </c>
      <c r="H13303">
        <v>721210000</v>
      </c>
      <c r="I13303" t="s">
        <v>30</v>
      </c>
      <c r="J13303" t="s">
        <v>41</v>
      </c>
      <c r="K13303" t="s">
        <v>2760</v>
      </c>
      <c r="Q13303">
        <v>0</v>
      </c>
      <c r="R13303">
        <v>1</v>
      </c>
      <c r="S13303">
        <v>1</v>
      </c>
      <c r="T13303" t="s">
        <v>47290</v>
      </c>
    </row>
    <row r="13304" spans="1:20" customFormat="1" ht="15" x14ac:dyDescent="0.25">
      <c r="A13304" t="s">
        <v>35</v>
      </c>
      <c r="B13304" t="s">
        <v>61</v>
      </c>
      <c r="C13304" t="str">
        <f>"A0125174"</f>
        <v>A0125174</v>
      </c>
      <c r="D13304" t="s">
        <v>47291</v>
      </c>
      <c r="E13304" t="s">
        <v>47292</v>
      </c>
      <c r="F13304" t="s">
        <v>30510</v>
      </c>
      <c r="G13304" t="s">
        <v>40</v>
      </c>
      <c r="H13304">
        <v>73942</v>
      </c>
      <c r="I13304" t="s">
        <v>30</v>
      </c>
      <c r="J13304" t="s">
        <v>41</v>
      </c>
      <c r="K13304" t="s">
        <v>6300</v>
      </c>
      <c r="Q13304">
        <v>0</v>
      </c>
      <c r="R13304">
        <v>1</v>
      </c>
      <c r="S13304">
        <v>1</v>
      </c>
      <c r="T13304" t="s">
        <v>47293</v>
      </c>
    </row>
    <row r="13305" spans="1:20" customFormat="1" ht="15" x14ac:dyDescent="0.25">
      <c r="A13305" t="s">
        <v>35</v>
      </c>
      <c r="B13305" t="s">
        <v>61</v>
      </c>
      <c r="C13305" t="str">
        <f>"A0122600"</f>
        <v>A0122600</v>
      </c>
      <c r="D13305" t="s">
        <v>18003</v>
      </c>
      <c r="E13305" t="s">
        <v>47294</v>
      </c>
      <c r="F13305" t="s">
        <v>33008</v>
      </c>
      <c r="G13305" t="s">
        <v>76</v>
      </c>
      <c r="H13305">
        <v>98503</v>
      </c>
      <c r="I13305" t="s">
        <v>30</v>
      </c>
      <c r="J13305" t="s">
        <v>41</v>
      </c>
      <c r="K13305" t="s">
        <v>1440</v>
      </c>
      <c r="Q13305">
        <v>0</v>
      </c>
      <c r="R13305">
        <v>106</v>
      </c>
      <c r="S13305">
        <v>106</v>
      </c>
      <c r="T13305" t="s">
        <v>47295</v>
      </c>
    </row>
    <row r="13306" spans="1:20" customFormat="1" ht="15" x14ac:dyDescent="0.25">
      <c r="A13306" t="s">
        <v>35</v>
      </c>
      <c r="B13306" t="s">
        <v>61</v>
      </c>
      <c r="C13306" t="str">
        <f>"A0122888"</f>
        <v>A0122888</v>
      </c>
      <c r="D13306" t="s">
        <v>47296</v>
      </c>
      <c r="E13306" t="s">
        <v>47297</v>
      </c>
      <c r="F13306" t="s">
        <v>33008</v>
      </c>
      <c r="G13306" t="s">
        <v>76</v>
      </c>
      <c r="H13306">
        <v>98503</v>
      </c>
      <c r="I13306" t="s">
        <v>30</v>
      </c>
      <c r="J13306" t="s">
        <v>41</v>
      </c>
      <c r="K13306" t="s">
        <v>59</v>
      </c>
      <c r="Q13306">
        <v>0</v>
      </c>
      <c r="R13306">
        <v>790</v>
      </c>
      <c r="S13306">
        <v>790</v>
      </c>
      <c r="T13306" t="s">
        <v>47298</v>
      </c>
    </row>
    <row r="13307" spans="1:20" customFormat="1" ht="15" x14ac:dyDescent="0.25">
      <c r="A13307" t="s">
        <v>35</v>
      </c>
      <c r="B13307" t="s">
        <v>61</v>
      </c>
      <c r="C13307" t="str">
        <f>"A0122886"</f>
        <v>A0122886</v>
      </c>
      <c r="D13307" t="s">
        <v>47299</v>
      </c>
      <c r="E13307" t="s">
        <v>47300</v>
      </c>
      <c r="F13307" t="s">
        <v>33008</v>
      </c>
      <c r="G13307" t="s">
        <v>76</v>
      </c>
      <c r="H13307">
        <v>98503</v>
      </c>
      <c r="I13307" t="s">
        <v>30</v>
      </c>
      <c r="J13307" t="s">
        <v>41</v>
      </c>
      <c r="K13307" t="s">
        <v>59</v>
      </c>
      <c r="Q13307">
        <v>0</v>
      </c>
      <c r="R13307">
        <v>0</v>
      </c>
      <c r="S13307">
        <v>0</v>
      </c>
      <c r="T13307" t="s">
        <v>47295</v>
      </c>
    </row>
    <row r="13308" spans="1:20" customFormat="1" ht="15" x14ac:dyDescent="0.25">
      <c r="A13308" t="s">
        <v>35</v>
      </c>
      <c r="B13308" t="s">
        <v>61</v>
      </c>
      <c r="C13308" t="str">
        <f>"A0123472"</f>
        <v>A0123472</v>
      </c>
      <c r="D13308" t="s">
        <v>47301</v>
      </c>
      <c r="E13308" t="s">
        <v>47302</v>
      </c>
      <c r="F13308" t="s">
        <v>485</v>
      </c>
      <c r="G13308" t="s">
        <v>338</v>
      </c>
      <c r="H13308">
        <v>8753</v>
      </c>
      <c r="I13308" t="s">
        <v>30</v>
      </c>
      <c r="J13308" t="s">
        <v>41</v>
      </c>
      <c r="K13308" t="s">
        <v>10880</v>
      </c>
      <c r="Q13308">
        <v>0</v>
      </c>
      <c r="R13308">
        <v>0</v>
      </c>
      <c r="S13308">
        <v>0</v>
      </c>
    </row>
    <row r="13309" spans="1:20" customFormat="1" ht="15" x14ac:dyDescent="0.25">
      <c r="A13309" t="s">
        <v>35</v>
      </c>
      <c r="B13309" t="s">
        <v>437</v>
      </c>
      <c r="C13309" t="str">
        <f>"A0133934"</f>
        <v>A0133934</v>
      </c>
      <c r="D13309" t="s">
        <v>47303</v>
      </c>
      <c r="E13309" t="s">
        <v>47304</v>
      </c>
      <c r="F13309" t="s">
        <v>47305</v>
      </c>
      <c r="G13309" t="s">
        <v>110</v>
      </c>
      <c r="H13309">
        <v>92561</v>
      </c>
      <c r="I13309" t="s">
        <v>30</v>
      </c>
      <c r="J13309" t="s">
        <v>441</v>
      </c>
      <c r="K13309" t="s">
        <v>442</v>
      </c>
      <c r="Q13309">
        <v>0</v>
      </c>
      <c r="R13309">
        <v>0</v>
      </c>
      <c r="S13309">
        <v>0</v>
      </c>
      <c r="T13309" t="s">
        <v>47306</v>
      </c>
    </row>
    <row r="13310" spans="1:20" customFormat="1" ht="15" x14ac:dyDescent="0.25">
      <c r="A13310" t="s">
        <v>35</v>
      </c>
      <c r="B13310" t="s">
        <v>61</v>
      </c>
      <c r="C13310" t="str">
        <f>"A0127036"</f>
        <v>A0127036</v>
      </c>
      <c r="D13310" t="s">
        <v>47307</v>
      </c>
      <c r="E13310" t="s">
        <v>47308</v>
      </c>
      <c r="F13310" t="s">
        <v>1747</v>
      </c>
      <c r="G13310" t="s">
        <v>103</v>
      </c>
      <c r="H13310">
        <v>17222</v>
      </c>
      <c r="I13310" t="s">
        <v>30</v>
      </c>
      <c r="J13310" t="s">
        <v>41</v>
      </c>
      <c r="K13310" t="s">
        <v>1440</v>
      </c>
      <c r="Q13310">
        <v>0</v>
      </c>
      <c r="R13310">
        <v>200</v>
      </c>
      <c r="S13310">
        <v>200</v>
      </c>
      <c r="T13310" t="s">
        <v>47309</v>
      </c>
    </row>
    <row r="13311" spans="1:20" customFormat="1" ht="15" x14ac:dyDescent="0.25">
      <c r="A13311" t="s">
        <v>35</v>
      </c>
      <c r="B13311" t="s">
        <v>61</v>
      </c>
      <c r="C13311" t="str">
        <f>"A0118201"</f>
        <v>A0118201</v>
      </c>
      <c r="D13311" t="s">
        <v>47310</v>
      </c>
      <c r="E13311" t="s">
        <v>47311</v>
      </c>
      <c r="F13311" t="s">
        <v>26827</v>
      </c>
      <c r="G13311" t="s">
        <v>433</v>
      </c>
      <c r="H13311">
        <v>83616</v>
      </c>
      <c r="I13311" t="s">
        <v>30</v>
      </c>
      <c r="J13311" t="s">
        <v>41</v>
      </c>
      <c r="K13311" t="s">
        <v>59</v>
      </c>
      <c r="Q13311">
        <v>0</v>
      </c>
      <c r="R13311">
        <v>70</v>
      </c>
      <c r="S13311">
        <v>70</v>
      </c>
      <c r="T13311" t="s">
        <v>47312</v>
      </c>
    </row>
    <row r="13312" spans="1:20" customFormat="1" ht="15" x14ac:dyDescent="0.25">
      <c r="A13312" t="s">
        <v>35</v>
      </c>
      <c r="B13312" t="s">
        <v>61</v>
      </c>
      <c r="C13312" t="str">
        <f>"A0124246"</f>
        <v>A0124246</v>
      </c>
      <c r="D13312" t="s">
        <v>47313</v>
      </c>
      <c r="E13312" t="s">
        <v>47314</v>
      </c>
      <c r="F13312" t="s">
        <v>5778</v>
      </c>
      <c r="G13312" t="s">
        <v>289</v>
      </c>
      <c r="H13312">
        <v>60302</v>
      </c>
      <c r="I13312" t="s">
        <v>30</v>
      </c>
      <c r="J13312" t="s">
        <v>41</v>
      </c>
      <c r="K13312" t="s">
        <v>229</v>
      </c>
      <c r="Q13312">
        <v>0</v>
      </c>
      <c r="R13312">
        <v>150</v>
      </c>
      <c r="S13312">
        <v>150</v>
      </c>
      <c r="T13312" t="s">
        <v>47315</v>
      </c>
    </row>
    <row r="13313" spans="1:20" customFormat="1" ht="15" x14ac:dyDescent="0.25">
      <c r="A13313" t="s">
        <v>35</v>
      </c>
      <c r="B13313" t="s">
        <v>61</v>
      </c>
      <c r="C13313" t="str">
        <f>"A0127503"</f>
        <v>A0127503</v>
      </c>
      <c r="D13313" t="s">
        <v>47316</v>
      </c>
      <c r="E13313" t="s">
        <v>47317</v>
      </c>
      <c r="F13313" t="s">
        <v>34179</v>
      </c>
      <c r="G13313" t="s">
        <v>507</v>
      </c>
      <c r="H13313">
        <v>25545</v>
      </c>
      <c r="I13313" t="s">
        <v>30</v>
      </c>
      <c r="J13313" t="s">
        <v>41</v>
      </c>
      <c r="K13313" t="s">
        <v>482</v>
      </c>
      <c r="Q13313">
        <v>0</v>
      </c>
      <c r="R13313">
        <v>110</v>
      </c>
      <c r="S13313">
        <v>110</v>
      </c>
      <c r="T13313" t="s">
        <v>47318</v>
      </c>
    </row>
    <row r="13314" spans="1:20" customFormat="1" ht="15" x14ac:dyDescent="0.25">
      <c r="A13314" t="s">
        <v>35</v>
      </c>
      <c r="B13314" t="s">
        <v>61</v>
      </c>
      <c r="C13314" t="str">
        <f>"A0127037"</f>
        <v>A0127037</v>
      </c>
      <c r="D13314" t="s">
        <v>47319</v>
      </c>
      <c r="E13314" t="s">
        <v>47320</v>
      </c>
      <c r="F13314" t="s">
        <v>47321</v>
      </c>
      <c r="G13314" t="s">
        <v>103</v>
      </c>
      <c r="H13314">
        <v>17550</v>
      </c>
      <c r="I13314" t="s">
        <v>30</v>
      </c>
      <c r="J13314" t="s">
        <v>41</v>
      </c>
      <c r="K13314" t="s">
        <v>59</v>
      </c>
      <c r="Q13314">
        <v>0</v>
      </c>
      <c r="R13314">
        <v>116</v>
      </c>
      <c r="S13314">
        <v>116</v>
      </c>
      <c r="T13314" t="s">
        <v>47322</v>
      </c>
    </row>
    <row r="13315" spans="1:20" customFormat="1" ht="15" x14ac:dyDescent="0.25">
      <c r="A13315" t="s">
        <v>35</v>
      </c>
      <c r="B13315" t="s">
        <v>61</v>
      </c>
      <c r="C13315" t="str">
        <f>"A0132089"</f>
        <v>A0132089</v>
      </c>
      <c r="D13315" t="s">
        <v>47323</v>
      </c>
      <c r="E13315" t="s">
        <v>47324</v>
      </c>
      <c r="F13315" t="s">
        <v>5698</v>
      </c>
      <c r="G13315" t="s">
        <v>507</v>
      </c>
      <c r="H13315">
        <v>25271</v>
      </c>
      <c r="I13315" t="s">
        <v>30</v>
      </c>
      <c r="J13315" t="s">
        <v>41</v>
      </c>
      <c r="K13315" t="s">
        <v>42</v>
      </c>
      <c r="Q13315">
        <v>0</v>
      </c>
      <c r="R13315">
        <v>0</v>
      </c>
      <c r="S13315">
        <v>0</v>
      </c>
      <c r="T13315" t="s">
        <v>47325</v>
      </c>
    </row>
    <row r="13316" spans="1:20" customFormat="1" ht="15" x14ac:dyDescent="0.25">
      <c r="A13316" t="s">
        <v>35</v>
      </c>
      <c r="B13316" t="s">
        <v>61</v>
      </c>
      <c r="C13316" t="str">
        <f>"A0123473"</f>
        <v>A0123473</v>
      </c>
      <c r="D13316" t="s">
        <v>47326</v>
      </c>
      <c r="E13316" t="s">
        <v>47327</v>
      </c>
      <c r="F13316" t="s">
        <v>1795</v>
      </c>
      <c r="G13316" t="s">
        <v>29</v>
      </c>
      <c r="H13316">
        <v>23228</v>
      </c>
      <c r="I13316" t="s">
        <v>30</v>
      </c>
      <c r="J13316" t="s">
        <v>41</v>
      </c>
      <c r="K13316" t="s">
        <v>229</v>
      </c>
      <c r="Q13316">
        <v>0</v>
      </c>
      <c r="R13316">
        <v>180</v>
      </c>
      <c r="S13316">
        <v>180</v>
      </c>
      <c r="T13316" t="s">
        <v>47328</v>
      </c>
    </row>
    <row r="13317" spans="1:20" customFormat="1" ht="15" x14ac:dyDescent="0.25">
      <c r="A13317" t="s">
        <v>35</v>
      </c>
      <c r="B13317" t="s">
        <v>437</v>
      </c>
      <c r="C13317" t="str">
        <f>"A0133868"</f>
        <v>A0133868</v>
      </c>
      <c r="D13317" t="s">
        <v>47329</v>
      </c>
      <c r="E13317" t="s">
        <v>47330</v>
      </c>
      <c r="F13317" t="s">
        <v>14068</v>
      </c>
      <c r="G13317" t="s">
        <v>110</v>
      </c>
      <c r="H13317">
        <v>94041</v>
      </c>
      <c r="I13317" t="s">
        <v>30</v>
      </c>
      <c r="J13317" t="s">
        <v>441</v>
      </c>
      <c r="K13317" t="s">
        <v>442</v>
      </c>
      <c r="Q13317">
        <v>0</v>
      </c>
      <c r="R13317">
        <v>0</v>
      </c>
      <c r="S13317">
        <v>0</v>
      </c>
      <c r="T13317" t="s">
        <v>47331</v>
      </c>
    </row>
    <row r="13318" spans="1:20" customFormat="1" ht="15" x14ac:dyDescent="0.25">
      <c r="A13318" t="s">
        <v>35</v>
      </c>
      <c r="B13318" t="s">
        <v>61</v>
      </c>
      <c r="C13318" t="str">
        <f>"A0119270"</f>
        <v>A0119270</v>
      </c>
      <c r="D13318" t="s">
        <v>47332</v>
      </c>
      <c r="E13318" t="s">
        <v>47333</v>
      </c>
      <c r="F13318" t="s">
        <v>21823</v>
      </c>
      <c r="G13318" t="s">
        <v>110</v>
      </c>
      <c r="H13318">
        <v>94501</v>
      </c>
      <c r="I13318" t="s">
        <v>30</v>
      </c>
      <c r="J13318" t="s">
        <v>41</v>
      </c>
      <c r="K13318" t="s">
        <v>229</v>
      </c>
      <c r="Q13318">
        <v>0</v>
      </c>
      <c r="R13318">
        <v>120</v>
      </c>
      <c r="S13318">
        <v>120</v>
      </c>
      <c r="T13318" t="s">
        <v>47334</v>
      </c>
    </row>
    <row r="13319" spans="1:20" customFormat="1" ht="15" x14ac:dyDescent="0.25">
      <c r="A13319" t="s">
        <v>35</v>
      </c>
      <c r="B13319" t="s">
        <v>61</v>
      </c>
      <c r="C13319" t="str">
        <f>"A0118360"</f>
        <v>A0118360</v>
      </c>
      <c r="D13319" t="s">
        <v>47335</v>
      </c>
      <c r="E13319" t="s">
        <v>47336</v>
      </c>
      <c r="F13319" t="s">
        <v>14775</v>
      </c>
      <c r="G13319" t="s">
        <v>110</v>
      </c>
      <c r="H13319">
        <v>956300000</v>
      </c>
      <c r="I13319" t="s">
        <v>30</v>
      </c>
      <c r="J13319" t="s">
        <v>41</v>
      </c>
      <c r="K13319" t="s">
        <v>59</v>
      </c>
      <c r="Q13319">
        <v>0</v>
      </c>
      <c r="R13319">
        <v>91</v>
      </c>
      <c r="S13319">
        <v>91</v>
      </c>
      <c r="T13319" t="s">
        <v>47337</v>
      </c>
    </row>
    <row r="13320" spans="1:20" customFormat="1" ht="15" x14ac:dyDescent="0.25">
      <c r="A13320" t="s">
        <v>35</v>
      </c>
      <c r="B13320" t="s">
        <v>61</v>
      </c>
      <c r="C13320" t="str">
        <f>"A0131818"</f>
        <v>A0131818</v>
      </c>
      <c r="D13320" t="s">
        <v>47338</v>
      </c>
      <c r="E13320" t="s">
        <v>47339</v>
      </c>
      <c r="F13320" t="s">
        <v>44670</v>
      </c>
      <c r="G13320" t="s">
        <v>65</v>
      </c>
      <c r="H13320">
        <v>440040000</v>
      </c>
      <c r="I13320" t="s">
        <v>30</v>
      </c>
      <c r="J13320" t="s">
        <v>41</v>
      </c>
      <c r="K13320" t="s">
        <v>229</v>
      </c>
      <c r="Q13320">
        <v>0</v>
      </c>
      <c r="R13320">
        <v>50</v>
      </c>
      <c r="S13320">
        <v>50</v>
      </c>
      <c r="T13320" t="s">
        <v>47340</v>
      </c>
    </row>
    <row r="13321" spans="1:20" customFormat="1" ht="15" x14ac:dyDescent="0.25">
      <c r="A13321" t="s">
        <v>35</v>
      </c>
      <c r="B13321" t="s">
        <v>61</v>
      </c>
      <c r="C13321" t="str">
        <f>"A0118301"</f>
        <v>A0118301</v>
      </c>
      <c r="D13321" t="s">
        <v>47341</v>
      </c>
      <c r="E13321" t="s">
        <v>47342</v>
      </c>
      <c r="F13321" t="s">
        <v>47343</v>
      </c>
      <c r="G13321" t="s">
        <v>110</v>
      </c>
      <c r="H13321">
        <v>95340</v>
      </c>
      <c r="I13321" t="s">
        <v>30</v>
      </c>
      <c r="J13321" t="s">
        <v>41</v>
      </c>
      <c r="K13321" t="s">
        <v>59</v>
      </c>
      <c r="Q13321">
        <v>0</v>
      </c>
      <c r="R13321">
        <v>75</v>
      </c>
      <c r="S13321">
        <v>75</v>
      </c>
      <c r="T13321" t="s">
        <v>47344</v>
      </c>
    </row>
    <row r="13322" spans="1:20" customFormat="1" ht="15" x14ac:dyDescent="0.25">
      <c r="A13322" t="s">
        <v>35</v>
      </c>
      <c r="B13322" t="s">
        <v>61</v>
      </c>
      <c r="C13322" t="str">
        <f>"A0121502"</f>
        <v>A0121502</v>
      </c>
      <c r="D13322" t="s">
        <v>47345</v>
      </c>
      <c r="E13322" t="s">
        <v>47346</v>
      </c>
      <c r="F13322" t="s">
        <v>9128</v>
      </c>
      <c r="G13322" t="s">
        <v>110</v>
      </c>
      <c r="H13322">
        <v>94606</v>
      </c>
      <c r="I13322" t="s">
        <v>30</v>
      </c>
      <c r="J13322" t="s">
        <v>41</v>
      </c>
      <c r="K13322" t="s">
        <v>59</v>
      </c>
      <c r="Q13322">
        <v>0</v>
      </c>
      <c r="R13322">
        <v>25</v>
      </c>
      <c r="S13322">
        <v>25</v>
      </c>
      <c r="T13322" t="s">
        <v>47347</v>
      </c>
    </row>
    <row r="13323" spans="1:20" customFormat="1" ht="15" x14ac:dyDescent="0.25">
      <c r="A13323" t="s">
        <v>35</v>
      </c>
      <c r="B13323" t="s">
        <v>7943</v>
      </c>
      <c r="C13323" t="str">
        <f>"A0131130"</f>
        <v>A0131130</v>
      </c>
      <c r="D13323" t="s">
        <v>47348</v>
      </c>
      <c r="E13323" t="s">
        <v>47349</v>
      </c>
      <c r="F13323" t="s">
        <v>9679</v>
      </c>
      <c r="G13323" t="s">
        <v>137</v>
      </c>
      <c r="H13323">
        <v>63368</v>
      </c>
      <c r="I13323" t="s">
        <v>30</v>
      </c>
      <c r="J13323" t="s">
        <v>41</v>
      </c>
      <c r="K13323" t="s">
        <v>59</v>
      </c>
      <c r="Q13323">
        <v>0</v>
      </c>
      <c r="R13323">
        <v>70</v>
      </c>
      <c r="S13323">
        <v>70</v>
      </c>
      <c r="T13323" t="s">
        <v>47350</v>
      </c>
    </row>
    <row r="13324" spans="1:20" customFormat="1" ht="15" x14ac:dyDescent="0.25">
      <c r="A13324" t="s">
        <v>35</v>
      </c>
      <c r="B13324" t="s">
        <v>61</v>
      </c>
      <c r="C13324" t="str">
        <f>"A0118199"</f>
        <v>A0118199</v>
      </c>
      <c r="D13324" t="s">
        <v>47351</v>
      </c>
      <c r="E13324" t="s">
        <v>47352</v>
      </c>
      <c r="F13324" t="s">
        <v>39767</v>
      </c>
      <c r="G13324" t="s">
        <v>153</v>
      </c>
      <c r="H13324">
        <v>84062</v>
      </c>
      <c r="I13324" t="s">
        <v>30</v>
      </c>
      <c r="J13324" t="s">
        <v>41</v>
      </c>
      <c r="K13324" t="s">
        <v>59</v>
      </c>
      <c r="Q13324">
        <v>0</v>
      </c>
      <c r="R13324">
        <v>9</v>
      </c>
      <c r="S13324">
        <v>9</v>
      </c>
      <c r="T13324" t="s">
        <v>47353</v>
      </c>
    </row>
    <row r="13325" spans="1:20" customFormat="1" ht="15" x14ac:dyDescent="0.25">
      <c r="A13325" t="s">
        <v>35</v>
      </c>
      <c r="B13325" t="s">
        <v>61</v>
      </c>
      <c r="C13325" t="str">
        <f>"A0128915"</f>
        <v>A0128915</v>
      </c>
      <c r="D13325" t="s">
        <v>47354</v>
      </c>
      <c r="E13325" t="s">
        <v>47355</v>
      </c>
      <c r="F13325" t="s">
        <v>1607</v>
      </c>
      <c r="G13325" t="s">
        <v>289</v>
      </c>
      <c r="H13325">
        <v>60450</v>
      </c>
      <c r="I13325" t="s">
        <v>30</v>
      </c>
      <c r="J13325" t="s">
        <v>41</v>
      </c>
      <c r="K13325" t="s">
        <v>229</v>
      </c>
      <c r="Q13325">
        <v>0</v>
      </c>
      <c r="R13325">
        <v>142</v>
      </c>
      <c r="S13325">
        <v>142</v>
      </c>
      <c r="T13325" t="s">
        <v>47356</v>
      </c>
    </row>
    <row r="13326" spans="1:20" customFormat="1" ht="15" x14ac:dyDescent="0.25">
      <c r="A13326" t="s">
        <v>35</v>
      </c>
      <c r="B13326" t="s">
        <v>61</v>
      </c>
      <c r="C13326" t="str">
        <f>"A0152998"</f>
        <v>A0152998</v>
      </c>
      <c r="D13326" t="s">
        <v>31642</v>
      </c>
      <c r="E13326" t="s">
        <v>47357</v>
      </c>
      <c r="F13326" t="s">
        <v>32395</v>
      </c>
      <c r="G13326" t="s">
        <v>161</v>
      </c>
      <c r="H13326">
        <v>56097</v>
      </c>
      <c r="I13326" t="s">
        <v>30</v>
      </c>
      <c r="J13326" t="s">
        <v>41</v>
      </c>
      <c r="K13326" t="s">
        <v>229</v>
      </c>
      <c r="Q13326">
        <v>0</v>
      </c>
      <c r="R13326">
        <v>65</v>
      </c>
      <c r="S13326">
        <v>65</v>
      </c>
      <c r="T13326" t="s">
        <v>47358</v>
      </c>
    </row>
    <row r="13327" spans="1:20" customFormat="1" ht="15" x14ac:dyDescent="0.25">
      <c r="A13327" t="s">
        <v>35</v>
      </c>
      <c r="B13327" t="s">
        <v>61</v>
      </c>
      <c r="C13327" t="str">
        <f>"A0123475"</f>
        <v>A0123475</v>
      </c>
      <c r="D13327" t="s">
        <v>47359</v>
      </c>
      <c r="E13327" t="s">
        <v>47360</v>
      </c>
      <c r="F13327" t="s">
        <v>11715</v>
      </c>
      <c r="G13327" t="s">
        <v>29</v>
      </c>
      <c r="H13327">
        <v>23704</v>
      </c>
      <c r="I13327" t="s">
        <v>30</v>
      </c>
      <c r="J13327" t="s">
        <v>41</v>
      </c>
      <c r="K13327" t="s">
        <v>229</v>
      </c>
      <c r="Q13327">
        <v>0</v>
      </c>
      <c r="R13327">
        <v>164</v>
      </c>
      <c r="S13327">
        <v>164</v>
      </c>
      <c r="T13327" t="s">
        <v>47361</v>
      </c>
    </row>
    <row r="13328" spans="1:20" customFormat="1" ht="15" x14ac:dyDescent="0.25">
      <c r="A13328" t="s">
        <v>35</v>
      </c>
      <c r="B13328" t="s">
        <v>61</v>
      </c>
      <c r="C13328" t="str">
        <f>"A0131522"</f>
        <v>A0131522</v>
      </c>
      <c r="D13328" t="s">
        <v>47362</v>
      </c>
      <c r="E13328" t="s">
        <v>47363</v>
      </c>
      <c r="F13328" t="s">
        <v>4591</v>
      </c>
      <c r="G13328" t="s">
        <v>381</v>
      </c>
      <c r="H13328">
        <v>469520000</v>
      </c>
      <c r="I13328" t="s">
        <v>30</v>
      </c>
      <c r="J13328" t="s">
        <v>41</v>
      </c>
      <c r="K13328" t="s">
        <v>229</v>
      </c>
      <c r="Q13328">
        <v>0</v>
      </c>
      <c r="R13328">
        <v>65</v>
      </c>
      <c r="S13328">
        <v>65</v>
      </c>
      <c r="T13328" t="s">
        <v>47364</v>
      </c>
    </row>
    <row r="13329" spans="1:20" customFormat="1" ht="15" x14ac:dyDescent="0.25">
      <c r="A13329" t="s">
        <v>35</v>
      </c>
      <c r="B13329" t="s">
        <v>61</v>
      </c>
      <c r="C13329" t="str">
        <f>"A0133727"</f>
        <v>A0133727</v>
      </c>
      <c r="D13329" t="s">
        <v>47365</v>
      </c>
      <c r="E13329" t="s">
        <v>47366</v>
      </c>
      <c r="F13329" t="s">
        <v>37184</v>
      </c>
      <c r="G13329" t="s">
        <v>52</v>
      </c>
      <c r="H13329">
        <v>75115</v>
      </c>
      <c r="I13329" t="s">
        <v>30</v>
      </c>
      <c r="J13329" t="s">
        <v>41</v>
      </c>
      <c r="K13329" t="s">
        <v>229</v>
      </c>
      <c r="Q13329">
        <v>0</v>
      </c>
      <c r="R13329">
        <v>80</v>
      </c>
      <c r="S13329">
        <v>80</v>
      </c>
      <c r="T13329" t="s">
        <v>47367</v>
      </c>
    </row>
    <row r="13330" spans="1:20" customFormat="1" ht="15" x14ac:dyDescent="0.25">
      <c r="A13330" t="s">
        <v>35</v>
      </c>
      <c r="B13330" t="s">
        <v>61</v>
      </c>
      <c r="C13330" t="str">
        <f>"A0131856"</f>
        <v>A0131856</v>
      </c>
      <c r="D13330" t="s">
        <v>47368</v>
      </c>
      <c r="E13330" t="s">
        <v>47369</v>
      </c>
      <c r="F13330" t="s">
        <v>531</v>
      </c>
      <c r="G13330" t="s">
        <v>65</v>
      </c>
      <c r="H13330">
        <v>446220000</v>
      </c>
      <c r="I13330" t="s">
        <v>30</v>
      </c>
      <c r="J13330" t="s">
        <v>41</v>
      </c>
      <c r="K13330" t="s">
        <v>229</v>
      </c>
      <c r="Q13330">
        <v>0</v>
      </c>
      <c r="R13330">
        <v>100</v>
      </c>
      <c r="S13330">
        <v>100</v>
      </c>
      <c r="T13330" t="s">
        <v>47370</v>
      </c>
    </row>
    <row r="13331" spans="1:20" customFormat="1" ht="15" x14ac:dyDescent="0.25">
      <c r="A13331" t="s">
        <v>35</v>
      </c>
      <c r="B13331" t="s">
        <v>61</v>
      </c>
      <c r="C13331" t="str">
        <f>"A0131857"</f>
        <v>A0131857</v>
      </c>
      <c r="D13331" t="s">
        <v>47371</v>
      </c>
      <c r="E13331" t="s">
        <v>47372</v>
      </c>
      <c r="F13331" t="s">
        <v>531</v>
      </c>
      <c r="G13331" t="s">
        <v>65</v>
      </c>
      <c r="H13331">
        <v>44622</v>
      </c>
      <c r="I13331" t="s">
        <v>30</v>
      </c>
      <c r="J13331" t="s">
        <v>41</v>
      </c>
      <c r="K13331" t="s">
        <v>59</v>
      </c>
      <c r="Q13331">
        <v>0</v>
      </c>
      <c r="R13331">
        <v>51</v>
      </c>
      <c r="S13331">
        <v>51</v>
      </c>
      <c r="T13331" t="s">
        <v>47370</v>
      </c>
    </row>
    <row r="13332" spans="1:20" customFormat="1" ht="15" x14ac:dyDescent="0.25">
      <c r="A13332" t="s">
        <v>35</v>
      </c>
      <c r="B13332" t="s">
        <v>61</v>
      </c>
      <c r="C13332" t="str">
        <f>"A0150748"</f>
        <v>A0150748</v>
      </c>
      <c r="D13332" t="s">
        <v>47373</v>
      </c>
      <c r="E13332" t="s">
        <v>47374</v>
      </c>
      <c r="F13332" t="s">
        <v>531</v>
      </c>
      <c r="G13332" t="s">
        <v>65</v>
      </c>
      <c r="H13332">
        <v>44622</v>
      </c>
      <c r="I13332" t="s">
        <v>30</v>
      </c>
      <c r="J13332" t="s">
        <v>41</v>
      </c>
      <c r="K13332" t="s">
        <v>59</v>
      </c>
      <c r="Q13332">
        <v>0</v>
      </c>
      <c r="R13332">
        <v>58</v>
      </c>
      <c r="S13332">
        <v>58</v>
      </c>
      <c r="T13332" t="s">
        <v>47370</v>
      </c>
    </row>
    <row r="13333" spans="1:20" customFormat="1" ht="15" x14ac:dyDescent="0.25">
      <c r="A13333" t="s">
        <v>35</v>
      </c>
      <c r="B13333" t="s">
        <v>61</v>
      </c>
      <c r="C13333" t="str">
        <f>"A0132884"</f>
        <v>A0132884</v>
      </c>
      <c r="D13333" t="s">
        <v>47375</v>
      </c>
      <c r="E13333" t="s">
        <v>47376</v>
      </c>
      <c r="F13333" t="s">
        <v>47377</v>
      </c>
      <c r="G13333" t="s">
        <v>65</v>
      </c>
      <c r="H13333">
        <v>44663</v>
      </c>
      <c r="I13333" t="s">
        <v>30</v>
      </c>
      <c r="J13333" t="s">
        <v>41</v>
      </c>
      <c r="K13333" t="s">
        <v>59</v>
      </c>
      <c r="Q13333">
        <v>0</v>
      </c>
      <c r="R13333">
        <v>125</v>
      </c>
      <c r="S13333">
        <v>125</v>
      </c>
      <c r="T13333" t="s">
        <v>47370</v>
      </c>
    </row>
    <row r="13334" spans="1:20" customFormat="1" ht="15" x14ac:dyDescent="0.25">
      <c r="A13334" t="s">
        <v>35</v>
      </c>
      <c r="B13334" t="s">
        <v>61</v>
      </c>
      <c r="C13334" t="str">
        <f>"A0118302"</f>
        <v>A0118302</v>
      </c>
      <c r="D13334" t="s">
        <v>47378</v>
      </c>
      <c r="E13334" t="s">
        <v>47379</v>
      </c>
      <c r="F13334" t="s">
        <v>15965</v>
      </c>
      <c r="G13334" t="s">
        <v>110</v>
      </c>
      <c r="H13334">
        <v>93277</v>
      </c>
      <c r="I13334" t="s">
        <v>30</v>
      </c>
      <c r="J13334" t="s">
        <v>41</v>
      </c>
      <c r="K13334" t="s">
        <v>59</v>
      </c>
      <c r="Q13334">
        <v>0</v>
      </c>
      <c r="R13334">
        <v>75</v>
      </c>
      <c r="S13334">
        <v>75</v>
      </c>
      <c r="T13334" t="s">
        <v>47380</v>
      </c>
    </row>
    <row r="13335" spans="1:20" customFormat="1" ht="15" x14ac:dyDescent="0.25">
      <c r="A13335" t="s">
        <v>35</v>
      </c>
      <c r="B13335" t="s">
        <v>61</v>
      </c>
      <c r="C13335" t="str">
        <f>"A0131736"</f>
        <v>A0131736</v>
      </c>
      <c r="D13335" t="s">
        <v>47381</v>
      </c>
      <c r="E13335" t="s">
        <v>47382</v>
      </c>
      <c r="F13335" t="s">
        <v>2748</v>
      </c>
      <c r="G13335" t="s">
        <v>65</v>
      </c>
      <c r="H13335">
        <v>436150000</v>
      </c>
      <c r="I13335" t="s">
        <v>30</v>
      </c>
      <c r="J13335" t="s">
        <v>41</v>
      </c>
      <c r="K13335" t="s">
        <v>1032</v>
      </c>
      <c r="Q13335">
        <v>0</v>
      </c>
      <c r="R13335">
        <v>48</v>
      </c>
      <c r="S13335">
        <v>48</v>
      </c>
      <c r="T13335" t="s">
        <v>47383</v>
      </c>
    </row>
    <row r="13336" spans="1:20" customFormat="1" ht="15" x14ac:dyDescent="0.25">
      <c r="A13336" t="s">
        <v>35</v>
      </c>
      <c r="B13336" t="s">
        <v>61</v>
      </c>
      <c r="C13336" t="str">
        <f>"A0132474"</f>
        <v>A0132474</v>
      </c>
      <c r="D13336" t="s">
        <v>47381</v>
      </c>
      <c r="E13336" t="s">
        <v>47384</v>
      </c>
      <c r="F13336" t="s">
        <v>2748</v>
      </c>
      <c r="G13336" t="s">
        <v>65</v>
      </c>
      <c r="H13336">
        <v>43615</v>
      </c>
      <c r="I13336" t="s">
        <v>30</v>
      </c>
      <c r="J13336" t="s">
        <v>41</v>
      </c>
      <c r="K13336" t="s">
        <v>1032</v>
      </c>
      <c r="Q13336">
        <v>0</v>
      </c>
      <c r="R13336">
        <v>80</v>
      </c>
      <c r="S13336">
        <v>80</v>
      </c>
      <c r="T13336" t="s">
        <v>47385</v>
      </c>
    </row>
    <row r="13337" spans="1:20" customFormat="1" ht="15" x14ac:dyDescent="0.25">
      <c r="A13337" t="s">
        <v>35</v>
      </c>
      <c r="B13337" t="s">
        <v>61</v>
      </c>
      <c r="C13337" t="str">
        <f>"A0153000"</f>
        <v>A0153000</v>
      </c>
      <c r="D13337" t="s">
        <v>47386</v>
      </c>
      <c r="E13337" t="s">
        <v>47387</v>
      </c>
      <c r="F13337" t="s">
        <v>47388</v>
      </c>
      <c r="G13337" t="s">
        <v>161</v>
      </c>
      <c r="H13337">
        <v>56098</v>
      </c>
      <c r="I13337" t="s">
        <v>30</v>
      </c>
      <c r="J13337" t="s">
        <v>41</v>
      </c>
      <c r="K13337" t="s">
        <v>229</v>
      </c>
      <c r="Q13337">
        <v>0</v>
      </c>
      <c r="R13337">
        <v>40</v>
      </c>
      <c r="S13337">
        <v>40</v>
      </c>
      <c r="T13337" t="s">
        <v>47389</v>
      </c>
    </row>
    <row r="13338" spans="1:20" customFormat="1" ht="15" x14ac:dyDescent="0.25">
      <c r="A13338" t="s">
        <v>35</v>
      </c>
      <c r="B13338" t="s">
        <v>61</v>
      </c>
      <c r="C13338" t="str">
        <f>"A0154307"</f>
        <v>A0154307</v>
      </c>
      <c r="D13338" t="s">
        <v>47390</v>
      </c>
      <c r="E13338" t="s">
        <v>47391</v>
      </c>
      <c r="F13338" t="s">
        <v>4586</v>
      </c>
      <c r="G13338" t="s">
        <v>289</v>
      </c>
      <c r="H13338">
        <v>62561</v>
      </c>
      <c r="I13338" t="s">
        <v>30</v>
      </c>
      <c r="J13338" t="s">
        <v>41</v>
      </c>
      <c r="K13338" t="s">
        <v>391</v>
      </c>
      <c r="Q13338">
        <v>0</v>
      </c>
      <c r="R13338">
        <v>130</v>
      </c>
      <c r="S13338">
        <v>130</v>
      </c>
      <c r="T13338" t="s">
        <v>47392</v>
      </c>
    </row>
    <row r="13339" spans="1:20" customFormat="1" ht="15" x14ac:dyDescent="0.25">
      <c r="A13339" t="s">
        <v>35</v>
      </c>
      <c r="B13339" t="s">
        <v>61</v>
      </c>
      <c r="C13339" t="str">
        <f>"A0131000"</f>
        <v>A0131000</v>
      </c>
      <c r="D13339" t="s">
        <v>47393</v>
      </c>
      <c r="E13339" t="s">
        <v>47394</v>
      </c>
      <c r="F13339" t="s">
        <v>47395</v>
      </c>
      <c r="G13339" t="s">
        <v>85</v>
      </c>
      <c r="H13339">
        <v>729500000</v>
      </c>
      <c r="I13339" t="s">
        <v>30</v>
      </c>
      <c r="J13339" t="s">
        <v>41</v>
      </c>
      <c r="K13339" t="s">
        <v>2760</v>
      </c>
      <c r="Q13339">
        <v>0</v>
      </c>
      <c r="R13339">
        <v>1</v>
      </c>
      <c r="S13339">
        <v>1</v>
      </c>
      <c r="T13339" t="s">
        <v>47396</v>
      </c>
    </row>
    <row r="13340" spans="1:20" customFormat="1" ht="15" x14ac:dyDescent="0.25">
      <c r="A13340" t="s">
        <v>35</v>
      </c>
      <c r="B13340" t="s">
        <v>61</v>
      </c>
      <c r="C13340" t="str">
        <f>"A0128326"</f>
        <v>A0128326</v>
      </c>
      <c r="D13340" t="s">
        <v>23728</v>
      </c>
      <c r="E13340" t="s">
        <v>47397</v>
      </c>
      <c r="F13340" t="s">
        <v>10523</v>
      </c>
      <c r="G13340" t="s">
        <v>427</v>
      </c>
      <c r="H13340">
        <v>68780</v>
      </c>
      <c r="I13340" t="s">
        <v>30</v>
      </c>
      <c r="J13340" t="s">
        <v>41</v>
      </c>
      <c r="K13340" t="s">
        <v>229</v>
      </c>
      <c r="Q13340">
        <v>0</v>
      </c>
      <c r="R13340">
        <v>40</v>
      </c>
      <c r="S13340">
        <v>40</v>
      </c>
      <c r="T13340" t="s">
        <v>47398</v>
      </c>
    </row>
    <row r="13341" spans="1:20" customFormat="1" ht="15" x14ac:dyDescent="0.25">
      <c r="A13341" t="s">
        <v>35</v>
      </c>
      <c r="B13341" t="s">
        <v>61</v>
      </c>
      <c r="C13341" t="str">
        <f>"A0122913"</f>
        <v>A0122913</v>
      </c>
      <c r="D13341" t="s">
        <v>47399</v>
      </c>
      <c r="E13341" t="s">
        <v>47400</v>
      </c>
      <c r="F13341" t="s">
        <v>5317</v>
      </c>
      <c r="G13341" t="s">
        <v>76</v>
      </c>
      <c r="H13341">
        <v>98002</v>
      </c>
      <c r="I13341" t="s">
        <v>30</v>
      </c>
      <c r="J13341" t="s">
        <v>41</v>
      </c>
      <c r="K13341" t="s">
        <v>59</v>
      </c>
      <c r="Q13341">
        <v>0</v>
      </c>
      <c r="R13341">
        <v>94</v>
      </c>
      <c r="S13341">
        <v>94</v>
      </c>
      <c r="T13341" t="s">
        <v>47401</v>
      </c>
    </row>
    <row r="13342" spans="1:20" customFormat="1" ht="15" x14ac:dyDescent="0.25">
      <c r="A13342" t="s">
        <v>35</v>
      </c>
      <c r="B13342" t="s">
        <v>61</v>
      </c>
      <c r="C13342" t="str">
        <f>"A0123874"</f>
        <v>A0123874</v>
      </c>
      <c r="D13342" t="s">
        <v>47402</v>
      </c>
      <c r="E13342" t="s">
        <v>47403</v>
      </c>
      <c r="F13342" t="s">
        <v>47404</v>
      </c>
      <c r="G13342" t="s">
        <v>214</v>
      </c>
      <c r="H13342">
        <v>28371</v>
      </c>
      <c r="I13342" t="s">
        <v>30</v>
      </c>
      <c r="J13342" t="s">
        <v>41</v>
      </c>
      <c r="K13342" t="s">
        <v>482</v>
      </c>
      <c r="Q13342">
        <v>0</v>
      </c>
      <c r="R13342">
        <v>80</v>
      </c>
      <c r="S13342">
        <v>80</v>
      </c>
      <c r="T13342" t="s">
        <v>47405</v>
      </c>
    </row>
    <row r="13343" spans="1:20" customFormat="1" ht="15" x14ac:dyDescent="0.25">
      <c r="A13343" t="s">
        <v>35</v>
      </c>
      <c r="B13343" t="s">
        <v>61</v>
      </c>
      <c r="C13343" t="str">
        <f>"A0118992"</f>
        <v>A0118992</v>
      </c>
      <c r="D13343" t="s">
        <v>47406</v>
      </c>
      <c r="E13343" t="s">
        <v>47407</v>
      </c>
      <c r="F13343" t="s">
        <v>10867</v>
      </c>
      <c r="G13343" t="s">
        <v>110</v>
      </c>
      <c r="H13343">
        <v>95350</v>
      </c>
      <c r="I13343" t="s">
        <v>30</v>
      </c>
      <c r="J13343" t="s">
        <v>41</v>
      </c>
      <c r="K13343" t="s">
        <v>59</v>
      </c>
      <c r="Q13343">
        <v>0</v>
      </c>
      <c r="R13343">
        <v>99</v>
      </c>
      <c r="S13343">
        <v>99</v>
      </c>
      <c r="T13343" t="s">
        <v>47408</v>
      </c>
    </row>
    <row r="13344" spans="1:20" customFormat="1" ht="15" x14ac:dyDescent="0.25">
      <c r="A13344" t="s">
        <v>35</v>
      </c>
      <c r="B13344" t="s">
        <v>61</v>
      </c>
      <c r="C13344" t="str">
        <f>"A0118037"</f>
        <v>A0118037</v>
      </c>
      <c r="D13344" t="s">
        <v>47409</v>
      </c>
      <c r="E13344" t="s">
        <v>47410</v>
      </c>
      <c r="F13344" t="s">
        <v>4777</v>
      </c>
      <c r="G13344" t="s">
        <v>110</v>
      </c>
      <c r="H13344">
        <v>93304</v>
      </c>
      <c r="I13344" t="s">
        <v>30</v>
      </c>
      <c r="J13344" t="s">
        <v>41</v>
      </c>
      <c r="K13344" t="s">
        <v>229</v>
      </c>
      <c r="Q13344">
        <v>0</v>
      </c>
      <c r="R13344">
        <v>99</v>
      </c>
      <c r="S13344">
        <v>99</v>
      </c>
      <c r="T13344" t="s">
        <v>47411</v>
      </c>
    </row>
    <row r="13345" spans="1:20" customFormat="1" ht="15" x14ac:dyDescent="0.25">
      <c r="A13345" t="s">
        <v>35</v>
      </c>
      <c r="B13345" t="s">
        <v>61</v>
      </c>
      <c r="C13345" t="str">
        <f>"A0125407"</f>
        <v>A0125407</v>
      </c>
      <c r="D13345" t="s">
        <v>47412</v>
      </c>
      <c r="E13345" t="s">
        <v>47413</v>
      </c>
      <c r="F13345" t="s">
        <v>47414</v>
      </c>
      <c r="G13345" t="s">
        <v>40</v>
      </c>
      <c r="H13345">
        <v>73848</v>
      </c>
      <c r="I13345" t="s">
        <v>30</v>
      </c>
      <c r="J13345" t="s">
        <v>41</v>
      </c>
      <c r="K13345" t="s">
        <v>59</v>
      </c>
      <c r="Q13345">
        <v>0</v>
      </c>
      <c r="R13345">
        <v>26</v>
      </c>
      <c r="S13345">
        <v>26</v>
      </c>
      <c r="T13345" t="s">
        <v>47415</v>
      </c>
    </row>
    <row r="13346" spans="1:20" customFormat="1" ht="15" x14ac:dyDescent="0.25">
      <c r="A13346" t="s">
        <v>35</v>
      </c>
      <c r="B13346" t="s">
        <v>61</v>
      </c>
      <c r="C13346" t="str">
        <f>"A0125090"</f>
        <v>A0125090</v>
      </c>
      <c r="D13346" t="s">
        <v>47416</v>
      </c>
      <c r="E13346" t="s">
        <v>47417</v>
      </c>
      <c r="F13346" t="s">
        <v>22719</v>
      </c>
      <c r="G13346" t="s">
        <v>214</v>
      </c>
      <c r="H13346">
        <v>27330</v>
      </c>
      <c r="I13346" t="s">
        <v>30</v>
      </c>
      <c r="J13346" t="s">
        <v>41</v>
      </c>
      <c r="K13346" t="s">
        <v>59</v>
      </c>
      <c r="Q13346">
        <v>0</v>
      </c>
      <c r="R13346">
        <v>116</v>
      </c>
      <c r="S13346">
        <v>116</v>
      </c>
      <c r="T13346" t="s">
        <v>47418</v>
      </c>
    </row>
    <row r="13347" spans="1:20" customFormat="1" ht="15" x14ac:dyDescent="0.25">
      <c r="A13347" t="s">
        <v>35</v>
      </c>
      <c r="B13347" t="s">
        <v>61</v>
      </c>
      <c r="C13347" t="str">
        <f>"A0127549"</f>
        <v>A0127549</v>
      </c>
      <c r="D13347" t="s">
        <v>47419</v>
      </c>
      <c r="E13347" t="s">
        <v>47420</v>
      </c>
      <c r="F13347" t="s">
        <v>8288</v>
      </c>
      <c r="G13347" t="s">
        <v>123</v>
      </c>
      <c r="H13347">
        <v>21740</v>
      </c>
      <c r="I13347" t="s">
        <v>30</v>
      </c>
      <c r="J13347" t="s">
        <v>41</v>
      </c>
      <c r="K13347" t="s">
        <v>10218</v>
      </c>
      <c r="Q13347">
        <v>0</v>
      </c>
      <c r="R13347">
        <v>0</v>
      </c>
      <c r="S13347">
        <v>0</v>
      </c>
      <c r="T13347" t="s">
        <v>47421</v>
      </c>
    </row>
    <row r="13348" spans="1:20" customFormat="1" ht="15" x14ac:dyDescent="0.25">
      <c r="A13348" t="s">
        <v>35</v>
      </c>
      <c r="B13348" t="s">
        <v>61</v>
      </c>
      <c r="C13348" t="str">
        <f>"A0133487"</f>
        <v>A0133487</v>
      </c>
      <c r="D13348" t="s">
        <v>47422</v>
      </c>
      <c r="E13348" t="s">
        <v>47423</v>
      </c>
      <c r="F13348" t="s">
        <v>3081</v>
      </c>
      <c r="G13348" t="s">
        <v>52</v>
      </c>
      <c r="H13348">
        <v>75904</v>
      </c>
      <c r="I13348" t="s">
        <v>30</v>
      </c>
      <c r="J13348" t="s">
        <v>41</v>
      </c>
      <c r="K13348" t="s">
        <v>229</v>
      </c>
      <c r="Q13348">
        <v>0</v>
      </c>
      <c r="R13348">
        <v>157</v>
      </c>
      <c r="S13348">
        <v>157</v>
      </c>
      <c r="T13348" t="s">
        <v>3082</v>
      </c>
    </row>
    <row r="13349" spans="1:20" customFormat="1" ht="15" x14ac:dyDescent="0.25">
      <c r="A13349" t="s">
        <v>35</v>
      </c>
      <c r="B13349" t="s">
        <v>61</v>
      </c>
      <c r="C13349" t="str">
        <f>"A0118189"</f>
        <v>A0118189</v>
      </c>
      <c r="D13349" t="s">
        <v>47424</v>
      </c>
      <c r="E13349" t="s">
        <v>47425</v>
      </c>
      <c r="F13349" t="s">
        <v>47426</v>
      </c>
      <c r="G13349" t="s">
        <v>433</v>
      </c>
      <c r="H13349">
        <v>83628</v>
      </c>
      <c r="I13349" t="s">
        <v>30</v>
      </c>
      <c r="J13349" t="s">
        <v>41</v>
      </c>
      <c r="K13349" t="s">
        <v>59</v>
      </c>
      <c r="Q13349">
        <v>0</v>
      </c>
      <c r="R13349">
        <v>15</v>
      </c>
      <c r="S13349">
        <v>15</v>
      </c>
      <c r="T13349" t="s">
        <v>47427</v>
      </c>
    </row>
    <row r="13350" spans="1:20" customFormat="1" ht="15" x14ac:dyDescent="0.25">
      <c r="A13350" t="s">
        <v>35</v>
      </c>
      <c r="B13350" t="s">
        <v>437</v>
      </c>
      <c r="C13350" t="str">
        <f>"A0154180"</f>
        <v>A0154180</v>
      </c>
      <c r="D13350" t="s">
        <v>47428</v>
      </c>
      <c r="E13350" t="s">
        <v>47429</v>
      </c>
      <c r="F13350" t="s">
        <v>3180</v>
      </c>
      <c r="G13350" t="s">
        <v>99</v>
      </c>
      <c r="H13350">
        <v>13440</v>
      </c>
      <c r="I13350" t="s">
        <v>30</v>
      </c>
      <c r="J13350" t="s">
        <v>441</v>
      </c>
      <c r="K13350" t="s">
        <v>442</v>
      </c>
      <c r="Q13350">
        <v>0</v>
      </c>
      <c r="R13350">
        <v>0</v>
      </c>
      <c r="S13350">
        <v>0</v>
      </c>
      <c r="T13350" t="s">
        <v>47430</v>
      </c>
    </row>
    <row r="13351" spans="1:20" customFormat="1" ht="15" x14ac:dyDescent="0.25">
      <c r="A13351" t="s">
        <v>35</v>
      </c>
      <c r="B13351" t="s">
        <v>106</v>
      </c>
      <c r="C13351" t="str">
        <f>"A0135944"</f>
        <v>A0135944</v>
      </c>
      <c r="D13351" t="s">
        <v>47431</v>
      </c>
      <c r="E13351" t="s">
        <v>47432</v>
      </c>
      <c r="F13351" t="s">
        <v>22374</v>
      </c>
      <c r="G13351" t="s">
        <v>99</v>
      </c>
      <c r="H13351">
        <v>12208</v>
      </c>
      <c r="I13351" t="s">
        <v>30</v>
      </c>
      <c r="J13351" t="s">
        <v>111</v>
      </c>
      <c r="K13351" t="s">
        <v>112</v>
      </c>
      <c r="Q13351">
        <v>0</v>
      </c>
      <c r="R13351">
        <v>0</v>
      </c>
      <c r="S13351">
        <v>0</v>
      </c>
      <c r="T13351" t="s">
        <v>47433</v>
      </c>
    </row>
    <row r="13352" spans="1:20" customFormat="1" ht="15" x14ac:dyDescent="0.25">
      <c r="A13352" t="s">
        <v>35</v>
      </c>
      <c r="B13352" t="s">
        <v>61</v>
      </c>
      <c r="C13352" t="str">
        <f>"A0118834"</f>
        <v>A0118834</v>
      </c>
      <c r="D13352" t="s">
        <v>47434</v>
      </c>
      <c r="E13352" t="s">
        <v>47435</v>
      </c>
      <c r="F13352" t="s">
        <v>9836</v>
      </c>
      <c r="G13352" t="s">
        <v>110</v>
      </c>
      <c r="H13352">
        <v>91104</v>
      </c>
      <c r="I13352" t="s">
        <v>30</v>
      </c>
      <c r="J13352" t="s">
        <v>41</v>
      </c>
      <c r="K13352" t="s">
        <v>59</v>
      </c>
      <c r="Q13352">
        <v>0</v>
      </c>
      <c r="R13352">
        <v>150</v>
      </c>
      <c r="S13352">
        <v>150</v>
      </c>
      <c r="T13352" t="s">
        <v>47436</v>
      </c>
    </row>
    <row r="13353" spans="1:20" customFormat="1" ht="15" x14ac:dyDescent="0.25">
      <c r="A13353" t="s">
        <v>35</v>
      </c>
      <c r="B13353" t="s">
        <v>61</v>
      </c>
      <c r="C13353" t="str">
        <f>"A0124249"</f>
        <v>A0124249</v>
      </c>
      <c r="D13353" t="s">
        <v>47437</v>
      </c>
      <c r="E13353" t="s">
        <v>47438</v>
      </c>
      <c r="F13353" t="s">
        <v>16521</v>
      </c>
      <c r="G13353" t="s">
        <v>197</v>
      </c>
      <c r="H13353">
        <v>85345</v>
      </c>
      <c r="I13353" t="s">
        <v>30</v>
      </c>
      <c r="J13353" t="s">
        <v>41</v>
      </c>
      <c r="K13353" t="s">
        <v>482</v>
      </c>
      <c r="Q13353">
        <v>0</v>
      </c>
      <c r="R13353">
        <v>115</v>
      </c>
      <c r="S13353">
        <v>115</v>
      </c>
      <c r="T13353" t="s">
        <v>44517</v>
      </c>
    </row>
    <row r="13354" spans="1:20" customFormat="1" ht="15" x14ac:dyDescent="0.25">
      <c r="A13354" t="s">
        <v>35</v>
      </c>
      <c r="B13354" t="s">
        <v>61</v>
      </c>
      <c r="C13354" t="str">
        <f>"A0118370"</f>
        <v>A0118370</v>
      </c>
      <c r="D13354" t="s">
        <v>47439</v>
      </c>
      <c r="E13354" t="s">
        <v>47440</v>
      </c>
      <c r="F13354" t="s">
        <v>9135</v>
      </c>
      <c r="G13354" t="s">
        <v>110</v>
      </c>
      <c r="H13354">
        <v>951120000</v>
      </c>
      <c r="I13354" t="s">
        <v>30</v>
      </c>
      <c r="J13354" t="s">
        <v>41</v>
      </c>
      <c r="K13354" t="s">
        <v>461</v>
      </c>
      <c r="Q13354">
        <v>0</v>
      </c>
      <c r="R13354">
        <v>65</v>
      </c>
      <c r="S13354">
        <v>65</v>
      </c>
      <c r="T13354" t="s">
        <v>47441</v>
      </c>
    </row>
    <row r="13355" spans="1:20" customFormat="1" ht="15" x14ac:dyDescent="0.25">
      <c r="A13355" t="s">
        <v>35</v>
      </c>
      <c r="B13355" t="s">
        <v>61</v>
      </c>
      <c r="C13355" t="str">
        <f>"A0123478"</f>
        <v>A0123478</v>
      </c>
      <c r="D13355" t="s">
        <v>47442</v>
      </c>
      <c r="E13355" t="s">
        <v>47443</v>
      </c>
      <c r="F13355" t="s">
        <v>19203</v>
      </c>
      <c r="G13355" t="s">
        <v>29</v>
      </c>
      <c r="H13355">
        <v>22307</v>
      </c>
      <c r="I13355" t="s">
        <v>30</v>
      </c>
      <c r="J13355" t="s">
        <v>41</v>
      </c>
      <c r="K13355" t="s">
        <v>482</v>
      </c>
      <c r="Q13355">
        <v>0</v>
      </c>
      <c r="R13355">
        <v>190</v>
      </c>
      <c r="S13355">
        <v>190</v>
      </c>
      <c r="T13355" t="s">
        <v>47444</v>
      </c>
    </row>
    <row r="13356" spans="1:20" customFormat="1" ht="15" x14ac:dyDescent="0.25">
      <c r="A13356" t="s">
        <v>35</v>
      </c>
      <c r="B13356" t="s">
        <v>61</v>
      </c>
      <c r="C13356" t="str">
        <f>"A0131481"</f>
        <v>A0131481</v>
      </c>
      <c r="D13356" t="s">
        <v>47445</v>
      </c>
      <c r="E13356" t="s">
        <v>47446</v>
      </c>
      <c r="F13356" t="s">
        <v>1655</v>
      </c>
      <c r="G13356" t="s">
        <v>137</v>
      </c>
      <c r="H13356">
        <v>63127</v>
      </c>
      <c r="I13356" t="s">
        <v>30</v>
      </c>
      <c r="J13356" t="s">
        <v>41</v>
      </c>
      <c r="K13356" t="s">
        <v>229</v>
      </c>
      <c r="Q13356">
        <v>0</v>
      </c>
      <c r="R13356">
        <v>42</v>
      </c>
      <c r="S13356">
        <v>42</v>
      </c>
      <c r="T13356" t="s">
        <v>47447</v>
      </c>
    </row>
    <row r="13357" spans="1:20" customFormat="1" ht="15" x14ac:dyDescent="0.25">
      <c r="A13357" t="s">
        <v>35</v>
      </c>
      <c r="B13357" t="s">
        <v>61</v>
      </c>
      <c r="C13357" t="str">
        <f>"A0129166"</f>
        <v>A0129166</v>
      </c>
      <c r="D13357" t="s">
        <v>47448</v>
      </c>
      <c r="E13357" t="s">
        <v>47449</v>
      </c>
      <c r="F13357" t="s">
        <v>30802</v>
      </c>
      <c r="G13357" t="s">
        <v>289</v>
      </c>
      <c r="H13357">
        <v>60464</v>
      </c>
      <c r="I13357" t="s">
        <v>30</v>
      </c>
      <c r="J13357" t="s">
        <v>41</v>
      </c>
      <c r="K13357" t="s">
        <v>59</v>
      </c>
      <c r="Q13357">
        <v>0</v>
      </c>
      <c r="R13357">
        <v>155</v>
      </c>
      <c r="S13357">
        <v>155</v>
      </c>
      <c r="T13357" t="s">
        <v>47450</v>
      </c>
    </row>
    <row r="13358" spans="1:20" customFormat="1" ht="15" x14ac:dyDescent="0.25">
      <c r="A13358" t="s">
        <v>35</v>
      </c>
      <c r="B13358" t="s">
        <v>61</v>
      </c>
      <c r="C13358" t="str">
        <f>"A0152985"</f>
        <v>A0152985</v>
      </c>
      <c r="D13358" t="s">
        <v>40948</v>
      </c>
      <c r="E13358" t="s">
        <v>47451</v>
      </c>
      <c r="F13358" t="s">
        <v>30362</v>
      </c>
      <c r="G13358" t="s">
        <v>846</v>
      </c>
      <c r="H13358">
        <v>30078</v>
      </c>
      <c r="I13358" t="s">
        <v>30</v>
      </c>
      <c r="J13358" t="s">
        <v>41</v>
      </c>
      <c r="K13358" t="s">
        <v>290</v>
      </c>
      <c r="Q13358">
        <v>0</v>
      </c>
      <c r="R13358">
        <v>0</v>
      </c>
      <c r="S13358">
        <v>0</v>
      </c>
      <c r="T13358" t="s">
        <v>72</v>
      </c>
    </row>
    <row r="13359" spans="1:20" customFormat="1" ht="15" x14ac:dyDescent="0.25">
      <c r="A13359" t="s">
        <v>35</v>
      </c>
      <c r="B13359" t="s">
        <v>61</v>
      </c>
      <c r="C13359" t="str">
        <f>"A0131006"</f>
        <v>A0131006</v>
      </c>
      <c r="D13359" t="s">
        <v>47452</v>
      </c>
      <c r="E13359" t="s">
        <v>47453</v>
      </c>
      <c r="F13359" t="s">
        <v>47454</v>
      </c>
      <c r="G13359" t="s">
        <v>137</v>
      </c>
      <c r="H13359">
        <v>636010000</v>
      </c>
      <c r="I13359" t="s">
        <v>30</v>
      </c>
      <c r="J13359" t="s">
        <v>41</v>
      </c>
      <c r="K13359" t="s">
        <v>59</v>
      </c>
      <c r="Q13359">
        <v>0</v>
      </c>
      <c r="R13359">
        <v>16</v>
      </c>
      <c r="S13359">
        <v>16</v>
      </c>
      <c r="T13359" t="s">
        <v>47455</v>
      </c>
    </row>
    <row r="13360" spans="1:20" customFormat="1" ht="15" x14ac:dyDescent="0.25">
      <c r="A13360" t="s">
        <v>35</v>
      </c>
      <c r="B13360" t="s">
        <v>61</v>
      </c>
      <c r="C13360" t="str">
        <f>"A0124064"</f>
        <v>A0124064</v>
      </c>
      <c r="D13360" t="s">
        <v>47456</v>
      </c>
      <c r="E13360" t="s">
        <v>47457</v>
      </c>
      <c r="F13360" t="s">
        <v>47458</v>
      </c>
      <c r="G13360" t="s">
        <v>58</v>
      </c>
      <c r="H13360">
        <v>29340</v>
      </c>
      <c r="I13360" t="s">
        <v>30</v>
      </c>
      <c r="J13360" t="s">
        <v>41</v>
      </c>
      <c r="K13360" t="s">
        <v>229</v>
      </c>
      <c r="Q13360">
        <v>0</v>
      </c>
      <c r="R13360">
        <v>132</v>
      </c>
      <c r="S13360">
        <v>132</v>
      </c>
      <c r="T13360" t="s">
        <v>47459</v>
      </c>
    </row>
    <row r="13361" spans="1:20" customFormat="1" ht="15" x14ac:dyDescent="0.25">
      <c r="A13361" t="s">
        <v>35</v>
      </c>
      <c r="B13361" t="s">
        <v>61</v>
      </c>
      <c r="C13361" t="str">
        <f>"A0153050"</f>
        <v>A0153050</v>
      </c>
      <c r="D13361" t="s">
        <v>47460</v>
      </c>
      <c r="E13361" t="s">
        <v>47461</v>
      </c>
      <c r="F13361" t="s">
        <v>399</v>
      </c>
      <c r="G13361" t="s">
        <v>153</v>
      </c>
      <c r="H13361">
        <v>84604</v>
      </c>
      <c r="I13361" t="s">
        <v>30</v>
      </c>
      <c r="J13361" t="s">
        <v>41</v>
      </c>
      <c r="K13361" t="s">
        <v>447</v>
      </c>
      <c r="Q13361">
        <v>0</v>
      </c>
      <c r="R13361">
        <v>0</v>
      </c>
      <c r="S13361">
        <v>0</v>
      </c>
      <c r="T13361" t="s">
        <v>47462</v>
      </c>
    </row>
    <row r="13362" spans="1:20" customFormat="1" ht="15" x14ac:dyDescent="0.25">
      <c r="A13362" t="s">
        <v>35</v>
      </c>
      <c r="B13362" t="s">
        <v>61</v>
      </c>
      <c r="C13362" t="str">
        <f>"A0150830"</f>
        <v>A0150830</v>
      </c>
      <c r="D13362" t="s">
        <v>47463</v>
      </c>
      <c r="E13362" t="s">
        <v>47464</v>
      </c>
      <c r="F13362" t="s">
        <v>19587</v>
      </c>
      <c r="G13362" t="s">
        <v>103</v>
      </c>
      <c r="H13362">
        <v>17016</v>
      </c>
      <c r="I13362" t="s">
        <v>30</v>
      </c>
      <c r="J13362" t="s">
        <v>41</v>
      </c>
      <c r="K13362" t="s">
        <v>59</v>
      </c>
      <c r="Q13362">
        <v>0</v>
      </c>
      <c r="R13362">
        <v>35</v>
      </c>
      <c r="S13362">
        <v>35</v>
      </c>
      <c r="T13362" t="s">
        <v>47465</v>
      </c>
    </row>
    <row r="13363" spans="1:20" customFormat="1" ht="15" x14ac:dyDescent="0.25">
      <c r="A13363" t="s">
        <v>35</v>
      </c>
      <c r="B13363" t="s">
        <v>61</v>
      </c>
      <c r="C13363" t="str">
        <f>"A0118108"</f>
        <v>A0118108</v>
      </c>
      <c r="D13363" t="s">
        <v>47466</v>
      </c>
      <c r="E13363" t="s">
        <v>47467</v>
      </c>
      <c r="F13363" t="s">
        <v>36489</v>
      </c>
      <c r="G13363" t="s">
        <v>190</v>
      </c>
      <c r="H13363">
        <v>80501</v>
      </c>
      <c r="I13363" t="s">
        <v>30</v>
      </c>
      <c r="J13363" t="s">
        <v>41</v>
      </c>
      <c r="K13363" t="s">
        <v>229</v>
      </c>
      <c r="Q13363">
        <v>0</v>
      </c>
      <c r="R13363">
        <v>105</v>
      </c>
      <c r="S13363">
        <v>105</v>
      </c>
      <c r="T13363" t="s">
        <v>47468</v>
      </c>
    </row>
    <row r="13364" spans="1:20" customFormat="1" ht="15" x14ac:dyDescent="0.25">
      <c r="A13364" t="s">
        <v>35</v>
      </c>
      <c r="B13364" t="s">
        <v>61</v>
      </c>
      <c r="C13364" t="str">
        <f>"A0124250"</f>
        <v>A0124250</v>
      </c>
      <c r="D13364" t="s">
        <v>47469</v>
      </c>
      <c r="E13364" t="s">
        <v>47470</v>
      </c>
      <c r="F13364" t="s">
        <v>5257</v>
      </c>
      <c r="G13364" t="s">
        <v>52</v>
      </c>
      <c r="H13364">
        <v>77002</v>
      </c>
      <c r="I13364" t="s">
        <v>30</v>
      </c>
      <c r="J13364" t="s">
        <v>41</v>
      </c>
      <c r="K13364" t="s">
        <v>59</v>
      </c>
      <c r="Q13364">
        <v>0</v>
      </c>
      <c r="R13364">
        <v>283</v>
      </c>
      <c r="S13364">
        <v>283</v>
      </c>
    </row>
    <row r="13365" spans="1:20" customFormat="1" ht="15" x14ac:dyDescent="0.25">
      <c r="A13365" t="s">
        <v>35</v>
      </c>
      <c r="B13365" t="s">
        <v>61</v>
      </c>
      <c r="C13365" t="str">
        <f>"A0132593"</f>
        <v>A0132593</v>
      </c>
      <c r="D13365" t="s">
        <v>47471</v>
      </c>
      <c r="E13365" t="s">
        <v>47472</v>
      </c>
      <c r="F13365" t="s">
        <v>2748</v>
      </c>
      <c r="G13365" t="s">
        <v>65</v>
      </c>
      <c r="H13365">
        <v>436060000</v>
      </c>
      <c r="I13365" t="s">
        <v>30</v>
      </c>
      <c r="J13365" t="s">
        <v>41</v>
      </c>
      <c r="K13365" t="s">
        <v>59</v>
      </c>
      <c r="Q13365">
        <v>0</v>
      </c>
      <c r="R13365">
        <v>101</v>
      </c>
      <c r="S13365">
        <v>101</v>
      </c>
      <c r="T13365" t="s">
        <v>47473</v>
      </c>
    </row>
    <row r="13366" spans="1:20" customFormat="1" ht="15" x14ac:dyDescent="0.25">
      <c r="A13366" t="s">
        <v>35</v>
      </c>
      <c r="B13366" t="s">
        <v>6747</v>
      </c>
      <c r="C13366" t="str">
        <f>"A0152970"</f>
        <v>A0152970</v>
      </c>
      <c r="D13366" t="s">
        <v>47474</v>
      </c>
      <c r="E13366" t="s">
        <v>47475</v>
      </c>
      <c r="F13366" t="s">
        <v>36848</v>
      </c>
      <c r="G13366" t="s">
        <v>214</v>
      </c>
      <c r="H13366">
        <v>28778</v>
      </c>
      <c r="I13366" t="s">
        <v>30</v>
      </c>
      <c r="J13366" t="s">
        <v>41</v>
      </c>
      <c r="K13366" t="s">
        <v>229</v>
      </c>
      <c r="Q13366">
        <v>0</v>
      </c>
      <c r="R13366">
        <v>0</v>
      </c>
      <c r="S13366">
        <v>0</v>
      </c>
      <c r="T13366" t="s">
        <v>36230</v>
      </c>
    </row>
    <row r="13367" spans="1:20" customFormat="1" ht="15" x14ac:dyDescent="0.25">
      <c r="A13367" t="s">
        <v>35</v>
      </c>
      <c r="B13367" t="s">
        <v>6747</v>
      </c>
      <c r="C13367" t="str">
        <f>"A0123396"</f>
        <v>A0123396</v>
      </c>
      <c r="D13367" t="s">
        <v>47476</v>
      </c>
      <c r="E13367" t="s">
        <v>47477</v>
      </c>
      <c r="F13367" t="s">
        <v>1783</v>
      </c>
      <c r="G13367" t="s">
        <v>214</v>
      </c>
      <c r="H13367">
        <v>27536</v>
      </c>
      <c r="I13367" t="s">
        <v>30</v>
      </c>
      <c r="J13367" t="s">
        <v>41</v>
      </c>
      <c r="K13367" t="s">
        <v>229</v>
      </c>
      <c r="Q13367">
        <v>0</v>
      </c>
      <c r="R13367">
        <v>78</v>
      </c>
      <c r="S13367">
        <v>78</v>
      </c>
      <c r="T13367" t="s">
        <v>47478</v>
      </c>
    </row>
    <row r="13368" spans="1:20" customFormat="1" ht="15" x14ac:dyDescent="0.25">
      <c r="A13368" t="s">
        <v>35</v>
      </c>
      <c r="B13368" t="s">
        <v>6747</v>
      </c>
      <c r="C13368" t="str">
        <f>"A0123356"</f>
        <v>A0123356</v>
      </c>
      <c r="D13368" t="s">
        <v>47479</v>
      </c>
      <c r="E13368" t="s">
        <v>47480</v>
      </c>
      <c r="F13368" t="s">
        <v>17879</v>
      </c>
      <c r="G13368" t="s">
        <v>29</v>
      </c>
      <c r="H13368">
        <v>234621104</v>
      </c>
      <c r="I13368" t="s">
        <v>30</v>
      </c>
      <c r="J13368" t="s">
        <v>41</v>
      </c>
      <c r="K13368" t="s">
        <v>229</v>
      </c>
      <c r="Q13368">
        <v>0</v>
      </c>
      <c r="R13368">
        <v>90</v>
      </c>
      <c r="S13368">
        <v>90</v>
      </c>
      <c r="T13368" t="s">
        <v>47481</v>
      </c>
    </row>
    <row r="13369" spans="1:20" customFormat="1" ht="15" x14ac:dyDescent="0.25">
      <c r="A13369" t="s">
        <v>35</v>
      </c>
      <c r="B13369" t="s">
        <v>61</v>
      </c>
      <c r="C13369" t="str">
        <f>"A0123875"</f>
        <v>A0123875</v>
      </c>
      <c r="D13369" t="s">
        <v>47482</v>
      </c>
      <c r="E13369" t="s">
        <v>47483</v>
      </c>
      <c r="F13369" t="s">
        <v>45561</v>
      </c>
      <c r="G13369" t="s">
        <v>214</v>
      </c>
      <c r="H13369">
        <v>28425</v>
      </c>
      <c r="I13369" t="s">
        <v>30</v>
      </c>
      <c r="J13369" t="s">
        <v>41</v>
      </c>
      <c r="K13369" t="s">
        <v>59</v>
      </c>
      <c r="Q13369">
        <v>0</v>
      </c>
      <c r="R13369">
        <v>40</v>
      </c>
      <c r="S13369">
        <v>40</v>
      </c>
      <c r="T13369" t="s">
        <v>47484</v>
      </c>
    </row>
    <row r="13370" spans="1:20" customFormat="1" ht="15" x14ac:dyDescent="0.25">
      <c r="A13370" t="s">
        <v>35</v>
      </c>
      <c r="B13370" t="s">
        <v>61</v>
      </c>
      <c r="C13370" t="str">
        <f>"A0132212"</f>
        <v>A0132212</v>
      </c>
      <c r="D13370" t="s">
        <v>47485</v>
      </c>
      <c r="E13370" t="s">
        <v>47486</v>
      </c>
      <c r="F13370" t="s">
        <v>41394</v>
      </c>
      <c r="G13370" t="s">
        <v>65</v>
      </c>
      <c r="H13370">
        <v>430199413</v>
      </c>
      <c r="I13370" t="s">
        <v>30</v>
      </c>
      <c r="J13370" t="s">
        <v>41</v>
      </c>
      <c r="K13370" t="s">
        <v>42</v>
      </c>
      <c r="Q13370">
        <v>0</v>
      </c>
      <c r="R13370">
        <v>1</v>
      </c>
      <c r="S13370">
        <v>1</v>
      </c>
      <c r="T13370" t="s">
        <v>47487</v>
      </c>
    </row>
    <row r="13371" spans="1:20" customFormat="1" ht="15" x14ac:dyDescent="0.25">
      <c r="A13371" t="s">
        <v>35</v>
      </c>
      <c r="B13371" t="s">
        <v>61</v>
      </c>
      <c r="C13371" t="str">
        <f>"A0123877"</f>
        <v>A0123877</v>
      </c>
      <c r="D13371" t="s">
        <v>47488</v>
      </c>
      <c r="E13371" t="s">
        <v>47489</v>
      </c>
      <c r="F13371" t="s">
        <v>7257</v>
      </c>
      <c r="G13371" t="s">
        <v>29</v>
      </c>
      <c r="H13371">
        <v>23185</v>
      </c>
      <c r="I13371" t="s">
        <v>30</v>
      </c>
      <c r="J13371" t="s">
        <v>41</v>
      </c>
      <c r="K13371" t="s">
        <v>4020</v>
      </c>
      <c r="Q13371">
        <v>0</v>
      </c>
      <c r="R13371">
        <v>0</v>
      </c>
      <c r="S13371">
        <v>0</v>
      </c>
      <c r="T13371" t="s">
        <v>47490</v>
      </c>
    </row>
    <row r="13372" spans="1:20" customFormat="1" ht="15" x14ac:dyDescent="0.25">
      <c r="A13372" t="s">
        <v>35</v>
      </c>
      <c r="B13372" t="s">
        <v>61</v>
      </c>
      <c r="C13372" t="str">
        <f>"A0121779"</f>
        <v>A0121779</v>
      </c>
      <c r="D13372" t="s">
        <v>47491</v>
      </c>
      <c r="E13372" t="s">
        <v>47492</v>
      </c>
      <c r="F13372" t="s">
        <v>47493</v>
      </c>
      <c r="G13372" t="s">
        <v>110</v>
      </c>
      <c r="H13372">
        <v>94014</v>
      </c>
      <c r="I13372" t="s">
        <v>30</v>
      </c>
      <c r="J13372" t="s">
        <v>41</v>
      </c>
      <c r="K13372" t="s">
        <v>1032</v>
      </c>
      <c r="Q13372">
        <v>0</v>
      </c>
      <c r="R13372">
        <v>58</v>
      </c>
      <c r="S13372">
        <v>58</v>
      </c>
      <c r="T13372" t="s">
        <v>47494</v>
      </c>
    </row>
    <row r="13373" spans="1:20" customFormat="1" ht="15" x14ac:dyDescent="0.25">
      <c r="A13373" t="s">
        <v>35</v>
      </c>
      <c r="B13373" t="s">
        <v>61</v>
      </c>
      <c r="C13373" t="str">
        <f>"A0124251"</f>
        <v>A0124251</v>
      </c>
      <c r="D13373" t="s">
        <v>47495</v>
      </c>
      <c r="E13373" t="s">
        <v>47496</v>
      </c>
      <c r="F13373" t="s">
        <v>11868</v>
      </c>
      <c r="G13373" t="s">
        <v>123</v>
      </c>
      <c r="H13373">
        <v>21801</v>
      </c>
      <c r="I13373" t="s">
        <v>30</v>
      </c>
      <c r="J13373" t="s">
        <v>41</v>
      </c>
      <c r="K13373" t="s">
        <v>482</v>
      </c>
      <c r="Q13373">
        <v>0</v>
      </c>
      <c r="R13373">
        <v>180</v>
      </c>
      <c r="S13373">
        <v>180</v>
      </c>
      <c r="T13373" t="s">
        <v>47497</v>
      </c>
    </row>
    <row r="13374" spans="1:20" customFormat="1" ht="15" x14ac:dyDescent="0.25">
      <c r="A13374" t="s">
        <v>35</v>
      </c>
      <c r="B13374" t="s">
        <v>61</v>
      </c>
      <c r="C13374" t="str">
        <f>"A0123880"</f>
        <v>A0123880</v>
      </c>
      <c r="D13374" t="s">
        <v>47498</v>
      </c>
      <c r="E13374" t="s">
        <v>47499</v>
      </c>
      <c r="F13374" t="s">
        <v>47500</v>
      </c>
      <c r="G13374" t="s">
        <v>214</v>
      </c>
      <c r="H13374">
        <v>27260</v>
      </c>
      <c r="I13374" t="s">
        <v>30</v>
      </c>
      <c r="J13374" t="s">
        <v>41</v>
      </c>
      <c r="K13374" t="s">
        <v>59</v>
      </c>
      <c r="Q13374">
        <v>0</v>
      </c>
      <c r="R13374">
        <v>353</v>
      </c>
      <c r="S13374">
        <v>353</v>
      </c>
      <c r="T13374" t="s">
        <v>47501</v>
      </c>
    </row>
    <row r="13375" spans="1:20" customFormat="1" ht="15" x14ac:dyDescent="0.25">
      <c r="A13375" t="s">
        <v>35</v>
      </c>
      <c r="B13375" t="s">
        <v>437</v>
      </c>
      <c r="C13375" t="str">
        <f>"A0133871"</f>
        <v>A0133871</v>
      </c>
      <c r="D13375" t="s">
        <v>47502</v>
      </c>
      <c r="E13375" t="s">
        <v>47503</v>
      </c>
      <c r="F13375" t="s">
        <v>41368</v>
      </c>
      <c r="G13375" t="s">
        <v>110</v>
      </c>
      <c r="H13375">
        <v>923150000</v>
      </c>
      <c r="I13375" t="s">
        <v>30</v>
      </c>
      <c r="J13375" t="s">
        <v>441</v>
      </c>
      <c r="K13375" t="s">
        <v>442</v>
      </c>
      <c r="Q13375">
        <v>0</v>
      </c>
      <c r="R13375">
        <v>0</v>
      </c>
      <c r="S13375">
        <v>0</v>
      </c>
      <c r="T13375" t="s">
        <v>47504</v>
      </c>
    </row>
    <row r="13376" spans="1:20" customFormat="1" ht="15" x14ac:dyDescent="0.25">
      <c r="A13376" t="s">
        <v>35</v>
      </c>
      <c r="B13376" t="s">
        <v>61</v>
      </c>
      <c r="C13376" t="str">
        <f>"A0130090"</f>
        <v>A0130090</v>
      </c>
      <c r="D13376" t="s">
        <v>47505</v>
      </c>
      <c r="E13376" t="s">
        <v>47506</v>
      </c>
      <c r="F13376" t="s">
        <v>34276</v>
      </c>
      <c r="G13376" t="s">
        <v>880</v>
      </c>
      <c r="H13376">
        <v>37097</v>
      </c>
      <c r="I13376" t="s">
        <v>30</v>
      </c>
      <c r="J13376" t="s">
        <v>41</v>
      </c>
      <c r="K13376" t="s">
        <v>3713</v>
      </c>
      <c r="Q13376">
        <v>0</v>
      </c>
      <c r="R13376">
        <v>40</v>
      </c>
      <c r="S13376">
        <v>40</v>
      </c>
      <c r="T13376" t="s">
        <v>47507</v>
      </c>
    </row>
    <row r="13377" spans="1:20" customFormat="1" ht="15" x14ac:dyDescent="0.25">
      <c r="A13377" t="s">
        <v>35</v>
      </c>
      <c r="B13377" t="s">
        <v>61</v>
      </c>
      <c r="C13377" t="str">
        <f>"A0123130"</f>
        <v>A0123130</v>
      </c>
      <c r="D13377" t="s">
        <v>47508</v>
      </c>
      <c r="E13377" t="s">
        <v>47509</v>
      </c>
      <c r="F13377" t="s">
        <v>43775</v>
      </c>
      <c r="G13377" t="s">
        <v>137</v>
      </c>
      <c r="H13377">
        <v>637750000</v>
      </c>
      <c r="I13377" t="s">
        <v>30</v>
      </c>
      <c r="J13377" t="s">
        <v>41</v>
      </c>
      <c r="K13377" t="s">
        <v>3713</v>
      </c>
      <c r="Q13377">
        <v>0</v>
      </c>
      <c r="R13377">
        <v>87</v>
      </c>
      <c r="S13377">
        <v>87</v>
      </c>
      <c r="T13377" t="s">
        <v>47510</v>
      </c>
    </row>
    <row r="13378" spans="1:20" customFormat="1" ht="15" x14ac:dyDescent="0.25">
      <c r="A13378" t="s">
        <v>35</v>
      </c>
      <c r="B13378" t="s">
        <v>61</v>
      </c>
      <c r="C13378" t="str">
        <f>"A0131327"</f>
        <v>A0131327</v>
      </c>
      <c r="D13378" t="s">
        <v>47511</v>
      </c>
      <c r="E13378" t="s">
        <v>47512</v>
      </c>
      <c r="F13378" t="s">
        <v>43775</v>
      </c>
      <c r="G13378" t="s">
        <v>137</v>
      </c>
      <c r="H13378">
        <v>637750000</v>
      </c>
      <c r="I13378" t="s">
        <v>30</v>
      </c>
      <c r="J13378" t="s">
        <v>41</v>
      </c>
      <c r="K13378" t="s">
        <v>229</v>
      </c>
      <c r="Q13378">
        <v>0</v>
      </c>
      <c r="R13378">
        <v>156</v>
      </c>
      <c r="S13378">
        <v>156</v>
      </c>
      <c r="T13378" t="s">
        <v>47513</v>
      </c>
    </row>
    <row r="13379" spans="1:20" customFormat="1" ht="15" x14ac:dyDescent="0.25">
      <c r="A13379" t="s">
        <v>35</v>
      </c>
      <c r="B13379" t="s">
        <v>61</v>
      </c>
      <c r="C13379" t="str">
        <f>"A0130984"</f>
        <v>A0130984</v>
      </c>
      <c r="D13379" t="s">
        <v>47514</v>
      </c>
      <c r="E13379" t="s">
        <v>47515</v>
      </c>
      <c r="F13379" t="s">
        <v>43775</v>
      </c>
      <c r="G13379" t="s">
        <v>85</v>
      </c>
      <c r="H13379">
        <v>721260000</v>
      </c>
      <c r="I13379" t="s">
        <v>30</v>
      </c>
      <c r="J13379" t="s">
        <v>41</v>
      </c>
      <c r="K13379" t="s">
        <v>2760</v>
      </c>
      <c r="Q13379">
        <v>0</v>
      </c>
      <c r="R13379">
        <v>1</v>
      </c>
      <c r="S13379">
        <v>1</v>
      </c>
      <c r="T13379" t="s">
        <v>47516</v>
      </c>
    </row>
    <row r="13380" spans="1:20" customFormat="1" ht="15" x14ac:dyDescent="0.25">
      <c r="A13380" t="s">
        <v>35</v>
      </c>
      <c r="B13380" t="s">
        <v>61</v>
      </c>
      <c r="C13380" t="str">
        <f>"A0153004"</f>
        <v>A0153004</v>
      </c>
      <c r="D13380" t="s">
        <v>47517</v>
      </c>
      <c r="E13380" t="s">
        <v>47518</v>
      </c>
      <c r="F13380" t="s">
        <v>22424</v>
      </c>
      <c r="G13380" t="s">
        <v>65</v>
      </c>
      <c r="H13380">
        <v>44432</v>
      </c>
      <c r="I13380" t="s">
        <v>30</v>
      </c>
      <c r="J13380" t="s">
        <v>41</v>
      </c>
      <c r="K13380" t="s">
        <v>59</v>
      </c>
      <c r="Q13380">
        <v>0</v>
      </c>
      <c r="R13380">
        <v>14</v>
      </c>
      <c r="S13380">
        <v>14</v>
      </c>
      <c r="T13380" t="s">
        <v>47519</v>
      </c>
    </row>
    <row r="13381" spans="1:20" customFormat="1" ht="15" x14ac:dyDescent="0.25">
      <c r="A13381" t="s">
        <v>35</v>
      </c>
      <c r="B13381" t="s">
        <v>61</v>
      </c>
      <c r="C13381" t="str">
        <f>"A0122564"</f>
        <v>A0122564</v>
      </c>
      <c r="D13381" t="s">
        <v>47520</v>
      </c>
      <c r="E13381" t="s">
        <v>47521</v>
      </c>
      <c r="F13381" t="s">
        <v>47522</v>
      </c>
      <c r="G13381" t="s">
        <v>47</v>
      </c>
      <c r="H13381">
        <v>97068</v>
      </c>
      <c r="I13381" t="s">
        <v>30</v>
      </c>
      <c r="J13381" t="s">
        <v>41</v>
      </c>
      <c r="K13381" t="s">
        <v>2463</v>
      </c>
      <c r="Q13381">
        <v>0</v>
      </c>
      <c r="R13381">
        <v>0</v>
      </c>
      <c r="S13381">
        <v>0</v>
      </c>
      <c r="T13381" t="s">
        <v>47523</v>
      </c>
    </row>
    <row r="13382" spans="1:20" customFormat="1" ht="15" x14ac:dyDescent="0.25">
      <c r="A13382" t="s">
        <v>35</v>
      </c>
      <c r="B13382" t="s">
        <v>61</v>
      </c>
      <c r="C13382" t="str">
        <f>"A0126170"</f>
        <v>A0126170</v>
      </c>
      <c r="D13382" t="s">
        <v>47524</v>
      </c>
      <c r="E13382" t="s">
        <v>47525</v>
      </c>
      <c r="F13382" t="s">
        <v>7734</v>
      </c>
      <c r="G13382" t="s">
        <v>197</v>
      </c>
      <c r="H13382">
        <v>85715</v>
      </c>
      <c r="I13382" t="s">
        <v>30</v>
      </c>
      <c r="J13382" t="s">
        <v>41</v>
      </c>
      <c r="K13382" t="s">
        <v>2463</v>
      </c>
      <c r="Q13382">
        <v>0</v>
      </c>
      <c r="R13382">
        <v>0</v>
      </c>
      <c r="S13382">
        <v>0</v>
      </c>
      <c r="T13382" t="s">
        <v>47523</v>
      </c>
    </row>
    <row r="13383" spans="1:20" customFormat="1" ht="15" x14ac:dyDescent="0.25">
      <c r="A13383" t="s">
        <v>35</v>
      </c>
      <c r="B13383" t="s">
        <v>61</v>
      </c>
      <c r="C13383" t="str">
        <f>"A0122818"</f>
        <v>A0122818</v>
      </c>
      <c r="D13383" t="s">
        <v>47526</v>
      </c>
      <c r="E13383" t="s">
        <v>47527</v>
      </c>
      <c r="F13383" t="s">
        <v>47528</v>
      </c>
      <c r="G13383" t="s">
        <v>76</v>
      </c>
      <c r="H13383">
        <v>98052</v>
      </c>
      <c r="I13383" t="s">
        <v>30</v>
      </c>
      <c r="J13383" t="s">
        <v>41</v>
      </c>
      <c r="K13383" t="s">
        <v>59</v>
      </c>
      <c r="Q13383">
        <v>0</v>
      </c>
      <c r="R13383">
        <v>62</v>
      </c>
      <c r="S13383">
        <v>62</v>
      </c>
      <c r="T13383" t="s">
        <v>47529</v>
      </c>
    </row>
    <row r="13384" spans="1:20" customFormat="1" ht="15" x14ac:dyDescent="0.25">
      <c r="A13384" t="s">
        <v>35</v>
      </c>
      <c r="B13384" t="s">
        <v>61</v>
      </c>
      <c r="C13384" t="str">
        <f>"A0123881"</f>
        <v>A0123881</v>
      </c>
      <c r="D13384" t="s">
        <v>47530</v>
      </c>
      <c r="E13384" t="s">
        <v>47531</v>
      </c>
      <c r="F13384" t="s">
        <v>24124</v>
      </c>
      <c r="G13384" t="s">
        <v>29</v>
      </c>
      <c r="H13384">
        <v>23803</v>
      </c>
      <c r="I13384" t="s">
        <v>30</v>
      </c>
      <c r="J13384" t="s">
        <v>41</v>
      </c>
      <c r="K13384" t="s">
        <v>482</v>
      </c>
      <c r="Q13384">
        <v>0</v>
      </c>
      <c r="R13384">
        <v>52</v>
      </c>
      <c r="S13384">
        <v>52</v>
      </c>
      <c r="T13384" t="s">
        <v>47532</v>
      </c>
    </row>
    <row r="13385" spans="1:20" customFormat="1" ht="15" x14ac:dyDescent="0.25">
      <c r="A13385" t="s">
        <v>35</v>
      </c>
      <c r="B13385" t="s">
        <v>61</v>
      </c>
      <c r="C13385" t="str">
        <f>"A0126583"</f>
        <v>A0126583</v>
      </c>
      <c r="D13385" t="s">
        <v>47533</v>
      </c>
      <c r="E13385" t="s">
        <v>47534</v>
      </c>
      <c r="F13385" t="s">
        <v>2990</v>
      </c>
      <c r="G13385" t="s">
        <v>103</v>
      </c>
      <c r="H13385">
        <v>17101</v>
      </c>
      <c r="I13385" t="s">
        <v>30</v>
      </c>
      <c r="J13385" t="s">
        <v>41</v>
      </c>
      <c r="K13385" t="s">
        <v>33536</v>
      </c>
      <c r="Q13385">
        <v>0</v>
      </c>
      <c r="R13385">
        <v>0</v>
      </c>
      <c r="S13385">
        <v>0</v>
      </c>
      <c r="T13385" t="s">
        <v>47535</v>
      </c>
    </row>
    <row r="13386" spans="1:20" customFormat="1" ht="15" x14ac:dyDescent="0.25">
      <c r="A13386" t="s">
        <v>35</v>
      </c>
      <c r="B13386" t="s">
        <v>61</v>
      </c>
      <c r="C13386" t="str">
        <f>"A0125885"</f>
        <v>A0125885</v>
      </c>
      <c r="D13386" t="s">
        <v>47536</v>
      </c>
      <c r="E13386" t="s">
        <v>47537</v>
      </c>
      <c r="F13386" t="s">
        <v>4108</v>
      </c>
      <c r="G13386" t="s">
        <v>29</v>
      </c>
      <c r="H13386">
        <v>24014</v>
      </c>
      <c r="I13386" t="s">
        <v>30</v>
      </c>
      <c r="J13386" t="s">
        <v>41</v>
      </c>
      <c r="K13386" t="s">
        <v>482</v>
      </c>
      <c r="Q13386">
        <v>0</v>
      </c>
      <c r="R13386">
        <v>100</v>
      </c>
      <c r="S13386">
        <v>100</v>
      </c>
      <c r="T13386" t="s">
        <v>47538</v>
      </c>
    </row>
    <row r="13387" spans="1:20" customFormat="1" ht="15" x14ac:dyDescent="0.25">
      <c r="A13387" t="s">
        <v>35</v>
      </c>
      <c r="B13387" t="s">
        <v>61</v>
      </c>
      <c r="C13387" t="str">
        <f>"A0118225"</f>
        <v>A0118225</v>
      </c>
      <c r="D13387" t="s">
        <v>47539</v>
      </c>
      <c r="E13387" t="s">
        <v>47540</v>
      </c>
      <c r="F13387" t="s">
        <v>40298</v>
      </c>
      <c r="G13387" t="s">
        <v>153</v>
      </c>
      <c r="H13387">
        <v>84041</v>
      </c>
      <c r="I13387" t="s">
        <v>30</v>
      </c>
      <c r="J13387" t="s">
        <v>41</v>
      </c>
      <c r="K13387" t="s">
        <v>59</v>
      </c>
      <c r="Q13387">
        <v>0</v>
      </c>
      <c r="R13387">
        <v>26</v>
      </c>
      <c r="S13387">
        <v>26</v>
      </c>
      <c r="T13387" t="s">
        <v>47541</v>
      </c>
    </row>
    <row r="13388" spans="1:20" customFormat="1" ht="15" x14ac:dyDescent="0.25">
      <c r="A13388" t="s">
        <v>35</v>
      </c>
      <c r="B13388" t="s">
        <v>61</v>
      </c>
      <c r="C13388" t="str">
        <f>"A0124465"</f>
        <v>A0124465</v>
      </c>
      <c r="D13388" t="s">
        <v>47542</v>
      </c>
      <c r="E13388" t="s">
        <v>47543</v>
      </c>
      <c r="F13388" t="s">
        <v>47544</v>
      </c>
      <c r="G13388" t="s">
        <v>1706</v>
      </c>
      <c r="H13388">
        <v>368670000</v>
      </c>
      <c r="I13388" t="s">
        <v>30</v>
      </c>
      <c r="J13388" t="s">
        <v>41</v>
      </c>
      <c r="K13388" t="s">
        <v>229</v>
      </c>
      <c r="Q13388">
        <v>0</v>
      </c>
      <c r="R13388">
        <v>76</v>
      </c>
      <c r="S13388">
        <v>76</v>
      </c>
      <c r="T13388" t="s">
        <v>47545</v>
      </c>
    </row>
    <row r="13389" spans="1:20" customFormat="1" ht="15" x14ac:dyDescent="0.25">
      <c r="A13389" t="s">
        <v>35</v>
      </c>
      <c r="B13389" t="s">
        <v>106</v>
      </c>
      <c r="C13389" t="str">
        <f>"A0136133"</f>
        <v>A0136133</v>
      </c>
      <c r="D13389" t="s">
        <v>47546</v>
      </c>
      <c r="E13389" t="s">
        <v>47547</v>
      </c>
      <c r="F13389" t="s">
        <v>5317</v>
      </c>
      <c r="G13389" t="s">
        <v>1706</v>
      </c>
      <c r="H13389">
        <v>36830</v>
      </c>
      <c r="I13389" t="s">
        <v>30</v>
      </c>
      <c r="J13389" t="s">
        <v>111</v>
      </c>
      <c r="K13389" t="s">
        <v>112</v>
      </c>
      <c r="Q13389">
        <v>0</v>
      </c>
      <c r="R13389">
        <v>0</v>
      </c>
      <c r="S13389">
        <v>0</v>
      </c>
      <c r="T13389" t="s">
        <v>47548</v>
      </c>
    </row>
    <row r="13390" spans="1:20" customFormat="1" ht="15" x14ac:dyDescent="0.25">
      <c r="A13390" t="s">
        <v>35</v>
      </c>
      <c r="B13390" t="s">
        <v>106</v>
      </c>
      <c r="C13390" t="str">
        <f>"A0135308"</f>
        <v>A0135308</v>
      </c>
      <c r="D13390" t="s">
        <v>47549</v>
      </c>
      <c r="E13390" t="s">
        <v>47550</v>
      </c>
      <c r="F13390" t="s">
        <v>22478</v>
      </c>
      <c r="G13390" t="s">
        <v>214</v>
      </c>
      <c r="H13390">
        <v>27516</v>
      </c>
      <c r="I13390" t="s">
        <v>30</v>
      </c>
      <c r="J13390" t="s">
        <v>111</v>
      </c>
      <c r="K13390" t="s">
        <v>112</v>
      </c>
      <c r="Q13390">
        <v>0</v>
      </c>
      <c r="R13390">
        <v>0</v>
      </c>
      <c r="S13390">
        <v>0</v>
      </c>
      <c r="T13390" t="s">
        <v>47551</v>
      </c>
    </row>
    <row r="13391" spans="1:20" customFormat="1" ht="15" x14ac:dyDescent="0.25">
      <c r="A13391" t="s">
        <v>35</v>
      </c>
      <c r="B13391" t="s">
        <v>106</v>
      </c>
      <c r="C13391" t="str">
        <f>"A0135305"</f>
        <v>A0135305</v>
      </c>
      <c r="D13391" t="s">
        <v>47552</v>
      </c>
      <c r="E13391" t="s">
        <v>47553</v>
      </c>
      <c r="F13391" t="s">
        <v>22478</v>
      </c>
      <c r="G13391" t="s">
        <v>214</v>
      </c>
      <c r="H13391">
        <v>27514</v>
      </c>
      <c r="I13391" t="s">
        <v>30</v>
      </c>
      <c r="J13391" t="s">
        <v>111</v>
      </c>
      <c r="K13391" t="s">
        <v>112</v>
      </c>
      <c r="Q13391">
        <v>0</v>
      </c>
      <c r="R13391">
        <v>0</v>
      </c>
      <c r="S13391">
        <v>0</v>
      </c>
      <c r="T13391" t="s">
        <v>47554</v>
      </c>
    </row>
    <row r="13392" spans="1:20" customFormat="1" ht="15" x14ac:dyDescent="0.25">
      <c r="A13392" t="s">
        <v>35</v>
      </c>
      <c r="B13392" t="s">
        <v>61</v>
      </c>
      <c r="C13392" t="str">
        <f>"A0124252"</f>
        <v>A0124252</v>
      </c>
      <c r="D13392" t="s">
        <v>47555</v>
      </c>
      <c r="E13392" t="s">
        <v>47556</v>
      </c>
      <c r="F13392" t="s">
        <v>4629</v>
      </c>
      <c r="G13392" t="s">
        <v>103</v>
      </c>
      <c r="H13392">
        <v>19111</v>
      </c>
      <c r="I13392" t="s">
        <v>30</v>
      </c>
      <c r="J13392" t="s">
        <v>41</v>
      </c>
      <c r="K13392" t="s">
        <v>482</v>
      </c>
      <c r="Q13392">
        <v>0</v>
      </c>
      <c r="R13392">
        <v>580</v>
      </c>
      <c r="S13392">
        <v>580</v>
      </c>
      <c r="T13392" t="s">
        <v>47557</v>
      </c>
    </row>
    <row r="13393" spans="1:20" customFormat="1" ht="15" x14ac:dyDescent="0.25">
      <c r="A13393" t="s">
        <v>35</v>
      </c>
      <c r="B13393" t="s">
        <v>61</v>
      </c>
      <c r="C13393" t="str">
        <f>"A0124253"</f>
        <v>A0124253</v>
      </c>
      <c r="D13393" t="s">
        <v>47558</v>
      </c>
      <c r="E13393" t="s">
        <v>47559</v>
      </c>
      <c r="F13393" t="s">
        <v>4629</v>
      </c>
      <c r="G13393" t="s">
        <v>103</v>
      </c>
      <c r="H13393">
        <v>19147</v>
      </c>
      <c r="I13393" t="s">
        <v>30</v>
      </c>
      <c r="J13393" t="s">
        <v>41</v>
      </c>
      <c r="K13393" t="s">
        <v>482</v>
      </c>
      <c r="Q13393">
        <v>0</v>
      </c>
      <c r="R13393">
        <v>88</v>
      </c>
      <c r="S13393">
        <v>88</v>
      </c>
      <c r="T13393" t="s">
        <v>47560</v>
      </c>
    </row>
    <row r="13394" spans="1:20" customFormat="1" ht="15" x14ac:dyDescent="0.25">
      <c r="A13394" t="s">
        <v>35</v>
      </c>
      <c r="B13394" t="s">
        <v>61</v>
      </c>
      <c r="C13394" t="str">
        <f>"A0124254"</f>
        <v>A0124254</v>
      </c>
      <c r="D13394" t="s">
        <v>47561</v>
      </c>
      <c r="E13394" t="s">
        <v>47562</v>
      </c>
      <c r="F13394" t="s">
        <v>4133</v>
      </c>
      <c r="G13394" t="s">
        <v>52</v>
      </c>
      <c r="H13394">
        <v>78704</v>
      </c>
      <c r="I13394" t="s">
        <v>30</v>
      </c>
      <c r="J13394" t="s">
        <v>41</v>
      </c>
      <c r="K13394" t="s">
        <v>59</v>
      </c>
      <c r="Q13394">
        <v>0</v>
      </c>
      <c r="R13394">
        <v>60</v>
      </c>
      <c r="S13394">
        <v>60</v>
      </c>
      <c r="T13394" t="s">
        <v>47563</v>
      </c>
    </row>
    <row r="13395" spans="1:20" customFormat="1" ht="15" x14ac:dyDescent="0.25">
      <c r="A13395" t="s">
        <v>35</v>
      </c>
      <c r="B13395" t="s">
        <v>61</v>
      </c>
      <c r="C13395" t="str">
        <f>"A0124255"</f>
        <v>A0124255</v>
      </c>
      <c r="D13395" t="s">
        <v>47564</v>
      </c>
      <c r="E13395" t="s">
        <v>41316</v>
      </c>
      <c r="F13395" t="s">
        <v>1731</v>
      </c>
      <c r="G13395" t="s">
        <v>52</v>
      </c>
      <c r="H13395">
        <v>75219</v>
      </c>
      <c r="I13395" t="s">
        <v>30</v>
      </c>
      <c r="J13395" t="s">
        <v>41</v>
      </c>
      <c r="K13395" t="s">
        <v>59</v>
      </c>
      <c r="Q13395">
        <v>0</v>
      </c>
      <c r="R13395">
        <v>60</v>
      </c>
      <c r="S13395">
        <v>60</v>
      </c>
      <c r="T13395" t="s">
        <v>47565</v>
      </c>
    </row>
    <row r="13396" spans="1:20" customFormat="1" ht="15" x14ac:dyDescent="0.25">
      <c r="A13396" t="s">
        <v>35</v>
      </c>
      <c r="B13396" t="s">
        <v>61</v>
      </c>
      <c r="C13396" t="str">
        <f>"A0124256"</f>
        <v>A0124256</v>
      </c>
      <c r="D13396" t="s">
        <v>47566</v>
      </c>
      <c r="E13396" t="s">
        <v>47567</v>
      </c>
      <c r="F13396" t="s">
        <v>13792</v>
      </c>
      <c r="G13396" t="s">
        <v>29</v>
      </c>
      <c r="H13396">
        <v>22203</v>
      </c>
      <c r="I13396" t="s">
        <v>30</v>
      </c>
      <c r="J13396" t="s">
        <v>41</v>
      </c>
      <c r="K13396" t="s">
        <v>59</v>
      </c>
      <c r="Q13396">
        <v>0</v>
      </c>
      <c r="R13396">
        <v>80</v>
      </c>
      <c r="S13396">
        <v>80</v>
      </c>
      <c r="T13396" t="s">
        <v>47568</v>
      </c>
    </row>
    <row r="13397" spans="1:20" customFormat="1" ht="15" x14ac:dyDescent="0.25">
      <c r="A13397" t="s">
        <v>35</v>
      </c>
      <c r="B13397" t="s">
        <v>61</v>
      </c>
      <c r="C13397" t="str">
        <f>"A0124269"</f>
        <v>A0124269</v>
      </c>
      <c r="D13397" t="s">
        <v>47569</v>
      </c>
      <c r="E13397" t="s">
        <v>47570</v>
      </c>
      <c r="F13397" t="s">
        <v>1755</v>
      </c>
      <c r="G13397" t="s">
        <v>899</v>
      </c>
      <c r="H13397">
        <v>1105</v>
      </c>
      <c r="I13397" t="s">
        <v>30</v>
      </c>
      <c r="J13397" t="s">
        <v>41</v>
      </c>
      <c r="K13397" t="s">
        <v>59</v>
      </c>
      <c r="Q13397">
        <v>0</v>
      </c>
      <c r="R13397">
        <v>108</v>
      </c>
      <c r="S13397">
        <v>108</v>
      </c>
      <c r="T13397" t="s">
        <v>47571</v>
      </c>
    </row>
    <row r="13398" spans="1:20" customFormat="1" ht="15" x14ac:dyDescent="0.25">
      <c r="A13398" t="s">
        <v>35</v>
      </c>
      <c r="B13398" t="s">
        <v>61</v>
      </c>
      <c r="C13398" t="str">
        <f>"A0124257"</f>
        <v>A0124257</v>
      </c>
      <c r="D13398" t="s">
        <v>47572</v>
      </c>
      <c r="E13398" t="s">
        <v>47573</v>
      </c>
      <c r="F13398" t="s">
        <v>4269</v>
      </c>
      <c r="G13398" t="s">
        <v>99</v>
      </c>
      <c r="H13398">
        <v>11201</v>
      </c>
      <c r="I13398" t="s">
        <v>30</v>
      </c>
      <c r="J13398" t="s">
        <v>41</v>
      </c>
      <c r="K13398" t="s">
        <v>59</v>
      </c>
      <c r="Q13398">
        <v>0</v>
      </c>
      <c r="R13398">
        <v>80</v>
      </c>
      <c r="S13398">
        <v>80</v>
      </c>
      <c r="T13398" t="s">
        <v>47574</v>
      </c>
    </row>
    <row r="13399" spans="1:20" customFormat="1" ht="15" x14ac:dyDescent="0.25">
      <c r="A13399" t="s">
        <v>35</v>
      </c>
      <c r="B13399" t="s">
        <v>61</v>
      </c>
      <c r="C13399" t="str">
        <f>"A0124258"</f>
        <v>A0124258</v>
      </c>
      <c r="D13399" t="s">
        <v>47575</v>
      </c>
      <c r="E13399" t="s">
        <v>47576</v>
      </c>
      <c r="F13399" t="s">
        <v>47577</v>
      </c>
      <c r="G13399" t="s">
        <v>99</v>
      </c>
      <c r="H13399">
        <v>11106</v>
      </c>
      <c r="I13399" t="s">
        <v>30</v>
      </c>
      <c r="J13399" t="s">
        <v>41</v>
      </c>
      <c r="K13399" t="s">
        <v>59</v>
      </c>
      <c r="Q13399">
        <v>0</v>
      </c>
      <c r="R13399">
        <v>60</v>
      </c>
      <c r="S13399">
        <v>60</v>
      </c>
      <c r="T13399" t="s">
        <v>47574</v>
      </c>
    </row>
    <row r="13400" spans="1:20" customFormat="1" ht="15" x14ac:dyDescent="0.25">
      <c r="A13400" t="s">
        <v>35</v>
      </c>
      <c r="B13400" t="s">
        <v>61</v>
      </c>
      <c r="C13400" t="str">
        <f>"A0124259"</f>
        <v>A0124259</v>
      </c>
      <c r="D13400" t="s">
        <v>47578</v>
      </c>
      <c r="E13400" t="s">
        <v>47579</v>
      </c>
      <c r="F13400" t="s">
        <v>47580</v>
      </c>
      <c r="G13400" t="s">
        <v>99</v>
      </c>
      <c r="H13400">
        <v>11779</v>
      </c>
      <c r="I13400" t="s">
        <v>30</v>
      </c>
      <c r="J13400" t="s">
        <v>41</v>
      </c>
      <c r="K13400" t="s">
        <v>59</v>
      </c>
      <c r="Q13400">
        <v>0</v>
      </c>
      <c r="R13400">
        <v>77</v>
      </c>
      <c r="S13400">
        <v>77</v>
      </c>
      <c r="T13400" t="s">
        <v>47581</v>
      </c>
    </row>
    <row r="13401" spans="1:20" customFormat="1" ht="15" x14ac:dyDescent="0.25">
      <c r="A13401" t="s">
        <v>35</v>
      </c>
      <c r="B13401" t="s">
        <v>61</v>
      </c>
      <c r="C13401" t="str">
        <f>"A0124260"</f>
        <v>A0124260</v>
      </c>
      <c r="D13401" t="s">
        <v>47582</v>
      </c>
      <c r="E13401" t="s">
        <v>47583</v>
      </c>
      <c r="F13401" t="s">
        <v>47584</v>
      </c>
      <c r="G13401" t="s">
        <v>99</v>
      </c>
      <c r="H13401">
        <v>11975</v>
      </c>
      <c r="I13401" t="s">
        <v>30</v>
      </c>
      <c r="J13401" t="s">
        <v>41</v>
      </c>
      <c r="K13401" t="s">
        <v>59</v>
      </c>
      <c r="Q13401">
        <v>0</v>
      </c>
      <c r="R13401">
        <v>108</v>
      </c>
      <c r="S13401">
        <v>108</v>
      </c>
      <c r="T13401" t="s">
        <v>47581</v>
      </c>
    </row>
    <row r="13402" spans="1:20" customFormat="1" ht="15" x14ac:dyDescent="0.25">
      <c r="A13402" t="s">
        <v>35</v>
      </c>
      <c r="B13402" t="s">
        <v>61</v>
      </c>
      <c r="C13402" t="str">
        <f>"A0124261"</f>
        <v>A0124261</v>
      </c>
      <c r="D13402" t="s">
        <v>47585</v>
      </c>
      <c r="E13402" t="s">
        <v>47586</v>
      </c>
      <c r="F13402" t="s">
        <v>13792</v>
      </c>
      <c r="G13402" t="s">
        <v>29</v>
      </c>
      <c r="H13402">
        <v>22203</v>
      </c>
      <c r="I13402" t="s">
        <v>30</v>
      </c>
      <c r="J13402" t="s">
        <v>41</v>
      </c>
      <c r="K13402" t="s">
        <v>59</v>
      </c>
      <c r="Q13402">
        <v>0</v>
      </c>
      <c r="R13402">
        <v>28</v>
      </c>
      <c r="S13402">
        <v>28</v>
      </c>
      <c r="T13402" t="s">
        <v>40400</v>
      </c>
    </row>
    <row r="13403" spans="1:20" customFormat="1" ht="15" x14ac:dyDescent="0.25">
      <c r="A13403" t="s">
        <v>35</v>
      </c>
      <c r="B13403" t="s">
        <v>61</v>
      </c>
      <c r="C13403" t="str">
        <f>"A0124262"</f>
        <v>A0124262</v>
      </c>
      <c r="D13403" t="s">
        <v>47587</v>
      </c>
      <c r="E13403" t="s">
        <v>47588</v>
      </c>
      <c r="F13403" t="s">
        <v>26496</v>
      </c>
      <c r="G13403" t="s">
        <v>899</v>
      </c>
      <c r="H13403">
        <v>1201</v>
      </c>
      <c r="I13403" t="s">
        <v>30</v>
      </c>
      <c r="J13403" t="s">
        <v>41</v>
      </c>
      <c r="K13403" t="s">
        <v>59</v>
      </c>
      <c r="Q13403">
        <v>0</v>
      </c>
      <c r="R13403">
        <v>212</v>
      </c>
      <c r="S13403">
        <v>212</v>
      </c>
      <c r="T13403" t="s">
        <v>47589</v>
      </c>
    </row>
    <row r="13404" spans="1:20" customFormat="1" ht="15" x14ac:dyDescent="0.25">
      <c r="A13404" t="s">
        <v>35</v>
      </c>
      <c r="B13404" t="s">
        <v>61</v>
      </c>
      <c r="C13404" t="str">
        <f>"A0124263"</f>
        <v>A0124263</v>
      </c>
      <c r="D13404" t="s">
        <v>47590</v>
      </c>
      <c r="E13404" t="s">
        <v>47591</v>
      </c>
      <c r="F13404" t="s">
        <v>9228</v>
      </c>
      <c r="G13404" t="s">
        <v>81</v>
      </c>
      <c r="H13404">
        <v>33511</v>
      </c>
      <c r="I13404" t="s">
        <v>30</v>
      </c>
      <c r="J13404" t="s">
        <v>41</v>
      </c>
      <c r="K13404" t="s">
        <v>59</v>
      </c>
      <c r="Q13404">
        <v>0</v>
      </c>
      <c r="R13404">
        <v>108</v>
      </c>
      <c r="S13404">
        <v>108</v>
      </c>
      <c r="T13404" t="s">
        <v>47592</v>
      </c>
    </row>
    <row r="13405" spans="1:20" customFormat="1" ht="15" x14ac:dyDescent="0.25">
      <c r="A13405" t="s">
        <v>35</v>
      </c>
      <c r="B13405" t="s">
        <v>61</v>
      </c>
      <c r="C13405" t="str">
        <f>"A0124264"</f>
        <v>A0124264</v>
      </c>
      <c r="D13405" t="s">
        <v>47593</v>
      </c>
      <c r="E13405" t="s">
        <v>47594</v>
      </c>
      <c r="F13405" t="s">
        <v>4075</v>
      </c>
      <c r="G13405" t="s">
        <v>99</v>
      </c>
      <c r="H13405">
        <v>11717</v>
      </c>
      <c r="I13405" t="s">
        <v>30</v>
      </c>
      <c r="J13405" t="s">
        <v>41</v>
      </c>
      <c r="K13405" t="s">
        <v>59</v>
      </c>
      <c r="Q13405">
        <v>0</v>
      </c>
      <c r="R13405">
        <v>100</v>
      </c>
      <c r="S13405">
        <v>100</v>
      </c>
      <c r="T13405" t="s">
        <v>47595</v>
      </c>
    </row>
    <row r="13406" spans="1:20" customFormat="1" ht="15" x14ac:dyDescent="0.25">
      <c r="A13406" t="s">
        <v>35</v>
      </c>
      <c r="B13406" t="s">
        <v>61</v>
      </c>
      <c r="C13406" t="str">
        <f>"A0124265"</f>
        <v>A0124265</v>
      </c>
      <c r="D13406" t="s">
        <v>47596</v>
      </c>
      <c r="E13406" t="s">
        <v>47597</v>
      </c>
      <c r="F13406" t="s">
        <v>6723</v>
      </c>
      <c r="G13406" t="s">
        <v>899</v>
      </c>
      <c r="H13406">
        <v>2170</v>
      </c>
      <c r="I13406" t="s">
        <v>30</v>
      </c>
      <c r="J13406" t="s">
        <v>41</v>
      </c>
      <c r="K13406" t="s">
        <v>59</v>
      </c>
      <c r="Q13406">
        <v>0</v>
      </c>
      <c r="R13406">
        <v>48</v>
      </c>
      <c r="S13406">
        <v>48</v>
      </c>
      <c r="T13406" t="s">
        <v>47598</v>
      </c>
    </row>
    <row r="13407" spans="1:20" customFormat="1" ht="15" x14ac:dyDescent="0.25">
      <c r="A13407" t="s">
        <v>35</v>
      </c>
      <c r="B13407" t="s">
        <v>61</v>
      </c>
      <c r="C13407" t="str">
        <f>"A0124266"</f>
        <v>A0124266</v>
      </c>
      <c r="D13407" t="s">
        <v>47599</v>
      </c>
      <c r="E13407" t="s">
        <v>47600</v>
      </c>
      <c r="F13407" t="s">
        <v>4777</v>
      </c>
      <c r="G13407" t="s">
        <v>110</v>
      </c>
      <c r="H13407">
        <v>93308</v>
      </c>
      <c r="I13407" t="s">
        <v>30</v>
      </c>
      <c r="J13407" t="s">
        <v>41</v>
      </c>
      <c r="K13407" t="s">
        <v>482</v>
      </c>
      <c r="Q13407">
        <v>0</v>
      </c>
      <c r="R13407">
        <v>166</v>
      </c>
      <c r="S13407">
        <v>166</v>
      </c>
      <c r="T13407" t="s">
        <v>47601</v>
      </c>
    </row>
    <row r="13408" spans="1:20" customFormat="1" ht="15" x14ac:dyDescent="0.25">
      <c r="A13408" t="s">
        <v>35</v>
      </c>
      <c r="B13408" t="s">
        <v>61</v>
      </c>
      <c r="C13408" t="str">
        <f>"A0124267"</f>
        <v>A0124267</v>
      </c>
      <c r="D13408" t="s">
        <v>47602</v>
      </c>
      <c r="E13408" t="s">
        <v>47603</v>
      </c>
      <c r="F13408" t="s">
        <v>47604</v>
      </c>
      <c r="G13408" t="s">
        <v>899</v>
      </c>
      <c r="H13408">
        <v>2125</v>
      </c>
      <c r="I13408" t="s">
        <v>30</v>
      </c>
      <c r="J13408" t="s">
        <v>41</v>
      </c>
      <c r="K13408" t="s">
        <v>59</v>
      </c>
      <c r="Q13408">
        <v>0</v>
      </c>
      <c r="R13408">
        <v>108</v>
      </c>
      <c r="S13408">
        <v>108</v>
      </c>
      <c r="T13408" t="s">
        <v>47605</v>
      </c>
    </row>
    <row r="13409" spans="1:20" customFormat="1" ht="15" x14ac:dyDescent="0.25">
      <c r="A13409" t="s">
        <v>35</v>
      </c>
      <c r="B13409" t="s">
        <v>61</v>
      </c>
      <c r="C13409" t="str">
        <f>"A0124268"</f>
        <v>A0124268</v>
      </c>
      <c r="D13409" t="s">
        <v>47606</v>
      </c>
      <c r="E13409" t="s">
        <v>47607</v>
      </c>
      <c r="F13409" t="s">
        <v>1755</v>
      </c>
      <c r="G13409" t="s">
        <v>899</v>
      </c>
      <c r="H13409">
        <v>1105</v>
      </c>
      <c r="I13409" t="s">
        <v>30</v>
      </c>
      <c r="J13409" t="s">
        <v>41</v>
      </c>
      <c r="K13409" t="s">
        <v>59</v>
      </c>
      <c r="Q13409">
        <v>0</v>
      </c>
      <c r="R13409">
        <v>88</v>
      </c>
      <c r="S13409">
        <v>88</v>
      </c>
      <c r="T13409" t="s">
        <v>47608</v>
      </c>
    </row>
    <row r="13410" spans="1:20" customFormat="1" ht="15" x14ac:dyDescent="0.25">
      <c r="A13410" t="s">
        <v>35</v>
      </c>
      <c r="B13410" t="s">
        <v>61</v>
      </c>
      <c r="C13410" t="str">
        <f>"A0124270"</f>
        <v>A0124270</v>
      </c>
      <c r="D13410" t="s">
        <v>47609</v>
      </c>
      <c r="E13410" t="s">
        <v>47610</v>
      </c>
      <c r="F13410" t="s">
        <v>47611</v>
      </c>
      <c r="G13410" t="s">
        <v>99</v>
      </c>
      <c r="H13410">
        <v>11788</v>
      </c>
      <c r="I13410" t="s">
        <v>30</v>
      </c>
      <c r="J13410" t="s">
        <v>41</v>
      </c>
      <c r="K13410" t="s">
        <v>59</v>
      </c>
      <c r="Q13410">
        <v>0</v>
      </c>
      <c r="R13410">
        <v>80</v>
      </c>
      <c r="S13410">
        <v>80</v>
      </c>
      <c r="T13410" t="s">
        <v>47574</v>
      </c>
    </row>
    <row r="13411" spans="1:20" customFormat="1" ht="15" x14ac:dyDescent="0.25">
      <c r="A13411" t="s">
        <v>35</v>
      </c>
      <c r="B13411" t="s">
        <v>61</v>
      </c>
      <c r="C13411" t="str">
        <f>"A0124271"</f>
        <v>A0124271</v>
      </c>
      <c r="D13411" t="s">
        <v>47612</v>
      </c>
      <c r="E13411" t="s">
        <v>47613</v>
      </c>
      <c r="F13411" t="s">
        <v>1435</v>
      </c>
      <c r="G13411" t="s">
        <v>1363</v>
      </c>
      <c r="H13411">
        <v>3431</v>
      </c>
      <c r="I13411" t="s">
        <v>30</v>
      </c>
      <c r="J13411" t="s">
        <v>41</v>
      </c>
      <c r="K13411" t="s">
        <v>59</v>
      </c>
      <c r="Q13411">
        <v>0</v>
      </c>
      <c r="R13411">
        <v>34</v>
      </c>
      <c r="S13411">
        <v>34</v>
      </c>
    </row>
    <row r="13412" spans="1:20" customFormat="1" ht="15" x14ac:dyDescent="0.25">
      <c r="A13412" t="s">
        <v>35</v>
      </c>
      <c r="B13412" t="s">
        <v>61</v>
      </c>
      <c r="C13412" t="str">
        <f>"A0124272"</f>
        <v>A0124272</v>
      </c>
      <c r="D13412" t="s">
        <v>47614</v>
      </c>
      <c r="E13412" t="s">
        <v>47615</v>
      </c>
      <c r="F13412" t="s">
        <v>47577</v>
      </c>
      <c r="G13412" t="s">
        <v>99</v>
      </c>
      <c r="H13412">
        <v>11106</v>
      </c>
      <c r="I13412" t="s">
        <v>30</v>
      </c>
      <c r="J13412" t="s">
        <v>41</v>
      </c>
      <c r="K13412" t="s">
        <v>59</v>
      </c>
      <c r="Q13412">
        <v>0</v>
      </c>
      <c r="R13412">
        <v>80</v>
      </c>
      <c r="S13412">
        <v>80</v>
      </c>
      <c r="T13412" t="s">
        <v>47574</v>
      </c>
    </row>
    <row r="13413" spans="1:20" customFormat="1" ht="15" x14ac:dyDescent="0.25">
      <c r="A13413" t="s">
        <v>35</v>
      </c>
      <c r="B13413" t="s">
        <v>61</v>
      </c>
      <c r="C13413" t="str">
        <f>"A0124273"</f>
        <v>A0124273</v>
      </c>
      <c r="D13413" t="s">
        <v>47616</v>
      </c>
      <c r="E13413" t="s">
        <v>47617</v>
      </c>
      <c r="F13413" t="s">
        <v>18349</v>
      </c>
      <c r="G13413" t="s">
        <v>123</v>
      </c>
      <c r="H13413">
        <v>21061</v>
      </c>
      <c r="I13413" t="s">
        <v>30</v>
      </c>
      <c r="J13413" t="s">
        <v>41</v>
      </c>
      <c r="K13413" t="s">
        <v>59</v>
      </c>
      <c r="Q13413">
        <v>0</v>
      </c>
      <c r="R13413">
        <v>66</v>
      </c>
      <c r="S13413">
        <v>66</v>
      </c>
      <c r="T13413" t="s">
        <v>47618</v>
      </c>
    </row>
    <row r="13414" spans="1:20" customFormat="1" ht="15" x14ac:dyDescent="0.25">
      <c r="A13414" t="s">
        <v>35</v>
      </c>
      <c r="B13414" t="s">
        <v>61</v>
      </c>
      <c r="C13414" t="str">
        <f>"A0124274"</f>
        <v>A0124274</v>
      </c>
      <c r="D13414" t="s">
        <v>47619</v>
      </c>
      <c r="E13414" t="s">
        <v>47620</v>
      </c>
      <c r="F13414" t="s">
        <v>27698</v>
      </c>
      <c r="G13414" t="s">
        <v>110</v>
      </c>
      <c r="H13414">
        <v>92701</v>
      </c>
      <c r="I13414" t="s">
        <v>30</v>
      </c>
      <c r="J13414" t="s">
        <v>41</v>
      </c>
      <c r="K13414" t="s">
        <v>59</v>
      </c>
      <c r="Q13414">
        <v>0</v>
      </c>
      <c r="R13414">
        <v>88</v>
      </c>
      <c r="S13414">
        <v>88</v>
      </c>
      <c r="T13414" t="s">
        <v>47621</v>
      </c>
    </row>
    <row r="13415" spans="1:20" customFormat="1" ht="15" x14ac:dyDescent="0.25">
      <c r="A13415" t="s">
        <v>35</v>
      </c>
      <c r="B13415" t="s">
        <v>61</v>
      </c>
      <c r="C13415" t="str">
        <f>"A0124275"</f>
        <v>A0124275</v>
      </c>
      <c r="D13415" t="s">
        <v>47622</v>
      </c>
      <c r="E13415" t="s">
        <v>47623</v>
      </c>
      <c r="F13415" t="s">
        <v>47624</v>
      </c>
      <c r="G13415" t="s">
        <v>110</v>
      </c>
      <c r="H13415">
        <v>91342</v>
      </c>
      <c r="I13415" t="s">
        <v>30</v>
      </c>
      <c r="J13415" t="s">
        <v>41</v>
      </c>
      <c r="K13415" t="s">
        <v>59</v>
      </c>
      <c r="Q13415">
        <v>0</v>
      </c>
      <c r="R13415">
        <v>88</v>
      </c>
      <c r="S13415">
        <v>88</v>
      </c>
      <c r="T13415" t="s">
        <v>47625</v>
      </c>
    </row>
    <row r="13416" spans="1:20" customFormat="1" ht="15" x14ac:dyDescent="0.25">
      <c r="A13416" t="s">
        <v>35</v>
      </c>
      <c r="B13416" t="s">
        <v>61</v>
      </c>
      <c r="C13416" t="str">
        <f>"A0124276"</f>
        <v>A0124276</v>
      </c>
      <c r="D13416" t="s">
        <v>47626</v>
      </c>
      <c r="E13416" t="s">
        <v>47627</v>
      </c>
      <c r="F13416" t="s">
        <v>4674</v>
      </c>
      <c r="G13416" t="s">
        <v>314</v>
      </c>
      <c r="H13416">
        <v>20003</v>
      </c>
      <c r="I13416" t="s">
        <v>30</v>
      </c>
      <c r="J13416" t="s">
        <v>41</v>
      </c>
      <c r="K13416" t="s">
        <v>482</v>
      </c>
      <c r="Q13416">
        <v>0</v>
      </c>
      <c r="R13416">
        <v>78</v>
      </c>
      <c r="S13416">
        <v>78</v>
      </c>
      <c r="T13416" t="s">
        <v>40400</v>
      </c>
    </row>
    <row r="13417" spans="1:20" customFormat="1" ht="15" x14ac:dyDescent="0.25">
      <c r="A13417" t="s">
        <v>35</v>
      </c>
      <c r="B13417" t="s">
        <v>61</v>
      </c>
      <c r="C13417" t="str">
        <f>"A0124277"</f>
        <v>A0124277</v>
      </c>
      <c r="D13417" t="s">
        <v>47628</v>
      </c>
      <c r="E13417" t="s">
        <v>47629</v>
      </c>
      <c r="F13417" t="s">
        <v>1755</v>
      </c>
      <c r="G13417" t="s">
        <v>899</v>
      </c>
      <c r="H13417">
        <v>1105</v>
      </c>
      <c r="I13417" t="s">
        <v>30</v>
      </c>
      <c r="J13417" t="s">
        <v>41</v>
      </c>
      <c r="K13417" t="s">
        <v>59</v>
      </c>
      <c r="Q13417">
        <v>0</v>
      </c>
      <c r="R13417">
        <v>166</v>
      </c>
      <c r="S13417">
        <v>166</v>
      </c>
      <c r="T13417" t="s">
        <v>47630</v>
      </c>
    </row>
    <row r="13418" spans="1:20" customFormat="1" ht="15" x14ac:dyDescent="0.25">
      <c r="A13418" t="s">
        <v>35</v>
      </c>
      <c r="B13418" t="s">
        <v>61</v>
      </c>
      <c r="C13418" t="str">
        <f>"A0124278"</f>
        <v>A0124278</v>
      </c>
      <c r="D13418" t="s">
        <v>47631</v>
      </c>
      <c r="E13418" t="s">
        <v>47632</v>
      </c>
      <c r="F13418" t="s">
        <v>5488</v>
      </c>
      <c r="G13418" t="s">
        <v>110</v>
      </c>
      <c r="H13418">
        <v>90291</v>
      </c>
      <c r="I13418" t="s">
        <v>30</v>
      </c>
      <c r="J13418" t="s">
        <v>41</v>
      </c>
      <c r="K13418" t="s">
        <v>59</v>
      </c>
      <c r="Q13418">
        <v>0</v>
      </c>
      <c r="R13418">
        <v>120</v>
      </c>
      <c r="S13418">
        <v>120</v>
      </c>
      <c r="T13418" t="s">
        <v>47633</v>
      </c>
    </row>
    <row r="13419" spans="1:20" customFormat="1" ht="15" x14ac:dyDescent="0.25">
      <c r="A13419" t="s">
        <v>35</v>
      </c>
      <c r="B13419" t="s">
        <v>61</v>
      </c>
      <c r="C13419" t="str">
        <f>"A0124279"</f>
        <v>A0124279</v>
      </c>
      <c r="D13419" t="s">
        <v>47634</v>
      </c>
      <c r="E13419" t="s">
        <v>47635</v>
      </c>
      <c r="F13419" t="s">
        <v>47604</v>
      </c>
      <c r="G13419" t="s">
        <v>899</v>
      </c>
      <c r="H13419">
        <v>2124</v>
      </c>
      <c r="I13419" t="s">
        <v>30</v>
      </c>
      <c r="J13419" t="s">
        <v>41</v>
      </c>
      <c r="K13419" t="s">
        <v>59</v>
      </c>
      <c r="Q13419">
        <v>0</v>
      </c>
      <c r="R13419">
        <v>85</v>
      </c>
      <c r="S13419">
        <v>85</v>
      </c>
      <c r="T13419" t="s">
        <v>47636</v>
      </c>
    </row>
    <row r="13420" spans="1:20" customFormat="1" ht="15" x14ac:dyDescent="0.25">
      <c r="A13420" t="s">
        <v>35</v>
      </c>
      <c r="B13420" t="s">
        <v>61</v>
      </c>
      <c r="C13420" t="str">
        <f>"A0124280"</f>
        <v>A0124280</v>
      </c>
      <c r="D13420" t="s">
        <v>47637</v>
      </c>
      <c r="E13420" t="s">
        <v>47638</v>
      </c>
      <c r="F13420" t="s">
        <v>8024</v>
      </c>
      <c r="G13420" t="s">
        <v>90</v>
      </c>
      <c r="H13420">
        <v>2906</v>
      </c>
      <c r="I13420" t="s">
        <v>30</v>
      </c>
      <c r="J13420" t="s">
        <v>41</v>
      </c>
      <c r="K13420" t="s">
        <v>59</v>
      </c>
      <c r="Q13420">
        <v>0</v>
      </c>
      <c r="R13420">
        <v>60</v>
      </c>
      <c r="S13420">
        <v>60</v>
      </c>
      <c r="T13420" t="s">
        <v>47636</v>
      </c>
    </row>
    <row r="13421" spans="1:20" customFormat="1" ht="15" x14ac:dyDescent="0.25">
      <c r="A13421" t="s">
        <v>35</v>
      </c>
      <c r="B13421" t="s">
        <v>61</v>
      </c>
      <c r="C13421" t="str">
        <f>"A0124281"</f>
        <v>A0124281</v>
      </c>
      <c r="D13421" t="s">
        <v>47639</v>
      </c>
      <c r="E13421" t="s">
        <v>47640</v>
      </c>
      <c r="F13421" t="s">
        <v>47641</v>
      </c>
      <c r="G13421" t="s">
        <v>81</v>
      </c>
      <c r="H13421">
        <v>32113</v>
      </c>
      <c r="I13421" t="s">
        <v>30</v>
      </c>
      <c r="J13421" t="s">
        <v>41</v>
      </c>
      <c r="K13421" t="s">
        <v>59</v>
      </c>
      <c r="Q13421">
        <v>0</v>
      </c>
      <c r="R13421">
        <v>80</v>
      </c>
      <c r="S13421">
        <v>80</v>
      </c>
      <c r="T13421" t="s">
        <v>47642</v>
      </c>
    </row>
    <row r="13422" spans="1:20" customFormat="1" ht="15" x14ac:dyDescent="0.25">
      <c r="A13422" t="s">
        <v>35</v>
      </c>
      <c r="B13422" t="s">
        <v>61</v>
      </c>
      <c r="C13422" t="str">
        <f>"A0126099"</f>
        <v>A0126099</v>
      </c>
      <c r="D13422" t="s">
        <v>47643</v>
      </c>
      <c r="E13422" t="s">
        <v>47644</v>
      </c>
      <c r="F13422" t="s">
        <v>10187</v>
      </c>
      <c r="G13422" t="s">
        <v>197</v>
      </c>
      <c r="H13422">
        <v>85032</v>
      </c>
      <c r="I13422" t="s">
        <v>30</v>
      </c>
      <c r="J13422" t="s">
        <v>41</v>
      </c>
      <c r="K13422" t="s">
        <v>229</v>
      </c>
      <c r="Q13422">
        <v>0</v>
      </c>
      <c r="R13422">
        <v>129</v>
      </c>
      <c r="S13422">
        <v>129</v>
      </c>
      <c r="T13422" t="s">
        <v>47645</v>
      </c>
    </row>
    <row r="13423" spans="1:20" customFormat="1" ht="15" x14ac:dyDescent="0.25">
      <c r="A13423" t="s">
        <v>35</v>
      </c>
      <c r="B13423" t="s">
        <v>106</v>
      </c>
      <c r="C13423" t="str">
        <f>"A0135309"</f>
        <v>A0135309</v>
      </c>
      <c r="D13423" t="s">
        <v>47646</v>
      </c>
      <c r="E13423" t="s">
        <v>47647</v>
      </c>
      <c r="F13423" t="s">
        <v>22478</v>
      </c>
      <c r="G13423" t="s">
        <v>214</v>
      </c>
      <c r="H13423">
        <v>27514</v>
      </c>
      <c r="I13423" t="s">
        <v>30</v>
      </c>
      <c r="J13423" t="s">
        <v>111</v>
      </c>
      <c r="K13423" t="s">
        <v>10012</v>
      </c>
      <c r="Q13423">
        <v>0</v>
      </c>
      <c r="R13423">
        <v>0</v>
      </c>
      <c r="S13423">
        <v>0</v>
      </c>
      <c r="T13423" t="s">
        <v>47648</v>
      </c>
    </row>
    <row r="13424" spans="1:20" customFormat="1" ht="15" x14ac:dyDescent="0.25">
      <c r="A13424" t="s">
        <v>35</v>
      </c>
      <c r="B13424" t="s">
        <v>106</v>
      </c>
      <c r="C13424" t="str">
        <f>"A0136120"</f>
        <v>A0136120</v>
      </c>
      <c r="D13424" t="s">
        <v>47649</v>
      </c>
      <c r="E13424" t="s">
        <v>47650</v>
      </c>
      <c r="F13424" t="s">
        <v>36450</v>
      </c>
      <c r="G13424" t="s">
        <v>1706</v>
      </c>
      <c r="H13424">
        <v>35401</v>
      </c>
      <c r="I13424" t="s">
        <v>30</v>
      </c>
      <c r="J13424" t="s">
        <v>111</v>
      </c>
      <c r="K13424" t="s">
        <v>112</v>
      </c>
      <c r="Q13424">
        <v>0</v>
      </c>
      <c r="R13424">
        <v>0</v>
      </c>
      <c r="S13424">
        <v>0</v>
      </c>
      <c r="T13424" t="s">
        <v>47651</v>
      </c>
    </row>
    <row r="13425" spans="1:20" customFormat="1" ht="15" x14ac:dyDescent="0.25">
      <c r="A13425" t="s">
        <v>35</v>
      </c>
      <c r="B13425" t="s">
        <v>106</v>
      </c>
      <c r="C13425" t="str">
        <f>"A0135624"</f>
        <v>A0135624</v>
      </c>
      <c r="D13425" t="s">
        <v>47652</v>
      </c>
      <c r="E13425" t="s">
        <v>38548</v>
      </c>
      <c r="F13425" t="s">
        <v>4133</v>
      </c>
      <c r="G13425" t="s">
        <v>52</v>
      </c>
      <c r="H13425">
        <v>78705</v>
      </c>
      <c r="I13425" t="s">
        <v>30</v>
      </c>
      <c r="J13425" t="s">
        <v>111</v>
      </c>
      <c r="K13425" t="s">
        <v>112</v>
      </c>
      <c r="Q13425">
        <v>0</v>
      </c>
      <c r="R13425">
        <v>0</v>
      </c>
      <c r="S13425">
        <v>0</v>
      </c>
      <c r="T13425" t="s">
        <v>47653</v>
      </c>
    </row>
    <row r="13426" spans="1:20" customFormat="1" ht="15" x14ac:dyDescent="0.25">
      <c r="A13426" t="s">
        <v>35</v>
      </c>
      <c r="B13426" t="s">
        <v>106</v>
      </c>
      <c r="C13426" t="str">
        <f>"A0135889"</f>
        <v>A0135889</v>
      </c>
      <c r="D13426" t="s">
        <v>47654</v>
      </c>
      <c r="E13426" t="s">
        <v>47655</v>
      </c>
      <c r="F13426" t="s">
        <v>1444</v>
      </c>
      <c r="G13426" t="s">
        <v>76</v>
      </c>
      <c r="H13426">
        <v>98105</v>
      </c>
      <c r="I13426" t="s">
        <v>30</v>
      </c>
      <c r="J13426" t="s">
        <v>111</v>
      </c>
      <c r="K13426" t="s">
        <v>112</v>
      </c>
      <c r="Q13426">
        <v>0</v>
      </c>
      <c r="R13426">
        <v>0</v>
      </c>
      <c r="S13426">
        <v>0</v>
      </c>
      <c r="T13426" t="s">
        <v>47656</v>
      </c>
    </row>
    <row r="13427" spans="1:20" customFormat="1" ht="15" x14ac:dyDescent="0.25">
      <c r="A13427" t="s">
        <v>35</v>
      </c>
      <c r="B13427" t="s">
        <v>106</v>
      </c>
      <c r="C13427" t="str">
        <f>"A0136139"</f>
        <v>A0136139</v>
      </c>
      <c r="D13427" t="s">
        <v>47657</v>
      </c>
      <c r="E13427" t="s">
        <v>47658</v>
      </c>
      <c r="F13427" t="s">
        <v>47659</v>
      </c>
      <c r="G13427" t="s">
        <v>1706</v>
      </c>
      <c r="H13427">
        <v>36830</v>
      </c>
      <c r="I13427" t="s">
        <v>30</v>
      </c>
      <c r="J13427" t="s">
        <v>111</v>
      </c>
      <c r="K13427" t="s">
        <v>112</v>
      </c>
      <c r="Q13427">
        <v>0</v>
      </c>
      <c r="R13427">
        <v>0</v>
      </c>
      <c r="S13427">
        <v>0</v>
      </c>
      <c r="T13427" t="s">
        <v>47660</v>
      </c>
    </row>
    <row r="13428" spans="1:20" customFormat="1" ht="15" x14ac:dyDescent="0.25">
      <c r="A13428" t="s">
        <v>35</v>
      </c>
      <c r="B13428" t="s">
        <v>61</v>
      </c>
      <c r="C13428" t="str">
        <f>"A0123479"</f>
        <v>A0123479</v>
      </c>
      <c r="D13428" t="s">
        <v>47661</v>
      </c>
      <c r="E13428" t="s">
        <v>47662</v>
      </c>
      <c r="F13428" t="s">
        <v>32806</v>
      </c>
      <c r="G13428" t="s">
        <v>29</v>
      </c>
      <c r="H13428">
        <v>23323</v>
      </c>
      <c r="I13428" t="s">
        <v>30</v>
      </c>
      <c r="J13428" t="s">
        <v>41</v>
      </c>
      <c r="K13428" t="s">
        <v>442</v>
      </c>
      <c r="Q13428">
        <v>0</v>
      </c>
      <c r="R13428">
        <v>0</v>
      </c>
      <c r="S13428">
        <v>0</v>
      </c>
      <c r="T13428" t="s">
        <v>47663</v>
      </c>
    </row>
    <row r="13429" spans="1:20" customFormat="1" ht="15" x14ac:dyDescent="0.25">
      <c r="A13429" t="s">
        <v>35</v>
      </c>
      <c r="B13429" t="s">
        <v>61</v>
      </c>
      <c r="C13429" t="str">
        <f>"A0123480"</f>
        <v>A0123480</v>
      </c>
      <c r="D13429" t="s">
        <v>47664</v>
      </c>
      <c r="E13429" t="s">
        <v>47665</v>
      </c>
      <c r="F13429" t="s">
        <v>1382</v>
      </c>
      <c r="G13429" t="s">
        <v>29</v>
      </c>
      <c r="H13429">
        <v>23605</v>
      </c>
      <c r="I13429" t="s">
        <v>30</v>
      </c>
      <c r="J13429" t="s">
        <v>41</v>
      </c>
      <c r="K13429" t="s">
        <v>59</v>
      </c>
      <c r="Q13429">
        <v>0</v>
      </c>
      <c r="R13429">
        <v>1</v>
      </c>
      <c r="S13429">
        <v>1</v>
      </c>
      <c r="T13429" t="s">
        <v>47666</v>
      </c>
    </row>
    <row r="13430" spans="1:20" customFormat="1" ht="15" x14ac:dyDescent="0.25">
      <c r="A13430" t="s">
        <v>35</v>
      </c>
      <c r="B13430" t="s">
        <v>61</v>
      </c>
      <c r="C13430" t="str">
        <f>"A0123481"</f>
        <v>A0123481</v>
      </c>
      <c r="D13430" t="s">
        <v>47667</v>
      </c>
      <c r="E13430" t="s">
        <v>47668</v>
      </c>
      <c r="F13430" t="s">
        <v>15622</v>
      </c>
      <c r="G13430" t="s">
        <v>29</v>
      </c>
      <c r="H13430">
        <v>23502</v>
      </c>
      <c r="I13430" t="s">
        <v>30</v>
      </c>
      <c r="J13430" t="s">
        <v>41</v>
      </c>
      <c r="K13430" t="s">
        <v>442</v>
      </c>
      <c r="Q13430">
        <v>0</v>
      </c>
      <c r="R13430">
        <v>0</v>
      </c>
      <c r="S13430">
        <v>0</v>
      </c>
      <c r="T13430" t="s">
        <v>47669</v>
      </c>
    </row>
    <row r="13431" spans="1:20" customFormat="1" ht="15" x14ac:dyDescent="0.25">
      <c r="A13431" t="s">
        <v>35</v>
      </c>
      <c r="B13431" t="s">
        <v>61</v>
      </c>
      <c r="C13431" t="str">
        <f>"A0132134"</f>
        <v>A0132134</v>
      </c>
      <c r="D13431" t="s">
        <v>47670</v>
      </c>
      <c r="E13431" t="s">
        <v>47671</v>
      </c>
      <c r="F13431" t="s">
        <v>12399</v>
      </c>
      <c r="G13431" t="s">
        <v>65</v>
      </c>
      <c r="H13431">
        <v>43113</v>
      </c>
      <c r="I13431" t="s">
        <v>30</v>
      </c>
      <c r="J13431" t="s">
        <v>41</v>
      </c>
      <c r="K13431" t="s">
        <v>8643</v>
      </c>
      <c r="Q13431">
        <v>0</v>
      </c>
      <c r="R13431">
        <v>0</v>
      </c>
      <c r="S13431">
        <v>0</v>
      </c>
      <c r="T13431" t="s">
        <v>47672</v>
      </c>
    </row>
    <row r="13432" spans="1:20" customFormat="1" ht="15" x14ac:dyDescent="0.25">
      <c r="A13432" t="s">
        <v>35</v>
      </c>
      <c r="B13432" t="s">
        <v>61</v>
      </c>
      <c r="C13432" t="str">
        <f>"A0127588"</f>
        <v>A0127588</v>
      </c>
      <c r="D13432" t="s">
        <v>47673</v>
      </c>
      <c r="E13432" t="s">
        <v>47674</v>
      </c>
      <c r="F13432" t="s">
        <v>519</v>
      </c>
      <c r="G13432" t="s">
        <v>123</v>
      </c>
      <c r="H13432">
        <v>21204</v>
      </c>
      <c r="I13432" t="s">
        <v>30</v>
      </c>
      <c r="J13432" t="s">
        <v>41</v>
      </c>
      <c r="K13432" t="s">
        <v>1440</v>
      </c>
      <c r="Q13432">
        <v>0</v>
      </c>
      <c r="R13432">
        <v>169</v>
      </c>
      <c r="S13432">
        <v>169</v>
      </c>
      <c r="T13432" t="s">
        <v>47675</v>
      </c>
    </row>
    <row r="13433" spans="1:20" customFormat="1" ht="15" x14ac:dyDescent="0.25">
      <c r="A13433" t="s">
        <v>35</v>
      </c>
      <c r="B13433" t="s">
        <v>437</v>
      </c>
      <c r="C13433" t="str">
        <f>"A0135129"</f>
        <v>A0135129</v>
      </c>
      <c r="D13433" t="s">
        <v>47676</v>
      </c>
      <c r="E13433" t="s">
        <v>47677</v>
      </c>
      <c r="F13433" t="s">
        <v>41528</v>
      </c>
      <c r="G13433" t="s">
        <v>99</v>
      </c>
      <c r="H13433">
        <v>13420</v>
      </c>
      <c r="I13433" t="s">
        <v>30</v>
      </c>
      <c r="J13433" t="s">
        <v>441</v>
      </c>
      <c r="K13433" t="s">
        <v>442</v>
      </c>
      <c r="Q13433">
        <v>0</v>
      </c>
      <c r="R13433">
        <v>0</v>
      </c>
      <c r="S13433">
        <v>0</v>
      </c>
      <c r="T13433" t="s">
        <v>47678</v>
      </c>
    </row>
    <row r="13434" spans="1:20" customFormat="1" ht="15" x14ac:dyDescent="0.25">
      <c r="A13434" t="s">
        <v>35</v>
      </c>
      <c r="B13434" t="s">
        <v>437</v>
      </c>
      <c r="C13434" t="str">
        <f>"A0133889"</f>
        <v>A0133889</v>
      </c>
      <c r="D13434" t="s">
        <v>47679</v>
      </c>
      <c r="E13434" t="s">
        <v>47680</v>
      </c>
      <c r="F13434" t="s">
        <v>9836</v>
      </c>
      <c r="G13434" t="s">
        <v>110</v>
      </c>
      <c r="H13434">
        <v>911060000</v>
      </c>
      <c r="I13434" t="s">
        <v>30</v>
      </c>
      <c r="J13434" t="s">
        <v>441</v>
      </c>
      <c r="K13434" t="s">
        <v>47681</v>
      </c>
      <c r="Q13434">
        <v>0</v>
      </c>
      <c r="R13434">
        <v>0</v>
      </c>
      <c r="S13434">
        <v>0</v>
      </c>
      <c r="T13434" t="s">
        <v>47682</v>
      </c>
    </row>
    <row r="13435" spans="1:20" customFormat="1" ht="15" x14ac:dyDescent="0.25">
      <c r="A13435" t="s">
        <v>35</v>
      </c>
      <c r="B13435" t="s">
        <v>437</v>
      </c>
      <c r="C13435" t="str">
        <f>"A0134024"</f>
        <v>A0134024</v>
      </c>
      <c r="D13435" t="s">
        <v>47683</v>
      </c>
      <c r="E13435" t="s">
        <v>47684</v>
      </c>
      <c r="F13435" t="s">
        <v>20721</v>
      </c>
      <c r="G13435" t="s">
        <v>99</v>
      </c>
      <c r="H13435">
        <v>13413</v>
      </c>
      <c r="I13435" t="s">
        <v>30</v>
      </c>
      <c r="J13435" t="s">
        <v>441</v>
      </c>
      <c r="K13435" t="s">
        <v>442</v>
      </c>
      <c r="Q13435">
        <v>0</v>
      </c>
      <c r="R13435">
        <v>0</v>
      </c>
      <c r="S13435">
        <v>0</v>
      </c>
      <c r="T13435" t="s">
        <v>7662</v>
      </c>
    </row>
    <row r="13436" spans="1:20" customFormat="1" ht="15" x14ac:dyDescent="0.25">
      <c r="A13436" t="s">
        <v>35</v>
      </c>
      <c r="B13436" t="s">
        <v>61</v>
      </c>
      <c r="C13436" t="str">
        <f>"A0131868"</f>
        <v>A0131868</v>
      </c>
      <c r="D13436" t="s">
        <v>47685</v>
      </c>
      <c r="E13436" t="s">
        <v>47686</v>
      </c>
      <c r="F13436" t="s">
        <v>15848</v>
      </c>
      <c r="G13436" t="s">
        <v>65</v>
      </c>
      <c r="H13436">
        <v>44813</v>
      </c>
      <c r="I13436" t="s">
        <v>30</v>
      </c>
      <c r="J13436" t="s">
        <v>41</v>
      </c>
      <c r="K13436" t="s">
        <v>42</v>
      </c>
      <c r="Q13436">
        <v>0</v>
      </c>
      <c r="R13436">
        <v>1</v>
      </c>
      <c r="S13436">
        <v>1</v>
      </c>
      <c r="T13436" t="s">
        <v>47687</v>
      </c>
    </row>
    <row r="13437" spans="1:20" customFormat="1" ht="15" x14ac:dyDescent="0.25">
      <c r="A13437" t="s">
        <v>35</v>
      </c>
      <c r="B13437" t="s">
        <v>61</v>
      </c>
      <c r="C13437" t="str">
        <f>"A0119322"</f>
        <v>A0119322</v>
      </c>
      <c r="D13437" t="s">
        <v>47688</v>
      </c>
      <c r="E13437" t="s">
        <v>47689</v>
      </c>
      <c r="F13437" t="s">
        <v>22046</v>
      </c>
      <c r="G13437" t="s">
        <v>110</v>
      </c>
      <c r="H13437">
        <v>91711</v>
      </c>
      <c r="I13437" t="s">
        <v>30</v>
      </c>
      <c r="J13437" t="s">
        <v>41</v>
      </c>
      <c r="K13437" t="s">
        <v>1440</v>
      </c>
      <c r="Q13437">
        <v>0</v>
      </c>
      <c r="R13437">
        <v>416</v>
      </c>
      <c r="S13437">
        <v>416</v>
      </c>
      <c r="T13437" t="s">
        <v>47690</v>
      </c>
    </row>
    <row r="13438" spans="1:20" customFormat="1" ht="15" x14ac:dyDescent="0.25">
      <c r="A13438" t="s">
        <v>35</v>
      </c>
      <c r="B13438" t="s">
        <v>61</v>
      </c>
      <c r="C13438" t="str">
        <f>"A0122021"</f>
        <v>A0122021</v>
      </c>
      <c r="D13438" t="s">
        <v>47691</v>
      </c>
      <c r="E13438" t="s">
        <v>47692</v>
      </c>
      <c r="F13438" t="s">
        <v>22046</v>
      </c>
      <c r="G13438" t="s">
        <v>110</v>
      </c>
      <c r="H13438">
        <v>91711</v>
      </c>
      <c r="I13438" t="s">
        <v>30</v>
      </c>
      <c r="J13438" t="s">
        <v>41</v>
      </c>
      <c r="K13438" t="s">
        <v>482</v>
      </c>
      <c r="Q13438">
        <v>0</v>
      </c>
      <c r="R13438">
        <v>68</v>
      </c>
      <c r="S13438">
        <v>68</v>
      </c>
      <c r="T13438" t="s">
        <v>47693</v>
      </c>
    </row>
    <row r="13439" spans="1:20" customFormat="1" ht="15" x14ac:dyDescent="0.25">
      <c r="A13439" t="s">
        <v>35</v>
      </c>
      <c r="B13439" t="s">
        <v>61</v>
      </c>
      <c r="C13439" t="str">
        <f>"A0130399"</f>
        <v>A0130399</v>
      </c>
      <c r="D13439" t="s">
        <v>47694</v>
      </c>
      <c r="E13439" t="s">
        <v>47695</v>
      </c>
      <c r="F13439" t="s">
        <v>26949</v>
      </c>
      <c r="G13439" t="s">
        <v>1898</v>
      </c>
      <c r="H13439">
        <v>50702</v>
      </c>
      <c r="I13439" t="s">
        <v>30</v>
      </c>
      <c r="J13439" t="s">
        <v>41</v>
      </c>
      <c r="K13439" t="s">
        <v>229</v>
      </c>
      <c r="Q13439">
        <v>0</v>
      </c>
      <c r="R13439">
        <v>168</v>
      </c>
      <c r="S13439">
        <v>168</v>
      </c>
      <c r="T13439" t="s">
        <v>47696</v>
      </c>
    </row>
    <row r="13440" spans="1:20" customFormat="1" ht="15" x14ac:dyDescent="0.25">
      <c r="A13440" t="s">
        <v>35</v>
      </c>
      <c r="B13440" t="s">
        <v>61</v>
      </c>
      <c r="C13440" t="str">
        <f>"A0124545"</f>
        <v>A0124545</v>
      </c>
      <c r="D13440" t="s">
        <v>47697</v>
      </c>
      <c r="E13440" t="s">
        <v>38676</v>
      </c>
      <c r="F13440" t="s">
        <v>6119</v>
      </c>
      <c r="G13440" t="s">
        <v>1369</v>
      </c>
      <c r="H13440">
        <v>394400000</v>
      </c>
      <c r="I13440" t="s">
        <v>30</v>
      </c>
      <c r="J13440" t="s">
        <v>41</v>
      </c>
      <c r="K13440" t="s">
        <v>59</v>
      </c>
      <c r="Q13440">
        <v>0</v>
      </c>
      <c r="R13440">
        <v>52</v>
      </c>
      <c r="S13440">
        <v>52</v>
      </c>
      <c r="T13440" t="s">
        <v>47698</v>
      </c>
    </row>
    <row r="13441" spans="1:20" customFormat="1" ht="15" x14ac:dyDescent="0.25">
      <c r="A13441" t="s">
        <v>35</v>
      </c>
      <c r="B13441" t="s">
        <v>61</v>
      </c>
      <c r="C13441" t="str">
        <f>"A0124885"</f>
        <v>A0124885</v>
      </c>
      <c r="D13441" t="s">
        <v>47699</v>
      </c>
      <c r="E13441" t="s">
        <v>47700</v>
      </c>
      <c r="F13441" t="s">
        <v>1689</v>
      </c>
      <c r="G13441" t="s">
        <v>214</v>
      </c>
      <c r="H13441">
        <v>272920000</v>
      </c>
      <c r="I13441" t="s">
        <v>30</v>
      </c>
      <c r="J13441" t="s">
        <v>41</v>
      </c>
      <c r="K13441" t="s">
        <v>456</v>
      </c>
      <c r="Q13441">
        <v>0</v>
      </c>
      <c r="R13441">
        <v>1</v>
      </c>
      <c r="S13441">
        <v>1</v>
      </c>
      <c r="T13441" t="s">
        <v>47701</v>
      </c>
    </row>
    <row r="13442" spans="1:20" customFormat="1" ht="15" x14ac:dyDescent="0.25">
      <c r="A13442" t="s">
        <v>35</v>
      </c>
      <c r="B13442" t="s">
        <v>61</v>
      </c>
      <c r="C13442" t="str">
        <f>"A0130281"</f>
        <v>A0130281</v>
      </c>
      <c r="D13442" t="s">
        <v>47702</v>
      </c>
      <c r="E13442" t="s">
        <v>47703</v>
      </c>
      <c r="F13442" t="s">
        <v>16079</v>
      </c>
      <c r="G13442" t="s">
        <v>1898</v>
      </c>
      <c r="H13442">
        <v>50265</v>
      </c>
      <c r="I13442" t="s">
        <v>30</v>
      </c>
      <c r="J13442" t="s">
        <v>41</v>
      </c>
      <c r="K13442" t="s">
        <v>229</v>
      </c>
      <c r="Q13442">
        <v>0</v>
      </c>
      <c r="R13442">
        <v>194</v>
      </c>
      <c r="S13442">
        <v>194</v>
      </c>
      <c r="T13442" t="s">
        <v>47704</v>
      </c>
    </row>
    <row r="13443" spans="1:20" customFormat="1" ht="15" x14ac:dyDescent="0.25">
      <c r="A13443" t="s">
        <v>35</v>
      </c>
      <c r="B13443" t="s">
        <v>61</v>
      </c>
      <c r="C13443" t="str">
        <f>"A0123483"</f>
        <v>A0123483</v>
      </c>
      <c r="D13443" t="s">
        <v>47705</v>
      </c>
      <c r="E13443" t="s">
        <v>47706</v>
      </c>
      <c r="F13443" t="s">
        <v>11868</v>
      </c>
      <c r="G13443" t="s">
        <v>123</v>
      </c>
      <c r="H13443">
        <v>21801</v>
      </c>
      <c r="I13443" t="s">
        <v>30</v>
      </c>
      <c r="J13443" t="s">
        <v>41</v>
      </c>
      <c r="K13443" t="s">
        <v>59</v>
      </c>
      <c r="Q13443">
        <v>0</v>
      </c>
      <c r="R13443">
        <v>150</v>
      </c>
      <c r="S13443">
        <v>150</v>
      </c>
      <c r="T13443" t="s">
        <v>47707</v>
      </c>
    </row>
    <row r="13444" spans="1:20" customFormat="1" ht="15" x14ac:dyDescent="0.25">
      <c r="A13444" t="s">
        <v>35</v>
      </c>
      <c r="B13444" t="s">
        <v>61</v>
      </c>
      <c r="C13444" t="str">
        <f>"A0123882"</f>
        <v>A0123882</v>
      </c>
      <c r="D13444" t="s">
        <v>47708</v>
      </c>
      <c r="E13444" t="s">
        <v>47709</v>
      </c>
      <c r="F13444" t="s">
        <v>4098</v>
      </c>
      <c r="G13444" t="s">
        <v>29</v>
      </c>
      <c r="H13444">
        <v>22664</v>
      </c>
      <c r="I13444" t="s">
        <v>30</v>
      </c>
      <c r="J13444" t="s">
        <v>41</v>
      </c>
      <c r="K13444" t="s">
        <v>482</v>
      </c>
      <c r="Q13444">
        <v>0</v>
      </c>
      <c r="R13444">
        <v>23</v>
      </c>
      <c r="S13444">
        <v>23</v>
      </c>
      <c r="T13444" t="s">
        <v>47710</v>
      </c>
    </row>
    <row r="13445" spans="1:20" customFormat="1" ht="15" x14ac:dyDescent="0.25">
      <c r="A13445" t="s">
        <v>35</v>
      </c>
      <c r="B13445" t="s">
        <v>61</v>
      </c>
      <c r="C13445" t="str">
        <f>"A0133157"</f>
        <v>A0133157</v>
      </c>
      <c r="D13445" t="s">
        <v>47711</v>
      </c>
      <c r="E13445" t="s">
        <v>47712</v>
      </c>
      <c r="F13445" t="s">
        <v>19029</v>
      </c>
      <c r="G13445" t="s">
        <v>52</v>
      </c>
      <c r="H13445">
        <v>75615</v>
      </c>
      <c r="I13445" t="s">
        <v>30</v>
      </c>
      <c r="J13445" t="s">
        <v>41</v>
      </c>
      <c r="K13445" t="s">
        <v>2477</v>
      </c>
      <c r="Q13445">
        <v>0</v>
      </c>
      <c r="R13445">
        <v>60</v>
      </c>
      <c r="S13445">
        <v>60</v>
      </c>
      <c r="T13445" t="s">
        <v>47713</v>
      </c>
    </row>
    <row r="13446" spans="1:20" customFormat="1" ht="15" x14ac:dyDescent="0.25">
      <c r="A13446" t="s">
        <v>35</v>
      </c>
      <c r="B13446" t="s">
        <v>61</v>
      </c>
      <c r="C13446" t="str">
        <f>"A0123484"</f>
        <v>A0123484</v>
      </c>
      <c r="D13446" t="s">
        <v>47714</v>
      </c>
      <c r="E13446" t="s">
        <v>47715</v>
      </c>
      <c r="F13446" t="s">
        <v>19759</v>
      </c>
      <c r="G13446" t="s">
        <v>507</v>
      </c>
      <c r="H13446" t="s">
        <v>47716</v>
      </c>
      <c r="I13446" t="s">
        <v>30</v>
      </c>
      <c r="J13446" t="s">
        <v>41</v>
      </c>
      <c r="K13446" t="s">
        <v>229</v>
      </c>
      <c r="Q13446">
        <v>0</v>
      </c>
      <c r="R13446">
        <v>66</v>
      </c>
      <c r="S13446">
        <v>66</v>
      </c>
      <c r="T13446" t="s">
        <v>47717</v>
      </c>
    </row>
    <row r="13447" spans="1:20" customFormat="1" ht="15" x14ac:dyDescent="0.25">
      <c r="A13447" t="s">
        <v>35</v>
      </c>
      <c r="B13447" t="s">
        <v>61</v>
      </c>
      <c r="C13447" t="str">
        <f>"A0123485"</f>
        <v>A0123485</v>
      </c>
      <c r="D13447" t="s">
        <v>47718</v>
      </c>
      <c r="E13447" t="s">
        <v>47719</v>
      </c>
      <c r="F13447" t="s">
        <v>47720</v>
      </c>
      <c r="G13447" t="s">
        <v>214</v>
      </c>
      <c r="H13447">
        <v>27867</v>
      </c>
      <c r="I13447" t="s">
        <v>30</v>
      </c>
      <c r="J13447" t="s">
        <v>41</v>
      </c>
      <c r="K13447" t="s">
        <v>482</v>
      </c>
      <c r="Q13447">
        <v>0</v>
      </c>
      <c r="R13447">
        <v>42</v>
      </c>
      <c r="S13447">
        <v>42</v>
      </c>
      <c r="T13447" t="s">
        <v>47721</v>
      </c>
    </row>
    <row r="13448" spans="1:20" customFormat="1" ht="15" x14ac:dyDescent="0.25">
      <c r="A13448" t="s">
        <v>35</v>
      </c>
      <c r="B13448" t="s">
        <v>61</v>
      </c>
      <c r="C13448" t="str">
        <f>"A0123486"</f>
        <v>A0123486</v>
      </c>
      <c r="D13448" t="s">
        <v>47722</v>
      </c>
      <c r="E13448" t="s">
        <v>47723</v>
      </c>
      <c r="F13448" t="s">
        <v>39696</v>
      </c>
      <c r="G13448" t="s">
        <v>29</v>
      </c>
      <c r="H13448">
        <v>23970</v>
      </c>
      <c r="I13448" t="s">
        <v>30</v>
      </c>
      <c r="J13448" t="s">
        <v>41</v>
      </c>
      <c r="K13448" t="s">
        <v>59</v>
      </c>
      <c r="Q13448">
        <v>0</v>
      </c>
      <c r="R13448">
        <v>60</v>
      </c>
      <c r="S13448">
        <v>60</v>
      </c>
      <c r="T13448" t="s">
        <v>47724</v>
      </c>
    </row>
    <row r="13449" spans="1:20" customFormat="1" ht="15" x14ac:dyDescent="0.25">
      <c r="A13449" t="s">
        <v>35</v>
      </c>
      <c r="B13449" t="s">
        <v>61</v>
      </c>
      <c r="C13449" t="str">
        <f>"A0123883"</f>
        <v>A0123883</v>
      </c>
      <c r="D13449" t="s">
        <v>47725</v>
      </c>
      <c r="E13449" t="s">
        <v>47726</v>
      </c>
      <c r="F13449" t="s">
        <v>43563</v>
      </c>
      <c r="G13449" t="s">
        <v>214</v>
      </c>
      <c r="H13449">
        <v>270558246</v>
      </c>
      <c r="I13449" t="s">
        <v>30</v>
      </c>
      <c r="J13449" t="s">
        <v>41</v>
      </c>
      <c r="K13449" t="s">
        <v>59</v>
      </c>
      <c r="Q13449">
        <v>0</v>
      </c>
      <c r="R13449">
        <v>1</v>
      </c>
      <c r="S13449">
        <v>1</v>
      </c>
      <c r="T13449" t="s">
        <v>47727</v>
      </c>
    </row>
    <row r="13450" spans="1:20" customFormat="1" ht="15" x14ac:dyDescent="0.25">
      <c r="A13450" t="s">
        <v>35</v>
      </c>
      <c r="B13450" t="s">
        <v>61</v>
      </c>
      <c r="C13450" t="str">
        <f>"A0125764"</f>
        <v>A0125764</v>
      </c>
      <c r="D13450" t="s">
        <v>47728</v>
      </c>
      <c r="E13450" t="s">
        <v>47729</v>
      </c>
      <c r="F13450" t="s">
        <v>15431</v>
      </c>
      <c r="G13450" t="s">
        <v>29</v>
      </c>
      <c r="H13450">
        <v>24541</v>
      </c>
      <c r="I13450" t="s">
        <v>30</v>
      </c>
      <c r="J13450" t="s">
        <v>41</v>
      </c>
      <c r="K13450" t="s">
        <v>59</v>
      </c>
      <c r="Q13450">
        <v>0</v>
      </c>
      <c r="R13450">
        <v>60</v>
      </c>
      <c r="S13450">
        <v>60</v>
      </c>
      <c r="T13450" t="s">
        <v>47730</v>
      </c>
    </row>
    <row r="13451" spans="1:20" customFormat="1" ht="15" x14ac:dyDescent="0.25">
      <c r="A13451" t="s">
        <v>35</v>
      </c>
      <c r="B13451" t="s">
        <v>61</v>
      </c>
      <c r="C13451" t="str">
        <f>"A0131144"</f>
        <v>A0131144</v>
      </c>
      <c r="D13451" t="s">
        <v>47731</v>
      </c>
      <c r="E13451" t="s">
        <v>47732</v>
      </c>
      <c r="F13451" t="s">
        <v>41394</v>
      </c>
      <c r="G13451" t="s">
        <v>137</v>
      </c>
      <c r="H13451">
        <v>63645</v>
      </c>
      <c r="I13451" t="s">
        <v>30</v>
      </c>
      <c r="J13451" t="s">
        <v>41</v>
      </c>
      <c r="K13451" t="s">
        <v>42</v>
      </c>
      <c r="Q13451">
        <v>0</v>
      </c>
      <c r="R13451">
        <v>1</v>
      </c>
      <c r="S13451">
        <v>1</v>
      </c>
      <c r="T13451" t="s">
        <v>47733</v>
      </c>
    </row>
    <row r="13452" spans="1:20" customFormat="1" ht="15" x14ac:dyDescent="0.25">
      <c r="A13452" t="s">
        <v>35</v>
      </c>
      <c r="B13452" t="s">
        <v>61</v>
      </c>
      <c r="C13452" t="str">
        <f>"A0124668"</f>
        <v>A0124668</v>
      </c>
      <c r="D13452" t="s">
        <v>47734</v>
      </c>
      <c r="E13452" t="s">
        <v>47735</v>
      </c>
      <c r="F13452" t="s">
        <v>47736</v>
      </c>
      <c r="G13452" t="s">
        <v>1369</v>
      </c>
      <c r="H13452">
        <v>39083</v>
      </c>
      <c r="I13452" t="s">
        <v>30</v>
      </c>
      <c r="J13452" t="s">
        <v>41</v>
      </c>
      <c r="K13452" t="s">
        <v>229</v>
      </c>
      <c r="Q13452">
        <v>0</v>
      </c>
      <c r="R13452">
        <v>120</v>
      </c>
      <c r="S13452">
        <v>120</v>
      </c>
      <c r="T13452" t="s">
        <v>47737</v>
      </c>
    </row>
    <row r="13453" spans="1:20" customFormat="1" ht="15" x14ac:dyDescent="0.25">
      <c r="A13453" t="s">
        <v>35</v>
      </c>
      <c r="B13453" t="s">
        <v>61</v>
      </c>
      <c r="C13453" t="str">
        <f>"A0118554"</f>
        <v>A0118554</v>
      </c>
      <c r="D13453" t="s">
        <v>47738</v>
      </c>
      <c r="E13453" t="s">
        <v>47739</v>
      </c>
      <c r="F13453" t="s">
        <v>24578</v>
      </c>
      <c r="G13453" t="s">
        <v>110</v>
      </c>
      <c r="H13453">
        <v>94558</v>
      </c>
      <c r="I13453" t="s">
        <v>30</v>
      </c>
      <c r="J13453" t="s">
        <v>41</v>
      </c>
      <c r="K13453" t="s">
        <v>229</v>
      </c>
      <c r="Q13453">
        <v>0</v>
      </c>
      <c r="R13453">
        <v>49</v>
      </c>
      <c r="S13453">
        <v>49</v>
      </c>
      <c r="T13453" t="s">
        <v>47740</v>
      </c>
    </row>
    <row r="13454" spans="1:20" customFormat="1" ht="15" x14ac:dyDescent="0.25">
      <c r="A13454" t="s">
        <v>35</v>
      </c>
      <c r="B13454" t="s">
        <v>61</v>
      </c>
      <c r="C13454" t="str">
        <f>"A0126195"</f>
        <v>A0126195</v>
      </c>
      <c r="D13454" t="s">
        <v>47741</v>
      </c>
      <c r="E13454" t="s">
        <v>47742</v>
      </c>
      <c r="F13454" t="s">
        <v>47743</v>
      </c>
      <c r="G13454" t="s">
        <v>197</v>
      </c>
      <c r="H13454">
        <v>85929</v>
      </c>
      <c r="I13454" t="s">
        <v>30</v>
      </c>
      <c r="J13454" t="s">
        <v>41</v>
      </c>
      <c r="K13454" t="s">
        <v>418</v>
      </c>
      <c r="Q13454">
        <v>0</v>
      </c>
      <c r="R13454">
        <v>0</v>
      </c>
      <c r="S13454">
        <v>0</v>
      </c>
      <c r="T13454" t="s">
        <v>47744</v>
      </c>
    </row>
    <row r="13455" spans="1:20" customFormat="1" ht="15" x14ac:dyDescent="0.25">
      <c r="A13455" t="s">
        <v>35</v>
      </c>
      <c r="B13455" t="s">
        <v>61</v>
      </c>
      <c r="C13455" t="str">
        <f>"A0117948"</f>
        <v>A0117948</v>
      </c>
      <c r="D13455" t="s">
        <v>47745</v>
      </c>
      <c r="E13455" t="s">
        <v>47746</v>
      </c>
      <c r="F13455" t="s">
        <v>4777</v>
      </c>
      <c r="G13455" t="s">
        <v>110</v>
      </c>
      <c r="H13455">
        <v>93309</v>
      </c>
      <c r="I13455" t="s">
        <v>30</v>
      </c>
      <c r="J13455" t="s">
        <v>41</v>
      </c>
      <c r="K13455" t="s">
        <v>59</v>
      </c>
      <c r="Q13455">
        <v>0</v>
      </c>
      <c r="R13455">
        <v>99</v>
      </c>
      <c r="S13455">
        <v>99</v>
      </c>
      <c r="T13455" t="s">
        <v>47747</v>
      </c>
    </row>
    <row r="13456" spans="1:20" customFormat="1" ht="15" x14ac:dyDescent="0.25">
      <c r="A13456" t="s">
        <v>35</v>
      </c>
      <c r="B13456" t="s">
        <v>61</v>
      </c>
      <c r="C13456" t="str">
        <f>"A0124066"</f>
        <v>A0124066</v>
      </c>
      <c r="D13456" t="s">
        <v>47748</v>
      </c>
      <c r="E13456" t="s">
        <v>47749</v>
      </c>
      <c r="F13456" t="s">
        <v>47750</v>
      </c>
      <c r="G13456" t="s">
        <v>214</v>
      </c>
      <c r="H13456">
        <v>27910</v>
      </c>
      <c r="I13456" t="s">
        <v>30</v>
      </c>
      <c r="J13456" t="s">
        <v>41</v>
      </c>
      <c r="K13456" t="s">
        <v>59</v>
      </c>
      <c r="Q13456">
        <v>0</v>
      </c>
      <c r="R13456">
        <v>1</v>
      </c>
      <c r="S13456">
        <v>1</v>
      </c>
      <c r="T13456" t="s">
        <v>47751</v>
      </c>
    </row>
    <row r="13457" spans="1:20" customFormat="1" ht="15" x14ac:dyDescent="0.25">
      <c r="A13457" t="s">
        <v>35</v>
      </c>
      <c r="B13457" t="s">
        <v>61</v>
      </c>
      <c r="C13457" t="str">
        <f>"A0123487"</f>
        <v>A0123487</v>
      </c>
      <c r="D13457" t="s">
        <v>47752</v>
      </c>
      <c r="E13457" t="s">
        <v>47753</v>
      </c>
      <c r="F13457" t="s">
        <v>15431</v>
      </c>
      <c r="G13457" t="s">
        <v>29</v>
      </c>
      <c r="H13457">
        <v>24540</v>
      </c>
      <c r="I13457" t="s">
        <v>30</v>
      </c>
      <c r="J13457" t="s">
        <v>41</v>
      </c>
      <c r="K13457" t="s">
        <v>229</v>
      </c>
      <c r="Q13457">
        <v>0</v>
      </c>
      <c r="R13457">
        <v>120</v>
      </c>
      <c r="S13457">
        <v>120</v>
      </c>
      <c r="T13457" t="s">
        <v>47754</v>
      </c>
    </row>
    <row r="13458" spans="1:20" customFormat="1" ht="15" x14ac:dyDescent="0.25">
      <c r="A13458" t="s">
        <v>35</v>
      </c>
      <c r="B13458" t="s">
        <v>61</v>
      </c>
      <c r="C13458" t="str">
        <f>"A0130982"</f>
        <v>A0130982</v>
      </c>
      <c r="D13458" t="s">
        <v>47755</v>
      </c>
      <c r="E13458" t="s">
        <v>47756</v>
      </c>
      <c r="F13458" t="s">
        <v>9480</v>
      </c>
      <c r="G13458" t="s">
        <v>85</v>
      </c>
      <c r="H13458">
        <v>729360000</v>
      </c>
      <c r="I13458" t="s">
        <v>30</v>
      </c>
      <c r="J13458" t="s">
        <v>41</v>
      </c>
      <c r="K13458" t="s">
        <v>229</v>
      </c>
      <c r="Q13458">
        <v>0</v>
      </c>
      <c r="R13458">
        <v>110</v>
      </c>
      <c r="S13458">
        <v>110</v>
      </c>
      <c r="T13458" t="s">
        <v>47757</v>
      </c>
    </row>
    <row r="13459" spans="1:20" customFormat="1" ht="15" x14ac:dyDescent="0.25">
      <c r="A13459" t="s">
        <v>35</v>
      </c>
      <c r="B13459" t="s">
        <v>61</v>
      </c>
      <c r="C13459" t="str">
        <f>"A0125155"</f>
        <v>A0125155</v>
      </c>
      <c r="D13459" t="s">
        <v>47758</v>
      </c>
      <c r="E13459" t="s">
        <v>47759</v>
      </c>
      <c r="F13459" t="s">
        <v>16001</v>
      </c>
      <c r="G13459" t="s">
        <v>925</v>
      </c>
      <c r="H13459">
        <v>66215</v>
      </c>
      <c r="I13459" t="s">
        <v>30</v>
      </c>
      <c r="J13459" t="s">
        <v>41</v>
      </c>
      <c r="K13459" t="s">
        <v>290</v>
      </c>
      <c r="Q13459">
        <v>0</v>
      </c>
      <c r="R13459">
        <v>1</v>
      </c>
      <c r="S13459">
        <v>1</v>
      </c>
      <c r="T13459" t="s">
        <v>47760</v>
      </c>
    </row>
    <row r="13460" spans="1:20" customFormat="1" ht="15" x14ac:dyDescent="0.25">
      <c r="A13460" t="s">
        <v>35</v>
      </c>
      <c r="B13460" t="s">
        <v>106</v>
      </c>
      <c r="C13460" t="str">
        <f>"A0135333"</f>
        <v>A0135333</v>
      </c>
      <c r="D13460" t="s">
        <v>47761</v>
      </c>
      <c r="E13460" t="s">
        <v>47762</v>
      </c>
      <c r="F13460" t="s">
        <v>47763</v>
      </c>
      <c r="G13460" t="s">
        <v>71</v>
      </c>
      <c r="H13460">
        <v>54119</v>
      </c>
      <c r="I13460" t="s">
        <v>30</v>
      </c>
      <c r="J13460" t="s">
        <v>111</v>
      </c>
      <c r="K13460" t="s">
        <v>10012</v>
      </c>
      <c r="Q13460">
        <v>0</v>
      </c>
      <c r="R13460">
        <v>0</v>
      </c>
      <c r="S13460">
        <v>0</v>
      </c>
      <c r="T13460" t="s">
        <v>47764</v>
      </c>
    </row>
    <row r="13461" spans="1:20" customFormat="1" ht="15" x14ac:dyDescent="0.25">
      <c r="A13461" t="s">
        <v>35</v>
      </c>
      <c r="B13461" t="s">
        <v>61</v>
      </c>
      <c r="C13461" t="str">
        <f>"A0128844"</f>
        <v>A0128844</v>
      </c>
      <c r="D13461" t="s">
        <v>47765</v>
      </c>
      <c r="E13461" t="s">
        <v>47766</v>
      </c>
      <c r="F13461" t="s">
        <v>288</v>
      </c>
      <c r="G13461" t="s">
        <v>289</v>
      </c>
      <c r="H13461">
        <v>606530000</v>
      </c>
      <c r="I13461" t="s">
        <v>30</v>
      </c>
      <c r="J13461" t="s">
        <v>41</v>
      </c>
      <c r="K13461" t="s">
        <v>59</v>
      </c>
      <c r="Q13461">
        <v>0</v>
      </c>
      <c r="R13461">
        <v>120</v>
      </c>
      <c r="S13461">
        <v>120</v>
      </c>
      <c r="T13461" t="s">
        <v>47767</v>
      </c>
    </row>
    <row r="13462" spans="1:20" customFormat="1" ht="15" x14ac:dyDescent="0.25">
      <c r="A13462" t="s">
        <v>35</v>
      </c>
      <c r="B13462" t="s">
        <v>61</v>
      </c>
      <c r="C13462" t="str">
        <f>"A0127431"</f>
        <v>A0127431</v>
      </c>
      <c r="D13462" t="s">
        <v>47768</v>
      </c>
      <c r="E13462" t="s">
        <v>47769</v>
      </c>
      <c r="F13462" t="s">
        <v>25485</v>
      </c>
      <c r="G13462" t="s">
        <v>925</v>
      </c>
      <c r="H13462">
        <v>67029</v>
      </c>
      <c r="I13462" t="s">
        <v>30</v>
      </c>
      <c r="J13462" t="s">
        <v>41</v>
      </c>
      <c r="K13462" t="s">
        <v>59</v>
      </c>
      <c r="Q13462">
        <v>0</v>
      </c>
      <c r="R13462">
        <v>0</v>
      </c>
      <c r="S13462">
        <v>0</v>
      </c>
      <c r="T13462" t="s">
        <v>47770</v>
      </c>
    </row>
    <row r="13463" spans="1:20" customFormat="1" ht="15" x14ac:dyDescent="0.25">
      <c r="A13463" t="s">
        <v>35</v>
      </c>
      <c r="B13463" t="s">
        <v>61</v>
      </c>
      <c r="C13463" t="str">
        <f>"A0122567"</f>
        <v>A0122567</v>
      </c>
      <c r="D13463" t="s">
        <v>47771</v>
      </c>
      <c r="E13463" t="s">
        <v>47772</v>
      </c>
      <c r="F13463" t="s">
        <v>1039</v>
      </c>
      <c r="G13463" t="s">
        <v>76</v>
      </c>
      <c r="H13463">
        <v>98445</v>
      </c>
      <c r="I13463" t="s">
        <v>30</v>
      </c>
      <c r="J13463" t="s">
        <v>41</v>
      </c>
      <c r="K13463" t="s">
        <v>1032</v>
      </c>
      <c r="Q13463">
        <v>0</v>
      </c>
      <c r="R13463">
        <v>60</v>
      </c>
      <c r="S13463">
        <v>60</v>
      </c>
      <c r="T13463" t="s">
        <v>47773</v>
      </c>
    </row>
    <row r="13464" spans="1:20" customFormat="1" ht="15" x14ac:dyDescent="0.25">
      <c r="A13464" t="s">
        <v>35</v>
      </c>
      <c r="B13464" t="s">
        <v>61</v>
      </c>
      <c r="C13464" t="str">
        <f>"A0122697"</f>
        <v>A0122697</v>
      </c>
      <c r="D13464" t="s">
        <v>47774</v>
      </c>
      <c r="E13464" t="s">
        <v>47775</v>
      </c>
      <c r="F13464" t="s">
        <v>47776</v>
      </c>
      <c r="G13464" t="s">
        <v>47</v>
      </c>
      <c r="H13464">
        <v>97918</v>
      </c>
      <c r="I13464" t="s">
        <v>30</v>
      </c>
      <c r="J13464" t="s">
        <v>41</v>
      </c>
      <c r="K13464" t="s">
        <v>229</v>
      </c>
      <c r="Q13464">
        <v>0</v>
      </c>
      <c r="R13464">
        <v>58</v>
      </c>
      <c r="S13464">
        <v>58</v>
      </c>
      <c r="T13464" t="s">
        <v>47777</v>
      </c>
    </row>
    <row r="13465" spans="1:20" customFormat="1" ht="15" x14ac:dyDescent="0.25">
      <c r="A13465" t="s">
        <v>35</v>
      </c>
      <c r="B13465" t="s">
        <v>61</v>
      </c>
      <c r="C13465" t="str">
        <f>"A0124994"</f>
        <v>A0124994</v>
      </c>
      <c r="D13465" t="s">
        <v>47778</v>
      </c>
      <c r="E13465" t="s">
        <v>47779</v>
      </c>
      <c r="F13465" t="s">
        <v>27288</v>
      </c>
      <c r="G13465" t="s">
        <v>214</v>
      </c>
      <c r="H13465">
        <v>28715</v>
      </c>
      <c r="I13465" t="s">
        <v>30</v>
      </c>
      <c r="J13465" t="s">
        <v>41</v>
      </c>
      <c r="K13465" t="s">
        <v>1440</v>
      </c>
      <c r="Q13465">
        <v>0</v>
      </c>
      <c r="R13465">
        <v>118</v>
      </c>
      <c r="S13465">
        <v>60</v>
      </c>
      <c r="T13465" t="s">
        <v>47780</v>
      </c>
    </row>
    <row r="13466" spans="1:20" customFormat="1" ht="15" x14ac:dyDescent="0.25">
      <c r="A13466" t="s">
        <v>35</v>
      </c>
      <c r="B13466" t="s">
        <v>61</v>
      </c>
      <c r="C13466" t="str">
        <f>"A0118213"</f>
        <v>A0118213</v>
      </c>
      <c r="D13466" t="s">
        <v>47781</v>
      </c>
      <c r="E13466" t="s">
        <v>47782</v>
      </c>
      <c r="F13466" t="s">
        <v>44576</v>
      </c>
      <c r="G13466" t="s">
        <v>153</v>
      </c>
      <c r="H13466">
        <v>84648</v>
      </c>
      <c r="I13466" t="s">
        <v>30</v>
      </c>
      <c r="J13466" t="s">
        <v>41</v>
      </c>
      <c r="K13466" t="s">
        <v>391</v>
      </c>
      <c r="Q13466">
        <v>0</v>
      </c>
      <c r="R13466">
        <v>0</v>
      </c>
      <c r="S13466">
        <v>0</v>
      </c>
      <c r="T13466" t="s">
        <v>47783</v>
      </c>
    </row>
    <row r="13467" spans="1:20" customFormat="1" ht="15" x14ac:dyDescent="0.25">
      <c r="A13467" t="s">
        <v>35</v>
      </c>
      <c r="B13467" t="s">
        <v>61</v>
      </c>
      <c r="C13467" t="str">
        <f>"A0118525"</f>
        <v>A0118525</v>
      </c>
      <c r="D13467" t="s">
        <v>47784</v>
      </c>
      <c r="E13467" t="s">
        <v>47785</v>
      </c>
      <c r="F13467" t="s">
        <v>3108</v>
      </c>
      <c r="G13467" t="s">
        <v>110</v>
      </c>
      <c r="H13467">
        <v>94565</v>
      </c>
      <c r="I13467" t="s">
        <v>30</v>
      </c>
      <c r="J13467" t="s">
        <v>41</v>
      </c>
      <c r="K13467" t="s">
        <v>229</v>
      </c>
      <c r="Q13467">
        <v>0</v>
      </c>
      <c r="R13467">
        <v>46</v>
      </c>
      <c r="S13467">
        <v>46</v>
      </c>
      <c r="T13467" t="s">
        <v>47786</v>
      </c>
    </row>
    <row r="13468" spans="1:20" customFormat="1" ht="15" x14ac:dyDescent="0.25">
      <c r="A13468" t="s">
        <v>35</v>
      </c>
      <c r="B13468" t="s">
        <v>437</v>
      </c>
      <c r="C13468" t="str">
        <f>"A0134881"</f>
        <v>A0134881</v>
      </c>
      <c r="D13468" t="s">
        <v>11494</v>
      </c>
      <c r="E13468" t="s">
        <v>47787</v>
      </c>
      <c r="F13468" t="s">
        <v>21288</v>
      </c>
      <c r="G13468" t="s">
        <v>99</v>
      </c>
      <c r="H13468">
        <v>13365</v>
      </c>
      <c r="I13468" t="s">
        <v>30</v>
      </c>
      <c r="J13468" t="s">
        <v>441</v>
      </c>
      <c r="K13468" t="s">
        <v>442</v>
      </c>
      <c r="Q13468">
        <v>0</v>
      </c>
      <c r="R13468">
        <v>0</v>
      </c>
      <c r="S13468">
        <v>0</v>
      </c>
      <c r="T13468" t="s">
        <v>47788</v>
      </c>
    </row>
    <row r="13469" spans="1:20" customFormat="1" ht="15" x14ac:dyDescent="0.25">
      <c r="A13469" t="s">
        <v>35</v>
      </c>
      <c r="B13469" t="s">
        <v>437</v>
      </c>
      <c r="C13469" t="str">
        <f>"A0134058"</f>
        <v>A0134058</v>
      </c>
      <c r="D13469" t="s">
        <v>47789</v>
      </c>
      <c r="E13469" t="s">
        <v>47790</v>
      </c>
      <c r="F13469" t="s">
        <v>36555</v>
      </c>
      <c r="G13469" t="s">
        <v>110</v>
      </c>
      <c r="H13469">
        <v>92399</v>
      </c>
      <c r="I13469" t="s">
        <v>30</v>
      </c>
      <c r="J13469" t="s">
        <v>441</v>
      </c>
      <c r="K13469" t="s">
        <v>442</v>
      </c>
      <c r="Q13469">
        <v>0</v>
      </c>
      <c r="R13469">
        <v>0</v>
      </c>
      <c r="S13469">
        <v>0</v>
      </c>
      <c r="T13469" t="s">
        <v>47791</v>
      </c>
    </row>
    <row r="13470" spans="1:20" customFormat="1" ht="15" x14ac:dyDescent="0.25">
      <c r="A13470" t="s">
        <v>35</v>
      </c>
      <c r="B13470" t="s">
        <v>61</v>
      </c>
      <c r="C13470" t="str">
        <f>"A0123488"</f>
        <v>A0123488</v>
      </c>
      <c r="D13470" t="s">
        <v>47792</v>
      </c>
      <c r="E13470" t="s">
        <v>47793</v>
      </c>
      <c r="F13470" t="s">
        <v>10641</v>
      </c>
      <c r="G13470" t="s">
        <v>58</v>
      </c>
      <c r="H13470">
        <v>29526</v>
      </c>
      <c r="I13470" t="s">
        <v>30</v>
      </c>
      <c r="J13470" t="s">
        <v>41</v>
      </c>
      <c r="K13470" t="s">
        <v>59</v>
      </c>
      <c r="Q13470">
        <v>0</v>
      </c>
      <c r="R13470">
        <v>1</v>
      </c>
      <c r="S13470">
        <v>1</v>
      </c>
      <c r="T13470" t="s">
        <v>47794</v>
      </c>
    </row>
    <row r="13471" spans="1:20" customFormat="1" ht="15" x14ac:dyDescent="0.25">
      <c r="A13471" t="s">
        <v>35</v>
      </c>
      <c r="B13471" t="s">
        <v>61</v>
      </c>
      <c r="C13471" t="str">
        <f>"A0127291"</f>
        <v>A0127291</v>
      </c>
      <c r="D13471" t="s">
        <v>47795</v>
      </c>
      <c r="E13471" t="s">
        <v>47796</v>
      </c>
      <c r="F13471" t="s">
        <v>15680</v>
      </c>
      <c r="G13471" t="s">
        <v>846</v>
      </c>
      <c r="H13471">
        <v>31792</v>
      </c>
      <c r="I13471" t="s">
        <v>30</v>
      </c>
      <c r="J13471" t="s">
        <v>41</v>
      </c>
      <c r="K13471" t="s">
        <v>59</v>
      </c>
      <c r="Q13471">
        <v>0</v>
      </c>
      <c r="R13471">
        <v>84</v>
      </c>
      <c r="S13471">
        <v>84</v>
      </c>
      <c r="T13471" t="s">
        <v>47797</v>
      </c>
    </row>
    <row r="13472" spans="1:20" customFormat="1" ht="15" x14ac:dyDescent="0.25">
      <c r="A13472" t="s">
        <v>35</v>
      </c>
      <c r="B13472" t="s">
        <v>61</v>
      </c>
      <c r="C13472" t="str">
        <f>"A0127289"</f>
        <v>A0127289</v>
      </c>
      <c r="D13472" t="s">
        <v>47798</v>
      </c>
      <c r="E13472" t="s">
        <v>47799</v>
      </c>
      <c r="F13472" t="s">
        <v>19594</v>
      </c>
      <c r="G13472" t="s">
        <v>846</v>
      </c>
      <c r="H13472">
        <v>31210</v>
      </c>
      <c r="I13472" t="s">
        <v>30</v>
      </c>
      <c r="J13472" t="s">
        <v>41</v>
      </c>
      <c r="K13472" t="s">
        <v>59</v>
      </c>
      <c r="Q13472">
        <v>0</v>
      </c>
      <c r="R13472">
        <v>50</v>
      </c>
      <c r="S13472">
        <v>50</v>
      </c>
      <c r="T13472" t="s">
        <v>47800</v>
      </c>
    </row>
    <row r="13473" spans="1:20" customFormat="1" ht="15" x14ac:dyDescent="0.25">
      <c r="A13473" t="s">
        <v>35</v>
      </c>
      <c r="B13473" t="s">
        <v>61</v>
      </c>
      <c r="C13473" t="str">
        <f>"A0128758"</f>
        <v>A0128758</v>
      </c>
      <c r="D13473" t="s">
        <v>47801</v>
      </c>
      <c r="E13473" t="s">
        <v>47802</v>
      </c>
      <c r="F13473" t="s">
        <v>47803</v>
      </c>
      <c r="G13473" t="s">
        <v>1170</v>
      </c>
      <c r="H13473">
        <v>70764</v>
      </c>
      <c r="I13473" t="s">
        <v>30</v>
      </c>
      <c r="J13473" t="s">
        <v>41</v>
      </c>
      <c r="K13473" t="s">
        <v>229</v>
      </c>
      <c r="Q13473">
        <v>0</v>
      </c>
      <c r="R13473">
        <v>150</v>
      </c>
      <c r="S13473">
        <v>150</v>
      </c>
      <c r="T13473" t="s">
        <v>47804</v>
      </c>
    </row>
    <row r="13474" spans="1:20" customFormat="1" ht="15" x14ac:dyDescent="0.25">
      <c r="A13474" t="s">
        <v>35</v>
      </c>
      <c r="B13474" t="s">
        <v>61</v>
      </c>
      <c r="C13474" t="str">
        <f>"A0124282"</f>
        <v>A0124282</v>
      </c>
      <c r="D13474" t="s">
        <v>47805</v>
      </c>
      <c r="E13474" t="s">
        <v>47806</v>
      </c>
      <c r="F13474" t="s">
        <v>7549</v>
      </c>
      <c r="G13474" t="s">
        <v>289</v>
      </c>
      <c r="H13474">
        <v>60077</v>
      </c>
      <c r="I13474" t="s">
        <v>30</v>
      </c>
      <c r="J13474" t="s">
        <v>41</v>
      </c>
      <c r="K13474" t="s">
        <v>59</v>
      </c>
      <c r="Q13474">
        <v>0</v>
      </c>
      <c r="R13474">
        <v>1</v>
      </c>
      <c r="S13474">
        <v>1</v>
      </c>
      <c r="T13474" t="s">
        <v>47807</v>
      </c>
    </row>
    <row r="13475" spans="1:20" customFormat="1" ht="15" x14ac:dyDescent="0.25">
      <c r="A13475" t="s">
        <v>35</v>
      </c>
      <c r="B13475" t="s">
        <v>61</v>
      </c>
      <c r="C13475" t="str">
        <f>"A0125173"</f>
        <v>A0125173</v>
      </c>
      <c r="D13475" t="s">
        <v>47808</v>
      </c>
      <c r="E13475" t="s">
        <v>47809</v>
      </c>
      <c r="F13475" t="s">
        <v>17235</v>
      </c>
      <c r="G13475" t="s">
        <v>40</v>
      </c>
      <c r="H13475">
        <v>73501</v>
      </c>
      <c r="I13475" t="s">
        <v>30</v>
      </c>
      <c r="J13475" t="s">
        <v>41</v>
      </c>
      <c r="K13475" t="s">
        <v>391</v>
      </c>
      <c r="Q13475">
        <v>0</v>
      </c>
      <c r="R13475">
        <v>1</v>
      </c>
      <c r="S13475">
        <v>1</v>
      </c>
      <c r="T13475" t="s">
        <v>47810</v>
      </c>
    </row>
    <row r="13476" spans="1:20" customFormat="1" ht="15" x14ac:dyDescent="0.25">
      <c r="A13476" t="s">
        <v>35</v>
      </c>
      <c r="B13476" t="s">
        <v>3381</v>
      </c>
      <c r="C13476" t="str">
        <f>"A0126635"</f>
        <v>A0126635</v>
      </c>
      <c r="D13476" t="s">
        <v>47811</v>
      </c>
      <c r="E13476" t="s">
        <v>47812</v>
      </c>
      <c r="F13476" t="s">
        <v>47813</v>
      </c>
      <c r="G13476" t="s">
        <v>103</v>
      </c>
      <c r="H13476">
        <v>17402</v>
      </c>
      <c r="I13476" t="s">
        <v>30</v>
      </c>
      <c r="J13476" t="s">
        <v>41</v>
      </c>
      <c r="K13476" t="s">
        <v>229</v>
      </c>
      <c r="Q13476">
        <v>0</v>
      </c>
      <c r="R13476">
        <v>375</v>
      </c>
      <c r="S13476">
        <v>375</v>
      </c>
      <c r="T13476" t="s">
        <v>47814</v>
      </c>
    </row>
    <row r="13477" spans="1:20" customFormat="1" ht="15" x14ac:dyDescent="0.25">
      <c r="A13477" t="s">
        <v>35</v>
      </c>
      <c r="B13477" t="s">
        <v>61</v>
      </c>
      <c r="C13477" t="str">
        <f>"A0132704"</f>
        <v>A0132704</v>
      </c>
      <c r="D13477" t="s">
        <v>47815</v>
      </c>
      <c r="E13477" t="s">
        <v>47816</v>
      </c>
      <c r="F13477" t="s">
        <v>47817</v>
      </c>
      <c r="G13477" t="s">
        <v>65</v>
      </c>
      <c r="H13477">
        <v>44864</v>
      </c>
      <c r="I13477" t="s">
        <v>30</v>
      </c>
      <c r="J13477" t="s">
        <v>41</v>
      </c>
      <c r="K13477" t="s">
        <v>42</v>
      </c>
      <c r="Q13477">
        <v>0</v>
      </c>
      <c r="R13477">
        <v>0</v>
      </c>
      <c r="S13477">
        <v>0</v>
      </c>
      <c r="T13477" t="s">
        <v>47818</v>
      </c>
    </row>
    <row r="13478" spans="1:20" customFormat="1" ht="15" x14ac:dyDescent="0.25">
      <c r="A13478" t="s">
        <v>35</v>
      </c>
      <c r="B13478" t="s">
        <v>61</v>
      </c>
      <c r="C13478" t="str">
        <f>"A0130905"</f>
        <v>A0130905</v>
      </c>
      <c r="D13478" t="s">
        <v>47819</v>
      </c>
      <c r="E13478" t="s">
        <v>47820</v>
      </c>
      <c r="F13478" t="s">
        <v>47821</v>
      </c>
      <c r="G13478" t="s">
        <v>85</v>
      </c>
      <c r="H13478">
        <v>71822</v>
      </c>
      <c r="I13478" t="s">
        <v>30</v>
      </c>
      <c r="J13478" t="s">
        <v>41</v>
      </c>
      <c r="K13478" t="s">
        <v>229</v>
      </c>
      <c r="Q13478">
        <v>0</v>
      </c>
      <c r="R13478">
        <v>78</v>
      </c>
      <c r="S13478">
        <v>78</v>
      </c>
      <c r="T13478" t="s">
        <v>47822</v>
      </c>
    </row>
    <row r="13479" spans="1:20" customFormat="1" ht="15" x14ac:dyDescent="0.25">
      <c r="A13479" t="s">
        <v>35</v>
      </c>
      <c r="B13479" t="s">
        <v>61</v>
      </c>
      <c r="C13479" t="str">
        <f>"A0129160"</f>
        <v>A0129160</v>
      </c>
      <c r="D13479" t="s">
        <v>47823</v>
      </c>
      <c r="E13479" t="s">
        <v>47824</v>
      </c>
      <c r="F13479" t="s">
        <v>10252</v>
      </c>
      <c r="G13479" t="s">
        <v>289</v>
      </c>
      <c r="H13479">
        <v>62629</v>
      </c>
      <c r="I13479" t="s">
        <v>30</v>
      </c>
      <c r="J13479" t="s">
        <v>41</v>
      </c>
      <c r="K13479" t="s">
        <v>391</v>
      </c>
      <c r="Q13479">
        <v>0</v>
      </c>
      <c r="R13479">
        <v>0</v>
      </c>
      <c r="S13479">
        <v>0</v>
      </c>
      <c r="T13479" t="s">
        <v>47825</v>
      </c>
    </row>
    <row r="13480" spans="1:20" customFormat="1" ht="15" x14ac:dyDescent="0.25">
      <c r="A13480" t="s">
        <v>35</v>
      </c>
      <c r="B13480" t="s">
        <v>61</v>
      </c>
      <c r="C13480" t="str">
        <f>"A0131892"</f>
        <v>A0131892</v>
      </c>
      <c r="D13480" t="s">
        <v>47826</v>
      </c>
      <c r="E13480" t="s">
        <v>47827</v>
      </c>
      <c r="F13480" t="s">
        <v>47828</v>
      </c>
      <c r="G13480" t="s">
        <v>65</v>
      </c>
      <c r="H13480">
        <v>442030000</v>
      </c>
      <c r="I13480" t="s">
        <v>30</v>
      </c>
      <c r="J13480" t="s">
        <v>41</v>
      </c>
      <c r="K13480" t="s">
        <v>59</v>
      </c>
      <c r="Q13480">
        <v>0</v>
      </c>
      <c r="R13480">
        <v>50</v>
      </c>
      <c r="S13480">
        <v>50</v>
      </c>
      <c r="T13480" t="s">
        <v>47829</v>
      </c>
    </row>
    <row r="13481" spans="1:20" customFormat="1" ht="15" x14ac:dyDescent="0.25">
      <c r="A13481" t="s">
        <v>35</v>
      </c>
      <c r="B13481" t="s">
        <v>61</v>
      </c>
      <c r="C13481" t="str">
        <f>"A0125249"</f>
        <v>A0125249</v>
      </c>
      <c r="D13481" t="s">
        <v>47830</v>
      </c>
      <c r="E13481" t="s">
        <v>47831</v>
      </c>
      <c r="F13481" t="s">
        <v>31924</v>
      </c>
      <c r="G13481" t="s">
        <v>40</v>
      </c>
      <c r="H13481">
        <v>744030000</v>
      </c>
      <c r="I13481" t="s">
        <v>30</v>
      </c>
      <c r="J13481" t="s">
        <v>41</v>
      </c>
      <c r="K13481" t="s">
        <v>229</v>
      </c>
      <c r="Q13481">
        <v>0</v>
      </c>
      <c r="R13481">
        <v>81</v>
      </c>
      <c r="S13481">
        <v>81</v>
      </c>
      <c r="T13481" t="s">
        <v>47832</v>
      </c>
    </row>
    <row r="13482" spans="1:20" customFormat="1" ht="15" x14ac:dyDescent="0.25">
      <c r="A13482" t="s">
        <v>35</v>
      </c>
      <c r="B13482" t="s">
        <v>61</v>
      </c>
      <c r="C13482" t="str">
        <f>"A0130348"</f>
        <v>A0130348</v>
      </c>
      <c r="D13482" t="s">
        <v>47833</v>
      </c>
      <c r="E13482" t="s">
        <v>47834</v>
      </c>
      <c r="F13482" t="s">
        <v>566</v>
      </c>
      <c r="G13482" t="s">
        <v>1898</v>
      </c>
      <c r="H13482">
        <v>51063</v>
      </c>
      <c r="I13482" t="s">
        <v>30</v>
      </c>
      <c r="J13482" t="s">
        <v>41</v>
      </c>
      <c r="K13482" t="s">
        <v>229</v>
      </c>
      <c r="Q13482">
        <v>0</v>
      </c>
      <c r="R13482">
        <v>106</v>
      </c>
      <c r="S13482">
        <v>106</v>
      </c>
      <c r="T13482" t="s">
        <v>47835</v>
      </c>
    </row>
    <row r="13483" spans="1:20" customFormat="1" ht="15" x14ac:dyDescent="0.25">
      <c r="A13483" t="s">
        <v>35</v>
      </c>
      <c r="B13483" t="s">
        <v>61</v>
      </c>
      <c r="C13483" t="str">
        <f>"A0132652"</f>
        <v>A0132652</v>
      </c>
      <c r="D13483" t="s">
        <v>47836</v>
      </c>
      <c r="E13483" t="s">
        <v>47837</v>
      </c>
      <c r="F13483" t="s">
        <v>47828</v>
      </c>
      <c r="G13483" t="s">
        <v>65</v>
      </c>
      <c r="H13483">
        <v>442030000</v>
      </c>
      <c r="I13483" t="s">
        <v>30</v>
      </c>
      <c r="J13483" t="s">
        <v>41</v>
      </c>
      <c r="K13483" t="s">
        <v>229</v>
      </c>
      <c r="Q13483">
        <v>0</v>
      </c>
      <c r="R13483">
        <v>48</v>
      </c>
      <c r="S13483">
        <v>48</v>
      </c>
      <c r="T13483" t="s">
        <v>47838</v>
      </c>
    </row>
    <row r="13484" spans="1:20" customFormat="1" ht="15" x14ac:dyDescent="0.25">
      <c r="A13484" t="s">
        <v>35</v>
      </c>
      <c r="B13484" t="s">
        <v>61</v>
      </c>
      <c r="C13484" t="str">
        <f>"A0130391"</f>
        <v>A0130391</v>
      </c>
      <c r="D13484" t="s">
        <v>47839</v>
      </c>
      <c r="E13484" t="s">
        <v>47840</v>
      </c>
      <c r="F13484" t="s">
        <v>47841</v>
      </c>
      <c r="G13484" t="s">
        <v>1898</v>
      </c>
      <c r="H13484">
        <v>505100000</v>
      </c>
      <c r="I13484" t="s">
        <v>30</v>
      </c>
      <c r="J13484" t="s">
        <v>41</v>
      </c>
      <c r="K13484" t="s">
        <v>229</v>
      </c>
      <c r="Q13484">
        <v>0</v>
      </c>
      <c r="R13484">
        <v>50</v>
      </c>
      <c r="S13484">
        <v>50</v>
      </c>
      <c r="T13484" t="s">
        <v>47842</v>
      </c>
    </row>
    <row r="13485" spans="1:20" customFormat="1" ht="15" x14ac:dyDescent="0.25">
      <c r="A13485" t="s">
        <v>35</v>
      </c>
      <c r="B13485" t="s">
        <v>61</v>
      </c>
      <c r="C13485" t="str">
        <f>"A0124283"</f>
        <v>A0124283</v>
      </c>
      <c r="D13485" t="s">
        <v>47843</v>
      </c>
      <c r="E13485" t="s">
        <v>47844</v>
      </c>
      <c r="F13485" t="s">
        <v>11972</v>
      </c>
      <c r="G13485" t="s">
        <v>103</v>
      </c>
      <c r="H13485">
        <v>17545</v>
      </c>
      <c r="I13485" t="s">
        <v>30</v>
      </c>
      <c r="J13485" t="s">
        <v>41</v>
      </c>
      <c r="K13485" t="s">
        <v>59</v>
      </c>
      <c r="Q13485">
        <v>0</v>
      </c>
      <c r="R13485">
        <v>180</v>
      </c>
      <c r="S13485">
        <v>180</v>
      </c>
      <c r="T13485" t="s">
        <v>47845</v>
      </c>
    </row>
    <row r="13486" spans="1:20" customFormat="1" ht="15" x14ac:dyDescent="0.25">
      <c r="A13486" t="s">
        <v>35</v>
      </c>
      <c r="B13486" t="s">
        <v>61</v>
      </c>
      <c r="C13486" t="str">
        <f>"A0124327"</f>
        <v>A0124327</v>
      </c>
      <c r="D13486" t="s">
        <v>47846</v>
      </c>
      <c r="E13486" t="s">
        <v>47844</v>
      </c>
      <c r="F13486" t="s">
        <v>11972</v>
      </c>
      <c r="G13486" t="s">
        <v>103</v>
      </c>
      <c r="H13486">
        <v>17545</v>
      </c>
      <c r="I13486" t="s">
        <v>30</v>
      </c>
      <c r="J13486" t="s">
        <v>41</v>
      </c>
      <c r="K13486" t="s">
        <v>59</v>
      </c>
      <c r="Q13486">
        <v>0</v>
      </c>
      <c r="R13486">
        <v>95</v>
      </c>
      <c r="S13486">
        <v>95</v>
      </c>
      <c r="T13486" t="s">
        <v>47845</v>
      </c>
    </row>
    <row r="13487" spans="1:20" customFormat="1" ht="15" x14ac:dyDescent="0.25">
      <c r="A13487" t="s">
        <v>35</v>
      </c>
      <c r="B13487" t="s">
        <v>61</v>
      </c>
      <c r="C13487" t="str">
        <f>"A0130111"</f>
        <v>A0130111</v>
      </c>
      <c r="D13487" t="s">
        <v>47847</v>
      </c>
      <c r="E13487" t="s">
        <v>47848</v>
      </c>
      <c r="F13487" t="s">
        <v>47849</v>
      </c>
      <c r="G13487" t="s">
        <v>1898</v>
      </c>
      <c r="H13487">
        <v>52247</v>
      </c>
      <c r="I13487" t="s">
        <v>30</v>
      </c>
      <c r="J13487" t="s">
        <v>41</v>
      </c>
      <c r="K13487" t="s">
        <v>229</v>
      </c>
      <c r="Q13487">
        <v>0</v>
      </c>
      <c r="R13487">
        <v>80</v>
      </c>
      <c r="S13487">
        <v>80</v>
      </c>
      <c r="T13487" t="s">
        <v>47850</v>
      </c>
    </row>
    <row r="13488" spans="1:20" customFormat="1" ht="15" x14ac:dyDescent="0.25">
      <c r="A13488" t="s">
        <v>35</v>
      </c>
      <c r="B13488" t="s">
        <v>61</v>
      </c>
      <c r="C13488" t="str">
        <f>"A0123918"</f>
        <v>A0123918</v>
      </c>
      <c r="D13488" t="s">
        <v>47851</v>
      </c>
      <c r="E13488" t="s">
        <v>47852</v>
      </c>
      <c r="F13488" t="s">
        <v>5050</v>
      </c>
      <c r="G13488" t="s">
        <v>214</v>
      </c>
      <c r="H13488">
        <v>27962</v>
      </c>
      <c r="I13488" t="s">
        <v>30</v>
      </c>
      <c r="J13488" t="s">
        <v>41</v>
      </c>
      <c r="K13488" t="s">
        <v>229</v>
      </c>
      <c r="Q13488">
        <v>0</v>
      </c>
      <c r="R13488">
        <v>114</v>
      </c>
      <c r="S13488">
        <v>114</v>
      </c>
      <c r="T13488" t="s">
        <v>47853</v>
      </c>
    </row>
    <row r="13489" spans="1:20" customFormat="1" ht="15" x14ac:dyDescent="0.25">
      <c r="A13489" t="s">
        <v>35</v>
      </c>
      <c r="B13489" t="s">
        <v>61</v>
      </c>
      <c r="C13489" t="str">
        <f>"A0132036"</f>
        <v>A0132036</v>
      </c>
      <c r="D13489" t="s">
        <v>47854</v>
      </c>
      <c r="E13489" t="s">
        <v>47855</v>
      </c>
      <c r="F13489" t="s">
        <v>29438</v>
      </c>
      <c r="G13489" t="s">
        <v>65</v>
      </c>
      <c r="H13489">
        <v>442120000</v>
      </c>
      <c r="I13489" t="s">
        <v>30</v>
      </c>
      <c r="J13489" t="s">
        <v>41</v>
      </c>
      <c r="K13489" t="s">
        <v>59</v>
      </c>
      <c r="Q13489">
        <v>0</v>
      </c>
      <c r="R13489">
        <v>58</v>
      </c>
      <c r="S13489">
        <v>58</v>
      </c>
    </row>
    <row r="13490" spans="1:20" customFormat="1" ht="15" x14ac:dyDescent="0.25">
      <c r="A13490" t="s">
        <v>35</v>
      </c>
      <c r="B13490" t="s">
        <v>61</v>
      </c>
      <c r="C13490" t="str">
        <f>"A0126795"</f>
        <v>A0126795</v>
      </c>
      <c r="D13490" t="s">
        <v>47856</v>
      </c>
      <c r="E13490" t="s">
        <v>47857</v>
      </c>
      <c r="F13490" t="s">
        <v>29659</v>
      </c>
      <c r="G13490" t="s">
        <v>103</v>
      </c>
      <c r="H13490">
        <v>19086</v>
      </c>
      <c r="I13490" t="s">
        <v>30</v>
      </c>
      <c r="J13490" t="s">
        <v>41</v>
      </c>
      <c r="K13490" t="s">
        <v>59</v>
      </c>
      <c r="Q13490">
        <v>0</v>
      </c>
      <c r="R13490">
        <v>124</v>
      </c>
      <c r="S13490">
        <v>124</v>
      </c>
      <c r="T13490" t="s">
        <v>47858</v>
      </c>
    </row>
    <row r="13491" spans="1:20" customFormat="1" ht="15" x14ac:dyDescent="0.25">
      <c r="A13491" t="s">
        <v>35</v>
      </c>
      <c r="B13491" t="s">
        <v>61</v>
      </c>
      <c r="C13491" t="str">
        <f>"A0125211"</f>
        <v>A0125211</v>
      </c>
      <c r="D13491" t="s">
        <v>47859</v>
      </c>
      <c r="E13491" t="s">
        <v>47860</v>
      </c>
      <c r="F13491" t="s">
        <v>47861</v>
      </c>
      <c r="G13491" t="s">
        <v>40</v>
      </c>
      <c r="H13491">
        <v>74902</v>
      </c>
      <c r="I13491" t="s">
        <v>30</v>
      </c>
      <c r="J13491" t="s">
        <v>41</v>
      </c>
      <c r="K13491" t="s">
        <v>229</v>
      </c>
      <c r="Q13491">
        <v>0</v>
      </c>
      <c r="R13491">
        <v>90</v>
      </c>
      <c r="S13491">
        <v>90</v>
      </c>
      <c r="T13491" t="s">
        <v>47862</v>
      </c>
    </row>
    <row r="13492" spans="1:20" customFormat="1" ht="15" x14ac:dyDescent="0.25">
      <c r="A13492" t="s">
        <v>35</v>
      </c>
      <c r="B13492" t="s">
        <v>437</v>
      </c>
      <c r="C13492" t="str">
        <f>"A0134056"</f>
        <v>A0134056</v>
      </c>
      <c r="D13492" t="s">
        <v>47863</v>
      </c>
      <c r="E13492" t="s">
        <v>47864</v>
      </c>
      <c r="F13492" t="s">
        <v>33716</v>
      </c>
      <c r="G13492" t="s">
        <v>110</v>
      </c>
      <c r="H13492">
        <v>92629</v>
      </c>
      <c r="I13492" t="s">
        <v>30</v>
      </c>
      <c r="J13492" t="s">
        <v>441</v>
      </c>
      <c r="K13492" t="s">
        <v>442</v>
      </c>
      <c r="Q13492">
        <v>0</v>
      </c>
      <c r="R13492">
        <v>0</v>
      </c>
      <c r="S13492">
        <v>0</v>
      </c>
      <c r="T13492" t="s">
        <v>47865</v>
      </c>
    </row>
    <row r="13493" spans="1:20" customFormat="1" ht="15" x14ac:dyDescent="0.25">
      <c r="A13493" t="s">
        <v>35</v>
      </c>
      <c r="B13493" t="s">
        <v>61</v>
      </c>
      <c r="C13493" t="str">
        <f>"A0132333"</f>
        <v>A0132333</v>
      </c>
      <c r="D13493" t="s">
        <v>47866</v>
      </c>
      <c r="E13493" t="s">
        <v>47867</v>
      </c>
      <c r="F13493" t="s">
        <v>47868</v>
      </c>
      <c r="G13493" t="s">
        <v>65</v>
      </c>
      <c r="H13493">
        <v>43223</v>
      </c>
      <c r="I13493" t="s">
        <v>30</v>
      </c>
      <c r="J13493" t="s">
        <v>41</v>
      </c>
      <c r="K13493" t="s">
        <v>66</v>
      </c>
      <c r="Q13493">
        <v>0</v>
      </c>
      <c r="R13493">
        <v>70</v>
      </c>
      <c r="S13493">
        <v>70</v>
      </c>
      <c r="T13493" t="s">
        <v>47869</v>
      </c>
    </row>
    <row r="13494" spans="1:20" customFormat="1" ht="15" x14ac:dyDescent="0.25">
      <c r="A13494" t="s">
        <v>35</v>
      </c>
      <c r="B13494" t="s">
        <v>61</v>
      </c>
      <c r="C13494" t="str">
        <f>"A0119083"</f>
        <v>A0119083</v>
      </c>
      <c r="D13494" t="s">
        <v>47870</v>
      </c>
      <c r="E13494" t="s">
        <v>47871</v>
      </c>
      <c r="F13494" t="s">
        <v>47872</v>
      </c>
      <c r="G13494" t="s">
        <v>110</v>
      </c>
      <c r="H13494">
        <v>95682</v>
      </c>
      <c r="I13494" t="s">
        <v>30</v>
      </c>
      <c r="J13494" t="s">
        <v>41</v>
      </c>
      <c r="K13494" t="s">
        <v>2477</v>
      </c>
      <c r="Q13494">
        <v>0</v>
      </c>
      <c r="R13494">
        <v>1</v>
      </c>
      <c r="S13494">
        <v>1</v>
      </c>
      <c r="T13494" t="s">
        <v>47873</v>
      </c>
    </row>
    <row r="13495" spans="1:20" customFormat="1" ht="15" x14ac:dyDescent="0.25">
      <c r="A13495" t="s">
        <v>35</v>
      </c>
      <c r="B13495" t="s">
        <v>61</v>
      </c>
      <c r="C13495" t="str">
        <f>"A0130099"</f>
        <v>A0130099</v>
      </c>
      <c r="D13495" t="s">
        <v>47874</v>
      </c>
      <c r="E13495" t="s">
        <v>47875</v>
      </c>
      <c r="F13495" t="s">
        <v>6278</v>
      </c>
      <c r="G13495" t="s">
        <v>880</v>
      </c>
      <c r="H13495">
        <v>38344</v>
      </c>
      <c r="I13495" t="s">
        <v>30</v>
      </c>
      <c r="J13495" t="s">
        <v>41</v>
      </c>
      <c r="K13495" t="s">
        <v>418</v>
      </c>
      <c r="Q13495">
        <v>0</v>
      </c>
      <c r="R13495">
        <v>0</v>
      </c>
      <c r="S13495">
        <v>0</v>
      </c>
      <c r="T13495" t="s">
        <v>47876</v>
      </c>
    </row>
    <row r="13496" spans="1:20" customFormat="1" ht="15" x14ac:dyDescent="0.25">
      <c r="A13496" t="s">
        <v>35</v>
      </c>
      <c r="B13496" t="s">
        <v>61</v>
      </c>
      <c r="C13496" t="str">
        <f>"A0123556"</f>
        <v>A0123556</v>
      </c>
      <c r="D13496" t="s">
        <v>47877</v>
      </c>
      <c r="E13496" t="s">
        <v>47878</v>
      </c>
      <c r="F13496" t="s">
        <v>24124</v>
      </c>
      <c r="G13496" t="s">
        <v>29</v>
      </c>
      <c r="H13496">
        <v>23805</v>
      </c>
      <c r="I13496" t="s">
        <v>30</v>
      </c>
      <c r="J13496" t="s">
        <v>41</v>
      </c>
      <c r="K13496" t="s">
        <v>59</v>
      </c>
      <c r="Q13496">
        <v>0</v>
      </c>
      <c r="R13496">
        <v>200</v>
      </c>
      <c r="S13496">
        <v>200</v>
      </c>
      <c r="T13496" t="s">
        <v>47879</v>
      </c>
    </row>
    <row r="13497" spans="1:20" customFormat="1" ht="15" x14ac:dyDescent="0.25">
      <c r="A13497" t="s">
        <v>35</v>
      </c>
      <c r="B13497" t="s">
        <v>106</v>
      </c>
      <c r="C13497" t="str">
        <f>"A0135701"</f>
        <v>A0135701</v>
      </c>
      <c r="D13497" t="s">
        <v>47880</v>
      </c>
      <c r="E13497" t="s">
        <v>47881</v>
      </c>
      <c r="F13497" t="s">
        <v>1431</v>
      </c>
      <c r="G13497" t="s">
        <v>47</v>
      </c>
      <c r="H13497">
        <v>972190000</v>
      </c>
      <c r="I13497" t="s">
        <v>30</v>
      </c>
      <c r="J13497" t="s">
        <v>111</v>
      </c>
      <c r="K13497" t="s">
        <v>112</v>
      </c>
      <c r="Q13497">
        <v>0</v>
      </c>
      <c r="R13497">
        <v>0</v>
      </c>
      <c r="S13497">
        <v>0</v>
      </c>
      <c r="T13497" t="s">
        <v>47882</v>
      </c>
    </row>
    <row r="13498" spans="1:20" customFormat="1" ht="15" x14ac:dyDescent="0.25">
      <c r="A13498" t="s">
        <v>35</v>
      </c>
      <c r="B13498" t="s">
        <v>106</v>
      </c>
      <c r="C13498" t="str">
        <f>"A0135700"</f>
        <v>A0135700</v>
      </c>
      <c r="D13498" t="s">
        <v>47883</v>
      </c>
      <c r="E13498" t="s">
        <v>47881</v>
      </c>
      <c r="F13498" t="s">
        <v>1431</v>
      </c>
      <c r="G13498" t="s">
        <v>47</v>
      </c>
      <c r="H13498">
        <v>97219</v>
      </c>
      <c r="I13498" t="s">
        <v>30</v>
      </c>
      <c r="J13498" t="s">
        <v>111</v>
      </c>
      <c r="K13498" t="s">
        <v>112</v>
      </c>
      <c r="Q13498">
        <v>0</v>
      </c>
      <c r="R13498">
        <v>0</v>
      </c>
      <c r="S13498">
        <v>0</v>
      </c>
      <c r="T13498" t="s">
        <v>47882</v>
      </c>
    </row>
    <row r="13499" spans="1:20" customFormat="1" ht="15" x14ac:dyDescent="0.25">
      <c r="A13499" t="s">
        <v>35</v>
      </c>
      <c r="B13499" t="s">
        <v>106</v>
      </c>
      <c r="C13499" t="str">
        <f>"A0135697"</f>
        <v>A0135697</v>
      </c>
      <c r="D13499" t="s">
        <v>47884</v>
      </c>
      <c r="E13499" t="s">
        <v>47885</v>
      </c>
      <c r="F13499" t="s">
        <v>1431</v>
      </c>
      <c r="G13499" t="s">
        <v>47</v>
      </c>
      <c r="H13499">
        <v>87217</v>
      </c>
      <c r="I13499" t="s">
        <v>30</v>
      </c>
      <c r="J13499" t="s">
        <v>111</v>
      </c>
      <c r="K13499" t="s">
        <v>10012</v>
      </c>
      <c r="Q13499">
        <v>0</v>
      </c>
      <c r="R13499">
        <v>0</v>
      </c>
      <c r="S13499">
        <v>0</v>
      </c>
      <c r="T13499" t="s">
        <v>47882</v>
      </c>
    </row>
    <row r="13500" spans="1:20" customFormat="1" ht="15" x14ac:dyDescent="0.25">
      <c r="A13500" t="s">
        <v>35</v>
      </c>
      <c r="B13500" t="s">
        <v>106</v>
      </c>
      <c r="C13500" t="str">
        <f>"A0135698"</f>
        <v>A0135698</v>
      </c>
      <c r="D13500" t="s">
        <v>47886</v>
      </c>
      <c r="E13500" t="s">
        <v>47887</v>
      </c>
      <c r="F13500" t="s">
        <v>1431</v>
      </c>
      <c r="G13500" t="s">
        <v>47</v>
      </c>
      <c r="H13500">
        <v>97219</v>
      </c>
      <c r="I13500" t="s">
        <v>30</v>
      </c>
      <c r="J13500" t="s">
        <v>111</v>
      </c>
      <c r="K13500" t="s">
        <v>10012</v>
      </c>
      <c r="Q13500">
        <v>0</v>
      </c>
      <c r="R13500">
        <v>0</v>
      </c>
      <c r="S13500">
        <v>0</v>
      </c>
      <c r="T13500" t="s">
        <v>47888</v>
      </c>
    </row>
    <row r="13501" spans="1:20" customFormat="1" ht="15" x14ac:dyDescent="0.25">
      <c r="A13501" t="s">
        <v>35</v>
      </c>
      <c r="B13501" t="s">
        <v>106</v>
      </c>
      <c r="C13501" t="str">
        <f>"A0135699"</f>
        <v>A0135699</v>
      </c>
      <c r="D13501" t="s">
        <v>47889</v>
      </c>
      <c r="E13501" t="s">
        <v>47890</v>
      </c>
      <c r="F13501" t="s">
        <v>1431</v>
      </c>
      <c r="G13501" t="s">
        <v>47</v>
      </c>
      <c r="H13501">
        <v>97229</v>
      </c>
      <c r="I13501" t="s">
        <v>30</v>
      </c>
      <c r="J13501" t="s">
        <v>111</v>
      </c>
      <c r="K13501" t="s">
        <v>10012</v>
      </c>
      <c r="Q13501">
        <v>0</v>
      </c>
      <c r="R13501">
        <v>0</v>
      </c>
      <c r="S13501">
        <v>0</v>
      </c>
      <c r="T13501" t="s">
        <v>47882</v>
      </c>
    </row>
    <row r="13502" spans="1:20" customFormat="1" ht="15" x14ac:dyDescent="0.25">
      <c r="A13502" t="s">
        <v>35</v>
      </c>
      <c r="B13502" t="s">
        <v>106</v>
      </c>
      <c r="C13502" t="str">
        <f>"A0135696"</f>
        <v>A0135696</v>
      </c>
      <c r="D13502" t="s">
        <v>47891</v>
      </c>
      <c r="E13502" t="s">
        <v>47892</v>
      </c>
      <c r="F13502" t="s">
        <v>1431</v>
      </c>
      <c r="G13502" t="s">
        <v>47</v>
      </c>
      <c r="H13502">
        <v>97219</v>
      </c>
      <c r="I13502" t="s">
        <v>30</v>
      </c>
      <c r="J13502" t="s">
        <v>111</v>
      </c>
      <c r="K13502" t="s">
        <v>10012</v>
      </c>
      <c r="Q13502">
        <v>0</v>
      </c>
      <c r="R13502">
        <v>0</v>
      </c>
      <c r="S13502">
        <v>0</v>
      </c>
      <c r="T13502" t="s">
        <v>47882</v>
      </c>
    </row>
    <row r="13503" spans="1:20" customFormat="1" ht="15" x14ac:dyDescent="0.25">
      <c r="A13503" t="s">
        <v>35</v>
      </c>
      <c r="B13503" t="s">
        <v>61</v>
      </c>
      <c r="C13503" t="str">
        <f>"A0127562"</f>
        <v>A0127562</v>
      </c>
      <c r="D13503" t="s">
        <v>47893</v>
      </c>
      <c r="E13503" t="s">
        <v>47894</v>
      </c>
      <c r="F13503" t="s">
        <v>6152</v>
      </c>
      <c r="G13503" t="s">
        <v>123</v>
      </c>
      <c r="H13503">
        <v>20850</v>
      </c>
      <c r="I13503" t="s">
        <v>30</v>
      </c>
      <c r="J13503" t="s">
        <v>41</v>
      </c>
      <c r="K13503" t="s">
        <v>229</v>
      </c>
      <c r="Q13503">
        <v>0</v>
      </c>
      <c r="R13503">
        <v>175</v>
      </c>
      <c r="S13503">
        <v>175</v>
      </c>
      <c r="T13503" t="s">
        <v>47895</v>
      </c>
    </row>
    <row r="13504" spans="1:20" customFormat="1" ht="15" x14ac:dyDescent="0.25">
      <c r="A13504" t="s">
        <v>35</v>
      </c>
      <c r="B13504" t="s">
        <v>61</v>
      </c>
      <c r="C13504" t="str">
        <f>"A0128680"</f>
        <v>A0128680</v>
      </c>
      <c r="D13504" t="s">
        <v>47896</v>
      </c>
      <c r="E13504" t="s">
        <v>47897</v>
      </c>
      <c r="F13504" t="s">
        <v>7095</v>
      </c>
      <c r="G13504" t="s">
        <v>1170</v>
      </c>
      <c r="H13504">
        <v>701150000</v>
      </c>
      <c r="I13504" t="s">
        <v>30</v>
      </c>
      <c r="J13504" t="s">
        <v>41</v>
      </c>
      <c r="K13504" t="s">
        <v>229</v>
      </c>
      <c r="Q13504">
        <v>0</v>
      </c>
      <c r="R13504">
        <v>54</v>
      </c>
      <c r="S13504">
        <v>54</v>
      </c>
      <c r="T13504" t="s">
        <v>47898</v>
      </c>
    </row>
    <row r="13505" spans="1:20" customFormat="1" ht="15" x14ac:dyDescent="0.25">
      <c r="A13505" t="s">
        <v>35</v>
      </c>
      <c r="B13505" t="s">
        <v>61</v>
      </c>
      <c r="C13505" t="str">
        <f>"A0133736"</f>
        <v>A0133736</v>
      </c>
      <c r="D13505" t="s">
        <v>47899</v>
      </c>
      <c r="E13505" t="s">
        <v>47900</v>
      </c>
      <c r="F13505" t="s">
        <v>47901</v>
      </c>
      <c r="G13505" t="s">
        <v>52</v>
      </c>
      <c r="H13505">
        <v>79035</v>
      </c>
      <c r="I13505" t="s">
        <v>30</v>
      </c>
      <c r="J13505" t="s">
        <v>41</v>
      </c>
      <c r="K13505" t="s">
        <v>229</v>
      </c>
      <c r="Q13505">
        <v>0</v>
      </c>
      <c r="R13505">
        <v>83</v>
      </c>
      <c r="S13505">
        <v>83</v>
      </c>
      <c r="T13505" t="s">
        <v>47902</v>
      </c>
    </row>
    <row r="13506" spans="1:20" customFormat="1" ht="15" x14ac:dyDescent="0.25">
      <c r="A13506" t="s">
        <v>35</v>
      </c>
      <c r="B13506" t="s">
        <v>61</v>
      </c>
      <c r="C13506" t="str">
        <f>"A0131023"</f>
        <v>A0131023</v>
      </c>
      <c r="D13506" t="s">
        <v>47903</v>
      </c>
      <c r="E13506" t="s">
        <v>47904</v>
      </c>
      <c r="F13506" t="s">
        <v>47905</v>
      </c>
      <c r="G13506" t="s">
        <v>85</v>
      </c>
      <c r="H13506">
        <v>727530000</v>
      </c>
      <c r="I13506" t="s">
        <v>30</v>
      </c>
      <c r="J13506" t="s">
        <v>41</v>
      </c>
      <c r="K13506" t="s">
        <v>2760</v>
      </c>
      <c r="Q13506">
        <v>0</v>
      </c>
      <c r="R13506">
        <v>1</v>
      </c>
      <c r="S13506">
        <v>1</v>
      </c>
      <c r="T13506" t="s">
        <v>47906</v>
      </c>
    </row>
    <row r="13507" spans="1:20" customFormat="1" ht="15" x14ac:dyDescent="0.25">
      <c r="A13507" t="s">
        <v>35</v>
      </c>
      <c r="B13507" t="s">
        <v>61</v>
      </c>
      <c r="C13507" t="str">
        <f>"A0130145"</f>
        <v>A0130145</v>
      </c>
      <c r="D13507" t="s">
        <v>47907</v>
      </c>
      <c r="E13507" t="s">
        <v>47908</v>
      </c>
      <c r="F13507" t="s">
        <v>19642</v>
      </c>
      <c r="G13507" t="s">
        <v>71</v>
      </c>
      <c r="H13507">
        <v>54952</v>
      </c>
      <c r="I13507" t="s">
        <v>30</v>
      </c>
      <c r="J13507" t="s">
        <v>41</v>
      </c>
      <c r="K13507" t="s">
        <v>59</v>
      </c>
      <c r="Q13507">
        <v>0</v>
      </c>
      <c r="R13507">
        <v>50</v>
      </c>
      <c r="S13507">
        <v>50</v>
      </c>
      <c r="T13507" t="s">
        <v>47909</v>
      </c>
    </row>
    <row r="13508" spans="1:20" customFormat="1" ht="15" x14ac:dyDescent="0.25">
      <c r="A13508" t="s">
        <v>35</v>
      </c>
      <c r="B13508" t="s">
        <v>61</v>
      </c>
      <c r="C13508" t="str">
        <f>"A0128756"</f>
        <v>A0128756</v>
      </c>
      <c r="D13508" t="s">
        <v>47910</v>
      </c>
      <c r="E13508" t="s">
        <v>47911</v>
      </c>
      <c r="F13508" t="s">
        <v>47912</v>
      </c>
      <c r="G13508" t="s">
        <v>1170</v>
      </c>
      <c r="H13508">
        <v>70576</v>
      </c>
      <c r="I13508" t="s">
        <v>30</v>
      </c>
      <c r="J13508" t="s">
        <v>41</v>
      </c>
      <c r="K13508" t="s">
        <v>229</v>
      </c>
      <c r="Q13508">
        <v>0</v>
      </c>
      <c r="R13508">
        <v>100</v>
      </c>
      <c r="S13508">
        <v>100</v>
      </c>
      <c r="T13508" t="s">
        <v>47913</v>
      </c>
    </row>
    <row r="13509" spans="1:20" customFormat="1" ht="15" x14ac:dyDescent="0.25">
      <c r="A13509" t="s">
        <v>35</v>
      </c>
      <c r="B13509" t="s">
        <v>61</v>
      </c>
      <c r="C13509" t="str">
        <f>"A0125454"</f>
        <v>A0125454</v>
      </c>
      <c r="D13509" t="s">
        <v>47914</v>
      </c>
      <c r="E13509" t="s">
        <v>47915</v>
      </c>
      <c r="F13509" t="s">
        <v>47916</v>
      </c>
      <c r="G13509" t="s">
        <v>40</v>
      </c>
      <c r="H13509">
        <v>74079</v>
      </c>
      <c r="I13509" t="s">
        <v>30</v>
      </c>
      <c r="J13509" t="s">
        <v>41</v>
      </c>
      <c r="K13509" t="s">
        <v>482</v>
      </c>
      <c r="Q13509">
        <v>0</v>
      </c>
      <c r="R13509">
        <v>26</v>
      </c>
      <c r="S13509">
        <v>26</v>
      </c>
      <c r="T13509" t="s">
        <v>47917</v>
      </c>
    </row>
    <row r="13510" spans="1:20" customFormat="1" ht="15" x14ac:dyDescent="0.25">
      <c r="A13510" t="s">
        <v>35</v>
      </c>
      <c r="B13510" t="s">
        <v>61</v>
      </c>
      <c r="C13510" t="str">
        <f>"A0122882"</f>
        <v>A0122882</v>
      </c>
      <c r="D13510" t="s">
        <v>47918</v>
      </c>
      <c r="E13510" t="s">
        <v>47919</v>
      </c>
      <c r="F13510" t="s">
        <v>36118</v>
      </c>
      <c r="G13510" t="s">
        <v>1184</v>
      </c>
      <c r="H13510">
        <v>59101</v>
      </c>
      <c r="I13510" t="s">
        <v>30</v>
      </c>
      <c r="J13510" t="s">
        <v>41</v>
      </c>
      <c r="K13510" t="s">
        <v>2477</v>
      </c>
      <c r="Q13510">
        <v>0</v>
      </c>
      <c r="R13510">
        <v>112</v>
      </c>
      <c r="S13510">
        <v>112</v>
      </c>
      <c r="T13510" t="s">
        <v>47920</v>
      </c>
    </row>
    <row r="13511" spans="1:20" customFormat="1" ht="15" x14ac:dyDescent="0.25">
      <c r="A13511" t="s">
        <v>35</v>
      </c>
      <c r="B13511" t="s">
        <v>61</v>
      </c>
      <c r="C13511" t="str">
        <f>"A0124247"</f>
        <v>A0124247</v>
      </c>
      <c r="D13511" t="s">
        <v>47921</v>
      </c>
      <c r="E13511" t="s">
        <v>47922</v>
      </c>
      <c r="F13511" t="s">
        <v>7549</v>
      </c>
      <c r="G13511" t="s">
        <v>289</v>
      </c>
      <c r="H13511">
        <v>60077</v>
      </c>
      <c r="I13511" t="s">
        <v>30</v>
      </c>
      <c r="J13511" t="s">
        <v>41</v>
      </c>
      <c r="K13511" t="s">
        <v>229</v>
      </c>
      <c r="Q13511">
        <v>0</v>
      </c>
      <c r="R13511">
        <v>30</v>
      </c>
      <c r="S13511">
        <v>30</v>
      </c>
      <c r="T13511" t="s">
        <v>47923</v>
      </c>
    </row>
    <row r="13512" spans="1:20" customFormat="1" ht="15" x14ac:dyDescent="0.25">
      <c r="A13512" t="s">
        <v>35</v>
      </c>
      <c r="B13512" t="s">
        <v>61</v>
      </c>
      <c r="C13512" t="str">
        <f>"A0130414"</f>
        <v>A0130414</v>
      </c>
      <c r="D13512" t="s">
        <v>47924</v>
      </c>
      <c r="E13512" t="s">
        <v>47925</v>
      </c>
      <c r="F13512" t="s">
        <v>47926</v>
      </c>
      <c r="G13512" t="s">
        <v>1898</v>
      </c>
      <c r="H13512">
        <v>51248</v>
      </c>
      <c r="I13512" t="s">
        <v>30</v>
      </c>
      <c r="J13512" t="s">
        <v>41</v>
      </c>
      <c r="K13512" t="s">
        <v>229</v>
      </c>
      <c r="Q13512">
        <v>0</v>
      </c>
      <c r="R13512">
        <v>89</v>
      </c>
      <c r="S13512">
        <v>89</v>
      </c>
      <c r="T13512" t="s">
        <v>47927</v>
      </c>
    </row>
    <row r="13513" spans="1:20" customFormat="1" ht="15" x14ac:dyDescent="0.25">
      <c r="A13513" t="s">
        <v>35</v>
      </c>
      <c r="B13513" t="s">
        <v>61</v>
      </c>
      <c r="C13513" t="str">
        <f>"A0130277"</f>
        <v>A0130277</v>
      </c>
      <c r="D13513" t="s">
        <v>47928</v>
      </c>
      <c r="E13513" t="s">
        <v>47929</v>
      </c>
      <c r="F13513" t="s">
        <v>45227</v>
      </c>
      <c r="G13513" t="s">
        <v>1898</v>
      </c>
      <c r="H13513">
        <v>521420000</v>
      </c>
      <c r="I13513" t="s">
        <v>30</v>
      </c>
      <c r="J13513" t="s">
        <v>41</v>
      </c>
      <c r="K13513" t="s">
        <v>229</v>
      </c>
      <c r="Q13513">
        <v>0</v>
      </c>
      <c r="R13513">
        <v>65</v>
      </c>
      <c r="S13513">
        <v>65</v>
      </c>
      <c r="T13513" t="s">
        <v>47930</v>
      </c>
    </row>
    <row r="13514" spans="1:20" customFormat="1" ht="15" x14ac:dyDescent="0.25">
      <c r="A13514" t="s">
        <v>35</v>
      </c>
      <c r="B13514" t="s">
        <v>61</v>
      </c>
      <c r="C13514" t="str">
        <f>"A0128872"</f>
        <v>A0128872</v>
      </c>
      <c r="D13514" t="s">
        <v>9889</v>
      </c>
      <c r="E13514" t="s">
        <v>47931</v>
      </c>
      <c r="F13514" t="s">
        <v>9891</v>
      </c>
      <c r="G13514" t="s">
        <v>289</v>
      </c>
      <c r="H13514">
        <v>60930</v>
      </c>
      <c r="I13514" t="s">
        <v>30</v>
      </c>
      <c r="J13514" t="s">
        <v>41</v>
      </c>
      <c r="K13514" t="s">
        <v>229</v>
      </c>
      <c r="Q13514">
        <v>0</v>
      </c>
      <c r="R13514">
        <v>92</v>
      </c>
      <c r="S13514">
        <v>92</v>
      </c>
      <c r="T13514" t="s">
        <v>47932</v>
      </c>
    </row>
    <row r="13515" spans="1:20" customFormat="1" ht="15" x14ac:dyDescent="0.25">
      <c r="A13515" t="s">
        <v>35</v>
      </c>
      <c r="B13515" t="s">
        <v>61</v>
      </c>
      <c r="C13515" t="str">
        <f>"A0132443"</f>
        <v>A0132443</v>
      </c>
      <c r="D13515" t="s">
        <v>47933</v>
      </c>
      <c r="E13515" t="s">
        <v>47934</v>
      </c>
      <c r="F13515" t="s">
        <v>2678</v>
      </c>
      <c r="G13515" t="s">
        <v>65</v>
      </c>
      <c r="H13515">
        <v>45320</v>
      </c>
      <c r="I13515" t="s">
        <v>30</v>
      </c>
      <c r="J13515" t="s">
        <v>41</v>
      </c>
      <c r="K13515" t="s">
        <v>2760</v>
      </c>
      <c r="Q13515">
        <v>0</v>
      </c>
      <c r="R13515">
        <v>0</v>
      </c>
      <c r="S13515">
        <v>0</v>
      </c>
      <c r="T13515" t="s">
        <v>47935</v>
      </c>
    </row>
    <row r="13516" spans="1:20" customFormat="1" ht="15" x14ac:dyDescent="0.25">
      <c r="A13516" t="s">
        <v>35</v>
      </c>
      <c r="B13516" t="s">
        <v>61</v>
      </c>
      <c r="C13516" t="str">
        <f>"A0130518"</f>
        <v>A0130518</v>
      </c>
      <c r="D13516" t="s">
        <v>47936</v>
      </c>
      <c r="E13516" t="s">
        <v>47937</v>
      </c>
      <c r="F13516" t="s">
        <v>47938</v>
      </c>
      <c r="G13516" t="s">
        <v>1898</v>
      </c>
      <c r="H13516">
        <v>50851</v>
      </c>
      <c r="I13516" t="s">
        <v>30</v>
      </c>
      <c r="J13516" t="s">
        <v>41</v>
      </c>
      <c r="K13516" t="s">
        <v>391</v>
      </c>
      <c r="Q13516">
        <v>0</v>
      </c>
      <c r="R13516">
        <v>0</v>
      </c>
      <c r="S13516">
        <v>0</v>
      </c>
      <c r="T13516" t="s">
        <v>47939</v>
      </c>
    </row>
    <row r="13517" spans="1:20" customFormat="1" ht="15" x14ac:dyDescent="0.25">
      <c r="A13517" t="s">
        <v>35</v>
      </c>
      <c r="B13517" t="s">
        <v>106</v>
      </c>
      <c r="C13517" t="str">
        <f>"A0136549"</f>
        <v>A0136549</v>
      </c>
      <c r="D13517" t="s">
        <v>47940</v>
      </c>
      <c r="E13517" t="s">
        <v>47941</v>
      </c>
      <c r="F13517" t="s">
        <v>1795</v>
      </c>
      <c r="G13517" t="s">
        <v>29</v>
      </c>
      <c r="H13517">
        <v>23235</v>
      </c>
      <c r="I13517" t="s">
        <v>30</v>
      </c>
      <c r="J13517" t="s">
        <v>111</v>
      </c>
      <c r="K13517" t="s">
        <v>112</v>
      </c>
      <c r="Q13517">
        <v>0</v>
      </c>
      <c r="R13517">
        <v>0</v>
      </c>
      <c r="S13517">
        <v>0</v>
      </c>
      <c r="T13517" t="s">
        <v>47942</v>
      </c>
    </row>
    <row r="13518" spans="1:20" customFormat="1" ht="15" x14ac:dyDescent="0.25">
      <c r="A13518" t="s">
        <v>35</v>
      </c>
      <c r="B13518" t="s">
        <v>61</v>
      </c>
      <c r="C13518" t="str">
        <f>"A0118200"</f>
        <v>A0118200</v>
      </c>
      <c r="D13518" t="s">
        <v>47943</v>
      </c>
      <c r="E13518" t="s">
        <v>47944</v>
      </c>
      <c r="F13518" t="s">
        <v>436</v>
      </c>
      <c r="G13518" t="s">
        <v>433</v>
      </c>
      <c r="H13518">
        <v>83713</v>
      </c>
      <c r="I13518" t="s">
        <v>30</v>
      </c>
      <c r="J13518" t="s">
        <v>41</v>
      </c>
      <c r="K13518" t="s">
        <v>59</v>
      </c>
      <c r="Q13518">
        <v>0</v>
      </c>
      <c r="R13518">
        <v>80</v>
      </c>
      <c r="S13518">
        <v>80</v>
      </c>
      <c r="T13518" t="s">
        <v>47945</v>
      </c>
    </row>
    <row r="13519" spans="1:20" customFormat="1" ht="15" x14ac:dyDescent="0.25">
      <c r="A13519" t="s">
        <v>35</v>
      </c>
      <c r="B13519" t="s">
        <v>3381</v>
      </c>
      <c r="C13519" t="str">
        <f>"A0126672"</f>
        <v>A0126672</v>
      </c>
      <c r="D13519" t="s">
        <v>47946</v>
      </c>
      <c r="E13519" t="s">
        <v>47947</v>
      </c>
      <c r="F13519" t="s">
        <v>25481</v>
      </c>
      <c r="G13519" t="s">
        <v>338</v>
      </c>
      <c r="H13519">
        <v>8002</v>
      </c>
      <c r="I13519" t="s">
        <v>30</v>
      </c>
      <c r="J13519" t="s">
        <v>41</v>
      </c>
      <c r="K13519" t="s">
        <v>1440</v>
      </c>
      <c r="Q13519">
        <v>0</v>
      </c>
      <c r="R13519">
        <v>180</v>
      </c>
      <c r="S13519">
        <v>180</v>
      </c>
      <c r="T13519" t="s">
        <v>47948</v>
      </c>
    </row>
    <row r="13520" spans="1:20" customFormat="1" ht="15" x14ac:dyDescent="0.25">
      <c r="A13520" t="s">
        <v>35</v>
      </c>
      <c r="B13520" t="s">
        <v>61</v>
      </c>
      <c r="C13520" t="str">
        <f>"A0124879"</f>
        <v>A0124879</v>
      </c>
      <c r="D13520" t="s">
        <v>47949</v>
      </c>
      <c r="E13520" t="s">
        <v>47950</v>
      </c>
      <c r="F13520" t="s">
        <v>47951</v>
      </c>
      <c r="G13520" t="s">
        <v>214</v>
      </c>
      <c r="H13520">
        <v>28460</v>
      </c>
      <c r="I13520" t="s">
        <v>30</v>
      </c>
      <c r="J13520" t="s">
        <v>41</v>
      </c>
      <c r="K13520" t="s">
        <v>229</v>
      </c>
      <c r="Q13520">
        <v>0</v>
      </c>
      <c r="R13520">
        <v>127</v>
      </c>
      <c r="S13520">
        <v>127</v>
      </c>
      <c r="T13520" t="s">
        <v>47952</v>
      </c>
    </row>
    <row r="13521" spans="1:20" customFormat="1" ht="15" x14ac:dyDescent="0.25">
      <c r="A13521" t="s">
        <v>35</v>
      </c>
      <c r="B13521" t="s">
        <v>61</v>
      </c>
      <c r="C13521" t="str">
        <f>"A0154672"</f>
        <v>A0154672</v>
      </c>
      <c r="D13521" t="s">
        <v>47953</v>
      </c>
      <c r="E13521" t="s">
        <v>47954</v>
      </c>
      <c r="F13521" t="s">
        <v>36852</v>
      </c>
      <c r="G13521" t="s">
        <v>153</v>
      </c>
      <c r="H13521">
        <v>84020</v>
      </c>
      <c r="I13521" t="s">
        <v>30</v>
      </c>
      <c r="J13521" t="s">
        <v>41</v>
      </c>
      <c r="K13521" t="s">
        <v>447</v>
      </c>
      <c r="Q13521">
        <v>0</v>
      </c>
      <c r="R13521">
        <v>0</v>
      </c>
      <c r="S13521">
        <v>0</v>
      </c>
      <c r="T13521" t="s">
        <v>47955</v>
      </c>
    </row>
    <row r="13522" spans="1:20" customFormat="1" ht="15" x14ac:dyDescent="0.25">
      <c r="A13522" t="s">
        <v>35</v>
      </c>
      <c r="B13522" t="s">
        <v>61</v>
      </c>
      <c r="C13522" t="str">
        <f>"A0133520"</f>
        <v>A0133520</v>
      </c>
      <c r="D13522" t="s">
        <v>47956</v>
      </c>
      <c r="E13522" t="s">
        <v>47957</v>
      </c>
      <c r="F13522" t="s">
        <v>1731</v>
      </c>
      <c r="G13522" t="s">
        <v>52</v>
      </c>
      <c r="H13522">
        <v>75235</v>
      </c>
      <c r="I13522" t="s">
        <v>30</v>
      </c>
      <c r="J13522" t="s">
        <v>41</v>
      </c>
      <c r="K13522" t="s">
        <v>229</v>
      </c>
      <c r="Q13522">
        <v>0</v>
      </c>
      <c r="R13522">
        <v>150</v>
      </c>
      <c r="S13522">
        <v>150</v>
      </c>
      <c r="T13522" t="s">
        <v>47958</v>
      </c>
    </row>
    <row r="13523" spans="1:20" customFormat="1" ht="15" x14ac:dyDescent="0.25">
      <c r="A13523" t="s">
        <v>35</v>
      </c>
      <c r="B13523" t="s">
        <v>106</v>
      </c>
      <c r="C13523" t="str">
        <f>"A0135695"</f>
        <v>A0135695</v>
      </c>
      <c r="D13523" t="s">
        <v>47959</v>
      </c>
      <c r="E13523" t="s">
        <v>47960</v>
      </c>
      <c r="F13523" t="s">
        <v>47961</v>
      </c>
      <c r="G13523" t="s">
        <v>52</v>
      </c>
      <c r="H13523">
        <v>78738</v>
      </c>
      <c r="I13523" t="s">
        <v>30</v>
      </c>
      <c r="J13523" t="s">
        <v>111</v>
      </c>
      <c r="K13523" t="s">
        <v>112</v>
      </c>
      <c r="Q13523">
        <v>0</v>
      </c>
      <c r="R13523">
        <v>0</v>
      </c>
      <c r="S13523">
        <v>0</v>
      </c>
      <c r="T13523" t="s">
        <v>47962</v>
      </c>
    </row>
    <row r="13524" spans="1:20" customFormat="1" ht="15" x14ac:dyDescent="0.25">
      <c r="A13524" t="s">
        <v>35</v>
      </c>
      <c r="B13524" t="s">
        <v>61</v>
      </c>
      <c r="C13524" t="str">
        <f>"A0125034"</f>
        <v>A0125034</v>
      </c>
      <c r="D13524" t="s">
        <v>47963</v>
      </c>
      <c r="E13524" t="s">
        <v>47964</v>
      </c>
      <c r="F13524" t="s">
        <v>47965</v>
      </c>
      <c r="G13524" t="s">
        <v>214</v>
      </c>
      <c r="H13524">
        <v>27302</v>
      </c>
      <c r="I13524" t="s">
        <v>30</v>
      </c>
      <c r="J13524" t="s">
        <v>41</v>
      </c>
      <c r="K13524" t="s">
        <v>229</v>
      </c>
      <c r="Q13524">
        <v>0</v>
      </c>
      <c r="R13524">
        <v>120</v>
      </c>
      <c r="S13524">
        <v>120</v>
      </c>
      <c r="T13524" t="s">
        <v>47966</v>
      </c>
    </row>
    <row r="13525" spans="1:20" customFormat="1" ht="15" x14ac:dyDescent="0.25">
      <c r="A13525" t="s">
        <v>35</v>
      </c>
      <c r="B13525" t="s">
        <v>61</v>
      </c>
      <c r="C13525" t="str">
        <f>"A0124425"</f>
        <v>A0124425</v>
      </c>
      <c r="D13525" t="s">
        <v>47967</v>
      </c>
      <c r="E13525" t="s">
        <v>47968</v>
      </c>
      <c r="F13525" t="s">
        <v>47965</v>
      </c>
      <c r="G13525" t="s">
        <v>214</v>
      </c>
      <c r="H13525">
        <v>27302</v>
      </c>
      <c r="I13525" t="s">
        <v>30</v>
      </c>
      <c r="J13525" t="s">
        <v>41</v>
      </c>
      <c r="K13525" t="s">
        <v>229</v>
      </c>
      <c r="Q13525">
        <v>0</v>
      </c>
      <c r="R13525">
        <v>120</v>
      </c>
      <c r="S13525">
        <v>120</v>
      </c>
      <c r="T13525" t="s">
        <v>47966</v>
      </c>
    </row>
    <row r="13526" spans="1:20" customFormat="1" ht="15" x14ac:dyDescent="0.25">
      <c r="A13526" t="s">
        <v>35</v>
      </c>
      <c r="B13526" t="s">
        <v>61</v>
      </c>
      <c r="C13526" t="str">
        <f>"A0123558"</f>
        <v>A0123558</v>
      </c>
      <c r="D13526" t="s">
        <v>47969</v>
      </c>
      <c r="E13526" t="s">
        <v>47970</v>
      </c>
      <c r="F13526" t="s">
        <v>47500</v>
      </c>
      <c r="G13526" t="s">
        <v>214</v>
      </c>
      <c r="H13526">
        <v>27260</v>
      </c>
      <c r="I13526" t="s">
        <v>30</v>
      </c>
      <c r="J13526" t="s">
        <v>41</v>
      </c>
      <c r="K13526" t="s">
        <v>229</v>
      </c>
      <c r="Q13526">
        <v>0</v>
      </c>
      <c r="R13526">
        <v>50</v>
      </c>
      <c r="S13526">
        <v>50</v>
      </c>
      <c r="T13526" t="s">
        <v>47971</v>
      </c>
    </row>
    <row r="13527" spans="1:20" customFormat="1" ht="15" x14ac:dyDescent="0.25">
      <c r="A13527" t="s">
        <v>35</v>
      </c>
      <c r="B13527" t="s">
        <v>61</v>
      </c>
      <c r="C13527" t="str">
        <f>"A0133527"</f>
        <v>A0133527</v>
      </c>
      <c r="D13527" t="s">
        <v>17774</v>
      </c>
      <c r="E13527" t="s">
        <v>47972</v>
      </c>
      <c r="F13527" t="s">
        <v>1731</v>
      </c>
      <c r="G13527" t="s">
        <v>52</v>
      </c>
      <c r="H13527">
        <v>75243</v>
      </c>
      <c r="I13527" t="s">
        <v>30</v>
      </c>
      <c r="J13527" t="s">
        <v>41</v>
      </c>
      <c r="K13527" t="s">
        <v>229</v>
      </c>
      <c r="Q13527">
        <v>0</v>
      </c>
      <c r="R13527">
        <v>500</v>
      </c>
      <c r="S13527">
        <v>500</v>
      </c>
      <c r="T13527" t="s">
        <v>47973</v>
      </c>
    </row>
    <row r="13528" spans="1:20" customFormat="1" ht="15" x14ac:dyDescent="0.25">
      <c r="A13528" t="s">
        <v>35</v>
      </c>
      <c r="B13528" t="s">
        <v>61</v>
      </c>
      <c r="C13528" t="str">
        <f>"A0128742"</f>
        <v>A0128742</v>
      </c>
      <c r="D13528" t="s">
        <v>47974</v>
      </c>
      <c r="E13528" t="s">
        <v>47975</v>
      </c>
      <c r="F13528" t="s">
        <v>47976</v>
      </c>
      <c r="G13528" t="s">
        <v>1170</v>
      </c>
      <c r="H13528">
        <v>71040</v>
      </c>
      <c r="I13528" t="s">
        <v>30</v>
      </c>
      <c r="J13528" t="s">
        <v>41</v>
      </c>
      <c r="K13528" t="s">
        <v>229</v>
      </c>
      <c r="Q13528">
        <v>0</v>
      </c>
      <c r="R13528">
        <v>68</v>
      </c>
      <c r="S13528">
        <v>68</v>
      </c>
      <c r="T13528" t="s">
        <v>47977</v>
      </c>
    </row>
    <row r="13529" spans="1:20" customFormat="1" ht="15" x14ac:dyDescent="0.25">
      <c r="A13529" t="s">
        <v>35</v>
      </c>
      <c r="B13529" t="s">
        <v>61</v>
      </c>
      <c r="C13529" t="str">
        <f>"A0124077"</f>
        <v>A0124077</v>
      </c>
      <c r="D13529" t="s">
        <v>47978</v>
      </c>
      <c r="E13529" t="s">
        <v>47979</v>
      </c>
      <c r="F13529" t="s">
        <v>2670</v>
      </c>
      <c r="G13529" t="s">
        <v>880</v>
      </c>
      <c r="H13529">
        <v>37660</v>
      </c>
      <c r="I13529" t="s">
        <v>30</v>
      </c>
      <c r="J13529" t="s">
        <v>41</v>
      </c>
      <c r="K13529" t="s">
        <v>482</v>
      </c>
      <c r="Q13529">
        <v>0</v>
      </c>
      <c r="R13529">
        <v>99</v>
      </c>
      <c r="S13529">
        <v>99</v>
      </c>
      <c r="T13529" t="s">
        <v>47980</v>
      </c>
    </row>
    <row r="13530" spans="1:20" customFormat="1" ht="15" x14ac:dyDescent="0.25">
      <c r="A13530" t="s">
        <v>35</v>
      </c>
      <c r="B13530" t="s">
        <v>61</v>
      </c>
      <c r="C13530" t="str">
        <f>"A0130104"</f>
        <v>A0130104</v>
      </c>
      <c r="D13530" t="s">
        <v>47981</v>
      </c>
      <c r="E13530" t="s">
        <v>47982</v>
      </c>
      <c r="F13530" t="s">
        <v>2670</v>
      </c>
      <c r="G13530" t="s">
        <v>880</v>
      </c>
      <c r="H13530">
        <v>37660</v>
      </c>
      <c r="I13530" t="s">
        <v>30</v>
      </c>
      <c r="J13530" t="s">
        <v>41</v>
      </c>
      <c r="K13530" t="s">
        <v>59</v>
      </c>
      <c r="Q13530">
        <v>0</v>
      </c>
      <c r="R13530">
        <v>60</v>
      </c>
      <c r="S13530">
        <v>60</v>
      </c>
      <c r="T13530" t="s">
        <v>47983</v>
      </c>
    </row>
    <row r="13531" spans="1:20" customFormat="1" ht="15" x14ac:dyDescent="0.25">
      <c r="A13531" t="s">
        <v>35</v>
      </c>
      <c r="B13531" t="s">
        <v>61</v>
      </c>
      <c r="C13531" t="str">
        <f>"A0123831"</f>
        <v>A0123831</v>
      </c>
      <c r="D13531" t="s">
        <v>47984</v>
      </c>
      <c r="E13531" t="s">
        <v>47985</v>
      </c>
      <c r="F13531" t="s">
        <v>19811</v>
      </c>
      <c r="G13531" t="s">
        <v>214</v>
      </c>
      <c r="H13531">
        <v>27560</v>
      </c>
      <c r="I13531" t="s">
        <v>30</v>
      </c>
      <c r="J13531" t="s">
        <v>41</v>
      </c>
      <c r="K13531" t="s">
        <v>59</v>
      </c>
      <c r="Q13531">
        <v>0</v>
      </c>
      <c r="R13531">
        <v>166</v>
      </c>
      <c r="S13531">
        <v>166</v>
      </c>
      <c r="T13531" t="s">
        <v>47986</v>
      </c>
    </row>
    <row r="13532" spans="1:20" customFormat="1" ht="15" x14ac:dyDescent="0.25">
      <c r="A13532" t="s">
        <v>35</v>
      </c>
      <c r="B13532" t="s">
        <v>61</v>
      </c>
      <c r="C13532" t="str">
        <f>"A0133070"</f>
        <v>A0133070</v>
      </c>
      <c r="D13532" t="s">
        <v>47987</v>
      </c>
      <c r="E13532" t="s">
        <v>47988</v>
      </c>
      <c r="F13532" t="s">
        <v>20911</v>
      </c>
      <c r="G13532" t="s">
        <v>52</v>
      </c>
      <c r="H13532">
        <v>75093</v>
      </c>
      <c r="I13532" t="s">
        <v>30</v>
      </c>
      <c r="J13532" t="s">
        <v>41</v>
      </c>
      <c r="K13532" t="s">
        <v>59</v>
      </c>
      <c r="Q13532">
        <v>0</v>
      </c>
      <c r="R13532">
        <v>100</v>
      </c>
      <c r="S13532">
        <v>100</v>
      </c>
      <c r="T13532" t="s">
        <v>47989</v>
      </c>
    </row>
    <row r="13533" spans="1:20" customFormat="1" ht="15" x14ac:dyDescent="0.25">
      <c r="A13533" t="s">
        <v>35</v>
      </c>
      <c r="B13533" t="s">
        <v>61</v>
      </c>
      <c r="C13533" t="str">
        <f>"A0117938"</f>
        <v>A0117938</v>
      </c>
      <c r="D13533" t="s">
        <v>47990</v>
      </c>
      <c r="E13533" t="s">
        <v>47991</v>
      </c>
      <c r="F13533" t="s">
        <v>1439</v>
      </c>
      <c r="G13533" t="s">
        <v>110</v>
      </c>
      <c r="H13533">
        <v>92126</v>
      </c>
      <c r="I13533" t="s">
        <v>30</v>
      </c>
      <c r="J13533" t="s">
        <v>41</v>
      </c>
      <c r="K13533" t="s">
        <v>2715</v>
      </c>
      <c r="Q13533">
        <v>0</v>
      </c>
      <c r="R13533">
        <v>1</v>
      </c>
      <c r="S13533">
        <v>1</v>
      </c>
      <c r="T13533" t="s">
        <v>47992</v>
      </c>
    </row>
    <row r="13534" spans="1:20" customFormat="1" ht="15" x14ac:dyDescent="0.25">
      <c r="A13534" t="s">
        <v>35</v>
      </c>
      <c r="B13534" t="s">
        <v>61</v>
      </c>
      <c r="C13534" t="str">
        <f>"A0128679"</f>
        <v>A0128679</v>
      </c>
      <c r="D13534" t="s">
        <v>47993</v>
      </c>
      <c r="E13534" t="s">
        <v>47994</v>
      </c>
      <c r="F13534" t="s">
        <v>47995</v>
      </c>
      <c r="G13534" t="s">
        <v>1170</v>
      </c>
      <c r="H13534">
        <v>70427</v>
      </c>
      <c r="I13534" t="s">
        <v>30</v>
      </c>
      <c r="J13534" t="s">
        <v>41</v>
      </c>
      <c r="K13534" t="s">
        <v>112</v>
      </c>
      <c r="Q13534">
        <v>0</v>
      </c>
      <c r="R13534">
        <v>0</v>
      </c>
      <c r="S13534">
        <v>0</v>
      </c>
      <c r="T13534" t="s">
        <v>47996</v>
      </c>
    </row>
    <row r="13535" spans="1:20" customFormat="1" ht="15" x14ac:dyDescent="0.25">
      <c r="A13535" t="s">
        <v>35</v>
      </c>
      <c r="B13535" t="s">
        <v>61</v>
      </c>
      <c r="C13535" t="str">
        <f>"A0132269"</f>
        <v>A0132269</v>
      </c>
      <c r="D13535" t="s">
        <v>47997</v>
      </c>
      <c r="E13535" t="s">
        <v>47998</v>
      </c>
      <c r="F13535" t="s">
        <v>13583</v>
      </c>
      <c r="G13535" t="s">
        <v>65</v>
      </c>
      <c r="H13535">
        <v>45840</v>
      </c>
      <c r="I13535" t="s">
        <v>30</v>
      </c>
      <c r="J13535" t="s">
        <v>41</v>
      </c>
      <c r="K13535" t="s">
        <v>59</v>
      </c>
      <c r="Q13535">
        <v>0</v>
      </c>
      <c r="R13535">
        <v>81</v>
      </c>
      <c r="S13535">
        <v>81</v>
      </c>
      <c r="T13535" t="s">
        <v>47999</v>
      </c>
    </row>
    <row r="13536" spans="1:20" customFormat="1" ht="15" x14ac:dyDescent="0.25">
      <c r="A13536" t="s">
        <v>35</v>
      </c>
      <c r="B13536" t="s">
        <v>61</v>
      </c>
      <c r="C13536" t="str">
        <f>"A0132275"</f>
        <v>A0132275</v>
      </c>
      <c r="D13536" t="s">
        <v>48000</v>
      </c>
      <c r="E13536" t="s">
        <v>48001</v>
      </c>
      <c r="F13536" t="s">
        <v>5188</v>
      </c>
      <c r="G13536" t="s">
        <v>65</v>
      </c>
      <c r="H13536">
        <v>44906</v>
      </c>
      <c r="I13536" t="s">
        <v>30</v>
      </c>
      <c r="J13536" t="s">
        <v>41</v>
      </c>
      <c r="K13536" t="s">
        <v>59</v>
      </c>
      <c r="Q13536">
        <v>0</v>
      </c>
      <c r="R13536">
        <v>136</v>
      </c>
      <c r="S13536">
        <v>136</v>
      </c>
      <c r="T13536" t="s">
        <v>48002</v>
      </c>
    </row>
    <row r="13537" spans="1:20" customFormat="1" ht="15" x14ac:dyDescent="0.25">
      <c r="A13537" t="s">
        <v>35</v>
      </c>
      <c r="B13537" t="s">
        <v>61</v>
      </c>
      <c r="C13537" t="str">
        <f>"A0150626"</f>
        <v>A0150626</v>
      </c>
      <c r="D13537" t="s">
        <v>48003</v>
      </c>
      <c r="E13537" t="s">
        <v>48004</v>
      </c>
      <c r="F13537" t="s">
        <v>48005</v>
      </c>
      <c r="G13537" t="s">
        <v>65</v>
      </c>
      <c r="H13537">
        <v>43065</v>
      </c>
      <c r="I13537" t="s">
        <v>30</v>
      </c>
      <c r="J13537" t="s">
        <v>41</v>
      </c>
      <c r="K13537" t="s">
        <v>391</v>
      </c>
      <c r="Q13537">
        <v>0</v>
      </c>
      <c r="R13537">
        <v>0</v>
      </c>
      <c r="S13537">
        <v>0</v>
      </c>
      <c r="T13537" t="s">
        <v>48006</v>
      </c>
    </row>
    <row r="13538" spans="1:20" customFormat="1" ht="15" x14ac:dyDescent="0.25">
      <c r="A13538" t="s">
        <v>35</v>
      </c>
      <c r="B13538" t="s">
        <v>61</v>
      </c>
      <c r="C13538" t="str">
        <f>"A0132722"</f>
        <v>A0132722</v>
      </c>
      <c r="D13538" t="s">
        <v>48007</v>
      </c>
      <c r="E13538" t="s">
        <v>48008</v>
      </c>
      <c r="F13538" t="s">
        <v>15307</v>
      </c>
      <c r="G13538" t="s">
        <v>65</v>
      </c>
      <c r="H13538">
        <v>43082</v>
      </c>
      <c r="I13538" t="s">
        <v>30</v>
      </c>
      <c r="J13538" t="s">
        <v>41</v>
      </c>
      <c r="K13538" t="s">
        <v>391</v>
      </c>
      <c r="Q13538">
        <v>0</v>
      </c>
      <c r="R13538">
        <v>0</v>
      </c>
      <c r="S13538">
        <v>0</v>
      </c>
      <c r="T13538" t="s">
        <v>48009</v>
      </c>
    </row>
    <row r="13539" spans="1:20" customFormat="1" ht="15" x14ac:dyDescent="0.25">
      <c r="A13539" t="s">
        <v>35</v>
      </c>
      <c r="B13539" t="s">
        <v>61</v>
      </c>
      <c r="C13539" t="str">
        <f>"A0132976"</f>
        <v>A0132976</v>
      </c>
      <c r="D13539" t="s">
        <v>48010</v>
      </c>
      <c r="E13539" t="s">
        <v>48011</v>
      </c>
      <c r="F13539" t="s">
        <v>5257</v>
      </c>
      <c r="G13539" t="s">
        <v>52</v>
      </c>
      <c r="H13539">
        <v>77044</v>
      </c>
      <c r="I13539" t="s">
        <v>30</v>
      </c>
      <c r="J13539" t="s">
        <v>41</v>
      </c>
      <c r="K13539" t="s">
        <v>391</v>
      </c>
      <c r="Q13539">
        <v>0</v>
      </c>
      <c r="R13539">
        <v>0</v>
      </c>
      <c r="S13539">
        <v>0</v>
      </c>
      <c r="T13539" t="s">
        <v>48012</v>
      </c>
    </row>
    <row r="13540" spans="1:20" customFormat="1" ht="15" x14ac:dyDescent="0.25">
      <c r="A13540" t="s">
        <v>35</v>
      </c>
      <c r="B13540" t="s">
        <v>61</v>
      </c>
      <c r="C13540" t="str">
        <f>"A0132975"</f>
        <v>A0132975</v>
      </c>
      <c r="D13540" t="s">
        <v>48013</v>
      </c>
      <c r="E13540" t="s">
        <v>48014</v>
      </c>
      <c r="F13540" t="s">
        <v>34272</v>
      </c>
      <c r="G13540" t="s">
        <v>52</v>
      </c>
      <c r="H13540">
        <v>77346</v>
      </c>
      <c r="I13540" t="s">
        <v>30</v>
      </c>
      <c r="J13540" t="s">
        <v>41</v>
      </c>
      <c r="K13540" t="s">
        <v>391</v>
      </c>
      <c r="Q13540">
        <v>0</v>
      </c>
      <c r="R13540">
        <v>0</v>
      </c>
      <c r="S13540">
        <v>0</v>
      </c>
      <c r="T13540" t="s">
        <v>48015</v>
      </c>
    </row>
    <row r="13541" spans="1:20" customFormat="1" ht="15" x14ac:dyDescent="0.25">
      <c r="A13541" t="s">
        <v>35</v>
      </c>
      <c r="B13541" t="s">
        <v>61</v>
      </c>
      <c r="C13541" t="str">
        <f>"A0132848"</f>
        <v>A0132848</v>
      </c>
      <c r="D13541" t="s">
        <v>48016</v>
      </c>
      <c r="E13541" t="s">
        <v>48017</v>
      </c>
      <c r="F13541" t="s">
        <v>1403</v>
      </c>
      <c r="G13541" t="s">
        <v>65</v>
      </c>
      <c r="H13541">
        <v>44011</v>
      </c>
      <c r="I13541" t="s">
        <v>30</v>
      </c>
      <c r="J13541" t="s">
        <v>41</v>
      </c>
      <c r="K13541" t="s">
        <v>391</v>
      </c>
      <c r="Q13541">
        <v>0</v>
      </c>
      <c r="R13541">
        <v>0</v>
      </c>
      <c r="S13541">
        <v>0</v>
      </c>
      <c r="T13541" t="s">
        <v>48018</v>
      </c>
    </row>
    <row r="13542" spans="1:20" customFormat="1" ht="15" x14ac:dyDescent="0.25">
      <c r="A13542" t="s">
        <v>35</v>
      </c>
      <c r="B13542" t="s">
        <v>61</v>
      </c>
      <c r="C13542" t="str">
        <f>"A0132977"</f>
        <v>A0132977</v>
      </c>
      <c r="D13542" t="s">
        <v>48019</v>
      </c>
      <c r="E13542" t="s">
        <v>48020</v>
      </c>
      <c r="F13542" t="s">
        <v>24984</v>
      </c>
      <c r="G13542" t="s">
        <v>52</v>
      </c>
      <c r="H13542">
        <v>77429</v>
      </c>
      <c r="I13542" t="s">
        <v>30</v>
      </c>
      <c r="J13542" t="s">
        <v>41</v>
      </c>
      <c r="K13542" t="s">
        <v>391</v>
      </c>
      <c r="Q13542">
        <v>0</v>
      </c>
      <c r="R13542">
        <v>0</v>
      </c>
      <c r="S13542">
        <v>0</v>
      </c>
      <c r="T13542" t="s">
        <v>48021</v>
      </c>
    </row>
    <row r="13543" spans="1:20" customFormat="1" ht="15" x14ac:dyDescent="0.25">
      <c r="A13543" t="s">
        <v>35</v>
      </c>
      <c r="B13543" t="s">
        <v>61</v>
      </c>
      <c r="C13543" t="str">
        <f>"A0151187"</f>
        <v>A0151187</v>
      </c>
      <c r="D13543" t="s">
        <v>48022</v>
      </c>
      <c r="E13543" t="s">
        <v>48023</v>
      </c>
      <c r="F13543" t="s">
        <v>5754</v>
      </c>
      <c r="G13543" t="s">
        <v>65</v>
      </c>
      <c r="H13543">
        <v>45432</v>
      </c>
      <c r="I13543" t="s">
        <v>30</v>
      </c>
      <c r="J13543" t="s">
        <v>41</v>
      </c>
      <c r="K13543" t="s">
        <v>391</v>
      </c>
      <c r="Q13543">
        <v>0</v>
      </c>
      <c r="R13543">
        <v>0</v>
      </c>
      <c r="S13543">
        <v>0</v>
      </c>
      <c r="T13543" t="s">
        <v>48024</v>
      </c>
    </row>
    <row r="13544" spans="1:20" customFormat="1" ht="15" x14ac:dyDescent="0.25">
      <c r="A13544" t="s">
        <v>35</v>
      </c>
      <c r="B13544" t="s">
        <v>106</v>
      </c>
      <c r="C13544" t="str">
        <f>"A0135622"</f>
        <v>A0135622</v>
      </c>
      <c r="D13544" t="s">
        <v>48025</v>
      </c>
      <c r="E13544" t="s">
        <v>48026</v>
      </c>
      <c r="F13544" t="s">
        <v>37800</v>
      </c>
      <c r="G13544" t="s">
        <v>52</v>
      </c>
      <c r="H13544">
        <v>78613</v>
      </c>
      <c r="I13544" t="s">
        <v>30</v>
      </c>
      <c r="J13544" t="s">
        <v>111</v>
      </c>
      <c r="K13544" t="s">
        <v>112</v>
      </c>
      <c r="Q13544">
        <v>0</v>
      </c>
      <c r="R13544">
        <v>0</v>
      </c>
      <c r="S13544">
        <v>0</v>
      </c>
      <c r="T13544" t="s">
        <v>48027</v>
      </c>
    </row>
    <row r="13545" spans="1:20" customFormat="1" ht="15" x14ac:dyDescent="0.25">
      <c r="A13545" t="s">
        <v>35</v>
      </c>
      <c r="B13545" t="s">
        <v>61</v>
      </c>
      <c r="C13545" t="str">
        <f>"A0132978"</f>
        <v>A0132978</v>
      </c>
      <c r="D13545" t="s">
        <v>48028</v>
      </c>
      <c r="E13545" t="s">
        <v>48029</v>
      </c>
      <c r="F13545" t="s">
        <v>4774</v>
      </c>
      <c r="G13545" t="s">
        <v>52</v>
      </c>
      <c r="H13545">
        <v>77379</v>
      </c>
      <c r="I13545" t="s">
        <v>30</v>
      </c>
      <c r="J13545" t="s">
        <v>41</v>
      </c>
      <c r="K13545" t="s">
        <v>391</v>
      </c>
      <c r="Q13545">
        <v>0</v>
      </c>
      <c r="R13545">
        <v>0</v>
      </c>
      <c r="S13545">
        <v>0</v>
      </c>
      <c r="T13545" t="s">
        <v>48030</v>
      </c>
    </row>
    <row r="13546" spans="1:20" customFormat="1" ht="15" x14ac:dyDescent="0.25">
      <c r="A13546" t="s">
        <v>35</v>
      </c>
      <c r="B13546" t="s">
        <v>61</v>
      </c>
      <c r="C13546" t="str">
        <f>"A0132287"</f>
        <v>A0132287</v>
      </c>
      <c r="D13546" t="s">
        <v>48031</v>
      </c>
      <c r="E13546" t="s">
        <v>48032</v>
      </c>
      <c r="F13546" t="s">
        <v>1969</v>
      </c>
      <c r="G13546" t="s">
        <v>65</v>
      </c>
      <c r="H13546">
        <v>43016</v>
      </c>
      <c r="I13546" t="s">
        <v>30</v>
      </c>
      <c r="J13546" t="s">
        <v>41</v>
      </c>
      <c r="K13546" t="s">
        <v>391</v>
      </c>
      <c r="Q13546">
        <v>0</v>
      </c>
      <c r="R13546">
        <v>1</v>
      </c>
      <c r="S13546">
        <v>1</v>
      </c>
      <c r="T13546" t="s">
        <v>48033</v>
      </c>
    </row>
    <row r="13547" spans="1:20" customFormat="1" ht="15" x14ac:dyDescent="0.25">
      <c r="A13547" t="s">
        <v>35</v>
      </c>
      <c r="B13547" t="s">
        <v>106</v>
      </c>
      <c r="C13547" t="str">
        <f>"A0135615"</f>
        <v>A0135615</v>
      </c>
      <c r="D13547" t="s">
        <v>48034</v>
      </c>
      <c r="E13547" t="s">
        <v>48035</v>
      </c>
      <c r="F13547" t="s">
        <v>4133</v>
      </c>
      <c r="G13547" t="s">
        <v>52</v>
      </c>
      <c r="H13547">
        <v>78730</v>
      </c>
      <c r="I13547" t="s">
        <v>30</v>
      </c>
      <c r="J13547" t="s">
        <v>111</v>
      </c>
      <c r="K13547" t="s">
        <v>112</v>
      </c>
      <c r="Q13547">
        <v>0</v>
      </c>
      <c r="R13547">
        <v>0</v>
      </c>
      <c r="S13547">
        <v>0</v>
      </c>
      <c r="T13547" t="s">
        <v>48036</v>
      </c>
    </row>
    <row r="13548" spans="1:20" customFormat="1" ht="15" x14ac:dyDescent="0.25">
      <c r="A13548" t="s">
        <v>35</v>
      </c>
      <c r="B13548" t="s">
        <v>61</v>
      </c>
      <c r="C13548" t="str">
        <f>"A0132731"</f>
        <v>A0132731</v>
      </c>
      <c r="D13548" t="s">
        <v>48037</v>
      </c>
      <c r="E13548" t="s">
        <v>48038</v>
      </c>
      <c r="F13548" t="s">
        <v>7777</v>
      </c>
      <c r="G13548" t="s">
        <v>65</v>
      </c>
      <c r="H13548">
        <v>43026</v>
      </c>
      <c r="I13548" t="s">
        <v>30</v>
      </c>
      <c r="J13548" t="s">
        <v>41</v>
      </c>
      <c r="K13548" t="s">
        <v>391</v>
      </c>
      <c r="Q13548">
        <v>0</v>
      </c>
      <c r="R13548">
        <v>0</v>
      </c>
      <c r="S13548">
        <v>0</v>
      </c>
      <c r="T13548" t="s">
        <v>48039</v>
      </c>
    </row>
    <row r="13549" spans="1:20" customFormat="1" ht="15" x14ac:dyDescent="0.25">
      <c r="A13549" t="s">
        <v>35</v>
      </c>
      <c r="B13549" t="s">
        <v>61</v>
      </c>
      <c r="C13549" t="str">
        <f>"A0132288"</f>
        <v>A0132288</v>
      </c>
      <c r="D13549" t="s">
        <v>48040</v>
      </c>
      <c r="E13549" t="s">
        <v>48041</v>
      </c>
      <c r="F13549" t="s">
        <v>20394</v>
      </c>
      <c r="G13549" t="s">
        <v>65</v>
      </c>
      <c r="H13549">
        <v>43026</v>
      </c>
      <c r="I13549" t="s">
        <v>30</v>
      </c>
      <c r="J13549" t="s">
        <v>41</v>
      </c>
      <c r="K13549" t="s">
        <v>391</v>
      </c>
      <c r="Q13549">
        <v>0</v>
      </c>
      <c r="R13549">
        <v>0</v>
      </c>
      <c r="S13549">
        <v>0</v>
      </c>
      <c r="T13549" t="s">
        <v>48042</v>
      </c>
    </row>
    <row r="13550" spans="1:20" customFormat="1" ht="15" x14ac:dyDescent="0.25">
      <c r="A13550" t="s">
        <v>35</v>
      </c>
      <c r="B13550" t="s">
        <v>61</v>
      </c>
      <c r="C13550" t="str">
        <f>"A0128323"</f>
        <v>A0128323</v>
      </c>
      <c r="D13550" t="s">
        <v>48043</v>
      </c>
      <c r="E13550" t="s">
        <v>48044</v>
      </c>
      <c r="F13550" t="s">
        <v>426</v>
      </c>
      <c r="G13550" t="s">
        <v>427</v>
      </c>
      <c r="H13550">
        <v>68130</v>
      </c>
      <c r="I13550" t="s">
        <v>30</v>
      </c>
      <c r="J13550" t="s">
        <v>41</v>
      </c>
      <c r="K13550" t="s">
        <v>391</v>
      </c>
      <c r="Q13550">
        <v>0</v>
      </c>
      <c r="R13550">
        <v>0</v>
      </c>
      <c r="S13550">
        <v>0</v>
      </c>
      <c r="T13550" t="s">
        <v>48045</v>
      </c>
    </row>
    <row r="13551" spans="1:20" customFormat="1" ht="15" x14ac:dyDescent="0.25">
      <c r="A13551" t="s">
        <v>35</v>
      </c>
      <c r="B13551" t="s">
        <v>61</v>
      </c>
      <c r="C13551" t="str">
        <f>"A0132289"</f>
        <v>A0132289</v>
      </c>
      <c r="D13551" t="s">
        <v>48046</v>
      </c>
      <c r="E13551" t="s">
        <v>48047</v>
      </c>
      <c r="F13551" t="s">
        <v>48005</v>
      </c>
      <c r="G13551" t="s">
        <v>65</v>
      </c>
      <c r="H13551">
        <v>43065</v>
      </c>
      <c r="I13551" t="s">
        <v>30</v>
      </c>
      <c r="J13551" t="s">
        <v>41</v>
      </c>
      <c r="K13551" t="s">
        <v>391</v>
      </c>
      <c r="Q13551">
        <v>0</v>
      </c>
      <c r="R13551">
        <v>0</v>
      </c>
      <c r="S13551">
        <v>0</v>
      </c>
      <c r="T13551" t="s">
        <v>48048</v>
      </c>
    </row>
    <row r="13552" spans="1:20" customFormat="1" ht="15" x14ac:dyDescent="0.25">
      <c r="A13552" t="s">
        <v>35</v>
      </c>
      <c r="B13552" t="s">
        <v>61</v>
      </c>
      <c r="C13552" t="str">
        <f>"A0132730"</f>
        <v>A0132730</v>
      </c>
      <c r="D13552" t="s">
        <v>48049</v>
      </c>
      <c r="E13552" t="s">
        <v>48050</v>
      </c>
      <c r="F13552" t="s">
        <v>5463</v>
      </c>
      <c r="G13552" t="s">
        <v>65</v>
      </c>
      <c r="H13552">
        <v>43040</v>
      </c>
      <c r="I13552" t="s">
        <v>30</v>
      </c>
      <c r="J13552" t="s">
        <v>41</v>
      </c>
      <c r="K13552" t="s">
        <v>391</v>
      </c>
      <c r="Q13552">
        <v>0</v>
      </c>
      <c r="R13552">
        <v>0</v>
      </c>
      <c r="S13552">
        <v>0</v>
      </c>
      <c r="T13552" t="s">
        <v>48051</v>
      </c>
    </row>
    <row r="13553" spans="1:20" customFormat="1" ht="15" x14ac:dyDescent="0.25">
      <c r="A13553" t="s">
        <v>35</v>
      </c>
      <c r="B13553" t="s">
        <v>61</v>
      </c>
      <c r="C13553" t="str">
        <f>"A0132723"</f>
        <v>A0132723</v>
      </c>
      <c r="D13553" t="s">
        <v>48052</v>
      </c>
      <c r="E13553" t="s">
        <v>48053</v>
      </c>
      <c r="F13553" t="s">
        <v>4735</v>
      </c>
      <c r="G13553" t="s">
        <v>65</v>
      </c>
      <c r="H13553">
        <v>43147</v>
      </c>
      <c r="I13553" t="s">
        <v>30</v>
      </c>
      <c r="J13553" t="s">
        <v>41</v>
      </c>
      <c r="K13553" t="s">
        <v>391</v>
      </c>
      <c r="Q13553">
        <v>0</v>
      </c>
      <c r="R13553">
        <v>0</v>
      </c>
      <c r="S13553">
        <v>0</v>
      </c>
      <c r="T13553" t="s">
        <v>48054</v>
      </c>
    </row>
    <row r="13554" spans="1:20" customFormat="1" ht="15" x14ac:dyDescent="0.25">
      <c r="A13554" t="s">
        <v>35</v>
      </c>
      <c r="B13554" t="s">
        <v>61</v>
      </c>
      <c r="C13554" t="str">
        <f>"A0132732"</f>
        <v>A0132732</v>
      </c>
      <c r="D13554" t="s">
        <v>48055</v>
      </c>
      <c r="E13554" t="s">
        <v>48056</v>
      </c>
      <c r="F13554" t="s">
        <v>48057</v>
      </c>
      <c r="G13554" t="s">
        <v>65</v>
      </c>
      <c r="H13554">
        <v>44145</v>
      </c>
      <c r="I13554" t="s">
        <v>30</v>
      </c>
      <c r="J13554" t="s">
        <v>41</v>
      </c>
      <c r="K13554" t="s">
        <v>391</v>
      </c>
      <c r="Q13554">
        <v>0</v>
      </c>
      <c r="R13554">
        <v>0</v>
      </c>
      <c r="S13554">
        <v>0</v>
      </c>
      <c r="T13554" t="s">
        <v>48058</v>
      </c>
    </row>
    <row r="13555" spans="1:20" customFormat="1" ht="15" x14ac:dyDescent="0.25">
      <c r="A13555" t="s">
        <v>35</v>
      </c>
      <c r="B13555" t="s">
        <v>61</v>
      </c>
      <c r="C13555" t="str">
        <f>"A0132290"</f>
        <v>A0132290</v>
      </c>
      <c r="D13555" t="s">
        <v>48059</v>
      </c>
      <c r="E13555" t="s">
        <v>48060</v>
      </c>
      <c r="F13555" t="s">
        <v>21686</v>
      </c>
      <c r="G13555" t="s">
        <v>65</v>
      </c>
      <c r="H13555">
        <v>43085</v>
      </c>
      <c r="I13555" t="s">
        <v>30</v>
      </c>
      <c r="J13555" t="s">
        <v>41</v>
      </c>
      <c r="K13555" t="s">
        <v>391</v>
      </c>
      <c r="Q13555">
        <v>0</v>
      </c>
      <c r="R13555">
        <v>0</v>
      </c>
      <c r="S13555">
        <v>0</v>
      </c>
      <c r="T13555" t="s">
        <v>48061</v>
      </c>
    </row>
    <row r="13556" spans="1:20" customFormat="1" ht="15" x14ac:dyDescent="0.25">
      <c r="A13556" t="s">
        <v>35</v>
      </c>
      <c r="B13556" t="s">
        <v>61</v>
      </c>
      <c r="C13556" t="str">
        <f>"A0121447"</f>
        <v>A0121447</v>
      </c>
      <c r="D13556" t="s">
        <v>48062</v>
      </c>
      <c r="E13556" t="s">
        <v>48063</v>
      </c>
      <c r="F13556" t="s">
        <v>23929</v>
      </c>
      <c r="G13556" t="s">
        <v>110</v>
      </c>
      <c r="H13556">
        <v>95008</v>
      </c>
      <c r="I13556" t="s">
        <v>30</v>
      </c>
      <c r="J13556" t="s">
        <v>41</v>
      </c>
      <c r="K13556" t="s">
        <v>59</v>
      </c>
      <c r="Q13556">
        <v>0</v>
      </c>
      <c r="R13556">
        <v>30</v>
      </c>
      <c r="S13556">
        <v>30</v>
      </c>
      <c r="T13556" t="s">
        <v>48064</v>
      </c>
    </row>
    <row r="13557" spans="1:20" customFormat="1" ht="15" x14ac:dyDescent="0.25">
      <c r="A13557" t="s">
        <v>35</v>
      </c>
      <c r="B13557" t="s">
        <v>61</v>
      </c>
      <c r="C13557" t="str">
        <f>"A0127504"</f>
        <v>A0127504</v>
      </c>
      <c r="D13557" t="s">
        <v>48065</v>
      </c>
      <c r="E13557" t="s">
        <v>48066</v>
      </c>
      <c r="F13557" t="s">
        <v>10272</v>
      </c>
      <c r="G13557" t="s">
        <v>507</v>
      </c>
      <c r="H13557">
        <v>24740</v>
      </c>
      <c r="I13557" t="s">
        <v>30</v>
      </c>
      <c r="J13557" t="s">
        <v>41</v>
      </c>
      <c r="K13557" t="s">
        <v>229</v>
      </c>
      <c r="Q13557">
        <v>0</v>
      </c>
      <c r="R13557">
        <v>120</v>
      </c>
      <c r="S13557">
        <v>120</v>
      </c>
      <c r="T13557" t="s">
        <v>48067</v>
      </c>
    </row>
    <row r="13558" spans="1:20" customFormat="1" ht="15" x14ac:dyDescent="0.25">
      <c r="A13558" t="s">
        <v>35</v>
      </c>
      <c r="B13558" t="s">
        <v>61</v>
      </c>
      <c r="C13558" t="str">
        <f>"A0124632"</f>
        <v>A0124632</v>
      </c>
      <c r="D13558" t="s">
        <v>48068</v>
      </c>
      <c r="E13558" t="s">
        <v>45785</v>
      </c>
      <c r="F13558" t="s">
        <v>45786</v>
      </c>
      <c r="G13558" t="s">
        <v>1369</v>
      </c>
      <c r="H13558">
        <v>39154</v>
      </c>
      <c r="I13558" t="s">
        <v>30</v>
      </c>
      <c r="J13558" t="s">
        <v>41</v>
      </c>
      <c r="K13558" t="s">
        <v>229</v>
      </c>
      <c r="Q13558">
        <v>0</v>
      </c>
      <c r="R13558">
        <v>1</v>
      </c>
      <c r="S13558">
        <v>1</v>
      </c>
      <c r="T13558" t="s">
        <v>45787</v>
      </c>
    </row>
    <row r="13559" spans="1:20" customFormat="1" ht="15" x14ac:dyDescent="0.25">
      <c r="A13559" t="s">
        <v>35</v>
      </c>
      <c r="B13559" t="s">
        <v>61</v>
      </c>
      <c r="C13559" t="str">
        <f>"A0130456"</f>
        <v>A0130456</v>
      </c>
      <c r="D13559" t="s">
        <v>48069</v>
      </c>
      <c r="E13559" t="s">
        <v>48070</v>
      </c>
      <c r="F13559" t="s">
        <v>7544</v>
      </c>
      <c r="G13559" t="s">
        <v>71</v>
      </c>
      <c r="H13559">
        <v>531510000</v>
      </c>
      <c r="I13559" t="s">
        <v>30</v>
      </c>
      <c r="J13559" t="s">
        <v>41</v>
      </c>
      <c r="K13559" t="s">
        <v>59</v>
      </c>
      <c r="Q13559">
        <v>0</v>
      </c>
      <c r="R13559">
        <v>250</v>
      </c>
      <c r="S13559">
        <v>250</v>
      </c>
      <c r="T13559" t="s">
        <v>48071</v>
      </c>
    </row>
    <row r="13560" spans="1:20" customFormat="1" ht="15" x14ac:dyDescent="0.25">
      <c r="A13560" t="s">
        <v>35</v>
      </c>
      <c r="B13560" t="s">
        <v>61</v>
      </c>
      <c r="C13560" t="str">
        <f>"A0123919"</f>
        <v>A0123919</v>
      </c>
      <c r="D13560" t="s">
        <v>48072</v>
      </c>
      <c r="E13560" t="s">
        <v>48073</v>
      </c>
      <c r="F13560" t="s">
        <v>4094</v>
      </c>
      <c r="G13560" t="s">
        <v>29</v>
      </c>
      <c r="H13560">
        <v>22405</v>
      </c>
      <c r="I13560" t="s">
        <v>30</v>
      </c>
      <c r="J13560" t="s">
        <v>41</v>
      </c>
      <c r="K13560" t="s">
        <v>10880</v>
      </c>
      <c r="Q13560">
        <v>0</v>
      </c>
      <c r="R13560">
        <v>0</v>
      </c>
      <c r="S13560">
        <v>0</v>
      </c>
      <c r="T13560" t="s">
        <v>48074</v>
      </c>
    </row>
    <row r="13561" spans="1:20" customFormat="1" ht="15" x14ac:dyDescent="0.25">
      <c r="A13561" t="s">
        <v>35</v>
      </c>
      <c r="B13561" t="s">
        <v>61</v>
      </c>
      <c r="C13561" t="str">
        <f>"A0118761"</f>
        <v>A0118761</v>
      </c>
      <c r="D13561" t="s">
        <v>48075</v>
      </c>
      <c r="E13561" t="s">
        <v>48076</v>
      </c>
      <c r="F13561" t="s">
        <v>3009</v>
      </c>
      <c r="G13561" t="s">
        <v>110</v>
      </c>
      <c r="H13561">
        <v>935360000</v>
      </c>
      <c r="I13561" t="s">
        <v>30</v>
      </c>
      <c r="J13561" t="s">
        <v>41</v>
      </c>
      <c r="K13561" t="s">
        <v>290</v>
      </c>
      <c r="Q13561">
        <v>0</v>
      </c>
      <c r="R13561">
        <v>1</v>
      </c>
      <c r="S13561">
        <v>1</v>
      </c>
      <c r="T13561" t="s">
        <v>48077</v>
      </c>
    </row>
    <row r="13562" spans="1:20" customFormat="1" ht="15" x14ac:dyDescent="0.25">
      <c r="A13562" t="s">
        <v>35</v>
      </c>
      <c r="B13562" t="s">
        <v>61</v>
      </c>
      <c r="C13562" t="str">
        <f>"A0128735"</f>
        <v>A0128735</v>
      </c>
      <c r="D13562" t="s">
        <v>48078</v>
      </c>
      <c r="E13562" t="s">
        <v>48079</v>
      </c>
      <c r="F13562" t="s">
        <v>15185</v>
      </c>
      <c r="G13562" t="s">
        <v>1170</v>
      </c>
      <c r="H13562">
        <v>711030000</v>
      </c>
      <c r="I13562" t="s">
        <v>30</v>
      </c>
      <c r="J13562" t="s">
        <v>41</v>
      </c>
      <c r="K13562" t="s">
        <v>229</v>
      </c>
      <c r="Q13562">
        <v>0</v>
      </c>
      <c r="R13562">
        <v>131</v>
      </c>
      <c r="S13562">
        <v>131</v>
      </c>
      <c r="T13562" t="s">
        <v>48080</v>
      </c>
    </row>
    <row r="13563" spans="1:20" customFormat="1" ht="15" x14ac:dyDescent="0.25">
      <c r="A13563" t="s">
        <v>35</v>
      </c>
      <c r="B13563" t="s">
        <v>61</v>
      </c>
      <c r="C13563" t="str">
        <f>"A0127706"</f>
        <v>A0127706</v>
      </c>
      <c r="D13563" t="s">
        <v>48081</v>
      </c>
      <c r="E13563" t="s">
        <v>48082</v>
      </c>
      <c r="F13563" t="s">
        <v>4619</v>
      </c>
      <c r="G13563" t="s">
        <v>117</v>
      </c>
      <c r="H13563">
        <v>481160000</v>
      </c>
      <c r="I13563" t="s">
        <v>30</v>
      </c>
      <c r="J13563" t="s">
        <v>41</v>
      </c>
      <c r="K13563" t="s">
        <v>131</v>
      </c>
      <c r="Q13563">
        <v>0</v>
      </c>
      <c r="R13563">
        <v>1</v>
      </c>
      <c r="S13563">
        <v>1</v>
      </c>
      <c r="T13563" t="s">
        <v>48083</v>
      </c>
    </row>
    <row r="13564" spans="1:20" customFormat="1" ht="15" x14ac:dyDescent="0.25">
      <c r="A13564" t="s">
        <v>35</v>
      </c>
      <c r="B13564" t="s">
        <v>61</v>
      </c>
      <c r="C13564" t="str">
        <f>"A0121537"</f>
        <v>A0121537</v>
      </c>
      <c r="D13564" t="s">
        <v>48084</v>
      </c>
      <c r="E13564" t="s">
        <v>48085</v>
      </c>
      <c r="F13564" t="s">
        <v>7362</v>
      </c>
      <c r="G13564" t="s">
        <v>110</v>
      </c>
      <c r="H13564">
        <v>90010</v>
      </c>
      <c r="I13564" t="s">
        <v>30</v>
      </c>
      <c r="J13564" t="s">
        <v>41</v>
      </c>
      <c r="K13564" t="s">
        <v>38683</v>
      </c>
      <c r="Q13564">
        <v>0</v>
      </c>
      <c r="R13564">
        <v>0</v>
      </c>
      <c r="S13564">
        <v>0</v>
      </c>
      <c r="T13564" t="s">
        <v>48086</v>
      </c>
    </row>
    <row r="13565" spans="1:20" customFormat="1" ht="15" x14ac:dyDescent="0.25">
      <c r="A13565" t="s">
        <v>35</v>
      </c>
      <c r="B13565" t="s">
        <v>61</v>
      </c>
      <c r="C13565" t="str">
        <f>"A0123559"</f>
        <v>A0123559</v>
      </c>
      <c r="D13565" t="s">
        <v>48087</v>
      </c>
      <c r="E13565" t="s">
        <v>48088</v>
      </c>
      <c r="F13565" t="s">
        <v>48089</v>
      </c>
      <c r="G13565" t="s">
        <v>29</v>
      </c>
      <c r="H13565">
        <v>23168</v>
      </c>
      <c r="I13565" t="s">
        <v>30</v>
      </c>
      <c r="J13565" t="s">
        <v>41</v>
      </c>
      <c r="K13565" t="s">
        <v>10880</v>
      </c>
      <c r="Q13565">
        <v>0</v>
      </c>
      <c r="R13565">
        <v>0</v>
      </c>
      <c r="S13565">
        <v>0</v>
      </c>
    </row>
    <row r="13566" spans="1:20" customFormat="1" ht="15" x14ac:dyDescent="0.25">
      <c r="A13566" t="s">
        <v>35</v>
      </c>
      <c r="B13566" t="s">
        <v>61</v>
      </c>
      <c r="C13566" t="str">
        <f>"A0122693"</f>
        <v>A0122693</v>
      </c>
      <c r="D13566" t="s">
        <v>48090</v>
      </c>
      <c r="E13566" t="s">
        <v>48091</v>
      </c>
      <c r="F13566" t="s">
        <v>1039</v>
      </c>
      <c r="G13566" t="s">
        <v>76</v>
      </c>
      <c r="H13566">
        <v>98446</v>
      </c>
      <c r="I13566" t="s">
        <v>30</v>
      </c>
      <c r="J13566" t="s">
        <v>41</v>
      </c>
      <c r="K13566" t="s">
        <v>104</v>
      </c>
      <c r="Q13566">
        <v>0</v>
      </c>
      <c r="R13566">
        <v>30</v>
      </c>
      <c r="S13566">
        <v>30</v>
      </c>
      <c r="T13566" t="s">
        <v>48092</v>
      </c>
    </row>
    <row r="13567" spans="1:20" customFormat="1" ht="15" x14ac:dyDescent="0.25">
      <c r="A13567" t="s">
        <v>35</v>
      </c>
      <c r="B13567" t="s">
        <v>61</v>
      </c>
      <c r="C13567" t="str">
        <f>"A0132596"</f>
        <v>A0132596</v>
      </c>
      <c r="D13567" t="s">
        <v>48093</v>
      </c>
      <c r="E13567" t="s">
        <v>48094</v>
      </c>
      <c r="F13567" t="s">
        <v>23333</v>
      </c>
      <c r="G13567" t="s">
        <v>65</v>
      </c>
      <c r="H13567">
        <v>448700000</v>
      </c>
      <c r="I13567" t="s">
        <v>30</v>
      </c>
      <c r="J13567" t="s">
        <v>41</v>
      </c>
      <c r="K13567" t="s">
        <v>229</v>
      </c>
      <c r="Q13567">
        <v>0</v>
      </c>
      <c r="R13567">
        <v>138</v>
      </c>
      <c r="S13567">
        <v>138</v>
      </c>
      <c r="T13567" t="s">
        <v>48095</v>
      </c>
    </row>
    <row r="13568" spans="1:20" customFormat="1" ht="15" x14ac:dyDescent="0.25">
      <c r="A13568" t="s">
        <v>35</v>
      </c>
      <c r="B13568" t="s">
        <v>106</v>
      </c>
      <c r="C13568" t="str">
        <f>"A0136222"</f>
        <v>A0136222</v>
      </c>
      <c r="D13568" t="s">
        <v>48096</v>
      </c>
      <c r="E13568" t="s">
        <v>48097</v>
      </c>
      <c r="F13568" t="s">
        <v>11777</v>
      </c>
      <c r="G13568" t="s">
        <v>381</v>
      </c>
      <c r="H13568">
        <v>47129</v>
      </c>
      <c r="I13568" t="s">
        <v>30</v>
      </c>
      <c r="J13568" t="s">
        <v>111</v>
      </c>
      <c r="K13568" t="s">
        <v>112</v>
      </c>
      <c r="Q13568">
        <v>0</v>
      </c>
      <c r="R13568">
        <v>0</v>
      </c>
      <c r="S13568">
        <v>0</v>
      </c>
      <c r="T13568" t="s">
        <v>48098</v>
      </c>
    </row>
    <row r="13569" spans="1:20" customFormat="1" ht="15" x14ac:dyDescent="0.25">
      <c r="A13569" t="s">
        <v>35</v>
      </c>
      <c r="B13569" t="s">
        <v>61</v>
      </c>
      <c r="C13569" t="str">
        <f>"A0128555"</f>
        <v>A0128555</v>
      </c>
      <c r="D13569" t="s">
        <v>48099</v>
      </c>
      <c r="E13569" t="s">
        <v>40505</v>
      </c>
      <c r="F13569" t="s">
        <v>13867</v>
      </c>
      <c r="G13569" t="s">
        <v>840</v>
      </c>
      <c r="H13569">
        <v>41014</v>
      </c>
      <c r="I13569" t="s">
        <v>30</v>
      </c>
      <c r="J13569" t="s">
        <v>41</v>
      </c>
      <c r="K13569" t="s">
        <v>229</v>
      </c>
      <c r="Q13569">
        <v>0</v>
      </c>
      <c r="R13569">
        <v>1</v>
      </c>
      <c r="S13569">
        <v>1</v>
      </c>
      <c r="T13569" t="s">
        <v>48100</v>
      </c>
    </row>
    <row r="13570" spans="1:20" customFormat="1" ht="15" x14ac:dyDescent="0.25">
      <c r="A13570" t="s">
        <v>35</v>
      </c>
      <c r="B13570" t="s">
        <v>61</v>
      </c>
      <c r="C13570" t="str">
        <f>"A0125314"</f>
        <v>A0125314</v>
      </c>
      <c r="D13570" t="s">
        <v>48101</v>
      </c>
      <c r="E13570" t="s">
        <v>48102</v>
      </c>
      <c r="F13570" t="s">
        <v>48103</v>
      </c>
      <c r="G13570" t="s">
        <v>40</v>
      </c>
      <c r="H13570">
        <v>738010000</v>
      </c>
      <c r="I13570" t="s">
        <v>30</v>
      </c>
      <c r="J13570" t="s">
        <v>41</v>
      </c>
      <c r="K13570" t="s">
        <v>59</v>
      </c>
      <c r="Q13570">
        <v>0</v>
      </c>
      <c r="R13570">
        <v>79</v>
      </c>
      <c r="S13570">
        <v>79</v>
      </c>
      <c r="T13570" t="s">
        <v>48104</v>
      </c>
    </row>
    <row r="13571" spans="1:20" customFormat="1" ht="15" x14ac:dyDescent="0.25">
      <c r="A13571" t="s">
        <v>35</v>
      </c>
      <c r="B13571" t="s">
        <v>61</v>
      </c>
      <c r="C13571" t="str">
        <f>"A0123560"</f>
        <v>A0123560</v>
      </c>
      <c r="D13571" t="s">
        <v>48105</v>
      </c>
      <c r="E13571" t="s">
        <v>48106</v>
      </c>
      <c r="F13571" t="s">
        <v>15622</v>
      </c>
      <c r="G13571" t="s">
        <v>29</v>
      </c>
      <c r="H13571" t="s">
        <v>48107</v>
      </c>
      <c r="I13571" t="s">
        <v>30</v>
      </c>
      <c r="J13571" t="s">
        <v>41</v>
      </c>
      <c r="K13571" t="s">
        <v>59</v>
      </c>
      <c r="Q13571">
        <v>0</v>
      </c>
      <c r="R13571">
        <v>1</v>
      </c>
      <c r="S13571">
        <v>1</v>
      </c>
      <c r="T13571" t="s">
        <v>48108</v>
      </c>
    </row>
    <row r="13572" spans="1:20" customFormat="1" ht="15" x14ac:dyDescent="0.25">
      <c r="A13572" t="s">
        <v>35</v>
      </c>
      <c r="B13572" t="s">
        <v>61</v>
      </c>
      <c r="C13572" t="str">
        <f>"A0123561"</f>
        <v>A0123561</v>
      </c>
      <c r="D13572" t="s">
        <v>48109</v>
      </c>
      <c r="E13572" t="s">
        <v>48110</v>
      </c>
      <c r="F13572" t="s">
        <v>11715</v>
      </c>
      <c r="G13572" t="s">
        <v>29</v>
      </c>
      <c r="H13572" t="s">
        <v>48111</v>
      </c>
      <c r="I13572" t="s">
        <v>30</v>
      </c>
      <c r="J13572" t="s">
        <v>41</v>
      </c>
      <c r="K13572" t="s">
        <v>59</v>
      </c>
      <c r="Q13572">
        <v>0</v>
      </c>
      <c r="R13572">
        <v>1</v>
      </c>
      <c r="S13572">
        <v>1</v>
      </c>
      <c r="T13572" t="s">
        <v>48112</v>
      </c>
    </row>
    <row r="13573" spans="1:20" customFormat="1" ht="15" x14ac:dyDescent="0.25">
      <c r="A13573" t="s">
        <v>35</v>
      </c>
      <c r="B13573" t="s">
        <v>61</v>
      </c>
      <c r="C13573" t="str">
        <f>"A0133544"</f>
        <v>A0133544</v>
      </c>
      <c r="D13573" t="s">
        <v>48113</v>
      </c>
      <c r="E13573" t="s">
        <v>48114</v>
      </c>
      <c r="F13573" t="s">
        <v>42300</v>
      </c>
      <c r="G13573" t="s">
        <v>52</v>
      </c>
      <c r="H13573">
        <v>77351</v>
      </c>
      <c r="I13573" t="s">
        <v>30</v>
      </c>
      <c r="J13573" t="s">
        <v>41</v>
      </c>
      <c r="K13573" t="s">
        <v>1032</v>
      </c>
      <c r="Q13573">
        <v>0</v>
      </c>
      <c r="R13573">
        <v>44</v>
      </c>
      <c r="S13573">
        <v>44</v>
      </c>
      <c r="T13573" t="s">
        <v>48115</v>
      </c>
    </row>
    <row r="13574" spans="1:20" customFormat="1" ht="15" x14ac:dyDescent="0.25">
      <c r="A13574" t="s">
        <v>35</v>
      </c>
      <c r="B13574" t="s">
        <v>61</v>
      </c>
      <c r="C13574" t="str">
        <f>"A0118271"</f>
        <v>A0118271</v>
      </c>
      <c r="D13574" t="s">
        <v>48116</v>
      </c>
      <c r="E13574" t="s">
        <v>48117</v>
      </c>
      <c r="F13574" t="s">
        <v>399</v>
      </c>
      <c r="G13574" t="s">
        <v>153</v>
      </c>
      <c r="H13574">
        <v>84606</v>
      </c>
      <c r="I13574" t="s">
        <v>30</v>
      </c>
      <c r="J13574" t="s">
        <v>41</v>
      </c>
      <c r="K13574" t="s">
        <v>59</v>
      </c>
      <c r="Q13574">
        <v>0</v>
      </c>
      <c r="R13574">
        <v>37</v>
      </c>
      <c r="S13574">
        <v>37</v>
      </c>
      <c r="T13574" t="s">
        <v>48118</v>
      </c>
    </row>
    <row r="13575" spans="1:20" customFormat="1" ht="15" x14ac:dyDescent="0.25">
      <c r="A13575" t="s">
        <v>35</v>
      </c>
      <c r="B13575" t="s">
        <v>61</v>
      </c>
      <c r="C13575" t="str">
        <f>"A0125876"</f>
        <v>A0125876</v>
      </c>
      <c r="D13575" t="s">
        <v>48119</v>
      </c>
      <c r="E13575" t="s">
        <v>48120</v>
      </c>
      <c r="F13575" t="s">
        <v>11715</v>
      </c>
      <c r="G13575" t="s">
        <v>29</v>
      </c>
      <c r="H13575">
        <v>23702</v>
      </c>
      <c r="I13575" t="s">
        <v>30</v>
      </c>
      <c r="J13575" t="s">
        <v>41</v>
      </c>
      <c r="K13575" t="s">
        <v>59</v>
      </c>
      <c r="Q13575">
        <v>0</v>
      </c>
      <c r="R13575">
        <v>8</v>
      </c>
      <c r="S13575">
        <v>8</v>
      </c>
      <c r="T13575" t="s">
        <v>37513</v>
      </c>
    </row>
    <row r="13576" spans="1:20" customFormat="1" ht="15" x14ac:dyDescent="0.25">
      <c r="A13576" t="s">
        <v>35</v>
      </c>
      <c r="B13576" t="s">
        <v>106</v>
      </c>
      <c r="C13576" t="str">
        <f>"A0135336"</f>
        <v>A0135336</v>
      </c>
      <c r="D13576" t="s">
        <v>48121</v>
      </c>
      <c r="E13576" t="s">
        <v>48122</v>
      </c>
      <c r="F13576" t="s">
        <v>48123</v>
      </c>
      <c r="G13576" t="s">
        <v>1184</v>
      </c>
      <c r="H13576">
        <v>59066</v>
      </c>
      <c r="I13576" t="s">
        <v>30</v>
      </c>
      <c r="J13576" t="s">
        <v>111</v>
      </c>
      <c r="K13576" t="s">
        <v>112</v>
      </c>
      <c r="Q13576">
        <v>0</v>
      </c>
      <c r="R13576">
        <v>0</v>
      </c>
      <c r="S13576">
        <v>0</v>
      </c>
      <c r="T13576" t="s">
        <v>48124</v>
      </c>
    </row>
    <row r="13577" spans="1:20" customFormat="1" ht="15" x14ac:dyDescent="0.25">
      <c r="A13577" t="s">
        <v>35</v>
      </c>
      <c r="B13577" t="s">
        <v>106</v>
      </c>
      <c r="C13577" t="str">
        <f>"A0136147"</f>
        <v>A0136147</v>
      </c>
      <c r="D13577" t="s">
        <v>48125</v>
      </c>
      <c r="E13577" t="s">
        <v>48126</v>
      </c>
      <c r="F13577" t="s">
        <v>7362</v>
      </c>
      <c r="G13577" t="s">
        <v>110</v>
      </c>
      <c r="H13577">
        <v>90035</v>
      </c>
      <c r="I13577" t="s">
        <v>30</v>
      </c>
      <c r="J13577" t="s">
        <v>111</v>
      </c>
      <c r="K13577" t="s">
        <v>10012</v>
      </c>
      <c r="Q13577">
        <v>0</v>
      </c>
      <c r="R13577">
        <v>0</v>
      </c>
      <c r="S13577">
        <v>0</v>
      </c>
      <c r="T13577" t="s">
        <v>48127</v>
      </c>
    </row>
    <row r="13578" spans="1:20" customFormat="1" ht="15" x14ac:dyDescent="0.25">
      <c r="A13578" t="s">
        <v>35</v>
      </c>
      <c r="B13578" t="s">
        <v>61</v>
      </c>
      <c r="C13578" t="str">
        <f>"A0124328"</f>
        <v>A0124328</v>
      </c>
      <c r="D13578" t="s">
        <v>48128</v>
      </c>
      <c r="E13578" t="s">
        <v>48129</v>
      </c>
      <c r="F13578" t="s">
        <v>531</v>
      </c>
      <c r="G13578" t="s">
        <v>528</v>
      </c>
      <c r="H13578">
        <v>19904</v>
      </c>
      <c r="I13578" t="s">
        <v>30</v>
      </c>
      <c r="J13578" t="s">
        <v>41</v>
      </c>
      <c r="K13578" t="s">
        <v>482</v>
      </c>
      <c r="Q13578">
        <v>0</v>
      </c>
      <c r="R13578">
        <v>32</v>
      </c>
      <c r="S13578">
        <v>32</v>
      </c>
      <c r="T13578" t="s">
        <v>48130</v>
      </c>
    </row>
    <row r="13579" spans="1:20" customFormat="1" ht="15" x14ac:dyDescent="0.25">
      <c r="A13579" t="s">
        <v>35</v>
      </c>
      <c r="B13579" t="s">
        <v>61</v>
      </c>
      <c r="C13579" t="str">
        <f>"A0123562"</f>
        <v>A0123562</v>
      </c>
      <c r="D13579" t="s">
        <v>48131</v>
      </c>
      <c r="E13579" t="s">
        <v>48132</v>
      </c>
      <c r="F13579" t="s">
        <v>48133</v>
      </c>
      <c r="G13579" t="s">
        <v>29</v>
      </c>
      <c r="H13579">
        <v>24301</v>
      </c>
      <c r="I13579" t="s">
        <v>30</v>
      </c>
      <c r="J13579" t="s">
        <v>41</v>
      </c>
      <c r="K13579" t="s">
        <v>229</v>
      </c>
      <c r="Q13579">
        <v>0</v>
      </c>
      <c r="R13579">
        <v>60</v>
      </c>
      <c r="S13579">
        <v>60</v>
      </c>
      <c r="T13579" t="s">
        <v>48134</v>
      </c>
    </row>
    <row r="13580" spans="1:20" customFormat="1" ht="15" x14ac:dyDescent="0.25">
      <c r="A13580" t="s">
        <v>35</v>
      </c>
      <c r="B13580" t="s">
        <v>61</v>
      </c>
      <c r="C13580" t="str">
        <f>"A0123563"</f>
        <v>A0123563</v>
      </c>
      <c r="D13580" t="s">
        <v>48135</v>
      </c>
      <c r="E13580" t="s">
        <v>48132</v>
      </c>
      <c r="F13580" t="s">
        <v>48133</v>
      </c>
      <c r="G13580" t="s">
        <v>29</v>
      </c>
      <c r="H13580">
        <v>24301</v>
      </c>
      <c r="I13580" t="s">
        <v>30</v>
      </c>
      <c r="J13580" t="s">
        <v>41</v>
      </c>
      <c r="K13580" t="s">
        <v>482</v>
      </c>
      <c r="Q13580">
        <v>0</v>
      </c>
      <c r="R13580">
        <v>50</v>
      </c>
      <c r="S13580">
        <v>50</v>
      </c>
      <c r="T13580" t="s">
        <v>48136</v>
      </c>
    </row>
    <row r="13581" spans="1:20" customFormat="1" ht="15" x14ac:dyDescent="0.25">
      <c r="A13581" t="s">
        <v>35</v>
      </c>
      <c r="B13581" t="s">
        <v>61</v>
      </c>
      <c r="C13581" t="str">
        <f>"A0123564"</f>
        <v>A0123564</v>
      </c>
      <c r="D13581" t="s">
        <v>48137</v>
      </c>
      <c r="E13581" t="s">
        <v>48138</v>
      </c>
      <c r="F13581" t="s">
        <v>48139</v>
      </c>
      <c r="G13581" t="s">
        <v>214</v>
      </c>
      <c r="H13581">
        <v>27810</v>
      </c>
      <c r="I13581" t="s">
        <v>30</v>
      </c>
      <c r="J13581" t="s">
        <v>41</v>
      </c>
      <c r="K13581" t="s">
        <v>229</v>
      </c>
      <c r="Q13581">
        <v>0</v>
      </c>
      <c r="R13581">
        <v>10</v>
      </c>
      <c r="S13581">
        <v>10</v>
      </c>
      <c r="T13581" t="s">
        <v>48140</v>
      </c>
    </row>
    <row r="13582" spans="1:20" customFormat="1" ht="15" x14ac:dyDescent="0.25">
      <c r="A13582" t="s">
        <v>35</v>
      </c>
      <c r="B13582" t="s">
        <v>61</v>
      </c>
      <c r="C13582" t="str">
        <f>"A0152944"</f>
        <v>A0152944</v>
      </c>
      <c r="D13582" t="s">
        <v>48141</v>
      </c>
      <c r="E13582" t="s">
        <v>48142</v>
      </c>
      <c r="F13582" t="s">
        <v>48143</v>
      </c>
      <c r="G13582" t="s">
        <v>76</v>
      </c>
      <c r="H13582">
        <v>98372</v>
      </c>
      <c r="I13582" t="s">
        <v>30</v>
      </c>
      <c r="J13582" t="s">
        <v>41</v>
      </c>
      <c r="K13582" t="s">
        <v>229</v>
      </c>
      <c r="Q13582">
        <v>0</v>
      </c>
      <c r="R13582">
        <v>120</v>
      </c>
      <c r="S13582">
        <v>120</v>
      </c>
      <c r="T13582" t="s">
        <v>48144</v>
      </c>
    </row>
    <row r="13583" spans="1:20" customFormat="1" ht="15" x14ac:dyDescent="0.25">
      <c r="A13583" t="s">
        <v>35</v>
      </c>
      <c r="B13583" t="s">
        <v>61</v>
      </c>
      <c r="C13583" t="str">
        <f>"A0122917"</f>
        <v>A0122917</v>
      </c>
      <c r="D13583" t="s">
        <v>48145</v>
      </c>
      <c r="E13583" t="s">
        <v>48146</v>
      </c>
      <c r="F13583" t="s">
        <v>48143</v>
      </c>
      <c r="G13583" t="s">
        <v>76</v>
      </c>
      <c r="H13583">
        <v>98371</v>
      </c>
      <c r="I13583" t="s">
        <v>30</v>
      </c>
      <c r="J13583" t="s">
        <v>41</v>
      </c>
      <c r="K13583" t="s">
        <v>482</v>
      </c>
      <c r="Q13583">
        <v>0</v>
      </c>
      <c r="R13583">
        <v>50</v>
      </c>
      <c r="S13583">
        <v>50</v>
      </c>
      <c r="T13583" t="s">
        <v>48147</v>
      </c>
    </row>
    <row r="13584" spans="1:20" customFormat="1" ht="15" x14ac:dyDescent="0.25">
      <c r="A13584" t="s">
        <v>35</v>
      </c>
      <c r="B13584" t="s">
        <v>61</v>
      </c>
      <c r="C13584" t="str">
        <f>"A0124680"</f>
        <v>A0124680</v>
      </c>
      <c r="D13584" t="s">
        <v>48148</v>
      </c>
      <c r="E13584" t="s">
        <v>48149</v>
      </c>
      <c r="F13584" t="s">
        <v>48150</v>
      </c>
      <c r="G13584" t="s">
        <v>1170</v>
      </c>
      <c r="H13584">
        <v>70392</v>
      </c>
      <c r="I13584" t="s">
        <v>30</v>
      </c>
      <c r="J13584" t="s">
        <v>41</v>
      </c>
      <c r="K13584" t="s">
        <v>229</v>
      </c>
      <c r="Q13584">
        <v>0</v>
      </c>
      <c r="R13584">
        <v>131</v>
      </c>
      <c r="S13584">
        <v>131</v>
      </c>
      <c r="T13584" t="s">
        <v>48151</v>
      </c>
    </row>
    <row r="13585" spans="1:20" customFormat="1" ht="15" x14ac:dyDescent="0.25">
      <c r="A13585" t="s">
        <v>35</v>
      </c>
      <c r="B13585" t="s">
        <v>61</v>
      </c>
      <c r="C13585" t="str">
        <f>"A0121255"</f>
        <v>A0121255</v>
      </c>
      <c r="D13585" t="s">
        <v>48152</v>
      </c>
      <c r="E13585" t="s">
        <v>48153</v>
      </c>
      <c r="F13585" t="s">
        <v>48154</v>
      </c>
      <c r="G13585" t="s">
        <v>153</v>
      </c>
      <c r="H13585">
        <v>84414</v>
      </c>
      <c r="I13585" t="s">
        <v>30</v>
      </c>
      <c r="J13585" t="s">
        <v>41</v>
      </c>
      <c r="K13585" t="s">
        <v>59</v>
      </c>
      <c r="Q13585">
        <v>0</v>
      </c>
      <c r="R13585">
        <v>26</v>
      </c>
      <c r="S13585">
        <v>26</v>
      </c>
      <c r="T13585" t="s">
        <v>48155</v>
      </c>
    </row>
    <row r="13586" spans="1:20" customFormat="1" ht="15" x14ac:dyDescent="0.25">
      <c r="A13586" t="s">
        <v>35</v>
      </c>
      <c r="B13586" t="s">
        <v>61</v>
      </c>
      <c r="C13586" t="str">
        <f>"A0125202"</f>
        <v>A0125202</v>
      </c>
      <c r="D13586" t="s">
        <v>48156</v>
      </c>
      <c r="E13586" t="s">
        <v>48157</v>
      </c>
      <c r="F13586" t="s">
        <v>4037</v>
      </c>
      <c r="G13586" t="s">
        <v>40</v>
      </c>
      <c r="H13586">
        <v>73120</v>
      </c>
      <c r="I13586" t="s">
        <v>30</v>
      </c>
      <c r="J13586" t="s">
        <v>41</v>
      </c>
      <c r="K13586" t="s">
        <v>59</v>
      </c>
      <c r="Q13586">
        <v>0</v>
      </c>
      <c r="R13586">
        <v>120</v>
      </c>
      <c r="S13586">
        <v>120</v>
      </c>
      <c r="T13586" t="s">
        <v>48158</v>
      </c>
    </row>
    <row r="13587" spans="1:20" customFormat="1" ht="15" x14ac:dyDescent="0.25">
      <c r="A13587" t="s">
        <v>35</v>
      </c>
      <c r="B13587" t="s">
        <v>61</v>
      </c>
      <c r="C13587" t="str">
        <f>"A0124330"</f>
        <v>A0124330</v>
      </c>
      <c r="D13587" t="s">
        <v>48159</v>
      </c>
      <c r="E13587" t="s">
        <v>48160</v>
      </c>
      <c r="F13587" t="s">
        <v>48161</v>
      </c>
      <c r="G13587" t="s">
        <v>123</v>
      </c>
      <c r="H13587">
        <v>21234</v>
      </c>
      <c r="I13587" t="s">
        <v>30</v>
      </c>
      <c r="J13587" t="s">
        <v>41</v>
      </c>
      <c r="K13587" t="s">
        <v>482</v>
      </c>
      <c r="Q13587">
        <v>0</v>
      </c>
      <c r="R13587">
        <v>64</v>
      </c>
      <c r="S13587">
        <v>64</v>
      </c>
      <c r="T13587" t="s">
        <v>48162</v>
      </c>
    </row>
    <row r="13588" spans="1:20" customFormat="1" ht="15" x14ac:dyDescent="0.25">
      <c r="A13588" t="s">
        <v>35</v>
      </c>
      <c r="B13588" t="s">
        <v>61</v>
      </c>
      <c r="C13588" t="str">
        <f>"A0122602"</f>
        <v>A0122602</v>
      </c>
      <c r="D13588" t="s">
        <v>48163</v>
      </c>
      <c r="E13588" t="s">
        <v>48164</v>
      </c>
      <c r="F13588" t="s">
        <v>48165</v>
      </c>
      <c r="G13588" t="s">
        <v>76</v>
      </c>
      <c r="H13588">
        <v>99362</v>
      </c>
      <c r="I13588" t="s">
        <v>30</v>
      </c>
      <c r="J13588" t="s">
        <v>41</v>
      </c>
      <c r="K13588" t="s">
        <v>59</v>
      </c>
      <c r="Q13588">
        <v>0</v>
      </c>
      <c r="R13588">
        <v>50</v>
      </c>
      <c r="S13588">
        <v>50</v>
      </c>
      <c r="T13588" t="s">
        <v>48166</v>
      </c>
    </row>
    <row r="13589" spans="1:20" customFormat="1" ht="15" x14ac:dyDescent="0.25">
      <c r="A13589" t="s">
        <v>35</v>
      </c>
      <c r="B13589" t="s">
        <v>61</v>
      </c>
      <c r="C13589" t="str">
        <f>"A0126395"</f>
        <v>A0126395</v>
      </c>
      <c r="D13589" t="s">
        <v>48167</v>
      </c>
      <c r="E13589" t="s">
        <v>48168</v>
      </c>
      <c r="F13589" t="s">
        <v>13542</v>
      </c>
      <c r="G13589" t="s">
        <v>81</v>
      </c>
      <c r="H13589">
        <v>34652</v>
      </c>
      <c r="I13589" t="s">
        <v>30</v>
      </c>
      <c r="J13589" t="s">
        <v>41</v>
      </c>
      <c r="K13589" t="s">
        <v>2477</v>
      </c>
      <c r="Q13589">
        <v>0</v>
      </c>
      <c r="R13589">
        <v>0</v>
      </c>
      <c r="S13589">
        <v>0</v>
      </c>
      <c r="T13589" t="s">
        <v>48169</v>
      </c>
    </row>
    <row r="13590" spans="1:20" customFormat="1" ht="15" x14ac:dyDescent="0.25">
      <c r="A13590" t="s">
        <v>35</v>
      </c>
      <c r="B13590" t="s">
        <v>61</v>
      </c>
      <c r="C13590" t="str">
        <f>"A0129954"</f>
        <v>A0129954</v>
      </c>
      <c r="D13590" t="s">
        <v>48170</v>
      </c>
      <c r="E13590" t="s">
        <v>38978</v>
      </c>
      <c r="F13590" t="s">
        <v>4746</v>
      </c>
      <c r="G13590" t="s">
        <v>880</v>
      </c>
      <c r="H13590">
        <v>37087</v>
      </c>
      <c r="I13590" t="s">
        <v>30</v>
      </c>
      <c r="J13590" t="s">
        <v>41</v>
      </c>
      <c r="K13590" t="s">
        <v>229</v>
      </c>
      <c r="Q13590">
        <v>0</v>
      </c>
      <c r="R13590">
        <v>190</v>
      </c>
      <c r="S13590">
        <v>190</v>
      </c>
      <c r="T13590" t="s">
        <v>48171</v>
      </c>
    </row>
    <row r="13591" spans="1:20" customFormat="1" ht="15" x14ac:dyDescent="0.25">
      <c r="A13591" t="s">
        <v>35</v>
      </c>
      <c r="B13591" t="s">
        <v>61</v>
      </c>
      <c r="C13591" t="str">
        <f>"A0125101"</f>
        <v>A0125101</v>
      </c>
      <c r="D13591" t="s">
        <v>48172</v>
      </c>
      <c r="E13591" t="s">
        <v>48173</v>
      </c>
      <c r="F13591" t="s">
        <v>48174</v>
      </c>
      <c r="G13591" t="s">
        <v>214</v>
      </c>
      <c r="H13591">
        <v>28023</v>
      </c>
      <c r="I13591" t="s">
        <v>30</v>
      </c>
      <c r="J13591" t="s">
        <v>41</v>
      </c>
      <c r="K13591" t="s">
        <v>59</v>
      </c>
      <c r="Q13591">
        <v>0</v>
      </c>
      <c r="R13591">
        <v>29</v>
      </c>
      <c r="S13591">
        <v>29</v>
      </c>
      <c r="T13591" t="s">
        <v>48175</v>
      </c>
    </row>
    <row r="13592" spans="1:20" customFormat="1" ht="15" x14ac:dyDescent="0.25">
      <c r="A13592" t="s">
        <v>35</v>
      </c>
      <c r="B13592" t="s">
        <v>61</v>
      </c>
      <c r="C13592" t="str">
        <f>"A0131319"</f>
        <v>A0131319</v>
      </c>
      <c r="D13592" t="s">
        <v>48176</v>
      </c>
      <c r="E13592" t="s">
        <v>48177</v>
      </c>
      <c r="F13592" t="s">
        <v>41351</v>
      </c>
      <c r="G13592" t="s">
        <v>137</v>
      </c>
      <c r="H13592">
        <v>63028</v>
      </c>
      <c r="I13592" t="s">
        <v>30</v>
      </c>
      <c r="J13592" t="s">
        <v>41</v>
      </c>
      <c r="K13592" t="s">
        <v>2477</v>
      </c>
      <c r="Q13592">
        <v>0</v>
      </c>
      <c r="R13592">
        <v>0</v>
      </c>
      <c r="S13592">
        <v>0</v>
      </c>
      <c r="T13592" t="s">
        <v>48178</v>
      </c>
    </row>
    <row r="13593" spans="1:20" customFormat="1" ht="15" x14ac:dyDescent="0.25">
      <c r="A13593" t="s">
        <v>35</v>
      </c>
      <c r="B13593" t="s">
        <v>61</v>
      </c>
      <c r="C13593" t="str">
        <f>"A0125315"</f>
        <v>A0125315</v>
      </c>
      <c r="D13593" t="s">
        <v>48179</v>
      </c>
      <c r="E13593" t="s">
        <v>48180</v>
      </c>
      <c r="F13593" t="s">
        <v>17557</v>
      </c>
      <c r="G13593" t="s">
        <v>40</v>
      </c>
      <c r="H13593">
        <v>743010000</v>
      </c>
      <c r="I13593" t="s">
        <v>30</v>
      </c>
      <c r="J13593" t="s">
        <v>41</v>
      </c>
      <c r="K13593" t="s">
        <v>59</v>
      </c>
      <c r="Q13593">
        <v>0</v>
      </c>
      <c r="R13593">
        <v>6</v>
      </c>
      <c r="S13593">
        <v>6</v>
      </c>
      <c r="T13593" t="s">
        <v>48181</v>
      </c>
    </row>
    <row r="13594" spans="1:20" customFormat="1" ht="15" x14ac:dyDescent="0.25">
      <c r="A13594" t="s">
        <v>35</v>
      </c>
      <c r="B13594" t="s">
        <v>61</v>
      </c>
      <c r="C13594" t="str">
        <f>"A0130994"</f>
        <v>A0130994</v>
      </c>
      <c r="D13594" t="s">
        <v>48182</v>
      </c>
      <c r="E13594" t="s">
        <v>48183</v>
      </c>
      <c r="F13594" t="s">
        <v>1755</v>
      </c>
      <c r="G13594" t="s">
        <v>137</v>
      </c>
      <c r="H13594">
        <v>658060000</v>
      </c>
      <c r="I13594" t="s">
        <v>30</v>
      </c>
      <c r="J13594" t="s">
        <v>41</v>
      </c>
      <c r="K13594" t="s">
        <v>59</v>
      </c>
      <c r="Q13594">
        <v>0</v>
      </c>
      <c r="R13594">
        <v>42</v>
      </c>
      <c r="S13594">
        <v>42</v>
      </c>
      <c r="T13594" t="s">
        <v>44032</v>
      </c>
    </row>
    <row r="13595" spans="1:20" customFormat="1" ht="15" x14ac:dyDescent="0.25">
      <c r="A13595" t="s">
        <v>35</v>
      </c>
      <c r="B13595" t="s">
        <v>61</v>
      </c>
      <c r="C13595" t="str">
        <f>"A0123565"</f>
        <v>A0123565</v>
      </c>
      <c r="D13595" t="s">
        <v>48184</v>
      </c>
      <c r="E13595" t="s">
        <v>48185</v>
      </c>
      <c r="F13595" t="s">
        <v>510</v>
      </c>
      <c r="G13595" t="s">
        <v>507</v>
      </c>
      <c r="H13595">
        <v>25304</v>
      </c>
      <c r="I13595" t="s">
        <v>30</v>
      </c>
      <c r="J13595" t="s">
        <v>41</v>
      </c>
      <c r="K13595" t="s">
        <v>482</v>
      </c>
      <c r="Q13595">
        <v>0</v>
      </c>
      <c r="R13595">
        <v>68</v>
      </c>
      <c r="S13595">
        <v>68</v>
      </c>
      <c r="T13595" t="s">
        <v>48186</v>
      </c>
    </row>
    <row r="13596" spans="1:20" customFormat="1" ht="15" x14ac:dyDescent="0.25">
      <c r="A13596" t="s">
        <v>35</v>
      </c>
      <c r="B13596" t="s">
        <v>61</v>
      </c>
      <c r="C13596" t="str">
        <f>"A0124523"</f>
        <v>A0124523</v>
      </c>
      <c r="D13596" t="s">
        <v>48187</v>
      </c>
      <c r="E13596" t="s">
        <v>48188</v>
      </c>
      <c r="F13596" t="s">
        <v>455</v>
      </c>
      <c r="G13596" t="s">
        <v>1369</v>
      </c>
      <c r="H13596">
        <v>393010000</v>
      </c>
      <c r="I13596" t="s">
        <v>30</v>
      </c>
      <c r="J13596" t="s">
        <v>41</v>
      </c>
      <c r="K13596" t="s">
        <v>229</v>
      </c>
      <c r="Q13596">
        <v>0</v>
      </c>
      <c r="R13596">
        <v>60</v>
      </c>
      <c r="S13596">
        <v>60</v>
      </c>
      <c r="T13596" t="s">
        <v>48189</v>
      </c>
    </row>
    <row r="13597" spans="1:20" customFormat="1" ht="15" x14ac:dyDescent="0.25">
      <c r="A13597" t="s">
        <v>35</v>
      </c>
      <c r="B13597" t="s">
        <v>61</v>
      </c>
      <c r="C13597" t="str">
        <f>"A0125472"</f>
        <v>A0125472</v>
      </c>
      <c r="D13597" t="s">
        <v>48190</v>
      </c>
      <c r="E13597" t="s">
        <v>48191</v>
      </c>
      <c r="F13597" t="s">
        <v>48192</v>
      </c>
      <c r="G13597" t="s">
        <v>40</v>
      </c>
      <c r="H13597">
        <v>74561</v>
      </c>
      <c r="I13597" t="s">
        <v>30</v>
      </c>
      <c r="J13597" t="s">
        <v>41</v>
      </c>
      <c r="K13597" t="s">
        <v>229</v>
      </c>
      <c r="Q13597">
        <v>0</v>
      </c>
      <c r="R13597">
        <v>50</v>
      </c>
      <c r="S13597">
        <v>50</v>
      </c>
      <c r="T13597" t="s">
        <v>48193</v>
      </c>
    </row>
    <row r="13598" spans="1:20" customFormat="1" ht="15" x14ac:dyDescent="0.25">
      <c r="A13598" t="s">
        <v>35</v>
      </c>
      <c r="B13598" t="s">
        <v>437</v>
      </c>
      <c r="C13598" t="str">
        <f>"A0134046"</f>
        <v>A0134046</v>
      </c>
      <c r="D13598" t="s">
        <v>48194</v>
      </c>
      <c r="E13598" t="s">
        <v>48195</v>
      </c>
      <c r="F13598" t="s">
        <v>48196</v>
      </c>
      <c r="G13598" t="s">
        <v>110</v>
      </c>
      <c r="H13598">
        <v>92677</v>
      </c>
      <c r="I13598" t="s">
        <v>30</v>
      </c>
      <c r="J13598" t="s">
        <v>441</v>
      </c>
      <c r="K13598" t="s">
        <v>442</v>
      </c>
      <c r="Q13598">
        <v>0</v>
      </c>
      <c r="R13598">
        <v>0</v>
      </c>
      <c r="S13598">
        <v>0</v>
      </c>
      <c r="T13598" t="s">
        <v>48197</v>
      </c>
    </row>
    <row r="13599" spans="1:20" customFormat="1" ht="15" x14ac:dyDescent="0.25">
      <c r="A13599" t="s">
        <v>35</v>
      </c>
      <c r="B13599" t="s">
        <v>61</v>
      </c>
      <c r="C13599" t="str">
        <f>"A0125675"</f>
        <v>A0125675</v>
      </c>
      <c r="D13599" t="s">
        <v>48198</v>
      </c>
      <c r="E13599" t="s">
        <v>48199</v>
      </c>
      <c r="F13599" t="s">
        <v>1795</v>
      </c>
      <c r="G13599" t="s">
        <v>29</v>
      </c>
      <c r="H13599">
        <v>23220</v>
      </c>
      <c r="I13599" t="s">
        <v>30</v>
      </c>
      <c r="J13599" t="s">
        <v>41</v>
      </c>
      <c r="K13599" t="s">
        <v>59</v>
      </c>
      <c r="Q13599">
        <v>0</v>
      </c>
      <c r="R13599">
        <v>120</v>
      </c>
      <c r="S13599">
        <v>120</v>
      </c>
      <c r="T13599" t="s">
        <v>48200</v>
      </c>
    </row>
    <row r="13600" spans="1:20" customFormat="1" ht="15" x14ac:dyDescent="0.25">
      <c r="A13600" t="s">
        <v>35</v>
      </c>
      <c r="B13600" t="s">
        <v>61</v>
      </c>
      <c r="C13600" t="str">
        <f>"A0126145"</f>
        <v>A0126145</v>
      </c>
      <c r="D13600" t="s">
        <v>48201</v>
      </c>
      <c r="E13600" t="s">
        <v>48202</v>
      </c>
      <c r="F13600" t="s">
        <v>10346</v>
      </c>
      <c r="G13600" t="s">
        <v>197</v>
      </c>
      <c r="H13600">
        <v>86322</v>
      </c>
      <c r="I13600" t="s">
        <v>30</v>
      </c>
      <c r="J13600" t="s">
        <v>41</v>
      </c>
      <c r="K13600" t="s">
        <v>131</v>
      </c>
      <c r="Q13600">
        <v>0</v>
      </c>
      <c r="R13600">
        <v>100</v>
      </c>
      <c r="S13600">
        <v>100</v>
      </c>
      <c r="T13600" t="s">
        <v>48203</v>
      </c>
    </row>
    <row r="13601" spans="1:20" customFormat="1" ht="15" x14ac:dyDescent="0.25">
      <c r="A13601" t="s">
        <v>35</v>
      </c>
      <c r="B13601" t="s">
        <v>61</v>
      </c>
      <c r="C13601" t="str">
        <f>"A0125341"</f>
        <v>A0125341</v>
      </c>
      <c r="D13601" t="s">
        <v>48204</v>
      </c>
      <c r="E13601" t="s">
        <v>48205</v>
      </c>
      <c r="F13601" t="s">
        <v>48206</v>
      </c>
      <c r="G13601" t="s">
        <v>40</v>
      </c>
      <c r="H13601">
        <v>74880</v>
      </c>
      <c r="I13601" t="s">
        <v>30</v>
      </c>
      <c r="J13601" t="s">
        <v>41</v>
      </c>
      <c r="K13601" t="s">
        <v>59</v>
      </c>
      <c r="Q13601">
        <v>0</v>
      </c>
      <c r="R13601">
        <v>60</v>
      </c>
      <c r="S13601">
        <v>60</v>
      </c>
      <c r="T13601" t="s">
        <v>48207</v>
      </c>
    </row>
    <row r="13602" spans="1:20" customFormat="1" ht="15" x14ac:dyDescent="0.25">
      <c r="A13602" t="s">
        <v>35</v>
      </c>
      <c r="B13602" t="s">
        <v>61</v>
      </c>
      <c r="C13602" t="str">
        <f>"A0121313"</f>
        <v>A0121313</v>
      </c>
      <c r="D13602" t="s">
        <v>48208</v>
      </c>
      <c r="E13602" t="s">
        <v>48209</v>
      </c>
      <c r="F13602" t="s">
        <v>21278</v>
      </c>
      <c r="G13602" t="s">
        <v>153</v>
      </c>
      <c r="H13602">
        <v>84075</v>
      </c>
      <c r="I13602" t="s">
        <v>30</v>
      </c>
      <c r="J13602" t="s">
        <v>41</v>
      </c>
      <c r="K13602" t="s">
        <v>59</v>
      </c>
      <c r="Q13602">
        <v>0</v>
      </c>
      <c r="R13602">
        <v>28</v>
      </c>
      <c r="S13602">
        <v>28</v>
      </c>
      <c r="T13602" t="s">
        <v>48210</v>
      </c>
    </row>
    <row r="13603" spans="1:20" customFormat="1" ht="15" x14ac:dyDescent="0.25">
      <c r="A13603" t="s">
        <v>35</v>
      </c>
      <c r="B13603" t="s">
        <v>61</v>
      </c>
      <c r="C13603" t="str">
        <f>"A0123566"</f>
        <v>A0123566</v>
      </c>
      <c r="D13603" t="s">
        <v>48211</v>
      </c>
      <c r="E13603" t="s">
        <v>48212</v>
      </c>
      <c r="F13603" t="s">
        <v>4108</v>
      </c>
      <c r="G13603" t="s">
        <v>29</v>
      </c>
      <c r="H13603">
        <v>24015</v>
      </c>
      <c r="I13603" t="s">
        <v>30</v>
      </c>
      <c r="J13603" t="s">
        <v>41</v>
      </c>
      <c r="K13603" t="s">
        <v>229</v>
      </c>
      <c r="Q13603">
        <v>0</v>
      </c>
      <c r="R13603">
        <v>120</v>
      </c>
      <c r="S13603">
        <v>120</v>
      </c>
      <c r="T13603" t="s">
        <v>48213</v>
      </c>
    </row>
    <row r="13604" spans="1:20" customFormat="1" ht="15" x14ac:dyDescent="0.25">
      <c r="A13604" t="s">
        <v>35</v>
      </c>
      <c r="B13604" t="s">
        <v>61</v>
      </c>
      <c r="C13604" t="str">
        <f>"A0123567"</f>
        <v>A0123567</v>
      </c>
      <c r="D13604" t="s">
        <v>48214</v>
      </c>
      <c r="E13604" t="s">
        <v>48215</v>
      </c>
      <c r="F13604" t="s">
        <v>472</v>
      </c>
      <c r="G13604" t="s">
        <v>214</v>
      </c>
      <c r="H13604">
        <v>27606</v>
      </c>
      <c r="I13604" t="s">
        <v>30</v>
      </c>
      <c r="J13604" t="s">
        <v>41</v>
      </c>
      <c r="K13604" t="s">
        <v>229</v>
      </c>
      <c r="Q13604">
        <v>0</v>
      </c>
      <c r="R13604">
        <v>174</v>
      </c>
      <c r="S13604">
        <v>174</v>
      </c>
      <c r="T13604" t="s">
        <v>48216</v>
      </c>
    </row>
    <row r="13605" spans="1:20" customFormat="1" ht="15" x14ac:dyDescent="0.25">
      <c r="A13605" t="s">
        <v>35</v>
      </c>
      <c r="B13605" t="s">
        <v>61</v>
      </c>
      <c r="C13605" t="str">
        <f>"A0133529"</f>
        <v>A0133529</v>
      </c>
      <c r="D13605" t="s">
        <v>48217</v>
      </c>
      <c r="E13605" t="s">
        <v>48218</v>
      </c>
      <c r="F13605" t="s">
        <v>48219</v>
      </c>
      <c r="G13605" t="s">
        <v>52</v>
      </c>
      <c r="H13605">
        <v>79357</v>
      </c>
      <c r="I13605" t="s">
        <v>30</v>
      </c>
      <c r="J13605" t="s">
        <v>41</v>
      </c>
      <c r="K13605" t="s">
        <v>229</v>
      </c>
      <c r="Q13605">
        <v>0</v>
      </c>
      <c r="R13605">
        <v>50</v>
      </c>
      <c r="S13605">
        <v>50</v>
      </c>
      <c r="T13605" t="s">
        <v>48220</v>
      </c>
    </row>
    <row r="13606" spans="1:20" customFormat="1" ht="15" x14ac:dyDescent="0.25">
      <c r="A13606" t="s">
        <v>35</v>
      </c>
      <c r="B13606" t="s">
        <v>437</v>
      </c>
      <c r="C13606" t="str">
        <f>"A0151198"</f>
        <v>A0151198</v>
      </c>
      <c r="D13606" t="s">
        <v>48221</v>
      </c>
      <c r="E13606" t="s">
        <v>48222</v>
      </c>
      <c r="F13606" t="s">
        <v>75</v>
      </c>
      <c r="G13606" t="s">
        <v>76</v>
      </c>
      <c r="H13606">
        <v>99219</v>
      </c>
      <c r="I13606" t="s">
        <v>30</v>
      </c>
      <c r="J13606" t="s">
        <v>441</v>
      </c>
      <c r="K13606" t="s">
        <v>2458</v>
      </c>
      <c r="Q13606">
        <v>0</v>
      </c>
      <c r="R13606">
        <v>0</v>
      </c>
      <c r="S13606">
        <v>0</v>
      </c>
      <c r="T13606" t="s">
        <v>48223</v>
      </c>
    </row>
    <row r="13607" spans="1:20" customFormat="1" ht="15" x14ac:dyDescent="0.25">
      <c r="A13607" t="s">
        <v>35</v>
      </c>
      <c r="B13607" t="s">
        <v>437</v>
      </c>
      <c r="C13607" t="str">
        <f>"A0151155"</f>
        <v>A0151155</v>
      </c>
      <c r="D13607" t="s">
        <v>48224</v>
      </c>
      <c r="E13607" t="s">
        <v>48225</v>
      </c>
      <c r="F13607" t="s">
        <v>75</v>
      </c>
      <c r="G13607" t="s">
        <v>76</v>
      </c>
      <c r="H13607">
        <v>99202</v>
      </c>
      <c r="I13607" t="s">
        <v>30</v>
      </c>
      <c r="J13607" t="s">
        <v>441</v>
      </c>
      <c r="K13607" t="s">
        <v>2458</v>
      </c>
      <c r="Q13607">
        <v>0</v>
      </c>
      <c r="R13607">
        <v>0</v>
      </c>
      <c r="S13607">
        <v>0</v>
      </c>
      <c r="T13607" t="s">
        <v>48226</v>
      </c>
    </row>
    <row r="13608" spans="1:20" customFormat="1" ht="15" x14ac:dyDescent="0.25">
      <c r="A13608" t="s">
        <v>35</v>
      </c>
      <c r="B13608" t="s">
        <v>61</v>
      </c>
      <c r="C13608" t="str">
        <f>"A0117786"</f>
        <v>A0117786</v>
      </c>
      <c r="D13608" t="s">
        <v>48227</v>
      </c>
      <c r="E13608" t="s">
        <v>48228</v>
      </c>
      <c r="F13608" t="s">
        <v>35566</v>
      </c>
      <c r="G13608" t="s">
        <v>110</v>
      </c>
      <c r="H13608">
        <v>92543</v>
      </c>
      <c r="I13608" t="s">
        <v>30</v>
      </c>
      <c r="J13608" t="s">
        <v>41</v>
      </c>
      <c r="K13608" t="s">
        <v>229</v>
      </c>
      <c r="Q13608">
        <v>0</v>
      </c>
      <c r="R13608">
        <v>104</v>
      </c>
      <c r="S13608">
        <v>104</v>
      </c>
      <c r="T13608" t="s">
        <v>48229</v>
      </c>
    </row>
    <row r="13609" spans="1:20" customFormat="1" ht="15" x14ac:dyDescent="0.25">
      <c r="A13609" t="s">
        <v>35</v>
      </c>
      <c r="B13609" t="s">
        <v>61</v>
      </c>
      <c r="C13609" t="str">
        <f>"A0121881"</f>
        <v>A0121881</v>
      </c>
      <c r="D13609" t="s">
        <v>48230</v>
      </c>
      <c r="E13609" t="s">
        <v>48231</v>
      </c>
      <c r="F13609" t="s">
        <v>48232</v>
      </c>
      <c r="G13609" t="s">
        <v>110</v>
      </c>
      <c r="H13609">
        <v>92065</v>
      </c>
      <c r="I13609" t="s">
        <v>30</v>
      </c>
      <c r="J13609" t="s">
        <v>41</v>
      </c>
      <c r="K13609" t="s">
        <v>2760</v>
      </c>
      <c r="Q13609">
        <v>0</v>
      </c>
      <c r="R13609">
        <v>0</v>
      </c>
      <c r="S13609">
        <v>0</v>
      </c>
      <c r="T13609" t="s">
        <v>48233</v>
      </c>
    </row>
    <row r="13610" spans="1:20" customFormat="1" ht="15" x14ac:dyDescent="0.25">
      <c r="A13610" t="s">
        <v>35</v>
      </c>
      <c r="B13610" t="s">
        <v>61</v>
      </c>
      <c r="C13610" t="str">
        <f>"A0125456"</f>
        <v>A0125456</v>
      </c>
      <c r="D13610" t="s">
        <v>48234</v>
      </c>
      <c r="E13610" t="s">
        <v>48235</v>
      </c>
      <c r="F13610" t="s">
        <v>48236</v>
      </c>
      <c r="G13610" t="s">
        <v>40</v>
      </c>
      <c r="H13610">
        <v>74066</v>
      </c>
      <c r="I13610" t="s">
        <v>30</v>
      </c>
      <c r="J13610" t="s">
        <v>41</v>
      </c>
      <c r="K13610" t="s">
        <v>229</v>
      </c>
      <c r="Q13610">
        <v>0</v>
      </c>
      <c r="R13610">
        <v>85</v>
      </c>
      <c r="S13610">
        <v>85</v>
      </c>
      <c r="T13610" t="s">
        <v>48237</v>
      </c>
    </row>
    <row r="13611" spans="1:20" customFormat="1" ht="15" x14ac:dyDescent="0.25">
      <c r="A13611" t="s">
        <v>35</v>
      </c>
      <c r="B13611" t="s">
        <v>61</v>
      </c>
      <c r="C13611" t="str">
        <f>"A0118419"</f>
        <v>A0118419</v>
      </c>
      <c r="D13611" t="s">
        <v>48238</v>
      </c>
      <c r="E13611" t="s">
        <v>48239</v>
      </c>
      <c r="F13611" t="s">
        <v>32856</v>
      </c>
      <c r="G13611" t="s">
        <v>110</v>
      </c>
      <c r="H13611">
        <v>913110000</v>
      </c>
      <c r="I13611" t="s">
        <v>30</v>
      </c>
      <c r="J13611" t="s">
        <v>41</v>
      </c>
      <c r="K13611" t="s">
        <v>66</v>
      </c>
      <c r="Q13611">
        <v>0</v>
      </c>
      <c r="R13611">
        <v>99</v>
      </c>
      <c r="S13611">
        <v>99</v>
      </c>
      <c r="T13611" t="s">
        <v>48240</v>
      </c>
    </row>
    <row r="13612" spans="1:20" customFormat="1" ht="15" x14ac:dyDescent="0.25">
      <c r="A13612" t="s">
        <v>35</v>
      </c>
      <c r="B13612" t="s">
        <v>61</v>
      </c>
      <c r="C13612" t="str">
        <f>"A0118823"</f>
        <v>A0118823</v>
      </c>
      <c r="D13612" t="s">
        <v>48241</v>
      </c>
      <c r="E13612" t="s">
        <v>48242</v>
      </c>
      <c r="F13612" t="s">
        <v>395</v>
      </c>
      <c r="G13612" t="s">
        <v>110</v>
      </c>
      <c r="H13612">
        <v>92084</v>
      </c>
      <c r="I13612" t="s">
        <v>30</v>
      </c>
      <c r="J13612" t="s">
        <v>41</v>
      </c>
      <c r="K13612" t="s">
        <v>59</v>
      </c>
      <c r="Q13612">
        <v>0</v>
      </c>
      <c r="R13612">
        <v>99</v>
      </c>
      <c r="S13612">
        <v>99</v>
      </c>
      <c r="T13612" t="s">
        <v>48243</v>
      </c>
    </row>
    <row r="13613" spans="1:20" customFormat="1" ht="15" x14ac:dyDescent="0.25">
      <c r="A13613" t="s">
        <v>35</v>
      </c>
      <c r="B13613" t="s">
        <v>61</v>
      </c>
      <c r="C13613" t="str">
        <f>"A0118868"</f>
        <v>A0118868</v>
      </c>
      <c r="D13613" t="s">
        <v>48244</v>
      </c>
      <c r="E13613" t="s">
        <v>48245</v>
      </c>
      <c r="F13613" t="s">
        <v>48246</v>
      </c>
      <c r="G13613" t="s">
        <v>110</v>
      </c>
      <c r="H13613">
        <v>92509</v>
      </c>
      <c r="I13613" t="s">
        <v>30</v>
      </c>
      <c r="J13613" t="s">
        <v>41</v>
      </c>
      <c r="K13613" t="s">
        <v>461</v>
      </c>
      <c r="Q13613">
        <v>0</v>
      </c>
      <c r="R13613">
        <v>45</v>
      </c>
      <c r="S13613">
        <v>45</v>
      </c>
      <c r="T13613" t="s">
        <v>48247</v>
      </c>
    </row>
    <row r="13614" spans="1:20" customFormat="1" ht="15" x14ac:dyDescent="0.25">
      <c r="A13614" t="s">
        <v>35</v>
      </c>
      <c r="B13614" t="s">
        <v>61</v>
      </c>
      <c r="C13614" t="str">
        <f>"A0123802"</f>
        <v>A0123802</v>
      </c>
      <c r="D13614" t="s">
        <v>48248</v>
      </c>
      <c r="E13614" t="s">
        <v>48249</v>
      </c>
      <c r="F13614" t="s">
        <v>18094</v>
      </c>
      <c r="G13614" t="s">
        <v>117</v>
      </c>
      <c r="H13614">
        <v>48326</v>
      </c>
      <c r="I13614" t="s">
        <v>30</v>
      </c>
      <c r="J13614" t="s">
        <v>41</v>
      </c>
      <c r="K13614" t="s">
        <v>59</v>
      </c>
      <c r="Q13614">
        <v>0</v>
      </c>
      <c r="R13614">
        <v>76</v>
      </c>
      <c r="S13614">
        <v>76</v>
      </c>
      <c r="T13614" t="s">
        <v>48250</v>
      </c>
    </row>
    <row r="13615" spans="1:20" customFormat="1" ht="15" x14ac:dyDescent="0.25">
      <c r="A13615" t="s">
        <v>35</v>
      </c>
      <c r="B13615" t="s">
        <v>61</v>
      </c>
      <c r="C13615" t="str">
        <f>"A0123812"</f>
        <v>A0123812</v>
      </c>
      <c r="D13615" t="s">
        <v>48251</v>
      </c>
      <c r="E13615" t="s">
        <v>48252</v>
      </c>
      <c r="F13615" t="s">
        <v>12148</v>
      </c>
      <c r="G13615" t="s">
        <v>117</v>
      </c>
      <c r="H13615">
        <v>48313</v>
      </c>
      <c r="I13615" t="s">
        <v>30</v>
      </c>
      <c r="J13615" t="s">
        <v>41</v>
      </c>
      <c r="K13615" t="s">
        <v>59</v>
      </c>
      <c r="Q13615">
        <v>0</v>
      </c>
      <c r="R13615">
        <v>80</v>
      </c>
      <c r="S13615">
        <v>80</v>
      </c>
      <c r="T13615" t="s">
        <v>48253</v>
      </c>
    </row>
    <row r="13616" spans="1:20" customFormat="1" ht="15" x14ac:dyDescent="0.25">
      <c r="A13616" t="s">
        <v>35</v>
      </c>
      <c r="B13616" t="s">
        <v>61</v>
      </c>
      <c r="C13616" t="str">
        <f>"A0129021"</f>
        <v>A0129021</v>
      </c>
      <c r="D13616" t="s">
        <v>48254</v>
      </c>
      <c r="E13616" t="s">
        <v>48255</v>
      </c>
      <c r="F13616" t="s">
        <v>8417</v>
      </c>
      <c r="G13616" t="s">
        <v>289</v>
      </c>
      <c r="H13616">
        <v>62286</v>
      </c>
      <c r="I13616" t="s">
        <v>30</v>
      </c>
      <c r="J13616" t="s">
        <v>41</v>
      </c>
      <c r="K13616" t="s">
        <v>229</v>
      </c>
      <c r="Q13616">
        <v>0</v>
      </c>
      <c r="R13616">
        <v>136</v>
      </c>
      <c r="S13616">
        <v>136</v>
      </c>
      <c r="T13616" t="s">
        <v>48256</v>
      </c>
    </row>
    <row r="13617" spans="1:20" customFormat="1" ht="15" x14ac:dyDescent="0.25">
      <c r="A13617" t="s">
        <v>35</v>
      </c>
      <c r="B13617" t="s">
        <v>61</v>
      </c>
      <c r="C13617" t="str">
        <f>"A0125898"</f>
        <v>A0125898</v>
      </c>
      <c r="D13617" t="s">
        <v>48257</v>
      </c>
      <c r="E13617" t="s">
        <v>48258</v>
      </c>
      <c r="F13617" t="s">
        <v>6160</v>
      </c>
      <c r="G13617" t="s">
        <v>123</v>
      </c>
      <c r="H13617">
        <v>20902</v>
      </c>
      <c r="I13617" t="s">
        <v>30</v>
      </c>
      <c r="J13617" t="s">
        <v>41</v>
      </c>
      <c r="K13617" t="s">
        <v>229</v>
      </c>
      <c r="Q13617">
        <v>0</v>
      </c>
      <c r="R13617">
        <v>112</v>
      </c>
      <c r="S13617">
        <v>112</v>
      </c>
      <c r="T13617" t="s">
        <v>48259</v>
      </c>
    </row>
    <row r="13618" spans="1:20" customFormat="1" ht="15" x14ac:dyDescent="0.25">
      <c r="A13618" t="s">
        <v>35</v>
      </c>
      <c r="B13618" t="s">
        <v>61</v>
      </c>
      <c r="C13618" t="str">
        <f>"A0131004"</f>
        <v>A0131004</v>
      </c>
      <c r="D13618" t="s">
        <v>48260</v>
      </c>
      <c r="E13618" t="s">
        <v>48261</v>
      </c>
      <c r="F13618" t="s">
        <v>16985</v>
      </c>
      <c r="G13618" t="s">
        <v>137</v>
      </c>
      <c r="H13618">
        <v>63701</v>
      </c>
      <c r="I13618" t="s">
        <v>30</v>
      </c>
      <c r="J13618" t="s">
        <v>41</v>
      </c>
      <c r="K13618" t="s">
        <v>229</v>
      </c>
      <c r="Q13618">
        <v>0</v>
      </c>
      <c r="R13618">
        <v>46</v>
      </c>
      <c r="S13618">
        <v>46</v>
      </c>
      <c r="T13618" t="s">
        <v>48262</v>
      </c>
    </row>
    <row r="13619" spans="1:20" customFormat="1" ht="15" x14ac:dyDescent="0.25">
      <c r="A13619" t="s">
        <v>35</v>
      </c>
      <c r="B13619" t="s">
        <v>61</v>
      </c>
      <c r="C13619" t="str">
        <f>"A0127493"</f>
        <v>A0127493</v>
      </c>
      <c r="D13619" t="s">
        <v>48263</v>
      </c>
      <c r="E13619" t="s">
        <v>48264</v>
      </c>
      <c r="F13619" t="s">
        <v>48265</v>
      </c>
      <c r="G13619" t="s">
        <v>507</v>
      </c>
      <c r="H13619">
        <v>26164</v>
      </c>
      <c r="I13619" t="s">
        <v>30</v>
      </c>
      <c r="J13619" t="s">
        <v>41</v>
      </c>
      <c r="K13619" t="s">
        <v>229</v>
      </c>
      <c r="Q13619">
        <v>0</v>
      </c>
      <c r="R13619">
        <v>35</v>
      </c>
      <c r="S13619">
        <v>35</v>
      </c>
      <c r="T13619" t="s">
        <v>48266</v>
      </c>
    </row>
    <row r="13620" spans="1:20" customFormat="1" ht="15" x14ac:dyDescent="0.25">
      <c r="A13620" t="s">
        <v>35</v>
      </c>
      <c r="B13620" t="s">
        <v>61</v>
      </c>
      <c r="C13620" t="str">
        <f>"A0123569"</f>
        <v>A0123569</v>
      </c>
      <c r="D13620" t="s">
        <v>48267</v>
      </c>
      <c r="E13620" t="s">
        <v>48268</v>
      </c>
      <c r="F13620" t="s">
        <v>48265</v>
      </c>
      <c r="G13620" t="s">
        <v>507</v>
      </c>
      <c r="H13620">
        <v>26164</v>
      </c>
      <c r="I13620" t="s">
        <v>30</v>
      </c>
      <c r="J13620" t="s">
        <v>41</v>
      </c>
      <c r="K13620" t="s">
        <v>229</v>
      </c>
      <c r="Q13620">
        <v>0</v>
      </c>
      <c r="R13620">
        <v>62</v>
      </c>
      <c r="S13620">
        <v>62</v>
      </c>
      <c r="T13620" t="s">
        <v>48269</v>
      </c>
    </row>
    <row r="13621" spans="1:20" customFormat="1" ht="15" x14ac:dyDescent="0.25">
      <c r="A13621" t="s">
        <v>35</v>
      </c>
      <c r="B13621" t="s">
        <v>61</v>
      </c>
      <c r="C13621" t="str">
        <f>"A0118595"</f>
        <v>A0118595</v>
      </c>
      <c r="D13621" t="s">
        <v>48270</v>
      </c>
      <c r="E13621" t="s">
        <v>48271</v>
      </c>
      <c r="F13621" t="s">
        <v>48272</v>
      </c>
      <c r="G13621" t="s">
        <v>110</v>
      </c>
      <c r="H13621">
        <v>90046</v>
      </c>
      <c r="I13621" t="s">
        <v>30</v>
      </c>
      <c r="J13621" t="s">
        <v>41</v>
      </c>
      <c r="K13621" t="s">
        <v>4272</v>
      </c>
      <c r="Q13621">
        <v>0</v>
      </c>
      <c r="R13621">
        <v>24</v>
      </c>
      <c r="S13621">
        <v>24</v>
      </c>
      <c r="T13621" t="s">
        <v>48273</v>
      </c>
    </row>
    <row r="13622" spans="1:20" customFormat="1" ht="15" x14ac:dyDescent="0.25">
      <c r="A13622" t="s">
        <v>35</v>
      </c>
      <c r="B13622" t="s">
        <v>61</v>
      </c>
      <c r="C13622" t="str">
        <f>"A0133075"</f>
        <v>A0133075</v>
      </c>
      <c r="D13622" t="s">
        <v>48274</v>
      </c>
      <c r="E13622" t="s">
        <v>48275</v>
      </c>
      <c r="F13622" t="s">
        <v>9143</v>
      </c>
      <c r="G13622" t="s">
        <v>52</v>
      </c>
      <c r="H13622">
        <v>75951</v>
      </c>
      <c r="I13622" t="s">
        <v>30</v>
      </c>
      <c r="J13622" t="s">
        <v>41</v>
      </c>
      <c r="K13622" t="s">
        <v>229</v>
      </c>
      <c r="Q13622">
        <v>0</v>
      </c>
      <c r="R13622">
        <v>94</v>
      </c>
      <c r="S13622">
        <v>94</v>
      </c>
      <c r="T13622" t="s">
        <v>48276</v>
      </c>
    </row>
    <row r="13623" spans="1:20" customFormat="1" ht="15" x14ac:dyDescent="0.25">
      <c r="A13623" t="s">
        <v>35</v>
      </c>
      <c r="B13623" t="s">
        <v>61</v>
      </c>
      <c r="C13623" t="str">
        <f>"A0128678"</f>
        <v>A0128678</v>
      </c>
      <c r="D13623" t="s">
        <v>48277</v>
      </c>
      <c r="E13623" t="s">
        <v>48278</v>
      </c>
      <c r="F13623" t="s">
        <v>48279</v>
      </c>
      <c r="G13623" t="s">
        <v>1170</v>
      </c>
      <c r="H13623">
        <v>712690000</v>
      </c>
      <c r="I13623" t="s">
        <v>30</v>
      </c>
      <c r="J13623" t="s">
        <v>41</v>
      </c>
      <c r="K13623" t="s">
        <v>229</v>
      </c>
      <c r="Q13623">
        <v>0</v>
      </c>
      <c r="R13623">
        <v>120</v>
      </c>
      <c r="S13623">
        <v>120</v>
      </c>
      <c r="T13623" t="s">
        <v>48280</v>
      </c>
    </row>
    <row r="13624" spans="1:20" customFormat="1" ht="15" x14ac:dyDescent="0.25">
      <c r="A13624" t="s">
        <v>35</v>
      </c>
      <c r="B13624" t="s">
        <v>61</v>
      </c>
      <c r="C13624" t="str">
        <f>"A0154280"</f>
        <v>A0154280</v>
      </c>
      <c r="D13624" t="s">
        <v>48281</v>
      </c>
      <c r="E13624" t="s">
        <v>48282</v>
      </c>
      <c r="F13624" t="s">
        <v>38841</v>
      </c>
      <c r="G13624" t="s">
        <v>110</v>
      </c>
      <c r="H13624">
        <v>95670</v>
      </c>
      <c r="I13624" t="s">
        <v>30</v>
      </c>
      <c r="J13624" t="s">
        <v>41</v>
      </c>
      <c r="K13624" t="s">
        <v>456</v>
      </c>
      <c r="Q13624">
        <v>0</v>
      </c>
      <c r="R13624">
        <v>0</v>
      </c>
      <c r="S13624">
        <v>0</v>
      </c>
      <c r="T13624" t="s">
        <v>48283</v>
      </c>
    </row>
    <row r="13625" spans="1:20" customFormat="1" ht="15" x14ac:dyDescent="0.25">
      <c r="A13625" t="s">
        <v>35</v>
      </c>
      <c r="B13625" t="s">
        <v>61</v>
      </c>
      <c r="C13625" t="str">
        <f>"A0118441"</f>
        <v>A0118441</v>
      </c>
      <c r="D13625" t="s">
        <v>48284</v>
      </c>
      <c r="E13625" t="s">
        <v>48285</v>
      </c>
      <c r="F13625" t="s">
        <v>48286</v>
      </c>
      <c r="G13625" t="s">
        <v>110</v>
      </c>
      <c r="H13625">
        <v>95020</v>
      </c>
      <c r="I13625" t="s">
        <v>30</v>
      </c>
      <c r="J13625" t="s">
        <v>41</v>
      </c>
      <c r="K13625" t="s">
        <v>229</v>
      </c>
      <c r="Q13625">
        <v>0</v>
      </c>
      <c r="R13625">
        <v>44</v>
      </c>
      <c r="S13625">
        <v>44</v>
      </c>
      <c r="T13625" t="s">
        <v>48287</v>
      </c>
    </row>
    <row r="13626" spans="1:20" customFormat="1" ht="15" x14ac:dyDescent="0.25">
      <c r="A13626" t="s">
        <v>35</v>
      </c>
      <c r="B13626" t="s">
        <v>61</v>
      </c>
      <c r="C13626" t="str">
        <f>"A0127287"</f>
        <v>A0127287</v>
      </c>
      <c r="D13626" t="s">
        <v>48288</v>
      </c>
      <c r="E13626" t="s">
        <v>48289</v>
      </c>
      <c r="F13626" t="s">
        <v>30378</v>
      </c>
      <c r="G13626" t="s">
        <v>846</v>
      </c>
      <c r="H13626">
        <v>30041</v>
      </c>
      <c r="I13626" t="s">
        <v>30</v>
      </c>
      <c r="J13626" t="s">
        <v>41</v>
      </c>
      <c r="K13626" t="s">
        <v>461</v>
      </c>
      <c r="Q13626">
        <v>0</v>
      </c>
      <c r="R13626">
        <v>0</v>
      </c>
      <c r="S13626">
        <v>0</v>
      </c>
      <c r="T13626" t="s">
        <v>48290</v>
      </c>
    </row>
    <row r="13627" spans="1:20" customFormat="1" ht="15" x14ac:dyDescent="0.25">
      <c r="A13627" t="s">
        <v>35</v>
      </c>
      <c r="B13627" t="s">
        <v>61</v>
      </c>
      <c r="C13627" t="str">
        <f>"A0127286"</f>
        <v>A0127286</v>
      </c>
      <c r="D13627" t="s">
        <v>48291</v>
      </c>
      <c r="E13627" t="s">
        <v>48292</v>
      </c>
      <c r="F13627" t="s">
        <v>30378</v>
      </c>
      <c r="G13627" t="s">
        <v>846</v>
      </c>
      <c r="H13627">
        <v>30041</v>
      </c>
      <c r="I13627" t="s">
        <v>30</v>
      </c>
      <c r="J13627" t="s">
        <v>41</v>
      </c>
      <c r="K13627" t="s">
        <v>290</v>
      </c>
      <c r="Q13627">
        <v>0</v>
      </c>
      <c r="R13627">
        <v>0</v>
      </c>
      <c r="S13627">
        <v>0</v>
      </c>
      <c r="T13627" t="s">
        <v>48293</v>
      </c>
    </row>
    <row r="13628" spans="1:20" customFormat="1" ht="15" x14ac:dyDescent="0.25">
      <c r="A13628" t="s">
        <v>35</v>
      </c>
      <c r="B13628" t="s">
        <v>61</v>
      </c>
      <c r="C13628" t="str">
        <f>"A0123920"</f>
        <v>A0123920</v>
      </c>
      <c r="D13628" t="s">
        <v>48294</v>
      </c>
      <c r="E13628" t="s">
        <v>48295</v>
      </c>
      <c r="F13628" t="s">
        <v>48296</v>
      </c>
      <c r="G13628" t="s">
        <v>81</v>
      </c>
      <c r="H13628">
        <v>32784</v>
      </c>
      <c r="I13628" t="s">
        <v>30</v>
      </c>
      <c r="J13628" t="s">
        <v>41</v>
      </c>
      <c r="K13628" t="s">
        <v>59</v>
      </c>
      <c r="Q13628">
        <v>0</v>
      </c>
      <c r="R13628">
        <v>100</v>
      </c>
      <c r="S13628">
        <v>100</v>
      </c>
      <c r="T13628" t="s">
        <v>48297</v>
      </c>
    </row>
    <row r="13629" spans="1:20" customFormat="1" ht="15" x14ac:dyDescent="0.25">
      <c r="A13629" t="s">
        <v>35</v>
      </c>
      <c r="B13629" t="s">
        <v>61</v>
      </c>
      <c r="C13629" t="str">
        <f>"A0132648"</f>
        <v>A0132648</v>
      </c>
      <c r="D13629" t="s">
        <v>48298</v>
      </c>
      <c r="E13629" t="s">
        <v>48299</v>
      </c>
      <c r="F13629" t="s">
        <v>7112</v>
      </c>
      <c r="G13629" t="s">
        <v>65</v>
      </c>
      <c r="H13629">
        <v>43725</v>
      </c>
      <c r="I13629" t="s">
        <v>30</v>
      </c>
      <c r="J13629" t="s">
        <v>41</v>
      </c>
      <c r="K13629" t="s">
        <v>229</v>
      </c>
      <c r="Q13629">
        <v>0</v>
      </c>
      <c r="R13629">
        <v>78</v>
      </c>
      <c r="S13629">
        <v>78</v>
      </c>
      <c r="T13629" t="s">
        <v>48300</v>
      </c>
    </row>
    <row r="13630" spans="1:20" customFormat="1" ht="15" x14ac:dyDescent="0.25">
      <c r="A13630" t="s">
        <v>35</v>
      </c>
      <c r="B13630" t="s">
        <v>61</v>
      </c>
      <c r="C13630" t="str">
        <f>"A0118223"</f>
        <v>A0118223</v>
      </c>
      <c r="D13630" t="s">
        <v>48301</v>
      </c>
      <c r="E13630" t="s">
        <v>48302</v>
      </c>
      <c r="F13630" t="s">
        <v>44576</v>
      </c>
      <c r="G13630" t="s">
        <v>153</v>
      </c>
      <c r="H13630">
        <v>84648</v>
      </c>
      <c r="I13630" t="s">
        <v>30</v>
      </c>
      <c r="J13630" t="s">
        <v>41</v>
      </c>
      <c r="K13630" t="s">
        <v>59</v>
      </c>
      <c r="Q13630">
        <v>0</v>
      </c>
      <c r="R13630">
        <v>16</v>
      </c>
      <c r="S13630">
        <v>16</v>
      </c>
      <c r="T13630" t="s">
        <v>48303</v>
      </c>
    </row>
    <row r="13631" spans="1:20" customFormat="1" ht="15" x14ac:dyDescent="0.25">
      <c r="A13631" t="s">
        <v>35</v>
      </c>
      <c r="B13631" t="s">
        <v>61</v>
      </c>
      <c r="C13631" t="str">
        <f>"A0123067"</f>
        <v>A0123067</v>
      </c>
      <c r="D13631" t="s">
        <v>27113</v>
      </c>
      <c r="E13631" t="s">
        <v>48304</v>
      </c>
      <c r="F13631" t="s">
        <v>12474</v>
      </c>
      <c r="G13631" t="s">
        <v>76</v>
      </c>
      <c r="H13631">
        <v>98045</v>
      </c>
      <c r="I13631" t="s">
        <v>30</v>
      </c>
      <c r="J13631" t="s">
        <v>41</v>
      </c>
      <c r="K13631" t="s">
        <v>482</v>
      </c>
      <c r="Q13631">
        <v>0</v>
      </c>
      <c r="R13631">
        <v>0</v>
      </c>
      <c r="S13631">
        <v>0</v>
      </c>
      <c r="T13631" t="s">
        <v>48305</v>
      </c>
    </row>
    <row r="13632" spans="1:20" customFormat="1" ht="15" x14ac:dyDescent="0.25">
      <c r="A13632" t="s">
        <v>35</v>
      </c>
      <c r="B13632" t="s">
        <v>61</v>
      </c>
      <c r="C13632" t="str">
        <f>"A0123921"</f>
        <v>A0123921</v>
      </c>
      <c r="D13632" t="s">
        <v>48306</v>
      </c>
      <c r="E13632" t="s">
        <v>48307</v>
      </c>
      <c r="F13632" t="s">
        <v>93</v>
      </c>
      <c r="G13632" t="s">
        <v>214</v>
      </c>
      <c r="H13632">
        <v>27834</v>
      </c>
      <c r="I13632" t="s">
        <v>30</v>
      </c>
      <c r="J13632" t="s">
        <v>41</v>
      </c>
      <c r="K13632" t="s">
        <v>482</v>
      </c>
      <c r="Q13632">
        <v>0</v>
      </c>
      <c r="R13632">
        <v>55</v>
      </c>
      <c r="S13632">
        <v>55</v>
      </c>
      <c r="T13632" t="s">
        <v>48308</v>
      </c>
    </row>
    <row r="13633" spans="1:20" customFormat="1" ht="15" x14ac:dyDescent="0.25">
      <c r="A13633" t="s">
        <v>35</v>
      </c>
      <c r="B13633" t="s">
        <v>61</v>
      </c>
      <c r="C13633" t="str">
        <f>"A0123570"</f>
        <v>A0123570</v>
      </c>
      <c r="D13633" t="s">
        <v>48309</v>
      </c>
      <c r="E13633" t="s">
        <v>48310</v>
      </c>
      <c r="F13633" t="s">
        <v>17266</v>
      </c>
      <c r="G13633" t="s">
        <v>40</v>
      </c>
      <c r="H13633">
        <v>73069</v>
      </c>
      <c r="I13633" t="s">
        <v>30</v>
      </c>
      <c r="J13633" t="s">
        <v>41</v>
      </c>
      <c r="K13633" t="s">
        <v>59</v>
      </c>
      <c r="Q13633">
        <v>0</v>
      </c>
      <c r="R13633">
        <v>50</v>
      </c>
      <c r="S13633">
        <v>50</v>
      </c>
      <c r="T13633" t="s">
        <v>48311</v>
      </c>
    </row>
    <row r="13634" spans="1:20" customFormat="1" ht="15" x14ac:dyDescent="0.25">
      <c r="A13634" t="s">
        <v>35</v>
      </c>
      <c r="B13634" t="s">
        <v>61</v>
      </c>
      <c r="C13634" t="str">
        <f>"A0123922"</f>
        <v>A0123922</v>
      </c>
      <c r="D13634" t="s">
        <v>48312</v>
      </c>
      <c r="E13634" t="s">
        <v>48313</v>
      </c>
      <c r="F13634" t="s">
        <v>48314</v>
      </c>
      <c r="G13634" t="s">
        <v>214</v>
      </c>
      <c r="H13634">
        <v>28377</v>
      </c>
      <c r="I13634" t="s">
        <v>30</v>
      </c>
      <c r="J13634" t="s">
        <v>41</v>
      </c>
      <c r="K13634" t="s">
        <v>482</v>
      </c>
      <c r="Q13634">
        <v>0</v>
      </c>
      <c r="R13634">
        <v>30</v>
      </c>
      <c r="S13634">
        <v>30</v>
      </c>
      <c r="T13634" t="s">
        <v>48315</v>
      </c>
    </row>
    <row r="13635" spans="1:20" customFormat="1" ht="15" x14ac:dyDescent="0.25">
      <c r="A13635" t="s">
        <v>35</v>
      </c>
      <c r="B13635" t="s">
        <v>61</v>
      </c>
      <c r="C13635" t="str">
        <f>"A0117806"</f>
        <v>A0117806</v>
      </c>
      <c r="D13635" t="s">
        <v>48316</v>
      </c>
      <c r="E13635" t="s">
        <v>48317</v>
      </c>
      <c r="F13635" t="s">
        <v>12489</v>
      </c>
      <c r="G13635" t="s">
        <v>110</v>
      </c>
      <c r="H13635">
        <v>96003</v>
      </c>
      <c r="I13635" t="s">
        <v>30</v>
      </c>
      <c r="J13635" t="s">
        <v>41</v>
      </c>
      <c r="K13635" t="s">
        <v>59</v>
      </c>
      <c r="Q13635">
        <v>0</v>
      </c>
      <c r="R13635">
        <v>26</v>
      </c>
      <c r="S13635">
        <v>26</v>
      </c>
      <c r="T13635" t="s">
        <v>48318</v>
      </c>
    </row>
    <row r="13636" spans="1:20" customFormat="1" ht="15" x14ac:dyDescent="0.25">
      <c r="A13636" t="s">
        <v>35</v>
      </c>
      <c r="B13636" t="s">
        <v>61</v>
      </c>
      <c r="C13636" t="str">
        <f>"A0119249"</f>
        <v>A0119249</v>
      </c>
      <c r="D13636" t="s">
        <v>48319</v>
      </c>
      <c r="E13636" t="s">
        <v>48320</v>
      </c>
      <c r="F13636" t="s">
        <v>6409</v>
      </c>
      <c r="G13636" t="s">
        <v>110</v>
      </c>
      <c r="H13636">
        <v>94546</v>
      </c>
      <c r="I13636" t="s">
        <v>30</v>
      </c>
      <c r="J13636" t="s">
        <v>41</v>
      </c>
      <c r="K13636" t="s">
        <v>229</v>
      </c>
      <c r="Q13636">
        <v>0</v>
      </c>
      <c r="R13636">
        <v>80</v>
      </c>
      <c r="S13636">
        <v>80</v>
      </c>
      <c r="T13636" t="s">
        <v>48321</v>
      </c>
    </row>
    <row r="13637" spans="1:20" customFormat="1" ht="15" x14ac:dyDescent="0.25">
      <c r="A13637" t="s">
        <v>35</v>
      </c>
      <c r="B13637" t="s">
        <v>61</v>
      </c>
      <c r="C13637" t="str">
        <f>"A0125443"</f>
        <v>A0125443</v>
      </c>
      <c r="D13637" t="s">
        <v>48322</v>
      </c>
      <c r="E13637" t="s">
        <v>48323</v>
      </c>
      <c r="F13637" t="s">
        <v>36904</v>
      </c>
      <c r="G13637" t="s">
        <v>40</v>
      </c>
      <c r="H13637">
        <v>74883</v>
      </c>
      <c r="I13637" t="s">
        <v>30</v>
      </c>
      <c r="J13637" t="s">
        <v>41</v>
      </c>
      <c r="K13637" t="s">
        <v>131</v>
      </c>
      <c r="Q13637">
        <v>0</v>
      </c>
      <c r="R13637">
        <v>16</v>
      </c>
      <c r="S13637">
        <v>16</v>
      </c>
      <c r="T13637" t="s">
        <v>36905</v>
      </c>
    </row>
    <row r="13638" spans="1:20" customFormat="1" ht="15" x14ac:dyDescent="0.25">
      <c r="A13638" t="s">
        <v>35</v>
      </c>
      <c r="B13638" t="s">
        <v>106</v>
      </c>
      <c r="C13638" t="str">
        <f>"A0155916"</f>
        <v>A0155916</v>
      </c>
      <c r="D13638" t="s">
        <v>48324</v>
      </c>
      <c r="E13638" t="s">
        <v>48325</v>
      </c>
      <c r="F13638" t="s">
        <v>48326</v>
      </c>
      <c r="G13638" t="s">
        <v>81</v>
      </c>
      <c r="H13638">
        <v>32083</v>
      </c>
      <c r="I13638" t="s">
        <v>30</v>
      </c>
      <c r="J13638" t="s">
        <v>111</v>
      </c>
      <c r="K13638" t="s">
        <v>112</v>
      </c>
      <c r="Q13638">
        <v>0</v>
      </c>
      <c r="R13638">
        <v>0</v>
      </c>
      <c r="S13638">
        <v>0</v>
      </c>
      <c r="T13638" t="s">
        <v>72</v>
      </c>
    </row>
    <row r="13639" spans="1:20" customFormat="1" ht="15" x14ac:dyDescent="0.25">
      <c r="A13639" t="s">
        <v>35</v>
      </c>
      <c r="B13639" t="s">
        <v>61</v>
      </c>
      <c r="C13639" t="str">
        <f>"A0130486"</f>
        <v>A0130486</v>
      </c>
      <c r="D13639" t="s">
        <v>48327</v>
      </c>
      <c r="E13639" t="s">
        <v>48328</v>
      </c>
      <c r="F13639" t="s">
        <v>48329</v>
      </c>
      <c r="G13639" t="s">
        <v>71</v>
      </c>
      <c r="H13639">
        <v>53959</v>
      </c>
      <c r="I13639" t="s">
        <v>30</v>
      </c>
      <c r="J13639" t="s">
        <v>41</v>
      </c>
      <c r="K13639" t="s">
        <v>59</v>
      </c>
      <c r="Q13639">
        <v>0</v>
      </c>
      <c r="R13639">
        <v>75</v>
      </c>
      <c r="S13639">
        <v>75</v>
      </c>
      <c r="T13639" t="s">
        <v>48330</v>
      </c>
    </row>
    <row r="13640" spans="1:20" customFormat="1" ht="15" x14ac:dyDescent="0.25">
      <c r="A13640" t="s">
        <v>35</v>
      </c>
      <c r="B13640" t="s">
        <v>61</v>
      </c>
      <c r="C13640" t="str">
        <f>"A0150552"</f>
        <v>A0150552</v>
      </c>
      <c r="D13640" t="s">
        <v>48331</v>
      </c>
      <c r="E13640" t="s">
        <v>48332</v>
      </c>
      <c r="F13640" t="s">
        <v>1701</v>
      </c>
      <c r="G13640" t="s">
        <v>58</v>
      </c>
      <c r="H13640">
        <v>29579</v>
      </c>
      <c r="I13640" t="s">
        <v>30</v>
      </c>
      <c r="J13640" t="s">
        <v>41</v>
      </c>
      <c r="K13640" t="s">
        <v>482</v>
      </c>
      <c r="Q13640">
        <v>0</v>
      </c>
      <c r="R13640">
        <v>75</v>
      </c>
      <c r="S13640">
        <v>75</v>
      </c>
      <c r="T13640" t="s">
        <v>48333</v>
      </c>
    </row>
    <row r="13641" spans="1:20" customFormat="1" ht="15" x14ac:dyDescent="0.25">
      <c r="A13641" t="s">
        <v>35</v>
      </c>
      <c r="B13641" t="s">
        <v>61</v>
      </c>
      <c r="C13641" t="str">
        <f>"A0132196"</f>
        <v>A0132196</v>
      </c>
      <c r="D13641" t="s">
        <v>48334</v>
      </c>
      <c r="E13641" t="s">
        <v>48335</v>
      </c>
      <c r="F13641" t="s">
        <v>3009</v>
      </c>
      <c r="G13641" t="s">
        <v>65</v>
      </c>
      <c r="H13641">
        <v>43130</v>
      </c>
      <c r="I13641" t="s">
        <v>30</v>
      </c>
      <c r="J13641" t="s">
        <v>41</v>
      </c>
      <c r="K13641" t="s">
        <v>59</v>
      </c>
      <c r="Q13641">
        <v>0</v>
      </c>
      <c r="R13641">
        <v>69</v>
      </c>
      <c r="S13641">
        <v>69</v>
      </c>
      <c r="T13641" t="s">
        <v>48336</v>
      </c>
    </row>
    <row r="13642" spans="1:20" customFormat="1" ht="15" x14ac:dyDescent="0.25">
      <c r="A13642" t="s">
        <v>35</v>
      </c>
      <c r="B13642" t="s">
        <v>61</v>
      </c>
      <c r="C13642" t="str">
        <f>"A0123923"</f>
        <v>A0123923</v>
      </c>
      <c r="D13642" t="s">
        <v>48337</v>
      </c>
      <c r="E13642" t="s">
        <v>48338</v>
      </c>
      <c r="F13642" t="s">
        <v>5502</v>
      </c>
      <c r="G13642" t="s">
        <v>81</v>
      </c>
      <c r="H13642">
        <v>33771</v>
      </c>
      <c r="I13642" t="s">
        <v>30</v>
      </c>
      <c r="J13642" t="s">
        <v>41</v>
      </c>
      <c r="K13642" t="s">
        <v>482</v>
      </c>
      <c r="Q13642">
        <v>0</v>
      </c>
      <c r="R13642">
        <v>120</v>
      </c>
      <c r="S13642">
        <v>120</v>
      </c>
      <c r="T13642" t="s">
        <v>48339</v>
      </c>
    </row>
    <row r="13643" spans="1:20" customFormat="1" ht="15" x14ac:dyDescent="0.25">
      <c r="A13643" t="s">
        <v>35</v>
      </c>
      <c r="B13643" t="s">
        <v>61</v>
      </c>
      <c r="C13643" t="str">
        <f>"A0125977"</f>
        <v>A0125977</v>
      </c>
      <c r="D13643" t="s">
        <v>48340</v>
      </c>
      <c r="E13643" t="s">
        <v>48341</v>
      </c>
      <c r="F13643" t="s">
        <v>13792</v>
      </c>
      <c r="G13643" t="s">
        <v>29</v>
      </c>
      <c r="H13643">
        <v>22202</v>
      </c>
      <c r="I13643" t="s">
        <v>30</v>
      </c>
      <c r="J13643" t="s">
        <v>41</v>
      </c>
      <c r="K13643" t="s">
        <v>229</v>
      </c>
      <c r="Q13643">
        <v>0</v>
      </c>
      <c r="R13643">
        <v>240</v>
      </c>
      <c r="S13643">
        <v>240</v>
      </c>
      <c r="T13643" t="s">
        <v>48342</v>
      </c>
    </row>
    <row r="13644" spans="1:20" customFormat="1" ht="15" x14ac:dyDescent="0.25">
      <c r="A13644" t="s">
        <v>35</v>
      </c>
      <c r="B13644" t="s">
        <v>48343</v>
      </c>
      <c r="C13644" t="str">
        <f>"A0122555"</f>
        <v>A0122555</v>
      </c>
      <c r="D13644" t="s">
        <v>48344</v>
      </c>
      <c r="E13644" t="s">
        <v>48345</v>
      </c>
      <c r="F13644" t="s">
        <v>48346</v>
      </c>
      <c r="G13644" t="s">
        <v>76</v>
      </c>
      <c r="H13644">
        <v>98239</v>
      </c>
      <c r="I13644" t="s">
        <v>30</v>
      </c>
      <c r="J13644" t="s">
        <v>41</v>
      </c>
      <c r="K13644" t="s">
        <v>229</v>
      </c>
      <c r="Q13644">
        <v>0</v>
      </c>
      <c r="R13644">
        <v>112</v>
      </c>
      <c r="S13644">
        <v>112</v>
      </c>
      <c r="T13644" t="s">
        <v>48347</v>
      </c>
    </row>
    <row r="13645" spans="1:20" customFormat="1" ht="15" x14ac:dyDescent="0.25">
      <c r="A13645" t="s">
        <v>35</v>
      </c>
      <c r="B13645" t="s">
        <v>61</v>
      </c>
      <c r="C13645" t="str">
        <f>"A0123571"</f>
        <v>A0123571</v>
      </c>
      <c r="D13645" t="s">
        <v>48348</v>
      </c>
      <c r="E13645" t="s">
        <v>48349</v>
      </c>
      <c r="F13645" t="s">
        <v>13059</v>
      </c>
      <c r="G13645" t="s">
        <v>29</v>
      </c>
      <c r="H13645">
        <v>23692</v>
      </c>
      <c r="I13645" t="s">
        <v>30</v>
      </c>
      <c r="J13645" t="s">
        <v>41</v>
      </c>
      <c r="K13645" t="s">
        <v>229</v>
      </c>
      <c r="Q13645">
        <v>0</v>
      </c>
      <c r="R13645">
        <v>60</v>
      </c>
      <c r="S13645">
        <v>60</v>
      </c>
      <c r="T13645" t="s">
        <v>48350</v>
      </c>
    </row>
    <row r="13646" spans="1:20" customFormat="1" ht="15" x14ac:dyDescent="0.25">
      <c r="A13646" t="s">
        <v>35</v>
      </c>
      <c r="B13646" t="s">
        <v>61</v>
      </c>
      <c r="C13646" t="str">
        <f>"A0123924"</f>
        <v>A0123924</v>
      </c>
      <c r="D13646" t="s">
        <v>48351</v>
      </c>
      <c r="E13646" t="s">
        <v>48352</v>
      </c>
      <c r="F13646" t="s">
        <v>10564</v>
      </c>
      <c r="G13646" t="s">
        <v>81</v>
      </c>
      <c r="H13646">
        <v>32967</v>
      </c>
      <c r="I13646" t="s">
        <v>30</v>
      </c>
      <c r="J13646" t="s">
        <v>41</v>
      </c>
      <c r="K13646" t="s">
        <v>59</v>
      </c>
      <c r="Q13646">
        <v>0</v>
      </c>
      <c r="R13646">
        <v>100</v>
      </c>
      <c r="S13646">
        <v>100</v>
      </c>
      <c r="T13646" t="s">
        <v>48353</v>
      </c>
    </row>
    <row r="13647" spans="1:20" customFormat="1" ht="15" x14ac:dyDescent="0.25">
      <c r="A13647" t="s">
        <v>35</v>
      </c>
      <c r="B13647" t="s">
        <v>61</v>
      </c>
      <c r="C13647" t="str">
        <f>"A0127624"</f>
        <v>A0127624</v>
      </c>
      <c r="D13647" t="s">
        <v>48354</v>
      </c>
      <c r="E13647" t="s">
        <v>48355</v>
      </c>
      <c r="F13647" t="s">
        <v>48356</v>
      </c>
      <c r="G13647" t="s">
        <v>123</v>
      </c>
      <c r="H13647">
        <v>21054</v>
      </c>
      <c r="I13647" t="s">
        <v>30</v>
      </c>
      <c r="J13647" t="s">
        <v>41</v>
      </c>
      <c r="K13647" t="s">
        <v>482</v>
      </c>
      <c r="Q13647">
        <v>0</v>
      </c>
      <c r="R13647">
        <v>58</v>
      </c>
      <c r="S13647">
        <v>58</v>
      </c>
      <c r="T13647" t="s">
        <v>48357</v>
      </c>
    </row>
    <row r="13648" spans="1:20" customFormat="1" ht="15" x14ac:dyDescent="0.25">
      <c r="A13648" t="s">
        <v>35</v>
      </c>
      <c r="B13648" t="s">
        <v>61</v>
      </c>
      <c r="C13648" t="str">
        <f>"A0123925"</f>
        <v>A0123925</v>
      </c>
      <c r="D13648" t="s">
        <v>48358</v>
      </c>
      <c r="E13648" t="s">
        <v>48359</v>
      </c>
      <c r="F13648" t="s">
        <v>24305</v>
      </c>
      <c r="G13648" t="s">
        <v>81</v>
      </c>
      <c r="H13648">
        <v>32726</v>
      </c>
      <c r="I13648" t="s">
        <v>30</v>
      </c>
      <c r="J13648" t="s">
        <v>41</v>
      </c>
      <c r="K13648" t="s">
        <v>482</v>
      </c>
      <c r="Q13648">
        <v>0</v>
      </c>
      <c r="R13648">
        <v>69</v>
      </c>
      <c r="S13648">
        <v>69</v>
      </c>
      <c r="T13648" t="s">
        <v>48360</v>
      </c>
    </row>
    <row r="13649" spans="1:20" customFormat="1" ht="15" x14ac:dyDescent="0.25">
      <c r="A13649" t="s">
        <v>35</v>
      </c>
      <c r="B13649" t="s">
        <v>61</v>
      </c>
      <c r="C13649" t="str">
        <f>"A0131642"</f>
        <v>A0131642</v>
      </c>
      <c r="D13649" t="s">
        <v>48361</v>
      </c>
      <c r="E13649" t="s">
        <v>48362</v>
      </c>
      <c r="F13649" t="s">
        <v>11476</v>
      </c>
      <c r="G13649" t="s">
        <v>65</v>
      </c>
      <c r="H13649">
        <v>442860000</v>
      </c>
      <c r="I13649" t="s">
        <v>30</v>
      </c>
      <c r="J13649" t="s">
        <v>41</v>
      </c>
      <c r="K13649" t="s">
        <v>229</v>
      </c>
      <c r="Q13649">
        <v>0</v>
      </c>
      <c r="R13649">
        <v>155</v>
      </c>
      <c r="S13649">
        <v>155</v>
      </c>
      <c r="T13649" t="s">
        <v>48363</v>
      </c>
    </row>
    <row r="13650" spans="1:20" customFormat="1" ht="15" x14ac:dyDescent="0.25">
      <c r="A13650" t="s">
        <v>35</v>
      </c>
      <c r="B13650" t="s">
        <v>61</v>
      </c>
      <c r="C13650" t="str">
        <f>"A0131438"</f>
        <v>A0131438</v>
      </c>
      <c r="D13650" t="s">
        <v>48364</v>
      </c>
      <c r="E13650" t="s">
        <v>48365</v>
      </c>
      <c r="F13650" t="s">
        <v>17360</v>
      </c>
      <c r="G13650" t="s">
        <v>137</v>
      </c>
      <c r="H13650">
        <v>63841</v>
      </c>
      <c r="I13650" t="s">
        <v>30</v>
      </c>
      <c r="J13650" t="s">
        <v>41</v>
      </c>
      <c r="K13650" t="s">
        <v>229</v>
      </c>
      <c r="Q13650">
        <v>0</v>
      </c>
      <c r="R13650">
        <v>1</v>
      </c>
      <c r="S13650">
        <v>1</v>
      </c>
      <c r="T13650" t="s">
        <v>48366</v>
      </c>
    </row>
    <row r="13651" spans="1:20" customFormat="1" ht="15" x14ac:dyDescent="0.25">
      <c r="A13651" t="s">
        <v>35</v>
      </c>
      <c r="B13651" t="s">
        <v>61</v>
      </c>
      <c r="C13651" t="str">
        <f>"A0123042"</f>
        <v>A0123042</v>
      </c>
      <c r="D13651" t="s">
        <v>48367</v>
      </c>
      <c r="E13651" t="s">
        <v>48368</v>
      </c>
      <c r="F13651" t="s">
        <v>75</v>
      </c>
      <c r="G13651" t="s">
        <v>76</v>
      </c>
      <c r="H13651">
        <v>99201</v>
      </c>
      <c r="I13651" t="s">
        <v>30</v>
      </c>
      <c r="J13651" t="s">
        <v>41</v>
      </c>
      <c r="K13651" t="s">
        <v>2715</v>
      </c>
      <c r="Q13651">
        <v>0</v>
      </c>
      <c r="R13651">
        <v>0</v>
      </c>
      <c r="S13651">
        <v>0</v>
      </c>
      <c r="T13651" t="s">
        <v>48369</v>
      </c>
    </row>
    <row r="13652" spans="1:20" customFormat="1" ht="15" x14ac:dyDescent="0.25">
      <c r="A13652" t="s">
        <v>35</v>
      </c>
      <c r="B13652" t="s">
        <v>61</v>
      </c>
      <c r="C13652" t="str">
        <f>"A0118227"</f>
        <v>A0118227</v>
      </c>
      <c r="D13652" t="s">
        <v>48370</v>
      </c>
      <c r="E13652" t="s">
        <v>48371</v>
      </c>
      <c r="F13652" t="s">
        <v>4586</v>
      </c>
      <c r="G13652" t="s">
        <v>153</v>
      </c>
      <c r="H13652">
        <v>840655902</v>
      </c>
      <c r="I13652" t="s">
        <v>30</v>
      </c>
      <c r="J13652" t="s">
        <v>41</v>
      </c>
      <c r="K13652" t="s">
        <v>461</v>
      </c>
      <c r="Q13652">
        <v>0</v>
      </c>
      <c r="R13652">
        <v>20</v>
      </c>
      <c r="S13652">
        <v>20</v>
      </c>
      <c r="T13652" t="s">
        <v>48372</v>
      </c>
    </row>
    <row r="13653" spans="1:20" customFormat="1" ht="15" x14ac:dyDescent="0.25">
      <c r="A13653" t="s">
        <v>35</v>
      </c>
      <c r="B13653" t="s">
        <v>61</v>
      </c>
      <c r="C13653" t="str">
        <f>"A0121322"</f>
        <v>A0121322</v>
      </c>
      <c r="D13653" t="s">
        <v>48373</v>
      </c>
      <c r="E13653" t="s">
        <v>48374</v>
      </c>
      <c r="F13653" t="s">
        <v>48375</v>
      </c>
      <c r="G13653" t="s">
        <v>153</v>
      </c>
      <c r="H13653">
        <v>84065</v>
      </c>
      <c r="I13653" t="s">
        <v>30</v>
      </c>
      <c r="J13653" t="s">
        <v>41</v>
      </c>
      <c r="K13653" t="s">
        <v>461</v>
      </c>
      <c r="Q13653">
        <v>0</v>
      </c>
      <c r="R13653">
        <v>18</v>
      </c>
      <c r="S13653">
        <v>18</v>
      </c>
      <c r="T13653" t="s">
        <v>48376</v>
      </c>
    </row>
    <row r="13654" spans="1:20" customFormat="1" ht="15" x14ac:dyDescent="0.25">
      <c r="A13654" t="s">
        <v>35</v>
      </c>
      <c r="B13654" t="s">
        <v>61</v>
      </c>
      <c r="C13654" t="str">
        <f>"A0124078"</f>
        <v>A0124078</v>
      </c>
      <c r="D13654" t="s">
        <v>48377</v>
      </c>
      <c r="E13654" t="s">
        <v>48378</v>
      </c>
      <c r="F13654" t="s">
        <v>3197</v>
      </c>
      <c r="G13654" t="s">
        <v>58</v>
      </c>
      <c r="H13654">
        <v>29639</v>
      </c>
      <c r="I13654" t="s">
        <v>30</v>
      </c>
      <c r="J13654" t="s">
        <v>41</v>
      </c>
      <c r="K13654" t="s">
        <v>482</v>
      </c>
      <c r="Q13654">
        <v>0</v>
      </c>
      <c r="R13654">
        <v>80</v>
      </c>
      <c r="S13654">
        <v>80</v>
      </c>
      <c r="T13654" t="s">
        <v>48379</v>
      </c>
    </row>
    <row r="13655" spans="1:20" customFormat="1" ht="15" x14ac:dyDescent="0.25">
      <c r="A13655" t="s">
        <v>35</v>
      </c>
      <c r="B13655" t="s">
        <v>61</v>
      </c>
      <c r="C13655" t="str">
        <f>"A0129902"</f>
        <v>A0129902</v>
      </c>
      <c r="D13655" t="s">
        <v>48380</v>
      </c>
      <c r="E13655" t="s">
        <v>48381</v>
      </c>
      <c r="F13655" t="s">
        <v>3657</v>
      </c>
      <c r="G13655" t="s">
        <v>880</v>
      </c>
      <c r="H13655">
        <v>37917</v>
      </c>
      <c r="I13655" t="s">
        <v>30</v>
      </c>
      <c r="J13655" t="s">
        <v>41</v>
      </c>
      <c r="K13655" t="s">
        <v>59</v>
      </c>
      <c r="Q13655">
        <v>0</v>
      </c>
      <c r="R13655">
        <v>48</v>
      </c>
      <c r="S13655">
        <v>48</v>
      </c>
      <c r="T13655" t="s">
        <v>48382</v>
      </c>
    </row>
    <row r="13656" spans="1:20" customFormat="1" ht="15" x14ac:dyDescent="0.25">
      <c r="A13656" t="s">
        <v>35</v>
      </c>
      <c r="B13656" t="s">
        <v>61</v>
      </c>
      <c r="C13656" t="str">
        <f>"A0154313"</f>
        <v>A0154313</v>
      </c>
      <c r="D13656" t="s">
        <v>48383</v>
      </c>
      <c r="E13656" t="s">
        <v>48384</v>
      </c>
      <c r="F13656" t="s">
        <v>460</v>
      </c>
      <c r="G13656" t="s">
        <v>117</v>
      </c>
      <c r="H13656">
        <v>48088</v>
      </c>
      <c r="I13656" t="s">
        <v>30</v>
      </c>
      <c r="J13656" t="s">
        <v>41</v>
      </c>
      <c r="K13656" t="s">
        <v>2463</v>
      </c>
      <c r="Q13656">
        <v>0</v>
      </c>
      <c r="R13656">
        <v>0</v>
      </c>
      <c r="S13656">
        <v>0</v>
      </c>
      <c r="T13656" t="s">
        <v>48385</v>
      </c>
    </row>
    <row r="13657" spans="1:20" customFormat="1" ht="15" x14ac:dyDescent="0.25">
      <c r="A13657" t="s">
        <v>35</v>
      </c>
      <c r="B13657" t="s">
        <v>61</v>
      </c>
      <c r="C13657" t="str">
        <f>"A0117934"</f>
        <v>A0117934</v>
      </c>
      <c r="D13657" t="s">
        <v>48386</v>
      </c>
      <c r="E13657" t="s">
        <v>48387</v>
      </c>
      <c r="F13657" t="s">
        <v>906</v>
      </c>
      <c r="G13657" t="s">
        <v>221</v>
      </c>
      <c r="H13657">
        <v>89512</v>
      </c>
      <c r="I13657" t="s">
        <v>30</v>
      </c>
      <c r="J13657" t="s">
        <v>41</v>
      </c>
      <c r="K13657" t="s">
        <v>59</v>
      </c>
      <c r="Q13657">
        <v>0</v>
      </c>
      <c r="R13657">
        <v>118</v>
      </c>
      <c r="S13657">
        <v>118</v>
      </c>
      <c r="T13657" t="s">
        <v>48388</v>
      </c>
    </row>
    <row r="13658" spans="1:20" customFormat="1" ht="15" x14ac:dyDescent="0.25">
      <c r="A13658" t="s">
        <v>35</v>
      </c>
      <c r="B13658" t="s">
        <v>61</v>
      </c>
      <c r="C13658" t="str">
        <f>"A0124332"</f>
        <v>A0124332</v>
      </c>
      <c r="D13658" t="s">
        <v>48389</v>
      </c>
      <c r="E13658" t="s">
        <v>48390</v>
      </c>
      <c r="F13658" t="s">
        <v>24381</v>
      </c>
      <c r="G13658" t="s">
        <v>338</v>
      </c>
      <c r="H13658">
        <v>8609</v>
      </c>
      <c r="I13658" t="s">
        <v>30</v>
      </c>
      <c r="J13658" t="s">
        <v>41</v>
      </c>
      <c r="K13658" t="s">
        <v>59</v>
      </c>
      <c r="Q13658">
        <v>0</v>
      </c>
      <c r="R13658">
        <v>185</v>
      </c>
      <c r="S13658">
        <v>185</v>
      </c>
      <c r="T13658" t="s">
        <v>48391</v>
      </c>
    </row>
    <row r="13659" spans="1:20" customFormat="1" ht="15" x14ac:dyDescent="0.25">
      <c r="A13659" t="s">
        <v>35</v>
      </c>
      <c r="B13659" t="s">
        <v>61</v>
      </c>
      <c r="C13659" t="str">
        <f>"A0124333"</f>
        <v>A0124333</v>
      </c>
      <c r="D13659" t="s">
        <v>48392</v>
      </c>
      <c r="E13659" t="s">
        <v>48393</v>
      </c>
      <c r="F13659" t="s">
        <v>48394</v>
      </c>
      <c r="G13659" t="s">
        <v>381</v>
      </c>
      <c r="H13659">
        <v>46375</v>
      </c>
      <c r="I13659" t="s">
        <v>30</v>
      </c>
      <c r="J13659" t="s">
        <v>41</v>
      </c>
      <c r="K13659" t="s">
        <v>229</v>
      </c>
      <c r="Q13659">
        <v>0</v>
      </c>
      <c r="R13659">
        <v>100</v>
      </c>
      <c r="S13659">
        <v>100</v>
      </c>
      <c r="T13659" t="s">
        <v>48395</v>
      </c>
    </row>
    <row r="13660" spans="1:20" customFormat="1" ht="15" x14ac:dyDescent="0.25">
      <c r="A13660" t="s">
        <v>35</v>
      </c>
      <c r="B13660" t="s">
        <v>61</v>
      </c>
      <c r="C13660" t="str">
        <f>"A0151499"</f>
        <v>A0151499</v>
      </c>
      <c r="D13660" t="s">
        <v>48396</v>
      </c>
      <c r="E13660" t="s">
        <v>48397</v>
      </c>
      <c r="F13660" t="s">
        <v>417</v>
      </c>
      <c r="G13660" t="s">
        <v>190</v>
      </c>
      <c r="H13660">
        <v>80525</v>
      </c>
      <c r="I13660" t="s">
        <v>30</v>
      </c>
      <c r="J13660" t="s">
        <v>41</v>
      </c>
      <c r="K13660" t="s">
        <v>59</v>
      </c>
      <c r="Q13660">
        <v>0</v>
      </c>
      <c r="R13660">
        <v>68</v>
      </c>
      <c r="S13660">
        <v>68</v>
      </c>
      <c r="T13660" t="s">
        <v>48398</v>
      </c>
    </row>
    <row r="13661" spans="1:20" customFormat="1" ht="15" x14ac:dyDescent="0.25">
      <c r="A13661" t="s">
        <v>35</v>
      </c>
      <c r="B13661" t="s">
        <v>61</v>
      </c>
      <c r="C13661" t="str">
        <f>"A0131844"</f>
        <v>A0131844</v>
      </c>
      <c r="D13661" t="s">
        <v>48399</v>
      </c>
      <c r="E13661" t="s">
        <v>48400</v>
      </c>
      <c r="F13661" t="s">
        <v>35954</v>
      </c>
      <c r="G13661" t="s">
        <v>65</v>
      </c>
      <c r="H13661">
        <v>440240000</v>
      </c>
      <c r="I13661" t="s">
        <v>30</v>
      </c>
      <c r="J13661" t="s">
        <v>41</v>
      </c>
      <c r="K13661" t="s">
        <v>59</v>
      </c>
      <c r="Q13661">
        <v>0</v>
      </c>
      <c r="R13661">
        <v>52</v>
      </c>
      <c r="S13661">
        <v>52</v>
      </c>
      <c r="T13661" t="s">
        <v>48401</v>
      </c>
    </row>
    <row r="13662" spans="1:20" customFormat="1" ht="15" x14ac:dyDescent="0.25">
      <c r="A13662" t="s">
        <v>35</v>
      </c>
      <c r="B13662" t="s">
        <v>61</v>
      </c>
      <c r="C13662" t="str">
        <f>"A0127713"</f>
        <v>A0127713</v>
      </c>
      <c r="D13662" t="s">
        <v>48402</v>
      </c>
      <c r="E13662" t="s">
        <v>48403</v>
      </c>
      <c r="F13662" t="s">
        <v>9607</v>
      </c>
      <c r="G13662" t="s">
        <v>117</v>
      </c>
      <c r="H13662">
        <v>49505</v>
      </c>
      <c r="I13662" t="s">
        <v>30</v>
      </c>
      <c r="J13662" t="s">
        <v>41</v>
      </c>
      <c r="K13662" t="s">
        <v>229</v>
      </c>
      <c r="Q13662">
        <v>0</v>
      </c>
      <c r="R13662">
        <v>48</v>
      </c>
      <c r="S13662">
        <v>48</v>
      </c>
      <c r="T13662" t="s">
        <v>48404</v>
      </c>
    </row>
    <row r="13663" spans="1:20" customFormat="1" ht="15" x14ac:dyDescent="0.25">
      <c r="A13663" t="s">
        <v>35</v>
      </c>
      <c r="B13663" t="s">
        <v>61</v>
      </c>
      <c r="C13663" t="str">
        <f>"A0123926"</f>
        <v>A0123926</v>
      </c>
      <c r="D13663" t="s">
        <v>48405</v>
      </c>
      <c r="E13663" t="s">
        <v>48406</v>
      </c>
      <c r="F13663" t="s">
        <v>37790</v>
      </c>
      <c r="G13663" t="s">
        <v>29</v>
      </c>
      <c r="H13663">
        <v>23666</v>
      </c>
      <c r="I13663" t="s">
        <v>30</v>
      </c>
      <c r="J13663" t="s">
        <v>41</v>
      </c>
      <c r="K13663" t="s">
        <v>482</v>
      </c>
      <c r="Q13663">
        <v>0</v>
      </c>
      <c r="R13663">
        <v>80</v>
      </c>
      <c r="S13663">
        <v>80</v>
      </c>
      <c r="T13663" t="s">
        <v>48407</v>
      </c>
    </row>
    <row r="13664" spans="1:20" customFormat="1" ht="15" x14ac:dyDescent="0.25">
      <c r="A13664" t="s">
        <v>35</v>
      </c>
      <c r="B13664" t="s">
        <v>61</v>
      </c>
      <c r="C13664" t="str">
        <f>"A0128898"</f>
        <v>A0128898</v>
      </c>
      <c r="D13664" t="s">
        <v>48408</v>
      </c>
      <c r="E13664" t="s">
        <v>48409</v>
      </c>
      <c r="F13664" t="s">
        <v>25322</v>
      </c>
      <c r="G13664" t="s">
        <v>289</v>
      </c>
      <c r="H13664">
        <v>62806</v>
      </c>
      <c r="I13664" t="s">
        <v>30</v>
      </c>
      <c r="J13664" t="s">
        <v>41</v>
      </c>
      <c r="K13664" t="s">
        <v>229</v>
      </c>
      <c r="Q13664">
        <v>0</v>
      </c>
      <c r="R13664">
        <v>40</v>
      </c>
      <c r="S13664">
        <v>40</v>
      </c>
      <c r="T13664" t="s">
        <v>48410</v>
      </c>
    </row>
    <row r="13665" spans="1:20" customFormat="1" ht="15" x14ac:dyDescent="0.25">
      <c r="A13665" t="s">
        <v>35</v>
      </c>
      <c r="B13665" t="s">
        <v>61</v>
      </c>
      <c r="C13665" t="str">
        <f>"A0128662"</f>
        <v>A0128662</v>
      </c>
      <c r="D13665" t="s">
        <v>48411</v>
      </c>
      <c r="E13665" t="s">
        <v>48412</v>
      </c>
      <c r="F13665" t="s">
        <v>48413</v>
      </c>
      <c r="G13665" t="s">
        <v>1170</v>
      </c>
      <c r="H13665">
        <v>70427</v>
      </c>
      <c r="I13665" t="s">
        <v>30</v>
      </c>
      <c r="J13665" t="s">
        <v>41</v>
      </c>
      <c r="K13665" t="s">
        <v>59</v>
      </c>
      <c r="Q13665">
        <v>0</v>
      </c>
      <c r="R13665">
        <v>210</v>
      </c>
      <c r="S13665">
        <v>210</v>
      </c>
      <c r="T13665" t="s">
        <v>48414</v>
      </c>
    </row>
    <row r="13666" spans="1:20" customFormat="1" ht="15" x14ac:dyDescent="0.25">
      <c r="A13666" t="s">
        <v>35</v>
      </c>
      <c r="B13666" t="s">
        <v>61</v>
      </c>
      <c r="C13666" t="str">
        <f>"A0129294"</f>
        <v>A0129294</v>
      </c>
      <c r="D13666" t="s">
        <v>48415</v>
      </c>
      <c r="E13666" t="s">
        <v>48416</v>
      </c>
      <c r="F13666" t="s">
        <v>8677</v>
      </c>
      <c r="G13666" t="s">
        <v>289</v>
      </c>
      <c r="H13666">
        <v>61270</v>
      </c>
      <c r="I13666" t="s">
        <v>30</v>
      </c>
      <c r="J13666" t="s">
        <v>41</v>
      </c>
      <c r="K13666" t="s">
        <v>229</v>
      </c>
      <c r="Q13666">
        <v>0</v>
      </c>
      <c r="R13666">
        <v>76</v>
      </c>
      <c r="S13666">
        <v>76</v>
      </c>
      <c r="T13666" t="s">
        <v>48417</v>
      </c>
    </row>
    <row r="13667" spans="1:20" customFormat="1" ht="15" x14ac:dyDescent="0.25">
      <c r="A13667" t="s">
        <v>35</v>
      </c>
      <c r="B13667" t="s">
        <v>61</v>
      </c>
      <c r="C13667" t="str">
        <f>"A0132436"</f>
        <v>A0132436</v>
      </c>
      <c r="D13667" t="s">
        <v>48418</v>
      </c>
      <c r="E13667" t="s">
        <v>48419</v>
      </c>
      <c r="F13667" t="s">
        <v>43166</v>
      </c>
      <c r="G13667" t="s">
        <v>65</v>
      </c>
      <c r="H13667">
        <v>45652</v>
      </c>
      <c r="I13667" t="s">
        <v>30</v>
      </c>
      <c r="J13667" t="s">
        <v>41</v>
      </c>
      <c r="K13667" t="s">
        <v>229</v>
      </c>
      <c r="Q13667">
        <v>0</v>
      </c>
      <c r="R13667">
        <v>23</v>
      </c>
      <c r="S13667">
        <v>23</v>
      </c>
      <c r="T13667" t="s">
        <v>48420</v>
      </c>
    </row>
    <row r="13668" spans="1:20" customFormat="1" ht="15" x14ac:dyDescent="0.25">
      <c r="A13668" t="s">
        <v>35</v>
      </c>
      <c r="B13668" t="s">
        <v>61</v>
      </c>
      <c r="C13668" t="str">
        <f>"A0152965"</f>
        <v>A0152965</v>
      </c>
      <c r="D13668" t="s">
        <v>48421</v>
      </c>
      <c r="E13668" t="s">
        <v>48422</v>
      </c>
      <c r="F13668" t="s">
        <v>12380</v>
      </c>
      <c r="G13668" t="s">
        <v>880</v>
      </c>
      <c r="H13668">
        <v>37166</v>
      </c>
      <c r="I13668" t="s">
        <v>30</v>
      </c>
      <c r="J13668" t="s">
        <v>41</v>
      </c>
      <c r="K13668" t="s">
        <v>42</v>
      </c>
      <c r="Q13668">
        <v>0</v>
      </c>
      <c r="R13668">
        <v>0</v>
      </c>
      <c r="S13668">
        <v>0</v>
      </c>
      <c r="T13668" t="s">
        <v>48423</v>
      </c>
    </row>
    <row r="13669" spans="1:20" customFormat="1" ht="15" x14ac:dyDescent="0.25">
      <c r="A13669" t="s">
        <v>35</v>
      </c>
      <c r="B13669" t="s">
        <v>61</v>
      </c>
      <c r="C13669" t="str">
        <f>"A0133728"</f>
        <v>A0133728</v>
      </c>
      <c r="D13669" t="s">
        <v>48424</v>
      </c>
      <c r="E13669" t="s">
        <v>48425</v>
      </c>
      <c r="F13669" t="s">
        <v>5217</v>
      </c>
      <c r="G13669" t="s">
        <v>52</v>
      </c>
      <c r="H13669">
        <v>75703</v>
      </c>
      <c r="I13669" t="s">
        <v>30</v>
      </c>
      <c r="J13669" t="s">
        <v>41</v>
      </c>
      <c r="K13669" t="s">
        <v>229</v>
      </c>
      <c r="Q13669">
        <v>0</v>
      </c>
      <c r="R13669">
        <v>70</v>
      </c>
      <c r="S13669">
        <v>70</v>
      </c>
      <c r="T13669" t="s">
        <v>48426</v>
      </c>
    </row>
    <row r="13670" spans="1:20" customFormat="1" ht="15" x14ac:dyDescent="0.25">
      <c r="A13670" t="s">
        <v>35</v>
      </c>
      <c r="B13670" t="s">
        <v>61</v>
      </c>
      <c r="C13670" t="str">
        <f>"A0152950"</f>
        <v>A0152950</v>
      </c>
      <c r="D13670" t="s">
        <v>48427</v>
      </c>
      <c r="E13670" t="s">
        <v>48428</v>
      </c>
      <c r="F13670" t="s">
        <v>13792</v>
      </c>
      <c r="G13670" t="s">
        <v>52</v>
      </c>
      <c r="H13670">
        <v>76014</v>
      </c>
      <c r="I13670" t="s">
        <v>30</v>
      </c>
      <c r="J13670" t="s">
        <v>41</v>
      </c>
      <c r="K13670" t="s">
        <v>59</v>
      </c>
      <c r="Q13670">
        <v>0</v>
      </c>
      <c r="R13670">
        <v>42</v>
      </c>
      <c r="S13670">
        <v>42</v>
      </c>
      <c r="T13670" t="s">
        <v>48429</v>
      </c>
    </row>
    <row r="13671" spans="1:20" customFormat="1" ht="15" x14ac:dyDescent="0.25">
      <c r="A13671" t="s">
        <v>35</v>
      </c>
      <c r="B13671" t="s">
        <v>61</v>
      </c>
      <c r="C13671" t="str">
        <f>"A0152949"</f>
        <v>A0152949</v>
      </c>
      <c r="D13671" t="s">
        <v>48430</v>
      </c>
      <c r="E13671" t="s">
        <v>48431</v>
      </c>
      <c r="F13671" t="s">
        <v>48432</v>
      </c>
      <c r="G13671" t="s">
        <v>289</v>
      </c>
      <c r="H13671">
        <v>60440</v>
      </c>
      <c r="I13671" t="s">
        <v>30</v>
      </c>
      <c r="J13671" t="s">
        <v>41</v>
      </c>
      <c r="K13671" t="s">
        <v>59</v>
      </c>
      <c r="Q13671">
        <v>0</v>
      </c>
      <c r="R13671">
        <v>46</v>
      </c>
      <c r="S13671">
        <v>46</v>
      </c>
      <c r="T13671" t="s">
        <v>48433</v>
      </c>
    </row>
    <row r="13672" spans="1:20" customFormat="1" ht="15" x14ac:dyDescent="0.25">
      <c r="A13672" t="s">
        <v>35</v>
      </c>
      <c r="B13672" t="s">
        <v>61</v>
      </c>
      <c r="C13672" t="str">
        <f>"A0152947"</f>
        <v>A0152947</v>
      </c>
      <c r="D13672" t="s">
        <v>48434</v>
      </c>
      <c r="E13672" t="s">
        <v>48435</v>
      </c>
      <c r="F13672" t="s">
        <v>2219</v>
      </c>
      <c r="G13672" t="s">
        <v>289</v>
      </c>
      <c r="H13672">
        <v>60014</v>
      </c>
      <c r="I13672" t="s">
        <v>30</v>
      </c>
      <c r="J13672" t="s">
        <v>41</v>
      </c>
      <c r="K13672" t="s">
        <v>59</v>
      </c>
      <c r="Q13672">
        <v>0</v>
      </c>
      <c r="R13672">
        <v>42</v>
      </c>
      <c r="S13672">
        <v>42</v>
      </c>
      <c r="T13672" t="s">
        <v>48436</v>
      </c>
    </row>
    <row r="13673" spans="1:20" customFormat="1" ht="15" x14ac:dyDescent="0.25">
      <c r="A13673" t="s">
        <v>35</v>
      </c>
      <c r="B13673" t="s">
        <v>61</v>
      </c>
      <c r="C13673" t="str">
        <f>"A0152946"</f>
        <v>A0152946</v>
      </c>
      <c r="D13673" t="s">
        <v>48437</v>
      </c>
      <c r="E13673" t="s">
        <v>48438</v>
      </c>
      <c r="F13673" t="s">
        <v>11767</v>
      </c>
      <c r="G13673" t="s">
        <v>52</v>
      </c>
      <c r="H13673">
        <v>75087</v>
      </c>
      <c r="I13673" t="s">
        <v>30</v>
      </c>
      <c r="J13673" t="s">
        <v>41</v>
      </c>
      <c r="K13673" t="s">
        <v>59</v>
      </c>
      <c r="Q13673">
        <v>0</v>
      </c>
      <c r="R13673">
        <v>46</v>
      </c>
      <c r="S13673">
        <v>46</v>
      </c>
      <c r="T13673" t="s">
        <v>48439</v>
      </c>
    </row>
    <row r="13674" spans="1:20" customFormat="1" ht="15" x14ac:dyDescent="0.25">
      <c r="A13674" t="s">
        <v>35</v>
      </c>
      <c r="B13674" t="s">
        <v>61</v>
      </c>
      <c r="C13674" t="str">
        <f>"A0152948"</f>
        <v>A0152948</v>
      </c>
      <c r="D13674" t="s">
        <v>48440</v>
      </c>
      <c r="E13674" t="s">
        <v>48441</v>
      </c>
      <c r="F13674" t="s">
        <v>48442</v>
      </c>
      <c r="G13674" t="s">
        <v>289</v>
      </c>
      <c r="H13674">
        <v>60010</v>
      </c>
      <c r="I13674" t="s">
        <v>30</v>
      </c>
      <c r="J13674" t="s">
        <v>41</v>
      </c>
      <c r="K13674" t="s">
        <v>59</v>
      </c>
      <c r="Q13674">
        <v>0</v>
      </c>
      <c r="R13674">
        <v>46</v>
      </c>
      <c r="S13674">
        <v>46</v>
      </c>
      <c r="T13674" t="s">
        <v>48443</v>
      </c>
    </row>
    <row r="13675" spans="1:20" customFormat="1" ht="15" x14ac:dyDescent="0.25">
      <c r="A13675" t="s">
        <v>35</v>
      </c>
      <c r="B13675" t="s">
        <v>61</v>
      </c>
      <c r="C13675" t="str">
        <f>"A0123573"</f>
        <v>A0123573</v>
      </c>
      <c r="D13675" t="s">
        <v>48444</v>
      </c>
      <c r="E13675" t="s">
        <v>48445</v>
      </c>
      <c r="F13675" t="s">
        <v>472</v>
      </c>
      <c r="G13675" t="s">
        <v>214</v>
      </c>
      <c r="H13675">
        <v>27607</v>
      </c>
      <c r="I13675" t="s">
        <v>30</v>
      </c>
      <c r="J13675" t="s">
        <v>41</v>
      </c>
      <c r="K13675" t="s">
        <v>229</v>
      </c>
      <c r="Q13675">
        <v>0</v>
      </c>
      <c r="R13675">
        <v>120</v>
      </c>
      <c r="S13675">
        <v>120</v>
      </c>
      <c r="T13675" t="s">
        <v>48446</v>
      </c>
    </row>
    <row r="13676" spans="1:20" customFormat="1" ht="15" x14ac:dyDescent="0.25">
      <c r="A13676" t="s">
        <v>35</v>
      </c>
      <c r="B13676" t="s">
        <v>61</v>
      </c>
      <c r="C13676" t="str">
        <f>"A0133326"</f>
        <v>A0133326</v>
      </c>
      <c r="D13676" t="s">
        <v>48447</v>
      </c>
      <c r="E13676" t="s">
        <v>48448</v>
      </c>
      <c r="F13676" t="s">
        <v>4133</v>
      </c>
      <c r="G13676" t="s">
        <v>52</v>
      </c>
      <c r="H13676">
        <v>78729</v>
      </c>
      <c r="I13676" t="s">
        <v>30</v>
      </c>
      <c r="J13676" t="s">
        <v>41</v>
      </c>
      <c r="K13676" t="s">
        <v>290</v>
      </c>
      <c r="Q13676">
        <v>0</v>
      </c>
      <c r="R13676">
        <v>0</v>
      </c>
      <c r="S13676">
        <v>0</v>
      </c>
      <c r="T13676" t="s">
        <v>48449</v>
      </c>
    </row>
    <row r="13677" spans="1:20" customFormat="1" ht="15" x14ac:dyDescent="0.25">
      <c r="A13677" t="s">
        <v>35</v>
      </c>
      <c r="B13677" t="s">
        <v>61</v>
      </c>
      <c r="C13677" t="str">
        <f>"A0127039"</f>
        <v>A0127039</v>
      </c>
      <c r="D13677" t="s">
        <v>48450</v>
      </c>
      <c r="E13677" t="s">
        <v>48451</v>
      </c>
      <c r="F13677" t="s">
        <v>23705</v>
      </c>
      <c r="G13677" t="s">
        <v>103</v>
      </c>
      <c r="H13677">
        <v>16101</v>
      </c>
      <c r="I13677" t="s">
        <v>30</v>
      </c>
      <c r="J13677" t="s">
        <v>41</v>
      </c>
      <c r="K13677" t="s">
        <v>59</v>
      </c>
      <c r="Q13677">
        <v>0</v>
      </c>
      <c r="R13677">
        <v>110</v>
      </c>
      <c r="S13677">
        <v>110</v>
      </c>
      <c r="T13677" t="s">
        <v>48452</v>
      </c>
    </row>
    <row r="13678" spans="1:20" customFormat="1" ht="15" x14ac:dyDescent="0.25">
      <c r="A13678" t="s">
        <v>35</v>
      </c>
      <c r="B13678" t="s">
        <v>61</v>
      </c>
      <c r="C13678" t="str">
        <f>"A0123574"</f>
        <v>A0123574</v>
      </c>
      <c r="D13678" t="s">
        <v>48453</v>
      </c>
      <c r="E13678" t="s">
        <v>48454</v>
      </c>
      <c r="F13678" t="s">
        <v>23505</v>
      </c>
      <c r="G13678" t="s">
        <v>65</v>
      </c>
      <c r="H13678">
        <v>44646</v>
      </c>
      <c r="I13678" t="s">
        <v>30</v>
      </c>
      <c r="J13678" t="s">
        <v>41</v>
      </c>
      <c r="K13678" t="s">
        <v>10880</v>
      </c>
      <c r="Q13678">
        <v>0</v>
      </c>
      <c r="R13678">
        <v>0</v>
      </c>
      <c r="S13678">
        <v>0</v>
      </c>
      <c r="T13678" t="s">
        <v>48455</v>
      </c>
    </row>
    <row r="13679" spans="1:20" customFormat="1" ht="15" x14ac:dyDescent="0.25">
      <c r="A13679" t="s">
        <v>35</v>
      </c>
      <c r="B13679" t="s">
        <v>61</v>
      </c>
      <c r="C13679" t="str">
        <f>"A0124334"</f>
        <v>A0124334</v>
      </c>
      <c r="D13679" t="s">
        <v>48456</v>
      </c>
      <c r="E13679" t="s">
        <v>48457</v>
      </c>
      <c r="F13679" t="s">
        <v>8024</v>
      </c>
      <c r="G13679" t="s">
        <v>90</v>
      </c>
      <c r="H13679">
        <v>2906</v>
      </c>
      <c r="I13679" t="s">
        <v>30</v>
      </c>
      <c r="J13679" t="s">
        <v>41</v>
      </c>
      <c r="K13679" t="s">
        <v>59</v>
      </c>
      <c r="Q13679">
        <v>0</v>
      </c>
      <c r="R13679">
        <v>15</v>
      </c>
      <c r="S13679">
        <v>15</v>
      </c>
      <c r="T13679" t="s">
        <v>48458</v>
      </c>
    </row>
    <row r="13680" spans="1:20" customFormat="1" ht="15" x14ac:dyDescent="0.25">
      <c r="A13680" t="s">
        <v>35</v>
      </c>
      <c r="B13680" t="s">
        <v>61</v>
      </c>
      <c r="C13680" t="str">
        <f>"A0124335"</f>
        <v>A0124335</v>
      </c>
      <c r="D13680" t="s">
        <v>48459</v>
      </c>
      <c r="E13680" t="s">
        <v>48460</v>
      </c>
      <c r="F13680" t="s">
        <v>8024</v>
      </c>
      <c r="G13680" t="s">
        <v>90</v>
      </c>
      <c r="H13680">
        <v>2906</v>
      </c>
      <c r="I13680" t="s">
        <v>30</v>
      </c>
      <c r="J13680" t="s">
        <v>41</v>
      </c>
      <c r="K13680" t="s">
        <v>59</v>
      </c>
      <c r="Q13680">
        <v>0</v>
      </c>
      <c r="R13680">
        <v>46</v>
      </c>
      <c r="S13680">
        <v>46</v>
      </c>
    </row>
    <row r="13681" spans="1:20" customFormat="1" ht="15" x14ac:dyDescent="0.25">
      <c r="A13681" t="s">
        <v>35</v>
      </c>
      <c r="B13681" t="s">
        <v>61</v>
      </c>
      <c r="C13681" t="str">
        <f>"A0117821"</f>
        <v>A0117821</v>
      </c>
      <c r="D13681" t="s">
        <v>48461</v>
      </c>
      <c r="E13681" t="s">
        <v>48462</v>
      </c>
      <c r="F13681" t="s">
        <v>21826</v>
      </c>
      <c r="G13681" t="s">
        <v>110</v>
      </c>
      <c r="H13681">
        <v>92376</v>
      </c>
      <c r="I13681" t="s">
        <v>30</v>
      </c>
      <c r="J13681" t="s">
        <v>41</v>
      </c>
      <c r="K13681" t="s">
        <v>59</v>
      </c>
      <c r="Q13681">
        <v>0</v>
      </c>
      <c r="R13681">
        <v>65</v>
      </c>
      <c r="S13681">
        <v>65</v>
      </c>
      <c r="T13681" t="s">
        <v>48463</v>
      </c>
    </row>
    <row r="13682" spans="1:20" customFormat="1" ht="15" x14ac:dyDescent="0.25">
      <c r="A13682" t="s">
        <v>35</v>
      </c>
      <c r="B13682" t="s">
        <v>106</v>
      </c>
      <c r="C13682" t="str">
        <f>"A0135716"</f>
        <v>A0135716</v>
      </c>
      <c r="D13682" t="s">
        <v>48464</v>
      </c>
      <c r="E13682" t="s">
        <v>15901</v>
      </c>
      <c r="F13682" t="s">
        <v>5257</v>
      </c>
      <c r="G13682" t="s">
        <v>52</v>
      </c>
      <c r="H13682">
        <v>770050000</v>
      </c>
      <c r="I13682" t="s">
        <v>30</v>
      </c>
      <c r="J13682" t="s">
        <v>111</v>
      </c>
      <c r="K13682" t="s">
        <v>10012</v>
      </c>
      <c r="Q13682">
        <v>0</v>
      </c>
      <c r="R13682">
        <v>0</v>
      </c>
      <c r="S13682">
        <v>0</v>
      </c>
      <c r="T13682" t="s">
        <v>15903</v>
      </c>
    </row>
    <row r="13683" spans="1:20" customFormat="1" ht="15" x14ac:dyDescent="0.25">
      <c r="A13683" t="s">
        <v>35</v>
      </c>
      <c r="B13683" t="s">
        <v>106</v>
      </c>
      <c r="C13683" t="str">
        <f>"A0135717"</f>
        <v>A0135717</v>
      </c>
      <c r="D13683" t="s">
        <v>48465</v>
      </c>
      <c r="E13683" t="s">
        <v>15898</v>
      </c>
      <c r="F13683" t="s">
        <v>5257</v>
      </c>
      <c r="G13683" t="s">
        <v>52</v>
      </c>
      <c r="H13683">
        <v>770050000</v>
      </c>
      <c r="I13683" t="s">
        <v>30</v>
      </c>
      <c r="J13683" t="s">
        <v>111</v>
      </c>
      <c r="K13683" t="s">
        <v>10012</v>
      </c>
      <c r="Q13683">
        <v>0</v>
      </c>
      <c r="R13683">
        <v>0</v>
      </c>
      <c r="S13683">
        <v>0</v>
      </c>
      <c r="T13683" t="s">
        <v>15905</v>
      </c>
    </row>
    <row r="13684" spans="1:20" customFormat="1" ht="15" x14ac:dyDescent="0.25">
      <c r="A13684" t="s">
        <v>35</v>
      </c>
      <c r="B13684" t="s">
        <v>106</v>
      </c>
      <c r="C13684" t="str">
        <f>"A0135718"</f>
        <v>A0135718</v>
      </c>
      <c r="D13684" t="s">
        <v>48466</v>
      </c>
      <c r="E13684" t="s">
        <v>15901</v>
      </c>
      <c r="F13684" t="s">
        <v>5257</v>
      </c>
      <c r="G13684" t="s">
        <v>52</v>
      </c>
      <c r="H13684">
        <v>770050000</v>
      </c>
      <c r="I13684" t="s">
        <v>30</v>
      </c>
      <c r="J13684" t="s">
        <v>111</v>
      </c>
      <c r="K13684" t="s">
        <v>10012</v>
      </c>
      <c r="Q13684">
        <v>0</v>
      </c>
      <c r="R13684">
        <v>0</v>
      </c>
      <c r="S13684">
        <v>0</v>
      </c>
      <c r="T13684" t="s">
        <v>15905</v>
      </c>
    </row>
    <row r="13685" spans="1:20" customFormat="1" ht="15" x14ac:dyDescent="0.25">
      <c r="A13685" t="s">
        <v>35</v>
      </c>
      <c r="B13685" t="s">
        <v>106</v>
      </c>
      <c r="C13685" t="str">
        <f>"A0135726"</f>
        <v>A0135726</v>
      </c>
      <c r="D13685" t="s">
        <v>48467</v>
      </c>
      <c r="E13685" t="s">
        <v>15914</v>
      </c>
      <c r="F13685" t="s">
        <v>5257</v>
      </c>
      <c r="G13685" t="s">
        <v>52</v>
      </c>
      <c r="H13685">
        <v>77005</v>
      </c>
      <c r="I13685" t="s">
        <v>30</v>
      </c>
      <c r="J13685" t="s">
        <v>111</v>
      </c>
      <c r="K13685" t="s">
        <v>112</v>
      </c>
      <c r="Q13685">
        <v>0</v>
      </c>
      <c r="R13685">
        <v>0</v>
      </c>
      <c r="S13685">
        <v>0</v>
      </c>
      <c r="T13685" t="s">
        <v>15909</v>
      </c>
    </row>
    <row r="13686" spans="1:20" customFormat="1" ht="15" x14ac:dyDescent="0.25">
      <c r="A13686" t="s">
        <v>35</v>
      </c>
      <c r="B13686" t="s">
        <v>61</v>
      </c>
      <c r="C13686" t="str">
        <f>"A0130287"</f>
        <v>A0130287</v>
      </c>
      <c r="D13686" t="s">
        <v>48468</v>
      </c>
      <c r="E13686" t="s">
        <v>48469</v>
      </c>
      <c r="F13686" t="s">
        <v>48470</v>
      </c>
      <c r="G13686" t="s">
        <v>1898</v>
      </c>
      <c r="H13686">
        <v>504660000</v>
      </c>
      <c r="I13686" t="s">
        <v>30</v>
      </c>
      <c r="J13686" t="s">
        <v>41</v>
      </c>
      <c r="K13686" t="s">
        <v>229</v>
      </c>
      <c r="Q13686">
        <v>0</v>
      </c>
      <c r="R13686">
        <v>49</v>
      </c>
      <c r="S13686">
        <v>49</v>
      </c>
      <c r="T13686" t="s">
        <v>48471</v>
      </c>
    </row>
    <row r="13687" spans="1:20" customFormat="1" ht="15" x14ac:dyDescent="0.25">
      <c r="A13687" t="s">
        <v>35</v>
      </c>
      <c r="B13687" t="s">
        <v>61</v>
      </c>
      <c r="C13687" t="str">
        <f>"A0121383"</f>
        <v>A0121383</v>
      </c>
      <c r="D13687" t="s">
        <v>48472</v>
      </c>
      <c r="E13687" t="s">
        <v>48473</v>
      </c>
      <c r="F13687" t="s">
        <v>11476</v>
      </c>
      <c r="G13687" t="s">
        <v>153</v>
      </c>
      <c r="H13687">
        <v>84701</v>
      </c>
      <c r="I13687" t="s">
        <v>30</v>
      </c>
      <c r="J13687" t="s">
        <v>41</v>
      </c>
      <c r="K13687" t="s">
        <v>112</v>
      </c>
      <c r="Q13687">
        <v>0</v>
      </c>
      <c r="R13687">
        <v>100</v>
      </c>
      <c r="S13687">
        <v>100</v>
      </c>
      <c r="T13687" t="s">
        <v>48474</v>
      </c>
    </row>
    <row r="13688" spans="1:20" customFormat="1" ht="15" x14ac:dyDescent="0.25">
      <c r="A13688" t="s">
        <v>35</v>
      </c>
      <c r="B13688" t="s">
        <v>12023</v>
      </c>
      <c r="C13688" t="str">
        <f>"A0125818"</f>
        <v>A0125818</v>
      </c>
      <c r="D13688" t="s">
        <v>48475</v>
      </c>
      <c r="E13688" t="s">
        <v>48476</v>
      </c>
      <c r="F13688" t="s">
        <v>8647</v>
      </c>
      <c r="G13688" t="s">
        <v>29</v>
      </c>
      <c r="H13688">
        <v>24153</v>
      </c>
      <c r="I13688" t="s">
        <v>30</v>
      </c>
      <c r="J13688" t="s">
        <v>41</v>
      </c>
      <c r="K13688" t="s">
        <v>1440</v>
      </c>
      <c r="Q13688">
        <v>0</v>
      </c>
      <c r="R13688">
        <v>700</v>
      </c>
      <c r="S13688">
        <v>700</v>
      </c>
      <c r="T13688" t="s">
        <v>12026</v>
      </c>
    </row>
    <row r="13689" spans="1:20" customFormat="1" ht="15" x14ac:dyDescent="0.25">
      <c r="A13689" t="s">
        <v>35</v>
      </c>
      <c r="B13689" t="s">
        <v>61</v>
      </c>
      <c r="C13689" t="str">
        <f>"A0123137"</f>
        <v>A0123137</v>
      </c>
      <c r="D13689" t="s">
        <v>48477</v>
      </c>
      <c r="E13689" t="s">
        <v>48478</v>
      </c>
      <c r="F13689" t="s">
        <v>23698</v>
      </c>
      <c r="G13689" t="s">
        <v>137</v>
      </c>
      <c r="H13689">
        <v>655560000</v>
      </c>
      <c r="I13689" t="s">
        <v>30</v>
      </c>
      <c r="J13689" t="s">
        <v>41</v>
      </c>
      <c r="K13689" t="s">
        <v>229</v>
      </c>
      <c r="Q13689">
        <v>0</v>
      </c>
      <c r="R13689">
        <v>1</v>
      </c>
      <c r="S13689">
        <v>1</v>
      </c>
      <c r="T13689" t="s">
        <v>48479</v>
      </c>
    </row>
    <row r="13690" spans="1:20" customFormat="1" ht="15" x14ac:dyDescent="0.25">
      <c r="A13690" t="s">
        <v>35</v>
      </c>
      <c r="B13690" t="s">
        <v>61</v>
      </c>
      <c r="C13690" t="str">
        <f>"A0124336"</f>
        <v>A0124336</v>
      </c>
      <c r="D13690" t="s">
        <v>48480</v>
      </c>
      <c r="E13690" t="s">
        <v>48481</v>
      </c>
      <c r="F13690" t="s">
        <v>19356</v>
      </c>
      <c r="G13690" t="s">
        <v>103</v>
      </c>
      <c r="H13690">
        <v>19063</v>
      </c>
      <c r="I13690" t="s">
        <v>30</v>
      </c>
      <c r="J13690" t="s">
        <v>41</v>
      </c>
      <c r="K13690" t="s">
        <v>59</v>
      </c>
      <c r="Q13690">
        <v>0</v>
      </c>
      <c r="R13690">
        <v>500</v>
      </c>
      <c r="S13690">
        <v>500</v>
      </c>
      <c r="T13690" t="s">
        <v>48482</v>
      </c>
    </row>
    <row r="13691" spans="1:20" customFormat="1" ht="15" x14ac:dyDescent="0.25">
      <c r="A13691" t="s">
        <v>35</v>
      </c>
      <c r="B13691" t="s">
        <v>61</v>
      </c>
      <c r="C13691" t="str">
        <f>"A0123929"</f>
        <v>A0123929</v>
      </c>
      <c r="D13691" t="s">
        <v>48483</v>
      </c>
      <c r="E13691" t="s">
        <v>48484</v>
      </c>
      <c r="F13691" t="s">
        <v>15684</v>
      </c>
      <c r="G13691" t="s">
        <v>214</v>
      </c>
      <c r="H13691">
        <v>27030</v>
      </c>
      <c r="I13691" t="s">
        <v>30</v>
      </c>
      <c r="J13691" t="s">
        <v>41</v>
      </c>
      <c r="K13691" t="s">
        <v>482</v>
      </c>
      <c r="Q13691">
        <v>0</v>
      </c>
      <c r="R13691">
        <v>0</v>
      </c>
      <c r="S13691">
        <v>0</v>
      </c>
      <c r="T13691" t="s">
        <v>48485</v>
      </c>
    </row>
    <row r="13692" spans="1:20" customFormat="1" ht="15" x14ac:dyDescent="0.25">
      <c r="A13692" t="s">
        <v>35</v>
      </c>
      <c r="B13692" t="s">
        <v>106</v>
      </c>
      <c r="C13692" t="str">
        <f>"A0136597"</f>
        <v>A0136597</v>
      </c>
      <c r="D13692" t="s">
        <v>48486</v>
      </c>
      <c r="E13692" t="s">
        <v>48487</v>
      </c>
      <c r="F13692" t="s">
        <v>29363</v>
      </c>
      <c r="G13692" t="s">
        <v>615</v>
      </c>
      <c r="H13692">
        <v>6877</v>
      </c>
      <c r="I13692" t="s">
        <v>30</v>
      </c>
      <c r="J13692" t="s">
        <v>111</v>
      </c>
      <c r="K13692" t="s">
        <v>112</v>
      </c>
      <c r="Q13692">
        <v>0</v>
      </c>
      <c r="R13692">
        <v>0</v>
      </c>
      <c r="S13692">
        <v>0</v>
      </c>
      <c r="T13692" t="s">
        <v>48488</v>
      </c>
    </row>
    <row r="13693" spans="1:20" customFormat="1" ht="15" x14ac:dyDescent="0.25">
      <c r="A13693" t="s">
        <v>35</v>
      </c>
      <c r="B13693" t="s">
        <v>61</v>
      </c>
      <c r="C13693" t="str">
        <f>"A0129254"</f>
        <v>A0129254</v>
      </c>
      <c r="D13693" t="s">
        <v>48489</v>
      </c>
      <c r="E13693" t="s">
        <v>48490</v>
      </c>
      <c r="F13693" t="s">
        <v>48491</v>
      </c>
      <c r="G13693" t="s">
        <v>289</v>
      </c>
      <c r="H13693">
        <v>62449</v>
      </c>
      <c r="I13693" t="s">
        <v>30</v>
      </c>
      <c r="J13693" t="s">
        <v>41</v>
      </c>
      <c r="K13693" t="s">
        <v>229</v>
      </c>
      <c r="Q13693">
        <v>0</v>
      </c>
      <c r="R13693">
        <v>50</v>
      </c>
      <c r="S13693">
        <v>50</v>
      </c>
      <c r="T13693" t="s">
        <v>48492</v>
      </c>
    </row>
    <row r="13694" spans="1:20" customFormat="1" ht="15" x14ac:dyDescent="0.25">
      <c r="A13694" t="s">
        <v>35</v>
      </c>
      <c r="B13694" t="s">
        <v>61</v>
      </c>
      <c r="C13694" t="str">
        <f>"A0118111"</f>
        <v>A0118111</v>
      </c>
      <c r="D13694" t="s">
        <v>48493</v>
      </c>
      <c r="E13694" t="s">
        <v>48494</v>
      </c>
      <c r="F13694" t="s">
        <v>37480</v>
      </c>
      <c r="G13694" t="s">
        <v>153</v>
      </c>
      <c r="H13694">
        <v>84790</v>
      </c>
      <c r="I13694" t="s">
        <v>30</v>
      </c>
      <c r="J13694" t="s">
        <v>41</v>
      </c>
      <c r="K13694" t="s">
        <v>59</v>
      </c>
      <c r="Q13694">
        <v>0</v>
      </c>
      <c r="R13694">
        <v>38</v>
      </c>
      <c r="S13694">
        <v>38</v>
      </c>
      <c r="T13694" t="s">
        <v>48495</v>
      </c>
    </row>
    <row r="13695" spans="1:20" customFormat="1" ht="15" x14ac:dyDescent="0.25">
      <c r="A13695" t="s">
        <v>35</v>
      </c>
      <c r="B13695" t="s">
        <v>61</v>
      </c>
      <c r="C13695" t="str">
        <f>"A0124478"</f>
        <v>A0124478</v>
      </c>
      <c r="D13695" t="s">
        <v>48496</v>
      </c>
      <c r="E13695" t="s">
        <v>48497</v>
      </c>
      <c r="F13695" t="s">
        <v>9143</v>
      </c>
      <c r="G13695" t="s">
        <v>1706</v>
      </c>
      <c r="H13695">
        <v>355010000</v>
      </c>
      <c r="I13695" t="s">
        <v>30</v>
      </c>
      <c r="J13695" t="s">
        <v>41</v>
      </c>
      <c r="K13695" t="s">
        <v>229</v>
      </c>
      <c r="Q13695">
        <v>0</v>
      </c>
      <c r="R13695">
        <v>148</v>
      </c>
      <c r="S13695">
        <v>148</v>
      </c>
      <c r="T13695" t="s">
        <v>48498</v>
      </c>
    </row>
    <row r="13696" spans="1:20" customFormat="1" ht="15" x14ac:dyDescent="0.25">
      <c r="A13696" t="s">
        <v>35</v>
      </c>
      <c r="B13696" t="s">
        <v>61</v>
      </c>
      <c r="C13696" t="str">
        <f>"A0126885"</f>
        <v>A0126885</v>
      </c>
      <c r="D13696" t="s">
        <v>48499</v>
      </c>
      <c r="E13696" t="s">
        <v>48500</v>
      </c>
      <c r="F13696" t="s">
        <v>22296</v>
      </c>
      <c r="G13696" t="s">
        <v>338</v>
      </c>
      <c r="H13696">
        <v>8723</v>
      </c>
      <c r="I13696" t="s">
        <v>30</v>
      </c>
      <c r="J13696" t="s">
        <v>41</v>
      </c>
      <c r="K13696" t="s">
        <v>229</v>
      </c>
      <c r="Q13696">
        <v>0</v>
      </c>
      <c r="R13696">
        <v>111</v>
      </c>
      <c r="S13696">
        <v>111</v>
      </c>
      <c r="T13696" t="s">
        <v>48501</v>
      </c>
    </row>
    <row r="13697" spans="1:20" customFormat="1" ht="15" x14ac:dyDescent="0.25">
      <c r="A13697" t="s">
        <v>35</v>
      </c>
      <c r="B13697" t="s">
        <v>61</v>
      </c>
      <c r="C13697" t="str">
        <f>"A0127268"</f>
        <v>A0127268</v>
      </c>
      <c r="D13697" t="s">
        <v>48502</v>
      </c>
      <c r="E13697" t="s">
        <v>48503</v>
      </c>
      <c r="F13697" t="s">
        <v>30357</v>
      </c>
      <c r="G13697" t="s">
        <v>846</v>
      </c>
      <c r="H13697">
        <v>30080</v>
      </c>
      <c r="I13697" t="s">
        <v>30</v>
      </c>
      <c r="J13697" t="s">
        <v>41</v>
      </c>
      <c r="K13697" t="s">
        <v>461</v>
      </c>
      <c r="Q13697">
        <v>0</v>
      </c>
      <c r="R13697">
        <v>1</v>
      </c>
      <c r="S13697">
        <v>1</v>
      </c>
      <c r="T13697" t="s">
        <v>48504</v>
      </c>
    </row>
    <row r="13698" spans="1:20" customFormat="1" ht="15" x14ac:dyDescent="0.25">
      <c r="A13698" t="s">
        <v>35</v>
      </c>
      <c r="B13698" t="s">
        <v>61</v>
      </c>
      <c r="C13698" t="str">
        <f>"A0130934"</f>
        <v>A0130934</v>
      </c>
      <c r="D13698" t="s">
        <v>48505</v>
      </c>
      <c r="E13698" t="s">
        <v>48506</v>
      </c>
      <c r="F13698" t="s">
        <v>48507</v>
      </c>
      <c r="G13698" t="s">
        <v>85</v>
      </c>
      <c r="H13698">
        <v>726320000</v>
      </c>
      <c r="I13698" t="s">
        <v>30</v>
      </c>
      <c r="J13698" t="s">
        <v>41</v>
      </c>
      <c r="K13698" t="s">
        <v>229</v>
      </c>
      <c r="Q13698">
        <v>0</v>
      </c>
      <c r="R13698">
        <v>20</v>
      </c>
      <c r="S13698">
        <v>20</v>
      </c>
      <c r="T13698" t="s">
        <v>48508</v>
      </c>
    </row>
    <row r="13699" spans="1:20" customFormat="1" ht="15" x14ac:dyDescent="0.25">
      <c r="A13699" t="s">
        <v>35</v>
      </c>
      <c r="B13699" t="s">
        <v>61</v>
      </c>
      <c r="C13699" t="str">
        <f>"A0127564"</f>
        <v>A0127564</v>
      </c>
      <c r="D13699" t="s">
        <v>48509</v>
      </c>
      <c r="E13699" t="s">
        <v>48510</v>
      </c>
      <c r="F13699" t="s">
        <v>4082</v>
      </c>
      <c r="G13699" t="s">
        <v>123</v>
      </c>
      <c r="H13699">
        <v>21228</v>
      </c>
      <c r="I13699" t="s">
        <v>30</v>
      </c>
      <c r="J13699" t="s">
        <v>41</v>
      </c>
      <c r="K13699" t="s">
        <v>229</v>
      </c>
      <c r="Q13699">
        <v>0</v>
      </c>
      <c r="R13699">
        <v>61</v>
      </c>
      <c r="S13699">
        <v>61</v>
      </c>
      <c r="T13699" t="s">
        <v>48511</v>
      </c>
    </row>
    <row r="13700" spans="1:20" customFormat="1" ht="15" x14ac:dyDescent="0.25">
      <c r="A13700" t="s">
        <v>35</v>
      </c>
      <c r="B13700" t="s">
        <v>61</v>
      </c>
      <c r="C13700" t="str">
        <f>"A0123575"</f>
        <v>A0123575</v>
      </c>
      <c r="D13700" t="s">
        <v>48512</v>
      </c>
      <c r="E13700" t="s">
        <v>48513</v>
      </c>
      <c r="F13700" t="s">
        <v>8647</v>
      </c>
      <c r="G13700" t="s">
        <v>29</v>
      </c>
      <c r="H13700">
        <v>24153</v>
      </c>
      <c r="I13700" t="s">
        <v>30</v>
      </c>
      <c r="J13700" t="s">
        <v>41</v>
      </c>
      <c r="K13700" t="s">
        <v>482</v>
      </c>
      <c r="Q13700">
        <v>0</v>
      </c>
      <c r="R13700">
        <v>55</v>
      </c>
      <c r="S13700">
        <v>55</v>
      </c>
      <c r="T13700" t="s">
        <v>48514</v>
      </c>
    </row>
    <row r="13701" spans="1:20" customFormat="1" ht="15" x14ac:dyDescent="0.25">
      <c r="A13701" t="s">
        <v>35</v>
      </c>
      <c r="B13701" t="s">
        <v>61</v>
      </c>
      <c r="C13701" t="str">
        <f>"A0124469"</f>
        <v>A0124469</v>
      </c>
      <c r="D13701" t="s">
        <v>48515</v>
      </c>
      <c r="E13701" t="s">
        <v>48516</v>
      </c>
      <c r="F13701" t="s">
        <v>9143</v>
      </c>
      <c r="G13701" t="s">
        <v>1706</v>
      </c>
      <c r="H13701">
        <v>355040000</v>
      </c>
      <c r="I13701" t="s">
        <v>30</v>
      </c>
      <c r="J13701" t="s">
        <v>41</v>
      </c>
      <c r="K13701" t="s">
        <v>229</v>
      </c>
      <c r="Q13701">
        <v>0</v>
      </c>
      <c r="R13701">
        <v>98</v>
      </c>
      <c r="S13701">
        <v>98</v>
      </c>
      <c r="T13701" t="s">
        <v>48517</v>
      </c>
    </row>
    <row r="13702" spans="1:20" customFormat="1" ht="15" x14ac:dyDescent="0.25">
      <c r="A13702" t="s">
        <v>35</v>
      </c>
      <c r="B13702" t="s">
        <v>61</v>
      </c>
      <c r="C13702" t="str">
        <f>"A0130585"</f>
        <v>A0130585</v>
      </c>
      <c r="D13702" t="s">
        <v>48518</v>
      </c>
      <c r="E13702" t="s">
        <v>48519</v>
      </c>
      <c r="F13702" t="s">
        <v>39417</v>
      </c>
      <c r="G13702" t="s">
        <v>1898</v>
      </c>
      <c r="H13702">
        <v>50854</v>
      </c>
      <c r="I13702" t="s">
        <v>30</v>
      </c>
      <c r="J13702" t="s">
        <v>41</v>
      </c>
      <c r="K13702" t="s">
        <v>391</v>
      </c>
      <c r="Q13702">
        <v>0</v>
      </c>
      <c r="R13702">
        <v>0</v>
      </c>
      <c r="S13702">
        <v>0</v>
      </c>
      <c r="T13702" t="s">
        <v>48520</v>
      </c>
    </row>
    <row r="13703" spans="1:20" customFormat="1" ht="15" x14ac:dyDescent="0.25">
      <c r="A13703" t="s">
        <v>35</v>
      </c>
      <c r="B13703" t="s">
        <v>61</v>
      </c>
      <c r="C13703" t="str">
        <f>"A0128743"</f>
        <v>A0128743</v>
      </c>
      <c r="D13703" t="s">
        <v>48521</v>
      </c>
      <c r="E13703" t="s">
        <v>48522</v>
      </c>
      <c r="F13703" t="s">
        <v>46764</v>
      </c>
      <c r="G13703" t="s">
        <v>1170</v>
      </c>
      <c r="H13703">
        <v>71350</v>
      </c>
      <c r="I13703" t="s">
        <v>30</v>
      </c>
      <c r="J13703" t="s">
        <v>41</v>
      </c>
      <c r="K13703" t="s">
        <v>229</v>
      </c>
      <c r="Q13703">
        <v>0</v>
      </c>
      <c r="R13703">
        <v>92</v>
      </c>
      <c r="S13703">
        <v>92</v>
      </c>
      <c r="T13703" t="s">
        <v>48523</v>
      </c>
    </row>
    <row r="13704" spans="1:20" customFormat="1" ht="15" x14ac:dyDescent="0.25">
      <c r="A13704" t="s">
        <v>35</v>
      </c>
      <c r="B13704" t="s">
        <v>61</v>
      </c>
      <c r="C13704" t="str">
        <f>"A0130878"</f>
        <v>A0130878</v>
      </c>
      <c r="D13704" t="s">
        <v>48524</v>
      </c>
      <c r="E13704" t="s">
        <v>48525</v>
      </c>
      <c r="F13704" t="s">
        <v>17040</v>
      </c>
      <c r="G13704" t="s">
        <v>137</v>
      </c>
      <c r="H13704">
        <v>63935</v>
      </c>
      <c r="I13704" t="s">
        <v>30</v>
      </c>
      <c r="J13704" t="s">
        <v>41</v>
      </c>
      <c r="K13704" t="s">
        <v>2760</v>
      </c>
      <c r="Q13704">
        <v>0</v>
      </c>
      <c r="R13704">
        <v>1</v>
      </c>
      <c r="S13704">
        <v>1</v>
      </c>
      <c r="T13704" t="s">
        <v>48526</v>
      </c>
    </row>
    <row r="13705" spans="1:20" customFormat="1" ht="15" x14ac:dyDescent="0.25">
      <c r="A13705" t="s">
        <v>35</v>
      </c>
      <c r="B13705" t="s">
        <v>61</v>
      </c>
      <c r="C13705" t="str">
        <f>"A0130943"</f>
        <v>A0130943</v>
      </c>
      <c r="D13705" t="s">
        <v>48527</v>
      </c>
      <c r="E13705" t="s">
        <v>48528</v>
      </c>
      <c r="F13705" t="s">
        <v>39429</v>
      </c>
      <c r="G13705" t="s">
        <v>85</v>
      </c>
      <c r="H13705">
        <v>716650000</v>
      </c>
      <c r="I13705" t="s">
        <v>30</v>
      </c>
      <c r="J13705" t="s">
        <v>41</v>
      </c>
      <c r="K13705" t="s">
        <v>2760</v>
      </c>
      <c r="Q13705">
        <v>0</v>
      </c>
      <c r="R13705">
        <v>1</v>
      </c>
      <c r="S13705">
        <v>1</v>
      </c>
      <c r="T13705" t="s">
        <v>48529</v>
      </c>
    </row>
    <row r="13706" spans="1:20" customFormat="1" ht="15" x14ac:dyDescent="0.25">
      <c r="A13706" t="s">
        <v>35</v>
      </c>
      <c r="B13706" t="s">
        <v>61</v>
      </c>
      <c r="C13706" t="str">
        <f>"A0123930"</f>
        <v>A0123930</v>
      </c>
      <c r="D13706" t="s">
        <v>48530</v>
      </c>
      <c r="E13706" t="s">
        <v>48531</v>
      </c>
      <c r="F13706" t="s">
        <v>37204</v>
      </c>
      <c r="G13706" t="s">
        <v>29</v>
      </c>
      <c r="H13706">
        <v>24401</v>
      </c>
      <c r="I13706" t="s">
        <v>30</v>
      </c>
      <c r="J13706" t="s">
        <v>41</v>
      </c>
      <c r="K13706" t="s">
        <v>482</v>
      </c>
      <c r="Q13706">
        <v>0</v>
      </c>
      <c r="R13706">
        <v>53</v>
      </c>
      <c r="S13706">
        <v>53</v>
      </c>
      <c r="T13706" t="s">
        <v>48532</v>
      </c>
    </row>
    <row r="13707" spans="1:20" customFormat="1" ht="15" x14ac:dyDescent="0.25">
      <c r="A13707" t="s">
        <v>35</v>
      </c>
      <c r="B13707" t="s">
        <v>225</v>
      </c>
      <c r="C13707" t="str">
        <f>"A0131533"</f>
        <v>A0131533</v>
      </c>
      <c r="D13707" t="s">
        <v>48533</v>
      </c>
      <c r="E13707" t="s">
        <v>48534</v>
      </c>
      <c r="F13707" t="s">
        <v>12071</v>
      </c>
      <c r="G13707" t="s">
        <v>381</v>
      </c>
      <c r="H13707">
        <v>47720</v>
      </c>
      <c r="I13707" t="s">
        <v>30</v>
      </c>
      <c r="J13707" t="s">
        <v>41</v>
      </c>
      <c r="K13707" t="s">
        <v>229</v>
      </c>
      <c r="Q13707">
        <v>0</v>
      </c>
      <c r="R13707">
        <v>113</v>
      </c>
      <c r="S13707">
        <v>113</v>
      </c>
      <c r="T13707" t="s">
        <v>48535</v>
      </c>
    </row>
    <row r="13708" spans="1:20" customFormat="1" ht="15" x14ac:dyDescent="0.25">
      <c r="A13708" t="s">
        <v>35</v>
      </c>
      <c r="B13708" t="s">
        <v>61</v>
      </c>
      <c r="C13708" t="str">
        <f>"A0119266"</f>
        <v>A0119266</v>
      </c>
      <c r="D13708" t="s">
        <v>48536</v>
      </c>
      <c r="E13708" t="s">
        <v>48537</v>
      </c>
      <c r="F13708" t="s">
        <v>5459</v>
      </c>
      <c r="G13708" t="s">
        <v>110</v>
      </c>
      <c r="H13708">
        <v>95691</v>
      </c>
      <c r="I13708" t="s">
        <v>30</v>
      </c>
      <c r="J13708" t="s">
        <v>41</v>
      </c>
      <c r="K13708" t="s">
        <v>59</v>
      </c>
      <c r="Q13708">
        <v>0</v>
      </c>
      <c r="R13708">
        <v>97</v>
      </c>
      <c r="S13708">
        <v>97</v>
      </c>
      <c r="T13708" t="s">
        <v>48538</v>
      </c>
    </row>
    <row r="13709" spans="1:20" customFormat="1" ht="15" x14ac:dyDescent="0.25">
      <c r="A13709" t="s">
        <v>35</v>
      </c>
      <c r="B13709" t="s">
        <v>61</v>
      </c>
      <c r="C13709" t="str">
        <f>"A0127827"</f>
        <v>A0127827</v>
      </c>
      <c r="D13709" t="s">
        <v>48539</v>
      </c>
      <c r="E13709" t="s">
        <v>48540</v>
      </c>
      <c r="F13709" t="s">
        <v>48541</v>
      </c>
      <c r="G13709" t="s">
        <v>117</v>
      </c>
      <c r="H13709">
        <v>48054</v>
      </c>
      <c r="I13709" t="s">
        <v>30</v>
      </c>
      <c r="J13709" t="s">
        <v>41</v>
      </c>
      <c r="K13709" t="s">
        <v>1032</v>
      </c>
      <c r="Q13709">
        <v>0</v>
      </c>
      <c r="R13709">
        <v>40</v>
      </c>
      <c r="S13709">
        <v>40</v>
      </c>
      <c r="T13709" t="s">
        <v>48542</v>
      </c>
    </row>
    <row r="13710" spans="1:20" customFormat="1" ht="15" x14ac:dyDescent="0.25">
      <c r="A13710" t="s">
        <v>35</v>
      </c>
      <c r="B13710" t="s">
        <v>61</v>
      </c>
      <c r="C13710" t="str">
        <f>"A0118440"</f>
        <v>A0118440</v>
      </c>
      <c r="D13710" t="s">
        <v>48543</v>
      </c>
      <c r="E13710" t="s">
        <v>48544</v>
      </c>
      <c r="F13710" t="s">
        <v>12489</v>
      </c>
      <c r="G13710" t="s">
        <v>110</v>
      </c>
      <c r="H13710">
        <v>96002</v>
      </c>
      <c r="I13710" t="s">
        <v>30</v>
      </c>
      <c r="J13710" t="s">
        <v>41</v>
      </c>
      <c r="K13710" t="s">
        <v>59</v>
      </c>
      <c r="Q13710">
        <v>0</v>
      </c>
      <c r="R13710">
        <v>100</v>
      </c>
      <c r="S13710">
        <v>100</v>
      </c>
      <c r="T13710" t="s">
        <v>48545</v>
      </c>
    </row>
    <row r="13711" spans="1:20" customFormat="1" ht="15" x14ac:dyDescent="0.25">
      <c r="A13711" t="s">
        <v>35</v>
      </c>
      <c r="B13711" t="s">
        <v>61</v>
      </c>
      <c r="C13711" t="str">
        <f>"A0133165"</f>
        <v>A0133165</v>
      </c>
      <c r="D13711" t="s">
        <v>48546</v>
      </c>
      <c r="E13711" t="s">
        <v>48547</v>
      </c>
      <c r="F13711" t="s">
        <v>17954</v>
      </c>
      <c r="G13711" t="s">
        <v>52</v>
      </c>
      <c r="H13711">
        <v>78130</v>
      </c>
      <c r="I13711" t="s">
        <v>30</v>
      </c>
      <c r="J13711" t="s">
        <v>41</v>
      </c>
      <c r="K13711" t="s">
        <v>229</v>
      </c>
      <c r="Q13711">
        <v>0</v>
      </c>
      <c r="R13711">
        <v>160</v>
      </c>
      <c r="S13711">
        <v>160</v>
      </c>
      <c r="T13711" t="s">
        <v>48548</v>
      </c>
    </row>
    <row r="13712" spans="1:20" customFormat="1" ht="15" x14ac:dyDescent="0.25">
      <c r="A13712" t="s">
        <v>35</v>
      </c>
      <c r="B13712" t="s">
        <v>61</v>
      </c>
      <c r="C13712" t="str">
        <f>"A0133718"</f>
        <v>A0133718</v>
      </c>
      <c r="D13712" t="s">
        <v>48549</v>
      </c>
      <c r="E13712" t="s">
        <v>48550</v>
      </c>
      <c r="F13712" t="s">
        <v>22411</v>
      </c>
      <c r="G13712" t="s">
        <v>52</v>
      </c>
      <c r="H13712">
        <v>78028</v>
      </c>
      <c r="I13712" t="s">
        <v>30</v>
      </c>
      <c r="J13712" t="s">
        <v>41</v>
      </c>
      <c r="K13712" t="s">
        <v>229</v>
      </c>
      <c r="Q13712">
        <v>0</v>
      </c>
      <c r="R13712">
        <v>120</v>
      </c>
      <c r="S13712">
        <v>120</v>
      </c>
      <c r="T13712" t="s">
        <v>48551</v>
      </c>
    </row>
    <row r="13713" spans="1:20" customFormat="1" ht="15" x14ac:dyDescent="0.25">
      <c r="A13713" t="s">
        <v>35</v>
      </c>
      <c r="B13713" t="s">
        <v>61</v>
      </c>
      <c r="C13713" t="str">
        <f>"A0118161"</f>
        <v>A0118161</v>
      </c>
      <c r="D13713" t="s">
        <v>48552</v>
      </c>
      <c r="E13713" t="s">
        <v>48553</v>
      </c>
      <c r="F13713" t="s">
        <v>48554</v>
      </c>
      <c r="G13713" t="s">
        <v>153</v>
      </c>
      <c r="H13713">
        <v>840040000</v>
      </c>
      <c r="I13713" t="s">
        <v>30</v>
      </c>
      <c r="J13713" t="s">
        <v>41</v>
      </c>
      <c r="K13713" t="s">
        <v>59</v>
      </c>
      <c r="Q13713">
        <v>0</v>
      </c>
      <c r="R13713">
        <v>22</v>
      </c>
      <c r="S13713">
        <v>22</v>
      </c>
      <c r="T13713" t="s">
        <v>48555</v>
      </c>
    </row>
    <row r="13714" spans="1:20" customFormat="1" ht="15" x14ac:dyDescent="0.25">
      <c r="A13714" t="s">
        <v>35</v>
      </c>
      <c r="B13714" t="s">
        <v>61</v>
      </c>
      <c r="C13714" t="str">
        <f>"A0130077"</f>
        <v>A0130077</v>
      </c>
      <c r="D13714" t="s">
        <v>48556</v>
      </c>
      <c r="E13714" t="s">
        <v>48557</v>
      </c>
      <c r="F13714" t="s">
        <v>14657</v>
      </c>
      <c r="G13714" t="s">
        <v>880</v>
      </c>
      <c r="H13714">
        <v>37774</v>
      </c>
      <c r="I13714" t="s">
        <v>30</v>
      </c>
      <c r="J13714" t="s">
        <v>41</v>
      </c>
      <c r="K13714" t="s">
        <v>59</v>
      </c>
      <c r="Q13714">
        <v>0</v>
      </c>
      <c r="R13714">
        <v>45</v>
      </c>
      <c r="S13714">
        <v>45</v>
      </c>
      <c r="T13714" t="s">
        <v>48558</v>
      </c>
    </row>
    <row r="13715" spans="1:20" customFormat="1" ht="15" x14ac:dyDescent="0.25">
      <c r="A13715" t="s">
        <v>35</v>
      </c>
      <c r="B13715" t="s">
        <v>61</v>
      </c>
      <c r="C13715" t="str">
        <f>"A0130523"</f>
        <v>A0130523</v>
      </c>
      <c r="D13715" t="s">
        <v>48559</v>
      </c>
      <c r="E13715" t="s">
        <v>48560</v>
      </c>
      <c r="F13715" t="s">
        <v>48561</v>
      </c>
      <c r="G13715" t="s">
        <v>1898</v>
      </c>
      <c r="H13715">
        <v>52203</v>
      </c>
      <c r="I13715" t="s">
        <v>30</v>
      </c>
      <c r="J13715" t="s">
        <v>41</v>
      </c>
      <c r="K13715" t="s">
        <v>48562</v>
      </c>
      <c r="Q13715">
        <v>0</v>
      </c>
      <c r="R13715">
        <v>0</v>
      </c>
      <c r="S13715">
        <v>0</v>
      </c>
      <c r="T13715" t="s">
        <v>48563</v>
      </c>
    </row>
    <row r="13716" spans="1:20" customFormat="1" ht="15" x14ac:dyDescent="0.25">
      <c r="A13716" t="s">
        <v>35</v>
      </c>
      <c r="B13716" t="s">
        <v>61</v>
      </c>
      <c r="C13716" t="str">
        <f>"A0150466"</f>
        <v>A0150466</v>
      </c>
      <c r="D13716" t="s">
        <v>48564</v>
      </c>
      <c r="E13716" t="s">
        <v>48565</v>
      </c>
      <c r="F13716" t="s">
        <v>4693</v>
      </c>
      <c r="G13716" t="s">
        <v>840</v>
      </c>
      <c r="H13716">
        <v>41006</v>
      </c>
      <c r="I13716" t="s">
        <v>30</v>
      </c>
      <c r="J13716" t="s">
        <v>41</v>
      </c>
      <c r="K13716" t="s">
        <v>229</v>
      </c>
      <c r="Q13716">
        <v>0</v>
      </c>
      <c r="R13716">
        <v>60</v>
      </c>
      <c r="S13716">
        <v>60</v>
      </c>
      <c r="T13716" t="s">
        <v>48566</v>
      </c>
    </row>
    <row r="13717" spans="1:20" customFormat="1" ht="15" x14ac:dyDescent="0.25">
      <c r="A13717" t="s">
        <v>35</v>
      </c>
      <c r="B13717" t="s">
        <v>61</v>
      </c>
      <c r="C13717" t="str">
        <f>"A0124338"</f>
        <v>A0124338</v>
      </c>
      <c r="D13717" t="s">
        <v>48567</v>
      </c>
      <c r="E13717" t="s">
        <v>48568</v>
      </c>
      <c r="F13717" t="s">
        <v>18691</v>
      </c>
      <c r="G13717" t="s">
        <v>289</v>
      </c>
      <c r="H13717">
        <v>60901</v>
      </c>
      <c r="I13717" t="s">
        <v>30</v>
      </c>
      <c r="J13717" t="s">
        <v>41</v>
      </c>
      <c r="K13717" t="s">
        <v>482</v>
      </c>
      <c r="Q13717">
        <v>0</v>
      </c>
      <c r="R13717">
        <v>80</v>
      </c>
      <c r="S13717">
        <v>80</v>
      </c>
      <c r="T13717" t="s">
        <v>48569</v>
      </c>
    </row>
    <row r="13718" spans="1:20" customFormat="1" ht="15" x14ac:dyDescent="0.25">
      <c r="A13718" t="s">
        <v>35</v>
      </c>
      <c r="B13718" t="s">
        <v>61</v>
      </c>
      <c r="C13718" t="str">
        <f>"A0123103"</f>
        <v>A0123103</v>
      </c>
      <c r="D13718" t="s">
        <v>48570</v>
      </c>
      <c r="E13718" t="s">
        <v>48571</v>
      </c>
      <c r="F13718" t="s">
        <v>33001</v>
      </c>
      <c r="G13718" t="s">
        <v>433</v>
      </c>
      <c r="H13718">
        <v>83318</v>
      </c>
      <c r="I13718" t="s">
        <v>30</v>
      </c>
      <c r="J13718" t="s">
        <v>41</v>
      </c>
      <c r="K13718" t="s">
        <v>3713</v>
      </c>
      <c r="Q13718">
        <v>0</v>
      </c>
      <c r="R13718">
        <v>0</v>
      </c>
      <c r="S13718">
        <v>0</v>
      </c>
      <c r="T13718" t="s">
        <v>48572</v>
      </c>
    </row>
    <row r="13719" spans="1:20" customFormat="1" ht="15" x14ac:dyDescent="0.25">
      <c r="A13719" t="s">
        <v>35</v>
      </c>
      <c r="B13719" t="s">
        <v>61</v>
      </c>
      <c r="C13719" t="str">
        <f>"A0124847"</f>
        <v>A0124847</v>
      </c>
      <c r="D13719" t="s">
        <v>48573</v>
      </c>
      <c r="E13719" t="s">
        <v>48574</v>
      </c>
      <c r="F13719" t="s">
        <v>4674</v>
      </c>
      <c r="G13719" t="s">
        <v>214</v>
      </c>
      <c r="H13719">
        <v>27889</v>
      </c>
      <c r="I13719" t="s">
        <v>30</v>
      </c>
      <c r="J13719" t="s">
        <v>41</v>
      </c>
      <c r="K13719" t="s">
        <v>59</v>
      </c>
      <c r="Q13719">
        <v>0</v>
      </c>
      <c r="R13719">
        <v>25</v>
      </c>
      <c r="S13719">
        <v>25</v>
      </c>
      <c r="T13719" t="s">
        <v>48575</v>
      </c>
    </row>
    <row r="13720" spans="1:20" customFormat="1" ht="15" x14ac:dyDescent="0.25">
      <c r="A13720" t="s">
        <v>35</v>
      </c>
      <c r="B13720" t="s">
        <v>61</v>
      </c>
      <c r="C13720" t="str">
        <f>"A0123932"</f>
        <v>A0123932</v>
      </c>
      <c r="D13720" t="s">
        <v>48576</v>
      </c>
      <c r="E13720" t="s">
        <v>48577</v>
      </c>
      <c r="F13720" t="s">
        <v>1382</v>
      </c>
      <c r="G13720" t="s">
        <v>29</v>
      </c>
      <c r="H13720">
        <v>23606</v>
      </c>
      <c r="I13720" t="s">
        <v>30</v>
      </c>
      <c r="J13720" t="s">
        <v>41</v>
      </c>
      <c r="K13720" t="s">
        <v>59</v>
      </c>
      <c r="Q13720">
        <v>0</v>
      </c>
      <c r="R13720">
        <v>50</v>
      </c>
      <c r="S13720">
        <v>50</v>
      </c>
      <c r="T13720" t="s">
        <v>48578</v>
      </c>
    </row>
    <row r="13721" spans="1:20" customFormat="1" ht="15" x14ac:dyDescent="0.25">
      <c r="A13721" t="s">
        <v>35</v>
      </c>
      <c r="B13721" t="s">
        <v>61</v>
      </c>
      <c r="C13721" t="str">
        <f>"A0128838"</f>
        <v>A0128838</v>
      </c>
      <c r="D13721" t="s">
        <v>48579</v>
      </c>
      <c r="E13721" t="s">
        <v>48580</v>
      </c>
      <c r="F13721" t="s">
        <v>48581</v>
      </c>
      <c r="G13721" t="s">
        <v>289</v>
      </c>
      <c r="H13721">
        <v>60069</v>
      </c>
      <c r="I13721" t="s">
        <v>30</v>
      </c>
      <c r="J13721" t="s">
        <v>41</v>
      </c>
      <c r="K13721" t="s">
        <v>131</v>
      </c>
      <c r="Q13721">
        <v>0</v>
      </c>
      <c r="R13721">
        <v>97</v>
      </c>
      <c r="S13721">
        <v>97</v>
      </c>
      <c r="T13721" t="s">
        <v>48582</v>
      </c>
    </row>
    <row r="13722" spans="1:20" customFormat="1" ht="15" x14ac:dyDescent="0.25">
      <c r="A13722" t="s">
        <v>35</v>
      </c>
      <c r="B13722" t="s">
        <v>61</v>
      </c>
      <c r="C13722" t="str">
        <f>"A0123522"</f>
        <v>A0123522</v>
      </c>
      <c r="D13722" t="s">
        <v>48583</v>
      </c>
      <c r="E13722" t="s">
        <v>48584</v>
      </c>
      <c r="F13722" t="s">
        <v>15431</v>
      </c>
      <c r="G13722" t="s">
        <v>29</v>
      </c>
      <c r="H13722">
        <v>24540</v>
      </c>
      <c r="I13722" t="s">
        <v>30</v>
      </c>
      <c r="J13722" t="s">
        <v>41</v>
      </c>
      <c r="K13722" t="s">
        <v>229</v>
      </c>
      <c r="Q13722">
        <v>0</v>
      </c>
      <c r="R13722">
        <v>180</v>
      </c>
      <c r="S13722">
        <v>180</v>
      </c>
      <c r="T13722" t="s">
        <v>48585</v>
      </c>
    </row>
    <row r="13723" spans="1:20" customFormat="1" ht="15" x14ac:dyDescent="0.25">
      <c r="A13723" t="s">
        <v>35</v>
      </c>
      <c r="B13723" t="s">
        <v>61</v>
      </c>
      <c r="C13723" t="str">
        <f>"A0125458"</f>
        <v>A0125458</v>
      </c>
      <c r="D13723" t="s">
        <v>48586</v>
      </c>
      <c r="E13723" t="s">
        <v>48587</v>
      </c>
      <c r="F13723" t="s">
        <v>39942</v>
      </c>
      <c r="G13723" t="s">
        <v>65</v>
      </c>
      <c r="H13723">
        <v>74469</v>
      </c>
      <c r="I13723" t="s">
        <v>30</v>
      </c>
      <c r="J13723" t="s">
        <v>41</v>
      </c>
      <c r="K13723" t="s">
        <v>229</v>
      </c>
      <c r="Q13723">
        <v>0</v>
      </c>
      <c r="R13723">
        <v>56</v>
      </c>
      <c r="S13723">
        <v>56</v>
      </c>
      <c r="T13723" t="s">
        <v>48588</v>
      </c>
    </row>
    <row r="13724" spans="1:20" customFormat="1" ht="15" x14ac:dyDescent="0.25">
      <c r="A13724" t="s">
        <v>35</v>
      </c>
      <c r="B13724" t="s">
        <v>61</v>
      </c>
      <c r="C13724" t="str">
        <f>"A0132677"</f>
        <v>A0132677</v>
      </c>
      <c r="D13724" t="s">
        <v>48589</v>
      </c>
      <c r="E13724" t="s">
        <v>48590</v>
      </c>
      <c r="F13724" t="s">
        <v>48591</v>
      </c>
      <c r="G13724" t="s">
        <v>65</v>
      </c>
      <c r="H13724">
        <v>43832</v>
      </c>
      <c r="I13724" t="s">
        <v>30</v>
      </c>
      <c r="J13724" t="s">
        <v>41</v>
      </c>
      <c r="K13724" t="s">
        <v>229</v>
      </c>
      <c r="Q13724">
        <v>0</v>
      </c>
      <c r="R13724">
        <v>100</v>
      </c>
      <c r="S13724">
        <v>100</v>
      </c>
      <c r="T13724" t="s">
        <v>48592</v>
      </c>
    </row>
    <row r="13725" spans="1:20" customFormat="1" ht="15" x14ac:dyDescent="0.25">
      <c r="A13725" t="s">
        <v>35</v>
      </c>
      <c r="B13725" t="s">
        <v>61</v>
      </c>
      <c r="C13725" t="str">
        <f>"A0124606"</f>
        <v>A0124606</v>
      </c>
      <c r="D13725" t="s">
        <v>48593</v>
      </c>
      <c r="E13725" t="s">
        <v>48594</v>
      </c>
      <c r="F13725" t="s">
        <v>9255</v>
      </c>
      <c r="G13725" t="s">
        <v>1706</v>
      </c>
      <c r="H13725">
        <v>356010000</v>
      </c>
      <c r="I13725" t="s">
        <v>30</v>
      </c>
      <c r="J13725" t="s">
        <v>41</v>
      </c>
      <c r="K13725" t="s">
        <v>59</v>
      </c>
      <c r="Q13725">
        <v>0</v>
      </c>
      <c r="R13725">
        <v>47</v>
      </c>
      <c r="S13725">
        <v>47</v>
      </c>
      <c r="T13725" t="s">
        <v>48595</v>
      </c>
    </row>
    <row r="13726" spans="1:20" customFormat="1" ht="15" x14ac:dyDescent="0.25">
      <c r="A13726" t="s">
        <v>35</v>
      </c>
      <c r="B13726" t="s">
        <v>61</v>
      </c>
      <c r="C13726" t="str">
        <f>"A0124069"</f>
        <v>A0124069</v>
      </c>
      <c r="D13726" t="s">
        <v>48596</v>
      </c>
      <c r="E13726" t="s">
        <v>48597</v>
      </c>
      <c r="F13726" t="s">
        <v>37361</v>
      </c>
      <c r="G13726" t="s">
        <v>214</v>
      </c>
      <c r="H13726">
        <v>28562</v>
      </c>
      <c r="I13726" t="s">
        <v>30</v>
      </c>
      <c r="J13726" t="s">
        <v>41</v>
      </c>
      <c r="K13726" t="s">
        <v>482</v>
      </c>
      <c r="Q13726">
        <v>0</v>
      </c>
      <c r="R13726">
        <v>64</v>
      </c>
      <c r="S13726">
        <v>64</v>
      </c>
      <c r="T13726" t="s">
        <v>48598</v>
      </c>
    </row>
    <row r="13727" spans="1:20" customFormat="1" ht="15" x14ac:dyDescent="0.25">
      <c r="A13727" t="s">
        <v>35</v>
      </c>
      <c r="B13727" t="s">
        <v>61</v>
      </c>
      <c r="C13727" t="str">
        <f>"A0127791"</f>
        <v>A0127791</v>
      </c>
      <c r="D13727" t="s">
        <v>48599</v>
      </c>
      <c r="E13727" t="s">
        <v>48600</v>
      </c>
      <c r="F13727" t="s">
        <v>8846</v>
      </c>
      <c r="G13727" t="s">
        <v>117</v>
      </c>
      <c r="H13727">
        <v>48214</v>
      </c>
      <c r="I13727" t="s">
        <v>30</v>
      </c>
      <c r="J13727" t="s">
        <v>41</v>
      </c>
      <c r="K13727" t="s">
        <v>229</v>
      </c>
      <c r="Q13727">
        <v>0</v>
      </c>
      <c r="R13727">
        <v>136</v>
      </c>
      <c r="S13727">
        <v>136</v>
      </c>
      <c r="T13727" t="s">
        <v>48601</v>
      </c>
    </row>
    <row r="13728" spans="1:20" customFormat="1" ht="15" x14ac:dyDescent="0.25">
      <c r="A13728" t="s">
        <v>35</v>
      </c>
      <c r="B13728" t="s">
        <v>61</v>
      </c>
      <c r="C13728" t="str">
        <f>"A0127764"</f>
        <v>A0127764</v>
      </c>
      <c r="D13728" t="s">
        <v>48602</v>
      </c>
      <c r="E13728" t="s">
        <v>48603</v>
      </c>
      <c r="F13728" t="s">
        <v>8846</v>
      </c>
      <c r="G13728" t="s">
        <v>117</v>
      </c>
      <c r="H13728">
        <v>48224</v>
      </c>
      <c r="I13728" t="s">
        <v>30</v>
      </c>
      <c r="J13728" t="s">
        <v>41</v>
      </c>
      <c r="K13728" t="s">
        <v>229</v>
      </c>
      <c r="Q13728">
        <v>0</v>
      </c>
      <c r="R13728">
        <v>160</v>
      </c>
      <c r="S13728">
        <v>160</v>
      </c>
      <c r="T13728" t="s">
        <v>48604</v>
      </c>
    </row>
    <row r="13729" spans="1:20" customFormat="1" ht="15" x14ac:dyDescent="0.25">
      <c r="A13729" t="s">
        <v>35</v>
      </c>
      <c r="B13729" t="s">
        <v>61</v>
      </c>
      <c r="C13729" t="str">
        <f>"A0131921"</f>
        <v>A0131921</v>
      </c>
      <c r="D13729" t="s">
        <v>48605</v>
      </c>
      <c r="E13729" t="s">
        <v>48606</v>
      </c>
      <c r="F13729" t="s">
        <v>3478</v>
      </c>
      <c r="G13729" t="s">
        <v>65</v>
      </c>
      <c r="H13729">
        <v>45408</v>
      </c>
      <c r="I13729" t="s">
        <v>30</v>
      </c>
      <c r="J13729" t="s">
        <v>41</v>
      </c>
      <c r="K13729" t="s">
        <v>10218</v>
      </c>
      <c r="Q13729">
        <v>0</v>
      </c>
      <c r="R13729">
        <v>50</v>
      </c>
      <c r="S13729">
        <v>50</v>
      </c>
      <c r="T13729" t="s">
        <v>48607</v>
      </c>
    </row>
    <row r="13730" spans="1:20" customFormat="1" ht="15" x14ac:dyDescent="0.25">
      <c r="A13730" t="s">
        <v>35</v>
      </c>
      <c r="B13730" t="s">
        <v>61</v>
      </c>
      <c r="C13730" t="str">
        <f>"A0125789"</f>
        <v>A0125789</v>
      </c>
      <c r="D13730" t="s">
        <v>48608</v>
      </c>
      <c r="E13730" t="s">
        <v>48609</v>
      </c>
      <c r="F13730" t="s">
        <v>48610</v>
      </c>
      <c r="G13730" t="s">
        <v>29</v>
      </c>
      <c r="H13730">
        <v>24147</v>
      </c>
      <c r="I13730" t="s">
        <v>30</v>
      </c>
      <c r="J13730" t="s">
        <v>41</v>
      </c>
      <c r="K13730" t="s">
        <v>229</v>
      </c>
      <c r="Q13730">
        <v>0</v>
      </c>
      <c r="R13730">
        <v>60</v>
      </c>
      <c r="S13730">
        <v>60</v>
      </c>
      <c r="T13730" t="s">
        <v>48611</v>
      </c>
    </row>
    <row r="13731" spans="1:20" customFormat="1" ht="15" x14ac:dyDescent="0.25">
      <c r="A13731" t="s">
        <v>35</v>
      </c>
      <c r="B13731" t="s">
        <v>61</v>
      </c>
      <c r="C13731" t="str">
        <f>"A0121339"</f>
        <v>A0121339</v>
      </c>
      <c r="D13731" t="s">
        <v>48612</v>
      </c>
      <c r="E13731" t="s">
        <v>48613</v>
      </c>
      <c r="F13731" t="s">
        <v>1989</v>
      </c>
      <c r="G13731" t="s">
        <v>153</v>
      </c>
      <c r="H13731">
        <v>84095</v>
      </c>
      <c r="I13731" t="s">
        <v>30</v>
      </c>
      <c r="J13731" t="s">
        <v>41</v>
      </c>
      <c r="K13731" t="s">
        <v>59</v>
      </c>
      <c r="Q13731">
        <v>0</v>
      </c>
      <c r="R13731">
        <v>62</v>
      </c>
      <c r="S13731">
        <v>62</v>
      </c>
      <c r="T13731" t="s">
        <v>48614</v>
      </c>
    </row>
    <row r="13732" spans="1:20" customFormat="1" ht="15" x14ac:dyDescent="0.25">
      <c r="A13732" t="s">
        <v>35</v>
      </c>
      <c r="B13732" t="s">
        <v>437</v>
      </c>
      <c r="C13732" t="str">
        <f>"A0133892"</f>
        <v>A0133892</v>
      </c>
      <c r="D13732" t="s">
        <v>48615</v>
      </c>
      <c r="E13732" t="s">
        <v>48616</v>
      </c>
      <c r="F13732" t="s">
        <v>25169</v>
      </c>
      <c r="G13732" t="s">
        <v>110</v>
      </c>
      <c r="H13732">
        <v>90277</v>
      </c>
      <c r="I13732" t="s">
        <v>30</v>
      </c>
      <c r="J13732" t="s">
        <v>441</v>
      </c>
      <c r="K13732" t="s">
        <v>442</v>
      </c>
      <c r="Q13732">
        <v>0</v>
      </c>
      <c r="R13732">
        <v>0</v>
      </c>
      <c r="S13732">
        <v>0</v>
      </c>
      <c r="T13732" t="s">
        <v>48617</v>
      </c>
    </row>
    <row r="13733" spans="1:20" customFormat="1" ht="15" x14ac:dyDescent="0.25">
      <c r="A13733" t="s">
        <v>35</v>
      </c>
      <c r="B13733" t="s">
        <v>61</v>
      </c>
      <c r="C13733" t="str">
        <f>"A0124309"</f>
        <v>A0124309</v>
      </c>
      <c r="D13733" t="s">
        <v>48618</v>
      </c>
      <c r="E13733" t="s">
        <v>48619</v>
      </c>
      <c r="F13733" t="s">
        <v>1650</v>
      </c>
      <c r="G13733" t="s">
        <v>117</v>
      </c>
      <c r="H13733">
        <v>49417</v>
      </c>
      <c r="I13733" t="s">
        <v>30</v>
      </c>
      <c r="J13733" t="s">
        <v>41</v>
      </c>
      <c r="K13733" t="s">
        <v>482</v>
      </c>
      <c r="Q13733">
        <v>0</v>
      </c>
      <c r="R13733">
        <v>120</v>
      </c>
      <c r="S13733">
        <v>120</v>
      </c>
      <c r="T13733" t="s">
        <v>48620</v>
      </c>
    </row>
    <row r="13734" spans="1:20" customFormat="1" ht="15" x14ac:dyDescent="0.25">
      <c r="A13734" t="s">
        <v>35</v>
      </c>
      <c r="B13734" t="s">
        <v>61</v>
      </c>
      <c r="C13734" t="str">
        <f>"A0123523"</f>
        <v>A0123523</v>
      </c>
      <c r="D13734" t="s">
        <v>48621</v>
      </c>
      <c r="E13734" t="s">
        <v>48622</v>
      </c>
      <c r="F13734" t="s">
        <v>15431</v>
      </c>
      <c r="G13734" t="s">
        <v>29</v>
      </c>
      <c r="H13734">
        <v>24523</v>
      </c>
      <c r="I13734" t="s">
        <v>30</v>
      </c>
      <c r="J13734" t="s">
        <v>41</v>
      </c>
      <c r="K13734" t="s">
        <v>2477</v>
      </c>
      <c r="Q13734">
        <v>0</v>
      </c>
      <c r="R13734">
        <v>0</v>
      </c>
      <c r="S13734">
        <v>0</v>
      </c>
    </row>
    <row r="13735" spans="1:20" customFormat="1" ht="15" x14ac:dyDescent="0.25">
      <c r="A13735" t="s">
        <v>35</v>
      </c>
      <c r="B13735" t="s">
        <v>61</v>
      </c>
      <c r="C13735" t="str">
        <f>"A0131136"</f>
        <v>A0131136</v>
      </c>
      <c r="D13735" t="s">
        <v>48623</v>
      </c>
      <c r="E13735" t="s">
        <v>48624</v>
      </c>
      <c r="F13735" t="s">
        <v>1378</v>
      </c>
      <c r="G13735" t="s">
        <v>137</v>
      </c>
      <c r="H13735">
        <v>657890000</v>
      </c>
      <c r="I13735" t="s">
        <v>30</v>
      </c>
      <c r="J13735" t="s">
        <v>41</v>
      </c>
      <c r="K13735" t="s">
        <v>42</v>
      </c>
      <c r="Q13735">
        <v>0</v>
      </c>
      <c r="R13735">
        <v>120</v>
      </c>
      <c r="S13735">
        <v>120</v>
      </c>
      <c r="T13735" t="s">
        <v>48625</v>
      </c>
    </row>
    <row r="13736" spans="1:20" customFormat="1" ht="15" x14ac:dyDescent="0.25">
      <c r="A13736" t="s">
        <v>35</v>
      </c>
      <c r="B13736" t="s">
        <v>61</v>
      </c>
      <c r="C13736" t="str">
        <f>"A0128907"</f>
        <v>A0128907</v>
      </c>
      <c r="D13736" t="s">
        <v>31491</v>
      </c>
      <c r="E13736" t="s">
        <v>48626</v>
      </c>
      <c r="F13736" t="s">
        <v>31407</v>
      </c>
      <c r="G13736" t="s">
        <v>71</v>
      </c>
      <c r="H13736">
        <v>53547</v>
      </c>
      <c r="I13736" t="s">
        <v>30</v>
      </c>
      <c r="J13736" t="s">
        <v>41</v>
      </c>
      <c r="K13736" t="s">
        <v>229</v>
      </c>
      <c r="Q13736">
        <v>0</v>
      </c>
      <c r="R13736">
        <v>180</v>
      </c>
      <c r="S13736">
        <v>180</v>
      </c>
      <c r="T13736" t="s">
        <v>48627</v>
      </c>
    </row>
    <row r="13737" spans="1:20" customFormat="1" ht="15" x14ac:dyDescent="0.25">
      <c r="A13737" t="s">
        <v>35</v>
      </c>
      <c r="B13737" t="s">
        <v>61</v>
      </c>
      <c r="C13737" t="str">
        <f>"A0133167"</f>
        <v>A0133167</v>
      </c>
      <c r="D13737" t="s">
        <v>48628</v>
      </c>
      <c r="E13737" t="s">
        <v>48629</v>
      </c>
      <c r="F13737" t="s">
        <v>46725</v>
      </c>
      <c r="G13737" t="s">
        <v>52</v>
      </c>
      <c r="H13737">
        <v>75961</v>
      </c>
      <c r="I13737" t="s">
        <v>30</v>
      </c>
      <c r="J13737" t="s">
        <v>41</v>
      </c>
      <c r="K13737" t="s">
        <v>229</v>
      </c>
      <c r="Q13737">
        <v>0</v>
      </c>
      <c r="R13737">
        <v>60</v>
      </c>
      <c r="S13737">
        <v>60</v>
      </c>
      <c r="T13737" t="s">
        <v>48630</v>
      </c>
    </row>
    <row r="13738" spans="1:20" customFormat="1" ht="15" x14ac:dyDescent="0.25">
      <c r="A13738" t="s">
        <v>35</v>
      </c>
      <c r="B13738" t="s">
        <v>106</v>
      </c>
      <c r="C13738" t="str">
        <f>"A0136262"</f>
        <v>A0136262</v>
      </c>
      <c r="D13738" t="s">
        <v>48631</v>
      </c>
      <c r="E13738" t="s">
        <v>48632</v>
      </c>
      <c r="F13738" t="s">
        <v>48633</v>
      </c>
      <c r="G13738" t="s">
        <v>137</v>
      </c>
      <c r="H13738">
        <v>64482</v>
      </c>
      <c r="I13738" t="s">
        <v>30</v>
      </c>
      <c r="J13738" t="s">
        <v>111</v>
      </c>
      <c r="K13738" t="s">
        <v>112</v>
      </c>
      <c r="Q13738">
        <v>0</v>
      </c>
      <c r="R13738">
        <v>0</v>
      </c>
      <c r="S13738">
        <v>0</v>
      </c>
      <c r="T13738" t="s">
        <v>48634</v>
      </c>
    </row>
    <row r="13739" spans="1:20" customFormat="1" ht="15" x14ac:dyDescent="0.25">
      <c r="A13739" t="s">
        <v>35</v>
      </c>
      <c r="B13739" t="s">
        <v>61</v>
      </c>
      <c r="C13739" t="str">
        <f>"A0129475"</f>
        <v>A0129475</v>
      </c>
      <c r="D13739" t="s">
        <v>48635</v>
      </c>
      <c r="E13739" t="s">
        <v>48636</v>
      </c>
      <c r="F13739" t="s">
        <v>9205</v>
      </c>
      <c r="G13739" t="s">
        <v>289</v>
      </c>
      <c r="H13739">
        <v>61107</v>
      </c>
      <c r="I13739" t="s">
        <v>30</v>
      </c>
      <c r="J13739" t="s">
        <v>41</v>
      </c>
      <c r="K13739" t="s">
        <v>447</v>
      </c>
      <c r="Q13739">
        <v>0</v>
      </c>
      <c r="R13739">
        <v>0</v>
      </c>
      <c r="S13739">
        <v>0</v>
      </c>
      <c r="T13739" t="s">
        <v>48637</v>
      </c>
    </row>
    <row r="13740" spans="1:20" customFormat="1" ht="15" x14ac:dyDescent="0.25">
      <c r="A13740" t="s">
        <v>35</v>
      </c>
      <c r="B13740" t="s">
        <v>61</v>
      </c>
      <c r="C13740" t="str">
        <f>"A0131306"</f>
        <v>A0131306</v>
      </c>
      <c r="D13740" t="s">
        <v>48638</v>
      </c>
      <c r="E13740" t="s">
        <v>48639</v>
      </c>
      <c r="F13740" t="s">
        <v>8703</v>
      </c>
      <c r="G13740" t="s">
        <v>137</v>
      </c>
      <c r="H13740">
        <v>64171</v>
      </c>
      <c r="I13740" t="s">
        <v>30</v>
      </c>
      <c r="J13740" t="s">
        <v>41</v>
      </c>
      <c r="K13740" t="s">
        <v>229</v>
      </c>
      <c r="Q13740">
        <v>0</v>
      </c>
      <c r="R13740">
        <v>188</v>
      </c>
      <c r="S13740">
        <v>188</v>
      </c>
      <c r="T13740" t="s">
        <v>48640</v>
      </c>
    </row>
    <row r="13741" spans="1:20" customFormat="1" ht="15" x14ac:dyDescent="0.25">
      <c r="A13741" t="s">
        <v>35</v>
      </c>
      <c r="B13741" t="s">
        <v>61</v>
      </c>
      <c r="C13741" t="str">
        <f>"A0133220"</f>
        <v>A0133220</v>
      </c>
      <c r="D13741" t="s">
        <v>48641</v>
      </c>
      <c r="E13741" t="s">
        <v>48642</v>
      </c>
      <c r="F13741" t="s">
        <v>3115</v>
      </c>
      <c r="G13741" t="s">
        <v>52</v>
      </c>
      <c r="H13741">
        <v>78381</v>
      </c>
      <c r="I13741" t="s">
        <v>30</v>
      </c>
      <c r="J13741" t="s">
        <v>41</v>
      </c>
      <c r="K13741" t="s">
        <v>229</v>
      </c>
      <c r="Q13741">
        <v>0</v>
      </c>
      <c r="R13741">
        <v>90</v>
      </c>
      <c r="S13741">
        <v>90</v>
      </c>
      <c r="T13741" t="s">
        <v>48643</v>
      </c>
    </row>
    <row r="13742" spans="1:20" customFormat="1" ht="15" x14ac:dyDescent="0.25">
      <c r="A13742" t="s">
        <v>35</v>
      </c>
      <c r="B13742" t="s">
        <v>61</v>
      </c>
      <c r="C13742" t="str">
        <f>"A0125817"</f>
        <v>A0125817</v>
      </c>
      <c r="D13742" t="s">
        <v>48644</v>
      </c>
      <c r="E13742" t="s">
        <v>48645</v>
      </c>
      <c r="F13742" t="s">
        <v>6152</v>
      </c>
      <c r="G13742" t="s">
        <v>123</v>
      </c>
      <c r="H13742">
        <v>20850</v>
      </c>
      <c r="I13742" t="s">
        <v>30</v>
      </c>
      <c r="J13742" t="s">
        <v>41</v>
      </c>
      <c r="K13742" t="s">
        <v>229</v>
      </c>
      <c r="Q13742">
        <v>0</v>
      </c>
      <c r="R13742">
        <v>106</v>
      </c>
      <c r="S13742">
        <v>106</v>
      </c>
      <c r="T13742" t="s">
        <v>48646</v>
      </c>
    </row>
    <row r="13743" spans="1:20" customFormat="1" ht="15" x14ac:dyDescent="0.25">
      <c r="A13743" t="s">
        <v>35</v>
      </c>
      <c r="B13743" t="s">
        <v>61</v>
      </c>
      <c r="C13743" t="str">
        <f>"A0130402"</f>
        <v>A0130402</v>
      </c>
      <c r="D13743" t="s">
        <v>48647</v>
      </c>
      <c r="E13743" t="s">
        <v>48648</v>
      </c>
      <c r="F13743" t="s">
        <v>48649</v>
      </c>
      <c r="G13743" t="s">
        <v>1898</v>
      </c>
      <c r="H13743">
        <v>50469</v>
      </c>
      <c r="I13743" t="s">
        <v>30</v>
      </c>
      <c r="J13743" t="s">
        <v>41</v>
      </c>
      <c r="K13743" t="s">
        <v>229</v>
      </c>
      <c r="Q13743">
        <v>0</v>
      </c>
      <c r="R13743">
        <v>52</v>
      </c>
      <c r="S13743">
        <v>52</v>
      </c>
      <c r="T13743" t="s">
        <v>48650</v>
      </c>
    </row>
    <row r="13744" spans="1:20" customFormat="1" ht="15" x14ac:dyDescent="0.25">
      <c r="A13744" t="s">
        <v>35</v>
      </c>
      <c r="B13744" t="s">
        <v>61</v>
      </c>
      <c r="C13744" t="str">
        <f>"A0124310"</f>
        <v>A0124310</v>
      </c>
      <c r="D13744" t="s">
        <v>48651</v>
      </c>
      <c r="E13744" t="s">
        <v>48652</v>
      </c>
      <c r="F13744" t="s">
        <v>26024</v>
      </c>
      <c r="G13744" t="s">
        <v>103</v>
      </c>
      <c r="H13744">
        <v>17847</v>
      </c>
      <c r="I13744" t="s">
        <v>30</v>
      </c>
      <c r="J13744" t="s">
        <v>41</v>
      </c>
      <c r="K13744" t="s">
        <v>482</v>
      </c>
      <c r="Q13744">
        <v>0</v>
      </c>
      <c r="R13744">
        <v>80</v>
      </c>
      <c r="S13744">
        <v>80</v>
      </c>
      <c r="T13744" t="s">
        <v>48653</v>
      </c>
    </row>
    <row r="13745" spans="1:20" customFormat="1" ht="15" x14ac:dyDescent="0.25">
      <c r="A13745" t="s">
        <v>35</v>
      </c>
      <c r="B13745" t="s">
        <v>61</v>
      </c>
      <c r="C13745" t="str">
        <f>"A0122570"</f>
        <v>A0122570</v>
      </c>
      <c r="D13745" t="s">
        <v>48654</v>
      </c>
      <c r="E13745" t="s">
        <v>48655</v>
      </c>
      <c r="F13745" t="s">
        <v>37866</v>
      </c>
      <c r="G13745" t="s">
        <v>1184</v>
      </c>
      <c r="H13745">
        <v>59521</v>
      </c>
      <c r="I13745" t="s">
        <v>30</v>
      </c>
      <c r="J13745" t="s">
        <v>41</v>
      </c>
      <c r="K13745" t="s">
        <v>39685</v>
      </c>
      <c r="Q13745">
        <v>0</v>
      </c>
      <c r="R13745">
        <v>0</v>
      </c>
      <c r="S13745">
        <v>0</v>
      </c>
      <c r="T13745" t="s">
        <v>48656</v>
      </c>
    </row>
    <row r="13746" spans="1:20" customFormat="1" ht="15" x14ac:dyDescent="0.25">
      <c r="A13746" t="s">
        <v>35</v>
      </c>
      <c r="B13746" t="s">
        <v>106</v>
      </c>
      <c r="C13746" t="str">
        <f>"A0136552"</f>
        <v>A0136552</v>
      </c>
      <c r="D13746" t="s">
        <v>48657</v>
      </c>
      <c r="E13746" t="s">
        <v>48658</v>
      </c>
      <c r="F13746" t="s">
        <v>48659</v>
      </c>
      <c r="G13746" t="s">
        <v>1184</v>
      </c>
      <c r="H13746">
        <v>59521</v>
      </c>
      <c r="I13746" t="s">
        <v>30</v>
      </c>
      <c r="J13746" t="s">
        <v>111</v>
      </c>
      <c r="K13746" t="s">
        <v>112</v>
      </c>
      <c r="Q13746">
        <v>0</v>
      </c>
      <c r="R13746">
        <v>0</v>
      </c>
      <c r="S13746">
        <v>0</v>
      </c>
      <c r="T13746" t="s">
        <v>48660</v>
      </c>
    </row>
    <row r="13747" spans="1:20" customFormat="1" ht="15" x14ac:dyDescent="0.25">
      <c r="A13747" t="s">
        <v>35</v>
      </c>
      <c r="B13747" t="s">
        <v>61</v>
      </c>
      <c r="C13747" t="str">
        <f>"A0122569"</f>
        <v>A0122569</v>
      </c>
      <c r="D13747" t="s">
        <v>48661</v>
      </c>
      <c r="E13747" t="s">
        <v>48662</v>
      </c>
      <c r="F13747" t="s">
        <v>37866</v>
      </c>
      <c r="G13747" t="s">
        <v>1184</v>
      </c>
      <c r="H13747">
        <v>59521</v>
      </c>
      <c r="I13747" t="s">
        <v>30</v>
      </c>
      <c r="J13747" t="s">
        <v>41</v>
      </c>
      <c r="K13747" t="s">
        <v>6300</v>
      </c>
      <c r="Q13747">
        <v>0</v>
      </c>
      <c r="R13747">
        <v>0</v>
      </c>
      <c r="S13747">
        <v>0</v>
      </c>
      <c r="T13747" t="s">
        <v>48663</v>
      </c>
    </row>
    <row r="13748" spans="1:20" customFormat="1" ht="15" x14ac:dyDescent="0.25">
      <c r="A13748" t="s">
        <v>35</v>
      </c>
      <c r="B13748" t="s">
        <v>396</v>
      </c>
      <c r="C13748" t="str">
        <f>"A0151203"</f>
        <v>A0151203</v>
      </c>
      <c r="D13748" t="s">
        <v>48664</v>
      </c>
      <c r="E13748" t="s">
        <v>48665</v>
      </c>
      <c r="F13748" t="s">
        <v>38643</v>
      </c>
      <c r="G13748" t="s">
        <v>153</v>
      </c>
      <c r="H13748">
        <v>84097</v>
      </c>
      <c r="I13748" t="s">
        <v>30</v>
      </c>
      <c r="J13748" t="s">
        <v>41</v>
      </c>
      <c r="K13748" t="s">
        <v>59</v>
      </c>
      <c r="Q13748">
        <v>0</v>
      </c>
      <c r="R13748">
        <v>16</v>
      </c>
      <c r="S13748">
        <v>30</v>
      </c>
      <c r="T13748" t="s">
        <v>48666</v>
      </c>
    </row>
    <row r="13749" spans="1:20" customFormat="1" ht="15" x14ac:dyDescent="0.25">
      <c r="A13749" t="s">
        <v>35</v>
      </c>
      <c r="B13749" t="s">
        <v>437</v>
      </c>
      <c r="C13749" t="str">
        <f>"A0133917"</f>
        <v>A0133917</v>
      </c>
      <c r="D13749" t="s">
        <v>48667</v>
      </c>
      <c r="E13749" t="s">
        <v>48668</v>
      </c>
      <c r="F13749" t="s">
        <v>875</v>
      </c>
      <c r="G13749" t="s">
        <v>190</v>
      </c>
      <c r="H13749">
        <v>80517</v>
      </c>
      <c r="I13749" t="s">
        <v>30</v>
      </c>
      <c r="J13749" t="s">
        <v>441</v>
      </c>
      <c r="K13749" t="s">
        <v>42</v>
      </c>
      <c r="Q13749">
        <v>0</v>
      </c>
      <c r="R13749">
        <v>0</v>
      </c>
      <c r="S13749">
        <v>0</v>
      </c>
      <c r="T13749" t="s">
        <v>48669</v>
      </c>
    </row>
    <row r="13750" spans="1:20" customFormat="1" ht="15" x14ac:dyDescent="0.25">
      <c r="A13750" t="s">
        <v>35</v>
      </c>
      <c r="B13750" t="s">
        <v>61</v>
      </c>
      <c r="C13750" t="str">
        <f>"A0118640"</f>
        <v>A0118640</v>
      </c>
      <c r="D13750" t="s">
        <v>48670</v>
      </c>
      <c r="E13750" t="s">
        <v>48671</v>
      </c>
      <c r="F13750" t="s">
        <v>24578</v>
      </c>
      <c r="G13750" t="s">
        <v>110</v>
      </c>
      <c r="H13750">
        <v>94558</v>
      </c>
      <c r="I13750" t="s">
        <v>30</v>
      </c>
      <c r="J13750" t="s">
        <v>41</v>
      </c>
      <c r="K13750" t="s">
        <v>229</v>
      </c>
      <c r="Q13750">
        <v>0</v>
      </c>
      <c r="R13750">
        <v>40</v>
      </c>
      <c r="S13750">
        <v>40</v>
      </c>
      <c r="T13750" t="s">
        <v>48672</v>
      </c>
    </row>
    <row r="13751" spans="1:20" customFormat="1" ht="15" x14ac:dyDescent="0.25">
      <c r="A13751" t="s">
        <v>35</v>
      </c>
      <c r="B13751" t="s">
        <v>61</v>
      </c>
      <c r="C13751" t="str">
        <f>"A0124311"</f>
        <v>A0124311</v>
      </c>
      <c r="D13751" t="s">
        <v>11902</v>
      </c>
      <c r="E13751" t="s">
        <v>48673</v>
      </c>
      <c r="F13751" t="s">
        <v>4082</v>
      </c>
      <c r="G13751" t="s">
        <v>123</v>
      </c>
      <c r="H13751">
        <v>21211</v>
      </c>
      <c r="I13751" t="s">
        <v>30</v>
      </c>
      <c r="J13751" t="s">
        <v>41</v>
      </c>
      <c r="K13751" t="s">
        <v>59</v>
      </c>
      <c r="Q13751">
        <v>0</v>
      </c>
      <c r="R13751">
        <v>180</v>
      </c>
      <c r="S13751">
        <v>180</v>
      </c>
      <c r="T13751" t="s">
        <v>48674</v>
      </c>
    </row>
    <row r="13752" spans="1:20" customFormat="1" ht="15" x14ac:dyDescent="0.25">
      <c r="A13752" t="s">
        <v>35</v>
      </c>
      <c r="B13752" t="s">
        <v>61</v>
      </c>
      <c r="C13752" t="str">
        <f>"A0126587"</f>
        <v>A0126587</v>
      </c>
      <c r="D13752" t="s">
        <v>48675</v>
      </c>
      <c r="E13752" t="s">
        <v>48676</v>
      </c>
      <c r="F13752" t="s">
        <v>48677</v>
      </c>
      <c r="G13752" t="s">
        <v>103</v>
      </c>
      <c r="H13752">
        <v>16406</v>
      </c>
      <c r="I13752" t="s">
        <v>30</v>
      </c>
      <c r="J13752" t="s">
        <v>41</v>
      </c>
      <c r="K13752" t="s">
        <v>229</v>
      </c>
      <c r="Q13752">
        <v>0</v>
      </c>
      <c r="R13752">
        <v>123</v>
      </c>
      <c r="S13752">
        <v>123</v>
      </c>
      <c r="T13752" t="s">
        <v>48678</v>
      </c>
    </row>
    <row r="13753" spans="1:20" customFormat="1" ht="15" x14ac:dyDescent="0.25">
      <c r="A13753" t="s">
        <v>35</v>
      </c>
      <c r="B13753" t="s">
        <v>61</v>
      </c>
      <c r="C13753" t="str">
        <f>"A0123524"</f>
        <v>A0123524</v>
      </c>
      <c r="D13753" t="s">
        <v>48679</v>
      </c>
      <c r="E13753" t="s">
        <v>48680</v>
      </c>
      <c r="F13753" t="s">
        <v>15431</v>
      </c>
      <c r="G13753" t="s">
        <v>29</v>
      </c>
      <c r="H13753">
        <v>24540</v>
      </c>
      <c r="I13753" t="s">
        <v>30</v>
      </c>
      <c r="J13753" t="s">
        <v>41</v>
      </c>
      <c r="K13753" t="s">
        <v>229</v>
      </c>
      <c r="Q13753">
        <v>0</v>
      </c>
      <c r="R13753">
        <v>312</v>
      </c>
      <c r="S13753">
        <v>312</v>
      </c>
      <c r="T13753" t="s">
        <v>48681</v>
      </c>
    </row>
    <row r="13754" spans="1:20" customFormat="1" ht="15" x14ac:dyDescent="0.25">
      <c r="A13754" t="s">
        <v>35</v>
      </c>
      <c r="B13754" t="s">
        <v>61</v>
      </c>
      <c r="C13754" t="str">
        <f>"A0128468"</f>
        <v>A0128468</v>
      </c>
      <c r="D13754" t="s">
        <v>48682</v>
      </c>
      <c r="E13754" t="s">
        <v>48683</v>
      </c>
      <c r="G13754" t="s">
        <v>137</v>
      </c>
      <c r="H13754">
        <v>63841</v>
      </c>
      <c r="I13754" t="s">
        <v>30</v>
      </c>
      <c r="J13754" t="s">
        <v>41</v>
      </c>
      <c r="Q13754">
        <v>0</v>
      </c>
      <c r="R13754">
        <v>0</v>
      </c>
      <c r="S13754">
        <v>1</v>
      </c>
    </row>
    <row r="13755" spans="1:20" customFormat="1" ht="15" x14ac:dyDescent="0.25">
      <c r="A13755" t="s">
        <v>35</v>
      </c>
      <c r="B13755" t="s">
        <v>61</v>
      </c>
      <c r="C13755" t="str">
        <f>"A0151130"</f>
        <v>A0151130</v>
      </c>
      <c r="D13755" t="s">
        <v>48684</v>
      </c>
      <c r="E13755" t="s">
        <v>48685</v>
      </c>
      <c r="F13755" t="s">
        <v>1959</v>
      </c>
      <c r="G13755" t="s">
        <v>65</v>
      </c>
      <c r="H13755">
        <v>44302</v>
      </c>
      <c r="I13755" t="s">
        <v>30</v>
      </c>
      <c r="J13755" t="s">
        <v>41</v>
      </c>
      <c r="K13755" t="s">
        <v>104</v>
      </c>
      <c r="Q13755">
        <v>0</v>
      </c>
      <c r="R13755">
        <v>42</v>
      </c>
      <c r="S13755">
        <v>42</v>
      </c>
      <c r="T13755" t="s">
        <v>48686</v>
      </c>
    </row>
    <row r="13756" spans="1:20" customFormat="1" ht="15" x14ac:dyDescent="0.25">
      <c r="A13756" t="s">
        <v>35</v>
      </c>
      <c r="B13756" t="s">
        <v>61</v>
      </c>
      <c r="C13756" t="str">
        <f>"A0124312"</f>
        <v>A0124312</v>
      </c>
      <c r="D13756" t="s">
        <v>48687</v>
      </c>
      <c r="E13756" t="s">
        <v>48688</v>
      </c>
      <c r="F13756" t="s">
        <v>22281</v>
      </c>
      <c r="G13756" t="s">
        <v>99</v>
      </c>
      <c r="H13756">
        <v>11779</v>
      </c>
      <c r="I13756" t="s">
        <v>30</v>
      </c>
      <c r="J13756" t="s">
        <v>41</v>
      </c>
      <c r="K13756" t="s">
        <v>59</v>
      </c>
      <c r="Q13756">
        <v>0</v>
      </c>
      <c r="R13756">
        <v>20</v>
      </c>
      <c r="S13756">
        <v>20</v>
      </c>
      <c r="T13756" t="s">
        <v>47574</v>
      </c>
    </row>
    <row r="13757" spans="1:20" customFormat="1" ht="15" x14ac:dyDescent="0.25">
      <c r="A13757" t="s">
        <v>35</v>
      </c>
      <c r="B13757" t="s">
        <v>61</v>
      </c>
      <c r="C13757" t="str">
        <f>"A0124313"</f>
        <v>A0124313</v>
      </c>
      <c r="D13757" t="s">
        <v>48689</v>
      </c>
      <c r="E13757" t="s">
        <v>48690</v>
      </c>
      <c r="F13757" t="s">
        <v>22281</v>
      </c>
      <c r="G13757" t="s">
        <v>99</v>
      </c>
      <c r="H13757">
        <v>11779</v>
      </c>
      <c r="I13757" t="s">
        <v>30</v>
      </c>
      <c r="J13757" t="s">
        <v>41</v>
      </c>
      <c r="K13757" t="s">
        <v>59</v>
      </c>
      <c r="Q13757">
        <v>0</v>
      </c>
      <c r="R13757">
        <v>90</v>
      </c>
      <c r="S13757">
        <v>90</v>
      </c>
      <c r="T13757" t="s">
        <v>48691</v>
      </c>
    </row>
    <row r="13758" spans="1:20" customFormat="1" ht="15" x14ac:dyDescent="0.25">
      <c r="A13758" t="s">
        <v>35</v>
      </c>
      <c r="B13758" t="s">
        <v>61</v>
      </c>
      <c r="C13758" t="str">
        <f>"A0132615"</f>
        <v>A0132615</v>
      </c>
      <c r="D13758" t="s">
        <v>48692</v>
      </c>
      <c r="E13758" t="s">
        <v>48693</v>
      </c>
      <c r="F13758" t="s">
        <v>6719</v>
      </c>
      <c r="G13758" t="s">
        <v>65</v>
      </c>
      <c r="H13758">
        <v>435600000</v>
      </c>
      <c r="I13758" t="s">
        <v>30</v>
      </c>
      <c r="J13758" t="s">
        <v>41</v>
      </c>
      <c r="K13758" t="s">
        <v>229</v>
      </c>
      <c r="Q13758">
        <v>0</v>
      </c>
      <c r="R13758">
        <v>76</v>
      </c>
      <c r="S13758">
        <v>76</v>
      </c>
      <c r="T13758" t="s">
        <v>48694</v>
      </c>
    </row>
    <row r="13759" spans="1:20" customFormat="1" ht="15" x14ac:dyDescent="0.25">
      <c r="A13759" t="s">
        <v>35</v>
      </c>
      <c r="B13759" t="s">
        <v>61</v>
      </c>
      <c r="C13759" t="str">
        <f>"A0129638"</f>
        <v>A0129638</v>
      </c>
      <c r="D13759" t="s">
        <v>48695</v>
      </c>
      <c r="E13759" t="s">
        <v>48696</v>
      </c>
      <c r="F13759" t="s">
        <v>48697</v>
      </c>
      <c r="G13759" t="s">
        <v>289</v>
      </c>
      <c r="H13759">
        <v>60458</v>
      </c>
      <c r="I13759" t="s">
        <v>30</v>
      </c>
      <c r="J13759" t="s">
        <v>41</v>
      </c>
      <c r="K13759" t="s">
        <v>229</v>
      </c>
      <c r="Q13759">
        <v>0</v>
      </c>
      <c r="R13759">
        <v>60</v>
      </c>
      <c r="S13759">
        <v>60</v>
      </c>
      <c r="T13759" t="s">
        <v>48698</v>
      </c>
    </row>
    <row r="13760" spans="1:20" customFormat="1" ht="15" x14ac:dyDescent="0.25">
      <c r="A13760" t="s">
        <v>35</v>
      </c>
      <c r="B13760" t="s">
        <v>61</v>
      </c>
      <c r="C13760" t="str">
        <f>"A0128317"</f>
        <v>A0128317</v>
      </c>
      <c r="D13760" t="s">
        <v>48699</v>
      </c>
      <c r="E13760" t="s">
        <v>48700</v>
      </c>
      <c r="F13760" t="s">
        <v>426</v>
      </c>
      <c r="G13760" t="s">
        <v>427</v>
      </c>
      <c r="H13760">
        <v>681540000</v>
      </c>
      <c r="I13760" t="s">
        <v>30</v>
      </c>
      <c r="J13760" t="s">
        <v>41</v>
      </c>
      <c r="K13760" t="s">
        <v>229</v>
      </c>
      <c r="Q13760">
        <v>0</v>
      </c>
      <c r="R13760">
        <v>112</v>
      </c>
      <c r="S13760">
        <v>112</v>
      </c>
      <c r="T13760" t="s">
        <v>48701</v>
      </c>
    </row>
    <row r="13761" spans="1:20" customFormat="1" ht="15" x14ac:dyDescent="0.25">
      <c r="A13761" t="s">
        <v>35</v>
      </c>
      <c r="B13761" t="s">
        <v>61</v>
      </c>
      <c r="C13761" t="str">
        <f>"A0121539"</f>
        <v>A0121539</v>
      </c>
      <c r="D13761" t="s">
        <v>48702</v>
      </c>
      <c r="E13761" t="s">
        <v>48703</v>
      </c>
      <c r="F13761" t="s">
        <v>37230</v>
      </c>
      <c r="G13761" t="s">
        <v>110</v>
      </c>
      <c r="H13761">
        <v>94577</v>
      </c>
      <c r="I13761" t="s">
        <v>30</v>
      </c>
      <c r="J13761" t="s">
        <v>41</v>
      </c>
      <c r="K13761" t="s">
        <v>1032</v>
      </c>
      <c r="Q13761">
        <v>0</v>
      </c>
      <c r="R13761">
        <v>40</v>
      </c>
      <c r="S13761">
        <v>40</v>
      </c>
      <c r="T13761" t="s">
        <v>48704</v>
      </c>
    </row>
    <row r="13762" spans="1:20" customFormat="1" ht="15" x14ac:dyDescent="0.25">
      <c r="A13762" t="s">
        <v>35</v>
      </c>
      <c r="B13762" t="s">
        <v>61</v>
      </c>
      <c r="C13762" t="str">
        <f>"A0123525"</f>
        <v>A0123525</v>
      </c>
      <c r="D13762" t="s">
        <v>48705</v>
      </c>
      <c r="E13762" t="s">
        <v>48706</v>
      </c>
      <c r="F13762" t="s">
        <v>48707</v>
      </c>
      <c r="G13762" t="s">
        <v>214</v>
      </c>
      <c r="H13762">
        <v>28659</v>
      </c>
      <c r="I13762" t="s">
        <v>30</v>
      </c>
      <c r="J13762" t="s">
        <v>41</v>
      </c>
      <c r="K13762" t="s">
        <v>59</v>
      </c>
      <c r="Q13762">
        <v>0</v>
      </c>
      <c r="R13762">
        <v>1</v>
      </c>
      <c r="S13762">
        <v>1</v>
      </c>
      <c r="T13762" t="s">
        <v>48708</v>
      </c>
    </row>
    <row r="13763" spans="1:20" customFormat="1" ht="15" x14ac:dyDescent="0.25">
      <c r="A13763" t="s">
        <v>35</v>
      </c>
      <c r="B13763" t="s">
        <v>61</v>
      </c>
      <c r="C13763" t="str">
        <f>"A0130321"</f>
        <v>A0130321</v>
      </c>
      <c r="D13763" t="s">
        <v>48709</v>
      </c>
      <c r="E13763" t="s">
        <v>48710</v>
      </c>
      <c r="F13763" t="s">
        <v>38490</v>
      </c>
      <c r="G13763" t="s">
        <v>1898</v>
      </c>
      <c r="H13763">
        <v>52301</v>
      </c>
      <c r="I13763" t="s">
        <v>30</v>
      </c>
      <c r="J13763" t="s">
        <v>41</v>
      </c>
      <c r="K13763" t="s">
        <v>229</v>
      </c>
      <c r="Q13763">
        <v>0</v>
      </c>
      <c r="R13763">
        <v>58</v>
      </c>
      <c r="S13763">
        <v>58</v>
      </c>
      <c r="T13763" t="s">
        <v>48711</v>
      </c>
    </row>
    <row r="13764" spans="1:20" customFormat="1" ht="15" x14ac:dyDescent="0.25">
      <c r="A13764" t="s">
        <v>35</v>
      </c>
      <c r="B13764" t="s">
        <v>61</v>
      </c>
      <c r="C13764" t="str">
        <f>"A0123526"</f>
        <v>A0123526</v>
      </c>
      <c r="D13764" t="s">
        <v>48712</v>
      </c>
      <c r="E13764" t="s">
        <v>48713</v>
      </c>
      <c r="F13764" t="s">
        <v>4591</v>
      </c>
      <c r="G13764" t="s">
        <v>214</v>
      </c>
      <c r="H13764">
        <v>28752</v>
      </c>
      <c r="I13764" t="s">
        <v>30</v>
      </c>
      <c r="J13764" t="s">
        <v>41</v>
      </c>
      <c r="K13764" t="s">
        <v>482</v>
      </c>
      <c r="Q13764">
        <v>0</v>
      </c>
      <c r="R13764">
        <v>90</v>
      </c>
      <c r="S13764">
        <v>90</v>
      </c>
      <c r="T13764" t="s">
        <v>48714</v>
      </c>
    </row>
    <row r="13765" spans="1:20" customFormat="1" ht="15" x14ac:dyDescent="0.25">
      <c r="A13765" t="s">
        <v>35</v>
      </c>
      <c r="B13765" t="s">
        <v>61</v>
      </c>
      <c r="C13765" t="str">
        <f>"A0128554"</f>
        <v>A0128554</v>
      </c>
      <c r="D13765" t="s">
        <v>48715</v>
      </c>
      <c r="E13765" t="s">
        <v>48716</v>
      </c>
      <c r="F13765" t="s">
        <v>4310</v>
      </c>
      <c r="G13765" t="s">
        <v>840</v>
      </c>
      <c r="H13765">
        <v>403910000</v>
      </c>
      <c r="I13765" t="s">
        <v>30</v>
      </c>
      <c r="J13765" t="s">
        <v>41</v>
      </c>
      <c r="K13765" t="s">
        <v>59</v>
      </c>
      <c r="Q13765">
        <v>0</v>
      </c>
      <c r="R13765">
        <v>40</v>
      </c>
      <c r="S13765">
        <v>40</v>
      </c>
      <c r="T13765" t="s">
        <v>48717</v>
      </c>
    </row>
    <row r="13766" spans="1:20" customFormat="1" ht="15" x14ac:dyDescent="0.25">
      <c r="A13766" t="s">
        <v>35</v>
      </c>
      <c r="B13766" t="s">
        <v>61</v>
      </c>
      <c r="C13766" t="str">
        <f>"A0124314"</f>
        <v>A0124314</v>
      </c>
      <c r="D13766" t="s">
        <v>48718</v>
      </c>
      <c r="E13766" t="s">
        <v>48719</v>
      </c>
      <c r="F13766" t="s">
        <v>28167</v>
      </c>
      <c r="G13766" t="s">
        <v>47</v>
      </c>
      <c r="H13766">
        <v>97130</v>
      </c>
      <c r="I13766" t="s">
        <v>30</v>
      </c>
      <c r="J13766" t="s">
        <v>41</v>
      </c>
      <c r="K13766" t="s">
        <v>229</v>
      </c>
      <c r="Q13766">
        <v>0</v>
      </c>
      <c r="R13766">
        <v>80</v>
      </c>
      <c r="S13766">
        <v>80</v>
      </c>
      <c r="T13766" t="s">
        <v>48720</v>
      </c>
    </row>
    <row r="13767" spans="1:20" customFormat="1" ht="15" x14ac:dyDescent="0.25">
      <c r="A13767" t="s">
        <v>35</v>
      </c>
      <c r="B13767" t="s">
        <v>61</v>
      </c>
      <c r="C13767" t="str">
        <f>"A0125092"</f>
        <v>A0125092</v>
      </c>
      <c r="D13767" t="s">
        <v>48721</v>
      </c>
      <c r="E13767" t="s">
        <v>48722</v>
      </c>
      <c r="F13767" t="s">
        <v>48723</v>
      </c>
      <c r="G13767" t="s">
        <v>214</v>
      </c>
      <c r="H13767">
        <v>28458</v>
      </c>
      <c r="I13767" t="s">
        <v>30</v>
      </c>
      <c r="J13767" t="s">
        <v>41</v>
      </c>
      <c r="K13767" t="s">
        <v>59</v>
      </c>
      <c r="Q13767">
        <v>0</v>
      </c>
      <c r="R13767">
        <v>40</v>
      </c>
      <c r="S13767">
        <v>40</v>
      </c>
      <c r="T13767" t="s">
        <v>48724</v>
      </c>
    </row>
    <row r="13768" spans="1:20" customFormat="1" ht="15" x14ac:dyDescent="0.25">
      <c r="A13768" t="s">
        <v>35</v>
      </c>
      <c r="B13768" t="s">
        <v>61</v>
      </c>
      <c r="C13768" t="str">
        <f>"A0124070"</f>
        <v>A0124070</v>
      </c>
      <c r="D13768" t="s">
        <v>48725</v>
      </c>
      <c r="E13768" t="s">
        <v>48726</v>
      </c>
      <c r="F13768" t="s">
        <v>15676</v>
      </c>
      <c r="G13768" t="s">
        <v>214</v>
      </c>
      <c r="H13768">
        <v>28052</v>
      </c>
      <c r="I13768" t="s">
        <v>30</v>
      </c>
      <c r="J13768" t="s">
        <v>41</v>
      </c>
      <c r="K13768" t="s">
        <v>482</v>
      </c>
      <c r="Q13768">
        <v>0</v>
      </c>
      <c r="R13768">
        <v>60</v>
      </c>
      <c r="S13768">
        <v>60</v>
      </c>
      <c r="T13768" t="s">
        <v>48727</v>
      </c>
    </row>
    <row r="13769" spans="1:20" customFormat="1" ht="15" x14ac:dyDescent="0.25">
      <c r="A13769" t="s">
        <v>35</v>
      </c>
      <c r="B13769" t="s">
        <v>61</v>
      </c>
      <c r="C13769" t="str">
        <f>"A0124071"</f>
        <v>A0124071</v>
      </c>
      <c r="D13769" t="s">
        <v>48728</v>
      </c>
      <c r="E13769" t="s">
        <v>48729</v>
      </c>
      <c r="F13769" t="s">
        <v>934</v>
      </c>
      <c r="G13769" t="s">
        <v>214</v>
      </c>
      <c r="H13769">
        <v>28634</v>
      </c>
      <c r="I13769" t="s">
        <v>30</v>
      </c>
      <c r="J13769" t="s">
        <v>41</v>
      </c>
      <c r="K13769" t="s">
        <v>482</v>
      </c>
      <c r="Q13769">
        <v>0</v>
      </c>
      <c r="R13769">
        <v>50</v>
      </c>
      <c r="S13769">
        <v>50</v>
      </c>
      <c r="T13769" t="s">
        <v>48730</v>
      </c>
    </row>
    <row r="13770" spans="1:20" customFormat="1" ht="15" x14ac:dyDescent="0.25">
      <c r="A13770" t="s">
        <v>35</v>
      </c>
      <c r="B13770" t="s">
        <v>61</v>
      </c>
      <c r="C13770" t="str">
        <f>"A0125757"</f>
        <v>A0125757</v>
      </c>
      <c r="D13770" t="s">
        <v>48731</v>
      </c>
      <c r="E13770" t="s">
        <v>48732</v>
      </c>
      <c r="F13770" t="s">
        <v>20330</v>
      </c>
      <c r="G13770" t="s">
        <v>29</v>
      </c>
      <c r="H13770">
        <v>22901</v>
      </c>
      <c r="I13770" t="s">
        <v>30</v>
      </c>
      <c r="J13770" t="s">
        <v>41</v>
      </c>
      <c r="K13770" t="s">
        <v>59</v>
      </c>
      <c r="Q13770">
        <v>0</v>
      </c>
      <c r="R13770">
        <v>60</v>
      </c>
      <c r="S13770">
        <v>60</v>
      </c>
      <c r="T13770" t="s">
        <v>48733</v>
      </c>
    </row>
    <row r="13771" spans="1:20" customFormat="1" ht="15" x14ac:dyDescent="0.25">
      <c r="A13771" t="s">
        <v>35</v>
      </c>
      <c r="B13771" t="s">
        <v>61</v>
      </c>
      <c r="C13771" t="str">
        <f>"A0123904"</f>
        <v>A0123904</v>
      </c>
      <c r="D13771" t="s">
        <v>48734</v>
      </c>
      <c r="E13771" t="s">
        <v>48735</v>
      </c>
      <c r="F13771" t="s">
        <v>20330</v>
      </c>
      <c r="G13771" t="s">
        <v>29</v>
      </c>
      <c r="H13771">
        <v>22911</v>
      </c>
      <c r="I13771" t="s">
        <v>30</v>
      </c>
      <c r="J13771" t="s">
        <v>41</v>
      </c>
      <c r="K13771" t="s">
        <v>482</v>
      </c>
      <c r="Q13771">
        <v>0</v>
      </c>
      <c r="R13771">
        <v>65</v>
      </c>
      <c r="S13771">
        <v>65</v>
      </c>
      <c r="T13771" t="s">
        <v>48736</v>
      </c>
    </row>
    <row r="13772" spans="1:20" customFormat="1" ht="15" x14ac:dyDescent="0.25">
      <c r="A13772" t="s">
        <v>35</v>
      </c>
      <c r="B13772" t="s">
        <v>61</v>
      </c>
      <c r="C13772" t="str">
        <f>"A0132875"</f>
        <v>A0132875</v>
      </c>
      <c r="D13772" t="s">
        <v>48737</v>
      </c>
      <c r="E13772" t="s">
        <v>48738</v>
      </c>
      <c r="F13772" t="s">
        <v>963</v>
      </c>
      <c r="G13772" t="s">
        <v>65</v>
      </c>
      <c r="H13772">
        <v>45601</v>
      </c>
      <c r="I13772" t="s">
        <v>30</v>
      </c>
      <c r="J13772" t="s">
        <v>41</v>
      </c>
      <c r="K13772" t="s">
        <v>2760</v>
      </c>
      <c r="Q13772">
        <v>0</v>
      </c>
      <c r="R13772">
        <v>0</v>
      </c>
      <c r="S13772">
        <v>0</v>
      </c>
      <c r="T13772" t="s">
        <v>48739</v>
      </c>
    </row>
    <row r="13773" spans="1:20" customFormat="1" ht="15" x14ac:dyDescent="0.25">
      <c r="A13773" t="s">
        <v>35</v>
      </c>
      <c r="B13773" t="s">
        <v>61</v>
      </c>
      <c r="C13773" t="str">
        <f>"A0154194"</f>
        <v>A0154194</v>
      </c>
      <c r="D13773" t="s">
        <v>31369</v>
      </c>
      <c r="E13773" t="s">
        <v>48740</v>
      </c>
      <c r="F13773" t="s">
        <v>31372</v>
      </c>
      <c r="G13773" t="s">
        <v>1898</v>
      </c>
      <c r="H13773">
        <v>50533</v>
      </c>
      <c r="I13773" t="s">
        <v>30</v>
      </c>
      <c r="J13773" t="s">
        <v>41</v>
      </c>
      <c r="K13773" t="s">
        <v>229</v>
      </c>
      <c r="Q13773">
        <v>0</v>
      </c>
      <c r="R13773">
        <v>84</v>
      </c>
      <c r="S13773">
        <v>84</v>
      </c>
      <c r="T13773" t="s">
        <v>31373</v>
      </c>
    </row>
    <row r="13774" spans="1:20" customFormat="1" ht="15" x14ac:dyDescent="0.25">
      <c r="A13774" t="s">
        <v>35</v>
      </c>
      <c r="B13774" t="s">
        <v>61</v>
      </c>
      <c r="C13774" t="str">
        <f>"A0128078"</f>
        <v>A0128078</v>
      </c>
      <c r="D13774" t="s">
        <v>48741</v>
      </c>
      <c r="E13774" t="s">
        <v>48742</v>
      </c>
      <c r="F13774" t="s">
        <v>48743</v>
      </c>
      <c r="G13774" t="s">
        <v>117</v>
      </c>
      <c r="H13774">
        <v>49887</v>
      </c>
      <c r="I13774" t="s">
        <v>30</v>
      </c>
      <c r="J13774" t="s">
        <v>41</v>
      </c>
      <c r="K13774" t="s">
        <v>229</v>
      </c>
      <c r="Q13774">
        <v>0</v>
      </c>
      <c r="R13774">
        <v>88</v>
      </c>
      <c r="S13774">
        <v>88</v>
      </c>
      <c r="T13774" t="s">
        <v>48744</v>
      </c>
    </row>
    <row r="13775" spans="1:20" customFormat="1" ht="15" x14ac:dyDescent="0.25">
      <c r="A13775" t="s">
        <v>35</v>
      </c>
      <c r="B13775" t="s">
        <v>106</v>
      </c>
      <c r="C13775" t="str">
        <f>"A0135953"</f>
        <v>A0135953</v>
      </c>
      <c r="D13775" t="s">
        <v>48745</v>
      </c>
      <c r="E13775" t="s">
        <v>38894</v>
      </c>
      <c r="F13775" t="s">
        <v>14693</v>
      </c>
      <c r="G13775" t="s">
        <v>110</v>
      </c>
      <c r="H13775">
        <v>92834</v>
      </c>
      <c r="I13775" t="s">
        <v>30</v>
      </c>
      <c r="J13775" t="s">
        <v>111</v>
      </c>
      <c r="K13775" t="s">
        <v>10012</v>
      </c>
      <c r="Q13775">
        <v>0</v>
      </c>
      <c r="R13775">
        <v>0</v>
      </c>
      <c r="S13775">
        <v>0</v>
      </c>
      <c r="T13775" t="s">
        <v>37060</v>
      </c>
    </row>
    <row r="13776" spans="1:20" customFormat="1" ht="15" x14ac:dyDescent="0.25">
      <c r="A13776" t="s">
        <v>35</v>
      </c>
      <c r="B13776" t="s">
        <v>61</v>
      </c>
      <c r="C13776" t="str">
        <f>"A0123905"</f>
        <v>A0123905</v>
      </c>
      <c r="D13776" t="s">
        <v>48746</v>
      </c>
      <c r="E13776" t="s">
        <v>48747</v>
      </c>
      <c r="F13776" t="s">
        <v>37204</v>
      </c>
      <c r="G13776" t="s">
        <v>29</v>
      </c>
      <c r="H13776">
        <v>24401</v>
      </c>
      <c r="I13776" t="s">
        <v>30</v>
      </c>
      <c r="J13776" t="s">
        <v>41</v>
      </c>
      <c r="K13776" t="s">
        <v>482</v>
      </c>
      <c r="Q13776">
        <v>0</v>
      </c>
      <c r="R13776">
        <v>38</v>
      </c>
      <c r="S13776">
        <v>38</v>
      </c>
      <c r="T13776" t="s">
        <v>48748</v>
      </c>
    </row>
    <row r="13777" spans="1:20" customFormat="1" ht="15" x14ac:dyDescent="0.25">
      <c r="A13777" t="s">
        <v>35</v>
      </c>
      <c r="B13777" t="s">
        <v>61</v>
      </c>
      <c r="C13777" t="str">
        <f>"A0128904"</f>
        <v>A0128904</v>
      </c>
      <c r="D13777" t="s">
        <v>48749</v>
      </c>
      <c r="E13777" t="s">
        <v>48750</v>
      </c>
      <c r="F13777" t="s">
        <v>15527</v>
      </c>
      <c r="G13777" t="s">
        <v>289</v>
      </c>
      <c r="H13777">
        <v>60419</v>
      </c>
      <c r="I13777" t="s">
        <v>30</v>
      </c>
      <c r="J13777" t="s">
        <v>41</v>
      </c>
      <c r="K13777" t="s">
        <v>59</v>
      </c>
      <c r="Q13777">
        <v>0</v>
      </c>
      <c r="R13777">
        <v>120</v>
      </c>
      <c r="S13777">
        <v>120</v>
      </c>
      <c r="T13777" t="s">
        <v>48751</v>
      </c>
    </row>
    <row r="13778" spans="1:20" customFormat="1" ht="15" x14ac:dyDescent="0.25">
      <c r="A13778" t="s">
        <v>35</v>
      </c>
      <c r="B13778" t="s">
        <v>61</v>
      </c>
      <c r="C13778" t="str">
        <f>"A0129533"</f>
        <v>A0129533</v>
      </c>
      <c r="D13778" t="s">
        <v>48752</v>
      </c>
      <c r="E13778" t="s">
        <v>10231</v>
      </c>
      <c r="F13778" t="s">
        <v>48753</v>
      </c>
      <c r="G13778" t="s">
        <v>289</v>
      </c>
      <c r="H13778">
        <v>62265</v>
      </c>
      <c r="I13778" t="s">
        <v>30</v>
      </c>
      <c r="J13778" t="s">
        <v>41</v>
      </c>
      <c r="K13778" t="s">
        <v>131</v>
      </c>
      <c r="Q13778">
        <v>0</v>
      </c>
      <c r="R13778">
        <v>32</v>
      </c>
      <c r="S13778">
        <v>32</v>
      </c>
      <c r="T13778" t="s">
        <v>48754</v>
      </c>
    </row>
    <row r="13779" spans="1:20" customFormat="1" ht="15" x14ac:dyDescent="0.25">
      <c r="A13779" t="s">
        <v>35</v>
      </c>
      <c r="B13779" t="s">
        <v>61</v>
      </c>
      <c r="C13779" t="str">
        <f>"A0128045"</f>
        <v>A0128045</v>
      </c>
      <c r="D13779" t="s">
        <v>48755</v>
      </c>
      <c r="E13779" t="s">
        <v>48756</v>
      </c>
      <c r="F13779" t="s">
        <v>26186</v>
      </c>
      <c r="G13779" t="s">
        <v>117</v>
      </c>
      <c r="H13779">
        <v>48073</v>
      </c>
      <c r="I13779" t="s">
        <v>30</v>
      </c>
      <c r="J13779" t="s">
        <v>41</v>
      </c>
      <c r="K13779" t="s">
        <v>59</v>
      </c>
      <c r="Q13779">
        <v>0</v>
      </c>
      <c r="R13779">
        <v>57</v>
      </c>
      <c r="S13779">
        <v>57</v>
      </c>
      <c r="T13779" t="s">
        <v>48757</v>
      </c>
    </row>
    <row r="13780" spans="1:20" customFormat="1" ht="15" x14ac:dyDescent="0.25">
      <c r="A13780" t="s">
        <v>35</v>
      </c>
      <c r="B13780" t="s">
        <v>61</v>
      </c>
      <c r="C13780" t="str">
        <f>"A0124072"</f>
        <v>A0124072</v>
      </c>
      <c r="D13780" t="s">
        <v>48758</v>
      </c>
      <c r="E13780" t="s">
        <v>48759</v>
      </c>
      <c r="F13780" t="s">
        <v>30036</v>
      </c>
      <c r="G13780" t="s">
        <v>846</v>
      </c>
      <c r="H13780">
        <v>30720</v>
      </c>
      <c r="I13780" t="s">
        <v>30</v>
      </c>
      <c r="J13780" t="s">
        <v>41</v>
      </c>
      <c r="K13780" t="s">
        <v>482</v>
      </c>
      <c r="Q13780">
        <v>0</v>
      </c>
      <c r="R13780">
        <v>65</v>
      </c>
      <c r="S13780">
        <v>65</v>
      </c>
      <c r="T13780" t="s">
        <v>48760</v>
      </c>
    </row>
    <row r="13781" spans="1:20" customFormat="1" ht="15" x14ac:dyDescent="0.25">
      <c r="A13781" t="s">
        <v>35</v>
      </c>
      <c r="B13781" t="s">
        <v>61</v>
      </c>
      <c r="C13781" t="str">
        <f>"A0133672"</f>
        <v>A0133672</v>
      </c>
      <c r="D13781" t="s">
        <v>48761</v>
      </c>
      <c r="E13781" t="s">
        <v>48762</v>
      </c>
      <c r="F13781" t="s">
        <v>15198</v>
      </c>
      <c r="G13781" t="s">
        <v>52</v>
      </c>
      <c r="H13781">
        <v>75189</v>
      </c>
      <c r="I13781" t="s">
        <v>30</v>
      </c>
      <c r="J13781" t="s">
        <v>41</v>
      </c>
      <c r="K13781" t="s">
        <v>391</v>
      </c>
      <c r="Q13781">
        <v>0</v>
      </c>
      <c r="R13781">
        <v>0</v>
      </c>
      <c r="S13781">
        <v>0</v>
      </c>
      <c r="T13781" t="s">
        <v>48763</v>
      </c>
    </row>
    <row r="13782" spans="1:20" customFormat="1" ht="15" x14ac:dyDescent="0.25">
      <c r="A13782" t="s">
        <v>35</v>
      </c>
      <c r="B13782" t="s">
        <v>106</v>
      </c>
      <c r="C13782" t="str">
        <f>"A0154580"</f>
        <v>A0154580</v>
      </c>
      <c r="D13782" t="s">
        <v>48764</v>
      </c>
      <c r="E13782" t="s">
        <v>48765</v>
      </c>
      <c r="F13782" t="s">
        <v>1627</v>
      </c>
      <c r="G13782" t="s">
        <v>29</v>
      </c>
      <c r="H13782">
        <v>22630</v>
      </c>
      <c r="I13782" t="s">
        <v>30</v>
      </c>
      <c r="J13782" t="s">
        <v>111</v>
      </c>
      <c r="K13782" t="s">
        <v>112</v>
      </c>
      <c r="Q13782">
        <v>0</v>
      </c>
      <c r="R13782">
        <v>0</v>
      </c>
      <c r="S13782">
        <v>0</v>
      </c>
      <c r="T13782" t="s">
        <v>48766</v>
      </c>
    </row>
    <row r="13783" spans="1:20" customFormat="1" ht="15" x14ac:dyDescent="0.25">
      <c r="A13783" t="s">
        <v>35</v>
      </c>
      <c r="B13783" t="s">
        <v>61</v>
      </c>
      <c r="C13783" t="str">
        <f>"A0125168"</f>
        <v>A0125168</v>
      </c>
      <c r="D13783" t="s">
        <v>48767</v>
      </c>
      <c r="E13783" t="s">
        <v>48768</v>
      </c>
      <c r="F13783" t="s">
        <v>42342</v>
      </c>
      <c r="G13783" t="s">
        <v>40</v>
      </c>
      <c r="H13783">
        <v>74331</v>
      </c>
      <c r="I13783" t="s">
        <v>30</v>
      </c>
      <c r="J13783" t="s">
        <v>41</v>
      </c>
      <c r="K13783" t="s">
        <v>59</v>
      </c>
      <c r="Q13783">
        <v>0</v>
      </c>
      <c r="R13783">
        <v>50</v>
      </c>
      <c r="S13783">
        <v>50</v>
      </c>
      <c r="T13783" t="s">
        <v>48769</v>
      </c>
    </row>
    <row r="13784" spans="1:20" customFormat="1" ht="15" x14ac:dyDescent="0.25">
      <c r="A13784" t="s">
        <v>35</v>
      </c>
      <c r="B13784" t="s">
        <v>61</v>
      </c>
      <c r="C13784" t="str">
        <f>"A0126116"</f>
        <v>A0126116</v>
      </c>
      <c r="D13784" t="s">
        <v>48770</v>
      </c>
      <c r="E13784" t="s">
        <v>48771</v>
      </c>
      <c r="F13784" t="s">
        <v>47743</v>
      </c>
      <c r="G13784" t="s">
        <v>197</v>
      </c>
      <c r="H13784">
        <v>85929</v>
      </c>
      <c r="I13784" t="s">
        <v>30</v>
      </c>
      <c r="J13784" t="s">
        <v>41</v>
      </c>
      <c r="K13784" t="s">
        <v>456</v>
      </c>
      <c r="Q13784">
        <v>0</v>
      </c>
      <c r="R13784">
        <v>8</v>
      </c>
      <c r="S13784">
        <v>8</v>
      </c>
      <c r="T13784" t="s">
        <v>48772</v>
      </c>
    </row>
    <row r="13785" spans="1:20" customFormat="1" ht="15" x14ac:dyDescent="0.25">
      <c r="A13785" t="s">
        <v>35</v>
      </c>
      <c r="B13785" t="s">
        <v>61</v>
      </c>
      <c r="C13785" t="str">
        <f>"A0132222"</f>
        <v>A0132222</v>
      </c>
      <c r="D13785" t="s">
        <v>48773</v>
      </c>
      <c r="E13785" t="s">
        <v>48774</v>
      </c>
      <c r="F13785" t="s">
        <v>5204</v>
      </c>
      <c r="G13785" t="s">
        <v>65</v>
      </c>
      <c r="H13785">
        <v>44883</v>
      </c>
      <c r="I13785" t="s">
        <v>30</v>
      </c>
      <c r="J13785" t="s">
        <v>41</v>
      </c>
      <c r="K13785" t="s">
        <v>229</v>
      </c>
      <c r="Q13785">
        <v>0</v>
      </c>
      <c r="R13785">
        <v>44</v>
      </c>
      <c r="S13785">
        <v>44</v>
      </c>
      <c r="T13785" t="s">
        <v>48775</v>
      </c>
    </row>
    <row r="13786" spans="1:20" customFormat="1" ht="15" x14ac:dyDescent="0.25">
      <c r="A13786" t="s">
        <v>35</v>
      </c>
      <c r="B13786" t="s">
        <v>61</v>
      </c>
      <c r="C13786" t="str">
        <f>"A0133287"</f>
        <v>A0133287</v>
      </c>
      <c r="D13786" t="s">
        <v>48776</v>
      </c>
      <c r="E13786" t="s">
        <v>48777</v>
      </c>
      <c r="F13786" t="s">
        <v>48778</v>
      </c>
      <c r="G13786" t="s">
        <v>52</v>
      </c>
      <c r="H13786">
        <v>768210000</v>
      </c>
      <c r="I13786" t="s">
        <v>30</v>
      </c>
      <c r="J13786" t="s">
        <v>41</v>
      </c>
      <c r="K13786" t="s">
        <v>229</v>
      </c>
      <c r="Q13786">
        <v>0</v>
      </c>
      <c r="R13786">
        <v>60</v>
      </c>
      <c r="S13786">
        <v>60</v>
      </c>
      <c r="T13786" t="s">
        <v>48779</v>
      </c>
    </row>
    <row r="13787" spans="1:20" customFormat="1" ht="15" x14ac:dyDescent="0.25">
      <c r="A13787" t="s">
        <v>35</v>
      </c>
      <c r="B13787" t="s">
        <v>106</v>
      </c>
      <c r="C13787" t="str">
        <f>"A0136001"</f>
        <v>A0136001</v>
      </c>
      <c r="D13787" t="s">
        <v>48780</v>
      </c>
      <c r="E13787" t="s">
        <v>48781</v>
      </c>
      <c r="F13787" t="s">
        <v>48782</v>
      </c>
      <c r="G13787" t="s">
        <v>81</v>
      </c>
      <c r="H13787">
        <v>33570</v>
      </c>
      <c r="I13787" t="s">
        <v>30</v>
      </c>
      <c r="J13787" t="s">
        <v>111</v>
      </c>
      <c r="K13787" t="s">
        <v>112</v>
      </c>
      <c r="Q13787">
        <v>0</v>
      </c>
      <c r="R13787">
        <v>0</v>
      </c>
      <c r="S13787">
        <v>0</v>
      </c>
      <c r="T13787" t="s">
        <v>48783</v>
      </c>
    </row>
    <row r="13788" spans="1:20" customFormat="1" ht="15" x14ac:dyDescent="0.25">
      <c r="A13788" t="s">
        <v>35</v>
      </c>
      <c r="B13788" t="s">
        <v>61</v>
      </c>
      <c r="C13788" t="str">
        <f>"A0130966"</f>
        <v>A0130966</v>
      </c>
      <c r="D13788" t="s">
        <v>48784</v>
      </c>
      <c r="E13788" t="s">
        <v>48785</v>
      </c>
      <c r="F13788" t="s">
        <v>48786</v>
      </c>
      <c r="G13788" t="s">
        <v>85</v>
      </c>
      <c r="H13788">
        <v>721390000</v>
      </c>
      <c r="I13788" t="s">
        <v>30</v>
      </c>
      <c r="J13788" t="s">
        <v>41</v>
      </c>
      <c r="K13788" t="s">
        <v>2760</v>
      </c>
      <c r="Q13788">
        <v>0</v>
      </c>
      <c r="R13788">
        <v>1</v>
      </c>
      <c r="S13788">
        <v>1</v>
      </c>
      <c r="T13788" t="s">
        <v>48787</v>
      </c>
    </row>
    <row r="13789" spans="1:20" customFormat="1" ht="15" x14ac:dyDescent="0.25">
      <c r="A13789" t="s">
        <v>35</v>
      </c>
      <c r="B13789" t="s">
        <v>61</v>
      </c>
      <c r="C13789" t="str">
        <f>"A0124487"</f>
        <v>A0124487</v>
      </c>
      <c r="D13789" t="s">
        <v>48788</v>
      </c>
      <c r="E13789" t="s">
        <v>48789</v>
      </c>
      <c r="F13789" t="s">
        <v>14044</v>
      </c>
      <c r="G13789" t="s">
        <v>1706</v>
      </c>
      <c r="H13789">
        <v>356530000</v>
      </c>
      <c r="I13789" t="s">
        <v>30</v>
      </c>
      <c r="J13789" t="s">
        <v>41</v>
      </c>
      <c r="K13789" t="s">
        <v>229</v>
      </c>
      <c r="Q13789">
        <v>0</v>
      </c>
      <c r="R13789">
        <v>50</v>
      </c>
      <c r="S13789">
        <v>50</v>
      </c>
      <c r="T13789" t="s">
        <v>48790</v>
      </c>
    </row>
    <row r="13790" spans="1:20" customFormat="1" ht="15" x14ac:dyDescent="0.25">
      <c r="A13790" t="s">
        <v>35</v>
      </c>
      <c r="B13790" t="s">
        <v>61</v>
      </c>
      <c r="C13790" t="str">
        <f>"A0130407"</f>
        <v>A0130407</v>
      </c>
      <c r="D13790" t="s">
        <v>48791</v>
      </c>
      <c r="E13790" t="s">
        <v>48792</v>
      </c>
      <c r="F13790" t="s">
        <v>48793</v>
      </c>
      <c r="G13790" t="s">
        <v>1898</v>
      </c>
      <c r="H13790">
        <v>513580000</v>
      </c>
      <c r="I13790" t="s">
        <v>30</v>
      </c>
      <c r="J13790" t="s">
        <v>41</v>
      </c>
      <c r="K13790" t="s">
        <v>229</v>
      </c>
      <c r="Q13790">
        <v>0</v>
      </c>
      <c r="R13790">
        <v>50</v>
      </c>
      <c r="S13790">
        <v>50</v>
      </c>
      <c r="T13790" t="s">
        <v>48794</v>
      </c>
    </row>
    <row r="13791" spans="1:20" customFormat="1" ht="15" x14ac:dyDescent="0.25">
      <c r="A13791" t="s">
        <v>35</v>
      </c>
      <c r="B13791" t="s">
        <v>61</v>
      </c>
      <c r="C13791" t="str">
        <f>"A0123527"</f>
        <v>A0123527</v>
      </c>
      <c r="D13791" t="s">
        <v>48795</v>
      </c>
      <c r="E13791" t="s">
        <v>48796</v>
      </c>
      <c r="F13791" t="s">
        <v>9960</v>
      </c>
      <c r="G13791" t="s">
        <v>29</v>
      </c>
      <c r="H13791">
        <v>23868</v>
      </c>
      <c r="I13791" t="s">
        <v>30</v>
      </c>
      <c r="J13791" t="s">
        <v>41</v>
      </c>
      <c r="K13791" t="s">
        <v>229</v>
      </c>
      <c r="Q13791">
        <v>0</v>
      </c>
      <c r="R13791">
        <v>90</v>
      </c>
      <c r="S13791">
        <v>90</v>
      </c>
      <c r="T13791" t="s">
        <v>48797</v>
      </c>
    </row>
    <row r="13792" spans="1:20" customFormat="1" ht="15" x14ac:dyDescent="0.25">
      <c r="A13792" t="s">
        <v>35</v>
      </c>
      <c r="B13792" t="s">
        <v>61</v>
      </c>
      <c r="C13792" t="str">
        <f>"A0123528"</f>
        <v>A0123528</v>
      </c>
      <c r="D13792" t="s">
        <v>48798</v>
      </c>
      <c r="E13792" t="s">
        <v>48799</v>
      </c>
      <c r="F13792" t="s">
        <v>48800</v>
      </c>
      <c r="G13792" t="s">
        <v>29</v>
      </c>
      <c r="H13792">
        <v>23063</v>
      </c>
      <c r="I13792" t="s">
        <v>30</v>
      </c>
      <c r="J13792" t="s">
        <v>41</v>
      </c>
      <c r="K13792" t="s">
        <v>229</v>
      </c>
      <c r="Q13792">
        <v>0</v>
      </c>
      <c r="R13792">
        <v>81</v>
      </c>
      <c r="S13792">
        <v>81</v>
      </c>
      <c r="T13792" t="s">
        <v>48801</v>
      </c>
    </row>
    <row r="13793" spans="1:20" customFormat="1" ht="15" x14ac:dyDescent="0.25">
      <c r="A13793" t="s">
        <v>35</v>
      </c>
      <c r="B13793" t="s">
        <v>61</v>
      </c>
      <c r="C13793" t="str">
        <f>"A0123529"</f>
        <v>A0123529</v>
      </c>
      <c r="D13793" t="s">
        <v>48802</v>
      </c>
      <c r="E13793" t="s">
        <v>48803</v>
      </c>
      <c r="F13793" t="s">
        <v>48804</v>
      </c>
      <c r="G13793" t="s">
        <v>29</v>
      </c>
      <c r="H13793">
        <v>23055</v>
      </c>
      <c r="I13793" t="s">
        <v>30</v>
      </c>
      <c r="J13793" t="s">
        <v>41</v>
      </c>
      <c r="K13793" t="s">
        <v>229</v>
      </c>
      <c r="Q13793">
        <v>0</v>
      </c>
      <c r="R13793">
        <v>60</v>
      </c>
      <c r="S13793">
        <v>60</v>
      </c>
      <c r="T13793" t="s">
        <v>48805</v>
      </c>
    </row>
    <row r="13794" spans="1:20" customFormat="1" ht="15" x14ac:dyDescent="0.25">
      <c r="A13794" t="s">
        <v>35</v>
      </c>
      <c r="B13794" t="s">
        <v>61</v>
      </c>
      <c r="C13794" t="str">
        <f>"A0123530"</f>
        <v>A0123530</v>
      </c>
      <c r="D13794" t="s">
        <v>48806</v>
      </c>
      <c r="E13794" t="s">
        <v>48807</v>
      </c>
      <c r="F13794" t="s">
        <v>19203</v>
      </c>
      <c r="G13794" t="s">
        <v>29</v>
      </c>
      <c r="H13794">
        <v>22302</v>
      </c>
      <c r="I13794" t="s">
        <v>30</v>
      </c>
      <c r="J13794" t="s">
        <v>41</v>
      </c>
      <c r="K13794" t="s">
        <v>229</v>
      </c>
      <c r="Q13794">
        <v>0</v>
      </c>
      <c r="R13794">
        <v>111</v>
      </c>
      <c r="S13794">
        <v>111</v>
      </c>
      <c r="T13794" t="s">
        <v>48808</v>
      </c>
    </row>
    <row r="13795" spans="1:20" customFormat="1" ht="15" x14ac:dyDescent="0.25">
      <c r="A13795" t="s">
        <v>35</v>
      </c>
      <c r="B13795" t="s">
        <v>61</v>
      </c>
      <c r="C13795" t="str">
        <f>"A0123531"</f>
        <v>A0123531</v>
      </c>
      <c r="D13795" t="s">
        <v>48809</v>
      </c>
      <c r="E13795" t="s">
        <v>48810</v>
      </c>
      <c r="F13795" t="s">
        <v>37204</v>
      </c>
      <c r="G13795" t="s">
        <v>29</v>
      </c>
      <c r="H13795">
        <v>24401</v>
      </c>
      <c r="I13795" t="s">
        <v>30</v>
      </c>
      <c r="J13795" t="s">
        <v>41</v>
      </c>
      <c r="K13795" t="s">
        <v>229</v>
      </c>
      <c r="Q13795">
        <v>0</v>
      </c>
      <c r="R13795">
        <v>190</v>
      </c>
      <c r="S13795">
        <v>190</v>
      </c>
      <c r="T13795" t="s">
        <v>48811</v>
      </c>
    </row>
    <row r="13796" spans="1:20" customFormat="1" ht="15" x14ac:dyDescent="0.25">
      <c r="A13796" t="s">
        <v>35</v>
      </c>
      <c r="B13796" t="s">
        <v>61</v>
      </c>
      <c r="C13796" t="str">
        <f>"A0123532"</f>
        <v>A0123532</v>
      </c>
      <c r="D13796" t="s">
        <v>48812</v>
      </c>
      <c r="E13796" t="s">
        <v>48813</v>
      </c>
      <c r="F13796" t="s">
        <v>7257</v>
      </c>
      <c r="G13796" t="s">
        <v>29</v>
      </c>
      <c r="H13796">
        <v>23185</v>
      </c>
      <c r="I13796" t="s">
        <v>30</v>
      </c>
      <c r="J13796" t="s">
        <v>41</v>
      </c>
      <c r="K13796" t="s">
        <v>229</v>
      </c>
      <c r="Q13796">
        <v>0</v>
      </c>
      <c r="R13796">
        <v>157</v>
      </c>
      <c r="S13796">
        <v>157</v>
      </c>
      <c r="T13796" t="s">
        <v>48814</v>
      </c>
    </row>
    <row r="13797" spans="1:20" customFormat="1" ht="15" x14ac:dyDescent="0.25">
      <c r="A13797" t="s">
        <v>35</v>
      </c>
      <c r="B13797" t="s">
        <v>61</v>
      </c>
      <c r="C13797" t="str">
        <f>"A0123533"</f>
        <v>A0123533</v>
      </c>
      <c r="D13797" t="s">
        <v>48815</v>
      </c>
      <c r="E13797" t="s">
        <v>48816</v>
      </c>
      <c r="F13797" t="s">
        <v>4310</v>
      </c>
      <c r="G13797" t="s">
        <v>29</v>
      </c>
      <c r="H13797">
        <v>22603</v>
      </c>
      <c r="I13797" t="s">
        <v>30</v>
      </c>
      <c r="J13797" t="s">
        <v>41</v>
      </c>
      <c r="K13797" t="s">
        <v>229</v>
      </c>
      <c r="Q13797">
        <v>0</v>
      </c>
      <c r="R13797">
        <v>60</v>
      </c>
      <c r="S13797">
        <v>60</v>
      </c>
      <c r="T13797" t="s">
        <v>48817</v>
      </c>
    </row>
    <row r="13798" spans="1:20" customFormat="1" ht="15" x14ac:dyDescent="0.25">
      <c r="A13798" t="s">
        <v>35</v>
      </c>
      <c r="B13798" t="s">
        <v>61</v>
      </c>
      <c r="C13798" t="str">
        <f>"A0124792"</f>
        <v>A0124792</v>
      </c>
      <c r="D13798" t="s">
        <v>48818</v>
      </c>
      <c r="E13798" t="s">
        <v>48819</v>
      </c>
      <c r="F13798" t="s">
        <v>8081</v>
      </c>
      <c r="G13798" t="s">
        <v>110</v>
      </c>
      <c r="H13798">
        <v>941030000</v>
      </c>
      <c r="I13798" t="s">
        <v>30</v>
      </c>
      <c r="J13798" t="s">
        <v>41</v>
      </c>
      <c r="K13798" t="s">
        <v>290</v>
      </c>
      <c r="Q13798">
        <v>0</v>
      </c>
      <c r="R13798">
        <v>1</v>
      </c>
      <c r="S13798">
        <v>1</v>
      </c>
      <c r="T13798" t="s">
        <v>48820</v>
      </c>
    </row>
    <row r="13799" spans="1:20" customFormat="1" ht="15" x14ac:dyDescent="0.25">
      <c r="A13799" t="s">
        <v>35</v>
      </c>
      <c r="B13799" t="s">
        <v>61</v>
      </c>
      <c r="C13799" t="str">
        <f>"A0131005"</f>
        <v>A0131005</v>
      </c>
      <c r="D13799" t="s">
        <v>48821</v>
      </c>
      <c r="E13799" t="s">
        <v>48822</v>
      </c>
      <c r="F13799" t="s">
        <v>48823</v>
      </c>
      <c r="G13799" t="s">
        <v>137</v>
      </c>
      <c r="H13799">
        <v>631210000</v>
      </c>
      <c r="I13799" t="s">
        <v>30</v>
      </c>
      <c r="J13799" t="s">
        <v>41</v>
      </c>
      <c r="K13799" t="s">
        <v>59</v>
      </c>
      <c r="Q13799">
        <v>0</v>
      </c>
      <c r="R13799">
        <v>64</v>
      </c>
      <c r="S13799">
        <v>64</v>
      </c>
      <c r="T13799" t="s">
        <v>48824</v>
      </c>
    </row>
    <row r="13800" spans="1:20" customFormat="1" ht="15" x14ac:dyDescent="0.25">
      <c r="A13800" t="s">
        <v>35</v>
      </c>
      <c r="B13800" t="s">
        <v>61</v>
      </c>
      <c r="C13800" t="str">
        <f>"A0123131"</f>
        <v>A0123131</v>
      </c>
      <c r="D13800" t="s">
        <v>48825</v>
      </c>
      <c r="E13800" t="s">
        <v>48826</v>
      </c>
      <c r="F13800" t="s">
        <v>70</v>
      </c>
      <c r="G13800" t="s">
        <v>137</v>
      </c>
      <c r="H13800">
        <v>647760000</v>
      </c>
      <c r="I13800" t="s">
        <v>30</v>
      </c>
      <c r="J13800" t="s">
        <v>41</v>
      </c>
      <c r="K13800" t="s">
        <v>3713</v>
      </c>
      <c r="Q13800">
        <v>0</v>
      </c>
      <c r="R13800">
        <v>47</v>
      </c>
      <c r="S13800">
        <v>47</v>
      </c>
      <c r="T13800" t="s">
        <v>48827</v>
      </c>
    </row>
    <row r="13801" spans="1:20" customFormat="1" ht="15" x14ac:dyDescent="0.25">
      <c r="A13801" t="s">
        <v>35</v>
      </c>
      <c r="B13801" t="s">
        <v>106</v>
      </c>
      <c r="C13801" t="str">
        <f>"A0135637"</f>
        <v>A0135637</v>
      </c>
      <c r="D13801" t="s">
        <v>48828</v>
      </c>
      <c r="E13801" t="s">
        <v>48829</v>
      </c>
      <c r="F13801" t="s">
        <v>5742</v>
      </c>
      <c r="G13801" t="s">
        <v>110</v>
      </c>
      <c r="H13801">
        <v>95819</v>
      </c>
      <c r="I13801" t="s">
        <v>30</v>
      </c>
      <c r="J13801" t="s">
        <v>111</v>
      </c>
      <c r="K13801" t="s">
        <v>10012</v>
      </c>
      <c r="Q13801">
        <v>0</v>
      </c>
      <c r="R13801">
        <v>0</v>
      </c>
      <c r="S13801">
        <v>0</v>
      </c>
      <c r="T13801" t="s">
        <v>48830</v>
      </c>
    </row>
    <row r="13802" spans="1:20" customFormat="1" ht="15" x14ac:dyDescent="0.25">
      <c r="A13802" t="s">
        <v>35</v>
      </c>
      <c r="B13802" t="s">
        <v>106</v>
      </c>
      <c r="C13802" t="str">
        <f>"A0135640"</f>
        <v>A0135640</v>
      </c>
      <c r="D13802" t="s">
        <v>48831</v>
      </c>
      <c r="E13802" t="s">
        <v>48829</v>
      </c>
      <c r="F13802" t="s">
        <v>5742</v>
      </c>
      <c r="G13802" t="s">
        <v>110</v>
      </c>
      <c r="H13802">
        <v>95819</v>
      </c>
      <c r="I13802" t="s">
        <v>30</v>
      </c>
      <c r="J13802" t="s">
        <v>111</v>
      </c>
      <c r="K13802" t="s">
        <v>10012</v>
      </c>
      <c r="Q13802">
        <v>0</v>
      </c>
      <c r="R13802">
        <v>0</v>
      </c>
      <c r="S13802">
        <v>0</v>
      </c>
      <c r="T13802" t="s">
        <v>48830</v>
      </c>
    </row>
    <row r="13803" spans="1:20" customFormat="1" ht="15" x14ac:dyDescent="0.25">
      <c r="A13803" t="s">
        <v>35</v>
      </c>
      <c r="B13803" t="s">
        <v>106</v>
      </c>
      <c r="C13803" t="str">
        <f>"A0135638"</f>
        <v>A0135638</v>
      </c>
      <c r="D13803" t="s">
        <v>48832</v>
      </c>
      <c r="E13803" t="s">
        <v>48829</v>
      </c>
      <c r="F13803" t="s">
        <v>5742</v>
      </c>
      <c r="G13803" t="s">
        <v>110</v>
      </c>
      <c r="H13803">
        <v>95819</v>
      </c>
      <c r="I13803" t="s">
        <v>30</v>
      </c>
      <c r="J13803" t="s">
        <v>111</v>
      </c>
      <c r="K13803" t="s">
        <v>10012</v>
      </c>
      <c r="Q13803">
        <v>0</v>
      </c>
      <c r="R13803">
        <v>0</v>
      </c>
      <c r="S13803">
        <v>0</v>
      </c>
      <c r="T13803" t="s">
        <v>48830</v>
      </c>
    </row>
    <row r="13804" spans="1:20" customFormat="1" ht="15" x14ac:dyDescent="0.25">
      <c r="A13804" t="s">
        <v>35</v>
      </c>
      <c r="B13804" t="s">
        <v>106</v>
      </c>
      <c r="C13804" t="str">
        <f>"A0135639"</f>
        <v>A0135639</v>
      </c>
      <c r="D13804" t="s">
        <v>48833</v>
      </c>
      <c r="E13804" t="s">
        <v>48829</v>
      </c>
      <c r="F13804" t="s">
        <v>5742</v>
      </c>
      <c r="G13804" t="s">
        <v>110</v>
      </c>
      <c r="H13804">
        <v>95819</v>
      </c>
      <c r="I13804" t="s">
        <v>30</v>
      </c>
      <c r="J13804" t="s">
        <v>111</v>
      </c>
      <c r="K13804" t="s">
        <v>10012</v>
      </c>
      <c r="Q13804">
        <v>0</v>
      </c>
      <c r="R13804">
        <v>0</v>
      </c>
      <c r="S13804">
        <v>0</v>
      </c>
      <c r="T13804" t="s">
        <v>48830</v>
      </c>
    </row>
    <row r="13805" spans="1:20" customFormat="1" ht="15" x14ac:dyDescent="0.25">
      <c r="A13805" t="s">
        <v>35</v>
      </c>
      <c r="B13805" t="s">
        <v>106</v>
      </c>
      <c r="C13805" t="str">
        <f>"A0135643"</f>
        <v>A0135643</v>
      </c>
      <c r="D13805" t="s">
        <v>48834</v>
      </c>
      <c r="E13805" t="s">
        <v>48829</v>
      </c>
      <c r="F13805" t="s">
        <v>5742</v>
      </c>
      <c r="G13805" t="s">
        <v>110</v>
      </c>
      <c r="H13805">
        <v>958196063</v>
      </c>
      <c r="I13805" t="s">
        <v>30</v>
      </c>
      <c r="J13805" t="s">
        <v>111</v>
      </c>
      <c r="K13805" t="s">
        <v>112</v>
      </c>
      <c r="Q13805">
        <v>0</v>
      </c>
      <c r="R13805">
        <v>0</v>
      </c>
      <c r="S13805">
        <v>0</v>
      </c>
      <c r="T13805" t="s">
        <v>48835</v>
      </c>
    </row>
    <row r="13806" spans="1:20" customFormat="1" ht="15" x14ac:dyDescent="0.25">
      <c r="A13806" t="s">
        <v>35</v>
      </c>
      <c r="B13806" t="s">
        <v>106</v>
      </c>
      <c r="C13806" t="str">
        <f>"A0135644"</f>
        <v>A0135644</v>
      </c>
      <c r="D13806" t="s">
        <v>48836</v>
      </c>
      <c r="E13806" t="s">
        <v>48829</v>
      </c>
      <c r="F13806" t="s">
        <v>5742</v>
      </c>
      <c r="G13806" t="s">
        <v>110</v>
      </c>
      <c r="H13806">
        <v>95819</v>
      </c>
      <c r="I13806" t="s">
        <v>30</v>
      </c>
      <c r="J13806" t="s">
        <v>111</v>
      </c>
      <c r="K13806" t="s">
        <v>112</v>
      </c>
      <c r="Q13806">
        <v>0</v>
      </c>
      <c r="R13806">
        <v>0</v>
      </c>
      <c r="S13806">
        <v>0</v>
      </c>
    </row>
    <row r="13807" spans="1:20" customFormat="1" ht="15" x14ac:dyDescent="0.25">
      <c r="A13807" t="s">
        <v>35</v>
      </c>
      <c r="B13807" t="s">
        <v>106</v>
      </c>
      <c r="C13807" t="str">
        <f>"A0135641"</f>
        <v>A0135641</v>
      </c>
      <c r="D13807" t="s">
        <v>48837</v>
      </c>
      <c r="E13807" t="s">
        <v>48829</v>
      </c>
      <c r="F13807" t="s">
        <v>5742</v>
      </c>
      <c r="G13807" t="s">
        <v>110</v>
      </c>
      <c r="H13807">
        <v>958196063</v>
      </c>
      <c r="I13807" t="s">
        <v>30</v>
      </c>
      <c r="J13807" t="s">
        <v>111</v>
      </c>
      <c r="K13807" t="s">
        <v>112</v>
      </c>
      <c r="Q13807">
        <v>0</v>
      </c>
      <c r="R13807">
        <v>0</v>
      </c>
      <c r="S13807">
        <v>0</v>
      </c>
      <c r="T13807" t="s">
        <v>48835</v>
      </c>
    </row>
    <row r="13808" spans="1:20" customFormat="1" ht="15" x14ac:dyDescent="0.25">
      <c r="A13808" t="s">
        <v>35</v>
      </c>
      <c r="B13808" t="s">
        <v>106</v>
      </c>
      <c r="C13808" t="str">
        <f>"A0135642"</f>
        <v>A0135642</v>
      </c>
      <c r="D13808" t="s">
        <v>48838</v>
      </c>
      <c r="E13808" t="s">
        <v>48829</v>
      </c>
      <c r="F13808" t="s">
        <v>5742</v>
      </c>
      <c r="G13808" t="s">
        <v>110</v>
      </c>
      <c r="H13808">
        <v>958196063</v>
      </c>
      <c r="I13808" t="s">
        <v>30</v>
      </c>
      <c r="J13808" t="s">
        <v>111</v>
      </c>
      <c r="K13808" t="s">
        <v>112</v>
      </c>
      <c r="Q13808">
        <v>0</v>
      </c>
      <c r="R13808">
        <v>0</v>
      </c>
      <c r="S13808">
        <v>0</v>
      </c>
      <c r="T13808" t="s">
        <v>48835</v>
      </c>
    </row>
    <row r="13809" spans="1:20" customFormat="1" ht="15" x14ac:dyDescent="0.25">
      <c r="A13809" t="s">
        <v>35</v>
      </c>
      <c r="B13809" t="s">
        <v>61</v>
      </c>
      <c r="C13809" t="str">
        <f>"A0127963"</f>
        <v>A0127963</v>
      </c>
      <c r="D13809" t="s">
        <v>48839</v>
      </c>
      <c r="E13809" t="s">
        <v>48840</v>
      </c>
      <c r="F13809" t="s">
        <v>1501</v>
      </c>
      <c r="G13809" t="s">
        <v>117</v>
      </c>
      <c r="H13809">
        <v>480410000</v>
      </c>
      <c r="I13809" t="s">
        <v>30</v>
      </c>
      <c r="J13809" t="s">
        <v>41</v>
      </c>
      <c r="K13809" t="s">
        <v>461</v>
      </c>
      <c r="Q13809">
        <v>0</v>
      </c>
      <c r="R13809">
        <v>100</v>
      </c>
      <c r="S13809">
        <v>100</v>
      </c>
      <c r="T13809" t="s">
        <v>48841</v>
      </c>
    </row>
    <row r="13810" spans="1:20" customFormat="1" ht="15" x14ac:dyDescent="0.25">
      <c r="A13810" t="s">
        <v>35</v>
      </c>
      <c r="B13810" t="s">
        <v>61</v>
      </c>
      <c r="C13810" t="str">
        <f>"A0127284"</f>
        <v>A0127284</v>
      </c>
      <c r="D13810" t="s">
        <v>48842</v>
      </c>
      <c r="E13810" t="s">
        <v>48843</v>
      </c>
      <c r="F13810" t="s">
        <v>10276</v>
      </c>
      <c r="G13810" t="s">
        <v>846</v>
      </c>
      <c r="H13810">
        <v>30314</v>
      </c>
      <c r="I13810" t="s">
        <v>30</v>
      </c>
      <c r="J13810" t="s">
        <v>41</v>
      </c>
      <c r="K13810" t="s">
        <v>229</v>
      </c>
      <c r="Q13810">
        <v>0</v>
      </c>
      <c r="R13810">
        <v>206</v>
      </c>
      <c r="S13810">
        <v>206</v>
      </c>
      <c r="T13810" t="s">
        <v>48844</v>
      </c>
    </row>
    <row r="13811" spans="1:20" customFormat="1" ht="15" x14ac:dyDescent="0.25">
      <c r="A13811" t="s">
        <v>35</v>
      </c>
      <c r="B13811" t="s">
        <v>61</v>
      </c>
      <c r="C13811" t="str">
        <f>"A0123907"</f>
        <v>A0123907</v>
      </c>
      <c r="D13811" t="s">
        <v>48845</v>
      </c>
      <c r="E13811" t="s">
        <v>48846</v>
      </c>
      <c r="F13811" t="s">
        <v>14662</v>
      </c>
      <c r="G13811" t="s">
        <v>81</v>
      </c>
      <c r="H13811">
        <v>33777</v>
      </c>
      <c r="I13811" t="s">
        <v>30</v>
      </c>
      <c r="J13811" t="s">
        <v>41</v>
      </c>
      <c r="K13811" t="s">
        <v>482</v>
      </c>
      <c r="Q13811">
        <v>0</v>
      </c>
      <c r="R13811">
        <v>20</v>
      </c>
      <c r="S13811">
        <v>20</v>
      </c>
      <c r="T13811" t="s">
        <v>48847</v>
      </c>
    </row>
    <row r="13812" spans="1:20" customFormat="1" ht="15" x14ac:dyDescent="0.25">
      <c r="A13812" t="s">
        <v>35</v>
      </c>
      <c r="B13812" t="s">
        <v>61</v>
      </c>
      <c r="C13812" t="str">
        <f>"A0126176"</f>
        <v>A0126176</v>
      </c>
      <c r="D13812" t="s">
        <v>48848</v>
      </c>
      <c r="E13812" t="s">
        <v>48849</v>
      </c>
      <c r="F13812" t="s">
        <v>10187</v>
      </c>
      <c r="G13812" t="s">
        <v>197</v>
      </c>
      <c r="H13812">
        <v>85050</v>
      </c>
      <c r="I13812" t="s">
        <v>30</v>
      </c>
      <c r="J13812" t="s">
        <v>41</v>
      </c>
      <c r="K13812" t="s">
        <v>59</v>
      </c>
      <c r="Q13812">
        <v>0</v>
      </c>
      <c r="R13812">
        <v>0</v>
      </c>
      <c r="S13812">
        <v>0</v>
      </c>
      <c r="T13812" t="s">
        <v>48850</v>
      </c>
    </row>
    <row r="13813" spans="1:20" customFormat="1" ht="15" x14ac:dyDescent="0.25">
      <c r="A13813" t="s">
        <v>35</v>
      </c>
      <c r="B13813" t="s">
        <v>61</v>
      </c>
      <c r="C13813" t="str">
        <f>"A0123534"</f>
        <v>A0123534</v>
      </c>
      <c r="D13813" t="s">
        <v>48851</v>
      </c>
      <c r="E13813" t="s">
        <v>48852</v>
      </c>
      <c r="F13813" t="s">
        <v>48853</v>
      </c>
      <c r="G13813" t="s">
        <v>214</v>
      </c>
      <c r="H13813">
        <v>28577</v>
      </c>
      <c r="I13813" t="s">
        <v>30</v>
      </c>
      <c r="J13813" t="s">
        <v>41</v>
      </c>
      <c r="K13813" t="s">
        <v>59</v>
      </c>
      <c r="Q13813">
        <v>0</v>
      </c>
      <c r="R13813">
        <v>102</v>
      </c>
      <c r="S13813">
        <v>102</v>
      </c>
      <c r="T13813" t="s">
        <v>48854</v>
      </c>
    </row>
    <row r="13814" spans="1:20" customFormat="1" ht="15" x14ac:dyDescent="0.25">
      <c r="A13814" t="s">
        <v>35</v>
      </c>
      <c r="B13814" t="s">
        <v>61</v>
      </c>
      <c r="C13814" t="str">
        <f>"A0122918"</f>
        <v>A0122918</v>
      </c>
      <c r="D13814" t="s">
        <v>48855</v>
      </c>
      <c r="E13814" t="s">
        <v>48856</v>
      </c>
      <c r="F13814" t="s">
        <v>1444</v>
      </c>
      <c r="G13814" t="s">
        <v>76</v>
      </c>
      <c r="H13814">
        <v>98125</v>
      </c>
      <c r="I13814" t="s">
        <v>30</v>
      </c>
      <c r="J13814" t="s">
        <v>41</v>
      </c>
      <c r="K13814" t="s">
        <v>229</v>
      </c>
      <c r="Q13814">
        <v>0</v>
      </c>
      <c r="R13814">
        <v>47</v>
      </c>
      <c r="S13814">
        <v>47</v>
      </c>
      <c r="T13814" t="s">
        <v>48857</v>
      </c>
    </row>
    <row r="13815" spans="1:20" customFormat="1" ht="15" x14ac:dyDescent="0.25">
      <c r="A13815" t="s">
        <v>35</v>
      </c>
      <c r="B13815" t="s">
        <v>106</v>
      </c>
      <c r="C13815" t="str">
        <f>"A0136541"</f>
        <v>A0136541</v>
      </c>
      <c r="D13815" t="s">
        <v>48858</v>
      </c>
      <c r="E13815" t="s">
        <v>48859</v>
      </c>
      <c r="F13815" t="s">
        <v>30076</v>
      </c>
      <c r="G13815" t="s">
        <v>2450</v>
      </c>
      <c r="H13815">
        <v>4084</v>
      </c>
      <c r="I13815" t="s">
        <v>30</v>
      </c>
      <c r="J13815" t="s">
        <v>111</v>
      </c>
      <c r="K13815" t="s">
        <v>10012</v>
      </c>
      <c r="Q13815">
        <v>0</v>
      </c>
      <c r="R13815">
        <v>0</v>
      </c>
      <c r="S13815">
        <v>0</v>
      </c>
      <c r="T13815" t="s">
        <v>48860</v>
      </c>
    </row>
    <row r="13816" spans="1:20" customFormat="1" ht="15" x14ac:dyDescent="0.25">
      <c r="A13816" t="s">
        <v>35</v>
      </c>
      <c r="B13816" t="s">
        <v>61</v>
      </c>
      <c r="C13816" t="str">
        <f>"A0125423"</f>
        <v>A0125423</v>
      </c>
      <c r="D13816" t="s">
        <v>19697</v>
      </c>
      <c r="E13816" t="s">
        <v>48861</v>
      </c>
      <c r="F13816" t="s">
        <v>17401</v>
      </c>
      <c r="G13816" t="s">
        <v>40</v>
      </c>
      <c r="H13816">
        <v>73036</v>
      </c>
      <c r="I13816" t="s">
        <v>30</v>
      </c>
      <c r="J13816" t="s">
        <v>41</v>
      </c>
      <c r="K13816" t="s">
        <v>59</v>
      </c>
      <c r="Q13816">
        <v>0</v>
      </c>
      <c r="R13816">
        <v>63</v>
      </c>
      <c r="S13816">
        <v>63</v>
      </c>
      <c r="T13816" t="s">
        <v>48862</v>
      </c>
    </row>
    <row r="13817" spans="1:20" customFormat="1" ht="15" x14ac:dyDescent="0.25">
      <c r="A13817" t="s">
        <v>35</v>
      </c>
      <c r="B13817" t="s">
        <v>61</v>
      </c>
      <c r="C13817" t="str">
        <f>"A0132597"</f>
        <v>A0132597</v>
      </c>
      <c r="D13817" t="s">
        <v>48863</v>
      </c>
      <c r="E13817" t="s">
        <v>48864</v>
      </c>
      <c r="F13817" t="s">
        <v>23092</v>
      </c>
      <c r="G13817" t="s">
        <v>65</v>
      </c>
      <c r="H13817">
        <v>447200000</v>
      </c>
      <c r="I13817" t="s">
        <v>30</v>
      </c>
      <c r="J13817" t="s">
        <v>41</v>
      </c>
      <c r="K13817" t="s">
        <v>229</v>
      </c>
      <c r="Q13817">
        <v>0</v>
      </c>
      <c r="R13817">
        <v>303</v>
      </c>
      <c r="S13817">
        <v>303</v>
      </c>
      <c r="T13817" t="s">
        <v>48865</v>
      </c>
    </row>
    <row r="13818" spans="1:20" customFormat="1" ht="15" x14ac:dyDescent="0.25">
      <c r="A13818" t="s">
        <v>35</v>
      </c>
      <c r="B13818" t="s">
        <v>61</v>
      </c>
      <c r="C13818" t="str">
        <f>"A0132346"</f>
        <v>A0132346</v>
      </c>
      <c r="D13818" t="s">
        <v>48866</v>
      </c>
      <c r="E13818" t="s">
        <v>48867</v>
      </c>
      <c r="F13818" t="s">
        <v>48868</v>
      </c>
      <c r="G13818" t="s">
        <v>65</v>
      </c>
      <c r="H13818">
        <v>44657</v>
      </c>
      <c r="I13818" t="s">
        <v>30</v>
      </c>
      <c r="J13818" t="s">
        <v>41</v>
      </c>
      <c r="K13818" t="s">
        <v>59</v>
      </c>
      <c r="Q13818">
        <v>0</v>
      </c>
      <c r="R13818">
        <v>25</v>
      </c>
      <c r="S13818">
        <v>25</v>
      </c>
      <c r="T13818" t="s">
        <v>48869</v>
      </c>
    </row>
    <row r="13819" spans="1:20" customFormat="1" ht="15" x14ac:dyDescent="0.25">
      <c r="A13819" t="s">
        <v>35</v>
      </c>
      <c r="B13819" t="s">
        <v>61</v>
      </c>
      <c r="C13819" t="str">
        <f>"A0132598"</f>
        <v>A0132598</v>
      </c>
      <c r="D13819" t="s">
        <v>48870</v>
      </c>
      <c r="E13819" t="s">
        <v>48871</v>
      </c>
      <c r="F13819" t="s">
        <v>3661</v>
      </c>
      <c r="G13819" t="s">
        <v>65</v>
      </c>
      <c r="H13819">
        <v>45206</v>
      </c>
      <c r="I13819" t="s">
        <v>30</v>
      </c>
      <c r="J13819" t="s">
        <v>41</v>
      </c>
      <c r="K13819" t="s">
        <v>229</v>
      </c>
      <c r="Q13819">
        <v>0</v>
      </c>
      <c r="R13819">
        <v>132</v>
      </c>
      <c r="S13819">
        <v>132</v>
      </c>
      <c r="T13819" t="s">
        <v>48872</v>
      </c>
    </row>
    <row r="13820" spans="1:20" customFormat="1" ht="15" x14ac:dyDescent="0.25">
      <c r="A13820" t="s">
        <v>35</v>
      </c>
      <c r="B13820" t="s">
        <v>106</v>
      </c>
      <c r="C13820" t="str">
        <f>"A0135852"</f>
        <v>A0135852</v>
      </c>
      <c r="D13820" t="s">
        <v>48873</v>
      </c>
      <c r="E13820" t="s">
        <v>48874</v>
      </c>
      <c r="F13820" t="s">
        <v>48875</v>
      </c>
      <c r="G13820" t="s">
        <v>1184</v>
      </c>
      <c r="H13820">
        <v>59866</v>
      </c>
      <c r="I13820" t="s">
        <v>30</v>
      </c>
      <c r="J13820" t="s">
        <v>111</v>
      </c>
      <c r="K13820" t="s">
        <v>112</v>
      </c>
      <c r="Q13820">
        <v>0</v>
      </c>
      <c r="R13820">
        <v>0</v>
      </c>
      <c r="S13820">
        <v>0</v>
      </c>
      <c r="T13820" t="s">
        <v>48876</v>
      </c>
    </row>
    <row r="13821" spans="1:20" customFormat="1" ht="15" x14ac:dyDescent="0.25">
      <c r="A13821" t="s">
        <v>35</v>
      </c>
      <c r="B13821" t="s">
        <v>61</v>
      </c>
      <c r="C13821" t="str">
        <f>"A0121485"</f>
        <v>A0121485</v>
      </c>
      <c r="D13821" t="s">
        <v>48877</v>
      </c>
      <c r="E13821" t="s">
        <v>48878</v>
      </c>
      <c r="F13821" t="s">
        <v>9836</v>
      </c>
      <c r="G13821" t="s">
        <v>110</v>
      </c>
      <c r="H13821">
        <v>91103</v>
      </c>
      <c r="I13821" t="s">
        <v>30</v>
      </c>
      <c r="J13821" t="s">
        <v>41</v>
      </c>
      <c r="K13821" t="s">
        <v>229</v>
      </c>
      <c r="Q13821">
        <v>0</v>
      </c>
      <c r="R13821">
        <v>78</v>
      </c>
      <c r="S13821">
        <v>78</v>
      </c>
      <c r="T13821" t="s">
        <v>48879</v>
      </c>
    </row>
    <row r="13822" spans="1:20" customFormat="1" ht="15" x14ac:dyDescent="0.25">
      <c r="A13822" t="s">
        <v>35</v>
      </c>
      <c r="B13822" t="s">
        <v>61</v>
      </c>
      <c r="C13822" t="str">
        <f>"A0151237"</f>
        <v>A0151237</v>
      </c>
      <c r="D13822" t="s">
        <v>48880</v>
      </c>
      <c r="E13822" t="s">
        <v>48881</v>
      </c>
      <c r="F13822" t="s">
        <v>4645</v>
      </c>
      <c r="G13822" t="s">
        <v>289</v>
      </c>
      <c r="H13822">
        <v>62650</v>
      </c>
      <c r="I13822" t="s">
        <v>30</v>
      </c>
      <c r="J13822" t="s">
        <v>41</v>
      </c>
      <c r="K13822" t="s">
        <v>391</v>
      </c>
      <c r="Q13822">
        <v>0</v>
      </c>
      <c r="R13822">
        <v>50</v>
      </c>
      <c r="S13822">
        <v>50</v>
      </c>
      <c r="T13822" t="s">
        <v>48882</v>
      </c>
    </row>
    <row r="13823" spans="1:20" customFormat="1" ht="15" x14ac:dyDescent="0.25">
      <c r="A13823" t="s">
        <v>35</v>
      </c>
      <c r="B13823" t="s">
        <v>61</v>
      </c>
      <c r="C13823" t="str">
        <f>"A0123535"</f>
        <v>A0123535</v>
      </c>
      <c r="D13823" t="s">
        <v>48883</v>
      </c>
      <c r="E13823" t="s">
        <v>48884</v>
      </c>
      <c r="F13823" t="s">
        <v>8647</v>
      </c>
      <c r="G13823" t="s">
        <v>29</v>
      </c>
      <c r="H13823">
        <v>24153</v>
      </c>
      <c r="I13823" t="s">
        <v>30</v>
      </c>
      <c r="J13823" t="s">
        <v>41</v>
      </c>
      <c r="K13823" t="s">
        <v>229</v>
      </c>
      <c r="Q13823">
        <v>0</v>
      </c>
      <c r="R13823">
        <v>240</v>
      </c>
      <c r="S13823">
        <v>240</v>
      </c>
      <c r="T13823" t="s">
        <v>48885</v>
      </c>
    </row>
    <row r="13824" spans="1:20" customFormat="1" ht="15" x14ac:dyDescent="0.25">
      <c r="A13824" t="s">
        <v>35</v>
      </c>
      <c r="B13824" t="s">
        <v>61</v>
      </c>
      <c r="C13824" t="str">
        <f>"A0123133"</f>
        <v>A0123133</v>
      </c>
      <c r="D13824" t="s">
        <v>48886</v>
      </c>
      <c r="E13824" t="s">
        <v>48887</v>
      </c>
      <c r="F13824" t="s">
        <v>8647</v>
      </c>
      <c r="G13824" t="s">
        <v>137</v>
      </c>
      <c r="H13824">
        <v>655600000</v>
      </c>
      <c r="I13824" t="s">
        <v>30</v>
      </c>
      <c r="J13824" t="s">
        <v>41</v>
      </c>
      <c r="K13824" t="s">
        <v>3713</v>
      </c>
      <c r="Q13824">
        <v>0</v>
      </c>
      <c r="R13824">
        <v>49</v>
      </c>
      <c r="S13824">
        <v>49</v>
      </c>
      <c r="T13824" t="s">
        <v>48888</v>
      </c>
    </row>
    <row r="13825" spans="1:20" customFormat="1" ht="15" x14ac:dyDescent="0.25">
      <c r="A13825" t="s">
        <v>35</v>
      </c>
      <c r="B13825" t="s">
        <v>61</v>
      </c>
      <c r="C13825" t="str">
        <f>"A0124571"</f>
        <v>A0124571</v>
      </c>
      <c r="D13825" t="s">
        <v>48889</v>
      </c>
      <c r="E13825" t="s">
        <v>48890</v>
      </c>
      <c r="F13825" t="s">
        <v>48891</v>
      </c>
      <c r="G13825" t="s">
        <v>1706</v>
      </c>
      <c r="H13825">
        <v>35481</v>
      </c>
      <c r="I13825" t="s">
        <v>30</v>
      </c>
      <c r="J13825" t="s">
        <v>41</v>
      </c>
      <c r="K13825" t="s">
        <v>229</v>
      </c>
      <c r="Q13825">
        <v>0</v>
      </c>
      <c r="R13825">
        <v>85</v>
      </c>
      <c r="S13825">
        <v>85</v>
      </c>
      <c r="T13825" t="s">
        <v>48892</v>
      </c>
    </row>
    <row r="13826" spans="1:20" customFormat="1" ht="15" x14ac:dyDescent="0.25">
      <c r="A13826" t="s">
        <v>35</v>
      </c>
      <c r="B13826" t="s">
        <v>61</v>
      </c>
      <c r="C13826" t="str">
        <f>"A0129137"</f>
        <v>A0129137</v>
      </c>
      <c r="D13826" t="s">
        <v>48893</v>
      </c>
      <c r="E13826" t="s">
        <v>48894</v>
      </c>
      <c r="F13826" t="s">
        <v>18453</v>
      </c>
      <c r="G13826" t="s">
        <v>289</v>
      </c>
      <c r="H13826">
        <v>61740</v>
      </c>
      <c r="I13826" t="s">
        <v>30</v>
      </c>
      <c r="J13826" t="s">
        <v>41</v>
      </c>
      <c r="K13826" t="s">
        <v>66</v>
      </c>
      <c r="Q13826">
        <v>0</v>
      </c>
      <c r="R13826">
        <v>30</v>
      </c>
      <c r="S13826">
        <v>30</v>
      </c>
      <c r="T13826" t="s">
        <v>48895</v>
      </c>
    </row>
    <row r="13827" spans="1:20" customFormat="1" ht="15" x14ac:dyDescent="0.25">
      <c r="A13827" t="s">
        <v>35</v>
      </c>
      <c r="B13827" t="s">
        <v>61</v>
      </c>
      <c r="C13827" t="str">
        <f>"A0124853"</f>
        <v>A0124853</v>
      </c>
      <c r="D13827" t="s">
        <v>26525</v>
      </c>
      <c r="E13827" t="s">
        <v>48896</v>
      </c>
      <c r="F13827" t="s">
        <v>15684</v>
      </c>
      <c r="G13827" t="s">
        <v>214</v>
      </c>
      <c r="H13827">
        <v>271270000</v>
      </c>
      <c r="I13827" t="s">
        <v>30</v>
      </c>
      <c r="J13827" t="s">
        <v>41</v>
      </c>
      <c r="K13827" t="s">
        <v>59</v>
      </c>
      <c r="Q13827">
        <v>0</v>
      </c>
      <c r="R13827">
        <v>147</v>
      </c>
      <c r="S13827">
        <v>147</v>
      </c>
      <c r="T13827" t="s">
        <v>48897</v>
      </c>
    </row>
    <row r="13828" spans="1:20" customFormat="1" ht="15" x14ac:dyDescent="0.25">
      <c r="A13828" t="s">
        <v>35</v>
      </c>
      <c r="B13828" t="s">
        <v>61</v>
      </c>
      <c r="C13828" t="str">
        <f>"A0124073"</f>
        <v>A0124073</v>
      </c>
      <c r="D13828" t="s">
        <v>48898</v>
      </c>
      <c r="E13828" t="s">
        <v>48899</v>
      </c>
      <c r="F13828" t="s">
        <v>15684</v>
      </c>
      <c r="G13828" t="s">
        <v>214</v>
      </c>
      <c r="H13828">
        <v>27106</v>
      </c>
      <c r="I13828" t="s">
        <v>30</v>
      </c>
      <c r="J13828" t="s">
        <v>41</v>
      </c>
      <c r="K13828" t="s">
        <v>59</v>
      </c>
      <c r="Q13828">
        <v>0</v>
      </c>
      <c r="R13828">
        <v>360</v>
      </c>
      <c r="S13828">
        <v>360</v>
      </c>
      <c r="T13828" t="s">
        <v>48900</v>
      </c>
    </row>
    <row r="13829" spans="1:20" customFormat="1" ht="15" x14ac:dyDescent="0.25">
      <c r="A13829" t="s">
        <v>35</v>
      </c>
      <c r="B13829" t="s">
        <v>106</v>
      </c>
      <c r="C13829" t="str">
        <f>"A0136560"</f>
        <v>A0136560</v>
      </c>
      <c r="D13829" t="s">
        <v>48901</v>
      </c>
      <c r="E13829" t="s">
        <v>48902</v>
      </c>
      <c r="F13829" t="s">
        <v>48903</v>
      </c>
      <c r="G13829" t="s">
        <v>190</v>
      </c>
      <c r="H13829">
        <v>81201</v>
      </c>
      <c r="I13829" t="s">
        <v>30</v>
      </c>
      <c r="J13829" t="s">
        <v>111</v>
      </c>
      <c r="K13829" t="s">
        <v>112</v>
      </c>
      <c r="Q13829">
        <v>0</v>
      </c>
      <c r="R13829">
        <v>0</v>
      </c>
      <c r="S13829">
        <v>0</v>
      </c>
      <c r="T13829" t="s">
        <v>48904</v>
      </c>
    </row>
    <row r="13830" spans="1:20" customFormat="1" ht="15" x14ac:dyDescent="0.25">
      <c r="A13830" t="s">
        <v>35</v>
      </c>
      <c r="B13830" t="s">
        <v>106</v>
      </c>
      <c r="C13830" t="str">
        <f>"A0135996"</f>
        <v>A0135996</v>
      </c>
      <c r="D13830" t="s">
        <v>48905</v>
      </c>
      <c r="E13830" t="s">
        <v>48906</v>
      </c>
      <c r="F13830" t="s">
        <v>11868</v>
      </c>
      <c r="G13830" t="s">
        <v>123</v>
      </c>
      <c r="H13830">
        <v>21802</v>
      </c>
      <c r="I13830" t="s">
        <v>30</v>
      </c>
      <c r="J13830" t="s">
        <v>111</v>
      </c>
      <c r="K13830" t="s">
        <v>10012</v>
      </c>
      <c r="Q13830">
        <v>0</v>
      </c>
      <c r="R13830">
        <v>0</v>
      </c>
      <c r="S13830">
        <v>0</v>
      </c>
      <c r="T13830" t="s">
        <v>48907</v>
      </c>
    </row>
    <row r="13831" spans="1:20" customFormat="1" ht="15" x14ac:dyDescent="0.25">
      <c r="A13831" t="s">
        <v>35</v>
      </c>
      <c r="B13831" t="s">
        <v>61</v>
      </c>
      <c r="C13831" t="str">
        <f>"A0131008"</f>
        <v>A0131008</v>
      </c>
      <c r="D13831" t="s">
        <v>48908</v>
      </c>
      <c r="E13831" t="s">
        <v>48909</v>
      </c>
      <c r="F13831" t="s">
        <v>48910</v>
      </c>
      <c r="G13831" t="s">
        <v>137</v>
      </c>
      <c r="H13831">
        <v>634680000</v>
      </c>
      <c r="I13831" t="s">
        <v>30</v>
      </c>
      <c r="J13831" t="s">
        <v>41</v>
      </c>
      <c r="K13831" t="s">
        <v>229</v>
      </c>
      <c r="Q13831">
        <v>0</v>
      </c>
      <c r="R13831">
        <v>120</v>
      </c>
      <c r="S13831">
        <v>120</v>
      </c>
      <c r="T13831" t="s">
        <v>48911</v>
      </c>
    </row>
    <row r="13832" spans="1:20" customFormat="1" ht="15" x14ac:dyDescent="0.25">
      <c r="A13832" t="s">
        <v>35</v>
      </c>
      <c r="B13832" t="s">
        <v>61</v>
      </c>
      <c r="C13832" t="str">
        <f>"A0122699"</f>
        <v>A0122699</v>
      </c>
      <c r="D13832" t="s">
        <v>48912</v>
      </c>
      <c r="E13832" t="s">
        <v>48913</v>
      </c>
      <c r="F13832" t="s">
        <v>7112</v>
      </c>
      <c r="G13832" t="s">
        <v>433</v>
      </c>
      <c r="H13832">
        <v>83610</v>
      </c>
      <c r="I13832" t="s">
        <v>30</v>
      </c>
      <c r="J13832" t="s">
        <v>41</v>
      </c>
      <c r="K13832" t="s">
        <v>59</v>
      </c>
      <c r="Q13832">
        <v>0</v>
      </c>
      <c r="R13832">
        <v>15</v>
      </c>
      <c r="S13832">
        <v>15</v>
      </c>
      <c r="T13832" t="s">
        <v>48914</v>
      </c>
    </row>
    <row r="13833" spans="1:20" customFormat="1" ht="15" x14ac:dyDescent="0.25">
      <c r="A13833" t="s">
        <v>35</v>
      </c>
      <c r="B13833" t="s">
        <v>61</v>
      </c>
      <c r="C13833" t="str">
        <f>"A0124074"</f>
        <v>A0124074</v>
      </c>
      <c r="D13833" t="s">
        <v>48915</v>
      </c>
      <c r="E13833" t="s">
        <v>48916</v>
      </c>
      <c r="F13833" t="s">
        <v>48917</v>
      </c>
      <c r="G13833" t="s">
        <v>58</v>
      </c>
      <c r="H13833">
        <v>29138</v>
      </c>
      <c r="I13833" t="s">
        <v>30</v>
      </c>
      <c r="J13833" t="s">
        <v>41</v>
      </c>
      <c r="K13833" t="s">
        <v>229</v>
      </c>
      <c r="Q13833">
        <v>0</v>
      </c>
      <c r="R13833">
        <v>132</v>
      </c>
      <c r="S13833">
        <v>132</v>
      </c>
      <c r="T13833" t="s">
        <v>48918</v>
      </c>
    </row>
    <row r="13834" spans="1:20" customFormat="1" ht="15" x14ac:dyDescent="0.25">
      <c r="A13834" t="s">
        <v>35</v>
      </c>
      <c r="B13834" t="s">
        <v>61</v>
      </c>
      <c r="C13834" t="str">
        <f>"A0123909"</f>
        <v>A0123909</v>
      </c>
      <c r="D13834" t="s">
        <v>48919</v>
      </c>
      <c r="E13834" t="s">
        <v>48920</v>
      </c>
      <c r="F13834" t="s">
        <v>36258</v>
      </c>
      <c r="G13834" t="s">
        <v>81</v>
      </c>
      <c r="H13834">
        <v>33709</v>
      </c>
      <c r="I13834" t="s">
        <v>30</v>
      </c>
      <c r="J13834" t="s">
        <v>41</v>
      </c>
      <c r="K13834" t="s">
        <v>418</v>
      </c>
      <c r="Q13834">
        <v>0</v>
      </c>
      <c r="R13834">
        <v>0</v>
      </c>
      <c r="S13834">
        <v>0</v>
      </c>
      <c r="T13834" t="s">
        <v>48921</v>
      </c>
    </row>
    <row r="13835" spans="1:20" customFormat="1" ht="15" x14ac:dyDescent="0.25">
      <c r="A13835" t="s">
        <v>35</v>
      </c>
      <c r="B13835" t="s">
        <v>61</v>
      </c>
      <c r="C13835" t="str">
        <f>"A0153270"</f>
        <v>A0153270</v>
      </c>
      <c r="D13835" t="s">
        <v>48922</v>
      </c>
      <c r="E13835" t="s">
        <v>48923</v>
      </c>
      <c r="F13835" t="s">
        <v>23599</v>
      </c>
      <c r="G13835" t="s">
        <v>65</v>
      </c>
      <c r="H13835">
        <v>45011</v>
      </c>
      <c r="I13835" t="s">
        <v>30</v>
      </c>
      <c r="J13835" t="s">
        <v>41</v>
      </c>
      <c r="K13835" t="s">
        <v>6300</v>
      </c>
      <c r="Q13835">
        <v>0</v>
      </c>
      <c r="R13835">
        <v>0</v>
      </c>
      <c r="S13835">
        <v>0</v>
      </c>
      <c r="T13835" t="s">
        <v>48924</v>
      </c>
    </row>
    <row r="13836" spans="1:20" customFormat="1" ht="15" x14ac:dyDescent="0.25">
      <c r="A13836" t="s">
        <v>35</v>
      </c>
      <c r="B13836" t="s">
        <v>61</v>
      </c>
      <c r="C13836" t="str">
        <f>"A0132461"</f>
        <v>A0132461</v>
      </c>
      <c r="D13836" t="s">
        <v>48925</v>
      </c>
      <c r="E13836" t="s">
        <v>48926</v>
      </c>
      <c r="F13836" t="s">
        <v>967</v>
      </c>
      <c r="G13836" t="s">
        <v>65</v>
      </c>
      <c r="H13836">
        <v>448050000</v>
      </c>
      <c r="I13836" t="s">
        <v>30</v>
      </c>
      <c r="J13836" t="s">
        <v>41</v>
      </c>
      <c r="K13836" t="s">
        <v>6300</v>
      </c>
      <c r="Q13836">
        <v>0</v>
      </c>
      <c r="R13836">
        <v>1</v>
      </c>
      <c r="S13836">
        <v>1</v>
      </c>
      <c r="T13836" t="s">
        <v>48927</v>
      </c>
    </row>
    <row r="13837" spans="1:20" customFormat="1" ht="15" x14ac:dyDescent="0.25">
      <c r="A13837" t="s">
        <v>35</v>
      </c>
      <c r="B13837" t="s">
        <v>61</v>
      </c>
      <c r="C13837" t="str">
        <f>"A0124794"</f>
        <v>A0124794</v>
      </c>
      <c r="D13837" t="s">
        <v>48928</v>
      </c>
      <c r="E13837" t="s">
        <v>48929</v>
      </c>
      <c r="F13837" t="s">
        <v>8081</v>
      </c>
      <c r="G13837" t="s">
        <v>110</v>
      </c>
      <c r="H13837">
        <v>941070000</v>
      </c>
      <c r="I13837" t="s">
        <v>30</v>
      </c>
      <c r="J13837" t="s">
        <v>41</v>
      </c>
      <c r="K13837" t="s">
        <v>6300</v>
      </c>
      <c r="Q13837">
        <v>0</v>
      </c>
      <c r="R13837">
        <v>1</v>
      </c>
      <c r="S13837">
        <v>1</v>
      </c>
      <c r="T13837" t="s">
        <v>48930</v>
      </c>
    </row>
    <row r="13838" spans="1:20" customFormat="1" ht="15" x14ac:dyDescent="0.25">
      <c r="A13838" t="s">
        <v>35</v>
      </c>
      <c r="B13838" t="s">
        <v>106</v>
      </c>
      <c r="C13838" t="str">
        <f>"A0136582"</f>
        <v>A0136582</v>
      </c>
      <c r="D13838" t="s">
        <v>48931</v>
      </c>
      <c r="E13838" t="s">
        <v>48932</v>
      </c>
      <c r="F13838" t="s">
        <v>4133</v>
      </c>
      <c r="G13838" t="s">
        <v>52</v>
      </c>
      <c r="H13838">
        <v>78701</v>
      </c>
      <c r="I13838" t="s">
        <v>30</v>
      </c>
      <c r="J13838" t="s">
        <v>111</v>
      </c>
      <c r="K13838" t="s">
        <v>112</v>
      </c>
      <c r="Q13838">
        <v>0</v>
      </c>
      <c r="R13838">
        <v>0</v>
      </c>
      <c r="S13838">
        <v>0</v>
      </c>
      <c r="T13838" t="s">
        <v>48933</v>
      </c>
    </row>
    <row r="13839" spans="1:20" customFormat="1" ht="15" x14ac:dyDescent="0.25">
      <c r="A13839" t="s">
        <v>35</v>
      </c>
      <c r="B13839" t="s">
        <v>61</v>
      </c>
      <c r="C13839" t="str">
        <f>"A0125097"</f>
        <v>A0125097</v>
      </c>
      <c r="D13839" t="s">
        <v>48934</v>
      </c>
      <c r="E13839" t="s">
        <v>48935</v>
      </c>
      <c r="F13839" t="s">
        <v>9480</v>
      </c>
      <c r="G13839" t="s">
        <v>58</v>
      </c>
      <c r="H13839">
        <v>29649</v>
      </c>
      <c r="I13839" t="s">
        <v>30</v>
      </c>
      <c r="J13839" t="s">
        <v>41</v>
      </c>
      <c r="K13839" t="s">
        <v>461</v>
      </c>
      <c r="Q13839">
        <v>0</v>
      </c>
      <c r="R13839">
        <v>0</v>
      </c>
      <c r="S13839">
        <v>0</v>
      </c>
      <c r="T13839" t="s">
        <v>48936</v>
      </c>
    </row>
    <row r="13840" spans="1:20" customFormat="1" ht="15" x14ac:dyDescent="0.25">
      <c r="A13840" t="s">
        <v>35</v>
      </c>
      <c r="B13840" t="s">
        <v>106</v>
      </c>
      <c r="C13840" t="str">
        <f>"A0136127"</f>
        <v>A0136127</v>
      </c>
      <c r="D13840" t="s">
        <v>48937</v>
      </c>
      <c r="E13840" t="s">
        <v>48938</v>
      </c>
      <c r="F13840" t="s">
        <v>1714</v>
      </c>
      <c r="G13840" t="s">
        <v>1706</v>
      </c>
      <c r="H13840">
        <v>35244</v>
      </c>
      <c r="I13840" t="s">
        <v>30</v>
      </c>
      <c r="J13840" t="s">
        <v>111</v>
      </c>
      <c r="K13840" t="s">
        <v>112</v>
      </c>
      <c r="Q13840">
        <v>0</v>
      </c>
      <c r="R13840">
        <v>0</v>
      </c>
      <c r="S13840">
        <v>0</v>
      </c>
      <c r="T13840" t="s">
        <v>48939</v>
      </c>
    </row>
    <row r="13841" spans="1:20" customFormat="1" ht="15" x14ac:dyDescent="0.25">
      <c r="A13841" t="s">
        <v>35</v>
      </c>
      <c r="B13841" t="s">
        <v>106</v>
      </c>
      <c r="C13841" t="str">
        <f>"A0136124"</f>
        <v>A0136124</v>
      </c>
      <c r="D13841" t="s">
        <v>48940</v>
      </c>
      <c r="E13841" t="s">
        <v>48938</v>
      </c>
      <c r="F13841" t="s">
        <v>1714</v>
      </c>
      <c r="G13841" t="s">
        <v>1706</v>
      </c>
      <c r="H13841">
        <v>35244</v>
      </c>
      <c r="I13841" t="s">
        <v>30</v>
      </c>
      <c r="J13841" t="s">
        <v>111</v>
      </c>
      <c r="K13841" t="s">
        <v>112</v>
      </c>
      <c r="Q13841">
        <v>0</v>
      </c>
      <c r="R13841">
        <v>0</v>
      </c>
      <c r="S13841">
        <v>0</v>
      </c>
      <c r="T13841" t="s">
        <v>48939</v>
      </c>
    </row>
    <row r="13842" spans="1:20" customFormat="1" ht="15" x14ac:dyDescent="0.25">
      <c r="A13842" t="s">
        <v>35</v>
      </c>
      <c r="B13842" t="s">
        <v>106</v>
      </c>
      <c r="C13842" t="str">
        <f>"A0136123"</f>
        <v>A0136123</v>
      </c>
      <c r="D13842" t="s">
        <v>48941</v>
      </c>
      <c r="E13842" t="s">
        <v>48938</v>
      </c>
      <c r="F13842" t="s">
        <v>1714</v>
      </c>
      <c r="G13842" t="s">
        <v>1706</v>
      </c>
      <c r="H13842">
        <v>35244</v>
      </c>
      <c r="I13842" t="s">
        <v>30</v>
      </c>
      <c r="J13842" t="s">
        <v>111</v>
      </c>
      <c r="K13842" t="s">
        <v>112</v>
      </c>
      <c r="Q13842">
        <v>0</v>
      </c>
      <c r="R13842">
        <v>0</v>
      </c>
      <c r="S13842">
        <v>0</v>
      </c>
      <c r="T13842" t="s">
        <v>48939</v>
      </c>
    </row>
    <row r="13843" spans="1:20" customFormat="1" ht="15" x14ac:dyDescent="0.25">
      <c r="A13843" t="s">
        <v>35</v>
      </c>
      <c r="B13843" t="s">
        <v>106</v>
      </c>
      <c r="C13843" t="str">
        <f>"A0136125"</f>
        <v>A0136125</v>
      </c>
      <c r="D13843" t="s">
        <v>48942</v>
      </c>
      <c r="E13843" t="s">
        <v>48938</v>
      </c>
      <c r="F13843" t="s">
        <v>1714</v>
      </c>
      <c r="G13843" t="s">
        <v>1706</v>
      </c>
      <c r="H13843">
        <v>35244</v>
      </c>
      <c r="I13843" t="s">
        <v>30</v>
      </c>
      <c r="J13843" t="s">
        <v>111</v>
      </c>
      <c r="K13843" t="s">
        <v>112</v>
      </c>
      <c r="Q13843">
        <v>0</v>
      </c>
      <c r="R13843">
        <v>0</v>
      </c>
      <c r="S13843">
        <v>0</v>
      </c>
      <c r="T13843" t="s">
        <v>48939</v>
      </c>
    </row>
    <row r="13844" spans="1:20" customFormat="1" ht="15" x14ac:dyDescent="0.25">
      <c r="A13844" t="s">
        <v>35</v>
      </c>
      <c r="B13844" t="s">
        <v>106</v>
      </c>
      <c r="C13844" t="str">
        <f>"A0136128"</f>
        <v>A0136128</v>
      </c>
      <c r="D13844" t="s">
        <v>48943</v>
      </c>
      <c r="E13844" t="s">
        <v>48944</v>
      </c>
      <c r="F13844" t="s">
        <v>1714</v>
      </c>
      <c r="G13844" t="s">
        <v>1706</v>
      </c>
      <c r="H13844">
        <v>3522935244</v>
      </c>
      <c r="I13844" t="s">
        <v>30</v>
      </c>
      <c r="J13844" t="s">
        <v>111</v>
      </c>
      <c r="K13844" t="s">
        <v>112</v>
      </c>
      <c r="Q13844">
        <v>0</v>
      </c>
      <c r="R13844">
        <v>0</v>
      </c>
      <c r="S13844">
        <v>0</v>
      </c>
      <c r="T13844" t="s">
        <v>48945</v>
      </c>
    </row>
    <row r="13845" spans="1:20" customFormat="1" ht="15" x14ac:dyDescent="0.25">
      <c r="A13845" t="s">
        <v>35</v>
      </c>
      <c r="B13845" t="s">
        <v>106</v>
      </c>
      <c r="C13845" t="str">
        <f>"A0136126"</f>
        <v>A0136126</v>
      </c>
      <c r="D13845" t="s">
        <v>48946</v>
      </c>
      <c r="E13845" t="s">
        <v>48938</v>
      </c>
      <c r="F13845" t="s">
        <v>1714</v>
      </c>
      <c r="G13845" t="s">
        <v>1706</v>
      </c>
      <c r="H13845">
        <v>35244</v>
      </c>
      <c r="I13845" t="s">
        <v>30</v>
      </c>
      <c r="J13845" t="s">
        <v>111</v>
      </c>
      <c r="K13845" t="s">
        <v>112</v>
      </c>
      <c r="Q13845">
        <v>0</v>
      </c>
      <c r="R13845">
        <v>0</v>
      </c>
      <c r="S13845">
        <v>0</v>
      </c>
      <c r="T13845" t="s">
        <v>48939</v>
      </c>
    </row>
    <row r="13846" spans="1:20" customFormat="1" ht="15" x14ac:dyDescent="0.25">
      <c r="A13846" t="s">
        <v>35</v>
      </c>
      <c r="B13846" t="s">
        <v>437</v>
      </c>
      <c r="C13846" t="str">
        <f>"A0135114"</f>
        <v>A0135114</v>
      </c>
      <c r="D13846" t="s">
        <v>48947</v>
      </c>
      <c r="E13846" t="s">
        <v>48948</v>
      </c>
      <c r="F13846" t="s">
        <v>3180</v>
      </c>
      <c r="G13846" t="s">
        <v>99</v>
      </c>
      <c r="H13846">
        <v>13440</v>
      </c>
      <c r="I13846" t="s">
        <v>30</v>
      </c>
      <c r="J13846" t="s">
        <v>441</v>
      </c>
      <c r="K13846" t="s">
        <v>442</v>
      </c>
      <c r="Q13846">
        <v>0</v>
      </c>
      <c r="R13846">
        <v>0</v>
      </c>
      <c r="S13846">
        <v>0</v>
      </c>
      <c r="T13846" t="s">
        <v>48949</v>
      </c>
    </row>
    <row r="13847" spans="1:20" customFormat="1" ht="15" x14ac:dyDescent="0.25">
      <c r="A13847" t="s">
        <v>35</v>
      </c>
      <c r="B13847" t="s">
        <v>61</v>
      </c>
      <c r="C13847" t="str">
        <f>"A0117998"</f>
        <v>A0117998</v>
      </c>
      <c r="D13847" t="s">
        <v>48950</v>
      </c>
      <c r="E13847" t="s">
        <v>48648</v>
      </c>
      <c r="F13847" t="s">
        <v>37329</v>
      </c>
      <c r="G13847" t="s">
        <v>110</v>
      </c>
      <c r="H13847">
        <v>94070</v>
      </c>
      <c r="I13847" t="s">
        <v>30</v>
      </c>
      <c r="J13847" t="s">
        <v>41</v>
      </c>
      <c r="K13847" t="s">
        <v>59</v>
      </c>
      <c r="Q13847">
        <v>0</v>
      </c>
      <c r="R13847">
        <v>85</v>
      </c>
      <c r="S13847">
        <v>85</v>
      </c>
      <c r="T13847" t="s">
        <v>48951</v>
      </c>
    </row>
    <row r="13848" spans="1:20" customFormat="1" ht="15" x14ac:dyDescent="0.25">
      <c r="A13848" t="s">
        <v>35</v>
      </c>
      <c r="B13848" t="s">
        <v>61</v>
      </c>
      <c r="C13848" t="str">
        <f>"A0119323"</f>
        <v>A0119323</v>
      </c>
      <c r="D13848" t="s">
        <v>48952</v>
      </c>
      <c r="E13848" t="s">
        <v>48953</v>
      </c>
      <c r="F13848" t="s">
        <v>14154</v>
      </c>
      <c r="G13848" t="s">
        <v>110</v>
      </c>
      <c r="H13848">
        <v>92673</v>
      </c>
      <c r="I13848" t="s">
        <v>30</v>
      </c>
      <c r="J13848" t="s">
        <v>41</v>
      </c>
      <c r="K13848" t="s">
        <v>59</v>
      </c>
      <c r="Q13848">
        <v>0</v>
      </c>
      <c r="R13848">
        <v>193</v>
      </c>
      <c r="S13848">
        <v>193</v>
      </c>
      <c r="T13848" t="s">
        <v>48954</v>
      </c>
    </row>
    <row r="13849" spans="1:20" customFormat="1" ht="15" x14ac:dyDescent="0.25">
      <c r="A13849" t="s">
        <v>35</v>
      </c>
      <c r="B13849" t="s">
        <v>61</v>
      </c>
      <c r="C13849" t="str">
        <f>"A0121968"</f>
        <v>A0121968</v>
      </c>
      <c r="D13849" t="s">
        <v>48955</v>
      </c>
      <c r="E13849" t="s">
        <v>48956</v>
      </c>
      <c r="F13849" t="s">
        <v>48957</v>
      </c>
      <c r="G13849" t="s">
        <v>110</v>
      </c>
      <c r="H13849">
        <v>92173</v>
      </c>
      <c r="I13849" t="s">
        <v>30</v>
      </c>
      <c r="J13849" t="s">
        <v>41</v>
      </c>
      <c r="K13849" t="s">
        <v>391</v>
      </c>
      <c r="Q13849">
        <v>0</v>
      </c>
      <c r="R13849">
        <v>0</v>
      </c>
      <c r="S13849">
        <v>0</v>
      </c>
      <c r="T13849" t="s">
        <v>48958</v>
      </c>
    </row>
    <row r="13850" spans="1:20" customFormat="1" ht="15" x14ac:dyDescent="0.25">
      <c r="A13850" t="s">
        <v>35</v>
      </c>
      <c r="B13850" t="s">
        <v>61</v>
      </c>
      <c r="C13850" t="str">
        <f>"A0118999"</f>
        <v>A0118999</v>
      </c>
      <c r="D13850" t="s">
        <v>48959</v>
      </c>
      <c r="E13850" t="s">
        <v>48960</v>
      </c>
      <c r="F13850" t="s">
        <v>8081</v>
      </c>
      <c r="G13850" t="s">
        <v>110</v>
      </c>
      <c r="H13850">
        <v>94711</v>
      </c>
      <c r="I13850" t="s">
        <v>30</v>
      </c>
      <c r="J13850" t="s">
        <v>41</v>
      </c>
      <c r="K13850" t="s">
        <v>229</v>
      </c>
      <c r="Q13850">
        <v>0</v>
      </c>
      <c r="R13850">
        <v>168</v>
      </c>
      <c r="S13850">
        <v>168</v>
      </c>
      <c r="T13850" t="s">
        <v>48961</v>
      </c>
    </row>
    <row r="13851" spans="1:20" customFormat="1" ht="15" x14ac:dyDescent="0.25">
      <c r="A13851" t="s">
        <v>35</v>
      </c>
      <c r="B13851" t="s">
        <v>61</v>
      </c>
      <c r="C13851" t="str">
        <f>"A0121374"</f>
        <v>A0121374</v>
      </c>
      <c r="D13851" t="s">
        <v>48962</v>
      </c>
      <c r="E13851" t="s">
        <v>48963</v>
      </c>
      <c r="F13851" t="s">
        <v>6729</v>
      </c>
      <c r="G13851" t="s">
        <v>153</v>
      </c>
      <c r="H13851">
        <v>84535</v>
      </c>
      <c r="I13851" t="s">
        <v>30</v>
      </c>
      <c r="J13851" t="s">
        <v>41</v>
      </c>
      <c r="K13851" t="s">
        <v>8643</v>
      </c>
      <c r="Q13851">
        <v>0</v>
      </c>
      <c r="R13851">
        <v>120</v>
      </c>
      <c r="S13851">
        <v>120</v>
      </c>
      <c r="T13851" t="s">
        <v>48964</v>
      </c>
    </row>
    <row r="13852" spans="1:20" customFormat="1" ht="15" x14ac:dyDescent="0.25">
      <c r="A13852" t="s">
        <v>35</v>
      </c>
      <c r="B13852" t="s">
        <v>61</v>
      </c>
      <c r="C13852" t="str">
        <f>"A0133200"</f>
        <v>A0133200</v>
      </c>
      <c r="D13852" t="s">
        <v>48965</v>
      </c>
      <c r="E13852" t="s">
        <v>48966</v>
      </c>
      <c r="F13852" t="s">
        <v>48967</v>
      </c>
      <c r="G13852" t="s">
        <v>52</v>
      </c>
      <c r="H13852">
        <v>78589</v>
      </c>
      <c r="I13852" t="s">
        <v>30</v>
      </c>
      <c r="J13852" t="s">
        <v>41</v>
      </c>
      <c r="K13852" t="s">
        <v>229</v>
      </c>
      <c r="Q13852">
        <v>0</v>
      </c>
      <c r="R13852">
        <v>121</v>
      </c>
      <c r="S13852">
        <v>121</v>
      </c>
      <c r="T13852" t="s">
        <v>48968</v>
      </c>
    </row>
    <row r="13853" spans="1:20" customFormat="1" ht="15" x14ac:dyDescent="0.25">
      <c r="A13853" t="s">
        <v>35</v>
      </c>
      <c r="B13853" t="s">
        <v>61</v>
      </c>
      <c r="C13853" t="str">
        <f>"A0126368"</f>
        <v>A0126368</v>
      </c>
      <c r="D13853" t="s">
        <v>48969</v>
      </c>
      <c r="E13853" t="s">
        <v>48970</v>
      </c>
      <c r="F13853" t="s">
        <v>4645</v>
      </c>
      <c r="G13853" t="s">
        <v>81</v>
      </c>
      <c r="H13853">
        <v>32258</v>
      </c>
      <c r="I13853" t="s">
        <v>30</v>
      </c>
      <c r="J13853" t="s">
        <v>41</v>
      </c>
      <c r="K13853" t="s">
        <v>229</v>
      </c>
      <c r="Q13853">
        <v>0</v>
      </c>
      <c r="R13853">
        <v>65</v>
      </c>
      <c r="S13853">
        <v>65</v>
      </c>
      <c r="T13853" t="s">
        <v>48971</v>
      </c>
    </row>
    <row r="13854" spans="1:20" customFormat="1" ht="15" x14ac:dyDescent="0.25">
      <c r="A13854" t="s">
        <v>35</v>
      </c>
      <c r="B13854" t="s">
        <v>61</v>
      </c>
      <c r="C13854" t="str">
        <f>"A0121685"</f>
        <v>A0121685</v>
      </c>
      <c r="D13854" t="s">
        <v>48972</v>
      </c>
      <c r="E13854" t="s">
        <v>48973</v>
      </c>
      <c r="F13854" t="s">
        <v>14745</v>
      </c>
      <c r="G13854" t="s">
        <v>110</v>
      </c>
      <c r="H13854">
        <v>94518</v>
      </c>
      <c r="I13854" t="s">
        <v>30</v>
      </c>
      <c r="J13854" t="s">
        <v>41</v>
      </c>
      <c r="K13854" t="s">
        <v>229</v>
      </c>
      <c r="Q13854">
        <v>0</v>
      </c>
      <c r="R13854">
        <v>190</v>
      </c>
      <c r="S13854">
        <v>190</v>
      </c>
      <c r="T13854" t="s">
        <v>48974</v>
      </c>
    </row>
    <row r="13855" spans="1:20" customFormat="1" ht="15" x14ac:dyDescent="0.25">
      <c r="A13855" t="s">
        <v>35</v>
      </c>
      <c r="B13855" t="s">
        <v>61</v>
      </c>
      <c r="C13855" t="str">
        <f>"A0133717"</f>
        <v>A0133717</v>
      </c>
      <c r="D13855" t="s">
        <v>48975</v>
      </c>
      <c r="E13855" t="s">
        <v>48976</v>
      </c>
      <c r="F13855" t="s">
        <v>5240</v>
      </c>
      <c r="G13855" t="s">
        <v>52</v>
      </c>
      <c r="H13855">
        <v>78212</v>
      </c>
      <c r="I13855" t="s">
        <v>30</v>
      </c>
      <c r="J13855" t="s">
        <v>41</v>
      </c>
      <c r="K13855" t="s">
        <v>229</v>
      </c>
      <c r="Q13855">
        <v>0</v>
      </c>
      <c r="R13855">
        <v>150</v>
      </c>
      <c r="S13855">
        <v>150</v>
      </c>
      <c r="T13855" t="s">
        <v>48977</v>
      </c>
    </row>
    <row r="13856" spans="1:20" customFormat="1" ht="15" x14ac:dyDescent="0.25">
      <c r="A13856" t="s">
        <v>35</v>
      </c>
      <c r="B13856" t="s">
        <v>61</v>
      </c>
      <c r="C13856" t="str">
        <f>"A0125309"</f>
        <v>A0125309</v>
      </c>
      <c r="D13856" t="s">
        <v>48978</v>
      </c>
      <c r="E13856" t="s">
        <v>48979</v>
      </c>
      <c r="F13856" t="s">
        <v>40069</v>
      </c>
      <c r="G13856" t="s">
        <v>40</v>
      </c>
      <c r="H13856">
        <v>74063</v>
      </c>
      <c r="I13856" t="s">
        <v>30</v>
      </c>
      <c r="J13856" t="s">
        <v>41</v>
      </c>
      <c r="K13856" t="s">
        <v>229</v>
      </c>
      <c r="Q13856">
        <v>0</v>
      </c>
      <c r="R13856">
        <v>213</v>
      </c>
      <c r="S13856">
        <v>213</v>
      </c>
      <c r="T13856" t="s">
        <v>48980</v>
      </c>
    </row>
    <row r="13857" spans="1:20" customFormat="1" ht="15" x14ac:dyDescent="0.25">
      <c r="A13857" t="s">
        <v>35</v>
      </c>
      <c r="B13857" t="s">
        <v>61</v>
      </c>
      <c r="C13857" t="str">
        <f>"A0133821"</f>
        <v>A0133821</v>
      </c>
      <c r="D13857" t="s">
        <v>48981</v>
      </c>
      <c r="E13857" t="s">
        <v>48982</v>
      </c>
      <c r="F13857" t="s">
        <v>48983</v>
      </c>
      <c r="G13857" t="s">
        <v>214</v>
      </c>
      <c r="H13857">
        <v>27229</v>
      </c>
      <c r="I13857" t="s">
        <v>30</v>
      </c>
      <c r="J13857" t="s">
        <v>41</v>
      </c>
      <c r="K13857" t="s">
        <v>59</v>
      </c>
      <c r="Q13857">
        <v>0</v>
      </c>
      <c r="R13857">
        <v>104</v>
      </c>
      <c r="S13857">
        <v>104</v>
      </c>
      <c r="T13857" t="s">
        <v>48984</v>
      </c>
    </row>
    <row r="13858" spans="1:20" customFormat="1" ht="15" x14ac:dyDescent="0.25">
      <c r="A13858" t="s">
        <v>35</v>
      </c>
      <c r="B13858" t="s">
        <v>61</v>
      </c>
      <c r="C13858" t="str">
        <f>"A0125006"</f>
        <v>A0125006</v>
      </c>
      <c r="D13858" t="s">
        <v>48985</v>
      </c>
      <c r="E13858" t="s">
        <v>48986</v>
      </c>
      <c r="F13858" t="s">
        <v>48987</v>
      </c>
      <c r="G13858" t="s">
        <v>214</v>
      </c>
      <c r="H13858">
        <v>27330</v>
      </c>
      <c r="I13858" t="s">
        <v>30</v>
      </c>
      <c r="J13858" t="s">
        <v>41</v>
      </c>
      <c r="K13858" t="s">
        <v>229</v>
      </c>
      <c r="Q13858">
        <v>0</v>
      </c>
      <c r="R13858">
        <v>131</v>
      </c>
      <c r="S13858">
        <v>131</v>
      </c>
      <c r="T13858" t="s">
        <v>48988</v>
      </c>
    </row>
    <row r="13859" spans="1:20" customFormat="1" ht="15" x14ac:dyDescent="0.25">
      <c r="A13859" t="s">
        <v>35</v>
      </c>
      <c r="B13859" t="s">
        <v>61</v>
      </c>
      <c r="C13859" t="str">
        <f>"A0128536"</f>
        <v>A0128536</v>
      </c>
      <c r="D13859" t="s">
        <v>48989</v>
      </c>
      <c r="E13859" t="s">
        <v>48990</v>
      </c>
      <c r="F13859" t="s">
        <v>40535</v>
      </c>
      <c r="G13859" t="s">
        <v>840</v>
      </c>
      <c r="H13859">
        <v>400610000</v>
      </c>
      <c r="I13859" t="s">
        <v>30</v>
      </c>
      <c r="J13859" t="s">
        <v>41</v>
      </c>
      <c r="K13859" t="s">
        <v>229</v>
      </c>
      <c r="Q13859">
        <v>0</v>
      </c>
      <c r="R13859">
        <v>61</v>
      </c>
      <c r="S13859">
        <v>61</v>
      </c>
      <c r="T13859" t="s">
        <v>48991</v>
      </c>
    </row>
    <row r="13860" spans="1:20" customFormat="1" ht="15" x14ac:dyDescent="0.25">
      <c r="A13860" t="s">
        <v>35</v>
      </c>
      <c r="B13860" t="s">
        <v>61</v>
      </c>
      <c r="C13860" t="str">
        <f>"A0121852"</f>
        <v>A0121852</v>
      </c>
      <c r="D13860" t="s">
        <v>48992</v>
      </c>
      <c r="E13860" t="s">
        <v>48993</v>
      </c>
      <c r="F13860" t="s">
        <v>10196</v>
      </c>
      <c r="G13860" t="s">
        <v>110</v>
      </c>
      <c r="H13860">
        <v>91780</v>
      </c>
      <c r="I13860" t="s">
        <v>30</v>
      </c>
      <c r="J13860" t="s">
        <v>41</v>
      </c>
      <c r="K13860" t="s">
        <v>229</v>
      </c>
      <c r="Q13860">
        <v>0</v>
      </c>
      <c r="R13860">
        <v>391</v>
      </c>
      <c r="S13860">
        <v>391</v>
      </c>
      <c r="T13860" t="s">
        <v>48994</v>
      </c>
    </row>
    <row r="13861" spans="1:20" customFormat="1" ht="15" x14ac:dyDescent="0.25">
      <c r="A13861" t="s">
        <v>35</v>
      </c>
      <c r="B13861" t="s">
        <v>437</v>
      </c>
      <c r="C13861" t="str">
        <f>"A0133944"</f>
        <v>A0133944</v>
      </c>
      <c r="D13861" t="s">
        <v>48995</v>
      </c>
      <c r="E13861" t="s">
        <v>48996</v>
      </c>
      <c r="F13861" t="s">
        <v>48997</v>
      </c>
      <c r="G13861" t="s">
        <v>110</v>
      </c>
      <c r="H13861">
        <v>91350</v>
      </c>
      <c r="I13861" t="s">
        <v>30</v>
      </c>
      <c r="J13861" t="s">
        <v>441</v>
      </c>
      <c r="K13861" t="s">
        <v>36814</v>
      </c>
      <c r="Q13861">
        <v>0</v>
      </c>
      <c r="R13861">
        <v>0</v>
      </c>
      <c r="S13861">
        <v>0</v>
      </c>
      <c r="T13861" t="s">
        <v>48998</v>
      </c>
    </row>
    <row r="13862" spans="1:20" customFormat="1" ht="15" x14ac:dyDescent="0.25">
      <c r="A13862" t="s">
        <v>35</v>
      </c>
      <c r="B13862" t="s">
        <v>61</v>
      </c>
      <c r="C13862" t="str">
        <f>"A0117904"</f>
        <v>A0117904</v>
      </c>
      <c r="D13862" t="s">
        <v>48999</v>
      </c>
      <c r="E13862" t="s">
        <v>49000</v>
      </c>
      <c r="F13862" t="s">
        <v>24201</v>
      </c>
      <c r="G13862" t="s">
        <v>110</v>
      </c>
      <c r="H13862">
        <v>93458</v>
      </c>
      <c r="I13862" t="s">
        <v>30</v>
      </c>
      <c r="J13862" t="s">
        <v>41</v>
      </c>
      <c r="K13862" t="s">
        <v>229</v>
      </c>
      <c r="Q13862">
        <v>0</v>
      </c>
      <c r="R13862">
        <v>55</v>
      </c>
      <c r="S13862">
        <v>55</v>
      </c>
      <c r="T13862" t="s">
        <v>49001</v>
      </c>
    </row>
    <row r="13863" spans="1:20" customFormat="1" ht="15" x14ac:dyDescent="0.25">
      <c r="A13863" t="s">
        <v>35</v>
      </c>
      <c r="B13863" t="s">
        <v>61</v>
      </c>
      <c r="C13863" t="str">
        <f>"A0126093"</f>
        <v>A0126093</v>
      </c>
      <c r="D13863" t="s">
        <v>49002</v>
      </c>
      <c r="E13863" t="s">
        <v>49003</v>
      </c>
      <c r="F13863" t="s">
        <v>7734</v>
      </c>
      <c r="G13863" t="s">
        <v>197</v>
      </c>
      <c r="H13863">
        <v>85712</v>
      </c>
      <c r="I13863" t="s">
        <v>30</v>
      </c>
      <c r="J13863" t="s">
        <v>41</v>
      </c>
      <c r="K13863" t="s">
        <v>229</v>
      </c>
      <c r="Q13863">
        <v>0</v>
      </c>
      <c r="R13863">
        <v>130</v>
      </c>
      <c r="S13863">
        <v>130</v>
      </c>
      <c r="T13863" t="s">
        <v>49004</v>
      </c>
    </row>
    <row r="13864" spans="1:20" customFormat="1" ht="15" x14ac:dyDescent="0.25">
      <c r="A13864" t="s">
        <v>35</v>
      </c>
      <c r="B13864" t="s">
        <v>61</v>
      </c>
      <c r="C13864" t="str">
        <f>"A0154064"</f>
        <v>A0154064</v>
      </c>
      <c r="D13864" t="s">
        <v>49005</v>
      </c>
      <c r="E13864" t="s">
        <v>49006</v>
      </c>
      <c r="F13864" t="s">
        <v>23929</v>
      </c>
      <c r="G13864" t="s">
        <v>110</v>
      </c>
      <c r="H13864">
        <v>95008</v>
      </c>
      <c r="I13864" t="s">
        <v>30</v>
      </c>
      <c r="J13864" t="s">
        <v>41</v>
      </c>
      <c r="K13864" t="s">
        <v>391</v>
      </c>
      <c r="Q13864">
        <v>0</v>
      </c>
      <c r="R13864">
        <v>5</v>
      </c>
      <c r="S13864">
        <v>5</v>
      </c>
      <c r="T13864" t="s">
        <v>49007</v>
      </c>
    </row>
    <row r="13865" spans="1:20" customFormat="1" ht="15" x14ac:dyDescent="0.25">
      <c r="A13865" t="s">
        <v>35</v>
      </c>
      <c r="B13865" t="s">
        <v>61</v>
      </c>
      <c r="C13865" t="str">
        <f>"A0132102"</f>
        <v>A0132102</v>
      </c>
      <c r="D13865" t="s">
        <v>49008</v>
      </c>
      <c r="E13865" t="s">
        <v>49009</v>
      </c>
      <c r="F13865" t="s">
        <v>23092</v>
      </c>
      <c r="G13865" t="s">
        <v>65</v>
      </c>
      <c r="H13865">
        <v>44720</v>
      </c>
      <c r="I13865" t="s">
        <v>30</v>
      </c>
      <c r="J13865" t="s">
        <v>41</v>
      </c>
      <c r="K13865" t="s">
        <v>6300</v>
      </c>
      <c r="Q13865">
        <v>0</v>
      </c>
      <c r="R13865">
        <v>0</v>
      </c>
      <c r="S13865">
        <v>0</v>
      </c>
      <c r="T13865" t="s">
        <v>49010</v>
      </c>
    </row>
    <row r="13866" spans="1:20" customFormat="1" ht="15" x14ac:dyDescent="0.25">
      <c r="A13866" t="s">
        <v>35</v>
      </c>
      <c r="B13866" t="s">
        <v>61</v>
      </c>
      <c r="C13866" t="str">
        <f>"A0132103"</f>
        <v>A0132103</v>
      </c>
      <c r="D13866" t="s">
        <v>49011</v>
      </c>
      <c r="E13866" t="s">
        <v>49012</v>
      </c>
      <c r="F13866" t="s">
        <v>2770</v>
      </c>
      <c r="G13866" t="s">
        <v>65</v>
      </c>
      <c r="H13866">
        <v>447182576</v>
      </c>
      <c r="I13866" t="s">
        <v>30</v>
      </c>
      <c r="J13866" t="s">
        <v>41</v>
      </c>
      <c r="K13866" t="s">
        <v>6300</v>
      </c>
      <c r="Q13866">
        <v>0</v>
      </c>
      <c r="R13866">
        <v>0</v>
      </c>
      <c r="S13866">
        <v>0</v>
      </c>
      <c r="T13866" t="s">
        <v>49013</v>
      </c>
    </row>
    <row r="13867" spans="1:20" customFormat="1" ht="15" x14ac:dyDescent="0.25">
      <c r="A13867" t="s">
        <v>35</v>
      </c>
      <c r="B13867" t="s">
        <v>61</v>
      </c>
      <c r="C13867" t="str">
        <f>"A0132838"</f>
        <v>A0132838</v>
      </c>
      <c r="D13867" t="s">
        <v>49014</v>
      </c>
      <c r="E13867" t="s">
        <v>49015</v>
      </c>
      <c r="F13867" t="s">
        <v>4761</v>
      </c>
      <c r="G13867" t="s">
        <v>65</v>
      </c>
      <c r="H13867">
        <v>44224</v>
      </c>
      <c r="I13867" t="s">
        <v>30</v>
      </c>
      <c r="J13867" t="s">
        <v>41</v>
      </c>
      <c r="K13867" t="s">
        <v>6300</v>
      </c>
      <c r="Q13867">
        <v>0</v>
      </c>
      <c r="R13867">
        <v>0</v>
      </c>
      <c r="S13867">
        <v>0</v>
      </c>
      <c r="T13867" t="s">
        <v>49016</v>
      </c>
    </row>
    <row r="13868" spans="1:20" customFormat="1" ht="15" x14ac:dyDescent="0.25">
      <c r="A13868" t="s">
        <v>35</v>
      </c>
      <c r="B13868" t="s">
        <v>61</v>
      </c>
      <c r="C13868" t="str">
        <f>"A0130485"</f>
        <v>A0130485</v>
      </c>
      <c r="D13868" t="s">
        <v>49017</v>
      </c>
      <c r="E13868" t="s">
        <v>49018</v>
      </c>
      <c r="F13868" t="s">
        <v>48329</v>
      </c>
      <c r="G13868" t="s">
        <v>71</v>
      </c>
      <c r="H13868">
        <v>539592321</v>
      </c>
      <c r="I13868" t="s">
        <v>30</v>
      </c>
      <c r="J13868" t="s">
        <v>41</v>
      </c>
      <c r="K13868" t="s">
        <v>229</v>
      </c>
      <c r="Q13868">
        <v>0</v>
      </c>
      <c r="R13868">
        <v>92</v>
      </c>
      <c r="S13868">
        <v>92</v>
      </c>
      <c r="T13868" t="s">
        <v>49019</v>
      </c>
    </row>
    <row r="13869" spans="1:20" customFormat="1" ht="15" x14ac:dyDescent="0.25">
      <c r="A13869" t="s">
        <v>35</v>
      </c>
      <c r="B13869" t="s">
        <v>61</v>
      </c>
      <c r="C13869" t="str">
        <f>"A0152981"</f>
        <v>A0152981</v>
      </c>
      <c r="D13869" t="s">
        <v>49020</v>
      </c>
      <c r="E13869" t="s">
        <v>49021</v>
      </c>
      <c r="F13869" t="s">
        <v>3180</v>
      </c>
      <c r="G13869" t="s">
        <v>846</v>
      </c>
      <c r="H13869">
        <v>30165</v>
      </c>
      <c r="I13869" t="s">
        <v>30</v>
      </c>
      <c r="J13869" t="s">
        <v>41</v>
      </c>
      <c r="K13869" t="s">
        <v>229</v>
      </c>
      <c r="Q13869">
        <v>0</v>
      </c>
      <c r="R13869">
        <v>50</v>
      </c>
      <c r="S13869">
        <v>50</v>
      </c>
      <c r="T13869" t="s">
        <v>72</v>
      </c>
    </row>
    <row r="13870" spans="1:20" customFormat="1" ht="15" x14ac:dyDescent="0.25">
      <c r="A13870" t="s">
        <v>35</v>
      </c>
      <c r="B13870" t="s">
        <v>61</v>
      </c>
      <c r="C13870" t="str">
        <f>"A0123636"</f>
        <v>A0123636</v>
      </c>
      <c r="D13870" t="s">
        <v>49022</v>
      </c>
      <c r="E13870" t="s">
        <v>49023</v>
      </c>
      <c r="F13870" t="s">
        <v>44674</v>
      </c>
      <c r="G13870" t="s">
        <v>1170</v>
      </c>
      <c r="H13870">
        <v>71220</v>
      </c>
      <c r="I13870" t="s">
        <v>30</v>
      </c>
      <c r="J13870" t="s">
        <v>41</v>
      </c>
      <c r="K13870" t="s">
        <v>482</v>
      </c>
      <c r="Q13870">
        <v>0</v>
      </c>
      <c r="R13870">
        <v>38</v>
      </c>
      <c r="S13870">
        <v>38</v>
      </c>
      <c r="T13870" t="s">
        <v>49024</v>
      </c>
    </row>
    <row r="13871" spans="1:20" customFormat="1" ht="15" x14ac:dyDescent="0.25">
      <c r="A13871" t="s">
        <v>35</v>
      </c>
      <c r="B13871" t="s">
        <v>61</v>
      </c>
      <c r="C13871" t="str">
        <f>"A0123637"</f>
        <v>A0123637</v>
      </c>
      <c r="D13871" t="s">
        <v>49025</v>
      </c>
      <c r="E13871" t="s">
        <v>49026</v>
      </c>
      <c r="F13871" t="s">
        <v>49027</v>
      </c>
      <c r="G13871" t="s">
        <v>1170</v>
      </c>
      <c r="H13871">
        <v>711112515</v>
      </c>
      <c r="I13871" t="s">
        <v>30</v>
      </c>
      <c r="J13871" t="s">
        <v>41</v>
      </c>
      <c r="K13871" t="s">
        <v>482</v>
      </c>
      <c r="Q13871">
        <v>0</v>
      </c>
      <c r="R13871">
        <v>60</v>
      </c>
      <c r="S13871">
        <v>60</v>
      </c>
      <c r="T13871" t="s">
        <v>49028</v>
      </c>
    </row>
    <row r="13872" spans="1:20" customFormat="1" ht="15" x14ac:dyDescent="0.25">
      <c r="A13872" t="s">
        <v>35</v>
      </c>
      <c r="B13872" t="s">
        <v>61</v>
      </c>
      <c r="C13872" t="str">
        <f>"A0123638"</f>
        <v>A0123638</v>
      </c>
      <c r="D13872" t="s">
        <v>49029</v>
      </c>
      <c r="E13872" t="s">
        <v>49030</v>
      </c>
      <c r="F13872" t="s">
        <v>49031</v>
      </c>
      <c r="G13872" t="s">
        <v>1170</v>
      </c>
      <c r="H13872">
        <v>71291</v>
      </c>
      <c r="I13872" t="s">
        <v>30</v>
      </c>
      <c r="J13872" t="s">
        <v>41</v>
      </c>
      <c r="K13872" t="s">
        <v>482</v>
      </c>
      <c r="Q13872">
        <v>0</v>
      </c>
      <c r="R13872">
        <v>59</v>
      </c>
      <c r="S13872">
        <v>59</v>
      </c>
      <c r="T13872" t="s">
        <v>49032</v>
      </c>
    </row>
    <row r="13873" spans="1:20" customFormat="1" ht="15" x14ac:dyDescent="0.25">
      <c r="A13873" t="s">
        <v>35</v>
      </c>
      <c r="B13873" t="s">
        <v>106</v>
      </c>
      <c r="C13873" t="str">
        <f>"A0136268"</f>
        <v>A0136268</v>
      </c>
      <c r="D13873" t="s">
        <v>49033</v>
      </c>
      <c r="E13873" t="s">
        <v>49034</v>
      </c>
      <c r="F13873" t="s">
        <v>45933</v>
      </c>
      <c r="G13873" t="s">
        <v>137</v>
      </c>
      <c r="H13873">
        <v>64485</v>
      </c>
      <c r="I13873" t="s">
        <v>30</v>
      </c>
      <c r="J13873" t="s">
        <v>111</v>
      </c>
      <c r="K13873" t="s">
        <v>112</v>
      </c>
      <c r="Q13873">
        <v>0</v>
      </c>
      <c r="R13873">
        <v>0</v>
      </c>
      <c r="S13873">
        <v>0</v>
      </c>
      <c r="T13873" t="s">
        <v>45934</v>
      </c>
    </row>
    <row r="13874" spans="1:20" customFormat="1" ht="15" x14ac:dyDescent="0.25">
      <c r="A13874" t="s">
        <v>35</v>
      </c>
      <c r="B13874" t="s">
        <v>61</v>
      </c>
      <c r="C13874" t="str">
        <f>"A0130072"</f>
        <v>A0130072</v>
      </c>
      <c r="D13874" t="s">
        <v>49035</v>
      </c>
      <c r="E13874" t="s">
        <v>49036</v>
      </c>
      <c r="F13874" t="s">
        <v>611</v>
      </c>
      <c r="G13874" t="s">
        <v>880</v>
      </c>
      <c r="H13874">
        <v>38321</v>
      </c>
      <c r="I13874" t="s">
        <v>30</v>
      </c>
      <c r="J13874" t="s">
        <v>41</v>
      </c>
      <c r="K13874" t="s">
        <v>59</v>
      </c>
      <c r="Q13874">
        <v>0</v>
      </c>
      <c r="R13874">
        <v>20</v>
      </c>
      <c r="S13874">
        <v>20</v>
      </c>
      <c r="T13874" t="s">
        <v>49037</v>
      </c>
    </row>
    <row r="13875" spans="1:20" customFormat="1" ht="15" x14ac:dyDescent="0.25">
      <c r="A13875" t="s">
        <v>35</v>
      </c>
      <c r="B13875" t="s">
        <v>106</v>
      </c>
      <c r="C13875" t="str">
        <f>"A0136267"</f>
        <v>A0136267</v>
      </c>
      <c r="D13875" t="s">
        <v>49038</v>
      </c>
      <c r="E13875" t="s">
        <v>49039</v>
      </c>
      <c r="F13875" t="s">
        <v>45933</v>
      </c>
      <c r="G13875" t="s">
        <v>137</v>
      </c>
      <c r="H13875">
        <v>64485</v>
      </c>
      <c r="I13875" t="s">
        <v>30</v>
      </c>
      <c r="J13875" t="s">
        <v>111</v>
      </c>
      <c r="K13875" t="s">
        <v>112</v>
      </c>
      <c r="Q13875">
        <v>0</v>
      </c>
      <c r="R13875">
        <v>0</v>
      </c>
      <c r="S13875">
        <v>0</v>
      </c>
      <c r="T13875" t="s">
        <v>45934</v>
      </c>
    </row>
    <row r="13876" spans="1:20" customFormat="1" ht="15" x14ac:dyDescent="0.25">
      <c r="A13876" t="s">
        <v>35</v>
      </c>
      <c r="B13876" t="s">
        <v>106</v>
      </c>
      <c r="C13876" t="str">
        <f>"A0136265"</f>
        <v>A0136265</v>
      </c>
      <c r="D13876" t="s">
        <v>49040</v>
      </c>
      <c r="E13876" t="s">
        <v>49041</v>
      </c>
      <c r="F13876" t="s">
        <v>7801</v>
      </c>
      <c r="G13876" t="s">
        <v>137</v>
      </c>
      <c r="H13876">
        <v>64485</v>
      </c>
      <c r="I13876" t="s">
        <v>30</v>
      </c>
      <c r="J13876" t="s">
        <v>111</v>
      </c>
      <c r="K13876" t="s">
        <v>112</v>
      </c>
      <c r="Q13876">
        <v>0</v>
      </c>
      <c r="R13876">
        <v>0</v>
      </c>
      <c r="S13876">
        <v>0</v>
      </c>
      <c r="T13876" t="s">
        <v>49042</v>
      </c>
    </row>
    <row r="13877" spans="1:20" customFormat="1" ht="15" x14ac:dyDescent="0.25">
      <c r="A13877" t="s">
        <v>35</v>
      </c>
      <c r="B13877" t="s">
        <v>61</v>
      </c>
      <c r="C13877" t="str">
        <f>"A0124316"</f>
        <v>A0124316</v>
      </c>
      <c r="D13877" t="s">
        <v>49043</v>
      </c>
      <c r="E13877" t="s">
        <v>49044</v>
      </c>
      <c r="F13877" t="s">
        <v>49045</v>
      </c>
      <c r="G13877" t="s">
        <v>615</v>
      </c>
      <c r="H13877" t="s">
        <v>49046</v>
      </c>
      <c r="I13877" t="s">
        <v>30</v>
      </c>
      <c r="J13877" t="s">
        <v>41</v>
      </c>
      <c r="K13877" t="s">
        <v>59</v>
      </c>
      <c r="Q13877">
        <v>0</v>
      </c>
      <c r="R13877">
        <v>190</v>
      </c>
      <c r="S13877">
        <v>190</v>
      </c>
      <c r="T13877" t="s">
        <v>49047</v>
      </c>
    </row>
    <row r="13878" spans="1:20" customFormat="1" ht="15" x14ac:dyDescent="0.25">
      <c r="A13878" t="s">
        <v>35</v>
      </c>
      <c r="B13878" t="s">
        <v>61</v>
      </c>
      <c r="C13878" t="str">
        <f>"A0130398"</f>
        <v>A0130398</v>
      </c>
      <c r="D13878" t="s">
        <v>49048</v>
      </c>
      <c r="E13878" t="s">
        <v>49049</v>
      </c>
      <c r="F13878" t="s">
        <v>49050</v>
      </c>
      <c r="G13878" t="s">
        <v>1898</v>
      </c>
      <c r="H13878">
        <v>520720000</v>
      </c>
      <c r="I13878" t="s">
        <v>30</v>
      </c>
      <c r="J13878" t="s">
        <v>41</v>
      </c>
      <c r="K13878" t="s">
        <v>229</v>
      </c>
      <c r="Q13878">
        <v>0</v>
      </c>
      <c r="R13878">
        <v>40</v>
      </c>
      <c r="S13878">
        <v>40</v>
      </c>
      <c r="T13878" t="s">
        <v>49051</v>
      </c>
    </row>
    <row r="13879" spans="1:20" customFormat="1" ht="15" x14ac:dyDescent="0.25">
      <c r="A13879" t="s">
        <v>35</v>
      </c>
      <c r="B13879" t="s">
        <v>61</v>
      </c>
      <c r="C13879" t="str">
        <f>"A0122615"</f>
        <v>A0122615</v>
      </c>
      <c r="D13879" t="s">
        <v>49052</v>
      </c>
      <c r="E13879" t="s">
        <v>49053</v>
      </c>
      <c r="F13879" t="s">
        <v>1444</v>
      </c>
      <c r="G13879" t="s">
        <v>76</v>
      </c>
      <c r="H13879">
        <v>981460000</v>
      </c>
      <c r="I13879" t="s">
        <v>30</v>
      </c>
      <c r="J13879" t="s">
        <v>41</v>
      </c>
      <c r="K13879" t="s">
        <v>461</v>
      </c>
      <c r="Q13879">
        <v>0</v>
      </c>
      <c r="R13879">
        <v>32</v>
      </c>
      <c r="S13879">
        <v>32</v>
      </c>
      <c r="T13879" t="s">
        <v>49054</v>
      </c>
    </row>
    <row r="13880" spans="1:20" customFormat="1" ht="15" x14ac:dyDescent="0.25">
      <c r="A13880" t="s">
        <v>35</v>
      </c>
      <c r="B13880" t="s">
        <v>61</v>
      </c>
      <c r="C13880" t="str">
        <f>"A0132599"</f>
        <v>A0132599</v>
      </c>
      <c r="D13880" t="s">
        <v>49055</v>
      </c>
      <c r="E13880" t="s">
        <v>49056</v>
      </c>
      <c r="F13880" t="s">
        <v>15324</v>
      </c>
      <c r="G13880" t="s">
        <v>65</v>
      </c>
      <c r="H13880">
        <v>441240000</v>
      </c>
      <c r="I13880" t="s">
        <v>30</v>
      </c>
      <c r="J13880" t="s">
        <v>41</v>
      </c>
      <c r="K13880" t="s">
        <v>59</v>
      </c>
      <c r="Q13880">
        <v>0</v>
      </c>
      <c r="R13880">
        <v>198</v>
      </c>
      <c r="S13880">
        <v>198</v>
      </c>
      <c r="T13880" t="s">
        <v>49057</v>
      </c>
    </row>
    <row r="13881" spans="1:20" customFormat="1" ht="15" x14ac:dyDescent="0.25">
      <c r="A13881" t="s">
        <v>35</v>
      </c>
      <c r="B13881" t="s">
        <v>61</v>
      </c>
      <c r="C13881" t="str">
        <f>"A0130076"</f>
        <v>A0130076</v>
      </c>
      <c r="D13881" t="s">
        <v>49058</v>
      </c>
      <c r="E13881" t="s">
        <v>49059</v>
      </c>
      <c r="F13881" t="s">
        <v>1420</v>
      </c>
      <c r="G13881" t="s">
        <v>880</v>
      </c>
      <c r="H13881">
        <v>37208</v>
      </c>
      <c r="I13881" t="s">
        <v>30</v>
      </c>
      <c r="J13881" t="s">
        <v>41</v>
      </c>
      <c r="K13881" t="s">
        <v>59</v>
      </c>
      <c r="Q13881">
        <v>0</v>
      </c>
      <c r="R13881">
        <v>40</v>
      </c>
      <c r="S13881">
        <v>40</v>
      </c>
      <c r="T13881" t="s">
        <v>49060</v>
      </c>
    </row>
    <row r="13882" spans="1:20" customFormat="1" ht="15" x14ac:dyDescent="0.25">
      <c r="A13882" t="s">
        <v>35</v>
      </c>
      <c r="B13882" t="s">
        <v>61</v>
      </c>
      <c r="C13882" t="str">
        <f>"A0122920"</f>
        <v>A0122920</v>
      </c>
      <c r="D13882" t="s">
        <v>49061</v>
      </c>
      <c r="E13882" t="s">
        <v>49062</v>
      </c>
      <c r="F13882" t="s">
        <v>1444</v>
      </c>
      <c r="G13882" t="s">
        <v>76</v>
      </c>
      <c r="H13882">
        <v>98104</v>
      </c>
      <c r="I13882" t="s">
        <v>30</v>
      </c>
      <c r="J13882" t="s">
        <v>41</v>
      </c>
      <c r="K13882" t="s">
        <v>4317</v>
      </c>
      <c r="Q13882">
        <v>0</v>
      </c>
      <c r="R13882">
        <v>0</v>
      </c>
      <c r="S13882">
        <v>0</v>
      </c>
      <c r="T13882" t="s">
        <v>49063</v>
      </c>
    </row>
    <row r="13883" spans="1:20" customFormat="1" ht="15" x14ac:dyDescent="0.25">
      <c r="A13883" t="s">
        <v>35</v>
      </c>
      <c r="B13883" t="s">
        <v>61</v>
      </c>
      <c r="C13883" t="str">
        <f>"A0155550"</f>
        <v>A0155550</v>
      </c>
      <c r="D13883" t="s">
        <v>49064</v>
      </c>
      <c r="E13883" t="s">
        <v>49065</v>
      </c>
      <c r="F13883" t="s">
        <v>963</v>
      </c>
      <c r="G13883" t="s">
        <v>65</v>
      </c>
      <c r="H13883">
        <v>45601</v>
      </c>
      <c r="I13883" t="s">
        <v>30</v>
      </c>
      <c r="J13883" t="s">
        <v>41</v>
      </c>
      <c r="K13883" t="s">
        <v>461</v>
      </c>
      <c r="Q13883">
        <v>0</v>
      </c>
      <c r="R13883">
        <v>36</v>
      </c>
      <c r="S13883">
        <v>36</v>
      </c>
      <c r="T13883" t="s">
        <v>49066</v>
      </c>
    </row>
    <row r="13884" spans="1:20" customFormat="1" ht="15" x14ac:dyDescent="0.25">
      <c r="A13884" t="s">
        <v>35</v>
      </c>
      <c r="B13884" t="s">
        <v>61</v>
      </c>
      <c r="C13884" t="str">
        <f>"A0131234"</f>
        <v>A0131234</v>
      </c>
      <c r="D13884" t="s">
        <v>49067</v>
      </c>
      <c r="E13884" t="s">
        <v>49068</v>
      </c>
      <c r="F13884" t="s">
        <v>1501</v>
      </c>
      <c r="G13884" t="s">
        <v>137</v>
      </c>
      <c r="H13884">
        <v>635550000</v>
      </c>
      <c r="I13884" t="s">
        <v>30</v>
      </c>
      <c r="J13884" t="s">
        <v>41</v>
      </c>
      <c r="K13884" t="s">
        <v>229</v>
      </c>
      <c r="Q13884">
        <v>0</v>
      </c>
      <c r="R13884">
        <v>120</v>
      </c>
      <c r="S13884">
        <v>120</v>
      </c>
      <c r="T13884" t="s">
        <v>49069</v>
      </c>
    </row>
    <row r="13885" spans="1:20" customFormat="1" ht="15" x14ac:dyDescent="0.25">
      <c r="A13885" t="s">
        <v>35</v>
      </c>
      <c r="B13885" t="s">
        <v>61</v>
      </c>
      <c r="C13885" t="str">
        <f>"A0131123"</f>
        <v>A0131123</v>
      </c>
      <c r="D13885" t="s">
        <v>49070</v>
      </c>
      <c r="E13885" t="s">
        <v>49071</v>
      </c>
      <c r="F13885" t="s">
        <v>3193</v>
      </c>
      <c r="G13885" t="s">
        <v>85</v>
      </c>
      <c r="H13885">
        <v>720310000</v>
      </c>
      <c r="I13885" t="s">
        <v>30</v>
      </c>
      <c r="J13885" t="s">
        <v>41</v>
      </c>
      <c r="K13885" t="s">
        <v>2760</v>
      </c>
      <c r="Q13885">
        <v>0</v>
      </c>
      <c r="R13885">
        <v>1</v>
      </c>
      <c r="S13885">
        <v>1</v>
      </c>
      <c r="T13885" t="s">
        <v>49072</v>
      </c>
    </row>
    <row r="13886" spans="1:20" customFormat="1" ht="15" x14ac:dyDescent="0.25">
      <c r="A13886" t="s">
        <v>35</v>
      </c>
      <c r="B13886" t="s">
        <v>61</v>
      </c>
      <c r="C13886" t="str">
        <f>"A0128924"</f>
        <v>A0128924</v>
      </c>
      <c r="D13886" t="s">
        <v>49073</v>
      </c>
      <c r="E13886" t="s">
        <v>49074</v>
      </c>
      <c r="F13886" t="s">
        <v>4310</v>
      </c>
      <c r="G13886" t="s">
        <v>289</v>
      </c>
      <c r="H13886">
        <v>626940000</v>
      </c>
      <c r="I13886" t="s">
        <v>30</v>
      </c>
      <c r="J13886" t="s">
        <v>41</v>
      </c>
      <c r="K13886" t="s">
        <v>229</v>
      </c>
      <c r="Q13886">
        <v>0</v>
      </c>
      <c r="R13886">
        <v>65</v>
      </c>
      <c r="S13886">
        <v>65</v>
      </c>
      <c r="T13886" t="s">
        <v>49075</v>
      </c>
    </row>
    <row r="13887" spans="1:20" customFormat="1" ht="15" x14ac:dyDescent="0.25">
      <c r="A13887" t="s">
        <v>35</v>
      </c>
      <c r="B13887" t="s">
        <v>61</v>
      </c>
      <c r="C13887" t="str">
        <f>"A0131001"</f>
        <v>A0131001</v>
      </c>
      <c r="D13887" t="s">
        <v>49076</v>
      </c>
      <c r="E13887" t="s">
        <v>49077</v>
      </c>
      <c r="F13887" t="s">
        <v>49078</v>
      </c>
      <c r="G13887" t="s">
        <v>85</v>
      </c>
      <c r="H13887">
        <v>729580000</v>
      </c>
      <c r="I13887" t="s">
        <v>30</v>
      </c>
      <c r="J13887" t="s">
        <v>41</v>
      </c>
      <c r="K13887" t="s">
        <v>2760</v>
      </c>
      <c r="Q13887">
        <v>0</v>
      </c>
      <c r="R13887">
        <v>1</v>
      </c>
      <c r="S13887">
        <v>1</v>
      </c>
      <c r="T13887" t="s">
        <v>49079</v>
      </c>
    </row>
    <row r="13888" spans="1:20" customFormat="1" ht="15" x14ac:dyDescent="0.25">
      <c r="A13888" t="s">
        <v>35</v>
      </c>
      <c r="B13888" t="s">
        <v>61</v>
      </c>
      <c r="C13888" t="str">
        <f>"A0130362"</f>
        <v>A0130362</v>
      </c>
      <c r="D13888" t="s">
        <v>49080</v>
      </c>
      <c r="E13888" t="s">
        <v>49081</v>
      </c>
      <c r="F13888" t="s">
        <v>7317</v>
      </c>
      <c r="G13888" t="s">
        <v>1898</v>
      </c>
      <c r="H13888">
        <v>50312</v>
      </c>
      <c r="I13888" t="s">
        <v>30</v>
      </c>
      <c r="J13888" t="s">
        <v>41</v>
      </c>
      <c r="K13888" t="s">
        <v>59</v>
      </c>
      <c r="Q13888">
        <v>0</v>
      </c>
      <c r="R13888">
        <v>51</v>
      </c>
      <c r="S13888">
        <v>51</v>
      </c>
      <c r="T13888" t="s">
        <v>49082</v>
      </c>
    </row>
    <row r="13889" spans="1:20" customFormat="1" ht="15" x14ac:dyDescent="0.25">
      <c r="A13889" t="s">
        <v>35</v>
      </c>
      <c r="B13889" t="s">
        <v>61</v>
      </c>
      <c r="C13889" t="str">
        <f>"A0126075"</f>
        <v>A0126075</v>
      </c>
      <c r="D13889" t="s">
        <v>49083</v>
      </c>
      <c r="E13889" t="s">
        <v>49084</v>
      </c>
      <c r="F13889" t="s">
        <v>3645</v>
      </c>
      <c r="G13889" t="s">
        <v>197</v>
      </c>
      <c r="H13889">
        <v>85257</v>
      </c>
      <c r="I13889" t="s">
        <v>30</v>
      </c>
      <c r="J13889" t="s">
        <v>41</v>
      </c>
      <c r="K13889" t="s">
        <v>229</v>
      </c>
      <c r="Q13889">
        <v>0</v>
      </c>
      <c r="R13889">
        <v>141</v>
      </c>
      <c r="S13889">
        <v>141</v>
      </c>
      <c r="T13889" t="s">
        <v>49085</v>
      </c>
    </row>
    <row r="13890" spans="1:20" customFormat="1" ht="15" x14ac:dyDescent="0.25">
      <c r="A13890" t="s">
        <v>35</v>
      </c>
      <c r="B13890" t="s">
        <v>61</v>
      </c>
      <c r="C13890" t="str">
        <f>"A0121868"</f>
        <v>A0121868</v>
      </c>
      <c r="D13890" t="s">
        <v>49086</v>
      </c>
      <c r="E13890" t="s">
        <v>49087</v>
      </c>
      <c r="F13890" t="s">
        <v>7867</v>
      </c>
      <c r="G13890" t="s">
        <v>110</v>
      </c>
      <c r="H13890">
        <v>93553</v>
      </c>
      <c r="I13890" t="s">
        <v>30</v>
      </c>
      <c r="J13890" t="s">
        <v>41</v>
      </c>
      <c r="K13890" t="s">
        <v>3713</v>
      </c>
      <c r="Q13890">
        <v>0</v>
      </c>
      <c r="R13890">
        <v>157</v>
      </c>
      <c r="S13890">
        <v>157</v>
      </c>
      <c r="T13890" t="s">
        <v>49088</v>
      </c>
    </row>
    <row r="13891" spans="1:20" customFormat="1" ht="15" x14ac:dyDescent="0.25">
      <c r="A13891" t="s">
        <v>35</v>
      </c>
      <c r="B13891" t="s">
        <v>61</v>
      </c>
      <c r="C13891" t="str">
        <f>"A0121504"</f>
        <v>A0121504</v>
      </c>
      <c r="D13891" t="s">
        <v>49089</v>
      </c>
      <c r="E13891" t="s">
        <v>49090</v>
      </c>
      <c r="F13891" t="s">
        <v>24370</v>
      </c>
      <c r="G13891" t="s">
        <v>110</v>
      </c>
      <c r="H13891">
        <v>92626</v>
      </c>
      <c r="I13891" t="s">
        <v>30</v>
      </c>
      <c r="J13891" t="s">
        <v>41</v>
      </c>
      <c r="K13891" t="s">
        <v>456</v>
      </c>
      <c r="Q13891">
        <v>0</v>
      </c>
      <c r="R13891">
        <v>0</v>
      </c>
      <c r="S13891">
        <v>0</v>
      </c>
      <c r="T13891" t="s">
        <v>49091</v>
      </c>
    </row>
    <row r="13892" spans="1:20" customFormat="1" ht="15" x14ac:dyDescent="0.25">
      <c r="A13892" t="s">
        <v>35</v>
      </c>
      <c r="B13892" t="s">
        <v>61</v>
      </c>
      <c r="C13892" t="str">
        <f>"A0123537"</f>
        <v>A0123537</v>
      </c>
      <c r="D13892" t="s">
        <v>49092</v>
      </c>
      <c r="E13892" t="s">
        <v>49093</v>
      </c>
      <c r="F13892" t="s">
        <v>1701</v>
      </c>
      <c r="G13892" t="s">
        <v>58</v>
      </c>
      <c r="H13892">
        <v>29588</v>
      </c>
      <c r="I13892" t="s">
        <v>30</v>
      </c>
      <c r="J13892" t="s">
        <v>41</v>
      </c>
      <c r="K13892" t="s">
        <v>59</v>
      </c>
      <c r="Q13892">
        <v>0</v>
      </c>
      <c r="R13892">
        <v>45</v>
      </c>
      <c r="S13892">
        <v>45</v>
      </c>
      <c r="T13892" t="s">
        <v>49094</v>
      </c>
    </row>
    <row r="13893" spans="1:20" customFormat="1" ht="15" x14ac:dyDescent="0.25">
      <c r="A13893" t="s">
        <v>35</v>
      </c>
      <c r="B13893" t="s">
        <v>61</v>
      </c>
      <c r="C13893" t="str">
        <f>"A0131198"</f>
        <v>A0131198</v>
      </c>
      <c r="D13893" t="s">
        <v>49095</v>
      </c>
      <c r="E13893" t="s">
        <v>49096</v>
      </c>
      <c r="F13893" t="s">
        <v>21292</v>
      </c>
      <c r="G13893" t="s">
        <v>85</v>
      </c>
      <c r="H13893">
        <v>726500000</v>
      </c>
      <c r="I13893" t="s">
        <v>30</v>
      </c>
      <c r="J13893" t="s">
        <v>41</v>
      </c>
      <c r="K13893" t="s">
        <v>2760</v>
      </c>
      <c r="Q13893">
        <v>0</v>
      </c>
      <c r="R13893">
        <v>1</v>
      </c>
      <c r="S13893">
        <v>1</v>
      </c>
      <c r="T13893" t="s">
        <v>49097</v>
      </c>
    </row>
    <row r="13894" spans="1:20" customFormat="1" ht="15" x14ac:dyDescent="0.25">
      <c r="A13894" t="s">
        <v>35</v>
      </c>
      <c r="B13894" t="s">
        <v>61</v>
      </c>
      <c r="C13894" t="str">
        <f>"A0125081"</f>
        <v>A0125081</v>
      </c>
      <c r="D13894" t="s">
        <v>49098</v>
      </c>
      <c r="E13894" t="s">
        <v>49099</v>
      </c>
      <c r="F13894" t="s">
        <v>3315</v>
      </c>
      <c r="G13894" t="s">
        <v>214</v>
      </c>
      <c r="H13894">
        <v>27513</v>
      </c>
      <c r="I13894" t="s">
        <v>30</v>
      </c>
      <c r="J13894" t="s">
        <v>41</v>
      </c>
      <c r="K13894" t="s">
        <v>1440</v>
      </c>
      <c r="Q13894">
        <v>0</v>
      </c>
      <c r="R13894">
        <v>120</v>
      </c>
      <c r="S13894">
        <v>120</v>
      </c>
      <c r="T13894" t="s">
        <v>49100</v>
      </c>
    </row>
    <row r="13895" spans="1:20" customFormat="1" ht="15" x14ac:dyDescent="0.25">
      <c r="A13895" t="s">
        <v>35</v>
      </c>
      <c r="B13895" t="s">
        <v>61</v>
      </c>
      <c r="C13895" t="str">
        <f>"A0125768"</f>
        <v>A0125768</v>
      </c>
      <c r="D13895" t="s">
        <v>49101</v>
      </c>
      <c r="E13895" t="s">
        <v>49102</v>
      </c>
      <c r="F13895" t="s">
        <v>17879</v>
      </c>
      <c r="G13895" t="s">
        <v>29</v>
      </c>
      <c r="H13895">
        <v>23454</v>
      </c>
      <c r="I13895" t="s">
        <v>30</v>
      </c>
      <c r="J13895" t="s">
        <v>41</v>
      </c>
      <c r="K13895" t="s">
        <v>229</v>
      </c>
      <c r="Q13895">
        <v>0</v>
      </c>
      <c r="R13895">
        <v>64</v>
      </c>
      <c r="S13895">
        <v>64</v>
      </c>
      <c r="T13895" t="s">
        <v>49103</v>
      </c>
    </row>
    <row r="13896" spans="1:20" customFormat="1" ht="15" x14ac:dyDescent="0.25">
      <c r="A13896" t="s">
        <v>35</v>
      </c>
      <c r="B13896" t="s">
        <v>61</v>
      </c>
      <c r="C13896" t="str">
        <f>"A0123910"</f>
        <v>A0123910</v>
      </c>
      <c r="D13896" t="s">
        <v>49104</v>
      </c>
      <c r="E13896" t="s">
        <v>49105</v>
      </c>
      <c r="F13896" t="s">
        <v>49106</v>
      </c>
      <c r="G13896" t="s">
        <v>81</v>
      </c>
      <c r="H13896">
        <v>33756</v>
      </c>
      <c r="I13896" t="s">
        <v>30</v>
      </c>
      <c r="J13896" t="s">
        <v>41</v>
      </c>
      <c r="K13896" t="s">
        <v>1032</v>
      </c>
      <c r="Q13896">
        <v>0</v>
      </c>
      <c r="R13896">
        <v>80</v>
      </c>
      <c r="S13896">
        <v>80</v>
      </c>
    </row>
    <row r="13897" spans="1:20" customFormat="1" ht="15" x14ac:dyDescent="0.25">
      <c r="A13897" t="s">
        <v>35</v>
      </c>
      <c r="B13897" t="s">
        <v>61</v>
      </c>
      <c r="C13897" t="str">
        <f>"A0118675"</f>
        <v>A0118675</v>
      </c>
      <c r="D13897" t="s">
        <v>49107</v>
      </c>
      <c r="E13897" t="s">
        <v>49108</v>
      </c>
      <c r="F13897" t="s">
        <v>36834</v>
      </c>
      <c r="G13897" t="s">
        <v>110</v>
      </c>
      <c r="H13897">
        <v>90631</v>
      </c>
      <c r="I13897" t="s">
        <v>30</v>
      </c>
      <c r="J13897" t="s">
        <v>41</v>
      </c>
      <c r="K13897" t="s">
        <v>59</v>
      </c>
      <c r="Q13897">
        <v>0</v>
      </c>
      <c r="R13897">
        <v>230</v>
      </c>
      <c r="S13897">
        <v>230</v>
      </c>
      <c r="T13897" t="s">
        <v>49109</v>
      </c>
    </row>
    <row r="13898" spans="1:20" customFormat="1" ht="15" x14ac:dyDescent="0.25">
      <c r="A13898" t="s">
        <v>35</v>
      </c>
      <c r="B13898" t="s">
        <v>61</v>
      </c>
      <c r="C13898" t="str">
        <f>"A0118165"</f>
        <v>A0118165</v>
      </c>
      <c r="D13898" t="s">
        <v>49110</v>
      </c>
      <c r="E13898" t="s">
        <v>49111</v>
      </c>
      <c r="F13898" t="s">
        <v>37480</v>
      </c>
      <c r="G13898" t="s">
        <v>153</v>
      </c>
      <c r="H13898">
        <v>84770</v>
      </c>
      <c r="I13898" t="s">
        <v>30</v>
      </c>
      <c r="J13898" t="s">
        <v>41</v>
      </c>
      <c r="K13898" t="s">
        <v>229</v>
      </c>
      <c r="Q13898">
        <v>0</v>
      </c>
      <c r="R13898">
        <v>52</v>
      </c>
      <c r="S13898">
        <v>52</v>
      </c>
      <c r="T13898" t="s">
        <v>49112</v>
      </c>
    </row>
    <row r="13899" spans="1:20" customFormat="1" ht="15" x14ac:dyDescent="0.25">
      <c r="A13899" t="s">
        <v>35</v>
      </c>
      <c r="B13899" t="s">
        <v>61</v>
      </c>
      <c r="C13899" t="str">
        <f>"A0123911"</f>
        <v>A0123911</v>
      </c>
      <c r="D13899" t="s">
        <v>49113</v>
      </c>
      <c r="E13899" t="s">
        <v>49114</v>
      </c>
      <c r="F13899" t="s">
        <v>5502</v>
      </c>
      <c r="G13899" t="s">
        <v>81</v>
      </c>
      <c r="H13899">
        <v>33764</v>
      </c>
      <c r="I13899" t="s">
        <v>30</v>
      </c>
      <c r="J13899" t="s">
        <v>41</v>
      </c>
      <c r="K13899" t="s">
        <v>482</v>
      </c>
      <c r="Q13899">
        <v>0</v>
      </c>
      <c r="R13899">
        <v>80</v>
      </c>
      <c r="S13899">
        <v>80</v>
      </c>
      <c r="T13899" t="s">
        <v>49115</v>
      </c>
    </row>
    <row r="13900" spans="1:20" customFormat="1" ht="15" x14ac:dyDescent="0.25">
      <c r="A13900" t="s">
        <v>35</v>
      </c>
      <c r="B13900" t="s">
        <v>61</v>
      </c>
      <c r="C13900" t="str">
        <f>"A0121236"</f>
        <v>A0121236</v>
      </c>
      <c r="D13900" t="s">
        <v>49116</v>
      </c>
      <c r="E13900" t="s">
        <v>49117</v>
      </c>
      <c r="F13900" t="s">
        <v>44568</v>
      </c>
      <c r="G13900" t="s">
        <v>153</v>
      </c>
      <c r="H13900">
        <v>84655</v>
      </c>
      <c r="I13900" t="s">
        <v>30</v>
      </c>
      <c r="J13900" t="s">
        <v>41</v>
      </c>
      <c r="K13900" t="s">
        <v>59</v>
      </c>
      <c r="Q13900">
        <v>0</v>
      </c>
      <c r="R13900">
        <v>57</v>
      </c>
      <c r="S13900">
        <v>57</v>
      </c>
      <c r="T13900" t="s">
        <v>49118</v>
      </c>
    </row>
    <row r="13901" spans="1:20" customFormat="1" ht="15" x14ac:dyDescent="0.25">
      <c r="A13901" t="s">
        <v>35</v>
      </c>
      <c r="B13901" t="s">
        <v>61</v>
      </c>
      <c r="C13901" t="str">
        <f>"A0123369"</f>
        <v>A0123369</v>
      </c>
      <c r="D13901" t="s">
        <v>49119</v>
      </c>
      <c r="E13901" t="s">
        <v>49120</v>
      </c>
      <c r="F13901" t="s">
        <v>15531</v>
      </c>
      <c r="G13901" t="s">
        <v>214</v>
      </c>
      <c r="H13901">
        <v>27713</v>
      </c>
      <c r="I13901" t="s">
        <v>30</v>
      </c>
      <c r="J13901" t="s">
        <v>41</v>
      </c>
      <c r="K13901" t="s">
        <v>59</v>
      </c>
      <c r="Q13901">
        <v>0</v>
      </c>
      <c r="R13901">
        <v>1</v>
      </c>
      <c r="S13901">
        <v>1</v>
      </c>
      <c r="T13901" t="s">
        <v>49121</v>
      </c>
    </row>
    <row r="13902" spans="1:20" customFormat="1" ht="15" x14ac:dyDescent="0.25">
      <c r="A13902" t="s">
        <v>35</v>
      </c>
      <c r="B13902" t="s">
        <v>61</v>
      </c>
      <c r="C13902" t="str">
        <f>"A0122877"</f>
        <v>A0122877</v>
      </c>
      <c r="D13902" t="s">
        <v>49122</v>
      </c>
      <c r="E13902" t="s">
        <v>49123</v>
      </c>
      <c r="F13902" t="s">
        <v>1444</v>
      </c>
      <c r="G13902" t="s">
        <v>76</v>
      </c>
      <c r="H13902">
        <v>98111</v>
      </c>
      <c r="I13902" t="s">
        <v>30</v>
      </c>
      <c r="J13902" t="s">
        <v>41</v>
      </c>
      <c r="K13902" t="s">
        <v>6300</v>
      </c>
      <c r="Q13902">
        <v>0</v>
      </c>
      <c r="R13902">
        <v>0</v>
      </c>
      <c r="S13902">
        <v>0</v>
      </c>
      <c r="T13902" t="s">
        <v>49124</v>
      </c>
    </row>
    <row r="13903" spans="1:20" customFormat="1" ht="15" x14ac:dyDescent="0.25">
      <c r="A13903" t="s">
        <v>35</v>
      </c>
      <c r="B13903" t="s">
        <v>61</v>
      </c>
      <c r="C13903" t="str">
        <f>"A0125382"</f>
        <v>A0125382</v>
      </c>
      <c r="D13903" t="s">
        <v>49125</v>
      </c>
      <c r="E13903" t="s">
        <v>49126</v>
      </c>
      <c r="F13903" t="s">
        <v>49127</v>
      </c>
      <c r="G13903" t="s">
        <v>40</v>
      </c>
      <c r="H13903">
        <v>73065</v>
      </c>
      <c r="I13903" t="s">
        <v>30</v>
      </c>
      <c r="J13903" t="s">
        <v>41</v>
      </c>
      <c r="K13903" t="s">
        <v>461</v>
      </c>
      <c r="Q13903">
        <v>0</v>
      </c>
      <c r="R13903">
        <v>20</v>
      </c>
      <c r="S13903">
        <v>20</v>
      </c>
      <c r="T13903" t="s">
        <v>49128</v>
      </c>
    </row>
    <row r="13904" spans="1:20" customFormat="1" ht="15" x14ac:dyDescent="0.25">
      <c r="A13904" t="s">
        <v>35</v>
      </c>
      <c r="B13904" t="s">
        <v>61</v>
      </c>
      <c r="C13904" t="str">
        <f>"A0151053"</f>
        <v>A0151053</v>
      </c>
      <c r="D13904" t="s">
        <v>49129</v>
      </c>
      <c r="E13904" t="s">
        <v>49130</v>
      </c>
      <c r="F13904" t="s">
        <v>10272</v>
      </c>
      <c r="G13904" t="s">
        <v>289</v>
      </c>
      <c r="H13904">
        <v>61356</v>
      </c>
      <c r="I13904" t="s">
        <v>30</v>
      </c>
      <c r="J13904" t="s">
        <v>41</v>
      </c>
      <c r="K13904" t="s">
        <v>391</v>
      </c>
      <c r="Q13904">
        <v>0</v>
      </c>
      <c r="R13904">
        <v>0</v>
      </c>
      <c r="S13904">
        <v>0</v>
      </c>
      <c r="T13904" t="s">
        <v>49131</v>
      </c>
    </row>
    <row r="13905" spans="1:20" customFormat="1" ht="15" x14ac:dyDescent="0.25">
      <c r="A13905" t="s">
        <v>35</v>
      </c>
      <c r="B13905" t="s">
        <v>61</v>
      </c>
      <c r="C13905" t="str">
        <f>"A0123538"</f>
        <v>A0123538</v>
      </c>
      <c r="D13905" t="s">
        <v>49132</v>
      </c>
      <c r="E13905" t="s">
        <v>49133</v>
      </c>
      <c r="F13905" t="s">
        <v>4082</v>
      </c>
      <c r="G13905" t="s">
        <v>123</v>
      </c>
      <c r="H13905">
        <v>21223</v>
      </c>
      <c r="I13905" t="s">
        <v>30</v>
      </c>
      <c r="J13905" t="s">
        <v>41</v>
      </c>
      <c r="K13905" t="s">
        <v>112</v>
      </c>
      <c r="Q13905">
        <v>0</v>
      </c>
      <c r="R13905">
        <v>0</v>
      </c>
      <c r="S13905">
        <v>0</v>
      </c>
      <c r="T13905" t="s">
        <v>49134</v>
      </c>
    </row>
    <row r="13906" spans="1:20" customFormat="1" ht="15" x14ac:dyDescent="0.25">
      <c r="A13906" t="s">
        <v>35</v>
      </c>
      <c r="B13906" t="s">
        <v>61</v>
      </c>
      <c r="C13906" t="str">
        <f>"A0125240"</f>
        <v>A0125240</v>
      </c>
      <c r="D13906" t="s">
        <v>49135</v>
      </c>
      <c r="E13906" t="s">
        <v>49136</v>
      </c>
      <c r="F13906" t="s">
        <v>13387</v>
      </c>
      <c r="G13906" t="s">
        <v>40</v>
      </c>
      <c r="H13906">
        <v>734010000</v>
      </c>
      <c r="I13906" t="s">
        <v>30</v>
      </c>
      <c r="J13906" t="s">
        <v>41</v>
      </c>
      <c r="K13906" t="s">
        <v>49137</v>
      </c>
      <c r="Q13906">
        <v>0</v>
      </c>
      <c r="R13906">
        <v>1</v>
      </c>
      <c r="S13906">
        <v>1</v>
      </c>
      <c r="T13906" t="s">
        <v>49138</v>
      </c>
    </row>
    <row r="13907" spans="1:20" customFormat="1" ht="15" x14ac:dyDescent="0.25">
      <c r="A13907" t="s">
        <v>35</v>
      </c>
      <c r="B13907" t="s">
        <v>61</v>
      </c>
      <c r="C13907" t="str">
        <f>"A0127750"</f>
        <v>A0127750</v>
      </c>
      <c r="D13907" t="s">
        <v>49139</v>
      </c>
      <c r="E13907" t="s">
        <v>49140</v>
      </c>
      <c r="F13907" t="s">
        <v>9617</v>
      </c>
      <c r="G13907" t="s">
        <v>117</v>
      </c>
      <c r="H13907">
        <v>494420000</v>
      </c>
      <c r="I13907" t="s">
        <v>30</v>
      </c>
      <c r="J13907" t="s">
        <v>41</v>
      </c>
      <c r="K13907" t="s">
        <v>3713</v>
      </c>
      <c r="Q13907">
        <v>0</v>
      </c>
      <c r="R13907">
        <v>39</v>
      </c>
      <c r="S13907">
        <v>39</v>
      </c>
      <c r="T13907" t="s">
        <v>49141</v>
      </c>
    </row>
    <row r="13908" spans="1:20" customFormat="1" ht="15" x14ac:dyDescent="0.25">
      <c r="A13908" t="s">
        <v>35</v>
      </c>
      <c r="B13908" t="s">
        <v>106</v>
      </c>
      <c r="C13908" t="str">
        <f>"A0135393"</f>
        <v>A0135393</v>
      </c>
      <c r="D13908" t="s">
        <v>49142</v>
      </c>
      <c r="E13908" t="s">
        <v>49143</v>
      </c>
      <c r="F13908" t="s">
        <v>8647</v>
      </c>
      <c r="G13908" t="s">
        <v>289</v>
      </c>
      <c r="H13908">
        <v>62881</v>
      </c>
      <c r="I13908" t="s">
        <v>30</v>
      </c>
      <c r="J13908" t="s">
        <v>111</v>
      </c>
      <c r="K13908" t="s">
        <v>112</v>
      </c>
      <c r="Q13908">
        <v>0</v>
      </c>
      <c r="R13908">
        <v>0</v>
      </c>
      <c r="S13908">
        <v>0</v>
      </c>
      <c r="T13908" t="s">
        <v>49144</v>
      </c>
    </row>
    <row r="13909" spans="1:20" customFormat="1" ht="15" x14ac:dyDescent="0.25">
      <c r="A13909" t="s">
        <v>35</v>
      </c>
      <c r="B13909" t="s">
        <v>61</v>
      </c>
      <c r="C13909" t="str">
        <f>"A0132600"</f>
        <v>A0132600</v>
      </c>
      <c r="D13909" t="s">
        <v>49145</v>
      </c>
      <c r="E13909" t="s">
        <v>49146</v>
      </c>
      <c r="F13909" t="s">
        <v>238</v>
      </c>
      <c r="G13909" t="s">
        <v>65</v>
      </c>
      <c r="H13909">
        <v>45150</v>
      </c>
      <c r="I13909" t="s">
        <v>30</v>
      </c>
      <c r="J13909" t="s">
        <v>41</v>
      </c>
      <c r="K13909" t="s">
        <v>59</v>
      </c>
      <c r="Q13909">
        <v>0</v>
      </c>
      <c r="R13909">
        <v>127</v>
      </c>
      <c r="S13909">
        <v>127</v>
      </c>
      <c r="T13909" t="s">
        <v>49147</v>
      </c>
    </row>
    <row r="13910" spans="1:20" customFormat="1" ht="15" x14ac:dyDescent="0.25">
      <c r="A13910" t="s">
        <v>35</v>
      </c>
      <c r="B13910" t="s">
        <v>61</v>
      </c>
      <c r="C13910" t="str">
        <f>"A0124509"</f>
        <v>A0124509</v>
      </c>
      <c r="D13910" t="s">
        <v>49148</v>
      </c>
      <c r="E13910" t="s">
        <v>49149</v>
      </c>
      <c r="F13910" t="s">
        <v>49150</v>
      </c>
      <c r="G13910" t="s">
        <v>1369</v>
      </c>
      <c r="H13910">
        <v>386680000</v>
      </c>
      <c r="I13910" t="s">
        <v>30</v>
      </c>
      <c r="J13910" t="s">
        <v>41</v>
      </c>
      <c r="K13910" t="s">
        <v>229</v>
      </c>
      <c r="Q13910">
        <v>0</v>
      </c>
      <c r="R13910">
        <v>120</v>
      </c>
      <c r="S13910">
        <v>120</v>
      </c>
      <c r="T13910" t="s">
        <v>49151</v>
      </c>
    </row>
    <row r="13911" spans="1:20" customFormat="1" ht="15" x14ac:dyDescent="0.25">
      <c r="A13911" t="s">
        <v>35</v>
      </c>
      <c r="B13911" t="s">
        <v>61</v>
      </c>
      <c r="C13911" t="str">
        <f>"A0151114"</f>
        <v>A0151114</v>
      </c>
      <c r="D13911" t="s">
        <v>49152</v>
      </c>
      <c r="E13911" t="s">
        <v>49153</v>
      </c>
      <c r="F13911" t="s">
        <v>17235</v>
      </c>
      <c r="G13911" t="s">
        <v>40</v>
      </c>
      <c r="H13911">
        <v>73505</v>
      </c>
      <c r="I13911" t="s">
        <v>30</v>
      </c>
      <c r="J13911" t="s">
        <v>41</v>
      </c>
      <c r="K13911" t="s">
        <v>6300</v>
      </c>
      <c r="Q13911">
        <v>0</v>
      </c>
      <c r="R13911">
        <v>0</v>
      </c>
      <c r="S13911">
        <v>0</v>
      </c>
      <c r="T13911" t="s">
        <v>49154</v>
      </c>
    </row>
    <row r="13912" spans="1:20" customFormat="1" ht="15" x14ac:dyDescent="0.25">
      <c r="A13912" t="s">
        <v>35</v>
      </c>
      <c r="B13912" t="s">
        <v>61</v>
      </c>
      <c r="C13912" t="str">
        <f>"A0132227"</f>
        <v>A0132227</v>
      </c>
      <c r="D13912" t="s">
        <v>49155</v>
      </c>
      <c r="E13912" t="s">
        <v>49156</v>
      </c>
      <c r="F13912" t="s">
        <v>2748</v>
      </c>
      <c r="G13912" t="s">
        <v>65</v>
      </c>
      <c r="H13912">
        <v>43604</v>
      </c>
      <c r="I13912" t="s">
        <v>30</v>
      </c>
      <c r="J13912" t="s">
        <v>41</v>
      </c>
      <c r="K13912" t="s">
        <v>6300</v>
      </c>
      <c r="Q13912">
        <v>0</v>
      </c>
      <c r="R13912">
        <v>0</v>
      </c>
      <c r="S13912">
        <v>0</v>
      </c>
      <c r="T13912" t="s">
        <v>49157</v>
      </c>
    </row>
    <row r="13913" spans="1:20" customFormat="1" ht="15" x14ac:dyDescent="0.25">
      <c r="A13913" t="s">
        <v>35</v>
      </c>
      <c r="B13913" t="s">
        <v>61</v>
      </c>
      <c r="C13913" t="str">
        <f>"A0123113"</f>
        <v>A0123113</v>
      </c>
      <c r="D13913" t="s">
        <v>49158</v>
      </c>
      <c r="E13913" t="s">
        <v>49159</v>
      </c>
      <c r="F13913" t="s">
        <v>1431</v>
      </c>
      <c r="G13913" t="s">
        <v>47</v>
      </c>
      <c r="H13913">
        <v>97266</v>
      </c>
      <c r="I13913" t="s">
        <v>30</v>
      </c>
      <c r="J13913" t="s">
        <v>41</v>
      </c>
      <c r="K13913" t="s">
        <v>59</v>
      </c>
      <c r="Q13913">
        <v>0</v>
      </c>
      <c r="R13913">
        <v>50</v>
      </c>
      <c r="S13913">
        <v>50</v>
      </c>
      <c r="T13913" t="s">
        <v>49160</v>
      </c>
    </row>
    <row r="13914" spans="1:20" customFormat="1" ht="15" x14ac:dyDescent="0.25">
      <c r="A13914" t="s">
        <v>35</v>
      </c>
      <c r="B13914" t="s">
        <v>61</v>
      </c>
      <c r="C13914" t="str">
        <f>"A0127532"</f>
        <v>A0127532</v>
      </c>
      <c r="D13914" t="s">
        <v>49161</v>
      </c>
      <c r="E13914" t="s">
        <v>49162</v>
      </c>
      <c r="F13914" t="s">
        <v>10276</v>
      </c>
      <c r="G13914" t="s">
        <v>846</v>
      </c>
      <c r="H13914">
        <v>30339</v>
      </c>
      <c r="I13914" t="s">
        <v>30</v>
      </c>
      <c r="J13914" t="s">
        <v>41</v>
      </c>
      <c r="K13914" t="s">
        <v>59</v>
      </c>
      <c r="Q13914">
        <v>0</v>
      </c>
      <c r="R13914">
        <v>100</v>
      </c>
      <c r="S13914">
        <v>100</v>
      </c>
      <c r="T13914" t="s">
        <v>49163</v>
      </c>
    </row>
    <row r="13915" spans="1:20" customFormat="1" ht="15" x14ac:dyDescent="0.25">
      <c r="A13915" t="s">
        <v>35</v>
      </c>
      <c r="B13915" t="s">
        <v>61</v>
      </c>
      <c r="C13915" t="str">
        <f>"A0118701"</f>
        <v>A0118701</v>
      </c>
      <c r="D13915" t="s">
        <v>49164</v>
      </c>
      <c r="E13915" t="s">
        <v>49165</v>
      </c>
      <c r="F13915" t="s">
        <v>43995</v>
      </c>
      <c r="G13915" t="s">
        <v>110</v>
      </c>
      <c r="H13915">
        <v>93637</v>
      </c>
      <c r="I13915" t="s">
        <v>30</v>
      </c>
      <c r="J13915" t="s">
        <v>41</v>
      </c>
      <c r="K13915" t="s">
        <v>2760</v>
      </c>
      <c r="Q13915">
        <v>0</v>
      </c>
      <c r="R13915">
        <v>1</v>
      </c>
      <c r="S13915">
        <v>1</v>
      </c>
      <c r="T13915" t="s">
        <v>49166</v>
      </c>
    </row>
    <row r="13916" spans="1:20" customFormat="1" ht="15" x14ac:dyDescent="0.25">
      <c r="A13916" t="s">
        <v>35</v>
      </c>
      <c r="B13916" t="s">
        <v>61</v>
      </c>
      <c r="C13916" t="str">
        <f>"A0117708"</f>
        <v>A0117708</v>
      </c>
      <c r="D13916" t="s">
        <v>49167</v>
      </c>
      <c r="E13916" t="s">
        <v>49168</v>
      </c>
      <c r="F13916" t="s">
        <v>37113</v>
      </c>
      <c r="G13916" t="s">
        <v>110</v>
      </c>
      <c r="H13916">
        <v>93401</v>
      </c>
      <c r="I13916" t="s">
        <v>30</v>
      </c>
      <c r="J13916" t="s">
        <v>41</v>
      </c>
      <c r="K13916" t="s">
        <v>59</v>
      </c>
      <c r="Q13916">
        <v>0</v>
      </c>
      <c r="R13916">
        <v>1</v>
      </c>
      <c r="S13916">
        <v>1</v>
      </c>
      <c r="T13916" t="s">
        <v>49169</v>
      </c>
    </row>
    <row r="13917" spans="1:20" customFormat="1" ht="15" x14ac:dyDescent="0.25">
      <c r="A13917" t="s">
        <v>35</v>
      </c>
      <c r="B13917" t="s">
        <v>61</v>
      </c>
      <c r="C13917" t="str">
        <f>"A0124467"</f>
        <v>A0124467</v>
      </c>
      <c r="D13917" t="s">
        <v>49170</v>
      </c>
      <c r="E13917" t="s">
        <v>45628</v>
      </c>
      <c r="F13917" t="s">
        <v>4227</v>
      </c>
      <c r="G13917" t="s">
        <v>1706</v>
      </c>
      <c r="H13917">
        <v>35611</v>
      </c>
      <c r="I13917" t="s">
        <v>30</v>
      </c>
      <c r="J13917" t="s">
        <v>41</v>
      </c>
      <c r="K13917" t="s">
        <v>229</v>
      </c>
      <c r="Q13917">
        <v>0</v>
      </c>
      <c r="R13917">
        <v>136</v>
      </c>
      <c r="S13917">
        <v>136</v>
      </c>
      <c r="T13917" t="s">
        <v>49171</v>
      </c>
    </row>
    <row r="13918" spans="1:20" customFormat="1" ht="15" x14ac:dyDescent="0.25">
      <c r="A13918" t="s">
        <v>35</v>
      </c>
      <c r="B13918" t="s">
        <v>61</v>
      </c>
      <c r="C13918" t="str">
        <f>"A0128987"</f>
        <v>A0128987</v>
      </c>
      <c r="D13918" t="s">
        <v>49172</v>
      </c>
      <c r="E13918" t="s">
        <v>49173</v>
      </c>
      <c r="F13918" t="s">
        <v>1755</v>
      </c>
      <c r="G13918" t="s">
        <v>289</v>
      </c>
      <c r="H13918">
        <v>62702</v>
      </c>
      <c r="I13918" t="s">
        <v>30</v>
      </c>
      <c r="J13918" t="s">
        <v>41</v>
      </c>
      <c r="K13918" t="s">
        <v>2760</v>
      </c>
      <c r="Q13918">
        <v>0</v>
      </c>
      <c r="R13918">
        <v>1</v>
      </c>
      <c r="S13918">
        <v>1</v>
      </c>
      <c r="T13918" t="s">
        <v>49174</v>
      </c>
    </row>
    <row r="13919" spans="1:20" customFormat="1" ht="15" x14ac:dyDescent="0.25">
      <c r="A13919" t="s">
        <v>35</v>
      </c>
      <c r="B13919" t="s">
        <v>61</v>
      </c>
      <c r="C13919" t="str">
        <f>"A0122557"</f>
        <v>A0122557</v>
      </c>
      <c r="D13919" t="s">
        <v>49175</v>
      </c>
      <c r="E13919" t="s">
        <v>49176</v>
      </c>
      <c r="F13919" t="s">
        <v>41160</v>
      </c>
      <c r="G13919" t="s">
        <v>76</v>
      </c>
      <c r="H13919">
        <v>98260</v>
      </c>
      <c r="I13919" t="s">
        <v>30</v>
      </c>
      <c r="J13919" t="s">
        <v>41</v>
      </c>
      <c r="K13919" t="s">
        <v>6300</v>
      </c>
      <c r="Q13919">
        <v>0</v>
      </c>
      <c r="R13919">
        <v>0</v>
      </c>
      <c r="S13919">
        <v>0</v>
      </c>
      <c r="T13919" t="s">
        <v>49177</v>
      </c>
    </row>
    <row r="13920" spans="1:20" customFormat="1" ht="15" x14ac:dyDescent="0.25">
      <c r="A13920" t="s">
        <v>35</v>
      </c>
      <c r="B13920" t="s">
        <v>61</v>
      </c>
      <c r="C13920" t="str">
        <f>"A0122559"</f>
        <v>A0122559</v>
      </c>
      <c r="D13920" t="s">
        <v>49178</v>
      </c>
      <c r="E13920" t="s">
        <v>49179</v>
      </c>
      <c r="F13920" t="s">
        <v>41160</v>
      </c>
      <c r="G13920" t="s">
        <v>76</v>
      </c>
      <c r="H13920">
        <v>98260</v>
      </c>
      <c r="I13920" t="s">
        <v>30</v>
      </c>
      <c r="J13920" t="s">
        <v>41</v>
      </c>
      <c r="K13920" t="s">
        <v>6300</v>
      </c>
      <c r="Q13920">
        <v>0</v>
      </c>
      <c r="R13920">
        <v>0</v>
      </c>
      <c r="S13920">
        <v>0</v>
      </c>
      <c r="T13920" t="s">
        <v>49180</v>
      </c>
    </row>
    <row r="13921" spans="1:20" customFormat="1" ht="15" x14ac:dyDescent="0.25">
      <c r="A13921" t="s">
        <v>35</v>
      </c>
      <c r="B13921" t="s">
        <v>61</v>
      </c>
      <c r="C13921" t="str">
        <f>"A0122588"</f>
        <v>A0122588</v>
      </c>
      <c r="D13921" t="s">
        <v>49181</v>
      </c>
      <c r="E13921" t="s">
        <v>49182</v>
      </c>
      <c r="F13921" t="s">
        <v>5775</v>
      </c>
      <c r="G13921" t="s">
        <v>76</v>
      </c>
      <c r="H13921">
        <v>98204</v>
      </c>
      <c r="I13921" t="s">
        <v>30</v>
      </c>
      <c r="J13921" t="s">
        <v>41</v>
      </c>
      <c r="K13921" t="s">
        <v>6300</v>
      </c>
      <c r="Q13921">
        <v>0</v>
      </c>
      <c r="R13921">
        <v>1</v>
      </c>
      <c r="S13921">
        <v>1</v>
      </c>
      <c r="T13921" t="s">
        <v>49183</v>
      </c>
    </row>
    <row r="13922" spans="1:20" customFormat="1" ht="15" x14ac:dyDescent="0.25">
      <c r="A13922" t="s">
        <v>35</v>
      </c>
      <c r="B13922" t="s">
        <v>61</v>
      </c>
      <c r="C13922" t="str">
        <f>"A0132721"</f>
        <v>A0132721</v>
      </c>
      <c r="D13922" t="s">
        <v>49184</v>
      </c>
      <c r="E13922" t="s">
        <v>49185</v>
      </c>
      <c r="F13922" t="s">
        <v>2303</v>
      </c>
      <c r="G13922" t="s">
        <v>65</v>
      </c>
      <c r="H13922">
        <v>43950</v>
      </c>
      <c r="I13922" t="s">
        <v>30</v>
      </c>
      <c r="J13922" t="s">
        <v>41</v>
      </c>
      <c r="K13922" t="s">
        <v>59</v>
      </c>
      <c r="Q13922">
        <v>0</v>
      </c>
      <c r="R13922">
        <v>120</v>
      </c>
      <c r="S13922">
        <v>120</v>
      </c>
      <c r="T13922" t="s">
        <v>49186</v>
      </c>
    </row>
    <row r="13923" spans="1:20" customFormat="1" ht="15" x14ac:dyDescent="0.25">
      <c r="A13923" t="s">
        <v>35</v>
      </c>
      <c r="B13923" t="s">
        <v>61</v>
      </c>
      <c r="C13923" t="str">
        <f>"A0127679"</f>
        <v>A0127679</v>
      </c>
      <c r="D13923" t="s">
        <v>49187</v>
      </c>
      <c r="E13923" t="s">
        <v>49188</v>
      </c>
      <c r="F13923" t="s">
        <v>1926</v>
      </c>
      <c r="G13923" t="s">
        <v>117</v>
      </c>
      <c r="H13923">
        <v>48813</v>
      </c>
      <c r="I13923" t="s">
        <v>30</v>
      </c>
      <c r="J13923" t="s">
        <v>41</v>
      </c>
      <c r="K13923" t="s">
        <v>1032</v>
      </c>
      <c r="Q13923">
        <v>0</v>
      </c>
      <c r="R13923">
        <v>39</v>
      </c>
      <c r="S13923">
        <v>39</v>
      </c>
      <c r="T13923" t="s">
        <v>49189</v>
      </c>
    </row>
    <row r="13924" spans="1:20" customFormat="1" ht="15" x14ac:dyDescent="0.25">
      <c r="A13924" t="s">
        <v>35</v>
      </c>
      <c r="B13924" t="s">
        <v>61</v>
      </c>
      <c r="C13924" t="str">
        <f>"A0129948"</f>
        <v>A0129948</v>
      </c>
      <c r="D13924" t="s">
        <v>49190</v>
      </c>
      <c r="E13924" t="s">
        <v>49191</v>
      </c>
      <c r="F13924" t="s">
        <v>9143</v>
      </c>
      <c r="G13924" t="s">
        <v>880</v>
      </c>
      <c r="H13924">
        <v>37347</v>
      </c>
      <c r="I13924" t="s">
        <v>30</v>
      </c>
      <c r="J13924" t="s">
        <v>41</v>
      </c>
      <c r="K13924" t="s">
        <v>39685</v>
      </c>
      <c r="Q13924">
        <v>0</v>
      </c>
      <c r="R13924">
        <v>0</v>
      </c>
      <c r="S13924">
        <v>0</v>
      </c>
      <c r="T13924" t="s">
        <v>49192</v>
      </c>
    </row>
    <row r="13925" spans="1:20" customFormat="1" ht="15" x14ac:dyDescent="0.25">
      <c r="A13925" t="s">
        <v>35</v>
      </c>
      <c r="B13925" t="s">
        <v>20462</v>
      </c>
      <c r="C13925" t="str">
        <f>"A0118587"</f>
        <v>A0118587</v>
      </c>
      <c r="D13925" t="s">
        <v>49193</v>
      </c>
      <c r="E13925" t="s">
        <v>49194</v>
      </c>
      <c r="F13925" t="s">
        <v>49195</v>
      </c>
      <c r="G13925" t="s">
        <v>110</v>
      </c>
      <c r="H13925">
        <v>94028</v>
      </c>
      <c r="I13925" t="s">
        <v>30</v>
      </c>
      <c r="J13925" t="s">
        <v>41</v>
      </c>
      <c r="K13925" t="s">
        <v>11521</v>
      </c>
      <c r="Q13925">
        <v>0</v>
      </c>
      <c r="R13925">
        <v>100</v>
      </c>
      <c r="S13925">
        <v>100</v>
      </c>
      <c r="T13925" t="s">
        <v>49196</v>
      </c>
    </row>
    <row r="13926" spans="1:20" customFormat="1" ht="15" x14ac:dyDescent="0.25">
      <c r="A13926" t="s">
        <v>35</v>
      </c>
      <c r="B13926" t="s">
        <v>61</v>
      </c>
      <c r="C13926" t="str">
        <f>"A0125453"</f>
        <v>A0125453</v>
      </c>
      <c r="D13926" t="s">
        <v>49197</v>
      </c>
      <c r="E13926" t="s">
        <v>49198</v>
      </c>
      <c r="F13926" t="s">
        <v>49199</v>
      </c>
      <c r="G13926" t="s">
        <v>40</v>
      </c>
      <c r="H13926">
        <v>74954</v>
      </c>
      <c r="I13926" t="s">
        <v>30</v>
      </c>
      <c r="J13926" t="s">
        <v>41</v>
      </c>
      <c r="K13926" t="s">
        <v>229</v>
      </c>
      <c r="Q13926">
        <v>0</v>
      </c>
      <c r="R13926">
        <v>80</v>
      </c>
      <c r="S13926">
        <v>80</v>
      </c>
      <c r="T13926" t="s">
        <v>49200</v>
      </c>
    </row>
    <row r="13927" spans="1:20" customFormat="1" ht="15" x14ac:dyDescent="0.25">
      <c r="A13927" t="s">
        <v>35</v>
      </c>
      <c r="B13927" t="s">
        <v>61</v>
      </c>
      <c r="C13927" t="str">
        <f>"A0125449"</f>
        <v>A0125449</v>
      </c>
      <c r="D13927" t="s">
        <v>49201</v>
      </c>
      <c r="E13927" t="s">
        <v>49202</v>
      </c>
      <c r="F13927" t="s">
        <v>49203</v>
      </c>
      <c r="G13927" t="s">
        <v>40</v>
      </c>
      <c r="H13927">
        <v>74955</v>
      </c>
      <c r="I13927" t="s">
        <v>30</v>
      </c>
      <c r="J13927" t="s">
        <v>41</v>
      </c>
      <c r="K13927" t="s">
        <v>229</v>
      </c>
      <c r="Q13927">
        <v>0</v>
      </c>
      <c r="R13927">
        <v>102</v>
      </c>
      <c r="S13927">
        <v>102</v>
      </c>
      <c r="T13927" t="s">
        <v>49204</v>
      </c>
    </row>
    <row r="13928" spans="1:20" customFormat="1" ht="15" x14ac:dyDescent="0.25">
      <c r="A13928" t="s">
        <v>35</v>
      </c>
      <c r="B13928" t="s">
        <v>61</v>
      </c>
      <c r="C13928" t="str">
        <f>"A0118466"</f>
        <v>A0118466</v>
      </c>
      <c r="D13928" t="s">
        <v>49205</v>
      </c>
      <c r="E13928" t="s">
        <v>49206</v>
      </c>
      <c r="F13928" t="s">
        <v>24578</v>
      </c>
      <c r="G13928" t="s">
        <v>110</v>
      </c>
      <c r="H13928">
        <v>94559</v>
      </c>
      <c r="I13928" t="s">
        <v>30</v>
      </c>
      <c r="J13928" t="s">
        <v>41</v>
      </c>
      <c r="K13928" t="s">
        <v>59</v>
      </c>
      <c r="Q13928">
        <v>0</v>
      </c>
      <c r="R13928">
        <v>70</v>
      </c>
      <c r="S13928">
        <v>70</v>
      </c>
      <c r="T13928" t="s">
        <v>49207</v>
      </c>
    </row>
    <row r="13929" spans="1:20" customFormat="1" ht="15" x14ac:dyDescent="0.25">
      <c r="A13929" t="s">
        <v>35</v>
      </c>
      <c r="B13929" t="s">
        <v>61</v>
      </c>
      <c r="C13929" t="str">
        <f>"A0129914"</f>
        <v>A0129914</v>
      </c>
      <c r="D13929" t="s">
        <v>49208</v>
      </c>
      <c r="E13929" t="s">
        <v>49209</v>
      </c>
      <c r="F13929" t="s">
        <v>3657</v>
      </c>
      <c r="G13929" t="s">
        <v>880</v>
      </c>
      <c r="H13929">
        <v>379177194</v>
      </c>
      <c r="I13929" t="s">
        <v>30</v>
      </c>
      <c r="J13929" t="s">
        <v>41</v>
      </c>
      <c r="K13929" t="s">
        <v>229</v>
      </c>
      <c r="Q13929">
        <v>0</v>
      </c>
      <c r="R13929">
        <v>73</v>
      </c>
      <c r="S13929">
        <v>73</v>
      </c>
      <c r="T13929" t="s">
        <v>49210</v>
      </c>
    </row>
    <row r="13930" spans="1:20" customFormat="1" ht="15" x14ac:dyDescent="0.25">
      <c r="A13930" t="s">
        <v>35</v>
      </c>
      <c r="B13930" t="s">
        <v>61</v>
      </c>
      <c r="C13930" t="str">
        <f>"A0127405"</f>
        <v>A0127405</v>
      </c>
      <c r="D13930" t="s">
        <v>49211</v>
      </c>
      <c r="E13930" t="s">
        <v>49212</v>
      </c>
      <c r="F13930" t="s">
        <v>5688</v>
      </c>
      <c r="G13930" t="s">
        <v>846</v>
      </c>
      <c r="H13930">
        <v>30067</v>
      </c>
      <c r="I13930" t="s">
        <v>30</v>
      </c>
      <c r="J13930" t="s">
        <v>41</v>
      </c>
      <c r="K13930" t="s">
        <v>456</v>
      </c>
      <c r="Q13930">
        <v>0</v>
      </c>
      <c r="R13930">
        <v>0</v>
      </c>
      <c r="S13930">
        <v>0</v>
      </c>
      <c r="T13930" t="s">
        <v>49213</v>
      </c>
    </row>
    <row r="13931" spans="1:20" customFormat="1" ht="15" x14ac:dyDescent="0.25">
      <c r="A13931" t="s">
        <v>35</v>
      </c>
      <c r="B13931" t="s">
        <v>61</v>
      </c>
      <c r="C13931" t="str">
        <f>"A0150788"</f>
        <v>A0150788</v>
      </c>
      <c r="D13931" t="s">
        <v>49214</v>
      </c>
      <c r="E13931" t="s">
        <v>49215</v>
      </c>
      <c r="F13931" t="s">
        <v>12489</v>
      </c>
      <c r="G13931" t="s">
        <v>110</v>
      </c>
      <c r="H13931">
        <v>96001</v>
      </c>
      <c r="I13931" t="s">
        <v>30</v>
      </c>
      <c r="J13931" t="s">
        <v>41</v>
      </c>
      <c r="K13931" t="s">
        <v>482</v>
      </c>
      <c r="Q13931">
        <v>0</v>
      </c>
      <c r="R13931">
        <v>58</v>
      </c>
      <c r="S13931">
        <v>58</v>
      </c>
      <c r="T13931" t="s">
        <v>49216</v>
      </c>
    </row>
    <row r="13932" spans="1:20" customFormat="1" ht="15" x14ac:dyDescent="0.25">
      <c r="A13932" t="s">
        <v>35</v>
      </c>
      <c r="B13932" t="s">
        <v>61</v>
      </c>
      <c r="C13932" t="str">
        <f>"A0123056"</f>
        <v>A0123056</v>
      </c>
      <c r="D13932" t="s">
        <v>49217</v>
      </c>
      <c r="E13932" t="s">
        <v>49218</v>
      </c>
      <c r="F13932" t="s">
        <v>37952</v>
      </c>
      <c r="G13932" t="s">
        <v>433</v>
      </c>
      <c r="H13932">
        <v>83301</v>
      </c>
      <c r="I13932" t="s">
        <v>30</v>
      </c>
      <c r="J13932" t="s">
        <v>41</v>
      </c>
      <c r="K13932" t="s">
        <v>229</v>
      </c>
      <c r="Q13932">
        <v>0</v>
      </c>
      <c r="R13932">
        <v>90</v>
      </c>
      <c r="S13932">
        <v>90</v>
      </c>
      <c r="T13932" t="s">
        <v>49219</v>
      </c>
    </row>
    <row r="13933" spans="1:20" customFormat="1" ht="15" x14ac:dyDescent="0.25">
      <c r="A13933" t="s">
        <v>35</v>
      </c>
      <c r="B13933" t="s">
        <v>61</v>
      </c>
      <c r="C13933" t="str">
        <f>"A0123912"</f>
        <v>A0123912</v>
      </c>
      <c r="D13933" t="s">
        <v>13404</v>
      </c>
      <c r="E13933" t="s">
        <v>49220</v>
      </c>
      <c r="F13933" t="s">
        <v>14745</v>
      </c>
      <c r="G13933" t="s">
        <v>214</v>
      </c>
      <c r="H13933">
        <v>28025</v>
      </c>
      <c r="I13933" t="s">
        <v>30</v>
      </c>
      <c r="J13933" t="s">
        <v>41</v>
      </c>
      <c r="K13933" t="s">
        <v>59</v>
      </c>
      <c r="Q13933">
        <v>0</v>
      </c>
      <c r="R13933">
        <v>55</v>
      </c>
      <c r="S13933">
        <v>55</v>
      </c>
      <c r="T13933" t="s">
        <v>49221</v>
      </c>
    </row>
    <row r="13934" spans="1:20" customFormat="1" ht="15" x14ac:dyDescent="0.25">
      <c r="A13934" t="s">
        <v>35</v>
      </c>
      <c r="B13934" t="s">
        <v>61</v>
      </c>
      <c r="C13934" t="str">
        <f>"A0133743"</f>
        <v>A0133743</v>
      </c>
      <c r="D13934" t="s">
        <v>49222</v>
      </c>
      <c r="E13934" t="s">
        <v>49223</v>
      </c>
      <c r="F13934" t="s">
        <v>22899</v>
      </c>
      <c r="G13934" t="s">
        <v>52</v>
      </c>
      <c r="H13934">
        <v>77515</v>
      </c>
      <c r="I13934" t="s">
        <v>30</v>
      </c>
      <c r="J13934" t="s">
        <v>41</v>
      </c>
      <c r="K13934" t="s">
        <v>418</v>
      </c>
      <c r="Q13934">
        <v>0</v>
      </c>
      <c r="R13934">
        <v>62</v>
      </c>
      <c r="S13934">
        <v>62</v>
      </c>
      <c r="T13934" t="s">
        <v>49224</v>
      </c>
    </row>
    <row r="13935" spans="1:20" customFormat="1" ht="15" x14ac:dyDescent="0.25">
      <c r="A13935" t="s">
        <v>35</v>
      </c>
      <c r="B13935" t="s">
        <v>61</v>
      </c>
      <c r="C13935" t="str">
        <f>"A0150656"</f>
        <v>A0150656</v>
      </c>
      <c r="D13935" t="s">
        <v>49225</v>
      </c>
      <c r="E13935" t="s">
        <v>49226</v>
      </c>
      <c r="F13935" t="s">
        <v>5240</v>
      </c>
      <c r="G13935" t="s">
        <v>52</v>
      </c>
      <c r="H13935">
        <v>78247</v>
      </c>
      <c r="I13935" t="s">
        <v>30</v>
      </c>
      <c r="J13935" t="s">
        <v>41</v>
      </c>
      <c r="K13935" t="s">
        <v>482</v>
      </c>
      <c r="Q13935">
        <v>0</v>
      </c>
      <c r="R13935">
        <v>7</v>
      </c>
      <c r="S13935">
        <v>7</v>
      </c>
      <c r="T13935" t="s">
        <v>36920</v>
      </c>
    </row>
    <row r="13936" spans="1:20" customFormat="1" ht="15" x14ac:dyDescent="0.25">
      <c r="A13936" t="s">
        <v>35</v>
      </c>
      <c r="B13936" t="s">
        <v>61</v>
      </c>
      <c r="C13936" t="str">
        <f>"A0154306"</f>
        <v>A0154306</v>
      </c>
      <c r="D13936" t="s">
        <v>49227</v>
      </c>
      <c r="E13936" t="s">
        <v>49228</v>
      </c>
      <c r="F13936" t="s">
        <v>1775</v>
      </c>
      <c r="G13936" t="s">
        <v>117</v>
      </c>
      <c r="H13936">
        <v>48602</v>
      </c>
      <c r="I13936" t="s">
        <v>30</v>
      </c>
      <c r="J13936" t="s">
        <v>41</v>
      </c>
      <c r="K13936" t="s">
        <v>59</v>
      </c>
      <c r="Q13936">
        <v>0</v>
      </c>
      <c r="R13936">
        <v>105</v>
      </c>
      <c r="S13936">
        <v>105</v>
      </c>
      <c r="T13936" t="s">
        <v>49229</v>
      </c>
    </row>
    <row r="13937" spans="1:20" customFormat="1" ht="15" x14ac:dyDescent="0.25">
      <c r="A13937" t="s">
        <v>35</v>
      </c>
      <c r="B13937" t="s">
        <v>61</v>
      </c>
      <c r="C13937" t="str">
        <f>"A0152997"</f>
        <v>A0152997</v>
      </c>
      <c r="D13937" t="s">
        <v>49230</v>
      </c>
      <c r="E13937" t="s">
        <v>49231</v>
      </c>
      <c r="F13937" t="s">
        <v>49232</v>
      </c>
      <c r="G13937" t="s">
        <v>161</v>
      </c>
      <c r="H13937">
        <v>56293</v>
      </c>
      <c r="I13937" t="s">
        <v>30</v>
      </c>
      <c r="J13937" t="s">
        <v>41</v>
      </c>
      <c r="K13937" t="s">
        <v>229</v>
      </c>
      <c r="Q13937">
        <v>0</v>
      </c>
      <c r="R13937">
        <v>15</v>
      </c>
      <c r="S13937">
        <v>15</v>
      </c>
      <c r="T13937" t="s">
        <v>49233</v>
      </c>
    </row>
    <row r="13938" spans="1:20" customFormat="1" ht="15" x14ac:dyDescent="0.25">
      <c r="A13938" t="s">
        <v>35</v>
      </c>
      <c r="B13938" t="s">
        <v>61</v>
      </c>
      <c r="C13938" t="str">
        <f>"A0150869"</f>
        <v>A0150869</v>
      </c>
      <c r="D13938" t="s">
        <v>49234</v>
      </c>
      <c r="E13938" t="s">
        <v>49235</v>
      </c>
      <c r="F13938" t="s">
        <v>41203</v>
      </c>
      <c r="G13938" t="s">
        <v>289</v>
      </c>
      <c r="H13938">
        <v>61739</v>
      </c>
      <c r="I13938" t="s">
        <v>30</v>
      </c>
      <c r="J13938" t="s">
        <v>41</v>
      </c>
      <c r="K13938" t="s">
        <v>1032</v>
      </c>
      <c r="Q13938">
        <v>0</v>
      </c>
      <c r="R13938">
        <v>22</v>
      </c>
      <c r="S13938">
        <v>22</v>
      </c>
      <c r="T13938" t="s">
        <v>49236</v>
      </c>
    </row>
    <row r="13939" spans="1:20" customFormat="1" ht="15" x14ac:dyDescent="0.25">
      <c r="A13939" t="s">
        <v>35</v>
      </c>
      <c r="B13939" t="s">
        <v>437</v>
      </c>
      <c r="C13939" t="str">
        <f>"A0134053"</f>
        <v>A0134053</v>
      </c>
      <c r="D13939" t="s">
        <v>49237</v>
      </c>
      <c r="E13939" t="s">
        <v>49238</v>
      </c>
      <c r="F13939" t="s">
        <v>6992</v>
      </c>
      <c r="G13939" t="s">
        <v>110</v>
      </c>
      <c r="H13939">
        <v>92663</v>
      </c>
      <c r="I13939" t="s">
        <v>30</v>
      </c>
      <c r="J13939" t="s">
        <v>441</v>
      </c>
      <c r="K13939" t="s">
        <v>442</v>
      </c>
      <c r="Q13939">
        <v>0</v>
      </c>
      <c r="R13939">
        <v>0</v>
      </c>
      <c r="S13939">
        <v>0</v>
      </c>
      <c r="T13939" t="s">
        <v>49239</v>
      </c>
    </row>
    <row r="13940" spans="1:20" customFormat="1" ht="15" x14ac:dyDescent="0.25">
      <c r="A13940" t="s">
        <v>35</v>
      </c>
      <c r="B13940" t="s">
        <v>61</v>
      </c>
      <c r="C13940" t="str">
        <f>"A0123914"</f>
        <v>A0123914</v>
      </c>
      <c r="D13940" t="s">
        <v>49240</v>
      </c>
      <c r="E13940" t="s">
        <v>49241</v>
      </c>
      <c r="F13940" t="s">
        <v>1795</v>
      </c>
      <c r="G13940" t="s">
        <v>29</v>
      </c>
      <c r="H13940">
        <v>23223</v>
      </c>
      <c r="I13940" t="s">
        <v>30</v>
      </c>
      <c r="J13940" t="s">
        <v>41</v>
      </c>
      <c r="K13940" t="s">
        <v>229</v>
      </c>
      <c r="Q13940">
        <v>0</v>
      </c>
      <c r="R13940">
        <v>169</v>
      </c>
      <c r="S13940">
        <v>169</v>
      </c>
      <c r="T13940" t="s">
        <v>49242</v>
      </c>
    </row>
    <row r="13941" spans="1:20" customFormat="1" ht="15" x14ac:dyDescent="0.25">
      <c r="A13941" t="s">
        <v>35</v>
      </c>
      <c r="B13941" t="s">
        <v>61</v>
      </c>
      <c r="C13941" t="str">
        <f>"A0118132"</f>
        <v>A0118132</v>
      </c>
      <c r="D13941" t="s">
        <v>49243</v>
      </c>
      <c r="E13941" t="s">
        <v>49244</v>
      </c>
      <c r="F13941" t="s">
        <v>41694</v>
      </c>
      <c r="G13941" t="s">
        <v>433</v>
      </c>
      <c r="H13941">
        <v>83854</v>
      </c>
      <c r="I13941" t="s">
        <v>30</v>
      </c>
      <c r="J13941" t="s">
        <v>41</v>
      </c>
      <c r="K13941" t="s">
        <v>59</v>
      </c>
      <c r="Q13941">
        <v>0</v>
      </c>
      <c r="R13941">
        <v>79</v>
      </c>
      <c r="S13941">
        <v>79</v>
      </c>
      <c r="T13941" t="s">
        <v>49245</v>
      </c>
    </row>
    <row r="13942" spans="1:20" customFormat="1" ht="15" x14ac:dyDescent="0.25">
      <c r="A13942" t="s">
        <v>35</v>
      </c>
      <c r="B13942" t="s">
        <v>61</v>
      </c>
      <c r="C13942" t="str">
        <f>"A0131086"</f>
        <v>A0131086</v>
      </c>
      <c r="D13942" t="s">
        <v>49246</v>
      </c>
      <c r="E13942" t="s">
        <v>49247</v>
      </c>
      <c r="F13942" t="s">
        <v>49248</v>
      </c>
      <c r="G13942" t="s">
        <v>85</v>
      </c>
      <c r="H13942">
        <v>72543</v>
      </c>
      <c r="I13942" t="s">
        <v>30</v>
      </c>
      <c r="J13942" t="s">
        <v>41</v>
      </c>
      <c r="K13942" t="s">
        <v>229</v>
      </c>
      <c r="Q13942">
        <v>0</v>
      </c>
      <c r="R13942">
        <v>140</v>
      </c>
      <c r="S13942">
        <v>140</v>
      </c>
      <c r="T13942" t="s">
        <v>33798</v>
      </c>
    </row>
    <row r="13943" spans="1:20" customFormat="1" ht="15" x14ac:dyDescent="0.25">
      <c r="A13943" t="s">
        <v>35</v>
      </c>
      <c r="B13943" t="s">
        <v>61</v>
      </c>
      <c r="C13943" t="str">
        <f>"A0129935"</f>
        <v>A0129935</v>
      </c>
      <c r="D13943" t="s">
        <v>49249</v>
      </c>
      <c r="E13943" t="s">
        <v>49250</v>
      </c>
      <c r="F13943" t="s">
        <v>41563</v>
      </c>
      <c r="G13943" t="s">
        <v>880</v>
      </c>
      <c r="H13943">
        <v>37862</v>
      </c>
      <c r="I13943" t="s">
        <v>30</v>
      </c>
      <c r="J13943" t="s">
        <v>41</v>
      </c>
      <c r="K13943" t="s">
        <v>229</v>
      </c>
      <c r="Q13943">
        <v>0</v>
      </c>
      <c r="R13943">
        <v>149</v>
      </c>
      <c r="S13943">
        <v>149</v>
      </c>
      <c r="T13943" t="s">
        <v>49251</v>
      </c>
    </row>
    <row r="13944" spans="1:20" customFormat="1" ht="15" x14ac:dyDescent="0.25">
      <c r="A13944" t="s">
        <v>35</v>
      </c>
      <c r="B13944" t="s">
        <v>437</v>
      </c>
      <c r="C13944" t="str">
        <f>"A0134032"</f>
        <v>A0134032</v>
      </c>
      <c r="D13944" t="s">
        <v>49252</v>
      </c>
      <c r="E13944" t="s">
        <v>49253</v>
      </c>
      <c r="F13944" t="s">
        <v>7661</v>
      </c>
      <c r="G13944" t="s">
        <v>99</v>
      </c>
      <c r="H13944">
        <v>13480</v>
      </c>
      <c r="I13944" t="s">
        <v>30</v>
      </c>
      <c r="J13944" t="s">
        <v>441</v>
      </c>
      <c r="K13944" t="s">
        <v>442</v>
      </c>
      <c r="Q13944">
        <v>0</v>
      </c>
      <c r="R13944">
        <v>0</v>
      </c>
      <c r="S13944">
        <v>0</v>
      </c>
      <c r="T13944" t="s">
        <v>7662</v>
      </c>
    </row>
    <row r="13945" spans="1:20" customFormat="1" ht="15" x14ac:dyDescent="0.25">
      <c r="A13945" t="s">
        <v>35</v>
      </c>
      <c r="B13945" t="s">
        <v>61</v>
      </c>
      <c r="C13945" t="str">
        <f>"A0131450"</f>
        <v>A0131450</v>
      </c>
      <c r="D13945" t="s">
        <v>49254</v>
      </c>
      <c r="E13945" t="s">
        <v>49255</v>
      </c>
      <c r="F13945" t="s">
        <v>7801</v>
      </c>
      <c r="G13945" t="s">
        <v>137</v>
      </c>
      <c r="H13945">
        <v>64485</v>
      </c>
      <c r="I13945" t="s">
        <v>30</v>
      </c>
      <c r="J13945" t="s">
        <v>41</v>
      </c>
      <c r="K13945" t="s">
        <v>229</v>
      </c>
      <c r="Q13945">
        <v>0</v>
      </c>
      <c r="R13945">
        <v>105</v>
      </c>
      <c r="S13945">
        <v>105</v>
      </c>
      <c r="T13945" t="s">
        <v>49256</v>
      </c>
    </row>
    <row r="13946" spans="1:20" customFormat="1" ht="15" x14ac:dyDescent="0.25">
      <c r="A13946" t="s">
        <v>35</v>
      </c>
      <c r="B13946" t="s">
        <v>61</v>
      </c>
      <c r="C13946" t="str">
        <f>"A0131135"</f>
        <v>A0131135</v>
      </c>
      <c r="D13946" t="s">
        <v>49257</v>
      </c>
      <c r="E13946" t="s">
        <v>49258</v>
      </c>
      <c r="F13946" t="s">
        <v>47454</v>
      </c>
      <c r="G13946" t="s">
        <v>137</v>
      </c>
      <c r="H13946">
        <v>636010000</v>
      </c>
      <c r="I13946" t="s">
        <v>30</v>
      </c>
      <c r="J13946" t="s">
        <v>41</v>
      </c>
      <c r="K13946" t="s">
        <v>229</v>
      </c>
      <c r="Q13946">
        <v>0</v>
      </c>
      <c r="R13946">
        <v>60</v>
      </c>
      <c r="S13946">
        <v>60</v>
      </c>
      <c r="T13946" t="s">
        <v>49259</v>
      </c>
    </row>
    <row r="13947" spans="1:20" customFormat="1" ht="15" x14ac:dyDescent="0.25">
      <c r="A13947" t="s">
        <v>35</v>
      </c>
      <c r="B13947" t="s">
        <v>61</v>
      </c>
      <c r="C13947" t="str">
        <f>"A0124915"</f>
        <v>A0124915</v>
      </c>
      <c r="D13947" t="s">
        <v>49260</v>
      </c>
      <c r="E13947" t="s">
        <v>49261</v>
      </c>
      <c r="F13947" t="s">
        <v>13957</v>
      </c>
      <c r="G13947" t="s">
        <v>214</v>
      </c>
      <c r="H13947">
        <v>27282</v>
      </c>
      <c r="I13947" t="s">
        <v>30</v>
      </c>
      <c r="J13947" t="s">
        <v>41</v>
      </c>
      <c r="K13947" t="s">
        <v>229</v>
      </c>
      <c r="Q13947">
        <v>0</v>
      </c>
      <c r="R13947">
        <v>150</v>
      </c>
      <c r="S13947">
        <v>150</v>
      </c>
      <c r="T13947" t="s">
        <v>48315</v>
      </c>
    </row>
    <row r="13948" spans="1:20" customFormat="1" ht="15" x14ac:dyDescent="0.25">
      <c r="A13948" t="s">
        <v>35</v>
      </c>
      <c r="B13948" t="s">
        <v>61</v>
      </c>
      <c r="C13948" t="str">
        <f>"A0118055"</f>
        <v>A0118055</v>
      </c>
      <c r="D13948" t="s">
        <v>49262</v>
      </c>
      <c r="E13948" t="s">
        <v>49263</v>
      </c>
      <c r="F13948" t="s">
        <v>27080</v>
      </c>
      <c r="G13948" t="s">
        <v>190</v>
      </c>
      <c r="H13948">
        <v>81004</v>
      </c>
      <c r="I13948" t="s">
        <v>30</v>
      </c>
      <c r="J13948" t="s">
        <v>41</v>
      </c>
      <c r="K13948" t="s">
        <v>229</v>
      </c>
      <c r="Q13948">
        <v>0</v>
      </c>
      <c r="R13948">
        <v>0</v>
      </c>
      <c r="S13948">
        <v>144</v>
      </c>
      <c r="T13948" t="s">
        <v>49264</v>
      </c>
    </row>
    <row r="13949" spans="1:20" customFormat="1" ht="15" x14ac:dyDescent="0.25">
      <c r="A13949" t="s">
        <v>35</v>
      </c>
      <c r="B13949" t="s">
        <v>61</v>
      </c>
      <c r="C13949" t="str">
        <f>"A0122838"</f>
        <v>A0122838</v>
      </c>
      <c r="D13949" t="s">
        <v>49265</v>
      </c>
      <c r="E13949" t="s">
        <v>49266</v>
      </c>
      <c r="F13949" t="s">
        <v>1054</v>
      </c>
      <c r="G13949" t="s">
        <v>76</v>
      </c>
      <c r="H13949">
        <v>98531</v>
      </c>
      <c r="I13949" t="s">
        <v>30</v>
      </c>
      <c r="J13949" t="s">
        <v>41</v>
      </c>
      <c r="K13949" t="s">
        <v>229</v>
      </c>
      <c r="Q13949">
        <v>0</v>
      </c>
      <c r="R13949">
        <v>109</v>
      </c>
      <c r="S13949">
        <v>109</v>
      </c>
      <c r="T13949" t="s">
        <v>49267</v>
      </c>
    </row>
    <row r="13950" spans="1:20" customFormat="1" ht="15" x14ac:dyDescent="0.25">
      <c r="A13950" t="s">
        <v>35</v>
      </c>
      <c r="B13950" t="s">
        <v>61</v>
      </c>
      <c r="C13950" t="str">
        <f>"A0118331"</f>
        <v>A0118331</v>
      </c>
      <c r="D13950" t="s">
        <v>49268</v>
      </c>
      <c r="E13950" t="s">
        <v>49269</v>
      </c>
      <c r="F13950" t="s">
        <v>49270</v>
      </c>
      <c r="G13950" t="s">
        <v>110</v>
      </c>
      <c r="H13950">
        <v>960940000</v>
      </c>
      <c r="I13950" t="s">
        <v>30</v>
      </c>
      <c r="J13950" t="s">
        <v>41</v>
      </c>
      <c r="K13950" t="s">
        <v>229</v>
      </c>
      <c r="Q13950">
        <v>0</v>
      </c>
      <c r="R13950">
        <v>50</v>
      </c>
      <c r="S13950">
        <v>50</v>
      </c>
      <c r="T13950" t="s">
        <v>49271</v>
      </c>
    </row>
    <row r="13951" spans="1:20" customFormat="1" ht="15" x14ac:dyDescent="0.25">
      <c r="A13951" t="s">
        <v>35</v>
      </c>
      <c r="B13951" t="s">
        <v>61</v>
      </c>
      <c r="C13951" t="str">
        <f>"A0124620"</f>
        <v>A0124620</v>
      </c>
      <c r="D13951" t="s">
        <v>49272</v>
      </c>
      <c r="E13951" t="s">
        <v>49273</v>
      </c>
      <c r="F13951" t="s">
        <v>49274</v>
      </c>
      <c r="G13951" t="s">
        <v>1369</v>
      </c>
      <c r="H13951">
        <v>38860</v>
      </c>
      <c r="I13951" t="s">
        <v>30</v>
      </c>
      <c r="J13951" t="s">
        <v>41</v>
      </c>
      <c r="K13951" t="s">
        <v>229</v>
      </c>
      <c r="Q13951">
        <v>0</v>
      </c>
      <c r="R13951">
        <v>73</v>
      </c>
      <c r="S13951">
        <v>73</v>
      </c>
      <c r="T13951" t="s">
        <v>49275</v>
      </c>
    </row>
    <row r="13952" spans="1:20" customFormat="1" ht="15" x14ac:dyDescent="0.25">
      <c r="A13952" t="s">
        <v>35</v>
      </c>
      <c r="B13952" t="s">
        <v>61</v>
      </c>
      <c r="C13952" t="str">
        <f>"A0130329"</f>
        <v>A0130329</v>
      </c>
      <c r="D13952" t="s">
        <v>49276</v>
      </c>
      <c r="E13952" t="s">
        <v>49277</v>
      </c>
      <c r="F13952" t="s">
        <v>1710</v>
      </c>
      <c r="G13952" t="s">
        <v>1898</v>
      </c>
      <c r="H13952">
        <v>50475</v>
      </c>
      <c r="I13952" t="s">
        <v>30</v>
      </c>
      <c r="J13952" t="s">
        <v>41</v>
      </c>
      <c r="K13952" t="s">
        <v>229</v>
      </c>
      <c r="Q13952">
        <v>0</v>
      </c>
      <c r="R13952">
        <v>56</v>
      </c>
      <c r="S13952">
        <v>56</v>
      </c>
      <c r="T13952" t="s">
        <v>49278</v>
      </c>
    </row>
    <row r="13953" spans="1:20" customFormat="1" ht="15" x14ac:dyDescent="0.25">
      <c r="A13953" t="s">
        <v>35</v>
      </c>
      <c r="B13953" t="s">
        <v>61</v>
      </c>
      <c r="C13953" t="str">
        <f>"A0124518"</f>
        <v>A0124518</v>
      </c>
      <c r="D13953" t="s">
        <v>49279</v>
      </c>
      <c r="E13953" t="s">
        <v>49280</v>
      </c>
      <c r="F13953" t="s">
        <v>49281</v>
      </c>
      <c r="G13953" t="s">
        <v>1706</v>
      </c>
      <c r="H13953">
        <v>350070000</v>
      </c>
      <c r="I13953" t="s">
        <v>30</v>
      </c>
      <c r="J13953" t="s">
        <v>41</v>
      </c>
      <c r="K13953" t="s">
        <v>229</v>
      </c>
      <c r="Q13953">
        <v>0</v>
      </c>
      <c r="R13953">
        <v>113</v>
      </c>
      <c r="S13953">
        <v>113</v>
      </c>
      <c r="T13953" t="s">
        <v>49282</v>
      </c>
    </row>
    <row r="13954" spans="1:20" customFormat="1" ht="15" x14ac:dyDescent="0.25">
      <c r="A13954" t="s">
        <v>35</v>
      </c>
      <c r="B13954" t="s">
        <v>61</v>
      </c>
      <c r="C13954" t="str">
        <f>"A0129003"</f>
        <v>A0129003</v>
      </c>
      <c r="D13954" t="s">
        <v>49283</v>
      </c>
      <c r="E13954" t="s">
        <v>49284</v>
      </c>
      <c r="F13954" t="s">
        <v>4098</v>
      </c>
      <c r="G13954" t="s">
        <v>289</v>
      </c>
      <c r="H13954">
        <v>60098</v>
      </c>
      <c r="I13954" t="s">
        <v>30</v>
      </c>
      <c r="J13954" t="s">
        <v>41</v>
      </c>
      <c r="K13954" t="s">
        <v>229</v>
      </c>
      <c r="Q13954">
        <v>0</v>
      </c>
      <c r="R13954">
        <v>94</v>
      </c>
      <c r="S13954">
        <v>94</v>
      </c>
      <c r="T13954" t="s">
        <v>49285</v>
      </c>
    </row>
    <row r="13955" spans="1:20" customFormat="1" ht="15" x14ac:dyDescent="0.25">
      <c r="A13955" t="s">
        <v>35</v>
      </c>
      <c r="B13955" t="s">
        <v>61</v>
      </c>
      <c r="C13955" t="str">
        <f>"A0153049"</f>
        <v>A0153049</v>
      </c>
      <c r="D13955" t="s">
        <v>49286</v>
      </c>
      <c r="E13955" t="s">
        <v>49287</v>
      </c>
      <c r="F13955" t="s">
        <v>3661</v>
      </c>
      <c r="G13955" t="s">
        <v>65</v>
      </c>
      <c r="H13955">
        <v>45203</v>
      </c>
      <c r="I13955" t="s">
        <v>30</v>
      </c>
      <c r="J13955" t="s">
        <v>41</v>
      </c>
      <c r="K13955" t="s">
        <v>2477</v>
      </c>
      <c r="Q13955">
        <v>0</v>
      </c>
      <c r="R13955">
        <v>0</v>
      </c>
      <c r="S13955">
        <v>0</v>
      </c>
      <c r="T13955" t="s">
        <v>49288</v>
      </c>
    </row>
    <row r="13956" spans="1:20" customFormat="1" ht="15" x14ac:dyDescent="0.25">
      <c r="A13956" t="s">
        <v>35</v>
      </c>
      <c r="B13956" t="s">
        <v>61</v>
      </c>
      <c r="C13956" t="str">
        <f>"A0125694"</f>
        <v>A0125694</v>
      </c>
      <c r="D13956" t="s">
        <v>49289</v>
      </c>
      <c r="E13956" t="s">
        <v>49290</v>
      </c>
      <c r="F13956" t="s">
        <v>37790</v>
      </c>
      <c r="G13956" t="s">
        <v>29</v>
      </c>
      <c r="H13956">
        <v>23663</v>
      </c>
      <c r="I13956" t="s">
        <v>30</v>
      </c>
      <c r="J13956" t="s">
        <v>41</v>
      </c>
      <c r="K13956" t="s">
        <v>59</v>
      </c>
      <c r="Q13956">
        <v>0</v>
      </c>
      <c r="R13956">
        <v>55</v>
      </c>
      <c r="S13956">
        <v>55</v>
      </c>
      <c r="T13956" t="s">
        <v>49291</v>
      </c>
    </row>
    <row r="13957" spans="1:20" customFormat="1" ht="15" x14ac:dyDescent="0.25">
      <c r="A13957" t="s">
        <v>35</v>
      </c>
      <c r="B13957" t="s">
        <v>61</v>
      </c>
      <c r="C13957" t="str">
        <f>"A0125785"</f>
        <v>A0125785</v>
      </c>
      <c r="D13957" t="s">
        <v>49292</v>
      </c>
      <c r="E13957" t="s">
        <v>49293</v>
      </c>
      <c r="F13957" t="s">
        <v>1627</v>
      </c>
      <c r="G13957" t="s">
        <v>29</v>
      </c>
      <c r="H13957">
        <v>22630</v>
      </c>
      <c r="I13957" t="s">
        <v>30</v>
      </c>
      <c r="J13957" t="s">
        <v>41</v>
      </c>
      <c r="K13957" t="s">
        <v>59</v>
      </c>
      <c r="Q13957">
        <v>0</v>
      </c>
      <c r="R13957">
        <v>78</v>
      </c>
      <c r="S13957">
        <v>78</v>
      </c>
      <c r="T13957" t="s">
        <v>49294</v>
      </c>
    </row>
    <row r="13958" spans="1:20" customFormat="1" ht="15" x14ac:dyDescent="0.25">
      <c r="A13958" t="s">
        <v>35</v>
      </c>
      <c r="B13958" t="s">
        <v>61</v>
      </c>
      <c r="C13958" t="str">
        <f>"A0125778"</f>
        <v>A0125778</v>
      </c>
      <c r="D13958" t="s">
        <v>49295</v>
      </c>
      <c r="E13958" t="s">
        <v>49296</v>
      </c>
      <c r="F13958" t="s">
        <v>30240</v>
      </c>
      <c r="G13958" t="s">
        <v>29</v>
      </c>
      <c r="H13958">
        <v>228440000</v>
      </c>
      <c r="I13958" t="s">
        <v>30</v>
      </c>
      <c r="J13958" t="s">
        <v>41</v>
      </c>
      <c r="K13958" t="s">
        <v>112</v>
      </c>
      <c r="Q13958">
        <v>0</v>
      </c>
      <c r="R13958">
        <v>300</v>
      </c>
      <c r="S13958">
        <v>300</v>
      </c>
      <c r="T13958" t="s">
        <v>49297</v>
      </c>
    </row>
    <row r="13959" spans="1:20" customFormat="1" ht="15" x14ac:dyDescent="0.25">
      <c r="A13959" t="s">
        <v>35</v>
      </c>
      <c r="B13959" t="s">
        <v>61</v>
      </c>
      <c r="C13959" t="str">
        <f>"A0125258"</f>
        <v>A0125258</v>
      </c>
      <c r="D13959" t="s">
        <v>49298</v>
      </c>
      <c r="E13959" t="s">
        <v>49299</v>
      </c>
      <c r="F13959" t="s">
        <v>17401</v>
      </c>
      <c r="G13959" t="s">
        <v>40</v>
      </c>
      <c r="H13959">
        <v>73036</v>
      </c>
      <c r="I13959" t="s">
        <v>30</v>
      </c>
      <c r="J13959" t="s">
        <v>41</v>
      </c>
      <c r="K13959" t="s">
        <v>59</v>
      </c>
      <c r="Q13959">
        <v>0</v>
      </c>
      <c r="R13959">
        <v>43</v>
      </c>
      <c r="S13959">
        <v>43</v>
      </c>
      <c r="T13959" t="s">
        <v>49300</v>
      </c>
    </row>
    <row r="13960" spans="1:20" customFormat="1" ht="15" x14ac:dyDescent="0.25">
      <c r="A13960" t="s">
        <v>35</v>
      </c>
      <c r="B13960" t="s">
        <v>61</v>
      </c>
      <c r="C13960" t="str">
        <f>"A0123915"</f>
        <v>A0123915</v>
      </c>
      <c r="D13960" t="s">
        <v>49301</v>
      </c>
      <c r="E13960" t="s">
        <v>49302</v>
      </c>
      <c r="F13960" t="s">
        <v>15622</v>
      </c>
      <c r="G13960" t="s">
        <v>29</v>
      </c>
      <c r="H13960">
        <v>23504</v>
      </c>
      <c r="I13960" t="s">
        <v>30</v>
      </c>
      <c r="J13960" t="s">
        <v>41</v>
      </c>
      <c r="K13960" t="s">
        <v>59</v>
      </c>
      <c r="Q13960">
        <v>0</v>
      </c>
      <c r="R13960">
        <v>22</v>
      </c>
      <c r="S13960">
        <v>22</v>
      </c>
      <c r="T13960" t="s">
        <v>49303</v>
      </c>
    </row>
    <row r="13961" spans="1:20" customFormat="1" ht="15" x14ac:dyDescent="0.25">
      <c r="A13961" t="s">
        <v>35</v>
      </c>
      <c r="B13961" t="s">
        <v>61</v>
      </c>
      <c r="C13961" t="str">
        <f>"A0128911"</f>
        <v>A0128911</v>
      </c>
      <c r="D13961" t="s">
        <v>49304</v>
      </c>
      <c r="E13961" t="s">
        <v>49305</v>
      </c>
      <c r="F13961" t="s">
        <v>49306</v>
      </c>
      <c r="G13961" t="s">
        <v>71</v>
      </c>
      <c r="H13961">
        <v>531820000</v>
      </c>
      <c r="I13961" t="s">
        <v>30</v>
      </c>
      <c r="J13961" t="s">
        <v>41</v>
      </c>
      <c r="K13961" t="s">
        <v>59</v>
      </c>
      <c r="Q13961">
        <v>0</v>
      </c>
      <c r="R13961">
        <v>175</v>
      </c>
      <c r="S13961">
        <v>175</v>
      </c>
      <c r="T13961" t="s">
        <v>49307</v>
      </c>
    </row>
    <row r="13962" spans="1:20" customFormat="1" ht="15" x14ac:dyDescent="0.25">
      <c r="A13962" t="s">
        <v>35</v>
      </c>
      <c r="B13962" t="s">
        <v>61</v>
      </c>
      <c r="C13962" t="str">
        <f>"A0124075"</f>
        <v>A0124075</v>
      </c>
      <c r="D13962" t="s">
        <v>49308</v>
      </c>
      <c r="E13962" t="s">
        <v>49309</v>
      </c>
      <c r="F13962" t="s">
        <v>93</v>
      </c>
      <c r="G13962" t="s">
        <v>58</v>
      </c>
      <c r="H13962">
        <v>29609</v>
      </c>
      <c r="I13962" t="s">
        <v>30</v>
      </c>
      <c r="J13962" t="s">
        <v>41</v>
      </c>
      <c r="K13962" t="s">
        <v>482</v>
      </c>
      <c r="Q13962">
        <v>0</v>
      </c>
      <c r="R13962">
        <v>60</v>
      </c>
      <c r="S13962">
        <v>60</v>
      </c>
      <c r="T13962" t="s">
        <v>49310</v>
      </c>
    </row>
    <row r="13963" spans="1:20" customFormat="1" ht="15" x14ac:dyDescent="0.25">
      <c r="A13963" t="s">
        <v>35</v>
      </c>
      <c r="B13963" t="s">
        <v>106</v>
      </c>
      <c r="C13963" t="str">
        <f>"A0136574"</f>
        <v>A0136574</v>
      </c>
      <c r="D13963" t="s">
        <v>49311</v>
      </c>
      <c r="E13963" t="s">
        <v>49312</v>
      </c>
      <c r="F13963" t="s">
        <v>3104</v>
      </c>
      <c r="G13963" t="s">
        <v>1184</v>
      </c>
      <c r="H13963">
        <v>59749</v>
      </c>
      <c r="I13963" t="s">
        <v>30</v>
      </c>
      <c r="J13963" t="s">
        <v>111</v>
      </c>
      <c r="K13963" t="s">
        <v>112</v>
      </c>
      <c r="Q13963">
        <v>0</v>
      </c>
      <c r="R13963">
        <v>0</v>
      </c>
      <c r="S13963">
        <v>0</v>
      </c>
      <c r="T13963" t="s">
        <v>49313</v>
      </c>
    </row>
    <row r="13964" spans="1:20" customFormat="1" ht="15" x14ac:dyDescent="0.25">
      <c r="A13964" t="s">
        <v>35</v>
      </c>
      <c r="B13964" t="s">
        <v>61</v>
      </c>
      <c r="C13964" t="str">
        <f>"A0130941"</f>
        <v>A0130941</v>
      </c>
      <c r="D13964" t="s">
        <v>49314</v>
      </c>
      <c r="E13964" t="s">
        <v>49315</v>
      </c>
      <c r="F13964" t="s">
        <v>3104</v>
      </c>
      <c r="G13964" t="s">
        <v>85</v>
      </c>
      <c r="H13964">
        <v>721500000</v>
      </c>
      <c r="I13964" t="s">
        <v>30</v>
      </c>
      <c r="J13964" t="s">
        <v>41</v>
      </c>
      <c r="K13964" t="s">
        <v>2760</v>
      </c>
      <c r="Q13964">
        <v>0</v>
      </c>
      <c r="R13964">
        <v>1</v>
      </c>
      <c r="S13964">
        <v>1</v>
      </c>
      <c r="T13964" t="s">
        <v>49316</v>
      </c>
    </row>
    <row r="13965" spans="1:20" customFormat="1" ht="15" x14ac:dyDescent="0.25">
      <c r="A13965" t="s">
        <v>35</v>
      </c>
      <c r="B13965" t="s">
        <v>61</v>
      </c>
      <c r="C13965" t="str">
        <f>"A0127829"</f>
        <v>A0127829</v>
      </c>
      <c r="D13965" t="s">
        <v>24045</v>
      </c>
      <c r="E13965" t="s">
        <v>49317</v>
      </c>
      <c r="F13965" t="s">
        <v>49318</v>
      </c>
      <c r="G13965" t="s">
        <v>117</v>
      </c>
      <c r="H13965">
        <v>49431</v>
      </c>
      <c r="I13965" t="s">
        <v>30</v>
      </c>
      <c r="J13965" t="s">
        <v>41</v>
      </c>
      <c r="K13965" t="s">
        <v>59</v>
      </c>
      <c r="Q13965">
        <v>0</v>
      </c>
      <c r="R13965">
        <v>49</v>
      </c>
      <c r="S13965">
        <v>49</v>
      </c>
      <c r="T13965" t="s">
        <v>49319</v>
      </c>
    </row>
    <row r="13966" spans="1:20" customFormat="1" ht="15" x14ac:dyDescent="0.25">
      <c r="A13966" t="s">
        <v>35</v>
      </c>
      <c r="B13966" t="s">
        <v>61</v>
      </c>
      <c r="C13966" t="str">
        <f>"A0118464"</f>
        <v>A0118464</v>
      </c>
      <c r="D13966" t="s">
        <v>49320</v>
      </c>
      <c r="E13966" t="s">
        <v>49321</v>
      </c>
      <c r="F13966" t="s">
        <v>49322</v>
      </c>
      <c r="G13966" t="s">
        <v>110</v>
      </c>
      <c r="H13966">
        <v>95437</v>
      </c>
      <c r="I13966" t="s">
        <v>30</v>
      </c>
      <c r="J13966" t="s">
        <v>41</v>
      </c>
      <c r="K13966" t="s">
        <v>229</v>
      </c>
      <c r="Q13966">
        <v>0</v>
      </c>
      <c r="R13966">
        <v>70</v>
      </c>
      <c r="S13966">
        <v>70</v>
      </c>
      <c r="T13966" t="s">
        <v>49323</v>
      </c>
    </row>
    <row r="13967" spans="1:20" customFormat="1" ht="15" x14ac:dyDescent="0.25">
      <c r="A13967" t="s">
        <v>35</v>
      </c>
      <c r="B13967" t="s">
        <v>61</v>
      </c>
      <c r="C13967" t="str">
        <f>"A0151568"</f>
        <v>A0151568</v>
      </c>
      <c r="D13967" t="s">
        <v>49324</v>
      </c>
      <c r="E13967" t="s">
        <v>49325</v>
      </c>
      <c r="F13967" t="s">
        <v>1775</v>
      </c>
      <c r="G13967" t="s">
        <v>117</v>
      </c>
      <c r="H13967">
        <v>48609</v>
      </c>
      <c r="I13967" t="s">
        <v>30</v>
      </c>
      <c r="J13967" t="s">
        <v>41</v>
      </c>
      <c r="K13967" t="s">
        <v>59</v>
      </c>
      <c r="Q13967">
        <v>0</v>
      </c>
      <c r="R13967">
        <v>61</v>
      </c>
      <c r="S13967">
        <v>61</v>
      </c>
      <c r="T13967" t="s">
        <v>49326</v>
      </c>
    </row>
    <row r="13968" spans="1:20" customFormat="1" ht="15" x14ac:dyDescent="0.25">
      <c r="A13968" t="s">
        <v>35</v>
      </c>
      <c r="B13968" t="s">
        <v>61</v>
      </c>
      <c r="C13968" t="str">
        <f>"A0127077"</f>
        <v>A0127077</v>
      </c>
      <c r="D13968" t="s">
        <v>49327</v>
      </c>
      <c r="E13968" t="s">
        <v>49328</v>
      </c>
      <c r="F13968" t="s">
        <v>49329</v>
      </c>
      <c r="G13968" t="s">
        <v>103</v>
      </c>
      <c r="H13968">
        <v>15742</v>
      </c>
      <c r="I13968" t="s">
        <v>30</v>
      </c>
      <c r="J13968" t="s">
        <v>41</v>
      </c>
      <c r="K13968" t="s">
        <v>59</v>
      </c>
      <c r="Q13968">
        <v>0</v>
      </c>
      <c r="R13968">
        <v>30</v>
      </c>
      <c r="S13968">
        <v>30</v>
      </c>
      <c r="T13968" t="s">
        <v>49330</v>
      </c>
    </row>
    <row r="13969" spans="1:20" customFormat="1" ht="15" x14ac:dyDescent="0.25">
      <c r="A13969" t="s">
        <v>35</v>
      </c>
      <c r="B13969" t="s">
        <v>61</v>
      </c>
      <c r="C13969" t="str">
        <f>"A0130904"</f>
        <v>A0130904</v>
      </c>
      <c r="D13969" t="s">
        <v>49331</v>
      </c>
      <c r="E13969" t="s">
        <v>49332</v>
      </c>
      <c r="F13969" t="s">
        <v>1795</v>
      </c>
      <c r="G13969" t="s">
        <v>137</v>
      </c>
      <c r="H13969">
        <v>640850000</v>
      </c>
      <c r="I13969" t="s">
        <v>30</v>
      </c>
      <c r="J13969" t="s">
        <v>41</v>
      </c>
      <c r="K13969" t="s">
        <v>229</v>
      </c>
      <c r="Q13969">
        <v>0</v>
      </c>
      <c r="R13969">
        <v>187</v>
      </c>
      <c r="S13969">
        <v>187</v>
      </c>
      <c r="T13969" t="s">
        <v>49333</v>
      </c>
    </row>
    <row r="13970" spans="1:20" customFormat="1" ht="15" x14ac:dyDescent="0.25">
      <c r="A13970" t="s">
        <v>35</v>
      </c>
      <c r="B13970" t="s">
        <v>61</v>
      </c>
      <c r="C13970" t="str">
        <f>"A0126667"</f>
        <v>A0126667</v>
      </c>
      <c r="D13970" t="s">
        <v>49334</v>
      </c>
      <c r="E13970" t="s">
        <v>49335</v>
      </c>
      <c r="F13970" t="s">
        <v>49336</v>
      </c>
      <c r="G13970" t="s">
        <v>103</v>
      </c>
      <c r="H13970">
        <v>17260</v>
      </c>
      <c r="I13970" t="s">
        <v>30</v>
      </c>
      <c r="J13970" t="s">
        <v>41</v>
      </c>
      <c r="K13970" t="s">
        <v>59</v>
      </c>
      <c r="Q13970">
        <v>0</v>
      </c>
      <c r="R13970">
        <v>42</v>
      </c>
      <c r="S13970">
        <v>42</v>
      </c>
      <c r="T13970" t="s">
        <v>49337</v>
      </c>
    </row>
    <row r="13971" spans="1:20" customFormat="1" ht="15" x14ac:dyDescent="0.25">
      <c r="A13971" t="s">
        <v>35</v>
      </c>
      <c r="B13971" t="s">
        <v>61</v>
      </c>
      <c r="C13971" t="str">
        <f>"A0131120"</f>
        <v>A0131120</v>
      </c>
      <c r="D13971" t="s">
        <v>49338</v>
      </c>
      <c r="E13971" t="s">
        <v>49339</v>
      </c>
      <c r="F13971" t="s">
        <v>3193</v>
      </c>
      <c r="G13971" t="s">
        <v>85</v>
      </c>
      <c r="H13971">
        <v>720310000</v>
      </c>
      <c r="I13971" t="s">
        <v>30</v>
      </c>
      <c r="J13971" t="s">
        <v>41</v>
      </c>
      <c r="K13971" t="s">
        <v>2760</v>
      </c>
      <c r="Q13971">
        <v>0</v>
      </c>
      <c r="R13971">
        <v>1</v>
      </c>
      <c r="S13971">
        <v>1</v>
      </c>
      <c r="T13971" t="s">
        <v>49340</v>
      </c>
    </row>
    <row r="13972" spans="1:20" customFormat="1" ht="15" x14ac:dyDescent="0.25">
      <c r="A13972" t="s">
        <v>35</v>
      </c>
      <c r="B13972" t="s">
        <v>437</v>
      </c>
      <c r="C13972" t="str">
        <f>"A0133864"</f>
        <v>A0133864</v>
      </c>
      <c r="D13972" t="s">
        <v>49341</v>
      </c>
      <c r="E13972" t="s">
        <v>49342</v>
      </c>
      <c r="F13972" t="s">
        <v>21814</v>
      </c>
      <c r="G13972" t="s">
        <v>110</v>
      </c>
      <c r="H13972">
        <v>904050000</v>
      </c>
      <c r="I13972" t="s">
        <v>30</v>
      </c>
      <c r="J13972" t="s">
        <v>441</v>
      </c>
      <c r="K13972" t="s">
        <v>442</v>
      </c>
      <c r="Q13972">
        <v>0</v>
      </c>
      <c r="R13972">
        <v>0</v>
      </c>
      <c r="S13972">
        <v>0</v>
      </c>
      <c r="T13972" t="s">
        <v>49343</v>
      </c>
    </row>
    <row r="13973" spans="1:20" customFormat="1" ht="15" x14ac:dyDescent="0.25">
      <c r="A13973" t="s">
        <v>35</v>
      </c>
      <c r="B13973" t="s">
        <v>437</v>
      </c>
      <c r="C13973" t="str">
        <f>"A0133882"</f>
        <v>A0133882</v>
      </c>
      <c r="D13973" t="s">
        <v>49344</v>
      </c>
      <c r="E13973" t="s">
        <v>49345</v>
      </c>
      <c r="F13973" t="s">
        <v>5488</v>
      </c>
      <c r="G13973" t="s">
        <v>110</v>
      </c>
      <c r="H13973">
        <v>902910000</v>
      </c>
      <c r="I13973" t="s">
        <v>30</v>
      </c>
      <c r="J13973" t="s">
        <v>441</v>
      </c>
      <c r="K13973" t="s">
        <v>442</v>
      </c>
      <c r="Q13973">
        <v>0</v>
      </c>
      <c r="R13973">
        <v>0</v>
      </c>
      <c r="S13973">
        <v>0</v>
      </c>
      <c r="T13973" t="s">
        <v>49346</v>
      </c>
    </row>
    <row r="13974" spans="1:20" customFormat="1" ht="15" x14ac:dyDescent="0.25">
      <c r="A13974" t="s">
        <v>35</v>
      </c>
      <c r="B13974" t="s">
        <v>61</v>
      </c>
      <c r="C13974" t="str">
        <f>"A0129241"</f>
        <v>A0129241</v>
      </c>
      <c r="D13974" t="s">
        <v>49347</v>
      </c>
      <c r="E13974" t="s">
        <v>9358</v>
      </c>
      <c r="F13974" t="s">
        <v>9205</v>
      </c>
      <c r="G13974" t="s">
        <v>289</v>
      </c>
      <c r="H13974">
        <v>61107</v>
      </c>
      <c r="I13974" t="s">
        <v>30</v>
      </c>
      <c r="J13974" t="s">
        <v>41</v>
      </c>
      <c r="K13974" t="s">
        <v>59</v>
      </c>
      <c r="Q13974">
        <v>0</v>
      </c>
      <c r="R13974">
        <v>105</v>
      </c>
      <c r="S13974">
        <v>105</v>
      </c>
      <c r="T13974" t="s">
        <v>49348</v>
      </c>
    </row>
    <row r="13975" spans="1:20" customFormat="1" ht="15" x14ac:dyDescent="0.25">
      <c r="A13975" t="s">
        <v>35</v>
      </c>
      <c r="B13975" t="s">
        <v>61</v>
      </c>
      <c r="C13975" t="str">
        <f>"A0121682"</f>
        <v>A0121682</v>
      </c>
      <c r="D13975" t="s">
        <v>49349</v>
      </c>
      <c r="E13975" t="s">
        <v>49350</v>
      </c>
      <c r="F13975" t="s">
        <v>9292</v>
      </c>
      <c r="G13975" t="s">
        <v>110</v>
      </c>
      <c r="H13975">
        <v>93257</v>
      </c>
      <c r="I13975" t="s">
        <v>30</v>
      </c>
      <c r="J13975" t="s">
        <v>41</v>
      </c>
      <c r="K13975" t="s">
        <v>59</v>
      </c>
      <c r="Q13975">
        <v>0</v>
      </c>
      <c r="R13975">
        <v>139</v>
      </c>
      <c r="S13975">
        <v>139</v>
      </c>
      <c r="T13975" t="s">
        <v>49351</v>
      </c>
    </row>
    <row r="13976" spans="1:20" customFormat="1" ht="15" x14ac:dyDescent="0.25">
      <c r="A13976" t="s">
        <v>35</v>
      </c>
      <c r="B13976" t="s">
        <v>61</v>
      </c>
      <c r="C13976" t="str">
        <f>"A0118365"</f>
        <v>A0118365</v>
      </c>
      <c r="D13976" t="s">
        <v>49352</v>
      </c>
      <c r="E13976" t="s">
        <v>49353</v>
      </c>
      <c r="F13976" t="s">
        <v>9881</v>
      </c>
      <c r="G13976" t="s">
        <v>110</v>
      </c>
      <c r="H13976">
        <v>93654</v>
      </c>
      <c r="I13976" t="s">
        <v>30</v>
      </c>
      <c r="J13976" t="s">
        <v>41</v>
      </c>
      <c r="K13976" t="s">
        <v>59</v>
      </c>
      <c r="Q13976">
        <v>0</v>
      </c>
      <c r="R13976">
        <v>180</v>
      </c>
      <c r="S13976">
        <v>180</v>
      </c>
      <c r="T13976" t="s">
        <v>49354</v>
      </c>
    </row>
    <row r="13977" spans="1:20" customFormat="1" ht="15" x14ac:dyDescent="0.25">
      <c r="A13977" t="s">
        <v>35</v>
      </c>
      <c r="B13977" t="s">
        <v>106</v>
      </c>
      <c r="C13977" t="str">
        <f>"A0135630"</f>
        <v>A0135630</v>
      </c>
      <c r="D13977" t="s">
        <v>49355</v>
      </c>
      <c r="E13977" t="s">
        <v>49356</v>
      </c>
      <c r="F13977" t="s">
        <v>36141</v>
      </c>
      <c r="G13977" t="s">
        <v>52</v>
      </c>
      <c r="H13977">
        <v>78705</v>
      </c>
      <c r="I13977" t="s">
        <v>30</v>
      </c>
      <c r="J13977" t="s">
        <v>111</v>
      </c>
      <c r="K13977" t="s">
        <v>112</v>
      </c>
      <c r="Q13977">
        <v>0</v>
      </c>
      <c r="R13977">
        <v>0</v>
      </c>
      <c r="S13977">
        <v>0</v>
      </c>
      <c r="T13977" t="s">
        <v>49357</v>
      </c>
    </row>
    <row r="13978" spans="1:20" customFormat="1" ht="15" x14ac:dyDescent="0.25">
      <c r="A13978" t="s">
        <v>35</v>
      </c>
      <c r="B13978" t="s">
        <v>106</v>
      </c>
      <c r="C13978" t="str">
        <f>"A0136137"</f>
        <v>A0136137</v>
      </c>
      <c r="D13978" t="s">
        <v>49358</v>
      </c>
      <c r="E13978" t="s">
        <v>49359</v>
      </c>
      <c r="F13978" t="s">
        <v>5317</v>
      </c>
      <c r="G13978" t="s">
        <v>1706</v>
      </c>
      <c r="H13978">
        <v>36830</v>
      </c>
      <c r="I13978" t="s">
        <v>30</v>
      </c>
      <c r="J13978" t="s">
        <v>111</v>
      </c>
      <c r="K13978" t="s">
        <v>112</v>
      </c>
      <c r="Q13978">
        <v>0</v>
      </c>
      <c r="R13978">
        <v>0</v>
      </c>
      <c r="S13978">
        <v>0</v>
      </c>
      <c r="T13978" t="s">
        <v>49360</v>
      </c>
    </row>
    <row r="13979" spans="1:20" customFormat="1" ht="15" x14ac:dyDescent="0.25">
      <c r="A13979" t="s">
        <v>35</v>
      </c>
      <c r="B13979" t="s">
        <v>106</v>
      </c>
      <c r="C13979" t="str">
        <f>"A0135890"</f>
        <v>A0135890</v>
      </c>
      <c r="D13979" t="s">
        <v>49361</v>
      </c>
      <c r="E13979" t="s">
        <v>49362</v>
      </c>
      <c r="F13979" t="s">
        <v>1444</v>
      </c>
      <c r="G13979" t="s">
        <v>76</v>
      </c>
      <c r="H13979">
        <v>98105</v>
      </c>
      <c r="I13979" t="s">
        <v>30</v>
      </c>
      <c r="J13979" t="s">
        <v>111</v>
      </c>
      <c r="K13979" t="s">
        <v>112</v>
      </c>
      <c r="Q13979">
        <v>0</v>
      </c>
      <c r="R13979">
        <v>0</v>
      </c>
      <c r="S13979">
        <v>0</v>
      </c>
      <c r="T13979" t="s">
        <v>49363</v>
      </c>
    </row>
    <row r="13980" spans="1:20" customFormat="1" ht="15" x14ac:dyDescent="0.25">
      <c r="A13980" t="s">
        <v>35</v>
      </c>
      <c r="B13980" t="s">
        <v>106</v>
      </c>
      <c r="C13980" t="str">
        <f>"A0135310"</f>
        <v>A0135310</v>
      </c>
      <c r="D13980" t="s">
        <v>49364</v>
      </c>
      <c r="E13980" t="s">
        <v>49365</v>
      </c>
      <c r="F13980" t="s">
        <v>22478</v>
      </c>
      <c r="G13980" t="s">
        <v>214</v>
      </c>
      <c r="H13980">
        <v>27514</v>
      </c>
      <c r="I13980" t="s">
        <v>30</v>
      </c>
      <c r="J13980" t="s">
        <v>111</v>
      </c>
      <c r="K13980" t="s">
        <v>10012</v>
      </c>
      <c r="Q13980">
        <v>0</v>
      </c>
      <c r="R13980">
        <v>0</v>
      </c>
      <c r="S13980">
        <v>0</v>
      </c>
      <c r="T13980" t="s">
        <v>49366</v>
      </c>
    </row>
    <row r="13981" spans="1:20" customFormat="1" ht="15" x14ac:dyDescent="0.25">
      <c r="A13981" t="s">
        <v>35</v>
      </c>
      <c r="B13981" t="s">
        <v>106</v>
      </c>
      <c r="C13981" t="str">
        <f>"A0135625"</f>
        <v>A0135625</v>
      </c>
      <c r="D13981" t="s">
        <v>49367</v>
      </c>
      <c r="E13981" t="s">
        <v>49368</v>
      </c>
      <c r="F13981" t="s">
        <v>4133</v>
      </c>
      <c r="G13981" t="s">
        <v>52</v>
      </c>
      <c r="H13981">
        <v>78705</v>
      </c>
      <c r="I13981" t="s">
        <v>30</v>
      </c>
      <c r="J13981" t="s">
        <v>111</v>
      </c>
      <c r="K13981" t="s">
        <v>112</v>
      </c>
      <c r="Q13981">
        <v>0</v>
      </c>
      <c r="R13981">
        <v>0</v>
      </c>
      <c r="S13981">
        <v>0</v>
      </c>
      <c r="T13981" t="s">
        <v>49369</v>
      </c>
    </row>
    <row r="13982" spans="1:20" customFormat="1" ht="15" x14ac:dyDescent="0.25">
      <c r="A13982" t="s">
        <v>35</v>
      </c>
      <c r="B13982" t="s">
        <v>106</v>
      </c>
      <c r="C13982" t="str">
        <f>"A0136303"</f>
        <v>A0136303</v>
      </c>
      <c r="D13982" t="s">
        <v>49370</v>
      </c>
      <c r="E13982" t="s">
        <v>49371</v>
      </c>
      <c r="F13982" t="s">
        <v>44077</v>
      </c>
      <c r="G13982" t="s">
        <v>1369</v>
      </c>
      <c r="H13982">
        <v>38677</v>
      </c>
      <c r="I13982" t="s">
        <v>30</v>
      </c>
      <c r="J13982" t="s">
        <v>111</v>
      </c>
      <c r="K13982" t="s">
        <v>112</v>
      </c>
      <c r="Q13982">
        <v>0</v>
      </c>
      <c r="R13982">
        <v>0</v>
      </c>
      <c r="S13982">
        <v>0</v>
      </c>
      <c r="T13982" t="s">
        <v>49372</v>
      </c>
    </row>
    <row r="13983" spans="1:20" customFormat="1" ht="15" x14ac:dyDescent="0.25">
      <c r="A13983" t="s">
        <v>35</v>
      </c>
      <c r="B13983" t="s">
        <v>106</v>
      </c>
      <c r="C13983" t="str">
        <f>"A0136131"</f>
        <v>A0136131</v>
      </c>
      <c r="D13983" t="s">
        <v>49373</v>
      </c>
      <c r="E13983" t="s">
        <v>49374</v>
      </c>
      <c r="F13983" t="s">
        <v>5317</v>
      </c>
      <c r="G13983" t="s">
        <v>1706</v>
      </c>
      <c r="H13983">
        <v>36845</v>
      </c>
      <c r="I13983" t="s">
        <v>30</v>
      </c>
      <c r="J13983" t="s">
        <v>111</v>
      </c>
      <c r="K13983" t="s">
        <v>112</v>
      </c>
      <c r="Q13983">
        <v>0</v>
      </c>
      <c r="R13983">
        <v>0</v>
      </c>
      <c r="S13983">
        <v>0</v>
      </c>
      <c r="T13983" t="s">
        <v>49375</v>
      </c>
    </row>
    <row r="13984" spans="1:20" customFormat="1" ht="15" x14ac:dyDescent="0.25">
      <c r="A13984" t="s">
        <v>35</v>
      </c>
      <c r="B13984" t="s">
        <v>106</v>
      </c>
      <c r="C13984" t="str">
        <f>"A0136140"</f>
        <v>A0136140</v>
      </c>
      <c r="D13984" t="s">
        <v>49376</v>
      </c>
      <c r="E13984" t="s">
        <v>49377</v>
      </c>
      <c r="F13984" t="s">
        <v>5317</v>
      </c>
      <c r="G13984" t="s">
        <v>1706</v>
      </c>
      <c r="H13984">
        <v>36832</v>
      </c>
      <c r="I13984" t="s">
        <v>30</v>
      </c>
      <c r="J13984" t="s">
        <v>111</v>
      </c>
      <c r="K13984" t="s">
        <v>112</v>
      </c>
      <c r="Q13984">
        <v>0</v>
      </c>
      <c r="R13984">
        <v>0</v>
      </c>
      <c r="S13984">
        <v>0</v>
      </c>
      <c r="T13984" t="s">
        <v>49378</v>
      </c>
    </row>
    <row r="13985" spans="1:20" customFormat="1" ht="15" x14ac:dyDescent="0.25">
      <c r="A13985" t="s">
        <v>35</v>
      </c>
      <c r="B13985" t="s">
        <v>437</v>
      </c>
      <c r="C13985" t="str">
        <f>"A0134047"</f>
        <v>A0134047</v>
      </c>
      <c r="D13985" t="s">
        <v>49379</v>
      </c>
      <c r="E13985" t="s">
        <v>49380</v>
      </c>
      <c r="F13985" t="s">
        <v>48196</v>
      </c>
      <c r="G13985" t="s">
        <v>110</v>
      </c>
      <c r="H13985">
        <v>92677</v>
      </c>
      <c r="I13985" t="s">
        <v>30</v>
      </c>
      <c r="J13985" t="s">
        <v>441</v>
      </c>
      <c r="K13985" t="s">
        <v>442</v>
      </c>
      <c r="Q13985">
        <v>0</v>
      </c>
      <c r="R13985">
        <v>0</v>
      </c>
      <c r="S13985">
        <v>0</v>
      </c>
      <c r="T13985" t="s">
        <v>49381</v>
      </c>
    </row>
    <row r="13986" spans="1:20" customFormat="1" ht="15" x14ac:dyDescent="0.25">
      <c r="A13986" t="s">
        <v>35</v>
      </c>
      <c r="B13986" t="s">
        <v>437</v>
      </c>
      <c r="C13986" t="str">
        <f>"A0133833"</f>
        <v>A0133833</v>
      </c>
      <c r="D13986" t="s">
        <v>49382</v>
      </c>
      <c r="E13986" t="s">
        <v>49383</v>
      </c>
      <c r="F13986" t="s">
        <v>42180</v>
      </c>
      <c r="G13986" t="s">
        <v>110</v>
      </c>
      <c r="H13986">
        <v>922200000</v>
      </c>
      <c r="I13986" t="s">
        <v>30</v>
      </c>
      <c r="J13986" t="s">
        <v>441</v>
      </c>
      <c r="K13986" t="s">
        <v>442</v>
      </c>
      <c r="Q13986">
        <v>0</v>
      </c>
      <c r="R13986">
        <v>0</v>
      </c>
      <c r="S13986">
        <v>0</v>
      </c>
      <c r="T13986" t="s">
        <v>49384</v>
      </c>
    </row>
    <row r="13987" spans="1:20" customFormat="1" ht="15" x14ac:dyDescent="0.25">
      <c r="A13987" t="s">
        <v>35</v>
      </c>
      <c r="B13987" t="s">
        <v>61</v>
      </c>
      <c r="C13987" t="str">
        <f>"A0131451"</f>
        <v>A0131451</v>
      </c>
      <c r="D13987" t="s">
        <v>49385</v>
      </c>
      <c r="E13987" t="s">
        <v>49386</v>
      </c>
      <c r="F13987" t="s">
        <v>49387</v>
      </c>
      <c r="G13987" t="s">
        <v>137</v>
      </c>
      <c r="H13987">
        <v>633770000</v>
      </c>
      <c r="I13987" t="s">
        <v>30</v>
      </c>
      <c r="J13987" t="s">
        <v>41</v>
      </c>
      <c r="K13987" t="s">
        <v>229</v>
      </c>
      <c r="Q13987">
        <v>0</v>
      </c>
      <c r="R13987">
        <v>60</v>
      </c>
      <c r="S13987">
        <v>60</v>
      </c>
      <c r="T13987" t="s">
        <v>49388</v>
      </c>
    </row>
    <row r="13988" spans="1:20" customFormat="1" ht="15" x14ac:dyDescent="0.25">
      <c r="A13988" t="s">
        <v>35</v>
      </c>
      <c r="B13988" t="s">
        <v>61</v>
      </c>
      <c r="C13988" t="str">
        <f>"A0131205"</f>
        <v>A0131205</v>
      </c>
      <c r="D13988" t="s">
        <v>49389</v>
      </c>
      <c r="E13988" t="s">
        <v>49390</v>
      </c>
      <c r="F13988" t="s">
        <v>16753</v>
      </c>
      <c r="G13988" t="s">
        <v>85</v>
      </c>
      <c r="H13988">
        <v>727610000</v>
      </c>
      <c r="I13988" t="s">
        <v>30</v>
      </c>
      <c r="J13988" t="s">
        <v>41</v>
      </c>
      <c r="K13988" t="s">
        <v>2760</v>
      </c>
      <c r="Q13988">
        <v>0</v>
      </c>
      <c r="R13988">
        <v>1</v>
      </c>
      <c r="S13988">
        <v>1</v>
      </c>
      <c r="T13988" t="s">
        <v>49391</v>
      </c>
    </row>
    <row r="13989" spans="1:20" customFormat="1" ht="15" x14ac:dyDescent="0.25">
      <c r="A13989" t="s">
        <v>35</v>
      </c>
      <c r="B13989" t="s">
        <v>61</v>
      </c>
      <c r="C13989" t="str">
        <f>"A0133154"</f>
        <v>A0133154</v>
      </c>
      <c r="D13989" t="s">
        <v>49392</v>
      </c>
      <c r="E13989" t="s">
        <v>49393</v>
      </c>
      <c r="F13989" t="s">
        <v>49394</v>
      </c>
      <c r="G13989" t="s">
        <v>52</v>
      </c>
      <c r="H13989">
        <v>776560000</v>
      </c>
      <c r="I13989" t="s">
        <v>30</v>
      </c>
      <c r="J13989" t="s">
        <v>41</v>
      </c>
      <c r="K13989" t="s">
        <v>229</v>
      </c>
      <c r="Q13989">
        <v>0</v>
      </c>
      <c r="R13989">
        <v>120</v>
      </c>
      <c r="S13989">
        <v>120</v>
      </c>
      <c r="T13989" t="s">
        <v>49395</v>
      </c>
    </row>
    <row r="13990" spans="1:20" customFormat="1" ht="15" x14ac:dyDescent="0.25">
      <c r="A13990" t="s">
        <v>35</v>
      </c>
      <c r="B13990" t="s">
        <v>61</v>
      </c>
      <c r="C13990" t="str">
        <f>"A0129511"</f>
        <v>A0129511</v>
      </c>
      <c r="D13990" t="s">
        <v>49396</v>
      </c>
      <c r="E13990" t="s">
        <v>49397</v>
      </c>
      <c r="F13990" t="s">
        <v>27617</v>
      </c>
      <c r="G13990" t="s">
        <v>381</v>
      </c>
      <c r="H13990">
        <v>46320</v>
      </c>
      <c r="I13990" t="s">
        <v>30</v>
      </c>
      <c r="J13990" t="s">
        <v>41</v>
      </c>
      <c r="K13990" t="s">
        <v>59</v>
      </c>
      <c r="Q13990">
        <v>0</v>
      </c>
      <c r="R13990">
        <v>0</v>
      </c>
      <c r="S13990">
        <v>0</v>
      </c>
      <c r="T13990" t="s">
        <v>49398</v>
      </c>
    </row>
    <row r="13991" spans="1:20" customFormat="1" ht="15" x14ac:dyDescent="0.25">
      <c r="A13991" t="s">
        <v>35</v>
      </c>
      <c r="B13991" t="s">
        <v>61</v>
      </c>
      <c r="C13991" t="str">
        <f>"A0129520"</f>
        <v>A0129520</v>
      </c>
      <c r="D13991" t="s">
        <v>49399</v>
      </c>
      <c r="E13991" t="s">
        <v>49400</v>
      </c>
      <c r="F13991" t="s">
        <v>15504</v>
      </c>
      <c r="G13991" t="s">
        <v>381</v>
      </c>
      <c r="H13991">
        <v>46360</v>
      </c>
      <c r="I13991" t="s">
        <v>30</v>
      </c>
      <c r="J13991" t="s">
        <v>41</v>
      </c>
      <c r="K13991" t="s">
        <v>59</v>
      </c>
      <c r="Q13991">
        <v>0</v>
      </c>
      <c r="R13991">
        <v>116</v>
      </c>
      <c r="S13991">
        <v>116</v>
      </c>
      <c r="T13991" t="s">
        <v>49401</v>
      </c>
    </row>
    <row r="13992" spans="1:20" customFormat="1" ht="15" x14ac:dyDescent="0.25">
      <c r="A13992" t="s">
        <v>35</v>
      </c>
      <c r="B13992" t="s">
        <v>61</v>
      </c>
      <c r="C13992" t="str">
        <f>"A0129521"</f>
        <v>A0129521</v>
      </c>
      <c r="D13992" t="s">
        <v>49402</v>
      </c>
      <c r="E13992" t="s">
        <v>49403</v>
      </c>
      <c r="F13992" t="s">
        <v>17093</v>
      </c>
      <c r="G13992" t="s">
        <v>381</v>
      </c>
      <c r="H13992">
        <v>47304</v>
      </c>
      <c r="I13992" t="s">
        <v>30</v>
      </c>
      <c r="J13992" t="s">
        <v>41</v>
      </c>
      <c r="K13992" t="s">
        <v>59</v>
      </c>
      <c r="Q13992">
        <v>0</v>
      </c>
      <c r="R13992">
        <v>119</v>
      </c>
      <c r="S13992">
        <v>119</v>
      </c>
      <c r="T13992" t="s">
        <v>49404</v>
      </c>
    </row>
    <row r="13993" spans="1:20" customFormat="1" ht="15" x14ac:dyDescent="0.25">
      <c r="A13993" t="s">
        <v>35</v>
      </c>
      <c r="B13993" t="s">
        <v>61</v>
      </c>
      <c r="C13993" t="str">
        <f>"A0124623"</f>
        <v>A0124623</v>
      </c>
      <c r="D13993" t="s">
        <v>49405</v>
      </c>
      <c r="E13993" t="s">
        <v>49406</v>
      </c>
      <c r="F13993" t="s">
        <v>1368</v>
      </c>
      <c r="G13993" t="s">
        <v>1369</v>
      </c>
      <c r="H13993">
        <v>396010000</v>
      </c>
      <c r="I13993" t="s">
        <v>30</v>
      </c>
      <c r="J13993" t="s">
        <v>41</v>
      </c>
      <c r="K13993" t="s">
        <v>229</v>
      </c>
      <c r="Q13993">
        <v>0</v>
      </c>
      <c r="R13993">
        <v>60</v>
      </c>
      <c r="S13993">
        <v>60</v>
      </c>
      <c r="T13993" t="s">
        <v>49407</v>
      </c>
    </row>
    <row r="13994" spans="1:20" customFormat="1" ht="15" x14ac:dyDescent="0.25">
      <c r="A13994" t="s">
        <v>35</v>
      </c>
      <c r="B13994" t="s">
        <v>9604</v>
      </c>
      <c r="C13994" t="str">
        <f>"A0127954"</f>
        <v>A0127954</v>
      </c>
      <c r="D13994" t="s">
        <v>49408</v>
      </c>
      <c r="E13994" t="s">
        <v>49409</v>
      </c>
      <c r="F13994" t="s">
        <v>9621</v>
      </c>
      <c r="G13994" t="s">
        <v>117</v>
      </c>
      <c r="H13994">
        <v>48118</v>
      </c>
      <c r="I13994" t="s">
        <v>30</v>
      </c>
      <c r="J13994" t="s">
        <v>41</v>
      </c>
      <c r="K13994" t="s">
        <v>59</v>
      </c>
      <c r="Q13994">
        <v>0</v>
      </c>
      <c r="R13994">
        <v>110</v>
      </c>
      <c r="S13994">
        <v>110</v>
      </c>
      <c r="T13994" t="s">
        <v>49410</v>
      </c>
    </row>
    <row r="13995" spans="1:20" customFormat="1" ht="15" x14ac:dyDescent="0.25">
      <c r="A13995" t="s">
        <v>35</v>
      </c>
      <c r="B13995" t="s">
        <v>61</v>
      </c>
      <c r="C13995" t="str">
        <f>"A0118751"</f>
        <v>A0118751</v>
      </c>
      <c r="D13995" t="s">
        <v>49411</v>
      </c>
      <c r="E13995" t="s">
        <v>49412</v>
      </c>
      <c r="F13995" t="s">
        <v>395</v>
      </c>
      <c r="G13995" t="s">
        <v>110</v>
      </c>
      <c r="H13995">
        <v>92084</v>
      </c>
      <c r="I13995" t="s">
        <v>30</v>
      </c>
      <c r="J13995" t="s">
        <v>41</v>
      </c>
      <c r="K13995" t="s">
        <v>229</v>
      </c>
      <c r="Q13995">
        <v>0</v>
      </c>
      <c r="R13995">
        <v>18</v>
      </c>
      <c r="S13995">
        <v>18</v>
      </c>
      <c r="T13995" t="s">
        <v>49413</v>
      </c>
    </row>
    <row r="13996" spans="1:20" customFormat="1" ht="15" x14ac:dyDescent="0.25">
      <c r="A13996" t="s">
        <v>35</v>
      </c>
      <c r="B13996" t="s">
        <v>61</v>
      </c>
      <c r="C13996" t="str">
        <f>"A0130525"</f>
        <v>A0130525</v>
      </c>
      <c r="D13996" t="s">
        <v>49414</v>
      </c>
      <c r="E13996" t="s">
        <v>49415</v>
      </c>
      <c r="F13996" t="s">
        <v>8103</v>
      </c>
      <c r="G13996" t="s">
        <v>427</v>
      </c>
      <c r="H13996">
        <v>68028</v>
      </c>
      <c r="I13996" t="s">
        <v>30</v>
      </c>
      <c r="J13996" t="s">
        <v>41</v>
      </c>
      <c r="K13996" t="s">
        <v>59</v>
      </c>
      <c r="Q13996">
        <v>0</v>
      </c>
      <c r="R13996">
        <v>128</v>
      </c>
      <c r="S13996">
        <v>128</v>
      </c>
      <c r="T13996" t="s">
        <v>49416</v>
      </c>
    </row>
    <row r="13997" spans="1:20" customFormat="1" ht="15" x14ac:dyDescent="0.25">
      <c r="A13997" t="s">
        <v>35</v>
      </c>
      <c r="B13997" t="s">
        <v>61</v>
      </c>
      <c r="C13997" t="str">
        <f>"A0121528"</f>
        <v>A0121528</v>
      </c>
      <c r="D13997" t="s">
        <v>49417</v>
      </c>
      <c r="E13997" t="s">
        <v>49418</v>
      </c>
      <c r="F13997" t="s">
        <v>49419</v>
      </c>
      <c r="G13997" t="s">
        <v>110</v>
      </c>
      <c r="H13997">
        <v>94574</v>
      </c>
      <c r="I13997" t="s">
        <v>30</v>
      </c>
      <c r="J13997" t="s">
        <v>41</v>
      </c>
      <c r="K13997" t="s">
        <v>59</v>
      </c>
      <c r="Q13997">
        <v>0</v>
      </c>
      <c r="R13997">
        <v>85</v>
      </c>
      <c r="S13997">
        <v>85</v>
      </c>
      <c r="T13997" t="s">
        <v>49420</v>
      </c>
    </row>
    <row r="13998" spans="1:20" customFormat="1" ht="15" x14ac:dyDescent="0.25">
      <c r="A13998" t="s">
        <v>35</v>
      </c>
      <c r="B13998" t="s">
        <v>61</v>
      </c>
      <c r="C13998" t="str">
        <f>"A0130137"</f>
        <v>A0130137</v>
      </c>
      <c r="D13998" t="s">
        <v>49421</v>
      </c>
      <c r="E13998" t="s">
        <v>49422</v>
      </c>
      <c r="F13998" t="s">
        <v>18462</v>
      </c>
      <c r="G13998" t="s">
        <v>1898</v>
      </c>
      <c r="H13998">
        <v>51442</v>
      </c>
      <c r="I13998" t="s">
        <v>30</v>
      </c>
      <c r="J13998" t="s">
        <v>41</v>
      </c>
      <c r="K13998" t="s">
        <v>59</v>
      </c>
      <c r="Q13998">
        <v>0</v>
      </c>
      <c r="R13998">
        <v>36</v>
      </c>
      <c r="S13998">
        <v>36</v>
      </c>
      <c r="T13998" t="s">
        <v>49423</v>
      </c>
    </row>
    <row r="13999" spans="1:20" customFormat="1" ht="15" x14ac:dyDescent="0.25">
      <c r="A13999" t="s">
        <v>35</v>
      </c>
      <c r="B13999" t="s">
        <v>61</v>
      </c>
      <c r="C13999" t="str">
        <f>"A0131502"</f>
        <v>A0131502</v>
      </c>
      <c r="D13999" t="s">
        <v>49424</v>
      </c>
      <c r="E13999" t="s">
        <v>49425</v>
      </c>
      <c r="F13999" t="s">
        <v>38304</v>
      </c>
      <c r="G13999" t="s">
        <v>137</v>
      </c>
      <c r="H13999">
        <v>63901</v>
      </c>
      <c r="I13999" t="s">
        <v>30</v>
      </c>
      <c r="J13999" t="s">
        <v>41</v>
      </c>
      <c r="K13999" t="s">
        <v>2477</v>
      </c>
      <c r="Q13999">
        <v>0</v>
      </c>
      <c r="R13999">
        <v>0</v>
      </c>
      <c r="S13999">
        <v>0</v>
      </c>
      <c r="T13999" t="s">
        <v>49426</v>
      </c>
    </row>
    <row r="14000" spans="1:20" customFormat="1" ht="15" x14ac:dyDescent="0.25">
      <c r="A14000" t="s">
        <v>35</v>
      </c>
      <c r="B14000" t="s">
        <v>61</v>
      </c>
      <c r="C14000" t="str">
        <f>"A0132772"</f>
        <v>A0132772</v>
      </c>
      <c r="D14000" t="s">
        <v>49427</v>
      </c>
      <c r="E14000" t="s">
        <v>49428</v>
      </c>
      <c r="F14000" t="s">
        <v>64</v>
      </c>
      <c r="G14000" t="s">
        <v>65</v>
      </c>
      <c r="H14000">
        <v>43204</v>
      </c>
      <c r="I14000" t="s">
        <v>30</v>
      </c>
      <c r="J14000" t="s">
        <v>41</v>
      </c>
      <c r="K14000" t="s">
        <v>2760</v>
      </c>
      <c r="Q14000">
        <v>0</v>
      </c>
      <c r="R14000">
        <v>0</v>
      </c>
      <c r="S14000">
        <v>0</v>
      </c>
      <c r="T14000" t="s">
        <v>49429</v>
      </c>
    </row>
    <row r="14001" spans="1:20" customFormat="1" ht="15" x14ac:dyDescent="0.25">
      <c r="A14001" t="s">
        <v>35</v>
      </c>
      <c r="B14001" t="s">
        <v>61</v>
      </c>
      <c r="C14001" t="str">
        <f>"A0122879"</f>
        <v>A0122879</v>
      </c>
      <c r="D14001" t="s">
        <v>49430</v>
      </c>
      <c r="E14001" t="s">
        <v>49431</v>
      </c>
      <c r="F14001" t="s">
        <v>5752</v>
      </c>
      <c r="G14001" t="s">
        <v>76</v>
      </c>
      <c r="H14001">
        <v>98009</v>
      </c>
      <c r="I14001" t="s">
        <v>30</v>
      </c>
      <c r="J14001" t="s">
        <v>41</v>
      </c>
      <c r="K14001" t="s">
        <v>229</v>
      </c>
      <c r="Q14001">
        <v>0</v>
      </c>
      <c r="R14001">
        <v>35</v>
      </c>
      <c r="S14001">
        <v>35</v>
      </c>
      <c r="T14001" t="s">
        <v>49432</v>
      </c>
    </row>
    <row r="14002" spans="1:20" customFormat="1" ht="15" x14ac:dyDescent="0.25">
      <c r="A14002" t="s">
        <v>35</v>
      </c>
      <c r="B14002" t="s">
        <v>61</v>
      </c>
      <c r="C14002" t="str">
        <f>"A0123916"</f>
        <v>A0123916</v>
      </c>
      <c r="D14002" t="s">
        <v>49433</v>
      </c>
      <c r="E14002" t="s">
        <v>49434</v>
      </c>
      <c r="F14002" t="s">
        <v>1795</v>
      </c>
      <c r="G14002" t="s">
        <v>29</v>
      </c>
      <c r="H14002">
        <v>23224</v>
      </c>
      <c r="I14002" t="s">
        <v>30</v>
      </c>
      <c r="J14002" t="s">
        <v>41</v>
      </c>
      <c r="K14002" t="s">
        <v>482</v>
      </c>
      <c r="Q14002">
        <v>0</v>
      </c>
      <c r="R14002">
        <v>80</v>
      </c>
      <c r="S14002">
        <v>80</v>
      </c>
    </row>
    <row r="14003" spans="1:20" customFormat="1" ht="15" x14ac:dyDescent="0.25">
      <c r="A14003" t="s">
        <v>35</v>
      </c>
      <c r="B14003" t="s">
        <v>61</v>
      </c>
      <c r="C14003" t="str">
        <f>"A0123917"</f>
        <v>A0123917</v>
      </c>
      <c r="D14003" t="s">
        <v>49435</v>
      </c>
      <c r="E14003" t="s">
        <v>49436</v>
      </c>
      <c r="F14003" t="s">
        <v>1795</v>
      </c>
      <c r="G14003" t="s">
        <v>29</v>
      </c>
      <c r="H14003">
        <v>23224</v>
      </c>
      <c r="I14003" t="s">
        <v>30</v>
      </c>
      <c r="J14003" t="s">
        <v>41</v>
      </c>
      <c r="K14003" t="s">
        <v>59</v>
      </c>
      <c r="Q14003">
        <v>0</v>
      </c>
      <c r="R14003">
        <v>90</v>
      </c>
      <c r="S14003">
        <v>90</v>
      </c>
      <c r="T14003" t="s">
        <v>49437</v>
      </c>
    </row>
    <row r="14004" spans="1:20" customFormat="1" ht="15" x14ac:dyDescent="0.25">
      <c r="A14004" t="s">
        <v>35</v>
      </c>
      <c r="B14004" t="s">
        <v>61</v>
      </c>
      <c r="C14004" t="str">
        <f>"A0129562"</f>
        <v>A0129562</v>
      </c>
      <c r="D14004" t="s">
        <v>49438</v>
      </c>
      <c r="E14004" t="s">
        <v>49439</v>
      </c>
      <c r="F14004" t="s">
        <v>40725</v>
      </c>
      <c r="G14004" t="s">
        <v>289</v>
      </c>
      <c r="H14004">
        <v>61132</v>
      </c>
      <c r="I14004" t="s">
        <v>30</v>
      </c>
      <c r="J14004" t="s">
        <v>41</v>
      </c>
      <c r="K14004" t="s">
        <v>42</v>
      </c>
      <c r="Q14004">
        <v>0</v>
      </c>
      <c r="R14004">
        <v>0</v>
      </c>
      <c r="S14004">
        <v>0</v>
      </c>
      <c r="T14004" t="s">
        <v>49440</v>
      </c>
    </row>
    <row r="14005" spans="1:20" customFormat="1" ht="15" x14ac:dyDescent="0.25">
      <c r="A14005" t="s">
        <v>35</v>
      </c>
      <c r="B14005" t="s">
        <v>61</v>
      </c>
      <c r="C14005" t="str">
        <f>"A0123555"</f>
        <v>A0123555</v>
      </c>
      <c r="D14005" t="s">
        <v>49441</v>
      </c>
      <c r="E14005" t="s">
        <v>49442</v>
      </c>
      <c r="F14005" t="s">
        <v>38052</v>
      </c>
      <c r="G14005" t="s">
        <v>214</v>
      </c>
      <c r="H14005">
        <v>27533</v>
      </c>
      <c r="I14005" t="s">
        <v>30</v>
      </c>
      <c r="J14005" t="s">
        <v>41</v>
      </c>
      <c r="K14005" t="s">
        <v>418</v>
      </c>
      <c r="Q14005">
        <v>0</v>
      </c>
      <c r="R14005">
        <v>0</v>
      </c>
      <c r="S14005">
        <v>0</v>
      </c>
      <c r="T14005" t="s">
        <v>49443</v>
      </c>
    </row>
    <row r="14006" spans="1:20" customFormat="1" ht="15" x14ac:dyDescent="0.25">
      <c r="A14006" t="s">
        <v>35</v>
      </c>
      <c r="B14006" t="s">
        <v>61</v>
      </c>
      <c r="C14006" t="str">
        <f>"A0127953"</f>
        <v>A0127953</v>
      </c>
      <c r="D14006" t="s">
        <v>49444</v>
      </c>
      <c r="E14006" t="s">
        <v>49445</v>
      </c>
      <c r="F14006" t="s">
        <v>49446</v>
      </c>
      <c r="G14006" t="s">
        <v>117</v>
      </c>
      <c r="H14006">
        <v>49464</v>
      </c>
      <c r="I14006" t="s">
        <v>30</v>
      </c>
      <c r="J14006" t="s">
        <v>41</v>
      </c>
      <c r="K14006" t="s">
        <v>229</v>
      </c>
      <c r="Q14006">
        <v>0</v>
      </c>
      <c r="R14006">
        <v>153</v>
      </c>
      <c r="S14006">
        <v>153</v>
      </c>
      <c r="T14006" t="s">
        <v>49447</v>
      </c>
    </row>
    <row r="14007" spans="1:20" customFormat="1" ht="15" x14ac:dyDescent="0.25">
      <c r="A14007" t="s">
        <v>35</v>
      </c>
      <c r="B14007" t="s">
        <v>61</v>
      </c>
      <c r="C14007" t="str">
        <f>"A0118521"</f>
        <v>A0118521</v>
      </c>
      <c r="D14007" t="s">
        <v>49448</v>
      </c>
      <c r="E14007" t="s">
        <v>49449</v>
      </c>
      <c r="F14007" t="s">
        <v>5742</v>
      </c>
      <c r="G14007" t="s">
        <v>110</v>
      </c>
      <c r="H14007">
        <v>95823</v>
      </c>
      <c r="I14007" t="s">
        <v>30</v>
      </c>
      <c r="J14007" t="s">
        <v>41</v>
      </c>
      <c r="K14007" t="s">
        <v>59</v>
      </c>
      <c r="Q14007">
        <v>0</v>
      </c>
      <c r="R14007">
        <v>144</v>
      </c>
      <c r="S14007">
        <v>144</v>
      </c>
      <c r="T14007" t="s">
        <v>49450</v>
      </c>
    </row>
    <row r="14008" spans="1:20" customFormat="1" ht="15" x14ac:dyDescent="0.25">
      <c r="A14008" t="s">
        <v>35</v>
      </c>
      <c r="B14008" t="s">
        <v>61</v>
      </c>
      <c r="C14008" t="str">
        <f>"A0124076"</f>
        <v>A0124076</v>
      </c>
      <c r="D14008" t="s">
        <v>49451</v>
      </c>
      <c r="E14008" t="s">
        <v>49452</v>
      </c>
      <c r="F14008" t="s">
        <v>49453</v>
      </c>
      <c r="G14008" t="s">
        <v>214</v>
      </c>
      <c r="H14008">
        <v>28779</v>
      </c>
      <c r="I14008" t="s">
        <v>30</v>
      </c>
      <c r="J14008" t="s">
        <v>41</v>
      </c>
      <c r="K14008" t="s">
        <v>229</v>
      </c>
      <c r="Q14008">
        <v>0</v>
      </c>
      <c r="R14008">
        <v>94</v>
      </c>
      <c r="S14008">
        <v>94</v>
      </c>
      <c r="T14008" t="s">
        <v>49454</v>
      </c>
    </row>
    <row r="14009" spans="1:20" customFormat="1" ht="15" x14ac:dyDescent="0.25">
      <c r="A14009" t="s">
        <v>35</v>
      </c>
      <c r="B14009" t="s">
        <v>61</v>
      </c>
      <c r="C14009" t="str">
        <f>"A0118854"</f>
        <v>A0118854</v>
      </c>
      <c r="D14009" t="s">
        <v>49455</v>
      </c>
      <c r="E14009" t="s">
        <v>49456</v>
      </c>
      <c r="F14009" t="s">
        <v>20829</v>
      </c>
      <c r="G14009" t="s">
        <v>110</v>
      </c>
      <c r="H14009">
        <v>90813</v>
      </c>
      <c r="I14009" t="s">
        <v>30</v>
      </c>
      <c r="J14009" t="s">
        <v>41</v>
      </c>
      <c r="K14009" t="s">
        <v>229</v>
      </c>
      <c r="Q14009">
        <v>0</v>
      </c>
      <c r="R14009">
        <v>99</v>
      </c>
      <c r="S14009">
        <v>99</v>
      </c>
      <c r="T14009" t="s">
        <v>49457</v>
      </c>
    </row>
    <row r="14010" spans="1:20" customFormat="1" ht="15" x14ac:dyDescent="0.25">
      <c r="A14010" t="s">
        <v>35</v>
      </c>
      <c r="B14010" t="s">
        <v>61</v>
      </c>
      <c r="C14010" t="str">
        <f>"A0125763"</f>
        <v>A0125763</v>
      </c>
      <c r="D14010" t="s">
        <v>49458</v>
      </c>
      <c r="E14010" t="s">
        <v>49459</v>
      </c>
      <c r="F14010" t="s">
        <v>4098</v>
      </c>
      <c r="G14010" t="s">
        <v>29</v>
      </c>
      <c r="H14010">
        <v>22664</v>
      </c>
      <c r="I14010" t="s">
        <v>30</v>
      </c>
      <c r="J14010" t="s">
        <v>41</v>
      </c>
      <c r="K14010" t="s">
        <v>229</v>
      </c>
      <c r="Q14010">
        <v>0</v>
      </c>
      <c r="R14010">
        <v>70</v>
      </c>
      <c r="S14010">
        <v>70</v>
      </c>
      <c r="T14010" t="s">
        <v>49460</v>
      </c>
    </row>
    <row r="14011" spans="1:20" customFormat="1" ht="15" x14ac:dyDescent="0.25">
      <c r="A14011" t="s">
        <v>35</v>
      </c>
      <c r="B14011" t="s">
        <v>61</v>
      </c>
      <c r="C14011" t="str">
        <f>"A0132916"</f>
        <v>A0132916</v>
      </c>
      <c r="D14011" t="s">
        <v>49461</v>
      </c>
      <c r="E14011" t="s">
        <v>49462</v>
      </c>
      <c r="F14011" t="s">
        <v>43401</v>
      </c>
      <c r="G14011" t="s">
        <v>65</v>
      </c>
      <c r="H14011">
        <v>44654</v>
      </c>
      <c r="I14011" t="s">
        <v>30</v>
      </c>
      <c r="J14011" t="s">
        <v>41</v>
      </c>
      <c r="K14011" t="s">
        <v>1440</v>
      </c>
      <c r="Q14011">
        <v>0</v>
      </c>
      <c r="R14011">
        <v>0</v>
      </c>
      <c r="S14011">
        <v>0</v>
      </c>
      <c r="T14011" t="s">
        <v>49463</v>
      </c>
    </row>
    <row r="14012" spans="1:20" customFormat="1" ht="15" x14ac:dyDescent="0.25">
      <c r="A14012" t="s">
        <v>35</v>
      </c>
      <c r="B14012" t="s">
        <v>437</v>
      </c>
      <c r="C14012" t="str">
        <f>"A0133872"</f>
        <v>A0133872</v>
      </c>
      <c r="D14012" t="s">
        <v>49464</v>
      </c>
      <c r="E14012" t="s">
        <v>49465</v>
      </c>
      <c r="F14012" t="s">
        <v>4674</v>
      </c>
      <c r="G14012" t="s">
        <v>214</v>
      </c>
      <c r="H14012">
        <v>27889</v>
      </c>
      <c r="I14012" t="s">
        <v>30</v>
      </c>
      <c r="J14012" t="s">
        <v>441</v>
      </c>
      <c r="K14012" t="s">
        <v>10607</v>
      </c>
      <c r="Q14012">
        <v>0</v>
      </c>
      <c r="R14012">
        <v>0</v>
      </c>
      <c r="S14012">
        <v>0</v>
      </c>
      <c r="T14012" t="s">
        <v>49466</v>
      </c>
    </row>
    <row r="14013" spans="1:20" customFormat="1" ht="15" x14ac:dyDescent="0.25">
      <c r="A14013" t="s">
        <v>35</v>
      </c>
      <c r="B14013" t="s">
        <v>106</v>
      </c>
      <c r="C14013" t="str">
        <f>"A0135609"</f>
        <v>A0135609</v>
      </c>
      <c r="D14013" t="s">
        <v>49467</v>
      </c>
      <c r="E14013" t="s">
        <v>49468</v>
      </c>
      <c r="F14013" t="s">
        <v>49469</v>
      </c>
      <c r="G14013" t="s">
        <v>52</v>
      </c>
      <c r="H14013">
        <v>76706</v>
      </c>
      <c r="I14013" t="s">
        <v>30</v>
      </c>
      <c r="J14013" t="s">
        <v>111</v>
      </c>
      <c r="K14013" t="s">
        <v>112</v>
      </c>
      <c r="Q14013">
        <v>0</v>
      </c>
      <c r="R14013">
        <v>0</v>
      </c>
      <c r="S14013">
        <v>0</v>
      </c>
      <c r="T14013" t="s">
        <v>49470</v>
      </c>
    </row>
    <row r="14014" spans="1:20" customFormat="1" ht="15" x14ac:dyDescent="0.25">
      <c r="A14014" t="s">
        <v>35</v>
      </c>
      <c r="B14014" t="s">
        <v>437</v>
      </c>
      <c r="C14014" t="str">
        <f>"A0135247"</f>
        <v>A0135247</v>
      </c>
      <c r="D14014" t="s">
        <v>49471</v>
      </c>
      <c r="E14014" t="s">
        <v>49472</v>
      </c>
      <c r="F14014" t="s">
        <v>22142</v>
      </c>
      <c r="G14014" t="s">
        <v>110</v>
      </c>
      <c r="H14014">
        <v>92651</v>
      </c>
      <c r="I14014" t="s">
        <v>30</v>
      </c>
      <c r="J14014" t="s">
        <v>441</v>
      </c>
      <c r="K14014" t="s">
        <v>442</v>
      </c>
      <c r="Q14014">
        <v>0</v>
      </c>
      <c r="R14014">
        <v>0</v>
      </c>
      <c r="S14014">
        <v>0</v>
      </c>
      <c r="T14014" t="s">
        <v>44961</v>
      </c>
    </row>
    <row r="14015" spans="1:20" customFormat="1" ht="15" x14ac:dyDescent="0.25">
      <c r="A14015" t="s">
        <v>35</v>
      </c>
      <c r="B14015" t="s">
        <v>61</v>
      </c>
      <c r="C14015" t="str">
        <f>"A0131941"</f>
        <v>A0131941</v>
      </c>
      <c r="D14015" t="s">
        <v>49473</v>
      </c>
      <c r="E14015" t="s">
        <v>49474</v>
      </c>
      <c r="F14015" t="s">
        <v>2307</v>
      </c>
      <c r="G14015" t="s">
        <v>65</v>
      </c>
      <c r="H14015">
        <v>441193084</v>
      </c>
      <c r="I14015" t="s">
        <v>30</v>
      </c>
      <c r="J14015" t="s">
        <v>41</v>
      </c>
      <c r="K14015" t="s">
        <v>229</v>
      </c>
      <c r="Q14015">
        <v>0</v>
      </c>
      <c r="R14015">
        <v>150</v>
      </c>
      <c r="S14015">
        <v>150</v>
      </c>
      <c r="T14015" t="s">
        <v>49475</v>
      </c>
    </row>
    <row r="14016" spans="1:20" customFormat="1" ht="15" x14ac:dyDescent="0.25">
      <c r="A14016" t="s">
        <v>35</v>
      </c>
      <c r="B14016" t="s">
        <v>61</v>
      </c>
      <c r="C14016" t="str">
        <f>"A0127654"</f>
        <v>A0127654</v>
      </c>
      <c r="D14016" t="s">
        <v>49476</v>
      </c>
      <c r="E14016" t="s">
        <v>49477</v>
      </c>
      <c r="F14016" t="s">
        <v>49478</v>
      </c>
      <c r="G14016" t="s">
        <v>123</v>
      </c>
      <c r="H14016">
        <v>20639</v>
      </c>
      <c r="I14016" t="s">
        <v>30</v>
      </c>
      <c r="J14016" t="s">
        <v>41</v>
      </c>
      <c r="K14016" t="s">
        <v>112</v>
      </c>
      <c r="Q14016">
        <v>0</v>
      </c>
      <c r="R14016">
        <v>0</v>
      </c>
      <c r="S14016">
        <v>0</v>
      </c>
      <c r="T14016" t="s">
        <v>49479</v>
      </c>
    </row>
    <row r="14017" spans="1:20" customFormat="1" ht="15" x14ac:dyDescent="0.25">
      <c r="A14017" t="s">
        <v>35</v>
      </c>
      <c r="B14017" t="s">
        <v>61</v>
      </c>
      <c r="C14017" t="str">
        <f>"A0126666"</f>
        <v>A0126666</v>
      </c>
      <c r="D14017" t="s">
        <v>49480</v>
      </c>
      <c r="E14017" t="s">
        <v>49481</v>
      </c>
      <c r="F14017" t="s">
        <v>49482</v>
      </c>
      <c r="G14017" t="s">
        <v>103</v>
      </c>
      <c r="H14017">
        <v>18707</v>
      </c>
      <c r="I14017" t="s">
        <v>30</v>
      </c>
      <c r="J14017" t="s">
        <v>41</v>
      </c>
      <c r="K14017" t="s">
        <v>59</v>
      </c>
      <c r="Q14017">
        <v>0</v>
      </c>
      <c r="R14017">
        <v>130</v>
      </c>
      <c r="S14017">
        <v>130</v>
      </c>
      <c r="T14017" t="s">
        <v>49483</v>
      </c>
    </row>
    <row r="14018" spans="1:20" customFormat="1" ht="15" x14ac:dyDescent="0.25">
      <c r="A14018" t="s">
        <v>35</v>
      </c>
      <c r="B14018" t="s">
        <v>61</v>
      </c>
      <c r="C14018" t="str">
        <f>"A0127282"</f>
        <v>A0127282</v>
      </c>
      <c r="D14018" t="s">
        <v>49484</v>
      </c>
      <c r="E14018" t="s">
        <v>49485</v>
      </c>
      <c r="F14018" t="s">
        <v>49486</v>
      </c>
      <c r="G14018" t="s">
        <v>846</v>
      </c>
      <c r="H14018">
        <v>31082</v>
      </c>
      <c r="I14018" t="s">
        <v>30</v>
      </c>
      <c r="J14018" t="s">
        <v>41</v>
      </c>
      <c r="K14018" t="s">
        <v>229</v>
      </c>
      <c r="Q14018">
        <v>0</v>
      </c>
      <c r="R14018">
        <v>56</v>
      </c>
      <c r="S14018">
        <v>56</v>
      </c>
      <c r="T14018" t="s">
        <v>49487</v>
      </c>
    </row>
    <row r="14019" spans="1:20" customFormat="1" ht="15" x14ac:dyDescent="0.25">
      <c r="A14019" t="s">
        <v>35</v>
      </c>
      <c r="B14019" t="s">
        <v>61</v>
      </c>
      <c r="C14019" t="str">
        <f>"A0124914"</f>
        <v>A0124914</v>
      </c>
      <c r="D14019" t="s">
        <v>49488</v>
      </c>
      <c r="E14019" t="s">
        <v>49489</v>
      </c>
      <c r="F14019" t="s">
        <v>37043</v>
      </c>
      <c r="G14019" t="s">
        <v>214</v>
      </c>
      <c r="H14019">
        <v>27577</v>
      </c>
      <c r="I14019" t="s">
        <v>30</v>
      </c>
      <c r="J14019" t="s">
        <v>41</v>
      </c>
      <c r="K14019" t="s">
        <v>229</v>
      </c>
      <c r="Q14019">
        <v>0</v>
      </c>
      <c r="R14019">
        <v>180</v>
      </c>
      <c r="S14019">
        <v>180</v>
      </c>
      <c r="T14019" t="s">
        <v>49490</v>
      </c>
    </row>
    <row r="14020" spans="1:20" customFormat="1" ht="15" x14ac:dyDescent="0.25">
      <c r="A14020" t="s">
        <v>35</v>
      </c>
      <c r="B14020" t="s">
        <v>61</v>
      </c>
      <c r="C14020" t="str">
        <f>"A0125691"</f>
        <v>A0125691</v>
      </c>
      <c r="D14020" t="s">
        <v>49491</v>
      </c>
      <c r="E14020" t="s">
        <v>49492</v>
      </c>
      <c r="F14020" t="s">
        <v>49493</v>
      </c>
      <c r="G14020" t="s">
        <v>29</v>
      </c>
      <c r="H14020">
        <v>24054</v>
      </c>
      <c r="I14020" t="s">
        <v>30</v>
      </c>
      <c r="J14020" t="s">
        <v>41</v>
      </c>
      <c r="K14020" t="s">
        <v>59</v>
      </c>
      <c r="Q14020">
        <v>0</v>
      </c>
      <c r="R14020">
        <v>20</v>
      </c>
      <c r="S14020">
        <v>20</v>
      </c>
      <c r="T14020" t="s">
        <v>49494</v>
      </c>
    </row>
    <row r="14021" spans="1:20" customFormat="1" ht="15" x14ac:dyDescent="0.25">
      <c r="A14021" t="s">
        <v>35</v>
      </c>
      <c r="B14021" t="s">
        <v>437</v>
      </c>
      <c r="C14021" t="str">
        <f>"A0133834"</f>
        <v>A0133834</v>
      </c>
      <c r="D14021" t="s">
        <v>49495</v>
      </c>
      <c r="E14021" t="s">
        <v>49496</v>
      </c>
      <c r="F14021" t="s">
        <v>9135</v>
      </c>
      <c r="G14021" t="s">
        <v>110</v>
      </c>
      <c r="H14021">
        <v>95112</v>
      </c>
      <c r="I14021" t="s">
        <v>30</v>
      </c>
      <c r="J14021" t="s">
        <v>441</v>
      </c>
      <c r="K14021" t="s">
        <v>442</v>
      </c>
      <c r="Q14021">
        <v>0</v>
      </c>
      <c r="R14021">
        <v>0</v>
      </c>
      <c r="S14021">
        <v>0</v>
      </c>
      <c r="T14021" t="s">
        <v>49497</v>
      </c>
    </row>
    <row r="14022" spans="1:20" customFormat="1" ht="15" x14ac:dyDescent="0.25">
      <c r="A14022" t="s">
        <v>35</v>
      </c>
      <c r="B14022" t="s">
        <v>437</v>
      </c>
      <c r="C14022" t="str">
        <f>"A0134015"</f>
        <v>A0134015</v>
      </c>
      <c r="D14022" t="s">
        <v>49498</v>
      </c>
      <c r="E14022" t="s">
        <v>49499</v>
      </c>
      <c r="F14022" t="s">
        <v>4599</v>
      </c>
      <c r="G14022" t="s">
        <v>110</v>
      </c>
      <c r="H14022">
        <v>94538</v>
      </c>
      <c r="I14022" t="s">
        <v>30</v>
      </c>
      <c r="J14022" t="s">
        <v>441</v>
      </c>
      <c r="K14022" t="s">
        <v>442</v>
      </c>
      <c r="Q14022">
        <v>0</v>
      </c>
      <c r="R14022">
        <v>0</v>
      </c>
      <c r="S14022">
        <v>0</v>
      </c>
      <c r="T14022" t="s">
        <v>49500</v>
      </c>
    </row>
    <row r="14023" spans="1:20" customFormat="1" ht="15" x14ac:dyDescent="0.25">
      <c r="A14023" t="s">
        <v>35</v>
      </c>
      <c r="B14023" t="s">
        <v>106</v>
      </c>
      <c r="C14023" t="str">
        <f>"A0135691"</f>
        <v>A0135691</v>
      </c>
      <c r="D14023" t="s">
        <v>49501</v>
      </c>
      <c r="E14023" t="s">
        <v>49502</v>
      </c>
      <c r="F14023" t="s">
        <v>49503</v>
      </c>
      <c r="G14023" t="s">
        <v>153</v>
      </c>
      <c r="H14023">
        <v>84627</v>
      </c>
      <c r="I14023" t="s">
        <v>30</v>
      </c>
      <c r="J14023" t="s">
        <v>111</v>
      </c>
      <c r="K14023" t="s">
        <v>112</v>
      </c>
      <c r="Q14023">
        <v>0</v>
      </c>
      <c r="R14023">
        <v>0</v>
      </c>
      <c r="S14023">
        <v>0</v>
      </c>
      <c r="T14023" t="s">
        <v>49504</v>
      </c>
    </row>
    <row r="14024" spans="1:20" customFormat="1" ht="15" x14ac:dyDescent="0.25">
      <c r="A14024" t="s">
        <v>35</v>
      </c>
      <c r="B14024" t="s">
        <v>437</v>
      </c>
      <c r="C14024" t="str">
        <f>"A0150974"</f>
        <v>A0150974</v>
      </c>
      <c r="D14024" t="s">
        <v>49505</v>
      </c>
      <c r="E14024" t="s">
        <v>49506</v>
      </c>
      <c r="F14024" t="s">
        <v>41368</v>
      </c>
      <c r="G14024" t="s">
        <v>110</v>
      </c>
      <c r="H14024">
        <v>92315</v>
      </c>
      <c r="I14024" t="s">
        <v>30</v>
      </c>
      <c r="J14024" t="s">
        <v>441</v>
      </c>
      <c r="K14024" t="s">
        <v>2458</v>
      </c>
      <c r="Q14024">
        <v>0</v>
      </c>
      <c r="R14024">
        <v>0</v>
      </c>
      <c r="S14024">
        <v>0</v>
      </c>
      <c r="T14024" t="s">
        <v>49507</v>
      </c>
    </row>
    <row r="14025" spans="1:20" customFormat="1" ht="15" x14ac:dyDescent="0.25">
      <c r="A14025" t="s">
        <v>35</v>
      </c>
      <c r="B14025" t="s">
        <v>106</v>
      </c>
      <c r="C14025" t="str">
        <f>"A0135351"</f>
        <v>A0135351</v>
      </c>
      <c r="D14025" t="s">
        <v>49508</v>
      </c>
      <c r="E14025" t="s">
        <v>49509</v>
      </c>
      <c r="F14025" t="s">
        <v>49510</v>
      </c>
      <c r="G14025" t="s">
        <v>110</v>
      </c>
      <c r="H14025">
        <v>91331</v>
      </c>
      <c r="I14025" t="s">
        <v>30</v>
      </c>
      <c r="J14025" t="s">
        <v>111</v>
      </c>
      <c r="K14025" t="s">
        <v>112</v>
      </c>
      <c r="Q14025">
        <v>0</v>
      </c>
      <c r="R14025">
        <v>0</v>
      </c>
      <c r="S14025">
        <v>0</v>
      </c>
      <c r="T14025" t="s">
        <v>49511</v>
      </c>
    </row>
    <row r="14026" spans="1:20" customFormat="1" ht="15" x14ac:dyDescent="0.25">
      <c r="A14026" t="s">
        <v>35</v>
      </c>
      <c r="B14026" t="s">
        <v>61</v>
      </c>
      <c r="C14026" t="str">
        <f>"A0123934"</f>
        <v>A0123934</v>
      </c>
      <c r="D14026" t="s">
        <v>49512</v>
      </c>
      <c r="E14026" t="s">
        <v>49513</v>
      </c>
      <c r="F14026" t="s">
        <v>8647</v>
      </c>
      <c r="G14026" t="s">
        <v>29</v>
      </c>
      <c r="H14026">
        <v>24153</v>
      </c>
      <c r="I14026" t="s">
        <v>30</v>
      </c>
      <c r="J14026" t="s">
        <v>41</v>
      </c>
      <c r="K14026" t="s">
        <v>229</v>
      </c>
      <c r="Q14026">
        <v>0</v>
      </c>
      <c r="R14026">
        <v>45</v>
      </c>
      <c r="S14026">
        <v>45</v>
      </c>
      <c r="T14026" t="s">
        <v>49514</v>
      </c>
    </row>
    <row r="14027" spans="1:20" customFormat="1" ht="15" x14ac:dyDescent="0.25">
      <c r="A14027" t="s">
        <v>35</v>
      </c>
      <c r="B14027" t="s">
        <v>106</v>
      </c>
      <c r="C14027" t="str">
        <f>"A0136044"</f>
        <v>A0136044</v>
      </c>
      <c r="D14027" t="s">
        <v>49515</v>
      </c>
      <c r="E14027" t="s">
        <v>49516</v>
      </c>
      <c r="F14027" t="s">
        <v>967</v>
      </c>
      <c r="G14027" t="s">
        <v>47</v>
      </c>
      <c r="H14027">
        <v>97520</v>
      </c>
      <c r="I14027" t="s">
        <v>30</v>
      </c>
      <c r="J14027" t="s">
        <v>111</v>
      </c>
      <c r="K14027" t="s">
        <v>10012</v>
      </c>
      <c r="Q14027">
        <v>0</v>
      </c>
      <c r="R14027">
        <v>0</v>
      </c>
      <c r="S14027">
        <v>0</v>
      </c>
      <c r="T14027" t="s">
        <v>49517</v>
      </c>
    </row>
    <row r="14028" spans="1:20" customFormat="1" ht="15" x14ac:dyDescent="0.25">
      <c r="A14028" t="s">
        <v>35</v>
      </c>
      <c r="B14028" t="s">
        <v>106</v>
      </c>
      <c r="C14028" t="str">
        <f>"A0136045"</f>
        <v>A0136045</v>
      </c>
      <c r="D14028" t="s">
        <v>49518</v>
      </c>
      <c r="E14028" t="s">
        <v>49516</v>
      </c>
      <c r="F14028" t="s">
        <v>967</v>
      </c>
      <c r="G14028" t="s">
        <v>47</v>
      </c>
      <c r="H14028">
        <v>97520</v>
      </c>
      <c r="I14028" t="s">
        <v>30</v>
      </c>
      <c r="J14028" t="s">
        <v>111</v>
      </c>
      <c r="K14028" t="s">
        <v>10012</v>
      </c>
      <c r="Q14028">
        <v>0</v>
      </c>
      <c r="R14028">
        <v>0</v>
      </c>
      <c r="S14028">
        <v>0</v>
      </c>
      <c r="T14028" t="s">
        <v>49517</v>
      </c>
    </row>
    <row r="14029" spans="1:20" customFormat="1" ht="15" x14ac:dyDescent="0.25">
      <c r="A14029" t="s">
        <v>35</v>
      </c>
      <c r="B14029" t="s">
        <v>106</v>
      </c>
      <c r="C14029" t="str">
        <f>"A0136047"</f>
        <v>A0136047</v>
      </c>
      <c r="D14029" t="s">
        <v>49519</v>
      </c>
      <c r="E14029" t="s">
        <v>49516</v>
      </c>
      <c r="F14029" t="s">
        <v>967</v>
      </c>
      <c r="G14029" t="s">
        <v>47</v>
      </c>
      <c r="H14029">
        <v>97520</v>
      </c>
      <c r="I14029" t="s">
        <v>30</v>
      </c>
      <c r="J14029" t="s">
        <v>111</v>
      </c>
      <c r="K14029" t="s">
        <v>10012</v>
      </c>
      <c r="Q14029">
        <v>0</v>
      </c>
      <c r="R14029">
        <v>0</v>
      </c>
      <c r="S14029">
        <v>0</v>
      </c>
      <c r="T14029" t="s">
        <v>49517</v>
      </c>
    </row>
    <row r="14030" spans="1:20" customFormat="1" ht="15" x14ac:dyDescent="0.25">
      <c r="A14030" t="s">
        <v>35</v>
      </c>
      <c r="B14030" t="s">
        <v>106</v>
      </c>
      <c r="C14030" t="str">
        <f>"A0136046"</f>
        <v>A0136046</v>
      </c>
      <c r="D14030" t="s">
        <v>49520</v>
      </c>
      <c r="E14030" t="s">
        <v>49516</v>
      </c>
      <c r="F14030" t="s">
        <v>967</v>
      </c>
      <c r="G14030" t="s">
        <v>47</v>
      </c>
      <c r="H14030">
        <v>97520</v>
      </c>
      <c r="I14030" t="s">
        <v>30</v>
      </c>
      <c r="J14030" t="s">
        <v>111</v>
      </c>
      <c r="K14030" t="s">
        <v>10012</v>
      </c>
      <c r="Q14030">
        <v>0</v>
      </c>
      <c r="R14030">
        <v>0</v>
      </c>
      <c r="S14030">
        <v>0</v>
      </c>
      <c r="T14030" t="s">
        <v>49517</v>
      </c>
    </row>
    <row r="14031" spans="1:20" customFormat="1" ht="15" x14ac:dyDescent="0.25">
      <c r="A14031" t="s">
        <v>35</v>
      </c>
      <c r="B14031" t="s">
        <v>61</v>
      </c>
      <c r="C14031" t="str">
        <f>"A0118824"</f>
        <v>A0118824</v>
      </c>
      <c r="D14031" t="s">
        <v>49521</v>
      </c>
      <c r="E14031" t="s">
        <v>49522</v>
      </c>
      <c r="F14031" t="s">
        <v>14697</v>
      </c>
      <c r="G14031" t="s">
        <v>110</v>
      </c>
      <c r="H14031">
        <v>90606</v>
      </c>
      <c r="I14031" t="s">
        <v>30</v>
      </c>
      <c r="J14031" t="s">
        <v>41</v>
      </c>
      <c r="K14031" t="s">
        <v>229</v>
      </c>
      <c r="Q14031">
        <v>0</v>
      </c>
      <c r="R14031">
        <v>59</v>
      </c>
      <c r="S14031">
        <v>59</v>
      </c>
      <c r="T14031" t="s">
        <v>49523</v>
      </c>
    </row>
    <row r="14032" spans="1:20" customFormat="1" ht="15" x14ac:dyDescent="0.25">
      <c r="A14032" t="s">
        <v>35</v>
      </c>
      <c r="B14032" t="s">
        <v>61</v>
      </c>
      <c r="C14032" t="str">
        <f>"A0132550"</f>
        <v>A0132550</v>
      </c>
      <c r="D14032" t="s">
        <v>49524</v>
      </c>
      <c r="E14032" t="s">
        <v>49525</v>
      </c>
      <c r="F14032" t="s">
        <v>19350</v>
      </c>
      <c r="G14032" t="s">
        <v>65</v>
      </c>
      <c r="H14032">
        <v>45005</v>
      </c>
      <c r="I14032" t="s">
        <v>30</v>
      </c>
      <c r="J14032" t="s">
        <v>41</v>
      </c>
      <c r="K14032" t="s">
        <v>131</v>
      </c>
      <c r="Q14032">
        <v>0</v>
      </c>
      <c r="R14032">
        <v>12</v>
      </c>
      <c r="S14032">
        <v>12</v>
      </c>
      <c r="T14032" t="s">
        <v>49526</v>
      </c>
    </row>
    <row r="14033" spans="1:20" customFormat="1" ht="15" x14ac:dyDescent="0.25">
      <c r="A14033" t="s">
        <v>35</v>
      </c>
      <c r="B14033" t="s">
        <v>61</v>
      </c>
      <c r="C14033" t="str">
        <f>"A0121811"</f>
        <v>A0121811</v>
      </c>
      <c r="D14033" t="s">
        <v>49527</v>
      </c>
      <c r="E14033" t="s">
        <v>49528</v>
      </c>
      <c r="F14033" t="s">
        <v>21033</v>
      </c>
      <c r="G14033" t="s">
        <v>110</v>
      </c>
      <c r="H14033">
        <v>95620</v>
      </c>
      <c r="I14033" t="s">
        <v>30</v>
      </c>
      <c r="J14033" t="s">
        <v>41</v>
      </c>
      <c r="K14033" t="s">
        <v>59</v>
      </c>
      <c r="Q14033">
        <v>0</v>
      </c>
      <c r="R14033">
        <v>38</v>
      </c>
      <c r="S14033">
        <v>38</v>
      </c>
      <c r="T14033" t="s">
        <v>49529</v>
      </c>
    </row>
    <row r="14034" spans="1:20" customFormat="1" ht="15" x14ac:dyDescent="0.25">
      <c r="A14034" t="s">
        <v>35</v>
      </c>
      <c r="B14034" t="s">
        <v>61</v>
      </c>
      <c r="C14034" t="str">
        <f>"A0118003"</f>
        <v>A0118003</v>
      </c>
      <c r="D14034" t="s">
        <v>49530</v>
      </c>
      <c r="E14034" t="s">
        <v>49531</v>
      </c>
      <c r="F14034" t="s">
        <v>7362</v>
      </c>
      <c r="G14034" t="s">
        <v>110</v>
      </c>
      <c r="H14034">
        <v>900410000</v>
      </c>
      <c r="I14034" t="s">
        <v>30</v>
      </c>
      <c r="J14034" t="s">
        <v>41</v>
      </c>
      <c r="K14034" t="s">
        <v>1440</v>
      </c>
      <c r="Q14034">
        <v>0</v>
      </c>
      <c r="R14034">
        <v>180</v>
      </c>
      <c r="S14034">
        <v>180</v>
      </c>
      <c r="T14034" t="s">
        <v>49532</v>
      </c>
    </row>
    <row r="14035" spans="1:20" customFormat="1" ht="15" x14ac:dyDescent="0.25">
      <c r="A14035" t="s">
        <v>35</v>
      </c>
      <c r="B14035" t="s">
        <v>61</v>
      </c>
      <c r="C14035" t="str">
        <f>"A0121525"</f>
        <v>A0121525</v>
      </c>
      <c r="D14035" t="s">
        <v>49533</v>
      </c>
      <c r="E14035" t="s">
        <v>49534</v>
      </c>
      <c r="F14035" t="s">
        <v>20829</v>
      </c>
      <c r="G14035" t="s">
        <v>110</v>
      </c>
      <c r="H14035">
        <v>90813</v>
      </c>
      <c r="I14035" t="s">
        <v>30</v>
      </c>
      <c r="J14035" t="s">
        <v>41</v>
      </c>
      <c r="K14035" t="s">
        <v>447</v>
      </c>
      <c r="Q14035">
        <v>0</v>
      </c>
      <c r="R14035">
        <v>0</v>
      </c>
      <c r="S14035">
        <v>0</v>
      </c>
      <c r="T14035" t="s">
        <v>49535</v>
      </c>
    </row>
    <row r="14036" spans="1:20" customFormat="1" ht="15" x14ac:dyDescent="0.25">
      <c r="A14036" t="s">
        <v>35</v>
      </c>
      <c r="B14036" t="s">
        <v>61</v>
      </c>
      <c r="C14036" t="str">
        <f>"A0130420"</f>
        <v>A0130420</v>
      </c>
      <c r="D14036" t="s">
        <v>49536</v>
      </c>
      <c r="E14036" t="s">
        <v>49537</v>
      </c>
      <c r="F14036" t="s">
        <v>49538</v>
      </c>
      <c r="G14036" t="s">
        <v>1898</v>
      </c>
      <c r="H14036">
        <v>52333</v>
      </c>
      <c r="I14036" t="s">
        <v>30</v>
      </c>
      <c r="J14036" t="s">
        <v>41</v>
      </c>
      <c r="K14036" t="s">
        <v>229</v>
      </c>
      <c r="Q14036">
        <v>0</v>
      </c>
      <c r="R14036">
        <v>68</v>
      </c>
      <c r="S14036">
        <v>68</v>
      </c>
      <c r="T14036" t="s">
        <v>49539</v>
      </c>
    </row>
    <row r="14037" spans="1:20" customFormat="1" ht="15" x14ac:dyDescent="0.25">
      <c r="A14037" t="s">
        <v>35</v>
      </c>
      <c r="B14037" t="s">
        <v>61</v>
      </c>
      <c r="C14037" t="str">
        <f>"A0118013"</f>
        <v>A0118013</v>
      </c>
      <c r="D14037" t="s">
        <v>49540</v>
      </c>
      <c r="E14037" t="s">
        <v>49541</v>
      </c>
      <c r="F14037" t="s">
        <v>49542</v>
      </c>
      <c r="G14037" t="s">
        <v>110</v>
      </c>
      <c r="H14037">
        <v>93464</v>
      </c>
      <c r="I14037" t="s">
        <v>30</v>
      </c>
      <c r="J14037" t="s">
        <v>41</v>
      </c>
      <c r="K14037" t="s">
        <v>1032</v>
      </c>
      <c r="Q14037">
        <v>0</v>
      </c>
      <c r="R14037">
        <v>38</v>
      </c>
      <c r="S14037">
        <v>38</v>
      </c>
      <c r="T14037" t="s">
        <v>49543</v>
      </c>
    </row>
    <row r="14038" spans="1:20" customFormat="1" ht="15" x14ac:dyDescent="0.25">
      <c r="A14038" t="s">
        <v>35</v>
      </c>
      <c r="B14038" t="s">
        <v>61</v>
      </c>
      <c r="C14038" t="str">
        <f>"A0119262"</f>
        <v>A0119262</v>
      </c>
      <c r="D14038" t="s">
        <v>49544</v>
      </c>
      <c r="E14038" t="s">
        <v>49545</v>
      </c>
      <c r="F14038" t="s">
        <v>49542</v>
      </c>
      <c r="G14038" t="s">
        <v>110</v>
      </c>
      <c r="H14038">
        <v>93463</v>
      </c>
      <c r="I14038" t="s">
        <v>30</v>
      </c>
      <c r="J14038" t="s">
        <v>41</v>
      </c>
      <c r="K14038" t="s">
        <v>1440</v>
      </c>
      <c r="Q14038">
        <v>0</v>
      </c>
      <c r="R14038">
        <v>200</v>
      </c>
      <c r="S14038">
        <v>200</v>
      </c>
      <c r="T14038" t="s">
        <v>49546</v>
      </c>
    </row>
    <row r="14039" spans="1:20" customFormat="1" ht="15" x14ac:dyDescent="0.25">
      <c r="A14039" t="s">
        <v>35</v>
      </c>
      <c r="B14039" t="s">
        <v>61</v>
      </c>
      <c r="C14039" t="str">
        <f>"A0123935"</f>
        <v>A0123935</v>
      </c>
      <c r="D14039" t="s">
        <v>546</v>
      </c>
      <c r="E14039" t="s">
        <v>49547</v>
      </c>
      <c r="F14039" t="s">
        <v>37575</v>
      </c>
      <c r="G14039" t="s">
        <v>29</v>
      </c>
      <c r="H14039">
        <v>24592</v>
      </c>
      <c r="I14039" t="s">
        <v>30</v>
      </c>
      <c r="J14039" t="s">
        <v>41</v>
      </c>
      <c r="K14039" t="s">
        <v>482</v>
      </c>
      <c r="Q14039">
        <v>0</v>
      </c>
      <c r="R14039">
        <v>64</v>
      </c>
      <c r="S14039">
        <v>64</v>
      </c>
      <c r="T14039" t="s">
        <v>49548</v>
      </c>
    </row>
    <row r="14040" spans="1:20" customFormat="1" ht="15" x14ac:dyDescent="0.25">
      <c r="A14040" t="s">
        <v>35</v>
      </c>
      <c r="B14040" t="s">
        <v>61</v>
      </c>
      <c r="C14040" t="str">
        <f>"A0126351"</f>
        <v>A0126351</v>
      </c>
      <c r="D14040" t="s">
        <v>49549</v>
      </c>
      <c r="E14040" t="s">
        <v>49550</v>
      </c>
      <c r="F14040" t="s">
        <v>4057</v>
      </c>
      <c r="G14040" t="s">
        <v>81</v>
      </c>
      <c r="H14040">
        <v>32940</v>
      </c>
      <c r="I14040" t="s">
        <v>30</v>
      </c>
      <c r="J14040" t="s">
        <v>41</v>
      </c>
      <c r="K14040" t="s">
        <v>59</v>
      </c>
      <c r="Q14040">
        <v>0</v>
      </c>
      <c r="R14040">
        <v>100</v>
      </c>
      <c r="S14040">
        <v>100</v>
      </c>
      <c r="T14040" t="s">
        <v>4028</v>
      </c>
    </row>
    <row r="14041" spans="1:20" customFormat="1" ht="15" x14ac:dyDescent="0.25">
      <c r="A14041" t="s">
        <v>35</v>
      </c>
      <c r="B14041" t="s">
        <v>61</v>
      </c>
      <c r="C14041" t="str">
        <f>"A0129446"</f>
        <v>A0129446</v>
      </c>
      <c r="D14041" t="s">
        <v>49551</v>
      </c>
      <c r="E14041" t="s">
        <v>49552</v>
      </c>
      <c r="F14041" t="s">
        <v>288</v>
      </c>
      <c r="G14041" t="s">
        <v>289</v>
      </c>
      <c r="H14041">
        <v>60637</v>
      </c>
      <c r="I14041" t="s">
        <v>30</v>
      </c>
      <c r="J14041" t="s">
        <v>41</v>
      </c>
      <c r="K14041" t="s">
        <v>66</v>
      </c>
      <c r="Q14041">
        <v>0</v>
      </c>
      <c r="R14041">
        <v>50</v>
      </c>
      <c r="S14041">
        <v>50</v>
      </c>
      <c r="T14041" t="s">
        <v>49553</v>
      </c>
    </row>
    <row r="14042" spans="1:20" customFormat="1" ht="15" x14ac:dyDescent="0.25">
      <c r="A14042" t="s">
        <v>35</v>
      </c>
      <c r="B14042" t="s">
        <v>106</v>
      </c>
      <c r="C14042" t="str">
        <f>"A0135340"</f>
        <v>A0135340</v>
      </c>
      <c r="D14042" t="s">
        <v>49554</v>
      </c>
      <c r="E14042" t="s">
        <v>41540</v>
      </c>
      <c r="F14042" t="s">
        <v>41541</v>
      </c>
      <c r="G14042" t="s">
        <v>110</v>
      </c>
      <c r="H14042">
        <v>90262</v>
      </c>
      <c r="I14042" t="s">
        <v>30</v>
      </c>
      <c r="J14042" t="s">
        <v>111</v>
      </c>
      <c r="K14042" t="s">
        <v>112</v>
      </c>
      <c r="Q14042">
        <v>0</v>
      </c>
      <c r="R14042">
        <v>0</v>
      </c>
      <c r="S14042">
        <v>0</v>
      </c>
      <c r="T14042" t="s">
        <v>41542</v>
      </c>
    </row>
    <row r="14043" spans="1:20" customFormat="1" ht="15" x14ac:dyDescent="0.25">
      <c r="A14043" t="s">
        <v>35</v>
      </c>
      <c r="B14043" t="s">
        <v>106</v>
      </c>
      <c r="C14043" t="str">
        <f>"A0135341"</f>
        <v>A0135341</v>
      </c>
      <c r="D14043" t="s">
        <v>49555</v>
      </c>
      <c r="E14043" t="s">
        <v>49556</v>
      </c>
      <c r="F14043" t="s">
        <v>41541</v>
      </c>
      <c r="G14043" t="s">
        <v>110</v>
      </c>
      <c r="H14043">
        <v>90262</v>
      </c>
      <c r="I14043" t="s">
        <v>30</v>
      </c>
      <c r="J14043" t="s">
        <v>111</v>
      </c>
      <c r="K14043" t="s">
        <v>112</v>
      </c>
      <c r="Q14043">
        <v>0</v>
      </c>
      <c r="R14043">
        <v>0</v>
      </c>
      <c r="S14043">
        <v>0</v>
      </c>
      <c r="T14043" t="s">
        <v>41542</v>
      </c>
    </row>
    <row r="14044" spans="1:20" customFormat="1" ht="15" x14ac:dyDescent="0.25">
      <c r="A14044" t="s">
        <v>35</v>
      </c>
      <c r="B14044" t="s">
        <v>61</v>
      </c>
      <c r="C14044" t="str">
        <f>"A0131735"</f>
        <v>A0131735</v>
      </c>
      <c r="D14044" t="s">
        <v>49557</v>
      </c>
      <c r="E14044" t="s">
        <v>49558</v>
      </c>
      <c r="F14044" t="s">
        <v>45815</v>
      </c>
      <c r="G14044" t="s">
        <v>65</v>
      </c>
      <c r="H14044">
        <v>43015</v>
      </c>
      <c r="I14044" t="s">
        <v>30</v>
      </c>
      <c r="J14044" t="s">
        <v>41</v>
      </c>
      <c r="K14044" t="s">
        <v>2760</v>
      </c>
      <c r="Q14044">
        <v>0</v>
      </c>
      <c r="R14044">
        <v>1</v>
      </c>
      <c r="S14044">
        <v>1</v>
      </c>
      <c r="T14044" t="s">
        <v>49559</v>
      </c>
    </row>
    <row r="14045" spans="1:20" customFormat="1" ht="15" x14ac:dyDescent="0.25">
      <c r="A14045" t="s">
        <v>35</v>
      </c>
      <c r="B14045" t="s">
        <v>61</v>
      </c>
      <c r="C14045" t="str">
        <f>"A0123936"</f>
        <v>A0123936</v>
      </c>
      <c r="D14045" t="s">
        <v>49560</v>
      </c>
      <c r="E14045" t="s">
        <v>49561</v>
      </c>
      <c r="F14045" t="s">
        <v>37575</v>
      </c>
      <c r="G14045" t="s">
        <v>29</v>
      </c>
      <c r="H14045">
        <v>24592</v>
      </c>
      <c r="I14045" t="s">
        <v>30</v>
      </c>
      <c r="J14045" t="s">
        <v>41</v>
      </c>
      <c r="K14045" t="s">
        <v>229</v>
      </c>
      <c r="Q14045">
        <v>0</v>
      </c>
      <c r="R14045">
        <v>54</v>
      </c>
      <c r="S14045">
        <v>54</v>
      </c>
      <c r="T14045" t="s">
        <v>49562</v>
      </c>
    </row>
    <row r="14046" spans="1:20" customFormat="1" ht="15" x14ac:dyDescent="0.25">
      <c r="A14046" t="s">
        <v>35</v>
      </c>
      <c r="B14046" t="s">
        <v>61</v>
      </c>
      <c r="C14046" t="str">
        <f>"A0124339"</f>
        <v>A0124339</v>
      </c>
      <c r="D14046" t="s">
        <v>49563</v>
      </c>
      <c r="E14046" t="s">
        <v>49564</v>
      </c>
      <c r="F14046" t="s">
        <v>17875</v>
      </c>
      <c r="G14046" t="s">
        <v>2391</v>
      </c>
      <c r="H14046">
        <v>5403</v>
      </c>
      <c r="I14046" t="s">
        <v>30</v>
      </c>
      <c r="J14046" t="s">
        <v>41</v>
      </c>
      <c r="K14046" t="s">
        <v>59</v>
      </c>
      <c r="Q14046">
        <v>0</v>
      </c>
      <c r="R14046">
        <v>140</v>
      </c>
      <c r="S14046">
        <v>140</v>
      </c>
      <c r="T14046" t="s">
        <v>49565</v>
      </c>
    </row>
    <row r="14047" spans="1:20" customFormat="1" ht="15" x14ac:dyDescent="0.25">
      <c r="A14047" t="s">
        <v>35</v>
      </c>
      <c r="B14047" t="s">
        <v>61</v>
      </c>
      <c r="C14047" t="str">
        <f>"A0121330"</f>
        <v>A0121330</v>
      </c>
      <c r="D14047" t="s">
        <v>49566</v>
      </c>
      <c r="E14047" t="s">
        <v>49567</v>
      </c>
      <c r="F14047" t="s">
        <v>49568</v>
      </c>
      <c r="G14047" t="s">
        <v>1587</v>
      </c>
      <c r="H14047">
        <v>87747</v>
      </c>
      <c r="I14047" t="s">
        <v>30</v>
      </c>
      <c r="J14047" t="s">
        <v>41</v>
      </c>
      <c r="K14047" t="s">
        <v>229</v>
      </c>
      <c r="Q14047">
        <v>0</v>
      </c>
      <c r="R14047">
        <v>33</v>
      </c>
      <c r="S14047">
        <v>33</v>
      </c>
      <c r="T14047" t="s">
        <v>49569</v>
      </c>
    </row>
    <row r="14048" spans="1:20" customFormat="1" ht="15" x14ac:dyDescent="0.25">
      <c r="A14048" t="s">
        <v>35</v>
      </c>
      <c r="B14048" t="s">
        <v>61</v>
      </c>
      <c r="C14048" t="str">
        <f>"A0131011"</f>
        <v>A0131011</v>
      </c>
      <c r="D14048" t="s">
        <v>49570</v>
      </c>
      <c r="E14048" t="s">
        <v>49571</v>
      </c>
      <c r="F14048" t="s">
        <v>49572</v>
      </c>
      <c r="G14048" t="s">
        <v>137</v>
      </c>
      <c r="H14048">
        <v>630100000</v>
      </c>
      <c r="I14048" t="s">
        <v>30</v>
      </c>
      <c r="J14048" t="s">
        <v>41</v>
      </c>
      <c r="K14048" t="s">
        <v>229</v>
      </c>
      <c r="Q14048">
        <v>0</v>
      </c>
      <c r="R14048">
        <v>153</v>
      </c>
      <c r="S14048">
        <v>153</v>
      </c>
      <c r="T14048" t="s">
        <v>49573</v>
      </c>
    </row>
    <row r="14049" spans="1:20" customFormat="1" ht="15" x14ac:dyDescent="0.25">
      <c r="A14049" t="s">
        <v>35</v>
      </c>
      <c r="B14049" t="s">
        <v>61</v>
      </c>
      <c r="C14049" t="str">
        <f>"A0118208"</f>
        <v>A0118208</v>
      </c>
      <c r="D14049" t="s">
        <v>49574</v>
      </c>
      <c r="E14049" t="s">
        <v>49575</v>
      </c>
      <c r="F14049" t="s">
        <v>49576</v>
      </c>
      <c r="G14049" t="s">
        <v>153</v>
      </c>
      <c r="H14049">
        <v>84010</v>
      </c>
      <c r="I14049" t="s">
        <v>30</v>
      </c>
      <c r="J14049" t="s">
        <v>41</v>
      </c>
      <c r="K14049" t="s">
        <v>229</v>
      </c>
      <c r="Q14049">
        <v>0</v>
      </c>
      <c r="R14049">
        <v>231</v>
      </c>
      <c r="S14049">
        <v>231</v>
      </c>
      <c r="T14049" t="s">
        <v>49577</v>
      </c>
    </row>
    <row r="14050" spans="1:20" customFormat="1" ht="15" x14ac:dyDescent="0.25">
      <c r="A14050" t="s">
        <v>35</v>
      </c>
      <c r="B14050" t="s">
        <v>61</v>
      </c>
      <c r="C14050" t="str">
        <f>"A0124499"</f>
        <v>A0124499</v>
      </c>
      <c r="D14050" t="s">
        <v>49578</v>
      </c>
      <c r="E14050" t="s">
        <v>49579</v>
      </c>
      <c r="F14050" t="s">
        <v>49580</v>
      </c>
      <c r="G14050" t="s">
        <v>1706</v>
      </c>
      <c r="H14050">
        <v>357630000</v>
      </c>
      <c r="I14050" t="s">
        <v>30</v>
      </c>
      <c r="J14050" t="s">
        <v>41</v>
      </c>
      <c r="K14050" t="s">
        <v>229</v>
      </c>
      <c r="Q14050">
        <v>0</v>
      </c>
      <c r="R14050">
        <v>81</v>
      </c>
      <c r="S14050">
        <v>81</v>
      </c>
      <c r="T14050" t="s">
        <v>49581</v>
      </c>
    </row>
    <row r="14051" spans="1:20" customFormat="1" ht="15" x14ac:dyDescent="0.25">
      <c r="A14051" t="s">
        <v>35</v>
      </c>
      <c r="B14051" t="s">
        <v>61</v>
      </c>
      <c r="C14051" t="str">
        <f>"A0123937"</f>
        <v>A0123937</v>
      </c>
      <c r="D14051" t="s">
        <v>49582</v>
      </c>
      <c r="E14051" t="s">
        <v>49583</v>
      </c>
      <c r="F14051" t="s">
        <v>42951</v>
      </c>
      <c r="G14051" t="s">
        <v>214</v>
      </c>
      <c r="H14051">
        <v>27944</v>
      </c>
      <c r="I14051" t="s">
        <v>30</v>
      </c>
      <c r="J14051" t="s">
        <v>41</v>
      </c>
      <c r="K14051" t="s">
        <v>482</v>
      </c>
      <c r="Q14051">
        <v>0</v>
      </c>
      <c r="R14051">
        <v>29</v>
      </c>
      <c r="S14051">
        <v>29</v>
      </c>
      <c r="T14051" t="s">
        <v>42952</v>
      </c>
    </row>
    <row r="14052" spans="1:20" customFormat="1" ht="15" x14ac:dyDescent="0.25">
      <c r="A14052" t="s">
        <v>35</v>
      </c>
      <c r="B14052" t="s">
        <v>61</v>
      </c>
      <c r="C14052" t="str">
        <f>"A0129058"</f>
        <v>A0129058</v>
      </c>
      <c r="D14052" t="s">
        <v>49584</v>
      </c>
      <c r="E14052" t="s">
        <v>49585</v>
      </c>
      <c r="F14052" t="s">
        <v>49586</v>
      </c>
      <c r="G14052" t="s">
        <v>289</v>
      </c>
      <c r="H14052">
        <v>62014</v>
      </c>
      <c r="I14052" t="s">
        <v>30</v>
      </c>
      <c r="J14052" t="s">
        <v>41</v>
      </c>
      <c r="K14052" t="s">
        <v>229</v>
      </c>
      <c r="Q14052">
        <v>0</v>
      </c>
      <c r="R14052">
        <v>50</v>
      </c>
      <c r="S14052">
        <v>50</v>
      </c>
      <c r="T14052" t="s">
        <v>49587</v>
      </c>
    </row>
    <row r="14053" spans="1:20" customFormat="1" ht="15" x14ac:dyDescent="0.25">
      <c r="A14053" t="s">
        <v>35</v>
      </c>
      <c r="B14053" t="s">
        <v>106</v>
      </c>
      <c r="C14053" t="str">
        <f>"A0136141"</f>
        <v>A0136141</v>
      </c>
      <c r="D14053" t="s">
        <v>49588</v>
      </c>
      <c r="E14053" t="s">
        <v>49589</v>
      </c>
      <c r="F14053" t="s">
        <v>49590</v>
      </c>
      <c r="G14053" t="s">
        <v>1706</v>
      </c>
      <c r="H14053">
        <v>38036</v>
      </c>
      <c r="I14053" t="s">
        <v>30</v>
      </c>
      <c r="J14053" t="s">
        <v>111</v>
      </c>
      <c r="K14053" t="s">
        <v>112</v>
      </c>
      <c r="Q14053">
        <v>0</v>
      </c>
      <c r="R14053">
        <v>0</v>
      </c>
      <c r="S14053">
        <v>0</v>
      </c>
      <c r="T14053" t="s">
        <v>49591</v>
      </c>
    </row>
    <row r="14054" spans="1:20" customFormat="1" ht="15" x14ac:dyDescent="0.25">
      <c r="A14054" t="s">
        <v>35</v>
      </c>
      <c r="B14054" t="s">
        <v>106</v>
      </c>
      <c r="C14054" t="str">
        <f>"A0136287"</f>
        <v>A0136287</v>
      </c>
      <c r="D14054" t="s">
        <v>49592</v>
      </c>
      <c r="E14054" t="s">
        <v>49593</v>
      </c>
      <c r="F14054" t="s">
        <v>49594</v>
      </c>
      <c r="G14054" t="s">
        <v>117</v>
      </c>
      <c r="H14054">
        <v>49955</v>
      </c>
      <c r="I14054" t="s">
        <v>30</v>
      </c>
      <c r="J14054" t="s">
        <v>111</v>
      </c>
      <c r="K14054" t="s">
        <v>112</v>
      </c>
      <c r="Q14054">
        <v>0</v>
      </c>
      <c r="R14054">
        <v>0</v>
      </c>
      <c r="S14054">
        <v>0</v>
      </c>
      <c r="T14054" t="s">
        <v>49595</v>
      </c>
    </row>
    <row r="14055" spans="1:20" customFormat="1" ht="15" x14ac:dyDescent="0.25">
      <c r="A14055" t="s">
        <v>35</v>
      </c>
      <c r="B14055" t="s">
        <v>36544</v>
      </c>
      <c r="C14055" t="str">
        <f>"A0123938"</f>
        <v>A0123938</v>
      </c>
      <c r="D14055" t="s">
        <v>49596</v>
      </c>
      <c r="E14055" t="s">
        <v>49597</v>
      </c>
      <c r="F14055" t="s">
        <v>4108</v>
      </c>
      <c r="G14055" t="s">
        <v>29</v>
      </c>
      <c r="H14055">
        <v>24014</v>
      </c>
      <c r="I14055" t="s">
        <v>30</v>
      </c>
      <c r="J14055" t="s">
        <v>41</v>
      </c>
      <c r="K14055" t="s">
        <v>229</v>
      </c>
      <c r="Q14055">
        <v>0</v>
      </c>
      <c r="R14055">
        <v>104</v>
      </c>
      <c r="S14055">
        <v>104</v>
      </c>
      <c r="T14055" t="s">
        <v>49598</v>
      </c>
    </row>
    <row r="14056" spans="1:20" customFormat="1" ht="15" x14ac:dyDescent="0.25">
      <c r="A14056" t="s">
        <v>35</v>
      </c>
      <c r="B14056" t="s">
        <v>61</v>
      </c>
      <c r="C14056" t="str">
        <f>"A0126255"</f>
        <v>A0126255</v>
      </c>
      <c r="D14056" t="s">
        <v>49599</v>
      </c>
      <c r="E14056" t="s">
        <v>49600</v>
      </c>
      <c r="F14056" t="s">
        <v>2714</v>
      </c>
      <c r="G14056" t="s">
        <v>81</v>
      </c>
      <c r="H14056">
        <v>33611</v>
      </c>
      <c r="I14056" t="s">
        <v>30</v>
      </c>
      <c r="J14056" t="s">
        <v>41</v>
      </c>
      <c r="K14056" t="s">
        <v>229</v>
      </c>
      <c r="Q14056">
        <v>0</v>
      </c>
      <c r="R14056">
        <v>179</v>
      </c>
      <c r="S14056">
        <v>179</v>
      </c>
      <c r="T14056" t="s">
        <v>49601</v>
      </c>
    </row>
    <row r="14057" spans="1:20" customFormat="1" ht="15" x14ac:dyDescent="0.25">
      <c r="A14057" t="s">
        <v>35</v>
      </c>
      <c r="B14057" t="s">
        <v>61</v>
      </c>
      <c r="C14057" t="str">
        <f>"A0131033"</f>
        <v>A0131033</v>
      </c>
      <c r="D14057" t="s">
        <v>49602</v>
      </c>
      <c r="E14057" t="s">
        <v>49603</v>
      </c>
      <c r="F14057" t="s">
        <v>44128</v>
      </c>
      <c r="G14057" t="s">
        <v>137</v>
      </c>
      <c r="H14057">
        <v>638570000</v>
      </c>
      <c r="I14057" t="s">
        <v>30</v>
      </c>
      <c r="J14057" t="s">
        <v>41</v>
      </c>
      <c r="K14057" t="s">
        <v>59</v>
      </c>
      <c r="Q14057">
        <v>0</v>
      </c>
      <c r="R14057">
        <v>40</v>
      </c>
      <c r="S14057">
        <v>40</v>
      </c>
      <c r="T14057" t="s">
        <v>44129</v>
      </c>
    </row>
    <row r="14058" spans="1:20" customFormat="1" ht="15" x14ac:dyDescent="0.25">
      <c r="A14058" t="s">
        <v>35</v>
      </c>
      <c r="B14058" t="s">
        <v>61</v>
      </c>
      <c r="C14058" t="str">
        <f>"A0130168"</f>
        <v>A0130168</v>
      </c>
      <c r="D14058" t="s">
        <v>49604</v>
      </c>
      <c r="E14058" t="s">
        <v>49605</v>
      </c>
      <c r="F14058" t="s">
        <v>5786</v>
      </c>
      <c r="G14058" t="s">
        <v>1898</v>
      </c>
      <c r="H14058">
        <v>52632</v>
      </c>
      <c r="I14058" t="s">
        <v>30</v>
      </c>
      <c r="J14058" t="s">
        <v>41</v>
      </c>
      <c r="K14058" t="s">
        <v>229</v>
      </c>
      <c r="Q14058">
        <v>0</v>
      </c>
      <c r="R14058">
        <v>57</v>
      </c>
      <c r="S14058">
        <v>57</v>
      </c>
      <c r="T14058" t="s">
        <v>49606</v>
      </c>
    </row>
    <row r="14059" spans="1:20" customFormat="1" ht="15" x14ac:dyDescent="0.25">
      <c r="A14059" t="s">
        <v>35</v>
      </c>
      <c r="B14059" t="s">
        <v>61</v>
      </c>
      <c r="C14059" t="str">
        <f>"A0124633"</f>
        <v>A0124633</v>
      </c>
      <c r="D14059" t="s">
        <v>49607</v>
      </c>
      <c r="E14059" t="s">
        <v>49608</v>
      </c>
      <c r="F14059" t="s">
        <v>45786</v>
      </c>
      <c r="G14059" t="s">
        <v>1369</v>
      </c>
      <c r="H14059">
        <v>391540000</v>
      </c>
      <c r="I14059" t="s">
        <v>30</v>
      </c>
      <c r="J14059" t="s">
        <v>41</v>
      </c>
      <c r="K14059" t="s">
        <v>290</v>
      </c>
      <c r="Q14059">
        <v>0</v>
      </c>
      <c r="R14059">
        <v>1</v>
      </c>
      <c r="S14059">
        <v>1</v>
      </c>
      <c r="T14059" t="s">
        <v>45787</v>
      </c>
    </row>
    <row r="14060" spans="1:20" customFormat="1" ht="15" x14ac:dyDescent="0.25">
      <c r="A14060" t="s">
        <v>35</v>
      </c>
      <c r="B14060" t="s">
        <v>106</v>
      </c>
      <c r="C14060" t="str">
        <f>"A0135575"</f>
        <v>A0135575</v>
      </c>
      <c r="D14060" t="s">
        <v>49609</v>
      </c>
      <c r="E14060" t="s">
        <v>49610</v>
      </c>
      <c r="F14060" t="s">
        <v>49611</v>
      </c>
      <c r="G14060" t="s">
        <v>880</v>
      </c>
      <c r="H14060">
        <v>373150370</v>
      </c>
      <c r="I14060" t="s">
        <v>30</v>
      </c>
      <c r="J14060" t="s">
        <v>111</v>
      </c>
      <c r="K14060" t="s">
        <v>112</v>
      </c>
      <c r="Q14060">
        <v>0</v>
      </c>
      <c r="R14060">
        <v>0</v>
      </c>
      <c r="S14060">
        <v>0</v>
      </c>
      <c r="T14060" t="s">
        <v>49612</v>
      </c>
    </row>
    <row r="14061" spans="1:20" customFormat="1" ht="15" x14ac:dyDescent="0.25">
      <c r="A14061" t="s">
        <v>35</v>
      </c>
      <c r="B14061" t="s">
        <v>61</v>
      </c>
      <c r="C14061" t="str">
        <f>"A0124079"</f>
        <v>A0124079</v>
      </c>
      <c r="D14061" t="s">
        <v>49613</v>
      </c>
      <c r="E14061" t="s">
        <v>49614</v>
      </c>
      <c r="F14061" t="s">
        <v>49615</v>
      </c>
      <c r="G14061" t="s">
        <v>880</v>
      </c>
      <c r="H14061">
        <v>37412</v>
      </c>
      <c r="I14061" t="s">
        <v>30</v>
      </c>
      <c r="J14061" t="s">
        <v>41</v>
      </c>
      <c r="K14061" t="s">
        <v>482</v>
      </c>
      <c r="Q14061">
        <v>0</v>
      </c>
      <c r="R14061">
        <v>60</v>
      </c>
      <c r="S14061">
        <v>60</v>
      </c>
      <c r="T14061" t="s">
        <v>49616</v>
      </c>
    </row>
    <row r="14062" spans="1:20" customFormat="1" ht="15" x14ac:dyDescent="0.25">
      <c r="A14062" t="s">
        <v>35</v>
      </c>
      <c r="B14062" t="s">
        <v>61</v>
      </c>
      <c r="C14062" t="str">
        <f>"A0131087"</f>
        <v>A0131087</v>
      </c>
      <c r="D14062" t="s">
        <v>49617</v>
      </c>
      <c r="E14062" t="s">
        <v>49618</v>
      </c>
      <c r="F14062" t="s">
        <v>40435</v>
      </c>
      <c r="G14062" t="s">
        <v>85</v>
      </c>
      <c r="H14062">
        <v>71654</v>
      </c>
      <c r="I14062" t="s">
        <v>30</v>
      </c>
      <c r="J14062" t="s">
        <v>41</v>
      </c>
      <c r="K14062" t="s">
        <v>229</v>
      </c>
      <c r="Q14062">
        <v>0</v>
      </c>
      <c r="R14062">
        <v>140</v>
      </c>
      <c r="S14062">
        <v>140</v>
      </c>
      <c r="T14062" t="s">
        <v>33798</v>
      </c>
    </row>
    <row r="14063" spans="1:20" customFormat="1" ht="15" x14ac:dyDescent="0.25">
      <c r="A14063" t="s">
        <v>35</v>
      </c>
      <c r="B14063" t="s">
        <v>437</v>
      </c>
      <c r="C14063" t="str">
        <f>"A0134635"</f>
        <v>A0134635</v>
      </c>
      <c r="D14063" t="s">
        <v>49619</v>
      </c>
      <c r="E14063" t="s">
        <v>49620</v>
      </c>
      <c r="F14063" t="s">
        <v>8348</v>
      </c>
      <c r="G14063" t="s">
        <v>40</v>
      </c>
      <c r="H14063">
        <v>74136</v>
      </c>
      <c r="I14063" t="s">
        <v>30</v>
      </c>
      <c r="J14063" t="s">
        <v>441</v>
      </c>
      <c r="K14063" t="s">
        <v>442</v>
      </c>
      <c r="Q14063">
        <v>0</v>
      </c>
      <c r="R14063">
        <v>0</v>
      </c>
      <c r="S14063">
        <v>0</v>
      </c>
      <c r="T14063" t="s">
        <v>49621</v>
      </c>
    </row>
    <row r="14064" spans="1:20" customFormat="1" ht="15" x14ac:dyDescent="0.25">
      <c r="A14064" t="s">
        <v>35</v>
      </c>
      <c r="B14064" t="s">
        <v>61</v>
      </c>
      <c r="C14064" t="str">
        <f>"A0124340"</f>
        <v>A0124340</v>
      </c>
      <c r="D14064" t="s">
        <v>49622</v>
      </c>
      <c r="E14064" t="s">
        <v>49623</v>
      </c>
      <c r="F14064" t="s">
        <v>3193</v>
      </c>
      <c r="G14064" t="s">
        <v>123</v>
      </c>
      <c r="H14064">
        <v>20735</v>
      </c>
      <c r="I14064" t="s">
        <v>30</v>
      </c>
      <c r="J14064" t="s">
        <v>41</v>
      </c>
      <c r="K14064" t="s">
        <v>229</v>
      </c>
      <c r="Q14064">
        <v>0</v>
      </c>
      <c r="R14064">
        <v>358</v>
      </c>
      <c r="S14064">
        <v>358</v>
      </c>
      <c r="T14064" t="s">
        <v>49624</v>
      </c>
    </row>
    <row r="14065" spans="1:20" customFormat="1" ht="15" x14ac:dyDescent="0.25">
      <c r="A14065" t="s">
        <v>35</v>
      </c>
      <c r="B14065" t="s">
        <v>61</v>
      </c>
      <c r="C14065" t="str">
        <f>"A0125170"</f>
        <v>A0125170</v>
      </c>
      <c r="D14065" t="s">
        <v>49625</v>
      </c>
      <c r="E14065" t="s">
        <v>49626</v>
      </c>
      <c r="F14065" t="s">
        <v>17740</v>
      </c>
      <c r="G14065" t="s">
        <v>40</v>
      </c>
      <c r="H14065">
        <v>74501</v>
      </c>
      <c r="I14065" t="s">
        <v>30</v>
      </c>
      <c r="J14065" t="s">
        <v>41</v>
      </c>
      <c r="K14065" t="s">
        <v>59</v>
      </c>
      <c r="Q14065">
        <v>0</v>
      </c>
      <c r="R14065">
        <v>1</v>
      </c>
      <c r="S14065">
        <v>1</v>
      </c>
      <c r="T14065" t="s">
        <v>49627</v>
      </c>
    </row>
    <row r="14066" spans="1:20" customFormat="1" ht="15" x14ac:dyDescent="0.25">
      <c r="A14066" t="s">
        <v>35</v>
      </c>
      <c r="B14066" t="s">
        <v>61</v>
      </c>
      <c r="C14066" t="str">
        <f>"A0133133"</f>
        <v>A0133133</v>
      </c>
      <c r="D14066" t="s">
        <v>49628</v>
      </c>
      <c r="E14066" t="s">
        <v>49629</v>
      </c>
      <c r="F14066" t="s">
        <v>49630</v>
      </c>
      <c r="G14066" t="s">
        <v>52</v>
      </c>
      <c r="H14066">
        <v>79407</v>
      </c>
      <c r="I14066" t="s">
        <v>30</v>
      </c>
      <c r="J14066" t="s">
        <v>41</v>
      </c>
      <c r="K14066" t="s">
        <v>229</v>
      </c>
      <c r="Q14066">
        <v>0</v>
      </c>
      <c r="R14066">
        <v>140</v>
      </c>
      <c r="S14066">
        <v>140</v>
      </c>
      <c r="T14066" t="s">
        <v>49631</v>
      </c>
    </row>
    <row r="14067" spans="1:20" customFormat="1" ht="15" x14ac:dyDescent="0.25">
      <c r="A14067" t="s">
        <v>35</v>
      </c>
      <c r="B14067" t="s">
        <v>61</v>
      </c>
      <c r="C14067" t="str">
        <f>"A0154176"</f>
        <v>A0154176</v>
      </c>
      <c r="D14067" t="s">
        <v>49632</v>
      </c>
      <c r="E14067" t="s">
        <v>49633</v>
      </c>
      <c r="F14067" t="s">
        <v>37962</v>
      </c>
      <c r="G14067" t="s">
        <v>214</v>
      </c>
      <c r="H14067">
        <v>27278</v>
      </c>
      <c r="I14067" t="s">
        <v>30</v>
      </c>
      <c r="J14067" t="s">
        <v>41</v>
      </c>
      <c r="K14067" t="s">
        <v>1412</v>
      </c>
      <c r="Q14067">
        <v>0</v>
      </c>
      <c r="R14067">
        <v>0</v>
      </c>
      <c r="S14067">
        <v>0</v>
      </c>
      <c r="T14067" t="s">
        <v>49634</v>
      </c>
    </row>
    <row r="14068" spans="1:20" customFormat="1" ht="15" x14ac:dyDescent="0.25">
      <c r="A14068" t="s">
        <v>35</v>
      </c>
      <c r="B14068" t="s">
        <v>61</v>
      </c>
      <c r="C14068" t="str">
        <f>"A0124594"</f>
        <v>A0124594</v>
      </c>
      <c r="D14068" t="s">
        <v>49635</v>
      </c>
      <c r="E14068" t="s">
        <v>49636</v>
      </c>
      <c r="F14068" t="s">
        <v>49637</v>
      </c>
      <c r="G14068" t="s">
        <v>1706</v>
      </c>
      <c r="H14068">
        <v>360890000</v>
      </c>
      <c r="I14068" t="s">
        <v>30</v>
      </c>
      <c r="J14068" t="s">
        <v>41</v>
      </c>
      <c r="K14068" t="s">
        <v>229</v>
      </c>
      <c r="Q14068">
        <v>0</v>
      </c>
      <c r="R14068">
        <v>112</v>
      </c>
      <c r="S14068">
        <v>112</v>
      </c>
      <c r="T14068" t="s">
        <v>49638</v>
      </c>
    </row>
    <row r="14069" spans="1:20" customFormat="1" ht="15" x14ac:dyDescent="0.25">
      <c r="A14069" t="s">
        <v>35</v>
      </c>
      <c r="B14069" t="s">
        <v>61</v>
      </c>
      <c r="C14069" t="str">
        <f>"A0129112"</f>
        <v>A0129112</v>
      </c>
      <c r="D14069" t="s">
        <v>49639</v>
      </c>
      <c r="E14069" t="s">
        <v>49640</v>
      </c>
      <c r="F14069" t="s">
        <v>49641</v>
      </c>
      <c r="G14069" t="s">
        <v>289</v>
      </c>
      <c r="H14069">
        <v>62960</v>
      </c>
      <c r="I14069" t="s">
        <v>30</v>
      </c>
      <c r="J14069" t="s">
        <v>41</v>
      </c>
      <c r="K14069" t="s">
        <v>229</v>
      </c>
      <c r="Q14069">
        <v>0</v>
      </c>
      <c r="R14069">
        <v>125</v>
      </c>
      <c r="S14069">
        <v>125</v>
      </c>
      <c r="T14069" t="s">
        <v>49642</v>
      </c>
    </row>
    <row r="14070" spans="1:20" customFormat="1" ht="15" x14ac:dyDescent="0.25">
      <c r="A14070" t="s">
        <v>35</v>
      </c>
      <c r="B14070" t="s">
        <v>61</v>
      </c>
      <c r="C14070" t="str">
        <f>"A0150867"</f>
        <v>A0150867</v>
      </c>
      <c r="D14070" t="s">
        <v>49643</v>
      </c>
      <c r="E14070" t="s">
        <v>49644</v>
      </c>
      <c r="F14070" t="s">
        <v>49641</v>
      </c>
      <c r="G14070" t="s">
        <v>289</v>
      </c>
      <c r="H14070">
        <v>62960</v>
      </c>
      <c r="I14070" t="s">
        <v>30</v>
      </c>
      <c r="J14070" t="s">
        <v>41</v>
      </c>
      <c r="K14070" t="s">
        <v>59</v>
      </c>
      <c r="Q14070">
        <v>0</v>
      </c>
      <c r="R14070">
        <v>47</v>
      </c>
      <c r="S14070">
        <v>47</v>
      </c>
      <c r="T14070" t="s">
        <v>49645</v>
      </c>
    </row>
    <row r="14071" spans="1:20" customFormat="1" ht="15" x14ac:dyDescent="0.25">
      <c r="A14071" t="s">
        <v>35</v>
      </c>
      <c r="B14071" t="s">
        <v>61</v>
      </c>
      <c r="C14071" t="str">
        <f>"A0125148"</f>
        <v>A0125148</v>
      </c>
      <c r="D14071" t="s">
        <v>49646</v>
      </c>
      <c r="E14071" t="s">
        <v>49647</v>
      </c>
      <c r="F14071" t="s">
        <v>19101</v>
      </c>
      <c r="G14071" t="s">
        <v>58</v>
      </c>
      <c r="H14071">
        <v>29506</v>
      </c>
      <c r="I14071" t="s">
        <v>30</v>
      </c>
      <c r="J14071" t="s">
        <v>41</v>
      </c>
      <c r="K14071" t="s">
        <v>229</v>
      </c>
      <c r="Q14071">
        <v>0</v>
      </c>
      <c r="R14071">
        <v>88</v>
      </c>
      <c r="S14071">
        <v>88</v>
      </c>
      <c r="T14071" t="s">
        <v>49648</v>
      </c>
    </row>
    <row r="14072" spans="1:20" customFormat="1" ht="15" x14ac:dyDescent="0.25">
      <c r="A14072" t="s">
        <v>35</v>
      </c>
      <c r="B14072" t="s">
        <v>61</v>
      </c>
      <c r="C14072" t="str">
        <f>"A0124602"</f>
        <v>A0124602</v>
      </c>
      <c r="D14072" t="s">
        <v>49649</v>
      </c>
      <c r="E14072" t="s">
        <v>49650</v>
      </c>
      <c r="F14072" t="s">
        <v>4591</v>
      </c>
      <c r="G14072" t="s">
        <v>1706</v>
      </c>
      <c r="H14072">
        <v>367560000</v>
      </c>
      <c r="I14072" t="s">
        <v>30</v>
      </c>
      <c r="J14072" t="s">
        <v>41</v>
      </c>
      <c r="K14072" t="s">
        <v>229</v>
      </c>
      <c r="Q14072">
        <v>0</v>
      </c>
      <c r="R14072">
        <v>71</v>
      </c>
      <c r="S14072">
        <v>71</v>
      </c>
      <c r="T14072" t="s">
        <v>49651</v>
      </c>
    </row>
    <row r="14073" spans="1:20" customFormat="1" ht="15" x14ac:dyDescent="0.25">
      <c r="A14073" t="s">
        <v>35</v>
      </c>
      <c r="B14073" t="s">
        <v>61</v>
      </c>
      <c r="C14073" t="str">
        <f>"A0123939"</f>
        <v>A0123939</v>
      </c>
      <c r="D14073" t="s">
        <v>49652</v>
      </c>
      <c r="E14073" t="s">
        <v>49653</v>
      </c>
      <c r="F14073" t="s">
        <v>1926</v>
      </c>
      <c r="G14073" t="s">
        <v>214</v>
      </c>
      <c r="H14073">
        <v>28210</v>
      </c>
      <c r="I14073" t="s">
        <v>30</v>
      </c>
      <c r="J14073" t="s">
        <v>41</v>
      </c>
      <c r="K14073" t="s">
        <v>59</v>
      </c>
      <c r="Q14073">
        <v>0</v>
      </c>
      <c r="R14073">
        <v>270</v>
      </c>
      <c r="S14073">
        <v>270</v>
      </c>
      <c r="T14073" t="s">
        <v>49654</v>
      </c>
    </row>
    <row r="14074" spans="1:20" customFormat="1" ht="15" x14ac:dyDescent="0.25">
      <c r="A14074" t="s">
        <v>35</v>
      </c>
      <c r="B14074" t="s">
        <v>61</v>
      </c>
      <c r="C14074" t="str">
        <f>"A0131021"</f>
        <v>A0131021</v>
      </c>
      <c r="D14074" t="s">
        <v>49655</v>
      </c>
      <c r="E14074" t="s">
        <v>49656</v>
      </c>
      <c r="F14074" t="s">
        <v>49248</v>
      </c>
      <c r="G14074" t="s">
        <v>85</v>
      </c>
      <c r="H14074">
        <v>725430000</v>
      </c>
      <c r="I14074" t="s">
        <v>30</v>
      </c>
      <c r="J14074" t="s">
        <v>41</v>
      </c>
      <c r="K14074" t="s">
        <v>59</v>
      </c>
      <c r="Q14074">
        <v>0</v>
      </c>
      <c r="R14074">
        <v>80</v>
      </c>
      <c r="S14074">
        <v>80</v>
      </c>
      <c r="T14074" t="s">
        <v>49657</v>
      </c>
    </row>
    <row r="14075" spans="1:20" customFormat="1" ht="15" x14ac:dyDescent="0.25">
      <c r="A14075" t="s">
        <v>35</v>
      </c>
      <c r="B14075" t="s">
        <v>61</v>
      </c>
      <c r="C14075" t="str">
        <f>"A0131020"</f>
        <v>A0131020</v>
      </c>
      <c r="D14075" t="s">
        <v>49658</v>
      </c>
      <c r="E14075" t="s">
        <v>49659</v>
      </c>
      <c r="F14075" t="s">
        <v>49248</v>
      </c>
      <c r="G14075" t="s">
        <v>85</v>
      </c>
      <c r="H14075">
        <v>725430000</v>
      </c>
      <c r="I14075" t="s">
        <v>30</v>
      </c>
      <c r="J14075" t="s">
        <v>41</v>
      </c>
      <c r="K14075" t="s">
        <v>59</v>
      </c>
      <c r="Q14075">
        <v>0</v>
      </c>
      <c r="R14075">
        <v>51</v>
      </c>
      <c r="S14075">
        <v>51</v>
      </c>
      <c r="T14075" t="s">
        <v>49657</v>
      </c>
    </row>
    <row r="14076" spans="1:20" customFormat="1" ht="15" x14ac:dyDescent="0.25">
      <c r="A14076" t="s">
        <v>35</v>
      </c>
      <c r="B14076" t="s">
        <v>61</v>
      </c>
      <c r="C14076" t="str">
        <f>"A0123940"</f>
        <v>A0123940</v>
      </c>
      <c r="D14076" t="s">
        <v>49660</v>
      </c>
      <c r="E14076" t="s">
        <v>49661</v>
      </c>
      <c r="F14076" t="s">
        <v>43497</v>
      </c>
      <c r="G14076" t="s">
        <v>29</v>
      </c>
      <c r="H14076">
        <v>23901</v>
      </c>
      <c r="I14076" t="s">
        <v>30</v>
      </c>
      <c r="J14076" t="s">
        <v>41</v>
      </c>
      <c r="K14076" t="s">
        <v>229</v>
      </c>
      <c r="Q14076">
        <v>0</v>
      </c>
      <c r="R14076">
        <v>120</v>
      </c>
      <c r="S14076">
        <v>120</v>
      </c>
      <c r="T14076" t="s">
        <v>49662</v>
      </c>
    </row>
    <row r="14077" spans="1:20" customFormat="1" ht="15" x14ac:dyDescent="0.25">
      <c r="A14077" t="s">
        <v>35</v>
      </c>
      <c r="B14077" t="s">
        <v>61</v>
      </c>
      <c r="C14077" t="str">
        <f>"A0152955"</f>
        <v>A0152955</v>
      </c>
      <c r="D14077" t="s">
        <v>49663</v>
      </c>
      <c r="E14077" t="s">
        <v>49664</v>
      </c>
      <c r="F14077" t="s">
        <v>6764</v>
      </c>
      <c r="G14077" t="s">
        <v>81</v>
      </c>
      <c r="H14077">
        <v>33907</v>
      </c>
      <c r="I14077" t="s">
        <v>30</v>
      </c>
      <c r="J14077" t="s">
        <v>41</v>
      </c>
      <c r="K14077" t="s">
        <v>42</v>
      </c>
      <c r="Q14077">
        <v>0</v>
      </c>
      <c r="R14077">
        <v>0</v>
      </c>
      <c r="S14077">
        <v>0</v>
      </c>
      <c r="T14077" t="s">
        <v>49665</v>
      </c>
    </row>
    <row r="14078" spans="1:20" customFormat="1" ht="15" x14ac:dyDescent="0.25">
      <c r="A14078" t="s">
        <v>35</v>
      </c>
      <c r="B14078" t="s">
        <v>61</v>
      </c>
      <c r="C14078" t="str">
        <f>"A0152954"</f>
        <v>A0152954</v>
      </c>
      <c r="D14078" t="s">
        <v>49666</v>
      </c>
      <c r="E14078" t="s">
        <v>49667</v>
      </c>
      <c r="F14078" t="s">
        <v>6764</v>
      </c>
      <c r="G14078" t="s">
        <v>81</v>
      </c>
      <c r="H14078">
        <v>33907</v>
      </c>
      <c r="I14078" t="s">
        <v>30</v>
      </c>
      <c r="J14078" t="s">
        <v>41</v>
      </c>
      <c r="K14078" t="s">
        <v>42</v>
      </c>
      <c r="Q14078">
        <v>0</v>
      </c>
      <c r="R14078">
        <v>0</v>
      </c>
      <c r="S14078">
        <v>0</v>
      </c>
      <c r="T14078" t="s">
        <v>49668</v>
      </c>
    </row>
    <row r="14079" spans="1:20" customFormat="1" ht="15" x14ac:dyDescent="0.25">
      <c r="A14079" t="s">
        <v>35</v>
      </c>
      <c r="B14079" t="s">
        <v>61</v>
      </c>
      <c r="C14079" t="str">
        <f>"A0132709"</f>
        <v>A0132709</v>
      </c>
      <c r="D14079" t="s">
        <v>49669</v>
      </c>
      <c r="E14079" t="s">
        <v>49670</v>
      </c>
      <c r="F14079" t="s">
        <v>4704</v>
      </c>
      <c r="G14079" t="s">
        <v>65</v>
      </c>
      <c r="H14079">
        <v>45103</v>
      </c>
      <c r="I14079" t="s">
        <v>30</v>
      </c>
      <c r="J14079" t="s">
        <v>41</v>
      </c>
      <c r="K14079" t="s">
        <v>131</v>
      </c>
      <c r="Q14079">
        <v>0</v>
      </c>
      <c r="R14079">
        <v>110</v>
      </c>
      <c r="S14079">
        <v>110</v>
      </c>
      <c r="T14079" t="s">
        <v>49671</v>
      </c>
    </row>
    <row r="14080" spans="1:20" customFormat="1" ht="15" x14ac:dyDescent="0.25">
      <c r="A14080" t="s">
        <v>35</v>
      </c>
      <c r="B14080" t="s">
        <v>106</v>
      </c>
      <c r="C14080" t="str">
        <f>"A0136237"</f>
        <v>A0136237</v>
      </c>
      <c r="D14080" t="s">
        <v>49672</v>
      </c>
      <c r="E14080" t="s">
        <v>49673</v>
      </c>
      <c r="F14080" t="s">
        <v>839</v>
      </c>
      <c r="G14080" t="s">
        <v>840</v>
      </c>
      <c r="H14080">
        <v>40203</v>
      </c>
      <c r="I14080" t="s">
        <v>30</v>
      </c>
      <c r="J14080" t="s">
        <v>111</v>
      </c>
      <c r="K14080" t="s">
        <v>10012</v>
      </c>
      <c r="Q14080">
        <v>0</v>
      </c>
      <c r="R14080">
        <v>0</v>
      </c>
      <c r="S14080">
        <v>0</v>
      </c>
      <c r="T14080" t="s">
        <v>49674</v>
      </c>
    </row>
    <row r="14081" spans="1:20" customFormat="1" ht="15" x14ac:dyDescent="0.25">
      <c r="A14081" t="s">
        <v>35</v>
      </c>
      <c r="B14081" t="s">
        <v>61</v>
      </c>
      <c r="C14081" t="str">
        <f>"A0129530"</f>
        <v>A0129530</v>
      </c>
      <c r="D14081" t="s">
        <v>49675</v>
      </c>
      <c r="E14081" t="s">
        <v>49676</v>
      </c>
      <c r="F14081" t="s">
        <v>1755</v>
      </c>
      <c r="G14081" t="s">
        <v>289</v>
      </c>
      <c r="H14081">
        <v>62702</v>
      </c>
      <c r="I14081" t="s">
        <v>30</v>
      </c>
      <c r="J14081" t="s">
        <v>41</v>
      </c>
      <c r="K14081" t="s">
        <v>290</v>
      </c>
      <c r="Q14081">
        <v>0</v>
      </c>
      <c r="R14081">
        <v>0</v>
      </c>
      <c r="S14081">
        <v>0</v>
      </c>
      <c r="T14081" t="s">
        <v>49677</v>
      </c>
    </row>
    <row r="14082" spans="1:20" customFormat="1" ht="15" x14ac:dyDescent="0.25">
      <c r="A14082" t="s">
        <v>35</v>
      </c>
      <c r="B14082" t="s">
        <v>61</v>
      </c>
      <c r="C14082" t="str">
        <f>"A0125476"</f>
        <v>A0125476</v>
      </c>
      <c r="D14082" t="s">
        <v>49678</v>
      </c>
      <c r="E14082" t="s">
        <v>49679</v>
      </c>
      <c r="F14082" t="s">
        <v>909</v>
      </c>
      <c r="G14082" t="s">
        <v>40</v>
      </c>
      <c r="H14082">
        <v>74869</v>
      </c>
      <c r="I14082" t="s">
        <v>30</v>
      </c>
      <c r="J14082" t="s">
        <v>41</v>
      </c>
      <c r="K14082" t="s">
        <v>6300</v>
      </c>
      <c r="Q14082">
        <v>0</v>
      </c>
      <c r="R14082">
        <v>0</v>
      </c>
      <c r="S14082">
        <v>0</v>
      </c>
      <c r="T14082" t="s">
        <v>49680</v>
      </c>
    </row>
    <row r="14083" spans="1:20" customFormat="1" ht="15" x14ac:dyDescent="0.25">
      <c r="A14083" t="s">
        <v>35</v>
      </c>
      <c r="B14083" t="s">
        <v>106</v>
      </c>
      <c r="C14083" t="str">
        <f>"A0135455"</f>
        <v>A0135455</v>
      </c>
      <c r="D14083" t="s">
        <v>49681</v>
      </c>
      <c r="E14083" t="s">
        <v>49682</v>
      </c>
      <c r="F14083" t="s">
        <v>9135</v>
      </c>
      <c r="G14083" t="s">
        <v>110</v>
      </c>
      <c r="H14083">
        <v>95192</v>
      </c>
      <c r="I14083" t="s">
        <v>30</v>
      </c>
      <c r="J14083" t="s">
        <v>111</v>
      </c>
      <c r="K14083" t="s">
        <v>10012</v>
      </c>
      <c r="Q14083">
        <v>0</v>
      </c>
      <c r="R14083">
        <v>0</v>
      </c>
      <c r="S14083">
        <v>0</v>
      </c>
      <c r="T14083" t="s">
        <v>49683</v>
      </c>
    </row>
    <row r="14084" spans="1:20" customFormat="1" ht="15" x14ac:dyDescent="0.25">
      <c r="A14084" t="s">
        <v>35</v>
      </c>
      <c r="B14084" t="s">
        <v>106</v>
      </c>
      <c r="C14084" t="str">
        <f>"A0135456"</f>
        <v>A0135456</v>
      </c>
      <c r="D14084" t="s">
        <v>49684</v>
      </c>
      <c r="E14084" t="s">
        <v>49685</v>
      </c>
      <c r="F14084" t="s">
        <v>9135</v>
      </c>
      <c r="G14084" t="s">
        <v>110</v>
      </c>
      <c r="H14084">
        <v>95192</v>
      </c>
      <c r="I14084" t="s">
        <v>30</v>
      </c>
      <c r="J14084" t="s">
        <v>111</v>
      </c>
      <c r="K14084" t="s">
        <v>10012</v>
      </c>
      <c r="Q14084">
        <v>0</v>
      </c>
      <c r="R14084">
        <v>0</v>
      </c>
      <c r="S14084">
        <v>0</v>
      </c>
      <c r="T14084" t="s">
        <v>49686</v>
      </c>
    </row>
    <row r="14085" spans="1:20" customFormat="1" ht="15" x14ac:dyDescent="0.25">
      <c r="A14085" t="s">
        <v>35</v>
      </c>
      <c r="B14085" t="s">
        <v>106</v>
      </c>
      <c r="C14085" t="str">
        <f>"A0135457"</f>
        <v>A0135457</v>
      </c>
      <c r="D14085" t="s">
        <v>49687</v>
      </c>
      <c r="E14085" t="s">
        <v>49685</v>
      </c>
      <c r="F14085" t="s">
        <v>9135</v>
      </c>
      <c r="G14085" t="s">
        <v>110</v>
      </c>
      <c r="H14085">
        <v>95192</v>
      </c>
      <c r="I14085" t="s">
        <v>30</v>
      </c>
      <c r="J14085" t="s">
        <v>111</v>
      </c>
      <c r="K14085" t="s">
        <v>10012</v>
      </c>
      <c r="Q14085">
        <v>0</v>
      </c>
      <c r="R14085">
        <v>0</v>
      </c>
      <c r="S14085">
        <v>0</v>
      </c>
      <c r="T14085" t="s">
        <v>49686</v>
      </c>
    </row>
    <row r="14086" spans="1:20" customFormat="1" ht="15" x14ac:dyDescent="0.25">
      <c r="A14086" t="s">
        <v>35</v>
      </c>
      <c r="B14086" t="s">
        <v>106</v>
      </c>
      <c r="C14086" t="str">
        <f>"A0135458"</f>
        <v>A0135458</v>
      </c>
      <c r="D14086" t="s">
        <v>49688</v>
      </c>
      <c r="E14086" t="s">
        <v>49685</v>
      </c>
      <c r="F14086" t="s">
        <v>9135</v>
      </c>
      <c r="G14086" t="s">
        <v>110</v>
      </c>
      <c r="H14086">
        <v>95192</v>
      </c>
      <c r="I14086" t="s">
        <v>30</v>
      </c>
      <c r="J14086" t="s">
        <v>111</v>
      </c>
      <c r="K14086" t="s">
        <v>10012</v>
      </c>
      <c r="Q14086">
        <v>0</v>
      </c>
      <c r="R14086">
        <v>0</v>
      </c>
      <c r="S14086">
        <v>0</v>
      </c>
      <c r="T14086" t="s">
        <v>49686</v>
      </c>
    </row>
    <row r="14087" spans="1:20" customFormat="1" ht="15" x14ac:dyDescent="0.25">
      <c r="A14087" t="s">
        <v>35</v>
      </c>
      <c r="B14087" t="s">
        <v>106</v>
      </c>
      <c r="C14087" t="str">
        <f>"A0135459"</f>
        <v>A0135459</v>
      </c>
      <c r="D14087" t="s">
        <v>49689</v>
      </c>
      <c r="E14087" t="s">
        <v>49685</v>
      </c>
      <c r="F14087" t="s">
        <v>9135</v>
      </c>
      <c r="G14087" t="s">
        <v>110</v>
      </c>
      <c r="H14087">
        <v>95192</v>
      </c>
      <c r="I14087" t="s">
        <v>30</v>
      </c>
      <c r="J14087" t="s">
        <v>111</v>
      </c>
      <c r="K14087" t="s">
        <v>10012</v>
      </c>
      <c r="Q14087">
        <v>0</v>
      </c>
      <c r="R14087">
        <v>0</v>
      </c>
      <c r="S14087">
        <v>0</v>
      </c>
      <c r="T14087" t="s">
        <v>49686</v>
      </c>
    </row>
    <row r="14088" spans="1:20" customFormat="1" ht="15" x14ac:dyDescent="0.25">
      <c r="A14088" t="s">
        <v>35</v>
      </c>
      <c r="B14088" t="s">
        <v>106</v>
      </c>
      <c r="C14088" t="str">
        <f>"A0135470"</f>
        <v>A0135470</v>
      </c>
      <c r="D14088" t="s">
        <v>49690</v>
      </c>
      <c r="E14088" t="s">
        <v>49691</v>
      </c>
      <c r="F14088" t="s">
        <v>9135</v>
      </c>
      <c r="G14088" t="s">
        <v>110</v>
      </c>
      <c r="H14088">
        <v>95192</v>
      </c>
      <c r="I14088" t="s">
        <v>30</v>
      </c>
      <c r="J14088" t="s">
        <v>111</v>
      </c>
      <c r="K14088" t="s">
        <v>112</v>
      </c>
      <c r="Q14088">
        <v>0</v>
      </c>
      <c r="R14088">
        <v>0</v>
      </c>
      <c r="S14088">
        <v>0</v>
      </c>
      <c r="T14088" t="s">
        <v>49686</v>
      </c>
    </row>
    <row r="14089" spans="1:20" customFormat="1" ht="15" x14ac:dyDescent="0.25">
      <c r="A14089" t="s">
        <v>35</v>
      </c>
      <c r="B14089" t="s">
        <v>106</v>
      </c>
      <c r="C14089" t="str">
        <f>"A0135468"</f>
        <v>A0135468</v>
      </c>
      <c r="D14089" t="s">
        <v>49692</v>
      </c>
      <c r="E14089" t="s">
        <v>49693</v>
      </c>
      <c r="F14089" t="s">
        <v>9135</v>
      </c>
      <c r="G14089" t="s">
        <v>110</v>
      </c>
      <c r="H14089">
        <v>95192</v>
      </c>
      <c r="I14089" t="s">
        <v>30</v>
      </c>
      <c r="J14089" t="s">
        <v>111</v>
      </c>
      <c r="K14089" t="s">
        <v>10012</v>
      </c>
      <c r="Q14089">
        <v>0</v>
      </c>
      <c r="R14089">
        <v>0</v>
      </c>
      <c r="S14089">
        <v>0</v>
      </c>
      <c r="T14089" t="s">
        <v>49683</v>
      </c>
    </row>
    <row r="14090" spans="1:20" customFormat="1" ht="15" x14ac:dyDescent="0.25">
      <c r="A14090" t="s">
        <v>35</v>
      </c>
      <c r="B14090" t="s">
        <v>106</v>
      </c>
      <c r="C14090" t="str">
        <f>"A0135471"</f>
        <v>A0135471</v>
      </c>
      <c r="D14090" t="s">
        <v>49694</v>
      </c>
      <c r="E14090" t="s">
        <v>49691</v>
      </c>
      <c r="F14090" t="s">
        <v>49695</v>
      </c>
      <c r="G14090" t="s">
        <v>110</v>
      </c>
      <c r="H14090">
        <v>95192</v>
      </c>
      <c r="I14090" t="s">
        <v>30</v>
      </c>
      <c r="J14090" t="s">
        <v>111</v>
      </c>
      <c r="K14090" t="s">
        <v>112</v>
      </c>
      <c r="Q14090">
        <v>0</v>
      </c>
      <c r="R14090">
        <v>0</v>
      </c>
      <c r="S14090">
        <v>0</v>
      </c>
      <c r="T14090" t="s">
        <v>49686</v>
      </c>
    </row>
    <row r="14091" spans="1:20" customFormat="1" ht="15" x14ac:dyDescent="0.25">
      <c r="A14091" t="s">
        <v>35</v>
      </c>
      <c r="B14091" t="s">
        <v>106</v>
      </c>
      <c r="C14091" t="str">
        <f>"A0135472"</f>
        <v>A0135472</v>
      </c>
      <c r="D14091" t="s">
        <v>49696</v>
      </c>
      <c r="E14091" t="s">
        <v>49691</v>
      </c>
      <c r="F14091" t="s">
        <v>9135</v>
      </c>
      <c r="G14091" t="s">
        <v>110</v>
      </c>
      <c r="H14091">
        <v>95192</v>
      </c>
      <c r="I14091" t="s">
        <v>30</v>
      </c>
      <c r="J14091" t="s">
        <v>111</v>
      </c>
      <c r="K14091" t="s">
        <v>112</v>
      </c>
      <c r="Q14091">
        <v>0</v>
      </c>
      <c r="R14091">
        <v>0</v>
      </c>
      <c r="S14091">
        <v>0</v>
      </c>
      <c r="T14091" t="s">
        <v>49686</v>
      </c>
    </row>
    <row r="14092" spans="1:20" customFormat="1" ht="15" x14ac:dyDescent="0.25">
      <c r="A14092" t="s">
        <v>35</v>
      </c>
      <c r="B14092" t="s">
        <v>106</v>
      </c>
      <c r="C14092" t="str">
        <f>"A0135464"</f>
        <v>A0135464</v>
      </c>
      <c r="D14092" t="s">
        <v>49697</v>
      </c>
      <c r="E14092" t="s">
        <v>49685</v>
      </c>
      <c r="F14092" t="s">
        <v>9135</v>
      </c>
      <c r="G14092" t="s">
        <v>110</v>
      </c>
      <c r="H14092">
        <v>95192</v>
      </c>
      <c r="I14092" t="s">
        <v>30</v>
      </c>
      <c r="J14092" t="s">
        <v>111</v>
      </c>
      <c r="K14092" t="s">
        <v>10012</v>
      </c>
      <c r="Q14092">
        <v>0</v>
      </c>
      <c r="R14092">
        <v>0</v>
      </c>
      <c r="S14092">
        <v>0</v>
      </c>
      <c r="T14092" t="s">
        <v>49686</v>
      </c>
    </row>
    <row r="14093" spans="1:20" customFormat="1" ht="15" x14ac:dyDescent="0.25">
      <c r="A14093" t="s">
        <v>35</v>
      </c>
      <c r="B14093" t="s">
        <v>106</v>
      </c>
      <c r="C14093" t="str">
        <f>"A0135460"</f>
        <v>A0135460</v>
      </c>
      <c r="D14093" t="s">
        <v>49698</v>
      </c>
      <c r="E14093" t="s">
        <v>49685</v>
      </c>
      <c r="F14093" t="s">
        <v>9135</v>
      </c>
      <c r="G14093" t="s">
        <v>110</v>
      </c>
      <c r="H14093">
        <v>95192</v>
      </c>
      <c r="I14093" t="s">
        <v>30</v>
      </c>
      <c r="J14093" t="s">
        <v>111</v>
      </c>
      <c r="K14093" t="s">
        <v>10012</v>
      </c>
      <c r="Q14093">
        <v>0</v>
      </c>
      <c r="R14093">
        <v>0</v>
      </c>
      <c r="S14093">
        <v>0</v>
      </c>
      <c r="T14093" t="s">
        <v>49686</v>
      </c>
    </row>
    <row r="14094" spans="1:20" customFormat="1" ht="15" x14ac:dyDescent="0.25">
      <c r="A14094" t="s">
        <v>35</v>
      </c>
      <c r="B14094" t="s">
        <v>106</v>
      </c>
      <c r="C14094" t="str">
        <f>"A0135465"</f>
        <v>A0135465</v>
      </c>
      <c r="D14094" t="s">
        <v>49699</v>
      </c>
      <c r="E14094" t="s">
        <v>49685</v>
      </c>
      <c r="F14094" t="s">
        <v>9135</v>
      </c>
      <c r="G14094" t="s">
        <v>110</v>
      </c>
      <c r="H14094">
        <v>95192</v>
      </c>
      <c r="I14094" t="s">
        <v>30</v>
      </c>
      <c r="J14094" t="s">
        <v>111</v>
      </c>
      <c r="K14094" t="s">
        <v>10012</v>
      </c>
      <c r="Q14094">
        <v>0</v>
      </c>
      <c r="R14094">
        <v>0</v>
      </c>
      <c r="S14094">
        <v>0</v>
      </c>
      <c r="T14094" t="s">
        <v>49686</v>
      </c>
    </row>
    <row r="14095" spans="1:20" customFormat="1" ht="15" x14ac:dyDescent="0.25">
      <c r="A14095" t="s">
        <v>35</v>
      </c>
      <c r="B14095" t="s">
        <v>106</v>
      </c>
      <c r="C14095" t="str">
        <f>"A0135461"</f>
        <v>A0135461</v>
      </c>
      <c r="D14095" t="s">
        <v>49700</v>
      </c>
      <c r="E14095" t="s">
        <v>49685</v>
      </c>
      <c r="F14095" t="s">
        <v>9135</v>
      </c>
      <c r="G14095" t="s">
        <v>110</v>
      </c>
      <c r="H14095">
        <v>95192</v>
      </c>
      <c r="I14095" t="s">
        <v>30</v>
      </c>
      <c r="J14095" t="s">
        <v>111</v>
      </c>
      <c r="K14095" t="s">
        <v>10012</v>
      </c>
      <c r="Q14095">
        <v>0</v>
      </c>
      <c r="R14095">
        <v>0</v>
      </c>
      <c r="S14095">
        <v>0</v>
      </c>
      <c r="T14095" t="s">
        <v>49686</v>
      </c>
    </row>
    <row r="14096" spans="1:20" customFormat="1" ht="15" x14ac:dyDescent="0.25">
      <c r="A14096" t="s">
        <v>35</v>
      </c>
      <c r="B14096" t="s">
        <v>106</v>
      </c>
      <c r="C14096" t="str">
        <f>"A0135462"</f>
        <v>A0135462</v>
      </c>
      <c r="D14096" t="s">
        <v>49701</v>
      </c>
      <c r="E14096" t="s">
        <v>49685</v>
      </c>
      <c r="F14096" t="s">
        <v>9135</v>
      </c>
      <c r="G14096" t="s">
        <v>110</v>
      </c>
      <c r="H14096">
        <v>95192</v>
      </c>
      <c r="I14096" t="s">
        <v>30</v>
      </c>
      <c r="J14096" t="s">
        <v>111</v>
      </c>
      <c r="K14096" t="s">
        <v>10012</v>
      </c>
      <c r="Q14096">
        <v>0</v>
      </c>
      <c r="R14096">
        <v>0</v>
      </c>
      <c r="S14096">
        <v>0</v>
      </c>
      <c r="T14096" t="s">
        <v>49683</v>
      </c>
    </row>
    <row r="14097" spans="1:20" customFormat="1" ht="15" x14ac:dyDescent="0.25">
      <c r="A14097" t="s">
        <v>35</v>
      </c>
      <c r="B14097" t="s">
        <v>106</v>
      </c>
      <c r="C14097" t="str">
        <f>"A0135473"</f>
        <v>A0135473</v>
      </c>
      <c r="D14097" t="s">
        <v>49702</v>
      </c>
      <c r="E14097" t="s">
        <v>49691</v>
      </c>
      <c r="F14097" t="s">
        <v>9135</v>
      </c>
      <c r="G14097" t="s">
        <v>110</v>
      </c>
      <c r="H14097">
        <v>95192</v>
      </c>
      <c r="I14097" t="s">
        <v>30</v>
      </c>
      <c r="J14097" t="s">
        <v>111</v>
      </c>
      <c r="K14097" t="s">
        <v>112</v>
      </c>
      <c r="Q14097">
        <v>0</v>
      </c>
      <c r="R14097">
        <v>0</v>
      </c>
      <c r="S14097">
        <v>0</v>
      </c>
      <c r="T14097" t="s">
        <v>49686</v>
      </c>
    </row>
    <row r="14098" spans="1:20" customFormat="1" ht="15" x14ac:dyDescent="0.25">
      <c r="A14098" t="s">
        <v>35</v>
      </c>
      <c r="B14098" t="s">
        <v>106</v>
      </c>
      <c r="C14098" t="str">
        <f>"A0135466"</f>
        <v>A0135466</v>
      </c>
      <c r="D14098" t="s">
        <v>49703</v>
      </c>
      <c r="E14098" t="s">
        <v>49685</v>
      </c>
      <c r="F14098" t="s">
        <v>9135</v>
      </c>
      <c r="G14098" t="s">
        <v>110</v>
      </c>
      <c r="H14098">
        <v>95192</v>
      </c>
      <c r="I14098" t="s">
        <v>30</v>
      </c>
      <c r="J14098" t="s">
        <v>111</v>
      </c>
      <c r="K14098" t="s">
        <v>10012</v>
      </c>
      <c r="Q14098">
        <v>0</v>
      </c>
      <c r="R14098">
        <v>0</v>
      </c>
      <c r="S14098">
        <v>0</v>
      </c>
      <c r="T14098" t="s">
        <v>49686</v>
      </c>
    </row>
    <row r="14099" spans="1:20" customFormat="1" ht="15" x14ac:dyDescent="0.25">
      <c r="A14099" t="s">
        <v>35</v>
      </c>
      <c r="B14099" t="s">
        <v>106</v>
      </c>
      <c r="C14099" t="str">
        <f>"A0135463"</f>
        <v>A0135463</v>
      </c>
      <c r="D14099" t="s">
        <v>49704</v>
      </c>
      <c r="E14099" t="s">
        <v>49685</v>
      </c>
      <c r="F14099" t="s">
        <v>9135</v>
      </c>
      <c r="G14099" t="s">
        <v>110</v>
      </c>
      <c r="H14099">
        <v>95192</v>
      </c>
      <c r="I14099" t="s">
        <v>30</v>
      </c>
      <c r="J14099" t="s">
        <v>111</v>
      </c>
      <c r="K14099" t="s">
        <v>10012</v>
      </c>
      <c r="Q14099">
        <v>0</v>
      </c>
      <c r="R14099">
        <v>0</v>
      </c>
      <c r="S14099">
        <v>0</v>
      </c>
      <c r="T14099" t="s">
        <v>49686</v>
      </c>
    </row>
    <row r="14100" spans="1:20" customFormat="1" ht="15" x14ac:dyDescent="0.25">
      <c r="A14100" t="s">
        <v>35</v>
      </c>
      <c r="B14100" t="s">
        <v>106</v>
      </c>
      <c r="C14100" t="str">
        <f>"A0135467"</f>
        <v>A0135467</v>
      </c>
      <c r="D14100" t="s">
        <v>49705</v>
      </c>
      <c r="E14100" t="s">
        <v>49685</v>
      </c>
      <c r="F14100" t="s">
        <v>9135</v>
      </c>
      <c r="G14100" t="s">
        <v>110</v>
      </c>
      <c r="H14100">
        <v>95192</v>
      </c>
      <c r="I14100" t="s">
        <v>30</v>
      </c>
      <c r="J14100" t="s">
        <v>111</v>
      </c>
      <c r="K14100" t="s">
        <v>10012</v>
      </c>
      <c r="Q14100">
        <v>0</v>
      </c>
      <c r="R14100">
        <v>0</v>
      </c>
      <c r="S14100">
        <v>0</v>
      </c>
      <c r="T14100" t="s">
        <v>49683</v>
      </c>
    </row>
    <row r="14101" spans="1:20" customFormat="1" ht="15" x14ac:dyDescent="0.25">
      <c r="A14101" t="s">
        <v>35</v>
      </c>
      <c r="B14101" t="s">
        <v>106</v>
      </c>
      <c r="C14101" t="str">
        <f>"A0135469"</f>
        <v>A0135469</v>
      </c>
      <c r="D14101" t="s">
        <v>49706</v>
      </c>
      <c r="E14101" t="s">
        <v>49685</v>
      </c>
      <c r="F14101" t="s">
        <v>9135</v>
      </c>
      <c r="G14101" t="s">
        <v>110</v>
      </c>
      <c r="H14101">
        <v>95192</v>
      </c>
      <c r="I14101" t="s">
        <v>30</v>
      </c>
      <c r="J14101" t="s">
        <v>111</v>
      </c>
      <c r="K14101" t="s">
        <v>10012</v>
      </c>
      <c r="Q14101">
        <v>0</v>
      </c>
      <c r="R14101">
        <v>0</v>
      </c>
      <c r="S14101">
        <v>0</v>
      </c>
      <c r="T14101" t="s">
        <v>49683</v>
      </c>
    </row>
    <row r="14102" spans="1:20" customFormat="1" ht="15" x14ac:dyDescent="0.25">
      <c r="A14102" t="s">
        <v>35</v>
      </c>
      <c r="B14102" t="s">
        <v>61</v>
      </c>
      <c r="C14102" t="str">
        <f>"A0130747"</f>
        <v>A0130747</v>
      </c>
      <c r="D14102" t="s">
        <v>49707</v>
      </c>
      <c r="E14102" t="s">
        <v>49708</v>
      </c>
      <c r="F14102" t="s">
        <v>30734</v>
      </c>
      <c r="G14102" t="s">
        <v>3236</v>
      </c>
      <c r="H14102">
        <v>57783</v>
      </c>
      <c r="I14102" t="s">
        <v>30</v>
      </c>
      <c r="J14102" t="s">
        <v>41</v>
      </c>
      <c r="K14102" t="s">
        <v>6300</v>
      </c>
      <c r="Q14102">
        <v>0</v>
      </c>
      <c r="R14102">
        <v>0</v>
      </c>
      <c r="S14102">
        <v>0</v>
      </c>
      <c r="T14102" t="s">
        <v>49709</v>
      </c>
    </row>
    <row r="14103" spans="1:20" customFormat="1" ht="15" x14ac:dyDescent="0.25">
      <c r="A14103" t="s">
        <v>35</v>
      </c>
      <c r="B14103" t="s">
        <v>61</v>
      </c>
      <c r="C14103" t="str">
        <f>"A0125422"</f>
        <v>A0125422</v>
      </c>
      <c r="D14103" t="s">
        <v>49710</v>
      </c>
      <c r="E14103" t="s">
        <v>49711</v>
      </c>
      <c r="F14103" t="s">
        <v>4037</v>
      </c>
      <c r="G14103" t="s">
        <v>40</v>
      </c>
      <c r="H14103">
        <v>73114</v>
      </c>
      <c r="I14103" t="s">
        <v>30</v>
      </c>
      <c r="J14103" t="s">
        <v>41</v>
      </c>
      <c r="K14103" t="s">
        <v>131</v>
      </c>
      <c r="Q14103">
        <v>0</v>
      </c>
      <c r="R14103">
        <v>1</v>
      </c>
      <c r="S14103">
        <v>1</v>
      </c>
      <c r="T14103" t="s">
        <v>49712</v>
      </c>
    </row>
    <row r="14104" spans="1:20" customFormat="1" ht="15" x14ac:dyDescent="0.25">
      <c r="A14104" t="s">
        <v>35</v>
      </c>
      <c r="B14104" t="s">
        <v>61</v>
      </c>
      <c r="C14104" t="str">
        <f>"A0123582"</f>
        <v>A0123582</v>
      </c>
      <c r="D14104" t="s">
        <v>49713</v>
      </c>
      <c r="E14104" t="s">
        <v>49714</v>
      </c>
      <c r="F14104" t="s">
        <v>1926</v>
      </c>
      <c r="G14104" t="s">
        <v>214</v>
      </c>
      <c r="H14104">
        <v>28227</v>
      </c>
      <c r="I14104" t="s">
        <v>30</v>
      </c>
      <c r="J14104" t="s">
        <v>41</v>
      </c>
      <c r="K14104" t="s">
        <v>10880</v>
      </c>
      <c r="Q14104">
        <v>0</v>
      </c>
      <c r="R14104">
        <v>0</v>
      </c>
      <c r="S14104">
        <v>0</v>
      </c>
    </row>
    <row r="14105" spans="1:20" customFormat="1" ht="15" x14ac:dyDescent="0.25">
      <c r="A14105" t="s">
        <v>35</v>
      </c>
      <c r="B14105" t="s">
        <v>61</v>
      </c>
      <c r="C14105" t="str">
        <f>"A0124341"</f>
        <v>A0124341</v>
      </c>
      <c r="D14105" t="s">
        <v>49715</v>
      </c>
      <c r="E14105" t="s">
        <v>49716</v>
      </c>
      <c r="F14105" t="s">
        <v>4674</v>
      </c>
      <c r="G14105" t="s">
        <v>314</v>
      </c>
      <c r="H14105">
        <v>20002</v>
      </c>
      <c r="I14105" t="s">
        <v>30</v>
      </c>
      <c r="J14105" t="s">
        <v>41</v>
      </c>
      <c r="K14105" t="s">
        <v>229</v>
      </c>
      <c r="Q14105">
        <v>0</v>
      </c>
      <c r="R14105">
        <v>177</v>
      </c>
      <c r="S14105">
        <v>177</v>
      </c>
      <c r="T14105" t="s">
        <v>49717</v>
      </c>
    </row>
    <row r="14106" spans="1:20" customFormat="1" ht="15" x14ac:dyDescent="0.25">
      <c r="A14106" t="s">
        <v>35</v>
      </c>
      <c r="B14106" t="s">
        <v>61</v>
      </c>
      <c r="C14106" t="str">
        <f>"A0124080"</f>
        <v>A0124080</v>
      </c>
      <c r="D14106" t="s">
        <v>49718</v>
      </c>
      <c r="E14106" t="s">
        <v>49719</v>
      </c>
      <c r="F14106" t="s">
        <v>2311</v>
      </c>
      <c r="G14106" t="s">
        <v>214</v>
      </c>
      <c r="H14106">
        <v>28721</v>
      </c>
      <c r="I14106" t="s">
        <v>30</v>
      </c>
      <c r="J14106" t="s">
        <v>41</v>
      </c>
      <c r="K14106" t="s">
        <v>59</v>
      </c>
      <c r="Q14106">
        <v>0</v>
      </c>
      <c r="R14106">
        <v>40</v>
      </c>
      <c r="S14106">
        <v>40</v>
      </c>
      <c r="T14106" t="s">
        <v>49720</v>
      </c>
    </row>
    <row r="14107" spans="1:20" customFormat="1" ht="15" x14ac:dyDescent="0.25">
      <c r="A14107" t="s">
        <v>35</v>
      </c>
      <c r="B14107" t="s">
        <v>61</v>
      </c>
      <c r="C14107" t="str">
        <f>"A0151112"</f>
        <v>A0151112</v>
      </c>
      <c r="D14107" t="s">
        <v>49721</v>
      </c>
      <c r="E14107" t="s">
        <v>49722</v>
      </c>
      <c r="F14107" t="s">
        <v>15531</v>
      </c>
      <c r="G14107" t="s">
        <v>214</v>
      </c>
      <c r="H14107">
        <v>27722</v>
      </c>
      <c r="I14107" t="s">
        <v>30</v>
      </c>
      <c r="J14107" t="s">
        <v>41</v>
      </c>
      <c r="K14107" t="s">
        <v>1412</v>
      </c>
      <c r="Q14107">
        <v>0</v>
      </c>
      <c r="R14107">
        <v>0</v>
      </c>
      <c r="S14107">
        <v>0</v>
      </c>
      <c r="T14107" t="s">
        <v>49723</v>
      </c>
    </row>
    <row r="14108" spans="1:20" customFormat="1" ht="15" x14ac:dyDescent="0.25">
      <c r="A14108" t="s">
        <v>35</v>
      </c>
      <c r="B14108" t="s">
        <v>61</v>
      </c>
      <c r="C14108" t="str">
        <f>"A0125247"</f>
        <v>A0125247</v>
      </c>
      <c r="D14108" t="s">
        <v>49724</v>
      </c>
      <c r="E14108" t="s">
        <v>49725</v>
      </c>
      <c r="F14108" t="s">
        <v>49726</v>
      </c>
      <c r="G14108" t="s">
        <v>40</v>
      </c>
      <c r="H14108">
        <v>74959</v>
      </c>
      <c r="I14108" t="s">
        <v>30</v>
      </c>
      <c r="J14108" t="s">
        <v>41</v>
      </c>
      <c r="K14108" t="s">
        <v>229</v>
      </c>
      <c r="Q14108">
        <v>0</v>
      </c>
      <c r="R14108">
        <v>78</v>
      </c>
      <c r="S14108">
        <v>78</v>
      </c>
      <c r="T14108" t="s">
        <v>49727</v>
      </c>
    </row>
    <row r="14109" spans="1:20" customFormat="1" ht="15" x14ac:dyDescent="0.25">
      <c r="A14109" t="s">
        <v>35</v>
      </c>
      <c r="B14109" t="s">
        <v>106</v>
      </c>
      <c r="C14109" t="str">
        <f>"A0136263"</f>
        <v>A0136263</v>
      </c>
      <c r="D14109" t="s">
        <v>49728</v>
      </c>
      <c r="E14109" t="s">
        <v>43311</v>
      </c>
      <c r="F14109" t="s">
        <v>75</v>
      </c>
      <c r="G14109" t="s">
        <v>137</v>
      </c>
      <c r="H14109">
        <v>65754</v>
      </c>
      <c r="I14109" t="s">
        <v>30</v>
      </c>
      <c r="J14109" t="s">
        <v>111</v>
      </c>
      <c r="K14109" t="s">
        <v>112</v>
      </c>
      <c r="Q14109">
        <v>0</v>
      </c>
      <c r="R14109">
        <v>0</v>
      </c>
      <c r="S14109">
        <v>0</v>
      </c>
      <c r="T14109" t="s">
        <v>43313</v>
      </c>
    </row>
    <row r="14110" spans="1:20" customFormat="1" ht="15" x14ac:dyDescent="0.25">
      <c r="A14110" t="s">
        <v>35</v>
      </c>
      <c r="B14110" t="s">
        <v>437</v>
      </c>
      <c r="C14110" t="str">
        <f>"A0135282"</f>
        <v>A0135282</v>
      </c>
      <c r="D14110" t="s">
        <v>49729</v>
      </c>
      <c r="E14110" t="s">
        <v>49730</v>
      </c>
      <c r="F14110" t="s">
        <v>75</v>
      </c>
      <c r="G14110" t="s">
        <v>76</v>
      </c>
      <c r="H14110">
        <v>99212</v>
      </c>
      <c r="I14110" t="s">
        <v>30</v>
      </c>
      <c r="J14110" t="s">
        <v>441</v>
      </c>
      <c r="K14110" t="s">
        <v>37340</v>
      </c>
      <c r="Q14110">
        <v>0</v>
      </c>
      <c r="R14110">
        <v>0</v>
      </c>
      <c r="S14110">
        <v>0</v>
      </c>
      <c r="T14110" t="s">
        <v>49731</v>
      </c>
    </row>
    <row r="14111" spans="1:20" customFormat="1" ht="15" x14ac:dyDescent="0.25">
      <c r="A14111" t="s">
        <v>35</v>
      </c>
      <c r="B14111" t="s">
        <v>437</v>
      </c>
      <c r="C14111" t="str">
        <f>"A0134034"</f>
        <v>A0134034</v>
      </c>
      <c r="D14111" t="s">
        <v>49732</v>
      </c>
      <c r="E14111" t="s">
        <v>49733</v>
      </c>
      <c r="F14111" t="s">
        <v>3180</v>
      </c>
      <c r="G14111" t="s">
        <v>99</v>
      </c>
      <c r="H14111">
        <v>13440</v>
      </c>
      <c r="I14111" t="s">
        <v>30</v>
      </c>
      <c r="J14111" t="s">
        <v>441</v>
      </c>
      <c r="K14111" t="s">
        <v>442</v>
      </c>
      <c r="Q14111">
        <v>0</v>
      </c>
      <c r="R14111">
        <v>0</v>
      </c>
      <c r="S14111">
        <v>0</v>
      </c>
      <c r="T14111" t="s">
        <v>7662</v>
      </c>
    </row>
    <row r="14112" spans="1:20" customFormat="1" ht="15" x14ac:dyDescent="0.25">
      <c r="A14112" t="s">
        <v>35</v>
      </c>
      <c r="B14112" t="s">
        <v>1295</v>
      </c>
      <c r="C14112" t="str">
        <f>"A0126639"</f>
        <v>A0126639</v>
      </c>
      <c r="D14112" t="s">
        <v>49734</v>
      </c>
      <c r="E14112" t="s">
        <v>49735</v>
      </c>
      <c r="F14112" t="s">
        <v>2990</v>
      </c>
      <c r="G14112" t="s">
        <v>103</v>
      </c>
      <c r="H14112">
        <v>17111</v>
      </c>
      <c r="I14112" t="s">
        <v>30</v>
      </c>
      <c r="J14112" t="s">
        <v>41</v>
      </c>
      <c r="K14112" t="s">
        <v>229</v>
      </c>
      <c r="Q14112">
        <v>0</v>
      </c>
      <c r="R14112">
        <v>404</v>
      </c>
      <c r="S14112">
        <v>404</v>
      </c>
      <c r="T14112" t="s">
        <v>49736</v>
      </c>
    </row>
    <row r="14113" spans="1:20" customFormat="1" ht="15" x14ac:dyDescent="0.25">
      <c r="A14113" t="s">
        <v>35</v>
      </c>
      <c r="B14113" t="s">
        <v>61</v>
      </c>
      <c r="C14113" t="str">
        <f>"A0121334"</f>
        <v>A0121334</v>
      </c>
      <c r="D14113" t="s">
        <v>49737</v>
      </c>
      <c r="E14113" t="s">
        <v>49738</v>
      </c>
      <c r="F14113" t="s">
        <v>36308</v>
      </c>
      <c r="G14113" t="s">
        <v>153</v>
      </c>
      <c r="H14113">
        <v>84042</v>
      </c>
      <c r="I14113" t="s">
        <v>30</v>
      </c>
      <c r="J14113" t="s">
        <v>41</v>
      </c>
      <c r="K14113" t="s">
        <v>59</v>
      </c>
      <c r="Q14113">
        <v>0</v>
      </c>
      <c r="R14113">
        <v>89</v>
      </c>
      <c r="S14113">
        <v>89</v>
      </c>
      <c r="T14113" t="s">
        <v>49739</v>
      </c>
    </row>
    <row r="14114" spans="1:20" customFormat="1" ht="15" x14ac:dyDescent="0.25">
      <c r="A14114" t="s">
        <v>35</v>
      </c>
      <c r="B14114" t="s">
        <v>61</v>
      </c>
      <c r="C14114" t="str">
        <f>"A0124592"</f>
        <v>A0124592</v>
      </c>
      <c r="D14114" t="s">
        <v>49740</v>
      </c>
      <c r="E14114" t="s">
        <v>49741</v>
      </c>
      <c r="F14114" t="s">
        <v>36407</v>
      </c>
      <c r="G14114" t="s">
        <v>1706</v>
      </c>
      <c r="H14114">
        <v>366080000</v>
      </c>
      <c r="I14114" t="s">
        <v>30</v>
      </c>
      <c r="J14114" t="s">
        <v>41</v>
      </c>
      <c r="K14114" t="s">
        <v>229</v>
      </c>
      <c r="Q14114">
        <v>0</v>
      </c>
      <c r="R14114">
        <v>34</v>
      </c>
      <c r="S14114">
        <v>34</v>
      </c>
      <c r="T14114" t="s">
        <v>49742</v>
      </c>
    </row>
    <row r="14115" spans="1:20" customFormat="1" ht="15" x14ac:dyDescent="0.25">
      <c r="A14115" t="s">
        <v>35</v>
      </c>
      <c r="B14115" t="s">
        <v>61</v>
      </c>
      <c r="C14115" t="str">
        <f>"A0124374"</f>
        <v>A0124374</v>
      </c>
      <c r="D14115" t="s">
        <v>49743</v>
      </c>
      <c r="E14115" t="s">
        <v>49744</v>
      </c>
      <c r="F14115" t="s">
        <v>21718</v>
      </c>
      <c r="G14115" t="s">
        <v>899</v>
      </c>
      <c r="H14115">
        <v>1431</v>
      </c>
      <c r="I14115" t="s">
        <v>30</v>
      </c>
      <c r="J14115" t="s">
        <v>41</v>
      </c>
      <c r="K14115" t="s">
        <v>229</v>
      </c>
      <c r="Q14115">
        <v>0</v>
      </c>
      <c r="R14115">
        <v>80</v>
      </c>
      <c r="S14115">
        <v>80</v>
      </c>
      <c r="T14115" t="s">
        <v>49745</v>
      </c>
    </row>
    <row r="14116" spans="1:20" customFormat="1" ht="15" x14ac:dyDescent="0.25">
      <c r="A14116" t="s">
        <v>35</v>
      </c>
      <c r="B14116" t="s">
        <v>61</v>
      </c>
      <c r="C14116" t="str">
        <f>"A0132882"</f>
        <v>A0132882</v>
      </c>
      <c r="D14116" t="s">
        <v>49746</v>
      </c>
      <c r="E14116" t="s">
        <v>49747</v>
      </c>
      <c r="F14116" t="s">
        <v>3478</v>
      </c>
      <c r="G14116" t="s">
        <v>65</v>
      </c>
      <c r="H14116">
        <v>45415</v>
      </c>
      <c r="I14116" t="s">
        <v>30</v>
      </c>
      <c r="J14116" t="s">
        <v>41</v>
      </c>
      <c r="K14116" t="s">
        <v>59</v>
      </c>
      <c r="Q14116">
        <v>0</v>
      </c>
      <c r="R14116">
        <v>50</v>
      </c>
      <c r="S14116">
        <v>50</v>
      </c>
      <c r="T14116" t="s">
        <v>49748</v>
      </c>
    </row>
    <row r="14117" spans="1:20" customFormat="1" ht="15" x14ac:dyDescent="0.25">
      <c r="A14117" t="s">
        <v>35</v>
      </c>
      <c r="B14117" t="s">
        <v>61</v>
      </c>
      <c r="C14117" t="str">
        <f>"A0132081"</f>
        <v>A0132081</v>
      </c>
      <c r="D14117" t="s">
        <v>49749</v>
      </c>
      <c r="E14117" t="s">
        <v>49750</v>
      </c>
      <c r="F14117" t="s">
        <v>5723</v>
      </c>
      <c r="G14117" t="s">
        <v>65</v>
      </c>
      <c r="H14117">
        <v>435280000</v>
      </c>
      <c r="I14117" t="s">
        <v>30</v>
      </c>
      <c r="J14117" t="s">
        <v>41</v>
      </c>
      <c r="K14117" t="s">
        <v>229</v>
      </c>
      <c r="Q14117">
        <v>0</v>
      </c>
      <c r="R14117">
        <v>100</v>
      </c>
      <c r="S14117">
        <v>100</v>
      </c>
      <c r="T14117" t="s">
        <v>49751</v>
      </c>
    </row>
    <row r="14118" spans="1:20" customFormat="1" ht="15" x14ac:dyDescent="0.25">
      <c r="A14118" t="s">
        <v>35</v>
      </c>
      <c r="B14118" t="s">
        <v>61</v>
      </c>
      <c r="C14118" t="str">
        <f>"A0124090"</f>
        <v>A0124090</v>
      </c>
      <c r="D14118" t="s">
        <v>49752</v>
      </c>
      <c r="E14118" t="s">
        <v>49753</v>
      </c>
      <c r="F14118" t="s">
        <v>49754</v>
      </c>
      <c r="G14118" t="s">
        <v>214</v>
      </c>
      <c r="H14118">
        <v>29690</v>
      </c>
      <c r="I14118" t="s">
        <v>30</v>
      </c>
      <c r="J14118" t="s">
        <v>41</v>
      </c>
      <c r="K14118" t="s">
        <v>482</v>
      </c>
      <c r="Q14118">
        <v>0</v>
      </c>
      <c r="R14118">
        <v>80</v>
      </c>
      <c r="S14118">
        <v>80</v>
      </c>
      <c r="T14118" t="s">
        <v>49755</v>
      </c>
    </row>
    <row r="14119" spans="1:20" customFormat="1" ht="15" x14ac:dyDescent="0.25">
      <c r="A14119" t="s">
        <v>35</v>
      </c>
      <c r="B14119" t="s">
        <v>61</v>
      </c>
      <c r="C14119" t="str">
        <f>"A0122627"</f>
        <v>A0122627</v>
      </c>
      <c r="D14119" t="s">
        <v>49756</v>
      </c>
      <c r="E14119" t="s">
        <v>49757</v>
      </c>
      <c r="F14119" t="s">
        <v>1039</v>
      </c>
      <c r="G14119" t="s">
        <v>76</v>
      </c>
      <c r="H14119">
        <v>98404</v>
      </c>
      <c r="I14119" t="s">
        <v>30</v>
      </c>
      <c r="J14119" t="s">
        <v>41</v>
      </c>
      <c r="K14119" t="s">
        <v>59</v>
      </c>
      <c r="Q14119">
        <v>0</v>
      </c>
      <c r="R14119">
        <v>65</v>
      </c>
      <c r="S14119">
        <v>65</v>
      </c>
      <c r="T14119" t="s">
        <v>49758</v>
      </c>
    </row>
    <row r="14120" spans="1:20" customFormat="1" ht="15" x14ac:dyDescent="0.25">
      <c r="A14120" t="s">
        <v>35</v>
      </c>
      <c r="B14120" t="s">
        <v>61</v>
      </c>
      <c r="C14120" t="str">
        <f>"A0131022"</f>
        <v>A0131022</v>
      </c>
      <c r="D14120" t="s">
        <v>49759</v>
      </c>
      <c r="E14120" t="s">
        <v>49760</v>
      </c>
      <c r="F14120" t="s">
        <v>1739</v>
      </c>
      <c r="G14120" t="s">
        <v>85</v>
      </c>
      <c r="H14120">
        <v>727640000</v>
      </c>
      <c r="I14120" t="s">
        <v>30</v>
      </c>
      <c r="J14120" t="s">
        <v>41</v>
      </c>
      <c r="K14120" t="s">
        <v>2760</v>
      </c>
      <c r="Q14120">
        <v>0</v>
      </c>
      <c r="R14120">
        <v>1</v>
      </c>
      <c r="S14120">
        <v>1</v>
      </c>
      <c r="T14120" t="s">
        <v>49761</v>
      </c>
    </row>
    <row r="14121" spans="1:20" customFormat="1" ht="15" x14ac:dyDescent="0.25">
      <c r="A14121" t="s">
        <v>35</v>
      </c>
      <c r="B14121" t="s">
        <v>61</v>
      </c>
      <c r="C14121" t="str">
        <f>"A0130851"</f>
        <v>A0130851</v>
      </c>
      <c r="D14121" t="s">
        <v>49762</v>
      </c>
      <c r="E14121" t="s">
        <v>49763</v>
      </c>
      <c r="F14121" t="s">
        <v>1755</v>
      </c>
      <c r="G14121" t="s">
        <v>137</v>
      </c>
      <c r="H14121">
        <v>658020000</v>
      </c>
      <c r="I14121" t="s">
        <v>30</v>
      </c>
      <c r="J14121" t="s">
        <v>41</v>
      </c>
      <c r="K14121" t="s">
        <v>229</v>
      </c>
      <c r="Q14121">
        <v>0</v>
      </c>
      <c r="R14121">
        <v>190</v>
      </c>
      <c r="S14121">
        <v>190</v>
      </c>
      <c r="T14121" t="s">
        <v>49764</v>
      </c>
    </row>
    <row r="14122" spans="1:20" customFormat="1" ht="15" x14ac:dyDescent="0.25">
      <c r="A14122" t="s">
        <v>35</v>
      </c>
      <c r="B14122" t="s">
        <v>61</v>
      </c>
      <c r="C14122" t="str">
        <f>"A0151125"</f>
        <v>A0151125</v>
      </c>
      <c r="D14122" t="s">
        <v>49765</v>
      </c>
      <c r="E14122" t="s">
        <v>49766</v>
      </c>
      <c r="F14122" t="s">
        <v>1755</v>
      </c>
      <c r="G14122" t="s">
        <v>289</v>
      </c>
      <c r="H14122">
        <v>62702</v>
      </c>
      <c r="I14122" t="s">
        <v>30</v>
      </c>
      <c r="J14122" t="s">
        <v>41</v>
      </c>
      <c r="K14122" t="s">
        <v>391</v>
      </c>
      <c r="Q14122">
        <v>0</v>
      </c>
      <c r="R14122">
        <v>96</v>
      </c>
      <c r="S14122">
        <v>96</v>
      </c>
      <c r="T14122" t="s">
        <v>49767</v>
      </c>
    </row>
    <row r="14123" spans="1:20" customFormat="1" ht="15" x14ac:dyDescent="0.25">
      <c r="A14123" t="s">
        <v>35</v>
      </c>
      <c r="B14123" t="s">
        <v>61</v>
      </c>
      <c r="C14123" t="str">
        <f>"A0128833"</f>
        <v>A0128833</v>
      </c>
      <c r="D14123" t="s">
        <v>49768</v>
      </c>
      <c r="E14123" t="s">
        <v>49769</v>
      </c>
      <c r="F14123" t="s">
        <v>1755</v>
      </c>
      <c r="G14123" t="s">
        <v>289</v>
      </c>
      <c r="H14123">
        <v>62702</v>
      </c>
      <c r="I14123" t="s">
        <v>30</v>
      </c>
      <c r="J14123" t="s">
        <v>41</v>
      </c>
      <c r="K14123" t="s">
        <v>59</v>
      </c>
      <c r="Q14123">
        <v>0</v>
      </c>
      <c r="R14123">
        <v>160</v>
      </c>
      <c r="S14123">
        <v>160</v>
      </c>
      <c r="T14123" t="s">
        <v>49770</v>
      </c>
    </row>
    <row r="14124" spans="1:20" customFormat="1" ht="15" x14ac:dyDescent="0.25">
      <c r="A14124" t="s">
        <v>35</v>
      </c>
      <c r="B14124" t="s">
        <v>61</v>
      </c>
      <c r="C14124" t="str">
        <f>"A0125002"</f>
        <v>A0125002</v>
      </c>
      <c r="D14124" t="s">
        <v>49771</v>
      </c>
      <c r="E14124" t="s">
        <v>49772</v>
      </c>
      <c r="F14124" t="s">
        <v>49773</v>
      </c>
      <c r="G14124" t="s">
        <v>214</v>
      </c>
      <c r="H14124">
        <v>27615</v>
      </c>
      <c r="I14124" t="s">
        <v>30</v>
      </c>
      <c r="J14124" t="s">
        <v>41</v>
      </c>
      <c r="K14124" t="s">
        <v>1440</v>
      </c>
      <c r="Q14124">
        <v>0</v>
      </c>
      <c r="R14124">
        <v>191</v>
      </c>
      <c r="S14124">
        <v>191</v>
      </c>
      <c r="T14124" t="s">
        <v>49774</v>
      </c>
    </row>
    <row r="14125" spans="1:20" customFormat="1" ht="15" x14ac:dyDescent="0.25">
      <c r="A14125" t="s">
        <v>35</v>
      </c>
      <c r="B14125" t="s">
        <v>61</v>
      </c>
      <c r="C14125" t="str">
        <f>"A0130383"</f>
        <v>A0130383</v>
      </c>
      <c r="D14125" t="s">
        <v>49775</v>
      </c>
      <c r="E14125" t="s">
        <v>49776</v>
      </c>
      <c r="F14125" t="s">
        <v>49777</v>
      </c>
      <c r="G14125" t="s">
        <v>1898</v>
      </c>
      <c r="H14125">
        <v>50063</v>
      </c>
      <c r="I14125" t="s">
        <v>30</v>
      </c>
      <c r="J14125" t="s">
        <v>41</v>
      </c>
      <c r="K14125" t="s">
        <v>229</v>
      </c>
      <c r="Q14125">
        <v>0</v>
      </c>
      <c r="R14125">
        <v>41</v>
      </c>
      <c r="S14125">
        <v>41</v>
      </c>
      <c r="T14125" t="s">
        <v>49778</v>
      </c>
    </row>
    <row r="14126" spans="1:20" customFormat="1" ht="15" x14ac:dyDescent="0.25">
      <c r="A14126" t="s">
        <v>35</v>
      </c>
      <c r="B14126" t="s">
        <v>106</v>
      </c>
      <c r="C14126" t="str">
        <f>"A0136559"</f>
        <v>A0136559</v>
      </c>
      <c r="D14126" t="s">
        <v>49779</v>
      </c>
      <c r="E14126" t="s">
        <v>49780</v>
      </c>
      <c r="F14126" t="s">
        <v>1795</v>
      </c>
      <c r="G14126" t="s">
        <v>29</v>
      </c>
      <c r="H14126">
        <v>23220</v>
      </c>
      <c r="I14126" t="s">
        <v>30</v>
      </c>
      <c r="J14126" t="s">
        <v>111</v>
      </c>
      <c r="K14126" t="s">
        <v>112</v>
      </c>
      <c r="Q14126">
        <v>0</v>
      </c>
      <c r="R14126">
        <v>0</v>
      </c>
      <c r="S14126">
        <v>0</v>
      </c>
      <c r="T14126" t="s">
        <v>49781</v>
      </c>
    </row>
    <row r="14127" spans="1:20" customFormat="1" ht="15" x14ac:dyDescent="0.25">
      <c r="A14127" t="s">
        <v>35</v>
      </c>
      <c r="B14127" t="s">
        <v>61</v>
      </c>
      <c r="C14127" t="str">
        <f>"A0127857"</f>
        <v>A0127857</v>
      </c>
      <c r="D14127" t="s">
        <v>49782</v>
      </c>
      <c r="E14127" t="s">
        <v>49783</v>
      </c>
      <c r="F14127" t="s">
        <v>9607</v>
      </c>
      <c r="G14127" t="s">
        <v>117</v>
      </c>
      <c r="H14127">
        <v>49504</v>
      </c>
      <c r="I14127" t="s">
        <v>30</v>
      </c>
      <c r="J14127" t="s">
        <v>41</v>
      </c>
      <c r="K14127" t="s">
        <v>229</v>
      </c>
      <c r="Q14127">
        <v>0</v>
      </c>
      <c r="R14127">
        <v>80</v>
      </c>
      <c r="S14127">
        <v>80</v>
      </c>
      <c r="T14127" t="s">
        <v>49784</v>
      </c>
    </row>
    <row r="14128" spans="1:20" customFormat="1" ht="15" x14ac:dyDescent="0.25">
      <c r="A14128" t="s">
        <v>35</v>
      </c>
      <c r="B14128" t="s">
        <v>61</v>
      </c>
      <c r="C14128" t="str">
        <f>"A0128649"</f>
        <v>A0128649</v>
      </c>
      <c r="D14128" t="s">
        <v>49785</v>
      </c>
      <c r="E14128" t="s">
        <v>49786</v>
      </c>
      <c r="F14128" t="s">
        <v>7095</v>
      </c>
      <c r="G14128" t="s">
        <v>1170</v>
      </c>
      <c r="H14128">
        <v>70118</v>
      </c>
      <c r="I14128" t="s">
        <v>30</v>
      </c>
      <c r="J14128" t="s">
        <v>41</v>
      </c>
      <c r="K14128" t="s">
        <v>229</v>
      </c>
      <c r="Q14128">
        <v>0</v>
      </c>
      <c r="R14128">
        <v>68</v>
      </c>
      <c r="S14128">
        <v>68</v>
      </c>
      <c r="T14128" t="s">
        <v>49787</v>
      </c>
    </row>
    <row r="14129" spans="1:20" customFormat="1" ht="15" x14ac:dyDescent="0.25">
      <c r="A14129" t="s">
        <v>35</v>
      </c>
      <c r="B14129" t="s">
        <v>61</v>
      </c>
      <c r="C14129" t="str">
        <f>"A0128463"</f>
        <v>A0128463</v>
      </c>
      <c r="D14129" t="s">
        <v>49788</v>
      </c>
      <c r="E14129" t="s">
        <v>49789</v>
      </c>
      <c r="F14129" t="s">
        <v>3755</v>
      </c>
      <c r="G14129" t="s">
        <v>110</v>
      </c>
      <c r="H14129">
        <v>945410000</v>
      </c>
      <c r="I14129" t="s">
        <v>30</v>
      </c>
      <c r="J14129" t="s">
        <v>41</v>
      </c>
      <c r="K14129" t="s">
        <v>229</v>
      </c>
      <c r="Q14129">
        <v>0</v>
      </c>
      <c r="R14129">
        <v>30</v>
      </c>
      <c r="S14129">
        <v>30</v>
      </c>
      <c r="T14129" t="s">
        <v>49790</v>
      </c>
    </row>
    <row r="14130" spans="1:20" customFormat="1" ht="15" x14ac:dyDescent="0.25">
      <c r="A14130" t="s">
        <v>35</v>
      </c>
      <c r="B14130" t="s">
        <v>61</v>
      </c>
      <c r="C14130" t="str">
        <f>"A0131546"</f>
        <v>A0131546</v>
      </c>
      <c r="D14130" t="s">
        <v>49791</v>
      </c>
      <c r="E14130" t="s">
        <v>49792</v>
      </c>
      <c r="F14130" t="s">
        <v>5061</v>
      </c>
      <c r="G14130" t="s">
        <v>381</v>
      </c>
      <c r="H14130">
        <v>479042000</v>
      </c>
      <c r="I14130" t="s">
        <v>30</v>
      </c>
      <c r="J14130" t="s">
        <v>41</v>
      </c>
      <c r="K14130" t="s">
        <v>229</v>
      </c>
      <c r="Q14130">
        <v>0</v>
      </c>
      <c r="R14130">
        <v>120</v>
      </c>
      <c r="S14130">
        <v>120</v>
      </c>
      <c r="T14130" t="s">
        <v>49793</v>
      </c>
    </row>
    <row r="14131" spans="1:20" customFormat="1" ht="15" x14ac:dyDescent="0.25">
      <c r="A14131" t="s">
        <v>35</v>
      </c>
      <c r="B14131" t="s">
        <v>61</v>
      </c>
      <c r="C14131" t="str">
        <f>"A0128716"</f>
        <v>A0128716</v>
      </c>
      <c r="D14131" t="s">
        <v>49794</v>
      </c>
      <c r="E14131" t="s">
        <v>49795</v>
      </c>
      <c r="F14131" t="s">
        <v>24915</v>
      </c>
      <c r="G14131" t="s">
        <v>1170</v>
      </c>
      <c r="H14131">
        <v>70003</v>
      </c>
      <c r="I14131" t="s">
        <v>30</v>
      </c>
      <c r="J14131" t="s">
        <v>41</v>
      </c>
      <c r="K14131" t="s">
        <v>229</v>
      </c>
      <c r="Q14131">
        <v>0</v>
      </c>
      <c r="R14131">
        <v>120</v>
      </c>
      <c r="S14131">
        <v>120</v>
      </c>
      <c r="T14131" t="s">
        <v>49796</v>
      </c>
    </row>
    <row r="14132" spans="1:20" customFormat="1" ht="15" x14ac:dyDescent="0.25">
      <c r="A14132" t="s">
        <v>35</v>
      </c>
      <c r="B14132" t="s">
        <v>61</v>
      </c>
      <c r="C14132" t="str">
        <f>"A0130655"</f>
        <v>A0130655</v>
      </c>
      <c r="D14132" t="s">
        <v>49797</v>
      </c>
      <c r="E14132" t="s">
        <v>49798</v>
      </c>
      <c r="F14132" t="s">
        <v>49799</v>
      </c>
      <c r="G14132" t="s">
        <v>71</v>
      </c>
      <c r="H14132">
        <v>53072</v>
      </c>
      <c r="I14132" t="s">
        <v>30</v>
      </c>
      <c r="J14132" t="s">
        <v>41</v>
      </c>
      <c r="K14132" t="s">
        <v>42</v>
      </c>
      <c r="Q14132">
        <v>0</v>
      </c>
      <c r="R14132">
        <v>70</v>
      </c>
      <c r="S14132">
        <v>70</v>
      </c>
      <c r="T14132" t="s">
        <v>49800</v>
      </c>
    </row>
    <row r="14133" spans="1:20" customFormat="1" ht="15" x14ac:dyDescent="0.25">
      <c r="A14133" t="s">
        <v>35</v>
      </c>
      <c r="B14133" t="s">
        <v>49801</v>
      </c>
      <c r="C14133" t="str">
        <f>"A0126276"</f>
        <v>A0126276</v>
      </c>
      <c r="D14133" t="s">
        <v>49802</v>
      </c>
      <c r="E14133" t="s">
        <v>49803</v>
      </c>
      <c r="F14133" t="s">
        <v>3555</v>
      </c>
      <c r="G14133" t="s">
        <v>81</v>
      </c>
      <c r="H14133">
        <v>32301</v>
      </c>
      <c r="I14133" t="s">
        <v>30</v>
      </c>
      <c r="J14133" t="s">
        <v>41</v>
      </c>
      <c r="K14133" t="s">
        <v>59</v>
      </c>
      <c r="Q14133">
        <v>0</v>
      </c>
      <c r="R14133">
        <v>85</v>
      </c>
      <c r="S14133">
        <v>85</v>
      </c>
      <c r="T14133" t="s">
        <v>49804</v>
      </c>
    </row>
    <row r="14134" spans="1:20" customFormat="1" ht="15" x14ac:dyDescent="0.25">
      <c r="A14134" t="s">
        <v>35</v>
      </c>
      <c r="B14134" t="s">
        <v>61</v>
      </c>
      <c r="C14134" t="str">
        <f>"A0128466"</f>
        <v>A0128466</v>
      </c>
      <c r="D14134" t="s">
        <v>49805</v>
      </c>
      <c r="E14134" t="s">
        <v>49806</v>
      </c>
      <c r="F14134" t="s">
        <v>3755</v>
      </c>
      <c r="G14134" t="s">
        <v>110</v>
      </c>
      <c r="H14134">
        <v>945410000</v>
      </c>
      <c r="I14134" t="s">
        <v>30</v>
      </c>
      <c r="J14134" t="s">
        <v>41</v>
      </c>
      <c r="K14134" t="s">
        <v>229</v>
      </c>
      <c r="Q14134">
        <v>0</v>
      </c>
      <c r="R14134">
        <v>34</v>
      </c>
      <c r="S14134">
        <v>34</v>
      </c>
      <c r="T14134" t="s">
        <v>49807</v>
      </c>
    </row>
    <row r="14135" spans="1:20" customFormat="1" ht="15" x14ac:dyDescent="0.25">
      <c r="A14135" t="s">
        <v>35</v>
      </c>
      <c r="B14135" t="s">
        <v>61</v>
      </c>
      <c r="C14135" t="str">
        <f>"A0129932"</f>
        <v>A0129932</v>
      </c>
      <c r="D14135" t="s">
        <v>49808</v>
      </c>
      <c r="E14135" t="s">
        <v>37096</v>
      </c>
      <c r="F14135" t="s">
        <v>44281</v>
      </c>
      <c r="G14135" t="s">
        <v>880</v>
      </c>
      <c r="H14135">
        <v>38134</v>
      </c>
      <c r="I14135" t="s">
        <v>30</v>
      </c>
      <c r="J14135" t="s">
        <v>41</v>
      </c>
      <c r="K14135" t="s">
        <v>418</v>
      </c>
      <c r="Q14135">
        <v>0</v>
      </c>
      <c r="R14135">
        <v>48</v>
      </c>
      <c r="S14135">
        <v>48</v>
      </c>
      <c r="T14135" t="s">
        <v>49809</v>
      </c>
    </row>
    <row r="14136" spans="1:20" customFormat="1" ht="15" x14ac:dyDescent="0.25">
      <c r="A14136" t="s">
        <v>35</v>
      </c>
      <c r="B14136" t="s">
        <v>61</v>
      </c>
      <c r="C14136" t="str">
        <f>"A0153038"</f>
        <v>A0153038</v>
      </c>
      <c r="D14136" t="s">
        <v>49810</v>
      </c>
      <c r="E14136" t="s">
        <v>49811</v>
      </c>
      <c r="F14136" t="s">
        <v>49812</v>
      </c>
      <c r="G14136" t="s">
        <v>65</v>
      </c>
      <c r="H14136">
        <v>44122</v>
      </c>
      <c r="I14136" t="s">
        <v>30</v>
      </c>
      <c r="J14136" t="s">
        <v>41</v>
      </c>
      <c r="K14136" t="s">
        <v>112</v>
      </c>
      <c r="Q14136">
        <v>0</v>
      </c>
      <c r="R14136">
        <v>0</v>
      </c>
      <c r="S14136">
        <v>0</v>
      </c>
      <c r="T14136" t="s">
        <v>49813</v>
      </c>
    </row>
    <row r="14137" spans="1:20" customFormat="1" ht="15" x14ac:dyDescent="0.25">
      <c r="A14137" t="s">
        <v>35</v>
      </c>
      <c r="B14137" t="s">
        <v>61</v>
      </c>
      <c r="C14137" t="str">
        <f>"A0133300"</f>
        <v>A0133300</v>
      </c>
      <c r="D14137" t="s">
        <v>49814</v>
      </c>
      <c r="E14137" t="s">
        <v>49815</v>
      </c>
      <c r="F14137" t="s">
        <v>5257</v>
      </c>
      <c r="G14137" t="s">
        <v>52</v>
      </c>
      <c r="H14137">
        <v>77021</v>
      </c>
      <c r="I14137" t="s">
        <v>30</v>
      </c>
      <c r="J14137" t="s">
        <v>41</v>
      </c>
      <c r="K14137" t="s">
        <v>1440</v>
      </c>
      <c r="Q14137">
        <v>0</v>
      </c>
      <c r="R14137">
        <v>317</v>
      </c>
      <c r="S14137">
        <v>317</v>
      </c>
      <c r="T14137" t="s">
        <v>49816</v>
      </c>
    </row>
    <row r="14138" spans="1:20" customFormat="1" ht="15" x14ac:dyDescent="0.25">
      <c r="A14138" t="s">
        <v>35</v>
      </c>
      <c r="B14138" t="s">
        <v>61</v>
      </c>
      <c r="C14138" t="str">
        <f>"A0128761"</f>
        <v>A0128761</v>
      </c>
      <c r="D14138" t="s">
        <v>49817</v>
      </c>
      <c r="E14138" t="s">
        <v>49818</v>
      </c>
      <c r="F14138" t="s">
        <v>49819</v>
      </c>
      <c r="G14138" t="s">
        <v>1170</v>
      </c>
      <c r="H14138">
        <v>70655</v>
      </c>
      <c r="I14138" t="s">
        <v>30</v>
      </c>
      <c r="J14138" t="s">
        <v>41</v>
      </c>
      <c r="K14138" t="s">
        <v>229</v>
      </c>
      <c r="Q14138">
        <v>0</v>
      </c>
      <c r="R14138">
        <v>100</v>
      </c>
      <c r="S14138">
        <v>100</v>
      </c>
      <c r="T14138" t="s">
        <v>49820</v>
      </c>
    </row>
    <row r="14139" spans="1:20" customFormat="1" ht="15" x14ac:dyDescent="0.25">
      <c r="A14139" t="s">
        <v>35</v>
      </c>
      <c r="B14139" t="s">
        <v>61</v>
      </c>
      <c r="C14139" t="str">
        <f>"A0131116"</f>
        <v>A0131116</v>
      </c>
      <c r="D14139" t="s">
        <v>49821</v>
      </c>
      <c r="E14139" t="s">
        <v>49822</v>
      </c>
      <c r="F14139" t="s">
        <v>49823</v>
      </c>
      <c r="G14139" t="s">
        <v>85</v>
      </c>
      <c r="H14139">
        <v>72336</v>
      </c>
      <c r="I14139" t="s">
        <v>30</v>
      </c>
      <c r="J14139" t="s">
        <v>41</v>
      </c>
      <c r="K14139" t="s">
        <v>131</v>
      </c>
      <c r="Q14139">
        <v>0</v>
      </c>
      <c r="R14139">
        <v>0</v>
      </c>
      <c r="S14139">
        <v>0</v>
      </c>
      <c r="T14139" t="s">
        <v>49824</v>
      </c>
    </row>
    <row r="14140" spans="1:20" customFormat="1" ht="15" x14ac:dyDescent="0.25">
      <c r="A14140" t="s">
        <v>35</v>
      </c>
      <c r="B14140" t="s">
        <v>61</v>
      </c>
      <c r="C14140" t="str">
        <f>"A0118499"</f>
        <v>A0118499</v>
      </c>
      <c r="D14140" t="s">
        <v>49825</v>
      </c>
      <c r="E14140" t="s">
        <v>49826</v>
      </c>
      <c r="F14140" t="s">
        <v>32439</v>
      </c>
      <c r="G14140" t="s">
        <v>110</v>
      </c>
      <c r="H14140">
        <v>95380</v>
      </c>
      <c r="I14140" t="s">
        <v>30</v>
      </c>
      <c r="J14140" t="s">
        <v>41</v>
      </c>
      <c r="K14140" t="s">
        <v>59</v>
      </c>
      <c r="Q14140">
        <v>0</v>
      </c>
      <c r="R14140">
        <v>56</v>
      </c>
      <c r="S14140">
        <v>56</v>
      </c>
      <c r="T14140" t="s">
        <v>49827</v>
      </c>
    </row>
    <row r="14141" spans="1:20" customFormat="1" ht="15" x14ac:dyDescent="0.25">
      <c r="A14141" t="s">
        <v>35</v>
      </c>
      <c r="B14141" t="s">
        <v>61</v>
      </c>
      <c r="C14141" t="str">
        <f>"A0125669"</f>
        <v>A0125669</v>
      </c>
      <c r="D14141" t="s">
        <v>22948</v>
      </c>
      <c r="E14141" t="s">
        <v>49828</v>
      </c>
      <c r="F14141" t="s">
        <v>1795</v>
      </c>
      <c r="G14141" t="s">
        <v>29</v>
      </c>
      <c r="H14141">
        <v>23225</v>
      </c>
      <c r="I14141" t="s">
        <v>30</v>
      </c>
      <c r="J14141" t="s">
        <v>41</v>
      </c>
      <c r="K14141" t="s">
        <v>59</v>
      </c>
      <c r="Q14141">
        <v>0</v>
      </c>
      <c r="R14141">
        <v>106</v>
      </c>
      <c r="S14141">
        <v>106</v>
      </c>
      <c r="T14141" t="s">
        <v>49829</v>
      </c>
    </row>
    <row r="14142" spans="1:20" customFormat="1" ht="15" x14ac:dyDescent="0.25">
      <c r="A14142" t="s">
        <v>35</v>
      </c>
      <c r="B14142" t="s">
        <v>61</v>
      </c>
      <c r="C14142" t="str">
        <f>"A0127737"</f>
        <v>A0127737</v>
      </c>
      <c r="D14142" t="s">
        <v>49830</v>
      </c>
      <c r="E14142" t="s">
        <v>49831</v>
      </c>
      <c r="F14142" t="s">
        <v>1775</v>
      </c>
      <c r="G14142" t="s">
        <v>117</v>
      </c>
      <c r="H14142">
        <v>48609</v>
      </c>
      <c r="I14142" t="s">
        <v>30</v>
      </c>
      <c r="J14142" t="s">
        <v>41</v>
      </c>
      <c r="K14142" t="s">
        <v>229</v>
      </c>
      <c r="Q14142">
        <v>0</v>
      </c>
      <c r="R14142">
        <v>100</v>
      </c>
      <c r="S14142">
        <v>100</v>
      </c>
      <c r="T14142" t="s">
        <v>49832</v>
      </c>
    </row>
    <row r="14143" spans="1:20" customFormat="1" ht="15" x14ac:dyDescent="0.25">
      <c r="A14143" t="s">
        <v>35</v>
      </c>
      <c r="B14143" t="s">
        <v>61</v>
      </c>
      <c r="C14143" t="str">
        <f>"A0133071"</f>
        <v>A0133071</v>
      </c>
      <c r="D14143" t="s">
        <v>49833</v>
      </c>
      <c r="E14143" t="s">
        <v>49834</v>
      </c>
      <c r="F14143" t="s">
        <v>5240</v>
      </c>
      <c r="G14143" t="s">
        <v>52</v>
      </c>
      <c r="H14143">
        <v>782123348</v>
      </c>
      <c r="I14143" t="s">
        <v>30</v>
      </c>
      <c r="J14143" t="s">
        <v>41</v>
      </c>
      <c r="K14143" t="s">
        <v>229</v>
      </c>
      <c r="Q14143">
        <v>0</v>
      </c>
      <c r="R14143">
        <v>143</v>
      </c>
      <c r="S14143">
        <v>143</v>
      </c>
      <c r="T14143" t="s">
        <v>49835</v>
      </c>
    </row>
    <row r="14144" spans="1:20" customFormat="1" ht="15" x14ac:dyDescent="0.25">
      <c r="A14144" t="s">
        <v>35</v>
      </c>
      <c r="B14144" t="s">
        <v>61</v>
      </c>
      <c r="C14144" t="str">
        <f>"A0128688"</f>
        <v>A0128688</v>
      </c>
      <c r="D14144" t="s">
        <v>49836</v>
      </c>
      <c r="E14144" t="s">
        <v>49837</v>
      </c>
      <c r="F14144" t="s">
        <v>49838</v>
      </c>
      <c r="G14144" t="s">
        <v>1170</v>
      </c>
      <c r="H14144">
        <v>701230000</v>
      </c>
      <c r="I14144" t="s">
        <v>30</v>
      </c>
      <c r="J14144" t="s">
        <v>41</v>
      </c>
      <c r="K14144" t="s">
        <v>59</v>
      </c>
      <c r="Q14144">
        <v>0</v>
      </c>
      <c r="R14144">
        <v>42</v>
      </c>
      <c r="S14144">
        <v>42</v>
      </c>
      <c r="T14144" t="s">
        <v>49839</v>
      </c>
    </row>
    <row r="14145" spans="1:20" customFormat="1" ht="15" x14ac:dyDescent="0.25">
      <c r="A14145" t="s">
        <v>35</v>
      </c>
      <c r="B14145" t="s">
        <v>61</v>
      </c>
      <c r="C14145" t="str">
        <f>"A0128840"</f>
        <v>A0128840</v>
      </c>
      <c r="D14145" t="s">
        <v>49840</v>
      </c>
      <c r="E14145" t="s">
        <v>49841</v>
      </c>
      <c r="F14145" t="s">
        <v>16521</v>
      </c>
      <c r="G14145" t="s">
        <v>289</v>
      </c>
      <c r="H14145">
        <v>61604</v>
      </c>
      <c r="I14145" t="s">
        <v>30</v>
      </c>
      <c r="J14145" t="s">
        <v>41</v>
      </c>
      <c r="K14145" t="s">
        <v>59</v>
      </c>
      <c r="Q14145">
        <v>0</v>
      </c>
      <c r="R14145">
        <v>96</v>
      </c>
      <c r="S14145">
        <v>96</v>
      </c>
      <c r="T14145" t="s">
        <v>49842</v>
      </c>
    </row>
    <row r="14146" spans="1:20" customFormat="1" ht="15" x14ac:dyDescent="0.25">
      <c r="A14146" t="s">
        <v>35</v>
      </c>
      <c r="B14146" t="s">
        <v>106</v>
      </c>
      <c r="C14146" t="str">
        <f>"A0135386"</f>
        <v>A0135386</v>
      </c>
      <c r="D14146" t="s">
        <v>49843</v>
      </c>
      <c r="E14146" t="s">
        <v>49844</v>
      </c>
      <c r="F14146" t="s">
        <v>455</v>
      </c>
      <c r="G14146" t="s">
        <v>433</v>
      </c>
      <c r="H14146">
        <v>93646</v>
      </c>
      <c r="I14146" t="s">
        <v>30</v>
      </c>
      <c r="J14146" t="s">
        <v>111</v>
      </c>
      <c r="K14146" t="s">
        <v>112</v>
      </c>
      <c r="Q14146">
        <v>0</v>
      </c>
      <c r="R14146">
        <v>0</v>
      </c>
      <c r="S14146">
        <v>0</v>
      </c>
      <c r="T14146" t="s">
        <v>49845</v>
      </c>
    </row>
    <row r="14147" spans="1:20" customFormat="1" ht="15" x14ac:dyDescent="0.25">
      <c r="A14147" t="s">
        <v>35</v>
      </c>
      <c r="B14147" t="s">
        <v>61</v>
      </c>
      <c r="C14147" t="str">
        <f>"A0130918"</f>
        <v>A0130918</v>
      </c>
      <c r="D14147" t="s">
        <v>49846</v>
      </c>
      <c r="E14147" t="s">
        <v>49847</v>
      </c>
      <c r="F14147" t="s">
        <v>4789</v>
      </c>
      <c r="G14147" t="s">
        <v>137</v>
      </c>
      <c r="H14147">
        <v>63628</v>
      </c>
      <c r="I14147" t="s">
        <v>30</v>
      </c>
      <c r="J14147" t="s">
        <v>41</v>
      </c>
      <c r="K14147" t="s">
        <v>229</v>
      </c>
      <c r="Q14147">
        <v>0</v>
      </c>
      <c r="R14147">
        <v>208</v>
      </c>
      <c r="S14147">
        <v>208</v>
      </c>
      <c r="T14147" t="s">
        <v>49848</v>
      </c>
    </row>
    <row r="14148" spans="1:20" customFormat="1" ht="15" x14ac:dyDescent="0.25">
      <c r="A14148" t="s">
        <v>35</v>
      </c>
      <c r="B14148" t="s">
        <v>106</v>
      </c>
      <c r="C14148" t="str">
        <f>"A0154438"</f>
        <v>A0154438</v>
      </c>
      <c r="D14148" t="s">
        <v>49849</v>
      </c>
      <c r="E14148" t="s">
        <v>49850</v>
      </c>
      <c r="F14148" t="s">
        <v>6119</v>
      </c>
      <c r="G14148" t="s">
        <v>1369</v>
      </c>
      <c r="H14148">
        <v>39443</v>
      </c>
      <c r="I14148" t="s">
        <v>30</v>
      </c>
      <c r="J14148" t="s">
        <v>111</v>
      </c>
      <c r="K14148" t="s">
        <v>112</v>
      </c>
      <c r="Q14148">
        <v>0</v>
      </c>
      <c r="R14148">
        <v>0</v>
      </c>
      <c r="S14148">
        <v>0</v>
      </c>
      <c r="T14148" t="s">
        <v>49851</v>
      </c>
    </row>
    <row r="14149" spans="1:20" customFormat="1" ht="15" x14ac:dyDescent="0.25">
      <c r="A14149" t="s">
        <v>35</v>
      </c>
      <c r="B14149" t="s">
        <v>61</v>
      </c>
      <c r="C14149" t="str">
        <f>"A0130989"</f>
        <v>A0130989</v>
      </c>
      <c r="D14149" t="s">
        <v>49852</v>
      </c>
      <c r="E14149" t="s">
        <v>49853</v>
      </c>
      <c r="F14149" t="s">
        <v>1655</v>
      </c>
      <c r="G14149" t="s">
        <v>137</v>
      </c>
      <c r="H14149">
        <v>631140000</v>
      </c>
      <c r="I14149" t="s">
        <v>30</v>
      </c>
      <c r="J14149" t="s">
        <v>41</v>
      </c>
      <c r="K14149" t="s">
        <v>229</v>
      </c>
      <c r="Q14149">
        <v>0</v>
      </c>
      <c r="R14149">
        <v>94</v>
      </c>
      <c r="S14149">
        <v>94</v>
      </c>
      <c r="T14149" t="s">
        <v>49854</v>
      </c>
    </row>
    <row r="14150" spans="1:20" customFormat="1" ht="15" x14ac:dyDescent="0.25">
      <c r="A14150" t="s">
        <v>35</v>
      </c>
      <c r="B14150" t="s">
        <v>106</v>
      </c>
      <c r="C14150" t="str">
        <f>"A0136608"</f>
        <v>A0136608</v>
      </c>
      <c r="D14150" t="s">
        <v>49855</v>
      </c>
      <c r="E14150" t="s">
        <v>49856</v>
      </c>
      <c r="F14150" t="s">
        <v>27191</v>
      </c>
      <c r="G14150" t="s">
        <v>161</v>
      </c>
      <c r="H14150">
        <v>55068</v>
      </c>
      <c r="I14150" t="s">
        <v>30</v>
      </c>
      <c r="J14150" t="s">
        <v>111</v>
      </c>
      <c r="K14150" t="s">
        <v>112</v>
      </c>
      <c r="Q14150">
        <v>0</v>
      </c>
      <c r="R14150">
        <v>0</v>
      </c>
      <c r="S14150">
        <v>0</v>
      </c>
      <c r="T14150" t="s">
        <v>49857</v>
      </c>
    </row>
    <row r="14151" spans="1:20" customFormat="1" ht="15" x14ac:dyDescent="0.25">
      <c r="A14151" t="s">
        <v>35</v>
      </c>
      <c r="B14151" t="s">
        <v>61</v>
      </c>
      <c r="C14151" t="str">
        <f>"A0129293"</f>
        <v>A0129293</v>
      </c>
      <c r="D14151" t="s">
        <v>49858</v>
      </c>
      <c r="E14151" t="s">
        <v>49859</v>
      </c>
      <c r="F14151" t="s">
        <v>1755</v>
      </c>
      <c r="G14151" t="s">
        <v>289</v>
      </c>
      <c r="H14151">
        <v>62703</v>
      </c>
      <c r="I14151" t="s">
        <v>30</v>
      </c>
      <c r="J14151" t="s">
        <v>41</v>
      </c>
      <c r="K14151" t="s">
        <v>229</v>
      </c>
      <c r="Q14151">
        <v>0</v>
      </c>
      <c r="R14151">
        <v>100</v>
      </c>
      <c r="S14151">
        <v>100</v>
      </c>
      <c r="T14151" t="s">
        <v>49860</v>
      </c>
    </row>
    <row r="14152" spans="1:20" customFormat="1" ht="15" x14ac:dyDescent="0.25">
      <c r="A14152" t="s">
        <v>35</v>
      </c>
      <c r="B14152" t="s">
        <v>106</v>
      </c>
      <c r="C14152" t="str">
        <f>"A0136584"</f>
        <v>A0136584</v>
      </c>
      <c r="D14152" t="s">
        <v>49861</v>
      </c>
      <c r="E14152" t="s">
        <v>49862</v>
      </c>
      <c r="F14152" t="s">
        <v>17870</v>
      </c>
      <c r="G14152" t="s">
        <v>144</v>
      </c>
      <c r="H14152">
        <v>58801</v>
      </c>
      <c r="I14152" t="s">
        <v>30</v>
      </c>
      <c r="J14152" t="s">
        <v>111</v>
      </c>
      <c r="K14152" t="s">
        <v>112</v>
      </c>
      <c r="Q14152">
        <v>0</v>
      </c>
      <c r="R14152">
        <v>0</v>
      </c>
      <c r="S14152">
        <v>0</v>
      </c>
      <c r="T14152" t="s">
        <v>49863</v>
      </c>
    </row>
    <row r="14153" spans="1:20" customFormat="1" ht="15" x14ac:dyDescent="0.25">
      <c r="A14153" t="s">
        <v>35</v>
      </c>
      <c r="B14153" t="s">
        <v>61</v>
      </c>
      <c r="C14153" t="str">
        <f>"A0123143"</f>
        <v>A0123143</v>
      </c>
      <c r="D14153" t="s">
        <v>49864</v>
      </c>
      <c r="E14153" t="s">
        <v>49865</v>
      </c>
      <c r="F14153" t="s">
        <v>17069</v>
      </c>
      <c r="G14153" t="s">
        <v>137</v>
      </c>
      <c r="H14153">
        <v>651090000</v>
      </c>
      <c r="I14153" t="s">
        <v>30</v>
      </c>
      <c r="J14153" t="s">
        <v>41</v>
      </c>
      <c r="K14153" t="s">
        <v>229</v>
      </c>
      <c r="Q14153">
        <v>0</v>
      </c>
      <c r="R14153">
        <v>1</v>
      </c>
      <c r="S14153">
        <v>1</v>
      </c>
      <c r="T14153" t="s">
        <v>49866</v>
      </c>
    </row>
    <row r="14154" spans="1:20" customFormat="1" ht="15" x14ac:dyDescent="0.25">
      <c r="A14154" t="s">
        <v>35</v>
      </c>
      <c r="B14154" t="s">
        <v>61</v>
      </c>
      <c r="C14154" t="str">
        <f>"A0127721"</f>
        <v>A0127721</v>
      </c>
      <c r="D14154" t="s">
        <v>49867</v>
      </c>
      <c r="E14154" t="s">
        <v>36422</v>
      </c>
      <c r="F14154" t="s">
        <v>8846</v>
      </c>
      <c r="G14154" t="s">
        <v>117</v>
      </c>
      <c r="H14154">
        <v>48224</v>
      </c>
      <c r="I14154" t="s">
        <v>30</v>
      </c>
      <c r="J14154" t="s">
        <v>41</v>
      </c>
      <c r="K14154" t="s">
        <v>59</v>
      </c>
      <c r="Q14154">
        <v>0</v>
      </c>
      <c r="R14154">
        <v>102</v>
      </c>
      <c r="S14154">
        <v>102</v>
      </c>
      <c r="T14154" t="s">
        <v>49868</v>
      </c>
    </row>
    <row r="14155" spans="1:20" customFormat="1" ht="15" x14ac:dyDescent="0.25">
      <c r="A14155" t="s">
        <v>35</v>
      </c>
      <c r="B14155" t="s">
        <v>61</v>
      </c>
      <c r="C14155" t="str">
        <f>"A0128315"</f>
        <v>A0128315</v>
      </c>
      <c r="D14155" t="s">
        <v>49869</v>
      </c>
      <c r="E14155" t="s">
        <v>49870</v>
      </c>
      <c r="F14155" t="s">
        <v>49871</v>
      </c>
      <c r="G14155" t="s">
        <v>427</v>
      </c>
      <c r="H14155">
        <v>686320000</v>
      </c>
      <c r="I14155" t="s">
        <v>30</v>
      </c>
      <c r="J14155" t="s">
        <v>41</v>
      </c>
      <c r="K14155" t="s">
        <v>1440</v>
      </c>
      <c r="Q14155">
        <v>0</v>
      </c>
      <c r="R14155">
        <v>58</v>
      </c>
      <c r="S14155">
        <v>58</v>
      </c>
      <c r="T14155" t="s">
        <v>49872</v>
      </c>
    </row>
    <row r="14156" spans="1:20" customFormat="1" ht="15" x14ac:dyDescent="0.25">
      <c r="A14156" t="s">
        <v>35</v>
      </c>
      <c r="B14156" t="s">
        <v>61</v>
      </c>
      <c r="C14156" t="str">
        <f>"A0132546"</f>
        <v>A0132546</v>
      </c>
      <c r="D14156" t="s">
        <v>49873</v>
      </c>
      <c r="E14156" t="s">
        <v>49874</v>
      </c>
      <c r="F14156" t="s">
        <v>12157</v>
      </c>
      <c r="G14156" t="s">
        <v>65</v>
      </c>
      <c r="H14156">
        <v>45458</v>
      </c>
      <c r="I14156" t="s">
        <v>30</v>
      </c>
      <c r="J14156" t="s">
        <v>41</v>
      </c>
      <c r="K14156" t="s">
        <v>229</v>
      </c>
      <c r="Q14156">
        <v>0</v>
      </c>
      <c r="R14156">
        <v>378</v>
      </c>
      <c r="S14156">
        <v>378</v>
      </c>
      <c r="T14156" t="s">
        <v>49875</v>
      </c>
    </row>
    <row r="14157" spans="1:20" customFormat="1" ht="15" x14ac:dyDescent="0.25">
      <c r="A14157" t="s">
        <v>35</v>
      </c>
      <c r="B14157" t="s">
        <v>61</v>
      </c>
      <c r="C14157" t="str">
        <f>"A0128203"</f>
        <v>A0128203</v>
      </c>
      <c r="D14157" t="s">
        <v>49876</v>
      </c>
      <c r="E14157" t="s">
        <v>49877</v>
      </c>
      <c r="F14157" t="s">
        <v>9621</v>
      </c>
      <c r="G14157" t="s">
        <v>117</v>
      </c>
      <c r="H14157">
        <v>48118</v>
      </c>
      <c r="I14157" t="s">
        <v>30</v>
      </c>
      <c r="J14157" t="s">
        <v>41</v>
      </c>
      <c r="K14157" t="s">
        <v>131</v>
      </c>
      <c r="Q14157">
        <v>0</v>
      </c>
      <c r="R14157">
        <v>83</v>
      </c>
      <c r="S14157">
        <v>83</v>
      </c>
      <c r="T14157" t="s">
        <v>49878</v>
      </c>
    </row>
    <row r="14158" spans="1:20" customFormat="1" ht="15" x14ac:dyDescent="0.25">
      <c r="A14158" t="s">
        <v>35</v>
      </c>
      <c r="B14158" t="s">
        <v>61</v>
      </c>
      <c r="C14158" t="str">
        <f>"A0130653"</f>
        <v>A0130653</v>
      </c>
      <c r="D14158" t="s">
        <v>49879</v>
      </c>
      <c r="E14158" t="s">
        <v>49880</v>
      </c>
      <c r="F14158" t="s">
        <v>15601</v>
      </c>
      <c r="G14158" t="s">
        <v>1898</v>
      </c>
      <c r="H14158">
        <v>51301</v>
      </c>
      <c r="I14158" t="s">
        <v>30</v>
      </c>
      <c r="J14158" t="s">
        <v>41</v>
      </c>
      <c r="K14158" t="s">
        <v>1440</v>
      </c>
      <c r="Q14158">
        <v>0</v>
      </c>
      <c r="R14158">
        <v>99</v>
      </c>
      <c r="S14158">
        <v>99</v>
      </c>
      <c r="T14158" t="s">
        <v>49881</v>
      </c>
    </row>
    <row r="14159" spans="1:20" customFormat="1" ht="15" x14ac:dyDescent="0.25">
      <c r="A14159" t="s">
        <v>35</v>
      </c>
      <c r="B14159" t="s">
        <v>61</v>
      </c>
      <c r="C14159" t="str">
        <f>"A0132556"</f>
        <v>A0132556</v>
      </c>
      <c r="D14159" t="s">
        <v>49882</v>
      </c>
      <c r="E14159" t="s">
        <v>49883</v>
      </c>
      <c r="F14159" t="s">
        <v>11749</v>
      </c>
      <c r="G14159" t="s">
        <v>65</v>
      </c>
      <c r="H14159">
        <v>44319</v>
      </c>
      <c r="I14159" t="s">
        <v>30</v>
      </c>
      <c r="J14159" t="s">
        <v>41</v>
      </c>
      <c r="K14159" t="s">
        <v>229</v>
      </c>
      <c r="Q14159">
        <v>0</v>
      </c>
      <c r="R14159">
        <v>56</v>
      </c>
      <c r="S14159">
        <v>56</v>
      </c>
      <c r="T14159" t="s">
        <v>49884</v>
      </c>
    </row>
    <row r="14160" spans="1:20" customFormat="1" ht="15" x14ac:dyDescent="0.25">
      <c r="A14160" t="s">
        <v>35</v>
      </c>
      <c r="B14160" t="s">
        <v>61</v>
      </c>
      <c r="C14160" t="str">
        <f>"A0128651"</f>
        <v>A0128651</v>
      </c>
      <c r="D14160" t="s">
        <v>49885</v>
      </c>
      <c r="E14160" t="s">
        <v>49886</v>
      </c>
      <c r="F14160" t="s">
        <v>8103</v>
      </c>
      <c r="G14160" t="s">
        <v>1170</v>
      </c>
      <c r="H14160">
        <v>700530000</v>
      </c>
      <c r="I14160" t="s">
        <v>30</v>
      </c>
      <c r="J14160" t="s">
        <v>41</v>
      </c>
      <c r="K14160" t="s">
        <v>229</v>
      </c>
      <c r="Q14160">
        <v>0</v>
      </c>
      <c r="R14160">
        <v>105</v>
      </c>
      <c r="S14160">
        <v>105</v>
      </c>
      <c r="T14160" t="s">
        <v>49887</v>
      </c>
    </row>
    <row r="14161" spans="1:20" customFormat="1" ht="15" x14ac:dyDescent="0.25">
      <c r="A14161" t="s">
        <v>35</v>
      </c>
      <c r="B14161" t="s">
        <v>61</v>
      </c>
      <c r="C14161" t="str">
        <f>"A0126162"</f>
        <v>A0126162</v>
      </c>
      <c r="D14161" t="s">
        <v>49888</v>
      </c>
      <c r="E14161" t="s">
        <v>49889</v>
      </c>
      <c r="F14161" t="s">
        <v>7734</v>
      </c>
      <c r="G14161" t="s">
        <v>197</v>
      </c>
      <c r="H14161">
        <v>85705</v>
      </c>
      <c r="I14161" t="s">
        <v>30</v>
      </c>
      <c r="J14161" t="s">
        <v>41</v>
      </c>
      <c r="K14161" t="s">
        <v>59</v>
      </c>
      <c r="Q14161">
        <v>0</v>
      </c>
      <c r="R14161">
        <v>80</v>
      </c>
      <c r="S14161">
        <v>80</v>
      </c>
      <c r="T14161" t="s">
        <v>49890</v>
      </c>
    </row>
    <row r="14162" spans="1:20" customFormat="1" ht="15" x14ac:dyDescent="0.25">
      <c r="A14162" t="s">
        <v>35</v>
      </c>
      <c r="B14162" t="s">
        <v>106</v>
      </c>
      <c r="C14162" t="str">
        <f>"A0136551"</f>
        <v>A0136551</v>
      </c>
      <c r="D14162" t="s">
        <v>49891</v>
      </c>
      <c r="E14162" t="s">
        <v>49892</v>
      </c>
      <c r="F14162" t="s">
        <v>436</v>
      </c>
      <c r="G14162" t="s">
        <v>433</v>
      </c>
      <c r="H14162">
        <v>83704</v>
      </c>
      <c r="I14162" t="s">
        <v>30</v>
      </c>
      <c r="J14162" t="s">
        <v>111</v>
      </c>
      <c r="K14162" t="s">
        <v>112</v>
      </c>
      <c r="Q14162">
        <v>0</v>
      </c>
      <c r="R14162">
        <v>0</v>
      </c>
      <c r="S14162">
        <v>0</v>
      </c>
      <c r="T14162" t="s">
        <v>49893</v>
      </c>
    </row>
    <row r="14163" spans="1:20" customFormat="1" ht="15" x14ac:dyDescent="0.25">
      <c r="A14163" t="s">
        <v>35</v>
      </c>
      <c r="B14163" t="s">
        <v>61</v>
      </c>
      <c r="C14163" t="str">
        <f>"A0127601"</f>
        <v>A0127601</v>
      </c>
      <c r="D14163" t="s">
        <v>49894</v>
      </c>
      <c r="E14163" t="s">
        <v>49895</v>
      </c>
      <c r="F14163" t="s">
        <v>4082</v>
      </c>
      <c r="G14163" t="s">
        <v>123</v>
      </c>
      <c r="H14163">
        <v>21228</v>
      </c>
      <c r="I14163" t="s">
        <v>30</v>
      </c>
      <c r="J14163" t="s">
        <v>41</v>
      </c>
      <c r="K14163" t="s">
        <v>229</v>
      </c>
      <c r="Q14163">
        <v>0</v>
      </c>
      <c r="R14163">
        <v>90</v>
      </c>
      <c r="S14163">
        <v>90</v>
      </c>
      <c r="T14163" t="s">
        <v>49896</v>
      </c>
    </row>
    <row r="14164" spans="1:20" customFormat="1" ht="15" x14ac:dyDescent="0.25">
      <c r="A14164" t="s">
        <v>35</v>
      </c>
      <c r="B14164" t="s">
        <v>61</v>
      </c>
      <c r="C14164" t="str">
        <f>"A0124839"</f>
        <v>A0124839</v>
      </c>
      <c r="D14164" t="s">
        <v>49897</v>
      </c>
      <c r="E14164" t="s">
        <v>49898</v>
      </c>
      <c r="F14164" t="s">
        <v>7501</v>
      </c>
      <c r="G14164" t="s">
        <v>214</v>
      </c>
      <c r="H14164">
        <v>27866</v>
      </c>
      <c r="I14164" t="s">
        <v>30</v>
      </c>
      <c r="J14164" t="s">
        <v>41</v>
      </c>
      <c r="K14164" t="s">
        <v>59</v>
      </c>
      <c r="Q14164">
        <v>0</v>
      </c>
      <c r="R14164">
        <v>64</v>
      </c>
      <c r="S14164">
        <v>64</v>
      </c>
      <c r="T14164" t="s">
        <v>49899</v>
      </c>
    </row>
    <row r="14165" spans="1:20" customFormat="1" ht="15" x14ac:dyDescent="0.25">
      <c r="A14165" t="s">
        <v>35</v>
      </c>
      <c r="B14165" t="s">
        <v>61</v>
      </c>
      <c r="C14165" t="str">
        <f>"A0125782"</f>
        <v>A0125782</v>
      </c>
      <c r="D14165" t="s">
        <v>49900</v>
      </c>
      <c r="E14165" t="s">
        <v>49901</v>
      </c>
      <c r="F14165" t="s">
        <v>15622</v>
      </c>
      <c r="G14165" t="s">
        <v>29</v>
      </c>
      <c r="H14165">
        <v>23502</v>
      </c>
      <c r="I14165" t="s">
        <v>30</v>
      </c>
      <c r="J14165" t="s">
        <v>41</v>
      </c>
      <c r="K14165" t="s">
        <v>229</v>
      </c>
      <c r="Q14165">
        <v>0</v>
      </c>
      <c r="R14165">
        <v>88</v>
      </c>
      <c r="S14165">
        <v>88</v>
      </c>
      <c r="T14165" t="s">
        <v>49902</v>
      </c>
    </row>
    <row r="14166" spans="1:20" customFormat="1" ht="15" x14ac:dyDescent="0.25">
      <c r="A14166" t="s">
        <v>35</v>
      </c>
      <c r="B14166" t="s">
        <v>61</v>
      </c>
      <c r="C14166" t="str">
        <f>"A0123969"</f>
        <v>A0123969</v>
      </c>
      <c r="D14166" t="s">
        <v>49903</v>
      </c>
      <c r="E14166" t="s">
        <v>49904</v>
      </c>
      <c r="F14166" t="s">
        <v>1795</v>
      </c>
      <c r="G14166" t="s">
        <v>29</v>
      </c>
      <c r="H14166">
        <v>23226</v>
      </c>
      <c r="I14166" t="s">
        <v>30</v>
      </c>
      <c r="J14166" t="s">
        <v>41</v>
      </c>
      <c r="K14166" t="s">
        <v>3713</v>
      </c>
      <c r="Q14166">
        <v>0</v>
      </c>
      <c r="R14166">
        <v>0</v>
      </c>
      <c r="S14166">
        <v>0</v>
      </c>
      <c r="T14166" t="s">
        <v>49905</v>
      </c>
    </row>
    <row r="14167" spans="1:20" customFormat="1" ht="15" x14ac:dyDescent="0.25">
      <c r="A14167" t="s">
        <v>35</v>
      </c>
      <c r="B14167" t="s">
        <v>61</v>
      </c>
      <c r="C14167" t="str">
        <f>"A0130102"</f>
        <v>A0130102</v>
      </c>
      <c r="D14167" t="s">
        <v>49906</v>
      </c>
      <c r="E14167" t="s">
        <v>49907</v>
      </c>
      <c r="F14167" t="s">
        <v>45456</v>
      </c>
      <c r="G14167" t="s">
        <v>880</v>
      </c>
      <c r="H14167">
        <v>37375</v>
      </c>
      <c r="I14167" t="s">
        <v>30</v>
      </c>
      <c r="J14167" t="s">
        <v>41</v>
      </c>
      <c r="K14167" t="s">
        <v>42</v>
      </c>
      <c r="Q14167">
        <v>0</v>
      </c>
      <c r="R14167">
        <v>0</v>
      </c>
      <c r="S14167">
        <v>0</v>
      </c>
      <c r="T14167" t="s">
        <v>49908</v>
      </c>
    </row>
    <row r="14168" spans="1:20" customFormat="1" ht="15" x14ac:dyDescent="0.25">
      <c r="A14168" t="s">
        <v>35</v>
      </c>
      <c r="B14168" t="s">
        <v>106</v>
      </c>
      <c r="C14168" t="str">
        <f>"A0136553"</f>
        <v>A0136553</v>
      </c>
      <c r="D14168" t="s">
        <v>49909</v>
      </c>
      <c r="E14168" t="s">
        <v>49910</v>
      </c>
      <c r="F14168" t="s">
        <v>40232</v>
      </c>
      <c r="G14168" t="s">
        <v>1184</v>
      </c>
      <c r="H14168">
        <v>59901</v>
      </c>
      <c r="I14168" t="s">
        <v>30</v>
      </c>
      <c r="J14168" t="s">
        <v>111</v>
      </c>
      <c r="K14168" t="s">
        <v>112</v>
      </c>
      <c r="Q14168">
        <v>0</v>
      </c>
      <c r="R14168">
        <v>0</v>
      </c>
      <c r="S14168">
        <v>0</v>
      </c>
      <c r="T14168" t="s">
        <v>49911</v>
      </c>
    </row>
    <row r="14169" spans="1:20" customFormat="1" ht="15" x14ac:dyDescent="0.25">
      <c r="A14169" t="s">
        <v>35</v>
      </c>
      <c r="B14169" t="s">
        <v>61</v>
      </c>
      <c r="C14169" t="str">
        <f>"A0118817"</f>
        <v>A0118817</v>
      </c>
      <c r="D14169" t="s">
        <v>49912</v>
      </c>
      <c r="E14169" t="s">
        <v>49913</v>
      </c>
      <c r="F14169" t="s">
        <v>7523</v>
      </c>
      <c r="G14169" t="s">
        <v>110</v>
      </c>
      <c r="H14169">
        <v>94901</v>
      </c>
      <c r="I14169" t="s">
        <v>30</v>
      </c>
      <c r="J14169" t="s">
        <v>41</v>
      </c>
      <c r="K14169" t="s">
        <v>59</v>
      </c>
      <c r="Q14169">
        <v>0</v>
      </c>
      <c r="R14169">
        <v>42</v>
      </c>
      <c r="S14169">
        <v>42</v>
      </c>
      <c r="T14169" t="s">
        <v>49914</v>
      </c>
    </row>
    <row r="14170" spans="1:20" customFormat="1" ht="15" x14ac:dyDescent="0.25">
      <c r="A14170" t="s">
        <v>35</v>
      </c>
      <c r="B14170" t="s">
        <v>106</v>
      </c>
      <c r="C14170" t="str">
        <f>"A0136500"</f>
        <v>A0136500</v>
      </c>
      <c r="D14170" t="s">
        <v>49915</v>
      </c>
      <c r="E14170" t="s">
        <v>49916</v>
      </c>
      <c r="F14170" t="s">
        <v>29747</v>
      </c>
      <c r="G14170" t="s">
        <v>615</v>
      </c>
      <c r="H14170">
        <v>6106</v>
      </c>
      <c r="I14170" t="s">
        <v>30</v>
      </c>
      <c r="J14170" t="s">
        <v>111</v>
      </c>
      <c r="K14170" t="s">
        <v>112</v>
      </c>
      <c r="Q14170">
        <v>0</v>
      </c>
      <c r="R14170">
        <v>0</v>
      </c>
      <c r="S14170">
        <v>0</v>
      </c>
      <c r="T14170" t="s">
        <v>49917</v>
      </c>
    </row>
    <row r="14171" spans="1:20" customFormat="1" ht="15" x14ac:dyDescent="0.25">
      <c r="A14171" t="s">
        <v>35</v>
      </c>
      <c r="B14171" t="s">
        <v>106</v>
      </c>
      <c r="C14171" t="str">
        <f>"A0136501"</f>
        <v>A0136501</v>
      </c>
      <c r="D14171" t="s">
        <v>49918</v>
      </c>
      <c r="E14171" t="s">
        <v>49919</v>
      </c>
      <c r="F14171" t="s">
        <v>49920</v>
      </c>
      <c r="G14171" t="s">
        <v>615</v>
      </c>
      <c r="H14171">
        <v>6109</v>
      </c>
      <c r="I14171" t="s">
        <v>30</v>
      </c>
      <c r="J14171" t="s">
        <v>111</v>
      </c>
      <c r="K14171" t="s">
        <v>112</v>
      </c>
      <c r="Q14171">
        <v>0</v>
      </c>
      <c r="R14171">
        <v>0</v>
      </c>
      <c r="S14171">
        <v>0</v>
      </c>
      <c r="T14171" t="s">
        <v>49921</v>
      </c>
    </row>
    <row r="14172" spans="1:20" customFormat="1" ht="15" x14ac:dyDescent="0.25">
      <c r="A14172" t="s">
        <v>35</v>
      </c>
      <c r="B14172" t="s">
        <v>106</v>
      </c>
      <c r="C14172" t="str">
        <f>"A0154583"</f>
        <v>A0154583</v>
      </c>
      <c r="D14172" t="s">
        <v>49922</v>
      </c>
      <c r="E14172" t="s">
        <v>49923</v>
      </c>
      <c r="F14172" t="s">
        <v>29747</v>
      </c>
      <c r="G14172" t="s">
        <v>615</v>
      </c>
      <c r="H14172">
        <v>6106</v>
      </c>
      <c r="I14172" t="s">
        <v>30</v>
      </c>
      <c r="J14172" t="s">
        <v>111</v>
      </c>
      <c r="K14172" t="s">
        <v>112</v>
      </c>
      <c r="Q14172">
        <v>0</v>
      </c>
      <c r="R14172">
        <v>0</v>
      </c>
      <c r="S14172">
        <v>0</v>
      </c>
      <c r="T14172" t="s">
        <v>49924</v>
      </c>
    </row>
    <row r="14173" spans="1:20" customFormat="1" ht="15" x14ac:dyDescent="0.25">
      <c r="A14173" t="s">
        <v>35</v>
      </c>
      <c r="B14173" t="s">
        <v>106</v>
      </c>
      <c r="C14173" t="str">
        <f>"A0136503"</f>
        <v>A0136503</v>
      </c>
      <c r="D14173" t="s">
        <v>49925</v>
      </c>
      <c r="E14173" t="s">
        <v>49926</v>
      </c>
      <c r="F14173" t="s">
        <v>19113</v>
      </c>
      <c r="G14173" t="s">
        <v>615</v>
      </c>
      <c r="H14173">
        <v>6457</v>
      </c>
      <c r="I14173" t="s">
        <v>30</v>
      </c>
      <c r="J14173" t="s">
        <v>111</v>
      </c>
      <c r="K14173" t="s">
        <v>112</v>
      </c>
      <c r="Q14173">
        <v>0</v>
      </c>
      <c r="R14173">
        <v>0</v>
      </c>
      <c r="S14173">
        <v>0</v>
      </c>
      <c r="T14173" t="s">
        <v>49927</v>
      </c>
    </row>
    <row r="14174" spans="1:20" customFormat="1" ht="15" x14ac:dyDescent="0.25">
      <c r="A14174" t="s">
        <v>35</v>
      </c>
      <c r="B14174" t="s">
        <v>106</v>
      </c>
      <c r="C14174" t="str">
        <f>"A0136507"</f>
        <v>A0136507</v>
      </c>
      <c r="D14174" t="s">
        <v>49928</v>
      </c>
      <c r="E14174" t="s">
        <v>49929</v>
      </c>
      <c r="F14174" t="s">
        <v>19113</v>
      </c>
      <c r="G14174" t="s">
        <v>615</v>
      </c>
      <c r="H14174">
        <v>6457</v>
      </c>
      <c r="I14174" t="s">
        <v>30</v>
      </c>
      <c r="J14174" t="s">
        <v>111</v>
      </c>
      <c r="K14174" t="s">
        <v>112</v>
      </c>
      <c r="Q14174">
        <v>0</v>
      </c>
      <c r="R14174">
        <v>0</v>
      </c>
      <c r="S14174">
        <v>0</v>
      </c>
      <c r="T14174" t="s">
        <v>49927</v>
      </c>
    </row>
    <row r="14175" spans="1:20" customFormat="1" ht="15" x14ac:dyDescent="0.25">
      <c r="A14175" t="s">
        <v>35</v>
      </c>
      <c r="B14175" t="s">
        <v>106</v>
      </c>
      <c r="C14175" t="str">
        <f>"A0136505"</f>
        <v>A0136505</v>
      </c>
      <c r="D14175" t="s">
        <v>49930</v>
      </c>
      <c r="E14175" t="s">
        <v>49931</v>
      </c>
      <c r="F14175" t="s">
        <v>29747</v>
      </c>
      <c r="G14175" t="s">
        <v>615</v>
      </c>
      <c r="H14175">
        <v>6105</v>
      </c>
      <c r="I14175" t="s">
        <v>30</v>
      </c>
      <c r="J14175" t="s">
        <v>111</v>
      </c>
      <c r="K14175" t="s">
        <v>112</v>
      </c>
      <c r="Q14175">
        <v>0</v>
      </c>
      <c r="R14175">
        <v>0</v>
      </c>
      <c r="S14175">
        <v>0</v>
      </c>
      <c r="T14175" t="s">
        <v>49932</v>
      </c>
    </row>
    <row r="14176" spans="1:20" customFormat="1" ht="15" x14ac:dyDescent="0.25">
      <c r="A14176" t="s">
        <v>35</v>
      </c>
      <c r="B14176" t="s">
        <v>106</v>
      </c>
      <c r="C14176" t="str">
        <f>"A0136506"</f>
        <v>A0136506</v>
      </c>
      <c r="D14176" t="s">
        <v>49933</v>
      </c>
      <c r="E14176" t="s">
        <v>49934</v>
      </c>
      <c r="F14176" t="s">
        <v>29747</v>
      </c>
      <c r="G14176" t="s">
        <v>615</v>
      </c>
      <c r="H14176">
        <v>6103</v>
      </c>
      <c r="I14176" t="s">
        <v>30</v>
      </c>
      <c r="J14176" t="s">
        <v>111</v>
      </c>
      <c r="K14176" t="s">
        <v>112</v>
      </c>
      <c r="Q14176">
        <v>0</v>
      </c>
      <c r="R14176">
        <v>0</v>
      </c>
      <c r="S14176">
        <v>0</v>
      </c>
      <c r="T14176" t="s">
        <v>49935</v>
      </c>
    </row>
    <row r="14177" spans="1:20" customFormat="1" ht="15" x14ac:dyDescent="0.25">
      <c r="A14177" t="s">
        <v>35</v>
      </c>
      <c r="B14177" t="s">
        <v>106</v>
      </c>
      <c r="C14177" t="str">
        <f>"A0136508"</f>
        <v>A0136508</v>
      </c>
      <c r="D14177" t="s">
        <v>49936</v>
      </c>
      <c r="E14177" t="s">
        <v>49937</v>
      </c>
      <c r="F14177" t="s">
        <v>618</v>
      </c>
      <c r="G14177" t="s">
        <v>615</v>
      </c>
      <c r="H14177">
        <v>6450</v>
      </c>
      <c r="I14177" t="s">
        <v>30</v>
      </c>
      <c r="J14177" t="s">
        <v>111</v>
      </c>
      <c r="K14177" t="s">
        <v>112</v>
      </c>
      <c r="Q14177">
        <v>0</v>
      </c>
      <c r="R14177">
        <v>0</v>
      </c>
      <c r="S14177">
        <v>0</v>
      </c>
      <c r="T14177" t="s">
        <v>49938</v>
      </c>
    </row>
    <row r="14178" spans="1:20" customFormat="1" ht="15" x14ac:dyDescent="0.25">
      <c r="A14178" t="s">
        <v>35</v>
      </c>
      <c r="B14178" t="s">
        <v>106</v>
      </c>
      <c r="C14178" t="str">
        <f>"A0157769"</f>
        <v>A0157769</v>
      </c>
      <c r="D14178" t="s">
        <v>49939</v>
      </c>
      <c r="E14178" t="s">
        <v>49929</v>
      </c>
      <c r="F14178" t="s">
        <v>19113</v>
      </c>
      <c r="G14178" t="s">
        <v>615</v>
      </c>
      <c r="H14178">
        <v>6457</v>
      </c>
      <c r="I14178" t="s">
        <v>30</v>
      </c>
      <c r="J14178" t="s">
        <v>111</v>
      </c>
      <c r="K14178" t="s">
        <v>112</v>
      </c>
      <c r="Q14178">
        <v>0</v>
      </c>
      <c r="R14178">
        <v>0</v>
      </c>
      <c r="S14178">
        <v>0</v>
      </c>
      <c r="T14178" t="s">
        <v>49927</v>
      </c>
    </row>
    <row r="14179" spans="1:20" customFormat="1" ht="15" x14ac:dyDescent="0.25">
      <c r="A14179" t="s">
        <v>35</v>
      </c>
      <c r="B14179" t="s">
        <v>106</v>
      </c>
      <c r="C14179" t="str">
        <f>"A0136509"</f>
        <v>A0136509</v>
      </c>
      <c r="D14179" t="s">
        <v>49940</v>
      </c>
      <c r="E14179" t="s">
        <v>49941</v>
      </c>
      <c r="F14179" t="s">
        <v>49942</v>
      </c>
      <c r="G14179" t="s">
        <v>615</v>
      </c>
      <c r="H14179">
        <v>6611</v>
      </c>
      <c r="I14179" t="s">
        <v>30</v>
      </c>
      <c r="J14179" t="s">
        <v>111</v>
      </c>
      <c r="K14179" t="s">
        <v>112</v>
      </c>
      <c r="Q14179">
        <v>0</v>
      </c>
      <c r="R14179">
        <v>0</v>
      </c>
      <c r="S14179">
        <v>0</v>
      </c>
      <c r="T14179" t="s">
        <v>49943</v>
      </c>
    </row>
    <row r="14180" spans="1:20" customFormat="1" ht="15" x14ac:dyDescent="0.25">
      <c r="A14180" t="s">
        <v>35</v>
      </c>
      <c r="B14180" t="s">
        <v>106</v>
      </c>
      <c r="C14180" t="str">
        <f>"A0157770"</f>
        <v>A0157770</v>
      </c>
      <c r="D14180" t="s">
        <v>49944</v>
      </c>
      <c r="E14180" t="s">
        <v>49929</v>
      </c>
      <c r="F14180" t="s">
        <v>19113</v>
      </c>
      <c r="G14180" t="s">
        <v>615</v>
      </c>
      <c r="H14180">
        <v>6457</v>
      </c>
      <c r="I14180" t="s">
        <v>30</v>
      </c>
      <c r="J14180" t="s">
        <v>111</v>
      </c>
      <c r="K14180" t="s">
        <v>112</v>
      </c>
      <c r="Q14180">
        <v>0</v>
      </c>
      <c r="R14180">
        <v>0</v>
      </c>
      <c r="S14180">
        <v>0</v>
      </c>
      <c r="T14180" t="s">
        <v>49945</v>
      </c>
    </row>
    <row r="14181" spans="1:20" customFormat="1" ht="15" x14ac:dyDescent="0.25">
      <c r="A14181" t="s">
        <v>35</v>
      </c>
      <c r="B14181" t="s">
        <v>106</v>
      </c>
      <c r="C14181" t="str">
        <f>"A0136510"</f>
        <v>A0136510</v>
      </c>
      <c r="D14181" t="s">
        <v>49946</v>
      </c>
      <c r="E14181" t="s">
        <v>49947</v>
      </c>
      <c r="F14181" t="s">
        <v>26190</v>
      </c>
      <c r="G14181" t="s">
        <v>615</v>
      </c>
      <c r="H14181">
        <v>6360</v>
      </c>
      <c r="I14181" t="s">
        <v>30</v>
      </c>
      <c r="J14181" t="s">
        <v>111</v>
      </c>
      <c r="K14181" t="s">
        <v>112</v>
      </c>
      <c r="Q14181">
        <v>0</v>
      </c>
      <c r="R14181">
        <v>0</v>
      </c>
      <c r="S14181">
        <v>0</v>
      </c>
      <c r="T14181" t="s">
        <v>49938</v>
      </c>
    </row>
    <row r="14182" spans="1:20" customFormat="1" ht="15" x14ac:dyDescent="0.25">
      <c r="A14182" t="s">
        <v>35</v>
      </c>
      <c r="B14182" t="s">
        <v>106</v>
      </c>
      <c r="C14182" t="str">
        <f>"A0136502"</f>
        <v>A0136502</v>
      </c>
      <c r="D14182" t="s">
        <v>49948</v>
      </c>
      <c r="E14182" t="s">
        <v>49949</v>
      </c>
      <c r="F14182" t="s">
        <v>29659</v>
      </c>
      <c r="G14182" t="s">
        <v>615</v>
      </c>
      <c r="H14182">
        <v>6492</v>
      </c>
      <c r="I14182" t="s">
        <v>30</v>
      </c>
      <c r="J14182" t="s">
        <v>111</v>
      </c>
      <c r="K14182" t="s">
        <v>112</v>
      </c>
      <c r="Q14182">
        <v>0</v>
      </c>
      <c r="R14182">
        <v>0</v>
      </c>
      <c r="S14182">
        <v>0</v>
      </c>
      <c r="T14182" t="s">
        <v>49950</v>
      </c>
    </row>
    <row r="14183" spans="1:20" customFormat="1" ht="15" x14ac:dyDescent="0.25">
      <c r="A14183" t="s">
        <v>35</v>
      </c>
      <c r="B14183" t="s">
        <v>106</v>
      </c>
      <c r="C14183" t="str">
        <f>"A0136504"</f>
        <v>A0136504</v>
      </c>
      <c r="D14183" t="s">
        <v>49951</v>
      </c>
      <c r="E14183" t="s">
        <v>49952</v>
      </c>
      <c r="F14183" t="s">
        <v>49953</v>
      </c>
      <c r="G14183" t="s">
        <v>615</v>
      </c>
      <c r="H14183">
        <v>6067</v>
      </c>
      <c r="I14183" t="s">
        <v>30</v>
      </c>
      <c r="J14183" t="s">
        <v>111</v>
      </c>
      <c r="K14183" t="s">
        <v>112</v>
      </c>
      <c r="Q14183">
        <v>0</v>
      </c>
      <c r="R14183">
        <v>0</v>
      </c>
      <c r="S14183">
        <v>0</v>
      </c>
      <c r="T14183" t="s">
        <v>49954</v>
      </c>
    </row>
    <row r="14184" spans="1:20" customFormat="1" ht="15" x14ac:dyDescent="0.25">
      <c r="A14184" t="s">
        <v>35</v>
      </c>
      <c r="B14184" t="s">
        <v>106</v>
      </c>
      <c r="C14184" t="str">
        <f>"A0136511"</f>
        <v>A0136511</v>
      </c>
      <c r="D14184" t="s">
        <v>49955</v>
      </c>
      <c r="E14184" t="s">
        <v>49956</v>
      </c>
      <c r="F14184" t="s">
        <v>29886</v>
      </c>
      <c r="G14184" t="s">
        <v>615</v>
      </c>
      <c r="H14184">
        <v>6070</v>
      </c>
      <c r="I14184" t="s">
        <v>30</v>
      </c>
      <c r="J14184" t="s">
        <v>111</v>
      </c>
      <c r="K14184" t="s">
        <v>112</v>
      </c>
      <c r="Q14184">
        <v>0</v>
      </c>
      <c r="R14184">
        <v>0</v>
      </c>
      <c r="S14184">
        <v>0</v>
      </c>
      <c r="T14184" t="s">
        <v>49957</v>
      </c>
    </row>
    <row r="14185" spans="1:20" customFormat="1" ht="15" x14ac:dyDescent="0.25">
      <c r="A14185" t="s">
        <v>35</v>
      </c>
      <c r="B14185" t="s">
        <v>106</v>
      </c>
      <c r="C14185" t="str">
        <f>"A0135973"</f>
        <v>A0135973</v>
      </c>
      <c r="D14185" t="s">
        <v>49958</v>
      </c>
      <c r="E14185" t="s">
        <v>49959</v>
      </c>
      <c r="F14185" t="s">
        <v>15622</v>
      </c>
      <c r="G14185" t="s">
        <v>29</v>
      </c>
      <c r="H14185">
        <v>23508</v>
      </c>
      <c r="I14185" t="s">
        <v>30</v>
      </c>
      <c r="J14185" t="s">
        <v>111</v>
      </c>
      <c r="K14185" t="s">
        <v>112</v>
      </c>
      <c r="Q14185">
        <v>0</v>
      </c>
      <c r="R14185">
        <v>0</v>
      </c>
      <c r="S14185">
        <v>0</v>
      </c>
      <c r="T14185" t="s">
        <v>49960</v>
      </c>
    </row>
    <row r="14186" spans="1:20" customFormat="1" ht="15" x14ac:dyDescent="0.25">
      <c r="A14186" t="s">
        <v>35</v>
      </c>
      <c r="B14186" t="s">
        <v>61</v>
      </c>
      <c r="C14186" t="str">
        <f>"A0130567"</f>
        <v>A0130567</v>
      </c>
      <c r="D14186" t="s">
        <v>49961</v>
      </c>
      <c r="E14186" t="s">
        <v>49962</v>
      </c>
      <c r="F14186" t="s">
        <v>11772</v>
      </c>
      <c r="G14186" t="s">
        <v>71</v>
      </c>
      <c r="H14186">
        <v>54130</v>
      </c>
      <c r="I14186" t="s">
        <v>30</v>
      </c>
      <c r="J14186" t="s">
        <v>41</v>
      </c>
      <c r="K14186" t="s">
        <v>229</v>
      </c>
      <c r="Q14186">
        <v>0</v>
      </c>
      <c r="R14186">
        <v>117</v>
      </c>
      <c r="S14186">
        <v>117</v>
      </c>
      <c r="T14186" t="s">
        <v>49963</v>
      </c>
    </row>
    <row r="14187" spans="1:20" customFormat="1" ht="15" x14ac:dyDescent="0.25">
      <c r="A14187" t="s">
        <v>35</v>
      </c>
      <c r="B14187" t="s">
        <v>106</v>
      </c>
      <c r="C14187" t="str">
        <f>"A0135529"</f>
        <v>A0135529</v>
      </c>
      <c r="D14187" t="s">
        <v>49964</v>
      </c>
      <c r="E14187" t="s">
        <v>49965</v>
      </c>
      <c r="F14187" t="s">
        <v>14745</v>
      </c>
      <c r="G14187" t="s">
        <v>1363</v>
      </c>
      <c r="H14187">
        <v>3301</v>
      </c>
      <c r="I14187" t="s">
        <v>30</v>
      </c>
      <c r="J14187" t="s">
        <v>111</v>
      </c>
      <c r="K14187" t="s">
        <v>112</v>
      </c>
      <c r="Q14187">
        <v>0</v>
      </c>
      <c r="R14187">
        <v>0</v>
      </c>
      <c r="S14187">
        <v>0</v>
      </c>
      <c r="T14187" t="s">
        <v>49966</v>
      </c>
    </row>
    <row r="14188" spans="1:20" customFormat="1" ht="15" x14ac:dyDescent="0.25">
      <c r="A14188" t="s">
        <v>35</v>
      </c>
      <c r="B14188" t="s">
        <v>61</v>
      </c>
      <c r="C14188" t="str">
        <f>"A0128462"</f>
        <v>A0128462</v>
      </c>
      <c r="D14188" t="s">
        <v>49967</v>
      </c>
      <c r="E14188" t="s">
        <v>49968</v>
      </c>
      <c r="F14188" t="s">
        <v>3755</v>
      </c>
      <c r="G14188" t="s">
        <v>110</v>
      </c>
      <c r="H14188">
        <v>945440000</v>
      </c>
      <c r="I14188" t="s">
        <v>30</v>
      </c>
      <c r="J14188" t="s">
        <v>41</v>
      </c>
      <c r="K14188" t="s">
        <v>59</v>
      </c>
      <c r="Q14188">
        <v>0</v>
      </c>
      <c r="R14188">
        <v>104</v>
      </c>
      <c r="S14188">
        <v>104</v>
      </c>
      <c r="T14188" t="s">
        <v>49969</v>
      </c>
    </row>
    <row r="14189" spans="1:20" customFormat="1" ht="15" x14ac:dyDescent="0.25">
      <c r="A14189" t="s">
        <v>35</v>
      </c>
      <c r="B14189" t="s">
        <v>61</v>
      </c>
      <c r="C14189" t="str">
        <f>"A0133274"</f>
        <v>A0133274</v>
      </c>
      <c r="D14189" t="s">
        <v>49970</v>
      </c>
      <c r="E14189" t="s">
        <v>49971</v>
      </c>
      <c r="F14189" t="s">
        <v>49972</v>
      </c>
      <c r="G14189" t="s">
        <v>52</v>
      </c>
      <c r="H14189">
        <v>76252</v>
      </c>
      <c r="I14189" t="s">
        <v>30</v>
      </c>
      <c r="J14189" t="s">
        <v>41</v>
      </c>
      <c r="K14189" t="s">
        <v>229</v>
      </c>
      <c r="Q14189">
        <v>0</v>
      </c>
      <c r="R14189">
        <v>100</v>
      </c>
      <c r="S14189">
        <v>100</v>
      </c>
      <c r="T14189" t="s">
        <v>49973</v>
      </c>
    </row>
    <row r="14190" spans="1:20" customFormat="1" ht="15" x14ac:dyDescent="0.25">
      <c r="A14190" t="s">
        <v>35</v>
      </c>
      <c r="B14190" t="s">
        <v>106</v>
      </c>
      <c r="C14190" t="str">
        <f>"A0135525"</f>
        <v>A0135525</v>
      </c>
      <c r="D14190" t="s">
        <v>49974</v>
      </c>
      <c r="E14190" t="s">
        <v>49975</v>
      </c>
      <c r="F14190" t="s">
        <v>4112</v>
      </c>
      <c r="G14190" t="s">
        <v>71</v>
      </c>
      <c r="H14190">
        <v>53208</v>
      </c>
      <c r="I14190" t="s">
        <v>30</v>
      </c>
      <c r="J14190" t="s">
        <v>111</v>
      </c>
      <c r="K14190" t="s">
        <v>112</v>
      </c>
      <c r="Q14190">
        <v>0</v>
      </c>
      <c r="R14190">
        <v>0</v>
      </c>
      <c r="S14190">
        <v>0</v>
      </c>
      <c r="T14190" t="s">
        <v>49976</v>
      </c>
    </row>
    <row r="14191" spans="1:20" customFormat="1" ht="15" x14ac:dyDescent="0.25">
      <c r="A14191" t="s">
        <v>35</v>
      </c>
      <c r="B14191" t="s">
        <v>106</v>
      </c>
      <c r="C14191" t="str">
        <f>"A0135526"</f>
        <v>A0135526</v>
      </c>
      <c r="D14191" t="s">
        <v>49977</v>
      </c>
      <c r="E14191" t="s">
        <v>49975</v>
      </c>
      <c r="F14191" t="s">
        <v>4112</v>
      </c>
      <c r="G14191" t="s">
        <v>71</v>
      </c>
      <c r="H14191">
        <v>53208</v>
      </c>
      <c r="I14191" t="s">
        <v>30</v>
      </c>
      <c r="J14191" t="s">
        <v>111</v>
      </c>
      <c r="K14191" t="s">
        <v>112</v>
      </c>
      <c r="Q14191">
        <v>0</v>
      </c>
      <c r="R14191">
        <v>0</v>
      </c>
      <c r="S14191">
        <v>0</v>
      </c>
      <c r="T14191" t="s">
        <v>49976</v>
      </c>
    </row>
    <row r="14192" spans="1:20" customFormat="1" ht="15" x14ac:dyDescent="0.25">
      <c r="A14192" t="s">
        <v>35</v>
      </c>
      <c r="B14192" t="s">
        <v>61</v>
      </c>
      <c r="C14192" t="str">
        <f>"A0132871"</f>
        <v>A0132871</v>
      </c>
      <c r="D14192" t="s">
        <v>49978</v>
      </c>
      <c r="E14192" t="s">
        <v>49979</v>
      </c>
      <c r="F14192" t="s">
        <v>21119</v>
      </c>
      <c r="G14192" t="s">
        <v>65</v>
      </c>
      <c r="H14192">
        <v>44503</v>
      </c>
      <c r="I14192" t="s">
        <v>30</v>
      </c>
      <c r="J14192" t="s">
        <v>41</v>
      </c>
      <c r="K14192" t="s">
        <v>6300</v>
      </c>
      <c r="Q14192">
        <v>0</v>
      </c>
      <c r="R14192">
        <v>0</v>
      </c>
      <c r="S14192">
        <v>0</v>
      </c>
      <c r="T14192" t="s">
        <v>49980</v>
      </c>
    </row>
    <row r="14193" spans="1:20" customFormat="1" ht="15" x14ac:dyDescent="0.25">
      <c r="A14193" t="s">
        <v>35</v>
      </c>
      <c r="B14193" t="s">
        <v>61</v>
      </c>
      <c r="C14193" t="str">
        <f>"A0129315"</f>
        <v>A0129315</v>
      </c>
      <c r="D14193" t="s">
        <v>49981</v>
      </c>
      <c r="E14193" t="s">
        <v>49982</v>
      </c>
      <c r="F14193" t="s">
        <v>6723</v>
      </c>
      <c r="G14193" t="s">
        <v>289</v>
      </c>
      <c r="H14193">
        <v>62301</v>
      </c>
      <c r="I14193" t="s">
        <v>30</v>
      </c>
      <c r="J14193" t="s">
        <v>41</v>
      </c>
      <c r="K14193" t="s">
        <v>229</v>
      </c>
      <c r="Q14193">
        <v>0</v>
      </c>
      <c r="R14193">
        <v>85</v>
      </c>
      <c r="S14193">
        <v>85</v>
      </c>
      <c r="T14193" t="s">
        <v>49983</v>
      </c>
    </row>
    <row r="14194" spans="1:20" customFormat="1" ht="15" x14ac:dyDescent="0.25">
      <c r="A14194" t="s">
        <v>35</v>
      </c>
      <c r="B14194" t="s">
        <v>61</v>
      </c>
      <c r="C14194" t="str">
        <f>"A0123970"</f>
        <v>A0123970</v>
      </c>
      <c r="D14194" t="s">
        <v>49984</v>
      </c>
      <c r="E14194" t="s">
        <v>49985</v>
      </c>
      <c r="F14194" t="s">
        <v>14745</v>
      </c>
      <c r="G14194" t="s">
        <v>214</v>
      </c>
      <c r="H14194">
        <v>28025</v>
      </c>
      <c r="I14194" t="s">
        <v>30</v>
      </c>
      <c r="J14194" t="s">
        <v>41</v>
      </c>
      <c r="K14194" t="s">
        <v>482</v>
      </c>
      <c r="Q14194">
        <v>0</v>
      </c>
      <c r="R14194">
        <v>60</v>
      </c>
      <c r="S14194">
        <v>60</v>
      </c>
      <c r="T14194" t="s">
        <v>49986</v>
      </c>
    </row>
    <row r="14195" spans="1:20" customFormat="1" ht="15" x14ac:dyDescent="0.25">
      <c r="A14195" t="s">
        <v>35</v>
      </c>
      <c r="B14195" t="s">
        <v>61</v>
      </c>
      <c r="C14195" t="str">
        <f>"A0123590"</f>
        <v>A0123590</v>
      </c>
      <c r="D14195" t="s">
        <v>49987</v>
      </c>
      <c r="E14195" t="s">
        <v>49988</v>
      </c>
      <c r="F14195" t="s">
        <v>1382</v>
      </c>
      <c r="G14195" t="s">
        <v>29</v>
      </c>
      <c r="H14195" t="s">
        <v>49989</v>
      </c>
      <c r="I14195" t="s">
        <v>30</v>
      </c>
      <c r="J14195" t="s">
        <v>41</v>
      </c>
      <c r="K14195" t="s">
        <v>229</v>
      </c>
      <c r="Q14195">
        <v>0</v>
      </c>
      <c r="R14195">
        <v>1</v>
      </c>
      <c r="S14195">
        <v>1</v>
      </c>
      <c r="T14195" t="s">
        <v>49990</v>
      </c>
    </row>
    <row r="14196" spans="1:20" customFormat="1" ht="15" x14ac:dyDescent="0.25">
      <c r="A14196" t="s">
        <v>35</v>
      </c>
      <c r="B14196" t="s">
        <v>106</v>
      </c>
      <c r="C14196" t="str">
        <f>"A0135607"</f>
        <v>A0135607</v>
      </c>
      <c r="D14196" t="s">
        <v>49991</v>
      </c>
      <c r="E14196" t="s">
        <v>49992</v>
      </c>
      <c r="F14196" t="s">
        <v>4133</v>
      </c>
      <c r="G14196" t="s">
        <v>52</v>
      </c>
      <c r="H14196">
        <v>78735</v>
      </c>
      <c r="I14196" t="s">
        <v>30</v>
      </c>
      <c r="J14196" t="s">
        <v>111</v>
      </c>
      <c r="K14196" t="s">
        <v>112</v>
      </c>
      <c r="Q14196">
        <v>0</v>
      </c>
      <c r="R14196">
        <v>0</v>
      </c>
      <c r="S14196">
        <v>0</v>
      </c>
      <c r="T14196" t="s">
        <v>49993</v>
      </c>
    </row>
    <row r="14197" spans="1:20" customFormat="1" ht="15" x14ac:dyDescent="0.25">
      <c r="A14197" t="s">
        <v>35</v>
      </c>
      <c r="B14197" t="s">
        <v>61</v>
      </c>
      <c r="C14197" t="str">
        <f>"A0124379"</f>
        <v>A0124379</v>
      </c>
      <c r="D14197" t="s">
        <v>49994</v>
      </c>
      <c r="E14197" t="s">
        <v>49995</v>
      </c>
      <c r="F14197" t="s">
        <v>49996</v>
      </c>
      <c r="G14197" t="s">
        <v>99</v>
      </c>
      <c r="H14197">
        <v>11780</v>
      </c>
      <c r="I14197" t="s">
        <v>30</v>
      </c>
      <c r="J14197" t="s">
        <v>41</v>
      </c>
      <c r="K14197" t="s">
        <v>229</v>
      </c>
      <c r="Q14197">
        <v>0</v>
      </c>
      <c r="R14197">
        <v>230</v>
      </c>
      <c r="S14197">
        <v>230</v>
      </c>
      <c r="T14197" t="s">
        <v>49997</v>
      </c>
    </row>
    <row r="14198" spans="1:20" customFormat="1" ht="15" x14ac:dyDescent="0.25">
      <c r="A14198" t="s">
        <v>35</v>
      </c>
      <c r="B14198" t="s">
        <v>61</v>
      </c>
      <c r="C14198" t="str">
        <f>"A0123591"</f>
        <v>A0123591</v>
      </c>
      <c r="D14198" t="s">
        <v>49998</v>
      </c>
      <c r="E14198" t="s">
        <v>49999</v>
      </c>
      <c r="F14198" t="s">
        <v>22436</v>
      </c>
      <c r="G14198" t="s">
        <v>214</v>
      </c>
      <c r="H14198">
        <v>28387</v>
      </c>
      <c r="I14198" t="s">
        <v>30</v>
      </c>
      <c r="J14198" t="s">
        <v>41</v>
      </c>
      <c r="K14198" t="s">
        <v>229</v>
      </c>
      <c r="Q14198">
        <v>0</v>
      </c>
      <c r="R14198">
        <v>1</v>
      </c>
      <c r="S14198">
        <v>1</v>
      </c>
      <c r="T14198" t="s">
        <v>50000</v>
      </c>
    </row>
    <row r="14199" spans="1:20" customFormat="1" ht="15" x14ac:dyDescent="0.25">
      <c r="A14199" t="s">
        <v>35</v>
      </c>
      <c r="B14199" t="s">
        <v>61</v>
      </c>
      <c r="C14199" t="str">
        <f>"A0123592"</f>
        <v>A0123592</v>
      </c>
      <c r="D14199" t="s">
        <v>50001</v>
      </c>
      <c r="E14199" t="s">
        <v>50002</v>
      </c>
      <c r="F14199" t="s">
        <v>3093</v>
      </c>
      <c r="G14199" t="s">
        <v>29</v>
      </c>
      <c r="H14199">
        <v>22980</v>
      </c>
      <c r="I14199" t="s">
        <v>30</v>
      </c>
      <c r="J14199" t="s">
        <v>41</v>
      </c>
      <c r="K14199" t="s">
        <v>482</v>
      </c>
      <c r="Q14199">
        <v>0</v>
      </c>
      <c r="R14199">
        <v>30</v>
      </c>
      <c r="S14199">
        <v>30</v>
      </c>
      <c r="T14199" t="s">
        <v>50003</v>
      </c>
    </row>
    <row r="14200" spans="1:20" customFormat="1" ht="15" x14ac:dyDescent="0.25">
      <c r="A14200" t="s">
        <v>35</v>
      </c>
      <c r="B14200" t="s">
        <v>61</v>
      </c>
      <c r="C14200" t="str">
        <f>"A0123971"</f>
        <v>A0123971</v>
      </c>
      <c r="D14200" t="s">
        <v>50004</v>
      </c>
      <c r="E14200" t="s">
        <v>50005</v>
      </c>
      <c r="F14200" t="s">
        <v>3093</v>
      </c>
      <c r="G14200" t="s">
        <v>29</v>
      </c>
      <c r="H14200">
        <v>22980</v>
      </c>
      <c r="I14200" t="s">
        <v>30</v>
      </c>
      <c r="J14200" t="s">
        <v>41</v>
      </c>
      <c r="K14200" t="s">
        <v>59</v>
      </c>
      <c r="Q14200">
        <v>0</v>
      </c>
      <c r="R14200">
        <v>36</v>
      </c>
      <c r="S14200">
        <v>36</v>
      </c>
      <c r="T14200" t="s">
        <v>50003</v>
      </c>
    </row>
    <row r="14201" spans="1:20" customFormat="1" ht="15" x14ac:dyDescent="0.25">
      <c r="A14201" t="s">
        <v>35</v>
      </c>
      <c r="B14201" t="s">
        <v>61</v>
      </c>
      <c r="C14201" t="str">
        <f>"A0123972"</f>
        <v>A0123972</v>
      </c>
      <c r="D14201" t="s">
        <v>50006</v>
      </c>
      <c r="E14201" t="s">
        <v>50007</v>
      </c>
      <c r="F14201" t="s">
        <v>13899</v>
      </c>
      <c r="G14201" t="s">
        <v>81</v>
      </c>
      <c r="H14201">
        <v>34684</v>
      </c>
      <c r="I14201" t="s">
        <v>30</v>
      </c>
      <c r="J14201" t="s">
        <v>41</v>
      </c>
      <c r="K14201" t="s">
        <v>482</v>
      </c>
      <c r="Q14201">
        <v>0</v>
      </c>
      <c r="R14201">
        <v>400</v>
      </c>
      <c r="S14201">
        <v>400</v>
      </c>
      <c r="T14201" t="s">
        <v>50008</v>
      </c>
    </row>
    <row r="14202" spans="1:20" customFormat="1" ht="15" x14ac:dyDescent="0.25">
      <c r="A14202" t="s">
        <v>35</v>
      </c>
      <c r="B14202" t="s">
        <v>61</v>
      </c>
      <c r="C14202" t="str">
        <f>"A0123973"</f>
        <v>A0123973</v>
      </c>
      <c r="D14202" t="s">
        <v>50009</v>
      </c>
      <c r="E14202" t="s">
        <v>50010</v>
      </c>
      <c r="F14202" t="s">
        <v>13899</v>
      </c>
      <c r="G14202" t="s">
        <v>81</v>
      </c>
      <c r="H14202">
        <v>34684</v>
      </c>
      <c r="I14202" t="s">
        <v>30</v>
      </c>
      <c r="J14202" t="s">
        <v>41</v>
      </c>
      <c r="K14202" t="s">
        <v>482</v>
      </c>
      <c r="Q14202">
        <v>0</v>
      </c>
      <c r="R14202">
        <v>120</v>
      </c>
      <c r="S14202">
        <v>120</v>
      </c>
      <c r="T14202" t="s">
        <v>50011</v>
      </c>
    </row>
    <row r="14203" spans="1:20" customFormat="1" ht="15" x14ac:dyDescent="0.25">
      <c r="A14203" t="s">
        <v>35</v>
      </c>
      <c r="B14203" t="s">
        <v>61</v>
      </c>
      <c r="C14203" t="str">
        <f>"A0124380"</f>
        <v>A0124380</v>
      </c>
      <c r="D14203" t="s">
        <v>50012</v>
      </c>
      <c r="E14203" t="s">
        <v>50013</v>
      </c>
      <c r="F14203" t="s">
        <v>18405</v>
      </c>
      <c r="G14203" t="s">
        <v>123</v>
      </c>
      <c r="H14203">
        <v>20650</v>
      </c>
      <c r="I14203" t="s">
        <v>30</v>
      </c>
      <c r="J14203" t="s">
        <v>41</v>
      </c>
      <c r="K14203" t="s">
        <v>482</v>
      </c>
      <c r="Q14203">
        <v>0</v>
      </c>
      <c r="R14203">
        <v>96</v>
      </c>
      <c r="S14203">
        <v>96</v>
      </c>
      <c r="T14203" t="s">
        <v>50014</v>
      </c>
    </row>
    <row r="14204" spans="1:20" customFormat="1" ht="15" x14ac:dyDescent="0.25">
      <c r="A14204" t="s">
        <v>35</v>
      </c>
      <c r="B14204" t="s">
        <v>106</v>
      </c>
      <c r="C14204" t="str">
        <f>"A0135518"</f>
        <v>A0135518</v>
      </c>
      <c r="D14204" t="s">
        <v>50015</v>
      </c>
      <c r="E14204" t="s">
        <v>50016</v>
      </c>
      <c r="F14204" t="s">
        <v>5314</v>
      </c>
      <c r="G14204" t="s">
        <v>71</v>
      </c>
      <c r="H14204">
        <v>54115</v>
      </c>
      <c r="I14204" t="s">
        <v>30</v>
      </c>
      <c r="J14204" t="s">
        <v>111</v>
      </c>
      <c r="K14204" t="s">
        <v>10012</v>
      </c>
      <c r="Q14204">
        <v>0</v>
      </c>
      <c r="R14204">
        <v>0</v>
      </c>
      <c r="S14204">
        <v>0</v>
      </c>
      <c r="T14204" t="s">
        <v>50017</v>
      </c>
    </row>
    <row r="14205" spans="1:20" customFormat="1" ht="15" x14ac:dyDescent="0.25">
      <c r="A14205" t="s">
        <v>35</v>
      </c>
      <c r="B14205" t="s">
        <v>106</v>
      </c>
      <c r="C14205" t="str">
        <f>"A0135519"</f>
        <v>A0135519</v>
      </c>
      <c r="D14205" t="s">
        <v>50018</v>
      </c>
      <c r="E14205" t="s">
        <v>50016</v>
      </c>
      <c r="F14205" t="s">
        <v>5314</v>
      </c>
      <c r="G14205" t="s">
        <v>71</v>
      </c>
      <c r="H14205">
        <v>54115</v>
      </c>
      <c r="I14205" t="s">
        <v>30</v>
      </c>
      <c r="J14205" t="s">
        <v>111</v>
      </c>
      <c r="K14205" t="s">
        <v>10012</v>
      </c>
      <c r="Q14205">
        <v>0</v>
      </c>
      <c r="R14205">
        <v>0</v>
      </c>
      <c r="S14205">
        <v>0</v>
      </c>
      <c r="T14205" t="s">
        <v>50017</v>
      </c>
    </row>
    <row r="14206" spans="1:20" customFormat="1" ht="15" x14ac:dyDescent="0.25">
      <c r="A14206" t="s">
        <v>35</v>
      </c>
      <c r="B14206" t="s">
        <v>106</v>
      </c>
      <c r="C14206" t="str">
        <f>"A0135520"</f>
        <v>A0135520</v>
      </c>
      <c r="D14206" t="s">
        <v>50019</v>
      </c>
      <c r="E14206" t="s">
        <v>50016</v>
      </c>
      <c r="F14206" t="s">
        <v>5314</v>
      </c>
      <c r="G14206" t="s">
        <v>71</v>
      </c>
      <c r="H14206">
        <v>54115</v>
      </c>
      <c r="I14206" t="s">
        <v>30</v>
      </c>
      <c r="J14206" t="s">
        <v>111</v>
      </c>
      <c r="K14206" t="s">
        <v>10012</v>
      </c>
      <c r="Q14206">
        <v>0</v>
      </c>
      <c r="R14206">
        <v>0</v>
      </c>
      <c r="S14206">
        <v>0</v>
      </c>
      <c r="T14206" t="s">
        <v>50017</v>
      </c>
    </row>
    <row r="14207" spans="1:20" customFormat="1" ht="15" x14ac:dyDescent="0.25">
      <c r="A14207" t="s">
        <v>35</v>
      </c>
      <c r="B14207" t="s">
        <v>106</v>
      </c>
      <c r="C14207" t="str">
        <f>"A0135523"</f>
        <v>A0135523</v>
      </c>
      <c r="D14207" t="s">
        <v>50020</v>
      </c>
      <c r="E14207" t="s">
        <v>50016</v>
      </c>
      <c r="F14207" t="s">
        <v>5314</v>
      </c>
      <c r="G14207" t="s">
        <v>71</v>
      </c>
      <c r="H14207">
        <v>54115</v>
      </c>
      <c r="I14207" t="s">
        <v>30</v>
      </c>
      <c r="J14207" t="s">
        <v>111</v>
      </c>
      <c r="K14207" t="s">
        <v>10012</v>
      </c>
      <c r="Q14207">
        <v>0</v>
      </c>
      <c r="R14207">
        <v>0</v>
      </c>
      <c r="S14207">
        <v>0</v>
      </c>
      <c r="T14207" t="s">
        <v>50017</v>
      </c>
    </row>
    <row r="14208" spans="1:20" customFormat="1" ht="15" x14ac:dyDescent="0.25">
      <c r="A14208" t="s">
        <v>35</v>
      </c>
      <c r="B14208" t="s">
        <v>106</v>
      </c>
      <c r="C14208" t="str">
        <f>"A0135524"</f>
        <v>A0135524</v>
      </c>
      <c r="D14208" t="s">
        <v>50021</v>
      </c>
      <c r="E14208" t="s">
        <v>50016</v>
      </c>
      <c r="F14208" t="s">
        <v>5314</v>
      </c>
      <c r="G14208" t="s">
        <v>71</v>
      </c>
      <c r="H14208">
        <v>54115</v>
      </c>
      <c r="I14208" t="s">
        <v>30</v>
      </c>
      <c r="J14208" t="s">
        <v>111</v>
      </c>
      <c r="K14208" t="s">
        <v>112</v>
      </c>
      <c r="Q14208">
        <v>0</v>
      </c>
      <c r="R14208">
        <v>0</v>
      </c>
      <c r="S14208">
        <v>0</v>
      </c>
      <c r="T14208" t="s">
        <v>50017</v>
      </c>
    </row>
    <row r="14209" spans="1:20" customFormat="1" ht="15" x14ac:dyDescent="0.25">
      <c r="A14209" t="s">
        <v>35</v>
      </c>
      <c r="B14209" t="s">
        <v>106</v>
      </c>
      <c r="C14209" t="str">
        <f>"A0135521"</f>
        <v>A0135521</v>
      </c>
      <c r="D14209" t="s">
        <v>50022</v>
      </c>
      <c r="E14209" t="s">
        <v>50016</v>
      </c>
      <c r="F14209" t="s">
        <v>5314</v>
      </c>
      <c r="G14209" t="s">
        <v>71</v>
      </c>
      <c r="H14209">
        <v>54115</v>
      </c>
      <c r="I14209" t="s">
        <v>30</v>
      </c>
      <c r="J14209" t="s">
        <v>111</v>
      </c>
      <c r="K14209" t="s">
        <v>10012</v>
      </c>
      <c r="Q14209">
        <v>0</v>
      </c>
      <c r="R14209">
        <v>0</v>
      </c>
      <c r="S14209">
        <v>0</v>
      </c>
      <c r="T14209" t="s">
        <v>50017</v>
      </c>
    </row>
    <row r="14210" spans="1:20" customFormat="1" ht="15" x14ac:dyDescent="0.25">
      <c r="A14210" t="s">
        <v>35</v>
      </c>
      <c r="B14210" t="s">
        <v>106</v>
      </c>
      <c r="C14210" t="str">
        <f>"A0135522"</f>
        <v>A0135522</v>
      </c>
      <c r="D14210" t="s">
        <v>50023</v>
      </c>
      <c r="E14210" t="s">
        <v>50016</v>
      </c>
      <c r="F14210" t="s">
        <v>5314</v>
      </c>
      <c r="G14210" t="s">
        <v>71</v>
      </c>
      <c r="H14210">
        <v>54115</v>
      </c>
      <c r="I14210" t="s">
        <v>30</v>
      </c>
      <c r="J14210" t="s">
        <v>111</v>
      </c>
      <c r="K14210" t="s">
        <v>10012</v>
      </c>
      <c r="Q14210">
        <v>0</v>
      </c>
      <c r="R14210">
        <v>0</v>
      </c>
      <c r="S14210">
        <v>0</v>
      </c>
      <c r="T14210" t="s">
        <v>50017</v>
      </c>
    </row>
    <row r="14211" spans="1:20" customFormat="1" ht="15" x14ac:dyDescent="0.25">
      <c r="A14211" t="s">
        <v>35</v>
      </c>
      <c r="B14211" t="s">
        <v>61</v>
      </c>
      <c r="C14211" t="str">
        <f>"A0130294"</f>
        <v>A0130294</v>
      </c>
      <c r="D14211" t="s">
        <v>50024</v>
      </c>
      <c r="E14211" t="s">
        <v>50025</v>
      </c>
      <c r="F14211" t="s">
        <v>50026</v>
      </c>
      <c r="G14211" t="s">
        <v>1898</v>
      </c>
      <c r="H14211">
        <v>504760000</v>
      </c>
      <c r="I14211" t="s">
        <v>30</v>
      </c>
      <c r="J14211" t="s">
        <v>41</v>
      </c>
      <c r="K14211" t="s">
        <v>229</v>
      </c>
      <c r="Q14211">
        <v>0</v>
      </c>
      <c r="R14211">
        <v>52</v>
      </c>
      <c r="S14211">
        <v>52</v>
      </c>
      <c r="T14211" t="s">
        <v>50027</v>
      </c>
    </row>
    <row r="14212" spans="1:20" customFormat="1" ht="15" x14ac:dyDescent="0.25">
      <c r="A14212" t="s">
        <v>35</v>
      </c>
      <c r="B14212" t="s">
        <v>61</v>
      </c>
      <c r="C14212" t="str">
        <f>"A0124889"</f>
        <v>A0124889</v>
      </c>
      <c r="D14212" t="s">
        <v>50028</v>
      </c>
      <c r="E14212" t="s">
        <v>50029</v>
      </c>
      <c r="F14212" t="s">
        <v>46714</v>
      </c>
      <c r="G14212" t="s">
        <v>214</v>
      </c>
      <c r="H14212">
        <v>275010000</v>
      </c>
      <c r="I14212" t="s">
        <v>30</v>
      </c>
      <c r="J14212" t="s">
        <v>41</v>
      </c>
      <c r="K14212" t="s">
        <v>59</v>
      </c>
      <c r="Q14212">
        <v>0</v>
      </c>
      <c r="R14212">
        <v>40</v>
      </c>
      <c r="S14212">
        <v>40</v>
      </c>
      <c r="T14212" t="s">
        <v>50030</v>
      </c>
    </row>
    <row r="14213" spans="1:20" customFormat="1" ht="15" x14ac:dyDescent="0.25">
      <c r="A14213" t="s">
        <v>35</v>
      </c>
      <c r="B14213" t="s">
        <v>61</v>
      </c>
      <c r="C14213" t="str">
        <f>"A0151582"</f>
        <v>A0151582</v>
      </c>
      <c r="D14213" t="s">
        <v>50031</v>
      </c>
      <c r="E14213" t="s">
        <v>50032</v>
      </c>
      <c r="F14213" t="s">
        <v>21119</v>
      </c>
      <c r="G14213" t="s">
        <v>65</v>
      </c>
      <c r="H14213">
        <v>44504</v>
      </c>
      <c r="I14213" t="s">
        <v>30</v>
      </c>
      <c r="J14213" t="s">
        <v>41</v>
      </c>
      <c r="K14213" t="s">
        <v>1412</v>
      </c>
      <c r="Q14213">
        <v>0</v>
      </c>
      <c r="R14213">
        <v>0</v>
      </c>
      <c r="S14213">
        <v>0</v>
      </c>
      <c r="T14213" t="s">
        <v>50033</v>
      </c>
    </row>
    <row r="14214" spans="1:20" customFormat="1" ht="15" x14ac:dyDescent="0.25">
      <c r="A14214" t="s">
        <v>35</v>
      </c>
      <c r="B14214" t="s">
        <v>437</v>
      </c>
      <c r="C14214" t="str">
        <f>"A0134027"</f>
        <v>A0134027</v>
      </c>
      <c r="D14214" t="s">
        <v>50034</v>
      </c>
      <c r="E14214" t="s">
        <v>50035</v>
      </c>
      <c r="F14214" t="s">
        <v>20709</v>
      </c>
      <c r="G14214" t="s">
        <v>99</v>
      </c>
      <c r="H14214">
        <v>13478</v>
      </c>
      <c r="I14214" t="s">
        <v>30</v>
      </c>
      <c r="J14214" t="s">
        <v>441</v>
      </c>
      <c r="K14214" t="s">
        <v>442</v>
      </c>
      <c r="Q14214">
        <v>0</v>
      </c>
      <c r="R14214">
        <v>0</v>
      </c>
      <c r="S14214">
        <v>0</v>
      </c>
      <c r="T14214" t="s">
        <v>7662</v>
      </c>
    </row>
    <row r="14215" spans="1:20" customFormat="1" ht="15" x14ac:dyDescent="0.25">
      <c r="A14215" t="s">
        <v>35</v>
      </c>
      <c r="B14215" t="s">
        <v>106</v>
      </c>
      <c r="C14215" t="str">
        <f>"A0135501"</f>
        <v>A0135501</v>
      </c>
      <c r="D14215" t="s">
        <v>50036</v>
      </c>
      <c r="E14215" t="s">
        <v>50037</v>
      </c>
      <c r="F14215" t="s">
        <v>50038</v>
      </c>
      <c r="G14215" t="s">
        <v>110</v>
      </c>
      <c r="H14215">
        <v>94305</v>
      </c>
      <c r="I14215" t="s">
        <v>30</v>
      </c>
      <c r="J14215" t="s">
        <v>111</v>
      </c>
      <c r="K14215" t="s">
        <v>10012</v>
      </c>
      <c r="Q14215">
        <v>0</v>
      </c>
      <c r="R14215">
        <v>0</v>
      </c>
      <c r="S14215">
        <v>0</v>
      </c>
      <c r="T14215" t="s">
        <v>50039</v>
      </c>
    </row>
    <row r="14216" spans="1:20" customFormat="1" ht="15" x14ac:dyDescent="0.25">
      <c r="A14216" t="s">
        <v>35</v>
      </c>
      <c r="B14216" t="s">
        <v>106</v>
      </c>
      <c r="C14216" t="str">
        <f>"A0135487"</f>
        <v>A0135487</v>
      </c>
      <c r="D14216" t="s">
        <v>50040</v>
      </c>
      <c r="E14216" t="s">
        <v>50041</v>
      </c>
      <c r="F14216" t="s">
        <v>50038</v>
      </c>
      <c r="G14216" t="s">
        <v>110</v>
      </c>
      <c r="H14216">
        <v>94305</v>
      </c>
      <c r="I14216" t="s">
        <v>30</v>
      </c>
      <c r="J14216" t="s">
        <v>111</v>
      </c>
      <c r="K14216" t="s">
        <v>10012</v>
      </c>
      <c r="Q14216">
        <v>0</v>
      </c>
      <c r="R14216">
        <v>0</v>
      </c>
      <c r="S14216">
        <v>0</v>
      </c>
      <c r="T14216" t="s">
        <v>50039</v>
      </c>
    </row>
    <row r="14217" spans="1:20" customFormat="1" ht="15" x14ac:dyDescent="0.25">
      <c r="A14217" t="s">
        <v>35</v>
      </c>
      <c r="B14217" t="s">
        <v>106</v>
      </c>
      <c r="C14217" t="str">
        <f>"A0135505"</f>
        <v>A0135505</v>
      </c>
      <c r="D14217" t="s">
        <v>50042</v>
      </c>
      <c r="E14217" t="s">
        <v>50043</v>
      </c>
      <c r="F14217" t="s">
        <v>50038</v>
      </c>
      <c r="G14217" t="s">
        <v>110</v>
      </c>
      <c r="H14217">
        <v>94305</v>
      </c>
      <c r="I14217" t="s">
        <v>30</v>
      </c>
      <c r="J14217" t="s">
        <v>111</v>
      </c>
      <c r="K14217" t="s">
        <v>10012</v>
      </c>
      <c r="Q14217">
        <v>0</v>
      </c>
      <c r="R14217">
        <v>0</v>
      </c>
      <c r="S14217">
        <v>0</v>
      </c>
      <c r="T14217" t="s">
        <v>50039</v>
      </c>
    </row>
    <row r="14218" spans="1:20" customFormat="1" ht="15" x14ac:dyDescent="0.25">
      <c r="A14218" t="s">
        <v>35</v>
      </c>
      <c r="B14218" t="s">
        <v>106</v>
      </c>
      <c r="C14218" t="str">
        <f>"A0135504"</f>
        <v>A0135504</v>
      </c>
      <c r="D14218" t="s">
        <v>50044</v>
      </c>
      <c r="E14218" t="s">
        <v>50043</v>
      </c>
      <c r="F14218" t="s">
        <v>50038</v>
      </c>
      <c r="G14218" t="s">
        <v>110</v>
      </c>
      <c r="H14218">
        <v>94305</v>
      </c>
      <c r="I14218" t="s">
        <v>30</v>
      </c>
      <c r="J14218" t="s">
        <v>111</v>
      </c>
      <c r="K14218" t="s">
        <v>10012</v>
      </c>
      <c r="Q14218">
        <v>0</v>
      </c>
      <c r="R14218">
        <v>0</v>
      </c>
      <c r="S14218">
        <v>0</v>
      </c>
      <c r="T14218" t="s">
        <v>50039</v>
      </c>
    </row>
    <row r="14219" spans="1:20" customFormat="1" ht="15" x14ac:dyDescent="0.25">
      <c r="A14219" t="s">
        <v>35</v>
      </c>
      <c r="B14219" t="s">
        <v>106</v>
      </c>
      <c r="C14219" t="str">
        <f>"A0135507"</f>
        <v>A0135507</v>
      </c>
      <c r="D14219" t="s">
        <v>50045</v>
      </c>
      <c r="E14219" t="s">
        <v>50043</v>
      </c>
      <c r="F14219" t="s">
        <v>50038</v>
      </c>
      <c r="G14219" t="s">
        <v>110</v>
      </c>
      <c r="H14219">
        <v>94305</v>
      </c>
      <c r="I14219" t="s">
        <v>30</v>
      </c>
      <c r="J14219" t="s">
        <v>111</v>
      </c>
      <c r="K14219" t="s">
        <v>10012</v>
      </c>
      <c r="Q14219">
        <v>0</v>
      </c>
      <c r="R14219">
        <v>0</v>
      </c>
      <c r="S14219">
        <v>0</v>
      </c>
      <c r="T14219" t="s">
        <v>50039</v>
      </c>
    </row>
    <row r="14220" spans="1:20" customFormat="1" ht="15" x14ac:dyDescent="0.25">
      <c r="A14220" t="s">
        <v>35</v>
      </c>
      <c r="B14220" t="s">
        <v>106</v>
      </c>
      <c r="C14220" t="str">
        <f>"A0135489"</f>
        <v>A0135489</v>
      </c>
      <c r="D14220" t="s">
        <v>50046</v>
      </c>
      <c r="E14220" t="s">
        <v>50041</v>
      </c>
      <c r="F14220" t="s">
        <v>50038</v>
      </c>
      <c r="G14220" t="s">
        <v>110</v>
      </c>
      <c r="H14220">
        <v>94305</v>
      </c>
      <c r="I14220" t="s">
        <v>30</v>
      </c>
      <c r="J14220" t="s">
        <v>111</v>
      </c>
      <c r="K14220" t="s">
        <v>10012</v>
      </c>
      <c r="Q14220">
        <v>0</v>
      </c>
      <c r="R14220">
        <v>0</v>
      </c>
      <c r="S14220">
        <v>0</v>
      </c>
      <c r="T14220" t="s">
        <v>50039</v>
      </c>
    </row>
    <row r="14221" spans="1:20" customFormat="1" ht="15" x14ac:dyDescent="0.25">
      <c r="A14221" t="s">
        <v>35</v>
      </c>
      <c r="B14221" t="s">
        <v>106</v>
      </c>
      <c r="C14221" t="str">
        <f>"A0135514"</f>
        <v>A0135514</v>
      </c>
      <c r="D14221" t="s">
        <v>50047</v>
      </c>
      <c r="E14221" t="s">
        <v>50041</v>
      </c>
      <c r="F14221" t="s">
        <v>50038</v>
      </c>
      <c r="G14221" t="s">
        <v>110</v>
      </c>
      <c r="H14221">
        <v>94305</v>
      </c>
      <c r="I14221" t="s">
        <v>30</v>
      </c>
      <c r="J14221" t="s">
        <v>111</v>
      </c>
      <c r="K14221" t="s">
        <v>10012</v>
      </c>
      <c r="Q14221">
        <v>0</v>
      </c>
      <c r="R14221">
        <v>0</v>
      </c>
      <c r="S14221">
        <v>0</v>
      </c>
      <c r="T14221" t="s">
        <v>50039</v>
      </c>
    </row>
    <row r="14222" spans="1:20" customFormat="1" ht="15" x14ac:dyDescent="0.25">
      <c r="A14222" t="s">
        <v>35</v>
      </c>
      <c r="B14222" t="s">
        <v>106</v>
      </c>
      <c r="C14222" t="str">
        <f>"A0135513"</f>
        <v>A0135513</v>
      </c>
      <c r="D14222" t="s">
        <v>50048</v>
      </c>
      <c r="E14222" t="s">
        <v>50049</v>
      </c>
      <c r="F14222" t="s">
        <v>50038</v>
      </c>
      <c r="G14222" t="s">
        <v>110</v>
      </c>
      <c r="H14222">
        <v>94305</v>
      </c>
      <c r="I14222" t="s">
        <v>30</v>
      </c>
      <c r="J14222" t="s">
        <v>111</v>
      </c>
      <c r="K14222" t="s">
        <v>10012</v>
      </c>
      <c r="Q14222">
        <v>0</v>
      </c>
      <c r="R14222">
        <v>0</v>
      </c>
      <c r="S14222">
        <v>0</v>
      </c>
      <c r="T14222" t="s">
        <v>50039</v>
      </c>
    </row>
    <row r="14223" spans="1:20" customFormat="1" ht="15" x14ac:dyDescent="0.25">
      <c r="A14223" t="s">
        <v>35</v>
      </c>
      <c r="B14223" t="s">
        <v>106</v>
      </c>
      <c r="C14223" t="str">
        <f>"A0135488"</f>
        <v>A0135488</v>
      </c>
      <c r="D14223" t="s">
        <v>50050</v>
      </c>
      <c r="E14223" t="s">
        <v>50041</v>
      </c>
      <c r="F14223" t="s">
        <v>50038</v>
      </c>
      <c r="G14223" t="s">
        <v>110</v>
      </c>
      <c r="H14223">
        <v>94305</v>
      </c>
      <c r="I14223" t="s">
        <v>30</v>
      </c>
      <c r="J14223" t="s">
        <v>111</v>
      </c>
      <c r="K14223" t="s">
        <v>10012</v>
      </c>
      <c r="Q14223">
        <v>0</v>
      </c>
      <c r="R14223">
        <v>0</v>
      </c>
      <c r="S14223">
        <v>0</v>
      </c>
      <c r="T14223" t="s">
        <v>50039</v>
      </c>
    </row>
    <row r="14224" spans="1:20" customFormat="1" ht="15" x14ac:dyDescent="0.25">
      <c r="A14224" t="s">
        <v>35</v>
      </c>
      <c r="B14224" t="s">
        <v>106</v>
      </c>
      <c r="C14224" t="str">
        <f>"A0135515"</f>
        <v>A0135515</v>
      </c>
      <c r="D14224" t="s">
        <v>50051</v>
      </c>
      <c r="E14224" t="s">
        <v>50052</v>
      </c>
      <c r="F14224" t="s">
        <v>50038</v>
      </c>
      <c r="G14224" t="s">
        <v>110</v>
      </c>
      <c r="H14224">
        <v>94305</v>
      </c>
      <c r="I14224" t="s">
        <v>30</v>
      </c>
      <c r="J14224" t="s">
        <v>111</v>
      </c>
      <c r="K14224" t="s">
        <v>10012</v>
      </c>
      <c r="Q14224">
        <v>0</v>
      </c>
      <c r="R14224">
        <v>0</v>
      </c>
      <c r="S14224">
        <v>0</v>
      </c>
      <c r="T14224" t="s">
        <v>50053</v>
      </c>
    </row>
    <row r="14225" spans="1:20" customFormat="1" ht="15" x14ac:dyDescent="0.25">
      <c r="A14225" t="s">
        <v>35</v>
      </c>
      <c r="B14225" t="s">
        <v>106</v>
      </c>
      <c r="C14225" t="str">
        <f>"A0135490"</f>
        <v>A0135490</v>
      </c>
      <c r="D14225" t="s">
        <v>50054</v>
      </c>
      <c r="E14225" t="s">
        <v>50055</v>
      </c>
      <c r="F14225" t="s">
        <v>50038</v>
      </c>
      <c r="G14225" t="s">
        <v>110</v>
      </c>
      <c r="H14225">
        <v>94305</v>
      </c>
      <c r="I14225" t="s">
        <v>30</v>
      </c>
      <c r="J14225" t="s">
        <v>111</v>
      </c>
      <c r="K14225" t="s">
        <v>10012</v>
      </c>
      <c r="Q14225">
        <v>0</v>
      </c>
      <c r="R14225">
        <v>0</v>
      </c>
      <c r="S14225">
        <v>0</v>
      </c>
      <c r="T14225" t="s">
        <v>50039</v>
      </c>
    </row>
    <row r="14226" spans="1:20" customFormat="1" ht="15" x14ac:dyDescent="0.25">
      <c r="A14226" t="s">
        <v>35</v>
      </c>
      <c r="B14226" t="s">
        <v>106</v>
      </c>
      <c r="C14226" t="str">
        <f>"A0135494"</f>
        <v>A0135494</v>
      </c>
      <c r="D14226" t="s">
        <v>50056</v>
      </c>
      <c r="E14226" t="s">
        <v>50041</v>
      </c>
      <c r="F14226" t="s">
        <v>50038</v>
      </c>
      <c r="G14226" t="s">
        <v>110</v>
      </c>
      <c r="H14226">
        <v>94305</v>
      </c>
      <c r="I14226" t="s">
        <v>30</v>
      </c>
      <c r="J14226" t="s">
        <v>111</v>
      </c>
      <c r="K14226" t="s">
        <v>10012</v>
      </c>
      <c r="Q14226">
        <v>0</v>
      </c>
      <c r="R14226">
        <v>0</v>
      </c>
      <c r="S14226">
        <v>0</v>
      </c>
      <c r="T14226" t="s">
        <v>50039</v>
      </c>
    </row>
    <row r="14227" spans="1:20" customFormat="1" ht="15" x14ac:dyDescent="0.25">
      <c r="A14227" t="s">
        <v>35</v>
      </c>
      <c r="B14227" t="s">
        <v>106</v>
      </c>
      <c r="C14227" t="str">
        <f>"A0135511"</f>
        <v>A0135511</v>
      </c>
      <c r="D14227" t="s">
        <v>50057</v>
      </c>
      <c r="E14227" t="s">
        <v>50058</v>
      </c>
      <c r="F14227" t="s">
        <v>50038</v>
      </c>
      <c r="G14227" t="s">
        <v>110</v>
      </c>
      <c r="H14227">
        <v>94305</v>
      </c>
      <c r="I14227" t="s">
        <v>30</v>
      </c>
      <c r="J14227" t="s">
        <v>111</v>
      </c>
      <c r="K14227" t="s">
        <v>10012</v>
      </c>
      <c r="Q14227">
        <v>0</v>
      </c>
      <c r="R14227">
        <v>0</v>
      </c>
      <c r="S14227">
        <v>0</v>
      </c>
      <c r="T14227" t="s">
        <v>50039</v>
      </c>
    </row>
    <row r="14228" spans="1:20" customFormat="1" ht="15" x14ac:dyDescent="0.25">
      <c r="A14228" t="s">
        <v>35</v>
      </c>
      <c r="B14228" t="s">
        <v>106</v>
      </c>
      <c r="C14228" t="str">
        <f>"A0135510"</f>
        <v>A0135510</v>
      </c>
      <c r="D14228" t="s">
        <v>50059</v>
      </c>
      <c r="E14228" t="s">
        <v>50060</v>
      </c>
      <c r="F14228" t="s">
        <v>50038</v>
      </c>
      <c r="G14228" t="s">
        <v>110</v>
      </c>
      <c r="H14228">
        <v>94305</v>
      </c>
      <c r="I14228" t="s">
        <v>30</v>
      </c>
      <c r="J14228" t="s">
        <v>111</v>
      </c>
      <c r="K14228" t="s">
        <v>10012</v>
      </c>
      <c r="Q14228">
        <v>0</v>
      </c>
      <c r="R14228">
        <v>0</v>
      </c>
      <c r="S14228">
        <v>0</v>
      </c>
      <c r="T14228" t="s">
        <v>50039</v>
      </c>
    </row>
    <row r="14229" spans="1:20" customFormat="1" ht="15" x14ac:dyDescent="0.25">
      <c r="A14229" t="s">
        <v>35</v>
      </c>
      <c r="B14229" t="s">
        <v>106</v>
      </c>
      <c r="C14229" t="str">
        <f>"A0135493"</f>
        <v>A0135493</v>
      </c>
      <c r="D14229" t="s">
        <v>50061</v>
      </c>
      <c r="E14229" t="s">
        <v>50041</v>
      </c>
      <c r="F14229" t="s">
        <v>50038</v>
      </c>
      <c r="G14229" t="s">
        <v>110</v>
      </c>
      <c r="H14229">
        <v>94305</v>
      </c>
      <c r="I14229" t="s">
        <v>30</v>
      </c>
      <c r="J14229" t="s">
        <v>111</v>
      </c>
      <c r="K14229" t="s">
        <v>10012</v>
      </c>
      <c r="Q14229">
        <v>0</v>
      </c>
      <c r="R14229">
        <v>0</v>
      </c>
      <c r="S14229">
        <v>0</v>
      </c>
      <c r="T14229" t="s">
        <v>50039</v>
      </c>
    </row>
    <row r="14230" spans="1:20" customFormat="1" ht="15" x14ac:dyDescent="0.25">
      <c r="A14230" t="s">
        <v>35</v>
      </c>
      <c r="B14230" t="s">
        <v>106</v>
      </c>
      <c r="C14230" t="str">
        <f>"A0135506"</f>
        <v>A0135506</v>
      </c>
      <c r="D14230" t="s">
        <v>50062</v>
      </c>
      <c r="E14230" t="s">
        <v>50043</v>
      </c>
      <c r="F14230" t="s">
        <v>50038</v>
      </c>
      <c r="G14230" t="s">
        <v>110</v>
      </c>
      <c r="H14230">
        <v>94305</v>
      </c>
      <c r="I14230" t="s">
        <v>30</v>
      </c>
      <c r="J14230" t="s">
        <v>111</v>
      </c>
      <c r="K14230" t="s">
        <v>10012</v>
      </c>
      <c r="Q14230">
        <v>0</v>
      </c>
      <c r="R14230">
        <v>0</v>
      </c>
      <c r="S14230">
        <v>0</v>
      </c>
      <c r="T14230" t="s">
        <v>50039</v>
      </c>
    </row>
    <row r="14231" spans="1:20" customFormat="1" ht="15" x14ac:dyDescent="0.25">
      <c r="A14231" t="s">
        <v>35</v>
      </c>
      <c r="B14231" t="s">
        <v>106</v>
      </c>
      <c r="C14231" t="str">
        <f>"A0135508"</f>
        <v>A0135508</v>
      </c>
      <c r="D14231" t="s">
        <v>50063</v>
      </c>
      <c r="E14231" t="s">
        <v>50043</v>
      </c>
      <c r="F14231" t="s">
        <v>50038</v>
      </c>
      <c r="G14231" t="s">
        <v>110</v>
      </c>
      <c r="H14231">
        <v>94305</v>
      </c>
      <c r="I14231" t="s">
        <v>30</v>
      </c>
      <c r="J14231" t="s">
        <v>111</v>
      </c>
      <c r="K14231" t="s">
        <v>10012</v>
      </c>
      <c r="Q14231">
        <v>0</v>
      </c>
      <c r="R14231">
        <v>0</v>
      </c>
      <c r="S14231">
        <v>0</v>
      </c>
      <c r="T14231" t="s">
        <v>50039</v>
      </c>
    </row>
    <row r="14232" spans="1:20" customFormat="1" ht="15" x14ac:dyDescent="0.25">
      <c r="A14232" t="s">
        <v>35</v>
      </c>
      <c r="B14232" t="s">
        <v>106</v>
      </c>
      <c r="C14232" t="str">
        <f>"A0135512"</f>
        <v>A0135512</v>
      </c>
      <c r="D14232" t="s">
        <v>50064</v>
      </c>
      <c r="E14232" t="s">
        <v>50041</v>
      </c>
      <c r="F14232" t="s">
        <v>50038</v>
      </c>
      <c r="G14232" t="s">
        <v>110</v>
      </c>
      <c r="H14232">
        <v>94305</v>
      </c>
      <c r="I14232" t="s">
        <v>30</v>
      </c>
      <c r="J14232" t="s">
        <v>111</v>
      </c>
      <c r="K14232" t="s">
        <v>10012</v>
      </c>
      <c r="Q14232">
        <v>0</v>
      </c>
      <c r="R14232">
        <v>0</v>
      </c>
      <c r="S14232">
        <v>0</v>
      </c>
      <c r="T14232" t="s">
        <v>50039</v>
      </c>
    </row>
    <row r="14233" spans="1:20" customFormat="1" ht="15" x14ac:dyDescent="0.25">
      <c r="A14233" t="s">
        <v>35</v>
      </c>
      <c r="B14233" t="s">
        <v>106</v>
      </c>
      <c r="C14233" t="str">
        <f>"A0135495"</f>
        <v>A0135495</v>
      </c>
      <c r="D14233" t="s">
        <v>50065</v>
      </c>
      <c r="E14233" t="s">
        <v>50041</v>
      </c>
      <c r="F14233" t="s">
        <v>50038</v>
      </c>
      <c r="G14233" t="s">
        <v>110</v>
      </c>
      <c r="H14233">
        <v>94305</v>
      </c>
      <c r="I14233" t="s">
        <v>30</v>
      </c>
      <c r="J14233" t="s">
        <v>111</v>
      </c>
      <c r="K14233" t="s">
        <v>10012</v>
      </c>
      <c r="Q14233">
        <v>0</v>
      </c>
      <c r="R14233">
        <v>0</v>
      </c>
      <c r="S14233">
        <v>0</v>
      </c>
      <c r="T14233" t="s">
        <v>50039</v>
      </c>
    </row>
    <row r="14234" spans="1:20" customFormat="1" ht="15" x14ac:dyDescent="0.25">
      <c r="A14234" t="s">
        <v>35</v>
      </c>
      <c r="B14234" t="s">
        <v>106</v>
      </c>
      <c r="C14234" t="str">
        <f>"A0135496"</f>
        <v>A0135496</v>
      </c>
      <c r="D14234" t="s">
        <v>50066</v>
      </c>
      <c r="E14234" t="s">
        <v>50041</v>
      </c>
      <c r="F14234" t="s">
        <v>50038</v>
      </c>
      <c r="G14234" t="s">
        <v>110</v>
      </c>
      <c r="H14234">
        <v>94305</v>
      </c>
      <c r="I14234" t="s">
        <v>30</v>
      </c>
      <c r="J14234" t="s">
        <v>111</v>
      </c>
      <c r="K14234" t="s">
        <v>10012</v>
      </c>
      <c r="Q14234">
        <v>0</v>
      </c>
      <c r="R14234">
        <v>0</v>
      </c>
      <c r="S14234">
        <v>0</v>
      </c>
      <c r="T14234" t="s">
        <v>50039</v>
      </c>
    </row>
    <row r="14235" spans="1:20" customFormat="1" ht="15" x14ac:dyDescent="0.25">
      <c r="A14235" t="s">
        <v>35</v>
      </c>
      <c r="B14235" t="s">
        <v>106</v>
      </c>
      <c r="C14235" t="str">
        <f>"A0135500"</f>
        <v>A0135500</v>
      </c>
      <c r="D14235" t="s">
        <v>50067</v>
      </c>
      <c r="E14235" t="s">
        <v>50041</v>
      </c>
      <c r="F14235" t="s">
        <v>50038</v>
      </c>
      <c r="G14235" t="s">
        <v>110</v>
      </c>
      <c r="H14235">
        <v>94305</v>
      </c>
      <c r="I14235" t="s">
        <v>30</v>
      </c>
      <c r="J14235" t="s">
        <v>111</v>
      </c>
      <c r="K14235" t="s">
        <v>10012</v>
      </c>
      <c r="Q14235">
        <v>0</v>
      </c>
      <c r="R14235">
        <v>0</v>
      </c>
      <c r="S14235">
        <v>0</v>
      </c>
      <c r="T14235" t="s">
        <v>50039</v>
      </c>
    </row>
    <row r="14236" spans="1:20" customFormat="1" ht="15" x14ac:dyDescent="0.25">
      <c r="A14236" t="s">
        <v>35</v>
      </c>
      <c r="B14236" t="s">
        <v>106</v>
      </c>
      <c r="C14236" t="str">
        <f>"A0135491"</f>
        <v>A0135491</v>
      </c>
      <c r="D14236" t="s">
        <v>50068</v>
      </c>
      <c r="E14236" t="s">
        <v>50041</v>
      </c>
      <c r="F14236" t="s">
        <v>50038</v>
      </c>
      <c r="G14236" t="s">
        <v>110</v>
      </c>
      <c r="H14236">
        <v>94305</v>
      </c>
      <c r="I14236" t="s">
        <v>30</v>
      </c>
      <c r="J14236" t="s">
        <v>111</v>
      </c>
      <c r="K14236" t="s">
        <v>10012</v>
      </c>
      <c r="Q14236">
        <v>0</v>
      </c>
      <c r="R14236">
        <v>0</v>
      </c>
      <c r="S14236">
        <v>0</v>
      </c>
      <c r="T14236" t="s">
        <v>50039</v>
      </c>
    </row>
    <row r="14237" spans="1:20" customFormat="1" ht="15" x14ac:dyDescent="0.25">
      <c r="A14237" t="s">
        <v>35</v>
      </c>
      <c r="B14237" t="s">
        <v>106</v>
      </c>
      <c r="C14237" t="str">
        <f>"A0135492"</f>
        <v>A0135492</v>
      </c>
      <c r="D14237" t="s">
        <v>50069</v>
      </c>
      <c r="E14237" t="s">
        <v>50041</v>
      </c>
      <c r="F14237" t="s">
        <v>50038</v>
      </c>
      <c r="G14237" t="s">
        <v>110</v>
      </c>
      <c r="H14237">
        <v>94305</v>
      </c>
      <c r="I14237" t="s">
        <v>30</v>
      </c>
      <c r="J14237" t="s">
        <v>111</v>
      </c>
      <c r="K14237" t="s">
        <v>10012</v>
      </c>
      <c r="Q14237">
        <v>0</v>
      </c>
      <c r="R14237">
        <v>0</v>
      </c>
      <c r="S14237">
        <v>0</v>
      </c>
      <c r="T14237" t="s">
        <v>50070</v>
      </c>
    </row>
    <row r="14238" spans="1:20" customFormat="1" ht="15" x14ac:dyDescent="0.25">
      <c r="A14238" t="s">
        <v>35</v>
      </c>
      <c r="B14238" t="s">
        <v>106</v>
      </c>
      <c r="C14238" t="str">
        <f>"A0135503"</f>
        <v>A0135503</v>
      </c>
      <c r="D14238" t="s">
        <v>50071</v>
      </c>
      <c r="E14238" t="s">
        <v>50072</v>
      </c>
      <c r="F14238" t="s">
        <v>50038</v>
      </c>
      <c r="G14238" t="s">
        <v>110</v>
      </c>
      <c r="H14238">
        <v>94305</v>
      </c>
      <c r="I14238" t="s">
        <v>30</v>
      </c>
      <c r="J14238" t="s">
        <v>111</v>
      </c>
      <c r="K14238" t="s">
        <v>10012</v>
      </c>
      <c r="Q14238">
        <v>0</v>
      </c>
      <c r="R14238">
        <v>0</v>
      </c>
      <c r="S14238">
        <v>0</v>
      </c>
      <c r="T14238" t="s">
        <v>50039</v>
      </c>
    </row>
    <row r="14239" spans="1:20" customFormat="1" ht="15" x14ac:dyDescent="0.25">
      <c r="A14239" t="s">
        <v>35</v>
      </c>
      <c r="B14239" t="s">
        <v>106</v>
      </c>
      <c r="C14239" t="str">
        <f>"A0135509"</f>
        <v>A0135509</v>
      </c>
      <c r="D14239" t="s">
        <v>50073</v>
      </c>
      <c r="E14239" t="s">
        <v>50043</v>
      </c>
      <c r="F14239" t="s">
        <v>50038</v>
      </c>
      <c r="G14239" t="s">
        <v>110</v>
      </c>
      <c r="H14239">
        <v>94305</v>
      </c>
      <c r="I14239" t="s">
        <v>30</v>
      </c>
      <c r="J14239" t="s">
        <v>111</v>
      </c>
      <c r="K14239" t="s">
        <v>10012</v>
      </c>
      <c r="Q14239">
        <v>0</v>
      </c>
      <c r="R14239">
        <v>0</v>
      </c>
      <c r="S14239">
        <v>0</v>
      </c>
      <c r="T14239" t="s">
        <v>50039</v>
      </c>
    </row>
    <row r="14240" spans="1:20" customFormat="1" ht="15" x14ac:dyDescent="0.25">
      <c r="A14240" t="s">
        <v>35</v>
      </c>
      <c r="B14240" t="s">
        <v>106</v>
      </c>
      <c r="C14240" t="str">
        <f>"A0135499"</f>
        <v>A0135499</v>
      </c>
      <c r="D14240" t="s">
        <v>50074</v>
      </c>
      <c r="E14240" t="s">
        <v>50041</v>
      </c>
      <c r="F14240" t="s">
        <v>50038</v>
      </c>
      <c r="G14240" t="s">
        <v>110</v>
      </c>
      <c r="H14240">
        <v>94305</v>
      </c>
      <c r="I14240" t="s">
        <v>30</v>
      </c>
      <c r="J14240" t="s">
        <v>111</v>
      </c>
      <c r="K14240" t="s">
        <v>10012</v>
      </c>
      <c r="Q14240">
        <v>0</v>
      </c>
      <c r="R14240">
        <v>0</v>
      </c>
      <c r="S14240">
        <v>0</v>
      </c>
      <c r="T14240" t="s">
        <v>50039</v>
      </c>
    </row>
    <row r="14241" spans="1:20" customFormat="1" ht="15" x14ac:dyDescent="0.25">
      <c r="A14241" t="s">
        <v>35</v>
      </c>
      <c r="B14241" t="s">
        <v>106</v>
      </c>
      <c r="C14241" t="str">
        <f>"A0135497"</f>
        <v>A0135497</v>
      </c>
      <c r="D14241" t="s">
        <v>50075</v>
      </c>
      <c r="E14241" t="s">
        <v>50041</v>
      </c>
      <c r="F14241" t="s">
        <v>50038</v>
      </c>
      <c r="G14241" t="s">
        <v>110</v>
      </c>
      <c r="H14241">
        <v>94305</v>
      </c>
      <c r="I14241" t="s">
        <v>30</v>
      </c>
      <c r="J14241" t="s">
        <v>111</v>
      </c>
      <c r="K14241" t="s">
        <v>10012</v>
      </c>
      <c r="Q14241">
        <v>0</v>
      </c>
      <c r="R14241">
        <v>0</v>
      </c>
      <c r="S14241">
        <v>0</v>
      </c>
      <c r="T14241" t="s">
        <v>50039</v>
      </c>
    </row>
    <row r="14242" spans="1:20" customFormat="1" ht="15" x14ac:dyDescent="0.25">
      <c r="A14242" t="s">
        <v>35</v>
      </c>
      <c r="B14242" t="s">
        <v>106</v>
      </c>
      <c r="C14242" t="str">
        <f>"A0135498"</f>
        <v>A0135498</v>
      </c>
      <c r="D14242" t="s">
        <v>50075</v>
      </c>
      <c r="E14242" t="s">
        <v>50041</v>
      </c>
      <c r="F14242" t="s">
        <v>50038</v>
      </c>
      <c r="G14242" t="s">
        <v>110</v>
      </c>
      <c r="H14242">
        <v>94305</v>
      </c>
      <c r="I14242" t="s">
        <v>30</v>
      </c>
      <c r="J14242" t="s">
        <v>111</v>
      </c>
      <c r="K14242" t="s">
        <v>10012</v>
      </c>
      <c r="Q14242">
        <v>0</v>
      </c>
      <c r="R14242">
        <v>0</v>
      </c>
      <c r="S14242">
        <v>0</v>
      </c>
      <c r="T14242" t="s">
        <v>50039</v>
      </c>
    </row>
    <row r="14243" spans="1:20" customFormat="1" ht="15" x14ac:dyDescent="0.25">
      <c r="A14243" t="s">
        <v>35</v>
      </c>
      <c r="B14243" t="s">
        <v>106</v>
      </c>
      <c r="C14243" t="str">
        <f>"A0135502"</f>
        <v>A0135502</v>
      </c>
      <c r="D14243" t="s">
        <v>50076</v>
      </c>
      <c r="E14243" t="s">
        <v>50043</v>
      </c>
      <c r="F14243" t="s">
        <v>50038</v>
      </c>
      <c r="G14243" t="s">
        <v>110</v>
      </c>
      <c r="H14243">
        <v>94305</v>
      </c>
      <c r="I14243" t="s">
        <v>30</v>
      </c>
      <c r="J14243" t="s">
        <v>111</v>
      </c>
      <c r="K14243" t="s">
        <v>10012</v>
      </c>
      <c r="Q14243">
        <v>0</v>
      </c>
      <c r="R14243">
        <v>0</v>
      </c>
      <c r="S14243">
        <v>0</v>
      </c>
      <c r="T14243" t="s">
        <v>50039</v>
      </c>
    </row>
    <row r="14244" spans="1:20" customFormat="1" ht="15" x14ac:dyDescent="0.25">
      <c r="A14244" t="s">
        <v>35</v>
      </c>
      <c r="B14244" t="s">
        <v>106</v>
      </c>
      <c r="C14244" t="str">
        <f>"A0135486"</f>
        <v>A0135486</v>
      </c>
      <c r="D14244" t="s">
        <v>50077</v>
      </c>
      <c r="E14244" t="s">
        <v>50041</v>
      </c>
      <c r="F14244" t="s">
        <v>50038</v>
      </c>
      <c r="G14244" t="s">
        <v>110</v>
      </c>
      <c r="H14244">
        <v>94305</v>
      </c>
      <c r="I14244" t="s">
        <v>30</v>
      </c>
      <c r="J14244" t="s">
        <v>111</v>
      </c>
      <c r="K14244" t="s">
        <v>10012</v>
      </c>
      <c r="Q14244">
        <v>0</v>
      </c>
      <c r="R14244">
        <v>0</v>
      </c>
      <c r="S14244">
        <v>0</v>
      </c>
      <c r="T14244" t="s">
        <v>50039</v>
      </c>
    </row>
    <row r="14245" spans="1:20" customFormat="1" ht="15" x14ac:dyDescent="0.25">
      <c r="A14245" t="s">
        <v>35</v>
      </c>
      <c r="B14245" t="s">
        <v>61</v>
      </c>
      <c r="C14245" t="str">
        <f>"A0124807"</f>
        <v>A0124807</v>
      </c>
      <c r="D14245" t="s">
        <v>50078</v>
      </c>
      <c r="E14245" t="s">
        <v>50079</v>
      </c>
      <c r="F14245" t="s">
        <v>11851</v>
      </c>
      <c r="G14245" t="s">
        <v>214</v>
      </c>
      <c r="H14245">
        <v>28164</v>
      </c>
      <c r="I14245" t="s">
        <v>30</v>
      </c>
      <c r="J14245" t="s">
        <v>41</v>
      </c>
      <c r="K14245" t="s">
        <v>229</v>
      </c>
      <c r="Q14245">
        <v>0</v>
      </c>
      <c r="R14245">
        <v>150</v>
      </c>
      <c r="S14245">
        <v>150</v>
      </c>
      <c r="T14245" t="s">
        <v>50080</v>
      </c>
    </row>
    <row r="14246" spans="1:20" customFormat="1" ht="15" x14ac:dyDescent="0.25">
      <c r="A14246" t="s">
        <v>35</v>
      </c>
      <c r="B14246" t="s">
        <v>61</v>
      </c>
      <c r="C14246" t="str">
        <f>"A0124426"</f>
        <v>A0124426</v>
      </c>
      <c r="D14246" t="s">
        <v>50081</v>
      </c>
      <c r="E14246" t="s">
        <v>50082</v>
      </c>
      <c r="F14246" t="s">
        <v>11851</v>
      </c>
      <c r="G14246" t="s">
        <v>214</v>
      </c>
      <c r="H14246">
        <v>28164</v>
      </c>
      <c r="I14246" t="s">
        <v>30</v>
      </c>
      <c r="J14246" t="s">
        <v>41</v>
      </c>
      <c r="K14246" t="s">
        <v>229</v>
      </c>
      <c r="Q14246">
        <v>0</v>
      </c>
      <c r="R14246">
        <v>150</v>
      </c>
      <c r="S14246">
        <v>150</v>
      </c>
      <c r="T14246" t="s">
        <v>50080</v>
      </c>
    </row>
    <row r="14247" spans="1:20" customFormat="1" ht="15" x14ac:dyDescent="0.25">
      <c r="A14247" t="s">
        <v>35</v>
      </c>
      <c r="B14247" t="s">
        <v>61</v>
      </c>
      <c r="C14247" t="str">
        <f>"A0123594"</f>
        <v>A0123594</v>
      </c>
      <c r="D14247" t="s">
        <v>50083</v>
      </c>
      <c r="E14247" t="s">
        <v>50084</v>
      </c>
      <c r="F14247" t="s">
        <v>50085</v>
      </c>
      <c r="G14247" t="s">
        <v>29</v>
      </c>
      <c r="H14247">
        <v>24168</v>
      </c>
      <c r="I14247" t="s">
        <v>30</v>
      </c>
      <c r="J14247" t="s">
        <v>41</v>
      </c>
      <c r="K14247" t="s">
        <v>229</v>
      </c>
      <c r="Q14247">
        <v>0</v>
      </c>
      <c r="R14247">
        <v>60</v>
      </c>
      <c r="S14247">
        <v>60</v>
      </c>
      <c r="T14247" t="s">
        <v>50086</v>
      </c>
    </row>
    <row r="14248" spans="1:20" customFormat="1" ht="15" x14ac:dyDescent="0.25">
      <c r="A14248" t="s">
        <v>35</v>
      </c>
      <c r="B14248" t="s">
        <v>106</v>
      </c>
      <c r="C14248" t="str">
        <f>"A0165834"</f>
        <v>A0165834</v>
      </c>
      <c r="D14248" t="s">
        <v>50087</v>
      </c>
      <c r="E14248" t="s">
        <v>50088</v>
      </c>
      <c r="F14248" t="s">
        <v>50089</v>
      </c>
      <c r="G14248" t="s">
        <v>117</v>
      </c>
      <c r="H14248">
        <v>49905</v>
      </c>
      <c r="I14248" t="s">
        <v>30</v>
      </c>
      <c r="J14248" t="s">
        <v>111</v>
      </c>
      <c r="K14248" t="s">
        <v>112</v>
      </c>
      <c r="Q14248">
        <v>0</v>
      </c>
      <c r="R14248">
        <v>0</v>
      </c>
      <c r="S14248">
        <v>0</v>
      </c>
      <c r="T14248" t="s">
        <v>50090</v>
      </c>
    </row>
    <row r="14249" spans="1:20" customFormat="1" ht="15" x14ac:dyDescent="0.25">
      <c r="A14249" t="s">
        <v>35</v>
      </c>
      <c r="B14249" t="s">
        <v>106</v>
      </c>
      <c r="C14249" t="str">
        <f>"A0136022"</f>
        <v>A0136022</v>
      </c>
      <c r="D14249" t="s">
        <v>50091</v>
      </c>
      <c r="E14249" t="s">
        <v>50092</v>
      </c>
      <c r="F14249" t="s">
        <v>14856</v>
      </c>
      <c r="G14249" t="s">
        <v>110</v>
      </c>
      <c r="H14249">
        <v>92616</v>
      </c>
      <c r="I14249" t="s">
        <v>30</v>
      </c>
      <c r="J14249" t="s">
        <v>111</v>
      </c>
      <c r="K14249" t="s">
        <v>10012</v>
      </c>
      <c r="Q14249">
        <v>0</v>
      </c>
      <c r="R14249">
        <v>0</v>
      </c>
      <c r="S14249">
        <v>0</v>
      </c>
      <c r="T14249" t="s">
        <v>50093</v>
      </c>
    </row>
    <row r="14250" spans="1:20" customFormat="1" ht="15" x14ac:dyDescent="0.25">
      <c r="A14250" t="s">
        <v>35</v>
      </c>
      <c r="B14250" t="s">
        <v>61</v>
      </c>
      <c r="C14250" t="str">
        <f>"A0150475"</f>
        <v>A0150475</v>
      </c>
      <c r="D14250" t="s">
        <v>50094</v>
      </c>
      <c r="E14250" t="s">
        <v>50095</v>
      </c>
      <c r="F14250" t="s">
        <v>7267</v>
      </c>
      <c r="G14250" t="s">
        <v>153</v>
      </c>
      <c r="H14250">
        <v>84112</v>
      </c>
      <c r="I14250" t="s">
        <v>30</v>
      </c>
      <c r="J14250" t="s">
        <v>41</v>
      </c>
      <c r="K14250" t="s">
        <v>1412</v>
      </c>
      <c r="Q14250">
        <v>0</v>
      </c>
      <c r="R14250">
        <v>0</v>
      </c>
      <c r="S14250">
        <v>0</v>
      </c>
      <c r="T14250" t="s">
        <v>50096</v>
      </c>
    </row>
    <row r="14251" spans="1:20" customFormat="1" ht="15" x14ac:dyDescent="0.25">
      <c r="A14251" t="s">
        <v>35</v>
      </c>
      <c r="B14251" t="s">
        <v>61</v>
      </c>
      <c r="C14251" t="str">
        <f>"A0133528"</f>
        <v>A0133528</v>
      </c>
      <c r="D14251" t="s">
        <v>50097</v>
      </c>
      <c r="E14251" t="s">
        <v>50098</v>
      </c>
      <c r="F14251" t="s">
        <v>7638</v>
      </c>
      <c r="G14251" t="s">
        <v>52</v>
      </c>
      <c r="H14251">
        <v>75187</v>
      </c>
      <c r="I14251" t="s">
        <v>30</v>
      </c>
      <c r="J14251" t="s">
        <v>41</v>
      </c>
      <c r="K14251" t="s">
        <v>38451</v>
      </c>
      <c r="Q14251">
        <v>0</v>
      </c>
      <c r="R14251">
        <v>0</v>
      </c>
      <c r="S14251">
        <v>0</v>
      </c>
      <c r="T14251" t="s">
        <v>50099</v>
      </c>
    </row>
    <row r="14252" spans="1:20" customFormat="1" ht="15" x14ac:dyDescent="0.25">
      <c r="A14252" t="s">
        <v>35</v>
      </c>
      <c r="B14252" t="s">
        <v>106</v>
      </c>
      <c r="C14252" t="str">
        <f>"A0135321"</f>
        <v>A0135321</v>
      </c>
      <c r="D14252" t="s">
        <v>50100</v>
      </c>
      <c r="E14252" t="s">
        <v>49916</v>
      </c>
      <c r="F14252" t="s">
        <v>29747</v>
      </c>
      <c r="G14252" t="s">
        <v>615</v>
      </c>
      <c r="H14252">
        <v>6106</v>
      </c>
      <c r="I14252" t="s">
        <v>30</v>
      </c>
      <c r="J14252" t="s">
        <v>111</v>
      </c>
      <c r="K14252" t="s">
        <v>112</v>
      </c>
      <c r="Q14252">
        <v>0</v>
      </c>
      <c r="R14252">
        <v>0</v>
      </c>
      <c r="S14252">
        <v>0</v>
      </c>
      <c r="T14252" t="s">
        <v>49924</v>
      </c>
    </row>
    <row r="14253" spans="1:20" customFormat="1" ht="15" x14ac:dyDescent="0.25">
      <c r="A14253" t="s">
        <v>35</v>
      </c>
      <c r="B14253" t="s">
        <v>437</v>
      </c>
      <c r="C14253" t="str">
        <f>"A0133893"</f>
        <v>A0133893</v>
      </c>
      <c r="D14253" t="s">
        <v>50101</v>
      </c>
      <c r="E14253" t="s">
        <v>50102</v>
      </c>
      <c r="F14253" t="s">
        <v>14697</v>
      </c>
      <c r="G14253" t="s">
        <v>110</v>
      </c>
      <c r="H14253">
        <v>90607</v>
      </c>
      <c r="I14253" t="s">
        <v>30</v>
      </c>
      <c r="J14253" t="s">
        <v>441</v>
      </c>
      <c r="K14253" t="s">
        <v>442</v>
      </c>
      <c r="Q14253">
        <v>0</v>
      </c>
      <c r="R14253">
        <v>0</v>
      </c>
      <c r="S14253">
        <v>0</v>
      </c>
      <c r="T14253" t="s">
        <v>50103</v>
      </c>
    </row>
    <row r="14254" spans="1:20" customFormat="1" ht="15" x14ac:dyDescent="0.25">
      <c r="A14254" t="s">
        <v>35</v>
      </c>
      <c r="B14254" t="s">
        <v>61</v>
      </c>
      <c r="C14254" t="str">
        <f>"A0127556"</f>
        <v>A0127556</v>
      </c>
      <c r="D14254" t="s">
        <v>50104</v>
      </c>
      <c r="E14254" t="s">
        <v>50105</v>
      </c>
      <c r="F14254" t="s">
        <v>18329</v>
      </c>
      <c r="G14254" t="s">
        <v>123</v>
      </c>
      <c r="H14254">
        <v>21093</v>
      </c>
      <c r="I14254" t="s">
        <v>30</v>
      </c>
      <c r="J14254" t="s">
        <v>41</v>
      </c>
      <c r="K14254" t="s">
        <v>229</v>
      </c>
      <c r="Q14254">
        <v>0</v>
      </c>
      <c r="R14254">
        <v>448</v>
      </c>
      <c r="S14254">
        <v>448</v>
      </c>
      <c r="T14254" t="s">
        <v>50106</v>
      </c>
    </row>
    <row r="14255" spans="1:20" customFormat="1" ht="15" x14ac:dyDescent="0.25">
      <c r="A14255" t="s">
        <v>35</v>
      </c>
      <c r="B14255" t="s">
        <v>61</v>
      </c>
      <c r="C14255" t="str">
        <f>"A0118831"</f>
        <v>A0118831</v>
      </c>
      <c r="D14255" t="s">
        <v>50107</v>
      </c>
      <c r="E14255" t="s">
        <v>50108</v>
      </c>
      <c r="F14255" t="s">
        <v>1439</v>
      </c>
      <c r="G14255" t="s">
        <v>110</v>
      </c>
      <c r="H14255">
        <v>92115</v>
      </c>
      <c r="I14255" t="s">
        <v>30</v>
      </c>
      <c r="J14255" t="s">
        <v>41</v>
      </c>
      <c r="K14255" t="s">
        <v>59</v>
      </c>
      <c r="Q14255">
        <v>0</v>
      </c>
      <c r="R14255">
        <v>123</v>
      </c>
      <c r="S14255">
        <v>123</v>
      </c>
      <c r="T14255" t="s">
        <v>50109</v>
      </c>
    </row>
    <row r="14256" spans="1:20" customFormat="1" ht="15" x14ac:dyDescent="0.25">
      <c r="A14256" t="s">
        <v>35</v>
      </c>
      <c r="B14256" t="s">
        <v>61</v>
      </c>
      <c r="C14256" t="str">
        <f>"A0123112"</f>
        <v>A0123112</v>
      </c>
      <c r="D14256" t="s">
        <v>50110</v>
      </c>
      <c r="E14256" t="s">
        <v>50111</v>
      </c>
      <c r="F14256" t="s">
        <v>9731</v>
      </c>
      <c r="G14256" t="s">
        <v>76</v>
      </c>
      <c r="H14256">
        <v>98664</v>
      </c>
      <c r="I14256" t="s">
        <v>30</v>
      </c>
      <c r="J14256" t="s">
        <v>41</v>
      </c>
      <c r="K14256" t="s">
        <v>131</v>
      </c>
      <c r="Q14256">
        <v>0</v>
      </c>
      <c r="R14256">
        <v>35</v>
      </c>
      <c r="S14256">
        <v>35</v>
      </c>
      <c r="T14256" t="s">
        <v>50112</v>
      </c>
    </row>
    <row r="14257" spans="1:20" customFormat="1" ht="15" x14ac:dyDescent="0.25">
      <c r="A14257" t="s">
        <v>35</v>
      </c>
      <c r="B14257" t="s">
        <v>61</v>
      </c>
      <c r="C14257" t="str">
        <f>"A0128922"</f>
        <v>A0128922</v>
      </c>
      <c r="D14257" t="s">
        <v>50113</v>
      </c>
      <c r="E14257" t="s">
        <v>50114</v>
      </c>
      <c r="F14257" t="s">
        <v>10873</v>
      </c>
      <c r="G14257" t="s">
        <v>289</v>
      </c>
      <c r="H14257">
        <v>61032</v>
      </c>
      <c r="I14257" t="s">
        <v>30</v>
      </c>
      <c r="J14257" t="s">
        <v>41</v>
      </c>
      <c r="K14257" t="s">
        <v>229</v>
      </c>
      <c r="Q14257">
        <v>0</v>
      </c>
      <c r="R14257">
        <v>145</v>
      </c>
      <c r="S14257">
        <v>145</v>
      </c>
      <c r="T14257" t="s">
        <v>50115</v>
      </c>
    </row>
    <row r="14258" spans="1:20" customFormat="1" ht="15" x14ac:dyDescent="0.25">
      <c r="A14258" t="s">
        <v>35</v>
      </c>
      <c r="B14258" t="s">
        <v>61</v>
      </c>
      <c r="C14258" t="str">
        <f>"A0118254"</f>
        <v>A0118254</v>
      </c>
      <c r="D14258" t="s">
        <v>50116</v>
      </c>
      <c r="E14258" t="s">
        <v>50117</v>
      </c>
      <c r="F14258" t="s">
        <v>46982</v>
      </c>
      <c r="G14258" t="s">
        <v>153</v>
      </c>
      <c r="H14258">
        <v>84651</v>
      </c>
      <c r="I14258" t="s">
        <v>30</v>
      </c>
      <c r="J14258" t="s">
        <v>41</v>
      </c>
      <c r="K14258" t="s">
        <v>461</v>
      </c>
      <c r="Q14258">
        <v>0</v>
      </c>
      <c r="R14258">
        <v>30</v>
      </c>
      <c r="S14258">
        <v>30</v>
      </c>
      <c r="T14258" t="s">
        <v>50118</v>
      </c>
    </row>
    <row r="14259" spans="1:20" customFormat="1" ht="15" x14ac:dyDescent="0.25">
      <c r="A14259" t="s">
        <v>35</v>
      </c>
      <c r="B14259" t="s">
        <v>61</v>
      </c>
      <c r="C14259" t="str">
        <f>"A0123974"</f>
        <v>A0123974</v>
      </c>
      <c r="D14259" t="s">
        <v>50119</v>
      </c>
      <c r="E14259" t="s">
        <v>50120</v>
      </c>
      <c r="F14259" t="s">
        <v>37790</v>
      </c>
      <c r="G14259" t="s">
        <v>29</v>
      </c>
      <c r="H14259">
        <v>23666</v>
      </c>
      <c r="I14259" t="s">
        <v>30</v>
      </c>
      <c r="J14259" t="s">
        <v>41</v>
      </c>
      <c r="K14259" t="s">
        <v>59</v>
      </c>
      <c r="Q14259">
        <v>0</v>
      </c>
      <c r="R14259">
        <v>65</v>
      </c>
      <c r="S14259">
        <v>65</v>
      </c>
      <c r="T14259" t="s">
        <v>50121</v>
      </c>
    </row>
    <row r="14260" spans="1:20" customFormat="1" ht="15" x14ac:dyDescent="0.25">
      <c r="A14260" t="s">
        <v>35</v>
      </c>
      <c r="B14260" t="s">
        <v>106</v>
      </c>
      <c r="C14260" t="str">
        <f>"A0136004"</f>
        <v>A0136004</v>
      </c>
      <c r="D14260" t="s">
        <v>50122</v>
      </c>
      <c r="E14260" t="s">
        <v>50123</v>
      </c>
      <c r="F14260" t="s">
        <v>6294</v>
      </c>
      <c r="G14260" t="s">
        <v>81</v>
      </c>
      <c r="H14260">
        <v>32720</v>
      </c>
      <c r="I14260" t="s">
        <v>30</v>
      </c>
      <c r="J14260" t="s">
        <v>111</v>
      </c>
      <c r="K14260" t="s">
        <v>112</v>
      </c>
      <c r="Q14260">
        <v>0</v>
      </c>
      <c r="R14260">
        <v>0</v>
      </c>
      <c r="S14260">
        <v>0</v>
      </c>
      <c r="T14260" t="s">
        <v>50124</v>
      </c>
    </row>
    <row r="14261" spans="1:20" customFormat="1" ht="15" x14ac:dyDescent="0.25">
      <c r="A14261" t="s">
        <v>35</v>
      </c>
      <c r="B14261" t="s">
        <v>437</v>
      </c>
      <c r="C14261" t="str">
        <f>"A0133895"</f>
        <v>A0133895</v>
      </c>
      <c r="D14261" t="s">
        <v>50125</v>
      </c>
      <c r="E14261" t="s">
        <v>50126</v>
      </c>
      <c r="F14261" t="s">
        <v>42605</v>
      </c>
      <c r="G14261" t="s">
        <v>110</v>
      </c>
      <c r="H14261">
        <v>90704</v>
      </c>
      <c r="I14261" t="s">
        <v>30</v>
      </c>
      <c r="J14261" t="s">
        <v>441</v>
      </c>
      <c r="K14261" t="s">
        <v>442</v>
      </c>
      <c r="Q14261">
        <v>0</v>
      </c>
      <c r="R14261">
        <v>0</v>
      </c>
      <c r="S14261">
        <v>0</v>
      </c>
      <c r="T14261" t="s">
        <v>50127</v>
      </c>
    </row>
    <row r="14262" spans="1:20" customFormat="1" ht="15" x14ac:dyDescent="0.25">
      <c r="A14262" t="s">
        <v>35</v>
      </c>
      <c r="B14262" t="s">
        <v>61</v>
      </c>
      <c r="C14262" t="str">
        <f>"A0128594"</f>
        <v>A0128594</v>
      </c>
      <c r="D14262" t="s">
        <v>50128</v>
      </c>
      <c r="E14262" t="s">
        <v>50129</v>
      </c>
      <c r="F14262" t="s">
        <v>15605</v>
      </c>
      <c r="G14262" t="s">
        <v>840</v>
      </c>
      <c r="H14262">
        <v>40601</v>
      </c>
      <c r="I14262" t="s">
        <v>30</v>
      </c>
      <c r="J14262" t="s">
        <v>41</v>
      </c>
      <c r="K14262" t="s">
        <v>131</v>
      </c>
      <c r="Q14262">
        <v>0</v>
      </c>
      <c r="R14262">
        <v>100</v>
      </c>
      <c r="S14262">
        <v>100</v>
      </c>
      <c r="T14262" t="s">
        <v>50130</v>
      </c>
    </row>
    <row r="14263" spans="1:20" customFormat="1" ht="15" x14ac:dyDescent="0.25">
      <c r="A14263" t="s">
        <v>35</v>
      </c>
      <c r="B14263" t="s">
        <v>61</v>
      </c>
      <c r="C14263" t="str">
        <f>"A0127445"</f>
        <v>A0127445</v>
      </c>
      <c r="D14263" t="s">
        <v>50131</v>
      </c>
      <c r="E14263" t="s">
        <v>50132</v>
      </c>
      <c r="F14263" t="s">
        <v>38797</v>
      </c>
      <c r="G14263" t="s">
        <v>846</v>
      </c>
      <c r="H14263">
        <v>30117</v>
      </c>
      <c r="I14263" t="s">
        <v>30</v>
      </c>
      <c r="J14263" t="s">
        <v>41</v>
      </c>
      <c r="K14263" t="s">
        <v>59</v>
      </c>
      <c r="Q14263">
        <v>0</v>
      </c>
      <c r="R14263">
        <v>40</v>
      </c>
      <c r="S14263">
        <v>40</v>
      </c>
      <c r="T14263" t="s">
        <v>50133</v>
      </c>
    </row>
    <row r="14264" spans="1:20" customFormat="1" ht="15" x14ac:dyDescent="0.25">
      <c r="A14264" t="s">
        <v>35</v>
      </c>
      <c r="B14264" t="s">
        <v>61</v>
      </c>
      <c r="C14264" t="str">
        <f>"A0130075"</f>
        <v>A0130075</v>
      </c>
      <c r="D14264" t="s">
        <v>50134</v>
      </c>
      <c r="E14264" t="s">
        <v>50135</v>
      </c>
      <c r="F14264" t="s">
        <v>50136</v>
      </c>
      <c r="G14264" t="s">
        <v>880</v>
      </c>
      <c r="H14264">
        <v>37097</v>
      </c>
      <c r="I14264" t="s">
        <v>30</v>
      </c>
      <c r="J14264" t="s">
        <v>41</v>
      </c>
      <c r="K14264" t="s">
        <v>461</v>
      </c>
      <c r="Q14264">
        <v>0</v>
      </c>
      <c r="R14264">
        <v>0</v>
      </c>
      <c r="S14264">
        <v>0</v>
      </c>
      <c r="T14264" t="s">
        <v>50137</v>
      </c>
    </row>
    <row r="14265" spans="1:20" customFormat="1" ht="15" x14ac:dyDescent="0.25">
      <c r="A14265" t="s">
        <v>35</v>
      </c>
      <c r="B14265" t="s">
        <v>61</v>
      </c>
      <c r="C14265" t="str">
        <f>"A0129594"</f>
        <v>A0129594</v>
      </c>
      <c r="D14265" t="s">
        <v>50138</v>
      </c>
      <c r="E14265" t="s">
        <v>50139</v>
      </c>
      <c r="F14265" t="s">
        <v>50140</v>
      </c>
      <c r="G14265" t="s">
        <v>289</v>
      </c>
      <c r="H14265">
        <v>62025</v>
      </c>
      <c r="I14265" t="s">
        <v>30</v>
      </c>
      <c r="J14265" t="s">
        <v>41</v>
      </c>
      <c r="K14265" t="s">
        <v>59</v>
      </c>
      <c r="N14265" t="s">
        <v>50141</v>
      </c>
      <c r="Q14265">
        <v>0</v>
      </c>
      <c r="R14265">
        <v>46</v>
      </c>
      <c r="S14265">
        <v>46</v>
      </c>
      <c r="T14265" t="s">
        <v>50142</v>
      </c>
    </row>
    <row r="14266" spans="1:20" customFormat="1" ht="15" x14ac:dyDescent="0.25">
      <c r="A14266" t="s">
        <v>35</v>
      </c>
      <c r="B14266" t="s">
        <v>61</v>
      </c>
      <c r="C14266" t="str">
        <f>"A0122558"</f>
        <v>A0122558</v>
      </c>
      <c r="D14266" t="s">
        <v>50143</v>
      </c>
      <c r="E14266" t="s">
        <v>50144</v>
      </c>
      <c r="F14266" t="s">
        <v>1054</v>
      </c>
      <c r="G14266" t="s">
        <v>76</v>
      </c>
      <c r="H14266">
        <v>98531</v>
      </c>
      <c r="I14266" t="s">
        <v>30</v>
      </c>
      <c r="J14266" t="s">
        <v>41</v>
      </c>
      <c r="K14266" t="s">
        <v>59</v>
      </c>
      <c r="Q14266">
        <v>0</v>
      </c>
      <c r="R14266">
        <v>88</v>
      </c>
      <c r="S14266">
        <v>88</v>
      </c>
      <c r="T14266" t="s">
        <v>50145</v>
      </c>
    </row>
    <row r="14267" spans="1:20" customFormat="1" ht="15" x14ac:dyDescent="0.25">
      <c r="A14267" t="s">
        <v>35</v>
      </c>
      <c r="B14267" t="s">
        <v>437</v>
      </c>
      <c r="C14267" t="str">
        <f>"A0134407"</f>
        <v>A0134407</v>
      </c>
      <c r="D14267" t="s">
        <v>50146</v>
      </c>
      <c r="E14267" t="s">
        <v>50147</v>
      </c>
      <c r="F14267" t="s">
        <v>50148</v>
      </c>
      <c r="G14267" t="s">
        <v>99</v>
      </c>
      <c r="H14267">
        <v>13409</v>
      </c>
      <c r="I14267" t="s">
        <v>30</v>
      </c>
      <c r="J14267" t="s">
        <v>441</v>
      </c>
      <c r="K14267" t="s">
        <v>1412</v>
      </c>
      <c r="Q14267">
        <v>0</v>
      </c>
      <c r="R14267">
        <v>0</v>
      </c>
      <c r="S14267">
        <v>0</v>
      </c>
      <c r="T14267" t="s">
        <v>50149</v>
      </c>
    </row>
    <row r="14268" spans="1:20" customFormat="1" ht="15" x14ac:dyDescent="0.25">
      <c r="A14268" t="s">
        <v>35</v>
      </c>
      <c r="B14268" t="s">
        <v>61</v>
      </c>
      <c r="C14268" t="str">
        <f>"A0126046"</f>
        <v>A0126046</v>
      </c>
      <c r="D14268" t="s">
        <v>50150</v>
      </c>
      <c r="E14268" t="s">
        <v>50151</v>
      </c>
      <c r="F14268" t="s">
        <v>4674</v>
      </c>
      <c r="G14268" t="s">
        <v>314</v>
      </c>
      <c r="H14268">
        <v>20010</v>
      </c>
      <c r="I14268" t="s">
        <v>30</v>
      </c>
      <c r="J14268" t="s">
        <v>41</v>
      </c>
      <c r="K14268" t="s">
        <v>229</v>
      </c>
      <c r="Q14268">
        <v>0</v>
      </c>
      <c r="R14268">
        <v>164</v>
      </c>
      <c r="S14268">
        <v>164</v>
      </c>
      <c r="T14268" t="s">
        <v>50152</v>
      </c>
    </row>
    <row r="14269" spans="1:20" customFormat="1" ht="15" x14ac:dyDescent="0.25">
      <c r="A14269" t="s">
        <v>35</v>
      </c>
      <c r="B14269" t="s">
        <v>61</v>
      </c>
      <c r="C14269" t="str">
        <f>"A0126047"</f>
        <v>A0126047</v>
      </c>
      <c r="D14269" t="s">
        <v>50153</v>
      </c>
      <c r="E14269" t="s">
        <v>50154</v>
      </c>
      <c r="F14269" t="s">
        <v>4674</v>
      </c>
      <c r="G14269" t="s">
        <v>314</v>
      </c>
      <c r="H14269">
        <v>20018</v>
      </c>
      <c r="I14269" t="s">
        <v>30</v>
      </c>
      <c r="J14269" t="s">
        <v>41</v>
      </c>
      <c r="K14269" t="s">
        <v>229</v>
      </c>
      <c r="Q14269">
        <v>0</v>
      </c>
      <c r="R14269">
        <v>259</v>
      </c>
      <c r="S14269">
        <v>259</v>
      </c>
      <c r="T14269" t="s">
        <v>50155</v>
      </c>
    </row>
    <row r="14270" spans="1:20" customFormat="1" ht="15" x14ac:dyDescent="0.25">
      <c r="A14270" t="s">
        <v>35</v>
      </c>
      <c r="B14270" t="s">
        <v>61</v>
      </c>
      <c r="C14270" t="str">
        <f>"A0132498"</f>
        <v>A0132498</v>
      </c>
      <c r="D14270" t="s">
        <v>50156</v>
      </c>
      <c r="E14270" t="s">
        <v>50157</v>
      </c>
      <c r="F14270" t="s">
        <v>2770</v>
      </c>
      <c r="G14270" t="s">
        <v>65</v>
      </c>
      <c r="H14270">
        <v>44709</v>
      </c>
      <c r="I14270" t="s">
        <v>30</v>
      </c>
      <c r="J14270" t="s">
        <v>41</v>
      </c>
      <c r="K14270" t="s">
        <v>229</v>
      </c>
      <c r="Q14270">
        <v>0</v>
      </c>
      <c r="R14270">
        <v>225</v>
      </c>
      <c r="S14270">
        <v>225</v>
      </c>
      <c r="T14270" t="s">
        <v>50158</v>
      </c>
    </row>
    <row r="14271" spans="1:20" customFormat="1" ht="15" hidden="1" x14ac:dyDescent="0.25">
      <c r="A14271" t="s">
        <v>35</v>
      </c>
      <c r="B14271" t="s">
        <v>61</v>
      </c>
      <c r="C14271" t="str">
        <f>"A0122856"</f>
        <v>A0122856</v>
      </c>
      <c r="D14271" t="s">
        <v>50159</v>
      </c>
      <c r="E14271" t="s">
        <v>50160</v>
      </c>
      <c r="F14271" t="s">
        <v>50161</v>
      </c>
      <c r="G14271" t="s">
        <v>38009</v>
      </c>
      <c r="H14271" t="s">
        <v>50162</v>
      </c>
      <c r="I14271" t="s">
        <v>14394</v>
      </c>
      <c r="J14271" t="s">
        <v>41</v>
      </c>
      <c r="K14271" t="s">
        <v>59</v>
      </c>
      <c r="Q14271">
        <v>0</v>
      </c>
      <c r="R14271">
        <v>116</v>
      </c>
      <c r="S14271">
        <v>116</v>
      </c>
      <c r="T14271" t="s">
        <v>38011</v>
      </c>
    </row>
    <row r="14272" spans="1:20" customFormat="1" ht="15" x14ac:dyDescent="0.25">
      <c r="A14272" t="s">
        <v>35</v>
      </c>
      <c r="B14272" t="s">
        <v>61</v>
      </c>
      <c r="C14272" t="str">
        <f>"A0131064"</f>
        <v>A0131064</v>
      </c>
      <c r="D14272" t="s">
        <v>50163</v>
      </c>
      <c r="E14272" t="s">
        <v>50164</v>
      </c>
      <c r="F14272" t="s">
        <v>50165</v>
      </c>
      <c r="G14272" t="s">
        <v>85</v>
      </c>
      <c r="H14272">
        <v>721130000</v>
      </c>
      <c r="I14272" t="s">
        <v>30</v>
      </c>
      <c r="J14272" t="s">
        <v>41</v>
      </c>
      <c r="K14272" t="s">
        <v>59</v>
      </c>
      <c r="Q14272">
        <v>0</v>
      </c>
      <c r="R14272">
        <v>80</v>
      </c>
      <c r="S14272">
        <v>80</v>
      </c>
      <c r="T14272" t="s">
        <v>50166</v>
      </c>
    </row>
    <row r="14273" spans="1:20" customFormat="1" ht="15" x14ac:dyDescent="0.25">
      <c r="A14273" t="s">
        <v>35</v>
      </c>
      <c r="B14273" t="s">
        <v>61</v>
      </c>
      <c r="C14273" t="str">
        <f>"A0129913"</f>
        <v>A0129913</v>
      </c>
      <c r="D14273" t="s">
        <v>50167</v>
      </c>
      <c r="E14273" t="s">
        <v>50168</v>
      </c>
      <c r="F14273" t="s">
        <v>4054</v>
      </c>
      <c r="G14273" t="s">
        <v>880</v>
      </c>
      <c r="H14273">
        <v>371290000</v>
      </c>
      <c r="I14273" t="s">
        <v>30</v>
      </c>
      <c r="J14273" t="s">
        <v>41</v>
      </c>
      <c r="K14273" t="s">
        <v>59</v>
      </c>
      <c r="Q14273">
        <v>0</v>
      </c>
      <c r="R14273">
        <v>68</v>
      </c>
      <c r="S14273">
        <v>68</v>
      </c>
      <c r="T14273" t="s">
        <v>50169</v>
      </c>
    </row>
    <row r="14274" spans="1:20" customFormat="1" ht="15" x14ac:dyDescent="0.25">
      <c r="A14274" t="s">
        <v>35</v>
      </c>
      <c r="B14274" t="s">
        <v>61</v>
      </c>
      <c r="C14274" t="str">
        <f>"A0133289"</f>
        <v>A0133289</v>
      </c>
      <c r="D14274" t="s">
        <v>50170</v>
      </c>
      <c r="E14274" t="s">
        <v>50171</v>
      </c>
      <c r="F14274" t="s">
        <v>41816</v>
      </c>
      <c r="G14274" t="s">
        <v>52</v>
      </c>
      <c r="H14274">
        <v>795020000</v>
      </c>
      <c r="I14274" t="s">
        <v>30</v>
      </c>
      <c r="J14274" t="s">
        <v>41</v>
      </c>
      <c r="K14274" t="s">
        <v>229</v>
      </c>
      <c r="Q14274">
        <v>0</v>
      </c>
      <c r="R14274">
        <v>60</v>
      </c>
      <c r="S14274">
        <v>60</v>
      </c>
      <c r="T14274" t="s">
        <v>50172</v>
      </c>
    </row>
    <row r="14275" spans="1:20" customFormat="1" ht="15" x14ac:dyDescent="0.25">
      <c r="A14275" t="s">
        <v>35</v>
      </c>
      <c r="B14275" t="s">
        <v>61</v>
      </c>
      <c r="C14275" t="str">
        <f>"A0128675"</f>
        <v>A0128675</v>
      </c>
      <c r="D14275" t="s">
        <v>50173</v>
      </c>
      <c r="E14275" t="s">
        <v>50174</v>
      </c>
      <c r="F14275" t="s">
        <v>49031</v>
      </c>
      <c r="G14275" t="s">
        <v>1170</v>
      </c>
      <c r="H14275">
        <v>71291</v>
      </c>
      <c r="I14275" t="s">
        <v>30</v>
      </c>
      <c r="J14275" t="s">
        <v>41</v>
      </c>
      <c r="K14275" t="s">
        <v>59</v>
      </c>
      <c r="Q14275">
        <v>0</v>
      </c>
      <c r="R14275">
        <v>20</v>
      </c>
      <c r="S14275">
        <v>20</v>
      </c>
      <c r="T14275" t="s">
        <v>50175</v>
      </c>
    </row>
    <row r="14276" spans="1:20" customFormat="1" ht="15" x14ac:dyDescent="0.25">
      <c r="A14276" t="s">
        <v>35</v>
      </c>
      <c r="B14276" t="s">
        <v>61</v>
      </c>
      <c r="C14276" t="str">
        <f>"A0130221"</f>
        <v>A0130221</v>
      </c>
      <c r="D14276" t="s">
        <v>50176</v>
      </c>
      <c r="E14276" t="s">
        <v>50177</v>
      </c>
      <c r="F14276" t="s">
        <v>50178</v>
      </c>
      <c r="G14276" t="s">
        <v>1898</v>
      </c>
      <c r="H14276">
        <v>521750000</v>
      </c>
      <c r="I14276" t="s">
        <v>30</v>
      </c>
      <c r="J14276" t="s">
        <v>41</v>
      </c>
      <c r="K14276" t="s">
        <v>59</v>
      </c>
      <c r="Q14276">
        <v>0</v>
      </c>
      <c r="R14276">
        <v>25</v>
      </c>
      <c r="S14276">
        <v>25</v>
      </c>
      <c r="T14276" t="s">
        <v>50179</v>
      </c>
    </row>
    <row r="14277" spans="1:20" customFormat="1" ht="15" x14ac:dyDescent="0.25">
      <c r="A14277" t="s">
        <v>35</v>
      </c>
      <c r="B14277" t="s">
        <v>61</v>
      </c>
      <c r="C14277" t="str">
        <f>"A0131978"</f>
        <v>A0131978</v>
      </c>
      <c r="D14277" t="s">
        <v>50180</v>
      </c>
      <c r="E14277" t="s">
        <v>50181</v>
      </c>
      <c r="F14277" t="s">
        <v>4761</v>
      </c>
      <c r="G14277" t="s">
        <v>65</v>
      </c>
      <c r="H14277">
        <v>44224</v>
      </c>
      <c r="I14277" t="s">
        <v>30</v>
      </c>
      <c r="J14277" t="s">
        <v>41</v>
      </c>
      <c r="K14277" t="s">
        <v>229</v>
      </c>
      <c r="Q14277">
        <v>0</v>
      </c>
      <c r="R14277">
        <v>250</v>
      </c>
      <c r="S14277">
        <v>250</v>
      </c>
      <c r="T14277" t="s">
        <v>50182</v>
      </c>
    </row>
    <row r="14278" spans="1:20" customFormat="1" ht="15" x14ac:dyDescent="0.25">
      <c r="A14278" t="s">
        <v>35</v>
      </c>
      <c r="B14278" t="s">
        <v>61</v>
      </c>
      <c r="C14278" t="str">
        <f>"A0133001"</f>
        <v>A0133001</v>
      </c>
      <c r="D14278" t="s">
        <v>50183</v>
      </c>
      <c r="E14278" t="s">
        <v>50184</v>
      </c>
      <c r="F14278" t="s">
        <v>5257</v>
      </c>
      <c r="G14278" t="s">
        <v>52</v>
      </c>
      <c r="H14278">
        <v>77036</v>
      </c>
      <c r="I14278" t="s">
        <v>30</v>
      </c>
      <c r="J14278" t="s">
        <v>41</v>
      </c>
      <c r="K14278" t="s">
        <v>42</v>
      </c>
      <c r="Q14278">
        <v>0</v>
      </c>
      <c r="R14278">
        <v>0</v>
      </c>
      <c r="S14278">
        <v>0</v>
      </c>
      <c r="T14278" t="s">
        <v>50185</v>
      </c>
    </row>
    <row r="14279" spans="1:20" customFormat="1" ht="15" x14ac:dyDescent="0.25">
      <c r="A14279" t="s">
        <v>35</v>
      </c>
      <c r="B14279" t="s">
        <v>61</v>
      </c>
      <c r="C14279" t="str">
        <f>"A0123975"</f>
        <v>A0123975</v>
      </c>
      <c r="D14279" t="s">
        <v>50186</v>
      </c>
      <c r="E14279" t="s">
        <v>50187</v>
      </c>
      <c r="F14279" t="s">
        <v>16914</v>
      </c>
      <c r="G14279" t="s">
        <v>381</v>
      </c>
      <c r="H14279">
        <v>46032</v>
      </c>
      <c r="I14279" t="s">
        <v>30</v>
      </c>
      <c r="J14279" t="s">
        <v>41</v>
      </c>
      <c r="K14279" t="s">
        <v>11521</v>
      </c>
      <c r="Q14279">
        <v>0</v>
      </c>
      <c r="R14279">
        <v>0</v>
      </c>
      <c r="S14279">
        <v>0</v>
      </c>
      <c r="T14279" t="s">
        <v>50188</v>
      </c>
    </row>
    <row r="14280" spans="1:20" customFormat="1" ht="15" x14ac:dyDescent="0.25">
      <c r="A14280" t="s">
        <v>35</v>
      </c>
      <c r="B14280" t="s">
        <v>61</v>
      </c>
      <c r="C14280" t="str">
        <f>"A0122563"</f>
        <v>A0122563</v>
      </c>
      <c r="D14280" t="s">
        <v>50189</v>
      </c>
      <c r="E14280" t="s">
        <v>50190</v>
      </c>
      <c r="F14280" t="s">
        <v>50191</v>
      </c>
      <c r="G14280" t="s">
        <v>433</v>
      </c>
      <c r="H14280">
        <v>83686</v>
      </c>
      <c r="I14280" t="s">
        <v>30</v>
      </c>
      <c r="J14280" t="s">
        <v>41</v>
      </c>
      <c r="K14280" t="s">
        <v>59</v>
      </c>
      <c r="Q14280">
        <v>0</v>
      </c>
      <c r="R14280">
        <v>75</v>
      </c>
      <c r="S14280">
        <v>75</v>
      </c>
      <c r="T14280" t="s">
        <v>50192</v>
      </c>
    </row>
    <row r="14281" spans="1:20" customFormat="1" ht="15" x14ac:dyDescent="0.25">
      <c r="A14281" t="s">
        <v>35</v>
      </c>
      <c r="B14281" t="s">
        <v>61</v>
      </c>
      <c r="C14281" t="str">
        <f>"A0125271"</f>
        <v>A0125271</v>
      </c>
      <c r="D14281" t="s">
        <v>50193</v>
      </c>
      <c r="E14281" t="s">
        <v>50194</v>
      </c>
      <c r="F14281" t="s">
        <v>47916</v>
      </c>
      <c r="G14281" t="s">
        <v>40</v>
      </c>
      <c r="H14281">
        <v>74079</v>
      </c>
      <c r="I14281" t="s">
        <v>30</v>
      </c>
      <c r="J14281" t="s">
        <v>41</v>
      </c>
      <c r="K14281" t="s">
        <v>229</v>
      </c>
      <c r="Q14281">
        <v>0</v>
      </c>
      <c r="R14281">
        <v>58</v>
      </c>
      <c r="S14281">
        <v>58</v>
      </c>
      <c r="T14281" t="s">
        <v>50195</v>
      </c>
    </row>
    <row r="14282" spans="1:20" customFormat="1" ht="15" x14ac:dyDescent="0.25">
      <c r="A14282" t="s">
        <v>35</v>
      </c>
      <c r="B14282" t="s">
        <v>61</v>
      </c>
      <c r="C14282" t="str">
        <f>"A0125157"</f>
        <v>A0125157</v>
      </c>
      <c r="D14282" t="s">
        <v>50196</v>
      </c>
      <c r="E14282" t="s">
        <v>50197</v>
      </c>
      <c r="F14282" t="s">
        <v>47916</v>
      </c>
      <c r="G14282" t="s">
        <v>40</v>
      </c>
      <c r="H14282">
        <v>74079</v>
      </c>
      <c r="I14282" t="s">
        <v>30</v>
      </c>
      <c r="J14282" t="s">
        <v>41</v>
      </c>
      <c r="K14282" t="s">
        <v>3713</v>
      </c>
      <c r="Q14282">
        <v>0</v>
      </c>
      <c r="R14282">
        <v>30</v>
      </c>
      <c r="S14282">
        <v>30</v>
      </c>
      <c r="T14282" t="s">
        <v>50198</v>
      </c>
    </row>
    <row r="14283" spans="1:20" customFormat="1" ht="15" x14ac:dyDescent="0.25">
      <c r="A14283" t="s">
        <v>35</v>
      </c>
      <c r="B14283" t="s">
        <v>61</v>
      </c>
      <c r="C14283" t="str">
        <f>"A0123976"</f>
        <v>A0123976</v>
      </c>
      <c r="D14283" t="s">
        <v>50199</v>
      </c>
      <c r="E14283" t="s">
        <v>50200</v>
      </c>
      <c r="F14283" t="s">
        <v>50201</v>
      </c>
      <c r="G14283" t="s">
        <v>29</v>
      </c>
      <c r="H14283">
        <v>24477</v>
      </c>
      <c r="I14283" t="s">
        <v>30</v>
      </c>
      <c r="J14283" t="s">
        <v>41</v>
      </c>
      <c r="K14283" t="s">
        <v>59</v>
      </c>
      <c r="Q14283">
        <v>0</v>
      </c>
      <c r="R14283">
        <v>80</v>
      </c>
      <c r="S14283">
        <v>80</v>
      </c>
      <c r="T14283" t="s">
        <v>50202</v>
      </c>
    </row>
    <row r="14284" spans="1:20" customFormat="1" ht="15" x14ac:dyDescent="0.25">
      <c r="A14284" t="s">
        <v>35</v>
      </c>
      <c r="B14284" t="s">
        <v>437</v>
      </c>
      <c r="C14284" t="str">
        <f>"A0133928"</f>
        <v>A0133928</v>
      </c>
      <c r="D14284" t="s">
        <v>50203</v>
      </c>
      <c r="E14284" t="s">
        <v>50204</v>
      </c>
      <c r="F14284" t="s">
        <v>14693</v>
      </c>
      <c r="G14284" t="s">
        <v>110</v>
      </c>
      <c r="H14284">
        <v>92832</v>
      </c>
      <c r="I14284" t="s">
        <v>30</v>
      </c>
      <c r="J14284" t="s">
        <v>441</v>
      </c>
      <c r="K14284" t="s">
        <v>442</v>
      </c>
      <c r="Q14284">
        <v>0</v>
      </c>
      <c r="R14284">
        <v>0</v>
      </c>
      <c r="S14284">
        <v>0</v>
      </c>
      <c r="T14284" t="s">
        <v>50205</v>
      </c>
    </row>
    <row r="14285" spans="1:20" customFormat="1" ht="15" x14ac:dyDescent="0.25">
      <c r="A14285" t="s">
        <v>35</v>
      </c>
      <c r="B14285" t="s">
        <v>437</v>
      </c>
      <c r="C14285" t="str">
        <f>"A0134048"</f>
        <v>A0134048</v>
      </c>
      <c r="D14285" t="s">
        <v>50206</v>
      </c>
      <c r="E14285" t="s">
        <v>50207</v>
      </c>
      <c r="F14285" t="s">
        <v>33716</v>
      </c>
      <c r="G14285" t="s">
        <v>110</v>
      </c>
      <c r="H14285">
        <v>92629</v>
      </c>
      <c r="I14285" t="s">
        <v>30</v>
      </c>
      <c r="J14285" t="s">
        <v>441</v>
      </c>
      <c r="K14285" t="s">
        <v>442</v>
      </c>
      <c r="Q14285">
        <v>0</v>
      </c>
      <c r="R14285">
        <v>0</v>
      </c>
      <c r="S14285">
        <v>0</v>
      </c>
      <c r="T14285" t="s">
        <v>50208</v>
      </c>
    </row>
    <row r="14286" spans="1:20" customFormat="1" ht="15" x14ac:dyDescent="0.25">
      <c r="A14286" t="s">
        <v>35</v>
      </c>
      <c r="B14286" t="s">
        <v>61</v>
      </c>
      <c r="C14286" t="str">
        <f>"A0130952"</f>
        <v>A0130952</v>
      </c>
      <c r="D14286" t="s">
        <v>50209</v>
      </c>
      <c r="E14286" t="s">
        <v>50210</v>
      </c>
      <c r="F14286" t="s">
        <v>36804</v>
      </c>
      <c r="G14286" t="s">
        <v>85</v>
      </c>
      <c r="H14286">
        <v>721600000</v>
      </c>
      <c r="I14286" t="s">
        <v>30</v>
      </c>
      <c r="J14286" t="s">
        <v>41</v>
      </c>
      <c r="K14286" t="s">
        <v>2760</v>
      </c>
      <c r="Q14286">
        <v>0</v>
      </c>
      <c r="R14286">
        <v>1</v>
      </c>
      <c r="S14286">
        <v>1</v>
      </c>
      <c r="T14286" t="s">
        <v>50211</v>
      </c>
    </row>
    <row r="14287" spans="1:20" customFormat="1" ht="15" x14ac:dyDescent="0.25">
      <c r="A14287" t="s">
        <v>35</v>
      </c>
      <c r="B14287" t="s">
        <v>61</v>
      </c>
      <c r="C14287" t="str">
        <f>"A0118101"</f>
        <v>A0118101</v>
      </c>
      <c r="D14287" t="s">
        <v>50212</v>
      </c>
      <c r="E14287" t="s">
        <v>50213</v>
      </c>
      <c r="F14287" t="s">
        <v>50214</v>
      </c>
      <c r="G14287" t="s">
        <v>1508</v>
      </c>
      <c r="H14287">
        <v>82941</v>
      </c>
      <c r="I14287" t="s">
        <v>30</v>
      </c>
      <c r="J14287" t="s">
        <v>41</v>
      </c>
      <c r="K14287" t="s">
        <v>1440</v>
      </c>
      <c r="Q14287">
        <v>0</v>
      </c>
      <c r="R14287">
        <v>70</v>
      </c>
      <c r="S14287">
        <v>70</v>
      </c>
      <c r="T14287" t="s">
        <v>50215</v>
      </c>
    </row>
    <row r="14288" spans="1:20" customFormat="1" ht="15" x14ac:dyDescent="0.25">
      <c r="A14288" t="s">
        <v>35</v>
      </c>
      <c r="B14288" t="s">
        <v>61</v>
      </c>
      <c r="C14288" t="str">
        <f>"A0127456"</f>
        <v>A0127456</v>
      </c>
      <c r="D14288" t="s">
        <v>50216</v>
      </c>
      <c r="E14288" t="s">
        <v>50217</v>
      </c>
      <c r="F14288" t="s">
        <v>50218</v>
      </c>
      <c r="G14288" t="s">
        <v>899</v>
      </c>
      <c r="H14288">
        <v>1776</v>
      </c>
      <c r="I14288" t="s">
        <v>30</v>
      </c>
      <c r="J14288" t="s">
        <v>41</v>
      </c>
      <c r="K14288" t="s">
        <v>229</v>
      </c>
      <c r="Q14288">
        <v>0</v>
      </c>
      <c r="R14288">
        <v>92</v>
      </c>
      <c r="S14288">
        <v>92</v>
      </c>
      <c r="T14288" t="s">
        <v>50219</v>
      </c>
    </row>
    <row r="14289" spans="1:20" customFormat="1" ht="15" x14ac:dyDescent="0.25">
      <c r="A14289" t="s">
        <v>35</v>
      </c>
      <c r="B14289" t="s">
        <v>61</v>
      </c>
      <c r="C14289" t="str">
        <f>"A0125468"</f>
        <v>A0125468</v>
      </c>
      <c r="D14289" t="s">
        <v>50220</v>
      </c>
      <c r="E14289" t="s">
        <v>50221</v>
      </c>
      <c r="F14289" t="s">
        <v>50222</v>
      </c>
      <c r="G14289" t="s">
        <v>40</v>
      </c>
      <c r="H14289">
        <v>74471</v>
      </c>
      <c r="I14289" t="s">
        <v>30</v>
      </c>
      <c r="J14289" t="s">
        <v>41</v>
      </c>
      <c r="K14289" t="s">
        <v>59</v>
      </c>
      <c r="Q14289">
        <v>0</v>
      </c>
      <c r="R14289">
        <v>54</v>
      </c>
      <c r="S14289">
        <v>54</v>
      </c>
      <c r="T14289" t="s">
        <v>50223</v>
      </c>
    </row>
    <row r="14290" spans="1:20" customFormat="1" ht="15" x14ac:dyDescent="0.25">
      <c r="A14290" t="s">
        <v>35</v>
      </c>
      <c r="B14290" t="s">
        <v>61</v>
      </c>
      <c r="C14290" t="str">
        <f>"A0124382"</f>
        <v>A0124382</v>
      </c>
      <c r="D14290" t="s">
        <v>50224</v>
      </c>
      <c r="E14290" t="s">
        <v>50225</v>
      </c>
      <c r="F14290" t="s">
        <v>50226</v>
      </c>
      <c r="G14290" t="s">
        <v>338</v>
      </c>
      <c r="H14290">
        <v>8857</v>
      </c>
      <c r="I14290" t="s">
        <v>30</v>
      </c>
      <c r="J14290" t="s">
        <v>41</v>
      </c>
      <c r="K14290" t="s">
        <v>229</v>
      </c>
      <c r="Q14290">
        <v>0</v>
      </c>
      <c r="R14290">
        <v>120</v>
      </c>
      <c r="S14290">
        <v>120</v>
      </c>
      <c r="T14290" t="s">
        <v>50227</v>
      </c>
    </row>
    <row r="14291" spans="1:20" customFormat="1" ht="15" x14ac:dyDescent="0.25">
      <c r="A14291" t="s">
        <v>35</v>
      </c>
      <c r="B14291" t="s">
        <v>61</v>
      </c>
      <c r="C14291" t="str">
        <f>"A0133170"</f>
        <v>A0133170</v>
      </c>
      <c r="D14291" t="s">
        <v>50228</v>
      </c>
      <c r="E14291" t="s">
        <v>50229</v>
      </c>
      <c r="F14291" t="s">
        <v>19029</v>
      </c>
      <c r="G14291" t="s">
        <v>52</v>
      </c>
      <c r="H14291">
        <v>75605</v>
      </c>
      <c r="I14291" t="s">
        <v>30</v>
      </c>
      <c r="J14291" t="s">
        <v>41</v>
      </c>
      <c r="K14291" t="s">
        <v>229</v>
      </c>
      <c r="Q14291">
        <v>0</v>
      </c>
      <c r="R14291">
        <v>90</v>
      </c>
      <c r="S14291">
        <v>90</v>
      </c>
      <c r="T14291" t="s">
        <v>50230</v>
      </c>
    </row>
    <row r="14292" spans="1:20" customFormat="1" ht="15" x14ac:dyDescent="0.25">
      <c r="A14292" t="s">
        <v>35</v>
      </c>
      <c r="B14292" t="s">
        <v>61</v>
      </c>
      <c r="C14292" t="str">
        <f>"A0118221"</f>
        <v>A0118221</v>
      </c>
      <c r="D14292" t="s">
        <v>50231</v>
      </c>
      <c r="E14292" t="s">
        <v>50232</v>
      </c>
      <c r="F14292" t="s">
        <v>38643</v>
      </c>
      <c r="G14292" t="s">
        <v>153</v>
      </c>
      <c r="H14292">
        <v>84057</v>
      </c>
      <c r="I14292" t="s">
        <v>30</v>
      </c>
      <c r="J14292" t="s">
        <v>41</v>
      </c>
      <c r="K14292" t="s">
        <v>59</v>
      </c>
      <c r="Q14292">
        <v>0</v>
      </c>
      <c r="R14292">
        <v>76</v>
      </c>
      <c r="S14292">
        <v>76</v>
      </c>
      <c r="T14292" t="s">
        <v>50233</v>
      </c>
    </row>
    <row r="14293" spans="1:20" customFormat="1" ht="15" x14ac:dyDescent="0.25">
      <c r="A14293" t="s">
        <v>35</v>
      </c>
      <c r="B14293" t="s">
        <v>61</v>
      </c>
      <c r="C14293" t="str">
        <f>"A0121400"</f>
        <v>A0121400</v>
      </c>
      <c r="D14293" t="s">
        <v>50234</v>
      </c>
      <c r="E14293" t="s">
        <v>50235</v>
      </c>
      <c r="F14293" t="s">
        <v>38841</v>
      </c>
      <c r="G14293" t="s">
        <v>110</v>
      </c>
      <c r="H14293">
        <v>95630</v>
      </c>
      <c r="I14293" t="s">
        <v>30</v>
      </c>
      <c r="J14293" t="s">
        <v>41</v>
      </c>
      <c r="K14293" t="s">
        <v>59</v>
      </c>
      <c r="Q14293">
        <v>0</v>
      </c>
      <c r="R14293">
        <v>150</v>
      </c>
      <c r="S14293">
        <v>150</v>
      </c>
      <c r="T14293" t="s">
        <v>50236</v>
      </c>
    </row>
    <row r="14294" spans="1:20" customFormat="1" ht="15" x14ac:dyDescent="0.25">
      <c r="A14294" t="s">
        <v>35</v>
      </c>
      <c r="B14294" t="s">
        <v>61</v>
      </c>
      <c r="C14294" t="str">
        <f>"A0121952"</f>
        <v>A0121952</v>
      </c>
      <c r="D14294" t="s">
        <v>50237</v>
      </c>
      <c r="E14294" t="s">
        <v>50238</v>
      </c>
      <c r="F14294" t="s">
        <v>5292</v>
      </c>
      <c r="G14294" t="s">
        <v>110</v>
      </c>
      <c r="H14294">
        <v>95648</v>
      </c>
      <c r="I14294" t="s">
        <v>30</v>
      </c>
      <c r="J14294" t="s">
        <v>41</v>
      </c>
      <c r="K14294" t="s">
        <v>59</v>
      </c>
      <c r="Q14294">
        <v>0</v>
      </c>
      <c r="R14294">
        <v>0</v>
      </c>
      <c r="S14294">
        <v>0</v>
      </c>
      <c r="T14294" t="s">
        <v>50239</v>
      </c>
    </row>
    <row r="14295" spans="1:20" customFormat="1" ht="15" x14ac:dyDescent="0.25">
      <c r="A14295" t="s">
        <v>35</v>
      </c>
      <c r="B14295" t="s">
        <v>61</v>
      </c>
      <c r="C14295" t="str">
        <f>"A0124383"</f>
        <v>A0124383</v>
      </c>
      <c r="D14295" t="s">
        <v>50240</v>
      </c>
      <c r="E14295" t="s">
        <v>50241</v>
      </c>
      <c r="F14295" t="s">
        <v>18295</v>
      </c>
      <c r="G14295" t="s">
        <v>123</v>
      </c>
      <c r="H14295">
        <v>21157</v>
      </c>
      <c r="I14295" t="s">
        <v>30</v>
      </c>
      <c r="J14295" t="s">
        <v>41</v>
      </c>
      <c r="K14295" t="s">
        <v>482</v>
      </c>
      <c r="Q14295">
        <v>0</v>
      </c>
      <c r="R14295">
        <v>54</v>
      </c>
      <c r="S14295">
        <v>54</v>
      </c>
      <c r="T14295" t="s">
        <v>50242</v>
      </c>
    </row>
    <row r="14296" spans="1:20" customFormat="1" ht="15" x14ac:dyDescent="0.25">
      <c r="A14296" t="s">
        <v>35</v>
      </c>
      <c r="B14296" t="s">
        <v>61</v>
      </c>
      <c r="C14296" t="str">
        <f>"A0123979"</f>
        <v>A0123979</v>
      </c>
      <c r="D14296" t="s">
        <v>50243</v>
      </c>
      <c r="E14296" t="s">
        <v>50244</v>
      </c>
      <c r="F14296" t="s">
        <v>6768</v>
      </c>
      <c r="G14296" t="s">
        <v>29</v>
      </c>
      <c r="H14296">
        <v>23402</v>
      </c>
      <c r="I14296" t="s">
        <v>30</v>
      </c>
      <c r="J14296" t="s">
        <v>41</v>
      </c>
      <c r="K14296" t="s">
        <v>482</v>
      </c>
      <c r="Q14296">
        <v>0</v>
      </c>
      <c r="R14296">
        <v>65</v>
      </c>
      <c r="S14296">
        <v>65</v>
      </c>
      <c r="T14296" t="s">
        <v>50245</v>
      </c>
    </row>
    <row r="14297" spans="1:20" customFormat="1" ht="15" x14ac:dyDescent="0.25">
      <c r="A14297" t="s">
        <v>35</v>
      </c>
      <c r="B14297" t="s">
        <v>106</v>
      </c>
      <c r="C14297" t="str">
        <f>"A0136585"</f>
        <v>A0136585</v>
      </c>
      <c r="D14297" t="s">
        <v>50246</v>
      </c>
      <c r="E14297" t="s">
        <v>50247</v>
      </c>
      <c r="F14297" t="s">
        <v>37800</v>
      </c>
      <c r="G14297" t="s">
        <v>52</v>
      </c>
      <c r="H14297">
        <v>78613</v>
      </c>
      <c r="I14297" t="s">
        <v>30</v>
      </c>
      <c r="J14297" t="s">
        <v>111</v>
      </c>
      <c r="K14297" t="s">
        <v>112</v>
      </c>
      <c r="Q14297">
        <v>0</v>
      </c>
      <c r="R14297">
        <v>0</v>
      </c>
      <c r="S14297">
        <v>0</v>
      </c>
      <c r="T14297" t="s">
        <v>50248</v>
      </c>
    </row>
    <row r="14298" spans="1:20" customFormat="1" ht="15" x14ac:dyDescent="0.25">
      <c r="A14298" t="s">
        <v>35</v>
      </c>
      <c r="B14298" t="s">
        <v>61</v>
      </c>
      <c r="C14298" t="str">
        <f>"A0123980"</f>
        <v>A0123980</v>
      </c>
      <c r="D14298" t="s">
        <v>50249</v>
      </c>
      <c r="E14298" t="s">
        <v>50250</v>
      </c>
      <c r="F14298" t="s">
        <v>6768</v>
      </c>
      <c r="G14298" t="s">
        <v>29</v>
      </c>
      <c r="H14298">
        <v>24502</v>
      </c>
      <c r="I14298" t="s">
        <v>30</v>
      </c>
      <c r="J14298" t="s">
        <v>41</v>
      </c>
      <c r="K14298" t="s">
        <v>482</v>
      </c>
      <c r="Q14298">
        <v>0</v>
      </c>
      <c r="R14298">
        <v>66</v>
      </c>
      <c r="S14298">
        <v>66</v>
      </c>
      <c r="T14298" t="s">
        <v>50251</v>
      </c>
    </row>
    <row r="14299" spans="1:20" customFormat="1" ht="15" x14ac:dyDescent="0.25">
      <c r="A14299" t="s">
        <v>35</v>
      </c>
      <c r="B14299" t="s">
        <v>61</v>
      </c>
      <c r="C14299" t="str">
        <f>"A0123981"</f>
        <v>A0123981</v>
      </c>
      <c r="D14299" t="s">
        <v>50252</v>
      </c>
      <c r="E14299" t="s">
        <v>50253</v>
      </c>
      <c r="F14299" t="s">
        <v>3189</v>
      </c>
      <c r="G14299" t="s">
        <v>58</v>
      </c>
      <c r="H14299">
        <v>29307</v>
      </c>
      <c r="I14299" t="s">
        <v>30</v>
      </c>
      <c r="J14299" t="s">
        <v>41</v>
      </c>
      <c r="K14299" t="s">
        <v>11521</v>
      </c>
      <c r="Q14299">
        <v>0</v>
      </c>
      <c r="R14299">
        <v>0</v>
      </c>
      <c r="S14299">
        <v>0</v>
      </c>
      <c r="T14299" t="s">
        <v>50254</v>
      </c>
    </row>
    <row r="14300" spans="1:20" customFormat="1" ht="15" x14ac:dyDescent="0.25">
      <c r="A14300" t="s">
        <v>35</v>
      </c>
      <c r="B14300" t="s">
        <v>61</v>
      </c>
      <c r="C14300" t="str">
        <f>"A0125198"</f>
        <v>A0125198</v>
      </c>
      <c r="D14300" t="s">
        <v>50255</v>
      </c>
      <c r="E14300" t="s">
        <v>50256</v>
      </c>
      <c r="F14300" t="s">
        <v>50257</v>
      </c>
      <c r="G14300" t="s">
        <v>40</v>
      </c>
      <c r="H14300">
        <v>73763</v>
      </c>
      <c r="I14300" t="s">
        <v>30</v>
      </c>
      <c r="J14300" t="s">
        <v>41</v>
      </c>
      <c r="K14300" t="s">
        <v>229</v>
      </c>
      <c r="Q14300">
        <v>0</v>
      </c>
      <c r="R14300">
        <v>67</v>
      </c>
      <c r="S14300">
        <v>67</v>
      </c>
      <c r="T14300" t="s">
        <v>50258</v>
      </c>
    </row>
    <row r="14301" spans="1:20" customFormat="1" ht="15" x14ac:dyDescent="0.25">
      <c r="A14301" t="s">
        <v>35</v>
      </c>
      <c r="B14301" t="s">
        <v>61</v>
      </c>
      <c r="C14301" t="str">
        <f>"A0123595"</f>
        <v>A0123595</v>
      </c>
      <c r="D14301" t="s">
        <v>50259</v>
      </c>
      <c r="E14301" t="s">
        <v>50260</v>
      </c>
      <c r="F14301" t="s">
        <v>20215</v>
      </c>
      <c r="G14301" t="s">
        <v>507</v>
      </c>
      <c r="H14301">
        <v>25901</v>
      </c>
      <c r="I14301" t="s">
        <v>30</v>
      </c>
      <c r="J14301" t="s">
        <v>41</v>
      </c>
      <c r="K14301" t="s">
        <v>59</v>
      </c>
      <c r="Q14301">
        <v>0</v>
      </c>
      <c r="R14301">
        <v>1</v>
      </c>
      <c r="S14301">
        <v>1</v>
      </c>
      <c r="T14301" t="s">
        <v>50261</v>
      </c>
    </row>
    <row r="14302" spans="1:20" customFormat="1" ht="15" x14ac:dyDescent="0.25">
      <c r="A14302" t="s">
        <v>35</v>
      </c>
      <c r="B14302" t="s">
        <v>106</v>
      </c>
      <c r="C14302" t="str">
        <f>"A0136550"</f>
        <v>A0136550</v>
      </c>
      <c r="D14302" t="s">
        <v>50262</v>
      </c>
      <c r="E14302" t="s">
        <v>50263</v>
      </c>
      <c r="F14302" t="s">
        <v>40232</v>
      </c>
      <c r="G14302" t="s">
        <v>1184</v>
      </c>
      <c r="H14302">
        <v>59901</v>
      </c>
      <c r="I14302" t="s">
        <v>30</v>
      </c>
      <c r="J14302" t="s">
        <v>111</v>
      </c>
      <c r="K14302" t="s">
        <v>112</v>
      </c>
      <c r="Q14302">
        <v>0</v>
      </c>
      <c r="R14302">
        <v>0</v>
      </c>
      <c r="S14302">
        <v>0</v>
      </c>
      <c r="T14302" t="s">
        <v>50264</v>
      </c>
    </row>
    <row r="14303" spans="1:20" customFormat="1" ht="15" x14ac:dyDescent="0.25">
      <c r="A14303" t="s">
        <v>35</v>
      </c>
      <c r="B14303" t="s">
        <v>61</v>
      </c>
      <c r="C14303" t="str">
        <f>"A0131060"</f>
        <v>A0131060</v>
      </c>
      <c r="D14303" t="s">
        <v>50265</v>
      </c>
      <c r="E14303" t="s">
        <v>50266</v>
      </c>
      <c r="F14303" t="s">
        <v>50267</v>
      </c>
      <c r="G14303" t="s">
        <v>137</v>
      </c>
      <c r="H14303">
        <v>650430000</v>
      </c>
      <c r="I14303" t="s">
        <v>30</v>
      </c>
      <c r="J14303" t="s">
        <v>41</v>
      </c>
      <c r="K14303" t="s">
        <v>59</v>
      </c>
      <c r="Q14303">
        <v>0</v>
      </c>
      <c r="R14303">
        <v>92</v>
      </c>
      <c r="S14303">
        <v>92</v>
      </c>
      <c r="T14303" t="s">
        <v>50268</v>
      </c>
    </row>
    <row r="14304" spans="1:20" customFormat="1" ht="15" x14ac:dyDescent="0.25">
      <c r="A14304" t="s">
        <v>35</v>
      </c>
      <c r="B14304" t="s">
        <v>61</v>
      </c>
      <c r="C14304" t="str">
        <f>"A0151230"</f>
        <v>A0151230</v>
      </c>
      <c r="D14304" t="s">
        <v>50269</v>
      </c>
      <c r="E14304" t="s">
        <v>50270</v>
      </c>
      <c r="F14304" t="s">
        <v>12115</v>
      </c>
      <c r="G14304" t="s">
        <v>76</v>
      </c>
      <c r="H14304">
        <v>98902</v>
      </c>
      <c r="I14304" t="s">
        <v>30</v>
      </c>
      <c r="J14304" t="s">
        <v>41</v>
      </c>
      <c r="K14304" t="s">
        <v>229</v>
      </c>
      <c r="Q14304">
        <v>0</v>
      </c>
      <c r="R14304">
        <v>78</v>
      </c>
      <c r="S14304">
        <v>78</v>
      </c>
      <c r="T14304" t="s">
        <v>50271</v>
      </c>
    </row>
    <row r="14305" spans="1:20" customFormat="1" ht="15" x14ac:dyDescent="0.25">
      <c r="A14305" t="s">
        <v>35</v>
      </c>
      <c r="B14305" t="s">
        <v>61</v>
      </c>
      <c r="C14305" t="str">
        <f>"A0126165"</f>
        <v>A0126165</v>
      </c>
      <c r="D14305" t="s">
        <v>50272</v>
      </c>
      <c r="E14305" t="s">
        <v>50273</v>
      </c>
      <c r="F14305" t="s">
        <v>8051</v>
      </c>
      <c r="G14305" t="s">
        <v>197</v>
      </c>
      <c r="H14305">
        <v>85373</v>
      </c>
      <c r="I14305" t="s">
        <v>30</v>
      </c>
      <c r="J14305" t="s">
        <v>41</v>
      </c>
      <c r="K14305" t="s">
        <v>229</v>
      </c>
      <c r="Q14305">
        <v>0</v>
      </c>
      <c r="R14305">
        <v>120</v>
      </c>
      <c r="S14305">
        <v>120</v>
      </c>
      <c r="T14305" t="s">
        <v>50274</v>
      </c>
    </row>
    <row r="14306" spans="1:20" customFormat="1" ht="15" x14ac:dyDescent="0.25">
      <c r="A14306" t="s">
        <v>35</v>
      </c>
      <c r="B14306" t="s">
        <v>12660</v>
      </c>
      <c r="C14306" t="str">
        <f>"A0122593"</f>
        <v>A0122593</v>
      </c>
      <c r="D14306" t="s">
        <v>50275</v>
      </c>
      <c r="E14306" t="s">
        <v>50276</v>
      </c>
      <c r="F14306" t="s">
        <v>12115</v>
      </c>
      <c r="G14306" t="s">
        <v>76</v>
      </c>
      <c r="H14306">
        <v>98901</v>
      </c>
      <c r="I14306" t="s">
        <v>30</v>
      </c>
      <c r="J14306" t="s">
        <v>41</v>
      </c>
      <c r="K14306" t="s">
        <v>59</v>
      </c>
      <c r="Q14306">
        <v>0</v>
      </c>
      <c r="R14306">
        <v>142</v>
      </c>
      <c r="S14306">
        <v>142</v>
      </c>
      <c r="T14306" t="s">
        <v>18272</v>
      </c>
    </row>
    <row r="14307" spans="1:20" customFormat="1" ht="15" x14ac:dyDescent="0.25">
      <c r="A14307" t="s">
        <v>35</v>
      </c>
      <c r="B14307" t="s">
        <v>61</v>
      </c>
      <c r="C14307" t="str">
        <f>"A0126201"</f>
        <v>A0126201</v>
      </c>
      <c r="D14307" t="s">
        <v>50277</v>
      </c>
      <c r="E14307" t="s">
        <v>50278</v>
      </c>
      <c r="F14307" t="s">
        <v>50279</v>
      </c>
      <c r="G14307" t="s">
        <v>197</v>
      </c>
      <c r="H14307">
        <v>85040</v>
      </c>
      <c r="I14307" t="s">
        <v>30</v>
      </c>
      <c r="J14307" t="s">
        <v>41</v>
      </c>
      <c r="K14307" t="s">
        <v>229</v>
      </c>
      <c r="Q14307">
        <v>0</v>
      </c>
      <c r="R14307">
        <v>0</v>
      </c>
      <c r="S14307">
        <v>0</v>
      </c>
      <c r="T14307" t="s">
        <v>50280</v>
      </c>
    </row>
    <row r="14308" spans="1:20" customFormat="1" ht="15" x14ac:dyDescent="0.25">
      <c r="A14308" t="s">
        <v>35</v>
      </c>
      <c r="B14308" t="s">
        <v>61</v>
      </c>
      <c r="C14308" t="str">
        <f>"A0123596"</f>
        <v>A0123596</v>
      </c>
      <c r="D14308" t="s">
        <v>50281</v>
      </c>
      <c r="E14308" t="s">
        <v>50282</v>
      </c>
      <c r="F14308" t="s">
        <v>20129</v>
      </c>
      <c r="G14308" t="s">
        <v>507</v>
      </c>
      <c r="H14308">
        <v>26505</v>
      </c>
      <c r="I14308" t="s">
        <v>30</v>
      </c>
      <c r="J14308" t="s">
        <v>41</v>
      </c>
      <c r="K14308" t="s">
        <v>229</v>
      </c>
      <c r="Q14308">
        <v>0</v>
      </c>
      <c r="R14308">
        <v>100</v>
      </c>
      <c r="S14308">
        <v>100</v>
      </c>
      <c r="T14308" t="s">
        <v>50283</v>
      </c>
    </row>
    <row r="14309" spans="1:20" customFormat="1" ht="15" x14ac:dyDescent="0.25">
      <c r="A14309" t="s">
        <v>35</v>
      </c>
      <c r="B14309" t="s">
        <v>61</v>
      </c>
      <c r="C14309" t="str">
        <f>"A0117876"</f>
        <v>A0117876</v>
      </c>
      <c r="D14309" t="s">
        <v>50284</v>
      </c>
      <c r="E14309" t="s">
        <v>50285</v>
      </c>
      <c r="F14309" t="s">
        <v>8028</v>
      </c>
      <c r="G14309" t="s">
        <v>110</v>
      </c>
      <c r="H14309">
        <v>92024</v>
      </c>
      <c r="I14309" t="s">
        <v>30</v>
      </c>
      <c r="J14309" t="s">
        <v>41</v>
      </c>
      <c r="K14309" t="s">
        <v>59</v>
      </c>
      <c r="Q14309">
        <v>0</v>
      </c>
      <c r="R14309">
        <v>49</v>
      </c>
      <c r="S14309">
        <v>49</v>
      </c>
      <c r="T14309" t="s">
        <v>50286</v>
      </c>
    </row>
    <row r="14310" spans="1:20" customFormat="1" ht="15" x14ac:dyDescent="0.25">
      <c r="A14310" t="s">
        <v>35</v>
      </c>
      <c r="B14310" t="s">
        <v>61</v>
      </c>
      <c r="C14310" t="str">
        <f>"A0126413"</f>
        <v>A0126413</v>
      </c>
      <c r="D14310" t="s">
        <v>50287</v>
      </c>
      <c r="E14310" t="s">
        <v>50288</v>
      </c>
      <c r="F14310" t="s">
        <v>23026</v>
      </c>
      <c r="G14310" t="s">
        <v>81</v>
      </c>
      <c r="H14310">
        <v>33431</v>
      </c>
      <c r="I14310" t="s">
        <v>30</v>
      </c>
      <c r="J14310" t="s">
        <v>41</v>
      </c>
      <c r="K14310" t="s">
        <v>461</v>
      </c>
      <c r="Q14310">
        <v>0</v>
      </c>
      <c r="R14310">
        <v>15</v>
      </c>
      <c r="S14310">
        <v>15</v>
      </c>
      <c r="T14310" t="s">
        <v>50289</v>
      </c>
    </row>
    <row r="14311" spans="1:20" customFormat="1" ht="15" x14ac:dyDescent="0.25">
      <c r="A14311" t="s">
        <v>35</v>
      </c>
      <c r="B14311" t="s">
        <v>61</v>
      </c>
      <c r="C14311" t="str">
        <f>"A0126709"</f>
        <v>A0126709</v>
      </c>
      <c r="D14311" t="s">
        <v>50290</v>
      </c>
      <c r="E14311" t="s">
        <v>50291</v>
      </c>
      <c r="F14311" t="s">
        <v>20129</v>
      </c>
      <c r="G14311" t="s">
        <v>103</v>
      </c>
      <c r="H14311">
        <v>19543</v>
      </c>
      <c r="I14311" t="s">
        <v>30</v>
      </c>
      <c r="J14311" t="s">
        <v>41</v>
      </c>
      <c r="K14311" t="s">
        <v>59</v>
      </c>
      <c r="Q14311">
        <v>0</v>
      </c>
      <c r="R14311">
        <v>71</v>
      </c>
      <c r="S14311">
        <v>71</v>
      </c>
      <c r="T14311" t="s">
        <v>50292</v>
      </c>
    </row>
    <row r="14312" spans="1:20" customFormat="1" ht="15" x14ac:dyDescent="0.25">
      <c r="A14312" t="s">
        <v>35</v>
      </c>
      <c r="B14312" t="s">
        <v>61</v>
      </c>
      <c r="C14312" t="str">
        <f>"A0130656"</f>
        <v>A0130656</v>
      </c>
      <c r="D14312" t="s">
        <v>50293</v>
      </c>
      <c r="E14312" t="s">
        <v>50294</v>
      </c>
      <c r="F14312" t="s">
        <v>50295</v>
      </c>
      <c r="G14312" t="s">
        <v>1898</v>
      </c>
      <c r="H14312">
        <v>52339</v>
      </c>
      <c r="I14312" t="s">
        <v>30</v>
      </c>
      <c r="J14312" t="s">
        <v>41</v>
      </c>
      <c r="K14312" t="s">
        <v>229</v>
      </c>
      <c r="Q14312">
        <v>0</v>
      </c>
      <c r="R14312">
        <v>57</v>
      </c>
      <c r="S14312">
        <v>57</v>
      </c>
      <c r="T14312" t="s">
        <v>50296</v>
      </c>
    </row>
    <row r="14313" spans="1:20" customFormat="1" ht="15" x14ac:dyDescent="0.25">
      <c r="A14313" t="s">
        <v>35</v>
      </c>
      <c r="B14313" t="s">
        <v>61</v>
      </c>
      <c r="C14313" t="str">
        <f>"A0129026"</f>
        <v>A0129026</v>
      </c>
      <c r="D14313" t="s">
        <v>50297</v>
      </c>
      <c r="E14313" t="s">
        <v>50298</v>
      </c>
      <c r="F14313" t="s">
        <v>19668</v>
      </c>
      <c r="G14313" t="s">
        <v>289</v>
      </c>
      <c r="H14313">
        <v>60433</v>
      </c>
      <c r="I14313" t="s">
        <v>30</v>
      </c>
      <c r="J14313" t="s">
        <v>41</v>
      </c>
      <c r="K14313" t="s">
        <v>229</v>
      </c>
      <c r="Q14313">
        <v>0</v>
      </c>
      <c r="R14313">
        <v>290</v>
      </c>
      <c r="S14313">
        <v>290</v>
      </c>
      <c r="T14313" t="s">
        <v>50299</v>
      </c>
    </row>
    <row r="14314" spans="1:20" customFormat="1" ht="15" x14ac:dyDescent="0.25">
      <c r="A14314" t="s">
        <v>35</v>
      </c>
      <c r="B14314" t="s">
        <v>61</v>
      </c>
      <c r="C14314" t="str">
        <f>"A0118039"</f>
        <v>A0118039</v>
      </c>
      <c r="D14314" t="s">
        <v>50300</v>
      </c>
      <c r="E14314" t="s">
        <v>50301</v>
      </c>
      <c r="F14314" t="s">
        <v>7362</v>
      </c>
      <c r="G14314" t="s">
        <v>110</v>
      </c>
      <c r="H14314">
        <v>90035</v>
      </c>
      <c r="I14314" t="s">
        <v>30</v>
      </c>
      <c r="J14314" t="s">
        <v>41</v>
      </c>
      <c r="K14314" t="s">
        <v>59</v>
      </c>
      <c r="Q14314">
        <v>0</v>
      </c>
      <c r="R14314">
        <v>75</v>
      </c>
      <c r="S14314">
        <v>75</v>
      </c>
      <c r="T14314" t="s">
        <v>50302</v>
      </c>
    </row>
    <row r="14315" spans="1:20" customFormat="1" ht="15" x14ac:dyDescent="0.25">
      <c r="A14315" t="s">
        <v>35</v>
      </c>
      <c r="B14315" t="s">
        <v>61</v>
      </c>
      <c r="C14315" t="str">
        <f>"A0130327"</f>
        <v>A0130327</v>
      </c>
      <c r="D14315" t="s">
        <v>50303</v>
      </c>
      <c r="E14315" t="s">
        <v>50304</v>
      </c>
      <c r="F14315" t="s">
        <v>22160</v>
      </c>
      <c r="G14315" t="s">
        <v>1898</v>
      </c>
      <c r="H14315">
        <v>50021</v>
      </c>
      <c r="I14315" t="s">
        <v>30</v>
      </c>
      <c r="J14315" t="s">
        <v>41</v>
      </c>
      <c r="K14315" t="s">
        <v>229</v>
      </c>
      <c r="Q14315">
        <v>0</v>
      </c>
      <c r="R14315">
        <v>94</v>
      </c>
      <c r="S14315">
        <v>94</v>
      </c>
      <c r="T14315" t="s">
        <v>50305</v>
      </c>
    </row>
    <row r="14316" spans="1:20" customFormat="1" ht="15" x14ac:dyDescent="0.25">
      <c r="A14316" t="s">
        <v>35</v>
      </c>
      <c r="B14316" t="s">
        <v>61</v>
      </c>
      <c r="C14316" t="str">
        <f>"A0121354"</f>
        <v>A0121354</v>
      </c>
      <c r="D14316" t="s">
        <v>50306</v>
      </c>
      <c r="E14316" t="s">
        <v>50307</v>
      </c>
      <c r="F14316" t="s">
        <v>12384</v>
      </c>
      <c r="G14316" t="s">
        <v>190</v>
      </c>
      <c r="H14316">
        <v>80909</v>
      </c>
      <c r="I14316" t="s">
        <v>30</v>
      </c>
      <c r="J14316" t="s">
        <v>41</v>
      </c>
      <c r="K14316" t="s">
        <v>229</v>
      </c>
      <c r="Q14316">
        <v>0</v>
      </c>
      <c r="R14316">
        <v>116</v>
      </c>
      <c r="S14316">
        <v>116</v>
      </c>
      <c r="T14316" t="s">
        <v>50308</v>
      </c>
    </row>
    <row r="14317" spans="1:20" customFormat="1" ht="15" x14ac:dyDescent="0.25">
      <c r="A14317" t="s">
        <v>35</v>
      </c>
      <c r="B14317" t="s">
        <v>61</v>
      </c>
      <c r="C14317" t="str">
        <f>"A0123598"</f>
        <v>A0123598</v>
      </c>
      <c r="D14317" t="s">
        <v>50309</v>
      </c>
      <c r="E14317" t="s">
        <v>50310</v>
      </c>
      <c r="F14317" t="s">
        <v>472</v>
      </c>
      <c r="G14317" t="s">
        <v>214</v>
      </c>
      <c r="H14317">
        <v>27610</v>
      </c>
      <c r="I14317" t="s">
        <v>30</v>
      </c>
      <c r="J14317" t="s">
        <v>41</v>
      </c>
      <c r="K14317" t="s">
        <v>229</v>
      </c>
      <c r="Q14317">
        <v>0</v>
      </c>
      <c r="R14317">
        <v>126</v>
      </c>
      <c r="S14317">
        <v>126</v>
      </c>
      <c r="T14317" t="s">
        <v>50311</v>
      </c>
    </row>
    <row r="14318" spans="1:20" customFormat="1" ht="15" x14ac:dyDescent="0.25">
      <c r="A14318" t="s">
        <v>35</v>
      </c>
      <c r="B14318" t="s">
        <v>61</v>
      </c>
      <c r="C14318" t="str">
        <f>"A0130300"</f>
        <v>A0130300</v>
      </c>
      <c r="D14318" t="s">
        <v>50312</v>
      </c>
      <c r="E14318" t="s">
        <v>50313</v>
      </c>
      <c r="F14318" t="s">
        <v>22696</v>
      </c>
      <c r="G14318" t="s">
        <v>1898</v>
      </c>
      <c r="H14318">
        <v>520010000</v>
      </c>
      <c r="I14318" t="s">
        <v>30</v>
      </c>
      <c r="J14318" t="s">
        <v>41</v>
      </c>
      <c r="K14318" t="s">
        <v>229</v>
      </c>
      <c r="Q14318">
        <v>0</v>
      </c>
      <c r="R14318">
        <v>121</v>
      </c>
      <c r="S14318">
        <v>121</v>
      </c>
      <c r="T14318" t="s">
        <v>50314</v>
      </c>
    </row>
    <row r="14319" spans="1:20" customFormat="1" ht="15" x14ac:dyDescent="0.25">
      <c r="A14319" t="s">
        <v>35</v>
      </c>
      <c r="B14319" t="s">
        <v>61</v>
      </c>
      <c r="C14319" t="str">
        <f>"A0119290"</f>
        <v>A0119290</v>
      </c>
      <c r="D14319" t="s">
        <v>50315</v>
      </c>
      <c r="E14319" t="s">
        <v>50316</v>
      </c>
      <c r="F14319" t="s">
        <v>24934</v>
      </c>
      <c r="G14319" t="s">
        <v>110</v>
      </c>
      <c r="H14319">
        <v>94087</v>
      </c>
      <c r="I14319" t="s">
        <v>30</v>
      </c>
      <c r="J14319" t="s">
        <v>41</v>
      </c>
      <c r="K14319" t="s">
        <v>59</v>
      </c>
      <c r="Q14319">
        <v>0</v>
      </c>
      <c r="R14319">
        <v>65</v>
      </c>
      <c r="S14319">
        <v>65</v>
      </c>
      <c r="T14319" t="s">
        <v>50317</v>
      </c>
    </row>
    <row r="14320" spans="1:20" customFormat="1" ht="15" x14ac:dyDescent="0.25">
      <c r="A14320" t="s">
        <v>35</v>
      </c>
      <c r="B14320" t="s">
        <v>61</v>
      </c>
      <c r="C14320" t="str">
        <f>"A0118907"</f>
        <v>A0118907</v>
      </c>
      <c r="D14320" t="s">
        <v>50318</v>
      </c>
      <c r="E14320" t="s">
        <v>50319</v>
      </c>
      <c r="F14320" t="s">
        <v>10190</v>
      </c>
      <c r="G14320" t="s">
        <v>110</v>
      </c>
      <c r="H14320">
        <v>90502</v>
      </c>
      <c r="I14320" t="s">
        <v>30</v>
      </c>
      <c r="J14320" t="s">
        <v>41</v>
      </c>
      <c r="K14320" t="s">
        <v>229</v>
      </c>
      <c r="Q14320">
        <v>0</v>
      </c>
      <c r="R14320">
        <v>299</v>
      </c>
      <c r="S14320">
        <v>299</v>
      </c>
      <c r="T14320" t="s">
        <v>50320</v>
      </c>
    </row>
    <row r="14321" spans="1:20" customFormat="1" ht="15" x14ac:dyDescent="0.25">
      <c r="A14321" t="s">
        <v>35</v>
      </c>
      <c r="B14321" t="s">
        <v>61</v>
      </c>
      <c r="C14321" t="str">
        <f>"A0118507"</f>
        <v>A0118507</v>
      </c>
      <c r="D14321" t="s">
        <v>50321</v>
      </c>
      <c r="E14321" t="s">
        <v>50322</v>
      </c>
      <c r="F14321" t="s">
        <v>6244</v>
      </c>
      <c r="G14321" t="s">
        <v>110</v>
      </c>
      <c r="H14321">
        <v>93725</v>
      </c>
      <c r="I14321" t="s">
        <v>30</v>
      </c>
      <c r="J14321" t="s">
        <v>41</v>
      </c>
      <c r="K14321" t="s">
        <v>229</v>
      </c>
      <c r="Q14321">
        <v>0</v>
      </c>
      <c r="R14321">
        <v>116</v>
      </c>
      <c r="S14321">
        <v>116</v>
      </c>
      <c r="T14321" t="s">
        <v>50323</v>
      </c>
    </row>
    <row r="14322" spans="1:20" customFormat="1" ht="15" x14ac:dyDescent="0.25">
      <c r="A14322" t="s">
        <v>35</v>
      </c>
      <c r="B14322" t="s">
        <v>61</v>
      </c>
      <c r="C14322" t="str">
        <f>"A0118908"</f>
        <v>A0118908</v>
      </c>
      <c r="D14322" t="s">
        <v>50324</v>
      </c>
      <c r="E14322" t="s">
        <v>50325</v>
      </c>
      <c r="F14322" t="s">
        <v>10190</v>
      </c>
      <c r="G14322" t="s">
        <v>110</v>
      </c>
      <c r="H14322">
        <v>90502</v>
      </c>
      <c r="I14322" t="s">
        <v>30</v>
      </c>
      <c r="J14322" t="s">
        <v>41</v>
      </c>
      <c r="K14322" t="s">
        <v>59</v>
      </c>
      <c r="Q14322">
        <v>0</v>
      </c>
      <c r="R14322">
        <v>118</v>
      </c>
      <c r="S14322">
        <v>118</v>
      </c>
      <c r="T14322" t="s">
        <v>50326</v>
      </c>
    </row>
    <row r="14323" spans="1:20" customFormat="1" ht="15" x14ac:dyDescent="0.25">
      <c r="A14323" t="s">
        <v>35</v>
      </c>
      <c r="B14323" t="s">
        <v>61</v>
      </c>
      <c r="C14323" t="str">
        <f>"A0121338"</f>
        <v>A0121338</v>
      </c>
      <c r="D14323" t="s">
        <v>50327</v>
      </c>
      <c r="E14323" t="s">
        <v>50328</v>
      </c>
      <c r="F14323" t="s">
        <v>39813</v>
      </c>
      <c r="G14323" t="s">
        <v>153</v>
      </c>
      <c r="H14323">
        <v>84084</v>
      </c>
      <c r="I14323" t="s">
        <v>30</v>
      </c>
      <c r="J14323" t="s">
        <v>41</v>
      </c>
      <c r="K14323" t="s">
        <v>59</v>
      </c>
      <c r="Q14323">
        <v>0</v>
      </c>
      <c r="R14323">
        <v>65</v>
      </c>
      <c r="S14323">
        <v>65</v>
      </c>
      <c r="T14323" t="s">
        <v>50329</v>
      </c>
    </row>
    <row r="14324" spans="1:20" customFormat="1" ht="15" x14ac:dyDescent="0.25">
      <c r="A14324" t="s">
        <v>35</v>
      </c>
      <c r="B14324" t="s">
        <v>61</v>
      </c>
      <c r="C14324" t="str">
        <f>"A0128320"</f>
        <v>A0128320</v>
      </c>
      <c r="D14324" t="s">
        <v>50330</v>
      </c>
      <c r="E14324" t="s">
        <v>50331</v>
      </c>
      <c r="F14324" t="s">
        <v>238</v>
      </c>
      <c r="G14324" t="s">
        <v>427</v>
      </c>
      <c r="H14324">
        <v>68405</v>
      </c>
      <c r="I14324" t="s">
        <v>30</v>
      </c>
      <c r="J14324" t="s">
        <v>41</v>
      </c>
      <c r="K14324" t="s">
        <v>229</v>
      </c>
      <c r="Q14324">
        <v>0</v>
      </c>
      <c r="R14324">
        <v>80</v>
      </c>
      <c r="S14324">
        <v>80</v>
      </c>
      <c r="T14324" t="s">
        <v>50332</v>
      </c>
    </row>
    <row r="14325" spans="1:20" customFormat="1" ht="15" x14ac:dyDescent="0.25">
      <c r="A14325" t="s">
        <v>35</v>
      </c>
      <c r="B14325" t="s">
        <v>61</v>
      </c>
      <c r="C14325" t="str">
        <f>"A0130405"</f>
        <v>A0130405</v>
      </c>
      <c r="D14325" t="s">
        <v>50333</v>
      </c>
      <c r="E14325" t="s">
        <v>50334</v>
      </c>
      <c r="F14325" t="s">
        <v>50335</v>
      </c>
      <c r="G14325" t="s">
        <v>1898</v>
      </c>
      <c r="H14325">
        <v>50675</v>
      </c>
      <c r="I14325" t="s">
        <v>30</v>
      </c>
      <c r="J14325" t="s">
        <v>41</v>
      </c>
      <c r="K14325" t="s">
        <v>229</v>
      </c>
      <c r="Q14325">
        <v>0</v>
      </c>
      <c r="R14325">
        <v>73</v>
      </c>
      <c r="S14325">
        <v>73</v>
      </c>
      <c r="T14325" t="s">
        <v>50336</v>
      </c>
    </row>
    <row r="14326" spans="1:20" customFormat="1" ht="15" x14ac:dyDescent="0.25">
      <c r="A14326" t="s">
        <v>35</v>
      </c>
      <c r="B14326" t="s">
        <v>61</v>
      </c>
      <c r="C14326" t="str">
        <f>"A0132028"</f>
        <v>A0132028</v>
      </c>
      <c r="D14326" t="s">
        <v>50337</v>
      </c>
      <c r="E14326" t="s">
        <v>50338</v>
      </c>
      <c r="F14326" t="s">
        <v>22424</v>
      </c>
      <c r="G14326" t="s">
        <v>65</v>
      </c>
      <c r="H14326">
        <v>444320000</v>
      </c>
      <c r="I14326" t="s">
        <v>30</v>
      </c>
      <c r="J14326" t="s">
        <v>41</v>
      </c>
      <c r="K14326" t="s">
        <v>59</v>
      </c>
      <c r="Q14326">
        <v>0</v>
      </c>
      <c r="R14326">
        <v>24</v>
      </c>
      <c r="S14326">
        <v>24</v>
      </c>
      <c r="T14326" t="s">
        <v>50339</v>
      </c>
    </row>
    <row r="14327" spans="1:20" customFormat="1" ht="15" x14ac:dyDescent="0.25">
      <c r="A14327" t="s">
        <v>35</v>
      </c>
      <c r="B14327" t="s">
        <v>61</v>
      </c>
      <c r="C14327" t="str">
        <f>"A0121329"</f>
        <v>A0121329</v>
      </c>
      <c r="D14327" t="s">
        <v>50340</v>
      </c>
      <c r="E14327" t="s">
        <v>50341</v>
      </c>
      <c r="F14327" t="s">
        <v>38643</v>
      </c>
      <c r="G14327" t="s">
        <v>153</v>
      </c>
      <c r="H14327">
        <v>84058</v>
      </c>
      <c r="I14327" t="s">
        <v>30</v>
      </c>
      <c r="J14327" t="s">
        <v>41</v>
      </c>
      <c r="K14327" t="s">
        <v>456</v>
      </c>
      <c r="Q14327">
        <v>0</v>
      </c>
      <c r="R14327">
        <v>18</v>
      </c>
      <c r="S14327">
        <v>18</v>
      </c>
      <c r="T14327" t="s">
        <v>50342</v>
      </c>
    </row>
    <row r="14328" spans="1:20" customFormat="1" ht="15" x14ac:dyDescent="0.25">
      <c r="A14328" t="s">
        <v>35</v>
      </c>
      <c r="B14328" t="s">
        <v>61</v>
      </c>
      <c r="C14328" t="str">
        <f>"A0153006"</f>
        <v>A0153006</v>
      </c>
      <c r="D14328" t="s">
        <v>22187</v>
      </c>
      <c r="E14328" t="s">
        <v>50343</v>
      </c>
      <c r="F14328" t="s">
        <v>50344</v>
      </c>
      <c r="G14328" t="s">
        <v>65</v>
      </c>
      <c r="H14328">
        <v>45102</v>
      </c>
      <c r="I14328" t="s">
        <v>30</v>
      </c>
      <c r="J14328" t="s">
        <v>41</v>
      </c>
      <c r="K14328" t="s">
        <v>229</v>
      </c>
      <c r="Q14328">
        <v>0</v>
      </c>
      <c r="R14328">
        <v>86</v>
      </c>
      <c r="S14328">
        <v>86</v>
      </c>
      <c r="T14328" t="s">
        <v>50345</v>
      </c>
    </row>
    <row r="14329" spans="1:20" customFormat="1" ht="15" x14ac:dyDescent="0.25">
      <c r="A14329" t="s">
        <v>35</v>
      </c>
      <c r="B14329" t="s">
        <v>61</v>
      </c>
      <c r="C14329" t="str">
        <f>"A0119133"</f>
        <v>A0119133</v>
      </c>
      <c r="D14329" t="s">
        <v>50346</v>
      </c>
      <c r="E14329" t="s">
        <v>50347</v>
      </c>
      <c r="F14329" t="s">
        <v>7523</v>
      </c>
      <c r="G14329" t="s">
        <v>110</v>
      </c>
      <c r="H14329">
        <v>94903</v>
      </c>
      <c r="I14329" t="s">
        <v>30</v>
      </c>
      <c r="J14329" t="s">
        <v>41</v>
      </c>
      <c r="K14329" t="s">
        <v>59</v>
      </c>
      <c r="Q14329">
        <v>0</v>
      </c>
      <c r="R14329">
        <v>56</v>
      </c>
      <c r="S14329">
        <v>56</v>
      </c>
      <c r="T14329" t="s">
        <v>50348</v>
      </c>
    </row>
    <row r="14330" spans="1:20" customFormat="1" ht="15" x14ac:dyDescent="0.25">
      <c r="A14330" t="s">
        <v>35</v>
      </c>
      <c r="B14330" t="s">
        <v>61</v>
      </c>
      <c r="C14330" t="str">
        <f>"A0130328"</f>
        <v>A0130328</v>
      </c>
      <c r="D14330" t="s">
        <v>50349</v>
      </c>
      <c r="E14330" t="s">
        <v>50350</v>
      </c>
      <c r="F14330" t="s">
        <v>21632</v>
      </c>
      <c r="G14330" t="s">
        <v>1898</v>
      </c>
      <c r="H14330">
        <v>526590000</v>
      </c>
      <c r="I14330" t="s">
        <v>30</v>
      </c>
      <c r="J14330" t="s">
        <v>41</v>
      </c>
      <c r="K14330" t="s">
        <v>229</v>
      </c>
      <c r="Q14330">
        <v>0</v>
      </c>
      <c r="R14330">
        <v>62</v>
      </c>
      <c r="S14330">
        <v>62</v>
      </c>
      <c r="T14330" t="s">
        <v>50351</v>
      </c>
    </row>
    <row r="14331" spans="1:20" customFormat="1" ht="15" x14ac:dyDescent="0.25">
      <c r="A14331" t="s">
        <v>35</v>
      </c>
      <c r="B14331" t="s">
        <v>61</v>
      </c>
      <c r="C14331" t="str">
        <f>"A0122607"</f>
        <v>A0122607</v>
      </c>
      <c r="D14331" t="s">
        <v>50352</v>
      </c>
      <c r="E14331" t="s">
        <v>50353</v>
      </c>
      <c r="F14331" t="s">
        <v>5775</v>
      </c>
      <c r="G14331" t="s">
        <v>76</v>
      </c>
      <c r="H14331">
        <v>98203</v>
      </c>
      <c r="I14331" t="s">
        <v>30</v>
      </c>
      <c r="J14331" t="s">
        <v>41</v>
      </c>
      <c r="K14331" t="s">
        <v>229</v>
      </c>
      <c r="Q14331">
        <v>0</v>
      </c>
      <c r="R14331">
        <v>124</v>
      </c>
      <c r="S14331">
        <v>124</v>
      </c>
      <c r="T14331" t="s">
        <v>50354</v>
      </c>
    </row>
    <row r="14332" spans="1:20" customFormat="1" ht="15" x14ac:dyDescent="0.25">
      <c r="A14332" t="s">
        <v>35</v>
      </c>
      <c r="B14332" t="s">
        <v>61</v>
      </c>
      <c r="C14332" t="str">
        <f>"A0125262"</f>
        <v>A0125262</v>
      </c>
      <c r="D14332" t="s">
        <v>50355</v>
      </c>
      <c r="E14332" t="s">
        <v>50356</v>
      </c>
      <c r="F14332" t="s">
        <v>50357</v>
      </c>
      <c r="G14332" t="s">
        <v>40</v>
      </c>
      <c r="H14332">
        <v>73080</v>
      </c>
      <c r="I14332" t="s">
        <v>30</v>
      </c>
      <c r="J14332" t="s">
        <v>41</v>
      </c>
      <c r="K14332" t="s">
        <v>229</v>
      </c>
      <c r="Q14332">
        <v>0</v>
      </c>
      <c r="R14332">
        <v>69</v>
      </c>
      <c r="S14332">
        <v>69</v>
      </c>
      <c r="T14332" t="s">
        <v>50358</v>
      </c>
    </row>
    <row r="14333" spans="1:20" customFormat="1" ht="15" x14ac:dyDescent="0.25">
      <c r="A14333" t="s">
        <v>35</v>
      </c>
      <c r="B14333" t="s">
        <v>61</v>
      </c>
      <c r="C14333" t="str">
        <f>"A0123115"</f>
        <v>A0123115</v>
      </c>
      <c r="D14333" t="s">
        <v>50359</v>
      </c>
      <c r="E14333" t="s">
        <v>50360</v>
      </c>
      <c r="F14333" t="s">
        <v>50361</v>
      </c>
      <c r="G14333" t="s">
        <v>433</v>
      </c>
      <c r="H14333">
        <v>83805</v>
      </c>
      <c r="I14333" t="s">
        <v>30</v>
      </c>
      <c r="J14333" t="s">
        <v>41</v>
      </c>
      <c r="K14333" t="s">
        <v>59</v>
      </c>
      <c r="Q14333">
        <v>0</v>
      </c>
      <c r="R14333">
        <v>12</v>
      </c>
      <c r="S14333">
        <v>12</v>
      </c>
      <c r="T14333" t="s">
        <v>50362</v>
      </c>
    </row>
    <row r="14334" spans="1:20" customFormat="1" ht="15" x14ac:dyDescent="0.25">
      <c r="A14334" t="s">
        <v>35</v>
      </c>
      <c r="B14334" t="s">
        <v>61</v>
      </c>
      <c r="C14334" t="str">
        <f>"A0128969"</f>
        <v>A0128969</v>
      </c>
      <c r="D14334" t="s">
        <v>50363</v>
      </c>
      <c r="E14334" t="s">
        <v>50364</v>
      </c>
      <c r="F14334" t="s">
        <v>6723</v>
      </c>
      <c r="G14334" t="s">
        <v>289</v>
      </c>
      <c r="H14334">
        <v>62301</v>
      </c>
      <c r="I14334" t="s">
        <v>30</v>
      </c>
      <c r="J14334" t="s">
        <v>41</v>
      </c>
      <c r="K14334" t="s">
        <v>229</v>
      </c>
      <c r="Q14334">
        <v>0</v>
      </c>
      <c r="R14334">
        <v>182</v>
      </c>
      <c r="S14334">
        <v>182</v>
      </c>
      <c r="T14334" t="s">
        <v>50365</v>
      </c>
    </row>
    <row r="14335" spans="1:20" customFormat="1" ht="15" x14ac:dyDescent="0.25">
      <c r="A14335" t="s">
        <v>35</v>
      </c>
      <c r="B14335" t="s">
        <v>61</v>
      </c>
      <c r="C14335" t="str">
        <f>"A0124591"</f>
        <v>A0124591</v>
      </c>
      <c r="D14335" t="s">
        <v>50366</v>
      </c>
      <c r="E14335" t="s">
        <v>50367</v>
      </c>
      <c r="F14335" t="s">
        <v>50368</v>
      </c>
      <c r="G14335" t="s">
        <v>1706</v>
      </c>
      <c r="H14335">
        <v>35563</v>
      </c>
      <c r="I14335" t="s">
        <v>30</v>
      </c>
      <c r="J14335" t="s">
        <v>41</v>
      </c>
      <c r="K14335" t="s">
        <v>229</v>
      </c>
      <c r="Q14335">
        <v>0</v>
      </c>
      <c r="R14335">
        <v>71</v>
      </c>
      <c r="S14335">
        <v>71</v>
      </c>
      <c r="T14335" t="s">
        <v>50369</v>
      </c>
    </row>
    <row r="14336" spans="1:20" customFormat="1" ht="15" x14ac:dyDescent="0.25">
      <c r="A14336" t="s">
        <v>35</v>
      </c>
      <c r="B14336" t="s">
        <v>61</v>
      </c>
      <c r="C14336" t="str">
        <f>"A0131061"</f>
        <v>A0131061</v>
      </c>
      <c r="D14336" t="s">
        <v>50370</v>
      </c>
      <c r="E14336" t="s">
        <v>50371</v>
      </c>
      <c r="F14336" t="s">
        <v>50372</v>
      </c>
      <c r="G14336" t="s">
        <v>137</v>
      </c>
      <c r="H14336">
        <v>654410000</v>
      </c>
      <c r="I14336" t="s">
        <v>30</v>
      </c>
      <c r="J14336" t="s">
        <v>41</v>
      </c>
      <c r="K14336" t="s">
        <v>59</v>
      </c>
      <c r="Q14336">
        <v>0</v>
      </c>
      <c r="R14336">
        <v>20</v>
      </c>
      <c r="S14336">
        <v>20</v>
      </c>
      <c r="T14336" t="s">
        <v>50373</v>
      </c>
    </row>
    <row r="14337" spans="1:20" customFormat="1" ht="15" x14ac:dyDescent="0.25">
      <c r="A14337" t="s">
        <v>35</v>
      </c>
      <c r="B14337" t="s">
        <v>61</v>
      </c>
      <c r="C14337" t="str">
        <f>"A0119002"</f>
        <v>A0119002</v>
      </c>
      <c r="D14337" t="s">
        <v>50374</v>
      </c>
      <c r="E14337" t="s">
        <v>50375</v>
      </c>
      <c r="F14337" t="s">
        <v>50376</v>
      </c>
      <c r="G14337" t="s">
        <v>110</v>
      </c>
      <c r="H14337">
        <v>95969</v>
      </c>
      <c r="I14337" t="s">
        <v>30</v>
      </c>
      <c r="J14337" t="s">
        <v>41</v>
      </c>
      <c r="K14337" t="s">
        <v>59</v>
      </c>
      <c r="Q14337">
        <v>0</v>
      </c>
      <c r="R14337">
        <v>56</v>
      </c>
      <c r="S14337">
        <v>56</v>
      </c>
      <c r="T14337" t="s">
        <v>50377</v>
      </c>
    </row>
    <row r="14338" spans="1:20" customFormat="1" ht="15" x14ac:dyDescent="0.25">
      <c r="A14338" t="s">
        <v>35</v>
      </c>
      <c r="B14338" t="s">
        <v>61</v>
      </c>
      <c r="C14338" t="str">
        <f>"A0126712"</f>
        <v>A0126712</v>
      </c>
      <c r="D14338" t="s">
        <v>50378</v>
      </c>
      <c r="E14338" t="s">
        <v>50379</v>
      </c>
      <c r="F14338" t="s">
        <v>50380</v>
      </c>
      <c r="G14338" t="s">
        <v>103</v>
      </c>
      <c r="H14338">
        <v>17579</v>
      </c>
      <c r="I14338" t="s">
        <v>30</v>
      </c>
      <c r="J14338" t="s">
        <v>41</v>
      </c>
      <c r="K14338" t="s">
        <v>391</v>
      </c>
      <c r="Q14338">
        <v>0</v>
      </c>
      <c r="R14338">
        <v>0</v>
      </c>
      <c r="S14338">
        <v>0</v>
      </c>
      <c r="T14338" t="s">
        <v>50381</v>
      </c>
    </row>
    <row r="14339" spans="1:20" customFormat="1" ht="15" x14ac:dyDescent="0.25">
      <c r="A14339" t="s">
        <v>35</v>
      </c>
      <c r="B14339" t="s">
        <v>61</v>
      </c>
      <c r="C14339" t="str">
        <f>"A0118745"</f>
        <v>A0118745</v>
      </c>
      <c r="D14339" t="s">
        <v>50382</v>
      </c>
      <c r="E14339" t="s">
        <v>50383</v>
      </c>
      <c r="F14339" t="s">
        <v>36834</v>
      </c>
      <c r="G14339" t="s">
        <v>110</v>
      </c>
      <c r="H14339">
        <v>90631</v>
      </c>
      <c r="I14339" t="s">
        <v>30</v>
      </c>
      <c r="J14339" t="s">
        <v>41</v>
      </c>
      <c r="K14339" t="s">
        <v>2463</v>
      </c>
      <c r="Q14339">
        <v>0</v>
      </c>
      <c r="R14339">
        <v>1</v>
      </c>
      <c r="S14339">
        <v>1</v>
      </c>
      <c r="T14339" t="s">
        <v>50384</v>
      </c>
    </row>
    <row r="14340" spans="1:20" customFormat="1" ht="15" x14ac:dyDescent="0.25">
      <c r="A14340" t="s">
        <v>35</v>
      </c>
      <c r="B14340" t="s">
        <v>61</v>
      </c>
      <c r="C14340" t="str">
        <f>"A0129288"</f>
        <v>A0129288</v>
      </c>
      <c r="D14340" t="s">
        <v>50385</v>
      </c>
      <c r="E14340" t="s">
        <v>50386</v>
      </c>
      <c r="F14340" t="s">
        <v>4591</v>
      </c>
      <c r="G14340" t="s">
        <v>289</v>
      </c>
      <c r="H14340">
        <v>92959</v>
      </c>
      <c r="I14340" t="s">
        <v>30</v>
      </c>
      <c r="J14340" t="s">
        <v>41</v>
      </c>
      <c r="K14340" t="s">
        <v>59</v>
      </c>
      <c r="Q14340">
        <v>0</v>
      </c>
      <c r="R14340">
        <v>64</v>
      </c>
      <c r="S14340">
        <v>64</v>
      </c>
      <c r="T14340" t="s">
        <v>50387</v>
      </c>
    </row>
    <row r="14341" spans="1:20" customFormat="1" ht="15" x14ac:dyDescent="0.25">
      <c r="A14341" t="s">
        <v>35</v>
      </c>
      <c r="B14341" t="s">
        <v>9633</v>
      </c>
      <c r="C14341" t="str">
        <f>"A0123057"</f>
        <v>A0123057</v>
      </c>
      <c r="D14341" t="s">
        <v>50388</v>
      </c>
      <c r="E14341" t="s">
        <v>50389</v>
      </c>
      <c r="F14341" t="s">
        <v>9636</v>
      </c>
      <c r="G14341" t="s">
        <v>76</v>
      </c>
      <c r="H14341">
        <v>99206</v>
      </c>
      <c r="I14341" t="s">
        <v>30</v>
      </c>
      <c r="J14341" t="s">
        <v>41</v>
      </c>
      <c r="K14341" t="s">
        <v>229</v>
      </c>
      <c r="Q14341">
        <v>0</v>
      </c>
      <c r="R14341">
        <v>120</v>
      </c>
      <c r="S14341">
        <v>120</v>
      </c>
      <c r="T14341" t="s">
        <v>50390</v>
      </c>
    </row>
    <row r="14342" spans="1:20" customFormat="1" ht="15" x14ac:dyDescent="0.25">
      <c r="A14342" t="s">
        <v>35</v>
      </c>
      <c r="B14342" t="s">
        <v>61</v>
      </c>
      <c r="C14342" t="str">
        <f>"A0124384"</f>
        <v>A0124384</v>
      </c>
      <c r="D14342" t="s">
        <v>50391</v>
      </c>
      <c r="E14342" t="s">
        <v>50392</v>
      </c>
      <c r="F14342" t="s">
        <v>50393</v>
      </c>
      <c r="G14342" t="s">
        <v>289</v>
      </c>
      <c r="H14342">
        <v>60938</v>
      </c>
      <c r="I14342" t="s">
        <v>30</v>
      </c>
      <c r="J14342" t="s">
        <v>41</v>
      </c>
      <c r="K14342" t="s">
        <v>229</v>
      </c>
      <c r="Q14342">
        <v>0</v>
      </c>
      <c r="R14342">
        <v>75</v>
      </c>
      <c r="S14342">
        <v>75</v>
      </c>
      <c r="T14342" t="s">
        <v>50394</v>
      </c>
    </row>
    <row r="14343" spans="1:20" customFormat="1" ht="15" x14ac:dyDescent="0.25">
      <c r="A14343" t="s">
        <v>35</v>
      </c>
      <c r="B14343" t="s">
        <v>106</v>
      </c>
      <c r="C14343" t="str">
        <f>"A0136565"</f>
        <v>A0136565</v>
      </c>
      <c r="D14343" t="s">
        <v>50395</v>
      </c>
      <c r="E14343" t="s">
        <v>50396</v>
      </c>
      <c r="F14343" t="s">
        <v>50397</v>
      </c>
      <c r="G14343" t="s">
        <v>99</v>
      </c>
      <c r="H14343">
        <v>13676</v>
      </c>
      <c r="I14343" t="s">
        <v>30</v>
      </c>
      <c r="J14343" t="s">
        <v>111</v>
      </c>
      <c r="K14343" t="s">
        <v>112</v>
      </c>
      <c r="Q14343">
        <v>0</v>
      </c>
      <c r="R14343">
        <v>0</v>
      </c>
      <c r="S14343">
        <v>0</v>
      </c>
      <c r="T14343" t="s">
        <v>50398</v>
      </c>
    </row>
    <row r="14344" spans="1:20" customFormat="1" ht="15" x14ac:dyDescent="0.25">
      <c r="A14344" t="s">
        <v>35</v>
      </c>
      <c r="B14344" t="s">
        <v>437</v>
      </c>
      <c r="C14344" t="str">
        <f>"A0133997"</f>
        <v>A0133997</v>
      </c>
      <c r="D14344" t="s">
        <v>50399</v>
      </c>
      <c r="E14344" t="s">
        <v>50400</v>
      </c>
      <c r="F14344" t="s">
        <v>8081</v>
      </c>
      <c r="G14344" t="s">
        <v>110</v>
      </c>
      <c r="H14344">
        <v>94123</v>
      </c>
      <c r="I14344" t="s">
        <v>30</v>
      </c>
      <c r="J14344" t="s">
        <v>441</v>
      </c>
      <c r="K14344" t="s">
        <v>442</v>
      </c>
      <c r="Q14344">
        <v>0</v>
      </c>
      <c r="R14344">
        <v>0</v>
      </c>
      <c r="S14344">
        <v>0</v>
      </c>
      <c r="T14344" t="s">
        <v>50401</v>
      </c>
    </row>
    <row r="14345" spans="1:20" customFormat="1" ht="15" x14ac:dyDescent="0.25">
      <c r="A14345" t="s">
        <v>35</v>
      </c>
      <c r="B14345" t="s">
        <v>437</v>
      </c>
      <c r="C14345" t="str">
        <f>"A0133998"</f>
        <v>A0133998</v>
      </c>
      <c r="D14345" t="s">
        <v>50402</v>
      </c>
      <c r="E14345" t="s">
        <v>50403</v>
      </c>
      <c r="F14345" t="s">
        <v>8081</v>
      </c>
      <c r="G14345" t="s">
        <v>110</v>
      </c>
      <c r="H14345">
        <v>94114</v>
      </c>
      <c r="I14345" t="s">
        <v>30</v>
      </c>
      <c r="J14345" t="s">
        <v>441</v>
      </c>
      <c r="K14345" t="s">
        <v>442</v>
      </c>
      <c r="Q14345">
        <v>0</v>
      </c>
      <c r="R14345">
        <v>0</v>
      </c>
      <c r="S14345">
        <v>0</v>
      </c>
      <c r="T14345" t="s">
        <v>50404</v>
      </c>
    </row>
    <row r="14346" spans="1:20" customFormat="1" ht="15" x14ac:dyDescent="0.25">
      <c r="A14346" t="s">
        <v>35</v>
      </c>
      <c r="B14346" t="s">
        <v>437</v>
      </c>
      <c r="C14346" t="str">
        <f>"A0133995"</f>
        <v>A0133995</v>
      </c>
      <c r="D14346" t="s">
        <v>50405</v>
      </c>
      <c r="E14346" t="s">
        <v>50406</v>
      </c>
      <c r="F14346" t="s">
        <v>8081</v>
      </c>
      <c r="G14346" t="s">
        <v>110</v>
      </c>
      <c r="H14346">
        <v>94103</v>
      </c>
      <c r="I14346" t="s">
        <v>30</v>
      </c>
      <c r="J14346" t="s">
        <v>441</v>
      </c>
      <c r="K14346" t="s">
        <v>442</v>
      </c>
      <c r="Q14346">
        <v>0</v>
      </c>
      <c r="R14346">
        <v>0</v>
      </c>
      <c r="S14346">
        <v>0</v>
      </c>
      <c r="T14346" t="s">
        <v>50407</v>
      </c>
    </row>
    <row r="14347" spans="1:20" customFormat="1" ht="15" x14ac:dyDescent="0.25">
      <c r="A14347" t="s">
        <v>35</v>
      </c>
      <c r="B14347" t="s">
        <v>437</v>
      </c>
      <c r="C14347" t="str">
        <f>"A0133996"</f>
        <v>A0133996</v>
      </c>
      <c r="D14347" t="s">
        <v>50408</v>
      </c>
      <c r="E14347" t="s">
        <v>50409</v>
      </c>
      <c r="F14347" t="s">
        <v>45300</v>
      </c>
      <c r="G14347" t="s">
        <v>110</v>
      </c>
      <c r="H14347">
        <v>94941</v>
      </c>
      <c r="I14347" t="s">
        <v>30</v>
      </c>
      <c r="J14347" t="s">
        <v>441</v>
      </c>
      <c r="K14347" t="s">
        <v>442</v>
      </c>
      <c r="Q14347">
        <v>0</v>
      </c>
      <c r="R14347">
        <v>0</v>
      </c>
      <c r="S14347">
        <v>0</v>
      </c>
      <c r="T14347" t="s">
        <v>50410</v>
      </c>
    </row>
    <row r="14348" spans="1:20" customFormat="1" ht="15" x14ac:dyDescent="0.25">
      <c r="A14348" t="s">
        <v>35</v>
      </c>
      <c r="B14348" t="s">
        <v>437</v>
      </c>
      <c r="C14348" t="str">
        <f>"A0133994"</f>
        <v>A0133994</v>
      </c>
      <c r="D14348" t="s">
        <v>50411</v>
      </c>
      <c r="E14348" t="s">
        <v>50412</v>
      </c>
      <c r="F14348" t="s">
        <v>8081</v>
      </c>
      <c r="G14348" t="s">
        <v>110</v>
      </c>
      <c r="H14348">
        <v>94105</v>
      </c>
      <c r="I14348" t="s">
        <v>30</v>
      </c>
      <c r="J14348" t="s">
        <v>441</v>
      </c>
      <c r="K14348" t="s">
        <v>442</v>
      </c>
      <c r="Q14348">
        <v>0</v>
      </c>
      <c r="R14348">
        <v>0</v>
      </c>
      <c r="S14348">
        <v>0</v>
      </c>
      <c r="T14348" t="s">
        <v>50413</v>
      </c>
    </row>
    <row r="14349" spans="1:20" customFormat="1" ht="15" x14ac:dyDescent="0.25">
      <c r="A14349" t="s">
        <v>35</v>
      </c>
      <c r="B14349" t="s">
        <v>437</v>
      </c>
      <c r="C14349" t="str">
        <f>"A0133993"</f>
        <v>A0133993</v>
      </c>
      <c r="D14349" t="s">
        <v>50414</v>
      </c>
      <c r="E14349" t="s">
        <v>50415</v>
      </c>
      <c r="F14349" t="s">
        <v>50416</v>
      </c>
      <c r="G14349" t="s">
        <v>110</v>
      </c>
      <c r="H14349">
        <v>94103</v>
      </c>
      <c r="I14349" t="s">
        <v>30</v>
      </c>
      <c r="J14349" t="s">
        <v>441</v>
      </c>
      <c r="K14349" t="s">
        <v>442</v>
      </c>
      <c r="Q14349">
        <v>0</v>
      </c>
      <c r="R14349">
        <v>0</v>
      </c>
      <c r="S14349">
        <v>0</v>
      </c>
      <c r="T14349" t="s">
        <v>50407</v>
      </c>
    </row>
    <row r="14350" spans="1:20" customFormat="1" ht="15" x14ac:dyDescent="0.25">
      <c r="A14350" t="s">
        <v>35</v>
      </c>
      <c r="B14350" t="s">
        <v>437</v>
      </c>
      <c r="C14350" t="str">
        <f>"A0134039"</f>
        <v>A0134039</v>
      </c>
      <c r="D14350" t="s">
        <v>50417</v>
      </c>
      <c r="E14350" t="s">
        <v>50418</v>
      </c>
      <c r="F14350" t="s">
        <v>14768</v>
      </c>
      <c r="G14350" t="s">
        <v>110</v>
      </c>
      <c r="H14350">
        <v>94949</v>
      </c>
      <c r="I14350" t="s">
        <v>30</v>
      </c>
      <c r="J14350" t="s">
        <v>441</v>
      </c>
      <c r="K14350" t="s">
        <v>442</v>
      </c>
      <c r="Q14350">
        <v>0</v>
      </c>
      <c r="R14350">
        <v>0</v>
      </c>
      <c r="S14350">
        <v>0</v>
      </c>
      <c r="T14350" t="s">
        <v>50419</v>
      </c>
    </row>
    <row r="14351" spans="1:20" customFormat="1" ht="15" x14ac:dyDescent="0.25">
      <c r="A14351" t="s">
        <v>35</v>
      </c>
      <c r="B14351" t="s">
        <v>437</v>
      </c>
      <c r="C14351" t="str">
        <f>"A0133999"</f>
        <v>A0133999</v>
      </c>
      <c r="D14351" t="s">
        <v>50420</v>
      </c>
      <c r="E14351" t="s">
        <v>50421</v>
      </c>
      <c r="F14351" t="s">
        <v>20644</v>
      </c>
      <c r="G14351" t="s">
        <v>110</v>
      </c>
      <c r="H14351">
        <v>95050</v>
      </c>
      <c r="I14351" t="s">
        <v>30</v>
      </c>
      <c r="J14351" t="s">
        <v>441</v>
      </c>
      <c r="K14351" t="s">
        <v>442</v>
      </c>
      <c r="Q14351">
        <v>0</v>
      </c>
      <c r="R14351">
        <v>0</v>
      </c>
      <c r="S14351">
        <v>0</v>
      </c>
      <c r="T14351" t="s">
        <v>50422</v>
      </c>
    </row>
    <row r="14352" spans="1:20" customFormat="1" ht="15" x14ac:dyDescent="0.25">
      <c r="A14352" t="s">
        <v>35</v>
      </c>
      <c r="B14352" t="s">
        <v>437</v>
      </c>
      <c r="C14352" t="str">
        <f>"A0134105"</f>
        <v>A0134105</v>
      </c>
      <c r="D14352" t="s">
        <v>50423</v>
      </c>
      <c r="E14352" t="s">
        <v>50424</v>
      </c>
      <c r="F14352" t="s">
        <v>8081</v>
      </c>
      <c r="G14352" t="s">
        <v>110</v>
      </c>
      <c r="H14352">
        <v>94108</v>
      </c>
      <c r="I14352" t="s">
        <v>30</v>
      </c>
      <c r="J14352" t="s">
        <v>441</v>
      </c>
      <c r="K14352" t="s">
        <v>442</v>
      </c>
      <c r="Q14352">
        <v>0</v>
      </c>
      <c r="R14352">
        <v>0</v>
      </c>
      <c r="S14352">
        <v>0</v>
      </c>
      <c r="T14352" t="s">
        <v>50425</v>
      </c>
    </row>
    <row r="14353" spans="1:20" customFormat="1" ht="15" x14ac:dyDescent="0.25">
      <c r="A14353" t="s">
        <v>35</v>
      </c>
      <c r="B14353" t="s">
        <v>61</v>
      </c>
      <c r="C14353" t="str">
        <f>"A0130834"</f>
        <v>A0130834</v>
      </c>
      <c r="D14353" t="s">
        <v>50426</v>
      </c>
      <c r="E14353" t="s">
        <v>50427</v>
      </c>
      <c r="F14353" t="s">
        <v>50428</v>
      </c>
      <c r="G14353" t="s">
        <v>137</v>
      </c>
      <c r="H14353">
        <v>640240000</v>
      </c>
      <c r="I14353" t="s">
        <v>30</v>
      </c>
      <c r="J14353" t="s">
        <v>41</v>
      </c>
      <c r="K14353" t="s">
        <v>229</v>
      </c>
      <c r="Q14353">
        <v>0</v>
      </c>
      <c r="R14353">
        <v>60</v>
      </c>
      <c r="S14353">
        <v>60</v>
      </c>
      <c r="T14353" t="s">
        <v>50429</v>
      </c>
    </row>
    <row r="14354" spans="1:20" customFormat="1" ht="15" x14ac:dyDescent="0.25">
      <c r="A14354" t="s">
        <v>35</v>
      </c>
      <c r="B14354" t="s">
        <v>61</v>
      </c>
      <c r="C14354" t="str">
        <f>"A0132221"</f>
        <v>A0132221</v>
      </c>
      <c r="D14354" t="s">
        <v>50430</v>
      </c>
      <c r="E14354" t="s">
        <v>50431</v>
      </c>
      <c r="F14354" t="s">
        <v>50432</v>
      </c>
      <c r="G14354" t="s">
        <v>65</v>
      </c>
      <c r="H14354">
        <v>44818</v>
      </c>
      <c r="I14354" t="s">
        <v>30</v>
      </c>
      <c r="J14354" t="s">
        <v>41</v>
      </c>
      <c r="K14354" t="s">
        <v>461</v>
      </c>
      <c r="Q14354">
        <v>0</v>
      </c>
      <c r="R14354">
        <v>26</v>
      </c>
      <c r="S14354">
        <v>26</v>
      </c>
      <c r="T14354" t="s">
        <v>50433</v>
      </c>
    </row>
    <row r="14355" spans="1:20" customFormat="1" ht="15" x14ac:dyDescent="0.25">
      <c r="A14355" t="s">
        <v>35</v>
      </c>
      <c r="B14355" t="s">
        <v>61</v>
      </c>
      <c r="C14355" t="str">
        <f>"A0132630"</f>
        <v>A0132630</v>
      </c>
      <c r="D14355" t="s">
        <v>50434</v>
      </c>
      <c r="E14355" t="s">
        <v>50435</v>
      </c>
      <c r="F14355" t="s">
        <v>4599</v>
      </c>
      <c r="G14355" t="s">
        <v>65</v>
      </c>
      <c r="H14355">
        <v>43420</v>
      </c>
      <c r="I14355" t="s">
        <v>30</v>
      </c>
      <c r="J14355" t="s">
        <v>41</v>
      </c>
      <c r="K14355" t="s">
        <v>461</v>
      </c>
      <c r="Q14355">
        <v>0</v>
      </c>
      <c r="R14355">
        <v>60</v>
      </c>
      <c r="S14355">
        <v>60</v>
      </c>
      <c r="T14355" t="s">
        <v>50433</v>
      </c>
    </row>
    <row r="14356" spans="1:20" customFormat="1" ht="15" x14ac:dyDescent="0.25">
      <c r="A14356" t="s">
        <v>35</v>
      </c>
      <c r="B14356" t="s">
        <v>437</v>
      </c>
      <c r="C14356" t="str">
        <f>"A0133852"</f>
        <v>A0133852</v>
      </c>
      <c r="D14356" t="s">
        <v>50436</v>
      </c>
      <c r="E14356" t="s">
        <v>50437</v>
      </c>
      <c r="F14356" t="s">
        <v>12456</v>
      </c>
      <c r="G14356" t="s">
        <v>110</v>
      </c>
      <c r="H14356">
        <v>920540000</v>
      </c>
      <c r="I14356" t="s">
        <v>30</v>
      </c>
      <c r="J14356" t="s">
        <v>441</v>
      </c>
      <c r="K14356" t="s">
        <v>36814</v>
      </c>
      <c r="Q14356">
        <v>0</v>
      </c>
      <c r="R14356">
        <v>0</v>
      </c>
      <c r="S14356">
        <v>0</v>
      </c>
      <c r="T14356" t="s">
        <v>50438</v>
      </c>
    </row>
    <row r="14357" spans="1:20" customFormat="1" ht="15" x14ac:dyDescent="0.25">
      <c r="A14357" t="s">
        <v>35</v>
      </c>
      <c r="B14357" t="s">
        <v>61</v>
      </c>
      <c r="C14357" t="str">
        <f>"A0123599"</f>
        <v>A0123599</v>
      </c>
      <c r="D14357" t="s">
        <v>50439</v>
      </c>
      <c r="E14357" t="s">
        <v>50440</v>
      </c>
      <c r="F14357" t="s">
        <v>50441</v>
      </c>
      <c r="G14357" t="s">
        <v>214</v>
      </c>
      <c r="H14357">
        <v>27030</v>
      </c>
      <c r="I14357" t="s">
        <v>30</v>
      </c>
      <c r="J14357" t="s">
        <v>41</v>
      </c>
      <c r="K14357" t="s">
        <v>59</v>
      </c>
      <c r="Q14357">
        <v>0</v>
      </c>
      <c r="R14357">
        <v>100</v>
      </c>
      <c r="S14357">
        <v>100</v>
      </c>
      <c r="T14357" t="s">
        <v>50442</v>
      </c>
    </row>
    <row r="14358" spans="1:20" customFormat="1" ht="15" x14ac:dyDescent="0.25">
      <c r="A14358" t="s">
        <v>35</v>
      </c>
      <c r="B14358" t="s">
        <v>61</v>
      </c>
      <c r="C14358" t="str">
        <f>"A0125406"</f>
        <v>A0125406</v>
      </c>
      <c r="D14358" t="s">
        <v>50443</v>
      </c>
      <c r="E14358" t="s">
        <v>50444</v>
      </c>
      <c r="F14358" t="s">
        <v>17344</v>
      </c>
      <c r="G14358" t="s">
        <v>40</v>
      </c>
      <c r="H14358">
        <v>73521</v>
      </c>
      <c r="I14358" t="s">
        <v>30</v>
      </c>
      <c r="J14358" t="s">
        <v>41</v>
      </c>
      <c r="K14358" t="s">
        <v>6300</v>
      </c>
      <c r="Q14358">
        <v>0</v>
      </c>
      <c r="R14358">
        <v>1</v>
      </c>
      <c r="S14358">
        <v>1</v>
      </c>
      <c r="T14358" t="s">
        <v>36507</v>
      </c>
    </row>
    <row r="14359" spans="1:20" customFormat="1" ht="15" x14ac:dyDescent="0.25">
      <c r="A14359" t="s">
        <v>35</v>
      </c>
      <c r="B14359" t="s">
        <v>61</v>
      </c>
      <c r="C14359" t="str">
        <f>"A0133263"</f>
        <v>A0133263</v>
      </c>
      <c r="D14359" t="s">
        <v>50445</v>
      </c>
      <c r="E14359" t="s">
        <v>50446</v>
      </c>
      <c r="F14359" t="s">
        <v>19676</v>
      </c>
      <c r="G14359" t="s">
        <v>52</v>
      </c>
      <c r="H14359">
        <v>775200000</v>
      </c>
      <c r="I14359" t="s">
        <v>30</v>
      </c>
      <c r="J14359" t="s">
        <v>41</v>
      </c>
      <c r="K14359" t="s">
        <v>59</v>
      </c>
      <c r="Q14359">
        <v>0</v>
      </c>
      <c r="R14359">
        <v>100</v>
      </c>
      <c r="S14359">
        <v>100</v>
      </c>
      <c r="T14359" t="s">
        <v>50447</v>
      </c>
    </row>
    <row r="14360" spans="1:20" customFormat="1" ht="15" x14ac:dyDescent="0.25">
      <c r="A14360" t="s">
        <v>35</v>
      </c>
      <c r="B14360" t="s">
        <v>61</v>
      </c>
      <c r="C14360" t="str">
        <f>"A0131846"</f>
        <v>A0131846</v>
      </c>
      <c r="D14360" t="s">
        <v>50448</v>
      </c>
      <c r="E14360" t="s">
        <v>50449</v>
      </c>
      <c r="F14360" t="s">
        <v>42789</v>
      </c>
      <c r="G14360" t="s">
        <v>65</v>
      </c>
      <c r="H14360">
        <v>435580000</v>
      </c>
      <c r="I14360" t="s">
        <v>30</v>
      </c>
      <c r="J14360" t="s">
        <v>41</v>
      </c>
      <c r="K14360" t="s">
        <v>229</v>
      </c>
      <c r="Q14360">
        <v>0</v>
      </c>
      <c r="R14360">
        <v>68</v>
      </c>
      <c r="S14360">
        <v>68</v>
      </c>
      <c r="T14360" t="s">
        <v>50450</v>
      </c>
    </row>
    <row r="14361" spans="1:20" customFormat="1" ht="15" x14ac:dyDescent="0.25">
      <c r="A14361" t="s">
        <v>35</v>
      </c>
      <c r="B14361" t="s">
        <v>106</v>
      </c>
      <c r="C14361" t="str">
        <f>"A0135447"</f>
        <v>A0135447</v>
      </c>
      <c r="D14361" t="s">
        <v>50451</v>
      </c>
      <c r="E14361" t="s">
        <v>50452</v>
      </c>
      <c r="F14361" t="s">
        <v>50453</v>
      </c>
      <c r="G14361" t="s">
        <v>103</v>
      </c>
      <c r="H14361">
        <v>19081</v>
      </c>
      <c r="I14361" t="s">
        <v>30</v>
      </c>
      <c r="J14361" t="s">
        <v>111</v>
      </c>
      <c r="K14361" t="s">
        <v>10012</v>
      </c>
      <c r="Q14361">
        <v>0</v>
      </c>
      <c r="R14361">
        <v>0</v>
      </c>
      <c r="S14361">
        <v>0</v>
      </c>
      <c r="T14361" t="s">
        <v>50454</v>
      </c>
    </row>
    <row r="14362" spans="1:20" customFormat="1" ht="15" x14ac:dyDescent="0.25">
      <c r="A14362" t="s">
        <v>35</v>
      </c>
      <c r="B14362" t="s">
        <v>106</v>
      </c>
      <c r="C14362" t="str">
        <f>"A0135605"</f>
        <v>A0135605</v>
      </c>
      <c r="D14362" t="s">
        <v>50455</v>
      </c>
      <c r="E14362" t="s">
        <v>50456</v>
      </c>
      <c r="F14362" t="s">
        <v>1435</v>
      </c>
      <c r="G14362" t="s">
        <v>52</v>
      </c>
      <c r="H14362">
        <v>76059</v>
      </c>
      <c r="I14362" t="s">
        <v>30</v>
      </c>
      <c r="J14362" t="s">
        <v>111</v>
      </c>
      <c r="K14362" t="s">
        <v>10012</v>
      </c>
      <c r="Q14362">
        <v>0</v>
      </c>
      <c r="R14362">
        <v>0</v>
      </c>
      <c r="S14362">
        <v>0</v>
      </c>
      <c r="T14362" t="s">
        <v>50457</v>
      </c>
    </row>
    <row r="14363" spans="1:20" customFormat="1" ht="15" x14ac:dyDescent="0.25">
      <c r="A14363" t="s">
        <v>35</v>
      </c>
      <c r="B14363" t="s">
        <v>61</v>
      </c>
      <c r="C14363" t="str">
        <f>"A0127488"</f>
        <v>A0127488</v>
      </c>
      <c r="D14363" t="s">
        <v>50458</v>
      </c>
      <c r="E14363" t="s">
        <v>50459</v>
      </c>
      <c r="F14363" t="s">
        <v>47763</v>
      </c>
      <c r="G14363" t="s">
        <v>507</v>
      </c>
      <c r="H14363">
        <v>25064</v>
      </c>
      <c r="I14363" t="s">
        <v>30</v>
      </c>
      <c r="J14363" t="s">
        <v>41</v>
      </c>
      <c r="K14363" t="s">
        <v>59</v>
      </c>
      <c r="Q14363">
        <v>0</v>
      </c>
      <c r="R14363">
        <v>84</v>
      </c>
      <c r="S14363">
        <v>84</v>
      </c>
      <c r="T14363" t="s">
        <v>50460</v>
      </c>
    </row>
    <row r="14364" spans="1:20" customFormat="1" ht="15" x14ac:dyDescent="0.25">
      <c r="A14364" t="s">
        <v>35</v>
      </c>
      <c r="B14364" t="s">
        <v>61</v>
      </c>
      <c r="C14364" t="str">
        <f>"A0123982"</f>
        <v>A0123982</v>
      </c>
      <c r="D14364" t="s">
        <v>50461</v>
      </c>
      <c r="E14364" t="s">
        <v>50462</v>
      </c>
      <c r="F14364" t="s">
        <v>11715</v>
      </c>
      <c r="G14364" t="s">
        <v>29</v>
      </c>
      <c r="H14364">
        <v>23703</v>
      </c>
      <c r="I14364" t="s">
        <v>30</v>
      </c>
      <c r="J14364" t="s">
        <v>41</v>
      </c>
      <c r="K14364" t="s">
        <v>59</v>
      </c>
      <c r="Q14364">
        <v>0</v>
      </c>
      <c r="R14364">
        <v>66</v>
      </c>
      <c r="S14364">
        <v>66</v>
      </c>
      <c r="T14364" t="s">
        <v>50463</v>
      </c>
    </row>
    <row r="14365" spans="1:20" customFormat="1" ht="15" x14ac:dyDescent="0.25">
      <c r="A14365" t="s">
        <v>35</v>
      </c>
      <c r="B14365" t="s">
        <v>106</v>
      </c>
      <c r="C14365" t="str">
        <f>"A0135629"</f>
        <v>A0135629</v>
      </c>
      <c r="D14365" t="s">
        <v>50464</v>
      </c>
      <c r="E14365" t="s">
        <v>50465</v>
      </c>
      <c r="F14365" t="s">
        <v>4133</v>
      </c>
      <c r="G14365" t="s">
        <v>52</v>
      </c>
      <c r="H14365">
        <v>78721</v>
      </c>
      <c r="I14365" t="s">
        <v>30</v>
      </c>
      <c r="J14365" t="s">
        <v>111</v>
      </c>
      <c r="K14365" t="s">
        <v>112</v>
      </c>
      <c r="Q14365">
        <v>0</v>
      </c>
      <c r="R14365">
        <v>0</v>
      </c>
      <c r="S14365">
        <v>0</v>
      </c>
      <c r="T14365" t="s">
        <v>50466</v>
      </c>
    </row>
    <row r="14366" spans="1:20" customFormat="1" ht="15" x14ac:dyDescent="0.25">
      <c r="A14366" t="s">
        <v>35</v>
      </c>
      <c r="B14366" t="s">
        <v>61</v>
      </c>
      <c r="C14366" t="str">
        <f>"A0126943"</f>
        <v>A0126943</v>
      </c>
      <c r="D14366" t="s">
        <v>50467</v>
      </c>
      <c r="E14366" t="s">
        <v>50468</v>
      </c>
      <c r="F14366" t="s">
        <v>43378</v>
      </c>
      <c r="G14366" t="s">
        <v>103</v>
      </c>
      <c r="H14366">
        <v>17754</v>
      </c>
      <c r="I14366" t="s">
        <v>30</v>
      </c>
      <c r="J14366" t="s">
        <v>41</v>
      </c>
      <c r="K14366" t="s">
        <v>59</v>
      </c>
      <c r="Q14366">
        <v>0</v>
      </c>
      <c r="R14366">
        <v>133</v>
      </c>
      <c r="S14366">
        <v>133</v>
      </c>
      <c r="T14366" t="s">
        <v>50469</v>
      </c>
    </row>
    <row r="14367" spans="1:20" customFormat="1" ht="15" x14ac:dyDescent="0.25">
      <c r="A14367" t="s">
        <v>35</v>
      </c>
      <c r="B14367" t="s">
        <v>61</v>
      </c>
      <c r="C14367" t="str">
        <f>"A0129883"</f>
        <v>A0129883</v>
      </c>
      <c r="D14367" t="s">
        <v>50470</v>
      </c>
      <c r="E14367" t="s">
        <v>50471</v>
      </c>
      <c r="F14367" t="s">
        <v>1420</v>
      </c>
      <c r="G14367" t="s">
        <v>880</v>
      </c>
      <c r="H14367">
        <v>372100000</v>
      </c>
      <c r="I14367" t="s">
        <v>30</v>
      </c>
      <c r="J14367" t="s">
        <v>41</v>
      </c>
      <c r="K14367" t="s">
        <v>59</v>
      </c>
      <c r="Q14367">
        <v>0</v>
      </c>
      <c r="R14367">
        <v>49</v>
      </c>
      <c r="S14367">
        <v>49</v>
      </c>
      <c r="T14367" t="s">
        <v>50472</v>
      </c>
    </row>
    <row r="14368" spans="1:20" customFormat="1" ht="15" x14ac:dyDescent="0.25">
      <c r="A14368" t="s">
        <v>35</v>
      </c>
      <c r="B14368" t="s">
        <v>61</v>
      </c>
      <c r="C14368" t="str">
        <f>"A0124482"</f>
        <v>A0124482</v>
      </c>
      <c r="D14368" t="s">
        <v>50473</v>
      </c>
      <c r="E14368" t="s">
        <v>50474</v>
      </c>
      <c r="F14368" t="s">
        <v>50475</v>
      </c>
      <c r="G14368" t="s">
        <v>1706</v>
      </c>
      <c r="H14368">
        <v>351500000</v>
      </c>
      <c r="I14368" t="s">
        <v>30</v>
      </c>
      <c r="J14368" t="s">
        <v>41</v>
      </c>
      <c r="K14368" t="s">
        <v>229</v>
      </c>
      <c r="Q14368">
        <v>0</v>
      </c>
      <c r="R14368">
        <v>123</v>
      </c>
      <c r="S14368">
        <v>123</v>
      </c>
      <c r="T14368" t="s">
        <v>50476</v>
      </c>
    </row>
    <row r="14369" spans="1:20" customFormat="1" ht="15" x14ac:dyDescent="0.25">
      <c r="A14369" t="s">
        <v>35</v>
      </c>
      <c r="B14369" t="s">
        <v>61</v>
      </c>
      <c r="C14369" t="str">
        <f>"A0123983"</f>
        <v>A0123983</v>
      </c>
      <c r="D14369" t="s">
        <v>50477</v>
      </c>
      <c r="E14369" t="s">
        <v>50478</v>
      </c>
      <c r="F14369" t="s">
        <v>14879</v>
      </c>
      <c r="G14369" t="s">
        <v>29</v>
      </c>
      <c r="H14369">
        <v>22101</v>
      </c>
      <c r="I14369" t="s">
        <v>30</v>
      </c>
      <c r="J14369" t="s">
        <v>41</v>
      </c>
      <c r="K14369" t="s">
        <v>482</v>
      </c>
      <c r="Q14369">
        <v>0</v>
      </c>
      <c r="R14369">
        <v>36</v>
      </c>
      <c r="S14369">
        <v>36</v>
      </c>
      <c r="T14369" t="s">
        <v>36811</v>
      </c>
    </row>
    <row r="14370" spans="1:20" customFormat="1" ht="15" x14ac:dyDescent="0.25">
      <c r="A14370" t="s">
        <v>35</v>
      </c>
      <c r="B14370" t="s">
        <v>437</v>
      </c>
      <c r="C14370" t="str">
        <f>"A0134022"</f>
        <v>A0134022</v>
      </c>
      <c r="D14370" t="s">
        <v>50479</v>
      </c>
      <c r="E14370" t="s">
        <v>50480</v>
      </c>
      <c r="F14370" t="s">
        <v>20721</v>
      </c>
      <c r="G14370" t="s">
        <v>99</v>
      </c>
      <c r="H14370">
        <v>13495</v>
      </c>
      <c r="I14370" t="s">
        <v>30</v>
      </c>
      <c r="J14370" t="s">
        <v>441</v>
      </c>
      <c r="K14370" t="s">
        <v>442</v>
      </c>
      <c r="Q14370">
        <v>0</v>
      </c>
      <c r="R14370">
        <v>0</v>
      </c>
      <c r="S14370">
        <v>0</v>
      </c>
      <c r="T14370" t="s">
        <v>7662</v>
      </c>
    </row>
    <row r="14371" spans="1:20" customFormat="1" ht="15" x14ac:dyDescent="0.25">
      <c r="A14371" t="s">
        <v>35</v>
      </c>
      <c r="B14371" t="s">
        <v>61</v>
      </c>
      <c r="C14371" t="str">
        <f>"A0130985"</f>
        <v>A0130985</v>
      </c>
      <c r="D14371" t="s">
        <v>50481</v>
      </c>
      <c r="E14371" t="s">
        <v>50482</v>
      </c>
      <c r="F14371" t="s">
        <v>50483</v>
      </c>
      <c r="G14371" t="s">
        <v>85</v>
      </c>
      <c r="H14371">
        <v>721100000</v>
      </c>
      <c r="I14371" t="s">
        <v>30</v>
      </c>
      <c r="J14371" t="s">
        <v>41</v>
      </c>
      <c r="K14371" t="s">
        <v>2760</v>
      </c>
      <c r="Q14371">
        <v>0</v>
      </c>
      <c r="R14371">
        <v>1</v>
      </c>
      <c r="S14371">
        <v>1</v>
      </c>
      <c r="T14371" t="s">
        <v>50484</v>
      </c>
    </row>
    <row r="14372" spans="1:20" customFormat="1" ht="15" x14ac:dyDescent="0.25">
      <c r="A14372" t="s">
        <v>35</v>
      </c>
      <c r="B14372" t="s">
        <v>61</v>
      </c>
      <c r="C14372" t="str">
        <f>"A0129305"</f>
        <v>A0129305</v>
      </c>
      <c r="D14372" t="s">
        <v>50485</v>
      </c>
      <c r="E14372" t="s">
        <v>50486</v>
      </c>
      <c r="F14372" t="s">
        <v>7292</v>
      </c>
      <c r="G14372" t="s">
        <v>289</v>
      </c>
      <c r="H14372">
        <v>60563</v>
      </c>
      <c r="I14372" t="s">
        <v>30</v>
      </c>
      <c r="J14372" t="s">
        <v>41</v>
      </c>
      <c r="K14372" t="s">
        <v>229</v>
      </c>
      <c r="Q14372">
        <v>0</v>
      </c>
      <c r="R14372">
        <v>120</v>
      </c>
      <c r="S14372">
        <v>120</v>
      </c>
      <c r="T14372" t="s">
        <v>50487</v>
      </c>
    </row>
    <row r="14373" spans="1:20" customFormat="1" ht="15" x14ac:dyDescent="0.25">
      <c r="A14373" t="s">
        <v>35</v>
      </c>
      <c r="B14373" t="s">
        <v>61</v>
      </c>
      <c r="C14373" t="str">
        <f>"A0129304"</f>
        <v>A0129304</v>
      </c>
      <c r="D14373" t="s">
        <v>50488</v>
      </c>
      <c r="E14373" t="s">
        <v>50489</v>
      </c>
      <c r="F14373" t="s">
        <v>7292</v>
      </c>
      <c r="G14373" t="s">
        <v>289</v>
      </c>
      <c r="H14373">
        <v>60563</v>
      </c>
      <c r="I14373" t="s">
        <v>30</v>
      </c>
      <c r="J14373" t="s">
        <v>41</v>
      </c>
      <c r="K14373" t="s">
        <v>59</v>
      </c>
      <c r="Q14373">
        <v>0</v>
      </c>
      <c r="R14373">
        <v>95</v>
      </c>
      <c r="S14373">
        <v>95</v>
      </c>
      <c r="T14373" t="s">
        <v>50487</v>
      </c>
    </row>
    <row r="14374" spans="1:20" customFormat="1" ht="15" x14ac:dyDescent="0.25">
      <c r="A14374" t="s">
        <v>35</v>
      </c>
      <c r="B14374" t="s">
        <v>61</v>
      </c>
      <c r="C14374" t="str">
        <f>"A0130290"</f>
        <v>A0130290</v>
      </c>
      <c r="D14374" t="s">
        <v>50490</v>
      </c>
      <c r="E14374" t="s">
        <v>50491</v>
      </c>
      <c r="F14374" t="s">
        <v>50492</v>
      </c>
      <c r="G14374" t="s">
        <v>1898</v>
      </c>
      <c r="H14374">
        <v>515630000</v>
      </c>
      <c r="I14374" t="s">
        <v>30</v>
      </c>
      <c r="J14374" t="s">
        <v>41</v>
      </c>
      <c r="K14374" t="s">
        <v>229</v>
      </c>
      <c r="Q14374">
        <v>0</v>
      </c>
      <c r="R14374">
        <v>83</v>
      </c>
      <c r="S14374">
        <v>83</v>
      </c>
      <c r="T14374" t="s">
        <v>50493</v>
      </c>
    </row>
    <row r="14375" spans="1:20" customFormat="1" ht="15" x14ac:dyDescent="0.25">
      <c r="A14375" t="s">
        <v>35</v>
      </c>
      <c r="B14375" t="s">
        <v>437</v>
      </c>
      <c r="C14375" t="str">
        <f>"A0134062"</f>
        <v>A0134062</v>
      </c>
      <c r="D14375" t="s">
        <v>50494</v>
      </c>
      <c r="E14375" t="s">
        <v>50495</v>
      </c>
      <c r="F14375" t="s">
        <v>8032</v>
      </c>
      <c r="G14375" t="s">
        <v>110</v>
      </c>
      <c r="H14375">
        <v>92373</v>
      </c>
      <c r="I14375" t="s">
        <v>30</v>
      </c>
      <c r="J14375" t="s">
        <v>441</v>
      </c>
      <c r="K14375" t="s">
        <v>442</v>
      </c>
      <c r="Q14375">
        <v>0</v>
      </c>
      <c r="R14375">
        <v>0</v>
      </c>
      <c r="S14375">
        <v>0</v>
      </c>
      <c r="T14375" t="s">
        <v>50496</v>
      </c>
    </row>
    <row r="14376" spans="1:20" customFormat="1" ht="15" x14ac:dyDescent="0.25">
      <c r="A14376" t="s">
        <v>35</v>
      </c>
      <c r="B14376" t="s">
        <v>437</v>
      </c>
      <c r="C14376" t="str">
        <f>"A0134055"</f>
        <v>A0134055</v>
      </c>
      <c r="D14376" t="s">
        <v>50497</v>
      </c>
      <c r="E14376" t="s">
        <v>50498</v>
      </c>
      <c r="F14376" t="s">
        <v>33716</v>
      </c>
      <c r="G14376" t="s">
        <v>110</v>
      </c>
      <c r="H14376">
        <v>92629</v>
      </c>
      <c r="I14376" t="s">
        <v>30</v>
      </c>
      <c r="J14376" t="s">
        <v>441</v>
      </c>
      <c r="K14376" t="s">
        <v>442</v>
      </c>
      <c r="Q14376">
        <v>0</v>
      </c>
      <c r="R14376">
        <v>0</v>
      </c>
      <c r="S14376">
        <v>0</v>
      </c>
      <c r="T14376" t="s">
        <v>50499</v>
      </c>
    </row>
    <row r="14377" spans="1:20" customFormat="1" ht="15" x14ac:dyDescent="0.25">
      <c r="A14377" t="s">
        <v>35</v>
      </c>
      <c r="B14377" t="s">
        <v>61</v>
      </c>
      <c r="C14377" t="str">
        <f>"A0150441"</f>
        <v>A0150441</v>
      </c>
      <c r="D14377" t="s">
        <v>50500</v>
      </c>
      <c r="E14377" t="s">
        <v>50501</v>
      </c>
      <c r="F14377" t="s">
        <v>1039</v>
      </c>
      <c r="G14377" t="s">
        <v>76</v>
      </c>
      <c r="H14377">
        <v>98444</v>
      </c>
      <c r="I14377" t="s">
        <v>30</v>
      </c>
      <c r="J14377" t="s">
        <v>41</v>
      </c>
      <c r="K14377" t="s">
        <v>229</v>
      </c>
      <c r="Q14377">
        <v>0</v>
      </c>
      <c r="R14377">
        <v>150</v>
      </c>
      <c r="S14377">
        <v>150</v>
      </c>
      <c r="T14377" t="s">
        <v>50502</v>
      </c>
    </row>
    <row r="14378" spans="1:20" customFormat="1" ht="15" x14ac:dyDescent="0.25">
      <c r="A14378" t="s">
        <v>35</v>
      </c>
      <c r="B14378" t="s">
        <v>61</v>
      </c>
      <c r="C14378" t="str">
        <f>"A0127631"</f>
        <v>A0127631</v>
      </c>
      <c r="D14378" t="s">
        <v>50503</v>
      </c>
      <c r="E14378" t="s">
        <v>50504</v>
      </c>
      <c r="F14378" t="s">
        <v>2789</v>
      </c>
      <c r="G14378" t="s">
        <v>123</v>
      </c>
      <c r="H14378">
        <v>21601</v>
      </c>
      <c r="I14378" t="s">
        <v>30</v>
      </c>
      <c r="J14378" t="s">
        <v>41</v>
      </c>
      <c r="K14378" t="s">
        <v>456</v>
      </c>
      <c r="Q14378">
        <v>0</v>
      </c>
      <c r="R14378">
        <v>32</v>
      </c>
      <c r="S14378">
        <v>32</v>
      </c>
      <c r="T14378" t="s">
        <v>50505</v>
      </c>
    </row>
    <row r="14379" spans="1:20" customFormat="1" ht="15" x14ac:dyDescent="0.25">
      <c r="A14379" t="s">
        <v>35</v>
      </c>
      <c r="B14379" t="s">
        <v>61</v>
      </c>
      <c r="C14379" t="str">
        <f>"A0152967"</f>
        <v>A0152967</v>
      </c>
      <c r="D14379" t="s">
        <v>50506</v>
      </c>
      <c r="E14379" t="s">
        <v>50507</v>
      </c>
      <c r="F14379" t="s">
        <v>3555</v>
      </c>
      <c r="G14379" t="s">
        <v>81</v>
      </c>
      <c r="H14379">
        <v>32311</v>
      </c>
      <c r="I14379" t="s">
        <v>30</v>
      </c>
      <c r="J14379" t="s">
        <v>41</v>
      </c>
      <c r="K14379" t="s">
        <v>42</v>
      </c>
      <c r="Q14379">
        <v>0</v>
      </c>
      <c r="R14379">
        <v>0</v>
      </c>
      <c r="S14379">
        <v>0</v>
      </c>
      <c r="T14379" t="s">
        <v>50508</v>
      </c>
    </row>
    <row r="14380" spans="1:20" customFormat="1" ht="15" x14ac:dyDescent="0.25">
      <c r="A14380" t="s">
        <v>35</v>
      </c>
      <c r="B14380" t="s">
        <v>437</v>
      </c>
      <c r="C14380" t="str">
        <f>"A0134784"</f>
        <v>A0134784</v>
      </c>
      <c r="D14380" t="s">
        <v>50509</v>
      </c>
      <c r="E14380" t="s">
        <v>50510</v>
      </c>
      <c r="F14380" t="s">
        <v>50511</v>
      </c>
      <c r="G14380" t="s">
        <v>99</v>
      </c>
      <c r="H14380">
        <v>13360</v>
      </c>
      <c r="I14380" t="s">
        <v>30</v>
      </c>
      <c r="J14380" t="s">
        <v>441</v>
      </c>
      <c r="K14380" t="s">
        <v>442</v>
      </c>
      <c r="Q14380">
        <v>0</v>
      </c>
      <c r="R14380">
        <v>0</v>
      </c>
      <c r="S14380">
        <v>0</v>
      </c>
      <c r="T14380" t="s">
        <v>50512</v>
      </c>
    </row>
    <row r="14381" spans="1:20" customFormat="1" ht="15" x14ac:dyDescent="0.25">
      <c r="A14381" t="s">
        <v>35</v>
      </c>
      <c r="B14381" t="s">
        <v>61</v>
      </c>
      <c r="C14381" t="str">
        <f>"A0124815"</f>
        <v>A0124815</v>
      </c>
      <c r="D14381" t="s">
        <v>50513</v>
      </c>
      <c r="E14381" t="s">
        <v>50514</v>
      </c>
      <c r="F14381" t="s">
        <v>472</v>
      </c>
      <c r="G14381" t="s">
        <v>214</v>
      </c>
      <c r="H14381">
        <v>27606</v>
      </c>
      <c r="I14381" t="s">
        <v>30</v>
      </c>
      <c r="J14381" t="s">
        <v>41</v>
      </c>
      <c r="K14381" t="s">
        <v>131</v>
      </c>
      <c r="Q14381">
        <v>0</v>
      </c>
      <c r="R14381">
        <v>30</v>
      </c>
      <c r="S14381">
        <v>30</v>
      </c>
      <c r="T14381" t="s">
        <v>50515</v>
      </c>
    </row>
    <row r="14382" spans="1:20" customFormat="1" ht="15" x14ac:dyDescent="0.25">
      <c r="A14382" t="s">
        <v>35</v>
      </c>
      <c r="B14382" t="s">
        <v>61</v>
      </c>
      <c r="C14382" t="str">
        <f>"A0118496"</f>
        <v>A0118496</v>
      </c>
      <c r="D14382" t="s">
        <v>50516</v>
      </c>
      <c r="E14382" t="s">
        <v>50517</v>
      </c>
      <c r="F14382" t="s">
        <v>8047</v>
      </c>
      <c r="G14382" t="s">
        <v>110</v>
      </c>
      <c r="H14382">
        <v>94598</v>
      </c>
      <c r="I14382" t="s">
        <v>30</v>
      </c>
      <c r="J14382" t="s">
        <v>41</v>
      </c>
      <c r="K14382" t="s">
        <v>229</v>
      </c>
      <c r="Q14382">
        <v>0</v>
      </c>
      <c r="R14382">
        <v>110</v>
      </c>
      <c r="S14382">
        <v>110</v>
      </c>
      <c r="T14382" t="s">
        <v>50518</v>
      </c>
    </row>
    <row r="14383" spans="1:20" customFormat="1" ht="15" x14ac:dyDescent="0.25">
      <c r="A14383" t="s">
        <v>35</v>
      </c>
      <c r="B14383" t="s">
        <v>61</v>
      </c>
      <c r="C14383" t="str">
        <f>"A0125734"</f>
        <v>A0125734</v>
      </c>
      <c r="D14383" t="s">
        <v>50519</v>
      </c>
      <c r="E14383" t="s">
        <v>50520</v>
      </c>
      <c r="F14383" t="s">
        <v>13867</v>
      </c>
      <c r="G14383" t="s">
        <v>29</v>
      </c>
      <c r="H14383">
        <v>244260000</v>
      </c>
      <c r="I14383" t="s">
        <v>30</v>
      </c>
      <c r="J14383" t="s">
        <v>41</v>
      </c>
      <c r="K14383" t="s">
        <v>1440</v>
      </c>
      <c r="Q14383">
        <v>0</v>
      </c>
      <c r="R14383">
        <v>86</v>
      </c>
      <c r="S14383">
        <v>86</v>
      </c>
      <c r="T14383" t="s">
        <v>50521</v>
      </c>
    </row>
    <row r="14384" spans="1:20" customFormat="1" ht="15" x14ac:dyDescent="0.25">
      <c r="A14384" t="s">
        <v>35</v>
      </c>
      <c r="B14384" t="s">
        <v>61</v>
      </c>
      <c r="C14384" t="str">
        <f>"A0129051"</f>
        <v>A0129051</v>
      </c>
      <c r="D14384" t="s">
        <v>50522</v>
      </c>
      <c r="E14384" t="s">
        <v>50523</v>
      </c>
      <c r="F14384" t="s">
        <v>9255</v>
      </c>
      <c r="G14384" t="s">
        <v>289</v>
      </c>
      <c r="H14384">
        <v>62521</v>
      </c>
      <c r="I14384" t="s">
        <v>30</v>
      </c>
      <c r="J14384" t="s">
        <v>41</v>
      </c>
      <c r="K14384" t="s">
        <v>59</v>
      </c>
      <c r="Q14384">
        <v>0</v>
      </c>
      <c r="R14384">
        <v>55</v>
      </c>
      <c r="S14384">
        <v>55</v>
      </c>
      <c r="T14384" t="s">
        <v>50524</v>
      </c>
    </row>
    <row r="14385" spans="1:20" customFormat="1" ht="15" x14ac:dyDescent="0.25">
      <c r="A14385" t="s">
        <v>35</v>
      </c>
      <c r="B14385" t="s">
        <v>14342</v>
      </c>
      <c r="C14385" t="str">
        <f>"A0121353"</f>
        <v>A0121353</v>
      </c>
      <c r="D14385" t="s">
        <v>50525</v>
      </c>
      <c r="E14385" t="s">
        <v>50526</v>
      </c>
      <c r="F14385" t="s">
        <v>50527</v>
      </c>
      <c r="G14385" t="s">
        <v>1587</v>
      </c>
      <c r="H14385">
        <v>87571</v>
      </c>
      <c r="I14385" t="s">
        <v>30</v>
      </c>
      <c r="J14385" t="s">
        <v>41</v>
      </c>
      <c r="K14385" t="s">
        <v>229</v>
      </c>
      <c r="Q14385">
        <v>0</v>
      </c>
      <c r="R14385">
        <v>102</v>
      </c>
      <c r="S14385">
        <v>75</v>
      </c>
      <c r="T14385" t="s">
        <v>50528</v>
      </c>
    </row>
    <row r="14386" spans="1:20" customFormat="1" ht="15" x14ac:dyDescent="0.25">
      <c r="A14386" t="s">
        <v>35</v>
      </c>
      <c r="B14386" t="s">
        <v>61</v>
      </c>
      <c r="C14386" t="str">
        <f>"A0124385"</f>
        <v>A0124385</v>
      </c>
      <c r="D14386" t="s">
        <v>50529</v>
      </c>
      <c r="E14386" t="s">
        <v>50530</v>
      </c>
      <c r="F14386" t="s">
        <v>31994</v>
      </c>
      <c r="G14386" t="s">
        <v>2391</v>
      </c>
      <c r="H14386">
        <v>5301</v>
      </c>
      <c r="I14386" t="s">
        <v>30</v>
      </c>
      <c r="J14386" t="s">
        <v>41</v>
      </c>
      <c r="K14386" t="s">
        <v>59</v>
      </c>
      <c r="Q14386">
        <v>0</v>
      </c>
      <c r="R14386">
        <v>120</v>
      </c>
      <c r="S14386">
        <v>120</v>
      </c>
      <c r="T14386" t="s">
        <v>37904</v>
      </c>
    </row>
    <row r="14387" spans="1:20" customFormat="1" ht="15" x14ac:dyDescent="0.25">
      <c r="A14387" t="s">
        <v>35</v>
      </c>
      <c r="B14387" t="s">
        <v>61</v>
      </c>
      <c r="C14387" t="str">
        <f>"A0127369"</f>
        <v>A0127369</v>
      </c>
      <c r="D14387" t="s">
        <v>50531</v>
      </c>
      <c r="E14387" t="s">
        <v>50532</v>
      </c>
      <c r="F14387" t="s">
        <v>12274</v>
      </c>
      <c r="G14387" t="s">
        <v>846</v>
      </c>
      <c r="H14387">
        <v>30022</v>
      </c>
      <c r="I14387" t="s">
        <v>30</v>
      </c>
      <c r="J14387" t="s">
        <v>41</v>
      </c>
      <c r="K14387" t="s">
        <v>59</v>
      </c>
      <c r="Q14387">
        <v>0</v>
      </c>
      <c r="R14387">
        <v>110</v>
      </c>
      <c r="S14387">
        <v>110</v>
      </c>
      <c r="T14387" t="s">
        <v>50533</v>
      </c>
    </row>
    <row r="14388" spans="1:20" customFormat="1" ht="15" x14ac:dyDescent="0.25">
      <c r="A14388" t="s">
        <v>35</v>
      </c>
      <c r="B14388" t="s">
        <v>61</v>
      </c>
      <c r="C14388" t="str">
        <f>"A0124919"</f>
        <v>A0124919</v>
      </c>
      <c r="D14388" t="s">
        <v>50534</v>
      </c>
      <c r="E14388" t="s">
        <v>50535</v>
      </c>
      <c r="F14388" t="s">
        <v>14026</v>
      </c>
      <c r="G14388" t="s">
        <v>214</v>
      </c>
      <c r="H14388">
        <v>283270000</v>
      </c>
      <c r="I14388" t="s">
        <v>30</v>
      </c>
      <c r="J14388" t="s">
        <v>41</v>
      </c>
      <c r="K14388" t="s">
        <v>59</v>
      </c>
      <c r="Q14388">
        <v>0</v>
      </c>
      <c r="R14388">
        <v>80</v>
      </c>
      <c r="S14388">
        <v>80</v>
      </c>
      <c r="T14388" t="s">
        <v>50536</v>
      </c>
    </row>
    <row r="14389" spans="1:20" customFormat="1" ht="15" x14ac:dyDescent="0.25">
      <c r="A14389" t="s">
        <v>35</v>
      </c>
      <c r="B14389" t="s">
        <v>61</v>
      </c>
      <c r="C14389" t="str">
        <f>"A0125003"</f>
        <v>A0125003</v>
      </c>
      <c r="D14389" t="s">
        <v>50537</v>
      </c>
      <c r="E14389" t="s">
        <v>50538</v>
      </c>
      <c r="F14389" t="s">
        <v>38100</v>
      </c>
      <c r="G14389" t="s">
        <v>214</v>
      </c>
      <c r="H14389">
        <v>27886</v>
      </c>
      <c r="I14389" t="s">
        <v>30</v>
      </c>
      <c r="J14389" t="s">
        <v>41</v>
      </c>
      <c r="K14389" t="s">
        <v>229</v>
      </c>
      <c r="Q14389">
        <v>0</v>
      </c>
      <c r="R14389">
        <v>120</v>
      </c>
      <c r="S14389">
        <v>120</v>
      </c>
      <c r="T14389" t="s">
        <v>50539</v>
      </c>
    </row>
    <row r="14390" spans="1:20" customFormat="1" ht="15" x14ac:dyDescent="0.25">
      <c r="A14390" t="s">
        <v>35</v>
      </c>
      <c r="B14390" t="s">
        <v>61</v>
      </c>
      <c r="C14390" t="str">
        <f>"A0133690"</f>
        <v>A0133690</v>
      </c>
      <c r="D14390" t="s">
        <v>50540</v>
      </c>
      <c r="E14390" t="s">
        <v>50541</v>
      </c>
      <c r="F14390" t="s">
        <v>5257</v>
      </c>
      <c r="G14390" t="s">
        <v>52</v>
      </c>
      <c r="H14390">
        <v>77077</v>
      </c>
      <c r="I14390" t="s">
        <v>30</v>
      </c>
      <c r="J14390" t="s">
        <v>41</v>
      </c>
      <c r="K14390" t="s">
        <v>59</v>
      </c>
      <c r="Q14390">
        <v>0</v>
      </c>
      <c r="R14390">
        <v>142</v>
      </c>
      <c r="S14390">
        <v>142</v>
      </c>
      <c r="T14390" t="s">
        <v>50542</v>
      </c>
    </row>
    <row r="14391" spans="1:20" customFormat="1" ht="15" x14ac:dyDescent="0.25">
      <c r="A14391" t="s">
        <v>35</v>
      </c>
      <c r="B14391" t="s">
        <v>61</v>
      </c>
      <c r="C14391" t="str">
        <f>"A0119005"</f>
        <v>A0119005</v>
      </c>
      <c r="D14391" t="s">
        <v>50543</v>
      </c>
      <c r="E14391" t="s">
        <v>50544</v>
      </c>
      <c r="F14391" t="s">
        <v>37093</v>
      </c>
      <c r="G14391" t="s">
        <v>110</v>
      </c>
      <c r="H14391">
        <v>91356</v>
      </c>
      <c r="I14391" t="s">
        <v>30</v>
      </c>
      <c r="J14391" t="s">
        <v>41</v>
      </c>
      <c r="K14391" t="s">
        <v>229</v>
      </c>
      <c r="Q14391">
        <v>0</v>
      </c>
      <c r="R14391">
        <v>180</v>
      </c>
      <c r="S14391">
        <v>180</v>
      </c>
      <c r="T14391" t="s">
        <v>50545</v>
      </c>
    </row>
    <row r="14392" spans="1:20" customFormat="1" ht="15" x14ac:dyDescent="0.25">
      <c r="A14392" t="s">
        <v>35</v>
      </c>
      <c r="B14392" t="s">
        <v>437</v>
      </c>
      <c r="C14392" t="str">
        <f>"A0133915"</f>
        <v>A0133915</v>
      </c>
      <c r="D14392" t="s">
        <v>50546</v>
      </c>
      <c r="E14392" t="s">
        <v>50547</v>
      </c>
      <c r="F14392" t="s">
        <v>20829</v>
      </c>
      <c r="G14392" t="s">
        <v>110</v>
      </c>
      <c r="H14392">
        <v>90806</v>
      </c>
      <c r="I14392" t="s">
        <v>30</v>
      </c>
      <c r="J14392" t="s">
        <v>441</v>
      </c>
      <c r="K14392" t="s">
        <v>4020</v>
      </c>
      <c r="Q14392">
        <v>0</v>
      </c>
      <c r="R14392">
        <v>0</v>
      </c>
      <c r="S14392">
        <v>0</v>
      </c>
      <c r="T14392" t="s">
        <v>50548</v>
      </c>
    </row>
    <row r="14393" spans="1:20" customFormat="1" ht="15" x14ac:dyDescent="0.25">
      <c r="A14393" t="s">
        <v>35</v>
      </c>
      <c r="B14393" t="s">
        <v>437</v>
      </c>
      <c r="C14393" t="str">
        <f>"A0133916"</f>
        <v>A0133916</v>
      </c>
      <c r="D14393" t="s">
        <v>50549</v>
      </c>
      <c r="E14393" t="s">
        <v>50544</v>
      </c>
      <c r="F14393" t="s">
        <v>37093</v>
      </c>
      <c r="G14393" t="s">
        <v>110</v>
      </c>
      <c r="H14393">
        <v>91356</v>
      </c>
      <c r="I14393" t="s">
        <v>30</v>
      </c>
      <c r="J14393" t="s">
        <v>441</v>
      </c>
      <c r="K14393" t="s">
        <v>4020</v>
      </c>
      <c r="Q14393">
        <v>0</v>
      </c>
      <c r="R14393">
        <v>0</v>
      </c>
      <c r="S14393">
        <v>0</v>
      </c>
      <c r="T14393" t="s">
        <v>50545</v>
      </c>
    </row>
    <row r="14394" spans="1:20" customFormat="1" ht="15" x14ac:dyDescent="0.25">
      <c r="A14394" t="s">
        <v>35</v>
      </c>
      <c r="B14394" t="s">
        <v>437</v>
      </c>
      <c r="C14394" t="str">
        <f>"A0134054"</f>
        <v>A0134054</v>
      </c>
      <c r="D14394" t="s">
        <v>50550</v>
      </c>
      <c r="E14394" t="s">
        <v>50551</v>
      </c>
      <c r="F14394" t="s">
        <v>33716</v>
      </c>
      <c r="G14394" t="s">
        <v>110</v>
      </c>
      <c r="H14394">
        <v>92629</v>
      </c>
      <c r="I14394" t="s">
        <v>30</v>
      </c>
      <c r="J14394" t="s">
        <v>441</v>
      </c>
      <c r="K14394" t="s">
        <v>442</v>
      </c>
      <c r="Q14394">
        <v>0</v>
      </c>
      <c r="R14394">
        <v>0</v>
      </c>
      <c r="S14394">
        <v>0</v>
      </c>
      <c r="T14394" t="s">
        <v>50552</v>
      </c>
    </row>
    <row r="14395" spans="1:20" customFormat="1" ht="15" x14ac:dyDescent="0.25">
      <c r="A14395" t="s">
        <v>35</v>
      </c>
      <c r="B14395" t="s">
        <v>61</v>
      </c>
      <c r="C14395" t="str">
        <f>"A0129915"</f>
        <v>A0129915</v>
      </c>
      <c r="D14395" t="s">
        <v>50553</v>
      </c>
      <c r="E14395" t="s">
        <v>50554</v>
      </c>
      <c r="F14395" t="s">
        <v>1501</v>
      </c>
      <c r="G14395" t="s">
        <v>880</v>
      </c>
      <c r="H14395">
        <v>38106</v>
      </c>
      <c r="I14395" t="s">
        <v>30</v>
      </c>
      <c r="J14395" t="s">
        <v>41</v>
      </c>
      <c r="K14395" t="s">
        <v>131</v>
      </c>
      <c r="Q14395">
        <v>0</v>
      </c>
      <c r="R14395">
        <v>16</v>
      </c>
      <c r="S14395">
        <v>16</v>
      </c>
      <c r="T14395" t="s">
        <v>50555</v>
      </c>
    </row>
    <row r="14396" spans="1:20" customFormat="1" ht="15" x14ac:dyDescent="0.25">
      <c r="A14396" t="s">
        <v>35</v>
      </c>
      <c r="B14396" t="s">
        <v>61</v>
      </c>
      <c r="C14396" t="str">
        <f>"A0123985"</f>
        <v>A0123985</v>
      </c>
      <c r="D14396" t="s">
        <v>50556</v>
      </c>
      <c r="E14396" t="s">
        <v>50557</v>
      </c>
      <c r="F14396" t="s">
        <v>50558</v>
      </c>
      <c r="G14396" t="s">
        <v>214</v>
      </c>
      <c r="H14396">
        <v>28577</v>
      </c>
      <c r="I14396" t="s">
        <v>30</v>
      </c>
      <c r="J14396" t="s">
        <v>41</v>
      </c>
      <c r="K14396" t="s">
        <v>229</v>
      </c>
      <c r="Q14396">
        <v>0</v>
      </c>
      <c r="R14396">
        <v>104</v>
      </c>
      <c r="S14396">
        <v>104</v>
      </c>
      <c r="T14396" t="s">
        <v>50559</v>
      </c>
    </row>
    <row r="14397" spans="1:20" customFormat="1" ht="15" x14ac:dyDescent="0.25">
      <c r="A14397" t="s">
        <v>35</v>
      </c>
      <c r="B14397" t="s">
        <v>61</v>
      </c>
      <c r="C14397" t="str">
        <f>"A0126854"</f>
        <v>A0126854</v>
      </c>
      <c r="D14397" t="s">
        <v>50560</v>
      </c>
      <c r="E14397" t="s">
        <v>50561</v>
      </c>
      <c r="F14397" t="s">
        <v>102</v>
      </c>
      <c r="G14397" t="s">
        <v>103</v>
      </c>
      <c r="H14397">
        <v>15237</v>
      </c>
      <c r="I14397" t="s">
        <v>30</v>
      </c>
      <c r="J14397" t="s">
        <v>41</v>
      </c>
      <c r="K14397" t="s">
        <v>1412</v>
      </c>
      <c r="Q14397">
        <v>0</v>
      </c>
      <c r="R14397">
        <v>0</v>
      </c>
      <c r="S14397">
        <v>0</v>
      </c>
      <c r="T14397" t="s">
        <v>50562</v>
      </c>
    </row>
    <row r="14398" spans="1:20" customFormat="1" ht="15" x14ac:dyDescent="0.25">
      <c r="A14398" t="s">
        <v>35</v>
      </c>
      <c r="B14398" t="s">
        <v>106</v>
      </c>
      <c r="C14398" t="str">
        <f>"A0135628"</f>
        <v>A0135628</v>
      </c>
      <c r="D14398" t="s">
        <v>50563</v>
      </c>
      <c r="E14398" t="s">
        <v>50564</v>
      </c>
      <c r="F14398" t="s">
        <v>4133</v>
      </c>
      <c r="G14398" t="s">
        <v>52</v>
      </c>
      <c r="H14398">
        <v>78752</v>
      </c>
      <c r="I14398" t="s">
        <v>30</v>
      </c>
      <c r="J14398" t="s">
        <v>111</v>
      </c>
      <c r="K14398" t="s">
        <v>112</v>
      </c>
      <c r="Q14398">
        <v>0</v>
      </c>
      <c r="R14398">
        <v>0</v>
      </c>
      <c r="S14398">
        <v>0</v>
      </c>
      <c r="T14398" t="s">
        <v>50565</v>
      </c>
    </row>
    <row r="14399" spans="1:20" customFormat="1" ht="15" x14ac:dyDescent="0.25">
      <c r="A14399" t="s">
        <v>35</v>
      </c>
      <c r="B14399" t="s">
        <v>437</v>
      </c>
      <c r="C14399" t="str">
        <f>"A0133839"</f>
        <v>A0133839</v>
      </c>
      <c r="D14399" t="s">
        <v>50566</v>
      </c>
      <c r="E14399" t="s">
        <v>50567</v>
      </c>
      <c r="F14399" t="s">
        <v>41368</v>
      </c>
      <c r="G14399" t="s">
        <v>110</v>
      </c>
      <c r="H14399">
        <v>923150000</v>
      </c>
      <c r="I14399" t="s">
        <v>30</v>
      </c>
      <c r="J14399" t="s">
        <v>441</v>
      </c>
      <c r="K14399" t="s">
        <v>442</v>
      </c>
      <c r="Q14399">
        <v>0</v>
      </c>
      <c r="R14399">
        <v>0</v>
      </c>
      <c r="S14399">
        <v>0</v>
      </c>
      <c r="T14399" t="s">
        <v>50568</v>
      </c>
    </row>
    <row r="14400" spans="1:20" customFormat="1" ht="15" x14ac:dyDescent="0.25">
      <c r="A14400" t="s">
        <v>35</v>
      </c>
      <c r="B14400" t="s">
        <v>437</v>
      </c>
      <c r="C14400" t="str">
        <f>"A0133921"</f>
        <v>A0133921</v>
      </c>
      <c r="D14400" t="s">
        <v>50569</v>
      </c>
      <c r="E14400" t="s">
        <v>50570</v>
      </c>
      <c r="F14400" t="s">
        <v>3180</v>
      </c>
      <c r="G14400" t="s">
        <v>99</v>
      </c>
      <c r="H14400">
        <v>13440</v>
      </c>
      <c r="I14400" t="s">
        <v>30</v>
      </c>
      <c r="J14400" t="s">
        <v>441</v>
      </c>
      <c r="K14400" t="s">
        <v>442</v>
      </c>
      <c r="Q14400">
        <v>0</v>
      </c>
      <c r="R14400">
        <v>0</v>
      </c>
      <c r="S14400">
        <v>0</v>
      </c>
      <c r="T14400" t="s">
        <v>50571</v>
      </c>
    </row>
    <row r="14401" spans="1:20" customFormat="1" ht="15" x14ac:dyDescent="0.25">
      <c r="A14401" t="s">
        <v>35</v>
      </c>
      <c r="B14401" t="s">
        <v>61</v>
      </c>
      <c r="C14401" t="str">
        <f>"A0152964"</f>
        <v>A0152964</v>
      </c>
      <c r="D14401" t="s">
        <v>50572</v>
      </c>
      <c r="E14401" t="s">
        <v>50573</v>
      </c>
      <c r="F14401" t="s">
        <v>21033</v>
      </c>
      <c r="G14401" t="s">
        <v>840</v>
      </c>
      <c r="H14401">
        <v>42409</v>
      </c>
      <c r="I14401" t="s">
        <v>30</v>
      </c>
      <c r="J14401" t="s">
        <v>41</v>
      </c>
      <c r="K14401" t="s">
        <v>42</v>
      </c>
      <c r="Q14401">
        <v>0</v>
      </c>
      <c r="R14401">
        <v>0</v>
      </c>
      <c r="S14401">
        <v>0</v>
      </c>
      <c r="T14401" t="s">
        <v>50574</v>
      </c>
    </row>
    <row r="14402" spans="1:20" customFormat="1" ht="15" x14ac:dyDescent="0.25">
      <c r="A14402" t="s">
        <v>35</v>
      </c>
      <c r="B14402" t="s">
        <v>61</v>
      </c>
      <c r="C14402" t="str">
        <f>"A0152959"</f>
        <v>A0152959</v>
      </c>
      <c r="D14402" t="s">
        <v>50575</v>
      </c>
      <c r="E14402" t="s">
        <v>50576</v>
      </c>
      <c r="F14402" t="s">
        <v>64</v>
      </c>
      <c r="G14402" t="s">
        <v>846</v>
      </c>
      <c r="H14402">
        <v>31901</v>
      </c>
      <c r="I14402" t="s">
        <v>30</v>
      </c>
      <c r="J14402" t="s">
        <v>41</v>
      </c>
      <c r="K14402" t="s">
        <v>42</v>
      </c>
      <c r="Q14402">
        <v>0</v>
      </c>
      <c r="R14402">
        <v>0</v>
      </c>
      <c r="S14402">
        <v>0</v>
      </c>
      <c r="T14402" t="s">
        <v>49668</v>
      </c>
    </row>
    <row r="14403" spans="1:20" customFormat="1" ht="15" x14ac:dyDescent="0.25">
      <c r="A14403" t="s">
        <v>35</v>
      </c>
      <c r="B14403" t="s">
        <v>61</v>
      </c>
      <c r="C14403" t="str">
        <f>"A0152956"</f>
        <v>A0152956</v>
      </c>
      <c r="D14403" t="s">
        <v>50577</v>
      </c>
      <c r="E14403" t="s">
        <v>50578</v>
      </c>
      <c r="F14403" t="s">
        <v>64</v>
      </c>
      <c r="G14403" t="s">
        <v>846</v>
      </c>
      <c r="H14403">
        <v>31904</v>
      </c>
      <c r="I14403" t="s">
        <v>30</v>
      </c>
      <c r="J14403" t="s">
        <v>41</v>
      </c>
      <c r="K14403" t="s">
        <v>42</v>
      </c>
      <c r="Q14403">
        <v>0</v>
      </c>
      <c r="R14403">
        <v>0</v>
      </c>
      <c r="S14403">
        <v>0</v>
      </c>
      <c r="T14403" t="s">
        <v>50579</v>
      </c>
    </row>
    <row r="14404" spans="1:20" customFormat="1" ht="15" x14ac:dyDescent="0.25">
      <c r="A14404" t="s">
        <v>35</v>
      </c>
      <c r="B14404" t="s">
        <v>61</v>
      </c>
      <c r="C14404" t="str">
        <f>"A0152963"</f>
        <v>A0152963</v>
      </c>
      <c r="D14404" t="s">
        <v>50580</v>
      </c>
      <c r="E14404" t="s">
        <v>50581</v>
      </c>
      <c r="F14404" t="s">
        <v>21033</v>
      </c>
      <c r="G14404" t="s">
        <v>840</v>
      </c>
      <c r="H14404">
        <v>42409</v>
      </c>
      <c r="I14404" t="s">
        <v>30</v>
      </c>
      <c r="J14404" t="s">
        <v>41</v>
      </c>
      <c r="K14404" t="s">
        <v>42</v>
      </c>
      <c r="Q14404">
        <v>0</v>
      </c>
      <c r="R14404">
        <v>0</v>
      </c>
      <c r="S14404">
        <v>0</v>
      </c>
      <c r="T14404" t="s">
        <v>50574</v>
      </c>
    </row>
    <row r="14405" spans="1:20" customFormat="1" ht="15" x14ac:dyDescent="0.25">
      <c r="A14405" t="s">
        <v>35</v>
      </c>
      <c r="B14405" t="s">
        <v>61</v>
      </c>
      <c r="C14405" t="str">
        <f>"A0126836"</f>
        <v>A0126836</v>
      </c>
      <c r="D14405" t="s">
        <v>18972</v>
      </c>
      <c r="E14405" t="s">
        <v>50582</v>
      </c>
      <c r="F14405" t="s">
        <v>18974</v>
      </c>
      <c r="G14405" t="s">
        <v>103</v>
      </c>
      <c r="H14405">
        <v>19344</v>
      </c>
      <c r="I14405" t="s">
        <v>30</v>
      </c>
      <c r="J14405" t="s">
        <v>41</v>
      </c>
      <c r="K14405" t="s">
        <v>1440</v>
      </c>
      <c r="Q14405">
        <v>0</v>
      </c>
      <c r="R14405">
        <v>250</v>
      </c>
      <c r="S14405">
        <v>250</v>
      </c>
      <c r="T14405" t="s">
        <v>50583</v>
      </c>
    </row>
    <row r="14406" spans="1:20" customFormat="1" ht="15" x14ac:dyDescent="0.25">
      <c r="A14406" t="s">
        <v>35</v>
      </c>
      <c r="B14406" t="s">
        <v>61</v>
      </c>
      <c r="C14406" t="str">
        <f>"A0118450"</f>
        <v>A0118450</v>
      </c>
      <c r="D14406" t="s">
        <v>50584</v>
      </c>
      <c r="E14406" t="s">
        <v>50585</v>
      </c>
      <c r="F14406" t="s">
        <v>21823</v>
      </c>
      <c r="G14406" t="s">
        <v>110</v>
      </c>
      <c r="H14406">
        <v>94501</v>
      </c>
      <c r="I14406" t="s">
        <v>30</v>
      </c>
      <c r="J14406" t="s">
        <v>41</v>
      </c>
      <c r="K14406" t="s">
        <v>290</v>
      </c>
      <c r="Q14406">
        <v>0</v>
      </c>
      <c r="R14406">
        <v>1</v>
      </c>
      <c r="S14406">
        <v>1</v>
      </c>
      <c r="T14406" t="s">
        <v>5468</v>
      </c>
    </row>
    <row r="14407" spans="1:20" customFormat="1" ht="15" x14ac:dyDescent="0.25">
      <c r="A14407" t="s">
        <v>35</v>
      </c>
      <c r="B14407" t="s">
        <v>61</v>
      </c>
      <c r="C14407" t="str">
        <f>"A0123110"</f>
        <v>A0123110</v>
      </c>
      <c r="D14407" t="s">
        <v>50586</v>
      </c>
      <c r="E14407" t="s">
        <v>50587</v>
      </c>
      <c r="F14407" t="s">
        <v>1031</v>
      </c>
      <c r="G14407" t="s">
        <v>76</v>
      </c>
      <c r="H14407">
        <v>98003</v>
      </c>
      <c r="I14407" t="s">
        <v>30</v>
      </c>
      <c r="J14407" t="s">
        <v>41</v>
      </c>
      <c r="K14407" t="s">
        <v>290</v>
      </c>
      <c r="Q14407">
        <v>0</v>
      </c>
      <c r="R14407">
        <v>0</v>
      </c>
      <c r="S14407">
        <v>0</v>
      </c>
      <c r="T14407" t="s">
        <v>72</v>
      </c>
    </row>
    <row r="14408" spans="1:20" customFormat="1" ht="15" x14ac:dyDescent="0.25">
      <c r="A14408" t="s">
        <v>35</v>
      </c>
      <c r="B14408" t="s">
        <v>61</v>
      </c>
      <c r="C14408" t="str">
        <f>"A0118210"</f>
        <v>A0118210</v>
      </c>
      <c r="D14408" t="s">
        <v>50588</v>
      </c>
      <c r="E14408" t="s">
        <v>50589</v>
      </c>
      <c r="F14408" t="s">
        <v>38643</v>
      </c>
      <c r="G14408" t="s">
        <v>153</v>
      </c>
      <c r="H14408">
        <v>84057</v>
      </c>
      <c r="I14408" t="s">
        <v>30</v>
      </c>
      <c r="J14408" t="s">
        <v>41</v>
      </c>
      <c r="K14408" t="s">
        <v>461</v>
      </c>
      <c r="Q14408">
        <v>0</v>
      </c>
      <c r="R14408">
        <v>45</v>
      </c>
      <c r="S14408">
        <v>45</v>
      </c>
      <c r="T14408" t="s">
        <v>50590</v>
      </c>
    </row>
    <row r="14409" spans="1:20" customFormat="1" ht="15" x14ac:dyDescent="0.25">
      <c r="A14409" t="s">
        <v>35</v>
      </c>
      <c r="B14409" t="s">
        <v>61</v>
      </c>
      <c r="C14409" t="str">
        <f>"A0125378"</f>
        <v>A0125378</v>
      </c>
      <c r="D14409" t="s">
        <v>50591</v>
      </c>
      <c r="E14409" t="s">
        <v>50592</v>
      </c>
      <c r="F14409" t="s">
        <v>50593</v>
      </c>
      <c r="G14409" t="s">
        <v>40</v>
      </c>
      <c r="H14409">
        <v>73568</v>
      </c>
      <c r="I14409" t="s">
        <v>30</v>
      </c>
      <c r="J14409" t="s">
        <v>41</v>
      </c>
      <c r="K14409" t="s">
        <v>229</v>
      </c>
      <c r="Q14409">
        <v>0</v>
      </c>
      <c r="R14409">
        <v>41</v>
      </c>
      <c r="S14409">
        <v>41</v>
      </c>
      <c r="T14409" t="s">
        <v>50594</v>
      </c>
    </row>
    <row r="14410" spans="1:20" customFormat="1" ht="15" x14ac:dyDescent="0.25">
      <c r="A14410" t="s">
        <v>35</v>
      </c>
      <c r="B14410" t="s">
        <v>61</v>
      </c>
      <c r="C14410" t="str">
        <f>"A0123117"</f>
        <v>A0123117</v>
      </c>
      <c r="D14410" t="s">
        <v>50595</v>
      </c>
      <c r="E14410" t="s">
        <v>50596</v>
      </c>
      <c r="F14410" t="s">
        <v>36118</v>
      </c>
      <c r="G14410" t="s">
        <v>1184</v>
      </c>
      <c r="H14410">
        <v>59106</v>
      </c>
      <c r="I14410" t="s">
        <v>30</v>
      </c>
      <c r="J14410" t="s">
        <v>41</v>
      </c>
      <c r="K14410" t="s">
        <v>59</v>
      </c>
      <c r="Q14410">
        <v>0</v>
      </c>
      <c r="R14410">
        <v>100</v>
      </c>
      <c r="S14410">
        <v>100</v>
      </c>
      <c r="T14410" t="s">
        <v>50597</v>
      </c>
    </row>
    <row r="14411" spans="1:20" customFormat="1" ht="15" x14ac:dyDescent="0.25">
      <c r="A14411" t="s">
        <v>35</v>
      </c>
      <c r="B14411" t="s">
        <v>61</v>
      </c>
      <c r="C14411" t="str">
        <f>"A0125467"</f>
        <v>A0125467</v>
      </c>
      <c r="D14411" t="s">
        <v>50598</v>
      </c>
      <c r="E14411" t="s">
        <v>50599</v>
      </c>
      <c r="F14411" t="s">
        <v>50222</v>
      </c>
      <c r="G14411" t="s">
        <v>40</v>
      </c>
      <c r="H14411">
        <v>74471</v>
      </c>
      <c r="I14411" t="s">
        <v>30</v>
      </c>
      <c r="J14411" t="s">
        <v>41</v>
      </c>
      <c r="K14411" t="s">
        <v>59</v>
      </c>
      <c r="Q14411">
        <v>0</v>
      </c>
      <c r="R14411">
        <v>54</v>
      </c>
      <c r="S14411">
        <v>54</v>
      </c>
      <c r="T14411" t="s">
        <v>50223</v>
      </c>
    </row>
    <row r="14412" spans="1:20" customFormat="1" ht="15" x14ac:dyDescent="0.25">
      <c r="A14412" t="s">
        <v>35</v>
      </c>
      <c r="B14412" t="s">
        <v>61</v>
      </c>
      <c r="C14412" t="str">
        <f>"A0125466"</f>
        <v>A0125466</v>
      </c>
      <c r="D14412" t="s">
        <v>50600</v>
      </c>
      <c r="E14412" t="s">
        <v>50601</v>
      </c>
      <c r="F14412" t="s">
        <v>44423</v>
      </c>
      <c r="G14412" t="s">
        <v>40</v>
      </c>
      <c r="H14412">
        <v>74964</v>
      </c>
      <c r="I14412" t="s">
        <v>30</v>
      </c>
      <c r="J14412" t="s">
        <v>41</v>
      </c>
      <c r="K14412" t="s">
        <v>6300</v>
      </c>
      <c r="Q14412">
        <v>0</v>
      </c>
      <c r="R14412">
        <v>0</v>
      </c>
      <c r="S14412">
        <v>0</v>
      </c>
      <c r="T14412" t="s">
        <v>50602</v>
      </c>
    </row>
    <row r="14413" spans="1:20" customFormat="1" ht="15" x14ac:dyDescent="0.25">
      <c r="A14413" t="s">
        <v>35</v>
      </c>
      <c r="B14413" t="s">
        <v>61</v>
      </c>
      <c r="C14413" t="str">
        <f>"A0130074"</f>
        <v>A0130074</v>
      </c>
      <c r="D14413" t="s">
        <v>50603</v>
      </c>
      <c r="E14413" t="s">
        <v>50604</v>
      </c>
      <c r="F14413" t="s">
        <v>4075</v>
      </c>
      <c r="G14413" t="s">
        <v>880</v>
      </c>
      <c r="H14413">
        <v>37024</v>
      </c>
      <c r="I14413" t="s">
        <v>30</v>
      </c>
      <c r="J14413" t="s">
        <v>41</v>
      </c>
      <c r="K14413" t="s">
        <v>66</v>
      </c>
      <c r="Q14413">
        <v>0</v>
      </c>
      <c r="R14413">
        <v>24</v>
      </c>
      <c r="S14413">
        <v>24</v>
      </c>
      <c r="T14413" t="s">
        <v>50605</v>
      </c>
    </row>
    <row r="14414" spans="1:20" customFormat="1" ht="15" x14ac:dyDescent="0.25">
      <c r="A14414" t="s">
        <v>35</v>
      </c>
      <c r="B14414" t="s">
        <v>61</v>
      </c>
      <c r="C14414" t="str">
        <f>"A0129882"</f>
        <v>A0129882</v>
      </c>
      <c r="D14414" t="s">
        <v>50606</v>
      </c>
      <c r="E14414" t="s">
        <v>50607</v>
      </c>
      <c r="F14414" t="s">
        <v>1420</v>
      </c>
      <c r="G14414" t="s">
        <v>880</v>
      </c>
      <c r="H14414">
        <v>372240000</v>
      </c>
      <c r="I14414" t="s">
        <v>30</v>
      </c>
      <c r="J14414" t="s">
        <v>41</v>
      </c>
      <c r="K14414" t="s">
        <v>290</v>
      </c>
      <c r="Q14414">
        <v>0</v>
      </c>
      <c r="R14414">
        <v>1</v>
      </c>
      <c r="S14414">
        <v>1</v>
      </c>
      <c r="T14414" t="s">
        <v>50608</v>
      </c>
    </row>
    <row r="14415" spans="1:20" customFormat="1" ht="15" x14ac:dyDescent="0.25">
      <c r="A14415" t="s">
        <v>35</v>
      </c>
      <c r="B14415" t="s">
        <v>61</v>
      </c>
      <c r="C14415" t="str">
        <f>"A0123986"</f>
        <v>A0123986</v>
      </c>
      <c r="D14415" t="s">
        <v>50609</v>
      </c>
      <c r="E14415" t="s">
        <v>50610</v>
      </c>
      <c r="F14415" t="s">
        <v>25510</v>
      </c>
      <c r="G14415" t="s">
        <v>99</v>
      </c>
      <c r="H14415">
        <v>14221</v>
      </c>
      <c r="I14415" t="s">
        <v>30</v>
      </c>
      <c r="J14415" t="s">
        <v>41</v>
      </c>
      <c r="K14415" t="s">
        <v>482</v>
      </c>
      <c r="Q14415">
        <v>0</v>
      </c>
      <c r="R14415">
        <v>70</v>
      </c>
      <c r="S14415">
        <v>70</v>
      </c>
      <c r="T14415" t="s">
        <v>50611</v>
      </c>
    </row>
    <row r="14416" spans="1:20" customFormat="1" ht="15" x14ac:dyDescent="0.25">
      <c r="A14416" t="s">
        <v>35</v>
      </c>
      <c r="B14416" t="s">
        <v>61</v>
      </c>
      <c r="C14416" t="str">
        <f>"A0123105"</f>
        <v>A0123105</v>
      </c>
      <c r="D14416" t="s">
        <v>50612</v>
      </c>
      <c r="E14416" t="s">
        <v>50613</v>
      </c>
      <c r="F14416" t="s">
        <v>9791</v>
      </c>
      <c r="G14416" t="s">
        <v>47</v>
      </c>
      <c r="H14416">
        <v>97404</v>
      </c>
      <c r="I14416" t="s">
        <v>30</v>
      </c>
      <c r="J14416" t="s">
        <v>41</v>
      </c>
      <c r="K14416" t="s">
        <v>59</v>
      </c>
      <c r="Q14416">
        <v>0</v>
      </c>
      <c r="R14416">
        <v>94</v>
      </c>
      <c r="S14416">
        <v>94</v>
      </c>
      <c r="T14416" t="s">
        <v>50614</v>
      </c>
    </row>
    <row r="14417" spans="1:20" customFormat="1" ht="15" x14ac:dyDescent="0.25">
      <c r="A14417" t="s">
        <v>35</v>
      </c>
      <c r="B14417" t="s">
        <v>61</v>
      </c>
      <c r="C14417" t="str">
        <f>"A0126430"</f>
        <v>A0126430</v>
      </c>
      <c r="D14417" t="s">
        <v>50615</v>
      </c>
      <c r="E14417" t="s">
        <v>50616</v>
      </c>
      <c r="F14417" t="s">
        <v>50617</v>
      </c>
      <c r="G14417" t="s">
        <v>81</v>
      </c>
      <c r="H14417">
        <v>33455</v>
      </c>
      <c r="I14417" t="s">
        <v>30</v>
      </c>
      <c r="J14417" t="s">
        <v>41</v>
      </c>
      <c r="K14417" t="s">
        <v>229</v>
      </c>
      <c r="Q14417">
        <v>0</v>
      </c>
      <c r="R14417">
        <v>120</v>
      </c>
      <c r="S14417">
        <v>120</v>
      </c>
      <c r="T14417" t="s">
        <v>50618</v>
      </c>
    </row>
    <row r="14418" spans="1:20" customFormat="1" ht="15" x14ac:dyDescent="0.25">
      <c r="A14418" t="s">
        <v>35</v>
      </c>
      <c r="B14418" t="s">
        <v>61</v>
      </c>
      <c r="C14418" t="str">
        <f>"A0123987"</f>
        <v>A0123987</v>
      </c>
      <c r="D14418" t="s">
        <v>50619</v>
      </c>
      <c r="E14418" t="s">
        <v>50620</v>
      </c>
      <c r="F14418" t="s">
        <v>1904</v>
      </c>
      <c r="G14418" t="s">
        <v>880</v>
      </c>
      <c r="H14418">
        <v>37405</v>
      </c>
      <c r="I14418" t="s">
        <v>30</v>
      </c>
      <c r="J14418" t="s">
        <v>41</v>
      </c>
      <c r="K14418" t="s">
        <v>482</v>
      </c>
      <c r="Q14418">
        <v>0</v>
      </c>
      <c r="R14418">
        <v>98</v>
      </c>
      <c r="S14418">
        <v>98</v>
      </c>
      <c r="T14418" t="s">
        <v>50621</v>
      </c>
    </row>
    <row r="14419" spans="1:20" customFormat="1" ht="15" x14ac:dyDescent="0.25">
      <c r="A14419" t="s">
        <v>35</v>
      </c>
      <c r="B14419" t="s">
        <v>61</v>
      </c>
      <c r="C14419" t="str">
        <f>"A0124593"</f>
        <v>A0124593</v>
      </c>
      <c r="D14419" t="s">
        <v>50622</v>
      </c>
      <c r="E14419" t="s">
        <v>50623</v>
      </c>
      <c r="F14419" t="s">
        <v>14044</v>
      </c>
      <c r="G14419" t="s">
        <v>1706</v>
      </c>
      <c r="H14419">
        <v>356530000</v>
      </c>
      <c r="I14419" t="s">
        <v>30</v>
      </c>
      <c r="J14419" t="s">
        <v>41</v>
      </c>
      <c r="K14419" t="s">
        <v>229</v>
      </c>
      <c r="Q14419">
        <v>0</v>
      </c>
      <c r="R14419">
        <v>43</v>
      </c>
      <c r="S14419">
        <v>43</v>
      </c>
      <c r="T14419" t="s">
        <v>50624</v>
      </c>
    </row>
    <row r="14420" spans="1:20" customFormat="1" ht="15" x14ac:dyDescent="0.25">
      <c r="A14420" t="s">
        <v>35</v>
      </c>
      <c r="B14420" t="s">
        <v>61</v>
      </c>
      <c r="C14420" t="str">
        <f>"A0124511"</f>
        <v>A0124511</v>
      </c>
      <c r="D14420" t="s">
        <v>50625</v>
      </c>
      <c r="E14420" t="s">
        <v>50626</v>
      </c>
      <c r="F14420" t="s">
        <v>46739</v>
      </c>
      <c r="G14420" t="s">
        <v>1706</v>
      </c>
      <c r="H14420">
        <v>3502</v>
      </c>
      <c r="I14420" t="s">
        <v>30</v>
      </c>
      <c r="J14420" t="s">
        <v>41</v>
      </c>
      <c r="K14420" t="s">
        <v>229</v>
      </c>
      <c r="Q14420">
        <v>0</v>
      </c>
      <c r="R14420">
        <v>69</v>
      </c>
      <c r="S14420">
        <v>69</v>
      </c>
      <c r="T14420" t="s">
        <v>50627</v>
      </c>
    </row>
    <row r="14421" spans="1:20" customFormat="1" ht="15" x14ac:dyDescent="0.25">
      <c r="A14421" t="s">
        <v>35</v>
      </c>
      <c r="B14421" t="s">
        <v>61</v>
      </c>
      <c r="C14421" t="str">
        <f>"A0126435"</f>
        <v>A0126435</v>
      </c>
      <c r="D14421" t="s">
        <v>50628</v>
      </c>
      <c r="E14421" t="s">
        <v>50629</v>
      </c>
      <c r="F14421" t="s">
        <v>4645</v>
      </c>
      <c r="G14421" t="s">
        <v>81</v>
      </c>
      <c r="H14421">
        <v>32257</v>
      </c>
      <c r="I14421" t="s">
        <v>30</v>
      </c>
      <c r="J14421" t="s">
        <v>41</v>
      </c>
      <c r="K14421" t="s">
        <v>229</v>
      </c>
      <c r="Q14421">
        <v>0</v>
      </c>
      <c r="R14421">
        <v>188</v>
      </c>
      <c r="S14421">
        <v>188</v>
      </c>
      <c r="T14421" t="s">
        <v>50630</v>
      </c>
    </row>
    <row r="14422" spans="1:20" customFormat="1" ht="15" x14ac:dyDescent="0.25">
      <c r="A14422" t="s">
        <v>35</v>
      </c>
      <c r="B14422" t="s">
        <v>61</v>
      </c>
      <c r="C14422" t="str">
        <f>"A0126432"</f>
        <v>A0126432</v>
      </c>
      <c r="D14422" t="s">
        <v>50631</v>
      </c>
      <c r="E14422" t="s">
        <v>50632</v>
      </c>
      <c r="F14422" t="s">
        <v>6791</v>
      </c>
      <c r="G14422" t="s">
        <v>81</v>
      </c>
      <c r="H14422">
        <v>34741</v>
      </c>
      <c r="I14422" t="s">
        <v>30</v>
      </c>
      <c r="J14422" t="s">
        <v>41</v>
      </c>
      <c r="K14422" t="s">
        <v>229</v>
      </c>
      <c r="Q14422">
        <v>0</v>
      </c>
      <c r="R14422">
        <v>120</v>
      </c>
      <c r="S14422">
        <v>120</v>
      </c>
      <c r="T14422" t="s">
        <v>50633</v>
      </c>
    </row>
    <row r="14423" spans="1:20" customFormat="1" ht="15" x14ac:dyDescent="0.25">
      <c r="A14423" t="s">
        <v>35</v>
      </c>
      <c r="B14423" t="s">
        <v>61</v>
      </c>
      <c r="C14423" t="str">
        <f>"A0126433"</f>
        <v>A0126433</v>
      </c>
      <c r="D14423" t="s">
        <v>50634</v>
      </c>
      <c r="E14423" t="s">
        <v>50635</v>
      </c>
      <c r="F14423" t="s">
        <v>10534</v>
      </c>
      <c r="G14423" t="s">
        <v>81</v>
      </c>
      <c r="H14423">
        <v>34769</v>
      </c>
      <c r="I14423" t="s">
        <v>30</v>
      </c>
      <c r="J14423" t="s">
        <v>41</v>
      </c>
      <c r="K14423" t="s">
        <v>229</v>
      </c>
      <c r="Q14423">
        <v>0</v>
      </c>
      <c r="R14423">
        <v>120</v>
      </c>
      <c r="S14423">
        <v>120</v>
      </c>
      <c r="T14423" t="s">
        <v>50636</v>
      </c>
    </row>
    <row r="14424" spans="1:20" customFormat="1" ht="15" x14ac:dyDescent="0.25">
      <c r="A14424" t="s">
        <v>35</v>
      </c>
      <c r="B14424" t="s">
        <v>61</v>
      </c>
      <c r="C14424" t="str">
        <f>"A0118486"</f>
        <v>A0118486</v>
      </c>
      <c r="D14424" t="s">
        <v>50637</v>
      </c>
      <c r="E14424" t="s">
        <v>50638</v>
      </c>
      <c r="F14424" t="s">
        <v>8039</v>
      </c>
      <c r="G14424" t="s">
        <v>110</v>
      </c>
      <c r="H14424">
        <v>95661</v>
      </c>
      <c r="I14424" t="s">
        <v>30</v>
      </c>
      <c r="J14424" t="s">
        <v>41</v>
      </c>
      <c r="K14424" t="s">
        <v>59</v>
      </c>
      <c r="Q14424">
        <v>0</v>
      </c>
      <c r="R14424">
        <v>200</v>
      </c>
      <c r="S14424">
        <v>200</v>
      </c>
      <c r="T14424" t="s">
        <v>50639</v>
      </c>
    </row>
    <row r="14425" spans="1:20" customFormat="1" ht="15" x14ac:dyDescent="0.25">
      <c r="A14425" t="s">
        <v>35</v>
      </c>
      <c r="B14425" t="s">
        <v>106</v>
      </c>
      <c r="C14425" t="str">
        <f>"A0135945"</f>
        <v>A0135945</v>
      </c>
      <c r="D14425" t="s">
        <v>50640</v>
      </c>
      <c r="E14425" t="s">
        <v>50641</v>
      </c>
      <c r="F14425" t="s">
        <v>10817</v>
      </c>
      <c r="G14425" t="s">
        <v>52</v>
      </c>
      <c r="H14425">
        <v>77553</v>
      </c>
      <c r="I14425" t="s">
        <v>30</v>
      </c>
      <c r="J14425" t="s">
        <v>111</v>
      </c>
      <c r="K14425" t="s">
        <v>10012</v>
      </c>
      <c r="Q14425">
        <v>0</v>
      </c>
      <c r="R14425">
        <v>0</v>
      </c>
      <c r="S14425">
        <v>0</v>
      </c>
      <c r="T14425" t="s">
        <v>50642</v>
      </c>
    </row>
    <row r="14426" spans="1:20" customFormat="1" ht="15" x14ac:dyDescent="0.25">
      <c r="A14426" t="s">
        <v>35</v>
      </c>
      <c r="B14426" t="s">
        <v>106</v>
      </c>
      <c r="C14426" t="str">
        <f>"A0135610"</f>
        <v>A0135610</v>
      </c>
      <c r="D14426" t="s">
        <v>50643</v>
      </c>
      <c r="E14426" t="s">
        <v>50644</v>
      </c>
      <c r="F14426" t="s">
        <v>36141</v>
      </c>
      <c r="G14426" t="s">
        <v>52</v>
      </c>
      <c r="H14426">
        <v>78721</v>
      </c>
      <c r="I14426" t="s">
        <v>30</v>
      </c>
      <c r="J14426" t="s">
        <v>111</v>
      </c>
      <c r="K14426" t="s">
        <v>112</v>
      </c>
      <c r="Q14426">
        <v>0</v>
      </c>
      <c r="R14426">
        <v>0</v>
      </c>
      <c r="S14426">
        <v>0</v>
      </c>
      <c r="T14426" t="s">
        <v>50645</v>
      </c>
    </row>
    <row r="14427" spans="1:20" customFormat="1" ht="15" x14ac:dyDescent="0.25">
      <c r="A14427" t="s">
        <v>35</v>
      </c>
      <c r="B14427" t="s">
        <v>106</v>
      </c>
      <c r="C14427" t="str">
        <f>"A0135614"</f>
        <v>A0135614</v>
      </c>
      <c r="D14427" t="s">
        <v>50646</v>
      </c>
      <c r="E14427" t="s">
        <v>50647</v>
      </c>
      <c r="F14427" t="s">
        <v>16066</v>
      </c>
      <c r="G14427" t="s">
        <v>52</v>
      </c>
      <c r="H14427">
        <v>78666</v>
      </c>
      <c r="I14427" t="s">
        <v>30</v>
      </c>
      <c r="J14427" t="s">
        <v>111</v>
      </c>
      <c r="K14427" t="s">
        <v>112</v>
      </c>
      <c r="Q14427">
        <v>0</v>
      </c>
      <c r="R14427">
        <v>0</v>
      </c>
      <c r="S14427">
        <v>0</v>
      </c>
      <c r="T14427" t="s">
        <v>50648</v>
      </c>
    </row>
    <row r="14428" spans="1:20" customFormat="1" ht="15" x14ac:dyDescent="0.25">
      <c r="A14428" t="s">
        <v>35</v>
      </c>
      <c r="B14428" t="s">
        <v>61</v>
      </c>
      <c r="C14428" t="str">
        <f>"A0118143"</f>
        <v>A0118143</v>
      </c>
      <c r="D14428" t="s">
        <v>50649</v>
      </c>
      <c r="E14428" t="s">
        <v>50650</v>
      </c>
      <c r="F14428" t="s">
        <v>39413</v>
      </c>
      <c r="G14428" t="s">
        <v>153</v>
      </c>
      <c r="H14428">
        <v>84016</v>
      </c>
      <c r="I14428" t="s">
        <v>30</v>
      </c>
      <c r="J14428" t="s">
        <v>41</v>
      </c>
      <c r="K14428" t="s">
        <v>418</v>
      </c>
      <c r="Q14428">
        <v>0</v>
      </c>
      <c r="R14428">
        <v>30</v>
      </c>
      <c r="S14428">
        <v>30</v>
      </c>
      <c r="T14428" t="s">
        <v>50651</v>
      </c>
    </row>
    <row r="14429" spans="1:20" customFormat="1" ht="15" x14ac:dyDescent="0.25">
      <c r="A14429" t="s">
        <v>35</v>
      </c>
      <c r="B14429" t="s">
        <v>106</v>
      </c>
      <c r="C14429" t="str">
        <f>"A0136260"</f>
        <v>A0136260</v>
      </c>
      <c r="D14429" t="s">
        <v>50652</v>
      </c>
      <c r="E14429" t="s">
        <v>50653</v>
      </c>
      <c r="F14429" t="s">
        <v>36029</v>
      </c>
      <c r="G14429" t="s">
        <v>137</v>
      </c>
      <c r="H14429">
        <v>65791</v>
      </c>
      <c r="I14429" t="s">
        <v>30</v>
      </c>
      <c r="J14429" t="s">
        <v>111</v>
      </c>
      <c r="K14429" t="s">
        <v>112</v>
      </c>
      <c r="Q14429">
        <v>0</v>
      </c>
      <c r="R14429">
        <v>0</v>
      </c>
      <c r="S14429">
        <v>0</v>
      </c>
      <c r="T14429" t="s">
        <v>50654</v>
      </c>
    </row>
    <row r="14430" spans="1:20" customFormat="1" ht="15" x14ac:dyDescent="0.25">
      <c r="A14430" t="s">
        <v>35</v>
      </c>
      <c r="B14430" t="s">
        <v>106</v>
      </c>
      <c r="C14430" t="str">
        <f>"A0136037"</f>
        <v>A0136037</v>
      </c>
      <c r="D14430" t="s">
        <v>50655</v>
      </c>
      <c r="E14430" t="s">
        <v>50656</v>
      </c>
      <c r="F14430" t="s">
        <v>7362</v>
      </c>
      <c r="G14430" t="s">
        <v>110</v>
      </c>
      <c r="H14430">
        <v>90011</v>
      </c>
      <c r="I14430" t="s">
        <v>30</v>
      </c>
      <c r="J14430" t="s">
        <v>111</v>
      </c>
      <c r="K14430" t="s">
        <v>112</v>
      </c>
      <c r="Q14430">
        <v>0</v>
      </c>
      <c r="R14430">
        <v>0</v>
      </c>
      <c r="S14430">
        <v>0</v>
      </c>
      <c r="T14430" t="s">
        <v>50657</v>
      </c>
    </row>
    <row r="14431" spans="1:20" customFormat="1" ht="15" x14ac:dyDescent="0.25">
      <c r="A14431" t="s">
        <v>35</v>
      </c>
      <c r="B14431" t="s">
        <v>11410</v>
      </c>
      <c r="C14431" t="str">
        <f>"A0122541"</f>
        <v>A0122541</v>
      </c>
      <c r="D14431" t="s">
        <v>50658</v>
      </c>
      <c r="E14431" t="s">
        <v>50659</v>
      </c>
      <c r="F14431" t="s">
        <v>7272</v>
      </c>
      <c r="G14431" t="s">
        <v>1587</v>
      </c>
      <c r="H14431">
        <v>88001</v>
      </c>
      <c r="I14431" t="s">
        <v>30</v>
      </c>
      <c r="J14431" t="s">
        <v>41</v>
      </c>
      <c r="K14431" t="s">
        <v>59</v>
      </c>
      <c r="Q14431">
        <v>0</v>
      </c>
      <c r="R14431">
        <v>42</v>
      </c>
      <c r="S14431">
        <v>42</v>
      </c>
      <c r="T14431" t="s">
        <v>50660</v>
      </c>
    </row>
    <row r="14432" spans="1:20" customFormat="1" ht="15" x14ac:dyDescent="0.25">
      <c r="A14432" t="s">
        <v>35</v>
      </c>
      <c r="B14432" t="s">
        <v>61</v>
      </c>
      <c r="C14432" t="str">
        <f>"A0128583"</f>
        <v>A0128583</v>
      </c>
      <c r="D14432" t="s">
        <v>50661</v>
      </c>
      <c r="E14432" t="s">
        <v>50662</v>
      </c>
      <c r="F14432" t="s">
        <v>839</v>
      </c>
      <c r="G14432" t="s">
        <v>840</v>
      </c>
      <c r="H14432">
        <v>40204</v>
      </c>
      <c r="I14432" t="s">
        <v>30</v>
      </c>
      <c r="J14432" t="s">
        <v>41</v>
      </c>
      <c r="K14432" t="s">
        <v>229</v>
      </c>
      <c r="Q14432">
        <v>0</v>
      </c>
      <c r="R14432">
        <v>54</v>
      </c>
      <c r="S14432">
        <v>54</v>
      </c>
      <c r="T14432" t="s">
        <v>50663</v>
      </c>
    </row>
    <row r="14433" spans="1:20" customFormat="1" ht="15" x14ac:dyDescent="0.25">
      <c r="A14433" t="s">
        <v>35</v>
      </c>
      <c r="B14433" t="s">
        <v>61</v>
      </c>
      <c r="C14433" t="str">
        <f>"A0118586"</f>
        <v>A0118586</v>
      </c>
      <c r="D14433" t="s">
        <v>50664</v>
      </c>
      <c r="E14433" t="s">
        <v>50665</v>
      </c>
      <c r="F14433" t="s">
        <v>14680</v>
      </c>
      <c r="G14433" t="s">
        <v>110</v>
      </c>
      <c r="H14433">
        <v>95240</v>
      </c>
      <c r="I14433" t="s">
        <v>30</v>
      </c>
      <c r="J14433" t="s">
        <v>41</v>
      </c>
      <c r="K14433" t="s">
        <v>59</v>
      </c>
      <c r="Q14433">
        <v>0</v>
      </c>
      <c r="R14433">
        <v>96</v>
      </c>
      <c r="S14433">
        <v>96</v>
      </c>
      <c r="T14433" t="s">
        <v>50666</v>
      </c>
    </row>
    <row r="14434" spans="1:20" customFormat="1" ht="15" x14ac:dyDescent="0.25">
      <c r="A14434" t="s">
        <v>35</v>
      </c>
      <c r="B14434" t="s">
        <v>61</v>
      </c>
      <c r="C14434" t="str">
        <f>"A0118821"</f>
        <v>A0118821</v>
      </c>
      <c r="D14434" t="s">
        <v>50667</v>
      </c>
      <c r="E14434" t="s">
        <v>50668</v>
      </c>
      <c r="F14434" t="s">
        <v>909</v>
      </c>
      <c r="G14434" t="s">
        <v>221</v>
      </c>
      <c r="H14434">
        <v>89434</v>
      </c>
      <c r="I14434" t="s">
        <v>30</v>
      </c>
      <c r="J14434" t="s">
        <v>41</v>
      </c>
      <c r="K14434" t="s">
        <v>59</v>
      </c>
      <c r="Q14434">
        <v>0</v>
      </c>
      <c r="R14434">
        <v>60</v>
      </c>
      <c r="S14434">
        <v>60</v>
      </c>
      <c r="T14434" t="s">
        <v>50669</v>
      </c>
    </row>
    <row r="14435" spans="1:20" customFormat="1" ht="15" x14ac:dyDescent="0.25">
      <c r="A14435" t="s">
        <v>35</v>
      </c>
      <c r="B14435" t="s">
        <v>61</v>
      </c>
      <c r="C14435" t="str">
        <f>"A0124387"</f>
        <v>A0124387</v>
      </c>
      <c r="D14435" t="s">
        <v>50670</v>
      </c>
      <c r="E14435" t="s">
        <v>50671</v>
      </c>
      <c r="F14435" t="s">
        <v>50672</v>
      </c>
      <c r="G14435" t="s">
        <v>338</v>
      </c>
      <c r="H14435">
        <v>8638</v>
      </c>
      <c r="I14435" t="s">
        <v>30</v>
      </c>
      <c r="J14435" t="s">
        <v>41</v>
      </c>
      <c r="K14435" t="s">
        <v>59</v>
      </c>
      <c r="Q14435">
        <v>0</v>
      </c>
      <c r="R14435">
        <v>85</v>
      </c>
      <c r="S14435">
        <v>85</v>
      </c>
      <c r="T14435" t="s">
        <v>50673</v>
      </c>
    </row>
    <row r="14436" spans="1:20" customFormat="1" ht="15" x14ac:dyDescent="0.25">
      <c r="A14436" t="s">
        <v>35</v>
      </c>
      <c r="B14436" t="s">
        <v>11410</v>
      </c>
      <c r="C14436" t="str">
        <f>"A0118091"</f>
        <v>A0118091</v>
      </c>
      <c r="D14436" t="s">
        <v>50674</v>
      </c>
      <c r="E14436" t="s">
        <v>50675</v>
      </c>
      <c r="F14436" t="s">
        <v>50676</v>
      </c>
      <c r="G14436" t="s">
        <v>1587</v>
      </c>
      <c r="H14436">
        <v>88310</v>
      </c>
      <c r="I14436" t="s">
        <v>30</v>
      </c>
      <c r="J14436" t="s">
        <v>41</v>
      </c>
      <c r="K14436" t="s">
        <v>229</v>
      </c>
      <c r="Q14436">
        <v>0</v>
      </c>
      <c r="R14436">
        <v>41</v>
      </c>
      <c r="S14436">
        <v>41</v>
      </c>
      <c r="T14436" t="s">
        <v>50677</v>
      </c>
    </row>
    <row r="14437" spans="1:20" customFormat="1" ht="15" x14ac:dyDescent="0.25">
      <c r="A14437" t="s">
        <v>35</v>
      </c>
      <c r="B14437" t="s">
        <v>11410</v>
      </c>
      <c r="C14437" t="str">
        <f>"A0118090"</f>
        <v>A0118090</v>
      </c>
      <c r="D14437" t="s">
        <v>50678</v>
      </c>
      <c r="E14437" t="s">
        <v>50679</v>
      </c>
      <c r="F14437" t="s">
        <v>7272</v>
      </c>
      <c r="G14437" t="s">
        <v>1587</v>
      </c>
      <c r="H14437">
        <v>88011</v>
      </c>
      <c r="I14437" t="s">
        <v>30</v>
      </c>
      <c r="J14437" t="s">
        <v>41</v>
      </c>
      <c r="K14437" t="s">
        <v>229</v>
      </c>
      <c r="Q14437">
        <v>0</v>
      </c>
      <c r="R14437">
        <v>42</v>
      </c>
      <c r="S14437">
        <v>42</v>
      </c>
      <c r="T14437" t="s">
        <v>50680</v>
      </c>
    </row>
    <row r="14438" spans="1:20" customFormat="1" ht="15" x14ac:dyDescent="0.25">
      <c r="A14438" t="s">
        <v>35</v>
      </c>
      <c r="B14438" t="s">
        <v>61</v>
      </c>
      <c r="C14438" t="str">
        <f>"A0124539"</f>
        <v>A0124539</v>
      </c>
      <c r="D14438" t="s">
        <v>50681</v>
      </c>
      <c r="E14438" t="s">
        <v>50682</v>
      </c>
      <c r="F14438" t="s">
        <v>12532</v>
      </c>
      <c r="G14438" t="s">
        <v>1369</v>
      </c>
      <c r="H14438">
        <v>392020000</v>
      </c>
      <c r="I14438" t="s">
        <v>30</v>
      </c>
      <c r="J14438" t="s">
        <v>41</v>
      </c>
      <c r="K14438" t="s">
        <v>66</v>
      </c>
      <c r="Q14438">
        <v>0</v>
      </c>
      <c r="R14438">
        <v>22</v>
      </c>
      <c r="S14438">
        <v>22</v>
      </c>
      <c r="T14438" t="s">
        <v>50683</v>
      </c>
    </row>
    <row r="14439" spans="1:20" customFormat="1" ht="15" x14ac:dyDescent="0.25">
      <c r="A14439" t="s">
        <v>35</v>
      </c>
      <c r="B14439" t="s">
        <v>61</v>
      </c>
      <c r="C14439" t="str">
        <f>"A0150678"</f>
        <v>A0150678</v>
      </c>
      <c r="D14439" t="s">
        <v>50684</v>
      </c>
      <c r="E14439" t="s">
        <v>50685</v>
      </c>
      <c r="F14439" t="s">
        <v>6550</v>
      </c>
      <c r="G14439" t="s">
        <v>110</v>
      </c>
      <c r="H14439">
        <v>93023</v>
      </c>
      <c r="I14439" t="s">
        <v>30</v>
      </c>
      <c r="J14439" t="s">
        <v>41</v>
      </c>
      <c r="K14439" t="s">
        <v>59</v>
      </c>
      <c r="Q14439">
        <v>0</v>
      </c>
      <c r="R14439">
        <v>72</v>
      </c>
      <c r="S14439">
        <v>72</v>
      </c>
      <c r="T14439" t="s">
        <v>50686</v>
      </c>
    </row>
    <row r="14440" spans="1:20" customFormat="1" ht="15" x14ac:dyDescent="0.25">
      <c r="A14440" t="s">
        <v>35</v>
      </c>
      <c r="B14440" t="s">
        <v>106</v>
      </c>
      <c r="C14440" t="str">
        <f>"A0136474"</f>
        <v>A0136474</v>
      </c>
      <c r="D14440" t="s">
        <v>50687</v>
      </c>
      <c r="E14440" t="s">
        <v>50688</v>
      </c>
      <c r="F14440" t="s">
        <v>9836</v>
      </c>
      <c r="G14440" t="s">
        <v>110</v>
      </c>
      <c r="H14440">
        <v>91106</v>
      </c>
      <c r="I14440" t="s">
        <v>30</v>
      </c>
      <c r="J14440" t="s">
        <v>111</v>
      </c>
      <c r="K14440" t="s">
        <v>10012</v>
      </c>
      <c r="Q14440">
        <v>0</v>
      </c>
      <c r="R14440">
        <v>0</v>
      </c>
      <c r="S14440">
        <v>0</v>
      </c>
      <c r="T14440" t="s">
        <v>50689</v>
      </c>
    </row>
    <row r="14441" spans="1:20" customFormat="1" ht="15" x14ac:dyDescent="0.25">
      <c r="A14441" t="s">
        <v>35</v>
      </c>
      <c r="B14441" t="s">
        <v>61</v>
      </c>
      <c r="C14441" t="str">
        <f>"A0126634"</f>
        <v>A0126634</v>
      </c>
      <c r="D14441" t="s">
        <v>50690</v>
      </c>
      <c r="E14441" t="s">
        <v>36415</v>
      </c>
      <c r="F14441" t="s">
        <v>36416</v>
      </c>
      <c r="G14441" t="s">
        <v>338</v>
      </c>
      <c r="H14441">
        <v>7401</v>
      </c>
      <c r="I14441" t="s">
        <v>30</v>
      </c>
      <c r="J14441" t="s">
        <v>41</v>
      </c>
      <c r="K14441" t="s">
        <v>59</v>
      </c>
      <c r="Q14441">
        <v>0</v>
      </c>
      <c r="R14441">
        <v>216</v>
      </c>
      <c r="S14441">
        <v>216</v>
      </c>
      <c r="T14441" t="s">
        <v>36417</v>
      </c>
    </row>
    <row r="14442" spans="1:20" customFormat="1" ht="15" x14ac:dyDescent="0.25">
      <c r="A14442" t="s">
        <v>35</v>
      </c>
      <c r="B14442" t="s">
        <v>61</v>
      </c>
      <c r="C14442" t="str">
        <f>"A0124388"</f>
        <v>A0124388</v>
      </c>
      <c r="D14442" t="s">
        <v>50691</v>
      </c>
      <c r="E14442" t="s">
        <v>50692</v>
      </c>
      <c r="F14442" t="s">
        <v>28921</v>
      </c>
      <c r="G14442" t="s">
        <v>338</v>
      </c>
      <c r="H14442">
        <v>8807</v>
      </c>
      <c r="I14442" t="s">
        <v>30</v>
      </c>
      <c r="J14442" t="s">
        <v>41</v>
      </c>
      <c r="K14442" t="s">
        <v>482</v>
      </c>
      <c r="Q14442">
        <v>0</v>
      </c>
      <c r="R14442">
        <v>74</v>
      </c>
      <c r="S14442">
        <v>74</v>
      </c>
      <c r="T14442" t="s">
        <v>50693</v>
      </c>
    </row>
    <row r="14443" spans="1:20" customFormat="1" ht="15" x14ac:dyDescent="0.25">
      <c r="A14443" t="s">
        <v>35</v>
      </c>
      <c r="B14443" t="s">
        <v>61</v>
      </c>
      <c r="C14443" t="str">
        <f>"A0124389"</f>
        <v>A0124389</v>
      </c>
      <c r="D14443" t="s">
        <v>50694</v>
      </c>
      <c r="E14443" t="s">
        <v>50695</v>
      </c>
      <c r="F14443" t="s">
        <v>37962</v>
      </c>
      <c r="G14443" t="s">
        <v>338</v>
      </c>
      <c r="H14443">
        <v>8844</v>
      </c>
      <c r="I14443" t="s">
        <v>30</v>
      </c>
      <c r="J14443" t="s">
        <v>41</v>
      </c>
      <c r="K14443" t="s">
        <v>482</v>
      </c>
      <c r="Q14443">
        <v>0</v>
      </c>
      <c r="R14443">
        <v>97</v>
      </c>
      <c r="S14443">
        <v>97</v>
      </c>
      <c r="T14443" t="s">
        <v>50696</v>
      </c>
    </row>
    <row r="14444" spans="1:20" customFormat="1" ht="15" x14ac:dyDescent="0.25">
      <c r="A14444" t="s">
        <v>35</v>
      </c>
      <c r="B14444" t="s">
        <v>61</v>
      </c>
      <c r="C14444" t="str">
        <f>"A0118662"</f>
        <v>A0118662</v>
      </c>
      <c r="D14444" t="s">
        <v>50697</v>
      </c>
      <c r="E14444" t="s">
        <v>50698</v>
      </c>
      <c r="F14444" t="s">
        <v>8081</v>
      </c>
      <c r="G14444" t="s">
        <v>110</v>
      </c>
      <c r="H14444">
        <v>941090000</v>
      </c>
      <c r="I14444" t="s">
        <v>30</v>
      </c>
      <c r="J14444" t="s">
        <v>41</v>
      </c>
      <c r="K14444" t="s">
        <v>59</v>
      </c>
      <c r="Q14444">
        <v>0</v>
      </c>
      <c r="R14444">
        <v>145</v>
      </c>
      <c r="S14444">
        <v>145</v>
      </c>
      <c r="T14444" t="s">
        <v>50699</v>
      </c>
    </row>
    <row r="14445" spans="1:20" customFormat="1" ht="15" x14ac:dyDescent="0.25">
      <c r="A14445" t="s">
        <v>35</v>
      </c>
      <c r="B14445" t="s">
        <v>61</v>
      </c>
      <c r="C14445" t="str">
        <f>"A0129095"</f>
        <v>A0129095</v>
      </c>
      <c r="D14445" t="s">
        <v>50700</v>
      </c>
      <c r="E14445" t="s">
        <v>50701</v>
      </c>
      <c r="F14445" t="s">
        <v>45495</v>
      </c>
      <c r="G14445" t="s">
        <v>289</v>
      </c>
      <c r="H14445">
        <v>61761</v>
      </c>
      <c r="I14445" t="s">
        <v>30</v>
      </c>
      <c r="J14445" t="s">
        <v>41</v>
      </c>
      <c r="K14445" t="s">
        <v>391</v>
      </c>
      <c r="Q14445">
        <v>0</v>
      </c>
      <c r="R14445">
        <v>28</v>
      </c>
      <c r="S14445">
        <v>28</v>
      </c>
      <c r="T14445" t="s">
        <v>50702</v>
      </c>
    </row>
    <row r="14446" spans="1:20" customFormat="1" ht="15" x14ac:dyDescent="0.25">
      <c r="A14446" t="s">
        <v>35</v>
      </c>
      <c r="B14446" t="s">
        <v>61</v>
      </c>
      <c r="C14446" t="str">
        <f>"A0129094"</f>
        <v>A0129094</v>
      </c>
      <c r="D14446" t="s">
        <v>50703</v>
      </c>
      <c r="E14446" t="s">
        <v>50704</v>
      </c>
      <c r="F14446" t="s">
        <v>50705</v>
      </c>
      <c r="G14446" t="s">
        <v>289</v>
      </c>
      <c r="H14446">
        <v>61761</v>
      </c>
      <c r="I14446" t="s">
        <v>30</v>
      </c>
      <c r="J14446" t="s">
        <v>41</v>
      </c>
      <c r="K14446" t="s">
        <v>391</v>
      </c>
      <c r="Q14446">
        <v>0</v>
      </c>
      <c r="R14446">
        <v>28</v>
      </c>
      <c r="S14446">
        <v>28</v>
      </c>
      <c r="T14446" t="s">
        <v>50702</v>
      </c>
    </row>
    <row r="14447" spans="1:20" customFormat="1" ht="15" x14ac:dyDescent="0.25">
      <c r="A14447" t="s">
        <v>35</v>
      </c>
      <c r="B14447" t="s">
        <v>61</v>
      </c>
      <c r="C14447" t="str">
        <f>"A0128136"</f>
        <v>A0128136</v>
      </c>
      <c r="D14447" t="s">
        <v>50706</v>
      </c>
      <c r="E14447" t="s">
        <v>50707</v>
      </c>
      <c r="F14447" t="s">
        <v>9939</v>
      </c>
      <c r="G14447" t="s">
        <v>117</v>
      </c>
      <c r="H14447">
        <v>48342</v>
      </c>
      <c r="I14447" t="s">
        <v>30</v>
      </c>
      <c r="J14447" t="s">
        <v>41</v>
      </c>
      <c r="K14447" t="s">
        <v>104</v>
      </c>
      <c r="Q14447">
        <v>0</v>
      </c>
      <c r="R14447">
        <v>0</v>
      </c>
      <c r="S14447">
        <v>0</v>
      </c>
      <c r="T14447" t="s">
        <v>50708</v>
      </c>
    </row>
    <row r="14448" spans="1:20" customFormat="1" ht="15" x14ac:dyDescent="0.25">
      <c r="A14448" t="s">
        <v>35</v>
      </c>
      <c r="B14448" t="s">
        <v>437</v>
      </c>
      <c r="C14448" t="str">
        <f>"A0134921"</f>
        <v>A0134921</v>
      </c>
      <c r="D14448" t="s">
        <v>50709</v>
      </c>
      <c r="E14448" t="s">
        <v>50710</v>
      </c>
      <c r="F14448" t="s">
        <v>50711</v>
      </c>
      <c r="G14448" t="s">
        <v>846</v>
      </c>
      <c r="H14448">
        <v>30269</v>
      </c>
      <c r="I14448" t="s">
        <v>30</v>
      </c>
      <c r="J14448" t="s">
        <v>441</v>
      </c>
      <c r="K14448" t="s">
        <v>442</v>
      </c>
      <c r="Q14448">
        <v>0</v>
      </c>
      <c r="R14448">
        <v>0</v>
      </c>
      <c r="S14448">
        <v>0</v>
      </c>
      <c r="T14448" t="s">
        <v>50712</v>
      </c>
    </row>
    <row r="14449" spans="1:20" customFormat="1" ht="15" x14ac:dyDescent="0.25">
      <c r="A14449" t="s">
        <v>35</v>
      </c>
      <c r="B14449" t="s">
        <v>61</v>
      </c>
      <c r="C14449" t="str">
        <f>"A0131178"</f>
        <v>A0131178</v>
      </c>
      <c r="D14449" t="s">
        <v>50713</v>
      </c>
      <c r="E14449" t="s">
        <v>50714</v>
      </c>
      <c r="F14449" t="s">
        <v>24415</v>
      </c>
      <c r="G14449" t="s">
        <v>137</v>
      </c>
      <c r="H14449">
        <v>63537</v>
      </c>
      <c r="I14449" t="s">
        <v>30</v>
      </c>
      <c r="J14449" t="s">
        <v>41</v>
      </c>
      <c r="K14449" t="s">
        <v>59</v>
      </c>
      <c r="Q14449">
        <v>0</v>
      </c>
      <c r="R14449">
        <v>47</v>
      </c>
      <c r="S14449">
        <v>47</v>
      </c>
      <c r="T14449" t="s">
        <v>50715</v>
      </c>
    </row>
    <row r="14450" spans="1:20" customFormat="1" ht="15" x14ac:dyDescent="0.25">
      <c r="A14450" t="s">
        <v>35</v>
      </c>
      <c r="B14450" t="s">
        <v>61</v>
      </c>
      <c r="C14450" t="str">
        <f>"A0131065"</f>
        <v>A0131065</v>
      </c>
      <c r="D14450" t="s">
        <v>50716</v>
      </c>
      <c r="E14450" t="s">
        <v>50717</v>
      </c>
      <c r="F14450" t="s">
        <v>1298</v>
      </c>
      <c r="G14450" t="s">
        <v>137</v>
      </c>
      <c r="H14450">
        <v>652020000</v>
      </c>
      <c r="I14450" t="s">
        <v>30</v>
      </c>
      <c r="J14450" t="s">
        <v>41</v>
      </c>
      <c r="K14450" t="s">
        <v>229</v>
      </c>
      <c r="Q14450">
        <v>0</v>
      </c>
      <c r="R14450">
        <v>132</v>
      </c>
      <c r="S14450">
        <v>132</v>
      </c>
      <c r="T14450" t="s">
        <v>50718</v>
      </c>
    </row>
    <row r="14451" spans="1:20" customFormat="1" ht="15" x14ac:dyDescent="0.25">
      <c r="A14451" t="s">
        <v>35</v>
      </c>
      <c r="B14451" t="s">
        <v>54</v>
      </c>
      <c r="C14451" t="str">
        <f>"A0124342"</f>
        <v>A0124342</v>
      </c>
      <c r="D14451" t="s">
        <v>50719</v>
      </c>
      <c r="E14451" t="s">
        <v>9311</v>
      </c>
      <c r="F14451" t="s">
        <v>1755</v>
      </c>
      <c r="G14451" t="s">
        <v>289</v>
      </c>
      <c r="H14451">
        <v>62704</v>
      </c>
      <c r="I14451" t="s">
        <v>30</v>
      </c>
      <c r="J14451" t="s">
        <v>41</v>
      </c>
      <c r="K14451" t="s">
        <v>229</v>
      </c>
      <c r="Q14451">
        <v>0</v>
      </c>
      <c r="R14451">
        <v>75</v>
      </c>
      <c r="S14451">
        <v>75</v>
      </c>
      <c r="T14451" t="s">
        <v>9312</v>
      </c>
    </row>
    <row r="14452" spans="1:20" customFormat="1" ht="15" x14ac:dyDescent="0.25">
      <c r="A14452" t="s">
        <v>35</v>
      </c>
      <c r="B14452" t="s">
        <v>61</v>
      </c>
      <c r="C14452" t="str">
        <f>"A0130650"</f>
        <v>A0130650</v>
      </c>
      <c r="D14452" t="s">
        <v>50720</v>
      </c>
      <c r="E14452" t="s">
        <v>50721</v>
      </c>
      <c r="F14452" t="s">
        <v>22160</v>
      </c>
      <c r="G14452" t="s">
        <v>1898</v>
      </c>
      <c r="H14452">
        <v>50023</v>
      </c>
      <c r="I14452" t="s">
        <v>30</v>
      </c>
      <c r="J14452" t="s">
        <v>41</v>
      </c>
      <c r="K14452" t="s">
        <v>1440</v>
      </c>
      <c r="Q14452">
        <v>0</v>
      </c>
      <c r="R14452">
        <v>100</v>
      </c>
      <c r="S14452">
        <v>100</v>
      </c>
      <c r="T14452" t="s">
        <v>50722</v>
      </c>
    </row>
    <row r="14453" spans="1:20" customFormat="1" ht="15" x14ac:dyDescent="0.25">
      <c r="A14453" t="s">
        <v>35</v>
      </c>
      <c r="B14453" t="s">
        <v>61</v>
      </c>
      <c r="C14453" t="str">
        <f>"A0126781"</f>
        <v>A0126781</v>
      </c>
      <c r="D14453" t="s">
        <v>50723</v>
      </c>
      <c r="E14453" t="s">
        <v>50724</v>
      </c>
      <c r="F14453" t="s">
        <v>18901</v>
      </c>
      <c r="G14453" t="s">
        <v>103</v>
      </c>
      <c r="H14453">
        <v>17050</v>
      </c>
      <c r="I14453" t="s">
        <v>30</v>
      </c>
      <c r="J14453" t="s">
        <v>41</v>
      </c>
      <c r="K14453" t="s">
        <v>59</v>
      </c>
      <c r="Q14453">
        <v>0</v>
      </c>
      <c r="R14453">
        <v>130</v>
      </c>
      <c r="S14453">
        <v>130</v>
      </c>
      <c r="T14453" t="s">
        <v>50725</v>
      </c>
    </row>
    <row r="14454" spans="1:20" customFormat="1" ht="15" x14ac:dyDescent="0.25">
      <c r="A14454" t="s">
        <v>35</v>
      </c>
      <c r="B14454" t="s">
        <v>61</v>
      </c>
      <c r="C14454" t="str">
        <f>"A0127103"</f>
        <v>A0127103</v>
      </c>
      <c r="D14454" t="s">
        <v>50726</v>
      </c>
      <c r="E14454" t="s">
        <v>50727</v>
      </c>
      <c r="F14454" t="s">
        <v>50728</v>
      </c>
      <c r="G14454" t="s">
        <v>103</v>
      </c>
      <c r="H14454">
        <v>18929</v>
      </c>
      <c r="I14454" t="s">
        <v>30</v>
      </c>
      <c r="J14454" t="s">
        <v>41</v>
      </c>
      <c r="K14454" t="s">
        <v>59</v>
      </c>
      <c r="Q14454">
        <v>0</v>
      </c>
      <c r="R14454">
        <v>130</v>
      </c>
      <c r="S14454">
        <v>130</v>
      </c>
      <c r="T14454" t="s">
        <v>50729</v>
      </c>
    </row>
    <row r="14455" spans="1:20" customFormat="1" ht="15" x14ac:dyDescent="0.25">
      <c r="A14455" t="s">
        <v>35</v>
      </c>
      <c r="B14455" t="s">
        <v>61</v>
      </c>
      <c r="C14455" t="str">
        <f>"A0130916"</f>
        <v>A0130916</v>
      </c>
      <c r="D14455" t="s">
        <v>50730</v>
      </c>
      <c r="E14455" t="s">
        <v>50731</v>
      </c>
      <c r="F14455" t="s">
        <v>50732</v>
      </c>
      <c r="G14455" t="s">
        <v>137</v>
      </c>
      <c r="H14455">
        <v>65616</v>
      </c>
      <c r="I14455" t="s">
        <v>30</v>
      </c>
      <c r="J14455" t="s">
        <v>41</v>
      </c>
      <c r="K14455" t="s">
        <v>59</v>
      </c>
      <c r="Q14455">
        <v>0</v>
      </c>
      <c r="R14455">
        <v>60</v>
      </c>
      <c r="S14455">
        <v>60</v>
      </c>
      <c r="T14455" t="s">
        <v>50733</v>
      </c>
    </row>
    <row r="14456" spans="1:20" customFormat="1" ht="15" x14ac:dyDescent="0.25">
      <c r="A14456" t="s">
        <v>35</v>
      </c>
      <c r="B14456" t="s">
        <v>61</v>
      </c>
      <c r="C14456" t="str">
        <f>"A0117801"</f>
        <v>A0117801</v>
      </c>
      <c r="D14456" t="s">
        <v>50734</v>
      </c>
      <c r="E14456" t="s">
        <v>50735</v>
      </c>
      <c r="F14456" t="s">
        <v>4032</v>
      </c>
      <c r="G14456" t="s">
        <v>110</v>
      </c>
      <c r="H14456">
        <v>93105</v>
      </c>
      <c r="I14456" t="s">
        <v>30</v>
      </c>
      <c r="J14456" t="s">
        <v>41</v>
      </c>
      <c r="K14456" t="s">
        <v>229</v>
      </c>
      <c r="Q14456">
        <v>0</v>
      </c>
      <c r="R14456">
        <v>68</v>
      </c>
      <c r="S14456">
        <v>68</v>
      </c>
      <c r="T14456" t="s">
        <v>50736</v>
      </c>
    </row>
    <row r="14457" spans="1:20" customFormat="1" ht="15" x14ac:dyDescent="0.25">
      <c r="A14457" t="s">
        <v>35</v>
      </c>
      <c r="B14457" t="s">
        <v>61</v>
      </c>
      <c r="C14457" t="str">
        <f>"A0118561"</f>
        <v>A0118561</v>
      </c>
      <c r="D14457" t="s">
        <v>50737</v>
      </c>
      <c r="E14457" t="s">
        <v>50738</v>
      </c>
      <c r="F14457" t="s">
        <v>36346</v>
      </c>
      <c r="G14457" t="s">
        <v>110</v>
      </c>
      <c r="H14457">
        <v>956950000</v>
      </c>
      <c r="I14457" t="s">
        <v>30</v>
      </c>
      <c r="J14457" t="s">
        <v>41</v>
      </c>
      <c r="K14457" t="s">
        <v>59</v>
      </c>
      <c r="Q14457">
        <v>0</v>
      </c>
      <c r="R14457">
        <v>50</v>
      </c>
      <c r="S14457">
        <v>50</v>
      </c>
      <c r="T14457" t="s">
        <v>50739</v>
      </c>
    </row>
    <row r="14458" spans="1:20" customFormat="1" ht="15" x14ac:dyDescent="0.25">
      <c r="A14458" t="s">
        <v>35</v>
      </c>
      <c r="B14458" t="s">
        <v>61</v>
      </c>
      <c r="C14458" t="str">
        <f>"A0126272"</f>
        <v>A0126272</v>
      </c>
      <c r="D14458" t="s">
        <v>50740</v>
      </c>
      <c r="E14458" t="s">
        <v>50741</v>
      </c>
      <c r="F14458" t="s">
        <v>16475</v>
      </c>
      <c r="G14458" t="s">
        <v>81</v>
      </c>
      <c r="H14458">
        <v>33462</v>
      </c>
      <c r="I14458" t="s">
        <v>30</v>
      </c>
      <c r="J14458" t="s">
        <v>41</v>
      </c>
      <c r="K14458" t="s">
        <v>59</v>
      </c>
      <c r="Q14458">
        <v>0</v>
      </c>
      <c r="R14458">
        <v>310</v>
      </c>
      <c r="S14458">
        <v>310</v>
      </c>
      <c r="T14458" t="s">
        <v>50742</v>
      </c>
    </row>
    <row r="14459" spans="1:20" customFormat="1" ht="15" x14ac:dyDescent="0.25">
      <c r="A14459" t="s">
        <v>35</v>
      </c>
      <c r="B14459" t="s">
        <v>61</v>
      </c>
      <c r="C14459" t="str">
        <f>"A0124344"</f>
        <v>A0124344</v>
      </c>
      <c r="D14459" t="s">
        <v>50743</v>
      </c>
      <c r="E14459" t="s">
        <v>50744</v>
      </c>
      <c r="F14459" t="s">
        <v>288</v>
      </c>
      <c r="G14459" t="s">
        <v>289</v>
      </c>
      <c r="H14459">
        <v>60613</v>
      </c>
      <c r="I14459" t="s">
        <v>30</v>
      </c>
      <c r="J14459" t="s">
        <v>41</v>
      </c>
      <c r="K14459" t="s">
        <v>229</v>
      </c>
      <c r="Q14459">
        <v>0</v>
      </c>
      <c r="R14459">
        <v>244</v>
      </c>
      <c r="S14459">
        <v>244</v>
      </c>
      <c r="T14459" t="s">
        <v>50745</v>
      </c>
    </row>
    <row r="14460" spans="1:20" customFormat="1" ht="15" x14ac:dyDescent="0.25">
      <c r="A14460" t="s">
        <v>35</v>
      </c>
      <c r="B14460" t="s">
        <v>106</v>
      </c>
      <c r="C14460" t="str">
        <f>"A0136539"</f>
        <v>A0136539</v>
      </c>
      <c r="D14460" t="s">
        <v>50746</v>
      </c>
      <c r="E14460" t="s">
        <v>50747</v>
      </c>
      <c r="F14460" t="s">
        <v>38225</v>
      </c>
      <c r="G14460" t="s">
        <v>214</v>
      </c>
      <c r="H14460">
        <v>28470</v>
      </c>
      <c r="I14460" t="s">
        <v>30</v>
      </c>
      <c r="J14460" t="s">
        <v>111</v>
      </c>
      <c r="K14460" t="s">
        <v>112</v>
      </c>
      <c r="Q14460">
        <v>0</v>
      </c>
      <c r="R14460">
        <v>0</v>
      </c>
      <c r="S14460">
        <v>0</v>
      </c>
      <c r="T14460" t="s">
        <v>50748</v>
      </c>
    </row>
    <row r="14461" spans="1:20" customFormat="1" ht="15" x14ac:dyDescent="0.25">
      <c r="A14461" t="s">
        <v>35</v>
      </c>
      <c r="B14461" t="s">
        <v>61</v>
      </c>
      <c r="C14461" t="str">
        <f>"A0127833"</f>
        <v>A0127833</v>
      </c>
      <c r="D14461" t="s">
        <v>50749</v>
      </c>
      <c r="E14461" t="s">
        <v>50750</v>
      </c>
      <c r="F14461" t="s">
        <v>16093</v>
      </c>
      <c r="G14461" t="s">
        <v>117</v>
      </c>
      <c r="H14461">
        <v>48706</v>
      </c>
      <c r="I14461" t="s">
        <v>30</v>
      </c>
      <c r="J14461" t="s">
        <v>41</v>
      </c>
      <c r="K14461" t="s">
        <v>229</v>
      </c>
      <c r="Q14461">
        <v>0</v>
      </c>
      <c r="R14461">
        <v>165</v>
      </c>
      <c r="S14461">
        <v>165</v>
      </c>
      <c r="T14461" t="s">
        <v>50751</v>
      </c>
    </row>
    <row r="14462" spans="1:20" customFormat="1" ht="15" x14ac:dyDescent="0.25">
      <c r="A14462" t="s">
        <v>35</v>
      </c>
      <c r="B14462" t="s">
        <v>61</v>
      </c>
      <c r="C14462" t="str">
        <f>"A0121304"</f>
        <v>A0121304</v>
      </c>
      <c r="D14462" t="s">
        <v>50752</v>
      </c>
      <c r="E14462" t="s">
        <v>50753</v>
      </c>
      <c r="F14462" t="s">
        <v>12384</v>
      </c>
      <c r="G14462" t="s">
        <v>190</v>
      </c>
      <c r="H14462">
        <v>80924</v>
      </c>
      <c r="I14462" t="s">
        <v>30</v>
      </c>
      <c r="J14462" t="s">
        <v>41</v>
      </c>
      <c r="K14462" t="s">
        <v>229</v>
      </c>
      <c r="Q14462">
        <v>0</v>
      </c>
      <c r="R14462">
        <v>84</v>
      </c>
      <c r="S14462">
        <v>84</v>
      </c>
      <c r="T14462" t="s">
        <v>38996</v>
      </c>
    </row>
    <row r="14463" spans="1:20" customFormat="1" ht="15" x14ac:dyDescent="0.25">
      <c r="A14463" t="s">
        <v>35</v>
      </c>
      <c r="B14463" t="s">
        <v>61</v>
      </c>
      <c r="C14463" t="str">
        <f>"A0121332"</f>
        <v>A0121332</v>
      </c>
      <c r="D14463" t="s">
        <v>50754</v>
      </c>
      <c r="E14463" t="s">
        <v>50755</v>
      </c>
      <c r="F14463" t="s">
        <v>8453</v>
      </c>
      <c r="G14463" t="s">
        <v>190</v>
      </c>
      <c r="H14463">
        <v>80234</v>
      </c>
      <c r="I14463" t="s">
        <v>30</v>
      </c>
      <c r="J14463" t="s">
        <v>41</v>
      </c>
      <c r="K14463" t="s">
        <v>229</v>
      </c>
      <c r="Q14463">
        <v>0</v>
      </c>
      <c r="R14463">
        <v>96</v>
      </c>
      <c r="S14463">
        <v>96</v>
      </c>
      <c r="T14463" t="s">
        <v>50756</v>
      </c>
    </row>
    <row r="14464" spans="1:20" customFormat="1" ht="15" x14ac:dyDescent="0.25">
      <c r="A14464" t="s">
        <v>35</v>
      </c>
      <c r="B14464" t="s">
        <v>61</v>
      </c>
      <c r="C14464" t="str">
        <f>"A0126196"</f>
        <v>A0126196</v>
      </c>
      <c r="D14464" t="s">
        <v>50757</v>
      </c>
      <c r="E14464" t="s">
        <v>50758</v>
      </c>
      <c r="F14464" t="s">
        <v>17642</v>
      </c>
      <c r="G14464" t="s">
        <v>197</v>
      </c>
      <c r="H14464">
        <v>85297</v>
      </c>
      <c r="I14464" t="s">
        <v>30</v>
      </c>
      <c r="J14464" t="s">
        <v>41</v>
      </c>
      <c r="K14464" t="s">
        <v>229</v>
      </c>
      <c r="Q14464">
        <v>0</v>
      </c>
      <c r="R14464">
        <v>90</v>
      </c>
      <c r="S14464">
        <v>90</v>
      </c>
      <c r="T14464" t="s">
        <v>50759</v>
      </c>
    </row>
    <row r="14465" spans="1:20" customFormat="1" ht="15" x14ac:dyDescent="0.25">
      <c r="A14465" t="s">
        <v>35</v>
      </c>
      <c r="B14465" t="s">
        <v>437</v>
      </c>
      <c r="C14465" t="str">
        <f>"A0133930"</f>
        <v>A0133930</v>
      </c>
      <c r="D14465" t="s">
        <v>50760</v>
      </c>
      <c r="E14465" t="s">
        <v>50761</v>
      </c>
      <c r="F14465" t="s">
        <v>1747</v>
      </c>
      <c r="G14465" t="s">
        <v>85</v>
      </c>
      <c r="H14465">
        <v>72701</v>
      </c>
      <c r="I14465" t="s">
        <v>30</v>
      </c>
      <c r="J14465" t="s">
        <v>441</v>
      </c>
      <c r="K14465" t="s">
        <v>37340</v>
      </c>
      <c r="Q14465">
        <v>0</v>
      </c>
      <c r="R14465">
        <v>0</v>
      </c>
      <c r="S14465">
        <v>0</v>
      </c>
      <c r="T14465" t="s">
        <v>50762</v>
      </c>
    </row>
    <row r="14466" spans="1:20" customFormat="1" ht="15" x14ac:dyDescent="0.25">
      <c r="A14466" t="s">
        <v>35</v>
      </c>
      <c r="B14466" t="s">
        <v>61</v>
      </c>
      <c r="C14466" t="str">
        <f>"A0127122"</f>
        <v>A0127122</v>
      </c>
      <c r="D14466" t="s">
        <v>50763</v>
      </c>
      <c r="E14466" t="s">
        <v>50764</v>
      </c>
      <c r="F14466" t="s">
        <v>50765</v>
      </c>
      <c r="G14466" t="s">
        <v>103</v>
      </c>
      <c r="H14466">
        <v>18702</v>
      </c>
      <c r="I14466" t="s">
        <v>30</v>
      </c>
      <c r="J14466" t="s">
        <v>41</v>
      </c>
      <c r="K14466" t="s">
        <v>59</v>
      </c>
      <c r="Q14466">
        <v>0</v>
      </c>
      <c r="R14466">
        <v>48</v>
      </c>
      <c r="S14466">
        <v>48</v>
      </c>
      <c r="T14466" t="s">
        <v>50766</v>
      </c>
    </row>
    <row r="14467" spans="1:20" customFormat="1" ht="15" x14ac:dyDescent="0.25">
      <c r="A14467" t="s">
        <v>35</v>
      </c>
      <c r="B14467" t="s">
        <v>61</v>
      </c>
      <c r="C14467" t="str">
        <f>"A0125169"</f>
        <v>A0125169</v>
      </c>
      <c r="D14467" t="s">
        <v>50767</v>
      </c>
      <c r="E14467" t="s">
        <v>50768</v>
      </c>
      <c r="F14467" t="s">
        <v>17235</v>
      </c>
      <c r="G14467" t="s">
        <v>40</v>
      </c>
      <c r="H14467">
        <v>73505</v>
      </c>
      <c r="I14467" t="s">
        <v>30</v>
      </c>
      <c r="J14467" t="s">
        <v>41</v>
      </c>
      <c r="K14467" t="s">
        <v>59</v>
      </c>
      <c r="Q14467">
        <v>0</v>
      </c>
      <c r="R14467">
        <v>42</v>
      </c>
      <c r="S14467">
        <v>42</v>
      </c>
      <c r="T14467" t="s">
        <v>50769</v>
      </c>
    </row>
    <row r="14468" spans="1:20" customFormat="1" ht="15" x14ac:dyDescent="0.25">
      <c r="A14468" t="s">
        <v>35</v>
      </c>
      <c r="B14468" t="s">
        <v>61</v>
      </c>
      <c r="C14468" t="str">
        <f>"A0132482"</f>
        <v>A0132482</v>
      </c>
      <c r="D14468" t="s">
        <v>50770</v>
      </c>
      <c r="E14468" t="s">
        <v>50771</v>
      </c>
      <c r="F14468" t="s">
        <v>3661</v>
      </c>
      <c r="G14468" t="s">
        <v>65</v>
      </c>
      <c r="H14468">
        <v>45231</v>
      </c>
      <c r="I14468" t="s">
        <v>30</v>
      </c>
      <c r="J14468" t="s">
        <v>41</v>
      </c>
      <c r="K14468" t="s">
        <v>229</v>
      </c>
      <c r="Q14468">
        <v>0</v>
      </c>
      <c r="R14468">
        <v>250</v>
      </c>
      <c r="S14468">
        <v>250</v>
      </c>
      <c r="T14468" t="s">
        <v>50772</v>
      </c>
    </row>
    <row r="14469" spans="1:20" customFormat="1" ht="15" x14ac:dyDescent="0.25">
      <c r="A14469" t="s">
        <v>35</v>
      </c>
      <c r="B14469" t="s">
        <v>6747</v>
      </c>
      <c r="C14469" t="str">
        <f>"A0123395"</f>
        <v>A0123395</v>
      </c>
      <c r="D14469" t="s">
        <v>50773</v>
      </c>
      <c r="E14469" t="s">
        <v>50774</v>
      </c>
      <c r="F14469" t="s">
        <v>38751</v>
      </c>
      <c r="G14469" t="s">
        <v>214</v>
      </c>
      <c r="H14469">
        <v>27909</v>
      </c>
      <c r="I14469" t="s">
        <v>30</v>
      </c>
      <c r="J14469" t="s">
        <v>41</v>
      </c>
      <c r="K14469" t="s">
        <v>229</v>
      </c>
      <c r="Q14469">
        <v>0</v>
      </c>
      <c r="R14469">
        <v>108</v>
      </c>
      <c r="S14469">
        <v>108</v>
      </c>
      <c r="T14469" t="s">
        <v>50775</v>
      </c>
    </row>
    <row r="14470" spans="1:20" customFormat="1" ht="15" x14ac:dyDescent="0.25">
      <c r="A14470" t="s">
        <v>35</v>
      </c>
      <c r="B14470" t="s">
        <v>6747</v>
      </c>
      <c r="C14470" t="str">
        <f>"A0125709"</f>
        <v>A0125709</v>
      </c>
      <c r="D14470" t="s">
        <v>50776</v>
      </c>
      <c r="E14470" t="s">
        <v>50777</v>
      </c>
      <c r="F14470" t="s">
        <v>17879</v>
      </c>
      <c r="G14470" t="s">
        <v>29</v>
      </c>
      <c r="H14470">
        <v>23452</v>
      </c>
      <c r="I14470" t="s">
        <v>30</v>
      </c>
      <c r="J14470" t="s">
        <v>41</v>
      </c>
      <c r="K14470" t="s">
        <v>229</v>
      </c>
      <c r="Q14470">
        <v>0</v>
      </c>
      <c r="R14470">
        <v>134</v>
      </c>
      <c r="S14470">
        <v>134</v>
      </c>
      <c r="T14470" t="s">
        <v>50778</v>
      </c>
    </row>
    <row r="14471" spans="1:20" customFormat="1" ht="15" x14ac:dyDescent="0.25">
      <c r="A14471" t="s">
        <v>35</v>
      </c>
      <c r="B14471" t="s">
        <v>61</v>
      </c>
      <c r="C14471" t="str">
        <f>"A0132828"</f>
        <v>A0132828</v>
      </c>
      <c r="D14471" t="s">
        <v>50779</v>
      </c>
      <c r="E14471" t="s">
        <v>50780</v>
      </c>
      <c r="F14471" t="s">
        <v>1755</v>
      </c>
      <c r="G14471" t="s">
        <v>65</v>
      </c>
      <c r="H14471">
        <v>45504</v>
      </c>
      <c r="I14471" t="s">
        <v>30</v>
      </c>
      <c r="J14471" t="s">
        <v>41</v>
      </c>
      <c r="K14471" t="s">
        <v>59</v>
      </c>
      <c r="Q14471">
        <v>0</v>
      </c>
      <c r="R14471">
        <v>20</v>
      </c>
      <c r="S14471">
        <v>20</v>
      </c>
      <c r="T14471" t="s">
        <v>50781</v>
      </c>
    </row>
    <row r="14472" spans="1:20" customFormat="1" ht="15" x14ac:dyDescent="0.25">
      <c r="A14472" t="s">
        <v>35</v>
      </c>
      <c r="B14472" t="s">
        <v>61</v>
      </c>
      <c r="C14472" t="str">
        <f>"A0131314"</f>
        <v>A0131314</v>
      </c>
      <c r="D14472" t="s">
        <v>50782</v>
      </c>
      <c r="E14472" t="s">
        <v>50783</v>
      </c>
      <c r="F14472" t="s">
        <v>17040</v>
      </c>
      <c r="G14472" t="s">
        <v>137</v>
      </c>
      <c r="H14472">
        <v>639350000</v>
      </c>
      <c r="I14472" t="s">
        <v>30</v>
      </c>
      <c r="J14472" t="s">
        <v>41</v>
      </c>
      <c r="K14472" t="s">
        <v>229</v>
      </c>
      <c r="Q14472">
        <v>0</v>
      </c>
      <c r="R14472">
        <v>25</v>
      </c>
      <c r="S14472">
        <v>25</v>
      </c>
      <c r="T14472" t="s">
        <v>50784</v>
      </c>
    </row>
    <row r="14473" spans="1:20" customFormat="1" ht="15" x14ac:dyDescent="0.25">
      <c r="A14473" t="s">
        <v>35</v>
      </c>
      <c r="B14473" t="s">
        <v>61</v>
      </c>
      <c r="C14473" t="str">
        <f>"A0131835"</f>
        <v>A0131835</v>
      </c>
      <c r="D14473" t="s">
        <v>50785</v>
      </c>
      <c r="E14473" t="s">
        <v>50786</v>
      </c>
      <c r="F14473" t="s">
        <v>23333</v>
      </c>
      <c r="G14473" t="s">
        <v>65</v>
      </c>
      <c r="H14473">
        <v>448700000</v>
      </c>
      <c r="I14473" t="s">
        <v>30</v>
      </c>
      <c r="J14473" t="s">
        <v>41</v>
      </c>
      <c r="K14473" t="s">
        <v>59</v>
      </c>
      <c r="Q14473">
        <v>0</v>
      </c>
      <c r="R14473">
        <v>56</v>
      </c>
      <c r="S14473">
        <v>56</v>
      </c>
      <c r="T14473" t="s">
        <v>50787</v>
      </c>
    </row>
    <row r="14474" spans="1:20" customFormat="1" ht="15" x14ac:dyDescent="0.25">
      <c r="A14474" t="s">
        <v>35</v>
      </c>
      <c r="B14474" t="s">
        <v>61</v>
      </c>
      <c r="C14474" t="str">
        <f>"A0133357"</f>
        <v>A0133357</v>
      </c>
      <c r="D14474" t="s">
        <v>50788</v>
      </c>
      <c r="E14474" t="s">
        <v>50789</v>
      </c>
      <c r="F14474" t="s">
        <v>5257</v>
      </c>
      <c r="G14474" t="s">
        <v>52</v>
      </c>
      <c r="H14474">
        <v>77077</v>
      </c>
      <c r="I14474" t="s">
        <v>30</v>
      </c>
      <c r="J14474" t="s">
        <v>41</v>
      </c>
      <c r="K14474" t="s">
        <v>229</v>
      </c>
      <c r="Q14474">
        <v>0</v>
      </c>
      <c r="R14474">
        <v>300</v>
      </c>
      <c r="S14474">
        <v>300</v>
      </c>
      <c r="T14474" t="s">
        <v>50790</v>
      </c>
    </row>
    <row r="14475" spans="1:20" customFormat="1" ht="15" x14ac:dyDescent="0.25">
      <c r="A14475" t="s">
        <v>35</v>
      </c>
      <c r="B14475" t="s">
        <v>61</v>
      </c>
      <c r="C14475" t="str">
        <f>"A0131632"</f>
        <v>A0131632</v>
      </c>
      <c r="D14475" t="s">
        <v>50791</v>
      </c>
      <c r="E14475" t="s">
        <v>50792</v>
      </c>
      <c r="F14475" t="s">
        <v>3478</v>
      </c>
      <c r="G14475" t="s">
        <v>65</v>
      </c>
      <c r="H14475">
        <v>45415</v>
      </c>
      <c r="I14475" t="s">
        <v>30</v>
      </c>
      <c r="J14475" t="s">
        <v>41</v>
      </c>
      <c r="K14475" t="s">
        <v>59</v>
      </c>
      <c r="Q14475">
        <v>0</v>
      </c>
      <c r="R14475">
        <v>90</v>
      </c>
      <c r="S14475">
        <v>90</v>
      </c>
      <c r="T14475" t="s">
        <v>50793</v>
      </c>
    </row>
    <row r="14476" spans="1:20" customFormat="1" ht="15" x14ac:dyDescent="0.25">
      <c r="A14476" t="s">
        <v>35</v>
      </c>
      <c r="B14476" t="s">
        <v>61</v>
      </c>
      <c r="C14476" t="str">
        <f>"A0131680"</f>
        <v>A0131680</v>
      </c>
      <c r="D14476" t="s">
        <v>50794</v>
      </c>
      <c r="E14476" t="s">
        <v>50795</v>
      </c>
      <c r="F14476" t="s">
        <v>8647</v>
      </c>
      <c r="G14476" t="s">
        <v>65</v>
      </c>
      <c r="H14476">
        <v>44460</v>
      </c>
      <c r="I14476" t="s">
        <v>30</v>
      </c>
      <c r="J14476" t="s">
        <v>41</v>
      </c>
      <c r="K14476" t="s">
        <v>59</v>
      </c>
      <c r="Q14476">
        <v>0</v>
      </c>
      <c r="R14476">
        <v>37</v>
      </c>
      <c r="S14476">
        <v>37</v>
      </c>
      <c r="T14476" t="s">
        <v>50796</v>
      </c>
    </row>
    <row r="14477" spans="1:20" customFormat="1" ht="15" x14ac:dyDescent="0.25">
      <c r="A14477" t="s">
        <v>35</v>
      </c>
      <c r="B14477" t="s">
        <v>61</v>
      </c>
      <c r="C14477" t="str">
        <f>"A0123984"</f>
        <v>A0123984</v>
      </c>
      <c r="D14477" t="s">
        <v>50797</v>
      </c>
      <c r="E14477" t="s">
        <v>50798</v>
      </c>
      <c r="F14477" t="s">
        <v>50799</v>
      </c>
      <c r="G14477" t="s">
        <v>81</v>
      </c>
      <c r="H14477">
        <v>32778</v>
      </c>
      <c r="I14477" t="s">
        <v>30</v>
      </c>
      <c r="J14477" t="s">
        <v>41</v>
      </c>
      <c r="K14477" t="s">
        <v>482</v>
      </c>
      <c r="Q14477">
        <v>0</v>
      </c>
      <c r="R14477">
        <v>120</v>
      </c>
      <c r="S14477">
        <v>120</v>
      </c>
      <c r="T14477" t="s">
        <v>50800</v>
      </c>
    </row>
    <row r="14478" spans="1:20" customFormat="1" ht="15" x14ac:dyDescent="0.25">
      <c r="A14478" t="s">
        <v>35</v>
      </c>
      <c r="B14478" t="s">
        <v>61</v>
      </c>
      <c r="C14478" t="str">
        <f>"A0133084"</f>
        <v>A0133084</v>
      </c>
      <c r="D14478" t="s">
        <v>50801</v>
      </c>
      <c r="E14478" t="s">
        <v>50802</v>
      </c>
      <c r="F14478" t="s">
        <v>50803</v>
      </c>
      <c r="G14478" t="s">
        <v>52</v>
      </c>
      <c r="H14478">
        <v>77478</v>
      </c>
      <c r="I14478" t="s">
        <v>30</v>
      </c>
      <c r="J14478" t="s">
        <v>41</v>
      </c>
      <c r="K14478" t="s">
        <v>59</v>
      </c>
      <c r="Q14478">
        <v>0</v>
      </c>
      <c r="R14478">
        <v>100</v>
      </c>
      <c r="S14478">
        <v>100</v>
      </c>
      <c r="T14478" t="s">
        <v>50804</v>
      </c>
    </row>
    <row r="14479" spans="1:20" customFormat="1" ht="15" x14ac:dyDescent="0.25">
      <c r="A14479" t="s">
        <v>35</v>
      </c>
      <c r="B14479" t="s">
        <v>61</v>
      </c>
      <c r="C14479" t="str">
        <f>"A0130733"</f>
        <v>A0130733</v>
      </c>
      <c r="D14479" t="s">
        <v>50805</v>
      </c>
      <c r="E14479" t="s">
        <v>50806</v>
      </c>
      <c r="F14479" t="s">
        <v>27621</v>
      </c>
      <c r="G14479" t="s">
        <v>214</v>
      </c>
      <c r="H14479">
        <v>28134</v>
      </c>
      <c r="I14479" t="s">
        <v>30</v>
      </c>
      <c r="J14479" t="s">
        <v>41</v>
      </c>
      <c r="K14479" t="s">
        <v>59</v>
      </c>
      <c r="Q14479">
        <v>0</v>
      </c>
      <c r="R14479">
        <v>270</v>
      </c>
      <c r="S14479">
        <v>270</v>
      </c>
      <c r="T14479" t="s">
        <v>50807</v>
      </c>
    </row>
    <row r="14480" spans="1:20" customFormat="1" ht="15" x14ac:dyDescent="0.25">
      <c r="A14480" t="s">
        <v>35</v>
      </c>
      <c r="B14480" t="s">
        <v>61</v>
      </c>
      <c r="C14480" t="str">
        <f>"A0155443"</f>
        <v>A0155443</v>
      </c>
      <c r="D14480" t="s">
        <v>50808</v>
      </c>
      <c r="E14480" t="s">
        <v>50809</v>
      </c>
      <c r="F14480" t="s">
        <v>50810</v>
      </c>
      <c r="G14480" t="s">
        <v>289</v>
      </c>
      <c r="H14480">
        <v>62208</v>
      </c>
      <c r="I14480" t="s">
        <v>30</v>
      </c>
      <c r="J14480" t="s">
        <v>41</v>
      </c>
      <c r="K14480" t="s">
        <v>391</v>
      </c>
      <c r="Q14480">
        <v>0</v>
      </c>
      <c r="R14480">
        <v>109</v>
      </c>
      <c r="S14480">
        <v>109</v>
      </c>
      <c r="T14480" t="s">
        <v>50811</v>
      </c>
    </row>
    <row r="14481" spans="1:20" customFormat="1" ht="15" x14ac:dyDescent="0.25">
      <c r="A14481" t="s">
        <v>35</v>
      </c>
      <c r="B14481" t="s">
        <v>61</v>
      </c>
      <c r="C14481" t="str">
        <f>"A0125350"</f>
        <v>A0125350</v>
      </c>
      <c r="D14481" t="s">
        <v>50812</v>
      </c>
      <c r="E14481" t="s">
        <v>50813</v>
      </c>
      <c r="F14481" t="s">
        <v>17235</v>
      </c>
      <c r="G14481" t="s">
        <v>40</v>
      </c>
      <c r="H14481">
        <v>73501</v>
      </c>
      <c r="I14481" t="s">
        <v>30</v>
      </c>
      <c r="J14481" t="s">
        <v>41</v>
      </c>
      <c r="K14481" t="s">
        <v>59</v>
      </c>
      <c r="Q14481">
        <v>0</v>
      </c>
      <c r="R14481">
        <v>9</v>
      </c>
      <c r="S14481">
        <v>9</v>
      </c>
      <c r="T14481" t="s">
        <v>50814</v>
      </c>
    </row>
    <row r="14482" spans="1:20" customFormat="1" ht="15" x14ac:dyDescent="0.25">
      <c r="A14482" t="s">
        <v>35</v>
      </c>
      <c r="B14482" t="s">
        <v>61</v>
      </c>
      <c r="C14482" t="str">
        <f>"A0132839"</f>
        <v>A0132839</v>
      </c>
      <c r="D14482" t="s">
        <v>50815</v>
      </c>
      <c r="E14482" t="s">
        <v>50816</v>
      </c>
      <c r="F14482" t="s">
        <v>21686</v>
      </c>
      <c r="G14482" t="s">
        <v>65</v>
      </c>
      <c r="H14482">
        <v>43085</v>
      </c>
      <c r="I14482" t="s">
        <v>30</v>
      </c>
      <c r="J14482" t="s">
        <v>41</v>
      </c>
      <c r="K14482" t="s">
        <v>131</v>
      </c>
      <c r="Q14482">
        <v>0</v>
      </c>
      <c r="R14482">
        <v>14</v>
      </c>
      <c r="S14482">
        <v>14</v>
      </c>
      <c r="T14482" t="s">
        <v>50817</v>
      </c>
    </row>
    <row r="14483" spans="1:20" customFormat="1" ht="15" x14ac:dyDescent="0.25">
      <c r="A14483" t="s">
        <v>35</v>
      </c>
      <c r="B14483" t="s">
        <v>61</v>
      </c>
      <c r="C14483" t="str">
        <f>"A0121855"</f>
        <v>A0121855</v>
      </c>
      <c r="D14483" t="s">
        <v>50818</v>
      </c>
      <c r="E14483" t="s">
        <v>50819</v>
      </c>
      <c r="F14483" t="s">
        <v>11159</v>
      </c>
      <c r="G14483" t="s">
        <v>110</v>
      </c>
      <c r="H14483">
        <v>92025</v>
      </c>
      <c r="I14483" t="s">
        <v>30</v>
      </c>
      <c r="J14483" t="s">
        <v>41</v>
      </c>
      <c r="K14483" t="s">
        <v>456</v>
      </c>
      <c r="Q14483">
        <v>0</v>
      </c>
      <c r="R14483">
        <v>0</v>
      </c>
      <c r="S14483">
        <v>0</v>
      </c>
      <c r="T14483" t="s">
        <v>50820</v>
      </c>
    </row>
    <row r="14484" spans="1:20" customFormat="1" ht="15" x14ac:dyDescent="0.25">
      <c r="A14484" t="s">
        <v>35</v>
      </c>
      <c r="B14484" t="s">
        <v>61</v>
      </c>
      <c r="C14484" t="str">
        <f>"A0124346"</f>
        <v>A0124346</v>
      </c>
      <c r="D14484" t="s">
        <v>50821</v>
      </c>
      <c r="E14484" t="s">
        <v>50822</v>
      </c>
      <c r="F14484" t="s">
        <v>50823</v>
      </c>
      <c r="G14484" t="s">
        <v>338</v>
      </c>
      <c r="H14484">
        <v>8512</v>
      </c>
      <c r="I14484" t="s">
        <v>30</v>
      </c>
      <c r="J14484" t="s">
        <v>41</v>
      </c>
      <c r="K14484" t="s">
        <v>229</v>
      </c>
      <c r="Q14484">
        <v>0</v>
      </c>
      <c r="R14484">
        <v>92</v>
      </c>
      <c r="S14484">
        <v>92</v>
      </c>
      <c r="T14484" t="s">
        <v>50824</v>
      </c>
    </row>
    <row r="14485" spans="1:20" customFormat="1" ht="15" x14ac:dyDescent="0.25">
      <c r="A14485" t="s">
        <v>35</v>
      </c>
      <c r="B14485" t="s">
        <v>61</v>
      </c>
      <c r="C14485" t="str">
        <f>"A0128887"</f>
        <v>A0128887</v>
      </c>
      <c r="D14485" t="s">
        <v>50825</v>
      </c>
      <c r="E14485" t="s">
        <v>50826</v>
      </c>
      <c r="F14485" t="s">
        <v>19233</v>
      </c>
      <c r="G14485" t="s">
        <v>289</v>
      </c>
      <c r="H14485">
        <v>614550000</v>
      </c>
      <c r="I14485" t="s">
        <v>30</v>
      </c>
      <c r="J14485" t="s">
        <v>41</v>
      </c>
      <c r="K14485" t="s">
        <v>229</v>
      </c>
      <c r="Q14485">
        <v>0</v>
      </c>
      <c r="R14485">
        <v>98</v>
      </c>
      <c r="S14485">
        <v>98</v>
      </c>
      <c r="T14485" t="s">
        <v>50827</v>
      </c>
    </row>
    <row r="14486" spans="1:20" customFormat="1" ht="15" x14ac:dyDescent="0.25">
      <c r="A14486" t="s">
        <v>35</v>
      </c>
      <c r="B14486" t="s">
        <v>61</v>
      </c>
      <c r="C14486" t="str">
        <f>"A0123724"</f>
        <v>A0123724</v>
      </c>
      <c r="D14486" t="s">
        <v>50828</v>
      </c>
      <c r="E14486" t="s">
        <v>50829</v>
      </c>
      <c r="F14486" t="s">
        <v>10598</v>
      </c>
      <c r="G14486" t="s">
        <v>81</v>
      </c>
      <c r="H14486">
        <v>33809</v>
      </c>
      <c r="I14486" t="s">
        <v>30</v>
      </c>
      <c r="J14486" t="s">
        <v>41</v>
      </c>
      <c r="K14486" t="s">
        <v>59</v>
      </c>
      <c r="Q14486">
        <v>0</v>
      </c>
      <c r="R14486">
        <v>480</v>
      </c>
      <c r="S14486">
        <v>480</v>
      </c>
      <c r="T14486" t="s">
        <v>50830</v>
      </c>
    </row>
    <row r="14487" spans="1:20" customFormat="1" ht="15" x14ac:dyDescent="0.25">
      <c r="A14487" t="s">
        <v>35</v>
      </c>
      <c r="B14487" t="s">
        <v>61</v>
      </c>
      <c r="C14487" t="str">
        <f>"A0151541"</f>
        <v>A0151541</v>
      </c>
      <c r="D14487" t="s">
        <v>50831</v>
      </c>
      <c r="E14487" t="s">
        <v>50832</v>
      </c>
      <c r="F14487" t="s">
        <v>15531</v>
      </c>
      <c r="G14487" t="s">
        <v>214</v>
      </c>
      <c r="H14487">
        <v>27705</v>
      </c>
      <c r="I14487" t="s">
        <v>30</v>
      </c>
      <c r="J14487" t="s">
        <v>41</v>
      </c>
      <c r="K14487" t="s">
        <v>1440</v>
      </c>
      <c r="Q14487">
        <v>0</v>
      </c>
      <c r="R14487">
        <v>380</v>
      </c>
      <c r="S14487">
        <v>380</v>
      </c>
      <c r="T14487" t="s">
        <v>50833</v>
      </c>
    </row>
    <row r="14488" spans="1:20" customFormat="1" ht="15" x14ac:dyDescent="0.25">
      <c r="A14488" t="s">
        <v>35</v>
      </c>
      <c r="B14488" t="s">
        <v>61</v>
      </c>
      <c r="C14488" t="str">
        <f>"A0126050"</f>
        <v>A0126050</v>
      </c>
      <c r="D14488" t="s">
        <v>50834</v>
      </c>
      <c r="E14488" t="s">
        <v>50835</v>
      </c>
      <c r="F14488" t="s">
        <v>4674</v>
      </c>
      <c r="G14488" t="s">
        <v>314</v>
      </c>
      <c r="H14488">
        <v>20008</v>
      </c>
      <c r="I14488" t="s">
        <v>30</v>
      </c>
      <c r="J14488" t="s">
        <v>41</v>
      </c>
      <c r="K14488" t="s">
        <v>59</v>
      </c>
      <c r="Q14488">
        <v>0</v>
      </c>
      <c r="R14488">
        <v>108</v>
      </c>
      <c r="S14488">
        <v>108</v>
      </c>
      <c r="T14488" t="s">
        <v>41460</v>
      </c>
    </row>
    <row r="14489" spans="1:20" customFormat="1" ht="15" x14ac:dyDescent="0.25">
      <c r="A14489" t="s">
        <v>35</v>
      </c>
      <c r="B14489" t="s">
        <v>61</v>
      </c>
      <c r="C14489" t="str">
        <f>"A0126101"</f>
        <v>A0126101</v>
      </c>
      <c r="D14489" t="s">
        <v>50836</v>
      </c>
      <c r="E14489" t="s">
        <v>50837</v>
      </c>
      <c r="F14489" t="s">
        <v>16521</v>
      </c>
      <c r="G14489" t="s">
        <v>197</v>
      </c>
      <c r="H14489">
        <v>85382</v>
      </c>
      <c r="I14489" t="s">
        <v>30</v>
      </c>
      <c r="J14489" t="s">
        <v>41</v>
      </c>
      <c r="K14489" t="s">
        <v>59</v>
      </c>
      <c r="Q14489">
        <v>0</v>
      </c>
      <c r="R14489">
        <v>86</v>
      </c>
      <c r="S14489">
        <v>86</v>
      </c>
      <c r="T14489" t="s">
        <v>50838</v>
      </c>
    </row>
    <row r="14490" spans="1:20" customFormat="1" ht="15" x14ac:dyDescent="0.25">
      <c r="A14490" t="s">
        <v>35</v>
      </c>
      <c r="B14490" t="s">
        <v>61</v>
      </c>
      <c r="C14490" t="str">
        <f>"A0131129"</f>
        <v>A0131129</v>
      </c>
      <c r="D14490" t="s">
        <v>50839</v>
      </c>
      <c r="E14490" t="s">
        <v>50840</v>
      </c>
      <c r="F14490" t="s">
        <v>17074</v>
      </c>
      <c r="G14490" t="s">
        <v>137</v>
      </c>
      <c r="H14490">
        <v>630110000</v>
      </c>
      <c r="I14490" t="s">
        <v>30</v>
      </c>
      <c r="J14490" t="s">
        <v>41</v>
      </c>
      <c r="K14490" t="s">
        <v>59</v>
      </c>
      <c r="Q14490">
        <v>0</v>
      </c>
      <c r="R14490">
        <v>160</v>
      </c>
      <c r="S14490">
        <v>160</v>
      </c>
      <c r="T14490" t="s">
        <v>50841</v>
      </c>
    </row>
    <row r="14491" spans="1:20" customFormat="1" ht="15" x14ac:dyDescent="0.25">
      <c r="A14491" t="s">
        <v>35</v>
      </c>
      <c r="B14491" t="s">
        <v>61</v>
      </c>
      <c r="C14491" t="str">
        <f>"A0121245"</f>
        <v>A0121245</v>
      </c>
      <c r="D14491" t="s">
        <v>50842</v>
      </c>
      <c r="E14491" t="s">
        <v>50843</v>
      </c>
      <c r="F14491" t="s">
        <v>44730</v>
      </c>
      <c r="G14491" t="s">
        <v>433</v>
      </c>
      <c r="H14491">
        <v>83406</v>
      </c>
      <c r="I14491" t="s">
        <v>30</v>
      </c>
      <c r="J14491" t="s">
        <v>41</v>
      </c>
      <c r="K14491" t="s">
        <v>59</v>
      </c>
      <c r="Q14491">
        <v>0</v>
      </c>
      <c r="R14491">
        <v>74</v>
      </c>
      <c r="S14491">
        <v>74</v>
      </c>
      <c r="T14491" t="s">
        <v>50844</v>
      </c>
    </row>
    <row r="14492" spans="1:20" customFormat="1" ht="15" x14ac:dyDescent="0.25">
      <c r="A14492" t="s">
        <v>35</v>
      </c>
      <c r="B14492" t="s">
        <v>61</v>
      </c>
      <c r="C14492" t="str">
        <f>"A0132865"</f>
        <v>A0132865</v>
      </c>
      <c r="D14492" t="s">
        <v>50845</v>
      </c>
      <c r="E14492" t="s">
        <v>50846</v>
      </c>
      <c r="F14492" t="s">
        <v>48005</v>
      </c>
      <c r="G14492" t="s">
        <v>65</v>
      </c>
      <c r="H14492">
        <v>43065</v>
      </c>
      <c r="I14492" t="s">
        <v>30</v>
      </c>
      <c r="J14492" t="s">
        <v>41</v>
      </c>
      <c r="K14492" t="s">
        <v>1032</v>
      </c>
      <c r="Q14492">
        <v>0</v>
      </c>
      <c r="R14492">
        <v>64</v>
      </c>
      <c r="S14492">
        <v>64</v>
      </c>
      <c r="T14492" t="s">
        <v>50847</v>
      </c>
    </row>
    <row r="14493" spans="1:20" customFormat="1" ht="15" x14ac:dyDescent="0.25">
      <c r="A14493" t="s">
        <v>35</v>
      </c>
      <c r="B14493" t="s">
        <v>61</v>
      </c>
      <c r="C14493" t="str">
        <f>"A0129589"</f>
        <v>A0129589</v>
      </c>
      <c r="D14493" t="s">
        <v>50848</v>
      </c>
      <c r="E14493" t="s">
        <v>50849</v>
      </c>
      <c r="F14493" t="s">
        <v>1607</v>
      </c>
      <c r="G14493" t="s">
        <v>289</v>
      </c>
      <c r="H14493">
        <v>60450</v>
      </c>
      <c r="I14493" t="s">
        <v>30</v>
      </c>
      <c r="J14493" t="s">
        <v>41</v>
      </c>
      <c r="K14493" t="s">
        <v>59</v>
      </c>
      <c r="Q14493">
        <v>0</v>
      </c>
      <c r="R14493">
        <v>60</v>
      </c>
      <c r="S14493">
        <v>60</v>
      </c>
      <c r="T14493" t="s">
        <v>50850</v>
      </c>
    </row>
    <row r="14494" spans="1:20" customFormat="1" ht="15" x14ac:dyDescent="0.25">
      <c r="A14494" t="s">
        <v>35</v>
      </c>
      <c r="B14494" t="s">
        <v>61</v>
      </c>
      <c r="C14494" t="str">
        <f>"A0128738"</f>
        <v>A0128738</v>
      </c>
      <c r="D14494" t="s">
        <v>50851</v>
      </c>
      <c r="E14494" t="s">
        <v>50852</v>
      </c>
      <c r="F14494" t="s">
        <v>6758</v>
      </c>
      <c r="G14494" t="s">
        <v>1170</v>
      </c>
      <c r="H14494">
        <v>706050000</v>
      </c>
      <c r="I14494" t="s">
        <v>30</v>
      </c>
      <c r="J14494" t="s">
        <v>41</v>
      </c>
      <c r="K14494" t="s">
        <v>59</v>
      </c>
      <c r="Q14494">
        <v>0</v>
      </c>
      <c r="R14494">
        <v>99</v>
      </c>
      <c r="S14494">
        <v>99</v>
      </c>
      <c r="T14494" t="s">
        <v>50853</v>
      </c>
    </row>
    <row r="14495" spans="1:20" customFormat="1" ht="15" x14ac:dyDescent="0.25">
      <c r="A14495" t="s">
        <v>35</v>
      </c>
      <c r="B14495" t="s">
        <v>61</v>
      </c>
      <c r="C14495" t="str">
        <f>"A0126056"</f>
        <v>A0126056</v>
      </c>
      <c r="D14495" t="s">
        <v>50854</v>
      </c>
      <c r="E14495" t="s">
        <v>50855</v>
      </c>
      <c r="F14495" t="s">
        <v>4674</v>
      </c>
      <c r="G14495" t="s">
        <v>314</v>
      </c>
      <c r="H14495">
        <v>20007</v>
      </c>
      <c r="I14495" t="s">
        <v>30</v>
      </c>
      <c r="J14495" t="s">
        <v>41</v>
      </c>
      <c r="K14495" t="s">
        <v>59</v>
      </c>
      <c r="Q14495">
        <v>0</v>
      </c>
      <c r="R14495">
        <v>92</v>
      </c>
      <c r="S14495">
        <v>92</v>
      </c>
      <c r="T14495" t="s">
        <v>50856</v>
      </c>
    </row>
    <row r="14496" spans="1:20" customFormat="1" ht="15" x14ac:dyDescent="0.25">
      <c r="A14496" t="s">
        <v>35</v>
      </c>
      <c r="B14496" t="s">
        <v>106</v>
      </c>
      <c r="C14496" t="str">
        <f>"A0135573"</f>
        <v>A0135573</v>
      </c>
      <c r="D14496" t="s">
        <v>50857</v>
      </c>
      <c r="E14496" t="s">
        <v>45455</v>
      </c>
      <c r="F14496" t="s">
        <v>45456</v>
      </c>
      <c r="G14496" t="s">
        <v>880</v>
      </c>
      <c r="H14496">
        <v>37383</v>
      </c>
      <c r="I14496" t="s">
        <v>30</v>
      </c>
      <c r="J14496" t="s">
        <v>111</v>
      </c>
      <c r="K14496" t="s">
        <v>112</v>
      </c>
      <c r="Q14496">
        <v>0</v>
      </c>
      <c r="R14496">
        <v>0</v>
      </c>
      <c r="S14496">
        <v>0</v>
      </c>
      <c r="T14496" t="s">
        <v>45457</v>
      </c>
    </row>
    <row r="14497" spans="1:20" customFormat="1" ht="15" x14ac:dyDescent="0.25">
      <c r="A14497" t="s">
        <v>35</v>
      </c>
      <c r="B14497" t="s">
        <v>61</v>
      </c>
      <c r="C14497" t="str">
        <f>"A0118605"</f>
        <v>A0118605</v>
      </c>
      <c r="D14497" t="s">
        <v>50858</v>
      </c>
      <c r="E14497" t="s">
        <v>50859</v>
      </c>
      <c r="F14497" t="s">
        <v>9135</v>
      </c>
      <c r="G14497" t="s">
        <v>110</v>
      </c>
      <c r="H14497">
        <v>95124</v>
      </c>
      <c r="I14497" t="s">
        <v>30</v>
      </c>
      <c r="J14497" t="s">
        <v>41</v>
      </c>
      <c r="K14497" t="s">
        <v>59</v>
      </c>
      <c r="Q14497">
        <v>0</v>
      </c>
      <c r="R14497">
        <v>12</v>
      </c>
      <c r="S14497">
        <v>12</v>
      </c>
      <c r="T14497" t="s">
        <v>50860</v>
      </c>
    </row>
    <row r="14498" spans="1:20" customFormat="1" ht="15" x14ac:dyDescent="0.25">
      <c r="A14498" t="s">
        <v>35</v>
      </c>
      <c r="B14498" t="s">
        <v>61</v>
      </c>
      <c r="C14498" t="str">
        <f>"A0151133"</f>
        <v>A0151133</v>
      </c>
      <c r="D14498" t="s">
        <v>50861</v>
      </c>
      <c r="E14498" t="s">
        <v>50862</v>
      </c>
      <c r="F14498" t="s">
        <v>50863</v>
      </c>
      <c r="G14498" t="s">
        <v>65</v>
      </c>
      <c r="H14498">
        <v>44147</v>
      </c>
      <c r="I14498" t="s">
        <v>30</v>
      </c>
      <c r="J14498" t="s">
        <v>41</v>
      </c>
      <c r="K14498" t="s">
        <v>391</v>
      </c>
      <c r="Q14498">
        <v>0</v>
      </c>
      <c r="R14498">
        <v>0</v>
      </c>
      <c r="S14498">
        <v>0</v>
      </c>
      <c r="T14498" t="s">
        <v>50864</v>
      </c>
    </row>
    <row r="14499" spans="1:20" customFormat="1" ht="15" x14ac:dyDescent="0.25">
      <c r="A14499" t="s">
        <v>35</v>
      </c>
      <c r="B14499" t="s">
        <v>61</v>
      </c>
      <c r="C14499" t="str">
        <f>"A0132135"</f>
        <v>A0132135</v>
      </c>
      <c r="D14499" t="s">
        <v>50865</v>
      </c>
      <c r="E14499" t="s">
        <v>50866</v>
      </c>
      <c r="F14499" t="s">
        <v>50867</v>
      </c>
      <c r="G14499" t="s">
        <v>65</v>
      </c>
      <c r="H14499">
        <v>44805</v>
      </c>
      <c r="I14499" t="s">
        <v>30</v>
      </c>
      <c r="J14499" t="s">
        <v>41</v>
      </c>
      <c r="K14499" t="s">
        <v>229</v>
      </c>
      <c r="Q14499">
        <v>0</v>
      </c>
      <c r="R14499">
        <v>130</v>
      </c>
      <c r="S14499">
        <v>130</v>
      </c>
      <c r="T14499" t="s">
        <v>50868</v>
      </c>
    </row>
    <row r="14500" spans="1:20" customFormat="1" ht="15" x14ac:dyDescent="0.25">
      <c r="A14500" t="s">
        <v>35</v>
      </c>
      <c r="B14500" t="s">
        <v>61</v>
      </c>
      <c r="C14500" t="str">
        <f>"A0124347"</f>
        <v>A0124347</v>
      </c>
      <c r="D14500" t="s">
        <v>50869</v>
      </c>
      <c r="E14500" t="s">
        <v>50870</v>
      </c>
      <c r="F14500" t="s">
        <v>102</v>
      </c>
      <c r="G14500" t="s">
        <v>103</v>
      </c>
      <c r="H14500">
        <v>15241</v>
      </c>
      <c r="I14500" t="s">
        <v>30</v>
      </c>
      <c r="J14500" t="s">
        <v>41</v>
      </c>
      <c r="K14500" t="s">
        <v>59</v>
      </c>
      <c r="Q14500">
        <v>0</v>
      </c>
      <c r="R14500">
        <v>85</v>
      </c>
      <c r="S14500">
        <v>85</v>
      </c>
      <c r="T14500" t="s">
        <v>50871</v>
      </c>
    </row>
    <row r="14501" spans="1:20" customFormat="1" ht="15" x14ac:dyDescent="0.25">
      <c r="A14501" t="s">
        <v>35</v>
      </c>
      <c r="B14501" t="s">
        <v>61</v>
      </c>
      <c r="C14501" t="str">
        <f>"A0129438"</f>
        <v>A0129438</v>
      </c>
      <c r="D14501" t="s">
        <v>50872</v>
      </c>
      <c r="E14501" t="s">
        <v>50873</v>
      </c>
      <c r="F14501" t="s">
        <v>9923</v>
      </c>
      <c r="G14501" t="s">
        <v>289</v>
      </c>
      <c r="H14501">
        <v>61023</v>
      </c>
      <c r="I14501" t="s">
        <v>30</v>
      </c>
      <c r="J14501" t="s">
        <v>41</v>
      </c>
      <c r="K14501" t="s">
        <v>59</v>
      </c>
      <c r="Q14501">
        <v>0</v>
      </c>
      <c r="R14501">
        <v>100</v>
      </c>
      <c r="S14501">
        <v>100</v>
      </c>
      <c r="T14501" t="s">
        <v>50874</v>
      </c>
    </row>
    <row r="14502" spans="1:20" customFormat="1" ht="15" x14ac:dyDescent="0.25">
      <c r="A14502" t="s">
        <v>35</v>
      </c>
      <c r="B14502" t="s">
        <v>106</v>
      </c>
      <c r="C14502" t="str">
        <f>"A0136475"</f>
        <v>A0136475</v>
      </c>
      <c r="D14502" t="s">
        <v>50875</v>
      </c>
      <c r="E14502" t="s">
        <v>50876</v>
      </c>
      <c r="F14502" t="s">
        <v>29719</v>
      </c>
      <c r="G14502" t="s">
        <v>615</v>
      </c>
      <c r="H14502">
        <v>6830</v>
      </c>
      <c r="I14502" t="s">
        <v>30</v>
      </c>
      <c r="J14502" t="s">
        <v>111</v>
      </c>
      <c r="K14502" t="s">
        <v>112</v>
      </c>
      <c r="Q14502">
        <v>0</v>
      </c>
      <c r="R14502">
        <v>0</v>
      </c>
      <c r="S14502">
        <v>0</v>
      </c>
      <c r="T14502" t="s">
        <v>50877</v>
      </c>
    </row>
    <row r="14503" spans="1:20" customFormat="1" ht="15" x14ac:dyDescent="0.25">
      <c r="A14503" t="s">
        <v>35</v>
      </c>
      <c r="B14503" t="s">
        <v>61</v>
      </c>
      <c r="C14503" t="str">
        <f>"A0124666"</f>
        <v>A0124666</v>
      </c>
      <c r="D14503" t="s">
        <v>50878</v>
      </c>
      <c r="E14503" t="s">
        <v>50879</v>
      </c>
      <c r="F14503" t="s">
        <v>1298</v>
      </c>
      <c r="G14503" t="s">
        <v>1369</v>
      </c>
      <c r="H14503">
        <v>394290000</v>
      </c>
      <c r="I14503" t="s">
        <v>30</v>
      </c>
      <c r="J14503" t="s">
        <v>41</v>
      </c>
      <c r="K14503" t="s">
        <v>229</v>
      </c>
      <c r="Q14503">
        <v>0</v>
      </c>
      <c r="R14503">
        <v>32</v>
      </c>
      <c r="S14503">
        <v>32</v>
      </c>
      <c r="T14503" t="s">
        <v>50880</v>
      </c>
    </row>
    <row r="14504" spans="1:20" customFormat="1" ht="15" x14ac:dyDescent="0.25">
      <c r="A14504" t="s">
        <v>35</v>
      </c>
      <c r="B14504" t="s">
        <v>61</v>
      </c>
      <c r="C14504" t="str">
        <f>"A0124192"</f>
        <v>A0124192</v>
      </c>
      <c r="D14504" t="s">
        <v>50881</v>
      </c>
      <c r="E14504" t="s">
        <v>50882</v>
      </c>
      <c r="F14504" t="s">
        <v>13113</v>
      </c>
      <c r="G14504" t="s">
        <v>289</v>
      </c>
      <c r="H14504">
        <v>60505</v>
      </c>
      <c r="I14504" t="s">
        <v>30</v>
      </c>
      <c r="J14504" t="s">
        <v>41</v>
      </c>
      <c r="K14504" t="s">
        <v>229</v>
      </c>
      <c r="Q14504">
        <v>0</v>
      </c>
      <c r="R14504">
        <v>158</v>
      </c>
      <c r="S14504">
        <v>158</v>
      </c>
      <c r="T14504" t="s">
        <v>50883</v>
      </c>
    </row>
    <row r="14505" spans="1:20" customFormat="1" ht="15" x14ac:dyDescent="0.25">
      <c r="A14505" t="s">
        <v>35</v>
      </c>
      <c r="B14505" t="s">
        <v>61</v>
      </c>
      <c r="C14505" t="str">
        <f>"A0125213"</f>
        <v>A0125213</v>
      </c>
      <c r="D14505" t="s">
        <v>32535</v>
      </c>
      <c r="E14505" t="s">
        <v>50884</v>
      </c>
      <c r="F14505" t="s">
        <v>4037</v>
      </c>
      <c r="G14505" t="s">
        <v>40</v>
      </c>
      <c r="H14505">
        <v>73112</v>
      </c>
      <c r="I14505" t="s">
        <v>30</v>
      </c>
      <c r="J14505" t="s">
        <v>41</v>
      </c>
      <c r="K14505" t="s">
        <v>59</v>
      </c>
      <c r="Q14505">
        <v>0</v>
      </c>
      <c r="R14505">
        <v>77</v>
      </c>
      <c r="S14505">
        <v>77</v>
      </c>
      <c r="T14505" t="s">
        <v>50885</v>
      </c>
    </row>
    <row r="14506" spans="1:20" customFormat="1" ht="15" x14ac:dyDescent="0.25">
      <c r="A14506" t="s">
        <v>35</v>
      </c>
      <c r="B14506" t="s">
        <v>61</v>
      </c>
      <c r="C14506" t="str">
        <f>"A0133545"</f>
        <v>A0133545</v>
      </c>
      <c r="D14506" t="s">
        <v>50886</v>
      </c>
      <c r="E14506" t="s">
        <v>50887</v>
      </c>
      <c r="F14506" t="s">
        <v>50888</v>
      </c>
      <c r="G14506" t="s">
        <v>52</v>
      </c>
      <c r="H14506">
        <v>78738</v>
      </c>
      <c r="I14506" t="s">
        <v>30</v>
      </c>
      <c r="J14506" t="s">
        <v>41</v>
      </c>
      <c r="K14506" t="s">
        <v>1032</v>
      </c>
      <c r="Q14506">
        <v>0</v>
      </c>
      <c r="R14506">
        <v>150</v>
      </c>
      <c r="S14506">
        <v>150</v>
      </c>
      <c r="T14506" t="s">
        <v>50889</v>
      </c>
    </row>
    <row r="14507" spans="1:20" customFormat="1" ht="15" x14ac:dyDescent="0.25">
      <c r="A14507" t="s">
        <v>35</v>
      </c>
      <c r="B14507" t="s">
        <v>61</v>
      </c>
      <c r="C14507" t="str">
        <f>"A0118416"</f>
        <v>A0118416</v>
      </c>
      <c r="D14507" t="s">
        <v>50890</v>
      </c>
      <c r="E14507" t="s">
        <v>50891</v>
      </c>
      <c r="F14507" t="s">
        <v>9877</v>
      </c>
      <c r="G14507" t="s">
        <v>110</v>
      </c>
      <c r="H14507">
        <v>93625</v>
      </c>
      <c r="I14507" t="s">
        <v>30</v>
      </c>
      <c r="J14507" t="s">
        <v>41</v>
      </c>
      <c r="K14507" t="s">
        <v>59</v>
      </c>
      <c r="Q14507">
        <v>0</v>
      </c>
      <c r="R14507">
        <v>30</v>
      </c>
      <c r="S14507">
        <v>30</v>
      </c>
      <c r="T14507" t="s">
        <v>50892</v>
      </c>
    </row>
    <row r="14508" spans="1:20" customFormat="1" ht="15" x14ac:dyDescent="0.25">
      <c r="A14508" t="s">
        <v>35</v>
      </c>
      <c r="B14508" t="s">
        <v>61</v>
      </c>
      <c r="C14508" t="str">
        <f>"A0154279"</f>
        <v>A0154279</v>
      </c>
      <c r="D14508" t="s">
        <v>50893</v>
      </c>
      <c r="E14508" t="s">
        <v>50894</v>
      </c>
      <c r="F14508" t="s">
        <v>8269</v>
      </c>
      <c r="G14508" t="s">
        <v>153</v>
      </c>
      <c r="H14508">
        <v>84737</v>
      </c>
      <c r="I14508" t="s">
        <v>30</v>
      </c>
      <c r="J14508" t="s">
        <v>41</v>
      </c>
      <c r="K14508" t="s">
        <v>59</v>
      </c>
      <c r="Q14508">
        <v>0</v>
      </c>
      <c r="R14508">
        <v>90</v>
      </c>
      <c r="S14508">
        <v>90</v>
      </c>
      <c r="T14508" t="s">
        <v>50895</v>
      </c>
    </row>
    <row r="14509" spans="1:20" customFormat="1" ht="15" x14ac:dyDescent="0.25">
      <c r="A14509" t="s">
        <v>35</v>
      </c>
      <c r="B14509" t="s">
        <v>61</v>
      </c>
      <c r="C14509" t="str">
        <f>"A0123051"</f>
        <v>A0123051</v>
      </c>
      <c r="D14509" t="s">
        <v>50896</v>
      </c>
      <c r="E14509" t="s">
        <v>50897</v>
      </c>
      <c r="F14509" t="s">
        <v>9636</v>
      </c>
      <c r="G14509" t="s">
        <v>76</v>
      </c>
      <c r="H14509">
        <v>99212</v>
      </c>
      <c r="I14509" t="s">
        <v>30</v>
      </c>
      <c r="J14509" t="s">
        <v>41</v>
      </c>
      <c r="K14509" t="s">
        <v>461</v>
      </c>
      <c r="Q14509">
        <v>0</v>
      </c>
      <c r="R14509">
        <v>60</v>
      </c>
      <c r="S14509">
        <v>60</v>
      </c>
      <c r="T14509" t="s">
        <v>50898</v>
      </c>
    </row>
    <row r="14510" spans="1:20" customFormat="1" ht="15" x14ac:dyDescent="0.25">
      <c r="A14510" t="s">
        <v>35</v>
      </c>
      <c r="B14510" t="s">
        <v>61</v>
      </c>
      <c r="C14510" t="str">
        <f>"A0122578"</f>
        <v>A0122578</v>
      </c>
      <c r="D14510" t="s">
        <v>50899</v>
      </c>
      <c r="E14510" t="s">
        <v>50900</v>
      </c>
      <c r="F14510" t="s">
        <v>1444</v>
      </c>
      <c r="G14510" t="s">
        <v>76</v>
      </c>
      <c r="H14510">
        <v>98103</v>
      </c>
      <c r="I14510" t="s">
        <v>30</v>
      </c>
      <c r="J14510" t="s">
        <v>41</v>
      </c>
      <c r="K14510" t="s">
        <v>1440</v>
      </c>
      <c r="Q14510">
        <v>0</v>
      </c>
      <c r="R14510">
        <v>243</v>
      </c>
      <c r="S14510">
        <v>243</v>
      </c>
      <c r="T14510" t="s">
        <v>50901</v>
      </c>
    </row>
    <row r="14511" spans="1:20" customFormat="1" ht="15" x14ac:dyDescent="0.25">
      <c r="A14511" t="s">
        <v>35</v>
      </c>
      <c r="B14511" t="s">
        <v>61</v>
      </c>
      <c r="C14511" t="str">
        <f>"A0133351"</f>
        <v>A0133351</v>
      </c>
      <c r="D14511" t="s">
        <v>50902</v>
      </c>
      <c r="E14511" t="s">
        <v>50903</v>
      </c>
      <c r="F14511" t="s">
        <v>4133</v>
      </c>
      <c r="G14511" t="s">
        <v>52</v>
      </c>
      <c r="H14511">
        <v>78729</v>
      </c>
      <c r="I14511" t="s">
        <v>30</v>
      </c>
      <c r="J14511" t="s">
        <v>41</v>
      </c>
      <c r="K14511" t="s">
        <v>59</v>
      </c>
      <c r="Q14511">
        <v>0</v>
      </c>
      <c r="R14511">
        <v>107</v>
      </c>
      <c r="S14511">
        <v>107</v>
      </c>
      <c r="T14511" t="s">
        <v>50904</v>
      </c>
    </row>
    <row r="14512" spans="1:20" customFormat="1" ht="15" x14ac:dyDescent="0.25">
      <c r="A14512" t="s">
        <v>35</v>
      </c>
      <c r="B14512" t="s">
        <v>61</v>
      </c>
      <c r="C14512" t="str">
        <f>"A0124081"</f>
        <v>A0124081</v>
      </c>
      <c r="D14512" t="s">
        <v>50905</v>
      </c>
      <c r="E14512" t="s">
        <v>50906</v>
      </c>
      <c r="F14512" t="s">
        <v>50907</v>
      </c>
      <c r="G14512" t="s">
        <v>214</v>
      </c>
      <c r="H14512">
        <v>27028</v>
      </c>
      <c r="I14512" t="s">
        <v>30</v>
      </c>
      <c r="J14512" t="s">
        <v>41</v>
      </c>
      <c r="K14512" t="s">
        <v>482</v>
      </c>
      <c r="Q14512">
        <v>0</v>
      </c>
      <c r="R14512">
        <v>80</v>
      </c>
      <c r="S14512">
        <v>80</v>
      </c>
      <c r="T14512" t="s">
        <v>50908</v>
      </c>
    </row>
    <row r="14513" spans="1:20" customFormat="1" ht="15" x14ac:dyDescent="0.25">
      <c r="A14513" t="s">
        <v>35</v>
      </c>
      <c r="B14513" t="s">
        <v>61</v>
      </c>
      <c r="C14513" t="str">
        <f>"A0124424"</f>
        <v>A0124424</v>
      </c>
      <c r="D14513" t="s">
        <v>50909</v>
      </c>
      <c r="E14513" t="s">
        <v>50910</v>
      </c>
      <c r="F14513" t="s">
        <v>1795</v>
      </c>
      <c r="G14513" t="s">
        <v>29</v>
      </c>
      <c r="H14513">
        <v>23227</v>
      </c>
      <c r="I14513" t="s">
        <v>30</v>
      </c>
      <c r="J14513" t="s">
        <v>41</v>
      </c>
      <c r="K14513" t="s">
        <v>482</v>
      </c>
      <c r="Q14513">
        <v>0</v>
      </c>
      <c r="R14513">
        <v>0</v>
      </c>
      <c r="S14513">
        <v>0</v>
      </c>
      <c r="T14513" t="s">
        <v>50911</v>
      </c>
    </row>
    <row r="14514" spans="1:20" customFormat="1" ht="15" x14ac:dyDescent="0.25">
      <c r="A14514" t="s">
        <v>35</v>
      </c>
      <c r="B14514" t="s">
        <v>61</v>
      </c>
      <c r="C14514" t="str">
        <f>"A0124350"</f>
        <v>A0124350</v>
      </c>
      <c r="D14514" t="s">
        <v>50912</v>
      </c>
      <c r="E14514" t="s">
        <v>50913</v>
      </c>
      <c r="F14514" t="s">
        <v>9690</v>
      </c>
      <c r="G14514" t="s">
        <v>103</v>
      </c>
      <c r="H14514">
        <v>19380</v>
      </c>
      <c r="I14514" t="s">
        <v>30</v>
      </c>
      <c r="J14514" t="s">
        <v>41</v>
      </c>
      <c r="K14514" t="s">
        <v>482</v>
      </c>
      <c r="Q14514">
        <v>0</v>
      </c>
      <c r="R14514">
        <v>95</v>
      </c>
      <c r="S14514">
        <v>95</v>
      </c>
      <c r="T14514" t="s">
        <v>50914</v>
      </c>
    </row>
    <row r="14515" spans="1:20" customFormat="1" ht="15" x14ac:dyDescent="0.25">
      <c r="A14515" t="s">
        <v>35</v>
      </c>
      <c r="B14515" t="s">
        <v>61</v>
      </c>
      <c r="C14515" t="str">
        <f>"A0126614"</f>
        <v>A0126614</v>
      </c>
      <c r="D14515" t="s">
        <v>50915</v>
      </c>
      <c r="E14515" t="s">
        <v>50916</v>
      </c>
      <c r="F14515" t="s">
        <v>19465</v>
      </c>
      <c r="G14515" t="s">
        <v>103</v>
      </c>
      <c r="H14515">
        <v>19444</v>
      </c>
      <c r="I14515" t="s">
        <v>30</v>
      </c>
      <c r="J14515" t="s">
        <v>41</v>
      </c>
      <c r="K14515" t="s">
        <v>1440</v>
      </c>
      <c r="Q14515">
        <v>0</v>
      </c>
      <c r="R14515">
        <v>165</v>
      </c>
      <c r="S14515">
        <v>165</v>
      </c>
      <c r="T14515" t="s">
        <v>50917</v>
      </c>
    </row>
    <row r="14516" spans="1:20" customFormat="1" ht="15" x14ac:dyDescent="0.25">
      <c r="A14516" t="s">
        <v>35</v>
      </c>
      <c r="B14516" t="s">
        <v>61</v>
      </c>
      <c r="C14516" t="str">
        <f>"A0124525"</f>
        <v>A0124525</v>
      </c>
      <c r="D14516" t="s">
        <v>15932</v>
      </c>
      <c r="E14516" t="s">
        <v>50918</v>
      </c>
      <c r="F14516" t="s">
        <v>1373</v>
      </c>
      <c r="G14516" t="s">
        <v>1369</v>
      </c>
      <c r="H14516">
        <v>39130</v>
      </c>
      <c r="I14516" t="s">
        <v>30</v>
      </c>
      <c r="J14516" t="s">
        <v>41</v>
      </c>
      <c r="K14516" t="s">
        <v>229</v>
      </c>
      <c r="Q14516">
        <v>0</v>
      </c>
      <c r="R14516">
        <v>60</v>
      </c>
      <c r="S14516">
        <v>60</v>
      </c>
      <c r="T14516" t="s">
        <v>50919</v>
      </c>
    </row>
    <row r="14517" spans="1:20" customFormat="1" ht="15" x14ac:dyDescent="0.25">
      <c r="A14517" t="s">
        <v>35</v>
      </c>
      <c r="B14517" t="s">
        <v>61</v>
      </c>
      <c r="C14517" t="str">
        <f>"A0132577"</f>
        <v>A0132577</v>
      </c>
      <c r="D14517" t="s">
        <v>50920</v>
      </c>
      <c r="E14517" t="s">
        <v>50921</v>
      </c>
      <c r="F14517" t="s">
        <v>15508</v>
      </c>
      <c r="G14517" t="s">
        <v>65</v>
      </c>
      <c r="H14517">
        <v>43311</v>
      </c>
      <c r="I14517" t="s">
        <v>30</v>
      </c>
      <c r="J14517" t="s">
        <v>41</v>
      </c>
      <c r="K14517" t="s">
        <v>59</v>
      </c>
      <c r="Q14517">
        <v>0</v>
      </c>
      <c r="R14517">
        <v>24</v>
      </c>
      <c r="S14517">
        <v>24</v>
      </c>
      <c r="T14517" t="s">
        <v>50922</v>
      </c>
    </row>
    <row r="14518" spans="1:20" customFormat="1" ht="15" x14ac:dyDescent="0.25">
      <c r="A14518" t="s">
        <v>35</v>
      </c>
      <c r="B14518" t="s">
        <v>106</v>
      </c>
      <c r="C14518" t="str">
        <f>"A0136136"</f>
        <v>A0136136</v>
      </c>
      <c r="D14518" t="s">
        <v>50923</v>
      </c>
      <c r="E14518" t="s">
        <v>49374</v>
      </c>
      <c r="F14518" t="s">
        <v>5317</v>
      </c>
      <c r="G14518" t="s">
        <v>1706</v>
      </c>
      <c r="H14518">
        <v>36849</v>
      </c>
      <c r="I14518" t="s">
        <v>30</v>
      </c>
      <c r="J14518" t="s">
        <v>111</v>
      </c>
      <c r="K14518" t="s">
        <v>112</v>
      </c>
      <c r="Q14518">
        <v>0</v>
      </c>
      <c r="R14518">
        <v>0</v>
      </c>
      <c r="S14518">
        <v>0</v>
      </c>
      <c r="T14518" t="s">
        <v>50924</v>
      </c>
    </row>
    <row r="14519" spans="1:20" customFormat="1" ht="15" x14ac:dyDescent="0.25">
      <c r="A14519" t="s">
        <v>35</v>
      </c>
      <c r="B14519" t="s">
        <v>61</v>
      </c>
      <c r="C14519" t="str">
        <f>"A0126778"</f>
        <v>A0126778</v>
      </c>
      <c r="D14519" t="s">
        <v>50925</v>
      </c>
      <c r="E14519" t="s">
        <v>50926</v>
      </c>
      <c r="F14519" t="s">
        <v>22572</v>
      </c>
      <c r="G14519" t="s">
        <v>338</v>
      </c>
      <c r="H14519">
        <v>7840</v>
      </c>
      <c r="I14519" t="s">
        <v>30</v>
      </c>
      <c r="J14519" t="s">
        <v>41</v>
      </c>
      <c r="K14519" t="s">
        <v>1440</v>
      </c>
      <c r="Q14519">
        <v>0</v>
      </c>
      <c r="R14519">
        <v>180</v>
      </c>
      <c r="S14519">
        <v>180</v>
      </c>
      <c r="T14519" t="s">
        <v>50927</v>
      </c>
    </row>
    <row r="14520" spans="1:20" customFormat="1" ht="15" x14ac:dyDescent="0.25">
      <c r="A14520" t="s">
        <v>35</v>
      </c>
      <c r="B14520" t="s">
        <v>61</v>
      </c>
      <c r="C14520" t="str">
        <f>"A0124351"</f>
        <v>A0124351</v>
      </c>
      <c r="D14520" t="s">
        <v>50928</v>
      </c>
      <c r="E14520" t="s">
        <v>50929</v>
      </c>
      <c r="F14520" t="s">
        <v>288</v>
      </c>
      <c r="G14520" t="s">
        <v>289</v>
      </c>
      <c r="H14520">
        <v>60614</v>
      </c>
      <c r="I14520" t="s">
        <v>30</v>
      </c>
      <c r="J14520" t="s">
        <v>41</v>
      </c>
      <c r="K14520" t="s">
        <v>229</v>
      </c>
      <c r="Q14520">
        <v>0</v>
      </c>
      <c r="R14520">
        <v>248</v>
      </c>
      <c r="S14520">
        <v>248</v>
      </c>
      <c r="T14520" t="s">
        <v>50930</v>
      </c>
    </row>
    <row r="14521" spans="1:20" customFormat="1" ht="15" x14ac:dyDescent="0.25">
      <c r="A14521" t="s">
        <v>35</v>
      </c>
      <c r="B14521" t="s">
        <v>61</v>
      </c>
      <c r="C14521" t="str">
        <f>"A0132048"</f>
        <v>A0132048</v>
      </c>
      <c r="D14521" t="s">
        <v>50931</v>
      </c>
      <c r="E14521" t="s">
        <v>50932</v>
      </c>
      <c r="F14521" t="s">
        <v>2770</v>
      </c>
      <c r="G14521" t="s">
        <v>65</v>
      </c>
      <c r="H14521">
        <v>447180000</v>
      </c>
      <c r="I14521" t="s">
        <v>30</v>
      </c>
      <c r="J14521" t="s">
        <v>41</v>
      </c>
      <c r="K14521" t="s">
        <v>59</v>
      </c>
      <c r="Q14521">
        <v>0</v>
      </c>
      <c r="R14521">
        <v>104</v>
      </c>
      <c r="S14521">
        <v>104</v>
      </c>
      <c r="T14521" t="s">
        <v>50933</v>
      </c>
    </row>
    <row r="14522" spans="1:20" customFormat="1" ht="15" x14ac:dyDescent="0.25">
      <c r="A14522" t="s">
        <v>35</v>
      </c>
      <c r="B14522" t="s">
        <v>61</v>
      </c>
      <c r="C14522" t="str">
        <f>"A0125078"</f>
        <v>A0125078</v>
      </c>
      <c r="D14522" t="s">
        <v>50934</v>
      </c>
      <c r="E14522" t="s">
        <v>50935</v>
      </c>
      <c r="F14522" t="s">
        <v>33762</v>
      </c>
      <c r="G14522" t="s">
        <v>58</v>
      </c>
      <c r="H14522">
        <v>29910</v>
      </c>
      <c r="I14522" t="s">
        <v>30</v>
      </c>
      <c r="J14522" t="s">
        <v>41</v>
      </c>
      <c r="K14522" t="s">
        <v>37340</v>
      </c>
      <c r="Q14522">
        <v>0</v>
      </c>
      <c r="R14522">
        <v>1</v>
      </c>
      <c r="S14522">
        <v>1</v>
      </c>
      <c r="T14522" t="s">
        <v>50936</v>
      </c>
    </row>
    <row r="14523" spans="1:20" customFormat="1" ht="15" x14ac:dyDescent="0.25">
      <c r="A14523" t="s">
        <v>35</v>
      </c>
      <c r="B14523" t="s">
        <v>61</v>
      </c>
      <c r="C14523" t="str">
        <f>"A0131710"</f>
        <v>A0131710</v>
      </c>
      <c r="D14523" t="s">
        <v>50937</v>
      </c>
      <c r="E14523" t="s">
        <v>50938</v>
      </c>
      <c r="F14523" t="s">
        <v>23505</v>
      </c>
      <c r="G14523" t="s">
        <v>65</v>
      </c>
      <c r="H14523">
        <v>446460000</v>
      </c>
      <c r="I14523" t="s">
        <v>30</v>
      </c>
      <c r="J14523" t="s">
        <v>41</v>
      </c>
      <c r="K14523" t="s">
        <v>59</v>
      </c>
      <c r="Q14523">
        <v>0</v>
      </c>
      <c r="R14523">
        <v>76</v>
      </c>
      <c r="S14523">
        <v>76</v>
      </c>
      <c r="T14523" t="s">
        <v>50939</v>
      </c>
    </row>
    <row r="14524" spans="1:20" customFormat="1" ht="15" x14ac:dyDescent="0.25">
      <c r="A14524" t="s">
        <v>35</v>
      </c>
      <c r="B14524" t="s">
        <v>61</v>
      </c>
      <c r="C14524" t="str">
        <f>"A0150771"</f>
        <v>A0150771</v>
      </c>
      <c r="D14524" t="s">
        <v>50940</v>
      </c>
      <c r="E14524" t="s">
        <v>50941</v>
      </c>
      <c r="F14524" t="s">
        <v>7267</v>
      </c>
      <c r="G14524" t="s">
        <v>153</v>
      </c>
      <c r="H14524">
        <v>84105</v>
      </c>
      <c r="I14524" t="s">
        <v>30</v>
      </c>
      <c r="J14524" t="s">
        <v>41</v>
      </c>
      <c r="K14524" t="s">
        <v>456</v>
      </c>
      <c r="Q14524">
        <v>0</v>
      </c>
      <c r="R14524">
        <v>50</v>
      </c>
      <c r="S14524">
        <v>50</v>
      </c>
      <c r="T14524" t="s">
        <v>50942</v>
      </c>
    </row>
    <row r="14525" spans="1:20" customFormat="1" ht="15" x14ac:dyDescent="0.25">
      <c r="A14525" t="s">
        <v>35</v>
      </c>
      <c r="B14525" t="s">
        <v>61</v>
      </c>
      <c r="C14525" t="str">
        <f>"A0123583"</f>
        <v>A0123583</v>
      </c>
      <c r="D14525" t="s">
        <v>50943</v>
      </c>
      <c r="E14525" t="s">
        <v>50944</v>
      </c>
      <c r="F14525" t="s">
        <v>13792</v>
      </c>
      <c r="G14525" t="s">
        <v>29</v>
      </c>
      <c r="H14525">
        <v>22203</v>
      </c>
      <c r="I14525" t="s">
        <v>30</v>
      </c>
      <c r="J14525" t="s">
        <v>41</v>
      </c>
      <c r="K14525" t="s">
        <v>482</v>
      </c>
      <c r="Q14525">
        <v>0</v>
      </c>
      <c r="R14525">
        <v>123</v>
      </c>
      <c r="S14525">
        <v>123</v>
      </c>
      <c r="T14525" t="s">
        <v>50945</v>
      </c>
    </row>
    <row r="14526" spans="1:20" customFormat="1" ht="15" x14ac:dyDescent="0.25">
      <c r="A14526" t="s">
        <v>35</v>
      </c>
      <c r="B14526" t="s">
        <v>61</v>
      </c>
      <c r="C14526" t="str">
        <f>"A0128590"</f>
        <v>A0128590</v>
      </c>
      <c r="D14526" t="s">
        <v>50946</v>
      </c>
      <c r="E14526" t="s">
        <v>50947</v>
      </c>
      <c r="F14526" t="s">
        <v>32958</v>
      </c>
      <c r="G14526" t="s">
        <v>840</v>
      </c>
      <c r="H14526">
        <v>41230</v>
      </c>
      <c r="I14526" t="s">
        <v>30</v>
      </c>
      <c r="J14526" t="s">
        <v>41</v>
      </c>
      <c r="K14526" t="s">
        <v>229</v>
      </c>
      <c r="Q14526">
        <v>0</v>
      </c>
      <c r="R14526">
        <v>100</v>
      </c>
      <c r="S14526">
        <v>100</v>
      </c>
      <c r="T14526" t="s">
        <v>50948</v>
      </c>
    </row>
    <row r="14527" spans="1:20" customFormat="1" ht="15" x14ac:dyDescent="0.25">
      <c r="A14527" t="s">
        <v>35</v>
      </c>
      <c r="B14527" t="s">
        <v>61</v>
      </c>
      <c r="C14527" t="str">
        <f>"A0127658"</f>
        <v>A0127658</v>
      </c>
      <c r="D14527" t="s">
        <v>50949</v>
      </c>
      <c r="E14527" t="s">
        <v>50950</v>
      </c>
      <c r="F14527" t="s">
        <v>50951</v>
      </c>
      <c r="G14527" t="s">
        <v>123</v>
      </c>
      <c r="H14527">
        <v>20611</v>
      </c>
      <c r="I14527" t="s">
        <v>30</v>
      </c>
      <c r="J14527" t="s">
        <v>41</v>
      </c>
      <c r="K14527" t="s">
        <v>461</v>
      </c>
      <c r="Q14527">
        <v>0</v>
      </c>
      <c r="R14527">
        <v>45</v>
      </c>
      <c r="S14527">
        <v>45</v>
      </c>
      <c r="T14527" t="s">
        <v>50952</v>
      </c>
    </row>
    <row r="14528" spans="1:20" customFormat="1" ht="15" x14ac:dyDescent="0.25">
      <c r="A14528" t="s">
        <v>35</v>
      </c>
      <c r="B14528" t="s">
        <v>61</v>
      </c>
      <c r="C14528" t="str">
        <f>"A0122657"</f>
        <v>A0122657</v>
      </c>
      <c r="D14528" t="s">
        <v>50953</v>
      </c>
      <c r="E14528" t="s">
        <v>50954</v>
      </c>
      <c r="F14528" t="s">
        <v>1444</v>
      </c>
      <c r="G14528" t="s">
        <v>76</v>
      </c>
      <c r="H14528">
        <v>981360000</v>
      </c>
      <c r="I14528" t="s">
        <v>30</v>
      </c>
      <c r="J14528" t="s">
        <v>41</v>
      </c>
      <c r="K14528" t="s">
        <v>1440</v>
      </c>
      <c r="Q14528">
        <v>0</v>
      </c>
      <c r="R14528">
        <v>101</v>
      </c>
      <c r="S14528">
        <v>101</v>
      </c>
      <c r="T14528" t="s">
        <v>50955</v>
      </c>
    </row>
    <row r="14529" spans="1:20" customFormat="1" ht="15" x14ac:dyDescent="0.25">
      <c r="A14529" t="s">
        <v>35</v>
      </c>
      <c r="B14529" t="s">
        <v>61</v>
      </c>
      <c r="C14529" t="str">
        <f>"A0132024"</f>
        <v>A0132024</v>
      </c>
      <c r="D14529" t="s">
        <v>50956</v>
      </c>
      <c r="E14529" t="s">
        <v>50957</v>
      </c>
      <c r="F14529" t="s">
        <v>44142</v>
      </c>
      <c r="G14529" t="s">
        <v>65</v>
      </c>
      <c r="H14529">
        <v>44240</v>
      </c>
      <c r="I14529" t="s">
        <v>30</v>
      </c>
      <c r="J14529" t="s">
        <v>41</v>
      </c>
      <c r="K14529" t="s">
        <v>59</v>
      </c>
      <c r="Q14529">
        <v>0</v>
      </c>
      <c r="R14529">
        <v>99</v>
      </c>
      <c r="S14529">
        <v>99</v>
      </c>
      <c r="T14529" t="s">
        <v>50958</v>
      </c>
    </row>
    <row r="14530" spans="1:20" customFormat="1" ht="15" x14ac:dyDescent="0.25">
      <c r="A14530" t="s">
        <v>35</v>
      </c>
      <c r="B14530" t="s">
        <v>61</v>
      </c>
      <c r="C14530" t="str">
        <f>"A0121552"</f>
        <v>A0121552</v>
      </c>
      <c r="D14530" t="s">
        <v>50959</v>
      </c>
      <c r="E14530" t="s">
        <v>50960</v>
      </c>
      <c r="F14530" t="s">
        <v>9124</v>
      </c>
      <c r="G14530" t="s">
        <v>110</v>
      </c>
      <c r="H14530">
        <v>95608</v>
      </c>
      <c r="I14530" t="s">
        <v>30</v>
      </c>
      <c r="J14530" t="s">
        <v>41</v>
      </c>
      <c r="K14530" t="s">
        <v>59</v>
      </c>
      <c r="Q14530">
        <v>0</v>
      </c>
      <c r="R14530">
        <v>64</v>
      </c>
      <c r="S14530">
        <v>64</v>
      </c>
      <c r="T14530" t="s">
        <v>50961</v>
      </c>
    </row>
    <row r="14531" spans="1:20" customFormat="1" ht="15" x14ac:dyDescent="0.25">
      <c r="A14531" t="s">
        <v>35</v>
      </c>
      <c r="B14531" t="s">
        <v>61</v>
      </c>
      <c r="C14531" t="str">
        <f>"A0132694"</f>
        <v>A0132694</v>
      </c>
      <c r="D14531" t="s">
        <v>50962</v>
      </c>
      <c r="E14531" t="s">
        <v>50963</v>
      </c>
      <c r="F14531" t="s">
        <v>50964</v>
      </c>
      <c r="G14531" t="s">
        <v>65</v>
      </c>
      <c r="H14531">
        <v>43822</v>
      </c>
      <c r="I14531" t="s">
        <v>30</v>
      </c>
      <c r="J14531" t="s">
        <v>41</v>
      </c>
      <c r="K14531" t="s">
        <v>461</v>
      </c>
      <c r="Q14531">
        <v>0</v>
      </c>
      <c r="R14531">
        <v>0</v>
      </c>
      <c r="S14531">
        <v>0</v>
      </c>
      <c r="T14531" t="s">
        <v>50965</v>
      </c>
    </row>
    <row r="14532" spans="1:20" customFormat="1" ht="15" x14ac:dyDescent="0.25">
      <c r="A14532" t="s">
        <v>35</v>
      </c>
      <c r="B14532" t="s">
        <v>61</v>
      </c>
      <c r="C14532" t="str">
        <f>"A0129593"</f>
        <v>A0129593</v>
      </c>
      <c r="D14532" t="s">
        <v>50966</v>
      </c>
      <c r="E14532" t="s">
        <v>50967</v>
      </c>
      <c r="F14532" t="s">
        <v>28270</v>
      </c>
      <c r="G14532" t="s">
        <v>289</v>
      </c>
      <c r="H14532">
        <v>62901</v>
      </c>
      <c r="I14532" t="s">
        <v>30</v>
      </c>
      <c r="J14532" t="s">
        <v>41</v>
      </c>
      <c r="K14532" t="s">
        <v>59</v>
      </c>
      <c r="Q14532">
        <v>0</v>
      </c>
      <c r="R14532">
        <v>50</v>
      </c>
      <c r="S14532">
        <v>50</v>
      </c>
      <c r="T14532" t="s">
        <v>50968</v>
      </c>
    </row>
    <row r="14533" spans="1:20" customFormat="1" ht="15" x14ac:dyDescent="0.25">
      <c r="A14533" t="s">
        <v>35</v>
      </c>
      <c r="B14533" t="s">
        <v>61</v>
      </c>
      <c r="C14533" t="str">
        <f>"A0132424"</f>
        <v>A0132424</v>
      </c>
      <c r="D14533" t="s">
        <v>50969</v>
      </c>
      <c r="E14533" t="s">
        <v>50970</v>
      </c>
      <c r="F14533" t="s">
        <v>64</v>
      </c>
      <c r="G14533" t="s">
        <v>65</v>
      </c>
      <c r="H14533">
        <v>43230</v>
      </c>
      <c r="I14533" t="s">
        <v>30</v>
      </c>
      <c r="J14533" t="s">
        <v>41</v>
      </c>
      <c r="K14533" t="s">
        <v>229</v>
      </c>
      <c r="Q14533">
        <v>0</v>
      </c>
      <c r="R14533">
        <v>100</v>
      </c>
      <c r="S14533">
        <v>100</v>
      </c>
      <c r="T14533" t="s">
        <v>50971</v>
      </c>
    </row>
    <row r="14534" spans="1:20" customFormat="1" ht="15" x14ac:dyDescent="0.25">
      <c r="A14534" t="s">
        <v>35</v>
      </c>
      <c r="B14534" t="s">
        <v>61</v>
      </c>
      <c r="C14534" t="str">
        <f>"A0126713"</f>
        <v>A0126713</v>
      </c>
      <c r="D14534" t="s">
        <v>50972</v>
      </c>
      <c r="E14534" t="s">
        <v>50973</v>
      </c>
      <c r="F14534" t="s">
        <v>50974</v>
      </c>
      <c r="G14534" t="s">
        <v>103</v>
      </c>
      <c r="H14534">
        <v>18202</v>
      </c>
      <c r="I14534" t="s">
        <v>30</v>
      </c>
      <c r="J14534" t="s">
        <v>41</v>
      </c>
      <c r="K14534" t="s">
        <v>59</v>
      </c>
      <c r="Q14534">
        <v>0</v>
      </c>
      <c r="R14534">
        <v>100</v>
      </c>
      <c r="S14534">
        <v>100</v>
      </c>
      <c r="T14534" t="s">
        <v>50975</v>
      </c>
    </row>
    <row r="14535" spans="1:20" customFormat="1" ht="15" x14ac:dyDescent="0.25">
      <c r="A14535" t="s">
        <v>35</v>
      </c>
      <c r="B14535" t="s">
        <v>61</v>
      </c>
      <c r="C14535" t="str">
        <f>"A0132439"</f>
        <v>A0132439</v>
      </c>
      <c r="D14535" t="s">
        <v>50976</v>
      </c>
      <c r="E14535" t="s">
        <v>50977</v>
      </c>
      <c r="F14535" t="s">
        <v>45837</v>
      </c>
      <c r="G14535" t="s">
        <v>65</v>
      </c>
      <c r="H14535">
        <v>43035</v>
      </c>
      <c r="I14535" t="s">
        <v>30</v>
      </c>
      <c r="J14535" t="s">
        <v>41</v>
      </c>
      <c r="K14535" t="s">
        <v>391</v>
      </c>
      <c r="Q14535">
        <v>0</v>
      </c>
      <c r="R14535">
        <v>0</v>
      </c>
      <c r="S14535">
        <v>0</v>
      </c>
      <c r="T14535" t="s">
        <v>50978</v>
      </c>
    </row>
    <row r="14536" spans="1:20" customFormat="1" ht="15" x14ac:dyDescent="0.25">
      <c r="A14536" t="s">
        <v>35</v>
      </c>
      <c r="B14536" t="s">
        <v>61</v>
      </c>
      <c r="C14536" t="str">
        <f>"A0133107"</f>
        <v>A0133107</v>
      </c>
      <c r="D14536" t="s">
        <v>50979</v>
      </c>
      <c r="E14536" t="s">
        <v>50980</v>
      </c>
      <c r="F14536" t="s">
        <v>20966</v>
      </c>
      <c r="G14536" t="s">
        <v>52</v>
      </c>
      <c r="H14536">
        <v>750800000</v>
      </c>
      <c r="I14536" t="s">
        <v>30</v>
      </c>
      <c r="J14536" t="s">
        <v>41</v>
      </c>
      <c r="K14536" t="s">
        <v>229</v>
      </c>
      <c r="Q14536">
        <v>0</v>
      </c>
      <c r="R14536">
        <v>20</v>
      </c>
      <c r="S14536">
        <v>20</v>
      </c>
      <c r="T14536" t="s">
        <v>50981</v>
      </c>
    </row>
    <row r="14537" spans="1:20" customFormat="1" ht="15" x14ac:dyDescent="0.25">
      <c r="A14537" t="s">
        <v>35</v>
      </c>
      <c r="B14537" t="s">
        <v>50982</v>
      </c>
      <c r="C14537" t="str">
        <f>"A0166786"</f>
        <v>A0166786</v>
      </c>
      <c r="D14537" t="s">
        <v>50983</v>
      </c>
      <c r="E14537" t="s">
        <v>50984</v>
      </c>
      <c r="F14537" t="s">
        <v>50985</v>
      </c>
      <c r="G14537" t="s">
        <v>29</v>
      </c>
      <c r="H14537">
        <v>24401</v>
      </c>
      <c r="I14537" t="s">
        <v>30</v>
      </c>
      <c r="J14537" t="s">
        <v>41</v>
      </c>
      <c r="K14537" t="s">
        <v>482</v>
      </c>
      <c r="Q14537">
        <v>0</v>
      </c>
      <c r="R14537">
        <v>300</v>
      </c>
      <c r="S14537">
        <v>300</v>
      </c>
      <c r="T14537" t="s">
        <v>50986</v>
      </c>
    </row>
    <row r="14538" spans="1:20" customFormat="1" ht="15" x14ac:dyDescent="0.25">
      <c r="A14538" t="s">
        <v>35</v>
      </c>
      <c r="B14538" t="s">
        <v>61</v>
      </c>
      <c r="C14538" t="str">
        <f>"A0127044"</f>
        <v>A0127044</v>
      </c>
      <c r="D14538" t="s">
        <v>50987</v>
      </c>
      <c r="E14538" t="s">
        <v>50988</v>
      </c>
      <c r="F14538" t="s">
        <v>3093</v>
      </c>
      <c r="G14538" t="s">
        <v>103</v>
      </c>
      <c r="H14538">
        <v>17268</v>
      </c>
      <c r="I14538" t="s">
        <v>30</v>
      </c>
      <c r="J14538" t="s">
        <v>41</v>
      </c>
      <c r="K14538" t="s">
        <v>59</v>
      </c>
      <c r="Q14538">
        <v>0</v>
      </c>
      <c r="R14538">
        <v>72</v>
      </c>
      <c r="S14538">
        <v>72</v>
      </c>
      <c r="T14538" t="s">
        <v>50989</v>
      </c>
    </row>
    <row r="14539" spans="1:20" customFormat="1" ht="15" x14ac:dyDescent="0.25">
      <c r="A14539" t="s">
        <v>35</v>
      </c>
      <c r="B14539" t="s">
        <v>61</v>
      </c>
      <c r="C14539" t="str">
        <f>"A0124353"</f>
        <v>A0124353</v>
      </c>
      <c r="D14539" t="s">
        <v>50990</v>
      </c>
      <c r="E14539" t="s">
        <v>50991</v>
      </c>
      <c r="F14539" t="s">
        <v>19203</v>
      </c>
      <c r="G14539" t="s">
        <v>29</v>
      </c>
      <c r="H14539" t="s">
        <v>50992</v>
      </c>
      <c r="I14539" t="s">
        <v>30</v>
      </c>
      <c r="J14539" t="s">
        <v>41</v>
      </c>
      <c r="K14539" t="s">
        <v>482</v>
      </c>
      <c r="Q14539">
        <v>0</v>
      </c>
      <c r="R14539">
        <v>88</v>
      </c>
      <c r="S14539">
        <v>88</v>
      </c>
      <c r="T14539" t="s">
        <v>50993</v>
      </c>
    </row>
    <row r="14540" spans="1:20" customFormat="1" ht="15" x14ac:dyDescent="0.25">
      <c r="A14540" t="s">
        <v>35</v>
      </c>
      <c r="B14540" t="s">
        <v>61</v>
      </c>
      <c r="C14540" t="str">
        <f>"A0131265"</f>
        <v>A0131265</v>
      </c>
      <c r="D14540" t="s">
        <v>50994</v>
      </c>
      <c r="E14540" t="s">
        <v>50995</v>
      </c>
      <c r="F14540" t="s">
        <v>21292</v>
      </c>
      <c r="G14540" t="s">
        <v>137</v>
      </c>
      <c r="H14540">
        <v>653400000</v>
      </c>
      <c r="I14540" t="s">
        <v>30</v>
      </c>
      <c r="J14540" t="s">
        <v>41</v>
      </c>
      <c r="K14540" t="s">
        <v>229</v>
      </c>
      <c r="Q14540">
        <v>0</v>
      </c>
      <c r="R14540">
        <v>90</v>
      </c>
      <c r="S14540">
        <v>90</v>
      </c>
      <c r="T14540" t="s">
        <v>50996</v>
      </c>
    </row>
    <row r="14541" spans="1:20" customFormat="1" ht="15" x14ac:dyDescent="0.25">
      <c r="A14541" t="s">
        <v>35</v>
      </c>
      <c r="B14541" t="s">
        <v>61</v>
      </c>
      <c r="C14541" t="str">
        <f>"A0132926"</f>
        <v>A0132926</v>
      </c>
      <c r="D14541" t="s">
        <v>50997</v>
      </c>
      <c r="E14541" t="s">
        <v>50998</v>
      </c>
      <c r="F14541" t="s">
        <v>2770</v>
      </c>
      <c r="G14541" t="s">
        <v>65</v>
      </c>
      <c r="H14541">
        <v>44706</v>
      </c>
      <c r="I14541" t="s">
        <v>30</v>
      </c>
      <c r="J14541" t="s">
        <v>41</v>
      </c>
      <c r="K14541" t="s">
        <v>229</v>
      </c>
      <c r="Q14541">
        <v>0</v>
      </c>
      <c r="R14541">
        <v>120</v>
      </c>
      <c r="S14541">
        <v>120</v>
      </c>
      <c r="T14541" t="s">
        <v>50999</v>
      </c>
    </row>
    <row r="14542" spans="1:20" customFormat="1" ht="15" x14ac:dyDescent="0.25">
      <c r="A14542" t="s">
        <v>35</v>
      </c>
      <c r="B14542" t="s">
        <v>61</v>
      </c>
      <c r="C14542" t="str">
        <f>"A0123821"</f>
        <v>A0123821</v>
      </c>
      <c r="D14542" t="s">
        <v>51000</v>
      </c>
      <c r="E14542" t="s">
        <v>51001</v>
      </c>
      <c r="F14542" t="s">
        <v>51002</v>
      </c>
      <c r="G14542" t="s">
        <v>29</v>
      </c>
      <c r="H14542">
        <v>22932</v>
      </c>
      <c r="I14542" t="s">
        <v>30</v>
      </c>
      <c r="J14542" t="s">
        <v>41</v>
      </c>
      <c r="K14542" t="s">
        <v>59</v>
      </c>
      <c r="Q14542">
        <v>0</v>
      </c>
      <c r="R14542">
        <v>110</v>
      </c>
      <c r="S14542">
        <v>110</v>
      </c>
      <c r="T14542" t="s">
        <v>51003</v>
      </c>
    </row>
    <row r="14543" spans="1:20" customFormat="1" ht="15" x14ac:dyDescent="0.25">
      <c r="A14543" t="s">
        <v>35</v>
      </c>
      <c r="B14543" t="s">
        <v>61</v>
      </c>
      <c r="C14543" t="str">
        <f>"A0127390"</f>
        <v>A0127390</v>
      </c>
      <c r="D14543" t="s">
        <v>51004</v>
      </c>
      <c r="E14543" t="s">
        <v>51005</v>
      </c>
      <c r="F14543" t="s">
        <v>1373</v>
      </c>
      <c r="G14543" t="s">
        <v>846</v>
      </c>
      <c r="H14543">
        <v>30650</v>
      </c>
      <c r="I14543" t="s">
        <v>30</v>
      </c>
      <c r="J14543" t="s">
        <v>41</v>
      </c>
      <c r="K14543" t="s">
        <v>59</v>
      </c>
      <c r="Q14543">
        <v>0</v>
      </c>
      <c r="R14543">
        <v>50</v>
      </c>
      <c r="S14543">
        <v>50</v>
      </c>
      <c r="T14543" t="s">
        <v>51006</v>
      </c>
    </row>
    <row r="14544" spans="1:20" customFormat="1" ht="15" x14ac:dyDescent="0.25">
      <c r="A14544" t="s">
        <v>35</v>
      </c>
      <c r="B14544" t="s">
        <v>437</v>
      </c>
      <c r="C14544" t="str">
        <f>"A0151071"</f>
        <v>A0151071</v>
      </c>
      <c r="D14544" t="s">
        <v>51007</v>
      </c>
      <c r="E14544" t="s">
        <v>51008</v>
      </c>
      <c r="F14544" t="s">
        <v>75</v>
      </c>
      <c r="G14544" t="s">
        <v>76</v>
      </c>
      <c r="H14544">
        <v>99204</v>
      </c>
      <c r="I14544" t="s">
        <v>30</v>
      </c>
      <c r="J14544" t="s">
        <v>441</v>
      </c>
      <c r="K14544" t="s">
        <v>37340</v>
      </c>
      <c r="Q14544">
        <v>0</v>
      </c>
      <c r="R14544">
        <v>0</v>
      </c>
      <c r="S14544">
        <v>0</v>
      </c>
      <c r="T14544" t="s">
        <v>51009</v>
      </c>
    </row>
    <row r="14545" spans="1:20" customFormat="1" ht="15" x14ac:dyDescent="0.25">
      <c r="A14545" t="s">
        <v>35</v>
      </c>
      <c r="B14545" t="s">
        <v>61</v>
      </c>
      <c r="C14545" t="str">
        <f>"A0131849"</f>
        <v>A0131849</v>
      </c>
      <c r="D14545" t="s">
        <v>51010</v>
      </c>
      <c r="E14545" t="s">
        <v>51011</v>
      </c>
      <c r="F14545" t="s">
        <v>51012</v>
      </c>
      <c r="G14545" t="s">
        <v>65</v>
      </c>
      <c r="H14545">
        <v>43160</v>
      </c>
      <c r="I14545" t="s">
        <v>30</v>
      </c>
      <c r="J14545" t="s">
        <v>41</v>
      </c>
      <c r="K14545" t="s">
        <v>229</v>
      </c>
      <c r="Q14545">
        <v>0</v>
      </c>
      <c r="R14545">
        <v>144</v>
      </c>
      <c r="S14545">
        <v>144</v>
      </c>
      <c r="T14545" t="s">
        <v>51013</v>
      </c>
    </row>
    <row r="14546" spans="1:20" customFormat="1" ht="15" x14ac:dyDescent="0.25">
      <c r="A14546" t="s">
        <v>35</v>
      </c>
      <c r="B14546" t="s">
        <v>61</v>
      </c>
      <c r="C14546" t="str">
        <f>"A0131210"</f>
        <v>A0131210</v>
      </c>
      <c r="D14546" t="s">
        <v>51014</v>
      </c>
      <c r="E14546" t="s">
        <v>51015</v>
      </c>
      <c r="F14546" t="s">
        <v>10174</v>
      </c>
      <c r="G14546" t="s">
        <v>85</v>
      </c>
      <c r="H14546">
        <v>72204</v>
      </c>
      <c r="I14546" t="s">
        <v>30</v>
      </c>
      <c r="J14546" t="s">
        <v>41</v>
      </c>
      <c r="K14546" t="s">
        <v>59</v>
      </c>
      <c r="Q14546">
        <v>0</v>
      </c>
      <c r="R14546">
        <v>75</v>
      </c>
      <c r="S14546">
        <v>75</v>
      </c>
      <c r="T14546" t="s">
        <v>51016</v>
      </c>
    </row>
    <row r="14547" spans="1:20" customFormat="1" ht="15" x14ac:dyDescent="0.25">
      <c r="A14547" t="s">
        <v>35</v>
      </c>
      <c r="B14547" t="s">
        <v>61</v>
      </c>
      <c r="C14547" t="str">
        <f>"A0124354"</f>
        <v>A0124354</v>
      </c>
      <c r="D14547" t="s">
        <v>51017</v>
      </c>
      <c r="E14547" t="s">
        <v>51018</v>
      </c>
      <c r="F14547" t="s">
        <v>519</v>
      </c>
      <c r="G14547" t="s">
        <v>123</v>
      </c>
      <c r="H14547">
        <v>21204</v>
      </c>
      <c r="I14547" t="s">
        <v>30</v>
      </c>
      <c r="J14547" t="s">
        <v>41</v>
      </c>
      <c r="K14547" t="s">
        <v>482</v>
      </c>
      <c r="Q14547">
        <v>0</v>
      </c>
      <c r="R14547">
        <v>80</v>
      </c>
      <c r="S14547">
        <v>80</v>
      </c>
      <c r="T14547" t="s">
        <v>51019</v>
      </c>
    </row>
    <row r="14548" spans="1:20" customFormat="1" ht="15" x14ac:dyDescent="0.25">
      <c r="A14548" t="s">
        <v>35</v>
      </c>
      <c r="B14548" t="s">
        <v>61</v>
      </c>
      <c r="C14548" t="str">
        <f>"A0150821"</f>
        <v>A0150821</v>
      </c>
      <c r="D14548" t="s">
        <v>51020</v>
      </c>
      <c r="E14548" t="s">
        <v>51021</v>
      </c>
      <c r="F14548" t="s">
        <v>4674</v>
      </c>
      <c r="G14548" t="s">
        <v>314</v>
      </c>
      <c r="H14548">
        <v>20001</v>
      </c>
      <c r="I14548" t="s">
        <v>30</v>
      </c>
      <c r="J14548" t="s">
        <v>41</v>
      </c>
      <c r="K14548" t="s">
        <v>482</v>
      </c>
      <c r="Q14548">
        <v>0</v>
      </c>
      <c r="R14548">
        <v>100</v>
      </c>
      <c r="S14548">
        <v>100</v>
      </c>
      <c r="T14548" t="s">
        <v>50152</v>
      </c>
    </row>
    <row r="14549" spans="1:20" customFormat="1" ht="15" x14ac:dyDescent="0.25">
      <c r="A14549" t="s">
        <v>35</v>
      </c>
      <c r="B14549" t="s">
        <v>61</v>
      </c>
      <c r="C14549" t="str">
        <f>"A0130862"</f>
        <v>A0130862</v>
      </c>
      <c r="D14549" t="s">
        <v>51022</v>
      </c>
      <c r="E14549" t="s">
        <v>51023</v>
      </c>
      <c r="F14549" t="s">
        <v>17167</v>
      </c>
      <c r="G14549" t="s">
        <v>137</v>
      </c>
      <c r="H14549">
        <v>63122</v>
      </c>
      <c r="I14549" t="s">
        <v>30</v>
      </c>
      <c r="J14549" t="s">
        <v>41</v>
      </c>
      <c r="K14549" t="s">
        <v>229</v>
      </c>
      <c r="Q14549">
        <v>0</v>
      </c>
      <c r="R14549">
        <v>28</v>
      </c>
      <c r="S14549">
        <v>28</v>
      </c>
      <c r="T14549" t="s">
        <v>51024</v>
      </c>
    </row>
    <row r="14550" spans="1:20" customFormat="1" ht="15" x14ac:dyDescent="0.25">
      <c r="A14550" t="s">
        <v>35</v>
      </c>
      <c r="B14550" t="s">
        <v>61</v>
      </c>
      <c r="C14550" t="str">
        <f>"A0150689"</f>
        <v>A0150689</v>
      </c>
      <c r="D14550" t="s">
        <v>51025</v>
      </c>
      <c r="E14550" t="s">
        <v>51026</v>
      </c>
      <c r="F14550" t="s">
        <v>4591</v>
      </c>
      <c r="G14550" t="s">
        <v>214</v>
      </c>
      <c r="H14550">
        <v>28752</v>
      </c>
      <c r="I14550" t="s">
        <v>30</v>
      </c>
      <c r="J14550" t="s">
        <v>41</v>
      </c>
      <c r="K14550" t="s">
        <v>59</v>
      </c>
      <c r="Q14550">
        <v>0</v>
      </c>
      <c r="R14550">
        <v>80</v>
      </c>
      <c r="S14550">
        <v>80</v>
      </c>
      <c r="T14550" t="s">
        <v>51027</v>
      </c>
    </row>
    <row r="14551" spans="1:20" customFormat="1" ht="15" x14ac:dyDescent="0.25">
      <c r="A14551" t="s">
        <v>35</v>
      </c>
      <c r="B14551" t="s">
        <v>61</v>
      </c>
      <c r="C14551" t="str">
        <f>"A0133739"</f>
        <v>A0133739</v>
      </c>
      <c r="D14551" t="s">
        <v>51028</v>
      </c>
      <c r="E14551" t="s">
        <v>30944</v>
      </c>
      <c r="F14551" t="s">
        <v>10817</v>
      </c>
      <c r="G14551" t="s">
        <v>52</v>
      </c>
      <c r="H14551">
        <v>77550</v>
      </c>
      <c r="I14551" t="s">
        <v>30</v>
      </c>
      <c r="J14551" t="s">
        <v>41</v>
      </c>
      <c r="K14551" t="s">
        <v>229</v>
      </c>
      <c r="Q14551">
        <v>0</v>
      </c>
      <c r="R14551">
        <v>96</v>
      </c>
      <c r="S14551">
        <v>96</v>
      </c>
      <c r="T14551" t="s">
        <v>51029</v>
      </c>
    </row>
    <row r="14552" spans="1:20" customFormat="1" ht="15" x14ac:dyDescent="0.25">
      <c r="A14552" t="s">
        <v>35</v>
      </c>
      <c r="B14552" t="s">
        <v>61</v>
      </c>
      <c r="C14552" t="str">
        <f>"A0126175"</f>
        <v>A0126175</v>
      </c>
      <c r="D14552" t="s">
        <v>51030</v>
      </c>
      <c r="E14552" t="s">
        <v>51031</v>
      </c>
      <c r="F14552" t="s">
        <v>16521</v>
      </c>
      <c r="G14552" t="s">
        <v>197</v>
      </c>
      <c r="H14552">
        <v>85382</v>
      </c>
      <c r="I14552" t="s">
        <v>30</v>
      </c>
      <c r="J14552" t="s">
        <v>41</v>
      </c>
      <c r="K14552" t="s">
        <v>59</v>
      </c>
      <c r="Q14552">
        <v>0</v>
      </c>
      <c r="R14552">
        <v>20</v>
      </c>
      <c r="S14552">
        <v>20</v>
      </c>
      <c r="T14552" t="s">
        <v>51032</v>
      </c>
    </row>
    <row r="14553" spans="1:20" customFormat="1" ht="15" x14ac:dyDescent="0.25">
      <c r="A14553" t="s">
        <v>35</v>
      </c>
      <c r="B14553" t="s">
        <v>61</v>
      </c>
      <c r="C14553" t="str">
        <f>"A0124143"</f>
        <v>A0124143</v>
      </c>
      <c r="D14553" t="s">
        <v>51033</v>
      </c>
      <c r="E14553" t="s">
        <v>51034</v>
      </c>
      <c r="F14553" t="s">
        <v>12250</v>
      </c>
      <c r="G14553" t="s">
        <v>528</v>
      </c>
      <c r="H14553">
        <v>19958</v>
      </c>
      <c r="I14553" t="s">
        <v>30</v>
      </c>
      <c r="J14553" t="s">
        <v>41</v>
      </c>
      <c r="K14553" t="s">
        <v>59</v>
      </c>
      <c r="Q14553">
        <v>0</v>
      </c>
      <c r="R14553">
        <v>188</v>
      </c>
      <c r="S14553">
        <v>188</v>
      </c>
      <c r="T14553" t="s">
        <v>51035</v>
      </c>
    </row>
    <row r="14554" spans="1:20" customFormat="1" ht="15" x14ac:dyDescent="0.25">
      <c r="A14554" t="s">
        <v>35</v>
      </c>
      <c r="B14554" t="s">
        <v>61</v>
      </c>
      <c r="C14554" t="str">
        <f>"A0121360"</f>
        <v>A0121360</v>
      </c>
      <c r="D14554" t="s">
        <v>51036</v>
      </c>
      <c r="E14554" t="s">
        <v>51037</v>
      </c>
      <c r="F14554" t="s">
        <v>51038</v>
      </c>
      <c r="G14554" t="s">
        <v>1587</v>
      </c>
      <c r="H14554">
        <v>87124</v>
      </c>
      <c r="I14554" t="s">
        <v>30</v>
      </c>
      <c r="J14554" t="s">
        <v>41</v>
      </c>
      <c r="K14554" t="s">
        <v>1440</v>
      </c>
      <c r="Q14554">
        <v>0</v>
      </c>
      <c r="R14554">
        <v>200</v>
      </c>
      <c r="S14554">
        <v>200</v>
      </c>
      <c r="T14554" t="s">
        <v>51039</v>
      </c>
    </row>
    <row r="14555" spans="1:20" customFormat="1" ht="15" x14ac:dyDescent="0.25">
      <c r="A14555" t="s">
        <v>35</v>
      </c>
      <c r="B14555" t="s">
        <v>61</v>
      </c>
      <c r="C14555" t="str">
        <f>"A0129939"</f>
        <v>A0129939</v>
      </c>
      <c r="D14555" t="s">
        <v>51040</v>
      </c>
      <c r="E14555" t="s">
        <v>51041</v>
      </c>
      <c r="F14555" t="s">
        <v>3657</v>
      </c>
      <c r="G14555" t="s">
        <v>880</v>
      </c>
      <c r="H14555">
        <v>379226099</v>
      </c>
      <c r="I14555" t="s">
        <v>30</v>
      </c>
      <c r="J14555" t="s">
        <v>41</v>
      </c>
      <c r="K14555" t="s">
        <v>229</v>
      </c>
      <c r="Q14555">
        <v>0</v>
      </c>
      <c r="R14555">
        <v>38</v>
      </c>
      <c r="S14555">
        <v>38</v>
      </c>
      <c r="T14555" t="s">
        <v>51042</v>
      </c>
    </row>
    <row r="14556" spans="1:20" customFormat="1" ht="15" x14ac:dyDescent="0.25">
      <c r="A14556" t="s">
        <v>35</v>
      </c>
      <c r="B14556" t="s">
        <v>61</v>
      </c>
      <c r="C14556" t="str">
        <f>"A0127406"</f>
        <v>A0127406</v>
      </c>
      <c r="D14556" t="s">
        <v>51043</v>
      </c>
      <c r="E14556" t="s">
        <v>51044</v>
      </c>
      <c r="F14556" t="s">
        <v>45937</v>
      </c>
      <c r="G14556" t="s">
        <v>846</v>
      </c>
      <c r="H14556">
        <v>31057</v>
      </c>
      <c r="I14556" t="s">
        <v>30</v>
      </c>
      <c r="J14556" t="s">
        <v>41</v>
      </c>
      <c r="K14556" t="s">
        <v>229</v>
      </c>
      <c r="Q14556">
        <v>0</v>
      </c>
      <c r="R14556">
        <v>72</v>
      </c>
      <c r="S14556">
        <v>72</v>
      </c>
      <c r="T14556" t="s">
        <v>45938</v>
      </c>
    </row>
    <row r="14557" spans="1:20" customFormat="1" ht="15" x14ac:dyDescent="0.25">
      <c r="A14557" t="s">
        <v>35</v>
      </c>
      <c r="B14557" t="s">
        <v>61</v>
      </c>
      <c r="C14557" t="str">
        <f>"A0151081"</f>
        <v>A0151081</v>
      </c>
      <c r="D14557" t="s">
        <v>51045</v>
      </c>
      <c r="E14557" t="s">
        <v>51046</v>
      </c>
      <c r="F14557" t="s">
        <v>51047</v>
      </c>
      <c r="G14557" t="s">
        <v>110</v>
      </c>
      <c r="H14557">
        <v>95611</v>
      </c>
      <c r="I14557" t="s">
        <v>30</v>
      </c>
      <c r="J14557" t="s">
        <v>41</v>
      </c>
      <c r="K14557" t="s">
        <v>1032</v>
      </c>
      <c r="Q14557">
        <v>0</v>
      </c>
      <c r="R14557">
        <v>58</v>
      </c>
      <c r="S14557">
        <v>58</v>
      </c>
      <c r="T14557" t="s">
        <v>51048</v>
      </c>
    </row>
    <row r="14558" spans="1:20" customFormat="1" ht="15" x14ac:dyDescent="0.25">
      <c r="A14558" t="s">
        <v>35</v>
      </c>
      <c r="B14558" t="s">
        <v>437</v>
      </c>
      <c r="C14558" t="str">
        <f>"A0134072"</f>
        <v>A0134072</v>
      </c>
      <c r="D14558" t="s">
        <v>51049</v>
      </c>
      <c r="E14558" t="s">
        <v>51050</v>
      </c>
      <c r="F14558" t="s">
        <v>27698</v>
      </c>
      <c r="G14558" t="s">
        <v>110</v>
      </c>
      <c r="H14558">
        <v>92704</v>
      </c>
      <c r="I14558" t="s">
        <v>30</v>
      </c>
      <c r="J14558" t="s">
        <v>441</v>
      </c>
      <c r="K14558" t="s">
        <v>442</v>
      </c>
      <c r="Q14558">
        <v>0</v>
      </c>
      <c r="R14558">
        <v>0</v>
      </c>
      <c r="S14558">
        <v>0</v>
      </c>
      <c r="T14558" t="s">
        <v>51051</v>
      </c>
    </row>
    <row r="14559" spans="1:20" customFormat="1" ht="15" x14ac:dyDescent="0.25">
      <c r="A14559" t="s">
        <v>35</v>
      </c>
      <c r="B14559" t="s">
        <v>61</v>
      </c>
      <c r="C14559" t="str">
        <f>"A0128646"</f>
        <v>A0128646</v>
      </c>
      <c r="D14559" t="s">
        <v>51052</v>
      </c>
      <c r="E14559" t="s">
        <v>51053</v>
      </c>
      <c r="F14559" t="s">
        <v>51054</v>
      </c>
      <c r="G14559" t="s">
        <v>1170</v>
      </c>
      <c r="H14559">
        <v>713690000</v>
      </c>
      <c r="I14559" t="s">
        <v>30</v>
      </c>
      <c r="J14559" t="s">
        <v>41</v>
      </c>
      <c r="K14559" t="s">
        <v>59</v>
      </c>
      <c r="Q14559">
        <v>0</v>
      </c>
      <c r="R14559">
        <v>60</v>
      </c>
      <c r="S14559">
        <v>60</v>
      </c>
      <c r="T14559" t="s">
        <v>51055</v>
      </c>
    </row>
    <row r="14560" spans="1:20" customFormat="1" ht="15" x14ac:dyDescent="0.25">
      <c r="A14560" t="s">
        <v>35</v>
      </c>
      <c r="B14560" t="s">
        <v>61</v>
      </c>
      <c r="C14560" t="str">
        <f>"A0133760"</f>
        <v>A0133760</v>
      </c>
      <c r="D14560" t="s">
        <v>51056</v>
      </c>
      <c r="E14560" t="s">
        <v>51057</v>
      </c>
      <c r="F14560" t="s">
        <v>45782</v>
      </c>
      <c r="G14560" t="s">
        <v>52</v>
      </c>
      <c r="H14560">
        <v>75979</v>
      </c>
      <c r="I14560" t="s">
        <v>30</v>
      </c>
      <c r="J14560" t="s">
        <v>41</v>
      </c>
      <c r="K14560" t="s">
        <v>482</v>
      </c>
      <c r="Q14560">
        <v>0</v>
      </c>
      <c r="R14560">
        <v>0</v>
      </c>
      <c r="S14560">
        <v>0</v>
      </c>
      <c r="T14560" t="s">
        <v>51058</v>
      </c>
    </row>
    <row r="14561" spans="1:20" customFormat="1" ht="15" x14ac:dyDescent="0.25">
      <c r="A14561" t="s">
        <v>35</v>
      </c>
      <c r="B14561" t="s">
        <v>61</v>
      </c>
      <c r="C14561" t="str">
        <f>"A0132218"</f>
        <v>A0132218</v>
      </c>
      <c r="D14561" t="s">
        <v>51059</v>
      </c>
      <c r="E14561" t="s">
        <v>51060</v>
      </c>
      <c r="F14561" t="s">
        <v>36923</v>
      </c>
      <c r="G14561" t="s">
        <v>65</v>
      </c>
      <c r="H14561">
        <v>43920</v>
      </c>
      <c r="I14561" t="s">
        <v>30</v>
      </c>
      <c r="J14561" t="s">
        <v>41</v>
      </c>
      <c r="K14561" t="s">
        <v>229</v>
      </c>
      <c r="Q14561">
        <v>0</v>
      </c>
      <c r="R14561">
        <v>60</v>
      </c>
      <c r="S14561">
        <v>60</v>
      </c>
      <c r="T14561" t="s">
        <v>51061</v>
      </c>
    </row>
    <row r="14562" spans="1:20" customFormat="1" ht="15" x14ac:dyDescent="0.25">
      <c r="A14562" t="s">
        <v>35</v>
      </c>
      <c r="B14562" t="s">
        <v>61</v>
      </c>
      <c r="C14562" t="str">
        <f>"A0124355"</f>
        <v>A0124355</v>
      </c>
      <c r="D14562" t="s">
        <v>51062</v>
      </c>
      <c r="E14562" t="s">
        <v>51063</v>
      </c>
      <c r="F14562" t="s">
        <v>51064</v>
      </c>
      <c r="G14562" t="s">
        <v>338</v>
      </c>
      <c r="H14562">
        <v>8052</v>
      </c>
      <c r="I14562" t="s">
        <v>30</v>
      </c>
      <c r="J14562" t="s">
        <v>41</v>
      </c>
      <c r="K14562" t="s">
        <v>229</v>
      </c>
      <c r="Q14562">
        <v>0</v>
      </c>
      <c r="R14562">
        <v>165</v>
      </c>
      <c r="S14562">
        <v>165</v>
      </c>
      <c r="T14562" t="s">
        <v>51065</v>
      </c>
    </row>
    <row r="14563" spans="1:20" customFormat="1" ht="15" x14ac:dyDescent="0.25">
      <c r="A14563" t="s">
        <v>35</v>
      </c>
      <c r="B14563" t="s">
        <v>61</v>
      </c>
      <c r="C14563" t="str">
        <f>"A0150572"</f>
        <v>A0150572</v>
      </c>
      <c r="D14563" t="s">
        <v>51066</v>
      </c>
      <c r="E14563" t="s">
        <v>51067</v>
      </c>
      <c r="F14563" t="s">
        <v>13884</v>
      </c>
      <c r="G14563" t="s">
        <v>81</v>
      </c>
      <c r="H14563">
        <v>32750</v>
      </c>
      <c r="I14563" t="s">
        <v>30</v>
      </c>
      <c r="J14563" t="s">
        <v>41</v>
      </c>
      <c r="K14563" t="s">
        <v>482</v>
      </c>
      <c r="Q14563">
        <v>0</v>
      </c>
      <c r="R14563">
        <v>60</v>
      </c>
      <c r="S14563">
        <v>60</v>
      </c>
      <c r="T14563" t="s">
        <v>51068</v>
      </c>
    </row>
    <row r="14564" spans="1:20" customFormat="1" ht="15" x14ac:dyDescent="0.25">
      <c r="A14564" t="s">
        <v>35</v>
      </c>
      <c r="B14564" t="s">
        <v>61</v>
      </c>
      <c r="C14564" t="str">
        <f>"A0125869"</f>
        <v>A0125869</v>
      </c>
      <c r="D14564" t="s">
        <v>51069</v>
      </c>
      <c r="E14564" t="s">
        <v>51070</v>
      </c>
      <c r="F14564" t="s">
        <v>4108</v>
      </c>
      <c r="G14564" t="s">
        <v>29</v>
      </c>
      <c r="H14564">
        <v>24018</v>
      </c>
      <c r="I14564" t="s">
        <v>30</v>
      </c>
      <c r="J14564" t="s">
        <v>41</v>
      </c>
      <c r="K14564" t="s">
        <v>482</v>
      </c>
      <c r="Q14564">
        <v>0</v>
      </c>
      <c r="R14564">
        <v>75</v>
      </c>
      <c r="S14564">
        <v>75</v>
      </c>
      <c r="T14564" t="s">
        <v>51071</v>
      </c>
    </row>
    <row r="14565" spans="1:20" customFormat="1" ht="15" x14ac:dyDescent="0.25">
      <c r="A14565" t="s">
        <v>35</v>
      </c>
      <c r="B14565" t="s">
        <v>61</v>
      </c>
      <c r="C14565" t="str">
        <f>"A0125135"</f>
        <v>A0125135</v>
      </c>
      <c r="D14565" t="s">
        <v>51072</v>
      </c>
      <c r="E14565" t="s">
        <v>51073</v>
      </c>
      <c r="F14565" t="s">
        <v>11851</v>
      </c>
      <c r="G14565" t="s">
        <v>214</v>
      </c>
      <c r="H14565">
        <v>28164</v>
      </c>
      <c r="I14565" t="s">
        <v>30</v>
      </c>
      <c r="J14565" t="s">
        <v>41</v>
      </c>
      <c r="K14565" t="s">
        <v>59</v>
      </c>
      <c r="Q14565">
        <v>0</v>
      </c>
      <c r="R14565">
        <v>60</v>
      </c>
      <c r="S14565">
        <v>60</v>
      </c>
      <c r="T14565" t="s">
        <v>50080</v>
      </c>
    </row>
    <row r="14566" spans="1:20" customFormat="1" ht="15" x14ac:dyDescent="0.25">
      <c r="A14566" t="s">
        <v>35</v>
      </c>
      <c r="B14566" t="s">
        <v>61</v>
      </c>
      <c r="C14566" t="str">
        <f>"A0121713"</f>
        <v>A0121713</v>
      </c>
      <c r="D14566" t="s">
        <v>51074</v>
      </c>
      <c r="E14566" t="s">
        <v>51075</v>
      </c>
      <c r="F14566" t="s">
        <v>1439</v>
      </c>
      <c r="G14566" t="s">
        <v>110</v>
      </c>
      <c r="H14566">
        <v>92122</v>
      </c>
      <c r="I14566" t="s">
        <v>30</v>
      </c>
      <c r="J14566" t="s">
        <v>41</v>
      </c>
      <c r="K14566" t="s">
        <v>59</v>
      </c>
      <c r="Q14566">
        <v>0</v>
      </c>
      <c r="R14566">
        <v>136</v>
      </c>
      <c r="S14566">
        <v>136</v>
      </c>
      <c r="T14566" t="s">
        <v>51076</v>
      </c>
    </row>
    <row r="14567" spans="1:20" customFormat="1" ht="15" x14ac:dyDescent="0.25">
      <c r="A14567" t="s">
        <v>35</v>
      </c>
      <c r="B14567" t="s">
        <v>61</v>
      </c>
      <c r="C14567" t="str">
        <f>"A0124428"</f>
        <v>A0124428</v>
      </c>
      <c r="D14567" t="s">
        <v>51077</v>
      </c>
      <c r="E14567" t="s">
        <v>51078</v>
      </c>
      <c r="F14567" t="s">
        <v>7257</v>
      </c>
      <c r="G14567" t="s">
        <v>29</v>
      </c>
      <c r="H14567">
        <v>23188</v>
      </c>
      <c r="I14567" t="s">
        <v>30</v>
      </c>
      <c r="J14567" t="s">
        <v>41</v>
      </c>
      <c r="K14567" t="s">
        <v>59</v>
      </c>
      <c r="Q14567">
        <v>0</v>
      </c>
      <c r="R14567">
        <v>0</v>
      </c>
      <c r="S14567">
        <v>0</v>
      </c>
      <c r="T14567" t="s">
        <v>51079</v>
      </c>
    </row>
    <row r="14568" spans="1:20" customFormat="1" ht="15" x14ac:dyDescent="0.25">
      <c r="A14568" t="s">
        <v>35</v>
      </c>
      <c r="B14568" t="s">
        <v>38826</v>
      </c>
      <c r="C14568" t="str">
        <f>"A0130101"</f>
        <v>A0130101</v>
      </c>
      <c r="D14568" t="s">
        <v>51080</v>
      </c>
      <c r="E14568" t="s">
        <v>51081</v>
      </c>
      <c r="F14568" t="s">
        <v>4746</v>
      </c>
      <c r="G14568" t="s">
        <v>880</v>
      </c>
      <c r="H14568">
        <v>37087</v>
      </c>
      <c r="I14568" t="s">
        <v>30</v>
      </c>
      <c r="J14568" t="s">
        <v>41</v>
      </c>
      <c r="K14568" t="s">
        <v>59</v>
      </c>
      <c r="Q14568">
        <v>0</v>
      </c>
      <c r="R14568">
        <v>74</v>
      </c>
      <c r="S14568">
        <v>74</v>
      </c>
      <c r="T14568" t="s">
        <v>51082</v>
      </c>
    </row>
    <row r="14569" spans="1:20" customFormat="1" ht="15" x14ac:dyDescent="0.25">
      <c r="A14569" t="s">
        <v>35</v>
      </c>
      <c r="B14569" t="s">
        <v>61</v>
      </c>
      <c r="C14569" t="str">
        <f>"A0126068"</f>
        <v>A0126068</v>
      </c>
      <c r="D14569" t="s">
        <v>51083</v>
      </c>
      <c r="E14569" t="s">
        <v>51084</v>
      </c>
      <c r="F14569" t="s">
        <v>14897</v>
      </c>
      <c r="G14569" t="s">
        <v>197</v>
      </c>
      <c r="H14569">
        <v>86001</v>
      </c>
      <c r="I14569" t="s">
        <v>30</v>
      </c>
      <c r="J14569" t="s">
        <v>41</v>
      </c>
      <c r="K14569" t="s">
        <v>59</v>
      </c>
      <c r="Q14569">
        <v>0</v>
      </c>
      <c r="R14569">
        <v>1</v>
      </c>
      <c r="S14569">
        <v>1</v>
      </c>
      <c r="T14569" t="s">
        <v>51085</v>
      </c>
    </row>
    <row r="14570" spans="1:20" customFormat="1" ht="15" x14ac:dyDescent="0.25">
      <c r="A14570" t="s">
        <v>35</v>
      </c>
      <c r="B14570" t="s">
        <v>61</v>
      </c>
      <c r="C14570" t="str">
        <f>"A0124329"</f>
        <v>A0124329</v>
      </c>
      <c r="D14570" t="s">
        <v>51086</v>
      </c>
      <c r="E14570" t="s">
        <v>51087</v>
      </c>
      <c r="F14570" t="s">
        <v>51088</v>
      </c>
      <c r="G14570" t="s">
        <v>103</v>
      </c>
      <c r="H14570">
        <v>19320</v>
      </c>
      <c r="I14570" t="s">
        <v>30</v>
      </c>
      <c r="J14570" t="s">
        <v>41</v>
      </c>
      <c r="K14570" t="s">
        <v>59</v>
      </c>
      <c r="Q14570">
        <v>0</v>
      </c>
      <c r="R14570">
        <v>144</v>
      </c>
      <c r="S14570">
        <v>144</v>
      </c>
      <c r="T14570" t="s">
        <v>51089</v>
      </c>
    </row>
    <row r="14571" spans="1:20" customFormat="1" ht="15" x14ac:dyDescent="0.25">
      <c r="A14571" t="s">
        <v>35</v>
      </c>
      <c r="B14571" t="s">
        <v>61</v>
      </c>
      <c r="C14571" t="str">
        <f>"A0125161"</f>
        <v>A0125161</v>
      </c>
      <c r="D14571" t="s">
        <v>51090</v>
      </c>
      <c r="E14571" t="s">
        <v>51091</v>
      </c>
      <c r="F14571" t="s">
        <v>51092</v>
      </c>
      <c r="G14571" t="s">
        <v>40</v>
      </c>
      <c r="H14571">
        <v>73005</v>
      </c>
      <c r="I14571" t="s">
        <v>30</v>
      </c>
      <c r="J14571" t="s">
        <v>41</v>
      </c>
      <c r="K14571" t="s">
        <v>3713</v>
      </c>
      <c r="Q14571">
        <v>0</v>
      </c>
      <c r="R14571">
        <v>1</v>
      </c>
      <c r="S14571">
        <v>1</v>
      </c>
      <c r="T14571" t="s">
        <v>51093</v>
      </c>
    </row>
    <row r="14572" spans="1:20" customFormat="1" ht="15" x14ac:dyDescent="0.25">
      <c r="A14572" t="s">
        <v>35</v>
      </c>
      <c r="B14572" t="s">
        <v>51094</v>
      </c>
      <c r="C14572" t="str">
        <f>"A0131017"</f>
        <v>A0131017</v>
      </c>
      <c r="D14572" t="s">
        <v>51095</v>
      </c>
      <c r="E14572" t="s">
        <v>51096</v>
      </c>
      <c r="F14572" t="s">
        <v>36871</v>
      </c>
      <c r="G14572" t="s">
        <v>85</v>
      </c>
      <c r="H14572">
        <v>71635</v>
      </c>
      <c r="I14572" t="s">
        <v>30</v>
      </c>
      <c r="J14572" t="s">
        <v>41</v>
      </c>
      <c r="K14572" t="s">
        <v>59</v>
      </c>
      <c r="Q14572">
        <v>0</v>
      </c>
      <c r="R14572">
        <v>75</v>
      </c>
      <c r="S14572">
        <v>75</v>
      </c>
      <c r="T14572" t="s">
        <v>51097</v>
      </c>
    </row>
    <row r="14573" spans="1:20" customFormat="1" ht="15" x14ac:dyDescent="0.25">
      <c r="A14573" t="s">
        <v>35</v>
      </c>
      <c r="B14573" t="s">
        <v>106</v>
      </c>
      <c r="C14573" t="str">
        <f>"A0136319"</f>
        <v>A0136319</v>
      </c>
      <c r="D14573" t="s">
        <v>51098</v>
      </c>
      <c r="E14573" t="s">
        <v>51099</v>
      </c>
      <c r="F14573" t="s">
        <v>51100</v>
      </c>
      <c r="G14573" t="s">
        <v>1369</v>
      </c>
      <c r="H14573">
        <v>39148</v>
      </c>
      <c r="I14573" t="s">
        <v>30</v>
      </c>
      <c r="J14573" t="s">
        <v>111</v>
      </c>
      <c r="K14573" t="s">
        <v>112</v>
      </c>
      <c r="Q14573">
        <v>0</v>
      </c>
      <c r="R14573">
        <v>0</v>
      </c>
      <c r="S14573">
        <v>0</v>
      </c>
      <c r="T14573" t="s">
        <v>51101</v>
      </c>
    </row>
    <row r="14574" spans="1:20" customFormat="1" ht="15" x14ac:dyDescent="0.25">
      <c r="A14574" t="s">
        <v>35</v>
      </c>
      <c r="B14574" t="s">
        <v>106</v>
      </c>
      <c r="C14574" t="str">
        <f>"A0165513"</f>
        <v>A0165513</v>
      </c>
      <c r="D14574" t="s">
        <v>51102</v>
      </c>
      <c r="E14574" t="s">
        <v>51103</v>
      </c>
      <c r="F14574" t="s">
        <v>14822</v>
      </c>
      <c r="G14574" t="s">
        <v>52</v>
      </c>
      <c r="H14574">
        <v>78641</v>
      </c>
      <c r="I14574" t="s">
        <v>30</v>
      </c>
      <c r="J14574" t="s">
        <v>111</v>
      </c>
      <c r="K14574" t="s">
        <v>112</v>
      </c>
      <c r="Q14574">
        <v>0</v>
      </c>
      <c r="R14574">
        <v>0</v>
      </c>
      <c r="S14574">
        <v>0</v>
      </c>
      <c r="T14574" t="s">
        <v>47962</v>
      </c>
    </row>
    <row r="14575" spans="1:20" customFormat="1" ht="15" x14ac:dyDescent="0.25">
      <c r="A14575" t="s">
        <v>35</v>
      </c>
      <c r="B14575" t="s">
        <v>106</v>
      </c>
      <c r="C14575" t="str">
        <f>"A0165514"</f>
        <v>A0165514</v>
      </c>
      <c r="D14575" t="s">
        <v>51104</v>
      </c>
      <c r="E14575" t="s">
        <v>51105</v>
      </c>
      <c r="F14575" t="s">
        <v>14822</v>
      </c>
      <c r="G14575" t="s">
        <v>52</v>
      </c>
      <c r="H14575">
        <v>78641</v>
      </c>
      <c r="I14575" t="s">
        <v>30</v>
      </c>
      <c r="J14575" t="s">
        <v>111</v>
      </c>
      <c r="K14575" t="s">
        <v>112</v>
      </c>
      <c r="Q14575">
        <v>0</v>
      </c>
      <c r="R14575">
        <v>0</v>
      </c>
      <c r="S14575">
        <v>0</v>
      </c>
      <c r="T14575" t="s">
        <v>47962</v>
      </c>
    </row>
    <row r="14576" spans="1:20" customFormat="1" ht="15" x14ac:dyDescent="0.25">
      <c r="A14576" t="s">
        <v>35</v>
      </c>
      <c r="B14576" t="s">
        <v>106</v>
      </c>
      <c r="C14576" t="str">
        <f>"A0135619"</f>
        <v>A0135619</v>
      </c>
      <c r="D14576" t="s">
        <v>51106</v>
      </c>
      <c r="E14576" t="s">
        <v>51107</v>
      </c>
      <c r="F14576" t="s">
        <v>23270</v>
      </c>
      <c r="G14576" t="s">
        <v>52</v>
      </c>
      <c r="H14576">
        <v>75071</v>
      </c>
      <c r="I14576" t="s">
        <v>30</v>
      </c>
      <c r="J14576" t="s">
        <v>111</v>
      </c>
      <c r="K14576" t="s">
        <v>112</v>
      </c>
      <c r="Q14576">
        <v>0</v>
      </c>
      <c r="R14576">
        <v>0</v>
      </c>
      <c r="S14576">
        <v>0</v>
      </c>
      <c r="T14576" t="s">
        <v>51108</v>
      </c>
    </row>
    <row r="14577" spans="1:20" customFormat="1" ht="15" x14ac:dyDescent="0.25">
      <c r="A14577" t="s">
        <v>35</v>
      </c>
      <c r="B14577" t="s">
        <v>106</v>
      </c>
      <c r="C14577" t="str">
        <f>"A0136562"</f>
        <v>A0136562</v>
      </c>
      <c r="D14577" t="s">
        <v>51109</v>
      </c>
      <c r="E14577" t="s">
        <v>51110</v>
      </c>
      <c r="F14577" t="s">
        <v>4133</v>
      </c>
      <c r="G14577" t="s">
        <v>52</v>
      </c>
      <c r="H14577">
        <v>78737</v>
      </c>
      <c r="I14577" t="s">
        <v>30</v>
      </c>
      <c r="J14577" t="s">
        <v>111</v>
      </c>
      <c r="K14577" t="s">
        <v>112</v>
      </c>
      <c r="Q14577">
        <v>0</v>
      </c>
      <c r="R14577">
        <v>0</v>
      </c>
      <c r="S14577">
        <v>0</v>
      </c>
      <c r="T14577" t="s">
        <v>51111</v>
      </c>
    </row>
    <row r="14578" spans="1:20" customFormat="1" ht="15" x14ac:dyDescent="0.25">
      <c r="A14578" t="s">
        <v>35</v>
      </c>
      <c r="B14578" t="s">
        <v>61</v>
      </c>
      <c r="C14578" t="str">
        <f>"A0125082"</f>
        <v>A0125082</v>
      </c>
      <c r="D14578" t="s">
        <v>51112</v>
      </c>
      <c r="E14578" t="s">
        <v>51113</v>
      </c>
      <c r="F14578" t="s">
        <v>938</v>
      </c>
      <c r="G14578" t="s">
        <v>214</v>
      </c>
      <c r="H14578">
        <v>27235</v>
      </c>
      <c r="I14578" t="s">
        <v>30</v>
      </c>
      <c r="J14578" t="s">
        <v>41</v>
      </c>
      <c r="K14578" t="s">
        <v>290</v>
      </c>
      <c r="Q14578">
        <v>0</v>
      </c>
      <c r="R14578">
        <v>0</v>
      </c>
      <c r="S14578">
        <v>0</v>
      </c>
      <c r="T14578" t="s">
        <v>51114</v>
      </c>
    </row>
    <row r="14579" spans="1:20" customFormat="1" ht="15" x14ac:dyDescent="0.25">
      <c r="A14579" t="s">
        <v>35</v>
      </c>
      <c r="B14579" t="s">
        <v>61</v>
      </c>
      <c r="C14579" t="str">
        <f>"A0118516"</f>
        <v>A0118516</v>
      </c>
      <c r="D14579" t="s">
        <v>51115</v>
      </c>
      <c r="E14579" t="s">
        <v>51116</v>
      </c>
      <c r="F14579" t="s">
        <v>45300</v>
      </c>
      <c r="G14579" t="s">
        <v>110</v>
      </c>
      <c r="H14579">
        <v>94941</v>
      </c>
      <c r="I14579" t="s">
        <v>30</v>
      </c>
      <c r="J14579" t="s">
        <v>41</v>
      </c>
      <c r="K14579" t="s">
        <v>59</v>
      </c>
      <c r="Q14579">
        <v>0</v>
      </c>
      <c r="R14579">
        <v>46</v>
      </c>
      <c r="S14579">
        <v>46</v>
      </c>
      <c r="T14579" t="s">
        <v>51117</v>
      </c>
    </row>
    <row r="14580" spans="1:20" customFormat="1" ht="15" x14ac:dyDescent="0.25">
      <c r="A14580" t="s">
        <v>35</v>
      </c>
      <c r="B14580" t="s">
        <v>61</v>
      </c>
      <c r="C14580" t="str">
        <f>"A0132532"</f>
        <v>A0132532</v>
      </c>
      <c r="D14580" t="s">
        <v>51118</v>
      </c>
      <c r="E14580" t="s">
        <v>51119</v>
      </c>
      <c r="F14580" t="s">
        <v>51120</v>
      </c>
      <c r="G14580" t="s">
        <v>65</v>
      </c>
      <c r="H14580">
        <v>44067</v>
      </c>
      <c r="I14580" t="s">
        <v>30</v>
      </c>
      <c r="J14580" t="s">
        <v>41</v>
      </c>
      <c r="K14580" t="s">
        <v>59</v>
      </c>
      <c r="Q14580">
        <v>0</v>
      </c>
      <c r="R14580">
        <v>54</v>
      </c>
      <c r="S14580">
        <v>54</v>
      </c>
      <c r="T14580" t="s">
        <v>51121</v>
      </c>
    </row>
    <row r="14581" spans="1:20" customFormat="1" ht="15" x14ac:dyDescent="0.25">
      <c r="A14581" t="s">
        <v>35</v>
      </c>
      <c r="B14581" t="s">
        <v>61</v>
      </c>
      <c r="C14581" t="str">
        <f>"A0126553"</f>
        <v>A0126553</v>
      </c>
      <c r="D14581" t="s">
        <v>51122</v>
      </c>
      <c r="E14581" t="s">
        <v>51123</v>
      </c>
      <c r="F14581" t="s">
        <v>19356</v>
      </c>
      <c r="G14581" t="s">
        <v>103</v>
      </c>
      <c r="H14581">
        <v>19063</v>
      </c>
      <c r="I14581" t="s">
        <v>30</v>
      </c>
      <c r="J14581" t="s">
        <v>41</v>
      </c>
      <c r="K14581" t="s">
        <v>59</v>
      </c>
      <c r="Q14581">
        <v>0</v>
      </c>
      <c r="R14581">
        <v>153</v>
      </c>
      <c r="S14581">
        <v>153</v>
      </c>
      <c r="T14581" t="s">
        <v>51124</v>
      </c>
    </row>
    <row r="14582" spans="1:20" customFormat="1" ht="15" x14ac:dyDescent="0.25">
      <c r="A14582" t="s">
        <v>35</v>
      </c>
      <c r="B14582" t="s">
        <v>61</v>
      </c>
      <c r="C14582" t="str">
        <f>"A0153052"</f>
        <v>A0153052</v>
      </c>
      <c r="D14582" t="s">
        <v>51125</v>
      </c>
      <c r="E14582" t="s">
        <v>51126</v>
      </c>
      <c r="F14582" t="s">
        <v>24486</v>
      </c>
      <c r="G14582" t="s">
        <v>190</v>
      </c>
      <c r="H14582">
        <v>81501</v>
      </c>
      <c r="I14582" t="s">
        <v>30</v>
      </c>
      <c r="J14582" t="s">
        <v>41</v>
      </c>
      <c r="K14582" t="s">
        <v>59</v>
      </c>
      <c r="Q14582">
        <v>0</v>
      </c>
      <c r="R14582">
        <v>65</v>
      </c>
      <c r="S14582">
        <v>65</v>
      </c>
      <c r="T14582" t="s">
        <v>51127</v>
      </c>
    </row>
    <row r="14583" spans="1:20" customFormat="1" ht="15" x14ac:dyDescent="0.25">
      <c r="A14583" t="s">
        <v>35</v>
      </c>
      <c r="B14583" t="s">
        <v>61</v>
      </c>
      <c r="C14583" t="str">
        <f>"A0121385"</f>
        <v>A0121385</v>
      </c>
      <c r="D14583" t="s">
        <v>51128</v>
      </c>
      <c r="E14583" t="s">
        <v>51129</v>
      </c>
      <c r="F14583" t="s">
        <v>12384</v>
      </c>
      <c r="G14583" t="s">
        <v>190</v>
      </c>
      <c r="H14583">
        <v>80905</v>
      </c>
      <c r="I14583" t="s">
        <v>30</v>
      </c>
      <c r="J14583" t="s">
        <v>41</v>
      </c>
      <c r="K14583" t="s">
        <v>59</v>
      </c>
      <c r="Q14583">
        <v>0</v>
      </c>
      <c r="R14583">
        <v>65</v>
      </c>
      <c r="S14583">
        <v>65</v>
      </c>
      <c r="T14583" t="s">
        <v>51130</v>
      </c>
    </row>
    <row r="14584" spans="1:20" customFormat="1" ht="15" x14ac:dyDescent="0.25">
      <c r="A14584" t="s">
        <v>35</v>
      </c>
      <c r="B14584" t="s">
        <v>61</v>
      </c>
      <c r="C14584" t="str">
        <f>"A0121352"</f>
        <v>A0121352</v>
      </c>
      <c r="D14584" t="s">
        <v>51131</v>
      </c>
      <c r="E14584" t="s">
        <v>51132</v>
      </c>
      <c r="F14584" t="s">
        <v>12384</v>
      </c>
      <c r="G14584" t="s">
        <v>190</v>
      </c>
      <c r="H14584">
        <v>80917</v>
      </c>
      <c r="I14584" t="s">
        <v>30</v>
      </c>
      <c r="J14584" t="s">
        <v>41</v>
      </c>
      <c r="K14584" t="s">
        <v>59</v>
      </c>
      <c r="Q14584">
        <v>0</v>
      </c>
      <c r="R14584">
        <v>65</v>
      </c>
      <c r="S14584">
        <v>65</v>
      </c>
      <c r="T14584" t="s">
        <v>51133</v>
      </c>
    </row>
    <row r="14585" spans="1:20" customFormat="1" ht="15" x14ac:dyDescent="0.25">
      <c r="A14585" t="s">
        <v>35</v>
      </c>
      <c r="B14585" t="s">
        <v>61</v>
      </c>
      <c r="C14585" t="str">
        <f>"A0118257"</f>
        <v>A0118257</v>
      </c>
      <c r="D14585" t="s">
        <v>51134</v>
      </c>
      <c r="E14585" t="s">
        <v>51135</v>
      </c>
      <c r="F14585" t="s">
        <v>37480</v>
      </c>
      <c r="G14585" t="s">
        <v>153</v>
      </c>
      <c r="H14585">
        <v>84790</v>
      </c>
      <c r="I14585" t="s">
        <v>30</v>
      </c>
      <c r="J14585" t="s">
        <v>41</v>
      </c>
      <c r="K14585" t="s">
        <v>59</v>
      </c>
      <c r="Q14585">
        <v>0</v>
      </c>
      <c r="R14585">
        <v>48</v>
      </c>
      <c r="S14585">
        <v>48</v>
      </c>
      <c r="T14585" t="s">
        <v>48495</v>
      </c>
    </row>
    <row r="14586" spans="1:20" customFormat="1" ht="15" x14ac:dyDescent="0.25">
      <c r="A14586" t="s">
        <v>35</v>
      </c>
      <c r="B14586" t="s">
        <v>61</v>
      </c>
      <c r="C14586" t="str">
        <f>"A0121269"</f>
        <v>A0121269</v>
      </c>
      <c r="D14586" t="s">
        <v>51136</v>
      </c>
      <c r="E14586" t="s">
        <v>51137</v>
      </c>
      <c r="F14586" t="s">
        <v>51138</v>
      </c>
      <c r="G14586" t="s">
        <v>153</v>
      </c>
      <c r="H14586">
        <v>84770</v>
      </c>
      <c r="I14586" t="s">
        <v>30</v>
      </c>
      <c r="J14586" t="s">
        <v>41</v>
      </c>
      <c r="K14586" t="s">
        <v>59</v>
      </c>
      <c r="Q14586">
        <v>0</v>
      </c>
      <c r="R14586">
        <v>64</v>
      </c>
      <c r="S14586">
        <v>64</v>
      </c>
      <c r="T14586" t="s">
        <v>51139</v>
      </c>
    </row>
    <row r="14587" spans="1:20" customFormat="1" ht="15" x14ac:dyDescent="0.25">
      <c r="A14587" t="s">
        <v>35</v>
      </c>
      <c r="B14587" t="s">
        <v>10348</v>
      </c>
      <c r="C14587" t="str">
        <f>"A0118406"</f>
        <v>A0118406</v>
      </c>
      <c r="D14587" t="s">
        <v>51140</v>
      </c>
      <c r="E14587" t="s">
        <v>51141</v>
      </c>
      <c r="F14587" t="s">
        <v>15431</v>
      </c>
      <c r="G14587" t="s">
        <v>110</v>
      </c>
      <c r="H14587">
        <v>94506</v>
      </c>
      <c r="I14587" t="s">
        <v>30</v>
      </c>
      <c r="J14587" t="s">
        <v>41</v>
      </c>
      <c r="K14587" t="s">
        <v>1440</v>
      </c>
      <c r="Q14587">
        <v>0</v>
      </c>
      <c r="R14587">
        <v>180</v>
      </c>
      <c r="S14587">
        <v>180</v>
      </c>
      <c r="T14587" t="s">
        <v>51142</v>
      </c>
    </row>
    <row r="14588" spans="1:20" customFormat="1" ht="15" x14ac:dyDescent="0.25">
      <c r="A14588" t="s">
        <v>35</v>
      </c>
      <c r="B14588" t="s">
        <v>61</v>
      </c>
      <c r="C14588" t="str">
        <f>"A0121356"</f>
        <v>A0121356</v>
      </c>
      <c r="D14588" t="s">
        <v>51143</v>
      </c>
      <c r="E14588" t="s">
        <v>51144</v>
      </c>
      <c r="F14588" t="s">
        <v>7267</v>
      </c>
      <c r="G14588" t="s">
        <v>153</v>
      </c>
      <c r="H14588">
        <v>84109</v>
      </c>
      <c r="I14588" t="s">
        <v>30</v>
      </c>
      <c r="J14588" t="s">
        <v>41</v>
      </c>
      <c r="K14588" t="s">
        <v>59</v>
      </c>
      <c r="Q14588">
        <v>0</v>
      </c>
      <c r="R14588">
        <v>0</v>
      </c>
      <c r="S14588">
        <v>0</v>
      </c>
      <c r="T14588" t="s">
        <v>51145</v>
      </c>
    </row>
    <row r="14589" spans="1:20" customFormat="1" ht="15" x14ac:dyDescent="0.25">
      <c r="A14589" t="s">
        <v>35</v>
      </c>
      <c r="B14589" t="s">
        <v>61</v>
      </c>
      <c r="C14589" t="str">
        <f>"A0128192"</f>
        <v>A0128192</v>
      </c>
      <c r="D14589" t="s">
        <v>51146</v>
      </c>
      <c r="E14589" t="s">
        <v>51147</v>
      </c>
      <c r="F14589" t="s">
        <v>51148</v>
      </c>
      <c r="G14589" t="s">
        <v>117</v>
      </c>
      <c r="H14589">
        <v>48236</v>
      </c>
      <c r="I14589" t="s">
        <v>30</v>
      </c>
      <c r="J14589" t="s">
        <v>41</v>
      </c>
      <c r="K14589" t="s">
        <v>482</v>
      </c>
      <c r="Q14589">
        <v>0</v>
      </c>
      <c r="R14589">
        <v>80</v>
      </c>
      <c r="S14589">
        <v>80</v>
      </c>
      <c r="T14589" t="s">
        <v>51149</v>
      </c>
    </row>
    <row r="14590" spans="1:20" customFormat="1" ht="15" x14ac:dyDescent="0.25">
      <c r="A14590" t="s">
        <v>35</v>
      </c>
      <c r="B14590" t="s">
        <v>61</v>
      </c>
      <c r="C14590" t="str">
        <f>"A0128191"</f>
        <v>A0128191</v>
      </c>
      <c r="D14590" t="s">
        <v>51150</v>
      </c>
      <c r="E14590" t="s">
        <v>51147</v>
      </c>
      <c r="F14590" t="s">
        <v>51148</v>
      </c>
      <c r="G14590" t="s">
        <v>117</v>
      </c>
      <c r="H14590">
        <v>48236</v>
      </c>
      <c r="I14590" t="s">
        <v>30</v>
      </c>
      <c r="J14590" t="s">
        <v>41</v>
      </c>
      <c r="K14590" t="s">
        <v>229</v>
      </c>
      <c r="Q14590">
        <v>0</v>
      </c>
      <c r="R14590">
        <v>86</v>
      </c>
      <c r="S14590">
        <v>86</v>
      </c>
      <c r="T14590" t="s">
        <v>51149</v>
      </c>
    </row>
    <row r="14591" spans="1:20" customFormat="1" ht="15" x14ac:dyDescent="0.25">
      <c r="A14591" t="s">
        <v>35</v>
      </c>
      <c r="B14591" t="s">
        <v>61</v>
      </c>
      <c r="C14591" t="str">
        <f>"A0131044"</f>
        <v>A0131044</v>
      </c>
      <c r="D14591" t="s">
        <v>51151</v>
      </c>
      <c r="E14591" t="s">
        <v>51152</v>
      </c>
      <c r="F14591" t="s">
        <v>17193</v>
      </c>
      <c r="G14591" t="s">
        <v>137</v>
      </c>
      <c r="H14591">
        <v>631190000</v>
      </c>
      <c r="I14591" t="s">
        <v>30</v>
      </c>
      <c r="J14591" t="s">
        <v>41</v>
      </c>
      <c r="K14591" t="s">
        <v>59</v>
      </c>
      <c r="Q14591">
        <v>0</v>
      </c>
      <c r="R14591">
        <v>29</v>
      </c>
      <c r="S14591">
        <v>29</v>
      </c>
      <c r="T14591" t="s">
        <v>51153</v>
      </c>
    </row>
    <row r="14592" spans="1:20" customFormat="1" ht="15" x14ac:dyDescent="0.25">
      <c r="A14592" t="s">
        <v>35</v>
      </c>
      <c r="B14592" t="s">
        <v>61</v>
      </c>
      <c r="C14592" t="str">
        <f>"A0153051"</f>
        <v>A0153051</v>
      </c>
      <c r="D14592" t="s">
        <v>51154</v>
      </c>
      <c r="E14592" t="s">
        <v>51155</v>
      </c>
      <c r="F14592" t="s">
        <v>399</v>
      </c>
      <c r="G14592" t="s">
        <v>153</v>
      </c>
      <c r="H14592">
        <v>84604</v>
      </c>
      <c r="I14592" t="s">
        <v>30</v>
      </c>
      <c r="J14592" t="s">
        <v>41</v>
      </c>
      <c r="K14592" t="s">
        <v>447</v>
      </c>
      <c r="Q14592">
        <v>0</v>
      </c>
      <c r="R14592">
        <v>0</v>
      </c>
      <c r="S14592">
        <v>0</v>
      </c>
      <c r="T14592" t="s">
        <v>51156</v>
      </c>
    </row>
    <row r="14593" spans="1:20" customFormat="1" ht="15" x14ac:dyDescent="0.25">
      <c r="A14593" t="s">
        <v>35</v>
      </c>
      <c r="B14593" t="s">
        <v>61</v>
      </c>
      <c r="C14593" t="str">
        <f>"A0117985"</f>
        <v>A0117985</v>
      </c>
      <c r="D14593" t="s">
        <v>51157</v>
      </c>
      <c r="E14593" t="s">
        <v>51158</v>
      </c>
      <c r="F14593" t="s">
        <v>7531</v>
      </c>
      <c r="G14593" t="s">
        <v>110</v>
      </c>
      <c r="H14593">
        <v>917230000</v>
      </c>
      <c r="I14593" t="s">
        <v>30</v>
      </c>
      <c r="J14593" t="s">
        <v>41</v>
      </c>
      <c r="K14593" t="s">
        <v>229</v>
      </c>
      <c r="Q14593">
        <v>0</v>
      </c>
      <c r="R14593">
        <v>126</v>
      </c>
      <c r="S14593">
        <v>126</v>
      </c>
      <c r="T14593" t="s">
        <v>51159</v>
      </c>
    </row>
    <row r="14594" spans="1:20" customFormat="1" ht="15" x14ac:dyDescent="0.25">
      <c r="A14594" t="s">
        <v>35</v>
      </c>
      <c r="B14594" t="s">
        <v>61</v>
      </c>
      <c r="C14594" t="str">
        <f>"A0150624"</f>
        <v>A0150624</v>
      </c>
      <c r="D14594" t="s">
        <v>51160</v>
      </c>
      <c r="E14594" t="s">
        <v>51161</v>
      </c>
      <c r="F14594" t="s">
        <v>1959</v>
      </c>
      <c r="G14594" t="s">
        <v>65</v>
      </c>
      <c r="H14594">
        <v>44311</v>
      </c>
      <c r="I14594" t="s">
        <v>30</v>
      </c>
      <c r="J14594" t="s">
        <v>41</v>
      </c>
      <c r="K14594" t="s">
        <v>461</v>
      </c>
      <c r="Q14594">
        <v>0</v>
      </c>
      <c r="R14594">
        <v>85</v>
      </c>
      <c r="S14594">
        <v>85</v>
      </c>
      <c r="T14594" t="s">
        <v>51162</v>
      </c>
    </row>
    <row r="14595" spans="1:20" customFormat="1" ht="15" x14ac:dyDescent="0.25">
      <c r="A14595" t="s">
        <v>35</v>
      </c>
      <c r="B14595" t="s">
        <v>61</v>
      </c>
      <c r="C14595" t="str">
        <f>"A0150629"</f>
        <v>A0150629</v>
      </c>
      <c r="D14595" t="s">
        <v>51163</v>
      </c>
      <c r="E14595" t="s">
        <v>51164</v>
      </c>
      <c r="F14595" t="s">
        <v>3661</v>
      </c>
      <c r="G14595" t="s">
        <v>65</v>
      </c>
      <c r="H14595">
        <v>45212</v>
      </c>
      <c r="I14595" t="s">
        <v>30</v>
      </c>
      <c r="J14595" t="s">
        <v>41</v>
      </c>
      <c r="K14595" t="s">
        <v>461</v>
      </c>
      <c r="Q14595">
        <v>0</v>
      </c>
      <c r="R14595">
        <v>0</v>
      </c>
      <c r="S14595">
        <v>0</v>
      </c>
      <c r="T14595" t="s">
        <v>51165</v>
      </c>
    </row>
    <row r="14596" spans="1:20" customFormat="1" ht="15" x14ac:dyDescent="0.25">
      <c r="A14596" t="s">
        <v>35</v>
      </c>
      <c r="B14596" t="s">
        <v>61</v>
      </c>
      <c r="C14596" t="str">
        <f>"A0129230"</f>
        <v>A0129230</v>
      </c>
      <c r="D14596" t="s">
        <v>51166</v>
      </c>
      <c r="E14596" t="s">
        <v>51167</v>
      </c>
      <c r="F14596" t="s">
        <v>20578</v>
      </c>
      <c r="G14596" t="s">
        <v>289</v>
      </c>
      <c r="H14596">
        <v>61570</v>
      </c>
      <c r="I14596" t="s">
        <v>30</v>
      </c>
      <c r="J14596" t="s">
        <v>41</v>
      </c>
      <c r="K14596" t="s">
        <v>42</v>
      </c>
      <c r="Q14596">
        <v>0</v>
      </c>
      <c r="R14596">
        <v>300</v>
      </c>
      <c r="S14596">
        <v>300</v>
      </c>
      <c r="T14596" t="s">
        <v>51168</v>
      </c>
    </row>
    <row r="14597" spans="1:20" customFormat="1" ht="15" x14ac:dyDescent="0.25">
      <c r="A14597" t="s">
        <v>35</v>
      </c>
      <c r="B14597" t="s">
        <v>61</v>
      </c>
      <c r="C14597" t="str">
        <f>"A0150628"</f>
        <v>A0150628</v>
      </c>
      <c r="D14597" t="s">
        <v>51169</v>
      </c>
      <c r="E14597" t="s">
        <v>51170</v>
      </c>
      <c r="F14597" t="s">
        <v>3478</v>
      </c>
      <c r="G14597" t="s">
        <v>65</v>
      </c>
      <c r="H14597">
        <v>45404</v>
      </c>
      <c r="I14597" t="s">
        <v>30</v>
      </c>
      <c r="J14597" t="s">
        <v>41</v>
      </c>
      <c r="K14597" t="s">
        <v>42</v>
      </c>
      <c r="Q14597">
        <v>0</v>
      </c>
      <c r="R14597">
        <v>0</v>
      </c>
      <c r="S14597">
        <v>0</v>
      </c>
      <c r="T14597" t="s">
        <v>51171</v>
      </c>
    </row>
    <row r="14598" spans="1:20" customFormat="1" ht="15" x14ac:dyDescent="0.25">
      <c r="A14598" t="s">
        <v>35</v>
      </c>
      <c r="B14598" t="s">
        <v>61</v>
      </c>
      <c r="C14598" t="str">
        <f>"A0150959"</f>
        <v>A0150959</v>
      </c>
      <c r="D14598" t="s">
        <v>51172</v>
      </c>
      <c r="E14598" t="s">
        <v>51173</v>
      </c>
      <c r="F14598" t="s">
        <v>12412</v>
      </c>
      <c r="G14598" t="s">
        <v>65</v>
      </c>
      <c r="H14598">
        <v>43701</v>
      </c>
      <c r="I14598" t="s">
        <v>30</v>
      </c>
      <c r="J14598" t="s">
        <v>41</v>
      </c>
      <c r="K14598" t="s">
        <v>461</v>
      </c>
      <c r="Q14598">
        <v>0</v>
      </c>
      <c r="R14598">
        <v>16</v>
      </c>
      <c r="S14598">
        <v>16</v>
      </c>
      <c r="T14598" t="s">
        <v>72</v>
      </c>
    </row>
    <row r="14599" spans="1:20" customFormat="1" ht="15" x14ac:dyDescent="0.25">
      <c r="A14599" t="s">
        <v>35</v>
      </c>
      <c r="B14599" t="s">
        <v>61</v>
      </c>
      <c r="C14599" t="str">
        <f>"A0129617"</f>
        <v>A0129617</v>
      </c>
      <c r="D14599" t="s">
        <v>51174</v>
      </c>
      <c r="E14599" t="s">
        <v>51175</v>
      </c>
      <c r="F14599" t="s">
        <v>288</v>
      </c>
      <c r="G14599" t="s">
        <v>289</v>
      </c>
      <c r="H14599">
        <v>60640</v>
      </c>
      <c r="I14599" t="s">
        <v>30</v>
      </c>
      <c r="J14599" t="s">
        <v>41</v>
      </c>
      <c r="K14599" t="s">
        <v>59</v>
      </c>
      <c r="Q14599">
        <v>0</v>
      </c>
      <c r="R14599">
        <v>72</v>
      </c>
      <c r="S14599">
        <v>72</v>
      </c>
      <c r="T14599" t="s">
        <v>51176</v>
      </c>
    </row>
    <row r="14600" spans="1:20" customFormat="1" ht="15" x14ac:dyDescent="0.25">
      <c r="A14600" t="s">
        <v>35</v>
      </c>
      <c r="B14600" t="s">
        <v>61</v>
      </c>
      <c r="C14600" t="str">
        <f>"A0118764"</f>
        <v>A0118764</v>
      </c>
      <c r="D14600" t="s">
        <v>51177</v>
      </c>
      <c r="E14600" t="s">
        <v>51178</v>
      </c>
      <c r="F14600" t="s">
        <v>8081</v>
      </c>
      <c r="G14600" t="s">
        <v>110</v>
      </c>
      <c r="H14600">
        <v>94109</v>
      </c>
      <c r="I14600" t="s">
        <v>30</v>
      </c>
      <c r="J14600" t="s">
        <v>41</v>
      </c>
      <c r="K14600" t="s">
        <v>1440</v>
      </c>
      <c r="Q14600">
        <v>0</v>
      </c>
      <c r="R14600">
        <v>85</v>
      </c>
      <c r="S14600">
        <v>85</v>
      </c>
      <c r="T14600" t="s">
        <v>21903</v>
      </c>
    </row>
    <row r="14601" spans="1:20" customFormat="1" ht="15" x14ac:dyDescent="0.25">
      <c r="A14601" t="s">
        <v>35</v>
      </c>
      <c r="B14601" t="s">
        <v>437</v>
      </c>
      <c r="C14601" t="str">
        <f>"A0133932"</f>
        <v>A0133932</v>
      </c>
      <c r="D14601" t="s">
        <v>51179</v>
      </c>
      <c r="E14601" t="s">
        <v>51180</v>
      </c>
      <c r="F14601" t="s">
        <v>624</v>
      </c>
      <c r="G14601" t="s">
        <v>615</v>
      </c>
      <c r="H14601">
        <v>6340</v>
      </c>
      <c r="I14601" t="s">
        <v>30</v>
      </c>
      <c r="J14601" t="s">
        <v>441</v>
      </c>
      <c r="K14601" t="s">
        <v>442</v>
      </c>
      <c r="Q14601">
        <v>0</v>
      </c>
      <c r="R14601">
        <v>0</v>
      </c>
      <c r="S14601">
        <v>0</v>
      </c>
      <c r="T14601" t="s">
        <v>51181</v>
      </c>
    </row>
    <row r="14602" spans="1:20" customFormat="1" ht="15" x14ac:dyDescent="0.25">
      <c r="A14602" t="s">
        <v>35</v>
      </c>
      <c r="B14602" t="s">
        <v>61</v>
      </c>
      <c r="C14602" t="str">
        <f>"A0154069"</f>
        <v>A0154069</v>
      </c>
      <c r="D14602" t="s">
        <v>51182</v>
      </c>
      <c r="E14602" t="s">
        <v>51183</v>
      </c>
      <c r="F14602" t="s">
        <v>15496</v>
      </c>
      <c r="G14602" t="s">
        <v>29</v>
      </c>
      <c r="H14602">
        <v>23113</v>
      </c>
      <c r="I14602" t="s">
        <v>30</v>
      </c>
      <c r="J14602" t="s">
        <v>41</v>
      </c>
      <c r="K14602" t="s">
        <v>442</v>
      </c>
      <c r="Q14602">
        <v>0</v>
      </c>
      <c r="R14602">
        <v>0</v>
      </c>
      <c r="S14602">
        <v>0</v>
      </c>
      <c r="T14602" t="s">
        <v>51184</v>
      </c>
    </row>
    <row r="14603" spans="1:20" customFormat="1" ht="15" x14ac:dyDescent="0.25">
      <c r="A14603" t="s">
        <v>35</v>
      </c>
      <c r="B14603" t="s">
        <v>61</v>
      </c>
      <c r="C14603" t="str">
        <f>"A0132336"</f>
        <v>A0132336</v>
      </c>
      <c r="D14603" t="s">
        <v>51185</v>
      </c>
      <c r="E14603" t="s">
        <v>51186</v>
      </c>
      <c r="F14603" t="s">
        <v>4615</v>
      </c>
      <c r="G14603" t="s">
        <v>65</v>
      </c>
      <c r="H14603">
        <v>43055</v>
      </c>
      <c r="I14603" t="s">
        <v>30</v>
      </c>
      <c r="J14603" t="s">
        <v>41</v>
      </c>
      <c r="K14603" t="s">
        <v>1412</v>
      </c>
      <c r="Q14603">
        <v>0</v>
      </c>
      <c r="R14603">
        <v>0</v>
      </c>
      <c r="S14603">
        <v>0</v>
      </c>
      <c r="T14603" t="s">
        <v>51187</v>
      </c>
    </row>
    <row r="14604" spans="1:20" customFormat="1" ht="15" x14ac:dyDescent="0.25">
      <c r="A14604" t="s">
        <v>35</v>
      </c>
      <c r="B14604" t="s">
        <v>61</v>
      </c>
      <c r="C14604" t="str">
        <f>"A0126089"</f>
        <v>A0126089</v>
      </c>
      <c r="D14604" t="s">
        <v>51188</v>
      </c>
      <c r="E14604" t="s">
        <v>51189</v>
      </c>
      <c r="F14604" t="s">
        <v>10187</v>
      </c>
      <c r="G14604" t="s">
        <v>197</v>
      </c>
      <c r="H14604">
        <v>85021</v>
      </c>
      <c r="I14604" t="s">
        <v>30</v>
      </c>
      <c r="J14604" t="s">
        <v>41</v>
      </c>
      <c r="K14604" t="s">
        <v>59</v>
      </c>
      <c r="Q14604">
        <v>0</v>
      </c>
      <c r="R14604">
        <v>120</v>
      </c>
      <c r="S14604">
        <v>120</v>
      </c>
      <c r="T14604" t="s">
        <v>51190</v>
      </c>
    </row>
    <row r="14605" spans="1:20" customFormat="1" ht="15" x14ac:dyDescent="0.25">
      <c r="A14605" t="s">
        <v>35</v>
      </c>
      <c r="B14605" t="s">
        <v>61</v>
      </c>
      <c r="C14605" t="str">
        <f>"A0130664"</f>
        <v>A0130664</v>
      </c>
      <c r="D14605" t="s">
        <v>51191</v>
      </c>
      <c r="E14605" t="s">
        <v>51192</v>
      </c>
      <c r="F14605" t="s">
        <v>22160</v>
      </c>
      <c r="G14605" t="s">
        <v>1898</v>
      </c>
      <c r="H14605">
        <v>50023</v>
      </c>
      <c r="I14605" t="s">
        <v>30</v>
      </c>
      <c r="J14605" t="s">
        <v>41</v>
      </c>
      <c r="K14605" t="s">
        <v>59</v>
      </c>
      <c r="Q14605">
        <v>0</v>
      </c>
      <c r="R14605">
        <v>48</v>
      </c>
      <c r="S14605">
        <v>48</v>
      </c>
      <c r="T14605" t="s">
        <v>50305</v>
      </c>
    </row>
    <row r="14606" spans="1:20" customFormat="1" ht="15" x14ac:dyDescent="0.25">
      <c r="A14606" t="s">
        <v>35</v>
      </c>
      <c r="B14606" t="s">
        <v>51193</v>
      </c>
      <c r="C14606" t="str">
        <f>"A0153002"</f>
        <v>A0153002</v>
      </c>
      <c r="D14606" t="s">
        <v>51194</v>
      </c>
      <c r="E14606" t="s">
        <v>51195</v>
      </c>
      <c r="F14606" t="s">
        <v>51038</v>
      </c>
      <c r="G14606" t="s">
        <v>1587</v>
      </c>
      <c r="H14606">
        <v>87124</v>
      </c>
      <c r="I14606" t="s">
        <v>30</v>
      </c>
      <c r="J14606" t="s">
        <v>41</v>
      </c>
      <c r="K14606" t="s">
        <v>229</v>
      </c>
      <c r="Q14606">
        <v>0</v>
      </c>
      <c r="R14606">
        <v>44</v>
      </c>
      <c r="S14606">
        <v>44</v>
      </c>
      <c r="T14606" t="s">
        <v>51196</v>
      </c>
    </row>
    <row r="14607" spans="1:20" customFormat="1" ht="15" x14ac:dyDescent="0.25">
      <c r="A14607" t="s">
        <v>35</v>
      </c>
      <c r="B14607" t="s">
        <v>61</v>
      </c>
      <c r="C14607" t="str">
        <f>"A0122551"</f>
        <v>A0122551</v>
      </c>
      <c r="D14607" t="s">
        <v>51197</v>
      </c>
      <c r="E14607" t="s">
        <v>51198</v>
      </c>
      <c r="F14607" t="s">
        <v>51199</v>
      </c>
      <c r="G14607" t="s">
        <v>76</v>
      </c>
      <c r="H14607">
        <v>98101</v>
      </c>
      <c r="I14607" t="s">
        <v>30</v>
      </c>
      <c r="J14607" t="s">
        <v>41</v>
      </c>
      <c r="K14607" t="s">
        <v>59</v>
      </c>
      <c r="Q14607">
        <v>0</v>
      </c>
      <c r="R14607">
        <v>97</v>
      </c>
      <c r="S14607">
        <v>97</v>
      </c>
      <c r="T14607" t="s">
        <v>51200</v>
      </c>
    </row>
    <row r="14608" spans="1:20" customFormat="1" ht="15" x14ac:dyDescent="0.25">
      <c r="A14608" t="s">
        <v>35</v>
      </c>
      <c r="B14608" t="s">
        <v>12660</v>
      </c>
      <c r="C14608" t="str">
        <f>"A0121857"</f>
        <v>A0121857</v>
      </c>
      <c r="D14608" t="s">
        <v>51201</v>
      </c>
      <c r="E14608" t="s">
        <v>51202</v>
      </c>
      <c r="F14608" t="s">
        <v>6244</v>
      </c>
      <c r="G14608" t="s">
        <v>110</v>
      </c>
      <c r="H14608">
        <v>93710</v>
      </c>
      <c r="I14608" t="s">
        <v>30</v>
      </c>
      <c r="J14608" t="s">
        <v>41</v>
      </c>
      <c r="K14608" t="s">
        <v>1440</v>
      </c>
      <c r="Q14608">
        <v>0</v>
      </c>
      <c r="R14608">
        <v>79</v>
      </c>
      <c r="S14608">
        <v>79</v>
      </c>
      <c r="T14608" t="s">
        <v>51203</v>
      </c>
    </row>
    <row r="14609" spans="1:20" customFormat="1" ht="15" x14ac:dyDescent="0.25">
      <c r="A14609" t="s">
        <v>35</v>
      </c>
      <c r="B14609" t="s">
        <v>61</v>
      </c>
      <c r="C14609" t="str">
        <f>"A0118347"</f>
        <v>A0118347</v>
      </c>
      <c r="D14609" t="s">
        <v>51204</v>
      </c>
      <c r="E14609" t="s">
        <v>51205</v>
      </c>
      <c r="F14609" t="s">
        <v>38350</v>
      </c>
      <c r="G14609" t="s">
        <v>110</v>
      </c>
      <c r="H14609">
        <v>959280000</v>
      </c>
      <c r="I14609" t="s">
        <v>30</v>
      </c>
      <c r="J14609" t="s">
        <v>41</v>
      </c>
      <c r="K14609" t="s">
        <v>1440</v>
      </c>
      <c r="Q14609">
        <v>0</v>
      </c>
      <c r="R14609">
        <v>324</v>
      </c>
      <c r="S14609">
        <v>324</v>
      </c>
      <c r="T14609" t="s">
        <v>51206</v>
      </c>
    </row>
    <row r="14610" spans="1:20" customFormat="1" ht="15" x14ac:dyDescent="0.25">
      <c r="A14610" t="s">
        <v>35</v>
      </c>
      <c r="B14610" t="s">
        <v>437</v>
      </c>
      <c r="C14610" t="str">
        <f>"A0135005"</f>
        <v>A0135005</v>
      </c>
      <c r="D14610" t="s">
        <v>51207</v>
      </c>
      <c r="E14610" t="s">
        <v>51208</v>
      </c>
      <c r="F14610" t="s">
        <v>51209</v>
      </c>
      <c r="G14610" t="s">
        <v>99</v>
      </c>
      <c r="H14610">
        <v>13331</v>
      </c>
      <c r="I14610" t="s">
        <v>30</v>
      </c>
      <c r="J14610" t="s">
        <v>441</v>
      </c>
      <c r="K14610" t="s">
        <v>442</v>
      </c>
      <c r="Q14610">
        <v>0</v>
      </c>
      <c r="R14610">
        <v>0</v>
      </c>
      <c r="S14610">
        <v>0</v>
      </c>
      <c r="T14610" t="s">
        <v>51210</v>
      </c>
    </row>
    <row r="14611" spans="1:20" customFormat="1" ht="15" x14ac:dyDescent="0.25">
      <c r="A14611" t="s">
        <v>35</v>
      </c>
      <c r="B14611" t="s">
        <v>106</v>
      </c>
      <c r="C14611" t="str">
        <f>"A0135571"</f>
        <v>A0135571</v>
      </c>
      <c r="D14611" t="s">
        <v>51211</v>
      </c>
      <c r="E14611" t="s">
        <v>45455</v>
      </c>
      <c r="F14611" t="s">
        <v>45456</v>
      </c>
      <c r="G14611" t="s">
        <v>880</v>
      </c>
      <c r="H14611">
        <v>37383</v>
      </c>
      <c r="I14611" t="s">
        <v>30</v>
      </c>
      <c r="J14611" t="s">
        <v>111</v>
      </c>
      <c r="K14611" t="s">
        <v>112</v>
      </c>
      <c r="Q14611">
        <v>0</v>
      </c>
      <c r="R14611">
        <v>0</v>
      </c>
      <c r="S14611">
        <v>0</v>
      </c>
      <c r="T14611" t="s">
        <v>45457</v>
      </c>
    </row>
    <row r="14612" spans="1:20" customFormat="1" ht="15" x14ac:dyDescent="0.25">
      <c r="A14612" t="s">
        <v>35</v>
      </c>
      <c r="B14612" t="s">
        <v>61</v>
      </c>
      <c r="C14612" t="str">
        <f>"A0132438"</f>
        <v>A0132438</v>
      </c>
      <c r="D14612" t="s">
        <v>51212</v>
      </c>
      <c r="E14612" t="s">
        <v>51213</v>
      </c>
      <c r="F14612" t="s">
        <v>2748</v>
      </c>
      <c r="G14612" t="s">
        <v>65</v>
      </c>
      <c r="H14612">
        <v>43606</v>
      </c>
      <c r="I14612" t="s">
        <v>30</v>
      </c>
      <c r="J14612" t="s">
        <v>41</v>
      </c>
      <c r="K14612" t="s">
        <v>59</v>
      </c>
      <c r="Q14612">
        <v>0</v>
      </c>
      <c r="R14612">
        <v>36</v>
      </c>
      <c r="S14612">
        <v>36</v>
      </c>
      <c r="T14612" t="s">
        <v>51214</v>
      </c>
    </row>
    <row r="14613" spans="1:20" customFormat="1" ht="15" x14ac:dyDescent="0.25">
      <c r="A14613" t="s">
        <v>35</v>
      </c>
      <c r="B14613" t="s">
        <v>61</v>
      </c>
      <c r="C14613" t="str">
        <f>"A0133452"</f>
        <v>A0133452</v>
      </c>
      <c r="D14613" t="s">
        <v>51215</v>
      </c>
      <c r="E14613" t="s">
        <v>51216</v>
      </c>
      <c r="F14613" t="s">
        <v>36575</v>
      </c>
      <c r="G14613" t="s">
        <v>52</v>
      </c>
      <c r="H14613">
        <v>78801</v>
      </c>
      <c r="I14613" t="s">
        <v>30</v>
      </c>
      <c r="J14613" t="s">
        <v>41</v>
      </c>
      <c r="K14613" t="s">
        <v>482</v>
      </c>
      <c r="Q14613">
        <v>0</v>
      </c>
      <c r="R14613">
        <v>60</v>
      </c>
      <c r="S14613">
        <v>60</v>
      </c>
      <c r="T14613" t="s">
        <v>51217</v>
      </c>
    </row>
    <row r="14614" spans="1:20" customFormat="1" ht="15" x14ac:dyDescent="0.25">
      <c r="A14614" t="s">
        <v>35</v>
      </c>
      <c r="B14614" t="s">
        <v>61</v>
      </c>
      <c r="C14614" t="str">
        <f>"A0133077"</f>
        <v>A0133077</v>
      </c>
      <c r="D14614" t="s">
        <v>51218</v>
      </c>
      <c r="E14614" t="s">
        <v>51219</v>
      </c>
      <c r="F14614" t="s">
        <v>5257</v>
      </c>
      <c r="G14614" t="s">
        <v>52</v>
      </c>
      <c r="H14614">
        <v>77010</v>
      </c>
      <c r="I14614" t="s">
        <v>30</v>
      </c>
      <c r="J14614" t="s">
        <v>41</v>
      </c>
      <c r="K14614" t="s">
        <v>2760</v>
      </c>
      <c r="Q14614">
        <v>0</v>
      </c>
      <c r="R14614">
        <v>1</v>
      </c>
      <c r="S14614">
        <v>1</v>
      </c>
      <c r="T14614" t="s">
        <v>51220</v>
      </c>
    </row>
    <row r="14615" spans="1:20" customFormat="1" ht="15" x14ac:dyDescent="0.25">
      <c r="A14615" t="s">
        <v>35</v>
      </c>
      <c r="B14615" t="s">
        <v>61</v>
      </c>
      <c r="C14615" t="str">
        <f>"A0128843"</f>
        <v>A0128843</v>
      </c>
      <c r="D14615" t="s">
        <v>51221</v>
      </c>
      <c r="E14615" t="s">
        <v>51222</v>
      </c>
      <c r="F14615" t="s">
        <v>15639</v>
      </c>
      <c r="G14615" t="s">
        <v>289</v>
      </c>
      <c r="H14615">
        <v>62626</v>
      </c>
      <c r="I14615" t="s">
        <v>30</v>
      </c>
      <c r="J14615" t="s">
        <v>41</v>
      </c>
      <c r="K14615" t="s">
        <v>59</v>
      </c>
      <c r="Q14615">
        <v>0</v>
      </c>
      <c r="R14615">
        <v>46</v>
      </c>
      <c r="S14615">
        <v>46</v>
      </c>
      <c r="T14615" t="s">
        <v>51223</v>
      </c>
    </row>
    <row r="14616" spans="1:20" customFormat="1" ht="15" x14ac:dyDescent="0.25">
      <c r="A14616" t="s">
        <v>35</v>
      </c>
      <c r="B14616" t="s">
        <v>50982</v>
      </c>
      <c r="C14616" t="str">
        <f>"A0124301"</f>
        <v>A0124301</v>
      </c>
      <c r="D14616" t="s">
        <v>51224</v>
      </c>
      <c r="E14616" t="s">
        <v>51225</v>
      </c>
      <c r="F14616" t="s">
        <v>6152</v>
      </c>
      <c r="G14616" t="s">
        <v>123</v>
      </c>
      <c r="H14616">
        <v>20850</v>
      </c>
      <c r="I14616" t="s">
        <v>30</v>
      </c>
      <c r="J14616" t="s">
        <v>41</v>
      </c>
      <c r="K14616" t="s">
        <v>229</v>
      </c>
      <c r="Q14616">
        <v>0</v>
      </c>
      <c r="R14616">
        <v>160</v>
      </c>
      <c r="S14616">
        <v>160</v>
      </c>
      <c r="T14616" t="s">
        <v>51226</v>
      </c>
    </row>
    <row r="14617" spans="1:20" customFormat="1" ht="15" x14ac:dyDescent="0.25">
      <c r="A14617" t="s">
        <v>35</v>
      </c>
      <c r="B14617" t="s">
        <v>61</v>
      </c>
      <c r="C14617" t="str">
        <f>"A0128777"</f>
        <v>A0128777</v>
      </c>
      <c r="D14617" t="s">
        <v>51227</v>
      </c>
      <c r="E14617" t="s">
        <v>51228</v>
      </c>
      <c r="F14617" t="s">
        <v>51229</v>
      </c>
      <c r="G14617" t="s">
        <v>1170</v>
      </c>
      <c r="H14617">
        <v>70085</v>
      </c>
      <c r="I14617" t="s">
        <v>30</v>
      </c>
      <c r="J14617" t="s">
        <v>41</v>
      </c>
      <c r="K14617" t="s">
        <v>59</v>
      </c>
      <c r="Q14617">
        <v>0</v>
      </c>
      <c r="R14617">
        <v>120</v>
      </c>
      <c r="S14617">
        <v>120</v>
      </c>
      <c r="T14617" t="s">
        <v>51230</v>
      </c>
    </row>
    <row r="14618" spans="1:20" customFormat="1" ht="15" x14ac:dyDescent="0.25">
      <c r="A14618" t="s">
        <v>35</v>
      </c>
      <c r="B14618" t="s">
        <v>61</v>
      </c>
      <c r="C14618" t="str">
        <f>"A0121442"</f>
        <v>A0121442</v>
      </c>
      <c r="D14618" t="s">
        <v>51231</v>
      </c>
      <c r="E14618" t="s">
        <v>51232</v>
      </c>
      <c r="F14618" t="s">
        <v>35566</v>
      </c>
      <c r="G14618" t="s">
        <v>110</v>
      </c>
      <c r="H14618">
        <v>92545</v>
      </c>
      <c r="I14618" t="s">
        <v>30</v>
      </c>
      <c r="J14618" t="s">
        <v>41</v>
      </c>
      <c r="K14618" t="s">
        <v>1440</v>
      </c>
      <c r="Q14618">
        <v>0</v>
      </c>
      <c r="R14618">
        <v>104</v>
      </c>
      <c r="S14618">
        <v>104</v>
      </c>
      <c r="T14618" t="s">
        <v>51233</v>
      </c>
    </row>
    <row r="14619" spans="1:20" customFormat="1" ht="15" x14ac:dyDescent="0.25">
      <c r="A14619" t="s">
        <v>35</v>
      </c>
      <c r="B14619" t="s">
        <v>61</v>
      </c>
      <c r="C14619" t="str">
        <f>"A0123962"</f>
        <v>A0123962</v>
      </c>
      <c r="D14619" t="s">
        <v>51234</v>
      </c>
      <c r="E14619" t="s">
        <v>45586</v>
      </c>
      <c r="F14619" t="s">
        <v>38034</v>
      </c>
      <c r="G14619" t="s">
        <v>214</v>
      </c>
      <c r="H14619">
        <v>28504</v>
      </c>
      <c r="I14619" t="s">
        <v>30</v>
      </c>
      <c r="J14619" t="s">
        <v>41</v>
      </c>
      <c r="K14619" t="s">
        <v>482</v>
      </c>
      <c r="Q14619">
        <v>0</v>
      </c>
      <c r="R14619">
        <v>60</v>
      </c>
      <c r="S14619">
        <v>60</v>
      </c>
      <c r="T14619" t="s">
        <v>51235</v>
      </c>
    </row>
    <row r="14620" spans="1:20" customFormat="1" ht="15" x14ac:dyDescent="0.25">
      <c r="A14620" t="s">
        <v>35</v>
      </c>
      <c r="B14620" t="s">
        <v>61</v>
      </c>
      <c r="C14620" t="str">
        <f>"A0126642"</f>
        <v>A0126642</v>
      </c>
      <c r="D14620" t="s">
        <v>51236</v>
      </c>
      <c r="E14620" t="s">
        <v>51237</v>
      </c>
      <c r="F14620" t="s">
        <v>19189</v>
      </c>
      <c r="G14620" t="s">
        <v>103</v>
      </c>
      <c r="H14620">
        <v>15909</v>
      </c>
      <c r="I14620" t="s">
        <v>30</v>
      </c>
      <c r="J14620" t="s">
        <v>41</v>
      </c>
      <c r="K14620" t="s">
        <v>59</v>
      </c>
      <c r="Q14620">
        <v>0</v>
      </c>
      <c r="R14620">
        <v>48</v>
      </c>
      <c r="S14620">
        <v>48</v>
      </c>
      <c r="T14620" t="s">
        <v>51238</v>
      </c>
    </row>
    <row r="14621" spans="1:20" customFormat="1" ht="15" x14ac:dyDescent="0.25">
      <c r="A14621" t="s">
        <v>35</v>
      </c>
      <c r="B14621" t="s">
        <v>61</v>
      </c>
      <c r="C14621" t="str">
        <f>"A0131430"</f>
        <v>A0131430</v>
      </c>
      <c r="D14621" t="s">
        <v>51239</v>
      </c>
      <c r="E14621" t="s">
        <v>51240</v>
      </c>
      <c r="F14621" t="s">
        <v>51241</v>
      </c>
      <c r="G14621" t="s">
        <v>137</v>
      </c>
      <c r="H14621">
        <v>644290000</v>
      </c>
      <c r="I14621" t="s">
        <v>30</v>
      </c>
      <c r="J14621" t="s">
        <v>41</v>
      </c>
      <c r="K14621" t="s">
        <v>59</v>
      </c>
      <c r="Q14621">
        <v>0</v>
      </c>
      <c r="R14621">
        <v>46</v>
      </c>
      <c r="S14621">
        <v>46</v>
      </c>
      <c r="T14621" t="s">
        <v>51242</v>
      </c>
    </row>
    <row r="14622" spans="1:20" customFormat="1" ht="15" x14ac:dyDescent="0.25">
      <c r="A14622" t="s">
        <v>35</v>
      </c>
      <c r="B14622" t="s">
        <v>61</v>
      </c>
      <c r="C14622" t="str">
        <f>"A0131434"</f>
        <v>A0131434</v>
      </c>
      <c r="D14622" t="s">
        <v>51243</v>
      </c>
      <c r="E14622" t="s">
        <v>51244</v>
      </c>
      <c r="F14622" t="s">
        <v>51241</v>
      </c>
      <c r="G14622" t="s">
        <v>137</v>
      </c>
      <c r="H14622">
        <v>644290000</v>
      </c>
      <c r="I14622" t="s">
        <v>30</v>
      </c>
      <c r="J14622" t="s">
        <v>41</v>
      </c>
      <c r="K14622" t="s">
        <v>59</v>
      </c>
      <c r="Q14622">
        <v>0</v>
      </c>
      <c r="R14622">
        <v>98</v>
      </c>
      <c r="S14622">
        <v>98</v>
      </c>
      <c r="T14622" t="s">
        <v>51245</v>
      </c>
    </row>
    <row r="14623" spans="1:20" customFormat="1" ht="15" x14ac:dyDescent="0.25">
      <c r="A14623" t="s">
        <v>35</v>
      </c>
      <c r="B14623" t="s">
        <v>61</v>
      </c>
      <c r="C14623" t="str">
        <f>"A0127325"</f>
        <v>A0127325</v>
      </c>
      <c r="D14623" t="s">
        <v>51246</v>
      </c>
      <c r="E14623" t="s">
        <v>51247</v>
      </c>
      <c r="F14623" t="s">
        <v>30378</v>
      </c>
      <c r="G14623" t="s">
        <v>846</v>
      </c>
      <c r="H14623">
        <v>30040</v>
      </c>
      <c r="I14623" t="s">
        <v>30</v>
      </c>
      <c r="J14623" t="s">
        <v>41</v>
      </c>
      <c r="K14623" t="s">
        <v>59</v>
      </c>
      <c r="Q14623">
        <v>0</v>
      </c>
      <c r="R14623">
        <v>96</v>
      </c>
      <c r="S14623">
        <v>96</v>
      </c>
      <c r="T14623" t="s">
        <v>51248</v>
      </c>
    </row>
    <row r="14624" spans="1:20" customFormat="1" ht="15" x14ac:dyDescent="0.25">
      <c r="A14624" t="s">
        <v>35</v>
      </c>
      <c r="B14624" t="s">
        <v>61</v>
      </c>
      <c r="C14624" t="str">
        <f>"A0127387"</f>
        <v>A0127387</v>
      </c>
      <c r="D14624" t="s">
        <v>51249</v>
      </c>
      <c r="E14624" t="s">
        <v>51250</v>
      </c>
      <c r="F14624" t="s">
        <v>30378</v>
      </c>
      <c r="G14624" t="s">
        <v>846</v>
      </c>
      <c r="H14624">
        <v>30040</v>
      </c>
      <c r="I14624" t="s">
        <v>30</v>
      </c>
      <c r="J14624" t="s">
        <v>41</v>
      </c>
      <c r="K14624" t="s">
        <v>59</v>
      </c>
      <c r="Q14624">
        <v>0</v>
      </c>
      <c r="R14624">
        <v>0</v>
      </c>
      <c r="S14624">
        <v>0</v>
      </c>
      <c r="T14624" t="s">
        <v>51251</v>
      </c>
    </row>
    <row r="14625" spans="1:20" customFormat="1" ht="15" x14ac:dyDescent="0.25">
      <c r="A14625" t="s">
        <v>35</v>
      </c>
      <c r="B14625" t="s">
        <v>61</v>
      </c>
      <c r="C14625" t="str">
        <f>"A0131826"</f>
        <v>A0131826</v>
      </c>
      <c r="D14625" t="s">
        <v>51252</v>
      </c>
      <c r="E14625" t="s">
        <v>51253</v>
      </c>
      <c r="F14625" t="s">
        <v>64</v>
      </c>
      <c r="G14625" t="s">
        <v>65</v>
      </c>
      <c r="H14625">
        <v>43213</v>
      </c>
      <c r="I14625" t="s">
        <v>30</v>
      </c>
      <c r="J14625" t="s">
        <v>41</v>
      </c>
      <c r="K14625" t="s">
        <v>59</v>
      </c>
      <c r="Q14625">
        <v>0</v>
      </c>
      <c r="R14625">
        <v>42</v>
      </c>
      <c r="S14625">
        <v>42</v>
      </c>
      <c r="T14625" t="s">
        <v>51254</v>
      </c>
    </row>
    <row r="14626" spans="1:20" customFormat="1" ht="15" x14ac:dyDescent="0.25">
      <c r="A14626" t="s">
        <v>35</v>
      </c>
      <c r="B14626" t="s">
        <v>61</v>
      </c>
      <c r="C14626" t="str">
        <f>"A0129289"</f>
        <v>A0129289</v>
      </c>
      <c r="D14626" t="s">
        <v>51255</v>
      </c>
      <c r="E14626" t="s">
        <v>51256</v>
      </c>
      <c r="F14626" t="s">
        <v>9923</v>
      </c>
      <c r="G14626" t="s">
        <v>289</v>
      </c>
      <c r="H14626">
        <v>60120</v>
      </c>
      <c r="I14626" t="s">
        <v>30</v>
      </c>
      <c r="J14626" t="s">
        <v>41</v>
      </c>
      <c r="K14626" t="s">
        <v>229</v>
      </c>
      <c r="Q14626">
        <v>0</v>
      </c>
      <c r="R14626">
        <v>38</v>
      </c>
      <c r="S14626">
        <v>38</v>
      </c>
      <c r="T14626" t="s">
        <v>51257</v>
      </c>
    </row>
    <row r="14627" spans="1:20" customFormat="1" ht="15" x14ac:dyDescent="0.25">
      <c r="A14627" t="s">
        <v>35</v>
      </c>
      <c r="B14627" t="s">
        <v>61</v>
      </c>
      <c r="C14627" t="str">
        <f>"A0117939"</f>
        <v>A0117939</v>
      </c>
      <c r="D14627" t="s">
        <v>51258</v>
      </c>
      <c r="E14627" t="s">
        <v>51259</v>
      </c>
      <c r="F14627" t="s">
        <v>6244</v>
      </c>
      <c r="G14627" t="s">
        <v>110</v>
      </c>
      <c r="H14627">
        <v>93727</v>
      </c>
      <c r="I14627" t="s">
        <v>30</v>
      </c>
      <c r="J14627" t="s">
        <v>41</v>
      </c>
      <c r="K14627" t="s">
        <v>229</v>
      </c>
      <c r="Q14627">
        <v>0</v>
      </c>
      <c r="R14627">
        <v>151</v>
      </c>
      <c r="S14627">
        <v>151</v>
      </c>
      <c r="T14627" t="s">
        <v>51260</v>
      </c>
    </row>
    <row r="14628" spans="1:20" customFormat="1" ht="15" x14ac:dyDescent="0.25">
      <c r="A14628" t="s">
        <v>35</v>
      </c>
      <c r="B14628" t="s">
        <v>61</v>
      </c>
      <c r="C14628" t="str">
        <f>"A0125720"</f>
        <v>A0125720</v>
      </c>
      <c r="D14628" t="s">
        <v>51261</v>
      </c>
      <c r="E14628" t="s">
        <v>51262</v>
      </c>
      <c r="F14628" t="s">
        <v>465</v>
      </c>
      <c r="G14628" t="s">
        <v>29</v>
      </c>
      <c r="H14628">
        <v>220310000</v>
      </c>
      <c r="I14628" t="s">
        <v>30</v>
      </c>
      <c r="J14628" t="s">
        <v>41</v>
      </c>
      <c r="K14628" t="s">
        <v>1440</v>
      </c>
      <c r="Q14628">
        <v>0</v>
      </c>
      <c r="R14628">
        <v>300</v>
      </c>
      <c r="S14628">
        <v>300</v>
      </c>
      <c r="T14628" t="s">
        <v>51263</v>
      </c>
    </row>
    <row r="14629" spans="1:20" customFormat="1" ht="15" x14ac:dyDescent="0.25">
      <c r="A14629" t="s">
        <v>35</v>
      </c>
      <c r="B14629" t="s">
        <v>61</v>
      </c>
      <c r="C14629" t="str">
        <f>"A0132830"</f>
        <v>A0132830</v>
      </c>
      <c r="D14629" t="s">
        <v>51264</v>
      </c>
      <c r="E14629" t="s">
        <v>51265</v>
      </c>
      <c r="F14629" t="s">
        <v>5188</v>
      </c>
      <c r="G14629" t="s">
        <v>65</v>
      </c>
      <c r="H14629">
        <v>44906</v>
      </c>
      <c r="I14629" t="s">
        <v>30</v>
      </c>
      <c r="J14629" t="s">
        <v>41</v>
      </c>
      <c r="K14629" t="s">
        <v>59</v>
      </c>
      <c r="Q14629">
        <v>0</v>
      </c>
      <c r="R14629">
        <v>86</v>
      </c>
      <c r="S14629">
        <v>86</v>
      </c>
      <c r="T14629" t="s">
        <v>51266</v>
      </c>
    </row>
    <row r="14630" spans="1:20" customFormat="1" ht="15" x14ac:dyDescent="0.25">
      <c r="A14630" t="s">
        <v>35</v>
      </c>
      <c r="B14630" t="s">
        <v>61</v>
      </c>
      <c r="C14630" t="str">
        <f>"A0118765"</f>
        <v>A0118765</v>
      </c>
      <c r="D14630" t="s">
        <v>51267</v>
      </c>
      <c r="E14630" t="s">
        <v>51268</v>
      </c>
      <c r="F14630" t="s">
        <v>8043</v>
      </c>
      <c r="G14630" t="s">
        <v>110</v>
      </c>
      <c r="H14630">
        <v>95267</v>
      </c>
      <c r="I14630" t="s">
        <v>30</v>
      </c>
      <c r="J14630" t="s">
        <v>41</v>
      </c>
      <c r="K14630" t="s">
        <v>59</v>
      </c>
      <c r="Q14630">
        <v>0</v>
      </c>
      <c r="R14630">
        <v>78</v>
      </c>
      <c r="S14630">
        <v>78</v>
      </c>
      <c r="T14630" t="s">
        <v>51269</v>
      </c>
    </row>
    <row r="14631" spans="1:20" customFormat="1" ht="15" x14ac:dyDescent="0.25">
      <c r="A14631" t="s">
        <v>35</v>
      </c>
      <c r="B14631" t="s">
        <v>61</v>
      </c>
      <c r="C14631" t="str">
        <f>"A0133729"</f>
        <v>A0133729</v>
      </c>
      <c r="D14631" t="s">
        <v>51270</v>
      </c>
      <c r="E14631" t="s">
        <v>51271</v>
      </c>
      <c r="F14631" t="s">
        <v>5217</v>
      </c>
      <c r="G14631" t="s">
        <v>52</v>
      </c>
      <c r="H14631">
        <v>75703</v>
      </c>
      <c r="I14631" t="s">
        <v>30</v>
      </c>
      <c r="J14631" t="s">
        <v>41</v>
      </c>
      <c r="K14631" t="s">
        <v>229</v>
      </c>
      <c r="Q14631">
        <v>0</v>
      </c>
      <c r="R14631">
        <v>50</v>
      </c>
      <c r="S14631">
        <v>50</v>
      </c>
      <c r="T14631" t="s">
        <v>51272</v>
      </c>
    </row>
    <row r="14632" spans="1:20" customFormat="1" ht="15" x14ac:dyDescent="0.25">
      <c r="A14632" t="s">
        <v>35</v>
      </c>
      <c r="B14632" t="s">
        <v>61</v>
      </c>
      <c r="C14632" t="str">
        <f>"A0128332"</f>
        <v>A0128332</v>
      </c>
      <c r="D14632" t="s">
        <v>21785</v>
      </c>
      <c r="E14632" t="s">
        <v>51273</v>
      </c>
      <c r="F14632" t="s">
        <v>51274</v>
      </c>
      <c r="G14632" t="s">
        <v>427</v>
      </c>
      <c r="H14632">
        <v>68046</v>
      </c>
      <c r="I14632" t="s">
        <v>30</v>
      </c>
      <c r="J14632" t="s">
        <v>41</v>
      </c>
      <c r="K14632" t="s">
        <v>59</v>
      </c>
      <c r="Q14632">
        <v>0</v>
      </c>
      <c r="R14632">
        <v>79</v>
      </c>
      <c r="S14632">
        <v>79</v>
      </c>
      <c r="T14632" t="s">
        <v>51275</v>
      </c>
    </row>
    <row r="14633" spans="1:20" customFormat="1" ht="15" x14ac:dyDescent="0.25">
      <c r="A14633" t="s">
        <v>35</v>
      </c>
      <c r="B14633" t="s">
        <v>61</v>
      </c>
      <c r="C14633" t="str">
        <f>"A0124005"</f>
        <v>A0124005</v>
      </c>
      <c r="D14633" t="s">
        <v>51276</v>
      </c>
      <c r="E14633" t="s">
        <v>51277</v>
      </c>
      <c r="F14633" t="s">
        <v>20261</v>
      </c>
      <c r="G14633" t="s">
        <v>507</v>
      </c>
      <c r="H14633">
        <v>26003</v>
      </c>
      <c r="I14633" t="s">
        <v>30</v>
      </c>
      <c r="J14633" t="s">
        <v>41</v>
      </c>
      <c r="K14633" t="s">
        <v>482</v>
      </c>
      <c r="Q14633">
        <v>0</v>
      </c>
      <c r="R14633">
        <v>55</v>
      </c>
      <c r="S14633">
        <v>55</v>
      </c>
      <c r="T14633" t="s">
        <v>51278</v>
      </c>
    </row>
    <row r="14634" spans="1:20" customFormat="1" ht="15" x14ac:dyDescent="0.25">
      <c r="A14634" t="s">
        <v>35</v>
      </c>
      <c r="B14634" t="s">
        <v>437</v>
      </c>
      <c r="C14634" t="str">
        <f>"A0134041"</f>
        <v>A0134041</v>
      </c>
      <c r="D14634" t="s">
        <v>51279</v>
      </c>
      <c r="E14634" t="s">
        <v>51280</v>
      </c>
      <c r="F14634" t="s">
        <v>22142</v>
      </c>
      <c r="G14634" t="s">
        <v>110</v>
      </c>
      <c r="H14634">
        <v>92651</v>
      </c>
      <c r="I14634" t="s">
        <v>30</v>
      </c>
      <c r="J14634" t="s">
        <v>441</v>
      </c>
      <c r="K14634" t="s">
        <v>442</v>
      </c>
      <c r="Q14634">
        <v>0</v>
      </c>
      <c r="R14634">
        <v>0</v>
      </c>
      <c r="S14634">
        <v>0</v>
      </c>
      <c r="T14634" t="s">
        <v>51281</v>
      </c>
    </row>
    <row r="14635" spans="1:20" customFormat="1" ht="15" x14ac:dyDescent="0.25">
      <c r="A14635" t="s">
        <v>35</v>
      </c>
      <c r="B14635" t="s">
        <v>106</v>
      </c>
      <c r="C14635" t="str">
        <f>"A0135359"</f>
        <v>A0135359</v>
      </c>
      <c r="D14635" t="s">
        <v>51282</v>
      </c>
      <c r="E14635" t="s">
        <v>51283</v>
      </c>
      <c r="F14635" t="s">
        <v>51284</v>
      </c>
      <c r="G14635" t="s">
        <v>99</v>
      </c>
      <c r="H14635">
        <v>13454</v>
      </c>
      <c r="I14635" t="s">
        <v>30</v>
      </c>
      <c r="J14635" t="s">
        <v>111</v>
      </c>
      <c r="K14635" t="s">
        <v>112</v>
      </c>
      <c r="Q14635">
        <v>0</v>
      </c>
      <c r="R14635">
        <v>0</v>
      </c>
      <c r="S14635">
        <v>0</v>
      </c>
      <c r="T14635" t="s">
        <v>51285</v>
      </c>
    </row>
    <row r="14636" spans="1:20" customFormat="1" ht="15" x14ac:dyDescent="0.25">
      <c r="A14636" t="s">
        <v>35</v>
      </c>
      <c r="B14636" t="s">
        <v>61</v>
      </c>
      <c r="C14636" t="str">
        <f>"A0125887"</f>
        <v>A0125887</v>
      </c>
      <c r="D14636" t="s">
        <v>51286</v>
      </c>
      <c r="E14636" t="s">
        <v>51287</v>
      </c>
      <c r="F14636" t="s">
        <v>6768</v>
      </c>
      <c r="G14636" t="s">
        <v>29</v>
      </c>
      <c r="H14636">
        <v>24503</v>
      </c>
      <c r="I14636" t="s">
        <v>30</v>
      </c>
      <c r="J14636" t="s">
        <v>41</v>
      </c>
      <c r="K14636" t="s">
        <v>482</v>
      </c>
      <c r="Q14636">
        <v>0</v>
      </c>
      <c r="R14636">
        <v>38</v>
      </c>
      <c r="S14636">
        <v>38</v>
      </c>
      <c r="T14636" t="s">
        <v>51288</v>
      </c>
    </row>
    <row r="14637" spans="1:20" customFormat="1" ht="15" x14ac:dyDescent="0.25">
      <c r="A14637" t="s">
        <v>35</v>
      </c>
      <c r="B14637" t="s">
        <v>61</v>
      </c>
      <c r="C14637" t="str">
        <f>"A0124087"</f>
        <v>A0124087</v>
      </c>
      <c r="D14637" t="s">
        <v>51289</v>
      </c>
      <c r="E14637" t="s">
        <v>51290</v>
      </c>
      <c r="F14637" t="s">
        <v>7554</v>
      </c>
      <c r="G14637" t="s">
        <v>58</v>
      </c>
      <c r="H14637">
        <v>29640</v>
      </c>
      <c r="I14637" t="s">
        <v>30</v>
      </c>
      <c r="J14637" t="s">
        <v>41</v>
      </c>
      <c r="K14637" t="s">
        <v>59</v>
      </c>
      <c r="Q14637">
        <v>0</v>
      </c>
      <c r="R14637">
        <v>1</v>
      </c>
      <c r="S14637">
        <v>1</v>
      </c>
    </row>
    <row r="14638" spans="1:20" customFormat="1" ht="15" x14ac:dyDescent="0.25">
      <c r="A14638" t="s">
        <v>35</v>
      </c>
      <c r="B14638" t="s">
        <v>61</v>
      </c>
      <c r="C14638" t="str">
        <f>"A0121715"</f>
        <v>A0121715</v>
      </c>
      <c r="D14638" t="s">
        <v>51291</v>
      </c>
      <c r="E14638" t="s">
        <v>51292</v>
      </c>
      <c r="F14638" t="s">
        <v>6244</v>
      </c>
      <c r="G14638" t="s">
        <v>110</v>
      </c>
      <c r="H14638">
        <v>93720</v>
      </c>
      <c r="I14638" t="s">
        <v>30</v>
      </c>
      <c r="J14638" t="s">
        <v>41</v>
      </c>
      <c r="K14638" t="s">
        <v>59</v>
      </c>
      <c r="Q14638">
        <v>0</v>
      </c>
      <c r="R14638">
        <v>200</v>
      </c>
      <c r="S14638">
        <v>200</v>
      </c>
      <c r="T14638" t="s">
        <v>51293</v>
      </c>
    </row>
    <row r="14639" spans="1:20" customFormat="1" ht="15" x14ac:dyDescent="0.25">
      <c r="A14639" t="s">
        <v>35</v>
      </c>
      <c r="B14639" t="s">
        <v>61</v>
      </c>
      <c r="C14639" t="str">
        <f>"A0125738"</f>
        <v>A0125738</v>
      </c>
      <c r="D14639" t="s">
        <v>51294</v>
      </c>
      <c r="E14639" t="s">
        <v>51295</v>
      </c>
      <c r="F14639" t="s">
        <v>43497</v>
      </c>
      <c r="G14639" t="s">
        <v>29</v>
      </c>
      <c r="H14639">
        <v>23901</v>
      </c>
      <c r="I14639" t="s">
        <v>30</v>
      </c>
      <c r="J14639" t="s">
        <v>41</v>
      </c>
      <c r="K14639" t="s">
        <v>229</v>
      </c>
      <c r="Q14639">
        <v>0</v>
      </c>
      <c r="R14639">
        <v>115</v>
      </c>
      <c r="S14639">
        <v>115</v>
      </c>
      <c r="T14639" t="s">
        <v>51296</v>
      </c>
    </row>
    <row r="14640" spans="1:20" customFormat="1" ht="15" x14ac:dyDescent="0.25">
      <c r="A14640" t="s">
        <v>35</v>
      </c>
      <c r="B14640" t="s">
        <v>3074</v>
      </c>
      <c r="C14640" t="str">
        <f>"A0128763"</f>
        <v>A0128763</v>
      </c>
      <c r="D14640" t="s">
        <v>22759</v>
      </c>
      <c r="E14640" t="s">
        <v>51297</v>
      </c>
      <c r="F14640" t="s">
        <v>27637</v>
      </c>
      <c r="G14640" t="s">
        <v>1170</v>
      </c>
      <c r="H14640">
        <v>71446</v>
      </c>
      <c r="I14640" t="s">
        <v>30</v>
      </c>
      <c r="J14640" t="s">
        <v>41</v>
      </c>
      <c r="K14640" t="s">
        <v>229</v>
      </c>
      <c r="Q14640">
        <v>0</v>
      </c>
      <c r="R14640">
        <v>152</v>
      </c>
      <c r="S14640">
        <v>152</v>
      </c>
      <c r="T14640" t="s">
        <v>51298</v>
      </c>
    </row>
    <row r="14641" spans="1:20" customFormat="1" ht="15" x14ac:dyDescent="0.25">
      <c r="A14641" t="s">
        <v>35</v>
      </c>
      <c r="B14641" t="s">
        <v>437</v>
      </c>
      <c r="C14641" t="str">
        <f>"A0134021"</f>
        <v>A0134021</v>
      </c>
      <c r="D14641" t="s">
        <v>51299</v>
      </c>
      <c r="E14641" t="s">
        <v>51300</v>
      </c>
      <c r="F14641" t="s">
        <v>50511</v>
      </c>
      <c r="G14641" t="s">
        <v>99</v>
      </c>
      <c r="H14641">
        <v>13360</v>
      </c>
      <c r="I14641" t="s">
        <v>30</v>
      </c>
      <c r="J14641" t="s">
        <v>441</v>
      </c>
      <c r="K14641" t="s">
        <v>2458</v>
      </c>
      <c r="Q14641">
        <v>0</v>
      </c>
      <c r="R14641">
        <v>0</v>
      </c>
      <c r="S14641">
        <v>0</v>
      </c>
      <c r="T14641" t="s">
        <v>7662</v>
      </c>
    </row>
    <row r="14642" spans="1:20" customFormat="1" ht="15" x14ac:dyDescent="0.25">
      <c r="A14642" t="s">
        <v>35</v>
      </c>
      <c r="B14642" t="s">
        <v>61</v>
      </c>
      <c r="C14642" t="str">
        <f>"A0132158"</f>
        <v>A0132158</v>
      </c>
      <c r="D14642" t="s">
        <v>51301</v>
      </c>
      <c r="E14642" t="s">
        <v>51302</v>
      </c>
      <c r="F14642" t="s">
        <v>9274</v>
      </c>
      <c r="G14642" t="s">
        <v>65</v>
      </c>
      <c r="H14642">
        <v>45801</v>
      </c>
      <c r="I14642" t="s">
        <v>30</v>
      </c>
      <c r="J14642" t="s">
        <v>41</v>
      </c>
      <c r="K14642" t="s">
        <v>461</v>
      </c>
      <c r="Q14642">
        <v>0</v>
      </c>
      <c r="R14642">
        <v>96</v>
      </c>
      <c r="S14642">
        <v>96</v>
      </c>
      <c r="T14642" t="s">
        <v>51303</v>
      </c>
    </row>
    <row r="14643" spans="1:20" customFormat="1" ht="15" x14ac:dyDescent="0.25">
      <c r="A14643" t="s">
        <v>35</v>
      </c>
      <c r="B14643" t="s">
        <v>61</v>
      </c>
      <c r="C14643" t="str">
        <f>"A0153043"</f>
        <v>A0153043</v>
      </c>
      <c r="D14643" t="s">
        <v>51304</v>
      </c>
      <c r="E14643" t="s">
        <v>51305</v>
      </c>
      <c r="F14643" t="s">
        <v>4108</v>
      </c>
      <c r="G14643" t="s">
        <v>29</v>
      </c>
      <c r="H14643">
        <v>24019</v>
      </c>
      <c r="I14643" t="s">
        <v>30</v>
      </c>
      <c r="J14643" t="s">
        <v>41</v>
      </c>
      <c r="K14643" t="s">
        <v>33536</v>
      </c>
      <c r="Q14643">
        <v>0</v>
      </c>
      <c r="R14643">
        <v>0</v>
      </c>
      <c r="S14643">
        <v>0</v>
      </c>
      <c r="T14643" t="s">
        <v>51306</v>
      </c>
    </row>
    <row r="14644" spans="1:20" customFormat="1" ht="15" x14ac:dyDescent="0.25">
      <c r="A14644" t="s">
        <v>35</v>
      </c>
      <c r="B14644" t="s">
        <v>106</v>
      </c>
      <c r="C14644" t="str">
        <f>"A0136138"</f>
        <v>A0136138</v>
      </c>
      <c r="D14644" t="s">
        <v>51307</v>
      </c>
      <c r="E14644" t="s">
        <v>51308</v>
      </c>
      <c r="F14644" t="s">
        <v>5317</v>
      </c>
      <c r="G14644" t="s">
        <v>1706</v>
      </c>
      <c r="H14644">
        <v>36832</v>
      </c>
      <c r="I14644" t="s">
        <v>30</v>
      </c>
      <c r="J14644" t="s">
        <v>111</v>
      </c>
      <c r="K14644" t="s">
        <v>112</v>
      </c>
      <c r="Q14644">
        <v>0</v>
      </c>
      <c r="R14644">
        <v>0</v>
      </c>
      <c r="S14644">
        <v>0</v>
      </c>
      <c r="T14644" t="s">
        <v>51309</v>
      </c>
    </row>
    <row r="14645" spans="1:20" customFormat="1" ht="15" x14ac:dyDescent="0.25">
      <c r="A14645" t="s">
        <v>35</v>
      </c>
      <c r="B14645" t="s">
        <v>106</v>
      </c>
      <c r="C14645" t="str">
        <f>"A0135366"</f>
        <v>A0135366</v>
      </c>
      <c r="D14645" t="s">
        <v>51310</v>
      </c>
      <c r="E14645" t="s">
        <v>51311</v>
      </c>
      <c r="F14645" t="s">
        <v>902</v>
      </c>
      <c r="G14645" t="s">
        <v>221</v>
      </c>
      <c r="H14645">
        <v>89154</v>
      </c>
      <c r="I14645" t="s">
        <v>30</v>
      </c>
      <c r="J14645" t="s">
        <v>111</v>
      </c>
      <c r="K14645" t="s">
        <v>10012</v>
      </c>
      <c r="Q14645">
        <v>0</v>
      </c>
      <c r="R14645">
        <v>0</v>
      </c>
      <c r="S14645">
        <v>0</v>
      </c>
    </row>
    <row r="14646" spans="1:20" customFormat="1" ht="15" x14ac:dyDescent="0.25">
      <c r="A14646" t="s">
        <v>35</v>
      </c>
      <c r="B14646" t="s">
        <v>106</v>
      </c>
      <c r="C14646" t="str">
        <f>"A0135365"</f>
        <v>A0135365</v>
      </c>
      <c r="D14646" t="s">
        <v>51312</v>
      </c>
      <c r="E14646" t="s">
        <v>51311</v>
      </c>
      <c r="F14646" t="s">
        <v>902</v>
      </c>
      <c r="G14646" t="s">
        <v>221</v>
      </c>
      <c r="H14646">
        <v>89154</v>
      </c>
      <c r="I14646" t="s">
        <v>30</v>
      </c>
      <c r="J14646" t="s">
        <v>111</v>
      </c>
      <c r="K14646" t="s">
        <v>10012</v>
      </c>
      <c r="Q14646">
        <v>0</v>
      </c>
      <c r="R14646">
        <v>0</v>
      </c>
      <c r="S14646">
        <v>0</v>
      </c>
    </row>
    <row r="14647" spans="1:20" customFormat="1" ht="15" x14ac:dyDescent="0.25">
      <c r="A14647" t="s">
        <v>35</v>
      </c>
      <c r="B14647" t="s">
        <v>106</v>
      </c>
      <c r="C14647" t="str">
        <f>"A0136023"</f>
        <v>A0136023</v>
      </c>
      <c r="D14647" t="s">
        <v>51313</v>
      </c>
      <c r="E14647" t="s">
        <v>51314</v>
      </c>
      <c r="F14647" t="s">
        <v>839</v>
      </c>
      <c r="G14647" t="s">
        <v>846</v>
      </c>
      <c r="H14647">
        <v>30434</v>
      </c>
      <c r="I14647" t="s">
        <v>30</v>
      </c>
      <c r="J14647" t="s">
        <v>111</v>
      </c>
      <c r="K14647" t="s">
        <v>112</v>
      </c>
      <c r="Q14647">
        <v>0</v>
      </c>
      <c r="R14647">
        <v>0</v>
      </c>
      <c r="S14647">
        <v>0</v>
      </c>
      <c r="T14647" t="s">
        <v>51315</v>
      </c>
    </row>
    <row r="14648" spans="1:20" customFormat="1" ht="15" x14ac:dyDescent="0.25">
      <c r="A14648" t="s">
        <v>35</v>
      </c>
      <c r="B14648" t="s">
        <v>61</v>
      </c>
      <c r="C14648" t="str">
        <f>"A0123584"</f>
        <v>A0123584</v>
      </c>
      <c r="D14648" t="s">
        <v>51316</v>
      </c>
      <c r="E14648" t="s">
        <v>51317</v>
      </c>
      <c r="F14648" t="s">
        <v>8198</v>
      </c>
      <c r="G14648" t="s">
        <v>214</v>
      </c>
      <c r="H14648">
        <v>28803</v>
      </c>
      <c r="I14648" t="s">
        <v>30</v>
      </c>
      <c r="J14648" t="s">
        <v>41</v>
      </c>
      <c r="K14648" t="s">
        <v>59</v>
      </c>
      <c r="Q14648">
        <v>0</v>
      </c>
      <c r="R14648">
        <v>50</v>
      </c>
      <c r="S14648">
        <v>50</v>
      </c>
      <c r="T14648" t="s">
        <v>51318</v>
      </c>
    </row>
    <row r="14649" spans="1:20" customFormat="1" ht="15" x14ac:dyDescent="0.25">
      <c r="A14649" t="s">
        <v>35</v>
      </c>
      <c r="B14649" t="s">
        <v>61</v>
      </c>
      <c r="C14649" t="str">
        <f>"A0130381"</f>
        <v>A0130381</v>
      </c>
      <c r="D14649" t="s">
        <v>51319</v>
      </c>
      <c r="E14649" t="s">
        <v>51320</v>
      </c>
      <c r="F14649" t="s">
        <v>28038</v>
      </c>
      <c r="G14649" t="s">
        <v>1898</v>
      </c>
      <c r="H14649">
        <v>50058</v>
      </c>
      <c r="I14649" t="s">
        <v>30</v>
      </c>
      <c r="J14649" t="s">
        <v>41</v>
      </c>
      <c r="K14649" t="s">
        <v>229</v>
      </c>
      <c r="Q14649">
        <v>0</v>
      </c>
      <c r="R14649">
        <v>68</v>
      </c>
      <c r="S14649">
        <v>68</v>
      </c>
      <c r="T14649" t="s">
        <v>51321</v>
      </c>
    </row>
    <row r="14650" spans="1:20" customFormat="1" ht="15" x14ac:dyDescent="0.25">
      <c r="A14650" t="s">
        <v>35</v>
      </c>
      <c r="B14650" t="s">
        <v>61</v>
      </c>
      <c r="C14650" t="str">
        <f>"A0130419"</f>
        <v>A0130419</v>
      </c>
      <c r="D14650" t="s">
        <v>51322</v>
      </c>
      <c r="E14650" t="s">
        <v>51323</v>
      </c>
      <c r="F14650" t="s">
        <v>1981</v>
      </c>
      <c r="G14650" t="s">
        <v>1898</v>
      </c>
      <c r="H14650">
        <v>52151</v>
      </c>
      <c r="I14650" t="s">
        <v>30</v>
      </c>
      <c r="J14650" t="s">
        <v>41</v>
      </c>
      <c r="K14650" t="s">
        <v>229</v>
      </c>
      <c r="Q14650">
        <v>0</v>
      </c>
      <c r="R14650">
        <v>60</v>
      </c>
      <c r="S14650">
        <v>60</v>
      </c>
      <c r="T14650" t="s">
        <v>51324</v>
      </c>
    </row>
    <row r="14651" spans="1:20" customFormat="1" ht="15" x14ac:dyDescent="0.25">
      <c r="A14651" t="s">
        <v>35</v>
      </c>
      <c r="B14651" t="s">
        <v>61</v>
      </c>
      <c r="C14651" t="str">
        <f>"A0129082"</f>
        <v>A0129082</v>
      </c>
      <c r="D14651" t="s">
        <v>51325</v>
      </c>
      <c r="E14651" t="s">
        <v>51326</v>
      </c>
      <c r="F14651" t="s">
        <v>29982</v>
      </c>
      <c r="G14651" t="s">
        <v>289</v>
      </c>
      <c r="H14651">
        <v>62233</v>
      </c>
      <c r="I14651" t="s">
        <v>30</v>
      </c>
      <c r="J14651" t="s">
        <v>41</v>
      </c>
      <c r="K14651" t="s">
        <v>229</v>
      </c>
      <c r="Q14651">
        <v>0</v>
      </c>
      <c r="R14651">
        <v>85</v>
      </c>
      <c r="S14651">
        <v>85</v>
      </c>
      <c r="T14651" t="s">
        <v>51327</v>
      </c>
    </row>
    <row r="14652" spans="1:20" customFormat="1" ht="15" x14ac:dyDescent="0.25">
      <c r="A14652" t="s">
        <v>35</v>
      </c>
      <c r="B14652" t="s">
        <v>61</v>
      </c>
      <c r="C14652" t="str">
        <f>"A0124088"</f>
        <v>A0124088</v>
      </c>
      <c r="D14652" t="s">
        <v>51328</v>
      </c>
      <c r="E14652" t="s">
        <v>51329</v>
      </c>
      <c r="F14652" t="s">
        <v>30264</v>
      </c>
      <c r="G14652" t="s">
        <v>846</v>
      </c>
      <c r="H14652">
        <v>31522</v>
      </c>
      <c r="I14652" t="s">
        <v>30</v>
      </c>
      <c r="J14652" t="s">
        <v>41</v>
      </c>
      <c r="K14652" t="s">
        <v>482</v>
      </c>
      <c r="Q14652">
        <v>0</v>
      </c>
      <c r="R14652">
        <v>110</v>
      </c>
      <c r="S14652">
        <v>110</v>
      </c>
      <c r="T14652" t="s">
        <v>51330</v>
      </c>
    </row>
    <row r="14653" spans="1:20" customFormat="1" ht="15" x14ac:dyDescent="0.25">
      <c r="A14653" t="s">
        <v>35</v>
      </c>
      <c r="B14653" t="s">
        <v>61</v>
      </c>
      <c r="C14653" t="str">
        <f>"A0131928"</f>
        <v>A0131928</v>
      </c>
      <c r="D14653" t="s">
        <v>51331</v>
      </c>
      <c r="E14653" t="s">
        <v>51332</v>
      </c>
      <c r="F14653" t="s">
        <v>8428</v>
      </c>
      <c r="G14653" t="s">
        <v>65</v>
      </c>
      <c r="H14653">
        <v>43616</v>
      </c>
      <c r="I14653" t="s">
        <v>30</v>
      </c>
      <c r="J14653" t="s">
        <v>41</v>
      </c>
      <c r="K14653" t="s">
        <v>391</v>
      </c>
      <c r="Q14653">
        <v>0</v>
      </c>
      <c r="R14653">
        <v>335</v>
      </c>
      <c r="S14653">
        <v>335</v>
      </c>
      <c r="T14653" t="s">
        <v>51333</v>
      </c>
    </row>
    <row r="14654" spans="1:20" customFormat="1" ht="15" x14ac:dyDescent="0.25">
      <c r="A14654" t="s">
        <v>35</v>
      </c>
      <c r="B14654" t="s">
        <v>61</v>
      </c>
      <c r="C14654" t="str">
        <f>"A0131929"</f>
        <v>A0131929</v>
      </c>
      <c r="D14654" t="s">
        <v>51334</v>
      </c>
      <c r="E14654" t="s">
        <v>51335</v>
      </c>
      <c r="F14654" t="s">
        <v>3778</v>
      </c>
      <c r="G14654" t="s">
        <v>65</v>
      </c>
      <c r="H14654">
        <v>43551</v>
      </c>
      <c r="I14654" t="s">
        <v>30</v>
      </c>
      <c r="J14654" t="s">
        <v>41</v>
      </c>
      <c r="K14654" t="s">
        <v>391</v>
      </c>
      <c r="Q14654">
        <v>0</v>
      </c>
      <c r="R14654">
        <v>130</v>
      </c>
      <c r="S14654">
        <v>130</v>
      </c>
      <c r="T14654" t="s">
        <v>51336</v>
      </c>
    </row>
    <row r="14655" spans="1:20" customFormat="1" ht="15" x14ac:dyDescent="0.25">
      <c r="A14655" t="s">
        <v>35</v>
      </c>
      <c r="B14655" t="s">
        <v>61</v>
      </c>
      <c r="C14655" t="str">
        <f>"A0125166"</f>
        <v>A0125166</v>
      </c>
      <c r="D14655" t="s">
        <v>51337</v>
      </c>
      <c r="E14655" t="s">
        <v>51338</v>
      </c>
      <c r="F14655" t="s">
        <v>44564</v>
      </c>
      <c r="G14655" t="s">
        <v>40</v>
      </c>
      <c r="H14655">
        <v>74578</v>
      </c>
      <c r="I14655" t="s">
        <v>30</v>
      </c>
      <c r="J14655" t="s">
        <v>41</v>
      </c>
      <c r="K14655" t="s">
        <v>229</v>
      </c>
      <c r="Q14655">
        <v>0</v>
      </c>
      <c r="R14655">
        <v>55</v>
      </c>
      <c r="S14655">
        <v>55</v>
      </c>
      <c r="T14655" t="s">
        <v>51339</v>
      </c>
    </row>
    <row r="14656" spans="1:20" customFormat="1" ht="15" x14ac:dyDescent="0.25">
      <c r="A14656" t="s">
        <v>35</v>
      </c>
      <c r="B14656" t="s">
        <v>106</v>
      </c>
      <c r="C14656" t="str">
        <f>"A0135574"</f>
        <v>A0135574</v>
      </c>
      <c r="D14656" t="s">
        <v>51340</v>
      </c>
      <c r="E14656" t="s">
        <v>45455</v>
      </c>
      <c r="F14656" t="s">
        <v>45456</v>
      </c>
      <c r="G14656" t="s">
        <v>880</v>
      </c>
      <c r="H14656">
        <v>37383</v>
      </c>
      <c r="I14656" t="s">
        <v>30</v>
      </c>
      <c r="J14656" t="s">
        <v>111</v>
      </c>
      <c r="K14656" t="s">
        <v>112</v>
      </c>
      <c r="Q14656">
        <v>0</v>
      </c>
      <c r="R14656">
        <v>0</v>
      </c>
      <c r="S14656">
        <v>0</v>
      </c>
      <c r="T14656" t="s">
        <v>45457</v>
      </c>
    </row>
    <row r="14657" spans="1:20" customFormat="1" ht="15" x14ac:dyDescent="0.25">
      <c r="A14657" t="s">
        <v>35</v>
      </c>
      <c r="B14657" t="s">
        <v>437</v>
      </c>
      <c r="C14657" t="str">
        <f>"A0134025"</f>
        <v>A0134025</v>
      </c>
      <c r="D14657" t="s">
        <v>51341</v>
      </c>
      <c r="E14657" t="s">
        <v>51342</v>
      </c>
      <c r="F14657" t="s">
        <v>20721</v>
      </c>
      <c r="G14657" t="s">
        <v>99</v>
      </c>
      <c r="H14657">
        <v>13413</v>
      </c>
      <c r="I14657" t="s">
        <v>30</v>
      </c>
      <c r="J14657" t="s">
        <v>441</v>
      </c>
      <c r="K14657" t="s">
        <v>442</v>
      </c>
      <c r="Q14657">
        <v>0</v>
      </c>
      <c r="R14657">
        <v>0</v>
      </c>
      <c r="S14657">
        <v>0</v>
      </c>
      <c r="T14657" t="s">
        <v>7662</v>
      </c>
    </row>
    <row r="14658" spans="1:20" customFormat="1" ht="15" x14ac:dyDescent="0.25">
      <c r="A14658" t="s">
        <v>35</v>
      </c>
      <c r="B14658" t="s">
        <v>51343</v>
      </c>
      <c r="C14658" t="str">
        <f>"A0122566"</f>
        <v>A0122566</v>
      </c>
      <c r="D14658" t="s">
        <v>51344</v>
      </c>
      <c r="E14658" t="s">
        <v>51345</v>
      </c>
      <c r="F14658" t="s">
        <v>43259</v>
      </c>
      <c r="G14658" t="s">
        <v>1184</v>
      </c>
      <c r="H14658">
        <v>59912</v>
      </c>
      <c r="I14658" t="s">
        <v>30</v>
      </c>
      <c r="J14658" t="s">
        <v>41</v>
      </c>
      <c r="K14658" t="s">
        <v>59</v>
      </c>
      <c r="Q14658">
        <v>0</v>
      </c>
      <c r="R14658">
        <v>75</v>
      </c>
      <c r="S14658">
        <v>75</v>
      </c>
      <c r="T14658" t="s">
        <v>51346</v>
      </c>
    </row>
    <row r="14659" spans="1:20" customFormat="1" ht="15" x14ac:dyDescent="0.25">
      <c r="A14659" t="s">
        <v>35</v>
      </c>
      <c r="B14659" t="s">
        <v>61</v>
      </c>
      <c r="C14659" t="str">
        <f>"A0122577"</f>
        <v>A0122577</v>
      </c>
      <c r="D14659" t="s">
        <v>51347</v>
      </c>
      <c r="E14659" t="s">
        <v>51348</v>
      </c>
      <c r="F14659" t="s">
        <v>36010</v>
      </c>
      <c r="G14659" t="s">
        <v>289</v>
      </c>
      <c r="H14659">
        <v>62401</v>
      </c>
      <c r="I14659" t="s">
        <v>30</v>
      </c>
      <c r="J14659" t="s">
        <v>41</v>
      </c>
      <c r="K14659" t="s">
        <v>59</v>
      </c>
      <c r="Q14659">
        <v>0</v>
      </c>
      <c r="R14659">
        <v>40</v>
      </c>
      <c r="S14659">
        <v>40</v>
      </c>
      <c r="T14659" t="s">
        <v>51349</v>
      </c>
    </row>
    <row r="14660" spans="1:20" customFormat="1" ht="15" x14ac:dyDescent="0.25">
      <c r="A14660" t="s">
        <v>35</v>
      </c>
      <c r="B14660" t="s">
        <v>61</v>
      </c>
      <c r="C14660" t="str">
        <f>"A0128071"</f>
        <v>A0128071</v>
      </c>
      <c r="D14660" t="s">
        <v>51350</v>
      </c>
      <c r="E14660" t="s">
        <v>51351</v>
      </c>
      <c r="F14660" t="s">
        <v>51352</v>
      </c>
      <c r="G14660" t="s">
        <v>117</v>
      </c>
      <c r="H14660">
        <v>48823</v>
      </c>
      <c r="I14660" t="s">
        <v>30</v>
      </c>
      <c r="J14660" t="s">
        <v>41</v>
      </c>
      <c r="K14660" t="s">
        <v>59</v>
      </c>
      <c r="Q14660">
        <v>0</v>
      </c>
      <c r="R14660">
        <v>40</v>
      </c>
      <c r="S14660">
        <v>40</v>
      </c>
      <c r="T14660" t="s">
        <v>51353</v>
      </c>
    </row>
    <row r="14661" spans="1:20" customFormat="1" ht="15" x14ac:dyDescent="0.25">
      <c r="A14661" t="s">
        <v>35</v>
      </c>
      <c r="B14661" t="s">
        <v>61</v>
      </c>
      <c r="C14661" t="str">
        <f>"A0133450"</f>
        <v>A0133450</v>
      </c>
      <c r="D14661" t="s">
        <v>51354</v>
      </c>
      <c r="E14661" t="s">
        <v>51355</v>
      </c>
      <c r="F14661" t="s">
        <v>9143</v>
      </c>
      <c r="G14661" t="s">
        <v>52</v>
      </c>
      <c r="H14661">
        <v>75951</v>
      </c>
      <c r="I14661" t="s">
        <v>30</v>
      </c>
      <c r="J14661" t="s">
        <v>41</v>
      </c>
      <c r="K14661" t="s">
        <v>59</v>
      </c>
      <c r="Q14661">
        <v>0</v>
      </c>
      <c r="R14661">
        <v>114</v>
      </c>
      <c r="S14661">
        <v>114</v>
      </c>
      <c r="T14661" t="s">
        <v>51356</v>
      </c>
    </row>
    <row r="14662" spans="1:20" customFormat="1" ht="15" x14ac:dyDescent="0.25">
      <c r="A14662" t="s">
        <v>35</v>
      </c>
      <c r="B14662" t="s">
        <v>61</v>
      </c>
      <c r="C14662" t="str">
        <f>"A0155549"</f>
        <v>A0155549</v>
      </c>
      <c r="D14662" t="s">
        <v>51357</v>
      </c>
      <c r="E14662" t="s">
        <v>51358</v>
      </c>
      <c r="F14662" t="s">
        <v>2334</v>
      </c>
      <c r="G14662" t="s">
        <v>81</v>
      </c>
      <c r="H14662">
        <v>34481</v>
      </c>
      <c r="I14662" t="s">
        <v>30</v>
      </c>
      <c r="J14662" t="s">
        <v>41</v>
      </c>
      <c r="K14662" t="s">
        <v>42</v>
      </c>
      <c r="Q14662">
        <v>0</v>
      </c>
      <c r="R14662">
        <v>180</v>
      </c>
      <c r="S14662">
        <v>180</v>
      </c>
      <c r="T14662" t="s">
        <v>51359</v>
      </c>
    </row>
    <row r="14663" spans="1:20" customFormat="1" ht="15" x14ac:dyDescent="0.25">
      <c r="A14663" t="s">
        <v>35</v>
      </c>
      <c r="B14663" t="s">
        <v>61</v>
      </c>
      <c r="C14663" t="str">
        <f>"A0129244"</f>
        <v>A0129244</v>
      </c>
      <c r="D14663" t="s">
        <v>51360</v>
      </c>
      <c r="E14663" t="s">
        <v>51361</v>
      </c>
      <c r="F14663" t="s">
        <v>51362</v>
      </c>
      <c r="G14663" t="s">
        <v>289</v>
      </c>
      <c r="H14663">
        <v>60403</v>
      </c>
      <c r="I14663" t="s">
        <v>30</v>
      </c>
      <c r="J14663" t="s">
        <v>41</v>
      </c>
      <c r="K14663" t="s">
        <v>59</v>
      </c>
      <c r="Q14663">
        <v>0</v>
      </c>
      <c r="R14663">
        <v>186</v>
      </c>
      <c r="S14663">
        <v>186</v>
      </c>
      <c r="T14663" t="s">
        <v>51363</v>
      </c>
    </row>
    <row r="14664" spans="1:20" customFormat="1" ht="15" x14ac:dyDescent="0.25">
      <c r="A14664" t="s">
        <v>35</v>
      </c>
      <c r="B14664" t="s">
        <v>61</v>
      </c>
      <c r="C14664" t="str">
        <f>"A0130360"</f>
        <v>A0130360</v>
      </c>
      <c r="D14664" t="s">
        <v>51364</v>
      </c>
      <c r="E14664" t="s">
        <v>51365</v>
      </c>
      <c r="F14664" t="s">
        <v>51366</v>
      </c>
      <c r="G14664" t="s">
        <v>1898</v>
      </c>
      <c r="H14664">
        <v>50424</v>
      </c>
      <c r="I14664" t="s">
        <v>30</v>
      </c>
      <c r="J14664" t="s">
        <v>41</v>
      </c>
      <c r="K14664" t="s">
        <v>229</v>
      </c>
      <c r="Q14664">
        <v>0</v>
      </c>
      <c r="R14664">
        <v>47</v>
      </c>
      <c r="S14664">
        <v>47</v>
      </c>
      <c r="T14664" t="s">
        <v>51367</v>
      </c>
    </row>
    <row r="14665" spans="1:20" customFormat="1" ht="15" x14ac:dyDescent="0.25">
      <c r="A14665" t="s">
        <v>35</v>
      </c>
      <c r="B14665" t="s">
        <v>61</v>
      </c>
      <c r="C14665" t="str">
        <f>"A0130358"</f>
        <v>A0130358</v>
      </c>
      <c r="D14665" t="s">
        <v>51368</v>
      </c>
      <c r="E14665" t="s">
        <v>51369</v>
      </c>
      <c r="F14665" t="s">
        <v>51370</v>
      </c>
      <c r="G14665" t="s">
        <v>1898</v>
      </c>
      <c r="H14665">
        <v>50480</v>
      </c>
      <c r="I14665" t="s">
        <v>30</v>
      </c>
      <c r="J14665" t="s">
        <v>41</v>
      </c>
      <c r="K14665" t="s">
        <v>229</v>
      </c>
      <c r="Q14665">
        <v>0</v>
      </c>
      <c r="R14665">
        <v>37</v>
      </c>
      <c r="S14665">
        <v>37</v>
      </c>
      <c r="T14665" t="s">
        <v>51371</v>
      </c>
    </row>
    <row r="14666" spans="1:20" customFormat="1" ht="15" x14ac:dyDescent="0.25">
      <c r="A14666" t="s">
        <v>35</v>
      </c>
      <c r="B14666" t="s">
        <v>61</v>
      </c>
      <c r="C14666" t="str">
        <f>"A0117997"</f>
        <v>A0117997</v>
      </c>
      <c r="D14666" t="s">
        <v>51372</v>
      </c>
      <c r="E14666" t="s">
        <v>51373</v>
      </c>
      <c r="F14666" t="s">
        <v>1783</v>
      </c>
      <c r="G14666" t="s">
        <v>221</v>
      </c>
      <c r="H14666">
        <v>89014</v>
      </c>
      <c r="I14666" t="s">
        <v>30</v>
      </c>
      <c r="J14666" t="s">
        <v>41</v>
      </c>
      <c r="K14666" t="s">
        <v>229</v>
      </c>
      <c r="Q14666">
        <v>0</v>
      </c>
      <c r="R14666">
        <v>206</v>
      </c>
      <c r="S14666">
        <v>206</v>
      </c>
      <c r="T14666" t="s">
        <v>51374</v>
      </c>
    </row>
    <row r="14667" spans="1:20" customFormat="1" ht="15" x14ac:dyDescent="0.25">
      <c r="A14667" t="s">
        <v>35</v>
      </c>
      <c r="B14667" t="s">
        <v>61</v>
      </c>
      <c r="C14667" t="str">
        <f>"A0126197"</f>
        <v>A0126197</v>
      </c>
      <c r="D14667" t="s">
        <v>51375</v>
      </c>
      <c r="E14667" t="s">
        <v>51376</v>
      </c>
      <c r="F14667" t="s">
        <v>7734</v>
      </c>
      <c r="G14667" t="s">
        <v>197</v>
      </c>
      <c r="H14667">
        <v>85716</v>
      </c>
      <c r="I14667" t="s">
        <v>30</v>
      </c>
      <c r="J14667" t="s">
        <v>41</v>
      </c>
      <c r="K14667" t="s">
        <v>66</v>
      </c>
      <c r="Q14667">
        <v>0</v>
      </c>
      <c r="R14667">
        <v>0</v>
      </c>
      <c r="S14667">
        <v>0</v>
      </c>
      <c r="T14667" t="s">
        <v>51377</v>
      </c>
    </row>
    <row r="14668" spans="1:20" customFormat="1" ht="15" x14ac:dyDescent="0.25">
      <c r="A14668" t="s">
        <v>35</v>
      </c>
      <c r="B14668" t="s">
        <v>106</v>
      </c>
      <c r="C14668" t="str">
        <f>"A0167314"</f>
        <v>A0167314</v>
      </c>
      <c r="D14668" t="s">
        <v>51378</v>
      </c>
      <c r="E14668" t="s">
        <v>51379</v>
      </c>
      <c r="F14668" t="s">
        <v>6791</v>
      </c>
      <c r="G14668" t="s">
        <v>81</v>
      </c>
      <c r="H14668">
        <v>34744</v>
      </c>
      <c r="I14668" t="s">
        <v>30</v>
      </c>
      <c r="J14668" t="s">
        <v>111</v>
      </c>
      <c r="K14668" t="s">
        <v>112</v>
      </c>
      <c r="Q14668">
        <v>0</v>
      </c>
      <c r="R14668">
        <v>0</v>
      </c>
      <c r="S14668">
        <v>0</v>
      </c>
      <c r="T14668" t="s">
        <v>51380</v>
      </c>
    </row>
    <row r="14669" spans="1:20" customFormat="1" ht="15" x14ac:dyDescent="0.25">
      <c r="A14669" t="s">
        <v>35</v>
      </c>
      <c r="B14669" t="s">
        <v>437</v>
      </c>
      <c r="C14669" t="str">
        <f>"A0134038"</f>
        <v>A0134038</v>
      </c>
      <c r="D14669" t="s">
        <v>51381</v>
      </c>
      <c r="E14669" t="s">
        <v>51382</v>
      </c>
      <c r="F14669" t="s">
        <v>14154</v>
      </c>
      <c r="G14669" t="s">
        <v>110</v>
      </c>
      <c r="H14669">
        <v>92672</v>
      </c>
      <c r="I14669" t="s">
        <v>30</v>
      </c>
      <c r="J14669" t="s">
        <v>441</v>
      </c>
      <c r="K14669" t="s">
        <v>442</v>
      </c>
      <c r="Q14669">
        <v>0</v>
      </c>
      <c r="R14669">
        <v>0</v>
      </c>
      <c r="S14669">
        <v>0</v>
      </c>
      <c r="T14669" t="s">
        <v>51383</v>
      </c>
    </row>
    <row r="14670" spans="1:20" customFormat="1" ht="15" x14ac:dyDescent="0.25">
      <c r="A14670" t="s">
        <v>35</v>
      </c>
      <c r="B14670" t="s">
        <v>61</v>
      </c>
      <c r="C14670" t="str">
        <f>"A0123941"</f>
        <v>A0123941</v>
      </c>
      <c r="D14670" t="s">
        <v>51384</v>
      </c>
      <c r="E14670" t="s">
        <v>51385</v>
      </c>
      <c r="F14670" t="s">
        <v>11919</v>
      </c>
      <c r="G14670" t="s">
        <v>214</v>
      </c>
      <c r="H14670">
        <v>27565</v>
      </c>
      <c r="I14670" t="s">
        <v>30</v>
      </c>
      <c r="J14670" t="s">
        <v>41</v>
      </c>
      <c r="K14670" t="s">
        <v>482</v>
      </c>
      <c r="Q14670">
        <v>0</v>
      </c>
      <c r="R14670">
        <v>50</v>
      </c>
      <c r="S14670">
        <v>50</v>
      </c>
      <c r="T14670" t="s">
        <v>51386</v>
      </c>
    </row>
    <row r="14671" spans="1:20" customFormat="1" ht="15" x14ac:dyDescent="0.25">
      <c r="A14671" t="s">
        <v>35</v>
      </c>
      <c r="B14671" t="s">
        <v>437</v>
      </c>
      <c r="C14671" t="str">
        <f>"A0134026"</f>
        <v>A0134026</v>
      </c>
      <c r="D14671" t="s">
        <v>51387</v>
      </c>
      <c r="E14671" t="s">
        <v>51388</v>
      </c>
      <c r="F14671" t="s">
        <v>20721</v>
      </c>
      <c r="G14671" t="s">
        <v>99</v>
      </c>
      <c r="H14671">
        <v>13413</v>
      </c>
      <c r="I14671" t="s">
        <v>30</v>
      </c>
      <c r="J14671" t="s">
        <v>441</v>
      </c>
      <c r="K14671" t="s">
        <v>442</v>
      </c>
      <c r="Q14671">
        <v>0</v>
      </c>
      <c r="R14671">
        <v>0</v>
      </c>
      <c r="S14671">
        <v>0</v>
      </c>
      <c r="T14671" t="s">
        <v>7662</v>
      </c>
    </row>
    <row r="14672" spans="1:20" customFormat="1" ht="15" x14ac:dyDescent="0.25">
      <c r="A14672" t="s">
        <v>35</v>
      </c>
      <c r="B14672" t="s">
        <v>437</v>
      </c>
      <c r="C14672" t="str">
        <f>"A0134769"</f>
        <v>A0134769</v>
      </c>
      <c r="D14672" t="s">
        <v>51389</v>
      </c>
      <c r="E14672" t="s">
        <v>51390</v>
      </c>
      <c r="F14672" t="s">
        <v>11809</v>
      </c>
      <c r="G14672" t="s">
        <v>99</v>
      </c>
      <c r="H14672">
        <v>13492</v>
      </c>
      <c r="I14672" t="s">
        <v>30</v>
      </c>
      <c r="J14672" t="s">
        <v>441</v>
      </c>
      <c r="K14672" t="s">
        <v>442</v>
      </c>
      <c r="Q14672">
        <v>0</v>
      </c>
      <c r="R14672">
        <v>0</v>
      </c>
      <c r="S14672">
        <v>0</v>
      </c>
      <c r="T14672" t="s">
        <v>51391</v>
      </c>
    </row>
    <row r="14673" spans="1:20" customFormat="1" ht="15" x14ac:dyDescent="0.25">
      <c r="A14673" t="s">
        <v>35</v>
      </c>
      <c r="B14673" t="s">
        <v>437</v>
      </c>
      <c r="C14673" t="str">
        <f>"A0134052"</f>
        <v>A0134052</v>
      </c>
      <c r="D14673" t="s">
        <v>51392</v>
      </c>
      <c r="E14673" t="s">
        <v>51393</v>
      </c>
      <c r="F14673" t="s">
        <v>4259</v>
      </c>
      <c r="G14673" t="s">
        <v>99</v>
      </c>
      <c r="H14673">
        <v>13502</v>
      </c>
      <c r="I14673" t="s">
        <v>30</v>
      </c>
      <c r="J14673" t="s">
        <v>441</v>
      </c>
      <c r="K14673" t="s">
        <v>442</v>
      </c>
      <c r="Q14673">
        <v>0</v>
      </c>
      <c r="R14673">
        <v>0</v>
      </c>
      <c r="S14673">
        <v>0</v>
      </c>
      <c r="T14673" t="s">
        <v>51394</v>
      </c>
    </row>
    <row r="14674" spans="1:20" customFormat="1" ht="15" x14ac:dyDescent="0.25">
      <c r="A14674" t="s">
        <v>35</v>
      </c>
      <c r="B14674" t="s">
        <v>61</v>
      </c>
      <c r="C14674" t="str">
        <f>"A0121776"</f>
        <v>A0121776</v>
      </c>
      <c r="D14674" t="s">
        <v>51395</v>
      </c>
      <c r="E14674" t="s">
        <v>51396</v>
      </c>
      <c r="F14674" t="s">
        <v>51397</v>
      </c>
      <c r="G14674" t="s">
        <v>110</v>
      </c>
      <c r="H14674">
        <v>91304</v>
      </c>
      <c r="I14674" t="s">
        <v>30</v>
      </c>
      <c r="J14674" t="s">
        <v>41</v>
      </c>
      <c r="K14674" t="s">
        <v>229</v>
      </c>
      <c r="Q14674">
        <v>0</v>
      </c>
      <c r="R14674">
        <v>112</v>
      </c>
      <c r="S14674">
        <v>112</v>
      </c>
      <c r="T14674" t="s">
        <v>51398</v>
      </c>
    </row>
    <row r="14675" spans="1:20" customFormat="1" ht="15" x14ac:dyDescent="0.25">
      <c r="A14675" t="s">
        <v>35</v>
      </c>
      <c r="B14675" t="s">
        <v>61</v>
      </c>
      <c r="C14675" t="str">
        <f>"A0118133"</f>
        <v>A0118133</v>
      </c>
      <c r="D14675" t="s">
        <v>51399</v>
      </c>
      <c r="E14675" t="s">
        <v>51400</v>
      </c>
      <c r="F14675" t="s">
        <v>38643</v>
      </c>
      <c r="G14675" t="s">
        <v>153</v>
      </c>
      <c r="H14675">
        <v>84057</v>
      </c>
      <c r="I14675" t="s">
        <v>30</v>
      </c>
      <c r="J14675" t="s">
        <v>41</v>
      </c>
      <c r="K14675" t="s">
        <v>229</v>
      </c>
      <c r="Q14675">
        <v>0</v>
      </c>
      <c r="R14675">
        <v>50</v>
      </c>
      <c r="S14675">
        <v>50</v>
      </c>
      <c r="T14675" t="s">
        <v>51401</v>
      </c>
    </row>
    <row r="14676" spans="1:20" customFormat="1" ht="15" x14ac:dyDescent="0.25">
      <c r="A14676" t="s">
        <v>35</v>
      </c>
      <c r="B14676" t="s">
        <v>61</v>
      </c>
      <c r="C14676" t="str">
        <f>"A0127648"</f>
        <v>A0127648</v>
      </c>
      <c r="D14676" t="s">
        <v>51402</v>
      </c>
      <c r="E14676" t="s">
        <v>51403</v>
      </c>
      <c r="F14676" t="s">
        <v>51404</v>
      </c>
      <c r="G14676" t="s">
        <v>123</v>
      </c>
      <c r="H14676">
        <v>20785</v>
      </c>
      <c r="I14676" t="s">
        <v>30</v>
      </c>
      <c r="J14676" t="s">
        <v>41</v>
      </c>
      <c r="K14676" t="s">
        <v>38683</v>
      </c>
      <c r="Q14676">
        <v>0</v>
      </c>
      <c r="R14676">
        <v>0</v>
      </c>
      <c r="S14676">
        <v>0</v>
      </c>
      <c r="T14676" t="s">
        <v>51405</v>
      </c>
    </row>
    <row r="14677" spans="1:20" customFormat="1" ht="15" x14ac:dyDescent="0.25">
      <c r="A14677" t="s">
        <v>35</v>
      </c>
      <c r="B14677" t="s">
        <v>61</v>
      </c>
      <c r="C14677" t="str">
        <f>"A0127649"</f>
        <v>A0127649</v>
      </c>
      <c r="D14677" t="s">
        <v>51406</v>
      </c>
      <c r="E14677" t="s">
        <v>51407</v>
      </c>
      <c r="F14677" t="s">
        <v>4674</v>
      </c>
      <c r="G14677" t="s">
        <v>314</v>
      </c>
      <c r="H14677">
        <v>20002</v>
      </c>
      <c r="I14677" t="s">
        <v>30</v>
      </c>
      <c r="J14677" t="s">
        <v>41</v>
      </c>
      <c r="K14677" t="s">
        <v>290</v>
      </c>
      <c r="Q14677">
        <v>0</v>
      </c>
      <c r="R14677">
        <v>0</v>
      </c>
      <c r="S14677">
        <v>0</v>
      </c>
      <c r="T14677" t="s">
        <v>51405</v>
      </c>
    </row>
    <row r="14678" spans="1:20" customFormat="1" ht="15" x14ac:dyDescent="0.25">
      <c r="A14678" t="s">
        <v>35</v>
      </c>
      <c r="B14678" t="s">
        <v>106</v>
      </c>
      <c r="C14678" t="str">
        <f>"A0136017"</f>
        <v>A0136017</v>
      </c>
      <c r="D14678" t="s">
        <v>51408</v>
      </c>
      <c r="E14678" t="s">
        <v>36097</v>
      </c>
      <c r="F14678" t="s">
        <v>36098</v>
      </c>
      <c r="G14678" t="s">
        <v>1170</v>
      </c>
      <c r="H14678">
        <v>70726</v>
      </c>
      <c r="I14678" t="s">
        <v>30</v>
      </c>
      <c r="J14678" t="s">
        <v>111</v>
      </c>
      <c r="K14678" t="s">
        <v>112</v>
      </c>
      <c r="Q14678">
        <v>0</v>
      </c>
      <c r="R14678">
        <v>0</v>
      </c>
      <c r="S14678">
        <v>0</v>
      </c>
      <c r="T14678" t="s">
        <v>36099</v>
      </c>
    </row>
    <row r="14679" spans="1:20" customFormat="1" ht="15" x14ac:dyDescent="0.25">
      <c r="A14679" t="s">
        <v>35</v>
      </c>
      <c r="B14679" t="s">
        <v>106</v>
      </c>
      <c r="C14679" t="str">
        <f>"A0136146"</f>
        <v>A0136146</v>
      </c>
      <c r="D14679" t="s">
        <v>51409</v>
      </c>
      <c r="E14679" t="s">
        <v>51410</v>
      </c>
      <c r="F14679" t="s">
        <v>51411</v>
      </c>
      <c r="G14679" t="s">
        <v>110</v>
      </c>
      <c r="H14679">
        <v>94592</v>
      </c>
      <c r="I14679" t="s">
        <v>30</v>
      </c>
      <c r="J14679" t="s">
        <v>111</v>
      </c>
      <c r="K14679" t="s">
        <v>10012</v>
      </c>
      <c r="Q14679">
        <v>0</v>
      </c>
      <c r="R14679">
        <v>0</v>
      </c>
      <c r="S14679">
        <v>0</v>
      </c>
      <c r="T14679" t="s">
        <v>51412</v>
      </c>
    </row>
    <row r="14680" spans="1:20" customFormat="1" ht="15" x14ac:dyDescent="0.25">
      <c r="A14680" t="s">
        <v>35</v>
      </c>
      <c r="B14680" t="s">
        <v>61</v>
      </c>
      <c r="C14680" t="str">
        <f>"A0133199"</f>
        <v>A0133199</v>
      </c>
      <c r="D14680" t="s">
        <v>51413</v>
      </c>
      <c r="E14680" t="s">
        <v>51414</v>
      </c>
      <c r="F14680" t="s">
        <v>12380</v>
      </c>
      <c r="G14680" t="s">
        <v>52</v>
      </c>
      <c r="H14680">
        <v>789570000</v>
      </c>
      <c r="I14680" t="s">
        <v>30</v>
      </c>
      <c r="J14680" t="s">
        <v>41</v>
      </c>
      <c r="K14680" t="s">
        <v>229</v>
      </c>
      <c r="Q14680">
        <v>0</v>
      </c>
      <c r="R14680">
        <v>90</v>
      </c>
      <c r="S14680">
        <v>90</v>
      </c>
      <c r="T14680" t="s">
        <v>51415</v>
      </c>
    </row>
    <row r="14681" spans="1:20" customFormat="1" ht="15" x14ac:dyDescent="0.25">
      <c r="A14681" t="s">
        <v>35</v>
      </c>
      <c r="B14681" t="s">
        <v>61</v>
      </c>
      <c r="C14681" t="str">
        <f>"A0117837"</f>
        <v>A0117837</v>
      </c>
      <c r="D14681" t="s">
        <v>51416</v>
      </c>
      <c r="E14681" t="s">
        <v>51417</v>
      </c>
      <c r="F14681" t="s">
        <v>27698</v>
      </c>
      <c r="G14681" t="s">
        <v>110</v>
      </c>
      <c r="H14681">
        <v>92706</v>
      </c>
      <c r="I14681" t="s">
        <v>30</v>
      </c>
      <c r="J14681" t="s">
        <v>41</v>
      </c>
      <c r="K14681" t="s">
        <v>1440</v>
      </c>
      <c r="Q14681">
        <v>0</v>
      </c>
      <c r="R14681">
        <v>300</v>
      </c>
      <c r="S14681">
        <v>300</v>
      </c>
      <c r="T14681" t="s">
        <v>51418</v>
      </c>
    </row>
    <row r="14682" spans="1:20" customFormat="1" ht="15" x14ac:dyDescent="0.25">
      <c r="A14682" t="s">
        <v>35</v>
      </c>
      <c r="B14682" t="s">
        <v>61</v>
      </c>
      <c r="C14682" t="str">
        <f>"A0128683"</f>
        <v>A0128683</v>
      </c>
      <c r="D14682" t="s">
        <v>51419</v>
      </c>
      <c r="E14682" t="s">
        <v>51420</v>
      </c>
      <c r="F14682" t="s">
        <v>3451</v>
      </c>
      <c r="G14682" t="s">
        <v>1170</v>
      </c>
      <c r="H14682">
        <v>71055</v>
      </c>
      <c r="I14682" t="s">
        <v>30</v>
      </c>
      <c r="J14682" t="s">
        <v>41</v>
      </c>
      <c r="K14682" t="s">
        <v>1440</v>
      </c>
      <c r="Q14682">
        <v>0</v>
      </c>
      <c r="R14682">
        <v>120</v>
      </c>
      <c r="S14682">
        <v>120</v>
      </c>
      <c r="T14682" t="s">
        <v>51421</v>
      </c>
    </row>
    <row r="14683" spans="1:20" customFormat="1" ht="15" x14ac:dyDescent="0.25">
      <c r="A14683" t="s">
        <v>35</v>
      </c>
      <c r="B14683" t="s">
        <v>61</v>
      </c>
      <c r="C14683" t="str">
        <f>"A0125478"</f>
        <v>A0125478</v>
      </c>
      <c r="D14683" t="s">
        <v>51422</v>
      </c>
      <c r="E14683" t="s">
        <v>51423</v>
      </c>
      <c r="F14683" t="s">
        <v>39669</v>
      </c>
      <c r="G14683" t="s">
        <v>40</v>
      </c>
      <c r="H14683">
        <v>73859</v>
      </c>
      <c r="I14683" t="s">
        <v>30</v>
      </c>
      <c r="J14683" t="s">
        <v>41</v>
      </c>
      <c r="K14683" t="s">
        <v>229</v>
      </c>
      <c r="Q14683">
        <v>0</v>
      </c>
      <c r="R14683">
        <v>50</v>
      </c>
      <c r="S14683">
        <v>50</v>
      </c>
      <c r="T14683" t="s">
        <v>51424</v>
      </c>
    </row>
    <row r="14684" spans="1:20" customFormat="1" ht="15" x14ac:dyDescent="0.25">
      <c r="A14684" t="s">
        <v>35</v>
      </c>
      <c r="B14684" t="s">
        <v>20462</v>
      </c>
      <c r="C14684" t="str">
        <f>"A0118742"</f>
        <v>A0118742</v>
      </c>
      <c r="D14684" t="s">
        <v>51425</v>
      </c>
      <c r="E14684" t="s">
        <v>51426</v>
      </c>
      <c r="F14684" t="s">
        <v>9135</v>
      </c>
      <c r="G14684" t="s">
        <v>110</v>
      </c>
      <c r="H14684">
        <v>95112</v>
      </c>
      <c r="I14684" t="s">
        <v>30</v>
      </c>
      <c r="J14684" t="s">
        <v>41</v>
      </c>
      <c r="K14684" t="s">
        <v>11521</v>
      </c>
      <c r="Q14684">
        <v>0</v>
      </c>
      <c r="R14684">
        <v>125</v>
      </c>
      <c r="S14684">
        <v>125</v>
      </c>
      <c r="T14684" t="s">
        <v>51427</v>
      </c>
    </row>
    <row r="14685" spans="1:20" customFormat="1" ht="15" x14ac:dyDescent="0.25">
      <c r="A14685" t="s">
        <v>35</v>
      </c>
      <c r="B14685" t="s">
        <v>61</v>
      </c>
      <c r="C14685" t="str">
        <f>"A0130094"</f>
        <v>A0130094</v>
      </c>
      <c r="D14685" t="s">
        <v>51428</v>
      </c>
      <c r="E14685" t="s">
        <v>51429</v>
      </c>
      <c r="F14685" t="s">
        <v>51430</v>
      </c>
      <c r="G14685" t="s">
        <v>880</v>
      </c>
      <c r="H14685">
        <v>38251</v>
      </c>
      <c r="I14685" t="s">
        <v>30</v>
      </c>
      <c r="J14685" t="s">
        <v>41</v>
      </c>
      <c r="K14685" t="s">
        <v>59</v>
      </c>
      <c r="Q14685">
        <v>0</v>
      </c>
      <c r="R14685">
        <v>48</v>
      </c>
      <c r="S14685">
        <v>48</v>
      </c>
      <c r="T14685" t="s">
        <v>51431</v>
      </c>
    </row>
    <row r="14686" spans="1:20" customFormat="1" ht="15" x14ac:dyDescent="0.25">
      <c r="A14686" t="s">
        <v>35</v>
      </c>
      <c r="B14686" t="s">
        <v>61</v>
      </c>
      <c r="C14686" t="str">
        <f>"A0133765"</f>
        <v>A0133765</v>
      </c>
      <c r="D14686" t="s">
        <v>51432</v>
      </c>
      <c r="E14686" t="s">
        <v>51433</v>
      </c>
      <c r="F14686" t="s">
        <v>36954</v>
      </c>
      <c r="G14686" t="s">
        <v>52</v>
      </c>
      <c r="H14686">
        <v>77338</v>
      </c>
      <c r="I14686" t="s">
        <v>30</v>
      </c>
      <c r="J14686" t="s">
        <v>41</v>
      </c>
      <c r="K14686" t="s">
        <v>3713</v>
      </c>
      <c r="Q14686">
        <v>0</v>
      </c>
      <c r="R14686">
        <v>0</v>
      </c>
      <c r="S14686">
        <v>0</v>
      </c>
      <c r="T14686" t="s">
        <v>51434</v>
      </c>
    </row>
    <row r="14687" spans="1:20" customFormat="1" ht="15" x14ac:dyDescent="0.25">
      <c r="A14687" t="s">
        <v>35</v>
      </c>
      <c r="B14687" t="s">
        <v>61</v>
      </c>
      <c r="C14687" t="str">
        <f>"A0121270"</f>
        <v>A0121270</v>
      </c>
      <c r="D14687" t="s">
        <v>51435</v>
      </c>
      <c r="E14687" t="s">
        <v>51436</v>
      </c>
      <c r="F14687" t="s">
        <v>51437</v>
      </c>
      <c r="G14687" t="s">
        <v>153</v>
      </c>
      <c r="H14687">
        <v>84119</v>
      </c>
      <c r="I14687" t="s">
        <v>30</v>
      </c>
      <c r="J14687" t="s">
        <v>41</v>
      </c>
      <c r="K14687" t="s">
        <v>59</v>
      </c>
      <c r="Q14687">
        <v>0</v>
      </c>
      <c r="R14687">
        <v>48</v>
      </c>
      <c r="S14687">
        <v>48</v>
      </c>
      <c r="T14687" t="s">
        <v>51438</v>
      </c>
    </row>
    <row r="14688" spans="1:20" customFormat="1" ht="15" x14ac:dyDescent="0.25">
      <c r="A14688" t="s">
        <v>35</v>
      </c>
      <c r="B14688" t="s">
        <v>61</v>
      </c>
      <c r="C14688" t="str">
        <f>"A0130073"</f>
        <v>A0130073</v>
      </c>
      <c r="D14688" t="s">
        <v>51439</v>
      </c>
      <c r="E14688" t="s">
        <v>51440</v>
      </c>
      <c r="F14688" t="s">
        <v>4622</v>
      </c>
      <c r="G14688" t="s">
        <v>880</v>
      </c>
      <c r="H14688">
        <v>37064</v>
      </c>
      <c r="I14688" t="s">
        <v>30</v>
      </c>
      <c r="J14688" t="s">
        <v>41</v>
      </c>
      <c r="K14688" t="s">
        <v>290</v>
      </c>
      <c r="Q14688">
        <v>0</v>
      </c>
      <c r="R14688">
        <v>0</v>
      </c>
      <c r="S14688">
        <v>0</v>
      </c>
      <c r="T14688" t="s">
        <v>51441</v>
      </c>
    </row>
    <row r="14689" spans="1:20" customFormat="1" ht="15" x14ac:dyDescent="0.25">
      <c r="A14689" t="s">
        <v>35</v>
      </c>
      <c r="B14689" t="s">
        <v>61</v>
      </c>
      <c r="C14689" t="str">
        <f>"A0121956"</f>
        <v>A0121956</v>
      </c>
      <c r="D14689" t="s">
        <v>51442</v>
      </c>
      <c r="E14689" t="s">
        <v>51443</v>
      </c>
      <c r="F14689" t="s">
        <v>21814</v>
      </c>
      <c r="G14689" t="s">
        <v>110</v>
      </c>
      <c r="H14689">
        <v>90405</v>
      </c>
      <c r="I14689" t="s">
        <v>30</v>
      </c>
      <c r="J14689" t="s">
        <v>41</v>
      </c>
      <c r="K14689" t="s">
        <v>456</v>
      </c>
      <c r="Q14689">
        <v>0</v>
      </c>
      <c r="R14689">
        <v>0</v>
      </c>
      <c r="S14689">
        <v>0</v>
      </c>
      <c r="T14689" t="s">
        <v>51444</v>
      </c>
    </row>
    <row r="14690" spans="1:20" customFormat="1" ht="15" x14ac:dyDescent="0.25">
      <c r="A14690" t="s">
        <v>35</v>
      </c>
      <c r="B14690" t="s">
        <v>61</v>
      </c>
      <c r="C14690" t="str">
        <f>"A0131529"</f>
        <v>A0131529</v>
      </c>
      <c r="D14690" t="s">
        <v>51445</v>
      </c>
      <c r="E14690" t="s">
        <v>51446</v>
      </c>
      <c r="F14690" t="s">
        <v>41568</v>
      </c>
      <c r="G14690" t="s">
        <v>381</v>
      </c>
      <c r="H14690">
        <v>476650000</v>
      </c>
      <c r="I14690" t="s">
        <v>30</v>
      </c>
      <c r="J14690" t="s">
        <v>41</v>
      </c>
      <c r="K14690" t="s">
        <v>229</v>
      </c>
      <c r="Q14690">
        <v>0</v>
      </c>
      <c r="R14690">
        <v>68</v>
      </c>
      <c r="S14690">
        <v>68</v>
      </c>
      <c r="T14690" t="s">
        <v>51447</v>
      </c>
    </row>
    <row r="14691" spans="1:20" customFormat="1" ht="15" x14ac:dyDescent="0.25">
      <c r="A14691" t="s">
        <v>35</v>
      </c>
      <c r="B14691" t="s">
        <v>61</v>
      </c>
      <c r="C14691" t="str">
        <f>"A0129081"</f>
        <v>A0129081</v>
      </c>
      <c r="D14691" t="s">
        <v>51448</v>
      </c>
      <c r="E14691" t="s">
        <v>36294</v>
      </c>
      <c r="F14691" t="s">
        <v>36295</v>
      </c>
      <c r="G14691" t="s">
        <v>289</v>
      </c>
      <c r="H14691">
        <v>60142</v>
      </c>
      <c r="I14691" t="s">
        <v>30</v>
      </c>
      <c r="J14691" t="s">
        <v>41</v>
      </c>
      <c r="K14691" t="s">
        <v>456</v>
      </c>
      <c r="Q14691">
        <v>0</v>
      </c>
      <c r="R14691">
        <v>0</v>
      </c>
      <c r="S14691">
        <v>0</v>
      </c>
      <c r="T14691" t="s">
        <v>36296</v>
      </c>
    </row>
    <row r="14692" spans="1:20" customFormat="1" ht="15" x14ac:dyDescent="0.25">
      <c r="A14692" t="s">
        <v>35</v>
      </c>
      <c r="B14692" t="s">
        <v>61</v>
      </c>
      <c r="C14692" t="str">
        <f>"A0123585"</f>
        <v>A0123585</v>
      </c>
      <c r="D14692" t="s">
        <v>51449</v>
      </c>
      <c r="E14692" t="s">
        <v>51450</v>
      </c>
      <c r="F14692" t="s">
        <v>15622</v>
      </c>
      <c r="G14692" t="s">
        <v>29</v>
      </c>
      <c r="H14692" t="s">
        <v>51451</v>
      </c>
      <c r="I14692" t="s">
        <v>30</v>
      </c>
      <c r="J14692" t="s">
        <v>41</v>
      </c>
      <c r="K14692" t="s">
        <v>229</v>
      </c>
      <c r="Q14692">
        <v>0</v>
      </c>
      <c r="R14692">
        <v>1</v>
      </c>
      <c r="S14692">
        <v>1</v>
      </c>
      <c r="T14692" t="s">
        <v>51452</v>
      </c>
    </row>
    <row r="14693" spans="1:20" customFormat="1" ht="15" x14ac:dyDescent="0.25">
      <c r="A14693" t="s">
        <v>35</v>
      </c>
      <c r="B14693" t="s">
        <v>61</v>
      </c>
      <c r="C14693" t="str">
        <f>"A0153273"</f>
        <v>A0153273</v>
      </c>
      <c r="D14693" t="s">
        <v>51453</v>
      </c>
      <c r="E14693" t="s">
        <v>51454</v>
      </c>
      <c r="F14693" t="s">
        <v>51455</v>
      </c>
      <c r="G14693" t="s">
        <v>117</v>
      </c>
      <c r="H14693">
        <v>49415</v>
      </c>
      <c r="I14693" t="s">
        <v>30</v>
      </c>
      <c r="J14693" t="s">
        <v>41</v>
      </c>
      <c r="K14693" t="s">
        <v>391</v>
      </c>
      <c r="Q14693">
        <v>0</v>
      </c>
      <c r="R14693">
        <v>0</v>
      </c>
      <c r="S14693">
        <v>0</v>
      </c>
      <c r="T14693" t="s">
        <v>51456</v>
      </c>
    </row>
    <row r="14694" spans="1:20" customFormat="1" ht="15" x14ac:dyDescent="0.25">
      <c r="A14694" t="s">
        <v>35</v>
      </c>
      <c r="B14694" t="s">
        <v>61</v>
      </c>
      <c r="C14694" t="str">
        <f>"A0125886"</f>
        <v>A0125886</v>
      </c>
      <c r="D14694" t="s">
        <v>51457</v>
      </c>
      <c r="E14694" t="s">
        <v>51458</v>
      </c>
      <c r="F14694" t="s">
        <v>1795</v>
      </c>
      <c r="G14694" t="s">
        <v>29</v>
      </c>
      <c r="H14694">
        <v>23233</v>
      </c>
      <c r="I14694" t="s">
        <v>30</v>
      </c>
      <c r="J14694" t="s">
        <v>41</v>
      </c>
      <c r="K14694" t="s">
        <v>131</v>
      </c>
      <c r="Q14694">
        <v>0</v>
      </c>
      <c r="R14694">
        <v>36</v>
      </c>
      <c r="S14694">
        <v>36</v>
      </c>
      <c r="T14694" t="s">
        <v>51459</v>
      </c>
    </row>
    <row r="14695" spans="1:20" customFormat="1" ht="15" x14ac:dyDescent="0.25">
      <c r="A14695" t="s">
        <v>35</v>
      </c>
      <c r="B14695" t="s">
        <v>61</v>
      </c>
      <c r="C14695" t="str">
        <f>"A0124869"</f>
        <v>A0124869</v>
      </c>
      <c r="D14695" t="s">
        <v>51460</v>
      </c>
      <c r="E14695" t="s">
        <v>51461</v>
      </c>
      <c r="F14695" t="s">
        <v>3315</v>
      </c>
      <c r="G14695" t="s">
        <v>214</v>
      </c>
      <c r="H14695">
        <v>275110000</v>
      </c>
      <c r="I14695" t="s">
        <v>30</v>
      </c>
      <c r="J14695" t="s">
        <v>41</v>
      </c>
      <c r="K14695" t="s">
        <v>42</v>
      </c>
      <c r="Q14695">
        <v>0</v>
      </c>
      <c r="R14695">
        <v>1</v>
      </c>
      <c r="S14695">
        <v>1</v>
      </c>
      <c r="T14695" t="s">
        <v>51462</v>
      </c>
    </row>
    <row r="14696" spans="1:20" customFormat="1" ht="15" x14ac:dyDescent="0.25">
      <c r="A14696" t="s">
        <v>35</v>
      </c>
      <c r="B14696" t="s">
        <v>61</v>
      </c>
      <c r="C14696" t="str">
        <f>"A0133169"</f>
        <v>A0133169</v>
      </c>
      <c r="D14696" t="s">
        <v>51463</v>
      </c>
      <c r="E14696" t="s">
        <v>51464</v>
      </c>
      <c r="F14696" t="s">
        <v>5257</v>
      </c>
      <c r="G14696" t="s">
        <v>52</v>
      </c>
      <c r="H14696">
        <v>77063</v>
      </c>
      <c r="I14696" t="s">
        <v>30</v>
      </c>
      <c r="J14696" t="s">
        <v>41</v>
      </c>
      <c r="K14696" t="s">
        <v>1440</v>
      </c>
      <c r="Q14696">
        <v>0</v>
      </c>
      <c r="R14696">
        <v>424</v>
      </c>
      <c r="S14696">
        <v>424</v>
      </c>
      <c r="T14696" t="s">
        <v>51465</v>
      </c>
    </row>
    <row r="14697" spans="1:20" customFormat="1" ht="15" x14ac:dyDescent="0.25">
      <c r="A14697" t="s">
        <v>35</v>
      </c>
      <c r="B14697" t="s">
        <v>61</v>
      </c>
      <c r="C14697" t="str">
        <f>"A0128449"</f>
        <v>A0128449</v>
      </c>
      <c r="D14697" t="s">
        <v>51466</v>
      </c>
      <c r="E14697" t="s">
        <v>51467</v>
      </c>
      <c r="F14697" t="s">
        <v>19029</v>
      </c>
      <c r="G14697" t="s">
        <v>52</v>
      </c>
      <c r="H14697">
        <v>75605</v>
      </c>
      <c r="I14697" t="s">
        <v>30</v>
      </c>
      <c r="J14697" t="s">
        <v>41</v>
      </c>
      <c r="K14697" t="s">
        <v>229</v>
      </c>
      <c r="Q14697">
        <v>0</v>
      </c>
      <c r="R14697">
        <v>140</v>
      </c>
      <c r="S14697">
        <v>140</v>
      </c>
      <c r="T14697" t="s">
        <v>36196</v>
      </c>
    </row>
    <row r="14698" spans="1:20" customFormat="1" ht="15" x14ac:dyDescent="0.25">
      <c r="A14698" t="s">
        <v>35</v>
      </c>
      <c r="B14698" t="s">
        <v>61</v>
      </c>
      <c r="C14698" t="str">
        <f>"A0117816"</f>
        <v>A0117816</v>
      </c>
      <c r="D14698" t="s">
        <v>51468</v>
      </c>
      <c r="E14698" t="s">
        <v>51469</v>
      </c>
      <c r="F14698" t="s">
        <v>4075</v>
      </c>
      <c r="G14698" t="s">
        <v>110</v>
      </c>
      <c r="H14698">
        <v>94509</v>
      </c>
      <c r="I14698" t="s">
        <v>30</v>
      </c>
      <c r="J14698" t="s">
        <v>41</v>
      </c>
      <c r="K14698" t="s">
        <v>59</v>
      </c>
      <c r="Q14698">
        <v>0</v>
      </c>
      <c r="R14698">
        <v>75</v>
      </c>
      <c r="S14698">
        <v>75</v>
      </c>
      <c r="T14698" t="s">
        <v>51470</v>
      </c>
    </row>
    <row r="14699" spans="1:20" customFormat="1" ht="15" x14ac:dyDescent="0.25">
      <c r="A14699" t="s">
        <v>35</v>
      </c>
      <c r="B14699" t="s">
        <v>61</v>
      </c>
      <c r="C14699" t="str">
        <f>"A0128572"</f>
        <v>A0128572</v>
      </c>
      <c r="D14699" t="s">
        <v>51471</v>
      </c>
      <c r="E14699" t="s">
        <v>51472</v>
      </c>
      <c r="F14699" t="s">
        <v>839</v>
      </c>
      <c r="G14699" t="s">
        <v>840</v>
      </c>
      <c r="H14699">
        <v>40203</v>
      </c>
      <c r="I14699" t="s">
        <v>30</v>
      </c>
      <c r="J14699" t="s">
        <v>41</v>
      </c>
      <c r="K14699" t="s">
        <v>229</v>
      </c>
      <c r="Q14699">
        <v>0</v>
      </c>
      <c r="R14699">
        <v>60</v>
      </c>
      <c r="S14699">
        <v>60</v>
      </c>
      <c r="T14699" t="s">
        <v>51473</v>
      </c>
    </row>
    <row r="14700" spans="1:20" customFormat="1" ht="15" x14ac:dyDescent="0.25">
      <c r="A14700" t="s">
        <v>35</v>
      </c>
      <c r="B14700" t="s">
        <v>61</v>
      </c>
      <c r="C14700" t="str">
        <f>"A0123942"</f>
        <v>A0123942</v>
      </c>
      <c r="D14700" t="s">
        <v>51474</v>
      </c>
      <c r="E14700" t="s">
        <v>51475</v>
      </c>
      <c r="F14700" t="s">
        <v>24124</v>
      </c>
      <c r="G14700" t="s">
        <v>29</v>
      </c>
      <c r="H14700">
        <v>23804</v>
      </c>
      <c r="I14700" t="s">
        <v>30</v>
      </c>
      <c r="J14700" t="s">
        <v>41</v>
      </c>
      <c r="K14700" t="s">
        <v>59</v>
      </c>
      <c r="Q14700">
        <v>0</v>
      </c>
      <c r="R14700">
        <v>60</v>
      </c>
      <c r="S14700">
        <v>60</v>
      </c>
      <c r="T14700" t="s">
        <v>51476</v>
      </c>
    </row>
    <row r="14701" spans="1:20" customFormat="1" ht="15" x14ac:dyDescent="0.25">
      <c r="A14701" t="s">
        <v>35</v>
      </c>
      <c r="B14701" t="s">
        <v>106</v>
      </c>
      <c r="C14701" t="str">
        <f>"A0136545"</f>
        <v>A0136545</v>
      </c>
      <c r="D14701" t="s">
        <v>51477</v>
      </c>
      <c r="E14701" t="s">
        <v>51478</v>
      </c>
      <c r="F14701" t="s">
        <v>46893</v>
      </c>
      <c r="G14701" t="s">
        <v>1369</v>
      </c>
      <c r="H14701">
        <v>39071</v>
      </c>
      <c r="I14701" t="s">
        <v>30</v>
      </c>
      <c r="J14701" t="s">
        <v>111</v>
      </c>
      <c r="K14701" t="s">
        <v>10012</v>
      </c>
      <c r="Q14701">
        <v>0</v>
      </c>
      <c r="R14701">
        <v>0</v>
      </c>
      <c r="S14701">
        <v>0</v>
      </c>
      <c r="T14701" t="s">
        <v>51479</v>
      </c>
    </row>
    <row r="14702" spans="1:20" customFormat="1" ht="15" x14ac:dyDescent="0.25">
      <c r="A14702" t="s">
        <v>35</v>
      </c>
      <c r="B14702" t="s">
        <v>61</v>
      </c>
      <c r="C14702" t="str">
        <f>"A0131852"</f>
        <v>A0131852</v>
      </c>
      <c r="D14702" t="s">
        <v>51480</v>
      </c>
      <c r="E14702" t="s">
        <v>51481</v>
      </c>
      <c r="F14702" t="s">
        <v>2294</v>
      </c>
      <c r="G14702" t="s">
        <v>65</v>
      </c>
      <c r="H14702">
        <v>45018</v>
      </c>
      <c r="I14702" t="s">
        <v>30</v>
      </c>
      <c r="J14702" t="s">
        <v>41</v>
      </c>
      <c r="K14702" t="s">
        <v>229</v>
      </c>
      <c r="Q14702">
        <v>0</v>
      </c>
      <c r="R14702">
        <v>258</v>
      </c>
      <c r="S14702">
        <v>258</v>
      </c>
      <c r="T14702" t="s">
        <v>51482</v>
      </c>
    </row>
    <row r="14703" spans="1:20" customFormat="1" ht="15" x14ac:dyDescent="0.25">
      <c r="A14703" t="s">
        <v>35</v>
      </c>
      <c r="B14703" t="s">
        <v>437</v>
      </c>
      <c r="C14703" t="str">
        <f>"A0135244"</f>
        <v>A0135244</v>
      </c>
      <c r="D14703" t="s">
        <v>51483</v>
      </c>
      <c r="E14703" t="s">
        <v>51484</v>
      </c>
      <c r="F14703" t="s">
        <v>1281</v>
      </c>
      <c r="G14703" t="s">
        <v>110</v>
      </c>
      <c r="H14703">
        <v>92201</v>
      </c>
      <c r="I14703" t="s">
        <v>30</v>
      </c>
      <c r="J14703" t="s">
        <v>441</v>
      </c>
      <c r="K14703" t="s">
        <v>442</v>
      </c>
      <c r="Q14703">
        <v>0</v>
      </c>
      <c r="R14703">
        <v>0</v>
      </c>
      <c r="S14703">
        <v>0</v>
      </c>
      <c r="T14703" t="s">
        <v>51485</v>
      </c>
    </row>
    <row r="14704" spans="1:20" customFormat="1" ht="15" x14ac:dyDescent="0.25">
      <c r="A14704" t="s">
        <v>35</v>
      </c>
      <c r="B14704" t="s">
        <v>61</v>
      </c>
      <c r="C14704" t="str">
        <f>"A0133265"</f>
        <v>A0133265</v>
      </c>
      <c r="D14704" t="s">
        <v>51486</v>
      </c>
      <c r="E14704" t="s">
        <v>51487</v>
      </c>
      <c r="F14704" t="s">
        <v>51488</v>
      </c>
      <c r="G14704" t="s">
        <v>52</v>
      </c>
      <c r="H14704">
        <v>751630000</v>
      </c>
      <c r="I14704" t="s">
        <v>30</v>
      </c>
      <c r="J14704" t="s">
        <v>41</v>
      </c>
      <c r="K14704" t="s">
        <v>2463</v>
      </c>
      <c r="Q14704">
        <v>0</v>
      </c>
      <c r="R14704">
        <v>1</v>
      </c>
      <c r="S14704">
        <v>1</v>
      </c>
      <c r="T14704" t="s">
        <v>51489</v>
      </c>
    </row>
    <row r="14705" spans="1:20" customFormat="1" ht="15" x14ac:dyDescent="0.25">
      <c r="A14705" t="s">
        <v>35</v>
      </c>
      <c r="B14705" t="s">
        <v>61</v>
      </c>
      <c r="C14705" t="str">
        <f>"A0123943"</f>
        <v>A0123943</v>
      </c>
      <c r="D14705" t="s">
        <v>51490</v>
      </c>
      <c r="E14705" t="s">
        <v>51491</v>
      </c>
      <c r="F14705" t="s">
        <v>1382</v>
      </c>
      <c r="G14705" t="s">
        <v>29</v>
      </c>
      <c r="H14705">
        <v>23605</v>
      </c>
      <c r="I14705" t="s">
        <v>30</v>
      </c>
      <c r="J14705" t="s">
        <v>41</v>
      </c>
      <c r="K14705" t="s">
        <v>482</v>
      </c>
      <c r="Q14705">
        <v>0</v>
      </c>
      <c r="R14705">
        <v>1</v>
      </c>
      <c r="S14705">
        <v>1</v>
      </c>
      <c r="T14705" t="s">
        <v>51492</v>
      </c>
    </row>
    <row r="14706" spans="1:20" customFormat="1" ht="15" x14ac:dyDescent="0.25">
      <c r="A14706" t="s">
        <v>35</v>
      </c>
      <c r="B14706" t="s">
        <v>61</v>
      </c>
      <c r="C14706" t="str">
        <f>"A0150814"</f>
        <v>A0150814</v>
      </c>
      <c r="D14706" t="s">
        <v>51493</v>
      </c>
      <c r="E14706" t="s">
        <v>51494</v>
      </c>
      <c r="F14706" t="s">
        <v>436</v>
      </c>
      <c r="G14706" t="s">
        <v>433</v>
      </c>
      <c r="H14706">
        <v>83713</v>
      </c>
      <c r="I14706" t="s">
        <v>30</v>
      </c>
      <c r="J14706" t="s">
        <v>41</v>
      </c>
      <c r="K14706" t="s">
        <v>59</v>
      </c>
      <c r="Q14706">
        <v>0</v>
      </c>
      <c r="R14706">
        <v>50</v>
      </c>
      <c r="S14706">
        <v>50</v>
      </c>
      <c r="T14706" t="s">
        <v>51495</v>
      </c>
    </row>
    <row r="14707" spans="1:20" customFormat="1" ht="15" x14ac:dyDescent="0.25">
      <c r="A14707" t="s">
        <v>35</v>
      </c>
      <c r="B14707" t="s">
        <v>61</v>
      </c>
      <c r="C14707" t="str">
        <f>"A0151001"</f>
        <v>A0151001</v>
      </c>
      <c r="D14707" t="s">
        <v>51496</v>
      </c>
      <c r="E14707" t="s">
        <v>51497</v>
      </c>
      <c r="F14707" t="s">
        <v>436</v>
      </c>
      <c r="G14707" t="s">
        <v>433</v>
      </c>
      <c r="H14707">
        <v>83713</v>
      </c>
      <c r="I14707" t="s">
        <v>30</v>
      </c>
      <c r="J14707" t="s">
        <v>41</v>
      </c>
      <c r="K14707" t="s">
        <v>482</v>
      </c>
      <c r="Q14707">
        <v>0</v>
      </c>
      <c r="R14707">
        <v>10</v>
      </c>
      <c r="S14707">
        <v>10</v>
      </c>
      <c r="T14707" t="s">
        <v>51495</v>
      </c>
    </row>
    <row r="14708" spans="1:20" customFormat="1" ht="15" x14ac:dyDescent="0.25">
      <c r="A14708" t="s">
        <v>35</v>
      </c>
      <c r="B14708" t="s">
        <v>61</v>
      </c>
      <c r="C14708" t="str">
        <f>"A0151002"</f>
        <v>A0151002</v>
      </c>
      <c r="D14708" t="s">
        <v>51498</v>
      </c>
      <c r="E14708" t="s">
        <v>51499</v>
      </c>
      <c r="F14708" t="s">
        <v>436</v>
      </c>
      <c r="G14708" t="s">
        <v>433</v>
      </c>
      <c r="H14708">
        <v>83713</v>
      </c>
      <c r="I14708" t="s">
        <v>30</v>
      </c>
      <c r="J14708" t="s">
        <v>41</v>
      </c>
      <c r="K14708" t="s">
        <v>482</v>
      </c>
      <c r="Q14708">
        <v>0</v>
      </c>
      <c r="R14708">
        <v>10</v>
      </c>
      <c r="S14708">
        <v>10</v>
      </c>
      <c r="T14708" t="s">
        <v>51495</v>
      </c>
    </row>
    <row r="14709" spans="1:20" customFormat="1" ht="15" x14ac:dyDescent="0.25">
      <c r="A14709" t="s">
        <v>35</v>
      </c>
      <c r="B14709" t="s">
        <v>106</v>
      </c>
      <c r="C14709" t="str">
        <f>"A0135313"</f>
        <v>A0135313</v>
      </c>
      <c r="D14709" t="s">
        <v>51500</v>
      </c>
      <c r="E14709" t="s">
        <v>51501</v>
      </c>
      <c r="F14709" t="s">
        <v>928</v>
      </c>
      <c r="G14709" t="s">
        <v>144</v>
      </c>
      <c r="H14709">
        <v>58436</v>
      </c>
      <c r="I14709" t="s">
        <v>30</v>
      </c>
      <c r="J14709" t="s">
        <v>111</v>
      </c>
      <c r="K14709" t="s">
        <v>112</v>
      </c>
      <c r="Q14709">
        <v>0</v>
      </c>
      <c r="R14709">
        <v>0</v>
      </c>
      <c r="S14709">
        <v>0</v>
      </c>
      <c r="T14709" t="s">
        <v>51502</v>
      </c>
    </row>
    <row r="14710" spans="1:20" customFormat="1" ht="15" x14ac:dyDescent="0.25">
      <c r="A14710" t="s">
        <v>35</v>
      </c>
      <c r="B14710" t="s">
        <v>106</v>
      </c>
      <c r="C14710" t="str">
        <f>"A0158527"</f>
        <v>A0158527</v>
      </c>
      <c r="D14710" t="s">
        <v>51503</v>
      </c>
      <c r="E14710" t="s">
        <v>51504</v>
      </c>
      <c r="F14710" t="s">
        <v>928</v>
      </c>
      <c r="G14710" t="s">
        <v>144</v>
      </c>
      <c r="H14710">
        <v>58436</v>
      </c>
      <c r="I14710" t="s">
        <v>30</v>
      </c>
      <c r="J14710" t="s">
        <v>111</v>
      </c>
      <c r="K14710" t="s">
        <v>112</v>
      </c>
      <c r="Q14710">
        <v>0</v>
      </c>
      <c r="R14710">
        <v>0</v>
      </c>
      <c r="S14710">
        <v>0</v>
      </c>
      <c r="T14710" t="s">
        <v>51502</v>
      </c>
    </row>
    <row r="14711" spans="1:20" customFormat="1" ht="15" x14ac:dyDescent="0.25">
      <c r="A14711" t="s">
        <v>35</v>
      </c>
      <c r="B14711" t="s">
        <v>106</v>
      </c>
      <c r="C14711" t="str">
        <f>"A0135312"</f>
        <v>A0135312</v>
      </c>
      <c r="D14711" t="s">
        <v>51505</v>
      </c>
      <c r="E14711" t="s">
        <v>51501</v>
      </c>
      <c r="F14711" t="s">
        <v>928</v>
      </c>
      <c r="G14711" t="s">
        <v>144</v>
      </c>
      <c r="H14711">
        <v>58436</v>
      </c>
      <c r="I14711" t="s">
        <v>30</v>
      </c>
      <c r="J14711" t="s">
        <v>111</v>
      </c>
      <c r="K14711" t="s">
        <v>112</v>
      </c>
      <c r="Q14711">
        <v>0</v>
      </c>
      <c r="R14711">
        <v>0</v>
      </c>
      <c r="S14711">
        <v>0</v>
      </c>
      <c r="T14711" t="s">
        <v>51502</v>
      </c>
    </row>
    <row r="14712" spans="1:20" customFormat="1" ht="15" x14ac:dyDescent="0.25">
      <c r="A14712" t="s">
        <v>35</v>
      </c>
      <c r="B14712" t="s">
        <v>61</v>
      </c>
      <c r="C14712" t="str">
        <f>"A0129884"</f>
        <v>A0129884</v>
      </c>
      <c r="D14712" t="s">
        <v>51506</v>
      </c>
      <c r="E14712" t="s">
        <v>51507</v>
      </c>
      <c r="F14712" t="s">
        <v>51508</v>
      </c>
      <c r="G14712" t="s">
        <v>880</v>
      </c>
      <c r="H14712">
        <v>377719999</v>
      </c>
      <c r="I14712" t="s">
        <v>30</v>
      </c>
      <c r="J14712" t="s">
        <v>41</v>
      </c>
      <c r="K14712" t="s">
        <v>229</v>
      </c>
      <c r="Q14712">
        <v>0</v>
      </c>
      <c r="R14712">
        <v>104</v>
      </c>
      <c r="S14712">
        <v>104</v>
      </c>
      <c r="T14712" t="s">
        <v>51509</v>
      </c>
    </row>
    <row r="14713" spans="1:20" customFormat="1" ht="15" x14ac:dyDescent="0.25">
      <c r="A14713" t="s">
        <v>35</v>
      </c>
      <c r="B14713" t="s">
        <v>61</v>
      </c>
      <c r="C14713" t="str">
        <f>"A0151003"</f>
        <v>A0151003</v>
      </c>
      <c r="D14713" t="s">
        <v>51510</v>
      </c>
      <c r="E14713" t="s">
        <v>51511</v>
      </c>
      <c r="F14713" t="s">
        <v>436</v>
      </c>
      <c r="G14713" t="s">
        <v>433</v>
      </c>
      <c r="H14713">
        <v>83713</v>
      </c>
      <c r="I14713" t="s">
        <v>30</v>
      </c>
      <c r="J14713" t="s">
        <v>41</v>
      </c>
      <c r="K14713" t="s">
        <v>482</v>
      </c>
      <c r="Q14713">
        <v>0</v>
      </c>
      <c r="R14713">
        <v>10</v>
      </c>
      <c r="S14713">
        <v>10</v>
      </c>
      <c r="T14713" t="s">
        <v>51495</v>
      </c>
    </row>
    <row r="14714" spans="1:20" customFormat="1" ht="15" x14ac:dyDescent="0.25">
      <c r="A14714" t="s">
        <v>35</v>
      </c>
      <c r="B14714" t="s">
        <v>106</v>
      </c>
      <c r="C14714" t="str">
        <f>"A0135390"</f>
        <v>A0135390</v>
      </c>
      <c r="D14714" t="s">
        <v>51512</v>
      </c>
      <c r="E14714" t="s">
        <v>51513</v>
      </c>
      <c r="F14714" t="s">
        <v>1755</v>
      </c>
      <c r="G14714" t="s">
        <v>289</v>
      </c>
      <c r="H14714">
        <v>62704</v>
      </c>
      <c r="I14714" t="s">
        <v>30</v>
      </c>
      <c r="J14714" t="s">
        <v>111</v>
      </c>
      <c r="K14714" t="s">
        <v>112</v>
      </c>
      <c r="Q14714">
        <v>0</v>
      </c>
      <c r="R14714">
        <v>0</v>
      </c>
      <c r="S14714">
        <v>0</v>
      </c>
      <c r="T14714" t="s">
        <v>51514</v>
      </c>
    </row>
    <row r="14715" spans="1:20" customFormat="1" ht="15" x14ac:dyDescent="0.25">
      <c r="A14715" t="s">
        <v>35</v>
      </c>
      <c r="B14715" t="s">
        <v>61</v>
      </c>
      <c r="C14715" t="str">
        <f>"A0123944"</f>
        <v>A0123944</v>
      </c>
      <c r="D14715" t="s">
        <v>51515</v>
      </c>
      <c r="E14715" t="s">
        <v>51516</v>
      </c>
      <c r="F14715" t="s">
        <v>20330</v>
      </c>
      <c r="G14715" t="s">
        <v>29</v>
      </c>
      <c r="H14715">
        <v>229012309</v>
      </c>
      <c r="I14715" t="s">
        <v>30</v>
      </c>
      <c r="J14715" t="s">
        <v>41</v>
      </c>
      <c r="K14715" t="s">
        <v>229</v>
      </c>
      <c r="Q14715">
        <v>0</v>
      </c>
      <c r="R14715">
        <v>180</v>
      </c>
      <c r="S14715">
        <v>180</v>
      </c>
      <c r="T14715" t="s">
        <v>51517</v>
      </c>
    </row>
    <row r="14716" spans="1:20" customFormat="1" ht="15" x14ac:dyDescent="0.25">
      <c r="A14716" t="s">
        <v>35</v>
      </c>
      <c r="B14716" t="s">
        <v>61</v>
      </c>
      <c r="C14716" t="str">
        <f>"A0123945"</f>
        <v>A0123945</v>
      </c>
      <c r="D14716" t="s">
        <v>51518</v>
      </c>
      <c r="E14716" t="s">
        <v>45571</v>
      </c>
      <c r="F14716" t="s">
        <v>43497</v>
      </c>
      <c r="G14716" t="s">
        <v>29</v>
      </c>
      <c r="H14716">
        <v>239010487</v>
      </c>
      <c r="I14716" t="s">
        <v>30</v>
      </c>
      <c r="J14716" t="s">
        <v>41</v>
      </c>
      <c r="K14716" t="s">
        <v>229</v>
      </c>
      <c r="Q14716">
        <v>0</v>
      </c>
      <c r="R14716">
        <v>120</v>
      </c>
      <c r="S14716">
        <v>120</v>
      </c>
      <c r="T14716" t="s">
        <v>51519</v>
      </c>
    </row>
    <row r="14717" spans="1:20" customFormat="1" ht="15" x14ac:dyDescent="0.25">
      <c r="A14717" t="s">
        <v>35</v>
      </c>
      <c r="B14717" t="s">
        <v>61</v>
      </c>
      <c r="C14717" t="str">
        <f>"A0123946"</f>
        <v>A0123946</v>
      </c>
      <c r="D14717" t="s">
        <v>51520</v>
      </c>
      <c r="E14717" t="s">
        <v>51521</v>
      </c>
      <c r="F14717" t="s">
        <v>51522</v>
      </c>
      <c r="G14717" t="s">
        <v>29</v>
      </c>
      <c r="H14717">
        <v>243431633</v>
      </c>
      <c r="I14717" t="s">
        <v>30</v>
      </c>
      <c r="J14717" t="s">
        <v>41</v>
      </c>
      <c r="K14717" t="s">
        <v>229</v>
      </c>
      <c r="Q14717">
        <v>0</v>
      </c>
      <c r="R14717">
        <v>60</v>
      </c>
      <c r="S14717">
        <v>60</v>
      </c>
      <c r="T14717" t="s">
        <v>51523</v>
      </c>
    </row>
    <row r="14718" spans="1:20" customFormat="1" ht="15" x14ac:dyDescent="0.25">
      <c r="A14718" t="s">
        <v>35</v>
      </c>
      <c r="B14718" t="s">
        <v>61</v>
      </c>
      <c r="C14718" t="str">
        <f>"A0123587"</f>
        <v>A0123587</v>
      </c>
      <c r="D14718" t="s">
        <v>51524</v>
      </c>
      <c r="E14718" t="s">
        <v>51525</v>
      </c>
      <c r="F14718" t="s">
        <v>26644</v>
      </c>
      <c r="G14718" t="s">
        <v>29</v>
      </c>
      <c r="H14718" t="s">
        <v>51526</v>
      </c>
      <c r="I14718" t="s">
        <v>30</v>
      </c>
      <c r="J14718" t="s">
        <v>41</v>
      </c>
      <c r="K14718" t="s">
        <v>229</v>
      </c>
      <c r="Q14718">
        <v>0</v>
      </c>
      <c r="R14718">
        <v>180</v>
      </c>
      <c r="S14718">
        <v>180</v>
      </c>
      <c r="T14718" t="s">
        <v>51527</v>
      </c>
    </row>
    <row r="14719" spans="1:20" customFormat="1" ht="15" x14ac:dyDescent="0.25">
      <c r="A14719" t="s">
        <v>35</v>
      </c>
      <c r="B14719" t="s">
        <v>61</v>
      </c>
      <c r="C14719" t="str">
        <f>"A0128543"</f>
        <v>A0128543</v>
      </c>
      <c r="D14719" t="s">
        <v>51528</v>
      </c>
      <c r="E14719" t="s">
        <v>51529</v>
      </c>
      <c r="F14719" t="s">
        <v>51530</v>
      </c>
      <c r="G14719" t="s">
        <v>840</v>
      </c>
      <c r="H14719">
        <v>411390000</v>
      </c>
      <c r="I14719" t="s">
        <v>30</v>
      </c>
      <c r="J14719" t="s">
        <v>41</v>
      </c>
      <c r="K14719" t="s">
        <v>59</v>
      </c>
      <c r="Q14719">
        <v>0</v>
      </c>
      <c r="R14719">
        <v>50</v>
      </c>
      <c r="S14719">
        <v>50</v>
      </c>
      <c r="T14719" t="s">
        <v>51531</v>
      </c>
    </row>
    <row r="14720" spans="1:20" customFormat="1" ht="15" x14ac:dyDescent="0.25">
      <c r="A14720" t="s">
        <v>35</v>
      </c>
      <c r="B14720" t="s">
        <v>61</v>
      </c>
      <c r="C14720" t="str">
        <f>"A0130417"</f>
        <v>A0130417</v>
      </c>
      <c r="D14720" t="s">
        <v>51532</v>
      </c>
      <c r="E14720" t="s">
        <v>51533</v>
      </c>
      <c r="F14720" t="s">
        <v>51534</v>
      </c>
      <c r="G14720" t="s">
        <v>1898</v>
      </c>
      <c r="H14720">
        <v>50676</v>
      </c>
      <c r="I14720" t="s">
        <v>30</v>
      </c>
      <c r="J14720" t="s">
        <v>41</v>
      </c>
      <c r="K14720" t="s">
        <v>229</v>
      </c>
      <c r="Q14720">
        <v>0</v>
      </c>
      <c r="R14720">
        <v>28</v>
      </c>
      <c r="S14720">
        <v>28</v>
      </c>
      <c r="T14720" t="s">
        <v>51535</v>
      </c>
    </row>
    <row r="14721" spans="1:20" customFormat="1" ht="15" x14ac:dyDescent="0.25">
      <c r="A14721" t="s">
        <v>35</v>
      </c>
      <c r="B14721" t="s">
        <v>61</v>
      </c>
      <c r="C14721" t="str">
        <f>"A0154059"</f>
        <v>A0154059</v>
      </c>
      <c r="D14721" t="s">
        <v>51536</v>
      </c>
      <c r="E14721" t="s">
        <v>51537</v>
      </c>
      <c r="F14721" t="s">
        <v>28312</v>
      </c>
      <c r="G14721" t="s">
        <v>117</v>
      </c>
      <c r="H14721">
        <v>49010</v>
      </c>
      <c r="I14721" t="s">
        <v>30</v>
      </c>
      <c r="J14721" t="s">
        <v>41</v>
      </c>
      <c r="K14721" t="s">
        <v>42</v>
      </c>
      <c r="Q14721">
        <v>0</v>
      </c>
      <c r="R14721">
        <v>0</v>
      </c>
      <c r="S14721">
        <v>0</v>
      </c>
      <c r="T14721" t="s">
        <v>51538</v>
      </c>
    </row>
    <row r="14722" spans="1:20" customFormat="1" ht="15" x14ac:dyDescent="0.25">
      <c r="A14722" t="s">
        <v>35</v>
      </c>
      <c r="B14722" t="s">
        <v>61</v>
      </c>
      <c r="C14722" t="str">
        <f>"A0151190"</f>
        <v>A0151190</v>
      </c>
      <c r="D14722" t="s">
        <v>51539</v>
      </c>
      <c r="E14722" t="s">
        <v>51540</v>
      </c>
      <c r="F14722" t="s">
        <v>51541</v>
      </c>
      <c r="G14722" t="s">
        <v>65</v>
      </c>
      <c r="H14722">
        <v>43952</v>
      </c>
      <c r="I14722" t="s">
        <v>30</v>
      </c>
      <c r="J14722" t="s">
        <v>41</v>
      </c>
      <c r="K14722" t="s">
        <v>42</v>
      </c>
      <c r="Q14722">
        <v>0</v>
      </c>
      <c r="R14722">
        <v>0</v>
      </c>
      <c r="S14722">
        <v>0</v>
      </c>
      <c r="T14722" t="s">
        <v>51542</v>
      </c>
    </row>
    <row r="14723" spans="1:20" customFormat="1" ht="15" x14ac:dyDescent="0.25">
      <c r="A14723" t="s">
        <v>35</v>
      </c>
      <c r="B14723" t="s">
        <v>61</v>
      </c>
      <c r="C14723" t="str">
        <f>"A0130105"</f>
        <v>A0130105</v>
      </c>
      <c r="D14723" t="s">
        <v>51543</v>
      </c>
      <c r="E14723" t="s">
        <v>51544</v>
      </c>
      <c r="F14723" t="s">
        <v>2739</v>
      </c>
      <c r="G14723" t="s">
        <v>880</v>
      </c>
      <c r="H14723">
        <v>37074</v>
      </c>
      <c r="I14723" t="s">
        <v>30</v>
      </c>
      <c r="J14723" t="s">
        <v>41</v>
      </c>
      <c r="K14723" t="s">
        <v>59</v>
      </c>
      <c r="Q14723">
        <v>0</v>
      </c>
      <c r="R14723">
        <v>40</v>
      </c>
      <c r="S14723">
        <v>40</v>
      </c>
      <c r="T14723" t="s">
        <v>51545</v>
      </c>
    </row>
    <row r="14724" spans="1:20" customFormat="1" ht="15" x14ac:dyDescent="0.25">
      <c r="A14724" t="s">
        <v>35</v>
      </c>
      <c r="B14724" t="s">
        <v>61</v>
      </c>
      <c r="C14724" t="str">
        <f>"A0124466"</f>
        <v>A0124466</v>
      </c>
      <c r="D14724" t="s">
        <v>51546</v>
      </c>
      <c r="E14724" t="s">
        <v>51547</v>
      </c>
      <c r="F14724" t="s">
        <v>4770</v>
      </c>
      <c r="G14724" t="s">
        <v>1706</v>
      </c>
      <c r="H14724">
        <v>36079</v>
      </c>
      <c r="I14724" t="s">
        <v>30</v>
      </c>
      <c r="J14724" t="s">
        <v>41</v>
      </c>
      <c r="K14724" t="s">
        <v>229</v>
      </c>
      <c r="Q14724">
        <v>0</v>
      </c>
      <c r="R14724">
        <v>176</v>
      </c>
      <c r="S14724">
        <v>176</v>
      </c>
      <c r="T14724" t="s">
        <v>51548</v>
      </c>
    </row>
    <row r="14725" spans="1:20" customFormat="1" ht="15" x14ac:dyDescent="0.25">
      <c r="A14725" t="s">
        <v>35</v>
      </c>
      <c r="B14725" t="s">
        <v>61</v>
      </c>
      <c r="C14725" t="str">
        <f>"A0131308"</f>
        <v>A0131308</v>
      </c>
      <c r="D14725" t="s">
        <v>51549</v>
      </c>
      <c r="E14725" t="s">
        <v>51550</v>
      </c>
      <c r="F14725" t="s">
        <v>8703</v>
      </c>
      <c r="G14725" t="s">
        <v>137</v>
      </c>
      <c r="H14725">
        <v>641390000</v>
      </c>
      <c r="I14725" t="s">
        <v>30</v>
      </c>
      <c r="J14725" t="s">
        <v>41</v>
      </c>
      <c r="K14725" t="s">
        <v>3713</v>
      </c>
      <c r="Q14725">
        <v>0</v>
      </c>
      <c r="R14725">
        <v>112</v>
      </c>
      <c r="S14725">
        <v>112</v>
      </c>
      <c r="T14725" t="s">
        <v>51551</v>
      </c>
    </row>
    <row r="14726" spans="1:20" customFormat="1" ht="15" x14ac:dyDescent="0.25">
      <c r="A14726" t="s">
        <v>35</v>
      </c>
      <c r="B14726" t="s">
        <v>61</v>
      </c>
      <c r="C14726" t="str">
        <f>"A0124876"</f>
        <v>A0124876</v>
      </c>
      <c r="D14726" t="s">
        <v>51552</v>
      </c>
      <c r="E14726" t="s">
        <v>51553</v>
      </c>
      <c r="F14726" t="s">
        <v>51554</v>
      </c>
      <c r="G14726" t="s">
        <v>214</v>
      </c>
      <c r="H14726">
        <v>28719</v>
      </c>
      <c r="I14726" t="s">
        <v>30</v>
      </c>
      <c r="J14726" t="s">
        <v>41</v>
      </c>
      <c r="K14726" t="s">
        <v>229</v>
      </c>
      <c r="Q14726">
        <v>0</v>
      </c>
      <c r="R14726">
        <v>72</v>
      </c>
      <c r="S14726">
        <v>72</v>
      </c>
      <c r="T14726" t="s">
        <v>51555</v>
      </c>
    </row>
    <row r="14727" spans="1:20" customFormat="1" ht="15" x14ac:dyDescent="0.25">
      <c r="A14727" t="s">
        <v>35</v>
      </c>
      <c r="B14727" t="s">
        <v>437</v>
      </c>
      <c r="C14727" t="str">
        <f>"A0133861"</f>
        <v>A0133861</v>
      </c>
      <c r="D14727" t="s">
        <v>51556</v>
      </c>
      <c r="E14727" t="s">
        <v>51557</v>
      </c>
      <c r="F14727" t="s">
        <v>14714</v>
      </c>
      <c r="G14727" t="s">
        <v>110</v>
      </c>
      <c r="H14727">
        <v>92649</v>
      </c>
      <c r="I14727" t="s">
        <v>30</v>
      </c>
      <c r="J14727" t="s">
        <v>441</v>
      </c>
      <c r="K14727" t="s">
        <v>442</v>
      </c>
      <c r="Q14727">
        <v>0</v>
      </c>
      <c r="R14727">
        <v>0</v>
      </c>
      <c r="S14727">
        <v>0</v>
      </c>
      <c r="T14727" t="s">
        <v>51558</v>
      </c>
    </row>
    <row r="14728" spans="1:20" customFormat="1" ht="15" x14ac:dyDescent="0.25">
      <c r="A14728" t="s">
        <v>35</v>
      </c>
      <c r="B14728" t="s">
        <v>61</v>
      </c>
      <c r="C14728" t="str">
        <f>"A0130258"</f>
        <v>A0130258</v>
      </c>
      <c r="D14728" t="s">
        <v>51559</v>
      </c>
      <c r="E14728" t="s">
        <v>51560</v>
      </c>
      <c r="F14728" t="s">
        <v>36996</v>
      </c>
      <c r="G14728" t="s">
        <v>161</v>
      </c>
      <c r="H14728">
        <v>56138</v>
      </c>
      <c r="I14728" t="s">
        <v>30</v>
      </c>
      <c r="J14728" t="s">
        <v>41</v>
      </c>
      <c r="K14728" t="s">
        <v>229</v>
      </c>
      <c r="Q14728">
        <v>0</v>
      </c>
      <c r="R14728">
        <v>69</v>
      </c>
      <c r="S14728">
        <v>69</v>
      </c>
      <c r="T14728" t="s">
        <v>51561</v>
      </c>
    </row>
    <row r="14729" spans="1:20" customFormat="1" ht="15" x14ac:dyDescent="0.25">
      <c r="A14729" t="s">
        <v>35</v>
      </c>
      <c r="B14729" t="s">
        <v>61</v>
      </c>
      <c r="C14729" t="str">
        <f>"A0132338"</f>
        <v>A0132338</v>
      </c>
      <c r="D14729" t="s">
        <v>51562</v>
      </c>
      <c r="E14729" t="s">
        <v>51563</v>
      </c>
      <c r="F14729" t="s">
        <v>51564</v>
      </c>
      <c r="G14729" t="s">
        <v>65</v>
      </c>
      <c r="H14729">
        <v>44514</v>
      </c>
      <c r="I14729" t="s">
        <v>30</v>
      </c>
      <c r="J14729" t="s">
        <v>41</v>
      </c>
      <c r="K14729" t="s">
        <v>131</v>
      </c>
      <c r="Q14729">
        <v>0</v>
      </c>
      <c r="R14729">
        <v>24</v>
      </c>
      <c r="S14729">
        <v>24</v>
      </c>
      <c r="T14729" t="s">
        <v>51565</v>
      </c>
    </row>
    <row r="14730" spans="1:20" customFormat="1" ht="15" x14ac:dyDescent="0.25">
      <c r="A14730" t="s">
        <v>35</v>
      </c>
      <c r="B14730" t="s">
        <v>106</v>
      </c>
      <c r="C14730" t="str">
        <f>"A0135350"</f>
        <v>A0135350</v>
      </c>
      <c r="D14730" t="s">
        <v>51566</v>
      </c>
      <c r="E14730" t="s">
        <v>51567</v>
      </c>
      <c r="F14730" t="s">
        <v>14856</v>
      </c>
      <c r="G14730" t="s">
        <v>110</v>
      </c>
      <c r="H14730">
        <v>92612</v>
      </c>
      <c r="I14730" t="s">
        <v>30</v>
      </c>
      <c r="J14730" t="s">
        <v>111</v>
      </c>
      <c r="K14730" t="s">
        <v>112</v>
      </c>
      <c r="Q14730">
        <v>0</v>
      </c>
      <c r="R14730">
        <v>0</v>
      </c>
      <c r="S14730">
        <v>0</v>
      </c>
      <c r="T14730" t="s">
        <v>51568</v>
      </c>
    </row>
    <row r="14731" spans="1:20" customFormat="1" ht="15" x14ac:dyDescent="0.25">
      <c r="A14731" t="s">
        <v>35</v>
      </c>
      <c r="B14731" t="s">
        <v>61</v>
      </c>
      <c r="C14731" t="str">
        <f>"A0131786"</f>
        <v>A0131786</v>
      </c>
      <c r="D14731" t="s">
        <v>51569</v>
      </c>
      <c r="E14731" t="s">
        <v>51570</v>
      </c>
      <c r="F14731" t="s">
        <v>531</v>
      </c>
      <c r="G14731" t="s">
        <v>65</v>
      </c>
      <c r="H14731">
        <v>44622</v>
      </c>
      <c r="I14731" t="s">
        <v>30</v>
      </c>
      <c r="J14731" t="s">
        <v>41</v>
      </c>
      <c r="K14731" t="s">
        <v>2760</v>
      </c>
      <c r="Q14731">
        <v>0</v>
      </c>
      <c r="R14731">
        <v>1</v>
      </c>
      <c r="S14731">
        <v>1</v>
      </c>
      <c r="T14731" t="s">
        <v>51571</v>
      </c>
    </row>
    <row r="14732" spans="1:20" customFormat="1" ht="15" x14ac:dyDescent="0.25">
      <c r="A14732" t="s">
        <v>35</v>
      </c>
      <c r="B14732" t="s">
        <v>437</v>
      </c>
      <c r="C14732" t="str">
        <f>"A0134069"</f>
        <v>A0134069</v>
      </c>
      <c r="D14732" t="s">
        <v>51572</v>
      </c>
      <c r="E14732" t="s">
        <v>51573</v>
      </c>
      <c r="F14732" t="s">
        <v>33716</v>
      </c>
      <c r="G14732" t="s">
        <v>110</v>
      </c>
      <c r="H14732">
        <v>92629</v>
      </c>
      <c r="I14732" t="s">
        <v>30</v>
      </c>
      <c r="J14732" t="s">
        <v>441</v>
      </c>
      <c r="K14732" t="s">
        <v>442</v>
      </c>
      <c r="Q14732">
        <v>0</v>
      </c>
      <c r="R14732">
        <v>0</v>
      </c>
      <c r="S14732">
        <v>0</v>
      </c>
      <c r="T14732" t="s">
        <v>51574</v>
      </c>
    </row>
    <row r="14733" spans="1:20" customFormat="1" ht="15" x14ac:dyDescent="0.25">
      <c r="A14733" t="s">
        <v>35</v>
      </c>
      <c r="B14733" t="s">
        <v>61</v>
      </c>
      <c r="C14733" t="str">
        <f>"A0125379"</f>
        <v>A0125379</v>
      </c>
      <c r="D14733" t="s">
        <v>51575</v>
      </c>
      <c r="E14733" t="s">
        <v>51576</v>
      </c>
      <c r="F14733" t="s">
        <v>51577</v>
      </c>
      <c r="G14733" t="s">
        <v>40</v>
      </c>
      <c r="H14733">
        <v>73089</v>
      </c>
      <c r="I14733" t="s">
        <v>30</v>
      </c>
      <c r="J14733" t="s">
        <v>41</v>
      </c>
      <c r="K14733" t="s">
        <v>229</v>
      </c>
      <c r="Q14733">
        <v>0</v>
      </c>
      <c r="R14733">
        <v>44</v>
      </c>
      <c r="S14733">
        <v>44</v>
      </c>
      <c r="T14733" t="s">
        <v>51578</v>
      </c>
    </row>
    <row r="14734" spans="1:20" customFormat="1" ht="15" x14ac:dyDescent="0.25">
      <c r="A14734" t="s">
        <v>35</v>
      </c>
      <c r="B14734" t="s">
        <v>61</v>
      </c>
      <c r="C14734" t="str">
        <f>"A0130377"</f>
        <v>A0130377</v>
      </c>
      <c r="D14734" t="s">
        <v>51579</v>
      </c>
      <c r="E14734" t="s">
        <v>51580</v>
      </c>
      <c r="F14734" t="s">
        <v>51581</v>
      </c>
      <c r="G14734" t="s">
        <v>1898</v>
      </c>
      <c r="H14734">
        <v>51466</v>
      </c>
      <c r="I14734" t="s">
        <v>30</v>
      </c>
      <c r="J14734" t="s">
        <v>41</v>
      </c>
      <c r="K14734" t="s">
        <v>229</v>
      </c>
      <c r="Q14734">
        <v>0</v>
      </c>
      <c r="R14734">
        <v>88</v>
      </c>
      <c r="S14734">
        <v>88</v>
      </c>
      <c r="T14734" t="s">
        <v>51582</v>
      </c>
    </row>
    <row r="14735" spans="1:20" customFormat="1" ht="15" x14ac:dyDescent="0.25">
      <c r="A14735" t="s">
        <v>35</v>
      </c>
      <c r="B14735" t="s">
        <v>61</v>
      </c>
      <c r="C14735" t="str">
        <f>"A0117839"</f>
        <v>A0117839</v>
      </c>
      <c r="D14735" t="s">
        <v>51583</v>
      </c>
      <c r="E14735" t="s">
        <v>51584</v>
      </c>
      <c r="F14735" t="s">
        <v>6244</v>
      </c>
      <c r="G14735" t="s">
        <v>110</v>
      </c>
      <c r="H14735">
        <v>93727</v>
      </c>
      <c r="I14735" t="s">
        <v>30</v>
      </c>
      <c r="J14735" t="s">
        <v>41</v>
      </c>
      <c r="K14735" t="s">
        <v>229</v>
      </c>
      <c r="Q14735">
        <v>0</v>
      </c>
      <c r="R14735">
        <v>120</v>
      </c>
      <c r="S14735">
        <v>120</v>
      </c>
      <c r="T14735" t="s">
        <v>51585</v>
      </c>
    </row>
    <row r="14736" spans="1:20" customFormat="1" ht="15" x14ac:dyDescent="0.25">
      <c r="A14736" t="s">
        <v>35</v>
      </c>
      <c r="B14736" t="s">
        <v>61</v>
      </c>
      <c r="C14736" t="str">
        <f>"A0126394"</f>
        <v>A0126394</v>
      </c>
      <c r="D14736" t="s">
        <v>51586</v>
      </c>
      <c r="E14736" t="s">
        <v>51587</v>
      </c>
      <c r="F14736" t="s">
        <v>15052</v>
      </c>
      <c r="G14736" t="s">
        <v>81</v>
      </c>
      <c r="H14736">
        <v>35572</v>
      </c>
      <c r="I14736" t="s">
        <v>30</v>
      </c>
      <c r="J14736" t="s">
        <v>41</v>
      </c>
      <c r="K14736" t="s">
        <v>482</v>
      </c>
      <c r="Q14736">
        <v>0</v>
      </c>
      <c r="R14736">
        <v>92</v>
      </c>
      <c r="S14736">
        <v>92</v>
      </c>
      <c r="T14736" t="s">
        <v>51588</v>
      </c>
    </row>
    <row r="14737" spans="1:20" customFormat="1" ht="15" x14ac:dyDescent="0.25">
      <c r="A14737" t="s">
        <v>35</v>
      </c>
      <c r="B14737" t="s">
        <v>61</v>
      </c>
      <c r="C14737" t="str">
        <f>"A0123106"</f>
        <v>A0123106</v>
      </c>
      <c r="D14737" t="s">
        <v>51589</v>
      </c>
      <c r="E14737" t="s">
        <v>51590</v>
      </c>
      <c r="F14737" t="s">
        <v>18536</v>
      </c>
      <c r="G14737" t="s">
        <v>47</v>
      </c>
      <c r="H14737">
        <v>97502</v>
      </c>
      <c r="I14737" t="s">
        <v>30</v>
      </c>
      <c r="J14737" t="s">
        <v>41</v>
      </c>
      <c r="K14737" t="s">
        <v>59</v>
      </c>
      <c r="Q14737">
        <v>0</v>
      </c>
      <c r="R14737">
        <v>139</v>
      </c>
      <c r="S14737">
        <v>139</v>
      </c>
      <c r="T14737" t="s">
        <v>51591</v>
      </c>
    </row>
    <row r="14738" spans="1:20" customFormat="1" ht="15" x14ac:dyDescent="0.25">
      <c r="A14738" t="s">
        <v>35</v>
      </c>
      <c r="B14738" t="s">
        <v>61</v>
      </c>
      <c r="C14738" t="str">
        <f>"A0125103"</f>
        <v>A0125103</v>
      </c>
      <c r="D14738" t="s">
        <v>51592</v>
      </c>
      <c r="E14738" t="s">
        <v>51593</v>
      </c>
      <c r="F14738" t="s">
        <v>635</v>
      </c>
      <c r="G14738" t="s">
        <v>214</v>
      </c>
      <c r="H14738">
        <v>27215</v>
      </c>
      <c r="I14738" t="s">
        <v>30</v>
      </c>
      <c r="J14738" t="s">
        <v>41</v>
      </c>
      <c r="K14738" t="s">
        <v>1440</v>
      </c>
      <c r="Q14738">
        <v>0</v>
      </c>
      <c r="R14738">
        <v>572</v>
      </c>
      <c r="S14738">
        <v>572</v>
      </c>
      <c r="T14738" t="s">
        <v>51594</v>
      </c>
    </row>
    <row r="14739" spans="1:20" customFormat="1" ht="15" x14ac:dyDescent="0.25">
      <c r="A14739" t="s">
        <v>35</v>
      </c>
      <c r="B14739" t="s">
        <v>61</v>
      </c>
      <c r="C14739" t="str">
        <f>"A0130861"</f>
        <v>A0130861</v>
      </c>
      <c r="D14739" t="s">
        <v>51595</v>
      </c>
      <c r="E14739" t="s">
        <v>51596</v>
      </c>
      <c r="F14739" t="s">
        <v>51597</v>
      </c>
      <c r="G14739" t="s">
        <v>137</v>
      </c>
      <c r="H14739">
        <v>63385</v>
      </c>
      <c r="I14739" t="s">
        <v>30</v>
      </c>
      <c r="J14739" t="s">
        <v>41</v>
      </c>
      <c r="K14739" t="s">
        <v>229</v>
      </c>
      <c r="Q14739">
        <v>0</v>
      </c>
      <c r="R14739">
        <v>100</v>
      </c>
      <c r="S14739">
        <v>100</v>
      </c>
      <c r="T14739" t="s">
        <v>51598</v>
      </c>
    </row>
    <row r="14740" spans="1:20" customFormat="1" ht="15" x14ac:dyDescent="0.25">
      <c r="A14740" t="s">
        <v>35</v>
      </c>
      <c r="B14740" t="s">
        <v>61</v>
      </c>
      <c r="C14740" t="str">
        <f>"A0133325"</f>
        <v>A0133325</v>
      </c>
      <c r="D14740" t="s">
        <v>51599</v>
      </c>
      <c r="E14740" t="s">
        <v>51600</v>
      </c>
      <c r="F14740" t="s">
        <v>4645</v>
      </c>
      <c r="G14740" t="s">
        <v>52</v>
      </c>
      <c r="H14740">
        <v>757660000</v>
      </c>
      <c r="I14740" t="s">
        <v>30</v>
      </c>
      <c r="J14740" t="s">
        <v>41</v>
      </c>
      <c r="K14740" t="s">
        <v>229</v>
      </c>
      <c r="Q14740">
        <v>0</v>
      </c>
      <c r="R14740">
        <v>96</v>
      </c>
      <c r="S14740">
        <v>96</v>
      </c>
      <c r="T14740" t="s">
        <v>51601</v>
      </c>
    </row>
    <row r="14741" spans="1:20" customFormat="1" ht="15" x14ac:dyDescent="0.25">
      <c r="A14741" t="s">
        <v>35</v>
      </c>
      <c r="B14741" t="s">
        <v>61</v>
      </c>
      <c r="C14741" t="str">
        <f>"A0130874"</f>
        <v>A0130874</v>
      </c>
      <c r="D14741" t="s">
        <v>51602</v>
      </c>
      <c r="E14741" t="s">
        <v>51603</v>
      </c>
      <c r="F14741" t="s">
        <v>9679</v>
      </c>
      <c r="G14741" t="s">
        <v>137</v>
      </c>
      <c r="H14741">
        <v>633660000</v>
      </c>
      <c r="I14741" t="s">
        <v>30</v>
      </c>
      <c r="J14741" t="s">
        <v>41</v>
      </c>
      <c r="K14741" t="s">
        <v>229</v>
      </c>
      <c r="Q14741">
        <v>0</v>
      </c>
      <c r="R14741">
        <v>149</v>
      </c>
      <c r="S14741">
        <v>149</v>
      </c>
      <c r="T14741" t="s">
        <v>51604</v>
      </c>
    </row>
    <row r="14742" spans="1:20" customFormat="1" ht="15" x14ac:dyDescent="0.25">
      <c r="A14742" t="s">
        <v>35</v>
      </c>
      <c r="B14742" t="s">
        <v>61</v>
      </c>
      <c r="C14742" t="str">
        <f>"A0118994"</f>
        <v>A0118994</v>
      </c>
      <c r="D14742" t="s">
        <v>51605</v>
      </c>
      <c r="E14742" t="s">
        <v>51606</v>
      </c>
      <c r="F14742" t="s">
        <v>5742</v>
      </c>
      <c r="G14742" t="s">
        <v>110</v>
      </c>
      <c r="H14742">
        <v>95834</v>
      </c>
      <c r="I14742" t="s">
        <v>30</v>
      </c>
      <c r="J14742" t="s">
        <v>41</v>
      </c>
      <c r="K14742" t="s">
        <v>59</v>
      </c>
      <c r="Q14742">
        <v>0</v>
      </c>
      <c r="R14742">
        <v>48</v>
      </c>
      <c r="S14742">
        <v>48</v>
      </c>
      <c r="T14742" t="s">
        <v>51607</v>
      </c>
    </row>
    <row r="14743" spans="1:20" customFormat="1" ht="15" x14ac:dyDescent="0.25">
      <c r="A14743" t="s">
        <v>35</v>
      </c>
      <c r="B14743" t="s">
        <v>61</v>
      </c>
      <c r="C14743" t="str">
        <f>"A0124992"</f>
        <v>A0124992</v>
      </c>
      <c r="D14743" t="s">
        <v>51608</v>
      </c>
      <c r="E14743" t="s">
        <v>51609</v>
      </c>
      <c r="F14743" t="s">
        <v>26596</v>
      </c>
      <c r="G14743" t="s">
        <v>214</v>
      </c>
      <c r="H14743">
        <v>27312</v>
      </c>
      <c r="I14743" t="s">
        <v>30</v>
      </c>
      <c r="J14743" t="s">
        <v>41</v>
      </c>
      <c r="K14743" t="s">
        <v>59</v>
      </c>
      <c r="Q14743">
        <v>0</v>
      </c>
      <c r="R14743">
        <v>31</v>
      </c>
      <c r="S14743">
        <v>31</v>
      </c>
      <c r="T14743" t="s">
        <v>51610</v>
      </c>
    </row>
    <row r="14744" spans="1:20" customFormat="1" ht="15" x14ac:dyDescent="0.25">
      <c r="A14744" t="s">
        <v>35</v>
      </c>
      <c r="B14744" t="s">
        <v>61</v>
      </c>
      <c r="C14744" t="str">
        <f>"A0129316"</f>
        <v>A0129316</v>
      </c>
      <c r="D14744" t="s">
        <v>51611</v>
      </c>
      <c r="E14744" t="s">
        <v>51612</v>
      </c>
      <c r="F14744" t="s">
        <v>8647</v>
      </c>
      <c r="G14744" t="s">
        <v>289</v>
      </c>
      <c r="H14744">
        <v>62881</v>
      </c>
      <c r="I14744" t="s">
        <v>30</v>
      </c>
      <c r="J14744" t="s">
        <v>41</v>
      </c>
      <c r="K14744" t="s">
        <v>229</v>
      </c>
      <c r="Q14744">
        <v>0</v>
      </c>
      <c r="R14744">
        <v>73</v>
      </c>
      <c r="S14744">
        <v>73</v>
      </c>
      <c r="T14744" t="s">
        <v>51613</v>
      </c>
    </row>
    <row r="14745" spans="1:20" customFormat="1" ht="15" x14ac:dyDescent="0.25">
      <c r="A14745" t="s">
        <v>35</v>
      </c>
      <c r="B14745" t="s">
        <v>61</v>
      </c>
      <c r="C14745" t="str">
        <f>"A0128548"</f>
        <v>A0128548</v>
      </c>
      <c r="D14745" t="s">
        <v>51614</v>
      </c>
      <c r="E14745" t="s">
        <v>51615</v>
      </c>
      <c r="F14745" t="s">
        <v>839</v>
      </c>
      <c r="G14745" t="s">
        <v>840</v>
      </c>
      <c r="H14745">
        <v>40205</v>
      </c>
      <c r="I14745" t="s">
        <v>30</v>
      </c>
      <c r="J14745" t="s">
        <v>41</v>
      </c>
      <c r="K14745" t="s">
        <v>229</v>
      </c>
      <c r="Q14745">
        <v>0</v>
      </c>
      <c r="R14745">
        <v>107</v>
      </c>
      <c r="S14745">
        <v>107</v>
      </c>
      <c r="T14745" t="s">
        <v>51616</v>
      </c>
    </row>
    <row r="14746" spans="1:20" customFormat="1" ht="15" x14ac:dyDescent="0.25">
      <c r="A14746" t="s">
        <v>35</v>
      </c>
      <c r="B14746" t="s">
        <v>61</v>
      </c>
      <c r="C14746" t="str">
        <f>"A0123588"</f>
        <v>A0123588</v>
      </c>
      <c r="D14746" t="s">
        <v>51617</v>
      </c>
      <c r="E14746" t="s">
        <v>51618</v>
      </c>
      <c r="F14746" t="s">
        <v>1298</v>
      </c>
      <c r="G14746" t="s">
        <v>214</v>
      </c>
      <c r="H14746">
        <v>27925</v>
      </c>
      <c r="I14746" t="s">
        <v>30</v>
      </c>
      <c r="J14746" t="s">
        <v>41</v>
      </c>
      <c r="K14746" t="s">
        <v>482</v>
      </c>
      <c r="Q14746">
        <v>0</v>
      </c>
      <c r="R14746">
        <v>0</v>
      </c>
      <c r="S14746">
        <v>0</v>
      </c>
    </row>
    <row r="14747" spans="1:20" customFormat="1" ht="15" x14ac:dyDescent="0.25">
      <c r="A14747" t="s">
        <v>35</v>
      </c>
      <c r="B14747" t="s">
        <v>106</v>
      </c>
      <c r="C14747" t="str">
        <f>"A0136383"</f>
        <v>A0136383</v>
      </c>
      <c r="D14747" t="s">
        <v>51619</v>
      </c>
      <c r="E14747" t="s">
        <v>51620</v>
      </c>
      <c r="F14747" t="s">
        <v>22137</v>
      </c>
      <c r="G14747" t="s">
        <v>110</v>
      </c>
      <c r="H14747">
        <v>95616</v>
      </c>
      <c r="I14747" t="s">
        <v>30</v>
      </c>
      <c r="J14747" t="s">
        <v>111</v>
      </c>
      <c r="K14747" t="s">
        <v>10012</v>
      </c>
      <c r="Q14747">
        <v>0</v>
      </c>
      <c r="R14747">
        <v>0</v>
      </c>
      <c r="S14747">
        <v>0</v>
      </c>
      <c r="T14747" t="s">
        <v>36108</v>
      </c>
    </row>
    <row r="14748" spans="1:20" customFormat="1" ht="15" x14ac:dyDescent="0.25">
      <c r="A14748" t="s">
        <v>35</v>
      </c>
      <c r="B14748" t="s">
        <v>106</v>
      </c>
      <c r="C14748" t="str">
        <f>"A0136150"</f>
        <v>A0136150</v>
      </c>
      <c r="D14748" t="s">
        <v>51621</v>
      </c>
      <c r="E14748" t="s">
        <v>51622</v>
      </c>
      <c r="F14748" t="s">
        <v>7734</v>
      </c>
      <c r="G14748" t="s">
        <v>197</v>
      </c>
      <c r="H14748">
        <v>857210017</v>
      </c>
      <c r="I14748" t="s">
        <v>30</v>
      </c>
      <c r="J14748" t="s">
        <v>111</v>
      </c>
      <c r="K14748" t="s">
        <v>10012</v>
      </c>
      <c r="Q14748">
        <v>0</v>
      </c>
      <c r="R14748">
        <v>0</v>
      </c>
      <c r="S14748">
        <v>0</v>
      </c>
      <c r="T14748" t="s">
        <v>51623</v>
      </c>
    </row>
    <row r="14749" spans="1:20" customFormat="1" ht="15" x14ac:dyDescent="0.25">
      <c r="A14749" t="s">
        <v>35</v>
      </c>
      <c r="B14749" t="s">
        <v>106</v>
      </c>
      <c r="C14749" t="str">
        <f>"A0136151"</f>
        <v>A0136151</v>
      </c>
      <c r="D14749" t="s">
        <v>51624</v>
      </c>
      <c r="E14749" t="s">
        <v>51622</v>
      </c>
      <c r="F14749" t="s">
        <v>7734</v>
      </c>
      <c r="G14749" t="s">
        <v>197</v>
      </c>
      <c r="H14749">
        <v>857210017</v>
      </c>
      <c r="I14749" t="s">
        <v>30</v>
      </c>
      <c r="J14749" t="s">
        <v>111</v>
      </c>
      <c r="K14749" t="s">
        <v>10012</v>
      </c>
      <c r="Q14749">
        <v>0</v>
      </c>
      <c r="R14749">
        <v>0</v>
      </c>
      <c r="S14749">
        <v>0</v>
      </c>
      <c r="T14749" t="s">
        <v>51623</v>
      </c>
    </row>
    <row r="14750" spans="1:20" customFormat="1" ht="15" x14ac:dyDescent="0.25">
      <c r="A14750" t="s">
        <v>35</v>
      </c>
      <c r="B14750" t="s">
        <v>106</v>
      </c>
      <c r="C14750" t="str">
        <f>"A0136463"</f>
        <v>A0136463</v>
      </c>
      <c r="D14750" t="s">
        <v>51625</v>
      </c>
      <c r="E14750" t="s">
        <v>51626</v>
      </c>
      <c r="F14750" t="s">
        <v>25524</v>
      </c>
      <c r="G14750" t="s">
        <v>190</v>
      </c>
      <c r="H14750">
        <v>80309</v>
      </c>
      <c r="I14750" t="s">
        <v>30</v>
      </c>
      <c r="J14750" t="s">
        <v>111</v>
      </c>
      <c r="K14750" t="s">
        <v>112</v>
      </c>
      <c r="Q14750">
        <v>0</v>
      </c>
      <c r="R14750">
        <v>0</v>
      </c>
      <c r="S14750">
        <v>0</v>
      </c>
      <c r="T14750" t="s">
        <v>51627</v>
      </c>
    </row>
    <row r="14751" spans="1:20" customFormat="1" ht="15" x14ac:dyDescent="0.25">
      <c r="A14751" t="s">
        <v>35</v>
      </c>
      <c r="B14751" t="s">
        <v>106</v>
      </c>
      <c r="C14751" t="str">
        <f>"A0136467"</f>
        <v>A0136467</v>
      </c>
      <c r="D14751" t="s">
        <v>51628</v>
      </c>
      <c r="E14751" t="s">
        <v>51629</v>
      </c>
      <c r="F14751" t="s">
        <v>25524</v>
      </c>
      <c r="G14751" t="s">
        <v>190</v>
      </c>
      <c r="H14751">
        <v>80302</v>
      </c>
      <c r="I14751" t="s">
        <v>30</v>
      </c>
      <c r="J14751" t="s">
        <v>111</v>
      </c>
      <c r="K14751" t="s">
        <v>112</v>
      </c>
      <c r="Q14751">
        <v>0</v>
      </c>
      <c r="R14751">
        <v>0</v>
      </c>
      <c r="S14751">
        <v>0</v>
      </c>
      <c r="T14751" t="s">
        <v>51630</v>
      </c>
    </row>
    <row r="14752" spans="1:20" customFormat="1" ht="15" x14ac:dyDescent="0.25">
      <c r="A14752" t="s">
        <v>35</v>
      </c>
      <c r="B14752" t="s">
        <v>106</v>
      </c>
      <c r="C14752" t="str">
        <f>"A0136465"</f>
        <v>A0136465</v>
      </c>
      <c r="D14752" t="s">
        <v>51631</v>
      </c>
      <c r="E14752" t="s">
        <v>51632</v>
      </c>
      <c r="F14752" t="s">
        <v>25524</v>
      </c>
      <c r="G14752" t="s">
        <v>190</v>
      </c>
      <c r="H14752">
        <v>80309</v>
      </c>
      <c r="I14752" t="s">
        <v>30</v>
      </c>
      <c r="J14752" t="s">
        <v>111</v>
      </c>
      <c r="K14752" t="s">
        <v>112</v>
      </c>
      <c r="Q14752">
        <v>0</v>
      </c>
      <c r="R14752">
        <v>0</v>
      </c>
      <c r="S14752">
        <v>0</v>
      </c>
      <c r="T14752" t="s">
        <v>51633</v>
      </c>
    </row>
    <row r="14753" spans="1:20" customFormat="1" ht="15" x14ac:dyDescent="0.25">
      <c r="A14753" t="s">
        <v>35</v>
      </c>
      <c r="B14753" t="s">
        <v>106</v>
      </c>
      <c r="C14753" t="str">
        <f>"A0136464"</f>
        <v>A0136464</v>
      </c>
      <c r="D14753" t="s">
        <v>51634</v>
      </c>
      <c r="E14753" t="s">
        <v>51635</v>
      </c>
      <c r="F14753" t="s">
        <v>25524</v>
      </c>
      <c r="G14753" t="s">
        <v>190</v>
      </c>
      <c r="H14753">
        <v>80309</v>
      </c>
      <c r="I14753" t="s">
        <v>30</v>
      </c>
      <c r="J14753" t="s">
        <v>111</v>
      </c>
      <c r="K14753" t="s">
        <v>112</v>
      </c>
      <c r="Q14753">
        <v>0</v>
      </c>
      <c r="R14753">
        <v>0</v>
      </c>
      <c r="S14753">
        <v>0</v>
      </c>
      <c r="T14753" t="s">
        <v>51636</v>
      </c>
    </row>
    <row r="14754" spans="1:20" customFormat="1" ht="15" x14ac:dyDescent="0.25">
      <c r="A14754" t="s">
        <v>35</v>
      </c>
      <c r="B14754" t="s">
        <v>106</v>
      </c>
      <c r="C14754" t="str">
        <f>"A0136466"</f>
        <v>A0136466</v>
      </c>
      <c r="D14754" t="s">
        <v>51637</v>
      </c>
      <c r="E14754" t="s">
        <v>51638</v>
      </c>
      <c r="F14754" t="s">
        <v>25524</v>
      </c>
      <c r="G14754" t="s">
        <v>190</v>
      </c>
      <c r="H14754">
        <v>80302</v>
      </c>
      <c r="I14754" t="s">
        <v>30</v>
      </c>
      <c r="J14754" t="s">
        <v>111</v>
      </c>
      <c r="K14754" t="s">
        <v>112</v>
      </c>
      <c r="Q14754">
        <v>0</v>
      </c>
      <c r="R14754">
        <v>0</v>
      </c>
      <c r="S14754">
        <v>0</v>
      </c>
      <c r="T14754" t="s">
        <v>51639</v>
      </c>
    </row>
    <row r="14755" spans="1:20" customFormat="1" ht="15" x14ac:dyDescent="0.25">
      <c r="A14755" t="s">
        <v>35</v>
      </c>
      <c r="B14755" t="s">
        <v>106</v>
      </c>
      <c r="C14755" t="str">
        <f>"A0136469"</f>
        <v>A0136469</v>
      </c>
      <c r="D14755" t="s">
        <v>51640</v>
      </c>
      <c r="E14755" t="s">
        <v>51641</v>
      </c>
      <c r="F14755" t="s">
        <v>25524</v>
      </c>
      <c r="G14755" t="s">
        <v>190</v>
      </c>
      <c r="H14755">
        <v>80302</v>
      </c>
      <c r="I14755" t="s">
        <v>30</v>
      </c>
      <c r="J14755" t="s">
        <v>111</v>
      </c>
      <c r="K14755" t="s">
        <v>112</v>
      </c>
      <c r="Q14755">
        <v>0</v>
      </c>
      <c r="R14755">
        <v>0</v>
      </c>
      <c r="S14755">
        <v>0</v>
      </c>
      <c r="T14755" t="s">
        <v>51642</v>
      </c>
    </row>
    <row r="14756" spans="1:20" customFormat="1" ht="15" x14ac:dyDescent="0.25">
      <c r="A14756" t="s">
        <v>35</v>
      </c>
      <c r="B14756" t="s">
        <v>106</v>
      </c>
      <c r="C14756" t="str">
        <f>"A0136468"</f>
        <v>A0136468</v>
      </c>
      <c r="D14756" t="s">
        <v>51643</v>
      </c>
      <c r="E14756" t="s">
        <v>51644</v>
      </c>
      <c r="F14756" t="s">
        <v>51645</v>
      </c>
      <c r="G14756" t="s">
        <v>190</v>
      </c>
      <c r="H14756">
        <v>80302</v>
      </c>
      <c r="I14756" t="s">
        <v>30</v>
      </c>
      <c r="J14756" t="s">
        <v>111</v>
      </c>
      <c r="K14756" t="s">
        <v>112</v>
      </c>
      <c r="Q14756">
        <v>0</v>
      </c>
      <c r="R14756">
        <v>0</v>
      </c>
      <c r="S14756">
        <v>0</v>
      </c>
      <c r="T14756" t="s">
        <v>51646</v>
      </c>
    </row>
    <row r="14757" spans="1:20" customFormat="1" ht="15" x14ac:dyDescent="0.25">
      <c r="A14757" t="s">
        <v>35</v>
      </c>
      <c r="B14757" t="s">
        <v>106</v>
      </c>
      <c r="C14757" t="str">
        <f>"A0136460"</f>
        <v>A0136460</v>
      </c>
      <c r="D14757" t="s">
        <v>51647</v>
      </c>
      <c r="E14757" t="s">
        <v>51648</v>
      </c>
      <c r="F14757" t="s">
        <v>12384</v>
      </c>
      <c r="G14757" t="s">
        <v>190</v>
      </c>
      <c r="H14757">
        <v>80918</v>
      </c>
      <c r="I14757" t="s">
        <v>30</v>
      </c>
      <c r="J14757" t="s">
        <v>111</v>
      </c>
      <c r="K14757" t="s">
        <v>10012</v>
      </c>
      <c r="Q14757">
        <v>0</v>
      </c>
      <c r="R14757">
        <v>0</v>
      </c>
      <c r="S14757">
        <v>0</v>
      </c>
      <c r="T14757" t="s">
        <v>51649</v>
      </c>
    </row>
    <row r="14758" spans="1:20" customFormat="1" ht="15" x14ac:dyDescent="0.25">
      <c r="A14758" t="s">
        <v>35</v>
      </c>
      <c r="B14758" t="s">
        <v>106</v>
      </c>
      <c r="C14758" t="str">
        <f>"A0136499"</f>
        <v>A0136499</v>
      </c>
      <c r="D14758" t="s">
        <v>51650</v>
      </c>
      <c r="E14758" t="s">
        <v>51651</v>
      </c>
      <c r="F14758" t="s">
        <v>31809</v>
      </c>
      <c r="G14758" t="s">
        <v>615</v>
      </c>
      <c r="H14758">
        <v>6269</v>
      </c>
      <c r="I14758" t="s">
        <v>30</v>
      </c>
      <c r="J14758" t="s">
        <v>111</v>
      </c>
      <c r="K14758" t="s">
        <v>112</v>
      </c>
      <c r="Q14758">
        <v>0</v>
      </c>
      <c r="R14758">
        <v>0</v>
      </c>
      <c r="S14758">
        <v>0</v>
      </c>
      <c r="T14758" t="s">
        <v>51652</v>
      </c>
    </row>
    <row r="14759" spans="1:20" customFormat="1" ht="15" x14ac:dyDescent="0.25">
      <c r="A14759" t="s">
        <v>35</v>
      </c>
      <c r="B14759" t="s">
        <v>106</v>
      </c>
      <c r="C14759" t="str">
        <f>"A0136477"</f>
        <v>A0136477</v>
      </c>
      <c r="D14759" t="s">
        <v>51653</v>
      </c>
      <c r="E14759" t="s">
        <v>51654</v>
      </c>
      <c r="F14759" t="s">
        <v>31809</v>
      </c>
      <c r="G14759" t="s">
        <v>615</v>
      </c>
      <c r="H14759">
        <v>6268</v>
      </c>
      <c r="I14759" t="s">
        <v>30</v>
      </c>
      <c r="J14759" t="s">
        <v>111</v>
      </c>
      <c r="K14759" t="s">
        <v>10012</v>
      </c>
      <c r="Q14759">
        <v>0</v>
      </c>
      <c r="R14759">
        <v>0</v>
      </c>
      <c r="S14759">
        <v>0</v>
      </c>
      <c r="T14759" t="s">
        <v>51652</v>
      </c>
    </row>
    <row r="14760" spans="1:20" customFormat="1" ht="15" x14ac:dyDescent="0.25">
      <c r="A14760" t="s">
        <v>35</v>
      </c>
      <c r="B14760" t="s">
        <v>106</v>
      </c>
      <c r="C14760" t="str">
        <f>"A0136478"</f>
        <v>A0136478</v>
      </c>
      <c r="D14760" t="s">
        <v>51655</v>
      </c>
      <c r="E14760" t="s">
        <v>51654</v>
      </c>
      <c r="F14760" t="s">
        <v>31809</v>
      </c>
      <c r="G14760" t="s">
        <v>615</v>
      </c>
      <c r="H14760">
        <v>6268</v>
      </c>
      <c r="I14760" t="s">
        <v>30</v>
      </c>
      <c r="J14760" t="s">
        <v>111</v>
      </c>
      <c r="K14760" t="s">
        <v>10012</v>
      </c>
      <c r="Q14760">
        <v>0</v>
      </c>
      <c r="R14760">
        <v>0</v>
      </c>
      <c r="S14760">
        <v>0</v>
      </c>
      <c r="T14760" t="s">
        <v>51652</v>
      </c>
    </row>
    <row r="14761" spans="1:20" customFormat="1" ht="15" x14ac:dyDescent="0.25">
      <c r="A14761" t="s">
        <v>35</v>
      </c>
      <c r="B14761" t="s">
        <v>106</v>
      </c>
      <c r="C14761" t="str">
        <f>"A0136496"</f>
        <v>A0136496</v>
      </c>
      <c r="D14761" t="s">
        <v>51656</v>
      </c>
      <c r="E14761" t="s">
        <v>51654</v>
      </c>
      <c r="F14761" t="s">
        <v>31809</v>
      </c>
      <c r="G14761" t="s">
        <v>615</v>
      </c>
      <c r="H14761">
        <v>6268</v>
      </c>
      <c r="I14761" t="s">
        <v>30</v>
      </c>
      <c r="J14761" t="s">
        <v>111</v>
      </c>
      <c r="K14761" t="s">
        <v>10012</v>
      </c>
      <c r="Q14761">
        <v>0</v>
      </c>
      <c r="R14761">
        <v>0</v>
      </c>
      <c r="S14761">
        <v>0</v>
      </c>
      <c r="T14761" t="s">
        <v>51652</v>
      </c>
    </row>
    <row r="14762" spans="1:20" customFormat="1" ht="15" x14ac:dyDescent="0.25">
      <c r="A14762" t="s">
        <v>35</v>
      </c>
      <c r="B14762" t="s">
        <v>106</v>
      </c>
      <c r="C14762" t="str">
        <f>"A0136489"</f>
        <v>A0136489</v>
      </c>
      <c r="D14762" t="s">
        <v>51657</v>
      </c>
      <c r="E14762" t="s">
        <v>51654</v>
      </c>
      <c r="F14762" t="s">
        <v>31809</v>
      </c>
      <c r="G14762" t="s">
        <v>615</v>
      </c>
      <c r="H14762">
        <v>6268</v>
      </c>
      <c r="I14762" t="s">
        <v>30</v>
      </c>
      <c r="J14762" t="s">
        <v>111</v>
      </c>
      <c r="K14762" t="s">
        <v>10012</v>
      </c>
      <c r="Q14762">
        <v>0</v>
      </c>
      <c r="R14762">
        <v>0</v>
      </c>
      <c r="S14762">
        <v>0</v>
      </c>
      <c r="T14762" t="s">
        <v>51652</v>
      </c>
    </row>
    <row r="14763" spans="1:20" customFormat="1" ht="15" x14ac:dyDescent="0.25">
      <c r="A14763" t="s">
        <v>35</v>
      </c>
      <c r="B14763" t="s">
        <v>106</v>
      </c>
      <c r="C14763" t="str">
        <f>"A0136493"</f>
        <v>A0136493</v>
      </c>
      <c r="D14763" t="s">
        <v>51658</v>
      </c>
      <c r="E14763" t="s">
        <v>51654</v>
      </c>
      <c r="F14763" t="s">
        <v>31809</v>
      </c>
      <c r="G14763" t="s">
        <v>615</v>
      </c>
      <c r="H14763">
        <v>6268</v>
      </c>
      <c r="I14763" t="s">
        <v>30</v>
      </c>
      <c r="J14763" t="s">
        <v>111</v>
      </c>
      <c r="K14763" t="s">
        <v>10012</v>
      </c>
      <c r="Q14763">
        <v>0</v>
      </c>
      <c r="R14763">
        <v>0</v>
      </c>
      <c r="S14763">
        <v>0</v>
      </c>
      <c r="T14763" t="s">
        <v>51652</v>
      </c>
    </row>
    <row r="14764" spans="1:20" customFormat="1" ht="15" x14ac:dyDescent="0.25">
      <c r="A14764" t="s">
        <v>35</v>
      </c>
      <c r="B14764" t="s">
        <v>106</v>
      </c>
      <c r="C14764" t="str">
        <f>"A0136491"</f>
        <v>A0136491</v>
      </c>
      <c r="D14764" t="s">
        <v>51659</v>
      </c>
      <c r="E14764" t="s">
        <v>51654</v>
      </c>
      <c r="F14764" t="s">
        <v>31809</v>
      </c>
      <c r="G14764" t="s">
        <v>615</v>
      </c>
      <c r="H14764">
        <v>6268</v>
      </c>
      <c r="I14764" t="s">
        <v>30</v>
      </c>
      <c r="J14764" t="s">
        <v>111</v>
      </c>
      <c r="K14764" t="s">
        <v>10012</v>
      </c>
      <c r="Q14764">
        <v>0</v>
      </c>
      <c r="R14764">
        <v>0</v>
      </c>
      <c r="S14764">
        <v>0</v>
      </c>
      <c r="T14764" t="s">
        <v>51652</v>
      </c>
    </row>
    <row r="14765" spans="1:20" customFormat="1" ht="15" x14ac:dyDescent="0.25">
      <c r="A14765" t="s">
        <v>35</v>
      </c>
      <c r="B14765" t="s">
        <v>106</v>
      </c>
      <c r="C14765" t="str">
        <f>"A0136497"</f>
        <v>A0136497</v>
      </c>
      <c r="D14765" t="s">
        <v>51660</v>
      </c>
      <c r="E14765" t="s">
        <v>51661</v>
      </c>
      <c r="F14765" t="s">
        <v>31809</v>
      </c>
      <c r="G14765" t="s">
        <v>615</v>
      </c>
      <c r="H14765">
        <v>6268</v>
      </c>
      <c r="I14765" t="s">
        <v>30</v>
      </c>
      <c r="J14765" t="s">
        <v>111</v>
      </c>
      <c r="K14765" t="s">
        <v>10012</v>
      </c>
      <c r="Q14765">
        <v>0</v>
      </c>
      <c r="R14765">
        <v>0</v>
      </c>
      <c r="S14765">
        <v>0</v>
      </c>
      <c r="T14765" t="s">
        <v>51652</v>
      </c>
    </row>
    <row r="14766" spans="1:20" customFormat="1" ht="15" x14ac:dyDescent="0.25">
      <c r="A14766" t="s">
        <v>35</v>
      </c>
      <c r="B14766" t="s">
        <v>106</v>
      </c>
      <c r="C14766" t="str">
        <f>"A0136494"</f>
        <v>A0136494</v>
      </c>
      <c r="D14766" t="s">
        <v>51662</v>
      </c>
      <c r="E14766" t="s">
        <v>51654</v>
      </c>
      <c r="F14766" t="s">
        <v>31809</v>
      </c>
      <c r="G14766" t="s">
        <v>615</v>
      </c>
      <c r="H14766">
        <v>6268</v>
      </c>
      <c r="I14766" t="s">
        <v>30</v>
      </c>
      <c r="J14766" t="s">
        <v>111</v>
      </c>
      <c r="K14766" t="s">
        <v>10012</v>
      </c>
      <c r="Q14766">
        <v>0</v>
      </c>
      <c r="R14766">
        <v>0</v>
      </c>
      <c r="S14766">
        <v>0</v>
      </c>
      <c r="T14766" t="s">
        <v>51652</v>
      </c>
    </row>
    <row r="14767" spans="1:20" customFormat="1" ht="15" x14ac:dyDescent="0.25">
      <c r="A14767" t="s">
        <v>35</v>
      </c>
      <c r="B14767" t="s">
        <v>106</v>
      </c>
      <c r="C14767" t="str">
        <f>"A0136486"</f>
        <v>A0136486</v>
      </c>
      <c r="D14767" t="s">
        <v>51663</v>
      </c>
      <c r="E14767" t="s">
        <v>51654</v>
      </c>
      <c r="F14767" t="s">
        <v>31809</v>
      </c>
      <c r="G14767" t="s">
        <v>615</v>
      </c>
      <c r="H14767">
        <v>6268</v>
      </c>
      <c r="I14767" t="s">
        <v>30</v>
      </c>
      <c r="J14767" t="s">
        <v>111</v>
      </c>
      <c r="K14767" t="s">
        <v>10012</v>
      </c>
      <c r="Q14767">
        <v>0</v>
      </c>
      <c r="R14767">
        <v>0</v>
      </c>
      <c r="S14767">
        <v>0</v>
      </c>
      <c r="T14767" t="s">
        <v>51652</v>
      </c>
    </row>
    <row r="14768" spans="1:20" customFormat="1" ht="15" x14ac:dyDescent="0.25">
      <c r="A14768" t="s">
        <v>35</v>
      </c>
      <c r="B14768" t="s">
        <v>106</v>
      </c>
      <c r="C14768" t="str">
        <f>"A0136487"</f>
        <v>A0136487</v>
      </c>
      <c r="D14768" t="s">
        <v>51664</v>
      </c>
      <c r="E14768" t="s">
        <v>51654</v>
      </c>
      <c r="F14768" t="s">
        <v>31809</v>
      </c>
      <c r="G14768" t="s">
        <v>615</v>
      </c>
      <c r="H14768">
        <v>6268</v>
      </c>
      <c r="I14768" t="s">
        <v>30</v>
      </c>
      <c r="J14768" t="s">
        <v>111</v>
      </c>
      <c r="K14768" t="s">
        <v>10012</v>
      </c>
      <c r="Q14768">
        <v>0</v>
      </c>
      <c r="R14768">
        <v>0</v>
      </c>
      <c r="S14768">
        <v>0</v>
      </c>
      <c r="T14768" t="s">
        <v>51652</v>
      </c>
    </row>
    <row r="14769" spans="1:20" customFormat="1" ht="15" x14ac:dyDescent="0.25">
      <c r="A14769" t="s">
        <v>35</v>
      </c>
      <c r="B14769" t="s">
        <v>106</v>
      </c>
      <c r="C14769" t="str">
        <f>"A0136479"</f>
        <v>A0136479</v>
      </c>
      <c r="D14769" t="s">
        <v>51665</v>
      </c>
      <c r="E14769" t="s">
        <v>51654</v>
      </c>
      <c r="F14769" t="s">
        <v>31809</v>
      </c>
      <c r="G14769" t="s">
        <v>615</v>
      </c>
      <c r="H14769">
        <v>6268</v>
      </c>
      <c r="I14769" t="s">
        <v>30</v>
      </c>
      <c r="J14769" t="s">
        <v>111</v>
      </c>
      <c r="K14769" t="s">
        <v>10012</v>
      </c>
      <c r="Q14769">
        <v>0</v>
      </c>
      <c r="R14769">
        <v>0</v>
      </c>
      <c r="S14769">
        <v>0</v>
      </c>
      <c r="T14769" t="s">
        <v>51652</v>
      </c>
    </row>
    <row r="14770" spans="1:20" customFormat="1" ht="15" x14ac:dyDescent="0.25">
      <c r="A14770" t="s">
        <v>35</v>
      </c>
      <c r="B14770" t="s">
        <v>106</v>
      </c>
      <c r="C14770" t="str">
        <f>"A0136490"</f>
        <v>A0136490</v>
      </c>
      <c r="D14770" t="s">
        <v>51666</v>
      </c>
      <c r="E14770" t="s">
        <v>51654</v>
      </c>
      <c r="F14770" t="s">
        <v>31809</v>
      </c>
      <c r="G14770" t="s">
        <v>615</v>
      </c>
      <c r="H14770">
        <v>6268</v>
      </c>
      <c r="I14770" t="s">
        <v>30</v>
      </c>
      <c r="J14770" t="s">
        <v>111</v>
      </c>
      <c r="K14770" t="s">
        <v>10012</v>
      </c>
      <c r="Q14770">
        <v>0</v>
      </c>
      <c r="R14770">
        <v>0</v>
      </c>
      <c r="S14770">
        <v>0</v>
      </c>
      <c r="T14770" t="s">
        <v>51652</v>
      </c>
    </row>
    <row r="14771" spans="1:20" customFormat="1" ht="15" x14ac:dyDescent="0.25">
      <c r="A14771" t="s">
        <v>35</v>
      </c>
      <c r="B14771" t="s">
        <v>106</v>
      </c>
      <c r="C14771" t="str">
        <f>"A0136480"</f>
        <v>A0136480</v>
      </c>
      <c r="D14771" t="s">
        <v>51667</v>
      </c>
      <c r="E14771" t="s">
        <v>51654</v>
      </c>
      <c r="F14771" t="s">
        <v>31809</v>
      </c>
      <c r="G14771" t="s">
        <v>615</v>
      </c>
      <c r="H14771">
        <v>6268</v>
      </c>
      <c r="I14771" t="s">
        <v>30</v>
      </c>
      <c r="J14771" t="s">
        <v>111</v>
      </c>
      <c r="K14771" t="s">
        <v>10012</v>
      </c>
      <c r="Q14771">
        <v>0</v>
      </c>
      <c r="R14771">
        <v>0</v>
      </c>
      <c r="S14771">
        <v>0</v>
      </c>
      <c r="T14771" t="s">
        <v>51652</v>
      </c>
    </row>
    <row r="14772" spans="1:20" customFormat="1" ht="15" x14ac:dyDescent="0.25">
      <c r="A14772" t="s">
        <v>35</v>
      </c>
      <c r="B14772" t="s">
        <v>106</v>
      </c>
      <c r="C14772" t="str">
        <f>"A0136481"</f>
        <v>A0136481</v>
      </c>
      <c r="D14772" t="s">
        <v>51668</v>
      </c>
      <c r="E14772" t="s">
        <v>51654</v>
      </c>
      <c r="F14772" t="s">
        <v>31809</v>
      </c>
      <c r="G14772" t="s">
        <v>615</v>
      </c>
      <c r="H14772">
        <v>6268</v>
      </c>
      <c r="I14772" t="s">
        <v>30</v>
      </c>
      <c r="J14772" t="s">
        <v>111</v>
      </c>
      <c r="K14772" t="s">
        <v>10012</v>
      </c>
      <c r="Q14772">
        <v>0</v>
      </c>
      <c r="R14772">
        <v>0</v>
      </c>
      <c r="S14772">
        <v>0</v>
      </c>
      <c r="T14772" t="s">
        <v>51652</v>
      </c>
    </row>
    <row r="14773" spans="1:20" customFormat="1" ht="15" x14ac:dyDescent="0.25">
      <c r="A14773" t="s">
        <v>35</v>
      </c>
      <c r="B14773" t="s">
        <v>106</v>
      </c>
      <c r="C14773" t="str">
        <f>"A0136498"</f>
        <v>A0136498</v>
      </c>
      <c r="D14773" t="s">
        <v>51669</v>
      </c>
      <c r="E14773" t="s">
        <v>51661</v>
      </c>
      <c r="F14773" t="s">
        <v>31809</v>
      </c>
      <c r="G14773" t="s">
        <v>615</v>
      </c>
      <c r="H14773">
        <v>6269</v>
      </c>
      <c r="I14773" t="s">
        <v>30</v>
      </c>
      <c r="J14773" t="s">
        <v>111</v>
      </c>
      <c r="K14773" t="s">
        <v>10012</v>
      </c>
      <c r="Q14773">
        <v>0</v>
      </c>
      <c r="R14773">
        <v>0</v>
      </c>
      <c r="S14773">
        <v>0</v>
      </c>
      <c r="T14773" t="s">
        <v>51652</v>
      </c>
    </row>
    <row r="14774" spans="1:20" customFormat="1" ht="15" x14ac:dyDescent="0.25">
      <c r="A14774" t="s">
        <v>35</v>
      </c>
      <c r="B14774" t="s">
        <v>106</v>
      </c>
      <c r="C14774" t="str">
        <f>"A0136482"</f>
        <v>A0136482</v>
      </c>
      <c r="D14774" t="s">
        <v>51670</v>
      </c>
      <c r="E14774" t="s">
        <v>51654</v>
      </c>
      <c r="F14774" t="s">
        <v>31809</v>
      </c>
      <c r="G14774" t="s">
        <v>615</v>
      </c>
      <c r="H14774">
        <v>6268</v>
      </c>
      <c r="I14774" t="s">
        <v>30</v>
      </c>
      <c r="J14774" t="s">
        <v>111</v>
      </c>
      <c r="K14774" t="s">
        <v>10012</v>
      </c>
      <c r="Q14774">
        <v>0</v>
      </c>
      <c r="R14774">
        <v>0</v>
      </c>
      <c r="S14774">
        <v>0</v>
      </c>
      <c r="T14774" t="s">
        <v>51652</v>
      </c>
    </row>
    <row r="14775" spans="1:20" customFormat="1" ht="15" x14ac:dyDescent="0.25">
      <c r="A14775" t="s">
        <v>35</v>
      </c>
      <c r="B14775" t="s">
        <v>106</v>
      </c>
      <c r="C14775" t="str">
        <f>"A0136483"</f>
        <v>A0136483</v>
      </c>
      <c r="D14775" t="s">
        <v>51671</v>
      </c>
      <c r="E14775" t="s">
        <v>51654</v>
      </c>
      <c r="F14775" t="s">
        <v>31809</v>
      </c>
      <c r="G14775" t="s">
        <v>615</v>
      </c>
      <c r="H14775">
        <v>6268</v>
      </c>
      <c r="I14775" t="s">
        <v>30</v>
      </c>
      <c r="J14775" t="s">
        <v>111</v>
      </c>
      <c r="K14775" t="s">
        <v>10012</v>
      </c>
      <c r="Q14775">
        <v>0</v>
      </c>
      <c r="R14775">
        <v>0</v>
      </c>
      <c r="S14775">
        <v>0</v>
      </c>
      <c r="T14775" t="s">
        <v>51652</v>
      </c>
    </row>
    <row r="14776" spans="1:20" customFormat="1" ht="15" x14ac:dyDescent="0.25">
      <c r="A14776" t="s">
        <v>35</v>
      </c>
      <c r="B14776" t="s">
        <v>106</v>
      </c>
      <c r="C14776" t="str">
        <f>"A0136484"</f>
        <v>A0136484</v>
      </c>
      <c r="D14776" t="s">
        <v>51672</v>
      </c>
      <c r="E14776" t="s">
        <v>51654</v>
      </c>
      <c r="F14776" t="s">
        <v>31809</v>
      </c>
      <c r="G14776" t="s">
        <v>615</v>
      </c>
      <c r="H14776">
        <v>6268</v>
      </c>
      <c r="I14776" t="s">
        <v>30</v>
      </c>
      <c r="J14776" t="s">
        <v>111</v>
      </c>
      <c r="K14776" t="s">
        <v>10012</v>
      </c>
      <c r="Q14776">
        <v>0</v>
      </c>
      <c r="R14776">
        <v>0</v>
      </c>
      <c r="S14776">
        <v>0</v>
      </c>
      <c r="T14776" t="s">
        <v>51652</v>
      </c>
    </row>
    <row r="14777" spans="1:20" customFormat="1" ht="15" x14ac:dyDescent="0.25">
      <c r="A14777" t="s">
        <v>35</v>
      </c>
      <c r="B14777" t="s">
        <v>106</v>
      </c>
      <c r="C14777" t="str">
        <f>"A0136488"</f>
        <v>A0136488</v>
      </c>
      <c r="D14777" t="s">
        <v>51673</v>
      </c>
      <c r="E14777" t="s">
        <v>51654</v>
      </c>
      <c r="F14777" t="s">
        <v>31809</v>
      </c>
      <c r="G14777" t="s">
        <v>615</v>
      </c>
      <c r="H14777">
        <v>6268</v>
      </c>
      <c r="I14777" t="s">
        <v>30</v>
      </c>
      <c r="J14777" t="s">
        <v>111</v>
      </c>
      <c r="K14777" t="s">
        <v>10012</v>
      </c>
      <c r="Q14777">
        <v>0</v>
      </c>
      <c r="R14777">
        <v>0</v>
      </c>
      <c r="S14777">
        <v>0</v>
      </c>
      <c r="T14777" t="s">
        <v>51652</v>
      </c>
    </row>
    <row r="14778" spans="1:20" customFormat="1" ht="15" x14ac:dyDescent="0.25">
      <c r="A14778" t="s">
        <v>35</v>
      </c>
      <c r="B14778" t="s">
        <v>106</v>
      </c>
      <c r="C14778" t="str">
        <f>"A0136495"</f>
        <v>A0136495</v>
      </c>
      <c r="D14778" t="s">
        <v>51674</v>
      </c>
      <c r="E14778" t="s">
        <v>51654</v>
      </c>
      <c r="F14778" t="s">
        <v>31809</v>
      </c>
      <c r="G14778" t="s">
        <v>615</v>
      </c>
      <c r="H14778">
        <v>6268</v>
      </c>
      <c r="I14778" t="s">
        <v>30</v>
      </c>
      <c r="J14778" t="s">
        <v>111</v>
      </c>
      <c r="K14778" t="s">
        <v>10012</v>
      </c>
      <c r="Q14778">
        <v>0</v>
      </c>
      <c r="R14778">
        <v>0</v>
      </c>
      <c r="S14778">
        <v>0</v>
      </c>
      <c r="T14778" t="s">
        <v>51652</v>
      </c>
    </row>
    <row r="14779" spans="1:20" customFormat="1" ht="15" x14ac:dyDescent="0.25">
      <c r="A14779" t="s">
        <v>35</v>
      </c>
      <c r="B14779" t="s">
        <v>106</v>
      </c>
      <c r="C14779" t="str">
        <f>"A0136485"</f>
        <v>A0136485</v>
      </c>
      <c r="D14779" t="s">
        <v>51675</v>
      </c>
      <c r="E14779" t="s">
        <v>51654</v>
      </c>
      <c r="F14779" t="s">
        <v>31809</v>
      </c>
      <c r="G14779" t="s">
        <v>615</v>
      </c>
      <c r="H14779">
        <v>6268</v>
      </c>
      <c r="I14779" t="s">
        <v>30</v>
      </c>
      <c r="J14779" t="s">
        <v>111</v>
      </c>
      <c r="K14779" t="s">
        <v>10012</v>
      </c>
      <c r="Q14779">
        <v>0</v>
      </c>
      <c r="R14779">
        <v>0</v>
      </c>
      <c r="S14779">
        <v>0</v>
      </c>
      <c r="T14779" t="s">
        <v>51652</v>
      </c>
    </row>
    <row r="14780" spans="1:20" customFormat="1" ht="15" x14ac:dyDescent="0.25">
      <c r="A14780" t="s">
        <v>35</v>
      </c>
      <c r="B14780" t="s">
        <v>106</v>
      </c>
      <c r="C14780" t="str">
        <f>"A0136492"</f>
        <v>A0136492</v>
      </c>
      <c r="D14780" t="s">
        <v>51676</v>
      </c>
      <c r="E14780" t="s">
        <v>51654</v>
      </c>
      <c r="F14780" t="s">
        <v>31809</v>
      </c>
      <c r="G14780" t="s">
        <v>615</v>
      </c>
      <c r="H14780">
        <v>6268</v>
      </c>
      <c r="I14780" t="s">
        <v>30</v>
      </c>
      <c r="J14780" t="s">
        <v>111</v>
      </c>
      <c r="K14780" t="s">
        <v>10012</v>
      </c>
      <c r="Q14780">
        <v>0</v>
      </c>
      <c r="R14780">
        <v>0</v>
      </c>
      <c r="S14780">
        <v>0</v>
      </c>
      <c r="T14780" t="s">
        <v>51652</v>
      </c>
    </row>
    <row r="14781" spans="1:20" customFormat="1" ht="15" x14ac:dyDescent="0.25">
      <c r="A14781" t="s">
        <v>35</v>
      </c>
      <c r="B14781" t="s">
        <v>106</v>
      </c>
      <c r="C14781" t="str">
        <f>"A0135858"</f>
        <v>A0135858</v>
      </c>
      <c r="D14781" t="s">
        <v>51677</v>
      </c>
      <c r="E14781" t="s">
        <v>51678</v>
      </c>
      <c r="F14781" t="s">
        <v>24534</v>
      </c>
      <c r="G14781" t="s">
        <v>1184</v>
      </c>
      <c r="H14781">
        <v>59812</v>
      </c>
      <c r="I14781" t="s">
        <v>30</v>
      </c>
      <c r="J14781" t="s">
        <v>111</v>
      </c>
      <c r="K14781" t="s">
        <v>112</v>
      </c>
      <c r="Q14781">
        <v>0</v>
      </c>
      <c r="R14781">
        <v>0</v>
      </c>
      <c r="S14781">
        <v>0</v>
      </c>
      <c r="T14781" t="s">
        <v>51679</v>
      </c>
    </row>
    <row r="14782" spans="1:20" customFormat="1" ht="15" x14ac:dyDescent="0.25">
      <c r="A14782" t="s">
        <v>35</v>
      </c>
      <c r="B14782" t="s">
        <v>106</v>
      </c>
      <c r="C14782" t="str">
        <f>"A0135859"</f>
        <v>A0135859</v>
      </c>
      <c r="D14782" t="s">
        <v>51680</v>
      </c>
      <c r="E14782" t="s">
        <v>51681</v>
      </c>
      <c r="F14782" t="s">
        <v>24534</v>
      </c>
      <c r="G14782" t="s">
        <v>1184</v>
      </c>
      <c r="H14782">
        <v>59812</v>
      </c>
      <c r="I14782" t="s">
        <v>30</v>
      </c>
      <c r="J14782" t="s">
        <v>111</v>
      </c>
      <c r="K14782" t="s">
        <v>112</v>
      </c>
      <c r="Q14782">
        <v>0</v>
      </c>
      <c r="R14782">
        <v>0</v>
      </c>
      <c r="S14782">
        <v>0</v>
      </c>
      <c r="T14782" t="s">
        <v>51679</v>
      </c>
    </row>
    <row r="14783" spans="1:20" customFormat="1" ht="15" x14ac:dyDescent="0.25">
      <c r="A14783" t="s">
        <v>35</v>
      </c>
      <c r="B14783" t="s">
        <v>106</v>
      </c>
      <c r="C14783" t="str">
        <f>"A0135860"</f>
        <v>A0135860</v>
      </c>
      <c r="D14783" t="s">
        <v>51682</v>
      </c>
      <c r="E14783" t="s">
        <v>51683</v>
      </c>
      <c r="F14783" t="s">
        <v>24534</v>
      </c>
      <c r="G14783" t="s">
        <v>1184</v>
      </c>
      <c r="H14783">
        <v>59812</v>
      </c>
      <c r="I14783" t="s">
        <v>30</v>
      </c>
      <c r="J14783" t="s">
        <v>111</v>
      </c>
      <c r="K14783" t="s">
        <v>112</v>
      </c>
      <c r="Q14783">
        <v>0</v>
      </c>
      <c r="R14783">
        <v>0</v>
      </c>
      <c r="S14783">
        <v>0</v>
      </c>
      <c r="T14783" t="s">
        <v>51679</v>
      </c>
    </row>
    <row r="14784" spans="1:20" customFormat="1" ht="15" x14ac:dyDescent="0.25">
      <c r="A14784" t="s">
        <v>35</v>
      </c>
      <c r="B14784" t="s">
        <v>106</v>
      </c>
      <c r="C14784" t="str">
        <f>"A0135861"</f>
        <v>A0135861</v>
      </c>
      <c r="D14784" t="s">
        <v>51684</v>
      </c>
      <c r="E14784" t="s">
        <v>51678</v>
      </c>
      <c r="F14784" t="s">
        <v>24534</v>
      </c>
      <c r="G14784" t="s">
        <v>1184</v>
      </c>
      <c r="H14784">
        <v>59812</v>
      </c>
      <c r="I14784" t="s">
        <v>30</v>
      </c>
      <c r="J14784" t="s">
        <v>111</v>
      </c>
      <c r="K14784" t="s">
        <v>112</v>
      </c>
      <c r="Q14784">
        <v>0</v>
      </c>
      <c r="R14784">
        <v>0</v>
      </c>
      <c r="S14784">
        <v>0</v>
      </c>
      <c r="T14784" t="s">
        <v>51679</v>
      </c>
    </row>
    <row r="14785" spans="1:20" customFormat="1" ht="15" x14ac:dyDescent="0.25">
      <c r="A14785" t="s">
        <v>35</v>
      </c>
      <c r="B14785" t="s">
        <v>106</v>
      </c>
      <c r="C14785" t="str">
        <f>"A0135862"</f>
        <v>A0135862</v>
      </c>
      <c r="D14785" t="s">
        <v>51685</v>
      </c>
      <c r="E14785" t="s">
        <v>51678</v>
      </c>
      <c r="F14785" t="s">
        <v>24534</v>
      </c>
      <c r="G14785" t="s">
        <v>1184</v>
      </c>
      <c r="H14785">
        <v>59812</v>
      </c>
      <c r="I14785" t="s">
        <v>30</v>
      </c>
      <c r="J14785" t="s">
        <v>111</v>
      </c>
      <c r="K14785" t="s">
        <v>112</v>
      </c>
      <c r="Q14785">
        <v>0</v>
      </c>
      <c r="R14785">
        <v>0</v>
      </c>
      <c r="S14785">
        <v>0</v>
      </c>
      <c r="T14785" t="s">
        <v>51679</v>
      </c>
    </row>
    <row r="14786" spans="1:20" customFormat="1" ht="15" x14ac:dyDescent="0.25">
      <c r="A14786" t="s">
        <v>35</v>
      </c>
      <c r="B14786" t="s">
        <v>106</v>
      </c>
      <c r="C14786" t="str">
        <f>"A0135863"</f>
        <v>A0135863</v>
      </c>
      <c r="D14786" t="s">
        <v>51686</v>
      </c>
      <c r="E14786" t="s">
        <v>51687</v>
      </c>
      <c r="F14786" t="s">
        <v>7862</v>
      </c>
      <c r="G14786" t="s">
        <v>1184</v>
      </c>
      <c r="H14786">
        <v>59701</v>
      </c>
      <c r="I14786" t="s">
        <v>30</v>
      </c>
      <c r="J14786" t="s">
        <v>111</v>
      </c>
      <c r="K14786" t="s">
        <v>112</v>
      </c>
      <c r="Q14786">
        <v>0</v>
      </c>
      <c r="R14786">
        <v>0</v>
      </c>
      <c r="S14786">
        <v>0</v>
      </c>
      <c r="T14786" t="s">
        <v>51679</v>
      </c>
    </row>
    <row r="14787" spans="1:20" customFormat="1" ht="15" x14ac:dyDescent="0.25">
      <c r="A14787" t="s">
        <v>35</v>
      </c>
      <c r="B14787" t="s">
        <v>106</v>
      </c>
      <c r="C14787" t="str">
        <f>"A0135864"</f>
        <v>A0135864</v>
      </c>
      <c r="D14787" t="s">
        <v>51688</v>
      </c>
      <c r="E14787" t="s">
        <v>51689</v>
      </c>
      <c r="F14787" t="s">
        <v>24534</v>
      </c>
      <c r="G14787" t="s">
        <v>1184</v>
      </c>
      <c r="H14787">
        <v>59812</v>
      </c>
      <c r="I14787" t="s">
        <v>30</v>
      </c>
      <c r="J14787" t="s">
        <v>111</v>
      </c>
      <c r="K14787" t="s">
        <v>112</v>
      </c>
      <c r="Q14787">
        <v>0</v>
      </c>
      <c r="R14787">
        <v>0</v>
      </c>
      <c r="S14787">
        <v>0</v>
      </c>
      <c r="T14787" t="s">
        <v>51679</v>
      </c>
    </row>
    <row r="14788" spans="1:20" customFormat="1" ht="15" x14ac:dyDescent="0.25">
      <c r="A14788" t="s">
        <v>35</v>
      </c>
      <c r="B14788" t="s">
        <v>106</v>
      </c>
      <c r="C14788" t="str">
        <f>"A0135865"</f>
        <v>A0135865</v>
      </c>
      <c r="D14788" t="s">
        <v>51690</v>
      </c>
      <c r="E14788" t="s">
        <v>51691</v>
      </c>
      <c r="F14788" t="s">
        <v>24534</v>
      </c>
      <c r="G14788" t="s">
        <v>1184</v>
      </c>
      <c r="H14788">
        <v>59812</v>
      </c>
      <c r="I14788" t="s">
        <v>30</v>
      </c>
      <c r="J14788" t="s">
        <v>111</v>
      </c>
      <c r="K14788" t="s">
        <v>112</v>
      </c>
      <c r="Q14788">
        <v>0</v>
      </c>
      <c r="R14788">
        <v>0</v>
      </c>
      <c r="S14788">
        <v>0</v>
      </c>
      <c r="T14788" t="s">
        <v>51679</v>
      </c>
    </row>
    <row r="14789" spans="1:20" customFormat="1" ht="15" x14ac:dyDescent="0.25">
      <c r="A14789" t="s">
        <v>35</v>
      </c>
      <c r="B14789" t="s">
        <v>106</v>
      </c>
      <c r="C14789" t="str">
        <f>"A0135866"</f>
        <v>A0135866</v>
      </c>
      <c r="D14789" t="s">
        <v>51692</v>
      </c>
      <c r="E14789" t="s">
        <v>51678</v>
      </c>
      <c r="F14789" t="s">
        <v>24534</v>
      </c>
      <c r="G14789" t="s">
        <v>1184</v>
      </c>
      <c r="H14789">
        <v>59812</v>
      </c>
      <c r="I14789" t="s">
        <v>30</v>
      </c>
      <c r="J14789" t="s">
        <v>111</v>
      </c>
      <c r="K14789" t="s">
        <v>112</v>
      </c>
      <c r="Q14789">
        <v>0</v>
      </c>
      <c r="R14789">
        <v>0</v>
      </c>
      <c r="S14789">
        <v>0</v>
      </c>
      <c r="T14789" t="s">
        <v>51679</v>
      </c>
    </row>
    <row r="14790" spans="1:20" customFormat="1" ht="15" x14ac:dyDescent="0.25">
      <c r="A14790" t="s">
        <v>35</v>
      </c>
      <c r="B14790" t="s">
        <v>106</v>
      </c>
      <c r="C14790" t="str">
        <f>"A0135867"</f>
        <v>A0135867</v>
      </c>
      <c r="D14790" t="s">
        <v>51693</v>
      </c>
      <c r="E14790" t="s">
        <v>51694</v>
      </c>
      <c r="F14790" t="s">
        <v>15832</v>
      </c>
      <c r="G14790" t="s">
        <v>1184</v>
      </c>
      <c r="H14790">
        <v>59601</v>
      </c>
      <c r="I14790" t="s">
        <v>30</v>
      </c>
      <c r="J14790" t="s">
        <v>111</v>
      </c>
      <c r="K14790" t="s">
        <v>112</v>
      </c>
      <c r="Q14790">
        <v>0</v>
      </c>
      <c r="R14790">
        <v>0</v>
      </c>
      <c r="S14790">
        <v>0</v>
      </c>
      <c r="T14790" t="s">
        <v>51679</v>
      </c>
    </row>
    <row r="14791" spans="1:20" customFormat="1" ht="15" x14ac:dyDescent="0.25">
      <c r="A14791" t="s">
        <v>35</v>
      </c>
      <c r="B14791" t="s">
        <v>106</v>
      </c>
      <c r="C14791" t="str">
        <f>"A0135868"</f>
        <v>A0135868</v>
      </c>
      <c r="D14791" t="s">
        <v>51695</v>
      </c>
      <c r="E14791" t="s">
        <v>51691</v>
      </c>
      <c r="F14791" t="s">
        <v>24534</v>
      </c>
      <c r="G14791" t="s">
        <v>1184</v>
      </c>
      <c r="H14791">
        <v>59812</v>
      </c>
      <c r="I14791" t="s">
        <v>30</v>
      </c>
      <c r="J14791" t="s">
        <v>111</v>
      </c>
      <c r="K14791" t="s">
        <v>112</v>
      </c>
      <c r="Q14791">
        <v>0</v>
      </c>
      <c r="R14791">
        <v>0</v>
      </c>
      <c r="S14791">
        <v>0</v>
      </c>
      <c r="T14791" t="s">
        <v>51679</v>
      </c>
    </row>
    <row r="14792" spans="1:20" customFormat="1" ht="15" x14ac:dyDescent="0.25">
      <c r="A14792" t="s">
        <v>35</v>
      </c>
      <c r="B14792" t="s">
        <v>106</v>
      </c>
      <c r="C14792" t="str">
        <f>"A0135869"</f>
        <v>A0135869</v>
      </c>
      <c r="D14792" t="s">
        <v>51696</v>
      </c>
      <c r="E14792" t="s">
        <v>51691</v>
      </c>
      <c r="F14792" t="s">
        <v>24534</v>
      </c>
      <c r="G14792" t="s">
        <v>1184</v>
      </c>
      <c r="H14792">
        <v>59812</v>
      </c>
      <c r="I14792" t="s">
        <v>30</v>
      </c>
      <c r="J14792" t="s">
        <v>111</v>
      </c>
      <c r="K14792" t="s">
        <v>112</v>
      </c>
      <c r="Q14792">
        <v>0</v>
      </c>
      <c r="R14792">
        <v>0</v>
      </c>
      <c r="S14792">
        <v>0</v>
      </c>
      <c r="T14792" t="s">
        <v>51679</v>
      </c>
    </row>
    <row r="14793" spans="1:20" customFormat="1" ht="15" x14ac:dyDescent="0.25">
      <c r="A14793" t="s">
        <v>35</v>
      </c>
      <c r="B14793" t="s">
        <v>106</v>
      </c>
      <c r="C14793" t="str">
        <f>"A0135870"</f>
        <v>A0135870</v>
      </c>
      <c r="D14793" t="s">
        <v>51697</v>
      </c>
      <c r="E14793" t="s">
        <v>51698</v>
      </c>
      <c r="F14793" t="s">
        <v>24534</v>
      </c>
      <c r="G14793" t="s">
        <v>1184</v>
      </c>
      <c r="H14793">
        <v>59812</v>
      </c>
      <c r="I14793" t="s">
        <v>30</v>
      </c>
      <c r="J14793" t="s">
        <v>111</v>
      </c>
      <c r="K14793" t="s">
        <v>112</v>
      </c>
      <c r="Q14793">
        <v>0</v>
      </c>
      <c r="R14793">
        <v>0</v>
      </c>
      <c r="S14793">
        <v>0</v>
      </c>
      <c r="T14793" t="s">
        <v>51679</v>
      </c>
    </row>
    <row r="14794" spans="1:20" customFormat="1" ht="15" x14ac:dyDescent="0.25">
      <c r="A14794" t="s">
        <v>35</v>
      </c>
      <c r="B14794" t="s">
        <v>106</v>
      </c>
      <c r="C14794" t="str">
        <f>"A0135871"</f>
        <v>A0135871</v>
      </c>
      <c r="D14794" t="s">
        <v>51699</v>
      </c>
      <c r="E14794" t="s">
        <v>51687</v>
      </c>
      <c r="F14794" t="s">
        <v>7862</v>
      </c>
      <c r="G14794" t="s">
        <v>1184</v>
      </c>
      <c r="H14794">
        <v>59701</v>
      </c>
      <c r="I14794" t="s">
        <v>30</v>
      </c>
      <c r="J14794" t="s">
        <v>111</v>
      </c>
      <c r="K14794" t="s">
        <v>112</v>
      </c>
      <c r="Q14794">
        <v>0</v>
      </c>
      <c r="R14794">
        <v>0</v>
      </c>
      <c r="S14794">
        <v>0</v>
      </c>
      <c r="T14794" t="s">
        <v>51679</v>
      </c>
    </row>
    <row r="14795" spans="1:20" customFormat="1" ht="15" x14ac:dyDescent="0.25">
      <c r="A14795" t="s">
        <v>35</v>
      </c>
      <c r="B14795" t="s">
        <v>106</v>
      </c>
      <c r="C14795" t="str">
        <f>"A0135872"</f>
        <v>A0135872</v>
      </c>
      <c r="D14795" t="s">
        <v>51700</v>
      </c>
      <c r="E14795" t="s">
        <v>51701</v>
      </c>
      <c r="F14795" t="s">
        <v>24534</v>
      </c>
      <c r="G14795" t="s">
        <v>1184</v>
      </c>
      <c r="H14795">
        <v>59812</v>
      </c>
      <c r="I14795" t="s">
        <v>30</v>
      </c>
      <c r="J14795" t="s">
        <v>111</v>
      </c>
      <c r="K14795" t="s">
        <v>112</v>
      </c>
      <c r="Q14795">
        <v>0</v>
      </c>
      <c r="R14795">
        <v>0</v>
      </c>
      <c r="S14795">
        <v>0</v>
      </c>
      <c r="T14795" t="s">
        <v>51679</v>
      </c>
    </row>
    <row r="14796" spans="1:20" customFormat="1" ht="15" x14ac:dyDescent="0.25">
      <c r="A14796" t="s">
        <v>35</v>
      </c>
      <c r="B14796" t="s">
        <v>106</v>
      </c>
      <c r="C14796" t="str">
        <f>"A0135873"</f>
        <v>A0135873</v>
      </c>
      <c r="D14796" t="s">
        <v>51702</v>
      </c>
      <c r="E14796" t="s">
        <v>51703</v>
      </c>
      <c r="F14796" t="s">
        <v>7862</v>
      </c>
      <c r="G14796" t="s">
        <v>1184</v>
      </c>
      <c r="H14796">
        <v>59701</v>
      </c>
      <c r="I14796" t="s">
        <v>30</v>
      </c>
      <c r="J14796" t="s">
        <v>111</v>
      </c>
      <c r="K14796" t="s">
        <v>112</v>
      </c>
      <c r="Q14796">
        <v>0</v>
      </c>
      <c r="R14796">
        <v>0</v>
      </c>
      <c r="S14796">
        <v>0</v>
      </c>
      <c r="T14796" t="s">
        <v>51679</v>
      </c>
    </row>
    <row r="14797" spans="1:20" customFormat="1" ht="15" x14ac:dyDescent="0.25">
      <c r="A14797" t="s">
        <v>35</v>
      </c>
      <c r="B14797" t="s">
        <v>106</v>
      </c>
      <c r="C14797" t="str">
        <f>"A0135874"</f>
        <v>A0135874</v>
      </c>
      <c r="D14797" t="s">
        <v>51704</v>
      </c>
      <c r="E14797" t="s">
        <v>51691</v>
      </c>
      <c r="F14797" t="s">
        <v>24534</v>
      </c>
      <c r="G14797" t="s">
        <v>1184</v>
      </c>
      <c r="H14797">
        <v>59812</v>
      </c>
      <c r="I14797" t="s">
        <v>30</v>
      </c>
      <c r="J14797" t="s">
        <v>111</v>
      </c>
      <c r="K14797" t="s">
        <v>112</v>
      </c>
      <c r="Q14797">
        <v>0</v>
      </c>
      <c r="R14797">
        <v>0</v>
      </c>
      <c r="S14797">
        <v>0</v>
      </c>
      <c r="T14797" t="s">
        <v>51679</v>
      </c>
    </row>
    <row r="14798" spans="1:20" customFormat="1" ht="15" x14ac:dyDescent="0.25">
      <c r="A14798" t="s">
        <v>35</v>
      </c>
      <c r="B14798" t="s">
        <v>106</v>
      </c>
      <c r="C14798" t="str">
        <f>"A0135875"</f>
        <v>A0135875</v>
      </c>
      <c r="D14798" t="s">
        <v>51705</v>
      </c>
      <c r="E14798" t="s">
        <v>51678</v>
      </c>
      <c r="F14798" t="s">
        <v>24534</v>
      </c>
      <c r="G14798" t="s">
        <v>1184</v>
      </c>
      <c r="H14798">
        <v>59812</v>
      </c>
      <c r="I14798" t="s">
        <v>30</v>
      </c>
      <c r="J14798" t="s">
        <v>111</v>
      </c>
      <c r="K14798" t="s">
        <v>112</v>
      </c>
      <c r="Q14798">
        <v>0</v>
      </c>
      <c r="R14798">
        <v>0</v>
      </c>
      <c r="S14798">
        <v>0</v>
      </c>
      <c r="T14798" t="s">
        <v>51679</v>
      </c>
    </row>
    <row r="14799" spans="1:20" customFormat="1" ht="15" x14ac:dyDescent="0.25">
      <c r="A14799" t="s">
        <v>35</v>
      </c>
      <c r="B14799" t="s">
        <v>106</v>
      </c>
      <c r="C14799" t="str">
        <f>"A0135876"</f>
        <v>A0135876</v>
      </c>
      <c r="D14799" t="s">
        <v>51706</v>
      </c>
      <c r="E14799" t="s">
        <v>51678</v>
      </c>
      <c r="F14799" t="s">
        <v>24534</v>
      </c>
      <c r="G14799" t="s">
        <v>1184</v>
      </c>
      <c r="H14799">
        <v>59812</v>
      </c>
      <c r="I14799" t="s">
        <v>30</v>
      </c>
      <c r="J14799" t="s">
        <v>111</v>
      </c>
      <c r="K14799" t="s">
        <v>112</v>
      </c>
      <c r="Q14799">
        <v>0</v>
      </c>
      <c r="R14799">
        <v>0</v>
      </c>
      <c r="S14799">
        <v>0</v>
      </c>
      <c r="T14799" t="s">
        <v>51679</v>
      </c>
    </row>
    <row r="14800" spans="1:20" customFormat="1" ht="15" x14ac:dyDescent="0.25">
      <c r="A14800" t="s">
        <v>35</v>
      </c>
      <c r="B14800" t="s">
        <v>106</v>
      </c>
      <c r="C14800" t="str">
        <f>"A0135877"</f>
        <v>A0135877</v>
      </c>
      <c r="D14800" t="s">
        <v>51707</v>
      </c>
      <c r="E14800" t="s">
        <v>51678</v>
      </c>
      <c r="F14800" t="s">
        <v>24534</v>
      </c>
      <c r="G14800" t="s">
        <v>1184</v>
      </c>
      <c r="H14800">
        <v>59812</v>
      </c>
      <c r="I14800" t="s">
        <v>30</v>
      </c>
      <c r="J14800" t="s">
        <v>111</v>
      </c>
      <c r="K14800" t="s">
        <v>112</v>
      </c>
      <c r="Q14800">
        <v>0</v>
      </c>
      <c r="R14800">
        <v>0</v>
      </c>
      <c r="S14800">
        <v>0</v>
      </c>
      <c r="T14800" t="s">
        <v>51679</v>
      </c>
    </row>
    <row r="14801" spans="1:20" customFormat="1" ht="15" x14ac:dyDescent="0.25">
      <c r="A14801" t="s">
        <v>35</v>
      </c>
      <c r="B14801" t="s">
        <v>106</v>
      </c>
      <c r="C14801" t="str">
        <f>"A0135878"</f>
        <v>A0135878</v>
      </c>
      <c r="D14801" t="s">
        <v>51708</v>
      </c>
      <c r="E14801" t="s">
        <v>51678</v>
      </c>
      <c r="F14801" t="s">
        <v>24534</v>
      </c>
      <c r="G14801" t="s">
        <v>1184</v>
      </c>
      <c r="H14801">
        <v>59812</v>
      </c>
      <c r="I14801" t="s">
        <v>30</v>
      </c>
      <c r="J14801" t="s">
        <v>111</v>
      </c>
      <c r="K14801" t="s">
        <v>112</v>
      </c>
      <c r="Q14801">
        <v>0</v>
      </c>
      <c r="R14801">
        <v>0</v>
      </c>
      <c r="S14801">
        <v>0</v>
      </c>
      <c r="T14801" t="s">
        <v>51679</v>
      </c>
    </row>
    <row r="14802" spans="1:20" customFormat="1" ht="15" x14ac:dyDescent="0.25">
      <c r="A14802" t="s">
        <v>35</v>
      </c>
      <c r="B14802" t="s">
        <v>106</v>
      </c>
      <c r="C14802" t="str">
        <f>"A0135882"</f>
        <v>A0135882</v>
      </c>
      <c r="D14802" t="s">
        <v>51709</v>
      </c>
      <c r="E14802" t="s">
        <v>51710</v>
      </c>
      <c r="F14802" t="s">
        <v>24534</v>
      </c>
      <c r="G14802" t="s">
        <v>1184</v>
      </c>
      <c r="H14802">
        <v>59813</v>
      </c>
      <c r="I14802" t="s">
        <v>30</v>
      </c>
      <c r="J14802" t="s">
        <v>111</v>
      </c>
      <c r="K14802" t="s">
        <v>112</v>
      </c>
      <c r="Q14802">
        <v>0</v>
      </c>
      <c r="R14802">
        <v>0</v>
      </c>
      <c r="S14802">
        <v>0</v>
      </c>
      <c r="T14802" t="s">
        <v>51711</v>
      </c>
    </row>
    <row r="14803" spans="1:20" customFormat="1" ht="15" x14ac:dyDescent="0.25">
      <c r="A14803" t="s">
        <v>35</v>
      </c>
      <c r="B14803" t="s">
        <v>106</v>
      </c>
      <c r="C14803" t="str">
        <f>"A0136049"</f>
        <v>A0136049</v>
      </c>
      <c r="D14803" t="s">
        <v>51712</v>
      </c>
      <c r="E14803" t="s">
        <v>51713</v>
      </c>
      <c r="F14803" t="s">
        <v>9791</v>
      </c>
      <c r="G14803" t="s">
        <v>47</v>
      </c>
      <c r="H14803">
        <v>97403</v>
      </c>
      <c r="I14803" t="s">
        <v>30</v>
      </c>
      <c r="J14803" t="s">
        <v>111</v>
      </c>
      <c r="K14803" t="s">
        <v>10012</v>
      </c>
      <c r="Q14803">
        <v>0</v>
      </c>
      <c r="R14803">
        <v>0</v>
      </c>
      <c r="S14803">
        <v>0</v>
      </c>
      <c r="T14803" t="s">
        <v>41052</v>
      </c>
    </row>
    <row r="14804" spans="1:20" customFormat="1" ht="15" x14ac:dyDescent="0.25">
      <c r="A14804" t="s">
        <v>35</v>
      </c>
      <c r="B14804" t="s">
        <v>106</v>
      </c>
      <c r="C14804" t="str">
        <f>"A0135960"</f>
        <v>A0135960</v>
      </c>
      <c r="D14804" t="s">
        <v>51714</v>
      </c>
      <c r="E14804" t="s">
        <v>51715</v>
      </c>
      <c r="F14804" t="s">
        <v>51716</v>
      </c>
      <c r="G14804" t="s">
        <v>1508</v>
      </c>
      <c r="H14804">
        <v>82070</v>
      </c>
      <c r="I14804" t="s">
        <v>30</v>
      </c>
      <c r="J14804" t="s">
        <v>111</v>
      </c>
      <c r="K14804" t="s">
        <v>112</v>
      </c>
      <c r="Q14804">
        <v>0</v>
      </c>
      <c r="R14804">
        <v>0</v>
      </c>
      <c r="S14804">
        <v>0</v>
      </c>
      <c r="T14804" t="s">
        <v>51717</v>
      </c>
    </row>
    <row r="14805" spans="1:20" customFormat="1" ht="15" x14ac:dyDescent="0.25">
      <c r="A14805" t="s">
        <v>35</v>
      </c>
      <c r="B14805" t="s">
        <v>106</v>
      </c>
      <c r="C14805" t="str">
        <f>"A0135961"</f>
        <v>A0135961</v>
      </c>
      <c r="D14805" t="s">
        <v>51718</v>
      </c>
      <c r="E14805" t="s">
        <v>51719</v>
      </c>
      <c r="F14805" t="s">
        <v>51716</v>
      </c>
      <c r="G14805" t="s">
        <v>1508</v>
      </c>
      <c r="H14805">
        <v>82072</v>
      </c>
      <c r="I14805" t="s">
        <v>30</v>
      </c>
      <c r="J14805" t="s">
        <v>111</v>
      </c>
      <c r="K14805" t="s">
        <v>112</v>
      </c>
      <c r="Q14805">
        <v>0</v>
      </c>
      <c r="R14805">
        <v>0</v>
      </c>
      <c r="S14805">
        <v>0</v>
      </c>
      <c r="T14805" t="s">
        <v>51720</v>
      </c>
    </row>
    <row r="14806" spans="1:20" customFormat="1" ht="15" x14ac:dyDescent="0.25">
      <c r="A14806" t="s">
        <v>35</v>
      </c>
      <c r="B14806" t="s">
        <v>106</v>
      </c>
      <c r="C14806" t="str">
        <f>"A0135712"</f>
        <v>A0135712</v>
      </c>
      <c r="D14806" t="s">
        <v>51721</v>
      </c>
      <c r="E14806" t="s">
        <v>51722</v>
      </c>
      <c r="F14806" t="s">
        <v>51723</v>
      </c>
      <c r="G14806" t="s">
        <v>110</v>
      </c>
      <c r="H14806">
        <v>95301</v>
      </c>
      <c r="I14806" t="s">
        <v>30</v>
      </c>
      <c r="J14806" t="s">
        <v>111</v>
      </c>
      <c r="K14806" t="s">
        <v>10012</v>
      </c>
      <c r="Q14806">
        <v>0</v>
      </c>
      <c r="R14806">
        <v>0</v>
      </c>
      <c r="S14806">
        <v>0</v>
      </c>
      <c r="T14806" t="s">
        <v>51724</v>
      </c>
    </row>
    <row r="14807" spans="1:20" customFormat="1" ht="15" x14ac:dyDescent="0.25">
      <c r="A14807" t="s">
        <v>35</v>
      </c>
      <c r="B14807" t="s">
        <v>106</v>
      </c>
      <c r="C14807" t="str">
        <f>"A0135603"</f>
        <v>A0135603</v>
      </c>
      <c r="D14807" t="s">
        <v>51725</v>
      </c>
      <c r="E14807" t="s">
        <v>51726</v>
      </c>
      <c r="F14807" t="s">
        <v>7362</v>
      </c>
      <c r="G14807" t="s">
        <v>110</v>
      </c>
      <c r="H14807">
        <v>90095</v>
      </c>
      <c r="I14807" t="s">
        <v>30</v>
      </c>
      <c r="J14807" t="s">
        <v>111</v>
      </c>
      <c r="K14807" t="s">
        <v>10012</v>
      </c>
      <c r="Q14807">
        <v>0</v>
      </c>
      <c r="R14807">
        <v>0</v>
      </c>
      <c r="S14807">
        <v>0</v>
      </c>
      <c r="T14807" t="s">
        <v>51727</v>
      </c>
    </row>
    <row r="14808" spans="1:20" customFormat="1" ht="15" x14ac:dyDescent="0.25">
      <c r="A14808" t="s">
        <v>35</v>
      </c>
      <c r="B14808" t="s">
        <v>106</v>
      </c>
      <c r="C14808" t="str">
        <f>"A0135576"</f>
        <v>A0135576</v>
      </c>
      <c r="D14808" t="s">
        <v>51728</v>
      </c>
      <c r="E14808" t="s">
        <v>51729</v>
      </c>
      <c r="F14808" t="s">
        <v>7362</v>
      </c>
      <c r="G14808" t="s">
        <v>110</v>
      </c>
      <c r="H14808">
        <v>90095</v>
      </c>
      <c r="I14808" t="s">
        <v>30</v>
      </c>
      <c r="J14808" t="s">
        <v>111</v>
      </c>
      <c r="K14808" t="s">
        <v>10012</v>
      </c>
      <c r="Q14808">
        <v>0</v>
      </c>
      <c r="R14808">
        <v>0</v>
      </c>
      <c r="S14808">
        <v>0</v>
      </c>
      <c r="T14808" t="s">
        <v>51730</v>
      </c>
    </row>
    <row r="14809" spans="1:20" customFormat="1" ht="15" x14ac:dyDescent="0.25">
      <c r="A14809" t="s">
        <v>35</v>
      </c>
      <c r="B14809" t="s">
        <v>106</v>
      </c>
      <c r="C14809" t="str">
        <f>"A0135590"</f>
        <v>A0135590</v>
      </c>
      <c r="D14809" t="s">
        <v>51731</v>
      </c>
      <c r="E14809" t="s">
        <v>51732</v>
      </c>
      <c r="F14809" t="s">
        <v>7362</v>
      </c>
      <c r="G14809" t="s">
        <v>110</v>
      </c>
      <c r="H14809">
        <v>90095</v>
      </c>
      <c r="I14809" t="s">
        <v>30</v>
      </c>
      <c r="J14809" t="s">
        <v>111</v>
      </c>
      <c r="K14809" t="s">
        <v>10012</v>
      </c>
      <c r="Q14809">
        <v>0</v>
      </c>
      <c r="R14809">
        <v>0</v>
      </c>
      <c r="S14809">
        <v>0</v>
      </c>
      <c r="T14809" t="s">
        <v>51730</v>
      </c>
    </row>
    <row r="14810" spans="1:20" customFormat="1" ht="15" x14ac:dyDescent="0.25">
      <c r="A14810" t="s">
        <v>35</v>
      </c>
      <c r="B14810" t="s">
        <v>106</v>
      </c>
      <c r="C14810" t="str">
        <f>"A0135585"</f>
        <v>A0135585</v>
      </c>
      <c r="D14810" t="s">
        <v>51733</v>
      </c>
      <c r="E14810" t="s">
        <v>51732</v>
      </c>
      <c r="F14810" t="s">
        <v>7362</v>
      </c>
      <c r="G14810" t="s">
        <v>110</v>
      </c>
      <c r="H14810">
        <v>90095</v>
      </c>
      <c r="I14810" t="s">
        <v>30</v>
      </c>
      <c r="J14810" t="s">
        <v>111</v>
      </c>
      <c r="K14810" t="s">
        <v>10012</v>
      </c>
      <c r="Q14810">
        <v>0</v>
      </c>
      <c r="R14810">
        <v>0</v>
      </c>
      <c r="S14810">
        <v>0</v>
      </c>
      <c r="T14810" t="s">
        <v>51730</v>
      </c>
    </row>
    <row r="14811" spans="1:20" customFormat="1" ht="15" x14ac:dyDescent="0.25">
      <c r="A14811" t="s">
        <v>35</v>
      </c>
      <c r="B14811" t="s">
        <v>106</v>
      </c>
      <c r="C14811" t="str">
        <f>"A0135595"</f>
        <v>A0135595</v>
      </c>
      <c r="D14811" t="s">
        <v>51734</v>
      </c>
      <c r="E14811" t="s">
        <v>51735</v>
      </c>
      <c r="F14811" t="s">
        <v>7362</v>
      </c>
      <c r="G14811" t="s">
        <v>110</v>
      </c>
      <c r="H14811">
        <v>900950000</v>
      </c>
      <c r="I14811" t="s">
        <v>30</v>
      </c>
      <c r="J14811" t="s">
        <v>111</v>
      </c>
      <c r="K14811" t="s">
        <v>10012</v>
      </c>
      <c r="Q14811">
        <v>0</v>
      </c>
      <c r="R14811">
        <v>0</v>
      </c>
      <c r="S14811">
        <v>0</v>
      </c>
      <c r="T14811" t="s">
        <v>51727</v>
      </c>
    </row>
    <row r="14812" spans="1:20" customFormat="1" ht="15" x14ac:dyDescent="0.25">
      <c r="A14812" t="s">
        <v>35</v>
      </c>
      <c r="B14812" t="s">
        <v>106</v>
      </c>
      <c r="C14812" t="str">
        <f>"A0135582"</f>
        <v>A0135582</v>
      </c>
      <c r="D14812" t="s">
        <v>51736</v>
      </c>
      <c r="E14812" t="s">
        <v>51737</v>
      </c>
      <c r="F14812" t="s">
        <v>7362</v>
      </c>
      <c r="G14812" t="s">
        <v>110</v>
      </c>
      <c r="H14812">
        <v>90095</v>
      </c>
      <c r="I14812" t="s">
        <v>30</v>
      </c>
      <c r="J14812" t="s">
        <v>111</v>
      </c>
      <c r="K14812" t="s">
        <v>10012</v>
      </c>
      <c r="Q14812">
        <v>0</v>
      </c>
      <c r="R14812">
        <v>0</v>
      </c>
      <c r="S14812">
        <v>0</v>
      </c>
      <c r="T14812" t="s">
        <v>51730</v>
      </c>
    </row>
    <row r="14813" spans="1:20" customFormat="1" ht="15" x14ac:dyDescent="0.25">
      <c r="A14813" t="s">
        <v>35</v>
      </c>
      <c r="B14813" t="s">
        <v>106</v>
      </c>
      <c r="C14813" t="str">
        <f>"A0135596"</f>
        <v>A0135596</v>
      </c>
      <c r="D14813" t="s">
        <v>51738</v>
      </c>
      <c r="E14813" t="s">
        <v>51737</v>
      </c>
      <c r="F14813" t="s">
        <v>7362</v>
      </c>
      <c r="G14813" t="s">
        <v>110</v>
      </c>
      <c r="H14813">
        <v>900950000</v>
      </c>
      <c r="I14813" t="s">
        <v>30</v>
      </c>
      <c r="J14813" t="s">
        <v>111</v>
      </c>
      <c r="K14813" t="s">
        <v>10012</v>
      </c>
      <c r="Q14813">
        <v>0</v>
      </c>
      <c r="R14813">
        <v>0</v>
      </c>
      <c r="S14813">
        <v>0</v>
      </c>
      <c r="T14813" t="s">
        <v>51730</v>
      </c>
    </row>
    <row r="14814" spans="1:20" customFormat="1" ht="15" x14ac:dyDescent="0.25">
      <c r="A14814" t="s">
        <v>35</v>
      </c>
      <c r="B14814" t="s">
        <v>106</v>
      </c>
      <c r="C14814" t="str">
        <f>"A0135578"</f>
        <v>A0135578</v>
      </c>
      <c r="D14814" t="s">
        <v>51739</v>
      </c>
      <c r="E14814" t="s">
        <v>51732</v>
      </c>
      <c r="F14814" t="s">
        <v>7362</v>
      </c>
      <c r="G14814" t="s">
        <v>110</v>
      </c>
      <c r="H14814">
        <v>90095</v>
      </c>
      <c r="I14814" t="s">
        <v>30</v>
      </c>
      <c r="J14814" t="s">
        <v>111</v>
      </c>
      <c r="K14814" t="s">
        <v>10012</v>
      </c>
      <c r="Q14814">
        <v>0</v>
      </c>
      <c r="R14814">
        <v>0</v>
      </c>
      <c r="S14814">
        <v>0</v>
      </c>
      <c r="T14814" t="s">
        <v>51730</v>
      </c>
    </row>
    <row r="14815" spans="1:20" customFormat="1" ht="15" x14ac:dyDescent="0.25">
      <c r="A14815" t="s">
        <v>35</v>
      </c>
      <c r="B14815" t="s">
        <v>106</v>
      </c>
      <c r="C14815" t="str">
        <f>"A0135584"</f>
        <v>A0135584</v>
      </c>
      <c r="D14815" t="s">
        <v>51740</v>
      </c>
      <c r="E14815" t="s">
        <v>51735</v>
      </c>
      <c r="F14815" t="s">
        <v>7362</v>
      </c>
      <c r="G14815" t="s">
        <v>110</v>
      </c>
      <c r="H14815">
        <v>90095</v>
      </c>
      <c r="I14815" t="s">
        <v>30</v>
      </c>
      <c r="J14815" t="s">
        <v>111</v>
      </c>
      <c r="K14815" t="s">
        <v>10012</v>
      </c>
      <c r="Q14815">
        <v>0</v>
      </c>
      <c r="R14815">
        <v>0</v>
      </c>
      <c r="S14815">
        <v>0</v>
      </c>
      <c r="T14815" t="s">
        <v>51730</v>
      </c>
    </row>
    <row r="14816" spans="1:20" customFormat="1" ht="15" x14ac:dyDescent="0.25">
      <c r="A14816" t="s">
        <v>35</v>
      </c>
      <c r="B14816" t="s">
        <v>106</v>
      </c>
      <c r="C14816" t="str">
        <f>"A0135593"</f>
        <v>A0135593</v>
      </c>
      <c r="D14816" t="s">
        <v>51741</v>
      </c>
      <c r="E14816" t="s">
        <v>51742</v>
      </c>
      <c r="F14816" t="s">
        <v>7362</v>
      </c>
      <c r="G14816" t="s">
        <v>110</v>
      </c>
      <c r="H14816">
        <v>900950000</v>
      </c>
      <c r="I14816" t="s">
        <v>30</v>
      </c>
      <c r="J14816" t="s">
        <v>111</v>
      </c>
      <c r="K14816" t="s">
        <v>10012</v>
      </c>
      <c r="Q14816">
        <v>0</v>
      </c>
      <c r="R14816">
        <v>0</v>
      </c>
      <c r="S14816">
        <v>0</v>
      </c>
      <c r="T14816" t="s">
        <v>51730</v>
      </c>
    </row>
    <row r="14817" spans="1:20" customFormat="1" ht="15" x14ac:dyDescent="0.25">
      <c r="A14817" t="s">
        <v>35</v>
      </c>
      <c r="B14817" t="s">
        <v>106</v>
      </c>
      <c r="C14817" t="str">
        <f>"A0135589"</f>
        <v>A0135589</v>
      </c>
      <c r="D14817" t="s">
        <v>51743</v>
      </c>
      <c r="E14817" t="s">
        <v>51732</v>
      </c>
      <c r="F14817" t="s">
        <v>7362</v>
      </c>
      <c r="G14817" t="s">
        <v>110</v>
      </c>
      <c r="H14817">
        <v>90095</v>
      </c>
      <c r="I14817" t="s">
        <v>30</v>
      </c>
      <c r="J14817" t="s">
        <v>111</v>
      </c>
      <c r="K14817" t="s">
        <v>10012</v>
      </c>
      <c r="Q14817">
        <v>0</v>
      </c>
      <c r="R14817">
        <v>0</v>
      </c>
      <c r="S14817">
        <v>0</v>
      </c>
      <c r="T14817" t="s">
        <v>51730</v>
      </c>
    </row>
    <row r="14818" spans="1:20" customFormat="1" ht="15" x14ac:dyDescent="0.25">
      <c r="A14818" t="s">
        <v>35</v>
      </c>
      <c r="B14818" t="s">
        <v>106</v>
      </c>
      <c r="C14818" t="str">
        <f>"A0135580"</f>
        <v>A0135580</v>
      </c>
      <c r="D14818" t="s">
        <v>51744</v>
      </c>
      <c r="E14818" t="s">
        <v>51745</v>
      </c>
      <c r="F14818" t="s">
        <v>7362</v>
      </c>
      <c r="G14818" t="s">
        <v>110</v>
      </c>
      <c r="H14818">
        <v>90095</v>
      </c>
      <c r="I14818" t="s">
        <v>30</v>
      </c>
      <c r="J14818" t="s">
        <v>111</v>
      </c>
      <c r="K14818" t="s">
        <v>10012</v>
      </c>
      <c r="Q14818">
        <v>0</v>
      </c>
      <c r="R14818">
        <v>0</v>
      </c>
      <c r="S14818">
        <v>0</v>
      </c>
      <c r="T14818" t="s">
        <v>51730</v>
      </c>
    </row>
    <row r="14819" spans="1:20" customFormat="1" ht="15" x14ac:dyDescent="0.25">
      <c r="A14819" t="s">
        <v>35</v>
      </c>
      <c r="B14819" t="s">
        <v>106</v>
      </c>
      <c r="C14819" t="str">
        <f>"A0135581"</f>
        <v>A0135581</v>
      </c>
      <c r="D14819" t="s">
        <v>51746</v>
      </c>
      <c r="E14819" t="s">
        <v>51732</v>
      </c>
      <c r="F14819" t="s">
        <v>7362</v>
      </c>
      <c r="G14819" t="s">
        <v>110</v>
      </c>
      <c r="H14819">
        <v>90095</v>
      </c>
      <c r="I14819" t="s">
        <v>30</v>
      </c>
      <c r="J14819" t="s">
        <v>111</v>
      </c>
      <c r="K14819" t="s">
        <v>10012</v>
      </c>
      <c r="Q14819">
        <v>0</v>
      </c>
      <c r="R14819">
        <v>0</v>
      </c>
      <c r="S14819">
        <v>0</v>
      </c>
      <c r="T14819" t="s">
        <v>51730</v>
      </c>
    </row>
    <row r="14820" spans="1:20" customFormat="1" ht="15" x14ac:dyDescent="0.25">
      <c r="A14820" t="s">
        <v>35</v>
      </c>
      <c r="B14820" t="s">
        <v>106</v>
      </c>
      <c r="C14820" t="str">
        <f>"A0135594"</f>
        <v>A0135594</v>
      </c>
      <c r="D14820" t="s">
        <v>51747</v>
      </c>
      <c r="E14820" t="s">
        <v>51748</v>
      </c>
      <c r="F14820" t="s">
        <v>7362</v>
      </c>
      <c r="G14820" t="s">
        <v>110</v>
      </c>
      <c r="H14820">
        <v>900950000</v>
      </c>
      <c r="I14820" t="s">
        <v>30</v>
      </c>
      <c r="J14820" t="s">
        <v>111</v>
      </c>
      <c r="K14820" t="s">
        <v>10012</v>
      </c>
      <c r="Q14820">
        <v>0</v>
      </c>
      <c r="R14820">
        <v>0</v>
      </c>
      <c r="S14820">
        <v>0</v>
      </c>
      <c r="T14820" t="s">
        <v>51730</v>
      </c>
    </row>
    <row r="14821" spans="1:20" customFormat="1" ht="15" x14ac:dyDescent="0.25">
      <c r="A14821" t="s">
        <v>35</v>
      </c>
      <c r="B14821" t="s">
        <v>106</v>
      </c>
      <c r="C14821" t="str">
        <f>"A0135597"</f>
        <v>A0135597</v>
      </c>
      <c r="D14821" t="s">
        <v>51749</v>
      </c>
      <c r="E14821" t="s">
        <v>51732</v>
      </c>
      <c r="F14821" t="s">
        <v>7362</v>
      </c>
      <c r="G14821" t="s">
        <v>110</v>
      </c>
      <c r="H14821">
        <v>90095</v>
      </c>
      <c r="I14821" t="s">
        <v>30</v>
      </c>
      <c r="J14821" t="s">
        <v>111</v>
      </c>
      <c r="K14821" t="s">
        <v>10012</v>
      </c>
      <c r="Q14821">
        <v>0</v>
      </c>
      <c r="R14821">
        <v>0</v>
      </c>
      <c r="S14821">
        <v>0</v>
      </c>
      <c r="T14821" t="s">
        <v>51730</v>
      </c>
    </row>
    <row r="14822" spans="1:20" customFormat="1" ht="15" x14ac:dyDescent="0.25">
      <c r="A14822" t="s">
        <v>35</v>
      </c>
      <c r="B14822" t="s">
        <v>106</v>
      </c>
      <c r="C14822" t="str">
        <f>"A0135577"</f>
        <v>A0135577</v>
      </c>
      <c r="D14822" t="s">
        <v>51750</v>
      </c>
      <c r="E14822" t="s">
        <v>51751</v>
      </c>
      <c r="F14822" t="s">
        <v>7362</v>
      </c>
      <c r="G14822" t="s">
        <v>110</v>
      </c>
      <c r="H14822">
        <v>90095</v>
      </c>
      <c r="I14822" t="s">
        <v>30</v>
      </c>
      <c r="J14822" t="s">
        <v>111</v>
      </c>
      <c r="K14822" t="s">
        <v>10012</v>
      </c>
      <c r="Q14822">
        <v>0</v>
      </c>
      <c r="R14822">
        <v>0</v>
      </c>
      <c r="S14822">
        <v>0</v>
      </c>
      <c r="T14822" t="s">
        <v>51730</v>
      </c>
    </row>
    <row r="14823" spans="1:20" customFormat="1" ht="15" x14ac:dyDescent="0.25">
      <c r="A14823" t="s">
        <v>35</v>
      </c>
      <c r="B14823" t="s">
        <v>106</v>
      </c>
      <c r="C14823" t="str">
        <f>"A0135579"</f>
        <v>A0135579</v>
      </c>
      <c r="D14823" t="s">
        <v>51752</v>
      </c>
      <c r="E14823" t="s">
        <v>51742</v>
      </c>
      <c r="F14823" t="s">
        <v>7362</v>
      </c>
      <c r="G14823" t="s">
        <v>110</v>
      </c>
      <c r="H14823">
        <v>90095</v>
      </c>
      <c r="I14823" t="s">
        <v>30</v>
      </c>
      <c r="J14823" t="s">
        <v>111</v>
      </c>
      <c r="K14823" t="s">
        <v>10012</v>
      </c>
      <c r="Q14823">
        <v>0</v>
      </c>
      <c r="R14823">
        <v>0</v>
      </c>
      <c r="S14823">
        <v>0</v>
      </c>
      <c r="T14823" t="s">
        <v>51730</v>
      </c>
    </row>
    <row r="14824" spans="1:20" customFormat="1" ht="15" x14ac:dyDescent="0.25">
      <c r="A14824" t="s">
        <v>35</v>
      </c>
      <c r="B14824" t="s">
        <v>106</v>
      </c>
      <c r="C14824" t="str">
        <f>"A0135583"</f>
        <v>A0135583</v>
      </c>
      <c r="D14824" t="s">
        <v>51753</v>
      </c>
      <c r="E14824" t="s">
        <v>51732</v>
      </c>
      <c r="F14824" t="s">
        <v>7362</v>
      </c>
      <c r="G14824" t="s">
        <v>110</v>
      </c>
      <c r="H14824">
        <v>90095</v>
      </c>
      <c r="I14824" t="s">
        <v>30</v>
      </c>
      <c r="J14824" t="s">
        <v>111</v>
      </c>
      <c r="K14824" t="s">
        <v>10012</v>
      </c>
      <c r="Q14824">
        <v>0</v>
      </c>
      <c r="R14824">
        <v>0</v>
      </c>
      <c r="S14824">
        <v>0</v>
      </c>
      <c r="T14824" t="s">
        <v>51730</v>
      </c>
    </row>
    <row r="14825" spans="1:20" customFormat="1" ht="15" x14ac:dyDescent="0.25">
      <c r="A14825" t="s">
        <v>35</v>
      </c>
      <c r="B14825" t="s">
        <v>106</v>
      </c>
      <c r="C14825" t="str">
        <f>"A0135587"</f>
        <v>A0135587</v>
      </c>
      <c r="D14825" t="s">
        <v>51754</v>
      </c>
      <c r="E14825" t="s">
        <v>51732</v>
      </c>
      <c r="F14825" t="s">
        <v>7362</v>
      </c>
      <c r="G14825" t="s">
        <v>110</v>
      </c>
      <c r="H14825">
        <v>90095</v>
      </c>
      <c r="I14825" t="s">
        <v>30</v>
      </c>
      <c r="J14825" t="s">
        <v>111</v>
      </c>
      <c r="K14825" t="s">
        <v>10012</v>
      </c>
      <c r="Q14825">
        <v>0</v>
      </c>
      <c r="R14825">
        <v>0</v>
      </c>
      <c r="S14825">
        <v>0</v>
      </c>
      <c r="T14825" t="s">
        <v>51730</v>
      </c>
    </row>
    <row r="14826" spans="1:20" customFormat="1" ht="15" x14ac:dyDescent="0.25">
      <c r="A14826" t="s">
        <v>35</v>
      </c>
      <c r="B14826" t="s">
        <v>106</v>
      </c>
      <c r="C14826" t="str">
        <f>"A0135586"</f>
        <v>A0135586</v>
      </c>
      <c r="D14826" t="s">
        <v>51755</v>
      </c>
      <c r="E14826" t="s">
        <v>51732</v>
      </c>
      <c r="F14826" t="s">
        <v>7362</v>
      </c>
      <c r="G14826" t="s">
        <v>110</v>
      </c>
      <c r="H14826">
        <v>90095</v>
      </c>
      <c r="I14826" t="s">
        <v>30</v>
      </c>
      <c r="J14826" t="s">
        <v>111</v>
      </c>
      <c r="K14826" t="s">
        <v>10012</v>
      </c>
      <c r="Q14826">
        <v>0</v>
      </c>
      <c r="R14826">
        <v>0</v>
      </c>
      <c r="S14826">
        <v>0</v>
      </c>
      <c r="T14826" t="s">
        <v>51730</v>
      </c>
    </row>
    <row r="14827" spans="1:20" customFormat="1" ht="15" x14ac:dyDescent="0.25">
      <c r="A14827" t="s">
        <v>35</v>
      </c>
      <c r="B14827" t="s">
        <v>106</v>
      </c>
      <c r="C14827" t="str">
        <f>"A0135588"</f>
        <v>A0135588</v>
      </c>
      <c r="D14827" t="s">
        <v>51756</v>
      </c>
      <c r="E14827" t="s">
        <v>51732</v>
      </c>
      <c r="F14827" t="s">
        <v>7362</v>
      </c>
      <c r="G14827" t="s">
        <v>110</v>
      </c>
      <c r="H14827">
        <v>90095</v>
      </c>
      <c r="I14827" t="s">
        <v>30</v>
      </c>
      <c r="J14827" t="s">
        <v>111</v>
      </c>
      <c r="K14827" t="s">
        <v>10012</v>
      </c>
      <c r="Q14827">
        <v>0</v>
      </c>
      <c r="R14827">
        <v>0</v>
      </c>
      <c r="S14827">
        <v>0</v>
      </c>
      <c r="T14827" t="s">
        <v>51730</v>
      </c>
    </row>
    <row r="14828" spans="1:20" customFormat="1" ht="15" x14ac:dyDescent="0.25">
      <c r="A14828" t="s">
        <v>35</v>
      </c>
      <c r="B14828" t="s">
        <v>106</v>
      </c>
      <c r="C14828" t="str">
        <f>"A0135604"</f>
        <v>A0135604</v>
      </c>
      <c r="D14828" t="s">
        <v>51757</v>
      </c>
      <c r="E14828" t="s">
        <v>51758</v>
      </c>
      <c r="F14828" t="s">
        <v>7362</v>
      </c>
      <c r="G14828" t="s">
        <v>110</v>
      </c>
      <c r="H14828">
        <v>90095</v>
      </c>
      <c r="I14828" t="s">
        <v>30</v>
      </c>
      <c r="J14828" t="s">
        <v>111</v>
      </c>
      <c r="K14828" t="s">
        <v>10012</v>
      </c>
      <c r="Q14828">
        <v>0</v>
      </c>
      <c r="R14828">
        <v>0</v>
      </c>
      <c r="S14828">
        <v>0</v>
      </c>
      <c r="T14828" t="s">
        <v>51730</v>
      </c>
    </row>
    <row r="14829" spans="1:20" customFormat="1" ht="15" x14ac:dyDescent="0.25">
      <c r="A14829" t="s">
        <v>35</v>
      </c>
      <c r="B14829" t="s">
        <v>106</v>
      </c>
      <c r="C14829" t="str">
        <f>"A0135601"</f>
        <v>A0135601</v>
      </c>
      <c r="D14829" t="s">
        <v>51759</v>
      </c>
      <c r="E14829" t="s">
        <v>51760</v>
      </c>
      <c r="F14829" t="s">
        <v>7362</v>
      </c>
      <c r="G14829" t="s">
        <v>110</v>
      </c>
      <c r="H14829">
        <v>90024</v>
      </c>
      <c r="I14829" t="s">
        <v>30</v>
      </c>
      <c r="J14829" t="s">
        <v>111</v>
      </c>
      <c r="K14829" t="s">
        <v>10012</v>
      </c>
      <c r="Q14829">
        <v>0</v>
      </c>
      <c r="R14829">
        <v>0</v>
      </c>
      <c r="S14829">
        <v>0</v>
      </c>
      <c r="T14829" t="s">
        <v>51730</v>
      </c>
    </row>
    <row r="14830" spans="1:20" customFormat="1" ht="15" x14ac:dyDescent="0.25">
      <c r="A14830" t="s">
        <v>35</v>
      </c>
      <c r="B14830" t="s">
        <v>106</v>
      </c>
      <c r="C14830" t="str">
        <f>"A0135591"</f>
        <v>A0135591</v>
      </c>
      <c r="D14830" t="s">
        <v>51761</v>
      </c>
      <c r="E14830" t="s">
        <v>51762</v>
      </c>
      <c r="F14830" t="s">
        <v>51763</v>
      </c>
      <c r="G14830" t="s">
        <v>110</v>
      </c>
      <c r="H14830">
        <v>92352</v>
      </c>
      <c r="I14830" t="s">
        <v>30</v>
      </c>
      <c r="J14830" t="s">
        <v>111</v>
      </c>
      <c r="K14830" t="s">
        <v>10012</v>
      </c>
      <c r="Q14830">
        <v>0</v>
      </c>
      <c r="R14830">
        <v>0</v>
      </c>
      <c r="S14830">
        <v>0</v>
      </c>
      <c r="T14830" t="s">
        <v>51764</v>
      </c>
    </row>
    <row r="14831" spans="1:20" customFormat="1" ht="15" x14ac:dyDescent="0.25">
      <c r="A14831" t="s">
        <v>35</v>
      </c>
      <c r="B14831" t="s">
        <v>106</v>
      </c>
      <c r="C14831" t="str">
        <f>"A0135599"</f>
        <v>A0135599</v>
      </c>
      <c r="D14831" t="s">
        <v>51765</v>
      </c>
      <c r="E14831" t="s">
        <v>51766</v>
      </c>
      <c r="F14831" t="s">
        <v>42265</v>
      </c>
      <c r="G14831" t="s">
        <v>110</v>
      </c>
      <c r="H14831">
        <v>90024</v>
      </c>
      <c r="I14831" t="s">
        <v>30</v>
      </c>
      <c r="J14831" t="s">
        <v>111</v>
      </c>
      <c r="K14831" t="s">
        <v>10012</v>
      </c>
      <c r="Q14831">
        <v>0</v>
      </c>
      <c r="R14831">
        <v>0</v>
      </c>
      <c r="S14831">
        <v>0</v>
      </c>
      <c r="T14831" t="s">
        <v>51730</v>
      </c>
    </row>
    <row r="14832" spans="1:20" customFormat="1" ht="15" x14ac:dyDescent="0.25">
      <c r="A14832" t="s">
        <v>35</v>
      </c>
      <c r="B14832" t="s">
        <v>106</v>
      </c>
      <c r="C14832" t="str">
        <f>"A0135600"</f>
        <v>A0135600</v>
      </c>
      <c r="D14832" t="s">
        <v>51767</v>
      </c>
      <c r="E14832" t="s">
        <v>51768</v>
      </c>
      <c r="F14832" t="s">
        <v>7362</v>
      </c>
      <c r="G14832" t="s">
        <v>110</v>
      </c>
      <c r="H14832">
        <v>90095</v>
      </c>
      <c r="I14832" t="s">
        <v>30</v>
      </c>
      <c r="J14832" t="s">
        <v>111</v>
      </c>
      <c r="K14832" t="s">
        <v>10012</v>
      </c>
      <c r="Q14832">
        <v>0</v>
      </c>
      <c r="R14832">
        <v>0</v>
      </c>
      <c r="S14832">
        <v>0</v>
      </c>
      <c r="T14832" t="s">
        <v>51730</v>
      </c>
    </row>
    <row r="14833" spans="1:20" customFormat="1" ht="15" x14ac:dyDescent="0.25">
      <c r="A14833" t="s">
        <v>35</v>
      </c>
      <c r="B14833" t="s">
        <v>106</v>
      </c>
      <c r="C14833" t="str">
        <f>"A0135602"</f>
        <v>A0135602</v>
      </c>
      <c r="D14833" t="s">
        <v>51769</v>
      </c>
      <c r="E14833" t="s">
        <v>51770</v>
      </c>
      <c r="F14833" t="s">
        <v>7362</v>
      </c>
      <c r="G14833" t="s">
        <v>110</v>
      </c>
      <c r="H14833">
        <v>90024</v>
      </c>
      <c r="I14833" t="s">
        <v>30</v>
      </c>
      <c r="J14833" t="s">
        <v>111</v>
      </c>
      <c r="K14833" t="s">
        <v>10012</v>
      </c>
      <c r="Q14833">
        <v>0</v>
      </c>
      <c r="R14833">
        <v>0</v>
      </c>
      <c r="S14833">
        <v>0</v>
      </c>
      <c r="T14833" t="s">
        <v>51730</v>
      </c>
    </row>
    <row r="14834" spans="1:20" customFormat="1" ht="15" x14ac:dyDescent="0.25">
      <c r="A14834" t="s">
        <v>35</v>
      </c>
      <c r="B14834" t="s">
        <v>106</v>
      </c>
      <c r="C14834" t="str">
        <f>"A0135592"</f>
        <v>A0135592</v>
      </c>
      <c r="D14834" t="s">
        <v>51771</v>
      </c>
      <c r="E14834" t="s">
        <v>51772</v>
      </c>
      <c r="F14834" t="s">
        <v>7362</v>
      </c>
      <c r="G14834" t="s">
        <v>110</v>
      </c>
      <c r="H14834">
        <v>900950000</v>
      </c>
      <c r="I14834" t="s">
        <v>30</v>
      </c>
      <c r="J14834" t="s">
        <v>111</v>
      </c>
      <c r="K14834" t="s">
        <v>10012</v>
      </c>
      <c r="Q14834">
        <v>0</v>
      </c>
      <c r="R14834">
        <v>0</v>
      </c>
      <c r="S14834">
        <v>0</v>
      </c>
      <c r="T14834" t="s">
        <v>51730</v>
      </c>
    </row>
    <row r="14835" spans="1:20" customFormat="1" ht="15" x14ac:dyDescent="0.25">
      <c r="A14835" t="s">
        <v>35</v>
      </c>
      <c r="B14835" t="s">
        <v>106</v>
      </c>
      <c r="C14835" t="str">
        <f>"A0135598"</f>
        <v>A0135598</v>
      </c>
      <c r="D14835" t="s">
        <v>51773</v>
      </c>
      <c r="E14835" t="s">
        <v>51774</v>
      </c>
      <c r="F14835" t="s">
        <v>21814</v>
      </c>
      <c r="G14835" t="s">
        <v>110</v>
      </c>
      <c r="H14835">
        <v>90404</v>
      </c>
      <c r="I14835" t="s">
        <v>30</v>
      </c>
      <c r="J14835" t="s">
        <v>111</v>
      </c>
      <c r="K14835" t="s">
        <v>10012</v>
      </c>
      <c r="Q14835">
        <v>0</v>
      </c>
      <c r="R14835">
        <v>0</v>
      </c>
      <c r="S14835">
        <v>0</v>
      </c>
      <c r="T14835" t="s">
        <v>51730</v>
      </c>
    </row>
    <row r="14836" spans="1:20" customFormat="1" ht="15" x14ac:dyDescent="0.25">
      <c r="A14836" t="s">
        <v>35</v>
      </c>
      <c r="B14836" t="s">
        <v>106</v>
      </c>
      <c r="C14836" t="str">
        <f>"A0136333"</f>
        <v>A0136333</v>
      </c>
      <c r="D14836" t="s">
        <v>51775</v>
      </c>
      <c r="E14836" t="s">
        <v>51776</v>
      </c>
      <c r="F14836" t="s">
        <v>4288</v>
      </c>
      <c r="G14836" t="s">
        <v>110</v>
      </c>
      <c r="H14836">
        <v>92521</v>
      </c>
      <c r="I14836" t="s">
        <v>30</v>
      </c>
      <c r="J14836" t="s">
        <v>111</v>
      </c>
      <c r="K14836" t="s">
        <v>10012</v>
      </c>
      <c r="Q14836">
        <v>0</v>
      </c>
      <c r="R14836">
        <v>0</v>
      </c>
      <c r="S14836">
        <v>0</v>
      </c>
      <c r="T14836" t="s">
        <v>51777</v>
      </c>
    </row>
    <row r="14837" spans="1:20" customFormat="1" ht="15" x14ac:dyDescent="0.25">
      <c r="A14837" t="s">
        <v>35</v>
      </c>
      <c r="B14837" t="s">
        <v>106</v>
      </c>
      <c r="C14837" t="str">
        <f>"A0136162"</f>
        <v>A0136162</v>
      </c>
      <c r="D14837" t="s">
        <v>51778</v>
      </c>
      <c r="E14837" t="s">
        <v>51779</v>
      </c>
      <c r="F14837" t="s">
        <v>4032</v>
      </c>
      <c r="G14837" t="s">
        <v>110</v>
      </c>
      <c r="H14837">
        <v>931060000</v>
      </c>
      <c r="I14837" t="s">
        <v>30</v>
      </c>
      <c r="J14837" t="s">
        <v>111</v>
      </c>
      <c r="K14837" t="s">
        <v>10012</v>
      </c>
      <c r="Q14837">
        <v>0</v>
      </c>
      <c r="R14837">
        <v>0</v>
      </c>
      <c r="S14837">
        <v>0</v>
      </c>
      <c r="T14837" t="s">
        <v>51780</v>
      </c>
    </row>
    <row r="14838" spans="1:20" customFormat="1" ht="15" x14ac:dyDescent="0.25">
      <c r="A14838" t="s">
        <v>35</v>
      </c>
      <c r="B14838" t="s">
        <v>106</v>
      </c>
      <c r="C14838" t="str">
        <f>"A0136163"</f>
        <v>A0136163</v>
      </c>
      <c r="D14838" t="s">
        <v>51781</v>
      </c>
      <c r="E14838" t="s">
        <v>51779</v>
      </c>
      <c r="F14838" t="s">
        <v>4032</v>
      </c>
      <c r="G14838" t="s">
        <v>110</v>
      </c>
      <c r="H14838">
        <v>931060000</v>
      </c>
      <c r="I14838" t="s">
        <v>30</v>
      </c>
      <c r="J14838" t="s">
        <v>111</v>
      </c>
      <c r="K14838" t="s">
        <v>10012</v>
      </c>
      <c r="Q14838">
        <v>0</v>
      </c>
      <c r="R14838">
        <v>0</v>
      </c>
      <c r="S14838">
        <v>0</v>
      </c>
      <c r="T14838" t="s">
        <v>51780</v>
      </c>
    </row>
    <row r="14839" spans="1:20" customFormat="1" ht="15" x14ac:dyDescent="0.25">
      <c r="A14839" t="s">
        <v>35</v>
      </c>
      <c r="B14839" t="s">
        <v>106</v>
      </c>
      <c r="C14839" t="str">
        <f>"A0136173"</f>
        <v>A0136173</v>
      </c>
      <c r="D14839" t="s">
        <v>51782</v>
      </c>
      <c r="E14839" t="s">
        <v>51779</v>
      </c>
      <c r="F14839" t="s">
        <v>4032</v>
      </c>
      <c r="G14839" t="s">
        <v>110</v>
      </c>
      <c r="H14839">
        <v>931060000</v>
      </c>
      <c r="I14839" t="s">
        <v>30</v>
      </c>
      <c r="J14839" t="s">
        <v>111</v>
      </c>
      <c r="K14839" t="s">
        <v>10012</v>
      </c>
      <c r="Q14839">
        <v>0</v>
      </c>
      <c r="R14839">
        <v>0</v>
      </c>
      <c r="S14839">
        <v>0</v>
      </c>
      <c r="T14839" t="s">
        <v>51780</v>
      </c>
    </row>
    <row r="14840" spans="1:20" customFormat="1" ht="15" x14ac:dyDescent="0.25">
      <c r="A14840" t="s">
        <v>35</v>
      </c>
      <c r="B14840" t="s">
        <v>106</v>
      </c>
      <c r="C14840" t="str">
        <f>"A0136164"</f>
        <v>A0136164</v>
      </c>
      <c r="D14840" t="s">
        <v>51783</v>
      </c>
      <c r="E14840" t="s">
        <v>51779</v>
      </c>
      <c r="F14840" t="s">
        <v>4032</v>
      </c>
      <c r="G14840" t="s">
        <v>110</v>
      </c>
      <c r="H14840">
        <v>931060000</v>
      </c>
      <c r="I14840" t="s">
        <v>30</v>
      </c>
      <c r="J14840" t="s">
        <v>111</v>
      </c>
      <c r="K14840" t="s">
        <v>10012</v>
      </c>
      <c r="Q14840">
        <v>0</v>
      </c>
      <c r="R14840">
        <v>0</v>
      </c>
      <c r="S14840">
        <v>0</v>
      </c>
      <c r="T14840" t="s">
        <v>51780</v>
      </c>
    </row>
    <row r="14841" spans="1:20" customFormat="1" ht="15" x14ac:dyDescent="0.25">
      <c r="A14841" t="s">
        <v>35</v>
      </c>
      <c r="B14841" t="s">
        <v>106</v>
      </c>
      <c r="C14841" t="str">
        <f>"A0136160"</f>
        <v>A0136160</v>
      </c>
      <c r="D14841" t="s">
        <v>51784</v>
      </c>
      <c r="E14841" t="s">
        <v>51779</v>
      </c>
      <c r="F14841" t="s">
        <v>4032</v>
      </c>
      <c r="G14841" t="s">
        <v>110</v>
      </c>
      <c r="H14841">
        <v>93106</v>
      </c>
      <c r="I14841" t="s">
        <v>30</v>
      </c>
      <c r="J14841" t="s">
        <v>111</v>
      </c>
      <c r="K14841" t="s">
        <v>10012</v>
      </c>
      <c r="Q14841">
        <v>0</v>
      </c>
      <c r="R14841">
        <v>0</v>
      </c>
      <c r="S14841">
        <v>0</v>
      </c>
      <c r="T14841" t="s">
        <v>51780</v>
      </c>
    </row>
    <row r="14842" spans="1:20" customFormat="1" ht="15" x14ac:dyDescent="0.25">
      <c r="A14842" t="s">
        <v>35</v>
      </c>
      <c r="B14842" t="s">
        <v>106</v>
      </c>
      <c r="C14842" t="str">
        <f>"A0136175"</f>
        <v>A0136175</v>
      </c>
      <c r="D14842" t="s">
        <v>51785</v>
      </c>
      <c r="E14842" t="s">
        <v>51786</v>
      </c>
      <c r="F14842" t="s">
        <v>4032</v>
      </c>
      <c r="G14842" t="s">
        <v>110</v>
      </c>
      <c r="H14842">
        <v>93106</v>
      </c>
      <c r="I14842" t="s">
        <v>30</v>
      </c>
      <c r="J14842" t="s">
        <v>111</v>
      </c>
      <c r="K14842" t="s">
        <v>10012</v>
      </c>
      <c r="Q14842">
        <v>0</v>
      </c>
      <c r="R14842">
        <v>0</v>
      </c>
      <c r="S14842">
        <v>0</v>
      </c>
      <c r="T14842" t="s">
        <v>51780</v>
      </c>
    </row>
    <row r="14843" spans="1:20" customFormat="1" ht="15" x14ac:dyDescent="0.25">
      <c r="A14843" t="s">
        <v>35</v>
      </c>
      <c r="B14843" t="s">
        <v>106</v>
      </c>
      <c r="C14843" t="str">
        <f>"A0136154"</f>
        <v>A0136154</v>
      </c>
      <c r="D14843" t="s">
        <v>51787</v>
      </c>
      <c r="E14843" t="s">
        <v>51788</v>
      </c>
      <c r="F14843" t="s">
        <v>4032</v>
      </c>
      <c r="G14843" t="s">
        <v>110</v>
      </c>
      <c r="H14843">
        <v>931067040</v>
      </c>
      <c r="I14843" t="s">
        <v>30</v>
      </c>
      <c r="J14843" t="s">
        <v>111</v>
      </c>
      <c r="K14843" t="s">
        <v>10012</v>
      </c>
      <c r="Q14843">
        <v>0</v>
      </c>
      <c r="R14843">
        <v>0</v>
      </c>
      <c r="S14843">
        <v>0</v>
      </c>
      <c r="T14843" t="s">
        <v>51780</v>
      </c>
    </row>
    <row r="14844" spans="1:20" customFormat="1" ht="15" x14ac:dyDescent="0.25">
      <c r="A14844" t="s">
        <v>35</v>
      </c>
      <c r="B14844" t="s">
        <v>106</v>
      </c>
      <c r="C14844" t="str">
        <f>"A0136167"</f>
        <v>A0136167</v>
      </c>
      <c r="D14844" t="s">
        <v>51789</v>
      </c>
      <c r="E14844" t="s">
        <v>51779</v>
      </c>
      <c r="F14844" t="s">
        <v>4032</v>
      </c>
      <c r="G14844" t="s">
        <v>110</v>
      </c>
      <c r="H14844">
        <v>931060000</v>
      </c>
      <c r="I14844" t="s">
        <v>30</v>
      </c>
      <c r="J14844" t="s">
        <v>111</v>
      </c>
      <c r="K14844" t="s">
        <v>10012</v>
      </c>
      <c r="Q14844">
        <v>0</v>
      </c>
      <c r="R14844">
        <v>0</v>
      </c>
      <c r="S14844">
        <v>0</v>
      </c>
      <c r="T14844" t="s">
        <v>51780</v>
      </c>
    </row>
    <row r="14845" spans="1:20" customFormat="1" ht="15" x14ac:dyDescent="0.25">
      <c r="A14845" t="s">
        <v>35</v>
      </c>
      <c r="B14845" t="s">
        <v>106</v>
      </c>
      <c r="C14845" t="str">
        <f>"A0136170"</f>
        <v>A0136170</v>
      </c>
      <c r="D14845" t="s">
        <v>51790</v>
      </c>
      <c r="E14845" t="s">
        <v>51786</v>
      </c>
      <c r="F14845" t="s">
        <v>4032</v>
      </c>
      <c r="G14845" t="s">
        <v>110</v>
      </c>
      <c r="H14845">
        <v>931060000</v>
      </c>
      <c r="I14845" t="s">
        <v>30</v>
      </c>
      <c r="J14845" t="s">
        <v>111</v>
      </c>
      <c r="K14845" t="s">
        <v>10012</v>
      </c>
      <c r="Q14845">
        <v>0</v>
      </c>
      <c r="R14845">
        <v>0</v>
      </c>
      <c r="S14845">
        <v>0</v>
      </c>
    </row>
    <row r="14846" spans="1:20" customFormat="1" ht="15" x14ac:dyDescent="0.25">
      <c r="A14846" t="s">
        <v>35</v>
      </c>
      <c r="B14846" t="s">
        <v>106</v>
      </c>
      <c r="C14846" t="str">
        <f>"A0136171"</f>
        <v>A0136171</v>
      </c>
      <c r="D14846" t="s">
        <v>51791</v>
      </c>
      <c r="E14846" t="s">
        <v>51786</v>
      </c>
      <c r="F14846" t="s">
        <v>4032</v>
      </c>
      <c r="G14846" t="s">
        <v>110</v>
      </c>
      <c r="H14846">
        <v>931060000</v>
      </c>
      <c r="I14846" t="s">
        <v>30</v>
      </c>
      <c r="J14846" t="s">
        <v>111</v>
      </c>
      <c r="K14846" t="s">
        <v>10012</v>
      </c>
      <c r="Q14846">
        <v>0</v>
      </c>
      <c r="R14846">
        <v>0</v>
      </c>
      <c r="S14846">
        <v>0</v>
      </c>
      <c r="T14846" t="s">
        <v>51780</v>
      </c>
    </row>
    <row r="14847" spans="1:20" customFormat="1" ht="15" x14ac:dyDescent="0.25">
      <c r="A14847" t="s">
        <v>35</v>
      </c>
      <c r="B14847" t="s">
        <v>106</v>
      </c>
      <c r="C14847" t="str">
        <f>"A0136161"</f>
        <v>A0136161</v>
      </c>
      <c r="D14847" t="s">
        <v>51792</v>
      </c>
      <c r="E14847" t="s">
        <v>51779</v>
      </c>
      <c r="F14847" t="s">
        <v>4032</v>
      </c>
      <c r="G14847" t="s">
        <v>110</v>
      </c>
      <c r="H14847">
        <v>931060000</v>
      </c>
      <c r="I14847" t="s">
        <v>30</v>
      </c>
      <c r="J14847" t="s">
        <v>111</v>
      </c>
      <c r="K14847" t="s">
        <v>10012</v>
      </c>
      <c r="Q14847">
        <v>0</v>
      </c>
      <c r="R14847">
        <v>0</v>
      </c>
      <c r="S14847">
        <v>0</v>
      </c>
      <c r="T14847" t="s">
        <v>51780</v>
      </c>
    </row>
    <row r="14848" spans="1:20" customFormat="1" ht="15" x14ac:dyDescent="0.25">
      <c r="A14848" t="s">
        <v>35</v>
      </c>
      <c r="B14848" t="s">
        <v>106</v>
      </c>
      <c r="C14848" t="str">
        <f>"A0136158"</f>
        <v>A0136158</v>
      </c>
      <c r="D14848" t="s">
        <v>51793</v>
      </c>
      <c r="E14848" t="s">
        <v>51779</v>
      </c>
      <c r="F14848" t="s">
        <v>4032</v>
      </c>
      <c r="G14848" t="s">
        <v>110</v>
      </c>
      <c r="H14848">
        <v>931060000</v>
      </c>
      <c r="I14848" t="s">
        <v>30</v>
      </c>
      <c r="J14848" t="s">
        <v>111</v>
      </c>
      <c r="K14848" t="s">
        <v>10012</v>
      </c>
      <c r="Q14848">
        <v>0</v>
      </c>
      <c r="R14848">
        <v>0</v>
      </c>
      <c r="S14848">
        <v>0</v>
      </c>
      <c r="T14848" t="s">
        <v>51780</v>
      </c>
    </row>
    <row r="14849" spans="1:20" customFormat="1" ht="15" x14ac:dyDescent="0.25">
      <c r="A14849" t="s">
        <v>35</v>
      </c>
      <c r="B14849" t="s">
        <v>106</v>
      </c>
      <c r="C14849" t="str">
        <f>"A0136172"</f>
        <v>A0136172</v>
      </c>
      <c r="D14849" t="s">
        <v>51794</v>
      </c>
      <c r="E14849" t="s">
        <v>51786</v>
      </c>
      <c r="F14849" t="s">
        <v>4032</v>
      </c>
      <c r="G14849" t="s">
        <v>110</v>
      </c>
      <c r="H14849">
        <v>931060000</v>
      </c>
      <c r="I14849" t="s">
        <v>30</v>
      </c>
      <c r="J14849" t="s">
        <v>111</v>
      </c>
      <c r="K14849" t="s">
        <v>10012</v>
      </c>
      <c r="Q14849">
        <v>0</v>
      </c>
      <c r="R14849">
        <v>0</v>
      </c>
      <c r="S14849">
        <v>0</v>
      </c>
      <c r="T14849" t="s">
        <v>51780</v>
      </c>
    </row>
    <row r="14850" spans="1:20" customFormat="1" ht="15" x14ac:dyDescent="0.25">
      <c r="A14850" t="s">
        <v>35</v>
      </c>
      <c r="B14850" t="s">
        <v>106</v>
      </c>
      <c r="C14850" t="str">
        <f>"A0136174"</f>
        <v>A0136174</v>
      </c>
      <c r="D14850" t="s">
        <v>51795</v>
      </c>
      <c r="E14850" t="s">
        <v>51786</v>
      </c>
      <c r="F14850" t="s">
        <v>4032</v>
      </c>
      <c r="G14850" t="s">
        <v>110</v>
      </c>
      <c r="H14850">
        <v>931060000</v>
      </c>
      <c r="I14850" t="s">
        <v>30</v>
      </c>
      <c r="J14850" t="s">
        <v>111</v>
      </c>
      <c r="K14850" t="s">
        <v>10012</v>
      </c>
      <c r="Q14850">
        <v>0</v>
      </c>
      <c r="R14850">
        <v>0</v>
      </c>
      <c r="S14850">
        <v>0</v>
      </c>
      <c r="T14850" t="s">
        <v>51780</v>
      </c>
    </row>
    <row r="14851" spans="1:20" customFormat="1" ht="15" x14ac:dyDescent="0.25">
      <c r="A14851" t="s">
        <v>35</v>
      </c>
      <c r="B14851" t="s">
        <v>106</v>
      </c>
      <c r="C14851" t="str">
        <f>"A0136159"</f>
        <v>A0136159</v>
      </c>
      <c r="D14851" t="s">
        <v>51796</v>
      </c>
      <c r="E14851" t="s">
        <v>51779</v>
      </c>
      <c r="F14851" t="s">
        <v>4032</v>
      </c>
      <c r="G14851" t="s">
        <v>110</v>
      </c>
      <c r="H14851">
        <v>93106</v>
      </c>
      <c r="I14851" t="s">
        <v>30</v>
      </c>
      <c r="J14851" t="s">
        <v>111</v>
      </c>
      <c r="K14851" t="s">
        <v>10012</v>
      </c>
      <c r="Q14851">
        <v>0</v>
      </c>
      <c r="R14851">
        <v>0</v>
      </c>
      <c r="S14851">
        <v>0</v>
      </c>
      <c r="T14851" t="s">
        <v>51780</v>
      </c>
    </row>
    <row r="14852" spans="1:20" customFormat="1" ht="15" x14ac:dyDescent="0.25">
      <c r="A14852" t="s">
        <v>35</v>
      </c>
      <c r="B14852" t="s">
        <v>106</v>
      </c>
      <c r="C14852" t="str">
        <f>"A0136176"</f>
        <v>A0136176</v>
      </c>
      <c r="D14852" t="s">
        <v>51797</v>
      </c>
      <c r="E14852" t="s">
        <v>51779</v>
      </c>
      <c r="F14852" t="s">
        <v>4032</v>
      </c>
      <c r="G14852" t="s">
        <v>110</v>
      </c>
      <c r="H14852">
        <v>93106</v>
      </c>
      <c r="I14852" t="s">
        <v>30</v>
      </c>
      <c r="J14852" t="s">
        <v>111</v>
      </c>
      <c r="K14852" t="s">
        <v>112</v>
      </c>
      <c r="Q14852">
        <v>0</v>
      </c>
      <c r="R14852">
        <v>0</v>
      </c>
      <c r="S14852">
        <v>0</v>
      </c>
      <c r="T14852" t="s">
        <v>51780</v>
      </c>
    </row>
    <row r="14853" spans="1:20" customFormat="1" ht="15" x14ac:dyDescent="0.25">
      <c r="A14853" t="s">
        <v>35</v>
      </c>
      <c r="B14853" t="s">
        <v>106</v>
      </c>
      <c r="C14853" t="str">
        <f>"A0136177"</f>
        <v>A0136177</v>
      </c>
      <c r="D14853" t="s">
        <v>51798</v>
      </c>
      <c r="E14853" t="s">
        <v>51779</v>
      </c>
      <c r="F14853" t="s">
        <v>4032</v>
      </c>
      <c r="G14853" t="s">
        <v>110</v>
      </c>
      <c r="H14853">
        <v>93106</v>
      </c>
      <c r="I14853" t="s">
        <v>30</v>
      </c>
      <c r="J14853" t="s">
        <v>111</v>
      </c>
      <c r="K14853" t="s">
        <v>112</v>
      </c>
      <c r="Q14853">
        <v>0</v>
      </c>
      <c r="R14853">
        <v>0</v>
      </c>
      <c r="S14853">
        <v>0</v>
      </c>
      <c r="T14853" t="s">
        <v>51799</v>
      </c>
    </row>
    <row r="14854" spans="1:20" customFormat="1" ht="15" x14ac:dyDescent="0.25">
      <c r="A14854" t="s">
        <v>35</v>
      </c>
      <c r="B14854" t="s">
        <v>106</v>
      </c>
      <c r="C14854" t="str">
        <f>"A0136156"</f>
        <v>A0136156</v>
      </c>
      <c r="D14854" t="s">
        <v>51800</v>
      </c>
      <c r="E14854" t="s">
        <v>51779</v>
      </c>
      <c r="F14854" t="s">
        <v>4032</v>
      </c>
      <c r="G14854" t="s">
        <v>110</v>
      </c>
      <c r="H14854">
        <v>931060000</v>
      </c>
      <c r="I14854" t="s">
        <v>30</v>
      </c>
      <c r="J14854" t="s">
        <v>111</v>
      </c>
      <c r="K14854" t="s">
        <v>10012</v>
      </c>
      <c r="Q14854">
        <v>0</v>
      </c>
      <c r="R14854">
        <v>0</v>
      </c>
      <c r="S14854">
        <v>0</v>
      </c>
      <c r="T14854" t="s">
        <v>51780</v>
      </c>
    </row>
    <row r="14855" spans="1:20" customFormat="1" ht="15" x14ac:dyDescent="0.25">
      <c r="A14855" t="s">
        <v>35</v>
      </c>
      <c r="B14855" t="s">
        <v>106</v>
      </c>
      <c r="C14855" t="str">
        <f>"A0136178"</f>
        <v>A0136178</v>
      </c>
      <c r="D14855" t="s">
        <v>51801</v>
      </c>
      <c r="E14855" t="s">
        <v>51779</v>
      </c>
      <c r="F14855" t="s">
        <v>4032</v>
      </c>
      <c r="G14855" t="s">
        <v>110</v>
      </c>
      <c r="H14855">
        <v>931066130</v>
      </c>
      <c r="I14855" t="s">
        <v>30</v>
      </c>
      <c r="J14855" t="s">
        <v>111</v>
      </c>
      <c r="K14855" t="s">
        <v>112</v>
      </c>
      <c r="Q14855">
        <v>0</v>
      </c>
      <c r="R14855">
        <v>0</v>
      </c>
      <c r="S14855">
        <v>0</v>
      </c>
      <c r="T14855" t="s">
        <v>51799</v>
      </c>
    </row>
    <row r="14856" spans="1:20" customFormat="1" ht="15" x14ac:dyDescent="0.25">
      <c r="A14856" t="s">
        <v>35</v>
      </c>
      <c r="B14856" t="s">
        <v>106</v>
      </c>
      <c r="C14856" t="str">
        <f>"A0136166"</f>
        <v>A0136166</v>
      </c>
      <c r="D14856" t="s">
        <v>51802</v>
      </c>
      <c r="E14856" t="s">
        <v>51779</v>
      </c>
      <c r="F14856" t="s">
        <v>4032</v>
      </c>
      <c r="G14856" t="s">
        <v>110</v>
      </c>
      <c r="H14856">
        <v>931060000</v>
      </c>
      <c r="I14856" t="s">
        <v>30</v>
      </c>
      <c r="J14856" t="s">
        <v>111</v>
      </c>
      <c r="K14856" t="s">
        <v>10012</v>
      </c>
      <c r="Q14856">
        <v>0</v>
      </c>
      <c r="R14856">
        <v>0</v>
      </c>
      <c r="S14856">
        <v>0</v>
      </c>
      <c r="T14856" t="s">
        <v>51780</v>
      </c>
    </row>
    <row r="14857" spans="1:20" customFormat="1" ht="15" x14ac:dyDescent="0.25">
      <c r="A14857" t="s">
        <v>35</v>
      </c>
      <c r="B14857" t="s">
        <v>106</v>
      </c>
      <c r="C14857" t="str">
        <f>"A0136157"</f>
        <v>A0136157</v>
      </c>
      <c r="D14857" t="s">
        <v>51803</v>
      </c>
      <c r="E14857" t="s">
        <v>51779</v>
      </c>
      <c r="F14857" t="s">
        <v>4032</v>
      </c>
      <c r="G14857" t="s">
        <v>110</v>
      </c>
      <c r="H14857">
        <v>931060000</v>
      </c>
      <c r="I14857" t="s">
        <v>30</v>
      </c>
      <c r="J14857" t="s">
        <v>111</v>
      </c>
      <c r="K14857" t="s">
        <v>10012</v>
      </c>
      <c r="Q14857">
        <v>0</v>
      </c>
      <c r="R14857">
        <v>0</v>
      </c>
      <c r="S14857">
        <v>0</v>
      </c>
      <c r="T14857" t="s">
        <v>51780</v>
      </c>
    </row>
    <row r="14858" spans="1:20" customFormat="1" ht="15" x14ac:dyDescent="0.25">
      <c r="A14858" t="s">
        <v>35</v>
      </c>
      <c r="B14858" t="s">
        <v>106</v>
      </c>
      <c r="C14858" t="str">
        <f>"A0136168"</f>
        <v>A0136168</v>
      </c>
      <c r="D14858" t="s">
        <v>51804</v>
      </c>
      <c r="E14858" t="s">
        <v>51786</v>
      </c>
      <c r="F14858" t="s">
        <v>4032</v>
      </c>
      <c r="G14858" t="s">
        <v>110</v>
      </c>
      <c r="H14858">
        <v>931060000</v>
      </c>
      <c r="I14858" t="s">
        <v>30</v>
      </c>
      <c r="J14858" t="s">
        <v>111</v>
      </c>
      <c r="K14858" t="s">
        <v>10012</v>
      </c>
      <c r="Q14858">
        <v>0</v>
      </c>
      <c r="R14858">
        <v>0</v>
      </c>
      <c r="S14858">
        <v>0</v>
      </c>
      <c r="T14858" t="s">
        <v>51780</v>
      </c>
    </row>
    <row r="14859" spans="1:20" customFormat="1" ht="15" x14ac:dyDescent="0.25">
      <c r="A14859" t="s">
        <v>35</v>
      </c>
      <c r="B14859" t="s">
        <v>106</v>
      </c>
      <c r="C14859" t="str">
        <f>"A0136179"</f>
        <v>A0136179</v>
      </c>
      <c r="D14859" t="s">
        <v>51805</v>
      </c>
      <c r="E14859" t="s">
        <v>51779</v>
      </c>
      <c r="F14859" t="s">
        <v>4032</v>
      </c>
      <c r="G14859" t="s">
        <v>110</v>
      </c>
      <c r="H14859">
        <v>931066130</v>
      </c>
      <c r="I14859" t="s">
        <v>30</v>
      </c>
      <c r="J14859" t="s">
        <v>111</v>
      </c>
      <c r="K14859" t="s">
        <v>112</v>
      </c>
      <c r="Q14859">
        <v>0</v>
      </c>
      <c r="R14859">
        <v>0</v>
      </c>
      <c r="S14859">
        <v>0</v>
      </c>
      <c r="T14859" t="s">
        <v>51799</v>
      </c>
    </row>
    <row r="14860" spans="1:20" customFormat="1" ht="15" x14ac:dyDescent="0.25">
      <c r="A14860" t="s">
        <v>35</v>
      </c>
      <c r="B14860" t="s">
        <v>106</v>
      </c>
      <c r="C14860" t="str">
        <f>"A0136169"</f>
        <v>A0136169</v>
      </c>
      <c r="D14860" t="s">
        <v>51806</v>
      </c>
      <c r="E14860" t="s">
        <v>51786</v>
      </c>
      <c r="F14860" t="s">
        <v>4032</v>
      </c>
      <c r="G14860" t="s">
        <v>110</v>
      </c>
      <c r="H14860">
        <v>931060000</v>
      </c>
      <c r="I14860" t="s">
        <v>30</v>
      </c>
      <c r="J14860" t="s">
        <v>111</v>
      </c>
      <c r="K14860" t="s">
        <v>10012</v>
      </c>
      <c r="Q14860">
        <v>0</v>
      </c>
      <c r="R14860">
        <v>0</v>
      </c>
      <c r="S14860">
        <v>0</v>
      </c>
      <c r="T14860" t="s">
        <v>51780</v>
      </c>
    </row>
    <row r="14861" spans="1:20" customFormat="1" ht="15" x14ac:dyDescent="0.25">
      <c r="A14861" t="s">
        <v>35</v>
      </c>
      <c r="B14861" t="s">
        <v>106</v>
      </c>
      <c r="C14861" t="str">
        <f>"A0136165"</f>
        <v>A0136165</v>
      </c>
      <c r="D14861" t="s">
        <v>51807</v>
      </c>
      <c r="E14861" t="s">
        <v>51808</v>
      </c>
      <c r="F14861" t="s">
        <v>4032</v>
      </c>
      <c r="G14861" t="s">
        <v>110</v>
      </c>
      <c r="H14861">
        <v>931066080</v>
      </c>
      <c r="I14861" t="s">
        <v>30</v>
      </c>
      <c r="J14861" t="s">
        <v>111</v>
      </c>
      <c r="K14861" t="s">
        <v>112</v>
      </c>
      <c r="Q14861">
        <v>0</v>
      </c>
      <c r="R14861">
        <v>0</v>
      </c>
      <c r="S14861">
        <v>0</v>
      </c>
      <c r="T14861" t="s">
        <v>51809</v>
      </c>
    </row>
    <row r="14862" spans="1:20" customFormat="1" ht="15" x14ac:dyDescent="0.25">
      <c r="A14862" t="s">
        <v>35</v>
      </c>
      <c r="B14862" t="s">
        <v>106</v>
      </c>
      <c r="C14862" t="str">
        <f>"A0136155"</f>
        <v>A0136155</v>
      </c>
      <c r="D14862" t="s">
        <v>51810</v>
      </c>
      <c r="E14862" t="s">
        <v>51779</v>
      </c>
      <c r="F14862" t="s">
        <v>4032</v>
      </c>
      <c r="G14862" t="s">
        <v>110</v>
      </c>
      <c r="H14862">
        <v>931060000</v>
      </c>
      <c r="I14862" t="s">
        <v>30</v>
      </c>
      <c r="J14862" t="s">
        <v>111</v>
      </c>
      <c r="K14862" t="s">
        <v>10012</v>
      </c>
      <c r="Q14862">
        <v>0</v>
      </c>
      <c r="R14862">
        <v>0</v>
      </c>
      <c r="S14862">
        <v>0</v>
      </c>
      <c r="T14862" t="s">
        <v>51780</v>
      </c>
    </row>
    <row r="14863" spans="1:20" customFormat="1" ht="15" x14ac:dyDescent="0.25">
      <c r="A14863" t="s">
        <v>35</v>
      </c>
      <c r="B14863" t="s">
        <v>106</v>
      </c>
      <c r="C14863" t="str">
        <f>"A0135536"</f>
        <v>A0135536</v>
      </c>
      <c r="D14863" t="s">
        <v>51811</v>
      </c>
      <c r="E14863" t="s">
        <v>51812</v>
      </c>
      <c r="F14863" t="s">
        <v>27607</v>
      </c>
      <c r="G14863" t="s">
        <v>110</v>
      </c>
      <c r="H14863">
        <v>95064</v>
      </c>
      <c r="I14863" t="s">
        <v>30</v>
      </c>
      <c r="J14863" t="s">
        <v>111</v>
      </c>
      <c r="K14863" t="s">
        <v>10012</v>
      </c>
      <c r="Q14863">
        <v>0</v>
      </c>
      <c r="R14863">
        <v>0</v>
      </c>
      <c r="S14863">
        <v>0</v>
      </c>
      <c r="T14863" t="s">
        <v>51813</v>
      </c>
    </row>
    <row r="14864" spans="1:20" customFormat="1" ht="15" x14ac:dyDescent="0.25">
      <c r="A14864" t="s">
        <v>35</v>
      </c>
      <c r="B14864" t="s">
        <v>106</v>
      </c>
      <c r="C14864" t="str">
        <f>"A0135541"</f>
        <v>A0135541</v>
      </c>
      <c r="D14864" t="s">
        <v>51814</v>
      </c>
      <c r="E14864" t="s">
        <v>51812</v>
      </c>
      <c r="F14864" t="s">
        <v>27607</v>
      </c>
      <c r="G14864" t="s">
        <v>110</v>
      </c>
      <c r="H14864">
        <v>95064</v>
      </c>
      <c r="I14864" t="s">
        <v>30</v>
      </c>
      <c r="J14864" t="s">
        <v>111</v>
      </c>
      <c r="K14864" t="s">
        <v>10012</v>
      </c>
      <c r="Q14864">
        <v>0</v>
      </c>
      <c r="R14864">
        <v>0</v>
      </c>
      <c r="S14864">
        <v>0</v>
      </c>
      <c r="T14864" t="s">
        <v>51813</v>
      </c>
    </row>
    <row r="14865" spans="1:20" customFormat="1" ht="15" x14ac:dyDescent="0.25">
      <c r="A14865" t="s">
        <v>35</v>
      </c>
      <c r="B14865" t="s">
        <v>106</v>
      </c>
      <c r="C14865" t="str">
        <f>"A0135542"</f>
        <v>A0135542</v>
      </c>
      <c r="D14865" t="s">
        <v>51815</v>
      </c>
      <c r="E14865" t="s">
        <v>51812</v>
      </c>
      <c r="F14865" t="s">
        <v>27607</v>
      </c>
      <c r="G14865" t="s">
        <v>110</v>
      </c>
      <c r="H14865">
        <v>95064</v>
      </c>
      <c r="I14865" t="s">
        <v>30</v>
      </c>
      <c r="J14865" t="s">
        <v>111</v>
      </c>
      <c r="K14865" t="s">
        <v>10012</v>
      </c>
      <c r="Q14865">
        <v>0</v>
      </c>
      <c r="R14865">
        <v>0</v>
      </c>
      <c r="S14865">
        <v>0</v>
      </c>
      <c r="T14865" t="s">
        <v>51813</v>
      </c>
    </row>
    <row r="14866" spans="1:20" customFormat="1" ht="15" x14ac:dyDescent="0.25">
      <c r="A14866" t="s">
        <v>35</v>
      </c>
      <c r="B14866" t="s">
        <v>106</v>
      </c>
      <c r="C14866" t="str">
        <f>"A0135537"</f>
        <v>A0135537</v>
      </c>
      <c r="D14866" t="s">
        <v>51816</v>
      </c>
      <c r="E14866" t="s">
        <v>51812</v>
      </c>
      <c r="F14866" t="s">
        <v>27607</v>
      </c>
      <c r="G14866" t="s">
        <v>110</v>
      </c>
      <c r="H14866">
        <v>95064</v>
      </c>
      <c r="I14866" t="s">
        <v>30</v>
      </c>
      <c r="J14866" t="s">
        <v>111</v>
      </c>
      <c r="K14866" t="s">
        <v>10012</v>
      </c>
      <c r="Q14866">
        <v>0</v>
      </c>
      <c r="R14866">
        <v>0</v>
      </c>
      <c r="S14866">
        <v>0</v>
      </c>
      <c r="T14866" t="s">
        <v>51813</v>
      </c>
    </row>
    <row r="14867" spans="1:20" customFormat="1" ht="15" x14ac:dyDescent="0.25">
      <c r="A14867" t="s">
        <v>35</v>
      </c>
      <c r="B14867" t="s">
        <v>106</v>
      </c>
      <c r="C14867" t="str">
        <f>"A0135543"</f>
        <v>A0135543</v>
      </c>
      <c r="D14867" t="s">
        <v>51817</v>
      </c>
      <c r="E14867" t="s">
        <v>51812</v>
      </c>
      <c r="F14867" t="s">
        <v>27607</v>
      </c>
      <c r="G14867" t="s">
        <v>110</v>
      </c>
      <c r="H14867">
        <v>95064</v>
      </c>
      <c r="I14867" t="s">
        <v>30</v>
      </c>
      <c r="J14867" t="s">
        <v>111</v>
      </c>
      <c r="K14867" t="s">
        <v>10012</v>
      </c>
      <c r="Q14867">
        <v>0</v>
      </c>
      <c r="R14867">
        <v>0</v>
      </c>
      <c r="S14867">
        <v>0</v>
      </c>
      <c r="T14867" t="s">
        <v>51813</v>
      </c>
    </row>
    <row r="14868" spans="1:20" customFormat="1" ht="15" x14ac:dyDescent="0.25">
      <c r="A14868" t="s">
        <v>35</v>
      </c>
      <c r="B14868" t="s">
        <v>106</v>
      </c>
      <c r="C14868" t="str">
        <f>"A0135545"</f>
        <v>A0135545</v>
      </c>
      <c r="D14868" t="s">
        <v>51818</v>
      </c>
      <c r="E14868" t="s">
        <v>51812</v>
      </c>
      <c r="F14868" t="s">
        <v>27607</v>
      </c>
      <c r="G14868" t="s">
        <v>110</v>
      </c>
      <c r="H14868">
        <v>95064</v>
      </c>
      <c r="I14868" t="s">
        <v>30</v>
      </c>
      <c r="J14868" t="s">
        <v>111</v>
      </c>
      <c r="K14868" t="s">
        <v>10012</v>
      </c>
      <c r="Q14868">
        <v>0</v>
      </c>
      <c r="R14868">
        <v>0</v>
      </c>
      <c r="S14868">
        <v>0</v>
      </c>
      <c r="T14868" t="s">
        <v>51813</v>
      </c>
    </row>
    <row r="14869" spans="1:20" customFormat="1" ht="15" x14ac:dyDescent="0.25">
      <c r="A14869" t="s">
        <v>35</v>
      </c>
      <c r="B14869" t="s">
        <v>106</v>
      </c>
      <c r="C14869" t="str">
        <f>"A0135548"</f>
        <v>A0135548</v>
      </c>
      <c r="D14869" t="s">
        <v>51819</v>
      </c>
      <c r="E14869" t="s">
        <v>51812</v>
      </c>
      <c r="F14869" t="s">
        <v>27607</v>
      </c>
      <c r="G14869" t="s">
        <v>110</v>
      </c>
      <c r="H14869">
        <v>95064</v>
      </c>
      <c r="I14869" t="s">
        <v>30</v>
      </c>
      <c r="J14869" t="s">
        <v>111</v>
      </c>
      <c r="K14869" t="s">
        <v>10012</v>
      </c>
      <c r="Q14869">
        <v>0</v>
      </c>
      <c r="R14869">
        <v>0</v>
      </c>
      <c r="S14869">
        <v>0</v>
      </c>
      <c r="T14869" t="s">
        <v>51813</v>
      </c>
    </row>
    <row r="14870" spans="1:20" customFormat="1" ht="15" x14ac:dyDescent="0.25">
      <c r="A14870" t="s">
        <v>35</v>
      </c>
      <c r="B14870" t="s">
        <v>106</v>
      </c>
      <c r="C14870" t="str">
        <f>"A0135549"</f>
        <v>A0135549</v>
      </c>
      <c r="D14870" t="s">
        <v>51820</v>
      </c>
      <c r="E14870" t="s">
        <v>51812</v>
      </c>
      <c r="F14870" t="s">
        <v>27607</v>
      </c>
      <c r="G14870" t="s">
        <v>110</v>
      </c>
      <c r="H14870">
        <v>95064</v>
      </c>
      <c r="I14870" t="s">
        <v>30</v>
      </c>
      <c r="J14870" t="s">
        <v>111</v>
      </c>
      <c r="K14870" t="s">
        <v>10012</v>
      </c>
      <c r="Q14870">
        <v>0</v>
      </c>
      <c r="R14870">
        <v>0</v>
      </c>
      <c r="S14870">
        <v>0</v>
      </c>
      <c r="T14870" t="s">
        <v>51813</v>
      </c>
    </row>
    <row r="14871" spans="1:20" customFormat="1" ht="15" x14ac:dyDescent="0.25">
      <c r="A14871" t="s">
        <v>35</v>
      </c>
      <c r="B14871" t="s">
        <v>106</v>
      </c>
      <c r="C14871" t="str">
        <f>"A0135538"</f>
        <v>A0135538</v>
      </c>
      <c r="D14871" t="s">
        <v>51821</v>
      </c>
      <c r="E14871" t="s">
        <v>51812</v>
      </c>
      <c r="F14871" t="s">
        <v>27607</v>
      </c>
      <c r="G14871" t="s">
        <v>110</v>
      </c>
      <c r="H14871">
        <v>95064</v>
      </c>
      <c r="I14871" t="s">
        <v>30</v>
      </c>
      <c r="J14871" t="s">
        <v>111</v>
      </c>
      <c r="K14871" t="s">
        <v>10012</v>
      </c>
      <c r="Q14871">
        <v>0</v>
      </c>
      <c r="R14871">
        <v>0</v>
      </c>
      <c r="S14871">
        <v>0</v>
      </c>
      <c r="T14871" t="s">
        <v>51813</v>
      </c>
    </row>
    <row r="14872" spans="1:20" customFormat="1" ht="15" x14ac:dyDescent="0.25">
      <c r="A14872" t="s">
        <v>35</v>
      </c>
      <c r="B14872" t="s">
        <v>106</v>
      </c>
      <c r="C14872" t="str">
        <f>"A0135550"</f>
        <v>A0135550</v>
      </c>
      <c r="D14872" t="s">
        <v>51822</v>
      </c>
      <c r="E14872" t="s">
        <v>51812</v>
      </c>
      <c r="F14872" t="s">
        <v>27607</v>
      </c>
      <c r="G14872" t="s">
        <v>110</v>
      </c>
      <c r="H14872">
        <v>95064</v>
      </c>
      <c r="I14872" t="s">
        <v>30</v>
      </c>
      <c r="J14872" t="s">
        <v>111</v>
      </c>
      <c r="K14872" t="s">
        <v>10012</v>
      </c>
      <c r="Q14872">
        <v>0</v>
      </c>
      <c r="R14872">
        <v>0</v>
      </c>
      <c r="S14872">
        <v>0</v>
      </c>
      <c r="T14872" t="s">
        <v>51813</v>
      </c>
    </row>
    <row r="14873" spans="1:20" customFormat="1" ht="15" x14ac:dyDescent="0.25">
      <c r="A14873" t="s">
        <v>35</v>
      </c>
      <c r="B14873" t="s">
        <v>106</v>
      </c>
      <c r="C14873" t="str">
        <f>"A0135546"</f>
        <v>A0135546</v>
      </c>
      <c r="D14873" t="s">
        <v>51823</v>
      </c>
      <c r="E14873" t="s">
        <v>51812</v>
      </c>
      <c r="F14873" t="s">
        <v>27607</v>
      </c>
      <c r="G14873" t="s">
        <v>110</v>
      </c>
      <c r="H14873">
        <v>95064</v>
      </c>
      <c r="I14873" t="s">
        <v>30</v>
      </c>
      <c r="J14873" t="s">
        <v>111</v>
      </c>
      <c r="K14873" t="s">
        <v>10012</v>
      </c>
      <c r="Q14873">
        <v>0</v>
      </c>
      <c r="R14873">
        <v>0</v>
      </c>
      <c r="S14873">
        <v>0</v>
      </c>
      <c r="T14873" t="s">
        <v>51813</v>
      </c>
    </row>
    <row r="14874" spans="1:20" customFormat="1" ht="15" x14ac:dyDescent="0.25">
      <c r="A14874" t="s">
        <v>35</v>
      </c>
      <c r="B14874" t="s">
        <v>106</v>
      </c>
      <c r="C14874" t="str">
        <f>"A0135547"</f>
        <v>A0135547</v>
      </c>
      <c r="D14874" t="s">
        <v>51824</v>
      </c>
      <c r="E14874" t="s">
        <v>51812</v>
      </c>
      <c r="F14874" t="s">
        <v>27607</v>
      </c>
      <c r="G14874" t="s">
        <v>110</v>
      </c>
      <c r="H14874">
        <v>95064</v>
      </c>
      <c r="I14874" t="s">
        <v>30</v>
      </c>
      <c r="J14874" t="s">
        <v>111</v>
      </c>
      <c r="K14874" t="s">
        <v>10012</v>
      </c>
      <c r="Q14874">
        <v>0</v>
      </c>
      <c r="R14874">
        <v>0</v>
      </c>
      <c r="S14874">
        <v>0</v>
      </c>
      <c r="T14874" t="s">
        <v>51813</v>
      </c>
    </row>
    <row r="14875" spans="1:20" customFormat="1" ht="15" x14ac:dyDescent="0.25">
      <c r="A14875" t="s">
        <v>35</v>
      </c>
      <c r="B14875" t="s">
        <v>106</v>
      </c>
      <c r="C14875" t="str">
        <f>"A0135552"</f>
        <v>A0135552</v>
      </c>
      <c r="D14875" t="s">
        <v>51825</v>
      </c>
      <c r="E14875" t="s">
        <v>51812</v>
      </c>
      <c r="F14875" t="s">
        <v>27607</v>
      </c>
      <c r="G14875" t="s">
        <v>110</v>
      </c>
      <c r="H14875">
        <v>95064</v>
      </c>
      <c r="I14875" t="s">
        <v>30</v>
      </c>
      <c r="J14875" t="s">
        <v>111</v>
      </c>
      <c r="K14875" t="s">
        <v>10012</v>
      </c>
      <c r="Q14875">
        <v>0</v>
      </c>
      <c r="R14875">
        <v>0</v>
      </c>
      <c r="S14875">
        <v>0</v>
      </c>
      <c r="T14875" t="s">
        <v>51813</v>
      </c>
    </row>
    <row r="14876" spans="1:20" customFormat="1" ht="15" x14ac:dyDescent="0.25">
      <c r="A14876" t="s">
        <v>35</v>
      </c>
      <c r="B14876" t="s">
        <v>106</v>
      </c>
      <c r="C14876" t="str">
        <f>"A0135544"</f>
        <v>A0135544</v>
      </c>
      <c r="D14876" t="s">
        <v>51826</v>
      </c>
      <c r="E14876" t="s">
        <v>51812</v>
      </c>
      <c r="F14876" t="s">
        <v>27607</v>
      </c>
      <c r="G14876" t="s">
        <v>110</v>
      </c>
      <c r="H14876">
        <v>95064</v>
      </c>
      <c r="I14876" t="s">
        <v>30</v>
      </c>
      <c r="J14876" t="s">
        <v>111</v>
      </c>
      <c r="K14876" t="s">
        <v>10012</v>
      </c>
      <c r="Q14876">
        <v>0</v>
      </c>
      <c r="R14876">
        <v>0</v>
      </c>
      <c r="S14876">
        <v>0</v>
      </c>
      <c r="T14876" t="s">
        <v>51813</v>
      </c>
    </row>
    <row r="14877" spans="1:20" customFormat="1" ht="15" x14ac:dyDescent="0.25">
      <c r="A14877" t="s">
        <v>35</v>
      </c>
      <c r="B14877" t="s">
        <v>106</v>
      </c>
      <c r="C14877" t="str">
        <f>"A0135540"</f>
        <v>A0135540</v>
      </c>
      <c r="D14877" t="s">
        <v>51827</v>
      </c>
      <c r="E14877" t="s">
        <v>51812</v>
      </c>
      <c r="F14877" t="s">
        <v>27607</v>
      </c>
      <c r="G14877" t="s">
        <v>110</v>
      </c>
      <c r="H14877">
        <v>95064</v>
      </c>
      <c r="I14877" t="s">
        <v>30</v>
      </c>
      <c r="J14877" t="s">
        <v>111</v>
      </c>
      <c r="K14877" t="s">
        <v>10012</v>
      </c>
      <c r="Q14877">
        <v>0</v>
      </c>
      <c r="R14877">
        <v>0</v>
      </c>
      <c r="S14877">
        <v>0</v>
      </c>
      <c r="T14877" t="s">
        <v>51813</v>
      </c>
    </row>
    <row r="14878" spans="1:20" customFormat="1" ht="15" x14ac:dyDescent="0.25">
      <c r="A14878" t="s">
        <v>35</v>
      </c>
      <c r="B14878" t="s">
        <v>106</v>
      </c>
      <c r="C14878" t="str">
        <f>"A0135539"</f>
        <v>A0135539</v>
      </c>
      <c r="D14878" t="s">
        <v>51828</v>
      </c>
      <c r="E14878" t="s">
        <v>51812</v>
      </c>
      <c r="F14878" t="s">
        <v>27607</v>
      </c>
      <c r="G14878" t="s">
        <v>110</v>
      </c>
      <c r="H14878">
        <v>95064</v>
      </c>
      <c r="I14878" t="s">
        <v>30</v>
      </c>
      <c r="J14878" t="s">
        <v>111</v>
      </c>
      <c r="K14878" t="s">
        <v>10012</v>
      </c>
      <c r="Q14878">
        <v>0</v>
      </c>
      <c r="R14878">
        <v>0</v>
      </c>
      <c r="S14878">
        <v>0</v>
      </c>
      <c r="T14878" t="s">
        <v>51813</v>
      </c>
    </row>
    <row r="14879" spans="1:20" customFormat="1" ht="15" x14ac:dyDescent="0.25">
      <c r="A14879" t="s">
        <v>35</v>
      </c>
      <c r="B14879" t="s">
        <v>106</v>
      </c>
      <c r="C14879" t="str">
        <f>"A0135551"</f>
        <v>A0135551</v>
      </c>
      <c r="D14879" t="s">
        <v>51829</v>
      </c>
      <c r="E14879" t="s">
        <v>51812</v>
      </c>
      <c r="F14879" t="s">
        <v>27607</v>
      </c>
      <c r="G14879" t="s">
        <v>110</v>
      </c>
      <c r="H14879">
        <v>95064</v>
      </c>
      <c r="I14879" t="s">
        <v>30</v>
      </c>
      <c r="J14879" t="s">
        <v>111</v>
      </c>
      <c r="K14879" t="s">
        <v>10012</v>
      </c>
      <c r="Q14879">
        <v>0</v>
      </c>
      <c r="R14879">
        <v>0</v>
      </c>
      <c r="S14879">
        <v>0</v>
      </c>
      <c r="T14879" t="s">
        <v>51813</v>
      </c>
    </row>
    <row r="14880" spans="1:20" customFormat="1" ht="15" x14ac:dyDescent="0.25">
      <c r="A14880" t="s">
        <v>35</v>
      </c>
      <c r="B14880" t="s">
        <v>106</v>
      </c>
      <c r="C14880" t="str">
        <f>"A0135454"</f>
        <v>A0135454</v>
      </c>
      <c r="D14880" t="s">
        <v>51830</v>
      </c>
      <c r="E14880" t="s">
        <v>51812</v>
      </c>
      <c r="F14880" t="s">
        <v>27607</v>
      </c>
      <c r="G14880" t="s">
        <v>110</v>
      </c>
      <c r="H14880">
        <v>95064</v>
      </c>
      <c r="I14880" t="s">
        <v>30</v>
      </c>
      <c r="J14880" t="s">
        <v>111</v>
      </c>
      <c r="K14880" t="s">
        <v>10012</v>
      </c>
      <c r="Q14880">
        <v>0</v>
      </c>
      <c r="R14880">
        <v>0</v>
      </c>
      <c r="S14880">
        <v>0</v>
      </c>
      <c r="T14880" t="s">
        <v>51813</v>
      </c>
    </row>
    <row r="14881" spans="1:20" customFormat="1" ht="15" x14ac:dyDescent="0.25">
      <c r="A14881" t="s">
        <v>35</v>
      </c>
      <c r="B14881" t="s">
        <v>106</v>
      </c>
      <c r="C14881" t="str">
        <f>"A0135911"</f>
        <v>A0135911</v>
      </c>
      <c r="D14881" t="s">
        <v>51831</v>
      </c>
      <c r="E14881" t="s">
        <v>51832</v>
      </c>
      <c r="F14881" t="s">
        <v>14856</v>
      </c>
      <c r="G14881" t="s">
        <v>110</v>
      </c>
      <c r="H14881">
        <v>92697</v>
      </c>
      <c r="I14881" t="s">
        <v>30</v>
      </c>
      <c r="J14881" t="s">
        <v>111</v>
      </c>
      <c r="K14881" t="s">
        <v>10012</v>
      </c>
      <c r="Q14881">
        <v>0</v>
      </c>
      <c r="R14881">
        <v>0</v>
      </c>
      <c r="S14881">
        <v>0</v>
      </c>
      <c r="T14881" t="s">
        <v>51833</v>
      </c>
    </row>
    <row r="14882" spans="1:20" customFormat="1" ht="15" x14ac:dyDescent="0.25">
      <c r="A14882" t="s">
        <v>35</v>
      </c>
      <c r="B14882" t="s">
        <v>106</v>
      </c>
      <c r="C14882" t="str">
        <f>"A0135895"</f>
        <v>A0135895</v>
      </c>
      <c r="D14882" t="s">
        <v>51834</v>
      </c>
      <c r="E14882" t="s">
        <v>51832</v>
      </c>
      <c r="F14882" t="s">
        <v>14856</v>
      </c>
      <c r="G14882" t="s">
        <v>110</v>
      </c>
      <c r="H14882">
        <v>92697</v>
      </c>
      <c r="I14882" t="s">
        <v>30</v>
      </c>
      <c r="J14882" t="s">
        <v>111</v>
      </c>
      <c r="K14882" t="s">
        <v>10012</v>
      </c>
      <c r="Q14882">
        <v>0</v>
      </c>
      <c r="R14882">
        <v>0</v>
      </c>
      <c r="S14882">
        <v>0</v>
      </c>
      <c r="T14882" t="s">
        <v>51835</v>
      </c>
    </row>
    <row r="14883" spans="1:20" customFormat="1" ht="15" x14ac:dyDescent="0.25">
      <c r="A14883" t="s">
        <v>35</v>
      </c>
      <c r="B14883" t="s">
        <v>106</v>
      </c>
      <c r="C14883" t="str">
        <f>"A0135914"</f>
        <v>A0135914</v>
      </c>
      <c r="D14883" t="s">
        <v>51836</v>
      </c>
      <c r="E14883" t="s">
        <v>51837</v>
      </c>
      <c r="F14883" t="s">
        <v>14856</v>
      </c>
      <c r="G14883" t="s">
        <v>110</v>
      </c>
      <c r="H14883">
        <v>92697</v>
      </c>
      <c r="I14883" t="s">
        <v>30</v>
      </c>
      <c r="J14883" t="s">
        <v>111</v>
      </c>
      <c r="K14883" t="s">
        <v>10012</v>
      </c>
      <c r="Q14883">
        <v>0</v>
      </c>
      <c r="R14883">
        <v>0</v>
      </c>
      <c r="S14883">
        <v>0</v>
      </c>
      <c r="T14883" t="s">
        <v>51838</v>
      </c>
    </row>
    <row r="14884" spans="1:20" customFormat="1" ht="15" x14ac:dyDescent="0.25">
      <c r="A14884" t="s">
        <v>35</v>
      </c>
      <c r="B14884" t="s">
        <v>106</v>
      </c>
      <c r="C14884" t="str">
        <f>"A0135894"</f>
        <v>A0135894</v>
      </c>
      <c r="D14884" t="s">
        <v>51839</v>
      </c>
      <c r="E14884" t="s">
        <v>51832</v>
      </c>
      <c r="F14884" t="s">
        <v>14856</v>
      </c>
      <c r="G14884" t="s">
        <v>110</v>
      </c>
      <c r="H14884">
        <v>92697</v>
      </c>
      <c r="I14884" t="s">
        <v>30</v>
      </c>
      <c r="J14884" t="s">
        <v>111</v>
      </c>
      <c r="K14884" t="s">
        <v>10012</v>
      </c>
      <c r="Q14884">
        <v>0</v>
      </c>
      <c r="R14884">
        <v>0</v>
      </c>
      <c r="S14884">
        <v>0</v>
      </c>
      <c r="T14884" t="s">
        <v>51835</v>
      </c>
    </row>
    <row r="14885" spans="1:20" customFormat="1" ht="15" x14ac:dyDescent="0.25">
      <c r="A14885" t="s">
        <v>35</v>
      </c>
      <c r="B14885" t="s">
        <v>106</v>
      </c>
      <c r="C14885" t="str">
        <f>"A0135913"</f>
        <v>A0135913</v>
      </c>
      <c r="D14885" t="s">
        <v>51840</v>
      </c>
      <c r="E14885" t="s">
        <v>51832</v>
      </c>
      <c r="F14885" t="s">
        <v>14856</v>
      </c>
      <c r="G14885" t="s">
        <v>110</v>
      </c>
      <c r="H14885">
        <v>92697</v>
      </c>
      <c r="I14885" t="s">
        <v>30</v>
      </c>
      <c r="J14885" t="s">
        <v>111</v>
      </c>
      <c r="K14885" t="s">
        <v>10012</v>
      </c>
      <c r="Q14885">
        <v>0</v>
      </c>
      <c r="R14885">
        <v>0</v>
      </c>
      <c r="S14885">
        <v>0</v>
      </c>
      <c r="T14885" t="s">
        <v>51841</v>
      </c>
    </row>
    <row r="14886" spans="1:20" customFormat="1" ht="15" x14ac:dyDescent="0.25">
      <c r="A14886" t="s">
        <v>35</v>
      </c>
      <c r="B14886" t="s">
        <v>106</v>
      </c>
      <c r="C14886" t="str">
        <f>"A0135907"</f>
        <v>A0135907</v>
      </c>
      <c r="D14886" t="s">
        <v>51842</v>
      </c>
      <c r="E14886" t="s">
        <v>51832</v>
      </c>
      <c r="F14886" t="s">
        <v>14856</v>
      </c>
      <c r="G14886" t="s">
        <v>110</v>
      </c>
      <c r="H14886">
        <v>92697</v>
      </c>
      <c r="I14886" t="s">
        <v>30</v>
      </c>
      <c r="J14886" t="s">
        <v>111</v>
      </c>
      <c r="K14886" t="s">
        <v>10012</v>
      </c>
      <c r="Q14886">
        <v>0</v>
      </c>
      <c r="R14886">
        <v>0</v>
      </c>
      <c r="S14886">
        <v>0</v>
      </c>
      <c r="T14886" t="s">
        <v>51835</v>
      </c>
    </row>
    <row r="14887" spans="1:20" customFormat="1" ht="15" x14ac:dyDescent="0.25">
      <c r="A14887" t="s">
        <v>35</v>
      </c>
      <c r="B14887" t="s">
        <v>106</v>
      </c>
      <c r="C14887" t="str">
        <f>"A0135903"</f>
        <v>A0135903</v>
      </c>
      <c r="D14887" t="s">
        <v>51843</v>
      </c>
      <c r="E14887" t="s">
        <v>51832</v>
      </c>
      <c r="F14887" t="s">
        <v>14856</v>
      </c>
      <c r="G14887" t="s">
        <v>110</v>
      </c>
      <c r="H14887">
        <v>92697</v>
      </c>
      <c r="I14887" t="s">
        <v>30</v>
      </c>
      <c r="J14887" t="s">
        <v>111</v>
      </c>
      <c r="K14887" t="s">
        <v>10012</v>
      </c>
      <c r="Q14887">
        <v>0</v>
      </c>
      <c r="R14887">
        <v>0</v>
      </c>
      <c r="S14887">
        <v>0</v>
      </c>
      <c r="T14887" t="s">
        <v>51835</v>
      </c>
    </row>
    <row r="14888" spans="1:20" customFormat="1" ht="15" x14ac:dyDescent="0.25">
      <c r="A14888" t="s">
        <v>35</v>
      </c>
      <c r="B14888" t="s">
        <v>106</v>
      </c>
      <c r="C14888" t="str">
        <f>"A0135912"</f>
        <v>A0135912</v>
      </c>
      <c r="D14888" t="s">
        <v>51844</v>
      </c>
      <c r="E14888" t="s">
        <v>51845</v>
      </c>
      <c r="F14888" t="s">
        <v>14856</v>
      </c>
      <c r="G14888" t="s">
        <v>110</v>
      </c>
      <c r="H14888">
        <v>926975350</v>
      </c>
      <c r="I14888" t="s">
        <v>30</v>
      </c>
      <c r="J14888" t="s">
        <v>111</v>
      </c>
      <c r="K14888" t="s">
        <v>10012</v>
      </c>
      <c r="Q14888">
        <v>0</v>
      </c>
      <c r="R14888">
        <v>0</v>
      </c>
      <c r="S14888">
        <v>0</v>
      </c>
      <c r="T14888" t="s">
        <v>51846</v>
      </c>
    </row>
    <row r="14889" spans="1:20" customFormat="1" ht="15" x14ac:dyDescent="0.25">
      <c r="A14889" t="s">
        <v>35</v>
      </c>
      <c r="B14889" t="s">
        <v>106</v>
      </c>
      <c r="C14889" t="str">
        <f>"A0135904"</f>
        <v>A0135904</v>
      </c>
      <c r="D14889" t="s">
        <v>51847</v>
      </c>
      <c r="E14889" t="s">
        <v>51832</v>
      </c>
      <c r="F14889" t="s">
        <v>14856</v>
      </c>
      <c r="G14889" t="s">
        <v>110</v>
      </c>
      <c r="H14889">
        <v>92697</v>
      </c>
      <c r="I14889" t="s">
        <v>30</v>
      </c>
      <c r="J14889" t="s">
        <v>111</v>
      </c>
      <c r="K14889" t="s">
        <v>10012</v>
      </c>
      <c r="Q14889">
        <v>0</v>
      </c>
      <c r="R14889">
        <v>0</v>
      </c>
      <c r="S14889">
        <v>0</v>
      </c>
      <c r="T14889" t="s">
        <v>51835</v>
      </c>
    </row>
    <row r="14890" spans="1:20" customFormat="1" ht="15" x14ac:dyDescent="0.25">
      <c r="A14890" t="s">
        <v>35</v>
      </c>
      <c r="B14890" t="s">
        <v>106</v>
      </c>
      <c r="C14890" t="str">
        <f>"A0135908"</f>
        <v>A0135908</v>
      </c>
      <c r="D14890" t="s">
        <v>51848</v>
      </c>
      <c r="E14890" t="s">
        <v>51832</v>
      </c>
      <c r="F14890" t="s">
        <v>14856</v>
      </c>
      <c r="G14890" t="s">
        <v>110</v>
      </c>
      <c r="H14890">
        <v>92697</v>
      </c>
      <c r="I14890" t="s">
        <v>30</v>
      </c>
      <c r="J14890" t="s">
        <v>111</v>
      </c>
      <c r="K14890" t="s">
        <v>10012</v>
      </c>
      <c r="Q14890">
        <v>0</v>
      </c>
      <c r="R14890">
        <v>0</v>
      </c>
      <c r="S14890">
        <v>0</v>
      </c>
      <c r="T14890" t="s">
        <v>51835</v>
      </c>
    </row>
    <row r="14891" spans="1:20" customFormat="1" ht="15" x14ac:dyDescent="0.25">
      <c r="A14891" t="s">
        <v>35</v>
      </c>
      <c r="B14891" t="s">
        <v>106</v>
      </c>
      <c r="C14891" t="str">
        <f>"A0135893"</f>
        <v>A0135893</v>
      </c>
      <c r="D14891" t="s">
        <v>51849</v>
      </c>
      <c r="E14891" t="s">
        <v>51832</v>
      </c>
      <c r="F14891" t="s">
        <v>14856</v>
      </c>
      <c r="G14891" t="s">
        <v>110</v>
      </c>
      <c r="H14891">
        <v>92697</v>
      </c>
      <c r="I14891" t="s">
        <v>30</v>
      </c>
      <c r="J14891" t="s">
        <v>111</v>
      </c>
      <c r="K14891" t="s">
        <v>10012</v>
      </c>
      <c r="Q14891">
        <v>0</v>
      </c>
      <c r="R14891">
        <v>0</v>
      </c>
      <c r="S14891">
        <v>0</v>
      </c>
      <c r="T14891" t="s">
        <v>51835</v>
      </c>
    </row>
    <row r="14892" spans="1:20" customFormat="1" ht="15" x14ac:dyDescent="0.25">
      <c r="A14892" t="s">
        <v>35</v>
      </c>
      <c r="B14892" t="s">
        <v>106</v>
      </c>
      <c r="C14892" t="str">
        <f>"A0135892"</f>
        <v>A0135892</v>
      </c>
      <c r="D14892" t="s">
        <v>51850</v>
      </c>
      <c r="E14892" t="s">
        <v>51832</v>
      </c>
      <c r="F14892" t="s">
        <v>14856</v>
      </c>
      <c r="G14892" t="s">
        <v>110</v>
      </c>
      <c r="H14892">
        <v>92697</v>
      </c>
      <c r="I14892" t="s">
        <v>30</v>
      </c>
      <c r="J14892" t="s">
        <v>111</v>
      </c>
      <c r="K14892" t="s">
        <v>10012</v>
      </c>
      <c r="Q14892">
        <v>0</v>
      </c>
      <c r="R14892">
        <v>0</v>
      </c>
      <c r="S14892">
        <v>0</v>
      </c>
      <c r="T14892" t="s">
        <v>51835</v>
      </c>
    </row>
    <row r="14893" spans="1:20" customFormat="1" ht="15" x14ac:dyDescent="0.25">
      <c r="A14893" t="s">
        <v>35</v>
      </c>
      <c r="B14893" t="s">
        <v>106</v>
      </c>
      <c r="C14893" t="str">
        <f>"A0135906"</f>
        <v>A0135906</v>
      </c>
      <c r="D14893" t="s">
        <v>51851</v>
      </c>
      <c r="E14893" t="s">
        <v>51832</v>
      </c>
      <c r="F14893" t="s">
        <v>14856</v>
      </c>
      <c r="G14893" t="s">
        <v>110</v>
      </c>
      <c r="H14893">
        <v>92697</v>
      </c>
      <c r="I14893" t="s">
        <v>30</v>
      </c>
      <c r="J14893" t="s">
        <v>111</v>
      </c>
      <c r="K14893" t="s">
        <v>10012</v>
      </c>
      <c r="Q14893">
        <v>0</v>
      </c>
      <c r="R14893">
        <v>0</v>
      </c>
      <c r="S14893">
        <v>0</v>
      </c>
      <c r="T14893" t="s">
        <v>51835</v>
      </c>
    </row>
    <row r="14894" spans="1:20" customFormat="1" ht="15" x14ac:dyDescent="0.25">
      <c r="A14894" t="s">
        <v>35</v>
      </c>
      <c r="B14894" t="s">
        <v>106</v>
      </c>
      <c r="C14894" t="str">
        <f>"A0135897"</f>
        <v>A0135897</v>
      </c>
      <c r="D14894" t="s">
        <v>51852</v>
      </c>
      <c r="E14894" t="s">
        <v>51832</v>
      </c>
      <c r="F14894" t="s">
        <v>14856</v>
      </c>
      <c r="G14894" t="s">
        <v>110</v>
      </c>
      <c r="H14894">
        <v>92697</v>
      </c>
      <c r="I14894" t="s">
        <v>30</v>
      </c>
      <c r="J14894" t="s">
        <v>111</v>
      </c>
      <c r="K14894" t="s">
        <v>10012</v>
      </c>
      <c r="Q14894">
        <v>0</v>
      </c>
      <c r="R14894">
        <v>0</v>
      </c>
      <c r="S14894">
        <v>0</v>
      </c>
      <c r="T14894" t="s">
        <v>51835</v>
      </c>
    </row>
    <row r="14895" spans="1:20" customFormat="1" ht="15" x14ac:dyDescent="0.25">
      <c r="A14895" t="s">
        <v>35</v>
      </c>
      <c r="B14895" t="s">
        <v>106</v>
      </c>
      <c r="C14895" t="str">
        <f>"A0135900"</f>
        <v>A0135900</v>
      </c>
      <c r="D14895" t="s">
        <v>51853</v>
      </c>
      <c r="E14895" t="s">
        <v>51832</v>
      </c>
      <c r="F14895" t="s">
        <v>14856</v>
      </c>
      <c r="G14895" t="s">
        <v>110</v>
      </c>
      <c r="H14895">
        <v>92697</v>
      </c>
      <c r="I14895" t="s">
        <v>30</v>
      </c>
      <c r="J14895" t="s">
        <v>111</v>
      </c>
      <c r="K14895" t="s">
        <v>10012</v>
      </c>
      <c r="Q14895">
        <v>0</v>
      </c>
      <c r="R14895">
        <v>0</v>
      </c>
      <c r="S14895">
        <v>0</v>
      </c>
      <c r="T14895" t="s">
        <v>51835</v>
      </c>
    </row>
    <row r="14896" spans="1:20" customFormat="1" ht="15" x14ac:dyDescent="0.25">
      <c r="A14896" t="s">
        <v>35</v>
      </c>
      <c r="B14896" t="s">
        <v>106</v>
      </c>
      <c r="C14896" t="str">
        <f>"A0135899"</f>
        <v>A0135899</v>
      </c>
      <c r="D14896" t="s">
        <v>51854</v>
      </c>
      <c r="E14896" t="s">
        <v>51832</v>
      </c>
      <c r="F14896" t="s">
        <v>14856</v>
      </c>
      <c r="G14896" t="s">
        <v>110</v>
      </c>
      <c r="H14896">
        <v>92697</v>
      </c>
      <c r="I14896" t="s">
        <v>30</v>
      </c>
      <c r="J14896" t="s">
        <v>111</v>
      </c>
      <c r="K14896" t="s">
        <v>10012</v>
      </c>
      <c r="Q14896">
        <v>0</v>
      </c>
      <c r="R14896">
        <v>0</v>
      </c>
      <c r="S14896">
        <v>0</v>
      </c>
      <c r="T14896" t="s">
        <v>51835</v>
      </c>
    </row>
    <row r="14897" spans="1:20" customFormat="1" ht="15" x14ac:dyDescent="0.25">
      <c r="A14897" t="s">
        <v>35</v>
      </c>
      <c r="B14897" t="s">
        <v>106</v>
      </c>
      <c r="C14897" t="str">
        <f>"A0135898"</f>
        <v>A0135898</v>
      </c>
      <c r="D14897" t="s">
        <v>51855</v>
      </c>
      <c r="E14897" t="s">
        <v>51832</v>
      </c>
      <c r="F14897" t="s">
        <v>14856</v>
      </c>
      <c r="G14897" t="s">
        <v>110</v>
      </c>
      <c r="H14897">
        <v>92697</v>
      </c>
      <c r="I14897" t="s">
        <v>30</v>
      </c>
      <c r="J14897" t="s">
        <v>111</v>
      </c>
      <c r="K14897" t="s">
        <v>10012</v>
      </c>
      <c r="Q14897">
        <v>0</v>
      </c>
      <c r="R14897">
        <v>0</v>
      </c>
      <c r="S14897">
        <v>0</v>
      </c>
      <c r="T14897" t="s">
        <v>51835</v>
      </c>
    </row>
    <row r="14898" spans="1:20" customFormat="1" ht="15" x14ac:dyDescent="0.25">
      <c r="A14898" t="s">
        <v>35</v>
      </c>
      <c r="B14898" t="s">
        <v>106</v>
      </c>
      <c r="C14898" t="str">
        <f>"A0135902"</f>
        <v>A0135902</v>
      </c>
      <c r="D14898" t="s">
        <v>51856</v>
      </c>
      <c r="E14898" t="s">
        <v>51832</v>
      </c>
      <c r="F14898" t="s">
        <v>14856</v>
      </c>
      <c r="G14898" t="s">
        <v>110</v>
      </c>
      <c r="H14898">
        <v>92697</v>
      </c>
      <c r="I14898" t="s">
        <v>30</v>
      </c>
      <c r="J14898" t="s">
        <v>111</v>
      </c>
      <c r="K14898" t="s">
        <v>10012</v>
      </c>
      <c r="Q14898">
        <v>0</v>
      </c>
      <c r="R14898">
        <v>0</v>
      </c>
      <c r="S14898">
        <v>0</v>
      </c>
      <c r="T14898" t="s">
        <v>51835</v>
      </c>
    </row>
    <row r="14899" spans="1:20" customFormat="1" ht="15" x14ac:dyDescent="0.25">
      <c r="A14899" t="s">
        <v>35</v>
      </c>
      <c r="B14899" t="s">
        <v>106</v>
      </c>
      <c r="C14899" t="str">
        <f>"A0135901"</f>
        <v>A0135901</v>
      </c>
      <c r="D14899" t="s">
        <v>51857</v>
      </c>
      <c r="E14899" t="s">
        <v>51832</v>
      </c>
      <c r="F14899" t="s">
        <v>14856</v>
      </c>
      <c r="G14899" t="s">
        <v>110</v>
      </c>
      <c r="H14899">
        <v>92697</v>
      </c>
      <c r="I14899" t="s">
        <v>30</v>
      </c>
      <c r="J14899" t="s">
        <v>111</v>
      </c>
      <c r="K14899" t="s">
        <v>10012</v>
      </c>
      <c r="Q14899">
        <v>0</v>
      </c>
      <c r="R14899">
        <v>0</v>
      </c>
      <c r="S14899">
        <v>0</v>
      </c>
      <c r="T14899" t="s">
        <v>51835</v>
      </c>
    </row>
    <row r="14900" spans="1:20" customFormat="1" ht="15" x14ac:dyDescent="0.25">
      <c r="A14900" t="s">
        <v>35</v>
      </c>
      <c r="B14900" t="s">
        <v>106</v>
      </c>
      <c r="C14900" t="str">
        <f>"A0135905"</f>
        <v>A0135905</v>
      </c>
      <c r="D14900" t="s">
        <v>51858</v>
      </c>
      <c r="E14900" t="s">
        <v>51832</v>
      </c>
      <c r="F14900" t="s">
        <v>14856</v>
      </c>
      <c r="G14900" t="s">
        <v>110</v>
      </c>
      <c r="H14900">
        <v>92697</v>
      </c>
      <c r="I14900" t="s">
        <v>30</v>
      </c>
      <c r="J14900" t="s">
        <v>111</v>
      </c>
      <c r="K14900" t="s">
        <v>10012</v>
      </c>
      <c r="Q14900">
        <v>0</v>
      </c>
      <c r="R14900">
        <v>0</v>
      </c>
      <c r="S14900">
        <v>0</v>
      </c>
      <c r="T14900" t="s">
        <v>51835</v>
      </c>
    </row>
    <row r="14901" spans="1:20" customFormat="1" ht="15" x14ac:dyDescent="0.25">
      <c r="A14901" t="s">
        <v>35</v>
      </c>
      <c r="B14901" t="s">
        <v>106</v>
      </c>
      <c r="C14901" t="str">
        <f>"A0135910"</f>
        <v>A0135910</v>
      </c>
      <c r="D14901" t="s">
        <v>51859</v>
      </c>
      <c r="E14901" t="s">
        <v>51832</v>
      </c>
      <c r="F14901" t="s">
        <v>14856</v>
      </c>
      <c r="G14901" t="s">
        <v>110</v>
      </c>
      <c r="H14901">
        <v>92697</v>
      </c>
      <c r="I14901" t="s">
        <v>30</v>
      </c>
      <c r="J14901" t="s">
        <v>111</v>
      </c>
      <c r="K14901" t="s">
        <v>10012</v>
      </c>
      <c r="Q14901">
        <v>0</v>
      </c>
      <c r="R14901">
        <v>0</v>
      </c>
      <c r="S14901">
        <v>0</v>
      </c>
      <c r="T14901" t="s">
        <v>51835</v>
      </c>
    </row>
    <row r="14902" spans="1:20" customFormat="1" ht="15" x14ac:dyDescent="0.25">
      <c r="A14902" t="s">
        <v>35</v>
      </c>
      <c r="B14902" t="s">
        <v>106</v>
      </c>
      <c r="C14902" t="str">
        <f>"A0135896"</f>
        <v>A0135896</v>
      </c>
      <c r="D14902" t="s">
        <v>51860</v>
      </c>
      <c r="E14902" t="s">
        <v>51832</v>
      </c>
      <c r="F14902" t="s">
        <v>14856</v>
      </c>
      <c r="G14902" t="s">
        <v>110</v>
      </c>
      <c r="H14902">
        <v>92697</v>
      </c>
      <c r="I14902" t="s">
        <v>30</v>
      </c>
      <c r="J14902" t="s">
        <v>111</v>
      </c>
      <c r="K14902" t="s">
        <v>10012</v>
      </c>
      <c r="Q14902">
        <v>0</v>
      </c>
      <c r="R14902">
        <v>0</v>
      </c>
      <c r="S14902">
        <v>0</v>
      </c>
      <c r="T14902" t="s">
        <v>51835</v>
      </c>
    </row>
    <row r="14903" spans="1:20" customFormat="1" ht="15" x14ac:dyDescent="0.25">
      <c r="A14903" t="s">
        <v>35</v>
      </c>
      <c r="B14903" t="s">
        <v>106</v>
      </c>
      <c r="C14903" t="str">
        <f>"A0135909"</f>
        <v>A0135909</v>
      </c>
      <c r="D14903" t="s">
        <v>51861</v>
      </c>
      <c r="E14903" t="s">
        <v>51832</v>
      </c>
      <c r="F14903" t="s">
        <v>14856</v>
      </c>
      <c r="G14903" t="s">
        <v>110</v>
      </c>
      <c r="H14903">
        <v>92697</v>
      </c>
      <c r="I14903" t="s">
        <v>30</v>
      </c>
      <c r="J14903" t="s">
        <v>111</v>
      </c>
      <c r="K14903" t="s">
        <v>10012</v>
      </c>
      <c r="Q14903">
        <v>0</v>
      </c>
      <c r="R14903">
        <v>0</v>
      </c>
      <c r="S14903">
        <v>0</v>
      </c>
      <c r="T14903" t="s">
        <v>51835</v>
      </c>
    </row>
    <row r="14904" spans="1:20" customFormat="1" ht="15" x14ac:dyDescent="0.25">
      <c r="A14904" t="s">
        <v>35</v>
      </c>
      <c r="B14904" t="s">
        <v>106</v>
      </c>
      <c r="C14904" t="str">
        <f>"A0136409"</f>
        <v>A0136409</v>
      </c>
      <c r="D14904" t="s">
        <v>51862</v>
      </c>
      <c r="E14904" t="s">
        <v>51863</v>
      </c>
      <c r="F14904" t="s">
        <v>7362</v>
      </c>
      <c r="G14904" t="s">
        <v>110</v>
      </c>
      <c r="H14904">
        <v>90075</v>
      </c>
      <c r="I14904" t="s">
        <v>30</v>
      </c>
      <c r="J14904" t="s">
        <v>111</v>
      </c>
      <c r="K14904" t="s">
        <v>112</v>
      </c>
      <c r="Q14904">
        <v>0</v>
      </c>
      <c r="R14904">
        <v>0</v>
      </c>
      <c r="S14904">
        <v>0</v>
      </c>
      <c r="T14904" t="s">
        <v>51864</v>
      </c>
    </row>
    <row r="14905" spans="1:20" customFormat="1" ht="15" x14ac:dyDescent="0.25">
      <c r="A14905" t="s">
        <v>35</v>
      </c>
      <c r="B14905" t="s">
        <v>61</v>
      </c>
      <c r="C14905" t="str">
        <f>"A0151129"</f>
        <v>A0151129</v>
      </c>
      <c r="D14905" t="s">
        <v>51865</v>
      </c>
      <c r="E14905" t="s">
        <v>51866</v>
      </c>
      <c r="F14905" t="s">
        <v>20144</v>
      </c>
      <c r="G14905" t="s">
        <v>65</v>
      </c>
      <c r="H14905">
        <v>45390</v>
      </c>
      <c r="I14905" t="s">
        <v>30</v>
      </c>
      <c r="J14905" t="s">
        <v>41</v>
      </c>
      <c r="K14905" t="s">
        <v>131</v>
      </c>
      <c r="Q14905">
        <v>0</v>
      </c>
      <c r="R14905">
        <v>43</v>
      </c>
      <c r="S14905">
        <v>43</v>
      </c>
      <c r="T14905" t="s">
        <v>51867</v>
      </c>
    </row>
    <row r="14906" spans="1:20" customFormat="1" ht="15" x14ac:dyDescent="0.25">
      <c r="A14906" t="s">
        <v>35</v>
      </c>
      <c r="B14906" t="s">
        <v>106</v>
      </c>
      <c r="C14906" t="str">
        <f>"A0166858"</f>
        <v>A0166858</v>
      </c>
      <c r="D14906" t="s">
        <v>51868</v>
      </c>
      <c r="E14906" t="s">
        <v>51869</v>
      </c>
      <c r="F14906" t="s">
        <v>51870</v>
      </c>
      <c r="G14906" t="s">
        <v>615</v>
      </c>
      <c r="H14906">
        <v>6269</v>
      </c>
      <c r="I14906" t="s">
        <v>30</v>
      </c>
      <c r="J14906" t="s">
        <v>111</v>
      </c>
      <c r="K14906" t="s">
        <v>10012</v>
      </c>
      <c r="Q14906">
        <v>0</v>
      </c>
      <c r="R14906">
        <v>0</v>
      </c>
      <c r="S14906">
        <v>0</v>
      </c>
      <c r="T14906" t="s">
        <v>51871</v>
      </c>
    </row>
    <row r="14907" spans="1:20" customFormat="1" ht="15" x14ac:dyDescent="0.25">
      <c r="A14907" t="s">
        <v>35</v>
      </c>
      <c r="B14907" t="s">
        <v>106</v>
      </c>
      <c r="C14907" t="str">
        <f>"A0154581"</f>
        <v>A0154581</v>
      </c>
      <c r="D14907" t="s">
        <v>51872</v>
      </c>
      <c r="E14907" t="s">
        <v>51873</v>
      </c>
      <c r="F14907" t="s">
        <v>31809</v>
      </c>
      <c r="G14907" t="s">
        <v>615</v>
      </c>
      <c r="H14907">
        <v>6269</v>
      </c>
      <c r="I14907" t="s">
        <v>30</v>
      </c>
      <c r="J14907" t="s">
        <v>111</v>
      </c>
      <c r="K14907" t="s">
        <v>112</v>
      </c>
      <c r="Q14907">
        <v>0</v>
      </c>
      <c r="R14907">
        <v>0</v>
      </c>
      <c r="S14907">
        <v>0</v>
      </c>
      <c r="T14907" t="s">
        <v>51874</v>
      </c>
    </row>
    <row r="14908" spans="1:20" customFormat="1" ht="15" x14ac:dyDescent="0.25">
      <c r="A14908" t="s">
        <v>35</v>
      </c>
      <c r="B14908" t="s">
        <v>106</v>
      </c>
      <c r="C14908" t="str">
        <f>"A0154582"</f>
        <v>A0154582</v>
      </c>
      <c r="D14908" t="s">
        <v>51875</v>
      </c>
      <c r="E14908" t="s">
        <v>51873</v>
      </c>
      <c r="F14908" t="s">
        <v>31809</v>
      </c>
      <c r="G14908" t="s">
        <v>615</v>
      </c>
      <c r="H14908">
        <v>6269</v>
      </c>
      <c r="I14908" t="s">
        <v>30</v>
      </c>
      <c r="J14908" t="s">
        <v>111</v>
      </c>
      <c r="K14908" t="s">
        <v>112</v>
      </c>
      <c r="Q14908">
        <v>0</v>
      </c>
      <c r="R14908">
        <v>0</v>
      </c>
      <c r="S14908">
        <v>0</v>
      </c>
      <c r="T14908" t="s">
        <v>51874</v>
      </c>
    </row>
    <row r="14909" spans="1:20" customFormat="1" ht="15" x14ac:dyDescent="0.25">
      <c r="A14909" t="s">
        <v>35</v>
      </c>
      <c r="B14909" t="s">
        <v>106</v>
      </c>
      <c r="C14909" t="str">
        <f>"A0135362"</f>
        <v>A0135362</v>
      </c>
      <c r="D14909" t="s">
        <v>51876</v>
      </c>
      <c r="E14909" t="s">
        <v>45903</v>
      </c>
      <c r="F14909" t="s">
        <v>45904</v>
      </c>
      <c r="G14909" t="s">
        <v>103</v>
      </c>
      <c r="H14909">
        <v>17551</v>
      </c>
      <c r="I14909" t="s">
        <v>30</v>
      </c>
      <c r="J14909" t="s">
        <v>111</v>
      </c>
      <c r="K14909" t="s">
        <v>10012</v>
      </c>
      <c r="Q14909">
        <v>0</v>
      </c>
      <c r="R14909">
        <v>0</v>
      </c>
      <c r="S14909">
        <v>0</v>
      </c>
      <c r="T14909" t="s">
        <v>51877</v>
      </c>
    </row>
    <row r="14910" spans="1:20" customFormat="1" ht="15" x14ac:dyDescent="0.25">
      <c r="A14910" t="s">
        <v>35</v>
      </c>
      <c r="B14910" t="s">
        <v>106</v>
      </c>
      <c r="C14910" t="str">
        <f>"A0135361"</f>
        <v>A0135361</v>
      </c>
      <c r="D14910" t="s">
        <v>51878</v>
      </c>
      <c r="E14910" t="s">
        <v>45903</v>
      </c>
      <c r="F14910" t="s">
        <v>45904</v>
      </c>
      <c r="G14910" t="s">
        <v>103</v>
      </c>
      <c r="H14910">
        <v>17551</v>
      </c>
      <c r="I14910" t="s">
        <v>30</v>
      </c>
      <c r="J14910" t="s">
        <v>111</v>
      </c>
      <c r="K14910" t="s">
        <v>10012</v>
      </c>
      <c r="Q14910">
        <v>0</v>
      </c>
      <c r="R14910">
        <v>0</v>
      </c>
      <c r="S14910">
        <v>0</v>
      </c>
      <c r="T14910" t="s">
        <v>51877</v>
      </c>
    </row>
    <row r="14911" spans="1:20" customFormat="1" ht="15" x14ac:dyDescent="0.25">
      <c r="A14911" t="s">
        <v>35</v>
      </c>
      <c r="B14911" t="s">
        <v>106</v>
      </c>
      <c r="C14911" t="str">
        <f>"A0135363"</f>
        <v>A0135363</v>
      </c>
      <c r="D14911" t="s">
        <v>51879</v>
      </c>
      <c r="E14911" t="s">
        <v>45903</v>
      </c>
      <c r="F14911" t="s">
        <v>45904</v>
      </c>
      <c r="G14911" t="s">
        <v>103</v>
      </c>
      <c r="H14911">
        <v>17551</v>
      </c>
      <c r="I14911" t="s">
        <v>30</v>
      </c>
      <c r="J14911" t="s">
        <v>111</v>
      </c>
      <c r="K14911" t="s">
        <v>10012</v>
      </c>
      <c r="Q14911">
        <v>0</v>
      </c>
      <c r="R14911">
        <v>0</v>
      </c>
      <c r="S14911">
        <v>0</v>
      </c>
      <c r="T14911" t="s">
        <v>51877</v>
      </c>
    </row>
    <row r="14912" spans="1:20" customFormat="1" ht="15" x14ac:dyDescent="0.25">
      <c r="A14912" t="s">
        <v>35</v>
      </c>
      <c r="B14912" t="s">
        <v>61</v>
      </c>
      <c r="C14912" t="str">
        <f>"A0124371"</f>
        <v>A0124371</v>
      </c>
      <c r="D14912" t="s">
        <v>51880</v>
      </c>
      <c r="E14912" t="s">
        <v>51881</v>
      </c>
      <c r="F14912" t="s">
        <v>33154</v>
      </c>
      <c r="G14912" t="s">
        <v>123</v>
      </c>
      <c r="H14912">
        <v>21921</v>
      </c>
      <c r="I14912" t="s">
        <v>30</v>
      </c>
      <c r="J14912" t="s">
        <v>41</v>
      </c>
      <c r="K14912" t="s">
        <v>229</v>
      </c>
      <c r="Q14912">
        <v>0</v>
      </c>
      <c r="R14912">
        <v>81</v>
      </c>
      <c r="S14912">
        <v>81</v>
      </c>
      <c r="T14912" t="s">
        <v>51882</v>
      </c>
    </row>
    <row r="14913" spans="1:20" customFormat="1" ht="15" x14ac:dyDescent="0.25">
      <c r="A14913" t="s">
        <v>35</v>
      </c>
      <c r="B14913" t="s">
        <v>61</v>
      </c>
      <c r="C14913" t="str">
        <f>"A0126053"</f>
        <v>A0126053</v>
      </c>
      <c r="D14913" t="s">
        <v>51883</v>
      </c>
      <c r="E14913" t="s">
        <v>51884</v>
      </c>
      <c r="F14913" t="s">
        <v>4674</v>
      </c>
      <c r="G14913" t="s">
        <v>314</v>
      </c>
      <c r="H14913">
        <v>2001</v>
      </c>
      <c r="I14913" t="s">
        <v>30</v>
      </c>
      <c r="J14913" t="s">
        <v>41</v>
      </c>
      <c r="K14913" t="s">
        <v>229</v>
      </c>
      <c r="Q14913">
        <v>0</v>
      </c>
      <c r="R14913">
        <v>100</v>
      </c>
      <c r="S14913">
        <v>100</v>
      </c>
      <c r="T14913" t="s">
        <v>51885</v>
      </c>
    </row>
    <row r="14914" spans="1:20" customFormat="1" ht="15" x14ac:dyDescent="0.25">
      <c r="A14914" t="s">
        <v>35</v>
      </c>
      <c r="B14914" t="s">
        <v>61</v>
      </c>
      <c r="C14914" t="str">
        <f>"A0121529"</f>
        <v>A0121529</v>
      </c>
      <c r="D14914" t="s">
        <v>51886</v>
      </c>
      <c r="E14914" t="s">
        <v>51887</v>
      </c>
      <c r="F14914" t="s">
        <v>3009</v>
      </c>
      <c r="G14914" t="s">
        <v>110</v>
      </c>
      <c r="H14914">
        <v>93536</v>
      </c>
      <c r="I14914" t="s">
        <v>30</v>
      </c>
      <c r="J14914" t="s">
        <v>41</v>
      </c>
      <c r="K14914" t="s">
        <v>418</v>
      </c>
      <c r="Q14914">
        <v>0</v>
      </c>
      <c r="R14914">
        <v>12</v>
      </c>
      <c r="S14914">
        <v>12</v>
      </c>
      <c r="T14914" t="s">
        <v>51888</v>
      </c>
    </row>
    <row r="14915" spans="1:20" customFormat="1" ht="15" x14ac:dyDescent="0.25">
      <c r="A14915" t="s">
        <v>35</v>
      </c>
      <c r="B14915" t="s">
        <v>106</v>
      </c>
      <c r="C14915" t="str">
        <f>"A0136542"</f>
        <v>A0136542</v>
      </c>
      <c r="D14915" t="s">
        <v>51889</v>
      </c>
      <c r="E14915" t="s">
        <v>51890</v>
      </c>
      <c r="F14915" t="s">
        <v>51891</v>
      </c>
      <c r="G14915" t="s">
        <v>40</v>
      </c>
      <c r="H14915">
        <v>74058</v>
      </c>
      <c r="I14915" t="s">
        <v>30</v>
      </c>
      <c r="J14915" t="s">
        <v>111</v>
      </c>
      <c r="K14915" t="s">
        <v>112</v>
      </c>
      <c r="Q14915">
        <v>0</v>
      </c>
      <c r="R14915">
        <v>0</v>
      </c>
      <c r="S14915">
        <v>0</v>
      </c>
      <c r="T14915" t="s">
        <v>51892</v>
      </c>
    </row>
    <row r="14916" spans="1:20" customFormat="1" ht="15" x14ac:dyDescent="0.25">
      <c r="A14916" t="s">
        <v>35</v>
      </c>
      <c r="B14916" t="s">
        <v>61</v>
      </c>
      <c r="C14916" t="str">
        <f>"A0129029"</f>
        <v>A0129029</v>
      </c>
      <c r="D14916" t="s">
        <v>51893</v>
      </c>
      <c r="E14916" t="s">
        <v>9959</v>
      </c>
      <c r="F14916" t="s">
        <v>9960</v>
      </c>
      <c r="G14916" t="s">
        <v>289</v>
      </c>
      <c r="H14916">
        <v>62439</v>
      </c>
      <c r="I14916" t="s">
        <v>30</v>
      </c>
      <c r="J14916" t="s">
        <v>41</v>
      </c>
      <c r="K14916" t="s">
        <v>229</v>
      </c>
      <c r="Q14916">
        <v>0</v>
      </c>
      <c r="R14916">
        <v>123</v>
      </c>
      <c r="S14916">
        <v>123</v>
      </c>
      <c r="T14916" t="s">
        <v>51894</v>
      </c>
    </row>
    <row r="14917" spans="1:20" customFormat="1" ht="15" x14ac:dyDescent="0.25">
      <c r="A14917" t="s">
        <v>35</v>
      </c>
      <c r="B14917" t="s">
        <v>61</v>
      </c>
      <c r="C14917" t="str">
        <f>"A0125172"</f>
        <v>A0125172</v>
      </c>
      <c r="D14917" t="s">
        <v>51895</v>
      </c>
      <c r="E14917" t="s">
        <v>51896</v>
      </c>
      <c r="F14917" t="s">
        <v>51897</v>
      </c>
      <c r="G14917" t="s">
        <v>40</v>
      </c>
      <c r="H14917">
        <v>744620000</v>
      </c>
      <c r="I14917" t="s">
        <v>30</v>
      </c>
      <c r="J14917" t="s">
        <v>41</v>
      </c>
      <c r="K14917" t="s">
        <v>2463</v>
      </c>
      <c r="Q14917">
        <v>0</v>
      </c>
      <c r="R14917">
        <v>1</v>
      </c>
      <c r="S14917">
        <v>1</v>
      </c>
      <c r="T14917" t="s">
        <v>51898</v>
      </c>
    </row>
    <row r="14918" spans="1:20" customFormat="1" ht="15" x14ac:dyDescent="0.25">
      <c r="A14918" t="s">
        <v>35</v>
      </c>
      <c r="B14918" t="s">
        <v>61</v>
      </c>
      <c r="C14918" t="str">
        <f>"A0123947"</f>
        <v>A0123947</v>
      </c>
      <c r="D14918" t="s">
        <v>51899</v>
      </c>
      <c r="E14918" t="s">
        <v>51900</v>
      </c>
      <c r="F14918" t="s">
        <v>2732</v>
      </c>
      <c r="G14918" t="s">
        <v>880</v>
      </c>
      <c r="H14918">
        <v>37355</v>
      </c>
      <c r="I14918" t="s">
        <v>30</v>
      </c>
      <c r="J14918" t="s">
        <v>41</v>
      </c>
      <c r="K14918" t="s">
        <v>482</v>
      </c>
      <c r="Q14918">
        <v>0</v>
      </c>
      <c r="R14918">
        <v>91</v>
      </c>
      <c r="S14918">
        <v>91</v>
      </c>
      <c r="T14918" t="s">
        <v>51901</v>
      </c>
    </row>
    <row r="14919" spans="1:20" customFormat="1" ht="15" x14ac:dyDescent="0.25">
      <c r="A14919" t="s">
        <v>35</v>
      </c>
      <c r="B14919" t="s">
        <v>61</v>
      </c>
      <c r="C14919" t="str">
        <f>"A0153037"</f>
        <v>A0153037</v>
      </c>
      <c r="D14919" t="s">
        <v>51902</v>
      </c>
      <c r="E14919" t="s">
        <v>51903</v>
      </c>
      <c r="F14919" t="s">
        <v>3478</v>
      </c>
      <c r="G14919" t="s">
        <v>65</v>
      </c>
      <c r="H14919">
        <v>45424</v>
      </c>
      <c r="I14919" t="s">
        <v>30</v>
      </c>
      <c r="J14919" t="s">
        <v>41</v>
      </c>
      <c r="K14919" t="s">
        <v>131</v>
      </c>
      <c r="Q14919">
        <v>0</v>
      </c>
      <c r="R14919">
        <v>0</v>
      </c>
      <c r="S14919">
        <v>0</v>
      </c>
      <c r="T14919" t="s">
        <v>51904</v>
      </c>
    </row>
    <row r="14920" spans="1:20" customFormat="1" ht="15" x14ac:dyDescent="0.25">
      <c r="A14920" t="s">
        <v>35</v>
      </c>
      <c r="B14920" t="s">
        <v>437</v>
      </c>
      <c r="C14920" t="str">
        <f>"A0133927"</f>
        <v>A0133927</v>
      </c>
      <c r="D14920" t="s">
        <v>51905</v>
      </c>
      <c r="E14920" t="s">
        <v>51906</v>
      </c>
      <c r="F14920" t="s">
        <v>4300</v>
      </c>
      <c r="G14920" t="s">
        <v>110</v>
      </c>
      <c r="H14920">
        <v>92262</v>
      </c>
      <c r="I14920" t="s">
        <v>30</v>
      </c>
      <c r="J14920" t="s">
        <v>441</v>
      </c>
      <c r="K14920" t="s">
        <v>1412</v>
      </c>
      <c r="Q14920">
        <v>0</v>
      </c>
      <c r="R14920">
        <v>0</v>
      </c>
      <c r="S14920">
        <v>0</v>
      </c>
      <c r="T14920" t="s">
        <v>51907</v>
      </c>
    </row>
    <row r="14921" spans="1:20" customFormat="1" ht="15" x14ac:dyDescent="0.25">
      <c r="A14921" t="s">
        <v>35</v>
      </c>
      <c r="B14921" t="s">
        <v>106</v>
      </c>
      <c r="C14921" t="str">
        <f>"A0135917"</f>
        <v>A0135917</v>
      </c>
      <c r="D14921" t="s">
        <v>51908</v>
      </c>
      <c r="E14921" t="s">
        <v>38561</v>
      </c>
      <c r="F14921" t="s">
        <v>10801</v>
      </c>
      <c r="G14921" t="s">
        <v>99</v>
      </c>
      <c r="H14921">
        <v>14261</v>
      </c>
      <c r="I14921" t="s">
        <v>30</v>
      </c>
      <c r="J14921" t="s">
        <v>111</v>
      </c>
      <c r="K14921" t="s">
        <v>10012</v>
      </c>
      <c r="Q14921">
        <v>0</v>
      </c>
      <c r="R14921">
        <v>0</v>
      </c>
      <c r="S14921">
        <v>0</v>
      </c>
      <c r="T14921" t="s">
        <v>38562</v>
      </c>
    </row>
    <row r="14922" spans="1:20" customFormat="1" ht="15" x14ac:dyDescent="0.25">
      <c r="A14922" t="s">
        <v>35</v>
      </c>
      <c r="B14922" t="s">
        <v>106</v>
      </c>
      <c r="C14922" t="str">
        <f>"A0135920"</f>
        <v>A0135920</v>
      </c>
      <c r="D14922" t="s">
        <v>51909</v>
      </c>
      <c r="E14922" t="s">
        <v>38561</v>
      </c>
      <c r="F14922" t="s">
        <v>10801</v>
      </c>
      <c r="G14922" t="s">
        <v>99</v>
      </c>
      <c r="H14922">
        <v>14261</v>
      </c>
      <c r="I14922" t="s">
        <v>30</v>
      </c>
      <c r="J14922" t="s">
        <v>111</v>
      </c>
      <c r="K14922" t="s">
        <v>10012</v>
      </c>
      <c r="Q14922">
        <v>0</v>
      </c>
      <c r="R14922">
        <v>0</v>
      </c>
      <c r="S14922">
        <v>0</v>
      </c>
      <c r="T14922" t="s">
        <v>51910</v>
      </c>
    </row>
    <row r="14923" spans="1:20" customFormat="1" ht="15" x14ac:dyDescent="0.25">
      <c r="A14923" t="s">
        <v>35</v>
      </c>
      <c r="B14923" t="s">
        <v>106</v>
      </c>
      <c r="C14923" t="str">
        <f>"A0136233"</f>
        <v>A0136233</v>
      </c>
      <c r="D14923" t="s">
        <v>51911</v>
      </c>
      <c r="E14923" t="s">
        <v>51912</v>
      </c>
      <c r="F14923" t="s">
        <v>1689</v>
      </c>
      <c r="G14923" t="s">
        <v>840</v>
      </c>
      <c r="H14923">
        <v>40508</v>
      </c>
      <c r="I14923" t="s">
        <v>30</v>
      </c>
      <c r="J14923" t="s">
        <v>111</v>
      </c>
      <c r="K14923" t="s">
        <v>10012</v>
      </c>
      <c r="Q14923">
        <v>0</v>
      </c>
      <c r="R14923">
        <v>0</v>
      </c>
      <c r="S14923">
        <v>0</v>
      </c>
      <c r="T14923" t="s">
        <v>51913</v>
      </c>
    </row>
    <row r="14924" spans="1:20" customFormat="1" ht="15" x14ac:dyDescent="0.25">
      <c r="A14924" t="s">
        <v>35</v>
      </c>
      <c r="B14924" t="s">
        <v>106</v>
      </c>
      <c r="C14924" t="str">
        <f>"A0136234"</f>
        <v>A0136234</v>
      </c>
      <c r="D14924" t="s">
        <v>51914</v>
      </c>
      <c r="E14924" t="s">
        <v>51915</v>
      </c>
      <c r="F14924" t="s">
        <v>1689</v>
      </c>
      <c r="G14924" t="s">
        <v>840</v>
      </c>
      <c r="H14924">
        <v>40508</v>
      </c>
      <c r="I14924" t="s">
        <v>30</v>
      </c>
      <c r="J14924" t="s">
        <v>111</v>
      </c>
      <c r="K14924" t="s">
        <v>10012</v>
      </c>
      <c r="Q14924">
        <v>0</v>
      </c>
      <c r="R14924">
        <v>0</v>
      </c>
      <c r="S14924">
        <v>0</v>
      </c>
      <c r="T14924" t="s">
        <v>51913</v>
      </c>
    </row>
    <row r="14925" spans="1:20" customFormat="1" ht="15" x14ac:dyDescent="0.25">
      <c r="A14925" t="s">
        <v>35</v>
      </c>
      <c r="B14925" t="s">
        <v>106</v>
      </c>
      <c r="C14925" t="str">
        <f>"A0136225"</f>
        <v>A0136225</v>
      </c>
      <c r="D14925" t="s">
        <v>51916</v>
      </c>
      <c r="E14925" t="s">
        <v>51917</v>
      </c>
      <c r="F14925" t="s">
        <v>1689</v>
      </c>
      <c r="G14925" t="s">
        <v>840</v>
      </c>
      <c r="H14925">
        <v>405060071</v>
      </c>
      <c r="I14925" t="s">
        <v>30</v>
      </c>
      <c r="J14925" t="s">
        <v>111</v>
      </c>
      <c r="K14925" t="s">
        <v>10012</v>
      </c>
      <c r="Q14925">
        <v>0</v>
      </c>
      <c r="R14925">
        <v>0</v>
      </c>
      <c r="S14925">
        <v>0</v>
      </c>
      <c r="T14925" t="s">
        <v>51918</v>
      </c>
    </row>
    <row r="14926" spans="1:20" customFormat="1" ht="15" x14ac:dyDescent="0.25">
      <c r="A14926" t="s">
        <v>35</v>
      </c>
      <c r="B14926" t="s">
        <v>106</v>
      </c>
      <c r="C14926" t="str">
        <f>"A0136230"</f>
        <v>A0136230</v>
      </c>
      <c r="D14926" t="s">
        <v>51919</v>
      </c>
      <c r="E14926" t="s">
        <v>51920</v>
      </c>
      <c r="F14926" t="s">
        <v>1689</v>
      </c>
      <c r="G14926" t="s">
        <v>840</v>
      </c>
      <c r="H14926">
        <v>40503</v>
      </c>
      <c r="I14926" t="s">
        <v>30</v>
      </c>
      <c r="J14926" t="s">
        <v>111</v>
      </c>
      <c r="K14926" t="s">
        <v>112</v>
      </c>
      <c r="Q14926">
        <v>0</v>
      </c>
      <c r="R14926">
        <v>0</v>
      </c>
      <c r="S14926">
        <v>0</v>
      </c>
      <c r="T14926" t="s">
        <v>51921</v>
      </c>
    </row>
    <row r="14927" spans="1:20" customFormat="1" ht="15" x14ac:dyDescent="0.25">
      <c r="A14927" t="s">
        <v>35</v>
      </c>
      <c r="B14927" t="s">
        <v>106</v>
      </c>
      <c r="C14927" t="str">
        <f>"A0136232"</f>
        <v>A0136232</v>
      </c>
      <c r="D14927" t="s">
        <v>51922</v>
      </c>
      <c r="E14927" t="s">
        <v>51923</v>
      </c>
      <c r="F14927" t="s">
        <v>1689</v>
      </c>
      <c r="G14927" t="s">
        <v>840</v>
      </c>
      <c r="H14927">
        <v>40508</v>
      </c>
      <c r="I14927" t="s">
        <v>30</v>
      </c>
      <c r="J14927" t="s">
        <v>111</v>
      </c>
      <c r="K14927" t="s">
        <v>10012</v>
      </c>
      <c r="Q14927">
        <v>0</v>
      </c>
      <c r="R14927">
        <v>0</v>
      </c>
      <c r="S14927">
        <v>0</v>
      </c>
      <c r="T14927" t="s">
        <v>51913</v>
      </c>
    </row>
    <row r="14928" spans="1:20" customFormat="1" ht="15" x14ac:dyDescent="0.25">
      <c r="A14928" t="s">
        <v>35</v>
      </c>
      <c r="B14928" t="s">
        <v>106</v>
      </c>
      <c r="C14928" t="str">
        <f>"A0136226"</f>
        <v>A0136226</v>
      </c>
      <c r="D14928" t="s">
        <v>51924</v>
      </c>
      <c r="E14928" t="s">
        <v>51925</v>
      </c>
      <c r="F14928" t="s">
        <v>14657</v>
      </c>
      <c r="G14928" t="s">
        <v>840</v>
      </c>
      <c r="H14928">
        <v>40741</v>
      </c>
      <c r="I14928" t="s">
        <v>30</v>
      </c>
      <c r="J14928" t="s">
        <v>111</v>
      </c>
      <c r="K14928" t="s">
        <v>112</v>
      </c>
      <c r="Q14928">
        <v>0</v>
      </c>
      <c r="R14928">
        <v>0</v>
      </c>
      <c r="S14928">
        <v>0</v>
      </c>
      <c r="T14928" t="s">
        <v>51926</v>
      </c>
    </row>
    <row r="14929" spans="1:20" customFormat="1" ht="15" x14ac:dyDescent="0.25">
      <c r="A14929" t="s">
        <v>35</v>
      </c>
      <c r="B14929" t="s">
        <v>106</v>
      </c>
      <c r="C14929" t="str">
        <f>"A0136227"</f>
        <v>A0136227</v>
      </c>
      <c r="D14929" t="s">
        <v>51927</v>
      </c>
      <c r="E14929" t="s">
        <v>51928</v>
      </c>
      <c r="F14929" t="s">
        <v>51929</v>
      </c>
      <c r="G14929" t="s">
        <v>840</v>
      </c>
      <c r="H14929">
        <v>42544</v>
      </c>
      <c r="I14929" t="s">
        <v>30</v>
      </c>
      <c r="J14929" t="s">
        <v>111</v>
      </c>
      <c r="K14929" t="s">
        <v>112</v>
      </c>
      <c r="Q14929">
        <v>0</v>
      </c>
      <c r="R14929">
        <v>0</v>
      </c>
      <c r="S14929">
        <v>0</v>
      </c>
      <c r="T14929" t="s">
        <v>51930</v>
      </c>
    </row>
    <row r="14930" spans="1:20" customFormat="1" ht="15" x14ac:dyDescent="0.25">
      <c r="A14930" t="s">
        <v>35</v>
      </c>
      <c r="B14930" t="s">
        <v>106</v>
      </c>
      <c r="C14930" t="str">
        <f>"A0136229"</f>
        <v>A0136229</v>
      </c>
      <c r="D14930" t="s">
        <v>51931</v>
      </c>
      <c r="E14930" t="s">
        <v>51932</v>
      </c>
      <c r="F14930" t="s">
        <v>19350</v>
      </c>
      <c r="G14930" t="s">
        <v>840</v>
      </c>
      <c r="H14930">
        <v>40311</v>
      </c>
      <c r="I14930" t="s">
        <v>30</v>
      </c>
      <c r="J14930" t="s">
        <v>111</v>
      </c>
      <c r="K14930" t="s">
        <v>10012</v>
      </c>
      <c r="Q14930">
        <v>0</v>
      </c>
      <c r="R14930">
        <v>0</v>
      </c>
      <c r="S14930">
        <v>0</v>
      </c>
      <c r="T14930" t="s">
        <v>51933</v>
      </c>
    </row>
    <row r="14931" spans="1:20" customFormat="1" ht="15" x14ac:dyDescent="0.25">
      <c r="A14931" t="s">
        <v>35</v>
      </c>
      <c r="B14931" t="s">
        <v>106</v>
      </c>
      <c r="C14931" t="str">
        <f>"A0136231"</f>
        <v>A0136231</v>
      </c>
      <c r="D14931" t="s">
        <v>51934</v>
      </c>
      <c r="E14931" t="s">
        <v>51935</v>
      </c>
      <c r="F14931" t="s">
        <v>1689</v>
      </c>
      <c r="G14931" t="s">
        <v>840</v>
      </c>
      <c r="H14931">
        <v>40508</v>
      </c>
      <c r="I14931" t="s">
        <v>30</v>
      </c>
      <c r="J14931" t="s">
        <v>111</v>
      </c>
      <c r="K14931" t="s">
        <v>10012</v>
      </c>
      <c r="Q14931">
        <v>0</v>
      </c>
      <c r="R14931">
        <v>0</v>
      </c>
      <c r="S14931">
        <v>0</v>
      </c>
      <c r="T14931" t="s">
        <v>51913</v>
      </c>
    </row>
    <row r="14932" spans="1:20" customFormat="1" ht="15" x14ac:dyDescent="0.25">
      <c r="A14932" t="s">
        <v>35</v>
      </c>
      <c r="B14932" t="s">
        <v>106</v>
      </c>
      <c r="C14932" t="str">
        <f>"A0136228"</f>
        <v>A0136228</v>
      </c>
      <c r="D14932" t="s">
        <v>51936</v>
      </c>
      <c r="E14932" t="s">
        <v>51937</v>
      </c>
      <c r="F14932" t="s">
        <v>51938</v>
      </c>
      <c r="G14932" t="s">
        <v>840</v>
      </c>
      <c r="H14932">
        <v>42408</v>
      </c>
      <c r="I14932" t="s">
        <v>30</v>
      </c>
      <c r="J14932" t="s">
        <v>111</v>
      </c>
      <c r="K14932" t="s">
        <v>112</v>
      </c>
      <c r="Q14932">
        <v>0</v>
      </c>
      <c r="R14932">
        <v>0</v>
      </c>
      <c r="S14932">
        <v>0</v>
      </c>
      <c r="T14932" t="s">
        <v>51926</v>
      </c>
    </row>
    <row r="14933" spans="1:20" customFormat="1" ht="15" x14ac:dyDescent="0.25">
      <c r="A14933" t="s">
        <v>35</v>
      </c>
      <c r="B14933" t="s">
        <v>106</v>
      </c>
      <c r="C14933" t="str">
        <f>"A0136235"</f>
        <v>A0136235</v>
      </c>
      <c r="D14933" t="s">
        <v>51939</v>
      </c>
      <c r="E14933" t="s">
        <v>51940</v>
      </c>
      <c r="F14933" t="s">
        <v>1689</v>
      </c>
      <c r="G14933" t="s">
        <v>840</v>
      </c>
      <c r="H14933">
        <v>40508</v>
      </c>
      <c r="I14933" t="s">
        <v>30</v>
      </c>
      <c r="J14933" t="s">
        <v>111</v>
      </c>
      <c r="K14933" t="s">
        <v>112</v>
      </c>
      <c r="Q14933">
        <v>0</v>
      </c>
      <c r="R14933">
        <v>0</v>
      </c>
      <c r="S14933">
        <v>0</v>
      </c>
      <c r="T14933" t="s">
        <v>51913</v>
      </c>
    </row>
    <row r="14934" spans="1:20" customFormat="1" ht="15" x14ac:dyDescent="0.25">
      <c r="A14934" t="s">
        <v>35</v>
      </c>
      <c r="B14934" t="s">
        <v>106</v>
      </c>
      <c r="C14934" t="str">
        <f>"A0135713"</f>
        <v>A0135713</v>
      </c>
      <c r="D14934" t="s">
        <v>51941</v>
      </c>
      <c r="E14934" t="s">
        <v>51942</v>
      </c>
      <c r="F14934" t="s">
        <v>16848</v>
      </c>
      <c r="G14934" t="s">
        <v>1587</v>
      </c>
      <c r="H14934">
        <v>87131</v>
      </c>
      <c r="I14934" t="s">
        <v>30</v>
      </c>
      <c r="J14934" t="s">
        <v>111</v>
      </c>
      <c r="K14934" t="s">
        <v>10012</v>
      </c>
      <c r="Q14934">
        <v>0</v>
      </c>
      <c r="R14934">
        <v>0</v>
      </c>
      <c r="S14934">
        <v>0</v>
      </c>
      <c r="T14934" t="s">
        <v>51943</v>
      </c>
    </row>
    <row r="14935" spans="1:20" customFormat="1" ht="15" x14ac:dyDescent="0.25">
      <c r="A14935" t="s">
        <v>35</v>
      </c>
      <c r="B14935" t="s">
        <v>106</v>
      </c>
      <c r="C14935" t="str">
        <f>"A0135715"</f>
        <v>A0135715</v>
      </c>
      <c r="D14935" t="s">
        <v>51944</v>
      </c>
      <c r="E14935" t="s">
        <v>51945</v>
      </c>
      <c r="F14935" t="s">
        <v>16848</v>
      </c>
      <c r="G14935" t="s">
        <v>1587</v>
      </c>
      <c r="H14935">
        <v>87106</v>
      </c>
      <c r="I14935" t="s">
        <v>30</v>
      </c>
      <c r="J14935" t="s">
        <v>111</v>
      </c>
      <c r="K14935" t="s">
        <v>10012</v>
      </c>
      <c r="Q14935">
        <v>0</v>
      </c>
      <c r="R14935">
        <v>0</v>
      </c>
      <c r="S14935">
        <v>0</v>
      </c>
      <c r="T14935" t="s">
        <v>51943</v>
      </c>
    </row>
    <row r="14936" spans="1:20" customFormat="1" ht="15" x14ac:dyDescent="0.25">
      <c r="A14936" t="s">
        <v>35</v>
      </c>
      <c r="B14936" t="s">
        <v>106</v>
      </c>
      <c r="C14936" t="str">
        <f>"A0135714"</f>
        <v>A0135714</v>
      </c>
      <c r="D14936" t="s">
        <v>51946</v>
      </c>
      <c r="E14936" t="s">
        <v>51945</v>
      </c>
      <c r="F14936" t="s">
        <v>16848</v>
      </c>
      <c r="G14936" t="s">
        <v>1587</v>
      </c>
      <c r="H14936">
        <v>87106</v>
      </c>
      <c r="I14936" t="s">
        <v>30</v>
      </c>
      <c r="J14936" t="s">
        <v>111</v>
      </c>
      <c r="K14936" t="s">
        <v>10012</v>
      </c>
      <c r="Q14936">
        <v>0</v>
      </c>
      <c r="R14936">
        <v>0</v>
      </c>
      <c r="S14936">
        <v>0</v>
      </c>
      <c r="T14936" t="s">
        <v>51943</v>
      </c>
    </row>
    <row r="14937" spans="1:20" customFormat="1" ht="15" x14ac:dyDescent="0.25">
      <c r="A14937" t="s">
        <v>35</v>
      </c>
      <c r="B14937" t="s">
        <v>106</v>
      </c>
      <c r="C14937" t="str">
        <f>"A0135403"</f>
        <v>A0135403</v>
      </c>
      <c r="D14937" t="s">
        <v>51947</v>
      </c>
      <c r="E14937" t="s">
        <v>51948</v>
      </c>
      <c r="F14937" t="s">
        <v>22501</v>
      </c>
      <c r="G14937" t="s">
        <v>1898</v>
      </c>
      <c r="H14937">
        <v>50614</v>
      </c>
      <c r="I14937" t="s">
        <v>30</v>
      </c>
      <c r="J14937" t="s">
        <v>111</v>
      </c>
      <c r="K14937" t="s">
        <v>112</v>
      </c>
      <c r="Q14937">
        <v>0</v>
      </c>
      <c r="R14937">
        <v>0</v>
      </c>
      <c r="S14937">
        <v>0</v>
      </c>
      <c r="T14937" t="s">
        <v>51949</v>
      </c>
    </row>
    <row r="14938" spans="1:20" customFormat="1" ht="15" x14ac:dyDescent="0.25">
      <c r="A14938" t="s">
        <v>35</v>
      </c>
      <c r="B14938" t="s">
        <v>106</v>
      </c>
      <c r="C14938" t="str">
        <f>"A0136079"</f>
        <v>A0136079</v>
      </c>
      <c r="D14938" t="s">
        <v>51950</v>
      </c>
      <c r="E14938" t="s">
        <v>51951</v>
      </c>
      <c r="F14938" t="s">
        <v>9791</v>
      </c>
      <c r="G14938" t="s">
        <v>47</v>
      </c>
      <c r="H14938">
        <v>97401</v>
      </c>
      <c r="I14938" t="s">
        <v>30</v>
      </c>
      <c r="J14938" t="s">
        <v>111</v>
      </c>
      <c r="K14938" t="s">
        <v>10012</v>
      </c>
      <c r="Q14938">
        <v>0</v>
      </c>
      <c r="R14938">
        <v>0</v>
      </c>
      <c r="S14938">
        <v>0</v>
      </c>
      <c r="T14938" t="s">
        <v>41052</v>
      </c>
    </row>
    <row r="14939" spans="1:20" customFormat="1" ht="15" x14ac:dyDescent="0.25">
      <c r="A14939" t="s">
        <v>35</v>
      </c>
      <c r="B14939" t="s">
        <v>106</v>
      </c>
      <c r="C14939" t="str">
        <f>"A0136084"</f>
        <v>A0136084</v>
      </c>
      <c r="D14939" t="s">
        <v>51952</v>
      </c>
      <c r="E14939" t="s">
        <v>51713</v>
      </c>
      <c r="F14939" t="s">
        <v>9791</v>
      </c>
      <c r="G14939" t="s">
        <v>47</v>
      </c>
      <c r="H14939">
        <v>97403</v>
      </c>
      <c r="I14939" t="s">
        <v>30</v>
      </c>
      <c r="J14939" t="s">
        <v>111</v>
      </c>
      <c r="K14939" t="s">
        <v>10012</v>
      </c>
      <c r="Q14939">
        <v>0</v>
      </c>
      <c r="R14939">
        <v>0</v>
      </c>
      <c r="S14939">
        <v>0</v>
      </c>
      <c r="T14939" t="s">
        <v>41052</v>
      </c>
    </row>
    <row r="14940" spans="1:20" customFormat="1" ht="15" x14ac:dyDescent="0.25">
      <c r="A14940" t="s">
        <v>35</v>
      </c>
      <c r="B14940" t="s">
        <v>106</v>
      </c>
      <c r="C14940" t="str">
        <f>"A0136067"</f>
        <v>A0136067</v>
      </c>
      <c r="D14940" t="s">
        <v>51953</v>
      </c>
      <c r="E14940" t="s">
        <v>51954</v>
      </c>
      <c r="F14940" t="s">
        <v>9791</v>
      </c>
      <c r="G14940" t="s">
        <v>47</v>
      </c>
      <c r="H14940">
        <v>97403</v>
      </c>
      <c r="I14940" t="s">
        <v>30</v>
      </c>
      <c r="J14940" t="s">
        <v>111</v>
      </c>
      <c r="K14940" t="s">
        <v>10012</v>
      </c>
      <c r="Q14940">
        <v>0</v>
      </c>
      <c r="R14940">
        <v>0</v>
      </c>
      <c r="S14940">
        <v>0</v>
      </c>
      <c r="T14940" t="s">
        <v>41052</v>
      </c>
    </row>
    <row r="14941" spans="1:20" customFormat="1" ht="15" x14ac:dyDescent="0.25">
      <c r="A14941" t="s">
        <v>35</v>
      </c>
      <c r="B14941" t="s">
        <v>106</v>
      </c>
      <c r="C14941" t="str">
        <f>"A0136050"</f>
        <v>A0136050</v>
      </c>
      <c r="D14941" t="s">
        <v>51955</v>
      </c>
      <c r="E14941" t="s">
        <v>51713</v>
      </c>
      <c r="F14941" t="s">
        <v>9791</v>
      </c>
      <c r="G14941" t="s">
        <v>47</v>
      </c>
      <c r="H14941">
        <v>97403</v>
      </c>
      <c r="I14941" t="s">
        <v>30</v>
      </c>
      <c r="J14941" t="s">
        <v>111</v>
      </c>
      <c r="K14941" t="s">
        <v>10012</v>
      </c>
      <c r="Q14941">
        <v>0</v>
      </c>
      <c r="R14941">
        <v>0</v>
      </c>
      <c r="S14941">
        <v>0</v>
      </c>
      <c r="T14941" t="s">
        <v>41052</v>
      </c>
    </row>
    <row r="14942" spans="1:20" customFormat="1" ht="15" x14ac:dyDescent="0.25">
      <c r="A14942" t="s">
        <v>35</v>
      </c>
      <c r="B14942" t="s">
        <v>106</v>
      </c>
      <c r="C14942" t="str">
        <f>"A0136073"</f>
        <v>A0136073</v>
      </c>
      <c r="D14942" t="s">
        <v>51956</v>
      </c>
      <c r="E14942" t="s">
        <v>51957</v>
      </c>
      <c r="F14942" t="s">
        <v>9791</v>
      </c>
      <c r="G14942" t="s">
        <v>47</v>
      </c>
      <c r="H14942">
        <v>97403</v>
      </c>
      <c r="I14942" t="s">
        <v>30</v>
      </c>
      <c r="J14942" t="s">
        <v>111</v>
      </c>
      <c r="K14942" t="s">
        <v>10012</v>
      </c>
      <c r="Q14942">
        <v>0</v>
      </c>
      <c r="R14942">
        <v>0</v>
      </c>
      <c r="S14942">
        <v>0</v>
      </c>
      <c r="T14942" t="s">
        <v>41052</v>
      </c>
    </row>
    <row r="14943" spans="1:20" customFormat="1" ht="15" x14ac:dyDescent="0.25">
      <c r="A14943" t="s">
        <v>35</v>
      </c>
      <c r="B14943" t="s">
        <v>106</v>
      </c>
      <c r="C14943" t="str">
        <f>"A0136058"</f>
        <v>A0136058</v>
      </c>
      <c r="D14943" t="s">
        <v>51958</v>
      </c>
      <c r="E14943" t="s">
        <v>51959</v>
      </c>
      <c r="F14943" t="s">
        <v>9791</v>
      </c>
      <c r="G14943" t="s">
        <v>47</v>
      </c>
      <c r="H14943">
        <v>97403</v>
      </c>
      <c r="I14943" t="s">
        <v>30</v>
      </c>
      <c r="J14943" t="s">
        <v>111</v>
      </c>
      <c r="K14943" t="s">
        <v>10012</v>
      </c>
      <c r="Q14943">
        <v>0</v>
      </c>
      <c r="R14943">
        <v>0</v>
      </c>
      <c r="S14943">
        <v>0</v>
      </c>
      <c r="T14943" t="s">
        <v>41052</v>
      </c>
    </row>
    <row r="14944" spans="1:20" customFormat="1" ht="15" x14ac:dyDescent="0.25">
      <c r="A14944" t="s">
        <v>35</v>
      </c>
      <c r="B14944" t="s">
        <v>106</v>
      </c>
      <c r="C14944" t="str">
        <f>"A0136054"</f>
        <v>A0136054</v>
      </c>
      <c r="D14944" t="s">
        <v>51960</v>
      </c>
      <c r="E14944" t="s">
        <v>51959</v>
      </c>
      <c r="F14944" t="s">
        <v>9791</v>
      </c>
      <c r="G14944" t="s">
        <v>47</v>
      </c>
      <c r="H14944">
        <v>97403</v>
      </c>
      <c r="I14944" t="s">
        <v>30</v>
      </c>
      <c r="J14944" t="s">
        <v>111</v>
      </c>
      <c r="K14944" t="s">
        <v>10012</v>
      </c>
      <c r="Q14944">
        <v>0</v>
      </c>
      <c r="R14944">
        <v>0</v>
      </c>
      <c r="S14944">
        <v>0</v>
      </c>
      <c r="T14944" t="s">
        <v>41052</v>
      </c>
    </row>
    <row r="14945" spans="1:20" customFormat="1" ht="15" x14ac:dyDescent="0.25">
      <c r="A14945" t="s">
        <v>35</v>
      </c>
      <c r="B14945" t="s">
        <v>106</v>
      </c>
      <c r="C14945" t="str">
        <f>"A0136072"</f>
        <v>A0136072</v>
      </c>
      <c r="D14945" t="s">
        <v>51961</v>
      </c>
      <c r="E14945" t="s">
        <v>51959</v>
      </c>
      <c r="F14945" t="s">
        <v>9791</v>
      </c>
      <c r="G14945" t="s">
        <v>47</v>
      </c>
      <c r="H14945">
        <v>97403</v>
      </c>
      <c r="I14945" t="s">
        <v>30</v>
      </c>
      <c r="J14945" t="s">
        <v>111</v>
      </c>
      <c r="K14945" t="s">
        <v>10012</v>
      </c>
      <c r="Q14945">
        <v>0</v>
      </c>
      <c r="R14945">
        <v>0</v>
      </c>
      <c r="S14945">
        <v>0</v>
      </c>
      <c r="T14945" t="s">
        <v>41052</v>
      </c>
    </row>
    <row r="14946" spans="1:20" customFormat="1" ht="15" x14ac:dyDescent="0.25">
      <c r="A14946" t="s">
        <v>35</v>
      </c>
      <c r="B14946" t="s">
        <v>106</v>
      </c>
      <c r="C14946" t="str">
        <f>"A0136065"</f>
        <v>A0136065</v>
      </c>
      <c r="D14946" t="s">
        <v>51962</v>
      </c>
      <c r="E14946" t="s">
        <v>51959</v>
      </c>
      <c r="F14946" t="s">
        <v>9791</v>
      </c>
      <c r="G14946" t="s">
        <v>47</v>
      </c>
      <c r="H14946">
        <v>97403</v>
      </c>
      <c r="I14946" t="s">
        <v>30</v>
      </c>
      <c r="J14946" t="s">
        <v>111</v>
      </c>
      <c r="K14946" t="s">
        <v>10012</v>
      </c>
      <c r="Q14946">
        <v>0</v>
      </c>
      <c r="R14946">
        <v>0</v>
      </c>
      <c r="S14946">
        <v>0</v>
      </c>
      <c r="T14946" t="s">
        <v>41052</v>
      </c>
    </row>
    <row r="14947" spans="1:20" customFormat="1" ht="15" x14ac:dyDescent="0.25">
      <c r="A14947" t="s">
        <v>35</v>
      </c>
      <c r="B14947" t="s">
        <v>106</v>
      </c>
      <c r="C14947" t="str">
        <f>"A0136059"</f>
        <v>A0136059</v>
      </c>
      <c r="D14947" t="s">
        <v>51963</v>
      </c>
      <c r="E14947" t="s">
        <v>51964</v>
      </c>
      <c r="F14947" t="s">
        <v>9791</v>
      </c>
      <c r="G14947" t="s">
        <v>47</v>
      </c>
      <c r="H14947">
        <v>97403</v>
      </c>
      <c r="I14947" t="s">
        <v>30</v>
      </c>
      <c r="J14947" t="s">
        <v>111</v>
      </c>
      <c r="K14947" t="s">
        <v>10012</v>
      </c>
      <c r="Q14947">
        <v>0</v>
      </c>
      <c r="R14947">
        <v>0</v>
      </c>
      <c r="S14947">
        <v>0</v>
      </c>
      <c r="T14947" t="s">
        <v>41052</v>
      </c>
    </row>
    <row r="14948" spans="1:20" customFormat="1" ht="15" x14ac:dyDescent="0.25">
      <c r="A14948" t="s">
        <v>35</v>
      </c>
      <c r="B14948" t="s">
        <v>106</v>
      </c>
      <c r="C14948" t="str">
        <f>"A0136060"</f>
        <v>A0136060</v>
      </c>
      <c r="D14948" t="s">
        <v>51965</v>
      </c>
      <c r="E14948" t="s">
        <v>51957</v>
      </c>
      <c r="F14948" t="s">
        <v>9791</v>
      </c>
      <c r="G14948" t="s">
        <v>47</v>
      </c>
      <c r="H14948">
        <v>97403</v>
      </c>
      <c r="I14948" t="s">
        <v>30</v>
      </c>
      <c r="J14948" t="s">
        <v>111</v>
      </c>
      <c r="K14948" t="s">
        <v>10012</v>
      </c>
      <c r="Q14948">
        <v>0</v>
      </c>
      <c r="R14948">
        <v>0</v>
      </c>
      <c r="S14948">
        <v>0</v>
      </c>
      <c r="T14948" t="s">
        <v>41052</v>
      </c>
    </row>
    <row r="14949" spans="1:20" customFormat="1" ht="15" x14ac:dyDescent="0.25">
      <c r="A14949" t="s">
        <v>35</v>
      </c>
      <c r="B14949" t="s">
        <v>106</v>
      </c>
      <c r="C14949" t="str">
        <f>"A0136066"</f>
        <v>A0136066</v>
      </c>
      <c r="D14949" t="s">
        <v>51966</v>
      </c>
      <c r="E14949" t="s">
        <v>51957</v>
      </c>
      <c r="F14949" t="s">
        <v>9791</v>
      </c>
      <c r="G14949" t="s">
        <v>47</v>
      </c>
      <c r="H14949">
        <v>97403</v>
      </c>
      <c r="I14949" t="s">
        <v>30</v>
      </c>
      <c r="J14949" t="s">
        <v>111</v>
      </c>
      <c r="K14949" t="s">
        <v>10012</v>
      </c>
      <c r="Q14949">
        <v>0</v>
      </c>
      <c r="R14949">
        <v>0</v>
      </c>
      <c r="S14949">
        <v>0</v>
      </c>
      <c r="T14949" t="s">
        <v>41052</v>
      </c>
    </row>
    <row r="14950" spans="1:20" customFormat="1" ht="15" x14ac:dyDescent="0.25">
      <c r="A14950" t="s">
        <v>35</v>
      </c>
      <c r="B14950" t="s">
        <v>106</v>
      </c>
      <c r="C14950" t="str">
        <f>"A0136056"</f>
        <v>A0136056</v>
      </c>
      <c r="D14950" t="s">
        <v>51967</v>
      </c>
      <c r="E14950" t="s">
        <v>51713</v>
      </c>
      <c r="F14950" t="s">
        <v>9791</v>
      </c>
      <c r="G14950" t="s">
        <v>47</v>
      </c>
      <c r="H14950">
        <v>97403</v>
      </c>
      <c r="I14950" t="s">
        <v>30</v>
      </c>
      <c r="J14950" t="s">
        <v>111</v>
      </c>
      <c r="K14950" t="s">
        <v>10012</v>
      </c>
      <c r="Q14950">
        <v>0</v>
      </c>
      <c r="R14950">
        <v>0</v>
      </c>
      <c r="S14950">
        <v>0</v>
      </c>
      <c r="T14950" t="s">
        <v>41052</v>
      </c>
    </row>
    <row r="14951" spans="1:20" customFormat="1" ht="15" x14ac:dyDescent="0.25">
      <c r="A14951" t="s">
        <v>35</v>
      </c>
      <c r="B14951" t="s">
        <v>106</v>
      </c>
      <c r="C14951" t="str">
        <f>"A0136057"</f>
        <v>A0136057</v>
      </c>
      <c r="D14951" t="s">
        <v>51968</v>
      </c>
      <c r="E14951" t="s">
        <v>51969</v>
      </c>
      <c r="F14951" t="s">
        <v>9791</v>
      </c>
      <c r="G14951" t="s">
        <v>47</v>
      </c>
      <c r="H14951">
        <v>97403</v>
      </c>
      <c r="I14951" t="s">
        <v>30</v>
      </c>
      <c r="J14951" t="s">
        <v>111</v>
      </c>
      <c r="K14951" t="s">
        <v>10012</v>
      </c>
      <c r="Q14951">
        <v>0</v>
      </c>
      <c r="R14951">
        <v>0</v>
      </c>
      <c r="S14951">
        <v>0</v>
      </c>
      <c r="T14951" t="s">
        <v>41052</v>
      </c>
    </row>
    <row r="14952" spans="1:20" customFormat="1" ht="15" x14ac:dyDescent="0.25">
      <c r="A14952" t="s">
        <v>35</v>
      </c>
      <c r="B14952" t="s">
        <v>106</v>
      </c>
      <c r="C14952" t="str">
        <f>"A0136069"</f>
        <v>A0136069</v>
      </c>
      <c r="D14952" t="s">
        <v>51970</v>
      </c>
      <c r="E14952" t="s">
        <v>51971</v>
      </c>
      <c r="F14952" t="s">
        <v>9791</v>
      </c>
      <c r="G14952" t="s">
        <v>47</v>
      </c>
      <c r="H14952">
        <v>97403</v>
      </c>
      <c r="I14952" t="s">
        <v>30</v>
      </c>
      <c r="J14952" t="s">
        <v>111</v>
      </c>
      <c r="K14952" t="s">
        <v>10012</v>
      </c>
      <c r="Q14952">
        <v>0</v>
      </c>
      <c r="R14952">
        <v>0</v>
      </c>
      <c r="S14952">
        <v>0</v>
      </c>
      <c r="T14952" t="s">
        <v>41052</v>
      </c>
    </row>
    <row r="14953" spans="1:20" customFormat="1" ht="15" x14ac:dyDescent="0.25">
      <c r="A14953" t="s">
        <v>35</v>
      </c>
      <c r="B14953" t="s">
        <v>106</v>
      </c>
      <c r="C14953" t="str">
        <f>"A0136061"</f>
        <v>A0136061</v>
      </c>
      <c r="D14953" t="s">
        <v>51972</v>
      </c>
      <c r="E14953" t="s">
        <v>51971</v>
      </c>
      <c r="F14953" t="s">
        <v>9791</v>
      </c>
      <c r="G14953" t="s">
        <v>47</v>
      </c>
      <c r="H14953">
        <v>97403</v>
      </c>
      <c r="I14953" t="s">
        <v>30</v>
      </c>
      <c r="J14953" t="s">
        <v>111</v>
      </c>
      <c r="K14953" t="s">
        <v>10012</v>
      </c>
      <c r="Q14953">
        <v>0</v>
      </c>
      <c r="R14953">
        <v>0</v>
      </c>
      <c r="S14953">
        <v>0</v>
      </c>
      <c r="T14953" t="s">
        <v>41052</v>
      </c>
    </row>
    <row r="14954" spans="1:20" customFormat="1" ht="15" x14ac:dyDescent="0.25">
      <c r="A14954" t="s">
        <v>35</v>
      </c>
      <c r="B14954" t="s">
        <v>106</v>
      </c>
      <c r="C14954" t="str">
        <f>"A0136062"</f>
        <v>A0136062</v>
      </c>
      <c r="D14954" t="s">
        <v>51973</v>
      </c>
      <c r="E14954" t="s">
        <v>51971</v>
      </c>
      <c r="F14954" t="s">
        <v>9791</v>
      </c>
      <c r="G14954" t="s">
        <v>47</v>
      </c>
      <c r="H14954">
        <v>97403</v>
      </c>
      <c r="I14954" t="s">
        <v>30</v>
      </c>
      <c r="J14954" t="s">
        <v>111</v>
      </c>
      <c r="K14954" t="s">
        <v>10012</v>
      </c>
      <c r="Q14954">
        <v>0</v>
      </c>
      <c r="R14954">
        <v>0</v>
      </c>
      <c r="S14954">
        <v>0</v>
      </c>
      <c r="T14954" t="s">
        <v>41052</v>
      </c>
    </row>
    <row r="14955" spans="1:20" customFormat="1" ht="15" x14ac:dyDescent="0.25">
      <c r="A14955" t="s">
        <v>35</v>
      </c>
      <c r="B14955" t="s">
        <v>106</v>
      </c>
      <c r="C14955" t="str">
        <f>"A0136051"</f>
        <v>A0136051</v>
      </c>
      <c r="D14955" t="s">
        <v>51974</v>
      </c>
      <c r="E14955" t="s">
        <v>51713</v>
      </c>
      <c r="F14955" t="s">
        <v>9791</v>
      </c>
      <c r="G14955" t="s">
        <v>47</v>
      </c>
      <c r="H14955">
        <v>97403</v>
      </c>
      <c r="I14955" t="s">
        <v>30</v>
      </c>
      <c r="J14955" t="s">
        <v>111</v>
      </c>
      <c r="K14955" t="s">
        <v>10012</v>
      </c>
      <c r="Q14955">
        <v>0</v>
      </c>
      <c r="R14955">
        <v>0</v>
      </c>
      <c r="S14955">
        <v>0</v>
      </c>
      <c r="T14955" t="s">
        <v>41052</v>
      </c>
    </row>
    <row r="14956" spans="1:20" customFormat="1" ht="15" x14ac:dyDescent="0.25">
      <c r="A14956" t="s">
        <v>35</v>
      </c>
      <c r="B14956" t="s">
        <v>106</v>
      </c>
      <c r="C14956" t="str">
        <f>"A0136070"</f>
        <v>A0136070</v>
      </c>
      <c r="D14956" t="s">
        <v>51975</v>
      </c>
      <c r="E14956" t="s">
        <v>51971</v>
      </c>
      <c r="F14956" t="s">
        <v>9791</v>
      </c>
      <c r="G14956" t="s">
        <v>47</v>
      </c>
      <c r="H14956">
        <v>97403</v>
      </c>
      <c r="I14956" t="s">
        <v>30</v>
      </c>
      <c r="J14956" t="s">
        <v>111</v>
      </c>
      <c r="K14956" t="s">
        <v>10012</v>
      </c>
      <c r="Q14956">
        <v>0</v>
      </c>
      <c r="R14956">
        <v>0</v>
      </c>
      <c r="S14956">
        <v>0</v>
      </c>
      <c r="T14956" t="s">
        <v>41052</v>
      </c>
    </row>
    <row r="14957" spans="1:20" customFormat="1" ht="15" x14ac:dyDescent="0.25">
      <c r="A14957" t="s">
        <v>35</v>
      </c>
      <c r="B14957" t="s">
        <v>106</v>
      </c>
      <c r="C14957" t="str">
        <f>"A0136080"</f>
        <v>A0136080</v>
      </c>
      <c r="D14957" t="s">
        <v>51976</v>
      </c>
      <c r="E14957" t="s">
        <v>51977</v>
      </c>
      <c r="F14957" t="s">
        <v>9791</v>
      </c>
      <c r="G14957" t="s">
        <v>47</v>
      </c>
      <c r="H14957">
        <v>97403</v>
      </c>
      <c r="I14957" t="s">
        <v>30</v>
      </c>
      <c r="J14957" t="s">
        <v>111</v>
      </c>
      <c r="K14957" t="s">
        <v>10012</v>
      </c>
      <c r="Q14957">
        <v>0</v>
      </c>
      <c r="R14957">
        <v>0</v>
      </c>
      <c r="S14957">
        <v>0</v>
      </c>
      <c r="T14957" t="s">
        <v>41052</v>
      </c>
    </row>
    <row r="14958" spans="1:20" customFormat="1" ht="15" x14ac:dyDescent="0.25">
      <c r="A14958" t="s">
        <v>35</v>
      </c>
      <c r="B14958" t="s">
        <v>106</v>
      </c>
      <c r="C14958" t="str">
        <f>"A0136085"</f>
        <v>A0136085</v>
      </c>
      <c r="D14958" t="s">
        <v>51978</v>
      </c>
      <c r="E14958" t="s">
        <v>51713</v>
      </c>
      <c r="F14958" t="s">
        <v>9791</v>
      </c>
      <c r="G14958" t="s">
        <v>47</v>
      </c>
      <c r="H14958">
        <v>97403</v>
      </c>
      <c r="I14958" t="s">
        <v>30</v>
      </c>
      <c r="J14958" t="s">
        <v>111</v>
      </c>
      <c r="K14958" t="s">
        <v>10012</v>
      </c>
      <c r="Q14958">
        <v>0</v>
      </c>
      <c r="R14958">
        <v>0</v>
      </c>
      <c r="S14958">
        <v>0</v>
      </c>
      <c r="T14958" t="s">
        <v>41052</v>
      </c>
    </row>
    <row r="14959" spans="1:20" customFormat="1" ht="15" x14ac:dyDescent="0.25">
      <c r="A14959" t="s">
        <v>35</v>
      </c>
      <c r="B14959" t="s">
        <v>106</v>
      </c>
      <c r="C14959" t="str">
        <f>"A0136048"</f>
        <v>A0136048</v>
      </c>
      <c r="D14959" t="s">
        <v>51979</v>
      </c>
      <c r="E14959" t="s">
        <v>51713</v>
      </c>
      <c r="F14959" t="s">
        <v>9791</v>
      </c>
      <c r="G14959" t="s">
        <v>47</v>
      </c>
      <c r="H14959">
        <v>97403</v>
      </c>
      <c r="I14959" t="s">
        <v>30</v>
      </c>
      <c r="J14959" t="s">
        <v>111</v>
      </c>
      <c r="K14959" t="s">
        <v>10012</v>
      </c>
      <c r="Q14959">
        <v>0</v>
      </c>
      <c r="R14959">
        <v>0</v>
      </c>
      <c r="S14959">
        <v>0</v>
      </c>
      <c r="T14959" t="s">
        <v>41052</v>
      </c>
    </row>
    <row r="14960" spans="1:20" customFormat="1" ht="15" x14ac:dyDescent="0.25">
      <c r="A14960" t="s">
        <v>35</v>
      </c>
      <c r="B14960" t="s">
        <v>106</v>
      </c>
      <c r="C14960" t="str">
        <f>"A0136081"</f>
        <v>A0136081</v>
      </c>
      <c r="D14960" t="s">
        <v>51980</v>
      </c>
      <c r="E14960" t="s">
        <v>51713</v>
      </c>
      <c r="F14960" t="s">
        <v>9791</v>
      </c>
      <c r="G14960" t="s">
        <v>47</v>
      </c>
      <c r="H14960">
        <v>97403</v>
      </c>
      <c r="I14960" t="s">
        <v>30</v>
      </c>
      <c r="J14960" t="s">
        <v>111</v>
      </c>
      <c r="K14960" t="s">
        <v>10012</v>
      </c>
      <c r="Q14960">
        <v>0</v>
      </c>
      <c r="R14960">
        <v>0</v>
      </c>
      <c r="S14960">
        <v>0</v>
      </c>
      <c r="T14960" t="s">
        <v>41052</v>
      </c>
    </row>
    <row r="14961" spans="1:20" customFormat="1" ht="15" x14ac:dyDescent="0.25">
      <c r="A14961" t="s">
        <v>35</v>
      </c>
      <c r="B14961" t="s">
        <v>106</v>
      </c>
      <c r="C14961" t="str">
        <f>"A0136078"</f>
        <v>A0136078</v>
      </c>
      <c r="D14961" t="s">
        <v>51981</v>
      </c>
      <c r="E14961" t="s">
        <v>51977</v>
      </c>
      <c r="F14961" t="s">
        <v>9791</v>
      </c>
      <c r="G14961" t="s">
        <v>47</v>
      </c>
      <c r="H14961">
        <v>97403</v>
      </c>
      <c r="I14961" t="s">
        <v>30</v>
      </c>
      <c r="J14961" t="s">
        <v>111</v>
      </c>
      <c r="K14961" t="s">
        <v>10012</v>
      </c>
      <c r="Q14961">
        <v>0</v>
      </c>
      <c r="R14961">
        <v>0</v>
      </c>
      <c r="S14961">
        <v>0</v>
      </c>
      <c r="T14961" t="s">
        <v>41052</v>
      </c>
    </row>
    <row r="14962" spans="1:20" customFormat="1" ht="15" x14ac:dyDescent="0.25">
      <c r="A14962" t="s">
        <v>35</v>
      </c>
      <c r="B14962" t="s">
        <v>106</v>
      </c>
      <c r="C14962" t="str">
        <f>"A0136052"</f>
        <v>A0136052</v>
      </c>
      <c r="D14962" t="s">
        <v>51982</v>
      </c>
      <c r="E14962" t="s">
        <v>51713</v>
      </c>
      <c r="F14962" t="s">
        <v>9791</v>
      </c>
      <c r="G14962" t="s">
        <v>47</v>
      </c>
      <c r="H14962">
        <v>97403</v>
      </c>
      <c r="I14962" t="s">
        <v>30</v>
      </c>
      <c r="J14962" t="s">
        <v>111</v>
      </c>
      <c r="K14962" t="s">
        <v>10012</v>
      </c>
      <c r="Q14962">
        <v>0</v>
      </c>
      <c r="R14962">
        <v>0</v>
      </c>
      <c r="S14962">
        <v>0</v>
      </c>
      <c r="T14962" t="s">
        <v>41052</v>
      </c>
    </row>
    <row r="14963" spans="1:20" customFormat="1" ht="15" x14ac:dyDescent="0.25">
      <c r="A14963" t="s">
        <v>35</v>
      </c>
      <c r="B14963" t="s">
        <v>106</v>
      </c>
      <c r="C14963" t="str">
        <f>"A0136075"</f>
        <v>A0136075</v>
      </c>
      <c r="D14963" t="s">
        <v>51983</v>
      </c>
      <c r="E14963" t="s">
        <v>51984</v>
      </c>
      <c r="F14963" t="s">
        <v>9791</v>
      </c>
      <c r="G14963" t="s">
        <v>47</v>
      </c>
      <c r="H14963">
        <v>97403</v>
      </c>
      <c r="I14963" t="s">
        <v>30</v>
      </c>
      <c r="J14963" t="s">
        <v>111</v>
      </c>
      <c r="K14963" t="s">
        <v>10012</v>
      </c>
      <c r="Q14963">
        <v>0</v>
      </c>
      <c r="R14963">
        <v>0</v>
      </c>
      <c r="S14963">
        <v>0</v>
      </c>
      <c r="T14963" t="s">
        <v>41052</v>
      </c>
    </row>
    <row r="14964" spans="1:20" customFormat="1" ht="15" x14ac:dyDescent="0.25">
      <c r="A14964" t="s">
        <v>35</v>
      </c>
      <c r="B14964" t="s">
        <v>106</v>
      </c>
      <c r="C14964" t="str">
        <f>"A0136074"</f>
        <v>A0136074</v>
      </c>
      <c r="D14964" t="s">
        <v>51985</v>
      </c>
      <c r="E14964" t="s">
        <v>51984</v>
      </c>
      <c r="F14964" t="s">
        <v>9791</v>
      </c>
      <c r="G14964" t="s">
        <v>47</v>
      </c>
      <c r="H14964">
        <v>97403</v>
      </c>
      <c r="I14964" t="s">
        <v>30</v>
      </c>
      <c r="J14964" t="s">
        <v>111</v>
      </c>
      <c r="K14964" t="s">
        <v>10012</v>
      </c>
      <c r="Q14964">
        <v>0</v>
      </c>
      <c r="R14964">
        <v>0</v>
      </c>
      <c r="S14964">
        <v>0</v>
      </c>
      <c r="T14964" t="s">
        <v>41052</v>
      </c>
    </row>
    <row r="14965" spans="1:20" customFormat="1" ht="15" x14ac:dyDescent="0.25">
      <c r="A14965" t="s">
        <v>35</v>
      </c>
      <c r="B14965" t="s">
        <v>106</v>
      </c>
      <c r="C14965" t="str">
        <f>"A0136071"</f>
        <v>A0136071</v>
      </c>
      <c r="D14965" t="s">
        <v>51986</v>
      </c>
      <c r="E14965" t="s">
        <v>51984</v>
      </c>
      <c r="F14965" t="s">
        <v>9791</v>
      </c>
      <c r="G14965" t="s">
        <v>47</v>
      </c>
      <c r="H14965">
        <v>97403</v>
      </c>
      <c r="I14965" t="s">
        <v>30</v>
      </c>
      <c r="J14965" t="s">
        <v>111</v>
      </c>
      <c r="K14965" t="s">
        <v>10012</v>
      </c>
      <c r="Q14965">
        <v>0</v>
      </c>
      <c r="R14965">
        <v>0</v>
      </c>
      <c r="S14965">
        <v>0</v>
      </c>
      <c r="T14965" t="s">
        <v>41052</v>
      </c>
    </row>
    <row r="14966" spans="1:20" customFormat="1" ht="15" x14ac:dyDescent="0.25">
      <c r="A14966" t="s">
        <v>35</v>
      </c>
      <c r="B14966" t="s">
        <v>106</v>
      </c>
      <c r="C14966" t="str">
        <f>"A0136063"</f>
        <v>A0136063</v>
      </c>
      <c r="D14966" t="s">
        <v>51987</v>
      </c>
      <c r="E14966" t="s">
        <v>51713</v>
      </c>
      <c r="F14966" t="s">
        <v>9791</v>
      </c>
      <c r="G14966" t="s">
        <v>47</v>
      </c>
      <c r="H14966">
        <v>97403</v>
      </c>
      <c r="I14966" t="s">
        <v>30</v>
      </c>
      <c r="J14966" t="s">
        <v>111</v>
      </c>
      <c r="K14966" t="s">
        <v>10012</v>
      </c>
      <c r="Q14966">
        <v>0</v>
      </c>
      <c r="R14966">
        <v>0</v>
      </c>
      <c r="S14966">
        <v>0</v>
      </c>
      <c r="T14966" t="s">
        <v>41052</v>
      </c>
    </row>
    <row r="14967" spans="1:20" customFormat="1" ht="15" x14ac:dyDescent="0.25">
      <c r="A14967" t="s">
        <v>35</v>
      </c>
      <c r="B14967" t="s">
        <v>106</v>
      </c>
      <c r="C14967" t="str">
        <f>"A0136053"</f>
        <v>A0136053</v>
      </c>
      <c r="D14967" t="s">
        <v>51988</v>
      </c>
      <c r="E14967" t="s">
        <v>51713</v>
      </c>
      <c r="F14967" t="s">
        <v>9791</v>
      </c>
      <c r="G14967" t="s">
        <v>47</v>
      </c>
      <c r="H14967">
        <v>97403</v>
      </c>
      <c r="I14967" t="s">
        <v>30</v>
      </c>
      <c r="J14967" t="s">
        <v>111</v>
      </c>
      <c r="K14967" t="s">
        <v>10012</v>
      </c>
      <c r="Q14967">
        <v>0</v>
      </c>
      <c r="R14967">
        <v>0</v>
      </c>
      <c r="S14967">
        <v>0</v>
      </c>
      <c r="T14967" t="s">
        <v>41052</v>
      </c>
    </row>
    <row r="14968" spans="1:20" customFormat="1" ht="15" x14ac:dyDescent="0.25">
      <c r="A14968" t="s">
        <v>35</v>
      </c>
      <c r="B14968" t="s">
        <v>106</v>
      </c>
      <c r="C14968" t="str">
        <f>"A0136086"</f>
        <v>A0136086</v>
      </c>
      <c r="D14968" t="s">
        <v>51989</v>
      </c>
      <c r="E14968" t="s">
        <v>51990</v>
      </c>
      <c r="F14968" t="s">
        <v>510</v>
      </c>
      <c r="G14968" t="s">
        <v>47</v>
      </c>
      <c r="H14968">
        <v>97420</v>
      </c>
      <c r="I14968" t="s">
        <v>30</v>
      </c>
      <c r="J14968" t="s">
        <v>111</v>
      </c>
      <c r="K14968" t="s">
        <v>112</v>
      </c>
      <c r="Q14968">
        <v>0</v>
      </c>
      <c r="R14968">
        <v>0</v>
      </c>
      <c r="S14968">
        <v>0</v>
      </c>
      <c r="T14968" t="s">
        <v>51991</v>
      </c>
    </row>
    <row r="14969" spans="1:20" customFormat="1" ht="15" x14ac:dyDescent="0.25">
      <c r="A14969" t="s">
        <v>35</v>
      </c>
      <c r="B14969" t="s">
        <v>106</v>
      </c>
      <c r="C14969" t="str">
        <f>"A0136064"</f>
        <v>A0136064</v>
      </c>
      <c r="D14969" t="s">
        <v>51992</v>
      </c>
      <c r="E14969" t="s">
        <v>51713</v>
      </c>
      <c r="F14969" t="s">
        <v>9791</v>
      </c>
      <c r="G14969" t="s">
        <v>47</v>
      </c>
      <c r="H14969">
        <v>97403</v>
      </c>
      <c r="I14969" t="s">
        <v>30</v>
      </c>
      <c r="J14969" t="s">
        <v>111</v>
      </c>
      <c r="K14969" t="s">
        <v>10012</v>
      </c>
      <c r="Q14969">
        <v>0</v>
      </c>
      <c r="R14969">
        <v>0</v>
      </c>
      <c r="S14969">
        <v>0</v>
      </c>
      <c r="T14969" t="s">
        <v>41052</v>
      </c>
    </row>
    <row r="14970" spans="1:20" customFormat="1" ht="15" x14ac:dyDescent="0.25">
      <c r="A14970" t="s">
        <v>35</v>
      </c>
      <c r="B14970" t="s">
        <v>106</v>
      </c>
      <c r="C14970" t="str">
        <f>"A0136083"</f>
        <v>A0136083</v>
      </c>
      <c r="D14970" t="s">
        <v>51993</v>
      </c>
      <c r="E14970" t="s">
        <v>51977</v>
      </c>
      <c r="F14970" t="s">
        <v>9791</v>
      </c>
      <c r="G14970" t="s">
        <v>47</v>
      </c>
      <c r="H14970">
        <v>97403</v>
      </c>
      <c r="I14970" t="s">
        <v>30</v>
      </c>
      <c r="J14970" t="s">
        <v>111</v>
      </c>
      <c r="K14970" t="s">
        <v>10012</v>
      </c>
      <c r="Q14970">
        <v>0</v>
      </c>
      <c r="R14970">
        <v>0</v>
      </c>
      <c r="S14970">
        <v>0</v>
      </c>
      <c r="T14970" t="s">
        <v>41052</v>
      </c>
    </row>
    <row r="14971" spans="1:20" customFormat="1" ht="15" x14ac:dyDescent="0.25">
      <c r="A14971" t="s">
        <v>35</v>
      </c>
      <c r="B14971" t="s">
        <v>106</v>
      </c>
      <c r="C14971" t="str">
        <f>"A0136055"</f>
        <v>A0136055</v>
      </c>
      <c r="D14971" t="s">
        <v>51994</v>
      </c>
      <c r="E14971" t="s">
        <v>51954</v>
      </c>
      <c r="F14971" t="s">
        <v>9791</v>
      </c>
      <c r="G14971" t="s">
        <v>47</v>
      </c>
      <c r="H14971">
        <v>97403</v>
      </c>
      <c r="I14971" t="s">
        <v>30</v>
      </c>
      <c r="J14971" t="s">
        <v>111</v>
      </c>
      <c r="K14971" t="s">
        <v>10012</v>
      </c>
      <c r="Q14971">
        <v>0</v>
      </c>
      <c r="R14971">
        <v>0</v>
      </c>
      <c r="S14971">
        <v>0</v>
      </c>
      <c r="T14971" t="s">
        <v>41052</v>
      </c>
    </row>
    <row r="14972" spans="1:20" customFormat="1" ht="15" x14ac:dyDescent="0.25">
      <c r="A14972" t="s">
        <v>35</v>
      </c>
      <c r="B14972" t="s">
        <v>106</v>
      </c>
      <c r="C14972" t="str">
        <f>"A0136076"</f>
        <v>A0136076</v>
      </c>
      <c r="D14972" t="s">
        <v>51995</v>
      </c>
      <c r="E14972" t="s">
        <v>51969</v>
      </c>
      <c r="F14972" t="s">
        <v>9791</v>
      </c>
      <c r="G14972" t="s">
        <v>47</v>
      </c>
      <c r="H14972">
        <v>97403</v>
      </c>
      <c r="I14972" t="s">
        <v>30</v>
      </c>
      <c r="J14972" t="s">
        <v>111</v>
      </c>
      <c r="K14972" t="s">
        <v>10012</v>
      </c>
      <c r="Q14972">
        <v>0</v>
      </c>
      <c r="R14972">
        <v>0</v>
      </c>
      <c r="S14972">
        <v>0</v>
      </c>
      <c r="T14972" t="s">
        <v>41052</v>
      </c>
    </row>
    <row r="14973" spans="1:20" customFormat="1" ht="15" x14ac:dyDescent="0.25">
      <c r="A14973" t="s">
        <v>35</v>
      </c>
      <c r="B14973" t="s">
        <v>106</v>
      </c>
      <c r="C14973" t="str">
        <f>"A0136068"</f>
        <v>A0136068</v>
      </c>
      <c r="D14973" t="s">
        <v>51996</v>
      </c>
      <c r="E14973" t="s">
        <v>51957</v>
      </c>
      <c r="F14973" t="s">
        <v>9791</v>
      </c>
      <c r="G14973" t="s">
        <v>47</v>
      </c>
      <c r="H14973">
        <v>97403</v>
      </c>
      <c r="I14973" t="s">
        <v>30</v>
      </c>
      <c r="J14973" t="s">
        <v>111</v>
      </c>
      <c r="K14973" t="s">
        <v>10012</v>
      </c>
      <c r="Q14973">
        <v>0</v>
      </c>
      <c r="R14973">
        <v>0</v>
      </c>
      <c r="S14973">
        <v>0</v>
      </c>
      <c r="T14973" t="s">
        <v>41052</v>
      </c>
    </row>
    <row r="14974" spans="1:20" customFormat="1" ht="15" x14ac:dyDescent="0.25">
      <c r="A14974" t="s">
        <v>35</v>
      </c>
      <c r="B14974" t="s">
        <v>106</v>
      </c>
      <c r="C14974" t="str">
        <f>"A0136368"</f>
        <v>A0136368</v>
      </c>
      <c r="D14974" t="s">
        <v>51997</v>
      </c>
      <c r="E14974" t="s">
        <v>51998</v>
      </c>
      <c r="F14974" t="s">
        <v>9791</v>
      </c>
      <c r="G14974" t="s">
        <v>47</v>
      </c>
      <c r="H14974">
        <v>97403</v>
      </c>
      <c r="I14974" t="s">
        <v>30</v>
      </c>
      <c r="J14974" t="s">
        <v>111</v>
      </c>
      <c r="K14974" t="s">
        <v>10012</v>
      </c>
      <c r="Q14974">
        <v>0</v>
      </c>
      <c r="R14974">
        <v>0</v>
      </c>
      <c r="S14974">
        <v>0</v>
      </c>
      <c r="T14974" t="s">
        <v>51999</v>
      </c>
    </row>
    <row r="14975" spans="1:20" customFormat="1" ht="15" x14ac:dyDescent="0.25">
      <c r="A14975" t="s">
        <v>35</v>
      </c>
      <c r="B14975" t="s">
        <v>106</v>
      </c>
      <c r="C14975" t="str">
        <f>"A0135375"</f>
        <v>A0135375</v>
      </c>
      <c r="D14975" t="s">
        <v>52000</v>
      </c>
      <c r="E14975" t="s">
        <v>52001</v>
      </c>
      <c r="F14975" t="s">
        <v>472</v>
      </c>
      <c r="G14975" t="s">
        <v>214</v>
      </c>
      <c r="H14975">
        <v>276957307</v>
      </c>
      <c r="I14975" t="s">
        <v>30</v>
      </c>
      <c r="J14975" t="s">
        <v>111</v>
      </c>
      <c r="K14975" t="s">
        <v>10012</v>
      </c>
      <c r="Q14975">
        <v>0</v>
      </c>
      <c r="R14975">
        <v>0</v>
      </c>
      <c r="S14975">
        <v>0</v>
      </c>
      <c r="T14975" t="s">
        <v>46548</v>
      </c>
    </row>
    <row r="14976" spans="1:20" customFormat="1" ht="15" x14ac:dyDescent="0.25">
      <c r="A14976" t="s">
        <v>35</v>
      </c>
      <c r="B14976" t="s">
        <v>106</v>
      </c>
      <c r="C14976" t="str">
        <f>"A0135301"</f>
        <v>A0135301</v>
      </c>
      <c r="D14976" t="s">
        <v>52002</v>
      </c>
      <c r="E14976" t="s">
        <v>52003</v>
      </c>
      <c r="F14976" t="s">
        <v>39147</v>
      </c>
      <c r="G14976" t="s">
        <v>1898</v>
      </c>
      <c r="H14976">
        <v>52242</v>
      </c>
      <c r="I14976" t="s">
        <v>30</v>
      </c>
      <c r="J14976" t="s">
        <v>111</v>
      </c>
      <c r="K14976" t="s">
        <v>10012</v>
      </c>
      <c r="Q14976">
        <v>0</v>
      </c>
      <c r="R14976">
        <v>0</v>
      </c>
      <c r="S14976">
        <v>0</v>
      </c>
      <c r="T14976" t="s">
        <v>52004</v>
      </c>
    </row>
    <row r="14977" spans="1:20" customFormat="1" ht="15" x14ac:dyDescent="0.25">
      <c r="A14977" t="s">
        <v>35</v>
      </c>
      <c r="B14977" t="s">
        <v>106</v>
      </c>
      <c r="C14977" t="str">
        <f>"A0136149"</f>
        <v>A0136149</v>
      </c>
      <c r="D14977" t="s">
        <v>52005</v>
      </c>
      <c r="E14977" t="s">
        <v>51622</v>
      </c>
      <c r="F14977" t="s">
        <v>7734</v>
      </c>
      <c r="G14977" t="s">
        <v>197</v>
      </c>
      <c r="H14977">
        <v>857210017</v>
      </c>
      <c r="I14977" t="s">
        <v>30</v>
      </c>
      <c r="J14977" t="s">
        <v>111</v>
      </c>
      <c r="K14977" t="s">
        <v>10012</v>
      </c>
      <c r="Q14977">
        <v>0</v>
      </c>
      <c r="R14977">
        <v>0</v>
      </c>
      <c r="S14977">
        <v>0</v>
      </c>
      <c r="T14977" t="s">
        <v>51623</v>
      </c>
    </row>
    <row r="14978" spans="1:20" customFormat="1" ht="15" x14ac:dyDescent="0.25">
      <c r="A14978" t="s">
        <v>35</v>
      </c>
      <c r="B14978" t="s">
        <v>106</v>
      </c>
      <c r="C14978" t="str">
        <f>"A0135711"</f>
        <v>A0135711</v>
      </c>
      <c r="D14978" t="s">
        <v>52006</v>
      </c>
      <c r="E14978" t="s">
        <v>51722</v>
      </c>
      <c r="F14978" t="s">
        <v>51723</v>
      </c>
      <c r="G14978" t="s">
        <v>110</v>
      </c>
      <c r="H14978">
        <v>95301</v>
      </c>
      <c r="I14978" t="s">
        <v>30</v>
      </c>
      <c r="J14978" t="s">
        <v>111</v>
      </c>
      <c r="K14978" t="s">
        <v>10012</v>
      </c>
      <c r="Q14978">
        <v>0</v>
      </c>
      <c r="R14978">
        <v>0</v>
      </c>
      <c r="S14978">
        <v>0</v>
      </c>
      <c r="T14978" t="s">
        <v>51724</v>
      </c>
    </row>
    <row r="14979" spans="1:20" customFormat="1" ht="15" x14ac:dyDescent="0.25">
      <c r="A14979" t="s">
        <v>35</v>
      </c>
      <c r="B14979" t="s">
        <v>106</v>
      </c>
      <c r="C14979" t="str">
        <f>"A0136462"</f>
        <v>A0136462</v>
      </c>
      <c r="D14979" t="s">
        <v>52007</v>
      </c>
      <c r="E14979" t="s">
        <v>52008</v>
      </c>
      <c r="F14979" t="s">
        <v>25524</v>
      </c>
      <c r="G14979" t="s">
        <v>190</v>
      </c>
      <c r="H14979">
        <v>803090154</v>
      </c>
      <c r="I14979" t="s">
        <v>30</v>
      </c>
      <c r="J14979" t="s">
        <v>111</v>
      </c>
      <c r="K14979" t="s">
        <v>10012</v>
      </c>
      <c r="Q14979">
        <v>0</v>
      </c>
      <c r="R14979">
        <v>0</v>
      </c>
      <c r="S14979">
        <v>0</v>
      </c>
      <c r="T14979" t="s">
        <v>52009</v>
      </c>
    </row>
    <row r="14980" spans="1:20" customFormat="1" ht="15" x14ac:dyDescent="0.25">
      <c r="A14980" t="s">
        <v>35</v>
      </c>
      <c r="B14980" t="s">
        <v>106</v>
      </c>
      <c r="C14980" t="str">
        <f>"A0136461"</f>
        <v>A0136461</v>
      </c>
      <c r="D14980" t="s">
        <v>52010</v>
      </c>
      <c r="E14980" t="s">
        <v>52008</v>
      </c>
      <c r="F14980" t="s">
        <v>25524</v>
      </c>
      <c r="G14980" t="s">
        <v>190</v>
      </c>
      <c r="H14980">
        <v>803090154</v>
      </c>
      <c r="I14980" t="s">
        <v>30</v>
      </c>
      <c r="J14980" t="s">
        <v>111</v>
      </c>
      <c r="K14980" t="s">
        <v>10012</v>
      </c>
      <c r="Q14980">
        <v>0</v>
      </c>
      <c r="R14980">
        <v>0</v>
      </c>
      <c r="S14980">
        <v>0</v>
      </c>
      <c r="T14980" t="s">
        <v>52009</v>
      </c>
    </row>
    <row r="14981" spans="1:20" customFormat="1" ht="15" x14ac:dyDescent="0.25">
      <c r="A14981" t="s">
        <v>35</v>
      </c>
      <c r="B14981" t="s">
        <v>106</v>
      </c>
      <c r="C14981" t="str">
        <f>"A0136476"</f>
        <v>A0136476</v>
      </c>
      <c r="D14981" t="s">
        <v>52011</v>
      </c>
      <c r="E14981" t="s">
        <v>51654</v>
      </c>
      <c r="F14981" t="s">
        <v>31809</v>
      </c>
      <c r="G14981" t="s">
        <v>615</v>
      </c>
      <c r="H14981">
        <v>6268</v>
      </c>
      <c r="I14981" t="s">
        <v>30</v>
      </c>
      <c r="J14981" t="s">
        <v>111</v>
      </c>
      <c r="K14981" t="s">
        <v>10012</v>
      </c>
      <c r="Q14981">
        <v>0</v>
      </c>
      <c r="R14981">
        <v>0</v>
      </c>
      <c r="S14981">
        <v>0</v>
      </c>
      <c r="T14981" t="s">
        <v>51874</v>
      </c>
    </row>
    <row r="14982" spans="1:20" customFormat="1" ht="15" x14ac:dyDescent="0.25">
      <c r="A14982" t="s">
        <v>35</v>
      </c>
      <c r="B14982" t="s">
        <v>106</v>
      </c>
      <c r="C14982" t="str">
        <f>"A0135608"</f>
        <v>A0135608</v>
      </c>
      <c r="D14982" t="s">
        <v>52012</v>
      </c>
      <c r="E14982" t="s">
        <v>52013</v>
      </c>
      <c r="F14982" t="s">
        <v>9450</v>
      </c>
      <c r="G14982" t="s">
        <v>1184</v>
      </c>
      <c r="H14982">
        <v>59405</v>
      </c>
      <c r="I14982" t="s">
        <v>30</v>
      </c>
      <c r="J14982" t="s">
        <v>111</v>
      </c>
      <c r="K14982" t="s">
        <v>112</v>
      </c>
      <c r="Q14982">
        <v>0</v>
      </c>
      <c r="R14982">
        <v>0</v>
      </c>
      <c r="S14982">
        <v>0</v>
      </c>
      <c r="T14982" t="s">
        <v>52014</v>
      </c>
    </row>
    <row r="14983" spans="1:20" customFormat="1" ht="15" x14ac:dyDescent="0.25">
      <c r="A14983" t="s">
        <v>35</v>
      </c>
      <c r="B14983" t="s">
        <v>106</v>
      </c>
      <c r="C14983" t="str">
        <f>"A0135300"</f>
        <v>A0135300</v>
      </c>
      <c r="D14983" t="s">
        <v>52015</v>
      </c>
      <c r="E14983" t="s">
        <v>52016</v>
      </c>
      <c r="F14983" t="s">
        <v>39147</v>
      </c>
      <c r="G14983" t="s">
        <v>1898</v>
      </c>
      <c r="H14983">
        <v>522420000</v>
      </c>
      <c r="I14983" t="s">
        <v>30</v>
      </c>
      <c r="J14983" t="s">
        <v>111</v>
      </c>
      <c r="K14983" t="s">
        <v>10012</v>
      </c>
      <c r="Q14983">
        <v>0</v>
      </c>
      <c r="R14983">
        <v>0</v>
      </c>
      <c r="S14983">
        <v>0</v>
      </c>
      <c r="T14983" t="s">
        <v>52017</v>
      </c>
    </row>
    <row r="14984" spans="1:20" customFormat="1" ht="15" x14ac:dyDescent="0.25">
      <c r="A14984" t="s">
        <v>35</v>
      </c>
      <c r="B14984" t="s">
        <v>106</v>
      </c>
      <c r="C14984" t="str">
        <f>"A0136224"</f>
        <v>A0136224</v>
      </c>
      <c r="D14984" t="s">
        <v>52018</v>
      </c>
      <c r="E14984" t="s">
        <v>52019</v>
      </c>
      <c r="F14984" t="s">
        <v>1689</v>
      </c>
      <c r="G14984" t="s">
        <v>840</v>
      </c>
      <c r="H14984">
        <v>405060071</v>
      </c>
      <c r="I14984" t="s">
        <v>30</v>
      </c>
      <c r="J14984" t="s">
        <v>111</v>
      </c>
      <c r="K14984" t="s">
        <v>10012</v>
      </c>
      <c r="Q14984">
        <v>0</v>
      </c>
      <c r="R14984">
        <v>0</v>
      </c>
      <c r="S14984">
        <v>0</v>
      </c>
      <c r="T14984" t="s">
        <v>51918</v>
      </c>
    </row>
    <row r="14985" spans="1:20" customFormat="1" ht="15" x14ac:dyDescent="0.25">
      <c r="A14985" t="s">
        <v>35</v>
      </c>
      <c r="B14985" t="s">
        <v>106</v>
      </c>
      <c r="C14985" t="str">
        <f>"A0136518"</f>
        <v>A0136518</v>
      </c>
      <c r="D14985" t="s">
        <v>52020</v>
      </c>
      <c r="E14985" t="s">
        <v>52021</v>
      </c>
      <c r="F14985" t="s">
        <v>41847</v>
      </c>
      <c r="G14985" t="s">
        <v>123</v>
      </c>
      <c r="H14985">
        <v>207428411</v>
      </c>
      <c r="I14985" t="s">
        <v>30</v>
      </c>
      <c r="J14985" t="s">
        <v>111</v>
      </c>
      <c r="K14985" t="s">
        <v>112</v>
      </c>
      <c r="Q14985">
        <v>0</v>
      </c>
      <c r="R14985">
        <v>0</v>
      </c>
      <c r="S14985">
        <v>0</v>
      </c>
      <c r="T14985" t="s">
        <v>52022</v>
      </c>
    </row>
    <row r="14986" spans="1:20" customFormat="1" ht="15" x14ac:dyDescent="0.25">
      <c r="A14986" t="s">
        <v>35</v>
      </c>
      <c r="B14986" t="s">
        <v>106</v>
      </c>
      <c r="C14986" t="str">
        <f>"A0136346"</f>
        <v>A0136346</v>
      </c>
      <c r="D14986" t="s">
        <v>52023</v>
      </c>
      <c r="E14986" t="s">
        <v>52024</v>
      </c>
      <c r="F14986" t="s">
        <v>26351</v>
      </c>
      <c r="G14986" t="s">
        <v>899</v>
      </c>
      <c r="H14986">
        <v>10039314</v>
      </c>
      <c r="I14986" t="s">
        <v>30</v>
      </c>
      <c r="J14986" t="s">
        <v>111</v>
      </c>
      <c r="K14986" t="s">
        <v>112</v>
      </c>
      <c r="Q14986">
        <v>0</v>
      </c>
      <c r="R14986">
        <v>0</v>
      </c>
      <c r="S14986">
        <v>0</v>
      </c>
      <c r="T14986" t="s">
        <v>52025</v>
      </c>
    </row>
    <row r="14987" spans="1:20" customFormat="1" ht="15" x14ac:dyDescent="0.25">
      <c r="A14987" t="s">
        <v>35</v>
      </c>
      <c r="B14987" t="s">
        <v>106</v>
      </c>
      <c r="C14987" t="str">
        <f>"A0135857"</f>
        <v>A0135857</v>
      </c>
      <c r="D14987" t="s">
        <v>52026</v>
      </c>
      <c r="E14987" t="s">
        <v>52027</v>
      </c>
      <c r="F14987" t="s">
        <v>24534</v>
      </c>
      <c r="G14987" t="s">
        <v>1184</v>
      </c>
      <c r="H14987">
        <v>59812</v>
      </c>
      <c r="I14987" t="s">
        <v>30</v>
      </c>
      <c r="J14987" t="s">
        <v>111</v>
      </c>
      <c r="K14987" t="s">
        <v>112</v>
      </c>
      <c r="Q14987">
        <v>0</v>
      </c>
      <c r="R14987">
        <v>0</v>
      </c>
      <c r="S14987">
        <v>0</v>
      </c>
      <c r="T14987" t="s">
        <v>51679</v>
      </c>
    </row>
    <row r="14988" spans="1:20" customFormat="1" ht="15" x14ac:dyDescent="0.25">
      <c r="A14988" t="s">
        <v>35</v>
      </c>
      <c r="B14988" t="s">
        <v>106</v>
      </c>
      <c r="C14988" t="str">
        <f>"A0135881"</f>
        <v>A0135881</v>
      </c>
      <c r="D14988" t="s">
        <v>52028</v>
      </c>
      <c r="E14988" t="s">
        <v>52029</v>
      </c>
      <c r="F14988" t="s">
        <v>52030</v>
      </c>
      <c r="G14988" t="s">
        <v>1184</v>
      </c>
      <c r="H14988">
        <v>59725</v>
      </c>
      <c r="I14988" t="s">
        <v>30</v>
      </c>
      <c r="J14988" t="s">
        <v>111</v>
      </c>
      <c r="K14988" t="s">
        <v>112</v>
      </c>
      <c r="Q14988">
        <v>0</v>
      </c>
      <c r="R14988">
        <v>0</v>
      </c>
      <c r="S14988">
        <v>0</v>
      </c>
      <c r="T14988" t="s">
        <v>51679</v>
      </c>
    </row>
    <row r="14989" spans="1:20" customFormat="1" ht="15" x14ac:dyDescent="0.25">
      <c r="A14989" t="s">
        <v>35</v>
      </c>
      <c r="B14989" t="s">
        <v>106</v>
      </c>
      <c r="C14989" t="str">
        <f>"A0135879"</f>
        <v>A0135879</v>
      </c>
      <c r="D14989" t="s">
        <v>52031</v>
      </c>
      <c r="E14989" t="s">
        <v>52029</v>
      </c>
      <c r="F14989" t="s">
        <v>52030</v>
      </c>
      <c r="G14989" t="s">
        <v>1184</v>
      </c>
      <c r="H14989">
        <v>59725</v>
      </c>
      <c r="I14989" t="s">
        <v>30</v>
      </c>
      <c r="J14989" t="s">
        <v>111</v>
      </c>
      <c r="K14989" t="s">
        <v>112</v>
      </c>
      <c r="Q14989">
        <v>0</v>
      </c>
      <c r="R14989">
        <v>0</v>
      </c>
      <c r="S14989">
        <v>0</v>
      </c>
      <c r="T14989" t="s">
        <v>52032</v>
      </c>
    </row>
    <row r="14990" spans="1:20" customFormat="1" ht="15" x14ac:dyDescent="0.25">
      <c r="A14990" t="s">
        <v>35</v>
      </c>
      <c r="B14990" t="s">
        <v>106</v>
      </c>
      <c r="C14990" t="str">
        <f>"A0135880"</f>
        <v>A0135880</v>
      </c>
      <c r="D14990" t="s">
        <v>52033</v>
      </c>
      <c r="E14990" t="s">
        <v>52029</v>
      </c>
      <c r="F14990" t="s">
        <v>52030</v>
      </c>
      <c r="G14990" t="s">
        <v>1184</v>
      </c>
      <c r="H14990">
        <v>59725</v>
      </c>
      <c r="I14990" t="s">
        <v>30</v>
      </c>
      <c r="J14990" t="s">
        <v>111</v>
      </c>
      <c r="K14990" t="s">
        <v>112</v>
      </c>
      <c r="Q14990">
        <v>0</v>
      </c>
      <c r="R14990">
        <v>0</v>
      </c>
      <c r="S14990">
        <v>0</v>
      </c>
      <c r="T14990" t="s">
        <v>52032</v>
      </c>
    </row>
    <row r="14991" spans="1:20" customFormat="1" ht="15" x14ac:dyDescent="0.25">
      <c r="A14991" t="s">
        <v>35</v>
      </c>
      <c r="B14991" t="s">
        <v>106</v>
      </c>
      <c r="C14991" t="str">
        <f>"A0135364"</f>
        <v>A0135364</v>
      </c>
      <c r="D14991" t="s">
        <v>52034</v>
      </c>
      <c r="E14991" t="s">
        <v>52035</v>
      </c>
      <c r="F14991" t="s">
        <v>902</v>
      </c>
      <c r="G14991" t="s">
        <v>221</v>
      </c>
      <c r="H14991">
        <v>891540003</v>
      </c>
      <c r="I14991" t="s">
        <v>30</v>
      </c>
      <c r="J14991" t="s">
        <v>111</v>
      </c>
      <c r="K14991" t="s">
        <v>10012</v>
      </c>
      <c r="Q14991">
        <v>0</v>
      </c>
      <c r="R14991">
        <v>0</v>
      </c>
      <c r="S14991">
        <v>0</v>
      </c>
      <c r="T14991" t="s">
        <v>52036</v>
      </c>
    </row>
    <row r="14992" spans="1:20" customFormat="1" ht="15" x14ac:dyDescent="0.25">
      <c r="A14992" t="s">
        <v>35</v>
      </c>
      <c r="B14992" t="s">
        <v>106</v>
      </c>
      <c r="C14992" t="str">
        <f>"A0136180"</f>
        <v>A0136180</v>
      </c>
      <c r="D14992" t="s">
        <v>52037</v>
      </c>
      <c r="E14992" t="s">
        <v>46333</v>
      </c>
      <c r="F14992" t="s">
        <v>16939</v>
      </c>
      <c r="G14992" t="s">
        <v>381</v>
      </c>
      <c r="H14992">
        <v>465561043</v>
      </c>
      <c r="I14992" t="s">
        <v>30</v>
      </c>
      <c r="J14992" t="s">
        <v>111</v>
      </c>
      <c r="K14992" t="s">
        <v>10012</v>
      </c>
      <c r="Q14992">
        <v>0</v>
      </c>
      <c r="R14992">
        <v>0</v>
      </c>
      <c r="S14992">
        <v>0</v>
      </c>
      <c r="T14992" t="s">
        <v>46318</v>
      </c>
    </row>
    <row r="14993" spans="1:20" customFormat="1" ht="15" x14ac:dyDescent="0.25">
      <c r="A14993" t="s">
        <v>35</v>
      </c>
      <c r="B14993" t="s">
        <v>106</v>
      </c>
      <c r="C14993" t="str">
        <f>"A0136087"</f>
        <v>A0136087</v>
      </c>
      <c r="D14993" t="s">
        <v>52038</v>
      </c>
      <c r="E14993" t="s">
        <v>52039</v>
      </c>
      <c r="F14993" t="s">
        <v>9791</v>
      </c>
      <c r="G14993" t="s">
        <v>47</v>
      </c>
      <c r="H14993">
        <v>97403</v>
      </c>
      <c r="I14993" t="s">
        <v>30</v>
      </c>
      <c r="J14993" t="s">
        <v>111</v>
      </c>
      <c r="K14993" t="s">
        <v>10012</v>
      </c>
      <c r="Q14993">
        <v>0</v>
      </c>
      <c r="R14993">
        <v>0</v>
      </c>
      <c r="S14993">
        <v>0</v>
      </c>
      <c r="T14993" t="s">
        <v>41052</v>
      </c>
    </row>
    <row r="14994" spans="1:20" customFormat="1" ht="15" x14ac:dyDescent="0.25">
      <c r="A14994" t="s">
        <v>35</v>
      </c>
      <c r="B14994" t="s">
        <v>106</v>
      </c>
      <c r="C14994" t="str">
        <f>"A0136088"</f>
        <v>A0136088</v>
      </c>
      <c r="D14994" t="s">
        <v>52040</v>
      </c>
      <c r="E14994" t="s">
        <v>52041</v>
      </c>
      <c r="F14994" t="s">
        <v>9791</v>
      </c>
      <c r="G14994" t="s">
        <v>47</v>
      </c>
      <c r="H14994">
        <v>97403</v>
      </c>
      <c r="I14994" t="s">
        <v>30</v>
      </c>
      <c r="J14994" t="s">
        <v>111</v>
      </c>
      <c r="K14994" t="s">
        <v>10012</v>
      </c>
      <c r="Q14994">
        <v>0</v>
      </c>
      <c r="R14994">
        <v>0</v>
      </c>
      <c r="S14994">
        <v>0</v>
      </c>
      <c r="T14994" t="s">
        <v>52042</v>
      </c>
    </row>
    <row r="14995" spans="1:20" customFormat="1" ht="15" x14ac:dyDescent="0.25">
      <c r="A14995" t="s">
        <v>35</v>
      </c>
      <c r="B14995" t="s">
        <v>106</v>
      </c>
      <c r="C14995" t="str">
        <f>"A0135959"</f>
        <v>A0135959</v>
      </c>
      <c r="D14995" t="s">
        <v>52043</v>
      </c>
      <c r="E14995" t="s">
        <v>52044</v>
      </c>
      <c r="F14995" t="s">
        <v>51716</v>
      </c>
      <c r="G14995" t="s">
        <v>1508</v>
      </c>
      <c r="H14995">
        <v>820712000</v>
      </c>
      <c r="I14995" t="s">
        <v>30</v>
      </c>
      <c r="J14995" t="s">
        <v>111</v>
      </c>
      <c r="K14995" t="s">
        <v>10012</v>
      </c>
      <c r="Q14995">
        <v>0</v>
      </c>
      <c r="R14995">
        <v>0</v>
      </c>
      <c r="S14995">
        <v>0</v>
      </c>
      <c r="T14995" t="s">
        <v>52045</v>
      </c>
    </row>
    <row r="14996" spans="1:20" customFormat="1" ht="15" x14ac:dyDescent="0.25">
      <c r="A14996" t="s">
        <v>35</v>
      </c>
      <c r="B14996" t="s">
        <v>61</v>
      </c>
      <c r="C14996" t="str">
        <f>"A0123948"</f>
        <v>A0123948</v>
      </c>
      <c r="D14996" t="s">
        <v>52046</v>
      </c>
      <c r="E14996" t="s">
        <v>52047</v>
      </c>
      <c r="F14996" t="s">
        <v>1795</v>
      </c>
      <c r="G14996" t="s">
        <v>29</v>
      </c>
      <c r="H14996">
        <v>23233</v>
      </c>
      <c r="I14996" t="s">
        <v>30</v>
      </c>
      <c r="J14996" t="s">
        <v>41</v>
      </c>
      <c r="K14996" t="s">
        <v>229</v>
      </c>
      <c r="Q14996">
        <v>0</v>
      </c>
      <c r="R14996">
        <v>194</v>
      </c>
      <c r="S14996">
        <v>194</v>
      </c>
      <c r="T14996" t="s">
        <v>52048</v>
      </c>
    </row>
    <row r="14997" spans="1:20" customFormat="1" ht="15" x14ac:dyDescent="0.25">
      <c r="A14997" t="s">
        <v>35</v>
      </c>
      <c r="B14997" t="s">
        <v>106</v>
      </c>
      <c r="C14997" t="str">
        <f>"A0135690"</f>
        <v>A0135690</v>
      </c>
      <c r="D14997" t="s">
        <v>52049</v>
      </c>
      <c r="E14997" t="s">
        <v>37151</v>
      </c>
      <c r="F14997" t="s">
        <v>1439</v>
      </c>
      <c r="G14997" t="s">
        <v>110</v>
      </c>
      <c r="H14997">
        <v>92182</v>
      </c>
      <c r="I14997" t="s">
        <v>30</v>
      </c>
      <c r="J14997" t="s">
        <v>111</v>
      </c>
      <c r="K14997" t="s">
        <v>10012</v>
      </c>
      <c r="Q14997">
        <v>0</v>
      </c>
      <c r="R14997">
        <v>0</v>
      </c>
      <c r="S14997">
        <v>0</v>
      </c>
      <c r="T14997" t="s">
        <v>37152</v>
      </c>
    </row>
    <row r="14998" spans="1:20" customFormat="1" ht="15" x14ac:dyDescent="0.25">
      <c r="A14998" t="s">
        <v>35</v>
      </c>
      <c r="B14998" t="s">
        <v>61</v>
      </c>
      <c r="C14998" t="str">
        <f>"A0123949"</f>
        <v>A0123949</v>
      </c>
      <c r="D14998" t="s">
        <v>52050</v>
      </c>
      <c r="E14998" t="s">
        <v>52051</v>
      </c>
      <c r="F14998" t="s">
        <v>2714</v>
      </c>
      <c r="G14998" t="s">
        <v>81</v>
      </c>
      <c r="H14998">
        <v>33612</v>
      </c>
      <c r="I14998" t="s">
        <v>30</v>
      </c>
      <c r="J14998" t="s">
        <v>41</v>
      </c>
      <c r="K14998" t="s">
        <v>59</v>
      </c>
      <c r="Q14998">
        <v>0</v>
      </c>
      <c r="R14998">
        <v>680</v>
      </c>
      <c r="S14998">
        <v>680</v>
      </c>
      <c r="T14998" t="s">
        <v>52052</v>
      </c>
    </row>
    <row r="14999" spans="1:20" customFormat="1" ht="15" x14ac:dyDescent="0.25">
      <c r="A14999" t="s">
        <v>35</v>
      </c>
      <c r="B14999" t="s">
        <v>61</v>
      </c>
      <c r="C14999" t="str">
        <f>"A0132999"</f>
        <v>A0132999</v>
      </c>
      <c r="D14999" t="s">
        <v>52050</v>
      </c>
      <c r="E14999" t="s">
        <v>52053</v>
      </c>
      <c r="F14999" t="s">
        <v>21673</v>
      </c>
      <c r="G14999" t="s">
        <v>52</v>
      </c>
      <c r="H14999">
        <v>78665</v>
      </c>
      <c r="I14999" t="s">
        <v>30</v>
      </c>
      <c r="J14999" t="s">
        <v>41</v>
      </c>
      <c r="K14999" t="s">
        <v>1032</v>
      </c>
      <c r="Q14999">
        <v>0</v>
      </c>
      <c r="R14999">
        <v>74</v>
      </c>
      <c r="S14999">
        <v>74</v>
      </c>
      <c r="T14999" t="s">
        <v>52054</v>
      </c>
    </row>
    <row r="15000" spans="1:20" customFormat="1" ht="15" x14ac:dyDescent="0.25">
      <c r="A15000" t="s">
        <v>35</v>
      </c>
      <c r="B15000" t="s">
        <v>437</v>
      </c>
      <c r="C15000" t="str">
        <f>"A0134000"</f>
        <v>A0134000</v>
      </c>
      <c r="D15000" t="s">
        <v>52055</v>
      </c>
      <c r="E15000" t="s">
        <v>52056</v>
      </c>
      <c r="F15000" t="s">
        <v>8081</v>
      </c>
      <c r="G15000" t="s">
        <v>110</v>
      </c>
      <c r="H15000">
        <v>94105</v>
      </c>
      <c r="I15000" t="s">
        <v>30</v>
      </c>
      <c r="J15000" t="s">
        <v>441</v>
      </c>
      <c r="K15000" t="s">
        <v>442</v>
      </c>
      <c r="Q15000">
        <v>0</v>
      </c>
      <c r="R15000">
        <v>0</v>
      </c>
      <c r="S15000">
        <v>0</v>
      </c>
      <c r="T15000" t="s">
        <v>50404</v>
      </c>
    </row>
    <row r="15001" spans="1:20" customFormat="1" ht="15" x14ac:dyDescent="0.25">
      <c r="A15001" t="s">
        <v>35</v>
      </c>
      <c r="B15001" t="s">
        <v>437</v>
      </c>
      <c r="C15001" t="str">
        <f>"A0134001"</f>
        <v>A0134001</v>
      </c>
      <c r="D15001" t="s">
        <v>52057</v>
      </c>
      <c r="E15001" t="s">
        <v>52058</v>
      </c>
      <c r="F15001" t="s">
        <v>8081</v>
      </c>
      <c r="G15001" t="s">
        <v>110</v>
      </c>
      <c r="H15001">
        <v>94109</v>
      </c>
      <c r="I15001" t="s">
        <v>30</v>
      </c>
      <c r="J15001" t="s">
        <v>441</v>
      </c>
      <c r="K15001" t="s">
        <v>442</v>
      </c>
      <c r="Q15001">
        <v>0</v>
      </c>
      <c r="R15001">
        <v>0</v>
      </c>
      <c r="S15001">
        <v>0</v>
      </c>
      <c r="T15001" t="s">
        <v>52059</v>
      </c>
    </row>
    <row r="15002" spans="1:20" customFormat="1" ht="15" x14ac:dyDescent="0.25">
      <c r="A15002" t="s">
        <v>35</v>
      </c>
      <c r="B15002" t="s">
        <v>106</v>
      </c>
      <c r="C15002" t="str">
        <f>"A0136077"</f>
        <v>A0136077</v>
      </c>
      <c r="D15002" t="s">
        <v>52060</v>
      </c>
      <c r="E15002" t="s">
        <v>52061</v>
      </c>
      <c r="F15002" t="s">
        <v>9791</v>
      </c>
      <c r="G15002" t="s">
        <v>47</v>
      </c>
      <c r="H15002">
        <v>97403</v>
      </c>
      <c r="I15002" t="s">
        <v>30</v>
      </c>
      <c r="J15002" t="s">
        <v>111</v>
      </c>
      <c r="K15002" t="s">
        <v>10012</v>
      </c>
      <c r="Q15002">
        <v>0</v>
      </c>
      <c r="R15002">
        <v>0</v>
      </c>
      <c r="S15002">
        <v>0</v>
      </c>
      <c r="T15002" t="s">
        <v>41052</v>
      </c>
    </row>
    <row r="15003" spans="1:20" customFormat="1" ht="15" x14ac:dyDescent="0.25">
      <c r="A15003" t="s">
        <v>35</v>
      </c>
      <c r="B15003" t="s">
        <v>61</v>
      </c>
      <c r="C15003" t="str">
        <f>"A0150746"</f>
        <v>A0150746</v>
      </c>
      <c r="D15003" t="s">
        <v>52062</v>
      </c>
      <c r="E15003" t="s">
        <v>52063</v>
      </c>
      <c r="F15003" t="s">
        <v>2748</v>
      </c>
      <c r="G15003" t="s">
        <v>65</v>
      </c>
      <c r="H15003">
        <v>43606</v>
      </c>
      <c r="I15003" t="s">
        <v>30</v>
      </c>
      <c r="J15003" t="s">
        <v>41</v>
      </c>
      <c r="K15003" t="s">
        <v>1412</v>
      </c>
      <c r="Q15003">
        <v>0</v>
      </c>
      <c r="R15003">
        <v>0</v>
      </c>
      <c r="S15003">
        <v>0</v>
      </c>
      <c r="T15003" t="s">
        <v>52064</v>
      </c>
    </row>
    <row r="15004" spans="1:20" customFormat="1" ht="15" x14ac:dyDescent="0.25">
      <c r="A15004" t="s">
        <v>35</v>
      </c>
      <c r="B15004" t="s">
        <v>61</v>
      </c>
      <c r="C15004" t="str">
        <f>"A0123101"</f>
        <v>A0123101</v>
      </c>
      <c r="D15004" t="s">
        <v>52065</v>
      </c>
      <c r="E15004" t="s">
        <v>52066</v>
      </c>
      <c r="F15004" t="s">
        <v>52067</v>
      </c>
      <c r="G15004" t="s">
        <v>433</v>
      </c>
      <c r="H15004">
        <v>83338</v>
      </c>
      <c r="I15004" t="s">
        <v>30</v>
      </c>
      <c r="J15004" t="s">
        <v>41</v>
      </c>
      <c r="K15004" t="s">
        <v>3713</v>
      </c>
      <c r="Q15004">
        <v>0</v>
      </c>
      <c r="R15004">
        <v>0</v>
      </c>
      <c r="S15004">
        <v>0</v>
      </c>
      <c r="T15004" t="s">
        <v>52068</v>
      </c>
    </row>
    <row r="15005" spans="1:20" customFormat="1" ht="15" x14ac:dyDescent="0.25">
      <c r="A15005" t="s">
        <v>35</v>
      </c>
      <c r="B15005" t="s">
        <v>61</v>
      </c>
      <c r="C15005" t="str">
        <f>"A0123102"</f>
        <v>A0123102</v>
      </c>
      <c r="D15005" t="s">
        <v>52069</v>
      </c>
      <c r="E15005" t="s">
        <v>52070</v>
      </c>
      <c r="F15005" t="s">
        <v>37952</v>
      </c>
      <c r="G15005" t="s">
        <v>433</v>
      </c>
      <c r="H15005">
        <v>83301</v>
      </c>
      <c r="I15005" t="s">
        <v>30</v>
      </c>
      <c r="J15005" t="s">
        <v>41</v>
      </c>
      <c r="K15005" t="s">
        <v>3713</v>
      </c>
      <c r="Q15005">
        <v>0</v>
      </c>
      <c r="R15005">
        <v>0</v>
      </c>
      <c r="S15005">
        <v>0</v>
      </c>
      <c r="T15005" t="s">
        <v>52071</v>
      </c>
    </row>
    <row r="15006" spans="1:20" customFormat="1" ht="15" x14ac:dyDescent="0.25">
      <c r="A15006" t="s">
        <v>35</v>
      </c>
      <c r="B15006" t="s">
        <v>106</v>
      </c>
      <c r="C15006" t="str">
        <f>"A0136538"</f>
        <v>A0136538</v>
      </c>
      <c r="D15006" t="s">
        <v>52072</v>
      </c>
      <c r="E15006" t="s">
        <v>52073</v>
      </c>
      <c r="F15006" t="s">
        <v>23386</v>
      </c>
      <c r="G15006" t="s">
        <v>1706</v>
      </c>
      <c r="H15006">
        <v>35805</v>
      </c>
      <c r="I15006" t="s">
        <v>30</v>
      </c>
      <c r="J15006" t="s">
        <v>111</v>
      </c>
      <c r="K15006" t="s">
        <v>112</v>
      </c>
      <c r="Q15006">
        <v>0</v>
      </c>
      <c r="R15006">
        <v>0</v>
      </c>
      <c r="S15006">
        <v>0</v>
      </c>
      <c r="T15006" t="s">
        <v>52074</v>
      </c>
    </row>
    <row r="15007" spans="1:20" customFormat="1" ht="15" x14ac:dyDescent="0.25">
      <c r="A15007" t="s">
        <v>35</v>
      </c>
      <c r="B15007" t="s">
        <v>106</v>
      </c>
      <c r="C15007" t="str">
        <f>"A0135475"</f>
        <v>A0135475</v>
      </c>
      <c r="D15007" t="s">
        <v>52075</v>
      </c>
      <c r="E15007" t="s">
        <v>52076</v>
      </c>
      <c r="F15007" t="s">
        <v>7362</v>
      </c>
      <c r="G15007" t="s">
        <v>110</v>
      </c>
      <c r="H15007">
        <v>90007</v>
      </c>
      <c r="I15007" t="s">
        <v>30</v>
      </c>
      <c r="J15007" t="s">
        <v>111</v>
      </c>
      <c r="K15007" t="s">
        <v>112</v>
      </c>
      <c r="Q15007">
        <v>0</v>
      </c>
      <c r="R15007">
        <v>0</v>
      </c>
      <c r="S15007">
        <v>0</v>
      </c>
      <c r="T15007" t="s">
        <v>52077</v>
      </c>
    </row>
    <row r="15008" spans="1:20" customFormat="1" ht="15" x14ac:dyDescent="0.25">
      <c r="A15008" t="s">
        <v>35</v>
      </c>
      <c r="B15008" t="s">
        <v>106</v>
      </c>
      <c r="C15008" t="str">
        <f>"A0135402"</f>
        <v>A0135402</v>
      </c>
      <c r="D15008" t="s">
        <v>52078</v>
      </c>
      <c r="E15008" t="s">
        <v>52079</v>
      </c>
      <c r="F15008" t="s">
        <v>7362</v>
      </c>
      <c r="G15008" t="s">
        <v>110</v>
      </c>
      <c r="H15008">
        <v>90007</v>
      </c>
      <c r="I15008" t="s">
        <v>30</v>
      </c>
      <c r="J15008" t="s">
        <v>111</v>
      </c>
      <c r="K15008" t="s">
        <v>112</v>
      </c>
      <c r="Q15008">
        <v>0</v>
      </c>
      <c r="R15008">
        <v>0</v>
      </c>
      <c r="S15008">
        <v>0</v>
      </c>
      <c r="T15008" t="s">
        <v>52080</v>
      </c>
    </row>
    <row r="15009" spans="1:20" customFormat="1" ht="15" x14ac:dyDescent="0.25">
      <c r="A15009" t="s">
        <v>35</v>
      </c>
      <c r="B15009" t="s">
        <v>106</v>
      </c>
      <c r="C15009" t="str">
        <f>"A0135401"</f>
        <v>A0135401</v>
      </c>
      <c r="D15009" t="s">
        <v>52081</v>
      </c>
      <c r="E15009" t="s">
        <v>52082</v>
      </c>
      <c r="F15009" t="s">
        <v>7362</v>
      </c>
      <c r="G15009" t="s">
        <v>110</v>
      </c>
      <c r="H15009">
        <v>90007</v>
      </c>
      <c r="I15009" t="s">
        <v>30</v>
      </c>
      <c r="J15009" t="s">
        <v>111</v>
      </c>
      <c r="K15009" t="s">
        <v>10012</v>
      </c>
      <c r="Q15009">
        <v>0</v>
      </c>
      <c r="R15009">
        <v>0</v>
      </c>
      <c r="S15009">
        <v>0</v>
      </c>
      <c r="T15009" t="s">
        <v>52083</v>
      </c>
    </row>
    <row r="15010" spans="1:20" customFormat="1" ht="15" x14ac:dyDescent="0.25">
      <c r="A15010" t="s">
        <v>35</v>
      </c>
      <c r="B15010" t="s">
        <v>61</v>
      </c>
      <c r="C15010" t="str">
        <f>"A0118121"</f>
        <v>A0118121</v>
      </c>
      <c r="D15010" t="s">
        <v>52084</v>
      </c>
      <c r="E15010" t="s">
        <v>52085</v>
      </c>
      <c r="F15010" t="s">
        <v>1989</v>
      </c>
      <c r="G15010" t="s">
        <v>153</v>
      </c>
      <c r="H15010">
        <v>840950000</v>
      </c>
      <c r="I15010" t="s">
        <v>30</v>
      </c>
      <c r="J15010" t="s">
        <v>41</v>
      </c>
      <c r="K15010" t="s">
        <v>33536</v>
      </c>
      <c r="Q15010">
        <v>0</v>
      </c>
      <c r="R15010">
        <v>1</v>
      </c>
      <c r="S15010">
        <v>1</v>
      </c>
      <c r="T15010" t="s">
        <v>52086</v>
      </c>
    </row>
    <row r="15011" spans="1:20" customFormat="1" ht="15" x14ac:dyDescent="0.25">
      <c r="A15011" t="s">
        <v>35</v>
      </c>
      <c r="B15011" t="s">
        <v>61</v>
      </c>
      <c r="C15011" t="str">
        <f>"A0118126"</f>
        <v>A0118126</v>
      </c>
      <c r="D15011" t="s">
        <v>52087</v>
      </c>
      <c r="E15011" t="s">
        <v>52088</v>
      </c>
      <c r="F15011" t="s">
        <v>7267</v>
      </c>
      <c r="G15011" t="s">
        <v>153</v>
      </c>
      <c r="H15011">
        <v>841050000</v>
      </c>
      <c r="I15011" t="s">
        <v>30</v>
      </c>
      <c r="J15011" t="s">
        <v>41</v>
      </c>
      <c r="K15011" t="s">
        <v>33536</v>
      </c>
      <c r="Q15011">
        <v>0</v>
      </c>
      <c r="R15011">
        <v>1</v>
      </c>
      <c r="S15011">
        <v>1</v>
      </c>
      <c r="T15011" t="s">
        <v>52089</v>
      </c>
    </row>
    <row r="15012" spans="1:20" customFormat="1" ht="15" x14ac:dyDescent="0.25">
      <c r="A15012" t="s">
        <v>35</v>
      </c>
      <c r="B15012" t="s">
        <v>61</v>
      </c>
      <c r="C15012" t="str">
        <f>"A0118123"</f>
        <v>A0118123</v>
      </c>
      <c r="D15012" t="s">
        <v>52090</v>
      </c>
      <c r="E15012" t="s">
        <v>52091</v>
      </c>
      <c r="F15012" t="s">
        <v>15630</v>
      </c>
      <c r="G15012" t="s">
        <v>153</v>
      </c>
      <c r="H15012">
        <v>84117</v>
      </c>
      <c r="I15012" t="s">
        <v>30</v>
      </c>
      <c r="J15012" t="s">
        <v>41</v>
      </c>
      <c r="K15012" t="s">
        <v>33536</v>
      </c>
      <c r="Q15012">
        <v>0</v>
      </c>
      <c r="R15012">
        <v>1</v>
      </c>
      <c r="S15012">
        <v>1</v>
      </c>
      <c r="T15012" t="s">
        <v>52092</v>
      </c>
    </row>
    <row r="15013" spans="1:20" customFormat="1" ht="15" x14ac:dyDescent="0.25">
      <c r="A15013" t="s">
        <v>35</v>
      </c>
      <c r="B15013" t="s">
        <v>106</v>
      </c>
      <c r="C15013" t="str">
        <f>"A0135962"</f>
        <v>A0135962</v>
      </c>
      <c r="D15013" t="s">
        <v>52093</v>
      </c>
      <c r="E15013" t="s">
        <v>52094</v>
      </c>
      <c r="F15013" t="s">
        <v>51716</v>
      </c>
      <c r="G15013" t="s">
        <v>1508</v>
      </c>
      <c r="H15013">
        <v>82072</v>
      </c>
      <c r="I15013" t="s">
        <v>30</v>
      </c>
      <c r="J15013" t="s">
        <v>111</v>
      </c>
      <c r="K15013" t="s">
        <v>112</v>
      </c>
      <c r="Q15013">
        <v>0</v>
      </c>
      <c r="R15013">
        <v>0</v>
      </c>
      <c r="S15013">
        <v>0</v>
      </c>
      <c r="T15013" t="s">
        <v>52095</v>
      </c>
    </row>
    <row r="15014" spans="1:20" customFormat="1" ht="15" x14ac:dyDescent="0.25">
      <c r="A15014" t="s">
        <v>35</v>
      </c>
      <c r="B15014" t="s">
        <v>106</v>
      </c>
      <c r="C15014" t="str">
        <f>"A0135964"</f>
        <v>A0135964</v>
      </c>
      <c r="D15014" t="s">
        <v>52096</v>
      </c>
      <c r="E15014" t="s">
        <v>52097</v>
      </c>
      <c r="F15014" t="s">
        <v>51716</v>
      </c>
      <c r="G15014" t="s">
        <v>1508</v>
      </c>
      <c r="H15014">
        <v>82070</v>
      </c>
      <c r="I15014" t="s">
        <v>30</v>
      </c>
      <c r="J15014" t="s">
        <v>111</v>
      </c>
      <c r="K15014" t="s">
        <v>112</v>
      </c>
      <c r="Q15014">
        <v>0</v>
      </c>
      <c r="R15014">
        <v>0</v>
      </c>
      <c r="S15014">
        <v>0</v>
      </c>
      <c r="T15014" t="s">
        <v>52098</v>
      </c>
    </row>
    <row r="15015" spans="1:20" customFormat="1" ht="15" x14ac:dyDescent="0.25">
      <c r="A15015" t="s">
        <v>35</v>
      </c>
      <c r="B15015" t="s">
        <v>106</v>
      </c>
      <c r="C15015" t="str">
        <f>"A0135963"</f>
        <v>A0135963</v>
      </c>
      <c r="D15015" t="s">
        <v>52099</v>
      </c>
      <c r="E15015" t="s">
        <v>52100</v>
      </c>
      <c r="F15015" t="s">
        <v>51716</v>
      </c>
      <c r="G15015" t="s">
        <v>1508</v>
      </c>
      <c r="H15015">
        <v>82072</v>
      </c>
      <c r="I15015" t="s">
        <v>30</v>
      </c>
      <c r="J15015" t="s">
        <v>111</v>
      </c>
      <c r="K15015" t="s">
        <v>112</v>
      </c>
      <c r="Q15015">
        <v>0</v>
      </c>
      <c r="R15015">
        <v>0</v>
      </c>
      <c r="S15015">
        <v>0</v>
      </c>
      <c r="T15015" t="s">
        <v>52101</v>
      </c>
    </row>
    <row r="15016" spans="1:20" customFormat="1" ht="15" x14ac:dyDescent="0.25">
      <c r="A15016" t="s">
        <v>35</v>
      </c>
      <c r="B15016" t="s">
        <v>61</v>
      </c>
      <c r="C15016" t="str">
        <f>"A0118025"</f>
        <v>A0118025</v>
      </c>
      <c r="D15016" t="s">
        <v>52102</v>
      </c>
      <c r="E15016" t="s">
        <v>52103</v>
      </c>
      <c r="F15016" t="s">
        <v>52104</v>
      </c>
      <c r="G15016" t="s">
        <v>110</v>
      </c>
      <c r="H15016">
        <v>95687</v>
      </c>
      <c r="I15016" t="s">
        <v>30</v>
      </c>
      <c r="J15016" t="s">
        <v>41</v>
      </c>
      <c r="K15016" t="s">
        <v>229</v>
      </c>
      <c r="Q15016">
        <v>0</v>
      </c>
      <c r="R15016">
        <v>120</v>
      </c>
      <c r="S15016">
        <v>120</v>
      </c>
      <c r="T15016" t="s">
        <v>52105</v>
      </c>
    </row>
    <row r="15017" spans="1:20" customFormat="1" ht="15" x14ac:dyDescent="0.25">
      <c r="A15017" t="s">
        <v>35</v>
      </c>
      <c r="B15017" t="s">
        <v>61</v>
      </c>
      <c r="C15017" t="str">
        <f>"A0121347"</f>
        <v>A0121347</v>
      </c>
      <c r="D15017" t="s">
        <v>52106</v>
      </c>
      <c r="E15017" t="s">
        <v>52107</v>
      </c>
      <c r="F15017" t="s">
        <v>7267</v>
      </c>
      <c r="G15017" t="s">
        <v>153</v>
      </c>
      <c r="H15017">
        <v>84101</v>
      </c>
      <c r="I15017" t="s">
        <v>30</v>
      </c>
      <c r="J15017" t="s">
        <v>41</v>
      </c>
      <c r="K15017" t="s">
        <v>104</v>
      </c>
      <c r="Q15017">
        <v>0</v>
      </c>
      <c r="R15017">
        <v>0</v>
      </c>
      <c r="S15017">
        <v>0</v>
      </c>
      <c r="T15017" t="s">
        <v>52108</v>
      </c>
    </row>
    <row r="15018" spans="1:20" customFormat="1" ht="15" x14ac:dyDescent="0.25">
      <c r="A15018" t="s">
        <v>35</v>
      </c>
      <c r="B15018" t="s">
        <v>61</v>
      </c>
      <c r="C15018" t="str">
        <f>"A0118120"</f>
        <v>A0118120</v>
      </c>
      <c r="D15018" t="s">
        <v>52106</v>
      </c>
      <c r="E15018" t="s">
        <v>52109</v>
      </c>
      <c r="F15018" t="s">
        <v>7267</v>
      </c>
      <c r="G15018" t="s">
        <v>153</v>
      </c>
      <c r="H15018">
        <v>84101</v>
      </c>
      <c r="I15018" t="s">
        <v>30</v>
      </c>
      <c r="J15018" t="s">
        <v>41</v>
      </c>
      <c r="K15018" t="s">
        <v>229</v>
      </c>
      <c r="Q15018">
        <v>0</v>
      </c>
      <c r="R15018">
        <v>50</v>
      </c>
      <c r="S15018">
        <v>50</v>
      </c>
      <c r="T15018" t="s">
        <v>52110</v>
      </c>
    </row>
    <row r="15019" spans="1:20" customFormat="1" ht="15" x14ac:dyDescent="0.25">
      <c r="A15019" t="s">
        <v>35</v>
      </c>
      <c r="B15019" t="s">
        <v>61</v>
      </c>
      <c r="C15019" t="str">
        <f>"A0119272"</f>
        <v>A0119272</v>
      </c>
      <c r="D15019" t="s">
        <v>52111</v>
      </c>
      <c r="E15019" t="s">
        <v>52112</v>
      </c>
      <c r="F15019" t="s">
        <v>15961</v>
      </c>
      <c r="G15019" t="s">
        <v>110</v>
      </c>
      <c r="H15019">
        <v>93230</v>
      </c>
      <c r="I15019" t="s">
        <v>30</v>
      </c>
      <c r="J15019" t="s">
        <v>41</v>
      </c>
      <c r="K15019" t="s">
        <v>59</v>
      </c>
      <c r="Q15019">
        <v>0</v>
      </c>
      <c r="R15019">
        <v>131</v>
      </c>
      <c r="S15019">
        <v>131</v>
      </c>
      <c r="T15019" t="s">
        <v>52113</v>
      </c>
    </row>
    <row r="15020" spans="1:20" customFormat="1" ht="15" x14ac:dyDescent="0.25">
      <c r="A15020" t="s">
        <v>35</v>
      </c>
      <c r="B15020" t="s">
        <v>61</v>
      </c>
      <c r="C15020" t="str">
        <f>"A0118436"</f>
        <v>A0118436</v>
      </c>
      <c r="D15020" t="s">
        <v>52114</v>
      </c>
      <c r="E15020" t="s">
        <v>52115</v>
      </c>
      <c r="F15020" t="s">
        <v>10867</v>
      </c>
      <c r="G15020" t="s">
        <v>110</v>
      </c>
      <c r="H15020">
        <v>95350</v>
      </c>
      <c r="I15020" t="s">
        <v>30</v>
      </c>
      <c r="J15020" t="s">
        <v>41</v>
      </c>
      <c r="K15020" t="s">
        <v>59</v>
      </c>
      <c r="Q15020">
        <v>0</v>
      </c>
      <c r="R15020">
        <v>48</v>
      </c>
      <c r="S15020">
        <v>48</v>
      </c>
      <c r="T15020" t="s">
        <v>52116</v>
      </c>
    </row>
    <row r="15021" spans="1:20" customFormat="1" ht="15" x14ac:dyDescent="0.25">
      <c r="A15021" t="s">
        <v>35</v>
      </c>
      <c r="B15021" t="s">
        <v>61</v>
      </c>
      <c r="C15021" t="str">
        <f>"A0118478"</f>
        <v>A0118478</v>
      </c>
      <c r="D15021" t="s">
        <v>52117</v>
      </c>
      <c r="E15021" t="s">
        <v>52118</v>
      </c>
      <c r="F15021" t="s">
        <v>52119</v>
      </c>
      <c r="G15021" t="s">
        <v>110</v>
      </c>
      <c r="H15021">
        <v>950770000</v>
      </c>
      <c r="I15021" t="s">
        <v>30</v>
      </c>
      <c r="J15021" t="s">
        <v>41</v>
      </c>
      <c r="K15021" t="s">
        <v>229</v>
      </c>
      <c r="Q15021">
        <v>0</v>
      </c>
      <c r="R15021">
        <v>59</v>
      </c>
      <c r="S15021">
        <v>59</v>
      </c>
      <c r="T15021" t="s">
        <v>52120</v>
      </c>
    </row>
    <row r="15022" spans="1:20" customFormat="1" ht="15" x14ac:dyDescent="0.25">
      <c r="A15022" t="s">
        <v>35</v>
      </c>
      <c r="B15022" t="s">
        <v>61</v>
      </c>
      <c r="C15022" t="str">
        <f>"A0117891"</f>
        <v>A0117891</v>
      </c>
      <c r="D15022" t="s">
        <v>52121</v>
      </c>
      <c r="E15022" t="s">
        <v>52122</v>
      </c>
      <c r="F15022" t="s">
        <v>52119</v>
      </c>
      <c r="G15022" t="s">
        <v>110</v>
      </c>
      <c r="H15022">
        <v>950760000</v>
      </c>
      <c r="I15022" t="s">
        <v>30</v>
      </c>
      <c r="J15022" t="s">
        <v>41</v>
      </c>
      <c r="K15022" t="s">
        <v>59</v>
      </c>
      <c r="Q15022">
        <v>0</v>
      </c>
      <c r="R15022">
        <v>80</v>
      </c>
      <c r="S15022">
        <v>80</v>
      </c>
      <c r="T15022" t="s">
        <v>52123</v>
      </c>
    </row>
    <row r="15023" spans="1:20" customFormat="1" ht="15" x14ac:dyDescent="0.25">
      <c r="A15023" t="s">
        <v>35</v>
      </c>
      <c r="B15023" t="s">
        <v>61</v>
      </c>
      <c r="C15023" t="str">
        <f>"A0129151"</f>
        <v>A0129151</v>
      </c>
      <c r="D15023" t="s">
        <v>52124</v>
      </c>
      <c r="E15023" t="s">
        <v>52125</v>
      </c>
      <c r="F15023" t="s">
        <v>4098</v>
      </c>
      <c r="G15023" t="s">
        <v>289</v>
      </c>
      <c r="H15023">
        <v>60098</v>
      </c>
      <c r="I15023" t="s">
        <v>30</v>
      </c>
      <c r="J15023" t="s">
        <v>41</v>
      </c>
      <c r="K15023" t="s">
        <v>229</v>
      </c>
      <c r="Q15023">
        <v>0</v>
      </c>
      <c r="R15023">
        <v>128</v>
      </c>
      <c r="S15023">
        <v>128</v>
      </c>
      <c r="T15023" t="s">
        <v>52126</v>
      </c>
    </row>
    <row r="15024" spans="1:20" customFormat="1" ht="15" x14ac:dyDescent="0.25">
      <c r="A15024" t="s">
        <v>35</v>
      </c>
      <c r="B15024" t="s">
        <v>61</v>
      </c>
      <c r="C15024" t="str">
        <f>"A0118508"</f>
        <v>A0118508</v>
      </c>
      <c r="D15024" t="s">
        <v>52127</v>
      </c>
      <c r="E15024" t="s">
        <v>52128</v>
      </c>
      <c r="F15024" t="s">
        <v>20644</v>
      </c>
      <c r="G15024" t="s">
        <v>110</v>
      </c>
      <c r="H15024">
        <v>95054</v>
      </c>
      <c r="I15024" t="s">
        <v>30</v>
      </c>
      <c r="J15024" t="s">
        <v>41</v>
      </c>
      <c r="K15024" t="s">
        <v>59</v>
      </c>
      <c r="Q15024">
        <v>0</v>
      </c>
      <c r="R15024">
        <v>220</v>
      </c>
      <c r="S15024">
        <v>220</v>
      </c>
      <c r="T15024" t="s">
        <v>52129</v>
      </c>
    </row>
    <row r="15025" spans="1:20" customFormat="1" ht="15" x14ac:dyDescent="0.25">
      <c r="A15025" t="s">
        <v>35</v>
      </c>
      <c r="B15025" t="s">
        <v>437</v>
      </c>
      <c r="C15025" t="str">
        <f>"A0133836"</f>
        <v>A0133836</v>
      </c>
      <c r="D15025" t="s">
        <v>52130</v>
      </c>
      <c r="E15025" t="s">
        <v>52131</v>
      </c>
      <c r="F15025" t="s">
        <v>9836</v>
      </c>
      <c r="G15025" t="s">
        <v>110</v>
      </c>
      <c r="H15025">
        <v>911050000</v>
      </c>
      <c r="I15025" t="s">
        <v>30</v>
      </c>
      <c r="J15025" t="s">
        <v>441</v>
      </c>
      <c r="K15025" t="s">
        <v>442</v>
      </c>
      <c r="Q15025">
        <v>0</v>
      </c>
      <c r="R15025">
        <v>0</v>
      </c>
      <c r="S15025">
        <v>0</v>
      </c>
      <c r="T15025" t="s">
        <v>52132</v>
      </c>
    </row>
    <row r="15026" spans="1:20" customFormat="1" ht="15" x14ac:dyDescent="0.25">
      <c r="A15026" t="s">
        <v>35</v>
      </c>
      <c r="B15026" t="s">
        <v>61</v>
      </c>
      <c r="C15026" t="str">
        <f>"A0121527"</f>
        <v>A0121527</v>
      </c>
      <c r="D15026" t="s">
        <v>52133</v>
      </c>
      <c r="E15026" t="s">
        <v>52134</v>
      </c>
      <c r="F15026" t="s">
        <v>21958</v>
      </c>
      <c r="G15026" t="s">
        <v>110</v>
      </c>
      <c r="H15026">
        <v>94954</v>
      </c>
      <c r="I15026" t="s">
        <v>30</v>
      </c>
      <c r="J15026" t="s">
        <v>41</v>
      </c>
      <c r="K15026" t="s">
        <v>59</v>
      </c>
      <c r="Q15026">
        <v>0</v>
      </c>
      <c r="R15026">
        <v>103</v>
      </c>
      <c r="S15026">
        <v>103</v>
      </c>
      <c r="T15026" t="s">
        <v>49420</v>
      </c>
    </row>
    <row r="15027" spans="1:20" customFormat="1" ht="15" x14ac:dyDescent="0.25">
      <c r="A15027" t="s">
        <v>35</v>
      </c>
      <c r="B15027" t="s">
        <v>61</v>
      </c>
      <c r="C15027" t="str">
        <f>"A0124572"</f>
        <v>A0124572</v>
      </c>
      <c r="D15027" t="s">
        <v>52135</v>
      </c>
      <c r="E15027" t="s">
        <v>52136</v>
      </c>
      <c r="F15027" t="s">
        <v>52137</v>
      </c>
      <c r="G15027" t="s">
        <v>1706</v>
      </c>
      <c r="H15027">
        <v>36854</v>
      </c>
      <c r="I15027" t="s">
        <v>30</v>
      </c>
      <c r="J15027" t="s">
        <v>41</v>
      </c>
      <c r="K15027" t="s">
        <v>59</v>
      </c>
      <c r="Q15027">
        <v>0</v>
      </c>
      <c r="R15027">
        <v>56</v>
      </c>
      <c r="S15027">
        <v>56</v>
      </c>
      <c r="T15027" t="s">
        <v>52138</v>
      </c>
    </row>
    <row r="15028" spans="1:20" customFormat="1" ht="15" x14ac:dyDescent="0.25">
      <c r="A15028" t="s">
        <v>35</v>
      </c>
      <c r="B15028" t="s">
        <v>61</v>
      </c>
      <c r="C15028" t="str">
        <f>"A0118160"</f>
        <v>A0118160</v>
      </c>
      <c r="D15028" t="s">
        <v>52139</v>
      </c>
      <c r="E15028" t="s">
        <v>52140</v>
      </c>
      <c r="F15028" t="s">
        <v>7267</v>
      </c>
      <c r="G15028" t="s">
        <v>153</v>
      </c>
      <c r="H15028">
        <v>84101</v>
      </c>
      <c r="I15028" t="s">
        <v>30</v>
      </c>
      <c r="J15028" t="s">
        <v>41</v>
      </c>
      <c r="K15028" t="s">
        <v>4020</v>
      </c>
      <c r="Q15028">
        <v>0</v>
      </c>
      <c r="R15028">
        <v>50</v>
      </c>
      <c r="S15028">
        <v>50</v>
      </c>
      <c r="T15028" t="s">
        <v>52110</v>
      </c>
    </row>
    <row r="15029" spans="1:20" customFormat="1" ht="15" x14ac:dyDescent="0.25">
      <c r="A15029" t="s">
        <v>35</v>
      </c>
      <c r="B15029" t="s">
        <v>61</v>
      </c>
      <c r="C15029" t="str">
        <f>"A0119275"</f>
        <v>A0119275</v>
      </c>
      <c r="D15029" t="s">
        <v>52141</v>
      </c>
      <c r="E15029" t="s">
        <v>52142</v>
      </c>
      <c r="F15029" t="s">
        <v>39024</v>
      </c>
      <c r="G15029" t="s">
        <v>110</v>
      </c>
      <c r="H15029">
        <v>93610</v>
      </c>
      <c r="I15029" t="s">
        <v>30</v>
      </c>
      <c r="J15029" t="s">
        <v>41</v>
      </c>
      <c r="K15029" t="s">
        <v>461</v>
      </c>
      <c r="Q15029">
        <v>0</v>
      </c>
      <c r="R15029">
        <v>0</v>
      </c>
      <c r="S15029">
        <v>0</v>
      </c>
      <c r="T15029" t="s">
        <v>39025</v>
      </c>
    </row>
    <row r="15030" spans="1:20" customFormat="1" ht="15" x14ac:dyDescent="0.25">
      <c r="A15030" t="s">
        <v>35</v>
      </c>
      <c r="B15030" t="s">
        <v>61</v>
      </c>
      <c r="C15030" t="str">
        <f>"A0125501"</f>
        <v>A0125501</v>
      </c>
      <c r="D15030" t="s">
        <v>52143</v>
      </c>
      <c r="E15030" t="s">
        <v>52144</v>
      </c>
      <c r="F15030" t="s">
        <v>10867</v>
      </c>
      <c r="G15030" t="s">
        <v>110</v>
      </c>
      <c r="H15030">
        <v>95350</v>
      </c>
      <c r="I15030" t="s">
        <v>30</v>
      </c>
      <c r="J15030" t="s">
        <v>41</v>
      </c>
      <c r="K15030" t="s">
        <v>229</v>
      </c>
      <c r="Q15030">
        <v>0</v>
      </c>
      <c r="R15030">
        <v>70</v>
      </c>
      <c r="S15030">
        <v>70</v>
      </c>
      <c r="T15030" t="s">
        <v>52145</v>
      </c>
    </row>
    <row r="15031" spans="1:20" customFormat="1" ht="15" x14ac:dyDescent="0.25">
      <c r="A15031" t="s">
        <v>35</v>
      </c>
      <c r="B15031" t="s">
        <v>61</v>
      </c>
      <c r="C15031" t="str">
        <f>"A0130271"</f>
        <v>A0130271</v>
      </c>
      <c r="D15031" t="s">
        <v>52146</v>
      </c>
      <c r="E15031" t="s">
        <v>52147</v>
      </c>
      <c r="F15031" t="s">
        <v>52148</v>
      </c>
      <c r="G15031" t="s">
        <v>1898</v>
      </c>
      <c r="H15031">
        <v>50636</v>
      </c>
      <c r="I15031" t="s">
        <v>30</v>
      </c>
      <c r="J15031" t="s">
        <v>41</v>
      </c>
      <c r="K15031" t="s">
        <v>229</v>
      </c>
      <c r="Q15031">
        <v>0</v>
      </c>
      <c r="R15031">
        <v>30</v>
      </c>
      <c r="S15031">
        <v>30</v>
      </c>
      <c r="T15031" t="s">
        <v>52149</v>
      </c>
    </row>
    <row r="15032" spans="1:20" customFormat="1" ht="15" x14ac:dyDescent="0.25">
      <c r="A15032" t="s">
        <v>35</v>
      </c>
      <c r="B15032" t="s">
        <v>61</v>
      </c>
      <c r="C15032" t="str">
        <f>"A0128689"</f>
        <v>A0128689</v>
      </c>
      <c r="D15032" t="s">
        <v>52150</v>
      </c>
      <c r="E15032" t="s">
        <v>52151</v>
      </c>
      <c r="F15032" t="s">
        <v>52152</v>
      </c>
      <c r="G15032" t="s">
        <v>1170</v>
      </c>
      <c r="H15032">
        <v>713510000</v>
      </c>
      <c r="I15032" t="s">
        <v>30</v>
      </c>
      <c r="J15032" t="s">
        <v>41</v>
      </c>
      <c r="K15032" t="s">
        <v>59</v>
      </c>
      <c r="Q15032">
        <v>0</v>
      </c>
      <c r="R15032">
        <v>100</v>
      </c>
      <c r="S15032">
        <v>100</v>
      </c>
      <c r="T15032" t="s">
        <v>52153</v>
      </c>
    </row>
    <row r="15033" spans="1:20" customFormat="1" ht="15" x14ac:dyDescent="0.25">
      <c r="A15033" t="s">
        <v>35</v>
      </c>
      <c r="B15033" t="s">
        <v>61</v>
      </c>
      <c r="C15033" t="str">
        <f>"A0126661"</f>
        <v>A0126661</v>
      </c>
      <c r="D15033" t="s">
        <v>52154</v>
      </c>
      <c r="E15033" t="s">
        <v>52155</v>
      </c>
      <c r="F15033" t="s">
        <v>43378</v>
      </c>
      <c r="G15033" t="s">
        <v>103</v>
      </c>
      <c r="H15033">
        <v>17754</v>
      </c>
      <c r="I15033" t="s">
        <v>30</v>
      </c>
      <c r="J15033" t="s">
        <v>41</v>
      </c>
      <c r="K15033" t="s">
        <v>1440</v>
      </c>
      <c r="Q15033">
        <v>0</v>
      </c>
      <c r="R15033">
        <v>230</v>
      </c>
      <c r="S15033">
        <v>230</v>
      </c>
      <c r="T15033" t="s">
        <v>52156</v>
      </c>
    </row>
    <row r="15034" spans="1:20" customFormat="1" ht="15" x14ac:dyDescent="0.25">
      <c r="A15034" t="s">
        <v>35</v>
      </c>
      <c r="B15034" t="s">
        <v>61</v>
      </c>
      <c r="C15034" t="str">
        <f>"A0123950"</f>
        <v>A0123950</v>
      </c>
      <c r="D15034" t="s">
        <v>52157</v>
      </c>
      <c r="E15034" t="s">
        <v>52158</v>
      </c>
      <c r="F15034" t="s">
        <v>6768</v>
      </c>
      <c r="G15034" t="s">
        <v>29</v>
      </c>
      <c r="H15034">
        <v>24502</v>
      </c>
      <c r="I15034" t="s">
        <v>30</v>
      </c>
      <c r="J15034" t="s">
        <v>41</v>
      </c>
      <c r="K15034" t="s">
        <v>59</v>
      </c>
      <c r="Q15034">
        <v>0</v>
      </c>
      <c r="R15034">
        <v>180</v>
      </c>
      <c r="S15034">
        <v>180</v>
      </c>
      <c r="T15034" t="s">
        <v>52159</v>
      </c>
    </row>
    <row r="15035" spans="1:20" customFormat="1" ht="15" x14ac:dyDescent="0.25">
      <c r="A15035" t="s">
        <v>35</v>
      </c>
      <c r="B15035" t="s">
        <v>61</v>
      </c>
      <c r="C15035" t="str">
        <f>"A0121241"</f>
        <v>A0121241</v>
      </c>
      <c r="D15035" t="s">
        <v>52160</v>
      </c>
      <c r="E15035" t="s">
        <v>52161</v>
      </c>
      <c r="F15035" t="s">
        <v>52162</v>
      </c>
      <c r="G15035" t="s">
        <v>433</v>
      </c>
      <c r="H15035">
        <v>83617</v>
      </c>
      <c r="I15035" t="s">
        <v>30</v>
      </c>
      <c r="J15035" t="s">
        <v>41</v>
      </c>
      <c r="K15035" t="s">
        <v>1032</v>
      </c>
      <c r="Q15035">
        <v>0</v>
      </c>
      <c r="R15035">
        <v>14</v>
      </c>
      <c r="S15035">
        <v>14</v>
      </c>
      <c r="T15035" t="s">
        <v>52163</v>
      </c>
    </row>
    <row r="15036" spans="1:20" customFormat="1" ht="15" x14ac:dyDescent="0.25">
      <c r="A15036" t="s">
        <v>35</v>
      </c>
      <c r="B15036" t="s">
        <v>61</v>
      </c>
      <c r="C15036" t="str">
        <f>"A0132763"</f>
        <v>A0132763</v>
      </c>
      <c r="D15036" t="s">
        <v>52164</v>
      </c>
      <c r="E15036" t="s">
        <v>52165</v>
      </c>
      <c r="F15036" t="s">
        <v>1959</v>
      </c>
      <c r="G15036" t="s">
        <v>65</v>
      </c>
      <c r="H15036">
        <v>44306</v>
      </c>
      <c r="I15036" t="s">
        <v>30</v>
      </c>
      <c r="J15036" t="s">
        <v>41</v>
      </c>
      <c r="K15036" t="s">
        <v>2477</v>
      </c>
      <c r="Q15036">
        <v>0</v>
      </c>
      <c r="R15036">
        <v>30</v>
      </c>
      <c r="S15036">
        <v>30</v>
      </c>
      <c r="T15036" t="s">
        <v>52166</v>
      </c>
    </row>
    <row r="15037" spans="1:20" customFormat="1" ht="15" x14ac:dyDescent="0.25">
      <c r="A15037" t="s">
        <v>35</v>
      </c>
      <c r="B15037" t="s">
        <v>61</v>
      </c>
      <c r="C15037" t="str">
        <f>"A0151192"</f>
        <v>A0151192</v>
      </c>
      <c r="D15037" t="s">
        <v>52167</v>
      </c>
      <c r="E15037" t="s">
        <v>52168</v>
      </c>
      <c r="F15037" t="s">
        <v>21119</v>
      </c>
      <c r="G15037" t="s">
        <v>65</v>
      </c>
      <c r="H15037">
        <v>44515</v>
      </c>
      <c r="I15037" t="s">
        <v>30</v>
      </c>
      <c r="J15037" t="s">
        <v>41</v>
      </c>
      <c r="K15037" t="s">
        <v>461</v>
      </c>
      <c r="Q15037">
        <v>0</v>
      </c>
      <c r="R15037">
        <v>32</v>
      </c>
      <c r="S15037">
        <v>32</v>
      </c>
      <c r="T15037" t="s">
        <v>52169</v>
      </c>
    </row>
    <row r="15038" spans="1:20" customFormat="1" ht="15" x14ac:dyDescent="0.25">
      <c r="A15038" t="s">
        <v>35</v>
      </c>
      <c r="B15038" t="s">
        <v>36002</v>
      </c>
      <c r="C15038" t="str">
        <f>"A0130868"</f>
        <v>A0130868</v>
      </c>
      <c r="D15038" t="s">
        <v>52170</v>
      </c>
      <c r="E15038" t="s">
        <v>36004</v>
      </c>
      <c r="F15038" t="s">
        <v>35969</v>
      </c>
      <c r="G15038" t="s">
        <v>85</v>
      </c>
      <c r="H15038">
        <v>72956</v>
      </c>
      <c r="I15038" t="s">
        <v>30</v>
      </c>
      <c r="J15038" t="s">
        <v>41</v>
      </c>
      <c r="K15038" t="s">
        <v>229</v>
      </c>
      <c r="Q15038">
        <v>0</v>
      </c>
      <c r="R15038">
        <v>80</v>
      </c>
      <c r="S15038">
        <v>80</v>
      </c>
      <c r="T15038" t="s">
        <v>52171</v>
      </c>
    </row>
    <row r="15039" spans="1:20" customFormat="1" ht="15" x14ac:dyDescent="0.25">
      <c r="A15039" t="s">
        <v>35</v>
      </c>
      <c r="B15039" t="s">
        <v>61</v>
      </c>
      <c r="C15039" t="str">
        <f>"A0131186"</f>
        <v>A0131186</v>
      </c>
      <c r="D15039" t="s">
        <v>52172</v>
      </c>
      <c r="E15039" t="s">
        <v>52173</v>
      </c>
      <c r="F15039" t="s">
        <v>35969</v>
      </c>
      <c r="G15039" t="s">
        <v>85</v>
      </c>
      <c r="H15039">
        <v>729560000</v>
      </c>
      <c r="I15039" t="s">
        <v>30</v>
      </c>
      <c r="J15039" t="s">
        <v>41</v>
      </c>
      <c r="K15039" t="s">
        <v>2760</v>
      </c>
      <c r="Q15039">
        <v>0</v>
      </c>
      <c r="R15039">
        <v>1</v>
      </c>
      <c r="S15039">
        <v>1</v>
      </c>
      <c r="T15039" t="s">
        <v>52174</v>
      </c>
    </row>
    <row r="15040" spans="1:20" customFormat="1" ht="15" x14ac:dyDescent="0.25">
      <c r="A15040" t="s">
        <v>35</v>
      </c>
      <c r="B15040" t="s">
        <v>61</v>
      </c>
      <c r="C15040" t="str">
        <f>"A0128813"</f>
        <v>A0128813</v>
      </c>
      <c r="D15040" t="s">
        <v>52175</v>
      </c>
      <c r="E15040" t="s">
        <v>52176</v>
      </c>
      <c r="F15040" t="s">
        <v>9205</v>
      </c>
      <c r="G15040" t="s">
        <v>289</v>
      </c>
      <c r="H15040">
        <v>611080000</v>
      </c>
      <c r="I15040" t="s">
        <v>30</v>
      </c>
      <c r="J15040" t="s">
        <v>41</v>
      </c>
      <c r="K15040" t="s">
        <v>3713</v>
      </c>
      <c r="Q15040">
        <v>0</v>
      </c>
      <c r="R15040">
        <v>49</v>
      </c>
      <c r="S15040">
        <v>49</v>
      </c>
      <c r="T15040" t="s">
        <v>52177</v>
      </c>
    </row>
    <row r="15041" spans="1:20" customFormat="1" ht="15" x14ac:dyDescent="0.25">
      <c r="A15041" t="s">
        <v>35</v>
      </c>
      <c r="B15041" t="s">
        <v>106</v>
      </c>
      <c r="C15041" t="str">
        <f>"A0135555"</f>
        <v>A0135555</v>
      </c>
      <c r="D15041" t="s">
        <v>52178</v>
      </c>
      <c r="E15041" t="s">
        <v>52179</v>
      </c>
      <c r="F15041" t="s">
        <v>1420</v>
      </c>
      <c r="G15041" t="s">
        <v>880</v>
      </c>
      <c r="H15041">
        <v>37203</v>
      </c>
      <c r="I15041" t="s">
        <v>30</v>
      </c>
      <c r="J15041" t="s">
        <v>111</v>
      </c>
      <c r="K15041" t="s">
        <v>10012</v>
      </c>
      <c r="Q15041">
        <v>0</v>
      </c>
      <c r="R15041">
        <v>0</v>
      </c>
      <c r="S15041">
        <v>0</v>
      </c>
      <c r="T15041" t="s">
        <v>52180</v>
      </c>
    </row>
    <row r="15042" spans="1:20" customFormat="1" ht="15" x14ac:dyDescent="0.25">
      <c r="A15042" t="s">
        <v>35</v>
      </c>
      <c r="B15042" t="s">
        <v>106</v>
      </c>
      <c r="C15042" t="str">
        <f>"A0135569"</f>
        <v>A0135569</v>
      </c>
      <c r="D15042" t="s">
        <v>52181</v>
      </c>
      <c r="E15042" t="s">
        <v>52182</v>
      </c>
      <c r="F15042" t="s">
        <v>1420</v>
      </c>
      <c r="G15042" t="s">
        <v>880</v>
      </c>
      <c r="H15042">
        <v>37203</v>
      </c>
      <c r="I15042" t="s">
        <v>30</v>
      </c>
      <c r="J15042" t="s">
        <v>111</v>
      </c>
      <c r="K15042" t="s">
        <v>112</v>
      </c>
      <c r="Q15042">
        <v>0</v>
      </c>
      <c r="R15042">
        <v>0</v>
      </c>
      <c r="S15042">
        <v>0</v>
      </c>
      <c r="T15042" t="s">
        <v>52180</v>
      </c>
    </row>
    <row r="15043" spans="1:20" customFormat="1" ht="15" x14ac:dyDescent="0.25">
      <c r="A15043" t="s">
        <v>35</v>
      </c>
      <c r="B15043" t="s">
        <v>106</v>
      </c>
      <c r="C15043" t="str">
        <f>"A0135564"</f>
        <v>A0135564</v>
      </c>
      <c r="D15043" t="s">
        <v>52183</v>
      </c>
      <c r="E15043" t="s">
        <v>52179</v>
      </c>
      <c r="F15043" t="s">
        <v>1420</v>
      </c>
      <c r="G15043" t="s">
        <v>880</v>
      </c>
      <c r="H15043">
        <v>37203</v>
      </c>
      <c r="I15043" t="s">
        <v>30</v>
      </c>
      <c r="J15043" t="s">
        <v>111</v>
      </c>
      <c r="K15043" t="s">
        <v>10012</v>
      </c>
      <c r="Q15043">
        <v>0</v>
      </c>
      <c r="R15043">
        <v>0</v>
      </c>
      <c r="S15043">
        <v>0</v>
      </c>
      <c r="T15043" t="s">
        <v>52180</v>
      </c>
    </row>
    <row r="15044" spans="1:20" customFormat="1" ht="15" x14ac:dyDescent="0.25">
      <c r="A15044" t="s">
        <v>35</v>
      </c>
      <c r="B15044" t="s">
        <v>106</v>
      </c>
      <c r="C15044" t="str">
        <f>"A0135565"</f>
        <v>A0135565</v>
      </c>
      <c r="D15044" t="s">
        <v>52184</v>
      </c>
      <c r="E15044" t="s">
        <v>52179</v>
      </c>
      <c r="F15044" t="s">
        <v>1420</v>
      </c>
      <c r="G15044" t="s">
        <v>880</v>
      </c>
      <c r="H15044">
        <v>37203</v>
      </c>
      <c r="I15044" t="s">
        <v>30</v>
      </c>
      <c r="J15044" t="s">
        <v>111</v>
      </c>
      <c r="K15044" t="s">
        <v>10012</v>
      </c>
      <c r="Q15044">
        <v>0</v>
      </c>
      <c r="R15044">
        <v>0</v>
      </c>
      <c r="S15044">
        <v>0</v>
      </c>
      <c r="T15044" t="s">
        <v>52180</v>
      </c>
    </row>
    <row r="15045" spans="1:20" customFormat="1" ht="15" x14ac:dyDescent="0.25">
      <c r="A15045" t="s">
        <v>35</v>
      </c>
      <c r="B15045" t="s">
        <v>106</v>
      </c>
      <c r="C15045" t="str">
        <f>"A0135561"</f>
        <v>A0135561</v>
      </c>
      <c r="D15045" t="s">
        <v>52185</v>
      </c>
      <c r="E15045" t="s">
        <v>52179</v>
      </c>
      <c r="F15045" t="s">
        <v>1420</v>
      </c>
      <c r="G15045" t="s">
        <v>880</v>
      </c>
      <c r="H15045">
        <v>37203</v>
      </c>
      <c r="I15045" t="s">
        <v>30</v>
      </c>
      <c r="J15045" t="s">
        <v>111</v>
      </c>
      <c r="K15045" t="s">
        <v>10012</v>
      </c>
      <c r="Q15045">
        <v>0</v>
      </c>
      <c r="R15045">
        <v>0</v>
      </c>
      <c r="S15045">
        <v>0</v>
      </c>
      <c r="T15045" t="s">
        <v>52180</v>
      </c>
    </row>
    <row r="15046" spans="1:20" customFormat="1" ht="15" x14ac:dyDescent="0.25">
      <c r="A15046" t="s">
        <v>35</v>
      </c>
      <c r="B15046" t="s">
        <v>106</v>
      </c>
      <c r="C15046" t="str">
        <f>"A0135553"</f>
        <v>A0135553</v>
      </c>
      <c r="D15046" t="s">
        <v>52186</v>
      </c>
      <c r="E15046" t="s">
        <v>52179</v>
      </c>
      <c r="F15046" t="s">
        <v>1420</v>
      </c>
      <c r="G15046" t="s">
        <v>880</v>
      </c>
      <c r="H15046">
        <v>37203</v>
      </c>
      <c r="I15046" t="s">
        <v>30</v>
      </c>
      <c r="J15046" t="s">
        <v>111</v>
      </c>
      <c r="K15046" t="s">
        <v>10012</v>
      </c>
      <c r="Q15046">
        <v>0</v>
      </c>
      <c r="R15046">
        <v>0</v>
      </c>
      <c r="S15046">
        <v>0</v>
      </c>
      <c r="T15046" t="s">
        <v>52180</v>
      </c>
    </row>
    <row r="15047" spans="1:20" customFormat="1" ht="15" x14ac:dyDescent="0.25">
      <c r="A15047" t="s">
        <v>35</v>
      </c>
      <c r="B15047" t="s">
        <v>106</v>
      </c>
      <c r="C15047" t="str">
        <f>"A0135568"</f>
        <v>A0135568</v>
      </c>
      <c r="D15047" t="s">
        <v>52187</v>
      </c>
      <c r="E15047" t="s">
        <v>52188</v>
      </c>
      <c r="F15047" t="s">
        <v>1420</v>
      </c>
      <c r="G15047" t="s">
        <v>880</v>
      </c>
      <c r="H15047">
        <v>37203</v>
      </c>
      <c r="I15047" t="s">
        <v>30</v>
      </c>
      <c r="J15047" t="s">
        <v>111</v>
      </c>
      <c r="K15047" t="s">
        <v>112</v>
      </c>
      <c r="Q15047">
        <v>0</v>
      </c>
      <c r="R15047">
        <v>0</v>
      </c>
      <c r="S15047">
        <v>0</v>
      </c>
      <c r="T15047" t="s">
        <v>52180</v>
      </c>
    </row>
    <row r="15048" spans="1:20" customFormat="1" ht="15" x14ac:dyDescent="0.25">
      <c r="A15048" t="s">
        <v>35</v>
      </c>
      <c r="B15048" t="s">
        <v>106</v>
      </c>
      <c r="C15048" t="str">
        <f>"A0135570"</f>
        <v>A0135570</v>
      </c>
      <c r="D15048" t="s">
        <v>52189</v>
      </c>
      <c r="E15048" t="s">
        <v>52182</v>
      </c>
      <c r="F15048" t="s">
        <v>1420</v>
      </c>
      <c r="G15048" t="s">
        <v>880</v>
      </c>
      <c r="H15048">
        <v>37203</v>
      </c>
      <c r="I15048" t="s">
        <v>30</v>
      </c>
      <c r="J15048" t="s">
        <v>111</v>
      </c>
      <c r="K15048" t="s">
        <v>112</v>
      </c>
      <c r="Q15048">
        <v>0</v>
      </c>
      <c r="R15048">
        <v>0</v>
      </c>
      <c r="S15048">
        <v>0</v>
      </c>
      <c r="T15048" t="s">
        <v>52180</v>
      </c>
    </row>
    <row r="15049" spans="1:20" customFormat="1" ht="15" x14ac:dyDescent="0.25">
      <c r="A15049" t="s">
        <v>35</v>
      </c>
      <c r="B15049" t="s">
        <v>106</v>
      </c>
      <c r="C15049" t="str">
        <f>"A0135559"</f>
        <v>A0135559</v>
      </c>
      <c r="D15049" t="s">
        <v>52190</v>
      </c>
      <c r="E15049" t="s">
        <v>52179</v>
      </c>
      <c r="F15049" t="s">
        <v>1420</v>
      </c>
      <c r="G15049" t="s">
        <v>880</v>
      </c>
      <c r="H15049">
        <v>37203</v>
      </c>
      <c r="I15049" t="s">
        <v>30</v>
      </c>
      <c r="J15049" t="s">
        <v>111</v>
      </c>
      <c r="K15049" t="s">
        <v>10012</v>
      </c>
      <c r="Q15049">
        <v>0</v>
      </c>
      <c r="R15049">
        <v>0</v>
      </c>
      <c r="S15049">
        <v>0</v>
      </c>
      <c r="T15049" t="s">
        <v>52180</v>
      </c>
    </row>
    <row r="15050" spans="1:20" customFormat="1" ht="15" x14ac:dyDescent="0.25">
      <c r="A15050" t="s">
        <v>35</v>
      </c>
      <c r="B15050" t="s">
        <v>106</v>
      </c>
      <c r="C15050" t="str">
        <f>"A0135563"</f>
        <v>A0135563</v>
      </c>
      <c r="D15050" t="s">
        <v>52191</v>
      </c>
      <c r="E15050" t="s">
        <v>52179</v>
      </c>
      <c r="F15050" t="s">
        <v>1420</v>
      </c>
      <c r="G15050" t="s">
        <v>880</v>
      </c>
      <c r="H15050">
        <v>37203</v>
      </c>
      <c r="I15050" t="s">
        <v>30</v>
      </c>
      <c r="J15050" t="s">
        <v>111</v>
      </c>
      <c r="K15050" t="s">
        <v>10012</v>
      </c>
      <c r="Q15050">
        <v>0</v>
      </c>
      <c r="R15050">
        <v>0</v>
      </c>
      <c r="S15050">
        <v>0</v>
      </c>
    </row>
    <row r="15051" spans="1:20" customFormat="1" ht="15" x14ac:dyDescent="0.25">
      <c r="A15051" t="s">
        <v>35</v>
      </c>
      <c r="B15051" t="s">
        <v>106</v>
      </c>
      <c r="C15051" t="str">
        <f>"A0135567"</f>
        <v>A0135567</v>
      </c>
      <c r="D15051" t="s">
        <v>52192</v>
      </c>
      <c r="E15051" t="s">
        <v>52179</v>
      </c>
      <c r="F15051" t="s">
        <v>1420</v>
      </c>
      <c r="G15051" t="s">
        <v>880</v>
      </c>
      <c r="H15051">
        <v>37203</v>
      </c>
      <c r="I15051" t="s">
        <v>30</v>
      </c>
      <c r="J15051" t="s">
        <v>111</v>
      </c>
      <c r="K15051" t="s">
        <v>10012</v>
      </c>
      <c r="Q15051">
        <v>0</v>
      </c>
      <c r="R15051">
        <v>0</v>
      </c>
      <c r="S15051">
        <v>0</v>
      </c>
      <c r="T15051" t="s">
        <v>52180</v>
      </c>
    </row>
    <row r="15052" spans="1:20" customFormat="1" ht="15" x14ac:dyDescent="0.25">
      <c r="A15052" t="s">
        <v>35</v>
      </c>
      <c r="B15052" t="s">
        <v>106</v>
      </c>
      <c r="C15052" t="str">
        <f>"A0135566"</f>
        <v>A0135566</v>
      </c>
      <c r="D15052" t="s">
        <v>52193</v>
      </c>
      <c r="E15052" t="s">
        <v>52179</v>
      </c>
      <c r="F15052" t="s">
        <v>1420</v>
      </c>
      <c r="G15052" t="s">
        <v>880</v>
      </c>
      <c r="H15052">
        <v>37203</v>
      </c>
      <c r="I15052" t="s">
        <v>30</v>
      </c>
      <c r="J15052" t="s">
        <v>111</v>
      </c>
      <c r="K15052" t="s">
        <v>10012</v>
      </c>
      <c r="Q15052">
        <v>0</v>
      </c>
      <c r="R15052">
        <v>0</v>
      </c>
      <c r="S15052">
        <v>0</v>
      </c>
      <c r="T15052" t="s">
        <v>52180</v>
      </c>
    </row>
    <row r="15053" spans="1:20" customFormat="1" ht="15" x14ac:dyDescent="0.25">
      <c r="A15053" t="s">
        <v>35</v>
      </c>
      <c r="B15053" t="s">
        <v>106</v>
      </c>
      <c r="C15053" t="str">
        <f>"A0135556"</f>
        <v>A0135556</v>
      </c>
      <c r="D15053" t="s">
        <v>52194</v>
      </c>
      <c r="E15053" t="s">
        <v>52179</v>
      </c>
      <c r="F15053" t="s">
        <v>1420</v>
      </c>
      <c r="G15053" t="s">
        <v>880</v>
      </c>
      <c r="H15053">
        <v>37203</v>
      </c>
      <c r="I15053" t="s">
        <v>30</v>
      </c>
      <c r="J15053" t="s">
        <v>111</v>
      </c>
      <c r="K15053" t="s">
        <v>10012</v>
      </c>
      <c r="Q15053">
        <v>0</v>
      </c>
      <c r="R15053">
        <v>0</v>
      </c>
      <c r="S15053">
        <v>0</v>
      </c>
      <c r="T15053" t="s">
        <v>52180</v>
      </c>
    </row>
    <row r="15054" spans="1:20" customFormat="1" ht="15" x14ac:dyDescent="0.25">
      <c r="A15054" t="s">
        <v>35</v>
      </c>
      <c r="B15054" t="s">
        <v>106</v>
      </c>
      <c r="C15054" t="str">
        <f>"A0135562"</f>
        <v>A0135562</v>
      </c>
      <c r="D15054" t="s">
        <v>52195</v>
      </c>
      <c r="E15054" t="s">
        <v>52179</v>
      </c>
      <c r="F15054" t="s">
        <v>1420</v>
      </c>
      <c r="G15054" t="s">
        <v>880</v>
      </c>
      <c r="H15054">
        <v>37203</v>
      </c>
      <c r="I15054" t="s">
        <v>30</v>
      </c>
      <c r="J15054" t="s">
        <v>111</v>
      </c>
      <c r="K15054" t="s">
        <v>10012</v>
      </c>
      <c r="Q15054">
        <v>0</v>
      </c>
      <c r="R15054">
        <v>0</v>
      </c>
      <c r="S15054">
        <v>0</v>
      </c>
      <c r="T15054" t="s">
        <v>52180</v>
      </c>
    </row>
    <row r="15055" spans="1:20" customFormat="1" ht="15" x14ac:dyDescent="0.25">
      <c r="A15055" t="s">
        <v>35</v>
      </c>
      <c r="B15055" t="s">
        <v>106</v>
      </c>
      <c r="C15055" t="str">
        <f>"A0135560"</f>
        <v>A0135560</v>
      </c>
      <c r="D15055" t="s">
        <v>52196</v>
      </c>
      <c r="E15055" t="s">
        <v>52179</v>
      </c>
      <c r="F15055" t="s">
        <v>1420</v>
      </c>
      <c r="G15055" t="s">
        <v>880</v>
      </c>
      <c r="H15055">
        <v>37203</v>
      </c>
      <c r="I15055" t="s">
        <v>30</v>
      </c>
      <c r="J15055" t="s">
        <v>111</v>
      </c>
      <c r="K15055" t="s">
        <v>10012</v>
      </c>
      <c r="Q15055">
        <v>0</v>
      </c>
      <c r="R15055">
        <v>0</v>
      </c>
      <c r="S15055">
        <v>0</v>
      </c>
      <c r="T15055" t="s">
        <v>52180</v>
      </c>
    </row>
    <row r="15056" spans="1:20" customFormat="1" ht="15" x14ac:dyDescent="0.25">
      <c r="A15056" t="s">
        <v>35</v>
      </c>
      <c r="B15056" t="s">
        <v>106</v>
      </c>
      <c r="C15056" t="str">
        <f>"A0135554"</f>
        <v>A0135554</v>
      </c>
      <c r="D15056" t="s">
        <v>52197</v>
      </c>
      <c r="E15056" t="s">
        <v>52179</v>
      </c>
      <c r="F15056" t="s">
        <v>1420</v>
      </c>
      <c r="G15056" t="s">
        <v>880</v>
      </c>
      <c r="H15056">
        <v>37203</v>
      </c>
      <c r="I15056" t="s">
        <v>30</v>
      </c>
      <c r="J15056" t="s">
        <v>111</v>
      </c>
      <c r="K15056" t="s">
        <v>10012</v>
      </c>
      <c r="Q15056">
        <v>0</v>
      </c>
      <c r="R15056">
        <v>0</v>
      </c>
      <c r="S15056">
        <v>0</v>
      </c>
      <c r="T15056" t="s">
        <v>52180</v>
      </c>
    </row>
    <row r="15057" spans="1:20" customFormat="1" ht="15" x14ac:dyDescent="0.25">
      <c r="A15057" t="s">
        <v>35</v>
      </c>
      <c r="B15057" t="s">
        <v>61</v>
      </c>
      <c r="C15057" t="str">
        <f>"A0123045"</f>
        <v>A0123045</v>
      </c>
      <c r="D15057" t="s">
        <v>16049</v>
      </c>
      <c r="E15057" t="s">
        <v>52198</v>
      </c>
      <c r="F15057" t="s">
        <v>455</v>
      </c>
      <c r="G15057" t="s">
        <v>433</v>
      </c>
      <c r="H15057">
        <v>83646</v>
      </c>
      <c r="I15057" t="s">
        <v>30</v>
      </c>
      <c r="J15057" t="s">
        <v>41</v>
      </c>
      <c r="K15057" t="s">
        <v>59</v>
      </c>
      <c r="Q15057">
        <v>0</v>
      </c>
      <c r="R15057">
        <v>84</v>
      </c>
      <c r="S15057">
        <v>84</v>
      </c>
      <c r="T15057" t="s">
        <v>52199</v>
      </c>
    </row>
    <row r="15058" spans="1:20" customFormat="1" ht="15" x14ac:dyDescent="0.25">
      <c r="A15058" t="s">
        <v>35</v>
      </c>
      <c r="B15058" t="s">
        <v>61</v>
      </c>
      <c r="C15058" t="str">
        <f>"A0150806"</f>
        <v>A0150806</v>
      </c>
      <c r="D15058" t="s">
        <v>52200</v>
      </c>
      <c r="E15058" t="s">
        <v>52201</v>
      </c>
      <c r="F15058" t="s">
        <v>436</v>
      </c>
      <c r="G15058" t="s">
        <v>433</v>
      </c>
      <c r="H15058">
        <v>83712</v>
      </c>
      <c r="I15058" t="s">
        <v>30</v>
      </c>
      <c r="J15058" t="s">
        <v>41</v>
      </c>
      <c r="K15058" t="s">
        <v>59</v>
      </c>
      <c r="Q15058">
        <v>0</v>
      </c>
      <c r="R15058">
        <v>60</v>
      </c>
      <c r="S15058">
        <v>60</v>
      </c>
      <c r="T15058" t="s">
        <v>72</v>
      </c>
    </row>
    <row r="15059" spans="1:20" customFormat="1" ht="15" x14ac:dyDescent="0.25">
      <c r="A15059" t="s">
        <v>35</v>
      </c>
      <c r="B15059" t="s">
        <v>61</v>
      </c>
      <c r="C15059" t="str">
        <f>"A0123951"</f>
        <v>A0123951</v>
      </c>
      <c r="D15059" t="s">
        <v>52202</v>
      </c>
      <c r="E15059" t="s">
        <v>52203</v>
      </c>
      <c r="F15059" t="s">
        <v>7257</v>
      </c>
      <c r="G15059" t="s">
        <v>29</v>
      </c>
      <c r="H15059">
        <v>23185</v>
      </c>
      <c r="I15059" t="s">
        <v>30</v>
      </c>
      <c r="J15059" t="s">
        <v>41</v>
      </c>
      <c r="K15059" t="s">
        <v>59</v>
      </c>
      <c r="Q15059">
        <v>0</v>
      </c>
      <c r="R15059">
        <v>120</v>
      </c>
      <c r="S15059">
        <v>120</v>
      </c>
      <c r="T15059" t="s">
        <v>52204</v>
      </c>
    </row>
    <row r="15060" spans="1:20" customFormat="1" ht="15" x14ac:dyDescent="0.25">
      <c r="A15060" t="s">
        <v>35</v>
      </c>
      <c r="B15060" t="s">
        <v>61</v>
      </c>
      <c r="C15060" t="str">
        <f>"A0131882"</f>
        <v>A0131882</v>
      </c>
      <c r="D15060" t="s">
        <v>52205</v>
      </c>
      <c r="E15060" t="s">
        <v>52206</v>
      </c>
      <c r="F15060" t="s">
        <v>40062</v>
      </c>
      <c r="G15060" t="s">
        <v>65</v>
      </c>
      <c r="H15060">
        <v>450680000</v>
      </c>
      <c r="I15060" t="s">
        <v>30</v>
      </c>
      <c r="J15060" t="s">
        <v>41</v>
      </c>
      <c r="K15060" t="s">
        <v>290</v>
      </c>
      <c r="Q15060">
        <v>0</v>
      </c>
      <c r="R15060">
        <v>1</v>
      </c>
      <c r="S15060">
        <v>1</v>
      </c>
      <c r="T15060" t="s">
        <v>52207</v>
      </c>
    </row>
    <row r="15061" spans="1:20" customFormat="1" ht="15" x14ac:dyDescent="0.25">
      <c r="A15061" t="s">
        <v>35</v>
      </c>
      <c r="B15061" t="s">
        <v>61</v>
      </c>
      <c r="C15061" t="str">
        <f>"A0124372"</f>
        <v>A0124372</v>
      </c>
      <c r="D15061" t="s">
        <v>52208</v>
      </c>
      <c r="E15061" t="s">
        <v>52209</v>
      </c>
      <c r="F15061" t="s">
        <v>20257</v>
      </c>
      <c r="G15061" t="s">
        <v>103</v>
      </c>
      <c r="H15061">
        <v>15143</v>
      </c>
      <c r="I15061" t="s">
        <v>30</v>
      </c>
      <c r="J15061" t="s">
        <v>41</v>
      </c>
      <c r="K15061" t="s">
        <v>229</v>
      </c>
      <c r="Q15061">
        <v>0</v>
      </c>
      <c r="R15061">
        <v>94</v>
      </c>
      <c r="S15061">
        <v>94</v>
      </c>
      <c r="T15061" t="s">
        <v>52210</v>
      </c>
    </row>
    <row r="15062" spans="1:20" customFormat="1" ht="15" x14ac:dyDescent="0.25">
      <c r="A15062" t="s">
        <v>35</v>
      </c>
      <c r="B15062" t="s">
        <v>61</v>
      </c>
      <c r="C15062" t="str">
        <f>"A0130452"</f>
        <v>A0130452</v>
      </c>
      <c r="D15062" t="s">
        <v>52211</v>
      </c>
      <c r="E15062" t="s">
        <v>52212</v>
      </c>
      <c r="F15062" t="s">
        <v>52213</v>
      </c>
      <c r="G15062" t="s">
        <v>1898</v>
      </c>
      <c r="H15062">
        <v>52172</v>
      </c>
      <c r="I15062" t="s">
        <v>30</v>
      </c>
      <c r="J15062" t="s">
        <v>41</v>
      </c>
      <c r="K15062" t="s">
        <v>3713</v>
      </c>
      <c r="Q15062">
        <v>0</v>
      </c>
      <c r="R15062">
        <v>35</v>
      </c>
      <c r="S15062">
        <v>35</v>
      </c>
      <c r="T15062" t="s">
        <v>52214</v>
      </c>
    </row>
    <row r="15063" spans="1:20" customFormat="1" ht="15" x14ac:dyDescent="0.25">
      <c r="A15063" t="s">
        <v>35</v>
      </c>
      <c r="B15063" t="s">
        <v>61</v>
      </c>
      <c r="C15063" t="str">
        <f>"A0132925"</f>
        <v>A0132925</v>
      </c>
      <c r="D15063" t="s">
        <v>52215</v>
      </c>
      <c r="E15063" t="s">
        <v>52216</v>
      </c>
      <c r="F15063" t="s">
        <v>15839</v>
      </c>
      <c r="G15063" t="s">
        <v>65</v>
      </c>
      <c r="H15063">
        <v>44505</v>
      </c>
      <c r="I15063" t="s">
        <v>30</v>
      </c>
      <c r="J15063" t="s">
        <v>41</v>
      </c>
      <c r="K15063" t="s">
        <v>2760</v>
      </c>
      <c r="Q15063">
        <v>0</v>
      </c>
      <c r="R15063">
        <v>0</v>
      </c>
      <c r="S15063">
        <v>0</v>
      </c>
      <c r="T15063" t="s">
        <v>52217</v>
      </c>
    </row>
    <row r="15064" spans="1:20" customFormat="1" ht="15" x14ac:dyDescent="0.25">
      <c r="A15064" t="s">
        <v>35</v>
      </c>
      <c r="B15064" t="s">
        <v>61</v>
      </c>
      <c r="C15064" t="str">
        <f>"A0121384"</f>
        <v>A0121384</v>
      </c>
      <c r="D15064" t="s">
        <v>52218</v>
      </c>
      <c r="E15064" t="s">
        <v>52219</v>
      </c>
      <c r="F15064" t="s">
        <v>52220</v>
      </c>
      <c r="G15064" t="s">
        <v>153</v>
      </c>
      <c r="H15064">
        <v>84638</v>
      </c>
      <c r="I15064" t="s">
        <v>30</v>
      </c>
      <c r="J15064" t="s">
        <v>41</v>
      </c>
      <c r="K15064" t="s">
        <v>59</v>
      </c>
      <c r="Q15064">
        <v>0</v>
      </c>
      <c r="R15064">
        <v>0</v>
      </c>
      <c r="S15064">
        <v>0</v>
      </c>
      <c r="T15064" t="s">
        <v>52221</v>
      </c>
    </row>
    <row r="15065" spans="1:20" customFormat="1" ht="15" x14ac:dyDescent="0.25">
      <c r="A15065" t="s">
        <v>35</v>
      </c>
      <c r="B15065" t="s">
        <v>61</v>
      </c>
      <c r="C15065" t="str">
        <f>"A0124373"</f>
        <v>A0124373</v>
      </c>
      <c r="D15065" t="s">
        <v>52222</v>
      </c>
      <c r="E15065" t="s">
        <v>52223</v>
      </c>
      <c r="F15065" t="s">
        <v>6045</v>
      </c>
      <c r="G15065" t="s">
        <v>123</v>
      </c>
      <c r="H15065">
        <v>20912</v>
      </c>
      <c r="I15065" t="s">
        <v>30</v>
      </c>
      <c r="J15065" t="s">
        <v>41</v>
      </c>
      <c r="K15065" t="s">
        <v>482</v>
      </c>
      <c r="Q15065">
        <v>0</v>
      </c>
      <c r="R15065">
        <v>187</v>
      </c>
      <c r="S15065">
        <v>187</v>
      </c>
      <c r="T15065" t="s">
        <v>52224</v>
      </c>
    </row>
    <row r="15066" spans="1:20" customFormat="1" ht="15" x14ac:dyDescent="0.25">
      <c r="A15066" t="s">
        <v>35</v>
      </c>
      <c r="B15066" t="s">
        <v>437</v>
      </c>
      <c r="C15066" t="str">
        <f>"A0133900"</f>
        <v>A0133900</v>
      </c>
      <c r="D15066" t="s">
        <v>52225</v>
      </c>
      <c r="E15066" t="s">
        <v>52226</v>
      </c>
      <c r="F15066" t="s">
        <v>52227</v>
      </c>
      <c r="G15066" t="s">
        <v>123</v>
      </c>
      <c r="H15066">
        <v>20895</v>
      </c>
      <c r="I15066" t="s">
        <v>30</v>
      </c>
      <c r="J15066" t="s">
        <v>441</v>
      </c>
      <c r="K15066" t="s">
        <v>442</v>
      </c>
      <c r="Q15066">
        <v>0</v>
      </c>
      <c r="R15066">
        <v>0</v>
      </c>
      <c r="S15066">
        <v>0</v>
      </c>
      <c r="T15066" t="s">
        <v>52228</v>
      </c>
    </row>
    <row r="15067" spans="1:20" customFormat="1" ht="15" x14ac:dyDescent="0.25">
      <c r="A15067" t="s">
        <v>35</v>
      </c>
      <c r="B15067" t="s">
        <v>437</v>
      </c>
      <c r="C15067" t="str">
        <f>"A0133903"</f>
        <v>A0133903</v>
      </c>
      <c r="D15067" t="s">
        <v>52229</v>
      </c>
      <c r="E15067" t="s">
        <v>52230</v>
      </c>
      <c r="F15067" t="s">
        <v>14859</v>
      </c>
      <c r="G15067" t="s">
        <v>123</v>
      </c>
      <c r="H15067">
        <v>20854</v>
      </c>
      <c r="I15067" t="s">
        <v>30</v>
      </c>
      <c r="J15067" t="s">
        <v>441</v>
      </c>
      <c r="K15067" t="s">
        <v>442</v>
      </c>
      <c r="Q15067">
        <v>0</v>
      </c>
      <c r="R15067">
        <v>0</v>
      </c>
      <c r="S15067">
        <v>0</v>
      </c>
      <c r="T15067" t="s">
        <v>52231</v>
      </c>
    </row>
    <row r="15068" spans="1:20" customFormat="1" ht="15" x14ac:dyDescent="0.25">
      <c r="A15068" t="s">
        <v>35</v>
      </c>
      <c r="B15068" t="s">
        <v>437</v>
      </c>
      <c r="C15068" t="str">
        <f>"A0133902"</f>
        <v>A0133902</v>
      </c>
      <c r="D15068" t="s">
        <v>52232</v>
      </c>
      <c r="E15068" t="s">
        <v>52233</v>
      </c>
      <c r="F15068" t="s">
        <v>6152</v>
      </c>
      <c r="G15068" t="s">
        <v>123</v>
      </c>
      <c r="H15068">
        <v>20850</v>
      </c>
      <c r="I15068" t="s">
        <v>30</v>
      </c>
      <c r="J15068" t="s">
        <v>441</v>
      </c>
      <c r="K15068" t="s">
        <v>442</v>
      </c>
      <c r="Q15068">
        <v>0</v>
      </c>
      <c r="R15068">
        <v>0</v>
      </c>
      <c r="S15068">
        <v>0</v>
      </c>
      <c r="T15068" t="s">
        <v>52234</v>
      </c>
    </row>
    <row r="15069" spans="1:20" customFormat="1" ht="15" x14ac:dyDescent="0.25">
      <c r="A15069" t="s">
        <v>35</v>
      </c>
      <c r="B15069" t="s">
        <v>437</v>
      </c>
      <c r="C15069" t="str">
        <f>"A0133899"</f>
        <v>A0133899</v>
      </c>
      <c r="D15069" t="s">
        <v>52235</v>
      </c>
      <c r="E15069" t="s">
        <v>52236</v>
      </c>
      <c r="F15069" t="s">
        <v>4674</v>
      </c>
      <c r="G15069" t="s">
        <v>314</v>
      </c>
      <c r="H15069">
        <v>20024</v>
      </c>
      <c r="I15069" t="s">
        <v>30</v>
      </c>
      <c r="J15069" t="s">
        <v>441</v>
      </c>
      <c r="K15069" t="s">
        <v>442</v>
      </c>
      <c r="Q15069">
        <v>0</v>
      </c>
      <c r="R15069">
        <v>0</v>
      </c>
      <c r="S15069">
        <v>0</v>
      </c>
      <c r="T15069" t="s">
        <v>52237</v>
      </c>
    </row>
    <row r="15070" spans="1:20" customFormat="1" ht="15" x14ac:dyDescent="0.25">
      <c r="A15070" t="s">
        <v>35</v>
      </c>
      <c r="B15070" t="s">
        <v>437</v>
      </c>
      <c r="C15070" t="str">
        <f>"A0134020"</f>
        <v>A0134020</v>
      </c>
      <c r="D15070" t="s">
        <v>52238</v>
      </c>
      <c r="E15070" t="s">
        <v>52239</v>
      </c>
      <c r="F15070" t="s">
        <v>52240</v>
      </c>
      <c r="G15070" t="s">
        <v>99</v>
      </c>
      <c r="H15070">
        <v>13308</v>
      </c>
      <c r="I15070" t="s">
        <v>30</v>
      </c>
      <c r="J15070" t="s">
        <v>441</v>
      </c>
      <c r="K15070" t="s">
        <v>442</v>
      </c>
      <c r="Q15070">
        <v>0</v>
      </c>
      <c r="R15070">
        <v>0</v>
      </c>
      <c r="S15070">
        <v>0</v>
      </c>
      <c r="T15070" t="s">
        <v>52241</v>
      </c>
    </row>
    <row r="15071" spans="1:20" customFormat="1" ht="15" x14ac:dyDescent="0.25">
      <c r="A15071" t="s">
        <v>35</v>
      </c>
      <c r="B15071" t="s">
        <v>61</v>
      </c>
      <c r="C15071" t="str">
        <f>"A0118533"</f>
        <v>A0118533</v>
      </c>
      <c r="D15071" t="s">
        <v>52242</v>
      </c>
      <c r="E15071" t="s">
        <v>52243</v>
      </c>
      <c r="F15071" t="s">
        <v>14680</v>
      </c>
      <c r="G15071" t="s">
        <v>110</v>
      </c>
      <c r="H15071">
        <v>95240</v>
      </c>
      <c r="I15071" t="s">
        <v>30</v>
      </c>
      <c r="J15071" t="s">
        <v>41</v>
      </c>
      <c r="K15071" t="s">
        <v>229</v>
      </c>
      <c r="Q15071">
        <v>0</v>
      </c>
      <c r="R15071">
        <v>134</v>
      </c>
      <c r="S15071">
        <v>134</v>
      </c>
      <c r="T15071" t="s">
        <v>52244</v>
      </c>
    </row>
    <row r="15072" spans="1:20" customFormat="1" ht="15" x14ac:dyDescent="0.25">
      <c r="A15072" t="s">
        <v>35</v>
      </c>
      <c r="B15072" t="s">
        <v>61</v>
      </c>
      <c r="C15072" t="str">
        <f>"A0125138"</f>
        <v>A0125138</v>
      </c>
      <c r="D15072" t="s">
        <v>52245</v>
      </c>
      <c r="E15072" t="s">
        <v>52246</v>
      </c>
      <c r="F15072" t="s">
        <v>52247</v>
      </c>
      <c r="G15072" t="s">
        <v>214</v>
      </c>
      <c r="H15072">
        <v>27040</v>
      </c>
      <c r="I15072" t="s">
        <v>30</v>
      </c>
      <c r="J15072" t="s">
        <v>41</v>
      </c>
      <c r="K15072" t="s">
        <v>482</v>
      </c>
      <c r="Q15072">
        <v>0</v>
      </c>
      <c r="R15072">
        <v>90</v>
      </c>
      <c r="S15072">
        <v>90</v>
      </c>
      <c r="T15072" t="s">
        <v>52248</v>
      </c>
    </row>
    <row r="15073" spans="1:20" customFormat="1" ht="15" x14ac:dyDescent="0.25">
      <c r="A15073" t="s">
        <v>35</v>
      </c>
      <c r="B15073" t="s">
        <v>61</v>
      </c>
      <c r="C15073" t="str">
        <f>"A0125730"</f>
        <v>A0125730</v>
      </c>
      <c r="D15073" t="s">
        <v>52249</v>
      </c>
      <c r="E15073" t="s">
        <v>52250</v>
      </c>
      <c r="F15073" t="s">
        <v>52251</v>
      </c>
      <c r="G15073" t="s">
        <v>29</v>
      </c>
      <c r="H15073">
        <v>22043</v>
      </c>
      <c r="I15073" t="s">
        <v>30</v>
      </c>
      <c r="J15073" t="s">
        <v>41</v>
      </c>
      <c r="K15073" t="s">
        <v>229</v>
      </c>
      <c r="Q15073">
        <v>0</v>
      </c>
      <c r="R15073">
        <v>160</v>
      </c>
      <c r="S15073">
        <v>160</v>
      </c>
      <c r="T15073" t="s">
        <v>52252</v>
      </c>
    </row>
    <row r="15074" spans="1:20" customFormat="1" ht="15" x14ac:dyDescent="0.25">
      <c r="A15074" t="s">
        <v>35</v>
      </c>
      <c r="B15074" t="s">
        <v>61</v>
      </c>
      <c r="C15074" t="str">
        <f>"A0118612"</f>
        <v>A0118612</v>
      </c>
      <c r="D15074" t="s">
        <v>52253</v>
      </c>
      <c r="E15074" t="s">
        <v>52254</v>
      </c>
      <c r="F15074" t="s">
        <v>7362</v>
      </c>
      <c r="G15074" t="s">
        <v>110</v>
      </c>
      <c r="H15074">
        <v>900610000</v>
      </c>
      <c r="I15074" t="s">
        <v>30</v>
      </c>
      <c r="J15074" t="s">
        <v>41</v>
      </c>
      <c r="K15074" t="s">
        <v>229</v>
      </c>
      <c r="Q15074">
        <v>0</v>
      </c>
      <c r="R15074">
        <v>163</v>
      </c>
      <c r="S15074">
        <v>163</v>
      </c>
      <c r="T15074" t="s">
        <v>52255</v>
      </c>
    </row>
    <row r="15075" spans="1:20" customFormat="1" ht="15" x14ac:dyDescent="0.25">
      <c r="A15075" t="s">
        <v>35</v>
      </c>
      <c r="B15075" t="s">
        <v>61</v>
      </c>
      <c r="C15075" t="str">
        <f>"A0122650"</f>
        <v>A0122650</v>
      </c>
      <c r="D15075" t="s">
        <v>52256</v>
      </c>
      <c r="E15075" t="s">
        <v>52257</v>
      </c>
      <c r="F15075" t="s">
        <v>1444</v>
      </c>
      <c r="G15075" t="s">
        <v>76</v>
      </c>
      <c r="H15075">
        <v>981090000</v>
      </c>
      <c r="I15075" t="s">
        <v>30</v>
      </c>
      <c r="J15075" t="s">
        <v>41</v>
      </c>
      <c r="K15075" t="s">
        <v>59</v>
      </c>
      <c r="Q15075">
        <v>0</v>
      </c>
      <c r="R15075">
        <v>124</v>
      </c>
      <c r="S15075">
        <v>124</v>
      </c>
      <c r="T15075" t="s">
        <v>52258</v>
      </c>
    </row>
    <row r="15076" spans="1:20" customFormat="1" ht="15" x14ac:dyDescent="0.25">
      <c r="A15076" t="s">
        <v>35</v>
      </c>
      <c r="B15076" t="s">
        <v>61</v>
      </c>
      <c r="C15076" t="str">
        <f>"A0129116"</f>
        <v>A0129116</v>
      </c>
      <c r="D15076" t="s">
        <v>52259</v>
      </c>
      <c r="E15076" t="s">
        <v>52260</v>
      </c>
      <c r="F15076" t="s">
        <v>38709</v>
      </c>
      <c r="G15076" t="s">
        <v>289</v>
      </c>
      <c r="H15076">
        <v>62231</v>
      </c>
      <c r="I15076" t="s">
        <v>30</v>
      </c>
      <c r="J15076" t="s">
        <v>41</v>
      </c>
      <c r="K15076" t="s">
        <v>59</v>
      </c>
      <c r="Q15076">
        <v>0</v>
      </c>
      <c r="R15076">
        <v>16</v>
      </c>
      <c r="S15076">
        <v>16</v>
      </c>
      <c r="T15076" t="s">
        <v>52261</v>
      </c>
    </row>
    <row r="15077" spans="1:20" customFormat="1" ht="15" x14ac:dyDescent="0.25">
      <c r="A15077" t="s">
        <v>35</v>
      </c>
      <c r="B15077" t="s">
        <v>61</v>
      </c>
      <c r="C15077" t="str">
        <f>"A0129117"</f>
        <v>A0129117</v>
      </c>
      <c r="D15077" t="s">
        <v>52262</v>
      </c>
      <c r="E15077" t="s">
        <v>52263</v>
      </c>
      <c r="F15077" t="s">
        <v>38709</v>
      </c>
      <c r="G15077" t="s">
        <v>289</v>
      </c>
      <c r="H15077">
        <v>622310000</v>
      </c>
      <c r="I15077" t="s">
        <v>30</v>
      </c>
      <c r="J15077" t="s">
        <v>41</v>
      </c>
      <c r="K15077" t="s">
        <v>59</v>
      </c>
      <c r="Q15077">
        <v>0</v>
      </c>
      <c r="R15077">
        <v>16</v>
      </c>
      <c r="S15077">
        <v>16</v>
      </c>
      <c r="T15077" t="s">
        <v>52261</v>
      </c>
    </row>
    <row r="15078" spans="1:20" customFormat="1" ht="15" x14ac:dyDescent="0.25">
      <c r="A15078" t="s">
        <v>35</v>
      </c>
      <c r="B15078" t="s">
        <v>61</v>
      </c>
      <c r="C15078" t="str">
        <f>"A0118489"</f>
        <v>A0118489</v>
      </c>
      <c r="D15078" t="s">
        <v>52264</v>
      </c>
      <c r="E15078" t="s">
        <v>52265</v>
      </c>
      <c r="F15078" t="s">
        <v>27607</v>
      </c>
      <c r="G15078" t="s">
        <v>110</v>
      </c>
      <c r="H15078">
        <v>95062</v>
      </c>
      <c r="I15078" t="s">
        <v>30</v>
      </c>
      <c r="J15078" t="s">
        <v>41</v>
      </c>
      <c r="K15078" t="s">
        <v>59</v>
      </c>
      <c r="Q15078">
        <v>0</v>
      </c>
      <c r="R15078">
        <v>40</v>
      </c>
      <c r="S15078">
        <v>40</v>
      </c>
      <c r="T15078" t="s">
        <v>52266</v>
      </c>
    </row>
    <row r="15079" spans="1:20" customFormat="1" ht="15" x14ac:dyDescent="0.25">
      <c r="A15079" t="s">
        <v>35</v>
      </c>
      <c r="B15079" t="s">
        <v>61</v>
      </c>
      <c r="C15079" t="str">
        <f>"A0118830"</f>
        <v>A0118830</v>
      </c>
      <c r="D15079" t="s">
        <v>52267</v>
      </c>
      <c r="E15079" t="s">
        <v>52268</v>
      </c>
      <c r="F15079" t="s">
        <v>7523</v>
      </c>
      <c r="G15079" t="s">
        <v>110</v>
      </c>
      <c r="H15079">
        <v>94903</v>
      </c>
      <c r="I15079" t="s">
        <v>30</v>
      </c>
      <c r="J15079" t="s">
        <v>41</v>
      </c>
      <c r="K15079" t="s">
        <v>59</v>
      </c>
      <c r="Q15079">
        <v>0</v>
      </c>
      <c r="R15079">
        <v>140</v>
      </c>
      <c r="S15079">
        <v>140</v>
      </c>
      <c r="T15079" t="s">
        <v>52269</v>
      </c>
    </row>
    <row r="15080" spans="1:20" customFormat="1" ht="15" x14ac:dyDescent="0.25">
      <c r="A15080" t="s">
        <v>35</v>
      </c>
      <c r="B15080" t="s">
        <v>61</v>
      </c>
      <c r="C15080" t="str">
        <f>"A0118551"</f>
        <v>A0118551</v>
      </c>
      <c r="D15080" t="s">
        <v>52270</v>
      </c>
      <c r="E15080" t="s">
        <v>52271</v>
      </c>
      <c r="F15080" t="s">
        <v>7794</v>
      </c>
      <c r="G15080" t="s">
        <v>110</v>
      </c>
      <c r="H15080">
        <v>91352</v>
      </c>
      <c r="I15080" t="s">
        <v>30</v>
      </c>
      <c r="J15080" t="s">
        <v>41</v>
      </c>
      <c r="K15080" t="s">
        <v>59</v>
      </c>
      <c r="Q15080">
        <v>0</v>
      </c>
      <c r="R15080">
        <v>115</v>
      </c>
      <c r="S15080">
        <v>115</v>
      </c>
      <c r="T15080" t="s">
        <v>52272</v>
      </c>
    </row>
    <row r="15081" spans="1:20" customFormat="1" ht="15" x14ac:dyDescent="0.25">
      <c r="A15081" t="s">
        <v>35</v>
      </c>
      <c r="B15081" t="s">
        <v>61</v>
      </c>
      <c r="C15081" t="str">
        <f>"A0122017"</f>
        <v>A0122017</v>
      </c>
      <c r="D15081" t="s">
        <v>52273</v>
      </c>
      <c r="E15081" t="s">
        <v>52274</v>
      </c>
      <c r="F15081" t="s">
        <v>20644</v>
      </c>
      <c r="G15081" t="s">
        <v>110</v>
      </c>
      <c r="H15081">
        <v>95051</v>
      </c>
      <c r="I15081" t="s">
        <v>30</v>
      </c>
      <c r="J15081" t="s">
        <v>41</v>
      </c>
      <c r="K15081" t="s">
        <v>59</v>
      </c>
      <c r="Q15081">
        <v>0</v>
      </c>
      <c r="R15081">
        <v>108</v>
      </c>
      <c r="S15081">
        <v>108</v>
      </c>
      <c r="T15081" t="s">
        <v>52275</v>
      </c>
    </row>
    <row r="15082" spans="1:20" customFormat="1" ht="15" x14ac:dyDescent="0.25">
      <c r="A15082" t="s">
        <v>35</v>
      </c>
      <c r="B15082" t="s">
        <v>61</v>
      </c>
      <c r="C15082" t="str">
        <f>"A0118357"</f>
        <v>A0118357</v>
      </c>
      <c r="D15082" t="s">
        <v>52276</v>
      </c>
      <c r="E15082" t="s">
        <v>52277</v>
      </c>
      <c r="F15082" t="s">
        <v>14068</v>
      </c>
      <c r="G15082" t="s">
        <v>110</v>
      </c>
      <c r="H15082">
        <v>94040</v>
      </c>
      <c r="I15082" t="s">
        <v>30</v>
      </c>
      <c r="J15082" t="s">
        <v>41</v>
      </c>
      <c r="K15082" t="s">
        <v>59</v>
      </c>
      <c r="Q15082">
        <v>0</v>
      </c>
      <c r="R15082">
        <v>65</v>
      </c>
      <c r="S15082">
        <v>65</v>
      </c>
      <c r="T15082" t="s">
        <v>52278</v>
      </c>
    </row>
    <row r="15083" spans="1:20" customFormat="1" ht="15" x14ac:dyDescent="0.25">
      <c r="A15083" t="s">
        <v>35</v>
      </c>
      <c r="B15083" t="s">
        <v>61</v>
      </c>
      <c r="C15083" t="str">
        <f>"A0150528"</f>
        <v>A0150528</v>
      </c>
      <c r="D15083" t="s">
        <v>52279</v>
      </c>
      <c r="E15083" t="s">
        <v>52280</v>
      </c>
      <c r="F15083" t="s">
        <v>19101</v>
      </c>
      <c r="G15083" t="s">
        <v>1369</v>
      </c>
      <c r="H15083">
        <v>39073</v>
      </c>
      <c r="I15083" t="s">
        <v>30</v>
      </c>
      <c r="J15083" t="s">
        <v>41</v>
      </c>
      <c r="K15083" t="s">
        <v>59</v>
      </c>
      <c r="Q15083">
        <v>0</v>
      </c>
      <c r="R15083">
        <v>50</v>
      </c>
      <c r="S15083">
        <v>50</v>
      </c>
      <c r="T15083" t="s">
        <v>52281</v>
      </c>
    </row>
    <row r="15084" spans="1:20" customFormat="1" ht="15" x14ac:dyDescent="0.25">
      <c r="A15084" t="s">
        <v>35</v>
      </c>
      <c r="B15084" t="s">
        <v>61</v>
      </c>
      <c r="C15084" t="str">
        <f>"A0124089"</f>
        <v>A0124089</v>
      </c>
      <c r="D15084" t="s">
        <v>52282</v>
      </c>
      <c r="E15084" t="s">
        <v>52283</v>
      </c>
      <c r="F15084" t="s">
        <v>2670</v>
      </c>
      <c r="G15084" t="s">
        <v>880</v>
      </c>
      <c r="H15084">
        <v>37660</v>
      </c>
      <c r="I15084" t="s">
        <v>30</v>
      </c>
      <c r="J15084" t="s">
        <v>41</v>
      </c>
      <c r="K15084" t="s">
        <v>482</v>
      </c>
      <c r="Q15084">
        <v>0</v>
      </c>
      <c r="R15084">
        <v>45</v>
      </c>
      <c r="S15084">
        <v>45</v>
      </c>
      <c r="T15084" t="s">
        <v>52284</v>
      </c>
    </row>
    <row r="15085" spans="1:20" customFormat="1" ht="15" x14ac:dyDescent="0.25">
      <c r="A15085" t="s">
        <v>35</v>
      </c>
      <c r="B15085" t="s">
        <v>61</v>
      </c>
      <c r="C15085" t="str">
        <f>"A0118425"</f>
        <v>A0118425</v>
      </c>
      <c r="D15085" t="s">
        <v>52285</v>
      </c>
      <c r="E15085" t="s">
        <v>52286</v>
      </c>
      <c r="F15085" t="s">
        <v>37113</v>
      </c>
      <c r="G15085" t="s">
        <v>110</v>
      </c>
      <c r="H15085">
        <v>93405</v>
      </c>
      <c r="I15085" t="s">
        <v>30</v>
      </c>
      <c r="J15085" t="s">
        <v>41</v>
      </c>
      <c r="K15085" t="s">
        <v>59</v>
      </c>
      <c r="Q15085">
        <v>0</v>
      </c>
      <c r="R15085">
        <v>74</v>
      </c>
      <c r="S15085">
        <v>74</v>
      </c>
      <c r="T15085" t="s">
        <v>52287</v>
      </c>
    </row>
    <row r="15086" spans="1:20" customFormat="1" ht="15" x14ac:dyDescent="0.25">
      <c r="A15086" t="s">
        <v>35</v>
      </c>
      <c r="B15086" t="s">
        <v>61</v>
      </c>
      <c r="C15086" t="str">
        <f>"A0130389"</f>
        <v>A0130389</v>
      </c>
      <c r="D15086" t="s">
        <v>52288</v>
      </c>
      <c r="E15086" t="s">
        <v>52289</v>
      </c>
      <c r="F15086" t="s">
        <v>43792</v>
      </c>
      <c r="G15086" t="s">
        <v>1898</v>
      </c>
      <c r="H15086">
        <v>50263</v>
      </c>
      <c r="I15086" t="s">
        <v>30</v>
      </c>
      <c r="J15086" t="s">
        <v>41</v>
      </c>
      <c r="K15086" t="s">
        <v>229</v>
      </c>
      <c r="Q15086">
        <v>0</v>
      </c>
      <c r="R15086">
        <v>48</v>
      </c>
      <c r="S15086">
        <v>48</v>
      </c>
      <c r="T15086" t="s">
        <v>43793</v>
      </c>
    </row>
    <row r="15087" spans="1:20" customFormat="1" ht="15" x14ac:dyDescent="0.25">
      <c r="A15087" t="s">
        <v>35</v>
      </c>
      <c r="B15087" t="s">
        <v>61</v>
      </c>
      <c r="C15087" t="str">
        <f>"A0132601"</f>
        <v>A0132601</v>
      </c>
      <c r="D15087" t="s">
        <v>52290</v>
      </c>
      <c r="E15087" t="s">
        <v>52291</v>
      </c>
      <c r="F15087" t="s">
        <v>52292</v>
      </c>
      <c r="G15087" t="s">
        <v>65</v>
      </c>
      <c r="H15087">
        <v>443330000</v>
      </c>
      <c r="I15087" t="s">
        <v>30</v>
      </c>
      <c r="J15087" t="s">
        <v>41</v>
      </c>
      <c r="K15087" t="s">
        <v>229</v>
      </c>
      <c r="Q15087">
        <v>0</v>
      </c>
      <c r="R15087">
        <v>126</v>
      </c>
      <c r="S15087">
        <v>126</v>
      </c>
      <c r="T15087" t="s">
        <v>52293</v>
      </c>
    </row>
    <row r="15088" spans="1:20" customFormat="1" ht="15" x14ac:dyDescent="0.25">
      <c r="A15088" t="s">
        <v>35</v>
      </c>
      <c r="B15088" t="s">
        <v>61</v>
      </c>
      <c r="C15088" t="str">
        <f>"A0117793"</f>
        <v>A0117793</v>
      </c>
      <c r="D15088" t="s">
        <v>52294</v>
      </c>
      <c r="E15088" t="s">
        <v>52295</v>
      </c>
      <c r="F15088" t="s">
        <v>37113</v>
      </c>
      <c r="G15088" t="s">
        <v>110</v>
      </c>
      <c r="H15088">
        <v>93401</v>
      </c>
      <c r="I15088" t="s">
        <v>30</v>
      </c>
      <c r="J15088" t="s">
        <v>41</v>
      </c>
      <c r="K15088" t="s">
        <v>59</v>
      </c>
      <c r="Q15088">
        <v>0</v>
      </c>
      <c r="R15088">
        <v>54</v>
      </c>
      <c r="S15088">
        <v>54</v>
      </c>
      <c r="T15088" t="s">
        <v>52296</v>
      </c>
    </row>
    <row r="15089" spans="1:20" customFormat="1" ht="15" x14ac:dyDescent="0.25">
      <c r="A15089" t="s">
        <v>35</v>
      </c>
      <c r="B15089" t="s">
        <v>61</v>
      </c>
      <c r="C15089" t="str">
        <f>"A0123960"</f>
        <v>A0123960</v>
      </c>
      <c r="D15089" t="s">
        <v>52297</v>
      </c>
      <c r="E15089" t="s">
        <v>52298</v>
      </c>
      <c r="F15089" t="s">
        <v>4622</v>
      </c>
      <c r="G15089" t="s">
        <v>29</v>
      </c>
      <c r="H15089">
        <v>23851</v>
      </c>
      <c r="I15089" t="s">
        <v>30</v>
      </c>
      <c r="J15089" t="s">
        <v>41</v>
      </c>
      <c r="K15089" t="s">
        <v>482</v>
      </c>
      <c r="Q15089">
        <v>0</v>
      </c>
      <c r="R15089">
        <v>150</v>
      </c>
      <c r="S15089">
        <v>150</v>
      </c>
      <c r="T15089" t="s">
        <v>52299</v>
      </c>
    </row>
    <row r="15090" spans="1:20" customFormat="1" ht="15" x14ac:dyDescent="0.25">
      <c r="A15090" t="s">
        <v>35</v>
      </c>
      <c r="B15090" t="s">
        <v>61</v>
      </c>
      <c r="C15090" t="str">
        <f>"A0131461"</f>
        <v>A0131461</v>
      </c>
      <c r="D15090" t="s">
        <v>52300</v>
      </c>
      <c r="E15090" t="s">
        <v>52301</v>
      </c>
      <c r="F15090" t="s">
        <v>32846</v>
      </c>
      <c r="G15090" t="s">
        <v>137</v>
      </c>
      <c r="H15090">
        <v>63304</v>
      </c>
      <c r="I15090" t="s">
        <v>30</v>
      </c>
      <c r="J15090" t="s">
        <v>41</v>
      </c>
      <c r="K15090" t="s">
        <v>59</v>
      </c>
      <c r="Q15090">
        <v>0</v>
      </c>
      <c r="R15090">
        <v>22</v>
      </c>
      <c r="S15090">
        <v>22</v>
      </c>
      <c r="T15090" t="s">
        <v>52302</v>
      </c>
    </row>
    <row r="15091" spans="1:20" customFormat="1" ht="15" x14ac:dyDescent="0.25">
      <c r="A15091" t="s">
        <v>35</v>
      </c>
      <c r="B15091" t="s">
        <v>61</v>
      </c>
      <c r="C15091" t="str">
        <f>"A0151595"</f>
        <v>A0151595</v>
      </c>
      <c r="D15091" t="s">
        <v>52303</v>
      </c>
      <c r="E15091" t="s">
        <v>52304</v>
      </c>
      <c r="F15091" t="s">
        <v>20911</v>
      </c>
      <c r="G15091" t="s">
        <v>52</v>
      </c>
      <c r="H15091">
        <v>75093</v>
      </c>
      <c r="I15091" t="s">
        <v>30</v>
      </c>
      <c r="J15091" t="s">
        <v>41</v>
      </c>
      <c r="K15091" t="s">
        <v>59</v>
      </c>
      <c r="Q15091">
        <v>0</v>
      </c>
      <c r="R15091">
        <v>50</v>
      </c>
      <c r="S15091">
        <v>50</v>
      </c>
      <c r="T15091" t="s">
        <v>52305</v>
      </c>
    </row>
    <row r="15092" spans="1:20" customFormat="1" ht="15" x14ac:dyDescent="0.25">
      <c r="A15092" t="s">
        <v>35</v>
      </c>
      <c r="B15092" t="s">
        <v>61</v>
      </c>
      <c r="C15092" t="str">
        <f>"A0124881"</f>
        <v>A0124881</v>
      </c>
      <c r="D15092" t="s">
        <v>52306</v>
      </c>
      <c r="E15092" t="s">
        <v>52307</v>
      </c>
      <c r="F15092" t="s">
        <v>1747</v>
      </c>
      <c r="G15092" t="s">
        <v>214</v>
      </c>
      <c r="H15092">
        <v>28304</v>
      </c>
      <c r="I15092" t="s">
        <v>30</v>
      </c>
      <c r="J15092" t="s">
        <v>41</v>
      </c>
      <c r="K15092" t="s">
        <v>229</v>
      </c>
      <c r="Q15092">
        <v>0</v>
      </c>
      <c r="R15092">
        <v>170</v>
      </c>
      <c r="S15092">
        <v>170</v>
      </c>
      <c r="T15092" t="s">
        <v>52308</v>
      </c>
    </row>
    <row r="15093" spans="1:20" customFormat="1" ht="15" x14ac:dyDescent="0.25">
      <c r="A15093" t="s">
        <v>35</v>
      </c>
      <c r="B15093" t="s">
        <v>61</v>
      </c>
      <c r="C15093" t="str">
        <f>"A0153279"</f>
        <v>A0153279</v>
      </c>
      <c r="D15093" t="s">
        <v>52309</v>
      </c>
      <c r="E15093" t="s">
        <v>52310</v>
      </c>
      <c r="F15093" t="s">
        <v>44303</v>
      </c>
      <c r="G15093" t="s">
        <v>65</v>
      </c>
      <c r="H15093">
        <v>44140</v>
      </c>
      <c r="I15093" t="s">
        <v>30</v>
      </c>
      <c r="J15093" t="s">
        <v>41</v>
      </c>
      <c r="K15093" t="s">
        <v>2760</v>
      </c>
      <c r="Q15093">
        <v>0</v>
      </c>
      <c r="R15093">
        <v>0</v>
      </c>
      <c r="S15093">
        <v>0</v>
      </c>
      <c r="T15093" t="s">
        <v>52311</v>
      </c>
    </row>
    <row r="15094" spans="1:20" customFormat="1" ht="15" x14ac:dyDescent="0.25">
      <c r="A15094" t="s">
        <v>35</v>
      </c>
      <c r="B15094" t="s">
        <v>61</v>
      </c>
      <c r="C15094" t="str">
        <f>"A0128440"</f>
        <v>A0128440</v>
      </c>
      <c r="D15094" t="s">
        <v>52312</v>
      </c>
      <c r="E15094" t="s">
        <v>52313</v>
      </c>
      <c r="F15094" t="s">
        <v>1731</v>
      </c>
      <c r="G15094" t="s">
        <v>52</v>
      </c>
      <c r="H15094">
        <v>75238</v>
      </c>
      <c r="I15094" t="s">
        <v>30</v>
      </c>
      <c r="J15094" t="s">
        <v>41</v>
      </c>
      <c r="K15094" t="s">
        <v>229</v>
      </c>
      <c r="Q15094">
        <v>0</v>
      </c>
      <c r="R15094">
        <v>120</v>
      </c>
      <c r="S15094">
        <v>120</v>
      </c>
      <c r="T15094" t="s">
        <v>52314</v>
      </c>
    </row>
    <row r="15095" spans="1:20" customFormat="1" ht="15" x14ac:dyDescent="0.25">
      <c r="A15095" t="s">
        <v>35</v>
      </c>
      <c r="B15095" t="s">
        <v>61</v>
      </c>
      <c r="C15095" t="str">
        <f>"A0128101"</f>
        <v>A0128101</v>
      </c>
      <c r="D15095" t="s">
        <v>52315</v>
      </c>
      <c r="E15095" t="s">
        <v>52316</v>
      </c>
      <c r="F15095" t="s">
        <v>52317</v>
      </c>
      <c r="G15095" t="s">
        <v>117</v>
      </c>
      <c r="H15095">
        <v>48446</v>
      </c>
      <c r="I15095" t="s">
        <v>30</v>
      </c>
      <c r="J15095" t="s">
        <v>41</v>
      </c>
      <c r="K15095" t="s">
        <v>229</v>
      </c>
      <c r="Q15095">
        <v>0</v>
      </c>
      <c r="R15095">
        <v>87</v>
      </c>
      <c r="S15095">
        <v>87</v>
      </c>
      <c r="T15095" t="s">
        <v>52318</v>
      </c>
    </row>
    <row r="15096" spans="1:20" customFormat="1" ht="15" x14ac:dyDescent="0.25">
      <c r="A15096" t="s">
        <v>35</v>
      </c>
      <c r="B15096" t="s">
        <v>61</v>
      </c>
      <c r="C15096" t="str">
        <f>"A0128431"</f>
        <v>A0128431</v>
      </c>
      <c r="D15096" t="s">
        <v>52319</v>
      </c>
      <c r="E15096" t="s">
        <v>52320</v>
      </c>
      <c r="F15096" t="s">
        <v>2433</v>
      </c>
      <c r="G15096" t="s">
        <v>137</v>
      </c>
      <c r="H15096">
        <v>64057</v>
      </c>
      <c r="I15096" t="s">
        <v>30</v>
      </c>
      <c r="J15096" t="s">
        <v>41</v>
      </c>
      <c r="K15096" t="s">
        <v>229</v>
      </c>
      <c r="Q15096">
        <v>0</v>
      </c>
      <c r="R15096">
        <v>120</v>
      </c>
      <c r="S15096">
        <v>120</v>
      </c>
      <c r="T15096" t="s">
        <v>52321</v>
      </c>
    </row>
    <row r="15097" spans="1:20" customFormat="1" ht="15" x14ac:dyDescent="0.25">
      <c r="A15097" t="s">
        <v>35</v>
      </c>
      <c r="B15097" t="s">
        <v>106</v>
      </c>
      <c r="C15097" t="str">
        <f>"A0135916"</f>
        <v>A0135916</v>
      </c>
      <c r="D15097" t="s">
        <v>52322</v>
      </c>
      <c r="E15097" t="s">
        <v>52323</v>
      </c>
      <c r="F15097" t="s">
        <v>52324</v>
      </c>
      <c r="G15097" t="s">
        <v>103</v>
      </c>
      <c r="H15097">
        <v>19085</v>
      </c>
      <c r="I15097" t="s">
        <v>30</v>
      </c>
      <c r="J15097" t="s">
        <v>111</v>
      </c>
      <c r="K15097" t="s">
        <v>10012</v>
      </c>
      <c r="Q15097">
        <v>0</v>
      </c>
      <c r="R15097">
        <v>0</v>
      </c>
      <c r="S15097">
        <v>0</v>
      </c>
      <c r="T15097" t="s">
        <v>52325</v>
      </c>
    </row>
    <row r="15098" spans="1:20" customFormat="1" ht="15" x14ac:dyDescent="0.25">
      <c r="A15098" t="s">
        <v>35</v>
      </c>
      <c r="B15098" t="s">
        <v>106</v>
      </c>
      <c r="C15098" t="str">
        <f>"A0135915"</f>
        <v>A0135915</v>
      </c>
      <c r="D15098" t="s">
        <v>52326</v>
      </c>
      <c r="E15098" t="s">
        <v>52323</v>
      </c>
      <c r="F15098" t="s">
        <v>52324</v>
      </c>
      <c r="G15098" t="s">
        <v>103</v>
      </c>
      <c r="H15098">
        <v>19085</v>
      </c>
      <c r="I15098" t="s">
        <v>30</v>
      </c>
      <c r="J15098" t="s">
        <v>111</v>
      </c>
      <c r="K15098" t="s">
        <v>10012</v>
      </c>
      <c r="Q15098">
        <v>0</v>
      </c>
      <c r="R15098">
        <v>0</v>
      </c>
      <c r="S15098">
        <v>0</v>
      </c>
      <c r="T15098" t="s">
        <v>52325</v>
      </c>
    </row>
    <row r="15099" spans="1:20" customFormat="1" ht="15" x14ac:dyDescent="0.25">
      <c r="A15099" t="s">
        <v>35</v>
      </c>
      <c r="B15099" t="s">
        <v>61</v>
      </c>
      <c r="C15099" t="str">
        <f>"A0127603"</f>
        <v>A0127603</v>
      </c>
      <c r="D15099" t="s">
        <v>52327</v>
      </c>
      <c r="E15099" t="s">
        <v>52328</v>
      </c>
      <c r="F15099" t="s">
        <v>52329</v>
      </c>
      <c r="G15099" t="s">
        <v>123</v>
      </c>
      <c r="H15099">
        <v>21714</v>
      </c>
      <c r="I15099" t="s">
        <v>30</v>
      </c>
      <c r="J15099" t="s">
        <v>41</v>
      </c>
      <c r="K15099" t="s">
        <v>229</v>
      </c>
      <c r="Q15099">
        <v>0</v>
      </c>
      <c r="R15099">
        <v>64</v>
      </c>
      <c r="S15099">
        <v>64</v>
      </c>
      <c r="T15099" t="s">
        <v>52330</v>
      </c>
    </row>
    <row r="15100" spans="1:20" customFormat="1" ht="15" x14ac:dyDescent="0.25">
      <c r="A15100" t="s">
        <v>35</v>
      </c>
      <c r="B15100" t="s">
        <v>61</v>
      </c>
      <c r="C15100" t="str">
        <f>"A0152953"</f>
        <v>A0152953</v>
      </c>
      <c r="D15100" t="s">
        <v>52331</v>
      </c>
      <c r="E15100" t="s">
        <v>52332</v>
      </c>
      <c r="F15100" t="s">
        <v>33762</v>
      </c>
      <c r="G15100" t="s">
        <v>58</v>
      </c>
      <c r="H15100">
        <v>29910</v>
      </c>
      <c r="I15100" t="s">
        <v>30</v>
      </c>
      <c r="J15100" t="s">
        <v>41</v>
      </c>
      <c r="K15100" t="s">
        <v>59</v>
      </c>
      <c r="Q15100">
        <v>0</v>
      </c>
      <c r="R15100">
        <v>68</v>
      </c>
      <c r="S15100">
        <v>68</v>
      </c>
      <c r="T15100" t="s">
        <v>72</v>
      </c>
    </row>
    <row r="15101" spans="1:20" customFormat="1" ht="15" x14ac:dyDescent="0.25">
      <c r="A15101" t="s">
        <v>35</v>
      </c>
      <c r="B15101" t="s">
        <v>61</v>
      </c>
      <c r="C15101" t="str">
        <f>"A0152952"</f>
        <v>A0152952</v>
      </c>
      <c r="D15101" t="s">
        <v>52333</v>
      </c>
      <c r="E15101" t="s">
        <v>52334</v>
      </c>
      <c r="F15101" t="s">
        <v>1783</v>
      </c>
      <c r="G15101" t="s">
        <v>221</v>
      </c>
      <c r="H15101">
        <v>89052</v>
      </c>
      <c r="I15101" t="s">
        <v>30</v>
      </c>
      <c r="J15101" t="s">
        <v>41</v>
      </c>
      <c r="K15101" t="s">
        <v>59</v>
      </c>
      <c r="Q15101">
        <v>0</v>
      </c>
      <c r="R15101">
        <v>68</v>
      </c>
      <c r="S15101">
        <v>68</v>
      </c>
      <c r="T15101" t="s">
        <v>72</v>
      </c>
    </row>
    <row r="15102" spans="1:20" customFormat="1" ht="15" x14ac:dyDescent="0.25">
      <c r="A15102" t="s">
        <v>35</v>
      </c>
      <c r="B15102" t="s">
        <v>437</v>
      </c>
      <c r="C15102" t="str">
        <f>"A0134023"</f>
        <v>A0134023</v>
      </c>
      <c r="D15102" t="s">
        <v>52335</v>
      </c>
      <c r="E15102" t="s">
        <v>52336</v>
      </c>
      <c r="F15102" t="s">
        <v>23829</v>
      </c>
      <c r="G15102" t="s">
        <v>99</v>
      </c>
      <c r="H15102">
        <v>13550</v>
      </c>
      <c r="I15102" t="s">
        <v>30</v>
      </c>
      <c r="J15102" t="s">
        <v>441</v>
      </c>
      <c r="K15102" t="s">
        <v>442</v>
      </c>
      <c r="Q15102">
        <v>0</v>
      </c>
      <c r="R15102">
        <v>0</v>
      </c>
      <c r="S15102">
        <v>0</v>
      </c>
      <c r="T15102" t="s">
        <v>7662</v>
      </c>
    </row>
    <row r="15103" spans="1:20" customFormat="1" ht="15" x14ac:dyDescent="0.25">
      <c r="A15103" t="s">
        <v>35</v>
      </c>
      <c r="B15103" t="s">
        <v>61</v>
      </c>
      <c r="C15103" t="str">
        <f>"A0123963"</f>
        <v>A0123963</v>
      </c>
      <c r="D15103" t="s">
        <v>52337</v>
      </c>
      <c r="E15103" t="s">
        <v>52338</v>
      </c>
      <c r="F15103" t="s">
        <v>14879</v>
      </c>
      <c r="G15103" t="s">
        <v>29</v>
      </c>
      <c r="H15103">
        <v>22101</v>
      </c>
      <c r="I15103" t="s">
        <v>30</v>
      </c>
      <c r="J15103" t="s">
        <v>41</v>
      </c>
      <c r="K15103" t="s">
        <v>59</v>
      </c>
      <c r="Q15103">
        <v>0</v>
      </c>
      <c r="R15103">
        <v>178</v>
      </c>
      <c r="S15103">
        <v>178</v>
      </c>
      <c r="T15103" t="s">
        <v>52339</v>
      </c>
    </row>
    <row r="15104" spans="1:20" customFormat="1" ht="15" x14ac:dyDescent="0.25">
      <c r="A15104" t="s">
        <v>35</v>
      </c>
      <c r="B15104" t="s">
        <v>61</v>
      </c>
      <c r="C15104" t="str">
        <f>"A0118494"</f>
        <v>A0118494</v>
      </c>
      <c r="D15104" t="s">
        <v>52340</v>
      </c>
      <c r="E15104" t="s">
        <v>52341</v>
      </c>
      <c r="F15104" t="s">
        <v>6244</v>
      </c>
      <c r="G15104" t="s">
        <v>110</v>
      </c>
      <c r="H15104">
        <v>93727</v>
      </c>
      <c r="I15104" t="s">
        <v>30</v>
      </c>
      <c r="J15104" t="s">
        <v>41</v>
      </c>
      <c r="K15104" t="s">
        <v>59</v>
      </c>
      <c r="Q15104">
        <v>0</v>
      </c>
      <c r="R15104">
        <v>96</v>
      </c>
      <c r="S15104">
        <v>96</v>
      </c>
      <c r="T15104" t="s">
        <v>52342</v>
      </c>
    </row>
    <row r="15105" spans="1:20" customFormat="1" ht="15" x14ac:dyDescent="0.25">
      <c r="A15105" t="s">
        <v>35</v>
      </c>
      <c r="B15105" t="s">
        <v>61</v>
      </c>
      <c r="C15105" t="str">
        <f>"A0123964"</f>
        <v>A0123964</v>
      </c>
      <c r="D15105" t="s">
        <v>52343</v>
      </c>
      <c r="E15105" t="s">
        <v>52344</v>
      </c>
      <c r="F15105" t="s">
        <v>15431</v>
      </c>
      <c r="G15105" t="s">
        <v>103</v>
      </c>
      <c r="H15105">
        <v>17821</v>
      </c>
      <c r="I15105" t="s">
        <v>30</v>
      </c>
      <c r="J15105" t="s">
        <v>41</v>
      </c>
      <c r="K15105" t="s">
        <v>482</v>
      </c>
      <c r="Q15105">
        <v>0</v>
      </c>
      <c r="R15105">
        <v>56</v>
      </c>
      <c r="S15105">
        <v>56</v>
      </c>
      <c r="T15105" t="s">
        <v>52345</v>
      </c>
    </row>
    <row r="15106" spans="1:20" customFormat="1" ht="15" x14ac:dyDescent="0.25">
      <c r="A15106" t="s">
        <v>35</v>
      </c>
      <c r="B15106" t="s">
        <v>61</v>
      </c>
      <c r="C15106" t="str">
        <f>"A0123965"</f>
        <v>A0123965</v>
      </c>
      <c r="D15106" t="s">
        <v>52346</v>
      </c>
      <c r="E15106" t="s">
        <v>52347</v>
      </c>
      <c r="F15106" t="s">
        <v>38107</v>
      </c>
      <c r="G15106" t="s">
        <v>214</v>
      </c>
      <c r="H15106">
        <v>27802</v>
      </c>
      <c r="I15106" t="s">
        <v>30</v>
      </c>
      <c r="J15106" t="s">
        <v>41</v>
      </c>
      <c r="K15106" t="s">
        <v>482</v>
      </c>
      <c r="Q15106">
        <v>0</v>
      </c>
      <c r="R15106">
        <v>30</v>
      </c>
      <c r="S15106">
        <v>30</v>
      </c>
      <c r="T15106" t="s">
        <v>52348</v>
      </c>
    </row>
    <row r="15107" spans="1:20" customFormat="1" ht="15" x14ac:dyDescent="0.25">
      <c r="A15107" t="s">
        <v>35</v>
      </c>
      <c r="B15107" t="s">
        <v>61</v>
      </c>
      <c r="C15107" t="str">
        <f>"A0121949"</f>
        <v>A0121949</v>
      </c>
      <c r="D15107" t="s">
        <v>52349</v>
      </c>
      <c r="E15107" t="s">
        <v>52350</v>
      </c>
      <c r="F15107" t="s">
        <v>52351</v>
      </c>
      <c r="G15107" t="s">
        <v>110</v>
      </c>
      <c r="H15107">
        <v>92557</v>
      </c>
      <c r="I15107" t="s">
        <v>30</v>
      </c>
      <c r="J15107" t="s">
        <v>41</v>
      </c>
      <c r="K15107" t="s">
        <v>2463</v>
      </c>
      <c r="Q15107">
        <v>0</v>
      </c>
      <c r="R15107">
        <v>0</v>
      </c>
      <c r="S15107">
        <v>0</v>
      </c>
      <c r="T15107" t="s">
        <v>52352</v>
      </c>
    </row>
    <row r="15108" spans="1:20" customFormat="1" ht="15" x14ac:dyDescent="0.25">
      <c r="A15108" t="s">
        <v>35</v>
      </c>
      <c r="B15108" t="s">
        <v>61</v>
      </c>
      <c r="C15108" t="str">
        <f>"A0125979"</f>
        <v>A0125979</v>
      </c>
      <c r="D15108" t="s">
        <v>52353</v>
      </c>
      <c r="E15108" t="s">
        <v>52354</v>
      </c>
      <c r="F15108" t="s">
        <v>1795</v>
      </c>
      <c r="G15108" t="s">
        <v>29</v>
      </c>
      <c r="H15108">
        <v>23229</v>
      </c>
      <c r="I15108" t="s">
        <v>30</v>
      </c>
      <c r="J15108" t="s">
        <v>41</v>
      </c>
      <c r="K15108" t="s">
        <v>461</v>
      </c>
      <c r="Q15108">
        <v>0</v>
      </c>
      <c r="R15108">
        <v>0</v>
      </c>
      <c r="S15108">
        <v>0</v>
      </c>
      <c r="T15108" t="s">
        <v>52355</v>
      </c>
    </row>
    <row r="15109" spans="1:20" customFormat="1" ht="15" x14ac:dyDescent="0.25">
      <c r="A15109" t="s">
        <v>35</v>
      </c>
      <c r="B15109" t="s">
        <v>106</v>
      </c>
      <c r="C15109" t="str">
        <f>"A0136554"</f>
        <v>A0136554</v>
      </c>
      <c r="D15109" t="s">
        <v>52356</v>
      </c>
      <c r="E15109" t="s">
        <v>52357</v>
      </c>
      <c r="F15109" t="s">
        <v>1795</v>
      </c>
      <c r="G15109" t="s">
        <v>29</v>
      </c>
      <c r="H15109">
        <v>23298</v>
      </c>
      <c r="I15109" t="s">
        <v>30</v>
      </c>
      <c r="J15109" t="s">
        <v>111</v>
      </c>
      <c r="K15109" t="s">
        <v>112</v>
      </c>
      <c r="Q15109">
        <v>0</v>
      </c>
      <c r="R15109">
        <v>0</v>
      </c>
      <c r="S15109">
        <v>0</v>
      </c>
      <c r="T15109" t="s">
        <v>52358</v>
      </c>
    </row>
    <row r="15110" spans="1:20" customFormat="1" ht="15" x14ac:dyDescent="0.25">
      <c r="A15110" t="s">
        <v>35</v>
      </c>
      <c r="B15110" t="s">
        <v>61</v>
      </c>
      <c r="C15110" t="str">
        <f>"A0130155"</f>
        <v>A0130155</v>
      </c>
      <c r="D15110" t="s">
        <v>52359</v>
      </c>
      <c r="E15110" t="s">
        <v>52360</v>
      </c>
      <c r="F15110" t="s">
        <v>8674</v>
      </c>
      <c r="G15110" t="s">
        <v>1898</v>
      </c>
      <c r="H15110">
        <v>52349</v>
      </c>
      <c r="I15110" t="s">
        <v>30</v>
      </c>
      <c r="J15110" t="s">
        <v>41</v>
      </c>
      <c r="K15110" t="s">
        <v>3713</v>
      </c>
      <c r="Q15110">
        <v>0</v>
      </c>
      <c r="R15110">
        <v>74</v>
      </c>
      <c r="S15110">
        <v>74</v>
      </c>
      <c r="T15110" t="s">
        <v>52361</v>
      </c>
    </row>
    <row r="15111" spans="1:20" customFormat="1" ht="15" x14ac:dyDescent="0.25">
      <c r="A15111" t="s">
        <v>35</v>
      </c>
      <c r="B15111" t="s">
        <v>61</v>
      </c>
      <c r="C15111" t="str">
        <f>"A0123609"</f>
        <v>A0123609</v>
      </c>
      <c r="D15111" t="s">
        <v>52362</v>
      </c>
      <c r="E15111" t="s">
        <v>52363</v>
      </c>
      <c r="F15111" t="s">
        <v>1795</v>
      </c>
      <c r="G15111" t="s">
        <v>29</v>
      </c>
      <c r="H15111">
        <v>23227</v>
      </c>
      <c r="I15111" t="s">
        <v>30</v>
      </c>
      <c r="J15111" t="s">
        <v>41</v>
      </c>
      <c r="K15111" t="s">
        <v>59</v>
      </c>
      <c r="Q15111">
        <v>0</v>
      </c>
      <c r="R15111">
        <v>15</v>
      </c>
      <c r="S15111">
        <v>15</v>
      </c>
      <c r="T15111" t="s">
        <v>46495</v>
      </c>
    </row>
    <row r="15112" spans="1:20" customFormat="1" ht="15" x14ac:dyDescent="0.25">
      <c r="A15112" t="s">
        <v>35</v>
      </c>
      <c r="B15112" t="s">
        <v>106</v>
      </c>
      <c r="C15112" t="str">
        <f>"A0135972"</f>
        <v>A0135972</v>
      </c>
      <c r="D15112" t="s">
        <v>52364</v>
      </c>
      <c r="E15112" t="s">
        <v>52365</v>
      </c>
      <c r="F15112" t="s">
        <v>52366</v>
      </c>
      <c r="G15112" t="s">
        <v>29</v>
      </c>
      <c r="H15112">
        <v>24201</v>
      </c>
      <c r="I15112" t="s">
        <v>30</v>
      </c>
      <c r="J15112" t="s">
        <v>111</v>
      </c>
      <c r="K15112" t="s">
        <v>112</v>
      </c>
      <c r="Q15112">
        <v>0</v>
      </c>
      <c r="R15112">
        <v>0</v>
      </c>
      <c r="S15112">
        <v>0</v>
      </c>
      <c r="T15112" t="s">
        <v>52367</v>
      </c>
    </row>
    <row r="15113" spans="1:20" customFormat="1" ht="15" x14ac:dyDescent="0.25">
      <c r="A15113" t="s">
        <v>35</v>
      </c>
      <c r="B15113" t="s">
        <v>61</v>
      </c>
      <c r="C15113" t="str">
        <f>"A0125980"</f>
        <v>A0125980</v>
      </c>
      <c r="D15113" t="s">
        <v>52368</v>
      </c>
      <c r="E15113" t="s">
        <v>52369</v>
      </c>
      <c r="F15113" t="s">
        <v>1795</v>
      </c>
      <c r="G15113" t="s">
        <v>29</v>
      </c>
      <c r="H15113">
        <v>23233</v>
      </c>
      <c r="I15113" t="s">
        <v>30</v>
      </c>
      <c r="J15113" t="s">
        <v>41</v>
      </c>
      <c r="K15113" t="s">
        <v>10218</v>
      </c>
      <c r="Q15113">
        <v>0</v>
      </c>
      <c r="R15113">
        <v>0</v>
      </c>
      <c r="S15113">
        <v>0</v>
      </c>
      <c r="T15113" t="s">
        <v>52370</v>
      </c>
    </row>
    <row r="15114" spans="1:20" customFormat="1" ht="15" x14ac:dyDescent="0.25">
      <c r="A15114" t="s">
        <v>35</v>
      </c>
      <c r="B15114" t="s">
        <v>61</v>
      </c>
      <c r="C15114" t="str">
        <f>"A0124397"</f>
        <v>A0124397</v>
      </c>
      <c r="D15114" t="s">
        <v>52371</v>
      </c>
      <c r="E15114" t="s">
        <v>52372</v>
      </c>
      <c r="F15114" t="s">
        <v>1795</v>
      </c>
      <c r="G15114" t="s">
        <v>29</v>
      </c>
      <c r="H15114">
        <v>23226</v>
      </c>
      <c r="I15114" t="s">
        <v>30</v>
      </c>
      <c r="J15114" t="s">
        <v>41</v>
      </c>
      <c r="K15114" t="s">
        <v>11521</v>
      </c>
      <c r="Q15114">
        <v>0</v>
      </c>
      <c r="R15114">
        <v>0</v>
      </c>
      <c r="S15114">
        <v>0</v>
      </c>
      <c r="T15114" t="s">
        <v>52373</v>
      </c>
    </row>
    <row r="15115" spans="1:20" customFormat="1" ht="15" x14ac:dyDescent="0.25">
      <c r="A15115" t="s">
        <v>35</v>
      </c>
      <c r="B15115" t="s">
        <v>61</v>
      </c>
      <c r="C15115" t="str">
        <f>"A0123997"</f>
        <v>A0123997</v>
      </c>
      <c r="D15115" t="s">
        <v>52374</v>
      </c>
      <c r="E15115" t="s">
        <v>52375</v>
      </c>
      <c r="F15115" t="s">
        <v>4108</v>
      </c>
      <c r="G15115" t="s">
        <v>29</v>
      </c>
      <c r="H15115">
        <v>240170413</v>
      </c>
      <c r="I15115" t="s">
        <v>30</v>
      </c>
      <c r="J15115" t="s">
        <v>41</v>
      </c>
      <c r="K15115" t="s">
        <v>229</v>
      </c>
      <c r="Q15115">
        <v>0</v>
      </c>
      <c r="R15115">
        <v>240</v>
      </c>
      <c r="S15115">
        <v>240</v>
      </c>
      <c r="T15115" t="s">
        <v>52376</v>
      </c>
    </row>
    <row r="15116" spans="1:20" customFormat="1" ht="15" x14ac:dyDescent="0.25">
      <c r="A15116" t="s">
        <v>35</v>
      </c>
      <c r="B15116" t="s">
        <v>61</v>
      </c>
      <c r="C15116" t="str">
        <f>"A0125690"</f>
        <v>A0125690</v>
      </c>
      <c r="D15116" t="s">
        <v>52377</v>
      </c>
      <c r="E15116" t="s">
        <v>52378</v>
      </c>
      <c r="F15116" t="s">
        <v>4108</v>
      </c>
      <c r="G15116" t="s">
        <v>29</v>
      </c>
      <c r="H15116">
        <v>24036</v>
      </c>
      <c r="I15116" t="s">
        <v>30</v>
      </c>
      <c r="J15116" t="s">
        <v>41</v>
      </c>
      <c r="K15116" t="s">
        <v>59</v>
      </c>
      <c r="Q15116">
        <v>0</v>
      </c>
      <c r="R15116">
        <v>30</v>
      </c>
      <c r="S15116">
        <v>30</v>
      </c>
      <c r="T15116" t="s">
        <v>52379</v>
      </c>
    </row>
    <row r="15117" spans="1:20" customFormat="1" ht="15" x14ac:dyDescent="0.25">
      <c r="A15117" t="s">
        <v>35</v>
      </c>
      <c r="B15117" t="s">
        <v>61</v>
      </c>
      <c r="C15117" t="str">
        <f>"A0123998"</f>
        <v>A0123998</v>
      </c>
      <c r="D15117" t="s">
        <v>52380</v>
      </c>
      <c r="E15117" t="s">
        <v>52381</v>
      </c>
      <c r="F15117" t="s">
        <v>10523</v>
      </c>
      <c r="G15117" t="s">
        <v>81</v>
      </c>
      <c r="H15117">
        <v>34996</v>
      </c>
      <c r="I15117" t="s">
        <v>30</v>
      </c>
      <c r="J15117" t="s">
        <v>41</v>
      </c>
      <c r="K15117" t="s">
        <v>2463</v>
      </c>
      <c r="Q15117">
        <v>0</v>
      </c>
      <c r="R15117">
        <v>0</v>
      </c>
      <c r="S15117">
        <v>0</v>
      </c>
      <c r="T15117" t="s">
        <v>42351</v>
      </c>
    </row>
    <row r="15118" spans="1:20" customFormat="1" ht="15" x14ac:dyDescent="0.25">
      <c r="A15118" t="s">
        <v>35</v>
      </c>
      <c r="B15118" t="s">
        <v>61</v>
      </c>
      <c r="C15118" t="str">
        <f>"A0121853"</f>
        <v>A0121853</v>
      </c>
      <c r="D15118" t="s">
        <v>52382</v>
      </c>
      <c r="E15118" t="s">
        <v>52383</v>
      </c>
      <c r="F15118" t="s">
        <v>395</v>
      </c>
      <c r="G15118" t="s">
        <v>110</v>
      </c>
      <c r="H15118">
        <v>92084</v>
      </c>
      <c r="I15118" t="s">
        <v>30</v>
      </c>
      <c r="J15118" t="s">
        <v>41</v>
      </c>
      <c r="K15118" t="s">
        <v>59</v>
      </c>
      <c r="Q15118">
        <v>0</v>
      </c>
      <c r="R15118">
        <v>90</v>
      </c>
      <c r="S15118">
        <v>90</v>
      </c>
      <c r="T15118" t="s">
        <v>52384</v>
      </c>
    </row>
    <row r="15119" spans="1:20" customFormat="1" ht="15" x14ac:dyDescent="0.25">
      <c r="A15119" t="s">
        <v>35</v>
      </c>
      <c r="B15119" t="s">
        <v>61</v>
      </c>
      <c r="C15119" t="str">
        <f>"A0124398"</f>
        <v>A0124398</v>
      </c>
      <c r="D15119" t="s">
        <v>52385</v>
      </c>
      <c r="E15119" t="s">
        <v>52386</v>
      </c>
      <c r="F15119" t="s">
        <v>13113</v>
      </c>
      <c r="G15119" t="s">
        <v>289</v>
      </c>
      <c r="H15119">
        <v>60505</v>
      </c>
      <c r="I15119" t="s">
        <v>30</v>
      </c>
      <c r="J15119" t="s">
        <v>41</v>
      </c>
      <c r="K15119" t="s">
        <v>482</v>
      </c>
      <c r="Q15119">
        <v>0</v>
      </c>
      <c r="R15119">
        <v>120</v>
      </c>
      <c r="S15119">
        <v>120</v>
      </c>
      <c r="T15119" t="s">
        <v>52387</v>
      </c>
    </row>
    <row r="15120" spans="1:20" customFormat="1" ht="15" x14ac:dyDescent="0.25">
      <c r="A15120" t="s">
        <v>35</v>
      </c>
      <c r="B15120" t="s">
        <v>61</v>
      </c>
      <c r="C15120" t="str">
        <f>"A0129370"</f>
        <v>A0129370</v>
      </c>
      <c r="D15120" t="s">
        <v>52388</v>
      </c>
      <c r="E15120" t="s">
        <v>52389</v>
      </c>
      <c r="F15120" t="s">
        <v>13843</v>
      </c>
      <c r="G15120" t="s">
        <v>289</v>
      </c>
      <c r="H15120">
        <v>61401</v>
      </c>
      <c r="I15120" t="s">
        <v>30</v>
      </c>
      <c r="J15120" t="s">
        <v>41</v>
      </c>
      <c r="K15120" t="s">
        <v>2760</v>
      </c>
      <c r="Q15120">
        <v>0</v>
      </c>
      <c r="R15120">
        <v>0</v>
      </c>
      <c r="S15120">
        <v>0</v>
      </c>
      <c r="T15120" t="s">
        <v>52390</v>
      </c>
    </row>
    <row r="15121" spans="1:20" customFormat="1" ht="15" x14ac:dyDescent="0.25">
      <c r="A15121" t="s">
        <v>35</v>
      </c>
      <c r="B15121" t="s">
        <v>61</v>
      </c>
      <c r="C15121" t="str">
        <f>"A0129139"</f>
        <v>A0129139</v>
      </c>
      <c r="D15121" t="s">
        <v>52391</v>
      </c>
      <c r="E15121" t="s">
        <v>52392</v>
      </c>
      <c r="F15121" t="s">
        <v>46943</v>
      </c>
      <c r="G15121" t="s">
        <v>289</v>
      </c>
      <c r="H15121">
        <v>60178</v>
      </c>
      <c r="I15121" t="s">
        <v>30</v>
      </c>
      <c r="J15121" t="s">
        <v>41</v>
      </c>
      <c r="K15121" t="s">
        <v>2760</v>
      </c>
      <c r="Q15121">
        <v>0</v>
      </c>
      <c r="R15121">
        <v>50</v>
      </c>
      <c r="S15121">
        <v>50</v>
      </c>
      <c r="T15121" t="s">
        <v>52393</v>
      </c>
    </row>
    <row r="15122" spans="1:20" customFormat="1" ht="15" x14ac:dyDescent="0.25">
      <c r="A15122" t="s">
        <v>35</v>
      </c>
      <c r="B15122" t="s">
        <v>106</v>
      </c>
      <c r="C15122" t="str">
        <f>"A0136432"</f>
        <v>A0136432</v>
      </c>
      <c r="D15122" t="s">
        <v>52394</v>
      </c>
      <c r="E15122" t="s">
        <v>52395</v>
      </c>
      <c r="F15122" t="s">
        <v>7095</v>
      </c>
      <c r="G15122" t="s">
        <v>1170</v>
      </c>
      <c r="H15122">
        <v>70130</v>
      </c>
      <c r="I15122" t="s">
        <v>30</v>
      </c>
      <c r="J15122" t="s">
        <v>111</v>
      </c>
      <c r="K15122" t="s">
        <v>112</v>
      </c>
      <c r="Q15122">
        <v>0</v>
      </c>
      <c r="R15122">
        <v>0</v>
      </c>
      <c r="S15122">
        <v>0</v>
      </c>
      <c r="T15122" t="s">
        <v>52396</v>
      </c>
    </row>
    <row r="15123" spans="1:20" customFormat="1" ht="15" x14ac:dyDescent="0.25">
      <c r="A15123" t="s">
        <v>35</v>
      </c>
      <c r="B15123" t="s">
        <v>61</v>
      </c>
      <c r="C15123" t="str">
        <f>"A0124399"</f>
        <v>A0124399</v>
      </c>
      <c r="D15123" t="s">
        <v>52397</v>
      </c>
      <c r="E15123" t="s">
        <v>52398</v>
      </c>
      <c r="F15123" t="s">
        <v>5050</v>
      </c>
      <c r="G15123" t="s">
        <v>2391</v>
      </c>
      <c r="H15123">
        <v>5156</v>
      </c>
      <c r="I15123" t="s">
        <v>30</v>
      </c>
      <c r="J15123" t="s">
        <v>41</v>
      </c>
      <c r="K15123" t="s">
        <v>59</v>
      </c>
      <c r="Q15123">
        <v>0</v>
      </c>
      <c r="R15123">
        <v>24</v>
      </c>
      <c r="S15123">
        <v>24</v>
      </c>
      <c r="T15123" t="s">
        <v>52399</v>
      </c>
    </row>
    <row r="15124" spans="1:20" customFormat="1" ht="15" x14ac:dyDescent="0.25">
      <c r="A15124" t="s">
        <v>35</v>
      </c>
      <c r="B15124" t="s">
        <v>106</v>
      </c>
      <c r="C15124" t="str">
        <f>"A0135558"</f>
        <v>A0135558</v>
      </c>
      <c r="D15124" t="s">
        <v>52400</v>
      </c>
      <c r="E15124" t="s">
        <v>52179</v>
      </c>
      <c r="F15124" t="s">
        <v>1420</v>
      </c>
      <c r="G15124" t="s">
        <v>880</v>
      </c>
      <c r="H15124">
        <v>37203</v>
      </c>
      <c r="I15124" t="s">
        <v>30</v>
      </c>
      <c r="J15124" t="s">
        <v>111</v>
      </c>
      <c r="K15124" t="s">
        <v>10012</v>
      </c>
      <c r="Q15124">
        <v>0</v>
      </c>
      <c r="R15124">
        <v>0</v>
      </c>
      <c r="S15124">
        <v>0</v>
      </c>
      <c r="T15124" t="s">
        <v>52180</v>
      </c>
    </row>
    <row r="15125" spans="1:20" customFormat="1" ht="15" x14ac:dyDescent="0.25">
      <c r="A15125" t="s">
        <v>35</v>
      </c>
      <c r="B15125" t="s">
        <v>106</v>
      </c>
      <c r="C15125" t="str">
        <f>"A0135557"</f>
        <v>A0135557</v>
      </c>
      <c r="D15125" t="s">
        <v>52401</v>
      </c>
      <c r="E15125" t="s">
        <v>52179</v>
      </c>
      <c r="F15125" t="s">
        <v>1420</v>
      </c>
      <c r="G15125" t="s">
        <v>880</v>
      </c>
      <c r="H15125">
        <v>37203</v>
      </c>
      <c r="I15125" t="s">
        <v>30</v>
      </c>
      <c r="J15125" t="s">
        <v>111</v>
      </c>
      <c r="K15125" t="s">
        <v>10012</v>
      </c>
      <c r="Q15125">
        <v>0</v>
      </c>
      <c r="R15125">
        <v>0</v>
      </c>
      <c r="S15125">
        <v>0</v>
      </c>
      <c r="T15125" t="s">
        <v>52180</v>
      </c>
    </row>
    <row r="15126" spans="1:20" customFormat="1" ht="15" x14ac:dyDescent="0.25">
      <c r="A15126" t="s">
        <v>35</v>
      </c>
      <c r="B15126" t="s">
        <v>61</v>
      </c>
      <c r="C15126" t="str">
        <f>"A0124870"</f>
        <v>A0124870</v>
      </c>
      <c r="D15126" t="s">
        <v>52402</v>
      </c>
      <c r="E15126" t="s">
        <v>52403</v>
      </c>
      <c r="F15126" t="s">
        <v>38751</v>
      </c>
      <c r="G15126" t="s">
        <v>214</v>
      </c>
      <c r="H15126">
        <v>279090000</v>
      </c>
      <c r="I15126" t="s">
        <v>30</v>
      </c>
      <c r="J15126" t="s">
        <v>41</v>
      </c>
      <c r="K15126" t="s">
        <v>229</v>
      </c>
      <c r="Q15126">
        <v>0</v>
      </c>
      <c r="R15126">
        <v>1</v>
      </c>
      <c r="S15126">
        <v>1</v>
      </c>
      <c r="T15126" t="s">
        <v>52404</v>
      </c>
    </row>
    <row r="15127" spans="1:20" customFormat="1" ht="15" x14ac:dyDescent="0.25">
      <c r="A15127" t="s">
        <v>35</v>
      </c>
      <c r="B15127" t="s">
        <v>61</v>
      </c>
      <c r="C15127" t="str">
        <f>"A0123610"</f>
        <v>A0123610</v>
      </c>
      <c r="D15127" t="s">
        <v>52405</v>
      </c>
      <c r="E15127" t="s">
        <v>52406</v>
      </c>
      <c r="F15127" t="s">
        <v>1382</v>
      </c>
      <c r="G15127" t="s">
        <v>29</v>
      </c>
      <c r="H15127">
        <v>23601</v>
      </c>
      <c r="I15127" t="s">
        <v>30</v>
      </c>
      <c r="J15127" t="s">
        <v>41</v>
      </c>
      <c r="K15127" t="s">
        <v>10880</v>
      </c>
      <c r="Q15127">
        <v>0</v>
      </c>
      <c r="R15127">
        <v>0</v>
      </c>
      <c r="S15127">
        <v>0</v>
      </c>
      <c r="T15127" t="s">
        <v>52407</v>
      </c>
    </row>
    <row r="15128" spans="1:20" customFormat="1" ht="15" x14ac:dyDescent="0.25">
      <c r="A15128" t="s">
        <v>35</v>
      </c>
      <c r="B15128" t="s">
        <v>61</v>
      </c>
      <c r="C15128" t="str">
        <f>"A0123999"</f>
        <v>A0123999</v>
      </c>
      <c r="D15128" t="s">
        <v>52408</v>
      </c>
      <c r="E15128" t="s">
        <v>52409</v>
      </c>
      <c r="F15128" t="s">
        <v>38052</v>
      </c>
      <c r="G15128" t="s">
        <v>214</v>
      </c>
      <c r="H15128" t="s">
        <v>52410</v>
      </c>
      <c r="I15128" t="s">
        <v>30</v>
      </c>
      <c r="J15128" t="s">
        <v>41</v>
      </c>
      <c r="K15128" t="s">
        <v>59</v>
      </c>
      <c r="Q15128">
        <v>0</v>
      </c>
      <c r="R15128">
        <v>120</v>
      </c>
      <c r="S15128">
        <v>120</v>
      </c>
      <c r="T15128" t="s">
        <v>52411</v>
      </c>
    </row>
    <row r="15129" spans="1:20" customFormat="1" ht="15" x14ac:dyDescent="0.25">
      <c r="A15129" t="s">
        <v>35</v>
      </c>
      <c r="B15129" t="s">
        <v>61</v>
      </c>
      <c r="C15129" t="str">
        <f>"A0125343"</f>
        <v>A0125343</v>
      </c>
      <c r="D15129" t="s">
        <v>52412</v>
      </c>
      <c r="E15129" t="s">
        <v>52413</v>
      </c>
      <c r="F15129" t="s">
        <v>40607</v>
      </c>
      <c r="G15129" t="s">
        <v>40</v>
      </c>
      <c r="H15129">
        <v>74467</v>
      </c>
      <c r="I15129" t="s">
        <v>30</v>
      </c>
      <c r="J15129" t="s">
        <v>41</v>
      </c>
      <c r="K15129" t="s">
        <v>229</v>
      </c>
      <c r="Q15129">
        <v>0</v>
      </c>
      <c r="R15129">
        <v>117</v>
      </c>
      <c r="S15129">
        <v>117</v>
      </c>
      <c r="T15129" t="s">
        <v>52414</v>
      </c>
    </row>
    <row r="15130" spans="1:20" customFormat="1" ht="15" x14ac:dyDescent="0.25">
      <c r="A15130" t="s">
        <v>35</v>
      </c>
      <c r="B15130" t="s">
        <v>61</v>
      </c>
      <c r="C15130" t="str">
        <f>"A0129310"</f>
        <v>A0129310</v>
      </c>
      <c r="D15130" t="s">
        <v>52415</v>
      </c>
      <c r="E15130" t="s">
        <v>52416</v>
      </c>
      <c r="F15130" t="s">
        <v>25377</v>
      </c>
      <c r="G15130" t="s">
        <v>289</v>
      </c>
      <c r="H15130">
        <v>62691</v>
      </c>
      <c r="I15130" t="s">
        <v>30</v>
      </c>
      <c r="J15130" t="s">
        <v>41</v>
      </c>
      <c r="K15130" t="s">
        <v>229</v>
      </c>
      <c r="Q15130">
        <v>0</v>
      </c>
      <c r="R15130">
        <v>71</v>
      </c>
      <c r="S15130">
        <v>71</v>
      </c>
      <c r="T15130" t="s">
        <v>52417</v>
      </c>
    </row>
    <row r="15131" spans="1:20" customFormat="1" ht="15" x14ac:dyDescent="0.25">
      <c r="A15131" t="s">
        <v>35</v>
      </c>
      <c r="B15131" t="s">
        <v>61</v>
      </c>
      <c r="C15131" t="str">
        <f>"A0121957"</f>
        <v>A0121957</v>
      </c>
      <c r="D15131" t="s">
        <v>52418</v>
      </c>
      <c r="E15131" t="s">
        <v>52419</v>
      </c>
      <c r="F15131" t="s">
        <v>8047</v>
      </c>
      <c r="G15131" t="s">
        <v>110</v>
      </c>
      <c r="H15131">
        <v>94596</v>
      </c>
      <c r="I15131" t="s">
        <v>30</v>
      </c>
      <c r="J15131" t="s">
        <v>41</v>
      </c>
      <c r="K15131" t="s">
        <v>1032</v>
      </c>
      <c r="Q15131">
        <v>0</v>
      </c>
      <c r="R15131">
        <v>70</v>
      </c>
      <c r="S15131">
        <v>70</v>
      </c>
      <c r="T15131" t="s">
        <v>52420</v>
      </c>
    </row>
    <row r="15132" spans="1:20" customFormat="1" ht="15" x14ac:dyDescent="0.25">
      <c r="A15132" t="s">
        <v>35</v>
      </c>
      <c r="B15132" t="s">
        <v>61</v>
      </c>
      <c r="C15132" t="str">
        <f>"A0125163"</f>
        <v>A0125163</v>
      </c>
      <c r="D15132" t="s">
        <v>52421</v>
      </c>
      <c r="E15132" t="s">
        <v>52422</v>
      </c>
      <c r="F15132" t="s">
        <v>17740</v>
      </c>
      <c r="G15132" t="s">
        <v>40</v>
      </c>
      <c r="H15132">
        <v>745020000</v>
      </c>
      <c r="I15132" t="s">
        <v>30</v>
      </c>
      <c r="J15132" t="s">
        <v>41</v>
      </c>
      <c r="K15132" t="s">
        <v>229</v>
      </c>
      <c r="Q15132">
        <v>0</v>
      </c>
      <c r="R15132">
        <v>80</v>
      </c>
      <c r="S15132">
        <v>80</v>
      </c>
      <c r="T15132" t="s">
        <v>52423</v>
      </c>
    </row>
    <row r="15133" spans="1:20" customFormat="1" ht="15" x14ac:dyDescent="0.25">
      <c r="A15133" t="s">
        <v>35</v>
      </c>
      <c r="B15133" t="s">
        <v>61</v>
      </c>
      <c r="C15133" t="str">
        <f>"A0124000"</f>
        <v>A0124000</v>
      </c>
      <c r="D15133" t="s">
        <v>52424</v>
      </c>
      <c r="E15133" t="s">
        <v>52425</v>
      </c>
      <c r="F15133" t="s">
        <v>24124</v>
      </c>
      <c r="G15133" t="s">
        <v>29</v>
      </c>
      <c r="H15133">
        <v>23805</v>
      </c>
      <c r="I15133" t="s">
        <v>30</v>
      </c>
      <c r="J15133" t="s">
        <v>41</v>
      </c>
      <c r="K15133" t="s">
        <v>229</v>
      </c>
      <c r="Q15133">
        <v>0</v>
      </c>
      <c r="R15133">
        <v>120</v>
      </c>
      <c r="S15133">
        <v>120</v>
      </c>
      <c r="T15133" t="s">
        <v>52426</v>
      </c>
    </row>
    <row r="15134" spans="1:20" customFormat="1" ht="15" x14ac:dyDescent="0.25">
      <c r="A15134" t="s">
        <v>35</v>
      </c>
      <c r="B15134" t="s">
        <v>61</v>
      </c>
      <c r="C15134" t="str">
        <f>"A0150856"</f>
        <v>A0150856</v>
      </c>
      <c r="D15134" t="s">
        <v>52427</v>
      </c>
      <c r="E15134" t="s">
        <v>52428</v>
      </c>
      <c r="F15134" t="s">
        <v>16381</v>
      </c>
      <c r="G15134" t="s">
        <v>117</v>
      </c>
      <c r="H15134">
        <v>49285</v>
      </c>
      <c r="I15134" t="s">
        <v>30</v>
      </c>
      <c r="J15134" t="s">
        <v>41</v>
      </c>
      <c r="K15134" t="s">
        <v>59</v>
      </c>
      <c r="Q15134">
        <v>0</v>
      </c>
      <c r="R15134">
        <v>20</v>
      </c>
      <c r="S15134">
        <v>20</v>
      </c>
      <c r="T15134" t="s">
        <v>52429</v>
      </c>
    </row>
    <row r="15135" spans="1:20" customFormat="1" ht="15" x14ac:dyDescent="0.25">
      <c r="A15135" t="s">
        <v>35</v>
      </c>
      <c r="B15135" t="s">
        <v>61</v>
      </c>
      <c r="C15135" t="str">
        <f>"A0131324"</f>
        <v>A0131324</v>
      </c>
      <c r="D15135" t="s">
        <v>52430</v>
      </c>
      <c r="E15135" t="s">
        <v>52431</v>
      </c>
      <c r="F15135" t="s">
        <v>17040</v>
      </c>
      <c r="G15135" t="s">
        <v>137</v>
      </c>
      <c r="H15135">
        <v>639650000</v>
      </c>
      <c r="I15135" t="s">
        <v>30</v>
      </c>
      <c r="J15135" t="s">
        <v>41</v>
      </c>
      <c r="K15135" t="s">
        <v>229</v>
      </c>
      <c r="Q15135">
        <v>0</v>
      </c>
      <c r="R15135">
        <v>39</v>
      </c>
      <c r="S15135">
        <v>39</v>
      </c>
      <c r="T15135" t="s">
        <v>52432</v>
      </c>
    </row>
    <row r="15136" spans="1:20" customFormat="1" ht="15" x14ac:dyDescent="0.25">
      <c r="A15136" t="s">
        <v>35</v>
      </c>
      <c r="B15136" t="s">
        <v>61</v>
      </c>
      <c r="C15136" t="str">
        <f>"A0118050"</f>
        <v>A0118050</v>
      </c>
      <c r="D15136" t="s">
        <v>52433</v>
      </c>
      <c r="E15136" t="s">
        <v>52434</v>
      </c>
      <c r="F15136" t="s">
        <v>52435</v>
      </c>
      <c r="G15136" t="s">
        <v>190</v>
      </c>
      <c r="H15136">
        <v>81090</v>
      </c>
      <c r="I15136" t="s">
        <v>30</v>
      </c>
      <c r="J15136" t="s">
        <v>41</v>
      </c>
      <c r="K15136" t="s">
        <v>229</v>
      </c>
      <c r="Q15136">
        <v>0</v>
      </c>
      <c r="R15136">
        <v>25</v>
      </c>
      <c r="S15136">
        <v>25</v>
      </c>
      <c r="T15136" t="s">
        <v>52436</v>
      </c>
    </row>
    <row r="15137" spans="1:20" customFormat="1" ht="15" x14ac:dyDescent="0.25">
      <c r="A15137" t="s">
        <v>35</v>
      </c>
      <c r="B15137" t="s">
        <v>106</v>
      </c>
      <c r="C15137" t="str">
        <f>"A0150758"</f>
        <v>A0150758</v>
      </c>
      <c r="D15137" t="s">
        <v>52437</v>
      </c>
      <c r="E15137" t="s">
        <v>52438</v>
      </c>
      <c r="F15137" t="s">
        <v>26305</v>
      </c>
      <c r="G15137" t="s">
        <v>880</v>
      </c>
      <c r="H15137">
        <v>37813</v>
      </c>
      <c r="I15137" t="s">
        <v>30</v>
      </c>
      <c r="J15137" t="s">
        <v>111</v>
      </c>
      <c r="K15137" t="s">
        <v>112</v>
      </c>
      <c r="Q15137">
        <v>0</v>
      </c>
      <c r="R15137">
        <v>0</v>
      </c>
      <c r="S15137">
        <v>0</v>
      </c>
      <c r="T15137" t="s">
        <v>52439</v>
      </c>
    </row>
    <row r="15138" spans="1:20" customFormat="1" ht="15" x14ac:dyDescent="0.25">
      <c r="A15138" t="s">
        <v>35</v>
      </c>
      <c r="B15138" t="s">
        <v>61</v>
      </c>
      <c r="C15138" t="str">
        <f>"A0124001"</f>
        <v>A0124001</v>
      </c>
      <c r="D15138" t="s">
        <v>52440</v>
      </c>
      <c r="E15138" t="s">
        <v>52441</v>
      </c>
      <c r="F15138" t="s">
        <v>52442</v>
      </c>
      <c r="G15138" t="s">
        <v>81</v>
      </c>
      <c r="H15138">
        <v>34689</v>
      </c>
      <c r="I15138" t="s">
        <v>30</v>
      </c>
      <c r="J15138" t="s">
        <v>41</v>
      </c>
      <c r="K15138" t="s">
        <v>482</v>
      </c>
      <c r="Q15138">
        <v>0</v>
      </c>
      <c r="R15138">
        <v>80</v>
      </c>
      <c r="S15138">
        <v>80</v>
      </c>
      <c r="T15138" t="s">
        <v>52443</v>
      </c>
    </row>
    <row r="15139" spans="1:20" customFormat="1" ht="15" x14ac:dyDescent="0.25">
      <c r="A15139" t="s">
        <v>35</v>
      </c>
      <c r="B15139" t="s">
        <v>61</v>
      </c>
      <c r="C15139" t="str">
        <f>"A0124406"</f>
        <v>A0124406</v>
      </c>
      <c r="D15139" t="s">
        <v>52444</v>
      </c>
      <c r="E15139" t="s">
        <v>52445</v>
      </c>
      <c r="F15139" t="s">
        <v>1926</v>
      </c>
      <c r="G15139" t="s">
        <v>214</v>
      </c>
      <c r="H15139">
        <v>28211</v>
      </c>
      <c r="I15139" t="s">
        <v>30</v>
      </c>
      <c r="J15139" t="s">
        <v>41</v>
      </c>
      <c r="K15139" t="s">
        <v>482</v>
      </c>
      <c r="Q15139">
        <v>0</v>
      </c>
      <c r="R15139">
        <v>120</v>
      </c>
      <c r="S15139">
        <v>120</v>
      </c>
      <c r="T15139" t="s">
        <v>52446</v>
      </c>
    </row>
    <row r="15140" spans="1:20" customFormat="1" ht="15" x14ac:dyDescent="0.25">
      <c r="A15140" t="s">
        <v>35</v>
      </c>
      <c r="B15140" t="s">
        <v>437</v>
      </c>
      <c r="C15140" t="str">
        <f>"A0133885"</f>
        <v>A0133885</v>
      </c>
      <c r="D15140" t="s">
        <v>52447</v>
      </c>
      <c r="E15140" t="s">
        <v>4684</v>
      </c>
      <c r="F15140" t="s">
        <v>52448</v>
      </c>
      <c r="G15140" t="s">
        <v>110</v>
      </c>
      <c r="H15140">
        <v>907400000</v>
      </c>
      <c r="I15140" t="s">
        <v>30</v>
      </c>
      <c r="J15140" t="s">
        <v>441</v>
      </c>
      <c r="K15140" t="s">
        <v>442</v>
      </c>
      <c r="Q15140">
        <v>0</v>
      </c>
      <c r="R15140">
        <v>0</v>
      </c>
      <c r="S15140">
        <v>0</v>
      </c>
      <c r="T15140" t="s">
        <v>52449</v>
      </c>
    </row>
    <row r="15141" spans="1:20" customFormat="1" ht="15" x14ac:dyDescent="0.25">
      <c r="A15141" t="s">
        <v>35</v>
      </c>
      <c r="B15141" t="s">
        <v>61</v>
      </c>
      <c r="C15141" t="str">
        <f>"A0122694"</f>
        <v>A0122694</v>
      </c>
      <c r="D15141" t="s">
        <v>17793</v>
      </c>
      <c r="E15141" t="s">
        <v>11612</v>
      </c>
      <c r="F15141" t="s">
        <v>11613</v>
      </c>
      <c r="G15141" t="s">
        <v>76</v>
      </c>
      <c r="H15141">
        <v>98299</v>
      </c>
      <c r="I15141" t="s">
        <v>30</v>
      </c>
      <c r="J15141" t="s">
        <v>41</v>
      </c>
      <c r="K15141" t="s">
        <v>1440</v>
      </c>
      <c r="Q15141">
        <v>0</v>
      </c>
      <c r="R15141">
        <v>290</v>
      </c>
      <c r="S15141">
        <v>290</v>
      </c>
      <c r="T15141" t="s">
        <v>11614</v>
      </c>
    </row>
    <row r="15142" spans="1:20" customFormat="1" ht="15" x14ac:dyDescent="0.25">
      <c r="A15142" t="s">
        <v>35</v>
      </c>
      <c r="B15142" t="s">
        <v>61</v>
      </c>
      <c r="C15142" t="str">
        <f>"A0125695"</f>
        <v>A0125695</v>
      </c>
      <c r="D15142" t="s">
        <v>52450</v>
      </c>
      <c r="E15142" t="s">
        <v>52451</v>
      </c>
      <c r="F15142" t="s">
        <v>12375</v>
      </c>
      <c r="G15142" t="s">
        <v>29</v>
      </c>
      <c r="H15142">
        <v>24060</v>
      </c>
      <c r="I15142" t="s">
        <v>30</v>
      </c>
      <c r="J15142" t="s">
        <v>41</v>
      </c>
      <c r="K15142" t="s">
        <v>1440</v>
      </c>
      <c r="Q15142">
        <v>0</v>
      </c>
      <c r="R15142">
        <v>120</v>
      </c>
      <c r="S15142">
        <v>120</v>
      </c>
      <c r="T15142" t="s">
        <v>52452</v>
      </c>
    </row>
    <row r="15143" spans="1:20" customFormat="1" ht="15" x14ac:dyDescent="0.25">
      <c r="A15143" t="s">
        <v>35</v>
      </c>
      <c r="B15143" t="s">
        <v>61</v>
      </c>
      <c r="C15143" t="str">
        <f>"A0123554"</f>
        <v>A0123554</v>
      </c>
      <c r="D15143" t="s">
        <v>52453</v>
      </c>
      <c r="E15143" t="s">
        <v>52454</v>
      </c>
      <c r="F15143" t="s">
        <v>12375</v>
      </c>
      <c r="G15143" t="s">
        <v>29</v>
      </c>
      <c r="H15143">
        <v>24060</v>
      </c>
      <c r="I15143" t="s">
        <v>30</v>
      </c>
      <c r="J15143" t="s">
        <v>41</v>
      </c>
      <c r="K15143" t="s">
        <v>59</v>
      </c>
      <c r="Q15143">
        <v>0</v>
      </c>
      <c r="R15143">
        <v>180</v>
      </c>
      <c r="S15143">
        <v>180</v>
      </c>
      <c r="T15143" t="s">
        <v>52455</v>
      </c>
    </row>
    <row r="15144" spans="1:20" customFormat="1" ht="15" x14ac:dyDescent="0.25">
      <c r="A15144" t="s">
        <v>35</v>
      </c>
      <c r="B15144" t="s">
        <v>61</v>
      </c>
      <c r="C15144" t="str">
        <f>"A0124409"</f>
        <v>A0124409</v>
      </c>
      <c r="D15144" t="s">
        <v>52456</v>
      </c>
      <c r="E15144" t="s">
        <v>52457</v>
      </c>
      <c r="F15144" t="s">
        <v>288</v>
      </c>
      <c r="G15144" t="s">
        <v>289</v>
      </c>
      <c r="H15144">
        <v>606107325</v>
      </c>
      <c r="I15144" t="s">
        <v>30</v>
      </c>
      <c r="J15144" t="s">
        <v>41</v>
      </c>
      <c r="K15144" t="s">
        <v>229</v>
      </c>
      <c r="Q15144">
        <v>0</v>
      </c>
      <c r="R15144">
        <v>134</v>
      </c>
      <c r="S15144">
        <v>134</v>
      </c>
      <c r="T15144" t="s">
        <v>52458</v>
      </c>
    </row>
    <row r="15145" spans="1:20" customFormat="1" ht="15" x14ac:dyDescent="0.25">
      <c r="A15145" t="s">
        <v>35</v>
      </c>
      <c r="B15145" t="s">
        <v>61</v>
      </c>
      <c r="C15145" t="str">
        <f>"A0124410"</f>
        <v>A0124410</v>
      </c>
      <c r="D15145" t="s">
        <v>52459</v>
      </c>
      <c r="E15145" t="s">
        <v>52460</v>
      </c>
      <c r="F15145" t="s">
        <v>22621</v>
      </c>
      <c r="G15145" t="s">
        <v>289</v>
      </c>
      <c r="H15145">
        <v>60035</v>
      </c>
      <c r="I15145" t="s">
        <v>30</v>
      </c>
      <c r="J15145" t="s">
        <v>41</v>
      </c>
      <c r="K15145" t="s">
        <v>229</v>
      </c>
      <c r="Q15145">
        <v>0</v>
      </c>
      <c r="R15145">
        <v>215</v>
      </c>
      <c r="S15145">
        <v>215</v>
      </c>
      <c r="T15145" t="s">
        <v>52461</v>
      </c>
    </row>
    <row r="15146" spans="1:20" customFormat="1" ht="15" x14ac:dyDescent="0.25">
      <c r="A15146" t="s">
        <v>35</v>
      </c>
      <c r="B15146" t="s">
        <v>61</v>
      </c>
      <c r="C15146" t="str">
        <f>"A0124411"</f>
        <v>A0124411</v>
      </c>
      <c r="D15146" t="s">
        <v>52462</v>
      </c>
      <c r="E15146" t="s">
        <v>52463</v>
      </c>
      <c r="F15146" t="s">
        <v>288</v>
      </c>
      <c r="G15146" t="s">
        <v>289</v>
      </c>
      <c r="H15146">
        <v>60616</v>
      </c>
      <c r="I15146" t="s">
        <v>30</v>
      </c>
      <c r="J15146" t="s">
        <v>41</v>
      </c>
      <c r="K15146" t="s">
        <v>229</v>
      </c>
      <c r="Q15146">
        <v>0</v>
      </c>
      <c r="R15146">
        <v>180</v>
      </c>
      <c r="S15146">
        <v>180</v>
      </c>
      <c r="T15146" t="s">
        <v>52464</v>
      </c>
    </row>
    <row r="15147" spans="1:20" customFormat="1" ht="15" x14ac:dyDescent="0.25">
      <c r="A15147" t="s">
        <v>35</v>
      </c>
      <c r="B15147" t="s">
        <v>61</v>
      </c>
      <c r="C15147" t="str">
        <f>"A0123611"</f>
        <v>A0123611</v>
      </c>
      <c r="D15147" t="s">
        <v>52465</v>
      </c>
      <c r="E15147" t="s">
        <v>52466</v>
      </c>
      <c r="F15147" t="s">
        <v>2756</v>
      </c>
      <c r="G15147" t="s">
        <v>214</v>
      </c>
      <c r="H15147">
        <v>27589</v>
      </c>
      <c r="I15147" t="s">
        <v>30</v>
      </c>
      <c r="J15147" t="s">
        <v>41</v>
      </c>
      <c r="K15147" t="s">
        <v>229</v>
      </c>
      <c r="Q15147">
        <v>0</v>
      </c>
      <c r="R15147">
        <v>114</v>
      </c>
      <c r="S15147">
        <v>114</v>
      </c>
      <c r="T15147" t="s">
        <v>52467</v>
      </c>
    </row>
    <row r="15148" spans="1:20" customFormat="1" ht="15" x14ac:dyDescent="0.25">
      <c r="A15148" t="s">
        <v>35</v>
      </c>
      <c r="B15148" t="s">
        <v>61</v>
      </c>
      <c r="C15148" t="str">
        <f>"A0130947"</f>
        <v>A0130947</v>
      </c>
      <c r="D15148" t="s">
        <v>52468</v>
      </c>
      <c r="E15148" t="s">
        <v>52469</v>
      </c>
      <c r="F15148" t="s">
        <v>460</v>
      </c>
      <c r="G15148" t="s">
        <v>85</v>
      </c>
      <c r="H15148">
        <v>716710000</v>
      </c>
      <c r="I15148" t="s">
        <v>30</v>
      </c>
      <c r="J15148" t="s">
        <v>41</v>
      </c>
      <c r="K15148" t="s">
        <v>2760</v>
      </c>
      <c r="Q15148">
        <v>0</v>
      </c>
      <c r="R15148">
        <v>1</v>
      </c>
      <c r="S15148">
        <v>1</v>
      </c>
      <c r="T15148" t="s">
        <v>52470</v>
      </c>
    </row>
    <row r="15149" spans="1:20" customFormat="1" ht="15" x14ac:dyDescent="0.25">
      <c r="A15149" t="s">
        <v>35</v>
      </c>
      <c r="B15149" t="s">
        <v>61</v>
      </c>
      <c r="C15149" t="str">
        <f>"A0123332"</f>
        <v>A0123332</v>
      </c>
      <c r="D15149" t="s">
        <v>52471</v>
      </c>
      <c r="E15149" t="s">
        <v>52472</v>
      </c>
      <c r="F15149" t="s">
        <v>11963</v>
      </c>
      <c r="G15149" t="s">
        <v>214</v>
      </c>
      <c r="H15149">
        <v>28398</v>
      </c>
      <c r="I15149" t="s">
        <v>30</v>
      </c>
      <c r="J15149" t="s">
        <v>41</v>
      </c>
      <c r="K15149" t="s">
        <v>59</v>
      </c>
      <c r="Q15149">
        <v>0</v>
      </c>
      <c r="R15149">
        <v>100</v>
      </c>
      <c r="S15149">
        <v>100</v>
      </c>
      <c r="T15149" t="s">
        <v>52473</v>
      </c>
    </row>
    <row r="15150" spans="1:20" customFormat="1" ht="15" x14ac:dyDescent="0.25">
      <c r="A15150" t="s">
        <v>35</v>
      </c>
      <c r="B15150" t="s">
        <v>61</v>
      </c>
      <c r="C15150" t="str">
        <f>"A0123612"</f>
        <v>A0123612</v>
      </c>
      <c r="D15150" t="s">
        <v>52474</v>
      </c>
      <c r="E15150" t="s">
        <v>52475</v>
      </c>
      <c r="F15150" t="s">
        <v>11963</v>
      </c>
      <c r="G15150" t="s">
        <v>29</v>
      </c>
      <c r="H15150">
        <v>22572</v>
      </c>
      <c r="I15150" t="s">
        <v>30</v>
      </c>
      <c r="J15150" t="s">
        <v>41</v>
      </c>
      <c r="K15150" t="s">
        <v>229</v>
      </c>
      <c r="Q15150">
        <v>0</v>
      </c>
      <c r="R15150">
        <v>180</v>
      </c>
      <c r="S15150">
        <v>180</v>
      </c>
      <c r="T15150" t="s">
        <v>52476</v>
      </c>
    </row>
    <row r="15151" spans="1:20" customFormat="1" ht="15" x14ac:dyDescent="0.25">
      <c r="A15151" t="s">
        <v>35</v>
      </c>
      <c r="B15151" t="s">
        <v>106</v>
      </c>
      <c r="C15151" t="str">
        <f>"A0135692"</f>
        <v>A0135692</v>
      </c>
      <c r="D15151" t="s">
        <v>52477</v>
      </c>
      <c r="E15151" t="s">
        <v>52478</v>
      </c>
      <c r="F15151" t="s">
        <v>3645</v>
      </c>
      <c r="G15151" t="s">
        <v>197</v>
      </c>
      <c r="H15151">
        <v>852545185</v>
      </c>
      <c r="I15151" t="s">
        <v>30</v>
      </c>
      <c r="J15151" t="s">
        <v>111</v>
      </c>
      <c r="K15151" t="s">
        <v>112</v>
      </c>
      <c r="Q15151">
        <v>0</v>
      </c>
      <c r="R15151">
        <v>0</v>
      </c>
      <c r="S15151">
        <v>0</v>
      </c>
    </row>
    <row r="15152" spans="1:20" customFormat="1" ht="15" x14ac:dyDescent="0.25">
      <c r="A15152" t="s">
        <v>35</v>
      </c>
      <c r="B15152" t="s">
        <v>61</v>
      </c>
      <c r="C15152" t="str">
        <f>"A0122652"</f>
        <v>A0122652</v>
      </c>
      <c r="D15152" t="s">
        <v>52479</v>
      </c>
      <c r="E15152" t="s">
        <v>52480</v>
      </c>
      <c r="F15152" t="s">
        <v>1444</v>
      </c>
      <c r="G15152" t="s">
        <v>76</v>
      </c>
      <c r="H15152">
        <v>98144</v>
      </c>
      <c r="I15152" t="s">
        <v>30</v>
      </c>
      <c r="J15152" t="s">
        <v>41</v>
      </c>
      <c r="K15152" t="s">
        <v>229</v>
      </c>
      <c r="Q15152">
        <v>0</v>
      </c>
      <c r="R15152">
        <v>165</v>
      </c>
      <c r="S15152">
        <v>165</v>
      </c>
      <c r="T15152" t="s">
        <v>52481</v>
      </c>
    </row>
    <row r="15153" spans="1:20" customFormat="1" ht="15" x14ac:dyDescent="0.25">
      <c r="A15153" t="s">
        <v>35</v>
      </c>
      <c r="B15153" t="s">
        <v>106</v>
      </c>
      <c r="C15153" t="str">
        <f>"A0136514"</f>
        <v>A0136514</v>
      </c>
      <c r="D15153" t="s">
        <v>52482</v>
      </c>
      <c r="E15153" t="s">
        <v>52483</v>
      </c>
      <c r="F15153" t="s">
        <v>39190</v>
      </c>
      <c r="G15153" t="s">
        <v>123</v>
      </c>
      <c r="H15153">
        <v>21620</v>
      </c>
      <c r="I15153" t="s">
        <v>30</v>
      </c>
      <c r="J15153" t="s">
        <v>111</v>
      </c>
      <c r="K15153" t="s">
        <v>10012</v>
      </c>
      <c r="Q15153">
        <v>0</v>
      </c>
      <c r="R15153">
        <v>0</v>
      </c>
      <c r="S15153">
        <v>0</v>
      </c>
      <c r="T15153" t="s">
        <v>52484</v>
      </c>
    </row>
    <row r="15154" spans="1:20" customFormat="1" ht="15" x14ac:dyDescent="0.25">
      <c r="A15154" t="s">
        <v>35</v>
      </c>
      <c r="B15154" t="s">
        <v>61</v>
      </c>
      <c r="C15154" t="str">
        <f>"A0125217"</f>
        <v>A0125217</v>
      </c>
      <c r="D15154" t="s">
        <v>52485</v>
      </c>
      <c r="E15154" t="s">
        <v>52486</v>
      </c>
      <c r="F15154" t="s">
        <v>17406</v>
      </c>
      <c r="G15154" t="s">
        <v>40</v>
      </c>
      <c r="H15154">
        <v>74003</v>
      </c>
      <c r="I15154" t="s">
        <v>30</v>
      </c>
      <c r="J15154" t="s">
        <v>41</v>
      </c>
      <c r="K15154" t="s">
        <v>8643</v>
      </c>
      <c r="Q15154">
        <v>0</v>
      </c>
      <c r="R15154">
        <v>0</v>
      </c>
      <c r="S15154">
        <v>0</v>
      </c>
      <c r="T15154" t="s">
        <v>52487</v>
      </c>
    </row>
    <row r="15155" spans="1:20" customFormat="1" ht="15" x14ac:dyDescent="0.25">
      <c r="A15155" t="s">
        <v>35</v>
      </c>
      <c r="B15155" t="s">
        <v>61</v>
      </c>
      <c r="C15155" t="str">
        <f>"A0132211"</f>
        <v>A0132211</v>
      </c>
      <c r="D15155" t="s">
        <v>52488</v>
      </c>
      <c r="E15155" t="s">
        <v>52489</v>
      </c>
      <c r="F15155" t="s">
        <v>5688</v>
      </c>
      <c r="G15155" t="s">
        <v>65</v>
      </c>
      <c r="H15155">
        <v>45750</v>
      </c>
      <c r="I15155" t="s">
        <v>30</v>
      </c>
      <c r="J15155" t="s">
        <v>41</v>
      </c>
      <c r="K15155" t="s">
        <v>59</v>
      </c>
      <c r="Q15155">
        <v>0</v>
      </c>
      <c r="R15155">
        <v>100</v>
      </c>
      <c r="S15155">
        <v>100</v>
      </c>
      <c r="T15155" t="s">
        <v>52490</v>
      </c>
    </row>
    <row r="15156" spans="1:20" customFormat="1" ht="15" x14ac:dyDescent="0.25">
      <c r="A15156" t="s">
        <v>35</v>
      </c>
      <c r="B15156" t="s">
        <v>61</v>
      </c>
      <c r="C15156" t="str">
        <f>"A0123132"</f>
        <v>A0123132</v>
      </c>
      <c r="D15156" t="s">
        <v>52491</v>
      </c>
      <c r="E15156" t="s">
        <v>52492</v>
      </c>
      <c r="F15156" t="s">
        <v>52493</v>
      </c>
      <c r="G15156" t="s">
        <v>137</v>
      </c>
      <c r="H15156">
        <v>636640000</v>
      </c>
      <c r="I15156" t="s">
        <v>30</v>
      </c>
      <c r="J15156" t="s">
        <v>41</v>
      </c>
      <c r="K15156" t="s">
        <v>3713</v>
      </c>
      <c r="Q15156">
        <v>0</v>
      </c>
      <c r="R15156">
        <v>48</v>
      </c>
      <c r="S15156">
        <v>48</v>
      </c>
      <c r="T15156" t="s">
        <v>52494</v>
      </c>
    </row>
    <row r="15157" spans="1:20" customFormat="1" ht="15" x14ac:dyDescent="0.25">
      <c r="A15157" t="s">
        <v>35</v>
      </c>
      <c r="B15157" t="s">
        <v>61</v>
      </c>
      <c r="C15157" t="str">
        <f>"A0118087"</f>
        <v>A0118087</v>
      </c>
      <c r="D15157" t="s">
        <v>52495</v>
      </c>
      <c r="E15157" t="s">
        <v>52496</v>
      </c>
      <c r="F15157" t="s">
        <v>1959</v>
      </c>
      <c r="G15157" t="s">
        <v>190</v>
      </c>
      <c r="H15157">
        <v>80720</v>
      </c>
      <c r="I15157" t="s">
        <v>30</v>
      </c>
      <c r="J15157" t="s">
        <v>41</v>
      </c>
      <c r="K15157" t="s">
        <v>229</v>
      </c>
      <c r="Q15157">
        <v>0</v>
      </c>
      <c r="R15157">
        <v>38</v>
      </c>
      <c r="S15157">
        <v>38</v>
      </c>
      <c r="T15157" t="s">
        <v>52497</v>
      </c>
    </row>
    <row r="15158" spans="1:20" customFormat="1" ht="15" x14ac:dyDescent="0.25">
      <c r="A15158" t="s">
        <v>35</v>
      </c>
      <c r="B15158" t="s">
        <v>61</v>
      </c>
      <c r="C15158" t="str">
        <f>"A0130114"</f>
        <v>A0130114</v>
      </c>
      <c r="D15158" t="s">
        <v>52498</v>
      </c>
      <c r="E15158" t="s">
        <v>52499</v>
      </c>
      <c r="F15158" t="s">
        <v>29747</v>
      </c>
      <c r="G15158" t="s">
        <v>71</v>
      </c>
      <c r="H15158">
        <v>530270000</v>
      </c>
      <c r="I15158" t="s">
        <v>30</v>
      </c>
      <c r="J15158" t="s">
        <v>41</v>
      </c>
      <c r="K15158" t="s">
        <v>4272</v>
      </c>
      <c r="Q15158">
        <v>0</v>
      </c>
      <c r="R15158">
        <v>50</v>
      </c>
      <c r="S15158">
        <v>50</v>
      </c>
      <c r="T15158" t="s">
        <v>52500</v>
      </c>
    </row>
    <row r="15159" spans="1:20" customFormat="1" ht="15" x14ac:dyDescent="0.25">
      <c r="A15159" t="s">
        <v>35</v>
      </c>
      <c r="B15159" t="s">
        <v>61</v>
      </c>
      <c r="C15159" t="str">
        <f>"A0124412"</f>
        <v>A0124412</v>
      </c>
      <c r="D15159" t="s">
        <v>52501</v>
      </c>
      <c r="E15159" t="s">
        <v>52502</v>
      </c>
      <c r="F15159" t="s">
        <v>4674</v>
      </c>
      <c r="G15159" t="s">
        <v>314</v>
      </c>
      <c r="H15159">
        <v>20016</v>
      </c>
      <c r="I15159" t="s">
        <v>30</v>
      </c>
      <c r="J15159" t="s">
        <v>41</v>
      </c>
      <c r="K15159" t="s">
        <v>482</v>
      </c>
      <c r="Q15159">
        <v>0</v>
      </c>
      <c r="R15159">
        <v>300</v>
      </c>
      <c r="S15159">
        <v>300</v>
      </c>
      <c r="T15159" t="s">
        <v>52503</v>
      </c>
    </row>
    <row r="15160" spans="1:20" customFormat="1" ht="15" x14ac:dyDescent="0.25">
      <c r="A15160" t="s">
        <v>35</v>
      </c>
      <c r="B15160" t="s">
        <v>61</v>
      </c>
      <c r="C15160" t="str">
        <f>"A0122958"</f>
        <v>A0122958</v>
      </c>
      <c r="D15160" t="s">
        <v>52504</v>
      </c>
      <c r="E15160" t="s">
        <v>52505</v>
      </c>
      <c r="F15160" t="s">
        <v>48165</v>
      </c>
      <c r="G15160" t="s">
        <v>76</v>
      </c>
      <c r="H15160">
        <v>99362</v>
      </c>
      <c r="I15160" t="s">
        <v>30</v>
      </c>
      <c r="J15160" t="s">
        <v>41</v>
      </c>
      <c r="K15160" t="s">
        <v>1440</v>
      </c>
      <c r="Q15160">
        <v>0</v>
      </c>
      <c r="R15160">
        <v>250</v>
      </c>
      <c r="S15160">
        <v>250</v>
      </c>
      <c r="T15160" t="s">
        <v>52506</v>
      </c>
    </row>
    <row r="15161" spans="1:20" customFormat="1" ht="15" x14ac:dyDescent="0.25">
      <c r="A15161" t="s">
        <v>35</v>
      </c>
      <c r="B15161" t="s">
        <v>61</v>
      </c>
      <c r="C15161" t="str">
        <f>"A0131631"</f>
        <v>A0131631</v>
      </c>
      <c r="D15161" t="s">
        <v>52507</v>
      </c>
      <c r="E15161" t="s">
        <v>52508</v>
      </c>
      <c r="F15161" t="s">
        <v>460</v>
      </c>
      <c r="G15161" t="s">
        <v>65</v>
      </c>
      <c r="H15161">
        <v>44483</v>
      </c>
      <c r="I15161" t="s">
        <v>30</v>
      </c>
      <c r="J15161" t="s">
        <v>41</v>
      </c>
      <c r="K15161" t="s">
        <v>229</v>
      </c>
      <c r="Q15161">
        <v>0</v>
      </c>
      <c r="R15161">
        <v>100</v>
      </c>
      <c r="S15161">
        <v>100</v>
      </c>
      <c r="T15161" t="s">
        <v>52509</v>
      </c>
    </row>
    <row r="15162" spans="1:20" customFormat="1" ht="15" x14ac:dyDescent="0.25">
      <c r="A15162" t="s">
        <v>35</v>
      </c>
      <c r="B15162" t="s">
        <v>106</v>
      </c>
      <c r="C15162" t="str">
        <f>"A0136436"</f>
        <v>A0136436</v>
      </c>
      <c r="D15162" t="s">
        <v>52510</v>
      </c>
      <c r="E15162" t="s">
        <v>52511</v>
      </c>
      <c r="F15162" t="s">
        <v>40767</v>
      </c>
      <c r="G15162" t="s">
        <v>76</v>
      </c>
      <c r="H15162">
        <v>991646005</v>
      </c>
      <c r="I15162" t="s">
        <v>30</v>
      </c>
      <c r="J15162" t="s">
        <v>111</v>
      </c>
      <c r="K15162" t="s">
        <v>10012</v>
      </c>
      <c r="Q15162">
        <v>0</v>
      </c>
      <c r="R15162">
        <v>0</v>
      </c>
      <c r="S15162">
        <v>0</v>
      </c>
      <c r="T15162" t="s">
        <v>52512</v>
      </c>
    </row>
    <row r="15163" spans="1:20" customFormat="1" ht="15" x14ac:dyDescent="0.25">
      <c r="A15163" t="s">
        <v>35</v>
      </c>
      <c r="B15163" t="s">
        <v>61</v>
      </c>
      <c r="C15163" t="str">
        <f>"A0130140"</f>
        <v>A0130140</v>
      </c>
      <c r="D15163" t="s">
        <v>52513</v>
      </c>
      <c r="E15163" t="s">
        <v>52514</v>
      </c>
      <c r="F15163" t="s">
        <v>52515</v>
      </c>
      <c r="G15163" t="s">
        <v>71</v>
      </c>
      <c r="H15163">
        <v>53121</v>
      </c>
      <c r="I15163" t="s">
        <v>30</v>
      </c>
      <c r="J15163" t="s">
        <v>41</v>
      </c>
      <c r="K15163" t="s">
        <v>290</v>
      </c>
      <c r="Q15163">
        <v>0</v>
      </c>
      <c r="R15163">
        <v>0</v>
      </c>
      <c r="S15163">
        <v>0</v>
      </c>
      <c r="T15163" t="s">
        <v>52516</v>
      </c>
    </row>
    <row r="15164" spans="1:20" customFormat="1" ht="15" x14ac:dyDescent="0.25">
      <c r="A15164" t="s">
        <v>35</v>
      </c>
      <c r="B15164" t="s">
        <v>61</v>
      </c>
      <c r="C15164" t="str">
        <f>"A0124003"</f>
        <v>A0124003</v>
      </c>
      <c r="D15164" t="s">
        <v>52517</v>
      </c>
      <c r="E15164" t="s">
        <v>52518</v>
      </c>
      <c r="F15164" t="s">
        <v>38751</v>
      </c>
      <c r="G15164" t="s">
        <v>214</v>
      </c>
      <c r="H15164">
        <v>27909</v>
      </c>
      <c r="I15164" t="s">
        <v>30</v>
      </c>
      <c r="J15164" t="s">
        <v>41</v>
      </c>
      <c r="K15164" t="s">
        <v>229</v>
      </c>
      <c r="Q15164">
        <v>0</v>
      </c>
      <c r="R15164">
        <v>65</v>
      </c>
      <c r="S15164">
        <v>65</v>
      </c>
      <c r="T15164" t="s">
        <v>52519</v>
      </c>
    </row>
    <row r="15165" spans="1:20" customFormat="1" ht="15" x14ac:dyDescent="0.25">
      <c r="A15165" t="s">
        <v>35</v>
      </c>
      <c r="B15165" t="s">
        <v>437</v>
      </c>
      <c r="C15165" t="str">
        <f>"A0134059"</f>
        <v>A0134059</v>
      </c>
      <c r="D15165" t="s">
        <v>52520</v>
      </c>
      <c r="E15165" t="s">
        <v>52521</v>
      </c>
      <c r="F15165" t="s">
        <v>13395</v>
      </c>
      <c r="G15165" t="s">
        <v>110</v>
      </c>
      <c r="H15165">
        <v>92223</v>
      </c>
      <c r="I15165" t="s">
        <v>30</v>
      </c>
      <c r="J15165" t="s">
        <v>441</v>
      </c>
      <c r="K15165" t="s">
        <v>442</v>
      </c>
      <c r="Q15165">
        <v>0</v>
      </c>
      <c r="R15165">
        <v>0</v>
      </c>
      <c r="S15165">
        <v>0</v>
      </c>
      <c r="T15165" t="s">
        <v>52522</v>
      </c>
    </row>
    <row r="15166" spans="1:20" customFormat="1" ht="15" x14ac:dyDescent="0.25">
      <c r="A15166" t="s">
        <v>35</v>
      </c>
      <c r="B15166" t="s">
        <v>61</v>
      </c>
      <c r="C15166" t="str">
        <f>"A0131548"</f>
        <v>A0131548</v>
      </c>
      <c r="D15166" t="s">
        <v>52523</v>
      </c>
      <c r="E15166" t="s">
        <v>52524</v>
      </c>
      <c r="F15166" t="s">
        <v>6228</v>
      </c>
      <c r="G15166" t="s">
        <v>381</v>
      </c>
      <c r="H15166">
        <v>465260000</v>
      </c>
      <c r="I15166" t="s">
        <v>30</v>
      </c>
      <c r="J15166" t="s">
        <v>41</v>
      </c>
      <c r="K15166" t="s">
        <v>59</v>
      </c>
      <c r="Q15166">
        <v>0</v>
      </c>
      <c r="R15166">
        <v>58</v>
      </c>
      <c r="S15166">
        <v>58</v>
      </c>
      <c r="T15166" t="s">
        <v>52525</v>
      </c>
    </row>
    <row r="15167" spans="1:20" customFormat="1" ht="15" x14ac:dyDescent="0.25">
      <c r="A15167" t="s">
        <v>35</v>
      </c>
      <c r="B15167" t="s">
        <v>61</v>
      </c>
      <c r="C15167" t="str">
        <f>"A0128837"</f>
        <v>A0128837</v>
      </c>
      <c r="D15167" t="s">
        <v>52526</v>
      </c>
      <c r="E15167" t="s">
        <v>52527</v>
      </c>
      <c r="F15167" t="s">
        <v>52528</v>
      </c>
      <c r="G15167" t="s">
        <v>289</v>
      </c>
      <c r="H15167">
        <v>60429</v>
      </c>
      <c r="I15167" t="s">
        <v>30</v>
      </c>
      <c r="J15167" t="s">
        <v>41</v>
      </c>
      <c r="K15167" t="s">
        <v>59</v>
      </c>
      <c r="Q15167">
        <v>0</v>
      </c>
      <c r="R15167">
        <v>254</v>
      </c>
      <c r="S15167">
        <v>254</v>
      </c>
      <c r="T15167" t="s">
        <v>52529</v>
      </c>
    </row>
    <row r="15168" spans="1:20" customFormat="1" ht="15" x14ac:dyDescent="0.25">
      <c r="A15168" t="s">
        <v>35</v>
      </c>
      <c r="B15168" t="s">
        <v>437</v>
      </c>
      <c r="C15168" t="str">
        <f>"A0134448"</f>
        <v>A0134448</v>
      </c>
      <c r="D15168" t="s">
        <v>52530</v>
      </c>
      <c r="E15168" t="s">
        <v>52531</v>
      </c>
      <c r="F15168" t="s">
        <v>41528</v>
      </c>
      <c r="G15168" t="s">
        <v>99</v>
      </c>
      <c r="H15168">
        <v>13420</v>
      </c>
      <c r="I15168" t="s">
        <v>30</v>
      </c>
      <c r="J15168" t="s">
        <v>441</v>
      </c>
      <c r="K15168" t="s">
        <v>442</v>
      </c>
      <c r="Q15168">
        <v>0</v>
      </c>
      <c r="R15168">
        <v>0</v>
      </c>
      <c r="S15168">
        <v>0</v>
      </c>
      <c r="T15168" t="s">
        <v>52532</v>
      </c>
    </row>
    <row r="15169" spans="1:20" customFormat="1" ht="15" x14ac:dyDescent="0.25">
      <c r="A15169" t="s">
        <v>35</v>
      </c>
      <c r="B15169" t="s">
        <v>8663</v>
      </c>
      <c r="C15169" t="str">
        <f>"A0125140"</f>
        <v>A0125140</v>
      </c>
      <c r="D15169" t="s">
        <v>52533</v>
      </c>
      <c r="E15169" t="s">
        <v>52534</v>
      </c>
      <c r="F15169" t="s">
        <v>93</v>
      </c>
      <c r="G15169" t="s">
        <v>58</v>
      </c>
      <c r="H15169">
        <v>29605</v>
      </c>
      <c r="I15169" t="s">
        <v>30</v>
      </c>
      <c r="J15169" t="s">
        <v>41</v>
      </c>
      <c r="K15169" t="s">
        <v>482</v>
      </c>
      <c r="Q15169">
        <v>0</v>
      </c>
      <c r="R15169">
        <v>80</v>
      </c>
      <c r="S15169">
        <v>80</v>
      </c>
      <c r="T15169" t="s">
        <v>52535</v>
      </c>
    </row>
    <row r="15170" spans="1:20" customFormat="1" ht="15" x14ac:dyDescent="0.25">
      <c r="A15170" t="s">
        <v>35</v>
      </c>
      <c r="B15170" t="s">
        <v>61</v>
      </c>
      <c r="C15170" t="str">
        <f>"A0133005"</f>
        <v>A0133005</v>
      </c>
      <c r="D15170" t="s">
        <v>52536</v>
      </c>
      <c r="E15170" t="s">
        <v>52537</v>
      </c>
      <c r="F15170" t="s">
        <v>5217</v>
      </c>
      <c r="G15170" t="s">
        <v>52</v>
      </c>
      <c r="H15170">
        <v>75708</v>
      </c>
      <c r="I15170" t="s">
        <v>30</v>
      </c>
      <c r="J15170" t="s">
        <v>41</v>
      </c>
      <c r="K15170" t="s">
        <v>229</v>
      </c>
      <c r="Q15170">
        <v>0</v>
      </c>
      <c r="R15170">
        <v>120</v>
      </c>
      <c r="S15170">
        <v>120</v>
      </c>
      <c r="T15170" t="s">
        <v>52538</v>
      </c>
    </row>
    <row r="15171" spans="1:20" customFormat="1" ht="15" x14ac:dyDescent="0.25">
      <c r="A15171" t="s">
        <v>35</v>
      </c>
      <c r="B15171" t="s">
        <v>61</v>
      </c>
      <c r="C15171" t="str">
        <f>"A0124605"</f>
        <v>A0124605</v>
      </c>
      <c r="D15171" t="s">
        <v>52539</v>
      </c>
      <c r="E15171" t="s">
        <v>52540</v>
      </c>
      <c r="F15171" t="s">
        <v>20378</v>
      </c>
      <c r="G15171" t="s">
        <v>1369</v>
      </c>
      <c r="H15171">
        <v>397730000</v>
      </c>
      <c r="I15171" t="s">
        <v>30</v>
      </c>
      <c r="J15171" t="s">
        <v>41</v>
      </c>
      <c r="K15171" t="s">
        <v>229</v>
      </c>
      <c r="Q15171">
        <v>0</v>
      </c>
      <c r="R15171">
        <v>21</v>
      </c>
      <c r="S15171">
        <v>21</v>
      </c>
      <c r="T15171" t="s">
        <v>52541</v>
      </c>
    </row>
    <row r="15172" spans="1:20" customFormat="1" ht="15" x14ac:dyDescent="0.25">
      <c r="A15172" t="s">
        <v>35</v>
      </c>
      <c r="B15172" t="s">
        <v>61</v>
      </c>
      <c r="C15172" t="str">
        <f>"A0130220"</f>
        <v>A0130220</v>
      </c>
      <c r="D15172" t="s">
        <v>52542</v>
      </c>
      <c r="E15172" t="s">
        <v>52543</v>
      </c>
      <c r="F15172" t="s">
        <v>3093</v>
      </c>
      <c r="G15172" t="s">
        <v>880</v>
      </c>
      <c r="H15172">
        <v>38485</v>
      </c>
      <c r="I15172" t="s">
        <v>30</v>
      </c>
      <c r="J15172" t="s">
        <v>41</v>
      </c>
      <c r="K15172" t="s">
        <v>229</v>
      </c>
      <c r="Q15172">
        <v>0</v>
      </c>
      <c r="R15172">
        <v>46</v>
      </c>
      <c r="S15172">
        <v>46</v>
      </c>
      <c r="T15172" t="s">
        <v>52544</v>
      </c>
    </row>
    <row r="15173" spans="1:20" customFormat="1" ht="15" x14ac:dyDescent="0.25">
      <c r="A15173" t="s">
        <v>35</v>
      </c>
      <c r="B15173" t="s">
        <v>61</v>
      </c>
      <c r="C15173" t="str">
        <f>"A0129942"</f>
        <v>A0129942</v>
      </c>
      <c r="D15173" t="s">
        <v>52545</v>
      </c>
      <c r="E15173" t="s">
        <v>52546</v>
      </c>
      <c r="F15173" t="s">
        <v>3093</v>
      </c>
      <c r="G15173" t="s">
        <v>880</v>
      </c>
      <c r="H15173">
        <v>384850000</v>
      </c>
      <c r="I15173" t="s">
        <v>30</v>
      </c>
      <c r="J15173" t="s">
        <v>41</v>
      </c>
      <c r="K15173" t="s">
        <v>59</v>
      </c>
      <c r="Q15173">
        <v>0</v>
      </c>
      <c r="R15173">
        <v>34</v>
      </c>
      <c r="S15173">
        <v>34</v>
      </c>
      <c r="T15173" t="s">
        <v>52547</v>
      </c>
    </row>
    <row r="15174" spans="1:20" customFormat="1" ht="15" x14ac:dyDescent="0.25">
      <c r="A15174" t="s">
        <v>35</v>
      </c>
      <c r="B15174" t="s">
        <v>61</v>
      </c>
      <c r="C15174" t="str">
        <f>"A0131789"</f>
        <v>A0131789</v>
      </c>
      <c r="D15174" t="s">
        <v>52548</v>
      </c>
      <c r="E15174" t="s">
        <v>52549</v>
      </c>
      <c r="F15174" t="s">
        <v>8062</v>
      </c>
      <c r="G15174" t="s">
        <v>65</v>
      </c>
      <c r="H15174">
        <v>446910000</v>
      </c>
      <c r="I15174" t="s">
        <v>30</v>
      </c>
      <c r="J15174" t="s">
        <v>41</v>
      </c>
      <c r="K15174" t="s">
        <v>229</v>
      </c>
      <c r="Q15174">
        <v>0</v>
      </c>
      <c r="R15174">
        <v>50</v>
      </c>
      <c r="S15174">
        <v>50</v>
      </c>
      <c r="T15174" t="s">
        <v>52550</v>
      </c>
    </row>
    <row r="15175" spans="1:20" customFormat="1" ht="15" x14ac:dyDescent="0.25">
      <c r="A15175" t="s">
        <v>35</v>
      </c>
      <c r="B15175" t="s">
        <v>61</v>
      </c>
      <c r="C15175" t="str">
        <f>"A0129926"</f>
        <v>A0129926</v>
      </c>
      <c r="D15175" t="s">
        <v>52551</v>
      </c>
      <c r="E15175" t="s">
        <v>52552</v>
      </c>
      <c r="F15175" t="s">
        <v>3093</v>
      </c>
      <c r="G15175" t="s">
        <v>880</v>
      </c>
      <c r="H15175">
        <v>384850510</v>
      </c>
      <c r="I15175" t="s">
        <v>30</v>
      </c>
      <c r="J15175" t="s">
        <v>41</v>
      </c>
      <c r="K15175" t="s">
        <v>229</v>
      </c>
      <c r="Q15175">
        <v>0</v>
      </c>
      <c r="R15175">
        <v>79</v>
      </c>
      <c r="S15175">
        <v>79</v>
      </c>
      <c r="T15175" t="s">
        <v>52553</v>
      </c>
    </row>
    <row r="15176" spans="1:20" customFormat="1" ht="15" x14ac:dyDescent="0.25">
      <c r="A15176" t="s">
        <v>35</v>
      </c>
      <c r="B15176" t="s">
        <v>61</v>
      </c>
      <c r="C15176" t="str">
        <f>"A0126627"</f>
        <v>A0126627</v>
      </c>
      <c r="D15176" t="s">
        <v>52554</v>
      </c>
      <c r="E15176" t="s">
        <v>52555</v>
      </c>
      <c r="F15176" t="s">
        <v>52556</v>
      </c>
      <c r="G15176" t="s">
        <v>103</v>
      </c>
      <c r="H15176">
        <v>18472</v>
      </c>
      <c r="I15176" t="s">
        <v>30</v>
      </c>
      <c r="J15176" t="s">
        <v>41</v>
      </c>
      <c r="K15176" t="s">
        <v>229</v>
      </c>
      <c r="Q15176">
        <v>0</v>
      </c>
      <c r="R15176">
        <v>121</v>
      </c>
      <c r="S15176">
        <v>121</v>
      </c>
      <c r="T15176" t="s">
        <v>52557</v>
      </c>
    </row>
    <row r="15177" spans="1:20" customFormat="1" ht="15" x14ac:dyDescent="0.25">
      <c r="A15177" t="s">
        <v>35</v>
      </c>
      <c r="B15177" t="s">
        <v>61</v>
      </c>
      <c r="C15177" t="str">
        <f>"A0124004"</f>
        <v>A0124004</v>
      </c>
      <c r="D15177" t="s">
        <v>52558</v>
      </c>
      <c r="E15177" t="s">
        <v>52559</v>
      </c>
      <c r="F15177" t="s">
        <v>3093</v>
      </c>
      <c r="G15177" t="s">
        <v>29</v>
      </c>
      <c r="H15177">
        <v>22980</v>
      </c>
      <c r="I15177" t="s">
        <v>30</v>
      </c>
      <c r="J15177" t="s">
        <v>41</v>
      </c>
      <c r="K15177" t="s">
        <v>229</v>
      </c>
      <c r="Q15177">
        <v>0</v>
      </c>
      <c r="R15177">
        <v>120</v>
      </c>
      <c r="S15177">
        <v>120</v>
      </c>
      <c r="T15177" t="s">
        <v>52560</v>
      </c>
    </row>
    <row r="15178" spans="1:20" customFormat="1" ht="15" x14ac:dyDescent="0.25">
      <c r="A15178" t="s">
        <v>35</v>
      </c>
      <c r="B15178" t="s">
        <v>61</v>
      </c>
      <c r="C15178" t="str">
        <f>"A0132266"</f>
        <v>A0132266</v>
      </c>
      <c r="D15178" t="s">
        <v>52561</v>
      </c>
      <c r="E15178" t="s">
        <v>52562</v>
      </c>
      <c r="F15178" t="s">
        <v>52563</v>
      </c>
      <c r="G15178" t="s">
        <v>65</v>
      </c>
      <c r="H15178">
        <v>44264</v>
      </c>
      <c r="I15178" t="s">
        <v>30</v>
      </c>
      <c r="J15178" t="s">
        <v>41</v>
      </c>
      <c r="K15178" t="s">
        <v>59</v>
      </c>
      <c r="Q15178">
        <v>0</v>
      </c>
      <c r="R15178">
        <v>98</v>
      </c>
      <c r="S15178">
        <v>98</v>
      </c>
      <c r="T15178" t="s">
        <v>52564</v>
      </c>
    </row>
    <row r="15179" spans="1:20" customFormat="1" ht="15" x14ac:dyDescent="0.25">
      <c r="A15179" t="s">
        <v>35</v>
      </c>
      <c r="B15179" t="s">
        <v>61</v>
      </c>
      <c r="C15179" t="str">
        <f>"A0131149"</f>
        <v>A0131149</v>
      </c>
      <c r="D15179" t="s">
        <v>52565</v>
      </c>
      <c r="E15179" t="s">
        <v>52566</v>
      </c>
      <c r="F15179" t="s">
        <v>1655</v>
      </c>
      <c r="G15179" t="s">
        <v>137</v>
      </c>
      <c r="H15179">
        <v>63110</v>
      </c>
      <c r="I15179" t="s">
        <v>30</v>
      </c>
      <c r="J15179" t="s">
        <v>41</v>
      </c>
      <c r="K15179" t="s">
        <v>39685</v>
      </c>
      <c r="Q15179">
        <v>0</v>
      </c>
      <c r="R15179">
        <v>0</v>
      </c>
      <c r="S15179">
        <v>0</v>
      </c>
      <c r="T15179" t="s">
        <v>52567</v>
      </c>
    </row>
    <row r="15180" spans="1:20" customFormat="1" ht="15" x14ac:dyDescent="0.25">
      <c r="A15180" t="s">
        <v>35</v>
      </c>
      <c r="B15180" t="s">
        <v>61</v>
      </c>
      <c r="C15180" t="str">
        <f>"A0123141"</f>
        <v>A0123141</v>
      </c>
      <c r="D15180" t="s">
        <v>52568</v>
      </c>
      <c r="E15180" t="s">
        <v>52569</v>
      </c>
      <c r="F15180" t="s">
        <v>16045</v>
      </c>
      <c r="G15180" t="s">
        <v>137</v>
      </c>
      <c r="H15180">
        <v>657060000</v>
      </c>
      <c r="I15180" t="s">
        <v>30</v>
      </c>
      <c r="J15180" t="s">
        <v>41</v>
      </c>
      <c r="K15180" t="s">
        <v>229</v>
      </c>
      <c r="Q15180">
        <v>0</v>
      </c>
      <c r="R15180">
        <v>1</v>
      </c>
      <c r="S15180">
        <v>1</v>
      </c>
      <c r="T15180" t="s">
        <v>52570</v>
      </c>
    </row>
    <row r="15181" spans="1:20" customFormat="1" ht="15" x14ac:dyDescent="0.25">
      <c r="A15181" t="s">
        <v>35</v>
      </c>
      <c r="B15181" t="s">
        <v>61</v>
      </c>
      <c r="C15181" t="str">
        <f>"A0129565"</f>
        <v>A0129565</v>
      </c>
      <c r="D15181" t="s">
        <v>52571</v>
      </c>
      <c r="E15181" t="s">
        <v>52572</v>
      </c>
      <c r="F15181" t="s">
        <v>9255</v>
      </c>
      <c r="G15181" t="s">
        <v>289</v>
      </c>
      <c r="H15181">
        <v>62521</v>
      </c>
      <c r="I15181" t="s">
        <v>30</v>
      </c>
      <c r="J15181" t="s">
        <v>41</v>
      </c>
      <c r="K15181" t="s">
        <v>66</v>
      </c>
      <c r="Q15181">
        <v>0</v>
      </c>
      <c r="R15181">
        <v>8</v>
      </c>
      <c r="S15181">
        <v>8</v>
      </c>
      <c r="T15181" t="s">
        <v>52573</v>
      </c>
    </row>
    <row r="15182" spans="1:20" customFormat="1" ht="15" x14ac:dyDescent="0.25">
      <c r="A15182" t="s">
        <v>35</v>
      </c>
      <c r="B15182" t="s">
        <v>61</v>
      </c>
      <c r="C15182" t="str">
        <f>"A0129563"</f>
        <v>A0129563</v>
      </c>
      <c r="D15182" t="s">
        <v>52574</v>
      </c>
      <c r="E15182" t="s">
        <v>52575</v>
      </c>
      <c r="F15182" t="s">
        <v>9255</v>
      </c>
      <c r="G15182" t="s">
        <v>289</v>
      </c>
      <c r="H15182">
        <v>62521</v>
      </c>
      <c r="I15182" t="s">
        <v>30</v>
      </c>
      <c r="J15182" t="s">
        <v>41</v>
      </c>
      <c r="K15182" t="s">
        <v>66</v>
      </c>
      <c r="Q15182">
        <v>0</v>
      </c>
      <c r="R15182">
        <v>0</v>
      </c>
      <c r="S15182">
        <v>0</v>
      </c>
      <c r="T15182" t="s">
        <v>52573</v>
      </c>
    </row>
    <row r="15183" spans="1:20" customFormat="1" ht="15" x14ac:dyDescent="0.25">
      <c r="A15183" t="s">
        <v>35</v>
      </c>
      <c r="B15183" t="s">
        <v>61</v>
      </c>
      <c r="C15183" t="str">
        <f>"A0129564"</f>
        <v>A0129564</v>
      </c>
      <c r="D15183" t="s">
        <v>52576</v>
      </c>
      <c r="E15183" t="s">
        <v>52577</v>
      </c>
      <c r="F15183" t="s">
        <v>9255</v>
      </c>
      <c r="G15183" t="s">
        <v>289</v>
      </c>
      <c r="H15183">
        <v>62521</v>
      </c>
      <c r="I15183" t="s">
        <v>30</v>
      </c>
      <c r="J15183" t="s">
        <v>41</v>
      </c>
      <c r="K15183" t="s">
        <v>66</v>
      </c>
      <c r="Q15183">
        <v>0</v>
      </c>
      <c r="R15183">
        <v>0</v>
      </c>
      <c r="S15183">
        <v>0</v>
      </c>
      <c r="T15183" t="s">
        <v>52573</v>
      </c>
    </row>
    <row r="15184" spans="1:20" customFormat="1" ht="15" x14ac:dyDescent="0.25">
      <c r="A15184" t="s">
        <v>35</v>
      </c>
      <c r="B15184" t="s">
        <v>61</v>
      </c>
      <c r="C15184" t="str">
        <f>"A0131890"</f>
        <v>A0131890</v>
      </c>
      <c r="D15184" t="s">
        <v>52578</v>
      </c>
      <c r="E15184" t="s">
        <v>52579</v>
      </c>
      <c r="F15184" t="s">
        <v>5188</v>
      </c>
      <c r="G15184" t="s">
        <v>65</v>
      </c>
      <c r="H15184">
        <v>44906</v>
      </c>
      <c r="I15184" t="s">
        <v>30</v>
      </c>
      <c r="J15184" t="s">
        <v>41</v>
      </c>
      <c r="K15184" t="s">
        <v>59</v>
      </c>
      <c r="Q15184">
        <v>0</v>
      </c>
      <c r="R15184">
        <v>48</v>
      </c>
      <c r="S15184">
        <v>48</v>
      </c>
      <c r="T15184" t="s">
        <v>52580</v>
      </c>
    </row>
    <row r="15185" spans="1:20" customFormat="1" ht="15" x14ac:dyDescent="0.25">
      <c r="A15185" t="s">
        <v>35</v>
      </c>
      <c r="B15185" t="s">
        <v>61</v>
      </c>
      <c r="C15185" t="str">
        <f>"A0131036"</f>
        <v>A0131036</v>
      </c>
      <c r="D15185" t="s">
        <v>52581</v>
      </c>
      <c r="E15185" t="s">
        <v>6825</v>
      </c>
      <c r="F15185" t="s">
        <v>6826</v>
      </c>
      <c r="G15185" t="s">
        <v>137</v>
      </c>
      <c r="H15185">
        <v>65737</v>
      </c>
      <c r="I15185" t="s">
        <v>30</v>
      </c>
      <c r="J15185" t="s">
        <v>41</v>
      </c>
      <c r="K15185" t="s">
        <v>59</v>
      </c>
      <c r="Q15185">
        <v>0</v>
      </c>
      <c r="R15185">
        <v>46</v>
      </c>
      <c r="S15185">
        <v>46</v>
      </c>
      <c r="T15185" t="s">
        <v>6827</v>
      </c>
    </row>
    <row r="15186" spans="1:20" customFormat="1" ht="15" x14ac:dyDescent="0.25">
      <c r="A15186" t="s">
        <v>35</v>
      </c>
      <c r="B15186" t="s">
        <v>61</v>
      </c>
      <c r="C15186" t="str">
        <f>"A0131813"</f>
        <v>A0131813</v>
      </c>
      <c r="D15186" t="s">
        <v>52582</v>
      </c>
      <c r="E15186" t="s">
        <v>52583</v>
      </c>
      <c r="F15186" t="s">
        <v>35958</v>
      </c>
      <c r="G15186" t="s">
        <v>507</v>
      </c>
      <c r="H15186">
        <v>26062</v>
      </c>
      <c r="I15186" t="s">
        <v>30</v>
      </c>
      <c r="J15186" t="s">
        <v>41</v>
      </c>
      <c r="K15186" t="s">
        <v>229</v>
      </c>
      <c r="Q15186">
        <v>0</v>
      </c>
      <c r="R15186">
        <v>137</v>
      </c>
      <c r="S15186">
        <v>137</v>
      </c>
      <c r="T15186" t="s">
        <v>52584</v>
      </c>
    </row>
    <row r="15187" spans="1:20" customFormat="1" ht="15" x14ac:dyDescent="0.25">
      <c r="A15187" t="s">
        <v>35</v>
      </c>
      <c r="B15187" t="s">
        <v>61</v>
      </c>
      <c r="C15187" t="str">
        <f>"A0154596"</f>
        <v>A0154596</v>
      </c>
      <c r="D15187" t="s">
        <v>52585</v>
      </c>
      <c r="E15187" t="s">
        <v>52586</v>
      </c>
      <c r="F15187" t="s">
        <v>49576</v>
      </c>
      <c r="G15187" t="s">
        <v>153</v>
      </c>
      <c r="H15187">
        <v>840100000</v>
      </c>
      <c r="I15187" t="s">
        <v>30</v>
      </c>
      <c r="J15187" t="s">
        <v>41</v>
      </c>
      <c r="K15187" t="s">
        <v>59</v>
      </c>
      <c r="Q15187">
        <v>0</v>
      </c>
      <c r="R15187">
        <v>31</v>
      </c>
      <c r="S15187">
        <v>31</v>
      </c>
      <c r="T15187" t="s">
        <v>52587</v>
      </c>
    </row>
    <row r="15188" spans="1:20" customFormat="1" ht="15" x14ac:dyDescent="0.25">
      <c r="A15188" t="s">
        <v>35</v>
      </c>
      <c r="B15188" t="s">
        <v>61</v>
      </c>
      <c r="C15188" t="str">
        <f>"A0132647"</f>
        <v>A0132647</v>
      </c>
      <c r="D15188" t="s">
        <v>52588</v>
      </c>
      <c r="E15188" t="s">
        <v>52589</v>
      </c>
      <c r="F15188" t="s">
        <v>49819</v>
      </c>
      <c r="G15188" t="s">
        <v>65</v>
      </c>
      <c r="H15188">
        <v>440740000</v>
      </c>
      <c r="I15188" t="s">
        <v>30</v>
      </c>
      <c r="J15188" t="s">
        <v>41</v>
      </c>
      <c r="K15188" t="s">
        <v>229</v>
      </c>
      <c r="Q15188">
        <v>0</v>
      </c>
      <c r="R15188">
        <v>53</v>
      </c>
      <c r="S15188">
        <v>53</v>
      </c>
      <c r="T15188" t="s">
        <v>52590</v>
      </c>
    </row>
    <row r="15189" spans="1:20" customFormat="1" ht="15" x14ac:dyDescent="0.25">
      <c r="A15189" t="s">
        <v>35</v>
      </c>
      <c r="B15189" t="s">
        <v>61</v>
      </c>
      <c r="C15189" t="str">
        <f>"A0150849"</f>
        <v>A0150849</v>
      </c>
      <c r="D15189" t="s">
        <v>52591</v>
      </c>
      <c r="E15189" t="s">
        <v>52592</v>
      </c>
      <c r="F15189" t="s">
        <v>52593</v>
      </c>
      <c r="G15189" t="s">
        <v>117</v>
      </c>
      <c r="H15189">
        <v>48348</v>
      </c>
      <c r="I15189" t="s">
        <v>30</v>
      </c>
      <c r="J15189" t="s">
        <v>41</v>
      </c>
      <c r="K15189" t="s">
        <v>229</v>
      </c>
      <c r="Q15189">
        <v>0</v>
      </c>
      <c r="R15189">
        <v>100</v>
      </c>
      <c r="S15189">
        <v>100</v>
      </c>
      <c r="T15189" t="s">
        <v>52594</v>
      </c>
    </row>
    <row r="15190" spans="1:20" customFormat="1" ht="15" x14ac:dyDescent="0.25">
      <c r="A15190" t="s">
        <v>35</v>
      </c>
      <c r="B15190" t="s">
        <v>61</v>
      </c>
      <c r="C15190" t="str">
        <f>"A0128193"</f>
        <v>A0128193</v>
      </c>
      <c r="D15190" t="s">
        <v>52595</v>
      </c>
      <c r="E15190" t="s">
        <v>52596</v>
      </c>
      <c r="F15190" t="s">
        <v>52597</v>
      </c>
      <c r="G15190" t="s">
        <v>117</v>
      </c>
      <c r="H15190">
        <v>48430</v>
      </c>
      <c r="I15190" t="s">
        <v>30</v>
      </c>
      <c r="J15190" t="s">
        <v>41</v>
      </c>
      <c r="K15190" t="s">
        <v>229</v>
      </c>
      <c r="Q15190">
        <v>0</v>
      </c>
      <c r="R15190">
        <v>100</v>
      </c>
      <c r="S15190">
        <v>100</v>
      </c>
      <c r="T15190" t="s">
        <v>52598</v>
      </c>
    </row>
    <row r="15191" spans="1:20" customFormat="1" ht="15" x14ac:dyDescent="0.25">
      <c r="A15191" t="s">
        <v>35</v>
      </c>
      <c r="B15191" t="s">
        <v>61</v>
      </c>
      <c r="C15191" t="str">
        <f>"A0150705"</f>
        <v>A0150705</v>
      </c>
      <c r="D15191" t="s">
        <v>52599</v>
      </c>
      <c r="E15191" t="s">
        <v>52600</v>
      </c>
      <c r="F15191" t="s">
        <v>36147</v>
      </c>
      <c r="G15191" t="s">
        <v>117</v>
      </c>
      <c r="H15191">
        <v>48439</v>
      </c>
      <c r="I15191" t="s">
        <v>30</v>
      </c>
      <c r="J15191" t="s">
        <v>41</v>
      </c>
      <c r="K15191" t="s">
        <v>229</v>
      </c>
      <c r="Q15191">
        <v>0</v>
      </c>
      <c r="R15191">
        <v>100</v>
      </c>
      <c r="S15191">
        <v>100</v>
      </c>
      <c r="T15191" t="s">
        <v>52601</v>
      </c>
    </row>
    <row r="15192" spans="1:20" customFormat="1" ht="15" x14ac:dyDescent="0.25">
      <c r="A15192" t="s">
        <v>35</v>
      </c>
      <c r="B15192" t="s">
        <v>61</v>
      </c>
      <c r="C15192" t="str">
        <f>"A0122919"</f>
        <v>A0122919</v>
      </c>
      <c r="D15192" t="s">
        <v>52602</v>
      </c>
      <c r="E15192" t="s">
        <v>52603</v>
      </c>
      <c r="F15192" t="s">
        <v>21937</v>
      </c>
      <c r="G15192" t="s">
        <v>76</v>
      </c>
      <c r="H15192">
        <v>98028</v>
      </c>
      <c r="I15192" t="s">
        <v>30</v>
      </c>
      <c r="J15192" t="s">
        <v>41</v>
      </c>
      <c r="K15192" t="s">
        <v>2463</v>
      </c>
      <c r="Q15192">
        <v>0</v>
      </c>
      <c r="R15192">
        <v>0</v>
      </c>
      <c r="S15192">
        <v>0</v>
      </c>
      <c r="T15192" t="s">
        <v>52604</v>
      </c>
    </row>
    <row r="15193" spans="1:20" customFormat="1" ht="15" x14ac:dyDescent="0.25">
      <c r="A15193" t="s">
        <v>35</v>
      </c>
      <c r="B15193" t="s">
        <v>61</v>
      </c>
      <c r="C15193" t="str">
        <f>"A0130252"</f>
        <v>A0130252</v>
      </c>
      <c r="D15193" t="s">
        <v>52605</v>
      </c>
      <c r="E15193" t="s">
        <v>52606</v>
      </c>
      <c r="F15193" t="s">
        <v>24895</v>
      </c>
      <c r="G15193" t="s">
        <v>161</v>
      </c>
      <c r="H15193">
        <v>56034</v>
      </c>
      <c r="I15193" t="s">
        <v>30</v>
      </c>
      <c r="J15193" t="s">
        <v>41</v>
      </c>
      <c r="K15193" t="s">
        <v>461</v>
      </c>
      <c r="Q15193">
        <v>0</v>
      </c>
      <c r="R15193">
        <v>40</v>
      </c>
      <c r="S15193">
        <v>40</v>
      </c>
      <c r="T15193" t="s">
        <v>52607</v>
      </c>
    </row>
    <row r="15194" spans="1:20" customFormat="1" ht="15" x14ac:dyDescent="0.25">
      <c r="A15194" t="s">
        <v>35</v>
      </c>
      <c r="B15194" t="s">
        <v>61</v>
      </c>
      <c r="C15194" t="str">
        <f>"A0133324"</f>
        <v>A0133324</v>
      </c>
      <c r="D15194" t="s">
        <v>52608</v>
      </c>
      <c r="E15194" t="s">
        <v>52609</v>
      </c>
      <c r="F15194" t="s">
        <v>14670</v>
      </c>
      <c r="G15194" t="s">
        <v>52</v>
      </c>
      <c r="H15194">
        <v>790950000</v>
      </c>
      <c r="I15194" t="s">
        <v>30</v>
      </c>
      <c r="J15194" t="s">
        <v>41</v>
      </c>
      <c r="K15194" t="s">
        <v>229</v>
      </c>
      <c r="Q15194">
        <v>0</v>
      </c>
      <c r="R15194">
        <v>55</v>
      </c>
      <c r="S15194">
        <v>55</v>
      </c>
      <c r="T15194" t="s">
        <v>52610</v>
      </c>
    </row>
    <row r="15195" spans="1:20" customFormat="1" ht="15" x14ac:dyDescent="0.25">
      <c r="A15195" t="s">
        <v>35</v>
      </c>
      <c r="B15195" t="s">
        <v>61</v>
      </c>
      <c r="C15195" t="str">
        <f>"A0123613"</f>
        <v>A0123613</v>
      </c>
      <c r="D15195" t="s">
        <v>52611</v>
      </c>
      <c r="E15195" t="s">
        <v>52612</v>
      </c>
      <c r="F15195" t="s">
        <v>472</v>
      </c>
      <c r="G15195" t="s">
        <v>214</v>
      </c>
      <c r="H15195">
        <v>27603</v>
      </c>
      <c r="I15195" t="s">
        <v>30</v>
      </c>
      <c r="J15195" t="s">
        <v>41</v>
      </c>
      <c r="K15195" t="s">
        <v>59</v>
      </c>
      <c r="Q15195">
        <v>0</v>
      </c>
      <c r="R15195">
        <v>1</v>
      </c>
      <c r="S15195">
        <v>1</v>
      </c>
    </row>
    <row r="15196" spans="1:20" customFormat="1" ht="15" x14ac:dyDescent="0.25">
      <c r="A15196" t="s">
        <v>35</v>
      </c>
      <c r="B15196" t="s">
        <v>61</v>
      </c>
      <c r="C15196" t="str">
        <f>"A0124009"</f>
        <v>A0124009</v>
      </c>
      <c r="D15196" t="s">
        <v>52613</v>
      </c>
      <c r="E15196" t="s">
        <v>52614</v>
      </c>
      <c r="F15196" t="s">
        <v>52615</v>
      </c>
      <c r="G15196" t="s">
        <v>214</v>
      </c>
      <c r="H15196">
        <v>28349</v>
      </c>
      <c r="I15196" t="s">
        <v>30</v>
      </c>
      <c r="J15196" t="s">
        <v>41</v>
      </c>
      <c r="K15196" t="s">
        <v>482</v>
      </c>
      <c r="Q15196">
        <v>0</v>
      </c>
      <c r="R15196">
        <v>40</v>
      </c>
      <c r="S15196">
        <v>40</v>
      </c>
      <c r="T15196" t="s">
        <v>52616</v>
      </c>
    </row>
    <row r="15197" spans="1:20" customFormat="1" ht="15" x14ac:dyDescent="0.25">
      <c r="A15197" t="s">
        <v>35</v>
      </c>
      <c r="B15197" t="s">
        <v>61</v>
      </c>
      <c r="C15197" t="str">
        <f>"A0125311"</f>
        <v>A0125311</v>
      </c>
      <c r="D15197" t="s">
        <v>52617</v>
      </c>
      <c r="E15197" t="s">
        <v>52618</v>
      </c>
      <c r="F15197" t="s">
        <v>17590</v>
      </c>
      <c r="G15197" t="s">
        <v>40</v>
      </c>
      <c r="H15197">
        <v>73115</v>
      </c>
      <c r="I15197" t="s">
        <v>30</v>
      </c>
      <c r="J15197" t="s">
        <v>41</v>
      </c>
      <c r="K15197" t="s">
        <v>59</v>
      </c>
      <c r="Q15197">
        <v>0</v>
      </c>
      <c r="R15197">
        <v>60</v>
      </c>
      <c r="S15197">
        <v>60</v>
      </c>
      <c r="T15197" t="s">
        <v>52619</v>
      </c>
    </row>
    <row r="15198" spans="1:20" customFormat="1" ht="15" x14ac:dyDescent="0.25">
      <c r="A15198" t="s">
        <v>35</v>
      </c>
      <c r="B15198" t="s">
        <v>61</v>
      </c>
      <c r="C15198" t="str">
        <f>"A0128593"</f>
        <v>A0128593</v>
      </c>
      <c r="D15198" t="s">
        <v>52620</v>
      </c>
      <c r="E15198" t="s">
        <v>52621</v>
      </c>
      <c r="F15198" t="s">
        <v>15652</v>
      </c>
      <c r="G15198" t="s">
        <v>840</v>
      </c>
      <c r="H15198">
        <v>423010000</v>
      </c>
      <c r="I15198" t="s">
        <v>30</v>
      </c>
      <c r="J15198" t="s">
        <v>41</v>
      </c>
      <c r="K15198" t="s">
        <v>290</v>
      </c>
      <c r="Q15198">
        <v>0</v>
      </c>
      <c r="R15198">
        <v>1</v>
      </c>
      <c r="S15198">
        <v>1</v>
      </c>
      <c r="T15198" t="s">
        <v>52622</v>
      </c>
    </row>
    <row r="15199" spans="1:20" customFormat="1" ht="15" x14ac:dyDescent="0.25">
      <c r="A15199" t="s">
        <v>35</v>
      </c>
      <c r="B15199" t="s">
        <v>61</v>
      </c>
      <c r="C15199" t="str">
        <f>"A0117861"</f>
        <v>A0117861</v>
      </c>
      <c r="D15199" t="s">
        <v>52623</v>
      </c>
      <c r="E15199" t="s">
        <v>52624</v>
      </c>
      <c r="F15199" t="s">
        <v>20829</v>
      </c>
      <c r="G15199" t="s">
        <v>110</v>
      </c>
      <c r="H15199">
        <v>908020000</v>
      </c>
      <c r="I15199" t="s">
        <v>30</v>
      </c>
      <c r="J15199" t="s">
        <v>41</v>
      </c>
      <c r="K15199" t="s">
        <v>456</v>
      </c>
      <c r="Q15199">
        <v>0</v>
      </c>
      <c r="R15199">
        <v>16</v>
      </c>
      <c r="S15199">
        <v>16</v>
      </c>
      <c r="T15199" t="s">
        <v>52625</v>
      </c>
    </row>
    <row r="15200" spans="1:20" customFormat="1" ht="15" x14ac:dyDescent="0.25">
      <c r="A15200" t="s">
        <v>35</v>
      </c>
      <c r="B15200" t="s">
        <v>61</v>
      </c>
      <c r="C15200" t="str">
        <f>"A0127131"</f>
        <v>A0127131</v>
      </c>
      <c r="D15200" t="s">
        <v>52626</v>
      </c>
      <c r="E15200" t="s">
        <v>52627</v>
      </c>
      <c r="F15200" t="s">
        <v>52628</v>
      </c>
      <c r="G15200" t="s">
        <v>103</v>
      </c>
      <c r="H15200">
        <v>16901</v>
      </c>
      <c r="I15200" t="s">
        <v>30</v>
      </c>
      <c r="J15200" t="s">
        <v>41</v>
      </c>
      <c r="K15200" t="s">
        <v>59</v>
      </c>
      <c r="Q15200">
        <v>0</v>
      </c>
      <c r="R15200">
        <v>31</v>
      </c>
      <c r="S15200">
        <v>31</v>
      </c>
      <c r="T15200" t="s">
        <v>52629</v>
      </c>
    </row>
    <row r="15201" spans="1:20" customFormat="1" ht="15" x14ac:dyDescent="0.25">
      <c r="A15201" t="s">
        <v>35</v>
      </c>
      <c r="B15201" t="s">
        <v>437</v>
      </c>
      <c r="C15201" t="str">
        <f>"A0133873"</f>
        <v>A0133873</v>
      </c>
      <c r="D15201" t="s">
        <v>52630</v>
      </c>
      <c r="E15201" t="s">
        <v>52631</v>
      </c>
      <c r="F15201" t="s">
        <v>9881</v>
      </c>
      <c r="G15201" t="s">
        <v>110</v>
      </c>
      <c r="H15201">
        <v>936540000</v>
      </c>
      <c r="I15201" t="s">
        <v>30</v>
      </c>
      <c r="J15201" t="s">
        <v>441</v>
      </c>
      <c r="K15201" t="s">
        <v>112</v>
      </c>
      <c r="Q15201">
        <v>0</v>
      </c>
      <c r="R15201">
        <v>0</v>
      </c>
      <c r="S15201">
        <v>0</v>
      </c>
      <c r="T15201" t="s">
        <v>52632</v>
      </c>
    </row>
    <row r="15202" spans="1:20" customFormat="1" ht="15" x14ac:dyDescent="0.25">
      <c r="A15202" t="s">
        <v>35</v>
      </c>
      <c r="B15202" t="s">
        <v>61</v>
      </c>
      <c r="C15202" t="str">
        <f>"A0127900"</f>
        <v>A0127900</v>
      </c>
      <c r="D15202" t="s">
        <v>52633</v>
      </c>
      <c r="E15202" t="s">
        <v>52634</v>
      </c>
      <c r="F15202" t="s">
        <v>3674</v>
      </c>
      <c r="G15202" t="s">
        <v>117</v>
      </c>
      <c r="H15202">
        <v>48154</v>
      </c>
      <c r="I15202" t="s">
        <v>30</v>
      </c>
      <c r="J15202" t="s">
        <v>41</v>
      </c>
      <c r="K15202" t="s">
        <v>229</v>
      </c>
      <c r="Q15202">
        <v>0</v>
      </c>
      <c r="R15202">
        <v>88</v>
      </c>
      <c r="S15202">
        <v>88</v>
      </c>
      <c r="T15202" t="s">
        <v>52635</v>
      </c>
    </row>
    <row r="15203" spans="1:20" customFormat="1" ht="15" x14ac:dyDescent="0.25">
      <c r="A15203" t="s">
        <v>35</v>
      </c>
      <c r="B15203" t="s">
        <v>61</v>
      </c>
      <c r="C15203" t="str">
        <f>"A0126200"</f>
        <v>A0126200</v>
      </c>
      <c r="D15203" t="s">
        <v>52636</v>
      </c>
      <c r="E15203" t="s">
        <v>52637</v>
      </c>
      <c r="F15203" t="s">
        <v>17975</v>
      </c>
      <c r="G15203" t="s">
        <v>197</v>
      </c>
      <c r="H15203">
        <v>85297</v>
      </c>
      <c r="I15203" t="s">
        <v>30</v>
      </c>
      <c r="J15203" t="s">
        <v>41</v>
      </c>
      <c r="K15203" t="s">
        <v>229</v>
      </c>
      <c r="Q15203">
        <v>0</v>
      </c>
      <c r="R15203">
        <v>36</v>
      </c>
      <c r="S15203">
        <v>36</v>
      </c>
      <c r="T15203" t="s">
        <v>16363</v>
      </c>
    </row>
    <row r="15204" spans="1:20" customFormat="1" ht="15" x14ac:dyDescent="0.25">
      <c r="A15204" t="s">
        <v>35</v>
      </c>
      <c r="B15204" t="s">
        <v>106</v>
      </c>
      <c r="C15204" t="str">
        <f>"A0136555"</f>
        <v>A0136555</v>
      </c>
      <c r="D15204" t="s">
        <v>52638</v>
      </c>
      <c r="E15204" t="s">
        <v>52639</v>
      </c>
      <c r="F15204" t="s">
        <v>52640</v>
      </c>
      <c r="G15204" t="s">
        <v>925</v>
      </c>
      <c r="H15204">
        <v>66092</v>
      </c>
      <c r="I15204" t="s">
        <v>30</v>
      </c>
      <c r="J15204" t="s">
        <v>111</v>
      </c>
      <c r="K15204" t="s">
        <v>112</v>
      </c>
      <c r="Q15204">
        <v>0</v>
      </c>
      <c r="R15204">
        <v>0</v>
      </c>
      <c r="S15204">
        <v>0</v>
      </c>
      <c r="T15204" t="s">
        <v>52641</v>
      </c>
    </row>
    <row r="15205" spans="1:20" customFormat="1" ht="15" x14ac:dyDescent="0.25">
      <c r="A15205" t="s">
        <v>35</v>
      </c>
      <c r="B15205" t="s">
        <v>61</v>
      </c>
      <c r="C15205" t="str">
        <f>"A0126671"</f>
        <v>A0126671</v>
      </c>
      <c r="D15205" t="s">
        <v>52642</v>
      </c>
      <c r="E15205" t="s">
        <v>52643</v>
      </c>
      <c r="F15205" t="s">
        <v>52644</v>
      </c>
      <c r="G15205" t="s">
        <v>103</v>
      </c>
      <c r="H15205">
        <v>17557</v>
      </c>
      <c r="I15205" t="s">
        <v>30</v>
      </c>
      <c r="J15205" t="s">
        <v>41</v>
      </c>
      <c r="K15205" t="s">
        <v>59</v>
      </c>
      <c r="Q15205">
        <v>0</v>
      </c>
      <c r="R15205">
        <v>46</v>
      </c>
      <c r="S15205">
        <v>46</v>
      </c>
      <c r="T15205" t="s">
        <v>52645</v>
      </c>
    </row>
    <row r="15206" spans="1:20" customFormat="1" ht="15" x14ac:dyDescent="0.25">
      <c r="A15206" t="s">
        <v>35</v>
      </c>
      <c r="B15206" t="s">
        <v>61</v>
      </c>
      <c r="C15206" t="str">
        <f>"A0153287"</f>
        <v>A0153287</v>
      </c>
      <c r="D15206" t="s">
        <v>52646</v>
      </c>
      <c r="E15206" t="s">
        <v>52647</v>
      </c>
      <c r="F15206" t="s">
        <v>20261</v>
      </c>
      <c r="G15206" t="s">
        <v>507</v>
      </c>
      <c r="H15206">
        <v>26003</v>
      </c>
      <c r="I15206" t="s">
        <v>30</v>
      </c>
      <c r="J15206" t="s">
        <v>41</v>
      </c>
      <c r="K15206" t="s">
        <v>2477</v>
      </c>
      <c r="Q15206">
        <v>0</v>
      </c>
      <c r="R15206">
        <v>150</v>
      </c>
      <c r="S15206">
        <v>150</v>
      </c>
      <c r="T15206" t="s">
        <v>52648</v>
      </c>
    </row>
    <row r="15207" spans="1:20" customFormat="1" ht="15" x14ac:dyDescent="0.25">
      <c r="A15207" t="s">
        <v>35</v>
      </c>
      <c r="B15207" t="s">
        <v>61</v>
      </c>
      <c r="C15207" t="str">
        <f>"A0128564"</f>
        <v>A0128564</v>
      </c>
      <c r="D15207" t="s">
        <v>52649</v>
      </c>
      <c r="E15207" t="s">
        <v>52650</v>
      </c>
      <c r="F15207" t="s">
        <v>15652</v>
      </c>
      <c r="G15207" t="s">
        <v>840</v>
      </c>
      <c r="H15207">
        <v>42301</v>
      </c>
      <c r="I15207" t="s">
        <v>30</v>
      </c>
      <c r="J15207" t="s">
        <v>41</v>
      </c>
      <c r="K15207" t="s">
        <v>229</v>
      </c>
      <c r="Q15207">
        <v>0</v>
      </c>
      <c r="R15207">
        <v>63</v>
      </c>
      <c r="S15207">
        <v>63</v>
      </c>
      <c r="T15207" t="s">
        <v>52651</v>
      </c>
    </row>
    <row r="15208" spans="1:20" customFormat="1" ht="15" x14ac:dyDescent="0.25">
      <c r="A15208" t="s">
        <v>35</v>
      </c>
      <c r="B15208" t="s">
        <v>437</v>
      </c>
      <c r="C15208" t="str">
        <f>"A0135197"</f>
        <v>A0135197</v>
      </c>
      <c r="D15208" t="s">
        <v>52652</v>
      </c>
      <c r="E15208" t="s">
        <v>52653</v>
      </c>
      <c r="F15208" t="s">
        <v>23599</v>
      </c>
      <c r="G15208" t="s">
        <v>99</v>
      </c>
      <c r="H15208">
        <v>13346</v>
      </c>
      <c r="I15208" t="s">
        <v>30</v>
      </c>
      <c r="J15208" t="s">
        <v>441</v>
      </c>
      <c r="K15208" t="s">
        <v>37340</v>
      </c>
      <c r="Q15208">
        <v>0</v>
      </c>
      <c r="R15208">
        <v>0</v>
      </c>
      <c r="S15208">
        <v>0</v>
      </c>
      <c r="T15208" t="s">
        <v>52654</v>
      </c>
    </row>
    <row r="15209" spans="1:20" customFormat="1" ht="15" x14ac:dyDescent="0.25">
      <c r="A15209" t="s">
        <v>35</v>
      </c>
      <c r="B15209" t="s">
        <v>61</v>
      </c>
      <c r="C15209" t="str">
        <f>"A0131582"</f>
        <v>A0131582</v>
      </c>
      <c r="D15209" t="s">
        <v>52655</v>
      </c>
      <c r="E15209" t="s">
        <v>52656</v>
      </c>
      <c r="F15209" t="s">
        <v>1795</v>
      </c>
      <c r="G15209" t="s">
        <v>381</v>
      </c>
      <c r="H15209">
        <v>47375</v>
      </c>
      <c r="I15209" t="s">
        <v>30</v>
      </c>
      <c r="J15209" t="s">
        <v>41</v>
      </c>
      <c r="K15209" t="s">
        <v>66</v>
      </c>
      <c r="Q15209">
        <v>0</v>
      </c>
      <c r="R15209">
        <v>72</v>
      </c>
      <c r="S15209">
        <v>72</v>
      </c>
      <c r="T15209" t="s">
        <v>52657</v>
      </c>
    </row>
    <row r="15210" spans="1:20" customFormat="1" ht="15" x14ac:dyDescent="0.25">
      <c r="A15210" t="s">
        <v>35</v>
      </c>
      <c r="B15210" t="s">
        <v>61</v>
      </c>
      <c r="C15210" t="str">
        <f>"A0124093"</f>
        <v>A0124093</v>
      </c>
      <c r="D15210" t="s">
        <v>52658</v>
      </c>
      <c r="E15210" t="s">
        <v>52659</v>
      </c>
      <c r="F15210" t="s">
        <v>9480</v>
      </c>
      <c r="G15210" t="s">
        <v>58</v>
      </c>
      <c r="H15210">
        <v>29646</v>
      </c>
      <c r="I15210" t="s">
        <v>30</v>
      </c>
      <c r="J15210" t="s">
        <v>41</v>
      </c>
      <c r="K15210" t="s">
        <v>59</v>
      </c>
      <c r="Q15210">
        <v>0</v>
      </c>
      <c r="R15210">
        <v>400</v>
      </c>
      <c r="S15210">
        <v>400</v>
      </c>
      <c r="T15210" t="s">
        <v>52660</v>
      </c>
    </row>
    <row r="15211" spans="1:20" customFormat="1" ht="15" x14ac:dyDescent="0.25">
      <c r="A15211" t="s">
        <v>35</v>
      </c>
      <c r="B15211" t="s">
        <v>61</v>
      </c>
      <c r="C15211" t="str">
        <f>"A0150553"</f>
        <v>A0150553</v>
      </c>
      <c r="D15211" t="s">
        <v>52661</v>
      </c>
      <c r="E15211" t="s">
        <v>52662</v>
      </c>
      <c r="F15211" t="s">
        <v>9480</v>
      </c>
      <c r="G15211" t="s">
        <v>58</v>
      </c>
      <c r="H15211">
        <v>29646</v>
      </c>
      <c r="I15211" t="s">
        <v>30</v>
      </c>
      <c r="J15211" t="s">
        <v>41</v>
      </c>
      <c r="K15211" t="s">
        <v>59</v>
      </c>
      <c r="Q15211">
        <v>0</v>
      </c>
      <c r="R15211">
        <v>80</v>
      </c>
      <c r="S15211">
        <v>80</v>
      </c>
      <c r="T15211" t="s">
        <v>52663</v>
      </c>
    </row>
    <row r="15212" spans="1:20" customFormat="1" ht="15" x14ac:dyDescent="0.25">
      <c r="A15212" t="s">
        <v>35</v>
      </c>
      <c r="B15212" t="s">
        <v>61</v>
      </c>
      <c r="C15212" t="str">
        <f>"A0125146"</f>
        <v>A0125146</v>
      </c>
      <c r="D15212" t="s">
        <v>52664</v>
      </c>
      <c r="E15212" t="s">
        <v>52665</v>
      </c>
      <c r="F15212" t="s">
        <v>3214</v>
      </c>
      <c r="G15212" t="s">
        <v>58</v>
      </c>
      <c r="H15212">
        <v>29319</v>
      </c>
      <c r="I15212" t="s">
        <v>30</v>
      </c>
      <c r="J15212" t="s">
        <v>41</v>
      </c>
      <c r="K15212" t="s">
        <v>59</v>
      </c>
      <c r="Q15212">
        <v>0</v>
      </c>
      <c r="R15212">
        <v>65</v>
      </c>
      <c r="S15212">
        <v>65</v>
      </c>
      <c r="T15212" t="s">
        <v>52666</v>
      </c>
    </row>
    <row r="15213" spans="1:20" customFormat="1" ht="15" x14ac:dyDescent="0.25">
      <c r="A15213" t="s">
        <v>35</v>
      </c>
      <c r="B15213" t="s">
        <v>61</v>
      </c>
      <c r="C15213" t="str">
        <f>"A0129311"</f>
        <v>A0129311</v>
      </c>
      <c r="D15213" t="s">
        <v>52667</v>
      </c>
      <c r="E15213" t="s">
        <v>52668</v>
      </c>
      <c r="F15213" t="s">
        <v>19233</v>
      </c>
      <c r="G15213" t="s">
        <v>289</v>
      </c>
      <c r="H15213">
        <v>614550000</v>
      </c>
      <c r="I15213" t="s">
        <v>30</v>
      </c>
      <c r="J15213" t="s">
        <v>41</v>
      </c>
      <c r="K15213" t="s">
        <v>229</v>
      </c>
      <c r="Q15213">
        <v>0</v>
      </c>
      <c r="R15213">
        <v>58</v>
      </c>
      <c r="S15213">
        <v>58</v>
      </c>
      <c r="T15213" t="s">
        <v>52669</v>
      </c>
    </row>
    <row r="15214" spans="1:20" customFormat="1" ht="15" x14ac:dyDescent="0.25">
      <c r="A15214" t="s">
        <v>35</v>
      </c>
      <c r="B15214" t="s">
        <v>61</v>
      </c>
      <c r="C15214" t="str">
        <f>"A0124488"</f>
        <v>A0124488</v>
      </c>
      <c r="D15214" t="s">
        <v>52670</v>
      </c>
      <c r="E15214" t="s">
        <v>52671</v>
      </c>
      <c r="F15214" t="s">
        <v>4645</v>
      </c>
      <c r="G15214" t="s">
        <v>1706</v>
      </c>
      <c r="H15214">
        <v>362650000</v>
      </c>
      <c r="I15214" t="s">
        <v>30</v>
      </c>
      <c r="J15214" t="s">
        <v>41</v>
      </c>
      <c r="K15214" t="s">
        <v>229</v>
      </c>
      <c r="Q15214">
        <v>0</v>
      </c>
      <c r="R15214">
        <v>167</v>
      </c>
      <c r="S15214">
        <v>167</v>
      </c>
      <c r="T15214" t="s">
        <v>52672</v>
      </c>
    </row>
    <row r="15215" spans="1:20" customFormat="1" ht="15" x14ac:dyDescent="0.25">
      <c r="A15215" t="s">
        <v>35</v>
      </c>
      <c r="B15215" t="s">
        <v>106</v>
      </c>
      <c r="C15215" t="str">
        <f>"A0135352"</f>
        <v>A0135352</v>
      </c>
      <c r="D15215" t="s">
        <v>52673</v>
      </c>
      <c r="E15215" t="s">
        <v>52674</v>
      </c>
      <c r="F15215" t="s">
        <v>52675</v>
      </c>
      <c r="G15215" t="s">
        <v>110</v>
      </c>
      <c r="H15215">
        <v>93210</v>
      </c>
      <c r="I15215" t="s">
        <v>30</v>
      </c>
      <c r="J15215" t="s">
        <v>111</v>
      </c>
      <c r="K15215" t="s">
        <v>112</v>
      </c>
      <c r="Q15215">
        <v>0</v>
      </c>
      <c r="R15215">
        <v>0</v>
      </c>
      <c r="S15215">
        <v>0</v>
      </c>
      <c r="T15215" t="s">
        <v>52676</v>
      </c>
    </row>
    <row r="15216" spans="1:20" customFormat="1" ht="15" x14ac:dyDescent="0.25">
      <c r="A15216" t="s">
        <v>35</v>
      </c>
      <c r="B15216" t="s">
        <v>106</v>
      </c>
      <c r="C15216" t="str">
        <f>"A0135353"</f>
        <v>A0135353</v>
      </c>
      <c r="D15216" t="s">
        <v>52677</v>
      </c>
      <c r="E15216" t="s">
        <v>52678</v>
      </c>
      <c r="F15216" t="s">
        <v>52679</v>
      </c>
      <c r="G15216" t="s">
        <v>110</v>
      </c>
      <c r="H15216">
        <v>93245</v>
      </c>
      <c r="I15216" t="s">
        <v>30</v>
      </c>
      <c r="J15216" t="s">
        <v>111</v>
      </c>
      <c r="K15216" t="s">
        <v>112</v>
      </c>
      <c r="Q15216">
        <v>0</v>
      </c>
      <c r="R15216">
        <v>0</v>
      </c>
      <c r="S15216">
        <v>0</v>
      </c>
      <c r="T15216" t="s">
        <v>52676</v>
      </c>
    </row>
    <row r="15217" spans="1:20" customFormat="1" ht="15" x14ac:dyDescent="0.25">
      <c r="A15217" t="s">
        <v>35</v>
      </c>
      <c r="B15217" t="s">
        <v>61</v>
      </c>
      <c r="C15217" t="str">
        <f>"A0129971"</f>
        <v>A0129971</v>
      </c>
      <c r="D15217" t="s">
        <v>52680</v>
      </c>
      <c r="E15217" t="s">
        <v>52681</v>
      </c>
      <c r="F15217" t="s">
        <v>1420</v>
      </c>
      <c r="G15217" t="s">
        <v>880</v>
      </c>
      <c r="H15217">
        <v>37205</v>
      </c>
      <c r="I15217" t="s">
        <v>30</v>
      </c>
      <c r="J15217" t="s">
        <v>41</v>
      </c>
      <c r="K15217" t="s">
        <v>229</v>
      </c>
      <c r="Q15217">
        <v>0</v>
      </c>
      <c r="R15217">
        <v>120</v>
      </c>
      <c r="S15217">
        <v>120</v>
      </c>
      <c r="T15217" t="s">
        <v>52682</v>
      </c>
    </row>
    <row r="15218" spans="1:20" customFormat="1" ht="15" x14ac:dyDescent="0.25">
      <c r="A15218" t="s">
        <v>35</v>
      </c>
      <c r="B15218" t="s">
        <v>106</v>
      </c>
      <c r="C15218" t="str">
        <f>"A0136271"</f>
        <v>A0136271</v>
      </c>
      <c r="D15218" t="s">
        <v>52683</v>
      </c>
      <c r="E15218" t="s">
        <v>52684</v>
      </c>
      <c r="F15218" t="s">
        <v>52685</v>
      </c>
      <c r="G15218" t="s">
        <v>137</v>
      </c>
      <c r="H15218">
        <v>64428</v>
      </c>
      <c r="I15218" t="s">
        <v>30</v>
      </c>
      <c r="J15218" t="s">
        <v>111</v>
      </c>
      <c r="K15218" t="s">
        <v>112</v>
      </c>
      <c r="Q15218">
        <v>0</v>
      </c>
      <c r="R15218">
        <v>0</v>
      </c>
      <c r="S15218">
        <v>0</v>
      </c>
      <c r="T15218" t="s">
        <v>52686</v>
      </c>
    </row>
    <row r="15219" spans="1:20" customFormat="1" ht="15" x14ac:dyDescent="0.25">
      <c r="A15219" t="s">
        <v>35</v>
      </c>
      <c r="B15219" t="s">
        <v>106</v>
      </c>
      <c r="C15219" t="str">
        <f>"A0135394"</f>
        <v>A0135394</v>
      </c>
      <c r="D15219" t="s">
        <v>52687</v>
      </c>
      <c r="E15219" t="s">
        <v>52688</v>
      </c>
      <c r="F15219" t="s">
        <v>52689</v>
      </c>
      <c r="G15219" t="s">
        <v>289</v>
      </c>
      <c r="H15219">
        <v>62868</v>
      </c>
      <c r="I15219" t="s">
        <v>30</v>
      </c>
      <c r="J15219" t="s">
        <v>111</v>
      </c>
      <c r="K15219" t="s">
        <v>112</v>
      </c>
      <c r="Q15219">
        <v>0</v>
      </c>
      <c r="R15219">
        <v>0</v>
      </c>
      <c r="S15219">
        <v>0</v>
      </c>
      <c r="T15219" t="s">
        <v>52690</v>
      </c>
    </row>
    <row r="15220" spans="1:20" customFormat="1" ht="15" x14ac:dyDescent="0.25">
      <c r="A15220" t="s">
        <v>35</v>
      </c>
      <c r="B15220" t="s">
        <v>61</v>
      </c>
      <c r="C15220" t="str">
        <f>"A0130335"</f>
        <v>A0130335</v>
      </c>
      <c r="D15220" t="s">
        <v>52691</v>
      </c>
      <c r="E15220" t="s">
        <v>52692</v>
      </c>
      <c r="F15220" t="s">
        <v>11740</v>
      </c>
      <c r="G15220" t="s">
        <v>1898</v>
      </c>
      <c r="H15220">
        <v>52405</v>
      </c>
      <c r="I15220" t="s">
        <v>30</v>
      </c>
      <c r="J15220" t="s">
        <v>41</v>
      </c>
      <c r="K15220" t="s">
        <v>229</v>
      </c>
      <c r="Q15220">
        <v>0</v>
      </c>
      <c r="R15220">
        <v>60</v>
      </c>
      <c r="S15220">
        <v>60</v>
      </c>
      <c r="T15220" t="s">
        <v>52693</v>
      </c>
    </row>
    <row r="15221" spans="1:20" customFormat="1" ht="15" x14ac:dyDescent="0.25">
      <c r="A15221" t="s">
        <v>35</v>
      </c>
      <c r="B15221" t="s">
        <v>61</v>
      </c>
      <c r="C15221" t="str">
        <f>"A0132609"</f>
        <v>A0132609</v>
      </c>
      <c r="D15221" t="s">
        <v>52694</v>
      </c>
      <c r="E15221" t="s">
        <v>52695</v>
      </c>
      <c r="F15221" t="s">
        <v>8062</v>
      </c>
      <c r="G15221" t="s">
        <v>65</v>
      </c>
      <c r="H15221">
        <v>44691</v>
      </c>
      <c r="I15221" t="s">
        <v>30</v>
      </c>
      <c r="J15221" t="s">
        <v>41</v>
      </c>
      <c r="K15221" t="s">
        <v>229</v>
      </c>
      <c r="Q15221">
        <v>0</v>
      </c>
      <c r="R15221">
        <v>93</v>
      </c>
      <c r="S15221">
        <v>93</v>
      </c>
      <c r="T15221" t="s">
        <v>52696</v>
      </c>
    </row>
    <row r="15222" spans="1:20" customFormat="1" ht="15" x14ac:dyDescent="0.25">
      <c r="A15222" t="s">
        <v>35</v>
      </c>
      <c r="B15222" t="s">
        <v>61</v>
      </c>
      <c r="C15222" t="str">
        <f>"A0131012"</f>
        <v>A0131012</v>
      </c>
      <c r="D15222" t="s">
        <v>52697</v>
      </c>
      <c r="E15222" t="s">
        <v>52698</v>
      </c>
      <c r="F15222" t="s">
        <v>8699</v>
      </c>
      <c r="G15222" t="s">
        <v>137</v>
      </c>
      <c r="H15222">
        <v>640600000</v>
      </c>
      <c r="I15222" t="s">
        <v>30</v>
      </c>
      <c r="J15222" t="s">
        <v>41</v>
      </c>
      <c r="K15222" t="s">
        <v>59</v>
      </c>
      <c r="Q15222">
        <v>0</v>
      </c>
      <c r="R15222">
        <v>61</v>
      </c>
      <c r="S15222">
        <v>61</v>
      </c>
      <c r="T15222" t="s">
        <v>52699</v>
      </c>
    </row>
    <row r="15223" spans="1:20" customFormat="1" ht="15" x14ac:dyDescent="0.25">
      <c r="A15223" t="s">
        <v>35</v>
      </c>
      <c r="B15223" t="s">
        <v>61</v>
      </c>
      <c r="C15223" t="str">
        <f>"A0125197"</f>
        <v>A0125197</v>
      </c>
      <c r="D15223" t="s">
        <v>52700</v>
      </c>
      <c r="E15223" t="s">
        <v>52701</v>
      </c>
      <c r="F15223" t="s">
        <v>4037</v>
      </c>
      <c r="G15223" t="s">
        <v>40</v>
      </c>
      <c r="H15223">
        <v>73128</v>
      </c>
      <c r="I15223" t="s">
        <v>30</v>
      </c>
      <c r="J15223" t="s">
        <v>41</v>
      </c>
      <c r="K15223" t="s">
        <v>391</v>
      </c>
      <c r="Q15223">
        <v>0</v>
      </c>
      <c r="R15223">
        <v>0</v>
      </c>
      <c r="S15223">
        <v>0</v>
      </c>
      <c r="T15223" t="s">
        <v>52702</v>
      </c>
    </row>
    <row r="15224" spans="1:20" customFormat="1" ht="15" x14ac:dyDescent="0.25">
      <c r="A15224" t="s">
        <v>35</v>
      </c>
      <c r="B15224" t="s">
        <v>61</v>
      </c>
      <c r="C15224" t="str">
        <f>"A0124006"</f>
        <v>A0124006</v>
      </c>
      <c r="D15224" t="s">
        <v>52703</v>
      </c>
      <c r="E15224" t="s">
        <v>52704</v>
      </c>
      <c r="F15224" t="s">
        <v>52705</v>
      </c>
      <c r="G15224" t="s">
        <v>214</v>
      </c>
      <c r="H15224">
        <v>27553</v>
      </c>
      <c r="I15224" t="s">
        <v>30</v>
      </c>
      <c r="J15224" t="s">
        <v>41</v>
      </c>
      <c r="K15224" t="s">
        <v>59</v>
      </c>
      <c r="Q15224">
        <v>0</v>
      </c>
      <c r="R15224">
        <v>50</v>
      </c>
      <c r="S15224">
        <v>50</v>
      </c>
      <c r="T15224" t="s">
        <v>52706</v>
      </c>
    </row>
    <row r="15225" spans="1:20" customFormat="1" ht="15" x14ac:dyDescent="0.25">
      <c r="A15225" t="s">
        <v>35</v>
      </c>
      <c r="B15225" t="s">
        <v>61</v>
      </c>
      <c r="C15225" t="str">
        <f>"A0126265"</f>
        <v>A0126265</v>
      </c>
      <c r="D15225" t="s">
        <v>52707</v>
      </c>
      <c r="E15225" t="s">
        <v>52708</v>
      </c>
      <c r="F15225" t="s">
        <v>12931</v>
      </c>
      <c r="G15225" t="s">
        <v>81</v>
      </c>
      <c r="H15225">
        <v>33761</v>
      </c>
      <c r="I15225" t="s">
        <v>30</v>
      </c>
      <c r="J15225" t="s">
        <v>41</v>
      </c>
      <c r="K15225" t="s">
        <v>229</v>
      </c>
      <c r="Q15225">
        <v>0</v>
      </c>
      <c r="R15225">
        <v>120</v>
      </c>
      <c r="S15225">
        <v>120</v>
      </c>
      <c r="T15225" t="s">
        <v>52709</v>
      </c>
    </row>
    <row r="15226" spans="1:20" customFormat="1" ht="15" x14ac:dyDescent="0.25">
      <c r="A15226" t="s">
        <v>35</v>
      </c>
      <c r="B15226" t="s">
        <v>61</v>
      </c>
      <c r="C15226" t="str">
        <f>"A0132607"</f>
        <v>A0132607</v>
      </c>
      <c r="D15226" t="s">
        <v>52710</v>
      </c>
      <c r="E15226" t="s">
        <v>52711</v>
      </c>
      <c r="F15226" t="s">
        <v>1948</v>
      </c>
      <c r="G15226" t="s">
        <v>65</v>
      </c>
      <c r="H15226">
        <v>441070000</v>
      </c>
      <c r="I15226" t="s">
        <v>30</v>
      </c>
      <c r="J15226" t="s">
        <v>41</v>
      </c>
      <c r="K15226" t="s">
        <v>59</v>
      </c>
      <c r="Q15226">
        <v>0</v>
      </c>
      <c r="R15226">
        <v>500</v>
      </c>
      <c r="S15226">
        <v>500</v>
      </c>
      <c r="T15226" t="s">
        <v>52712</v>
      </c>
    </row>
    <row r="15227" spans="1:20" customFormat="1" ht="15" x14ac:dyDescent="0.25">
      <c r="A15227" t="s">
        <v>35</v>
      </c>
      <c r="B15227" t="s">
        <v>106</v>
      </c>
      <c r="C15227" t="str">
        <f>"A0136429"</f>
        <v>A0136429</v>
      </c>
      <c r="D15227" t="s">
        <v>52713</v>
      </c>
      <c r="E15227" t="s">
        <v>35931</v>
      </c>
      <c r="F15227" t="s">
        <v>11695</v>
      </c>
      <c r="G15227" t="s">
        <v>117</v>
      </c>
      <c r="H15227">
        <v>49008</v>
      </c>
      <c r="I15227" t="s">
        <v>30</v>
      </c>
      <c r="J15227" t="s">
        <v>111</v>
      </c>
      <c r="K15227" t="s">
        <v>10012</v>
      </c>
      <c r="Q15227">
        <v>0</v>
      </c>
      <c r="R15227">
        <v>0</v>
      </c>
      <c r="S15227">
        <v>0</v>
      </c>
      <c r="T15227" t="s">
        <v>35932</v>
      </c>
    </row>
    <row r="15228" spans="1:20" customFormat="1" ht="15" x14ac:dyDescent="0.25">
      <c r="A15228" t="s">
        <v>35</v>
      </c>
      <c r="B15228" t="s">
        <v>106</v>
      </c>
      <c r="C15228" t="str">
        <f>"A0136428"</f>
        <v>A0136428</v>
      </c>
      <c r="D15228" t="s">
        <v>52714</v>
      </c>
      <c r="E15228" t="s">
        <v>35931</v>
      </c>
      <c r="F15228" t="s">
        <v>11695</v>
      </c>
      <c r="G15228" t="s">
        <v>117</v>
      </c>
      <c r="H15228">
        <v>49008</v>
      </c>
      <c r="I15228" t="s">
        <v>30</v>
      </c>
      <c r="J15228" t="s">
        <v>111</v>
      </c>
      <c r="K15228" t="s">
        <v>10012</v>
      </c>
      <c r="Q15228">
        <v>0</v>
      </c>
      <c r="R15228">
        <v>0</v>
      </c>
      <c r="S15228">
        <v>0</v>
      </c>
      <c r="T15228" t="s">
        <v>35932</v>
      </c>
    </row>
    <row r="15229" spans="1:20" customFormat="1" ht="15" x14ac:dyDescent="0.25">
      <c r="A15229" t="s">
        <v>35</v>
      </c>
      <c r="B15229" t="s">
        <v>106</v>
      </c>
      <c r="C15229" t="str">
        <f>"A0135404"</f>
        <v>A0135404</v>
      </c>
      <c r="D15229" t="s">
        <v>52715</v>
      </c>
      <c r="E15229" t="s">
        <v>52716</v>
      </c>
      <c r="F15229" t="s">
        <v>52717</v>
      </c>
      <c r="G15229" t="s">
        <v>427</v>
      </c>
      <c r="H15229">
        <v>69361</v>
      </c>
      <c r="I15229" t="s">
        <v>30</v>
      </c>
      <c r="J15229" t="s">
        <v>111</v>
      </c>
      <c r="K15229" t="s">
        <v>112</v>
      </c>
      <c r="Q15229">
        <v>0</v>
      </c>
      <c r="R15229">
        <v>0</v>
      </c>
      <c r="S15229">
        <v>0</v>
      </c>
      <c r="T15229" t="s">
        <v>52718</v>
      </c>
    </row>
    <row r="15230" spans="1:20" customFormat="1" ht="15" x14ac:dyDescent="0.25">
      <c r="A15230" t="s">
        <v>35</v>
      </c>
      <c r="B15230" t="s">
        <v>106</v>
      </c>
      <c r="C15230" t="str">
        <f>"A0136369"</f>
        <v>A0136369</v>
      </c>
      <c r="D15230" t="s">
        <v>52719</v>
      </c>
      <c r="E15230" t="s">
        <v>52720</v>
      </c>
      <c r="F15230" t="s">
        <v>43890</v>
      </c>
      <c r="G15230" t="s">
        <v>47</v>
      </c>
      <c r="H15230">
        <v>97361</v>
      </c>
      <c r="I15230" t="s">
        <v>30</v>
      </c>
      <c r="J15230" t="s">
        <v>111</v>
      </c>
      <c r="K15230" t="s">
        <v>10012</v>
      </c>
      <c r="Q15230">
        <v>0</v>
      </c>
      <c r="R15230">
        <v>0</v>
      </c>
      <c r="S15230">
        <v>0</v>
      </c>
      <c r="T15230" t="s">
        <v>52721</v>
      </c>
    </row>
    <row r="15231" spans="1:20" customFormat="1" ht="15" x14ac:dyDescent="0.25">
      <c r="A15231" t="s">
        <v>35</v>
      </c>
      <c r="B15231" t="s">
        <v>61</v>
      </c>
      <c r="C15231" t="str">
        <f>"A0131379"</f>
        <v>A0131379</v>
      </c>
      <c r="D15231" t="s">
        <v>52722</v>
      </c>
      <c r="E15231" t="s">
        <v>52723</v>
      </c>
      <c r="F15231" t="s">
        <v>39592</v>
      </c>
      <c r="G15231" t="s">
        <v>137</v>
      </c>
      <c r="H15231">
        <v>63801</v>
      </c>
      <c r="I15231" t="s">
        <v>30</v>
      </c>
      <c r="J15231" t="s">
        <v>41</v>
      </c>
      <c r="K15231" t="s">
        <v>229</v>
      </c>
      <c r="Q15231">
        <v>0</v>
      </c>
      <c r="R15231">
        <v>100</v>
      </c>
      <c r="S15231">
        <v>100</v>
      </c>
      <c r="T15231" t="s">
        <v>52724</v>
      </c>
    </row>
    <row r="15232" spans="1:20" customFormat="1" ht="15" x14ac:dyDescent="0.25">
      <c r="A15232" t="s">
        <v>35</v>
      </c>
      <c r="B15232" t="s">
        <v>106</v>
      </c>
      <c r="C15232" t="str">
        <f>"A0135358"</f>
        <v>A0135358</v>
      </c>
      <c r="D15232" t="s">
        <v>52725</v>
      </c>
      <c r="E15232" t="s">
        <v>52726</v>
      </c>
      <c r="F15232" t="s">
        <v>595</v>
      </c>
      <c r="G15232" t="s">
        <v>899</v>
      </c>
      <c r="H15232">
        <v>1086</v>
      </c>
      <c r="I15232" t="s">
        <v>30</v>
      </c>
      <c r="J15232" t="s">
        <v>111</v>
      </c>
      <c r="K15232" t="s">
        <v>112</v>
      </c>
      <c r="Q15232">
        <v>0</v>
      </c>
      <c r="R15232">
        <v>0</v>
      </c>
      <c r="S15232">
        <v>0</v>
      </c>
      <c r="T15232" t="s">
        <v>52727</v>
      </c>
    </row>
    <row r="15233" spans="1:20" customFormat="1" ht="15" x14ac:dyDescent="0.25">
      <c r="A15233" t="s">
        <v>35</v>
      </c>
      <c r="B15233" t="s">
        <v>61</v>
      </c>
      <c r="C15233" t="str">
        <f>"A0121398"</f>
        <v>A0121398</v>
      </c>
      <c r="D15233" t="s">
        <v>52728</v>
      </c>
      <c r="E15233" t="s">
        <v>52729</v>
      </c>
      <c r="F15233" t="s">
        <v>52730</v>
      </c>
      <c r="G15233" t="s">
        <v>110</v>
      </c>
      <c r="H15233">
        <v>95963</v>
      </c>
      <c r="I15233" t="s">
        <v>30</v>
      </c>
      <c r="J15233" t="s">
        <v>41</v>
      </c>
      <c r="K15233" t="s">
        <v>59</v>
      </c>
      <c r="Q15233">
        <v>0</v>
      </c>
      <c r="R15233">
        <v>40</v>
      </c>
      <c r="S15233">
        <v>40</v>
      </c>
      <c r="T15233" t="s">
        <v>52731</v>
      </c>
    </row>
    <row r="15234" spans="1:20" customFormat="1" ht="15" x14ac:dyDescent="0.25">
      <c r="A15234" t="s">
        <v>35</v>
      </c>
      <c r="B15234" t="s">
        <v>61</v>
      </c>
      <c r="C15234" t="str">
        <f>"A0130320"</f>
        <v>A0130320</v>
      </c>
      <c r="D15234" t="s">
        <v>52732</v>
      </c>
      <c r="E15234" t="s">
        <v>52733</v>
      </c>
      <c r="F15234" t="s">
        <v>27264</v>
      </c>
      <c r="G15234" t="s">
        <v>1898</v>
      </c>
      <c r="H15234">
        <v>50036</v>
      </c>
      <c r="I15234" t="s">
        <v>30</v>
      </c>
      <c r="J15234" t="s">
        <v>41</v>
      </c>
      <c r="K15234" t="s">
        <v>229</v>
      </c>
      <c r="Q15234">
        <v>0</v>
      </c>
      <c r="R15234">
        <v>120</v>
      </c>
      <c r="S15234">
        <v>120</v>
      </c>
      <c r="T15234" t="s">
        <v>52734</v>
      </c>
    </row>
    <row r="15235" spans="1:20" customFormat="1" ht="15" x14ac:dyDescent="0.25">
      <c r="A15235" t="s">
        <v>35</v>
      </c>
      <c r="B15235" t="s">
        <v>437</v>
      </c>
      <c r="C15235" t="str">
        <f>"A0133853"</f>
        <v>A0133853</v>
      </c>
      <c r="D15235" t="s">
        <v>52735</v>
      </c>
      <c r="E15235" t="s">
        <v>52736</v>
      </c>
      <c r="F15235" t="s">
        <v>52737</v>
      </c>
      <c r="G15235" t="s">
        <v>110</v>
      </c>
      <c r="H15235">
        <v>91361</v>
      </c>
      <c r="I15235" t="s">
        <v>30</v>
      </c>
      <c r="J15235" t="s">
        <v>441</v>
      </c>
      <c r="K15235" t="s">
        <v>37340</v>
      </c>
      <c r="Q15235">
        <v>0</v>
      </c>
      <c r="R15235">
        <v>0</v>
      </c>
      <c r="S15235">
        <v>0</v>
      </c>
      <c r="T15235" t="s">
        <v>52738</v>
      </c>
    </row>
    <row r="15236" spans="1:20" customFormat="1" ht="15" x14ac:dyDescent="0.25">
      <c r="A15236" t="s">
        <v>35</v>
      </c>
      <c r="B15236" t="s">
        <v>61</v>
      </c>
      <c r="C15236" t="str">
        <f>"A0125957"</f>
        <v>A0125957</v>
      </c>
      <c r="D15236" t="s">
        <v>52739</v>
      </c>
      <c r="E15236" t="s">
        <v>52740</v>
      </c>
      <c r="F15236" t="s">
        <v>17879</v>
      </c>
      <c r="G15236" t="s">
        <v>29</v>
      </c>
      <c r="H15236">
        <v>23451</v>
      </c>
      <c r="I15236" t="s">
        <v>30</v>
      </c>
      <c r="J15236" t="s">
        <v>41</v>
      </c>
      <c r="K15236" t="s">
        <v>1440</v>
      </c>
      <c r="Q15236">
        <v>0</v>
      </c>
      <c r="R15236">
        <v>95</v>
      </c>
      <c r="S15236">
        <v>95</v>
      </c>
      <c r="T15236" t="s">
        <v>52741</v>
      </c>
    </row>
    <row r="15237" spans="1:20" customFormat="1" ht="15" x14ac:dyDescent="0.25">
      <c r="A15237" t="s">
        <v>35</v>
      </c>
      <c r="B15237" t="s">
        <v>61</v>
      </c>
      <c r="C15237" t="str">
        <f>"A0131588"</f>
        <v>A0131588</v>
      </c>
      <c r="D15237" t="s">
        <v>52742</v>
      </c>
      <c r="E15237" t="s">
        <v>52743</v>
      </c>
      <c r="F15237" t="s">
        <v>4591</v>
      </c>
      <c r="G15237" t="s">
        <v>381</v>
      </c>
      <c r="H15237">
        <v>46952</v>
      </c>
      <c r="I15237" t="s">
        <v>30</v>
      </c>
      <c r="J15237" t="s">
        <v>41</v>
      </c>
      <c r="K15237" t="s">
        <v>391</v>
      </c>
      <c r="Q15237">
        <v>0</v>
      </c>
      <c r="R15237">
        <v>0</v>
      </c>
      <c r="S15237">
        <v>0</v>
      </c>
      <c r="T15237" t="s">
        <v>52744</v>
      </c>
    </row>
    <row r="15238" spans="1:20" customFormat="1" ht="15" x14ac:dyDescent="0.25">
      <c r="A15238" t="s">
        <v>35</v>
      </c>
      <c r="B15238" t="s">
        <v>61</v>
      </c>
      <c r="C15238" t="str">
        <f>"A0126037"</f>
        <v>A0126037</v>
      </c>
      <c r="D15238" t="s">
        <v>52745</v>
      </c>
      <c r="E15238" t="s">
        <v>52746</v>
      </c>
      <c r="F15238" t="s">
        <v>25632</v>
      </c>
      <c r="G15238" t="s">
        <v>29</v>
      </c>
      <c r="H15238">
        <v>22480</v>
      </c>
      <c r="I15238" t="s">
        <v>30</v>
      </c>
      <c r="J15238" t="s">
        <v>41</v>
      </c>
      <c r="K15238" t="s">
        <v>229</v>
      </c>
      <c r="Q15238">
        <v>0</v>
      </c>
      <c r="R15238">
        <v>42</v>
      </c>
      <c r="S15238">
        <v>42</v>
      </c>
      <c r="T15238" t="s">
        <v>52747</v>
      </c>
    </row>
    <row r="15239" spans="1:20" customFormat="1" ht="15" x14ac:dyDescent="0.25">
      <c r="A15239" t="s">
        <v>35</v>
      </c>
      <c r="B15239" t="s">
        <v>61</v>
      </c>
      <c r="C15239" t="str">
        <f>"A0125958"</f>
        <v>A0125958</v>
      </c>
      <c r="D15239" t="s">
        <v>52748</v>
      </c>
      <c r="E15239" t="s">
        <v>52746</v>
      </c>
      <c r="F15239" t="s">
        <v>25632</v>
      </c>
      <c r="G15239" t="s">
        <v>29</v>
      </c>
      <c r="H15239">
        <v>22480</v>
      </c>
      <c r="I15239" t="s">
        <v>30</v>
      </c>
      <c r="J15239" t="s">
        <v>41</v>
      </c>
      <c r="K15239" t="s">
        <v>229</v>
      </c>
      <c r="Q15239">
        <v>0</v>
      </c>
      <c r="R15239">
        <v>42</v>
      </c>
      <c r="S15239">
        <v>42</v>
      </c>
      <c r="T15239" t="s">
        <v>52747</v>
      </c>
    </row>
    <row r="15240" spans="1:20" customFormat="1" ht="15" x14ac:dyDescent="0.25">
      <c r="A15240" t="s">
        <v>35</v>
      </c>
      <c r="B15240" t="s">
        <v>61</v>
      </c>
      <c r="C15240" t="str">
        <f>"A0125760"</f>
        <v>A0125760</v>
      </c>
      <c r="D15240" t="s">
        <v>52749</v>
      </c>
      <c r="E15240" t="s">
        <v>52750</v>
      </c>
      <c r="F15240" t="s">
        <v>20330</v>
      </c>
      <c r="G15240" t="s">
        <v>29</v>
      </c>
      <c r="H15240">
        <v>22911</v>
      </c>
      <c r="I15240" t="s">
        <v>30</v>
      </c>
      <c r="J15240" t="s">
        <v>41</v>
      </c>
      <c r="K15240" t="s">
        <v>229</v>
      </c>
      <c r="Q15240">
        <v>0</v>
      </c>
      <c r="R15240">
        <v>100</v>
      </c>
      <c r="S15240">
        <v>100</v>
      </c>
      <c r="T15240" t="s">
        <v>52751</v>
      </c>
    </row>
    <row r="15241" spans="1:20" customFormat="1" ht="15" x14ac:dyDescent="0.25">
      <c r="A15241" t="s">
        <v>35</v>
      </c>
      <c r="B15241" t="s">
        <v>61</v>
      </c>
      <c r="C15241" t="str">
        <f>"A0125716"</f>
        <v>A0125716</v>
      </c>
      <c r="D15241" t="s">
        <v>52752</v>
      </c>
      <c r="E15241" t="s">
        <v>52753</v>
      </c>
      <c r="F15241" t="s">
        <v>6768</v>
      </c>
      <c r="G15241" t="s">
        <v>29</v>
      </c>
      <c r="H15241">
        <v>24503</v>
      </c>
      <c r="I15241" t="s">
        <v>30</v>
      </c>
      <c r="J15241" t="s">
        <v>41</v>
      </c>
      <c r="K15241" t="s">
        <v>229</v>
      </c>
      <c r="Q15241">
        <v>0</v>
      </c>
      <c r="R15241">
        <v>423</v>
      </c>
      <c r="S15241">
        <v>423</v>
      </c>
      <c r="T15241" t="s">
        <v>52754</v>
      </c>
    </row>
    <row r="15242" spans="1:20" customFormat="1" ht="15" x14ac:dyDescent="0.25">
      <c r="A15242" t="s">
        <v>35</v>
      </c>
      <c r="B15242" t="s">
        <v>61</v>
      </c>
      <c r="C15242" t="str">
        <f>"A0125739"</f>
        <v>A0125739</v>
      </c>
      <c r="D15242" t="s">
        <v>52755</v>
      </c>
      <c r="E15242" t="s">
        <v>52756</v>
      </c>
      <c r="F15242" t="s">
        <v>1795</v>
      </c>
      <c r="G15242" t="s">
        <v>29</v>
      </c>
      <c r="H15242">
        <v>23227</v>
      </c>
      <c r="I15242" t="s">
        <v>30</v>
      </c>
      <c r="J15242" t="s">
        <v>41</v>
      </c>
      <c r="K15242" t="s">
        <v>229</v>
      </c>
      <c r="Q15242">
        <v>0</v>
      </c>
      <c r="R15242">
        <v>158</v>
      </c>
      <c r="S15242">
        <v>158</v>
      </c>
      <c r="T15242" t="s">
        <v>52757</v>
      </c>
    </row>
    <row r="15243" spans="1:20" customFormat="1" ht="15" x14ac:dyDescent="0.25">
      <c r="A15243" t="s">
        <v>35</v>
      </c>
      <c r="B15243" t="s">
        <v>61</v>
      </c>
      <c r="C15243" t="str">
        <f>"A0125960"</f>
        <v>A0125960</v>
      </c>
      <c r="D15243" t="s">
        <v>52758</v>
      </c>
      <c r="E15243" t="s">
        <v>52759</v>
      </c>
      <c r="F15243" t="s">
        <v>4310</v>
      </c>
      <c r="G15243" t="s">
        <v>29</v>
      </c>
      <c r="H15243">
        <v>22603</v>
      </c>
      <c r="I15243" t="s">
        <v>30</v>
      </c>
      <c r="J15243" t="s">
        <v>41</v>
      </c>
      <c r="K15243" t="s">
        <v>229</v>
      </c>
      <c r="Q15243">
        <v>0</v>
      </c>
      <c r="R15243">
        <v>100</v>
      </c>
      <c r="S15243">
        <v>100</v>
      </c>
      <c r="T15243" t="s">
        <v>52760</v>
      </c>
    </row>
    <row r="15244" spans="1:20" customFormat="1" ht="15" x14ac:dyDescent="0.25">
      <c r="A15244" t="s">
        <v>35</v>
      </c>
      <c r="B15244" t="s">
        <v>61</v>
      </c>
      <c r="C15244" t="str">
        <f>"A0128698"</f>
        <v>A0128698</v>
      </c>
      <c r="D15244" t="s">
        <v>18979</v>
      </c>
      <c r="E15244" t="s">
        <v>52761</v>
      </c>
      <c r="F15244" t="s">
        <v>11874</v>
      </c>
      <c r="G15244" t="s">
        <v>1170</v>
      </c>
      <c r="H15244">
        <v>700620000</v>
      </c>
      <c r="I15244" t="s">
        <v>30</v>
      </c>
      <c r="J15244" t="s">
        <v>41</v>
      </c>
      <c r="K15244" t="s">
        <v>59</v>
      </c>
      <c r="Q15244">
        <v>0</v>
      </c>
      <c r="R15244">
        <v>110</v>
      </c>
      <c r="S15244">
        <v>110</v>
      </c>
      <c r="T15244" t="s">
        <v>52762</v>
      </c>
    </row>
    <row r="15245" spans="1:20" customFormat="1" ht="15" x14ac:dyDescent="0.25">
      <c r="A15245" t="s">
        <v>35</v>
      </c>
      <c r="B15245" t="s">
        <v>61</v>
      </c>
      <c r="C15245" t="str">
        <f>"A0129251"</f>
        <v>A0129251</v>
      </c>
      <c r="D15245" t="s">
        <v>52763</v>
      </c>
      <c r="E15245" t="s">
        <v>52764</v>
      </c>
      <c r="F15245" t="s">
        <v>12934</v>
      </c>
      <c r="G15245" t="s">
        <v>289</v>
      </c>
      <c r="H15245">
        <v>61701</v>
      </c>
      <c r="I15245" t="s">
        <v>30</v>
      </c>
      <c r="J15245" t="s">
        <v>41</v>
      </c>
      <c r="K15245" t="s">
        <v>229</v>
      </c>
      <c r="Q15245">
        <v>0</v>
      </c>
      <c r="R15245">
        <v>78</v>
      </c>
      <c r="S15245">
        <v>78</v>
      </c>
      <c r="T15245" t="s">
        <v>52765</v>
      </c>
    </row>
    <row r="15246" spans="1:20" customFormat="1" ht="15" x14ac:dyDescent="0.25">
      <c r="A15246" t="s">
        <v>35</v>
      </c>
      <c r="B15246" t="s">
        <v>61</v>
      </c>
      <c r="C15246" t="str">
        <f>"A0119269"</f>
        <v>A0119269</v>
      </c>
      <c r="D15246" t="s">
        <v>52766</v>
      </c>
      <c r="E15246" t="s">
        <v>52767</v>
      </c>
      <c r="F15246" t="s">
        <v>24298</v>
      </c>
      <c r="G15246" t="s">
        <v>110</v>
      </c>
      <c r="H15246">
        <v>92037</v>
      </c>
      <c r="I15246" t="s">
        <v>30</v>
      </c>
      <c r="J15246" t="s">
        <v>41</v>
      </c>
      <c r="K15246" t="s">
        <v>290</v>
      </c>
      <c r="Q15246">
        <v>0</v>
      </c>
      <c r="R15246">
        <v>0</v>
      </c>
      <c r="S15246">
        <v>0</v>
      </c>
      <c r="T15246" t="s">
        <v>52768</v>
      </c>
    </row>
    <row r="15247" spans="1:20" customFormat="1" ht="15" x14ac:dyDescent="0.25">
      <c r="A15247" t="s">
        <v>35</v>
      </c>
      <c r="B15247" t="s">
        <v>61</v>
      </c>
      <c r="C15247" t="str">
        <f>"A0121308"</f>
        <v>A0121308</v>
      </c>
      <c r="D15247" t="s">
        <v>52769</v>
      </c>
      <c r="E15247" t="s">
        <v>52770</v>
      </c>
      <c r="F15247" t="s">
        <v>16848</v>
      </c>
      <c r="G15247" t="s">
        <v>1587</v>
      </c>
      <c r="H15247">
        <v>87121</v>
      </c>
      <c r="I15247" t="s">
        <v>30</v>
      </c>
      <c r="J15247" t="s">
        <v>41</v>
      </c>
      <c r="K15247" t="s">
        <v>59</v>
      </c>
      <c r="Q15247">
        <v>0</v>
      </c>
      <c r="R15247">
        <v>50</v>
      </c>
      <c r="S15247">
        <v>50</v>
      </c>
      <c r="T15247" t="s">
        <v>52771</v>
      </c>
    </row>
    <row r="15248" spans="1:20" customFormat="1" ht="15" x14ac:dyDescent="0.25">
      <c r="A15248" t="s">
        <v>35</v>
      </c>
      <c r="B15248" t="s">
        <v>61</v>
      </c>
      <c r="C15248" t="str">
        <f>"A0131863"</f>
        <v>A0131863</v>
      </c>
      <c r="D15248" t="s">
        <v>52772</v>
      </c>
      <c r="E15248" t="s">
        <v>52773</v>
      </c>
      <c r="F15248" t="s">
        <v>64</v>
      </c>
      <c r="G15248" t="s">
        <v>65</v>
      </c>
      <c r="H15248">
        <v>43209</v>
      </c>
      <c r="I15248" t="s">
        <v>30</v>
      </c>
      <c r="J15248" t="s">
        <v>41</v>
      </c>
      <c r="K15248" t="s">
        <v>229</v>
      </c>
      <c r="Q15248">
        <v>0</v>
      </c>
      <c r="R15248">
        <v>142</v>
      </c>
      <c r="S15248">
        <v>142</v>
      </c>
      <c r="T15248" t="s">
        <v>52774</v>
      </c>
    </row>
    <row r="15249" spans="1:20" customFormat="1" ht="15" x14ac:dyDescent="0.25">
      <c r="A15249" t="s">
        <v>35</v>
      </c>
      <c r="B15249" t="s">
        <v>61</v>
      </c>
      <c r="C15249" t="str">
        <f>"A0129924"</f>
        <v>A0129924</v>
      </c>
      <c r="D15249" t="s">
        <v>52775</v>
      </c>
      <c r="E15249" t="s">
        <v>52776</v>
      </c>
      <c r="F15249" t="s">
        <v>7501</v>
      </c>
      <c r="G15249" t="s">
        <v>880</v>
      </c>
      <c r="H15249">
        <v>385780447</v>
      </c>
      <c r="I15249" t="s">
        <v>30</v>
      </c>
      <c r="J15249" t="s">
        <v>41</v>
      </c>
      <c r="K15249" t="s">
        <v>229</v>
      </c>
      <c r="Q15249">
        <v>0</v>
      </c>
      <c r="R15249">
        <v>80</v>
      </c>
      <c r="S15249">
        <v>80</v>
      </c>
      <c r="T15249" t="s">
        <v>52777</v>
      </c>
    </row>
    <row r="15250" spans="1:20" customFormat="1" ht="15" x14ac:dyDescent="0.25">
      <c r="A15250" t="s">
        <v>35</v>
      </c>
      <c r="B15250" t="s">
        <v>61</v>
      </c>
      <c r="C15250" t="str">
        <f>"A0125164"</f>
        <v>A0125164</v>
      </c>
      <c r="D15250" t="s">
        <v>52778</v>
      </c>
      <c r="E15250" t="s">
        <v>52779</v>
      </c>
      <c r="F15250" t="s">
        <v>52780</v>
      </c>
      <c r="G15250" t="s">
        <v>40</v>
      </c>
      <c r="H15250">
        <v>746310000</v>
      </c>
      <c r="I15250" t="s">
        <v>30</v>
      </c>
      <c r="J15250" t="s">
        <v>41</v>
      </c>
      <c r="K15250" t="s">
        <v>6300</v>
      </c>
      <c r="Q15250">
        <v>0</v>
      </c>
      <c r="R15250">
        <v>1</v>
      </c>
      <c r="S15250">
        <v>1</v>
      </c>
      <c r="T15250" t="s">
        <v>52781</v>
      </c>
    </row>
    <row r="15251" spans="1:20" customFormat="1" ht="15" x14ac:dyDescent="0.25">
      <c r="A15251" t="s">
        <v>35</v>
      </c>
      <c r="B15251" t="s">
        <v>61</v>
      </c>
      <c r="C15251" t="str">
        <f>"A0130666"</f>
        <v>A0130666</v>
      </c>
      <c r="D15251" t="s">
        <v>52782</v>
      </c>
      <c r="E15251" t="s">
        <v>52783</v>
      </c>
      <c r="F15251" t="s">
        <v>23570</v>
      </c>
      <c r="G15251" t="s">
        <v>1898</v>
      </c>
      <c r="H15251">
        <v>52777</v>
      </c>
      <c r="I15251" t="s">
        <v>30</v>
      </c>
      <c r="J15251" t="s">
        <v>41</v>
      </c>
      <c r="K15251" t="s">
        <v>229</v>
      </c>
      <c r="Q15251">
        <v>0</v>
      </c>
      <c r="R15251">
        <v>44</v>
      </c>
      <c r="S15251">
        <v>44</v>
      </c>
      <c r="T15251" t="s">
        <v>52784</v>
      </c>
    </row>
    <row r="15252" spans="1:20" customFormat="1" ht="15" x14ac:dyDescent="0.25">
      <c r="A15252" t="s">
        <v>35</v>
      </c>
      <c r="B15252" t="s">
        <v>61</v>
      </c>
      <c r="C15252" t="str">
        <f>"A0124413"</f>
        <v>A0124413</v>
      </c>
      <c r="D15252" t="s">
        <v>52785</v>
      </c>
      <c r="E15252" t="s">
        <v>52786</v>
      </c>
      <c r="F15252" t="s">
        <v>19847</v>
      </c>
      <c r="G15252" t="s">
        <v>103</v>
      </c>
      <c r="H15252">
        <v>17522</v>
      </c>
      <c r="I15252" t="s">
        <v>30</v>
      </c>
      <c r="J15252" t="s">
        <v>41</v>
      </c>
      <c r="K15252" t="s">
        <v>482</v>
      </c>
      <c r="Q15252">
        <v>0</v>
      </c>
      <c r="R15252">
        <v>58</v>
      </c>
      <c r="S15252">
        <v>58</v>
      </c>
      <c r="T15252" t="s">
        <v>41254</v>
      </c>
    </row>
    <row r="15253" spans="1:20" customFormat="1" ht="15" x14ac:dyDescent="0.25">
      <c r="A15253" t="s">
        <v>35</v>
      </c>
      <c r="B15253" t="s">
        <v>8021</v>
      </c>
      <c r="C15253" t="str">
        <f>"A0153291"</f>
        <v>A0153291</v>
      </c>
      <c r="D15253" t="s">
        <v>52787</v>
      </c>
      <c r="E15253" t="s">
        <v>52788</v>
      </c>
      <c r="F15253" t="s">
        <v>52789</v>
      </c>
      <c r="G15253" t="s">
        <v>153</v>
      </c>
      <c r="H15253">
        <v>84037</v>
      </c>
      <c r="I15253" t="s">
        <v>30</v>
      </c>
      <c r="J15253" t="s">
        <v>41</v>
      </c>
      <c r="K15253" t="s">
        <v>59</v>
      </c>
      <c r="Q15253">
        <v>0</v>
      </c>
      <c r="R15253">
        <v>73</v>
      </c>
      <c r="S15253">
        <v>73</v>
      </c>
      <c r="T15253" t="s">
        <v>52790</v>
      </c>
    </row>
    <row r="15254" spans="1:20" customFormat="1" ht="15" x14ac:dyDescent="0.25">
      <c r="A15254" t="s">
        <v>35</v>
      </c>
      <c r="B15254" t="s">
        <v>61</v>
      </c>
      <c r="C15254" t="str">
        <f>"A0130909"</f>
        <v>A0130909</v>
      </c>
      <c r="D15254" t="s">
        <v>52791</v>
      </c>
      <c r="E15254" t="s">
        <v>52792</v>
      </c>
      <c r="F15254" t="s">
        <v>9239</v>
      </c>
      <c r="G15254" t="s">
        <v>137</v>
      </c>
      <c r="H15254">
        <v>630210000</v>
      </c>
      <c r="I15254" t="s">
        <v>30</v>
      </c>
      <c r="J15254" t="s">
        <v>41</v>
      </c>
      <c r="K15254" t="s">
        <v>59</v>
      </c>
      <c r="Q15254">
        <v>0</v>
      </c>
      <c r="R15254">
        <v>70</v>
      </c>
      <c r="S15254">
        <v>70</v>
      </c>
      <c r="T15254" t="s">
        <v>52793</v>
      </c>
    </row>
    <row r="15255" spans="1:20" customFormat="1" ht="15" x14ac:dyDescent="0.25">
      <c r="A15255" t="s">
        <v>35</v>
      </c>
      <c r="B15255" t="s">
        <v>61</v>
      </c>
      <c r="C15255" t="str">
        <f>"A0131062"</f>
        <v>A0131062</v>
      </c>
      <c r="D15255" t="s">
        <v>52794</v>
      </c>
      <c r="E15255" t="s">
        <v>52795</v>
      </c>
      <c r="F15255" t="s">
        <v>38304</v>
      </c>
      <c r="G15255" t="s">
        <v>137</v>
      </c>
      <c r="H15255">
        <v>639010000</v>
      </c>
      <c r="I15255" t="s">
        <v>30</v>
      </c>
      <c r="J15255" t="s">
        <v>41</v>
      </c>
      <c r="K15255" t="s">
        <v>59</v>
      </c>
      <c r="Q15255">
        <v>0</v>
      </c>
      <c r="R15255">
        <v>44</v>
      </c>
      <c r="S15255">
        <v>44</v>
      </c>
      <c r="T15255" t="s">
        <v>52796</v>
      </c>
    </row>
    <row r="15256" spans="1:20" customFormat="1" ht="15" x14ac:dyDescent="0.25">
      <c r="A15256" t="s">
        <v>35</v>
      </c>
      <c r="B15256" t="s">
        <v>61</v>
      </c>
      <c r="C15256" t="str">
        <f>"A0123104"</f>
        <v>A0123104</v>
      </c>
      <c r="D15256" t="s">
        <v>52797</v>
      </c>
      <c r="E15256" t="s">
        <v>52798</v>
      </c>
      <c r="F15256" t="s">
        <v>12474</v>
      </c>
      <c r="G15256" t="s">
        <v>47</v>
      </c>
      <c r="H15256">
        <v>97701</v>
      </c>
      <c r="I15256" t="s">
        <v>30</v>
      </c>
      <c r="J15256" t="s">
        <v>41</v>
      </c>
      <c r="K15256" t="s">
        <v>59</v>
      </c>
      <c r="Q15256">
        <v>0</v>
      </c>
      <c r="R15256">
        <v>116</v>
      </c>
      <c r="S15256">
        <v>116</v>
      </c>
      <c r="T15256" t="s">
        <v>52799</v>
      </c>
    </row>
    <row r="15257" spans="1:20" customFormat="1" ht="15" x14ac:dyDescent="0.25">
      <c r="A15257" t="s">
        <v>35</v>
      </c>
      <c r="B15257" t="s">
        <v>61</v>
      </c>
      <c r="C15257" t="str">
        <f>"A0123614"</f>
        <v>A0123614</v>
      </c>
      <c r="D15257" t="s">
        <v>52800</v>
      </c>
      <c r="E15257" t="s">
        <v>52801</v>
      </c>
      <c r="F15257" t="s">
        <v>19594</v>
      </c>
      <c r="G15257" t="s">
        <v>846</v>
      </c>
      <c r="H15257">
        <v>31210</v>
      </c>
      <c r="I15257" t="s">
        <v>30</v>
      </c>
      <c r="J15257" t="s">
        <v>41</v>
      </c>
      <c r="K15257" t="s">
        <v>41136</v>
      </c>
      <c r="Q15257">
        <v>0</v>
      </c>
      <c r="R15257">
        <v>0</v>
      </c>
      <c r="S15257">
        <v>0</v>
      </c>
      <c r="T15257" t="s">
        <v>52802</v>
      </c>
    </row>
    <row r="15258" spans="1:20" customFormat="1" ht="15" x14ac:dyDescent="0.25">
      <c r="A15258" t="s">
        <v>35</v>
      </c>
      <c r="B15258" t="s">
        <v>437</v>
      </c>
      <c r="C15258" t="str">
        <f>"A0134004"</f>
        <v>A0134004</v>
      </c>
      <c r="D15258" t="s">
        <v>52803</v>
      </c>
      <c r="E15258" t="s">
        <v>52804</v>
      </c>
      <c r="F15258" t="s">
        <v>9135</v>
      </c>
      <c r="G15258" t="s">
        <v>110</v>
      </c>
      <c r="H15258">
        <v>95131</v>
      </c>
      <c r="I15258" t="s">
        <v>30</v>
      </c>
      <c r="J15258" t="s">
        <v>441</v>
      </c>
      <c r="K15258" t="s">
        <v>442</v>
      </c>
      <c r="Q15258">
        <v>0</v>
      </c>
      <c r="R15258">
        <v>0</v>
      </c>
      <c r="S15258">
        <v>0</v>
      </c>
      <c r="T15258" t="s">
        <v>52805</v>
      </c>
    </row>
    <row r="15259" spans="1:20" customFormat="1" ht="15" x14ac:dyDescent="0.25">
      <c r="A15259" t="s">
        <v>35</v>
      </c>
      <c r="B15259" t="s">
        <v>61</v>
      </c>
      <c r="C15259" t="str">
        <f>"A0125786"</f>
        <v>A0125786</v>
      </c>
      <c r="D15259" t="s">
        <v>52806</v>
      </c>
      <c r="E15259" t="s">
        <v>52807</v>
      </c>
      <c r="F15259" t="s">
        <v>1735</v>
      </c>
      <c r="G15259" t="s">
        <v>29</v>
      </c>
      <c r="H15259">
        <v>22801</v>
      </c>
      <c r="I15259" t="s">
        <v>30</v>
      </c>
      <c r="J15259" t="s">
        <v>41</v>
      </c>
      <c r="K15259" t="s">
        <v>59</v>
      </c>
      <c r="Q15259">
        <v>0</v>
      </c>
      <c r="R15259">
        <v>60</v>
      </c>
      <c r="S15259">
        <v>60</v>
      </c>
      <c r="T15259" t="s">
        <v>52808</v>
      </c>
    </row>
    <row r="15260" spans="1:20" customFormat="1" ht="15" x14ac:dyDescent="0.25">
      <c r="A15260" t="s">
        <v>35</v>
      </c>
      <c r="B15260" t="s">
        <v>61</v>
      </c>
      <c r="C15260" t="str">
        <f>"A0130968"</f>
        <v>A0130968</v>
      </c>
      <c r="D15260" t="s">
        <v>52809</v>
      </c>
      <c r="E15260" t="s">
        <v>52810</v>
      </c>
      <c r="F15260" t="s">
        <v>33265</v>
      </c>
      <c r="G15260" t="s">
        <v>85</v>
      </c>
      <c r="H15260">
        <v>721430000</v>
      </c>
      <c r="I15260" t="s">
        <v>30</v>
      </c>
      <c r="J15260" t="s">
        <v>41</v>
      </c>
      <c r="K15260" t="s">
        <v>2760</v>
      </c>
      <c r="Q15260">
        <v>0</v>
      </c>
      <c r="R15260">
        <v>1</v>
      </c>
      <c r="S15260">
        <v>1</v>
      </c>
      <c r="T15260" t="s">
        <v>52811</v>
      </c>
    </row>
    <row r="15261" spans="1:20" customFormat="1" ht="15" x14ac:dyDescent="0.25">
      <c r="A15261" t="s">
        <v>35</v>
      </c>
      <c r="B15261" t="s">
        <v>437</v>
      </c>
      <c r="C15261" t="str">
        <f>"A0135185"</f>
        <v>A0135185</v>
      </c>
      <c r="D15261" t="s">
        <v>52812</v>
      </c>
      <c r="E15261" t="s">
        <v>52813</v>
      </c>
      <c r="F15261" t="s">
        <v>23599</v>
      </c>
      <c r="G15261" t="s">
        <v>99</v>
      </c>
      <c r="H15261">
        <v>13346</v>
      </c>
      <c r="I15261" t="s">
        <v>30</v>
      </c>
      <c r="J15261" t="s">
        <v>441</v>
      </c>
      <c r="K15261" t="s">
        <v>42</v>
      </c>
      <c r="Q15261">
        <v>0</v>
      </c>
      <c r="R15261">
        <v>0</v>
      </c>
      <c r="S15261">
        <v>0</v>
      </c>
      <c r="T15261" t="s">
        <v>52814</v>
      </c>
    </row>
    <row r="15262" spans="1:20" customFormat="1" ht="15" x14ac:dyDescent="0.25">
      <c r="A15262" t="s">
        <v>35</v>
      </c>
      <c r="B15262" t="s">
        <v>61</v>
      </c>
      <c r="C15262" t="str">
        <f>"A0129967"</f>
        <v>A0129967</v>
      </c>
      <c r="D15262" t="s">
        <v>52815</v>
      </c>
      <c r="E15262" t="s">
        <v>52816</v>
      </c>
      <c r="F15262" t="s">
        <v>52817</v>
      </c>
      <c r="G15262" t="s">
        <v>880</v>
      </c>
      <c r="H15262">
        <v>37188</v>
      </c>
      <c r="I15262" t="s">
        <v>30</v>
      </c>
      <c r="J15262" t="s">
        <v>41</v>
      </c>
      <c r="K15262" t="s">
        <v>229</v>
      </c>
      <c r="Q15262">
        <v>0</v>
      </c>
      <c r="R15262">
        <v>84</v>
      </c>
      <c r="S15262">
        <v>84</v>
      </c>
      <c r="T15262" t="s">
        <v>52818</v>
      </c>
    </row>
    <row r="15263" spans="1:20" customFormat="1" ht="15" x14ac:dyDescent="0.25">
      <c r="A15263" t="s">
        <v>35</v>
      </c>
      <c r="B15263" t="s">
        <v>61</v>
      </c>
      <c r="C15263" t="str">
        <f>"A0130890"</f>
        <v>A0130890</v>
      </c>
      <c r="D15263" t="s">
        <v>52819</v>
      </c>
      <c r="E15263" t="s">
        <v>52820</v>
      </c>
      <c r="F15263" t="s">
        <v>8703</v>
      </c>
      <c r="G15263" t="s">
        <v>137</v>
      </c>
      <c r="H15263">
        <v>641180000</v>
      </c>
      <c r="I15263" t="s">
        <v>30</v>
      </c>
      <c r="J15263" t="s">
        <v>41</v>
      </c>
      <c r="K15263" t="s">
        <v>229</v>
      </c>
      <c r="Q15263">
        <v>0</v>
      </c>
      <c r="R15263">
        <v>150</v>
      </c>
      <c r="S15263">
        <v>150</v>
      </c>
      <c r="T15263" t="s">
        <v>52821</v>
      </c>
    </row>
    <row r="15264" spans="1:20" customFormat="1" ht="15" x14ac:dyDescent="0.25">
      <c r="A15264" t="s">
        <v>35</v>
      </c>
      <c r="B15264" t="s">
        <v>61</v>
      </c>
      <c r="C15264" t="str">
        <f>"A0122054"</f>
        <v>A0122054</v>
      </c>
      <c r="D15264" t="s">
        <v>52822</v>
      </c>
      <c r="E15264" t="s">
        <v>52823</v>
      </c>
      <c r="F15264" t="s">
        <v>21910</v>
      </c>
      <c r="G15264" t="s">
        <v>221</v>
      </c>
      <c r="H15264">
        <v>89301</v>
      </c>
      <c r="I15264" t="s">
        <v>30</v>
      </c>
      <c r="J15264" t="s">
        <v>41</v>
      </c>
      <c r="K15264" t="s">
        <v>229</v>
      </c>
      <c r="Q15264">
        <v>0</v>
      </c>
      <c r="R15264">
        <v>97</v>
      </c>
      <c r="S15264">
        <v>97</v>
      </c>
      <c r="T15264" t="s">
        <v>52824</v>
      </c>
    </row>
    <row r="15265" spans="1:20" customFormat="1" ht="15" x14ac:dyDescent="0.25">
      <c r="A15265" t="s">
        <v>35</v>
      </c>
      <c r="B15265" t="s">
        <v>61</v>
      </c>
      <c r="C15265" t="str">
        <f>"A0130745"</f>
        <v>A0130745</v>
      </c>
      <c r="D15265" t="s">
        <v>52825</v>
      </c>
      <c r="E15265" t="s">
        <v>52826</v>
      </c>
      <c r="F15265" t="s">
        <v>52827</v>
      </c>
      <c r="G15265" t="s">
        <v>3236</v>
      </c>
      <c r="H15265">
        <v>57579</v>
      </c>
      <c r="I15265" t="s">
        <v>30</v>
      </c>
      <c r="J15265" t="s">
        <v>41</v>
      </c>
      <c r="K15265" t="s">
        <v>229</v>
      </c>
      <c r="Q15265">
        <v>0</v>
      </c>
      <c r="R15265">
        <v>52</v>
      </c>
      <c r="S15265">
        <v>52</v>
      </c>
      <c r="T15265" t="s">
        <v>52828</v>
      </c>
    </row>
    <row r="15266" spans="1:20" customFormat="1" ht="15" x14ac:dyDescent="0.25">
      <c r="A15266" t="s">
        <v>35</v>
      </c>
      <c r="B15266" t="s">
        <v>61</v>
      </c>
      <c r="C15266" t="str">
        <f>"A0125953"</f>
        <v>A0125953</v>
      </c>
      <c r="D15266" t="s">
        <v>52829</v>
      </c>
      <c r="E15266" t="s">
        <v>52830</v>
      </c>
      <c r="F15266" t="s">
        <v>30240</v>
      </c>
      <c r="G15266" t="s">
        <v>29</v>
      </c>
      <c r="H15266">
        <v>22844</v>
      </c>
      <c r="I15266" t="s">
        <v>30</v>
      </c>
      <c r="J15266" t="s">
        <v>41</v>
      </c>
      <c r="K15266" t="s">
        <v>482</v>
      </c>
      <c r="Q15266">
        <v>0</v>
      </c>
      <c r="R15266">
        <v>40</v>
      </c>
      <c r="S15266">
        <v>40</v>
      </c>
      <c r="T15266" t="s">
        <v>52831</v>
      </c>
    </row>
    <row r="15267" spans="1:20" customFormat="1" ht="15" x14ac:dyDescent="0.25">
      <c r="A15267" t="s">
        <v>35</v>
      </c>
      <c r="B15267" t="s">
        <v>106</v>
      </c>
      <c r="C15267" t="str">
        <f>"A0135849"</f>
        <v>A0135849</v>
      </c>
      <c r="D15267" t="s">
        <v>52832</v>
      </c>
      <c r="E15267" t="s">
        <v>52833</v>
      </c>
      <c r="F15267" t="s">
        <v>52834</v>
      </c>
      <c r="G15267" t="s">
        <v>1184</v>
      </c>
      <c r="H15267">
        <v>59937</v>
      </c>
      <c r="I15267" t="s">
        <v>30</v>
      </c>
      <c r="J15267" t="s">
        <v>111</v>
      </c>
      <c r="K15267" t="s">
        <v>112</v>
      </c>
      <c r="Q15267">
        <v>0</v>
      </c>
      <c r="R15267">
        <v>0</v>
      </c>
      <c r="S15267">
        <v>0</v>
      </c>
      <c r="T15267" t="s">
        <v>52835</v>
      </c>
    </row>
    <row r="15268" spans="1:20" customFormat="1" ht="15" x14ac:dyDescent="0.25">
      <c r="A15268" t="s">
        <v>35</v>
      </c>
      <c r="B15268" t="s">
        <v>106</v>
      </c>
      <c r="C15268" t="str">
        <f>"A0136575"</f>
        <v>A0136575</v>
      </c>
      <c r="D15268" t="s">
        <v>52836</v>
      </c>
      <c r="E15268" t="s">
        <v>52837</v>
      </c>
      <c r="F15268" t="s">
        <v>20312</v>
      </c>
      <c r="G15268" t="s">
        <v>1184</v>
      </c>
      <c r="H15268">
        <v>59759</v>
      </c>
      <c r="I15268" t="s">
        <v>30</v>
      </c>
      <c r="J15268" t="s">
        <v>111</v>
      </c>
      <c r="K15268" t="s">
        <v>112</v>
      </c>
      <c r="Q15268">
        <v>0</v>
      </c>
      <c r="R15268">
        <v>0</v>
      </c>
      <c r="S15268">
        <v>0</v>
      </c>
      <c r="T15268" t="s">
        <v>52838</v>
      </c>
    </row>
    <row r="15269" spans="1:20" customFormat="1" ht="15" x14ac:dyDescent="0.25">
      <c r="A15269" t="s">
        <v>35</v>
      </c>
      <c r="B15269" t="s">
        <v>61</v>
      </c>
      <c r="C15269" t="str">
        <f>"A0124524"</f>
        <v>A0124524</v>
      </c>
      <c r="D15269" t="s">
        <v>52839</v>
      </c>
      <c r="E15269" t="s">
        <v>52840</v>
      </c>
      <c r="F15269" t="s">
        <v>52841</v>
      </c>
      <c r="G15269" t="s">
        <v>1369</v>
      </c>
      <c r="H15269">
        <v>388340000</v>
      </c>
      <c r="I15269" t="s">
        <v>30</v>
      </c>
      <c r="J15269" t="s">
        <v>41</v>
      </c>
      <c r="K15269" t="s">
        <v>229</v>
      </c>
      <c r="Q15269">
        <v>0</v>
      </c>
      <c r="R15269">
        <v>44</v>
      </c>
      <c r="S15269">
        <v>44</v>
      </c>
      <c r="T15269" t="s">
        <v>52842</v>
      </c>
    </row>
    <row r="15270" spans="1:20" customFormat="1" ht="15" x14ac:dyDescent="0.25">
      <c r="A15270" t="s">
        <v>35</v>
      </c>
      <c r="B15270" t="s">
        <v>437</v>
      </c>
      <c r="C15270" t="str">
        <f>"A0133978"</f>
        <v>A0133978</v>
      </c>
      <c r="D15270" t="s">
        <v>52843</v>
      </c>
      <c r="E15270" t="s">
        <v>52844</v>
      </c>
      <c r="F15270" t="s">
        <v>20644</v>
      </c>
      <c r="G15270" t="s">
        <v>110</v>
      </c>
      <c r="H15270">
        <v>95050</v>
      </c>
      <c r="I15270" t="s">
        <v>30</v>
      </c>
      <c r="J15270" t="s">
        <v>441</v>
      </c>
      <c r="K15270" t="s">
        <v>442</v>
      </c>
      <c r="Q15270">
        <v>0</v>
      </c>
      <c r="R15270">
        <v>0</v>
      </c>
      <c r="S15270">
        <v>0</v>
      </c>
      <c r="T15270" t="s">
        <v>52845</v>
      </c>
    </row>
    <row r="15271" spans="1:20" customFormat="1" ht="15" x14ac:dyDescent="0.25">
      <c r="A15271" t="s">
        <v>35</v>
      </c>
      <c r="B15271" t="s">
        <v>61</v>
      </c>
      <c r="C15271" t="str">
        <f>"A0154437"</f>
        <v>A0154437</v>
      </c>
      <c r="D15271" t="s">
        <v>52846</v>
      </c>
      <c r="E15271" t="s">
        <v>52847</v>
      </c>
      <c r="F15271" t="s">
        <v>3327</v>
      </c>
      <c r="G15271" t="s">
        <v>214</v>
      </c>
      <c r="H15271">
        <v>28412</v>
      </c>
      <c r="I15271" t="s">
        <v>30</v>
      </c>
      <c r="J15271" t="s">
        <v>41</v>
      </c>
      <c r="K15271" t="s">
        <v>131</v>
      </c>
      <c r="Q15271">
        <v>0</v>
      </c>
      <c r="R15271">
        <v>4</v>
      </c>
      <c r="S15271">
        <v>4</v>
      </c>
      <c r="T15271" t="s">
        <v>72</v>
      </c>
    </row>
    <row r="15272" spans="1:20" customFormat="1" ht="15" x14ac:dyDescent="0.25">
      <c r="A15272" t="s">
        <v>35</v>
      </c>
      <c r="B15272" t="s">
        <v>61</v>
      </c>
      <c r="C15272" t="str">
        <f>"A0127563"</f>
        <v>A0127563</v>
      </c>
      <c r="D15272" t="s">
        <v>52848</v>
      </c>
      <c r="E15272" t="s">
        <v>52849</v>
      </c>
      <c r="F15272" t="s">
        <v>11868</v>
      </c>
      <c r="G15272" t="s">
        <v>123</v>
      </c>
      <c r="H15272">
        <v>21801</v>
      </c>
      <c r="I15272" t="s">
        <v>30</v>
      </c>
      <c r="J15272" t="s">
        <v>41</v>
      </c>
      <c r="K15272" t="s">
        <v>229</v>
      </c>
      <c r="Q15272">
        <v>0</v>
      </c>
      <c r="R15272">
        <v>79</v>
      </c>
      <c r="S15272">
        <v>102</v>
      </c>
      <c r="T15272" t="s">
        <v>52850</v>
      </c>
    </row>
    <row r="15273" spans="1:20" customFormat="1" ht="15" x14ac:dyDescent="0.25">
      <c r="A15273" t="s">
        <v>35</v>
      </c>
      <c r="B15273" t="s">
        <v>61</v>
      </c>
      <c r="C15273" t="str">
        <f>"A0118104"</f>
        <v>A0118104</v>
      </c>
      <c r="D15273" t="s">
        <v>52851</v>
      </c>
      <c r="E15273" t="s">
        <v>52852</v>
      </c>
      <c r="F15273" t="s">
        <v>24406</v>
      </c>
      <c r="G15273" t="s">
        <v>190</v>
      </c>
      <c r="H15273">
        <v>80033</v>
      </c>
      <c r="I15273" t="s">
        <v>30</v>
      </c>
      <c r="J15273" t="s">
        <v>41</v>
      </c>
      <c r="K15273" t="s">
        <v>229</v>
      </c>
      <c r="Q15273">
        <v>0</v>
      </c>
      <c r="R15273">
        <v>30</v>
      </c>
      <c r="S15273">
        <v>30</v>
      </c>
      <c r="T15273" t="s">
        <v>52853</v>
      </c>
    </row>
    <row r="15274" spans="1:20" customFormat="1" ht="15" x14ac:dyDescent="0.25">
      <c r="A15274" t="s">
        <v>35</v>
      </c>
      <c r="B15274" t="s">
        <v>61</v>
      </c>
      <c r="C15274" t="str">
        <f>"A0132188"</f>
        <v>A0132188</v>
      </c>
      <c r="D15274" t="s">
        <v>52854</v>
      </c>
      <c r="E15274" t="s">
        <v>52855</v>
      </c>
      <c r="F15274" t="s">
        <v>52856</v>
      </c>
      <c r="G15274" t="s">
        <v>65</v>
      </c>
      <c r="H15274">
        <v>435320000</v>
      </c>
      <c r="I15274" t="s">
        <v>30</v>
      </c>
      <c r="J15274" t="s">
        <v>41</v>
      </c>
      <c r="K15274" t="s">
        <v>42</v>
      </c>
      <c r="Q15274">
        <v>0</v>
      </c>
      <c r="R15274">
        <v>1</v>
      </c>
      <c r="S15274">
        <v>1</v>
      </c>
      <c r="T15274" t="s">
        <v>52857</v>
      </c>
    </row>
    <row r="15275" spans="1:20" customFormat="1" ht="15" x14ac:dyDescent="0.25">
      <c r="A15275" t="s">
        <v>35</v>
      </c>
      <c r="B15275" t="s">
        <v>61</v>
      </c>
      <c r="C15275" t="str">
        <f>"A0132844"</f>
        <v>A0132844</v>
      </c>
      <c r="D15275" t="s">
        <v>52858</v>
      </c>
      <c r="E15275" t="s">
        <v>52859</v>
      </c>
      <c r="F15275" t="s">
        <v>3478</v>
      </c>
      <c r="G15275" t="s">
        <v>65</v>
      </c>
      <c r="H15275">
        <v>45403</v>
      </c>
      <c r="I15275" t="s">
        <v>30</v>
      </c>
      <c r="J15275" t="s">
        <v>41</v>
      </c>
      <c r="K15275" t="s">
        <v>229</v>
      </c>
      <c r="Q15275">
        <v>0</v>
      </c>
      <c r="R15275">
        <v>50</v>
      </c>
      <c r="S15275">
        <v>50</v>
      </c>
      <c r="T15275" t="s">
        <v>52860</v>
      </c>
    </row>
    <row r="15276" spans="1:20" customFormat="1" ht="15" x14ac:dyDescent="0.25">
      <c r="A15276" t="s">
        <v>35</v>
      </c>
      <c r="B15276" t="s">
        <v>61</v>
      </c>
      <c r="C15276" t="str">
        <f>"A0128314"</f>
        <v>A0128314</v>
      </c>
      <c r="D15276" t="s">
        <v>52861</v>
      </c>
      <c r="E15276" t="s">
        <v>52862</v>
      </c>
      <c r="F15276" t="s">
        <v>52863</v>
      </c>
      <c r="G15276" t="s">
        <v>427</v>
      </c>
      <c r="H15276">
        <v>68465</v>
      </c>
      <c r="I15276" t="s">
        <v>30</v>
      </c>
      <c r="J15276" t="s">
        <v>41</v>
      </c>
      <c r="K15276" t="s">
        <v>229</v>
      </c>
      <c r="Q15276">
        <v>0</v>
      </c>
      <c r="R15276">
        <v>112</v>
      </c>
      <c r="S15276">
        <v>112</v>
      </c>
      <c r="T15276" t="s">
        <v>52864</v>
      </c>
    </row>
    <row r="15277" spans="1:20" customFormat="1" ht="15" x14ac:dyDescent="0.25">
      <c r="A15277" t="s">
        <v>35</v>
      </c>
      <c r="B15277" t="s">
        <v>61</v>
      </c>
      <c r="C15277" t="str">
        <f>"A0121774"</f>
        <v>A0121774</v>
      </c>
      <c r="D15277" t="s">
        <v>52865</v>
      </c>
      <c r="E15277" t="s">
        <v>52866</v>
      </c>
      <c r="F15277" t="s">
        <v>36555</v>
      </c>
      <c r="G15277" t="s">
        <v>110</v>
      </c>
      <c r="H15277">
        <v>92399</v>
      </c>
      <c r="I15277" t="s">
        <v>30</v>
      </c>
      <c r="J15277" t="s">
        <v>41</v>
      </c>
      <c r="K15277" t="s">
        <v>482</v>
      </c>
      <c r="Q15277">
        <v>0</v>
      </c>
      <c r="R15277">
        <v>130</v>
      </c>
      <c r="S15277">
        <v>130</v>
      </c>
      <c r="T15277" t="s">
        <v>52867</v>
      </c>
    </row>
    <row r="15278" spans="1:20" customFormat="1" ht="15" x14ac:dyDescent="0.25">
      <c r="A15278" t="s">
        <v>35</v>
      </c>
      <c r="B15278" t="s">
        <v>61</v>
      </c>
      <c r="C15278" t="str">
        <f>"A0124094"</f>
        <v>A0124094</v>
      </c>
      <c r="D15278" t="s">
        <v>52868</v>
      </c>
      <c r="E15278" t="s">
        <v>52869</v>
      </c>
      <c r="F15278" t="s">
        <v>52870</v>
      </c>
      <c r="G15278" t="s">
        <v>214</v>
      </c>
      <c r="H15278">
        <v>28697</v>
      </c>
      <c r="I15278" t="s">
        <v>30</v>
      </c>
      <c r="J15278" t="s">
        <v>41</v>
      </c>
      <c r="K15278" t="s">
        <v>482</v>
      </c>
      <c r="Q15278">
        <v>0</v>
      </c>
      <c r="R15278">
        <v>60</v>
      </c>
      <c r="S15278">
        <v>60</v>
      </c>
      <c r="T15278" t="s">
        <v>52871</v>
      </c>
    </row>
    <row r="15279" spans="1:20" customFormat="1" ht="15" x14ac:dyDescent="0.25">
      <c r="A15279" t="s">
        <v>35</v>
      </c>
      <c r="B15279" t="s">
        <v>61</v>
      </c>
      <c r="C15279" t="str">
        <f>"A0124095"</f>
        <v>A0124095</v>
      </c>
      <c r="D15279" t="s">
        <v>52872</v>
      </c>
      <c r="E15279" t="s">
        <v>52873</v>
      </c>
      <c r="F15279" t="s">
        <v>48707</v>
      </c>
      <c r="G15279" t="s">
        <v>214</v>
      </c>
      <c r="H15279">
        <v>28677</v>
      </c>
      <c r="I15279" t="s">
        <v>30</v>
      </c>
      <c r="J15279" t="s">
        <v>41</v>
      </c>
      <c r="K15279" t="s">
        <v>482</v>
      </c>
      <c r="Q15279">
        <v>0</v>
      </c>
      <c r="R15279">
        <v>80</v>
      </c>
      <c r="S15279">
        <v>80</v>
      </c>
      <c r="T15279" t="s">
        <v>52874</v>
      </c>
    </row>
    <row r="15280" spans="1:20" customFormat="1" ht="15" x14ac:dyDescent="0.25">
      <c r="A15280" t="s">
        <v>35</v>
      </c>
      <c r="B15280" t="s">
        <v>61</v>
      </c>
      <c r="C15280" t="str">
        <f>"A0124096"</f>
        <v>A0124096</v>
      </c>
      <c r="D15280" t="s">
        <v>52875</v>
      </c>
      <c r="E15280" t="s">
        <v>52876</v>
      </c>
      <c r="F15280" t="s">
        <v>52877</v>
      </c>
      <c r="G15280" t="s">
        <v>846</v>
      </c>
      <c r="H15280">
        <v>30680</v>
      </c>
      <c r="I15280" t="s">
        <v>30</v>
      </c>
      <c r="J15280" t="s">
        <v>41</v>
      </c>
      <c r="K15280" t="s">
        <v>59</v>
      </c>
      <c r="Q15280">
        <v>0</v>
      </c>
      <c r="R15280">
        <v>50</v>
      </c>
      <c r="S15280">
        <v>50</v>
      </c>
      <c r="T15280" t="s">
        <v>52878</v>
      </c>
    </row>
    <row r="15281" spans="1:20" customFormat="1" ht="15" x14ac:dyDescent="0.25">
      <c r="A15281" t="s">
        <v>35</v>
      </c>
      <c r="B15281" t="s">
        <v>61</v>
      </c>
      <c r="C15281" t="str">
        <f>"A0129091"</f>
        <v>A0129091</v>
      </c>
      <c r="D15281" t="s">
        <v>52879</v>
      </c>
      <c r="E15281" t="s">
        <v>52880</v>
      </c>
      <c r="F15281" t="s">
        <v>19668</v>
      </c>
      <c r="G15281" t="s">
        <v>289</v>
      </c>
      <c r="H15281">
        <v>60431</v>
      </c>
      <c r="I15281" t="s">
        <v>30</v>
      </c>
      <c r="J15281" t="s">
        <v>41</v>
      </c>
      <c r="K15281" t="s">
        <v>8643</v>
      </c>
      <c r="Q15281">
        <v>0</v>
      </c>
      <c r="R15281">
        <v>119</v>
      </c>
      <c r="S15281">
        <v>119</v>
      </c>
      <c r="T15281" t="s">
        <v>52881</v>
      </c>
    </row>
    <row r="15282" spans="1:20" customFormat="1" ht="15" x14ac:dyDescent="0.25">
      <c r="A15282" t="s">
        <v>35</v>
      </c>
      <c r="B15282" t="s">
        <v>106</v>
      </c>
      <c r="C15282" t="str">
        <f>"A0136261"</f>
        <v>A0136261</v>
      </c>
      <c r="D15282" t="s">
        <v>52882</v>
      </c>
      <c r="E15282" t="s">
        <v>52883</v>
      </c>
      <c r="F15282" t="s">
        <v>52884</v>
      </c>
      <c r="G15282" t="s">
        <v>137</v>
      </c>
      <c r="H15282">
        <v>65781</v>
      </c>
      <c r="I15282" t="s">
        <v>30</v>
      </c>
      <c r="J15282" t="s">
        <v>111</v>
      </c>
      <c r="K15282" t="s">
        <v>112</v>
      </c>
      <c r="Q15282">
        <v>0</v>
      </c>
      <c r="R15282">
        <v>0</v>
      </c>
      <c r="S15282">
        <v>0</v>
      </c>
      <c r="T15282" t="s">
        <v>52885</v>
      </c>
    </row>
    <row r="15283" spans="1:20" customFormat="1" ht="15" x14ac:dyDescent="0.25">
      <c r="A15283" t="s">
        <v>35</v>
      </c>
      <c r="B15283" t="s">
        <v>61</v>
      </c>
      <c r="C15283" t="str">
        <f>"A0124555"</f>
        <v>A0124555</v>
      </c>
      <c r="D15283" t="s">
        <v>52886</v>
      </c>
      <c r="E15283" t="s">
        <v>52887</v>
      </c>
      <c r="F15283" t="s">
        <v>52888</v>
      </c>
      <c r="G15283" t="s">
        <v>1706</v>
      </c>
      <c r="H15283">
        <v>365070000</v>
      </c>
      <c r="I15283" t="s">
        <v>30</v>
      </c>
      <c r="J15283" t="s">
        <v>41</v>
      </c>
      <c r="K15283" t="s">
        <v>229</v>
      </c>
      <c r="Q15283">
        <v>0</v>
      </c>
      <c r="R15283">
        <v>150</v>
      </c>
      <c r="S15283">
        <v>150</v>
      </c>
      <c r="T15283" t="s">
        <v>52889</v>
      </c>
    </row>
    <row r="15284" spans="1:20" customFormat="1" ht="15" x14ac:dyDescent="0.25">
      <c r="A15284" t="s">
        <v>35</v>
      </c>
      <c r="B15284" t="s">
        <v>61</v>
      </c>
      <c r="C15284" t="str">
        <f>"A0129949"</f>
        <v>A0129949</v>
      </c>
      <c r="D15284" t="s">
        <v>52890</v>
      </c>
      <c r="E15284" t="s">
        <v>52891</v>
      </c>
      <c r="F15284" t="s">
        <v>52892</v>
      </c>
      <c r="G15284" t="s">
        <v>880</v>
      </c>
      <c r="H15284">
        <v>38011</v>
      </c>
      <c r="I15284" t="s">
        <v>30</v>
      </c>
      <c r="J15284" t="s">
        <v>41</v>
      </c>
      <c r="K15284" t="s">
        <v>59</v>
      </c>
      <c r="Q15284">
        <v>0</v>
      </c>
      <c r="R15284">
        <v>31</v>
      </c>
      <c r="S15284">
        <v>31</v>
      </c>
      <c r="T15284" t="s">
        <v>52893</v>
      </c>
    </row>
    <row r="15285" spans="1:20" customFormat="1" ht="15" x14ac:dyDescent="0.25">
      <c r="A15285" t="s">
        <v>35</v>
      </c>
      <c r="B15285" t="s">
        <v>106</v>
      </c>
      <c r="C15285" t="str">
        <f>"A0136021"</f>
        <v>A0136021</v>
      </c>
      <c r="D15285" t="s">
        <v>52894</v>
      </c>
      <c r="E15285" t="s">
        <v>52895</v>
      </c>
      <c r="F15285" t="s">
        <v>38107</v>
      </c>
      <c r="G15285" t="s">
        <v>899</v>
      </c>
      <c r="H15285">
        <v>1267</v>
      </c>
      <c r="I15285" t="s">
        <v>30</v>
      </c>
      <c r="J15285" t="s">
        <v>111</v>
      </c>
      <c r="K15285" t="s">
        <v>10012</v>
      </c>
      <c r="Q15285">
        <v>0</v>
      </c>
      <c r="R15285">
        <v>0</v>
      </c>
      <c r="S15285">
        <v>0</v>
      </c>
      <c r="T15285" t="s">
        <v>52896</v>
      </c>
    </row>
    <row r="15286" spans="1:20" customFormat="1" ht="15" x14ac:dyDescent="0.25">
      <c r="A15286" t="s">
        <v>35</v>
      </c>
      <c r="B15286" t="s">
        <v>61</v>
      </c>
      <c r="C15286" t="str">
        <f>"A0124483"</f>
        <v>A0124483</v>
      </c>
      <c r="D15286" t="s">
        <v>52897</v>
      </c>
      <c r="E15286" t="s">
        <v>52898</v>
      </c>
      <c r="F15286" t="s">
        <v>4108</v>
      </c>
      <c r="G15286" t="s">
        <v>1706</v>
      </c>
      <c r="H15286">
        <v>362740000</v>
      </c>
      <c r="I15286" t="s">
        <v>30</v>
      </c>
      <c r="J15286" t="s">
        <v>41</v>
      </c>
      <c r="K15286" t="s">
        <v>229</v>
      </c>
      <c r="Q15286">
        <v>0</v>
      </c>
      <c r="R15286">
        <v>16</v>
      </c>
      <c r="S15286">
        <v>16</v>
      </c>
      <c r="T15286" t="s">
        <v>52899</v>
      </c>
    </row>
    <row r="15287" spans="1:20" customFormat="1" ht="15" x14ac:dyDescent="0.25">
      <c r="A15287" t="s">
        <v>35</v>
      </c>
      <c r="B15287" t="s">
        <v>61</v>
      </c>
      <c r="C15287" t="str">
        <f>"A0118151"</f>
        <v>A0118151</v>
      </c>
      <c r="D15287" t="s">
        <v>52900</v>
      </c>
      <c r="E15287" t="s">
        <v>52901</v>
      </c>
      <c r="F15287" t="s">
        <v>4742</v>
      </c>
      <c r="G15287" t="s">
        <v>153</v>
      </c>
      <c r="H15287">
        <v>84321</v>
      </c>
      <c r="I15287" t="s">
        <v>30</v>
      </c>
      <c r="J15287" t="s">
        <v>41</v>
      </c>
      <c r="K15287" t="s">
        <v>59</v>
      </c>
      <c r="Q15287">
        <v>0</v>
      </c>
      <c r="R15287">
        <v>54</v>
      </c>
      <c r="S15287">
        <v>54</v>
      </c>
      <c r="T15287" t="s">
        <v>52902</v>
      </c>
    </row>
    <row r="15288" spans="1:20" customFormat="1" ht="15" x14ac:dyDescent="0.25">
      <c r="A15288" t="s">
        <v>35</v>
      </c>
      <c r="B15288" t="s">
        <v>61</v>
      </c>
      <c r="C15288" t="str">
        <f>"A0124007"</f>
        <v>A0124007</v>
      </c>
      <c r="D15288" t="s">
        <v>52903</v>
      </c>
      <c r="E15288" t="s">
        <v>52904</v>
      </c>
      <c r="F15288" t="s">
        <v>7257</v>
      </c>
      <c r="G15288" t="s">
        <v>29</v>
      </c>
      <c r="H15288">
        <v>23647</v>
      </c>
      <c r="I15288" t="s">
        <v>30</v>
      </c>
      <c r="J15288" t="s">
        <v>41</v>
      </c>
      <c r="K15288" t="s">
        <v>59</v>
      </c>
      <c r="Q15288">
        <v>0</v>
      </c>
      <c r="R15288">
        <v>120</v>
      </c>
      <c r="S15288">
        <v>120</v>
      </c>
      <c r="T15288" t="s">
        <v>52905</v>
      </c>
    </row>
    <row r="15289" spans="1:20" customFormat="1" ht="15" x14ac:dyDescent="0.25">
      <c r="A15289" t="s">
        <v>35</v>
      </c>
      <c r="B15289" t="s">
        <v>61</v>
      </c>
      <c r="C15289" t="str">
        <f>"A0133243"</f>
        <v>A0133243</v>
      </c>
      <c r="D15289" t="s">
        <v>52906</v>
      </c>
      <c r="E15289" t="s">
        <v>52907</v>
      </c>
      <c r="F15289" t="s">
        <v>12268</v>
      </c>
      <c r="G15289" t="s">
        <v>52</v>
      </c>
      <c r="H15289">
        <v>765110000</v>
      </c>
      <c r="I15289" t="s">
        <v>30</v>
      </c>
      <c r="J15289" t="s">
        <v>41</v>
      </c>
      <c r="K15289" t="s">
        <v>229</v>
      </c>
      <c r="Q15289">
        <v>0</v>
      </c>
      <c r="R15289">
        <v>90</v>
      </c>
      <c r="S15289">
        <v>90</v>
      </c>
      <c r="T15289" t="s">
        <v>52908</v>
      </c>
    </row>
    <row r="15290" spans="1:20" customFormat="1" ht="15" x14ac:dyDescent="0.25">
      <c r="A15290" t="s">
        <v>35</v>
      </c>
      <c r="B15290" t="s">
        <v>61</v>
      </c>
      <c r="C15290" t="str">
        <f>"A0122656"</f>
        <v>A0122656</v>
      </c>
      <c r="D15290" t="s">
        <v>52909</v>
      </c>
      <c r="E15290" t="s">
        <v>52910</v>
      </c>
      <c r="F15290" t="s">
        <v>52911</v>
      </c>
      <c r="G15290" t="s">
        <v>76</v>
      </c>
      <c r="H15290">
        <v>99021</v>
      </c>
      <c r="I15290" t="s">
        <v>30</v>
      </c>
      <c r="J15290" t="s">
        <v>41</v>
      </c>
      <c r="K15290" t="s">
        <v>59</v>
      </c>
      <c r="Q15290">
        <v>0</v>
      </c>
      <c r="R15290">
        <v>20</v>
      </c>
      <c r="S15290">
        <v>20</v>
      </c>
      <c r="T15290" t="s">
        <v>52912</v>
      </c>
    </row>
    <row r="15291" spans="1:20" customFormat="1" ht="15" x14ac:dyDescent="0.25">
      <c r="A15291" t="s">
        <v>35</v>
      </c>
      <c r="B15291" t="s">
        <v>61</v>
      </c>
      <c r="C15291" t="str">
        <f>"A0125176"</f>
        <v>A0125176</v>
      </c>
      <c r="D15291" t="s">
        <v>52913</v>
      </c>
      <c r="E15291" t="s">
        <v>52914</v>
      </c>
      <c r="F15291" t="s">
        <v>52915</v>
      </c>
      <c r="G15291" t="s">
        <v>40</v>
      </c>
      <c r="H15291">
        <v>74653</v>
      </c>
      <c r="I15291" t="s">
        <v>30</v>
      </c>
      <c r="J15291" t="s">
        <v>41</v>
      </c>
      <c r="K15291" t="s">
        <v>229</v>
      </c>
      <c r="Q15291">
        <v>0</v>
      </c>
      <c r="R15291">
        <v>49</v>
      </c>
      <c r="S15291">
        <v>49</v>
      </c>
      <c r="T15291" t="s">
        <v>52916</v>
      </c>
    </row>
    <row r="15292" spans="1:20" customFormat="1" ht="15" x14ac:dyDescent="0.25">
      <c r="A15292" t="s">
        <v>35</v>
      </c>
      <c r="B15292" t="s">
        <v>61</v>
      </c>
      <c r="C15292" t="str">
        <f>"A0118109"</f>
        <v>A0118109</v>
      </c>
      <c r="D15292" t="s">
        <v>52917</v>
      </c>
      <c r="E15292" t="s">
        <v>52918</v>
      </c>
      <c r="F15292" t="s">
        <v>52919</v>
      </c>
      <c r="G15292" t="s">
        <v>1587</v>
      </c>
      <c r="H15292">
        <v>88030</v>
      </c>
      <c r="I15292" t="s">
        <v>30</v>
      </c>
      <c r="J15292" t="s">
        <v>41</v>
      </c>
      <c r="K15292" t="s">
        <v>59</v>
      </c>
      <c r="Q15292">
        <v>0</v>
      </c>
      <c r="R15292">
        <v>57</v>
      </c>
      <c r="S15292">
        <v>57</v>
      </c>
      <c r="T15292" t="s">
        <v>52920</v>
      </c>
    </row>
    <row r="15293" spans="1:20" customFormat="1" ht="15" x14ac:dyDescent="0.25">
      <c r="A15293" t="s">
        <v>35</v>
      </c>
      <c r="B15293" t="s">
        <v>61</v>
      </c>
      <c r="C15293" t="str">
        <f>"A0125380"</f>
        <v>A0125380</v>
      </c>
      <c r="D15293" t="s">
        <v>52921</v>
      </c>
      <c r="E15293" t="s">
        <v>52922</v>
      </c>
      <c r="F15293" t="s">
        <v>17235</v>
      </c>
      <c r="G15293" t="s">
        <v>40</v>
      </c>
      <c r="H15293">
        <v>73505</v>
      </c>
      <c r="I15293" t="s">
        <v>30</v>
      </c>
      <c r="J15293" t="s">
        <v>41</v>
      </c>
      <c r="K15293" t="s">
        <v>229</v>
      </c>
      <c r="Q15293">
        <v>0</v>
      </c>
      <c r="R15293">
        <v>127</v>
      </c>
      <c r="S15293">
        <v>127</v>
      </c>
      <c r="T15293" t="s">
        <v>52923</v>
      </c>
    </row>
    <row r="15294" spans="1:20" customFormat="1" ht="15" x14ac:dyDescent="0.25">
      <c r="A15294" t="s">
        <v>35</v>
      </c>
      <c r="B15294" t="s">
        <v>61</v>
      </c>
      <c r="C15294" t="str">
        <f>"A0125441"</f>
        <v>A0125441</v>
      </c>
      <c r="D15294" t="s">
        <v>18479</v>
      </c>
      <c r="E15294" t="s">
        <v>52924</v>
      </c>
      <c r="F15294" t="s">
        <v>36904</v>
      </c>
      <c r="G15294" t="s">
        <v>40</v>
      </c>
      <c r="H15294">
        <v>74883</v>
      </c>
      <c r="I15294" t="s">
        <v>30</v>
      </c>
      <c r="J15294" t="s">
        <v>41</v>
      </c>
      <c r="K15294" t="s">
        <v>131</v>
      </c>
      <c r="Q15294">
        <v>0</v>
      </c>
      <c r="R15294">
        <v>16</v>
      </c>
      <c r="S15294">
        <v>16</v>
      </c>
      <c r="T15294" t="s">
        <v>36905</v>
      </c>
    </row>
    <row r="15295" spans="1:20" customFormat="1" ht="15" x14ac:dyDescent="0.25">
      <c r="A15295" t="s">
        <v>35</v>
      </c>
      <c r="B15295" t="s">
        <v>61</v>
      </c>
      <c r="C15295" t="str">
        <f>"A0125726"</f>
        <v>A0125726</v>
      </c>
      <c r="D15295" t="s">
        <v>52925</v>
      </c>
      <c r="E15295" t="s">
        <v>52926</v>
      </c>
      <c r="F15295" t="s">
        <v>4310</v>
      </c>
      <c r="G15295" t="s">
        <v>29</v>
      </c>
      <c r="H15295">
        <v>22601</v>
      </c>
      <c r="I15295" t="s">
        <v>30</v>
      </c>
      <c r="J15295" t="s">
        <v>41</v>
      </c>
      <c r="K15295" t="s">
        <v>229</v>
      </c>
      <c r="Q15295">
        <v>0</v>
      </c>
      <c r="R15295">
        <v>80</v>
      </c>
      <c r="S15295">
        <v>80</v>
      </c>
      <c r="T15295" t="s">
        <v>52927</v>
      </c>
    </row>
    <row r="15296" spans="1:20" customFormat="1" ht="15" x14ac:dyDescent="0.25">
      <c r="A15296" t="s">
        <v>35</v>
      </c>
      <c r="B15296" t="s">
        <v>61</v>
      </c>
      <c r="C15296" t="str">
        <f>"A0124414"</f>
        <v>A0124414</v>
      </c>
      <c r="D15296" t="s">
        <v>52928</v>
      </c>
      <c r="E15296" t="s">
        <v>52929</v>
      </c>
      <c r="F15296" t="s">
        <v>3009</v>
      </c>
      <c r="G15296" t="s">
        <v>52</v>
      </c>
      <c r="H15296">
        <v>75172</v>
      </c>
      <c r="I15296" t="s">
        <v>30</v>
      </c>
      <c r="J15296" t="s">
        <v>41</v>
      </c>
      <c r="K15296" t="s">
        <v>59</v>
      </c>
      <c r="Q15296">
        <v>0</v>
      </c>
      <c r="R15296">
        <v>300</v>
      </c>
      <c r="S15296">
        <v>300</v>
      </c>
      <c r="T15296" t="s">
        <v>52930</v>
      </c>
    </row>
    <row r="15297" spans="1:20" customFormat="1" ht="15" x14ac:dyDescent="0.25">
      <c r="A15297" t="s">
        <v>35</v>
      </c>
      <c r="B15297" t="s">
        <v>61</v>
      </c>
      <c r="C15297" t="str">
        <f>"A0124008"</f>
        <v>A0124008</v>
      </c>
      <c r="D15297" t="s">
        <v>52931</v>
      </c>
      <c r="E15297" t="s">
        <v>52932</v>
      </c>
      <c r="F15297" t="s">
        <v>3327</v>
      </c>
      <c r="G15297" t="s">
        <v>214</v>
      </c>
      <c r="H15297">
        <v>28401</v>
      </c>
      <c r="I15297" t="s">
        <v>30</v>
      </c>
      <c r="J15297" t="s">
        <v>41</v>
      </c>
      <c r="K15297" t="s">
        <v>59</v>
      </c>
      <c r="Q15297">
        <v>0</v>
      </c>
      <c r="R15297">
        <v>120</v>
      </c>
      <c r="S15297">
        <v>120</v>
      </c>
      <c r="T15297" t="s">
        <v>52933</v>
      </c>
    </row>
    <row r="15298" spans="1:20" customFormat="1" ht="15" x14ac:dyDescent="0.25">
      <c r="A15298" t="s">
        <v>35</v>
      </c>
      <c r="B15298" t="s">
        <v>61</v>
      </c>
      <c r="C15298" t="str">
        <f>"A0130949"</f>
        <v>A0130949</v>
      </c>
      <c r="D15298" t="s">
        <v>52934</v>
      </c>
      <c r="E15298" t="s">
        <v>52935</v>
      </c>
      <c r="F15298" t="s">
        <v>52936</v>
      </c>
      <c r="G15298" t="s">
        <v>85</v>
      </c>
      <c r="H15298">
        <v>716760000</v>
      </c>
      <c r="I15298" t="s">
        <v>30</v>
      </c>
      <c r="J15298" t="s">
        <v>41</v>
      </c>
      <c r="K15298" t="s">
        <v>2760</v>
      </c>
      <c r="Q15298">
        <v>0</v>
      </c>
      <c r="R15298">
        <v>1</v>
      </c>
      <c r="S15298">
        <v>1</v>
      </c>
      <c r="T15298" t="s">
        <v>52937</v>
      </c>
    </row>
    <row r="15299" spans="1:20" customFormat="1" ht="15" x14ac:dyDescent="0.25">
      <c r="A15299" t="s">
        <v>35</v>
      </c>
      <c r="B15299" t="s">
        <v>61</v>
      </c>
      <c r="C15299" t="str">
        <f>"A0150448"</f>
        <v>A0150448</v>
      </c>
      <c r="D15299" t="s">
        <v>52938</v>
      </c>
      <c r="E15299" t="s">
        <v>52939</v>
      </c>
      <c r="F15299" t="s">
        <v>15693</v>
      </c>
      <c r="G15299" t="s">
        <v>40</v>
      </c>
      <c r="H15299">
        <v>73463</v>
      </c>
      <c r="I15299" t="s">
        <v>30</v>
      </c>
      <c r="J15299" t="s">
        <v>41</v>
      </c>
      <c r="K15299" t="s">
        <v>229</v>
      </c>
      <c r="Q15299">
        <v>0</v>
      </c>
      <c r="R15299">
        <v>60</v>
      </c>
      <c r="S15299">
        <v>60</v>
      </c>
      <c r="T15299" t="s">
        <v>52940</v>
      </c>
    </row>
    <row r="15300" spans="1:20" customFormat="1" ht="15" x14ac:dyDescent="0.25">
      <c r="A15300" t="s">
        <v>35</v>
      </c>
      <c r="B15300" t="s">
        <v>61</v>
      </c>
      <c r="C15300" t="str">
        <f>"A0126717"</f>
        <v>A0126717</v>
      </c>
      <c r="D15300" t="s">
        <v>52941</v>
      </c>
      <c r="E15300" t="s">
        <v>52942</v>
      </c>
      <c r="F15300" t="s">
        <v>52943</v>
      </c>
      <c r="G15300" t="s">
        <v>338</v>
      </c>
      <c r="H15300">
        <v>7040</v>
      </c>
      <c r="I15300" t="s">
        <v>30</v>
      </c>
      <c r="J15300" t="s">
        <v>41</v>
      </c>
      <c r="K15300" t="s">
        <v>59</v>
      </c>
      <c r="Q15300">
        <v>0</v>
      </c>
      <c r="R15300">
        <v>115</v>
      </c>
      <c r="S15300">
        <v>115</v>
      </c>
      <c r="T15300" t="s">
        <v>52944</v>
      </c>
    </row>
    <row r="15301" spans="1:20" customFormat="1" ht="15" x14ac:dyDescent="0.25">
      <c r="A15301" t="s">
        <v>35</v>
      </c>
      <c r="B15301" t="s">
        <v>61</v>
      </c>
      <c r="C15301" t="str">
        <f>"A0151128"</f>
        <v>A0151128</v>
      </c>
      <c r="D15301" t="s">
        <v>52945</v>
      </c>
      <c r="E15301" t="s">
        <v>52946</v>
      </c>
      <c r="F15301" t="s">
        <v>52947</v>
      </c>
      <c r="G15301" t="s">
        <v>137</v>
      </c>
      <c r="H15301">
        <v>63822</v>
      </c>
      <c r="I15301" t="s">
        <v>30</v>
      </c>
      <c r="J15301" t="s">
        <v>41</v>
      </c>
      <c r="K15301" t="s">
        <v>229</v>
      </c>
      <c r="Q15301">
        <v>0</v>
      </c>
      <c r="R15301">
        <v>40</v>
      </c>
      <c r="S15301">
        <v>40</v>
      </c>
      <c r="T15301" t="s">
        <v>52948</v>
      </c>
    </row>
    <row r="15302" spans="1:20" customFormat="1" ht="15" x14ac:dyDescent="0.25">
      <c r="A15302" t="s">
        <v>35</v>
      </c>
      <c r="B15302" t="s">
        <v>61</v>
      </c>
      <c r="C15302" t="str">
        <f>"A0131039"</f>
        <v>A0131039</v>
      </c>
      <c r="D15302" t="s">
        <v>52949</v>
      </c>
      <c r="E15302" t="s">
        <v>52950</v>
      </c>
      <c r="F15302" t="s">
        <v>52947</v>
      </c>
      <c r="G15302" t="s">
        <v>137</v>
      </c>
      <c r="H15302">
        <v>63822</v>
      </c>
      <c r="I15302" t="s">
        <v>30</v>
      </c>
      <c r="J15302" t="s">
        <v>41</v>
      </c>
      <c r="K15302" t="s">
        <v>482</v>
      </c>
      <c r="Q15302">
        <v>0</v>
      </c>
      <c r="R15302">
        <v>40</v>
      </c>
      <c r="S15302">
        <v>40</v>
      </c>
      <c r="T15302" t="s">
        <v>52951</v>
      </c>
    </row>
    <row r="15303" spans="1:20" customFormat="1" ht="15" x14ac:dyDescent="0.25">
      <c r="A15303" t="s">
        <v>35</v>
      </c>
      <c r="B15303" t="s">
        <v>437</v>
      </c>
      <c r="C15303" t="str">
        <f>"A0133911"</f>
        <v>A0133911</v>
      </c>
      <c r="D15303" t="s">
        <v>52952</v>
      </c>
      <c r="E15303" t="s">
        <v>52953</v>
      </c>
      <c r="F15303" t="s">
        <v>33716</v>
      </c>
      <c r="G15303" t="s">
        <v>110</v>
      </c>
      <c r="H15303">
        <v>926290000</v>
      </c>
      <c r="I15303" t="s">
        <v>30</v>
      </c>
      <c r="J15303" t="s">
        <v>441</v>
      </c>
      <c r="K15303" t="s">
        <v>442</v>
      </c>
      <c r="Q15303">
        <v>0</v>
      </c>
      <c r="R15303">
        <v>0</v>
      </c>
      <c r="S15303">
        <v>0</v>
      </c>
      <c r="T15303" t="s">
        <v>52954</v>
      </c>
    </row>
    <row r="15304" spans="1:20" customFormat="1" ht="15" x14ac:dyDescent="0.25">
      <c r="A15304" t="s">
        <v>35</v>
      </c>
      <c r="B15304" t="s">
        <v>61</v>
      </c>
      <c r="C15304" t="str">
        <f>"A0127860"</f>
        <v>A0127860</v>
      </c>
      <c r="D15304" t="s">
        <v>52955</v>
      </c>
      <c r="E15304" t="s">
        <v>52956</v>
      </c>
      <c r="F15304" t="s">
        <v>460</v>
      </c>
      <c r="G15304" t="s">
        <v>117</v>
      </c>
      <c r="H15304">
        <v>48093</v>
      </c>
      <c r="I15304" t="s">
        <v>30</v>
      </c>
      <c r="J15304" t="s">
        <v>41</v>
      </c>
      <c r="K15304" t="s">
        <v>59</v>
      </c>
      <c r="Q15304">
        <v>0</v>
      </c>
      <c r="R15304">
        <v>202</v>
      </c>
      <c r="S15304">
        <v>202</v>
      </c>
      <c r="T15304" t="s">
        <v>52957</v>
      </c>
    </row>
    <row r="15305" spans="1:20" customFormat="1" ht="15" x14ac:dyDescent="0.25">
      <c r="A15305" t="s">
        <v>35</v>
      </c>
      <c r="B15305" t="s">
        <v>61</v>
      </c>
      <c r="C15305" t="str">
        <f>"A0127270"</f>
        <v>A0127270</v>
      </c>
      <c r="D15305" t="s">
        <v>52958</v>
      </c>
      <c r="E15305" t="s">
        <v>52959</v>
      </c>
      <c r="F15305" t="s">
        <v>52877</v>
      </c>
      <c r="G15305" t="s">
        <v>846</v>
      </c>
      <c r="H15305">
        <v>30680</v>
      </c>
      <c r="I15305" t="s">
        <v>30</v>
      </c>
      <c r="J15305" t="s">
        <v>41</v>
      </c>
      <c r="K15305" t="s">
        <v>229</v>
      </c>
      <c r="Q15305">
        <v>0</v>
      </c>
      <c r="R15305">
        <v>163</v>
      </c>
      <c r="S15305">
        <v>163</v>
      </c>
      <c r="T15305" t="s">
        <v>52960</v>
      </c>
    </row>
    <row r="15306" spans="1:20" customFormat="1" ht="15" x14ac:dyDescent="0.25">
      <c r="A15306" t="s">
        <v>35</v>
      </c>
      <c r="B15306" t="s">
        <v>61</v>
      </c>
      <c r="C15306" t="str">
        <f>"A0132728"</f>
        <v>A0132728</v>
      </c>
      <c r="D15306" t="s">
        <v>52961</v>
      </c>
      <c r="E15306" t="s">
        <v>52962</v>
      </c>
      <c r="F15306" t="s">
        <v>21119</v>
      </c>
      <c r="G15306" t="s">
        <v>65</v>
      </c>
      <c r="H15306">
        <v>44502</v>
      </c>
      <c r="I15306" t="s">
        <v>30</v>
      </c>
      <c r="J15306" t="s">
        <v>41</v>
      </c>
      <c r="K15306" t="s">
        <v>2477</v>
      </c>
      <c r="Q15306">
        <v>0</v>
      </c>
      <c r="R15306">
        <v>49</v>
      </c>
      <c r="S15306">
        <v>49</v>
      </c>
      <c r="T15306" t="s">
        <v>52963</v>
      </c>
    </row>
    <row r="15307" spans="1:20" customFormat="1" ht="15" x14ac:dyDescent="0.25">
      <c r="A15307" t="s">
        <v>35</v>
      </c>
      <c r="B15307" t="s">
        <v>61</v>
      </c>
      <c r="C15307" t="str">
        <f>"A0133741"</f>
        <v>A0133741</v>
      </c>
      <c r="D15307" t="s">
        <v>52964</v>
      </c>
      <c r="E15307" t="s">
        <v>52965</v>
      </c>
      <c r="F15307" t="s">
        <v>19109</v>
      </c>
      <c r="G15307" t="s">
        <v>52</v>
      </c>
      <c r="H15307">
        <v>78133</v>
      </c>
      <c r="I15307" t="s">
        <v>30</v>
      </c>
      <c r="J15307" t="s">
        <v>41</v>
      </c>
      <c r="K15307" t="s">
        <v>418</v>
      </c>
      <c r="Q15307">
        <v>0</v>
      </c>
      <c r="R15307">
        <v>80</v>
      </c>
      <c r="S15307">
        <v>80</v>
      </c>
      <c r="T15307" t="s">
        <v>52966</v>
      </c>
    </row>
    <row r="15308" spans="1:20" customFormat="1" ht="15" x14ac:dyDescent="0.25">
      <c r="A15308" t="s">
        <v>35</v>
      </c>
      <c r="B15308" t="s">
        <v>61</v>
      </c>
      <c r="C15308" t="str">
        <f>"A0122916"</f>
        <v>A0122916</v>
      </c>
      <c r="D15308" t="s">
        <v>52967</v>
      </c>
      <c r="E15308" t="s">
        <v>52968</v>
      </c>
      <c r="F15308" t="s">
        <v>8647</v>
      </c>
      <c r="G15308" t="s">
        <v>47</v>
      </c>
      <c r="H15308">
        <v>97304</v>
      </c>
      <c r="I15308" t="s">
        <v>30</v>
      </c>
      <c r="J15308" t="s">
        <v>41</v>
      </c>
      <c r="K15308" t="s">
        <v>229</v>
      </c>
      <c r="Q15308">
        <v>0</v>
      </c>
      <c r="R15308">
        <v>56</v>
      </c>
      <c r="S15308">
        <v>56</v>
      </c>
      <c r="T15308" t="s">
        <v>52969</v>
      </c>
    </row>
    <row r="15309" spans="1:20" customFormat="1" ht="15" x14ac:dyDescent="0.25">
      <c r="A15309" t="s">
        <v>35</v>
      </c>
      <c r="B15309" t="s">
        <v>61</v>
      </c>
      <c r="C15309" t="str">
        <f>"A0133426"</f>
        <v>A0133426</v>
      </c>
      <c r="D15309" t="s">
        <v>52970</v>
      </c>
      <c r="E15309" t="s">
        <v>52971</v>
      </c>
      <c r="F15309" t="s">
        <v>52972</v>
      </c>
      <c r="G15309" t="s">
        <v>52</v>
      </c>
      <c r="H15309">
        <v>77581</v>
      </c>
      <c r="I15309" t="s">
        <v>30</v>
      </c>
      <c r="J15309" t="s">
        <v>41</v>
      </c>
      <c r="K15309" t="s">
        <v>229</v>
      </c>
      <c r="Q15309">
        <v>0</v>
      </c>
      <c r="R15309">
        <v>140</v>
      </c>
      <c r="S15309">
        <v>140</v>
      </c>
      <c r="T15309" t="s">
        <v>52973</v>
      </c>
    </row>
    <row r="15310" spans="1:20" customFormat="1" ht="15" x14ac:dyDescent="0.25">
      <c r="A15310" t="s">
        <v>35</v>
      </c>
      <c r="B15310" t="s">
        <v>61</v>
      </c>
      <c r="C15310" t="str">
        <f>"A0133159"</f>
        <v>A0133159</v>
      </c>
      <c r="D15310" t="s">
        <v>52974</v>
      </c>
      <c r="E15310" t="s">
        <v>52975</v>
      </c>
      <c r="F15310" t="s">
        <v>52976</v>
      </c>
      <c r="G15310" t="s">
        <v>52</v>
      </c>
      <c r="H15310">
        <v>78539</v>
      </c>
      <c r="I15310" t="s">
        <v>30</v>
      </c>
      <c r="J15310" t="s">
        <v>41</v>
      </c>
      <c r="K15310" t="s">
        <v>229</v>
      </c>
      <c r="Q15310">
        <v>0</v>
      </c>
      <c r="R15310">
        <v>57</v>
      </c>
      <c r="S15310">
        <v>57</v>
      </c>
      <c r="T15310" t="s">
        <v>52977</v>
      </c>
    </row>
    <row r="15311" spans="1:20" customFormat="1" ht="15" x14ac:dyDescent="0.25">
      <c r="A15311" t="s">
        <v>35</v>
      </c>
      <c r="B15311" t="s">
        <v>61</v>
      </c>
      <c r="C15311" t="str">
        <f>"A0133221"</f>
        <v>A0133221</v>
      </c>
      <c r="D15311" t="s">
        <v>52978</v>
      </c>
      <c r="E15311" t="s">
        <v>52979</v>
      </c>
      <c r="F15311" t="s">
        <v>52980</v>
      </c>
      <c r="G15311" t="s">
        <v>52</v>
      </c>
      <c r="H15311">
        <v>78550</v>
      </c>
      <c r="I15311" t="s">
        <v>30</v>
      </c>
      <c r="J15311" t="s">
        <v>41</v>
      </c>
      <c r="K15311" t="s">
        <v>229</v>
      </c>
      <c r="Q15311">
        <v>0</v>
      </c>
      <c r="R15311">
        <v>60</v>
      </c>
      <c r="S15311">
        <v>60</v>
      </c>
      <c r="T15311" t="s">
        <v>52981</v>
      </c>
    </row>
    <row r="15312" spans="1:20" customFormat="1" ht="15" x14ac:dyDescent="0.25">
      <c r="A15312" t="s">
        <v>35</v>
      </c>
      <c r="B15312" t="s">
        <v>61</v>
      </c>
      <c r="C15312" t="str">
        <f>"A0124010"</f>
        <v>A0124010</v>
      </c>
      <c r="D15312" t="s">
        <v>52982</v>
      </c>
      <c r="E15312" t="s">
        <v>52983</v>
      </c>
      <c r="F15312" t="s">
        <v>52984</v>
      </c>
      <c r="G15312" t="s">
        <v>840</v>
      </c>
      <c r="H15312">
        <v>40004</v>
      </c>
      <c r="I15312" t="s">
        <v>30</v>
      </c>
      <c r="J15312" t="s">
        <v>41</v>
      </c>
      <c r="K15312" t="s">
        <v>482</v>
      </c>
      <c r="Q15312">
        <v>0</v>
      </c>
      <c r="R15312">
        <v>0</v>
      </c>
      <c r="S15312">
        <v>0</v>
      </c>
      <c r="T15312" t="s">
        <v>52985</v>
      </c>
    </row>
    <row r="15313" spans="1:20" customFormat="1" ht="15" x14ac:dyDescent="0.25">
      <c r="A15313" t="s">
        <v>35</v>
      </c>
      <c r="B15313" t="s">
        <v>61</v>
      </c>
      <c r="C15313" t="str">
        <f>"A0132488"</f>
        <v>A0132488</v>
      </c>
      <c r="D15313" t="s">
        <v>52986</v>
      </c>
      <c r="E15313" t="s">
        <v>52987</v>
      </c>
      <c r="F15313" t="s">
        <v>52988</v>
      </c>
      <c r="G15313" t="s">
        <v>65</v>
      </c>
      <c r="H15313">
        <v>434310000</v>
      </c>
      <c r="I15313" t="s">
        <v>30</v>
      </c>
      <c r="J15313" t="s">
        <v>41</v>
      </c>
      <c r="K15313" t="s">
        <v>229</v>
      </c>
      <c r="Q15313">
        <v>0</v>
      </c>
      <c r="R15313">
        <v>100</v>
      </c>
      <c r="S15313">
        <v>100</v>
      </c>
      <c r="T15313" t="s">
        <v>52989</v>
      </c>
    </row>
    <row r="15314" spans="1:20" customFormat="1" ht="15" x14ac:dyDescent="0.25">
      <c r="A15314" t="s">
        <v>35</v>
      </c>
      <c r="B15314" t="s">
        <v>61</v>
      </c>
      <c r="C15314" t="str">
        <f>"A0124415"</f>
        <v>A0124415</v>
      </c>
      <c r="D15314" t="s">
        <v>52990</v>
      </c>
      <c r="E15314" t="s">
        <v>52991</v>
      </c>
      <c r="F15314" t="s">
        <v>7257</v>
      </c>
      <c r="G15314" t="s">
        <v>29</v>
      </c>
      <c r="H15314">
        <v>23188</v>
      </c>
      <c r="I15314" t="s">
        <v>30</v>
      </c>
      <c r="J15314" t="s">
        <v>41</v>
      </c>
      <c r="K15314" t="s">
        <v>59</v>
      </c>
      <c r="Q15314">
        <v>0</v>
      </c>
      <c r="R15314">
        <v>280</v>
      </c>
      <c r="S15314">
        <v>280</v>
      </c>
      <c r="T15314" t="s">
        <v>52992</v>
      </c>
    </row>
    <row r="15315" spans="1:20" customFormat="1" ht="15" x14ac:dyDescent="0.25">
      <c r="A15315" t="s">
        <v>35</v>
      </c>
      <c r="B15315" t="s">
        <v>61</v>
      </c>
      <c r="C15315" t="str">
        <f>"A0132088"</f>
        <v>A0132088</v>
      </c>
      <c r="D15315" t="s">
        <v>52993</v>
      </c>
      <c r="E15315" t="s">
        <v>52994</v>
      </c>
      <c r="F15315" t="s">
        <v>23092</v>
      </c>
      <c r="G15315" t="s">
        <v>65</v>
      </c>
      <c r="H15315">
        <v>44720</v>
      </c>
      <c r="I15315" t="s">
        <v>30</v>
      </c>
      <c r="J15315" t="s">
        <v>41</v>
      </c>
      <c r="K15315" t="s">
        <v>59</v>
      </c>
      <c r="Q15315">
        <v>0</v>
      </c>
      <c r="R15315">
        <v>191</v>
      </c>
      <c r="S15315">
        <v>191</v>
      </c>
      <c r="T15315" t="s">
        <v>52995</v>
      </c>
    </row>
    <row r="15316" spans="1:20" customFormat="1" ht="15" x14ac:dyDescent="0.25">
      <c r="A15316" t="s">
        <v>35</v>
      </c>
      <c r="B15316" t="s">
        <v>61</v>
      </c>
      <c r="C15316" t="str">
        <f>"A0124806"</f>
        <v>A0124806</v>
      </c>
      <c r="D15316" t="s">
        <v>52996</v>
      </c>
      <c r="E15316" t="s">
        <v>52997</v>
      </c>
      <c r="F15316" t="s">
        <v>52998</v>
      </c>
      <c r="G15316" t="s">
        <v>214</v>
      </c>
      <c r="H15316">
        <v>27526</v>
      </c>
      <c r="I15316" t="s">
        <v>30</v>
      </c>
      <c r="J15316" t="s">
        <v>41</v>
      </c>
      <c r="K15316" t="s">
        <v>59</v>
      </c>
      <c r="Q15316">
        <v>0</v>
      </c>
      <c r="R15316">
        <v>100</v>
      </c>
      <c r="S15316">
        <v>100</v>
      </c>
      <c r="T15316" t="s">
        <v>52999</v>
      </c>
    </row>
    <row r="15317" spans="1:20" customFormat="1" ht="15" x14ac:dyDescent="0.25">
      <c r="A15317" t="s">
        <v>35</v>
      </c>
      <c r="B15317" t="s">
        <v>61</v>
      </c>
      <c r="C15317" t="str">
        <f>"A0133110"</f>
        <v>A0133110</v>
      </c>
      <c r="D15317" t="s">
        <v>53000</v>
      </c>
      <c r="E15317" t="s">
        <v>53001</v>
      </c>
      <c r="F15317" t="s">
        <v>1731</v>
      </c>
      <c r="G15317" t="s">
        <v>52</v>
      </c>
      <c r="H15317">
        <v>752510000</v>
      </c>
      <c r="I15317" t="s">
        <v>30</v>
      </c>
      <c r="J15317" t="s">
        <v>41</v>
      </c>
      <c r="K15317" t="s">
        <v>59</v>
      </c>
      <c r="Q15317">
        <v>0</v>
      </c>
      <c r="R15317">
        <v>200</v>
      </c>
      <c r="S15317">
        <v>200</v>
      </c>
      <c r="T15317" t="s">
        <v>53002</v>
      </c>
    </row>
    <row r="15318" spans="1:20" customFormat="1" ht="15" x14ac:dyDescent="0.25">
      <c r="A15318" t="s">
        <v>35</v>
      </c>
      <c r="B15318" t="s">
        <v>106</v>
      </c>
      <c r="C15318" t="str">
        <f>"A0136473"</f>
        <v>A0136473</v>
      </c>
      <c r="D15318" t="s">
        <v>53003</v>
      </c>
      <c r="E15318" t="s">
        <v>53004</v>
      </c>
      <c r="F15318" t="s">
        <v>53005</v>
      </c>
      <c r="G15318" t="s">
        <v>190</v>
      </c>
      <c r="H15318">
        <v>80421</v>
      </c>
      <c r="I15318" t="s">
        <v>30</v>
      </c>
      <c r="J15318" t="s">
        <v>111</v>
      </c>
      <c r="K15318" t="s">
        <v>112</v>
      </c>
      <c r="Q15318">
        <v>0</v>
      </c>
      <c r="R15318">
        <v>0</v>
      </c>
      <c r="S15318">
        <v>0</v>
      </c>
      <c r="T15318" t="s">
        <v>53006</v>
      </c>
    </row>
    <row r="15319" spans="1:20" customFormat="1" ht="15" x14ac:dyDescent="0.25">
      <c r="A15319" t="s">
        <v>35</v>
      </c>
      <c r="B15319" t="s">
        <v>61</v>
      </c>
      <c r="C15319" t="str">
        <f>"A0117854"</f>
        <v>A0117854</v>
      </c>
      <c r="D15319" t="s">
        <v>53007</v>
      </c>
      <c r="E15319" t="s">
        <v>53008</v>
      </c>
      <c r="F15319" t="s">
        <v>14680</v>
      </c>
      <c r="G15319" t="s">
        <v>110</v>
      </c>
      <c r="H15319">
        <v>95240</v>
      </c>
      <c r="I15319" t="s">
        <v>30</v>
      </c>
      <c r="J15319" t="s">
        <v>41</v>
      </c>
      <c r="K15319" t="s">
        <v>229</v>
      </c>
      <c r="Q15319">
        <v>0</v>
      </c>
      <c r="R15319">
        <v>87</v>
      </c>
      <c r="S15319">
        <v>87</v>
      </c>
      <c r="T15319" t="s">
        <v>53009</v>
      </c>
    </row>
    <row r="15320" spans="1:20" customFormat="1" ht="15" x14ac:dyDescent="0.25">
      <c r="A15320" t="s">
        <v>35</v>
      </c>
      <c r="B15320" t="s">
        <v>61</v>
      </c>
      <c r="C15320" t="str">
        <f>"A0123064"</f>
        <v>A0123064</v>
      </c>
      <c r="D15320" t="s">
        <v>53010</v>
      </c>
      <c r="E15320" t="s">
        <v>53011</v>
      </c>
      <c r="F15320" t="s">
        <v>53012</v>
      </c>
      <c r="G15320" t="s">
        <v>47</v>
      </c>
      <c r="H15320">
        <v>97112</v>
      </c>
      <c r="I15320" t="s">
        <v>30</v>
      </c>
      <c r="J15320" t="s">
        <v>41</v>
      </c>
      <c r="K15320" t="s">
        <v>42</v>
      </c>
      <c r="Q15320">
        <v>0</v>
      </c>
      <c r="R15320">
        <v>0</v>
      </c>
      <c r="S15320">
        <v>0</v>
      </c>
      <c r="T15320" t="s">
        <v>53013</v>
      </c>
    </row>
    <row r="15321" spans="1:20" customFormat="1" ht="15" x14ac:dyDescent="0.25">
      <c r="A15321" t="s">
        <v>35</v>
      </c>
      <c r="B15321" t="s">
        <v>61</v>
      </c>
      <c r="C15321" t="str">
        <f>"A0126169"</f>
        <v>A0126169</v>
      </c>
      <c r="D15321" t="s">
        <v>53014</v>
      </c>
      <c r="E15321" t="s">
        <v>53015</v>
      </c>
      <c r="F15321" t="s">
        <v>53016</v>
      </c>
      <c r="G15321" t="s">
        <v>197</v>
      </c>
      <c r="H15321">
        <v>86047</v>
      </c>
      <c r="I15321" t="s">
        <v>30</v>
      </c>
      <c r="J15321" t="s">
        <v>41</v>
      </c>
      <c r="K15321" t="s">
        <v>229</v>
      </c>
      <c r="Q15321">
        <v>0</v>
      </c>
      <c r="R15321">
        <v>120</v>
      </c>
      <c r="S15321">
        <v>120</v>
      </c>
      <c r="T15321" t="s">
        <v>53017</v>
      </c>
    </row>
    <row r="15322" spans="1:20" customFormat="1" ht="15" x14ac:dyDescent="0.25">
      <c r="A15322" t="s">
        <v>35</v>
      </c>
      <c r="B15322" t="s">
        <v>61</v>
      </c>
      <c r="C15322" t="str">
        <f>"A0122955"</f>
        <v>A0122955</v>
      </c>
      <c r="D15322" t="s">
        <v>53018</v>
      </c>
      <c r="E15322" t="s">
        <v>53019</v>
      </c>
      <c r="F15322" t="s">
        <v>45043</v>
      </c>
      <c r="G15322" t="s">
        <v>76</v>
      </c>
      <c r="H15322">
        <v>98110</v>
      </c>
      <c r="I15322" t="s">
        <v>30</v>
      </c>
      <c r="J15322" t="s">
        <v>41</v>
      </c>
      <c r="K15322" t="s">
        <v>59</v>
      </c>
      <c r="Q15322">
        <v>0</v>
      </c>
      <c r="R15322">
        <v>35</v>
      </c>
      <c r="S15322">
        <v>35</v>
      </c>
      <c r="T15322" t="s">
        <v>53020</v>
      </c>
    </row>
    <row r="15323" spans="1:20" customFormat="1" ht="15" x14ac:dyDescent="0.25">
      <c r="A15323" t="s">
        <v>35</v>
      </c>
      <c r="B15323" t="s">
        <v>61</v>
      </c>
      <c r="C15323" t="str">
        <f>"A0124918"</f>
        <v>A0124918</v>
      </c>
      <c r="D15323" t="s">
        <v>53021</v>
      </c>
      <c r="E15323" t="s">
        <v>53022</v>
      </c>
      <c r="F15323" t="s">
        <v>1423</v>
      </c>
      <c r="G15323" t="s">
        <v>58</v>
      </c>
      <c r="H15323">
        <v>29440</v>
      </c>
      <c r="I15323" t="s">
        <v>30</v>
      </c>
      <c r="J15323" t="s">
        <v>41</v>
      </c>
      <c r="K15323" t="s">
        <v>2715</v>
      </c>
      <c r="Q15323">
        <v>0</v>
      </c>
      <c r="R15323">
        <v>1</v>
      </c>
      <c r="S15323">
        <v>1</v>
      </c>
      <c r="T15323" t="s">
        <v>53023</v>
      </c>
    </row>
    <row r="15324" spans="1:20" customFormat="1" ht="15" x14ac:dyDescent="0.25">
      <c r="A15324" t="s">
        <v>35</v>
      </c>
      <c r="B15324" t="s">
        <v>61</v>
      </c>
      <c r="C15324" t="str">
        <f>"A0123602"</f>
        <v>A0123602</v>
      </c>
      <c r="D15324" t="s">
        <v>53024</v>
      </c>
      <c r="E15324" t="s">
        <v>53025</v>
      </c>
      <c r="F15324" t="s">
        <v>28763</v>
      </c>
      <c r="G15324" t="s">
        <v>507</v>
      </c>
      <c r="H15324">
        <v>26554</v>
      </c>
      <c r="I15324" t="s">
        <v>30</v>
      </c>
      <c r="J15324" t="s">
        <v>41</v>
      </c>
      <c r="K15324" t="s">
        <v>229</v>
      </c>
      <c r="Q15324">
        <v>0</v>
      </c>
      <c r="R15324">
        <v>119</v>
      </c>
      <c r="S15324">
        <v>119</v>
      </c>
      <c r="T15324" t="s">
        <v>53026</v>
      </c>
    </row>
    <row r="15325" spans="1:20" customFormat="1" ht="15" x14ac:dyDescent="0.25">
      <c r="A15325" t="s">
        <v>35</v>
      </c>
      <c r="B15325" t="s">
        <v>61</v>
      </c>
      <c r="C15325" t="str">
        <f>"A0123603"</f>
        <v>A0123603</v>
      </c>
      <c r="D15325" t="s">
        <v>53027</v>
      </c>
      <c r="E15325" t="s">
        <v>53028</v>
      </c>
      <c r="F15325" t="s">
        <v>28763</v>
      </c>
      <c r="G15325" t="s">
        <v>507</v>
      </c>
      <c r="H15325">
        <v>26554</v>
      </c>
      <c r="I15325" t="s">
        <v>30</v>
      </c>
      <c r="J15325" t="s">
        <v>41</v>
      </c>
      <c r="K15325" t="s">
        <v>229</v>
      </c>
      <c r="Q15325">
        <v>0</v>
      </c>
      <c r="R15325">
        <v>119</v>
      </c>
      <c r="S15325">
        <v>119</v>
      </c>
      <c r="T15325" t="s">
        <v>53029</v>
      </c>
    </row>
    <row r="15326" spans="1:20" customFormat="1" ht="15" x14ac:dyDescent="0.25">
      <c r="A15326" t="s">
        <v>35</v>
      </c>
      <c r="B15326" t="s">
        <v>61</v>
      </c>
      <c r="C15326" t="str">
        <f>"A0121393"</f>
        <v>A0121393</v>
      </c>
      <c r="D15326" t="s">
        <v>53030</v>
      </c>
      <c r="E15326" t="s">
        <v>53031</v>
      </c>
      <c r="F15326" t="s">
        <v>6409</v>
      </c>
      <c r="G15326" t="s">
        <v>110</v>
      </c>
      <c r="H15326">
        <v>94546</v>
      </c>
      <c r="I15326" t="s">
        <v>30</v>
      </c>
      <c r="J15326" t="s">
        <v>41</v>
      </c>
      <c r="K15326" t="s">
        <v>1440</v>
      </c>
      <c r="Q15326">
        <v>0</v>
      </c>
      <c r="R15326">
        <v>25</v>
      </c>
      <c r="S15326">
        <v>25</v>
      </c>
      <c r="T15326" t="s">
        <v>53032</v>
      </c>
    </row>
    <row r="15327" spans="1:20" customFormat="1" ht="15" x14ac:dyDescent="0.25">
      <c r="A15327" t="s">
        <v>35</v>
      </c>
      <c r="B15327" t="s">
        <v>61</v>
      </c>
      <c r="C15327" t="str">
        <f>"A0124578"</f>
        <v>A0124578</v>
      </c>
      <c r="D15327" t="s">
        <v>53033</v>
      </c>
      <c r="E15327" t="s">
        <v>53034</v>
      </c>
      <c r="F15327" t="s">
        <v>53035</v>
      </c>
      <c r="G15327" t="s">
        <v>1369</v>
      </c>
      <c r="H15327">
        <v>392880000</v>
      </c>
      <c r="I15327" t="s">
        <v>30</v>
      </c>
      <c r="J15327" t="s">
        <v>41</v>
      </c>
      <c r="K15327" t="s">
        <v>1440</v>
      </c>
      <c r="Q15327">
        <v>0</v>
      </c>
      <c r="R15327">
        <v>60</v>
      </c>
      <c r="S15327">
        <v>60</v>
      </c>
      <c r="T15327" t="s">
        <v>53036</v>
      </c>
    </row>
    <row r="15328" spans="1:20" customFormat="1" ht="15" x14ac:dyDescent="0.25">
      <c r="A15328" t="s">
        <v>35</v>
      </c>
      <c r="B15328" t="s">
        <v>61</v>
      </c>
      <c r="C15328" t="str">
        <f>"A0124390"</f>
        <v>A0124390</v>
      </c>
      <c r="D15328" t="s">
        <v>53037</v>
      </c>
      <c r="E15328" t="s">
        <v>53038</v>
      </c>
      <c r="F15328" t="s">
        <v>53039</v>
      </c>
      <c r="G15328" t="s">
        <v>103</v>
      </c>
      <c r="H15328">
        <v>17737</v>
      </c>
      <c r="I15328" t="s">
        <v>30</v>
      </c>
      <c r="J15328" t="s">
        <v>41</v>
      </c>
      <c r="K15328" t="s">
        <v>229</v>
      </c>
      <c r="Q15328">
        <v>0</v>
      </c>
      <c r="R15328">
        <v>76</v>
      </c>
      <c r="S15328">
        <v>76</v>
      </c>
      <c r="T15328" t="s">
        <v>53040</v>
      </c>
    </row>
    <row r="15329" spans="1:20" customFormat="1" ht="15" x14ac:dyDescent="0.25">
      <c r="A15329" t="s">
        <v>35</v>
      </c>
      <c r="B15329" t="s">
        <v>61</v>
      </c>
      <c r="C15329" t="str">
        <f>"A0127507"</f>
        <v>A0127507</v>
      </c>
      <c r="D15329" t="s">
        <v>53041</v>
      </c>
      <c r="E15329" t="s">
        <v>53042</v>
      </c>
      <c r="F15329" t="s">
        <v>46551</v>
      </c>
      <c r="G15329" t="s">
        <v>507</v>
      </c>
      <c r="H15329">
        <v>26101</v>
      </c>
      <c r="I15329" t="s">
        <v>30</v>
      </c>
      <c r="J15329" t="s">
        <v>41</v>
      </c>
      <c r="K15329" t="s">
        <v>2760</v>
      </c>
      <c r="Q15329">
        <v>0</v>
      </c>
      <c r="R15329">
        <v>0</v>
      </c>
      <c r="S15329">
        <v>0</v>
      </c>
      <c r="T15329" t="s">
        <v>53043</v>
      </c>
    </row>
    <row r="15330" spans="1:20" customFormat="1" ht="15" x14ac:dyDescent="0.25">
      <c r="A15330" t="s">
        <v>35</v>
      </c>
      <c r="B15330" t="s">
        <v>61</v>
      </c>
      <c r="C15330" t="str">
        <f>"A0132437"</f>
        <v>A0132437</v>
      </c>
      <c r="D15330" t="s">
        <v>53044</v>
      </c>
      <c r="E15330" t="s">
        <v>53045</v>
      </c>
      <c r="F15330" t="s">
        <v>1770</v>
      </c>
      <c r="G15330" t="s">
        <v>65</v>
      </c>
      <c r="H15330">
        <v>43402</v>
      </c>
      <c r="I15330" t="s">
        <v>30</v>
      </c>
      <c r="J15330" t="s">
        <v>41</v>
      </c>
      <c r="K15330" t="s">
        <v>8643</v>
      </c>
      <c r="Q15330">
        <v>0</v>
      </c>
      <c r="R15330">
        <v>254</v>
      </c>
      <c r="S15330">
        <v>254</v>
      </c>
      <c r="T15330" t="s">
        <v>53046</v>
      </c>
    </row>
    <row r="15331" spans="1:20" customFormat="1" ht="15" x14ac:dyDescent="0.25">
      <c r="A15331" t="s">
        <v>35</v>
      </c>
      <c r="B15331" t="s">
        <v>61</v>
      </c>
      <c r="C15331" t="str">
        <f>"A0131760"</f>
        <v>A0131760</v>
      </c>
      <c r="D15331" t="s">
        <v>53047</v>
      </c>
      <c r="E15331" t="s">
        <v>53048</v>
      </c>
      <c r="F15331" t="s">
        <v>1770</v>
      </c>
      <c r="G15331" t="s">
        <v>65</v>
      </c>
      <c r="H15331">
        <v>43402</v>
      </c>
      <c r="I15331" t="s">
        <v>30</v>
      </c>
      <c r="J15331" t="s">
        <v>41</v>
      </c>
      <c r="K15331" t="s">
        <v>229</v>
      </c>
      <c r="Q15331">
        <v>0</v>
      </c>
      <c r="R15331">
        <v>100</v>
      </c>
      <c r="S15331">
        <v>100</v>
      </c>
      <c r="T15331" t="s">
        <v>53049</v>
      </c>
    </row>
    <row r="15332" spans="1:20" customFormat="1" ht="15" x14ac:dyDescent="0.25">
      <c r="A15332" t="s">
        <v>35</v>
      </c>
      <c r="B15332" t="s">
        <v>61</v>
      </c>
      <c r="C15332" t="str">
        <f>"A0125340"</f>
        <v>A0125340</v>
      </c>
      <c r="D15332" t="s">
        <v>53050</v>
      </c>
      <c r="E15332" t="s">
        <v>53051</v>
      </c>
      <c r="F15332" t="s">
        <v>17349</v>
      </c>
      <c r="G15332" t="s">
        <v>40</v>
      </c>
      <c r="H15332">
        <v>74018</v>
      </c>
      <c r="I15332" t="s">
        <v>30</v>
      </c>
      <c r="J15332" t="s">
        <v>41</v>
      </c>
      <c r="K15332" t="s">
        <v>229</v>
      </c>
      <c r="Q15332">
        <v>0</v>
      </c>
      <c r="R15332">
        <v>129</v>
      </c>
      <c r="S15332">
        <v>129</v>
      </c>
      <c r="T15332" t="s">
        <v>53052</v>
      </c>
    </row>
    <row r="15333" spans="1:20" customFormat="1" ht="15" x14ac:dyDescent="0.25">
      <c r="A15333" t="s">
        <v>35</v>
      </c>
      <c r="B15333" t="s">
        <v>61</v>
      </c>
      <c r="C15333" t="str">
        <f>"A0123988"</f>
        <v>A0123988</v>
      </c>
      <c r="D15333" t="s">
        <v>53053</v>
      </c>
      <c r="E15333" t="s">
        <v>53054</v>
      </c>
      <c r="F15333" t="s">
        <v>53053</v>
      </c>
      <c r="G15333" t="s">
        <v>29</v>
      </c>
      <c r="H15333">
        <v>22989</v>
      </c>
      <c r="I15333" t="s">
        <v>30</v>
      </c>
      <c r="J15333" t="s">
        <v>41</v>
      </c>
      <c r="K15333" t="s">
        <v>59</v>
      </c>
      <c r="Q15333">
        <v>0</v>
      </c>
      <c r="R15333">
        <v>200</v>
      </c>
      <c r="S15333">
        <v>200</v>
      </c>
      <c r="T15333" t="s">
        <v>53055</v>
      </c>
    </row>
    <row r="15334" spans="1:20" customFormat="1" ht="15" x14ac:dyDescent="0.25">
      <c r="A15334" t="s">
        <v>35</v>
      </c>
      <c r="B15334" t="s">
        <v>61</v>
      </c>
      <c r="C15334" t="str">
        <f>"A0124392"</f>
        <v>A0124392</v>
      </c>
      <c r="D15334" t="s">
        <v>53056</v>
      </c>
      <c r="E15334" t="s">
        <v>53057</v>
      </c>
      <c r="F15334" t="s">
        <v>3009</v>
      </c>
      <c r="G15334" t="s">
        <v>103</v>
      </c>
      <c r="H15334">
        <v>17601</v>
      </c>
      <c r="I15334" t="s">
        <v>30</v>
      </c>
      <c r="J15334" t="s">
        <v>41</v>
      </c>
      <c r="K15334" t="s">
        <v>482</v>
      </c>
      <c r="Q15334">
        <v>0</v>
      </c>
      <c r="R15334">
        <v>154</v>
      </c>
      <c r="S15334">
        <v>154</v>
      </c>
      <c r="T15334" t="s">
        <v>53058</v>
      </c>
    </row>
    <row r="15335" spans="1:20" customFormat="1" ht="15" x14ac:dyDescent="0.25">
      <c r="A15335" t="s">
        <v>35</v>
      </c>
      <c r="B15335" t="s">
        <v>61</v>
      </c>
      <c r="C15335" t="str">
        <f>"A0129449"</f>
        <v>A0129449</v>
      </c>
      <c r="D15335" t="s">
        <v>53059</v>
      </c>
      <c r="E15335" t="s">
        <v>53060</v>
      </c>
      <c r="F15335" t="s">
        <v>2990</v>
      </c>
      <c r="G15335" t="s">
        <v>289</v>
      </c>
      <c r="H15335">
        <v>62946</v>
      </c>
      <c r="I15335" t="s">
        <v>30</v>
      </c>
      <c r="J15335" t="s">
        <v>41</v>
      </c>
      <c r="K15335" t="s">
        <v>442</v>
      </c>
      <c r="Q15335">
        <v>0</v>
      </c>
      <c r="R15335">
        <v>0</v>
      </c>
      <c r="S15335">
        <v>0</v>
      </c>
      <c r="T15335" t="s">
        <v>53061</v>
      </c>
    </row>
    <row r="15336" spans="1:20" customFormat="1" ht="15" x14ac:dyDescent="0.25">
      <c r="A15336" t="s">
        <v>35</v>
      </c>
      <c r="B15336" t="s">
        <v>61</v>
      </c>
      <c r="C15336" t="str">
        <f>"A0125745"</f>
        <v>A0125745</v>
      </c>
      <c r="D15336" t="s">
        <v>53062</v>
      </c>
      <c r="E15336" t="s">
        <v>53063</v>
      </c>
      <c r="F15336" t="s">
        <v>14640</v>
      </c>
      <c r="G15336" t="s">
        <v>29</v>
      </c>
      <c r="H15336">
        <v>24122</v>
      </c>
      <c r="I15336" t="s">
        <v>30</v>
      </c>
      <c r="J15336" t="s">
        <v>41</v>
      </c>
      <c r="K15336" t="s">
        <v>229</v>
      </c>
      <c r="Q15336">
        <v>0</v>
      </c>
      <c r="R15336">
        <v>48</v>
      </c>
      <c r="S15336">
        <v>48</v>
      </c>
      <c r="T15336" t="s">
        <v>53064</v>
      </c>
    </row>
    <row r="15337" spans="1:20" customFormat="1" ht="15" x14ac:dyDescent="0.25">
      <c r="A15337" t="s">
        <v>35</v>
      </c>
      <c r="B15337" t="s">
        <v>61</v>
      </c>
      <c r="C15337" t="str">
        <f>"A0150954"</f>
        <v>A0150954</v>
      </c>
      <c r="D15337" t="s">
        <v>53065</v>
      </c>
      <c r="E15337" t="s">
        <v>53066</v>
      </c>
      <c r="F15337" t="s">
        <v>3478</v>
      </c>
      <c r="G15337" t="s">
        <v>65</v>
      </c>
      <c r="H15337">
        <v>45417</v>
      </c>
      <c r="I15337" t="s">
        <v>30</v>
      </c>
      <c r="J15337" t="s">
        <v>41</v>
      </c>
      <c r="K15337" t="s">
        <v>461</v>
      </c>
      <c r="Q15337">
        <v>0</v>
      </c>
      <c r="R15337">
        <v>100</v>
      </c>
      <c r="S15337">
        <v>100</v>
      </c>
      <c r="T15337" t="s">
        <v>53067</v>
      </c>
    </row>
    <row r="15338" spans="1:20" customFormat="1" ht="15" x14ac:dyDescent="0.25">
      <c r="A15338" t="s">
        <v>35</v>
      </c>
      <c r="B15338" t="s">
        <v>61</v>
      </c>
      <c r="C15338" t="str">
        <f>"A0123989"</f>
        <v>A0123989</v>
      </c>
      <c r="D15338" t="s">
        <v>53068</v>
      </c>
      <c r="E15338" t="s">
        <v>53069</v>
      </c>
      <c r="F15338" t="s">
        <v>29795</v>
      </c>
      <c r="G15338" t="s">
        <v>214</v>
      </c>
      <c r="H15338">
        <v>27823</v>
      </c>
      <c r="I15338" t="s">
        <v>30</v>
      </c>
      <c r="J15338" t="s">
        <v>41</v>
      </c>
      <c r="K15338" t="s">
        <v>482</v>
      </c>
      <c r="Q15338">
        <v>0</v>
      </c>
      <c r="R15338">
        <v>90</v>
      </c>
      <c r="S15338">
        <v>90</v>
      </c>
      <c r="T15338" t="s">
        <v>53070</v>
      </c>
    </row>
    <row r="15339" spans="1:20" customFormat="1" ht="15" x14ac:dyDescent="0.25">
      <c r="A15339" t="s">
        <v>35</v>
      </c>
      <c r="B15339" t="s">
        <v>61</v>
      </c>
      <c r="C15339" t="str">
        <f>"A0122956"</f>
        <v>A0122956</v>
      </c>
      <c r="D15339" t="s">
        <v>53071</v>
      </c>
      <c r="E15339" t="s">
        <v>53072</v>
      </c>
      <c r="F15339" t="s">
        <v>36346</v>
      </c>
      <c r="G15339" t="s">
        <v>76</v>
      </c>
      <c r="H15339">
        <v>98674</v>
      </c>
      <c r="I15339" t="s">
        <v>30</v>
      </c>
      <c r="J15339" t="s">
        <v>41</v>
      </c>
      <c r="K15339" t="s">
        <v>229</v>
      </c>
      <c r="Q15339">
        <v>0</v>
      </c>
      <c r="R15339">
        <v>62</v>
      </c>
      <c r="S15339">
        <v>62</v>
      </c>
      <c r="T15339" t="s">
        <v>53073</v>
      </c>
    </row>
    <row r="15340" spans="1:20" customFormat="1" ht="15" x14ac:dyDescent="0.25">
      <c r="A15340" t="s">
        <v>35</v>
      </c>
      <c r="B15340" t="s">
        <v>61</v>
      </c>
      <c r="C15340" t="str">
        <f>"A0127650"</f>
        <v>A0127650</v>
      </c>
      <c r="D15340" t="s">
        <v>53074</v>
      </c>
      <c r="E15340" t="s">
        <v>53075</v>
      </c>
      <c r="F15340" t="s">
        <v>6119</v>
      </c>
      <c r="G15340" t="s">
        <v>123</v>
      </c>
      <c r="H15340">
        <v>20724</v>
      </c>
      <c r="I15340" t="s">
        <v>30</v>
      </c>
      <c r="J15340" t="s">
        <v>41</v>
      </c>
      <c r="K15340" t="s">
        <v>4317</v>
      </c>
      <c r="Q15340">
        <v>0</v>
      </c>
      <c r="R15340">
        <v>0</v>
      </c>
      <c r="S15340">
        <v>0</v>
      </c>
      <c r="T15340" t="s">
        <v>53076</v>
      </c>
    </row>
    <row r="15341" spans="1:20" customFormat="1" ht="15" x14ac:dyDescent="0.25">
      <c r="A15341" t="s">
        <v>35</v>
      </c>
      <c r="B15341" t="s">
        <v>61</v>
      </c>
      <c r="C15341" t="str">
        <f>"A0127651"</f>
        <v>A0127651</v>
      </c>
      <c r="D15341" t="s">
        <v>53074</v>
      </c>
      <c r="E15341" t="s">
        <v>53077</v>
      </c>
      <c r="F15341" t="s">
        <v>6119</v>
      </c>
      <c r="G15341" t="s">
        <v>123</v>
      </c>
      <c r="H15341">
        <v>20724</v>
      </c>
      <c r="I15341" t="s">
        <v>30</v>
      </c>
      <c r="J15341" t="s">
        <v>41</v>
      </c>
      <c r="K15341" t="s">
        <v>4317</v>
      </c>
      <c r="Q15341">
        <v>0</v>
      </c>
      <c r="R15341">
        <v>0</v>
      </c>
      <c r="S15341">
        <v>0</v>
      </c>
      <c r="T15341" t="s">
        <v>53076</v>
      </c>
    </row>
    <row r="15342" spans="1:20" customFormat="1" ht="15" x14ac:dyDescent="0.25">
      <c r="A15342" t="s">
        <v>35</v>
      </c>
      <c r="B15342" t="s">
        <v>61</v>
      </c>
      <c r="C15342" t="str">
        <f>"A0126937"</f>
        <v>A0126937</v>
      </c>
      <c r="D15342" t="s">
        <v>53078</v>
      </c>
      <c r="E15342" t="s">
        <v>53079</v>
      </c>
      <c r="F15342" t="s">
        <v>53080</v>
      </c>
      <c r="G15342" t="s">
        <v>103</v>
      </c>
      <c r="H15342">
        <v>17243</v>
      </c>
      <c r="I15342" t="s">
        <v>30</v>
      </c>
      <c r="J15342" t="s">
        <v>41</v>
      </c>
      <c r="K15342" t="s">
        <v>229</v>
      </c>
      <c r="Q15342">
        <v>0</v>
      </c>
      <c r="R15342">
        <v>130</v>
      </c>
      <c r="S15342">
        <v>130</v>
      </c>
      <c r="T15342" t="s">
        <v>53081</v>
      </c>
    </row>
    <row r="15343" spans="1:20" customFormat="1" ht="15" x14ac:dyDescent="0.25">
      <c r="A15343" t="s">
        <v>35</v>
      </c>
      <c r="B15343" t="s">
        <v>61</v>
      </c>
      <c r="C15343" t="str">
        <f>"A0119295"</f>
        <v>A0119295</v>
      </c>
      <c r="D15343" t="s">
        <v>53082</v>
      </c>
      <c r="E15343" t="s">
        <v>53083</v>
      </c>
      <c r="F15343" t="s">
        <v>53084</v>
      </c>
      <c r="G15343" t="s">
        <v>110</v>
      </c>
      <c r="H15343">
        <v>91364</v>
      </c>
      <c r="I15343" t="s">
        <v>30</v>
      </c>
      <c r="J15343" t="s">
        <v>41</v>
      </c>
      <c r="K15343" t="s">
        <v>59</v>
      </c>
      <c r="Q15343">
        <v>0</v>
      </c>
      <c r="R15343">
        <v>200</v>
      </c>
      <c r="S15343">
        <v>200</v>
      </c>
      <c r="T15343" t="s">
        <v>53085</v>
      </c>
    </row>
    <row r="15344" spans="1:20" customFormat="1" ht="15" x14ac:dyDescent="0.25">
      <c r="A15344" t="s">
        <v>35</v>
      </c>
      <c r="B15344" t="s">
        <v>61</v>
      </c>
      <c r="C15344" t="str">
        <f>"A0123990"</f>
        <v>A0123990</v>
      </c>
      <c r="D15344" t="s">
        <v>53086</v>
      </c>
      <c r="E15344" t="s">
        <v>53087</v>
      </c>
      <c r="F15344" t="s">
        <v>11728</v>
      </c>
      <c r="G15344" t="s">
        <v>103</v>
      </c>
      <c r="H15344">
        <v>18103</v>
      </c>
      <c r="I15344" t="s">
        <v>30</v>
      </c>
      <c r="J15344" t="s">
        <v>41</v>
      </c>
      <c r="K15344" t="s">
        <v>482</v>
      </c>
      <c r="Q15344">
        <v>0</v>
      </c>
      <c r="R15344">
        <v>65</v>
      </c>
      <c r="S15344">
        <v>65</v>
      </c>
      <c r="T15344" t="s">
        <v>53088</v>
      </c>
    </row>
    <row r="15345" spans="1:20" customFormat="1" ht="15" x14ac:dyDescent="0.25">
      <c r="A15345" t="s">
        <v>35</v>
      </c>
      <c r="B15345" t="s">
        <v>61</v>
      </c>
      <c r="C15345" t="str">
        <f>"A0125095"</f>
        <v>A0125095</v>
      </c>
      <c r="D15345" t="s">
        <v>53089</v>
      </c>
      <c r="E15345" t="s">
        <v>53090</v>
      </c>
      <c r="F15345" t="s">
        <v>93</v>
      </c>
      <c r="G15345" t="s">
        <v>58</v>
      </c>
      <c r="H15345">
        <v>29617</v>
      </c>
      <c r="I15345" t="s">
        <v>30</v>
      </c>
      <c r="J15345" t="s">
        <v>41</v>
      </c>
      <c r="K15345" t="s">
        <v>1440</v>
      </c>
      <c r="Q15345">
        <v>0</v>
      </c>
      <c r="R15345">
        <v>200</v>
      </c>
      <c r="S15345">
        <v>200</v>
      </c>
      <c r="T15345" t="s">
        <v>53091</v>
      </c>
    </row>
    <row r="15346" spans="1:20" customFormat="1" ht="15" x14ac:dyDescent="0.25">
      <c r="A15346" t="s">
        <v>35</v>
      </c>
      <c r="B15346" t="s">
        <v>61</v>
      </c>
      <c r="C15346" t="str">
        <f>"A0123605"</f>
        <v>A0123605</v>
      </c>
      <c r="D15346" t="s">
        <v>53092</v>
      </c>
      <c r="E15346" t="s">
        <v>53093</v>
      </c>
      <c r="F15346" t="s">
        <v>912</v>
      </c>
      <c r="G15346" t="s">
        <v>507</v>
      </c>
      <c r="H15346">
        <v>25705</v>
      </c>
      <c r="I15346" t="s">
        <v>30</v>
      </c>
      <c r="J15346" t="s">
        <v>41</v>
      </c>
      <c r="K15346" t="s">
        <v>59</v>
      </c>
      <c r="Q15346">
        <v>0</v>
      </c>
      <c r="R15346">
        <v>280</v>
      </c>
      <c r="S15346">
        <v>280</v>
      </c>
      <c r="T15346" t="s">
        <v>53094</v>
      </c>
    </row>
    <row r="15347" spans="1:20" customFormat="1" ht="15" x14ac:dyDescent="0.25">
      <c r="A15347" t="s">
        <v>35</v>
      </c>
      <c r="B15347" t="s">
        <v>61</v>
      </c>
      <c r="C15347" t="str">
        <f>"A0124818"</f>
        <v>A0124818</v>
      </c>
      <c r="D15347" t="s">
        <v>53095</v>
      </c>
      <c r="E15347" t="s">
        <v>53096</v>
      </c>
      <c r="F15347" t="s">
        <v>53097</v>
      </c>
      <c r="G15347" t="s">
        <v>214</v>
      </c>
      <c r="H15347">
        <v>28120</v>
      </c>
      <c r="I15347" t="s">
        <v>30</v>
      </c>
      <c r="J15347" t="s">
        <v>41</v>
      </c>
      <c r="K15347" t="s">
        <v>59</v>
      </c>
      <c r="Q15347">
        <v>0</v>
      </c>
      <c r="R15347">
        <v>80</v>
      </c>
      <c r="S15347">
        <v>80</v>
      </c>
      <c r="T15347" t="s">
        <v>53098</v>
      </c>
    </row>
    <row r="15348" spans="1:20" customFormat="1" ht="15" x14ac:dyDescent="0.25">
      <c r="A15348" t="s">
        <v>35</v>
      </c>
      <c r="B15348" t="s">
        <v>61</v>
      </c>
      <c r="C15348" t="str">
        <f>"A0123991"</f>
        <v>A0123991</v>
      </c>
      <c r="D15348" t="s">
        <v>53099</v>
      </c>
      <c r="E15348" t="s">
        <v>53100</v>
      </c>
      <c r="F15348" t="s">
        <v>53101</v>
      </c>
      <c r="G15348" t="s">
        <v>29</v>
      </c>
      <c r="H15348">
        <v>23930</v>
      </c>
      <c r="I15348" t="s">
        <v>30</v>
      </c>
      <c r="J15348" t="s">
        <v>41</v>
      </c>
      <c r="K15348" t="s">
        <v>59</v>
      </c>
      <c r="Q15348">
        <v>0</v>
      </c>
      <c r="R15348">
        <v>33</v>
      </c>
      <c r="S15348">
        <v>33</v>
      </c>
      <c r="T15348" t="s">
        <v>53102</v>
      </c>
    </row>
    <row r="15349" spans="1:20" customFormat="1" ht="15" x14ac:dyDescent="0.25">
      <c r="A15349" t="s">
        <v>35</v>
      </c>
      <c r="B15349" t="s">
        <v>61</v>
      </c>
      <c r="C15349" t="str">
        <f>"A0123992"</f>
        <v>A0123992</v>
      </c>
      <c r="D15349" t="s">
        <v>53103</v>
      </c>
      <c r="E15349" t="s">
        <v>53104</v>
      </c>
      <c r="F15349" t="s">
        <v>53105</v>
      </c>
      <c r="G15349" t="s">
        <v>29</v>
      </c>
      <c r="H15349">
        <v>24174</v>
      </c>
      <c r="I15349" t="s">
        <v>30</v>
      </c>
      <c r="J15349" t="s">
        <v>41</v>
      </c>
      <c r="K15349" t="s">
        <v>59</v>
      </c>
      <c r="Q15349">
        <v>0</v>
      </c>
      <c r="R15349">
        <v>33</v>
      </c>
      <c r="S15349">
        <v>33</v>
      </c>
      <c r="T15349" t="s">
        <v>53106</v>
      </c>
    </row>
    <row r="15350" spans="1:20" customFormat="1" ht="15" x14ac:dyDescent="0.25">
      <c r="A15350" t="s">
        <v>35</v>
      </c>
      <c r="B15350" t="s">
        <v>61</v>
      </c>
      <c r="C15350" t="str">
        <f>"A0130974"</f>
        <v>A0130974</v>
      </c>
      <c r="D15350" t="s">
        <v>53107</v>
      </c>
      <c r="E15350" t="s">
        <v>53108</v>
      </c>
      <c r="F15350" t="s">
        <v>48150</v>
      </c>
      <c r="G15350" t="s">
        <v>85</v>
      </c>
      <c r="H15350">
        <v>721230000</v>
      </c>
      <c r="I15350" t="s">
        <v>30</v>
      </c>
      <c r="J15350" t="s">
        <v>41</v>
      </c>
      <c r="K15350" t="s">
        <v>2760</v>
      </c>
      <c r="Q15350">
        <v>0</v>
      </c>
      <c r="R15350">
        <v>1</v>
      </c>
      <c r="S15350">
        <v>1</v>
      </c>
      <c r="T15350" t="s">
        <v>53109</v>
      </c>
    </row>
    <row r="15351" spans="1:20" customFormat="1" ht="15" x14ac:dyDescent="0.25">
      <c r="A15351" t="s">
        <v>35</v>
      </c>
      <c r="B15351" t="s">
        <v>61</v>
      </c>
      <c r="C15351" t="str">
        <f>"A0122009"</f>
        <v>A0122009</v>
      </c>
      <c r="D15351" t="s">
        <v>53110</v>
      </c>
      <c r="E15351" t="s">
        <v>53111</v>
      </c>
      <c r="F15351" t="s">
        <v>43350</v>
      </c>
      <c r="G15351" t="s">
        <v>110</v>
      </c>
      <c r="H15351">
        <v>91750</v>
      </c>
      <c r="I15351" t="s">
        <v>30</v>
      </c>
      <c r="J15351" t="s">
        <v>41</v>
      </c>
      <c r="K15351" t="s">
        <v>229</v>
      </c>
      <c r="Q15351">
        <v>0</v>
      </c>
      <c r="R15351">
        <v>74</v>
      </c>
      <c r="S15351">
        <v>74</v>
      </c>
      <c r="T15351" t="s">
        <v>53112</v>
      </c>
    </row>
    <row r="15352" spans="1:20" customFormat="1" ht="15" x14ac:dyDescent="0.25">
      <c r="A15352" t="s">
        <v>35</v>
      </c>
      <c r="B15352" t="s">
        <v>61</v>
      </c>
      <c r="C15352" t="str">
        <f>"A0132574"</f>
        <v>A0132574</v>
      </c>
      <c r="D15352" t="s">
        <v>53113</v>
      </c>
      <c r="E15352" t="s">
        <v>53114</v>
      </c>
      <c r="F15352" t="s">
        <v>53115</v>
      </c>
      <c r="G15352" t="s">
        <v>65</v>
      </c>
      <c r="H15352">
        <v>44624</v>
      </c>
      <c r="I15352" t="s">
        <v>30</v>
      </c>
      <c r="J15352" t="s">
        <v>41</v>
      </c>
      <c r="K15352" t="s">
        <v>66</v>
      </c>
      <c r="Q15352">
        <v>0</v>
      </c>
      <c r="R15352">
        <v>21</v>
      </c>
      <c r="S15352">
        <v>21</v>
      </c>
      <c r="T15352" t="s">
        <v>53116</v>
      </c>
    </row>
    <row r="15353" spans="1:20" customFormat="1" ht="15" x14ac:dyDescent="0.25">
      <c r="A15353" t="s">
        <v>35</v>
      </c>
      <c r="B15353" t="s">
        <v>61</v>
      </c>
      <c r="C15353" t="str">
        <f>"A0150873"</f>
        <v>A0150873</v>
      </c>
      <c r="D15353" t="s">
        <v>53117</v>
      </c>
      <c r="E15353" t="s">
        <v>53118</v>
      </c>
      <c r="F15353" t="s">
        <v>53119</v>
      </c>
      <c r="G15353" t="s">
        <v>137</v>
      </c>
      <c r="H15353">
        <v>64456</v>
      </c>
      <c r="I15353" t="s">
        <v>30</v>
      </c>
      <c r="J15353" t="s">
        <v>41</v>
      </c>
      <c r="K15353" t="s">
        <v>229</v>
      </c>
      <c r="Q15353">
        <v>0</v>
      </c>
      <c r="R15353">
        <v>50</v>
      </c>
      <c r="S15353">
        <v>50</v>
      </c>
      <c r="T15353" t="s">
        <v>53120</v>
      </c>
    </row>
    <row r="15354" spans="1:20" customFormat="1" ht="15" x14ac:dyDescent="0.25">
      <c r="A15354" t="s">
        <v>35</v>
      </c>
      <c r="B15354" t="s">
        <v>61</v>
      </c>
      <c r="C15354" t="str">
        <f>"A0132611"</f>
        <v>A0132611</v>
      </c>
      <c r="D15354" t="s">
        <v>53121</v>
      </c>
      <c r="E15354" t="s">
        <v>53122</v>
      </c>
      <c r="F15354" t="s">
        <v>64</v>
      </c>
      <c r="G15354" t="s">
        <v>65</v>
      </c>
      <c r="H15354">
        <v>43235</v>
      </c>
      <c r="I15354" t="s">
        <v>30</v>
      </c>
      <c r="J15354" t="s">
        <v>41</v>
      </c>
      <c r="K15354" t="s">
        <v>229</v>
      </c>
      <c r="Q15354">
        <v>0</v>
      </c>
      <c r="R15354">
        <v>228</v>
      </c>
      <c r="S15354">
        <v>228</v>
      </c>
      <c r="T15354" t="s">
        <v>53123</v>
      </c>
    </row>
    <row r="15355" spans="1:20" customFormat="1" ht="15" x14ac:dyDescent="0.25">
      <c r="A15355" t="s">
        <v>35</v>
      </c>
      <c r="B15355" t="s">
        <v>61</v>
      </c>
      <c r="C15355" t="str">
        <f>"A0123607"</f>
        <v>A0123607</v>
      </c>
      <c r="D15355" t="s">
        <v>53124</v>
      </c>
      <c r="E15355" t="s">
        <v>53125</v>
      </c>
      <c r="F15355" t="s">
        <v>46551</v>
      </c>
      <c r="G15355" t="s">
        <v>507</v>
      </c>
      <c r="H15355">
        <v>26104</v>
      </c>
      <c r="I15355" t="s">
        <v>30</v>
      </c>
      <c r="J15355" t="s">
        <v>41</v>
      </c>
      <c r="K15355" t="s">
        <v>229</v>
      </c>
      <c r="Q15355">
        <v>0</v>
      </c>
      <c r="R15355">
        <v>105</v>
      </c>
      <c r="S15355">
        <v>105</v>
      </c>
      <c r="T15355" t="s">
        <v>53126</v>
      </c>
    </row>
    <row r="15356" spans="1:20" customFormat="1" ht="15" x14ac:dyDescent="0.25">
      <c r="A15356" t="s">
        <v>35</v>
      </c>
      <c r="B15356" t="s">
        <v>106</v>
      </c>
      <c r="C15356" t="str">
        <f>"A0136370"</f>
        <v>A0136370</v>
      </c>
      <c r="D15356" t="s">
        <v>53127</v>
      </c>
      <c r="E15356" t="s">
        <v>53128</v>
      </c>
      <c r="F15356" t="s">
        <v>43890</v>
      </c>
      <c r="G15356" t="s">
        <v>47</v>
      </c>
      <c r="H15356">
        <v>97361</v>
      </c>
      <c r="I15356" t="s">
        <v>30</v>
      </c>
      <c r="J15356" t="s">
        <v>111</v>
      </c>
      <c r="K15356" t="s">
        <v>10012</v>
      </c>
      <c r="Q15356">
        <v>0</v>
      </c>
      <c r="R15356">
        <v>0</v>
      </c>
      <c r="S15356">
        <v>0</v>
      </c>
      <c r="T15356" t="s">
        <v>52721</v>
      </c>
    </row>
    <row r="15357" spans="1:20" customFormat="1" ht="15" x14ac:dyDescent="0.25">
      <c r="A15357" t="s">
        <v>35</v>
      </c>
      <c r="B15357" t="s">
        <v>106</v>
      </c>
      <c r="C15357" t="str">
        <f>"A0136371"</f>
        <v>A0136371</v>
      </c>
      <c r="D15357" t="s">
        <v>53129</v>
      </c>
      <c r="E15357" t="s">
        <v>53130</v>
      </c>
      <c r="F15357" t="s">
        <v>43890</v>
      </c>
      <c r="G15357" t="s">
        <v>47</v>
      </c>
      <c r="H15357">
        <v>97361</v>
      </c>
      <c r="I15357" t="s">
        <v>30</v>
      </c>
      <c r="J15357" t="s">
        <v>111</v>
      </c>
      <c r="K15357" t="s">
        <v>10012</v>
      </c>
      <c r="Q15357">
        <v>0</v>
      </c>
      <c r="R15357">
        <v>0</v>
      </c>
      <c r="S15357">
        <v>0</v>
      </c>
      <c r="T15357" t="s">
        <v>52721</v>
      </c>
    </row>
    <row r="15358" spans="1:20" customFormat="1" ht="15" x14ac:dyDescent="0.25">
      <c r="A15358" t="s">
        <v>35</v>
      </c>
      <c r="B15358" t="s">
        <v>106</v>
      </c>
      <c r="C15358" t="str">
        <f>"A0136437"</f>
        <v>A0136437</v>
      </c>
      <c r="D15358" t="s">
        <v>53131</v>
      </c>
      <c r="E15358" t="s">
        <v>53132</v>
      </c>
      <c r="F15358" t="s">
        <v>40767</v>
      </c>
      <c r="G15358" t="s">
        <v>76</v>
      </c>
      <c r="H15358">
        <v>991646005</v>
      </c>
      <c r="I15358" t="s">
        <v>30</v>
      </c>
      <c r="J15358" t="s">
        <v>111</v>
      </c>
      <c r="K15358" t="s">
        <v>10012</v>
      </c>
      <c r="Q15358">
        <v>0</v>
      </c>
      <c r="R15358">
        <v>0</v>
      </c>
      <c r="S15358">
        <v>0</v>
      </c>
      <c r="T15358" t="s">
        <v>52512</v>
      </c>
    </row>
    <row r="15359" spans="1:20" customFormat="1" ht="15" x14ac:dyDescent="0.25">
      <c r="A15359" t="s">
        <v>35</v>
      </c>
      <c r="B15359" t="s">
        <v>106</v>
      </c>
      <c r="C15359" t="str">
        <f>"A0136441"</f>
        <v>A0136441</v>
      </c>
      <c r="D15359" t="s">
        <v>53133</v>
      </c>
      <c r="E15359" t="s">
        <v>53132</v>
      </c>
      <c r="F15359" t="s">
        <v>40767</v>
      </c>
      <c r="G15359" t="s">
        <v>76</v>
      </c>
      <c r="H15359">
        <v>991646005</v>
      </c>
      <c r="I15359" t="s">
        <v>30</v>
      </c>
      <c r="J15359" t="s">
        <v>111</v>
      </c>
      <c r="K15359" t="s">
        <v>10012</v>
      </c>
      <c r="Q15359">
        <v>0</v>
      </c>
      <c r="R15359">
        <v>0</v>
      </c>
      <c r="S15359">
        <v>0</v>
      </c>
      <c r="T15359" t="s">
        <v>52512</v>
      </c>
    </row>
    <row r="15360" spans="1:20" customFormat="1" ht="15" x14ac:dyDescent="0.25">
      <c r="A15360" t="s">
        <v>35</v>
      </c>
      <c r="B15360" t="s">
        <v>106</v>
      </c>
      <c r="C15360" t="str">
        <f>"A0136443"</f>
        <v>A0136443</v>
      </c>
      <c r="D15360" t="s">
        <v>53134</v>
      </c>
      <c r="E15360" t="s">
        <v>53135</v>
      </c>
      <c r="F15360" t="s">
        <v>40767</v>
      </c>
      <c r="G15360" t="s">
        <v>76</v>
      </c>
      <c r="H15360">
        <v>991646005</v>
      </c>
      <c r="I15360" t="s">
        <v>30</v>
      </c>
      <c r="J15360" t="s">
        <v>111</v>
      </c>
      <c r="K15360" t="s">
        <v>10012</v>
      </c>
      <c r="Q15360">
        <v>0</v>
      </c>
      <c r="R15360">
        <v>0</v>
      </c>
      <c r="S15360">
        <v>0</v>
      </c>
      <c r="T15360" t="s">
        <v>52512</v>
      </c>
    </row>
    <row r="15361" spans="1:20" customFormat="1" ht="15" x14ac:dyDescent="0.25">
      <c r="A15361" t="s">
        <v>35</v>
      </c>
      <c r="B15361" t="s">
        <v>106</v>
      </c>
      <c r="C15361" t="str">
        <f>"A0136445"</f>
        <v>A0136445</v>
      </c>
      <c r="D15361" t="s">
        <v>53136</v>
      </c>
      <c r="E15361" t="s">
        <v>53137</v>
      </c>
      <c r="F15361" t="s">
        <v>40767</v>
      </c>
      <c r="G15361" t="s">
        <v>76</v>
      </c>
      <c r="H15361">
        <v>991646005</v>
      </c>
      <c r="I15361" t="s">
        <v>30</v>
      </c>
      <c r="J15361" t="s">
        <v>111</v>
      </c>
      <c r="K15361" t="s">
        <v>10012</v>
      </c>
      <c r="Q15361">
        <v>0</v>
      </c>
      <c r="R15361">
        <v>0</v>
      </c>
      <c r="S15361">
        <v>0</v>
      </c>
      <c r="T15361" t="s">
        <v>52512</v>
      </c>
    </row>
    <row r="15362" spans="1:20" customFormat="1" ht="15" x14ac:dyDescent="0.25">
      <c r="A15362" t="s">
        <v>35</v>
      </c>
      <c r="B15362" t="s">
        <v>106</v>
      </c>
      <c r="C15362" t="str">
        <f>"A0136448"</f>
        <v>A0136448</v>
      </c>
      <c r="D15362" t="s">
        <v>53138</v>
      </c>
      <c r="E15362" t="s">
        <v>52511</v>
      </c>
      <c r="F15362" t="s">
        <v>40767</v>
      </c>
      <c r="G15362" t="s">
        <v>76</v>
      </c>
      <c r="H15362">
        <v>991646005</v>
      </c>
      <c r="I15362" t="s">
        <v>30</v>
      </c>
      <c r="J15362" t="s">
        <v>111</v>
      </c>
      <c r="K15362" t="s">
        <v>10012</v>
      </c>
      <c r="Q15362">
        <v>0</v>
      </c>
      <c r="R15362">
        <v>0</v>
      </c>
      <c r="S15362">
        <v>0</v>
      </c>
      <c r="T15362" t="s">
        <v>52512</v>
      </c>
    </row>
    <row r="15363" spans="1:20" customFormat="1" ht="15" x14ac:dyDescent="0.25">
      <c r="A15363" t="s">
        <v>35</v>
      </c>
      <c r="B15363" t="s">
        <v>106</v>
      </c>
      <c r="C15363" t="str">
        <f>"A0136438"</f>
        <v>A0136438</v>
      </c>
      <c r="D15363" t="s">
        <v>53139</v>
      </c>
      <c r="E15363" t="s">
        <v>52511</v>
      </c>
      <c r="F15363" t="s">
        <v>40767</v>
      </c>
      <c r="G15363" t="s">
        <v>76</v>
      </c>
      <c r="H15363">
        <v>991646005</v>
      </c>
      <c r="I15363" t="s">
        <v>30</v>
      </c>
      <c r="J15363" t="s">
        <v>111</v>
      </c>
      <c r="K15363" t="s">
        <v>10012</v>
      </c>
      <c r="Q15363">
        <v>0</v>
      </c>
      <c r="R15363">
        <v>0</v>
      </c>
      <c r="S15363">
        <v>0</v>
      </c>
      <c r="T15363" t="s">
        <v>52512</v>
      </c>
    </row>
    <row r="15364" spans="1:20" customFormat="1" ht="15" x14ac:dyDescent="0.25">
      <c r="A15364" t="s">
        <v>35</v>
      </c>
      <c r="B15364" t="s">
        <v>106</v>
      </c>
      <c r="C15364" t="str">
        <f>"A0136447"</f>
        <v>A0136447</v>
      </c>
      <c r="D15364" t="s">
        <v>53140</v>
      </c>
      <c r="E15364" t="s">
        <v>53141</v>
      </c>
      <c r="F15364" t="s">
        <v>40767</v>
      </c>
      <c r="G15364" t="s">
        <v>76</v>
      </c>
      <c r="H15364">
        <v>991646005</v>
      </c>
      <c r="I15364" t="s">
        <v>30</v>
      </c>
      <c r="J15364" t="s">
        <v>111</v>
      </c>
      <c r="K15364" t="s">
        <v>10012</v>
      </c>
      <c r="Q15364">
        <v>0</v>
      </c>
      <c r="R15364">
        <v>0</v>
      </c>
      <c r="S15364">
        <v>0</v>
      </c>
      <c r="T15364" t="s">
        <v>52512</v>
      </c>
    </row>
    <row r="15365" spans="1:20" customFormat="1" ht="15" x14ac:dyDescent="0.25">
      <c r="A15365" t="s">
        <v>35</v>
      </c>
      <c r="B15365" t="s">
        <v>106</v>
      </c>
      <c r="C15365" t="str">
        <f>"A0136442"</f>
        <v>A0136442</v>
      </c>
      <c r="D15365" t="s">
        <v>53142</v>
      </c>
      <c r="E15365" t="s">
        <v>53132</v>
      </c>
      <c r="F15365" t="s">
        <v>40767</v>
      </c>
      <c r="G15365" t="s">
        <v>76</v>
      </c>
      <c r="H15365">
        <v>991646005</v>
      </c>
      <c r="I15365" t="s">
        <v>30</v>
      </c>
      <c r="J15365" t="s">
        <v>111</v>
      </c>
      <c r="K15365" t="s">
        <v>10012</v>
      </c>
      <c r="Q15365">
        <v>0</v>
      </c>
      <c r="R15365">
        <v>0</v>
      </c>
      <c r="S15365">
        <v>0</v>
      </c>
      <c r="T15365" t="s">
        <v>52512</v>
      </c>
    </row>
    <row r="15366" spans="1:20" customFormat="1" ht="15" x14ac:dyDescent="0.25">
      <c r="A15366" t="s">
        <v>35</v>
      </c>
      <c r="B15366" t="s">
        <v>106</v>
      </c>
      <c r="C15366" t="str">
        <f>"A0136450"</f>
        <v>A0136450</v>
      </c>
      <c r="D15366" t="s">
        <v>53143</v>
      </c>
      <c r="E15366" t="s">
        <v>52511</v>
      </c>
      <c r="F15366" t="s">
        <v>40767</v>
      </c>
      <c r="G15366" t="s">
        <v>76</v>
      </c>
      <c r="H15366">
        <v>991646005</v>
      </c>
      <c r="I15366" t="s">
        <v>30</v>
      </c>
      <c r="J15366" t="s">
        <v>111</v>
      </c>
      <c r="K15366" t="s">
        <v>10012</v>
      </c>
      <c r="Q15366">
        <v>0</v>
      </c>
      <c r="R15366">
        <v>0</v>
      </c>
      <c r="S15366">
        <v>0</v>
      </c>
      <c r="T15366" t="s">
        <v>53144</v>
      </c>
    </row>
    <row r="15367" spans="1:20" customFormat="1" ht="15" x14ac:dyDescent="0.25">
      <c r="A15367" t="s">
        <v>35</v>
      </c>
      <c r="B15367" t="s">
        <v>106</v>
      </c>
      <c r="C15367" t="str">
        <f>"A0136454"</f>
        <v>A0136454</v>
      </c>
      <c r="D15367" t="s">
        <v>53145</v>
      </c>
      <c r="E15367" t="s">
        <v>53146</v>
      </c>
      <c r="F15367" t="s">
        <v>40767</v>
      </c>
      <c r="G15367" t="s">
        <v>76</v>
      </c>
      <c r="H15367">
        <v>99164</v>
      </c>
      <c r="I15367" t="s">
        <v>30</v>
      </c>
      <c r="J15367" t="s">
        <v>111</v>
      </c>
      <c r="K15367" t="s">
        <v>10012</v>
      </c>
      <c r="Q15367">
        <v>0</v>
      </c>
      <c r="R15367">
        <v>0</v>
      </c>
      <c r="S15367">
        <v>0</v>
      </c>
      <c r="T15367" t="s">
        <v>72</v>
      </c>
    </row>
    <row r="15368" spans="1:20" customFormat="1" ht="15" x14ac:dyDescent="0.25">
      <c r="A15368" t="s">
        <v>35</v>
      </c>
      <c r="B15368" t="s">
        <v>106</v>
      </c>
      <c r="C15368" t="str">
        <f>"A0136453"</f>
        <v>A0136453</v>
      </c>
      <c r="D15368" t="s">
        <v>53147</v>
      </c>
      <c r="E15368" t="s">
        <v>53148</v>
      </c>
      <c r="F15368" t="s">
        <v>40767</v>
      </c>
      <c r="G15368" t="s">
        <v>76</v>
      </c>
      <c r="H15368">
        <v>99164</v>
      </c>
      <c r="I15368" t="s">
        <v>30</v>
      </c>
      <c r="J15368" t="s">
        <v>111</v>
      </c>
      <c r="K15368" t="s">
        <v>10012</v>
      </c>
      <c r="Q15368">
        <v>0</v>
      </c>
      <c r="R15368">
        <v>0</v>
      </c>
      <c r="S15368">
        <v>0</v>
      </c>
      <c r="T15368" t="s">
        <v>53149</v>
      </c>
    </row>
    <row r="15369" spans="1:20" customFormat="1" ht="15" x14ac:dyDescent="0.25">
      <c r="A15369" t="s">
        <v>35</v>
      </c>
      <c r="B15369" t="s">
        <v>106</v>
      </c>
      <c r="C15369" t="str">
        <f>"A0136444"</f>
        <v>A0136444</v>
      </c>
      <c r="D15369" t="s">
        <v>53150</v>
      </c>
      <c r="E15369" t="s">
        <v>53151</v>
      </c>
      <c r="F15369" t="s">
        <v>40767</v>
      </c>
      <c r="G15369" t="s">
        <v>76</v>
      </c>
      <c r="H15369">
        <v>991646005</v>
      </c>
      <c r="I15369" t="s">
        <v>30</v>
      </c>
      <c r="J15369" t="s">
        <v>111</v>
      </c>
      <c r="K15369" t="s">
        <v>10012</v>
      </c>
      <c r="Q15369">
        <v>0</v>
      </c>
      <c r="R15369">
        <v>0</v>
      </c>
      <c r="S15369">
        <v>0</v>
      </c>
      <c r="T15369" t="s">
        <v>52512</v>
      </c>
    </row>
    <row r="15370" spans="1:20" customFormat="1" ht="15" x14ac:dyDescent="0.25">
      <c r="A15370" t="s">
        <v>35</v>
      </c>
      <c r="B15370" t="s">
        <v>106</v>
      </c>
      <c r="C15370" t="str">
        <f>"A0136455"</f>
        <v>A0136455</v>
      </c>
      <c r="D15370" t="s">
        <v>53152</v>
      </c>
      <c r="E15370" t="s">
        <v>53146</v>
      </c>
      <c r="F15370" t="s">
        <v>40767</v>
      </c>
      <c r="G15370" t="s">
        <v>76</v>
      </c>
      <c r="H15370">
        <v>99164</v>
      </c>
      <c r="I15370" t="s">
        <v>30</v>
      </c>
      <c r="J15370" t="s">
        <v>111</v>
      </c>
      <c r="K15370" t="s">
        <v>10012</v>
      </c>
      <c r="Q15370">
        <v>0</v>
      </c>
      <c r="R15370">
        <v>0</v>
      </c>
      <c r="S15370">
        <v>0</v>
      </c>
      <c r="T15370" t="s">
        <v>72</v>
      </c>
    </row>
    <row r="15371" spans="1:20" customFormat="1" ht="15" x14ac:dyDescent="0.25">
      <c r="A15371" t="s">
        <v>35</v>
      </c>
      <c r="B15371" t="s">
        <v>106</v>
      </c>
      <c r="C15371" t="str">
        <f>"A0136440"</f>
        <v>A0136440</v>
      </c>
      <c r="D15371" t="s">
        <v>53153</v>
      </c>
      <c r="E15371" t="s">
        <v>53132</v>
      </c>
      <c r="F15371" t="s">
        <v>40767</v>
      </c>
      <c r="G15371" t="s">
        <v>76</v>
      </c>
      <c r="H15371">
        <v>991646005</v>
      </c>
      <c r="I15371" t="s">
        <v>30</v>
      </c>
      <c r="J15371" t="s">
        <v>111</v>
      </c>
      <c r="K15371" t="s">
        <v>10012</v>
      </c>
      <c r="Q15371">
        <v>0</v>
      </c>
      <c r="R15371">
        <v>0</v>
      </c>
      <c r="S15371">
        <v>0</v>
      </c>
      <c r="T15371" t="s">
        <v>52512</v>
      </c>
    </row>
    <row r="15372" spans="1:20" customFormat="1" ht="15" x14ac:dyDescent="0.25">
      <c r="A15372" t="s">
        <v>35</v>
      </c>
      <c r="B15372" t="s">
        <v>106</v>
      </c>
      <c r="C15372" t="str">
        <f>"A0136446"</f>
        <v>A0136446</v>
      </c>
      <c r="D15372" t="s">
        <v>53154</v>
      </c>
      <c r="E15372" t="s">
        <v>53155</v>
      </c>
      <c r="F15372" t="s">
        <v>40767</v>
      </c>
      <c r="G15372" t="s">
        <v>76</v>
      </c>
      <c r="H15372">
        <v>991646005</v>
      </c>
      <c r="I15372" t="s">
        <v>30</v>
      </c>
      <c r="J15372" t="s">
        <v>111</v>
      </c>
      <c r="K15372" t="s">
        <v>10012</v>
      </c>
      <c r="Q15372">
        <v>0</v>
      </c>
      <c r="R15372">
        <v>0</v>
      </c>
      <c r="S15372">
        <v>0</v>
      </c>
      <c r="T15372" t="s">
        <v>52512</v>
      </c>
    </row>
    <row r="15373" spans="1:20" customFormat="1" ht="15" x14ac:dyDescent="0.25">
      <c r="A15373" t="s">
        <v>35</v>
      </c>
      <c r="B15373" t="s">
        <v>106</v>
      </c>
      <c r="C15373" t="str">
        <f>"A0136451"</f>
        <v>A0136451</v>
      </c>
      <c r="D15373" t="s">
        <v>53156</v>
      </c>
      <c r="E15373" t="s">
        <v>53157</v>
      </c>
      <c r="F15373" t="s">
        <v>40767</v>
      </c>
      <c r="G15373" t="s">
        <v>76</v>
      </c>
      <c r="H15373">
        <v>99164</v>
      </c>
      <c r="I15373" t="s">
        <v>30</v>
      </c>
      <c r="J15373" t="s">
        <v>111</v>
      </c>
      <c r="K15373" t="s">
        <v>112</v>
      </c>
      <c r="Q15373">
        <v>0</v>
      </c>
      <c r="R15373">
        <v>0</v>
      </c>
      <c r="S15373">
        <v>0</v>
      </c>
      <c r="T15373" t="s">
        <v>53158</v>
      </c>
    </row>
    <row r="15374" spans="1:20" customFormat="1" ht="15" x14ac:dyDescent="0.25">
      <c r="A15374" t="s">
        <v>35</v>
      </c>
      <c r="B15374" t="s">
        <v>106</v>
      </c>
      <c r="C15374" t="str">
        <f>"A0136439"</f>
        <v>A0136439</v>
      </c>
      <c r="D15374" t="s">
        <v>53159</v>
      </c>
      <c r="E15374" t="s">
        <v>52511</v>
      </c>
      <c r="F15374" t="s">
        <v>40767</v>
      </c>
      <c r="G15374" t="s">
        <v>76</v>
      </c>
      <c r="H15374">
        <v>991646005</v>
      </c>
      <c r="I15374" t="s">
        <v>30</v>
      </c>
      <c r="J15374" t="s">
        <v>111</v>
      </c>
      <c r="K15374" t="s">
        <v>10012</v>
      </c>
      <c r="Q15374">
        <v>0</v>
      </c>
      <c r="R15374">
        <v>0</v>
      </c>
      <c r="S15374">
        <v>0</v>
      </c>
      <c r="T15374" t="s">
        <v>52512</v>
      </c>
    </row>
    <row r="15375" spans="1:20" customFormat="1" ht="15" x14ac:dyDescent="0.25">
      <c r="A15375" t="s">
        <v>35</v>
      </c>
      <c r="B15375" t="s">
        <v>106</v>
      </c>
      <c r="C15375" t="str">
        <f>"A0136456"</f>
        <v>A0136456</v>
      </c>
      <c r="D15375" t="s">
        <v>53160</v>
      </c>
      <c r="E15375" t="s">
        <v>53161</v>
      </c>
      <c r="F15375" t="s">
        <v>40767</v>
      </c>
      <c r="G15375" t="s">
        <v>76</v>
      </c>
      <c r="H15375">
        <v>99163</v>
      </c>
      <c r="I15375" t="s">
        <v>30</v>
      </c>
      <c r="J15375" t="s">
        <v>111</v>
      </c>
      <c r="K15375" t="s">
        <v>112</v>
      </c>
      <c r="Q15375">
        <v>0</v>
      </c>
      <c r="R15375">
        <v>0</v>
      </c>
      <c r="S15375">
        <v>0</v>
      </c>
      <c r="T15375" t="s">
        <v>53162</v>
      </c>
    </row>
    <row r="15376" spans="1:20" customFormat="1" ht="15" x14ac:dyDescent="0.25">
      <c r="A15376" t="s">
        <v>35</v>
      </c>
      <c r="B15376" t="s">
        <v>106</v>
      </c>
      <c r="C15376" t="str">
        <f>"A0136449"</f>
        <v>A0136449</v>
      </c>
      <c r="D15376" t="s">
        <v>53163</v>
      </c>
      <c r="E15376" t="s">
        <v>53132</v>
      </c>
      <c r="F15376" t="s">
        <v>40767</v>
      </c>
      <c r="G15376" t="s">
        <v>76</v>
      </c>
      <c r="H15376">
        <v>991646005</v>
      </c>
      <c r="I15376" t="s">
        <v>30</v>
      </c>
      <c r="J15376" t="s">
        <v>111</v>
      </c>
      <c r="K15376" t="s">
        <v>10012</v>
      </c>
      <c r="Q15376">
        <v>0</v>
      </c>
      <c r="R15376">
        <v>0</v>
      </c>
      <c r="S15376">
        <v>0</v>
      </c>
      <c r="T15376" t="s">
        <v>52512</v>
      </c>
    </row>
    <row r="15377" spans="1:20" customFormat="1" ht="15" x14ac:dyDescent="0.25">
      <c r="A15377" t="s">
        <v>35</v>
      </c>
      <c r="B15377" t="s">
        <v>106</v>
      </c>
      <c r="C15377" t="str">
        <f>"A0136452"</f>
        <v>A0136452</v>
      </c>
      <c r="D15377" t="s">
        <v>53164</v>
      </c>
      <c r="E15377" t="s">
        <v>53148</v>
      </c>
      <c r="F15377" t="s">
        <v>40767</v>
      </c>
      <c r="G15377" t="s">
        <v>76</v>
      </c>
      <c r="H15377">
        <v>991646005</v>
      </c>
      <c r="I15377" t="s">
        <v>30</v>
      </c>
      <c r="J15377" t="s">
        <v>111</v>
      </c>
      <c r="K15377" t="s">
        <v>112</v>
      </c>
      <c r="Q15377">
        <v>0</v>
      </c>
      <c r="R15377">
        <v>0</v>
      </c>
      <c r="S15377">
        <v>0</v>
      </c>
      <c r="T15377" t="s">
        <v>53158</v>
      </c>
    </row>
    <row r="15378" spans="1:20" customFormat="1" ht="15" x14ac:dyDescent="0.25">
      <c r="A15378" t="s">
        <v>35</v>
      </c>
      <c r="B15378" t="s">
        <v>106</v>
      </c>
      <c r="C15378" t="str">
        <f>"A0136434"</f>
        <v>A0136434</v>
      </c>
      <c r="D15378" t="s">
        <v>53131</v>
      </c>
      <c r="E15378" t="s">
        <v>53148</v>
      </c>
      <c r="F15378" t="s">
        <v>40767</v>
      </c>
      <c r="G15378" t="s">
        <v>76</v>
      </c>
      <c r="H15378">
        <v>991646005</v>
      </c>
      <c r="I15378" t="s">
        <v>30</v>
      </c>
      <c r="J15378" t="s">
        <v>111</v>
      </c>
      <c r="K15378" t="s">
        <v>112</v>
      </c>
      <c r="Q15378">
        <v>0</v>
      </c>
      <c r="R15378">
        <v>0</v>
      </c>
      <c r="S15378">
        <v>0</v>
      </c>
      <c r="T15378" t="s">
        <v>53158</v>
      </c>
    </row>
    <row r="15379" spans="1:20" customFormat="1" ht="15" x14ac:dyDescent="0.25">
      <c r="A15379" t="s">
        <v>35</v>
      </c>
      <c r="B15379" t="s">
        <v>106</v>
      </c>
      <c r="C15379" t="str">
        <f>"A0136435"</f>
        <v>A0136435</v>
      </c>
      <c r="D15379" t="s">
        <v>53165</v>
      </c>
      <c r="E15379" t="s">
        <v>53166</v>
      </c>
      <c r="F15379" t="s">
        <v>40767</v>
      </c>
      <c r="G15379" t="s">
        <v>76</v>
      </c>
      <c r="H15379">
        <v>991646005</v>
      </c>
      <c r="I15379" t="s">
        <v>30</v>
      </c>
      <c r="J15379" t="s">
        <v>111</v>
      </c>
      <c r="K15379" t="s">
        <v>112</v>
      </c>
      <c r="Q15379">
        <v>0</v>
      </c>
      <c r="R15379">
        <v>0</v>
      </c>
      <c r="S15379">
        <v>0</v>
      </c>
      <c r="T15379" t="s">
        <v>53158</v>
      </c>
    </row>
    <row r="15380" spans="1:20" customFormat="1" ht="15" x14ac:dyDescent="0.25">
      <c r="A15380" t="s">
        <v>35</v>
      </c>
      <c r="B15380" t="s">
        <v>106</v>
      </c>
      <c r="C15380" t="str">
        <f>"A0150981"</f>
        <v>A0150981</v>
      </c>
      <c r="D15380" t="s">
        <v>53167</v>
      </c>
      <c r="E15380" t="s">
        <v>53168</v>
      </c>
      <c r="F15380" t="s">
        <v>40767</v>
      </c>
      <c r="G15380" t="s">
        <v>76</v>
      </c>
      <c r="H15380">
        <v>99164</v>
      </c>
      <c r="I15380" t="s">
        <v>30</v>
      </c>
      <c r="J15380" t="s">
        <v>111</v>
      </c>
      <c r="K15380" t="s">
        <v>112</v>
      </c>
      <c r="Q15380">
        <v>0</v>
      </c>
      <c r="R15380">
        <v>0</v>
      </c>
      <c r="S15380">
        <v>0</v>
      </c>
      <c r="T15380" t="s">
        <v>53169</v>
      </c>
    </row>
    <row r="15381" spans="1:20" customFormat="1" ht="15" x14ac:dyDescent="0.25">
      <c r="A15381" t="s">
        <v>35</v>
      </c>
      <c r="B15381" t="s">
        <v>106</v>
      </c>
      <c r="C15381" t="str">
        <f>"A0166134"</f>
        <v>A0166134</v>
      </c>
      <c r="D15381" t="s">
        <v>53170</v>
      </c>
      <c r="E15381" t="s">
        <v>53171</v>
      </c>
      <c r="F15381" t="s">
        <v>53172</v>
      </c>
      <c r="G15381" t="s">
        <v>76</v>
      </c>
      <c r="H15381">
        <v>99164</v>
      </c>
      <c r="I15381" t="s">
        <v>30</v>
      </c>
      <c r="J15381" t="s">
        <v>111</v>
      </c>
      <c r="K15381" t="s">
        <v>112</v>
      </c>
      <c r="Q15381">
        <v>0</v>
      </c>
      <c r="R15381">
        <v>0</v>
      </c>
      <c r="S15381">
        <v>0</v>
      </c>
      <c r="T15381" t="s">
        <v>52512</v>
      </c>
    </row>
    <row r="15382" spans="1:20" customFormat="1" ht="15" x14ac:dyDescent="0.25">
      <c r="A15382" t="s">
        <v>35</v>
      </c>
      <c r="B15382" t="s">
        <v>106</v>
      </c>
      <c r="C15382" t="str">
        <f>"A0150982"</f>
        <v>A0150982</v>
      </c>
      <c r="D15382" t="s">
        <v>53173</v>
      </c>
      <c r="E15382" t="s">
        <v>53174</v>
      </c>
      <c r="F15382" t="s">
        <v>40767</v>
      </c>
      <c r="G15382" t="s">
        <v>76</v>
      </c>
      <c r="H15382">
        <v>99164</v>
      </c>
      <c r="I15382" t="s">
        <v>30</v>
      </c>
      <c r="J15382" t="s">
        <v>111</v>
      </c>
      <c r="K15382" t="s">
        <v>112</v>
      </c>
      <c r="Q15382">
        <v>0</v>
      </c>
      <c r="R15382">
        <v>0</v>
      </c>
      <c r="S15382">
        <v>0</v>
      </c>
      <c r="T15382" t="s">
        <v>53169</v>
      </c>
    </row>
    <row r="15383" spans="1:20" customFormat="1" ht="15" x14ac:dyDescent="0.25">
      <c r="A15383" t="s">
        <v>35</v>
      </c>
      <c r="B15383" t="s">
        <v>106</v>
      </c>
      <c r="C15383" t="str">
        <f>"A0150985"</f>
        <v>A0150985</v>
      </c>
      <c r="D15383" t="s">
        <v>53175</v>
      </c>
      <c r="E15383" t="s">
        <v>53176</v>
      </c>
      <c r="F15383" t="s">
        <v>40767</v>
      </c>
      <c r="G15383" t="s">
        <v>76</v>
      </c>
      <c r="H15383">
        <v>99164</v>
      </c>
      <c r="I15383" t="s">
        <v>30</v>
      </c>
      <c r="J15383" t="s">
        <v>111</v>
      </c>
      <c r="K15383" t="s">
        <v>112</v>
      </c>
      <c r="Q15383">
        <v>0</v>
      </c>
      <c r="R15383">
        <v>0</v>
      </c>
      <c r="S15383">
        <v>0</v>
      </c>
      <c r="T15383" t="s">
        <v>53177</v>
      </c>
    </row>
    <row r="15384" spans="1:20" customFormat="1" ht="15" x14ac:dyDescent="0.25">
      <c r="A15384" t="s">
        <v>35</v>
      </c>
      <c r="B15384" t="s">
        <v>106</v>
      </c>
      <c r="C15384" t="str">
        <f>"A0150984"</f>
        <v>A0150984</v>
      </c>
      <c r="D15384" t="s">
        <v>53178</v>
      </c>
      <c r="E15384" t="s">
        <v>53179</v>
      </c>
      <c r="F15384" t="s">
        <v>40767</v>
      </c>
      <c r="G15384" t="s">
        <v>76</v>
      </c>
      <c r="H15384">
        <v>99164</v>
      </c>
      <c r="I15384" t="s">
        <v>30</v>
      </c>
      <c r="J15384" t="s">
        <v>111</v>
      </c>
      <c r="K15384" t="s">
        <v>112</v>
      </c>
      <c r="Q15384">
        <v>0</v>
      </c>
      <c r="R15384">
        <v>0</v>
      </c>
      <c r="S15384">
        <v>0</v>
      </c>
      <c r="T15384" t="s">
        <v>53169</v>
      </c>
    </row>
    <row r="15385" spans="1:20" customFormat="1" ht="15" x14ac:dyDescent="0.25">
      <c r="A15385" t="s">
        <v>35</v>
      </c>
      <c r="B15385" t="s">
        <v>106</v>
      </c>
      <c r="C15385" t="str">
        <f>"A0150983"</f>
        <v>A0150983</v>
      </c>
      <c r="D15385" t="s">
        <v>53180</v>
      </c>
      <c r="E15385" t="s">
        <v>53181</v>
      </c>
      <c r="F15385" t="s">
        <v>40767</v>
      </c>
      <c r="G15385" t="s">
        <v>76</v>
      </c>
      <c r="H15385">
        <v>99164</v>
      </c>
      <c r="I15385" t="s">
        <v>30</v>
      </c>
      <c r="J15385" t="s">
        <v>111</v>
      </c>
      <c r="K15385" t="s">
        <v>112</v>
      </c>
      <c r="Q15385">
        <v>0</v>
      </c>
      <c r="R15385">
        <v>0</v>
      </c>
      <c r="S15385">
        <v>0</v>
      </c>
      <c r="T15385" t="s">
        <v>53182</v>
      </c>
    </row>
    <row r="15386" spans="1:20" customFormat="1" ht="15" x14ac:dyDescent="0.25">
      <c r="A15386" t="s">
        <v>35</v>
      </c>
      <c r="B15386" t="s">
        <v>106</v>
      </c>
      <c r="C15386" t="str">
        <f>"A0151202"</f>
        <v>A0151202</v>
      </c>
      <c r="D15386" t="s">
        <v>53183</v>
      </c>
      <c r="E15386" t="s">
        <v>53184</v>
      </c>
      <c r="F15386" t="s">
        <v>40767</v>
      </c>
      <c r="G15386" t="s">
        <v>76</v>
      </c>
      <c r="H15386">
        <v>99164</v>
      </c>
      <c r="I15386" t="s">
        <v>30</v>
      </c>
      <c r="J15386" t="s">
        <v>111</v>
      </c>
      <c r="K15386" t="s">
        <v>112</v>
      </c>
      <c r="Q15386">
        <v>0</v>
      </c>
      <c r="R15386">
        <v>0</v>
      </c>
      <c r="S15386">
        <v>0</v>
      </c>
      <c r="T15386" t="s">
        <v>53185</v>
      </c>
    </row>
    <row r="15387" spans="1:20" customFormat="1" ht="15" x14ac:dyDescent="0.25">
      <c r="A15387" t="s">
        <v>35</v>
      </c>
      <c r="B15387" t="s">
        <v>437</v>
      </c>
      <c r="C15387" t="str">
        <f>"A0134029"</f>
        <v>A0134029</v>
      </c>
      <c r="D15387" t="s">
        <v>53186</v>
      </c>
      <c r="E15387" t="s">
        <v>53187</v>
      </c>
      <c r="F15387" t="s">
        <v>53188</v>
      </c>
      <c r="G15387" t="s">
        <v>40</v>
      </c>
      <c r="H15387">
        <v>74370</v>
      </c>
      <c r="I15387" t="s">
        <v>30</v>
      </c>
      <c r="J15387" t="s">
        <v>441</v>
      </c>
      <c r="K15387" t="s">
        <v>6026</v>
      </c>
      <c r="Q15387">
        <v>0</v>
      </c>
      <c r="R15387">
        <v>0</v>
      </c>
      <c r="S15387">
        <v>0</v>
      </c>
      <c r="T15387" t="s">
        <v>53189</v>
      </c>
    </row>
    <row r="15388" spans="1:20" customFormat="1" ht="15" x14ac:dyDescent="0.25">
      <c r="A15388" t="s">
        <v>35</v>
      </c>
      <c r="B15388" t="s">
        <v>61</v>
      </c>
      <c r="C15388" t="str">
        <f>"A0122953"</f>
        <v>A0122953</v>
      </c>
      <c r="D15388" t="s">
        <v>53190</v>
      </c>
      <c r="E15388" t="s">
        <v>53191</v>
      </c>
      <c r="F15388" t="s">
        <v>45043</v>
      </c>
      <c r="G15388" t="s">
        <v>76</v>
      </c>
      <c r="H15388">
        <v>98110</v>
      </c>
      <c r="I15388" t="s">
        <v>30</v>
      </c>
      <c r="J15388" t="s">
        <v>41</v>
      </c>
      <c r="K15388" t="s">
        <v>59</v>
      </c>
      <c r="Q15388">
        <v>0</v>
      </c>
      <c r="R15388">
        <v>40</v>
      </c>
      <c r="S15388">
        <v>40</v>
      </c>
      <c r="T15388" t="s">
        <v>53192</v>
      </c>
    </row>
    <row r="15389" spans="1:20" customFormat="1" ht="15" x14ac:dyDescent="0.25">
      <c r="A15389" t="s">
        <v>35</v>
      </c>
      <c r="B15389" t="s">
        <v>61</v>
      </c>
      <c r="C15389" t="str">
        <f>"A0128659"</f>
        <v>A0128659</v>
      </c>
      <c r="D15389" t="s">
        <v>53193</v>
      </c>
      <c r="E15389" t="s">
        <v>53194</v>
      </c>
      <c r="F15389" t="s">
        <v>25605</v>
      </c>
      <c r="G15389" t="s">
        <v>1170</v>
      </c>
      <c r="H15389">
        <v>70072</v>
      </c>
      <c r="I15389" t="s">
        <v>30</v>
      </c>
      <c r="J15389" t="s">
        <v>41</v>
      </c>
      <c r="K15389" t="s">
        <v>229</v>
      </c>
      <c r="Q15389">
        <v>0</v>
      </c>
      <c r="R15389">
        <v>130</v>
      </c>
      <c r="S15389">
        <v>130</v>
      </c>
      <c r="T15389" t="s">
        <v>53195</v>
      </c>
    </row>
    <row r="15390" spans="1:20" customFormat="1" ht="15" x14ac:dyDescent="0.25">
      <c r="A15390" t="s">
        <v>35</v>
      </c>
      <c r="B15390" t="s">
        <v>61</v>
      </c>
      <c r="C15390" t="str">
        <f>"A0118192"</f>
        <v>A0118192</v>
      </c>
      <c r="D15390" t="s">
        <v>30426</v>
      </c>
      <c r="E15390" t="s">
        <v>53196</v>
      </c>
      <c r="F15390" t="s">
        <v>30428</v>
      </c>
      <c r="G15390" t="s">
        <v>1508</v>
      </c>
      <c r="H15390">
        <v>82410</v>
      </c>
      <c r="I15390" t="s">
        <v>30</v>
      </c>
      <c r="J15390" t="s">
        <v>41</v>
      </c>
      <c r="K15390" t="s">
        <v>229</v>
      </c>
      <c r="Q15390">
        <v>0</v>
      </c>
      <c r="R15390">
        <v>90</v>
      </c>
      <c r="S15390">
        <v>90</v>
      </c>
      <c r="T15390" t="s">
        <v>53197</v>
      </c>
    </row>
    <row r="15391" spans="1:20" customFormat="1" ht="15" x14ac:dyDescent="0.25">
      <c r="A15391" t="s">
        <v>35</v>
      </c>
      <c r="B15391" t="s">
        <v>61</v>
      </c>
      <c r="C15391" t="str">
        <f>"A0127303"</f>
        <v>A0127303</v>
      </c>
      <c r="D15391" t="s">
        <v>53198</v>
      </c>
      <c r="E15391" t="s">
        <v>53199</v>
      </c>
      <c r="F15391" t="s">
        <v>30387</v>
      </c>
      <c r="G15391" t="s">
        <v>846</v>
      </c>
      <c r="H15391">
        <v>30058</v>
      </c>
      <c r="I15391" t="s">
        <v>30</v>
      </c>
      <c r="J15391" t="s">
        <v>41</v>
      </c>
      <c r="K15391" t="s">
        <v>59</v>
      </c>
      <c r="Q15391">
        <v>0</v>
      </c>
      <c r="R15391">
        <v>32</v>
      </c>
      <c r="S15391">
        <v>32</v>
      </c>
      <c r="T15391" t="s">
        <v>53200</v>
      </c>
    </row>
    <row r="15392" spans="1:20" customFormat="1" ht="15" x14ac:dyDescent="0.25">
      <c r="A15392" t="s">
        <v>35</v>
      </c>
      <c r="B15392" t="s">
        <v>61</v>
      </c>
      <c r="C15392" t="str">
        <f>"A0129098"</f>
        <v>A0129098</v>
      </c>
      <c r="D15392" t="s">
        <v>53201</v>
      </c>
      <c r="E15392" t="s">
        <v>53202</v>
      </c>
      <c r="F15392" t="s">
        <v>53203</v>
      </c>
      <c r="G15392" t="s">
        <v>289</v>
      </c>
      <c r="H15392">
        <v>61053</v>
      </c>
      <c r="I15392" t="s">
        <v>30</v>
      </c>
      <c r="J15392" t="s">
        <v>41</v>
      </c>
      <c r="K15392" t="s">
        <v>42</v>
      </c>
      <c r="Q15392">
        <v>0</v>
      </c>
      <c r="R15392">
        <v>196</v>
      </c>
      <c r="S15392">
        <v>196</v>
      </c>
      <c r="T15392" t="s">
        <v>53204</v>
      </c>
    </row>
    <row r="15393" spans="1:20" customFormat="1" ht="15" x14ac:dyDescent="0.25">
      <c r="A15393" t="s">
        <v>35</v>
      </c>
      <c r="B15393" t="s">
        <v>61</v>
      </c>
      <c r="C15393" t="str">
        <f>"A0152968"</f>
        <v>A0152968</v>
      </c>
      <c r="D15393" t="s">
        <v>53205</v>
      </c>
      <c r="E15393" t="s">
        <v>53206</v>
      </c>
      <c r="F15393" t="s">
        <v>1904</v>
      </c>
      <c r="G15393" t="s">
        <v>880</v>
      </c>
      <c r="H15393">
        <v>37404</v>
      </c>
      <c r="I15393" t="s">
        <v>30</v>
      </c>
      <c r="J15393" t="s">
        <v>41</v>
      </c>
      <c r="K15393" t="s">
        <v>42</v>
      </c>
      <c r="Q15393">
        <v>0</v>
      </c>
      <c r="R15393">
        <v>0</v>
      </c>
      <c r="S15393">
        <v>0</v>
      </c>
      <c r="T15393" t="s">
        <v>53207</v>
      </c>
    </row>
    <row r="15394" spans="1:20" customFormat="1" ht="15" x14ac:dyDescent="0.25">
      <c r="A15394" t="s">
        <v>35</v>
      </c>
      <c r="B15394" t="s">
        <v>106</v>
      </c>
      <c r="C15394" t="str">
        <f>"A0136601"</f>
        <v>A0136601</v>
      </c>
      <c r="D15394" t="s">
        <v>53208</v>
      </c>
      <c r="E15394" t="s">
        <v>53209</v>
      </c>
      <c r="F15394" t="s">
        <v>36118</v>
      </c>
      <c r="G15394" t="s">
        <v>1184</v>
      </c>
      <c r="H15394">
        <v>59101</v>
      </c>
      <c r="I15394" t="s">
        <v>30</v>
      </c>
      <c r="J15394" t="s">
        <v>111</v>
      </c>
      <c r="K15394" t="s">
        <v>112</v>
      </c>
      <c r="Q15394">
        <v>0</v>
      </c>
      <c r="R15394">
        <v>0</v>
      </c>
      <c r="S15394">
        <v>0</v>
      </c>
      <c r="T15394" t="s">
        <v>53210</v>
      </c>
    </row>
    <row r="15395" spans="1:20" customFormat="1" ht="15" x14ac:dyDescent="0.25">
      <c r="A15395" t="s">
        <v>35</v>
      </c>
      <c r="B15395" t="s">
        <v>437</v>
      </c>
      <c r="C15395" t="str">
        <f>"A0133923"</f>
        <v>A0133923</v>
      </c>
      <c r="D15395" t="s">
        <v>53211</v>
      </c>
      <c r="E15395" t="s">
        <v>53212</v>
      </c>
      <c r="F15395" t="s">
        <v>501</v>
      </c>
      <c r="G15395" t="s">
        <v>110</v>
      </c>
      <c r="H15395">
        <v>91206</v>
      </c>
      <c r="I15395" t="s">
        <v>30</v>
      </c>
      <c r="J15395" t="s">
        <v>441</v>
      </c>
      <c r="K15395" t="s">
        <v>36814</v>
      </c>
      <c r="Q15395">
        <v>0</v>
      </c>
      <c r="R15395">
        <v>0</v>
      </c>
      <c r="S15395">
        <v>0</v>
      </c>
      <c r="T15395" t="s">
        <v>53213</v>
      </c>
    </row>
    <row r="15396" spans="1:20" customFormat="1" ht="15" x14ac:dyDescent="0.25">
      <c r="A15396" t="s">
        <v>35</v>
      </c>
      <c r="B15396" t="s">
        <v>437</v>
      </c>
      <c r="C15396" t="str">
        <f>"A0154315"</f>
        <v>A0154315</v>
      </c>
      <c r="D15396" t="s">
        <v>53214</v>
      </c>
      <c r="E15396" t="s">
        <v>53215</v>
      </c>
      <c r="F15396" t="s">
        <v>36830</v>
      </c>
      <c r="G15396" t="s">
        <v>289</v>
      </c>
      <c r="H15396">
        <v>61911</v>
      </c>
      <c r="I15396" t="s">
        <v>30</v>
      </c>
      <c r="J15396" t="s">
        <v>441</v>
      </c>
      <c r="K15396" t="s">
        <v>442</v>
      </c>
      <c r="Q15396">
        <v>0</v>
      </c>
      <c r="R15396">
        <v>0</v>
      </c>
      <c r="S15396">
        <v>0</v>
      </c>
      <c r="T15396" t="s">
        <v>53216</v>
      </c>
    </row>
    <row r="15397" spans="1:20" customFormat="1" ht="15" x14ac:dyDescent="0.25">
      <c r="A15397" t="s">
        <v>35</v>
      </c>
      <c r="B15397" t="s">
        <v>61</v>
      </c>
      <c r="C15397" t="str">
        <f>"A0118038"</f>
        <v>A0118038</v>
      </c>
      <c r="D15397" t="s">
        <v>53217</v>
      </c>
      <c r="E15397" t="s">
        <v>53218</v>
      </c>
      <c r="F15397" t="s">
        <v>16066</v>
      </c>
      <c r="G15397" t="s">
        <v>110</v>
      </c>
      <c r="H15397">
        <v>92078</v>
      </c>
      <c r="I15397" t="s">
        <v>30</v>
      </c>
      <c r="J15397" t="s">
        <v>41</v>
      </c>
      <c r="K15397" t="s">
        <v>1412</v>
      </c>
      <c r="Q15397">
        <v>0</v>
      </c>
      <c r="R15397">
        <v>1</v>
      </c>
      <c r="S15397">
        <v>1</v>
      </c>
      <c r="T15397" t="s">
        <v>53219</v>
      </c>
    </row>
    <row r="15398" spans="1:20" customFormat="1" ht="15" x14ac:dyDescent="0.25">
      <c r="A15398" t="s">
        <v>35</v>
      </c>
      <c r="B15398" t="s">
        <v>61</v>
      </c>
      <c r="C15398" t="str">
        <f>"A0131372"</f>
        <v>A0131372</v>
      </c>
      <c r="D15398" t="s">
        <v>53220</v>
      </c>
      <c r="E15398" t="s">
        <v>53221</v>
      </c>
      <c r="F15398" t="s">
        <v>53222</v>
      </c>
      <c r="G15398" t="s">
        <v>137</v>
      </c>
      <c r="H15398">
        <v>63823</v>
      </c>
      <c r="I15398" t="s">
        <v>30</v>
      </c>
      <c r="J15398" t="s">
        <v>41</v>
      </c>
      <c r="K15398" t="s">
        <v>229</v>
      </c>
      <c r="Q15398">
        <v>0</v>
      </c>
      <c r="R15398">
        <v>60</v>
      </c>
      <c r="S15398">
        <v>60</v>
      </c>
      <c r="T15398" t="s">
        <v>53223</v>
      </c>
    </row>
    <row r="15399" spans="1:20" customFormat="1" ht="15" x14ac:dyDescent="0.25">
      <c r="A15399" t="s">
        <v>35</v>
      </c>
      <c r="B15399" t="s">
        <v>61</v>
      </c>
      <c r="C15399" t="str">
        <f>"A0123994"</f>
        <v>A0123994</v>
      </c>
      <c r="D15399" t="s">
        <v>53224</v>
      </c>
      <c r="E15399" t="s">
        <v>53225</v>
      </c>
      <c r="F15399" t="s">
        <v>5781</v>
      </c>
      <c r="G15399" t="s">
        <v>58</v>
      </c>
      <c r="H15399">
        <v>29745</v>
      </c>
      <c r="I15399" t="s">
        <v>30</v>
      </c>
      <c r="J15399" t="s">
        <v>41</v>
      </c>
      <c r="K15399" t="s">
        <v>482</v>
      </c>
      <c r="Q15399">
        <v>0</v>
      </c>
      <c r="R15399">
        <v>120</v>
      </c>
      <c r="S15399">
        <v>120</v>
      </c>
      <c r="T15399" t="s">
        <v>53226</v>
      </c>
    </row>
    <row r="15400" spans="1:20" customFormat="1" ht="15" x14ac:dyDescent="0.25">
      <c r="A15400" t="s">
        <v>35</v>
      </c>
      <c r="B15400" t="s">
        <v>61</v>
      </c>
      <c r="C15400" t="str">
        <f>"A0130751"</f>
        <v>A0130751</v>
      </c>
      <c r="D15400" t="s">
        <v>53227</v>
      </c>
      <c r="E15400" t="s">
        <v>53228</v>
      </c>
      <c r="F15400" t="s">
        <v>15178</v>
      </c>
      <c r="G15400" t="s">
        <v>3236</v>
      </c>
      <c r="H15400">
        <v>57709</v>
      </c>
      <c r="I15400" t="s">
        <v>30</v>
      </c>
      <c r="J15400" t="s">
        <v>41</v>
      </c>
      <c r="K15400" t="s">
        <v>391</v>
      </c>
      <c r="Q15400">
        <v>0</v>
      </c>
      <c r="R15400">
        <v>0</v>
      </c>
      <c r="S15400">
        <v>0</v>
      </c>
      <c r="T15400" t="s">
        <v>53229</v>
      </c>
    </row>
    <row r="15401" spans="1:20" customFormat="1" ht="15" x14ac:dyDescent="0.25">
      <c r="A15401" t="s">
        <v>35</v>
      </c>
      <c r="B15401" t="s">
        <v>437</v>
      </c>
      <c r="C15401" t="str">
        <f>"A0134919"</f>
        <v>A0134919</v>
      </c>
      <c r="D15401" t="s">
        <v>53230</v>
      </c>
      <c r="E15401" t="s">
        <v>53231</v>
      </c>
      <c r="F15401" t="s">
        <v>10276</v>
      </c>
      <c r="G15401" t="s">
        <v>846</v>
      </c>
      <c r="H15401">
        <v>30303</v>
      </c>
      <c r="I15401" t="s">
        <v>30</v>
      </c>
      <c r="J15401" t="s">
        <v>441</v>
      </c>
      <c r="K15401" t="s">
        <v>442</v>
      </c>
      <c r="Q15401">
        <v>0</v>
      </c>
      <c r="R15401">
        <v>0</v>
      </c>
      <c r="S15401">
        <v>0</v>
      </c>
      <c r="T15401" t="s">
        <v>53232</v>
      </c>
    </row>
    <row r="15402" spans="1:20" customFormat="1" ht="15" x14ac:dyDescent="0.25">
      <c r="A15402" t="s">
        <v>35</v>
      </c>
      <c r="B15402" t="s">
        <v>437</v>
      </c>
      <c r="C15402" t="str">
        <f>"A0133841"</f>
        <v>A0133841</v>
      </c>
      <c r="D15402" t="s">
        <v>53233</v>
      </c>
      <c r="E15402" t="s">
        <v>53234</v>
      </c>
      <c r="F15402" t="s">
        <v>42254</v>
      </c>
      <c r="G15402" t="s">
        <v>110</v>
      </c>
      <c r="H15402">
        <v>90254</v>
      </c>
      <c r="I15402" t="s">
        <v>30</v>
      </c>
      <c r="J15402" t="s">
        <v>441</v>
      </c>
      <c r="K15402" t="s">
        <v>442</v>
      </c>
      <c r="Q15402">
        <v>0</v>
      </c>
      <c r="R15402">
        <v>0</v>
      </c>
      <c r="S15402">
        <v>0</v>
      </c>
      <c r="T15402" t="s">
        <v>53235</v>
      </c>
    </row>
    <row r="15403" spans="1:20" customFormat="1" ht="15" x14ac:dyDescent="0.25">
      <c r="A15403" t="s">
        <v>35</v>
      </c>
      <c r="B15403" t="s">
        <v>106</v>
      </c>
      <c r="C15403" t="str">
        <f>"A0135295"</f>
        <v>A0135295</v>
      </c>
      <c r="D15403" t="s">
        <v>53236</v>
      </c>
      <c r="E15403" t="s">
        <v>53237</v>
      </c>
      <c r="F15403" t="s">
        <v>4133</v>
      </c>
      <c r="G15403" t="s">
        <v>52</v>
      </c>
      <c r="H15403">
        <v>78705</v>
      </c>
      <c r="I15403" t="s">
        <v>30</v>
      </c>
      <c r="J15403" t="s">
        <v>111</v>
      </c>
      <c r="K15403" t="s">
        <v>112</v>
      </c>
      <c r="Q15403">
        <v>0</v>
      </c>
      <c r="R15403">
        <v>0</v>
      </c>
      <c r="S15403">
        <v>0</v>
      </c>
      <c r="T15403" t="s">
        <v>53238</v>
      </c>
    </row>
    <row r="15404" spans="1:20" customFormat="1" ht="15" x14ac:dyDescent="0.25">
      <c r="A15404" t="s">
        <v>35</v>
      </c>
      <c r="B15404" t="s">
        <v>106</v>
      </c>
      <c r="C15404" t="str">
        <f>"A0136561"</f>
        <v>A0136561</v>
      </c>
      <c r="D15404" t="s">
        <v>53239</v>
      </c>
      <c r="E15404" t="s">
        <v>53240</v>
      </c>
      <c r="F15404" t="s">
        <v>4133</v>
      </c>
      <c r="G15404" t="s">
        <v>52</v>
      </c>
      <c r="H15404">
        <v>78705</v>
      </c>
      <c r="I15404" t="s">
        <v>30</v>
      </c>
      <c r="J15404" t="s">
        <v>111</v>
      </c>
      <c r="K15404" t="s">
        <v>112</v>
      </c>
      <c r="Q15404">
        <v>0</v>
      </c>
      <c r="R15404">
        <v>0</v>
      </c>
      <c r="S15404">
        <v>0</v>
      </c>
      <c r="T15404" t="s">
        <v>53241</v>
      </c>
    </row>
    <row r="15405" spans="1:20" customFormat="1" ht="15" x14ac:dyDescent="0.25">
      <c r="A15405" t="s">
        <v>35</v>
      </c>
      <c r="B15405" t="s">
        <v>61</v>
      </c>
      <c r="C15405" t="str">
        <f>"A0126398"</f>
        <v>A0126398</v>
      </c>
      <c r="D15405" t="s">
        <v>53242</v>
      </c>
      <c r="E15405" t="s">
        <v>53243</v>
      </c>
      <c r="F15405" t="s">
        <v>53244</v>
      </c>
      <c r="G15405" t="s">
        <v>81</v>
      </c>
      <c r="H15405">
        <v>32937</v>
      </c>
      <c r="I15405" t="s">
        <v>30</v>
      </c>
      <c r="J15405" t="s">
        <v>41</v>
      </c>
      <c r="K15405" t="s">
        <v>59</v>
      </c>
      <c r="Q15405">
        <v>0</v>
      </c>
      <c r="R15405">
        <v>100</v>
      </c>
      <c r="S15405">
        <v>100</v>
      </c>
      <c r="T15405" t="s">
        <v>53245</v>
      </c>
    </row>
    <row r="15406" spans="1:20" customFormat="1" ht="15" x14ac:dyDescent="0.25">
      <c r="A15406" t="s">
        <v>35</v>
      </c>
      <c r="B15406" t="s">
        <v>106</v>
      </c>
      <c r="C15406" t="str">
        <f>"A0135612"</f>
        <v>A0135612</v>
      </c>
      <c r="D15406" t="s">
        <v>53246</v>
      </c>
      <c r="E15406" t="s">
        <v>53247</v>
      </c>
      <c r="F15406" t="s">
        <v>16066</v>
      </c>
      <c r="G15406" t="s">
        <v>52</v>
      </c>
      <c r="H15406">
        <v>78666</v>
      </c>
      <c r="I15406" t="s">
        <v>30</v>
      </c>
      <c r="J15406" t="s">
        <v>111</v>
      </c>
      <c r="K15406" t="s">
        <v>112</v>
      </c>
      <c r="Q15406">
        <v>0</v>
      </c>
      <c r="R15406">
        <v>0</v>
      </c>
      <c r="S15406">
        <v>0</v>
      </c>
      <c r="T15406" t="s">
        <v>53248</v>
      </c>
    </row>
    <row r="15407" spans="1:20" customFormat="1" ht="15" x14ac:dyDescent="0.25">
      <c r="A15407" t="s">
        <v>24</v>
      </c>
      <c r="B15407" t="s">
        <v>56277</v>
      </c>
      <c r="C15407" t="str">
        <f>"A0069058"</f>
        <v>A0069058</v>
      </c>
      <c r="D15407" t="s">
        <v>69938</v>
      </c>
      <c r="E15407" t="s">
        <v>69939</v>
      </c>
      <c r="F15407" t="s">
        <v>35860</v>
      </c>
      <c r="G15407" t="s">
        <v>615</v>
      </c>
      <c r="H15407">
        <v>6902</v>
      </c>
      <c r="I15407" t="s">
        <v>30</v>
      </c>
      <c r="J15407" t="s">
        <v>162</v>
      </c>
      <c r="K15407" t="s">
        <v>4809</v>
      </c>
      <c r="N15407" t="s">
        <v>12570</v>
      </c>
      <c r="O15407" t="s">
        <v>68887</v>
      </c>
      <c r="Q15407">
        <v>0</v>
      </c>
      <c r="R15407">
        <v>484</v>
      </c>
      <c r="S15407">
        <v>0</v>
      </c>
      <c r="T15407" t="s">
        <v>69940</v>
      </c>
    </row>
    <row r="15408" spans="1:20" customFormat="1" ht="15" x14ac:dyDescent="0.25">
      <c r="A15408" t="s">
        <v>24</v>
      </c>
      <c r="B15408" t="s">
        <v>3159</v>
      </c>
      <c r="C15408" t="str">
        <f>"A0117266"</f>
        <v>A0117266</v>
      </c>
      <c r="D15408" t="s">
        <v>53252</v>
      </c>
      <c r="E15408" t="s">
        <v>53253</v>
      </c>
      <c r="F15408" t="s">
        <v>1201</v>
      </c>
      <c r="G15408" t="s">
        <v>214</v>
      </c>
      <c r="H15408">
        <v>28405</v>
      </c>
      <c r="I15408" t="s">
        <v>30</v>
      </c>
      <c r="J15408" t="s">
        <v>145</v>
      </c>
      <c r="K15408" t="s">
        <v>1185</v>
      </c>
      <c r="N15408" t="s">
        <v>53254</v>
      </c>
      <c r="Q15408">
        <v>0</v>
      </c>
      <c r="R15408">
        <v>122</v>
      </c>
      <c r="S15408">
        <v>0</v>
      </c>
      <c r="T15408" t="s">
        <v>53255</v>
      </c>
    </row>
    <row r="15409" spans="1:25" customFormat="1" ht="15" x14ac:dyDescent="0.25">
      <c r="A15409" t="s">
        <v>24</v>
      </c>
      <c r="B15409" t="s">
        <v>5843</v>
      </c>
      <c r="C15409" t="str">
        <f>"A0060525"</f>
        <v>A0060525</v>
      </c>
      <c r="D15409" t="s">
        <v>69941</v>
      </c>
      <c r="E15409" t="s">
        <v>69942</v>
      </c>
      <c r="F15409" t="s">
        <v>61954</v>
      </c>
      <c r="G15409" t="s">
        <v>110</v>
      </c>
      <c r="H15409">
        <v>95207</v>
      </c>
      <c r="I15409" t="s">
        <v>30</v>
      </c>
      <c r="J15409" t="s">
        <v>162</v>
      </c>
      <c r="K15409" t="s">
        <v>4809</v>
      </c>
      <c r="N15409" t="s">
        <v>69943</v>
      </c>
      <c r="Q15409">
        <v>0</v>
      </c>
      <c r="R15409">
        <v>196</v>
      </c>
      <c r="S15409">
        <v>0</v>
      </c>
      <c r="T15409" t="s">
        <v>69944</v>
      </c>
    </row>
    <row r="15410" spans="1:25" customFormat="1" ht="15" x14ac:dyDescent="0.25">
      <c r="A15410" t="s">
        <v>24</v>
      </c>
      <c r="B15410" t="s">
        <v>53262</v>
      </c>
      <c r="C15410" t="str">
        <f>"A0178603"</f>
        <v>A0178603</v>
      </c>
      <c r="D15410" t="s">
        <v>53263</v>
      </c>
      <c r="E15410" t="s">
        <v>53264</v>
      </c>
      <c r="F15410" t="s">
        <v>9831</v>
      </c>
      <c r="G15410" t="s">
        <v>214</v>
      </c>
      <c r="H15410">
        <v>28078</v>
      </c>
      <c r="I15410" t="s">
        <v>30</v>
      </c>
      <c r="J15410" t="s">
        <v>31</v>
      </c>
      <c r="K15410" t="s">
        <v>255</v>
      </c>
      <c r="N15410" t="s">
        <v>53265</v>
      </c>
      <c r="O15410" t="s">
        <v>53266</v>
      </c>
      <c r="Q15410">
        <v>0</v>
      </c>
      <c r="R15410">
        <v>106</v>
      </c>
      <c r="S15410">
        <v>0</v>
      </c>
      <c r="T15410" t="s">
        <v>53267</v>
      </c>
    </row>
    <row r="15411" spans="1:25" customFormat="1" ht="15" x14ac:dyDescent="0.25">
      <c r="A15411" t="s">
        <v>24</v>
      </c>
      <c r="B15411" t="s">
        <v>2221</v>
      </c>
      <c r="C15411" t="str">
        <f>"88HL001"</f>
        <v>88HL001</v>
      </c>
      <c r="D15411" t="s">
        <v>69945</v>
      </c>
      <c r="E15411" t="s">
        <v>69946</v>
      </c>
      <c r="F15411" t="s">
        <v>3955</v>
      </c>
      <c r="G15411" t="s">
        <v>81</v>
      </c>
      <c r="H15411">
        <v>33607</v>
      </c>
      <c r="I15411" t="s">
        <v>30</v>
      </c>
      <c r="J15411" t="s">
        <v>162</v>
      </c>
      <c r="K15411" t="s">
        <v>4809</v>
      </c>
      <c r="N15411" t="s">
        <v>69947</v>
      </c>
      <c r="Q15411">
        <v>0</v>
      </c>
      <c r="R15411">
        <v>238</v>
      </c>
      <c r="S15411">
        <v>0</v>
      </c>
      <c r="T15411" t="s">
        <v>69948</v>
      </c>
    </row>
    <row r="15412" spans="1:25" customFormat="1" ht="15" x14ac:dyDescent="0.25">
      <c r="A15412" t="s">
        <v>24</v>
      </c>
      <c r="B15412" t="s">
        <v>762</v>
      </c>
      <c r="C15412" t="str">
        <f>"A0096876"</f>
        <v>A0096876</v>
      </c>
      <c r="D15412" t="s">
        <v>69949</v>
      </c>
      <c r="E15412" t="s">
        <v>69950</v>
      </c>
      <c r="F15412" t="s">
        <v>7355</v>
      </c>
      <c r="G15412" t="s">
        <v>197</v>
      </c>
      <c r="H15412">
        <v>85704</v>
      </c>
      <c r="I15412" t="s">
        <v>30</v>
      </c>
      <c r="J15412" t="s">
        <v>162</v>
      </c>
      <c r="K15412" t="s">
        <v>4809</v>
      </c>
      <c r="N15412" t="s">
        <v>69951</v>
      </c>
      <c r="O15412" t="s">
        <v>69952</v>
      </c>
      <c r="Q15412">
        <v>0</v>
      </c>
      <c r="R15412">
        <v>428</v>
      </c>
      <c r="S15412">
        <v>0</v>
      </c>
      <c r="T15412" t="s">
        <v>69953</v>
      </c>
    </row>
    <row r="15413" spans="1:25" customFormat="1" ht="15" x14ac:dyDescent="0.25">
      <c r="A15413" t="s">
        <v>24</v>
      </c>
      <c r="B15413" t="s">
        <v>33301</v>
      </c>
      <c r="C15413" t="str">
        <f>"A0057073"</f>
        <v>A0057073</v>
      </c>
      <c r="D15413" t="s">
        <v>69959</v>
      </c>
      <c r="E15413" t="s">
        <v>69960</v>
      </c>
      <c r="F15413" t="s">
        <v>6430</v>
      </c>
      <c r="G15413" t="s">
        <v>52</v>
      </c>
      <c r="H15413">
        <v>76701</v>
      </c>
      <c r="I15413" t="s">
        <v>30</v>
      </c>
      <c r="J15413" t="s">
        <v>162</v>
      </c>
      <c r="K15413" t="s">
        <v>4809</v>
      </c>
      <c r="N15413" t="s">
        <v>69961</v>
      </c>
      <c r="Q15413">
        <v>0</v>
      </c>
      <c r="R15413">
        <v>195</v>
      </c>
      <c r="S15413">
        <v>0</v>
      </c>
      <c r="T15413" t="s">
        <v>69962</v>
      </c>
    </row>
    <row r="15414" spans="1:25" customFormat="1" ht="15" hidden="1" x14ac:dyDescent="0.25">
      <c r="A15414" t="s">
        <v>24</v>
      </c>
      <c r="B15414" t="s">
        <v>193</v>
      </c>
      <c r="C15414" t="str">
        <f>"A0083603"</f>
        <v>A0083603</v>
      </c>
      <c r="D15414" t="s">
        <v>53280</v>
      </c>
      <c r="E15414" t="s">
        <v>53281</v>
      </c>
      <c r="F15414" t="s">
        <v>53282</v>
      </c>
      <c r="G15414" t="s">
        <v>53283</v>
      </c>
      <c r="H15414" t="s">
        <v>53284</v>
      </c>
      <c r="I15414" t="s">
        <v>1459</v>
      </c>
      <c r="J15414" t="s">
        <v>145</v>
      </c>
      <c r="K15414" t="s">
        <v>1353</v>
      </c>
      <c r="N15414" t="s">
        <v>53285</v>
      </c>
      <c r="Q15414">
        <v>0</v>
      </c>
      <c r="R15414">
        <v>50</v>
      </c>
      <c r="S15414">
        <v>0</v>
      </c>
      <c r="T15414" t="s">
        <v>53286</v>
      </c>
    </row>
    <row r="15415" spans="1:25" customFormat="1" ht="15" x14ac:dyDescent="0.25">
      <c r="A15415" t="s">
        <v>24</v>
      </c>
      <c r="B15415" t="s">
        <v>193</v>
      </c>
      <c r="C15415" t="str">
        <f>"A0154634"</f>
        <v>A0154634</v>
      </c>
      <c r="D15415" t="s">
        <v>53287</v>
      </c>
      <c r="E15415" t="s">
        <v>53288</v>
      </c>
      <c r="F15415" t="s">
        <v>53289</v>
      </c>
      <c r="G15415" t="s">
        <v>110</v>
      </c>
      <c r="H15415">
        <v>96145</v>
      </c>
      <c r="I15415" t="s">
        <v>30</v>
      </c>
      <c r="J15415" t="s">
        <v>145</v>
      </c>
      <c r="K15415" t="s">
        <v>163</v>
      </c>
      <c r="N15415" t="s">
        <v>53290</v>
      </c>
      <c r="Q15415">
        <v>0</v>
      </c>
      <c r="R15415">
        <v>24</v>
      </c>
      <c r="S15415">
        <v>0</v>
      </c>
      <c r="T15415" t="s">
        <v>53291</v>
      </c>
    </row>
    <row r="15416" spans="1:25" customFormat="1" ht="15" x14ac:dyDescent="0.25">
      <c r="A15416" t="s">
        <v>24</v>
      </c>
      <c r="B15416" t="s">
        <v>193</v>
      </c>
      <c r="C15416" t="str">
        <f>"A0154623"</f>
        <v>A0154623</v>
      </c>
      <c r="D15416" t="s">
        <v>53292</v>
      </c>
      <c r="E15416" t="s">
        <v>53293</v>
      </c>
      <c r="F15416" t="s">
        <v>53294</v>
      </c>
      <c r="G15416" t="s">
        <v>110</v>
      </c>
      <c r="H15416">
        <v>96150</v>
      </c>
      <c r="I15416" t="s">
        <v>30</v>
      </c>
      <c r="J15416" t="s">
        <v>145</v>
      </c>
      <c r="K15416" t="s">
        <v>163</v>
      </c>
      <c r="N15416" t="s">
        <v>53295</v>
      </c>
      <c r="Q15416">
        <v>0</v>
      </c>
      <c r="R15416">
        <v>73</v>
      </c>
      <c r="S15416">
        <v>0</v>
      </c>
      <c r="T15416" t="s">
        <v>53296</v>
      </c>
    </row>
    <row r="15417" spans="1:25" customFormat="1" ht="15" x14ac:dyDescent="0.25">
      <c r="A15417" t="s">
        <v>24</v>
      </c>
      <c r="B15417" t="s">
        <v>193</v>
      </c>
      <c r="C15417" t="str">
        <f>"A0073508"</f>
        <v>A0073508</v>
      </c>
      <c r="D15417" t="s">
        <v>53297</v>
      </c>
      <c r="E15417" t="s">
        <v>53298</v>
      </c>
      <c r="F15417" t="s">
        <v>3891</v>
      </c>
      <c r="G15417" t="s">
        <v>190</v>
      </c>
      <c r="H15417">
        <v>80302</v>
      </c>
      <c r="I15417" t="s">
        <v>30</v>
      </c>
      <c r="J15417" t="s">
        <v>145</v>
      </c>
      <c r="K15417" t="s">
        <v>163</v>
      </c>
      <c r="N15417" t="s">
        <v>53299</v>
      </c>
      <c r="Q15417">
        <v>0</v>
      </c>
      <c r="R15417">
        <v>50</v>
      </c>
      <c r="S15417">
        <v>0</v>
      </c>
      <c r="T15417" t="s">
        <v>53300</v>
      </c>
    </row>
    <row r="15418" spans="1:25" x14ac:dyDescent="0.25">
      <c r="A15418" s="5" t="s">
        <v>24</v>
      </c>
      <c r="B15418" s="5" t="s">
        <v>5830</v>
      </c>
      <c r="C15418" s="5" t="str">
        <f>"A0057798"</f>
        <v>A0057798</v>
      </c>
      <c r="D15418" s="5" t="s">
        <v>69963</v>
      </c>
      <c r="E15418" s="5" t="s">
        <v>69964</v>
      </c>
      <c r="F15418" s="5" t="s">
        <v>1153</v>
      </c>
      <c r="G15418" s="5" t="s">
        <v>528</v>
      </c>
      <c r="H15418" s="5">
        <v>19713</v>
      </c>
      <c r="I15418" s="5" t="s">
        <v>30</v>
      </c>
      <c r="J15418" s="5" t="s">
        <v>162</v>
      </c>
      <c r="K15418" s="5" t="s">
        <v>4809</v>
      </c>
      <c r="L15418" s="5"/>
      <c r="M15418" s="5"/>
      <c r="N15418" s="5" t="s">
        <v>69965</v>
      </c>
      <c r="O15418" s="5" t="s">
        <v>69966</v>
      </c>
      <c r="P15418" s="5"/>
      <c r="Q15418" s="5">
        <v>0</v>
      </c>
      <c r="R15418" s="5">
        <v>266</v>
      </c>
      <c r="S15418" s="5">
        <v>0</v>
      </c>
      <c r="T15418" s="5" t="s">
        <v>69967</v>
      </c>
      <c r="U15418" s="5"/>
      <c r="V15418" s="5"/>
      <c r="W15418" s="5"/>
      <c r="X15418" s="5"/>
      <c r="Y15418" s="5"/>
    </row>
    <row r="15419" spans="1:25" customFormat="1" ht="15" hidden="1" x14ac:dyDescent="0.25">
      <c r="A15419" t="s">
        <v>24</v>
      </c>
      <c r="B15419" t="s">
        <v>53306</v>
      </c>
      <c r="C15419" t="str">
        <f>"A0179502"</f>
        <v>A0179502</v>
      </c>
      <c r="D15419" t="s">
        <v>53307</v>
      </c>
      <c r="E15419" t="s">
        <v>53308</v>
      </c>
      <c r="F15419" t="s">
        <v>4802</v>
      </c>
      <c r="G15419" t="s">
        <v>6356</v>
      </c>
      <c r="I15419" t="s">
        <v>4803</v>
      </c>
      <c r="J15419" t="s">
        <v>3881</v>
      </c>
      <c r="K15419" t="s">
        <v>35752</v>
      </c>
      <c r="N15419" t="s">
        <v>53309</v>
      </c>
      <c r="O15419" t="s">
        <v>53310</v>
      </c>
      <c r="Q15419">
        <v>0</v>
      </c>
      <c r="R15419">
        <v>0</v>
      </c>
      <c r="S15419">
        <v>0</v>
      </c>
      <c r="T15419" t="s">
        <v>53311</v>
      </c>
    </row>
    <row r="15420" spans="1:25" customFormat="1" ht="15" x14ac:dyDescent="0.25">
      <c r="A15420" t="s">
        <v>24</v>
      </c>
      <c r="B15420" t="s">
        <v>1561</v>
      </c>
      <c r="C15420" t="str">
        <f>"A0167474"</f>
        <v>A0167474</v>
      </c>
      <c r="D15420" t="s">
        <v>53312</v>
      </c>
      <c r="E15420" t="s">
        <v>53313</v>
      </c>
      <c r="F15420" t="s">
        <v>10379</v>
      </c>
      <c r="G15420" t="s">
        <v>81</v>
      </c>
      <c r="H15420">
        <v>34103</v>
      </c>
      <c r="I15420" t="s">
        <v>30</v>
      </c>
      <c r="J15420" t="s">
        <v>31</v>
      </c>
      <c r="K15420" t="s">
        <v>163</v>
      </c>
      <c r="N15420" t="s">
        <v>53314</v>
      </c>
      <c r="Q15420">
        <v>0</v>
      </c>
      <c r="R15420">
        <v>99</v>
      </c>
      <c r="S15420">
        <v>0</v>
      </c>
      <c r="T15420" t="s">
        <v>53315</v>
      </c>
    </row>
    <row r="15421" spans="1:25" customFormat="1" ht="15" x14ac:dyDescent="0.25">
      <c r="A15421" t="s">
        <v>24</v>
      </c>
      <c r="B15421" t="s">
        <v>2221</v>
      </c>
      <c r="C15421" t="str">
        <f>"A0058852"</f>
        <v>A0058852</v>
      </c>
      <c r="D15421" t="s">
        <v>69968</v>
      </c>
      <c r="E15421" t="s">
        <v>69969</v>
      </c>
      <c r="F15421" t="s">
        <v>281</v>
      </c>
      <c r="G15421" t="s">
        <v>123</v>
      </c>
      <c r="H15421">
        <v>21401</v>
      </c>
      <c r="I15421" t="s">
        <v>30</v>
      </c>
      <c r="J15421" t="s">
        <v>162</v>
      </c>
      <c r="K15421" t="s">
        <v>13697</v>
      </c>
      <c r="N15421" t="s">
        <v>69970</v>
      </c>
      <c r="Q15421">
        <v>0</v>
      </c>
      <c r="R15421">
        <v>124</v>
      </c>
      <c r="S15421">
        <v>0</v>
      </c>
      <c r="T15421" t="s">
        <v>69971</v>
      </c>
    </row>
    <row r="15422" spans="1:25" customFormat="1" ht="15" x14ac:dyDescent="0.25">
      <c r="A15422" t="s">
        <v>24</v>
      </c>
      <c r="B15422" t="s">
        <v>193</v>
      </c>
      <c r="C15422" t="str">
        <f>"A0074891"</f>
        <v>A0074891</v>
      </c>
      <c r="D15422" t="s">
        <v>53322</v>
      </c>
      <c r="E15422" t="s">
        <v>53323</v>
      </c>
      <c r="F15422" t="s">
        <v>30387</v>
      </c>
      <c r="G15422" t="s">
        <v>846</v>
      </c>
      <c r="H15422">
        <v>30038</v>
      </c>
      <c r="I15422" t="s">
        <v>30</v>
      </c>
      <c r="J15422" t="s">
        <v>31</v>
      </c>
      <c r="K15422" t="s">
        <v>296</v>
      </c>
      <c r="N15422" t="s">
        <v>53324</v>
      </c>
      <c r="Q15422">
        <v>0</v>
      </c>
      <c r="R15422">
        <v>83</v>
      </c>
      <c r="S15422">
        <v>0</v>
      </c>
      <c r="T15422" t="s">
        <v>53325</v>
      </c>
    </row>
    <row r="15423" spans="1:25" customFormat="1" ht="15" x14ac:dyDescent="0.25">
      <c r="A15423" t="s">
        <v>24</v>
      </c>
      <c r="B15423" t="s">
        <v>3343</v>
      </c>
      <c r="C15423" t="str">
        <f>"A0100571"</f>
        <v>A0100571</v>
      </c>
      <c r="D15423" t="s">
        <v>69972</v>
      </c>
      <c r="E15423" t="s">
        <v>69973</v>
      </c>
      <c r="F15423" t="s">
        <v>1858</v>
      </c>
      <c r="G15423" t="s">
        <v>190</v>
      </c>
      <c r="H15423">
        <v>80916</v>
      </c>
      <c r="I15423" t="s">
        <v>30</v>
      </c>
      <c r="J15423" t="s">
        <v>162</v>
      </c>
      <c r="K15423" t="s">
        <v>854</v>
      </c>
      <c r="N15423" t="s">
        <v>69974</v>
      </c>
      <c r="Q15423">
        <v>0</v>
      </c>
      <c r="R15423">
        <v>154</v>
      </c>
      <c r="S15423">
        <v>0</v>
      </c>
      <c r="T15423" t="s">
        <v>69975</v>
      </c>
    </row>
    <row r="15424" spans="1:25" customFormat="1" ht="15" x14ac:dyDescent="0.25">
      <c r="A15424" t="s">
        <v>24</v>
      </c>
      <c r="B15424" t="s">
        <v>193</v>
      </c>
      <c r="C15424" t="str">
        <f>"A0058318"</f>
        <v>A0058318</v>
      </c>
      <c r="D15424" t="s">
        <v>53333</v>
      </c>
      <c r="E15424" t="s">
        <v>53334</v>
      </c>
      <c r="F15424" t="s">
        <v>1564</v>
      </c>
      <c r="G15424" t="s">
        <v>52</v>
      </c>
      <c r="H15424">
        <v>77040</v>
      </c>
      <c r="I15424" t="s">
        <v>30</v>
      </c>
      <c r="J15424" t="s">
        <v>31</v>
      </c>
      <c r="K15424" t="s">
        <v>296</v>
      </c>
      <c r="N15424" t="s">
        <v>53335</v>
      </c>
      <c r="O15424" t="s">
        <v>3486</v>
      </c>
      <c r="Q15424">
        <v>0</v>
      </c>
      <c r="R15424">
        <v>115</v>
      </c>
      <c r="S15424">
        <v>0</v>
      </c>
      <c r="T15424" t="s">
        <v>53336</v>
      </c>
    </row>
    <row r="15425" spans="1:25" customFormat="1" ht="15" x14ac:dyDescent="0.25">
      <c r="A15425" t="s">
        <v>24</v>
      </c>
      <c r="B15425" t="s">
        <v>53337</v>
      </c>
      <c r="C15425" t="str">
        <f>"A0051772"</f>
        <v>A0051772</v>
      </c>
      <c r="D15425" t="s">
        <v>53338</v>
      </c>
      <c r="E15425" t="s">
        <v>53339</v>
      </c>
      <c r="F15425" t="s">
        <v>6593</v>
      </c>
      <c r="G15425" t="s">
        <v>47</v>
      </c>
      <c r="H15425">
        <v>97225</v>
      </c>
      <c r="I15425" t="s">
        <v>30</v>
      </c>
      <c r="J15425" t="s">
        <v>178</v>
      </c>
      <c r="K15425" t="s">
        <v>179</v>
      </c>
      <c r="N15425" t="s">
        <v>53340</v>
      </c>
      <c r="O15425" t="s">
        <v>53341</v>
      </c>
      <c r="Q15425">
        <v>0</v>
      </c>
      <c r="R15425">
        <v>18</v>
      </c>
      <c r="S15425">
        <v>0</v>
      </c>
      <c r="T15425" t="s">
        <v>53342</v>
      </c>
    </row>
    <row r="15426" spans="1:25" customFormat="1" ht="15" x14ac:dyDescent="0.25">
      <c r="A15426" t="s">
        <v>24</v>
      </c>
      <c r="B15426" t="s">
        <v>2910</v>
      </c>
      <c r="C15426" t="str">
        <f>"A0148607"</f>
        <v>A0148607</v>
      </c>
      <c r="D15426" t="s">
        <v>69981</v>
      </c>
      <c r="E15426" t="s">
        <v>69982</v>
      </c>
      <c r="F15426" t="s">
        <v>69983</v>
      </c>
      <c r="G15426" t="s">
        <v>507</v>
      </c>
      <c r="H15426">
        <v>25303</v>
      </c>
      <c r="I15426" t="s">
        <v>30</v>
      </c>
      <c r="J15426" t="s">
        <v>162</v>
      </c>
      <c r="K15426" t="s">
        <v>854</v>
      </c>
      <c r="N15426" t="s">
        <v>69984</v>
      </c>
      <c r="Q15426">
        <v>0</v>
      </c>
      <c r="R15426">
        <v>149</v>
      </c>
      <c r="S15426">
        <v>0</v>
      </c>
      <c r="T15426" t="s">
        <v>69985</v>
      </c>
    </row>
    <row r="15427" spans="1:25" customFormat="1" ht="15" x14ac:dyDescent="0.25">
      <c r="A15427" t="s">
        <v>24</v>
      </c>
      <c r="B15427" t="s">
        <v>15855</v>
      </c>
      <c r="C15427" t="str">
        <f>"A0096652"</f>
        <v>A0096652</v>
      </c>
      <c r="D15427" t="s">
        <v>69986</v>
      </c>
      <c r="E15427" t="s">
        <v>69987</v>
      </c>
      <c r="F15427" t="s">
        <v>6883</v>
      </c>
      <c r="G15427" t="s">
        <v>880</v>
      </c>
      <c r="H15427">
        <v>37312</v>
      </c>
      <c r="I15427" t="s">
        <v>30</v>
      </c>
      <c r="J15427" t="s">
        <v>162</v>
      </c>
      <c r="K15427" t="s">
        <v>854</v>
      </c>
      <c r="Q15427">
        <v>0</v>
      </c>
      <c r="R15427">
        <v>80</v>
      </c>
      <c r="S15427">
        <v>0</v>
      </c>
      <c r="T15427" t="s">
        <v>69988</v>
      </c>
    </row>
    <row r="15428" spans="1:25" x14ac:dyDescent="0.25">
      <c r="A15428" s="5" t="s">
        <v>24</v>
      </c>
      <c r="B15428" s="5" t="s">
        <v>56392</v>
      </c>
      <c r="C15428" s="5" t="str">
        <f>"A0066145"</f>
        <v>A0066145</v>
      </c>
      <c r="D15428" s="5" t="s">
        <v>69994</v>
      </c>
      <c r="E15428" s="5" t="s">
        <v>69995</v>
      </c>
      <c r="F15428" s="5" t="s">
        <v>985</v>
      </c>
      <c r="G15428" s="5" t="s">
        <v>81</v>
      </c>
      <c r="H15428" s="5">
        <v>32819</v>
      </c>
      <c r="I15428" s="5" t="s">
        <v>30</v>
      </c>
      <c r="J15428" s="5" t="s">
        <v>162</v>
      </c>
      <c r="K15428" s="5" t="s">
        <v>854</v>
      </c>
      <c r="L15428" s="5"/>
      <c r="M15428" s="5"/>
      <c r="N15428" s="5" t="s">
        <v>69996</v>
      </c>
      <c r="O15428" s="5"/>
      <c r="P15428" s="5"/>
      <c r="Q15428" s="5">
        <v>0</v>
      </c>
      <c r="R15428" s="5">
        <v>390</v>
      </c>
      <c r="S15428" s="5">
        <v>0</v>
      </c>
      <c r="T15428" s="5" t="s">
        <v>69997</v>
      </c>
      <c r="U15428" s="5"/>
      <c r="V15428" s="5"/>
      <c r="W15428" s="5"/>
      <c r="X15428" s="5"/>
      <c r="Y15428" s="5"/>
    </row>
    <row r="15429" spans="1:25" customFormat="1" ht="15" x14ac:dyDescent="0.25">
      <c r="A15429" t="s">
        <v>24</v>
      </c>
      <c r="B15429" t="s">
        <v>16448</v>
      </c>
      <c r="C15429" t="str">
        <f>"A0166500"</f>
        <v>A0166500</v>
      </c>
      <c r="D15429" t="s">
        <v>53358</v>
      </c>
      <c r="E15429" t="s">
        <v>53359</v>
      </c>
      <c r="F15429" t="s">
        <v>13824</v>
      </c>
      <c r="G15429" t="s">
        <v>58</v>
      </c>
      <c r="H15429">
        <v>29418</v>
      </c>
      <c r="I15429" t="s">
        <v>30</v>
      </c>
      <c r="J15429" t="s">
        <v>31</v>
      </c>
      <c r="K15429" t="s">
        <v>255</v>
      </c>
      <c r="N15429" t="s">
        <v>53360</v>
      </c>
      <c r="Q15429">
        <v>0</v>
      </c>
      <c r="R15429">
        <v>112</v>
      </c>
      <c r="S15429">
        <v>0</v>
      </c>
      <c r="T15429" t="s">
        <v>53361</v>
      </c>
    </row>
    <row r="15430" spans="1:25" customFormat="1" ht="15" x14ac:dyDescent="0.25">
      <c r="A15430" t="s">
        <v>24</v>
      </c>
      <c r="B15430" t="s">
        <v>2836</v>
      </c>
      <c r="C15430" t="str">
        <f>"A0157484"</f>
        <v>A0157484</v>
      </c>
      <c r="D15430" t="s">
        <v>53362</v>
      </c>
      <c r="E15430" t="s">
        <v>53363</v>
      </c>
      <c r="F15430" t="s">
        <v>2971</v>
      </c>
      <c r="G15430" t="s">
        <v>880</v>
      </c>
      <c r="H15430">
        <v>37209</v>
      </c>
      <c r="I15430" t="s">
        <v>30</v>
      </c>
      <c r="J15430" t="s">
        <v>31</v>
      </c>
      <c r="K15430" t="s">
        <v>1890</v>
      </c>
      <c r="N15430" t="s">
        <v>53364</v>
      </c>
      <c r="Q15430">
        <v>0</v>
      </c>
      <c r="R15430">
        <v>175</v>
      </c>
      <c r="S15430">
        <v>0</v>
      </c>
      <c r="T15430" t="s">
        <v>53365</v>
      </c>
    </row>
    <row r="15431" spans="1:25" customFormat="1" ht="15" x14ac:dyDescent="0.25">
      <c r="A15431" t="s">
        <v>24</v>
      </c>
      <c r="B15431" t="s">
        <v>4855</v>
      </c>
      <c r="C15431" t="str">
        <f>"88HM095"</f>
        <v>88HM095</v>
      </c>
      <c r="D15431" t="s">
        <v>53366</v>
      </c>
      <c r="E15431" t="s">
        <v>53367</v>
      </c>
      <c r="F15431" t="s">
        <v>10390</v>
      </c>
      <c r="G15431" t="s">
        <v>190</v>
      </c>
      <c r="H15431">
        <v>80112</v>
      </c>
      <c r="I15431" t="s">
        <v>30</v>
      </c>
      <c r="J15431" t="s">
        <v>31</v>
      </c>
      <c r="K15431" t="s">
        <v>2524</v>
      </c>
      <c r="N15431" t="s">
        <v>53368</v>
      </c>
      <c r="Q15431">
        <v>0</v>
      </c>
      <c r="R15431">
        <v>149</v>
      </c>
      <c r="S15431">
        <v>0</v>
      </c>
      <c r="T15431" t="s">
        <v>53369</v>
      </c>
    </row>
    <row r="15432" spans="1:25" customFormat="1" ht="15" x14ac:dyDescent="0.25">
      <c r="A15432" t="s">
        <v>24</v>
      </c>
      <c r="B15432" t="s">
        <v>193</v>
      </c>
      <c r="C15432" t="str">
        <f>"A0083646"</f>
        <v>A0083646</v>
      </c>
      <c r="D15432" t="s">
        <v>53370</v>
      </c>
      <c r="E15432" t="s">
        <v>53371</v>
      </c>
      <c r="F15432" t="s">
        <v>288</v>
      </c>
      <c r="G15432" t="s">
        <v>289</v>
      </c>
      <c r="H15432">
        <v>60632</v>
      </c>
      <c r="I15432" t="s">
        <v>30</v>
      </c>
      <c r="J15432" t="s">
        <v>31</v>
      </c>
      <c r="K15432" t="s">
        <v>53372</v>
      </c>
      <c r="N15432" t="s">
        <v>53373</v>
      </c>
      <c r="O15432" t="s">
        <v>53374</v>
      </c>
      <c r="Q15432">
        <v>0</v>
      </c>
      <c r="R15432">
        <v>72</v>
      </c>
      <c r="S15432">
        <v>0</v>
      </c>
      <c r="T15432" t="s">
        <v>53375</v>
      </c>
    </row>
    <row r="15433" spans="1:25" customFormat="1" ht="15" x14ac:dyDescent="0.25">
      <c r="A15433" t="s">
        <v>24</v>
      </c>
      <c r="B15433" t="s">
        <v>4855</v>
      </c>
      <c r="C15433" t="str">
        <f>"A0091554"</f>
        <v>A0091554</v>
      </c>
      <c r="D15433" t="s">
        <v>53376</v>
      </c>
      <c r="E15433" t="s">
        <v>53377</v>
      </c>
      <c r="F15433" t="s">
        <v>35075</v>
      </c>
      <c r="G15433" t="s">
        <v>190</v>
      </c>
      <c r="H15433">
        <v>80124</v>
      </c>
      <c r="I15433" t="s">
        <v>30</v>
      </c>
      <c r="J15433" t="s">
        <v>31</v>
      </c>
      <c r="K15433" t="s">
        <v>198</v>
      </c>
      <c r="N15433" t="s">
        <v>53378</v>
      </c>
      <c r="Q15433">
        <v>0</v>
      </c>
      <c r="R15433">
        <v>106</v>
      </c>
      <c r="S15433">
        <v>0</v>
      </c>
      <c r="T15433" t="s">
        <v>53379</v>
      </c>
    </row>
    <row r="15434" spans="1:25" customFormat="1" ht="15" x14ac:dyDescent="0.25">
      <c r="A15434" t="s">
        <v>24</v>
      </c>
      <c r="B15434" t="s">
        <v>10487</v>
      </c>
      <c r="C15434" t="str">
        <f>"A0063252"</f>
        <v>A0063252</v>
      </c>
      <c r="D15434" t="s">
        <v>69998</v>
      </c>
      <c r="E15434" t="s">
        <v>69999</v>
      </c>
      <c r="F15434" t="s">
        <v>34931</v>
      </c>
      <c r="G15434" t="s">
        <v>137</v>
      </c>
      <c r="H15434">
        <v>63045</v>
      </c>
      <c r="I15434" t="s">
        <v>30</v>
      </c>
      <c r="J15434" t="s">
        <v>162</v>
      </c>
      <c r="K15434" t="s">
        <v>854</v>
      </c>
      <c r="N15434" t="s">
        <v>70000</v>
      </c>
      <c r="O15434" t="s">
        <v>70001</v>
      </c>
      <c r="Q15434">
        <v>0</v>
      </c>
      <c r="R15434">
        <v>155</v>
      </c>
      <c r="S15434">
        <v>0</v>
      </c>
      <c r="T15434" t="s">
        <v>70002</v>
      </c>
    </row>
    <row r="15435" spans="1:25" customFormat="1" ht="15" x14ac:dyDescent="0.25">
      <c r="A15435" t="s">
        <v>24</v>
      </c>
      <c r="B15435" t="s">
        <v>1020</v>
      </c>
      <c r="C15435" t="str">
        <f>"A0086418"</f>
        <v>A0086418</v>
      </c>
      <c r="D15435" t="s">
        <v>70003</v>
      </c>
      <c r="E15435" t="s">
        <v>70004</v>
      </c>
      <c r="F15435" t="s">
        <v>13792</v>
      </c>
      <c r="G15435" t="s">
        <v>52</v>
      </c>
      <c r="H15435">
        <v>76011</v>
      </c>
      <c r="I15435" t="s">
        <v>30</v>
      </c>
      <c r="J15435" t="s">
        <v>162</v>
      </c>
      <c r="K15435" t="s">
        <v>854</v>
      </c>
      <c r="N15435" t="s">
        <v>70005</v>
      </c>
      <c r="O15435" t="s">
        <v>70006</v>
      </c>
      <c r="Q15435">
        <v>0</v>
      </c>
      <c r="R15435">
        <v>147</v>
      </c>
      <c r="S15435">
        <v>0</v>
      </c>
      <c r="T15435" t="s">
        <v>70007</v>
      </c>
    </row>
    <row r="15436" spans="1:25" customFormat="1" ht="15" x14ac:dyDescent="0.25">
      <c r="A15436" t="s">
        <v>24</v>
      </c>
      <c r="B15436" t="s">
        <v>4990</v>
      </c>
      <c r="C15436" t="str">
        <f>"A0165185"</f>
        <v>A0165185</v>
      </c>
      <c r="D15436" t="s">
        <v>53392</v>
      </c>
      <c r="E15436" t="s">
        <v>53393</v>
      </c>
      <c r="F15436" t="s">
        <v>53394</v>
      </c>
      <c r="G15436" t="s">
        <v>161</v>
      </c>
      <c r="H15436">
        <v>55122</v>
      </c>
      <c r="I15436" t="s">
        <v>30</v>
      </c>
      <c r="J15436" t="s">
        <v>31</v>
      </c>
      <c r="K15436" t="s">
        <v>32</v>
      </c>
      <c r="N15436" t="s">
        <v>53395</v>
      </c>
      <c r="Q15436">
        <v>0</v>
      </c>
      <c r="R15436">
        <v>109</v>
      </c>
      <c r="S15436">
        <v>0</v>
      </c>
      <c r="T15436" t="s">
        <v>53396</v>
      </c>
    </row>
    <row r="15437" spans="1:25" customFormat="1" ht="15" x14ac:dyDescent="0.25">
      <c r="A15437" t="s">
        <v>24</v>
      </c>
      <c r="B15437" t="s">
        <v>53397</v>
      </c>
      <c r="C15437" t="str">
        <f>"A0085891"</f>
        <v>A0085891</v>
      </c>
      <c r="D15437" t="s">
        <v>53398</v>
      </c>
      <c r="E15437" t="s">
        <v>53399</v>
      </c>
      <c r="F15437" t="s">
        <v>53400</v>
      </c>
      <c r="G15437" t="s">
        <v>110</v>
      </c>
      <c r="H15437">
        <v>95240</v>
      </c>
      <c r="I15437" t="s">
        <v>30</v>
      </c>
      <c r="J15437" t="s">
        <v>178</v>
      </c>
      <c r="K15437" t="s">
        <v>6667</v>
      </c>
      <c r="N15437" t="s">
        <v>53401</v>
      </c>
      <c r="O15437" t="s">
        <v>53402</v>
      </c>
      <c r="Q15437">
        <v>0</v>
      </c>
      <c r="R15437">
        <v>0</v>
      </c>
      <c r="S15437">
        <v>0</v>
      </c>
      <c r="T15437" t="s">
        <v>53403</v>
      </c>
    </row>
    <row r="15438" spans="1:25" customFormat="1" ht="15" x14ac:dyDescent="0.25">
      <c r="A15438" t="s">
        <v>24</v>
      </c>
      <c r="B15438" t="s">
        <v>2910</v>
      </c>
      <c r="C15438" t="str">
        <f>"88HI030"</f>
        <v>88HI030</v>
      </c>
      <c r="D15438" t="s">
        <v>70008</v>
      </c>
      <c r="E15438" t="s">
        <v>70009</v>
      </c>
      <c r="F15438" t="s">
        <v>1131</v>
      </c>
      <c r="G15438" t="s">
        <v>29</v>
      </c>
      <c r="H15438">
        <v>22203</v>
      </c>
      <c r="I15438" t="s">
        <v>30</v>
      </c>
      <c r="J15438" t="s">
        <v>162</v>
      </c>
      <c r="K15438" t="s">
        <v>854</v>
      </c>
      <c r="N15438" t="s">
        <v>70010</v>
      </c>
      <c r="Q15438">
        <v>0</v>
      </c>
      <c r="R15438">
        <v>221</v>
      </c>
      <c r="S15438">
        <v>0</v>
      </c>
      <c r="T15438" t="s">
        <v>70011</v>
      </c>
    </row>
    <row r="15439" spans="1:25" customFormat="1" ht="15" x14ac:dyDescent="0.25">
      <c r="A15439" t="s">
        <v>24</v>
      </c>
      <c r="B15439" t="s">
        <v>649</v>
      </c>
      <c r="C15439" t="str">
        <f>"A0148491"</f>
        <v>A0148491</v>
      </c>
      <c r="D15439" t="s">
        <v>53408</v>
      </c>
      <c r="E15439" t="s">
        <v>53409</v>
      </c>
      <c r="F15439" t="s">
        <v>1824</v>
      </c>
      <c r="G15439" t="s">
        <v>65</v>
      </c>
      <c r="H15439">
        <v>45069</v>
      </c>
      <c r="I15439" t="s">
        <v>30</v>
      </c>
      <c r="J15439" t="s">
        <v>31</v>
      </c>
      <c r="K15439" t="s">
        <v>277</v>
      </c>
      <c r="N15439" t="s">
        <v>53410</v>
      </c>
      <c r="O15439" t="s">
        <v>53411</v>
      </c>
      <c r="Q15439">
        <v>0</v>
      </c>
      <c r="R15439">
        <v>108</v>
      </c>
      <c r="S15439">
        <v>0</v>
      </c>
      <c r="T15439" t="s">
        <v>53412</v>
      </c>
    </row>
    <row r="15440" spans="1:25" customFormat="1" ht="15" x14ac:dyDescent="0.25">
      <c r="A15440" t="s">
        <v>24</v>
      </c>
      <c r="B15440" t="s">
        <v>649</v>
      </c>
      <c r="C15440" t="str">
        <f>"A0178630"</f>
        <v>A0178630</v>
      </c>
      <c r="D15440" t="s">
        <v>53413</v>
      </c>
      <c r="E15440" t="s">
        <v>53414</v>
      </c>
      <c r="F15440" t="s">
        <v>33838</v>
      </c>
      <c r="G15440" t="s">
        <v>65</v>
      </c>
      <c r="H15440">
        <v>45414</v>
      </c>
      <c r="I15440" t="s">
        <v>30</v>
      </c>
      <c r="J15440" t="s">
        <v>31</v>
      </c>
      <c r="K15440" t="s">
        <v>261</v>
      </c>
      <c r="N15440" t="s">
        <v>53415</v>
      </c>
      <c r="Q15440">
        <v>0</v>
      </c>
      <c r="R15440">
        <v>106</v>
      </c>
      <c r="S15440">
        <v>0</v>
      </c>
      <c r="T15440" t="s">
        <v>53416</v>
      </c>
    </row>
    <row r="15441" spans="1:20" customFormat="1" ht="15" x14ac:dyDescent="0.25">
      <c r="A15441" t="s">
        <v>24</v>
      </c>
      <c r="B15441" t="s">
        <v>649</v>
      </c>
      <c r="C15441" t="str">
        <f>"A0096067"</f>
        <v>A0096067</v>
      </c>
      <c r="D15441" t="s">
        <v>53417</v>
      </c>
      <c r="E15441" t="s">
        <v>53418</v>
      </c>
      <c r="F15441" t="s">
        <v>12691</v>
      </c>
      <c r="G15441" t="s">
        <v>65</v>
      </c>
      <c r="H15441">
        <v>44145</v>
      </c>
      <c r="I15441" t="s">
        <v>30</v>
      </c>
      <c r="J15441" t="s">
        <v>31</v>
      </c>
      <c r="K15441" t="s">
        <v>282</v>
      </c>
      <c r="N15441" t="s">
        <v>53419</v>
      </c>
      <c r="O15441" t="s">
        <v>53420</v>
      </c>
      <c r="Q15441">
        <v>0</v>
      </c>
      <c r="R15441">
        <v>91</v>
      </c>
      <c r="S15441">
        <v>0</v>
      </c>
      <c r="T15441" t="s">
        <v>53421</v>
      </c>
    </row>
    <row r="15442" spans="1:20" customFormat="1" ht="15" x14ac:dyDescent="0.25">
      <c r="A15442" t="s">
        <v>24</v>
      </c>
      <c r="B15442" t="s">
        <v>9549</v>
      </c>
      <c r="C15442" t="str">
        <f>"SC048"</f>
        <v>SC048</v>
      </c>
      <c r="D15442" t="s">
        <v>70012</v>
      </c>
      <c r="E15442" t="s">
        <v>70013</v>
      </c>
      <c r="F15442" t="s">
        <v>845</v>
      </c>
      <c r="G15442" t="s">
        <v>846</v>
      </c>
      <c r="H15442">
        <v>30344</v>
      </c>
      <c r="I15442" t="s">
        <v>30</v>
      </c>
      <c r="J15442" t="s">
        <v>162</v>
      </c>
      <c r="K15442" t="s">
        <v>854</v>
      </c>
      <c r="N15442" t="s">
        <v>70014</v>
      </c>
      <c r="Q15442">
        <v>0</v>
      </c>
      <c r="R15442">
        <v>77</v>
      </c>
      <c r="S15442">
        <v>0</v>
      </c>
      <c r="T15442" t="s">
        <v>70015</v>
      </c>
    </row>
    <row r="15443" spans="1:20" customFormat="1" ht="15" x14ac:dyDescent="0.25">
      <c r="A15443" t="s">
        <v>24</v>
      </c>
      <c r="B15443" t="s">
        <v>5843</v>
      </c>
      <c r="C15443" t="str">
        <f>"SC126"</f>
        <v>SC126</v>
      </c>
      <c r="D15443" t="s">
        <v>70016</v>
      </c>
      <c r="E15443" t="s">
        <v>70017</v>
      </c>
      <c r="F15443" t="s">
        <v>372</v>
      </c>
      <c r="G15443" t="s">
        <v>52</v>
      </c>
      <c r="H15443">
        <v>78701</v>
      </c>
      <c r="I15443" t="s">
        <v>30</v>
      </c>
      <c r="J15443" t="s">
        <v>162</v>
      </c>
      <c r="K15443" t="s">
        <v>854</v>
      </c>
      <c r="N15443" t="s">
        <v>70018</v>
      </c>
      <c r="O15443" t="s">
        <v>70019</v>
      </c>
      <c r="Q15443">
        <v>0</v>
      </c>
      <c r="R15443">
        <v>323</v>
      </c>
      <c r="S15443">
        <v>0</v>
      </c>
      <c r="T15443" t="s">
        <v>70020</v>
      </c>
    </row>
    <row r="15444" spans="1:20" customFormat="1" ht="15" x14ac:dyDescent="0.25">
      <c r="A15444" t="s">
        <v>24</v>
      </c>
      <c r="B15444" t="s">
        <v>1548</v>
      </c>
      <c r="C15444" t="str">
        <f>"A0101096"</f>
        <v>A0101096</v>
      </c>
      <c r="D15444" t="s">
        <v>70021</v>
      </c>
      <c r="E15444" t="s">
        <v>70022</v>
      </c>
      <c r="F15444" t="s">
        <v>7455</v>
      </c>
      <c r="G15444" t="s">
        <v>123</v>
      </c>
      <c r="H15444">
        <v>21201</v>
      </c>
      <c r="I15444" t="s">
        <v>30</v>
      </c>
      <c r="J15444" t="s">
        <v>162</v>
      </c>
      <c r="K15444" t="s">
        <v>854</v>
      </c>
      <c r="N15444" t="s">
        <v>70023</v>
      </c>
      <c r="O15444" t="s">
        <v>70024</v>
      </c>
      <c r="Q15444">
        <v>0</v>
      </c>
      <c r="R15444">
        <v>385</v>
      </c>
      <c r="S15444">
        <v>0</v>
      </c>
      <c r="T15444" t="s">
        <v>70025</v>
      </c>
    </row>
    <row r="15445" spans="1:20" customFormat="1" ht="15" x14ac:dyDescent="0.25">
      <c r="A15445" t="s">
        <v>24</v>
      </c>
      <c r="B15445" t="s">
        <v>649</v>
      </c>
      <c r="C15445" t="str">
        <f>"A0096005"</f>
        <v>A0096005</v>
      </c>
      <c r="D15445" t="s">
        <v>53437</v>
      </c>
      <c r="E15445" t="s">
        <v>53438</v>
      </c>
      <c r="F15445" t="s">
        <v>1525</v>
      </c>
      <c r="G15445" t="s">
        <v>65</v>
      </c>
      <c r="H15445">
        <v>43240</v>
      </c>
      <c r="I15445" t="s">
        <v>30</v>
      </c>
      <c r="J15445" t="s">
        <v>31</v>
      </c>
      <c r="K15445" t="s">
        <v>282</v>
      </c>
      <c r="N15445" t="s">
        <v>53439</v>
      </c>
      <c r="O15445" t="s">
        <v>53440</v>
      </c>
      <c r="Q15445">
        <v>0</v>
      </c>
      <c r="R15445">
        <v>104</v>
      </c>
      <c r="S15445">
        <v>0</v>
      </c>
      <c r="T15445" t="s">
        <v>53441</v>
      </c>
    </row>
    <row r="15446" spans="1:20" customFormat="1" ht="15" x14ac:dyDescent="0.25">
      <c r="A15446" t="s">
        <v>24</v>
      </c>
      <c r="B15446" t="s">
        <v>649</v>
      </c>
      <c r="C15446" t="str">
        <f>"A0178629"</f>
        <v>A0178629</v>
      </c>
      <c r="D15446" t="s">
        <v>53442</v>
      </c>
      <c r="E15446" t="s">
        <v>53443</v>
      </c>
      <c r="F15446" t="s">
        <v>1525</v>
      </c>
      <c r="G15446" t="s">
        <v>65</v>
      </c>
      <c r="H15446">
        <v>43215</v>
      </c>
      <c r="I15446" t="s">
        <v>30</v>
      </c>
      <c r="J15446" t="s">
        <v>31</v>
      </c>
      <c r="K15446" t="s">
        <v>261</v>
      </c>
      <c r="N15446" t="s">
        <v>53444</v>
      </c>
      <c r="O15446" t="s">
        <v>53445</v>
      </c>
      <c r="Q15446">
        <v>0</v>
      </c>
      <c r="R15446">
        <v>106</v>
      </c>
      <c r="S15446">
        <v>0</v>
      </c>
      <c r="T15446" t="s">
        <v>53446</v>
      </c>
    </row>
    <row r="15447" spans="1:20" customFormat="1" ht="15" x14ac:dyDescent="0.25">
      <c r="A15447" t="s">
        <v>24</v>
      </c>
      <c r="B15447" t="s">
        <v>70026</v>
      </c>
      <c r="C15447" t="str">
        <f>"88CI005"</f>
        <v>88CI005</v>
      </c>
      <c r="D15447" t="s">
        <v>70027</v>
      </c>
      <c r="E15447" t="s">
        <v>70028</v>
      </c>
      <c r="F15447" t="s">
        <v>16325</v>
      </c>
      <c r="G15447" t="s">
        <v>123</v>
      </c>
      <c r="H15447">
        <v>21090</v>
      </c>
      <c r="I15447" t="s">
        <v>30</v>
      </c>
      <c r="J15447" t="s">
        <v>162</v>
      </c>
      <c r="K15447" t="s">
        <v>854</v>
      </c>
      <c r="N15447" t="s">
        <v>70029</v>
      </c>
      <c r="Q15447">
        <v>0</v>
      </c>
      <c r="R15447">
        <v>137</v>
      </c>
      <c r="S15447">
        <v>0</v>
      </c>
      <c r="T15447" t="s">
        <v>70030</v>
      </c>
    </row>
    <row r="15448" spans="1:20" customFormat="1" ht="15" x14ac:dyDescent="0.25">
      <c r="A15448" t="s">
        <v>24</v>
      </c>
      <c r="B15448" t="s">
        <v>3343</v>
      </c>
      <c r="C15448" t="str">
        <f>"A0148381"</f>
        <v>A0148381</v>
      </c>
      <c r="D15448" t="s">
        <v>70031</v>
      </c>
      <c r="E15448" t="s">
        <v>70032</v>
      </c>
      <c r="F15448" t="s">
        <v>54716</v>
      </c>
      <c r="G15448" t="s">
        <v>144</v>
      </c>
      <c r="H15448">
        <v>58503</v>
      </c>
      <c r="I15448" t="s">
        <v>30</v>
      </c>
      <c r="J15448" t="s">
        <v>162</v>
      </c>
      <c r="K15448" t="s">
        <v>854</v>
      </c>
      <c r="N15448" t="s">
        <v>70033</v>
      </c>
      <c r="O15448" t="s">
        <v>6000</v>
      </c>
      <c r="Q15448">
        <v>0</v>
      </c>
      <c r="R15448">
        <v>111</v>
      </c>
      <c r="S15448">
        <v>0</v>
      </c>
      <c r="T15448" t="s">
        <v>70034</v>
      </c>
    </row>
    <row r="15449" spans="1:20" customFormat="1" ht="15" x14ac:dyDescent="0.25">
      <c r="A15449" t="s">
        <v>24</v>
      </c>
      <c r="B15449" t="s">
        <v>649</v>
      </c>
      <c r="C15449" t="str">
        <f>"A0055242"</f>
        <v>A0055242</v>
      </c>
      <c r="D15449" t="s">
        <v>53457</v>
      </c>
      <c r="E15449" t="s">
        <v>53458</v>
      </c>
      <c r="F15449" t="s">
        <v>33838</v>
      </c>
      <c r="G15449" t="s">
        <v>65</v>
      </c>
      <c r="H15449">
        <v>45414</v>
      </c>
      <c r="I15449" t="s">
        <v>30</v>
      </c>
      <c r="J15449" t="s">
        <v>31</v>
      </c>
      <c r="K15449" t="s">
        <v>255</v>
      </c>
      <c r="N15449" t="s">
        <v>53459</v>
      </c>
      <c r="Q15449">
        <v>0</v>
      </c>
      <c r="R15449">
        <v>91</v>
      </c>
      <c r="S15449">
        <v>0</v>
      </c>
      <c r="T15449" t="s">
        <v>53460</v>
      </c>
    </row>
    <row r="15450" spans="1:20" customFormat="1" ht="15" x14ac:dyDescent="0.25">
      <c r="A15450" t="s">
        <v>24</v>
      </c>
      <c r="B15450" t="s">
        <v>649</v>
      </c>
      <c r="C15450" t="str">
        <f>"A0098167"</f>
        <v>A0098167</v>
      </c>
      <c r="D15450" t="s">
        <v>53461</v>
      </c>
      <c r="E15450" t="s">
        <v>53462</v>
      </c>
      <c r="F15450" t="s">
        <v>53463</v>
      </c>
      <c r="G15450" t="s">
        <v>65</v>
      </c>
      <c r="H15450">
        <v>45414</v>
      </c>
      <c r="I15450" t="s">
        <v>30</v>
      </c>
      <c r="J15450" t="s">
        <v>31</v>
      </c>
      <c r="K15450" t="s">
        <v>198</v>
      </c>
      <c r="N15450" t="s">
        <v>53464</v>
      </c>
      <c r="Q15450">
        <v>0</v>
      </c>
      <c r="R15450">
        <v>79</v>
      </c>
      <c r="S15450">
        <v>0</v>
      </c>
      <c r="T15450" t="s">
        <v>53465</v>
      </c>
    </row>
    <row r="15451" spans="1:20" customFormat="1" ht="15" x14ac:dyDescent="0.25">
      <c r="A15451" t="s">
        <v>24</v>
      </c>
      <c r="B15451" t="s">
        <v>649</v>
      </c>
      <c r="C15451" t="str">
        <f>"A0083312"</f>
        <v>A0083312</v>
      </c>
      <c r="D15451" t="s">
        <v>53466</v>
      </c>
      <c r="E15451" t="s">
        <v>53467</v>
      </c>
      <c r="F15451" t="s">
        <v>33838</v>
      </c>
      <c r="G15451" t="s">
        <v>65</v>
      </c>
      <c r="H15451">
        <v>45449</v>
      </c>
      <c r="I15451" t="s">
        <v>30</v>
      </c>
      <c r="J15451" t="s">
        <v>31</v>
      </c>
      <c r="K15451" t="s">
        <v>255</v>
      </c>
      <c r="N15451" t="s">
        <v>53468</v>
      </c>
      <c r="O15451" t="s">
        <v>53469</v>
      </c>
      <c r="Q15451">
        <v>0</v>
      </c>
      <c r="R15451">
        <v>84</v>
      </c>
      <c r="S15451">
        <v>0</v>
      </c>
      <c r="T15451" t="s">
        <v>53470</v>
      </c>
    </row>
    <row r="15452" spans="1:20" customFormat="1" ht="15" x14ac:dyDescent="0.25">
      <c r="A15452" t="s">
        <v>24</v>
      </c>
      <c r="B15452" t="s">
        <v>649</v>
      </c>
      <c r="C15452" t="str">
        <f>"A0098166"</f>
        <v>A0098166</v>
      </c>
      <c r="D15452" t="s">
        <v>53471</v>
      </c>
      <c r="E15452" t="s">
        <v>53472</v>
      </c>
      <c r="F15452" t="s">
        <v>33838</v>
      </c>
      <c r="G15452" t="s">
        <v>65</v>
      </c>
      <c r="H15452">
        <v>45459</v>
      </c>
      <c r="I15452" t="s">
        <v>30</v>
      </c>
      <c r="J15452" t="s">
        <v>31</v>
      </c>
      <c r="K15452" t="s">
        <v>198</v>
      </c>
      <c r="N15452" t="s">
        <v>53473</v>
      </c>
      <c r="Q15452">
        <v>0</v>
      </c>
      <c r="R15452">
        <v>95</v>
      </c>
      <c r="S15452">
        <v>0</v>
      </c>
      <c r="T15452" t="s">
        <v>53474</v>
      </c>
    </row>
    <row r="15453" spans="1:20" customFormat="1" ht="15" x14ac:dyDescent="0.25">
      <c r="A15453" t="s">
        <v>24</v>
      </c>
      <c r="B15453" t="s">
        <v>59031</v>
      </c>
      <c r="C15453" t="str">
        <f>"SF01481"</f>
        <v>SF01481</v>
      </c>
      <c r="D15453" t="s">
        <v>70035</v>
      </c>
      <c r="E15453" t="s">
        <v>70036</v>
      </c>
      <c r="F15453" t="s">
        <v>635</v>
      </c>
      <c r="G15453" t="s">
        <v>2391</v>
      </c>
      <c r="H15453">
        <v>5403</v>
      </c>
      <c r="I15453" t="s">
        <v>30</v>
      </c>
      <c r="J15453" t="s">
        <v>162</v>
      </c>
      <c r="K15453" t="s">
        <v>854</v>
      </c>
      <c r="N15453" t="s">
        <v>70037</v>
      </c>
      <c r="O15453" t="s">
        <v>70038</v>
      </c>
      <c r="Q15453">
        <v>0</v>
      </c>
      <c r="R15453">
        <v>173</v>
      </c>
      <c r="S15453">
        <v>0</v>
      </c>
      <c r="T15453" t="s">
        <v>70039</v>
      </c>
    </row>
    <row r="15454" spans="1:20" customFormat="1" ht="15" x14ac:dyDescent="0.25">
      <c r="A15454" t="s">
        <v>24</v>
      </c>
      <c r="B15454" t="s">
        <v>649</v>
      </c>
      <c r="C15454" t="str">
        <f>"A0098168"</f>
        <v>A0098168</v>
      </c>
      <c r="D15454" t="s">
        <v>53480</v>
      </c>
      <c r="E15454" t="s">
        <v>53481</v>
      </c>
      <c r="F15454" t="s">
        <v>53482</v>
      </c>
      <c r="G15454" t="s">
        <v>381</v>
      </c>
      <c r="H15454">
        <v>47304</v>
      </c>
      <c r="I15454" t="s">
        <v>30</v>
      </c>
      <c r="J15454" t="s">
        <v>31</v>
      </c>
      <c r="K15454" t="s">
        <v>198</v>
      </c>
      <c r="N15454" t="s">
        <v>53483</v>
      </c>
      <c r="Q15454">
        <v>0</v>
      </c>
      <c r="R15454">
        <v>88</v>
      </c>
      <c r="S15454">
        <v>0</v>
      </c>
      <c r="T15454" t="s">
        <v>53484</v>
      </c>
    </row>
    <row r="15455" spans="1:20" customFormat="1" ht="15" x14ac:dyDescent="0.25">
      <c r="A15455" t="s">
        <v>24</v>
      </c>
      <c r="B15455" t="s">
        <v>649</v>
      </c>
      <c r="C15455" t="str">
        <f>"A0178632"</f>
        <v>A0178632</v>
      </c>
      <c r="D15455" t="s">
        <v>53485</v>
      </c>
      <c r="E15455" t="s">
        <v>53486</v>
      </c>
      <c r="F15455" t="s">
        <v>13589</v>
      </c>
      <c r="G15455" t="s">
        <v>381</v>
      </c>
      <c r="H15455">
        <v>46032</v>
      </c>
      <c r="I15455" t="s">
        <v>30</v>
      </c>
      <c r="J15455" t="s">
        <v>31</v>
      </c>
      <c r="K15455" t="s">
        <v>261</v>
      </c>
      <c r="N15455" t="s">
        <v>53487</v>
      </c>
      <c r="O15455" t="s">
        <v>53488</v>
      </c>
      <c r="Q15455">
        <v>0</v>
      </c>
      <c r="R15455">
        <v>88</v>
      </c>
      <c r="S15455">
        <v>0</v>
      </c>
      <c r="T15455" t="s">
        <v>53489</v>
      </c>
    </row>
    <row r="15456" spans="1:20" customFormat="1" ht="15" x14ac:dyDescent="0.25">
      <c r="A15456" t="s">
        <v>24</v>
      </c>
      <c r="B15456" t="s">
        <v>649</v>
      </c>
      <c r="C15456" t="str">
        <f>"A0178631"</f>
        <v>A0178631</v>
      </c>
      <c r="D15456" t="s">
        <v>53490</v>
      </c>
      <c r="E15456" t="s">
        <v>53491</v>
      </c>
      <c r="F15456" t="s">
        <v>3154</v>
      </c>
      <c r="G15456" t="s">
        <v>381</v>
      </c>
      <c r="H15456">
        <v>47905</v>
      </c>
      <c r="I15456" t="s">
        <v>30</v>
      </c>
      <c r="J15456" t="s">
        <v>31</v>
      </c>
      <c r="K15456" t="s">
        <v>261</v>
      </c>
      <c r="N15456" t="s">
        <v>53459</v>
      </c>
      <c r="O15456" t="s">
        <v>53492</v>
      </c>
      <c r="Q15456">
        <v>0</v>
      </c>
      <c r="R15456">
        <v>93</v>
      </c>
      <c r="S15456">
        <v>0</v>
      </c>
      <c r="T15456" t="s">
        <v>53493</v>
      </c>
    </row>
    <row r="15457" spans="1:25" customFormat="1" ht="15" x14ac:dyDescent="0.25">
      <c r="A15457" t="s">
        <v>24</v>
      </c>
      <c r="B15457" t="s">
        <v>649</v>
      </c>
      <c r="C15457" t="str">
        <f>"A0098164"</f>
        <v>A0098164</v>
      </c>
      <c r="D15457" t="s">
        <v>53494</v>
      </c>
      <c r="E15457" t="s">
        <v>53495</v>
      </c>
      <c r="F15457" t="s">
        <v>9058</v>
      </c>
      <c r="G15457" t="s">
        <v>65</v>
      </c>
      <c r="H15457">
        <v>45044</v>
      </c>
      <c r="I15457" t="s">
        <v>30</v>
      </c>
      <c r="J15457" t="s">
        <v>31</v>
      </c>
      <c r="K15457" t="s">
        <v>198</v>
      </c>
      <c r="N15457" t="s">
        <v>53496</v>
      </c>
      <c r="Q15457">
        <v>0</v>
      </c>
      <c r="R15457">
        <v>87</v>
      </c>
      <c r="S15457">
        <v>0</v>
      </c>
      <c r="T15457" t="s">
        <v>53497</v>
      </c>
    </row>
    <row r="15458" spans="1:25" customFormat="1" ht="15" x14ac:dyDescent="0.25">
      <c r="A15458" t="s">
        <v>24</v>
      </c>
      <c r="B15458" t="s">
        <v>10054</v>
      </c>
      <c r="C15458" t="str">
        <f>"88HI021"</f>
        <v>88HI021</v>
      </c>
      <c r="D15458" t="s">
        <v>70040</v>
      </c>
      <c r="E15458" t="s">
        <v>70041</v>
      </c>
      <c r="F15458" t="s">
        <v>313</v>
      </c>
      <c r="G15458" t="s">
        <v>314</v>
      </c>
      <c r="H15458">
        <v>20024</v>
      </c>
      <c r="I15458" t="s">
        <v>30</v>
      </c>
      <c r="J15458" t="s">
        <v>162</v>
      </c>
      <c r="K15458" t="s">
        <v>854</v>
      </c>
      <c r="N15458" t="s">
        <v>70042</v>
      </c>
      <c r="Q15458">
        <v>0</v>
      </c>
      <c r="R15458">
        <v>536</v>
      </c>
      <c r="S15458">
        <v>0</v>
      </c>
      <c r="T15458" t="s">
        <v>70043</v>
      </c>
    </row>
    <row r="15459" spans="1:25" customFormat="1" ht="15" x14ac:dyDescent="0.25">
      <c r="A15459" t="s">
        <v>24</v>
      </c>
      <c r="B15459" t="s">
        <v>649</v>
      </c>
      <c r="C15459" t="str">
        <f>"A0095027"</f>
        <v>A0095027</v>
      </c>
      <c r="D15459" t="s">
        <v>53504</v>
      </c>
      <c r="E15459" t="s">
        <v>53505</v>
      </c>
      <c r="F15459" t="s">
        <v>5620</v>
      </c>
      <c r="G15459" t="s">
        <v>381</v>
      </c>
      <c r="H15459">
        <v>47374</v>
      </c>
      <c r="I15459" t="s">
        <v>30</v>
      </c>
      <c r="J15459" t="s">
        <v>31</v>
      </c>
      <c r="K15459" t="s">
        <v>198</v>
      </c>
      <c r="N15459" t="s">
        <v>53506</v>
      </c>
      <c r="Q15459">
        <v>0</v>
      </c>
      <c r="R15459">
        <v>93</v>
      </c>
      <c r="S15459">
        <v>0</v>
      </c>
      <c r="T15459" t="s">
        <v>53507</v>
      </c>
    </row>
    <row r="15460" spans="1:25" customFormat="1" ht="15" x14ac:dyDescent="0.25">
      <c r="A15460" t="s">
        <v>24</v>
      </c>
      <c r="B15460" t="s">
        <v>70044</v>
      </c>
      <c r="C15460" t="str">
        <f>"SF01532"</f>
        <v>SF01532</v>
      </c>
      <c r="D15460" t="s">
        <v>70045</v>
      </c>
      <c r="E15460" t="s">
        <v>70046</v>
      </c>
      <c r="F15460" t="s">
        <v>70047</v>
      </c>
      <c r="G15460" t="s">
        <v>197</v>
      </c>
      <c r="H15460">
        <v>85122</v>
      </c>
      <c r="I15460" t="s">
        <v>30</v>
      </c>
      <c r="J15460" t="s">
        <v>162</v>
      </c>
      <c r="K15460" t="s">
        <v>854</v>
      </c>
      <c r="N15460" t="s">
        <v>70048</v>
      </c>
      <c r="Q15460">
        <v>0</v>
      </c>
      <c r="R15460">
        <v>176</v>
      </c>
      <c r="S15460">
        <v>0</v>
      </c>
      <c r="T15460" t="s">
        <v>70049</v>
      </c>
    </row>
    <row r="15461" spans="1:25" x14ac:dyDescent="0.25">
      <c r="A15461" s="5" t="s">
        <v>24</v>
      </c>
      <c r="B15461" s="5" t="s">
        <v>2005</v>
      </c>
      <c r="C15461" s="5" t="str">
        <f>"SF02777"</f>
        <v>SF02777</v>
      </c>
      <c r="D15461" s="5" t="s">
        <v>70050</v>
      </c>
      <c r="E15461" s="5" t="s">
        <v>70051</v>
      </c>
      <c r="F15461" s="5" t="s">
        <v>12348</v>
      </c>
      <c r="G15461" s="5" t="s">
        <v>880</v>
      </c>
      <c r="H15461" s="5">
        <v>37923</v>
      </c>
      <c r="I15461" s="5" t="s">
        <v>30</v>
      </c>
      <c r="J15461" s="5" t="s">
        <v>162</v>
      </c>
      <c r="K15461" s="5" t="s">
        <v>854</v>
      </c>
      <c r="L15461" s="5"/>
      <c r="M15461" s="5"/>
      <c r="N15461" s="5" t="s">
        <v>70052</v>
      </c>
      <c r="O15461" s="5" t="s">
        <v>70053</v>
      </c>
      <c r="P15461" s="5"/>
      <c r="Q15461" s="5">
        <v>0</v>
      </c>
      <c r="R15461" s="5">
        <v>225</v>
      </c>
      <c r="S15461" s="5">
        <v>0</v>
      </c>
      <c r="T15461" s="5" t="s">
        <v>70054</v>
      </c>
      <c r="U15461" s="5"/>
      <c r="V15461" s="5"/>
      <c r="W15461" s="5"/>
      <c r="X15461" s="5"/>
      <c r="Y15461" s="5"/>
    </row>
    <row r="15462" spans="1:25" customFormat="1" ht="15" x14ac:dyDescent="0.25">
      <c r="A15462" t="s">
        <v>24</v>
      </c>
      <c r="B15462" t="s">
        <v>649</v>
      </c>
      <c r="C15462" t="str">
        <f>"A0089448"</f>
        <v>A0089448</v>
      </c>
      <c r="D15462" t="s">
        <v>53516</v>
      </c>
      <c r="E15462" t="s">
        <v>53517</v>
      </c>
      <c r="F15462" t="s">
        <v>53518</v>
      </c>
      <c r="G15462" t="s">
        <v>65</v>
      </c>
      <c r="H15462">
        <v>44515</v>
      </c>
      <c r="I15462" t="s">
        <v>30</v>
      </c>
      <c r="J15462" t="s">
        <v>31</v>
      </c>
      <c r="K15462" t="s">
        <v>32</v>
      </c>
      <c r="N15462" t="s">
        <v>53519</v>
      </c>
      <c r="O15462" t="s">
        <v>53520</v>
      </c>
      <c r="Q15462">
        <v>0</v>
      </c>
      <c r="R15462">
        <v>75</v>
      </c>
      <c r="S15462">
        <v>0</v>
      </c>
      <c r="T15462" t="s">
        <v>53521</v>
      </c>
    </row>
    <row r="15463" spans="1:25" customFormat="1" ht="15" x14ac:dyDescent="0.25">
      <c r="A15463" t="s">
        <v>24</v>
      </c>
      <c r="B15463" t="s">
        <v>649</v>
      </c>
      <c r="C15463" t="str">
        <f>"A0096011"</f>
        <v>A0096011</v>
      </c>
      <c r="D15463" t="s">
        <v>53522</v>
      </c>
      <c r="E15463" t="s">
        <v>53523</v>
      </c>
      <c r="F15463" t="s">
        <v>53424</v>
      </c>
      <c r="G15463" t="s">
        <v>65</v>
      </c>
      <c r="H15463">
        <v>44312</v>
      </c>
      <c r="I15463" t="s">
        <v>30</v>
      </c>
      <c r="J15463" t="s">
        <v>31</v>
      </c>
      <c r="K15463" t="s">
        <v>282</v>
      </c>
      <c r="N15463" t="s">
        <v>53524</v>
      </c>
      <c r="Q15463">
        <v>0</v>
      </c>
      <c r="R15463">
        <v>91</v>
      </c>
      <c r="S15463">
        <v>0</v>
      </c>
      <c r="T15463" t="s">
        <v>53525</v>
      </c>
    </row>
    <row r="15464" spans="1:25" customFormat="1" ht="15" x14ac:dyDescent="0.25">
      <c r="A15464" t="s">
        <v>24</v>
      </c>
      <c r="B15464" t="s">
        <v>649</v>
      </c>
      <c r="C15464" t="str">
        <f>"A0095997"</f>
        <v>A0095997</v>
      </c>
      <c r="D15464" t="s">
        <v>53526</v>
      </c>
      <c r="E15464" t="s">
        <v>53527</v>
      </c>
      <c r="F15464" t="s">
        <v>53528</v>
      </c>
      <c r="G15464" t="s">
        <v>65</v>
      </c>
      <c r="H15464">
        <v>44663</v>
      </c>
      <c r="I15464" t="s">
        <v>30</v>
      </c>
      <c r="J15464" t="s">
        <v>31</v>
      </c>
      <c r="K15464" t="s">
        <v>282</v>
      </c>
      <c r="N15464" t="s">
        <v>53529</v>
      </c>
      <c r="O15464" t="s">
        <v>53530</v>
      </c>
      <c r="Q15464">
        <v>0</v>
      </c>
      <c r="R15464">
        <v>83</v>
      </c>
      <c r="S15464">
        <v>0</v>
      </c>
      <c r="T15464" t="s">
        <v>53531</v>
      </c>
    </row>
    <row r="15465" spans="1:25" customFormat="1" ht="15" x14ac:dyDescent="0.25">
      <c r="A15465" t="s">
        <v>24</v>
      </c>
      <c r="B15465" t="s">
        <v>649</v>
      </c>
      <c r="C15465" t="str">
        <f>"SF04976"</f>
        <v>SF04976</v>
      </c>
      <c r="D15465" t="s">
        <v>53532</v>
      </c>
      <c r="E15465" t="s">
        <v>53533</v>
      </c>
      <c r="F15465" t="s">
        <v>53534</v>
      </c>
      <c r="G15465" t="s">
        <v>65</v>
      </c>
      <c r="H15465">
        <v>45601</v>
      </c>
      <c r="I15465" t="s">
        <v>30</v>
      </c>
      <c r="J15465" t="s">
        <v>31</v>
      </c>
      <c r="K15465" t="s">
        <v>282</v>
      </c>
      <c r="N15465" t="s">
        <v>53535</v>
      </c>
      <c r="Q15465">
        <v>0</v>
      </c>
      <c r="R15465">
        <v>58</v>
      </c>
      <c r="S15465">
        <v>0</v>
      </c>
      <c r="T15465" t="s">
        <v>53536</v>
      </c>
    </row>
    <row r="15466" spans="1:25" customFormat="1" ht="15" x14ac:dyDescent="0.25">
      <c r="A15466" t="s">
        <v>24</v>
      </c>
      <c r="B15466" t="s">
        <v>57671</v>
      </c>
      <c r="C15466" t="str">
        <f>"A0117335"</f>
        <v>A0117335</v>
      </c>
      <c r="D15466" t="s">
        <v>70055</v>
      </c>
      <c r="E15466" t="s">
        <v>70056</v>
      </c>
      <c r="F15466" t="s">
        <v>5369</v>
      </c>
      <c r="G15466" t="s">
        <v>58</v>
      </c>
      <c r="H15466">
        <v>29403</v>
      </c>
      <c r="I15466" t="s">
        <v>30</v>
      </c>
      <c r="J15466" t="s">
        <v>162</v>
      </c>
      <c r="K15466" t="s">
        <v>854</v>
      </c>
      <c r="N15466" t="s">
        <v>70057</v>
      </c>
      <c r="O15466" t="s">
        <v>70058</v>
      </c>
      <c r="Q15466">
        <v>0</v>
      </c>
      <c r="R15466">
        <v>120</v>
      </c>
      <c r="S15466">
        <v>0</v>
      </c>
      <c r="T15466" t="s">
        <v>70059</v>
      </c>
    </row>
    <row r="15467" spans="1:25" customFormat="1" ht="15" x14ac:dyDescent="0.25">
      <c r="A15467" t="s">
        <v>24</v>
      </c>
      <c r="B15467" t="s">
        <v>2387</v>
      </c>
      <c r="C15467" t="str">
        <f>"A0089594"</f>
        <v>A0089594</v>
      </c>
      <c r="D15467" t="s">
        <v>70060</v>
      </c>
      <c r="E15467" t="s">
        <v>70061</v>
      </c>
      <c r="F15467" t="s">
        <v>57969</v>
      </c>
      <c r="G15467" t="s">
        <v>899</v>
      </c>
      <c r="H15467">
        <v>2150</v>
      </c>
      <c r="I15467" t="s">
        <v>30</v>
      </c>
      <c r="J15467" t="s">
        <v>162</v>
      </c>
      <c r="K15467" t="s">
        <v>854</v>
      </c>
      <c r="N15467" t="s">
        <v>70062</v>
      </c>
      <c r="Q15467">
        <v>0</v>
      </c>
      <c r="R15467">
        <v>124</v>
      </c>
      <c r="S15467">
        <v>0</v>
      </c>
      <c r="T15467" t="s">
        <v>70063</v>
      </c>
    </row>
    <row r="15468" spans="1:25" customFormat="1" ht="15" x14ac:dyDescent="0.25">
      <c r="A15468" t="s">
        <v>24</v>
      </c>
      <c r="B15468" t="s">
        <v>7928</v>
      </c>
      <c r="C15468" t="str">
        <f>"A0089532"</f>
        <v>A0089532</v>
      </c>
      <c r="D15468" t="s">
        <v>70064</v>
      </c>
      <c r="E15468" t="s">
        <v>70065</v>
      </c>
      <c r="F15468" t="s">
        <v>14578</v>
      </c>
      <c r="G15468" t="s">
        <v>338</v>
      </c>
      <c r="H15468">
        <v>8002</v>
      </c>
      <c r="I15468" t="s">
        <v>30</v>
      </c>
      <c r="J15468" t="s">
        <v>162</v>
      </c>
      <c r="K15468" t="s">
        <v>854</v>
      </c>
      <c r="N15468" t="s">
        <v>70066</v>
      </c>
      <c r="Q15468">
        <v>0</v>
      </c>
      <c r="R15468">
        <v>186</v>
      </c>
      <c r="S15468">
        <v>0</v>
      </c>
      <c r="T15468" t="s">
        <v>70067</v>
      </c>
    </row>
    <row r="15469" spans="1:25" customFormat="1" ht="15" x14ac:dyDescent="0.25">
      <c r="A15469" t="s">
        <v>24</v>
      </c>
      <c r="B15469" t="s">
        <v>32932</v>
      </c>
      <c r="C15469" t="str">
        <f>"A0101190"</f>
        <v>A0101190</v>
      </c>
      <c r="D15469" t="s">
        <v>53552</v>
      </c>
      <c r="E15469" t="s">
        <v>53553</v>
      </c>
      <c r="F15469" t="s">
        <v>53554</v>
      </c>
      <c r="G15469" t="s">
        <v>1170</v>
      </c>
      <c r="H15469">
        <v>71373</v>
      </c>
      <c r="I15469" t="s">
        <v>30</v>
      </c>
      <c r="J15469" t="s">
        <v>31</v>
      </c>
      <c r="K15469" t="s">
        <v>222</v>
      </c>
      <c r="N15469" t="s">
        <v>53555</v>
      </c>
      <c r="Q15469">
        <v>0</v>
      </c>
      <c r="R15469">
        <v>87</v>
      </c>
      <c r="S15469">
        <v>0</v>
      </c>
      <c r="T15469" t="s">
        <v>53556</v>
      </c>
    </row>
    <row r="15470" spans="1:25" customFormat="1" ht="15" x14ac:dyDescent="0.25">
      <c r="A15470" t="s">
        <v>24</v>
      </c>
      <c r="B15470" t="s">
        <v>32932</v>
      </c>
      <c r="C15470" t="str">
        <f>"A0155462"</f>
        <v>A0155462</v>
      </c>
      <c r="D15470" t="s">
        <v>53557</v>
      </c>
      <c r="E15470" t="s">
        <v>53558</v>
      </c>
      <c r="F15470" t="s">
        <v>10430</v>
      </c>
      <c r="G15470" t="s">
        <v>1369</v>
      </c>
      <c r="H15470">
        <v>39157</v>
      </c>
      <c r="I15470" t="s">
        <v>30</v>
      </c>
      <c r="J15470" t="s">
        <v>31</v>
      </c>
      <c r="K15470" t="s">
        <v>198</v>
      </c>
      <c r="N15470" t="s">
        <v>53559</v>
      </c>
      <c r="Q15470">
        <v>0</v>
      </c>
      <c r="R15470">
        <v>93</v>
      </c>
      <c r="S15470">
        <v>0</v>
      </c>
      <c r="T15470" t="s">
        <v>53560</v>
      </c>
    </row>
    <row r="15471" spans="1:25" customFormat="1" ht="15" x14ac:dyDescent="0.25">
      <c r="A15471" t="s">
        <v>24</v>
      </c>
      <c r="B15471" t="s">
        <v>32932</v>
      </c>
      <c r="C15471" t="str">
        <f>"A0148609"</f>
        <v>A0148609</v>
      </c>
      <c r="D15471" t="s">
        <v>53561</v>
      </c>
      <c r="E15471" t="s">
        <v>53562</v>
      </c>
      <c r="F15471" t="s">
        <v>53563</v>
      </c>
      <c r="G15471" t="s">
        <v>1170</v>
      </c>
      <c r="H15471">
        <v>70570</v>
      </c>
      <c r="I15471" t="s">
        <v>30</v>
      </c>
      <c r="J15471" t="s">
        <v>31</v>
      </c>
      <c r="K15471" t="s">
        <v>198</v>
      </c>
      <c r="N15471" t="s">
        <v>53564</v>
      </c>
      <c r="Q15471">
        <v>0</v>
      </c>
      <c r="R15471">
        <v>80</v>
      </c>
      <c r="S15471">
        <v>0</v>
      </c>
      <c r="T15471" t="s">
        <v>53565</v>
      </c>
    </row>
    <row r="15472" spans="1:25" customFormat="1" ht="15" x14ac:dyDescent="0.25">
      <c r="A15472" t="s">
        <v>24</v>
      </c>
      <c r="B15472" t="s">
        <v>32932</v>
      </c>
      <c r="C15472" t="str">
        <f>"A0096882"</f>
        <v>A0096882</v>
      </c>
      <c r="D15472" t="s">
        <v>53566</v>
      </c>
      <c r="E15472" t="s">
        <v>53567</v>
      </c>
      <c r="F15472" t="s">
        <v>53568</v>
      </c>
      <c r="G15472" t="s">
        <v>1369</v>
      </c>
      <c r="H15472">
        <v>38632</v>
      </c>
      <c r="I15472" t="s">
        <v>30</v>
      </c>
      <c r="J15472" t="s">
        <v>31</v>
      </c>
      <c r="K15472" t="s">
        <v>198</v>
      </c>
      <c r="N15472" t="s">
        <v>53569</v>
      </c>
      <c r="Q15472">
        <v>0</v>
      </c>
      <c r="R15472">
        <v>82</v>
      </c>
      <c r="S15472">
        <v>0</v>
      </c>
      <c r="T15472" t="s">
        <v>53570</v>
      </c>
    </row>
    <row r="15473" spans="1:25" customFormat="1" ht="15" x14ac:dyDescent="0.25">
      <c r="A15473" t="s">
        <v>24</v>
      </c>
      <c r="B15473" t="s">
        <v>32932</v>
      </c>
      <c r="C15473" t="str">
        <f>"A0096881"</f>
        <v>A0096881</v>
      </c>
      <c r="D15473" t="s">
        <v>53571</v>
      </c>
      <c r="E15473" t="s">
        <v>53572</v>
      </c>
      <c r="F15473" t="s">
        <v>53573</v>
      </c>
      <c r="G15473" t="s">
        <v>1369</v>
      </c>
      <c r="H15473">
        <v>39120</v>
      </c>
      <c r="I15473" t="s">
        <v>30</v>
      </c>
      <c r="J15473" t="s">
        <v>31</v>
      </c>
      <c r="K15473" t="s">
        <v>282</v>
      </c>
      <c r="N15473" t="s">
        <v>53574</v>
      </c>
      <c r="O15473" t="s">
        <v>53575</v>
      </c>
      <c r="Q15473">
        <v>0</v>
      </c>
      <c r="R15473">
        <v>81</v>
      </c>
      <c r="S15473">
        <v>0</v>
      </c>
      <c r="T15473" t="s">
        <v>53576</v>
      </c>
    </row>
    <row r="15474" spans="1:25" customFormat="1" ht="15" x14ac:dyDescent="0.25">
      <c r="A15474" t="s">
        <v>24</v>
      </c>
      <c r="B15474" t="s">
        <v>32932</v>
      </c>
      <c r="C15474" t="str">
        <f>"SF07965"</f>
        <v>SF07965</v>
      </c>
      <c r="D15474" t="s">
        <v>53577</v>
      </c>
      <c r="E15474" t="s">
        <v>53578</v>
      </c>
      <c r="F15474" t="s">
        <v>12532</v>
      </c>
      <c r="G15474" t="s">
        <v>1369</v>
      </c>
      <c r="H15474">
        <v>39202</v>
      </c>
      <c r="I15474" t="s">
        <v>30</v>
      </c>
      <c r="J15474" t="s">
        <v>31</v>
      </c>
      <c r="K15474" t="s">
        <v>282</v>
      </c>
      <c r="N15474" t="s">
        <v>53579</v>
      </c>
      <c r="Q15474">
        <v>0</v>
      </c>
      <c r="R15474">
        <v>108</v>
      </c>
      <c r="S15474">
        <v>0</v>
      </c>
      <c r="T15474" t="s">
        <v>53580</v>
      </c>
    </row>
    <row r="15475" spans="1:25" customFormat="1" ht="15" x14ac:dyDescent="0.25">
      <c r="A15475" t="s">
        <v>24</v>
      </c>
      <c r="B15475" t="s">
        <v>649</v>
      </c>
      <c r="C15475" t="str">
        <f>"A0096007"</f>
        <v>A0096007</v>
      </c>
      <c r="D15475" t="s">
        <v>53581</v>
      </c>
      <c r="E15475" t="s">
        <v>53582</v>
      </c>
      <c r="F15475" t="s">
        <v>53424</v>
      </c>
      <c r="G15475" t="s">
        <v>65</v>
      </c>
      <c r="H15475">
        <v>44312</v>
      </c>
      <c r="I15475" t="s">
        <v>30</v>
      </c>
      <c r="J15475" t="s">
        <v>31</v>
      </c>
      <c r="K15475" t="s">
        <v>198</v>
      </c>
      <c r="N15475" t="s">
        <v>53583</v>
      </c>
      <c r="Q15475">
        <v>0</v>
      </c>
      <c r="R15475">
        <v>90</v>
      </c>
      <c r="S15475">
        <v>0</v>
      </c>
      <c r="T15475" t="s">
        <v>53584</v>
      </c>
    </row>
    <row r="15476" spans="1:25" customFormat="1" ht="15" x14ac:dyDescent="0.25">
      <c r="A15476" t="s">
        <v>24</v>
      </c>
      <c r="B15476" t="s">
        <v>649</v>
      </c>
      <c r="C15476" t="str">
        <f>"A0098171"</f>
        <v>A0098171</v>
      </c>
      <c r="D15476" t="s">
        <v>53585</v>
      </c>
      <c r="E15476" t="s">
        <v>53586</v>
      </c>
      <c r="F15476" t="s">
        <v>35806</v>
      </c>
      <c r="G15476" t="s">
        <v>65</v>
      </c>
      <c r="H15476">
        <v>44805</v>
      </c>
      <c r="I15476" t="s">
        <v>30</v>
      </c>
      <c r="J15476" t="s">
        <v>31</v>
      </c>
      <c r="K15476" t="s">
        <v>198</v>
      </c>
      <c r="N15476" t="s">
        <v>53587</v>
      </c>
      <c r="Q15476">
        <v>0</v>
      </c>
      <c r="R15476">
        <v>81</v>
      </c>
      <c r="S15476">
        <v>0</v>
      </c>
      <c r="T15476" t="s">
        <v>53588</v>
      </c>
    </row>
    <row r="15477" spans="1:25" x14ac:dyDescent="0.25">
      <c r="A15477" s="5" t="s">
        <v>24</v>
      </c>
      <c r="B15477" s="5" t="s">
        <v>1849</v>
      </c>
      <c r="C15477" s="5" t="str">
        <f>"SF01652"</f>
        <v>SF01652</v>
      </c>
      <c r="D15477" s="5" t="s">
        <v>70068</v>
      </c>
      <c r="E15477" s="5" t="s">
        <v>70069</v>
      </c>
      <c r="F15477" s="5" t="s">
        <v>16826</v>
      </c>
      <c r="G15477" s="5" t="s">
        <v>840</v>
      </c>
      <c r="H15477" s="5">
        <v>41018</v>
      </c>
      <c r="I15477" s="5" t="s">
        <v>30</v>
      </c>
      <c r="J15477" s="5" t="s">
        <v>162</v>
      </c>
      <c r="K15477" s="5" t="s">
        <v>854</v>
      </c>
      <c r="L15477" s="5"/>
      <c r="M15477" s="5"/>
      <c r="N15477" s="5" t="s">
        <v>70070</v>
      </c>
      <c r="O15477" s="5" t="s">
        <v>70071</v>
      </c>
      <c r="P15477" s="5"/>
      <c r="Q15477" s="5">
        <v>0</v>
      </c>
      <c r="R15477" s="5">
        <v>237</v>
      </c>
      <c r="S15477" s="5">
        <v>0</v>
      </c>
      <c r="T15477" s="5" t="s">
        <v>70072</v>
      </c>
      <c r="U15477" s="5"/>
      <c r="V15477" s="5"/>
      <c r="W15477" s="5"/>
      <c r="X15477" s="5"/>
      <c r="Y15477" s="5"/>
    </row>
    <row r="15478" spans="1:25" x14ac:dyDescent="0.25">
      <c r="A15478" s="5" t="s">
        <v>24</v>
      </c>
      <c r="B15478" s="5" t="s">
        <v>66302</v>
      </c>
      <c r="C15478" s="5" t="str">
        <f>"SF05304"</f>
        <v>SF05304</v>
      </c>
      <c r="D15478" s="5" t="s">
        <v>70073</v>
      </c>
      <c r="E15478" s="5" t="s">
        <v>70074</v>
      </c>
      <c r="F15478" s="5" t="s">
        <v>70075</v>
      </c>
      <c r="G15478" s="5" t="s">
        <v>338</v>
      </c>
      <c r="H15478" s="5">
        <v>7066</v>
      </c>
      <c r="I15478" s="5" t="s">
        <v>30</v>
      </c>
      <c r="J15478" s="5" t="s">
        <v>162</v>
      </c>
      <c r="K15478" s="5" t="s">
        <v>854</v>
      </c>
      <c r="L15478" s="5"/>
      <c r="M15478" s="5"/>
      <c r="N15478" s="5" t="s">
        <v>70076</v>
      </c>
      <c r="O15478" s="5" t="s">
        <v>70077</v>
      </c>
      <c r="P15478" s="5"/>
      <c r="Q15478" s="5">
        <v>0</v>
      </c>
      <c r="R15478" s="5">
        <v>191</v>
      </c>
      <c r="S15478" s="5">
        <v>0</v>
      </c>
      <c r="T15478" s="5" t="s">
        <v>70078</v>
      </c>
      <c r="U15478" s="5"/>
      <c r="V15478" s="5"/>
      <c r="W15478" s="5"/>
      <c r="X15478" s="5"/>
      <c r="Y15478" s="5"/>
    </row>
    <row r="15479" spans="1:25" customFormat="1" ht="15" x14ac:dyDescent="0.25">
      <c r="A15479" t="s">
        <v>24</v>
      </c>
      <c r="B15479" t="s">
        <v>2910</v>
      </c>
      <c r="C15479" t="str">
        <f>"88HI009"</f>
        <v>88HI009</v>
      </c>
      <c r="D15479" t="s">
        <v>70079</v>
      </c>
      <c r="E15479" t="s">
        <v>70080</v>
      </c>
      <c r="F15479" t="s">
        <v>3024</v>
      </c>
      <c r="G15479" t="s">
        <v>123</v>
      </c>
      <c r="H15479">
        <v>20740</v>
      </c>
      <c r="I15479" t="s">
        <v>30</v>
      </c>
      <c r="J15479" t="s">
        <v>162</v>
      </c>
      <c r="K15479" t="s">
        <v>854</v>
      </c>
      <c r="N15479" t="s">
        <v>70081</v>
      </c>
      <c r="O15479" t="s">
        <v>59340</v>
      </c>
      <c r="Q15479">
        <v>0</v>
      </c>
      <c r="R15479">
        <v>222</v>
      </c>
      <c r="S15479">
        <v>0</v>
      </c>
      <c r="T15479" t="s">
        <v>70082</v>
      </c>
    </row>
    <row r="15480" spans="1:25" customFormat="1" ht="15" x14ac:dyDescent="0.25">
      <c r="A15480" t="s">
        <v>24</v>
      </c>
      <c r="B15480" t="s">
        <v>140</v>
      </c>
      <c r="C15480" t="str">
        <f>"A0148770"</f>
        <v>A0148770</v>
      </c>
      <c r="D15480" t="s">
        <v>53605</v>
      </c>
      <c r="E15480" t="s">
        <v>53606</v>
      </c>
      <c r="F15480" t="s">
        <v>5620</v>
      </c>
      <c r="G15480" t="s">
        <v>52</v>
      </c>
      <c r="H15480">
        <v>77469</v>
      </c>
      <c r="I15480" t="s">
        <v>30</v>
      </c>
      <c r="J15480" t="s">
        <v>31</v>
      </c>
      <c r="K15480" t="s">
        <v>261</v>
      </c>
      <c r="N15480" t="s">
        <v>53607</v>
      </c>
      <c r="Q15480">
        <v>0</v>
      </c>
      <c r="R15480">
        <v>100</v>
      </c>
      <c r="S15480">
        <v>0</v>
      </c>
      <c r="T15480" t="s">
        <v>53608</v>
      </c>
    </row>
    <row r="15481" spans="1:25" customFormat="1" ht="15" x14ac:dyDescent="0.25">
      <c r="A15481" t="s">
        <v>24</v>
      </c>
      <c r="B15481" t="s">
        <v>1609</v>
      </c>
      <c r="C15481" t="str">
        <f>"A0166808"</f>
        <v>A0166808</v>
      </c>
      <c r="D15481" t="s">
        <v>53609</v>
      </c>
      <c r="E15481" t="s">
        <v>53610</v>
      </c>
      <c r="F15481" t="s">
        <v>972</v>
      </c>
      <c r="G15481" t="s">
        <v>190</v>
      </c>
      <c r="H15481">
        <v>80238</v>
      </c>
      <c r="I15481" t="s">
        <v>30</v>
      </c>
      <c r="J15481" t="s">
        <v>31</v>
      </c>
      <c r="K15481" t="s">
        <v>261</v>
      </c>
      <c r="N15481" t="s">
        <v>53611</v>
      </c>
      <c r="O15481" t="s">
        <v>53612</v>
      </c>
      <c r="Q15481">
        <v>0</v>
      </c>
      <c r="R15481">
        <v>117</v>
      </c>
      <c r="S15481">
        <v>0</v>
      </c>
      <c r="T15481" t="s">
        <v>53613</v>
      </c>
    </row>
    <row r="15482" spans="1:25" customFormat="1" ht="15" x14ac:dyDescent="0.25">
      <c r="A15482" t="s">
        <v>24</v>
      </c>
      <c r="B15482" t="s">
        <v>2910</v>
      </c>
      <c r="C15482" t="str">
        <f>"SF01723"</f>
        <v>SF01723</v>
      </c>
      <c r="D15482" t="s">
        <v>70083</v>
      </c>
      <c r="E15482" t="s">
        <v>70084</v>
      </c>
      <c r="F15482" t="s">
        <v>320</v>
      </c>
      <c r="G15482" t="s">
        <v>123</v>
      </c>
      <c r="H15482">
        <v>20794</v>
      </c>
      <c r="I15482" t="s">
        <v>30</v>
      </c>
      <c r="J15482" t="s">
        <v>162</v>
      </c>
      <c r="K15482" t="s">
        <v>854</v>
      </c>
      <c r="N15482" t="s">
        <v>70085</v>
      </c>
      <c r="Q15482">
        <v>0</v>
      </c>
      <c r="R15482">
        <v>171</v>
      </c>
      <c r="S15482">
        <v>0</v>
      </c>
      <c r="T15482" t="s">
        <v>70086</v>
      </c>
    </row>
    <row r="15483" spans="1:25" customFormat="1" ht="15" x14ac:dyDescent="0.25">
      <c r="A15483" t="s">
        <v>24</v>
      </c>
      <c r="B15483" t="s">
        <v>3628</v>
      </c>
      <c r="C15483" t="str">
        <f>"A0162134"</f>
        <v>A0162134</v>
      </c>
      <c r="D15483" t="s">
        <v>53618</v>
      </c>
      <c r="E15483" t="s">
        <v>53619</v>
      </c>
      <c r="F15483" t="s">
        <v>53620</v>
      </c>
      <c r="G15483" t="s">
        <v>76</v>
      </c>
      <c r="H15483">
        <v>98188</v>
      </c>
      <c r="I15483" t="s">
        <v>30</v>
      </c>
      <c r="J15483" t="s">
        <v>31</v>
      </c>
      <c r="K15483" t="s">
        <v>1890</v>
      </c>
      <c r="N15483" t="s">
        <v>53621</v>
      </c>
      <c r="Q15483">
        <v>0</v>
      </c>
      <c r="R15483">
        <v>177</v>
      </c>
      <c r="S15483">
        <v>0</v>
      </c>
      <c r="T15483" t="s">
        <v>53622</v>
      </c>
    </row>
    <row r="15484" spans="1:25" customFormat="1" ht="15" x14ac:dyDescent="0.25">
      <c r="A15484" t="s">
        <v>24</v>
      </c>
      <c r="B15484" t="s">
        <v>3628</v>
      </c>
      <c r="C15484" t="str">
        <f>"A0156555"</f>
        <v>A0156555</v>
      </c>
      <c r="D15484" t="s">
        <v>53623</v>
      </c>
      <c r="E15484" t="s">
        <v>53624</v>
      </c>
      <c r="F15484" t="s">
        <v>33206</v>
      </c>
      <c r="G15484" t="s">
        <v>197</v>
      </c>
      <c r="H15484">
        <v>86351</v>
      </c>
      <c r="I15484" t="s">
        <v>30</v>
      </c>
      <c r="J15484" t="s">
        <v>31</v>
      </c>
      <c r="K15484" t="s">
        <v>1890</v>
      </c>
      <c r="N15484" t="s">
        <v>53625</v>
      </c>
      <c r="Q15484">
        <v>0</v>
      </c>
      <c r="R15484">
        <v>117</v>
      </c>
      <c r="S15484">
        <v>0</v>
      </c>
      <c r="T15484" t="s">
        <v>53626</v>
      </c>
    </row>
    <row r="15485" spans="1:25" customFormat="1" ht="15" x14ac:dyDescent="0.25">
      <c r="A15485" t="s">
        <v>24</v>
      </c>
      <c r="B15485" t="s">
        <v>70087</v>
      </c>
      <c r="C15485" t="str">
        <f>"A0090441"</f>
        <v>A0090441</v>
      </c>
      <c r="D15485" t="s">
        <v>70088</v>
      </c>
      <c r="E15485" t="s">
        <v>70089</v>
      </c>
      <c r="F15485" t="s">
        <v>1258</v>
      </c>
      <c r="G15485" t="s">
        <v>81</v>
      </c>
      <c r="H15485">
        <v>32124</v>
      </c>
      <c r="I15485" t="s">
        <v>30</v>
      </c>
      <c r="J15485" t="s">
        <v>162</v>
      </c>
      <c r="K15485" t="s">
        <v>854</v>
      </c>
      <c r="N15485" t="s">
        <v>70090</v>
      </c>
      <c r="O15485" t="s">
        <v>70091</v>
      </c>
      <c r="Q15485">
        <v>0</v>
      </c>
      <c r="R15485">
        <v>96</v>
      </c>
      <c r="S15485">
        <v>0</v>
      </c>
      <c r="T15485" t="s">
        <v>70092</v>
      </c>
    </row>
    <row r="15486" spans="1:25" customFormat="1" ht="15" x14ac:dyDescent="0.25">
      <c r="A15486" t="s">
        <v>24</v>
      </c>
      <c r="B15486" t="s">
        <v>7230</v>
      </c>
      <c r="C15486" t="str">
        <f>"A0147029"</f>
        <v>A0147029</v>
      </c>
      <c r="D15486" t="s">
        <v>53632</v>
      </c>
      <c r="E15486" t="s">
        <v>53633</v>
      </c>
      <c r="F15486" t="s">
        <v>53634</v>
      </c>
      <c r="G15486" t="s">
        <v>76</v>
      </c>
      <c r="H15486">
        <v>98003</v>
      </c>
      <c r="I15486" t="s">
        <v>30</v>
      </c>
      <c r="J15486" t="s">
        <v>31</v>
      </c>
      <c r="K15486" t="s">
        <v>198</v>
      </c>
      <c r="N15486" t="s">
        <v>53635</v>
      </c>
      <c r="Q15486">
        <v>0</v>
      </c>
      <c r="R15486">
        <v>142</v>
      </c>
      <c r="S15486">
        <v>0</v>
      </c>
      <c r="T15486" t="s">
        <v>53636</v>
      </c>
    </row>
    <row r="15487" spans="1:25" customFormat="1" ht="15" x14ac:dyDescent="0.25">
      <c r="A15487" t="s">
        <v>24</v>
      </c>
      <c r="B15487" t="s">
        <v>1609</v>
      </c>
      <c r="C15487" t="str">
        <f>"A0145927"</f>
        <v>A0145927</v>
      </c>
      <c r="D15487" t="s">
        <v>53637</v>
      </c>
      <c r="E15487" t="s">
        <v>53638</v>
      </c>
      <c r="F15487" t="s">
        <v>1258</v>
      </c>
      <c r="G15487" t="s">
        <v>81</v>
      </c>
      <c r="H15487">
        <v>32214</v>
      </c>
      <c r="I15487" t="s">
        <v>30</v>
      </c>
      <c r="J15487" t="s">
        <v>31</v>
      </c>
      <c r="K15487" t="s">
        <v>261</v>
      </c>
      <c r="N15487" t="s">
        <v>53639</v>
      </c>
      <c r="Q15487">
        <v>0</v>
      </c>
      <c r="R15487">
        <v>107</v>
      </c>
      <c r="S15487">
        <v>0</v>
      </c>
      <c r="T15487" t="s">
        <v>53640</v>
      </c>
    </row>
    <row r="15488" spans="1:25" customFormat="1" ht="15" x14ac:dyDescent="0.25">
      <c r="A15488" t="s">
        <v>24</v>
      </c>
      <c r="B15488" t="s">
        <v>976</v>
      </c>
      <c r="C15488" t="str">
        <f>"SF01371"</f>
        <v>SF01371</v>
      </c>
      <c r="D15488" t="s">
        <v>70093</v>
      </c>
      <c r="E15488" t="s">
        <v>70094</v>
      </c>
      <c r="F15488" t="s">
        <v>70095</v>
      </c>
      <c r="G15488" t="s">
        <v>899</v>
      </c>
      <c r="H15488">
        <v>2026</v>
      </c>
      <c r="I15488" t="s">
        <v>30</v>
      </c>
      <c r="J15488" t="s">
        <v>162</v>
      </c>
      <c r="K15488" t="s">
        <v>854</v>
      </c>
      <c r="N15488" t="s">
        <v>70096</v>
      </c>
      <c r="Q15488">
        <v>0</v>
      </c>
      <c r="R15488">
        <v>200</v>
      </c>
      <c r="S15488">
        <v>0</v>
      </c>
      <c r="T15488" t="s">
        <v>70097</v>
      </c>
    </row>
    <row r="15489" spans="1:20" customFormat="1" ht="15" x14ac:dyDescent="0.25">
      <c r="A15489" t="s">
        <v>24</v>
      </c>
      <c r="B15489" t="s">
        <v>734</v>
      </c>
      <c r="C15489" t="str">
        <f>"SF04432"</f>
        <v>SF04432</v>
      </c>
      <c r="D15489" t="s">
        <v>70098</v>
      </c>
      <c r="E15489" t="s">
        <v>70099</v>
      </c>
      <c r="F15489" t="s">
        <v>15185</v>
      </c>
      <c r="G15489" t="s">
        <v>1170</v>
      </c>
      <c r="H15489">
        <v>71101</v>
      </c>
      <c r="I15489" t="s">
        <v>30</v>
      </c>
      <c r="J15489" t="s">
        <v>162</v>
      </c>
      <c r="K15489" t="s">
        <v>854</v>
      </c>
      <c r="N15489" t="s">
        <v>6000</v>
      </c>
      <c r="O15489" t="s">
        <v>64380</v>
      </c>
      <c r="Q15489">
        <v>0</v>
      </c>
      <c r="R15489">
        <v>190</v>
      </c>
      <c r="S15489">
        <v>0</v>
      </c>
      <c r="T15489" t="s">
        <v>70100</v>
      </c>
    </row>
    <row r="15490" spans="1:20" customFormat="1" ht="15" x14ac:dyDescent="0.25">
      <c r="A15490" t="s">
        <v>24</v>
      </c>
      <c r="B15490" t="s">
        <v>3628</v>
      </c>
      <c r="C15490" t="str">
        <f>"A0098210"</f>
        <v>A0098210</v>
      </c>
      <c r="D15490" t="s">
        <v>53650</v>
      </c>
      <c r="E15490" t="s">
        <v>53651</v>
      </c>
      <c r="F15490" t="s">
        <v>33725</v>
      </c>
      <c r="G15490" t="s">
        <v>1184</v>
      </c>
      <c r="H15490">
        <v>59718</v>
      </c>
      <c r="I15490" t="s">
        <v>30</v>
      </c>
      <c r="J15490" t="s">
        <v>31</v>
      </c>
      <c r="K15490" t="s">
        <v>255</v>
      </c>
      <c r="N15490" t="s">
        <v>53652</v>
      </c>
      <c r="O15490" t="s">
        <v>53653</v>
      </c>
      <c r="Q15490">
        <v>0</v>
      </c>
      <c r="R15490">
        <v>106</v>
      </c>
      <c r="S15490">
        <v>0</v>
      </c>
      <c r="T15490" t="s">
        <v>53654</v>
      </c>
    </row>
    <row r="15491" spans="1:20" customFormat="1" ht="15" x14ac:dyDescent="0.25">
      <c r="A15491" t="s">
        <v>24</v>
      </c>
      <c r="B15491" t="s">
        <v>3628</v>
      </c>
      <c r="C15491" t="str">
        <f>"A0098209"</f>
        <v>A0098209</v>
      </c>
      <c r="D15491" t="s">
        <v>53655</v>
      </c>
      <c r="E15491" t="s">
        <v>53656</v>
      </c>
      <c r="F15491" t="s">
        <v>4189</v>
      </c>
      <c r="G15491" t="s">
        <v>47</v>
      </c>
      <c r="H15491">
        <v>97702</v>
      </c>
      <c r="I15491" t="s">
        <v>30</v>
      </c>
      <c r="J15491" t="s">
        <v>31</v>
      </c>
      <c r="K15491" t="s">
        <v>255</v>
      </c>
      <c r="N15491" t="s">
        <v>53657</v>
      </c>
      <c r="Q15491">
        <v>0</v>
      </c>
      <c r="R15491">
        <v>106</v>
      </c>
      <c r="S15491">
        <v>0</v>
      </c>
      <c r="T15491" t="s">
        <v>53658</v>
      </c>
    </row>
    <row r="15492" spans="1:20" customFormat="1" ht="15" x14ac:dyDescent="0.25">
      <c r="A15492" t="s">
        <v>24</v>
      </c>
      <c r="B15492" t="s">
        <v>3628</v>
      </c>
      <c r="C15492" t="str">
        <f>"A0096757"</f>
        <v>A0096757</v>
      </c>
      <c r="D15492" t="s">
        <v>53659</v>
      </c>
      <c r="E15492" t="s">
        <v>53660</v>
      </c>
      <c r="F15492" t="s">
        <v>53661</v>
      </c>
      <c r="G15492" t="s">
        <v>76</v>
      </c>
      <c r="H15492">
        <v>98027</v>
      </c>
      <c r="I15492" t="s">
        <v>30</v>
      </c>
      <c r="J15492" t="s">
        <v>31</v>
      </c>
      <c r="K15492" t="s">
        <v>255</v>
      </c>
      <c r="N15492" t="s">
        <v>53662</v>
      </c>
      <c r="O15492" t="s">
        <v>53663</v>
      </c>
      <c r="Q15492">
        <v>0</v>
      </c>
      <c r="R15492">
        <v>145</v>
      </c>
      <c r="S15492">
        <v>0</v>
      </c>
      <c r="T15492" t="s">
        <v>53664</v>
      </c>
    </row>
    <row r="15493" spans="1:20" customFormat="1" ht="15" x14ac:dyDescent="0.25">
      <c r="A15493" t="s">
        <v>24</v>
      </c>
      <c r="B15493" t="s">
        <v>4400</v>
      </c>
      <c r="C15493" t="str">
        <f>"A0086167"</f>
        <v>A0086167</v>
      </c>
      <c r="D15493" t="s">
        <v>71014</v>
      </c>
      <c r="E15493" t="s">
        <v>71015</v>
      </c>
      <c r="F15493" t="s">
        <v>3466</v>
      </c>
      <c r="G15493" t="s">
        <v>840</v>
      </c>
      <c r="H15493">
        <v>40209</v>
      </c>
      <c r="I15493" t="s">
        <v>30</v>
      </c>
      <c r="J15493" t="s">
        <v>162</v>
      </c>
      <c r="K15493" t="s">
        <v>854</v>
      </c>
      <c r="N15493" t="s">
        <v>71016</v>
      </c>
      <c r="O15493" t="s">
        <v>71017</v>
      </c>
      <c r="Q15493">
        <v>0</v>
      </c>
      <c r="R15493">
        <v>106</v>
      </c>
      <c r="S15493">
        <v>0</v>
      </c>
      <c r="T15493" t="s">
        <v>71018</v>
      </c>
    </row>
    <row r="15494" spans="1:20" customFormat="1" ht="15" x14ac:dyDescent="0.25">
      <c r="A15494" t="s">
        <v>24</v>
      </c>
      <c r="B15494" t="s">
        <v>53670</v>
      </c>
      <c r="C15494" t="str">
        <f>"A0096358"</f>
        <v>A0096358</v>
      </c>
      <c r="D15494" t="s">
        <v>53671</v>
      </c>
      <c r="E15494" t="s">
        <v>53672</v>
      </c>
      <c r="F15494" t="s">
        <v>3837</v>
      </c>
      <c r="G15494" t="s">
        <v>137</v>
      </c>
      <c r="H15494">
        <v>65803</v>
      </c>
      <c r="I15494" t="s">
        <v>30</v>
      </c>
      <c r="J15494" t="s">
        <v>31</v>
      </c>
      <c r="K15494" t="s">
        <v>255</v>
      </c>
      <c r="N15494" t="s">
        <v>53639</v>
      </c>
      <c r="Q15494">
        <v>0</v>
      </c>
      <c r="R15494">
        <v>92</v>
      </c>
      <c r="S15494">
        <v>0</v>
      </c>
      <c r="T15494" t="s">
        <v>53673</v>
      </c>
    </row>
    <row r="15495" spans="1:20" customFormat="1" ht="15" x14ac:dyDescent="0.25">
      <c r="A15495" t="s">
        <v>24</v>
      </c>
      <c r="B15495" t="s">
        <v>54771</v>
      </c>
      <c r="C15495" t="str">
        <f>"SF08965"</f>
        <v>SF08965</v>
      </c>
      <c r="D15495" t="s">
        <v>71019</v>
      </c>
      <c r="E15495" t="s">
        <v>71020</v>
      </c>
      <c r="F15495" t="s">
        <v>9561</v>
      </c>
      <c r="G15495" t="s">
        <v>899</v>
      </c>
      <c r="H15495">
        <v>2540</v>
      </c>
      <c r="I15495" t="s">
        <v>30</v>
      </c>
      <c r="J15495" t="s">
        <v>162</v>
      </c>
      <c r="K15495" t="s">
        <v>854</v>
      </c>
      <c r="N15495" t="s">
        <v>71021</v>
      </c>
      <c r="Q15495">
        <v>0</v>
      </c>
      <c r="R15495">
        <v>98</v>
      </c>
      <c r="S15495">
        <v>0</v>
      </c>
      <c r="T15495" t="s">
        <v>71022</v>
      </c>
    </row>
    <row r="15496" spans="1:20" customFormat="1" ht="15" x14ac:dyDescent="0.25">
      <c r="A15496" t="s">
        <v>24</v>
      </c>
      <c r="B15496" t="s">
        <v>3628</v>
      </c>
      <c r="C15496" t="str">
        <f>"A0094387"</f>
        <v>A0094387</v>
      </c>
      <c r="D15496" t="s">
        <v>53680</v>
      </c>
      <c r="E15496" t="s">
        <v>53681</v>
      </c>
      <c r="F15496" t="s">
        <v>2269</v>
      </c>
      <c r="G15496" t="s">
        <v>76</v>
      </c>
      <c r="H15496">
        <v>98683</v>
      </c>
      <c r="I15496" t="s">
        <v>30</v>
      </c>
      <c r="J15496" t="s">
        <v>31</v>
      </c>
      <c r="K15496" t="s">
        <v>222</v>
      </c>
      <c r="N15496" t="s">
        <v>53682</v>
      </c>
      <c r="Q15496">
        <v>0</v>
      </c>
      <c r="R15496">
        <v>115</v>
      </c>
      <c r="S15496">
        <v>0</v>
      </c>
      <c r="T15496" t="s">
        <v>53683</v>
      </c>
    </row>
    <row r="15497" spans="1:20" customFormat="1" ht="15" x14ac:dyDescent="0.25">
      <c r="A15497" t="s">
        <v>24</v>
      </c>
      <c r="B15497" t="s">
        <v>3628</v>
      </c>
      <c r="C15497" t="str">
        <f>"A0085232"</f>
        <v>A0085232</v>
      </c>
      <c r="D15497" t="s">
        <v>53684</v>
      </c>
      <c r="E15497" t="s">
        <v>53685</v>
      </c>
      <c r="F15497" t="s">
        <v>1431</v>
      </c>
      <c r="G15497" t="s">
        <v>47</v>
      </c>
      <c r="H15497">
        <v>97217</v>
      </c>
      <c r="I15497" t="s">
        <v>30</v>
      </c>
      <c r="J15497" t="s">
        <v>31</v>
      </c>
      <c r="K15497" t="s">
        <v>32</v>
      </c>
      <c r="N15497" t="s">
        <v>53686</v>
      </c>
      <c r="Q15497">
        <v>0</v>
      </c>
      <c r="R15497">
        <v>93</v>
      </c>
      <c r="S15497">
        <v>0</v>
      </c>
      <c r="T15497" t="s">
        <v>53687</v>
      </c>
    </row>
    <row r="15498" spans="1:20" customFormat="1" ht="15" x14ac:dyDescent="0.25">
      <c r="A15498" t="s">
        <v>24</v>
      </c>
      <c r="B15498" t="s">
        <v>9549</v>
      </c>
      <c r="C15498" t="str">
        <f>"SF02097"</f>
        <v>SF02097</v>
      </c>
      <c r="D15498" t="s">
        <v>71023</v>
      </c>
      <c r="E15498" t="s">
        <v>71024</v>
      </c>
      <c r="F15498" t="s">
        <v>33693</v>
      </c>
      <c r="G15498" t="s">
        <v>144</v>
      </c>
      <c r="H15498">
        <v>58103</v>
      </c>
      <c r="I15498" t="s">
        <v>30</v>
      </c>
      <c r="J15498" t="s">
        <v>162</v>
      </c>
      <c r="K15498" t="s">
        <v>854</v>
      </c>
      <c r="N15498" t="s">
        <v>71025</v>
      </c>
      <c r="Q15498">
        <v>0</v>
      </c>
      <c r="R15498">
        <v>310</v>
      </c>
      <c r="S15498">
        <v>0</v>
      </c>
      <c r="T15498" t="s">
        <v>71026</v>
      </c>
    </row>
    <row r="15499" spans="1:20" customFormat="1" ht="15" x14ac:dyDescent="0.25">
      <c r="A15499" t="s">
        <v>24</v>
      </c>
      <c r="B15499" t="s">
        <v>3628</v>
      </c>
      <c r="C15499" t="str">
        <f>"A0084038"</f>
        <v>A0084038</v>
      </c>
      <c r="D15499" t="s">
        <v>53694</v>
      </c>
      <c r="E15499" t="s">
        <v>53695</v>
      </c>
      <c r="F15499" t="s">
        <v>2269</v>
      </c>
      <c r="G15499" t="s">
        <v>76</v>
      </c>
      <c r="H15499">
        <v>98683</v>
      </c>
      <c r="I15499" t="s">
        <v>30</v>
      </c>
      <c r="J15499" t="s">
        <v>31</v>
      </c>
      <c r="K15499" t="s">
        <v>255</v>
      </c>
      <c r="N15499" t="s">
        <v>53682</v>
      </c>
      <c r="O15499" t="s">
        <v>53696</v>
      </c>
      <c r="Q15499">
        <v>0</v>
      </c>
      <c r="R15499">
        <v>119</v>
      </c>
      <c r="S15499">
        <v>0</v>
      </c>
      <c r="T15499" t="s">
        <v>53697</v>
      </c>
    </row>
    <row r="15500" spans="1:20" customFormat="1" ht="15" x14ac:dyDescent="0.25">
      <c r="A15500" t="s">
        <v>24</v>
      </c>
      <c r="B15500" t="s">
        <v>8805</v>
      </c>
      <c r="C15500" t="str">
        <f>"A0068517"</f>
        <v>A0068517</v>
      </c>
      <c r="D15500" t="s">
        <v>71027</v>
      </c>
      <c r="E15500" t="s">
        <v>71028</v>
      </c>
      <c r="F15500" t="s">
        <v>40861</v>
      </c>
      <c r="G15500" t="s">
        <v>117</v>
      </c>
      <c r="H15500">
        <v>49456</v>
      </c>
      <c r="I15500" t="s">
        <v>30</v>
      </c>
      <c r="J15500" t="s">
        <v>162</v>
      </c>
      <c r="K15500" t="s">
        <v>854</v>
      </c>
      <c r="N15500" t="s">
        <v>68038</v>
      </c>
      <c r="Q15500">
        <v>0</v>
      </c>
      <c r="R15500">
        <v>123</v>
      </c>
      <c r="S15500">
        <v>0</v>
      </c>
      <c r="T15500" t="s">
        <v>71029</v>
      </c>
    </row>
    <row r="15501" spans="1:20" customFormat="1" ht="15" x14ac:dyDescent="0.25">
      <c r="A15501" t="s">
        <v>24</v>
      </c>
      <c r="B15501" t="s">
        <v>57095</v>
      </c>
      <c r="C15501" t="str">
        <f>"A0151278"</f>
        <v>A0151278</v>
      </c>
      <c r="D15501" t="s">
        <v>71030</v>
      </c>
      <c r="E15501" t="s">
        <v>71031</v>
      </c>
      <c r="F15501" t="s">
        <v>11501</v>
      </c>
      <c r="G15501" t="s">
        <v>1184</v>
      </c>
      <c r="H15501">
        <v>59405</v>
      </c>
      <c r="I15501" t="s">
        <v>30</v>
      </c>
      <c r="J15501" t="s">
        <v>162</v>
      </c>
      <c r="K15501" t="s">
        <v>854</v>
      </c>
      <c r="N15501" t="s">
        <v>71032</v>
      </c>
      <c r="Q15501">
        <v>0</v>
      </c>
      <c r="R15501">
        <v>168</v>
      </c>
      <c r="S15501">
        <v>0</v>
      </c>
      <c r="T15501" t="s">
        <v>71033</v>
      </c>
    </row>
    <row r="15502" spans="1:20" customFormat="1" ht="15" x14ac:dyDescent="0.25">
      <c r="A15502" t="s">
        <v>24</v>
      </c>
      <c r="B15502" t="s">
        <v>3628</v>
      </c>
      <c r="C15502" t="str">
        <f>"A0083299"</f>
        <v>A0083299</v>
      </c>
      <c r="D15502" t="s">
        <v>53709</v>
      </c>
      <c r="E15502" t="s">
        <v>53710</v>
      </c>
      <c r="F15502" t="s">
        <v>53705</v>
      </c>
      <c r="G15502" t="s">
        <v>110</v>
      </c>
      <c r="H15502">
        <v>91320</v>
      </c>
      <c r="I15502" t="s">
        <v>30</v>
      </c>
      <c r="J15502" t="s">
        <v>31</v>
      </c>
      <c r="K15502" t="s">
        <v>222</v>
      </c>
      <c r="N15502" t="s">
        <v>53707</v>
      </c>
      <c r="O15502" t="s">
        <v>53711</v>
      </c>
      <c r="Q15502">
        <v>0</v>
      </c>
      <c r="R15502">
        <v>93</v>
      </c>
      <c r="S15502">
        <v>0</v>
      </c>
      <c r="T15502" t="s">
        <v>53712</v>
      </c>
    </row>
    <row r="15503" spans="1:20" customFormat="1" ht="15" x14ac:dyDescent="0.25">
      <c r="A15503" t="s">
        <v>24</v>
      </c>
      <c r="B15503" t="s">
        <v>4400</v>
      </c>
      <c r="C15503" t="str">
        <f>"A0084960"</f>
        <v>A0084960</v>
      </c>
      <c r="D15503" t="s">
        <v>71034</v>
      </c>
      <c r="E15503" t="s">
        <v>71035</v>
      </c>
      <c r="F15503" t="s">
        <v>12497</v>
      </c>
      <c r="G15503" t="s">
        <v>71</v>
      </c>
      <c r="H15503">
        <v>54304</v>
      </c>
      <c r="I15503" t="s">
        <v>30</v>
      </c>
      <c r="J15503" t="s">
        <v>162</v>
      </c>
      <c r="K15503" t="s">
        <v>854</v>
      </c>
      <c r="N15503" t="s">
        <v>71036</v>
      </c>
      <c r="O15503" t="s">
        <v>71037</v>
      </c>
      <c r="Q15503">
        <v>0</v>
      </c>
      <c r="R15503">
        <v>118</v>
      </c>
      <c r="S15503">
        <v>0</v>
      </c>
      <c r="T15503" t="s">
        <v>71038</v>
      </c>
    </row>
    <row r="15504" spans="1:20" customFormat="1" ht="15" x14ac:dyDescent="0.25">
      <c r="A15504" t="s">
        <v>24</v>
      </c>
      <c r="B15504" t="s">
        <v>33398</v>
      </c>
      <c r="C15504" t="str">
        <f>"A0098839"</f>
        <v>A0098839</v>
      </c>
      <c r="D15504" t="s">
        <v>71039</v>
      </c>
      <c r="E15504" t="s">
        <v>71040</v>
      </c>
      <c r="F15504" t="s">
        <v>9498</v>
      </c>
      <c r="G15504" t="s">
        <v>214</v>
      </c>
      <c r="H15504">
        <v>27409</v>
      </c>
      <c r="I15504" t="s">
        <v>30</v>
      </c>
      <c r="J15504" t="s">
        <v>162</v>
      </c>
      <c r="K15504" t="s">
        <v>854</v>
      </c>
      <c r="N15504" t="s">
        <v>71041</v>
      </c>
      <c r="Q15504">
        <v>0</v>
      </c>
      <c r="R15504">
        <v>188</v>
      </c>
      <c r="S15504">
        <v>0</v>
      </c>
      <c r="T15504" t="s">
        <v>71042</v>
      </c>
    </row>
    <row r="15505" spans="1:20" customFormat="1" ht="15" x14ac:dyDescent="0.25">
      <c r="A15505" t="s">
        <v>24</v>
      </c>
      <c r="B15505" t="s">
        <v>67039</v>
      </c>
      <c r="C15505" t="str">
        <f>"A0098518"</f>
        <v>A0098518</v>
      </c>
      <c r="D15505" t="s">
        <v>71043</v>
      </c>
      <c r="E15505" t="s">
        <v>71044</v>
      </c>
      <c r="F15505" t="s">
        <v>9498</v>
      </c>
      <c r="G15505" t="s">
        <v>214</v>
      </c>
      <c r="H15505">
        <v>27403</v>
      </c>
      <c r="I15505" t="s">
        <v>30</v>
      </c>
      <c r="J15505" t="s">
        <v>162</v>
      </c>
      <c r="K15505" t="s">
        <v>854</v>
      </c>
      <c r="N15505" t="s">
        <v>71045</v>
      </c>
      <c r="Q15505">
        <v>0</v>
      </c>
      <c r="R15505">
        <v>161</v>
      </c>
      <c r="S15505">
        <v>0</v>
      </c>
      <c r="T15505" t="s">
        <v>71046</v>
      </c>
    </row>
    <row r="15506" spans="1:20" customFormat="1" ht="15" x14ac:dyDescent="0.25">
      <c r="A15506" t="s">
        <v>24</v>
      </c>
      <c r="B15506" t="s">
        <v>71047</v>
      </c>
      <c r="C15506" t="str">
        <f>"A0098910"</f>
        <v>A0098910</v>
      </c>
      <c r="D15506" t="s">
        <v>71048</v>
      </c>
      <c r="E15506" t="s">
        <v>71049</v>
      </c>
      <c r="F15506" t="s">
        <v>71050</v>
      </c>
      <c r="G15506" t="s">
        <v>289</v>
      </c>
      <c r="H15506">
        <v>60031</v>
      </c>
      <c r="I15506" t="s">
        <v>30</v>
      </c>
      <c r="J15506" t="s">
        <v>162</v>
      </c>
      <c r="K15506" t="s">
        <v>854</v>
      </c>
      <c r="N15506" t="s">
        <v>71051</v>
      </c>
      <c r="Q15506">
        <v>0</v>
      </c>
      <c r="R15506">
        <v>210</v>
      </c>
      <c r="S15506">
        <v>0</v>
      </c>
      <c r="T15506" t="s">
        <v>71052</v>
      </c>
    </row>
    <row r="15507" spans="1:20" customFormat="1" ht="15" x14ac:dyDescent="0.25">
      <c r="A15507" t="s">
        <v>24</v>
      </c>
      <c r="B15507" t="s">
        <v>7928</v>
      </c>
      <c r="C15507" t="str">
        <f>"A0158365"</f>
        <v>A0158365</v>
      </c>
      <c r="D15507" t="s">
        <v>71053</v>
      </c>
      <c r="E15507" t="s">
        <v>71054</v>
      </c>
      <c r="F15507" t="s">
        <v>9058</v>
      </c>
      <c r="G15507" t="s">
        <v>103</v>
      </c>
      <c r="H15507">
        <v>17057</v>
      </c>
      <c r="I15507" t="s">
        <v>30</v>
      </c>
      <c r="J15507" t="s">
        <v>162</v>
      </c>
      <c r="K15507" t="s">
        <v>854</v>
      </c>
      <c r="N15507" t="s">
        <v>71055</v>
      </c>
      <c r="Q15507">
        <v>0</v>
      </c>
      <c r="R15507">
        <v>175</v>
      </c>
      <c r="S15507">
        <v>0</v>
      </c>
      <c r="T15507" t="s">
        <v>71056</v>
      </c>
    </row>
    <row r="15508" spans="1:20" customFormat="1" ht="15" x14ac:dyDescent="0.25">
      <c r="A15508" t="s">
        <v>24</v>
      </c>
      <c r="B15508" t="s">
        <v>3628</v>
      </c>
      <c r="C15508" t="str">
        <f>"A0069057"</f>
        <v>A0069057</v>
      </c>
      <c r="D15508" t="s">
        <v>53737</v>
      </c>
      <c r="E15508" t="s">
        <v>53738</v>
      </c>
      <c r="F15508" t="s">
        <v>276</v>
      </c>
      <c r="G15508" t="s">
        <v>47</v>
      </c>
      <c r="H15508">
        <v>97124</v>
      </c>
      <c r="I15508" t="s">
        <v>30</v>
      </c>
      <c r="J15508" t="s">
        <v>31</v>
      </c>
      <c r="K15508" t="s">
        <v>255</v>
      </c>
      <c r="N15508" t="s">
        <v>53729</v>
      </c>
      <c r="O15508" t="s">
        <v>3486</v>
      </c>
      <c r="Q15508">
        <v>0</v>
      </c>
      <c r="R15508">
        <v>106</v>
      </c>
      <c r="S15508">
        <v>0</v>
      </c>
      <c r="T15508" t="s">
        <v>53739</v>
      </c>
    </row>
    <row r="15509" spans="1:20" customFormat="1" ht="15" x14ac:dyDescent="0.25">
      <c r="A15509" t="s">
        <v>24</v>
      </c>
      <c r="B15509" t="s">
        <v>3159</v>
      </c>
      <c r="C15509" t="str">
        <f>"A0058589"</f>
        <v>A0058589</v>
      </c>
      <c r="D15509" t="s">
        <v>71057</v>
      </c>
      <c r="E15509" t="s">
        <v>71058</v>
      </c>
      <c r="F15509" t="s">
        <v>71059</v>
      </c>
      <c r="G15509" t="s">
        <v>615</v>
      </c>
      <c r="H15509">
        <v>6108</v>
      </c>
      <c r="I15509" t="s">
        <v>30</v>
      </c>
      <c r="J15509" t="s">
        <v>162</v>
      </c>
      <c r="K15509" t="s">
        <v>854</v>
      </c>
      <c r="N15509" t="s">
        <v>13487</v>
      </c>
      <c r="O15509" t="s">
        <v>71060</v>
      </c>
      <c r="Q15509">
        <v>0</v>
      </c>
      <c r="R15509">
        <v>215</v>
      </c>
      <c r="S15509">
        <v>0</v>
      </c>
      <c r="T15509" t="s">
        <v>71061</v>
      </c>
    </row>
    <row r="15510" spans="1:20" customFormat="1" ht="15" x14ac:dyDescent="0.25">
      <c r="A15510" t="s">
        <v>24</v>
      </c>
      <c r="B15510" t="s">
        <v>2180</v>
      </c>
      <c r="C15510" t="str">
        <f>"A0099882"</f>
        <v>A0099882</v>
      </c>
      <c r="D15510" t="s">
        <v>71062</v>
      </c>
      <c r="E15510" t="s">
        <v>71063</v>
      </c>
      <c r="F15510" t="s">
        <v>11700</v>
      </c>
      <c r="G15510" t="s">
        <v>880</v>
      </c>
      <c r="H15510">
        <v>38133</v>
      </c>
      <c r="I15510" t="s">
        <v>30</v>
      </c>
      <c r="J15510" t="s">
        <v>162</v>
      </c>
      <c r="K15510" t="s">
        <v>854</v>
      </c>
      <c r="N15510" t="s">
        <v>67354</v>
      </c>
      <c r="Q15510">
        <v>0</v>
      </c>
      <c r="R15510">
        <v>133</v>
      </c>
      <c r="S15510">
        <v>0</v>
      </c>
      <c r="T15510" t="s">
        <v>71064</v>
      </c>
    </row>
    <row r="15511" spans="1:20" customFormat="1" ht="15" x14ac:dyDescent="0.25">
      <c r="A15511" t="s">
        <v>24</v>
      </c>
      <c r="B15511" t="s">
        <v>2180</v>
      </c>
      <c r="C15511" t="str">
        <f>"A0098444"</f>
        <v>A0098444</v>
      </c>
      <c r="D15511" t="s">
        <v>71071</v>
      </c>
      <c r="E15511" t="s">
        <v>67051</v>
      </c>
      <c r="F15511" t="s">
        <v>4894</v>
      </c>
      <c r="G15511" t="s">
        <v>1369</v>
      </c>
      <c r="H15511">
        <v>38804</v>
      </c>
      <c r="I15511" t="s">
        <v>30</v>
      </c>
      <c r="J15511" t="s">
        <v>162</v>
      </c>
      <c r="K15511" t="s">
        <v>854</v>
      </c>
      <c r="N15511" t="s">
        <v>71072</v>
      </c>
      <c r="Q15511">
        <v>0</v>
      </c>
      <c r="R15511">
        <v>121</v>
      </c>
      <c r="S15511">
        <v>0</v>
      </c>
      <c r="T15511" t="s">
        <v>67053</v>
      </c>
    </row>
    <row r="15512" spans="1:20" customFormat="1" ht="15" x14ac:dyDescent="0.25">
      <c r="A15512" t="s">
        <v>24</v>
      </c>
      <c r="B15512" t="s">
        <v>1317</v>
      </c>
      <c r="C15512" t="str">
        <f>"SF02551"</f>
        <v>SF02551</v>
      </c>
      <c r="D15512" t="s">
        <v>71073</v>
      </c>
      <c r="E15512" t="s">
        <v>71074</v>
      </c>
      <c r="F15512" t="s">
        <v>71075</v>
      </c>
      <c r="G15512" t="s">
        <v>76</v>
      </c>
      <c r="H15512">
        <v>98027</v>
      </c>
      <c r="I15512" t="s">
        <v>30</v>
      </c>
      <c r="J15512" t="s">
        <v>162</v>
      </c>
      <c r="K15512" t="s">
        <v>854</v>
      </c>
      <c r="N15512" t="s">
        <v>71076</v>
      </c>
      <c r="Q15512">
        <v>0</v>
      </c>
      <c r="R15512">
        <v>100</v>
      </c>
      <c r="S15512">
        <v>0</v>
      </c>
      <c r="T15512" t="s">
        <v>71077</v>
      </c>
    </row>
    <row r="15513" spans="1:20" customFormat="1" ht="15" x14ac:dyDescent="0.25">
      <c r="A15513" t="s">
        <v>24</v>
      </c>
      <c r="B15513" t="s">
        <v>1098</v>
      </c>
      <c r="C15513" t="str">
        <f>"A0087646"</f>
        <v>A0087646</v>
      </c>
      <c r="D15513" t="s">
        <v>71078</v>
      </c>
      <c r="E15513" t="s">
        <v>71079</v>
      </c>
      <c r="F15513" t="s">
        <v>4645</v>
      </c>
      <c r="G15513" t="s">
        <v>81</v>
      </c>
      <c r="H15513">
        <v>32256</v>
      </c>
      <c r="I15513" t="s">
        <v>30</v>
      </c>
      <c r="J15513" t="s">
        <v>162</v>
      </c>
      <c r="K15513" t="s">
        <v>854</v>
      </c>
      <c r="N15513" t="s">
        <v>71080</v>
      </c>
      <c r="O15513" t="s">
        <v>71081</v>
      </c>
      <c r="Q15513">
        <v>0</v>
      </c>
      <c r="R15513">
        <v>98</v>
      </c>
      <c r="S15513">
        <v>0</v>
      </c>
      <c r="T15513" t="s">
        <v>71082</v>
      </c>
    </row>
    <row r="15514" spans="1:20" customFormat="1" ht="15" x14ac:dyDescent="0.25">
      <c r="A15514" t="s">
        <v>24</v>
      </c>
      <c r="B15514" t="s">
        <v>33398</v>
      </c>
      <c r="C15514" t="str">
        <f>"A0098841"</f>
        <v>A0098841</v>
      </c>
      <c r="D15514" t="s">
        <v>71083</v>
      </c>
      <c r="E15514" t="s">
        <v>71084</v>
      </c>
      <c r="F15514" t="s">
        <v>60774</v>
      </c>
      <c r="G15514" t="s">
        <v>880</v>
      </c>
      <c r="H15514">
        <v>37604</v>
      </c>
      <c r="I15514" t="s">
        <v>30</v>
      </c>
      <c r="J15514" t="s">
        <v>162</v>
      </c>
      <c r="K15514" t="s">
        <v>854</v>
      </c>
      <c r="N15514" t="s">
        <v>71085</v>
      </c>
      <c r="Q15514">
        <v>0</v>
      </c>
      <c r="R15514">
        <v>206</v>
      </c>
      <c r="S15514">
        <v>0</v>
      </c>
      <c r="T15514" t="s">
        <v>71086</v>
      </c>
    </row>
    <row r="15515" spans="1:20" customFormat="1" ht="15" x14ac:dyDescent="0.25">
      <c r="A15515" t="s">
        <v>24</v>
      </c>
      <c r="B15515" t="s">
        <v>3628</v>
      </c>
      <c r="C15515" t="str">
        <f>"A0059239"</f>
        <v>A0059239</v>
      </c>
      <c r="D15515" t="s">
        <v>53768</v>
      </c>
      <c r="E15515" t="s">
        <v>53769</v>
      </c>
      <c r="F15515" t="s">
        <v>53770</v>
      </c>
      <c r="G15515" t="s">
        <v>433</v>
      </c>
      <c r="H15515">
        <v>83706</v>
      </c>
      <c r="I15515" t="s">
        <v>30</v>
      </c>
      <c r="J15515" t="s">
        <v>31</v>
      </c>
      <c r="K15515" t="s">
        <v>255</v>
      </c>
      <c r="N15515" t="s">
        <v>53771</v>
      </c>
      <c r="O15515" t="s">
        <v>53772</v>
      </c>
      <c r="Q15515">
        <v>0</v>
      </c>
      <c r="R15515">
        <v>230</v>
      </c>
      <c r="S15515">
        <v>0</v>
      </c>
      <c r="T15515" t="s">
        <v>53773</v>
      </c>
    </row>
    <row r="15516" spans="1:20" customFormat="1" ht="15" x14ac:dyDescent="0.25">
      <c r="A15516" t="s">
        <v>24</v>
      </c>
      <c r="B15516" t="s">
        <v>3159</v>
      </c>
      <c r="C15516" t="str">
        <f>"SF02823"</f>
        <v>SF02823</v>
      </c>
      <c r="D15516" t="s">
        <v>71092</v>
      </c>
      <c r="E15516" t="s">
        <v>71093</v>
      </c>
      <c r="F15516" t="s">
        <v>10530</v>
      </c>
      <c r="G15516" t="s">
        <v>81</v>
      </c>
      <c r="H15516">
        <v>32830</v>
      </c>
      <c r="I15516" t="s">
        <v>30</v>
      </c>
      <c r="J15516" t="s">
        <v>162</v>
      </c>
      <c r="K15516" t="s">
        <v>854</v>
      </c>
      <c r="N15516" t="s">
        <v>71094</v>
      </c>
      <c r="O15516" t="s">
        <v>71095</v>
      </c>
      <c r="Q15516">
        <v>0</v>
      </c>
      <c r="R15516">
        <v>507</v>
      </c>
      <c r="S15516">
        <v>0</v>
      </c>
      <c r="T15516" t="s">
        <v>71096</v>
      </c>
    </row>
    <row r="15517" spans="1:20" customFormat="1" ht="15" x14ac:dyDescent="0.25">
      <c r="A15517" t="s">
        <v>24</v>
      </c>
      <c r="B15517" t="s">
        <v>3628</v>
      </c>
      <c r="C15517" t="str">
        <f>"A0064679"</f>
        <v>A0064679</v>
      </c>
      <c r="D15517" t="s">
        <v>53780</v>
      </c>
      <c r="E15517" t="s">
        <v>53781</v>
      </c>
      <c r="F15517" t="s">
        <v>2420</v>
      </c>
      <c r="G15517" t="s">
        <v>76</v>
      </c>
      <c r="H15517">
        <v>98032</v>
      </c>
      <c r="I15517" t="s">
        <v>30</v>
      </c>
      <c r="J15517" t="s">
        <v>31</v>
      </c>
      <c r="K15517" t="s">
        <v>222</v>
      </c>
      <c r="N15517" t="s">
        <v>53782</v>
      </c>
      <c r="O15517" t="s">
        <v>53783</v>
      </c>
      <c r="Q15517">
        <v>0</v>
      </c>
      <c r="R15517">
        <v>144</v>
      </c>
      <c r="S15517">
        <v>0</v>
      </c>
      <c r="T15517" t="s">
        <v>53784</v>
      </c>
    </row>
    <row r="15518" spans="1:20" customFormat="1" ht="15" x14ac:dyDescent="0.25">
      <c r="A15518" t="s">
        <v>24</v>
      </c>
      <c r="B15518" t="s">
        <v>3628</v>
      </c>
      <c r="C15518" t="str">
        <f>"A0064678"</f>
        <v>A0064678</v>
      </c>
      <c r="D15518" t="s">
        <v>53785</v>
      </c>
      <c r="E15518" t="s">
        <v>53786</v>
      </c>
      <c r="F15518" t="s">
        <v>1047</v>
      </c>
      <c r="G15518" t="s">
        <v>76</v>
      </c>
      <c r="H15518">
        <v>98275</v>
      </c>
      <c r="I15518" t="s">
        <v>30</v>
      </c>
      <c r="J15518" t="s">
        <v>31</v>
      </c>
      <c r="K15518" t="s">
        <v>222</v>
      </c>
      <c r="N15518" t="s">
        <v>53787</v>
      </c>
      <c r="O15518" t="s">
        <v>53788</v>
      </c>
      <c r="Q15518">
        <v>0</v>
      </c>
      <c r="R15518">
        <v>128</v>
      </c>
      <c r="S15518">
        <v>0</v>
      </c>
      <c r="T15518" t="s">
        <v>53789</v>
      </c>
    </row>
    <row r="15519" spans="1:20" customFormat="1" ht="15" x14ac:dyDescent="0.25">
      <c r="A15519" t="s">
        <v>24</v>
      </c>
      <c r="B15519" t="s">
        <v>3628</v>
      </c>
      <c r="C15519" t="str">
        <f>"A0064680"</f>
        <v>A0064680</v>
      </c>
      <c r="D15519" t="s">
        <v>53790</v>
      </c>
      <c r="E15519" t="s">
        <v>53791</v>
      </c>
      <c r="F15519" t="s">
        <v>8019</v>
      </c>
      <c r="G15519" t="s">
        <v>47</v>
      </c>
      <c r="H15519">
        <v>97124</v>
      </c>
      <c r="I15519" t="s">
        <v>30</v>
      </c>
      <c r="J15519" t="s">
        <v>31</v>
      </c>
      <c r="K15519" t="s">
        <v>222</v>
      </c>
      <c r="N15519" t="s">
        <v>53792</v>
      </c>
      <c r="O15519" t="s">
        <v>53793</v>
      </c>
      <c r="Q15519">
        <v>0</v>
      </c>
      <c r="R15519">
        <v>136</v>
      </c>
      <c r="S15519">
        <v>0</v>
      </c>
      <c r="T15519" t="s">
        <v>53794</v>
      </c>
    </row>
    <row r="15520" spans="1:20" customFormat="1" ht="15" x14ac:dyDescent="0.25">
      <c r="A15520" t="s">
        <v>24</v>
      </c>
      <c r="B15520" t="s">
        <v>762</v>
      </c>
      <c r="C15520" t="str">
        <f>"A0059870"</f>
        <v>A0059870</v>
      </c>
      <c r="D15520" t="s">
        <v>71097</v>
      </c>
      <c r="E15520" t="s">
        <v>71098</v>
      </c>
      <c r="F15520" t="s">
        <v>4829</v>
      </c>
      <c r="G15520" t="s">
        <v>52</v>
      </c>
      <c r="H15520">
        <v>75039</v>
      </c>
      <c r="I15520" t="s">
        <v>30</v>
      </c>
      <c r="J15520" t="s">
        <v>162</v>
      </c>
      <c r="K15520" t="s">
        <v>854</v>
      </c>
      <c r="N15520" t="s">
        <v>69272</v>
      </c>
      <c r="O15520" t="s">
        <v>71099</v>
      </c>
      <c r="Q15520">
        <v>0</v>
      </c>
      <c r="R15520">
        <v>168</v>
      </c>
      <c r="S15520">
        <v>0</v>
      </c>
      <c r="T15520" t="s">
        <v>71100</v>
      </c>
    </row>
    <row r="15521" spans="1:20" customFormat="1" ht="15" x14ac:dyDescent="0.25">
      <c r="A15521" t="s">
        <v>24</v>
      </c>
      <c r="B15521" t="s">
        <v>193</v>
      </c>
      <c r="C15521" t="str">
        <f>"A0094059"</f>
        <v>A0094059</v>
      </c>
      <c r="D15521" t="s">
        <v>53799</v>
      </c>
      <c r="E15521" t="s">
        <v>53800</v>
      </c>
      <c r="F15521" t="s">
        <v>53801</v>
      </c>
      <c r="G15521" t="s">
        <v>52</v>
      </c>
      <c r="H15521">
        <v>75056</v>
      </c>
      <c r="I15521" t="s">
        <v>30</v>
      </c>
      <c r="J15521" t="s">
        <v>31</v>
      </c>
      <c r="K15521" t="s">
        <v>296</v>
      </c>
      <c r="N15521" t="s">
        <v>53802</v>
      </c>
      <c r="O15521" t="s">
        <v>53803</v>
      </c>
      <c r="Q15521">
        <v>0</v>
      </c>
      <c r="R15521">
        <v>69</v>
      </c>
      <c r="S15521">
        <v>0</v>
      </c>
      <c r="T15521" t="s">
        <v>53804</v>
      </c>
    </row>
    <row r="15522" spans="1:20" customFormat="1" ht="15" x14ac:dyDescent="0.25">
      <c r="A15522" t="s">
        <v>24</v>
      </c>
      <c r="B15522" t="s">
        <v>55128</v>
      </c>
      <c r="C15522" t="str">
        <f>"A0100063"</f>
        <v>A0100063</v>
      </c>
      <c r="D15522" t="s">
        <v>71106</v>
      </c>
      <c r="E15522" t="s">
        <v>71107</v>
      </c>
      <c r="F15522" t="s">
        <v>3041</v>
      </c>
      <c r="G15522" t="s">
        <v>840</v>
      </c>
      <c r="H15522">
        <v>40509</v>
      </c>
      <c r="I15522" t="s">
        <v>30</v>
      </c>
      <c r="J15522" t="s">
        <v>162</v>
      </c>
      <c r="K15522" t="s">
        <v>854</v>
      </c>
      <c r="N15522" t="s">
        <v>71108</v>
      </c>
      <c r="O15522" t="s">
        <v>61870</v>
      </c>
      <c r="Q15522">
        <v>0</v>
      </c>
      <c r="R15522">
        <v>123</v>
      </c>
      <c r="S15522">
        <v>0</v>
      </c>
      <c r="T15522" t="s">
        <v>71109</v>
      </c>
    </row>
    <row r="15523" spans="1:20" customFormat="1" ht="15" x14ac:dyDescent="0.25">
      <c r="A15523" t="s">
        <v>24</v>
      </c>
      <c r="B15523" t="s">
        <v>34738</v>
      </c>
      <c r="C15523" t="str">
        <f>"88HI035"</f>
        <v>88HI035</v>
      </c>
      <c r="D15523" t="s">
        <v>71110</v>
      </c>
      <c r="E15523" t="s">
        <v>71111</v>
      </c>
      <c r="F15523" t="s">
        <v>16670</v>
      </c>
      <c r="G15523" t="s">
        <v>214</v>
      </c>
      <c r="H15523">
        <v>28358</v>
      </c>
      <c r="I15523" t="s">
        <v>30</v>
      </c>
      <c r="J15523" t="s">
        <v>162</v>
      </c>
      <c r="K15523" t="s">
        <v>854</v>
      </c>
      <c r="N15523" t="s">
        <v>71112</v>
      </c>
      <c r="Q15523">
        <v>0</v>
      </c>
      <c r="R15523">
        <v>107</v>
      </c>
      <c r="S15523">
        <v>0</v>
      </c>
      <c r="T15523" t="s">
        <v>71113</v>
      </c>
    </row>
    <row r="15524" spans="1:20" customFormat="1" ht="15" x14ac:dyDescent="0.25">
      <c r="A15524" t="s">
        <v>24</v>
      </c>
      <c r="B15524" t="s">
        <v>976</v>
      </c>
      <c r="C15524" t="str">
        <f>"SF03165"</f>
        <v>SF03165</v>
      </c>
      <c r="D15524" t="s">
        <v>71114</v>
      </c>
      <c r="E15524" t="s">
        <v>71115</v>
      </c>
      <c r="F15524" t="s">
        <v>64612</v>
      </c>
      <c r="G15524" t="s">
        <v>899</v>
      </c>
      <c r="H15524">
        <v>1752</v>
      </c>
      <c r="I15524" t="s">
        <v>30</v>
      </c>
      <c r="J15524" t="s">
        <v>162</v>
      </c>
      <c r="K15524" t="s">
        <v>854</v>
      </c>
      <c r="N15524" t="s">
        <v>71116</v>
      </c>
      <c r="Q15524">
        <v>0</v>
      </c>
      <c r="R15524">
        <v>173</v>
      </c>
      <c r="S15524">
        <v>0</v>
      </c>
      <c r="T15524" t="s">
        <v>71117</v>
      </c>
    </row>
    <row r="15525" spans="1:20" customFormat="1" ht="15" x14ac:dyDescent="0.25">
      <c r="A15525" t="s">
        <v>24</v>
      </c>
      <c r="B15525" t="s">
        <v>25</v>
      </c>
      <c r="C15525" t="str">
        <f>"SF03986"</f>
        <v>SF03986</v>
      </c>
      <c r="D15525" t="s">
        <v>71118</v>
      </c>
      <c r="E15525" t="s">
        <v>71119</v>
      </c>
      <c r="F15525" t="s">
        <v>20171</v>
      </c>
      <c r="G15525" t="s">
        <v>507</v>
      </c>
      <c r="H15525">
        <v>25401</v>
      </c>
      <c r="I15525" t="s">
        <v>30</v>
      </c>
      <c r="J15525" t="s">
        <v>162</v>
      </c>
      <c r="K15525" t="s">
        <v>854</v>
      </c>
      <c r="N15525" t="s">
        <v>71120</v>
      </c>
      <c r="Q15525">
        <v>0</v>
      </c>
      <c r="R15525">
        <v>120</v>
      </c>
      <c r="S15525">
        <v>0</v>
      </c>
      <c r="T15525" t="s">
        <v>71121</v>
      </c>
    </row>
    <row r="15526" spans="1:20" customFormat="1" ht="15" x14ac:dyDescent="0.25">
      <c r="A15526" t="s">
        <v>24</v>
      </c>
      <c r="B15526" t="s">
        <v>63672</v>
      </c>
      <c r="C15526" t="str">
        <f>"SF07884"</f>
        <v>SF07884</v>
      </c>
      <c r="D15526" t="s">
        <v>71122</v>
      </c>
      <c r="E15526" t="s">
        <v>71123</v>
      </c>
      <c r="F15526" t="s">
        <v>1501</v>
      </c>
      <c r="G15526" t="s">
        <v>880</v>
      </c>
      <c r="H15526">
        <v>38103</v>
      </c>
      <c r="I15526" t="s">
        <v>30</v>
      </c>
      <c r="J15526" t="s">
        <v>162</v>
      </c>
      <c r="K15526" t="s">
        <v>854</v>
      </c>
      <c r="N15526" t="s">
        <v>71124</v>
      </c>
      <c r="Q15526">
        <v>0</v>
      </c>
      <c r="R15526">
        <v>192</v>
      </c>
      <c r="S15526">
        <v>0</v>
      </c>
      <c r="T15526" t="s">
        <v>71125</v>
      </c>
    </row>
    <row r="15527" spans="1:20" customFormat="1" ht="15" x14ac:dyDescent="0.25">
      <c r="A15527" t="s">
        <v>24</v>
      </c>
      <c r="B15527" t="s">
        <v>193</v>
      </c>
      <c r="C15527" t="str">
        <f>"A0098574"</f>
        <v>A0098574</v>
      </c>
      <c r="D15527" t="s">
        <v>53827</v>
      </c>
      <c r="E15527" t="s">
        <v>53828</v>
      </c>
      <c r="F15527" t="s">
        <v>4909</v>
      </c>
      <c r="G15527" t="s">
        <v>840</v>
      </c>
      <c r="H15527">
        <v>42728</v>
      </c>
      <c r="I15527" t="s">
        <v>30</v>
      </c>
      <c r="J15527" t="s">
        <v>145</v>
      </c>
      <c r="K15527" t="s">
        <v>302</v>
      </c>
      <c r="N15527" t="s">
        <v>53829</v>
      </c>
      <c r="Q15527">
        <v>0</v>
      </c>
      <c r="R15527">
        <v>66</v>
      </c>
      <c r="S15527">
        <v>0</v>
      </c>
      <c r="T15527" t="s">
        <v>53830</v>
      </c>
    </row>
    <row r="15528" spans="1:20" customFormat="1" ht="15" x14ac:dyDescent="0.25">
      <c r="A15528" t="s">
        <v>24</v>
      </c>
      <c r="B15528" t="s">
        <v>4400</v>
      </c>
      <c r="C15528" t="str">
        <f>"A0069163"</f>
        <v>A0069163</v>
      </c>
      <c r="D15528" t="s">
        <v>71126</v>
      </c>
      <c r="E15528" t="s">
        <v>71127</v>
      </c>
      <c r="F15528" t="s">
        <v>1889</v>
      </c>
      <c r="G15528" t="s">
        <v>81</v>
      </c>
      <c r="H15528">
        <v>33172</v>
      </c>
      <c r="I15528" t="s">
        <v>30</v>
      </c>
      <c r="J15528" t="s">
        <v>162</v>
      </c>
      <c r="K15528" t="s">
        <v>854</v>
      </c>
      <c r="N15528" t="s">
        <v>71128</v>
      </c>
      <c r="Q15528">
        <v>0</v>
      </c>
      <c r="R15528">
        <v>120</v>
      </c>
      <c r="S15528">
        <v>0</v>
      </c>
      <c r="T15528" t="s">
        <v>71129</v>
      </c>
    </row>
    <row r="15529" spans="1:20" customFormat="1" ht="15" x14ac:dyDescent="0.25">
      <c r="A15529" t="s">
        <v>24</v>
      </c>
      <c r="B15529" t="s">
        <v>2910</v>
      </c>
      <c r="C15529" t="str">
        <f>"A0095387"</f>
        <v>A0095387</v>
      </c>
      <c r="D15529" t="s">
        <v>71130</v>
      </c>
      <c r="E15529" t="s">
        <v>71131</v>
      </c>
      <c r="F15529" t="s">
        <v>5999</v>
      </c>
      <c r="G15529" t="s">
        <v>71</v>
      </c>
      <c r="H15529">
        <v>53212</v>
      </c>
      <c r="I15529" t="s">
        <v>30</v>
      </c>
      <c r="J15529" t="s">
        <v>162</v>
      </c>
      <c r="K15529" t="s">
        <v>854</v>
      </c>
      <c r="Q15529">
        <v>0</v>
      </c>
      <c r="R15529">
        <v>160</v>
      </c>
      <c r="S15529">
        <v>0</v>
      </c>
      <c r="T15529" t="s">
        <v>71132</v>
      </c>
    </row>
    <row r="15530" spans="1:20" customFormat="1" ht="15" x14ac:dyDescent="0.25">
      <c r="A15530" t="s">
        <v>24</v>
      </c>
      <c r="B15530" t="s">
        <v>8405</v>
      </c>
      <c r="C15530" t="str">
        <f>"A0165458"</f>
        <v>A0165458</v>
      </c>
      <c r="D15530" t="s">
        <v>71133</v>
      </c>
      <c r="E15530" t="s">
        <v>71134</v>
      </c>
      <c r="F15530" t="s">
        <v>61889</v>
      </c>
      <c r="G15530" t="s">
        <v>381</v>
      </c>
      <c r="H15530">
        <v>46545</v>
      </c>
      <c r="I15530" t="s">
        <v>30</v>
      </c>
      <c r="J15530" t="s">
        <v>162</v>
      </c>
      <c r="K15530" t="s">
        <v>854</v>
      </c>
      <c r="N15530" t="s">
        <v>71135</v>
      </c>
      <c r="O15530" t="s">
        <v>71136</v>
      </c>
      <c r="Q15530">
        <v>0</v>
      </c>
      <c r="R15530">
        <v>115</v>
      </c>
      <c r="S15530">
        <v>0</v>
      </c>
      <c r="T15530" t="s">
        <v>71137</v>
      </c>
    </row>
    <row r="15531" spans="1:20" customFormat="1" ht="15" x14ac:dyDescent="0.25">
      <c r="A15531" t="s">
        <v>24</v>
      </c>
      <c r="B15531" t="s">
        <v>1528</v>
      </c>
      <c r="C15531" t="str">
        <f>"A0167510"</f>
        <v>A0167510</v>
      </c>
      <c r="D15531" t="s">
        <v>53848</v>
      </c>
      <c r="E15531" t="s">
        <v>53849</v>
      </c>
      <c r="F15531" t="s">
        <v>2900</v>
      </c>
      <c r="G15531" t="s">
        <v>76</v>
      </c>
      <c r="H15531">
        <v>98101</v>
      </c>
      <c r="I15531" t="s">
        <v>30</v>
      </c>
      <c r="J15531" t="s">
        <v>2272</v>
      </c>
      <c r="K15531" t="s">
        <v>163</v>
      </c>
      <c r="N15531" t="s">
        <v>53850</v>
      </c>
      <c r="Q15531">
        <v>0</v>
      </c>
      <c r="R15531">
        <v>262</v>
      </c>
      <c r="S15531">
        <v>0</v>
      </c>
      <c r="T15531" t="s">
        <v>53851</v>
      </c>
    </row>
    <row r="15532" spans="1:20" customFormat="1" ht="15" x14ac:dyDescent="0.25">
      <c r="A15532" t="s">
        <v>24</v>
      </c>
      <c r="B15532" t="s">
        <v>53837</v>
      </c>
      <c r="C15532" t="str">
        <f>"432SW"</f>
        <v>432SW</v>
      </c>
      <c r="D15532" t="s">
        <v>53852</v>
      </c>
      <c r="E15532" t="s">
        <v>53853</v>
      </c>
      <c r="F15532" t="s">
        <v>53854</v>
      </c>
      <c r="G15532" t="s">
        <v>1369</v>
      </c>
      <c r="H15532">
        <v>39503</v>
      </c>
      <c r="I15532" t="s">
        <v>30</v>
      </c>
      <c r="J15532" t="s">
        <v>31</v>
      </c>
      <c r="K15532" t="s">
        <v>32</v>
      </c>
      <c r="N15532" t="s">
        <v>53855</v>
      </c>
      <c r="Q15532">
        <v>0</v>
      </c>
      <c r="R15532">
        <v>79</v>
      </c>
      <c r="S15532">
        <v>0</v>
      </c>
      <c r="T15532" t="s">
        <v>53856</v>
      </c>
    </row>
    <row r="15533" spans="1:20" customFormat="1" ht="15" hidden="1" x14ac:dyDescent="0.25">
      <c r="A15533" t="s">
        <v>24</v>
      </c>
      <c r="B15533" t="s">
        <v>53857</v>
      </c>
      <c r="C15533" t="str">
        <f>"A0093488"</f>
        <v>A0093488</v>
      </c>
      <c r="D15533" t="s">
        <v>53858</v>
      </c>
      <c r="E15533" t="s">
        <v>53859</v>
      </c>
      <c r="F15533" t="s">
        <v>14303</v>
      </c>
      <c r="G15533" t="s">
        <v>9901</v>
      </c>
      <c r="H15533">
        <v>907</v>
      </c>
      <c r="I15533" t="s">
        <v>9902</v>
      </c>
      <c r="J15533" t="s">
        <v>171</v>
      </c>
      <c r="K15533" t="s">
        <v>2972</v>
      </c>
      <c r="N15533" t="s">
        <v>53860</v>
      </c>
      <c r="Q15533">
        <v>0</v>
      </c>
      <c r="R15533">
        <v>126</v>
      </c>
      <c r="S15533">
        <v>0</v>
      </c>
      <c r="T15533" t="s">
        <v>53861</v>
      </c>
    </row>
    <row r="15534" spans="1:20" customFormat="1" ht="15" hidden="1" x14ac:dyDescent="0.25">
      <c r="A15534" t="s">
        <v>24</v>
      </c>
      <c r="B15534" t="s">
        <v>53857</v>
      </c>
      <c r="C15534" t="str">
        <f>"A0093181"</f>
        <v>A0093181</v>
      </c>
      <c r="D15534" t="s">
        <v>53862</v>
      </c>
      <c r="E15534" t="s">
        <v>53863</v>
      </c>
      <c r="F15534" t="s">
        <v>53864</v>
      </c>
      <c r="G15534" t="s">
        <v>9901</v>
      </c>
      <c r="H15534">
        <v>674</v>
      </c>
      <c r="I15534" t="s">
        <v>9902</v>
      </c>
      <c r="J15534" t="s">
        <v>171</v>
      </c>
      <c r="K15534" t="s">
        <v>1202</v>
      </c>
      <c r="N15534" t="s">
        <v>53860</v>
      </c>
      <c r="Q15534">
        <v>0</v>
      </c>
      <c r="R15534">
        <v>104</v>
      </c>
      <c r="S15534">
        <v>0</v>
      </c>
      <c r="T15534" t="s">
        <v>53865</v>
      </c>
    </row>
    <row r="15535" spans="1:20" customFormat="1" ht="15" hidden="1" x14ac:dyDescent="0.25">
      <c r="A15535" t="s">
        <v>24</v>
      </c>
      <c r="B15535" t="s">
        <v>53857</v>
      </c>
      <c r="C15535" t="str">
        <f>"A0092460"</f>
        <v>A0092460</v>
      </c>
      <c r="D15535" t="s">
        <v>53866</v>
      </c>
      <c r="E15535" t="s">
        <v>53867</v>
      </c>
      <c r="F15535" t="s">
        <v>53868</v>
      </c>
      <c r="G15535" t="s">
        <v>9901</v>
      </c>
      <c r="H15535">
        <v>961</v>
      </c>
      <c r="I15535" t="s">
        <v>9902</v>
      </c>
      <c r="J15535" t="s">
        <v>171</v>
      </c>
      <c r="K15535" t="s">
        <v>1202</v>
      </c>
      <c r="N15535" t="s">
        <v>53860</v>
      </c>
      <c r="Q15535">
        <v>0</v>
      </c>
      <c r="R15535">
        <v>156</v>
      </c>
      <c r="S15535">
        <v>0</v>
      </c>
      <c r="T15535" t="s">
        <v>53869</v>
      </c>
    </row>
    <row r="15536" spans="1:20" customFormat="1" ht="15" hidden="1" x14ac:dyDescent="0.25">
      <c r="A15536" t="s">
        <v>24</v>
      </c>
      <c r="B15536" t="s">
        <v>53857</v>
      </c>
      <c r="C15536" t="str">
        <f>"A0095087"</f>
        <v>A0095087</v>
      </c>
      <c r="D15536" t="s">
        <v>53870</v>
      </c>
      <c r="E15536" t="s">
        <v>53871</v>
      </c>
      <c r="F15536" t="s">
        <v>14303</v>
      </c>
      <c r="G15536" t="s">
        <v>9901</v>
      </c>
      <c r="H15536">
        <v>907</v>
      </c>
      <c r="I15536" t="s">
        <v>9902</v>
      </c>
      <c r="J15536" t="s">
        <v>171</v>
      </c>
      <c r="K15536" t="s">
        <v>1202</v>
      </c>
      <c r="N15536" t="s">
        <v>53860</v>
      </c>
      <c r="O15536" t="s">
        <v>53872</v>
      </c>
      <c r="Q15536">
        <v>0</v>
      </c>
      <c r="R15536">
        <v>149</v>
      </c>
      <c r="S15536">
        <v>0</v>
      </c>
      <c r="T15536" t="s">
        <v>53873</v>
      </c>
    </row>
    <row r="15537" spans="1:25" customFormat="1" ht="15" x14ac:dyDescent="0.25">
      <c r="A15537" t="s">
        <v>24</v>
      </c>
      <c r="B15537" t="s">
        <v>53874</v>
      </c>
      <c r="C15537" t="str">
        <f>"A0089322"</f>
        <v>A0089322</v>
      </c>
      <c r="D15537" t="s">
        <v>53875</v>
      </c>
      <c r="E15537" t="s">
        <v>53876</v>
      </c>
      <c r="F15537" t="s">
        <v>53877</v>
      </c>
      <c r="G15537" t="s">
        <v>880</v>
      </c>
      <c r="H15537">
        <v>37764</v>
      </c>
      <c r="I15537" t="s">
        <v>30</v>
      </c>
      <c r="J15537" t="s">
        <v>31</v>
      </c>
      <c r="K15537" t="s">
        <v>282</v>
      </c>
      <c r="N15537" t="s">
        <v>53878</v>
      </c>
      <c r="O15537" t="s">
        <v>53879</v>
      </c>
      <c r="Q15537">
        <v>0</v>
      </c>
      <c r="R15537">
        <v>91</v>
      </c>
      <c r="S15537">
        <v>0</v>
      </c>
      <c r="T15537" t="s">
        <v>53880</v>
      </c>
    </row>
    <row r="15538" spans="1:25" customFormat="1" ht="15" x14ac:dyDescent="0.25">
      <c r="A15538" t="s">
        <v>24</v>
      </c>
      <c r="B15538" t="s">
        <v>1577</v>
      </c>
      <c r="C15538" t="str">
        <f>"A0158088"</f>
        <v>A0158088</v>
      </c>
      <c r="D15538" t="s">
        <v>53881</v>
      </c>
      <c r="E15538" t="s">
        <v>53882</v>
      </c>
      <c r="F15538" t="s">
        <v>53883</v>
      </c>
      <c r="G15538" t="s">
        <v>1706</v>
      </c>
      <c r="H15538">
        <v>36608</v>
      </c>
      <c r="I15538" t="s">
        <v>30</v>
      </c>
      <c r="J15538" t="s">
        <v>145</v>
      </c>
      <c r="K15538" t="s">
        <v>1353</v>
      </c>
      <c r="N15538" t="s">
        <v>53884</v>
      </c>
      <c r="Q15538">
        <v>0</v>
      </c>
      <c r="R15538">
        <v>60</v>
      </c>
      <c r="S15538">
        <v>0</v>
      </c>
      <c r="T15538" t="s">
        <v>53885</v>
      </c>
    </row>
    <row r="15539" spans="1:25" customFormat="1" ht="15" x14ac:dyDescent="0.25">
      <c r="A15539" t="s">
        <v>24</v>
      </c>
      <c r="B15539" t="s">
        <v>1020</v>
      </c>
      <c r="C15539" t="str">
        <f>"A0089093"</f>
        <v>A0089093</v>
      </c>
      <c r="D15539" t="s">
        <v>71144</v>
      </c>
      <c r="E15539" t="s">
        <v>71145</v>
      </c>
      <c r="F15539" t="s">
        <v>997</v>
      </c>
      <c r="G15539" t="s">
        <v>99</v>
      </c>
      <c r="H15539">
        <v>10038</v>
      </c>
      <c r="I15539" t="s">
        <v>30</v>
      </c>
      <c r="J15539" t="s">
        <v>162</v>
      </c>
      <c r="K15539" t="s">
        <v>854</v>
      </c>
      <c r="N15539" t="s">
        <v>71146</v>
      </c>
      <c r="O15539" t="s">
        <v>71147</v>
      </c>
      <c r="Q15539">
        <v>0</v>
      </c>
      <c r="R15539">
        <v>113</v>
      </c>
      <c r="S15539">
        <v>0</v>
      </c>
      <c r="T15539" t="s">
        <v>71148</v>
      </c>
    </row>
    <row r="15540" spans="1:25" customFormat="1" ht="15" x14ac:dyDescent="0.25">
      <c r="A15540" t="s">
        <v>24</v>
      </c>
      <c r="B15540" t="s">
        <v>193</v>
      </c>
      <c r="C15540" t="str">
        <f>"A0153932"</f>
        <v>A0153932</v>
      </c>
      <c r="D15540" t="s">
        <v>53891</v>
      </c>
      <c r="E15540" t="s">
        <v>53892</v>
      </c>
      <c r="F15540" t="s">
        <v>845</v>
      </c>
      <c r="G15540" t="s">
        <v>846</v>
      </c>
      <c r="H15540">
        <v>30305</v>
      </c>
      <c r="I15540" t="s">
        <v>30</v>
      </c>
      <c r="J15540" t="s">
        <v>31</v>
      </c>
      <c r="K15540" t="s">
        <v>1243</v>
      </c>
      <c r="N15540" t="s">
        <v>53893</v>
      </c>
      <c r="O15540" t="s">
        <v>53894</v>
      </c>
      <c r="Q15540">
        <v>0</v>
      </c>
      <c r="R15540">
        <v>102</v>
      </c>
      <c r="S15540">
        <v>0</v>
      </c>
      <c r="T15540" t="s">
        <v>53895</v>
      </c>
    </row>
    <row r="15541" spans="1:25" customFormat="1" ht="15" x14ac:dyDescent="0.25">
      <c r="A15541" t="s">
        <v>24</v>
      </c>
      <c r="B15541" t="s">
        <v>57556</v>
      </c>
      <c r="C15541" t="str">
        <f>"A0158614"</f>
        <v>A0158614</v>
      </c>
      <c r="D15541" t="s">
        <v>71149</v>
      </c>
      <c r="E15541" t="s">
        <v>71150</v>
      </c>
      <c r="F15541" t="s">
        <v>1153</v>
      </c>
      <c r="G15541" t="s">
        <v>338</v>
      </c>
      <c r="H15541">
        <v>7114</v>
      </c>
      <c r="I15541" t="s">
        <v>30</v>
      </c>
      <c r="J15541" t="s">
        <v>162</v>
      </c>
      <c r="K15541" t="s">
        <v>854</v>
      </c>
      <c r="N15541" t="s">
        <v>71151</v>
      </c>
      <c r="O15541" t="s">
        <v>71152</v>
      </c>
      <c r="Q15541">
        <v>0</v>
      </c>
      <c r="R15541">
        <v>191</v>
      </c>
      <c r="S15541">
        <v>0</v>
      </c>
      <c r="T15541" t="s">
        <v>71153</v>
      </c>
    </row>
    <row r="15542" spans="1:25" customFormat="1" ht="15" x14ac:dyDescent="0.25">
      <c r="A15542" t="s">
        <v>24</v>
      </c>
      <c r="B15542" t="s">
        <v>63120</v>
      </c>
      <c r="C15542" t="str">
        <f>"A0057157"</f>
        <v>A0057157</v>
      </c>
      <c r="D15542" t="s">
        <v>71154</v>
      </c>
      <c r="E15542" t="s">
        <v>71155</v>
      </c>
      <c r="F15542" t="s">
        <v>2598</v>
      </c>
      <c r="G15542" t="s">
        <v>99</v>
      </c>
      <c r="H15542">
        <v>14303</v>
      </c>
      <c r="I15542" t="s">
        <v>30</v>
      </c>
      <c r="J15542" t="s">
        <v>162</v>
      </c>
      <c r="K15542" t="s">
        <v>854</v>
      </c>
      <c r="N15542" t="s">
        <v>71156</v>
      </c>
      <c r="O15542" t="s">
        <v>71157</v>
      </c>
      <c r="Q15542">
        <v>0</v>
      </c>
      <c r="R15542">
        <v>189</v>
      </c>
      <c r="S15542">
        <v>0</v>
      </c>
      <c r="T15542" t="s">
        <v>71158</v>
      </c>
    </row>
    <row r="15543" spans="1:25" customFormat="1" ht="15" x14ac:dyDescent="0.25">
      <c r="A15543" t="s">
        <v>24</v>
      </c>
      <c r="B15543" t="s">
        <v>13679</v>
      </c>
      <c r="C15543" t="str">
        <f>"A0068189"</f>
        <v>A0068189</v>
      </c>
      <c r="D15543" t="s">
        <v>53903</v>
      </c>
      <c r="E15543" t="s">
        <v>53904</v>
      </c>
      <c r="F15543" t="s">
        <v>3059</v>
      </c>
      <c r="G15543" t="s">
        <v>52</v>
      </c>
      <c r="H15543">
        <v>78664</v>
      </c>
      <c r="I15543" t="s">
        <v>30</v>
      </c>
      <c r="J15543" t="s">
        <v>31</v>
      </c>
      <c r="K15543" t="s">
        <v>198</v>
      </c>
      <c r="N15543" t="s">
        <v>53905</v>
      </c>
      <c r="O15543" t="s">
        <v>53825</v>
      </c>
      <c r="Q15543">
        <v>0</v>
      </c>
      <c r="R15543">
        <v>96</v>
      </c>
      <c r="S15543">
        <v>0</v>
      </c>
      <c r="T15543" t="s">
        <v>53906</v>
      </c>
    </row>
    <row r="15544" spans="1:25" customFormat="1" ht="15" x14ac:dyDescent="0.25">
      <c r="A15544" t="s">
        <v>24</v>
      </c>
      <c r="B15544" t="s">
        <v>13679</v>
      </c>
      <c r="C15544" t="str">
        <f>"A0095742"</f>
        <v>A0095742</v>
      </c>
      <c r="D15544" t="s">
        <v>53907</v>
      </c>
      <c r="E15544" t="s">
        <v>53908</v>
      </c>
      <c r="F15544" t="s">
        <v>2971</v>
      </c>
      <c r="G15544" t="s">
        <v>880</v>
      </c>
      <c r="H15544">
        <v>37203</v>
      </c>
      <c r="I15544" t="s">
        <v>30</v>
      </c>
      <c r="J15544" t="s">
        <v>31</v>
      </c>
      <c r="K15544" t="s">
        <v>261</v>
      </c>
      <c r="N15544" t="s">
        <v>53909</v>
      </c>
      <c r="Q15544">
        <v>0</v>
      </c>
      <c r="R15544">
        <v>119</v>
      </c>
      <c r="S15544">
        <v>0</v>
      </c>
      <c r="T15544" t="s">
        <v>53910</v>
      </c>
    </row>
    <row r="15545" spans="1:25" customFormat="1" ht="15" x14ac:dyDescent="0.25">
      <c r="A15545" t="s">
        <v>24</v>
      </c>
      <c r="B15545" t="s">
        <v>59031</v>
      </c>
      <c r="C15545" t="str">
        <f>"SF01348"</f>
        <v>SF01348</v>
      </c>
      <c r="D15545" t="s">
        <v>71159</v>
      </c>
      <c r="E15545" t="s">
        <v>71160</v>
      </c>
      <c r="F15545" t="s">
        <v>71161</v>
      </c>
      <c r="G15545" t="s">
        <v>899</v>
      </c>
      <c r="H15545">
        <v>1247</v>
      </c>
      <c r="I15545" t="s">
        <v>30</v>
      </c>
      <c r="J15545" t="s">
        <v>162</v>
      </c>
      <c r="K15545" t="s">
        <v>854</v>
      </c>
      <c r="N15545" t="s">
        <v>71162</v>
      </c>
      <c r="O15545" t="s">
        <v>71163</v>
      </c>
      <c r="Q15545">
        <v>0</v>
      </c>
      <c r="R15545">
        <v>89</v>
      </c>
      <c r="S15545">
        <v>0</v>
      </c>
      <c r="T15545" t="s">
        <v>71164</v>
      </c>
    </row>
    <row r="15546" spans="1:25" customFormat="1" ht="15" x14ac:dyDescent="0.25">
      <c r="A15546" t="s">
        <v>24</v>
      </c>
      <c r="B15546" t="s">
        <v>1020</v>
      </c>
      <c r="C15546" t="str">
        <f>"A0083991"</f>
        <v>A0083991</v>
      </c>
      <c r="D15546" t="s">
        <v>71165</v>
      </c>
      <c r="E15546" t="s">
        <v>71166</v>
      </c>
      <c r="F15546" t="s">
        <v>26190</v>
      </c>
      <c r="G15546" t="s">
        <v>615</v>
      </c>
      <c r="H15546">
        <v>6360</v>
      </c>
      <c r="I15546" t="s">
        <v>30</v>
      </c>
      <c r="J15546" t="s">
        <v>162</v>
      </c>
      <c r="K15546" t="s">
        <v>854</v>
      </c>
      <c r="N15546" t="s">
        <v>71167</v>
      </c>
      <c r="Q15546">
        <v>0</v>
      </c>
      <c r="R15546">
        <v>100</v>
      </c>
      <c r="S15546">
        <v>0</v>
      </c>
      <c r="T15546" t="s">
        <v>71168</v>
      </c>
    </row>
    <row r="15547" spans="1:25" customFormat="1" ht="15" x14ac:dyDescent="0.25">
      <c r="A15547" t="s">
        <v>24</v>
      </c>
      <c r="B15547" t="s">
        <v>13679</v>
      </c>
      <c r="C15547" t="str">
        <f>"A0058977"</f>
        <v>A0058977</v>
      </c>
      <c r="D15547" t="s">
        <v>53919</v>
      </c>
      <c r="E15547" t="s">
        <v>53920</v>
      </c>
      <c r="F15547" t="s">
        <v>372</v>
      </c>
      <c r="G15547" t="s">
        <v>52</v>
      </c>
      <c r="H15547">
        <v>78759</v>
      </c>
      <c r="I15547" t="s">
        <v>30</v>
      </c>
      <c r="J15547" t="s">
        <v>31</v>
      </c>
      <c r="K15547" t="s">
        <v>198</v>
      </c>
      <c r="N15547" t="s">
        <v>53921</v>
      </c>
      <c r="O15547" t="s">
        <v>53825</v>
      </c>
      <c r="Q15547">
        <v>0</v>
      </c>
      <c r="R15547">
        <v>124</v>
      </c>
      <c r="S15547">
        <v>0</v>
      </c>
      <c r="T15547" t="s">
        <v>53922</v>
      </c>
    </row>
    <row r="15548" spans="1:25" x14ac:dyDescent="0.25">
      <c r="A15548" s="5" t="s">
        <v>24</v>
      </c>
      <c r="B15548" s="5" t="s">
        <v>56505</v>
      </c>
      <c r="C15548" s="5" t="str">
        <f>"A0072414"</f>
        <v>A0072414</v>
      </c>
      <c r="D15548" s="5" t="s">
        <v>71178</v>
      </c>
      <c r="E15548" s="5" t="s">
        <v>71179</v>
      </c>
      <c r="F15548" s="5" t="s">
        <v>53563</v>
      </c>
      <c r="G15548" s="5" t="s">
        <v>1170</v>
      </c>
      <c r="H15548" s="5">
        <v>70570</v>
      </c>
      <c r="I15548" s="5" t="s">
        <v>30</v>
      </c>
      <c r="J15548" s="5" t="s">
        <v>162</v>
      </c>
      <c r="K15548" s="5" t="s">
        <v>854</v>
      </c>
      <c r="L15548" s="5"/>
      <c r="M15548" s="5"/>
      <c r="N15548" s="5" t="s">
        <v>71180</v>
      </c>
      <c r="O15548" s="5" t="s">
        <v>71181</v>
      </c>
      <c r="P15548" s="5"/>
      <c r="Q15548" s="5">
        <v>0</v>
      </c>
      <c r="R15548" s="5">
        <v>75</v>
      </c>
      <c r="S15548" s="5">
        <v>0</v>
      </c>
      <c r="T15548" s="5" t="s">
        <v>71182</v>
      </c>
      <c r="U15548" s="5"/>
      <c r="V15548" s="5"/>
      <c r="W15548" s="5"/>
      <c r="X15548" s="5"/>
      <c r="Y15548" s="5"/>
    </row>
    <row r="15549" spans="1:25" customFormat="1" ht="15" x14ac:dyDescent="0.25">
      <c r="A15549" t="s">
        <v>24</v>
      </c>
      <c r="B15549" t="s">
        <v>55128</v>
      </c>
      <c r="C15549" t="str">
        <f>"A0099387"</f>
        <v>A0099387</v>
      </c>
      <c r="D15549" t="s">
        <v>71183</v>
      </c>
      <c r="E15549" t="s">
        <v>71184</v>
      </c>
      <c r="F15549" t="s">
        <v>71185</v>
      </c>
      <c r="G15549" t="s">
        <v>840</v>
      </c>
      <c r="H15549">
        <v>42001</v>
      </c>
      <c r="I15549" t="s">
        <v>30</v>
      </c>
      <c r="J15549" t="s">
        <v>162</v>
      </c>
      <c r="K15549" t="s">
        <v>854</v>
      </c>
      <c r="N15549" t="s">
        <v>71186</v>
      </c>
      <c r="O15549" t="s">
        <v>61870</v>
      </c>
      <c r="Q15549">
        <v>0</v>
      </c>
      <c r="R15549">
        <v>123</v>
      </c>
      <c r="S15549">
        <v>0</v>
      </c>
      <c r="T15549" t="s">
        <v>71187</v>
      </c>
    </row>
    <row r="15550" spans="1:25" customFormat="1" ht="15" x14ac:dyDescent="0.25">
      <c r="A15550" t="s">
        <v>24</v>
      </c>
      <c r="B15550" t="s">
        <v>976</v>
      </c>
      <c r="C15550" t="str">
        <f>"SF03065"</f>
        <v>SF03065</v>
      </c>
      <c r="D15550" t="s">
        <v>71188</v>
      </c>
      <c r="E15550" t="s">
        <v>71189</v>
      </c>
      <c r="F15550" t="s">
        <v>26172</v>
      </c>
      <c r="G15550" t="s">
        <v>899</v>
      </c>
      <c r="H15550">
        <v>1960</v>
      </c>
      <c r="I15550" t="s">
        <v>30</v>
      </c>
      <c r="J15550" t="s">
        <v>162</v>
      </c>
      <c r="K15550" t="s">
        <v>854</v>
      </c>
      <c r="N15550" t="s">
        <v>71190</v>
      </c>
      <c r="Q15550">
        <v>0</v>
      </c>
      <c r="R15550">
        <v>182</v>
      </c>
      <c r="S15550">
        <v>0</v>
      </c>
      <c r="T15550" t="s">
        <v>71191</v>
      </c>
    </row>
    <row r="15551" spans="1:25" customFormat="1" ht="15" x14ac:dyDescent="0.25">
      <c r="A15551" t="s">
        <v>24</v>
      </c>
      <c r="B15551" t="s">
        <v>33301</v>
      </c>
      <c r="C15551" t="str">
        <f>"A0072324"</f>
        <v>A0072324</v>
      </c>
      <c r="D15551" t="s">
        <v>71192</v>
      </c>
      <c r="E15551" t="s">
        <v>71193</v>
      </c>
      <c r="F15551" t="s">
        <v>53801</v>
      </c>
      <c r="G15551" t="s">
        <v>52</v>
      </c>
      <c r="H15551">
        <v>75056</v>
      </c>
      <c r="I15551" t="s">
        <v>30</v>
      </c>
      <c r="J15551" t="s">
        <v>162</v>
      </c>
      <c r="K15551" t="s">
        <v>854</v>
      </c>
      <c r="N15551" t="s">
        <v>71194</v>
      </c>
      <c r="O15551" t="s">
        <v>15226</v>
      </c>
      <c r="Q15551">
        <v>0</v>
      </c>
      <c r="R15551">
        <v>122</v>
      </c>
      <c r="S15551">
        <v>0</v>
      </c>
      <c r="T15551" t="s">
        <v>71195</v>
      </c>
    </row>
    <row r="15552" spans="1:25" customFormat="1" ht="15" x14ac:dyDescent="0.25">
      <c r="A15552" t="s">
        <v>24</v>
      </c>
      <c r="B15552" t="s">
        <v>56277</v>
      </c>
      <c r="C15552" t="str">
        <f>"SF03872"</f>
        <v>SF03872</v>
      </c>
      <c r="D15552" t="s">
        <v>71196</v>
      </c>
      <c r="E15552" t="s">
        <v>71197</v>
      </c>
      <c r="F15552" t="s">
        <v>1431</v>
      </c>
      <c r="G15552" t="s">
        <v>47</v>
      </c>
      <c r="H15552">
        <v>97220</v>
      </c>
      <c r="I15552" t="s">
        <v>30</v>
      </c>
      <c r="J15552" t="s">
        <v>162</v>
      </c>
      <c r="K15552" t="s">
        <v>854</v>
      </c>
      <c r="N15552" t="s">
        <v>71198</v>
      </c>
      <c r="Q15552">
        <v>0</v>
      </c>
      <c r="R15552">
        <v>284</v>
      </c>
      <c r="S15552">
        <v>0</v>
      </c>
      <c r="T15552" t="s">
        <v>71199</v>
      </c>
    </row>
    <row r="15553" spans="1:20" customFormat="1" ht="15" x14ac:dyDescent="0.25">
      <c r="A15553" t="s">
        <v>24</v>
      </c>
      <c r="B15553" t="s">
        <v>55951</v>
      </c>
      <c r="C15553" t="str">
        <f>"SF02655"</f>
        <v>SF02655</v>
      </c>
      <c r="D15553" t="s">
        <v>71200</v>
      </c>
      <c r="E15553" t="s">
        <v>71201</v>
      </c>
      <c r="F15553" t="s">
        <v>510</v>
      </c>
      <c r="G15553" t="s">
        <v>58</v>
      </c>
      <c r="H15553">
        <v>29407</v>
      </c>
      <c r="I15553" t="s">
        <v>30</v>
      </c>
      <c r="J15553" t="s">
        <v>162</v>
      </c>
      <c r="K15553" t="s">
        <v>854</v>
      </c>
      <c r="N15553" t="s">
        <v>71202</v>
      </c>
      <c r="Q15553">
        <v>0</v>
      </c>
      <c r="R15553">
        <v>180</v>
      </c>
      <c r="S15553">
        <v>0</v>
      </c>
      <c r="T15553" t="s">
        <v>71203</v>
      </c>
    </row>
    <row r="15554" spans="1:20" customFormat="1" ht="15" hidden="1" x14ac:dyDescent="0.25">
      <c r="A15554" t="s">
        <v>24</v>
      </c>
      <c r="B15554" t="s">
        <v>53953</v>
      </c>
      <c r="C15554" t="str">
        <f>"A0068286"</f>
        <v>A0068286</v>
      </c>
      <c r="D15554" t="s">
        <v>53954</v>
      </c>
      <c r="E15554" t="s">
        <v>53955</v>
      </c>
      <c r="F15554" t="s">
        <v>53956</v>
      </c>
      <c r="G15554" t="s">
        <v>53957</v>
      </c>
      <c r="I15554" t="s">
        <v>53958</v>
      </c>
      <c r="J15554" t="s">
        <v>162</v>
      </c>
      <c r="K15554" t="s">
        <v>163</v>
      </c>
      <c r="N15554" t="s">
        <v>53959</v>
      </c>
      <c r="O15554" t="s">
        <v>53960</v>
      </c>
      <c r="Q15554">
        <v>0</v>
      </c>
      <c r="R15554">
        <v>154</v>
      </c>
      <c r="S15554">
        <v>0</v>
      </c>
      <c r="T15554" t="s">
        <v>53961</v>
      </c>
    </row>
    <row r="15555" spans="1:20" customFormat="1" ht="15" x14ac:dyDescent="0.25">
      <c r="A15555" t="s">
        <v>24</v>
      </c>
      <c r="B15555" t="s">
        <v>56277</v>
      </c>
      <c r="C15555" t="str">
        <f>"SF04282"</f>
        <v>SF04282</v>
      </c>
      <c r="D15555" t="s">
        <v>71204</v>
      </c>
      <c r="E15555" t="s">
        <v>71205</v>
      </c>
      <c r="F15555" t="s">
        <v>3517</v>
      </c>
      <c r="G15555" t="s">
        <v>110</v>
      </c>
      <c r="H15555">
        <v>95814</v>
      </c>
      <c r="I15555" t="s">
        <v>30</v>
      </c>
      <c r="J15555" t="s">
        <v>162</v>
      </c>
      <c r="K15555" t="s">
        <v>854</v>
      </c>
      <c r="N15555" t="s">
        <v>71206</v>
      </c>
      <c r="O15555" t="s">
        <v>68887</v>
      </c>
      <c r="Q15555">
        <v>0</v>
      </c>
      <c r="R15555">
        <v>359</v>
      </c>
      <c r="S15555">
        <v>0</v>
      </c>
      <c r="T15555" t="s">
        <v>71207</v>
      </c>
    </row>
    <row r="15556" spans="1:20" customFormat="1" ht="15" x14ac:dyDescent="0.25">
      <c r="A15556" t="s">
        <v>24</v>
      </c>
      <c r="B15556" t="s">
        <v>9843</v>
      </c>
      <c r="C15556" t="str">
        <f>"A0167471"</f>
        <v>A0167471</v>
      </c>
      <c r="D15556" t="s">
        <v>53967</v>
      </c>
      <c r="E15556" t="s">
        <v>53968</v>
      </c>
      <c r="F15556" t="s">
        <v>53964</v>
      </c>
      <c r="G15556" t="s">
        <v>81</v>
      </c>
      <c r="H15556">
        <v>34787</v>
      </c>
      <c r="I15556" t="s">
        <v>30</v>
      </c>
      <c r="J15556" t="s">
        <v>31</v>
      </c>
      <c r="K15556" t="s">
        <v>261</v>
      </c>
      <c r="N15556" t="s">
        <v>53965</v>
      </c>
      <c r="Q15556">
        <v>0</v>
      </c>
      <c r="R15556">
        <v>273</v>
      </c>
      <c r="S15556">
        <v>0</v>
      </c>
      <c r="T15556" t="s">
        <v>53969</v>
      </c>
    </row>
    <row r="15557" spans="1:20" customFormat="1" ht="15" x14ac:dyDescent="0.25">
      <c r="A15557" t="s">
        <v>24</v>
      </c>
      <c r="B15557" t="s">
        <v>9843</v>
      </c>
      <c r="C15557" t="str">
        <f>"A0162066"</f>
        <v>A0162066</v>
      </c>
      <c r="D15557" t="s">
        <v>53970</v>
      </c>
      <c r="E15557" t="s">
        <v>53971</v>
      </c>
      <c r="F15557" t="s">
        <v>53964</v>
      </c>
      <c r="G15557" t="s">
        <v>81</v>
      </c>
      <c r="H15557">
        <v>34787</v>
      </c>
      <c r="I15557" t="s">
        <v>30</v>
      </c>
      <c r="J15557" t="s">
        <v>31</v>
      </c>
      <c r="K15557" t="s">
        <v>32</v>
      </c>
      <c r="N15557" t="s">
        <v>53972</v>
      </c>
      <c r="Q15557">
        <v>0</v>
      </c>
      <c r="R15557">
        <v>273</v>
      </c>
      <c r="S15557">
        <v>0</v>
      </c>
      <c r="T15557" t="s">
        <v>53973</v>
      </c>
    </row>
    <row r="15558" spans="1:20" customFormat="1" ht="15" x14ac:dyDescent="0.25">
      <c r="A15558" t="s">
        <v>24</v>
      </c>
      <c r="B15558" t="s">
        <v>3221</v>
      </c>
      <c r="C15558" t="str">
        <f>"SF04089"</f>
        <v>SF04089</v>
      </c>
      <c r="D15558" t="s">
        <v>71208</v>
      </c>
      <c r="E15558" t="s">
        <v>71209</v>
      </c>
      <c r="F15558" t="s">
        <v>5935</v>
      </c>
      <c r="G15558" t="s">
        <v>1363</v>
      </c>
      <c r="H15558">
        <v>3079</v>
      </c>
      <c r="I15558" t="s">
        <v>30</v>
      </c>
      <c r="J15558" t="s">
        <v>162</v>
      </c>
      <c r="K15558" t="s">
        <v>854</v>
      </c>
      <c r="N15558" t="s">
        <v>71210</v>
      </c>
      <c r="Q15558">
        <v>0</v>
      </c>
      <c r="R15558">
        <v>109</v>
      </c>
      <c r="S15558">
        <v>0</v>
      </c>
      <c r="T15558" t="s">
        <v>71211</v>
      </c>
    </row>
    <row r="15559" spans="1:20" customFormat="1" ht="15" x14ac:dyDescent="0.25">
      <c r="A15559" t="s">
        <v>24</v>
      </c>
      <c r="B15559" t="s">
        <v>2340</v>
      </c>
      <c r="C15559" t="str">
        <f>"A0165574"</f>
        <v>A0165574</v>
      </c>
      <c r="D15559" t="s">
        <v>53977</v>
      </c>
      <c r="E15559" t="s">
        <v>53978</v>
      </c>
      <c r="F15559" t="s">
        <v>53979</v>
      </c>
      <c r="G15559" t="s">
        <v>81</v>
      </c>
      <c r="H15559">
        <v>33034</v>
      </c>
      <c r="I15559" t="s">
        <v>30</v>
      </c>
      <c r="J15559" t="s">
        <v>31</v>
      </c>
      <c r="K15559" t="s">
        <v>32</v>
      </c>
      <c r="N15559" t="s">
        <v>13798</v>
      </c>
      <c r="Q15559">
        <v>0</v>
      </c>
      <c r="R15559">
        <v>127</v>
      </c>
      <c r="S15559">
        <v>0</v>
      </c>
      <c r="T15559" t="s">
        <v>53980</v>
      </c>
    </row>
    <row r="15560" spans="1:20" customFormat="1" ht="15" x14ac:dyDescent="0.25">
      <c r="A15560" t="s">
        <v>24</v>
      </c>
      <c r="B15560" t="s">
        <v>5843</v>
      </c>
      <c r="C15560" t="str">
        <f>"SC156"</f>
        <v>SC156</v>
      </c>
      <c r="D15560" t="s">
        <v>71212</v>
      </c>
      <c r="E15560" t="s">
        <v>71213</v>
      </c>
      <c r="F15560" t="s">
        <v>356</v>
      </c>
      <c r="G15560" t="s">
        <v>52</v>
      </c>
      <c r="H15560">
        <v>78204</v>
      </c>
      <c r="I15560" t="s">
        <v>30</v>
      </c>
      <c r="J15560" t="s">
        <v>162</v>
      </c>
      <c r="K15560" t="s">
        <v>854</v>
      </c>
      <c r="N15560" t="s">
        <v>71214</v>
      </c>
      <c r="Q15560">
        <v>0</v>
      </c>
      <c r="R15560">
        <v>315</v>
      </c>
      <c r="S15560">
        <v>0</v>
      </c>
      <c r="T15560" t="s">
        <v>71215</v>
      </c>
    </row>
    <row r="15561" spans="1:20" customFormat="1" ht="15" x14ac:dyDescent="0.25">
      <c r="A15561" t="s">
        <v>24</v>
      </c>
      <c r="B15561" t="s">
        <v>53987</v>
      </c>
      <c r="C15561" t="str">
        <f>"685X2"</f>
        <v>685X2</v>
      </c>
      <c r="D15561" t="s">
        <v>53988</v>
      </c>
      <c r="E15561" t="s">
        <v>53989</v>
      </c>
      <c r="F15561" t="s">
        <v>2564</v>
      </c>
      <c r="G15561" t="s">
        <v>81</v>
      </c>
      <c r="H15561">
        <v>32308</v>
      </c>
      <c r="I15561" t="s">
        <v>30</v>
      </c>
      <c r="J15561" t="s">
        <v>31</v>
      </c>
      <c r="K15561" t="s">
        <v>222</v>
      </c>
      <c r="N15561" t="s">
        <v>53990</v>
      </c>
      <c r="Q15561">
        <v>0</v>
      </c>
      <c r="R15561">
        <v>95</v>
      </c>
      <c r="S15561">
        <v>0</v>
      </c>
      <c r="T15561" t="s">
        <v>53991</v>
      </c>
    </row>
    <row r="15562" spans="1:20" customFormat="1" ht="15" x14ac:dyDescent="0.25">
      <c r="A15562" t="s">
        <v>24</v>
      </c>
      <c r="B15562" t="s">
        <v>53992</v>
      </c>
      <c r="C15562" t="str">
        <f>"A0075252"</f>
        <v>A0075252</v>
      </c>
      <c r="D15562" t="s">
        <v>53993</v>
      </c>
      <c r="E15562" t="s">
        <v>53994</v>
      </c>
      <c r="F15562" t="s">
        <v>53995</v>
      </c>
      <c r="G15562" t="s">
        <v>214</v>
      </c>
      <c r="H15562">
        <v>28779</v>
      </c>
      <c r="I15562" t="s">
        <v>30</v>
      </c>
      <c r="J15562" t="s">
        <v>31</v>
      </c>
      <c r="K15562" t="s">
        <v>282</v>
      </c>
      <c r="N15562" t="s">
        <v>53996</v>
      </c>
      <c r="Q15562">
        <v>0</v>
      </c>
      <c r="R15562">
        <v>67</v>
      </c>
      <c r="S15562">
        <v>0</v>
      </c>
      <c r="T15562" t="s">
        <v>53997</v>
      </c>
    </row>
    <row r="15563" spans="1:20" customFormat="1" ht="15" x14ac:dyDescent="0.25">
      <c r="A15563" t="s">
        <v>24</v>
      </c>
      <c r="B15563" t="s">
        <v>5843</v>
      </c>
      <c r="C15563" t="str">
        <f>"A0091237"</f>
        <v>A0091237</v>
      </c>
      <c r="D15563" t="s">
        <v>71216</v>
      </c>
      <c r="E15563" t="s">
        <v>71217</v>
      </c>
      <c r="F15563" t="s">
        <v>356</v>
      </c>
      <c r="G15563" t="s">
        <v>52</v>
      </c>
      <c r="H15563">
        <v>78251</v>
      </c>
      <c r="I15563" t="s">
        <v>30</v>
      </c>
      <c r="J15563" t="s">
        <v>162</v>
      </c>
      <c r="K15563" t="s">
        <v>854</v>
      </c>
      <c r="N15563" t="s">
        <v>68059</v>
      </c>
      <c r="Q15563">
        <v>0</v>
      </c>
      <c r="R15563">
        <v>194</v>
      </c>
      <c r="S15563">
        <v>0</v>
      </c>
      <c r="T15563" t="s">
        <v>71218</v>
      </c>
    </row>
    <row r="15564" spans="1:20" customFormat="1" ht="15" x14ac:dyDescent="0.25">
      <c r="A15564" t="s">
        <v>24</v>
      </c>
      <c r="B15564" t="s">
        <v>53992</v>
      </c>
      <c r="C15564" t="str">
        <f>"A0167194"</f>
        <v>A0167194</v>
      </c>
      <c r="D15564" t="s">
        <v>54002</v>
      </c>
      <c r="E15564" t="s">
        <v>54003</v>
      </c>
      <c r="F15564" t="s">
        <v>53995</v>
      </c>
      <c r="G15564" t="s">
        <v>214</v>
      </c>
      <c r="H15564">
        <v>28779</v>
      </c>
      <c r="I15564" t="s">
        <v>30</v>
      </c>
      <c r="J15564" t="s">
        <v>145</v>
      </c>
      <c r="K15564" t="s">
        <v>4520</v>
      </c>
      <c r="N15564" t="s">
        <v>54004</v>
      </c>
      <c r="Q15564">
        <v>0</v>
      </c>
      <c r="R15564">
        <v>58</v>
      </c>
      <c r="S15564">
        <v>0</v>
      </c>
      <c r="T15564" t="s">
        <v>54005</v>
      </c>
    </row>
    <row r="15565" spans="1:20" customFormat="1" ht="15" x14ac:dyDescent="0.25">
      <c r="A15565" t="s">
        <v>24</v>
      </c>
      <c r="B15565" t="s">
        <v>53992</v>
      </c>
      <c r="C15565" t="str">
        <f>"A0167193"</f>
        <v>A0167193</v>
      </c>
      <c r="D15565" t="s">
        <v>54006</v>
      </c>
      <c r="E15565" t="s">
        <v>54007</v>
      </c>
      <c r="F15565" t="s">
        <v>54008</v>
      </c>
      <c r="G15565" t="s">
        <v>214</v>
      </c>
      <c r="H15565">
        <v>28725</v>
      </c>
      <c r="I15565" t="s">
        <v>30</v>
      </c>
      <c r="J15565" t="s">
        <v>31</v>
      </c>
      <c r="K15565" t="s">
        <v>2524</v>
      </c>
      <c r="N15565" t="s">
        <v>54009</v>
      </c>
      <c r="Q15565">
        <v>0</v>
      </c>
      <c r="R15565">
        <v>65</v>
      </c>
      <c r="S15565">
        <v>0</v>
      </c>
      <c r="T15565" t="s">
        <v>54010</v>
      </c>
    </row>
    <row r="15566" spans="1:20" customFormat="1" ht="15" x14ac:dyDescent="0.25">
      <c r="A15566" t="s">
        <v>24</v>
      </c>
      <c r="B15566" t="s">
        <v>2812</v>
      </c>
      <c r="C15566" t="str">
        <f>"A0095676"</f>
        <v>A0095676</v>
      </c>
      <c r="D15566" t="s">
        <v>71219</v>
      </c>
      <c r="E15566" t="s">
        <v>71220</v>
      </c>
      <c r="F15566" t="s">
        <v>2839</v>
      </c>
      <c r="G15566" t="s">
        <v>846</v>
      </c>
      <c r="H15566">
        <v>31401</v>
      </c>
      <c r="I15566" t="s">
        <v>30</v>
      </c>
      <c r="J15566" t="s">
        <v>162</v>
      </c>
      <c r="K15566" t="s">
        <v>854</v>
      </c>
      <c r="N15566" t="s">
        <v>71221</v>
      </c>
      <c r="O15566" t="s">
        <v>71222</v>
      </c>
      <c r="Q15566">
        <v>0</v>
      </c>
      <c r="R15566">
        <v>127</v>
      </c>
      <c r="S15566">
        <v>0</v>
      </c>
      <c r="T15566" t="s">
        <v>71223</v>
      </c>
    </row>
    <row r="15567" spans="1:20" customFormat="1" ht="15" x14ac:dyDescent="0.25">
      <c r="A15567" t="s">
        <v>24</v>
      </c>
      <c r="B15567" t="s">
        <v>54015</v>
      </c>
      <c r="C15567" t="str">
        <f>"A0167192"</f>
        <v>A0167192</v>
      </c>
      <c r="D15567" t="s">
        <v>54016</v>
      </c>
      <c r="E15567" t="s">
        <v>54017</v>
      </c>
      <c r="F15567" t="s">
        <v>8576</v>
      </c>
      <c r="G15567" t="s">
        <v>58</v>
      </c>
      <c r="H15567">
        <v>29927</v>
      </c>
      <c r="I15567" t="s">
        <v>30</v>
      </c>
      <c r="J15567" t="s">
        <v>31</v>
      </c>
      <c r="K15567" t="s">
        <v>2524</v>
      </c>
      <c r="N15567" t="s">
        <v>54018</v>
      </c>
      <c r="Q15567">
        <v>0</v>
      </c>
      <c r="R15567">
        <v>62</v>
      </c>
      <c r="S15567">
        <v>0</v>
      </c>
      <c r="T15567" t="s">
        <v>54019</v>
      </c>
    </row>
    <row r="15568" spans="1:20" customFormat="1" ht="15" x14ac:dyDescent="0.25">
      <c r="A15568" t="s">
        <v>24</v>
      </c>
      <c r="B15568" t="s">
        <v>13592</v>
      </c>
      <c r="C15568" t="str">
        <f>"A0069709"</f>
        <v>A0069709</v>
      </c>
      <c r="D15568" t="s">
        <v>54020</v>
      </c>
      <c r="E15568" t="s">
        <v>54021</v>
      </c>
      <c r="F15568" t="s">
        <v>54022</v>
      </c>
      <c r="G15568" t="s">
        <v>85</v>
      </c>
      <c r="H15568">
        <v>72022</v>
      </c>
      <c r="I15568" t="s">
        <v>30</v>
      </c>
      <c r="J15568" t="s">
        <v>31</v>
      </c>
      <c r="K15568" t="s">
        <v>296</v>
      </c>
      <c r="N15568" t="s">
        <v>54023</v>
      </c>
      <c r="Q15568">
        <v>0</v>
      </c>
      <c r="R15568">
        <v>78</v>
      </c>
      <c r="S15568">
        <v>0</v>
      </c>
      <c r="T15568" t="s">
        <v>54024</v>
      </c>
    </row>
    <row r="15569" spans="1:25" customFormat="1" ht="15" x14ac:dyDescent="0.25">
      <c r="A15569" t="s">
        <v>24</v>
      </c>
      <c r="B15569" t="s">
        <v>4459</v>
      </c>
      <c r="C15569" t="str">
        <f>"SF07629"</f>
        <v>SF07629</v>
      </c>
      <c r="D15569" t="s">
        <v>54025</v>
      </c>
      <c r="E15569" t="s">
        <v>54026</v>
      </c>
      <c r="F15569" t="s">
        <v>54027</v>
      </c>
      <c r="G15569" t="s">
        <v>110</v>
      </c>
      <c r="H15569">
        <v>94044</v>
      </c>
      <c r="I15569" t="s">
        <v>30</v>
      </c>
      <c r="J15569" t="s">
        <v>31</v>
      </c>
      <c r="K15569" t="s">
        <v>32</v>
      </c>
      <c r="N15569" t="s">
        <v>54028</v>
      </c>
      <c r="Q15569">
        <v>0</v>
      </c>
      <c r="R15569">
        <v>82</v>
      </c>
      <c r="S15569">
        <v>0</v>
      </c>
      <c r="T15569" t="s">
        <v>54029</v>
      </c>
    </row>
    <row r="15570" spans="1:25" customFormat="1" ht="15" x14ac:dyDescent="0.25">
      <c r="A15570" t="s">
        <v>24</v>
      </c>
      <c r="B15570" t="s">
        <v>342</v>
      </c>
      <c r="C15570" t="str">
        <f>"A0087954"</f>
        <v>A0087954</v>
      </c>
      <c r="D15570" t="s">
        <v>54030</v>
      </c>
      <c r="E15570" t="s">
        <v>54031</v>
      </c>
      <c r="F15570" t="s">
        <v>54032</v>
      </c>
      <c r="G15570" t="s">
        <v>81</v>
      </c>
      <c r="H15570">
        <v>33426</v>
      </c>
      <c r="I15570" t="s">
        <v>30</v>
      </c>
      <c r="J15570" t="s">
        <v>31</v>
      </c>
      <c r="K15570" t="s">
        <v>198</v>
      </c>
      <c r="N15570" t="s">
        <v>54033</v>
      </c>
      <c r="Q15570">
        <v>0</v>
      </c>
      <c r="R15570">
        <v>164</v>
      </c>
      <c r="S15570">
        <v>0</v>
      </c>
      <c r="T15570" t="s">
        <v>54034</v>
      </c>
    </row>
    <row r="15571" spans="1:25" customFormat="1" ht="15" x14ac:dyDescent="0.25">
      <c r="A15571" t="s">
        <v>24</v>
      </c>
      <c r="B15571" t="s">
        <v>342</v>
      </c>
      <c r="C15571" t="str">
        <f>"A0087951"</f>
        <v>A0087951</v>
      </c>
      <c r="D15571" t="s">
        <v>54035</v>
      </c>
      <c r="E15571" t="s">
        <v>54036</v>
      </c>
      <c r="F15571" t="s">
        <v>6859</v>
      </c>
      <c r="G15571" t="s">
        <v>81</v>
      </c>
      <c r="H15571">
        <v>33411</v>
      </c>
      <c r="I15571" t="s">
        <v>30</v>
      </c>
      <c r="J15571" t="s">
        <v>31</v>
      </c>
      <c r="K15571" t="s">
        <v>198</v>
      </c>
      <c r="N15571" t="s">
        <v>54037</v>
      </c>
      <c r="Q15571">
        <v>0</v>
      </c>
      <c r="R15571">
        <v>110</v>
      </c>
      <c r="S15571">
        <v>0</v>
      </c>
      <c r="T15571" t="s">
        <v>54038</v>
      </c>
    </row>
    <row r="15572" spans="1:25" customFormat="1" ht="15" x14ac:dyDescent="0.25">
      <c r="A15572" t="s">
        <v>24</v>
      </c>
      <c r="B15572" t="s">
        <v>342</v>
      </c>
      <c r="C15572" t="str">
        <f>"A0087955"</f>
        <v>A0087955</v>
      </c>
      <c r="D15572" t="s">
        <v>54039</v>
      </c>
      <c r="E15572" t="s">
        <v>54040</v>
      </c>
      <c r="F15572" t="s">
        <v>54041</v>
      </c>
      <c r="G15572" t="s">
        <v>81</v>
      </c>
      <c r="H15572">
        <v>33441</v>
      </c>
      <c r="I15572" t="s">
        <v>30</v>
      </c>
      <c r="J15572" t="s">
        <v>31</v>
      </c>
      <c r="K15572" t="s">
        <v>198</v>
      </c>
      <c r="N15572" t="s">
        <v>54042</v>
      </c>
      <c r="Q15572">
        <v>0</v>
      </c>
      <c r="R15572">
        <v>106</v>
      </c>
      <c r="S15572">
        <v>0</v>
      </c>
      <c r="T15572" t="s">
        <v>54043</v>
      </c>
    </row>
    <row r="15573" spans="1:25" customFormat="1" ht="15" x14ac:dyDescent="0.25">
      <c r="A15573" t="s">
        <v>24</v>
      </c>
      <c r="B15573" t="s">
        <v>342</v>
      </c>
      <c r="C15573" t="str">
        <f>"A0087952"</f>
        <v>A0087952</v>
      </c>
      <c r="D15573" t="s">
        <v>54044</v>
      </c>
      <c r="E15573" t="s">
        <v>54045</v>
      </c>
      <c r="F15573" t="s">
        <v>54046</v>
      </c>
      <c r="G15573" t="s">
        <v>81</v>
      </c>
      <c r="H15573">
        <v>33410</v>
      </c>
      <c r="I15573" t="s">
        <v>30</v>
      </c>
      <c r="J15573" t="s">
        <v>31</v>
      </c>
      <c r="K15573" t="s">
        <v>198</v>
      </c>
      <c r="N15573" t="s">
        <v>54047</v>
      </c>
      <c r="Q15573">
        <v>0</v>
      </c>
      <c r="R15573">
        <v>116</v>
      </c>
      <c r="S15573">
        <v>0</v>
      </c>
      <c r="T15573" t="s">
        <v>54048</v>
      </c>
    </row>
    <row r="15574" spans="1:25" customFormat="1" ht="15" x14ac:dyDescent="0.25">
      <c r="A15574" t="s">
        <v>24</v>
      </c>
      <c r="B15574" t="s">
        <v>54049</v>
      </c>
      <c r="C15574" t="str">
        <f>"A0153872"</f>
        <v>A0153872</v>
      </c>
      <c r="D15574" t="s">
        <v>54050</v>
      </c>
      <c r="E15574" t="s">
        <v>54051</v>
      </c>
      <c r="F15574" t="s">
        <v>54052</v>
      </c>
      <c r="G15574" t="s">
        <v>110</v>
      </c>
      <c r="H15574">
        <v>94506</v>
      </c>
      <c r="I15574" t="s">
        <v>30</v>
      </c>
      <c r="J15574" t="s">
        <v>178</v>
      </c>
      <c r="K15574" t="s">
        <v>163</v>
      </c>
      <c r="N15574" t="s">
        <v>54053</v>
      </c>
      <c r="Q15574">
        <v>0</v>
      </c>
      <c r="R15574">
        <v>36</v>
      </c>
      <c r="S15574">
        <v>0</v>
      </c>
      <c r="T15574" t="s">
        <v>54054</v>
      </c>
    </row>
    <row r="15575" spans="1:25" customFormat="1" ht="15" x14ac:dyDescent="0.25">
      <c r="A15575" t="s">
        <v>24</v>
      </c>
      <c r="B15575" t="s">
        <v>342</v>
      </c>
      <c r="C15575" t="str">
        <f>"A0087953"</f>
        <v>A0087953</v>
      </c>
      <c r="D15575" t="s">
        <v>54055</v>
      </c>
      <c r="E15575" t="s">
        <v>54056</v>
      </c>
      <c r="F15575" t="s">
        <v>6972</v>
      </c>
      <c r="G15575" t="s">
        <v>81</v>
      </c>
      <c r="H15575">
        <v>33431</v>
      </c>
      <c r="I15575" t="s">
        <v>30</v>
      </c>
      <c r="J15575" t="s">
        <v>31</v>
      </c>
      <c r="K15575" t="s">
        <v>198</v>
      </c>
      <c r="N15575" t="s">
        <v>54057</v>
      </c>
      <c r="Q15575">
        <v>0</v>
      </c>
      <c r="R15575">
        <v>94</v>
      </c>
      <c r="S15575">
        <v>0</v>
      </c>
      <c r="T15575" t="s">
        <v>54058</v>
      </c>
    </row>
    <row r="15576" spans="1:25" customFormat="1" ht="15" x14ac:dyDescent="0.25">
      <c r="A15576" t="s">
        <v>24</v>
      </c>
      <c r="B15576" t="s">
        <v>8366</v>
      </c>
      <c r="C15576" t="str">
        <f>"A0091457"</f>
        <v>A0091457</v>
      </c>
      <c r="D15576" t="s">
        <v>71230</v>
      </c>
      <c r="E15576" t="s">
        <v>71231</v>
      </c>
      <c r="F15576" t="s">
        <v>61912</v>
      </c>
      <c r="G15576" t="s">
        <v>615</v>
      </c>
      <c r="H15576">
        <v>6410</v>
      </c>
      <c r="I15576" t="s">
        <v>30</v>
      </c>
      <c r="J15576" t="s">
        <v>162</v>
      </c>
      <c r="K15576" t="s">
        <v>854</v>
      </c>
      <c r="N15576" t="s">
        <v>71232</v>
      </c>
      <c r="Q15576">
        <v>0</v>
      </c>
      <c r="R15576">
        <v>83</v>
      </c>
      <c r="S15576">
        <v>0</v>
      </c>
      <c r="T15576" t="s">
        <v>71233</v>
      </c>
    </row>
    <row r="15577" spans="1:25" x14ac:dyDescent="0.25">
      <c r="A15577" s="5" t="s">
        <v>24</v>
      </c>
      <c r="B15577" s="5" t="s">
        <v>56277</v>
      </c>
      <c r="C15577" s="5" t="str">
        <f>"A0055769"</f>
        <v>A0055769</v>
      </c>
      <c r="D15577" s="5" t="s">
        <v>71234</v>
      </c>
      <c r="E15577" s="5" t="s">
        <v>71235</v>
      </c>
      <c r="F15577" s="5" t="s">
        <v>67740</v>
      </c>
      <c r="G15577" s="5" t="s">
        <v>85</v>
      </c>
      <c r="H15577" s="5">
        <v>72762</v>
      </c>
      <c r="I15577" s="5" t="s">
        <v>30</v>
      </c>
      <c r="J15577" s="5" t="s">
        <v>162</v>
      </c>
      <c r="K15577" s="5" t="s">
        <v>854</v>
      </c>
      <c r="L15577" s="5"/>
      <c r="M15577" s="5"/>
      <c r="N15577" s="5" t="s">
        <v>67741</v>
      </c>
      <c r="O15577" s="5" t="s">
        <v>71236</v>
      </c>
      <c r="P15577" s="5"/>
      <c r="Q15577" s="5">
        <v>0</v>
      </c>
      <c r="R15577" s="5">
        <v>206</v>
      </c>
      <c r="S15577" s="5">
        <v>0</v>
      </c>
      <c r="T15577" s="5" t="s">
        <v>71237</v>
      </c>
      <c r="U15577" s="5"/>
      <c r="V15577" s="5"/>
      <c r="W15577" s="5"/>
      <c r="X15577" s="5"/>
      <c r="Y15577" s="5"/>
    </row>
    <row r="15578" spans="1:25" x14ac:dyDescent="0.25">
      <c r="A15578" s="5" t="s">
        <v>24</v>
      </c>
      <c r="B15578" s="5" t="s">
        <v>59626</v>
      </c>
      <c r="C15578" s="5" t="str">
        <f>"A0086414"</f>
        <v>A0086414</v>
      </c>
      <c r="D15578" s="5" t="s">
        <v>71238</v>
      </c>
      <c r="E15578" s="5" t="s">
        <v>71239</v>
      </c>
      <c r="F15578" s="5" t="s">
        <v>1645</v>
      </c>
      <c r="G15578" s="5" t="s">
        <v>846</v>
      </c>
      <c r="H15578" s="5">
        <v>30458</v>
      </c>
      <c r="I15578" s="5" t="s">
        <v>30</v>
      </c>
      <c r="J15578" s="5" t="s">
        <v>162</v>
      </c>
      <c r="K15578" s="5" t="s">
        <v>854</v>
      </c>
      <c r="L15578" s="5"/>
      <c r="M15578" s="5"/>
      <c r="N15578" s="5" t="s">
        <v>71240</v>
      </c>
      <c r="O15578" s="5"/>
      <c r="P15578" s="5"/>
      <c r="Q15578" s="5">
        <v>0</v>
      </c>
      <c r="R15578" s="5">
        <v>93</v>
      </c>
      <c r="S15578" s="5">
        <v>0</v>
      </c>
      <c r="T15578" s="5" t="s">
        <v>71241</v>
      </c>
      <c r="U15578" s="5"/>
      <c r="V15578" s="5"/>
      <c r="W15578" s="5"/>
      <c r="X15578" s="5"/>
      <c r="Y15578" s="5"/>
    </row>
    <row r="15579" spans="1:25" customFormat="1" ht="15" x14ac:dyDescent="0.25">
      <c r="A15579" t="s">
        <v>24</v>
      </c>
      <c r="B15579" t="s">
        <v>1467</v>
      </c>
      <c r="C15579" t="str">
        <f>"SF04705"</f>
        <v>SF04705</v>
      </c>
      <c r="D15579" t="s">
        <v>71242</v>
      </c>
      <c r="E15579" t="s">
        <v>71243</v>
      </c>
      <c r="F15579" t="s">
        <v>71244</v>
      </c>
      <c r="G15579" t="s">
        <v>899</v>
      </c>
      <c r="H15579">
        <v>2780</v>
      </c>
      <c r="I15579" t="s">
        <v>30</v>
      </c>
      <c r="J15579" t="s">
        <v>162</v>
      </c>
      <c r="K15579" t="s">
        <v>854</v>
      </c>
      <c r="N15579" t="s">
        <v>71245</v>
      </c>
      <c r="Q15579">
        <v>0</v>
      </c>
      <c r="R15579">
        <v>155</v>
      </c>
      <c r="S15579">
        <v>0</v>
      </c>
      <c r="T15579" t="s">
        <v>71246</v>
      </c>
    </row>
    <row r="15580" spans="1:25" customFormat="1" ht="15" x14ac:dyDescent="0.25">
      <c r="A15580" t="s">
        <v>24</v>
      </c>
      <c r="B15580" t="s">
        <v>54059</v>
      </c>
      <c r="C15580" t="str">
        <f>"A0167127"</f>
        <v>A0167127</v>
      </c>
      <c r="D15580" t="s">
        <v>54078</v>
      </c>
      <c r="E15580" t="s">
        <v>54079</v>
      </c>
      <c r="F15580" t="s">
        <v>3041</v>
      </c>
      <c r="G15580" t="s">
        <v>58</v>
      </c>
      <c r="H15580">
        <v>29072</v>
      </c>
      <c r="I15580" t="s">
        <v>30</v>
      </c>
      <c r="J15580" t="s">
        <v>31</v>
      </c>
      <c r="K15580" t="s">
        <v>296</v>
      </c>
      <c r="N15580" t="s">
        <v>54080</v>
      </c>
      <c r="Q15580">
        <v>0</v>
      </c>
      <c r="R15580">
        <v>82</v>
      </c>
      <c r="S15580">
        <v>0</v>
      </c>
      <c r="T15580" t="s">
        <v>54081</v>
      </c>
    </row>
    <row r="15581" spans="1:25" customFormat="1" ht="15" x14ac:dyDescent="0.25">
      <c r="A15581" t="s">
        <v>24</v>
      </c>
      <c r="B15581" t="s">
        <v>54059</v>
      </c>
      <c r="C15581" t="str">
        <f>"A0099186"</f>
        <v>A0099186</v>
      </c>
      <c r="D15581" t="s">
        <v>54082</v>
      </c>
      <c r="E15581" t="s">
        <v>54083</v>
      </c>
      <c r="F15581" t="s">
        <v>4909</v>
      </c>
      <c r="G15581" t="s">
        <v>58</v>
      </c>
      <c r="H15581">
        <v>29201</v>
      </c>
      <c r="I15581" t="s">
        <v>30</v>
      </c>
      <c r="J15581" t="s">
        <v>31</v>
      </c>
      <c r="K15581" t="s">
        <v>277</v>
      </c>
      <c r="N15581" t="s">
        <v>54084</v>
      </c>
      <c r="Q15581">
        <v>0</v>
      </c>
      <c r="R15581">
        <v>107</v>
      </c>
      <c r="S15581">
        <v>0</v>
      </c>
      <c r="T15581" t="s">
        <v>54085</v>
      </c>
    </row>
    <row r="15582" spans="1:25" customFormat="1" ht="15" x14ac:dyDescent="0.25">
      <c r="A15582" t="s">
        <v>24</v>
      </c>
      <c r="B15582" t="s">
        <v>3502</v>
      </c>
      <c r="C15582" t="str">
        <f>"A0167407"</f>
        <v>A0167407</v>
      </c>
      <c r="D15582" t="s">
        <v>54086</v>
      </c>
      <c r="E15582" t="s">
        <v>54087</v>
      </c>
      <c r="F15582" t="s">
        <v>54088</v>
      </c>
      <c r="G15582" t="s">
        <v>52</v>
      </c>
      <c r="H15582">
        <v>78102</v>
      </c>
      <c r="I15582" t="s">
        <v>30</v>
      </c>
      <c r="J15582" t="s">
        <v>31</v>
      </c>
      <c r="K15582" t="s">
        <v>282</v>
      </c>
      <c r="N15582" t="s">
        <v>54089</v>
      </c>
      <c r="Q15582">
        <v>0</v>
      </c>
      <c r="R15582">
        <v>88</v>
      </c>
      <c r="S15582">
        <v>0</v>
      </c>
      <c r="T15582" t="s">
        <v>54090</v>
      </c>
    </row>
    <row r="15583" spans="1:25" customFormat="1" ht="15" x14ac:dyDescent="0.25">
      <c r="A15583" t="s">
        <v>24</v>
      </c>
      <c r="B15583" t="s">
        <v>850</v>
      </c>
      <c r="C15583" t="str">
        <f>"A0068259"</f>
        <v>A0068259</v>
      </c>
      <c r="D15583" t="s">
        <v>71252</v>
      </c>
      <c r="E15583" t="s">
        <v>71253</v>
      </c>
      <c r="F15583" t="s">
        <v>11700</v>
      </c>
      <c r="G15583" t="s">
        <v>880</v>
      </c>
      <c r="H15583">
        <v>38111</v>
      </c>
      <c r="I15583" t="s">
        <v>30</v>
      </c>
      <c r="J15583" t="s">
        <v>162</v>
      </c>
      <c r="K15583" t="s">
        <v>854</v>
      </c>
      <c r="N15583" t="s">
        <v>71254</v>
      </c>
      <c r="O15583" t="s">
        <v>71255</v>
      </c>
      <c r="Q15583">
        <v>0</v>
      </c>
      <c r="R15583">
        <v>133</v>
      </c>
      <c r="S15583">
        <v>0</v>
      </c>
      <c r="T15583" t="s">
        <v>71256</v>
      </c>
    </row>
    <row r="15584" spans="1:25" customFormat="1" ht="15" x14ac:dyDescent="0.25">
      <c r="A15584" t="s">
        <v>24</v>
      </c>
      <c r="B15584" t="s">
        <v>56277</v>
      </c>
      <c r="C15584" t="str">
        <f>"A0055772"</f>
        <v>A0055772</v>
      </c>
      <c r="D15584" t="s">
        <v>71257</v>
      </c>
      <c r="E15584" t="s">
        <v>71258</v>
      </c>
      <c r="F15584" t="s">
        <v>5152</v>
      </c>
      <c r="G15584" t="s">
        <v>840</v>
      </c>
      <c r="H15584">
        <v>42103</v>
      </c>
      <c r="I15584" t="s">
        <v>30</v>
      </c>
      <c r="J15584" t="s">
        <v>162</v>
      </c>
      <c r="K15584" t="s">
        <v>854</v>
      </c>
      <c r="N15584" t="s">
        <v>71259</v>
      </c>
      <c r="O15584" t="s">
        <v>69443</v>
      </c>
      <c r="Q15584">
        <v>0</v>
      </c>
      <c r="R15584">
        <v>218</v>
      </c>
      <c r="S15584">
        <v>0</v>
      </c>
      <c r="T15584" t="s">
        <v>71260</v>
      </c>
    </row>
    <row r="15585" spans="1:25" customFormat="1" ht="15" x14ac:dyDescent="0.25">
      <c r="A15585" t="s">
        <v>24</v>
      </c>
      <c r="B15585" t="s">
        <v>2812</v>
      </c>
      <c r="C15585" t="str">
        <f>"A0158016"</f>
        <v>A0158016</v>
      </c>
      <c r="D15585" t="s">
        <v>54101</v>
      </c>
      <c r="E15585" t="s">
        <v>54102</v>
      </c>
      <c r="F15585" t="s">
        <v>845</v>
      </c>
      <c r="G15585" t="s">
        <v>846</v>
      </c>
      <c r="H15585">
        <v>30305</v>
      </c>
      <c r="I15585" t="s">
        <v>30</v>
      </c>
      <c r="J15585" t="s">
        <v>31</v>
      </c>
      <c r="K15585" t="s">
        <v>1890</v>
      </c>
      <c r="N15585" t="s">
        <v>54103</v>
      </c>
      <c r="Q15585">
        <v>0</v>
      </c>
      <c r="R15585">
        <v>166</v>
      </c>
      <c r="S15585">
        <v>0</v>
      </c>
      <c r="T15585" t="s">
        <v>54104</v>
      </c>
    </row>
    <row r="15586" spans="1:25" customFormat="1" ht="15" x14ac:dyDescent="0.25">
      <c r="A15586" t="s">
        <v>24</v>
      </c>
      <c r="B15586" t="s">
        <v>3221</v>
      </c>
      <c r="C15586" t="str">
        <f>"SF05134"</f>
        <v>SF05134</v>
      </c>
      <c r="D15586" t="s">
        <v>71261</v>
      </c>
      <c r="E15586" t="s">
        <v>71262</v>
      </c>
      <c r="F15586" t="s">
        <v>35958</v>
      </c>
      <c r="G15586" t="s">
        <v>507</v>
      </c>
      <c r="H15586">
        <v>26062</v>
      </c>
      <c r="I15586" t="s">
        <v>30</v>
      </c>
      <c r="J15586" t="s">
        <v>162</v>
      </c>
      <c r="K15586" t="s">
        <v>854</v>
      </c>
      <c r="N15586" t="s">
        <v>71263</v>
      </c>
      <c r="Q15586">
        <v>0</v>
      </c>
      <c r="R15586">
        <v>118</v>
      </c>
      <c r="S15586">
        <v>0</v>
      </c>
      <c r="T15586" t="s">
        <v>71264</v>
      </c>
    </row>
    <row r="15587" spans="1:25" customFormat="1" ht="15" x14ac:dyDescent="0.25">
      <c r="A15587" t="s">
        <v>24</v>
      </c>
      <c r="B15587" t="s">
        <v>57556</v>
      </c>
      <c r="C15587" t="str">
        <f>"A0095382"</f>
        <v>A0095382</v>
      </c>
      <c r="D15587" t="s">
        <v>71265</v>
      </c>
      <c r="E15587" t="s">
        <v>71266</v>
      </c>
      <c r="F15587" t="s">
        <v>65708</v>
      </c>
      <c r="G15587" t="s">
        <v>103</v>
      </c>
      <c r="H15587">
        <v>18702</v>
      </c>
      <c r="I15587" t="s">
        <v>30</v>
      </c>
      <c r="J15587" t="s">
        <v>162</v>
      </c>
      <c r="K15587" t="s">
        <v>854</v>
      </c>
      <c r="Q15587">
        <v>0</v>
      </c>
      <c r="R15587">
        <v>152</v>
      </c>
      <c r="S15587">
        <v>0</v>
      </c>
      <c r="T15587" t="s">
        <v>71267</v>
      </c>
    </row>
    <row r="15588" spans="1:25" customFormat="1" ht="15" x14ac:dyDescent="0.25">
      <c r="A15588" t="s">
        <v>24</v>
      </c>
      <c r="B15588" t="s">
        <v>5843</v>
      </c>
      <c r="C15588" t="str">
        <f>"A0090270"</f>
        <v>A0090270</v>
      </c>
      <c r="D15588" t="s">
        <v>71268</v>
      </c>
      <c r="E15588" t="s">
        <v>71269</v>
      </c>
      <c r="F15588" t="s">
        <v>33699</v>
      </c>
      <c r="G15588" t="s">
        <v>81</v>
      </c>
      <c r="H15588">
        <v>32095</v>
      </c>
      <c r="I15588" t="s">
        <v>30</v>
      </c>
      <c r="J15588" t="s">
        <v>162</v>
      </c>
      <c r="K15588" t="s">
        <v>854</v>
      </c>
      <c r="N15588" t="s">
        <v>71270</v>
      </c>
      <c r="Q15588">
        <v>0</v>
      </c>
      <c r="R15588">
        <v>162</v>
      </c>
      <c r="S15588">
        <v>0</v>
      </c>
      <c r="T15588" t="s">
        <v>71271</v>
      </c>
    </row>
    <row r="15589" spans="1:25" customFormat="1" ht="15" x14ac:dyDescent="0.25">
      <c r="A15589" t="s">
        <v>24</v>
      </c>
      <c r="B15589" t="s">
        <v>1548</v>
      </c>
      <c r="C15589" t="str">
        <f>"A0065959"</f>
        <v>A0065959</v>
      </c>
      <c r="D15589" t="s">
        <v>72277</v>
      </c>
      <c r="E15589" t="s">
        <v>72278</v>
      </c>
      <c r="F15589" t="s">
        <v>72279</v>
      </c>
      <c r="G15589" t="s">
        <v>52</v>
      </c>
      <c r="H15589">
        <v>78657</v>
      </c>
      <c r="I15589" t="s">
        <v>30</v>
      </c>
      <c r="J15589" t="s">
        <v>162</v>
      </c>
      <c r="K15589" t="s">
        <v>163</v>
      </c>
      <c r="N15589" t="s">
        <v>72280</v>
      </c>
      <c r="O15589" t="s">
        <v>72281</v>
      </c>
      <c r="P15589" t="s">
        <v>3998</v>
      </c>
      <c r="Q15589">
        <v>3</v>
      </c>
      <c r="R15589">
        <v>385</v>
      </c>
      <c r="S15589">
        <v>0</v>
      </c>
      <c r="T15589" t="s">
        <v>72282</v>
      </c>
    </row>
    <row r="15590" spans="1:25" customFormat="1" ht="15" x14ac:dyDescent="0.25">
      <c r="A15590" t="s">
        <v>24</v>
      </c>
      <c r="B15590" t="s">
        <v>54091</v>
      </c>
      <c r="C15590" t="str">
        <f>"A0166925"</f>
        <v>A0166925</v>
      </c>
      <c r="D15590" t="s">
        <v>54123</v>
      </c>
      <c r="E15590" t="s">
        <v>54124</v>
      </c>
      <c r="F15590" t="s">
        <v>54125</v>
      </c>
      <c r="G15590" t="s">
        <v>123</v>
      </c>
      <c r="H15590">
        <v>20653</v>
      </c>
      <c r="I15590" t="s">
        <v>30</v>
      </c>
      <c r="J15590" t="s">
        <v>145</v>
      </c>
      <c r="K15590" t="s">
        <v>154</v>
      </c>
      <c r="N15590" t="s">
        <v>54126</v>
      </c>
      <c r="O15590" t="s">
        <v>54127</v>
      </c>
      <c r="Q15590">
        <v>0</v>
      </c>
      <c r="R15590">
        <v>66</v>
      </c>
      <c r="S15590">
        <v>0</v>
      </c>
      <c r="T15590" t="s">
        <v>54128</v>
      </c>
    </row>
    <row r="15591" spans="1:25" customFormat="1" ht="15" x14ac:dyDescent="0.25">
      <c r="A15591" t="s">
        <v>24</v>
      </c>
      <c r="B15591" t="s">
        <v>3221</v>
      </c>
      <c r="C15591" t="str">
        <f>"A0095787"</f>
        <v>A0095787</v>
      </c>
      <c r="D15591" t="s">
        <v>72295</v>
      </c>
      <c r="E15591" t="s">
        <v>72296</v>
      </c>
      <c r="F15591" t="s">
        <v>58975</v>
      </c>
      <c r="G15591" t="s">
        <v>899</v>
      </c>
      <c r="H15591">
        <v>2360</v>
      </c>
      <c r="I15591" t="s">
        <v>30</v>
      </c>
      <c r="J15591" t="s">
        <v>162</v>
      </c>
      <c r="K15591" t="s">
        <v>163</v>
      </c>
      <c r="N15591" t="s">
        <v>72297</v>
      </c>
      <c r="O15591" t="s">
        <v>72298</v>
      </c>
      <c r="Q15591">
        <v>0</v>
      </c>
      <c r="R15591">
        <v>175</v>
      </c>
      <c r="S15591">
        <v>0</v>
      </c>
      <c r="T15591" t="s">
        <v>72299</v>
      </c>
    </row>
    <row r="15592" spans="1:25" customFormat="1" ht="15" x14ac:dyDescent="0.25">
      <c r="A15592" t="s">
        <v>24</v>
      </c>
      <c r="B15592" t="s">
        <v>54091</v>
      </c>
      <c r="C15592" t="str">
        <f>"A0059649"</f>
        <v>A0059649</v>
      </c>
      <c r="D15592" t="s">
        <v>54133</v>
      </c>
      <c r="E15592" t="s">
        <v>54134</v>
      </c>
      <c r="F15592" t="s">
        <v>4397</v>
      </c>
      <c r="G15592" t="s">
        <v>123</v>
      </c>
      <c r="H15592">
        <v>20850</v>
      </c>
      <c r="I15592" t="s">
        <v>30</v>
      </c>
      <c r="J15592" t="s">
        <v>145</v>
      </c>
      <c r="K15592" t="s">
        <v>302</v>
      </c>
      <c r="N15592" t="s">
        <v>54135</v>
      </c>
      <c r="Q15592">
        <v>0</v>
      </c>
      <c r="R15592">
        <v>107</v>
      </c>
      <c r="S15592">
        <v>0</v>
      </c>
      <c r="T15592" t="s">
        <v>54136</v>
      </c>
    </row>
    <row r="15593" spans="1:25" customFormat="1" ht="15" x14ac:dyDescent="0.25">
      <c r="A15593" t="s">
        <v>24</v>
      </c>
      <c r="B15593" t="s">
        <v>54091</v>
      </c>
      <c r="C15593" t="str">
        <f>"A0166923"</f>
        <v>A0166923</v>
      </c>
      <c r="D15593" t="s">
        <v>54137</v>
      </c>
      <c r="E15593" t="s">
        <v>54138</v>
      </c>
      <c r="F15593" t="s">
        <v>34946</v>
      </c>
      <c r="G15593" t="s">
        <v>103</v>
      </c>
      <c r="H15593">
        <v>16365</v>
      </c>
      <c r="I15593" t="s">
        <v>30</v>
      </c>
      <c r="J15593" t="s">
        <v>145</v>
      </c>
      <c r="K15593" t="s">
        <v>1185</v>
      </c>
      <c r="N15593" t="s">
        <v>54139</v>
      </c>
      <c r="Q15593">
        <v>0</v>
      </c>
      <c r="R15593">
        <v>111</v>
      </c>
      <c r="S15593">
        <v>0</v>
      </c>
      <c r="T15593" t="s">
        <v>54140</v>
      </c>
    </row>
    <row r="15594" spans="1:25" customFormat="1" ht="15" x14ac:dyDescent="0.25">
      <c r="A15594" t="s">
        <v>24</v>
      </c>
      <c r="B15594" t="s">
        <v>193</v>
      </c>
      <c r="C15594" t="str">
        <f>"A0096755"</f>
        <v>A0096755</v>
      </c>
      <c r="D15594" t="s">
        <v>54141</v>
      </c>
      <c r="E15594" t="s">
        <v>54142</v>
      </c>
      <c r="F15594" t="s">
        <v>54143</v>
      </c>
      <c r="G15594" t="s">
        <v>161</v>
      </c>
      <c r="H15594">
        <v>55328</v>
      </c>
      <c r="I15594" t="s">
        <v>30</v>
      </c>
      <c r="J15594" t="s">
        <v>145</v>
      </c>
      <c r="K15594" t="s">
        <v>54144</v>
      </c>
      <c r="N15594" t="s">
        <v>54145</v>
      </c>
      <c r="Q15594">
        <v>0</v>
      </c>
      <c r="R15594">
        <v>54</v>
      </c>
      <c r="S15594">
        <v>0</v>
      </c>
      <c r="T15594" t="s">
        <v>54146</v>
      </c>
    </row>
    <row r="15595" spans="1:25" customFormat="1" ht="15" x14ac:dyDescent="0.25">
      <c r="A15595" t="s">
        <v>24</v>
      </c>
      <c r="B15595" t="s">
        <v>1014</v>
      </c>
      <c r="C15595" t="str">
        <f>"A0095731"</f>
        <v>A0095731</v>
      </c>
      <c r="D15595" t="s">
        <v>54147</v>
      </c>
      <c r="E15595" t="s">
        <v>54148</v>
      </c>
      <c r="F15595" t="s">
        <v>54149</v>
      </c>
      <c r="G15595" t="s">
        <v>52</v>
      </c>
      <c r="H15595">
        <v>76108</v>
      </c>
      <c r="I15595" t="s">
        <v>30</v>
      </c>
      <c r="J15595" t="s">
        <v>31</v>
      </c>
      <c r="K15595" t="s">
        <v>296</v>
      </c>
      <c r="N15595" t="s">
        <v>15865</v>
      </c>
      <c r="Q15595">
        <v>0</v>
      </c>
      <c r="R15595">
        <v>65</v>
      </c>
      <c r="S15595">
        <v>0</v>
      </c>
      <c r="T15595" t="s">
        <v>54150</v>
      </c>
    </row>
    <row r="15596" spans="1:25" x14ac:dyDescent="0.25">
      <c r="A15596" s="5" t="s">
        <v>24</v>
      </c>
      <c r="B15596" s="5" t="s">
        <v>2955</v>
      </c>
      <c r="C15596" s="5" t="str">
        <f>"A0075452"</f>
        <v>A0075452</v>
      </c>
      <c r="D15596" s="5" t="s">
        <v>72300</v>
      </c>
      <c r="E15596" s="5" t="s">
        <v>72301</v>
      </c>
      <c r="F15596" s="5" t="s">
        <v>50985</v>
      </c>
      <c r="G15596" s="5" t="s">
        <v>29</v>
      </c>
      <c r="H15596" s="5">
        <v>24401</v>
      </c>
      <c r="I15596" s="5" t="s">
        <v>30</v>
      </c>
      <c r="J15596" s="5" t="s">
        <v>162</v>
      </c>
      <c r="K15596" s="5" t="s">
        <v>163</v>
      </c>
      <c r="L15596" s="5"/>
      <c r="M15596" s="5"/>
      <c r="N15596" s="5" t="s">
        <v>72302</v>
      </c>
      <c r="O15596" s="5"/>
      <c r="P15596" s="5"/>
      <c r="Q15596" s="5">
        <v>0</v>
      </c>
      <c r="R15596" s="5">
        <v>124</v>
      </c>
      <c r="S15596" s="5">
        <v>0</v>
      </c>
      <c r="T15596" s="5" t="s">
        <v>72303</v>
      </c>
      <c r="U15596" s="5"/>
      <c r="V15596" s="5"/>
      <c r="W15596" s="5"/>
      <c r="X15596" s="5"/>
      <c r="Y15596" s="5"/>
    </row>
    <row r="15597" spans="1:25" customFormat="1" ht="15" x14ac:dyDescent="0.25">
      <c r="A15597" t="s">
        <v>24</v>
      </c>
      <c r="B15597" t="s">
        <v>54156</v>
      </c>
      <c r="C15597" t="str">
        <f>"A0069127"</f>
        <v>A0069127</v>
      </c>
      <c r="D15597" t="s">
        <v>54157</v>
      </c>
      <c r="E15597" t="s">
        <v>54158</v>
      </c>
      <c r="F15597" t="s">
        <v>54159</v>
      </c>
      <c r="G15597" t="s">
        <v>76</v>
      </c>
      <c r="H15597">
        <v>98327</v>
      </c>
      <c r="I15597" t="s">
        <v>30</v>
      </c>
      <c r="J15597" t="s">
        <v>31</v>
      </c>
      <c r="K15597" t="s">
        <v>32</v>
      </c>
      <c r="N15597" t="s">
        <v>54160</v>
      </c>
      <c r="Q15597">
        <v>0</v>
      </c>
      <c r="R15597">
        <v>90</v>
      </c>
      <c r="S15597">
        <v>0</v>
      </c>
      <c r="T15597">
        <f>+(360)-334-3314</f>
        <v>-3288</v>
      </c>
    </row>
    <row r="15598" spans="1:25" customFormat="1" ht="15" x14ac:dyDescent="0.25">
      <c r="A15598" t="s">
        <v>24</v>
      </c>
      <c r="B15598" t="s">
        <v>11484</v>
      </c>
      <c r="C15598" t="str">
        <f>"A0055659"</f>
        <v>A0055659</v>
      </c>
      <c r="D15598" t="s">
        <v>72314</v>
      </c>
      <c r="E15598" t="s">
        <v>72315</v>
      </c>
      <c r="F15598" t="s">
        <v>748</v>
      </c>
      <c r="G15598" t="s">
        <v>110</v>
      </c>
      <c r="H15598">
        <v>94102</v>
      </c>
      <c r="I15598" t="s">
        <v>30</v>
      </c>
      <c r="J15598" t="s">
        <v>162</v>
      </c>
      <c r="K15598" t="s">
        <v>163</v>
      </c>
      <c r="N15598" t="s">
        <v>72316</v>
      </c>
      <c r="Q15598">
        <v>0</v>
      </c>
      <c r="R15598">
        <v>91</v>
      </c>
      <c r="S15598">
        <v>0</v>
      </c>
      <c r="T15598" t="s">
        <v>72317</v>
      </c>
    </row>
    <row r="15599" spans="1:25" customFormat="1" ht="15" x14ac:dyDescent="0.25">
      <c r="A15599" t="s">
        <v>24</v>
      </c>
      <c r="B15599" t="s">
        <v>72325</v>
      </c>
      <c r="C15599" t="str">
        <f>"A0076940"</f>
        <v>A0076940</v>
      </c>
      <c r="D15599" t="s">
        <v>72326</v>
      </c>
      <c r="E15599" t="s">
        <v>72327</v>
      </c>
      <c r="F15599" t="s">
        <v>1519</v>
      </c>
      <c r="G15599" t="s">
        <v>110</v>
      </c>
      <c r="H15599">
        <v>90049</v>
      </c>
      <c r="I15599" t="s">
        <v>30</v>
      </c>
      <c r="J15599" t="s">
        <v>162</v>
      </c>
      <c r="K15599" t="s">
        <v>163</v>
      </c>
      <c r="N15599" t="s">
        <v>72328</v>
      </c>
      <c r="Q15599">
        <v>0</v>
      </c>
      <c r="R15599">
        <v>209</v>
      </c>
      <c r="S15599">
        <v>0</v>
      </c>
      <c r="T15599" t="s">
        <v>72329</v>
      </c>
    </row>
    <row r="15600" spans="1:25" x14ac:dyDescent="0.25">
      <c r="A15600" s="5" t="s">
        <v>24</v>
      </c>
      <c r="B15600" s="5" t="s">
        <v>2011</v>
      </c>
      <c r="C15600" s="5" t="str">
        <f>"A0076933"</f>
        <v>A0076933</v>
      </c>
      <c r="D15600" s="5" t="s">
        <v>72343</v>
      </c>
      <c r="E15600" s="5" t="s">
        <v>72344</v>
      </c>
      <c r="F15600" s="5" t="s">
        <v>11631</v>
      </c>
      <c r="G15600" s="5" t="s">
        <v>110</v>
      </c>
      <c r="H15600" s="5">
        <v>94040</v>
      </c>
      <c r="I15600" s="5" t="s">
        <v>30</v>
      </c>
      <c r="J15600" s="5" t="s">
        <v>162</v>
      </c>
      <c r="K15600" s="5" t="s">
        <v>13246</v>
      </c>
      <c r="L15600" s="5"/>
      <c r="M15600" s="5"/>
      <c r="N15600" s="5" t="s">
        <v>72345</v>
      </c>
      <c r="O15600" s="5"/>
      <c r="P15600" s="5"/>
      <c r="Q15600" s="5">
        <v>0</v>
      </c>
      <c r="R15600" s="5">
        <v>91</v>
      </c>
      <c r="S15600" s="5">
        <v>0</v>
      </c>
      <c r="T15600" s="5" t="s">
        <v>72346</v>
      </c>
      <c r="U15600" s="5"/>
      <c r="V15600" s="5"/>
      <c r="W15600" s="5"/>
      <c r="X15600" s="5"/>
      <c r="Y15600" s="5"/>
    </row>
    <row r="15601" spans="1:25" customFormat="1" ht="15" hidden="1" x14ac:dyDescent="0.25">
      <c r="A15601" t="s">
        <v>24</v>
      </c>
      <c r="B15601" t="s">
        <v>1598</v>
      </c>
      <c r="C15601" t="str">
        <f>"A0086416"</f>
        <v>A0086416</v>
      </c>
      <c r="D15601" t="s">
        <v>54174</v>
      </c>
      <c r="E15601" t="s">
        <v>54175</v>
      </c>
      <c r="F15601" t="s">
        <v>15269</v>
      </c>
      <c r="G15601" t="s">
        <v>15270</v>
      </c>
      <c r="H15601" t="s">
        <v>54176</v>
      </c>
      <c r="I15601" t="s">
        <v>1459</v>
      </c>
      <c r="J15601" t="s">
        <v>171</v>
      </c>
      <c r="K15601" t="s">
        <v>1450</v>
      </c>
      <c r="N15601" t="s">
        <v>54177</v>
      </c>
      <c r="Q15601">
        <v>0</v>
      </c>
      <c r="R15601">
        <v>133</v>
      </c>
      <c r="S15601">
        <v>0</v>
      </c>
      <c r="T15601" t="s">
        <v>54178</v>
      </c>
    </row>
    <row r="15602" spans="1:25" x14ac:dyDescent="0.25">
      <c r="A15602" s="5" t="s">
        <v>24</v>
      </c>
      <c r="B15602" s="5" t="s">
        <v>56564</v>
      </c>
      <c r="C15602" s="5" t="str">
        <f>"A0087530"</f>
        <v>A0087530</v>
      </c>
      <c r="D15602" s="5" t="s">
        <v>72353</v>
      </c>
      <c r="E15602" s="5" t="s">
        <v>72354</v>
      </c>
      <c r="F15602" s="5" t="s">
        <v>1159</v>
      </c>
      <c r="G15602" s="5" t="s">
        <v>58</v>
      </c>
      <c r="H15602" s="5">
        <v>29578</v>
      </c>
      <c r="I15602" s="5" t="s">
        <v>30</v>
      </c>
      <c r="J15602" s="5" t="s">
        <v>162</v>
      </c>
      <c r="K15602" s="5" t="s">
        <v>163</v>
      </c>
      <c r="L15602" s="5"/>
      <c r="M15602" s="5"/>
      <c r="N15602" s="5" t="s">
        <v>57758</v>
      </c>
      <c r="O15602" s="5" t="s">
        <v>57759</v>
      </c>
      <c r="P15602" s="5"/>
      <c r="Q15602" s="5">
        <v>0</v>
      </c>
      <c r="R15602" s="5">
        <v>224</v>
      </c>
      <c r="S15602" s="5">
        <v>0</v>
      </c>
      <c r="T15602" s="5" t="s">
        <v>72355</v>
      </c>
      <c r="U15602" s="5"/>
      <c r="V15602" s="5"/>
      <c r="W15602" s="5"/>
      <c r="X15602" s="5"/>
      <c r="Y15602" s="5"/>
    </row>
    <row r="15603" spans="1:25" customFormat="1" ht="15" x14ac:dyDescent="0.25">
      <c r="A15603" t="s">
        <v>24</v>
      </c>
      <c r="B15603" t="s">
        <v>54184</v>
      </c>
      <c r="C15603" t="str">
        <f>"A0049346"</f>
        <v>A0049346</v>
      </c>
      <c r="D15603" t="s">
        <v>54185</v>
      </c>
      <c r="E15603" t="s">
        <v>54186</v>
      </c>
      <c r="F15603" t="s">
        <v>54187</v>
      </c>
      <c r="G15603" t="s">
        <v>615</v>
      </c>
      <c r="H15603">
        <v>6830</v>
      </c>
      <c r="I15603" t="s">
        <v>30</v>
      </c>
      <c r="J15603" t="s">
        <v>178</v>
      </c>
      <c r="K15603" t="s">
        <v>179</v>
      </c>
      <c r="N15603" t="s">
        <v>54188</v>
      </c>
      <c r="Q15603">
        <v>0</v>
      </c>
      <c r="R15603">
        <v>0</v>
      </c>
      <c r="S15603">
        <v>0</v>
      </c>
      <c r="T15603" t="s">
        <v>54189</v>
      </c>
    </row>
    <row r="15604" spans="1:25" x14ac:dyDescent="0.25">
      <c r="A15604" s="5" t="s">
        <v>24</v>
      </c>
      <c r="B15604" s="5" t="s">
        <v>4990</v>
      </c>
      <c r="C15604" s="5" t="str">
        <f>"A0155770"</f>
        <v>A0155770</v>
      </c>
      <c r="D15604" s="5" t="s">
        <v>72365</v>
      </c>
      <c r="E15604" s="5" t="s">
        <v>72366</v>
      </c>
      <c r="F15604" s="5" t="s">
        <v>10126</v>
      </c>
      <c r="G15604" s="5" t="s">
        <v>1898</v>
      </c>
      <c r="H15604" s="5">
        <v>52240</v>
      </c>
      <c r="I15604" s="5" t="s">
        <v>30</v>
      </c>
      <c r="J15604" s="5" t="s">
        <v>162</v>
      </c>
      <c r="K15604" s="5" t="s">
        <v>2881</v>
      </c>
      <c r="L15604" s="5"/>
      <c r="M15604" s="5"/>
      <c r="N15604" s="5" t="s">
        <v>10127</v>
      </c>
      <c r="O15604" s="5"/>
      <c r="P15604" s="5"/>
      <c r="Q15604" s="5">
        <v>0</v>
      </c>
      <c r="R15604" s="5">
        <v>51</v>
      </c>
      <c r="S15604" s="5">
        <v>0</v>
      </c>
      <c r="T15604" s="5" t="s">
        <v>72367</v>
      </c>
      <c r="U15604" s="5"/>
      <c r="V15604" s="5"/>
      <c r="W15604" s="5"/>
      <c r="X15604" s="5"/>
      <c r="Y15604" s="5"/>
    </row>
    <row r="15605" spans="1:25" customFormat="1" ht="15" x14ac:dyDescent="0.25">
      <c r="A15605" t="s">
        <v>24</v>
      </c>
      <c r="B15605" t="s">
        <v>2373</v>
      </c>
      <c r="C15605" t="str">
        <f>"A0091162"</f>
        <v>A0091162</v>
      </c>
      <c r="D15605" t="s">
        <v>72385</v>
      </c>
      <c r="E15605" t="s">
        <v>72386</v>
      </c>
      <c r="F15605" t="s">
        <v>356</v>
      </c>
      <c r="G15605" t="s">
        <v>52</v>
      </c>
      <c r="H15605">
        <v>78205</v>
      </c>
      <c r="I15605" t="s">
        <v>30</v>
      </c>
      <c r="J15605" t="s">
        <v>162</v>
      </c>
      <c r="K15605" t="s">
        <v>163</v>
      </c>
      <c r="N15605" t="s">
        <v>72387</v>
      </c>
      <c r="P15605" t="s">
        <v>3998</v>
      </c>
      <c r="Q15605">
        <v>0</v>
      </c>
      <c r="R15605">
        <v>265</v>
      </c>
      <c r="S15605">
        <v>0</v>
      </c>
      <c r="T15605" t="s">
        <v>72388</v>
      </c>
    </row>
    <row r="15606" spans="1:25" customFormat="1" ht="15" x14ac:dyDescent="0.25">
      <c r="A15606" t="s">
        <v>24</v>
      </c>
      <c r="B15606" t="s">
        <v>72389</v>
      </c>
      <c r="C15606" t="str">
        <f>"A0053450"</f>
        <v>A0053450</v>
      </c>
      <c r="D15606" t="s">
        <v>72390</v>
      </c>
      <c r="E15606" t="s">
        <v>72391</v>
      </c>
      <c r="F15606" t="s">
        <v>53840</v>
      </c>
      <c r="G15606" t="s">
        <v>840</v>
      </c>
      <c r="H15606">
        <v>41011</v>
      </c>
      <c r="I15606" t="s">
        <v>30</v>
      </c>
      <c r="J15606" t="s">
        <v>162</v>
      </c>
      <c r="K15606" t="s">
        <v>163</v>
      </c>
      <c r="N15606" t="s">
        <v>72392</v>
      </c>
      <c r="O15606" t="s">
        <v>72393</v>
      </c>
      <c r="Q15606">
        <v>0</v>
      </c>
      <c r="R15606">
        <v>114</v>
      </c>
      <c r="S15606">
        <v>0</v>
      </c>
      <c r="T15606" t="s">
        <v>72394</v>
      </c>
    </row>
    <row r="15607" spans="1:25" customFormat="1" ht="15" hidden="1" x14ac:dyDescent="0.25">
      <c r="A15607" t="s">
        <v>24</v>
      </c>
      <c r="B15607" t="s">
        <v>1548</v>
      </c>
      <c r="C15607" t="str">
        <f>"A0166919"</f>
        <v>A0166919</v>
      </c>
      <c r="D15607" t="s">
        <v>54202</v>
      </c>
      <c r="E15607" t="s">
        <v>54203</v>
      </c>
      <c r="F15607" t="s">
        <v>54204</v>
      </c>
      <c r="G15607" t="s">
        <v>2206</v>
      </c>
      <c r="H15607" t="s">
        <v>54205</v>
      </c>
      <c r="I15607" t="s">
        <v>1459</v>
      </c>
      <c r="J15607" t="s">
        <v>171</v>
      </c>
      <c r="K15607" t="s">
        <v>1202</v>
      </c>
      <c r="N15607" t="s">
        <v>54206</v>
      </c>
      <c r="Q15607">
        <v>0</v>
      </c>
      <c r="R15607">
        <v>140</v>
      </c>
      <c r="S15607">
        <v>0</v>
      </c>
      <c r="T15607" t="s">
        <v>54207</v>
      </c>
    </row>
    <row r="15608" spans="1:25" customFormat="1" ht="15" x14ac:dyDescent="0.25">
      <c r="A15608" t="s">
        <v>24</v>
      </c>
      <c r="B15608" t="s">
        <v>54208</v>
      </c>
      <c r="C15608" t="str">
        <f>"A0155967"</f>
        <v>A0155967</v>
      </c>
      <c r="D15608" t="s">
        <v>54209</v>
      </c>
      <c r="E15608" t="s">
        <v>54210</v>
      </c>
      <c r="F15608" t="s">
        <v>9515</v>
      </c>
      <c r="G15608" t="s">
        <v>110</v>
      </c>
      <c r="H15608">
        <v>92020</v>
      </c>
      <c r="I15608" t="s">
        <v>30</v>
      </c>
      <c r="J15608" t="s">
        <v>31</v>
      </c>
      <c r="K15608" t="s">
        <v>198</v>
      </c>
      <c r="N15608" t="s">
        <v>54211</v>
      </c>
      <c r="Q15608">
        <v>0</v>
      </c>
      <c r="R15608">
        <v>96</v>
      </c>
      <c r="S15608">
        <v>0</v>
      </c>
      <c r="T15608" t="s">
        <v>54212</v>
      </c>
    </row>
    <row r="15609" spans="1:25" customFormat="1" ht="15" x14ac:dyDescent="0.25">
      <c r="A15609" t="s">
        <v>24</v>
      </c>
      <c r="B15609" t="s">
        <v>2011</v>
      </c>
      <c r="C15609" t="str">
        <f>"A0063680"</f>
        <v>A0063680</v>
      </c>
      <c r="D15609" t="s">
        <v>72395</v>
      </c>
      <c r="E15609" t="s">
        <v>72396</v>
      </c>
      <c r="F15609" t="s">
        <v>4802</v>
      </c>
      <c r="G15609" t="s">
        <v>110</v>
      </c>
      <c r="H15609">
        <v>95113</v>
      </c>
      <c r="I15609" t="s">
        <v>30</v>
      </c>
      <c r="J15609" t="s">
        <v>162</v>
      </c>
      <c r="K15609" t="s">
        <v>2015</v>
      </c>
      <c r="N15609" t="s">
        <v>56031</v>
      </c>
      <c r="Q15609">
        <v>0</v>
      </c>
      <c r="R15609">
        <v>100</v>
      </c>
      <c r="S15609">
        <v>0</v>
      </c>
      <c r="T15609" t="s">
        <v>72397</v>
      </c>
    </row>
    <row r="15610" spans="1:25" customFormat="1" ht="15" x14ac:dyDescent="0.25">
      <c r="A15610" t="s">
        <v>24</v>
      </c>
      <c r="B15610" t="s">
        <v>54208</v>
      </c>
      <c r="C15610" t="str">
        <f>"A0148618"</f>
        <v>A0148618</v>
      </c>
      <c r="D15610" t="s">
        <v>54218</v>
      </c>
      <c r="E15610" t="s">
        <v>54219</v>
      </c>
      <c r="F15610" t="s">
        <v>3431</v>
      </c>
      <c r="G15610" t="s">
        <v>110</v>
      </c>
      <c r="H15610">
        <v>92025</v>
      </c>
      <c r="I15610" t="s">
        <v>30</v>
      </c>
      <c r="J15610" t="s">
        <v>31</v>
      </c>
      <c r="K15610" t="s">
        <v>255</v>
      </c>
      <c r="N15610" t="s">
        <v>54220</v>
      </c>
      <c r="O15610" t="s">
        <v>54221</v>
      </c>
      <c r="Q15610">
        <v>0</v>
      </c>
      <c r="R15610">
        <v>107</v>
      </c>
      <c r="S15610">
        <v>0</v>
      </c>
      <c r="T15610" t="s">
        <v>54222</v>
      </c>
    </row>
    <row r="15611" spans="1:25" customFormat="1" ht="15" x14ac:dyDescent="0.25">
      <c r="A15611" t="s">
        <v>24</v>
      </c>
      <c r="B15611" t="s">
        <v>54208</v>
      </c>
      <c r="C15611" t="str">
        <f>"A0099183"</f>
        <v>A0099183</v>
      </c>
      <c r="D15611" t="s">
        <v>54223</v>
      </c>
      <c r="E15611" t="s">
        <v>54224</v>
      </c>
      <c r="F15611" t="s">
        <v>2978</v>
      </c>
      <c r="G15611" t="s">
        <v>110</v>
      </c>
      <c r="H15611">
        <v>92123</v>
      </c>
      <c r="I15611" t="s">
        <v>30</v>
      </c>
      <c r="J15611" t="s">
        <v>31</v>
      </c>
      <c r="K15611" t="s">
        <v>222</v>
      </c>
      <c r="N15611" t="s">
        <v>54225</v>
      </c>
      <c r="O15611" t="s">
        <v>54226</v>
      </c>
      <c r="Q15611">
        <v>0</v>
      </c>
      <c r="R15611">
        <v>105</v>
      </c>
      <c r="S15611">
        <v>0</v>
      </c>
      <c r="T15611" t="s">
        <v>54227</v>
      </c>
    </row>
    <row r="15612" spans="1:25" customFormat="1" ht="15" x14ac:dyDescent="0.25">
      <c r="A15612" t="s">
        <v>24</v>
      </c>
      <c r="B15612" t="s">
        <v>54208</v>
      </c>
      <c r="C15612" t="str">
        <f>"A0097809"</f>
        <v>A0097809</v>
      </c>
      <c r="D15612" t="s">
        <v>54228</v>
      </c>
      <c r="E15612" t="s">
        <v>54229</v>
      </c>
      <c r="F15612" t="s">
        <v>54230</v>
      </c>
      <c r="G15612" t="s">
        <v>110</v>
      </c>
      <c r="H15612">
        <v>92647</v>
      </c>
      <c r="I15612" t="s">
        <v>30</v>
      </c>
      <c r="J15612" t="s">
        <v>31</v>
      </c>
      <c r="K15612" t="s">
        <v>255</v>
      </c>
      <c r="N15612" t="s">
        <v>54231</v>
      </c>
      <c r="O15612" t="s">
        <v>54232</v>
      </c>
      <c r="Q15612">
        <v>0</v>
      </c>
      <c r="R15612">
        <v>127</v>
      </c>
      <c r="S15612">
        <v>0</v>
      </c>
      <c r="T15612" t="s">
        <v>54233</v>
      </c>
    </row>
    <row r="15613" spans="1:25" customFormat="1" ht="15" x14ac:dyDescent="0.25">
      <c r="A15613" t="s">
        <v>24</v>
      </c>
      <c r="B15613" t="s">
        <v>57556</v>
      </c>
      <c r="C15613" t="str">
        <f>"A0148414"</f>
        <v>A0148414</v>
      </c>
      <c r="D15613" t="s">
        <v>72412</v>
      </c>
      <c r="E15613" t="s">
        <v>72413</v>
      </c>
      <c r="F15613" t="s">
        <v>68574</v>
      </c>
      <c r="G15613" t="s">
        <v>1587</v>
      </c>
      <c r="H15613">
        <v>87571</v>
      </c>
      <c r="I15613" t="s">
        <v>30</v>
      </c>
      <c r="J15613" t="s">
        <v>162</v>
      </c>
      <c r="K15613" t="s">
        <v>2881</v>
      </c>
      <c r="N15613" t="s">
        <v>72414</v>
      </c>
      <c r="Q15613">
        <v>0</v>
      </c>
      <c r="R15613">
        <v>126</v>
      </c>
      <c r="S15613">
        <v>0</v>
      </c>
      <c r="T15613" t="s">
        <v>72415</v>
      </c>
    </row>
    <row r="15614" spans="1:25" customFormat="1" ht="15" x14ac:dyDescent="0.25">
      <c r="A15614" t="s">
        <v>24</v>
      </c>
      <c r="B15614" t="s">
        <v>1849</v>
      </c>
      <c r="C15614" t="str">
        <f>"A0157399"</f>
        <v>A0157399</v>
      </c>
      <c r="D15614" t="s">
        <v>72435</v>
      </c>
      <c r="E15614" t="s">
        <v>72436</v>
      </c>
      <c r="F15614" t="s">
        <v>659</v>
      </c>
      <c r="G15614" t="s">
        <v>81</v>
      </c>
      <c r="H15614">
        <v>32608</v>
      </c>
      <c r="I15614" t="s">
        <v>30</v>
      </c>
      <c r="J15614" t="s">
        <v>162</v>
      </c>
      <c r="K15614" t="s">
        <v>163</v>
      </c>
      <c r="N15614" t="s">
        <v>72437</v>
      </c>
      <c r="O15614" t="s">
        <v>72438</v>
      </c>
      <c r="Q15614">
        <v>0</v>
      </c>
      <c r="R15614">
        <v>173</v>
      </c>
      <c r="S15614">
        <v>0</v>
      </c>
      <c r="T15614" t="s">
        <v>72439</v>
      </c>
    </row>
    <row r="15615" spans="1:25" customFormat="1" ht="15" x14ac:dyDescent="0.25">
      <c r="A15615" t="s">
        <v>24</v>
      </c>
      <c r="B15615" t="s">
        <v>54208</v>
      </c>
      <c r="C15615" t="str">
        <f>"A0095745"</f>
        <v>A0095745</v>
      </c>
      <c r="D15615" t="s">
        <v>54243</v>
      </c>
      <c r="E15615" t="s">
        <v>54244</v>
      </c>
      <c r="F15615" t="s">
        <v>2978</v>
      </c>
      <c r="G15615" t="s">
        <v>110</v>
      </c>
      <c r="H15615">
        <v>92110</v>
      </c>
      <c r="I15615" t="s">
        <v>30</v>
      </c>
      <c r="J15615" t="s">
        <v>31</v>
      </c>
      <c r="K15615" t="s">
        <v>14304</v>
      </c>
      <c r="Q15615">
        <v>0</v>
      </c>
      <c r="R15615">
        <v>98</v>
      </c>
      <c r="S15615">
        <v>0</v>
      </c>
      <c r="T15615" t="s">
        <v>54245</v>
      </c>
    </row>
    <row r="15616" spans="1:25" customFormat="1" ht="15" x14ac:dyDescent="0.25">
      <c r="A15616" t="s">
        <v>24</v>
      </c>
      <c r="B15616" t="s">
        <v>54208</v>
      </c>
      <c r="C15616" t="str">
        <f>"A0095470"</f>
        <v>A0095470</v>
      </c>
      <c r="D15616" t="s">
        <v>54246</v>
      </c>
      <c r="E15616" t="s">
        <v>54247</v>
      </c>
      <c r="F15616" t="s">
        <v>54248</v>
      </c>
      <c r="G15616" t="s">
        <v>110</v>
      </c>
      <c r="H15616">
        <v>91950</v>
      </c>
      <c r="I15616" t="s">
        <v>30</v>
      </c>
      <c r="J15616" t="s">
        <v>31</v>
      </c>
      <c r="K15616" t="s">
        <v>282</v>
      </c>
      <c r="Q15616">
        <v>0</v>
      </c>
      <c r="R15616">
        <v>91</v>
      </c>
      <c r="S15616">
        <v>0</v>
      </c>
      <c r="T15616" t="s">
        <v>54249</v>
      </c>
    </row>
    <row r="15617" spans="1:20" customFormat="1" ht="15" x14ac:dyDescent="0.25">
      <c r="A15617" t="s">
        <v>24</v>
      </c>
      <c r="B15617" t="s">
        <v>54208</v>
      </c>
      <c r="C15617" t="str">
        <f>"A0095469"</f>
        <v>A0095469</v>
      </c>
      <c r="D15617" t="s">
        <v>54250</v>
      </c>
      <c r="E15617" t="s">
        <v>54251</v>
      </c>
      <c r="F15617" t="s">
        <v>54252</v>
      </c>
      <c r="G15617" t="s">
        <v>110</v>
      </c>
      <c r="H15617">
        <v>95037</v>
      </c>
      <c r="I15617" t="s">
        <v>30</v>
      </c>
      <c r="J15617" t="s">
        <v>31</v>
      </c>
      <c r="K15617" t="s">
        <v>198</v>
      </c>
      <c r="Q15617">
        <v>0</v>
      </c>
      <c r="R15617">
        <v>106</v>
      </c>
      <c r="S15617">
        <v>0</v>
      </c>
      <c r="T15617" t="s">
        <v>54253</v>
      </c>
    </row>
    <row r="15618" spans="1:20" customFormat="1" ht="15" x14ac:dyDescent="0.25">
      <c r="A15618" t="s">
        <v>24</v>
      </c>
      <c r="B15618" t="s">
        <v>54208</v>
      </c>
      <c r="C15618" t="str">
        <f>"A0095468"</f>
        <v>A0095468</v>
      </c>
      <c r="D15618" t="s">
        <v>54254</v>
      </c>
      <c r="E15618" t="s">
        <v>54255</v>
      </c>
      <c r="F15618" t="s">
        <v>54256</v>
      </c>
      <c r="G15618" t="s">
        <v>110</v>
      </c>
      <c r="H15618">
        <v>91910</v>
      </c>
      <c r="I15618" t="s">
        <v>30</v>
      </c>
      <c r="J15618" t="s">
        <v>31</v>
      </c>
      <c r="K15618" t="s">
        <v>296</v>
      </c>
      <c r="N15618" t="s">
        <v>54257</v>
      </c>
      <c r="Q15618">
        <v>0</v>
      </c>
      <c r="R15618">
        <v>100</v>
      </c>
      <c r="S15618">
        <v>0</v>
      </c>
      <c r="T15618" t="s">
        <v>54258</v>
      </c>
    </row>
    <row r="15619" spans="1:20" customFormat="1" ht="15" x14ac:dyDescent="0.25">
      <c r="A15619" t="s">
        <v>24</v>
      </c>
      <c r="B15619" t="s">
        <v>54208</v>
      </c>
      <c r="C15619" t="str">
        <f>"A0094381"</f>
        <v>A0094381</v>
      </c>
      <c r="D15619" t="s">
        <v>54259</v>
      </c>
      <c r="E15619" t="s">
        <v>54260</v>
      </c>
      <c r="F15619" t="s">
        <v>11003</v>
      </c>
      <c r="G15619" t="s">
        <v>110</v>
      </c>
      <c r="H15619">
        <v>92011</v>
      </c>
      <c r="I15619" t="s">
        <v>30</v>
      </c>
      <c r="J15619" t="s">
        <v>31</v>
      </c>
      <c r="K15619" t="s">
        <v>32</v>
      </c>
      <c r="N15619" t="s">
        <v>54261</v>
      </c>
      <c r="Q15619">
        <v>0</v>
      </c>
      <c r="R15619">
        <v>100</v>
      </c>
      <c r="S15619">
        <v>0</v>
      </c>
      <c r="T15619" t="s">
        <v>54262</v>
      </c>
    </row>
    <row r="15620" spans="1:20" customFormat="1" ht="15" x14ac:dyDescent="0.25">
      <c r="A15620" t="s">
        <v>24</v>
      </c>
      <c r="B15620" t="s">
        <v>54208</v>
      </c>
      <c r="C15620" t="str">
        <f>"A0093566"</f>
        <v>A0093566</v>
      </c>
      <c r="D15620" t="s">
        <v>54263</v>
      </c>
      <c r="E15620" t="s">
        <v>54264</v>
      </c>
      <c r="F15620" t="s">
        <v>54265</v>
      </c>
      <c r="G15620" t="s">
        <v>110</v>
      </c>
      <c r="H15620">
        <v>92860</v>
      </c>
      <c r="I15620" t="s">
        <v>30</v>
      </c>
      <c r="J15620" t="s">
        <v>31</v>
      </c>
      <c r="K15620" t="s">
        <v>32</v>
      </c>
      <c r="N15620" t="s">
        <v>54266</v>
      </c>
      <c r="Q15620">
        <v>0</v>
      </c>
      <c r="R15620">
        <v>96</v>
      </c>
      <c r="S15620">
        <v>0</v>
      </c>
      <c r="T15620" t="s">
        <v>54267</v>
      </c>
    </row>
    <row r="15621" spans="1:20" customFormat="1" ht="15" x14ac:dyDescent="0.25">
      <c r="A15621" t="s">
        <v>24</v>
      </c>
      <c r="B15621" t="s">
        <v>54208</v>
      </c>
      <c r="C15621" t="str">
        <f>"A0091329"</f>
        <v>A0091329</v>
      </c>
      <c r="D15621" t="s">
        <v>54268</v>
      </c>
      <c r="E15621" t="s">
        <v>54269</v>
      </c>
      <c r="F15621" t="s">
        <v>972</v>
      </c>
      <c r="G15621" t="s">
        <v>190</v>
      </c>
      <c r="H15621">
        <v>80249</v>
      </c>
      <c r="I15621" t="s">
        <v>30</v>
      </c>
      <c r="J15621" t="s">
        <v>31</v>
      </c>
      <c r="K15621" t="s">
        <v>710</v>
      </c>
      <c r="N15621" t="s">
        <v>54270</v>
      </c>
      <c r="Q15621">
        <v>0</v>
      </c>
      <c r="R15621">
        <v>128</v>
      </c>
      <c r="S15621">
        <v>0</v>
      </c>
      <c r="T15621" t="s">
        <v>54271</v>
      </c>
    </row>
    <row r="15622" spans="1:20" customFormat="1" ht="15" x14ac:dyDescent="0.25">
      <c r="A15622" t="s">
        <v>24</v>
      </c>
      <c r="B15622" t="s">
        <v>54208</v>
      </c>
      <c r="C15622" t="str">
        <f>"A0072155"</f>
        <v>A0072155</v>
      </c>
      <c r="D15622" t="s">
        <v>54272</v>
      </c>
      <c r="E15622" t="s">
        <v>54273</v>
      </c>
      <c r="F15622" t="s">
        <v>1439</v>
      </c>
      <c r="G15622" t="s">
        <v>110</v>
      </c>
      <c r="H15622">
        <v>92131</v>
      </c>
      <c r="I15622" t="s">
        <v>30</v>
      </c>
      <c r="J15622" t="s">
        <v>31</v>
      </c>
      <c r="K15622" t="s">
        <v>282</v>
      </c>
      <c r="N15622" t="s">
        <v>54274</v>
      </c>
      <c r="Q15622">
        <v>0</v>
      </c>
      <c r="R15622">
        <v>75</v>
      </c>
      <c r="S15622">
        <v>0</v>
      </c>
      <c r="T15622" t="s">
        <v>54275</v>
      </c>
    </row>
    <row r="15623" spans="1:20" customFormat="1" ht="15" x14ac:dyDescent="0.25">
      <c r="A15623" t="s">
        <v>24</v>
      </c>
      <c r="B15623" t="s">
        <v>54208</v>
      </c>
      <c r="C15623" t="str">
        <f>"A0070059"</f>
        <v>A0070059</v>
      </c>
      <c r="D15623" t="s">
        <v>54276</v>
      </c>
      <c r="E15623" t="s">
        <v>54277</v>
      </c>
      <c r="F15623" t="s">
        <v>14725</v>
      </c>
      <c r="G15623" t="s">
        <v>110</v>
      </c>
      <c r="H15623">
        <v>91355</v>
      </c>
      <c r="I15623" t="s">
        <v>30</v>
      </c>
      <c r="J15623" t="s">
        <v>31</v>
      </c>
      <c r="K15623" t="s">
        <v>282</v>
      </c>
      <c r="N15623" t="s">
        <v>54278</v>
      </c>
      <c r="O15623" t="s">
        <v>54279</v>
      </c>
      <c r="Q15623">
        <v>0</v>
      </c>
      <c r="R15623">
        <v>118</v>
      </c>
      <c r="S15623">
        <v>0</v>
      </c>
      <c r="T15623" t="s">
        <v>54280</v>
      </c>
    </row>
    <row r="15624" spans="1:20" customFormat="1" ht="15" x14ac:dyDescent="0.25">
      <c r="A15624" t="s">
        <v>24</v>
      </c>
      <c r="B15624" t="s">
        <v>54208</v>
      </c>
      <c r="C15624" t="str">
        <f>"A0064981"</f>
        <v>A0064981</v>
      </c>
      <c r="D15624" t="s">
        <v>54281</v>
      </c>
      <c r="E15624" t="s">
        <v>54282</v>
      </c>
      <c r="F15624" t="s">
        <v>2978</v>
      </c>
      <c r="G15624" t="s">
        <v>110</v>
      </c>
      <c r="H15624">
        <v>92109</v>
      </c>
      <c r="I15624" t="s">
        <v>30</v>
      </c>
      <c r="J15624" t="s">
        <v>31</v>
      </c>
      <c r="K15624" t="s">
        <v>282</v>
      </c>
      <c r="N15624" t="s">
        <v>54283</v>
      </c>
      <c r="Q15624">
        <v>0</v>
      </c>
      <c r="R15624">
        <v>113</v>
      </c>
      <c r="S15624">
        <v>0</v>
      </c>
      <c r="T15624" t="s">
        <v>54284</v>
      </c>
    </row>
    <row r="15625" spans="1:20" customFormat="1" ht="15" x14ac:dyDescent="0.25">
      <c r="A15625" t="s">
        <v>24</v>
      </c>
      <c r="B15625" t="s">
        <v>3459</v>
      </c>
      <c r="C15625" t="str">
        <f>"A0156653"</f>
        <v>A0156653</v>
      </c>
      <c r="D15625" t="s">
        <v>72440</v>
      </c>
      <c r="E15625" t="s">
        <v>72441</v>
      </c>
      <c r="F15625" t="s">
        <v>5369</v>
      </c>
      <c r="G15625" t="s">
        <v>58</v>
      </c>
      <c r="H15625">
        <v>29401</v>
      </c>
      <c r="I15625" t="s">
        <v>30</v>
      </c>
      <c r="J15625" t="s">
        <v>162</v>
      </c>
      <c r="K15625" t="s">
        <v>163</v>
      </c>
      <c r="N15625" t="s">
        <v>72442</v>
      </c>
      <c r="O15625" t="s">
        <v>72443</v>
      </c>
      <c r="Q15625">
        <v>0</v>
      </c>
      <c r="R15625">
        <v>212</v>
      </c>
      <c r="S15625">
        <v>0</v>
      </c>
      <c r="T15625" t="s">
        <v>72444</v>
      </c>
    </row>
    <row r="15626" spans="1:20" customFormat="1" ht="15" x14ac:dyDescent="0.25">
      <c r="A15626" t="s">
        <v>24</v>
      </c>
      <c r="B15626" t="s">
        <v>54208</v>
      </c>
      <c r="C15626" t="str">
        <f>"88HX021"</f>
        <v>88HX021</v>
      </c>
      <c r="D15626" t="s">
        <v>54289</v>
      </c>
      <c r="E15626" t="s">
        <v>54290</v>
      </c>
      <c r="F15626" t="s">
        <v>2978</v>
      </c>
      <c r="G15626" t="s">
        <v>110</v>
      </c>
      <c r="H15626">
        <v>92121</v>
      </c>
      <c r="I15626" t="s">
        <v>30</v>
      </c>
      <c r="J15626" t="s">
        <v>31</v>
      </c>
      <c r="K15626" t="s">
        <v>282</v>
      </c>
      <c r="N15626" t="s">
        <v>54291</v>
      </c>
      <c r="Q15626">
        <v>0</v>
      </c>
      <c r="R15626">
        <v>79</v>
      </c>
      <c r="S15626">
        <v>0</v>
      </c>
      <c r="T15626" t="s">
        <v>54292</v>
      </c>
    </row>
    <row r="15627" spans="1:20" customFormat="1" ht="15" x14ac:dyDescent="0.25">
      <c r="A15627" t="s">
        <v>24</v>
      </c>
      <c r="B15627" t="s">
        <v>72448</v>
      </c>
      <c r="C15627" t="str">
        <f>"34929"</f>
        <v>34929</v>
      </c>
      <c r="D15627" t="s">
        <v>72449</v>
      </c>
      <c r="E15627" t="s">
        <v>72450</v>
      </c>
      <c r="F15627" t="s">
        <v>64923</v>
      </c>
      <c r="G15627" t="s">
        <v>381</v>
      </c>
      <c r="H15627">
        <v>46825</v>
      </c>
      <c r="I15627" t="s">
        <v>30</v>
      </c>
      <c r="J15627" t="s">
        <v>162</v>
      </c>
      <c r="K15627" t="s">
        <v>163</v>
      </c>
      <c r="N15627" t="s">
        <v>72451</v>
      </c>
      <c r="O15627" t="s">
        <v>72452</v>
      </c>
      <c r="Q15627">
        <v>0</v>
      </c>
      <c r="R15627">
        <v>222</v>
      </c>
      <c r="S15627">
        <v>0</v>
      </c>
      <c r="T15627" t="s">
        <v>72453</v>
      </c>
    </row>
    <row r="15628" spans="1:20" customFormat="1" ht="15" x14ac:dyDescent="0.25">
      <c r="A15628" t="s">
        <v>24</v>
      </c>
      <c r="B15628" t="s">
        <v>54208</v>
      </c>
      <c r="C15628" t="str">
        <f>"88IN044"</f>
        <v>88IN044</v>
      </c>
      <c r="D15628" t="s">
        <v>54297</v>
      </c>
      <c r="E15628" t="s">
        <v>54298</v>
      </c>
      <c r="F15628" t="s">
        <v>2978</v>
      </c>
      <c r="G15628" t="s">
        <v>110</v>
      </c>
      <c r="H15628">
        <v>92110</v>
      </c>
      <c r="I15628" t="s">
        <v>30</v>
      </c>
      <c r="J15628" t="s">
        <v>31</v>
      </c>
      <c r="K15628" t="s">
        <v>321</v>
      </c>
      <c r="N15628" t="s">
        <v>54299</v>
      </c>
      <c r="Q15628">
        <v>0</v>
      </c>
      <c r="R15628">
        <v>79</v>
      </c>
      <c r="S15628">
        <v>0</v>
      </c>
      <c r="T15628" t="s">
        <v>54300</v>
      </c>
    </row>
    <row r="15629" spans="1:20" customFormat="1" ht="15" x14ac:dyDescent="0.25">
      <c r="A15629" t="s">
        <v>24</v>
      </c>
      <c r="B15629" t="s">
        <v>7220</v>
      </c>
      <c r="C15629" t="str">
        <f>"A0167187"</f>
        <v>A0167187</v>
      </c>
      <c r="D15629" t="s">
        <v>54301</v>
      </c>
      <c r="E15629" t="s">
        <v>54302</v>
      </c>
      <c r="F15629" t="s">
        <v>54303</v>
      </c>
      <c r="G15629" t="s">
        <v>427</v>
      </c>
      <c r="H15629">
        <v>69130</v>
      </c>
      <c r="I15629" t="s">
        <v>30</v>
      </c>
      <c r="J15629" t="s">
        <v>31</v>
      </c>
      <c r="K15629" t="s">
        <v>5885</v>
      </c>
      <c r="N15629" t="s">
        <v>54304</v>
      </c>
      <c r="Q15629">
        <v>0</v>
      </c>
      <c r="R15629">
        <v>54</v>
      </c>
      <c r="S15629">
        <v>0</v>
      </c>
      <c r="T15629" t="s">
        <v>54305</v>
      </c>
    </row>
    <row r="15630" spans="1:20" customFormat="1" ht="15" hidden="1" x14ac:dyDescent="0.25">
      <c r="A15630" t="s">
        <v>24</v>
      </c>
      <c r="B15630" t="s">
        <v>54306</v>
      </c>
      <c r="C15630" t="str">
        <f>"A0099972"</f>
        <v>A0099972</v>
      </c>
      <c r="D15630" t="s">
        <v>54307</v>
      </c>
      <c r="E15630" t="s">
        <v>54308</v>
      </c>
      <c r="F15630" t="s">
        <v>54309</v>
      </c>
      <c r="G15630" t="s">
        <v>9901</v>
      </c>
      <c r="H15630">
        <v>717</v>
      </c>
      <c r="I15630" t="s">
        <v>9902</v>
      </c>
      <c r="J15630" t="s">
        <v>31</v>
      </c>
      <c r="K15630" t="s">
        <v>277</v>
      </c>
      <c r="N15630" t="s">
        <v>54310</v>
      </c>
      <c r="O15630" t="s">
        <v>54311</v>
      </c>
      <c r="Q15630">
        <v>0</v>
      </c>
      <c r="R15630">
        <v>143</v>
      </c>
      <c r="S15630">
        <v>0</v>
      </c>
      <c r="T15630" t="s">
        <v>54312</v>
      </c>
    </row>
    <row r="15631" spans="1:20" customFormat="1" ht="15" x14ac:dyDescent="0.25">
      <c r="A15631" t="s">
        <v>24</v>
      </c>
      <c r="B15631" t="s">
        <v>33690</v>
      </c>
      <c r="C15631" t="str">
        <f>"A0158837"</f>
        <v>A0158837</v>
      </c>
      <c r="D15631" t="s">
        <v>72464</v>
      </c>
      <c r="E15631" t="s">
        <v>72465</v>
      </c>
      <c r="F15631" t="s">
        <v>3955</v>
      </c>
      <c r="G15631" t="s">
        <v>81</v>
      </c>
      <c r="H15631">
        <v>33605</v>
      </c>
      <c r="I15631" t="s">
        <v>30</v>
      </c>
      <c r="J15631" t="s">
        <v>162</v>
      </c>
      <c r="K15631" t="s">
        <v>163</v>
      </c>
      <c r="N15631" t="s">
        <v>72466</v>
      </c>
      <c r="Q15631">
        <v>0</v>
      </c>
      <c r="R15631">
        <v>178</v>
      </c>
      <c r="S15631">
        <v>0</v>
      </c>
      <c r="T15631" t="s">
        <v>72467</v>
      </c>
    </row>
    <row r="15632" spans="1:20" customFormat="1" ht="15" x14ac:dyDescent="0.25">
      <c r="A15632" t="s">
        <v>24</v>
      </c>
      <c r="B15632" t="s">
        <v>2180</v>
      </c>
      <c r="C15632" t="str">
        <f>"A0167184"</f>
        <v>A0167184</v>
      </c>
      <c r="D15632" t="s">
        <v>54318</v>
      </c>
      <c r="E15632" t="s">
        <v>54319</v>
      </c>
      <c r="F15632" t="s">
        <v>54320</v>
      </c>
      <c r="G15632" t="s">
        <v>1369</v>
      </c>
      <c r="H15632">
        <v>38654</v>
      </c>
      <c r="I15632" t="s">
        <v>30</v>
      </c>
      <c r="J15632" t="s">
        <v>31</v>
      </c>
      <c r="K15632" t="s">
        <v>2524</v>
      </c>
      <c r="N15632" t="s">
        <v>54321</v>
      </c>
      <c r="Q15632">
        <v>0</v>
      </c>
      <c r="R15632">
        <v>87</v>
      </c>
      <c r="S15632">
        <v>0</v>
      </c>
      <c r="T15632" t="s">
        <v>54322</v>
      </c>
    </row>
    <row r="15633" spans="1:25" customFormat="1" ht="15" x14ac:dyDescent="0.25">
      <c r="A15633" t="s">
        <v>24</v>
      </c>
      <c r="B15633" t="s">
        <v>54975</v>
      </c>
      <c r="C15633" t="str">
        <f>"A0054357"</f>
        <v>A0054357</v>
      </c>
      <c r="D15633" t="s">
        <v>72468</v>
      </c>
      <c r="E15633" t="s">
        <v>72469</v>
      </c>
      <c r="F15633" t="s">
        <v>5706</v>
      </c>
      <c r="G15633" t="s">
        <v>1706</v>
      </c>
      <c r="H15633">
        <v>35205</v>
      </c>
      <c r="I15633" t="s">
        <v>30</v>
      </c>
      <c r="J15633" t="s">
        <v>162</v>
      </c>
      <c r="K15633" t="s">
        <v>2819</v>
      </c>
      <c r="N15633" t="s">
        <v>72470</v>
      </c>
      <c r="Q15633">
        <v>0</v>
      </c>
      <c r="R15633">
        <v>63</v>
      </c>
      <c r="S15633">
        <v>0</v>
      </c>
      <c r="T15633" t="s">
        <v>72471</v>
      </c>
    </row>
    <row r="15634" spans="1:25" customFormat="1" ht="15" x14ac:dyDescent="0.25">
      <c r="A15634" t="s">
        <v>24</v>
      </c>
      <c r="B15634" t="s">
        <v>2221</v>
      </c>
      <c r="C15634" t="str">
        <f>"A0073498"</f>
        <v>A0073498</v>
      </c>
      <c r="D15634" t="s">
        <v>72482</v>
      </c>
      <c r="E15634" t="s">
        <v>72483</v>
      </c>
      <c r="F15634" t="s">
        <v>845</v>
      </c>
      <c r="G15634" t="s">
        <v>846</v>
      </c>
      <c r="H15634">
        <v>30308</v>
      </c>
      <c r="I15634" t="s">
        <v>30</v>
      </c>
      <c r="J15634" t="s">
        <v>162</v>
      </c>
      <c r="K15634" t="s">
        <v>2819</v>
      </c>
      <c r="N15634" t="s">
        <v>72484</v>
      </c>
      <c r="Q15634">
        <v>0</v>
      </c>
      <c r="R15634">
        <v>140</v>
      </c>
      <c r="S15634">
        <v>0</v>
      </c>
      <c r="T15634" t="s">
        <v>72485</v>
      </c>
    </row>
    <row r="15635" spans="1:25" customFormat="1" ht="15" x14ac:dyDescent="0.25">
      <c r="A15635" t="s">
        <v>24</v>
      </c>
      <c r="B15635" t="s">
        <v>850</v>
      </c>
      <c r="C15635" t="str">
        <f>"A0059955"</f>
        <v>A0059955</v>
      </c>
      <c r="D15635" t="s">
        <v>72486</v>
      </c>
      <c r="E15635" t="s">
        <v>72487</v>
      </c>
      <c r="F15635" t="s">
        <v>845</v>
      </c>
      <c r="G15635" t="s">
        <v>846</v>
      </c>
      <c r="H15635">
        <v>30339</v>
      </c>
      <c r="I15635" t="s">
        <v>30</v>
      </c>
      <c r="J15635" t="s">
        <v>162</v>
      </c>
      <c r="K15635" t="s">
        <v>2819</v>
      </c>
      <c r="Q15635">
        <v>0</v>
      </c>
      <c r="R15635">
        <v>159</v>
      </c>
      <c r="S15635">
        <v>0</v>
      </c>
      <c r="T15635" t="s">
        <v>72488</v>
      </c>
    </row>
    <row r="15636" spans="1:25" customFormat="1" ht="15" x14ac:dyDescent="0.25">
      <c r="A15636" t="s">
        <v>24</v>
      </c>
      <c r="B15636" t="s">
        <v>54771</v>
      </c>
      <c r="C15636" t="str">
        <f>"A0099744"</f>
        <v>A0099744</v>
      </c>
      <c r="D15636" t="s">
        <v>72489</v>
      </c>
      <c r="E15636" t="s">
        <v>72490</v>
      </c>
      <c r="F15636" t="s">
        <v>372</v>
      </c>
      <c r="G15636" t="s">
        <v>52</v>
      </c>
      <c r="H15636">
        <v>78701</v>
      </c>
      <c r="I15636" t="s">
        <v>30</v>
      </c>
      <c r="J15636" t="s">
        <v>162</v>
      </c>
      <c r="K15636" t="s">
        <v>2819</v>
      </c>
      <c r="N15636" t="s">
        <v>70495</v>
      </c>
      <c r="Q15636">
        <v>0</v>
      </c>
      <c r="R15636">
        <v>134</v>
      </c>
      <c r="S15636">
        <v>0</v>
      </c>
      <c r="T15636" t="s">
        <v>72491</v>
      </c>
    </row>
    <row r="15637" spans="1:25" x14ac:dyDescent="0.25">
      <c r="A15637" s="5" t="s">
        <v>24</v>
      </c>
      <c r="B15637" s="5" t="s">
        <v>2910</v>
      </c>
      <c r="C15637" s="5" t="str">
        <f>"A0088597"</f>
        <v>A0088597</v>
      </c>
      <c r="D15637" s="5" t="s">
        <v>72492</v>
      </c>
      <c r="E15637" s="5" t="s">
        <v>72493</v>
      </c>
      <c r="F15637" s="5" t="s">
        <v>7455</v>
      </c>
      <c r="G15637" s="5" t="s">
        <v>123</v>
      </c>
      <c r="H15637" s="5">
        <v>21201</v>
      </c>
      <c r="I15637" s="5" t="s">
        <v>30</v>
      </c>
      <c r="J15637" s="5" t="s">
        <v>162</v>
      </c>
      <c r="K15637" s="5" t="s">
        <v>2819</v>
      </c>
      <c r="L15637" s="5"/>
      <c r="M15637" s="5"/>
      <c r="N15637" s="5" t="s">
        <v>72494</v>
      </c>
      <c r="O15637" s="5" t="s">
        <v>70010</v>
      </c>
      <c r="P15637" s="5"/>
      <c r="Q15637" s="5">
        <v>0</v>
      </c>
      <c r="R15637" s="5">
        <v>162</v>
      </c>
      <c r="S15637" s="5">
        <v>0</v>
      </c>
      <c r="T15637" s="5" t="s">
        <v>72495</v>
      </c>
      <c r="U15637" s="5"/>
      <c r="V15637" s="5"/>
      <c r="W15637" s="5"/>
      <c r="X15637" s="5"/>
      <c r="Y15637" s="5"/>
    </row>
    <row r="15638" spans="1:25" customFormat="1" ht="15" x14ac:dyDescent="0.25">
      <c r="A15638" t="s">
        <v>24</v>
      </c>
      <c r="B15638" t="s">
        <v>54349</v>
      </c>
      <c r="C15638" t="str">
        <f>"A0095898"</f>
        <v>A0095898</v>
      </c>
      <c r="D15638" t="s">
        <v>54350</v>
      </c>
      <c r="E15638" t="s">
        <v>54351</v>
      </c>
      <c r="F15638" t="s">
        <v>271</v>
      </c>
      <c r="G15638" t="s">
        <v>103</v>
      </c>
      <c r="H15638">
        <v>15206</v>
      </c>
      <c r="I15638" t="s">
        <v>30</v>
      </c>
      <c r="J15638" t="s">
        <v>31</v>
      </c>
      <c r="K15638" t="s">
        <v>163</v>
      </c>
      <c r="N15638" t="s">
        <v>54352</v>
      </c>
      <c r="Q15638">
        <v>0</v>
      </c>
      <c r="R15638">
        <v>63</v>
      </c>
      <c r="S15638">
        <v>0</v>
      </c>
      <c r="T15638" t="s">
        <v>54353</v>
      </c>
    </row>
    <row r="15639" spans="1:25" customFormat="1" ht="15" x14ac:dyDescent="0.25">
      <c r="A15639" t="s">
        <v>24</v>
      </c>
      <c r="B15639" t="s">
        <v>8850</v>
      </c>
      <c r="C15639" t="str">
        <f>"A0072386"</f>
        <v>A0072386</v>
      </c>
      <c r="D15639" t="s">
        <v>54354</v>
      </c>
      <c r="E15639" t="s">
        <v>54355</v>
      </c>
      <c r="F15639" t="s">
        <v>54356</v>
      </c>
      <c r="G15639" t="s">
        <v>81</v>
      </c>
      <c r="H15639">
        <v>32159</v>
      </c>
      <c r="I15639" t="s">
        <v>30</v>
      </c>
      <c r="J15639" t="s">
        <v>31</v>
      </c>
      <c r="K15639" t="s">
        <v>282</v>
      </c>
      <c r="N15639" t="s">
        <v>54357</v>
      </c>
      <c r="Q15639">
        <v>0</v>
      </c>
      <c r="R15639">
        <v>81</v>
      </c>
      <c r="S15639">
        <v>0</v>
      </c>
      <c r="T15639" t="s">
        <v>54358</v>
      </c>
    </row>
    <row r="15640" spans="1:25" customFormat="1" ht="15" x14ac:dyDescent="0.25">
      <c r="A15640" t="s">
        <v>24</v>
      </c>
      <c r="B15640" t="s">
        <v>257</v>
      </c>
      <c r="C15640" t="str">
        <f>"A0167171"</f>
        <v>A0167171</v>
      </c>
      <c r="D15640" t="s">
        <v>54359</v>
      </c>
      <c r="E15640" t="s">
        <v>54360</v>
      </c>
      <c r="F15640" t="s">
        <v>271</v>
      </c>
      <c r="G15640" t="s">
        <v>103</v>
      </c>
      <c r="H15640">
        <v>15212</v>
      </c>
      <c r="I15640" t="s">
        <v>30</v>
      </c>
      <c r="J15640" t="s">
        <v>31</v>
      </c>
      <c r="K15640" t="s">
        <v>282</v>
      </c>
      <c r="Q15640">
        <v>0</v>
      </c>
      <c r="R15640">
        <v>135</v>
      </c>
      <c r="S15640">
        <v>0</v>
      </c>
      <c r="T15640" t="s">
        <v>54361</v>
      </c>
    </row>
    <row r="15641" spans="1:25" customFormat="1" ht="15" x14ac:dyDescent="0.25">
      <c r="A15641" t="s">
        <v>24</v>
      </c>
      <c r="B15641" t="s">
        <v>8523</v>
      </c>
      <c r="C15641" t="str">
        <f>"A0091016"</f>
        <v>A0091016</v>
      </c>
      <c r="D15641" t="s">
        <v>54362</v>
      </c>
      <c r="E15641" t="s">
        <v>54363</v>
      </c>
      <c r="F15641" t="s">
        <v>2110</v>
      </c>
      <c r="G15641" t="s">
        <v>52</v>
      </c>
      <c r="H15641">
        <v>76051</v>
      </c>
      <c r="I15641" t="s">
        <v>30</v>
      </c>
      <c r="J15641" t="s">
        <v>191</v>
      </c>
      <c r="K15641" t="s">
        <v>11889</v>
      </c>
      <c r="N15641" t="s">
        <v>54364</v>
      </c>
      <c r="O15641" t="s">
        <v>13596</v>
      </c>
      <c r="Q15641">
        <v>0</v>
      </c>
      <c r="R15641">
        <v>0</v>
      </c>
      <c r="S15641">
        <v>0</v>
      </c>
      <c r="T15641" t="s">
        <v>54365</v>
      </c>
    </row>
    <row r="15642" spans="1:25" customFormat="1" ht="15" x14ac:dyDescent="0.25">
      <c r="A15642" t="s">
        <v>24</v>
      </c>
      <c r="B15642" t="s">
        <v>57087</v>
      </c>
      <c r="C15642" t="str">
        <f>"A0087192"</f>
        <v>A0087192</v>
      </c>
      <c r="D15642" t="s">
        <v>72496</v>
      </c>
      <c r="E15642" t="s">
        <v>72497</v>
      </c>
      <c r="F15642" t="s">
        <v>26129</v>
      </c>
      <c r="G15642" t="s">
        <v>899</v>
      </c>
      <c r="H15642">
        <v>2114</v>
      </c>
      <c r="I15642" t="s">
        <v>30</v>
      </c>
      <c r="J15642" t="s">
        <v>162</v>
      </c>
      <c r="K15642" t="s">
        <v>2819</v>
      </c>
      <c r="N15642" t="s">
        <v>72498</v>
      </c>
      <c r="O15642" t="s">
        <v>72499</v>
      </c>
      <c r="Q15642">
        <v>0</v>
      </c>
      <c r="R15642">
        <v>72</v>
      </c>
      <c r="S15642">
        <v>0</v>
      </c>
      <c r="T15642" t="s">
        <v>72500</v>
      </c>
    </row>
    <row r="15643" spans="1:25" customFormat="1" ht="15" x14ac:dyDescent="0.25">
      <c r="A15643" t="s">
        <v>24</v>
      </c>
      <c r="B15643" t="s">
        <v>257</v>
      </c>
      <c r="C15643" t="str">
        <f>"A0101222"</f>
        <v>A0101222</v>
      </c>
      <c r="D15643" t="s">
        <v>72501</v>
      </c>
      <c r="E15643" t="s">
        <v>72502</v>
      </c>
      <c r="F15643" t="s">
        <v>659</v>
      </c>
      <c r="G15643" t="s">
        <v>81</v>
      </c>
      <c r="H15643">
        <v>32608</v>
      </c>
      <c r="I15643" t="s">
        <v>30</v>
      </c>
      <c r="J15643" t="s">
        <v>162</v>
      </c>
      <c r="K15643" t="s">
        <v>2819</v>
      </c>
      <c r="N15643" t="s">
        <v>72503</v>
      </c>
      <c r="O15643" t="s">
        <v>72504</v>
      </c>
      <c r="Q15643">
        <v>0</v>
      </c>
      <c r="R15643">
        <v>140</v>
      </c>
      <c r="S15643">
        <v>0</v>
      </c>
      <c r="T15643" t="s">
        <v>192</v>
      </c>
    </row>
    <row r="15644" spans="1:25" customFormat="1" ht="15" x14ac:dyDescent="0.25">
      <c r="A15644" t="s">
        <v>24</v>
      </c>
      <c r="B15644" t="s">
        <v>4400</v>
      </c>
      <c r="C15644" t="str">
        <f>"A0058628"</f>
        <v>A0058628</v>
      </c>
      <c r="D15644" t="s">
        <v>72505</v>
      </c>
      <c r="E15644" t="s">
        <v>72506</v>
      </c>
      <c r="F15644" t="s">
        <v>72507</v>
      </c>
      <c r="G15644" t="s">
        <v>289</v>
      </c>
      <c r="H15644">
        <v>60061</v>
      </c>
      <c r="I15644" t="s">
        <v>30</v>
      </c>
      <c r="J15644" t="s">
        <v>162</v>
      </c>
      <c r="K15644" t="s">
        <v>2819</v>
      </c>
      <c r="N15644" t="s">
        <v>72508</v>
      </c>
      <c r="Q15644">
        <v>0</v>
      </c>
      <c r="R15644">
        <v>127</v>
      </c>
      <c r="S15644">
        <v>0</v>
      </c>
      <c r="T15644" t="s">
        <v>72509</v>
      </c>
    </row>
    <row r="15645" spans="1:25" customFormat="1" ht="15" x14ac:dyDescent="0.25">
      <c r="A15645" t="s">
        <v>24</v>
      </c>
      <c r="B15645" t="s">
        <v>193</v>
      </c>
      <c r="C15645" t="str">
        <f>"A0068628"</f>
        <v>A0068628</v>
      </c>
      <c r="D15645" t="s">
        <v>54382</v>
      </c>
      <c r="E15645" t="s">
        <v>54383</v>
      </c>
      <c r="F15645" t="s">
        <v>44204</v>
      </c>
      <c r="G15645" t="s">
        <v>65</v>
      </c>
      <c r="H15645">
        <v>43125</v>
      </c>
      <c r="I15645" t="s">
        <v>30</v>
      </c>
      <c r="J15645" t="s">
        <v>31</v>
      </c>
      <c r="K15645" t="s">
        <v>282</v>
      </c>
      <c r="N15645" t="s">
        <v>54384</v>
      </c>
      <c r="Q15645">
        <v>0</v>
      </c>
      <c r="R15645">
        <v>81</v>
      </c>
      <c r="S15645">
        <v>0</v>
      </c>
      <c r="T15645" t="s">
        <v>54385</v>
      </c>
    </row>
    <row r="15646" spans="1:25" customFormat="1" ht="15" x14ac:dyDescent="0.25">
      <c r="A15646" t="s">
        <v>24</v>
      </c>
      <c r="B15646" t="s">
        <v>1849</v>
      </c>
      <c r="C15646" t="str">
        <f>"A0162055"</f>
        <v>A0162055</v>
      </c>
      <c r="D15646" t="s">
        <v>54386</v>
      </c>
      <c r="E15646" t="s">
        <v>54387</v>
      </c>
      <c r="F15646" t="s">
        <v>54388</v>
      </c>
      <c r="G15646" t="s">
        <v>1363</v>
      </c>
      <c r="H15646">
        <v>3261</v>
      </c>
      <c r="I15646" t="s">
        <v>30</v>
      </c>
      <c r="J15646" t="s">
        <v>3175</v>
      </c>
      <c r="K15646" t="s">
        <v>163</v>
      </c>
      <c r="N15646" t="s">
        <v>54389</v>
      </c>
      <c r="O15646" t="s">
        <v>54390</v>
      </c>
      <c r="Q15646">
        <v>0</v>
      </c>
      <c r="R15646">
        <v>0</v>
      </c>
      <c r="S15646">
        <v>0</v>
      </c>
      <c r="T15646" t="s">
        <v>54391</v>
      </c>
    </row>
    <row r="15647" spans="1:25" customFormat="1" ht="15" x14ac:dyDescent="0.25">
      <c r="A15647" t="s">
        <v>24</v>
      </c>
      <c r="B15647" t="s">
        <v>1849</v>
      </c>
      <c r="C15647" t="str">
        <f>"A0156065"</f>
        <v>A0156065</v>
      </c>
      <c r="D15647" t="s">
        <v>54392</v>
      </c>
      <c r="E15647" t="s">
        <v>54393</v>
      </c>
      <c r="F15647" t="s">
        <v>54394</v>
      </c>
      <c r="G15647" t="s">
        <v>899</v>
      </c>
      <c r="H15647">
        <v>2186</v>
      </c>
      <c r="I15647" t="s">
        <v>30</v>
      </c>
      <c r="J15647" t="s">
        <v>3175</v>
      </c>
      <c r="K15647" t="s">
        <v>163</v>
      </c>
      <c r="N15647" t="s">
        <v>54395</v>
      </c>
      <c r="O15647" t="s">
        <v>54390</v>
      </c>
      <c r="Q15647">
        <v>0</v>
      </c>
      <c r="R15647">
        <v>0</v>
      </c>
      <c r="S15647">
        <v>0</v>
      </c>
      <c r="T15647" t="s">
        <v>54396</v>
      </c>
    </row>
    <row r="15648" spans="1:25" customFormat="1" ht="15" x14ac:dyDescent="0.25">
      <c r="A15648" t="s">
        <v>24</v>
      </c>
      <c r="B15648" t="s">
        <v>33301</v>
      </c>
      <c r="C15648" t="str">
        <f>"A0166940"</f>
        <v>A0166940</v>
      </c>
      <c r="D15648" t="s">
        <v>54397</v>
      </c>
      <c r="E15648" t="s">
        <v>54398</v>
      </c>
      <c r="F15648" t="s">
        <v>2057</v>
      </c>
      <c r="G15648" t="s">
        <v>52</v>
      </c>
      <c r="H15648">
        <v>79705</v>
      </c>
      <c r="I15648" t="s">
        <v>30</v>
      </c>
      <c r="J15648" t="s">
        <v>31</v>
      </c>
      <c r="K15648" t="s">
        <v>261</v>
      </c>
      <c r="N15648" t="s">
        <v>54399</v>
      </c>
      <c r="O15648" t="s">
        <v>54400</v>
      </c>
      <c r="Q15648">
        <v>0</v>
      </c>
      <c r="R15648">
        <v>111</v>
      </c>
      <c r="S15648">
        <v>0</v>
      </c>
      <c r="T15648" t="s">
        <v>54401</v>
      </c>
    </row>
    <row r="15649" spans="1:25" customFormat="1" ht="15" x14ac:dyDescent="0.25">
      <c r="A15649" t="s">
        <v>24</v>
      </c>
      <c r="B15649" t="s">
        <v>1849</v>
      </c>
      <c r="C15649" t="str">
        <f>"A0098137"</f>
        <v>A0098137</v>
      </c>
      <c r="D15649" t="s">
        <v>72510</v>
      </c>
      <c r="E15649" t="s">
        <v>72511</v>
      </c>
      <c r="F15649" t="s">
        <v>6883</v>
      </c>
      <c r="G15649" t="s">
        <v>65</v>
      </c>
      <c r="H15649">
        <v>44115</v>
      </c>
      <c r="I15649" t="s">
        <v>30</v>
      </c>
      <c r="J15649" t="s">
        <v>162</v>
      </c>
      <c r="K15649" t="s">
        <v>2819</v>
      </c>
      <c r="N15649" t="s">
        <v>72512</v>
      </c>
      <c r="Q15649">
        <v>0</v>
      </c>
      <c r="R15649">
        <v>142</v>
      </c>
      <c r="S15649">
        <v>0</v>
      </c>
      <c r="T15649" t="s">
        <v>72513</v>
      </c>
    </row>
    <row r="15650" spans="1:25" customFormat="1" ht="15" x14ac:dyDescent="0.25">
      <c r="A15650" t="s">
        <v>24</v>
      </c>
      <c r="B15650" t="s">
        <v>54407</v>
      </c>
      <c r="C15650" t="str">
        <f>"A0049609"</f>
        <v>A0049609</v>
      </c>
      <c r="D15650" t="s">
        <v>54408</v>
      </c>
      <c r="E15650" t="s">
        <v>54409</v>
      </c>
      <c r="F15650" t="s">
        <v>54410</v>
      </c>
      <c r="G15650" t="s">
        <v>846</v>
      </c>
      <c r="H15650">
        <v>30525</v>
      </c>
      <c r="I15650" t="s">
        <v>30</v>
      </c>
      <c r="J15650" t="s">
        <v>178</v>
      </c>
      <c r="K15650" t="s">
        <v>179</v>
      </c>
      <c r="N15650" t="s">
        <v>54411</v>
      </c>
      <c r="O15650" t="s">
        <v>54412</v>
      </c>
      <c r="Q15650">
        <v>1</v>
      </c>
      <c r="R15650">
        <v>0</v>
      </c>
      <c r="S15650">
        <v>0</v>
      </c>
      <c r="T15650" t="s">
        <v>54413</v>
      </c>
    </row>
    <row r="15651" spans="1:25" customFormat="1" ht="15" x14ac:dyDescent="0.25">
      <c r="A15651" t="s">
        <v>24</v>
      </c>
      <c r="B15651" t="s">
        <v>799</v>
      </c>
      <c r="C15651" t="str">
        <f>"A0064245"</f>
        <v>A0064245</v>
      </c>
      <c r="D15651" t="s">
        <v>54414</v>
      </c>
      <c r="E15651" t="s">
        <v>54415</v>
      </c>
      <c r="F15651" t="s">
        <v>54416</v>
      </c>
      <c r="G15651" t="s">
        <v>58</v>
      </c>
      <c r="H15651">
        <v>29451</v>
      </c>
      <c r="I15651" t="s">
        <v>30</v>
      </c>
      <c r="J15651" t="s">
        <v>31</v>
      </c>
      <c r="K15651" t="s">
        <v>163</v>
      </c>
      <c r="N15651" t="s">
        <v>54417</v>
      </c>
      <c r="Q15651">
        <v>0</v>
      </c>
      <c r="R15651">
        <v>50</v>
      </c>
      <c r="S15651">
        <v>0</v>
      </c>
      <c r="T15651" t="s">
        <v>54418</v>
      </c>
    </row>
    <row r="15652" spans="1:25" customFormat="1" ht="15" hidden="1" x14ac:dyDescent="0.25">
      <c r="A15652" t="s">
        <v>24</v>
      </c>
      <c r="B15652" t="s">
        <v>54419</v>
      </c>
      <c r="C15652" t="str">
        <f>"SC026"</f>
        <v>SC026</v>
      </c>
      <c r="D15652" t="s">
        <v>54419</v>
      </c>
      <c r="E15652" t="s">
        <v>54420</v>
      </c>
      <c r="F15652" t="s">
        <v>13197</v>
      </c>
      <c r="G15652" t="s">
        <v>2206</v>
      </c>
      <c r="H15652" t="s">
        <v>54421</v>
      </c>
      <c r="I15652" t="s">
        <v>1459</v>
      </c>
      <c r="J15652" t="s">
        <v>7657</v>
      </c>
      <c r="K15652" t="s">
        <v>163</v>
      </c>
      <c r="N15652" t="s">
        <v>54422</v>
      </c>
      <c r="O15652" t="s">
        <v>54423</v>
      </c>
      <c r="Q15652">
        <v>0</v>
      </c>
      <c r="R15652">
        <v>586</v>
      </c>
      <c r="S15652">
        <v>0</v>
      </c>
      <c r="T15652" t="s">
        <v>54424</v>
      </c>
    </row>
    <row r="15653" spans="1:25" customFormat="1" ht="15" x14ac:dyDescent="0.25">
      <c r="A15653" t="s">
        <v>24</v>
      </c>
      <c r="B15653" t="s">
        <v>55951</v>
      </c>
      <c r="C15653" t="str">
        <f>"A0154488"</f>
        <v>A0154488</v>
      </c>
      <c r="D15653" t="s">
        <v>72514</v>
      </c>
      <c r="E15653" t="s">
        <v>72515</v>
      </c>
      <c r="F15653" t="s">
        <v>2564</v>
      </c>
      <c r="G15653" t="s">
        <v>81</v>
      </c>
      <c r="H15653">
        <v>32304</v>
      </c>
      <c r="I15653" t="s">
        <v>30</v>
      </c>
      <c r="J15653" t="s">
        <v>162</v>
      </c>
      <c r="K15653" t="s">
        <v>2819</v>
      </c>
      <c r="N15653" t="s">
        <v>72516</v>
      </c>
      <c r="O15653" t="s">
        <v>72517</v>
      </c>
      <c r="Q15653">
        <v>0</v>
      </c>
      <c r="R15653">
        <v>143</v>
      </c>
      <c r="S15653">
        <v>0</v>
      </c>
      <c r="T15653" t="s">
        <v>72518</v>
      </c>
    </row>
    <row r="15654" spans="1:25" customFormat="1" ht="15" x14ac:dyDescent="0.25">
      <c r="A15654" t="s">
        <v>24</v>
      </c>
      <c r="B15654" t="s">
        <v>5166</v>
      </c>
      <c r="C15654" t="str">
        <f>"A0147504"</f>
        <v>A0147504</v>
      </c>
      <c r="D15654" t="s">
        <v>72519</v>
      </c>
      <c r="E15654" t="s">
        <v>72520</v>
      </c>
      <c r="F15654" t="s">
        <v>972</v>
      </c>
      <c r="G15654" t="s">
        <v>190</v>
      </c>
      <c r="H15654">
        <v>80202</v>
      </c>
      <c r="I15654" t="s">
        <v>30</v>
      </c>
      <c r="J15654" t="s">
        <v>162</v>
      </c>
      <c r="K15654" t="s">
        <v>2819</v>
      </c>
      <c r="N15654" t="s">
        <v>72521</v>
      </c>
      <c r="O15654" t="s">
        <v>72522</v>
      </c>
      <c r="Q15654">
        <v>0</v>
      </c>
      <c r="R15654">
        <v>180</v>
      </c>
      <c r="S15654">
        <v>0</v>
      </c>
      <c r="T15654" t="s">
        <v>72523</v>
      </c>
    </row>
    <row r="15655" spans="1:25" customFormat="1" ht="15" x14ac:dyDescent="0.25">
      <c r="A15655" t="s">
        <v>24</v>
      </c>
      <c r="B15655" t="s">
        <v>34743</v>
      </c>
      <c r="C15655" t="str">
        <f>"A0151368"</f>
        <v>A0151368</v>
      </c>
      <c r="D15655" t="s">
        <v>72524</v>
      </c>
      <c r="E15655" t="s">
        <v>72525</v>
      </c>
      <c r="F15655" t="s">
        <v>177</v>
      </c>
      <c r="G15655" t="s">
        <v>81</v>
      </c>
      <c r="H15655">
        <v>33901</v>
      </c>
      <c r="I15655" t="s">
        <v>30</v>
      </c>
      <c r="J15655" t="s">
        <v>162</v>
      </c>
      <c r="K15655" t="s">
        <v>2819</v>
      </c>
      <c r="N15655" t="s">
        <v>72526</v>
      </c>
      <c r="Q15655">
        <v>0</v>
      </c>
      <c r="R15655">
        <v>62</v>
      </c>
      <c r="S15655">
        <v>0</v>
      </c>
      <c r="T15655" t="s">
        <v>72527</v>
      </c>
    </row>
    <row r="15656" spans="1:25" customFormat="1" ht="15" x14ac:dyDescent="0.25">
      <c r="A15656" t="s">
        <v>24</v>
      </c>
      <c r="B15656" t="s">
        <v>64373</v>
      </c>
      <c r="C15656" t="str">
        <f>"A0085831"</f>
        <v>A0085831</v>
      </c>
      <c r="D15656" t="s">
        <v>72528</v>
      </c>
      <c r="E15656" t="s">
        <v>72529</v>
      </c>
      <c r="F15656" t="s">
        <v>2443</v>
      </c>
      <c r="G15656" t="s">
        <v>81</v>
      </c>
      <c r="H15656">
        <v>32227</v>
      </c>
      <c r="I15656" t="s">
        <v>30</v>
      </c>
      <c r="J15656" t="s">
        <v>162</v>
      </c>
      <c r="K15656" t="s">
        <v>2819</v>
      </c>
      <c r="N15656" t="s">
        <v>72530</v>
      </c>
      <c r="Q15656">
        <v>0</v>
      </c>
      <c r="R15656">
        <v>96</v>
      </c>
      <c r="S15656">
        <v>0</v>
      </c>
      <c r="T15656" t="s">
        <v>72531</v>
      </c>
    </row>
    <row r="15657" spans="1:25" customFormat="1" ht="15" x14ac:dyDescent="0.25">
      <c r="A15657" t="s">
        <v>24</v>
      </c>
      <c r="B15657" t="s">
        <v>5843</v>
      </c>
      <c r="C15657" t="str">
        <f>"88BW009"</f>
        <v>88BW009</v>
      </c>
      <c r="D15657" t="s">
        <v>72532</v>
      </c>
      <c r="E15657" t="s">
        <v>72533</v>
      </c>
      <c r="F15657" t="s">
        <v>54181</v>
      </c>
      <c r="G15657" t="s">
        <v>110</v>
      </c>
      <c r="H15657">
        <v>92014</v>
      </c>
      <c r="I15657" t="s">
        <v>30</v>
      </c>
      <c r="J15657" t="s">
        <v>162</v>
      </c>
      <c r="K15657" t="s">
        <v>2819</v>
      </c>
      <c r="N15657" t="s">
        <v>72534</v>
      </c>
      <c r="O15657" t="s">
        <v>72535</v>
      </c>
      <c r="Q15657">
        <v>0</v>
      </c>
      <c r="R15657">
        <v>97</v>
      </c>
      <c r="S15657">
        <v>0</v>
      </c>
      <c r="T15657" t="s">
        <v>72536</v>
      </c>
    </row>
    <row r="15658" spans="1:25" x14ac:dyDescent="0.25">
      <c r="A15658" s="5" t="s">
        <v>24</v>
      </c>
      <c r="B15658" s="5" t="s">
        <v>2910</v>
      </c>
      <c r="C15658" s="5" t="str">
        <f>"A0154142"</f>
        <v>A0154142</v>
      </c>
      <c r="D15658" s="5" t="s">
        <v>72537</v>
      </c>
      <c r="E15658" s="5" t="s">
        <v>72538</v>
      </c>
      <c r="F15658" s="5" t="s">
        <v>3860</v>
      </c>
      <c r="G15658" s="5" t="s">
        <v>137</v>
      </c>
      <c r="H15658" s="5">
        <v>63101</v>
      </c>
      <c r="I15658" s="5" t="s">
        <v>30</v>
      </c>
      <c r="J15658" s="5" t="s">
        <v>162</v>
      </c>
      <c r="K15658" s="5" t="s">
        <v>2819</v>
      </c>
      <c r="L15658" s="5"/>
      <c r="M15658" s="5"/>
      <c r="N15658" s="5" t="s">
        <v>2915</v>
      </c>
      <c r="O15658" s="5" t="s">
        <v>72539</v>
      </c>
      <c r="P15658" s="5"/>
      <c r="Q15658" s="5">
        <v>0</v>
      </c>
      <c r="R15658" s="5">
        <v>89</v>
      </c>
      <c r="S15658" s="5">
        <v>0</v>
      </c>
      <c r="T15658" s="5" t="s">
        <v>72540</v>
      </c>
      <c r="U15658" s="5"/>
      <c r="V15658" s="5"/>
      <c r="W15658" s="5"/>
      <c r="X15658" s="5"/>
      <c r="Y15658" s="5"/>
    </row>
    <row r="15659" spans="1:25" customFormat="1" ht="15" x14ac:dyDescent="0.25">
      <c r="A15659" t="s">
        <v>24</v>
      </c>
      <c r="B15659" t="s">
        <v>54455</v>
      </c>
      <c r="C15659" t="str">
        <f>"A0166731"</f>
        <v>A0166731</v>
      </c>
      <c r="D15659" t="s">
        <v>54456</v>
      </c>
      <c r="E15659" t="s">
        <v>54457</v>
      </c>
      <c r="F15659" t="s">
        <v>1564</v>
      </c>
      <c r="G15659" t="s">
        <v>52</v>
      </c>
      <c r="H15659">
        <v>77032</v>
      </c>
      <c r="I15659" t="s">
        <v>30</v>
      </c>
      <c r="J15659" t="s">
        <v>31</v>
      </c>
      <c r="K15659" t="s">
        <v>198</v>
      </c>
      <c r="N15659" t="s">
        <v>54458</v>
      </c>
      <c r="Q15659">
        <v>0</v>
      </c>
      <c r="R15659">
        <v>98</v>
      </c>
      <c r="S15659">
        <v>0</v>
      </c>
      <c r="T15659" t="s">
        <v>54459</v>
      </c>
    </row>
    <row r="15660" spans="1:25" customFormat="1" ht="15" x14ac:dyDescent="0.25">
      <c r="A15660" t="s">
        <v>24</v>
      </c>
      <c r="B15660" t="s">
        <v>54455</v>
      </c>
      <c r="C15660" t="str">
        <f>"A0166730"</f>
        <v>A0166730</v>
      </c>
      <c r="D15660" t="s">
        <v>54460</v>
      </c>
      <c r="E15660" t="s">
        <v>54461</v>
      </c>
      <c r="F15660" t="s">
        <v>1564</v>
      </c>
      <c r="G15660" t="s">
        <v>52</v>
      </c>
      <c r="H15660">
        <v>77060</v>
      </c>
      <c r="I15660" t="s">
        <v>30</v>
      </c>
      <c r="J15660" t="s">
        <v>31</v>
      </c>
      <c r="K15660" t="s">
        <v>261</v>
      </c>
      <c r="Q15660">
        <v>0</v>
      </c>
      <c r="R15660">
        <v>92</v>
      </c>
      <c r="S15660">
        <v>0</v>
      </c>
      <c r="T15660" t="s">
        <v>54462</v>
      </c>
    </row>
    <row r="15661" spans="1:25" customFormat="1" ht="15" x14ac:dyDescent="0.25">
      <c r="A15661" t="s">
        <v>24</v>
      </c>
      <c r="B15661" t="s">
        <v>54455</v>
      </c>
      <c r="C15661" t="str">
        <f>"A0166729"</f>
        <v>A0166729</v>
      </c>
      <c r="D15661" t="s">
        <v>54463</v>
      </c>
      <c r="E15661" t="s">
        <v>54464</v>
      </c>
      <c r="F15661" t="s">
        <v>1564</v>
      </c>
      <c r="G15661" t="s">
        <v>52</v>
      </c>
      <c r="H15661">
        <v>77060</v>
      </c>
      <c r="I15661" t="s">
        <v>30</v>
      </c>
      <c r="J15661" t="s">
        <v>31</v>
      </c>
      <c r="K15661" t="s">
        <v>198</v>
      </c>
      <c r="N15661" t="s">
        <v>54465</v>
      </c>
      <c r="Q15661">
        <v>0</v>
      </c>
      <c r="R15661">
        <v>82</v>
      </c>
      <c r="S15661">
        <v>0</v>
      </c>
      <c r="T15661" t="s">
        <v>54466</v>
      </c>
    </row>
    <row r="15662" spans="1:25" customFormat="1" ht="15" x14ac:dyDescent="0.25">
      <c r="A15662" t="s">
        <v>24</v>
      </c>
      <c r="B15662" t="s">
        <v>54455</v>
      </c>
      <c r="C15662" t="str">
        <f>"A0166728"</f>
        <v>A0166728</v>
      </c>
      <c r="D15662" t="s">
        <v>54467</v>
      </c>
      <c r="E15662" t="s">
        <v>54468</v>
      </c>
      <c r="F15662" t="s">
        <v>3545</v>
      </c>
      <c r="G15662" t="s">
        <v>52</v>
      </c>
      <c r="H15662">
        <v>77340</v>
      </c>
      <c r="I15662" t="s">
        <v>30</v>
      </c>
      <c r="J15662" t="s">
        <v>31</v>
      </c>
      <c r="K15662" t="s">
        <v>198</v>
      </c>
      <c r="N15662" t="s">
        <v>54469</v>
      </c>
      <c r="Q15662">
        <v>0</v>
      </c>
      <c r="R15662">
        <v>75</v>
      </c>
      <c r="S15662">
        <v>0</v>
      </c>
      <c r="T15662" t="s">
        <v>54470</v>
      </c>
    </row>
    <row r="15663" spans="1:25" customFormat="1" ht="15" x14ac:dyDescent="0.25">
      <c r="A15663" t="s">
        <v>24</v>
      </c>
      <c r="B15663" t="s">
        <v>62071</v>
      </c>
      <c r="C15663" t="str">
        <f>"A0156973"</f>
        <v>A0156973</v>
      </c>
      <c r="D15663" t="s">
        <v>72541</v>
      </c>
      <c r="E15663" t="s">
        <v>72542</v>
      </c>
      <c r="F15663" t="s">
        <v>7579</v>
      </c>
      <c r="G15663" t="s">
        <v>40</v>
      </c>
      <c r="H15663">
        <v>74120</v>
      </c>
      <c r="I15663" t="s">
        <v>30</v>
      </c>
      <c r="J15663" t="s">
        <v>162</v>
      </c>
      <c r="K15663" t="s">
        <v>2819</v>
      </c>
      <c r="N15663" t="s">
        <v>72543</v>
      </c>
      <c r="Q15663">
        <v>0</v>
      </c>
      <c r="R15663">
        <v>98</v>
      </c>
      <c r="S15663">
        <v>0</v>
      </c>
      <c r="T15663" t="s">
        <v>72544</v>
      </c>
    </row>
    <row r="15664" spans="1:25" customFormat="1" ht="15" x14ac:dyDescent="0.25">
      <c r="A15664" t="s">
        <v>24</v>
      </c>
      <c r="B15664" t="s">
        <v>193</v>
      </c>
      <c r="C15664" t="str">
        <f>"A0145869"</f>
        <v>A0145869</v>
      </c>
      <c r="D15664" t="s">
        <v>54475</v>
      </c>
      <c r="E15664" t="s">
        <v>54476</v>
      </c>
      <c r="F15664" t="s">
        <v>54477</v>
      </c>
      <c r="G15664" t="s">
        <v>1363</v>
      </c>
      <c r="H15664">
        <v>3801</v>
      </c>
      <c r="I15664" t="s">
        <v>30</v>
      </c>
      <c r="J15664" t="s">
        <v>7657</v>
      </c>
      <c r="K15664" t="s">
        <v>6809</v>
      </c>
      <c r="N15664" t="s">
        <v>54478</v>
      </c>
      <c r="Q15664">
        <v>0</v>
      </c>
      <c r="R15664">
        <v>0</v>
      </c>
      <c r="S15664">
        <v>0</v>
      </c>
      <c r="T15664" t="s">
        <v>54479</v>
      </c>
    </row>
    <row r="15665" spans="1:20" customFormat="1" ht="15" hidden="1" x14ac:dyDescent="0.25">
      <c r="A15665" t="s">
        <v>24</v>
      </c>
      <c r="B15665" t="s">
        <v>193</v>
      </c>
      <c r="C15665" t="str">
        <f>"A0096522"</f>
        <v>A0096522</v>
      </c>
      <c r="D15665" t="s">
        <v>54480</v>
      </c>
      <c r="E15665" t="s">
        <v>54481</v>
      </c>
      <c r="F15665" t="s">
        <v>54482</v>
      </c>
      <c r="G15665" t="s">
        <v>54483</v>
      </c>
      <c r="H15665">
        <v>25900</v>
      </c>
      <c r="I15665" t="s">
        <v>2408</v>
      </c>
      <c r="J15665" t="s">
        <v>31</v>
      </c>
      <c r="K15665" t="s">
        <v>163</v>
      </c>
      <c r="N15665" t="s">
        <v>54484</v>
      </c>
      <c r="Q15665">
        <v>0</v>
      </c>
      <c r="R15665">
        <v>140</v>
      </c>
      <c r="S15665">
        <v>0</v>
      </c>
      <c r="T15665" t="s">
        <v>54485</v>
      </c>
    </row>
    <row r="15666" spans="1:20" customFormat="1" ht="15" x14ac:dyDescent="0.25">
      <c r="A15666" t="s">
        <v>24</v>
      </c>
      <c r="B15666" t="s">
        <v>193</v>
      </c>
      <c r="C15666" t="str">
        <f>"CL0979"</f>
        <v>CL0979</v>
      </c>
      <c r="D15666" t="s">
        <v>54486</v>
      </c>
      <c r="E15666" t="s">
        <v>54487</v>
      </c>
      <c r="F15666" t="s">
        <v>54488</v>
      </c>
      <c r="G15666" t="s">
        <v>52</v>
      </c>
      <c r="H15666">
        <v>78572</v>
      </c>
      <c r="I15666" t="s">
        <v>30</v>
      </c>
      <c r="J15666" t="s">
        <v>178</v>
      </c>
      <c r="K15666" t="s">
        <v>163</v>
      </c>
      <c r="N15666" t="s">
        <v>54489</v>
      </c>
      <c r="P15666" t="s">
        <v>992</v>
      </c>
      <c r="Q15666">
        <v>1</v>
      </c>
      <c r="R15666">
        <v>0</v>
      </c>
      <c r="S15666">
        <v>0</v>
      </c>
      <c r="T15666" t="s">
        <v>54490</v>
      </c>
    </row>
    <row r="15667" spans="1:20" customFormat="1" ht="15" x14ac:dyDescent="0.25">
      <c r="A15667" t="s">
        <v>24</v>
      </c>
      <c r="B15667" t="s">
        <v>54491</v>
      </c>
      <c r="C15667" t="str">
        <f>"A0166810"</f>
        <v>A0166810</v>
      </c>
      <c r="D15667" t="s">
        <v>54492</v>
      </c>
      <c r="E15667" t="s">
        <v>54493</v>
      </c>
      <c r="F15667" t="s">
        <v>2443</v>
      </c>
      <c r="G15667" t="s">
        <v>81</v>
      </c>
      <c r="H15667">
        <v>32221</v>
      </c>
      <c r="I15667" t="s">
        <v>30</v>
      </c>
      <c r="J15667" t="s">
        <v>31</v>
      </c>
      <c r="K15667" t="s">
        <v>2524</v>
      </c>
      <c r="N15667" t="s">
        <v>54494</v>
      </c>
      <c r="Q15667">
        <v>0</v>
      </c>
      <c r="R15667">
        <v>65</v>
      </c>
      <c r="S15667">
        <v>0</v>
      </c>
      <c r="T15667" t="s">
        <v>54495</v>
      </c>
    </row>
    <row r="15668" spans="1:20" customFormat="1" ht="15" x14ac:dyDescent="0.25">
      <c r="A15668" t="s">
        <v>24</v>
      </c>
      <c r="B15668" t="s">
        <v>54491</v>
      </c>
      <c r="C15668" t="str">
        <f>"A0166809"</f>
        <v>A0166809</v>
      </c>
      <c r="D15668" t="s">
        <v>54496</v>
      </c>
      <c r="E15668" t="s">
        <v>54497</v>
      </c>
      <c r="F15668" t="s">
        <v>2443</v>
      </c>
      <c r="G15668" t="s">
        <v>81</v>
      </c>
      <c r="H15668">
        <v>32224</v>
      </c>
      <c r="I15668" t="s">
        <v>30</v>
      </c>
      <c r="J15668" t="s">
        <v>31</v>
      </c>
      <c r="K15668" t="s">
        <v>198</v>
      </c>
      <c r="N15668" t="s">
        <v>54498</v>
      </c>
      <c r="Q15668">
        <v>0</v>
      </c>
      <c r="R15668">
        <v>96</v>
      </c>
      <c r="S15668">
        <v>0</v>
      </c>
      <c r="T15668" t="s">
        <v>54499</v>
      </c>
    </row>
    <row r="15669" spans="1:20" customFormat="1" ht="15" x14ac:dyDescent="0.25">
      <c r="A15669" t="s">
        <v>24</v>
      </c>
      <c r="B15669" t="s">
        <v>54491</v>
      </c>
      <c r="C15669" t="str">
        <f>"A0100047"</f>
        <v>A0100047</v>
      </c>
      <c r="D15669" t="s">
        <v>54500</v>
      </c>
      <c r="E15669" t="s">
        <v>54501</v>
      </c>
      <c r="F15669" t="s">
        <v>54502</v>
      </c>
      <c r="G15669" t="s">
        <v>81</v>
      </c>
      <c r="H15669">
        <v>32224</v>
      </c>
      <c r="I15669" t="s">
        <v>30</v>
      </c>
      <c r="J15669" t="s">
        <v>31</v>
      </c>
      <c r="K15669" t="s">
        <v>222</v>
      </c>
      <c r="N15669" t="s">
        <v>54503</v>
      </c>
      <c r="Q15669">
        <v>0</v>
      </c>
      <c r="R15669">
        <v>93</v>
      </c>
      <c r="S15669">
        <v>0</v>
      </c>
      <c r="T15669" t="s">
        <v>54504</v>
      </c>
    </row>
    <row r="15670" spans="1:20" customFormat="1" ht="15" x14ac:dyDescent="0.25">
      <c r="A15670" t="s">
        <v>24</v>
      </c>
      <c r="B15670" t="s">
        <v>54505</v>
      </c>
      <c r="C15670" t="str">
        <f>"A0166769"</f>
        <v>A0166769</v>
      </c>
      <c r="D15670" t="s">
        <v>54506</v>
      </c>
      <c r="E15670" t="s">
        <v>54507</v>
      </c>
      <c r="F15670" t="s">
        <v>54508</v>
      </c>
      <c r="G15670" t="s">
        <v>214</v>
      </c>
      <c r="H15670">
        <v>28461</v>
      </c>
      <c r="I15670" t="s">
        <v>30</v>
      </c>
      <c r="J15670" t="s">
        <v>31</v>
      </c>
      <c r="K15670" t="s">
        <v>198</v>
      </c>
      <c r="N15670" t="s">
        <v>54509</v>
      </c>
      <c r="O15670" t="s">
        <v>54510</v>
      </c>
      <c r="Q15670">
        <v>0</v>
      </c>
      <c r="R15670">
        <v>88</v>
      </c>
      <c r="S15670">
        <v>0</v>
      </c>
      <c r="T15670" t="s">
        <v>54511</v>
      </c>
    </row>
    <row r="15671" spans="1:20" customFormat="1" ht="15" x14ac:dyDescent="0.25">
      <c r="A15671" t="s">
        <v>24</v>
      </c>
      <c r="B15671" t="s">
        <v>34033</v>
      </c>
      <c r="C15671" t="str">
        <f>"A0101117"</f>
        <v>A0101117</v>
      </c>
      <c r="D15671" t="s">
        <v>72545</v>
      </c>
      <c r="E15671" t="s">
        <v>72546</v>
      </c>
      <c r="F15671" t="s">
        <v>34042</v>
      </c>
      <c r="G15671" t="s">
        <v>1706</v>
      </c>
      <c r="H15671">
        <v>35401</v>
      </c>
      <c r="I15671" t="s">
        <v>30</v>
      </c>
      <c r="J15671" t="s">
        <v>162</v>
      </c>
      <c r="K15671" t="s">
        <v>2819</v>
      </c>
      <c r="N15671" t="s">
        <v>72547</v>
      </c>
      <c r="Q15671">
        <v>0</v>
      </c>
      <c r="R15671">
        <v>91</v>
      </c>
      <c r="S15671">
        <v>0</v>
      </c>
      <c r="T15671" t="s">
        <v>72548</v>
      </c>
    </row>
    <row r="15672" spans="1:20" customFormat="1" ht="15" x14ac:dyDescent="0.25">
      <c r="A15672" t="s">
        <v>24</v>
      </c>
      <c r="B15672" t="s">
        <v>54505</v>
      </c>
      <c r="C15672" t="str">
        <f>"A0166322"</f>
        <v>A0166322</v>
      </c>
      <c r="D15672" t="s">
        <v>54516</v>
      </c>
      <c r="E15672" t="s">
        <v>54517</v>
      </c>
      <c r="F15672" t="s">
        <v>34402</v>
      </c>
      <c r="G15672" t="s">
        <v>58</v>
      </c>
      <c r="H15672">
        <v>29466</v>
      </c>
      <c r="I15672" t="s">
        <v>30</v>
      </c>
      <c r="J15672" t="s">
        <v>31</v>
      </c>
      <c r="K15672" t="s">
        <v>282</v>
      </c>
      <c r="N15672" t="s">
        <v>54518</v>
      </c>
      <c r="Q15672">
        <v>0</v>
      </c>
      <c r="R15672">
        <v>103</v>
      </c>
      <c r="S15672">
        <v>0</v>
      </c>
      <c r="T15672" t="s">
        <v>54519</v>
      </c>
    </row>
    <row r="15673" spans="1:20" customFormat="1" ht="15" x14ac:dyDescent="0.25">
      <c r="A15673" t="s">
        <v>24</v>
      </c>
      <c r="B15673" t="s">
        <v>54505</v>
      </c>
      <c r="C15673" t="str">
        <f>"A0166321"</f>
        <v>A0166321</v>
      </c>
      <c r="D15673" t="s">
        <v>54520</v>
      </c>
      <c r="E15673" t="s">
        <v>54521</v>
      </c>
      <c r="F15673" t="s">
        <v>3029</v>
      </c>
      <c r="G15673" t="s">
        <v>58</v>
      </c>
      <c r="H15673">
        <v>29486</v>
      </c>
      <c r="I15673" t="s">
        <v>30</v>
      </c>
      <c r="J15673" t="s">
        <v>31</v>
      </c>
      <c r="K15673" t="s">
        <v>282</v>
      </c>
      <c r="N15673" t="s">
        <v>54522</v>
      </c>
      <c r="Q15673">
        <v>0</v>
      </c>
      <c r="R15673">
        <v>111</v>
      </c>
      <c r="S15673">
        <v>0</v>
      </c>
      <c r="T15673" t="s">
        <v>54523</v>
      </c>
    </row>
    <row r="15674" spans="1:20" customFormat="1" ht="15" x14ac:dyDescent="0.25">
      <c r="A15674" t="s">
        <v>24</v>
      </c>
      <c r="B15674" t="s">
        <v>54505</v>
      </c>
      <c r="C15674" t="str">
        <f>"A0166320"</f>
        <v>A0166320</v>
      </c>
      <c r="D15674" t="s">
        <v>54524</v>
      </c>
      <c r="E15674" t="s">
        <v>54525</v>
      </c>
      <c r="F15674" t="s">
        <v>5369</v>
      </c>
      <c r="G15674" t="s">
        <v>58</v>
      </c>
      <c r="H15674">
        <v>29407</v>
      </c>
      <c r="I15674" t="s">
        <v>30</v>
      </c>
      <c r="J15674" t="s">
        <v>31</v>
      </c>
      <c r="K15674" t="s">
        <v>296</v>
      </c>
      <c r="N15674" t="s">
        <v>54526</v>
      </c>
      <c r="Q15674">
        <v>0</v>
      </c>
      <c r="R15674">
        <v>100</v>
      </c>
      <c r="S15674">
        <v>0</v>
      </c>
      <c r="T15674" t="s">
        <v>54527</v>
      </c>
    </row>
    <row r="15675" spans="1:20" customFormat="1" ht="15" x14ac:dyDescent="0.25">
      <c r="A15675" t="s">
        <v>24</v>
      </c>
      <c r="B15675" t="s">
        <v>54505</v>
      </c>
      <c r="C15675" t="str">
        <f>"A0162027"</f>
        <v>A0162027</v>
      </c>
      <c r="D15675" t="s">
        <v>54528</v>
      </c>
      <c r="E15675" t="s">
        <v>54529</v>
      </c>
      <c r="F15675" t="s">
        <v>54508</v>
      </c>
      <c r="G15675" t="s">
        <v>214</v>
      </c>
      <c r="H15675">
        <v>28461</v>
      </c>
      <c r="I15675" t="s">
        <v>30</v>
      </c>
      <c r="J15675" t="s">
        <v>31</v>
      </c>
      <c r="K15675" t="s">
        <v>32</v>
      </c>
      <c r="N15675" t="s">
        <v>54530</v>
      </c>
      <c r="Q15675">
        <v>0</v>
      </c>
      <c r="R15675">
        <v>80</v>
      </c>
      <c r="S15675">
        <v>0</v>
      </c>
      <c r="T15675" t="s">
        <v>54531</v>
      </c>
    </row>
    <row r="15676" spans="1:20" customFormat="1" ht="15" x14ac:dyDescent="0.25">
      <c r="A15676" t="s">
        <v>24</v>
      </c>
      <c r="B15676" t="s">
        <v>54505</v>
      </c>
      <c r="C15676" t="str">
        <f>"A0064226"</f>
        <v>A0064226</v>
      </c>
      <c r="D15676" t="s">
        <v>54532</v>
      </c>
      <c r="E15676" t="s">
        <v>54533</v>
      </c>
      <c r="F15676" t="s">
        <v>5369</v>
      </c>
      <c r="G15676" t="s">
        <v>58</v>
      </c>
      <c r="H15676">
        <v>29401</v>
      </c>
      <c r="I15676" t="s">
        <v>30</v>
      </c>
      <c r="J15676" t="s">
        <v>31</v>
      </c>
      <c r="K15676" t="s">
        <v>163</v>
      </c>
      <c r="N15676" t="s">
        <v>54534</v>
      </c>
      <c r="Q15676">
        <v>0</v>
      </c>
      <c r="R15676">
        <v>41</v>
      </c>
      <c r="S15676">
        <v>0</v>
      </c>
      <c r="T15676" t="s">
        <v>54535</v>
      </c>
    </row>
    <row r="15677" spans="1:20" customFormat="1" ht="15" x14ac:dyDescent="0.25">
      <c r="A15677" t="s">
        <v>24</v>
      </c>
      <c r="B15677" t="s">
        <v>10986</v>
      </c>
      <c r="C15677" t="str">
        <f>"A0162028"</f>
        <v>A0162028</v>
      </c>
      <c r="D15677" t="s">
        <v>54536</v>
      </c>
      <c r="E15677" t="s">
        <v>54537</v>
      </c>
      <c r="F15677" t="s">
        <v>35211</v>
      </c>
      <c r="G15677" t="s">
        <v>110</v>
      </c>
      <c r="H15677">
        <v>95035</v>
      </c>
      <c r="I15677" t="s">
        <v>30</v>
      </c>
      <c r="J15677" t="s">
        <v>31</v>
      </c>
      <c r="K15677" t="s">
        <v>1890</v>
      </c>
      <c r="N15677" t="s">
        <v>54538</v>
      </c>
      <c r="O15677" t="s">
        <v>54539</v>
      </c>
      <c r="Q15677">
        <v>0</v>
      </c>
      <c r="R15677">
        <v>194</v>
      </c>
      <c r="S15677">
        <v>0</v>
      </c>
      <c r="T15677" t="s">
        <v>54540</v>
      </c>
    </row>
    <row r="15678" spans="1:20" customFormat="1" ht="15" x14ac:dyDescent="0.25">
      <c r="A15678" t="s">
        <v>24</v>
      </c>
      <c r="B15678" t="s">
        <v>1528</v>
      </c>
      <c r="C15678" t="str">
        <f>"A0151651"</f>
        <v>A0151651</v>
      </c>
      <c r="D15678" t="s">
        <v>72549</v>
      </c>
      <c r="E15678" t="s">
        <v>72550</v>
      </c>
      <c r="F15678" t="s">
        <v>53667</v>
      </c>
      <c r="G15678" t="s">
        <v>76</v>
      </c>
      <c r="H15678">
        <v>98201</v>
      </c>
      <c r="I15678" t="s">
        <v>30</v>
      </c>
      <c r="J15678" t="s">
        <v>162</v>
      </c>
      <c r="K15678" t="s">
        <v>2819</v>
      </c>
      <c r="N15678" t="s">
        <v>72551</v>
      </c>
      <c r="O15678" t="s">
        <v>33843</v>
      </c>
      <c r="Q15678">
        <v>0</v>
      </c>
      <c r="R15678">
        <v>142</v>
      </c>
      <c r="S15678">
        <v>0</v>
      </c>
      <c r="T15678" t="s">
        <v>72552</v>
      </c>
    </row>
    <row r="15679" spans="1:20" customFormat="1" ht="15" x14ac:dyDescent="0.25">
      <c r="A15679" t="s">
        <v>24</v>
      </c>
      <c r="B15679" t="s">
        <v>850</v>
      </c>
      <c r="C15679" t="str">
        <f>"A0166980"</f>
        <v>A0166980</v>
      </c>
      <c r="D15679" t="s">
        <v>54546</v>
      </c>
      <c r="E15679" t="s">
        <v>54547</v>
      </c>
      <c r="F15679" t="s">
        <v>54548</v>
      </c>
      <c r="G15679" t="s">
        <v>846</v>
      </c>
      <c r="H15679">
        <v>30738</v>
      </c>
      <c r="I15679" t="s">
        <v>30</v>
      </c>
      <c r="J15679" t="s">
        <v>178</v>
      </c>
      <c r="K15679" t="s">
        <v>179</v>
      </c>
      <c r="N15679" t="s">
        <v>54549</v>
      </c>
      <c r="O15679" t="s">
        <v>54550</v>
      </c>
      <c r="Q15679">
        <v>0</v>
      </c>
      <c r="R15679">
        <v>20</v>
      </c>
      <c r="S15679">
        <v>0</v>
      </c>
      <c r="T15679" t="s">
        <v>54551</v>
      </c>
    </row>
    <row r="15680" spans="1:20" customFormat="1" ht="15" x14ac:dyDescent="0.25">
      <c r="A15680" t="s">
        <v>24</v>
      </c>
      <c r="B15680" t="s">
        <v>850</v>
      </c>
      <c r="C15680" t="str">
        <f>"A0151403"</f>
        <v>A0151403</v>
      </c>
      <c r="D15680" t="s">
        <v>72553</v>
      </c>
      <c r="E15680" t="s">
        <v>72554</v>
      </c>
      <c r="F15680" t="s">
        <v>11257</v>
      </c>
      <c r="G15680" t="s">
        <v>99</v>
      </c>
      <c r="H15680">
        <v>11211</v>
      </c>
      <c r="I15680" t="s">
        <v>30</v>
      </c>
      <c r="J15680" t="s">
        <v>162</v>
      </c>
      <c r="K15680" t="s">
        <v>2819</v>
      </c>
      <c r="N15680" t="s">
        <v>72555</v>
      </c>
      <c r="O15680" t="s">
        <v>72556</v>
      </c>
      <c r="Q15680">
        <v>0</v>
      </c>
      <c r="R15680">
        <v>187</v>
      </c>
      <c r="S15680">
        <v>0</v>
      </c>
      <c r="T15680" t="s">
        <v>72557</v>
      </c>
    </row>
    <row r="15681" spans="1:25" customFormat="1" ht="15" x14ac:dyDescent="0.25">
      <c r="A15681" t="s">
        <v>24</v>
      </c>
      <c r="B15681" t="s">
        <v>1528</v>
      </c>
      <c r="C15681" t="str">
        <f>"A0100931"</f>
        <v>A0100931</v>
      </c>
      <c r="D15681" t="s">
        <v>72558</v>
      </c>
      <c r="E15681" t="s">
        <v>72559</v>
      </c>
      <c r="F15681" t="s">
        <v>53620</v>
      </c>
      <c r="G15681" t="s">
        <v>76</v>
      </c>
      <c r="H15681">
        <v>98188</v>
      </c>
      <c r="I15681" t="s">
        <v>30</v>
      </c>
      <c r="J15681" t="s">
        <v>162</v>
      </c>
      <c r="K15681" t="s">
        <v>163</v>
      </c>
      <c r="N15681" t="s">
        <v>2358</v>
      </c>
      <c r="O15681" t="s">
        <v>33843</v>
      </c>
      <c r="Q15681">
        <v>0</v>
      </c>
      <c r="R15681">
        <v>185</v>
      </c>
      <c r="S15681">
        <v>0</v>
      </c>
      <c r="T15681" t="s">
        <v>72560</v>
      </c>
    </row>
    <row r="15682" spans="1:25" customFormat="1" ht="15" x14ac:dyDescent="0.25">
      <c r="A15682" t="s">
        <v>24</v>
      </c>
      <c r="B15682" t="s">
        <v>66181</v>
      </c>
      <c r="C15682" t="str">
        <f>"HY09616"</f>
        <v>HY09616</v>
      </c>
      <c r="D15682" t="s">
        <v>72561</v>
      </c>
      <c r="E15682" t="s">
        <v>72562</v>
      </c>
      <c r="F15682" t="s">
        <v>808</v>
      </c>
      <c r="G15682" t="s">
        <v>110</v>
      </c>
      <c r="H15682">
        <v>92614</v>
      </c>
      <c r="I15682" t="s">
        <v>30</v>
      </c>
      <c r="J15682" t="s">
        <v>162</v>
      </c>
      <c r="K15682" t="s">
        <v>163</v>
      </c>
      <c r="N15682" t="s">
        <v>72563</v>
      </c>
      <c r="O15682" t="s">
        <v>72564</v>
      </c>
      <c r="P15682" t="s">
        <v>6426</v>
      </c>
      <c r="Q15682">
        <v>0</v>
      </c>
      <c r="R15682">
        <v>536</v>
      </c>
      <c r="S15682">
        <v>0</v>
      </c>
      <c r="T15682" t="s">
        <v>72565</v>
      </c>
    </row>
    <row r="15683" spans="1:25" customFormat="1" ht="15" x14ac:dyDescent="0.25">
      <c r="A15683" t="s">
        <v>24</v>
      </c>
      <c r="B15683" t="s">
        <v>5384</v>
      </c>
      <c r="C15683" t="str">
        <f>"A0084350"</f>
        <v>A0084350</v>
      </c>
      <c r="D15683" t="s">
        <v>72569</v>
      </c>
      <c r="E15683" t="s">
        <v>72570</v>
      </c>
      <c r="F15683" t="s">
        <v>189</v>
      </c>
      <c r="G15683" t="s">
        <v>190</v>
      </c>
      <c r="H15683">
        <v>81611</v>
      </c>
      <c r="I15683" t="s">
        <v>30</v>
      </c>
      <c r="J15683" t="s">
        <v>162</v>
      </c>
      <c r="K15683" t="s">
        <v>163</v>
      </c>
      <c r="N15683" t="s">
        <v>72571</v>
      </c>
      <c r="O15683" t="s">
        <v>72572</v>
      </c>
      <c r="Q15683">
        <v>0</v>
      </c>
      <c r="R15683">
        <v>94</v>
      </c>
      <c r="S15683">
        <v>0</v>
      </c>
      <c r="T15683" t="s">
        <v>72573</v>
      </c>
    </row>
    <row r="15684" spans="1:25" customFormat="1" ht="15" x14ac:dyDescent="0.25">
      <c r="A15684" t="s">
        <v>24</v>
      </c>
      <c r="B15684" t="s">
        <v>1205</v>
      </c>
      <c r="C15684" t="str">
        <f>"A0156667"</f>
        <v>A0156667</v>
      </c>
      <c r="D15684" t="s">
        <v>54570</v>
      </c>
      <c r="E15684" t="s">
        <v>54571</v>
      </c>
      <c r="F15684" t="s">
        <v>1525</v>
      </c>
      <c r="G15684" t="s">
        <v>65</v>
      </c>
      <c r="H15684">
        <v>43219</v>
      </c>
      <c r="I15684" t="s">
        <v>30</v>
      </c>
      <c r="J15684" t="s">
        <v>31</v>
      </c>
      <c r="K15684" t="s">
        <v>277</v>
      </c>
      <c r="Q15684">
        <v>0</v>
      </c>
      <c r="R15684">
        <v>136</v>
      </c>
      <c r="S15684">
        <v>0</v>
      </c>
      <c r="T15684" t="s">
        <v>54572</v>
      </c>
    </row>
    <row r="15685" spans="1:25" customFormat="1" ht="15" x14ac:dyDescent="0.25">
      <c r="A15685" t="s">
        <v>24</v>
      </c>
      <c r="B15685" t="s">
        <v>54573</v>
      </c>
      <c r="C15685" t="str">
        <f>"A0151758"</f>
        <v>A0151758</v>
      </c>
      <c r="D15685" t="s">
        <v>54574</v>
      </c>
      <c r="E15685" t="s">
        <v>54575</v>
      </c>
      <c r="F15685" t="s">
        <v>5518</v>
      </c>
      <c r="G15685" t="s">
        <v>71</v>
      </c>
      <c r="H15685">
        <v>53217</v>
      </c>
      <c r="I15685" t="s">
        <v>30</v>
      </c>
      <c r="J15685" t="s">
        <v>31</v>
      </c>
      <c r="K15685" t="s">
        <v>198</v>
      </c>
      <c r="N15685" t="s">
        <v>54576</v>
      </c>
      <c r="O15685" t="s">
        <v>54577</v>
      </c>
      <c r="Q15685">
        <v>0</v>
      </c>
      <c r="R15685">
        <v>90</v>
      </c>
      <c r="S15685">
        <v>0</v>
      </c>
      <c r="T15685" t="s">
        <v>54578</v>
      </c>
    </row>
    <row r="15686" spans="1:25" x14ac:dyDescent="0.25">
      <c r="A15686" s="5" t="s">
        <v>24</v>
      </c>
      <c r="B15686" s="5" t="s">
        <v>2011</v>
      </c>
      <c r="C15686" s="5" t="str">
        <f>"A0076945"</f>
        <v>A0076945</v>
      </c>
      <c r="D15686" s="5" t="s">
        <v>72580</v>
      </c>
      <c r="E15686" s="5" t="s">
        <v>72581</v>
      </c>
      <c r="F15686" s="5" t="s">
        <v>748</v>
      </c>
      <c r="G15686" s="5" t="s">
        <v>110</v>
      </c>
      <c r="H15686" s="5">
        <v>94115</v>
      </c>
      <c r="I15686" s="5" t="s">
        <v>30</v>
      </c>
      <c r="J15686" s="5" t="s">
        <v>162</v>
      </c>
      <c r="K15686" s="5" t="s">
        <v>13246</v>
      </c>
      <c r="L15686" s="5"/>
      <c r="M15686" s="5"/>
      <c r="N15686" s="5" t="s">
        <v>72582</v>
      </c>
      <c r="O15686" s="5"/>
      <c r="P15686" s="5"/>
      <c r="Q15686" s="5">
        <v>0</v>
      </c>
      <c r="R15686" s="5">
        <v>218</v>
      </c>
      <c r="S15686" s="5">
        <v>0</v>
      </c>
      <c r="T15686" s="5" t="s">
        <v>72583</v>
      </c>
      <c r="U15686" s="5"/>
      <c r="V15686" s="5"/>
      <c r="W15686" s="5"/>
      <c r="X15686" s="5"/>
      <c r="Y15686" s="5"/>
    </row>
    <row r="15687" spans="1:25" customFormat="1" ht="15" x14ac:dyDescent="0.25">
      <c r="A15687" t="s">
        <v>24</v>
      </c>
      <c r="B15687" t="s">
        <v>54582</v>
      </c>
      <c r="C15687" t="str">
        <f>"A0050126"</f>
        <v>A0050126</v>
      </c>
      <c r="D15687" t="s">
        <v>54583</v>
      </c>
      <c r="E15687" t="s">
        <v>54584</v>
      </c>
      <c r="F15687" t="s">
        <v>1809</v>
      </c>
      <c r="G15687" t="s">
        <v>58</v>
      </c>
      <c r="H15687">
        <v>29910</v>
      </c>
      <c r="I15687" t="s">
        <v>30</v>
      </c>
      <c r="J15687" t="s">
        <v>178</v>
      </c>
      <c r="K15687" t="s">
        <v>179</v>
      </c>
      <c r="N15687" t="s">
        <v>54585</v>
      </c>
      <c r="O15687" t="s">
        <v>54586</v>
      </c>
      <c r="Q15687">
        <v>2</v>
      </c>
      <c r="R15687">
        <v>9</v>
      </c>
      <c r="S15687">
        <v>0</v>
      </c>
      <c r="T15687" t="s">
        <v>54587</v>
      </c>
    </row>
    <row r="15688" spans="1:25" customFormat="1" ht="15" x14ac:dyDescent="0.25">
      <c r="A15688" t="s">
        <v>24</v>
      </c>
      <c r="B15688" t="s">
        <v>12356</v>
      </c>
      <c r="C15688" t="str">
        <f>"A0167032"</f>
        <v>A0167032</v>
      </c>
      <c r="D15688" t="s">
        <v>54588</v>
      </c>
      <c r="E15688" t="s">
        <v>54589</v>
      </c>
      <c r="F15688" t="s">
        <v>35010</v>
      </c>
      <c r="G15688" t="s">
        <v>289</v>
      </c>
      <c r="H15688">
        <v>60085</v>
      </c>
      <c r="I15688" t="s">
        <v>30</v>
      </c>
      <c r="J15688" t="s">
        <v>31</v>
      </c>
      <c r="K15688" t="s">
        <v>222</v>
      </c>
      <c r="N15688" t="s">
        <v>54590</v>
      </c>
      <c r="Q15688">
        <v>0</v>
      </c>
      <c r="R15688">
        <v>90</v>
      </c>
      <c r="S15688">
        <v>0</v>
      </c>
      <c r="T15688" t="s">
        <v>54591</v>
      </c>
    </row>
    <row r="15689" spans="1:25" customFormat="1" ht="15" x14ac:dyDescent="0.25">
      <c r="A15689" t="s">
        <v>24</v>
      </c>
      <c r="B15689" t="s">
        <v>54592</v>
      </c>
      <c r="C15689" t="str">
        <f>"A0157232"</f>
        <v>A0157232</v>
      </c>
      <c r="D15689" t="s">
        <v>54593</v>
      </c>
      <c r="E15689" t="s">
        <v>54594</v>
      </c>
      <c r="F15689" t="s">
        <v>54595</v>
      </c>
      <c r="G15689" t="s">
        <v>899</v>
      </c>
      <c r="H15689">
        <v>1240</v>
      </c>
      <c r="I15689" t="s">
        <v>30</v>
      </c>
      <c r="J15689" t="s">
        <v>31</v>
      </c>
      <c r="K15689" t="s">
        <v>163</v>
      </c>
      <c r="N15689" t="s">
        <v>54596</v>
      </c>
      <c r="Q15689">
        <v>0</v>
      </c>
      <c r="R15689">
        <v>57</v>
      </c>
      <c r="S15689">
        <v>0</v>
      </c>
      <c r="T15689" t="s">
        <v>54597</v>
      </c>
    </row>
    <row r="15690" spans="1:25" customFormat="1" ht="15" x14ac:dyDescent="0.25">
      <c r="A15690" t="s">
        <v>24</v>
      </c>
      <c r="B15690" t="s">
        <v>54598</v>
      </c>
      <c r="C15690" t="str">
        <f>"A0167031"</f>
        <v>A0167031</v>
      </c>
      <c r="D15690" t="s">
        <v>54599</v>
      </c>
      <c r="E15690" t="s">
        <v>54600</v>
      </c>
      <c r="F15690" t="s">
        <v>3358</v>
      </c>
      <c r="G15690" t="s">
        <v>846</v>
      </c>
      <c r="H15690">
        <v>30606</v>
      </c>
      <c r="I15690" t="s">
        <v>30</v>
      </c>
      <c r="J15690" t="s">
        <v>31</v>
      </c>
      <c r="K15690" t="s">
        <v>32</v>
      </c>
      <c r="N15690" t="s">
        <v>54601</v>
      </c>
      <c r="O15690" t="s">
        <v>54602</v>
      </c>
      <c r="Q15690">
        <v>0</v>
      </c>
      <c r="R15690">
        <v>87</v>
      </c>
      <c r="S15690">
        <v>0</v>
      </c>
      <c r="T15690" t="s">
        <v>54603</v>
      </c>
    </row>
    <row r="15691" spans="1:25" hidden="1" x14ac:dyDescent="0.25">
      <c r="A15691" s="3" t="s">
        <v>24</v>
      </c>
      <c r="B15691" s="3" t="s">
        <v>1598</v>
      </c>
      <c r="C15691" s="3" t="str">
        <f>"15253"</f>
        <v>15253</v>
      </c>
      <c r="D15691" s="3" t="s">
        <v>54604</v>
      </c>
      <c r="E15691" s="3" t="s">
        <v>54605</v>
      </c>
      <c r="F15691" s="3" t="s">
        <v>54606</v>
      </c>
      <c r="G15691" s="3" t="s">
        <v>15270</v>
      </c>
      <c r="H15691" s="3" t="s">
        <v>54607</v>
      </c>
      <c r="I15691" s="3" t="s">
        <v>1459</v>
      </c>
      <c r="J15691" s="3" t="s">
        <v>206</v>
      </c>
      <c r="K15691" s="3" t="s">
        <v>6459</v>
      </c>
      <c r="P15691" s="3" t="s">
        <v>3998</v>
      </c>
      <c r="Q15691" s="3">
        <v>1</v>
      </c>
      <c r="R15691" s="3">
        <v>233</v>
      </c>
      <c r="S15691" s="3">
        <v>0</v>
      </c>
      <c r="T15691" s="3" t="s">
        <v>54608</v>
      </c>
    </row>
    <row r="15692" spans="1:25" customFormat="1" ht="15" hidden="1" x14ac:dyDescent="0.25">
      <c r="A15692" t="s">
        <v>24</v>
      </c>
      <c r="B15692" t="s">
        <v>1598</v>
      </c>
      <c r="C15692" t="str">
        <f>"A0057953"</f>
        <v>A0057953</v>
      </c>
      <c r="D15692" t="s">
        <v>54609</v>
      </c>
      <c r="E15692" t="s">
        <v>54610</v>
      </c>
      <c r="F15692" t="s">
        <v>54611</v>
      </c>
      <c r="G15692" t="s">
        <v>53283</v>
      </c>
      <c r="H15692" t="s">
        <v>54612</v>
      </c>
      <c r="I15692" t="s">
        <v>1459</v>
      </c>
      <c r="J15692" t="s">
        <v>162</v>
      </c>
      <c r="K15692" t="s">
        <v>822</v>
      </c>
      <c r="N15692" t="s">
        <v>54613</v>
      </c>
      <c r="Q15692">
        <v>0</v>
      </c>
      <c r="R15692">
        <v>310</v>
      </c>
      <c r="S15692">
        <v>0</v>
      </c>
      <c r="T15692" t="s">
        <v>54614</v>
      </c>
    </row>
    <row r="15693" spans="1:25" customFormat="1" ht="15" x14ac:dyDescent="0.25">
      <c r="A15693" t="s">
        <v>24</v>
      </c>
      <c r="B15693" t="s">
        <v>2011</v>
      </c>
      <c r="C15693" t="str">
        <f>"A0165220"</f>
        <v>A0165220</v>
      </c>
      <c r="D15693" t="s">
        <v>72584</v>
      </c>
      <c r="E15693" t="s">
        <v>72585</v>
      </c>
      <c r="F15693" t="s">
        <v>5107</v>
      </c>
      <c r="G15693" t="s">
        <v>137</v>
      </c>
      <c r="H15693">
        <v>64105</v>
      </c>
      <c r="I15693" t="s">
        <v>30</v>
      </c>
      <c r="J15693" t="s">
        <v>162</v>
      </c>
      <c r="K15693" t="s">
        <v>13297</v>
      </c>
      <c r="N15693" t="s">
        <v>72586</v>
      </c>
      <c r="O15693" t="s">
        <v>72587</v>
      </c>
      <c r="Q15693">
        <v>0</v>
      </c>
      <c r="R15693">
        <v>144</v>
      </c>
      <c r="S15693">
        <v>0</v>
      </c>
      <c r="T15693" t="s">
        <v>72588</v>
      </c>
    </row>
    <row r="15694" spans="1:25" customFormat="1" ht="15" x14ac:dyDescent="0.25">
      <c r="A15694" t="s">
        <v>24</v>
      </c>
      <c r="B15694" t="s">
        <v>5166</v>
      </c>
      <c r="C15694" t="str">
        <f>"A0156822"</f>
        <v>A0156822</v>
      </c>
      <c r="D15694" t="s">
        <v>72593</v>
      </c>
      <c r="E15694" t="s">
        <v>72594</v>
      </c>
      <c r="F15694" t="s">
        <v>72595</v>
      </c>
      <c r="G15694" t="s">
        <v>161</v>
      </c>
      <c r="H15694">
        <v>55391</v>
      </c>
      <c r="I15694" t="s">
        <v>30</v>
      </c>
      <c r="J15694" t="s">
        <v>162</v>
      </c>
      <c r="K15694" t="s">
        <v>163</v>
      </c>
      <c r="N15694" t="s">
        <v>72596</v>
      </c>
      <c r="Q15694">
        <v>0</v>
      </c>
      <c r="R15694">
        <v>92</v>
      </c>
      <c r="S15694">
        <v>0</v>
      </c>
      <c r="T15694" t="s">
        <v>72597</v>
      </c>
    </row>
    <row r="15695" spans="1:25" customFormat="1" ht="15" x14ac:dyDescent="0.25">
      <c r="A15695" t="s">
        <v>24</v>
      </c>
      <c r="B15695" t="s">
        <v>1598</v>
      </c>
      <c r="C15695" t="str">
        <f>"A0098099"</f>
        <v>A0098099</v>
      </c>
      <c r="D15695" t="s">
        <v>54624</v>
      </c>
      <c r="E15695" t="s">
        <v>54625</v>
      </c>
      <c r="F15695" t="s">
        <v>14478</v>
      </c>
      <c r="G15695" t="s">
        <v>615</v>
      </c>
      <c r="H15695">
        <v>6484</v>
      </c>
      <c r="I15695" t="s">
        <v>30</v>
      </c>
      <c r="J15695" t="s">
        <v>31</v>
      </c>
      <c r="K15695" t="s">
        <v>198</v>
      </c>
      <c r="N15695" t="s">
        <v>54626</v>
      </c>
      <c r="O15695" t="s">
        <v>54627</v>
      </c>
      <c r="Q15695">
        <v>0</v>
      </c>
      <c r="R15695">
        <v>125</v>
      </c>
      <c r="S15695">
        <v>0</v>
      </c>
      <c r="T15695" t="s">
        <v>54628</v>
      </c>
    </row>
    <row r="15696" spans="1:25" customFormat="1" ht="15" hidden="1" x14ac:dyDescent="0.25">
      <c r="A15696" t="s">
        <v>24</v>
      </c>
      <c r="B15696" t="s">
        <v>1598</v>
      </c>
      <c r="C15696" t="str">
        <f>"A0098100"</f>
        <v>A0098100</v>
      </c>
      <c r="D15696" t="s">
        <v>54629</v>
      </c>
      <c r="E15696" t="s">
        <v>54630</v>
      </c>
      <c r="F15696" t="s">
        <v>54631</v>
      </c>
      <c r="G15696" t="s">
        <v>53283</v>
      </c>
      <c r="H15696" t="s">
        <v>54632</v>
      </c>
      <c r="I15696" t="s">
        <v>1459</v>
      </c>
      <c r="J15696" t="s">
        <v>31</v>
      </c>
      <c r="K15696" t="s">
        <v>198</v>
      </c>
      <c r="N15696" t="s">
        <v>54633</v>
      </c>
      <c r="Q15696">
        <v>0</v>
      </c>
      <c r="R15696">
        <v>163</v>
      </c>
      <c r="S15696">
        <v>0</v>
      </c>
      <c r="T15696" t="s">
        <v>54634</v>
      </c>
    </row>
    <row r="15697" spans="1:20" customFormat="1" ht="15" x14ac:dyDescent="0.25">
      <c r="A15697" t="s">
        <v>24</v>
      </c>
      <c r="B15697" t="s">
        <v>814</v>
      </c>
      <c r="C15697" t="str">
        <f>"A0077331"</f>
        <v>A0077331</v>
      </c>
      <c r="D15697" t="s">
        <v>72614</v>
      </c>
      <c r="E15697" t="s">
        <v>72615</v>
      </c>
      <c r="F15697" t="s">
        <v>313</v>
      </c>
      <c r="G15697" t="s">
        <v>314</v>
      </c>
      <c r="H15697">
        <v>20036</v>
      </c>
      <c r="I15697" t="s">
        <v>30</v>
      </c>
      <c r="J15697" t="s">
        <v>162</v>
      </c>
      <c r="K15697" t="s">
        <v>163</v>
      </c>
      <c r="Q15697">
        <v>0</v>
      </c>
      <c r="R15697">
        <v>82</v>
      </c>
      <c r="S15697">
        <v>0</v>
      </c>
      <c r="T15697" t="s">
        <v>72616</v>
      </c>
    </row>
    <row r="15698" spans="1:20" customFormat="1" ht="15" x14ac:dyDescent="0.25">
      <c r="A15698" t="s">
        <v>24</v>
      </c>
      <c r="B15698" t="s">
        <v>1598</v>
      </c>
      <c r="C15698" t="str">
        <f>"A0097024"</f>
        <v>A0097024</v>
      </c>
      <c r="D15698" t="s">
        <v>54641</v>
      </c>
      <c r="E15698" t="s">
        <v>54642</v>
      </c>
      <c r="F15698" t="s">
        <v>2069</v>
      </c>
      <c r="G15698" t="s">
        <v>1170</v>
      </c>
      <c r="H15698">
        <v>70112</v>
      </c>
      <c r="I15698" t="s">
        <v>30</v>
      </c>
      <c r="J15698" t="s">
        <v>31</v>
      </c>
      <c r="K15698" t="s">
        <v>32</v>
      </c>
      <c r="N15698" t="s">
        <v>54643</v>
      </c>
      <c r="O15698" t="s">
        <v>54644</v>
      </c>
      <c r="Q15698">
        <v>0</v>
      </c>
      <c r="R15698">
        <v>103</v>
      </c>
      <c r="S15698">
        <v>0</v>
      </c>
      <c r="T15698" t="s">
        <v>54645</v>
      </c>
    </row>
    <row r="15699" spans="1:20" customFormat="1" ht="15" x14ac:dyDescent="0.25">
      <c r="A15699" t="s">
        <v>24</v>
      </c>
      <c r="B15699" t="s">
        <v>2248</v>
      </c>
      <c r="C15699" t="str">
        <f>"A0157208"</f>
        <v>A0157208</v>
      </c>
      <c r="D15699" t="s">
        <v>72621</v>
      </c>
      <c r="E15699" t="s">
        <v>72622</v>
      </c>
      <c r="F15699" t="s">
        <v>693</v>
      </c>
      <c r="G15699" t="s">
        <v>110</v>
      </c>
      <c r="H15699">
        <v>90802</v>
      </c>
      <c r="I15699" t="s">
        <v>30</v>
      </c>
      <c r="J15699" t="s">
        <v>162</v>
      </c>
      <c r="K15699" t="s">
        <v>759</v>
      </c>
      <c r="N15699" t="s">
        <v>72623</v>
      </c>
      <c r="Q15699">
        <v>0</v>
      </c>
      <c r="R15699">
        <v>199</v>
      </c>
      <c r="S15699">
        <v>0</v>
      </c>
      <c r="T15699" t="s">
        <v>72624</v>
      </c>
    </row>
    <row r="15700" spans="1:20" customFormat="1" ht="15" hidden="1" x14ac:dyDescent="0.25">
      <c r="A15700" t="s">
        <v>24</v>
      </c>
      <c r="B15700" t="s">
        <v>1598</v>
      </c>
      <c r="C15700" t="str">
        <f>"A0146974"</f>
        <v>A0146974</v>
      </c>
      <c r="D15700" t="s">
        <v>54649</v>
      </c>
      <c r="E15700" t="s">
        <v>54650</v>
      </c>
      <c r="F15700" t="s">
        <v>54631</v>
      </c>
      <c r="G15700" t="s">
        <v>53283</v>
      </c>
      <c r="H15700" t="s">
        <v>54632</v>
      </c>
      <c r="I15700" t="s">
        <v>1459</v>
      </c>
      <c r="J15700" t="s">
        <v>171</v>
      </c>
      <c r="K15700" t="s">
        <v>973</v>
      </c>
      <c r="N15700" t="s">
        <v>15795</v>
      </c>
      <c r="O15700" t="s">
        <v>54651</v>
      </c>
      <c r="Q15700">
        <v>0</v>
      </c>
      <c r="R15700">
        <v>112</v>
      </c>
      <c r="S15700">
        <v>0</v>
      </c>
      <c r="T15700" t="s">
        <v>54652</v>
      </c>
    </row>
    <row r="15701" spans="1:20" customFormat="1" ht="15" x14ac:dyDescent="0.25">
      <c r="A15701" t="s">
        <v>24</v>
      </c>
      <c r="B15701" t="s">
        <v>3221</v>
      </c>
      <c r="C15701" t="str">
        <f>"A0096033"</f>
        <v>A0096033</v>
      </c>
      <c r="D15701" t="s">
        <v>72663</v>
      </c>
      <c r="E15701" t="s">
        <v>72664</v>
      </c>
      <c r="F15701" t="s">
        <v>6865</v>
      </c>
      <c r="G15701" t="s">
        <v>90</v>
      </c>
      <c r="H15701">
        <v>2903</v>
      </c>
      <c r="I15701" t="s">
        <v>30</v>
      </c>
      <c r="J15701" t="s">
        <v>162</v>
      </c>
      <c r="K15701" t="s">
        <v>163</v>
      </c>
      <c r="N15701" t="s">
        <v>72665</v>
      </c>
      <c r="O15701" t="s">
        <v>72666</v>
      </c>
      <c r="Q15701">
        <v>0</v>
      </c>
      <c r="R15701">
        <v>80</v>
      </c>
      <c r="S15701">
        <v>0</v>
      </c>
      <c r="T15701" t="s">
        <v>72667</v>
      </c>
    </row>
    <row r="15702" spans="1:20" customFormat="1" ht="15" x14ac:dyDescent="0.25">
      <c r="A15702" t="s">
        <v>24</v>
      </c>
      <c r="B15702" t="s">
        <v>2011</v>
      </c>
      <c r="C15702" t="str">
        <f>"A0063061"</f>
        <v>A0063061</v>
      </c>
      <c r="D15702" t="s">
        <v>72684</v>
      </c>
      <c r="E15702" t="s">
        <v>72685</v>
      </c>
      <c r="F15702" t="s">
        <v>7455</v>
      </c>
      <c r="G15702" t="s">
        <v>123</v>
      </c>
      <c r="H15702">
        <v>21201</v>
      </c>
      <c r="I15702" t="s">
        <v>30</v>
      </c>
      <c r="J15702" t="s">
        <v>162</v>
      </c>
      <c r="K15702" t="s">
        <v>13246</v>
      </c>
      <c r="N15702" t="s">
        <v>72686</v>
      </c>
      <c r="Q15702">
        <v>0</v>
      </c>
      <c r="R15702">
        <v>104</v>
      </c>
      <c r="S15702">
        <v>0</v>
      </c>
      <c r="T15702" t="s">
        <v>72687</v>
      </c>
    </row>
    <row r="15703" spans="1:20" customFormat="1" ht="15" x14ac:dyDescent="0.25">
      <c r="A15703" t="s">
        <v>24</v>
      </c>
      <c r="B15703" t="s">
        <v>54662</v>
      </c>
      <c r="C15703" t="str">
        <f>"192KN"</f>
        <v>192KN</v>
      </c>
      <c r="D15703" t="s">
        <v>54663</v>
      </c>
      <c r="E15703" t="s">
        <v>54664</v>
      </c>
      <c r="F15703" t="s">
        <v>1131</v>
      </c>
      <c r="G15703" t="s">
        <v>52</v>
      </c>
      <c r="H15703">
        <v>76006</v>
      </c>
      <c r="I15703" t="s">
        <v>30</v>
      </c>
      <c r="J15703" t="s">
        <v>31</v>
      </c>
      <c r="K15703" t="s">
        <v>255</v>
      </c>
      <c r="N15703" t="s">
        <v>54665</v>
      </c>
      <c r="Q15703">
        <v>0</v>
      </c>
      <c r="R15703">
        <v>121</v>
      </c>
      <c r="S15703">
        <v>0</v>
      </c>
      <c r="T15703" t="s">
        <v>54666</v>
      </c>
    </row>
    <row r="15704" spans="1:20" customFormat="1" ht="15" x14ac:dyDescent="0.25">
      <c r="A15704" t="s">
        <v>24</v>
      </c>
      <c r="B15704" t="s">
        <v>56702</v>
      </c>
      <c r="C15704" t="str">
        <f>"A0093184"</f>
        <v>A0093184</v>
      </c>
      <c r="D15704" t="s">
        <v>72688</v>
      </c>
      <c r="E15704" t="s">
        <v>72689</v>
      </c>
      <c r="F15704" t="s">
        <v>16124</v>
      </c>
      <c r="G15704" t="s">
        <v>110</v>
      </c>
      <c r="H15704">
        <v>94704</v>
      </c>
      <c r="I15704" t="s">
        <v>30</v>
      </c>
      <c r="J15704" t="s">
        <v>162</v>
      </c>
      <c r="K15704" t="s">
        <v>163</v>
      </c>
      <c r="N15704" t="s">
        <v>72690</v>
      </c>
      <c r="Q15704">
        <v>0</v>
      </c>
      <c r="R15704">
        <v>199</v>
      </c>
      <c r="S15704">
        <v>0</v>
      </c>
      <c r="T15704" t="s">
        <v>72691</v>
      </c>
    </row>
    <row r="15705" spans="1:20" customFormat="1" ht="15" x14ac:dyDescent="0.25">
      <c r="A15705" t="s">
        <v>24</v>
      </c>
      <c r="B15705" t="s">
        <v>1098</v>
      </c>
      <c r="C15705" t="str">
        <f>"A0165802"</f>
        <v>A0165802</v>
      </c>
      <c r="D15705" t="s">
        <v>54671</v>
      </c>
      <c r="E15705" t="s">
        <v>54672</v>
      </c>
      <c r="F15705" t="s">
        <v>54673</v>
      </c>
      <c r="G15705" t="s">
        <v>103</v>
      </c>
      <c r="H15705">
        <v>17050</v>
      </c>
      <c r="I15705" t="s">
        <v>30</v>
      </c>
      <c r="J15705" t="s">
        <v>31</v>
      </c>
      <c r="K15705" t="s">
        <v>32</v>
      </c>
      <c r="N15705" t="s">
        <v>54674</v>
      </c>
      <c r="Q15705">
        <v>0</v>
      </c>
      <c r="R15705">
        <v>108</v>
      </c>
      <c r="S15705">
        <v>0</v>
      </c>
      <c r="T15705" t="s">
        <v>54675</v>
      </c>
    </row>
    <row r="15706" spans="1:20" customFormat="1" ht="15" x14ac:dyDescent="0.25">
      <c r="A15706" t="s">
        <v>24</v>
      </c>
      <c r="B15706" t="s">
        <v>1446</v>
      </c>
      <c r="C15706" t="str">
        <f>"432XJ"</f>
        <v>432XJ</v>
      </c>
      <c r="D15706" t="s">
        <v>54676</v>
      </c>
      <c r="E15706" t="s">
        <v>54677</v>
      </c>
      <c r="F15706" t="s">
        <v>54678</v>
      </c>
      <c r="G15706" t="s">
        <v>1369</v>
      </c>
      <c r="H15706">
        <v>39180</v>
      </c>
      <c r="I15706" t="s">
        <v>30</v>
      </c>
      <c r="J15706" t="s">
        <v>145</v>
      </c>
      <c r="K15706" t="s">
        <v>1234</v>
      </c>
      <c r="N15706" t="s">
        <v>54679</v>
      </c>
      <c r="Q15706">
        <v>0</v>
      </c>
      <c r="R15706">
        <v>80</v>
      </c>
      <c r="S15706">
        <v>0</v>
      </c>
      <c r="T15706" t="s">
        <v>54680</v>
      </c>
    </row>
    <row r="15707" spans="1:20" customFormat="1" ht="15" x14ac:dyDescent="0.25">
      <c r="A15707" t="s">
        <v>24</v>
      </c>
      <c r="B15707" t="s">
        <v>54657</v>
      </c>
      <c r="C15707" t="str">
        <f>"A0165476"</f>
        <v>A0165476</v>
      </c>
      <c r="D15707" t="s">
        <v>54681</v>
      </c>
      <c r="E15707" t="s">
        <v>54682</v>
      </c>
      <c r="F15707" t="s">
        <v>2051</v>
      </c>
      <c r="G15707" t="s">
        <v>161</v>
      </c>
      <c r="H15707">
        <v>55811</v>
      </c>
      <c r="I15707" t="s">
        <v>30</v>
      </c>
      <c r="J15707" t="s">
        <v>31</v>
      </c>
      <c r="K15707" t="s">
        <v>32</v>
      </c>
      <c r="N15707" t="s">
        <v>54683</v>
      </c>
      <c r="Q15707">
        <v>0</v>
      </c>
      <c r="R15707">
        <v>82</v>
      </c>
      <c r="S15707">
        <v>0</v>
      </c>
      <c r="T15707" t="s">
        <v>54684</v>
      </c>
    </row>
    <row r="15708" spans="1:20" customFormat="1" ht="15" x14ac:dyDescent="0.25">
      <c r="A15708" t="s">
        <v>24</v>
      </c>
      <c r="B15708" t="s">
        <v>54657</v>
      </c>
      <c r="C15708" t="str">
        <f>"A0166410"</f>
        <v>A0166410</v>
      </c>
      <c r="D15708" t="s">
        <v>54685</v>
      </c>
      <c r="E15708" t="s">
        <v>54686</v>
      </c>
      <c r="F15708" t="s">
        <v>765</v>
      </c>
      <c r="G15708" t="s">
        <v>144</v>
      </c>
      <c r="H15708">
        <v>58801</v>
      </c>
      <c r="I15708" t="s">
        <v>30</v>
      </c>
      <c r="J15708" t="s">
        <v>31</v>
      </c>
      <c r="K15708" t="s">
        <v>282</v>
      </c>
      <c r="N15708" t="s">
        <v>54687</v>
      </c>
      <c r="Q15708">
        <v>0</v>
      </c>
      <c r="R15708">
        <v>88</v>
      </c>
      <c r="S15708">
        <v>0</v>
      </c>
      <c r="T15708" t="s">
        <v>54688</v>
      </c>
    </row>
    <row r="15709" spans="1:20" customFormat="1" ht="15" x14ac:dyDescent="0.25">
      <c r="A15709" t="s">
        <v>24</v>
      </c>
      <c r="B15709" t="s">
        <v>814</v>
      </c>
      <c r="C15709" t="str">
        <f>"A0077253"</f>
        <v>A0077253</v>
      </c>
      <c r="D15709" t="s">
        <v>72692</v>
      </c>
      <c r="E15709" t="s">
        <v>72693</v>
      </c>
      <c r="F15709" t="s">
        <v>2978</v>
      </c>
      <c r="G15709" t="s">
        <v>110</v>
      </c>
      <c r="H15709">
        <v>92101</v>
      </c>
      <c r="I15709" t="s">
        <v>30</v>
      </c>
      <c r="J15709" t="s">
        <v>162</v>
      </c>
      <c r="K15709" t="s">
        <v>163</v>
      </c>
      <c r="N15709" t="s">
        <v>69901</v>
      </c>
      <c r="O15709" t="s">
        <v>72694</v>
      </c>
      <c r="Q15709">
        <v>0</v>
      </c>
      <c r="R15709">
        <v>235</v>
      </c>
      <c r="S15709">
        <v>0</v>
      </c>
      <c r="T15709" t="s">
        <v>72695</v>
      </c>
    </row>
    <row r="15710" spans="1:20" customFormat="1" ht="15" x14ac:dyDescent="0.25">
      <c r="A15710" t="s">
        <v>24</v>
      </c>
      <c r="B15710" t="s">
        <v>54657</v>
      </c>
      <c r="C15710" t="str">
        <f>"A0166407"</f>
        <v>A0166407</v>
      </c>
      <c r="D15710" t="s">
        <v>54693</v>
      </c>
      <c r="E15710" t="s">
        <v>54694</v>
      </c>
      <c r="F15710" t="s">
        <v>54695</v>
      </c>
      <c r="G15710" t="s">
        <v>161</v>
      </c>
      <c r="H15710">
        <v>55768</v>
      </c>
      <c r="I15710" t="s">
        <v>30</v>
      </c>
      <c r="J15710" t="s">
        <v>31</v>
      </c>
      <c r="K15710" t="s">
        <v>296</v>
      </c>
      <c r="N15710" t="s">
        <v>54696</v>
      </c>
      <c r="Q15710">
        <v>0</v>
      </c>
      <c r="R15710">
        <v>79</v>
      </c>
      <c r="S15710">
        <v>0</v>
      </c>
      <c r="T15710" t="s">
        <v>54697</v>
      </c>
    </row>
    <row r="15711" spans="1:20" customFormat="1" ht="15" x14ac:dyDescent="0.25">
      <c r="A15711" t="s">
        <v>24</v>
      </c>
      <c r="B15711" t="s">
        <v>54657</v>
      </c>
      <c r="C15711" t="str">
        <f>"A0166405"</f>
        <v>A0166405</v>
      </c>
      <c r="D15711" t="s">
        <v>54698</v>
      </c>
      <c r="E15711" t="s">
        <v>54699</v>
      </c>
      <c r="F15711" t="s">
        <v>2051</v>
      </c>
      <c r="G15711" t="s">
        <v>161</v>
      </c>
      <c r="H15711">
        <v>55811</v>
      </c>
      <c r="I15711" t="s">
        <v>30</v>
      </c>
      <c r="J15711" t="s">
        <v>145</v>
      </c>
      <c r="K15711" t="s">
        <v>1185</v>
      </c>
      <c r="N15711" t="s">
        <v>54700</v>
      </c>
      <c r="Q15711">
        <v>0</v>
      </c>
      <c r="R15711">
        <v>78</v>
      </c>
      <c r="S15711">
        <v>0</v>
      </c>
      <c r="T15711" t="s">
        <v>54701</v>
      </c>
    </row>
    <row r="15712" spans="1:20" customFormat="1" ht="15" x14ac:dyDescent="0.25">
      <c r="A15712" t="s">
        <v>24</v>
      </c>
      <c r="B15712" t="s">
        <v>814</v>
      </c>
      <c r="C15712" t="str">
        <f>"A0057214"</f>
        <v>A0057214</v>
      </c>
      <c r="D15712" t="s">
        <v>72714</v>
      </c>
      <c r="E15712" t="s">
        <v>72715</v>
      </c>
      <c r="F15712" t="s">
        <v>33618</v>
      </c>
      <c r="G15712" t="s">
        <v>90</v>
      </c>
      <c r="H15712">
        <v>2840</v>
      </c>
      <c r="I15712" t="s">
        <v>30</v>
      </c>
      <c r="J15712" t="s">
        <v>162</v>
      </c>
      <c r="K15712" t="s">
        <v>163</v>
      </c>
      <c r="N15712" t="s">
        <v>72716</v>
      </c>
      <c r="Q15712">
        <v>0</v>
      </c>
      <c r="R15712">
        <v>208</v>
      </c>
      <c r="S15712">
        <v>0</v>
      </c>
      <c r="T15712" t="s">
        <v>72717</v>
      </c>
    </row>
    <row r="15713" spans="1:20" customFormat="1" ht="15" x14ac:dyDescent="0.25">
      <c r="A15713" t="s">
        <v>24</v>
      </c>
      <c r="B15713" t="s">
        <v>54657</v>
      </c>
      <c r="C15713" t="str">
        <f>"A0166402"</f>
        <v>A0166402</v>
      </c>
      <c r="D15713" t="s">
        <v>54706</v>
      </c>
      <c r="E15713" t="s">
        <v>54707</v>
      </c>
      <c r="F15713" t="s">
        <v>8462</v>
      </c>
      <c r="G15713" t="s">
        <v>1508</v>
      </c>
      <c r="H15713">
        <v>82001</v>
      </c>
      <c r="I15713" t="s">
        <v>30</v>
      </c>
      <c r="J15713" t="s">
        <v>145</v>
      </c>
      <c r="K15713" t="s">
        <v>1185</v>
      </c>
      <c r="N15713" t="s">
        <v>54708</v>
      </c>
      <c r="Q15713">
        <v>0</v>
      </c>
      <c r="R15713">
        <v>108</v>
      </c>
      <c r="S15713">
        <v>0</v>
      </c>
      <c r="T15713" t="s">
        <v>54709</v>
      </c>
    </row>
    <row r="15714" spans="1:20" customFormat="1" ht="15" x14ac:dyDescent="0.25">
      <c r="A15714" t="s">
        <v>24</v>
      </c>
      <c r="B15714" t="s">
        <v>54657</v>
      </c>
      <c r="C15714" t="str">
        <f>"A0166401"</f>
        <v>A0166401</v>
      </c>
      <c r="D15714" t="s">
        <v>54710</v>
      </c>
      <c r="E15714" t="s">
        <v>54711</v>
      </c>
      <c r="F15714" t="s">
        <v>33725</v>
      </c>
      <c r="G15714" t="s">
        <v>1184</v>
      </c>
      <c r="H15714">
        <v>59715</v>
      </c>
      <c r="I15714" t="s">
        <v>30</v>
      </c>
      <c r="J15714" t="s">
        <v>145</v>
      </c>
      <c r="K15714" t="s">
        <v>1185</v>
      </c>
      <c r="N15714" t="s">
        <v>54712</v>
      </c>
      <c r="Q15714">
        <v>0</v>
      </c>
      <c r="R15714">
        <v>113</v>
      </c>
      <c r="S15714">
        <v>0</v>
      </c>
      <c r="T15714" t="s">
        <v>54713</v>
      </c>
    </row>
    <row r="15715" spans="1:20" customFormat="1" ht="15" x14ac:dyDescent="0.25">
      <c r="A15715" t="s">
        <v>24</v>
      </c>
      <c r="B15715" t="s">
        <v>54657</v>
      </c>
      <c r="C15715" t="str">
        <f>"A0166400"</f>
        <v>A0166400</v>
      </c>
      <c r="D15715" t="s">
        <v>54714</v>
      </c>
      <c r="E15715" t="s">
        <v>54715</v>
      </c>
      <c r="F15715" t="s">
        <v>54716</v>
      </c>
      <c r="G15715" t="s">
        <v>144</v>
      </c>
      <c r="H15715">
        <v>58501</v>
      </c>
      <c r="I15715" t="s">
        <v>30</v>
      </c>
      <c r="J15715" t="s">
        <v>145</v>
      </c>
      <c r="K15715" t="s">
        <v>1185</v>
      </c>
      <c r="N15715" t="s">
        <v>54717</v>
      </c>
      <c r="Q15715">
        <v>0</v>
      </c>
      <c r="R15715">
        <v>100</v>
      </c>
      <c r="S15715">
        <v>0</v>
      </c>
      <c r="T15715" t="s">
        <v>54718</v>
      </c>
    </row>
    <row r="15716" spans="1:20" customFormat="1" ht="15" x14ac:dyDescent="0.25">
      <c r="A15716" t="s">
        <v>24</v>
      </c>
      <c r="B15716" t="s">
        <v>54657</v>
      </c>
      <c r="C15716" t="str">
        <f>"A0166408"</f>
        <v>A0166408</v>
      </c>
      <c r="D15716" t="s">
        <v>54719</v>
      </c>
      <c r="E15716" t="s">
        <v>54720</v>
      </c>
      <c r="F15716" t="s">
        <v>765</v>
      </c>
      <c r="G15716" t="s">
        <v>144</v>
      </c>
      <c r="H15716">
        <v>58801</v>
      </c>
      <c r="I15716" t="s">
        <v>30</v>
      </c>
      <c r="J15716" t="s">
        <v>31</v>
      </c>
      <c r="K15716" t="s">
        <v>3155</v>
      </c>
      <c r="N15716" t="s">
        <v>54721</v>
      </c>
      <c r="Q15716">
        <v>0</v>
      </c>
      <c r="R15716">
        <v>79</v>
      </c>
      <c r="S15716">
        <v>0</v>
      </c>
      <c r="T15716" t="s">
        <v>54722</v>
      </c>
    </row>
    <row r="15717" spans="1:20" customFormat="1" ht="15" x14ac:dyDescent="0.25">
      <c r="A15717" t="s">
        <v>24</v>
      </c>
      <c r="B15717" t="s">
        <v>1548</v>
      </c>
      <c r="C15717" t="str">
        <f>"A0096833"</f>
        <v>A0096833</v>
      </c>
      <c r="D15717" t="s">
        <v>72723</v>
      </c>
      <c r="E15717" t="s">
        <v>72724</v>
      </c>
      <c r="F15717" t="s">
        <v>2069</v>
      </c>
      <c r="G15717" t="s">
        <v>1170</v>
      </c>
      <c r="H15717">
        <v>70112</v>
      </c>
      <c r="I15717" t="s">
        <v>30</v>
      </c>
      <c r="J15717" t="s">
        <v>162</v>
      </c>
      <c r="K15717" t="s">
        <v>163</v>
      </c>
      <c r="N15717" t="s">
        <v>72725</v>
      </c>
      <c r="Q15717">
        <v>0</v>
      </c>
      <c r="R15717">
        <v>157</v>
      </c>
      <c r="S15717">
        <v>0</v>
      </c>
      <c r="T15717" t="s">
        <v>72726</v>
      </c>
    </row>
    <row r="15718" spans="1:20" customFormat="1" ht="15" x14ac:dyDescent="0.25">
      <c r="A15718" t="s">
        <v>24</v>
      </c>
      <c r="B15718" t="s">
        <v>6611</v>
      </c>
      <c r="C15718" t="str">
        <f>"A0076913"</f>
        <v>A0076913</v>
      </c>
      <c r="D15718" t="s">
        <v>72727</v>
      </c>
      <c r="E15718" t="s">
        <v>72728</v>
      </c>
      <c r="F15718" t="s">
        <v>748</v>
      </c>
      <c r="G15718" t="s">
        <v>110</v>
      </c>
      <c r="H15718">
        <v>94105</v>
      </c>
      <c r="I15718" t="s">
        <v>30</v>
      </c>
      <c r="J15718" t="s">
        <v>162</v>
      </c>
      <c r="K15718" t="s">
        <v>13246</v>
      </c>
      <c r="N15718" t="s">
        <v>72729</v>
      </c>
      <c r="O15718" t="s">
        <v>72730</v>
      </c>
      <c r="Q15718">
        <v>0</v>
      </c>
      <c r="R15718">
        <v>200</v>
      </c>
      <c r="S15718">
        <v>0</v>
      </c>
      <c r="T15718" t="s">
        <v>72731</v>
      </c>
    </row>
    <row r="15719" spans="1:20" customFormat="1" ht="15" x14ac:dyDescent="0.25">
      <c r="A15719" t="s">
        <v>24</v>
      </c>
      <c r="B15719" t="s">
        <v>7602</v>
      </c>
      <c r="C15719" t="str">
        <f>"A0166921"</f>
        <v>A0166921</v>
      </c>
      <c r="D15719" t="s">
        <v>54731</v>
      </c>
      <c r="E15719" t="s">
        <v>54732</v>
      </c>
      <c r="F15719" t="s">
        <v>13610</v>
      </c>
      <c r="G15719" t="s">
        <v>40</v>
      </c>
      <c r="H15719">
        <v>73036</v>
      </c>
      <c r="I15719" t="s">
        <v>30</v>
      </c>
      <c r="J15719" t="s">
        <v>31</v>
      </c>
      <c r="K15719" t="s">
        <v>198</v>
      </c>
      <c r="N15719" t="s">
        <v>54733</v>
      </c>
      <c r="Q15719">
        <v>0</v>
      </c>
      <c r="R15719">
        <v>80</v>
      </c>
      <c r="S15719">
        <v>0</v>
      </c>
      <c r="T15719" t="s">
        <v>54734</v>
      </c>
    </row>
    <row r="15720" spans="1:20" customFormat="1" ht="15" hidden="1" x14ac:dyDescent="0.25">
      <c r="A15720" t="s">
        <v>24</v>
      </c>
      <c r="B15720" t="s">
        <v>3840</v>
      </c>
      <c r="C15720" t="str">
        <f>"A0166885"</f>
        <v>A0166885</v>
      </c>
      <c r="D15720" t="s">
        <v>54735</v>
      </c>
      <c r="E15720" t="s">
        <v>54736</v>
      </c>
      <c r="F15720" t="s">
        <v>2408</v>
      </c>
      <c r="G15720" t="s">
        <v>3843</v>
      </c>
      <c r="H15720">
        <v>6140</v>
      </c>
      <c r="I15720" t="s">
        <v>2408</v>
      </c>
      <c r="J15720" t="s">
        <v>687</v>
      </c>
      <c r="K15720" t="s">
        <v>163</v>
      </c>
      <c r="N15720" t="s">
        <v>3844</v>
      </c>
      <c r="Q15720">
        <v>0</v>
      </c>
      <c r="R15720">
        <v>0</v>
      </c>
      <c r="S15720">
        <v>0</v>
      </c>
      <c r="T15720" t="s">
        <v>54737</v>
      </c>
    </row>
    <row r="15721" spans="1:20" customFormat="1" ht="15" hidden="1" x14ac:dyDescent="0.25">
      <c r="A15721" t="s">
        <v>24</v>
      </c>
      <c r="B15721" t="s">
        <v>3840</v>
      </c>
      <c r="C15721" t="str">
        <f>"A0166875"</f>
        <v>A0166875</v>
      </c>
      <c r="D15721" t="s">
        <v>54738</v>
      </c>
      <c r="E15721" t="s">
        <v>54739</v>
      </c>
      <c r="F15721" t="s">
        <v>10769</v>
      </c>
      <c r="G15721" t="s">
        <v>4481</v>
      </c>
      <c r="H15721">
        <v>44610</v>
      </c>
      <c r="I15721" t="s">
        <v>2408</v>
      </c>
      <c r="J15721" t="s">
        <v>687</v>
      </c>
      <c r="K15721" t="s">
        <v>163</v>
      </c>
      <c r="N15721" t="s">
        <v>3844</v>
      </c>
      <c r="Q15721">
        <v>0</v>
      </c>
      <c r="R15721">
        <v>0</v>
      </c>
      <c r="S15721">
        <v>0</v>
      </c>
      <c r="T15721" t="s">
        <v>54740</v>
      </c>
    </row>
    <row r="15722" spans="1:20" customFormat="1" ht="15" hidden="1" x14ac:dyDescent="0.25">
      <c r="A15722" t="s">
        <v>24</v>
      </c>
      <c r="B15722" t="s">
        <v>3840</v>
      </c>
      <c r="C15722" t="str">
        <f>"A0166873"</f>
        <v>A0166873</v>
      </c>
      <c r="D15722" t="s">
        <v>54741</v>
      </c>
      <c r="E15722" t="s">
        <v>54742</v>
      </c>
      <c r="F15722" t="s">
        <v>2408</v>
      </c>
      <c r="G15722" t="s">
        <v>3843</v>
      </c>
      <c r="H15722">
        <v>11040</v>
      </c>
      <c r="I15722" t="s">
        <v>2408</v>
      </c>
      <c r="J15722" t="s">
        <v>687</v>
      </c>
      <c r="K15722" t="s">
        <v>163</v>
      </c>
      <c r="N15722" t="s">
        <v>3844</v>
      </c>
      <c r="Q15722">
        <v>0</v>
      </c>
      <c r="R15722">
        <v>0</v>
      </c>
      <c r="S15722">
        <v>0</v>
      </c>
      <c r="T15722" t="s">
        <v>54740</v>
      </c>
    </row>
    <row r="15723" spans="1:20" customFormat="1" ht="15" hidden="1" x14ac:dyDescent="0.25">
      <c r="A15723" t="s">
        <v>24</v>
      </c>
      <c r="B15723" t="s">
        <v>3840</v>
      </c>
      <c r="C15723" t="str">
        <f>"A0166874"</f>
        <v>A0166874</v>
      </c>
      <c r="D15723" t="s">
        <v>54743</v>
      </c>
      <c r="E15723" t="s">
        <v>54742</v>
      </c>
      <c r="F15723" t="s">
        <v>2408</v>
      </c>
      <c r="G15723" t="s">
        <v>3843</v>
      </c>
      <c r="H15723">
        <v>11040</v>
      </c>
      <c r="I15723" t="s">
        <v>2408</v>
      </c>
      <c r="J15723" t="s">
        <v>687</v>
      </c>
      <c r="K15723" t="s">
        <v>163</v>
      </c>
      <c r="N15723" t="s">
        <v>3844</v>
      </c>
      <c r="Q15723">
        <v>0</v>
      </c>
      <c r="R15723">
        <v>0</v>
      </c>
      <c r="S15723">
        <v>0</v>
      </c>
      <c r="T15723" t="s">
        <v>54740</v>
      </c>
    </row>
    <row r="15724" spans="1:20" customFormat="1" ht="15" hidden="1" x14ac:dyDescent="0.25">
      <c r="A15724" t="s">
        <v>24</v>
      </c>
      <c r="B15724" t="s">
        <v>3840</v>
      </c>
      <c r="C15724" t="str">
        <f>"A0166872"</f>
        <v>A0166872</v>
      </c>
      <c r="D15724" t="s">
        <v>54744</v>
      </c>
      <c r="E15724" t="s">
        <v>54742</v>
      </c>
      <c r="F15724" t="s">
        <v>54745</v>
      </c>
      <c r="G15724" t="s">
        <v>3843</v>
      </c>
      <c r="H15724">
        <v>11040</v>
      </c>
      <c r="I15724" t="s">
        <v>2408</v>
      </c>
      <c r="J15724" t="s">
        <v>687</v>
      </c>
      <c r="K15724" t="s">
        <v>163</v>
      </c>
      <c r="N15724" t="s">
        <v>3844</v>
      </c>
      <c r="Q15724">
        <v>0</v>
      </c>
      <c r="R15724">
        <v>0</v>
      </c>
      <c r="S15724">
        <v>0</v>
      </c>
      <c r="T15724" t="s">
        <v>54740</v>
      </c>
    </row>
    <row r="15725" spans="1:20" customFormat="1" ht="15" x14ac:dyDescent="0.25">
      <c r="A15725" t="s">
        <v>24</v>
      </c>
      <c r="B15725" t="s">
        <v>1156</v>
      </c>
      <c r="C15725" t="str">
        <f>"A0166313"</f>
        <v>A0166313</v>
      </c>
      <c r="D15725" t="s">
        <v>54746</v>
      </c>
      <c r="E15725" t="s">
        <v>54747</v>
      </c>
      <c r="F15725" t="s">
        <v>1159</v>
      </c>
      <c r="G15725" t="s">
        <v>58</v>
      </c>
      <c r="H15725">
        <v>29577</v>
      </c>
      <c r="I15725" t="s">
        <v>30</v>
      </c>
      <c r="J15725" t="s">
        <v>2544</v>
      </c>
      <c r="K15725" t="s">
        <v>163</v>
      </c>
      <c r="N15725" t="s">
        <v>54748</v>
      </c>
      <c r="O15725" t="s">
        <v>5169</v>
      </c>
      <c r="Q15725">
        <v>0</v>
      </c>
      <c r="R15725">
        <v>150</v>
      </c>
      <c r="S15725">
        <v>0</v>
      </c>
      <c r="T15725" t="s">
        <v>54749</v>
      </c>
    </row>
    <row r="15726" spans="1:20" customFormat="1" ht="15" x14ac:dyDescent="0.25">
      <c r="A15726" t="s">
        <v>24</v>
      </c>
      <c r="B15726" t="s">
        <v>1156</v>
      </c>
      <c r="C15726" t="str">
        <f>"A0166939"</f>
        <v>A0166939</v>
      </c>
      <c r="D15726" t="s">
        <v>54750</v>
      </c>
      <c r="E15726" t="s">
        <v>54751</v>
      </c>
      <c r="F15726" t="s">
        <v>1159</v>
      </c>
      <c r="G15726" t="s">
        <v>58</v>
      </c>
      <c r="H15726">
        <v>29577</v>
      </c>
      <c r="I15726" t="s">
        <v>30</v>
      </c>
      <c r="J15726" t="s">
        <v>1004</v>
      </c>
      <c r="K15726" t="s">
        <v>163</v>
      </c>
      <c r="N15726" t="s">
        <v>54752</v>
      </c>
      <c r="Q15726">
        <v>0</v>
      </c>
      <c r="R15726">
        <v>0</v>
      </c>
      <c r="S15726">
        <v>0</v>
      </c>
      <c r="T15726" t="s">
        <v>54753</v>
      </c>
    </row>
    <row r="15727" spans="1:20" customFormat="1" ht="15" x14ac:dyDescent="0.25">
      <c r="A15727" t="s">
        <v>24</v>
      </c>
      <c r="B15727" t="s">
        <v>1156</v>
      </c>
      <c r="C15727" t="str">
        <f>"A0166938"</f>
        <v>A0166938</v>
      </c>
      <c r="D15727" t="s">
        <v>54754</v>
      </c>
      <c r="E15727" t="s">
        <v>54755</v>
      </c>
      <c r="F15727" t="s">
        <v>1159</v>
      </c>
      <c r="G15727" t="s">
        <v>58</v>
      </c>
      <c r="H15727">
        <v>29577</v>
      </c>
      <c r="I15727" t="s">
        <v>30</v>
      </c>
      <c r="J15727" t="s">
        <v>1004</v>
      </c>
      <c r="K15727" t="s">
        <v>163</v>
      </c>
      <c r="N15727" t="s">
        <v>54752</v>
      </c>
      <c r="Q15727">
        <v>0</v>
      </c>
      <c r="R15727">
        <v>0</v>
      </c>
      <c r="S15727">
        <v>0</v>
      </c>
      <c r="T15727" t="s">
        <v>54756</v>
      </c>
    </row>
    <row r="15728" spans="1:20" customFormat="1" ht="15" x14ac:dyDescent="0.25">
      <c r="A15728" t="s">
        <v>24</v>
      </c>
      <c r="B15728" t="s">
        <v>1156</v>
      </c>
      <c r="C15728" t="str">
        <f>"A0166937"</f>
        <v>A0166937</v>
      </c>
      <c r="D15728" t="s">
        <v>54757</v>
      </c>
      <c r="E15728" t="s">
        <v>54758</v>
      </c>
      <c r="F15728" t="s">
        <v>54759</v>
      </c>
      <c r="G15728" t="s">
        <v>58</v>
      </c>
      <c r="H15728">
        <v>29585</v>
      </c>
      <c r="I15728" t="s">
        <v>30</v>
      </c>
      <c r="J15728" t="s">
        <v>1004</v>
      </c>
      <c r="K15728" t="s">
        <v>163</v>
      </c>
      <c r="N15728" t="s">
        <v>54752</v>
      </c>
      <c r="Q15728">
        <v>0</v>
      </c>
      <c r="R15728">
        <v>0</v>
      </c>
      <c r="S15728">
        <v>0</v>
      </c>
      <c r="T15728" t="s">
        <v>54760</v>
      </c>
    </row>
    <row r="15729" spans="1:20" customFormat="1" ht="15" x14ac:dyDescent="0.25">
      <c r="A15729" t="s">
        <v>24</v>
      </c>
      <c r="B15729" t="s">
        <v>1156</v>
      </c>
      <c r="C15729" t="str">
        <f>"A0166935"</f>
        <v>A0166935</v>
      </c>
      <c r="D15729" t="s">
        <v>54761</v>
      </c>
      <c r="E15729" t="s">
        <v>54762</v>
      </c>
      <c r="F15729" t="s">
        <v>1159</v>
      </c>
      <c r="G15729" t="s">
        <v>58</v>
      </c>
      <c r="H15729">
        <v>29572</v>
      </c>
      <c r="I15729" t="s">
        <v>30</v>
      </c>
      <c r="J15729" t="s">
        <v>1004</v>
      </c>
      <c r="K15729" t="s">
        <v>163</v>
      </c>
      <c r="N15729" t="s">
        <v>54752</v>
      </c>
      <c r="Q15729">
        <v>0</v>
      </c>
      <c r="R15729">
        <v>0</v>
      </c>
      <c r="S15729">
        <v>0</v>
      </c>
      <c r="T15729" t="s">
        <v>54763</v>
      </c>
    </row>
    <row r="15730" spans="1:20" customFormat="1" ht="15" x14ac:dyDescent="0.25">
      <c r="A15730" t="s">
        <v>24</v>
      </c>
      <c r="B15730" t="s">
        <v>1156</v>
      </c>
      <c r="C15730" t="str">
        <f>"A0166934"</f>
        <v>A0166934</v>
      </c>
      <c r="D15730" t="s">
        <v>54764</v>
      </c>
      <c r="E15730" t="s">
        <v>54765</v>
      </c>
      <c r="F15730" t="s">
        <v>1159</v>
      </c>
      <c r="G15730" t="s">
        <v>58</v>
      </c>
      <c r="H15730">
        <v>29577</v>
      </c>
      <c r="I15730" t="s">
        <v>30</v>
      </c>
      <c r="J15730" t="s">
        <v>1004</v>
      </c>
      <c r="K15730" t="s">
        <v>163</v>
      </c>
      <c r="N15730" t="s">
        <v>54752</v>
      </c>
      <c r="Q15730">
        <v>0</v>
      </c>
      <c r="R15730">
        <v>0</v>
      </c>
      <c r="S15730">
        <v>0</v>
      </c>
      <c r="T15730" t="s">
        <v>54766</v>
      </c>
    </row>
    <row r="15731" spans="1:20" customFormat="1" ht="15" x14ac:dyDescent="0.25">
      <c r="A15731" t="s">
        <v>24</v>
      </c>
      <c r="B15731" t="s">
        <v>1156</v>
      </c>
      <c r="C15731" t="str">
        <f>"A0166932"</f>
        <v>A0166932</v>
      </c>
      <c r="D15731" t="s">
        <v>54767</v>
      </c>
      <c r="E15731" t="s">
        <v>54768</v>
      </c>
      <c r="F15731" t="s">
        <v>1159</v>
      </c>
      <c r="G15731" t="s">
        <v>58</v>
      </c>
      <c r="H15731">
        <v>29577</v>
      </c>
      <c r="I15731" t="s">
        <v>30</v>
      </c>
      <c r="J15731" t="s">
        <v>1004</v>
      </c>
      <c r="K15731" t="s">
        <v>163</v>
      </c>
      <c r="N15731" t="s">
        <v>54769</v>
      </c>
      <c r="Q15731">
        <v>0</v>
      </c>
      <c r="R15731">
        <v>0</v>
      </c>
      <c r="S15731">
        <v>0</v>
      </c>
      <c r="T15731" t="s">
        <v>54770</v>
      </c>
    </row>
    <row r="15732" spans="1:20" customFormat="1" ht="15" x14ac:dyDescent="0.25">
      <c r="A15732" t="s">
        <v>24</v>
      </c>
      <c r="B15732" t="s">
        <v>4400</v>
      </c>
      <c r="C15732" t="str">
        <f>"A0083232"</f>
        <v>A0083232</v>
      </c>
      <c r="D15732" t="s">
        <v>72732</v>
      </c>
      <c r="E15732" t="s">
        <v>72733</v>
      </c>
      <c r="F15732" t="s">
        <v>313</v>
      </c>
      <c r="G15732" t="s">
        <v>314</v>
      </c>
      <c r="H15732">
        <v>20004</v>
      </c>
      <c r="I15732" t="s">
        <v>30</v>
      </c>
      <c r="J15732" t="s">
        <v>162</v>
      </c>
      <c r="K15732" t="s">
        <v>163</v>
      </c>
      <c r="N15732" t="s">
        <v>72734</v>
      </c>
      <c r="Q15732">
        <v>0</v>
      </c>
      <c r="R15732">
        <v>326</v>
      </c>
      <c r="S15732">
        <v>0</v>
      </c>
      <c r="T15732" t="s">
        <v>72735</v>
      </c>
    </row>
    <row r="15733" spans="1:20" customFormat="1" ht="15" x14ac:dyDescent="0.25">
      <c r="A15733" t="s">
        <v>24</v>
      </c>
      <c r="B15733" t="s">
        <v>799</v>
      </c>
      <c r="C15733" t="str">
        <f>"A0151645"</f>
        <v>A0151645</v>
      </c>
      <c r="D15733" t="s">
        <v>72736</v>
      </c>
      <c r="E15733" t="s">
        <v>72737</v>
      </c>
      <c r="F15733" t="s">
        <v>16208</v>
      </c>
      <c r="G15733" t="s">
        <v>29</v>
      </c>
      <c r="H15733">
        <v>23901</v>
      </c>
      <c r="I15733" t="s">
        <v>30</v>
      </c>
      <c r="J15733" t="s">
        <v>162</v>
      </c>
      <c r="K15733" t="s">
        <v>163</v>
      </c>
      <c r="N15733" t="s">
        <v>72738</v>
      </c>
      <c r="Q15733">
        <v>0</v>
      </c>
      <c r="R15733">
        <v>70</v>
      </c>
      <c r="S15733">
        <v>0</v>
      </c>
      <c r="T15733" t="s">
        <v>72739</v>
      </c>
    </row>
    <row r="15734" spans="1:20" customFormat="1" ht="15" x14ac:dyDescent="0.25">
      <c r="A15734" t="s">
        <v>24</v>
      </c>
      <c r="B15734" t="s">
        <v>72752</v>
      </c>
      <c r="C15734" t="str">
        <f>"A0154125"</f>
        <v>A0154125</v>
      </c>
      <c r="D15734" t="s">
        <v>72753</v>
      </c>
      <c r="E15734" t="s">
        <v>72754</v>
      </c>
      <c r="F15734" t="s">
        <v>372</v>
      </c>
      <c r="G15734" t="s">
        <v>52</v>
      </c>
      <c r="H15734">
        <v>78701</v>
      </c>
      <c r="I15734" t="s">
        <v>30</v>
      </c>
      <c r="J15734" t="s">
        <v>162</v>
      </c>
      <c r="K15734" t="s">
        <v>163</v>
      </c>
      <c r="N15734" t="s">
        <v>72755</v>
      </c>
      <c r="Q15734">
        <v>0</v>
      </c>
      <c r="R15734">
        <v>160</v>
      </c>
      <c r="S15734">
        <v>0</v>
      </c>
      <c r="T15734" t="s">
        <v>72756</v>
      </c>
    </row>
    <row r="15735" spans="1:20" customFormat="1" ht="15" x14ac:dyDescent="0.25">
      <c r="A15735" t="s">
        <v>24</v>
      </c>
      <c r="B15735" t="s">
        <v>72752</v>
      </c>
      <c r="C15735" t="str">
        <f>"A0073563"</f>
        <v>A0073563</v>
      </c>
      <c r="D15735" t="s">
        <v>72757</v>
      </c>
      <c r="E15735" t="s">
        <v>72758</v>
      </c>
      <c r="F15735" t="s">
        <v>2094</v>
      </c>
      <c r="G15735" t="s">
        <v>52</v>
      </c>
      <c r="H15735">
        <v>75201</v>
      </c>
      <c r="I15735" t="s">
        <v>30</v>
      </c>
      <c r="J15735" t="s">
        <v>162</v>
      </c>
      <c r="K15735" t="s">
        <v>163</v>
      </c>
      <c r="N15735" t="s">
        <v>72759</v>
      </c>
      <c r="O15735" t="s">
        <v>72760</v>
      </c>
      <c r="Q15735">
        <v>0</v>
      </c>
      <c r="R15735">
        <v>153</v>
      </c>
      <c r="S15735">
        <v>0</v>
      </c>
      <c r="T15735" t="s">
        <v>72761</v>
      </c>
    </row>
    <row r="15736" spans="1:20" customFormat="1" ht="15" x14ac:dyDescent="0.25">
      <c r="A15736" t="s">
        <v>24</v>
      </c>
      <c r="B15736" t="s">
        <v>72752</v>
      </c>
      <c r="C15736" t="str">
        <f>"A0100171"</f>
        <v>A0100171</v>
      </c>
      <c r="D15736" t="s">
        <v>72762</v>
      </c>
      <c r="E15736" t="s">
        <v>72763</v>
      </c>
      <c r="F15736" t="s">
        <v>1564</v>
      </c>
      <c r="G15736" t="s">
        <v>52</v>
      </c>
      <c r="H15736">
        <v>77024</v>
      </c>
      <c r="I15736" t="s">
        <v>30</v>
      </c>
      <c r="J15736" t="s">
        <v>162</v>
      </c>
      <c r="K15736" t="s">
        <v>163</v>
      </c>
      <c r="N15736" t="s">
        <v>72764</v>
      </c>
      <c r="Q15736">
        <v>0</v>
      </c>
      <c r="R15736">
        <v>159</v>
      </c>
      <c r="S15736">
        <v>0</v>
      </c>
      <c r="T15736" t="s">
        <v>72765</v>
      </c>
    </row>
    <row r="15737" spans="1:20" customFormat="1" ht="15" x14ac:dyDescent="0.25">
      <c r="A15737" t="s">
        <v>24</v>
      </c>
      <c r="B15737" t="s">
        <v>72752</v>
      </c>
      <c r="C15737" t="str">
        <f>"A0083224"</f>
        <v>A0083224</v>
      </c>
      <c r="D15737" t="s">
        <v>72766</v>
      </c>
      <c r="E15737" t="s">
        <v>72767</v>
      </c>
      <c r="F15737" t="s">
        <v>1564</v>
      </c>
      <c r="G15737" t="s">
        <v>52</v>
      </c>
      <c r="H15737">
        <v>77005</v>
      </c>
      <c r="I15737" t="s">
        <v>30</v>
      </c>
      <c r="J15737" t="s">
        <v>162</v>
      </c>
      <c r="K15737" t="s">
        <v>163</v>
      </c>
      <c r="N15737" t="s">
        <v>72768</v>
      </c>
      <c r="Q15737">
        <v>0</v>
      </c>
      <c r="R15737">
        <v>315</v>
      </c>
      <c r="S15737">
        <v>0</v>
      </c>
      <c r="T15737" t="s">
        <v>72769</v>
      </c>
    </row>
    <row r="15738" spans="1:20" customFormat="1" ht="15" x14ac:dyDescent="0.25">
      <c r="A15738" t="s">
        <v>24</v>
      </c>
      <c r="B15738" t="s">
        <v>1862</v>
      </c>
      <c r="C15738" t="str">
        <f>"SF06046"</f>
        <v>SF06046</v>
      </c>
      <c r="D15738" t="s">
        <v>72770</v>
      </c>
      <c r="E15738" t="s">
        <v>72771</v>
      </c>
      <c r="F15738" t="s">
        <v>313</v>
      </c>
      <c r="G15738" t="s">
        <v>314</v>
      </c>
      <c r="H15738">
        <v>20005</v>
      </c>
      <c r="I15738" t="s">
        <v>30</v>
      </c>
      <c r="J15738" t="s">
        <v>162</v>
      </c>
      <c r="K15738" t="s">
        <v>163</v>
      </c>
      <c r="Q15738">
        <v>0</v>
      </c>
      <c r="R15738">
        <v>191</v>
      </c>
      <c r="S15738">
        <v>0</v>
      </c>
      <c r="T15738" t="s">
        <v>72772</v>
      </c>
    </row>
    <row r="15739" spans="1:20" customFormat="1" ht="15" x14ac:dyDescent="0.25">
      <c r="A15739" t="s">
        <v>24</v>
      </c>
      <c r="B15739" t="s">
        <v>805</v>
      </c>
      <c r="C15739" t="str">
        <f>"A0166705"</f>
        <v>A0166705</v>
      </c>
      <c r="D15739" t="s">
        <v>54805</v>
      </c>
      <c r="E15739" t="s">
        <v>54806</v>
      </c>
      <c r="F15739" t="s">
        <v>2094</v>
      </c>
      <c r="G15739" t="s">
        <v>52</v>
      </c>
      <c r="H15739">
        <v>75240</v>
      </c>
      <c r="I15739" t="s">
        <v>30</v>
      </c>
      <c r="J15739" t="s">
        <v>31</v>
      </c>
      <c r="K15739" t="s">
        <v>34626</v>
      </c>
      <c r="Q15739">
        <v>0</v>
      </c>
      <c r="R15739">
        <v>114</v>
      </c>
      <c r="S15739">
        <v>0</v>
      </c>
      <c r="T15739" t="s">
        <v>54807</v>
      </c>
    </row>
    <row r="15740" spans="1:20" customFormat="1" ht="15" x14ac:dyDescent="0.25">
      <c r="A15740" t="s">
        <v>24</v>
      </c>
      <c r="B15740" t="s">
        <v>2221</v>
      </c>
      <c r="C15740" t="str">
        <f>"A0073171"</f>
        <v>A0073171</v>
      </c>
      <c r="D15740" t="s">
        <v>72789</v>
      </c>
      <c r="E15740" t="s">
        <v>72790</v>
      </c>
      <c r="F15740" t="s">
        <v>1564</v>
      </c>
      <c r="G15740" t="s">
        <v>52</v>
      </c>
      <c r="H15740">
        <v>77056</v>
      </c>
      <c r="I15740" t="s">
        <v>30</v>
      </c>
      <c r="J15740" t="s">
        <v>162</v>
      </c>
      <c r="K15740" t="s">
        <v>266</v>
      </c>
      <c r="N15740" t="s">
        <v>72791</v>
      </c>
      <c r="Q15740">
        <v>0</v>
      </c>
      <c r="R15740">
        <v>150</v>
      </c>
      <c r="S15740">
        <v>0</v>
      </c>
      <c r="T15740" t="s">
        <v>72792</v>
      </c>
    </row>
    <row r="15741" spans="1:20" customFormat="1" ht="15" x14ac:dyDescent="0.25">
      <c r="A15741" t="s">
        <v>24</v>
      </c>
      <c r="B15741" t="s">
        <v>2221</v>
      </c>
      <c r="C15741" t="str">
        <f>"A0058781"</f>
        <v>A0058781</v>
      </c>
      <c r="D15741" t="s">
        <v>72793</v>
      </c>
      <c r="E15741" t="s">
        <v>72794</v>
      </c>
      <c r="F15741" t="s">
        <v>1564</v>
      </c>
      <c r="G15741" t="s">
        <v>52</v>
      </c>
      <c r="H15741" t="s">
        <v>72795</v>
      </c>
      <c r="I15741" t="s">
        <v>30</v>
      </c>
      <c r="J15741" t="s">
        <v>162</v>
      </c>
      <c r="K15741" t="s">
        <v>4809</v>
      </c>
      <c r="N15741" t="s">
        <v>72796</v>
      </c>
      <c r="Q15741">
        <v>0</v>
      </c>
      <c r="R15741">
        <v>243</v>
      </c>
      <c r="S15741">
        <v>0</v>
      </c>
      <c r="T15741" t="s">
        <v>72797</v>
      </c>
    </row>
    <row r="15742" spans="1:20" customFormat="1" ht="15" hidden="1" x14ac:dyDescent="0.25">
      <c r="A15742" t="s">
        <v>24</v>
      </c>
      <c r="B15742" t="s">
        <v>54816</v>
      </c>
      <c r="C15742" t="str">
        <f>"A0056576"</f>
        <v>A0056576</v>
      </c>
      <c r="D15742" t="s">
        <v>54817</v>
      </c>
      <c r="E15742" t="s">
        <v>54818</v>
      </c>
      <c r="F15742" t="s">
        <v>5438</v>
      </c>
      <c r="G15742" t="s">
        <v>5439</v>
      </c>
      <c r="H15742" t="s">
        <v>54819</v>
      </c>
      <c r="I15742" t="s">
        <v>1459</v>
      </c>
      <c r="J15742" t="s">
        <v>162</v>
      </c>
      <c r="K15742" t="s">
        <v>163</v>
      </c>
      <c r="N15742" t="s">
        <v>6652</v>
      </c>
      <c r="O15742" t="s">
        <v>54820</v>
      </c>
      <c r="Q15742">
        <v>0</v>
      </c>
      <c r="R15742">
        <v>142</v>
      </c>
      <c r="S15742">
        <v>0</v>
      </c>
      <c r="T15742" t="s">
        <v>54821</v>
      </c>
    </row>
    <row r="15743" spans="1:20" customFormat="1" ht="15" x14ac:dyDescent="0.25">
      <c r="A15743" t="s">
        <v>24</v>
      </c>
      <c r="B15743" t="s">
        <v>33301</v>
      </c>
      <c r="C15743" t="str">
        <f>"A0089639"</f>
        <v>A0089639</v>
      </c>
      <c r="D15743" t="s">
        <v>72798</v>
      </c>
      <c r="E15743" t="s">
        <v>72799</v>
      </c>
      <c r="F15743" t="s">
        <v>1564</v>
      </c>
      <c r="G15743" t="s">
        <v>52</v>
      </c>
      <c r="H15743">
        <v>77094</v>
      </c>
      <c r="I15743" t="s">
        <v>30</v>
      </c>
      <c r="J15743" t="s">
        <v>162</v>
      </c>
      <c r="K15743" t="s">
        <v>1490</v>
      </c>
      <c r="N15743" t="s">
        <v>72800</v>
      </c>
      <c r="Q15743">
        <v>0</v>
      </c>
      <c r="R15743">
        <v>206</v>
      </c>
      <c r="S15743">
        <v>0</v>
      </c>
      <c r="T15743" t="s">
        <v>72801</v>
      </c>
    </row>
    <row r="15744" spans="1:20" customFormat="1" ht="15" hidden="1" x14ac:dyDescent="0.25">
      <c r="A15744" t="s">
        <v>24</v>
      </c>
      <c r="B15744" t="s">
        <v>6611</v>
      </c>
      <c r="C15744" t="str">
        <f>"A0166726"</f>
        <v>A0166726</v>
      </c>
      <c r="D15744" t="s">
        <v>54827</v>
      </c>
      <c r="E15744" t="s">
        <v>54828</v>
      </c>
      <c r="F15744" t="s">
        <v>2406</v>
      </c>
      <c r="G15744" t="s">
        <v>2407</v>
      </c>
      <c r="H15744">
        <v>23453</v>
      </c>
      <c r="I15744" t="s">
        <v>2408</v>
      </c>
      <c r="J15744" t="s">
        <v>162</v>
      </c>
      <c r="K15744" t="s">
        <v>163</v>
      </c>
      <c r="N15744" t="s">
        <v>54829</v>
      </c>
      <c r="Q15744">
        <v>0</v>
      </c>
      <c r="R15744">
        <v>164</v>
      </c>
      <c r="S15744">
        <v>0</v>
      </c>
      <c r="T15744" t="s">
        <v>54830</v>
      </c>
    </row>
    <row r="15745" spans="1:25" customFormat="1" ht="15" x14ac:dyDescent="0.25">
      <c r="A15745" t="s">
        <v>24</v>
      </c>
      <c r="B15745" t="s">
        <v>193</v>
      </c>
      <c r="C15745" t="str">
        <f>"A0096551"</f>
        <v>A0096551</v>
      </c>
      <c r="D15745" t="s">
        <v>54831</v>
      </c>
      <c r="E15745" t="s">
        <v>54832</v>
      </c>
      <c r="F15745" t="s">
        <v>54833</v>
      </c>
      <c r="G15745" t="s">
        <v>1170</v>
      </c>
      <c r="H15745">
        <v>70663</v>
      </c>
      <c r="I15745" t="s">
        <v>30</v>
      </c>
      <c r="J15745" t="s">
        <v>31</v>
      </c>
      <c r="K15745" t="s">
        <v>198</v>
      </c>
      <c r="N15745" t="s">
        <v>54834</v>
      </c>
      <c r="Q15745">
        <v>0</v>
      </c>
      <c r="R15745">
        <v>79</v>
      </c>
      <c r="S15745">
        <v>0</v>
      </c>
      <c r="T15745" t="s">
        <v>54835</v>
      </c>
    </row>
    <row r="15746" spans="1:25" x14ac:dyDescent="0.25">
      <c r="A15746" s="5" t="s">
        <v>24</v>
      </c>
      <c r="B15746" s="5" t="s">
        <v>56277</v>
      </c>
      <c r="C15746" s="5" t="str">
        <f>"34262"</f>
        <v>34262</v>
      </c>
      <c r="D15746" s="5" t="s">
        <v>72802</v>
      </c>
      <c r="E15746" s="5" t="s">
        <v>72803</v>
      </c>
      <c r="F15746" s="5" t="s">
        <v>1564</v>
      </c>
      <c r="G15746" s="5" t="s">
        <v>52</v>
      </c>
      <c r="H15746" s="5">
        <v>77017</v>
      </c>
      <c r="I15746" s="5" t="s">
        <v>30</v>
      </c>
      <c r="J15746" s="5" t="s">
        <v>162</v>
      </c>
      <c r="K15746" s="5" t="s">
        <v>1490</v>
      </c>
      <c r="L15746" s="5"/>
      <c r="M15746" s="5"/>
      <c r="N15746" s="5" t="s">
        <v>72804</v>
      </c>
      <c r="O15746" s="5" t="s">
        <v>72805</v>
      </c>
      <c r="P15746" s="5"/>
      <c r="Q15746" s="5">
        <v>0</v>
      </c>
      <c r="R15746" s="5">
        <v>287</v>
      </c>
      <c r="S15746" s="5">
        <v>0</v>
      </c>
      <c r="T15746" s="5" t="s">
        <v>72806</v>
      </c>
      <c r="U15746" s="5"/>
      <c r="V15746" s="5"/>
      <c r="W15746" s="5"/>
      <c r="X15746" s="5"/>
      <c r="Y15746" s="5"/>
    </row>
    <row r="15747" spans="1:25" customFormat="1" ht="15" x14ac:dyDescent="0.25">
      <c r="A15747" t="s">
        <v>24</v>
      </c>
      <c r="B15747" t="s">
        <v>1849</v>
      </c>
      <c r="C15747" t="str">
        <f>"A0060575"</f>
        <v>A0060575</v>
      </c>
      <c r="D15747" t="s">
        <v>72807</v>
      </c>
      <c r="E15747" t="s">
        <v>72808</v>
      </c>
      <c r="F15747" t="s">
        <v>1564</v>
      </c>
      <c r="G15747" t="s">
        <v>52</v>
      </c>
      <c r="H15747">
        <v>77042</v>
      </c>
      <c r="I15747" t="s">
        <v>30</v>
      </c>
      <c r="J15747" t="s">
        <v>162</v>
      </c>
      <c r="K15747" t="s">
        <v>1490</v>
      </c>
      <c r="N15747" t="s">
        <v>72809</v>
      </c>
      <c r="Q15747">
        <v>0</v>
      </c>
      <c r="R15747">
        <v>600</v>
      </c>
      <c r="S15747">
        <v>0</v>
      </c>
      <c r="T15747" t="s">
        <v>72810</v>
      </c>
    </row>
    <row r="15748" spans="1:25" customFormat="1" ht="15" x14ac:dyDescent="0.25">
      <c r="A15748" t="s">
        <v>24</v>
      </c>
      <c r="B15748" t="s">
        <v>33690</v>
      </c>
      <c r="C15748" t="str">
        <f>"A0098934"</f>
        <v>A0098934</v>
      </c>
      <c r="D15748" t="s">
        <v>72815</v>
      </c>
      <c r="E15748" t="s">
        <v>72816</v>
      </c>
      <c r="F15748" t="s">
        <v>11700</v>
      </c>
      <c r="G15748" t="s">
        <v>880</v>
      </c>
      <c r="H15748">
        <v>38103</v>
      </c>
      <c r="I15748" t="s">
        <v>30</v>
      </c>
      <c r="J15748" t="s">
        <v>162</v>
      </c>
      <c r="K15748" t="s">
        <v>163</v>
      </c>
      <c r="N15748" t="s">
        <v>72817</v>
      </c>
      <c r="O15748" t="s">
        <v>72818</v>
      </c>
      <c r="Q15748">
        <v>0</v>
      </c>
      <c r="R15748">
        <v>110</v>
      </c>
      <c r="S15748">
        <v>0</v>
      </c>
      <c r="T15748" t="s">
        <v>72819</v>
      </c>
    </row>
    <row r="15749" spans="1:25" customFormat="1" ht="15" x14ac:dyDescent="0.25">
      <c r="A15749" t="s">
        <v>24</v>
      </c>
      <c r="B15749" t="s">
        <v>8742</v>
      </c>
      <c r="C15749" t="str">
        <f>"34971"</f>
        <v>34971</v>
      </c>
      <c r="D15749" t="s">
        <v>72836</v>
      </c>
      <c r="E15749" t="s">
        <v>72837</v>
      </c>
      <c r="F15749" t="s">
        <v>3545</v>
      </c>
      <c r="G15749" t="s">
        <v>1706</v>
      </c>
      <c r="H15749">
        <v>35805</v>
      </c>
      <c r="I15749" t="s">
        <v>30</v>
      </c>
      <c r="J15749" t="s">
        <v>162</v>
      </c>
      <c r="K15749" t="s">
        <v>1490</v>
      </c>
      <c r="Q15749">
        <v>0</v>
      </c>
      <c r="R15749">
        <v>292</v>
      </c>
      <c r="S15749">
        <v>0</v>
      </c>
      <c r="T15749" t="s">
        <v>72838</v>
      </c>
    </row>
    <row r="15750" spans="1:25" customFormat="1" ht="15" x14ac:dyDescent="0.25">
      <c r="A15750" t="s">
        <v>24</v>
      </c>
      <c r="B15750" t="s">
        <v>54853</v>
      </c>
      <c r="C15750" t="str">
        <f>"A0166055"</f>
        <v>A0166055</v>
      </c>
      <c r="D15750" t="s">
        <v>54854</v>
      </c>
      <c r="E15750" t="s">
        <v>54855</v>
      </c>
      <c r="F15750" t="s">
        <v>1564</v>
      </c>
      <c r="G15750" t="s">
        <v>52</v>
      </c>
      <c r="H15750">
        <v>77042</v>
      </c>
      <c r="I15750" t="s">
        <v>30</v>
      </c>
      <c r="J15750" t="s">
        <v>31</v>
      </c>
      <c r="K15750" t="s">
        <v>261</v>
      </c>
      <c r="N15750" t="s">
        <v>54856</v>
      </c>
      <c r="O15750" t="s">
        <v>54857</v>
      </c>
      <c r="Q15750">
        <v>0</v>
      </c>
      <c r="R15750">
        <v>120</v>
      </c>
      <c r="S15750">
        <v>0</v>
      </c>
      <c r="T15750" t="s">
        <v>54858</v>
      </c>
    </row>
    <row r="15751" spans="1:25" customFormat="1" ht="15" x14ac:dyDescent="0.25">
      <c r="A15751" t="s">
        <v>24</v>
      </c>
      <c r="B15751" t="s">
        <v>54859</v>
      </c>
      <c r="C15751" t="str">
        <f>"A0092519"</f>
        <v>A0092519</v>
      </c>
      <c r="D15751" t="s">
        <v>54860</v>
      </c>
      <c r="E15751" t="s">
        <v>54861</v>
      </c>
      <c r="F15751" t="s">
        <v>2971</v>
      </c>
      <c r="G15751" t="s">
        <v>880</v>
      </c>
      <c r="H15751">
        <v>37201</v>
      </c>
      <c r="I15751" t="s">
        <v>30</v>
      </c>
      <c r="J15751" t="s">
        <v>7657</v>
      </c>
      <c r="K15751" t="s">
        <v>14957</v>
      </c>
      <c r="Q15751">
        <v>0</v>
      </c>
      <c r="R15751">
        <v>0</v>
      </c>
      <c r="S15751">
        <v>0</v>
      </c>
      <c r="T15751" t="s">
        <v>54862</v>
      </c>
    </row>
    <row r="15752" spans="1:25" customFormat="1" ht="15" x14ac:dyDescent="0.25">
      <c r="A15752" t="s">
        <v>24</v>
      </c>
      <c r="B15752" t="s">
        <v>54859</v>
      </c>
      <c r="C15752" t="str">
        <f>"A0091807"</f>
        <v>A0091807</v>
      </c>
      <c r="D15752" t="s">
        <v>54863</v>
      </c>
      <c r="E15752" t="s">
        <v>54864</v>
      </c>
      <c r="F15752" t="s">
        <v>2971</v>
      </c>
      <c r="G15752" t="s">
        <v>880</v>
      </c>
      <c r="H15752">
        <v>37219</v>
      </c>
      <c r="I15752" t="s">
        <v>30</v>
      </c>
      <c r="J15752" t="s">
        <v>7657</v>
      </c>
      <c r="K15752" t="s">
        <v>14957</v>
      </c>
      <c r="Q15752">
        <v>0</v>
      </c>
      <c r="R15752">
        <v>0</v>
      </c>
      <c r="S15752">
        <v>0</v>
      </c>
      <c r="T15752" t="s">
        <v>54865</v>
      </c>
    </row>
    <row r="15753" spans="1:25" customFormat="1" ht="15" x14ac:dyDescent="0.25">
      <c r="A15753" t="s">
        <v>24</v>
      </c>
      <c r="B15753" t="s">
        <v>54859</v>
      </c>
      <c r="C15753" t="str">
        <f>"A0091806"</f>
        <v>A0091806</v>
      </c>
      <c r="D15753" t="s">
        <v>54866</v>
      </c>
      <c r="E15753" t="s">
        <v>54867</v>
      </c>
      <c r="F15753" t="s">
        <v>2971</v>
      </c>
      <c r="G15753" t="s">
        <v>880</v>
      </c>
      <c r="H15753">
        <v>37214</v>
      </c>
      <c r="I15753" t="s">
        <v>30</v>
      </c>
      <c r="J15753" t="s">
        <v>7657</v>
      </c>
      <c r="K15753" t="s">
        <v>14957</v>
      </c>
      <c r="N15753" t="s">
        <v>54868</v>
      </c>
      <c r="Q15753">
        <v>0</v>
      </c>
      <c r="R15753">
        <v>0</v>
      </c>
      <c r="S15753">
        <v>0</v>
      </c>
      <c r="T15753" t="s">
        <v>54869</v>
      </c>
    </row>
    <row r="15754" spans="1:25" customFormat="1" ht="15" x14ac:dyDescent="0.25">
      <c r="A15754" t="s">
        <v>24</v>
      </c>
      <c r="B15754" t="s">
        <v>2011</v>
      </c>
      <c r="C15754" t="str">
        <f>"A0086763"</f>
        <v>A0086763</v>
      </c>
      <c r="D15754" t="s">
        <v>72839</v>
      </c>
      <c r="E15754" t="s">
        <v>72840</v>
      </c>
      <c r="F15754" t="s">
        <v>2900</v>
      </c>
      <c r="G15754" t="s">
        <v>76</v>
      </c>
      <c r="H15754">
        <v>98101</v>
      </c>
      <c r="I15754" t="s">
        <v>30</v>
      </c>
      <c r="J15754" t="s">
        <v>162</v>
      </c>
      <c r="K15754" t="s">
        <v>72841</v>
      </c>
      <c r="N15754" t="s">
        <v>72842</v>
      </c>
      <c r="O15754" t="s">
        <v>72843</v>
      </c>
      <c r="Q15754">
        <v>0</v>
      </c>
      <c r="R15754">
        <v>346</v>
      </c>
      <c r="S15754">
        <v>0</v>
      </c>
      <c r="T15754" t="s">
        <v>72844</v>
      </c>
    </row>
    <row r="15755" spans="1:25" customFormat="1" ht="15" x14ac:dyDescent="0.25">
      <c r="A15755" t="s">
        <v>24</v>
      </c>
      <c r="B15755" t="s">
        <v>2011</v>
      </c>
      <c r="C15755" t="str">
        <f>"A0055030"</f>
        <v>A0055030</v>
      </c>
      <c r="D15755" t="s">
        <v>72852</v>
      </c>
      <c r="E15755" t="s">
        <v>72853</v>
      </c>
      <c r="F15755" t="s">
        <v>845</v>
      </c>
      <c r="G15755" t="s">
        <v>846</v>
      </c>
      <c r="H15755">
        <v>30309</v>
      </c>
      <c r="I15755" t="s">
        <v>30</v>
      </c>
      <c r="J15755" t="s">
        <v>162</v>
      </c>
      <c r="K15755" t="s">
        <v>1845</v>
      </c>
      <c r="N15755" t="s">
        <v>72854</v>
      </c>
      <c r="Q15755">
        <v>0</v>
      </c>
      <c r="R15755">
        <v>191</v>
      </c>
      <c r="S15755">
        <v>0</v>
      </c>
      <c r="T15755" t="s">
        <v>72855</v>
      </c>
    </row>
    <row r="15756" spans="1:25" customFormat="1" ht="15" x14ac:dyDescent="0.25">
      <c r="A15756" t="s">
        <v>24</v>
      </c>
      <c r="B15756" t="s">
        <v>814</v>
      </c>
      <c r="C15756" t="str">
        <f>"A0059950"</f>
        <v>A0059950</v>
      </c>
      <c r="D15756" t="s">
        <v>72856</v>
      </c>
      <c r="E15756" t="s">
        <v>72857</v>
      </c>
      <c r="F15756" t="s">
        <v>716</v>
      </c>
      <c r="G15756" t="s">
        <v>289</v>
      </c>
      <c r="H15756">
        <v>60611</v>
      </c>
      <c r="I15756" t="s">
        <v>30</v>
      </c>
      <c r="J15756" t="s">
        <v>162</v>
      </c>
      <c r="K15756" t="s">
        <v>1845</v>
      </c>
      <c r="N15756" t="s">
        <v>72858</v>
      </c>
      <c r="Q15756">
        <v>0</v>
      </c>
      <c r="R15756">
        <v>417</v>
      </c>
      <c r="S15756">
        <v>0</v>
      </c>
      <c r="T15756" t="s">
        <v>72859</v>
      </c>
    </row>
    <row r="15757" spans="1:25" customFormat="1" ht="15" x14ac:dyDescent="0.25">
      <c r="A15757" t="s">
        <v>24</v>
      </c>
      <c r="B15757" t="s">
        <v>3171</v>
      </c>
      <c r="C15757" t="str">
        <f>"A0166790"</f>
        <v>A0166790</v>
      </c>
      <c r="D15757" t="s">
        <v>54882</v>
      </c>
      <c r="E15757" t="s">
        <v>54883</v>
      </c>
      <c r="F15757" t="s">
        <v>1519</v>
      </c>
      <c r="G15757" t="s">
        <v>110</v>
      </c>
      <c r="H15757">
        <v>90024</v>
      </c>
      <c r="I15757" t="s">
        <v>30</v>
      </c>
      <c r="J15757" t="s">
        <v>687</v>
      </c>
      <c r="K15757" t="s">
        <v>163</v>
      </c>
      <c r="N15757" t="s">
        <v>54884</v>
      </c>
      <c r="Q15757">
        <v>0</v>
      </c>
      <c r="R15757">
        <v>0</v>
      </c>
      <c r="S15757">
        <v>0</v>
      </c>
      <c r="T15757" t="s">
        <v>54885</v>
      </c>
    </row>
    <row r="15758" spans="1:25" x14ac:dyDescent="0.25">
      <c r="A15758" s="5" t="s">
        <v>24</v>
      </c>
      <c r="B15758" s="5" t="s">
        <v>5104</v>
      </c>
      <c r="C15758" s="5" t="str">
        <f>"A0064208"</f>
        <v>A0064208</v>
      </c>
      <c r="D15758" s="5" t="s">
        <v>72860</v>
      </c>
      <c r="E15758" s="5" t="s">
        <v>72861</v>
      </c>
      <c r="F15758" s="5" t="s">
        <v>6404</v>
      </c>
      <c r="G15758" s="5" t="s">
        <v>161</v>
      </c>
      <c r="H15758" s="5">
        <v>55402</v>
      </c>
      <c r="I15758" s="5" t="s">
        <v>30</v>
      </c>
      <c r="J15758" s="5" t="s">
        <v>162</v>
      </c>
      <c r="K15758" s="5" t="s">
        <v>1845</v>
      </c>
      <c r="L15758" s="5"/>
      <c r="M15758" s="5"/>
      <c r="N15758" s="5" t="s">
        <v>72862</v>
      </c>
      <c r="O15758" s="5"/>
      <c r="P15758" s="5"/>
      <c r="Q15758" s="5">
        <v>0</v>
      </c>
      <c r="R15758" s="5">
        <v>140</v>
      </c>
      <c r="S15758" s="5">
        <v>0</v>
      </c>
      <c r="T15758" s="5" t="s">
        <v>72863</v>
      </c>
      <c r="U15758" s="5"/>
      <c r="V15758" s="5"/>
      <c r="W15758" s="5"/>
      <c r="X15758" s="5"/>
      <c r="Y15758" s="5"/>
    </row>
    <row r="15759" spans="1:25" customFormat="1" ht="15" x14ac:dyDescent="0.25">
      <c r="A15759" t="s">
        <v>24</v>
      </c>
      <c r="B15759" t="s">
        <v>12732</v>
      </c>
      <c r="C15759" t="str">
        <f>"A0148603"</f>
        <v>A0148603</v>
      </c>
      <c r="D15759" t="s">
        <v>72864</v>
      </c>
      <c r="E15759" t="s">
        <v>72865</v>
      </c>
      <c r="F15759" t="s">
        <v>6593</v>
      </c>
      <c r="G15759" t="s">
        <v>47</v>
      </c>
      <c r="H15759">
        <v>97205</v>
      </c>
      <c r="I15759" t="s">
        <v>30</v>
      </c>
      <c r="J15759" t="s">
        <v>162</v>
      </c>
      <c r="K15759" t="s">
        <v>1845</v>
      </c>
      <c r="N15759" t="s">
        <v>72866</v>
      </c>
      <c r="Q15759">
        <v>0</v>
      </c>
      <c r="R15759">
        <v>215</v>
      </c>
      <c r="S15759">
        <v>0</v>
      </c>
      <c r="T15759" t="s">
        <v>72867</v>
      </c>
    </row>
    <row r="15760" spans="1:25" customFormat="1" ht="15" x14ac:dyDescent="0.25">
      <c r="A15760" t="s">
        <v>24</v>
      </c>
      <c r="B15760" t="s">
        <v>5104</v>
      </c>
      <c r="C15760" t="str">
        <f>"A0136984"</f>
        <v>A0136984</v>
      </c>
      <c r="D15760" t="s">
        <v>72868</v>
      </c>
      <c r="E15760" t="s">
        <v>72869</v>
      </c>
      <c r="F15760" t="s">
        <v>1208</v>
      </c>
      <c r="G15760" t="s">
        <v>899</v>
      </c>
      <c r="H15760">
        <v>2109</v>
      </c>
      <c r="I15760" t="s">
        <v>30</v>
      </c>
      <c r="J15760" t="s">
        <v>162</v>
      </c>
      <c r="K15760" t="s">
        <v>1845</v>
      </c>
      <c r="N15760" t="s">
        <v>72870</v>
      </c>
      <c r="Q15760">
        <v>0</v>
      </c>
      <c r="R15760">
        <v>163</v>
      </c>
      <c r="S15760">
        <v>0</v>
      </c>
      <c r="T15760" t="s">
        <v>72871</v>
      </c>
    </row>
    <row r="15761" spans="1:20" customFormat="1" ht="15" x14ac:dyDescent="0.25">
      <c r="A15761" t="s">
        <v>24</v>
      </c>
      <c r="B15761" t="s">
        <v>11484</v>
      </c>
      <c r="C15761" t="str">
        <f>"A0058351"</f>
        <v>A0058351</v>
      </c>
      <c r="D15761" t="s">
        <v>72872</v>
      </c>
      <c r="E15761" t="s">
        <v>72873</v>
      </c>
      <c r="F15761" t="s">
        <v>2069</v>
      </c>
      <c r="G15761" t="s">
        <v>1170</v>
      </c>
      <c r="H15761">
        <v>70112</v>
      </c>
      <c r="I15761" t="s">
        <v>30</v>
      </c>
      <c r="J15761" t="s">
        <v>162</v>
      </c>
      <c r="K15761" t="s">
        <v>1845</v>
      </c>
      <c r="N15761" t="s">
        <v>72874</v>
      </c>
      <c r="Q15761">
        <v>0</v>
      </c>
      <c r="R15761">
        <v>254</v>
      </c>
      <c r="S15761">
        <v>0</v>
      </c>
      <c r="T15761" t="s">
        <v>72875</v>
      </c>
    </row>
    <row r="15762" spans="1:20" customFormat="1" ht="15" x14ac:dyDescent="0.25">
      <c r="A15762" t="s">
        <v>24</v>
      </c>
      <c r="B15762" t="s">
        <v>140</v>
      </c>
      <c r="C15762" t="str">
        <f>"A0148769"</f>
        <v>A0148769</v>
      </c>
      <c r="D15762" t="s">
        <v>54903</v>
      </c>
      <c r="E15762" t="s">
        <v>54904</v>
      </c>
      <c r="F15762" t="s">
        <v>54905</v>
      </c>
      <c r="G15762" t="s">
        <v>52</v>
      </c>
      <c r="H15762">
        <v>77388</v>
      </c>
      <c r="I15762" t="s">
        <v>30</v>
      </c>
      <c r="J15762" t="s">
        <v>31</v>
      </c>
      <c r="K15762" t="s">
        <v>321</v>
      </c>
      <c r="N15762" t="s">
        <v>54906</v>
      </c>
      <c r="Q15762">
        <v>0</v>
      </c>
      <c r="R15762">
        <v>93</v>
      </c>
      <c r="S15762">
        <v>0</v>
      </c>
      <c r="T15762" t="s">
        <v>54907</v>
      </c>
    </row>
    <row r="15763" spans="1:20" customFormat="1" ht="15" x14ac:dyDescent="0.25">
      <c r="A15763" t="s">
        <v>24</v>
      </c>
      <c r="B15763" t="s">
        <v>2340</v>
      </c>
      <c r="C15763" t="str">
        <f>"A0166717"</f>
        <v>A0166717</v>
      </c>
      <c r="D15763" t="s">
        <v>54908</v>
      </c>
      <c r="E15763" t="s">
        <v>54909</v>
      </c>
      <c r="F15763" t="s">
        <v>10730</v>
      </c>
      <c r="G15763" t="s">
        <v>214</v>
      </c>
      <c r="H15763">
        <v>28803</v>
      </c>
      <c r="I15763" t="s">
        <v>30</v>
      </c>
      <c r="J15763" t="s">
        <v>31</v>
      </c>
      <c r="K15763" t="s">
        <v>261</v>
      </c>
      <c r="N15763" t="s">
        <v>54910</v>
      </c>
      <c r="Q15763">
        <v>0</v>
      </c>
      <c r="R15763">
        <v>117</v>
      </c>
      <c r="S15763">
        <v>0</v>
      </c>
      <c r="T15763" t="s">
        <v>54911</v>
      </c>
    </row>
    <row r="15764" spans="1:20" customFormat="1" ht="15" x14ac:dyDescent="0.25">
      <c r="A15764" t="s">
        <v>24</v>
      </c>
      <c r="B15764" t="s">
        <v>54912</v>
      </c>
      <c r="C15764" t="str">
        <f>"A0067683"</f>
        <v>A0067683</v>
      </c>
      <c r="D15764" t="s">
        <v>54912</v>
      </c>
      <c r="E15764" t="s">
        <v>54913</v>
      </c>
      <c r="F15764" t="s">
        <v>54914</v>
      </c>
      <c r="G15764" t="s">
        <v>81</v>
      </c>
      <c r="H15764">
        <v>34655</v>
      </c>
      <c r="I15764" t="s">
        <v>30</v>
      </c>
      <c r="J15764" t="s">
        <v>178</v>
      </c>
      <c r="K15764" t="s">
        <v>179</v>
      </c>
      <c r="N15764" t="s">
        <v>54915</v>
      </c>
      <c r="P15764" t="s">
        <v>992</v>
      </c>
      <c r="Q15764">
        <v>1</v>
      </c>
      <c r="R15764">
        <v>0</v>
      </c>
      <c r="S15764">
        <v>0</v>
      </c>
      <c r="T15764" t="s">
        <v>54916</v>
      </c>
    </row>
    <row r="15765" spans="1:20" customFormat="1" ht="15" x14ac:dyDescent="0.25">
      <c r="A15765" t="s">
        <v>24</v>
      </c>
      <c r="B15765" t="s">
        <v>2011</v>
      </c>
      <c r="C15765" t="str">
        <f>"HY09795"</f>
        <v>HY09795</v>
      </c>
      <c r="D15765" t="s">
        <v>72876</v>
      </c>
      <c r="E15765" t="s">
        <v>72877</v>
      </c>
      <c r="F15765" t="s">
        <v>1084</v>
      </c>
      <c r="G15765" t="s">
        <v>81</v>
      </c>
      <c r="H15765">
        <v>33040</v>
      </c>
      <c r="I15765" t="s">
        <v>30</v>
      </c>
      <c r="J15765" t="s">
        <v>162</v>
      </c>
      <c r="K15765" t="s">
        <v>1845</v>
      </c>
      <c r="N15765" t="s">
        <v>72878</v>
      </c>
      <c r="P15765" t="s">
        <v>6426</v>
      </c>
      <c r="Q15765">
        <v>0</v>
      </c>
      <c r="R15765">
        <v>120</v>
      </c>
      <c r="S15765">
        <v>0</v>
      </c>
      <c r="T15765" t="s">
        <v>72879</v>
      </c>
    </row>
    <row r="15766" spans="1:20" customFormat="1" ht="15" x14ac:dyDescent="0.25">
      <c r="A15766" t="s">
        <v>24</v>
      </c>
      <c r="B15766" t="s">
        <v>1288</v>
      </c>
      <c r="C15766" t="str">
        <f>"A0057221"</f>
        <v>A0057221</v>
      </c>
      <c r="D15766" t="s">
        <v>54922</v>
      </c>
      <c r="E15766" t="s">
        <v>54923</v>
      </c>
      <c r="F15766" t="s">
        <v>54924</v>
      </c>
      <c r="G15766" t="s">
        <v>381</v>
      </c>
      <c r="H15766">
        <v>46140</v>
      </c>
      <c r="I15766" t="s">
        <v>30</v>
      </c>
      <c r="J15766" t="s">
        <v>31</v>
      </c>
      <c r="K15766" t="s">
        <v>315</v>
      </c>
      <c r="N15766" t="s">
        <v>54925</v>
      </c>
      <c r="O15766" t="s">
        <v>54926</v>
      </c>
      <c r="Q15766">
        <v>0</v>
      </c>
      <c r="R15766">
        <v>96</v>
      </c>
      <c r="S15766">
        <v>0</v>
      </c>
      <c r="T15766" t="s">
        <v>54927</v>
      </c>
    </row>
    <row r="15767" spans="1:20" customFormat="1" ht="15" x14ac:dyDescent="0.25">
      <c r="A15767" t="s">
        <v>24</v>
      </c>
      <c r="B15767" t="s">
        <v>1528</v>
      </c>
      <c r="C15767" t="str">
        <f>"A0166496"</f>
        <v>A0166496</v>
      </c>
      <c r="D15767" t="s">
        <v>54928</v>
      </c>
      <c r="E15767" t="s">
        <v>54929</v>
      </c>
      <c r="F15767" t="s">
        <v>1146</v>
      </c>
      <c r="G15767" t="s">
        <v>433</v>
      </c>
      <c r="H15767">
        <v>83814</v>
      </c>
      <c r="I15767" t="s">
        <v>30</v>
      </c>
      <c r="J15767" t="s">
        <v>9545</v>
      </c>
      <c r="K15767" t="s">
        <v>163</v>
      </c>
      <c r="N15767" t="s">
        <v>54930</v>
      </c>
      <c r="Q15767">
        <v>0</v>
      </c>
      <c r="R15767">
        <v>0</v>
      </c>
      <c r="S15767">
        <v>0</v>
      </c>
      <c r="T15767" t="s">
        <v>54931</v>
      </c>
    </row>
    <row r="15768" spans="1:20" customFormat="1" ht="15" x14ac:dyDescent="0.25">
      <c r="A15768" t="s">
        <v>24</v>
      </c>
      <c r="B15768" t="s">
        <v>140</v>
      </c>
      <c r="C15768" t="str">
        <f>"A0148768"</f>
        <v>A0148768</v>
      </c>
      <c r="D15768" t="s">
        <v>54932</v>
      </c>
      <c r="E15768" t="s">
        <v>54933</v>
      </c>
      <c r="F15768" t="s">
        <v>54934</v>
      </c>
      <c r="G15768" t="s">
        <v>52</v>
      </c>
      <c r="H15768">
        <v>77433</v>
      </c>
      <c r="I15768" t="s">
        <v>30</v>
      </c>
      <c r="J15768" t="s">
        <v>31</v>
      </c>
      <c r="K15768" t="s">
        <v>1196</v>
      </c>
      <c r="N15768" t="s">
        <v>54935</v>
      </c>
      <c r="Q15768">
        <v>0</v>
      </c>
      <c r="R15768">
        <v>92</v>
      </c>
      <c r="S15768">
        <v>0</v>
      </c>
      <c r="T15768" t="s">
        <v>54936</v>
      </c>
    </row>
    <row r="15769" spans="1:20" customFormat="1" ht="15" x14ac:dyDescent="0.25">
      <c r="A15769" t="s">
        <v>24</v>
      </c>
      <c r="B15769" t="s">
        <v>54970</v>
      </c>
      <c r="C15769" t="str">
        <f>"A0154263"</f>
        <v>A0154263</v>
      </c>
      <c r="D15769" t="s">
        <v>72880</v>
      </c>
      <c r="E15769" t="s">
        <v>72881</v>
      </c>
      <c r="F15769" t="s">
        <v>1570</v>
      </c>
      <c r="G15769" t="s">
        <v>81</v>
      </c>
      <c r="H15769">
        <v>33301</v>
      </c>
      <c r="I15769" t="s">
        <v>30</v>
      </c>
      <c r="J15769" t="s">
        <v>162</v>
      </c>
      <c r="K15769" t="s">
        <v>1845</v>
      </c>
      <c r="Q15769">
        <v>0</v>
      </c>
      <c r="R15769">
        <v>238</v>
      </c>
      <c r="S15769">
        <v>0</v>
      </c>
      <c r="T15769" t="s">
        <v>72882</v>
      </c>
    </row>
    <row r="15770" spans="1:20" customFormat="1" ht="15" x14ac:dyDescent="0.25">
      <c r="A15770" t="s">
        <v>24</v>
      </c>
      <c r="B15770" t="s">
        <v>2011</v>
      </c>
      <c r="C15770" t="str">
        <f>"A0088657"</f>
        <v>A0088657</v>
      </c>
      <c r="D15770" t="s">
        <v>72883</v>
      </c>
      <c r="E15770" t="s">
        <v>72884</v>
      </c>
      <c r="F15770" t="s">
        <v>7677</v>
      </c>
      <c r="G15770" t="s">
        <v>153</v>
      </c>
      <c r="H15770">
        <v>84098</v>
      </c>
      <c r="I15770" t="s">
        <v>30</v>
      </c>
      <c r="J15770" t="s">
        <v>162</v>
      </c>
      <c r="K15770" t="s">
        <v>1845</v>
      </c>
      <c r="N15770" t="s">
        <v>72885</v>
      </c>
      <c r="Q15770">
        <v>0</v>
      </c>
      <c r="R15770">
        <v>145</v>
      </c>
      <c r="S15770">
        <v>0</v>
      </c>
      <c r="T15770" t="s">
        <v>72886</v>
      </c>
    </row>
    <row r="15771" spans="1:20" customFormat="1" ht="15" x14ac:dyDescent="0.25">
      <c r="A15771" t="s">
        <v>24</v>
      </c>
      <c r="B15771" t="s">
        <v>54946</v>
      </c>
      <c r="C15771" t="str">
        <f>"A0153950"</f>
        <v>A0153950</v>
      </c>
      <c r="D15771" t="s">
        <v>54947</v>
      </c>
      <c r="E15771" t="s">
        <v>54948</v>
      </c>
      <c r="F15771" t="s">
        <v>54949</v>
      </c>
      <c r="G15771" t="s">
        <v>99</v>
      </c>
      <c r="H15771">
        <v>10013</v>
      </c>
      <c r="I15771" t="s">
        <v>30</v>
      </c>
      <c r="J15771" t="s">
        <v>1004</v>
      </c>
      <c r="K15771" t="s">
        <v>163</v>
      </c>
      <c r="N15771" t="s">
        <v>34244</v>
      </c>
      <c r="O15771" t="s">
        <v>54950</v>
      </c>
      <c r="Q15771">
        <v>0</v>
      </c>
      <c r="R15771">
        <v>0</v>
      </c>
      <c r="S15771">
        <v>0</v>
      </c>
      <c r="T15771" t="s">
        <v>54951</v>
      </c>
    </row>
    <row r="15772" spans="1:20" customFormat="1" ht="15" x14ac:dyDescent="0.25">
      <c r="A15772" t="s">
        <v>24</v>
      </c>
      <c r="B15772" t="s">
        <v>2011</v>
      </c>
      <c r="C15772" t="str">
        <f>"A0158082"</f>
        <v>A0158082</v>
      </c>
      <c r="D15772" t="s">
        <v>72887</v>
      </c>
      <c r="E15772" t="s">
        <v>72888</v>
      </c>
      <c r="F15772" t="s">
        <v>9812</v>
      </c>
      <c r="G15772" t="s">
        <v>103</v>
      </c>
      <c r="H15772">
        <v>19103</v>
      </c>
      <c r="I15772" t="s">
        <v>30</v>
      </c>
      <c r="J15772" t="s">
        <v>162</v>
      </c>
      <c r="K15772" t="s">
        <v>1845</v>
      </c>
      <c r="N15772" t="s">
        <v>72889</v>
      </c>
      <c r="O15772" t="s">
        <v>72890</v>
      </c>
      <c r="Q15772">
        <v>0</v>
      </c>
      <c r="R15772">
        <v>332</v>
      </c>
      <c r="S15772">
        <v>0</v>
      </c>
      <c r="T15772" t="s">
        <v>72891</v>
      </c>
    </row>
    <row r="15773" spans="1:20" customFormat="1" ht="15" x14ac:dyDescent="0.25">
      <c r="A15773" t="s">
        <v>24</v>
      </c>
      <c r="B15773" t="s">
        <v>2011</v>
      </c>
      <c r="C15773" t="str">
        <f>"A0087872"</f>
        <v>A0087872</v>
      </c>
      <c r="D15773" t="s">
        <v>72892</v>
      </c>
      <c r="E15773" t="s">
        <v>72893</v>
      </c>
      <c r="F15773" t="s">
        <v>72894</v>
      </c>
      <c r="G15773" t="s">
        <v>52</v>
      </c>
      <c r="H15773">
        <v>77380</v>
      </c>
      <c r="I15773" t="s">
        <v>30</v>
      </c>
      <c r="J15773" t="s">
        <v>162</v>
      </c>
      <c r="K15773" t="s">
        <v>1845</v>
      </c>
      <c r="N15773" t="s">
        <v>72895</v>
      </c>
      <c r="Q15773">
        <v>0</v>
      </c>
      <c r="R15773">
        <v>70</v>
      </c>
      <c r="S15773">
        <v>0</v>
      </c>
      <c r="T15773" t="s">
        <v>72896</v>
      </c>
    </row>
    <row r="15774" spans="1:20" customFormat="1" ht="15" x14ac:dyDescent="0.25">
      <c r="A15774" t="s">
        <v>24</v>
      </c>
      <c r="B15774" t="s">
        <v>2011</v>
      </c>
      <c r="C15774" t="str">
        <f>"A0092021"</f>
        <v>A0092021</v>
      </c>
      <c r="D15774" t="s">
        <v>72897</v>
      </c>
      <c r="E15774" t="s">
        <v>72898</v>
      </c>
      <c r="F15774" t="s">
        <v>997</v>
      </c>
      <c r="G15774" t="s">
        <v>99</v>
      </c>
      <c r="H15774">
        <v>10036</v>
      </c>
      <c r="I15774" t="s">
        <v>30</v>
      </c>
      <c r="J15774" t="s">
        <v>162</v>
      </c>
      <c r="K15774" t="s">
        <v>1845</v>
      </c>
      <c r="N15774" t="s">
        <v>72899</v>
      </c>
      <c r="O15774" t="s">
        <v>72900</v>
      </c>
      <c r="Q15774">
        <v>0</v>
      </c>
      <c r="R15774">
        <v>487</v>
      </c>
      <c r="S15774">
        <v>0</v>
      </c>
      <c r="T15774" t="s">
        <v>72901</v>
      </c>
    </row>
    <row r="15775" spans="1:20" customFormat="1" ht="15" x14ac:dyDescent="0.25">
      <c r="A15775" t="s">
        <v>24</v>
      </c>
      <c r="B15775" t="s">
        <v>13807</v>
      </c>
      <c r="C15775" t="str">
        <f>"A0166388"</f>
        <v>A0166388</v>
      </c>
      <c r="D15775" t="s">
        <v>54965</v>
      </c>
      <c r="E15775" t="s">
        <v>54966</v>
      </c>
      <c r="F15775" t="s">
        <v>12341</v>
      </c>
      <c r="G15775" t="s">
        <v>52</v>
      </c>
      <c r="H15775">
        <v>75032</v>
      </c>
      <c r="I15775" t="s">
        <v>30</v>
      </c>
      <c r="J15775" t="s">
        <v>31</v>
      </c>
      <c r="K15775" t="s">
        <v>1196</v>
      </c>
      <c r="N15775" t="s">
        <v>54967</v>
      </c>
      <c r="O15775" t="s">
        <v>54968</v>
      </c>
      <c r="Q15775">
        <v>0</v>
      </c>
      <c r="R15775">
        <v>98</v>
      </c>
      <c r="S15775">
        <v>0</v>
      </c>
      <c r="T15775" t="s">
        <v>54969</v>
      </c>
    </row>
    <row r="15776" spans="1:20" customFormat="1" ht="15" x14ac:dyDescent="0.25">
      <c r="A15776" t="s">
        <v>24</v>
      </c>
      <c r="B15776" t="s">
        <v>2011</v>
      </c>
      <c r="C15776" t="str">
        <f>"A0098169"</f>
        <v>A0098169</v>
      </c>
      <c r="D15776" t="s">
        <v>72902</v>
      </c>
      <c r="E15776" t="s">
        <v>72903</v>
      </c>
      <c r="F15776" t="s">
        <v>13767</v>
      </c>
      <c r="G15776" t="s">
        <v>4815</v>
      </c>
      <c r="H15776">
        <v>96815</v>
      </c>
      <c r="I15776" t="s">
        <v>30</v>
      </c>
      <c r="J15776" t="s">
        <v>162</v>
      </c>
      <c r="K15776" t="s">
        <v>1845</v>
      </c>
      <c r="N15776" t="s">
        <v>72904</v>
      </c>
      <c r="O15776" t="s">
        <v>72905</v>
      </c>
      <c r="Q15776">
        <v>0</v>
      </c>
      <c r="R15776">
        <v>230</v>
      </c>
      <c r="S15776">
        <v>0</v>
      </c>
      <c r="T15776" t="s">
        <v>72906</v>
      </c>
    </row>
    <row r="15777" spans="1:25" customFormat="1" ht="15" x14ac:dyDescent="0.25">
      <c r="A15777" t="s">
        <v>24</v>
      </c>
      <c r="B15777" t="s">
        <v>2011</v>
      </c>
      <c r="C15777" t="str">
        <f>"HY09724"</f>
        <v>HY09724</v>
      </c>
      <c r="D15777" t="s">
        <v>72911</v>
      </c>
      <c r="E15777" t="s">
        <v>72912</v>
      </c>
      <c r="F15777" t="s">
        <v>997</v>
      </c>
      <c r="G15777" t="s">
        <v>99</v>
      </c>
      <c r="H15777">
        <v>10017</v>
      </c>
      <c r="I15777" t="s">
        <v>30</v>
      </c>
      <c r="J15777" t="s">
        <v>162</v>
      </c>
      <c r="K15777" t="s">
        <v>72841</v>
      </c>
      <c r="N15777" t="s">
        <v>72913</v>
      </c>
      <c r="O15777" t="s">
        <v>72914</v>
      </c>
      <c r="Q15777">
        <v>0</v>
      </c>
      <c r="R15777">
        <v>1303</v>
      </c>
      <c r="S15777">
        <v>0</v>
      </c>
      <c r="T15777" t="s">
        <v>72915</v>
      </c>
    </row>
    <row r="15778" spans="1:25" customFormat="1" ht="15" x14ac:dyDescent="0.25">
      <c r="A15778" t="s">
        <v>24</v>
      </c>
      <c r="B15778" t="s">
        <v>54980</v>
      </c>
      <c r="C15778" t="str">
        <f>"A0051949"</f>
        <v>A0051949</v>
      </c>
      <c r="D15778" t="s">
        <v>54981</v>
      </c>
      <c r="E15778" t="s">
        <v>54982</v>
      </c>
      <c r="F15778" t="s">
        <v>13716</v>
      </c>
      <c r="G15778" t="s">
        <v>65</v>
      </c>
      <c r="H15778">
        <v>45243</v>
      </c>
      <c r="I15778" t="s">
        <v>30</v>
      </c>
      <c r="J15778" t="s">
        <v>178</v>
      </c>
      <c r="K15778" t="s">
        <v>179</v>
      </c>
      <c r="N15778" t="s">
        <v>54983</v>
      </c>
      <c r="O15778" t="s">
        <v>54984</v>
      </c>
      <c r="Q15778">
        <v>0</v>
      </c>
      <c r="R15778">
        <v>36</v>
      </c>
      <c r="S15778">
        <v>0</v>
      </c>
      <c r="T15778" t="s">
        <v>54985</v>
      </c>
    </row>
    <row r="15779" spans="1:25" customFormat="1" ht="15" x14ac:dyDescent="0.25">
      <c r="A15779" t="s">
        <v>24</v>
      </c>
      <c r="B15779" t="s">
        <v>54986</v>
      </c>
      <c r="C15779" t="str">
        <f>"A0158105"</f>
        <v>A0158105</v>
      </c>
      <c r="D15779" t="s">
        <v>54987</v>
      </c>
      <c r="E15779" t="s">
        <v>54988</v>
      </c>
      <c r="F15779" t="s">
        <v>54989</v>
      </c>
      <c r="G15779" t="s">
        <v>103</v>
      </c>
      <c r="H15779">
        <v>18015</v>
      </c>
      <c r="I15779" t="s">
        <v>30</v>
      </c>
      <c r="J15779" t="s">
        <v>31</v>
      </c>
      <c r="K15779" t="s">
        <v>163</v>
      </c>
      <c r="N15779" t="s">
        <v>54990</v>
      </c>
      <c r="Q15779">
        <v>0</v>
      </c>
      <c r="R15779">
        <v>22</v>
      </c>
      <c r="S15779">
        <v>0</v>
      </c>
      <c r="T15779" t="s">
        <v>54991</v>
      </c>
    </row>
    <row r="15780" spans="1:25" customFormat="1" ht="15" x14ac:dyDescent="0.25">
      <c r="A15780" t="s">
        <v>24</v>
      </c>
      <c r="B15780" t="s">
        <v>1548</v>
      </c>
      <c r="C15780" t="str">
        <f>"A0093969"</f>
        <v>A0093969</v>
      </c>
      <c r="D15780" t="s">
        <v>72919</v>
      </c>
      <c r="E15780" t="s">
        <v>72920</v>
      </c>
      <c r="F15780" t="s">
        <v>997</v>
      </c>
      <c r="G15780" t="s">
        <v>99</v>
      </c>
      <c r="H15780">
        <v>10001</v>
      </c>
      <c r="I15780" t="s">
        <v>30</v>
      </c>
      <c r="J15780" t="s">
        <v>162</v>
      </c>
      <c r="K15780" t="s">
        <v>72841</v>
      </c>
      <c r="N15780" t="s">
        <v>72921</v>
      </c>
      <c r="O15780" t="s">
        <v>72922</v>
      </c>
      <c r="Q15780">
        <v>0</v>
      </c>
      <c r="R15780">
        <v>122</v>
      </c>
      <c r="S15780">
        <v>0</v>
      </c>
      <c r="T15780" t="s">
        <v>72923</v>
      </c>
    </row>
    <row r="15781" spans="1:25" customFormat="1" ht="15" x14ac:dyDescent="0.25">
      <c r="A15781" t="s">
        <v>24</v>
      </c>
      <c r="B15781" t="s">
        <v>814</v>
      </c>
      <c r="C15781" t="str">
        <f>"HY09848"</f>
        <v>HY09848</v>
      </c>
      <c r="D15781" t="s">
        <v>73126</v>
      </c>
      <c r="E15781" t="s">
        <v>73127</v>
      </c>
      <c r="F15781" t="s">
        <v>9072</v>
      </c>
      <c r="G15781" t="s">
        <v>289</v>
      </c>
      <c r="H15781">
        <v>60523</v>
      </c>
      <c r="I15781" t="s">
        <v>30</v>
      </c>
      <c r="J15781" t="s">
        <v>162</v>
      </c>
      <c r="K15781" t="s">
        <v>72841</v>
      </c>
      <c r="N15781" t="s">
        <v>73128</v>
      </c>
      <c r="Q15781">
        <v>0</v>
      </c>
      <c r="R15781">
        <v>218</v>
      </c>
      <c r="S15781">
        <v>0</v>
      </c>
      <c r="T15781" t="s">
        <v>73129</v>
      </c>
    </row>
    <row r="15782" spans="1:25" customFormat="1" ht="15" x14ac:dyDescent="0.25">
      <c r="A15782" t="s">
        <v>24</v>
      </c>
      <c r="B15782" t="s">
        <v>10398</v>
      </c>
      <c r="C15782" t="str">
        <f>"HY09610"</f>
        <v>HY09610</v>
      </c>
      <c r="D15782" t="s">
        <v>73139</v>
      </c>
      <c r="E15782" t="s">
        <v>73140</v>
      </c>
      <c r="F15782" t="s">
        <v>7063</v>
      </c>
      <c r="G15782" t="s">
        <v>110</v>
      </c>
      <c r="H15782">
        <v>92262</v>
      </c>
      <c r="I15782" t="s">
        <v>30</v>
      </c>
      <c r="J15782" t="s">
        <v>162</v>
      </c>
      <c r="K15782" t="s">
        <v>72841</v>
      </c>
      <c r="N15782" t="s">
        <v>73141</v>
      </c>
      <c r="O15782" t="s">
        <v>73142</v>
      </c>
      <c r="P15782" t="s">
        <v>6426</v>
      </c>
      <c r="Q15782">
        <v>0</v>
      </c>
      <c r="R15782">
        <v>192</v>
      </c>
      <c r="S15782">
        <v>0</v>
      </c>
      <c r="T15782" t="s">
        <v>73143</v>
      </c>
    </row>
    <row r="15783" spans="1:25" customFormat="1" ht="15" x14ac:dyDescent="0.25">
      <c r="A15783" t="s">
        <v>24</v>
      </c>
      <c r="B15783" t="s">
        <v>140</v>
      </c>
      <c r="C15783" t="str">
        <f>"88HM115"</f>
        <v>88HM115</v>
      </c>
      <c r="D15783" t="s">
        <v>55005</v>
      </c>
      <c r="E15783" t="s">
        <v>55006</v>
      </c>
      <c r="F15783" t="s">
        <v>5518</v>
      </c>
      <c r="G15783" t="s">
        <v>190</v>
      </c>
      <c r="H15783">
        <v>80246</v>
      </c>
      <c r="I15783" t="s">
        <v>30</v>
      </c>
      <c r="J15783" t="s">
        <v>31</v>
      </c>
      <c r="K15783" t="s">
        <v>198</v>
      </c>
      <c r="N15783" t="s">
        <v>55007</v>
      </c>
      <c r="Q15783">
        <v>0</v>
      </c>
      <c r="R15783">
        <v>133</v>
      </c>
      <c r="S15783">
        <v>0</v>
      </c>
      <c r="T15783" t="s">
        <v>55008</v>
      </c>
    </row>
    <row r="15784" spans="1:25" customFormat="1" ht="15" x14ac:dyDescent="0.25">
      <c r="A15784" t="s">
        <v>24</v>
      </c>
      <c r="B15784" t="s">
        <v>2011</v>
      </c>
      <c r="C15784" t="str">
        <f>"HY09023"</f>
        <v>HY09023</v>
      </c>
      <c r="D15784" t="s">
        <v>73787</v>
      </c>
      <c r="E15784" t="s">
        <v>73788</v>
      </c>
      <c r="F15784" t="s">
        <v>845</v>
      </c>
      <c r="G15784" t="s">
        <v>846</v>
      </c>
      <c r="H15784">
        <v>30303</v>
      </c>
      <c r="I15784" t="s">
        <v>30</v>
      </c>
      <c r="J15784" t="s">
        <v>162</v>
      </c>
      <c r="K15784" t="s">
        <v>7598</v>
      </c>
      <c r="N15784" t="s">
        <v>66956</v>
      </c>
      <c r="O15784" t="s">
        <v>57788</v>
      </c>
      <c r="P15784" t="s">
        <v>6426</v>
      </c>
      <c r="Q15784">
        <v>0</v>
      </c>
      <c r="R15784">
        <v>1264</v>
      </c>
      <c r="S15784">
        <v>0</v>
      </c>
      <c r="T15784" t="s">
        <v>73789</v>
      </c>
    </row>
    <row r="15785" spans="1:25" customFormat="1" ht="15" x14ac:dyDescent="0.25">
      <c r="A15785" t="s">
        <v>24</v>
      </c>
      <c r="B15785" t="s">
        <v>7230</v>
      </c>
      <c r="C15785" t="str">
        <f>"A0063018"</f>
        <v>A0063018</v>
      </c>
      <c r="D15785" t="s">
        <v>55014</v>
      </c>
      <c r="E15785" t="s">
        <v>55015</v>
      </c>
      <c r="F15785" t="s">
        <v>15239</v>
      </c>
      <c r="G15785" t="s">
        <v>190</v>
      </c>
      <c r="H15785">
        <v>80228</v>
      </c>
      <c r="I15785" t="s">
        <v>30</v>
      </c>
      <c r="J15785" t="s">
        <v>31</v>
      </c>
      <c r="K15785" t="s">
        <v>198</v>
      </c>
      <c r="N15785" t="s">
        <v>55016</v>
      </c>
      <c r="O15785" t="s">
        <v>55017</v>
      </c>
      <c r="Q15785">
        <v>0</v>
      </c>
      <c r="R15785">
        <v>170</v>
      </c>
      <c r="S15785">
        <v>0</v>
      </c>
      <c r="T15785" t="s">
        <v>55018</v>
      </c>
    </row>
    <row r="15786" spans="1:25" customFormat="1" ht="15" x14ac:dyDescent="0.25">
      <c r="A15786" t="s">
        <v>24</v>
      </c>
      <c r="B15786" t="s">
        <v>55019</v>
      </c>
      <c r="C15786" t="str">
        <f>"A0051175"</f>
        <v>A0051175</v>
      </c>
      <c r="D15786" t="s">
        <v>55020</v>
      </c>
      <c r="E15786" t="s">
        <v>55021</v>
      </c>
      <c r="F15786" t="s">
        <v>55022</v>
      </c>
      <c r="G15786" t="s">
        <v>110</v>
      </c>
      <c r="H15786">
        <v>94556</v>
      </c>
      <c r="I15786" t="s">
        <v>30</v>
      </c>
      <c r="J15786" t="s">
        <v>178</v>
      </c>
      <c r="K15786" t="s">
        <v>179</v>
      </c>
      <c r="N15786" t="s">
        <v>55023</v>
      </c>
      <c r="Q15786">
        <v>0</v>
      </c>
      <c r="R15786">
        <v>18</v>
      </c>
      <c r="S15786">
        <v>0</v>
      </c>
      <c r="T15786" t="s">
        <v>55024</v>
      </c>
    </row>
    <row r="15787" spans="1:25" customFormat="1" ht="15" x14ac:dyDescent="0.25">
      <c r="A15787" t="s">
        <v>24</v>
      </c>
      <c r="B15787" t="s">
        <v>11506</v>
      </c>
      <c r="C15787" t="str">
        <f>"A0095758"</f>
        <v>A0095758</v>
      </c>
      <c r="D15787" t="s">
        <v>73790</v>
      </c>
      <c r="E15787" t="s">
        <v>73791</v>
      </c>
      <c r="F15787" t="s">
        <v>33094</v>
      </c>
      <c r="G15787" t="s">
        <v>190</v>
      </c>
      <c r="H15787">
        <v>80011</v>
      </c>
      <c r="I15787" t="s">
        <v>30</v>
      </c>
      <c r="J15787" t="s">
        <v>162</v>
      </c>
      <c r="K15787" t="s">
        <v>7598</v>
      </c>
      <c r="N15787" t="s">
        <v>73792</v>
      </c>
      <c r="O15787" t="s">
        <v>73793</v>
      </c>
      <c r="Q15787">
        <v>0</v>
      </c>
      <c r="R15787">
        <v>249</v>
      </c>
      <c r="S15787">
        <v>0</v>
      </c>
      <c r="T15787" t="s">
        <v>73794</v>
      </c>
    </row>
    <row r="15788" spans="1:25" customFormat="1" ht="15" x14ac:dyDescent="0.25">
      <c r="A15788" t="s">
        <v>24</v>
      </c>
      <c r="B15788" t="s">
        <v>2011</v>
      </c>
      <c r="C15788" t="str">
        <f>"HY09738"</f>
        <v>HY09738</v>
      </c>
      <c r="D15788" t="s">
        <v>73795</v>
      </c>
      <c r="E15788" t="s">
        <v>73796</v>
      </c>
      <c r="F15788" t="s">
        <v>372</v>
      </c>
      <c r="G15788" t="s">
        <v>52</v>
      </c>
      <c r="H15788">
        <v>78704</v>
      </c>
      <c r="I15788" t="s">
        <v>30</v>
      </c>
      <c r="J15788" t="s">
        <v>162</v>
      </c>
      <c r="K15788" t="s">
        <v>7598</v>
      </c>
      <c r="N15788" t="s">
        <v>73797</v>
      </c>
      <c r="Q15788">
        <v>0</v>
      </c>
      <c r="R15788">
        <v>448</v>
      </c>
      <c r="S15788">
        <v>0</v>
      </c>
      <c r="T15788" t="s">
        <v>73798</v>
      </c>
    </row>
    <row r="15789" spans="1:25" customFormat="1" ht="15" x14ac:dyDescent="0.25">
      <c r="A15789" t="s">
        <v>24</v>
      </c>
      <c r="B15789" t="s">
        <v>2011</v>
      </c>
      <c r="C15789" t="str">
        <f>"HY09736"</f>
        <v>HY09736</v>
      </c>
      <c r="D15789" t="s">
        <v>73799</v>
      </c>
      <c r="E15789" t="s">
        <v>73800</v>
      </c>
      <c r="F15789" t="s">
        <v>7455</v>
      </c>
      <c r="G15789" t="s">
        <v>123</v>
      </c>
      <c r="H15789">
        <v>21202</v>
      </c>
      <c r="I15789" t="s">
        <v>30</v>
      </c>
      <c r="J15789" t="s">
        <v>162</v>
      </c>
      <c r="K15789" t="s">
        <v>7598</v>
      </c>
      <c r="N15789" t="s">
        <v>56222</v>
      </c>
      <c r="O15789" t="s">
        <v>73801</v>
      </c>
      <c r="P15789" t="s">
        <v>6426</v>
      </c>
      <c r="Q15789">
        <v>0</v>
      </c>
      <c r="R15789">
        <v>486</v>
      </c>
      <c r="S15789">
        <v>0</v>
      </c>
      <c r="T15789" t="s">
        <v>73802</v>
      </c>
    </row>
    <row r="15790" spans="1:25" customFormat="1" ht="15" hidden="1" x14ac:dyDescent="0.25">
      <c r="A15790" t="s">
        <v>24</v>
      </c>
      <c r="B15790" t="s">
        <v>193</v>
      </c>
      <c r="C15790" t="str">
        <f>"A0093801"</f>
        <v>A0093801</v>
      </c>
      <c r="D15790" t="s">
        <v>55036</v>
      </c>
      <c r="E15790" t="s">
        <v>55037</v>
      </c>
      <c r="F15790" t="s">
        <v>55038</v>
      </c>
      <c r="G15790" t="s">
        <v>1457</v>
      </c>
      <c r="H15790" t="s">
        <v>55039</v>
      </c>
      <c r="I15790" t="s">
        <v>1459</v>
      </c>
      <c r="J15790" t="s">
        <v>145</v>
      </c>
      <c r="K15790" t="s">
        <v>55040</v>
      </c>
      <c r="Q15790">
        <v>0</v>
      </c>
      <c r="R15790">
        <v>99</v>
      </c>
      <c r="S15790">
        <v>0</v>
      </c>
      <c r="T15790" t="s">
        <v>55041</v>
      </c>
    </row>
    <row r="15791" spans="1:25" x14ac:dyDescent="0.25">
      <c r="A15791" s="5" t="s">
        <v>24</v>
      </c>
      <c r="B15791" s="5" t="s">
        <v>2011</v>
      </c>
      <c r="C15791" s="5" t="str">
        <f>"HY09788"</f>
        <v>HY09788</v>
      </c>
      <c r="D15791" s="5" t="s">
        <v>73803</v>
      </c>
      <c r="E15791" s="5" t="s">
        <v>73804</v>
      </c>
      <c r="F15791" s="5" t="s">
        <v>14497</v>
      </c>
      <c r="G15791" s="5" t="s">
        <v>76</v>
      </c>
      <c r="H15791" s="5">
        <v>98004</v>
      </c>
      <c r="I15791" s="5" t="s">
        <v>30</v>
      </c>
      <c r="J15791" s="5" t="s">
        <v>162</v>
      </c>
      <c r="K15791" s="5" t="s">
        <v>7598</v>
      </c>
      <c r="L15791" s="5"/>
      <c r="M15791" s="5"/>
      <c r="N15791" s="5" t="s">
        <v>73805</v>
      </c>
      <c r="O15791" s="5" t="s">
        <v>57612</v>
      </c>
      <c r="P15791" s="5" t="s">
        <v>6426</v>
      </c>
      <c r="Q15791" s="5">
        <v>0</v>
      </c>
      <c r="R15791" s="5">
        <v>382</v>
      </c>
      <c r="S15791" s="5">
        <v>0</v>
      </c>
      <c r="T15791" s="5" t="s">
        <v>73806</v>
      </c>
      <c r="U15791" s="5"/>
      <c r="V15791" s="5"/>
      <c r="W15791" s="5"/>
      <c r="X15791" s="5"/>
      <c r="Y15791" s="5"/>
    </row>
    <row r="15792" spans="1:25" customFormat="1" ht="15" x14ac:dyDescent="0.25">
      <c r="A15792" t="s">
        <v>24</v>
      </c>
      <c r="B15792" t="s">
        <v>814</v>
      </c>
      <c r="C15792" t="str">
        <f>"A0064170"</f>
        <v>A0064170</v>
      </c>
      <c r="D15792" t="s">
        <v>73807</v>
      </c>
      <c r="E15792" t="s">
        <v>73808</v>
      </c>
      <c r="F15792" t="s">
        <v>5706</v>
      </c>
      <c r="G15792" t="s">
        <v>1706</v>
      </c>
      <c r="H15792">
        <v>35244</v>
      </c>
      <c r="I15792" t="s">
        <v>30</v>
      </c>
      <c r="J15792" t="s">
        <v>162</v>
      </c>
      <c r="K15792" t="s">
        <v>7598</v>
      </c>
      <c r="N15792" t="s">
        <v>73809</v>
      </c>
      <c r="Q15792">
        <v>0</v>
      </c>
      <c r="R15792">
        <v>329</v>
      </c>
      <c r="S15792">
        <v>0</v>
      </c>
      <c r="T15792" t="s">
        <v>73810</v>
      </c>
    </row>
    <row r="15793" spans="1:25" customFormat="1" ht="15" x14ac:dyDescent="0.25">
      <c r="A15793" t="s">
        <v>24</v>
      </c>
      <c r="B15793" t="s">
        <v>2011</v>
      </c>
      <c r="C15793" t="str">
        <f>"A0059516"</f>
        <v>A0059516</v>
      </c>
      <c r="D15793" t="s">
        <v>73811</v>
      </c>
      <c r="E15793" t="s">
        <v>73812</v>
      </c>
      <c r="F15793" t="s">
        <v>1208</v>
      </c>
      <c r="G15793" t="s">
        <v>899</v>
      </c>
      <c r="H15793">
        <v>2111</v>
      </c>
      <c r="I15793" t="s">
        <v>30</v>
      </c>
      <c r="J15793" t="s">
        <v>162</v>
      </c>
      <c r="K15793" t="s">
        <v>7598</v>
      </c>
      <c r="N15793" t="s">
        <v>73813</v>
      </c>
      <c r="O15793" t="s">
        <v>73814</v>
      </c>
      <c r="Q15793">
        <v>0</v>
      </c>
      <c r="R15793">
        <v>502</v>
      </c>
      <c r="S15793">
        <v>0</v>
      </c>
      <c r="T15793" t="s">
        <v>73815</v>
      </c>
    </row>
    <row r="15794" spans="1:25" customFormat="1" ht="15" x14ac:dyDescent="0.25">
      <c r="A15794" t="s">
        <v>24</v>
      </c>
      <c r="B15794" t="s">
        <v>11484</v>
      </c>
      <c r="C15794" t="str">
        <f>"A0149176"</f>
        <v>A0149176</v>
      </c>
      <c r="D15794" t="s">
        <v>55060</v>
      </c>
      <c r="E15794" t="s">
        <v>55061</v>
      </c>
      <c r="F15794" t="s">
        <v>55062</v>
      </c>
      <c r="G15794" t="s">
        <v>1170</v>
      </c>
      <c r="H15794">
        <v>70112</v>
      </c>
      <c r="I15794" t="s">
        <v>30</v>
      </c>
      <c r="J15794" t="s">
        <v>191</v>
      </c>
      <c r="K15794" t="s">
        <v>11889</v>
      </c>
      <c r="N15794" t="s">
        <v>12821</v>
      </c>
      <c r="Q15794">
        <v>0</v>
      </c>
      <c r="R15794">
        <v>0</v>
      </c>
      <c r="S15794">
        <v>0</v>
      </c>
      <c r="T15794" t="s">
        <v>55063</v>
      </c>
    </row>
    <row r="15795" spans="1:25" customFormat="1" ht="15" x14ac:dyDescent="0.25">
      <c r="A15795" t="s">
        <v>24</v>
      </c>
      <c r="B15795" t="s">
        <v>2011</v>
      </c>
      <c r="C15795" t="str">
        <f>"HY09614"</f>
        <v>HY09614</v>
      </c>
      <c r="D15795" t="s">
        <v>73816</v>
      </c>
      <c r="E15795" t="s">
        <v>73817</v>
      </c>
      <c r="F15795" t="s">
        <v>1208</v>
      </c>
      <c r="G15795" t="s">
        <v>899</v>
      </c>
      <c r="H15795">
        <v>2128</v>
      </c>
      <c r="I15795" t="s">
        <v>30</v>
      </c>
      <c r="J15795" t="s">
        <v>162</v>
      </c>
      <c r="K15795" t="s">
        <v>7598</v>
      </c>
      <c r="N15795" t="s">
        <v>54076</v>
      </c>
      <c r="O15795" t="s">
        <v>73818</v>
      </c>
      <c r="Q15795">
        <v>0</v>
      </c>
      <c r="R15795">
        <v>270</v>
      </c>
      <c r="S15795">
        <v>0</v>
      </c>
      <c r="T15795" t="s">
        <v>73819</v>
      </c>
    </row>
    <row r="15796" spans="1:25" x14ac:dyDescent="0.25">
      <c r="A15796" s="5" t="s">
        <v>24</v>
      </c>
      <c r="B15796" s="5" t="s">
        <v>814</v>
      </c>
      <c r="C15796" s="5" t="str">
        <f>"HY09037"</f>
        <v>HY09037</v>
      </c>
      <c r="D15796" s="5" t="s">
        <v>73827</v>
      </c>
      <c r="E15796" s="5" t="s">
        <v>73828</v>
      </c>
      <c r="F15796" s="5" t="s">
        <v>57308</v>
      </c>
      <c r="G15796" s="5" t="s">
        <v>899</v>
      </c>
      <c r="H15796" s="5">
        <v>2139</v>
      </c>
      <c r="I15796" s="5" t="s">
        <v>30</v>
      </c>
      <c r="J15796" s="5" t="s">
        <v>162</v>
      </c>
      <c r="K15796" s="5" t="s">
        <v>7598</v>
      </c>
      <c r="L15796" s="5"/>
      <c r="M15796" s="5"/>
      <c r="N15796" s="5" t="s">
        <v>3486</v>
      </c>
      <c r="O15796" s="5" t="s">
        <v>73829</v>
      </c>
      <c r="P15796" s="5" t="s">
        <v>6426</v>
      </c>
      <c r="Q15796" s="5">
        <v>0</v>
      </c>
      <c r="R15796" s="5">
        <v>470</v>
      </c>
      <c r="S15796" s="5">
        <v>0</v>
      </c>
      <c r="T15796" s="5" t="s">
        <v>73830</v>
      </c>
      <c r="U15796" s="5"/>
      <c r="V15796" s="5"/>
      <c r="W15796" s="5"/>
      <c r="X15796" s="5"/>
      <c r="Y15796" s="5"/>
    </row>
    <row r="15797" spans="1:25" hidden="1" x14ac:dyDescent="0.25">
      <c r="A15797" s="3" t="s">
        <v>24</v>
      </c>
      <c r="B15797" s="3" t="s">
        <v>55072</v>
      </c>
      <c r="C15797" s="3" t="str">
        <f>"A0165891"</f>
        <v>A0165891</v>
      </c>
      <c r="D15797" s="3" t="s">
        <v>55073</v>
      </c>
      <c r="E15797" s="3" t="s">
        <v>55074</v>
      </c>
      <c r="F15797" s="3" t="s">
        <v>5332</v>
      </c>
      <c r="G15797" s="3" t="s">
        <v>2407</v>
      </c>
      <c r="H15797" s="3">
        <v>23400</v>
      </c>
      <c r="I15797" s="3" t="s">
        <v>2408</v>
      </c>
      <c r="J15797" s="3" t="s">
        <v>206</v>
      </c>
      <c r="K15797" s="3" t="s">
        <v>163</v>
      </c>
      <c r="N15797" s="3" t="s">
        <v>55075</v>
      </c>
      <c r="O15797" s="3" t="s">
        <v>55076</v>
      </c>
      <c r="Q15797" s="3">
        <v>0</v>
      </c>
      <c r="R15797" s="3">
        <v>173</v>
      </c>
      <c r="S15797" s="3">
        <v>0</v>
      </c>
      <c r="T15797" s="3" t="s">
        <v>55077</v>
      </c>
    </row>
    <row r="15798" spans="1:25" customFormat="1" ht="15" x14ac:dyDescent="0.25">
      <c r="A15798" t="s">
        <v>24</v>
      </c>
      <c r="B15798" t="s">
        <v>2011</v>
      </c>
      <c r="C15798" t="str">
        <f>"HY05951"</f>
        <v>HY05951</v>
      </c>
      <c r="D15798" t="s">
        <v>73831</v>
      </c>
      <c r="E15798" t="s">
        <v>73832</v>
      </c>
      <c r="F15798" t="s">
        <v>57308</v>
      </c>
      <c r="G15798" t="s">
        <v>123</v>
      </c>
      <c r="H15798">
        <v>21613</v>
      </c>
      <c r="I15798" t="s">
        <v>30</v>
      </c>
      <c r="J15798" t="s">
        <v>162</v>
      </c>
      <c r="K15798" t="s">
        <v>7598</v>
      </c>
      <c r="N15798" t="s">
        <v>73833</v>
      </c>
      <c r="O15798" t="s">
        <v>73834</v>
      </c>
      <c r="P15798" t="s">
        <v>992</v>
      </c>
      <c r="Q15798">
        <v>2</v>
      </c>
      <c r="R15798">
        <v>400</v>
      </c>
      <c r="S15798">
        <v>0</v>
      </c>
      <c r="T15798" t="s">
        <v>73835</v>
      </c>
    </row>
    <row r="15799" spans="1:25" customFormat="1" ht="15" x14ac:dyDescent="0.25">
      <c r="A15799" t="s">
        <v>24</v>
      </c>
      <c r="B15799" t="s">
        <v>2011</v>
      </c>
      <c r="C15799" t="str">
        <f>"HY09711"</f>
        <v>HY09711</v>
      </c>
      <c r="D15799" t="s">
        <v>73836</v>
      </c>
      <c r="E15799" t="s">
        <v>73837</v>
      </c>
      <c r="F15799" t="s">
        <v>716</v>
      </c>
      <c r="G15799" t="s">
        <v>289</v>
      </c>
      <c r="H15799">
        <v>60601</v>
      </c>
      <c r="I15799" t="s">
        <v>30</v>
      </c>
      <c r="J15799" t="s">
        <v>162</v>
      </c>
      <c r="K15799" t="s">
        <v>7598</v>
      </c>
      <c r="N15799" t="s">
        <v>73838</v>
      </c>
      <c r="O15799" t="s">
        <v>73839</v>
      </c>
      <c r="Q15799">
        <v>0</v>
      </c>
      <c r="R15799">
        <v>2019</v>
      </c>
      <c r="S15799">
        <v>0</v>
      </c>
      <c r="T15799" t="s">
        <v>73840</v>
      </c>
    </row>
    <row r="15800" spans="1:25" customFormat="1" ht="15" x14ac:dyDescent="0.25">
      <c r="A15800" t="s">
        <v>24</v>
      </c>
      <c r="B15800" t="s">
        <v>814</v>
      </c>
      <c r="C15800" t="str">
        <f>"HY09762"</f>
        <v>HY09762</v>
      </c>
      <c r="D15800" t="s">
        <v>73841</v>
      </c>
      <c r="E15800" t="s">
        <v>73842</v>
      </c>
      <c r="F15800" t="s">
        <v>13716</v>
      </c>
      <c r="G15800" t="s">
        <v>65</v>
      </c>
      <c r="H15800">
        <v>45202</v>
      </c>
      <c r="I15800" t="s">
        <v>30</v>
      </c>
      <c r="J15800" t="s">
        <v>162</v>
      </c>
      <c r="K15800" t="s">
        <v>7598</v>
      </c>
      <c r="N15800" t="s">
        <v>73843</v>
      </c>
      <c r="O15800" t="s">
        <v>73844</v>
      </c>
      <c r="P15800" t="s">
        <v>6426</v>
      </c>
      <c r="Q15800">
        <v>0</v>
      </c>
      <c r="R15800">
        <v>486</v>
      </c>
      <c r="S15800">
        <v>0</v>
      </c>
      <c r="T15800" t="s">
        <v>73845</v>
      </c>
    </row>
    <row r="15801" spans="1:25" customFormat="1" ht="15" x14ac:dyDescent="0.25">
      <c r="A15801" t="s">
        <v>24</v>
      </c>
      <c r="B15801" t="s">
        <v>2011</v>
      </c>
      <c r="C15801" t="str">
        <f>"A0088065"</f>
        <v>A0088065</v>
      </c>
      <c r="D15801" t="s">
        <v>73846</v>
      </c>
      <c r="E15801" t="s">
        <v>73847</v>
      </c>
      <c r="F15801" t="s">
        <v>7699</v>
      </c>
      <c r="G15801" t="s">
        <v>81</v>
      </c>
      <c r="H15801">
        <v>33767</v>
      </c>
      <c r="I15801" t="s">
        <v>30</v>
      </c>
      <c r="J15801" t="s">
        <v>162</v>
      </c>
      <c r="K15801" t="s">
        <v>7598</v>
      </c>
      <c r="N15801" t="s">
        <v>66956</v>
      </c>
      <c r="O15801" t="s">
        <v>73848</v>
      </c>
      <c r="Q15801">
        <v>0</v>
      </c>
      <c r="R15801">
        <v>287</v>
      </c>
      <c r="S15801">
        <v>0</v>
      </c>
      <c r="T15801" t="s">
        <v>73849</v>
      </c>
    </row>
    <row r="15802" spans="1:25" customFormat="1" ht="15" x14ac:dyDescent="0.25">
      <c r="A15802" t="s">
        <v>24</v>
      </c>
      <c r="B15802" t="s">
        <v>2011</v>
      </c>
      <c r="C15802" t="str">
        <f>"HY09067"</f>
        <v>HY09067</v>
      </c>
      <c r="D15802" t="s">
        <v>73850</v>
      </c>
      <c r="E15802" t="s">
        <v>73851</v>
      </c>
      <c r="F15802" t="s">
        <v>6883</v>
      </c>
      <c r="G15802" t="s">
        <v>65</v>
      </c>
      <c r="H15802">
        <v>44114</v>
      </c>
      <c r="I15802" t="s">
        <v>30</v>
      </c>
      <c r="J15802" t="s">
        <v>162</v>
      </c>
      <c r="K15802" t="s">
        <v>7598</v>
      </c>
      <c r="N15802" t="s">
        <v>73852</v>
      </c>
      <c r="Q15802">
        <v>0</v>
      </c>
      <c r="R15802">
        <v>296</v>
      </c>
      <c r="S15802">
        <v>0</v>
      </c>
      <c r="T15802" t="s">
        <v>73853</v>
      </c>
    </row>
    <row r="15803" spans="1:25" customFormat="1" ht="15" x14ac:dyDescent="0.25">
      <c r="A15803" t="s">
        <v>24</v>
      </c>
      <c r="B15803" t="s">
        <v>1317</v>
      </c>
      <c r="C15803" t="str">
        <f>"A0158276"</f>
        <v>A0158276</v>
      </c>
      <c r="D15803" t="s">
        <v>55098</v>
      </c>
      <c r="E15803" t="s">
        <v>55099</v>
      </c>
      <c r="F15803" t="s">
        <v>53690</v>
      </c>
      <c r="G15803" t="s">
        <v>110</v>
      </c>
      <c r="H15803">
        <v>93405</v>
      </c>
      <c r="I15803" t="s">
        <v>30</v>
      </c>
      <c r="J15803" t="s">
        <v>31</v>
      </c>
      <c r="K15803" t="s">
        <v>222</v>
      </c>
      <c r="N15803" t="s">
        <v>55100</v>
      </c>
      <c r="O15803" t="s">
        <v>5519</v>
      </c>
      <c r="Q15803">
        <v>0</v>
      </c>
      <c r="R15803">
        <v>113</v>
      </c>
      <c r="S15803">
        <v>0</v>
      </c>
      <c r="T15803" t="s">
        <v>55101</v>
      </c>
    </row>
    <row r="15804" spans="1:25" customFormat="1" ht="15" x14ac:dyDescent="0.25">
      <c r="A15804" t="s">
        <v>24</v>
      </c>
      <c r="B15804" t="s">
        <v>55102</v>
      </c>
      <c r="C15804" t="str">
        <f>"432TF"</f>
        <v>432TF</v>
      </c>
      <c r="D15804" t="s">
        <v>55103</v>
      </c>
      <c r="E15804" t="s">
        <v>55104</v>
      </c>
      <c r="F15804" t="s">
        <v>55105</v>
      </c>
      <c r="G15804" t="s">
        <v>117</v>
      </c>
      <c r="H15804">
        <v>49015</v>
      </c>
      <c r="I15804" t="s">
        <v>30</v>
      </c>
      <c r="J15804" t="s">
        <v>31</v>
      </c>
      <c r="K15804" t="s">
        <v>32</v>
      </c>
      <c r="N15804" t="s">
        <v>55106</v>
      </c>
      <c r="Q15804">
        <v>0</v>
      </c>
      <c r="R15804">
        <v>74</v>
      </c>
      <c r="S15804">
        <v>0</v>
      </c>
      <c r="T15804" t="s">
        <v>55107</v>
      </c>
    </row>
    <row r="15805" spans="1:25" customFormat="1" ht="15" x14ac:dyDescent="0.25">
      <c r="A15805" t="s">
        <v>24</v>
      </c>
      <c r="B15805" t="s">
        <v>2011</v>
      </c>
      <c r="C15805" t="str">
        <f>"HY09486"</f>
        <v>HY09486</v>
      </c>
      <c r="D15805" t="s">
        <v>73854</v>
      </c>
      <c r="E15805" t="s">
        <v>73855</v>
      </c>
      <c r="F15805" t="s">
        <v>62476</v>
      </c>
      <c r="G15805" t="s">
        <v>81</v>
      </c>
      <c r="H15805">
        <v>34134</v>
      </c>
      <c r="I15805" t="s">
        <v>30</v>
      </c>
      <c r="J15805" t="s">
        <v>162</v>
      </c>
      <c r="K15805" t="s">
        <v>7598</v>
      </c>
      <c r="N15805" t="s">
        <v>73856</v>
      </c>
      <c r="O15805" t="s">
        <v>73857</v>
      </c>
      <c r="P15805" t="s">
        <v>3998</v>
      </c>
      <c r="Q15805">
        <v>0</v>
      </c>
      <c r="R15805">
        <v>454</v>
      </c>
      <c r="S15805">
        <v>0</v>
      </c>
      <c r="T15805" t="s">
        <v>73858</v>
      </c>
    </row>
    <row r="15806" spans="1:25" customFormat="1" ht="15" x14ac:dyDescent="0.25">
      <c r="A15806" t="s">
        <v>24</v>
      </c>
      <c r="B15806" t="s">
        <v>2011</v>
      </c>
      <c r="C15806" t="str">
        <f>"HY09730"</f>
        <v>HY09730</v>
      </c>
      <c r="D15806" t="s">
        <v>73859</v>
      </c>
      <c r="E15806" t="s">
        <v>73860</v>
      </c>
      <c r="F15806" t="s">
        <v>1525</v>
      </c>
      <c r="G15806" t="s">
        <v>65</v>
      </c>
      <c r="H15806">
        <v>43215</v>
      </c>
      <c r="I15806" t="s">
        <v>30</v>
      </c>
      <c r="J15806" t="s">
        <v>162</v>
      </c>
      <c r="K15806" t="s">
        <v>7598</v>
      </c>
      <c r="N15806" t="s">
        <v>73861</v>
      </c>
      <c r="O15806" t="s">
        <v>73862</v>
      </c>
      <c r="P15806" t="s">
        <v>6426</v>
      </c>
      <c r="Q15806">
        <v>0</v>
      </c>
      <c r="R15806">
        <v>631</v>
      </c>
      <c r="S15806">
        <v>0</v>
      </c>
      <c r="T15806" t="s">
        <v>73863</v>
      </c>
    </row>
    <row r="15807" spans="1:25" customFormat="1" ht="15" x14ac:dyDescent="0.25">
      <c r="A15807" t="s">
        <v>24</v>
      </c>
      <c r="B15807" t="s">
        <v>2011</v>
      </c>
      <c r="C15807" t="str">
        <f>"HY09773"</f>
        <v>HY09773</v>
      </c>
      <c r="D15807" t="s">
        <v>73864</v>
      </c>
      <c r="E15807" t="s">
        <v>73865</v>
      </c>
      <c r="F15807" t="s">
        <v>6650</v>
      </c>
      <c r="G15807" t="s">
        <v>81</v>
      </c>
      <c r="H15807">
        <v>33134</v>
      </c>
      <c r="I15807" t="s">
        <v>30</v>
      </c>
      <c r="J15807" t="s">
        <v>162</v>
      </c>
      <c r="K15807" t="s">
        <v>7598</v>
      </c>
      <c r="N15807" t="s">
        <v>73866</v>
      </c>
      <c r="P15807" t="s">
        <v>6426</v>
      </c>
      <c r="Q15807">
        <v>0</v>
      </c>
      <c r="R15807">
        <v>242</v>
      </c>
      <c r="S15807">
        <v>0</v>
      </c>
      <c r="T15807" t="s">
        <v>73867</v>
      </c>
    </row>
    <row r="15808" spans="1:25" customFormat="1" ht="15" x14ac:dyDescent="0.25">
      <c r="A15808" t="s">
        <v>24</v>
      </c>
      <c r="B15808" t="s">
        <v>3367</v>
      </c>
      <c r="C15808" t="str">
        <f>"A0076107"</f>
        <v>A0076107</v>
      </c>
      <c r="D15808" t="s">
        <v>73868</v>
      </c>
      <c r="E15808" t="s">
        <v>73869</v>
      </c>
      <c r="F15808" t="s">
        <v>16619</v>
      </c>
      <c r="G15808" t="s">
        <v>1898</v>
      </c>
      <c r="H15808">
        <v>52241</v>
      </c>
      <c r="I15808" t="s">
        <v>30</v>
      </c>
      <c r="J15808" t="s">
        <v>162</v>
      </c>
      <c r="K15808" t="s">
        <v>7598</v>
      </c>
      <c r="N15808" t="s">
        <v>73870</v>
      </c>
      <c r="Q15808">
        <v>0</v>
      </c>
      <c r="R15808">
        <v>286</v>
      </c>
      <c r="S15808">
        <v>0</v>
      </c>
      <c r="T15808" t="s">
        <v>73871</v>
      </c>
    </row>
    <row r="15809" spans="1:20" customFormat="1" ht="15" x14ac:dyDescent="0.25">
      <c r="A15809" t="s">
        <v>24</v>
      </c>
      <c r="B15809" t="s">
        <v>55128</v>
      </c>
      <c r="C15809" t="str">
        <f>"A0166510"</f>
        <v>A0166510</v>
      </c>
      <c r="D15809" t="s">
        <v>55129</v>
      </c>
      <c r="E15809" t="s">
        <v>55130</v>
      </c>
      <c r="F15809" t="s">
        <v>5610</v>
      </c>
      <c r="G15809" t="s">
        <v>65</v>
      </c>
      <c r="H15809">
        <v>45050</v>
      </c>
      <c r="I15809" t="s">
        <v>30</v>
      </c>
      <c r="J15809" t="s">
        <v>31</v>
      </c>
      <c r="K15809" t="s">
        <v>1196</v>
      </c>
      <c r="N15809" t="s">
        <v>55131</v>
      </c>
      <c r="Q15809">
        <v>0</v>
      </c>
      <c r="R15809">
        <v>94</v>
      </c>
      <c r="S15809">
        <v>0</v>
      </c>
      <c r="T15809" t="s">
        <v>55132</v>
      </c>
    </row>
    <row r="15810" spans="1:20" customFormat="1" ht="15" x14ac:dyDescent="0.25">
      <c r="A15810" t="s">
        <v>24</v>
      </c>
      <c r="B15810" t="s">
        <v>2011</v>
      </c>
      <c r="C15810" t="str">
        <f>"HY09741"</f>
        <v>HY09741</v>
      </c>
      <c r="D15810" t="s">
        <v>73872</v>
      </c>
      <c r="E15810" t="s">
        <v>73873</v>
      </c>
      <c r="F15810" t="s">
        <v>1131</v>
      </c>
      <c r="G15810" t="s">
        <v>29</v>
      </c>
      <c r="H15810">
        <v>22202</v>
      </c>
      <c r="I15810" t="s">
        <v>30</v>
      </c>
      <c r="J15810" t="s">
        <v>162</v>
      </c>
      <c r="K15810" t="s">
        <v>7598</v>
      </c>
      <c r="N15810" t="s">
        <v>73874</v>
      </c>
      <c r="P15810" t="s">
        <v>6426</v>
      </c>
      <c r="Q15810">
        <v>0</v>
      </c>
      <c r="R15810">
        <v>685</v>
      </c>
      <c r="S15810">
        <v>0</v>
      </c>
      <c r="T15810" t="s">
        <v>73875</v>
      </c>
    </row>
    <row r="15811" spans="1:20" customFormat="1" ht="15" x14ac:dyDescent="0.25">
      <c r="A15811" t="s">
        <v>24</v>
      </c>
      <c r="B15811" t="s">
        <v>2011</v>
      </c>
      <c r="C15811" t="str">
        <f>"HY09039"</f>
        <v>HY09039</v>
      </c>
      <c r="D15811" t="s">
        <v>73876</v>
      </c>
      <c r="E15811" t="s">
        <v>73877</v>
      </c>
      <c r="F15811" t="s">
        <v>2094</v>
      </c>
      <c r="G15811" t="s">
        <v>52</v>
      </c>
      <c r="H15811">
        <v>75207</v>
      </c>
      <c r="I15811" t="s">
        <v>30</v>
      </c>
      <c r="J15811" t="s">
        <v>162</v>
      </c>
      <c r="K15811" t="s">
        <v>7598</v>
      </c>
      <c r="N15811" t="s">
        <v>73878</v>
      </c>
      <c r="O15811" t="s">
        <v>73879</v>
      </c>
      <c r="Q15811">
        <v>0</v>
      </c>
      <c r="R15811">
        <v>1122</v>
      </c>
      <c r="S15811">
        <v>0</v>
      </c>
      <c r="T15811" t="s">
        <v>73880</v>
      </c>
    </row>
    <row r="15812" spans="1:20" customFormat="1" ht="15" x14ac:dyDescent="0.25">
      <c r="A15812" t="s">
        <v>24</v>
      </c>
      <c r="B15812" t="s">
        <v>2011</v>
      </c>
      <c r="C15812" t="str">
        <f>"A0075558"</f>
        <v>A0075558</v>
      </c>
      <c r="D15812" t="s">
        <v>73881</v>
      </c>
      <c r="E15812" t="s">
        <v>73882</v>
      </c>
      <c r="F15812" t="s">
        <v>972</v>
      </c>
      <c r="G15812" t="s">
        <v>190</v>
      </c>
      <c r="H15812">
        <v>80202</v>
      </c>
      <c r="I15812" t="s">
        <v>30</v>
      </c>
      <c r="J15812" t="s">
        <v>162</v>
      </c>
      <c r="K15812" t="s">
        <v>7598</v>
      </c>
      <c r="N15812" t="s">
        <v>73883</v>
      </c>
      <c r="O15812" t="s">
        <v>73884</v>
      </c>
      <c r="Q15812">
        <v>0</v>
      </c>
      <c r="R15812">
        <v>1100</v>
      </c>
      <c r="S15812">
        <v>0</v>
      </c>
      <c r="T15812" t="s">
        <v>73885</v>
      </c>
    </row>
    <row r="15813" spans="1:20" customFormat="1" ht="15" x14ac:dyDescent="0.25">
      <c r="A15813" t="s">
        <v>24</v>
      </c>
      <c r="B15813" t="s">
        <v>2011</v>
      </c>
      <c r="C15813" t="str">
        <f>"HY09782"</f>
        <v>HY09782</v>
      </c>
      <c r="D15813" t="s">
        <v>73886</v>
      </c>
      <c r="E15813" t="s">
        <v>73887</v>
      </c>
      <c r="F15813" t="s">
        <v>15821</v>
      </c>
      <c r="G15813" t="s">
        <v>52</v>
      </c>
      <c r="H15813">
        <v>75261</v>
      </c>
      <c r="I15813" t="s">
        <v>30</v>
      </c>
      <c r="J15813" t="s">
        <v>162</v>
      </c>
      <c r="K15813" t="s">
        <v>7598</v>
      </c>
      <c r="N15813" t="s">
        <v>73884</v>
      </c>
      <c r="O15813" t="s">
        <v>73888</v>
      </c>
      <c r="P15813" t="s">
        <v>6426</v>
      </c>
      <c r="Q15813">
        <v>0</v>
      </c>
      <c r="R15813">
        <v>811</v>
      </c>
      <c r="S15813">
        <v>0</v>
      </c>
      <c r="T15813" t="s">
        <v>73889</v>
      </c>
    </row>
    <row r="15814" spans="1:20" customFormat="1" ht="15" x14ac:dyDescent="0.25">
      <c r="A15814" t="s">
        <v>24</v>
      </c>
      <c r="B15814" t="s">
        <v>2373</v>
      </c>
      <c r="C15814" t="str">
        <f>"HY09581"</f>
        <v>HY09581</v>
      </c>
      <c r="D15814" t="s">
        <v>73890</v>
      </c>
      <c r="E15814" t="s">
        <v>73891</v>
      </c>
      <c r="F15814" t="s">
        <v>34764</v>
      </c>
      <c r="G15814" t="s">
        <v>29</v>
      </c>
      <c r="H15814">
        <v>20171</v>
      </c>
      <c r="I15814" t="s">
        <v>30</v>
      </c>
      <c r="J15814" t="s">
        <v>162</v>
      </c>
      <c r="K15814" t="s">
        <v>7598</v>
      </c>
      <c r="N15814" t="s">
        <v>73892</v>
      </c>
      <c r="P15814" t="s">
        <v>6426</v>
      </c>
      <c r="Q15814">
        <v>0</v>
      </c>
      <c r="R15814">
        <v>316</v>
      </c>
      <c r="S15814">
        <v>0</v>
      </c>
      <c r="T15814" t="s">
        <v>73893</v>
      </c>
    </row>
    <row r="15815" spans="1:20" customFormat="1" ht="15" x14ac:dyDescent="0.25">
      <c r="A15815" t="s">
        <v>24</v>
      </c>
      <c r="B15815" t="s">
        <v>2011</v>
      </c>
      <c r="C15815" t="str">
        <f>"A0153406"</f>
        <v>A0153406</v>
      </c>
      <c r="D15815" t="s">
        <v>73894</v>
      </c>
      <c r="E15815" t="s">
        <v>73895</v>
      </c>
      <c r="F15815" t="s">
        <v>2083</v>
      </c>
      <c r="G15815" t="s">
        <v>52</v>
      </c>
      <c r="H15815">
        <v>75034</v>
      </c>
      <c r="I15815" t="s">
        <v>30</v>
      </c>
      <c r="J15815" t="s">
        <v>162</v>
      </c>
      <c r="K15815" t="s">
        <v>7598</v>
      </c>
      <c r="N15815" t="s">
        <v>73896</v>
      </c>
      <c r="Q15815">
        <v>0</v>
      </c>
      <c r="R15815">
        <v>301</v>
      </c>
      <c r="S15815">
        <v>0</v>
      </c>
      <c r="T15815" t="s">
        <v>3073</v>
      </c>
    </row>
    <row r="15816" spans="1:20" customFormat="1" ht="15" x14ac:dyDescent="0.25">
      <c r="A15816" t="s">
        <v>24</v>
      </c>
      <c r="B15816" t="s">
        <v>2011</v>
      </c>
      <c r="C15816" t="str">
        <f>"HY09749"</f>
        <v>HY09749</v>
      </c>
      <c r="D15816" t="s">
        <v>73897</v>
      </c>
      <c r="E15816" t="s">
        <v>73898</v>
      </c>
      <c r="F15816" t="s">
        <v>985</v>
      </c>
      <c r="G15816" t="s">
        <v>81</v>
      </c>
      <c r="H15816">
        <v>32836</v>
      </c>
      <c r="I15816" t="s">
        <v>30</v>
      </c>
      <c r="J15816" t="s">
        <v>162</v>
      </c>
      <c r="K15816" t="s">
        <v>7598</v>
      </c>
      <c r="N15816" t="s">
        <v>73899</v>
      </c>
      <c r="O15816" t="s">
        <v>73900</v>
      </c>
      <c r="P15816" t="s">
        <v>3998</v>
      </c>
      <c r="Q15816">
        <v>0</v>
      </c>
      <c r="R15816">
        <v>815</v>
      </c>
      <c r="S15816">
        <v>0</v>
      </c>
      <c r="T15816" t="s">
        <v>73901</v>
      </c>
    </row>
    <row r="15817" spans="1:20" customFormat="1" ht="15" x14ac:dyDescent="0.25">
      <c r="A15817" t="s">
        <v>24</v>
      </c>
      <c r="B15817" t="s">
        <v>2011</v>
      </c>
      <c r="C15817" t="str">
        <f>"A0083897"</f>
        <v>A0083897</v>
      </c>
      <c r="D15817" t="s">
        <v>73902</v>
      </c>
      <c r="E15817" t="s">
        <v>73903</v>
      </c>
      <c r="F15817" t="s">
        <v>59387</v>
      </c>
      <c r="G15817" t="s">
        <v>71</v>
      </c>
      <c r="H15817">
        <v>54301</v>
      </c>
      <c r="I15817" t="s">
        <v>30</v>
      </c>
      <c r="J15817" t="s">
        <v>162</v>
      </c>
      <c r="K15817" t="s">
        <v>7598</v>
      </c>
      <c r="N15817" t="s">
        <v>73904</v>
      </c>
      <c r="O15817" t="s">
        <v>73905</v>
      </c>
      <c r="Q15817">
        <v>0</v>
      </c>
      <c r="R15817">
        <v>241</v>
      </c>
      <c r="S15817">
        <v>0</v>
      </c>
      <c r="T15817" t="s">
        <v>73906</v>
      </c>
    </row>
    <row r="15818" spans="1:20" hidden="1" x14ac:dyDescent="0.25">
      <c r="A15818" s="3" t="s">
        <v>24</v>
      </c>
      <c r="B15818" s="3" t="s">
        <v>675</v>
      </c>
      <c r="C15818" s="3" t="str">
        <f>"A0162129"</f>
        <v>A0162129</v>
      </c>
      <c r="D15818" s="3" t="s">
        <v>55166</v>
      </c>
      <c r="E15818" s="3" t="s">
        <v>55167</v>
      </c>
      <c r="F15818" s="3" t="s">
        <v>55168</v>
      </c>
      <c r="G15818" s="3" t="s">
        <v>55169</v>
      </c>
      <c r="H15818" s="3">
        <v>24530</v>
      </c>
      <c r="I15818" s="3" t="s">
        <v>2408</v>
      </c>
      <c r="J15818" s="3" t="s">
        <v>206</v>
      </c>
      <c r="K15818" s="3" t="s">
        <v>55170</v>
      </c>
      <c r="N15818" s="3" t="s">
        <v>55171</v>
      </c>
      <c r="Q15818" s="3">
        <v>0</v>
      </c>
      <c r="R15818" s="3">
        <v>12</v>
      </c>
      <c r="S15818" s="3">
        <v>0</v>
      </c>
      <c r="T15818" s="3" t="s">
        <v>55172</v>
      </c>
    </row>
    <row r="15819" spans="1:20" hidden="1" x14ac:dyDescent="0.25">
      <c r="A15819" s="3" t="s">
        <v>24</v>
      </c>
      <c r="B15819" s="3" t="s">
        <v>675</v>
      </c>
      <c r="C15819" s="3" t="str">
        <f>"A0099212"</f>
        <v>A0099212</v>
      </c>
      <c r="D15819" s="3" t="s">
        <v>55173</v>
      </c>
      <c r="E15819" s="3" t="s">
        <v>55174</v>
      </c>
      <c r="F15819" s="3" t="s">
        <v>13657</v>
      </c>
      <c r="G15819" s="3" t="s">
        <v>4580</v>
      </c>
      <c r="H15819" s="3">
        <v>97800</v>
      </c>
      <c r="I15819" s="3" t="s">
        <v>2408</v>
      </c>
      <c r="J15819" s="3" t="s">
        <v>206</v>
      </c>
      <c r="K15819" s="3" t="s">
        <v>55170</v>
      </c>
      <c r="N15819" s="3" t="s">
        <v>55171</v>
      </c>
      <c r="Q15819" s="3">
        <v>0</v>
      </c>
      <c r="R15819" s="3">
        <v>11</v>
      </c>
      <c r="S15819" s="3">
        <v>0</v>
      </c>
      <c r="T15819" s="3" t="s">
        <v>55175</v>
      </c>
    </row>
    <row r="15820" spans="1:20" hidden="1" x14ac:dyDescent="0.25">
      <c r="A15820" s="3" t="s">
        <v>24</v>
      </c>
      <c r="B15820" s="3" t="s">
        <v>675</v>
      </c>
      <c r="C15820" s="3" t="str">
        <f>"A0162128"</f>
        <v>A0162128</v>
      </c>
      <c r="D15820" s="3" t="s">
        <v>55176</v>
      </c>
      <c r="E15820" s="3" t="s">
        <v>55177</v>
      </c>
      <c r="F15820" s="3" t="s">
        <v>55178</v>
      </c>
      <c r="G15820" s="3" t="s">
        <v>4580</v>
      </c>
      <c r="H15820" s="3">
        <v>97470</v>
      </c>
      <c r="I15820" s="3" t="s">
        <v>2408</v>
      </c>
      <c r="J15820" s="3" t="s">
        <v>206</v>
      </c>
      <c r="K15820" s="3" t="s">
        <v>55170</v>
      </c>
      <c r="N15820" s="3" t="s">
        <v>55171</v>
      </c>
      <c r="Q15820" s="3">
        <v>0</v>
      </c>
      <c r="R15820" s="3">
        <v>15</v>
      </c>
      <c r="S15820" s="3">
        <v>0</v>
      </c>
      <c r="T15820" s="3" t="s">
        <v>55179</v>
      </c>
    </row>
    <row r="15821" spans="1:20" hidden="1" x14ac:dyDescent="0.25">
      <c r="A15821" s="3" t="s">
        <v>24</v>
      </c>
      <c r="B15821" s="3" t="s">
        <v>675</v>
      </c>
      <c r="C15821" s="3" t="str">
        <f>"A0117484"</f>
        <v>A0117484</v>
      </c>
      <c r="D15821" s="3" t="s">
        <v>55180</v>
      </c>
      <c r="E15821" s="3" t="s">
        <v>55181</v>
      </c>
      <c r="F15821" s="3" t="s">
        <v>55182</v>
      </c>
      <c r="G15821" s="3" t="s">
        <v>4580</v>
      </c>
      <c r="H15821" s="3">
        <v>97825</v>
      </c>
      <c r="I15821" s="3" t="s">
        <v>2408</v>
      </c>
      <c r="J15821" s="3" t="s">
        <v>206</v>
      </c>
      <c r="K15821" s="3" t="s">
        <v>55170</v>
      </c>
      <c r="N15821" s="3" t="s">
        <v>55171</v>
      </c>
      <c r="Q15821" s="3">
        <v>0</v>
      </c>
      <c r="R15821" s="3">
        <v>28</v>
      </c>
      <c r="S15821" s="3">
        <v>0</v>
      </c>
      <c r="T15821" s="3" t="s">
        <v>55183</v>
      </c>
    </row>
    <row r="15822" spans="1:20" customFormat="1" ht="15" x14ac:dyDescent="0.25">
      <c r="A15822" t="s">
        <v>24</v>
      </c>
      <c r="B15822" t="s">
        <v>193</v>
      </c>
      <c r="C15822" t="str">
        <f>"A0069407"</f>
        <v>A0069407</v>
      </c>
      <c r="D15822" t="s">
        <v>55184</v>
      </c>
      <c r="E15822" t="s">
        <v>55185</v>
      </c>
      <c r="F15822" t="s">
        <v>55186</v>
      </c>
      <c r="G15822" t="s">
        <v>123</v>
      </c>
      <c r="H15822">
        <v>21040</v>
      </c>
      <c r="I15822" t="s">
        <v>30</v>
      </c>
      <c r="J15822" t="s">
        <v>145</v>
      </c>
      <c r="K15822" t="s">
        <v>302</v>
      </c>
      <c r="N15822" t="s">
        <v>55187</v>
      </c>
      <c r="Q15822">
        <v>0</v>
      </c>
      <c r="R15822">
        <v>84</v>
      </c>
      <c r="S15822">
        <v>0</v>
      </c>
      <c r="T15822" t="s">
        <v>55188</v>
      </c>
    </row>
    <row r="15823" spans="1:20" customFormat="1" ht="15" hidden="1" x14ac:dyDescent="0.25">
      <c r="A15823" t="s">
        <v>24</v>
      </c>
      <c r="B15823" t="s">
        <v>675</v>
      </c>
      <c r="C15823" t="str">
        <f>"A0078633"</f>
        <v>A0078633</v>
      </c>
      <c r="D15823" t="s">
        <v>55189</v>
      </c>
      <c r="E15823" t="s">
        <v>55190</v>
      </c>
      <c r="F15823" t="s">
        <v>55191</v>
      </c>
      <c r="G15823" t="s">
        <v>55192</v>
      </c>
      <c r="H15823" t="s">
        <v>55193</v>
      </c>
      <c r="I15823" t="s">
        <v>55194</v>
      </c>
      <c r="J15823" t="s">
        <v>171</v>
      </c>
      <c r="K15823" t="s">
        <v>973</v>
      </c>
      <c r="N15823" t="s">
        <v>55195</v>
      </c>
      <c r="Q15823">
        <v>0</v>
      </c>
      <c r="R15823">
        <v>133</v>
      </c>
      <c r="S15823">
        <v>0</v>
      </c>
      <c r="T15823" t="s">
        <v>55196</v>
      </c>
    </row>
    <row r="15824" spans="1:20" customFormat="1" ht="15" x14ac:dyDescent="0.25">
      <c r="A15824" t="s">
        <v>24</v>
      </c>
      <c r="B15824" t="s">
        <v>55197</v>
      </c>
      <c r="C15824" t="str">
        <f>"A0166317"</f>
        <v>A0166317</v>
      </c>
      <c r="D15824" t="s">
        <v>55198</v>
      </c>
      <c r="E15824" t="s">
        <v>55199</v>
      </c>
      <c r="F15824" t="s">
        <v>55200</v>
      </c>
      <c r="G15824" t="s">
        <v>110</v>
      </c>
      <c r="H15824">
        <v>92821</v>
      </c>
      <c r="I15824" t="s">
        <v>30</v>
      </c>
      <c r="J15824" t="s">
        <v>31</v>
      </c>
      <c r="K15824" t="s">
        <v>163</v>
      </c>
      <c r="N15824" t="s">
        <v>55201</v>
      </c>
      <c r="O15824" t="s">
        <v>55202</v>
      </c>
      <c r="Q15824">
        <v>0</v>
      </c>
      <c r="R15824">
        <v>88</v>
      </c>
      <c r="S15824">
        <v>0</v>
      </c>
      <c r="T15824" t="s">
        <v>55203</v>
      </c>
    </row>
    <row r="15825" spans="1:25" customFormat="1" ht="15" x14ac:dyDescent="0.25">
      <c r="A15825" t="s">
        <v>24</v>
      </c>
      <c r="B15825" t="s">
        <v>7427</v>
      </c>
      <c r="C15825" t="str">
        <f>"A0077130"</f>
        <v>A0077130</v>
      </c>
      <c r="D15825" t="s">
        <v>55204</v>
      </c>
      <c r="E15825" t="s">
        <v>55205</v>
      </c>
      <c r="F15825" t="s">
        <v>3059</v>
      </c>
      <c r="G15825" t="s">
        <v>52</v>
      </c>
      <c r="H15825">
        <v>78664</v>
      </c>
      <c r="I15825" t="s">
        <v>30</v>
      </c>
      <c r="J15825" t="s">
        <v>31</v>
      </c>
      <c r="K15825" t="s">
        <v>3155</v>
      </c>
      <c r="N15825" t="s">
        <v>55206</v>
      </c>
      <c r="Q15825">
        <v>0</v>
      </c>
      <c r="R15825">
        <v>97</v>
      </c>
      <c r="S15825">
        <v>0</v>
      </c>
      <c r="T15825" t="s">
        <v>55207</v>
      </c>
    </row>
    <row r="15826" spans="1:25" customFormat="1" ht="15" x14ac:dyDescent="0.25">
      <c r="A15826" t="s">
        <v>24</v>
      </c>
      <c r="B15826" t="s">
        <v>55197</v>
      </c>
      <c r="C15826" t="str">
        <f>"A0166316"</f>
        <v>A0166316</v>
      </c>
      <c r="D15826" t="s">
        <v>55208</v>
      </c>
      <c r="E15826" t="s">
        <v>55209</v>
      </c>
      <c r="F15826" t="s">
        <v>1153</v>
      </c>
      <c r="G15826" t="s">
        <v>110</v>
      </c>
      <c r="H15826">
        <v>94560</v>
      </c>
      <c r="I15826" t="s">
        <v>30</v>
      </c>
      <c r="J15826" t="s">
        <v>31</v>
      </c>
      <c r="K15826" t="s">
        <v>163</v>
      </c>
      <c r="N15826" t="s">
        <v>55210</v>
      </c>
      <c r="Q15826">
        <v>0</v>
      </c>
      <c r="R15826">
        <v>148</v>
      </c>
      <c r="S15826">
        <v>0</v>
      </c>
      <c r="T15826" t="s">
        <v>55211</v>
      </c>
    </row>
    <row r="15827" spans="1:25" customFormat="1" ht="15" x14ac:dyDescent="0.25">
      <c r="A15827" t="s">
        <v>24</v>
      </c>
      <c r="B15827" t="s">
        <v>55197</v>
      </c>
      <c r="C15827" t="str">
        <f>"56817"</f>
        <v>56817</v>
      </c>
      <c r="D15827" t="s">
        <v>55212</v>
      </c>
      <c r="E15827" t="s">
        <v>55213</v>
      </c>
      <c r="F15827" t="s">
        <v>2856</v>
      </c>
      <c r="G15827" t="s">
        <v>52</v>
      </c>
      <c r="H15827">
        <v>79925</v>
      </c>
      <c r="I15827" t="s">
        <v>30</v>
      </c>
      <c r="J15827" t="s">
        <v>31</v>
      </c>
      <c r="K15827" t="s">
        <v>163</v>
      </c>
      <c r="N15827" t="s">
        <v>55214</v>
      </c>
      <c r="Q15827">
        <v>0</v>
      </c>
      <c r="R15827">
        <v>200</v>
      </c>
      <c r="S15827">
        <v>0</v>
      </c>
      <c r="T15827" t="s">
        <v>55215</v>
      </c>
    </row>
    <row r="15828" spans="1:25" customFormat="1" ht="15" x14ac:dyDescent="0.25">
      <c r="A15828" t="s">
        <v>24</v>
      </c>
      <c r="B15828" t="s">
        <v>55197</v>
      </c>
      <c r="C15828" t="str">
        <f>"56858"</f>
        <v>56858</v>
      </c>
      <c r="D15828" t="s">
        <v>55216</v>
      </c>
      <c r="E15828" t="s">
        <v>55217</v>
      </c>
      <c r="F15828" t="s">
        <v>3955</v>
      </c>
      <c r="G15828" t="s">
        <v>81</v>
      </c>
      <c r="H15828">
        <v>33607</v>
      </c>
      <c r="I15828" t="s">
        <v>30</v>
      </c>
      <c r="J15828" t="s">
        <v>31</v>
      </c>
      <c r="K15828" t="s">
        <v>163</v>
      </c>
      <c r="N15828" t="s">
        <v>55218</v>
      </c>
      <c r="O15828" t="s">
        <v>55219</v>
      </c>
      <c r="Q15828">
        <v>0</v>
      </c>
      <c r="R15828">
        <v>160</v>
      </c>
      <c r="S15828">
        <v>0</v>
      </c>
      <c r="T15828" t="s">
        <v>55220</v>
      </c>
    </row>
    <row r="15829" spans="1:25" customFormat="1" ht="15" x14ac:dyDescent="0.25">
      <c r="A15829" t="s">
        <v>24</v>
      </c>
      <c r="B15829" t="s">
        <v>13299</v>
      </c>
      <c r="C15829" t="str">
        <f>"HY09739"</f>
        <v>HY09739</v>
      </c>
      <c r="D15829" t="s">
        <v>73907</v>
      </c>
      <c r="E15829" t="s">
        <v>73908</v>
      </c>
      <c r="F15829" t="s">
        <v>5905</v>
      </c>
      <c r="G15829" t="s">
        <v>58</v>
      </c>
      <c r="H15829">
        <v>29601</v>
      </c>
      <c r="I15829" t="s">
        <v>30</v>
      </c>
      <c r="J15829" t="s">
        <v>162</v>
      </c>
      <c r="K15829" t="s">
        <v>72841</v>
      </c>
      <c r="N15829" t="s">
        <v>73909</v>
      </c>
      <c r="O15829" t="s">
        <v>73910</v>
      </c>
      <c r="P15829" t="s">
        <v>6426</v>
      </c>
      <c r="Q15829">
        <v>0</v>
      </c>
      <c r="R15829">
        <v>328</v>
      </c>
      <c r="S15829">
        <v>0</v>
      </c>
      <c r="T15829" t="s">
        <v>73911</v>
      </c>
    </row>
    <row r="15830" spans="1:25" customFormat="1" ht="15" x14ac:dyDescent="0.25">
      <c r="A15830" t="s">
        <v>24</v>
      </c>
      <c r="B15830" t="s">
        <v>2011</v>
      </c>
      <c r="C15830" t="str">
        <f>"HY09768"</f>
        <v>HY09768</v>
      </c>
      <c r="D15830" t="s">
        <v>73912</v>
      </c>
      <c r="E15830" t="s">
        <v>73913</v>
      </c>
      <c r="F15830" t="s">
        <v>73914</v>
      </c>
      <c r="G15830" t="s">
        <v>615</v>
      </c>
      <c r="H15830">
        <v>6870</v>
      </c>
      <c r="I15830" t="s">
        <v>30</v>
      </c>
      <c r="J15830" t="s">
        <v>162</v>
      </c>
      <c r="K15830" t="s">
        <v>7598</v>
      </c>
      <c r="N15830" t="s">
        <v>73915</v>
      </c>
      <c r="O15830" t="s">
        <v>73916</v>
      </c>
      <c r="P15830" t="s">
        <v>6426</v>
      </c>
      <c r="Q15830">
        <v>0</v>
      </c>
      <c r="R15830">
        <v>373</v>
      </c>
      <c r="S15830">
        <v>0</v>
      </c>
      <c r="T15830" t="s">
        <v>73917</v>
      </c>
    </row>
    <row r="15831" spans="1:25" x14ac:dyDescent="0.25">
      <c r="A15831" s="5" t="s">
        <v>24</v>
      </c>
      <c r="B15831" s="5" t="s">
        <v>2011</v>
      </c>
      <c r="C15831" s="5" t="str">
        <f>"HY09618"</f>
        <v>HY09618</v>
      </c>
      <c r="D15831" s="5" t="s">
        <v>73918</v>
      </c>
      <c r="E15831" s="5" t="s">
        <v>73919</v>
      </c>
      <c r="F15831" s="5" t="s">
        <v>356</v>
      </c>
      <c r="G15831" s="5" t="s">
        <v>52</v>
      </c>
      <c r="H15831" s="5">
        <v>78251</v>
      </c>
      <c r="I15831" s="5" t="s">
        <v>30</v>
      </c>
      <c r="J15831" s="5" t="s">
        <v>162</v>
      </c>
      <c r="K15831" s="5" t="s">
        <v>7598</v>
      </c>
      <c r="L15831" s="5"/>
      <c r="M15831" s="5"/>
      <c r="N15831" s="5" t="s">
        <v>73920</v>
      </c>
      <c r="O15831" s="5" t="s">
        <v>73921</v>
      </c>
      <c r="P15831" s="5" t="s">
        <v>3998</v>
      </c>
      <c r="Q15831" s="5">
        <v>2</v>
      </c>
      <c r="R15831" s="5">
        <v>500</v>
      </c>
      <c r="S15831" s="5">
        <v>0</v>
      </c>
      <c r="T15831" s="5" t="s">
        <v>73922</v>
      </c>
      <c r="U15831" s="5"/>
      <c r="V15831" s="5"/>
      <c r="W15831" s="5"/>
      <c r="X15831" s="5"/>
      <c r="Y15831" s="5"/>
    </row>
    <row r="15832" spans="1:25" customFormat="1" ht="15" x14ac:dyDescent="0.25">
      <c r="A15832" t="s">
        <v>24</v>
      </c>
      <c r="B15832" t="s">
        <v>2011</v>
      </c>
      <c r="C15832" t="str">
        <f>"HY09025"</f>
        <v>HY09025</v>
      </c>
      <c r="D15832" t="s">
        <v>73923</v>
      </c>
      <c r="E15832" t="s">
        <v>73924</v>
      </c>
      <c r="F15832" t="s">
        <v>1564</v>
      </c>
      <c r="G15832" t="s">
        <v>52</v>
      </c>
      <c r="H15832">
        <v>77002</v>
      </c>
      <c r="I15832" t="s">
        <v>30</v>
      </c>
      <c r="J15832" t="s">
        <v>162</v>
      </c>
      <c r="K15832" t="s">
        <v>7598</v>
      </c>
      <c r="N15832" t="s">
        <v>73925</v>
      </c>
      <c r="O15832" t="s">
        <v>73926</v>
      </c>
      <c r="Q15832">
        <v>0</v>
      </c>
      <c r="R15832">
        <v>965</v>
      </c>
      <c r="S15832">
        <v>0</v>
      </c>
      <c r="T15832" t="s">
        <v>73927</v>
      </c>
    </row>
    <row r="15833" spans="1:25" customFormat="1" ht="15" x14ac:dyDescent="0.25">
      <c r="A15833" t="s">
        <v>24</v>
      </c>
      <c r="B15833" t="s">
        <v>2011</v>
      </c>
      <c r="C15833" t="str">
        <f>"A0065334"</f>
        <v>A0065334</v>
      </c>
      <c r="D15833" t="s">
        <v>73928</v>
      </c>
      <c r="E15833" t="s">
        <v>73929</v>
      </c>
      <c r="F15833" t="s">
        <v>54230</v>
      </c>
      <c r="G15833" t="s">
        <v>110</v>
      </c>
      <c r="H15833">
        <v>92648</v>
      </c>
      <c r="I15833" t="s">
        <v>30</v>
      </c>
      <c r="J15833" t="s">
        <v>162</v>
      </c>
      <c r="K15833" t="s">
        <v>7598</v>
      </c>
      <c r="N15833" t="s">
        <v>73930</v>
      </c>
      <c r="O15833" t="s">
        <v>73931</v>
      </c>
      <c r="P15833" t="s">
        <v>992</v>
      </c>
      <c r="Q15833">
        <v>0</v>
      </c>
      <c r="R15833">
        <v>519</v>
      </c>
      <c r="S15833">
        <v>0</v>
      </c>
      <c r="T15833" t="s">
        <v>73932</v>
      </c>
    </row>
    <row r="15834" spans="1:25" customFormat="1" ht="15" x14ac:dyDescent="0.25">
      <c r="A15834" t="s">
        <v>24</v>
      </c>
      <c r="B15834" t="s">
        <v>2011</v>
      </c>
      <c r="C15834" t="str">
        <f>"HY09796"</f>
        <v>HY09796</v>
      </c>
      <c r="D15834" t="s">
        <v>73933</v>
      </c>
      <c r="E15834" t="s">
        <v>73934</v>
      </c>
      <c r="F15834" t="s">
        <v>6583</v>
      </c>
      <c r="G15834" t="s">
        <v>110</v>
      </c>
      <c r="H15834">
        <v>92210</v>
      </c>
      <c r="I15834" t="s">
        <v>30</v>
      </c>
      <c r="J15834" t="s">
        <v>162</v>
      </c>
      <c r="K15834" t="s">
        <v>7598</v>
      </c>
      <c r="N15834" t="s">
        <v>73935</v>
      </c>
      <c r="O15834" t="s">
        <v>73936</v>
      </c>
      <c r="P15834" t="s">
        <v>3998</v>
      </c>
      <c r="Q15834">
        <v>0</v>
      </c>
      <c r="R15834">
        <v>480</v>
      </c>
      <c r="S15834">
        <v>0</v>
      </c>
      <c r="T15834" t="s">
        <v>73937</v>
      </c>
    </row>
    <row r="15835" spans="1:25" customFormat="1" ht="15" x14ac:dyDescent="0.25">
      <c r="A15835" t="s">
        <v>24</v>
      </c>
      <c r="B15835" t="s">
        <v>55247</v>
      </c>
      <c r="C15835" t="str">
        <f>"A0155882"</f>
        <v>A0155882</v>
      </c>
      <c r="D15835" t="s">
        <v>55248</v>
      </c>
      <c r="E15835" t="s">
        <v>55249</v>
      </c>
      <c r="F15835" t="s">
        <v>55250</v>
      </c>
      <c r="G15835" t="s">
        <v>137</v>
      </c>
      <c r="H15835">
        <v>65401</v>
      </c>
      <c r="I15835" t="s">
        <v>30</v>
      </c>
      <c r="J15835" t="s">
        <v>31</v>
      </c>
      <c r="K15835" t="s">
        <v>32</v>
      </c>
      <c r="N15835" t="s">
        <v>55251</v>
      </c>
      <c r="O15835" t="s">
        <v>6489</v>
      </c>
      <c r="Q15835">
        <v>0</v>
      </c>
      <c r="R15835">
        <v>88</v>
      </c>
      <c r="S15835">
        <v>0</v>
      </c>
      <c r="T15835" t="s">
        <v>55252</v>
      </c>
    </row>
    <row r="15836" spans="1:25" customFormat="1" ht="15" x14ac:dyDescent="0.25">
      <c r="A15836" t="s">
        <v>24</v>
      </c>
      <c r="B15836" t="s">
        <v>2011</v>
      </c>
      <c r="C15836" t="str">
        <f>"A0074949"</f>
        <v>A0074949</v>
      </c>
      <c r="D15836" t="s">
        <v>73938</v>
      </c>
      <c r="E15836" t="s">
        <v>73939</v>
      </c>
      <c r="F15836" t="s">
        <v>2443</v>
      </c>
      <c r="G15836" t="s">
        <v>81</v>
      </c>
      <c r="H15836">
        <v>32202</v>
      </c>
      <c r="I15836" t="s">
        <v>30</v>
      </c>
      <c r="J15836" t="s">
        <v>162</v>
      </c>
      <c r="K15836" t="s">
        <v>7598</v>
      </c>
      <c r="N15836" t="s">
        <v>66956</v>
      </c>
      <c r="O15836" t="s">
        <v>73940</v>
      </c>
      <c r="Q15836">
        <v>0</v>
      </c>
      <c r="R15836">
        <v>966</v>
      </c>
      <c r="S15836">
        <v>0</v>
      </c>
      <c r="T15836" t="s">
        <v>73941</v>
      </c>
    </row>
    <row r="15837" spans="1:25" x14ac:dyDescent="0.25">
      <c r="A15837" s="5" t="s">
        <v>24</v>
      </c>
      <c r="B15837" s="5" t="s">
        <v>2011</v>
      </c>
      <c r="C15837" s="5" t="str">
        <f>"HY02201"</f>
        <v>HY02201</v>
      </c>
      <c r="D15837" s="5" t="s">
        <v>73942</v>
      </c>
      <c r="E15837" s="5" t="s">
        <v>73943</v>
      </c>
      <c r="F15837" s="5" t="s">
        <v>337</v>
      </c>
      <c r="G15837" s="5" t="s">
        <v>338</v>
      </c>
      <c r="H15837" s="5">
        <v>7302</v>
      </c>
      <c r="I15837" s="5" t="s">
        <v>30</v>
      </c>
      <c r="J15837" s="5" t="s">
        <v>162</v>
      </c>
      <c r="K15837" s="5" t="s">
        <v>7598</v>
      </c>
      <c r="L15837" s="5"/>
      <c r="M15837" s="5"/>
      <c r="N15837" s="5" t="s">
        <v>73944</v>
      </c>
      <c r="O15837" s="5" t="s">
        <v>72913</v>
      </c>
      <c r="P15837" s="5"/>
      <c r="Q15837" s="5">
        <v>0</v>
      </c>
      <c r="R15837" s="5">
        <v>350</v>
      </c>
      <c r="S15837" s="5">
        <v>0</v>
      </c>
      <c r="T15837" s="5" t="s">
        <v>73945</v>
      </c>
      <c r="U15837" s="5"/>
      <c r="V15837" s="5"/>
      <c r="W15837" s="5"/>
      <c r="X15837" s="5"/>
      <c r="Y15837" s="5"/>
    </row>
    <row r="15838" spans="1:25" customFormat="1" ht="15" x14ac:dyDescent="0.25">
      <c r="A15838" t="s">
        <v>24</v>
      </c>
      <c r="B15838" t="s">
        <v>73946</v>
      </c>
      <c r="C15838" t="str">
        <f>"A0056911"</f>
        <v>A0056911</v>
      </c>
      <c r="D15838" t="s">
        <v>73947</v>
      </c>
      <c r="E15838" t="s">
        <v>73948</v>
      </c>
      <c r="F15838" t="s">
        <v>34412</v>
      </c>
      <c r="G15838" t="s">
        <v>110</v>
      </c>
      <c r="H15838">
        <v>92660</v>
      </c>
      <c r="I15838" t="s">
        <v>30</v>
      </c>
      <c r="J15838" t="s">
        <v>162</v>
      </c>
      <c r="K15838" t="s">
        <v>7598</v>
      </c>
      <c r="Q15838">
        <v>0</v>
      </c>
      <c r="R15838">
        <v>128</v>
      </c>
      <c r="S15838">
        <v>0</v>
      </c>
      <c r="T15838" t="s">
        <v>73949</v>
      </c>
    </row>
    <row r="15839" spans="1:25" customFormat="1" ht="15" x14ac:dyDescent="0.25">
      <c r="A15839" t="s">
        <v>24</v>
      </c>
      <c r="B15839" t="s">
        <v>2011</v>
      </c>
      <c r="C15839" t="str">
        <f>"HY09561"</f>
        <v>HY09561</v>
      </c>
      <c r="D15839" t="s">
        <v>73950</v>
      </c>
      <c r="E15839" t="s">
        <v>73951</v>
      </c>
      <c r="F15839" t="s">
        <v>2978</v>
      </c>
      <c r="G15839" t="s">
        <v>110</v>
      </c>
      <c r="H15839">
        <v>92122</v>
      </c>
      <c r="I15839" t="s">
        <v>30</v>
      </c>
      <c r="J15839" t="s">
        <v>162</v>
      </c>
      <c r="K15839" t="s">
        <v>7598</v>
      </c>
      <c r="P15839" t="s">
        <v>6426</v>
      </c>
      <c r="Q15839">
        <v>0</v>
      </c>
      <c r="R15839">
        <v>417</v>
      </c>
      <c r="S15839">
        <v>0</v>
      </c>
      <c r="T15839" t="s">
        <v>73952</v>
      </c>
    </row>
    <row r="15840" spans="1:25" customFormat="1" ht="15" x14ac:dyDescent="0.25">
      <c r="A15840" t="s">
        <v>24</v>
      </c>
      <c r="B15840" t="s">
        <v>193</v>
      </c>
      <c r="C15840" t="str">
        <f>"A0155965"</f>
        <v>A0155965</v>
      </c>
      <c r="D15840" t="s">
        <v>55270</v>
      </c>
      <c r="E15840" t="s">
        <v>55271</v>
      </c>
      <c r="F15840" t="s">
        <v>53573</v>
      </c>
      <c r="G15840" t="s">
        <v>1369</v>
      </c>
      <c r="H15840">
        <v>39120</v>
      </c>
      <c r="I15840" t="s">
        <v>30</v>
      </c>
      <c r="J15840" t="s">
        <v>31</v>
      </c>
      <c r="K15840" t="s">
        <v>198</v>
      </c>
      <c r="N15840" t="s">
        <v>55272</v>
      </c>
      <c r="Q15840">
        <v>0</v>
      </c>
      <c r="R15840">
        <v>86</v>
      </c>
      <c r="S15840">
        <v>0</v>
      </c>
      <c r="T15840" t="s">
        <v>55273</v>
      </c>
    </row>
    <row r="15841" spans="1:25" customFormat="1" ht="15" x14ac:dyDescent="0.25">
      <c r="A15841" t="s">
        <v>24</v>
      </c>
      <c r="B15841" t="s">
        <v>2011</v>
      </c>
      <c r="C15841" t="str">
        <f>"HY09327"</f>
        <v>HY09327</v>
      </c>
      <c r="D15841" t="s">
        <v>73953</v>
      </c>
      <c r="E15841" t="s">
        <v>73954</v>
      </c>
      <c r="F15841" t="s">
        <v>72926</v>
      </c>
      <c r="G15841" t="s">
        <v>221</v>
      </c>
      <c r="H15841">
        <v>89451</v>
      </c>
      <c r="I15841" t="s">
        <v>30</v>
      </c>
      <c r="J15841" t="s">
        <v>162</v>
      </c>
      <c r="K15841" t="s">
        <v>7598</v>
      </c>
      <c r="N15841" t="s">
        <v>73955</v>
      </c>
      <c r="O15841" t="s">
        <v>73956</v>
      </c>
      <c r="P15841" t="s">
        <v>3998</v>
      </c>
      <c r="Q15841">
        <v>0</v>
      </c>
      <c r="R15841">
        <v>449</v>
      </c>
      <c r="S15841">
        <v>0</v>
      </c>
      <c r="T15841" t="s">
        <v>73957</v>
      </c>
    </row>
    <row r="15842" spans="1:25" customFormat="1" ht="15" hidden="1" x14ac:dyDescent="0.25">
      <c r="A15842" t="s">
        <v>24</v>
      </c>
      <c r="B15842" t="s">
        <v>55279</v>
      </c>
      <c r="C15842" t="str">
        <f>"A0158285"</f>
        <v>A0158285</v>
      </c>
      <c r="D15842" t="s">
        <v>55280</v>
      </c>
      <c r="E15842" t="s">
        <v>55281</v>
      </c>
      <c r="F15842" t="s">
        <v>3545</v>
      </c>
      <c r="G15842" t="s">
        <v>2206</v>
      </c>
      <c r="H15842" t="s">
        <v>55282</v>
      </c>
      <c r="I15842" t="s">
        <v>1459</v>
      </c>
      <c r="J15842" t="s">
        <v>31</v>
      </c>
      <c r="K15842" t="s">
        <v>282</v>
      </c>
      <c r="N15842" t="s">
        <v>55283</v>
      </c>
      <c r="Q15842">
        <v>0</v>
      </c>
      <c r="R15842">
        <v>87</v>
      </c>
      <c r="S15842">
        <v>0</v>
      </c>
      <c r="T15842" t="s">
        <v>55284</v>
      </c>
    </row>
    <row r="15843" spans="1:25" customFormat="1" ht="15" x14ac:dyDescent="0.25">
      <c r="A15843" t="s">
        <v>24</v>
      </c>
      <c r="B15843" t="s">
        <v>2011</v>
      </c>
      <c r="C15843" t="str">
        <f>"A0096721"</f>
        <v>A0096721</v>
      </c>
      <c r="D15843" t="s">
        <v>73958</v>
      </c>
      <c r="E15843" t="s">
        <v>73959</v>
      </c>
      <c r="F15843" t="s">
        <v>53776</v>
      </c>
      <c r="G15843" t="s">
        <v>76</v>
      </c>
      <c r="H15843">
        <v>98056</v>
      </c>
      <c r="I15843" t="s">
        <v>30</v>
      </c>
      <c r="J15843" t="s">
        <v>162</v>
      </c>
      <c r="K15843" t="s">
        <v>7598</v>
      </c>
      <c r="N15843" t="s">
        <v>73960</v>
      </c>
      <c r="O15843" t="s">
        <v>73961</v>
      </c>
      <c r="Q15843">
        <v>0</v>
      </c>
      <c r="R15843">
        <v>347</v>
      </c>
      <c r="S15843">
        <v>0</v>
      </c>
      <c r="T15843" t="s">
        <v>73962</v>
      </c>
    </row>
    <row r="15844" spans="1:25" customFormat="1" ht="15" x14ac:dyDescent="0.25">
      <c r="A15844" t="s">
        <v>24</v>
      </c>
      <c r="B15844" t="s">
        <v>2011</v>
      </c>
      <c r="C15844" t="str">
        <f>"HY09745"</f>
        <v>HY09745</v>
      </c>
      <c r="D15844" t="s">
        <v>73963</v>
      </c>
      <c r="E15844" t="s">
        <v>73964</v>
      </c>
      <c r="F15844" t="s">
        <v>693</v>
      </c>
      <c r="G15844" t="s">
        <v>110</v>
      </c>
      <c r="H15844">
        <v>90802</v>
      </c>
      <c r="I15844" t="s">
        <v>30</v>
      </c>
      <c r="J15844" t="s">
        <v>162</v>
      </c>
      <c r="K15844" t="s">
        <v>7598</v>
      </c>
      <c r="N15844" t="s">
        <v>73965</v>
      </c>
      <c r="O15844" t="s">
        <v>13794</v>
      </c>
      <c r="P15844" t="s">
        <v>6426</v>
      </c>
      <c r="Q15844">
        <v>0</v>
      </c>
      <c r="R15844">
        <v>528</v>
      </c>
      <c r="S15844">
        <v>0</v>
      </c>
      <c r="T15844" t="s">
        <v>73966</v>
      </c>
    </row>
    <row r="15845" spans="1:25" customFormat="1" ht="15" x14ac:dyDescent="0.25">
      <c r="A15845" t="s">
        <v>24</v>
      </c>
      <c r="B15845" t="s">
        <v>2221</v>
      </c>
      <c r="C15845" t="str">
        <f>"38B46"</f>
        <v>38B46</v>
      </c>
      <c r="D15845" t="s">
        <v>73967</v>
      </c>
      <c r="E15845" t="s">
        <v>73968</v>
      </c>
      <c r="F15845" t="s">
        <v>47611</v>
      </c>
      <c r="G15845" t="s">
        <v>99</v>
      </c>
      <c r="H15845">
        <v>11788</v>
      </c>
      <c r="I15845" t="s">
        <v>30</v>
      </c>
      <c r="J15845" t="s">
        <v>162</v>
      </c>
      <c r="K15845" t="s">
        <v>7598</v>
      </c>
      <c r="N15845" t="s">
        <v>73969</v>
      </c>
      <c r="O15845" t="s">
        <v>73970</v>
      </c>
      <c r="Q15845">
        <v>0</v>
      </c>
      <c r="R15845">
        <v>360</v>
      </c>
      <c r="S15845">
        <v>0</v>
      </c>
      <c r="T15845" t="s">
        <v>73971</v>
      </c>
    </row>
    <row r="15846" spans="1:25" customFormat="1" ht="15" x14ac:dyDescent="0.25">
      <c r="A15846" t="s">
        <v>24</v>
      </c>
      <c r="B15846" t="s">
        <v>2340</v>
      </c>
      <c r="C15846" t="str">
        <f>"A0075544"</f>
        <v>A0075544</v>
      </c>
      <c r="D15846" t="s">
        <v>55299</v>
      </c>
      <c r="E15846" t="s">
        <v>55300</v>
      </c>
      <c r="F15846" t="s">
        <v>4149</v>
      </c>
      <c r="G15846" t="s">
        <v>81</v>
      </c>
      <c r="H15846">
        <v>32541</v>
      </c>
      <c r="I15846" t="s">
        <v>30</v>
      </c>
      <c r="J15846" t="s">
        <v>31</v>
      </c>
      <c r="K15846" t="s">
        <v>1243</v>
      </c>
      <c r="N15846" t="s">
        <v>55301</v>
      </c>
      <c r="Q15846">
        <v>0</v>
      </c>
      <c r="R15846">
        <v>94</v>
      </c>
      <c r="S15846">
        <v>0</v>
      </c>
      <c r="T15846" t="s">
        <v>55302</v>
      </c>
    </row>
    <row r="15847" spans="1:25" customFormat="1" ht="15" x14ac:dyDescent="0.25">
      <c r="A15847" t="s">
        <v>24</v>
      </c>
      <c r="B15847" t="s">
        <v>762</v>
      </c>
      <c r="C15847" t="str">
        <f>"88RD016"</f>
        <v>88RD016</v>
      </c>
      <c r="D15847" t="s">
        <v>73972</v>
      </c>
      <c r="E15847" t="s">
        <v>73973</v>
      </c>
      <c r="F15847" t="s">
        <v>1519</v>
      </c>
      <c r="G15847" t="s">
        <v>110</v>
      </c>
      <c r="H15847">
        <v>90045</v>
      </c>
      <c r="I15847" t="s">
        <v>30</v>
      </c>
      <c r="J15847" t="s">
        <v>162</v>
      </c>
      <c r="K15847" t="s">
        <v>7598</v>
      </c>
      <c r="N15847" t="s">
        <v>73974</v>
      </c>
      <c r="O15847" t="s">
        <v>73975</v>
      </c>
      <c r="Q15847">
        <v>0</v>
      </c>
      <c r="R15847">
        <v>580</v>
      </c>
      <c r="S15847">
        <v>0</v>
      </c>
      <c r="T15847" t="s">
        <v>73976</v>
      </c>
    </row>
    <row r="15848" spans="1:25" customFormat="1" ht="15" x14ac:dyDescent="0.25">
      <c r="A15848" t="s">
        <v>24</v>
      </c>
      <c r="B15848" t="s">
        <v>2011</v>
      </c>
      <c r="C15848" t="str">
        <f>"A0076325"</f>
        <v>A0076325</v>
      </c>
      <c r="D15848" t="s">
        <v>73977</v>
      </c>
      <c r="E15848" t="s">
        <v>73978</v>
      </c>
      <c r="F15848" t="s">
        <v>73979</v>
      </c>
      <c r="G15848" t="s">
        <v>52</v>
      </c>
      <c r="H15848">
        <v>78612</v>
      </c>
      <c r="I15848" t="s">
        <v>30</v>
      </c>
      <c r="J15848" t="s">
        <v>162</v>
      </c>
      <c r="K15848" t="s">
        <v>7598</v>
      </c>
      <c r="N15848" t="s">
        <v>73980</v>
      </c>
      <c r="O15848" t="s">
        <v>73981</v>
      </c>
      <c r="P15848" t="s">
        <v>3998</v>
      </c>
      <c r="Q15848">
        <v>1</v>
      </c>
      <c r="R15848">
        <v>492</v>
      </c>
      <c r="S15848">
        <v>0</v>
      </c>
      <c r="T15848" t="s">
        <v>73982</v>
      </c>
    </row>
    <row r="15849" spans="1:25" customFormat="1" ht="15" x14ac:dyDescent="0.25">
      <c r="A15849" t="s">
        <v>24</v>
      </c>
      <c r="B15849" t="s">
        <v>2011</v>
      </c>
      <c r="C15849" t="str">
        <f>"HY09723"</f>
        <v>HY09723</v>
      </c>
      <c r="D15849" t="s">
        <v>73983</v>
      </c>
      <c r="E15849" t="s">
        <v>73984</v>
      </c>
      <c r="F15849" t="s">
        <v>35740</v>
      </c>
      <c r="G15849" t="s">
        <v>4815</v>
      </c>
      <c r="H15849">
        <v>96761</v>
      </c>
      <c r="I15849" t="s">
        <v>30</v>
      </c>
      <c r="J15849" t="s">
        <v>162</v>
      </c>
      <c r="K15849" t="s">
        <v>7598</v>
      </c>
      <c r="N15849" t="s">
        <v>66973</v>
      </c>
      <c r="O15849" t="s">
        <v>73985</v>
      </c>
      <c r="P15849" t="s">
        <v>992</v>
      </c>
      <c r="Q15849">
        <v>0</v>
      </c>
      <c r="R15849">
        <v>806</v>
      </c>
      <c r="S15849">
        <v>0</v>
      </c>
      <c r="T15849" t="s">
        <v>73986</v>
      </c>
    </row>
    <row r="15850" spans="1:25" customFormat="1" ht="15" x14ac:dyDescent="0.25">
      <c r="A15850" t="s">
        <v>24</v>
      </c>
      <c r="B15850" t="s">
        <v>2011</v>
      </c>
      <c r="C15850" t="str">
        <f>"HY09424"</f>
        <v>HY09424</v>
      </c>
      <c r="D15850" t="s">
        <v>73987</v>
      </c>
      <c r="E15850" t="s">
        <v>73988</v>
      </c>
      <c r="F15850" t="s">
        <v>716</v>
      </c>
      <c r="G15850" t="s">
        <v>289</v>
      </c>
      <c r="H15850">
        <v>60616</v>
      </c>
      <c r="I15850" t="s">
        <v>30</v>
      </c>
      <c r="J15850" t="s">
        <v>162</v>
      </c>
      <c r="K15850" t="s">
        <v>7598</v>
      </c>
      <c r="N15850" t="s">
        <v>73989</v>
      </c>
      <c r="O15850" t="s">
        <v>73990</v>
      </c>
      <c r="Q15850">
        <v>0</v>
      </c>
      <c r="R15850">
        <v>1258</v>
      </c>
      <c r="S15850">
        <v>0</v>
      </c>
      <c r="T15850" t="s">
        <v>73991</v>
      </c>
    </row>
    <row r="15851" spans="1:25" customFormat="1" ht="15" hidden="1" x14ac:dyDescent="0.25">
      <c r="A15851" t="s">
        <v>24</v>
      </c>
      <c r="B15851" t="s">
        <v>6611</v>
      </c>
      <c r="C15851" t="str">
        <f>"A0095022"</f>
        <v>A0095022</v>
      </c>
      <c r="D15851" t="s">
        <v>55324</v>
      </c>
      <c r="E15851" t="s">
        <v>55325</v>
      </c>
      <c r="F15851" t="s">
        <v>13197</v>
      </c>
      <c r="G15851" t="s">
        <v>2206</v>
      </c>
      <c r="H15851" t="s">
        <v>55326</v>
      </c>
      <c r="I15851" t="s">
        <v>1459</v>
      </c>
      <c r="J15851" t="s">
        <v>162</v>
      </c>
      <c r="K15851" t="s">
        <v>163</v>
      </c>
      <c r="N15851" t="s">
        <v>55327</v>
      </c>
      <c r="O15851" t="s">
        <v>55328</v>
      </c>
      <c r="Q15851">
        <v>0</v>
      </c>
      <c r="R15851">
        <v>102</v>
      </c>
      <c r="S15851">
        <v>0</v>
      </c>
      <c r="T15851" t="s">
        <v>55329</v>
      </c>
    </row>
    <row r="15852" spans="1:25" x14ac:dyDescent="0.25">
      <c r="A15852" s="5" t="s">
        <v>24</v>
      </c>
      <c r="B15852" s="5" t="s">
        <v>2011</v>
      </c>
      <c r="C15852" s="5" t="str">
        <f>"HY09744"</f>
        <v>HY09744</v>
      </c>
      <c r="D15852" s="5" t="s">
        <v>74001</v>
      </c>
      <c r="E15852" s="5" t="s">
        <v>74002</v>
      </c>
      <c r="F15852" s="5" t="s">
        <v>1889</v>
      </c>
      <c r="G15852" s="5" t="s">
        <v>81</v>
      </c>
      <c r="H15852" s="5">
        <v>33131</v>
      </c>
      <c r="I15852" s="5" t="s">
        <v>30</v>
      </c>
      <c r="J15852" s="5" t="s">
        <v>162</v>
      </c>
      <c r="K15852" s="5" t="s">
        <v>7598</v>
      </c>
      <c r="L15852" s="5"/>
      <c r="M15852" s="5"/>
      <c r="N15852" s="5" t="s">
        <v>74003</v>
      </c>
      <c r="O15852" s="5" t="s">
        <v>74004</v>
      </c>
      <c r="P15852" s="5" t="s">
        <v>6426</v>
      </c>
      <c r="Q15852" s="5">
        <v>0</v>
      </c>
      <c r="R15852" s="5">
        <v>612</v>
      </c>
      <c r="S15852" s="5">
        <v>0</v>
      </c>
      <c r="T15852" s="5" t="s">
        <v>74005</v>
      </c>
      <c r="U15852" s="5"/>
      <c r="V15852" s="5"/>
      <c r="W15852" s="5"/>
      <c r="X15852" s="5"/>
      <c r="Y15852" s="5"/>
    </row>
    <row r="15853" spans="1:25" customFormat="1" ht="15" x14ac:dyDescent="0.25">
      <c r="A15853" t="s">
        <v>24</v>
      </c>
      <c r="B15853" t="s">
        <v>55335</v>
      </c>
      <c r="C15853" t="str">
        <f>"A0093172"</f>
        <v>A0093172</v>
      </c>
      <c r="D15853" t="s">
        <v>55336</v>
      </c>
      <c r="E15853" t="s">
        <v>55337</v>
      </c>
      <c r="F15853" t="s">
        <v>2094</v>
      </c>
      <c r="G15853" t="s">
        <v>52</v>
      </c>
      <c r="H15853">
        <v>75261</v>
      </c>
      <c r="I15853" t="s">
        <v>30</v>
      </c>
      <c r="J15853" t="s">
        <v>55338</v>
      </c>
      <c r="K15853" t="s">
        <v>55339</v>
      </c>
      <c r="N15853" t="s">
        <v>55340</v>
      </c>
      <c r="Q15853">
        <v>0</v>
      </c>
      <c r="R15853">
        <v>0</v>
      </c>
      <c r="S15853">
        <v>0</v>
      </c>
      <c r="T15853" t="s">
        <v>55341</v>
      </c>
    </row>
    <row r="15854" spans="1:25" customFormat="1" ht="15" x14ac:dyDescent="0.25">
      <c r="A15854" t="s">
        <v>24</v>
      </c>
      <c r="B15854" t="s">
        <v>55342</v>
      </c>
      <c r="C15854" t="str">
        <f>"A0099736"</f>
        <v>A0099736</v>
      </c>
      <c r="D15854" t="s">
        <v>55343</v>
      </c>
      <c r="E15854" t="s">
        <v>55344</v>
      </c>
      <c r="F15854" t="s">
        <v>845</v>
      </c>
      <c r="G15854" t="s">
        <v>846</v>
      </c>
      <c r="H15854">
        <v>30309</v>
      </c>
      <c r="I15854" t="s">
        <v>30</v>
      </c>
      <c r="J15854" t="s">
        <v>1004</v>
      </c>
      <c r="K15854" t="s">
        <v>163</v>
      </c>
      <c r="N15854" t="s">
        <v>55345</v>
      </c>
      <c r="O15854" t="s">
        <v>55346</v>
      </c>
      <c r="Q15854">
        <v>0</v>
      </c>
      <c r="R15854">
        <v>0</v>
      </c>
      <c r="S15854">
        <v>0</v>
      </c>
      <c r="T15854" t="s">
        <v>55347</v>
      </c>
    </row>
    <row r="15855" spans="1:25" customFormat="1" ht="15" x14ac:dyDescent="0.25">
      <c r="A15855" t="s">
        <v>24</v>
      </c>
      <c r="B15855" t="s">
        <v>55342</v>
      </c>
      <c r="C15855" t="str">
        <f>"A0099737"</f>
        <v>A0099737</v>
      </c>
      <c r="D15855" t="s">
        <v>55348</v>
      </c>
      <c r="E15855" t="s">
        <v>55349</v>
      </c>
      <c r="F15855" t="s">
        <v>5369</v>
      </c>
      <c r="G15855" t="s">
        <v>58</v>
      </c>
      <c r="H15855">
        <v>29401</v>
      </c>
      <c r="I15855" t="s">
        <v>30</v>
      </c>
      <c r="J15855" t="s">
        <v>1004</v>
      </c>
      <c r="K15855" t="s">
        <v>163</v>
      </c>
      <c r="N15855" t="s">
        <v>55350</v>
      </c>
      <c r="Q15855">
        <v>0</v>
      </c>
      <c r="R15855">
        <v>0</v>
      </c>
      <c r="S15855">
        <v>0</v>
      </c>
      <c r="T15855" t="s">
        <v>55351</v>
      </c>
    </row>
    <row r="15856" spans="1:25" customFormat="1" ht="15" x14ac:dyDescent="0.25">
      <c r="A15856" t="s">
        <v>24</v>
      </c>
      <c r="B15856" t="s">
        <v>2011</v>
      </c>
      <c r="C15856" t="str">
        <f>"HY09731"</f>
        <v>HY09731</v>
      </c>
      <c r="D15856" t="s">
        <v>74006</v>
      </c>
      <c r="E15856" t="s">
        <v>74007</v>
      </c>
      <c r="F15856" t="s">
        <v>6404</v>
      </c>
      <c r="G15856" t="s">
        <v>161</v>
      </c>
      <c r="H15856">
        <v>55403</v>
      </c>
      <c r="I15856" t="s">
        <v>30</v>
      </c>
      <c r="J15856" t="s">
        <v>162</v>
      </c>
      <c r="K15856" t="s">
        <v>7598</v>
      </c>
      <c r="N15856" t="s">
        <v>74008</v>
      </c>
      <c r="O15856" t="s">
        <v>74009</v>
      </c>
      <c r="Q15856">
        <v>0</v>
      </c>
      <c r="R15856">
        <v>533</v>
      </c>
      <c r="S15856">
        <v>0</v>
      </c>
      <c r="T15856" t="s">
        <v>74010</v>
      </c>
    </row>
    <row r="15857" spans="1:20" customFormat="1" ht="15" x14ac:dyDescent="0.25">
      <c r="A15857" t="s">
        <v>24</v>
      </c>
      <c r="B15857" t="s">
        <v>2011</v>
      </c>
      <c r="C15857" t="str">
        <f>"HY09709"</f>
        <v>HY09709</v>
      </c>
      <c r="D15857" t="s">
        <v>74011</v>
      </c>
      <c r="E15857" t="s">
        <v>74012</v>
      </c>
      <c r="F15857" t="s">
        <v>2978</v>
      </c>
      <c r="G15857" t="s">
        <v>110</v>
      </c>
      <c r="H15857">
        <v>92109</v>
      </c>
      <c r="I15857" t="s">
        <v>30</v>
      </c>
      <c r="J15857" t="s">
        <v>162</v>
      </c>
      <c r="K15857" t="s">
        <v>7598</v>
      </c>
      <c r="N15857" t="s">
        <v>74013</v>
      </c>
      <c r="P15857" t="s">
        <v>6426</v>
      </c>
      <c r="Q15857">
        <v>0</v>
      </c>
      <c r="R15857">
        <v>421</v>
      </c>
      <c r="S15857">
        <v>0</v>
      </c>
      <c r="T15857" t="s">
        <v>74014</v>
      </c>
    </row>
    <row r="15858" spans="1:20" customFormat="1" ht="15" x14ac:dyDescent="0.25">
      <c r="A15858" t="s">
        <v>24</v>
      </c>
      <c r="B15858" t="s">
        <v>814</v>
      </c>
      <c r="C15858" t="str">
        <f>"HY09175"</f>
        <v>HY09175</v>
      </c>
      <c r="D15858" t="s">
        <v>74015</v>
      </c>
      <c r="E15858" t="s">
        <v>74016</v>
      </c>
      <c r="F15858" t="s">
        <v>2376</v>
      </c>
      <c r="G15858" t="s">
        <v>110</v>
      </c>
      <c r="H15858">
        <v>93940</v>
      </c>
      <c r="I15858" t="s">
        <v>30</v>
      </c>
      <c r="J15858" t="s">
        <v>162</v>
      </c>
      <c r="K15858" t="s">
        <v>7598</v>
      </c>
      <c r="P15858" t="s">
        <v>6426</v>
      </c>
      <c r="Q15858">
        <v>0</v>
      </c>
      <c r="R15858">
        <v>550</v>
      </c>
      <c r="S15858">
        <v>0</v>
      </c>
      <c r="T15858" t="s">
        <v>74017</v>
      </c>
    </row>
    <row r="15859" spans="1:20" customFormat="1" ht="15" x14ac:dyDescent="0.25">
      <c r="A15859" t="s">
        <v>24</v>
      </c>
      <c r="B15859" t="s">
        <v>2011</v>
      </c>
      <c r="C15859" t="str">
        <f>"A0075401"</f>
        <v>A0075401</v>
      </c>
      <c r="D15859" t="s">
        <v>74018</v>
      </c>
      <c r="E15859" t="s">
        <v>74019</v>
      </c>
      <c r="F15859" t="s">
        <v>14436</v>
      </c>
      <c r="G15859" t="s">
        <v>338</v>
      </c>
      <c r="H15859">
        <v>7960</v>
      </c>
      <c r="I15859" t="s">
        <v>30</v>
      </c>
      <c r="J15859" t="s">
        <v>162</v>
      </c>
      <c r="K15859" t="s">
        <v>7598</v>
      </c>
      <c r="N15859" t="s">
        <v>74020</v>
      </c>
      <c r="O15859" t="s">
        <v>72913</v>
      </c>
      <c r="Q15859">
        <v>0</v>
      </c>
      <c r="R15859">
        <v>256</v>
      </c>
      <c r="S15859">
        <v>0</v>
      </c>
      <c r="T15859" t="s">
        <v>74021</v>
      </c>
    </row>
    <row r="15860" spans="1:20" customFormat="1" ht="15" x14ac:dyDescent="0.25">
      <c r="A15860" t="s">
        <v>24</v>
      </c>
      <c r="B15860" t="s">
        <v>2011</v>
      </c>
      <c r="C15860" t="str">
        <f>"HY09742"</f>
        <v>HY09742</v>
      </c>
      <c r="D15860" t="s">
        <v>74022</v>
      </c>
      <c r="E15860" t="s">
        <v>74023</v>
      </c>
      <c r="F15860" t="s">
        <v>15147</v>
      </c>
      <c r="G15860" t="s">
        <v>338</v>
      </c>
      <c r="H15860">
        <v>8901</v>
      </c>
      <c r="I15860" t="s">
        <v>30</v>
      </c>
      <c r="J15860" t="s">
        <v>162</v>
      </c>
      <c r="K15860" t="s">
        <v>7598</v>
      </c>
      <c r="N15860" t="s">
        <v>74024</v>
      </c>
      <c r="O15860" t="s">
        <v>74025</v>
      </c>
      <c r="Q15860">
        <v>0</v>
      </c>
      <c r="R15860">
        <v>288</v>
      </c>
      <c r="S15860">
        <v>0</v>
      </c>
      <c r="T15860" t="s">
        <v>74026</v>
      </c>
    </row>
    <row r="15861" spans="1:20" customFormat="1" ht="15" x14ac:dyDescent="0.25">
      <c r="A15861" t="s">
        <v>24</v>
      </c>
      <c r="B15861" t="s">
        <v>2011</v>
      </c>
      <c r="C15861" t="str">
        <f>"HY09036"</f>
        <v>HY09036</v>
      </c>
      <c r="D15861" t="s">
        <v>74027</v>
      </c>
      <c r="E15861" t="s">
        <v>74028</v>
      </c>
      <c r="F15861" t="s">
        <v>2069</v>
      </c>
      <c r="G15861" t="s">
        <v>1170</v>
      </c>
      <c r="H15861">
        <v>70113</v>
      </c>
      <c r="I15861" t="s">
        <v>30</v>
      </c>
      <c r="J15861" t="s">
        <v>162</v>
      </c>
      <c r="K15861" t="s">
        <v>7598</v>
      </c>
      <c r="N15861" t="s">
        <v>65254</v>
      </c>
      <c r="O15861" t="s">
        <v>74029</v>
      </c>
      <c r="P15861" t="s">
        <v>6426</v>
      </c>
      <c r="Q15861">
        <v>0</v>
      </c>
      <c r="R15861">
        <v>1193</v>
      </c>
      <c r="S15861">
        <v>0</v>
      </c>
      <c r="T15861" t="s">
        <v>74030</v>
      </c>
    </row>
    <row r="15862" spans="1:20" customFormat="1" ht="15" x14ac:dyDescent="0.25">
      <c r="A15862" t="s">
        <v>24</v>
      </c>
      <c r="B15862" t="s">
        <v>2011</v>
      </c>
      <c r="C15862" t="str">
        <f>"HY09603"</f>
        <v>HY09603</v>
      </c>
      <c r="D15862" t="s">
        <v>74031</v>
      </c>
      <c r="E15862" t="s">
        <v>74032</v>
      </c>
      <c r="F15862" t="s">
        <v>34412</v>
      </c>
      <c r="G15862" t="s">
        <v>110</v>
      </c>
      <c r="H15862">
        <v>92660</v>
      </c>
      <c r="I15862" t="s">
        <v>30</v>
      </c>
      <c r="J15862" t="s">
        <v>162</v>
      </c>
      <c r="K15862" t="s">
        <v>7598</v>
      </c>
      <c r="N15862" t="s">
        <v>74033</v>
      </c>
      <c r="O15862" t="s">
        <v>56060</v>
      </c>
      <c r="P15862" t="s">
        <v>6426</v>
      </c>
      <c r="Q15862">
        <v>0</v>
      </c>
      <c r="R15862">
        <v>405</v>
      </c>
      <c r="S15862">
        <v>0</v>
      </c>
      <c r="T15862" t="s">
        <v>74034</v>
      </c>
    </row>
    <row r="15863" spans="1:20" customFormat="1" ht="15" x14ac:dyDescent="0.25">
      <c r="A15863" t="s">
        <v>24</v>
      </c>
      <c r="B15863" t="s">
        <v>2011</v>
      </c>
      <c r="C15863" t="str">
        <f>"HY09026"</f>
        <v>HY09026</v>
      </c>
      <c r="D15863" t="s">
        <v>74035</v>
      </c>
      <c r="E15863" t="s">
        <v>74036</v>
      </c>
      <c r="F15863" t="s">
        <v>9068</v>
      </c>
      <c r="G15863" t="s">
        <v>289</v>
      </c>
      <c r="H15863">
        <v>60018</v>
      </c>
      <c r="I15863" t="s">
        <v>30</v>
      </c>
      <c r="J15863" t="s">
        <v>162</v>
      </c>
      <c r="K15863" t="s">
        <v>7598</v>
      </c>
      <c r="N15863" t="s">
        <v>74037</v>
      </c>
      <c r="O15863" t="s">
        <v>74038</v>
      </c>
      <c r="Q15863">
        <v>0</v>
      </c>
      <c r="R15863">
        <v>1099</v>
      </c>
      <c r="S15863">
        <v>0</v>
      </c>
      <c r="T15863" t="s">
        <v>74039</v>
      </c>
    </row>
    <row r="15864" spans="1:20" customFormat="1" ht="15" x14ac:dyDescent="0.25">
      <c r="A15864" t="s">
        <v>24</v>
      </c>
      <c r="B15864" t="s">
        <v>2011</v>
      </c>
      <c r="C15864" t="str">
        <f>"HY09794"</f>
        <v>HY09794</v>
      </c>
      <c r="D15864" t="s">
        <v>74040</v>
      </c>
      <c r="E15864" t="s">
        <v>74041</v>
      </c>
      <c r="F15864" t="s">
        <v>8319</v>
      </c>
      <c r="G15864" t="s">
        <v>110</v>
      </c>
      <c r="H15864">
        <v>92840</v>
      </c>
      <c r="I15864" t="s">
        <v>30</v>
      </c>
      <c r="J15864" t="s">
        <v>162</v>
      </c>
      <c r="K15864" t="s">
        <v>7598</v>
      </c>
      <c r="N15864" t="s">
        <v>74042</v>
      </c>
      <c r="Q15864">
        <v>0</v>
      </c>
      <c r="R15864">
        <v>653</v>
      </c>
      <c r="S15864">
        <v>0</v>
      </c>
      <c r="T15864" t="s">
        <v>74043</v>
      </c>
    </row>
    <row r="15865" spans="1:20" customFormat="1" ht="15" x14ac:dyDescent="0.25">
      <c r="A15865" t="s">
        <v>24</v>
      </c>
      <c r="B15865" t="s">
        <v>2011</v>
      </c>
      <c r="C15865" t="str">
        <f>"A0064163"</f>
        <v>A0064163</v>
      </c>
      <c r="D15865" t="s">
        <v>74044</v>
      </c>
      <c r="E15865" t="s">
        <v>74045</v>
      </c>
      <c r="F15865" t="s">
        <v>985</v>
      </c>
      <c r="G15865" t="s">
        <v>81</v>
      </c>
      <c r="H15865">
        <v>32819</v>
      </c>
      <c r="I15865" t="s">
        <v>30</v>
      </c>
      <c r="J15865" t="s">
        <v>162</v>
      </c>
      <c r="K15865" t="s">
        <v>7598</v>
      </c>
      <c r="N15865" t="s">
        <v>74046</v>
      </c>
      <c r="O15865" t="s">
        <v>74047</v>
      </c>
      <c r="Q15865">
        <v>0</v>
      </c>
      <c r="R15865">
        <v>1641</v>
      </c>
      <c r="S15865">
        <v>0</v>
      </c>
      <c r="T15865" t="s">
        <v>74048</v>
      </c>
    </row>
    <row r="15866" spans="1:20" customFormat="1" ht="15" x14ac:dyDescent="0.25">
      <c r="A15866" t="s">
        <v>24</v>
      </c>
      <c r="B15866" t="s">
        <v>55335</v>
      </c>
      <c r="C15866" t="str">
        <f>"A0096489"</f>
        <v>A0096489</v>
      </c>
      <c r="D15866" t="s">
        <v>55394</v>
      </c>
      <c r="E15866" t="s">
        <v>55395</v>
      </c>
      <c r="F15866" t="s">
        <v>1564</v>
      </c>
      <c r="G15866" t="s">
        <v>52</v>
      </c>
      <c r="H15866">
        <v>77032</v>
      </c>
      <c r="I15866" t="s">
        <v>30</v>
      </c>
      <c r="J15866" t="s">
        <v>55338</v>
      </c>
      <c r="K15866" t="s">
        <v>55339</v>
      </c>
      <c r="N15866" t="s">
        <v>55396</v>
      </c>
      <c r="Q15866">
        <v>0</v>
      </c>
      <c r="R15866">
        <v>0</v>
      </c>
      <c r="S15866">
        <v>0</v>
      </c>
      <c r="T15866" t="s">
        <v>55397</v>
      </c>
    </row>
    <row r="15867" spans="1:20" customFormat="1" ht="15" x14ac:dyDescent="0.25">
      <c r="A15867" t="s">
        <v>24</v>
      </c>
      <c r="B15867" t="s">
        <v>55335</v>
      </c>
      <c r="C15867" t="str">
        <f>"A0096490"</f>
        <v>A0096490</v>
      </c>
      <c r="D15867" t="s">
        <v>55398</v>
      </c>
      <c r="E15867" t="s">
        <v>55395</v>
      </c>
      <c r="F15867" t="s">
        <v>1564</v>
      </c>
      <c r="G15867" t="s">
        <v>52</v>
      </c>
      <c r="H15867">
        <v>77032</v>
      </c>
      <c r="I15867" t="s">
        <v>30</v>
      </c>
      <c r="J15867" t="s">
        <v>55338</v>
      </c>
      <c r="K15867" t="s">
        <v>55339</v>
      </c>
      <c r="N15867" t="s">
        <v>55396</v>
      </c>
      <c r="Q15867">
        <v>0</v>
      </c>
      <c r="R15867">
        <v>0</v>
      </c>
      <c r="S15867">
        <v>0</v>
      </c>
      <c r="T15867" t="s">
        <v>55397</v>
      </c>
    </row>
    <row r="15868" spans="1:20" customFormat="1" ht="15" x14ac:dyDescent="0.25">
      <c r="A15868" t="s">
        <v>24</v>
      </c>
      <c r="B15868" t="s">
        <v>55335</v>
      </c>
      <c r="C15868" t="str">
        <f>"A0096477"</f>
        <v>A0096477</v>
      </c>
      <c r="D15868" t="s">
        <v>55399</v>
      </c>
      <c r="E15868" t="s">
        <v>55400</v>
      </c>
      <c r="F15868" t="s">
        <v>196</v>
      </c>
      <c r="G15868" t="s">
        <v>197</v>
      </c>
      <c r="H15868">
        <v>85034</v>
      </c>
      <c r="I15868" t="s">
        <v>30</v>
      </c>
      <c r="J15868" t="s">
        <v>55338</v>
      </c>
      <c r="K15868" t="s">
        <v>55339</v>
      </c>
      <c r="N15868" t="s">
        <v>55401</v>
      </c>
      <c r="Q15868">
        <v>0</v>
      </c>
      <c r="R15868">
        <v>0</v>
      </c>
      <c r="S15868">
        <v>0</v>
      </c>
      <c r="T15868" t="s">
        <v>55402</v>
      </c>
    </row>
    <row r="15869" spans="1:20" customFormat="1" ht="15" x14ac:dyDescent="0.25">
      <c r="A15869" t="s">
        <v>24</v>
      </c>
      <c r="B15869" t="s">
        <v>55335</v>
      </c>
      <c r="C15869" t="str">
        <f>"A0096476"</f>
        <v>A0096476</v>
      </c>
      <c r="D15869" t="s">
        <v>55403</v>
      </c>
      <c r="E15869" t="s">
        <v>55404</v>
      </c>
      <c r="F15869" t="s">
        <v>985</v>
      </c>
      <c r="G15869" t="s">
        <v>81</v>
      </c>
      <c r="H15869">
        <v>32827</v>
      </c>
      <c r="I15869" t="s">
        <v>30</v>
      </c>
      <c r="J15869" t="s">
        <v>55338</v>
      </c>
      <c r="K15869" t="s">
        <v>55339</v>
      </c>
      <c r="N15869" t="s">
        <v>55405</v>
      </c>
      <c r="Q15869">
        <v>0</v>
      </c>
      <c r="R15869">
        <v>0</v>
      </c>
      <c r="S15869">
        <v>0</v>
      </c>
      <c r="T15869" t="s">
        <v>55406</v>
      </c>
    </row>
    <row r="15870" spans="1:20" customFormat="1" ht="15" x14ac:dyDescent="0.25">
      <c r="A15870" t="s">
        <v>24</v>
      </c>
      <c r="B15870" t="s">
        <v>55335</v>
      </c>
      <c r="C15870" t="str">
        <f>"A0054441"</f>
        <v>A0054441</v>
      </c>
      <c r="D15870" t="s">
        <v>55407</v>
      </c>
      <c r="E15870" t="s">
        <v>55408</v>
      </c>
      <c r="F15870" t="s">
        <v>220</v>
      </c>
      <c r="G15870" t="s">
        <v>221</v>
      </c>
      <c r="H15870">
        <v>89111</v>
      </c>
      <c r="I15870" t="s">
        <v>30</v>
      </c>
      <c r="J15870" t="s">
        <v>55338</v>
      </c>
      <c r="K15870" t="s">
        <v>55339</v>
      </c>
      <c r="N15870" t="s">
        <v>55409</v>
      </c>
      <c r="Q15870">
        <v>0</v>
      </c>
      <c r="R15870">
        <v>0</v>
      </c>
      <c r="S15870">
        <v>0</v>
      </c>
      <c r="T15870" t="s">
        <v>55410</v>
      </c>
    </row>
    <row r="15871" spans="1:20" customFormat="1" ht="15" x14ac:dyDescent="0.25">
      <c r="A15871" t="s">
        <v>24</v>
      </c>
      <c r="B15871" t="s">
        <v>2011</v>
      </c>
      <c r="C15871" t="str">
        <f>"HY09612"</f>
        <v>HY09612</v>
      </c>
      <c r="D15871" t="s">
        <v>74049</v>
      </c>
      <c r="E15871" t="s">
        <v>74050</v>
      </c>
      <c r="F15871" t="s">
        <v>985</v>
      </c>
      <c r="G15871" t="s">
        <v>81</v>
      </c>
      <c r="H15871">
        <v>32827</v>
      </c>
      <c r="I15871" t="s">
        <v>30</v>
      </c>
      <c r="J15871" t="s">
        <v>162</v>
      </c>
      <c r="K15871" t="s">
        <v>7598</v>
      </c>
      <c r="N15871" t="s">
        <v>74051</v>
      </c>
      <c r="O15871" t="s">
        <v>74052</v>
      </c>
      <c r="P15871" t="s">
        <v>6426</v>
      </c>
      <c r="Q15871">
        <v>0</v>
      </c>
      <c r="R15871">
        <v>445</v>
      </c>
      <c r="S15871">
        <v>0</v>
      </c>
      <c r="T15871" t="s">
        <v>74053</v>
      </c>
    </row>
    <row r="15872" spans="1:20" customFormat="1" ht="15" x14ac:dyDescent="0.25">
      <c r="A15872" t="s">
        <v>24</v>
      </c>
      <c r="B15872" t="s">
        <v>2011</v>
      </c>
      <c r="C15872" t="str">
        <f>"HY09713"</f>
        <v>HY09713</v>
      </c>
      <c r="D15872" t="s">
        <v>74054</v>
      </c>
      <c r="E15872" t="s">
        <v>74055</v>
      </c>
      <c r="F15872" t="s">
        <v>196</v>
      </c>
      <c r="G15872" t="s">
        <v>197</v>
      </c>
      <c r="H15872">
        <v>85004</v>
      </c>
      <c r="I15872" t="s">
        <v>30</v>
      </c>
      <c r="J15872" t="s">
        <v>162</v>
      </c>
      <c r="K15872" t="s">
        <v>7598</v>
      </c>
      <c r="N15872" t="s">
        <v>74056</v>
      </c>
      <c r="O15872" t="s">
        <v>74057</v>
      </c>
      <c r="Q15872">
        <v>0</v>
      </c>
      <c r="R15872">
        <v>696</v>
      </c>
      <c r="S15872">
        <v>0</v>
      </c>
      <c r="T15872" t="s">
        <v>74058</v>
      </c>
    </row>
    <row r="15873" spans="1:20" customFormat="1" ht="15" x14ac:dyDescent="0.25">
      <c r="A15873" t="s">
        <v>24</v>
      </c>
      <c r="B15873" t="s">
        <v>13730</v>
      </c>
      <c r="C15873" t="str">
        <f>"HY09716"</f>
        <v>HY09716</v>
      </c>
      <c r="D15873" t="s">
        <v>74059</v>
      </c>
      <c r="E15873" t="s">
        <v>74060</v>
      </c>
      <c r="F15873" t="s">
        <v>271</v>
      </c>
      <c r="G15873" t="s">
        <v>103</v>
      </c>
      <c r="H15873">
        <v>15231</v>
      </c>
      <c r="I15873" t="s">
        <v>30</v>
      </c>
      <c r="J15873" t="s">
        <v>162</v>
      </c>
      <c r="K15873" t="s">
        <v>7598</v>
      </c>
      <c r="N15873" t="s">
        <v>66956</v>
      </c>
      <c r="O15873" t="s">
        <v>74061</v>
      </c>
      <c r="P15873" t="s">
        <v>6426</v>
      </c>
      <c r="Q15873">
        <v>0</v>
      </c>
      <c r="R15873">
        <v>336</v>
      </c>
      <c r="S15873">
        <v>0</v>
      </c>
      <c r="T15873" t="s">
        <v>74062</v>
      </c>
    </row>
    <row r="15874" spans="1:20" customFormat="1" ht="15" x14ac:dyDescent="0.25">
      <c r="A15874" t="s">
        <v>24</v>
      </c>
      <c r="B15874" t="s">
        <v>2011</v>
      </c>
      <c r="C15874" t="str">
        <f>"A0151705"</f>
        <v>A0151705</v>
      </c>
      <c r="D15874" t="s">
        <v>74063</v>
      </c>
      <c r="E15874" t="s">
        <v>74064</v>
      </c>
      <c r="F15874" t="s">
        <v>6593</v>
      </c>
      <c r="G15874" t="s">
        <v>47</v>
      </c>
      <c r="H15874">
        <v>97232</v>
      </c>
      <c r="I15874" t="s">
        <v>30</v>
      </c>
      <c r="J15874" t="s">
        <v>162</v>
      </c>
      <c r="K15874" t="s">
        <v>7598</v>
      </c>
      <c r="N15874" t="s">
        <v>74065</v>
      </c>
      <c r="O15874" t="s">
        <v>74066</v>
      </c>
      <c r="Q15874">
        <v>0</v>
      </c>
      <c r="R15874">
        <v>600</v>
      </c>
      <c r="S15874">
        <v>0</v>
      </c>
      <c r="T15874" t="s">
        <v>54430</v>
      </c>
    </row>
    <row r="15875" spans="1:20" customFormat="1" ht="15" x14ac:dyDescent="0.25">
      <c r="A15875" t="s">
        <v>24</v>
      </c>
      <c r="B15875" t="s">
        <v>13679</v>
      </c>
      <c r="C15875" t="str">
        <f>"HY09747"</f>
        <v>HY09747</v>
      </c>
      <c r="D15875" t="s">
        <v>74067</v>
      </c>
      <c r="E15875" t="s">
        <v>74068</v>
      </c>
      <c r="F15875" t="s">
        <v>6888</v>
      </c>
      <c r="G15875" t="s">
        <v>338</v>
      </c>
      <c r="H15875">
        <v>8540</v>
      </c>
      <c r="I15875" t="s">
        <v>30</v>
      </c>
      <c r="J15875" t="s">
        <v>162</v>
      </c>
      <c r="K15875" t="s">
        <v>7598</v>
      </c>
      <c r="N15875" t="s">
        <v>74069</v>
      </c>
      <c r="O15875" t="s">
        <v>74070</v>
      </c>
      <c r="P15875" t="s">
        <v>6426</v>
      </c>
      <c r="Q15875">
        <v>0</v>
      </c>
      <c r="R15875">
        <v>330</v>
      </c>
      <c r="S15875">
        <v>0</v>
      </c>
      <c r="T15875" t="s">
        <v>74071</v>
      </c>
    </row>
    <row r="15876" spans="1:20" customFormat="1" ht="15" x14ac:dyDescent="0.25">
      <c r="A15876" t="s">
        <v>24</v>
      </c>
      <c r="B15876" t="s">
        <v>2011</v>
      </c>
      <c r="C15876" t="str">
        <f>"HY09592"</f>
        <v>HY09592</v>
      </c>
      <c r="D15876" t="s">
        <v>74072</v>
      </c>
      <c r="E15876" t="s">
        <v>74073</v>
      </c>
      <c r="F15876" t="s">
        <v>74074</v>
      </c>
      <c r="G15876" t="s">
        <v>29</v>
      </c>
      <c r="H15876">
        <v>20190</v>
      </c>
      <c r="I15876" t="s">
        <v>30</v>
      </c>
      <c r="J15876" t="s">
        <v>162</v>
      </c>
      <c r="K15876" t="s">
        <v>7598</v>
      </c>
      <c r="N15876" t="s">
        <v>74075</v>
      </c>
      <c r="P15876" t="s">
        <v>6426</v>
      </c>
      <c r="Q15876">
        <v>0</v>
      </c>
      <c r="R15876">
        <v>517</v>
      </c>
      <c r="S15876">
        <v>0</v>
      </c>
      <c r="T15876" t="s">
        <v>74076</v>
      </c>
    </row>
    <row r="15877" spans="1:20" customFormat="1" ht="15" x14ac:dyDescent="0.25">
      <c r="A15877" t="s">
        <v>24</v>
      </c>
      <c r="B15877" t="s">
        <v>2011</v>
      </c>
      <c r="C15877" t="str">
        <f>"HY09781"</f>
        <v>HY09781</v>
      </c>
      <c r="D15877" t="s">
        <v>74077</v>
      </c>
      <c r="E15877" t="s">
        <v>74078</v>
      </c>
      <c r="F15877" t="s">
        <v>3517</v>
      </c>
      <c r="G15877" t="s">
        <v>110</v>
      </c>
      <c r="H15877">
        <v>95814</v>
      </c>
      <c r="I15877" t="s">
        <v>30</v>
      </c>
      <c r="J15877" t="s">
        <v>162</v>
      </c>
      <c r="K15877" t="s">
        <v>7598</v>
      </c>
      <c r="N15877" t="s">
        <v>62924</v>
      </c>
      <c r="O15877" t="s">
        <v>74079</v>
      </c>
      <c r="P15877" t="s">
        <v>6426</v>
      </c>
      <c r="Q15877">
        <v>0</v>
      </c>
      <c r="R15877">
        <v>500</v>
      </c>
      <c r="S15877">
        <v>0</v>
      </c>
      <c r="T15877" t="s">
        <v>74080</v>
      </c>
    </row>
    <row r="15878" spans="1:20" customFormat="1" ht="15" x14ac:dyDescent="0.25">
      <c r="A15878" t="s">
        <v>24</v>
      </c>
      <c r="B15878" t="s">
        <v>2011</v>
      </c>
      <c r="C15878" t="str">
        <f>"HY09740"</f>
        <v>HY09740</v>
      </c>
      <c r="D15878" t="s">
        <v>74081</v>
      </c>
      <c r="E15878" t="s">
        <v>74082</v>
      </c>
      <c r="F15878" t="s">
        <v>356</v>
      </c>
      <c r="G15878" t="s">
        <v>52</v>
      </c>
      <c r="H15878">
        <v>78205</v>
      </c>
      <c r="I15878" t="s">
        <v>30</v>
      </c>
      <c r="J15878" t="s">
        <v>162</v>
      </c>
      <c r="K15878" t="s">
        <v>7598</v>
      </c>
      <c r="N15878" t="s">
        <v>74083</v>
      </c>
      <c r="P15878" t="s">
        <v>6426</v>
      </c>
      <c r="Q15878">
        <v>0</v>
      </c>
      <c r="R15878">
        <v>632</v>
      </c>
      <c r="S15878">
        <v>0</v>
      </c>
      <c r="T15878" t="s">
        <v>74084</v>
      </c>
    </row>
    <row r="15879" spans="1:20" customFormat="1" ht="15" x14ac:dyDescent="0.25">
      <c r="A15879" t="s">
        <v>24</v>
      </c>
      <c r="B15879" t="s">
        <v>2011</v>
      </c>
      <c r="C15879" t="str">
        <f>"HY09787"</f>
        <v>HY09787</v>
      </c>
      <c r="D15879" t="s">
        <v>74085</v>
      </c>
      <c r="E15879" t="s">
        <v>74086</v>
      </c>
      <c r="F15879" t="s">
        <v>74087</v>
      </c>
      <c r="G15879" t="s">
        <v>110</v>
      </c>
      <c r="H15879">
        <v>94010</v>
      </c>
      <c r="I15879" t="s">
        <v>30</v>
      </c>
      <c r="J15879" t="s">
        <v>162</v>
      </c>
      <c r="K15879" t="s">
        <v>7598</v>
      </c>
      <c r="N15879" t="s">
        <v>74088</v>
      </c>
      <c r="P15879" t="s">
        <v>6426</v>
      </c>
      <c r="Q15879">
        <v>0</v>
      </c>
      <c r="R15879">
        <v>793</v>
      </c>
      <c r="S15879">
        <v>0</v>
      </c>
      <c r="T15879" t="s">
        <v>74089</v>
      </c>
    </row>
    <row r="15880" spans="1:20" customFormat="1" ht="15" x14ac:dyDescent="0.25">
      <c r="A15880" t="s">
        <v>24</v>
      </c>
      <c r="B15880" t="s">
        <v>2011</v>
      </c>
      <c r="C15880" t="str">
        <f>"A0075800"</f>
        <v>A0075800</v>
      </c>
      <c r="D15880" t="s">
        <v>74090</v>
      </c>
      <c r="E15880" t="s">
        <v>74091</v>
      </c>
      <c r="F15880" t="s">
        <v>5123</v>
      </c>
      <c r="G15880" t="s">
        <v>110</v>
      </c>
      <c r="H15880">
        <v>95054</v>
      </c>
      <c r="I15880" t="s">
        <v>30</v>
      </c>
      <c r="J15880" t="s">
        <v>162</v>
      </c>
      <c r="K15880" t="s">
        <v>7598</v>
      </c>
      <c r="N15880" t="s">
        <v>74092</v>
      </c>
      <c r="O15880" t="s">
        <v>74093</v>
      </c>
      <c r="Q15880">
        <v>0</v>
      </c>
      <c r="R15880">
        <v>505</v>
      </c>
      <c r="S15880">
        <v>0</v>
      </c>
      <c r="T15880" t="s">
        <v>74094</v>
      </c>
    </row>
    <row r="15881" spans="1:20" customFormat="1" ht="15" x14ac:dyDescent="0.25">
      <c r="A15881" t="s">
        <v>24</v>
      </c>
      <c r="B15881" t="s">
        <v>2011</v>
      </c>
      <c r="C15881" t="str">
        <f>"HY09734"</f>
        <v>HY09734</v>
      </c>
      <c r="D15881" t="s">
        <v>74095</v>
      </c>
      <c r="E15881" t="s">
        <v>74096</v>
      </c>
      <c r="F15881" t="s">
        <v>2839</v>
      </c>
      <c r="G15881" t="s">
        <v>846</v>
      </c>
      <c r="H15881">
        <v>31401</v>
      </c>
      <c r="I15881" t="s">
        <v>30</v>
      </c>
      <c r="J15881" t="s">
        <v>162</v>
      </c>
      <c r="K15881" t="s">
        <v>7598</v>
      </c>
      <c r="N15881" t="s">
        <v>74097</v>
      </c>
      <c r="O15881" t="s">
        <v>74098</v>
      </c>
      <c r="P15881" t="s">
        <v>6426</v>
      </c>
      <c r="Q15881">
        <v>0</v>
      </c>
      <c r="R15881">
        <v>350</v>
      </c>
      <c r="S15881">
        <v>0</v>
      </c>
      <c r="T15881" t="s">
        <v>74099</v>
      </c>
    </row>
    <row r="15882" spans="1:20" customFormat="1" ht="15" x14ac:dyDescent="0.25">
      <c r="A15882" t="s">
        <v>24</v>
      </c>
      <c r="B15882" t="s">
        <v>3367</v>
      </c>
      <c r="C15882" t="str">
        <f>"HY09735"</f>
        <v>HY09735</v>
      </c>
      <c r="D15882" t="s">
        <v>74100</v>
      </c>
      <c r="E15882" t="s">
        <v>74101</v>
      </c>
      <c r="F15882" t="s">
        <v>4003</v>
      </c>
      <c r="G15882" t="s">
        <v>289</v>
      </c>
      <c r="H15882">
        <v>60173</v>
      </c>
      <c r="I15882" t="s">
        <v>30</v>
      </c>
      <c r="J15882" t="s">
        <v>162</v>
      </c>
      <c r="K15882" t="s">
        <v>7598</v>
      </c>
      <c r="N15882" t="s">
        <v>74102</v>
      </c>
      <c r="Q15882">
        <v>0</v>
      </c>
      <c r="R15882">
        <v>459</v>
      </c>
      <c r="S15882">
        <v>0</v>
      </c>
      <c r="T15882" t="s">
        <v>74103</v>
      </c>
    </row>
    <row r="15883" spans="1:20" customFormat="1" ht="15" x14ac:dyDescent="0.25">
      <c r="A15883" t="s">
        <v>24</v>
      </c>
      <c r="B15883" t="s">
        <v>2011</v>
      </c>
      <c r="C15883" t="str">
        <f>"HY09770"</f>
        <v>HY09770</v>
      </c>
      <c r="D15883" t="s">
        <v>74104</v>
      </c>
      <c r="E15883" t="s">
        <v>74105</v>
      </c>
      <c r="F15883" t="s">
        <v>2014</v>
      </c>
      <c r="G15883" t="s">
        <v>197</v>
      </c>
      <c r="H15883">
        <v>85258</v>
      </c>
      <c r="I15883" t="s">
        <v>30</v>
      </c>
      <c r="J15883" t="s">
        <v>162</v>
      </c>
      <c r="K15883" t="s">
        <v>7598</v>
      </c>
      <c r="N15883" t="s">
        <v>74106</v>
      </c>
      <c r="O15883" t="s">
        <v>74107</v>
      </c>
      <c r="P15883" t="s">
        <v>992</v>
      </c>
      <c r="Q15883">
        <v>0</v>
      </c>
      <c r="R15883">
        <v>493</v>
      </c>
      <c r="S15883">
        <v>0</v>
      </c>
      <c r="T15883" t="s">
        <v>74108</v>
      </c>
    </row>
    <row r="15884" spans="1:20" customFormat="1" ht="15" x14ac:dyDescent="0.25">
      <c r="A15884" t="s">
        <v>24</v>
      </c>
      <c r="B15884" t="s">
        <v>2011</v>
      </c>
      <c r="C15884" t="str">
        <f>"A0099412"</f>
        <v>A0099412</v>
      </c>
      <c r="D15884" t="s">
        <v>74109</v>
      </c>
      <c r="E15884" t="s">
        <v>74110</v>
      </c>
      <c r="F15884" t="s">
        <v>2900</v>
      </c>
      <c r="G15884" t="s">
        <v>76</v>
      </c>
      <c r="H15884">
        <v>98101</v>
      </c>
      <c r="I15884" t="s">
        <v>30</v>
      </c>
      <c r="J15884" t="s">
        <v>162</v>
      </c>
      <c r="K15884" t="s">
        <v>7598</v>
      </c>
      <c r="N15884" t="s">
        <v>74111</v>
      </c>
      <c r="O15884" t="s">
        <v>74112</v>
      </c>
      <c r="Q15884">
        <v>0</v>
      </c>
      <c r="R15884">
        <v>1260</v>
      </c>
      <c r="S15884">
        <v>0</v>
      </c>
      <c r="T15884" t="s">
        <v>74113</v>
      </c>
    </row>
    <row r="15885" spans="1:20" customFormat="1" ht="15" x14ac:dyDescent="0.25">
      <c r="A15885" t="s">
        <v>24</v>
      </c>
      <c r="B15885" t="s">
        <v>2011</v>
      </c>
      <c r="C15885" t="str">
        <f>"A0060552"</f>
        <v>A0060552</v>
      </c>
      <c r="D15885" t="s">
        <v>74114</v>
      </c>
      <c r="E15885" t="s">
        <v>74115</v>
      </c>
      <c r="F15885" t="s">
        <v>3860</v>
      </c>
      <c r="G15885" t="s">
        <v>137</v>
      </c>
      <c r="H15885">
        <v>63102</v>
      </c>
      <c r="I15885" t="s">
        <v>30</v>
      </c>
      <c r="J15885" t="s">
        <v>162</v>
      </c>
      <c r="K15885" t="s">
        <v>7598</v>
      </c>
      <c r="N15885" t="s">
        <v>74116</v>
      </c>
      <c r="O15885" t="s">
        <v>74117</v>
      </c>
      <c r="Q15885">
        <v>0</v>
      </c>
      <c r="R15885">
        <v>910</v>
      </c>
      <c r="S15885">
        <v>0</v>
      </c>
      <c r="T15885" t="s">
        <v>74118</v>
      </c>
    </row>
    <row r="15886" spans="1:20" customFormat="1" ht="15" hidden="1" x14ac:dyDescent="0.25">
      <c r="A15886" t="s">
        <v>24</v>
      </c>
      <c r="B15886" t="s">
        <v>675</v>
      </c>
      <c r="C15886" t="str">
        <f>"A0136798"</f>
        <v>A0136798</v>
      </c>
      <c r="D15886" t="s">
        <v>55477</v>
      </c>
      <c r="E15886" t="s">
        <v>55478</v>
      </c>
      <c r="F15886" t="s">
        <v>55479</v>
      </c>
      <c r="G15886" t="s">
        <v>6356</v>
      </c>
      <c r="H15886">
        <v>10203</v>
      </c>
      <c r="I15886" t="s">
        <v>4803</v>
      </c>
      <c r="J15886" t="s">
        <v>171</v>
      </c>
      <c r="K15886" t="s">
        <v>2077</v>
      </c>
      <c r="N15886" t="s">
        <v>55480</v>
      </c>
      <c r="Q15886">
        <v>0</v>
      </c>
      <c r="R15886">
        <v>130</v>
      </c>
      <c r="S15886">
        <v>0</v>
      </c>
      <c r="T15886" t="s">
        <v>55481</v>
      </c>
    </row>
    <row r="15887" spans="1:20" customFormat="1" ht="15" x14ac:dyDescent="0.25">
      <c r="A15887" t="s">
        <v>24</v>
      </c>
      <c r="B15887" t="s">
        <v>13299</v>
      </c>
      <c r="C15887" t="str">
        <f>"HY09609"</f>
        <v>HY09609</v>
      </c>
      <c r="D15887" t="s">
        <v>74119</v>
      </c>
      <c r="E15887" t="s">
        <v>74120</v>
      </c>
      <c r="F15887" t="s">
        <v>1215</v>
      </c>
      <c r="G15887" t="s">
        <v>846</v>
      </c>
      <c r="H15887">
        <v>30067</v>
      </c>
      <c r="I15887" t="s">
        <v>30</v>
      </c>
      <c r="J15887" t="s">
        <v>162</v>
      </c>
      <c r="K15887" t="s">
        <v>7598</v>
      </c>
      <c r="N15887" t="s">
        <v>55091</v>
      </c>
      <c r="O15887" t="s">
        <v>74121</v>
      </c>
      <c r="P15887" t="s">
        <v>6426</v>
      </c>
      <c r="Q15887">
        <v>0</v>
      </c>
      <c r="R15887">
        <v>202</v>
      </c>
      <c r="S15887">
        <v>0</v>
      </c>
      <c r="T15887" t="s">
        <v>74122</v>
      </c>
    </row>
    <row r="15888" spans="1:20" customFormat="1" ht="15" x14ac:dyDescent="0.25">
      <c r="A15888" t="s">
        <v>24</v>
      </c>
      <c r="B15888" t="s">
        <v>2011</v>
      </c>
      <c r="C15888" t="str">
        <f>"HY09865"</f>
        <v>HY09865</v>
      </c>
      <c r="D15888" t="s">
        <v>74123</v>
      </c>
      <c r="E15888" t="s">
        <v>74124</v>
      </c>
      <c r="F15888" t="s">
        <v>74125</v>
      </c>
      <c r="G15888" t="s">
        <v>1587</v>
      </c>
      <c r="H15888">
        <v>87004</v>
      </c>
      <c r="I15888" t="s">
        <v>30</v>
      </c>
      <c r="J15888" t="s">
        <v>162</v>
      </c>
      <c r="K15888" t="s">
        <v>7598</v>
      </c>
      <c r="N15888" t="s">
        <v>74126</v>
      </c>
      <c r="O15888" t="s">
        <v>74127</v>
      </c>
      <c r="P15888" t="s">
        <v>3998</v>
      </c>
      <c r="Q15888">
        <v>1</v>
      </c>
      <c r="R15888">
        <v>350</v>
      </c>
      <c r="S15888">
        <v>0</v>
      </c>
      <c r="T15888" t="s">
        <v>74128</v>
      </c>
    </row>
    <row r="15889" spans="1:20" customFormat="1" ht="15" hidden="1" x14ac:dyDescent="0.25">
      <c r="A15889" t="s">
        <v>24</v>
      </c>
      <c r="B15889" t="s">
        <v>675</v>
      </c>
      <c r="C15889" t="str">
        <f>"A0095906"</f>
        <v>A0095906</v>
      </c>
      <c r="D15889" t="s">
        <v>55491</v>
      </c>
      <c r="E15889" t="s">
        <v>55492</v>
      </c>
      <c r="F15889" t="s">
        <v>10769</v>
      </c>
      <c r="G15889" t="s">
        <v>4481</v>
      </c>
      <c r="H15889">
        <v>44610</v>
      </c>
      <c r="I15889" t="s">
        <v>2408</v>
      </c>
      <c r="J15889" t="s">
        <v>171</v>
      </c>
      <c r="K15889" t="s">
        <v>2077</v>
      </c>
      <c r="N15889" t="s">
        <v>55493</v>
      </c>
      <c r="Q15889">
        <v>0</v>
      </c>
      <c r="R15889">
        <v>188</v>
      </c>
      <c r="S15889">
        <v>0</v>
      </c>
      <c r="T15889" t="s">
        <v>55494</v>
      </c>
    </row>
    <row r="15890" spans="1:20" customFormat="1" ht="15" x14ac:dyDescent="0.25">
      <c r="A15890" t="s">
        <v>24</v>
      </c>
      <c r="B15890" t="s">
        <v>2011</v>
      </c>
      <c r="C15890" t="str">
        <f>"A0093558"</f>
        <v>A0093558</v>
      </c>
      <c r="D15890" t="s">
        <v>74139</v>
      </c>
      <c r="E15890" t="s">
        <v>74140</v>
      </c>
      <c r="F15890" t="s">
        <v>74141</v>
      </c>
      <c r="G15890" t="s">
        <v>29</v>
      </c>
      <c r="H15890">
        <v>22102</v>
      </c>
      <c r="I15890" t="s">
        <v>30</v>
      </c>
      <c r="J15890" t="s">
        <v>162</v>
      </c>
      <c r="K15890" t="s">
        <v>7598</v>
      </c>
      <c r="N15890" t="s">
        <v>74142</v>
      </c>
      <c r="O15890" t="s">
        <v>74143</v>
      </c>
      <c r="Q15890">
        <v>0</v>
      </c>
      <c r="R15890">
        <v>300</v>
      </c>
      <c r="S15890">
        <v>0</v>
      </c>
      <c r="T15890" t="s">
        <v>74144</v>
      </c>
    </row>
    <row r="15891" spans="1:20" customFormat="1" ht="15" x14ac:dyDescent="0.25">
      <c r="A15891" t="s">
        <v>24</v>
      </c>
      <c r="B15891" t="s">
        <v>13679</v>
      </c>
      <c r="C15891" t="str">
        <f>"HY09852"</f>
        <v>HY09852</v>
      </c>
      <c r="D15891" t="s">
        <v>74145</v>
      </c>
      <c r="E15891" t="s">
        <v>74146</v>
      </c>
      <c r="F15891" t="s">
        <v>62091</v>
      </c>
      <c r="G15891" t="s">
        <v>110</v>
      </c>
      <c r="H15891">
        <v>91355</v>
      </c>
      <c r="I15891" t="s">
        <v>30</v>
      </c>
      <c r="J15891" t="s">
        <v>162</v>
      </c>
      <c r="K15891" t="s">
        <v>7598</v>
      </c>
      <c r="N15891" t="s">
        <v>74147</v>
      </c>
      <c r="O15891" t="s">
        <v>74148</v>
      </c>
      <c r="Q15891">
        <v>0</v>
      </c>
      <c r="R15891">
        <v>244</v>
      </c>
      <c r="S15891">
        <v>0</v>
      </c>
      <c r="T15891" t="s">
        <v>74149</v>
      </c>
    </row>
    <row r="15892" spans="1:20" customFormat="1" ht="15" x14ac:dyDescent="0.25">
      <c r="A15892" t="s">
        <v>24</v>
      </c>
      <c r="B15892" t="s">
        <v>1849</v>
      </c>
      <c r="C15892" t="str">
        <f>"A0093793"</f>
        <v>A0093793</v>
      </c>
      <c r="D15892" t="s">
        <v>74156</v>
      </c>
      <c r="E15892" t="s">
        <v>74157</v>
      </c>
      <c r="F15892" t="s">
        <v>74158</v>
      </c>
      <c r="G15892" t="s">
        <v>846</v>
      </c>
      <c r="H15892">
        <v>30319</v>
      </c>
      <c r="I15892" t="s">
        <v>30</v>
      </c>
      <c r="J15892" t="s">
        <v>162</v>
      </c>
      <c r="K15892" t="s">
        <v>7598</v>
      </c>
      <c r="N15892" t="s">
        <v>74159</v>
      </c>
      <c r="Q15892">
        <v>0</v>
      </c>
      <c r="R15892">
        <v>182</v>
      </c>
      <c r="S15892">
        <v>0</v>
      </c>
      <c r="T15892" t="s">
        <v>74160</v>
      </c>
    </row>
    <row r="15893" spans="1:20" customFormat="1" ht="15" x14ac:dyDescent="0.25">
      <c r="A15893" t="s">
        <v>24</v>
      </c>
      <c r="B15893" t="s">
        <v>2011</v>
      </c>
      <c r="C15893" t="str">
        <f>"HY09718"</f>
        <v>HY09718</v>
      </c>
      <c r="D15893" t="s">
        <v>74165</v>
      </c>
      <c r="E15893" t="s">
        <v>74166</v>
      </c>
      <c r="F15893" t="s">
        <v>13767</v>
      </c>
      <c r="G15893" t="s">
        <v>4815</v>
      </c>
      <c r="H15893">
        <v>96815</v>
      </c>
      <c r="I15893" t="s">
        <v>30</v>
      </c>
      <c r="J15893" t="s">
        <v>162</v>
      </c>
      <c r="K15893" t="s">
        <v>7598</v>
      </c>
      <c r="N15893" t="s">
        <v>66973</v>
      </c>
      <c r="O15893" t="s">
        <v>74167</v>
      </c>
      <c r="Q15893">
        <v>0</v>
      </c>
      <c r="R15893">
        <v>1230</v>
      </c>
      <c r="S15893">
        <v>0</v>
      </c>
      <c r="T15893" t="s">
        <v>74168</v>
      </c>
    </row>
    <row r="15894" spans="1:20" customFormat="1" ht="15" x14ac:dyDescent="0.25">
      <c r="A15894" t="s">
        <v>24</v>
      </c>
      <c r="B15894" t="s">
        <v>2011</v>
      </c>
      <c r="C15894" t="str">
        <f>"HY09035"</f>
        <v>HY09035</v>
      </c>
      <c r="D15894" t="s">
        <v>74169</v>
      </c>
      <c r="E15894" t="s">
        <v>74170</v>
      </c>
      <c r="F15894" t="s">
        <v>313</v>
      </c>
      <c r="G15894" t="s">
        <v>314</v>
      </c>
      <c r="H15894">
        <v>20001</v>
      </c>
      <c r="I15894" t="s">
        <v>30</v>
      </c>
      <c r="J15894" t="s">
        <v>162</v>
      </c>
      <c r="K15894" t="s">
        <v>7598</v>
      </c>
      <c r="N15894" t="s">
        <v>72913</v>
      </c>
      <c r="O15894" t="s">
        <v>74171</v>
      </c>
      <c r="Q15894">
        <v>0</v>
      </c>
      <c r="R15894">
        <v>837</v>
      </c>
      <c r="S15894">
        <v>0</v>
      </c>
      <c r="T15894" t="s">
        <v>74172</v>
      </c>
    </row>
    <row r="15895" spans="1:20" customFormat="1" ht="15" x14ac:dyDescent="0.25">
      <c r="A15895" t="s">
        <v>24</v>
      </c>
      <c r="B15895" t="s">
        <v>13679</v>
      </c>
      <c r="C15895" t="str">
        <f>"HY09793"</f>
        <v>HY09793</v>
      </c>
      <c r="D15895" t="s">
        <v>74173</v>
      </c>
      <c r="E15895" t="s">
        <v>74174</v>
      </c>
      <c r="F15895" t="s">
        <v>74175</v>
      </c>
      <c r="G15895" t="s">
        <v>110</v>
      </c>
      <c r="H15895">
        <v>91361</v>
      </c>
      <c r="I15895" t="s">
        <v>30</v>
      </c>
      <c r="J15895" t="s">
        <v>162</v>
      </c>
      <c r="K15895" t="s">
        <v>7598</v>
      </c>
      <c r="N15895" t="s">
        <v>74176</v>
      </c>
      <c r="Q15895">
        <v>0</v>
      </c>
      <c r="R15895">
        <v>263</v>
      </c>
      <c r="S15895">
        <v>0</v>
      </c>
      <c r="T15895" t="s">
        <v>74177</v>
      </c>
    </row>
    <row r="15896" spans="1:20" customFormat="1" ht="15" x14ac:dyDescent="0.25">
      <c r="A15896" t="s">
        <v>24</v>
      </c>
      <c r="B15896" t="s">
        <v>59423</v>
      </c>
      <c r="C15896" t="str">
        <f>"HY09821"</f>
        <v>HY09821</v>
      </c>
      <c r="D15896" t="s">
        <v>74178</v>
      </c>
      <c r="E15896" t="s">
        <v>74179</v>
      </c>
      <c r="F15896" t="s">
        <v>1871</v>
      </c>
      <c r="G15896" t="s">
        <v>925</v>
      </c>
      <c r="H15896">
        <v>67202</v>
      </c>
      <c r="I15896" t="s">
        <v>30</v>
      </c>
      <c r="J15896" t="s">
        <v>162</v>
      </c>
      <c r="K15896" t="s">
        <v>7598</v>
      </c>
      <c r="N15896" t="s">
        <v>74180</v>
      </c>
      <c r="O15896" t="s">
        <v>74181</v>
      </c>
      <c r="Q15896">
        <v>0</v>
      </c>
      <c r="R15896">
        <v>303</v>
      </c>
      <c r="S15896">
        <v>0</v>
      </c>
      <c r="T15896" t="s">
        <v>74182</v>
      </c>
    </row>
    <row r="15897" spans="1:20" customFormat="1" ht="15" x14ac:dyDescent="0.25">
      <c r="A15897" t="s">
        <v>24</v>
      </c>
      <c r="B15897" t="s">
        <v>2011</v>
      </c>
      <c r="C15897" t="str">
        <f>"A0087876"</f>
        <v>A0087876</v>
      </c>
      <c r="D15897" t="s">
        <v>74191</v>
      </c>
      <c r="E15897" t="s">
        <v>74192</v>
      </c>
      <c r="F15897" t="s">
        <v>693</v>
      </c>
      <c r="G15897" t="s">
        <v>110</v>
      </c>
      <c r="H15897">
        <v>90802</v>
      </c>
      <c r="I15897" t="s">
        <v>30</v>
      </c>
      <c r="J15897" t="s">
        <v>162</v>
      </c>
      <c r="K15897" t="s">
        <v>1845</v>
      </c>
      <c r="Q15897">
        <v>0</v>
      </c>
      <c r="R15897">
        <v>138</v>
      </c>
      <c r="S15897">
        <v>0</v>
      </c>
      <c r="T15897" t="s">
        <v>74193</v>
      </c>
    </row>
    <row r="15898" spans="1:20" customFormat="1" ht="15" x14ac:dyDescent="0.25">
      <c r="A15898" t="s">
        <v>24</v>
      </c>
      <c r="B15898" t="s">
        <v>1020</v>
      </c>
      <c r="C15898" t="str">
        <f>"A0091750"</f>
        <v>A0091750</v>
      </c>
      <c r="D15898" t="s">
        <v>74194</v>
      </c>
      <c r="E15898" t="s">
        <v>74195</v>
      </c>
      <c r="F15898" t="s">
        <v>74196</v>
      </c>
      <c r="G15898" t="s">
        <v>99</v>
      </c>
      <c r="H15898">
        <v>10003</v>
      </c>
      <c r="I15898" t="s">
        <v>30</v>
      </c>
      <c r="J15898" t="s">
        <v>162</v>
      </c>
      <c r="K15898" t="s">
        <v>72841</v>
      </c>
      <c r="N15898" t="s">
        <v>13601</v>
      </c>
      <c r="O15898" t="s">
        <v>72306</v>
      </c>
      <c r="Q15898">
        <v>0</v>
      </c>
      <c r="R15898">
        <v>178</v>
      </c>
      <c r="S15898">
        <v>0</v>
      </c>
      <c r="T15898" t="s">
        <v>74197</v>
      </c>
    </row>
    <row r="15899" spans="1:20" customFormat="1" ht="15" hidden="1" x14ac:dyDescent="0.25">
      <c r="A15899" t="s">
        <v>24</v>
      </c>
      <c r="B15899" t="s">
        <v>675</v>
      </c>
      <c r="C15899" t="str">
        <f>"A0094796"</f>
        <v>A0094796</v>
      </c>
      <c r="D15899" t="s">
        <v>55533</v>
      </c>
      <c r="E15899" t="s">
        <v>55534</v>
      </c>
      <c r="F15899" t="s">
        <v>55535</v>
      </c>
      <c r="G15899" t="s">
        <v>8864</v>
      </c>
      <c r="I15899" t="s">
        <v>3147</v>
      </c>
      <c r="J15899" t="s">
        <v>171</v>
      </c>
      <c r="K15899" t="s">
        <v>2077</v>
      </c>
      <c r="N15899" t="s">
        <v>55536</v>
      </c>
      <c r="O15899" t="s">
        <v>55537</v>
      </c>
      <c r="Q15899">
        <v>0</v>
      </c>
      <c r="R15899">
        <v>92</v>
      </c>
      <c r="S15899">
        <v>0</v>
      </c>
      <c r="T15899" t="s">
        <v>55538</v>
      </c>
    </row>
    <row r="15900" spans="1:20" customFormat="1" ht="15" x14ac:dyDescent="0.25">
      <c r="A15900" t="s">
        <v>24</v>
      </c>
      <c r="B15900" t="s">
        <v>799</v>
      </c>
      <c r="C15900" t="str">
        <f>"A0098966"</f>
        <v>A0098966</v>
      </c>
      <c r="D15900" t="s">
        <v>74322</v>
      </c>
      <c r="E15900" t="s">
        <v>74323</v>
      </c>
      <c r="F15900" t="s">
        <v>3540</v>
      </c>
      <c r="G15900" t="s">
        <v>85</v>
      </c>
      <c r="H15900">
        <v>72701</v>
      </c>
      <c r="I15900" t="s">
        <v>30</v>
      </c>
      <c r="J15900" t="s">
        <v>162</v>
      </c>
      <c r="K15900" t="s">
        <v>163</v>
      </c>
      <c r="N15900" t="s">
        <v>74324</v>
      </c>
      <c r="O15900" t="s">
        <v>74325</v>
      </c>
      <c r="Q15900">
        <v>0</v>
      </c>
      <c r="R15900">
        <v>49</v>
      </c>
      <c r="S15900">
        <v>0</v>
      </c>
      <c r="T15900" t="s">
        <v>74326</v>
      </c>
    </row>
    <row r="15901" spans="1:20" customFormat="1" ht="15" x14ac:dyDescent="0.25">
      <c r="A15901" t="s">
        <v>24</v>
      </c>
      <c r="B15901" t="s">
        <v>5843</v>
      </c>
      <c r="C15901" t="str">
        <f>"A0061146"</f>
        <v>A0061146</v>
      </c>
      <c r="D15901" t="s">
        <v>74331</v>
      </c>
      <c r="E15901" t="s">
        <v>74332</v>
      </c>
      <c r="F15901" t="s">
        <v>74333</v>
      </c>
      <c r="G15901" t="s">
        <v>110</v>
      </c>
      <c r="H15901">
        <v>93442</v>
      </c>
      <c r="I15901" t="s">
        <v>30</v>
      </c>
      <c r="J15901" t="s">
        <v>162</v>
      </c>
      <c r="K15901" t="s">
        <v>163</v>
      </c>
      <c r="N15901" t="s">
        <v>7237</v>
      </c>
      <c r="Q15901">
        <v>0</v>
      </c>
      <c r="R15901">
        <v>98</v>
      </c>
      <c r="S15901">
        <v>0</v>
      </c>
      <c r="T15901" t="s">
        <v>74334</v>
      </c>
    </row>
    <row r="15902" spans="1:20" customFormat="1" ht="15" x14ac:dyDescent="0.25">
      <c r="A15902" t="s">
        <v>24</v>
      </c>
      <c r="B15902" t="s">
        <v>675</v>
      </c>
      <c r="C15902" t="str">
        <f>"A0091808"</f>
        <v>A0091808</v>
      </c>
      <c r="D15902" t="s">
        <v>74335</v>
      </c>
      <c r="E15902" t="s">
        <v>74336</v>
      </c>
      <c r="F15902" t="s">
        <v>2971</v>
      </c>
      <c r="G15902" t="s">
        <v>880</v>
      </c>
      <c r="H15902">
        <v>37214</v>
      </c>
      <c r="I15902" t="s">
        <v>30</v>
      </c>
      <c r="J15902" t="s">
        <v>162</v>
      </c>
      <c r="K15902" t="s">
        <v>64967</v>
      </c>
      <c r="N15902" t="s">
        <v>74337</v>
      </c>
      <c r="O15902" t="s">
        <v>66717</v>
      </c>
      <c r="Q15902">
        <v>0</v>
      </c>
      <c r="R15902">
        <v>303</v>
      </c>
      <c r="S15902">
        <v>0</v>
      </c>
      <c r="T15902" t="s">
        <v>74338</v>
      </c>
    </row>
    <row r="15903" spans="1:20" customFormat="1" ht="15" x14ac:dyDescent="0.25">
      <c r="A15903" t="s">
        <v>24</v>
      </c>
      <c r="B15903" t="s">
        <v>63096</v>
      </c>
      <c r="C15903" t="str">
        <f>"A0090987"</f>
        <v>A0090987</v>
      </c>
      <c r="D15903" t="s">
        <v>74348</v>
      </c>
      <c r="E15903" t="s">
        <v>74349</v>
      </c>
      <c r="F15903" t="s">
        <v>16728</v>
      </c>
      <c r="G15903" t="s">
        <v>52</v>
      </c>
      <c r="H15903">
        <v>77551</v>
      </c>
      <c r="I15903" t="s">
        <v>30</v>
      </c>
      <c r="J15903" t="s">
        <v>162</v>
      </c>
      <c r="K15903" t="s">
        <v>163</v>
      </c>
      <c r="N15903" t="s">
        <v>74350</v>
      </c>
      <c r="Q15903">
        <v>0</v>
      </c>
      <c r="R15903">
        <v>151</v>
      </c>
      <c r="S15903">
        <v>0</v>
      </c>
      <c r="T15903" t="s">
        <v>74351</v>
      </c>
    </row>
    <row r="15904" spans="1:20" customFormat="1" ht="15" x14ac:dyDescent="0.25">
      <c r="A15904" t="s">
        <v>24</v>
      </c>
      <c r="B15904" t="s">
        <v>63096</v>
      </c>
      <c r="C15904" t="str">
        <f>"A0090988"</f>
        <v>A0090988</v>
      </c>
      <c r="D15904" t="s">
        <v>74357</v>
      </c>
      <c r="E15904" t="s">
        <v>74358</v>
      </c>
      <c r="F15904" t="s">
        <v>74359</v>
      </c>
      <c r="G15904" t="s">
        <v>52</v>
      </c>
      <c r="H15904">
        <v>78028</v>
      </c>
      <c r="I15904" t="s">
        <v>30</v>
      </c>
      <c r="J15904" t="s">
        <v>162</v>
      </c>
      <c r="K15904" t="s">
        <v>163</v>
      </c>
      <c r="N15904" t="s">
        <v>74360</v>
      </c>
      <c r="Q15904">
        <v>0</v>
      </c>
      <c r="R15904">
        <v>166</v>
      </c>
      <c r="S15904">
        <v>0</v>
      </c>
      <c r="T15904" t="s">
        <v>74361</v>
      </c>
    </row>
    <row r="15905" spans="1:20" customFormat="1" ht="15" x14ac:dyDescent="0.25">
      <c r="A15905" t="s">
        <v>24</v>
      </c>
      <c r="B15905" t="s">
        <v>74366</v>
      </c>
      <c r="C15905" t="str">
        <f>"A0096632"</f>
        <v>A0096632</v>
      </c>
      <c r="D15905" t="s">
        <v>74367</v>
      </c>
      <c r="E15905" t="s">
        <v>74368</v>
      </c>
      <c r="F15905" t="s">
        <v>997</v>
      </c>
      <c r="G15905" t="s">
        <v>99</v>
      </c>
      <c r="H15905">
        <v>10001</v>
      </c>
      <c r="I15905" t="s">
        <v>30</v>
      </c>
      <c r="J15905" t="s">
        <v>162</v>
      </c>
      <c r="K15905" t="s">
        <v>163</v>
      </c>
      <c r="N15905" t="s">
        <v>74369</v>
      </c>
      <c r="O15905" t="s">
        <v>74370</v>
      </c>
      <c r="Q15905">
        <v>0</v>
      </c>
      <c r="R15905">
        <v>313</v>
      </c>
      <c r="S15905">
        <v>0</v>
      </c>
      <c r="T15905" t="s">
        <v>74371</v>
      </c>
    </row>
    <row r="15906" spans="1:20" customFormat="1" ht="15" hidden="1" x14ac:dyDescent="0.25">
      <c r="A15906" t="s">
        <v>24</v>
      </c>
      <c r="B15906" t="s">
        <v>675</v>
      </c>
      <c r="C15906" t="str">
        <f>"A0095891"</f>
        <v>A0095891</v>
      </c>
      <c r="D15906" t="s">
        <v>55562</v>
      </c>
      <c r="E15906" t="s">
        <v>55563</v>
      </c>
      <c r="F15906" t="s">
        <v>55564</v>
      </c>
      <c r="G15906" t="s">
        <v>4493</v>
      </c>
      <c r="H15906">
        <v>76127</v>
      </c>
      <c r="I15906" t="s">
        <v>2408</v>
      </c>
      <c r="J15906" t="s">
        <v>171</v>
      </c>
      <c r="K15906" t="s">
        <v>2077</v>
      </c>
      <c r="N15906" t="s">
        <v>55565</v>
      </c>
      <c r="Q15906">
        <v>0</v>
      </c>
      <c r="R15906">
        <v>175</v>
      </c>
      <c r="S15906">
        <v>0</v>
      </c>
      <c r="T15906" t="s">
        <v>55566</v>
      </c>
    </row>
    <row r="15907" spans="1:20" customFormat="1" ht="15" x14ac:dyDescent="0.25">
      <c r="A15907" t="s">
        <v>24</v>
      </c>
      <c r="B15907" t="s">
        <v>1020</v>
      </c>
      <c r="C15907" t="str">
        <f>"A0062519"</f>
        <v>A0062519</v>
      </c>
      <c r="D15907" t="s">
        <v>74395</v>
      </c>
      <c r="E15907" t="s">
        <v>74396</v>
      </c>
      <c r="F15907" t="s">
        <v>5855</v>
      </c>
      <c r="G15907" t="s">
        <v>81</v>
      </c>
      <c r="H15907">
        <v>33036</v>
      </c>
      <c r="I15907" t="s">
        <v>30</v>
      </c>
      <c r="J15907" t="s">
        <v>162</v>
      </c>
      <c r="K15907" t="s">
        <v>163</v>
      </c>
      <c r="N15907" t="s">
        <v>74397</v>
      </c>
      <c r="O15907" t="s">
        <v>74398</v>
      </c>
      <c r="Q15907">
        <v>0</v>
      </c>
      <c r="R15907">
        <v>139</v>
      </c>
      <c r="S15907">
        <v>0</v>
      </c>
      <c r="T15907" t="s">
        <v>74399</v>
      </c>
    </row>
    <row r="15908" spans="1:20" customFormat="1" ht="15" hidden="1" x14ac:dyDescent="0.25">
      <c r="A15908" t="s">
        <v>24</v>
      </c>
      <c r="B15908" t="s">
        <v>55572</v>
      </c>
      <c r="C15908" t="str">
        <f>"A0097866"</f>
        <v>A0097866</v>
      </c>
      <c r="D15908" t="s">
        <v>55573</v>
      </c>
      <c r="E15908" t="s">
        <v>55574</v>
      </c>
      <c r="F15908" t="s">
        <v>5874</v>
      </c>
      <c r="G15908" t="s">
        <v>3843</v>
      </c>
      <c r="H15908">
        <v>5348</v>
      </c>
      <c r="I15908" t="s">
        <v>2408</v>
      </c>
      <c r="J15908" t="s">
        <v>171</v>
      </c>
      <c r="K15908" t="s">
        <v>2077</v>
      </c>
      <c r="N15908" t="s">
        <v>55575</v>
      </c>
      <c r="O15908" t="s">
        <v>55576</v>
      </c>
      <c r="Q15908">
        <v>0</v>
      </c>
      <c r="R15908">
        <v>160</v>
      </c>
      <c r="S15908">
        <v>0</v>
      </c>
      <c r="T15908" t="s">
        <v>55577</v>
      </c>
    </row>
    <row r="15909" spans="1:20" customFormat="1" ht="15" x14ac:dyDescent="0.25">
      <c r="A15909" t="s">
        <v>24</v>
      </c>
      <c r="B15909" t="s">
        <v>5435</v>
      </c>
      <c r="C15909" t="str">
        <f>"A0094496"</f>
        <v>A0094496</v>
      </c>
      <c r="D15909" t="s">
        <v>74400</v>
      </c>
      <c r="E15909" t="s">
        <v>74401</v>
      </c>
      <c r="F15909" t="s">
        <v>10663</v>
      </c>
      <c r="G15909" t="s">
        <v>99</v>
      </c>
      <c r="H15909">
        <v>14850</v>
      </c>
      <c r="I15909" t="s">
        <v>30</v>
      </c>
      <c r="J15909" t="s">
        <v>162</v>
      </c>
      <c r="K15909" t="s">
        <v>1490</v>
      </c>
      <c r="N15909" t="s">
        <v>74402</v>
      </c>
      <c r="Q15909">
        <v>0</v>
      </c>
      <c r="R15909">
        <v>158</v>
      </c>
      <c r="S15909">
        <v>0</v>
      </c>
      <c r="T15909" t="s">
        <v>74403</v>
      </c>
    </row>
    <row r="15910" spans="1:20" customFormat="1" ht="15" x14ac:dyDescent="0.25">
      <c r="A15910" t="s">
        <v>24</v>
      </c>
      <c r="B15910" t="s">
        <v>2011</v>
      </c>
      <c r="C15910" t="str">
        <f>"A0155388"</f>
        <v>A0155388</v>
      </c>
      <c r="D15910" t="s">
        <v>74433</v>
      </c>
      <c r="E15910" t="s">
        <v>74434</v>
      </c>
      <c r="F15910" t="s">
        <v>74435</v>
      </c>
      <c r="G15910" t="s">
        <v>110</v>
      </c>
      <c r="H15910">
        <v>95340</v>
      </c>
      <c r="I15910" t="s">
        <v>30</v>
      </c>
      <c r="J15910" t="s">
        <v>162</v>
      </c>
      <c r="K15910" t="s">
        <v>13246</v>
      </c>
      <c r="N15910" t="s">
        <v>74436</v>
      </c>
      <c r="O15910" t="s">
        <v>74437</v>
      </c>
      <c r="Q15910">
        <v>0</v>
      </c>
      <c r="R15910">
        <v>114</v>
      </c>
      <c r="S15910">
        <v>0</v>
      </c>
      <c r="T15910" t="s">
        <v>3073</v>
      </c>
    </row>
    <row r="15911" spans="1:20" customFormat="1" ht="15" x14ac:dyDescent="0.25">
      <c r="A15911" t="s">
        <v>24</v>
      </c>
      <c r="B15911" t="s">
        <v>2238</v>
      </c>
      <c r="C15911" t="str">
        <f>"A0097008"</f>
        <v>A0097008</v>
      </c>
      <c r="D15911" t="s">
        <v>74444</v>
      </c>
      <c r="E15911" t="s">
        <v>74445</v>
      </c>
      <c r="F15911" t="s">
        <v>1601</v>
      </c>
      <c r="G15911" t="s">
        <v>846</v>
      </c>
      <c r="H15911">
        <v>31527</v>
      </c>
      <c r="I15911" t="s">
        <v>30</v>
      </c>
      <c r="J15911" t="s">
        <v>162</v>
      </c>
      <c r="K15911" t="s">
        <v>163</v>
      </c>
      <c r="N15911" t="s">
        <v>74446</v>
      </c>
      <c r="Q15911">
        <v>0</v>
      </c>
      <c r="R15911">
        <v>157</v>
      </c>
      <c r="S15911">
        <v>0</v>
      </c>
      <c r="T15911" t="s">
        <v>74447</v>
      </c>
    </row>
    <row r="15912" spans="1:20" customFormat="1" ht="15" hidden="1" x14ac:dyDescent="0.25">
      <c r="A15912" t="s">
        <v>24</v>
      </c>
      <c r="B15912" t="s">
        <v>675</v>
      </c>
      <c r="C15912" t="str">
        <f>"A0098069"</f>
        <v>A0098069</v>
      </c>
      <c r="D15912" t="s">
        <v>55591</v>
      </c>
      <c r="E15912" t="s">
        <v>55592</v>
      </c>
      <c r="F15912" t="s">
        <v>55593</v>
      </c>
      <c r="G15912" t="s">
        <v>5840</v>
      </c>
      <c r="H15912">
        <v>94293</v>
      </c>
      <c r="I15912" t="s">
        <v>2408</v>
      </c>
      <c r="J15912" t="s">
        <v>171</v>
      </c>
      <c r="K15912" t="s">
        <v>2077</v>
      </c>
      <c r="N15912" t="s">
        <v>55594</v>
      </c>
      <c r="Q15912">
        <v>0</v>
      </c>
      <c r="R15912">
        <v>166</v>
      </c>
      <c r="S15912">
        <v>0</v>
      </c>
      <c r="T15912" t="s">
        <v>55595</v>
      </c>
    </row>
    <row r="15913" spans="1:20" customFormat="1" ht="15" x14ac:dyDescent="0.25">
      <c r="A15913" t="s">
        <v>24</v>
      </c>
      <c r="B15913" t="s">
        <v>1849</v>
      </c>
      <c r="C15913" t="str">
        <f>"A0093900"</f>
        <v>A0093900</v>
      </c>
      <c r="D15913" t="s">
        <v>74448</v>
      </c>
      <c r="E15913" t="s">
        <v>74449</v>
      </c>
      <c r="F15913" t="s">
        <v>985</v>
      </c>
      <c r="G15913" t="s">
        <v>81</v>
      </c>
      <c r="H15913">
        <v>32827</v>
      </c>
      <c r="I15913" t="s">
        <v>30</v>
      </c>
      <c r="J15913" t="s">
        <v>162</v>
      </c>
      <c r="K15913" t="s">
        <v>163</v>
      </c>
      <c r="N15913" t="s">
        <v>74450</v>
      </c>
      <c r="O15913" t="s">
        <v>74451</v>
      </c>
      <c r="Q15913">
        <v>0</v>
      </c>
      <c r="R15913">
        <v>192</v>
      </c>
      <c r="S15913">
        <v>0</v>
      </c>
      <c r="T15913" t="s">
        <v>74452</v>
      </c>
    </row>
    <row r="15914" spans="1:20" customFormat="1" ht="15" x14ac:dyDescent="0.25">
      <c r="A15914" t="s">
        <v>24</v>
      </c>
      <c r="B15914" t="s">
        <v>1467</v>
      </c>
      <c r="C15914" t="str">
        <f>"A0091293"</f>
        <v>A0091293</v>
      </c>
      <c r="D15914" t="s">
        <v>74453</v>
      </c>
      <c r="E15914" t="s">
        <v>74454</v>
      </c>
      <c r="F15914" t="s">
        <v>58975</v>
      </c>
      <c r="G15914" t="s">
        <v>899</v>
      </c>
      <c r="H15914">
        <v>2360</v>
      </c>
      <c r="I15914" t="s">
        <v>30</v>
      </c>
      <c r="J15914" t="s">
        <v>162</v>
      </c>
      <c r="K15914" t="s">
        <v>163</v>
      </c>
      <c r="N15914" t="s">
        <v>74455</v>
      </c>
      <c r="Q15914">
        <v>0</v>
      </c>
      <c r="R15914">
        <v>80</v>
      </c>
      <c r="S15914">
        <v>0</v>
      </c>
      <c r="T15914" t="s">
        <v>74456</v>
      </c>
    </row>
    <row r="15915" spans="1:20" customFormat="1" ht="15" x14ac:dyDescent="0.25">
      <c r="A15915" t="s">
        <v>24</v>
      </c>
      <c r="B15915" t="s">
        <v>675</v>
      </c>
      <c r="C15915" t="str">
        <f>"33714"</f>
        <v>33714</v>
      </c>
      <c r="D15915" t="s">
        <v>74467</v>
      </c>
      <c r="E15915" t="s">
        <v>74468</v>
      </c>
      <c r="F15915" t="s">
        <v>2014</v>
      </c>
      <c r="G15915" t="s">
        <v>197</v>
      </c>
      <c r="H15915">
        <v>85253</v>
      </c>
      <c r="I15915" t="s">
        <v>30</v>
      </c>
      <c r="J15915" t="s">
        <v>162</v>
      </c>
      <c r="K15915" t="s">
        <v>10770</v>
      </c>
      <c r="N15915" t="s">
        <v>74469</v>
      </c>
      <c r="O15915" t="s">
        <v>74470</v>
      </c>
      <c r="P15915" t="s">
        <v>3998</v>
      </c>
      <c r="Q15915">
        <v>2</v>
      </c>
      <c r="R15915">
        <v>453</v>
      </c>
      <c r="S15915">
        <v>0</v>
      </c>
      <c r="T15915" t="s">
        <v>74471</v>
      </c>
    </row>
    <row r="15916" spans="1:20" customFormat="1" ht="15" hidden="1" x14ac:dyDescent="0.25">
      <c r="A15916" t="s">
        <v>24</v>
      </c>
      <c r="B15916" t="s">
        <v>675</v>
      </c>
      <c r="C15916" t="str">
        <f>"A0100059"</f>
        <v>A0100059</v>
      </c>
      <c r="D15916" t="s">
        <v>55611</v>
      </c>
      <c r="E15916" t="s">
        <v>55612</v>
      </c>
      <c r="F15916" t="s">
        <v>55613</v>
      </c>
      <c r="G15916" t="s">
        <v>55614</v>
      </c>
      <c r="I15916" t="s">
        <v>55613</v>
      </c>
      <c r="J15916" t="s">
        <v>171</v>
      </c>
      <c r="K15916" t="s">
        <v>2077</v>
      </c>
      <c r="N15916" t="s">
        <v>55615</v>
      </c>
      <c r="O15916" t="s">
        <v>55616</v>
      </c>
      <c r="Q15916">
        <v>0</v>
      </c>
      <c r="R15916">
        <v>114</v>
      </c>
      <c r="S15916">
        <v>0</v>
      </c>
      <c r="T15916" t="s">
        <v>55617</v>
      </c>
    </row>
    <row r="15917" spans="1:20" customFormat="1" ht="15" x14ac:dyDescent="0.25">
      <c r="A15917" t="s">
        <v>24</v>
      </c>
      <c r="B15917" t="s">
        <v>675</v>
      </c>
      <c r="C15917" t="str">
        <f>"A0088527"</f>
        <v>A0088527</v>
      </c>
      <c r="D15917" t="s">
        <v>74477</v>
      </c>
      <c r="E15917" t="s">
        <v>74478</v>
      </c>
      <c r="F15917" t="s">
        <v>716</v>
      </c>
      <c r="G15917" t="s">
        <v>289</v>
      </c>
      <c r="H15917">
        <v>60606</v>
      </c>
      <c r="I15917" t="s">
        <v>30</v>
      </c>
      <c r="J15917" t="s">
        <v>162</v>
      </c>
      <c r="K15917" t="s">
        <v>10770</v>
      </c>
      <c r="N15917" t="s">
        <v>74479</v>
      </c>
      <c r="Q15917">
        <v>0</v>
      </c>
      <c r="R15917">
        <v>610</v>
      </c>
      <c r="S15917">
        <v>0</v>
      </c>
      <c r="T15917" t="s">
        <v>74480</v>
      </c>
    </row>
    <row r="15918" spans="1:20" customFormat="1" ht="15" x14ac:dyDescent="0.25">
      <c r="A15918" t="s">
        <v>24</v>
      </c>
      <c r="B15918" t="s">
        <v>675</v>
      </c>
      <c r="C15918" t="str">
        <f>"337X2"</f>
        <v>337X2</v>
      </c>
      <c r="D15918" t="s">
        <v>74481</v>
      </c>
      <c r="E15918" t="s">
        <v>74482</v>
      </c>
      <c r="F15918" t="s">
        <v>196</v>
      </c>
      <c r="G15918" t="s">
        <v>197</v>
      </c>
      <c r="H15918">
        <v>85054</v>
      </c>
      <c r="I15918" t="s">
        <v>30</v>
      </c>
      <c r="J15918" t="s">
        <v>162</v>
      </c>
      <c r="K15918" t="s">
        <v>10770</v>
      </c>
      <c r="N15918" t="s">
        <v>74483</v>
      </c>
      <c r="O15918" t="s">
        <v>74484</v>
      </c>
      <c r="P15918" t="s">
        <v>3998</v>
      </c>
      <c r="Q15918">
        <v>2</v>
      </c>
      <c r="R15918">
        <v>950</v>
      </c>
      <c r="S15918">
        <v>0</v>
      </c>
      <c r="T15918" t="s">
        <v>74485</v>
      </c>
    </row>
    <row r="15919" spans="1:20" customFormat="1" ht="15" x14ac:dyDescent="0.25">
      <c r="A15919" t="s">
        <v>24</v>
      </c>
      <c r="B15919" t="s">
        <v>675</v>
      </c>
      <c r="C15919" t="str">
        <f>"337E4"</f>
        <v>337E4</v>
      </c>
      <c r="D15919" t="s">
        <v>74486</v>
      </c>
      <c r="E15919" t="s">
        <v>74487</v>
      </c>
      <c r="F15919" t="s">
        <v>10152</v>
      </c>
      <c r="G15919" t="s">
        <v>110</v>
      </c>
      <c r="H15919">
        <v>92260</v>
      </c>
      <c r="I15919" t="s">
        <v>30</v>
      </c>
      <c r="J15919" t="s">
        <v>162</v>
      </c>
      <c r="K15919" t="s">
        <v>10770</v>
      </c>
      <c r="N15919" t="s">
        <v>74488</v>
      </c>
      <c r="O15919" t="s">
        <v>74489</v>
      </c>
      <c r="P15919" t="s">
        <v>3998</v>
      </c>
      <c r="Q15919">
        <v>2</v>
      </c>
      <c r="R15919">
        <v>884</v>
      </c>
      <c r="S15919">
        <v>0</v>
      </c>
      <c r="T15919" t="s">
        <v>74490</v>
      </c>
    </row>
    <row r="15920" spans="1:20" customFormat="1" ht="15" x14ac:dyDescent="0.25">
      <c r="A15920" t="s">
        <v>24</v>
      </c>
      <c r="B15920" t="s">
        <v>55633</v>
      </c>
      <c r="C15920" t="str">
        <f>"A0090501"</f>
        <v>A0090501</v>
      </c>
      <c r="D15920" t="s">
        <v>55634</v>
      </c>
      <c r="E15920" t="s">
        <v>55635</v>
      </c>
      <c r="F15920" t="s">
        <v>55636</v>
      </c>
      <c r="G15920" t="s">
        <v>137</v>
      </c>
      <c r="H15920">
        <v>64014</v>
      </c>
      <c r="I15920" t="s">
        <v>30</v>
      </c>
      <c r="J15920" t="s">
        <v>7657</v>
      </c>
      <c r="K15920" t="s">
        <v>163</v>
      </c>
      <c r="N15920" t="s">
        <v>55637</v>
      </c>
      <c r="O15920" t="s">
        <v>55638</v>
      </c>
      <c r="Q15920">
        <v>0</v>
      </c>
      <c r="R15920">
        <v>0</v>
      </c>
      <c r="S15920">
        <v>0</v>
      </c>
      <c r="T15920" t="s">
        <v>55639</v>
      </c>
    </row>
    <row r="15921" spans="1:25" customFormat="1" ht="15" x14ac:dyDescent="0.25">
      <c r="A15921" t="s">
        <v>24</v>
      </c>
      <c r="B15921" t="s">
        <v>55640</v>
      </c>
      <c r="C15921" t="str">
        <f>"A0084382"</f>
        <v>A0084382</v>
      </c>
      <c r="D15921" t="s">
        <v>55641</v>
      </c>
      <c r="E15921" t="s">
        <v>55642</v>
      </c>
      <c r="F15921" t="s">
        <v>8081</v>
      </c>
      <c r="G15921" t="s">
        <v>110</v>
      </c>
      <c r="H15921">
        <v>94102</v>
      </c>
      <c r="I15921" t="s">
        <v>30</v>
      </c>
      <c r="J15921" t="s">
        <v>31</v>
      </c>
      <c r="K15921" t="s">
        <v>163</v>
      </c>
      <c r="N15921" t="s">
        <v>55643</v>
      </c>
      <c r="Q15921">
        <v>0</v>
      </c>
      <c r="R15921">
        <v>92</v>
      </c>
      <c r="S15921">
        <v>0</v>
      </c>
      <c r="T15921" t="s">
        <v>55644</v>
      </c>
    </row>
    <row r="15922" spans="1:25" x14ac:dyDescent="0.25">
      <c r="A15922" s="5" t="s">
        <v>24</v>
      </c>
      <c r="B15922" s="5" t="s">
        <v>13679</v>
      </c>
      <c r="C15922" s="5" t="str">
        <f>"A0093218"</f>
        <v>A0093218</v>
      </c>
      <c r="D15922" s="5" t="s">
        <v>74491</v>
      </c>
      <c r="E15922" s="5" t="s">
        <v>74492</v>
      </c>
      <c r="F15922" s="5" t="s">
        <v>1564</v>
      </c>
      <c r="G15922" s="5" t="s">
        <v>52</v>
      </c>
      <c r="H15922" s="5">
        <v>77002</v>
      </c>
      <c r="I15922" s="5" t="s">
        <v>30</v>
      </c>
      <c r="J15922" s="5" t="s">
        <v>162</v>
      </c>
      <c r="K15922" s="5" t="s">
        <v>10770</v>
      </c>
      <c r="L15922" s="5"/>
      <c r="M15922" s="5"/>
      <c r="N15922" s="5" t="s">
        <v>74493</v>
      </c>
      <c r="O15922" s="5"/>
      <c r="P15922" s="5"/>
      <c r="Q15922" s="5">
        <v>0</v>
      </c>
      <c r="R15922" s="5">
        <v>323</v>
      </c>
      <c r="S15922" s="5">
        <v>0</v>
      </c>
      <c r="T15922" s="5" t="s">
        <v>74494</v>
      </c>
      <c r="U15922" s="5"/>
      <c r="V15922" s="5"/>
      <c r="W15922" s="5"/>
      <c r="X15922" s="5"/>
      <c r="Y15922" s="5"/>
    </row>
    <row r="15923" spans="1:25" customFormat="1" ht="15" x14ac:dyDescent="0.25">
      <c r="A15923" t="s">
        <v>24</v>
      </c>
      <c r="B15923" t="s">
        <v>8771</v>
      </c>
      <c r="C15923" t="str">
        <f>"A0098793"</f>
        <v>A0098793</v>
      </c>
      <c r="D15923" t="s">
        <v>55650</v>
      </c>
      <c r="E15923" t="s">
        <v>55651</v>
      </c>
      <c r="F15923" t="s">
        <v>1308</v>
      </c>
      <c r="G15923" t="s">
        <v>99</v>
      </c>
      <c r="H15923">
        <v>11430</v>
      </c>
      <c r="I15923" t="s">
        <v>30</v>
      </c>
      <c r="J15923" t="s">
        <v>55338</v>
      </c>
      <c r="K15923" t="s">
        <v>55339</v>
      </c>
      <c r="N15923" t="s">
        <v>55652</v>
      </c>
      <c r="Q15923">
        <v>0</v>
      </c>
      <c r="R15923">
        <v>0</v>
      </c>
      <c r="S15923">
        <v>0</v>
      </c>
      <c r="T15923" t="s">
        <v>55653</v>
      </c>
    </row>
    <row r="15924" spans="1:25" customFormat="1" ht="15" hidden="1" x14ac:dyDescent="0.25">
      <c r="A15924" t="s">
        <v>24</v>
      </c>
      <c r="B15924" t="s">
        <v>55654</v>
      </c>
      <c r="C15924" t="str">
        <f>"A0069039"</f>
        <v>A0069039</v>
      </c>
      <c r="D15924" t="s">
        <v>55655</v>
      </c>
      <c r="E15924" t="s">
        <v>55656</v>
      </c>
      <c r="F15924" t="s">
        <v>55657</v>
      </c>
      <c r="G15924" t="s">
        <v>2206</v>
      </c>
      <c r="H15924" t="s">
        <v>55658</v>
      </c>
      <c r="I15924" t="s">
        <v>1459</v>
      </c>
      <c r="J15924" t="s">
        <v>171</v>
      </c>
      <c r="K15924" t="s">
        <v>163</v>
      </c>
      <c r="N15924" t="s">
        <v>55659</v>
      </c>
      <c r="Q15924">
        <v>0</v>
      </c>
      <c r="R15924">
        <v>153</v>
      </c>
      <c r="S15924">
        <v>0</v>
      </c>
      <c r="T15924" t="s">
        <v>55660</v>
      </c>
    </row>
    <row r="15925" spans="1:25" customFormat="1" ht="15" x14ac:dyDescent="0.25">
      <c r="A15925" t="s">
        <v>24</v>
      </c>
      <c r="B15925" t="s">
        <v>55661</v>
      </c>
      <c r="C15925" t="str">
        <f>"SC164"</f>
        <v>SC164</v>
      </c>
      <c r="D15925" t="s">
        <v>55662</v>
      </c>
      <c r="E15925" t="s">
        <v>55663</v>
      </c>
      <c r="F15925" t="s">
        <v>13767</v>
      </c>
      <c r="G15925" t="s">
        <v>4815</v>
      </c>
      <c r="H15925">
        <v>96819</v>
      </c>
      <c r="I15925" t="s">
        <v>30</v>
      </c>
      <c r="J15925" t="s">
        <v>31</v>
      </c>
      <c r="K15925" t="s">
        <v>55664</v>
      </c>
      <c r="N15925" t="s">
        <v>55665</v>
      </c>
      <c r="Q15925">
        <v>0</v>
      </c>
      <c r="R15925">
        <v>307</v>
      </c>
      <c r="S15925">
        <v>0</v>
      </c>
      <c r="T15925" t="s">
        <v>55666</v>
      </c>
    </row>
    <row r="15926" spans="1:25" customFormat="1" ht="15" x14ac:dyDescent="0.25">
      <c r="A15926" t="s">
        <v>24</v>
      </c>
      <c r="B15926" t="s">
        <v>186</v>
      </c>
      <c r="C15926" t="str">
        <f>"A0146644"</f>
        <v>A0146644</v>
      </c>
      <c r="D15926" t="s">
        <v>55667</v>
      </c>
      <c r="E15926" t="s">
        <v>55668</v>
      </c>
      <c r="F15926" t="s">
        <v>189</v>
      </c>
      <c r="G15926" t="s">
        <v>190</v>
      </c>
      <c r="H15926">
        <v>81611</v>
      </c>
      <c r="I15926" t="s">
        <v>30</v>
      </c>
      <c r="J15926" t="s">
        <v>31</v>
      </c>
      <c r="K15926" t="s">
        <v>163</v>
      </c>
      <c r="N15926" t="s">
        <v>55669</v>
      </c>
      <c r="Q15926">
        <v>0</v>
      </c>
      <c r="R15926">
        <v>0</v>
      </c>
      <c r="S15926">
        <v>0</v>
      </c>
      <c r="T15926" t="s">
        <v>55670</v>
      </c>
    </row>
    <row r="15927" spans="1:25" x14ac:dyDescent="0.25">
      <c r="A15927" s="5" t="s">
        <v>24</v>
      </c>
      <c r="B15927" s="5" t="s">
        <v>675</v>
      </c>
      <c r="C15927" s="5" t="str">
        <f>"A0087984"</f>
        <v>A0087984</v>
      </c>
      <c r="D15927" s="5" t="s">
        <v>74505</v>
      </c>
      <c r="E15927" s="5" t="s">
        <v>74506</v>
      </c>
      <c r="F15927" s="5" t="s">
        <v>1519</v>
      </c>
      <c r="G15927" s="5" t="s">
        <v>110</v>
      </c>
      <c r="H15927" s="5">
        <v>90015</v>
      </c>
      <c r="I15927" s="5" t="s">
        <v>30</v>
      </c>
      <c r="J15927" s="5" t="s">
        <v>162</v>
      </c>
      <c r="K15927" s="5" t="s">
        <v>10770</v>
      </c>
      <c r="L15927" s="5"/>
      <c r="M15927" s="5"/>
      <c r="N15927" s="5" t="s">
        <v>74507</v>
      </c>
      <c r="O15927" s="5"/>
      <c r="P15927" s="5"/>
      <c r="Q15927" s="5">
        <v>0</v>
      </c>
      <c r="R15927" s="5">
        <v>878</v>
      </c>
      <c r="S15927" s="5">
        <v>0</v>
      </c>
      <c r="T15927" s="5" t="s">
        <v>74508</v>
      </c>
      <c r="U15927" s="5"/>
      <c r="V15927" s="5"/>
      <c r="W15927" s="5"/>
      <c r="X15927" s="5"/>
      <c r="Y15927" s="5"/>
    </row>
    <row r="15928" spans="1:25" customFormat="1" ht="15" hidden="1" x14ac:dyDescent="0.25">
      <c r="A15928" t="s">
        <v>24</v>
      </c>
      <c r="B15928" t="s">
        <v>55676</v>
      </c>
      <c r="C15928" t="str">
        <f>"A0100927"</f>
        <v>A0100927</v>
      </c>
      <c r="D15928" t="s">
        <v>55677</v>
      </c>
      <c r="E15928" t="s">
        <v>55678</v>
      </c>
      <c r="F15928" t="s">
        <v>5874</v>
      </c>
      <c r="G15928" t="s">
        <v>3843</v>
      </c>
      <c r="H15928">
        <v>11020</v>
      </c>
      <c r="I15928" t="s">
        <v>2408</v>
      </c>
      <c r="J15928" t="s">
        <v>2272</v>
      </c>
      <c r="K15928" t="s">
        <v>163</v>
      </c>
      <c r="N15928" t="s">
        <v>55679</v>
      </c>
      <c r="Q15928">
        <v>0</v>
      </c>
      <c r="R15928">
        <v>0</v>
      </c>
      <c r="S15928">
        <v>0</v>
      </c>
      <c r="T15928" t="s">
        <v>55680</v>
      </c>
    </row>
    <row r="15929" spans="1:25" customFormat="1" ht="15" x14ac:dyDescent="0.25">
      <c r="A15929" t="s">
        <v>24</v>
      </c>
      <c r="B15929" t="s">
        <v>11304</v>
      </c>
      <c r="C15929" t="str">
        <f>"A0148410"</f>
        <v>A0148410</v>
      </c>
      <c r="D15929" t="s">
        <v>55681</v>
      </c>
      <c r="E15929" t="s">
        <v>55682</v>
      </c>
      <c r="F15929" t="s">
        <v>1003</v>
      </c>
      <c r="G15929" t="s">
        <v>81</v>
      </c>
      <c r="H15929">
        <v>33139</v>
      </c>
      <c r="I15929" t="s">
        <v>30</v>
      </c>
      <c r="J15929" t="s">
        <v>31</v>
      </c>
      <c r="K15929" t="s">
        <v>163</v>
      </c>
      <c r="N15929" t="s">
        <v>55683</v>
      </c>
      <c r="Q15929">
        <v>0</v>
      </c>
      <c r="R15929">
        <v>71</v>
      </c>
      <c r="S15929">
        <v>0</v>
      </c>
      <c r="T15929" t="s">
        <v>55684</v>
      </c>
    </row>
    <row r="15930" spans="1:25" customFormat="1" ht="15" x14ac:dyDescent="0.25">
      <c r="A15930" t="s">
        <v>24</v>
      </c>
      <c r="B15930" t="s">
        <v>2360</v>
      </c>
      <c r="C15930" t="str">
        <f>"CL1362"</f>
        <v>CL1362</v>
      </c>
      <c r="D15930" t="s">
        <v>55685</v>
      </c>
      <c r="E15930" t="s">
        <v>55686</v>
      </c>
      <c r="F15930" t="s">
        <v>55687</v>
      </c>
      <c r="G15930" t="s">
        <v>110</v>
      </c>
      <c r="H15930">
        <v>92656</v>
      </c>
      <c r="I15930" t="s">
        <v>30</v>
      </c>
      <c r="J15930" t="s">
        <v>178</v>
      </c>
      <c r="K15930" t="s">
        <v>55688</v>
      </c>
      <c r="N15930" t="s">
        <v>55689</v>
      </c>
      <c r="P15930" t="s">
        <v>992</v>
      </c>
      <c r="Q15930">
        <v>1</v>
      </c>
      <c r="R15930">
        <v>0</v>
      </c>
      <c r="S15930">
        <v>0</v>
      </c>
      <c r="T15930" t="s">
        <v>55690</v>
      </c>
    </row>
    <row r="15931" spans="1:25" customFormat="1" ht="15" x14ac:dyDescent="0.25">
      <c r="A15931" t="s">
        <v>24</v>
      </c>
      <c r="B15931" t="s">
        <v>675</v>
      </c>
      <c r="C15931" t="str">
        <f>"33785"</f>
        <v>33785</v>
      </c>
      <c r="D15931" t="s">
        <v>74509</v>
      </c>
      <c r="E15931" t="s">
        <v>74510</v>
      </c>
      <c r="F15931" t="s">
        <v>1564</v>
      </c>
      <c r="G15931" t="s">
        <v>52</v>
      </c>
      <c r="H15931">
        <v>77056</v>
      </c>
      <c r="I15931" t="s">
        <v>30</v>
      </c>
      <c r="J15931" t="s">
        <v>162</v>
      </c>
      <c r="K15931" t="s">
        <v>10770</v>
      </c>
      <c r="N15931" t="s">
        <v>74511</v>
      </c>
      <c r="O15931" t="s">
        <v>74512</v>
      </c>
      <c r="Q15931">
        <v>0</v>
      </c>
      <c r="R15931">
        <v>514</v>
      </c>
      <c r="S15931">
        <v>0</v>
      </c>
      <c r="T15931" t="s">
        <v>74513</v>
      </c>
    </row>
    <row r="15932" spans="1:25" customFormat="1" ht="15" x14ac:dyDescent="0.25">
      <c r="A15932" t="s">
        <v>24</v>
      </c>
      <c r="B15932" t="s">
        <v>5564</v>
      </c>
      <c r="C15932" t="str">
        <f>"A0117437"</f>
        <v>A0117437</v>
      </c>
      <c r="D15932" t="s">
        <v>55696</v>
      </c>
      <c r="E15932" t="s">
        <v>55697</v>
      </c>
      <c r="F15932" t="s">
        <v>1883</v>
      </c>
      <c r="G15932" t="s">
        <v>846</v>
      </c>
      <c r="H15932">
        <v>30022</v>
      </c>
      <c r="I15932" t="s">
        <v>30</v>
      </c>
      <c r="J15932" t="s">
        <v>31</v>
      </c>
      <c r="K15932" t="s">
        <v>277</v>
      </c>
      <c r="N15932" t="s">
        <v>55698</v>
      </c>
      <c r="O15932" t="s">
        <v>55699</v>
      </c>
      <c r="Q15932">
        <v>0</v>
      </c>
      <c r="R15932">
        <v>120</v>
      </c>
      <c r="S15932">
        <v>0</v>
      </c>
      <c r="T15932" t="s">
        <v>55700</v>
      </c>
    </row>
    <row r="15933" spans="1:25" customFormat="1" ht="15" x14ac:dyDescent="0.25">
      <c r="A15933" t="s">
        <v>24</v>
      </c>
      <c r="B15933" t="s">
        <v>2836</v>
      </c>
      <c r="C15933" t="str">
        <f>"A0087756"</f>
        <v>A0087756</v>
      </c>
      <c r="D15933" t="s">
        <v>55701</v>
      </c>
      <c r="E15933" t="s">
        <v>55702</v>
      </c>
      <c r="F15933" t="s">
        <v>33592</v>
      </c>
      <c r="G15933" t="s">
        <v>123</v>
      </c>
      <c r="H15933">
        <v>21076</v>
      </c>
      <c r="I15933" t="s">
        <v>30</v>
      </c>
      <c r="J15933" t="s">
        <v>31</v>
      </c>
      <c r="K15933" t="s">
        <v>277</v>
      </c>
      <c r="N15933" t="s">
        <v>55703</v>
      </c>
      <c r="Q15933">
        <v>0</v>
      </c>
      <c r="R15933">
        <v>142</v>
      </c>
      <c r="S15933">
        <v>0</v>
      </c>
      <c r="T15933" t="s">
        <v>55704</v>
      </c>
    </row>
    <row r="15934" spans="1:25" customFormat="1" ht="15" x14ac:dyDescent="0.25">
      <c r="A15934" t="s">
        <v>24</v>
      </c>
      <c r="B15934" t="s">
        <v>342</v>
      </c>
      <c r="C15934" t="str">
        <f>"A0091127"</f>
        <v>A0091127</v>
      </c>
      <c r="D15934" t="s">
        <v>55705</v>
      </c>
      <c r="E15934" t="s">
        <v>55706</v>
      </c>
      <c r="F15934" t="s">
        <v>10730</v>
      </c>
      <c r="G15934" t="s">
        <v>214</v>
      </c>
      <c r="H15934">
        <v>28801</v>
      </c>
      <c r="I15934" t="s">
        <v>30</v>
      </c>
      <c r="J15934" t="s">
        <v>31</v>
      </c>
      <c r="K15934" t="s">
        <v>277</v>
      </c>
      <c r="N15934" t="s">
        <v>55707</v>
      </c>
      <c r="O15934" t="s">
        <v>55708</v>
      </c>
      <c r="Q15934">
        <v>0</v>
      </c>
      <c r="R15934">
        <v>115</v>
      </c>
      <c r="S15934">
        <v>0</v>
      </c>
      <c r="T15934" t="s">
        <v>55709</v>
      </c>
    </row>
    <row r="15935" spans="1:25" customFormat="1" ht="15" x14ac:dyDescent="0.25">
      <c r="A15935" t="s">
        <v>24</v>
      </c>
      <c r="B15935" t="s">
        <v>2917</v>
      </c>
      <c r="C15935" t="str">
        <f>"A0153178"</f>
        <v>A0153178</v>
      </c>
      <c r="D15935" t="s">
        <v>55710</v>
      </c>
      <c r="E15935" t="s">
        <v>55711</v>
      </c>
      <c r="F15935" t="s">
        <v>845</v>
      </c>
      <c r="G15935" t="s">
        <v>846</v>
      </c>
      <c r="H15935">
        <v>30339</v>
      </c>
      <c r="I15935" t="s">
        <v>30</v>
      </c>
      <c r="J15935" t="s">
        <v>31</v>
      </c>
      <c r="K15935" t="s">
        <v>277</v>
      </c>
      <c r="N15935" t="s">
        <v>55712</v>
      </c>
      <c r="O15935" t="s">
        <v>55713</v>
      </c>
      <c r="Q15935">
        <v>0</v>
      </c>
      <c r="R15935">
        <v>142</v>
      </c>
      <c r="S15935">
        <v>0</v>
      </c>
      <c r="T15935" t="s">
        <v>55714</v>
      </c>
    </row>
    <row r="15936" spans="1:25" customFormat="1" ht="15" x14ac:dyDescent="0.25">
      <c r="A15936" t="s">
        <v>24</v>
      </c>
      <c r="B15936" t="s">
        <v>55715</v>
      </c>
      <c r="C15936" t="str">
        <f>"A0154544"</f>
        <v>A0154544</v>
      </c>
      <c r="D15936" t="s">
        <v>55716</v>
      </c>
      <c r="E15936" t="s">
        <v>55717</v>
      </c>
      <c r="F15936" t="s">
        <v>372</v>
      </c>
      <c r="G15936" t="s">
        <v>52</v>
      </c>
      <c r="H15936">
        <v>78741</v>
      </c>
      <c r="I15936" t="s">
        <v>30</v>
      </c>
      <c r="J15936" t="s">
        <v>31</v>
      </c>
      <c r="K15936" t="s">
        <v>277</v>
      </c>
      <c r="N15936" t="s">
        <v>55718</v>
      </c>
      <c r="Q15936">
        <v>0</v>
      </c>
      <c r="R15936">
        <v>136</v>
      </c>
      <c r="S15936">
        <v>0</v>
      </c>
      <c r="T15936" t="s">
        <v>55719</v>
      </c>
    </row>
    <row r="15937" spans="1:20" customFormat="1" ht="15" x14ac:dyDescent="0.25">
      <c r="A15937" t="s">
        <v>24</v>
      </c>
      <c r="B15937" t="s">
        <v>1487</v>
      </c>
      <c r="C15937" t="str">
        <f>"A0098897"</f>
        <v>A0098897</v>
      </c>
      <c r="D15937" t="s">
        <v>55720</v>
      </c>
      <c r="E15937" t="s">
        <v>55721</v>
      </c>
      <c r="F15937" t="s">
        <v>372</v>
      </c>
      <c r="G15937" t="s">
        <v>52</v>
      </c>
      <c r="H15937">
        <v>78701</v>
      </c>
      <c r="I15937" t="s">
        <v>30</v>
      </c>
      <c r="J15937" t="s">
        <v>31</v>
      </c>
      <c r="K15937" t="s">
        <v>277</v>
      </c>
      <c r="N15937" t="s">
        <v>55427</v>
      </c>
      <c r="Q15937">
        <v>0</v>
      </c>
      <c r="R15937">
        <v>278</v>
      </c>
      <c r="S15937">
        <v>0</v>
      </c>
      <c r="T15937" t="s">
        <v>55722</v>
      </c>
    </row>
    <row r="15938" spans="1:20" customFormat="1" ht="15" x14ac:dyDescent="0.25">
      <c r="A15938" t="s">
        <v>24</v>
      </c>
      <c r="B15938" t="s">
        <v>675</v>
      </c>
      <c r="C15938" t="str">
        <f>"A0096699"</f>
        <v>A0096699</v>
      </c>
      <c r="D15938" t="s">
        <v>55723</v>
      </c>
      <c r="E15938" t="s">
        <v>55724</v>
      </c>
      <c r="F15938" t="s">
        <v>1208</v>
      </c>
      <c r="G15938" t="s">
        <v>899</v>
      </c>
      <c r="H15938">
        <v>2210</v>
      </c>
      <c r="I15938" t="s">
        <v>30</v>
      </c>
      <c r="J15938" t="s">
        <v>31</v>
      </c>
      <c r="K15938" t="s">
        <v>277</v>
      </c>
      <c r="N15938" t="s">
        <v>55725</v>
      </c>
      <c r="Q15938">
        <v>0</v>
      </c>
      <c r="R15938">
        <v>330</v>
      </c>
      <c r="S15938">
        <v>0</v>
      </c>
      <c r="T15938" t="s">
        <v>55726</v>
      </c>
    </row>
    <row r="15939" spans="1:20" customFormat="1" ht="15" x14ac:dyDescent="0.25">
      <c r="A15939" t="s">
        <v>24</v>
      </c>
      <c r="B15939" t="s">
        <v>55727</v>
      </c>
      <c r="C15939" t="str">
        <f>"A0098594"</f>
        <v>A0098594</v>
      </c>
      <c r="D15939" t="s">
        <v>55728</v>
      </c>
      <c r="E15939" t="s">
        <v>55729</v>
      </c>
      <c r="F15939" t="s">
        <v>54075</v>
      </c>
      <c r="G15939" t="s">
        <v>99</v>
      </c>
      <c r="H15939">
        <v>14225</v>
      </c>
      <c r="I15939" t="s">
        <v>30</v>
      </c>
      <c r="J15939" t="s">
        <v>31</v>
      </c>
      <c r="K15939" t="s">
        <v>277</v>
      </c>
      <c r="N15939" t="s">
        <v>55730</v>
      </c>
      <c r="O15939" t="s">
        <v>55731</v>
      </c>
      <c r="Q15939">
        <v>0</v>
      </c>
      <c r="R15939">
        <v>153</v>
      </c>
      <c r="S15939">
        <v>0</v>
      </c>
      <c r="T15939" t="s">
        <v>55732</v>
      </c>
    </row>
    <row r="15940" spans="1:20" customFormat="1" ht="15" hidden="1" x14ac:dyDescent="0.25">
      <c r="A15940" t="s">
        <v>24</v>
      </c>
      <c r="B15940" t="s">
        <v>675</v>
      </c>
      <c r="C15940" t="str">
        <f>"A0099728"</f>
        <v>A0099728</v>
      </c>
      <c r="D15940" t="s">
        <v>55733</v>
      </c>
      <c r="E15940" t="s">
        <v>55734</v>
      </c>
      <c r="F15940" t="s">
        <v>55735</v>
      </c>
      <c r="G15940" t="s">
        <v>4528</v>
      </c>
      <c r="H15940">
        <v>38080</v>
      </c>
      <c r="I15940" t="s">
        <v>2408</v>
      </c>
      <c r="J15940" t="s">
        <v>31</v>
      </c>
      <c r="K15940" t="s">
        <v>277</v>
      </c>
      <c r="N15940" t="s">
        <v>55736</v>
      </c>
      <c r="Q15940">
        <v>0</v>
      </c>
      <c r="R15940">
        <v>192</v>
      </c>
      <c r="S15940">
        <v>0</v>
      </c>
      <c r="T15940" t="s">
        <v>55737</v>
      </c>
    </row>
    <row r="15941" spans="1:20" customFormat="1" ht="15" x14ac:dyDescent="0.25">
      <c r="A15941" t="s">
        <v>24</v>
      </c>
      <c r="B15941" t="s">
        <v>34738</v>
      </c>
      <c r="C15941" t="str">
        <f>"A0085209"</f>
        <v>A0085209</v>
      </c>
      <c r="D15941" t="s">
        <v>55738</v>
      </c>
      <c r="E15941" t="s">
        <v>55739</v>
      </c>
      <c r="F15941" t="s">
        <v>13824</v>
      </c>
      <c r="G15941" t="s">
        <v>58</v>
      </c>
      <c r="H15941">
        <v>29418</v>
      </c>
      <c r="I15941" t="s">
        <v>30</v>
      </c>
      <c r="J15941" t="s">
        <v>31</v>
      </c>
      <c r="K15941" t="s">
        <v>277</v>
      </c>
      <c r="N15941" t="s">
        <v>55740</v>
      </c>
      <c r="O15941" t="s">
        <v>55741</v>
      </c>
      <c r="Q15941">
        <v>0</v>
      </c>
      <c r="R15941">
        <v>136</v>
      </c>
      <c r="S15941">
        <v>0</v>
      </c>
      <c r="T15941" t="s">
        <v>55742</v>
      </c>
    </row>
    <row r="15942" spans="1:20" customFormat="1" ht="15" x14ac:dyDescent="0.25">
      <c r="A15942" t="s">
        <v>24</v>
      </c>
      <c r="B15942" t="s">
        <v>34738</v>
      </c>
      <c r="C15942" t="str">
        <f>"A0086811"</f>
        <v>A0086811</v>
      </c>
      <c r="D15942" t="s">
        <v>55743</v>
      </c>
      <c r="E15942" t="s">
        <v>55744</v>
      </c>
      <c r="F15942" t="s">
        <v>242</v>
      </c>
      <c r="G15942" t="s">
        <v>214</v>
      </c>
      <c r="H15942">
        <v>28202</v>
      </c>
      <c r="I15942" t="s">
        <v>30</v>
      </c>
      <c r="J15942" t="s">
        <v>31</v>
      </c>
      <c r="K15942" t="s">
        <v>277</v>
      </c>
      <c r="N15942" t="s">
        <v>55745</v>
      </c>
      <c r="Q15942">
        <v>0</v>
      </c>
      <c r="R15942">
        <v>175</v>
      </c>
      <c r="S15942">
        <v>0</v>
      </c>
      <c r="T15942" t="s">
        <v>55746</v>
      </c>
    </row>
    <row r="15943" spans="1:20" customFormat="1" ht="15" x14ac:dyDescent="0.25">
      <c r="A15943" t="s">
        <v>24</v>
      </c>
      <c r="B15943" t="s">
        <v>55747</v>
      </c>
      <c r="C15943" t="str">
        <f>"A0145467"</f>
        <v>A0145467</v>
      </c>
      <c r="D15943" t="s">
        <v>55748</v>
      </c>
      <c r="E15943" t="s">
        <v>55749</v>
      </c>
      <c r="F15943" t="s">
        <v>716</v>
      </c>
      <c r="G15943" t="s">
        <v>289</v>
      </c>
      <c r="H15943">
        <v>60611</v>
      </c>
      <c r="I15943" t="s">
        <v>30</v>
      </c>
      <c r="J15943" t="s">
        <v>31</v>
      </c>
      <c r="K15943" t="s">
        <v>277</v>
      </c>
      <c r="Q15943">
        <v>0</v>
      </c>
      <c r="R15943">
        <v>337</v>
      </c>
      <c r="S15943">
        <v>0</v>
      </c>
      <c r="T15943" t="s">
        <v>55750</v>
      </c>
    </row>
    <row r="15944" spans="1:20" customFormat="1" ht="15" x14ac:dyDescent="0.25">
      <c r="A15944" t="s">
        <v>24</v>
      </c>
      <c r="B15944" t="s">
        <v>11523</v>
      </c>
      <c r="C15944" t="str">
        <f>"A0067103"</f>
        <v>A0067103</v>
      </c>
      <c r="D15944" t="s">
        <v>55751</v>
      </c>
      <c r="E15944" t="s">
        <v>55752</v>
      </c>
      <c r="F15944" t="s">
        <v>4909</v>
      </c>
      <c r="G15944" t="s">
        <v>58</v>
      </c>
      <c r="H15944">
        <v>29212</v>
      </c>
      <c r="I15944" t="s">
        <v>30</v>
      </c>
      <c r="J15944" t="s">
        <v>31</v>
      </c>
      <c r="K15944" t="s">
        <v>277</v>
      </c>
      <c r="N15944" t="s">
        <v>55753</v>
      </c>
      <c r="O15944" t="s">
        <v>55754</v>
      </c>
      <c r="Q15944">
        <v>0</v>
      </c>
      <c r="R15944">
        <v>100</v>
      </c>
      <c r="S15944">
        <v>0</v>
      </c>
      <c r="T15944" t="s">
        <v>55755</v>
      </c>
    </row>
    <row r="15945" spans="1:20" customFormat="1" ht="15" x14ac:dyDescent="0.25">
      <c r="A15945" t="s">
        <v>24</v>
      </c>
      <c r="B15945" t="s">
        <v>12732</v>
      </c>
      <c r="C15945" t="str">
        <f>"A0095435"</f>
        <v>A0095435</v>
      </c>
      <c r="D15945" t="s">
        <v>55756</v>
      </c>
      <c r="E15945" t="s">
        <v>55757</v>
      </c>
      <c r="F15945" t="s">
        <v>55758</v>
      </c>
      <c r="G15945" t="s">
        <v>110</v>
      </c>
      <c r="H15945">
        <v>95014</v>
      </c>
      <c r="I15945" t="s">
        <v>30</v>
      </c>
      <c r="J15945" t="s">
        <v>31</v>
      </c>
      <c r="K15945" t="s">
        <v>277</v>
      </c>
      <c r="N15945" t="s">
        <v>55759</v>
      </c>
      <c r="O15945" t="s">
        <v>55760</v>
      </c>
      <c r="Q15945">
        <v>0</v>
      </c>
      <c r="R15945">
        <v>123</v>
      </c>
      <c r="S15945">
        <v>0</v>
      </c>
      <c r="T15945" t="s">
        <v>55761</v>
      </c>
    </row>
    <row r="15946" spans="1:20" customFormat="1" ht="15" x14ac:dyDescent="0.25">
      <c r="A15946" t="s">
        <v>24</v>
      </c>
      <c r="B15946" t="s">
        <v>55762</v>
      </c>
      <c r="C15946" t="str">
        <f>"A0145323"</f>
        <v>A0145323</v>
      </c>
      <c r="D15946" t="s">
        <v>55763</v>
      </c>
      <c r="E15946" t="s">
        <v>55764</v>
      </c>
      <c r="F15946" t="s">
        <v>55765</v>
      </c>
      <c r="G15946" t="s">
        <v>81</v>
      </c>
      <c r="H15946">
        <v>33483</v>
      </c>
      <c r="I15946" t="s">
        <v>30</v>
      </c>
      <c r="J15946" t="s">
        <v>31</v>
      </c>
      <c r="K15946" t="s">
        <v>277</v>
      </c>
      <c r="N15946" t="s">
        <v>55766</v>
      </c>
      <c r="Q15946">
        <v>0</v>
      </c>
      <c r="R15946">
        <v>122</v>
      </c>
      <c r="S15946">
        <v>0</v>
      </c>
      <c r="T15946" t="s">
        <v>55767</v>
      </c>
    </row>
    <row r="15947" spans="1:20" customFormat="1" ht="15" x14ac:dyDescent="0.25">
      <c r="A15947" t="s">
        <v>24</v>
      </c>
      <c r="B15947" t="s">
        <v>10398</v>
      </c>
      <c r="C15947" t="str">
        <f>"A0098245"</f>
        <v>A0098245</v>
      </c>
      <c r="D15947" t="s">
        <v>55768</v>
      </c>
      <c r="E15947" t="s">
        <v>55769</v>
      </c>
      <c r="F15947" t="s">
        <v>972</v>
      </c>
      <c r="G15947" t="s">
        <v>190</v>
      </c>
      <c r="H15947">
        <v>80202</v>
      </c>
      <c r="I15947" t="s">
        <v>30</v>
      </c>
      <c r="J15947" t="s">
        <v>31</v>
      </c>
      <c r="K15947" t="s">
        <v>277</v>
      </c>
      <c r="N15947" t="s">
        <v>55770</v>
      </c>
      <c r="O15947" t="s">
        <v>55771</v>
      </c>
      <c r="Q15947">
        <v>0</v>
      </c>
      <c r="R15947">
        <v>140</v>
      </c>
      <c r="S15947">
        <v>0</v>
      </c>
      <c r="T15947" t="s">
        <v>55772</v>
      </c>
    </row>
    <row r="15948" spans="1:20" customFormat="1" ht="15" x14ac:dyDescent="0.25">
      <c r="A15948" t="s">
        <v>24</v>
      </c>
      <c r="B15948" t="s">
        <v>8579</v>
      </c>
      <c r="C15948" t="str">
        <f>"A0088404"</f>
        <v>A0088404</v>
      </c>
      <c r="D15948" t="s">
        <v>55773</v>
      </c>
      <c r="E15948" t="s">
        <v>55774</v>
      </c>
      <c r="F15948" t="s">
        <v>33094</v>
      </c>
      <c r="G15948" t="s">
        <v>190</v>
      </c>
      <c r="H15948">
        <v>80011</v>
      </c>
      <c r="I15948" t="s">
        <v>30</v>
      </c>
      <c r="J15948" t="s">
        <v>31</v>
      </c>
      <c r="K15948" t="s">
        <v>277</v>
      </c>
      <c r="N15948" t="s">
        <v>55775</v>
      </c>
      <c r="Q15948">
        <v>0</v>
      </c>
      <c r="R15948">
        <v>144</v>
      </c>
      <c r="S15948">
        <v>0</v>
      </c>
      <c r="T15948" t="s">
        <v>55776</v>
      </c>
    </row>
    <row r="15949" spans="1:20" customFormat="1" ht="15" x14ac:dyDescent="0.25">
      <c r="A15949" t="s">
        <v>24</v>
      </c>
      <c r="B15949" t="s">
        <v>342</v>
      </c>
      <c r="C15949" t="str">
        <f>"A0094921"</f>
        <v>A0094921</v>
      </c>
      <c r="D15949" t="s">
        <v>55777</v>
      </c>
      <c r="E15949" t="s">
        <v>55778</v>
      </c>
      <c r="F15949" t="s">
        <v>5905</v>
      </c>
      <c r="G15949" t="s">
        <v>58</v>
      </c>
      <c r="H15949">
        <v>29601</v>
      </c>
      <c r="I15949" t="s">
        <v>30</v>
      </c>
      <c r="J15949" t="s">
        <v>31</v>
      </c>
      <c r="K15949" t="s">
        <v>277</v>
      </c>
      <c r="N15949" t="s">
        <v>55779</v>
      </c>
      <c r="O15949" t="s">
        <v>55780</v>
      </c>
      <c r="Q15949">
        <v>0</v>
      </c>
      <c r="R15949">
        <v>144</v>
      </c>
      <c r="S15949">
        <v>0</v>
      </c>
      <c r="T15949" t="s">
        <v>55781</v>
      </c>
    </row>
    <row r="15950" spans="1:20" customFormat="1" ht="15" x14ac:dyDescent="0.25">
      <c r="A15950" t="s">
        <v>24</v>
      </c>
      <c r="B15950" t="s">
        <v>35790</v>
      </c>
      <c r="C15950" t="str">
        <f>"A0087873"</f>
        <v>A0087873</v>
      </c>
      <c r="D15950" t="s">
        <v>55782</v>
      </c>
      <c r="E15950" t="s">
        <v>55783</v>
      </c>
      <c r="F15950" t="s">
        <v>372</v>
      </c>
      <c r="G15950" t="s">
        <v>52</v>
      </c>
      <c r="H15950">
        <v>78758</v>
      </c>
      <c r="I15950" t="s">
        <v>30</v>
      </c>
      <c r="J15950" t="s">
        <v>31</v>
      </c>
      <c r="K15950" t="s">
        <v>277</v>
      </c>
      <c r="N15950" t="s">
        <v>55784</v>
      </c>
      <c r="Q15950">
        <v>0</v>
      </c>
      <c r="R15950">
        <v>140</v>
      </c>
      <c r="S15950">
        <v>0</v>
      </c>
      <c r="T15950" t="s">
        <v>55785</v>
      </c>
    </row>
    <row r="15951" spans="1:20" customFormat="1" ht="15" x14ac:dyDescent="0.25">
      <c r="A15951" t="s">
        <v>24</v>
      </c>
      <c r="B15951" t="s">
        <v>1487</v>
      </c>
      <c r="C15951" t="str">
        <f>"A0089928"</f>
        <v>A0089928</v>
      </c>
      <c r="D15951" t="s">
        <v>55786</v>
      </c>
      <c r="E15951" t="s">
        <v>55787</v>
      </c>
      <c r="F15951" t="s">
        <v>716</v>
      </c>
      <c r="G15951" t="s">
        <v>289</v>
      </c>
      <c r="H15951">
        <v>60654</v>
      </c>
      <c r="I15951" t="s">
        <v>30</v>
      </c>
      <c r="J15951" t="s">
        <v>31</v>
      </c>
      <c r="K15951" t="s">
        <v>277</v>
      </c>
      <c r="N15951" t="s">
        <v>55788</v>
      </c>
      <c r="O15951" t="s">
        <v>55789</v>
      </c>
      <c r="Q15951">
        <v>0</v>
      </c>
      <c r="R15951">
        <v>272</v>
      </c>
      <c r="S15951">
        <v>0</v>
      </c>
      <c r="T15951" t="s">
        <v>55790</v>
      </c>
    </row>
    <row r="15952" spans="1:20" customFormat="1" ht="15" x14ac:dyDescent="0.25">
      <c r="A15952" t="s">
        <v>24</v>
      </c>
      <c r="B15952" t="s">
        <v>762</v>
      </c>
      <c r="C15952" t="str">
        <f>"A0091189"</f>
        <v>A0091189</v>
      </c>
      <c r="D15952" t="s">
        <v>55791</v>
      </c>
      <c r="E15952" t="s">
        <v>55792</v>
      </c>
      <c r="F15952" t="s">
        <v>1564</v>
      </c>
      <c r="G15952" t="s">
        <v>52</v>
      </c>
      <c r="H15952">
        <v>77056</v>
      </c>
      <c r="I15952" t="s">
        <v>30</v>
      </c>
      <c r="J15952" t="s">
        <v>31</v>
      </c>
      <c r="K15952" t="s">
        <v>277</v>
      </c>
      <c r="N15952" t="s">
        <v>54665</v>
      </c>
      <c r="Q15952">
        <v>0</v>
      </c>
      <c r="R15952">
        <v>152</v>
      </c>
      <c r="S15952">
        <v>0</v>
      </c>
      <c r="T15952" t="s">
        <v>55793</v>
      </c>
    </row>
    <row r="15953" spans="1:20" customFormat="1" ht="15" x14ac:dyDescent="0.25">
      <c r="A15953" t="s">
        <v>24</v>
      </c>
      <c r="B15953" t="s">
        <v>7405</v>
      </c>
      <c r="C15953" t="str">
        <f>"A0078023"</f>
        <v>A0078023</v>
      </c>
      <c r="D15953" t="s">
        <v>55794</v>
      </c>
      <c r="E15953" t="s">
        <v>55795</v>
      </c>
      <c r="F15953" t="s">
        <v>1689</v>
      </c>
      <c r="G15953" t="s">
        <v>899</v>
      </c>
      <c r="H15953">
        <v>2421</v>
      </c>
      <c r="I15953" t="s">
        <v>30</v>
      </c>
      <c r="J15953" t="s">
        <v>31</v>
      </c>
      <c r="K15953" t="s">
        <v>277</v>
      </c>
      <c r="N15953" t="s">
        <v>55796</v>
      </c>
      <c r="O15953" t="s">
        <v>55797</v>
      </c>
      <c r="Q15953">
        <v>0</v>
      </c>
      <c r="R15953">
        <v>136</v>
      </c>
      <c r="S15953">
        <v>0</v>
      </c>
      <c r="T15953" t="s">
        <v>55798</v>
      </c>
    </row>
    <row r="15954" spans="1:20" customFormat="1" ht="15" x14ac:dyDescent="0.25">
      <c r="A15954" t="s">
        <v>24</v>
      </c>
      <c r="B15954" t="s">
        <v>1487</v>
      </c>
      <c r="C15954" t="str">
        <f>"A0094824"</f>
        <v>A0094824</v>
      </c>
      <c r="D15954" t="s">
        <v>55799</v>
      </c>
      <c r="E15954" t="s">
        <v>55800</v>
      </c>
      <c r="F15954" t="s">
        <v>3466</v>
      </c>
      <c r="G15954" t="s">
        <v>840</v>
      </c>
      <c r="H15954">
        <v>40202</v>
      </c>
      <c r="I15954" t="s">
        <v>30</v>
      </c>
      <c r="J15954" t="s">
        <v>31</v>
      </c>
      <c r="K15954" t="s">
        <v>277</v>
      </c>
      <c r="Q15954">
        <v>0</v>
      </c>
      <c r="R15954">
        <v>175</v>
      </c>
      <c r="S15954">
        <v>0</v>
      </c>
      <c r="T15954" t="s">
        <v>55801</v>
      </c>
    </row>
    <row r="15955" spans="1:20" customFormat="1" ht="15" x14ac:dyDescent="0.25">
      <c r="A15955" t="s">
        <v>24</v>
      </c>
      <c r="B15955" t="s">
        <v>55802</v>
      </c>
      <c r="C15955" t="str">
        <f>"A0098591"</f>
        <v>A0098591</v>
      </c>
      <c r="D15955" t="s">
        <v>55803</v>
      </c>
      <c r="E15955" t="s">
        <v>55804</v>
      </c>
      <c r="F15955" t="s">
        <v>1889</v>
      </c>
      <c r="G15955" t="s">
        <v>81</v>
      </c>
      <c r="H15955">
        <v>33130</v>
      </c>
      <c r="I15955" t="s">
        <v>30</v>
      </c>
      <c r="J15955" t="s">
        <v>31</v>
      </c>
      <c r="K15955" t="s">
        <v>277</v>
      </c>
      <c r="N15955" t="s">
        <v>55805</v>
      </c>
      <c r="Q15955">
        <v>0</v>
      </c>
      <c r="R15955">
        <v>160</v>
      </c>
      <c r="S15955">
        <v>0</v>
      </c>
      <c r="T15955" t="s">
        <v>55806</v>
      </c>
    </row>
    <row r="15956" spans="1:20" customFormat="1" ht="15" x14ac:dyDescent="0.25">
      <c r="A15956" t="s">
        <v>24</v>
      </c>
      <c r="B15956" t="s">
        <v>2373</v>
      </c>
      <c r="C15956" t="str">
        <f>"A0097828"</f>
        <v>A0097828</v>
      </c>
      <c r="D15956" t="s">
        <v>55807</v>
      </c>
      <c r="E15956" t="s">
        <v>55808</v>
      </c>
      <c r="F15956" t="s">
        <v>55518</v>
      </c>
      <c r="G15956" t="s">
        <v>81</v>
      </c>
      <c r="H15956">
        <v>33166</v>
      </c>
      <c r="I15956" t="s">
        <v>30</v>
      </c>
      <c r="J15956" t="s">
        <v>31</v>
      </c>
      <c r="K15956" t="s">
        <v>277</v>
      </c>
      <c r="N15956" t="s">
        <v>55809</v>
      </c>
      <c r="Q15956">
        <v>0</v>
      </c>
      <c r="R15956">
        <v>125</v>
      </c>
      <c r="S15956">
        <v>0</v>
      </c>
      <c r="T15956" t="s">
        <v>55810</v>
      </c>
    </row>
    <row r="15957" spans="1:20" customFormat="1" ht="15" x14ac:dyDescent="0.25">
      <c r="A15957" t="s">
        <v>24</v>
      </c>
      <c r="B15957" t="s">
        <v>55811</v>
      </c>
      <c r="C15957" t="str">
        <f>"A0098593"</f>
        <v>A0098593</v>
      </c>
      <c r="D15957" t="s">
        <v>55812</v>
      </c>
      <c r="E15957" t="s">
        <v>55813</v>
      </c>
      <c r="F15957" t="s">
        <v>14600</v>
      </c>
      <c r="G15957" t="s">
        <v>338</v>
      </c>
      <c r="H15957">
        <v>8054</v>
      </c>
      <c r="I15957" t="s">
        <v>30</v>
      </c>
      <c r="J15957" t="s">
        <v>31</v>
      </c>
      <c r="K15957" t="s">
        <v>277</v>
      </c>
      <c r="N15957" t="s">
        <v>55814</v>
      </c>
      <c r="O15957" t="s">
        <v>55815</v>
      </c>
      <c r="Q15957">
        <v>0</v>
      </c>
      <c r="R15957">
        <v>154</v>
      </c>
      <c r="S15957">
        <v>0</v>
      </c>
      <c r="T15957" t="s">
        <v>55816</v>
      </c>
    </row>
    <row r="15958" spans="1:20" customFormat="1" ht="15" x14ac:dyDescent="0.25">
      <c r="A15958" t="s">
        <v>24</v>
      </c>
      <c r="B15958" t="s">
        <v>12732</v>
      </c>
      <c r="C15958" t="str">
        <f>"A0096258"</f>
        <v>A0096258</v>
      </c>
      <c r="D15958" t="s">
        <v>55817</v>
      </c>
      <c r="E15958" t="s">
        <v>55818</v>
      </c>
      <c r="F15958" t="s">
        <v>11631</v>
      </c>
      <c r="G15958" t="s">
        <v>110</v>
      </c>
      <c r="H15958">
        <v>94040</v>
      </c>
      <c r="I15958" t="s">
        <v>30</v>
      </c>
      <c r="J15958" t="s">
        <v>31</v>
      </c>
      <c r="K15958" t="s">
        <v>277</v>
      </c>
      <c r="N15958" t="s">
        <v>55819</v>
      </c>
      <c r="O15958" t="s">
        <v>55820</v>
      </c>
      <c r="Q15958">
        <v>0</v>
      </c>
      <c r="R15958">
        <v>160</v>
      </c>
      <c r="S15958">
        <v>0</v>
      </c>
      <c r="T15958" t="s">
        <v>55821</v>
      </c>
    </row>
    <row r="15959" spans="1:20" customFormat="1" ht="15" x14ac:dyDescent="0.25">
      <c r="A15959" t="s">
        <v>24</v>
      </c>
      <c r="B15959" t="s">
        <v>11484</v>
      </c>
      <c r="C15959" t="str">
        <f>"A0098587"</f>
        <v>A0098587</v>
      </c>
      <c r="D15959" t="s">
        <v>55822</v>
      </c>
      <c r="E15959" t="s">
        <v>55823</v>
      </c>
      <c r="F15959" t="s">
        <v>2069</v>
      </c>
      <c r="G15959" t="s">
        <v>1170</v>
      </c>
      <c r="H15959">
        <v>70112</v>
      </c>
      <c r="I15959" t="s">
        <v>30</v>
      </c>
      <c r="J15959" t="s">
        <v>31</v>
      </c>
      <c r="K15959" t="s">
        <v>277</v>
      </c>
      <c r="N15959" t="s">
        <v>55824</v>
      </c>
      <c r="O15959" t="s">
        <v>55825</v>
      </c>
      <c r="Q15959">
        <v>0</v>
      </c>
      <c r="R15959">
        <v>188</v>
      </c>
      <c r="S15959">
        <v>0</v>
      </c>
      <c r="T15959" t="s">
        <v>55826</v>
      </c>
    </row>
    <row r="15960" spans="1:20" customFormat="1" ht="15" x14ac:dyDescent="0.25">
      <c r="A15960" t="s">
        <v>24</v>
      </c>
      <c r="B15960" t="s">
        <v>342</v>
      </c>
      <c r="C15960" t="str">
        <f>"A0094988"</f>
        <v>A0094988</v>
      </c>
      <c r="D15960" t="s">
        <v>55827</v>
      </c>
      <c r="E15960" t="s">
        <v>55828</v>
      </c>
      <c r="F15960" t="s">
        <v>985</v>
      </c>
      <c r="G15960" t="s">
        <v>81</v>
      </c>
      <c r="H15960">
        <v>32801</v>
      </c>
      <c r="I15960" t="s">
        <v>30</v>
      </c>
      <c r="J15960" t="s">
        <v>31</v>
      </c>
      <c r="K15960" t="s">
        <v>277</v>
      </c>
      <c r="N15960" t="s">
        <v>55829</v>
      </c>
      <c r="O15960" t="s">
        <v>55830</v>
      </c>
      <c r="Q15960">
        <v>0</v>
      </c>
      <c r="R15960">
        <v>118</v>
      </c>
      <c r="S15960">
        <v>0</v>
      </c>
      <c r="T15960" t="s">
        <v>55831</v>
      </c>
    </row>
    <row r="15961" spans="1:20" customFormat="1" ht="15" hidden="1" x14ac:dyDescent="0.25">
      <c r="A15961" t="s">
        <v>24</v>
      </c>
      <c r="B15961" t="s">
        <v>55832</v>
      </c>
      <c r="C15961" t="str">
        <f>"A0100101"</f>
        <v>A0100101</v>
      </c>
      <c r="D15961" t="s">
        <v>55833</v>
      </c>
      <c r="E15961" t="s">
        <v>55834</v>
      </c>
      <c r="F15961" t="s">
        <v>3145</v>
      </c>
      <c r="G15961" t="s">
        <v>8864</v>
      </c>
      <c r="I15961" t="s">
        <v>3147</v>
      </c>
      <c r="J15961" t="s">
        <v>31</v>
      </c>
      <c r="K15961" t="s">
        <v>277</v>
      </c>
      <c r="N15961" t="s">
        <v>55835</v>
      </c>
      <c r="O15961" t="s">
        <v>55836</v>
      </c>
      <c r="Q15961">
        <v>0</v>
      </c>
      <c r="R15961">
        <v>303</v>
      </c>
      <c r="S15961">
        <v>0</v>
      </c>
      <c r="T15961" t="s">
        <v>55837</v>
      </c>
    </row>
    <row r="15962" spans="1:20" customFormat="1" ht="15" x14ac:dyDescent="0.25">
      <c r="A15962" t="s">
        <v>24</v>
      </c>
      <c r="B15962" t="s">
        <v>2528</v>
      </c>
      <c r="C15962" t="str">
        <f>"A0094134"</f>
        <v>A0094134</v>
      </c>
      <c r="D15962" t="s">
        <v>55838</v>
      </c>
      <c r="E15962" t="s">
        <v>55839</v>
      </c>
      <c r="F15962" t="s">
        <v>55840</v>
      </c>
      <c r="G15962" t="s">
        <v>103</v>
      </c>
      <c r="H15962">
        <v>19153</v>
      </c>
      <c r="I15962" t="s">
        <v>30</v>
      </c>
      <c r="J15962" t="s">
        <v>31</v>
      </c>
      <c r="K15962" t="s">
        <v>277</v>
      </c>
      <c r="N15962" t="s">
        <v>14601</v>
      </c>
      <c r="O15962" t="s">
        <v>55841</v>
      </c>
      <c r="Q15962">
        <v>0</v>
      </c>
      <c r="R15962">
        <v>136</v>
      </c>
      <c r="S15962">
        <v>0</v>
      </c>
      <c r="T15962" t="s">
        <v>55842</v>
      </c>
    </row>
    <row r="15963" spans="1:20" customFormat="1" ht="15" x14ac:dyDescent="0.25">
      <c r="A15963" t="s">
        <v>24</v>
      </c>
      <c r="B15963" t="s">
        <v>11484</v>
      </c>
      <c r="C15963" t="str">
        <f>"A0099678"</f>
        <v>A0099678</v>
      </c>
      <c r="D15963" t="s">
        <v>55843</v>
      </c>
      <c r="E15963" t="s">
        <v>55844</v>
      </c>
      <c r="F15963" t="s">
        <v>9812</v>
      </c>
      <c r="G15963" t="s">
        <v>103</v>
      </c>
      <c r="H15963">
        <v>19107</v>
      </c>
      <c r="I15963" t="s">
        <v>30</v>
      </c>
      <c r="J15963" t="s">
        <v>31</v>
      </c>
      <c r="K15963" t="s">
        <v>277</v>
      </c>
      <c r="N15963" t="s">
        <v>55845</v>
      </c>
      <c r="O15963" t="s">
        <v>12820</v>
      </c>
      <c r="Q15963">
        <v>0</v>
      </c>
      <c r="R15963">
        <v>179</v>
      </c>
      <c r="S15963">
        <v>0</v>
      </c>
      <c r="T15963" t="s">
        <v>55846</v>
      </c>
    </row>
    <row r="15964" spans="1:20" customFormat="1" ht="15" x14ac:dyDescent="0.25">
      <c r="A15964" t="s">
        <v>24</v>
      </c>
      <c r="B15964" t="s">
        <v>2435</v>
      </c>
      <c r="C15964" t="str">
        <f>"A0096234"</f>
        <v>A0096234</v>
      </c>
      <c r="D15964" t="s">
        <v>55847</v>
      </c>
      <c r="E15964" t="s">
        <v>55848</v>
      </c>
      <c r="F15964" t="s">
        <v>10100</v>
      </c>
      <c r="G15964" t="s">
        <v>214</v>
      </c>
      <c r="H15964">
        <v>27607</v>
      </c>
      <c r="I15964" t="s">
        <v>30</v>
      </c>
      <c r="J15964" t="s">
        <v>31</v>
      </c>
      <c r="K15964" t="s">
        <v>277</v>
      </c>
      <c r="N15964" t="s">
        <v>55849</v>
      </c>
      <c r="O15964" t="s">
        <v>55850</v>
      </c>
      <c r="Q15964">
        <v>0</v>
      </c>
      <c r="R15964">
        <v>135</v>
      </c>
      <c r="S15964">
        <v>0</v>
      </c>
      <c r="T15964" t="s">
        <v>55851</v>
      </c>
    </row>
    <row r="15965" spans="1:20" customFormat="1" ht="15" x14ac:dyDescent="0.25">
      <c r="A15965" t="s">
        <v>24</v>
      </c>
      <c r="B15965" t="s">
        <v>257</v>
      </c>
      <c r="C15965" t="str">
        <f>"A0145946"</f>
        <v>A0145946</v>
      </c>
      <c r="D15965" t="s">
        <v>55852</v>
      </c>
      <c r="E15965" t="s">
        <v>55853</v>
      </c>
      <c r="F15965" t="s">
        <v>3059</v>
      </c>
      <c r="G15965" t="s">
        <v>52</v>
      </c>
      <c r="H15965">
        <v>78664</v>
      </c>
      <c r="I15965" t="s">
        <v>30</v>
      </c>
      <c r="J15965" t="s">
        <v>31</v>
      </c>
      <c r="K15965" t="s">
        <v>277</v>
      </c>
      <c r="N15965" t="s">
        <v>55854</v>
      </c>
      <c r="O15965" t="s">
        <v>55855</v>
      </c>
      <c r="Q15965">
        <v>0</v>
      </c>
      <c r="R15965">
        <v>121</v>
      </c>
      <c r="S15965">
        <v>0</v>
      </c>
      <c r="T15965" t="s">
        <v>55856</v>
      </c>
    </row>
    <row r="15966" spans="1:20" customFormat="1" ht="15" x14ac:dyDescent="0.25">
      <c r="A15966" t="s">
        <v>24</v>
      </c>
      <c r="B15966" t="s">
        <v>12732</v>
      </c>
      <c r="C15966" t="str">
        <f>"A0076953"</f>
        <v>A0076953</v>
      </c>
      <c r="D15966" t="s">
        <v>55857</v>
      </c>
      <c r="E15966" t="s">
        <v>55858</v>
      </c>
      <c r="F15966" t="s">
        <v>4802</v>
      </c>
      <c r="G15966" t="s">
        <v>110</v>
      </c>
      <c r="H15966">
        <v>95129</v>
      </c>
      <c r="I15966" t="s">
        <v>30</v>
      </c>
      <c r="J15966" t="s">
        <v>31</v>
      </c>
      <c r="K15966" t="s">
        <v>277</v>
      </c>
      <c r="N15966" t="s">
        <v>55859</v>
      </c>
      <c r="O15966" t="s">
        <v>55760</v>
      </c>
      <c r="Q15966">
        <v>0</v>
      </c>
      <c r="R15966">
        <v>81</v>
      </c>
      <c r="S15966">
        <v>0</v>
      </c>
      <c r="T15966" t="s">
        <v>55860</v>
      </c>
    </row>
    <row r="15967" spans="1:20" customFormat="1" ht="15" hidden="1" x14ac:dyDescent="0.25">
      <c r="A15967" t="s">
        <v>24</v>
      </c>
      <c r="B15967" t="s">
        <v>675</v>
      </c>
      <c r="C15967" t="str">
        <f>"A0149035"</f>
        <v>A0149035</v>
      </c>
      <c r="D15967" t="s">
        <v>55861</v>
      </c>
      <c r="E15967" t="s">
        <v>55862</v>
      </c>
      <c r="F15967" t="s">
        <v>14303</v>
      </c>
      <c r="G15967" t="s">
        <v>9901</v>
      </c>
      <c r="H15967">
        <v>910</v>
      </c>
      <c r="I15967" t="s">
        <v>9902</v>
      </c>
      <c r="J15967" t="s">
        <v>31</v>
      </c>
      <c r="K15967" t="s">
        <v>55863</v>
      </c>
      <c r="N15967" t="s">
        <v>54311</v>
      </c>
      <c r="O15967" t="s">
        <v>55864</v>
      </c>
      <c r="Q15967">
        <v>0</v>
      </c>
      <c r="R15967">
        <v>177</v>
      </c>
      <c r="S15967">
        <v>0</v>
      </c>
      <c r="T15967" t="s">
        <v>55865</v>
      </c>
    </row>
    <row r="15968" spans="1:20" customFormat="1" ht="15" x14ac:dyDescent="0.25">
      <c r="A15968" t="s">
        <v>24</v>
      </c>
      <c r="B15968" t="s">
        <v>1849</v>
      </c>
      <c r="C15968" t="str">
        <f>"A0095223"</f>
        <v>A0095223</v>
      </c>
      <c r="D15968" t="s">
        <v>55866</v>
      </c>
      <c r="E15968" t="s">
        <v>55867</v>
      </c>
      <c r="F15968" t="s">
        <v>709</v>
      </c>
      <c r="G15968" t="s">
        <v>81</v>
      </c>
      <c r="H15968">
        <v>34236</v>
      </c>
      <c r="I15968" t="s">
        <v>30</v>
      </c>
      <c r="J15968" t="s">
        <v>31</v>
      </c>
      <c r="K15968" t="s">
        <v>277</v>
      </c>
      <c r="N15968" t="s">
        <v>55868</v>
      </c>
      <c r="O15968" t="s">
        <v>55869</v>
      </c>
      <c r="Q15968">
        <v>0</v>
      </c>
      <c r="R15968">
        <v>139</v>
      </c>
      <c r="S15968">
        <v>0</v>
      </c>
      <c r="T15968" t="s">
        <v>55870</v>
      </c>
    </row>
    <row r="15969" spans="1:25" customFormat="1" ht="15" x14ac:dyDescent="0.25">
      <c r="A15969" t="s">
        <v>24</v>
      </c>
      <c r="B15969" t="s">
        <v>34743</v>
      </c>
      <c r="C15969" t="str">
        <f>"A0099077"</f>
        <v>A0099077</v>
      </c>
      <c r="D15969" t="s">
        <v>55871</v>
      </c>
      <c r="E15969" t="s">
        <v>55872</v>
      </c>
      <c r="F15969" t="s">
        <v>2839</v>
      </c>
      <c r="G15969" t="s">
        <v>846</v>
      </c>
      <c r="H15969">
        <v>31401</v>
      </c>
      <c r="I15969" t="s">
        <v>30</v>
      </c>
      <c r="J15969" t="s">
        <v>31</v>
      </c>
      <c r="K15969" t="s">
        <v>277</v>
      </c>
      <c r="N15969" t="s">
        <v>55873</v>
      </c>
      <c r="Q15969">
        <v>0</v>
      </c>
      <c r="R15969">
        <v>135</v>
      </c>
      <c r="S15969">
        <v>0</v>
      </c>
      <c r="T15969" t="s">
        <v>55874</v>
      </c>
    </row>
    <row r="15970" spans="1:25" customFormat="1" ht="15" x14ac:dyDescent="0.25">
      <c r="A15970" t="s">
        <v>24</v>
      </c>
      <c r="B15970" t="s">
        <v>55875</v>
      </c>
      <c r="C15970" t="str">
        <f>"A0098475"</f>
        <v>A0098475</v>
      </c>
      <c r="D15970" t="s">
        <v>55876</v>
      </c>
      <c r="E15970" t="s">
        <v>55877</v>
      </c>
      <c r="F15970" t="s">
        <v>1153</v>
      </c>
      <c r="G15970" t="s">
        <v>110</v>
      </c>
      <c r="H15970">
        <v>94560</v>
      </c>
      <c r="I15970" t="s">
        <v>30</v>
      </c>
      <c r="J15970" t="s">
        <v>31</v>
      </c>
      <c r="K15970" t="s">
        <v>277</v>
      </c>
      <c r="N15970" t="s">
        <v>55878</v>
      </c>
      <c r="Q15970">
        <v>0</v>
      </c>
      <c r="R15970">
        <v>172</v>
      </c>
      <c r="S15970">
        <v>0</v>
      </c>
      <c r="T15970" t="s">
        <v>55879</v>
      </c>
    </row>
    <row r="15971" spans="1:25" customFormat="1" ht="15" x14ac:dyDescent="0.25">
      <c r="A15971" t="s">
        <v>24</v>
      </c>
      <c r="B15971" t="s">
        <v>10398</v>
      </c>
      <c r="C15971" t="str">
        <f>"A0098247"</f>
        <v>A0098247</v>
      </c>
      <c r="D15971" t="s">
        <v>55880</v>
      </c>
      <c r="E15971" t="s">
        <v>55881</v>
      </c>
      <c r="F15971" t="s">
        <v>55882</v>
      </c>
      <c r="G15971" t="s">
        <v>381</v>
      </c>
      <c r="H15971">
        <v>46601</v>
      </c>
      <c r="I15971" t="s">
        <v>30</v>
      </c>
      <c r="J15971" t="s">
        <v>31</v>
      </c>
      <c r="K15971" t="s">
        <v>277</v>
      </c>
      <c r="N15971" t="s">
        <v>54399</v>
      </c>
      <c r="O15971" t="s">
        <v>55883</v>
      </c>
      <c r="Q15971">
        <v>0</v>
      </c>
      <c r="R15971">
        <v>183</v>
      </c>
      <c r="S15971">
        <v>0</v>
      </c>
      <c r="T15971" t="s">
        <v>55884</v>
      </c>
    </row>
    <row r="15972" spans="1:25" customFormat="1" ht="15" x14ac:dyDescent="0.25">
      <c r="A15972" t="s">
        <v>24</v>
      </c>
      <c r="B15972" t="s">
        <v>12732</v>
      </c>
      <c r="C15972" t="str">
        <f>"A0095436"</f>
        <v>A0095436</v>
      </c>
      <c r="D15972" t="s">
        <v>55885</v>
      </c>
      <c r="E15972" t="s">
        <v>55886</v>
      </c>
      <c r="F15972" t="s">
        <v>32880</v>
      </c>
      <c r="G15972" t="s">
        <v>110</v>
      </c>
      <c r="H15972">
        <v>94086</v>
      </c>
      <c r="I15972" t="s">
        <v>30</v>
      </c>
      <c r="J15972" t="s">
        <v>31</v>
      </c>
      <c r="K15972" t="s">
        <v>277</v>
      </c>
      <c r="N15972" t="s">
        <v>55887</v>
      </c>
      <c r="O15972" t="s">
        <v>55888</v>
      </c>
      <c r="Q15972">
        <v>0</v>
      </c>
      <c r="R15972">
        <v>85</v>
      </c>
      <c r="S15972">
        <v>0</v>
      </c>
      <c r="T15972" t="s">
        <v>55889</v>
      </c>
    </row>
    <row r="15973" spans="1:25" customFormat="1" ht="15" x14ac:dyDescent="0.25">
      <c r="A15973" t="s">
        <v>24</v>
      </c>
      <c r="B15973" t="s">
        <v>342</v>
      </c>
      <c r="C15973" t="str">
        <f>"A0088256"</f>
        <v>A0088256</v>
      </c>
      <c r="D15973" t="s">
        <v>55890</v>
      </c>
      <c r="E15973" t="s">
        <v>55891</v>
      </c>
      <c r="F15973" t="s">
        <v>2564</v>
      </c>
      <c r="G15973" t="s">
        <v>81</v>
      </c>
      <c r="H15973">
        <v>32301</v>
      </c>
      <c r="I15973" t="s">
        <v>30</v>
      </c>
      <c r="J15973" t="s">
        <v>31</v>
      </c>
      <c r="K15973" t="s">
        <v>277</v>
      </c>
      <c r="N15973" t="s">
        <v>55892</v>
      </c>
      <c r="Q15973">
        <v>0</v>
      </c>
      <c r="R15973">
        <v>162</v>
      </c>
      <c r="S15973">
        <v>0</v>
      </c>
      <c r="T15973" t="s">
        <v>55893</v>
      </c>
    </row>
    <row r="15974" spans="1:25" customFormat="1" ht="15" x14ac:dyDescent="0.25">
      <c r="A15974" t="s">
        <v>24</v>
      </c>
      <c r="B15974" t="s">
        <v>55894</v>
      </c>
      <c r="C15974" t="str">
        <f>"A0095733"</f>
        <v>A0095733</v>
      </c>
      <c r="D15974" t="s">
        <v>55895</v>
      </c>
      <c r="E15974" t="s">
        <v>55896</v>
      </c>
      <c r="F15974" t="s">
        <v>3955</v>
      </c>
      <c r="G15974" t="s">
        <v>81</v>
      </c>
      <c r="H15974">
        <v>33602</v>
      </c>
      <c r="I15974" t="s">
        <v>30</v>
      </c>
      <c r="J15974" t="s">
        <v>31</v>
      </c>
      <c r="K15974" t="s">
        <v>277</v>
      </c>
      <c r="N15974" t="s">
        <v>55897</v>
      </c>
      <c r="O15974" t="s">
        <v>55898</v>
      </c>
      <c r="Q15974">
        <v>0</v>
      </c>
      <c r="R15974">
        <v>130</v>
      </c>
      <c r="S15974">
        <v>0</v>
      </c>
      <c r="T15974" t="s">
        <v>55899</v>
      </c>
    </row>
    <row r="15975" spans="1:25" customFormat="1" ht="15" x14ac:dyDescent="0.25">
      <c r="A15975" t="s">
        <v>24</v>
      </c>
      <c r="B15975" t="s">
        <v>257</v>
      </c>
      <c r="C15975" t="str">
        <f>"A0098474"</f>
        <v>A0098474</v>
      </c>
      <c r="D15975" t="s">
        <v>55900</v>
      </c>
      <c r="E15975" t="s">
        <v>55901</v>
      </c>
      <c r="F15975" t="s">
        <v>1592</v>
      </c>
      <c r="G15975" t="s">
        <v>197</v>
      </c>
      <c r="H15975">
        <v>85281</v>
      </c>
      <c r="I15975" t="s">
        <v>30</v>
      </c>
      <c r="J15975" t="s">
        <v>31</v>
      </c>
      <c r="K15975" t="s">
        <v>277</v>
      </c>
      <c r="N15975" t="s">
        <v>55902</v>
      </c>
      <c r="Q15975">
        <v>0</v>
      </c>
      <c r="R15975">
        <v>136</v>
      </c>
      <c r="S15975">
        <v>0</v>
      </c>
      <c r="T15975" t="s">
        <v>55903</v>
      </c>
    </row>
    <row r="15976" spans="1:25" customFormat="1" ht="15" x14ac:dyDescent="0.25">
      <c r="A15976" t="s">
        <v>24</v>
      </c>
      <c r="B15976" t="s">
        <v>2528</v>
      </c>
      <c r="C15976" t="str">
        <f>"A0078573"</f>
        <v>A0078573</v>
      </c>
      <c r="D15976" t="s">
        <v>55904</v>
      </c>
      <c r="E15976" t="s">
        <v>55905</v>
      </c>
      <c r="F15976" t="s">
        <v>7734</v>
      </c>
      <c r="G15976" t="s">
        <v>197</v>
      </c>
      <c r="H15976">
        <v>85719</v>
      </c>
      <c r="I15976" t="s">
        <v>30</v>
      </c>
      <c r="J15976" t="s">
        <v>31</v>
      </c>
      <c r="K15976" t="s">
        <v>277</v>
      </c>
      <c r="N15976" t="s">
        <v>55906</v>
      </c>
      <c r="O15976" t="s">
        <v>55907</v>
      </c>
      <c r="Q15976">
        <v>0</v>
      </c>
      <c r="R15976">
        <v>154</v>
      </c>
      <c r="S15976">
        <v>0</v>
      </c>
      <c r="T15976" t="s">
        <v>55908</v>
      </c>
    </row>
    <row r="15977" spans="1:25" customFormat="1" ht="15" x14ac:dyDescent="0.25">
      <c r="A15977" t="s">
        <v>24</v>
      </c>
      <c r="B15977" t="s">
        <v>55909</v>
      </c>
      <c r="C15977" t="str">
        <f>"A0094548"</f>
        <v>A0094548</v>
      </c>
      <c r="D15977" t="s">
        <v>55910</v>
      </c>
      <c r="E15977" t="s">
        <v>55911</v>
      </c>
      <c r="F15977" t="s">
        <v>55912</v>
      </c>
      <c r="G15977" t="s">
        <v>110</v>
      </c>
      <c r="H15977">
        <v>94014</v>
      </c>
      <c r="I15977" t="s">
        <v>30</v>
      </c>
      <c r="J15977" t="s">
        <v>31</v>
      </c>
      <c r="K15977" t="s">
        <v>163</v>
      </c>
      <c r="N15977" t="s">
        <v>55913</v>
      </c>
      <c r="Q15977">
        <v>0</v>
      </c>
      <c r="R15977">
        <v>32</v>
      </c>
      <c r="S15977">
        <v>0</v>
      </c>
      <c r="T15977" t="s">
        <v>55914</v>
      </c>
    </row>
    <row r="15978" spans="1:25" customFormat="1" ht="15" x14ac:dyDescent="0.25">
      <c r="A15978" t="s">
        <v>24</v>
      </c>
      <c r="B15978" t="s">
        <v>55909</v>
      </c>
      <c r="C15978" t="str">
        <f>"A0094547"</f>
        <v>A0094547</v>
      </c>
      <c r="D15978" t="s">
        <v>55915</v>
      </c>
      <c r="E15978" t="s">
        <v>55916</v>
      </c>
      <c r="F15978" t="s">
        <v>4802</v>
      </c>
      <c r="G15978" t="s">
        <v>110</v>
      </c>
      <c r="H15978">
        <v>95112</v>
      </c>
      <c r="I15978" t="s">
        <v>30</v>
      </c>
      <c r="J15978" t="s">
        <v>31</v>
      </c>
      <c r="K15978" t="s">
        <v>163</v>
      </c>
      <c r="N15978" t="s">
        <v>55917</v>
      </c>
      <c r="Q15978">
        <v>0</v>
      </c>
      <c r="R15978">
        <v>42</v>
      </c>
      <c r="S15978">
        <v>0</v>
      </c>
      <c r="T15978" t="s">
        <v>55918</v>
      </c>
    </row>
    <row r="15979" spans="1:25" customFormat="1" ht="15" x14ac:dyDescent="0.25">
      <c r="A15979" t="s">
        <v>24</v>
      </c>
      <c r="B15979" t="s">
        <v>675</v>
      </c>
      <c r="C15979" t="str">
        <f>"337N2"</f>
        <v>337N2</v>
      </c>
      <c r="D15979" t="s">
        <v>74514</v>
      </c>
      <c r="E15979" t="s">
        <v>74515</v>
      </c>
      <c r="F15979" t="s">
        <v>845</v>
      </c>
      <c r="G15979" t="s">
        <v>846</v>
      </c>
      <c r="H15979">
        <v>30326</v>
      </c>
      <c r="I15979" t="s">
        <v>30</v>
      </c>
      <c r="J15979" t="s">
        <v>162</v>
      </c>
      <c r="K15979" t="s">
        <v>10770</v>
      </c>
      <c r="N15979" t="s">
        <v>74516</v>
      </c>
      <c r="O15979" t="s">
        <v>74517</v>
      </c>
      <c r="Q15979">
        <v>0</v>
      </c>
      <c r="R15979">
        <v>371</v>
      </c>
      <c r="S15979">
        <v>0</v>
      </c>
      <c r="T15979" t="s">
        <v>74518</v>
      </c>
    </row>
    <row r="15980" spans="1:25" customFormat="1" ht="15" x14ac:dyDescent="0.25">
      <c r="A15980" t="s">
        <v>24</v>
      </c>
      <c r="B15980" t="s">
        <v>57844</v>
      </c>
      <c r="C15980" t="str">
        <f>"33747"</f>
        <v>33747</v>
      </c>
      <c r="D15980" t="s">
        <v>74519</v>
      </c>
      <c r="E15980" t="s">
        <v>74520</v>
      </c>
      <c r="F15980" t="s">
        <v>62357</v>
      </c>
      <c r="G15980" t="s">
        <v>81</v>
      </c>
      <c r="H15980">
        <v>34145</v>
      </c>
      <c r="I15980" t="s">
        <v>30</v>
      </c>
      <c r="J15980" t="s">
        <v>162</v>
      </c>
      <c r="K15980" t="s">
        <v>10770</v>
      </c>
      <c r="N15980" t="s">
        <v>74521</v>
      </c>
      <c r="O15980" t="s">
        <v>13794</v>
      </c>
      <c r="P15980" t="s">
        <v>3998</v>
      </c>
      <c r="Q15980">
        <v>1</v>
      </c>
      <c r="R15980">
        <v>729</v>
      </c>
      <c r="S15980">
        <v>0</v>
      </c>
      <c r="T15980" t="s">
        <v>74522</v>
      </c>
    </row>
    <row r="15981" spans="1:25" customFormat="1" ht="15" x14ac:dyDescent="0.25">
      <c r="A15981" t="s">
        <v>24</v>
      </c>
      <c r="B15981" t="s">
        <v>55928</v>
      </c>
      <c r="C15981" t="str">
        <f>"A0158005"</f>
        <v>A0158005</v>
      </c>
      <c r="D15981" t="s">
        <v>55929</v>
      </c>
      <c r="E15981" t="s">
        <v>55930</v>
      </c>
      <c r="F15981" t="s">
        <v>55931</v>
      </c>
      <c r="G15981" t="s">
        <v>81</v>
      </c>
      <c r="H15981">
        <v>33480</v>
      </c>
      <c r="I15981" t="s">
        <v>30</v>
      </c>
      <c r="J15981" t="s">
        <v>31</v>
      </c>
      <c r="K15981" t="s">
        <v>163</v>
      </c>
      <c r="N15981" t="s">
        <v>55932</v>
      </c>
      <c r="O15981" t="s">
        <v>55933</v>
      </c>
      <c r="Q15981">
        <v>0</v>
      </c>
      <c r="R15981">
        <v>98</v>
      </c>
      <c r="S15981">
        <v>0</v>
      </c>
      <c r="T15981" t="s">
        <v>55934</v>
      </c>
    </row>
    <row r="15982" spans="1:25" x14ac:dyDescent="0.25">
      <c r="A15982" s="5" t="s">
        <v>24</v>
      </c>
      <c r="B15982" s="5" t="s">
        <v>675</v>
      </c>
      <c r="C15982" s="5" t="str">
        <f>"A0094125"</f>
        <v>A0094125</v>
      </c>
      <c r="D15982" s="5" t="s">
        <v>74527</v>
      </c>
      <c r="E15982" s="5" t="s">
        <v>74528</v>
      </c>
      <c r="F15982" s="5" t="s">
        <v>19689</v>
      </c>
      <c r="G15982" s="5" t="s">
        <v>161</v>
      </c>
      <c r="H15982" s="5">
        <v>55425</v>
      </c>
      <c r="I15982" s="5" t="s">
        <v>30</v>
      </c>
      <c r="J15982" s="5" t="s">
        <v>162</v>
      </c>
      <c r="K15982" s="5" t="s">
        <v>10770</v>
      </c>
      <c r="L15982" s="5"/>
      <c r="M15982" s="5"/>
      <c r="N15982" s="5" t="s">
        <v>74529</v>
      </c>
      <c r="O15982" s="5" t="s">
        <v>74530</v>
      </c>
      <c r="P15982" s="5"/>
      <c r="Q15982" s="5">
        <v>0</v>
      </c>
      <c r="R15982" s="5">
        <v>342</v>
      </c>
      <c r="S15982" s="5">
        <v>0</v>
      </c>
      <c r="T15982" s="5" t="s">
        <v>74531</v>
      </c>
      <c r="U15982" s="5"/>
      <c r="V15982" s="5"/>
      <c r="W15982" s="5"/>
      <c r="X15982" s="5"/>
      <c r="Y15982" s="5"/>
    </row>
    <row r="15983" spans="1:25" x14ac:dyDescent="0.25">
      <c r="A15983" s="5" t="s">
        <v>24</v>
      </c>
      <c r="B15983" s="5" t="s">
        <v>675</v>
      </c>
      <c r="C15983" s="5" t="str">
        <f>"A0057209"</f>
        <v>A0057209</v>
      </c>
      <c r="D15983" s="5" t="s">
        <v>74532</v>
      </c>
      <c r="E15983" s="5" t="s">
        <v>74533</v>
      </c>
      <c r="F15983" s="5" t="s">
        <v>2069</v>
      </c>
      <c r="G15983" s="5" t="s">
        <v>1170</v>
      </c>
      <c r="H15983" s="5">
        <v>70130</v>
      </c>
      <c r="I15983" s="5" t="s">
        <v>30</v>
      </c>
      <c r="J15983" s="5" t="s">
        <v>162</v>
      </c>
      <c r="K15983" s="5" t="s">
        <v>10770</v>
      </c>
      <c r="L15983" s="5"/>
      <c r="M15983" s="5"/>
      <c r="N15983" s="5" t="s">
        <v>74534</v>
      </c>
      <c r="O15983" s="5"/>
      <c r="P15983" s="5"/>
      <c r="Q15983" s="5">
        <v>0</v>
      </c>
      <c r="R15983" s="5">
        <v>494</v>
      </c>
      <c r="S15983" s="5">
        <v>0</v>
      </c>
      <c r="T15983" s="5" t="s">
        <v>74535</v>
      </c>
      <c r="U15983" s="5"/>
      <c r="V15983" s="5"/>
      <c r="W15983" s="5"/>
      <c r="X15983" s="5"/>
      <c r="Y15983" s="5"/>
    </row>
    <row r="15984" spans="1:25" x14ac:dyDescent="0.25">
      <c r="A15984" s="5" t="s">
        <v>24</v>
      </c>
      <c r="B15984" s="5" t="s">
        <v>675</v>
      </c>
      <c r="C15984" s="5" t="str">
        <f>"A0147917"</f>
        <v>A0147917</v>
      </c>
      <c r="D15984" s="5" t="s">
        <v>74536</v>
      </c>
      <c r="E15984" s="5" t="s">
        <v>74537</v>
      </c>
      <c r="F15984" s="5" t="s">
        <v>985</v>
      </c>
      <c r="G15984" s="5" t="s">
        <v>81</v>
      </c>
      <c r="H15984" s="5">
        <v>32821</v>
      </c>
      <c r="I15984" s="5" t="s">
        <v>30</v>
      </c>
      <c r="J15984" s="5" t="s">
        <v>162</v>
      </c>
      <c r="K15984" s="5" t="s">
        <v>10770</v>
      </c>
      <c r="L15984" s="5"/>
      <c r="M15984" s="5"/>
      <c r="N15984" s="5" t="s">
        <v>74538</v>
      </c>
      <c r="O15984" s="5"/>
      <c r="P15984" s="5"/>
      <c r="Q15984" s="5">
        <v>0</v>
      </c>
      <c r="R15984" s="5">
        <v>516</v>
      </c>
      <c r="S15984" s="5">
        <v>0</v>
      </c>
      <c r="T15984" s="5" t="s">
        <v>74539</v>
      </c>
      <c r="U15984" s="5"/>
      <c r="V15984" s="5"/>
      <c r="W15984" s="5"/>
      <c r="X15984" s="5"/>
      <c r="Y15984" s="5"/>
    </row>
    <row r="15985" spans="1:25" x14ac:dyDescent="0.25">
      <c r="A15985" s="5" t="s">
        <v>24</v>
      </c>
      <c r="B15985" s="5" t="s">
        <v>57844</v>
      </c>
      <c r="C15985" s="5" t="str">
        <f>"337X7"</f>
        <v>337X7</v>
      </c>
      <c r="D15985" s="5" t="s">
        <v>74540</v>
      </c>
      <c r="E15985" s="5" t="s">
        <v>74541</v>
      </c>
      <c r="F15985" s="5" t="s">
        <v>985</v>
      </c>
      <c r="G15985" s="5" t="s">
        <v>81</v>
      </c>
      <c r="H15985" s="5">
        <v>32837</v>
      </c>
      <c r="I15985" s="5" t="s">
        <v>30</v>
      </c>
      <c r="J15985" s="5" t="s">
        <v>162</v>
      </c>
      <c r="K15985" s="5" t="s">
        <v>10770</v>
      </c>
      <c r="L15985" s="5"/>
      <c r="M15985" s="5"/>
      <c r="N15985" s="5" t="s">
        <v>74542</v>
      </c>
      <c r="O15985" s="5" t="s">
        <v>74543</v>
      </c>
      <c r="P15985" s="5" t="s">
        <v>3998</v>
      </c>
      <c r="Q15985" s="5">
        <v>0</v>
      </c>
      <c r="R15985" s="5">
        <v>1000</v>
      </c>
      <c r="S15985" s="5">
        <v>0</v>
      </c>
      <c r="T15985" s="5" t="s">
        <v>74544</v>
      </c>
      <c r="U15985" s="5"/>
      <c r="V15985" s="5"/>
      <c r="W15985" s="5"/>
      <c r="X15985" s="5"/>
      <c r="Y15985" s="5"/>
    </row>
    <row r="15986" spans="1:25" customFormat="1" ht="15" x14ac:dyDescent="0.25">
      <c r="A15986" t="s">
        <v>24</v>
      </c>
      <c r="B15986" t="s">
        <v>55951</v>
      </c>
      <c r="C15986" t="str">
        <f>"A0095028"</f>
        <v>A0095028</v>
      </c>
      <c r="D15986" t="s">
        <v>55952</v>
      </c>
      <c r="E15986" t="s">
        <v>55953</v>
      </c>
      <c r="F15986" t="s">
        <v>55954</v>
      </c>
      <c r="G15986" t="s">
        <v>81</v>
      </c>
      <c r="H15986">
        <v>32034</v>
      </c>
      <c r="I15986" t="s">
        <v>30</v>
      </c>
      <c r="J15986" t="s">
        <v>31</v>
      </c>
      <c r="K15986" t="s">
        <v>163</v>
      </c>
      <c r="N15986" t="s">
        <v>55955</v>
      </c>
      <c r="O15986" t="s">
        <v>55956</v>
      </c>
      <c r="Q15986">
        <v>0</v>
      </c>
      <c r="R15986">
        <v>89</v>
      </c>
      <c r="S15986">
        <v>0</v>
      </c>
      <c r="T15986" t="s">
        <v>55957</v>
      </c>
    </row>
    <row r="15987" spans="1:25" customFormat="1" ht="15" x14ac:dyDescent="0.25">
      <c r="A15987" t="s">
        <v>24</v>
      </c>
      <c r="B15987" t="s">
        <v>55528</v>
      </c>
      <c r="C15987" t="str">
        <f>"A0060806"</f>
        <v>A0060806</v>
      </c>
      <c r="D15987" t="s">
        <v>55958</v>
      </c>
      <c r="E15987" t="s">
        <v>55959</v>
      </c>
      <c r="F15987" t="s">
        <v>55960</v>
      </c>
      <c r="G15987" t="s">
        <v>161</v>
      </c>
      <c r="H15987">
        <v>56001</v>
      </c>
      <c r="I15987" t="s">
        <v>30</v>
      </c>
      <c r="J15987" t="s">
        <v>31</v>
      </c>
      <c r="K15987" t="s">
        <v>3254</v>
      </c>
      <c r="N15987" t="s">
        <v>55961</v>
      </c>
      <c r="Q15987">
        <v>0</v>
      </c>
      <c r="R15987">
        <v>80</v>
      </c>
      <c r="S15987">
        <v>0</v>
      </c>
      <c r="T15987" t="s">
        <v>55962</v>
      </c>
    </row>
    <row r="15988" spans="1:25" customFormat="1" ht="15" x14ac:dyDescent="0.25">
      <c r="A15988" t="s">
        <v>24</v>
      </c>
      <c r="B15988" t="s">
        <v>2520</v>
      </c>
      <c r="C15988" t="str">
        <f>"A0096406"</f>
        <v>A0096406</v>
      </c>
      <c r="D15988" t="s">
        <v>55963</v>
      </c>
      <c r="E15988" t="s">
        <v>55964</v>
      </c>
      <c r="F15988" t="s">
        <v>13677</v>
      </c>
      <c r="G15988" t="s">
        <v>110</v>
      </c>
      <c r="H15988">
        <v>90242</v>
      </c>
      <c r="I15988" t="s">
        <v>30</v>
      </c>
      <c r="J15988" t="s">
        <v>31</v>
      </c>
      <c r="K15988" t="s">
        <v>163</v>
      </c>
      <c r="N15988" t="s">
        <v>55965</v>
      </c>
      <c r="Q15988">
        <v>0</v>
      </c>
      <c r="R15988">
        <v>19</v>
      </c>
      <c r="S15988">
        <v>0</v>
      </c>
      <c r="T15988" t="s">
        <v>55966</v>
      </c>
    </row>
    <row r="15989" spans="1:25" customFormat="1" ht="15" x14ac:dyDescent="0.25">
      <c r="A15989" t="s">
        <v>24</v>
      </c>
      <c r="B15989" t="s">
        <v>2340</v>
      </c>
      <c r="C15989" t="str">
        <f>"A0083775"</f>
        <v>A0083775</v>
      </c>
      <c r="D15989" t="s">
        <v>55967</v>
      </c>
      <c r="E15989" t="s">
        <v>55968</v>
      </c>
      <c r="F15989" t="s">
        <v>6609</v>
      </c>
      <c r="G15989" t="s">
        <v>123</v>
      </c>
      <c r="H15989">
        <v>20814</v>
      </c>
      <c r="I15989" t="s">
        <v>30</v>
      </c>
      <c r="J15989" t="s">
        <v>31</v>
      </c>
      <c r="K15989" t="s">
        <v>13697</v>
      </c>
      <c r="N15989" t="s">
        <v>55969</v>
      </c>
      <c r="Q15989">
        <v>0</v>
      </c>
      <c r="R15989">
        <v>76</v>
      </c>
      <c r="S15989">
        <v>0</v>
      </c>
      <c r="T15989" t="s">
        <v>55970</v>
      </c>
    </row>
    <row r="15990" spans="1:25" customFormat="1" ht="15" x14ac:dyDescent="0.25">
      <c r="A15990" t="s">
        <v>24</v>
      </c>
      <c r="B15990" t="s">
        <v>55971</v>
      </c>
      <c r="C15990" t="str">
        <f>"A0137007"</f>
        <v>A0137007</v>
      </c>
      <c r="D15990" t="s">
        <v>55972</v>
      </c>
      <c r="E15990" t="s">
        <v>55973</v>
      </c>
      <c r="F15990" t="s">
        <v>313</v>
      </c>
      <c r="G15990" t="s">
        <v>314</v>
      </c>
      <c r="H15990">
        <v>20005</v>
      </c>
      <c r="I15990" t="s">
        <v>30</v>
      </c>
      <c r="J15990" t="s">
        <v>1004</v>
      </c>
      <c r="K15990" t="s">
        <v>163</v>
      </c>
      <c r="Q15990">
        <v>0</v>
      </c>
      <c r="R15990">
        <v>0</v>
      </c>
      <c r="S15990">
        <v>0</v>
      </c>
      <c r="T15990" t="s">
        <v>55974</v>
      </c>
    </row>
    <row r="15991" spans="1:25" customFormat="1" ht="15" x14ac:dyDescent="0.25">
      <c r="A15991" t="s">
        <v>24</v>
      </c>
      <c r="B15991" t="s">
        <v>33426</v>
      </c>
      <c r="C15991" t="str">
        <f>"A0092443"</f>
        <v>A0092443</v>
      </c>
      <c r="D15991" t="s">
        <v>55975</v>
      </c>
      <c r="E15991" t="s">
        <v>55976</v>
      </c>
      <c r="F15991" t="s">
        <v>6404</v>
      </c>
      <c r="G15991" t="s">
        <v>161</v>
      </c>
      <c r="H15991">
        <v>55407</v>
      </c>
      <c r="I15991" t="s">
        <v>30</v>
      </c>
      <c r="J15991" t="s">
        <v>7657</v>
      </c>
      <c r="K15991" t="s">
        <v>163</v>
      </c>
      <c r="Q15991">
        <v>0</v>
      </c>
      <c r="R15991">
        <v>0</v>
      </c>
      <c r="S15991">
        <v>0</v>
      </c>
      <c r="T15991" t="s">
        <v>55977</v>
      </c>
    </row>
    <row r="15992" spans="1:25" customFormat="1" ht="15" x14ac:dyDescent="0.25">
      <c r="A15992" t="s">
        <v>24</v>
      </c>
      <c r="B15992" t="s">
        <v>7953</v>
      </c>
      <c r="C15992" t="str">
        <f>"A0153937"</f>
        <v>A0153937</v>
      </c>
      <c r="D15992" t="s">
        <v>55978</v>
      </c>
      <c r="E15992" t="s">
        <v>55979</v>
      </c>
      <c r="F15992" t="s">
        <v>748</v>
      </c>
      <c r="G15992" t="s">
        <v>110</v>
      </c>
      <c r="H15992">
        <v>94103</v>
      </c>
      <c r="I15992" t="s">
        <v>30</v>
      </c>
      <c r="J15992" t="s">
        <v>31</v>
      </c>
      <c r="K15992" t="s">
        <v>163</v>
      </c>
      <c r="N15992" t="s">
        <v>55980</v>
      </c>
      <c r="Q15992">
        <v>0</v>
      </c>
      <c r="R15992">
        <v>143</v>
      </c>
      <c r="S15992">
        <v>0</v>
      </c>
      <c r="T15992" t="s">
        <v>55981</v>
      </c>
    </row>
    <row r="15993" spans="1:25" customFormat="1" ht="15" x14ac:dyDescent="0.25">
      <c r="A15993" t="s">
        <v>24</v>
      </c>
      <c r="B15993" t="s">
        <v>2340</v>
      </c>
      <c r="C15993" t="str">
        <f>"A0078165"</f>
        <v>A0078165</v>
      </c>
      <c r="D15993" t="s">
        <v>55982</v>
      </c>
      <c r="E15993" t="s">
        <v>55983</v>
      </c>
      <c r="F15993" t="s">
        <v>55984</v>
      </c>
      <c r="G15993" t="s">
        <v>338</v>
      </c>
      <c r="H15993">
        <v>7111</v>
      </c>
      <c r="I15993" t="s">
        <v>30</v>
      </c>
      <c r="J15993" t="s">
        <v>31</v>
      </c>
      <c r="K15993" t="s">
        <v>163</v>
      </c>
      <c r="N15993" t="s">
        <v>55985</v>
      </c>
      <c r="Q15993">
        <v>0</v>
      </c>
      <c r="R15993">
        <v>80</v>
      </c>
      <c r="S15993">
        <v>0</v>
      </c>
      <c r="T15993" t="s">
        <v>55986</v>
      </c>
    </row>
    <row r="15994" spans="1:25" customFormat="1" ht="15" x14ac:dyDescent="0.25">
      <c r="A15994" t="s">
        <v>24</v>
      </c>
      <c r="B15994" t="s">
        <v>55987</v>
      </c>
      <c r="C15994" t="str">
        <f>"A0060662"</f>
        <v>A0060662</v>
      </c>
      <c r="D15994" t="s">
        <v>55988</v>
      </c>
      <c r="E15994" t="s">
        <v>55989</v>
      </c>
      <c r="F15994" t="s">
        <v>35806</v>
      </c>
      <c r="G15994" t="s">
        <v>71</v>
      </c>
      <c r="H15994">
        <v>54806</v>
      </c>
      <c r="I15994" t="s">
        <v>30</v>
      </c>
      <c r="J15994" t="s">
        <v>31</v>
      </c>
      <c r="K15994" t="s">
        <v>3254</v>
      </c>
      <c r="N15994" t="s">
        <v>55990</v>
      </c>
      <c r="Q15994">
        <v>0</v>
      </c>
      <c r="R15994">
        <v>94</v>
      </c>
      <c r="S15994">
        <v>0</v>
      </c>
      <c r="T15994" t="s">
        <v>55991</v>
      </c>
    </row>
    <row r="15995" spans="1:25" customFormat="1" ht="15" x14ac:dyDescent="0.25">
      <c r="A15995" t="s">
        <v>24</v>
      </c>
      <c r="B15995" t="s">
        <v>8366</v>
      </c>
      <c r="C15995" t="str">
        <f>"A0100036"</f>
        <v>A0100036</v>
      </c>
      <c r="D15995" t="s">
        <v>55992</v>
      </c>
      <c r="E15995" t="s">
        <v>55993</v>
      </c>
      <c r="F15995" t="s">
        <v>55994</v>
      </c>
      <c r="G15995" t="s">
        <v>615</v>
      </c>
      <c r="H15995">
        <v>6351</v>
      </c>
      <c r="I15995" t="s">
        <v>30</v>
      </c>
      <c r="J15995" t="s">
        <v>31</v>
      </c>
      <c r="K15995" t="s">
        <v>3254</v>
      </c>
      <c r="N15995" t="s">
        <v>55995</v>
      </c>
      <c r="Q15995">
        <v>0</v>
      </c>
      <c r="R15995">
        <v>76</v>
      </c>
      <c r="S15995">
        <v>0</v>
      </c>
      <c r="T15995" t="s">
        <v>55996</v>
      </c>
    </row>
    <row r="15996" spans="1:25" customFormat="1" ht="15" x14ac:dyDescent="0.25">
      <c r="A15996" t="s">
        <v>24</v>
      </c>
      <c r="B15996" t="s">
        <v>55997</v>
      </c>
      <c r="C15996" t="str">
        <f>"A0093419"</f>
        <v>A0093419</v>
      </c>
      <c r="D15996" t="s">
        <v>55998</v>
      </c>
      <c r="E15996" t="s">
        <v>55999</v>
      </c>
      <c r="F15996" t="s">
        <v>2438</v>
      </c>
      <c r="G15996" t="s">
        <v>528</v>
      </c>
      <c r="H15996">
        <v>19971</v>
      </c>
      <c r="I15996" t="s">
        <v>30</v>
      </c>
      <c r="J15996" t="s">
        <v>31</v>
      </c>
      <c r="K15996" t="s">
        <v>3254</v>
      </c>
      <c r="N15996" t="s">
        <v>56000</v>
      </c>
      <c r="O15996" t="s">
        <v>56001</v>
      </c>
      <c r="Q15996">
        <v>0</v>
      </c>
      <c r="R15996">
        <v>48</v>
      </c>
      <c r="S15996">
        <v>0</v>
      </c>
      <c r="T15996" t="s">
        <v>56002</v>
      </c>
    </row>
    <row r="15997" spans="1:25" customFormat="1" ht="15" x14ac:dyDescent="0.25">
      <c r="A15997" t="s">
        <v>24</v>
      </c>
      <c r="B15997" t="s">
        <v>55987</v>
      </c>
      <c r="C15997" t="str">
        <f>"A0060664"</f>
        <v>A0060664</v>
      </c>
      <c r="D15997" t="s">
        <v>56003</v>
      </c>
      <c r="E15997" t="s">
        <v>56004</v>
      </c>
      <c r="F15997" t="s">
        <v>56005</v>
      </c>
      <c r="G15997" t="s">
        <v>71</v>
      </c>
      <c r="H15997">
        <v>54548</v>
      </c>
      <c r="I15997" t="s">
        <v>30</v>
      </c>
      <c r="J15997" t="s">
        <v>31</v>
      </c>
      <c r="K15997" t="s">
        <v>3254</v>
      </c>
      <c r="N15997" t="s">
        <v>56006</v>
      </c>
      <c r="Q15997">
        <v>0</v>
      </c>
      <c r="R15997">
        <v>82</v>
      </c>
      <c r="S15997">
        <v>0</v>
      </c>
      <c r="T15997" t="s">
        <v>56007</v>
      </c>
    </row>
    <row r="15998" spans="1:25" x14ac:dyDescent="0.25">
      <c r="A15998" s="5" t="s">
        <v>24</v>
      </c>
      <c r="B15998" s="5" t="s">
        <v>675</v>
      </c>
      <c r="C15998" s="5" t="str">
        <f>"A0086232"</f>
        <v>A0086232</v>
      </c>
      <c r="D15998" s="5" t="s">
        <v>74557</v>
      </c>
      <c r="E15998" s="5" t="s">
        <v>74558</v>
      </c>
      <c r="F15998" s="5" t="s">
        <v>356</v>
      </c>
      <c r="G15998" s="5" t="s">
        <v>52</v>
      </c>
      <c r="H15998" s="5">
        <v>78261</v>
      </c>
      <c r="I15998" s="5" t="s">
        <v>30</v>
      </c>
      <c r="J15998" s="5" t="s">
        <v>162</v>
      </c>
      <c r="K15998" s="5" t="s">
        <v>10770</v>
      </c>
      <c r="L15998" s="5"/>
      <c r="M15998" s="5"/>
      <c r="N15998" s="5" t="s">
        <v>74559</v>
      </c>
      <c r="O15998" s="5" t="s">
        <v>74560</v>
      </c>
      <c r="P15998" s="5"/>
      <c r="Q15998" s="5">
        <v>0</v>
      </c>
      <c r="R15998" s="5">
        <v>1002</v>
      </c>
      <c r="S15998" s="5">
        <v>0</v>
      </c>
      <c r="T15998" s="5" t="s">
        <v>74561</v>
      </c>
      <c r="U15998" s="5"/>
      <c r="V15998" s="5"/>
      <c r="W15998" s="5"/>
      <c r="X15998" s="5"/>
      <c r="Y15998" s="5"/>
    </row>
    <row r="15999" spans="1:25" customFormat="1" ht="15" x14ac:dyDescent="0.25">
      <c r="A15999" t="s">
        <v>24</v>
      </c>
      <c r="B15999" t="s">
        <v>675</v>
      </c>
      <c r="C15999" t="str">
        <f>"A0063663"</f>
        <v>A0063663</v>
      </c>
      <c r="D15999" t="s">
        <v>74562</v>
      </c>
      <c r="E15999" t="s">
        <v>74563</v>
      </c>
      <c r="F15999" t="s">
        <v>748</v>
      </c>
      <c r="G15999" t="s">
        <v>110</v>
      </c>
      <c r="H15999" t="s">
        <v>74564</v>
      </c>
      <c r="I15999" t="s">
        <v>30</v>
      </c>
      <c r="J15999" t="s">
        <v>162</v>
      </c>
      <c r="K15999" t="s">
        <v>10770</v>
      </c>
      <c r="N15999" t="s">
        <v>74565</v>
      </c>
      <c r="O15999" t="s">
        <v>74566</v>
      </c>
      <c r="Q15999">
        <v>0</v>
      </c>
      <c r="R15999">
        <v>337</v>
      </c>
      <c r="S15999">
        <v>0</v>
      </c>
      <c r="T15999" t="s">
        <v>74567</v>
      </c>
    </row>
    <row r="16000" spans="1:25" customFormat="1" ht="15" x14ac:dyDescent="0.25">
      <c r="A16000" t="s">
        <v>24</v>
      </c>
      <c r="B16000" t="s">
        <v>6667</v>
      </c>
      <c r="C16000" t="str">
        <f>"A0050199"</f>
        <v>A0050199</v>
      </c>
      <c r="D16000" t="s">
        <v>56018</v>
      </c>
      <c r="E16000" t="s">
        <v>56019</v>
      </c>
      <c r="F16000" t="s">
        <v>2014</v>
      </c>
      <c r="G16000" t="s">
        <v>197</v>
      </c>
      <c r="H16000">
        <v>85259</v>
      </c>
      <c r="I16000" t="s">
        <v>30</v>
      </c>
      <c r="J16000" t="s">
        <v>178</v>
      </c>
      <c r="K16000" t="s">
        <v>6667</v>
      </c>
      <c r="N16000" t="s">
        <v>56020</v>
      </c>
      <c r="O16000" t="s">
        <v>56021</v>
      </c>
      <c r="Q16000">
        <v>0</v>
      </c>
      <c r="R16000">
        <v>0</v>
      </c>
      <c r="S16000">
        <v>0</v>
      </c>
      <c r="T16000" t="s">
        <v>56022</v>
      </c>
    </row>
    <row r="16001" spans="1:25" customFormat="1" ht="15" x14ac:dyDescent="0.25">
      <c r="A16001" t="s">
        <v>24</v>
      </c>
      <c r="B16001" t="s">
        <v>675</v>
      </c>
      <c r="C16001" t="str">
        <f>"A0067337"</f>
        <v>A0067337</v>
      </c>
      <c r="D16001" t="s">
        <v>74573</v>
      </c>
      <c r="E16001" t="s">
        <v>74574</v>
      </c>
      <c r="F16001" t="s">
        <v>796</v>
      </c>
      <c r="G16001" t="s">
        <v>197</v>
      </c>
      <c r="H16001">
        <v>85745</v>
      </c>
      <c r="I16001" t="s">
        <v>30</v>
      </c>
      <c r="J16001" t="s">
        <v>162</v>
      </c>
      <c r="K16001" t="s">
        <v>10770</v>
      </c>
      <c r="N16001" t="s">
        <v>74575</v>
      </c>
      <c r="O16001" t="s">
        <v>74576</v>
      </c>
      <c r="P16001" t="s">
        <v>3998</v>
      </c>
      <c r="Q16001">
        <v>3</v>
      </c>
      <c r="R16001">
        <v>575</v>
      </c>
      <c r="S16001">
        <v>0</v>
      </c>
      <c r="T16001" t="s">
        <v>74577</v>
      </c>
    </row>
    <row r="16002" spans="1:25" customFormat="1" ht="15" x14ac:dyDescent="0.25">
      <c r="A16002" t="s">
        <v>24</v>
      </c>
      <c r="B16002" t="s">
        <v>675</v>
      </c>
      <c r="C16002" t="str">
        <f>"33769"</f>
        <v>33769</v>
      </c>
      <c r="D16002" t="s">
        <v>74578</v>
      </c>
      <c r="E16002" t="s">
        <v>74579</v>
      </c>
      <c r="F16002" t="s">
        <v>313</v>
      </c>
      <c r="G16002" t="s">
        <v>314</v>
      </c>
      <c r="H16002">
        <v>20004</v>
      </c>
      <c r="I16002" t="s">
        <v>30</v>
      </c>
      <c r="J16002" t="s">
        <v>162</v>
      </c>
      <c r="K16002" t="s">
        <v>10770</v>
      </c>
      <c r="N16002" t="s">
        <v>74580</v>
      </c>
      <c r="Q16002">
        <v>0</v>
      </c>
      <c r="R16002">
        <v>777</v>
      </c>
      <c r="S16002">
        <v>0</v>
      </c>
      <c r="T16002" t="s">
        <v>74581</v>
      </c>
    </row>
    <row r="16003" spans="1:25" customFormat="1" ht="15" hidden="1" x14ac:dyDescent="0.25">
      <c r="A16003" t="s">
        <v>24</v>
      </c>
      <c r="B16003" t="s">
        <v>2011</v>
      </c>
      <c r="C16003" t="str">
        <f>"A0096825"</f>
        <v>A0096825</v>
      </c>
      <c r="D16003" t="s">
        <v>56033</v>
      </c>
      <c r="E16003" t="s">
        <v>56034</v>
      </c>
      <c r="F16003" t="s">
        <v>56035</v>
      </c>
      <c r="G16003" t="s">
        <v>5424</v>
      </c>
      <c r="H16003">
        <v>77710</v>
      </c>
      <c r="I16003" t="s">
        <v>2408</v>
      </c>
      <c r="J16003" t="s">
        <v>162</v>
      </c>
      <c r="K16003" t="s">
        <v>53270</v>
      </c>
      <c r="N16003" t="s">
        <v>56036</v>
      </c>
      <c r="O16003" t="s">
        <v>56037</v>
      </c>
      <c r="Q16003">
        <v>0</v>
      </c>
      <c r="R16003">
        <v>213</v>
      </c>
      <c r="S16003">
        <v>0</v>
      </c>
      <c r="T16003" t="s">
        <v>56038</v>
      </c>
    </row>
    <row r="16004" spans="1:25" customFormat="1" ht="15" x14ac:dyDescent="0.25">
      <c r="A16004" t="s">
        <v>24</v>
      </c>
      <c r="B16004" t="s">
        <v>675</v>
      </c>
      <c r="C16004" t="str">
        <f>"A0155461"</f>
        <v>A0155461</v>
      </c>
      <c r="D16004" t="s">
        <v>74582</v>
      </c>
      <c r="E16004" t="s">
        <v>74583</v>
      </c>
      <c r="F16004" t="s">
        <v>5651</v>
      </c>
      <c r="G16004" t="s">
        <v>110</v>
      </c>
      <c r="H16004">
        <v>92802</v>
      </c>
      <c r="I16004" t="s">
        <v>30</v>
      </c>
      <c r="J16004" t="s">
        <v>162</v>
      </c>
      <c r="K16004" t="s">
        <v>10770</v>
      </c>
      <c r="N16004" t="s">
        <v>74584</v>
      </c>
      <c r="Q16004">
        <v>0</v>
      </c>
      <c r="R16004">
        <v>466</v>
      </c>
      <c r="S16004">
        <v>0</v>
      </c>
      <c r="T16004" t="s">
        <v>74585</v>
      </c>
    </row>
    <row r="16005" spans="1:25" customFormat="1" ht="15" hidden="1" x14ac:dyDescent="0.25">
      <c r="A16005" t="s">
        <v>24</v>
      </c>
      <c r="B16005" t="s">
        <v>2011</v>
      </c>
      <c r="C16005" t="str">
        <f>"A0096061"</f>
        <v>A0096061</v>
      </c>
      <c r="D16005" t="s">
        <v>56043</v>
      </c>
      <c r="E16005" t="s">
        <v>56044</v>
      </c>
      <c r="F16005" t="s">
        <v>56045</v>
      </c>
      <c r="G16005" t="s">
        <v>2206</v>
      </c>
      <c r="H16005" t="s">
        <v>56046</v>
      </c>
      <c r="I16005" t="s">
        <v>1459</v>
      </c>
      <c r="J16005" t="s">
        <v>162</v>
      </c>
      <c r="K16005" t="s">
        <v>53270</v>
      </c>
      <c r="N16005" t="s">
        <v>56047</v>
      </c>
      <c r="Q16005">
        <v>0</v>
      </c>
      <c r="R16005">
        <v>200</v>
      </c>
      <c r="S16005">
        <v>0</v>
      </c>
      <c r="T16005" t="s">
        <v>56048</v>
      </c>
    </row>
    <row r="16006" spans="1:25" customFormat="1" ht="15" hidden="1" x14ac:dyDescent="0.25">
      <c r="A16006" t="s">
        <v>24</v>
      </c>
      <c r="B16006" t="s">
        <v>2011</v>
      </c>
      <c r="C16006" t="str">
        <f>"A0092366"</f>
        <v>A0092366</v>
      </c>
      <c r="D16006" t="s">
        <v>56049</v>
      </c>
      <c r="E16006" t="s">
        <v>56050</v>
      </c>
      <c r="F16006" t="s">
        <v>56051</v>
      </c>
      <c r="G16006" t="s">
        <v>6356</v>
      </c>
      <c r="H16006">
        <v>50104</v>
      </c>
      <c r="I16006" t="s">
        <v>4803</v>
      </c>
      <c r="J16006" t="s">
        <v>162</v>
      </c>
      <c r="K16006" t="s">
        <v>53270</v>
      </c>
      <c r="N16006" t="s">
        <v>56052</v>
      </c>
      <c r="Q16006">
        <v>0</v>
      </c>
      <c r="R16006">
        <v>153</v>
      </c>
      <c r="S16006">
        <v>0</v>
      </c>
      <c r="T16006" t="s">
        <v>56053</v>
      </c>
    </row>
    <row r="16007" spans="1:25" customFormat="1" ht="15" x14ac:dyDescent="0.25">
      <c r="A16007" t="s">
        <v>24</v>
      </c>
      <c r="B16007" t="s">
        <v>35351</v>
      </c>
      <c r="C16007" t="str">
        <f>"33726"</f>
        <v>33726</v>
      </c>
      <c r="D16007" t="s">
        <v>74604</v>
      </c>
      <c r="E16007" t="s">
        <v>74605</v>
      </c>
      <c r="F16007" t="s">
        <v>5107</v>
      </c>
      <c r="G16007" t="s">
        <v>137</v>
      </c>
      <c r="H16007">
        <v>64153</v>
      </c>
      <c r="I16007" t="s">
        <v>30</v>
      </c>
      <c r="J16007" t="s">
        <v>162</v>
      </c>
      <c r="K16007" t="s">
        <v>1490</v>
      </c>
      <c r="N16007" t="s">
        <v>74606</v>
      </c>
      <c r="O16007" t="s">
        <v>74607</v>
      </c>
      <c r="Q16007">
        <v>0</v>
      </c>
      <c r="R16007">
        <v>384</v>
      </c>
      <c r="S16007">
        <v>0</v>
      </c>
      <c r="T16007" t="s">
        <v>74608</v>
      </c>
    </row>
    <row r="16008" spans="1:25" customFormat="1" ht="15" x14ac:dyDescent="0.25">
      <c r="A16008" t="s">
        <v>24</v>
      </c>
      <c r="B16008" t="s">
        <v>2011</v>
      </c>
      <c r="C16008" t="str">
        <f>"A0153925"</f>
        <v>A0153925</v>
      </c>
      <c r="D16008" t="s">
        <v>74735</v>
      </c>
      <c r="E16008" t="s">
        <v>74736</v>
      </c>
      <c r="F16008" t="s">
        <v>985</v>
      </c>
      <c r="G16008" t="s">
        <v>81</v>
      </c>
      <c r="H16008">
        <v>32827</v>
      </c>
      <c r="I16008" t="s">
        <v>30</v>
      </c>
      <c r="J16008" t="s">
        <v>162</v>
      </c>
      <c r="K16008" t="s">
        <v>7598</v>
      </c>
      <c r="N16008" t="s">
        <v>74737</v>
      </c>
      <c r="O16008" t="s">
        <v>74738</v>
      </c>
      <c r="Q16008">
        <v>0</v>
      </c>
      <c r="R16008">
        <v>800</v>
      </c>
      <c r="S16008">
        <v>0</v>
      </c>
      <c r="T16008" t="s">
        <v>74739</v>
      </c>
    </row>
    <row r="16009" spans="1:25" customFormat="1" ht="15" x14ac:dyDescent="0.25">
      <c r="A16009" t="s">
        <v>24</v>
      </c>
      <c r="B16009" t="s">
        <v>257</v>
      </c>
      <c r="C16009" t="str">
        <f>"A0155407"</f>
        <v>A0155407</v>
      </c>
      <c r="D16009" t="s">
        <v>74744</v>
      </c>
      <c r="E16009" t="s">
        <v>74745</v>
      </c>
      <c r="F16009" t="s">
        <v>4983</v>
      </c>
      <c r="G16009" t="s">
        <v>110</v>
      </c>
      <c r="H16009">
        <v>93446</v>
      </c>
      <c r="I16009" t="s">
        <v>30</v>
      </c>
      <c r="J16009" t="s">
        <v>162</v>
      </c>
      <c r="K16009" t="s">
        <v>163</v>
      </c>
      <c r="N16009" t="s">
        <v>74746</v>
      </c>
      <c r="O16009" t="s">
        <v>74747</v>
      </c>
      <c r="Q16009">
        <v>0</v>
      </c>
      <c r="R16009">
        <v>60</v>
      </c>
      <c r="S16009">
        <v>0</v>
      </c>
      <c r="T16009" t="s">
        <v>74748</v>
      </c>
    </row>
    <row r="16010" spans="1:25" customFormat="1" ht="15" x14ac:dyDescent="0.25">
      <c r="A16010" t="s">
        <v>24</v>
      </c>
      <c r="B16010" t="s">
        <v>2221</v>
      </c>
      <c r="C16010" t="str">
        <f>"A0058888"</f>
        <v>A0058888</v>
      </c>
      <c r="D16010" t="s">
        <v>74753</v>
      </c>
      <c r="E16010" t="s">
        <v>74754</v>
      </c>
      <c r="F16010" t="s">
        <v>1084</v>
      </c>
      <c r="G16010" t="s">
        <v>81</v>
      </c>
      <c r="H16010">
        <v>33040</v>
      </c>
      <c r="I16010" t="s">
        <v>30</v>
      </c>
      <c r="J16010" t="s">
        <v>162</v>
      </c>
      <c r="K16010" t="s">
        <v>4442</v>
      </c>
      <c r="N16010" t="s">
        <v>74755</v>
      </c>
      <c r="Q16010">
        <v>0</v>
      </c>
      <c r="R16010">
        <v>160</v>
      </c>
      <c r="S16010">
        <v>0</v>
      </c>
      <c r="T16010" t="s">
        <v>74756</v>
      </c>
    </row>
    <row r="16011" spans="1:25" customFormat="1" ht="15" x14ac:dyDescent="0.25">
      <c r="A16011" t="s">
        <v>24</v>
      </c>
      <c r="B16011" t="s">
        <v>57258</v>
      </c>
      <c r="C16011" t="str">
        <f>"A0059730"</f>
        <v>A0059730</v>
      </c>
      <c r="D16011" t="s">
        <v>74909</v>
      </c>
      <c r="E16011" t="s">
        <v>74910</v>
      </c>
      <c r="F16011" t="s">
        <v>3154</v>
      </c>
      <c r="G16011" t="s">
        <v>110</v>
      </c>
      <c r="H16011">
        <v>94549</v>
      </c>
      <c r="I16011" t="s">
        <v>30</v>
      </c>
      <c r="J16011" t="s">
        <v>162</v>
      </c>
      <c r="K16011" t="s">
        <v>163</v>
      </c>
      <c r="N16011" t="s">
        <v>74911</v>
      </c>
      <c r="O16011" t="s">
        <v>74912</v>
      </c>
      <c r="Q16011">
        <v>0</v>
      </c>
      <c r="R16011">
        <v>140</v>
      </c>
      <c r="S16011">
        <v>0</v>
      </c>
      <c r="T16011" t="s">
        <v>74913</v>
      </c>
    </row>
    <row r="16012" spans="1:25" x14ac:dyDescent="0.25">
      <c r="A16012" s="5" t="s">
        <v>24</v>
      </c>
      <c r="B16012" s="5" t="s">
        <v>2221</v>
      </c>
      <c r="C16012" s="5" t="str">
        <f>"A0062411"</f>
        <v>A0062411</v>
      </c>
      <c r="D16012" s="5" t="s">
        <v>74939</v>
      </c>
      <c r="E16012" s="5" t="s">
        <v>74940</v>
      </c>
      <c r="F16012" s="5" t="s">
        <v>372</v>
      </c>
      <c r="G16012" s="5" t="s">
        <v>52</v>
      </c>
      <c r="H16012" s="5">
        <v>78734</v>
      </c>
      <c r="I16012" s="5" t="s">
        <v>30</v>
      </c>
      <c r="J16012" s="5" t="s">
        <v>162</v>
      </c>
      <c r="K16012" s="5" t="s">
        <v>163</v>
      </c>
      <c r="L16012" s="5"/>
      <c r="M16012" s="5"/>
      <c r="N16012" s="5" t="s">
        <v>74941</v>
      </c>
      <c r="O16012" s="5"/>
      <c r="P16012" s="5"/>
      <c r="Q16012" s="5">
        <v>0</v>
      </c>
      <c r="R16012" s="5">
        <v>168</v>
      </c>
      <c r="S16012" s="5">
        <v>0</v>
      </c>
      <c r="T16012" s="5" t="s">
        <v>74942</v>
      </c>
      <c r="U16012" s="5"/>
      <c r="V16012" s="5"/>
      <c r="W16012" s="5"/>
      <c r="X16012" s="5"/>
      <c r="Y16012" s="5"/>
    </row>
    <row r="16013" spans="1:25" x14ac:dyDescent="0.25">
      <c r="A16013" s="5" t="s">
        <v>24</v>
      </c>
      <c r="B16013" s="5" t="s">
        <v>56564</v>
      </c>
      <c r="C16013" s="5" t="str">
        <f>"A0087332"</f>
        <v>A0087332</v>
      </c>
      <c r="D16013" s="5" t="s">
        <v>74949</v>
      </c>
      <c r="E16013" s="5" t="s">
        <v>74950</v>
      </c>
      <c r="F16013" s="5" t="s">
        <v>1159</v>
      </c>
      <c r="G16013" s="5" t="s">
        <v>58</v>
      </c>
      <c r="H16013" s="5">
        <v>29577</v>
      </c>
      <c r="I16013" s="5" t="s">
        <v>30</v>
      </c>
      <c r="J16013" s="5" t="s">
        <v>162</v>
      </c>
      <c r="K16013" s="5" t="s">
        <v>163</v>
      </c>
      <c r="L16013" s="5"/>
      <c r="M16013" s="5"/>
      <c r="N16013" s="5" t="s">
        <v>56567</v>
      </c>
      <c r="O16013" s="5" t="s">
        <v>74951</v>
      </c>
      <c r="P16013" s="5"/>
      <c r="Q16013" s="5">
        <v>0</v>
      </c>
      <c r="R16013" s="5">
        <v>410</v>
      </c>
      <c r="S16013" s="5">
        <v>0</v>
      </c>
      <c r="T16013" s="5" t="s">
        <v>74952</v>
      </c>
      <c r="U16013" s="5"/>
      <c r="V16013" s="5"/>
      <c r="W16013" s="5"/>
      <c r="X16013" s="5"/>
      <c r="Y16013" s="5"/>
    </row>
    <row r="16014" spans="1:25" customFormat="1" ht="15" x14ac:dyDescent="0.25">
      <c r="A16014" t="s">
        <v>24</v>
      </c>
      <c r="B16014" t="s">
        <v>2360</v>
      </c>
      <c r="C16014" t="str">
        <f>"A0069459"</f>
        <v>A0069459</v>
      </c>
      <c r="D16014" t="s">
        <v>56089</v>
      </c>
      <c r="E16014" t="s">
        <v>56090</v>
      </c>
      <c r="F16014" t="s">
        <v>56091</v>
      </c>
      <c r="G16014" t="s">
        <v>197</v>
      </c>
      <c r="H16014">
        <v>85086</v>
      </c>
      <c r="I16014" t="s">
        <v>30</v>
      </c>
      <c r="J16014" t="s">
        <v>178</v>
      </c>
      <c r="K16014" t="s">
        <v>56092</v>
      </c>
      <c r="N16014" t="s">
        <v>56093</v>
      </c>
      <c r="P16014" t="s">
        <v>992</v>
      </c>
      <c r="Q16014">
        <v>1</v>
      </c>
      <c r="R16014">
        <v>0</v>
      </c>
      <c r="S16014">
        <v>0</v>
      </c>
      <c r="T16014" t="s">
        <v>56094</v>
      </c>
    </row>
    <row r="16015" spans="1:25" customFormat="1" ht="15" x14ac:dyDescent="0.25">
      <c r="A16015" t="s">
        <v>24</v>
      </c>
      <c r="B16015" t="s">
        <v>2360</v>
      </c>
      <c r="C16015" t="str">
        <f>"A0049482"</f>
        <v>A0049482</v>
      </c>
      <c r="D16015" t="s">
        <v>56095</v>
      </c>
      <c r="E16015" t="s">
        <v>56096</v>
      </c>
      <c r="F16015" t="s">
        <v>56091</v>
      </c>
      <c r="G16015" t="s">
        <v>197</v>
      </c>
      <c r="H16015">
        <v>85086</v>
      </c>
      <c r="I16015" t="s">
        <v>30</v>
      </c>
      <c r="J16015" t="s">
        <v>178</v>
      </c>
      <c r="K16015" t="s">
        <v>56092</v>
      </c>
      <c r="N16015" t="s">
        <v>56093</v>
      </c>
      <c r="O16015" t="s">
        <v>56097</v>
      </c>
      <c r="P16015" t="s">
        <v>992</v>
      </c>
      <c r="Q16015">
        <v>1</v>
      </c>
      <c r="R16015">
        <v>0</v>
      </c>
      <c r="S16015">
        <v>0</v>
      </c>
      <c r="T16015" t="s">
        <v>56098</v>
      </c>
    </row>
    <row r="16016" spans="1:25" customFormat="1" ht="15" x14ac:dyDescent="0.25">
      <c r="A16016" t="s">
        <v>24</v>
      </c>
      <c r="B16016" t="s">
        <v>2221</v>
      </c>
      <c r="C16016" t="str">
        <f>"A0058858"</f>
        <v>A0058858</v>
      </c>
      <c r="D16016" t="s">
        <v>75039</v>
      </c>
      <c r="E16016" t="s">
        <v>75040</v>
      </c>
      <c r="F16016" t="s">
        <v>220</v>
      </c>
      <c r="G16016" t="s">
        <v>221</v>
      </c>
      <c r="H16016">
        <v>89119</v>
      </c>
      <c r="I16016" t="s">
        <v>30</v>
      </c>
      <c r="J16016" t="s">
        <v>162</v>
      </c>
      <c r="K16016" t="s">
        <v>266</v>
      </c>
      <c r="N16016" t="s">
        <v>75041</v>
      </c>
      <c r="O16016" t="s">
        <v>75042</v>
      </c>
      <c r="Q16016">
        <v>0</v>
      </c>
      <c r="R16016">
        <v>220</v>
      </c>
      <c r="S16016">
        <v>0</v>
      </c>
      <c r="T16016" t="s">
        <v>75043</v>
      </c>
    </row>
    <row r="16017" spans="1:20" customFormat="1" ht="15" x14ac:dyDescent="0.25">
      <c r="A16017" t="s">
        <v>24</v>
      </c>
      <c r="B16017" t="s">
        <v>56103</v>
      </c>
      <c r="C16017" t="str">
        <f>"CL1705"</f>
        <v>CL1705</v>
      </c>
      <c r="D16017" t="s">
        <v>56104</v>
      </c>
      <c r="E16017" t="s">
        <v>56105</v>
      </c>
      <c r="F16017" t="s">
        <v>56106</v>
      </c>
      <c r="G16017" t="s">
        <v>110</v>
      </c>
      <c r="H16017">
        <v>95709</v>
      </c>
      <c r="I16017" t="s">
        <v>30</v>
      </c>
      <c r="J16017" t="s">
        <v>2415</v>
      </c>
      <c r="K16017" t="s">
        <v>163</v>
      </c>
      <c r="N16017" t="s">
        <v>56107</v>
      </c>
      <c r="Q16017">
        <v>1</v>
      </c>
      <c r="R16017">
        <v>0</v>
      </c>
      <c r="S16017">
        <v>0</v>
      </c>
      <c r="T16017" t="s">
        <v>56108</v>
      </c>
    </row>
    <row r="16018" spans="1:20" customFormat="1" ht="15" x14ac:dyDescent="0.25">
      <c r="A16018" t="s">
        <v>24</v>
      </c>
      <c r="B16018" t="s">
        <v>2360</v>
      </c>
      <c r="C16018" t="str">
        <f>"CL0116"</f>
        <v>CL0116</v>
      </c>
      <c r="D16018" t="s">
        <v>56109</v>
      </c>
      <c r="E16018" t="s">
        <v>56110</v>
      </c>
      <c r="F16018" t="s">
        <v>8562</v>
      </c>
      <c r="G16018" t="s">
        <v>52</v>
      </c>
      <c r="H16018">
        <v>77356</v>
      </c>
      <c r="I16018" t="s">
        <v>30</v>
      </c>
      <c r="J16018" t="s">
        <v>178</v>
      </c>
      <c r="K16018" t="s">
        <v>8013</v>
      </c>
      <c r="N16018" t="s">
        <v>56111</v>
      </c>
      <c r="P16018" t="s">
        <v>992</v>
      </c>
      <c r="Q16018">
        <v>2</v>
      </c>
      <c r="R16018">
        <v>0</v>
      </c>
      <c r="S16018">
        <v>0</v>
      </c>
      <c r="T16018" t="s">
        <v>56112</v>
      </c>
    </row>
    <row r="16019" spans="1:20" customFormat="1" ht="15" hidden="1" x14ac:dyDescent="0.25">
      <c r="A16019" t="s">
        <v>24</v>
      </c>
      <c r="B16019" t="s">
        <v>56113</v>
      </c>
      <c r="C16019" t="str">
        <f>"A0166099"</f>
        <v>A0166099</v>
      </c>
      <c r="D16019" t="s">
        <v>56114</v>
      </c>
      <c r="E16019" t="s">
        <v>56115</v>
      </c>
      <c r="F16019" t="s">
        <v>56116</v>
      </c>
      <c r="G16019" t="s">
        <v>56117</v>
      </c>
      <c r="H16019" t="s">
        <v>56118</v>
      </c>
      <c r="I16019" t="s">
        <v>1459</v>
      </c>
      <c r="J16019" t="s">
        <v>162</v>
      </c>
      <c r="K16019" t="s">
        <v>163</v>
      </c>
      <c r="N16019" t="s">
        <v>56119</v>
      </c>
      <c r="Q16019">
        <v>0</v>
      </c>
      <c r="R16019">
        <v>94</v>
      </c>
      <c r="S16019">
        <v>0</v>
      </c>
      <c r="T16019" t="s">
        <v>56120</v>
      </c>
    </row>
    <row r="16020" spans="1:20" customFormat="1" ht="15" x14ac:dyDescent="0.25">
      <c r="A16020" t="s">
        <v>24</v>
      </c>
      <c r="B16020" t="s">
        <v>1583</v>
      </c>
      <c r="C16020" t="str">
        <f>"A0084752"</f>
        <v>A0084752</v>
      </c>
      <c r="D16020" t="s">
        <v>56121</v>
      </c>
      <c r="E16020" t="s">
        <v>56122</v>
      </c>
      <c r="F16020" t="s">
        <v>56123</v>
      </c>
      <c r="G16020" t="s">
        <v>4815</v>
      </c>
      <c r="H16020">
        <v>96815</v>
      </c>
      <c r="I16020" t="s">
        <v>30</v>
      </c>
      <c r="J16020" t="s">
        <v>31</v>
      </c>
      <c r="K16020" t="s">
        <v>163</v>
      </c>
      <c r="N16020" t="s">
        <v>56124</v>
      </c>
      <c r="Q16020">
        <v>0</v>
      </c>
      <c r="R16020">
        <v>219</v>
      </c>
      <c r="S16020">
        <v>0</v>
      </c>
      <c r="T16020" t="s">
        <v>56125</v>
      </c>
    </row>
    <row r="16021" spans="1:20" customFormat="1" ht="15" x14ac:dyDescent="0.25">
      <c r="A16021" t="s">
        <v>24</v>
      </c>
      <c r="B16021" t="s">
        <v>2373</v>
      </c>
      <c r="C16021" t="str">
        <f>"A0085881"</f>
        <v>A0085881</v>
      </c>
      <c r="D16021" t="s">
        <v>75072</v>
      </c>
      <c r="E16021" t="s">
        <v>75073</v>
      </c>
      <c r="F16021" t="s">
        <v>1131</v>
      </c>
      <c r="G16021" t="s">
        <v>29</v>
      </c>
      <c r="H16021">
        <v>22209</v>
      </c>
      <c r="I16021" t="s">
        <v>30</v>
      </c>
      <c r="J16021" t="s">
        <v>162</v>
      </c>
      <c r="K16021" t="s">
        <v>847</v>
      </c>
      <c r="N16021" t="s">
        <v>75074</v>
      </c>
      <c r="Q16021">
        <v>0</v>
      </c>
      <c r="R16021">
        <v>154</v>
      </c>
      <c r="S16021">
        <v>0</v>
      </c>
      <c r="T16021" t="s">
        <v>75075</v>
      </c>
    </row>
    <row r="16022" spans="1:20" customFormat="1" ht="15" x14ac:dyDescent="0.25">
      <c r="A16022" t="s">
        <v>24</v>
      </c>
      <c r="B16022" t="s">
        <v>2373</v>
      </c>
      <c r="C16022" t="str">
        <f>"A0054142"</f>
        <v>A0054142</v>
      </c>
      <c r="D16022" t="s">
        <v>75076</v>
      </c>
      <c r="E16022" t="s">
        <v>75077</v>
      </c>
      <c r="F16022" t="s">
        <v>7112</v>
      </c>
      <c r="G16022" t="s">
        <v>899</v>
      </c>
      <c r="H16022">
        <v>2139</v>
      </c>
      <c r="I16022" t="s">
        <v>30</v>
      </c>
      <c r="J16022" t="s">
        <v>162</v>
      </c>
      <c r="K16022" t="s">
        <v>847</v>
      </c>
      <c r="N16022" t="s">
        <v>75078</v>
      </c>
      <c r="O16022" t="s">
        <v>75079</v>
      </c>
      <c r="Q16022">
        <v>0</v>
      </c>
      <c r="R16022">
        <v>210</v>
      </c>
      <c r="S16022">
        <v>0</v>
      </c>
      <c r="T16022" t="s">
        <v>75080</v>
      </c>
    </row>
    <row r="16023" spans="1:20" customFormat="1" ht="15" x14ac:dyDescent="0.25">
      <c r="A16023" t="s">
        <v>24</v>
      </c>
      <c r="B16023" t="s">
        <v>4140</v>
      </c>
      <c r="C16023" t="str">
        <f>"CT72F"</f>
        <v>CT72F</v>
      </c>
      <c r="D16023" t="s">
        <v>75081</v>
      </c>
      <c r="E16023" t="s">
        <v>75082</v>
      </c>
      <c r="F16023" t="s">
        <v>9072</v>
      </c>
      <c r="G16023" t="s">
        <v>289</v>
      </c>
      <c r="H16023">
        <v>60523</v>
      </c>
      <c r="I16023" t="s">
        <v>30</v>
      </c>
      <c r="J16023" t="s">
        <v>162</v>
      </c>
      <c r="K16023" t="s">
        <v>847</v>
      </c>
      <c r="N16023" t="s">
        <v>75083</v>
      </c>
      <c r="Q16023">
        <v>0</v>
      </c>
      <c r="R16023">
        <v>172</v>
      </c>
      <c r="S16023">
        <v>0</v>
      </c>
      <c r="T16023" t="s">
        <v>75084</v>
      </c>
    </row>
    <row r="16024" spans="1:20" customFormat="1" ht="15" x14ac:dyDescent="0.25">
      <c r="A16024" t="s">
        <v>24</v>
      </c>
      <c r="B16024" t="s">
        <v>1548</v>
      </c>
      <c r="C16024" t="str">
        <f>"A0087221"</f>
        <v>A0087221</v>
      </c>
      <c r="D16024" t="s">
        <v>75085</v>
      </c>
      <c r="E16024" t="s">
        <v>75086</v>
      </c>
      <c r="F16024" t="s">
        <v>54410</v>
      </c>
      <c r="G16024" t="s">
        <v>137</v>
      </c>
      <c r="H16024">
        <v>63105</v>
      </c>
      <c r="I16024" t="s">
        <v>30</v>
      </c>
      <c r="J16024" t="s">
        <v>162</v>
      </c>
      <c r="K16024" t="s">
        <v>847</v>
      </c>
      <c r="N16024" t="s">
        <v>75087</v>
      </c>
      <c r="O16024" t="s">
        <v>75088</v>
      </c>
      <c r="Q16024">
        <v>0</v>
      </c>
      <c r="R16024">
        <v>259</v>
      </c>
      <c r="S16024">
        <v>0</v>
      </c>
      <c r="T16024" t="s">
        <v>75089</v>
      </c>
    </row>
    <row r="16025" spans="1:20" customFormat="1" ht="15" x14ac:dyDescent="0.25">
      <c r="A16025" t="s">
        <v>24</v>
      </c>
      <c r="B16025" t="s">
        <v>2373</v>
      </c>
      <c r="C16025" t="str">
        <f>"A0065109"</f>
        <v>A0065109</v>
      </c>
      <c r="D16025" t="s">
        <v>75090</v>
      </c>
      <c r="E16025" t="s">
        <v>75091</v>
      </c>
      <c r="F16025" t="s">
        <v>2094</v>
      </c>
      <c r="G16025" t="s">
        <v>52</v>
      </c>
      <c r="H16025">
        <v>75201</v>
      </c>
      <c r="I16025" t="s">
        <v>30</v>
      </c>
      <c r="J16025" t="s">
        <v>162</v>
      </c>
      <c r="K16025" t="s">
        <v>847</v>
      </c>
      <c r="N16025" t="s">
        <v>15148</v>
      </c>
      <c r="Q16025">
        <v>0</v>
      </c>
      <c r="R16025">
        <v>170</v>
      </c>
      <c r="S16025">
        <v>0</v>
      </c>
      <c r="T16025" t="s">
        <v>75092</v>
      </c>
    </row>
    <row r="16026" spans="1:20" customFormat="1" ht="15" x14ac:dyDescent="0.25">
      <c r="A16026" t="s">
        <v>24</v>
      </c>
      <c r="B16026" t="s">
        <v>75093</v>
      </c>
      <c r="C16026" t="str">
        <f>"A0075976"</f>
        <v>A0075976</v>
      </c>
      <c r="D16026" t="s">
        <v>75094</v>
      </c>
      <c r="E16026" t="s">
        <v>75095</v>
      </c>
      <c r="F16026" t="s">
        <v>66345</v>
      </c>
      <c r="G16026" t="s">
        <v>81</v>
      </c>
      <c r="H16026">
        <v>33004</v>
      </c>
      <c r="I16026" t="s">
        <v>30</v>
      </c>
      <c r="J16026" t="s">
        <v>162</v>
      </c>
      <c r="K16026" t="s">
        <v>847</v>
      </c>
      <c r="N16026" t="s">
        <v>75096</v>
      </c>
      <c r="O16026" t="s">
        <v>75097</v>
      </c>
      <c r="Q16026">
        <v>0</v>
      </c>
      <c r="R16026">
        <v>245</v>
      </c>
      <c r="S16026">
        <v>0</v>
      </c>
      <c r="T16026" t="s">
        <v>75098</v>
      </c>
    </row>
    <row r="16027" spans="1:20" customFormat="1" ht="15" x14ac:dyDescent="0.25">
      <c r="A16027" t="s">
        <v>24</v>
      </c>
      <c r="B16027" t="s">
        <v>1487</v>
      </c>
      <c r="C16027" t="str">
        <f>"A0098904"</f>
        <v>A0098904</v>
      </c>
      <c r="D16027" t="s">
        <v>75099</v>
      </c>
      <c r="E16027" t="s">
        <v>75100</v>
      </c>
      <c r="F16027" t="s">
        <v>972</v>
      </c>
      <c r="G16027" t="s">
        <v>190</v>
      </c>
      <c r="H16027">
        <v>80202</v>
      </c>
      <c r="I16027" t="s">
        <v>30</v>
      </c>
      <c r="J16027" t="s">
        <v>162</v>
      </c>
      <c r="K16027" t="s">
        <v>847</v>
      </c>
      <c r="N16027" t="s">
        <v>75101</v>
      </c>
      <c r="O16027" t="s">
        <v>55475</v>
      </c>
      <c r="Q16027">
        <v>0</v>
      </c>
      <c r="R16027">
        <v>272</v>
      </c>
      <c r="S16027">
        <v>0</v>
      </c>
      <c r="T16027" t="s">
        <v>55476</v>
      </c>
    </row>
    <row r="16028" spans="1:20" customFormat="1" ht="15" x14ac:dyDescent="0.25">
      <c r="A16028" t="s">
        <v>24</v>
      </c>
      <c r="B16028" t="s">
        <v>6667</v>
      </c>
      <c r="C16028" t="str">
        <f>"A0098329"</f>
        <v>A0098329</v>
      </c>
      <c r="D16028" t="s">
        <v>56158</v>
      </c>
      <c r="E16028" t="s">
        <v>56159</v>
      </c>
      <c r="F16028" t="s">
        <v>2094</v>
      </c>
      <c r="G16028" t="s">
        <v>52</v>
      </c>
      <c r="H16028">
        <v>75244</v>
      </c>
      <c r="I16028" t="s">
        <v>30</v>
      </c>
      <c r="J16028" t="s">
        <v>191</v>
      </c>
      <c r="K16028" t="s">
        <v>11889</v>
      </c>
      <c r="Q16028">
        <v>0</v>
      </c>
      <c r="R16028">
        <v>0</v>
      </c>
      <c r="S16028">
        <v>0</v>
      </c>
      <c r="T16028" t="s">
        <v>56160</v>
      </c>
    </row>
    <row r="16029" spans="1:20" customFormat="1" ht="15" x14ac:dyDescent="0.25">
      <c r="A16029" t="s">
        <v>24</v>
      </c>
      <c r="B16029" t="s">
        <v>2360</v>
      </c>
      <c r="C16029" t="str">
        <f>"A0162157"</f>
        <v>A0162157</v>
      </c>
      <c r="D16029" t="s">
        <v>56161</v>
      </c>
      <c r="E16029" t="s">
        <v>56162</v>
      </c>
      <c r="F16029" t="s">
        <v>796</v>
      </c>
      <c r="G16029" t="s">
        <v>197</v>
      </c>
      <c r="H16029">
        <v>85721</v>
      </c>
      <c r="I16029" t="s">
        <v>30</v>
      </c>
      <c r="J16029" t="s">
        <v>2558</v>
      </c>
      <c r="K16029" t="s">
        <v>8013</v>
      </c>
      <c r="N16029" t="s">
        <v>56163</v>
      </c>
      <c r="O16029" t="s">
        <v>56164</v>
      </c>
      <c r="Q16029">
        <v>0</v>
      </c>
      <c r="R16029">
        <v>0</v>
      </c>
      <c r="S16029">
        <v>0</v>
      </c>
      <c r="T16029" t="s">
        <v>56165</v>
      </c>
    </row>
    <row r="16030" spans="1:20" customFormat="1" ht="15" x14ac:dyDescent="0.25">
      <c r="A16030" t="s">
        <v>24</v>
      </c>
      <c r="B16030" t="s">
        <v>7953</v>
      </c>
      <c r="C16030" t="str">
        <f>"A0058243"</f>
        <v>A0058243</v>
      </c>
      <c r="D16030" t="s">
        <v>75102</v>
      </c>
      <c r="E16030" t="s">
        <v>75103</v>
      </c>
      <c r="F16030" t="s">
        <v>716</v>
      </c>
      <c r="G16030" t="s">
        <v>289</v>
      </c>
      <c r="H16030">
        <v>60605</v>
      </c>
      <c r="I16030" t="s">
        <v>30</v>
      </c>
      <c r="J16030" t="s">
        <v>162</v>
      </c>
      <c r="K16030" t="s">
        <v>847</v>
      </c>
      <c r="N16030" t="s">
        <v>75104</v>
      </c>
      <c r="Q16030">
        <v>0</v>
      </c>
      <c r="R16030">
        <v>274</v>
      </c>
      <c r="S16030">
        <v>0</v>
      </c>
      <c r="T16030" t="s">
        <v>75105</v>
      </c>
    </row>
    <row r="16031" spans="1:20" customFormat="1" ht="15" x14ac:dyDescent="0.25">
      <c r="A16031" t="s">
        <v>24</v>
      </c>
      <c r="B16031" t="s">
        <v>814</v>
      </c>
      <c r="C16031" t="str">
        <f>"A0099242"</f>
        <v>A0099242</v>
      </c>
      <c r="D16031" t="s">
        <v>75106</v>
      </c>
      <c r="E16031" t="s">
        <v>75107</v>
      </c>
      <c r="F16031" t="s">
        <v>1564</v>
      </c>
      <c r="G16031" t="s">
        <v>52</v>
      </c>
      <c r="H16031">
        <v>77002</v>
      </c>
      <c r="I16031" t="s">
        <v>30</v>
      </c>
      <c r="J16031" t="s">
        <v>162</v>
      </c>
      <c r="K16031" t="s">
        <v>847</v>
      </c>
      <c r="N16031" t="s">
        <v>56128</v>
      </c>
      <c r="Q16031">
        <v>0</v>
      </c>
      <c r="R16031">
        <v>255</v>
      </c>
      <c r="S16031">
        <v>0</v>
      </c>
      <c r="T16031" t="s">
        <v>75108</v>
      </c>
    </row>
    <row r="16032" spans="1:20" hidden="1" x14ac:dyDescent="0.25">
      <c r="A16032" s="3" t="s">
        <v>24</v>
      </c>
      <c r="B16032" s="3" t="s">
        <v>675</v>
      </c>
      <c r="C16032" s="3" t="str">
        <f>"A0164618"</f>
        <v>A0164618</v>
      </c>
      <c r="D16032" s="3" t="s">
        <v>56176</v>
      </c>
      <c r="E16032" s="3" t="s">
        <v>56177</v>
      </c>
      <c r="F16032" s="3" t="s">
        <v>5423</v>
      </c>
      <c r="G16032" s="3" t="s">
        <v>5424</v>
      </c>
      <c r="H16032" s="3">
        <v>77500</v>
      </c>
      <c r="I16032" s="3" t="s">
        <v>2408</v>
      </c>
      <c r="J16032" s="3" t="s">
        <v>206</v>
      </c>
      <c r="K16032" s="3" t="s">
        <v>16717</v>
      </c>
      <c r="N16032" s="3" t="s">
        <v>56178</v>
      </c>
      <c r="Q16032" s="3">
        <v>0</v>
      </c>
      <c r="R16032" s="3">
        <v>678</v>
      </c>
      <c r="S16032" s="3">
        <v>0</v>
      </c>
      <c r="T16032" s="3" t="s">
        <v>56179</v>
      </c>
    </row>
    <row r="16033" spans="1:25" customFormat="1" ht="15" x14ac:dyDescent="0.25">
      <c r="A16033" t="s">
        <v>24</v>
      </c>
      <c r="B16033" t="s">
        <v>56180</v>
      </c>
      <c r="C16033" t="str">
        <f>"A0051743"</f>
        <v>A0051743</v>
      </c>
      <c r="D16033" t="s">
        <v>56180</v>
      </c>
      <c r="E16033" t="s">
        <v>56181</v>
      </c>
      <c r="F16033" t="s">
        <v>56182</v>
      </c>
      <c r="G16033" t="s">
        <v>103</v>
      </c>
      <c r="H16033">
        <v>19073</v>
      </c>
      <c r="I16033" t="s">
        <v>30</v>
      </c>
      <c r="J16033" t="s">
        <v>178</v>
      </c>
      <c r="K16033" t="s">
        <v>179</v>
      </c>
      <c r="N16033" t="s">
        <v>56183</v>
      </c>
      <c r="P16033" t="s">
        <v>992</v>
      </c>
      <c r="Q16033">
        <v>1</v>
      </c>
      <c r="R16033">
        <v>0</v>
      </c>
      <c r="S16033">
        <v>0</v>
      </c>
      <c r="T16033" t="s">
        <v>56184</v>
      </c>
    </row>
    <row r="16034" spans="1:25" customFormat="1" ht="15" x14ac:dyDescent="0.25">
      <c r="A16034" t="s">
        <v>24</v>
      </c>
      <c r="B16034" t="s">
        <v>6667</v>
      </c>
      <c r="C16034" t="str">
        <f>"A0050550"</f>
        <v>A0050550</v>
      </c>
      <c r="D16034" t="s">
        <v>56185</v>
      </c>
      <c r="E16034" t="s">
        <v>56186</v>
      </c>
      <c r="F16034" t="s">
        <v>5518</v>
      </c>
      <c r="G16034" t="s">
        <v>197</v>
      </c>
      <c r="H16034">
        <v>85308</v>
      </c>
      <c r="I16034" t="s">
        <v>30</v>
      </c>
      <c r="J16034" t="s">
        <v>178</v>
      </c>
      <c r="K16034" t="s">
        <v>6667</v>
      </c>
      <c r="N16034" t="s">
        <v>56021</v>
      </c>
      <c r="O16034" t="s">
        <v>56187</v>
      </c>
      <c r="Q16034">
        <v>1</v>
      </c>
      <c r="R16034">
        <v>0</v>
      </c>
      <c r="S16034">
        <v>0</v>
      </c>
      <c r="T16034" t="s">
        <v>56188</v>
      </c>
    </row>
    <row r="16035" spans="1:25" customFormat="1" ht="15" x14ac:dyDescent="0.25">
      <c r="A16035" t="s">
        <v>24</v>
      </c>
      <c r="B16035" t="s">
        <v>6667</v>
      </c>
      <c r="C16035" t="str">
        <f>"A0049564"</f>
        <v>A0049564</v>
      </c>
      <c r="D16035" t="s">
        <v>56189</v>
      </c>
      <c r="E16035" t="s">
        <v>56190</v>
      </c>
      <c r="F16035" t="s">
        <v>12772</v>
      </c>
      <c r="G16035" t="s">
        <v>190</v>
      </c>
      <c r="H16035">
        <v>80125</v>
      </c>
      <c r="I16035" t="s">
        <v>30</v>
      </c>
      <c r="J16035" t="s">
        <v>178</v>
      </c>
      <c r="K16035" t="s">
        <v>6667</v>
      </c>
      <c r="N16035" t="s">
        <v>56191</v>
      </c>
      <c r="O16035" t="s">
        <v>56192</v>
      </c>
      <c r="Q16035">
        <v>0</v>
      </c>
      <c r="R16035">
        <v>0</v>
      </c>
      <c r="S16035">
        <v>0</v>
      </c>
      <c r="T16035" t="s">
        <v>56193</v>
      </c>
    </row>
    <row r="16036" spans="1:25" customFormat="1" ht="15" x14ac:dyDescent="0.25">
      <c r="A16036" t="s">
        <v>24</v>
      </c>
      <c r="B16036" t="s">
        <v>33426</v>
      </c>
      <c r="C16036" t="str">
        <f>"A0085934"</f>
        <v>A0085934</v>
      </c>
      <c r="D16036" t="s">
        <v>56194</v>
      </c>
      <c r="E16036" t="s">
        <v>56195</v>
      </c>
      <c r="F16036" t="s">
        <v>2094</v>
      </c>
      <c r="G16036" t="s">
        <v>52</v>
      </c>
      <c r="H16036">
        <v>75201</v>
      </c>
      <c r="I16036" t="s">
        <v>30</v>
      </c>
      <c r="J16036" t="s">
        <v>7657</v>
      </c>
      <c r="K16036" t="s">
        <v>163</v>
      </c>
      <c r="N16036" t="s">
        <v>56196</v>
      </c>
      <c r="Q16036">
        <v>0</v>
      </c>
      <c r="R16036">
        <v>0</v>
      </c>
      <c r="S16036">
        <v>0</v>
      </c>
      <c r="T16036" t="s">
        <v>56197</v>
      </c>
    </row>
    <row r="16037" spans="1:25" customFormat="1" ht="15" hidden="1" x14ac:dyDescent="0.25">
      <c r="A16037" t="s">
        <v>24</v>
      </c>
      <c r="B16037" t="s">
        <v>675</v>
      </c>
      <c r="C16037" t="str">
        <f>"39025"</f>
        <v>39025</v>
      </c>
      <c r="D16037" t="s">
        <v>56198</v>
      </c>
      <c r="E16037" t="s">
        <v>56199</v>
      </c>
      <c r="F16037" t="s">
        <v>56200</v>
      </c>
      <c r="G16037" t="s">
        <v>56201</v>
      </c>
      <c r="I16037" t="s">
        <v>56202</v>
      </c>
      <c r="J16037" t="s">
        <v>162</v>
      </c>
      <c r="K16037" t="s">
        <v>1490</v>
      </c>
      <c r="N16037" t="s">
        <v>56203</v>
      </c>
      <c r="O16037" t="s">
        <v>56204</v>
      </c>
      <c r="Q16037">
        <v>0</v>
      </c>
      <c r="R16037">
        <v>411</v>
      </c>
      <c r="S16037">
        <v>0</v>
      </c>
      <c r="T16037" t="s">
        <v>56205</v>
      </c>
    </row>
    <row r="16038" spans="1:25" customFormat="1" ht="15" hidden="1" x14ac:dyDescent="0.25">
      <c r="A16038" t="s">
        <v>24</v>
      </c>
      <c r="B16038" t="s">
        <v>1583</v>
      </c>
      <c r="C16038" t="str">
        <f>"38C66"</f>
        <v>38C66</v>
      </c>
      <c r="D16038" t="s">
        <v>56206</v>
      </c>
      <c r="E16038" t="s">
        <v>56207</v>
      </c>
      <c r="F16038" t="s">
        <v>56200</v>
      </c>
      <c r="G16038" t="s">
        <v>56201</v>
      </c>
      <c r="I16038" t="s">
        <v>56202</v>
      </c>
      <c r="J16038" t="s">
        <v>2544</v>
      </c>
      <c r="K16038" t="s">
        <v>36059</v>
      </c>
      <c r="N16038" t="s">
        <v>56208</v>
      </c>
      <c r="Q16038">
        <v>0</v>
      </c>
      <c r="R16038">
        <v>311</v>
      </c>
      <c r="S16038">
        <v>0</v>
      </c>
      <c r="T16038" t="s">
        <v>56209</v>
      </c>
    </row>
    <row r="16039" spans="1:25" customFormat="1" ht="15" hidden="1" x14ac:dyDescent="0.25">
      <c r="A16039" t="s">
        <v>24</v>
      </c>
      <c r="B16039" t="s">
        <v>1583</v>
      </c>
      <c r="C16039" t="str">
        <f>"A0068262"</f>
        <v>A0068262</v>
      </c>
      <c r="D16039" t="s">
        <v>56210</v>
      </c>
      <c r="E16039" t="s">
        <v>56211</v>
      </c>
      <c r="F16039" t="s">
        <v>56212</v>
      </c>
      <c r="G16039" t="s">
        <v>56201</v>
      </c>
      <c r="I16039" t="s">
        <v>56202</v>
      </c>
      <c r="J16039" t="s">
        <v>2544</v>
      </c>
      <c r="K16039" t="s">
        <v>36059</v>
      </c>
      <c r="N16039" t="s">
        <v>56213</v>
      </c>
      <c r="Q16039">
        <v>0</v>
      </c>
      <c r="R16039">
        <v>900</v>
      </c>
      <c r="S16039">
        <v>0</v>
      </c>
      <c r="T16039" t="s">
        <v>56209</v>
      </c>
    </row>
    <row r="16040" spans="1:25" customFormat="1" ht="15" hidden="1" x14ac:dyDescent="0.25">
      <c r="A16040" t="s">
        <v>24</v>
      </c>
      <c r="B16040" t="s">
        <v>1583</v>
      </c>
      <c r="C16040" t="str">
        <f>"A0100706"</f>
        <v>A0100706</v>
      </c>
      <c r="D16040" t="s">
        <v>56214</v>
      </c>
      <c r="E16040" t="s">
        <v>56207</v>
      </c>
      <c r="F16040" t="s">
        <v>56215</v>
      </c>
      <c r="G16040" t="s">
        <v>56201</v>
      </c>
      <c r="I16040" t="s">
        <v>56202</v>
      </c>
      <c r="J16040" t="s">
        <v>191</v>
      </c>
      <c r="K16040" t="s">
        <v>6809</v>
      </c>
      <c r="N16040" t="s">
        <v>56216</v>
      </c>
      <c r="Q16040">
        <v>0</v>
      </c>
      <c r="R16040">
        <v>0</v>
      </c>
      <c r="S16040">
        <v>0</v>
      </c>
      <c r="T16040" t="s">
        <v>56217</v>
      </c>
    </row>
    <row r="16041" spans="1:25" customFormat="1" ht="15" x14ac:dyDescent="0.25">
      <c r="A16041" t="s">
        <v>24</v>
      </c>
      <c r="B16041" t="s">
        <v>186</v>
      </c>
      <c r="C16041" t="str">
        <f>"A0146650"</f>
        <v>A0146650</v>
      </c>
      <c r="D16041" t="s">
        <v>56218</v>
      </c>
      <c r="E16041" t="s">
        <v>56219</v>
      </c>
      <c r="F16041" t="s">
        <v>189</v>
      </c>
      <c r="G16041" t="s">
        <v>190</v>
      </c>
      <c r="H16041">
        <v>81611</v>
      </c>
      <c r="I16041" t="s">
        <v>30</v>
      </c>
      <c r="J16041" t="s">
        <v>1004</v>
      </c>
      <c r="K16041" t="s">
        <v>163</v>
      </c>
      <c r="N16041" t="s">
        <v>55669</v>
      </c>
      <c r="Q16041">
        <v>0</v>
      </c>
      <c r="R16041">
        <v>0</v>
      </c>
      <c r="S16041">
        <v>0</v>
      </c>
      <c r="T16041" t="s">
        <v>55670</v>
      </c>
    </row>
    <row r="16042" spans="1:25" customFormat="1" ht="15" x14ac:dyDescent="0.25">
      <c r="A16042" t="s">
        <v>24</v>
      </c>
      <c r="B16042" t="s">
        <v>1577</v>
      </c>
      <c r="C16042" t="str">
        <f>"A0098553"</f>
        <v>A0098553</v>
      </c>
      <c r="D16042" t="s">
        <v>56220</v>
      </c>
      <c r="E16042" t="s">
        <v>56221</v>
      </c>
      <c r="F16042" t="s">
        <v>53883</v>
      </c>
      <c r="G16042" t="s">
        <v>1706</v>
      </c>
      <c r="H16042">
        <v>36608</v>
      </c>
      <c r="I16042" t="s">
        <v>30</v>
      </c>
      <c r="J16042" t="s">
        <v>31</v>
      </c>
      <c r="K16042" t="s">
        <v>163</v>
      </c>
      <c r="N16042" t="s">
        <v>53884</v>
      </c>
      <c r="O16042" t="s">
        <v>56222</v>
      </c>
      <c r="Q16042">
        <v>0</v>
      </c>
      <c r="R16042">
        <v>82</v>
      </c>
      <c r="S16042">
        <v>0</v>
      </c>
      <c r="T16042" t="s">
        <v>56223</v>
      </c>
    </row>
    <row r="16043" spans="1:25" x14ac:dyDescent="0.25">
      <c r="A16043" s="5" t="s">
        <v>24</v>
      </c>
      <c r="B16043" s="5" t="s">
        <v>2373</v>
      </c>
      <c r="C16043" s="5" t="str">
        <f>"A0088198"</f>
        <v>A0088198</v>
      </c>
      <c r="D16043" s="5" t="s">
        <v>75112</v>
      </c>
      <c r="E16043" s="5" t="s">
        <v>75113</v>
      </c>
      <c r="F16043" s="5" t="s">
        <v>9812</v>
      </c>
      <c r="G16043" s="5" t="s">
        <v>103</v>
      </c>
      <c r="H16043" s="5">
        <v>19102</v>
      </c>
      <c r="I16043" s="5" t="s">
        <v>30</v>
      </c>
      <c r="J16043" s="5" t="s">
        <v>162</v>
      </c>
      <c r="K16043" s="5" t="s">
        <v>847</v>
      </c>
      <c r="L16043" s="5"/>
      <c r="M16043" s="5"/>
      <c r="N16043" s="5" t="s">
        <v>75114</v>
      </c>
      <c r="O16043" s="5"/>
      <c r="P16043" s="5"/>
      <c r="Q16043" s="5">
        <v>0</v>
      </c>
      <c r="R16043" s="5">
        <v>202</v>
      </c>
      <c r="S16043" s="5">
        <v>0</v>
      </c>
      <c r="T16043" s="5" t="s">
        <v>75115</v>
      </c>
      <c r="U16043" s="5"/>
      <c r="V16043" s="5"/>
      <c r="W16043" s="5"/>
      <c r="X16043" s="5"/>
      <c r="Y16043" s="5"/>
    </row>
    <row r="16044" spans="1:25" customFormat="1" ht="15" x14ac:dyDescent="0.25">
      <c r="A16044" t="s">
        <v>24</v>
      </c>
      <c r="B16044" t="s">
        <v>2373</v>
      </c>
      <c r="C16044" t="str">
        <f>"HY09777"</f>
        <v>HY09777</v>
      </c>
      <c r="D16044" t="s">
        <v>75116</v>
      </c>
      <c r="E16044" t="s">
        <v>75117</v>
      </c>
      <c r="F16044" t="s">
        <v>748</v>
      </c>
      <c r="G16044" t="s">
        <v>110</v>
      </c>
      <c r="H16044">
        <v>94111</v>
      </c>
      <c r="I16044" t="s">
        <v>30</v>
      </c>
      <c r="J16044" t="s">
        <v>162</v>
      </c>
      <c r="K16044" t="s">
        <v>847</v>
      </c>
      <c r="N16044" t="s">
        <v>75118</v>
      </c>
      <c r="Q16044">
        <v>0</v>
      </c>
      <c r="R16044">
        <v>360</v>
      </c>
      <c r="S16044">
        <v>0</v>
      </c>
      <c r="T16044" t="s">
        <v>75119</v>
      </c>
    </row>
    <row r="16045" spans="1:25" customFormat="1" ht="15" x14ac:dyDescent="0.25">
      <c r="A16045" t="s">
        <v>24</v>
      </c>
      <c r="B16045" t="s">
        <v>186</v>
      </c>
      <c r="C16045" t="str">
        <f>"A0146647"</f>
        <v>A0146647</v>
      </c>
      <c r="D16045" t="s">
        <v>56233</v>
      </c>
      <c r="E16045" t="s">
        <v>56234</v>
      </c>
      <c r="F16045" t="s">
        <v>33840</v>
      </c>
      <c r="G16045" t="s">
        <v>190</v>
      </c>
      <c r="H16045">
        <v>81621</v>
      </c>
      <c r="I16045" t="s">
        <v>30</v>
      </c>
      <c r="J16045" t="s">
        <v>3881</v>
      </c>
      <c r="K16045" t="s">
        <v>163</v>
      </c>
      <c r="N16045" t="s">
        <v>55669</v>
      </c>
      <c r="Q16045">
        <v>0</v>
      </c>
      <c r="R16045">
        <v>0</v>
      </c>
      <c r="S16045">
        <v>0</v>
      </c>
      <c r="T16045" t="s">
        <v>55670</v>
      </c>
    </row>
    <row r="16046" spans="1:25" customFormat="1" ht="15" x14ac:dyDescent="0.25">
      <c r="A16046" t="s">
        <v>24</v>
      </c>
      <c r="B16046" t="s">
        <v>2360</v>
      </c>
      <c r="C16046" t="str">
        <f>"CL1556"</f>
        <v>CL1556</v>
      </c>
      <c r="D16046" t="s">
        <v>56235</v>
      </c>
      <c r="E16046" t="s">
        <v>56236</v>
      </c>
      <c r="F16046" t="s">
        <v>56237</v>
      </c>
      <c r="G16046" t="s">
        <v>190</v>
      </c>
      <c r="H16046" t="s">
        <v>56238</v>
      </c>
      <c r="I16046" t="s">
        <v>30</v>
      </c>
      <c r="J16046" t="s">
        <v>178</v>
      </c>
      <c r="K16046" t="s">
        <v>56092</v>
      </c>
      <c r="N16046" t="s">
        <v>56239</v>
      </c>
      <c r="O16046" t="s">
        <v>56240</v>
      </c>
      <c r="P16046" t="s">
        <v>992</v>
      </c>
      <c r="Q16046">
        <v>1</v>
      </c>
      <c r="R16046">
        <v>0</v>
      </c>
      <c r="S16046">
        <v>0</v>
      </c>
      <c r="T16046" t="s">
        <v>56241</v>
      </c>
    </row>
    <row r="16047" spans="1:25" customFormat="1" ht="15" x14ac:dyDescent="0.25">
      <c r="A16047" t="s">
        <v>24</v>
      </c>
      <c r="B16047" t="s">
        <v>186</v>
      </c>
      <c r="C16047" t="str">
        <f>"A0146641"</f>
        <v>A0146641</v>
      </c>
      <c r="D16047" t="s">
        <v>56242</v>
      </c>
      <c r="E16047" t="s">
        <v>56243</v>
      </c>
      <c r="F16047" t="s">
        <v>189</v>
      </c>
      <c r="G16047" t="s">
        <v>190</v>
      </c>
      <c r="H16047">
        <v>81611</v>
      </c>
      <c r="I16047" t="s">
        <v>30</v>
      </c>
      <c r="J16047" t="s">
        <v>31</v>
      </c>
      <c r="K16047" t="s">
        <v>163</v>
      </c>
      <c r="Q16047">
        <v>0</v>
      </c>
      <c r="R16047">
        <v>0</v>
      </c>
      <c r="S16047">
        <v>0</v>
      </c>
      <c r="T16047" t="s">
        <v>55670</v>
      </c>
    </row>
    <row r="16048" spans="1:25" customFormat="1" ht="15" x14ac:dyDescent="0.25">
      <c r="A16048" t="s">
        <v>24</v>
      </c>
      <c r="B16048" t="s">
        <v>1583</v>
      </c>
      <c r="C16048" t="str">
        <f>"A0060025"</f>
        <v>A0060025</v>
      </c>
      <c r="D16048" t="s">
        <v>56244</v>
      </c>
      <c r="E16048" t="s">
        <v>56245</v>
      </c>
      <c r="F16048" t="s">
        <v>56246</v>
      </c>
      <c r="G16048" t="s">
        <v>4815</v>
      </c>
      <c r="H16048">
        <v>96746</v>
      </c>
      <c r="I16048" t="s">
        <v>30</v>
      </c>
      <c r="J16048" t="s">
        <v>31</v>
      </c>
      <c r="K16048" t="s">
        <v>163</v>
      </c>
      <c r="N16048" t="s">
        <v>56247</v>
      </c>
      <c r="Q16048">
        <v>0</v>
      </c>
      <c r="R16048">
        <v>144</v>
      </c>
      <c r="S16048">
        <v>0</v>
      </c>
      <c r="T16048" t="s">
        <v>56248</v>
      </c>
    </row>
    <row r="16049" spans="1:25" customFormat="1" ht="15" x14ac:dyDescent="0.25">
      <c r="A16049" t="s">
        <v>24</v>
      </c>
      <c r="B16049" t="s">
        <v>4990</v>
      </c>
      <c r="C16049" t="str">
        <f>"A0057285"</f>
        <v>A0057285</v>
      </c>
      <c r="D16049" t="s">
        <v>75120</v>
      </c>
      <c r="E16049" t="s">
        <v>16615</v>
      </c>
      <c r="F16049" t="s">
        <v>3860</v>
      </c>
      <c r="G16049" t="s">
        <v>137</v>
      </c>
      <c r="H16049">
        <v>63101</v>
      </c>
      <c r="I16049" t="s">
        <v>30</v>
      </c>
      <c r="J16049" t="s">
        <v>162</v>
      </c>
      <c r="K16049" t="s">
        <v>847</v>
      </c>
      <c r="N16049" t="s">
        <v>75121</v>
      </c>
      <c r="Q16049">
        <v>0</v>
      </c>
      <c r="R16049">
        <v>91</v>
      </c>
      <c r="S16049">
        <v>0</v>
      </c>
      <c r="T16049" t="s">
        <v>75122</v>
      </c>
    </row>
    <row r="16050" spans="1:25" customFormat="1" ht="15" x14ac:dyDescent="0.25">
      <c r="A16050" t="s">
        <v>24</v>
      </c>
      <c r="B16050" t="s">
        <v>1583</v>
      </c>
      <c r="C16050" t="str">
        <f>"A0060024"</f>
        <v>A0060024</v>
      </c>
      <c r="D16050" t="s">
        <v>56253</v>
      </c>
      <c r="E16050" t="s">
        <v>56254</v>
      </c>
      <c r="F16050" t="s">
        <v>13767</v>
      </c>
      <c r="G16050" t="s">
        <v>4815</v>
      </c>
      <c r="H16050">
        <v>96815</v>
      </c>
      <c r="I16050" t="s">
        <v>30</v>
      </c>
      <c r="J16050" t="s">
        <v>31</v>
      </c>
      <c r="K16050" t="s">
        <v>163</v>
      </c>
      <c r="N16050" t="s">
        <v>56255</v>
      </c>
      <c r="O16050" t="s">
        <v>56256</v>
      </c>
      <c r="Q16050">
        <v>0</v>
      </c>
      <c r="R16050">
        <v>335</v>
      </c>
      <c r="S16050">
        <v>0</v>
      </c>
      <c r="T16050" t="s">
        <v>56257</v>
      </c>
    </row>
    <row r="16051" spans="1:25" customFormat="1" ht="15" x14ac:dyDescent="0.25">
      <c r="A16051" t="s">
        <v>24</v>
      </c>
      <c r="B16051" t="s">
        <v>2221</v>
      </c>
      <c r="C16051" t="str">
        <f>"A0064198"</f>
        <v>A0064198</v>
      </c>
      <c r="D16051" t="s">
        <v>75128</v>
      </c>
      <c r="E16051" t="s">
        <v>75129</v>
      </c>
      <c r="F16051" t="s">
        <v>2069</v>
      </c>
      <c r="G16051" t="s">
        <v>1170</v>
      </c>
      <c r="H16051">
        <v>70112</v>
      </c>
      <c r="I16051" t="s">
        <v>30</v>
      </c>
      <c r="J16051" t="s">
        <v>162</v>
      </c>
      <c r="K16051" t="s">
        <v>67127</v>
      </c>
      <c r="N16051" t="s">
        <v>75130</v>
      </c>
      <c r="Q16051">
        <v>0</v>
      </c>
      <c r="R16051">
        <v>226</v>
      </c>
      <c r="S16051">
        <v>0</v>
      </c>
      <c r="T16051" t="s">
        <v>75131</v>
      </c>
    </row>
    <row r="16052" spans="1:25" customFormat="1" ht="15" x14ac:dyDescent="0.25">
      <c r="A16052" t="s">
        <v>24</v>
      </c>
      <c r="B16052" t="s">
        <v>1836</v>
      </c>
      <c r="C16052" t="str">
        <f>"A0099086"</f>
        <v>A0099086</v>
      </c>
      <c r="D16052" t="s">
        <v>56262</v>
      </c>
      <c r="E16052" t="s">
        <v>56263</v>
      </c>
      <c r="F16052" t="s">
        <v>56264</v>
      </c>
      <c r="G16052" t="s">
        <v>52</v>
      </c>
      <c r="H16052">
        <v>76657</v>
      </c>
      <c r="I16052" t="s">
        <v>30</v>
      </c>
      <c r="J16052" t="s">
        <v>31</v>
      </c>
      <c r="K16052" t="s">
        <v>163</v>
      </c>
      <c r="N16052" t="s">
        <v>56265</v>
      </c>
      <c r="Q16052">
        <v>0</v>
      </c>
      <c r="R16052">
        <v>47</v>
      </c>
      <c r="S16052">
        <v>0</v>
      </c>
      <c r="T16052" t="s">
        <v>56266</v>
      </c>
    </row>
    <row r="16053" spans="1:25" customFormat="1" ht="15" x14ac:dyDescent="0.25">
      <c r="A16053" t="s">
        <v>24</v>
      </c>
      <c r="B16053" t="s">
        <v>75151</v>
      </c>
      <c r="C16053" t="str">
        <f>"A0100934"</f>
        <v>A0100934</v>
      </c>
      <c r="D16053" t="s">
        <v>75152</v>
      </c>
      <c r="E16053" t="s">
        <v>75153</v>
      </c>
      <c r="F16053" t="s">
        <v>3041</v>
      </c>
      <c r="G16053" t="s">
        <v>840</v>
      </c>
      <c r="H16053">
        <v>40507</v>
      </c>
      <c r="I16053" t="s">
        <v>30</v>
      </c>
      <c r="J16053" t="s">
        <v>162</v>
      </c>
      <c r="K16053" t="s">
        <v>1490</v>
      </c>
      <c r="N16053" t="s">
        <v>75154</v>
      </c>
      <c r="O16053" t="s">
        <v>75155</v>
      </c>
      <c r="Q16053">
        <v>0</v>
      </c>
      <c r="R16053">
        <v>219</v>
      </c>
      <c r="S16053">
        <v>0</v>
      </c>
      <c r="T16053" t="s">
        <v>75156</v>
      </c>
    </row>
    <row r="16054" spans="1:25" customFormat="1" ht="15" x14ac:dyDescent="0.25">
      <c r="A16054" t="s">
        <v>24</v>
      </c>
      <c r="B16054" t="s">
        <v>1156</v>
      </c>
      <c r="C16054" t="str">
        <f>"A0075273"</f>
        <v>A0075273</v>
      </c>
      <c r="D16054" t="s">
        <v>75184</v>
      </c>
      <c r="E16054" t="s">
        <v>75185</v>
      </c>
      <c r="F16054" t="s">
        <v>54759</v>
      </c>
      <c r="G16054" t="s">
        <v>58</v>
      </c>
      <c r="H16054">
        <v>29585</v>
      </c>
      <c r="I16054" t="s">
        <v>30</v>
      </c>
      <c r="J16054" t="s">
        <v>162</v>
      </c>
      <c r="K16054" t="s">
        <v>179</v>
      </c>
      <c r="N16054" t="s">
        <v>75186</v>
      </c>
      <c r="O16054" t="s">
        <v>75187</v>
      </c>
      <c r="P16054" t="s">
        <v>3998</v>
      </c>
      <c r="Q16054">
        <v>3</v>
      </c>
      <c r="R16054">
        <v>509</v>
      </c>
      <c r="S16054">
        <v>0</v>
      </c>
      <c r="T16054" t="s">
        <v>75188</v>
      </c>
    </row>
    <row r="16055" spans="1:25" customFormat="1" ht="15" x14ac:dyDescent="0.25">
      <c r="A16055" t="s">
        <v>24</v>
      </c>
      <c r="B16055" t="s">
        <v>75189</v>
      </c>
      <c r="C16055" t="str">
        <f>"A0050612"</f>
        <v>A0050612</v>
      </c>
      <c r="D16055" t="s">
        <v>75190</v>
      </c>
      <c r="E16055" t="s">
        <v>75191</v>
      </c>
      <c r="F16055" t="s">
        <v>8462</v>
      </c>
      <c r="G16055" t="s">
        <v>1508</v>
      </c>
      <c r="H16055">
        <v>82009</v>
      </c>
      <c r="I16055" t="s">
        <v>30</v>
      </c>
      <c r="J16055" t="s">
        <v>162</v>
      </c>
      <c r="K16055" t="s">
        <v>163</v>
      </c>
      <c r="N16055" t="s">
        <v>75192</v>
      </c>
      <c r="O16055" t="s">
        <v>75193</v>
      </c>
      <c r="P16055" t="s">
        <v>3998</v>
      </c>
      <c r="Q16055">
        <v>1</v>
      </c>
      <c r="R16055">
        <v>188</v>
      </c>
      <c r="S16055">
        <v>0</v>
      </c>
      <c r="T16055" t="s">
        <v>75194</v>
      </c>
    </row>
    <row r="16056" spans="1:25" customFormat="1" ht="15" x14ac:dyDescent="0.25">
      <c r="A16056" t="s">
        <v>24</v>
      </c>
      <c r="B16056" t="s">
        <v>75189</v>
      </c>
      <c r="C16056" t="str">
        <f>"A0085814"</f>
        <v>A0085814</v>
      </c>
      <c r="D16056" t="s">
        <v>75195</v>
      </c>
      <c r="E16056" t="s">
        <v>75196</v>
      </c>
      <c r="F16056" t="s">
        <v>14897</v>
      </c>
      <c r="G16056" t="s">
        <v>197</v>
      </c>
      <c r="H16056">
        <v>86004</v>
      </c>
      <c r="I16056" t="s">
        <v>30</v>
      </c>
      <c r="J16056" t="s">
        <v>162</v>
      </c>
      <c r="K16056" t="s">
        <v>163</v>
      </c>
      <c r="N16056" t="s">
        <v>75197</v>
      </c>
      <c r="O16056" t="s">
        <v>75198</v>
      </c>
      <c r="Q16056">
        <v>0</v>
      </c>
      <c r="R16056">
        <v>250</v>
      </c>
      <c r="S16056">
        <v>0</v>
      </c>
      <c r="T16056" t="s">
        <v>75199</v>
      </c>
    </row>
    <row r="16057" spans="1:25" customFormat="1" ht="15" x14ac:dyDescent="0.25">
      <c r="A16057" t="s">
        <v>24</v>
      </c>
      <c r="B16057" t="s">
        <v>75189</v>
      </c>
      <c r="C16057" t="str">
        <f>"A0085813"</f>
        <v>A0085813</v>
      </c>
      <c r="D16057" t="s">
        <v>75205</v>
      </c>
      <c r="E16057" t="s">
        <v>75206</v>
      </c>
      <c r="F16057" t="s">
        <v>75207</v>
      </c>
      <c r="G16057" t="s">
        <v>1508</v>
      </c>
      <c r="H16057">
        <v>82929</v>
      </c>
      <c r="I16057" t="s">
        <v>30</v>
      </c>
      <c r="J16057" t="s">
        <v>162</v>
      </c>
      <c r="K16057" t="s">
        <v>163</v>
      </c>
      <c r="N16057" t="s">
        <v>75208</v>
      </c>
      <c r="Q16057">
        <v>0</v>
      </c>
      <c r="R16057">
        <v>140</v>
      </c>
      <c r="S16057">
        <v>0</v>
      </c>
      <c r="T16057" t="s">
        <v>75209</v>
      </c>
    </row>
    <row r="16058" spans="1:25" customFormat="1" ht="15" x14ac:dyDescent="0.25">
      <c r="A16058" t="s">
        <v>24</v>
      </c>
      <c r="B16058" t="s">
        <v>6647</v>
      </c>
      <c r="C16058" t="str">
        <f>"A0137020"</f>
        <v>A0137020</v>
      </c>
      <c r="D16058" t="s">
        <v>75218</v>
      </c>
      <c r="E16058" t="s">
        <v>75219</v>
      </c>
      <c r="F16058" t="s">
        <v>1131</v>
      </c>
      <c r="G16058" t="s">
        <v>52</v>
      </c>
      <c r="H16058">
        <v>76011</v>
      </c>
      <c r="I16058" t="s">
        <v>30</v>
      </c>
      <c r="J16058" t="s">
        <v>162</v>
      </c>
      <c r="K16058" t="s">
        <v>6651</v>
      </c>
      <c r="N16058" t="s">
        <v>75220</v>
      </c>
      <c r="O16058" t="s">
        <v>75221</v>
      </c>
      <c r="Q16058">
        <v>0</v>
      </c>
      <c r="R16058">
        <v>301</v>
      </c>
      <c r="S16058">
        <v>0</v>
      </c>
      <c r="T16058" t="s">
        <v>75222</v>
      </c>
    </row>
    <row r="16059" spans="1:25" customFormat="1" ht="15" x14ac:dyDescent="0.25">
      <c r="A16059" t="s">
        <v>24</v>
      </c>
      <c r="B16059" t="s">
        <v>6647</v>
      </c>
      <c r="C16059" t="str">
        <f>"A0148952"</f>
        <v>A0148952</v>
      </c>
      <c r="D16059" t="s">
        <v>75223</v>
      </c>
      <c r="E16059" t="s">
        <v>75224</v>
      </c>
      <c r="F16059" t="s">
        <v>3860</v>
      </c>
      <c r="G16059" t="s">
        <v>137</v>
      </c>
      <c r="H16059">
        <v>63102</v>
      </c>
      <c r="I16059" t="s">
        <v>30</v>
      </c>
      <c r="J16059" t="s">
        <v>162</v>
      </c>
      <c r="K16059" t="s">
        <v>6651</v>
      </c>
      <c r="N16059" t="s">
        <v>6652</v>
      </c>
      <c r="O16059" t="s">
        <v>75225</v>
      </c>
      <c r="Q16059">
        <v>0</v>
      </c>
      <c r="R16059">
        <v>225</v>
      </c>
      <c r="S16059">
        <v>0</v>
      </c>
      <c r="T16059" t="s">
        <v>75226</v>
      </c>
    </row>
    <row r="16060" spans="1:25" customFormat="1" ht="15" x14ac:dyDescent="0.25">
      <c r="A16060" t="s">
        <v>24</v>
      </c>
      <c r="B16060" t="s">
        <v>1528</v>
      </c>
      <c r="C16060" t="str">
        <f>"A0054191"</f>
        <v>A0054191</v>
      </c>
      <c r="D16060" t="s">
        <v>75231</v>
      </c>
      <c r="E16060" t="s">
        <v>75232</v>
      </c>
      <c r="F16060" t="s">
        <v>7734</v>
      </c>
      <c r="G16060" t="s">
        <v>197</v>
      </c>
      <c r="H16060">
        <v>85711</v>
      </c>
      <c r="I16060" t="s">
        <v>30</v>
      </c>
      <c r="J16060" t="s">
        <v>162</v>
      </c>
      <c r="K16060" t="s">
        <v>163</v>
      </c>
      <c r="N16060" t="s">
        <v>75233</v>
      </c>
      <c r="O16060" t="s">
        <v>75234</v>
      </c>
      <c r="Q16060">
        <v>0</v>
      </c>
      <c r="R16060">
        <v>100</v>
      </c>
      <c r="S16060">
        <v>0</v>
      </c>
      <c r="T16060" t="s">
        <v>75235</v>
      </c>
    </row>
    <row r="16061" spans="1:25" customFormat="1" ht="15" x14ac:dyDescent="0.25">
      <c r="A16061" t="s">
        <v>24</v>
      </c>
      <c r="B16061" t="s">
        <v>2360</v>
      </c>
      <c r="C16061" t="str">
        <f>"A0050466"</f>
        <v>A0050466</v>
      </c>
      <c r="D16061" t="s">
        <v>56308</v>
      </c>
      <c r="E16061" t="s">
        <v>56309</v>
      </c>
      <c r="F16061" t="s">
        <v>54394</v>
      </c>
      <c r="G16061" t="s">
        <v>846</v>
      </c>
      <c r="H16061">
        <v>30004</v>
      </c>
      <c r="I16061" t="s">
        <v>30</v>
      </c>
      <c r="J16061" t="s">
        <v>178</v>
      </c>
      <c r="K16061" t="s">
        <v>55688</v>
      </c>
      <c r="N16061" t="s">
        <v>56310</v>
      </c>
      <c r="Q16061">
        <v>1</v>
      </c>
      <c r="R16061">
        <v>0</v>
      </c>
      <c r="S16061">
        <v>0</v>
      </c>
      <c r="T16061" t="s">
        <v>56311</v>
      </c>
    </row>
    <row r="16062" spans="1:25" customFormat="1" ht="15" x14ac:dyDescent="0.25">
      <c r="A16062" t="s">
        <v>24</v>
      </c>
      <c r="B16062" t="s">
        <v>1156</v>
      </c>
      <c r="C16062" t="str">
        <f>"A0155666"</f>
        <v>A0155666</v>
      </c>
      <c r="D16062" t="s">
        <v>56312</v>
      </c>
      <c r="E16062" t="s">
        <v>56313</v>
      </c>
      <c r="F16062" t="s">
        <v>1159</v>
      </c>
      <c r="G16062" t="s">
        <v>58</v>
      </c>
      <c r="H16062">
        <v>29579</v>
      </c>
      <c r="I16062" t="s">
        <v>30</v>
      </c>
      <c r="J16062" t="s">
        <v>2544</v>
      </c>
      <c r="K16062" t="s">
        <v>163</v>
      </c>
      <c r="N16062" t="s">
        <v>56314</v>
      </c>
      <c r="Q16062">
        <v>0</v>
      </c>
      <c r="R16062">
        <v>138</v>
      </c>
      <c r="S16062">
        <v>0</v>
      </c>
      <c r="T16062" t="s">
        <v>56315</v>
      </c>
    </row>
    <row r="16063" spans="1:25" customFormat="1" ht="15" x14ac:dyDescent="0.25">
      <c r="A16063" t="s">
        <v>24</v>
      </c>
      <c r="B16063" t="s">
        <v>6647</v>
      </c>
      <c r="C16063" t="str">
        <f>"A0091851"</f>
        <v>A0091851</v>
      </c>
      <c r="D16063" t="s">
        <v>75239</v>
      </c>
      <c r="E16063" t="s">
        <v>75240</v>
      </c>
      <c r="F16063" t="s">
        <v>845</v>
      </c>
      <c r="G16063" t="s">
        <v>846</v>
      </c>
      <c r="H16063">
        <v>30309</v>
      </c>
      <c r="I16063" t="s">
        <v>30</v>
      </c>
      <c r="J16063" t="s">
        <v>162</v>
      </c>
      <c r="K16063" t="s">
        <v>6651</v>
      </c>
      <c r="N16063" t="s">
        <v>75241</v>
      </c>
      <c r="O16063" t="s">
        <v>6652</v>
      </c>
      <c r="Q16063">
        <v>0</v>
      </c>
      <c r="R16063">
        <v>414</v>
      </c>
      <c r="S16063">
        <v>0</v>
      </c>
      <c r="T16063" t="s">
        <v>75242</v>
      </c>
    </row>
    <row r="16064" spans="1:25" x14ac:dyDescent="0.25">
      <c r="A16064" s="5" t="s">
        <v>24</v>
      </c>
      <c r="B16064" s="5" t="s">
        <v>6647</v>
      </c>
      <c r="C16064" s="5" t="str">
        <f>"A0078635"</f>
        <v>A0078635</v>
      </c>
      <c r="D16064" s="5" t="s">
        <v>75243</v>
      </c>
      <c r="E16064" s="5" t="s">
        <v>75244</v>
      </c>
      <c r="F16064" s="5" t="s">
        <v>26129</v>
      </c>
      <c r="G16064" s="5" t="s">
        <v>899</v>
      </c>
      <c r="H16064" s="5">
        <v>2116</v>
      </c>
      <c r="I16064" s="5" t="s">
        <v>30</v>
      </c>
      <c r="J16064" s="5" t="s">
        <v>162</v>
      </c>
      <c r="K16064" s="5" t="s">
        <v>6651</v>
      </c>
      <c r="L16064" s="5"/>
      <c r="M16064" s="5"/>
      <c r="N16064" s="5" t="s">
        <v>6652</v>
      </c>
      <c r="O16064" s="5" t="s">
        <v>75245</v>
      </c>
      <c r="P16064" s="5"/>
      <c r="Q16064" s="5">
        <v>0</v>
      </c>
      <c r="R16064" s="5">
        <v>225</v>
      </c>
      <c r="S16064" s="5">
        <v>0</v>
      </c>
      <c r="T16064" s="5" t="s">
        <v>75246</v>
      </c>
      <c r="U16064" s="5"/>
      <c r="V16064" s="5"/>
      <c r="W16064" s="5"/>
      <c r="X16064" s="5"/>
      <c r="Y16064" s="5"/>
    </row>
    <row r="16065" spans="1:25" customFormat="1" ht="15" hidden="1" x14ac:dyDescent="0.25">
      <c r="A16065" t="s">
        <v>24</v>
      </c>
      <c r="B16065" t="s">
        <v>5858</v>
      </c>
      <c r="C16065" t="str">
        <f>"A0092399"</f>
        <v>A0092399</v>
      </c>
      <c r="D16065" t="s">
        <v>56325</v>
      </c>
      <c r="E16065" t="s">
        <v>56326</v>
      </c>
      <c r="F16065" t="s">
        <v>2406</v>
      </c>
      <c r="G16065" t="s">
        <v>2407</v>
      </c>
      <c r="H16065">
        <v>23410</v>
      </c>
      <c r="I16065" t="s">
        <v>2408</v>
      </c>
      <c r="J16065" t="s">
        <v>679</v>
      </c>
      <c r="K16065" t="s">
        <v>163</v>
      </c>
      <c r="N16065" t="s">
        <v>56327</v>
      </c>
      <c r="O16065" t="s">
        <v>56328</v>
      </c>
      <c r="Q16065">
        <v>0</v>
      </c>
      <c r="R16065">
        <v>54</v>
      </c>
      <c r="S16065">
        <v>0</v>
      </c>
      <c r="T16065" t="s">
        <v>56329</v>
      </c>
    </row>
    <row r="16066" spans="1:25" customFormat="1" ht="15" x14ac:dyDescent="0.25">
      <c r="A16066" t="s">
        <v>24</v>
      </c>
      <c r="B16066" t="s">
        <v>6647</v>
      </c>
      <c r="C16066" t="str">
        <f>"A0092721"</f>
        <v>A0092721</v>
      </c>
      <c r="D16066" t="s">
        <v>75247</v>
      </c>
      <c r="E16066" t="s">
        <v>75248</v>
      </c>
      <c r="F16066" t="s">
        <v>716</v>
      </c>
      <c r="G16066" t="s">
        <v>289</v>
      </c>
      <c r="H16066">
        <v>60611</v>
      </c>
      <c r="I16066" t="s">
        <v>30</v>
      </c>
      <c r="J16066" t="s">
        <v>162</v>
      </c>
      <c r="K16066" t="s">
        <v>6651</v>
      </c>
      <c r="N16066" t="s">
        <v>56483</v>
      </c>
      <c r="O16066" t="s">
        <v>6652</v>
      </c>
      <c r="Q16066">
        <v>0</v>
      </c>
      <c r="R16066">
        <v>400</v>
      </c>
      <c r="S16066">
        <v>0</v>
      </c>
      <c r="T16066" t="s">
        <v>75249</v>
      </c>
    </row>
    <row r="16067" spans="1:25" customFormat="1" ht="15" x14ac:dyDescent="0.25">
      <c r="A16067" t="s">
        <v>24</v>
      </c>
      <c r="B16067" t="s">
        <v>6647</v>
      </c>
      <c r="C16067" t="str">
        <f>"A0085518"</f>
        <v>A0085518</v>
      </c>
      <c r="D16067" t="s">
        <v>75250</v>
      </c>
      <c r="E16067" t="s">
        <v>75251</v>
      </c>
      <c r="F16067" t="s">
        <v>9068</v>
      </c>
      <c r="G16067" t="s">
        <v>289</v>
      </c>
      <c r="H16067">
        <v>60018</v>
      </c>
      <c r="I16067" t="s">
        <v>30</v>
      </c>
      <c r="J16067" t="s">
        <v>162</v>
      </c>
      <c r="K16067" t="s">
        <v>6651</v>
      </c>
      <c r="N16067" t="s">
        <v>75252</v>
      </c>
      <c r="O16067" t="s">
        <v>6652</v>
      </c>
      <c r="Q16067">
        <v>0</v>
      </c>
      <c r="R16067">
        <v>556</v>
      </c>
      <c r="S16067">
        <v>0</v>
      </c>
      <c r="T16067" t="s">
        <v>75253</v>
      </c>
    </row>
    <row r="16068" spans="1:25" customFormat="1" ht="15" x14ac:dyDescent="0.25">
      <c r="A16068" t="s">
        <v>24</v>
      </c>
      <c r="B16068" t="s">
        <v>6647</v>
      </c>
      <c r="C16068" t="str">
        <f>"A0056579"</f>
        <v>A0056579</v>
      </c>
      <c r="D16068" t="s">
        <v>75254</v>
      </c>
      <c r="E16068" t="s">
        <v>75255</v>
      </c>
      <c r="F16068" t="s">
        <v>59285</v>
      </c>
      <c r="G16068" t="s">
        <v>110</v>
      </c>
      <c r="H16068">
        <v>92118</v>
      </c>
      <c r="I16068" t="s">
        <v>30</v>
      </c>
      <c r="J16068" t="s">
        <v>162</v>
      </c>
      <c r="K16068" t="s">
        <v>6651</v>
      </c>
      <c r="N16068" t="s">
        <v>6652</v>
      </c>
      <c r="O16068" t="s">
        <v>75256</v>
      </c>
      <c r="Q16068">
        <v>0</v>
      </c>
      <c r="R16068">
        <v>439</v>
      </c>
      <c r="S16068">
        <v>0</v>
      </c>
      <c r="T16068" t="s">
        <v>75257</v>
      </c>
    </row>
    <row r="16069" spans="1:25" customFormat="1" ht="15" x14ac:dyDescent="0.25">
      <c r="A16069" t="s">
        <v>24</v>
      </c>
      <c r="B16069" t="s">
        <v>6647</v>
      </c>
      <c r="C16069" t="str">
        <f>"9673C"</f>
        <v>9673C</v>
      </c>
      <c r="D16069" t="s">
        <v>75258</v>
      </c>
      <c r="E16069" t="s">
        <v>75259</v>
      </c>
      <c r="F16069" t="s">
        <v>33663</v>
      </c>
      <c r="G16069" t="s">
        <v>110</v>
      </c>
      <c r="H16069">
        <v>90028</v>
      </c>
      <c r="I16069" t="s">
        <v>30</v>
      </c>
      <c r="J16069" t="s">
        <v>162</v>
      </c>
      <c r="K16069" t="s">
        <v>6651</v>
      </c>
      <c r="N16069" t="s">
        <v>6652</v>
      </c>
      <c r="O16069" t="s">
        <v>75260</v>
      </c>
      <c r="Q16069">
        <v>0</v>
      </c>
      <c r="R16069">
        <v>637</v>
      </c>
      <c r="S16069">
        <v>0</v>
      </c>
      <c r="T16069" t="s">
        <v>75261</v>
      </c>
    </row>
    <row r="16070" spans="1:25" customFormat="1" ht="15" x14ac:dyDescent="0.25">
      <c r="A16070" t="s">
        <v>24</v>
      </c>
      <c r="B16070" t="s">
        <v>769</v>
      </c>
      <c r="C16070" t="str">
        <f>"A0162005"</f>
        <v>A0162005</v>
      </c>
      <c r="D16070" t="s">
        <v>56349</v>
      </c>
      <c r="E16070" t="s">
        <v>56350</v>
      </c>
      <c r="F16070" t="s">
        <v>9561</v>
      </c>
      <c r="G16070" t="s">
        <v>899</v>
      </c>
      <c r="H16070">
        <v>2540</v>
      </c>
      <c r="I16070" t="s">
        <v>30</v>
      </c>
      <c r="J16070" t="s">
        <v>31</v>
      </c>
      <c r="K16070" t="s">
        <v>163</v>
      </c>
      <c r="N16070" t="s">
        <v>56351</v>
      </c>
      <c r="O16070" t="s">
        <v>56352</v>
      </c>
      <c r="Q16070">
        <v>0</v>
      </c>
      <c r="R16070">
        <v>108</v>
      </c>
      <c r="S16070">
        <v>0</v>
      </c>
      <c r="T16070" t="s">
        <v>56353</v>
      </c>
    </row>
    <row r="16071" spans="1:25" customFormat="1" ht="15" x14ac:dyDescent="0.25">
      <c r="A16071" t="s">
        <v>24</v>
      </c>
      <c r="B16071" t="s">
        <v>769</v>
      </c>
      <c r="C16071" t="str">
        <f>"A0100554"</f>
        <v>A0100554</v>
      </c>
      <c r="D16071" t="s">
        <v>56354</v>
      </c>
      <c r="E16071" t="s">
        <v>56355</v>
      </c>
      <c r="F16071" t="s">
        <v>56356</v>
      </c>
      <c r="G16071" t="s">
        <v>110</v>
      </c>
      <c r="H16071">
        <v>95446</v>
      </c>
      <c r="I16071" t="s">
        <v>30</v>
      </c>
      <c r="J16071" t="s">
        <v>31</v>
      </c>
      <c r="K16071" t="s">
        <v>163</v>
      </c>
      <c r="N16071" t="s">
        <v>56357</v>
      </c>
      <c r="O16071" t="s">
        <v>56358</v>
      </c>
      <c r="Q16071">
        <v>0</v>
      </c>
      <c r="R16071">
        <v>34</v>
      </c>
      <c r="S16071">
        <v>0</v>
      </c>
      <c r="T16071" t="s">
        <v>56359</v>
      </c>
    </row>
    <row r="16072" spans="1:25" customFormat="1" ht="15" x14ac:dyDescent="0.25">
      <c r="A16072" t="s">
        <v>24</v>
      </c>
      <c r="B16072" t="s">
        <v>769</v>
      </c>
      <c r="C16072" t="str">
        <f>"A0100916"</f>
        <v>A0100916</v>
      </c>
      <c r="D16072" t="s">
        <v>56360</v>
      </c>
      <c r="E16072" t="s">
        <v>56361</v>
      </c>
      <c r="F16072" t="s">
        <v>56362</v>
      </c>
      <c r="G16072" t="s">
        <v>110</v>
      </c>
      <c r="H16072">
        <v>95345</v>
      </c>
      <c r="I16072" t="s">
        <v>30</v>
      </c>
      <c r="J16072" t="s">
        <v>31</v>
      </c>
      <c r="K16072" t="s">
        <v>163</v>
      </c>
      <c r="N16072" t="s">
        <v>56357</v>
      </c>
      <c r="O16072" t="s">
        <v>56363</v>
      </c>
      <c r="Q16072">
        <v>0</v>
      </c>
      <c r="R16072">
        <v>103</v>
      </c>
      <c r="S16072">
        <v>0</v>
      </c>
      <c r="T16072" t="s">
        <v>56364</v>
      </c>
    </row>
    <row r="16073" spans="1:25" customFormat="1" ht="15" x14ac:dyDescent="0.25">
      <c r="A16073" t="s">
        <v>24</v>
      </c>
      <c r="B16073" t="s">
        <v>56365</v>
      </c>
      <c r="C16073" t="str">
        <f>"AC100001"</f>
        <v>AC100001</v>
      </c>
      <c r="D16073" t="s">
        <v>56366</v>
      </c>
      <c r="E16073" t="s">
        <v>56367</v>
      </c>
      <c r="F16073" t="s">
        <v>4397</v>
      </c>
      <c r="G16073" t="s">
        <v>123</v>
      </c>
      <c r="H16073">
        <v>20850</v>
      </c>
      <c r="I16073" t="s">
        <v>30</v>
      </c>
      <c r="J16073" t="s">
        <v>191</v>
      </c>
      <c r="K16073" t="s">
        <v>11889</v>
      </c>
      <c r="L16073" t="s">
        <v>56368</v>
      </c>
      <c r="M16073" t="s">
        <v>56366</v>
      </c>
      <c r="N16073" t="s">
        <v>56369</v>
      </c>
      <c r="O16073" t="s">
        <v>56370</v>
      </c>
      <c r="Q16073">
        <v>0</v>
      </c>
      <c r="R16073">
        <v>0</v>
      </c>
      <c r="S16073">
        <v>0</v>
      </c>
      <c r="T16073" t="s">
        <v>56371</v>
      </c>
      <c r="U16073" t="s">
        <v>56366</v>
      </c>
      <c r="V16073" t="s">
        <v>56368</v>
      </c>
      <c r="W16073" t="s">
        <v>56372</v>
      </c>
      <c r="X16073" s="1">
        <v>44027</v>
      </c>
    </row>
    <row r="16074" spans="1:25" customFormat="1" ht="15" x14ac:dyDescent="0.25">
      <c r="A16074" t="s">
        <v>24</v>
      </c>
      <c r="B16074" t="s">
        <v>6647</v>
      </c>
      <c r="C16074" t="str">
        <f>"A0149472"</f>
        <v>A0149472</v>
      </c>
      <c r="D16074" t="s">
        <v>75262</v>
      </c>
      <c r="E16074" t="s">
        <v>75263</v>
      </c>
      <c r="F16074" t="s">
        <v>5107</v>
      </c>
      <c r="G16074" t="s">
        <v>137</v>
      </c>
      <c r="H16074">
        <v>64108</v>
      </c>
      <c r="I16074" t="s">
        <v>30</v>
      </c>
      <c r="J16074" t="s">
        <v>162</v>
      </c>
      <c r="K16074" t="s">
        <v>6651</v>
      </c>
      <c r="N16074" t="s">
        <v>75264</v>
      </c>
      <c r="O16074" t="s">
        <v>6652</v>
      </c>
      <c r="Q16074">
        <v>0</v>
      </c>
      <c r="R16074">
        <v>800</v>
      </c>
      <c r="S16074">
        <v>0</v>
      </c>
      <c r="T16074" t="s">
        <v>75222</v>
      </c>
    </row>
    <row r="16075" spans="1:25" x14ac:dyDescent="0.25">
      <c r="A16075" s="5" t="s">
        <v>24</v>
      </c>
      <c r="B16075" s="5" t="s">
        <v>6647</v>
      </c>
      <c r="C16075" s="5" t="str">
        <f>"A0056584"</f>
        <v>A0056584</v>
      </c>
      <c r="D16075" s="5" t="s">
        <v>75265</v>
      </c>
      <c r="E16075" s="5" t="s">
        <v>75266</v>
      </c>
      <c r="F16075" s="5" t="s">
        <v>1003</v>
      </c>
      <c r="G16075" s="5" t="s">
        <v>81</v>
      </c>
      <c r="H16075" s="5">
        <v>33139</v>
      </c>
      <c r="I16075" s="5" t="s">
        <v>30</v>
      </c>
      <c r="J16075" s="5" t="s">
        <v>162</v>
      </c>
      <c r="K16075" s="5" t="s">
        <v>6651</v>
      </c>
      <c r="L16075" s="5"/>
      <c r="M16075" s="5"/>
      <c r="N16075" s="5" t="s">
        <v>6652</v>
      </c>
      <c r="O16075" s="5" t="s">
        <v>75267</v>
      </c>
      <c r="P16075" s="5"/>
      <c r="Q16075" s="5">
        <v>0</v>
      </c>
      <c r="R16075" s="5">
        <v>790</v>
      </c>
      <c r="S16075" s="5">
        <v>0</v>
      </c>
      <c r="T16075" s="5" t="s">
        <v>75268</v>
      </c>
      <c r="U16075" s="5"/>
      <c r="V16075" s="5"/>
      <c r="W16075" s="5"/>
      <c r="X16075" s="5"/>
      <c r="Y16075" s="5"/>
    </row>
    <row r="16076" spans="1:25" customFormat="1" ht="15" x14ac:dyDescent="0.25">
      <c r="A16076" t="s">
        <v>24</v>
      </c>
      <c r="B16076" t="s">
        <v>2340</v>
      </c>
      <c r="C16076" t="str">
        <f>"A0154485"</f>
        <v>A0154485</v>
      </c>
      <c r="D16076" t="s">
        <v>56382</v>
      </c>
      <c r="E16076" t="s">
        <v>56383</v>
      </c>
      <c r="F16076" t="s">
        <v>972</v>
      </c>
      <c r="G16076" t="s">
        <v>190</v>
      </c>
      <c r="H16076">
        <v>80249</v>
      </c>
      <c r="I16076" t="s">
        <v>30</v>
      </c>
      <c r="J16076" t="s">
        <v>31</v>
      </c>
      <c r="K16076" t="s">
        <v>163</v>
      </c>
      <c r="N16076" t="s">
        <v>56384</v>
      </c>
      <c r="Q16076">
        <v>0</v>
      </c>
      <c r="R16076">
        <v>97</v>
      </c>
      <c r="S16076">
        <v>0</v>
      </c>
      <c r="T16076" t="s">
        <v>56385</v>
      </c>
    </row>
    <row r="16077" spans="1:25" hidden="1" x14ac:dyDescent="0.25">
      <c r="A16077" s="3" t="s">
        <v>24</v>
      </c>
      <c r="B16077" s="3" t="s">
        <v>56386</v>
      </c>
      <c r="C16077" s="3" t="str">
        <f>"A0146926"</f>
        <v>A0146926</v>
      </c>
      <c r="D16077" s="3" t="s">
        <v>56387</v>
      </c>
      <c r="E16077" s="3" t="s">
        <v>56388</v>
      </c>
      <c r="F16077" s="3" t="s">
        <v>56389</v>
      </c>
      <c r="G16077" s="3" t="s">
        <v>4499</v>
      </c>
      <c r="H16077" s="3">
        <v>72000</v>
      </c>
      <c r="I16077" s="3" t="s">
        <v>2408</v>
      </c>
      <c r="J16077" s="3" t="s">
        <v>206</v>
      </c>
      <c r="K16077" s="3" t="s">
        <v>163</v>
      </c>
      <c r="N16077" s="3" t="s">
        <v>56390</v>
      </c>
      <c r="Q16077" s="3">
        <v>0</v>
      </c>
      <c r="R16077" s="3">
        <v>78</v>
      </c>
      <c r="S16077" s="3">
        <v>0</v>
      </c>
      <c r="T16077" s="3" t="s">
        <v>56391</v>
      </c>
    </row>
    <row r="16078" spans="1:25" customFormat="1" ht="15" x14ac:dyDescent="0.25">
      <c r="A16078" t="s">
        <v>24</v>
      </c>
      <c r="B16078" t="s">
        <v>6647</v>
      </c>
      <c r="C16078" t="str">
        <f>"A0069391"</f>
        <v>A0069391</v>
      </c>
      <c r="D16078" t="s">
        <v>75269</v>
      </c>
      <c r="E16078" t="s">
        <v>75270</v>
      </c>
      <c r="F16078" t="s">
        <v>6404</v>
      </c>
      <c r="G16078" t="s">
        <v>161</v>
      </c>
      <c r="H16078">
        <v>55403</v>
      </c>
      <c r="I16078" t="s">
        <v>30</v>
      </c>
      <c r="J16078" t="s">
        <v>162</v>
      </c>
      <c r="K16078" t="s">
        <v>6651</v>
      </c>
      <c r="N16078" t="s">
        <v>75271</v>
      </c>
      <c r="Q16078">
        <v>0</v>
      </c>
      <c r="R16078">
        <v>255</v>
      </c>
      <c r="S16078">
        <v>0</v>
      </c>
      <c r="T16078" t="s">
        <v>75272</v>
      </c>
    </row>
    <row r="16079" spans="1:25" customFormat="1" ht="15" x14ac:dyDescent="0.25">
      <c r="A16079" t="s">
        <v>24</v>
      </c>
      <c r="B16079" t="s">
        <v>6647</v>
      </c>
      <c r="C16079" t="str">
        <f>"A0091853"</f>
        <v>A0091853</v>
      </c>
      <c r="D16079" t="s">
        <v>75273</v>
      </c>
      <c r="E16079" t="s">
        <v>75274</v>
      </c>
      <c r="F16079" t="s">
        <v>2069</v>
      </c>
      <c r="G16079" t="s">
        <v>1170</v>
      </c>
      <c r="H16079">
        <v>70130</v>
      </c>
      <c r="I16079" t="s">
        <v>30</v>
      </c>
      <c r="J16079" t="s">
        <v>162</v>
      </c>
      <c r="K16079" t="s">
        <v>6651</v>
      </c>
      <c r="N16079" t="s">
        <v>6652</v>
      </c>
      <c r="O16079" t="s">
        <v>75275</v>
      </c>
      <c r="Q16079">
        <v>0</v>
      </c>
      <c r="R16079">
        <v>285</v>
      </c>
      <c r="S16079">
        <v>0</v>
      </c>
      <c r="T16079" t="s">
        <v>75276</v>
      </c>
    </row>
    <row r="16080" spans="1:25" customFormat="1" ht="15" hidden="1" x14ac:dyDescent="0.25">
      <c r="A16080" t="s">
        <v>24</v>
      </c>
      <c r="B16080" t="s">
        <v>56404</v>
      </c>
      <c r="C16080" t="str">
        <f>"A0094114"</f>
        <v>A0094114</v>
      </c>
      <c r="D16080" t="s">
        <v>56405</v>
      </c>
      <c r="E16080" t="s">
        <v>56406</v>
      </c>
      <c r="F16080" t="s">
        <v>5142</v>
      </c>
      <c r="G16080" t="s">
        <v>5143</v>
      </c>
      <c r="I16080" t="s">
        <v>5145</v>
      </c>
      <c r="J16080" t="s">
        <v>1004</v>
      </c>
      <c r="K16080" t="s">
        <v>163</v>
      </c>
      <c r="N16080" t="s">
        <v>56407</v>
      </c>
      <c r="Q16080">
        <v>0</v>
      </c>
      <c r="R16080">
        <v>0</v>
      </c>
      <c r="S16080">
        <v>0</v>
      </c>
      <c r="T16080" t="s">
        <v>56408</v>
      </c>
    </row>
    <row r="16081" spans="1:25" x14ac:dyDescent="0.25">
      <c r="A16081" s="5" t="s">
        <v>24</v>
      </c>
      <c r="B16081" s="5" t="s">
        <v>6647</v>
      </c>
      <c r="C16081" s="5" t="str">
        <f>"A0056630"</f>
        <v>A0056630</v>
      </c>
      <c r="D16081" s="5" t="s">
        <v>75277</v>
      </c>
      <c r="E16081" s="5" t="s">
        <v>75278</v>
      </c>
      <c r="F16081" s="5" t="s">
        <v>9812</v>
      </c>
      <c r="G16081" s="5" t="s">
        <v>103</v>
      </c>
      <c r="H16081" s="5">
        <v>19107</v>
      </c>
      <c r="I16081" s="5" t="s">
        <v>30</v>
      </c>
      <c r="J16081" s="5" t="s">
        <v>162</v>
      </c>
      <c r="K16081" s="5" t="s">
        <v>6651</v>
      </c>
      <c r="L16081" s="5"/>
      <c r="M16081" s="5"/>
      <c r="N16081" s="5" t="s">
        <v>6652</v>
      </c>
      <c r="O16081" s="5" t="s">
        <v>75279</v>
      </c>
      <c r="P16081" s="5"/>
      <c r="Q16081" s="5">
        <v>0</v>
      </c>
      <c r="R16081" s="5">
        <v>581</v>
      </c>
      <c r="S16081" s="5">
        <v>0</v>
      </c>
      <c r="T16081" s="5" t="s">
        <v>75280</v>
      </c>
      <c r="U16081" s="5"/>
      <c r="V16081" s="5"/>
      <c r="W16081" s="5"/>
      <c r="X16081" s="5"/>
      <c r="Y16081" s="5"/>
    </row>
    <row r="16082" spans="1:25" customFormat="1" ht="15" x14ac:dyDescent="0.25">
      <c r="A16082" t="s">
        <v>24</v>
      </c>
      <c r="B16082" t="s">
        <v>1138</v>
      </c>
      <c r="C16082" t="str">
        <f>"A0148755"</f>
        <v>A0148755</v>
      </c>
      <c r="D16082" t="s">
        <v>56414</v>
      </c>
      <c r="E16082" t="s">
        <v>56415</v>
      </c>
      <c r="F16082" t="s">
        <v>652</v>
      </c>
      <c r="G16082" t="s">
        <v>110</v>
      </c>
      <c r="H16082">
        <v>93308</v>
      </c>
      <c r="I16082" t="s">
        <v>30</v>
      </c>
      <c r="J16082" t="s">
        <v>31</v>
      </c>
      <c r="K16082" t="s">
        <v>261</v>
      </c>
      <c r="N16082" t="s">
        <v>56416</v>
      </c>
      <c r="O16082" t="s">
        <v>56417</v>
      </c>
      <c r="Q16082">
        <v>0</v>
      </c>
      <c r="R16082">
        <v>113</v>
      </c>
      <c r="S16082">
        <v>0</v>
      </c>
      <c r="T16082" t="s">
        <v>56418</v>
      </c>
    </row>
    <row r="16083" spans="1:25" x14ac:dyDescent="0.25">
      <c r="A16083" s="5" t="s">
        <v>24</v>
      </c>
      <c r="B16083" s="5" t="s">
        <v>6647</v>
      </c>
      <c r="C16083" s="5" t="str">
        <f>"A0056586"</f>
        <v>A0056586</v>
      </c>
      <c r="D16083" s="5" t="s">
        <v>75281</v>
      </c>
      <c r="E16083" s="5" t="s">
        <v>75282</v>
      </c>
      <c r="F16083" s="5" t="s">
        <v>985</v>
      </c>
      <c r="G16083" s="5" t="s">
        <v>81</v>
      </c>
      <c r="H16083" s="5">
        <v>32819</v>
      </c>
      <c r="I16083" s="5" t="s">
        <v>30</v>
      </c>
      <c r="J16083" s="5" t="s">
        <v>162</v>
      </c>
      <c r="K16083" s="5" t="s">
        <v>6651</v>
      </c>
      <c r="L16083" s="5"/>
      <c r="M16083" s="5"/>
      <c r="N16083" s="5" t="s">
        <v>6652</v>
      </c>
      <c r="O16083" s="5" t="s">
        <v>75283</v>
      </c>
      <c r="P16083" s="5"/>
      <c r="Q16083" s="5">
        <v>0</v>
      </c>
      <c r="R16083" s="5">
        <v>750</v>
      </c>
      <c r="S16083" s="5">
        <v>0</v>
      </c>
      <c r="T16083" s="5" t="s">
        <v>75284</v>
      </c>
      <c r="U16083" s="5"/>
      <c r="V16083" s="5"/>
      <c r="W16083" s="5"/>
      <c r="X16083" s="5"/>
      <c r="Y16083" s="5"/>
    </row>
    <row r="16084" spans="1:25" customFormat="1" ht="15" x14ac:dyDescent="0.25">
      <c r="A16084" t="s">
        <v>24</v>
      </c>
      <c r="B16084" t="s">
        <v>56392</v>
      </c>
      <c r="C16084" t="str">
        <f>"A0096832"</f>
        <v>A0096832</v>
      </c>
      <c r="D16084" t="s">
        <v>56425</v>
      </c>
      <c r="E16084" t="s">
        <v>56426</v>
      </c>
      <c r="F16084" t="s">
        <v>1101</v>
      </c>
      <c r="G16084" t="s">
        <v>81</v>
      </c>
      <c r="H16084">
        <v>33050</v>
      </c>
      <c r="I16084" t="s">
        <v>30</v>
      </c>
      <c r="J16084" t="s">
        <v>31</v>
      </c>
      <c r="K16084" t="s">
        <v>163</v>
      </c>
      <c r="N16084" t="s">
        <v>56427</v>
      </c>
      <c r="O16084" t="s">
        <v>56428</v>
      </c>
      <c r="Q16084">
        <v>0</v>
      </c>
      <c r="R16084">
        <v>61</v>
      </c>
      <c r="S16084">
        <v>0</v>
      </c>
      <c r="T16084" t="s">
        <v>56429</v>
      </c>
    </row>
    <row r="16085" spans="1:25" customFormat="1" ht="15" x14ac:dyDescent="0.25">
      <c r="A16085" t="s">
        <v>24</v>
      </c>
      <c r="B16085" t="s">
        <v>6647</v>
      </c>
      <c r="C16085" t="str">
        <f>"A0056592"</f>
        <v>A0056592</v>
      </c>
      <c r="D16085" t="s">
        <v>75285</v>
      </c>
      <c r="E16085" t="s">
        <v>75286</v>
      </c>
      <c r="F16085" t="s">
        <v>997</v>
      </c>
      <c r="G16085" t="s">
        <v>99</v>
      </c>
      <c r="H16085">
        <v>10065</v>
      </c>
      <c r="I16085" t="s">
        <v>30</v>
      </c>
      <c r="J16085" t="s">
        <v>162</v>
      </c>
      <c r="K16085" t="s">
        <v>6651</v>
      </c>
      <c r="N16085" t="s">
        <v>75287</v>
      </c>
      <c r="O16085" t="s">
        <v>6652</v>
      </c>
      <c r="Q16085">
        <v>0</v>
      </c>
      <c r="R16085">
        <v>353</v>
      </c>
      <c r="S16085">
        <v>0</v>
      </c>
      <c r="T16085" t="s">
        <v>75288</v>
      </c>
    </row>
    <row r="16086" spans="1:25" hidden="1" x14ac:dyDescent="0.25">
      <c r="A16086" s="3" t="s">
        <v>24</v>
      </c>
      <c r="B16086" s="3" t="s">
        <v>56437</v>
      </c>
      <c r="C16086" s="3" t="str">
        <f>"A0089420"</f>
        <v>A0089420</v>
      </c>
      <c r="D16086" s="3" t="s">
        <v>56438</v>
      </c>
      <c r="E16086" s="3" t="s">
        <v>56439</v>
      </c>
      <c r="F16086" s="3" t="s">
        <v>56035</v>
      </c>
      <c r="G16086" s="3" t="s">
        <v>5424</v>
      </c>
      <c r="H16086" s="3">
        <v>77710</v>
      </c>
      <c r="I16086" s="3" t="s">
        <v>2408</v>
      </c>
      <c r="J16086" s="3" t="s">
        <v>206</v>
      </c>
      <c r="K16086" s="3" t="s">
        <v>56440</v>
      </c>
      <c r="N16086" s="3" t="s">
        <v>56441</v>
      </c>
      <c r="Q16086" s="3">
        <v>0</v>
      </c>
      <c r="R16086" s="3">
        <v>215</v>
      </c>
      <c r="S16086" s="3">
        <v>0</v>
      </c>
      <c r="T16086" s="3" t="s">
        <v>56442</v>
      </c>
    </row>
    <row r="16087" spans="1:25" customFormat="1" ht="15" x14ac:dyDescent="0.25">
      <c r="A16087" t="s">
        <v>24</v>
      </c>
      <c r="B16087" t="s">
        <v>56443</v>
      </c>
      <c r="C16087" t="str">
        <f>"A0098240"</f>
        <v>A0098240</v>
      </c>
      <c r="D16087" t="s">
        <v>56444</v>
      </c>
      <c r="E16087" t="s">
        <v>56445</v>
      </c>
      <c r="F16087" t="s">
        <v>845</v>
      </c>
      <c r="G16087" t="s">
        <v>846</v>
      </c>
      <c r="H16087">
        <v>30303</v>
      </c>
      <c r="I16087" t="s">
        <v>30</v>
      </c>
      <c r="J16087" t="s">
        <v>31</v>
      </c>
      <c r="K16087" t="s">
        <v>163</v>
      </c>
      <c r="N16087" t="s">
        <v>13798</v>
      </c>
      <c r="Q16087">
        <v>0</v>
      </c>
      <c r="R16087">
        <v>75</v>
      </c>
      <c r="S16087">
        <v>0</v>
      </c>
      <c r="T16087" t="s">
        <v>56446</v>
      </c>
    </row>
    <row r="16088" spans="1:25" x14ac:dyDescent="0.25">
      <c r="A16088" s="5" t="s">
        <v>24</v>
      </c>
      <c r="B16088" s="5" t="s">
        <v>6647</v>
      </c>
      <c r="C16088" s="5" t="str">
        <f>"A0091854"</f>
        <v>A0091854</v>
      </c>
      <c r="D16088" s="5" t="s">
        <v>75289</v>
      </c>
      <c r="E16088" s="5" t="s">
        <v>75290</v>
      </c>
      <c r="F16088" s="5" t="s">
        <v>64215</v>
      </c>
      <c r="G16088" s="5" t="s">
        <v>81</v>
      </c>
      <c r="H16088" s="5">
        <v>32819</v>
      </c>
      <c r="I16088" s="5" t="s">
        <v>30</v>
      </c>
      <c r="J16088" s="5" t="s">
        <v>162</v>
      </c>
      <c r="K16088" s="5" t="s">
        <v>6651</v>
      </c>
      <c r="L16088" s="5"/>
      <c r="M16088" s="5"/>
      <c r="N16088" s="5" t="s">
        <v>6652</v>
      </c>
      <c r="O16088" s="5" t="s">
        <v>75291</v>
      </c>
      <c r="P16088" s="5"/>
      <c r="Q16088" s="5">
        <v>0</v>
      </c>
      <c r="R16088" s="5">
        <v>1000</v>
      </c>
      <c r="S16088" s="5">
        <v>0</v>
      </c>
      <c r="T16088" s="5" t="s">
        <v>75292</v>
      </c>
      <c r="U16088" s="5"/>
      <c r="V16088" s="5"/>
      <c r="W16088" s="5"/>
      <c r="X16088" s="5"/>
      <c r="Y16088" s="5"/>
    </row>
    <row r="16089" spans="1:25" customFormat="1" ht="15" x14ac:dyDescent="0.25">
      <c r="A16089" t="s">
        <v>24</v>
      </c>
      <c r="B16089" t="s">
        <v>1156</v>
      </c>
      <c r="C16089" t="str">
        <f>"A0078437"</f>
        <v>A0078437</v>
      </c>
      <c r="D16089" t="s">
        <v>56453</v>
      </c>
      <c r="E16089" t="s">
        <v>56454</v>
      </c>
      <c r="F16089" t="s">
        <v>56455</v>
      </c>
      <c r="G16089" t="s">
        <v>58</v>
      </c>
      <c r="H16089">
        <v>29582</v>
      </c>
      <c r="I16089" t="s">
        <v>30</v>
      </c>
      <c r="J16089" t="s">
        <v>2544</v>
      </c>
      <c r="K16089" t="s">
        <v>163</v>
      </c>
      <c r="N16089" t="s">
        <v>54748</v>
      </c>
      <c r="O16089" t="s">
        <v>56456</v>
      </c>
      <c r="P16089" t="s">
        <v>3998</v>
      </c>
      <c r="Q16089">
        <v>1</v>
      </c>
      <c r="R16089">
        <v>80</v>
      </c>
      <c r="S16089">
        <v>0</v>
      </c>
      <c r="T16089" t="s">
        <v>56457</v>
      </c>
    </row>
    <row r="16090" spans="1:25" customFormat="1" ht="15" x14ac:dyDescent="0.25">
      <c r="A16090" t="s">
        <v>24</v>
      </c>
      <c r="B16090" t="s">
        <v>1583</v>
      </c>
      <c r="C16090" t="str">
        <f>"38K21"</f>
        <v>38K21</v>
      </c>
      <c r="D16090" t="s">
        <v>56458</v>
      </c>
      <c r="E16090" t="s">
        <v>56459</v>
      </c>
      <c r="F16090" t="s">
        <v>35912</v>
      </c>
      <c r="G16090" t="s">
        <v>58</v>
      </c>
      <c r="H16090">
        <v>29928</v>
      </c>
      <c r="I16090" t="s">
        <v>30</v>
      </c>
      <c r="J16090" t="s">
        <v>2544</v>
      </c>
      <c r="K16090" t="s">
        <v>36059</v>
      </c>
      <c r="N16090" t="s">
        <v>56460</v>
      </c>
      <c r="O16090" t="s">
        <v>56461</v>
      </c>
      <c r="Q16090">
        <v>0</v>
      </c>
      <c r="R16090">
        <v>263</v>
      </c>
      <c r="S16090">
        <v>0</v>
      </c>
      <c r="T16090" t="s">
        <v>56462</v>
      </c>
    </row>
    <row r="16091" spans="1:25" customFormat="1" ht="15" x14ac:dyDescent="0.25">
      <c r="A16091" t="s">
        <v>24</v>
      </c>
      <c r="B16091" t="s">
        <v>56463</v>
      </c>
      <c r="C16091" t="str">
        <f>"A0148947"</f>
        <v>A0148947</v>
      </c>
      <c r="D16091" t="s">
        <v>56464</v>
      </c>
      <c r="E16091" t="s">
        <v>56465</v>
      </c>
      <c r="F16091" t="s">
        <v>3184</v>
      </c>
      <c r="G16091" t="s">
        <v>137</v>
      </c>
      <c r="H16091">
        <v>65616</v>
      </c>
      <c r="I16091" t="s">
        <v>30</v>
      </c>
      <c r="J16091" t="s">
        <v>31</v>
      </c>
      <c r="K16091" t="s">
        <v>163</v>
      </c>
      <c r="N16091" t="s">
        <v>56466</v>
      </c>
      <c r="Q16091">
        <v>0</v>
      </c>
      <c r="R16091">
        <v>145</v>
      </c>
      <c r="S16091">
        <v>0</v>
      </c>
      <c r="T16091" t="s">
        <v>56467</v>
      </c>
    </row>
    <row r="16092" spans="1:25" customFormat="1" ht="15" x14ac:dyDescent="0.25">
      <c r="A16092" t="s">
        <v>24</v>
      </c>
      <c r="B16092" t="s">
        <v>6647</v>
      </c>
      <c r="C16092" t="str">
        <f>"A0095170"</f>
        <v>A0095170</v>
      </c>
      <c r="D16092" t="s">
        <v>75293</v>
      </c>
      <c r="E16092" t="s">
        <v>75294</v>
      </c>
      <c r="F16092" t="s">
        <v>64215</v>
      </c>
      <c r="G16092" t="s">
        <v>81</v>
      </c>
      <c r="H16092">
        <v>32819</v>
      </c>
      <c r="I16092" t="s">
        <v>30</v>
      </c>
      <c r="J16092" t="s">
        <v>162</v>
      </c>
      <c r="K16092" t="s">
        <v>6651</v>
      </c>
      <c r="Q16092">
        <v>0</v>
      </c>
      <c r="R16092">
        <v>1000</v>
      </c>
      <c r="S16092">
        <v>0</v>
      </c>
      <c r="T16092" t="s">
        <v>75295</v>
      </c>
    </row>
    <row r="16093" spans="1:25" customFormat="1" ht="15" x14ac:dyDescent="0.25">
      <c r="A16093" t="s">
        <v>24</v>
      </c>
      <c r="B16093" t="s">
        <v>56473</v>
      </c>
      <c r="C16093" t="str">
        <f>"A0064748"</f>
        <v>A0064748</v>
      </c>
      <c r="D16093" t="s">
        <v>56474</v>
      </c>
      <c r="E16093" t="s">
        <v>56475</v>
      </c>
      <c r="F16093" t="s">
        <v>5791</v>
      </c>
      <c r="G16093" t="s">
        <v>110</v>
      </c>
      <c r="H16093">
        <v>94538</v>
      </c>
      <c r="I16093" t="s">
        <v>30</v>
      </c>
      <c r="J16093" t="s">
        <v>56476</v>
      </c>
      <c r="K16093" t="s">
        <v>179</v>
      </c>
      <c r="N16093" t="s">
        <v>56477</v>
      </c>
      <c r="O16093" t="s">
        <v>56478</v>
      </c>
      <c r="P16093" t="s">
        <v>992</v>
      </c>
      <c r="Q16093">
        <v>0</v>
      </c>
      <c r="R16093">
        <v>0</v>
      </c>
      <c r="S16093">
        <v>0</v>
      </c>
      <c r="T16093" t="s">
        <v>56479</v>
      </c>
    </row>
    <row r="16094" spans="1:25" customFormat="1" ht="15" x14ac:dyDescent="0.25">
      <c r="A16094" t="s">
        <v>24</v>
      </c>
      <c r="B16094" t="s">
        <v>56473</v>
      </c>
      <c r="C16094" t="str">
        <f>"A0064750"</f>
        <v>A0064750</v>
      </c>
      <c r="D16094" t="s">
        <v>56480</v>
      </c>
      <c r="E16094" t="s">
        <v>56481</v>
      </c>
      <c r="F16094" t="s">
        <v>7495</v>
      </c>
      <c r="G16094" t="s">
        <v>110</v>
      </c>
      <c r="H16094">
        <v>94588</v>
      </c>
      <c r="I16094" t="s">
        <v>30</v>
      </c>
      <c r="J16094" t="s">
        <v>56476</v>
      </c>
      <c r="K16094" t="s">
        <v>163</v>
      </c>
      <c r="N16094" t="s">
        <v>56482</v>
      </c>
      <c r="O16094" t="s">
        <v>56483</v>
      </c>
      <c r="P16094" t="s">
        <v>992</v>
      </c>
      <c r="Q16094">
        <v>0</v>
      </c>
      <c r="R16094">
        <v>0</v>
      </c>
      <c r="S16094">
        <v>0</v>
      </c>
      <c r="T16094" t="s">
        <v>56484</v>
      </c>
    </row>
    <row r="16095" spans="1:25" customFormat="1" ht="15" x14ac:dyDescent="0.25">
      <c r="A16095" t="s">
        <v>24</v>
      </c>
      <c r="B16095" t="s">
        <v>56473</v>
      </c>
      <c r="C16095" t="str">
        <f>"A0064749"</f>
        <v>A0064749</v>
      </c>
      <c r="D16095" t="s">
        <v>56485</v>
      </c>
      <c r="E16095" t="s">
        <v>56486</v>
      </c>
      <c r="F16095" t="s">
        <v>53756</v>
      </c>
      <c r="G16095" t="s">
        <v>47</v>
      </c>
      <c r="H16095">
        <v>97224</v>
      </c>
      <c r="I16095" t="s">
        <v>30</v>
      </c>
      <c r="J16095" t="s">
        <v>56476</v>
      </c>
      <c r="K16095" t="s">
        <v>163</v>
      </c>
      <c r="P16095" t="s">
        <v>992</v>
      </c>
      <c r="Q16095">
        <v>0</v>
      </c>
      <c r="R16095">
        <v>0</v>
      </c>
      <c r="S16095">
        <v>0</v>
      </c>
      <c r="T16095" t="s">
        <v>56487</v>
      </c>
    </row>
    <row r="16096" spans="1:25" customFormat="1" ht="15" x14ac:dyDescent="0.25">
      <c r="A16096" t="s">
        <v>24</v>
      </c>
      <c r="B16096" t="s">
        <v>56488</v>
      </c>
      <c r="C16096" t="str">
        <f>"A0069422"</f>
        <v>A0069422</v>
      </c>
      <c r="D16096" t="s">
        <v>56489</v>
      </c>
      <c r="E16096" t="s">
        <v>56490</v>
      </c>
      <c r="F16096" t="s">
        <v>56491</v>
      </c>
      <c r="G16096" t="s">
        <v>123</v>
      </c>
      <c r="H16096">
        <v>21012</v>
      </c>
      <c r="I16096" t="s">
        <v>30</v>
      </c>
      <c r="J16096" t="s">
        <v>2415</v>
      </c>
      <c r="K16096" t="s">
        <v>179</v>
      </c>
      <c r="P16096" t="s">
        <v>6426</v>
      </c>
      <c r="Q16096">
        <v>1</v>
      </c>
      <c r="R16096">
        <v>0</v>
      </c>
      <c r="S16096">
        <v>0</v>
      </c>
      <c r="T16096" t="s">
        <v>56492</v>
      </c>
    </row>
    <row r="16097" spans="1:20" customFormat="1" ht="15" x14ac:dyDescent="0.25">
      <c r="A16097" t="s">
        <v>24</v>
      </c>
      <c r="B16097" t="s">
        <v>2360</v>
      </c>
      <c r="C16097" t="str">
        <f>"CL0996"</f>
        <v>CL0996</v>
      </c>
      <c r="D16097" t="s">
        <v>56493</v>
      </c>
      <c r="E16097" t="s">
        <v>56494</v>
      </c>
      <c r="F16097" t="s">
        <v>1564</v>
      </c>
      <c r="G16097" t="s">
        <v>52</v>
      </c>
      <c r="H16097">
        <v>77059</v>
      </c>
      <c r="I16097" t="s">
        <v>30</v>
      </c>
      <c r="J16097" t="s">
        <v>178</v>
      </c>
      <c r="K16097" t="s">
        <v>55688</v>
      </c>
      <c r="N16097" t="s">
        <v>56495</v>
      </c>
      <c r="P16097" t="s">
        <v>992</v>
      </c>
      <c r="Q16097">
        <v>1</v>
      </c>
      <c r="R16097">
        <v>0</v>
      </c>
      <c r="S16097">
        <v>0</v>
      </c>
      <c r="T16097" t="s">
        <v>56496</v>
      </c>
    </row>
    <row r="16098" spans="1:20" customFormat="1" ht="15" x14ac:dyDescent="0.25">
      <c r="A16098" t="s">
        <v>24</v>
      </c>
      <c r="B16098" t="s">
        <v>1156</v>
      </c>
      <c r="C16098" t="str">
        <f>"A0083503"</f>
        <v>A0083503</v>
      </c>
      <c r="D16098" t="s">
        <v>56497</v>
      </c>
      <c r="E16098" t="s">
        <v>56498</v>
      </c>
      <c r="F16098" t="s">
        <v>1159</v>
      </c>
      <c r="G16098" t="s">
        <v>58</v>
      </c>
      <c r="H16098">
        <v>29577</v>
      </c>
      <c r="I16098" t="s">
        <v>30</v>
      </c>
      <c r="J16098" t="s">
        <v>2544</v>
      </c>
      <c r="K16098" t="s">
        <v>163</v>
      </c>
      <c r="N16098" t="s">
        <v>56499</v>
      </c>
      <c r="Q16098">
        <v>0</v>
      </c>
      <c r="R16098">
        <v>252</v>
      </c>
      <c r="S16098">
        <v>0</v>
      </c>
      <c r="T16098" t="s">
        <v>56500</v>
      </c>
    </row>
    <row r="16099" spans="1:20" customFormat="1" ht="15" x14ac:dyDescent="0.25">
      <c r="A16099" t="s">
        <v>24</v>
      </c>
      <c r="B16099" t="s">
        <v>2360</v>
      </c>
      <c r="C16099" t="str">
        <f>"SC160"</f>
        <v>SC160</v>
      </c>
      <c r="D16099" t="s">
        <v>56501</v>
      </c>
      <c r="E16099" t="s">
        <v>56502</v>
      </c>
      <c r="F16099" t="s">
        <v>6430</v>
      </c>
      <c r="G16099" t="s">
        <v>52</v>
      </c>
      <c r="H16099">
        <v>76704</v>
      </c>
      <c r="I16099" t="s">
        <v>30</v>
      </c>
      <c r="J16099" t="s">
        <v>2558</v>
      </c>
      <c r="K16099" t="s">
        <v>2566</v>
      </c>
      <c r="N16099" t="s">
        <v>56503</v>
      </c>
      <c r="Q16099">
        <v>0</v>
      </c>
      <c r="R16099">
        <v>170</v>
      </c>
      <c r="S16099">
        <v>0</v>
      </c>
      <c r="T16099" t="s">
        <v>56504</v>
      </c>
    </row>
    <row r="16100" spans="1:20" customFormat="1" ht="15" x14ac:dyDescent="0.25">
      <c r="A16100" t="s">
        <v>24</v>
      </c>
      <c r="B16100" t="s">
        <v>56505</v>
      </c>
      <c r="C16100" t="str">
        <f>"A0084376"</f>
        <v>A0084376</v>
      </c>
      <c r="D16100" t="s">
        <v>56506</v>
      </c>
      <c r="E16100" t="s">
        <v>56507</v>
      </c>
      <c r="F16100" t="s">
        <v>19203</v>
      </c>
      <c r="G16100" t="s">
        <v>1170</v>
      </c>
      <c r="H16100">
        <v>71301</v>
      </c>
      <c r="I16100" t="s">
        <v>30</v>
      </c>
      <c r="J16100" t="s">
        <v>31</v>
      </c>
      <c r="K16100" t="s">
        <v>710</v>
      </c>
      <c r="N16100" t="s">
        <v>56508</v>
      </c>
      <c r="O16100" t="s">
        <v>56509</v>
      </c>
      <c r="Q16100">
        <v>0</v>
      </c>
      <c r="R16100">
        <v>101</v>
      </c>
      <c r="S16100">
        <v>0</v>
      </c>
      <c r="T16100" t="s">
        <v>56510</v>
      </c>
    </row>
    <row r="16101" spans="1:20" customFormat="1" ht="15" x14ac:dyDescent="0.25">
      <c r="A16101" t="s">
        <v>24</v>
      </c>
      <c r="B16101" t="s">
        <v>56511</v>
      </c>
      <c r="C16101" t="str">
        <f>"A0098467"</f>
        <v>A0098467</v>
      </c>
      <c r="D16101" t="s">
        <v>56512</v>
      </c>
      <c r="E16101" t="s">
        <v>56513</v>
      </c>
      <c r="F16101" t="s">
        <v>3358</v>
      </c>
      <c r="G16101" t="s">
        <v>65</v>
      </c>
      <c r="H16101">
        <v>45701</v>
      </c>
      <c r="I16101" t="s">
        <v>30</v>
      </c>
      <c r="J16101" t="s">
        <v>31</v>
      </c>
      <c r="K16101" t="s">
        <v>710</v>
      </c>
      <c r="N16101" t="s">
        <v>56514</v>
      </c>
      <c r="Q16101">
        <v>0</v>
      </c>
      <c r="R16101">
        <v>99</v>
      </c>
      <c r="S16101">
        <v>0</v>
      </c>
      <c r="T16101" t="s">
        <v>56515</v>
      </c>
    </row>
    <row r="16102" spans="1:20" customFormat="1" ht="15" x14ac:dyDescent="0.25">
      <c r="A16102" t="s">
        <v>24</v>
      </c>
      <c r="B16102" t="s">
        <v>7602</v>
      </c>
      <c r="C16102" t="str">
        <f>"A0095499"</f>
        <v>A0095499</v>
      </c>
      <c r="D16102" t="s">
        <v>56516</v>
      </c>
      <c r="E16102" t="s">
        <v>56517</v>
      </c>
      <c r="F16102" t="s">
        <v>56518</v>
      </c>
      <c r="G16102" t="s">
        <v>52</v>
      </c>
      <c r="H16102">
        <v>79720</v>
      </c>
      <c r="I16102" t="s">
        <v>30</v>
      </c>
      <c r="J16102" t="s">
        <v>31</v>
      </c>
      <c r="K16102" t="s">
        <v>710</v>
      </c>
      <c r="Q16102">
        <v>0</v>
      </c>
      <c r="R16102">
        <v>75</v>
      </c>
      <c r="S16102">
        <v>0</v>
      </c>
      <c r="T16102" t="s">
        <v>56519</v>
      </c>
    </row>
    <row r="16103" spans="1:20" customFormat="1" ht="15" x14ac:dyDescent="0.25">
      <c r="A16103" t="s">
        <v>24</v>
      </c>
      <c r="B16103" t="s">
        <v>56520</v>
      </c>
      <c r="C16103" t="str">
        <f>"A0060406"</f>
        <v>A0060406</v>
      </c>
      <c r="D16103" t="s">
        <v>56521</v>
      </c>
      <c r="E16103" t="s">
        <v>56522</v>
      </c>
      <c r="F16103" t="s">
        <v>56523</v>
      </c>
      <c r="G16103" t="s">
        <v>289</v>
      </c>
      <c r="H16103">
        <v>60803</v>
      </c>
      <c r="I16103" t="s">
        <v>30</v>
      </c>
      <c r="J16103" t="s">
        <v>31</v>
      </c>
      <c r="K16103" t="s">
        <v>710</v>
      </c>
      <c r="N16103" t="s">
        <v>56524</v>
      </c>
      <c r="Q16103">
        <v>0</v>
      </c>
      <c r="R16103">
        <v>100</v>
      </c>
      <c r="S16103">
        <v>0</v>
      </c>
      <c r="T16103" t="s">
        <v>56525</v>
      </c>
    </row>
    <row r="16104" spans="1:20" customFormat="1" ht="15" x14ac:dyDescent="0.25">
      <c r="A16104" t="s">
        <v>24</v>
      </c>
      <c r="B16104" t="s">
        <v>56526</v>
      </c>
      <c r="C16104" t="str">
        <f>"A0060325"</f>
        <v>A0060325</v>
      </c>
      <c r="D16104" t="s">
        <v>56527</v>
      </c>
      <c r="E16104" t="s">
        <v>56528</v>
      </c>
      <c r="F16104" t="s">
        <v>1889</v>
      </c>
      <c r="G16104" t="s">
        <v>81</v>
      </c>
      <c r="H16104">
        <v>33178</v>
      </c>
      <c r="I16104" t="s">
        <v>30</v>
      </c>
      <c r="J16104" t="s">
        <v>31</v>
      </c>
      <c r="K16104" t="s">
        <v>710</v>
      </c>
      <c r="N16104" t="s">
        <v>56529</v>
      </c>
      <c r="Q16104">
        <v>0</v>
      </c>
      <c r="R16104">
        <v>92</v>
      </c>
      <c r="S16104">
        <v>0</v>
      </c>
      <c r="T16104" t="s">
        <v>56530</v>
      </c>
    </row>
    <row r="16105" spans="1:20" customFormat="1" ht="15" x14ac:dyDescent="0.25">
      <c r="A16105" t="s">
        <v>24</v>
      </c>
      <c r="B16105" t="s">
        <v>56531</v>
      </c>
      <c r="C16105" t="str">
        <f>"A0084968"</f>
        <v>A0084968</v>
      </c>
      <c r="D16105" t="s">
        <v>56532</v>
      </c>
      <c r="E16105" t="s">
        <v>56533</v>
      </c>
      <c r="F16105" t="s">
        <v>1439</v>
      </c>
      <c r="G16105" t="s">
        <v>110</v>
      </c>
      <c r="H16105">
        <v>92101</v>
      </c>
      <c r="I16105" t="s">
        <v>30</v>
      </c>
      <c r="J16105" t="s">
        <v>31</v>
      </c>
      <c r="K16105" t="s">
        <v>710</v>
      </c>
      <c r="N16105" t="s">
        <v>56534</v>
      </c>
      <c r="Q16105">
        <v>0</v>
      </c>
      <c r="R16105">
        <v>67</v>
      </c>
      <c r="S16105">
        <v>0</v>
      </c>
      <c r="T16105" t="s">
        <v>56535</v>
      </c>
    </row>
    <row r="16106" spans="1:20" customFormat="1" ht="15" x14ac:dyDescent="0.25">
      <c r="A16106" t="s">
        <v>24</v>
      </c>
      <c r="B16106" t="s">
        <v>10129</v>
      </c>
      <c r="C16106" t="str">
        <f>"A0096513"</f>
        <v>A0096513</v>
      </c>
      <c r="D16106" t="s">
        <v>56536</v>
      </c>
      <c r="E16106" t="s">
        <v>56537</v>
      </c>
      <c r="F16106" t="s">
        <v>56538</v>
      </c>
      <c r="G16106" t="s">
        <v>71</v>
      </c>
      <c r="H16106">
        <v>53186</v>
      </c>
      <c r="I16106" t="s">
        <v>30</v>
      </c>
      <c r="J16106" t="s">
        <v>31</v>
      </c>
      <c r="K16106" t="s">
        <v>710</v>
      </c>
      <c r="N16106" t="s">
        <v>56539</v>
      </c>
      <c r="O16106" t="s">
        <v>14311</v>
      </c>
      <c r="Q16106">
        <v>0</v>
      </c>
      <c r="R16106">
        <v>91</v>
      </c>
      <c r="S16106">
        <v>0</v>
      </c>
      <c r="T16106" t="s">
        <v>56540</v>
      </c>
    </row>
    <row r="16107" spans="1:20" customFormat="1" ht="15" x14ac:dyDescent="0.25">
      <c r="A16107" t="s">
        <v>24</v>
      </c>
      <c r="B16107" t="s">
        <v>2005</v>
      </c>
      <c r="C16107" t="str">
        <f>"A0058329"</f>
        <v>A0058329</v>
      </c>
      <c r="D16107" t="s">
        <v>56541</v>
      </c>
      <c r="E16107" t="s">
        <v>56542</v>
      </c>
      <c r="F16107" t="s">
        <v>12348</v>
      </c>
      <c r="G16107" t="s">
        <v>880</v>
      </c>
      <c r="H16107">
        <v>37922</v>
      </c>
      <c r="I16107" t="s">
        <v>30</v>
      </c>
      <c r="J16107" t="s">
        <v>31</v>
      </c>
      <c r="K16107" t="s">
        <v>710</v>
      </c>
      <c r="N16107" t="s">
        <v>56543</v>
      </c>
      <c r="Q16107">
        <v>0</v>
      </c>
      <c r="R16107">
        <v>122</v>
      </c>
      <c r="S16107">
        <v>0</v>
      </c>
      <c r="T16107" t="s">
        <v>56544</v>
      </c>
    </row>
    <row r="16108" spans="1:20" customFormat="1" ht="15" x14ac:dyDescent="0.25">
      <c r="A16108" t="s">
        <v>24</v>
      </c>
      <c r="B16108" t="s">
        <v>36062</v>
      </c>
      <c r="C16108" t="str">
        <f>"A0151455"</f>
        <v>A0151455</v>
      </c>
      <c r="D16108" t="s">
        <v>56545</v>
      </c>
      <c r="E16108" t="s">
        <v>56546</v>
      </c>
      <c r="F16108" t="s">
        <v>56547</v>
      </c>
      <c r="G16108" t="s">
        <v>85</v>
      </c>
      <c r="H16108">
        <v>71923</v>
      </c>
      <c r="I16108" t="s">
        <v>30</v>
      </c>
      <c r="J16108" t="s">
        <v>31</v>
      </c>
      <c r="K16108" t="s">
        <v>710</v>
      </c>
      <c r="N16108" t="s">
        <v>36066</v>
      </c>
      <c r="Q16108">
        <v>0</v>
      </c>
      <c r="R16108">
        <v>53</v>
      </c>
      <c r="S16108">
        <v>0</v>
      </c>
      <c r="T16108" t="s">
        <v>56548</v>
      </c>
    </row>
    <row r="16109" spans="1:20" customFormat="1" ht="15" x14ac:dyDescent="0.25">
      <c r="A16109" t="s">
        <v>24</v>
      </c>
      <c r="B16109" t="s">
        <v>1473</v>
      </c>
      <c r="C16109" t="str">
        <f>"A0151709"</f>
        <v>A0151709</v>
      </c>
      <c r="D16109" t="s">
        <v>56549</v>
      </c>
      <c r="E16109" t="s">
        <v>56550</v>
      </c>
      <c r="F16109" t="s">
        <v>1153</v>
      </c>
      <c r="G16109" t="s">
        <v>528</v>
      </c>
      <c r="H16109">
        <v>19713</v>
      </c>
      <c r="I16109" t="s">
        <v>30</v>
      </c>
      <c r="J16109" t="s">
        <v>31</v>
      </c>
      <c r="K16109" t="s">
        <v>710</v>
      </c>
      <c r="N16109" t="s">
        <v>56551</v>
      </c>
      <c r="Q16109">
        <v>0</v>
      </c>
      <c r="R16109">
        <v>82</v>
      </c>
      <c r="S16109">
        <v>0</v>
      </c>
      <c r="T16109" t="s">
        <v>56552</v>
      </c>
    </row>
    <row r="16110" spans="1:20" customFormat="1" ht="15" x14ac:dyDescent="0.25">
      <c r="A16110" t="s">
        <v>24</v>
      </c>
      <c r="B16110" t="s">
        <v>56553</v>
      </c>
      <c r="C16110" t="str">
        <f>"A0098046"</f>
        <v>A0098046</v>
      </c>
      <c r="D16110" t="s">
        <v>56554</v>
      </c>
      <c r="E16110" t="s">
        <v>56555</v>
      </c>
      <c r="F16110" t="s">
        <v>4998</v>
      </c>
      <c r="G16110" t="s">
        <v>110</v>
      </c>
      <c r="H16110">
        <v>93561</v>
      </c>
      <c r="I16110" t="s">
        <v>30</v>
      </c>
      <c r="J16110" t="s">
        <v>31</v>
      </c>
      <c r="K16110" t="s">
        <v>710</v>
      </c>
      <c r="N16110" t="s">
        <v>56556</v>
      </c>
      <c r="O16110" t="s">
        <v>56557</v>
      </c>
      <c r="Q16110">
        <v>0</v>
      </c>
      <c r="R16110">
        <v>106</v>
      </c>
      <c r="S16110">
        <v>0</v>
      </c>
      <c r="T16110" t="s">
        <v>56558</v>
      </c>
    </row>
    <row r="16111" spans="1:20" customFormat="1" ht="15" x14ac:dyDescent="0.25">
      <c r="A16111" t="s">
        <v>24</v>
      </c>
      <c r="B16111" t="s">
        <v>7339</v>
      </c>
      <c r="C16111" t="str">
        <f>"A0151676"</f>
        <v>A0151676</v>
      </c>
      <c r="D16111" t="s">
        <v>56559</v>
      </c>
      <c r="E16111" t="s">
        <v>56560</v>
      </c>
      <c r="F16111" t="s">
        <v>56561</v>
      </c>
      <c r="G16111" t="s">
        <v>99</v>
      </c>
      <c r="H16111">
        <v>12110</v>
      </c>
      <c r="I16111" t="s">
        <v>30</v>
      </c>
      <c r="J16111" t="s">
        <v>31</v>
      </c>
      <c r="K16111" t="s">
        <v>710</v>
      </c>
      <c r="N16111" t="s">
        <v>56562</v>
      </c>
      <c r="Q16111">
        <v>0</v>
      </c>
      <c r="R16111">
        <v>96</v>
      </c>
      <c r="S16111">
        <v>0</v>
      </c>
      <c r="T16111" t="s">
        <v>56563</v>
      </c>
    </row>
    <row r="16112" spans="1:20" customFormat="1" ht="15" x14ac:dyDescent="0.25">
      <c r="A16112" t="s">
        <v>24</v>
      </c>
      <c r="B16112" t="s">
        <v>6647</v>
      </c>
      <c r="C16112" t="str">
        <f>"A0056668"</f>
        <v>A0056668</v>
      </c>
      <c r="D16112" t="s">
        <v>75296</v>
      </c>
      <c r="E16112" t="s">
        <v>75297</v>
      </c>
      <c r="F16112" t="s">
        <v>2971</v>
      </c>
      <c r="G16112" t="s">
        <v>880</v>
      </c>
      <c r="H16112">
        <v>37203</v>
      </c>
      <c r="I16112" t="s">
        <v>30</v>
      </c>
      <c r="J16112" t="s">
        <v>162</v>
      </c>
      <c r="K16112" t="s">
        <v>6651</v>
      </c>
      <c r="N16112" t="s">
        <v>75298</v>
      </c>
      <c r="O16112" t="s">
        <v>6652</v>
      </c>
      <c r="Q16112">
        <v>0</v>
      </c>
      <c r="R16112">
        <v>340</v>
      </c>
      <c r="S16112">
        <v>0</v>
      </c>
      <c r="T16112" t="s">
        <v>75299</v>
      </c>
    </row>
    <row r="16113" spans="1:25" customFormat="1" ht="15" x14ac:dyDescent="0.25">
      <c r="A16113" t="s">
        <v>24</v>
      </c>
      <c r="B16113" t="s">
        <v>6647</v>
      </c>
      <c r="C16113" t="str">
        <f>"A0056578"</f>
        <v>A0056578</v>
      </c>
      <c r="D16113" t="s">
        <v>75300</v>
      </c>
      <c r="E16113" t="s">
        <v>75301</v>
      </c>
      <c r="F16113" t="s">
        <v>796</v>
      </c>
      <c r="G16113" t="s">
        <v>197</v>
      </c>
      <c r="H16113">
        <v>85750</v>
      </c>
      <c r="I16113" t="s">
        <v>30</v>
      </c>
      <c r="J16113" t="s">
        <v>162</v>
      </c>
      <c r="K16113" t="s">
        <v>6651</v>
      </c>
      <c r="N16113" t="s">
        <v>6652</v>
      </c>
      <c r="O16113" t="s">
        <v>57719</v>
      </c>
      <c r="Q16113">
        <v>0</v>
      </c>
      <c r="R16113">
        <v>398</v>
      </c>
      <c r="S16113">
        <v>0</v>
      </c>
      <c r="T16113" t="s">
        <v>75302</v>
      </c>
    </row>
    <row r="16114" spans="1:25" customFormat="1" ht="15" x14ac:dyDescent="0.25">
      <c r="A16114" t="s">
        <v>24</v>
      </c>
      <c r="B16114" t="s">
        <v>1156</v>
      </c>
      <c r="C16114" t="str">
        <f>"A0075275"</f>
        <v>A0075275</v>
      </c>
      <c r="D16114" t="s">
        <v>75312</v>
      </c>
      <c r="E16114" t="s">
        <v>54762</v>
      </c>
      <c r="F16114" t="s">
        <v>1159</v>
      </c>
      <c r="G16114" t="s">
        <v>58</v>
      </c>
      <c r="H16114">
        <v>29572</v>
      </c>
      <c r="I16114" t="s">
        <v>30</v>
      </c>
      <c r="J16114" t="s">
        <v>162</v>
      </c>
      <c r="K16114" t="s">
        <v>163</v>
      </c>
      <c r="N16114" t="s">
        <v>75313</v>
      </c>
      <c r="O16114" t="s">
        <v>75314</v>
      </c>
      <c r="Q16114">
        <v>0</v>
      </c>
      <c r="R16114">
        <v>287</v>
      </c>
      <c r="S16114">
        <v>0</v>
      </c>
      <c r="T16114" t="s">
        <v>75315</v>
      </c>
    </row>
    <row r="16115" spans="1:25" customFormat="1" ht="15" x14ac:dyDescent="0.25">
      <c r="A16115" t="s">
        <v>24</v>
      </c>
      <c r="B16115" t="s">
        <v>33369</v>
      </c>
      <c r="C16115" t="str">
        <f>"A0092176"</f>
        <v>A0092176</v>
      </c>
      <c r="D16115" t="s">
        <v>75350</v>
      </c>
      <c r="E16115" t="s">
        <v>75351</v>
      </c>
      <c r="F16115" t="s">
        <v>11556</v>
      </c>
      <c r="G16115" t="s">
        <v>52</v>
      </c>
      <c r="H16115">
        <v>78852</v>
      </c>
      <c r="I16115" t="s">
        <v>30</v>
      </c>
      <c r="J16115" t="s">
        <v>162</v>
      </c>
      <c r="K16115" t="s">
        <v>163</v>
      </c>
      <c r="N16115" t="s">
        <v>75352</v>
      </c>
      <c r="Q16115">
        <v>0</v>
      </c>
      <c r="R16115">
        <v>249</v>
      </c>
      <c r="S16115">
        <v>0</v>
      </c>
      <c r="T16115" t="s">
        <v>75353</v>
      </c>
    </row>
    <row r="16116" spans="1:25" customFormat="1" ht="15" x14ac:dyDescent="0.25">
      <c r="A16116" t="s">
        <v>24</v>
      </c>
      <c r="B16116" t="s">
        <v>1583</v>
      </c>
      <c r="C16116" t="str">
        <f>"38A44"</f>
        <v>38A44</v>
      </c>
      <c r="D16116" t="s">
        <v>56584</v>
      </c>
      <c r="E16116" t="s">
        <v>56585</v>
      </c>
      <c r="F16116" t="s">
        <v>1570</v>
      </c>
      <c r="G16116" t="s">
        <v>81</v>
      </c>
      <c r="H16116">
        <v>33316</v>
      </c>
      <c r="I16116" t="s">
        <v>30</v>
      </c>
      <c r="J16116" t="s">
        <v>2544</v>
      </c>
      <c r="K16116" t="s">
        <v>36059</v>
      </c>
      <c r="N16116" t="s">
        <v>56586</v>
      </c>
      <c r="O16116" t="s">
        <v>56587</v>
      </c>
      <c r="Q16116">
        <v>0</v>
      </c>
      <c r="R16116">
        <v>202</v>
      </c>
      <c r="S16116">
        <v>0</v>
      </c>
      <c r="T16116" t="s">
        <v>56588</v>
      </c>
    </row>
    <row r="16117" spans="1:25" customFormat="1" ht="15" x14ac:dyDescent="0.25">
      <c r="A16117" t="s">
        <v>24</v>
      </c>
      <c r="B16117" t="s">
        <v>1577</v>
      </c>
      <c r="C16117" t="str">
        <f>"A0098543"</f>
        <v>A0098543</v>
      </c>
      <c r="D16117" t="s">
        <v>56589</v>
      </c>
      <c r="E16117" t="s">
        <v>56590</v>
      </c>
      <c r="F16117" t="s">
        <v>56591</v>
      </c>
      <c r="G16117" t="s">
        <v>1706</v>
      </c>
      <c r="H16117">
        <v>36542</v>
      </c>
      <c r="I16117" t="s">
        <v>30</v>
      </c>
      <c r="J16117" t="s">
        <v>31</v>
      </c>
      <c r="K16117" t="s">
        <v>163</v>
      </c>
      <c r="N16117" t="s">
        <v>14317</v>
      </c>
      <c r="O16117" t="s">
        <v>56592</v>
      </c>
      <c r="Q16117">
        <v>0</v>
      </c>
      <c r="R16117">
        <v>97</v>
      </c>
      <c r="S16117">
        <v>0</v>
      </c>
      <c r="T16117" t="s">
        <v>56593</v>
      </c>
    </row>
    <row r="16118" spans="1:25" customFormat="1" ht="15" x14ac:dyDescent="0.25">
      <c r="A16118" t="s">
        <v>24</v>
      </c>
      <c r="B16118" t="s">
        <v>75354</v>
      </c>
      <c r="C16118" t="str">
        <f>"A0154147"</f>
        <v>A0154147</v>
      </c>
      <c r="D16118" t="s">
        <v>75355</v>
      </c>
      <c r="E16118" t="s">
        <v>75356</v>
      </c>
      <c r="F16118" t="s">
        <v>1519</v>
      </c>
      <c r="G16118" t="s">
        <v>110</v>
      </c>
      <c r="H16118">
        <v>90049</v>
      </c>
      <c r="I16118" t="s">
        <v>30</v>
      </c>
      <c r="J16118" t="s">
        <v>162</v>
      </c>
      <c r="K16118" t="s">
        <v>163</v>
      </c>
      <c r="Q16118">
        <v>0</v>
      </c>
      <c r="R16118">
        <v>162</v>
      </c>
      <c r="S16118">
        <v>0</v>
      </c>
      <c r="T16118" t="s">
        <v>75357</v>
      </c>
    </row>
    <row r="16119" spans="1:25" customFormat="1" ht="15" x14ac:dyDescent="0.25">
      <c r="A16119" t="s">
        <v>24</v>
      </c>
      <c r="B16119" t="s">
        <v>6667</v>
      </c>
      <c r="C16119" t="str">
        <f>"CL1740"</f>
        <v>CL1740</v>
      </c>
      <c r="D16119" t="s">
        <v>56599</v>
      </c>
      <c r="E16119" t="s">
        <v>56600</v>
      </c>
      <c r="F16119" t="s">
        <v>2094</v>
      </c>
      <c r="G16119" t="s">
        <v>52</v>
      </c>
      <c r="H16119">
        <v>75261</v>
      </c>
      <c r="I16119" t="s">
        <v>30</v>
      </c>
      <c r="J16119" t="s">
        <v>178</v>
      </c>
      <c r="K16119" t="s">
        <v>6667</v>
      </c>
      <c r="N16119" t="s">
        <v>56601</v>
      </c>
      <c r="P16119" t="s">
        <v>6426</v>
      </c>
      <c r="Q16119">
        <v>2</v>
      </c>
      <c r="R16119">
        <v>0</v>
      </c>
      <c r="S16119">
        <v>0</v>
      </c>
      <c r="T16119" t="s">
        <v>56602</v>
      </c>
    </row>
    <row r="16120" spans="1:25" customFormat="1" ht="15" x14ac:dyDescent="0.25">
      <c r="A16120" t="s">
        <v>24</v>
      </c>
      <c r="B16120" t="s">
        <v>2360</v>
      </c>
      <c r="C16120" t="str">
        <f>"CL1682"</f>
        <v>CL1682</v>
      </c>
      <c r="D16120" t="s">
        <v>56603</v>
      </c>
      <c r="E16120" t="s">
        <v>56604</v>
      </c>
      <c r="F16120" t="s">
        <v>56605</v>
      </c>
      <c r="G16120" t="s">
        <v>846</v>
      </c>
      <c r="H16120">
        <v>30024</v>
      </c>
      <c r="I16120" t="s">
        <v>30</v>
      </c>
      <c r="J16120" t="s">
        <v>2415</v>
      </c>
      <c r="K16120" t="s">
        <v>55688</v>
      </c>
      <c r="N16120" t="s">
        <v>56606</v>
      </c>
      <c r="P16120" t="s">
        <v>6426</v>
      </c>
      <c r="Q16120">
        <v>1</v>
      </c>
      <c r="R16120">
        <v>0</v>
      </c>
      <c r="S16120">
        <v>0</v>
      </c>
      <c r="T16120" t="s">
        <v>56607</v>
      </c>
    </row>
    <row r="16121" spans="1:25" customFormat="1" ht="15" x14ac:dyDescent="0.25">
      <c r="A16121" t="s">
        <v>24</v>
      </c>
      <c r="B16121" t="s">
        <v>2360</v>
      </c>
      <c r="C16121" t="str">
        <f>"CL01688"</f>
        <v>CL01688</v>
      </c>
      <c r="D16121" t="s">
        <v>56608</v>
      </c>
      <c r="E16121" t="s">
        <v>56609</v>
      </c>
      <c r="F16121" t="s">
        <v>220</v>
      </c>
      <c r="G16121" t="s">
        <v>221</v>
      </c>
      <c r="H16121">
        <v>89135</v>
      </c>
      <c r="I16121" t="s">
        <v>30</v>
      </c>
      <c r="J16121" t="s">
        <v>2415</v>
      </c>
      <c r="K16121" t="s">
        <v>56092</v>
      </c>
      <c r="N16121" t="s">
        <v>56610</v>
      </c>
      <c r="O16121" t="s">
        <v>56611</v>
      </c>
      <c r="P16121" t="s">
        <v>6426</v>
      </c>
      <c r="Q16121">
        <v>1</v>
      </c>
      <c r="R16121">
        <v>0</v>
      </c>
      <c r="S16121">
        <v>0</v>
      </c>
      <c r="T16121" t="s">
        <v>56612</v>
      </c>
    </row>
    <row r="16122" spans="1:25" customFormat="1" ht="15" x14ac:dyDescent="0.25">
      <c r="A16122" t="s">
        <v>24</v>
      </c>
      <c r="B16122" t="s">
        <v>56613</v>
      </c>
      <c r="C16122" t="str">
        <f>"A0053422"</f>
        <v>A0053422</v>
      </c>
      <c r="D16122" t="s">
        <v>56614</v>
      </c>
      <c r="E16122" t="s">
        <v>56615</v>
      </c>
      <c r="F16122" t="s">
        <v>56616</v>
      </c>
      <c r="G16122" t="s">
        <v>1170</v>
      </c>
      <c r="H16122">
        <v>70471</v>
      </c>
      <c r="I16122" t="s">
        <v>30</v>
      </c>
      <c r="J16122" t="s">
        <v>178</v>
      </c>
      <c r="K16122" t="s">
        <v>163</v>
      </c>
      <c r="N16122" t="s">
        <v>56617</v>
      </c>
      <c r="O16122" t="s">
        <v>56618</v>
      </c>
      <c r="P16122" t="s">
        <v>992</v>
      </c>
      <c r="Q16122">
        <v>2</v>
      </c>
      <c r="R16122">
        <v>0</v>
      </c>
      <c r="S16122">
        <v>0</v>
      </c>
      <c r="T16122" t="s">
        <v>56619</v>
      </c>
    </row>
    <row r="16123" spans="1:25" customFormat="1" ht="15" x14ac:dyDescent="0.25">
      <c r="A16123" t="s">
        <v>24</v>
      </c>
      <c r="B16123" t="s">
        <v>3221</v>
      </c>
      <c r="C16123" t="str">
        <f>"A0087894"</f>
        <v>A0087894</v>
      </c>
      <c r="D16123" t="s">
        <v>75364</v>
      </c>
      <c r="E16123" t="s">
        <v>75365</v>
      </c>
      <c r="F16123" t="s">
        <v>3560</v>
      </c>
      <c r="G16123" t="s">
        <v>846</v>
      </c>
      <c r="H16123">
        <v>31217</v>
      </c>
      <c r="I16123" t="s">
        <v>30</v>
      </c>
      <c r="J16123" t="s">
        <v>162</v>
      </c>
      <c r="K16123" t="s">
        <v>1490</v>
      </c>
      <c r="N16123" t="s">
        <v>75366</v>
      </c>
      <c r="Q16123">
        <v>0</v>
      </c>
      <c r="R16123">
        <v>220</v>
      </c>
      <c r="S16123">
        <v>0</v>
      </c>
      <c r="T16123" t="s">
        <v>75367</v>
      </c>
    </row>
    <row r="16124" spans="1:25" customFormat="1" ht="15" x14ac:dyDescent="0.25">
      <c r="A16124" t="s">
        <v>24</v>
      </c>
      <c r="B16124" t="s">
        <v>1528</v>
      </c>
      <c r="C16124" t="str">
        <f>"A0090538"</f>
        <v>A0090538</v>
      </c>
      <c r="D16124" t="s">
        <v>56625</v>
      </c>
      <c r="E16124" t="s">
        <v>56626</v>
      </c>
      <c r="F16124" t="s">
        <v>2900</v>
      </c>
      <c r="G16124" t="s">
        <v>76</v>
      </c>
      <c r="H16124">
        <v>98121</v>
      </c>
      <c r="I16124" t="s">
        <v>30</v>
      </c>
      <c r="J16124" t="s">
        <v>7657</v>
      </c>
      <c r="K16124" t="s">
        <v>14957</v>
      </c>
      <c r="N16124" t="s">
        <v>56627</v>
      </c>
      <c r="Q16124">
        <v>0</v>
      </c>
      <c r="R16124">
        <v>0</v>
      </c>
      <c r="S16124">
        <v>0</v>
      </c>
      <c r="T16124" t="s">
        <v>56628</v>
      </c>
    </row>
    <row r="16125" spans="1:25" customFormat="1" ht="15" x14ac:dyDescent="0.25">
      <c r="A16125" t="s">
        <v>24</v>
      </c>
      <c r="B16125" t="s">
        <v>56629</v>
      </c>
      <c r="C16125" t="str">
        <f>"A0049601"</f>
        <v>A0049601</v>
      </c>
      <c r="D16125" t="s">
        <v>56630</v>
      </c>
      <c r="E16125" t="s">
        <v>56631</v>
      </c>
      <c r="F16125" t="s">
        <v>56632</v>
      </c>
      <c r="G16125" t="s">
        <v>103</v>
      </c>
      <c r="H16125">
        <v>19465</v>
      </c>
      <c r="I16125" t="s">
        <v>30</v>
      </c>
      <c r="J16125" t="s">
        <v>178</v>
      </c>
      <c r="K16125" t="s">
        <v>179</v>
      </c>
      <c r="N16125" t="s">
        <v>56633</v>
      </c>
      <c r="O16125" t="s">
        <v>56634</v>
      </c>
      <c r="Q16125">
        <v>0</v>
      </c>
      <c r="R16125">
        <v>18</v>
      </c>
      <c r="S16125">
        <v>0</v>
      </c>
      <c r="T16125" t="s">
        <v>56635</v>
      </c>
    </row>
    <row r="16126" spans="1:25" x14ac:dyDescent="0.25">
      <c r="A16126" s="5" t="s">
        <v>24</v>
      </c>
      <c r="B16126" s="5" t="s">
        <v>56277</v>
      </c>
      <c r="C16126" s="5" t="str">
        <f>"34220"</f>
        <v>34220</v>
      </c>
      <c r="D16126" s="5" t="s">
        <v>75368</v>
      </c>
      <c r="E16126" s="5" t="s">
        <v>75369</v>
      </c>
      <c r="F16126" s="5" t="s">
        <v>75370</v>
      </c>
      <c r="G16126" s="5" t="s">
        <v>71</v>
      </c>
      <c r="H16126" s="5">
        <v>53562</v>
      </c>
      <c r="I16126" s="5" t="s">
        <v>30</v>
      </c>
      <c r="J16126" s="5" t="s">
        <v>162</v>
      </c>
      <c r="K16126" s="5" t="s">
        <v>1490</v>
      </c>
      <c r="L16126" s="5"/>
      <c r="M16126" s="5"/>
      <c r="N16126" s="5" t="s">
        <v>75371</v>
      </c>
      <c r="O16126" s="5"/>
      <c r="P16126" s="5"/>
      <c r="Q16126" s="5">
        <v>0</v>
      </c>
      <c r="R16126" s="5">
        <v>292</v>
      </c>
      <c r="S16126" s="5">
        <v>0</v>
      </c>
      <c r="T16126" s="5" t="s">
        <v>75372</v>
      </c>
      <c r="U16126" s="5"/>
      <c r="V16126" s="5"/>
      <c r="W16126" s="5"/>
      <c r="X16126" s="5"/>
      <c r="Y16126" s="5"/>
    </row>
    <row r="16127" spans="1:25" x14ac:dyDescent="0.25">
      <c r="A16127" s="5" t="s">
        <v>24</v>
      </c>
      <c r="B16127" s="5" t="s">
        <v>8523</v>
      </c>
      <c r="C16127" s="5" t="str">
        <f>"A0054189"</f>
        <v>A0054189</v>
      </c>
      <c r="D16127" s="5" t="s">
        <v>75381</v>
      </c>
      <c r="E16127" s="5" t="s">
        <v>75382</v>
      </c>
      <c r="F16127" s="5" t="s">
        <v>1731</v>
      </c>
      <c r="G16127" s="5" t="s">
        <v>52</v>
      </c>
      <c r="H16127" s="5">
        <v>75201</v>
      </c>
      <c r="I16127" s="5" t="s">
        <v>30</v>
      </c>
      <c r="J16127" s="5" t="s">
        <v>162</v>
      </c>
      <c r="K16127" s="5" t="s">
        <v>3855</v>
      </c>
      <c r="L16127" s="5"/>
      <c r="M16127" s="5"/>
      <c r="N16127" s="5" t="s">
        <v>75383</v>
      </c>
      <c r="O16127" s="5" t="s">
        <v>75384</v>
      </c>
      <c r="P16127" s="5"/>
      <c r="Q16127" s="5">
        <v>0</v>
      </c>
      <c r="R16127" s="5">
        <v>325</v>
      </c>
      <c r="S16127" s="5">
        <v>0</v>
      </c>
      <c r="T16127" s="5" t="s">
        <v>75385</v>
      </c>
      <c r="U16127" s="5"/>
      <c r="V16127" s="5"/>
      <c r="W16127" s="5"/>
      <c r="X16127" s="5"/>
      <c r="Y16127" s="5"/>
    </row>
    <row r="16128" spans="1:25" customFormat="1" ht="15" x14ac:dyDescent="0.25">
      <c r="A16128" t="s">
        <v>24</v>
      </c>
      <c r="B16128" t="s">
        <v>2360</v>
      </c>
      <c r="C16128" t="str">
        <f>"A0049537"</f>
        <v>A0049537</v>
      </c>
      <c r="D16128" t="s">
        <v>56647</v>
      </c>
      <c r="E16128" t="s">
        <v>56648</v>
      </c>
      <c r="F16128" t="s">
        <v>12888</v>
      </c>
      <c r="G16128" t="s">
        <v>29</v>
      </c>
      <c r="H16128">
        <v>20147</v>
      </c>
      <c r="I16128" t="s">
        <v>30</v>
      </c>
      <c r="J16128" t="s">
        <v>178</v>
      </c>
      <c r="K16128" t="s">
        <v>56092</v>
      </c>
      <c r="N16128" t="s">
        <v>56649</v>
      </c>
      <c r="P16128" t="s">
        <v>992</v>
      </c>
      <c r="Q16128">
        <v>1</v>
      </c>
      <c r="R16128">
        <v>0</v>
      </c>
      <c r="S16128">
        <v>0</v>
      </c>
      <c r="T16128" t="s">
        <v>56650</v>
      </c>
    </row>
    <row r="16129" spans="1:25" customFormat="1" ht="15" x14ac:dyDescent="0.25">
      <c r="A16129" t="s">
        <v>24</v>
      </c>
      <c r="B16129" t="s">
        <v>33426</v>
      </c>
      <c r="C16129" t="str">
        <f>"A0152904"</f>
        <v>A0152904</v>
      </c>
      <c r="D16129" t="s">
        <v>56651</v>
      </c>
      <c r="E16129" t="s">
        <v>56652</v>
      </c>
      <c r="F16129" t="s">
        <v>271</v>
      </c>
      <c r="G16129" t="s">
        <v>103</v>
      </c>
      <c r="H16129">
        <v>15222</v>
      </c>
      <c r="I16129" t="s">
        <v>30</v>
      </c>
      <c r="J16129" t="s">
        <v>1004</v>
      </c>
      <c r="K16129" t="s">
        <v>163</v>
      </c>
      <c r="N16129" t="s">
        <v>56653</v>
      </c>
      <c r="O16129" t="s">
        <v>56654</v>
      </c>
      <c r="Q16129">
        <v>0</v>
      </c>
      <c r="R16129">
        <v>0</v>
      </c>
      <c r="S16129">
        <v>0</v>
      </c>
      <c r="T16129" t="s">
        <v>56655</v>
      </c>
    </row>
    <row r="16130" spans="1:25" customFormat="1" ht="15" x14ac:dyDescent="0.25">
      <c r="A16130" t="s">
        <v>24</v>
      </c>
      <c r="B16130" t="s">
        <v>56656</v>
      </c>
      <c r="C16130" t="str">
        <f>"A0049996"</f>
        <v>A0049996</v>
      </c>
      <c r="D16130" t="s">
        <v>56656</v>
      </c>
      <c r="E16130" t="s">
        <v>56657</v>
      </c>
      <c r="F16130" t="s">
        <v>56658</v>
      </c>
      <c r="G16130" t="s">
        <v>103</v>
      </c>
      <c r="H16130">
        <v>17543</v>
      </c>
      <c r="I16130" t="s">
        <v>30</v>
      </c>
      <c r="J16130" t="s">
        <v>178</v>
      </c>
      <c r="K16130" t="s">
        <v>179</v>
      </c>
      <c r="N16130" t="s">
        <v>56659</v>
      </c>
      <c r="O16130" t="s">
        <v>56660</v>
      </c>
      <c r="P16130" t="s">
        <v>992</v>
      </c>
      <c r="Q16130">
        <v>1</v>
      </c>
      <c r="R16130">
        <v>0</v>
      </c>
      <c r="S16130">
        <v>0</v>
      </c>
      <c r="T16130" t="s">
        <v>56661</v>
      </c>
    </row>
    <row r="16131" spans="1:25" customFormat="1" ht="15" x14ac:dyDescent="0.25">
      <c r="A16131" t="s">
        <v>24</v>
      </c>
      <c r="B16131" t="s">
        <v>56662</v>
      </c>
      <c r="C16131" t="str">
        <f>"A0051275"</f>
        <v>A0051275</v>
      </c>
      <c r="D16131" t="s">
        <v>56663</v>
      </c>
      <c r="E16131" t="s">
        <v>56664</v>
      </c>
      <c r="F16131" t="s">
        <v>56665</v>
      </c>
      <c r="G16131" t="s">
        <v>110</v>
      </c>
      <c r="H16131">
        <v>94530</v>
      </c>
      <c r="I16131" t="s">
        <v>30</v>
      </c>
      <c r="J16131" t="s">
        <v>178</v>
      </c>
      <c r="K16131" t="s">
        <v>179</v>
      </c>
      <c r="N16131" t="s">
        <v>56666</v>
      </c>
      <c r="Q16131">
        <v>0</v>
      </c>
      <c r="R16131">
        <v>0</v>
      </c>
      <c r="S16131">
        <v>0</v>
      </c>
      <c r="T16131" t="s">
        <v>56667</v>
      </c>
    </row>
    <row r="16132" spans="1:25" customFormat="1" ht="15" x14ac:dyDescent="0.25">
      <c r="A16132" t="s">
        <v>24</v>
      </c>
      <c r="B16132" t="s">
        <v>56668</v>
      </c>
      <c r="C16132" t="str">
        <f>"A0049421"</f>
        <v>A0049421</v>
      </c>
      <c r="D16132" t="s">
        <v>56669</v>
      </c>
      <c r="E16132" t="s">
        <v>56670</v>
      </c>
      <c r="F16132" t="s">
        <v>1809</v>
      </c>
      <c r="G16132" t="s">
        <v>58</v>
      </c>
      <c r="H16132">
        <v>29909</v>
      </c>
      <c r="I16132" t="s">
        <v>30</v>
      </c>
      <c r="J16132" t="s">
        <v>178</v>
      </c>
      <c r="K16132" t="s">
        <v>179</v>
      </c>
      <c r="N16132" t="s">
        <v>56671</v>
      </c>
      <c r="O16132" t="s">
        <v>56672</v>
      </c>
      <c r="Q16132">
        <v>0</v>
      </c>
      <c r="R16132">
        <v>24</v>
      </c>
      <c r="S16132">
        <v>0</v>
      </c>
      <c r="T16132" t="s">
        <v>56673</v>
      </c>
    </row>
    <row r="16133" spans="1:25" customFormat="1" ht="15" x14ac:dyDescent="0.25">
      <c r="A16133" t="s">
        <v>24</v>
      </c>
      <c r="B16133" t="s">
        <v>2360</v>
      </c>
      <c r="C16133" t="str">
        <f>"A0094508"</f>
        <v>A0094508</v>
      </c>
      <c r="D16133" t="s">
        <v>56674</v>
      </c>
      <c r="E16133" t="s">
        <v>56675</v>
      </c>
      <c r="F16133" t="s">
        <v>14187</v>
      </c>
      <c r="G16133" t="s">
        <v>214</v>
      </c>
      <c r="H16133">
        <v>27006</v>
      </c>
      <c r="I16133" t="s">
        <v>30</v>
      </c>
      <c r="J16133" t="s">
        <v>178</v>
      </c>
      <c r="K16133" t="s">
        <v>56676</v>
      </c>
      <c r="N16133" t="s">
        <v>56677</v>
      </c>
      <c r="O16133" t="s">
        <v>56678</v>
      </c>
      <c r="Q16133">
        <v>2</v>
      </c>
      <c r="R16133">
        <v>0</v>
      </c>
      <c r="S16133">
        <v>0</v>
      </c>
      <c r="T16133" t="s">
        <v>56679</v>
      </c>
    </row>
    <row r="16134" spans="1:25" customFormat="1" ht="15" x14ac:dyDescent="0.25">
      <c r="A16134" t="s">
        <v>24</v>
      </c>
      <c r="B16134" t="s">
        <v>2360</v>
      </c>
      <c r="C16134" t="str">
        <f>"A0052541"</f>
        <v>A0052541</v>
      </c>
      <c r="D16134" t="s">
        <v>56680</v>
      </c>
      <c r="E16134" t="s">
        <v>56681</v>
      </c>
      <c r="F16134" t="s">
        <v>2978</v>
      </c>
      <c r="G16134" t="s">
        <v>110</v>
      </c>
      <c r="H16134">
        <v>92128</v>
      </c>
      <c r="I16134" t="s">
        <v>30</v>
      </c>
      <c r="J16134" t="s">
        <v>178</v>
      </c>
      <c r="K16134" t="s">
        <v>55688</v>
      </c>
      <c r="N16134" t="s">
        <v>56682</v>
      </c>
      <c r="Q16134">
        <v>1</v>
      </c>
      <c r="R16134">
        <v>0</v>
      </c>
      <c r="S16134">
        <v>0</v>
      </c>
      <c r="T16134" t="s">
        <v>56683</v>
      </c>
    </row>
    <row r="16135" spans="1:25" x14ac:dyDescent="0.25">
      <c r="A16135" s="5" t="s">
        <v>24</v>
      </c>
      <c r="B16135" s="5" t="s">
        <v>8771</v>
      </c>
      <c r="C16135" s="5" t="str">
        <f>"A0094699"</f>
        <v>A0094699</v>
      </c>
      <c r="D16135" s="5" t="s">
        <v>75400</v>
      </c>
      <c r="E16135" s="5" t="s">
        <v>75401</v>
      </c>
      <c r="F16135" s="5" t="s">
        <v>33663</v>
      </c>
      <c r="G16135" s="5" t="s">
        <v>110</v>
      </c>
      <c r="H16135" s="5">
        <v>90028</v>
      </c>
      <c r="I16135" s="5" t="s">
        <v>30</v>
      </c>
      <c r="J16135" s="5" t="s">
        <v>162</v>
      </c>
      <c r="K16135" s="5" t="s">
        <v>75400</v>
      </c>
      <c r="L16135" s="5"/>
      <c r="M16135" s="5"/>
      <c r="N16135" s="5" t="s">
        <v>75402</v>
      </c>
      <c r="O16135" s="5"/>
      <c r="P16135" s="5"/>
      <c r="Q16135" s="5">
        <v>0</v>
      </c>
      <c r="R16135" s="5">
        <v>70</v>
      </c>
      <c r="S16135" s="5">
        <v>0</v>
      </c>
      <c r="T16135" s="5" t="s">
        <v>75403</v>
      </c>
      <c r="U16135" s="5"/>
      <c r="V16135" s="5"/>
      <c r="W16135" s="5"/>
      <c r="X16135" s="5"/>
      <c r="Y16135" s="5"/>
    </row>
    <row r="16136" spans="1:25" customFormat="1" ht="15" x14ac:dyDescent="0.25">
      <c r="A16136" t="s">
        <v>24</v>
      </c>
      <c r="B16136" t="s">
        <v>56488</v>
      </c>
      <c r="C16136" t="str">
        <f>"A0051233"</f>
        <v>A0051233</v>
      </c>
      <c r="D16136" t="s">
        <v>56690</v>
      </c>
      <c r="E16136" t="s">
        <v>56691</v>
      </c>
      <c r="F16136" t="s">
        <v>1195</v>
      </c>
      <c r="G16136" t="s">
        <v>52</v>
      </c>
      <c r="H16136">
        <v>78628</v>
      </c>
      <c r="I16136" t="s">
        <v>30</v>
      </c>
      <c r="J16136" t="s">
        <v>178</v>
      </c>
      <c r="K16136" t="s">
        <v>179</v>
      </c>
      <c r="N16136" t="s">
        <v>56692</v>
      </c>
      <c r="Q16136">
        <v>1</v>
      </c>
      <c r="R16136">
        <v>0</v>
      </c>
      <c r="S16136">
        <v>0</v>
      </c>
      <c r="T16136" t="s">
        <v>56693</v>
      </c>
    </row>
    <row r="16137" spans="1:25" customFormat="1" ht="15" x14ac:dyDescent="0.25">
      <c r="A16137" t="s">
        <v>24</v>
      </c>
      <c r="B16137" t="s">
        <v>2340</v>
      </c>
      <c r="C16137" t="str">
        <f>"A0093676"</f>
        <v>A0093676</v>
      </c>
      <c r="D16137" t="s">
        <v>1259</v>
      </c>
      <c r="E16137" t="s">
        <v>56694</v>
      </c>
      <c r="F16137" t="s">
        <v>8882</v>
      </c>
      <c r="G16137" t="s">
        <v>103</v>
      </c>
      <c r="H16137">
        <v>17111</v>
      </c>
      <c r="I16137" t="s">
        <v>30</v>
      </c>
      <c r="J16137" t="s">
        <v>31</v>
      </c>
      <c r="K16137" t="s">
        <v>1243</v>
      </c>
      <c r="N16137" t="s">
        <v>56695</v>
      </c>
      <c r="O16137" t="s">
        <v>56696</v>
      </c>
      <c r="Q16137">
        <v>0</v>
      </c>
      <c r="R16137">
        <v>120</v>
      </c>
      <c r="S16137">
        <v>0</v>
      </c>
      <c r="T16137" t="s">
        <v>56697</v>
      </c>
    </row>
    <row r="16138" spans="1:25" customFormat="1" ht="15" x14ac:dyDescent="0.25">
      <c r="A16138" t="s">
        <v>24</v>
      </c>
      <c r="B16138" t="s">
        <v>2011</v>
      </c>
      <c r="C16138" t="str">
        <f>"HY09598"</f>
        <v>HY09598</v>
      </c>
      <c r="D16138" t="s">
        <v>75404</v>
      </c>
      <c r="E16138" t="s">
        <v>75405</v>
      </c>
      <c r="F16138" t="s">
        <v>2978</v>
      </c>
      <c r="G16138" t="s">
        <v>110</v>
      </c>
      <c r="H16138">
        <v>92101</v>
      </c>
      <c r="I16138" t="s">
        <v>30</v>
      </c>
      <c r="J16138" t="s">
        <v>162</v>
      </c>
      <c r="K16138" t="s">
        <v>66947</v>
      </c>
      <c r="N16138" t="s">
        <v>75406</v>
      </c>
      <c r="O16138" t="s">
        <v>74153</v>
      </c>
      <c r="P16138" t="s">
        <v>6426</v>
      </c>
      <c r="Q16138">
        <v>0</v>
      </c>
      <c r="R16138">
        <v>1625</v>
      </c>
      <c r="S16138">
        <v>0</v>
      </c>
      <c r="T16138" t="s">
        <v>75407</v>
      </c>
    </row>
    <row r="16139" spans="1:25" customFormat="1" ht="15" x14ac:dyDescent="0.25">
      <c r="A16139" t="s">
        <v>24</v>
      </c>
      <c r="B16139" t="s">
        <v>814</v>
      </c>
      <c r="C16139" t="str">
        <f>"A0098148"</f>
        <v>A0098148</v>
      </c>
      <c r="D16139" t="s">
        <v>75459</v>
      </c>
      <c r="E16139" t="s">
        <v>75460</v>
      </c>
      <c r="F16139" t="s">
        <v>33663</v>
      </c>
      <c r="G16139" t="s">
        <v>81</v>
      </c>
      <c r="H16139">
        <v>33019</v>
      </c>
      <c r="I16139" t="s">
        <v>30</v>
      </c>
      <c r="J16139" t="s">
        <v>162</v>
      </c>
      <c r="K16139" t="s">
        <v>163</v>
      </c>
      <c r="N16139" t="s">
        <v>75461</v>
      </c>
      <c r="Q16139">
        <v>0</v>
      </c>
      <c r="R16139">
        <v>349</v>
      </c>
      <c r="S16139">
        <v>0</v>
      </c>
      <c r="T16139" t="s">
        <v>75462</v>
      </c>
    </row>
    <row r="16140" spans="1:25" customFormat="1" ht="15" x14ac:dyDescent="0.25">
      <c r="A16140" t="s">
        <v>24</v>
      </c>
      <c r="B16140" t="s">
        <v>814</v>
      </c>
      <c r="C16140" t="str">
        <f>"A0155471"</f>
        <v>A0155471</v>
      </c>
      <c r="D16140" t="s">
        <v>75463</v>
      </c>
      <c r="E16140" t="s">
        <v>75464</v>
      </c>
      <c r="F16140" t="s">
        <v>2971</v>
      </c>
      <c r="G16140" t="s">
        <v>880</v>
      </c>
      <c r="H16140">
        <v>37203</v>
      </c>
      <c r="I16140" t="s">
        <v>30</v>
      </c>
      <c r="J16140" t="s">
        <v>162</v>
      </c>
      <c r="K16140" t="s">
        <v>4581</v>
      </c>
      <c r="N16140" t="s">
        <v>75465</v>
      </c>
      <c r="Q16140">
        <v>0</v>
      </c>
      <c r="R16140">
        <v>217</v>
      </c>
      <c r="S16140">
        <v>0</v>
      </c>
      <c r="T16140" t="s">
        <v>75466</v>
      </c>
    </row>
    <row r="16141" spans="1:25" customFormat="1" ht="15" x14ac:dyDescent="0.25">
      <c r="A16141" t="s">
        <v>24</v>
      </c>
      <c r="B16141" t="s">
        <v>814</v>
      </c>
      <c r="C16141" t="str">
        <f>"A0164301"</f>
        <v>A0164301</v>
      </c>
      <c r="D16141" t="s">
        <v>75467</v>
      </c>
      <c r="E16141" t="s">
        <v>75468</v>
      </c>
      <c r="F16141" t="s">
        <v>58598</v>
      </c>
      <c r="G16141" t="s">
        <v>81</v>
      </c>
      <c r="H16141">
        <v>34747</v>
      </c>
      <c r="I16141" t="s">
        <v>30</v>
      </c>
      <c r="J16141" t="s">
        <v>162</v>
      </c>
      <c r="K16141" t="s">
        <v>163</v>
      </c>
      <c r="N16141" t="s">
        <v>75469</v>
      </c>
      <c r="O16141" t="s">
        <v>75470</v>
      </c>
      <c r="Q16141">
        <v>0</v>
      </c>
      <c r="R16141">
        <v>186</v>
      </c>
      <c r="S16141">
        <v>0</v>
      </c>
      <c r="T16141" t="s">
        <v>75471</v>
      </c>
    </row>
    <row r="16142" spans="1:25" customFormat="1" ht="15" x14ac:dyDescent="0.25">
      <c r="A16142" t="s">
        <v>24</v>
      </c>
      <c r="B16142" t="s">
        <v>799</v>
      </c>
      <c r="C16142" t="str">
        <f>"A0100195"</f>
        <v>A0100195</v>
      </c>
      <c r="D16142" t="s">
        <v>75477</v>
      </c>
      <c r="E16142" t="s">
        <v>75478</v>
      </c>
      <c r="F16142" t="s">
        <v>5123</v>
      </c>
      <c r="G16142" t="s">
        <v>110</v>
      </c>
      <c r="H16142">
        <v>95051</v>
      </c>
      <c r="I16142" t="s">
        <v>30</v>
      </c>
      <c r="J16142" t="s">
        <v>162</v>
      </c>
      <c r="K16142" t="s">
        <v>163</v>
      </c>
      <c r="N16142" t="s">
        <v>75479</v>
      </c>
      <c r="O16142" t="s">
        <v>75480</v>
      </c>
      <c r="Q16142">
        <v>0</v>
      </c>
      <c r="R16142">
        <v>111</v>
      </c>
      <c r="S16142">
        <v>0</v>
      </c>
      <c r="T16142" t="s">
        <v>75481</v>
      </c>
    </row>
    <row r="16143" spans="1:25" customFormat="1" ht="15" x14ac:dyDescent="0.25">
      <c r="A16143" t="s">
        <v>24</v>
      </c>
      <c r="B16143" t="s">
        <v>12991</v>
      </c>
      <c r="C16143" t="str">
        <f>"A0158370"</f>
        <v>A0158370</v>
      </c>
      <c r="D16143" t="s">
        <v>75493</v>
      </c>
      <c r="E16143" t="s">
        <v>75494</v>
      </c>
      <c r="F16143" t="s">
        <v>4467</v>
      </c>
      <c r="G16143" t="s">
        <v>289</v>
      </c>
      <c r="H16143">
        <v>61602</v>
      </c>
      <c r="I16143" t="s">
        <v>30</v>
      </c>
      <c r="J16143" t="s">
        <v>162</v>
      </c>
      <c r="K16143" t="s">
        <v>163</v>
      </c>
      <c r="N16143" t="s">
        <v>75495</v>
      </c>
      <c r="Q16143">
        <v>0</v>
      </c>
      <c r="R16143">
        <v>111</v>
      </c>
      <c r="S16143">
        <v>0</v>
      </c>
      <c r="T16143" t="s">
        <v>75496</v>
      </c>
    </row>
    <row r="16144" spans="1:25" customFormat="1" ht="15" x14ac:dyDescent="0.25">
      <c r="A16144" t="s">
        <v>24</v>
      </c>
      <c r="B16144" t="s">
        <v>56277</v>
      </c>
      <c r="C16144" t="str">
        <f>"SF01044"</f>
        <v>SF01044</v>
      </c>
      <c r="D16144" t="s">
        <v>75501</v>
      </c>
      <c r="E16144" t="s">
        <v>75502</v>
      </c>
      <c r="F16144" t="s">
        <v>34900</v>
      </c>
      <c r="G16144" t="s">
        <v>1587</v>
      </c>
      <c r="H16144">
        <v>87109</v>
      </c>
      <c r="I16144" t="s">
        <v>30</v>
      </c>
      <c r="J16144" t="s">
        <v>162</v>
      </c>
      <c r="K16144" t="s">
        <v>1490</v>
      </c>
      <c r="N16144" t="s">
        <v>75503</v>
      </c>
      <c r="O16144" t="s">
        <v>13794</v>
      </c>
      <c r="Q16144">
        <v>0</v>
      </c>
      <c r="R16144">
        <v>310</v>
      </c>
      <c r="S16144">
        <v>0</v>
      </c>
      <c r="T16144" t="s">
        <v>75504</v>
      </c>
    </row>
    <row r="16145" spans="1:20" customFormat="1" ht="15" x14ac:dyDescent="0.25">
      <c r="A16145" t="s">
        <v>24</v>
      </c>
      <c r="B16145" t="s">
        <v>60077</v>
      </c>
      <c r="C16145" t="str">
        <f>"34167"</f>
        <v>34167</v>
      </c>
      <c r="D16145" t="s">
        <v>75505</v>
      </c>
      <c r="E16145" t="s">
        <v>75506</v>
      </c>
      <c r="F16145" t="s">
        <v>60327</v>
      </c>
      <c r="G16145" t="s">
        <v>117</v>
      </c>
      <c r="H16145">
        <v>48341</v>
      </c>
      <c r="I16145" t="s">
        <v>30</v>
      </c>
      <c r="J16145" t="s">
        <v>162</v>
      </c>
      <c r="K16145" t="s">
        <v>1490</v>
      </c>
      <c r="N16145" t="s">
        <v>75507</v>
      </c>
      <c r="O16145" t="s">
        <v>75508</v>
      </c>
      <c r="Q16145">
        <v>0</v>
      </c>
      <c r="R16145">
        <v>290</v>
      </c>
      <c r="S16145">
        <v>0</v>
      </c>
      <c r="T16145" t="s">
        <v>75509</v>
      </c>
    </row>
    <row r="16146" spans="1:20" customFormat="1" ht="15" x14ac:dyDescent="0.25">
      <c r="A16146" t="s">
        <v>24</v>
      </c>
      <c r="B16146" t="s">
        <v>675</v>
      </c>
      <c r="C16146" t="str">
        <f>"33721"</f>
        <v>33721</v>
      </c>
      <c r="D16146" t="s">
        <v>75510</v>
      </c>
      <c r="E16146" t="s">
        <v>75511</v>
      </c>
      <c r="F16146" t="s">
        <v>313</v>
      </c>
      <c r="G16146" t="s">
        <v>314</v>
      </c>
      <c r="H16146">
        <v>20005</v>
      </c>
      <c r="I16146" t="s">
        <v>30</v>
      </c>
      <c r="J16146" t="s">
        <v>162</v>
      </c>
      <c r="K16146" t="s">
        <v>1490</v>
      </c>
      <c r="N16146" t="s">
        <v>75512</v>
      </c>
      <c r="Q16146">
        <v>0</v>
      </c>
      <c r="R16146">
        <v>459</v>
      </c>
      <c r="S16146">
        <v>0</v>
      </c>
      <c r="T16146" t="s">
        <v>75513</v>
      </c>
    </row>
    <row r="16147" spans="1:20" customFormat="1" ht="15" x14ac:dyDescent="0.25">
      <c r="A16147" t="s">
        <v>24</v>
      </c>
      <c r="B16147" t="s">
        <v>2812</v>
      </c>
      <c r="C16147" t="str">
        <f>"33735"</f>
        <v>33735</v>
      </c>
      <c r="D16147" t="s">
        <v>75514</v>
      </c>
      <c r="E16147" t="s">
        <v>75515</v>
      </c>
      <c r="F16147" t="s">
        <v>845</v>
      </c>
      <c r="G16147" t="s">
        <v>846</v>
      </c>
      <c r="H16147">
        <v>30346</v>
      </c>
      <c r="I16147" t="s">
        <v>30</v>
      </c>
      <c r="J16147" t="s">
        <v>162</v>
      </c>
      <c r="K16147" t="s">
        <v>1490</v>
      </c>
      <c r="N16147" t="s">
        <v>75516</v>
      </c>
      <c r="Q16147">
        <v>0</v>
      </c>
      <c r="R16147">
        <v>400</v>
      </c>
      <c r="S16147">
        <v>0</v>
      </c>
      <c r="T16147" t="s">
        <v>75517</v>
      </c>
    </row>
    <row r="16148" spans="1:20" customFormat="1" ht="15" x14ac:dyDescent="0.25">
      <c r="A16148" t="s">
        <v>24</v>
      </c>
      <c r="B16148" t="s">
        <v>675</v>
      </c>
      <c r="C16148" t="str">
        <f>"337W7"</f>
        <v>337W7</v>
      </c>
      <c r="D16148" t="s">
        <v>75518</v>
      </c>
      <c r="E16148" t="s">
        <v>75519</v>
      </c>
      <c r="F16148" t="s">
        <v>7455</v>
      </c>
      <c r="G16148" t="s">
        <v>123</v>
      </c>
      <c r="H16148">
        <v>21202</v>
      </c>
      <c r="I16148" t="s">
        <v>30</v>
      </c>
      <c r="J16148" t="s">
        <v>162</v>
      </c>
      <c r="K16148" t="s">
        <v>1490</v>
      </c>
      <c r="N16148" t="s">
        <v>75520</v>
      </c>
      <c r="Q16148">
        <v>0</v>
      </c>
      <c r="R16148">
        <v>753</v>
      </c>
      <c r="S16148">
        <v>0</v>
      </c>
      <c r="T16148" t="s">
        <v>75521</v>
      </c>
    </row>
    <row r="16149" spans="1:20" customFormat="1" ht="15" x14ac:dyDescent="0.25">
      <c r="A16149" t="s">
        <v>24</v>
      </c>
      <c r="B16149" t="s">
        <v>675</v>
      </c>
      <c r="C16149" t="str">
        <f>"A0067937"</f>
        <v>A0067937</v>
      </c>
      <c r="D16149" t="s">
        <v>75522</v>
      </c>
      <c r="E16149" t="s">
        <v>75523</v>
      </c>
      <c r="F16149" t="s">
        <v>33577</v>
      </c>
      <c r="G16149" t="s">
        <v>123</v>
      </c>
      <c r="H16149">
        <v>20852</v>
      </c>
      <c r="I16149" t="s">
        <v>30</v>
      </c>
      <c r="J16149" t="s">
        <v>162</v>
      </c>
      <c r="K16149" t="s">
        <v>1490</v>
      </c>
      <c r="N16149" t="s">
        <v>75524</v>
      </c>
      <c r="Q16149">
        <v>0</v>
      </c>
      <c r="R16149">
        <v>498</v>
      </c>
      <c r="S16149">
        <v>0</v>
      </c>
      <c r="T16149" t="s">
        <v>75525</v>
      </c>
    </row>
    <row r="16150" spans="1:20" customFormat="1" ht="15" x14ac:dyDescent="0.25">
      <c r="A16150" t="s">
        <v>24</v>
      </c>
      <c r="B16150" t="s">
        <v>675</v>
      </c>
      <c r="C16150" t="str">
        <f>"337P9"</f>
        <v>337P9</v>
      </c>
      <c r="D16150" t="s">
        <v>75526</v>
      </c>
      <c r="E16150" t="s">
        <v>75527</v>
      </c>
      <c r="F16150" t="s">
        <v>6609</v>
      </c>
      <c r="G16150" t="s">
        <v>123</v>
      </c>
      <c r="H16150">
        <v>20817</v>
      </c>
      <c r="I16150" t="s">
        <v>30</v>
      </c>
      <c r="J16150" t="s">
        <v>162</v>
      </c>
      <c r="K16150" t="s">
        <v>1490</v>
      </c>
      <c r="N16150" t="s">
        <v>75528</v>
      </c>
      <c r="Q16150">
        <v>0</v>
      </c>
      <c r="R16150">
        <v>274</v>
      </c>
      <c r="S16150">
        <v>0</v>
      </c>
      <c r="T16150" t="s">
        <v>75529</v>
      </c>
    </row>
    <row r="16151" spans="1:20" customFormat="1" ht="15" x14ac:dyDescent="0.25">
      <c r="A16151" t="s">
        <v>24</v>
      </c>
      <c r="B16151" t="s">
        <v>13679</v>
      </c>
      <c r="C16151" t="str">
        <f>"34158"</f>
        <v>34158</v>
      </c>
      <c r="D16151" t="s">
        <v>75530</v>
      </c>
      <c r="E16151" t="s">
        <v>75531</v>
      </c>
      <c r="F16151" t="s">
        <v>6972</v>
      </c>
      <c r="G16151" t="s">
        <v>81</v>
      </c>
      <c r="H16151">
        <v>33486</v>
      </c>
      <c r="I16151" t="s">
        <v>30</v>
      </c>
      <c r="J16151" t="s">
        <v>162</v>
      </c>
      <c r="K16151" t="s">
        <v>1490</v>
      </c>
      <c r="N16151" t="s">
        <v>75532</v>
      </c>
      <c r="O16151" t="s">
        <v>75533</v>
      </c>
      <c r="Q16151">
        <v>0</v>
      </c>
      <c r="R16151">
        <v>256</v>
      </c>
      <c r="S16151">
        <v>0</v>
      </c>
      <c r="T16151" t="s">
        <v>75534</v>
      </c>
    </row>
    <row r="16152" spans="1:20" customFormat="1" ht="15" x14ac:dyDescent="0.25">
      <c r="A16152" t="s">
        <v>24</v>
      </c>
      <c r="B16152" t="s">
        <v>675</v>
      </c>
      <c r="C16152" t="str">
        <f>"33787"</f>
        <v>33787</v>
      </c>
      <c r="D16152" t="s">
        <v>75535</v>
      </c>
      <c r="E16152" t="s">
        <v>75536</v>
      </c>
      <c r="F16152" t="s">
        <v>1208</v>
      </c>
      <c r="G16152" t="s">
        <v>899</v>
      </c>
      <c r="H16152">
        <v>2116</v>
      </c>
      <c r="I16152" t="s">
        <v>30</v>
      </c>
      <c r="J16152" t="s">
        <v>162</v>
      </c>
      <c r="K16152" t="s">
        <v>1490</v>
      </c>
      <c r="N16152" t="s">
        <v>75537</v>
      </c>
      <c r="O16152" t="s">
        <v>75538</v>
      </c>
      <c r="Q16152">
        <v>0</v>
      </c>
      <c r="R16152">
        <v>1147</v>
      </c>
      <c r="S16152">
        <v>0</v>
      </c>
      <c r="T16152" t="s">
        <v>75539</v>
      </c>
    </row>
    <row r="16153" spans="1:20" customFormat="1" ht="15" x14ac:dyDescent="0.25">
      <c r="A16153" t="s">
        <v>24</v>
      </c>
      <c r="B16153" t="s">
        <v>675</v>
      </c>
      <c r="C16153" t="str">
        <f>"33751"</f>
        <v>33751</v>
      </c>
      <c r="D16153" t="s">
        <v>75540</v>
      </c>
      <c r="E16153" t="s">
        <v>75541</v>
      </c>
      <c r="F16153" t="s">
        <v>1208</v>
      </c>
      <c r="G16153" t="s">
        <v>899</v>
      </c>
      <c r="H16153">
        <v>2109</v>
      </c>
      <c r="I16153" t="s">
        <v>30</v>
      </c>
      <c r="J16153" t="s">
        <v>162</v>
      </c>
      <c r="K16153" t="s">
        <v>1490</v>
      </c>
      <c r="N16153" t="s">
        <v>75542</v>
      </c>
      <c r="O16153" t="s">
        <v>75543</v>
      </c>
      <c r="Q16153">
        <v>0</v>
      </c>
      <c r="R16153">
        <v>412</v>
      </c>
      <c r="S16153">
        <v>0</v>
      </c>
      <c r="T16153" t="s">
        <v>75544</v>
      </c>
    </row>
    <row r="16154" spans="1:20" customFormat="1" ht="15" x14ac:dyDescent="0.25">
      <c r="A16154" t="s">
        <v>24</v>
      </c>
      <c r="B16154" t="s">
        <v>8579</v>
      </c>
      <c r="C16154" t="str">
        <f>"34206"</f>
        <v>34206</v>
      </c>
      <c r="D16154" t="s">
        <v>75545</v>
      </c>
      <c r="E16154" t="s">
        <v>75546</v>
      </c>
      <c r="F16154" t="s">
        <v>3891</v>
      </c>
      <c r="G16154" t="s">
        <v>190</v>
      </c>
      <c r="H16154">
        <v>80302</v>
      </c>
      <c r="I16154" t="s">
        <v>30</v>
      </c>
      <c r="J16154" t="s">
        <v>162</v>
      </c>
      <c r="K16154" t="s">
        <v>1490</v>
      </c>
      <c r="N16154" t="s">
        <v>75547</v>
      </c>
      <c r="O16154" t="s">
        <v>75548</v>
      </c>
      <c r="Q16154">
        <v>0</v>
      </c>
      <c r="R16154">
        <v>157</v>
      </c>
      <c r="S16154">
        <v>0</v>
      </c>
      <c r="T16154" t="s">
        <v>75549</v>
      </c>
    </row>
    <row r="16155" spans="1:20" customFormat="1" ht="15" x14ac:dyDescent="0.25">
      <c r="A16155" t="s">
        <v>24</v>
      </c>
      <c r="B16155" t="s">
        <v>675</v>
      </c>
      <c r="C16155" t="str">
        <f>"337W9"</f>
        <v>337W9</v>
      </c>
      <c r="D16155" t="s">
        <v>75550</v>
      </c>
      <c r="E16155" t="s">
        <v>75551</v>
      </c>
      <c r="F16155" t="s">
        <v>67908</v>
      </c>
      <c r="G16155" t="s">
        <v>338</v>
      </c>
      <c r="H16155">
        <v>8807</v>
      </c>
      <c r="I16155" t="s">
        <v>30</v>
      </c>
      <c r="J16155" t="s">
        <v>162</v>
      </c>
      <c r="K16155" t="s">
        <v>1490</v>
      </c>
      <c r="N16155" t="s">
        <v>75552</v>
      </c>
      <c r="O16155" t="s">
        <v>75553</v>
      </c>
      <c r="Q16155">
        <v>0</v>
      </c>
      <c r="R16155">
        <v>347</v>
      </c>
      <c r="S16155">
        <v>0</v>
      </c>
      <c r="T16155" t="s">
        <v>75554</v>
      </c>
    </row>
    <row r="16156" spans="1:20" customFormat="1" ht="15" x14ac:dyDescent="0.25">
      <c r="A16156" t="s">
        <v>24</v>
      </c>
      <c r="B16156" t="s">
        <v>976</v>
      </c>
      <c r="C16156" t="str">
        <f>"A0078409"</f>
        <v>A0078409</v>
      </c>
      <c r="D16156" t="s">
        <v>75555</v>
      </c>
      <c r="E16156" t="s">
        <v>75556</v>
      </c>
      <c r="F16156" t="s">
        <v>72323</v>
      </c>
      <c r="G16156" t="s">
        <v>110</v>
      </c>
      <c r="H16156">
        <v>91505</v>
      </c>
      <c r="I16156" t="s">
        <v>30</v>
      </c>
      <c r="J16156" t="s">
        <v>162</v>
      </c>
      <c r="K16156" t="s">
        <v>1490</v>
      </c>
      <c r="N16156" t="s">
        <v>75557</v>
      </c>
      <c r="O16156" t="s">
        <v>75558</v>
      </c>
      <c r="Q16156">
        <v>0</v>
      </c>
      <c r="R16156">
        <v>488</v>
      </c>
      <c r="S16156">
        <v>0</v>
      </c>
      <c r="T16156" t="s">
        <v>75559</v>
      </c>
    </row>
    <row r="16157" spans="1:20" customFormat="1" ht="15" x14ac:dyDescent="0.25">
      <c r="A16157" t="s">
        <v>24</v>
      </c>
      <c r="B16157" t="s">
        <v>675</v>
      </c>
      <c r="C16157" t="str">
        <f>"34132"</f>
        <v>34132</v>
      </c>
      <c r="D16157" t="s">
        <v>75560</v>
      </c>
      <c r="E16157" t="s">
        <v>75561</v>
      </c>
      <c r="F16157" t="s">
        <v>7455</v>
      </c>
      <c r="G16157" t="s">
        <v>123</v>
      </c>
      <c r="H16157">
        <v>21240</v>
      </c>
      <c r="I16157" t="s">
        <v>30</v>
      </c>
      <c r="J16157" t="s">
        <v>162</v>
      </c>
      <c r="K16157" t="s">
        <v>1490</v>
      </c>
      <c r="N16157" t="s">
        <v>75562</v>
      </c>
      <c r="O16157" t="s">
        <v>75563</v>
      </c>
      <c r="Q16157">
        <v>0</v>
      </c>
      <c r="R16157">
        <v>310</v>
      </c>
      <c r="S16157">
        <v>0</v>
      </c>
      <c r="T16157" t="s">
        <v>75564</v>
      </c>
    </row>
    <row r="16158" spans="1:20" customFormat="1" ht="15" x14ac:dyDescent="0.25">
      <c r="A16158" t="s">
        <v>24</v>
      </c>
      <c r="B16158" t="s">
        <v>13299</v>
      </c>
      <c r="C16158" t="str">
        <f>"A0068285"</f>
        <v>A0068285</v>
      </c>
      <c r="D16158" t="s">
        <v>75579</v>
      </c>
      <c r="E16158" t="s">
        <v>75580</v>
      </c>
      <c r="F16158" t="s">
        <v>5369</v>
      </c>
      <c r="G16158" t="s">
        <v>58</v>
      </c>
      <c r="H16158">
        <v>29403</v>
      </c>
      <c r="I16158" t="s">
        <v>30</v>
      </c>
      <c r="J16158" t="s">
        <v>162</v>
      </c>
      <c r="K16158" t="s">
        <v>1490</v>
      </c>
      <c r="N16158" t="s">
        <v>75581</v>
      </c>
      <c r="O16158" t="s">
        <v>75582</v>
      </c>
      <c r="Q16158">
        <v>0</v>
      </c>
      <c r="R16158">
        <v>341</v>
      </c>
      <c r="S16158">
        <v>0</v>
      </c>
      <c r="T16158" t="s">
        <v>75583</v>
      </c>
    </row>
    <row r="16159" spans="1:20" customFormat="1" ht="15" x14ac:dyDescent="0.25">
      <c r="A16159" t="s">
        <v>24</v>
      </c>
      <c r="B16159" t="s">
        <v>3159</v>
      </c>
      <c r="C16159" t="str">
        <f>"33786"</f>
        <v>33786</v>
      </c>
      <c r="D16159" t="s">
        <v>75584</v>
      </c>
      <c r="E16159" t="s">
        <v>75585</v>
      </c>
      <c r="F16159" t="s">
        <v>5369</v>
      </c>
      <c r="G16159" t="s">
        <v>507</v>
      </c>
      <c r="H16159">
        <v>25301</v>
      </c>
      <c r="I16159" t="s">
        <v>30</v>
      </c>
      <c r="J16159" t="s">
        <v>162</v>
      </c>
      <c r="K16159" t="s">
        <v>1490</v>
      </c>
      <c r="N16159" t="s">
        <v>75586</v>
      </c>
      <c r="Q16159">
        <v>0</v>
      </c>
      <c r="R16159">
        <v>352</v>
      </c>
      <c r="S16159">
        <v>0</v>
      </c>
      <c r="T16159" t="s">
        <v>75587</v>
      </c>
    </row>
    <row r="16160" spans="1:20" customFormat="1" ht="15" x14ac:dyDescent="0.25">
      <c r="A16160" t="s">
        <v>24</v>
      </c>
      <c r="B16160" t="s">
        <v>675</v>
      </c>
      <c r="C16160" t="str">
        <f>"33738"</f>
        <v>33738</v>
      </c>
      <c r="D16160" t="s">
        <v>75588</v>
      </c>
      <c r="E16160" t="s">
        <v>75589</v>
      </c>
      <c r="F16160" t="s">
        <v>716</v>
      </c>
      <c r="G16160" t="s">
        <v>289</v>
      </c>
      <c r="H16160">
        <v>60611</v>
      </c>
      <c r="I16160" t="s">
        <v>30</v>
      </c>
      <c r="J16160" t="s">
        <v>162</v>
      </c>
      <c r="K16160" t="s">
        <v>1490</v>
      </c>
      <c r="N16160" t="s">
        <v>75590</v>
      </c>
      <c r="O16160" t="s">
        <v>75591</v>
      </c>
      <c r="Q16160">
        <v>0</v>
      </c>
      <c r="R16160">
        <v>1200</v>
      </c>
      <c r="S16160">
        <v>0</v>
      </c>
      <c r="T16160" t="s">
        <v>75592</v>
      </c>
    </row>
    <row r="16161" spans="1:20" customFormat="1" ht="15" x14ac:dyDescent="0.25">
      <c r="A16161" t="s">
        <v>24</v>
      </c>
      <c r="B16161" t="s">
        <v>4400</v>
      </c>
      <c r="C16161" t="str">
        <f>"HY09414"</f>
        <v>HY09414</v>
      </c>
      <c r="D16161" t="s">
        <v>75593</v>
      </c>
      <c r="E16161" t="s">
        <v>75594</v>
      </c>
      <c r="F16161" t="s">
        <v>716</v>
      </c>
      <c r="G16161" t="s">
        <v>289</v>
      </c>
      <c r="H16161">
        <v>60607</v>
      </c>
      <c r="I16161" t="s">
        <v>30</v>
      </c>
      <c r="J16161" t="s">
        <v>162</v>
      </c>
      <c r="K16161" t="s">
        <v>1490</v>
      </c>
      <c r="N16161" t="s">
        <v>75595</v>
      </c>
      <c r="Q16161">
        <v>0</v>
      </c>
      <c r="R16161">
        <v>113</v>
      </c>
      <c r="S16161">
        <v>0</v>
      </c>
      <c r="T16161" t="s">
        <v>75596</v>
      </c>
    </row>
    <row r="16162" spans="1:20" customFormat="1" ht="15" x14ac:dyDescent="0.25">
      <c r="A16162" t="s">
        <v>24</v>
      </c>
      <c r="B16162" t="s">
        <v>11188</v>
      </c>
      <c r="C16162" t="str">
        <f>"34100"</f>
        <v>34100</v>
      </c>
      <c r="D16162" t="s">
        <v>75597</v>
      </c>
      <c r="E16162" t="s">
        <v>75598</v>
      </c>
      <c r="F16162" t="s">
        <v>1346</v>
      </c>
      <c r="G16162" t="s">
        <v>880</v>
      </c>
      <c r="H16162">
        <v>37402</v>
      </c>
      <c r="I16162" t="s">
        <v>30</v>
      </c>
      <c r="J16162" t="s">
        <v>162</v>
      </c>
      <c r="K16162" t="s">
        <v>1490</v>
      </c>
      <c r="N16162" t="s">
        <v>75599</v>
      </c>
      <c r="O16162" t="s">
        <v>75600</v>
      </c>
      <c r="Q16162">
        <v>0</v>
      </c>
      <c r="R16162">
        <v>342</v>
      </c>
      <c r="S16162">
        <v>0</v>
      </c>
      <c r="T16162" t="s">
        <v>75601</v>
      </c>
    </row>
    <row r="16163" spans="1:20" customFormat="1" ht="15" hidden="1" x14ac:dyDescent="0.25">
      <c r="A16163" t="s">
        <v>24</v>
      </c>
      <c r="B16163" t="s">
        <v>56113</v>
      </c>
      <c r="C16163" t="str">
        <f>"A0093788"</f>
        <v>A0093788</v>
      </c>
      <c r="D16163" t="s">
        <v>56816</v>
      </c>
      <c r="E16163" t="s">
        <v>56817</v>
      </c>
      <c r="F16163" t="s">
        <v>9107</v>
      </c>
      <c r="G16163" t="s">
        <v>1457</v>
      </c>
      <c r="H16163" t="s">
        <v>56818</v>
      </c>
      <c r="I16163" t="s">
        <v>1459</v>
      </c>
      <c r="J16163" t="s">
        <v>171</v>
      </c>
      <c r="K16163" t="s">
        <v>5354</v>
      </c>
      <c r="N16163" t="s">
        <v>56819</v>
      </c>
      <c r="Q16163">
        <v>0</v>
      </c>
      <c r="R16163">
        <v>100</v>
      </c>
      <c r="S16163">
        <v>0</v>
      </c>
      <c r="T16163" t="s">
        <v>56820</v>
      </c>
    </row>
    <row r="16164" spans="1:20" customFormat="1" ht="15" x14ac:dyDescent="0.25">
      <c r="A16164" t="s">
        <v>24</v>
      </c>
      <c r="B16164" t="s">
        <v>675</v>
      </c>
      <c r="C16164" t="str">
        <f>"33717"</f>
        <v>33717</v>
      </c>
      <c r="D16164" t="s">
        <v>75607</v>
      </c>
      <c r="E16164" t="s">
        <v>75608</v>
      </c>
      <c r="F16164" t="s">
        <v>1131</v>
      </c>
      <c r="G16164" t="s">
        <v>29</v>
      </c>
      <c r="H16164">
        <v>22202</v>
      </c>
      <c r="I16164" t="s">
        <v>30</v>
      </c>
      <c r="J16164" t="s">
        <v>162</v>
      </c>
      <c r="K16164" t="s">
        <v>1490</v>
      </c>
      <c r="N16164" t="s">
        <v>75609</v>
      </c>
      <c r="O16164" t="s">
        <v>75610</v>
      </c>
      <c r="Q16164">
        <v>0</v>
      </c>
      <c r="R16164">
        <v>345</v>
      </c>
      <c r="S16164">
        <v>0</v>
      </c>
      <c r="T16164" t="s">
        <v>75611</v>
      </c>
    </row>
    <row r="16165" spans="1:20" customFormat="1" ht="15" x14ac:dyDescent="0.25">
      <c r="A16165" t="s">
        <v>24</v>
      </c>
      <c r="B16165" t="s">
        <v>675</v>
      </c>
      <c r="C16165" t="str">
        <f>"33783"</f>
        <v>33783</v>
      </c>
      <c r="D16165" t="s">
        <v>75612</v>
      </c>
      <c r="E16165" t="s">
        <v>75613</v>
      </c>
      <c r="F16165" t="s">
        <v>1131</v>
      </c>
      <c r="G16165" t="s">
        <v>29</v>
      </c>
      <c r="H16165">
        <v>22202</v>
      </c>
      <c r="I16165" t="s">
        <v>30</v>
      </c>
      <c r="J16165" t="s">
        <v>162</v>
      </c>
      <c r="K16165" t="s">
        <v>1490</v>
      </c>
      <c r="N16165" t="s">
        <v>75614</v>
      </c>
      <c r="Q16165">
        <v>0</v>
      </c>
      <c r="R16165">
        <v>700</v>
      </c>
      <c r="S16165">
        <v>0</v>
      </c>
      <c r="T16165" t="s">
        <v>75615</v>
      </c>
    </row>
    <row r="16166" spans="1:20" customFormat="1" ht="15" x14ac:dyDescent="0.25">
      <c r="A16166" t="s">
        <v>24</v>
      </c>
      <c r="B16166" t="s">
        <v>675</v>
      </c>
      <c r="C16166" t="str">
        <f>"337H1"</f>
        <v>337H1</v>
      </c>
      <c r="D16166" t="s">
        <v>75616</v>
      </c>
      <c r="E16166" t="s">
        <v>75617</v>
      </c>
      <c r="F16166" t="s">
        <v>12691</v>
      </c>
      <c r="G16166" t="s">
        <v>52</v>
      </c>
      <c r="H16166">
        <v>76262</v>
      </c>
      <c r="I16166" t="s">
        <v>30</v>
      </c>
      <c r="J16166" t="s">
        <v>162</v>
      </c>
      <c r="K16166" t="s">
        <v>1490</v>
      </c>
      <c r="N16166" t="s">
        <v>75618</v>
      </c>
      <c r="O16166" t="s">
        <v>75619</v>
      </c>
      <c r="Q16166">
        <v>0</v>
      </c>
      <c r="R16166">
        <v>294</v>
      </c>
      <c r="S16166">
        <v>0</v>
      </c>
      <c r="T16166" t="s">
        <v>75620</v>
      </c>
    </row>
    <row r="16167" spans="1:20" customFormat="1" ht="15" x14ac:dyDescent="0.25">
      <c r="A16167" t="s">
        <v>24</v>
      </c>
      <c r="B16167" t="s">
        <v>675</v>
      </c>
      <c r="C16167" t="str">
        <f>"337M1"</f>
        <v>337M1</v>
      </c>
      <c r="D16167" t="s">
        <v>75621</v>
      </c>
      <c r="E16167" t="s">
        <v>75622</v>
      </c>
      <c r="F16167" t="s">
        <v>60313</v>
      </c>
      <c r="G16167" t="s">
        <v>117</v>
      </c>
      <c r="H16167">
        <v>48124</v>
      </c>
      <c r="I16167" t="s">
        <v>30</v>
      </c>
      <c r="J16167" t="s">
        <v>162</v>
      </c>
      <c r="K16167" t="s">
        <v>1490</v>
      </c>
      <c r="N16167" t="s">
        <v>75623</v>
      </c>
      <c r="Q16167">
        <v>0</v>
      </c>
      <c r="R16167">
        <v>222</v>
      </c>
      <c r="S16167">
        <v>0</v>
      </c>
      <c r="T16167" t="s">
        <v>75624</v>
      </c>
    </row>
    <row r="16168" spans="1:20" customFormat="1" ht="15" x14ac:dyDescent="0.25">
      <c r="A16168" t="s">
        <v>24</v>
      </c>
      <c r="B16168" t="s">
        <v>5166</v>
      </c>
      <c r="C16168" t="str">
        <f>"34218"</f>
        <v>34218</v>
      </c>
      <c r="D16168" t="s">
        <v>75625</v>
      </c>
      <c r="E16168" t="s">
        <v>75626</v>
      </c>
      <c r="F16168" t="s">
        <v>33094</v>
      </c>
      <c r="G16168" t="s">
        <v>190</v>
      </c>
      <c r="H16168">
        <v>80011</v>
      </c>
      <c r="I16168" t="s">
        <v>30</v>
      </c>
      <c r="J16168" t="s">
        <v>162</v>
      </c>
      <c r="K16168" t="s">
        <v>1490</v>
      </c>
      <c r="N16168" t="s">
        <v>75627</v>
      </c>
      <c r="O16168" t="s">
        <v>75628</v>
      </c>
      <c r="Q16168">
        <v>0</v>
      </c>
      <c r="R16168">
        <v>238</v>
      </c>
      <c r="S16168">
        <v>0</v>
      </c>
      <c r="T16168" t="s">
        <v>75629</v>
      </c>
    </row>
    <row r="16169" spans="1:20" customFormat="1" ht="15" x14ac:dyDescent="0.25">
      <c r="A16169" t="s">
        <v>24</v>
      </c>
      <c r="B16169" t="s">
        <v>1020</v>
      </c>
      <c r="C16169" t="str">
        <f>"A0065512"</f>
        <v>A0065512</v>
      </c>
      <c r="D16169" t="s">
        <v>75630</v>
      </c>
      <c r="E16169" t="s">
        <v>75631</v>
      </c>
      <c r="F16169" t="s">
        <v>12772</v>
      </c>
      <c r="G16169" t="s">
        <v>190</v>
      </c>
      <c r="H16169">
        <v>80124</v>
      </c>
      <c r="I16169" t="s">
        <v>30</v>
      </c>
      <c r="J16169" t="s">
        <v>162</v>
      </c>
      <c r="K16169" t="s">
        <v>1490</v>
      </c>
      <c r="N16169" t="s">
        <v>75632</v>
      </c>
      <c r="O16169" t="s">
        <v>75633</v>
      </c>
      <c r="Q16169">
        <v>0</v>
      </c>
      <c r="R16169">
        <v>279</v>
      </c>
      <c r="S16169">
        <v>0</v>
      </c>
      <c r="T16169" t="s">
        <v>75634</v>
      </c>
    </row>
    <row r="16170" spans="1:20" customFormat="1" ht="15" x14ac:dyDescent="0.25">
      <c r="A16170" t="s">
        <v>24</v>
      </c>
      <c r="B16170" t="s">
        <v>5166</v>
      </c>
      <c r="C16170" t="str">
        <f>"337N7"</f>
        <v>337N7</v>
      </c>
      <c r="D16170" t="s">
        <v>75635</v>
      </c>
      <c r="E16170" t="s">
        <v>75636</v>
      </c>
      <c r="F16170" t="s">
        <v>972</v>
      </c>
      <c r="G16170" t="s">
        <v>190</v>
      </c>
      <c r="H16170">
        <v>80237</v>
      </c>
      <c r="I16170" t="s">
        <v>30</v>
      </c>
      <c r="J16170" t="s">
        <v>162</v>
      </c>
      <c r="K16170" t="s">
        <v>1490</v>
      </c>
      <c r="N16170" t="s">
        <v>75637</v>
      </c>
      <c r="O16170" t="s">
        <v>75638</v>
      </c>
      <c r="Q16170">
        <v>0</v>
      </c>
      <c r="R16170">
        <v>628</v>
      </c>
      <c r="S16170">
        <v>0</v>
      </c>
      <c r="T16170" t="s">
        <v>75639</v>
      </c>
    </row>
    <row r="16171" spans="1:20" customFormat="1" ht="15" x14ac:dyDescent="0.25">
      <c r="A16171" t="s">
        <v>24</v>
      </c>
      <c r="B16171" t="s">
        <v>675</v>
      </c>
      <c r="C16171" t="str">
        <f>"337C3"</f>
        <v>337C3</v>
      </c>
      <c r="D16171" t="s">
        <v>75640</v>
      </c>
      <c r="E16171" t="s">
        <v>75641</v>
      </c>
      <c r="F16171" t="s">
        <v>12619</v>
      </c>
      <c r="G16171" t="s">
        <v>190</v>
      </c>
      <c r="H16171">
        <v>80401</v>
      </c>
      <c r="I16171" t="s">
        <v>30</v>
      </c>
      <c r="J16171" t="s">
        <v>162</v>
      </c>
      <c r="K16171" t="s">
        <v>1490</v>
      </c>
      <c r="N16171" t="s">
        <v>75642</v>
      </c>
      <c r="O16171" t="s">
        <v>75643</v>
      </c>
      <c r="Q16171">
        <v>0</v>
      </c>
      <c r="R16171">
        <v>305</v>
      </c>
      <c r="S16171">
        <v>0</v>
      </c>
      <c r="T16171" t="s">
        <v>75644</v>
      </c>
    </row>
    <row r="16172" spans="1:20" customFormat="1" ht="15" x14ac:dyDescent="0.25">
      <c r="A16172" t="s">
        <v>24</v>
      </c>
      <c r="B16172" t="s">
        <v>2910</v>
      </c>
      <c r="C16172" t="str">
        <f>"337K9"</f>
        <v>337K9</v>
      </c>
      <c r="D16172" t="s">
        <v>75650</v>
      </c>
      <c r="E16172" t="s">
        <v>75651</v>
      </c>
      <c r="F16172" t="s">
        <v>5615</v>
      </c>
      <c r="G16172" t="s">
        <v>117</v>
      </c>
      <c r="H16172">
        <v>48174</v>
      </c>
      <c r="I16172" t="s">
        <v>30</v>
      </c>
      <c r="J16172" t="s">
        <v>162</v>
      </c>
      <c r="K16172" t="s">
        <v>1490</v>
      </c>
      <c r="N16172" t="s">
        <v>75652</v>
      </c>
      <c r="Q16172">
        <v>0</v>
      </c>
      <c r="R16172">
        <v>249</v>
      </c>
      <c r="S16172">
        <v>0</v>
      </c>
      <c r="T16172" t="s">
        <v>75653</v>
      </c>
    </row>
    <row r="16173" spans="1:20" customFormat="1" ht="15" x14ac:dyDescent="0.25">
      <c r="A16173" t="s">
        <v>24</v>
      </c>
      <c r="B16173" t="s">
        <v>56867</v>
      </c>
      <c r="C16173" t="str">
        <f>"A0069436"</f>
        <v>A0069436</v>
      </c>
      <c r="D16173" t="s">
        <v>56868</v>
      </c>
      <c r="E16173" t="s">
        <v>56869</v>
      </c>
      <c r="F16173" t="s">
        <v>56870</v>
      </c>
      <c r="G16173" t="s">
        <v>137</v>
      </c>
      <c r="H16173">
        <v>63122</v>
      </c>
      <c r="I16173" t="s">
        <v>30</v>
      </c>
      <c r="J16173" t="s">
        <v>145</v>
      </c>
      <c r="K16173" t="s">
        <v>1259</v>
      </c>
      <c r="N16173" t="s">
        <v>56871</v>
      </c>
      <c r="Q16173">
        <v>0</v>
      </c>
      <c r="R16173">
        <v>113</v>
      </c>
      <c r="S16173">
        <v>0</v>
      </c>
      <c r="T16173" t="s">
        <v>56872</v>
      </c>
    </row>
    <row r="16174" spans="1:20" customFormat="1" ht="15" x14ac:dyDescent="0.25">
      <c r="A16174" t="s">
        <v>24</v>
      </c>
      <c r="B16174" t="s">
        <v>675</v>
      </c>
      <c r="C16174" t="str">
        <f>"337U7"</f>
        <v>337U7</v>
      </c>
      <c r="D16174" t="s">
        <v>75654</v>
      </c>
      <c r="E16174" t="s">
        <v>75655</v>
      </c>
      <c r="F16174" t="s">
        <v>7153</v>
      </c>
      <c r="G16174" t="s">
        <v>117</v>
      </c>
      <c r="H16174">
        <v>48243</v>
      </c>
      <c r="I16174" t="s">
        <v>30</v>
      </c>
      <c r="J16174" t="s">
        <v>162</v>
      </c>
      <c r="K16174" t="s">
        <v>1490</v>
      </c>
      <c r="N16174" t="s">
        <v>75656</v>
      </c>
      <c r="O16174" t="s">
        <v>75657</v>
      </c>
      <c r="Q16174">
        <v>0</v>
      </c>
      <c r="R16174">
        <v>1306</v>
      </c>
      <c r="S16174">
        <v>0</v>
      </c>
      <c r="T16174" t="s">
        <v>75658</v>
      </c>
    </row>
    <row r="16175" spans="1:20" customFormat="1" ht="15" x14ac:dyDescent="0.25">
      <c r="A16175" t="s">
        <v>24</v>
      </c>
      <c r="B16175" t="s">
        <v>2221</v>
      </c>
      <c r="C16175" t="str">
        <f>"33712"</f>
        <v>33712</v>
      </c>
      <c r="D16175" t="s">
        <v>75659</v>
      </c>
      <c r="E16175" t="s">
        <v>75660</v>
      </c>
      <c r="F16175" t="s">
        <v>4829</v>
      </c>
      <c r="G16175" t="s">
        <v>52</v>
      </c>
      <c r="H16175">
        <v>75063</v>
      </c>
      <c r="I16175" t="s">
        <v>30</v>
      </c>
      <c r="J16175" t="s">
        <v>162</v>
      </c>
      <c r="K16175" t="s">
        <v>1490</v>
      </c>
      <c r="N16175" t="s">
        <v>75661</v>
      </c>
      <c r="Q16175">
        <v>0</v>
      </c>
      <c r="R16175">
        <v>491</v>
      </c>
      <c r="S16175">
        <v>0</v>
      </c>
      <c r="T16175" t="s">
        <v>75662</v>
      </c>
    </row>
    <row r="16176" spans="1:20" customFormat="1" ht="15" x14ac:dyDescent="0.25">
      <c r="A16176" t="s">
        <v>24</v>
      </c>
      <c r="B16176" t="s">
        <v>675</v>
      </c>
      <c r="C16176" t="str">
        <f>"337P4"</f>
        <v>337P4</v>
      </c>
      <c r="D16176" t="s">
        <v>75663</v>
      </c>
      <c r="E16176" t="s">
        <v>75664</v>
      </c>
      <c r="F16176" t="s">
        <v>63404</v>
      </c>
      <c r="G16176" t="s">
        <v>289</v>
      </c>
      <c r="H16176">
        <v>60515</v>
      </c>
      <c r="I16176" t="s">
        <v>30</v>
      </c>
      <c r="J16176" t="s">
        <v>162</v>
      </c>
      <c r="K16176" t="s">
        <v>1490</v>
      </c>
      <c r="N16176" t="s">
        <v>75665</v>
      </c>
      <c r="Q16176">
        <v>0</v>
      </c>
      <c r="R16176">
        <v>254</v>
      </c>
      <c r="S16176">
        <v>0</v>
      </c>
      <c r="T16176" t="s">
        <v>75666</v>
      </c>
    </row>
    <row r="16177" spans="1:20" customFormat="1" ht="15" x14ac:dyDescent="0.25">
      <c r="A16177" t="s">
        <v>24</v>
      </c>
      <c r="B16177" t="s">
        <v>675</v>
      </c>
      <c r="C16177" t="str">
        <f>"33715"</f>
        <v>33715</v>
      </c>
      <c r="D16177" t="s">
        <v>75667</v>
      </c>
      <c r="E16177" t="s">
        <v>75668</v>
      </c>
      <c r="F16177" t="s">
        <v>12883</v>
      </c>
      <c r="G16177" t="s">
        <v>29</v>
      </c>
      <c r="H16177">
        <v>20166</v>
      </c>
      <c r="I16177" t="s">
        <v>30</v>
      </c>
      <c r="J16177" t="s">
        <v>162</v>
      </c>
      <c r="K16177" t="s">
        <v>1490</v>
      </c>
      <c r="N16177" t="s">
        <v>75669</v>
      </c>
      <c r="O16177" t="s">
        <v>75670</v>
      </c>
      <c r="Q16177">
        <v>0</v>
      </c>
      <c r="R16177">
        <v>368</v>
      </c>
      <c r="S16177">
        <v>0</v>
      </c>
      <c r="T16177" t="s">
        <v>75671</v>
      </c>
    </row>
    <row r="16178" spans="1:20" customFormat="1" ht="15" x14ac:dyDescent="0.25">
      <c r="A16178" t="s">
        <v>24</v>
      </c>
      <c r="B16178" t="s">
        <v>1098</v>
      </c>
      <c r="C16178" t="str">
        <f>"34251"</f>
        <v>34251</v>
      </c>
      <c r="D16178" t="s">
        <v>75672</v>
      </c>
      <c r="E16178" t="s">
        <v>75673</v>
      </c>
      <c r="F16178" t="s">
        <v>8935</v>
      </c>
      <c r="G16178" t="s">
        <v>214</v>
      </c>
      <c r="H16178">
        <v>27701</v>
      </c>
      <c r="I16178" t="s">
        <v>30</v>
      </c>
      <c r="J16178" t="s">
        <v>162</v>
      </c>
      <c r="K16178" t="s">
        <v>1490</v>
      </c>
      <c r="N16178" t="s">
        <v>75674</v>
      </c>
      <c r="O16178" t="s">
        <v>75675</v>
      </c>
      <c r="Q16178">
        <v>0</v>
      </c>
      <c r="R16178">
        <v>187</v>
      </c>
      <c r="S16178">
        <v>0</v>
      </c>
      <c r="T16178" t="s">
        <v>75676</v>
      </c>
    </row>
    <row r="16179" spans="1:20" customFormat="1" ht="15" x14ac:dyDescent="0.25">
      <c r="A16179" t="s">
        <v>24</v>
      </c>
      <c r="B16179" t="s">
        <v>675</v>
      </c>
      <c r="C16179" t="str">
        <f>"61AB1"</f>
        <v>61AB1</v>
      </c>
      <c r="D16179" t="s">
        <v>75681</v>
      </c>
      <c r="E16179" t="s">
        <v>75682</v>
      </c>
      <c r="F16179" t="s">
        <v>11381</v>
      </c>
      <c r="G16179" t="s">
        <v>846</v>
      </c>
      <c r="H16179">
        <v>30083</v>
      </c>
      <c r="I16179" t="s">
        <v>30</v>
      </c>
      <c r="J16179" t="s">
        <v>162</v>
      </c>
      <c r="K16179" t="s">
        <v>57369</v>
      </c>
      <c r="N16179" t="s">
        <v>75683</v>
      </c>
      <c r="O16179" t="s">
        <v>75684</v>
      </c>
      <c r="Q16179">
        <v>0</v>
      </c>
      <c r="R16179">
        <v>249</v>
      </c>
      <c r="S16179">
        <v>0</v>
      </c>
      <c r="T16179" t="s">
        <v>75685</v>
      </c>
    </row>
    <row r="16180" spans="1:20" customFormat="1" ht="15" x14ac:dyDescent="0.25">
      <c r="A16180" t="s">
        <v>24</v>
      </c>
      <c r="B16180" t="s">
        <v>706</v>
      </c>
      <c r="C16180" t="str">
        <f>"A0100243"</f>
        <v>A0100243</v>
      </c>
      <c r="D16180" t="s">
        <v>56896</v>
      </c>
      <c r="E16180" t="s">
        <v>56897</v>
      </c>
      <c r="F16180" t="s">
        <v>1326</v>
      </c>
      <c r="G16180" t="s">
        <v>81</v>
      </c>
      <c r="H16180">
        <v>34474</v>
      </c>
      <c r="I16180" t="s">
        <v>30</v>
      </c>
      <c r="J16180" t="s">
        <v>31</v>
      </c>
      <c r="K16180" t="s">
        <v>1259</v>
      </c>
      <c r="N16180" t="s">
        <v>56898</v>
      </c>
      <c r="O16180" t="s">
        <v>56899</v>
      </c>
      <c r="Q16180">
        <v>0</v>
      </c>
      <c r="R16180">
        <v>136</v>
      </c>
      <c r="S16180">
        <v>0</v>
      </c>
      <c r="T16180" t="s">
        <v>56900</v>
      </c>
    </row>
    <row r="16181" spans="1:20" customFormat="1" ht="15" x14ac:dyDescent="0.25">
      <c r="A16181" t="s">
        <v>24</v>
      </c>
      <c r="B16181" t="s">
        <v>675</v>
      </c>
      <c r="C16181" t="str">
        <f>"337M3"</f>
        <v>337M3</v>
      </c>
      <c r="D16181" t="s">
        <v>75689</v>
      </c>
      <c r="E16181" t="s">
        <v>75690</v>
      </c>
      <c r="F16181" t="s">
        <v>67398</v>
      </c>
      <c r="G16181" t="s">
        <v>29</v>
      </c>
      <c r="H16181">
        <v>22042</v>
      </c>
      <c r="I16181" t="s">
        <v>30</v>
      </c>
      <c r="J16181" t="s">
        <v>162</v>
      </c>
      <c r="K16181" t="s">
        <v>1490</v>
      </c>
      <c r="N16181" t="s">
        <v>75691</v>
      </c>
      <c r="Q16181">
        <v>0</v>
      </c>
      <c r="R16181">
        <v>400</v>
      </c>
      <c r="S16181">
        <v>0</v>
      </c>
      <c r="T16181" t="s">
        <v>75692</v>
      </c>
    </row>
    <row r="16182" spans="1:20" customFormat="1" ht="15" x14ac:dyDescent="0.25">
      <c r="A16182" t="s">
        <v>24</v>
      </c>
      <c r="B16182" t="s">
        <v>2955</v>
      </c>
      <c r="C16182" t="str">
        <f>"34115"</f>
        <v>34115</v>
      </c>
      <c r="D16182" t="s">
        <v>75693</v>
      </c>
      <c r="E16182" t="s">
        <v>75694</v>
      </c>
      <c r="F16182" t="s">
        <v>748</v>
      </c>
      <c r="G16182" t="s">
        <v>110</v>
      </c>
      <c r="H16182">
        <v>94133</v>
      </c>
      <c r="I16182" t="s">
        <v>30</v>
      </c>
      <c r="J16182" t="s">
        <v>162</v>
      </c>
      <c r="K16182" t="s">
        <v>1490</v>
      </c>
      <c r="N16182" t="s">
        <v>75695</v>
      </c>
      <c r="O16182" t="s">
        <v>75696</v>
      </c>
      <c r="Q16182">
        <v>0</v>
      </c>
      <c r="R16182">
        <v>285</v>
      </c>
      <c r="S16182">
        <v>0</v>
      </c>
      <c r="T16182" t="s">
        <v>75697</v>
      </c>
    </row>
    <row r="16183" spans="1:20" customFormat="1" ht="15" x14ac:dyDescent="0.25">
      <c r="A16183" t="s">
        <v>24</v>
      </c>
      <c r="B16183" t="s">
        <v>13679</v>
      </c>
      <c r="C16183" t="str">
        <f>"337N3"</f>
        <v>337N3</v>
      </c>
      <c r="D16183" t="s">
        <v>75698</v>
      </c>
      <c r="E16183" t="s">
        <v>75699</v>
      </c>
      <c r="F16183" t="s">
        <v>60454</v>
      </c>
      <c r="G16183" t="s">
        <v>190</v>
      </c>
      <c r="H16183">
        <v>80525</v>
      </c>
      <c r="I16183" t="s">
        <v>30</v>
      </c>
      <c r="J16183" t="s">
        <v>162</v>
      </c>
      <c r="K16183" t="s">
        <v>1490</v>
      </c>
      <c r="N16183" t="s">
        <v>75700</v>
      </c>
      <c r="O16183" t="s">
        <v>75701</v>
      </c>
      <c r="Q16183">
        <v>0</v>
      </c>
      <c r="R16183">
        <v>229</v>
      </c>
      <c r="S16183">
        <v>0</v>
      </c>
      <c r="T16183" t="s">
        <v>75702</v>
      </c>
    </row>
    <row r="16184" spans="1:20" customFormat="1" ht="15" x14ac:dyDescent="0.25">
      <c r="A16184" t="s">
        <v>24</v>
      </c>
      <c r="B16184" t="s">
        <v>2340</v>
      </c>
      <c r="C16184" t="str">
        <f>"A0090887"</f>
        <v>A0090887</v>
      </c>
      <c r="D16184" t="s">
        <v>2524</v>
      </c>
      <c r="E16184" t="s">
        <v>56916</v>
      </c>
      <c r="F16184" t="s">
        <v>56917</v>
      </c>
      <c r="G16184" t="s">
        <v>528</v>
      </c>
      <c r="H16184">
        <v>19701</v>
      </c>
      <c r="I16184" t="s">
        <v>30</v>
      </c>
      <c r="J16184" t="s">
        <v>31</v>
      </c>
      <c r="K16184" t="s">
        <v>2524</v>
      </c>
      <c r="N16184" t="s">
        <v>56918</v>
      </c>
      <c r="O16184" t="s">
        <v>56919</v>
      </c>
      <c r="Q16184">
        <v>0</v>
      </c>
      <c r="R16184">
        <v>75</v>
      </c>
      <c r="S16184">
        <v>0</v>
      </c>
      <c r="T16184" t="s">
        <v>56920</v>
      </c>
    </row>
    <row r="16185" spans="1:20" customFormat="1" ht="15" x14ac:dyDescent="0.25">
      <c r="A16185" t="s">
        <v>24</v>
      </c>
      <c r="B16185" t="s">
        <v>56921</v>
      </c>
      <c r="C16185" t="str">
        <f>"A0094158"</f>
        <v>A0094158</v>
      </c>
      <c r="D16185" t="s">
        <v>56922</v>
      </c>
      <c r="E16185" t="s">
        <v>56923</v>
      </c>
      <c r="F16185" t="s">
        <v>53667</v>
      </c>
      <c r="G16185" t="s">
        <v>76</v>
      </c>
      <c r="H16185">
        <v>98204</v>
      </c>
      <c r="I16185" t="s">
        <v>30</v>
      </c>
      <c r="J16185" t="s">
        <v>31</v>
      </c>
      <c r="K16185" t="s">
        <v>2524</v>
      </c>
      <c r="N16185" t="s">
        <v>56924</v>
      </c>
      <c r="O16185" t="s">
        <v>56925</v>
      </c>
      <c r="Q16185">
        <v>0</v>
      </c>
      <c r="R16185">
        <v>76</v>
      </c>
      <c r="S16185">
        <v>0</v>
      </c>
      <c r="T16185" t="s">
        <v>56926</v>
      </c>
    </row>
    <row r="16186" spans="1:20" customFormat="1" ht="15" x14ac:dyDescent="0.25">
      <c r="A16186" t="s">
        <v>24</v>
      </c>
      <c r="B16186" t="s">
        <v>12991</v>
      </c>
      <c r="C16186" t="str">
        <f>"A0057584"</f>
        <v>A0057584</v>
      </c>
      <c r="D16186" t="s">
        <v>56927</v>
      </c>
      <c r="E16186" t="s">
        <v>56928</v>
      </c>
      <c r="F16186" t="s">
        <v>56929</v>
      </c>
      <c r="G16186" t="s">
        <v>110</v>
      </c>
      <c r="H16186">
        <v>95503</v>
      </c>
      <c r="I16186" t="s">
        <v>30</v>
      </c>
      <c r="J16186" t="s">
        <v>31</v>
      </c>
      <c r="K16186" t="s">
        <v>2524</v>
      </c>
      <c r="N16186" t="s">
        <v>56930</v>
      </c>
      <c r="Q16186">
        <v>0</v>
      </c>
      <c r="R16186">
        <v>115</v>
      </c>
      <c r="S16186">
        <v>0</v>
      </c>
      <c r="T16186" t="s">
        <v>56931</v>
      </c>
    </row>
    <row r="16187" spans="1:20" customFormat="1" ht="15" x14ac:dyDescent="0.25">
      <c r="A16187" t="s">
        <v>24</v>
      </c>
      <c r="B16187" t="s">
        <v>675</v>
      </c>
      <c r="C16187" t="str">
        <f>"14031"</f>
        <v>14031</v>
      </c>
      <c r="D16187" t="s">
        <v>75703</v>
      </c>
      <c r="E16187" t="s">
        <v>75704</v>
      </c>
      <c r="F16187" t="s">
        <v>56538</v>
      </c>
      <c r="G16187" t="s">
        <v>71</v>
      </c>
      <c r="H16187">
        <v>53186</v>
      </c>
      <c r="I16187" t="s">
        <v>30</v>
      </c>
      <c r="J16187" t="s">
        <v>162</v>
      </c>
      <c r="K16187" t="s">
        <v>57369</v>
      </c>
      <c r="N16187" t="s">
        <v>75705</v>
      </c>
      <c r="O16187" t="s">
        <v>75706</v>
      </c>
      <c r="Q16187">
        <v>0</v>
      </c>
      <c r="R16187">
        <v>143</v>
      </c>
      <c r="S16187">
        <v>0</v>
      </c>
      <c r="T16187" t="s">
        <v>75707</v>
      </c>
    </row>
    <row r="16188" spans="1:20" customFormat="1" ht="15" x14ac:dyDescent="0.25">
      <c r="A16188" t="s">
        <v>24</v>
      </c>
      <c r="B16188" t="s">
        <v>10129</v>
      </c>
      <c r="C16188" t="str">
        <f>"SF02708"</f>
        <v>SF02708</v>
      </c>
      <c r="D16188" t="s">
        <v>56936</v>
      </c>
      <c r="E16188" t="s">
        <v>56937</v>
      </c>
      <c r="F16188" t="s">
        <v>56938</v>
      </c>
      <c r="G16188" t="s">
        <v>289</v>
      </c>
      <c r="H16188">
        <v>60914</v>
      </c>
      <c r="I16188" t="s">
        <v>30</v>
      </c>
      <c r="J16188" t="s">
        <v>31</v>
      </c>
      <c r="K16188" t="s">
        <v>2524</v>
      </c>
      <c r="N16188" t="s">
        <v>56939</v>
      </c>
      <c r="O16188" t="s">
        <v>56940</v>
      </c>
      <c r="Q16188">
        <v>0</v>
      </c>
      <c r="R16188">
        <v>102</v>
      </c>
      <c r="S16188">
        <v>0</v>
      </c>
      <c r="T16188" t="s">
        <v>56941</v>
      </c>
    </row>
    <row r="16189" spans="1:20" customFormat="1" ht="15" x14ac:dyDescent="0.25">
      <c r="A16189" t="s">
        <v>24</v>
      </c>
      <c r="B16189" t="s">
        <v>3502</v>
      </c>
      <c r="C16189" t="str">
        <f>"A0094067"</f>
        <v>A0094067</v>
      </c>
      <c r="D16189" t="s">
        <v>56942</v>
      </c>
      <c r="E16189" t="s">
        <v>56943</v>
      </c>
      <c r="F16189" t="s">
        <v>3582</v>
      </c>
      <c r="G16189" t="s">
        <v>52</v>
      </c>
      <c r="H16189">
        <v>76028</v>
      </c>
      <c r="I16189" t="s">
        <v>30</v>
      </c>
      <c r="J16189" t="s">
        <v>31</v>
      </c>
      <c r="K16189" t="s">
        <v>2524</v>
      </c>
      <c r="N16189" t="s">
        <v>56944</v>
      </c>
      <c r="Q16189">
        <v>0</v>
      </c>
      <c r="R16189">
        <v>71</v>
      </c>
      <c r="S16189">
        <v>0</v>
      </c>
      <c r="T16189" t="s">
        <v>56945</v>
      </c>
    </row>
    <row r="16190" spans="1:20" customFormat="1" ht="15" x14ac:dyDescent="0.25">
      <c r="A16190" t="s">
        <v>24</v>
      </c>
      <c r="B16190" t="s">
        <v>56742</v>
      </c>
      <c r="C16190" t="str">
        <f>"A0090238"</f>
        <v>A0090238</v>
      </c>
      <c r="D16190" t="s">
        <v>56946</v>
      </c>
      <c r="E16190" t="s">
        <v>56947</v>
      </c>
      <c r="F16190" t="s">
        <v>56948</v>
      </c>
      <c r="G16190" t="s">
        <v>110</v>
      </c>
      <c r="H16190">
        <v>95010</v>
      </c>
      <c r="I16190" t="s">
        <v>30</v>
      </c>
      <c r="J16190" t="s">
        <v>31</v>
      </c>
      <c r="K16190" t="s">
        <v>2524</v>
      </c>
      <c r="N16190" t="s">
        <v>56949</v>
      </c>
      <c r="O16190" t="s">
        <v>56950</v>
      </c>
      <c r="Q16190">
        <v>0</v>
      </c>
      <c r="R16190">
        <v>58</v>
      </c>
      <c r="S16190">
        <v>0</v>
      </c>
      <c r="T16190" t="s">
        <v>56951</v>
      </c>
    </row>
    <row r="16191" spans="1:20" customFormat="1" ht="15" x14ac:dyDescent="0.25">
      <c r="A16191" t="s">
        <v>24</v>
      </c>
      <c r="B16191" t="s">
        <v>56952</v>
      </c>
      <c r="C16191" t="str">
        <f>"A0094984"</f>
        <v>A0094984</v>
      </c>
      <c r="D16191" t="s">
        <v>56953</v>
      </c>
      <c r="E16191" t="s">
        <v>56954</v>
      </c>
      <c r="F16191" t="s">
        <v>56955</v>
      </c>
      <c r="G16191" t="s">
        <v>190</v>
      </c>
      <c r="H16191">
        <v>80109</v>
      </c>
      <c r="I16191" t="s">
        <v>30</v>
      </c>
      <c r="J16191" t="s">
        <v>31</v>
      </c>
      <c r="K16191" t="s">
        <v>2524</v>
      </c>
      <c r="N16191" t="s">
        <v>56956</v>
      </c>
      <c r="O16191" t="s">
        <v>56957</v>
      </c>
      <c r="Q16191">
        <v>0</v>
      </c>
      <c r="R16191">
        <v>69</v>
      </c>
      <c r="S16191">
        <v>0</v>
      </c>
      <c r="T16191" t="s">
        <v>56958</v>
      </c>
    </row>
    <row r="16192" spans="1:20" customFormat="1" ht="15" x14ac:dyDescent="0.25">
      <c r="A16192" t="s">
        <v>24</v>
      </c>
      <c r="B16192" t="s">
        <v>56959</v>
      </c>
      <c r="C16192" t="str">
        <f>"A0055127"</f>
        <v>A0055127</v>
      </c>
      <c r="D16192" t="s">
        <v>56960</v>
      </c>
      <c r="E16192" t="s">
        <v>56961</v>
      </c>
      <c r="F16192" t="s">
        <v>14560</v>
      </c>
      <c r="G16192" t="s">
        <v>65</v>
      </c>
      <c r="H16192">
        <v>45322</v>
      </c>
      <c r="I16192" t="s">
        <v>30</v>
      </c>
      <c r="J16192" t="s">
        <v>31</v>
      </c>
      <c r="K16192" t="s">
        <v>2524</v>
      </c>
      <c r="N16192" t="s">
        <v>56962</v>
      </c>
      <c r="Q16192">
        <v>0</v>
      </c>
      <c r="R16192">
        <v>126</v>
      </c>
      <c r="S16192">
        <v>0</v>
      </c>
      <c r="T16192" t="s">
        <v>56963</v>
      </c>
    </row>
    <row r="16193" spans="1:20" customFormat="1" ht="15" x14ac:dyDescent="0.25">
      <c r="A16193" t="s">
        <v>24</v>
      </c>
      <c r="B16193" t="s">
        <v>56959</v>
      </c>
      <c r="C16193" t="str">
        <f>"A0055126"</f>
        <v>A0055126</v>
      </c>
      <c r="D16193" t="s">
        <v>56964</v>
      </c>
      <c r="E16193" t="s">
        <v>56965</v>
      </c>
      <c r="F16193" t="s">
        <v>33838</v>
      </c>
      <c r="G16193" t="s">
        <v>65</v>
      </c>
      <c r="H16193">
        <v>45458</v>
      </c>
      <c r="I16193" t="s">
        <v>30</v>
      </c>
      <c r="J16193" t="s">
        <v>31</v>
      </c>
      <c r="K16193" t="s">
        <v>2524</v>
      </c>
      <c r="Q16193">
        <v>0</v>
      </c>
      <c r="R16193">
        <v>126</v>
      </c>
      <c r="S16193">
        <v>0</v>
      </c>
      <c r="T16193" t="s">
        <v>56966</v>
      </c>
    </row>
    <row r="16194" spans="1:20" customFormat="1" ht="15" x14ac:dyDescent="0.25">
      <c r="A16194" t="s">
        <v>24</v>
      </c>
      <c r="B16194" t="s">
        <v>56967</v>
      </c>
      <c r="C16194" t="str">
        <f>"A0156066"</f>
        <v>A0156066</v>
      </c>
      <c r="D16194" t="s">
        <v>56968</v>
      </c>
      <c r="E16194" t="s">
        <v>56969</v>
      </c>
      <c r="F16194" t="s">
        <v>56970</v>
      </c>
      <c r="G16194" t="s">
        <v>110</v>
      </c>
      <c r="H16194">
        <v>94561</v>
      </c>
      <c r="I16194" t="s">
        <v>30</v>
      </c>
      <c r="J16194" t="s">
        <v>31</v>
      </c>
      <c r="K16194" t="s">
        <v>2524</v>
      </c>
      <c r="N16194" t="s">
        <v>56971</v>
      </c>
      <c r="Q16194">
        <v>0</v>
      </c>
      <c r="R16194">
        <v>80</v>
      </c>
      <c r="S16194">
        <v>0</v>
      </c>
      <c r="T16194" t="s">
        <v>56972</v>
      </c>
    </row>
    <row r="16195" spans="1:20" customFormat="1" ht="15" x14ac:dyDescent="0.25">
      <c r="A16195" t="s">
        <v>24</v>
      </c>
      <c r="B16195" t="s">
        <v>8579</v>
      </c>
      <c r="C16195" t="str">
        <f>"A0089701"</f>
        <v>A0089701</v>
      </c>
      <c r="D16195" t="s">
        <v>56973</v>
      </c>
      <c r="E16195" t="s">
        <v>56974</v>
      </c>
      <c r="F16195" t="s">
        <v>972</v>
      </c>
      <c r="G16195" t="s">
        <v>190</v>
      </c>
      <c r="H16195">
        <v>80249</v>
      </c>
      <c r="I16195" t="s">
        <v>30</v>
      </c>
      <c r="J16195" t="s">
        <v>31</v>
      </c>
      <c r="K16195" t="s">
        <v>2524</v>
      </c>
      <c r="N16195" t="s">
        <v>56975</v>
      </c>
      <c r="Q16195">
        <v>0</v>
      </c>
      <c r="R16195">
        <v>100</v>
      </c>
      <c r="S16195">
        <v>0</v>
      </c>
      <c r="T16195" t="s">
        <v>56976</v>
      </c>
    </row>
    <row r="16196" spans="1:20" customFormat="1" ht="15" x14ac:dyDescent="0.25">
      <c r="A16196" t="s">
        <v>24</v>
      </c>
      <c r="B16196" t="s">
        <v>54975</v>
      </c>
      <c r="C16196" t="str">
        <f>"A0075836"</f>
        <v>A0075836</v>
      </c>
      <c r="D16196" t="s">
        <v>56977</v>
      </c>
      <c r="E16196" t="s">
        <v>56978</v>
      </c>
      <c r="F16196" t="s">
        <v>2051</v>
      </c>
      <c r="G16196" t="s">
        <v>846</v>
      </c>
      <c r="H16196">
        <v>30096</v>
      </c>
      <c r="I16196" t="s">
        <v>30</v>
      </c>
      <c r="J16196" t="s">
        <v>31</v>
      </c>
      <c r="K16196" t="s">
        <v>2524</v>
      </c>
      <c r="N16196" t="s">
        <v>56979</v>
      </c>
      <c r="O16196" t="s">
        <v>54978</v>
      </c>
      <c r="Q16196">
        <v>0</v>
      </c>
      <c r="R16196">
        <v>83</v>
      </c>
      <c r="S16196">
        <v>0</v>
      </c>
      <c r="T16196" t="s">
        <v>56980</v>
      </c>
    </row>
    <row r="16197" spans="1:20" customFormat="1" ht="15" x14ac:dyDescent="0.25">
      <c r="A16197" t="s">
        <v>24</v>
      </c>
      <c r="B16197" t="s">
        <v>2180</v>
      </c>
      <c r="C16197" t="str">
        <f>"A0166192"</f>
        <v>A0166192</v>
      </c>
      <c r="D16197" t="s">
        <v>56981</v>
      </c>
      <c r="E16197" t="s">
        <v>56982</v>
      </c>
      <c r="F16197" t="s">
        <v>5833</v>
      </c>
      <c r="G16197" t="s">
        <v>880</v>
      </c>
      <c r="H16197">
        <v>38305</v>
      </c>
      <c r="I16197" t="s">
        <v>30</v>
      </c>
      <c r="J16197" t="s">
        <v>31</v>
      </c>
      <c r="K16197" t="s">
        <v>56983</v>
      </c>
      <c r="N16197" t="s">
        <v>56984</v>
      </c>
      <c r="Q16197">
        <v>0</v>
      </c>
      <c r="R16197">
        <v>100</v>
      </c>
      <c r="S16197">
        <v>0</v>
      </c>
      <c r="T16197" t="s">
        <v>56985</v>
      </c>
    </row>
    <row r="16198" spans="1:20" customFormat="1" ht="15" x14ac:dyDescent="0.25">
      <c r="A16198" t="s">
        <v>24</v>
      </c>
      <c r="B16198" t="s">
        <v>56986</v>
      </c>
      <c r="C16198" t="str">
        <f>"A0095948"</f>
        <v>A0095948</v>
      </c>
      <c r="D16198" t="s">
        <v>56987</v>
      </c>
      <c r="E16198" t="s">
        <v>56988</v>
      </c>
      <c r="F16198" t="s">
        <v>33094</v>
      </c>
      <c r="G16198" t="s">
        <v>190</v>
      </c>
      <c r="H16198">
        <v>80012</v>
      </c>
      <c r="I16198" t="s">
        <v>30</v>
      </c>
      <c r="J16198" t="s">
        <v>31</v>
      </c>
      <c r="K16198" t="s">
        <v>2524</v>
      </c>
      <c r="N16198" t="s">
        <v>56989</v>
      </c>
      <c r="Q16198">
        <v>0</v>
      </c>
      <c r="R16198">
        <v>82</v>
      </c>
      <c r="S16198">
        <v>0</v>
      </c>
      <c r="T16198" t="s">
        <v>56990</v>
      </c>
    </row>
    <row r="16199" spans="1:20" customFormat="1" ht="15" x14ac:dyDescent="0.25">
      <c r="A16199" t="s">
        <v>24</v>
      </c>
      <c r="B16199" t="s">
        <v>55987</v>
      </c>
      <c r="C16199" t="str">
        <f>"A0063470"</f>
        <v>A0063470</v>
      </c>
      <c r="D16199" t="s">
        <v>56991</v>
      </c>
      <c r="E16199" t="s">
        <v>56992</v>
      </c>
      <c r="F16199" t="s">
        <v>56993</v>
      </c>
      <c r="G16199" t="s">
        <v>214</v>
      </c>
      <c r="H16199">
        <v>27534</v>
      </c>
      <c r="I16199" t="s">
        <v>30</v>
      </c>
      <c r="J16199" t="s">
        <v>31</v>
      </c>
      <c r="K16199" t="s">
        <v>2524</v>
      </c>
      <c r="N16199" t="s">
        <v>56994</v>
      </c>
      <c r="Q16199">
        <v>0</v>
      </c>
      <c r="R16199">
        <v>120</v>
      </c>
      <c r="S16199">
        <v>0</v>
      </c>
      <c r="T16199" t="s">
        <v>56995</v>
      </c>
    </row>
    <row r="16200" spans="1:20" customFormat="1" ht="15" x14ac:dyDescent="0.25">
      <c r="A16200" t="s">
        <v>24</v>
      </c>
      <c r="B16200" t="s">
        <v>3221</v>
      </c>
      <c r="C16200" t="str">
        <f>"A0100005"</f>
        <v>A0100005</v>
      </c>
      <c r="D16200" t="s">
        <v>56996</v>
      </c>
      <c r="E16200" t="s">
        <v>56997</v>
      </c>
      <c r="F16200" t="s">
        <v>1159</v>
      </c>
      <c r="G16200" t="s">
        <v>58</v>
      </c>
      <c r="H16200">
        <v>29577</v>
      </c>
      <c r="I16200" t="s">
        <v>30</v>
      </c>
      <c r="J16200" t="s">
        <v>31</v>
      </c>
      <c r="K16200" t="s">
        <v>2524</v>
      </c>
      <c r="N16200" t="s">
        <v>35723</v>
      </c>
      <c r="O16200" t="s">
        <v>56998</v>
      </c>
      <c r="Q16200">
        <v>0</v>
      </c>
      <c r="R16200">
        <v>115</v>
      </c>
      <c r="S16200">
        <v>0</v>
      </c>
      <c r="T16200" t="s">
        <v>56999</v>
      </c>
    </row>
    <row r="16201" spans="1:20" customFormat="1" ht="15" x14ac:dyDescent="0.25">
      <c r="A16201" t="s">
        <v>24</v>
      </c>
      <c r="B16201" t="s">
        <v>675</v>
      </c>
      <c r="C16201" t="str">
        <f>"337K6"</f>
        <v>337K6</v>
      </c>
      <c r="D16201" t="s">
        <v>75708</v>
      </c>
      <c r="E16201" t="s">
        <v>75709</v>
      </c>
      <c r="F16201" t="s">
        <v>2401</v>
      </c>
      <c r="G16201" t="s">
        <v>123</v>
      </c>
      <c r="H16201">
        <v>20878</v>
      </c>
      <c r="I16201" t="s">
        <v>30</v>
      </c>
      <c r="J16201" t="s">
        <v>162</v>
      </c>
      <c r="K16201" t="s">
        <v>1490</v>
      </c>
      <c r="N16201" t="s">
        <v>75710</v>
      </c>
      <c r="O16201" t="s">
        <v>75711</v>
      </c>
      <c r="Q16201">
        <v>0</v>
      </c>
      <c r="R16201">
        <v>284</v>
      </c>
      <c r="S16201">
        <v>0</v>
      </c>
      <c r="T16201" t="s">
        <v>75712</v>
      </c>
    </row>
    <row r="16202" spans="1:20" customFormat="1" ht="15" x14ac:dyDescent="0.25">
      <c r="A16202" t="s">
        <v>24</v>
      </c>
      <c r="B16202" t="s">
        <v>57005</v>
      </c>
      <c r="C16202" t="str">
        <f>"A0117268"</f>
        <v>A0117268</v>
      </c>
      <c r="D16202" t="s">
        <v>57006</v>
      </c>
      <c r="E16202" t="s">
        <v>57007</v>
      </c>
      <c r="F16202" t="s">
        <v>356</v>
      </c>
      <c r="G16202" t="s">
        <v>52</v>
      </c>
      <c r="H16202">
        <v>78258</v>
      </c>
      <c r="I16202" t="s">
        <v>30</v>
      </c>
      <c r="J16202" t="s">
        <v>31</v>
      </c>
      <c r="K16202" t="s">
        <v>2524</v>
      </c>
      <c r="N16202" t="s">
        <v>57008</v>
      </c>
      <c r="Q16202">
        <v>0</v>
      </c>
      <c r="R16202">
        <v>77</v>
      </c>
      <c r="S16202">
        <v>0</v>
      </c>
      <c r="T16202" t="s">
        <v>57009</v>
      </c>
    </row>
    <row r="16203" spans="1:20" customFormat="1" ht="15" x14ac:dyDescent="0.25">
      <c r="A16203" t="s">
        <v>24</v>
      </c>
      <c r="B16203" t="s">
        <v>8742</v>
      </c>
      <c r="C16203" t="str">
        <f>"A0074331"</f>
        <v>A0074331</v>
      </c>
      <c r="D16203" t="s">
        <v>57010</v>
      </c>
      <c r="E16203" t="s">
        <v>57011</v>
      </c>
      <c r="F16203" t="s">
        <v>9431</v>
      </c>
      <c r="G16203" t="s">
        <v>381</v>
      </c>
      <c r="H16203">
        <v>46204</v>
      </c>
      <c r="I16203" t="s">
        <v>30</v>
      </c>
      <c r="J16203" t="s">
        <v>31</v>
      </c>
      <c r="K16203" t="s">
        <v>2524</v>
      </c>
      <c r="N16203" t="s">
        <v>57012</v>
      </c>
      <c r="Q16203">
        <v>0</v>
      </c>
      <c r="R16203">
        <v>97</v>
      </c>
      <c r="S16203">
        <v>0</v>
      </c>
      <c r="T16203" t="s">
        <v>57013</v>
      </c>
    </row>
    <row r="16204" spans="1:20" customFormat="1" ht="15" hidden="1" x14ac:dyDescent="0.25">
      <c r="A16204" t="s">
        <v>24</v>
      </c>
      <c r="B16204" t="s">
        <v>1453</v>
      </c>
      <c r="C16204" t="str">
        <f>"A0099717"</f>
        <v>A0099717</v>
      </c>
      <c r="D16204" t="s">
        <v>57014</v>
      </c>
      <c r="E16204" t="s">
        <v>57015</v>
      </c>
      <c r="F16204" t="s">
        <v>57016</v>
      </c>
      <c r="G16204" t="s">
        <v>2270</v>
      </c>
      <c r="H16204" t="s">
        <v>57017</v>
      </c>
      <c r="I16204" t="s">
        <v>1459</v>
      </c>
      <c r="J16204" t="s">
        <v>31</v>
      </c>
      <c r="K16204" t="s">
        <v>2524</v>
      </c>
      <c r="N16204" t="s">
        <v>57018</v>
      </c>
      <c r="Q16204">
        <v>0</v>
      </c>
      <c r="R16204">
        <v>176</v>
      </c>
      <c r="S16204">
        <v>0</v>
      </c>
      <c r="T16204" t="s">
        <v>57019</v>
      </c>
    </row>
    <row r="16205" spans="1:20" customFormat="1" ht="15" x14ac:dyDescent="0.25">
      <c r="A16205" t="s">
        <v>24</v>
      </c>
      <c r="B16205" t="s">
        <v>57005</v>
      </c>
      <c r="C16205" t="str">
        <f>"A0117269"</f>
        <v>A0117269</v>
      </c>
      <c r="D16205" t="s">
        <v>57020</v>
      </c>
      <c r="E16205" t="s">
        <v>57021</v>
      </c>
      <c r="F16205" t="s">
        <v>356</v>
      </c>
      <c r="G16205" t="s">
        <v>52</v>
      </c>
      <c r="H16205">
        <v>78227</v>
      </c>
      <c r="I16205" t="s">
        <v>30</v>
      </c>
      <c r="J16205" t="s">
        <v>31</v>
      </c>
      <c r="K16205" t="s">
        <v>2524</v>
      </c>
      <c r="N16205" t="s">
        <v>57022</v>
      </c>
      <c r="Q16205">
        <v>0</v>
      </c>
      <c r="R16205">
        <v>77</v>
      </c>
      <c r="S16205">
        <v>0</v>
      </c>
      <c r="T16205" t="s">
        <v>57023</v>
      </c>
    </row>
    <row r="16206" spans="1:20" customFormat="1" ht="15" x14ac:dyDescent="0.25">
      <c r="A16206" t="s">
        <v>24</v>
      </c>
      <c r="B16206" t="s">
        <v>12991</v>
      </c>
      <c r="C16206" t="str">
        <f>"A0158042"</f>
        <v>A0158042</v>
      </c>
      <c r="D16206" t="s">
        <v>57024</v>
      </c>
      <c r="E16206" t="s">
        <v>57025</v>
      </c>
      <c r="F16206" t="s">
        <v>57026</v>
      </c>
      <c r="G16206" t="s">
        <v>47</v>
      </c>
      <c r="H16206">
        <v>97367</v>
      </c>
      <c r="I16206" t="s">
        <v>30</v>
      </c>
      <c r="J16206" t="s">
        <v>31</v>
      </c>
      <c r="K16206" t="s">
        <v>2524</v>
      </c>
      <c r="N16206" t="s">
        <v>57027</v>
      </c>
      <c r="Q16206">
        <v>0</v>
      </c>
      <c r="R16206">
        <v>62</v>
      </c>
      <c r="S16206">
        <v>0</v>
      </c>
      <c r="T16206" t="s">
        <v>57028</v>
      </c>
    </row>
    <row r="16207" spans="1:20" customFormat="1" ht="15" x14ac:dyDescent="0.25">
      <c r="A16207" t="s">
        <v>24</v>
      </c>
      <c r="B16207" t="s">
        <v>56986</v>
      </c>
      <c r="C16207" t="str">
        <f>"A0099444"</f>
        <v>A0099444</v>
      </c>
      <c r="D16207" t="s">
        <v>57029</v>
      </c>
      <c r="E16207" t="s">
        <v>57030</v>
      </c>
      <c r="F16207" t="s">
        <v>57031</v>
      </c>
      <c r="G16207" t="s">
        <v>52</v>
      </c>
      <c r="H16207">
        <v>78648</v>
      </c>
      <c r="I16207" t="s">
        <v>30</v>
      </c>
      <c r="J16207" t="s">
        <v>31</v>
      </c>
      <c r="K16207" t="s">
        <v>2524</v>
      </c>
      <c r="N16207" t="s">
        <v>57032</v>
      </c>
      <c r="Q16207">
        <v>0</v>
      </c>
      <c r="R16207">
        <v>54</v>
      </c>
      <c r="S16207">
        <v>0</v>
      </c>
      <c r="T16207" t="s">
        <v>57033</v>
      </c>
    </row>
    <row r="16208" spans="1:20" customFormat="1" ht="15" x14ac:dyDescent="0.25">
      <c r="A16208" t="s">
        <v>24</v>
      </c>
      <c r="B16208" t="s">
        <v>56848</v>
      </c>
      <c r="C16208" t="str">
        <f>"A0099966"</f>
        <v>A0099966</v>
      </c>
      <c r="D16208" t="s">
        <v>57034</v>
      </c>
      <c r="E16208" t="s">
        <v>57035</v>
      </c>
      <c r="F16208" t="s">
        <v>57036</v>
      </c>
      <c r="G16208" t="s">
        <v>85</v>
      </c>
      <c r="H16208">
        <v>72086</v>
      </c>
      <c r="I16208" t="s">
        <v>30</v>
      </c>
      <c r="J16208" t="s">
        <v>31</v>
      </c>
      <c r="K16208" t="s">
        <v>2524</v>
      </c>
      <c r="N16208" t="s">
        <v>13596</v>
      </c>
      <c r="Q16208">
        <v>0</v>
      </c>
      <c r="R16208">
        <v>48</v>
      </c>
      <c r="S16208">
        <v>0</v>
      </c>
      <c r="T16208" t="s">
        <v>57037</v>
      </c>
    </row>
    <row r="16209" spans="1:20" customFormat="1" ht="15" x14ac:dyDescent="0.25">
      <c r="A16209" t="s">
        <v>24</v>
      </c>
      <c r="B16209" t="s">
        <v>56986</v>
      </c>
      <c r="C16209" t="str">
        <f>"A0095949"</f>
        <v>A0095949</v>
      </c>
      <c r="D16209" t="s">
        <v>57038</v>
      </c>
      <c r="E16209" t="s">
        <v>57039</v>
      </c>
      <c r="F16209" t="s">
        <v>3466</v>
      </c>
      <c r="G16209" t="s">
        <v>190</v>
      </c>
      <c r="H16209">
        <v>80027</v>
      </c>
      <c r="I16209" t="s">
        <v>30</v>
      </c>
      <c r="J16209" t="s">
        <v>31</v>
      </c>
      <c r="K16209" t="s">
        <v>2524</v>
      </c>
      <c r="N16209" t="s">
        <v>57040</v>
      </c>
      <c r="O16209" t="s">
        <v>57041</v>
      </c>
      <c r="Q16209">
        <v>0</v>
      </c>
      <c r="R16209">
        <v>62</v>
      </c>
      <c r="S16209">
        <v>0</v>
      </c>
      <c r="T16209" t="s">
        <v>57042</v>
      </c>
    </row>
    <row r="16210" spans="1:20" customFormat="1" ht="15" x14ac:dyDescent="0.25">
      <c r="A16210" t="s">
        <v>24</v>
      </c>
      <c r="B16210" t="s">
        <v>3502</v>
      </c>
      <c r="C16210" t="str">
        <f>"A0094068"</f>
        <v>A0094068</v>
      </c>
      <c r="D16210" t="s">
        <v>57043</v>
      </c>
      <c r="E16210" t="s">
        <v>57044</v>
      </c>
      <c r="F16210" t="s">
        <v>7376</v>
      </c>
      <c r="G16210" t="s">
        <v>52</v>
      </c>
      <c r="H16210">
        <v>76063</v>
      </c>
      <c r="I16210" t="s">
        <v>30</v>
      </c>
      <c r="J16210" t="s">
        <v>31</v>
      </c>
      <c r="K16210" t="s">
        <v>2524</v>
      </c>
      <c r="N16210" t="s">
        <v>57045</v>
      </c>
      <c r="Q16210">
        <v>0</v>
      </c>
      <c r="R16210">
        <v>71</v>
      </c>
      <c r="S16210">
        <v>0</v>
      </c>
      <c r="T16210" t="s">
        <v>57046</v>
      </c>
    </row>
    <row r="16211" spans="1:20" customFormat="1" ht="15" x14ac:dyDescent="0.25">
      <c r="A16211" t="s">
        <v>24</v>
      </c>
      <c r="B16211" t="s">
        <v>56526</v>
      </c>
      <c r="C16211" t="str">
        <f>"A0098908"</f>
        <v>A0098908</v>
      </c>
      <c r="D16211" t="s">
        <v>57047</v>
      </c>
      <c r="E16211" t="s">
        <v>57048</v>
      </c>
      <c r="F16211" t="s">
        <v>1889</v>
      </c>
      <c r="G16211" t="s">
        <v>81</v>
      </c>
      <c r="H16211">
        <v>33178</v>
      </c>
      <c r="I16211" t="s">
        <v>30</v>
      </c>
      <c r="J16211" t="s">
        <v>31</v>
      </c>
      <c r="K16211" t="s">
        <v>2524</v>
      </c>
      <c r="N16211" t="s">
        <v>57049</v>
      </c>
      <c r="O16211" t="s">
        <v>57050</v>
      </c>
      <c r="Q16211">
        <v>0</v>
      </c>
      <c r="R16211">
        <v>103</v>
      </c>
      <c r="S16211">
        <v>0</v>
      </c>
      <c r="T16211" t="s">
        <v>57051</v>
      </c>
    </row>
    <row r="16212" spans="1:20" customFormat="1" ht="15" x14ac:dyDescent="0.25">
      <c r="A16212" t="s">
        <v>24</v>
      </c>
      <c r="B16212" t="s">
        <v>13299</v>
      </c>
      <c r="C16212" t="str">
        <f>"A0065153"</f>
        <v>A0065153</v>
      </c>
      <c r="D16212" t="s">
        <v>75717</v>
      </c>
      <c r="E16212" t="s">
        <v>75718</v>
      </c>
      <c r="F16212" t="s">
        <v>5905</v>
      </c>
      <c r="G16212" t="s">
        <v>58</v>
      </c>
      <c r="H16212">
        <v>29615</v>
      </c>
      <c r="I16212" t="s">
        <v>30</v>
      </c>
      <c r="J16212" t="s">
        <v>162</v>
      </c>
      <c r="K16212" t="s">
        <v>1490</v>
      </c>
      <c r="N16212" t="s">
        <v>75719</v>
      </c>
      <c r="O16212" t="s">
        <v>75720</v>
      </c>
      <c r="Q16212">
        <v>0</v>
      </c>
      <c r="R16212">
        <v>203</v>
      </c>
      <c r="S16212">
        <v>0</v>
      </c>
      <c r="T16212" t="s">
        <v>75721</v>
      </c>
    </row>
    <row r="16213" spans="1:20" customFormat="1" ht="15" x14ac:dyDescent="0.25">
      <c r="A16213" t="s">
        <v>24</v>
      </c>
      <c r="B16213" t="s">
        <v>54975</v>
      </c>
      <c r="C16213" t="str">
        <f>"A0096526"</f>
        <v>A0096526</v>
      </c>
      <c r="D16213" t="s">
        <v>57056</v>
      </c>
      <c r="E16213" t="s">
        <v>57057</v>
      </c>
      <c r="F16213" t="s">
        <v>57058</v>
      </c>
      <c r="G16213" t="s">
        <v>846</v>
      </c>
      <c r="H16213">
        <v>30566</v>
      </c>
      <c r="I16213" t="s">
        <v>30</v>
      </c>
      <c r="J16213" t="s">
        <v>31</v>
      </c>
      <c r="K16213" t="s">
        <v>2524</v>
      </c>
      <c r="N16213" t="s">
        <v>56979</v>
      </c>
      <c r="O16213" t="s">
        <v>57059</v>
      </c>
      <c r="Q16213">
        <v>0</v>
      </c>
      <c r="R16213">
        <v>62</v>
      </c>
      <c r="S16213">
        <v>0</v>
      </c>
      <c r="T16213" t="s">
        <v>57060</v>
      </c>
    </row>
    <row r="16214" spans="1:20" customFormat="1" ht="15" x14ac:dyDescent="0.25">
      <c r="A16214" t="s">
        <v>24</v>
      </c>
      <c r="B16214" t="s">
        <v>57061</v>
      </c>
      <c r="C16214" t="str">
        <f>"A0100745"</f>
        <v>A0100745</v>
      </c>
      <c r="D16214" t="s">
        <v>57062</v>
      </c>
      <c r="E16214" t="s">
        <v>57063</v>
      </c>
      <c r="F16214" t="s">
        <v>33663</v>
      </c>
      <c r="G16214" t="s">
        <v>81</v>
      </c>
      <c r="H16214">
        <v>33316</v>
      </c>
      <c r="I16214" t="s">
        <v>30</v>
      </c>
      <c r="J16214" t="s">
        <v>31</v>
      </c>
      <c r="K16214" t="s">
        <v>2524</v>
      </c>
      <c r="N16214" t="s">
        <v>57064</v>
      </c>
      <c r="O16214" t="s">
        <v>57065</v>
      </c>
      <c r="Q16214">
        <v>0</v>
      </c>
      <c r="R16214">
        <v>101</v>
      </c>
      <c r="S16214">
        <v>0</v>
      </c>
      <c r="T16214" t="s">
        <v>57066</v>
      </c>
    </row>
    <row r="16215" spans="1:20" customFormat="1" ht="15" hidden="1" x14ac:dyDescent="0.25">
      <c r="A16215" t="s">
        <v>24</v>
      </c>
      <c r="B16215" t="s">
        <v>57067</v>
      </c>
      <c r="C16215" t="str">
        <f>"A0094954"</f>
        <v>A0094954</v>
      </c>
      <c r="D16215" t="s">
        <v>57068</v>
      </c>
      <c r="E16215" t="s">
        <v>57069</v>
      </c>
      <c r="F16215" t="s">
        <v>54204</v>
      </c>
      <c r="G16215" t="s">
        <v>2206</v>
      </c>
      <c r="H16215" t="s">
        <v>57070</v>
      </c>
      <c r="I16215" t="s">
        <v>1459</v>
      </c>
      <c r="J16215" t="s">
        <v>31</v>
      </c>
      <c r="K16215" t="s">
        <v>2524</v>
      </c>
      <c r="N16215" t="s">
        <v>57071</v>
      </c>
      <c r="Q16215">
        <v>0</v>
      </c>
      <c r="R16215">
        <v>84</v>
      </c>
      <c r="S16215">
        <v>0</v>
      </c>
      <c r="T16215" t="s">
        <v>57072</v>
      </c>
    </row>
    <row r="16216" spans="1:20" customFormat="1" ht="15" x14ac:dyDescent="0.25">
      <c r="A16216" t="s">
        <v>24</v>
      </c>
      <c r="B16216" t="s">
        <v>57005</v>
      </c>
      <c r="C16216" t="str">
        <f>"A0117270"</f>
        <v>A0117270</v>
      </c>
      <c r="D16216" t="s">
        <v>57073</v>
      </c>
      <c r="E16216" t="s">
        <v>57074</v>
      </c>
      <c r="F16216" t="s">
        <v>356</v>
      </c>
      <c r="G16216" t="s">
        <v>52</v>
      </c>
      <c r="H16216">
        <v>78224</v>
      </c>
      <c r="I16216" t="s">
        <v>30</v>
      </c>
      <c r="J16216" t="s">
        <v>31</v>
      </c>
      <c r="K16216" t="s">
        <v>2524</v>
      </c>
      <c r="N16216" t="s">
        <v>57075</v>
      </c>
      <c r="Q16216">
        <v>0</v>
      </c>
      <c r="R16216">
        <v>77</v>
      </c>
      <c r="S16216">
        <v>0</v>
      </c>
      <c r="T16216" t="s">
        <v>57076</v>
      </c>
    </row>
    <row r="16217" spans="1:20" customFormat="1" ht="15" x14ac:dyDescent="0.25">
      <c r="A16217" t="s">
        <v>24</v>
      </c>
      <c r="B16217" t="s">
        <v>56742</v>
      </c>
      <c r="C16217" t="str">
        <f>"A0090842"</f>
        <v>A0090842</v>
      </c>
      <c r="D16217" t="s">
        <v>57077</v>
      </c>
      <c r="E16217" t="s">
        <v>57078</v>
      </c>
      <c r="F16217" t="s">
        <v>4933</v>
      </c>
      <c r="G16217" t="s">
        <v>110</v>
      </c>
      <c r="H16217">
        <v>95076</v>
      </c>
      <c r="I16217" t="s">
        <v>30</v>
      </c>
      <c r="J16217" t="s">
        <v>31</v>
      </c>
      <c r="K16217" t="s">
        <v>2524</v>
      </c>
      <c r="N16217" t="s">
        <v>57079</v>
      </c>
      <c r="Q16217">
        <v>0</v>
      </c>
      <c r="R16217">
        <v>46</v>
      </c>
      <c r="S16217">
        <v>0</v>
      </c>
      <c r="T16217" t="s">
        <v>57080</v>
      </c>
    </row>
    <row r="16218" spans="1:20" customFormat="1" ht="15" x14ac:dyDescent="0.25">
      <c r="A16218" t="s">
        <v>24</v>
      </c>
      <c r="B16218" t="s">
        <v>57081</v>
      </c>
      <c r="C16218" t="str">
        <f>"SF02675"</f>
        <v>SF02675</v>
      </c>
      <c r="D16218" t="s">
        <v>57082</v>
      </c>
      <c r="E16218" t="s">
        <v>57083</v>
      </c>
      <c r="F16218" t="s">
        <v>24685</v>
      </c>
      <c r="G16218" t="s">
        <v>161</v>
      </c>
      <c r="H16218">
        <v>55379</v>
      </c>
      <c r="I16218" t="s">
        <v>30</v>
      </c>
      <c r="J16218" t="s">
        <v>31</v>
      </c>
      <c r="K16218" t="s">
        <v>2524</v>
      </c>
      <c r="N16218" t="s">
        <v>57084</v>
      </c>
      <c r="O16218" t="s">
        <v>57085</v>
      </c>
      <c r="Q16218">
        <v>0</v>
      </c>
      <c r="R16218">
        <v>66</v>
      </c>
      <c r="S16218">
        <v>0</v>
      </c>
      <c r="T16218" t="s">
        <v>57086</v>
      </c>
    </row>
    <row r="16219" spans="1:20" customFormat="1" ht="15" x14ac:dyDescent="0.25">
      <c r="A16219" t="s">
        <v>24</v>
      </c>
      <c r="B16219" t="s">
        <v>57087</v>
      </c>
      <c r="C16219" t="str">
        <f>"A0065866"</f>
        <v>A0065866</v>
      </c>
      <c r="D16219" t="s">
        <v>57088</v>
      </c>
      <c r="E16219" t="s">
        <v>57089</v>
      </c>
      <c r="F16219" t="s">
        <v>9303</v>
      </c>
      <c r="G16219" t="s">
        <v>137</v>
      </c>
      <c r="H16219">
        <v>63301</v>
      </c>
      <c r="I16219" t="s">
        <v>30</v>
      </c>
      <c r="J16219" t="s">
        <v>31</v>
      </c>
      <c r="K16219" t="s">
        <v>2524</v>
      </c>
      <c r="N16219" t="s">
        <v>57090</v>
      </c>
      <c r="Q16219">
        <v>0</v>
      </c>
      <c r="R16219">
        <v>133</v>
      </c>
      <c r="S16219">
        <v>0</v>
      </c>
      <c r="T16219" t="s">
        <v>57091</v>
      </c>
    </row>
    <row r="16220" spans="1:20" customFormat="1" ht="15" x14ac:dyDescent="0.25">
      <c r="A16220" t="s">
        <v>24</v>
      </c>
      <c r="B16220" t="s">
        <v>2180</v>
      </c>
      <c r="C16220" t="str">
        <f>"A0098440"</f>
        <v>A0098440</v>
      </c>
      <c r="D16220" t="s">
        <v>57092</v>
      </c>
      <c r="E16220" t="s">
        <v>57093</v>
      </c>
      <c r="F16220" t="s">
        <v>4894</v>
      </c>
      <c r="G16220" t="s">
        <v>1369</v>
      </c>
      <c r="H16220">
        <v>38804</v>
      </c>
      <c r="I16220" t="s">
        <v>30</v>
      </c>
      <c r="J16220" t="s">
        <v>31</v>
      </c>
      <c r="K16220" t="s">
        <v>2524</v>
      </c>
      <c r="Q16220">
        <v>0</v>
      </c>
      <c r="R16220">
        <v>72</v>
      </c>
      <c r="S16220">
        <v>0</v>
      </c>
      <c r="T16220" t="s">
        <v>57094</v>
      </c>
    </row>
    <row r="16221" spans="1:20" customFormat="1" ht="15" x14ac:dyDescent="0.25">
      <c r="A16221" t="s">
        <v>24</v>
      </c>
      <c r="B16221" t="s">
        <v>57095</v>
      </c>
      <c r="C16221" t="str">
        <f>"A0151279"</f>
        <v>A0151279</v>
      </c>
      <c r="D16221" t="s">
        <v>57096</v>
      </c>
      <c r="E16221" t="s">
        <v>57097</v>
      </c>
      <c r="F16221" t="s">
        <v>765</v>
      </c>
      <c r="G16221" t="s">
        <v>144</v>
      </c>
      <c r="H16221">
        <v>58801</v>
      </c>
      <c r="I16221" t="s">
        <v>30</v>
      </c>
      <c r="J16221" t="s">
        <v>31</v>
      </c>
      <c r="K16221" t="s">
        <v>2524</v>
      </c>
      <c r="N16221" t="s">
        <v>57098</v>
      </c>
      <c r="Q16221">
        <v>0</v>
      </c>
      <c r="R16221">
        <v>105</v>
      </c>
      <c r="S16221">
        <v>0</v>
      </c>
      <c r="T16221" t="s">
        <v>57099</v>
      </c>
    </row>
    <row r="16222" spans="1:20" customFormat="1" ht="15" x14ac:dyDescent="0.25">
      <c r="A16222" t="s">
        <v>24</v>
      </c>
      <c r="B16222" t="s">
        <v>12991</v>
      </c>
      <c r="C16222" t="str">
        <f>"A0097852"</f>
        <v>A0097852</v>
      </c>
      <c r="D16222" t="s">
        <v>57100</v>
      </c>
      <c r="E16222" t="s">
        <v>57101</v>
      </c>
      <c r="F16222" t="s">
        <v>57102</v>
      </c>
      <c r="G16222" t="s">
        <v>76</v>
      </c>
      <c r="H16222">
        <v>98901</v>
      </c>
      <c r="I16222" t="s">
        <v>30</v>
      </c>
      <c r="J16222" t="s">
        <v>31</v>
      </c>
      <c r="K16222" t="s">
        <v>2524</v>
      </c>
      <c r="N16222" t="s">
        <v>57103</v>
      </c>
      <c r="O16222" t="s">
        <v>57104</v>
      </c>
      <c r="Q16222">
        <v>0</v>
      </c>
      <c r="R16222">
        <v>75</v>
      </c>
      <c r="S16222">
        <v>0</v>
      </c>
      <c r="T16222" t="s">
        <v>57105</v>
      </c>
    </row>
    <row r="16223" spans="1:20" customFormat="1" ht="15" x14ac:dyDescent="0.25">
      <c r="A16223" t="s">
        <v>24</v>
      </c>
      <c r="B16223" t="s">
        <v>56826</v>
      </c>
      <c r="C16223" t="str">
        <f>"A0076482"</f>
        <v>A0076482</v>
      </c>
      <c r="D16223" t="s">
        <v>57106</v>
      </c>
      <c r="E16223" t="s">
        <v>57107</v>
      </c>
      <c r="F16223" t="s">
        <v>34770</v>
      </c>
      <c r="G16223" t="s">
        <v>1363</v>
      </c>
      <c r="H16223">
        <v>3842</v>
      </c>
      <c r="I16223" t="s">
        <v>30</v>
      </c>
      <c r="J16223" t="s">
        <v>31</v>
      </c>
      <c r="K16223" t="s">
        <v>2524</v>
      </c>
      <c r="N16223" t="s">
        <v>57108</v>
      </c>
      <c r="Q16223">
        <v>0</v>
      </c>
      <c r="R16223">
        <v>71</v>
      </c>
      <c r="S16223">
        <v>0</v>
      </c>
      <c r="T16223" t="s">
        <v>57109</v>
      </c>
    </row>
    <row r="16224" spans="1:20" customFormat="1" ht="15" x14ac:dyDescent="0.25">
      <c r="A16224" t="s">
        <v>24</v>
      </c>
      <c r="B16224" t="s">
        <v>13679</v>
      </c>
      <c r="C16224" t="str">
        <f>"337H2"</f>
        <v>337H2</v>
      </c>
      <c r="D16224" t="s">
        <v>75722</v>
      </c>
      <c r="E16224" t="s">
        <v>75723</v>
      </c>
      <c r="F16224" t="s">
        <v>75724</v>
      </c>
      <c r="G16224" t="s">
        <v>338</v>
      </c>
      <c r="H16224">
        <v>7981</v>
      </c>
      <c r="I16224" t="s">
        <v>30</v>
      </c>
      <c r="J16224" t="s">
        <v>162</v>
      </c>
      <c r="K16224" t="s">
        <v>1490</v>
      </c>
      <c r="N16224" t="s">
        <v>75725</v>
      </c>
      <c r="O16224" t="s">
        <v>75726</v>
      </c>
      <c r="Q16224">
        <v>0</v>
      </c>
      <c r="R16224">
        <v>353</v>
      </c>
      <c r="S16224">
        <v>0</v>
      </c>
      <c r="T16224" t="s">
        <v>75727</v>
      </c>
    </row>
    <row r="16225" spans="1:20" customFormat="1" ht="15" x14ac:dyDescent="0.25">
      <c r="A16225" t="s">
        <v>24</v>
      </c>
      <c r="B16225" t="s">
        <v>675</v>
      </c>
      <c r="C16225" t="str">
        <f>"337C6"</f>
        <v>337C6</v>
      </c>
      <c r="D16225" t="s">
        <v>75728</v>
      </c>
      <c r="E16225" t="s">
        <v>75729</v>
      </c>
      <c r="F16225" t="s">
        <v>1570</v>
      </c>
      <c r="G16225" t="s">
        <v>81</v>
      </c>
      <c r="H16225">
        <v>33316</v>
      </c>
      <c r="I16225" t="s">
        <v>30</v>
      </c>
      <c r="J16225" t="s">
        <v>162</v>
      </c>
      <c r="K16225" t="s">
        <v>1490</v>
      </c>
      <c r="N16225" t="s">
        <v>75730</v>
      </c>
      <c r="O16225" t="s">
        <v>75731</v>
      </c>
      <c r="Q16225">
        <v>0</v>
      </c>
      <c r="R16225">
        <v>637</v>
      </c>
      <c r="S16225">
        <v>0</v>
      </c>
      <c r="T16225" t="s">
        <v>75732</v>
      </c>
    </row>
    <row r="16226" spans="1:20" customFormat="1" ht="15" x14ac:dyDescent="0.25">
      <c r="A16226" t="s">
        <v>24</v>
      </c>
      <c r="B16226" t="s">
        <v>75738</v>
      </c>
      <c r="C16226" t="str">
        <f>"SC089"</f>
        <v>SC089</v>
      </c>
      <c r="D16226" t="s">
        <v>75739</v>
      </c>
      <c r="E16226" t="s">
        <v>75740</v>
      </c>
      <c r="F16226" t="s">
        <v>5833</v>
      </c>
      <c r="G16226" t="s">
        <v>1369</v>
      </c>
      <c r="H16226">
        <v>39201</v>
      </c>
      <c r="I16226" t="s">
        <v>30</v>
      </c>
      <c r="J16226" t="s">
        <v>162</v>
      </c>
      <c r="K16226" t="s">
        <v>1490</v>
      </c>
      <c r="N16226" t="s">
        <v>75741</v>
      </c>
      <c r="O16226" t="s">
        <v>75742</v>
      </c>
      <c r="Q16226">
        <v>0</v>
      </c>
      <c r="R16226">
        <v>303</v>
      </c>
      <c r="S16226">
        <v>0</v>
      </c>
      <c r="T16226" t="s">
        <v>75743</v>
      </c>
    </row>
    <row r="16227" spans="1:20" customFormat="1" ht="15" x14ac:dyDescent="0.25">
      <c r="A16227" t="s">
        <v>24</v>
      </c>
      <c r="B16227" t="s">
        <v>1548</v>
      </c>
      <c r="C16227" t="str">
        <f>"A0099298"</f>
        <v>A0099298</v>
      </c>
      <c r="D16227" t="s">
        <v>75744</v>
      </c>
      <c r="E16227" t="s">
        <v>75745</v>
      </c>
      <c r="F16227" t="s">
        <v>10447</v>
      </c>
      <c r="G16227" t="s">
        <v>52</v>
      </c>
      <c r="H16227">
        <v>75013</v>
      </c>
      <c r="I16227" t="s">
        <v>30</v>
      </c>
      <c r="J16227" t="s">
        <v>162</v>
      </c>
      <c r="K16227" t="s">
        <v>1490</v>
      </c>
      <c r="N16227" t="s">
        <v>75746</v>
      </c>
      <c r="O16227" t="s">
        <v>75747</v>
      </c>
      <c r="Q16227">
        <v>0</v>
      </c>
      <c r="R16227">
        <v>300</v>
      </c>
      <c r="S16227">
        <v>0</v>
      </c>
      <c r="T16227" t="s">
        <v>75748</v>
      </c>
    </row>
    <row r="16228" spans="1:20" customFormat="1" ht="15" x14ac:dyDescent="0.25">
      <c r="A16228" t="s">
        <v>24</v>
      </c>
      <c r="B16228" t="s">
        <v>675</v>
      </c>
      <c r="C16228" t="str">
        <f>"337A1"</f>
        <v>337A1</v>
      </c>
      <c r="D16228" t="s">
        <v>75749</v>
      </c>
      <c r="E16228" t="s">
        <v>75750</v>
      </c>
      <c r="F16228" t="s">
        <v>1564</v>
      </c>
      <c r="G16228" t="s">
        <v>52</v>
      </c>
      <c r="H16228">
        <v>77032</v>
      </c>
      <c r="I16228" t="s">
        <v>30</v>
      </c>
      <c r="J16228" t="s">
        <v>162</v>
      </c>
      <c r="K16228" t="s">
        <v>1490</v>
      </c>
      <c r="N16228" t="s">
        <v>75751</v>
      </c>
      <c r="Q16228">
        <v>0</v>
      </c>
      <c r="R16228">
        <v>566</v>
      </c>
      <c r="S16228">
        <v>0</v>
      </c>
      <c r="T16228" t="s">
        <v>75752</v>
      </c>
    </row>
    <row r="16229" spans="1:20" customFormat="1" ht="15" x14ac:dyDescent="0.25">
      <c r="A16229" t="s">
        <v>24</v>
      </c>
      <c r="B16229" t="s">
        <v>675</v>
      </c>
      <c r="C16229" t="str">
        <f>"337C4"</f>
        <v>337C4</v>
      </c>
      <c r="D16229" t="s">
        <v>75753</v>
      </c>
      <c r="E16229" t="s">
        <v>75754</v>
      </c>
      <c r="F16229" t="s">
        <v>1564</v>
      </c>
      <c r="G16229" t="s">
        <v>52</v>
      </c>
      <c r="H16229">
        <v>77030</v>
      </c>
      <c r="I16229" t="s">
        <v>30</v>
      </c>
      <c r="J16229" t="s">
        <v>162</v>
      </c>
      <c r="K16229" t="s">
        <v>1490</v>
      </c>
      <c r="N16229" t="s">
        <v>75755</v>
      </c>
      <c r="O16229" t="s">
        <v>13794</v>
      </c>
      <c r="Q16229">
        <v>0</v>
      </c>
      <c r="R16229">
        <v>386</v>
      </c>
      <c r="S16229">
        <v>0</v>
      </c>
      <c r="T16229" t="s">
        <v>75756</v>
      </c>
    </row>
    <row r="16230" spans="1:20" customFormat="1" ht="15" x14ac:dyDescent="0.25">
      <c r="A16230" t="s">
        <v>24</v>
      </c>
      <c r="B16230" t="s">
        <v>675</v>
      </c>
      <c r="C16230" t="str">
        <f>"34129"</f>
        <v>34129</v>
      </c>
      <c r="D16230" t="s">
        <v>75757</v>
      </c>
      <c r="E16230" t="s">
        <v>75758</v>
      </c>
      <c r="F16230" t="s">
        <v>1564</v>
      </c>
      <c r="G16230" t="s">
        <v>52</v>
      </c>
      <c r="H16230">
        <v>77027</v>
      </c>
      <c r="I16230" t="s">
        <v>30</v>
      </c>
      <c r="J16230" t="s">
        <v>162</v>
      </c>
      <c r="K16230" t="s">
        <v>1490</v>
      </c>
      <c r="Q16230">
        <v>0</v>
      </c>
      <c r="R16230">
        <v>302</v>
      </c>
      <c r="S16230">
        <v>0</v>
      </c>
      <c r="T16230" t="s">
        <v>75759</v>
      </c>
    </row>
    <row r="16231" spans="1:20" customFormat="1" ht="15" x14ac:dyDescent="0.25">
      <c r="A16231" t="s">
        <v>24</v>
      </c>
      <c r="B16231" t="s">
        <v>1548</v>
      </c>
      <c r="C16231" t="str">
        <f>"337W2"</f>
        <v>337W2</v>
      </c>
      <c r="D16231" t="s">
        <v>75760</v>
      </c>
      <c r="E16231" t="s">
        <v>75761</v>
      </c>
      <c r="F16231" t="s">
        <v>7455</v>
      </c>
      <c r="G16231" t="s">
        <v>123</v>
      </c>
      <c r="H16231">
        <v>21201</v>
      </c>
      <c r="I16231" t="s">
        <v>30</v>
      </c>
      <c r="J16231" t="s">
        <v>162</v>
      </c>
      <c r="K16231" t="s">
        <v>1490</v>
      </c>
      <c r="N16231" t="s">
        <v>70023</v>
      </c>
      <c r="O16231" t="s">
        <v>75762</v>
      </c>
      <c r="Q16231">
        <v>0</v>
      </c>
      <c r="R16231">
        <v>524</v>
      </c>
      <c r="S16231">
        <v>0</v>
      </c>
      <c r="T16231" t="s">
        <v>75763</v>
      </c>
    </row>
    <row r="16232" spans="1:20" customFormat="1" ht="15" x14ac:dyDescent="0.25">
      <c r="A16232" t="s">
        <v>24</v>
      </c>
      <c r="B16232" t="s">
        <v>675</v>
      </c>
      <c r="C16232" t="str">
        <f>"33797"</f>
        <v>33797</v>
      </c>
      <c r="D16232" t="s">
        <v>75764</v>
      </c>
      <c r="E16232" t="s">
        <v>75765</v>
      </c>
      <c r="F16232" t="s">
        <v>808</v>
      </c>
      <c r="G16232" t="s">
        <v>110</v>
      </c>
      <c r="H16232">
        <v>92612</v>
      </c>
      <c r="I16232" t="s">
        <v>30</v>
      </c>
      <c r="J16232" t="s">
        <v>162</v>
      </c>
      <c r="K16232" t="s">
        <v>1490</v>
      </c>
      <c r="N16232" t="s">
        <v>75766</v>
      </c>
      <c r="O16232" t="s">
        <v>75767</v>
      </c>
      <c r="Q16232">
        <v>0</v>
      </c>
      <c r="R16232">
        <v>485</v>
      </c>
      <c r="S16232">
        <v>0</v>
      </c>
      <c r="T16232" t="s">
        <v>75768</v>
      </c>
    </row>
    <row r="16233" spans="1:20" customFormat="1" ht="15" x14ac:dyDescent="0.25">
      <c r="A16233" t="s">
        <v>24</v>
      </c>
      <c r="B16233" t="s">
        <v>675</v>
      </c>
      <c r="C16233" t="str">
        <f>"A0098461"</f>
        <v>A0098461</v>
      </c>
      <c r="D16233" t="s">
        <v>75769</v>
      </c>
      <c r="E16233" t="s">
        <v>75770</v>
      </c>
      <c r="F16233" t="s">
        <v>808</v>
      </c>
      <c r="G16233" t="s">
        <v>110</v>
      </c>
      <c r="H16233">
        <v>92618</v>
      </c>
      <c r="I16233" t="s">
        <v>30</v>
      </c>
      <c r="J16233" t="s">
        <v>162</v>
      </c>
      <c r="K16233" t="s">
        <v>1490</v>
      </c>
      <c r="N16233" t="s">
        <v>75771</v>
      </c>
      <c r="O16233" t="s">
        <v>75164</v>
      </c>
      <c r="Q16233">
        <v>0</v>
      </c>
      <c r="R16233">
        <v>271</v>
      </c>
      <c r="S16233">
        <v>0</v>
      </c>
      <c r="T16233" t="s">
        <v>75772</v>
      </c>
    </row>
    <row r="16234" spans="1:20" customFormat="1" ht="15" x14ac:dyDescent="0.25">
      <c r="A16234" t="s">
        <v>24</v>
      </c>
      <c r="B16234" t="s">
        <v>55661</v>
      </c>
      <c r="C16234" t="str">
        <f>"SC165"</f>
        <v>SC165</v>
      </c>
      <c r="D16234" t="s">
        <v>57157</v>
      </c>
      <c r="E16234" t="s">
        <v>57158</v>
      </c>
      <c r="F16234" t="s">
        <v>13767</v>
      </c>
      <c r="G16234" t="s">
        <v>4815</v>
      </c>
      <c r="H16234">
        <v>96819</v>
      </c>
      <c r="I16234" t="s">
        <v>30</v>
      </c>
      <c r="J16234" t="s">
        <v>31</v>
      </c>
      <c r="K16234" t="s">
        <v>1259</v>
      </c>
      <c r="N16234" t="s">
        <v>55665</v>
      </c>
      <c r="Q16234">
        <v>0</v>
      </c>
      <c r="R16234">
        <v>274</v>
      </c>
      <c r="S16234">
        <v>0</v>
      </c>
      <c r="T16234" t="s">
        <v>57159</v>
      </c>
    </row>
    <row r="16235" spans="1:20" customFormat="1" ht="15" x14ac:dyDescent="0.25">
      <c r="A16235" t="s">
        <v>24</v>
      </c>
      <c r="B16235" t="s">
        <v>675</v>
      </c>
      <c r="C16235" t="str">
        <f>"61AM8"</f>
        <v>61AM8</v>
      </c>
      <c r="D16235" t="s">
        <v>75773</v>
      </c>
      <c r="E16235" t="s">
        <v>75774</v>
      </c>
      <c r="F16235" t="s">
        <v>1564</v>
      </c>
      <c r="G16235" t="s">
        <v>52</v>
      </c>
      <c r="H16235">
        <v>77030</v>
      </c>
      <c r="I16235" t="s">
        <v>30</v>
      </c>
      <c r="J16235" t="s">
        <v>162</v>
      </c>
      <c r="K16235" t="s">
        <v>57369</v>
      </c>
      <c r="N16235" t="s">
        <v>75775</v>
      </c>
      <c r="Q16235">
        <v>0</v>
      </c>
      <c r="R16235">
        <v>322</v>
      </c>
      <c r="S16235">
        <v>0</v>
      </c>
      <c r="T16235" t="s">
        <v>75776</v>
      </c>
    </row>
    <row r="16236" spans="1:20" customFormat="1" ht="15" x14ac:dyDescent="0.25">
      <c r="A16236" t="s">
        <v>24</v>
      </c>
      <c r="B16236" t="s">
        <v>2373</v>
      </c>
      <c r="C16236" t="str">
        <f>"337F1"</f>
        <v>337F1</v>
      </c>
      <c r="D16236" t="s">
        <v>75777</v>
      </c>
      <c r="E16236" t="s">
        <v>75778</v>
      </c>
      <c r="F16236" t="s">
        <v>64361</v>
      </c>
      <c r="G16236" t="s">
        <v>110</v>
      </c>
      <c r="H16236">
        <v>92037</v>
      </c>
      <c r="I16236" t="s">
        <v>30</v>
      </c>
      <c r="J16236" t="s">
        <v>162</v>
      </c>
      <c r="K16236" t="s">
        <v>1490</v>
      </c>
      <c r="N16236" t="s">
        <v>75779</v>
      </c>
      <c r="Q16236">
        <v>0</v>
      </c>
      <c r="R16236">
        <v>360</v>
      </c>
      <c r="S16236">
        <v>0</v>
      </c>
      <c r="T16236" t="s">
        <v>75780</v>
      </c>
    </row>
    <row r="16237" spans="1:20" customFormat="1" ht="15" x14ac:dyDescent="0.25">
      <c r="A16237" t="s">
        <v>24</v>
      </c>
      <c r="B16237" t="s">
        <v>675</v>
      </c>
      <c r="C16237" t="str">
        <f>"337U2"</f>
        <v>337U2</v>
      </c>
      <c r="D16237" t="s">
        <v>75781</v>
      </c>
      <c r="E16237" t="s">
        <v>75782</v>
      </c>
      <c r="F16237" t="s">
        <v>220</v>
      </c>
      <c r="G16237" t="s">
        <v>221</v>
      </c>
      <c r="H16237">
        <v>89109</v>
      </c>
      <c r="I16237" t="s">
        <v>30</v>
      </c>
      <c r="J16237" t="s">
        <v>162</v>
      </c>
      <c r="K16237" t="s">
        <v>1490</v>
      </c>
      <c r="N16237" t="s">
        <v>75783</v>
      </c>
      <c r="O16237" t="s">
        <v>75784</v>
      </c>
      <c r="Q16237">
        <v>0</v>
      </c>
      <c r="R16237">
        <v>278</v>
      </c>
      <c r="S16237">
        <v>0</v>
      </c>
      <c r="T16237" t="s">
        <v>75785</v>
      </c>
    </row>
    <row r="16238" spans="1:20" customFormat="1" ht="15" x14ac:dyDescent="0.25">
      <c r="A16238" t="s">
        <v>24</v>
      </c>
      <c r="B16238" t="s">
        <v>57175</v>
      </c>
      <c r="C16238" t="str">
        <f>"A0053243"</f>
        <v>A0053243</v>
      </c>
      <c r="D16238" t="s">
        <v>57176</v>
      </c>
      <c r="E16238" t="s">
        <v>57177</v>
      </c>
      <c r="F16238" t="s">
        <v>6609</v>
      </c>
      <c r="G16238" t="s">
        <v>123</v>
      </c>
      <c r="H16238">
        <v>20817</v>
      </c>
      <c r="I16238" t="s">
        <v>30</v>
      </c>
      <c r="J16238" t="s">
        <v>178</v>
      </c>
      <c r="K16238" t="s">
        <v>179</v>
      </c>
      <c r="N16238" t="s">
        <v>57178</v>
      </c>
      <c r="O16238" t="s">
        <v>57179</v>
      </c>
      <c r="Q16238">
        <v>0</v>
      </c>
      <c r="R16238">
        <v>0</v>
      </c>
      <c r="S16238">
        <v>0</v>
      </c>
      <c r="T16238" t="s">
        <v>57180</v>
      </c>
    </row>
    <row r="16239" spans="1:20" customFormat="1" ht="15" x14ac:dyDescent="0.25">
      <c r="A16239" t="s">
        <v>24</v>
      </c>
      <c r="B16239" t="s">
        <v>7339</v>
      </c>
      <c r="C16239" t="str">
        <f>"33729"</f>
        <v>33729</v>
      </c>
      <c r="D16239" t="s">
        <v>75786</v>
      </c>
      <c r="E16239" t="s">
        <v>75787</v>
      </c>
      <c r="F16239" t="s">
        <v>60060</v>
      </c>
      <c r="G16239" t="s">
        <v>289</v>
      </c>
      <c r="H16239">
        <v>60069</v>
      </c>
      <c r="I16239" t="s">
        <v>30</v>
      </c>
      <c r="J16239" t="s">
        <v>162</v>
      </c>
      <c r="K16239" t="s">
        <v>1490</v>
      </c>
      <c r="N16239" t="s">
        <v>75788</v>
      </c>
      <c r="O16239" t="s">
        <v>75789</v>
      </c>
      <c r="P16239" t="s">
        <v>3998</v>
      </c>
      <c r="Q16239">
        <v>1</v>
      </c>
      <c r="R16239">
        <v>390</v>
      </c>
      <c r="S16239">
        <v>0</v>
      </c>
      <c r="T16239" t="s">
        <v>75790</v>
      </c>
    </row>
    <row r="16240" spans="1:20" customFormat="1" ht="15" x14ac:dyDescent="0.25">
      <c r="A16240" t="s">
        <v>24</v>
      </c>
      <c r="B16240" t="s">
        <v>814</v>
      </c>
      <c r="C16240" t="str">
        <f>"A0064172"</f>
        <v>A0064172</v>
      </c>
      <c r="D16240" t="s">
        <v>75791</v>
      </c>
      <c r="E16240" t="s">
        <v>75792</v>
      </c>
      <c r="F16240" t="s">
        <v>4334</v>
      </c>
      <c r="G16240" t="s">
        <v>85</v>
      </c>
      <c r="H16240">
        <v>72201</v>
      </c>
      <c r="I16240" t="s">
        <v>30</v>
      </c>
      <c r="J16240" t="s">
        <v>162</v>
      </c>
      <c r="K16240" t="s">
        <v>1490</v>
      </c>
      <c r="N16240" t="s">
        <v>75793</v>
      </c>
      <c r="O16240" t="s">
        <v>75794</v>
      </c>
      <c r="Q16240">
        <v>0</v>
      </c>
      <c r="R16240">
        <v>418</v>
      </c>
      <c r="S16240">
        <v>0</v>
      </c>
      <c r="T16240" t="s">
        <v>75795</v>
      </c>
    </row>
    <row r="16241" spans="1:20" customFormat="1" ht="15" x14ac:dyDescent="0.25">
      <c r="A16241" t="s">
        <v>24</v>
      </c>
      <c r="B16241" t="s">
        <v>57190</v>
      </c>
      <c r="C16241" t="str">
        <f>"A0052530"</f>
        <v>A0052530</v>
      </c>
      <c r="D16241" t="s">
        <v>57190</v>
      </c>
      <c r="E16241" t="s">
        <v>57191</v>
      </c>
      <c r="F16241" t="s">
        <v>34412</v>
      </c>
      <c r="G16241" t="s">
        <v>110</v>
      </c>
      <c r="H16241">
        <v>92660</v>
      </c>
      <c r="I16241" t="s">
        <v>30</v>
      </c>
      <c r="J16241" t="s">
        <v>178</v>
      </c>
      <c r="K16241" t="s">
        <v>179</v>
      </c>
      <c r="N16241" t="s">
        <v>57192</v>
      </c>
      <c r="O16241" t="s">
        <v>57193</v>
      </c>
      <c r="P16241" t="s">
        <v>992</v>
      </c>
      <c r="Q16241">
        <v>1</v>
      </c>
      <c r="R16241">
        <v>0</v>
      </c>
      <c r="S16241">
        <v>0</v>
      </c>
      <c r="T16241" t="s">
        <v>57194</v>
      </c>
    </row>
    <row r="16242" spans="1:20" customFormat="1" ht="15" x14ac:dyDescent="0.25">
      <c r="A16242" t="s">
        <v>24</v>
      </c>
      <c r="B16242" t="s">
        <v>1548</v>
      </c>
      <c r="C16242" t="str">
        <f>"337K5"</f>
        <v>337K5</v>
      </c>
      <c r="D16242" t="s">
        <v>75796</v>
      </c>
      <c r="E16242" t="s">
        <v>75797</v>
      </c>
      <c r="F16242" t="s">
        <v>6348</v>
      </c>
      <c r="G16242" t="s">
        <v>117</v>
      </c>
      <c r="H16242">
        <v>48152</v>
      </c>
      <c r="I16242" t="s">
        <v>30</v>
      </c>
      <c r="J16242" t="s">
        <v>162</v>
      </c>
      <c r="K16242" t="s">
        <v>1490</v>
      </c>
      <c r="N16242" t="s">
        <v>75798</v>
      </c>
      <c r="Q16242">
        <v>0</v>
      </c>
      <c r="R16242">
        <v>224</v>
      </c>
      <c r="S16242">
        <v>0</v>
      </c>
      <c r="T16242" t="s">
        <v>75799</v>
      </c>
    </row>
    <row r="16243" spans="1:20" customFormat="1" ht="15" x14ac:dyDescent="0.25">
      <c r="A16243" t="s">
        <v>24</v>
      </c>
      <c r="B16243" t="s">
        <v>59423</v>
      </c>
      <c r="C16243" t="str">
        <f>"34156"</f>
        <v>34156</v>
      </c>
      <c r="D16243" t="s">
        <v>75800</v>
      </c>
      <c r="E16243" t="s">
        <v>75801</v>
      </c>
      <c r="F16243" t="s">
        <v>693</v>
      </c>
      <c r="G16243" t="s">
        <v>110</v>
      </c>
      <c r="H16243">
        <v>90815</v>
      </c>
      <c r="I16243" t="s">
        <v>30</v>
      </c>
      <c r="J16243" t="s">
        <v>162</v>
      </c>
      <c r="K16243" t="s">
        <v>1490</v>
      </c>
      <c r="N16243" t="s">
        <v>75802</v>
      </c>
      <c r="O16243" t="s">
        <v>75803</v>
      </c>
      <c r="Q16243">
        <v>0</v>
      </c>
      <c r="R16243">
        <v>311</v>
      </c>
      <c r="S16243">
        <v>0</v>
      </c>
      <c r="T16243" t="s">
        <v>75804</v>
      </c>
    </row>
    <row r="16244" spans="1:20" customFormat="1" ht="15" x14ac:dyDescent="0.25">
      <c r="A16244" t="s">
        <v>24</v>
      </c>
      <c r="B16244" t="s">
        <v>2360</v>
      </c>
      <c r="C16244" t="str">
        <f>"A0067670"</f>
        <v>A0067670</v>
      </c>
      <c r="D16244" t="s">
        <v>57206</v>
      </c>
      <c r="E16244" t="s">
        <v>57207</v>
      </c>
      <c r="F16244" t="s">
        <v>8485</v>
      </c>
      <c r="G16244" t="s">
        <v>190</v>
      </c>
      <c r="H16244">
        <v>80138</v>
      </c>
      <c r="I16244" t="s">
        <v>30</v>
      </c>
      <c r="J16244" t="s">
        <v>2415</v>
      </c>
      <c r="K16244" t="s">
        <v>55688</v>
      </c>
      <c r="N16244" t="s">
        <v>57208</v>
      </c>
      <c r="O16244" t="s">
        <v>57209</v>
      </c>
      <c r="P16244" t="s">
        <v>6426</v>
      </c>
      <c r="Q16244">
        <v>1</v>
      </c>
      <c r="R16244">
        <v>0</v>
      </c>
      <c r="S16244">
        <v>0</v>
      </c>
      <c r="T16244" t="s">
        <v>57210</v>
      </c>
    </row>
    <row r="16245" spans="1:20" customFormat="1" ht="15" x14ac:dyDescent="0.25">
      <c r="A16245" t="s">
        <v>24</v>
      </c>
      <c r="B16245" t="s">
        <v>2360</v>
      </c>
      <c r="C16245" t="str">
        <f>"A0074804"</f>
        <v>A0074804</v>
      </c>
      <c r="D16245" t="s">
        <v>57211</v>
      </c>
      <c r="E16245" t="s">
        <v>57212</v>
      </c>
      <c r="F16245" t="s">
        <v>33094</v>
      </c>
      <c r="G16245" t="s">
        <v>190</v>
      </c>
      <c r="H16245">
        <v>80016</v>
      </c>
      <c r="I16245" t="s">
        <v>30</v>
      </c>
      <c r="J16245" t="s">
        <v>178</v>
      </c>
      <c r="K16245" t="s">
        <v>55688</v>
      </c>
      <c r="N16245" t="s">
        <v>57208</v>
      </c>
      <c r="O16245" t="s">
        <v>57213</v>
      </c>
      <c r="Q16245">
        <v>1</v>
      </c>
      <c r="R16245">
        <v>0</v>
      </c>
      <c r="S16245">
        <v>0</v>
      </c>
      <c r="T16245" t="s">
        <v>57214</v>
      </c>
    </row>
    <row r="16246" spans="1:20" customFormat="1" ht="15" x14ac:dyDescent="0.25">
      <c r="A16246" t="s">
        <v>24</v>
      </c>
      <c r="B16246" t="s">
        <v>675</v>
      </c>
      <c r="C16246" t="str">
        <f>"33718"</f>
        <v>33718</v>
      </c>
      <c r="D16246" t="s">
        <v>75805</v>
      </c>
      <c r="E16246" t="s">
        <v>75806</v>
      </c>
      <c r="F16246" t="s">
        <v>1519</v>
      </c>
      <c r="G16246" t="s">
        <v>110</v>
      </c>
      <c r="H16246">
        <v>90045</v>
      </c>
      <c r="I16246" t="s">
        <v>30</v>
      </c>
      <c r="J16246" t="s">
        <v>162</v>
      </c>
      <c r="K16246" t="s">
        <v>1490</v>
      </c>
      <c r="N16246" t="s">
        <v>64806</v>
      </c>
      <c r="O16246" t="s">
        <v>75807</v>
      </c>
      <c r="Q16246">
        <v>0</v>
      </c>
      <c r="R16246">
        <v>1004</v>
      </c>
      <c r="S16246">
        <v>0</v>
      </c>
      <c r="T16246" t="s">
        <v>75808</v>
      </c>
    </row>
    <row r="16247" spans="1:20" customFormat="1" ht="15" x14ac:dyDescent="0.25">
      <c r="A16247" t="s">
        <v>24</v>
      </c>
      <c r="B16247" t="s">
        <v>1487</v>
      </c>
      <c r="C16247" t="str">
        <f>"A0075089"</f>
        <v>A0075089</v>
      </c>
      <c r="D16247" t="s">
        <v>75809</v>
      </c>
      <c r="E16247" t="s">
        <v>75810</v>
      </c>
      <c r="F16247" t="s">
        <v>3466</v>
      </c>
      <c r="G16247" t="s">
        <v>840</v>
      </c>
      <c r="H16247">
        <v>40202</v>
      </c>
      <c r="I16247" t="s">
        <v>30</v>
      </c>
      <c r="J16247" t="s">
        <v>162</v>
      </c>
      <c r="K16247" t="s">
        <v>1490</v>
      </c>
      <c r="N16247" t="s">
        <v>75811</v>
      </c>
      <c r="O16247" t="s">
        <v>75812</v>
      </c>
      <c r="Q16247">
        <v>0</v>
      </c>
      <c r="R16247">
        <v>616</v>
      </c>
      <c r="S16247">
        <v>0</v>
      </c>
      <c r="T16247" t="s">
        <v>75813</v>
      </c>
    </row>
    <row r="16248" spans="1:20" customFormat="1" ht="15" hidden="1" x14ac:dyDescent="0.25">
      <c r="A16248" t="s">
        <v>24</v>
      </c>
      <c r="B16248" t="s">
        <v>9400</v>
      </c>
      <c r="C16248" t="str">
        <f>"A0068899"</f>
        <v>A0068899</v>
      </c>
      <c r="D16248" t="s">
        <v>9525</v>
      </c>
      <c r="E16248" t="s">
        <v>57225</v>
      </c>
      <c r="F16248" t="s">
        <v>57226</v>
      </c>
      <c r="G16248" t="s">
        <v>2206</v>
      </c>
      <c r="H16248" t="s">
        <v>57227</v>
      </c>
      <c r="I16248" t="s">
        <v>1459</v>
      </c>
      <c r="J16248" t="s">
        <v>162</v>
      </c>
      <c r="K16248" t="s">
        <v>163</v>
      </c>
      <c r="N16248" t="s">
        <v>57228</v>
      </c>
      <c r="O16248" t="s">
        <v>57229</v>
      </c>
      <c r="Q16248">
        <v>0</v>
      </c>
      <c r="R16248">
        <v>0</v>
      </c>
      <c r="S16248">
        <v>0</v>
      </c>
      <c r="T16248" t="s">
        <v>57230</v>
      </c>
    </row>
    <row r="16249" spans="1:20" customFormat="1" ht="15" x14ac:dyDescent="0.25">
      <c r="A16249" t="s">
        <v>24</v>
      </c>
      <c r="B16249" t="s">
        <v>2360</v>
      </c>
      <c r="C16249" t="str">
        <f>"A0075693"</f>
        <v>A0075693</v>
      </c>
      <c r="D16249" t="s">
        <v>57231</v>
      </c>
      <c r="E16249" t="s">
        <v>57232</v>
      </c>
      <c r="F16249" t="s">
        <v>15230</v>
      </c>
      <c r="G16249" t="s">
        <v>880</v>
      </c>
      <c r="H16249">
        <v>37075</v>
      </c>
      <c r="I16249" t="s">
        <v>30</v>
      </c>
      <c r="J16249" t="s">
        <v>178</v>
      </c>
      <c r="K16249" t="s">
        <v>55688</v>
      </c>
      <c r="P16249" t="s">
        <v>992</v>
      </c>
      <c r="Q16249">
        <v>1</v>
      </c>
      <c r="R16249">
        <v>0</v>
      </c>
      <c r="S16249">
        <v>0</v>
      </c>
      <c r="T16249" t="s">
        <v>57233</v>
      </c>
    </row>
    <row r="16250" spans="1:20" customFormat="1" ht="15" x14ac:dyDescent="0.25">
      <c r="A16250" t="s">
        <v>24</v>
      </c>
      <c r="B16250" t="s">
        <v>57234</v>
      </c>
      <c r="C16250" t="str">
        <f>"A0051613"</f>
        <v>A0051613</v>
      </c>
      <c r="D16250" t="s">
        <v>57235</v>
      </c>
      <c r="E16250" t="s">
        <v>57236</v>
      </c>
      <c r="F16250" t="s">
        <v>57237</v>
      </c>
      <c r="G16250" t="s">
        <v>103</v>
      </c>
      <c r="H16250">
        <v>19422</v>
      </c>
      <c r="I16250" t="s">
        <v>30</v>
      </c>
      <c r="J16250" t="s">
        <v>178</v>
      </c>
      <c r="K16250" t="s">
        <v>179</v>
      </c>
      <c r="N16250" t="s">
        <v>57238</v>
      </c>
      <c r="O16250" t="s">
        <v>57239</v>
      </c>
      <c r="P16250" t="s">
        <v>992</v>
      </c>
      <c r="Q16250">
        <v>1</v>
      </c>
      <c r="R16250">
        <v>18</v>
      </c>
      <c r="S16250">
        <v>0</v>
      </c>
      <c r="T16250" t="s">
        <v>57240</v>
      </c>
    </row>
    <row r="16251" spans="1:20" customFormat="1" ht="15" x14ac:dyDescent="0.25">
      <c r="A16251" t="s">
        <v>24</v>
      </c>
      <c r="B16251" t="s">
        <v>7220</v>
      </c>
      <c r="C16251" t="str">
        <f>"A0060652"</f>
        <v>A0060652</v>
      </c>
      <c r="D16251" t="s">
        <v>57241</v>
      </c>
      <c r="E16251" t="s">
        <v>57242</v>
      </c>
      <c r="F16251" t="s">
        <v>57243</v>
      </c>
      <c r="G16251" t="s">
        <v>71</v>
      </c>
      <c r="H16251">
        <v>54971</v>
      </c>
      <c r="I16251" t="s">
        <v>30</v>
      </c>
      <c r="J16251" t="s">
        <v>31</v>
      </c>
      <c r="K16251" t="s">
        <v>57244</v>
      </c>
      <c r="N16251" t="s">
        <v>57245</v>
      </c>
      <c r="Q16251">
        <v>0</v>
      </c>
      <c r="R16251">
        <v>42</v>
      </c>
      <c r="S16251">
        <v>0</v>
      </c>
      <c r="T16251" t="s">
        <v>57246</v>
      </c>
    </row>
    <row r="16252" spans="1:20" customFormat="1" ht="15" x14ac:dyDescent="0.25">
      <c r="A16252" t="s">
        <v>24</v>
      </c>
      <c r="B16252" t="s">
        <v>7220</v>
      </c>
      <c r="C16252" t="str">
        <f>"A0094159"</f>
        <v>A0094159</v>
      </c>
      <c r="D16252" t="s">
        <v>57247</v>
      </c>
      <c r="E16252" t="s">
        <v>57248</v>
      </c>
      <c r="F16252" t="s">
        <v>57249</v>
      </c>
      <c r="G16252" t="s">
        <v>71</v>
      </c>
      <c r="H16252">
        <v>54166</v>
      </c>
      <c r="I16252" t="s">
        <v>30</v>
      </c>
      <c r="J16252" t="s">
        <v>31</v>
      </c>
      <c r="K16252" t="s">
        <v>57244</v>
      </c>
      <c r="N16252" t="s">
        <v>57250</v>
      </c>
      <c r="Q16252">
        <v>0</v>
      </c>
      <c r="R16252">
        <v>65</v>
      </c>
      <c r="S16252">
        <v>0</v>
      </c>
      <c r="T16252" t="s">
        <v>57251</v>
      </c>
    </row>
    <row r="16253" spans="1:20" customFormat="1" ht="15" x14ac:dyDescent="0.25">
      <c r="A16253" t="s">
        <v>24</v>
      </c>
      <c r="B16253" t="s">
        <v>57252</v>
      </c>
      <c r="C16253" t="str">
        <f>"A0049246"</f>
        <v>A0049246</v>
      </c>
      <c r="D16253" t="s">
        <v>57253</v>
      </c>
      <c r="E16253" t="s">
        <v>57254</v>
      </c>
      <c r="F16253" t="s">
        <v>6972</v>
      </c>
      <c r="G16253" t="s">
        <v>81</v>
      </c>
      <c r="H16253">
        <v>33433</v>
      </c>
      <c r="I16253" t="s">
        <v>30</v>
      </c>
      <c r="J16253" t="s">
        <v>178</v>
      </c>
      <c r="K16253" t="s">
        <v>179</v>
      </c>
      <c r="N16253" t="s">
        <v>57255</v>
      </c>
      <c r="O16253" t="s">
        <v>57256</v>
      </c>
      <c r="P16253" t="s">
        <v>992</v>
      </c>
      <c r="Q16253">
        <v>2</v>
      </c>
      <c r="R16253">
        <v>0</v>
      </c>
      <c r="S16253">
        <v>0</v>
      </c>
      <c r="T16253" t="s">
        <v>57257</v>
      </c>
    </row>
    <row r="16254" spans="1:20" customFormat="1" ht="15" x14ac:dyDescent="0.25">
      <c r="A16254" t="s">
        <v>24</v>
      </c>
      <c r="B16254" t="s">
        <v>4400</v>
      </c>
      <c r="C16254" t="str">
        <f>"34138"</f>
        <v>34138</v>
      </c>
      <c r="D16254" t="s">
        <v>75814</v>
      </c>
      <c r="E16254" t="s">
        <v>75815</v>
      </c>
      <c r="F16254" t="s">
        <v>3466</v>
      </c>
      <c r="G16254" t="s">
        <v>840</v>
      </c>
      <c r="H16254">
        <v>40299</v>
      </c>
      <c r="I16254" t="s">
        <v>30</v>
      </c>
      <c r="J16254" t="s">
        <v>162</v>
      </c>
      <c r="K16254" t="s">
        <v>1490</v>
      </c>
      <c r="N16254" t="s">
        <v>75816</v>
      </c>
      <c r="O16254" t="s">
        <v>75817</v>
      </c>
      <c r="Q16254">
        <v>0</v>
      </c>
      <c r="R16254">
        <v>252</v>
      </c>
      <c r="S16254">
        <v>0</v>
      </c>
      <c r="T16254" t="s">
        <v>75818</v>
      </c>
    </row>
    <row r="16255" spans="1:20" hidden="1" x14ac:dyDescent="0.25">
      <c r="A16255" s="3" t="s">
        <v>24</v>
      </c>
      <c r="B16255" s="3" t="s">
        <v>57264</v>
      </c>
      <c r="C16255" s="3" t="str">
        <f>"A0092580"</f>
        <v>A0092580</v>
      </c>
      <c r="D16255" s="3" t="s">
        <v>57265</v>
      </c>
      <c r="E16255" s="3" t="s">
        <v>57266</v>
      </c>
      <c r="F16255" s="3" t="s">
        <v>57267</v>
      </c>
      <c r="G16255" s="3" t="s">
        <v>16145</v>
      </c>
      <c r="H16255" s="3">
        <v>802</v>
      </c>
      <c r="I16255" s="3" t="s">
        <v>16146</v>
      </c>
      <c r="J16255" s="3" t="s">
        <v>206</v>
      </c>
      <c r="K16255" s="3" t="s">
        <v>163</v>
      </c>
      <c r="N16255" s="3" t="s">
        <v>57268</v>
      </c>
      <c r="Q16255" s="3">
        <v>0</v>
      </c>
      <c r="R16255" s="3">
        <v>65</v>
      </c>
      <c r="S16255" s="3">
        <v>0</v>
      </c>
      <c r="T16255" s="3" t="s">
        <v>57269</v>
      </c>
    </row>
    <row r="16256" spans="1:20" customFormat="1" ht="15" x14ac:dyDescent="0.25">
      <c r="A16256" t="s">
        <v>24</v>
      </c>
      <c r="B16256" t="s">
        <v>57270</v>
      </c>
      <c r="C16256" t="str">
        <f>"A0049237"</f>
        <v>A0049237</v>
      </c>
      <c r="D16256" t="s">
        <v>57271</v>
      </c>
      <c r="E16256" t="s">
        <v>57272</v>
      </c>
      <c r="F16256" t="s">
        <v>1570</v>
      </c>
      <c r="G16256" t="s">
        <v>81</v>
      </c>
      <c r="H16256">
        <v>33326</v>
      </c>
      <c r="I16256" t="s">
        <v>30</v>
      </c>
      <c r="J16256" t="s">
        <v>178</v>
      </c>
      <c r="K16256" t="s">
        <v>179</v>
      </c>
      <c r="N16256" t="s">
        <v>57273</v>
      </c>
      <c r="Q16256">
        <v>0</v>
      </c>
      <c r="R16256">
        <v>0</v>
      </c>
      <c r="S16256">
        <v>0</v>
      </c>
      <c r="T16256" t="s">
        <v>57274</v>
      </c>
    </row>
    <row r="16257" spans="1:25" customFormat="1" ht="15" x14ac:dyDescent="0.25">
      <c r="A16257" t="s">
        <v>24</v>
      </c>
      <c r="B16257" t="s">
        <v>675</v>
      </c>
      <c r="C16257" t="str">
        <f>"337T7"</f>
        <v>337T7</v>
      </c>
      <c r="D16257" t="s">
        <v>75819</v>
      </c>
      <c r="E16257" t="s">
        <v>75820</v>
      </c>
      <c r="F16257" t="s">
        <v>69409</v>
      </c>
      <c r="G16257" t="s">
        <v>110</v>
      </c>
      <c r="H16257">
        <v>90292</v>
      </c>
      <c r="I16257" t="s">
        <v>30</v>
      </c>
      <c r="J16257" t="s">
        <v>162</v>
      </c>
      <c r="K16257" t="s">
        <v>1490</v>
      </c>
      <c r="N16257" t="s">
        <v>61835</v>
      </c>
      <c r="O16257" t="s">
        <v>75821</v>
      </c>
      <c r="Q16257">
        <v>0</v>
      </c>
      <c r="R16257">
        <v>371</v>
      </c>
      <c r="S16257">
        <v>0</v>
      </c>
      <c r="T16257" t="s">
        <v>75822</v>
      </c>
    </row>
    <row r="16258" spans="1:25" customFormat="1" ht="15" x14ac:dyDescent="0.25">
      <c r="A16258" t="s">
        <v>24</v>
      </c>
      <c r="B16258" t="s">
        <v>675</v>
      </c>
      <c r="C16258" t="str">
        <f>"A0094656"</f>
        <v>A0094656</v>
      </c>
      <c r="D16258" t="s">
        <v>75823</v>
      </c>
      <c r="E16258" t="s">
        <v>75824</v>
      </c>
      <c r="F16258" t="s">
        <v>716</v>
      </c>
      <c r="G16258" t="s">
        <v>289</v>
      </c>
      <c r="H16258">
        <v>60616</v>
      </c>
      <c r="I16258" t="s">
        <v>30</v>
      </c>
      <c r="J16258" t="s">
        <v>162</v>
      </c>
      <c r="K16258" t="s">
        <v>1490</v>
      </c>
      <c r="N16258" t="s">
        <v>75825</v>
      </c>
      <c r="O16258" t="s">
        <v>75826</v>
      </c>
      <c r="Q16258">
        <v>0</v>
      </c>
      <c r="R16258">
        <v>1200</v>
      </c>
      <c r="S16258">
        <v>0</v>
      </c>
      <c r="T16258" t="s">
        <v>75827</v>
      </c>
    </row>
    <row r="16259" spans="1:25" customFormat="1" ht="15" x14ac:dyDescent="0.25">
      <c r="A16259" t="s">
        <v>24</v>
      </c>
      <c r="B16259" t="s">
        <v>2360</v>
      </c>
      <c r="C16259" t="str">
        <f>"CL1344"</f>
        <v>CL1344</v>
      </c>
      <c r="D16259" t="s">
        <v>57284</v>
      </c>
      <c r="E16259" t="s">
        <v>57285</v>
      </c>
      <c r="F16259" t="s">
        <v>1208</v>
      </c>
      <c r="G16259" t="s">
        <v>899</v>
      </c>
      <c r="H16259">
        <v>2110</v>
      </c>
      <c r="I16259" t="s">
        <v>30</v>
      </c>
      <c r="J16259" t="s">
        <v>2558</v>
      </c>
      <c r="K16259" t="s">
        <v>56092</v>
      </c>
      <c r="N16259" t="s">
        <v>57286</v>
      </c>
      <c r="O16259" t="s">
        <v>57287</v>
      </c>
      <c r="Q16259">
        <v>0</v>
      </c>
      <c r="R16259">
        <v>0</v>
      </c>
      <c r="S16259">
        <v>0</v>
      </c>
      <c r="T16259" t="s">
        <v>57288</v>
      </c>
    </row>
    <row r="16260" spans="1:25" customFormat="1" ht="15" x14ac:dyDescent="0.25">
      <c r="A16260" t="s">
        <v>24</v>
      </c>
      <c r="B16260" t="s">
        <v>56594</v>
      </c>
      <c r="C16260" t="str">
        <f>"A0068199"</f>
        <v>A0068199</v>
      </c>
      <c r="D16260" t="s">
        <v>57289</v>
      </c>
      <c r="E16260" t="s">
        <v>57290</v>
      </c>
      <c r="F16260" t="s">
        <v>26129</v>
      </c>
      <c r="G16260" t="s">
        <v>899</v>
      </c>
      <c r="H16260">
        <v>2116</v>
      </c>
      <c r="I16260" t="s">
        <v>30</v>
      </c>
      <c r="J16260" t="s">
        <v>31</v>
      </c>
      <c r="K16260" t="s">
        <v>163</v>
      </c>
      <c r="N16260" t="s">
        <v>57291</v>
      </c>
      <c r="O16260" t="s">
        <v>57292</v>
      </c>
      <c r="Q16260">
        <v>0</v>
      </c>
      <c r="R16260">
        <v>64</v>
      </c>
      <c r="S16260">
        <v>0</v>
      </c>
      <c r="T16260" t="s">
        <v>57293</v>
      </c>
    </row>
    <row r="16261" spans="1:25" customFormat="1" ht="15" x14ac:dyDescent="0.25">
      <c r="A16261" t="s">
        <v>24</v>
      </c>
      <c r="B16261" t="s">
        <v>1583</v>
      </c>
      <c r="C16261" t="str">
        <f>"A0136981"</f>
        <v>A0136981</v>
      </c>
      <c r="D16261" t="s">
        <v>57294</v>
      </c>
      <c r="E16261" t="s">
        <v>57295</v>
      </c>
      <c r="F16261" t="s">
        <v>1208</v>
      </c>
      <c r="G16261" t="s">
        <v>899</v>
      </c>
      <c r="H16261">
        <v>2109</v>
      </c>
      <c r="I16261" t="s">
        <v>30</v>
      </c>
      <c r="J16261" t="s">
        <v>191</v>
      </c>
      <c r="K16261" t="s">
        <v>6809</v>
      </c>
      <c r="N16261" t="s">
        <v>57296</v>
      </c>
      <c r="Q16261">
        <v>0</v>
      </c>
      <c r="R16261">
        <v>0</v>
      </c>
      <c r="S16261">
        <v>0</v>
      </c>
      <c r="T16261" t="s">
        <v>57297</v>
      </c>
    </row>
    <row r="16262" spans="1:25" customFormat="1" ht="15" x14ac:dyDescent="0.25">
      <c r="A16262" t="s">
        <v>24</v>
      </c>
      <c r="B16262" t="s">
        <v>11304</v>
      </c>
      <c r="C16262" t="str">
        <f>"A0096497"</f>
        <v>A0096497</v>
      </c>
      <c r="D16262" t="s">
        <v>57298</v>
      </c>
      <c r="E16262" t="s">
        <v>57299</v>
      </c>
      <c r="F16262" t="s">
        <v>1208</v>
      </c>
      <c r="G16262" t="s">
        <v>899</v>
      </c>
      <c r="H16262">
        <v>2115</v>
      </c>
      <c r="I16262" t="s">
        <v>30</v>
      </c>
      <c r="J16262" t="s">
        <v>3359</v>
      </c>
      <c r="K16262" t="s">
        <v>163</v>
      </c>
      <c r="Q16262">
        <v>0</v>
      </c>
      <c r="R16262">
        <v>56</v>
      </c>
      <c r="S16262">
        <v>0</v>
      </c>
      <c r="T16262" t="s">
        <v>57300</v>
      </c>
    </row>
    <row r="16263" spans="1:25" x14ac:dyDescent="0.25">
      <c r="A16263" s="5" t="s">
        <v>24</v>
      </c>
      <c r="B16263" s="5" t="s">
        <v>675</v>
      </c>
      <c r="C16263" s="5" t="str">
        <f>"A0096470"</f>
        <v>A0096470</v>
      </c>
      <c r="D16263" s="5" t="s">
        <v>75828</v>
      </c>
      <c r="E16263" s="5" t="s">
        <v>75829</v>
      </c>
      <c r="F16263" s="5" t="s">
        <v>1564</v>
      </c>
      <c r="G16263" s="5" t="s">
        <v>52</v>
      </c>
      <c r="H16263" s="5">
        <v>77010</v>
      </c>
      <c r="I16263" s="5" t="s">
        <v>30</v>
      </c>
      <c r="J16263" s="5" t="s">
        <v>162</v>
      </c>
      <c r="K16263" s="5" t="s">
        <v>1490</v>
      </c>
      <c r="L16263" s="5"/>
      <c r="M16263" s="5"/>
      <c r="N16263" s="5" t="s">
        <v>75830</v>
      </c>
      <c r="O16263" s="5" t="s">
        <v>75831</v>
      </c>
      <c r="P16263" s="5"/>
      <c r="Q16263" s="5">
        <v>0</v>
      </c>
      <c r="R16263" s="5">
        <v>1000</v>
      </c>
      <c r="S16263" s="5">
        <v>0</v>
      </c>
      <c r="T16263" s="5" t="s">
        <v>75832</v>
      </c>
      <c r="U16263" s="5"/>
      <c r="V16263" s="5"/>
      <c r="W16263" s="5"/>
      <c r="X16263" s="5"/>
      <c r="Y16263" s="5"/>
    </row>
    <row r="16264" spans="1:25" customFormat="1" ht="15" x14ac:dyDescent="0.25">
      <c r="A16264" t="s">
        <v>24</v>
      </c>
      <c r="B16264" t="s">
        <v>675</v>
      </c>
      <c r="C16264" t="str">
        <f>"A0091883"</f>
        <v>A0091883</v>
      </c>
      <c r="D16264" t="s">
        <v>75833</v>
      </c>
      <c r="E16264" t="s">
        <v>75834</v>
      </c>
      <c r="F16264" t="s">
        <v>313</v>
      </c>
      <c r="G16264" t="s">
        <v>314</v>
      </c>
      <c r="H16264">
        <v>20001</v>
      </c>
      <c r="I16264" t="s">
        <v>30</v>
      </c>
      <c r="J16264" t="s">
        <v>162</v>
      </c>
      <c r="K16264" t="s">
        <v>1490</v>
      </c>
      <c r="N16264" t="s">
        <v>75835</v>
      </c>
      <c r="O16264" t="s">
        <v>75836</v>
      </c>
      <c r="Q16264">
        <v>0</v>
      </c>
      <c r="R16264">
        <v>1175</v>
      </c>
      <c r="S16264">
        <v>0</v>
      </c>
      <c r="T16264" t="s">
        <v>75837</v>
      </c>
    </row>
    <row r="16265" spans="1:25" customFormat="1" ht="15" x14ac:dyDescent="0.25">
      <c r="A16265" t="s">
        <v>24</v>
      </c>
      <c r="B16265" t="s">
        <v>57312</v>
      </c>
      <c r="C16265" t="str">
        <f>"A0069677"</f>
        <v>A0069677</v>
      </c>
      <c r="D16265" t="s">
        <v>57313</v>
      </c>
      <c r="E16265" t="s">
        <v>57314</v>
      </c>
      <c r="F16265" t="s">
        <v>57315</v>
      </c>
      <c r="G16265" t="s">
        <v>117</v>
      </c>
      <c r="H16265">
        <v>48371</v>
      </c>
      <c r="I16265" t="s">
        <v>30</v>
      </c>
      <c r="J16265" t="s">
        <v>2415</v>
      </c>
      <c r="K16265" t="s">
        <v>179</v>
      </c>
      <c r="N16265" t="s">
        <v>57316</v>
      </c>
      <c r="O16265" t="s">
        <v>57317</v>
      </c>
      <c r="P16265" t="s">
        <v>6426</v>
      </c>
      <c r="Q16265">
        <v>1</v>
      </c>
      <c r="R16265">
        <v>0</v>
      </c>
      <c r="S16265">
        <v>0</v>
      </c>
      <c r="T16265" t="s">
        <v>57318</v>
      </c>
    </row>
    <row r="16266" spans="1:25" customFormat="1" ht="15" x14ac:dyDescent="0.25">
      <c r="A16266" t="s">
        <v>24</v>
      </c>
      <c r="B16266" t="s">
        <v>4410</v>
      </c>
      <c r="C16266" t="str">
        <f>"A0088113"</f>
        <v>A0088113</v>
      </c>
      <c r="D16266" t="s">
        <v>57319</v>
      </c>
      <c r="E16266" t="s">
        <v>57320</v>
      </c>
      <c r="F16266" t="s">
        <v>3891</v>
      </c>
      <c r="G16266" t="s">
        <v>190</v>
      </c>
      <c r="H16266">
        <v>80304</v>
      </c>
      <c r="I16266" t="s">
        <v>30</v>
      </c>
      <c r="J16266" t="s">
        <v>31</v>
      </c>
      <c r="K16266" t="s">
        <v>163</v>
      </c>
      <c r="N16266" t="s">
        <v>12621</v>
      </c>
      <c r="Q16266">
        <v>0</v>
      </c>
      <c r="R16266">
        <v>40</v>
      </c>
      <c r="S16266">
        <v>0</v>
      </c>
      <c r="T16266" t="s">
        <v>57321</v>
      </c>
    </row>
    <row r="16267" spans="1:25" customFormat="1" ht="15" x14ac:dyDescent="0.25">
      <c r="A16267" t="s">
        <v>24</v>
      </c>
      <c r="B16267" t="s">
        <v>10129</v>
      </c>
      <c r="C16267" t="str">
        <f>"A0164767"</f>
        <v>A0164767</v>
      </c>
      <c r="D16267" t="s">
        <v>57322</v>
      </c>
      <c r="E16267" t="s">
        <v>56937</v>
      </c>
      <c r="F16267" t="s">
        <v>56938</v>
      </c>
      <c r="G16267" t="s">
        <v>289</v>
      </c>
      <c r="H16267">
        <v>60914</v>
      </c>
      <c r="I16267" t="s">
        <v>30</v>
      </c>
      <c r="J16267" t="s">
        <v>1004</v>
      </c>
      <c r="K16267" t="s">
        <v>163</v>
      </c>
      <c r="N16267" t="s">
        <v>56940</v>
      </c>
      <c r="Q16267">
        <v>0</v>
      </c>
      <c r="R16267">
        <v>0</v>
      </c>
      <c r="S16267">
        <v>0</v>
      </c>
      <c r="T16267" t="s">
        <v>56941</v>
      </c>
    </row>
    <row r="16268" spans="1:25" customFormat="1" ht="15" x14ac:dyDescent="0.25">
      <c r="A16268" t="s">
        <v>24</v>
      </c>
      <c r="B16268" t="s">
        <v>2221</v>
      </c>
      <c r="C16268" t="str">
        <f>"SC119"</f>
        <v>SC119</v>
      </c>
      <c r="D16268" t="s">
        <v>75838</v>
      </c>
      <c r="E16268" t="s">
        <v>75839</v>
      </c>
      <c r="F16268" t="s">
        <v>11700</v>
      </c>
      <c r="G16268" t="s">
        <v>880</v>
      </c>
      <c r="H16268">
        <v>38119</v>
      </c>
      <c r="I16268" t="s">
        <v>30</v>
      </c>
      <c r="J16268" t="s">
        <v>162</v>
      </c>
      <c r="K16268" t="s">
        <v>1490</v>
      </c>
      <c r="N16268" t="s">
        <v>75840</v>
      </c>
      <c r="O16268" t="s">
        <v>75841</v>
      </c>
      <c r="Q16268">
        <v>0</v>
      </c>
      <c r="R16268">
        <v>243</v>
      </c>
      <c r="S16268">
        <v>0</v>
      </c>
      <c r="T16268" t="s">
        <v>75842</v>
      </c>
    </row>
    <row r="16269" spans="1:25" customFormat="1" ht="15" x14ac:dyDescent="0.25">
      <c r="A16269" t="s">
        <v>24</v>
      </c>
      <c r="B16269" t="s">
        <v>2360</v>
      </c>
      <c r="C16269" t="str">
        <f>"A0050451"</f>
        <v>A0050451</v>
      </c>
      <c r="D16269" t="s">
        <v>57328</v>
      </c>
      <c r="E16269" t="s">
        <v>57329</v>
      </c>
      <c r="F16269" t="s">
        <v>57330</v>
      </c>
      <c r="G16269" t="s">
        <v>846</v>
      </c>
      <c r="H16269">
        <v>30269</v>
      </c>
      <c r="I16269" t="s">
        <v>30</v>
      </c>
      <c r="J16269" t="s">
        <v>178</v>
      </c>
      <c r="K16269" t="s">
        <v>56676</v>
      </c>
      <c r="N16269" t="s">
        <v>57331</v>
      </c>
      <c r="O16269" t="s">
        <v>57332</v>
      </c>
      <c r="Q16269">
        <v>1</v>
      </c>
      <c r="R16269">
        <v>0</v>
      </c>
      <c r="S16269">
        <v>0</v>
      </c>
      <c r="T16269" t="s">
        <v>57333</v>
      </c>
    </row>
    <row r="16270" spans="1:25" customFormat="1" ht="15" x14ac:dyDescent="0.25">
      <c r="A16270" t="s">
        <v>24</v>
      </c>
      <c r="B16270" t="s">
        <v>2360</v>
      </c>
      <c r="C16270" t="str">
        <f>"CL0106"</f>
        <v>CL0106</v>
      </c>
      <c r="D16270" t="s">
        <v>57334</v>
      </c>
      <c r="E16270" t="s">
        <v>57335</v>
      </c>
      <c r="F16270" t="s">
        <v>57336</v>
      </c>
      <c r="G16270" t="s">
        <v>110</v>
      </c>
      <c r="H16270">
        <v>91356</v>
      </c>
      <c r="I16270" t="s">
        <v>30</v>
      </c>
      <c r="J16270" t="s">
        <v>178</v>
      </c>
      <c r="K16270" t="s">
        <v>56676</v>
      </c>
      <c r="N16270" t="s">
        <v>57337</v>
      </c>
      <c r="P16270" t="s">
        <v>992</v>
      </c>
      <c r="Q16270">
        <v>2</v>
      </c>
      <c r="R16270">
        <v>0</v>
      </c>
      <c r="S16270">
        <v>0</v>
      </c>
      <c r="T16270" t="s">
        <v>57338</v>
      </c>
    </row>
    <row r="16271" spans="1:25" customFormat="1" ht="15" x14ac:dyDescent="0.25">
      <c r="A16271" t="s">
        <v>24</v>
      </c>
      <c r="B16271" t="s">
        <v>675</v>
      </c>
      <c r="C16271" t="str">
        <f>"33727"</f>
        <v>33727</v>
      </c>
      <c r="D16271" t="s">
        <v>75843</v>
      </c>
      <c r="E16271" t="s">
        <v>75844</v>
      </c>
      <c r="F16271" t="s">
        <v>1889</v>
      </c>
      <c r="G16271" t="s">
        <v>81</v>
      </c>
      <c r="H16271">
        <v>33126</v>
      </c>
      <c r="I16271" t="s">
        <v>30</v>
      </c>
      <c r="J16271" t="s">
        <v>162</v>
      </c>
      <c r="K16271" t="s">
        <v>1490</v>
      </c>
      <c r="N16271" t="s">
        <v>75845</v>
      </c>
      <c r="Q16271">
        <v>0</v>
      </c>
      <c r="R16271">
        <v>366</v>
      </c>
      <c r="S16271">
        <v>0</v>
      </c>
      <c r="T16271" t="s">
        <v>75846</v>
      </c>
    </row>
    <row r="16272" spans="1:25" customFormat="1" ht="15" x14ac:dyDescent="0.25">
      <c r="A16272" t="s">
        <v>24</v>
      </c>
      <c r="B16272" t="s">
        <v>57345</v>
      </c>
      <c r="C16272" t="str">
        <f>"61AA1"</f>
        <v>61AA1</v>
      </c>
      <c r="D16272" t="s">
        <v>57346</v>
      </c>
      <c r="E16272" t="s">
        <v>57347</v>
      </c>
      <c r="F16272" t="s">
        <v>4970</v>
      </c>
      <c r="G16272" t="s">
        <v>123</v>
      </c>
      <c r="H16272">
        <v>20874</v>
      </c>
      <c r="I16272" t="s">
        <v>30</v>
      </c>
      <c r="J16272" t="s">
        <v>178</v>
      </c>
      <c r="K16272" t="s">
        <v>163</v>
      </c>
      <c r="N16272" t="s">
        <v>57348</v>
      </c>
      <c r="O16272" t="s">
        <v>57349</v>
      </c>
      <c r="Q16272">
        <v>0</v>
      </c>
      <c r="R16272">
        <v>0</v>
      </c>
      <c r="S16272">
        <v>0</v>
      </c>
      <c r="T16272" t="s">
        <v>57350</v>
      </c>
    </row>
    <row r="16273" spans="1:20" customFormat="1" ht="15" x14ac:dyDescent="0.25">
      <c r="A16273" t="s">
        <v>24</v>
      </c>
      <c r="B16273" t="s">
        <v>57351</v>
      </c>
      <c r="C16273" t="str">
        <f>"A0078254"</f>
        <v>A0078254</v>
      </c>
      <c r="D16273" t="s">
        <v>57352</v>
      </c>
      <c r="E16273" t="s">
        <v>57353</v>
      </c>
      <c r="F16273" t="s">
        <v>57354</v>
      </c>
      <c r="G16273" t="s">
        <v>214</v>
      </c>
      <c r="H16273">
        <v>28562</v>
      </c>
      <c r="I16273" t="s">
        <v>30</v>
      </c>
      <c r="J16273" t="s">
        <v>31</v>
      </c>
      <c r="K16273" t="s">
        <v>163</v>
      </c>
      <c r="N16273" t="s">
        <v>57355</v>
      </c>
      <c r="Q16273">
        <v>0</v>
      </c>
      <c r="R16273">
        <v>115</v>
      </c>
      <c r="S16273">
        <v>0</v>
      </c>
      <c r="T16273" t="s">
        <v>57356</v>
      </c>
    </row>
    <row r="16274" spans="1:20" customFormat="1" ht="15" x14ac:dyDescent="0.25">
      <c r="A16274" t="s">
        <v>24</v>
      </c>
      <c r="B16274" t="s">
        <v>3045</v>
      </c>
      <c r="C16274" t="str">
        <f>"A0101200"</f>
        <v>A0101200</v>
      </c>
      <c r="D16274" t="s">
        <v>57357</v>
      </c>
      <c r="E16274" t="s">
        <v>57358</v>
      </c>
      <c r="F16274" t="s">
        <v>57359</v>
      </c>
      <c r="G16274" t="s">
        <v>3049</v>
      </c>
      <c r="H16274">
        <v>99701</v>
      </c>
      <c r="I16274" t="s">
        <v>30</v>
      </c>
      <c r="J16274" t="s">
        <v>31</v>
      </c>
      <c r="K16274" t="s">
        <v>163</v>
      </c>
      <c r="N16274" t="s">
        <v>57360</v>
      </c>
      <c r="Q16274">
        <v>0</v>
      </c>
      <c r="R16274">
        <v>93</v>
      </c>
      <c r="S16274">
        <v>0</v>
      </c>
      <c r="T16274" t="s">
        <v>57361</v>
      </c>
    </row>
    <row r="16275" spans="1:20" customFormat="1" ht="15" x14ac:dyDescent="0.25">
      <c r="A16275" t="s">
        <v>24</v>
      </c>
      <c r="B16275" t="s">
        <v>2360</v>
      </c>
      <c r="C16275" t="str">
        <f>"A0049509"</f>
        <v>A0049509</v>
      </c>
      <c r="D16275" t="s">
        <v>57362</v>
      </c>
      <c r="E16275" t="s">
        <v>57363</v>
      </c>
      <c r="F16275" t="s">
        <v>10100</v>
      </c>
      <c r="G16275" t="s">
        <v>214</v>
      </c>
      <c r="H16275">
        <v>27617</v>
      </c>
      <c r="I16275" t="s">
        <v>30</v>
      </c>
      <c r="J16275" t="s">
        <v>178</v>
      </c>
      <c r="K16275" t="s">
        <v>56092</v>
      </c>
      <c r="N16275" t="s">
        <v>57364</v>
      </c>
      <c r="P16275" t="s">
        <v>992</v>
      </c>
      <c r="Q16275">
        <v>1</v>
      </c>
      <c r="R16275">
        <v>0</v>
      </c>
      <c r="S16275">
        <v>0</v>
      </c>
      <c r="T16275" t="s">
        <v>57365</v>
      </c>
    </row>
    <row r="16276" spans="1:20" customFormat="1" ht="15" x14ac:dyDescent="0.25">
      <c r="A16276" t="s">
        <v>24</v>
      </c>
      <c r="B16276" t="s">
        <v>57366</v>
      </c>
      <c r="C16276" t="str">
        <f>"EC02310"</f>
        <v>EC02310</v>
      </c>
      <c r="D16276" t="s">
        <v>57366</v>
      </c>
      <c r="E16276" t="s">
        <v>57367</v>
      </c>
      <c r="F16276" t="s">
        <v>57368</v>
      </c>
      <c r="G16276" t="s">
        <v>4815</v>
      </c>
      <c r="H16276">
        <v>96762</v>
      </c>
      <c r="I16276" t="s">
        <v>30</v>
      </c>
      <c r="J16276" t="s">
        <v>7657</v>
      </c>
      <c r="K16276" t="s">
        <v>57369</v>
      </c>
      <c r="N16276" t="s">
        <v>57370</v>
      </c>
      <c r="Q16276">
        <v>0</v>
      </c>
      <c r="R16276">
        <v>0</v>
      </c>
      <c r="S16276">
        <v>0</v>
      </c>
      <c r="T16276" t="s">
        <v>57371</v>
      </c>
    </row>
    <row r="16277" spans="1:20" customFormat="1" ht="15" x14ac:dyDescent="0.25">
      <c r="A16277" t="s">
        <v>24</v>
      </c>
      <c r="B16277" t="s">
        <v>6667</v>
      </c>
      <c r="C16277" t="str">
        <f>"A0050481"</f>
        <v>A0050481</v>
      </c>
      <c r="D16277" t="s">
        <v>57372</v>
      </c>
      <c r="E16277" t="s">
        <v>57373</v>
      </c>
      <c r="F16277" t="s">
        <v>16267</v>
      </c>
      <c r="G16277" t="s">
        <v>29</v>
      </c>
      <c r="H16277">
        <v>23454</v>
      </c>
      <c r="I16277" t="s">
        <v>30</v>
      </c>
      <c r="J16277" t="s">
        <v>178</v>
      </c>
      <c r="K16277" t="s">
        <v>6667</v>
      </c>
      <c r="N16277" t="s">
        <v>57374</v>
      </c>
      <c r="Q16277">
        <v>0</v>
      </c>
      <c r="R16277">
        <v>0</v>
      </c>
      <c r="S16277">
        <v>0</v>
      </c>
      <c r="T16277" t="s">
        <v>57375</v>
      </c>
    </row>
    <row r="16278" spans="1:20" customFormat="1" ht="15" x14ac:dyDescent="0.25">
      <c r="A16278" t="s">
        <v>24</v>
      </c>
      <c r="B16278" t="s">
        <v>2360</v>
      </c>
      <c r="C16278" t="str">
        <f>"A0048928"</f>
        <v>A0048928</v>
      </c>
      <c r="D16278" t="s">
        <v>57376</v>
      </c>
      <c r="E16278" t="s">
        <v>57377</v>
      </c>
      <c r="F16278" t="s">
        <v>7690</v>
      </c>
      <c r="G16278" t="s">
        <v>846</v>
      </c>
      <c r="H16278">
        <v>30075</v>
      </c>
      <c r="I16278" t="s">
        <v>30</v>
      </c>
      <c r="J16278" t="s">
        <v>178</v>
      </c>
      <c r="K16278" t="s">
        <v>56676</v>
      </c>
      <c r="Q16278">
        <v>1</v>
      </c>
      <c r="R16278">
        <v>0</v>
      </c>
      <c r="S16278">
        <v>0</v>
      </c>
      <c r="T16278" t="s">
        <v>57378</v>
      </c>
    </row>
    <row r="16279" spans="1:20" customFormat="1" ht="15" x14ac:dyDescent="0.25">
      <c r="A16279" t="s">
        <v>24</v>
      </c>
      <c r="B16279" t="s">
        <v>5166</v>
      </c>
      <c r="C16279" t="str">
        <f>"337L7"</f>
        <v>337L7</v>
      </c>
      <c r="D16279" t="s">
        <v>75847</v>
      </c>
      <c r="E16279" t="s">
        <v>75848</v>
      </c>
      <c r="F16279" t="s">
        <v>75849</v>
      </c>
      <c r="G16279" t="s">
        <v>161</v>
      </c>
      <c r="H16279">
        <v>55343</v>
      </c>
      <c r="I16279" t="s">
        <v>30</v>
      </c>
      <c r="J16279" t="s">
        <v>162</v>
      </c>
      <c r="K16279" t="s">
        <v>1490</v>
      </c>
      <c r="N16279" t="s">
        <v>72596</v>
      </c>
      <c r="Q16279">
        <v>0</v>
      </c>
      <c r="R16279">
        <v>320</v>
      </c>
      <c r="S16279">
        <v>0</v>
      </c>
      <c r="T16279" t="s">
        <v>75850</v>
      </c>
    </row>
    <row r="16280" spans="1:20" customFormat="1" ht="15" x14ac:dyDescent="0.25">
      <c r="A16280" t="s">
        <v>24</v>
      </c>
      <c r="B16280" t="s">
        <v>2360</v>
      </c>
      <c r="C16280" t="str">
        <f>"CL0100"</f>
        <v>CL0100</v>
      </c>
      <c r="D16280" t="s">
        <v>57384</v>
      </c>
      <c r="E16280" t="s">
        <v>57385</v>
      </c>
      <c r="F16280" t="s">
        <v>57386</v>
      </c>
      <c r="G16280" t="s">
        <v>52</v>
      </c>
      <c r="H16280">
        <v>75234</v>
      </c>
      <c r="I16280" t="s">
        <v>30</v>
      </c>
      <c r="J16280" t="s">
        <v>178</v>
      </c>
      <c r="K16280" t="s">
        <v>56676</v>
      </c>
      <c r="N16280" t="s">
        <v>57387</v>
      </c>
      <c r="O16280" t="s">
        <v>57388</v>
      </c>
      <c r="P16280" t="s">
        <v>992</v>
      </c>
      <c r="Q16280">
        <v>3</v>
      </c>
      <c r="R16280">
        <v>0</v>
      </c>
      <c r="S16280">
        <v>0</v>
      </c>
      <c r="T16280" t="s">
        <v>57389</v>
      </c>
    </row>
    <row r="16281" spans="1:20" customFormat="1" ht="15" x14ac:dyDescent="0.25">
      <c r="A16281" t="s">
        <v>24</v>
      </c>
      <c r="B16281" t="s">
        <v>57390</v>
      </c>
      <c r="C16281" t="str">
        <f>"A0051727"</f>
        <v>A0051727</v>
      </c>
      <c r="D16281" t="s">
        <v>57390</v>
      </c>
      <c r="E16281" t="s">
        <v>57391</v>
      </c>
      <c r="F16281" t="s">
        <v>56632</v>
      </c>
      <c r="G16281" t="s">
        <v>103</v>
      </c>
      <c r="H16281">
        <v>19464</v>
      </c>
      <c r="I16281" t="s">
        <v>30</v>
      </c>
      <c r="J16281" t="s">
        <v>178</v>
      </c>
      <c r="K16281" t="s">
        <v>179</v>
      </c>
      <c r="N16281" t="s">
        <v>57392</v>
      </c>
      <c r="O16281" t="s">
        <v>57393</v>
      </c>
      <c r="P16281" t="s">
        <v>992</v>
      </c>
      <c r="Q16281">
        <v>1</v>
      </c>
      <c r="R16281">
        <v>18</v>
      </c>
      <c r="S16281">
        <v>0</v>
      </c>
      <c r="T16281" t="s">
        <v>57394</v>
      </c>
    </row>
    <row r="16282" spans="1:20" customFormat="1" ht="15" x14ac:dyDescent="0.25">
      <c r="A16282" t="s">
        <v>24</v>
      </c>
      <c r="B16282" t="s">
        <v>2360</v>
      </c>
      <c r="C16282" t="str">
        <f>"A0050511"</f>
        <v>A0050511</v>
      </c>
      <c r="D16282" t="s">
        <v>57395</v>
      </c>
      <c r="E16282" t="s">
        <v>57396</v>
      </c>
      <c r="F16282" t="s">
        <v>9912</v>
      </c>
      <c r="G16282" t="s">
        <v>846</v>
      </c>
      <c r="H16282">
        <v>30101</v>
      </c>
      <c r="I16282" t="s">
        <v>30</v>
      </c>
      <c r="J16282" t="s">
        <v>178</v>
      </c>
      <c r="K16282" t="s">
        <v>56676</v>
      </c>
      <c r="N16282" t="s">
        <v>57397</v>
      </c>
      <c r="Q16282">
        <v>0</v>
      </c>
      <c r="R16282">
        <v>0</v>
      </c>
      <c r="S16282">
        <v>0</v>
      </c>
      <c r="T16282" t="s">
        <v>57398</v>
      </c>
    </row>
    <row r="16283" spans="1:20" customFormat="1" ht="15" x14ac:dyDescent="0.25">
      <c r="A16283" t="s">
        <v>24</v>
      </c>
      <c r="B16283" t="s">
        <v>675</v>
      </c>
      <c r="C16283" t="str">
        <f>"337N5"</f>
        <v>337N5</v>
      </c>
      <c r="D16283" t="s">
        <v>75851</v>
      </c>
      <c r="E16283" t="s">
        <v>75852</v>
      </c>
      <c r="F16283" t="s">
        <v>2376</v>
      </c>
      <c r="G16283" t="s">
        <v>110</v>
      </c>
      <c r="H16283">
        <v>93940</v>
      </c>
      <c r="I16283" t="s">
        <v>30</v>
      </c>
      <c r="J16283" t="s">
        <v>162</v>
      </c>
      <c r="K16283" t="s">
        <v>1490</v>
      </c>
      <c r="N16283" t="s">
        <v>75853</v>
      </c>
      <c r="O16283" t="s">
        <v>75854</v>
      </c>
      <c r="Q16283">
        <v>0</v>
      </c>
      <c r="R16283">
        <v>341</v>
      </c>
      <c r="S16283">
        <v>0</v>
      </c>
      <c r="T16283" t="s">
        <v>75855</v>
      </c>
    </row>
    <row r="16284" spans="1:20" customFormat="1" ht="15" x14ac:dyDescent="0.25">
      <c r="A16284" t="s">
        <v>24</v>
      </c>
      <c r="B16284" t="s">
        <v>57405</v>
      </c>
      <c r="C16284" t="str">
        <f>"A0076327"</f>
        <v>A0076327</v>
      </c>
      <c r="D16284" t="s">
        <v>57405</v>
      </c>
      <c r="E16284" t="s">
        <v>57406</v>
      </c>
      <c r="F16284" t="s">
        <v>57407</v>
      </c>
      <c r="G16284" t="s">
        <v>103</v>
      </c>
      <c r="H16284">
        <v>19096</v>
      </c>
      <c r="I16284" t="s">
        <v>30</v>
      </c>
      <c r="J16284" t="s">
        <v>3881</v>
      </c>
      <c r="K16284" t="s">
        <v>6809</v>
      </c>
      <c r="N16284" t="s">
        <v>57408</v>
      </c>
      <c r="O16284" t="s">
        <v>57409</v>
      </c>
      <c r="Q16284">
        <v>0</v>
      </c>
      <c r="R16284">
        <v>0</v>
      </c>
      <c r="S16284">
        <v>0</v>
      </c>
      <c r="T16284" t="s">
        <v>57410</v>
      </c>
    </row>
    <row r="16285" spans="1:20" customFormat="1" ht="15" x14ac:dyDescent="0.25">
      <c r="A16285" t="s">
        <v>24</v>
      </c>
      <c r="B16285" t="s">
        <v>2360</v>
      </c>
      <c r="C16285" t="str">
        <f>"CL0730"</f>
        <v>CL0730</v>
      </c>
      <c r="D16285" t="s">
        <v>57411</v>
      </c>
      <c r="E16285" t="s">
        <v>57412</v>
      </c>
      <c r="F16285" t="s">
        <v>845</v>
      </c>
      <c r="G16285" t="s">
        <v>846</v>
      </c>
      <c r="H16285">
        <v>30326</v>
      </c>
      <c r="I16285" t="s">
        <v>30</v>
      </c>
      <c r="J16285" t="s">
        <v>2558</v>
      </c>
      <c r="K16285" t="s">
        <v>56092</v>
      </c>
      <c r="N16285" t="s">
        <v>57413</v>
      </c>
      <c r="O16285" t="s">
        <v>57414</v>
      </c>
      <c r="Q16285">
        <v>0</v>
      </c>
      <c r="R16285">
        <v>0</v>
      </c>
      <c r="S16285">
        <v>0</v>
      </c>
      <c r="T16285" t="s">
        <v>57415</v>
      </c>
    </row>
    <row r="16286" spans="1:20" customFormat="1" ht="15" x14ac:dyDescent="0.25">
      <c r="A16286" t="s">
        <v>24</v>
      </c>
      <c r="B16286" t="s">
        <v>8366</v>
      </c>
      <c r="C16286" t="str">
        <f>"A0088243"</f>
        <v>A0088243</v>
      </c>
      <c r="D16286" t="s">
        <v>57416</v>
      </c>
      <c r="E16286" t="s">
        <v>57417</v>
      </c>
      <c r="F16286" t="s">
        <v>3224</v>
      </c>
      <c r="G16286" t="s">
        <v>899</v>
      </c>
      <c r="H16286">
        <v>2601</v>
      </c>
      <c r="I16286" t="s">
        <v>30</v>
      </c>
      <c r="J16286" t="s">
        <v>145</v>
      </c>
      <c r="K16286" t="s">
        <v>57418</v>
      </c>
      <c r="N16286" t="s">
        <v>57419</v>
      </c>
      <c r="Q16286">
        <v>0</v>
      </c>
      <c r="R16286">
        <v>40</v>
      </c>
      <c r="S16286">
        <v>0</v>
      </c>
      <c r="T16286" t="s">
        <v>57420</v>
      </c>
    </row>
    <row r="16287" spans="1:20" customFormat="1" ht="15" x14ac:dyDescent="0.25">
      <c r="A16287" t="s">
        <v>24</v>
      </c>
      <c r="B16287" t="s">
        <v>675</v>
      </c>
      <c r="C16287" t="str">
        <f>"33711"</f>
        <v>33711</v>
      </c>
      <c r="D16287" t="s">
        <v>75856</v>
      </c>
      <c r="E16287" t="s">
        <v>75857</v>
      </c>
      <c r="F16287" t="s">
        <v>34412</v>
      </c>
      <c r="G16287" t="s">
        <v>110</v>
      </c>
      <c r="H16287">
        <v>92660</v>
      </c>
      <c r="I16287" t="s">
        <v>30</v>
      </c>
      <c r="J16287" t="s">
        <v>162</v>
      </c>
      <c r="K16287" t="s">
        <v>1490</v>
      </c>
      <c r="N16287" t="s">
        <v>75858</v>
      </c>
      <c r="O16287" t="s">
        <v>75859</v>
      </c>
      <c r="Q16287">
        <v>0</v>
      </c>
      <c r="R16287">
        <v>532</v>
      </c>
      <c r="S16287">
        <v>0</v>
      </c>
      <c r="T16287" t="s">
        <v>75860</v>
      </c>
    </row>
    <row r="16288" spans="1:20" customFormat="1" ht="15" x14ac:dyDescent="0.25">
      <c r="A16288" t="s">
        <v>24</v>
      </c>
      <c r="B16288" t="s">
        <v>56443</v>
      </c>
      <c r="C16288" t="str">
        <f>"A0098242"</f>
        <v>A0098242</v>
      </c>
      <c r="D16288" t="s">
        <v>57426</v>
      </c>
      <c r="E16288" t="s">
        <v>57427</v>
      </c>
      <c r="F16288" t="s">
        <v>845</v>
      </c>
      <c r="G16288" t="s">
        <v>846</v>
      </c>
      <c r="H16288">
        <v>30315</v>
      </c>
      <c r="I16288" t="s">
        <v>30</v>
      </c>
      <c r="J16288" t="s">
        <v>1004</v>
      </c>
      <c r="K16288" t="s">
        <v>163</v>
      </c>
      <c r="N16288" t="s">
        <v>13798</v>
      </c>
      <c r="Q16288">
        <v>0</v>
      </c>
      <c r="R16288">
        <v>0</v>
      </c>
      <c r="S16288">
        <v>0</v>
      </c>
      <c r="T16288" t="s">
        <v>57428</v>
      </c>
    </row>
    <row r="16289" spans="1:25" customFormat="1" ht="15" x14ac:dyDescent="0.25">
      <c r="A16289" t="s">
        <v>24</v>
      </c>
      <c r="B16289" t="s">
        <v>186</v>
      </c>
      <c r="C16289" t="str">
        <f>"A0146649"</f>
        <v>A0146649</v>
      </c>
      <c r="D16289" t="s">
        <v>57429</v>
      </c>
      <c r="E16289" t="s">
        <v>56219</v>
      </c>
      <c r="F16289" t="s">
        <v>189</v>
      </c>
      <c r="G16289" t="s">
        <v>190</v>
      </c>
      <c r="H16289">
        <v>81611</v>
      </c>
      <c r="I16289" t="s">
        <v>30</v>
      </c>
      <c r="J16289" t="s">
        <v>1004</v>
      </c>
      <c r="K16289" t="s">
        <v>163</v>
      </c>
      <c r="N16289" t="s">
        <v>55669</v>
      </c>
      <c r="Q16289">
        <v>0</v>
      </c>
      <c r="R16289">
        <v>0</v>
      </c>
      <c r="S16289">
        <v>0</v>
      </c>
      <c r="T16289" t="s">
        <v>55670</v>
      </c>
    </row>
    <row r="16290" spans="1:25" customFormat="1" ht="15" x14ac:dyDescent="0.25">
      <c r="A16290" t="s">
        <v>24</v>
      </c>
      <c r="B16290" t="s">
        <v>55128</v>
      </c>
      <c r="C16290" t="str">
        <f>"A0098232"</f>
        <v>A0098232</v>
      </c>
      <c r="D16290" t="s">
        <v>57430</v>
      </c>
      <c r="E16290" t="s">
        <v>57431</v>
      </c>
      <c r="F16290" t="s">
        <v>57432</v>
      </c>
      <c r="G16290" t="s">
        <v>840</v>
      </c>
      <c r="H16290">
        <v>42301</v>
      </c>
      <c r="I16290" t="s">
        <v>30</v>
      </c>
      <c r="J16290" t="s">
        <v>1004</v>
      </c>
      <c r="K16290" t="s">
        <v>6809</v>
      </c>
      <c r="N16290" t="s">
        <v>57433</v>
      </c>
      <c r="O16290" t="s">
        <v>57434</v>
      </c>
      <c r="Q16290">
        <v>0</v>
      </c>
      <c r="R16290">
        <v>0</v>
      </c>
      <c r="S16290">
        <v>0</v>
      </c>
      <c r="T16290" t="s">
        <v>57435</v>
      </c>
    </row>
    <row r="16291" spans="1:25" customFormat="1" ht="15" x14ac:dyDescent="0.25">
      <c r="A16291" t="s">
        <v>24</v>
      </c>
      <c r="B16291" t="s">
        <v>675</v>
      </c>
      <c r="C16291" t="str">
        <f>"337E0"</f>
        <v>337E0</v>
      </c>
      <c r="D16291" t="s">
        <v>75861</v>
      </c>
      <c r="E16291" t="s">
        <v>75862</v>
      </c>
      <c r="F16291" t="s">
        <v>985</v>
      </c>
      <c r="G16291" t="s">
        <v>81</v>
      </c>
      <c r="H16291">
        <v>32821</v>
      </c>
      <c r="I16291" t="s">
        <v>30</v>
      </c>
      <c r="J16291" t="s">
        <v>162</v>
      </c>
      <c r="K16291" t="s">
        <v>1490</v>
      </c>
      <c r="N16291" t="s">
        <v>75863</v>
      </c>
      <c r="O16291" t="s">
        <v>75864</v>
      </c>
      <c r="P16291" t="s">
        <v>3998</v>
      </c>
      <c r="Q16291">
        <v>1</v>
      </c>
      <c r="R16291">
        <v>2003</v>
      </c>
      <c r="S16291">
        <v>0</v>
      </c>
      <c r="T16291" t="s">
        <v>75865</v>
      </c>
    </row>
    <row r="16292" spans="1:25" customFormat="1" ht="15" x14ac:dyDescent="0.25">
      <c r="A16292" t="s">
        <v>24</v>
      </c>
      <c r="B16292" t="s">
        <v>57441</v>
      </c>
      <c r="C16292" t="str">
        <f>"A0084554"</f>
        <v>A0084554</v>
      </c>
      <c r="D16292" t="s">
        <v>57442</v>
      </c>
      <c r="E16292" t="s">
        <v>57443</v>
      </c>
      <c r="F16292" t="s">
        <v>4385</v>
      </c>
      <c r="G16292" t="s">
        <v>99</v>
      </c>
      <c r="H16292">
        <v>11217</v>
      </c>
      <c r="I16292" t="s">
        <v>30</v>
      </c>
      <c r="J16292" t="s">
        <v>31</v>
      </c>
      <c r="K16292" t="s">
        <v>163</v>
      </c>
      <c r="N16292" t="s">
        <v>57444</v>
      </c>
      <c r="O16292" t="s">
        <v>57445</v>
      </c>
      <c r="Q16292">
        <v>0</v>
      </c>
      <c r="R16292">
        <v>104</v>
      </c>
      <c r="S16292">
        <v>0</v>
      </c>
      <c r="T16292" t="s">
        <v>57446</v>
      </c>
    </row>
    <row r="16293" spans="1:25" customFormat="1" ht="15" x14ac:dyDescent="0.25">
      <c r="A16293" t="s">
        <v>24</v>
      </c>
      <c r="B16293" t="s">
        <v>186</v>
      </c>
      <c r="C16293" t="str">
        <f>"A0146651"</f>
        <v>A0146651</v>
      </c>
      <c r="D16293" t="s">
        <v>57447</v>
      </c>
      <c r="E16293" t="s">
        <v>56219</v>
      </c>
      <c r="F16293" t="s">
        <v>189</v>
      </c>
      <c r="G16293" t="s">
        <v>190</v>
      </c>
      <c r="H16293">
        <v>81611</v>
      </c>
      <c r="I16293" t="s">
        <v>30</v>
      </c>
      <c r="J16293" t="s">
        <v>31</v>
      </c>
      <c r="K16293" t="s">
        <v>163</v>
      </c>
      <c r="N16293" t="s">
        <v>55669</v>
      </c>
      <c r="Q16293">
        <v>0</v>
      </c>
      <c r="R16293">
        <v>0</v>
      </c>
      <c r="S16293">
        <v>0</v>
      </c>
      <c r="T16293" t="s">
        <v>55670</v>
      </c>
    </row>
    <row r="16294" spans="1:25" customFormat="1" ht="15" x14ac:dyDescent="0.25">
      <c r="A16294" t="s">
        <v>24</v>
      </c>
      <c r="B16294" t="s">
        <v>33426</v>
      </c>
      <c r="C16294" t="str">
        <f>"A0156500"</f>
        <v>A0156500</v>
      </c>
      <c r="D16294" t="s">
        <v>57448</v>
      </c>
      <c r="E16294" t="s">
        <v>57449</v>
      </c>
      <c r="F16294" t="s">
        <v>271</v>
      </c>
      <c r="G16294" t="s">
        <v>103</v>
      </c>
      <c r="H16294">
        <v>15222</v>
      </c>
      <c r="I16294" t="s">
        <v>30</v>
      </c>
      <c r="J16294" t="s">
        <v>191</v>
      </c>
      <c r="K16294" t="s">
        <v>163</v>
      </c>
      <c r="N16294" t="s">
        <v>57450</v>
      </c>
      <c r="Q16294">
        <v>0</v>
      </c>
      <c r="R16294">
        <v>0</v>
      </c>
      <c r="S16294">
        <v>0</v>
      </c>
      <c r="T16294" t="s">
        <v>57451</v>
      </c>
    </row>
    <row r="16295" spans="1:25" customFormat="1" ht="15" x14ac:dyDescent="0.25">
      <c r="A16295" t="s">
        <v>24</v>
      </c>
      <c r="B16295" t="s">
        <v>61358</v>
      </c>
      <c r="C16295" t="str">
        <f>"34181"</f>
        <v>34181</v>
      </c>
      <c r="D16295" t="s">
        <v>75866</v>
      </c>
      <c r="E16295" t="s">
        <v>75867</v>
      </c>
      <c r="F16295" t="s">
        <v>2983</v>
      </c>
      <c r="G16295" t="s">
        <v>81</v>
      </c>
      <c r="H16295">
        <v>32746</v>
      </c>
      <c r="I16295" t="s">
        <v>30</v>
      </c>
      <c r="J16295" t="s">
        <v>162</v>
      </c>
      <c r="K16295" t="s">
        <v>1490</v>
      </c>
      <c r="N16295" t="s">
        <v>75868</v>
      </c>
      <c r="Q16295">
        <v>0</v>
      </c>
      <c r="R16295">
        <v>304</v>
      </c>
      <c r="S16295">
        <v>0</v>
      </c>
      <c r="T16295" t="s">
        <v>75869</v>
      </c>
    </row>
    <row r="16296" spans="1:25" customFormat="1" ht="15" x14ac:dyDescent="0.25">
      <c r="A16296" t="s">
        <v>24</v>
      </c>
      <c r="B16296" t="s">
        <v>57457</v>
      </c>
      <c r="C16296" t="str">
        <f>"A0098261"</f>
        <v>A0098261</v>
      </c>
      <c r="D16296" t="s">
        <v>57458</v>
      </c>
      <c r="E16296" t="s">
        <v>57459</v>
      </c>
      <c r="F16296" t="s">
        <v>1084</v>
      </c>
      <c r="G16296" t="s">
        <v>81</v>
      </c>
      <c r="H16296">
        <v>33040</v>
      </c>
      <c r="I16296" t="s">
        <v>30</v>
      </c>
      <c r="J16296" t="s">
        <v>31</v>
      </c>
      <c r="K16296" t="s">
        <v>163</v>
      </c>
      <c r="N16296" t="s">
        <v>57460</v>
      </c>
      <c r="Q16296">
        <v>0</v>
      </c>
      <c r="R16296">
        <v>24</v>
      </c>
      <c r="S16296">
        <v>0</v>
      </c>
      <c r="T16296" t="s">
        <v>57461</v>
      </c>
    </row>
    <row r="16297" spans="1:25" customFormat="1" ht="15" hidden="1" x14ac:dyDescent="0.25">
      <c r="A16297" t="s">
        <v>24</v>
      </c>
      <c r="B16297" t="s">
        <v>2238</v>
      </c>
      <c r="C16297" t="str">
        <f>"A0145382"</f>
        <v>A0145382</v>
      </c>
      <c r="D16297" t="s">
        <v>57462</v>
      </c>
      <c r="E16297" t="s">
        <v>57463</v>
      </c>
      <c r="F16297" t="s">
        <v>2406</v>
      </c>
      <c r="G16297" t="s">
        <v>2407</v>
      </c>
      <c r="H16297">
        <v>23450</v>
      </c>
      <c r="I16297" t="s">
        <v>2408</v>
      </c>
      <c r="J16297" t="s">
        <v>162</v>
      </c>
      <c r="K16297" t="s">
        <v>163</v>
      </c>
      <c r="N16297" t="s">
        <v>57464</v>
      </c>
      <c r="O16297" t="s">
        <v>57465</v>
      </c>
      <c r="Q16297">
        <v>0</v>
      </c>
      <c r="R16297">
        <v>138</v>
      </c>
      <c r="S16297">
        <v>0</v>
      </c>
      <c r="T16297" t="s">
        <v>57466</v>
      </c>
    </row>
    <row r="16298" spans="1:25" x14ac:dyDescent="0.25">
      <c r="A16298" s="5" t="s">
        <v>24</v>
      </c>
      <c r="B16298" s="5" t="s">
        <v>814</v>
      </c>
      <c r="C16298" s="5" t="str">
        <f>"337E1"</f>
        <v>337E1</v>
      </c>
      <c r="D16298" s="5" t="s">
        <v>75870</v>
      </c>
      <c r="E16298" s="5" t="s">
        <v>75871</v>
      </c>
      <c r="F16298" s="5" t="s">
        <v>13414</v>
      </c>
      <c r="G16298" s="5" t="s">
        <v>925</v>
      </c>
      <c r="H16298" s="5">
        <v>66210</v>
      </c>
      <c r="I16298" s="5" t="s">
        <v>30</v>
      </c>
      <c r="J16298" s="5" t="s">
        <v>162</v>
      </c>
      <c r="K16298" s="5" t="s">
        <v>1490</v>
      </c>
      <c r="L16298" s="5"/>
      <c r="M16298" s="5"/>
      <c r="N16298" s="5" t="s">
        <v>75872</v>
      </c>
      <c r="O16298" s="5" t="s">
        <v>75873</v>
      </c>
      <c r="P16298" s="5"/>
      <c r="Q16298" s="5">
        <v>0</v>
      </c>
      <c r="R16298" s="5">
        <v>390</v>
      </c>
      <c r="S16298" s="5">
        <v>0</v>
      </c>
      <c r="T16298" s="5" t="s">
        <v>75874</v>
      </c>
      <c r="U16298" s="5"/>
      <c r="V16298" s="5"/>
      <c r="W16298" s="5"/>
      <c r="X16298" s="5"/>
      <c r="Y16298" s="5"/>
    </row>
    <row r="16299" spans="1:25" customFormat="1" ht="15" x14ac:dyDescent="0.25">
      <c r="A16299" t="s">
        <v>24</v>
      </c>
      <c r="B16299" t="s">
        <v>57471</v>
      </c>
      <c r="C16299" t="str">
        <f>"A0052408"</f>
        <v>A0052408</v>
      </c>
      <c r="D16299" t="s">
        <v>57472</v>
      </c>
      <c r="E16299" t="s">
        <v>57473</v>
      </c>
      <c r="F16299" t="s">
        <v>57474</v>
      </c>
      <c r="G16299" t="s">
        <v>110</v>
      </c>
      <c r="H16299">
        <v>91302</v>
      </c>
      <c r="I16299" t="s">
        <v>30</v>
      </c>
      <c r="J16299" t="s">
        <v>178</v>
      </c>
      <c r="K16299" t="s">
        <v>179</v>
      </c>
      <c r="N16299" t="s">
        <v>57475</v>
      </c>
      <c r="Q16299">
        <v>0</v>
      </c>
      <c r="R16299">
        <v>0</v>
      </c>
      <c r="S16299">
        <v>0</v>
      </c>
      <c r="T16299" t="s">
        <v>57476</v>
      </c>
    </row>
    <row r="16300" spans="1:25" customFormat="1" ht="15" x14ac:dyDescent="0.25">
      <c r="A16300" t="s">
        <v>24</v>
      </c>
      <c r="B16300" t="s">
        <v>5843</v>
      </c>
      <c r="C16300" t="str">
        <f>"A0094356"</f>
        <v>A0094356</v>
      </c>
      <c r="D16300" t="s">
        <v>57477</v>
      </c>
      <c r="E16300" t="s">
        <v>57478</v>
      </c>
      <c r="F16300" t="s">
        <v>3145</v>
      </c>
      <c r="G16300" t="s">
        <v>81</v>
      </c>
      <c r="H16300">
        <v>32413</v>
      </c>
      <c r="I16300" t="s">
        <v>30</v>
      </c>
      <c r="J16300" t="s">
        <v>31</v>
      </c>
      <c r="K16300" t="s">
        <v>163</v>
      </c>
      <c r="Q16300">
        <v>0</v>
      </c>
      <c r="R16300">
        <v>97</v>
      </c>
      <c r="S16300">
        <v>0</v>
      </c>
      <c r="T16300" t="s">
        <v>57479</v>
      </c>
    </row>
    <row r="16301" spans="1:25" customFormat="1" ht="15" x14ac:dyDescent="0.25">
      <c r="A16301" t="s">
        <v>24</v>
      </c>
      <c r="B16301" t="s">
        <v>61358</v>
      </c>
      <c r="C16301" t="str">
        <f>"34103"</f>
        <v>34103</v>
      </c>
      <c r="D16301" t="s">
        <v>75875</v>
      </c>
      <c r="E16301" t="s">
        <v>75876</v>
      </c>
      <c r="F16301" t="s">
        <v>54046</v>
      </c>
      <c r="G16301" t="s">
        <v>81</v>
      </c>
      <c r="H16301">
        <v>33410</v>
      </c>
      <c r="I16301" t="s">
        <v>30</v>
      </c>
      <c r="J16301" t="s">
        <v>162</v>
      </c>
      <c r="K16301" t="s">
        <v>1490</v>
      </c>
      <c r="N16301" t="s">
        <v>75877</v>
      </c>
      <c r="O16301" t="s">
        <v>75878</v>
      </c>
      <c r="Q16301">
        <v>0</v>
      </c>
      <c r="R16301">
        <v>279</v>
      </c>
      <c r="S16301">
        <v>0</v>
      </c>
      <c r="T16301" t="s">
        <v>75879</v>
      </c>
    </row>
    <row r="16302" spans="1:25" customFormat="1" ht="15" x14ac:dyDescent="0.25">
      <c r="A16302" t="s">
        <v>24</v>
      </c>
      <c r="B16302" t="s">
        <v>675</v>
      </c>
      <c r="C16302" t="str">
        <f>"337K8"</f>
        <v>337K8</v>
      </c>
      <c r="D16302" t="s">
        <v>75880</v>
      </c>
      <c r="E16302" t="s">
        <v>75881</v>
      </c>
      <c r="F16302" t="s">
        <v>67869</v>
      </c>
      <c r="G16302" t="s">
        <v>899</v>
      </c>
      <c r="H16302">
        <v>1960</v>
      </c>
      <c r="I16302" t="s">
        <v>30</v>
      </c>
      <c r="J16302" t="s">
        <v>162</v>
      </c>
      <c r="K16302" t="s">
        <v>1490</v>
      </c>
      <c r="N16302" t="s">
        <v>75882</v>
      </c>
      <c r="O16302" t="s">
        <v>75883</v>
      </c>
      <c r="Q16302">
        <v>0</v>
      </c>
      <c r="R16302">
        <v>257</v>
      </c>
      <c r="S16302">
        <v>0</v>
      </c>
      <c r="T16302" t="s">
        <v>75884</v>
      </c>
    </row>
    <row r="16303" spans="1:25" customFormat="1" ht="15" x14ac:dyDescent="0.25">
      <c r="A16303" t="s">
        <v>24</v>
      </c>
      <c r="B16303" t="s">
        <v>675</v>
      </c>
      <c r="C16303" t="str">
        <f>"33737"</f>
        <v>33737</v>
      </c>
      <c r="D16303" t="s">
        <v>75885</v>
      </c>
      <c r="E16303" t="s">
        <v>75886</v>
      </c>
      <c r="F16303" t="s">
        <v>9812</v>
      </c>
      <c r="G16303" t="s">
        <v>103</v>
      </c>
      <c r="H16303">
        <v>19153</v>
      </c>
      <c r="I16303" t="s">
        <v>30</v>
      </c>
      <c r="J16303" t="s">
        <v>162</v>
      </c>
      <c r="K16303" t="s">
        <v>1490</v>
      </c>
      <c r="N16303" t="s">
        <v>75887</v>
      </c>
      <c r="O16303" t="s">
        <v>75888</v>
      </c>
      <c r="Q16303">
        <v>0</v>
      </c>
      <c r="R16303">
        <v>419</v>
      </c>
      <c r="S16303">
        <v>0</v>
      </c>
      <c r="T16303" t="s">
        <v>75889</v>
      </c>
    </row>
    <row r="16304" spans="1:25" customFormat="1" ht="15" x14ac:dyDescent="0.25">
      <c r="A16304" t="s">
        <v>24</v>
      </c>
      <c r="B16304" t="s">
        <v>675</v>
      </c>
      <c r="C16304" t="str">
        <f>"33703"</f>
        <v>33703</v>
      </c>
      <c r="D16304" t="s">
        <v>75890</v>
      </c>
      <c r="E16304" t="s">
        <v>75891</v>
      </c>
      <c r="F16304" t="s">
        <v>9812</v>
      </c>
      <c r="G16304" t="s">
        <v>103</v>
      </c>
      <c r="H16304">
        <v>19107</v>
      </c>
      <c r="I16304" t="s">
        <v>30</v>
      </c>
      <c r="J16304" t="s">
        <v>162</v>
      </c>
      <c r="K16304" t="s">
        <v>1490</v>
      </c>
      <c r="N16304" t="s">
        <v>75892</v>
      </c>
      <c r="O16304" t="s">
        <v>75893</v>
      </c>
      <c r="Q16304">
        <v>0</v>
      </c>
      <c r="R16304">
        <v>1408</v>
      </c>
      <c r="S16304">
        <v>0</v>
      </c>
      <c r="T16304" t="s">
        <v>75894</v>
      </c>
    </row>
    <row r="16305" spans="1:20" customFormat="1" ht="15" x14ac:dyDescent="0.25">
      <c r="A16305" t="s">
        <v>24</v>
      </c>
      <c r="B16305" t="s">
        <v>1098</v>
      </c>
      <c r="C16305" t="str">
        <f>"34205"</f>
        <v>34205</v>
      </c>
      <c r="D16305" t="s">
        <v>75895</v>
      </c>
      <c r="E16305" t="s">
        <v>75896</v>
      </c>
      <c r="F16305" t="s">
        <v>271</v>
      </c>
      <c r="G16305" t="s">
        <v>103</v>
      </c>
      <c r="H16305">
        <v>15219</v>
      </c>
      <c r="I16305" t="s">
        <v>30</v>
      </c>
      <c r="J16305" t="s">
        <v>162</v>
      </c>
      <c r="K16305" t="s">
        <v>1490</v>
      </c>
      <c r="Q16305">
        <v>0</v>
      </c>
      <c r="R16305">
        <v>401</v>
      </c>
      <c r="S16305">
        <v>0</v>
      </c>
      <c r="T16305" t="s">
        <v>75897</v>
      </c>
    </row>
    <row r="16306" spans="1:20" customFormat="1" ht="15" x14ac:dyDescent="0.25">
      <c r="A16306" t="s">
        <v>24</v>
      </c>
      <c r="B16306" t="s">
        <v>2812</v>
      </c>
      <c r="C16306" t="str">
        <f>"A0092169"</f>
        <v>A0092169</v>
      </c>
      <c r="D16306" t="s">
        <v>75898</v>
      </c>
      <c r="E16306" t="s">
        <v>75899</v>
      </c>
      <c r="F16306" t="s">
        <v>75900</v>
      </c>
      <c r="G16306" t="s">
        <v>81</v>
      </c>
      <c r="H16306">
        <v>33062</v>
      </c>
      <c r="I16306" t="s">
        <v>30</v>
      </c>
      <c r="J16306" t="s">
        <v>162</v>
      </c>
      <c r="K16306" t="s">
        <v>1490</v>
      </c>
      <c r="N16306" t="s">
        <v>15400</v>
      </c>
      <c r="O16306" t="s">
        <v>75901</v>
      </c>
      <c r="Q16306">
        <v>0</v>
      </c>
      <c r="R16306">
        <v>217</v>
      </c>
      <c r="S16306">
        <v>0</v>
      </c>
      <c r="T16306" t="s">
        <v>75902</v>
      </c>
    </row>
    <row r="16307" spans="1:20" customFormat="1" ht="15" x14ac:dyDescent="0.25">
      <c r="A16307" t="s">
        <v>24</v>
      </c>
      <c r="B16307" t="s">
        <v>56330</v>
      </c>
      <c r="C16307" t="str">
        <f>"A0066735"</f>
        <v>A0066735</v>
      </c>
      <c r="D16307" t="s">
        <v>75911</v>
      </c>
      <c r="E16307" t="s">
        <v>75912</v>
      </c>
      <c r="F16307" t="s">
        <v>57744</v>
      </c>
      <c r="G16307" t="s">
        <v>1706</v>
      </c>
      <c r="H16307">
        <v>36066</v>
      </c>
      <c r="I16307" t="s">
        <v>30</v>
      </c>
      <c r="J16307" t="s">
        <v>162</v>
      </c>
      <c r="K16307" t="s">
        <v>1490</v>
      </c>
      <c r="N16307" t="s">
        <v>75913</v>
      </c>
      <c r="P16307" t="s">
        <v>3998</v>
      </c>
      <c r="Q16307">
        <v>0</v>
      </c>
      <c r="R16307">
        <v>74</v>
      </c>
      <c r="S16307">
        <v>0</v>
      </c>
      <c r="T16307" t="s">
        <v>75914</v>
      </c>
    </row>
    <row r="16308" spans="1:20" customFormat="1" ht="15" x14ac:dyDescent="0.25">
      <c r="A16308" t="s">
        <v>24</v>
      </c>
      <c r="B16308" t="s">
        <v>57512</v>
      </c>
      <c r="C16308" t="str">
        <f>"A0075623"</f>
        <v>A0075623</v>
      </c>
      <c r="D16308" t="s">
        <v>57513</v>
      </c>
      <c r="E16308" t="s">
        <v>57514</v>
      </c>
      <c r="F16308" t="s">
        <v>5905</v>
      </c>
      <c r="G16308" t="s">
        <v>1706</v>
      </c>
      <c r="H16308">
        <v>36037</v>
      </c>
      <c r="I16308" t="s">
        <v>30</v>
      </c>
      <c r="J16308" t="s">
        <v>2415</v>
      </c>
      <c r="K16308" t="s">
        <v>179</v>
      </c>
      <c r="N16308" t="s">
        <v>57515</v>
      </c>
      <c r="P16308" t="s">
        <v>6426</v>
      </c>
      <c r="Q16308">
        <v>4</v>
      </c>
      <c r="R16308">
        <v>0</v>
      </c>
      <c r="S16308">
        <v>0</v>
      </c>
      <c r="T16308" t="s">
        <v>57516</v>
      </c>
    </row>
    <row r="16309" spans="1:20" customFormat="1" ht="15" hidden="1" x14ac:dyDescent="0.25">
      <c r="A16309" t="s">
        <v>24</v>
      </c>
      <c r="B16309" t="s">
        <v>10376</v>
      </c>
      <c r="C16309" t="str">
        <f>"A0089853"</f>
        <v>A0089853</v>
      </c>
      <c r="D16309" t="s">
        <v>57517</v>
      </c>
      <c r="E16309" t="s">
        <v>57518</v>
      </c>
      <c r="F16309" t="s">
        <v>57308</v>
      </c>
      <c r="G16309" t="s">
        <v>2206</v>
      </c>
      <c r="H16309" t="s">
        <v>57519</v>
      </c>
      <c r="I16309" t="s">
        <v>1459</v>
      </c>
      <c r="J16309" t="s">
        <v>162</v>
      </c>
      <c r="K16309" t="s">
        <v>163</v>
      </c>
      <c r="N16309" t="s">
        <v>10380</v>
      </c>
      <c r="Q16309">
        <v>0</v>
      </c>
      <c r="R16309">
        <v>138</v>
      </c>
      <c r="S16309">
        <v>0</v>
      </c>
      <c r="T16309" t="s">
        <v>57520</v>
      </c>
    </row>
    <row r="16310" spans="1:20" customFormat="1" ht="15" hidden="1" x14ac:dyDescent="0.25">
      <c r="A16310" t="s">
        <v>24</v>
      </c>
      <c r="B16310" t="s">
        <v>57521</v>
      </c>
      <c r="C16310" t="str">
        <f>"A0074019"</f>
        <v>A0074019</v>
      </c>
      <c r="D16310" t="s">
        <v>57522</v>
      </c>
      <c r="E16310" t="s">
        <v>57523</v>
      </c>
      <c r="F16310" t="s">
        <v>13197</v>
      </c>
      <c r="G16310" t="s">
        <v>2206</v>
      </c>
      <c r="H16310" t="s">
        <v>57524</v>
      </c>
      <c r="I16310" t="s">
        <v>1459</v>
      </c>
      <c r="J16310" t="s">
        <v>162</v>
      </c>
      <c r="K16310" t="s">
        <v>6809</v>
      </c>
      <c r="N16310" t="s">
        <v>57525</v>
      </c>
      <c r="Q16310">
        <v>0</v>
      </c>
      <c r="R16310">
        <v>229</v>
      </c>
      <c r="S16310">
        <v>0</v>
      </c>
      <c r="T16310" t="s">
        <v>57526</v>
      </c>
    </row>
    <row r="16311" spans="1:20" customFormat="1" ht="15" x14ac:dyDescent="0.25">
      <c r="A16311" t="s">
        <v>24</v>
      </c>
      <c r="B16311" t="s">
        <v>675</v>
      </c>
      <c r="C16311" t="str">
        <f>"A0067864"</f>
        <v>A0067864</v>
      </c>
      <c r="D16311" t="s">
        <v>75921</v>
      </c>
      <c r="E16311" t="s">
        <v>75922</v>
      </c>
      <c r="F16311" t="s">
        <v>12824</v>
      </c>
      <c r="G16311" t="s">
        <v>76</v>
      </c>
      <c r="H16311">
        <v>98052</v>
      </c>
      <c r="I16311" t="s">
        <v>30</v>
      </c>
      <c r="J16311" t="s">
        <v>162</v>
      </c>
      <c r="K16311" t="s">
        <v>1490</v>
      </c>
      <c r="N16311" t="s">
        <v>75923</v>
      </c>
      <c r="O16311" t="s">
        <v>75924</v>
      </c>
      <c r="Q16311">
        <v>0</v>
      </c>
      <c r="R16311">
        <v>262</v>
      </c>
      <c r="S16311">
        <v>0</v>
      </c>
      <c r="T16311" t="s">
        <v>75925</v>
      </c>
    </row>
    <row r="16312" spans="1:20" customFormat="1" ht="15" hidden="1" x14ac:dyDescent="0.25">
      <c r="A16312" t="s">
        <v>24</v>
      </c>
      <c r="B16312" t="s">
        <v>9400</v>
      </c>
      <c r="C16312" t="str">
        <f>"A0148757"</f>
        <v>A0148757</v>
      </c>
      <c r="D16312" t="s">
        <v>57532</v>
      </c>
      <c r="E16312" t="s">
        <v>57533</v>
      </c>
      <c r="F16312" t="s">
        <v>57534</v>
      </c>
      <c r="G16312" t="s">
        <v>1457</v>
      </c>
      <c r="H16312" t="s">
        <v>57535</v>
      </c>
      <c r="I16312" t="s">
        <v>1459</v>
      </c>
      <c r="J16312" t="s">
        <v>162</v>
      </c>
      <c r="K16312" t="s">
        <v>163</v>
      </c>
      <c r="N16312" t="s">
        <v>57536</v>
      </c>
      <c r="Q16312">
        <v>0</v>
      </c>
      <c r="R16312">
        <v>0</v>
      </c>
      <c r="S16312">
        <v>0</v>
      </c>
      <c r="T16312" t="s">
        <v>57537</v>
      </c>
    </row>
    <row r="16313" spans="1:20" customFormat="1" ht="15" x14ac:dyDescent="0.25">
      <c r="A16313" t="s">
        <v>24</v>
      </c>
      <c r="B16313" t="s">
        <v>15916</v>
      </c>
      <c r="C16313" t="str">
        <f>"A0090338"</f>
        <v>A0090338</v>
      </c>
      <c r="D16313" t="s">
        <v>57538</v>
      </c>
      <c r="E16313" t="s">
        <v>57539</v>
      </c>
      <c r="F16313" t="s">
        <v>57540</v>
      </c>
      <c r="G16313" t="s">
        <v>161</v>
      </c>
      <c r="H16313">
        <v>56220</v>
      </c>
      <c r="I16313" t="s">
        <v>30</v>
      </c>
      <c r="J16313" t="s">
        <v>31</v>
      </c>
      <c r="K16313" t="s">
        <v>163</v>
      </c>
      <c r="N16313" t="s">
        <v>57541</v>
      </c>
      <c r="O16313" t="s">
        <v>57542</v>
      </c>
      <c r="Q16313">
        <v>0</v>
      </c>
      <c r="R16313">
        <v>28</v>
      </c>
      <c r="S16313">
        <v>0</v>
      </c>
      <c r="T16313" t="s">
        <v>57543</v>
      </c>
    </row>
    <row r="16314" spans="1:20" customFormat="1" ht="15" x14ac:dyDescent="0.25">
      <c r="A16314" t="s">
        <v>24</v>
      </c>
      <c r="B16314" t="s">
        <v>1020</v>
      </c>
      <c r="C16314" t="str">
        <f>"A0088387"</f>
        <v>A0088387</v>
      </c>
      <c r="D16314" t="s">
        <v>57544</v>
      </c>
      <c r="E16314" t="s">
        <v>57545</v>
      </c>
      <c r="F16314" t="s">
        <v>997</v>
      </c>
      <c r="G16314" t="s">
        <v>99</v>
      </c>
      <c r="H16314">
        <v>10018</v>
      </c>
      <c r="I16314" t="s">
        <v>30</v>
      </c>
      <c r="J16314" t="s">
        <v>31</v>
      </c>
      <c r="K16314" t="s">
        <v>3155</v>
      </c>
      <c r="N16314" t="s">
        <v>57546</v>
      </c>
      <c r="Q16314">
        <v>0</v>
      </c>
      <c r="R16314">
        <v>188</v>
      </c>
      <c r="S16314">
        <v>0</v>
      </c>
      <c r="T16314" t="s">
        <v>57547</v>
      </c>
    </row>
    <row r="16315" spans="1:20" customFormat="1" ht="15" x14ac:dyDescent="0.25">
      <c r="A16315" t="s">
        <v>24</v>
      </c>
      <c r="B16315" t="s">
        <v>2340</v>
      </c>
      <c r="C16315" t="str">
        <f>"A0091115"</f>
        <v>A0091115</v>
      </c>
      <c r="D16315" t="s">
        <v>57548</v>
      </c>
      <c r="E16315" t="s">
        <v>57549</v>
      </c>
      <c r="F16315" t="s">
        <v>1622</v>
      </c>
      <c r="G16315" t="s">
        <v>29</v>
      </c>
      <c r="H16315">
        <v>22309</v>
      </c>
      <c r="I16315" t="s">
        <v>30</v>
      </c>
      <c r="J16315" t="s">
        <v>31</v>
      </c>
      <c r="K16315" t="s">
        <v>3155</v>
      </c>
      <c r="N16315" t="s">
        <v>57550</v>
      </c>
      <c r="Q16315">
        <v>0</v>
      </c>
      <c r="R16315">
        <v>57</v>
      </c>
      <c r="S16315">
        <v>0</v>
      </c>
      <c r="T16315" t="s">
        <v>57551</v>
      </c>
    </row>
    <row r="16316" spans="1:20" customFormat="1" ht="15" x14ac:dyDescent="0.25">
      <c r="A16316" t="s">
        <v>24</v>
      </c>
      <c r="B16316" t="s">
        <v>2340</v>
      </c>
      <c r="C16316" t="str">
        <f>"A0100270"</f>
        <v>A0100270</v>
      </c>
      <c r="D16316" t="s">
        <v>57552</v>
      </c>
      <c r="E16316" t="s">
        <v>57553</v>
      </c>
      <c r="F16316" t="s">
        <v>1622</v>
      </c>
      <c r="G16316" t="s">
        <v>29</v>
      </c>
      <c r="H16316">
        <v>22312</v>
      </c>
      <c r="I16316" t="s">
        <v>30</v>
      </c>
      <c r="J16316" t="s">
        <v>31</v>
      </c>
      <c r="K16316" t="s">
        <v>3155</v>
      </c>
      <c r="N16316" t="s">
        <v>57554</v>
      </c>
      <c r="Q16316">
        <v>0</v>
      </c>
      <c r="R16316">
        <v>98</v>
      </c>
      <c r="S16316">
        <v>0</v>
      </c>
      <c r="T16316" t="s">
        <v>57555</v>
      </c>
    </row>
    <row r="16317" spans="1:20" customFormat="1" ht="15" x14ac:dyDescent="0.25">
      <c r="A16317" t="s">
        <v>24</v>
      </c>
      <c r="B16317" t="s">
        <v>57556</v>
      </c>
      <c r="C16317" t="str">
        <f>"A0148415"</f>
        <v>A0148415</v>
      </c>
      <c r="D16317" t="s">
        <v>57557</v>
      </c>
      <c r="E16317" t="s">
        <v>57558</v>
      </c>
      <c r="F16317" t="s">
        <v>9415</v>
      </c>
      <c r="G16317" t="s">
        <v>71</v>
      </c>
      <c r="H16317">
        <v>54914</v>
      </c>
      <c r="I16317" t="s">
        <v>30</v>
      </c>
      <c r="J16317" t="s">
        <v>31</v>
      </c>
      <c r="K16317" t="s">
        <v>3155</v>
      </c>
      <c r="N16317" t="s">
        <v>57559</v>
      </c>
      <c r="Q16317">
        <v>0</v>
      </c>
      <c r="R16317">
        <v>82</v>
      </c>
      <c r="S16317">
        <v>0</v>
      </c>
      <c r="T16317" t="s">
        <v>57560</v>
      </c>
    </row>
    <row r="16318" spans="1:20" customFormat="1" ht="15" x14ac:dyDescent="0.25">
      <c r="A16318" t="s">
        <v>24</v>
      </c>
      <c r="B16318" t="s">
        <v>6515</v>
      </c>
      <c r="C16318" t="str">
        <f>"A0100940"</f>
        <v>A0100940</v>
      </c>
      <c r="D16318" t="s">
        <v>57561</v>
      </c>
      <c r="E16318" t="s">
        <v>57562</v>
      </c>
      <c r="F16318" t="s">
        <v>57563</v>
      </c>
      <c r="G16318" t="s">
        <v>103</v>
      </c>
      <c r="H16318">
        <v>19020</v>
      </c>
      <c r="I16318" t="s">
        <v>30</v>
      </c>
      <c r="J16318" t="s">
        <v>31</v>
      </c>
      <c r="K16318" t="s">
        <v>3155</v>
      </c>
      <c r="N16318" t="s">
        <v>57564</v>
      </c>
      <c r="Q16318">
        <v>0</v>
      </c>
      <c r="R16318">
        <v>77</v>
      </c>
      <c r="S16318">
        <v>0</v>
      </c>
      <c r="T16318" t="s">
        <v>57565</v>
      </c>
    </row>
    <row r="16319" spans="1:20" customFormat="1" ht="15" x14ac:dyDescent="0.25">
      <c r="A16319" t="s">
        <v>24</v>
      </c>
      <c r="B16319" t="s">
        <v>6515</v>
      </c>
      <c r="C16319" t="str">
        <f>"A0100998"</f>
        <v>A0100998</v>
      </c>
      <c r="D16319" t="s">
        <v>57566</v>
      </c>
      <c r="E16319" t="s">
        <v>57567</v>
      </c>
      <c r="F16319" t="s">
        <v>54989</v>
      </c>
      <c r="G16319" t="s">
        <v>103</v>
      </c>
      <c r="H16319">
        <v>18015</v>
      </c>
      <c r="I16319" t="s">
        <v>30</v>
      </c>
      <c r="J16319" t="s">
        <v>31</v>
      </c>
      <c r="K16319" t="s">
        <v>3155</v>
      </c>
      <c r="N16319" t="s">
        <v>57568</v>
      </c>
      <c r="Q16319">
        <v>0</v>
      </c>
      <c r="R16319">
        <v>101</v>
      </c>
      <c r="S16319">
        <v>0</v>
      </c>
      <c r="T16319" t="s">
        <v>57569</v>
      </c>
    </row>
    <row r="16320" spans="1:20" customFormat="1" ht="15" x14ac:dyDescent="0.25">
      <c r="A16320" t="s">
        <v>24</v>
      </c>
      <c r="B16320" t="s">
        <v>56867</v>
      </c>
      <c r="C16320" t="str">
        <f>"A0091598"</f>
        <v>A0091598</v>
      </c>
      <c r="D16320" t="s">
        <v>57570</v>
      </c>
      <c r="E16320" t="s">
        <v>57571</v>
      </c>
      <c r="F16320" t="s">
        <v>57572</v>
      </c>
      <c r="G16320" t="s">
        <v>137</v>
      </c>
      <c r="H16320">
        <v>63703</v>
      </c>
      <c r="I16320" t="s">
        <v>30</v>
      </c>
      <c r="J16320" t="s">
        <v>31</v>
      </c>
      <c r="K16320" t="s">
        <v>3155</v>
      </c>
      <c r="N16320" t="s">
        <v>57573</v>
      </c>
      <c r="Q16320">
        <v>0</v>
      </c>
      <c r="R16320">
        <v>85</v>
      </c>
      <c r="S16320">
        <v>0</v>
      </c>
      <c r="T16320" t="s">
        <v>57574</v>
      </c>
    </row>
    <row r="16321" spans="1:20" customFormat="1" ht="15" x14ac:dyDescent="0.25">
      <c r="A16321" t="s">
        <v>24</v>
      </c>
      <c r="B16321" t="s">
        <v>57575</v>
      </c>
      <c r="C16321" t="str">
        <f>"A0086297"</f>
        <v>A0086297</v>
      </c>
      <c r="D16321" t="s">
        <v>57576</v>
      </c>
      <c r="E16321" t="s">
        <v>57577</v>
      </c>
      <c r="F16321" t="s">
        <v>16286</v>
      </c>
      <c r="G16321" t="s">
        <v>29</v>
      </c>
      <c r="H16321">
        <v>23321</v>
      </c>
      <c r="I16321" t="s">
        <v>30</v>
      </c>
      <c r="J16321" t="s">
        <v>31</v>
      </c>
      <c r="K16321" t="s">
        <v>3155</v>
      </c>
      <c r="N16321" t="s">
        <v>57578</v>
      </c>
      <c r="O16321" t="s">
        <v>57579</v>
      </c>
      <c r="Q16321">
        <v>0</v>
      </c>
      <c r="R16321">
        <v>102</v>
      </c>
      <c r="S16321">
        <v>0</v>
      </c>
      <c r="T16321" t="s">
        <v>57580</v>
      </c>
    </row>
    <row r="16322" spans="1:20" customFormat="1" ht="15" x14ac:dyDescent="0.25">
      <c r="A16322" t="s">
        <v>24</v>
      </c>
      <c r="B16322" t="s">
        <v>56867</v>
      </c>
      <c r="C16322" t="str">
        <f>"A0083128"</f>
        <v>A0083128</v>
      </c>
      <c r="D16322" t="s">
        <v>57581</v>
      </c>
      <c r="E16322" t="s">
        <v>57582</v>
      </c>
      <c r="F16322" t="s">
        <v>11777</v>
      </c>
      <c r="G16322" t="s">
        <v>880</v>
      </c>
      <c r="H16322">
        <v>37040</v>
      </c>
      <c r="I16322" t="s">
        <v>30</v>
      </c>
      <c r="J16322" t="s">
        <v>31</v>
      </c>
      <c r="K16322" t="s">
        <v>3155</v>
      </c>
      <c r="N16322" t="s">
        <v>57583</v>
      </c>
      <c r="Q16322">
        <v>0</v>
      </c>
      <c r="R16322">
        <v>80</v>
      </c>
      <c r="S16322">
        <v>0</v>
      </c>
      <c r="T16322" t="s">
        <v>57584</v>
      </c>
    </row>
    <row r="16323" spans="1:20" customFormat="1" ht="15" x14ac:dyDescent="0.25">
      <c r="A16323" t="s">
        <v>24</v>
      </c>
      <c r="B16323" t="s">
        <v>1473</v>
      </c>
      <c r="C16323" t="str">
        <f>"A0093689"</f>
        <v>A0093689</v>
      </c>
      <c r="D16323" t="s">
        <v>57585</v>
      </c>
      <c r="E16323" t="s">
        <v>57586</v>
      </c>
      <c r="F16323" t="s">
        <v>56789</v>
      </c>
      <c r="G16323" t="s">
        <v>65</v>
      </c>
      <c r="H16323">
        <v>43123</v>
      </c>
      <c r="I16323" t="s">
        <v>30</v>
      </c>
      <c r="J16323" t="s">
        <v>31</v>
      </c>
      <c r="K16323" t="s">
        <v>3155</v>
      </c>
      <c r="N16323" t="s">
        <v>57587</v>
      </c>
      <c r="Q16323">
        <v>0</v>
      </c>
      <c r="R16323">
        <v>73</v>
      </c>
      <c r="S16323">
        <v>0</v>
      </c>
      <c r="T16323" t="s">
        <v>12808</v>
      </c>
    </row>
    <row r="16324" spans="1:20" customFormat="1" ht="15" x14ac:dyDescent="0.25">
      <c r="A16324" t="s">
        <v>24</v>
      </c>
      <c r="B16324" t="s">
        <v>3343</v>
      </c>
      <c r="C16324" t="str">
        <f>"A0100564"</f>
        <v>A0100564</v>
      </c>
      <c r="D16324" t="s">
        <v>57588</v>
      </c>
      <c r="E16324" t="s">
        <v>57589</v>
      </c>
      <c r="F16324" t="s">
        <v>33693</v>
      </c>
      <c r="G16324" t="s">
        <v>144</v>
      </c>
      <c r="H16324">
        <v>58103</v>
      </c>
      <c r="I16324" t="s">
        <v>30</v>
      </c>
      <c r="J16324" t="s">
        <v>31</v>
      </c>
      <c r="K16324" t="s">
        <v>3155</v>
      </c>
      <c r="N16324" t="s">
        <v>57590</v>
      </c>
      <c r="O16324" t="s">
        <v>57591</v>
      </c>
      <c r="Q16324">
        <v>0</v>
      </c>
      <c r="R16324">
        <v>96</v>
      </c>
      <c r="S16324">
        <v>0</v>
      </c>
      <c r="T16324" t="s">
        <v>57592</v>
      </c>
    </row>
    <row r="16325" spans="1:20" customFormat="1" ht="15" x14ac:dyDescent="0.25">
      <c r="A16325" t="s">
        <v>24</v>
      </c>
      <c r="B16325" t="s">
        <v>3502</v>
      </c>
      <c r="C16325" t="str">
        <f>"A0100256"</f>
        <v>A0100256</v>
      </c>
      <c r="D16325" t="s">
        <v>57593</v>
      </c>
      <c r="E16325" t="s">
        <v>57594</v>
      </c>
      <c r="F16325" t="s">
        <v>2094</v>
      </c>
      <c r="G16325" t="s">
        <v>52</v>
      </c>
      <c r="H16325">
        <v>75243</v>
      </c>
      <c r="I16325" t="s">
        <v>30</v>
      </c>
      <c r="J16325" t="s">
        <v>31</v>
      </c>
      <c r="K16325" t="s">
        <v>3155</v>
      </c>
      <c r="N16325" t="s">
        <v>57595</v>
      </c>
      <c r="Q16325">
        <v>0</v>
      </c>
      <c r="R16325">
        <v>80</v>
      </c>
      <c r="S16325">
        <v>0</v>
      </c>
      <c r="T16325" t="s">
        <v>57596</v>
      </c>
    </row>
    <row r="16326" spans="1:20" customFormat="1" ht="15" x14ac:dyDescent="0.25">
      <c r="A16326" t="s">
        <v>24</v>
      </c>
      <c r="B16326" t="s">
        <v>2340</v>
      </c>
      <c r="C16326" t="str">
        <f>"A0093607"</f>
        <v>A0093607</v>
      </c>
      <c r="D16326" t="s">
        <v>57597</v>
      </c>
      <c r="E16326" t="s">
        <v>57598</v>
      </c>
      <c r="F16326" t="s">
        <v>57599</v>
      </c>
      <c r="G16326" t="s">
        <v>103</v>
      </c>
      <c r="H16326">
        <v>18202</v>
      </c>
      <c r="I16326" t="s">
        <v>30</v>
      </c>
      <c r="J16326" t="s">
        <v>31</v>
      </c>
      <c r="K16326" t="s">
        <v>3155</v>
      </c>
      <c r="N16326" t="s">
        <v>57600</v>
      </c>
      <c r="Q16326">
        <v>0</v>
      </c>
      <c r="R16326">
        <v>124</v>
      </c>
      <c r="S16326">
        <v>0</v>
      </c>
      <c r="T16326" t="s">
        <v>57601</v>
      </c>
    </row>
    <row r="16327" spans="1:20" customFormat="1" ht="15" x14ac:dyDescent="0.25">
      <c r="A16327" t="s">
        <v>24</v>
      </c>
      <c r="B16327" t="s">
        <v>3151</v>
      </c>
      <c r="C16327" t="str">
        <f>"A0086808"</f>
        <v>A0086808</v>
      </c>
      <c r="D16327" t="s">
        <v>57602</v>
      </c>
      <c r="E16327" t="s">
        <v>57603</v>
      </c>
      <c r="F16327" t="s">
        <v>54833</v>
      </c>
      <c r="G16327" t="s">
        <v>1170</v>
      </c>
      <c r="H16327">
        <v>70665</v>
      </c>
      <c r="I16327" t="s">
        <v>30</v>
      </c>
      <c r="J16327" t="s">
        <v>31</v>
      </c>
      <c r="K16327" t="s">
        <v>3155</v>
      </c>
      <c r="N16327" t="s">
        <v>57604</v>
      </c>
      <c r="Q16327">
        <v>0</v>
      </c>
      <c r="R16327">
        <v>77</v>
      </c>
      <c r="S16327">
        <v>0</v>
      </c>
      <c r="T16327" t="s">
        <v>57605</v>
      </c>
    </row>
    <row r="16328" spans="1:20" customFormat="1" ht="15" x14ac:dyDescent="0.25">
      <c r="A16328" t="s">
        <v>24</v>
      </c>
      <c r="B16328" t="s">
        <v>1849</v>
      </c>
      <c r="C16328" t="str">
        <f>"A0068692"</f>
        <v>A0068692</v>
      </c>
      <c r="D16328" t="s">
        <v>57606</v>
      </c>
      <c r="E16328" t="s">
        <v>57607</v>
      </c>
      <c r="F16328" t="s">
        <v>5075</v>
      </c>
      <c r="G16328" t="s">
        <v>117</v>
      </c>
      <c r="H16328">
        <v>48910</v>
      </c>
      <c r="I16328" t="s">
        <v>30</v>
      </c>
      <c r="J16328" t="s">
        <v>31</v>
      </c>
      <c r="K16328" t="s">
        <v>3155</v>
      </c>
      <c r="N16328" t="s">
        <v>57608</v>
      </c>
      <c r="Q16328">
        <v>0</v>
      </c>
      <c r="R16328">
        <v>128</v>
      </c>
      <c r="S16328">
        <v>0</v>
      </c>
      <c r="T16328" t="s">
        <v>57609</v>
      </c>
    </row>
    <row r="16329" spans="1:20" customFormat="1" ht="15" x14ac:dyDescent="0.25">
      <c r="A16329" t="s">
        <v>24</v>
      </c>
      <c r="B16329" t="s">
        <v>1138</v>
      </c>
      <c r="C16329" t="str">
        <f>"A0157108"</f>
        <v>A0157108</v>
      </c>
      <c r="D16329" t="s">
        <v>57610</v>
      </c>
      <c r="E16329" t="s">
        <v>57611</v>
      </c>
      <c r="F16329" t="s">
        <v>220</v>
      </c>
      <c r="G16329" t="s">
        <v>221</v>
      </c>
      <c r="H16329">
        <v>89109</v>
      </c>
      <c r="I16329" t="s">
        <v>30</v>
      </c>
      <c r="J16329" t="s">
        <v>31</v>
      </c>
      <c r="K16329" t="s">
        <v>3155</v>
      </c>
      <c r="N16329" t="s">
        <v>57612</v>
      </c>
      <c r="Q16329">
        <v>0</v>
      </c>
      <c r="R16329">
        <v>122</v>
      </c>
      <c r="S16329">
        <v>0</v>
      </c>
      <c r="T16329" t="s">
        <v>57613</v>
      </c>
    </row>
    <row r="16330" spans="1:20" customFormat="1" ht="15" x14ac:dyDescent="0.25">
      <c r="A16330" t="s">
        <v>24</v>
      </c>
      <c r="B16330" t="s">
        <v>57614</v>
      </c>
      <c r="C16330" t="str">
        <f>"A0100297"</f>
        <v>A0100297</v>
      </c>
      <c r="D16330" t="s">
        <v>57615</v>
      </c>
      <c r="E16330" t="s">
        <v>57616</v>
      </c>
      <c r="F16330" t="s">
        <v>57617</v>
      </c>
      <c r="G16330" t="s">
        <v>925</v>
      </c>
      <c r="H16330">
        <v>66215</v>
      </c>
      <c r="I16330" t="s">
        <v>30</v>
      </c>
      <c r="J16330" t="s">
        <v>31</v>
      </c>
      <c r="K16330" t="s">
        <v>3155</v>
      </c>
      <c r="N16330" t="s">
        <v>57618</v>
      </c>
      <c r="Q16330">
        <v>0</v>
      </c>
      <c r="R16330">
        <v>96</v>
      </c>
      <c r="S16330">
        <v>0</v>
      </c>
      <c r="T16330" t="s">
        <v>57619</v>
      </c>
    </row>
    <row r="16331" spans="1:20" customFormat="1" ht="15" x14ac:dyDescent="0.25">
      <c r="A16331" t="s">
        <v>24</v>
      </c>
      <c r="B16331" t="s">
        <v>649</v>
      </c>
      <c r="C16331" t="str">
        <f>"A0093673"</f>
        <v>A0093673</v>
      </c>
      <c r="D16331" t="s">
        <v>57620</v>
      </c>
      <c r="E16331" t="s">
        <v>57621</v>
      </c>
      <c r="F16331" t="s">
        <v>3560</v>
      </c>
      <c r="G16331" t="s">
        <v>846</v>
      </c>
      <c r="H16331">
        <v>31210</v>
      </c>
      <c r="I16331" t="s">
        <v>30</v>
      </c>
      <c r="J16331" t="s">
        <v>31</v>
      </c>
      <c r="K16331" t="s">
        <v>3155</v>
      </c>
      <c r="N16331" t="s">
        <v>57622</v>
      </c>
      <c r="Q16331">
        <v>0</v>
      </c>
      <c r="R16331">
        <v>83</v>
      </c>
      <c r="S16331">
        <v>0</v>
      </c>
      <c r="T16331" t="s">
        <v>57623</v>
      </c>
    </row>
    <row r="16332" spans="1:20" customFormat="1" ht="15" x14ac:dyDescent="0.25">
      <c r="A16332" t="s">
        <v>24</v>
      </c>
      <c r="B16332" t="s">
        <v>11697</v>
      </c>
      <c r="C16332" t="str">
        <f>"A0094821"</f>
        <v>A0094821</v>
      </c>
      <c r="D16332" t="s">
        <v>57624</v>
      </c>
      <c r="E16332" t="s">
        <v>57625</v>
      </c>
      <c r="F16332" t="s">
        <v>3035</v>
      </c>
      <c r="G16332" t="s">
        <v>1369</v>
      </c>
      <c r="H16332">
        <v>38671</v>
      </c>
      <c r="I16332" t="s">
        <v>30</v>
      </c>
      <c r="J16332" t="s">
        <v>31</v>
      </c>
      <c r="K16332" t="s">
        <v>3155</v>
      </c>
      <c r="N16332" t="s">
        <v>57626</v>
      </c>
      <c r="O16332" t="s">
        <v>57627</v>
      </c>
      <c r="Q16332">
        <v>0</v>
      </c>
      <c r="R16332">
        <v>90</v>
      </c>
      <c r="S16332">
        <v>0</v>
      </c>
      <c r="T16332" t="s">
        <v>57628</v>
      </c>
    </row>
    <row r="16333" spans="1:20" customFormat="1" ht="15" x14ac:dyDescent="0.25">
      <c r="A16333" t="s">
        <v>24</v>
      </c>
      <c r="B16333" t="s">
        <v>55997</v>
      </c>
      <c r="C16333" t="str">
        <f>"A0098432"</f>
        <v>A0098432</v>
      </c>
      <c r="D16333" t="s">
        <v>57629</v>
      </c>
      <c r="E16333" t="s">
        <v>57630</v>
      </c>
      <c r="F16333" t="s">
        <v>1153</v>
      </c>
      <c r="G16333" t="s">
        <v>528</v>
      </c>
      <c r="H16333">
        <v>19713</v>
      </c>
      <c r="I16333" t="s">
        <v>30</v>
      </c>
      <c r="J16333" t="s">
        <v>31</v>
      </c>
      <c r="K16333" t="s">
        <v>3155</v>
      </c>
      <c r="N16333" t="s">
        <v>57631</v>
      </c>
      <c r="Q16333">
        <v>0</v>
      </c>
      <c r="R16333">
        <v>100</v>
      </c>
      <c r="S16333">
        <v>0</v>
      </c>
      <c r="T16333" t="s">
        <v>57632</v>
      </c>
    </row>
    <row r="16334" spans="1:20" customFormat="1" ht="15" x14ac:dyDescent="0.25">
      <c r="A16334" t="s">
        <v>24</v>
      </c>
      <c r="B16334" t="s">
        <v>762</v>
      </c>
      <c r="C16334" t="str">
        <f>"A0096156"</f>
        <v>A0096156</v>
      </c>
      <c r="D16334" t="s">
        <v>57633</v>
      </c>
      <c r="E16334" t="s">
        <v>57634</v>
      </c>
      <c r="F16334" t="s">
        <v>57635</v>
      </c>
      <c r="G16334" t="s">
        <v>52</v>
      </c>
      <c r="H16334">
        <v>79761</v>
      </c>
      <c r="I16334" t="s">
        <v>30</v>
      </c>
      <c r="J16334" t="s">
        <v>31</v>
      </c>
      <c r="K16334" t="s">
        <v>3155</v>
      </c>
      <c r="N16334" t="s">
        <v>57636</v>
      </c>
      <c r="O16334" t="s">
        <v>57637</v>
      </c>
      <c r="Q16334">
        <v>0</v>
      </c>
      <c r="R16334">
        <v>83</v>
      </c>
      <c r="S16334">
        <v>0</v>
      </c>
      <c r="T16334" t="s">
        <v>57638</v>
      </c>
    </row>
    <row r="16335" spans="1:20" customFormat="1" ht="15" x14ac:dyDescent="0.25">
      <c r="A16335" t="s">
        <v>24</v>
      </c>
      <c r="B16335" t="s">
        <v>1020</v>
      </c>
      <c r="C16335" t="str">
        <f>"A0090998"</f>
        <v>A0090998</v>
      </c>
      <c r="D16335" t="s">
        <v>57639</v>
      </c>
      <c r="E16335" t="s">
        <v>57640</v>
      </c>
      <c r="F16335" t="s">
        <v>57641</v>
      </c>
      <c r="G16335" t="s">
        <v>52</v>
      </c>
      <c r="H16335">
        <v>75503</v>
      </c>
      <c r="I16335" t="s">
        <v>30</v>
      </c>
      <c r="J16335" t="s">
        <v>31</v>
      </c>
      <c r="K16335" t="s">
        <v>3155</v>
      </c>
      <c r="N16335" t="s">
        <v>57642</v>
      </c>
      <c r="Q16335">
        <v>0</v>
      </c>
      <c r="R16335">
        <v>80</v>
      </c>
      <c r="S16335">
        <v>0</v>
      </c>
      <c r="T16335" t="s">
        <v>57643</v>
      </c>
    </row>
    <row r="16336" spans="1:20" customFormat="1" ht="15" x14ac:dyDescent="0.25">
      <c r="A16336" t="s">
        <v>24</v>
      </c>
      <c r="B16336" t="s">
        <v>56531</v>
      </c>
      <c r="C16336" t="str">
        <f>"A0153197"</f>
        <v>A0153197</v>
      </c>
      <c r="D16336" t="s">
        <v>57644</v>
      </c>
      <c r="E16336" t="s">
        <v>57645</v>
      </c>
      <c r="F16336" t="s">
        <v>796</v>
      </c>
      <c r="G16336" t="s">
        <v>197</v>
      </c>
      <c r="H16336">
        <v>85704</v>
      </c>
      <c r="I16336" t="s">
        <v>30</v>
      </c>
      <c r="J16336" t="s">
        <v>31</v>
      </c>
      <c r="K16336" t="s">
        <v>3155</v>
      </c>
      <c r="N16336" t="s">
        <v>57646</v>
      </c>
      <c r="Q16336">
        <v>0</v>
      </c>
      <c r="R16336">
        <v>89</v>
      </c>
      <c r="S16336">
        <v>0</v>
      </c>
      <c r="T16336" t="s">
        <v>57647</v>
      </c>
    </row>
    <row r="16337" spans="1:25" customFormat="1" ht="15" x14ac:dyDescent="0.25">
      <c r="A16337" t="s">
        <v>24</v>
      </c>
      <c r="B16337" t="s">
        <v>5564</v>
      </c>
      <c r="C16337" t="str">
        <f>"A0086292"</f>
        <v>A0086292</v>
      </c>
      <c r="D16337" t="s">
        <v>57648</v>
      </c>
      <c r="E16337" t="s">
        <v>57649</v>
      </c>
      <c r="F16337" t="s">
        <v>13167</v>
      </c>
      <c r="G16337" t="s">
        <v>846</v>
      </c>
      <c r="H16337">
        <v>31088</v>
      </c>
      <c r="I16337" t="s">
        <v>30</v>
      </c>
      <c r="J16337" t="s">
        <v>31</v>
      </c>
      <c r="K16337" t="s">
        <v>3155</v>
      </c>
      <c r="N16337" t="s">
        <v>13168</v>
      </c>
      <c r="Q16337">
        <v>0</v>
      </c>
      <c r="R16337">
        <v>83</v>
      </c>
      <c r="S16337">
        <v>0</v>
      </c>
      <c r="T16337" t="s">
        <v>57650</v>
      </c>
    </row>
    <row r="16338" spans="1:25" customFormat="1" ht="15" x14ac:dyDescent="0.25">
      <c r="A16338" t="s">
        <v>24</v>
      </c>
      <c r="B16338" t="s">
        <v>4990</v>
      </c>
      <c r="C16338" t="str">
        <f>"A0083797"</f>
        <v>A0083797</v>
      </c>
      <c r="D16338" t="s">
        <v>57651</v>
      </c>
      <c r="E16338" t="s">
        <v>57652</v>
      </c>
      <c r="F16338" t="s">
        <v>16182</v>
      </c>
      <c r="G16338" t="s">
        <v>29</v>
      </c>
      <c r="H16338">
        <v>22602</v>
      </c>
      <c r="I16338" t="s">
        <v>30</v>
      </c>
      <c r="J16338" t="s">
        <v>31</v>
      </c>
      <c r="K16338" t="s">
        <v>3155</v>
      </c>
      <c r="N16338" t="s">
        <v>57653</v>
      </c>
      <c r="O16338" t="s">
        <v>57654</v>
      </c>
      <c r="Q16338">
        <v>0</v>
      </c>
      <c r="R16338">
        <v>70</v>
      </c>
      <c r="S16338">
        <v>0</v>
      </c>
      <c r="T16338" t="s">
        <v>57655</v>
      </c>
    </row>
    <row r="16339" spans="1:25" customFormat="1" ht="15" x14ac:dyDescent="0.25">
      <c r="A16339" t="s">
        <v>24</v>
      </c>
      <c r="B16339" t="s">
        <v>2360</v>
      </c>
      <c r="C16339" t="str">
        <f>"A0093777"</f>
        <v>A0093777</v>
      </c>
      <c r="D16339" t="s">
        <v>57656</v>
      </c>
      <c r="E16339" t="s">
        <v>57657</v>
      </c>
      <c r="F16339" t="s">
        <v>57658</v>
      </c>
      <c r="G16339" t="s">
        <v>1369</v>
      </c>
      <c r="H16339">
        <v>39402</v>
      </c>
      <c r="I16339" t="s">
        <v>30</v>
      </c>
      <c r="J16339" t="s">
        <v>178</v>
      </c>
      <c r="K16339" t="s">
        <v>179</v>
      </c>
      <c r="N16339" t="s">
        <v>57659</v>
      </c>
      <c r="Q16339">
        <v>1</v>
      </c>
      <c r="R16339">
        <v>0</v>
      </c>
      <c r="S16339">
        <v>0</v>
      </c>
      <c r="T16339" t="s">
        <v>57660</v>
      </c>
    </row>
    <row r="16340" spans="1:25" customFormat="1" ht="15" x14ac:dyDescent="0.25">
      <c r="A16340" t="s">
        <v>24</v>
      </c>
      <c r="B16340" t="s">
        <v>56373</v>
      </c>
      <c r="C16340" t="str">
        <f>"A0157409"</f>
        <v>A0157409</v>
      </c>
      <c r="D16340" t="s">
        <v>57661</v>
      </c>
      <c r="E16340" t="s">
        <v>57662</v>
      </c>
      <c r="F16340" t="s">
        <v>57663</v>
      </c>
      <c r="G16340" t="s">
        <v>110</v>
      </c>
      <c r="H16340">
        <v>91303</v>
      </c>
      <c r="I16340" t="s">
        <v>30</v>
      </c>
      <c r="J16340" t="s">
        <v>31</v>
      </c>
      <c r="K16340" t="s">
        <v>163</v>
      </c>
      <c r="N16340" t="s">
        <v>57664</v>
      </c>
      <c r="Q16340">
        <v>0</v>
      </c>
      <c r="R16340">
        <v>39</v>
      </c>
      <c r="S16340">
        <v>0</v>
      </c>
      <c r="T16340" t="s">
        <v>57665</v>
      </c>
    </row>
    <row r="16341" spans="1:25" customFormat="1" ht="15" x14ac:dyDescent="0.25">
      <c r="A16341" t="s">
        <v>24</v>
      </c>
      <c r="B16341" t="s">
        <v>2360</v>
      </c>
      <c r="C16341" t="str">
        <f>"A0048921"</f>
        <v>A0048921</v>
      </c>
      <c r="D16341" t="s">
        <v>57666</v>
      </c>
      <c r="E16341" t="s">
        <v>57667</v>
      </c>
      <c r="F16341" t="s">
        <v>57668</v>
      </c>
      <c r="G16341" t="s">
        <v>846</v>
      </c>
      <c r="H16341">
        <v>30277</v>
      </c>
      <c r="I16341" t="s">
        <v>30</v>
      </c>
      <c r="J16341" t="s">
        <v>178</v>
      </c>
      <c r="K16341" t="s">
        <v>8013</v>
      </c>
      <c r="N16341" t="s">
        <v>57669</v>
      </c>
      <c r="Q16341">
        <v>1</v>
      </c>
      <c r="R16341">
        <v>0</v>
      </c>
      <c r="S16341">
        <v>0</v>
      </c>
      <c r="T16341" t="s">
        <v>57670</v>
      </c>
    </row>
    <row r="16342" spans="1:25" customFormat="1" ht="15" x14ac:dyDescent="0.25">
      <c r="A16342" t="s">
        <v>24</v>
      </c>
      <c r="B16342" t="s">
        <v>1487</v>
      </c>
      <c r="C16342" t="str">
        <f>"A0064870"</f>
        <v>A0064870</v>
      </c>
      <c r="D16342" t="s">
        <v>75926</v>
      </c>
      <c r="E16342" t="s">
        <v>75927</v>
      </c>
      <c r="F16342" t="s">
        <v>5620</v>
      </c>
      <c r="G16342" t="s">
        <v>29</v>
      </c>
      <c r="H16342">
        <v>23219</v>
      </c>
      <c r="I16342" t="s">
        <v>30</v>
      </c>
      <c r="J16342" t="s">
        <v>162</v>
      </c>
      <c r="K16342" t="s">
        <v>1490</v>
      </c>
      <c r="N16342" t="s">
        <v>75928</v>
      </c>
      <c r="O16342" t="s">
        <v>75929</v>
      </c>
      <c r="Q16342">
        <v>0</v>
      </c>
      <c r="R16342">
        <v>400</v>
      </c>
      <c r="S16342">
        <v>0</v>
      </c>
      <c r="T16342" t="s">
        <v>75930</v>
      </c>
    </row>
    <row r="16343" spans="1:25" customFormat="1" ht="15" x14ac:dyDescent="0.25">
      <c r="A16343" t="s">
        <v>24</v>
      </c>
      <c r="B16343" t="s">
        <v>10398</v>
      </c>
      <c r="C16343" t="str">
        <f>"SF03378"</f>
        <v>SF03378</v>
      </c>
      <c r="D16343" t="s">
        <v>75931</v>
      </c>
      <c r="E16343" t="s">
        <v>75932</v>
      </c>
      <c r="F16343" t="s">
        <v>8012</v>
      </c>
      <c r="G16343" t="s">
        <v>110</v>
      </c>
      <c r="H16343">
        <v>92501</v>
      </c>
      <c r="I16343" t="s">
        <v>30</v>
      </c>
      <c r="J16343" t="s">
        <v>162</v>
      </c>
      <c r="K16343" t="s">
        <v>1490</v>
      </c>
      <c r="N16343" t="s">
        <v>75933</v>
      </c>
      <c r="Q16343">
        <v>0</v>
      </c>
      <c r="R16343">
        <v>292</v>
      </c>
      <c r="S16343">
        <v>0</v>
      </c>
      <c r="T16343" t="s">
        <v>75934</v>
      </c>
    </row>
    <row r="16344" spans="1:25" customFormat="1" ht="15" x14ac:dyDescent="0.25">
      <c r="A16344" t="s">
        <v>24</v>
      </c>
      <c r="B16344" t="s">
        <v>5079</v>
      </c>
      <c r="C16344" t="str">
        <f>"34334"</f>
        <v>34334</v>
      </c>
      <c r="D16344" t="s">
        <v>75935</v>
      </c>
      <c r="E16344" t="s">
        <v>75936</v>
      </c>
      <c r="F16344" t="s">
        <v>1476</v>
      </c>
      <c r="G16344" t="s">
        <v>99</v>
      </c>
      <c r="H16344">
        <v>14615</v>
      </c>
      <c r="I16344" t="s">
        <v>30</v>
      </c>
      <c r="J16344" t="s">
        <v>162</v>
      </c>
      <c r="K16344" t="s">
        <v>1490</v>
      </c>
      <c r="N16344" t="s">
        <v>3486</v>
      </c>
      <c r="O16344" t="s">
        <v>75937</v>
      </c>
      <c r="Q16344">
        <v>0</v>
      </c>
      <c r="R16344">
        <v>210</v>
      </c>
      <c r="S16344">
        <v>0</v>
      </c>
      <c r="T16344" t="s">
        <v>75938</v>
      </c>
    </row>
    <row r="16345" spans="1:25" customFormat="1" ht="15" x14ac:dyDescent="0.25">
      <c r="A16345" t="s">
        <v>24</v>
      </c>
      <c r="B16345" t="s">
        <v>675</v>
      </c>
      <c r="C16345" t="str">
        <f>"337J4"</f>
        <v>337J4</v>
      </c>
      <c r="D16345" t="s">
        <v>75939</v>
      </c>
      <c r="E16345" t="s">
        <v>75940</v>
      </c>
      <c r="F16345" t="s">
        <v>356</v>
      </c>
      <c r="G16345" t="s">
        <v>52</v>
      </c>
      <c r="H16345">
        <v>78205</v>
      </c>
      <c r="I16345" t="s">
        <v>30</v>
      </c>
      <c r="J16345" t="s">
        <v>162</v>
      </c>
      <c r="K16345" t="s">
        <v>1490</v>
      </c>
      <c r="N16345" t="s">
        <v>75941</v>
      </c>
      <c r="O16345" t="s">
        <v>75942</v>
      </c>
      <c r="Q16345">
        <v>0</v>
      </c>
      <c r="R16345">
        <v>1000</v>
      </c>
      <c r="S16345">
        <v>0</v>
      </c>
      <c r="T16345" t="s">
        <v>75943</v>
      </c>
    </row>
    <row r="16346" spans="1:25" customFormat="1" ht="15" x14ac:dyDescent="0.25">
      <c r="A16346" t="s">
        <v>24</v>
      </c>
      <c r="B16346" t="s">
        <v>675</v>
      </c>
      <c r="C16346" t="str">
        <f>"33763"</f>
        <v>33763</v>
      </c>
      <c r="D16346" t="s">
        <v>75944</v>
      </c>
      <c r="E16346" t="s">
        <v>75945</v>
      </c>
      <c r="F16346" t="s">
        <v>356</v>
      </c>
      <c r="G16346" t="s">
        <v>52</v>
      </c>
      <c r="H16346">
        <v>78205</v>
      </c>
      <c r="I16346" t="s">
        <v>30</v>
      </c>
      <c r="J16346" t="s">
        <v>162</v>
      </c>
      <c r="K16346" t="s">
        <v>1490</v>
      </c>
      <c r="N16346" t="s">
        <v>75941</v>
      </c>
      <c r="O16346" t="s">
        <v>75946</v>
      </c>
      <c r="Q16346">
        <v>0</v>
      </c>
      <c r="R16346">
        <v>512</v>
      </c>
      <c r="S16346">
        <v>0</v>
      </c>
      <c r="T16346" t="s">
        <v>75947</v>
      </c>
    </row>
    <row r="16347" spans="1:25" customFormat="1" ht="15" x14ac:dyDescent="0.25">
      <c r="A16347" t="s">
        <v>24</v>
      </c>
      <c r="B16347" t="s">
        <v>675</v>
      </c>
      <c r="C16347" t="str">
        <f>"337F2"</f>
        <v>337F2</v>
      </c>
      <c r="D16347" t="s">
        <v>75948</v>
      </c>
      <c r="E16347" t="s">
        <v>75949</v>
      </c>
      <c r="F16347" t="s">
        <v>748</v>
      </c>
      <c r="G16347" t="s">
        <v>110</v>
      </c>
      <c r="H16347">
        <v>94103</v>
      </c>
      <c r="I16347" t="s">
        <v>30</v>
      </c>
      <c r="J16347" t="s">
        <v>162</v>
      </c>
      <c r="K16347" t="s">
        <v>1490</v>
      </c>
      <c r="N16347" t="s">
        <v>75950</v>
      </c>
      <c r="O16347" t="s">
        <v>75951</v>
      </c>
      <c r="Q16347">
        <v>0</v>
      </c>
      <c r="R16347">
        <v>1500</v>
      </c>
      <c r="S16347">
        <v>0</v>
      </c>
      <c r="T16347" t="s">
        <v>75952</v>
      </c>
    </row>
    <row r="16348" spans="1:25" customFormat="1" ht="15" x14ac:dyDescent="0.25">
      <c r="A16348" t="s">
        <v>24</v>
      </c>
      <c r="B16348" t="s">
        <v>2360</v>
      </c>
      <c r="C16348" t="str">
        <f>"A0050601"</f>
        <v>A0050601</v>
      </c>
      <c r="D16348" t="s">
        <v>57697</v>
      </c>
      <c r="E16348" t="s">
        <v>57698</v>
      </c>
      <c r="F16348" t="s">
        <v>57699</v>
      </c>
      <c r="G16348" t="s">
        <v>76</v>
      </c>
      <c r="H16348">
        <v>98332</v>
      </c>
      <c r="I16348" t="s">
        <v>30</v>
      </c>
      <c r="J16348" t="s">
        <v>178</v>
      </c>
      <c r="K16348" t="s">
        <v>56092</v>
      </c>
      <c r="N16348" t="s">
        <v>57700</v>
      </c>
      <c r="O16348" t="s">
        <v>57701</v>
      </c>
      <c r="P16348" t="s">
        <v>992</v>
      </c>
      <c r="Q16348">
        <v>1</v>
      </c>
      <c r="R16348">
        <v>0</v>
      </c>
      <c r="S16348">
        <v>0</v>
      </c>
      <c r="T16348" t="s">
        <v>57702</v>
      </c>
    </row>
    <row r="16349" spans="1:25" customFormat="1" ht="15" x14ac:dyDescent="0.25">
      <c r="A16349" t="s">
        <v>24</v>
      </c>
      <c r="B16349" t="s">
        <v>2360</v>
      </c>
      <c r="C16349" t="str">
        <f>"CL0102"</f>
        <v>CL0102</v>
      </c>
      <c r="D16349" t="s">
        <v>57703</v>
      </c>
      <c r="E16349" t="s">
        <v>57704</v>
      </c>
      <c r="F16349" t="s">
        <v>10779</v>
      </c>
      <c r="G16349" t="s">
        <v>52</v>
      </c>
      <c r="H16349">
        <v>75080</v>
      </c>
      <c r="I16349" t="s">
        <v>30</v>
      </c>
      <c r="J16349" t="s">
        <v>178</v>
      </c>
      <c r="K16349" t="s">
        <v>56676</v>
      </c>
      <c r="N16349" t="s">
        <v>57705</v>
      </c>
      <c r="P16349" t="s">
        <v>992</v>
      </c>
      <c r="Q16349">
        <v>1</v>
      </c>
      <c r="R16349">
        <v>0</v>
      </c>
      <c r="S16349">
        <v>0</v>
      </c>
      <c r="T16349" t="s">
        <v>57706</v>
      </c>
    </row>
    <row r="16350" spans="1:25" customFormat="1" ht="15" x14ac:dyDescent="0.25">
      <c r="A16350" t="s">
        <v>24</v>
      </c>
      <c r="B16350" t="s">
        <v>2360</v>
      </c>
      <c r="C16350" t="str">
        <f>"CL0514"</f>
        <v>CL0514</v>
      </c>
      <c r="D16350" t="s">
        <v>57707</v>
      </c>
      <c r="E16350" t="s">
        <v>57708</v>
      </c>
      <c r="F16350" t="s">
        <v>220</v>
      </c>
      <c r="G16350" t="s">
        <v>221</v>
      </c>
      <c r="H16350">
        <v>89117</v>
      </c>
      <c r="I16350" t="s">
        <v>30</v>
      </c>
      <c r="J16350" t="s">
        <v>178</v>
      </c>
      <c r="K16350" t="s">
        <v>55688</v>
      </c>
      <c r="N16350" t="s">
        <v>57709</v>
      </c>
      <c r="O16350" t="s">
        <v>57710</v>
      </c>
      <c r="P16350" t="s">
        <v>992</v>
      </c>
      <c r="Q16350">
        <v>1</v>
      </c>
      <c r="R16350">
        <v>0</v>
      </c>
      <c r="S16350">
        <v>0</v>
      </c>
      <c r="T16350" t="s">
        <v>57711</v>
      </c>
    </row>
    <row r="16351" spans="1:25" x14ac:dyDescent="0.25">
      <c r="A16351" s="5" t="s">
        <v>24</v>
      </c>
      <c r="B16351" s="5" t="s">
        <v>675</v>
      </c>
      <c r="C16351" s="5" t="str">
        <f>"A0066121"</f>
        <v>A0066121</v>
      </c>
      <c r="D16351" s="5" t="s">
        <v>75953</v>
      </c>
      <c r="E16351" s="5" t="s">
        <v>75954</v>
      </c>
      <c r="F16351" s="5" t="s">
        <v>9135</v>
      </c>
      <c r="G16351" s="5" t="s">
        <v>110</v>
      </c>
      <c r="H16351" s="5">
        <v>95113</v>
      </c>
      <c r="I16351" s="5" t="s">
        <v>30</v>
      </c>
      <c r="J16351" s="5" t="s">
        <v>162</v>
      </c>
      <c r="K16351" s="5" t="s">
        <v>1490</v>
      </c>
      <c r="L16351" s="5"/>
      <c r="M16351" s="5"/>
      <c r="N16351" s="5" t="s">
        <v>75955</v>
      </c>
      <c r="O16351" s="5"/>
      <c r="P16351" s="5"/>
      <c r="Q16351" s="5">
        <v>0</v>
      </c>
      <c r="R16351" s="5">
        <v>506</v>
      </c>
      <c r="S16351" s="5">
        <v>0</v>
      </c>
      <c r="T16351" s="5" t="s">
        <v>75956</v>
      </c>
      <c r="U16351" s="5"/>
      <c r="V16351" s="5"/>
      <c r="W16351" s="5"/>
      <c r="X16351" s="5"/>
      <c r="Y16351" s="5"/>
    </row>
    <row r="16352" spans="1:25" x14ac:dyDescent="0.25">
      <c r="A16352" s="5" t="s">
        <v>24</v>
      </c>
      <c r="B16352" s="5" t="s">
        <v>2373</v>
      </c>
      <c r="C16352" s="5" t="str">
        <f>"337M2"</f>
        <v>337M2</v>
      </c>
      <c r="D16352" s="5" t="s">
        <v>75957</v>
      </c>
      <c r="E16352" s="5" t="s">
        <v>75958</v>
      </c>
      <c r="F16352" s="5" t="s">
        <v>73101</v>
      </c>
      <c r="G16352" s="5" t="s">
        <v>110</v>
      </c>
      <c r="H16352" s="5">
        <v>94583</v>
      </c>
      <c r="I16352" s="5" t="s">
        <v>30</v>
      </c>
      <c r="J16352" s="5" t="s">
        <v>162</v>
      </c>
      <c r="K16352" s="5" t="s">
        <v>1490</v>
      </c>
      <c r="L16352" s="5"/>
      <c r="M16352" s="5"/>
      <c r="N16352" s="5" t="s">
        <v>75959</v>
      </c>
      <c r="O16352" s="5" t="s">
        <v>75960</v>
      </c>
      <c r="P16352" s="5"/>
      <c r="Q16352" s="5">
        <v>0</v>
      </c>
      <c r="R16352" s="5">
        <v>368</v>
      </c>
      <c r="S16352" s="5">
        <v>0</v>
      </c>
      <c r="T16352" s="5" t="s">
        <v>75961</v>
      </c>
      <c r="U16352" s="5"/>
      <c r="V16352" s="5"/>
      <c r="W16352" s="5"/>
      <c r="X16352" s="5"/>
      <c r="Y16352" s="5"/>
    </row>
    <row r="16353" spans="1:20" customFormat="1" ht="15" x14ac:dyDescent="0.25">
      <c r="A16353" t="s">
        <v>24</v>
      </c>
      <c r="B16353" t="s">
        <v>6667</v>
      </c>
      <c r="C16353" t="str">
        <f>"A0069302"</f>
        <v>A0069302</v>
      </c>
      <c r="D16353" t="s">
        <v>57722</v>
      </c>
      <c r="E16353" t="s">
        <v>57723</v>
      </c>
      <c r="F16353" t="s">
        <v>356</v>
      </c>
      <c r="G16353" t="s">
        <v>52</v>
      </c>
      <c r="H16353">
        <v>78260</v>
      </c>
      <c r="I16353" t="s">
        <v>30</v>
      </c>
      <c r="J16353" t="s">
        <v>178</v>
      </c>
      <c r="K16353" t="s">
        <v>6667</v>
      </c>
      <c r="N16353" t="s">
        <v>57724</v>
      </c>
      <c r="P16353" t="s">
        <v>6426</v>
      </c>
      <c r="Q16353">
        <v>1</v>
      </c>
      <c r="R16353">
        <v>0</v>
      </c>
      <c r="S16353">
        <v>0</v>
      </c>
      <c r="T16353" t="s">
        <v>57725</v>
      </c>
    </row>
    <row r="16354" spans="1:20" customFormat="1" ht="15" x14ac:dyDescent="0.25">
      <c r="A16354" t="s">
        <v>24</v>
      </c>
      <c r="B16354" t="s">
        <v>1583</v>
      </c>
      <c r="C16354" t="str">
        <f>"A0100719"</f>
        <v>A0100719</v>
      </c>
      <c r="D16354" t="s">
        <v>57726</v>
      </c>
      <c r="E16354" t="s">
        <v>57727</v>
      </c>
      <c r="F16354" t="s">
        <v>196</v>
      </c>
      <c r="G16354" t="s">
        <v>197</v>
      </c>
      <c r="H16354">
        <v>85054</v>
      </c>
      <c r="I16354" t="s">
        <v>30</v>
      </c>
      <c r="J16354" t="s">
        <v>191</v>
      </c>
      <c r="K16354" t="s">
        <v>6809</v>
      </c>
      <c r="N16354" t="s">
        <v>57728</v>
      </c>
      <c r="Q16354">
        <v>0</v>
      </c>
      <c r="R16354">
        <v>0</v>
      </c>
      <c r="S16354">
        <v>0</v>
      </c>
      <c r="T16354" t="s">
        <v>57729</v>
      </c>
    </row>
    <row r="16355" spans="1:20" customFormat="1" ht="15" x14ac:dyDescent="0.25">
      <c r="A16355" t="s">
        <v>24</v>
      </c>
      <c r="B16355" t="s">
        <v>675</v>
      </c>
      <c r="C16355" t="str">
        <f>"33734"</f>
        <v>33734</v>
      </c>
      <c r="D16355" t="s">
        <v>75962</v>
      </c>
      <c r="E16355" t="s">
        <v>75963</v>
      </c>
      <c r="F16355" t="s">
        <v>5123</v>
      </c>
      <c r="G16355" t="s">
        <v>110</v>
      </c>
      <c r="H16355">
        <v>95054</v>
      </c>
      <c r="I16355" t="s">
        <v>30</v>
      </c>
      <c r="J16355" t="s">
        <v>162</v>
      </c>
      <c r="K16355" t="s">
        <v>1490</v>
      </c>
      <c r="Q16355">
        <v>0</v>
      </c>
      <c r="R16355">
        <v>755</v>
      </c>
      <c r="S16355">
        <v>0</v>
      </c>
      <c r="T16355" t="s">
        <v>75964</v>
      </c>
    </row>
    <row r="16356" spans="1:20" customFormat="1" ht="15" x14ac:dyDescent="0.25">
      <c r="A16356" t="s">
        <v>24</v>
      </c>
      <c r="B16356" t="s">
        <v>2360</v>
      </c>
      <c r="C16356" t="str">
        <f>"CL0562"</f>
        <v>CL0562</v>
      </c>
      <c r="D16356" t="s">
        <v>57734</v>
      </c>
      <c r="E16356" t="s">
        <v>57735</v>
      </c>
      <c r="F16356" t="s">
        <v>4909</v>
      </c>
      <c r="G16356" t="s">
        <v>58</v>
      </c>
      <c r="H16356">
        <v>29201</v>
      </c>
      <c r="I16356" t="s">
        <v>30</v>
      </c>
      <c r="J16356" t="s">
        <v>2558</v>
      </c>
      <c r="K16356" t="s">
        <v>2566</v>
      </c>
      <c r="N16356" t="s">
        <v>57736</v>
      </c>
      <c r="Q16356">
        <v>0</v>
      </c>
      <c r="R16356">
        <v>0</v>
      </c>
      <c r="S16356">
        <v>0</v>
      </c>
      <c r="T16356" t="s">
        <v>57737</v>
      </c>
    </row>
    <row r="16357" spans="1:20" customFormat="1" ht="15" x14ac:dyDescent="0.25">
      <c r="A16357" t="s">
        <v>24</v>
      </c>
      <c r="B16357" t="s">
        <v>2360</v>
      </c>
      <c r="C16357" t="str">
        <f>"CL0158"</f>
        <v>CL0158</v>
      </c>
      <c r="D16357" t="s">
        <v>57738</v>
      </c>
      <c r="E16357" t="s">
        <v>57739</v>
      </c>
      <c r="F16357" t="s">
        <v>8562</v>
      </c>
      <c r="G16357" t="s">
        <v>1706</v>
      </c>
      <c r="H16357">
        <v>36104</v>
      </c>
      <c r="I16357" t="s">
        <v>30</v>
      </c>
      <c r="J16357" t="s">
        <v>2558</v>
      </c>
      <c r="K16357" t="s">
        <v>55688</v>
      </c>
      <c r="N16357" t="s">
        <v>57740</v>
      </c>
      <c r="Q16357">
        <v>0</v>
      </c>
      <c r="R16357">
        <v>0</v>
      </c>
      <c r="S16357">
        <v>0</v>
      </c>
      <c r="T16357" t="s">
        <v>57741</v>
      </c>
    </row>
    <row r="16358" spans="1:20" customFormat="1" ht="15" x14ac:dyDescent="0.25">
      <c r="A16358" t="s">
        <v>24</v>
      </c>
      <c r="B16358" t="s">
        <v>57512</v>
      </c>
      <c r="C16358" t="str">
        <f>"A0075624"</f>
        <v>A0075624</v>
      </c>
      <c r="D16358" t="s">
        <v>57742</v>
      </c>
      <c r="E16358" t="s">
        <v>57743</v>
      </c>
      <c r="F16358" t="s">
        <v>57744</v>
      </c>
      <c r="G16358" t="s">
        <v>1706</v>
      </c>
      <c r="H16358">
        <v>36066</v>
      </c>
      <c r="I16358" t="s">
        <v>30</v>
      </c>
      <c r="J16358" t="s">
        <v>2415</v>
      </c>
      <c r="K16358" t="s">
        <v>179</v>
      </c>
      <c r="P16358" t="s">
        <v>6426</v>
      </c>
      <c r="Q16358">
        <v>3</v>
      </c>
      <c r="R16358">
        <v>0</v>
      </c>
      <c r="S16358">
        <v>0</v>
      </c>
      <c r="T16358" t="s">
        <v>57745</v>
      </c>
    </row>
    <row r="16359" spans="1:20" customFormat="1" ht="15" x14ac:dyDescent="0.25">
      <c r="A16359" t="s">
        <v>24</v>
      </c>
      <c r="B16359" t="s">
        <v>1020</v>
      </c>
      <c r="C16359" t="str">
        <f>"A0087704"</f>
        <v>A0087704</v>
      </c>
      <c r="D16359" t="s">
        <v>57746</v>
      </c>
      <c r="E16359" t="s">
        <v>57747</v>
      </c>
      <c r="F16359" t="s">
        <v>313</v>
      </c>
      <c r="G16359" t="s">
        <v>314</v>
      </c>
      <c r="H16359">
        <v>20003</v>
      </c>
      <c r="I16359" t="s">
        <v>30</v>
      </c>
      <c r="J16359" t="s">
        <v>31</v>
      </c>
      <c r="K16359" t="s">
        <v>163</v>
      </c>
      <c r="N16359" t="s">
        <v>57748</v>
      </c>
      <c r="Q16359">
        <v>0</v>
      </c>
      <c r="R16359">
        <v>152</v>
      </c>
      <c r="S16359">
        <v>0</v>
      </c>
      <c r="T16359" t="s">
        <v>57749</v>
      </c>
    </row>
    <row r="16360" spans="1:20" customFormat="1" ht="15" x14ac:dyDescent="0.25">
      <c r="A16360" t="s">
        <v>24</v>
      </c>
      <c r="B16360" t="s">
        <v>976</v>
      </c>
      <c r="C16360" t="str">
        <f>"33771"</f>
        <v>33771</v>
      </c>
      <c r="D16360" t="s">
        <v>75965</v>
      </c>
      <c r="E16360" t="s">
        <v>75966</v>
      </c>
      <c r="F16360" t="s">
        <v>2900</v>
      </c>
      <c r="G16360" t="s">
        <v>76</v>
      </c>
      <c r="H16360">
        <v>98188</v>
      </c>
      <c r="I16360" t="s">
        <v>30</v>
      </c>
      <c r="J16360" t="s">
        <v>162</v>
      </c>
      <c r="K16360" t="s">
        <v>1490</v>
      </c>
      <c r="N16360" t="s">
        <v>75967</v>
      </c>
      <c r="O16360" t="s">
        <v>75968</v>
      </c>
      <c r="Q16360">
        <v>0</v>
      </c>
      <c r="R16360">
        <v>459</v>
      </c>
      <c r="S16360">
        <v>0</v>
      </c>
      <c r="T16360" t="s">
        <v>75969</v>
      </c>
    </row>
    <row r="16361" spans="1:20" customFormat="1" ht="15" x14ac:dyDescent="0.25">
      <c r="A16361" t="s">
        <v>24</v>
      </c>
      <c r="B16361" t="s">
        <v>675</v>
      </c>
      <c r="C16361" t="str">
        <f>"337V2"</f>
        <v>337V2</v>
      </c>
      <c r="D16361" t="s">
        <v>75970</v>
      </c>
      <c r="E16361" t="s">
        <v>75971</v>
      </c>
      <c r="F16361" t="s">
        <v>2900</v>
      </c>
      <c r="G16361" t="s">
        <v>76</v>
      </c>
      <c r="H16361">
        <v>98121</v>
      </c>
      <c r="I16361" t="s">
        <v>30</v>
      </c>
      <c r="J16361" t="s">
        <v>162</v>
      </c>
      <c r="K16361" t="s">
        <v>1490</v>
      </c>
      <c r="N16361" t="s">
        <v>75972</v>
      </c>
      <c r="O16361" t="s">
        <v>75973</v>
      </c>
      <c r="Q16361">
        <v>0</v>
      </c>
      <c r="R16361">
        <v>358</v>
      </c>
      <c r="S16361">
        <v>0</v>
      </c>
      <c r="T16361" t="s">
        <v>75974</v>
      </c>
    </row>
    <row r="16362" spans="1:20" customFormat="1" ht="15" x14ac:dyDescent="0.25">
      <c r="A16362" t="s">
        <v>24</v>
      </c>
      <c r="B16362" t="s">
        <v>56330</v>
      </c>
      <c r="C16362" t="str">
        <f>"A0067296"</f>
        <v>A0067296</v>
      </c>
      <c r="D16362" t="s">
        <v>75975</v>
      </c>
      <c r="E16362" t="s">
        <v>75976</v>
      </c>
      <c r="F16362" t="s">
        <v>2352</v>
      </c>
      <c r="G16362" t="s">
        <v>1706</v>
      </c>
      <c r="H16362">
        <v>35630</v>
      </c>
      <c r="I16362" t="s">
        <v>30</v>
      </c>
      <c r="J16362" t="s">
        <v>162</v>
      </c>
      <c r="K16362" t="s">
        <v>57369</v>
      </c>
      <c r="N16362" t="s">
        <v>75977</v>
      </c>
      <c r="O16362" t="s">
        <v>75978</v>
      </c>
      <c r="Q16362">
        <v>0</v>
      </c>
      <c r="R16362">
        <v>193</v>
      </c>
      <c r="S16362">
        <v>0</v>
      </c>
      <c r="T16362" t="s">
        <v>75979</v>
      </c>
    </row>
    <row r="16363" spans="1:20" customFormat="1" ht="15" x14ac:dyDescent="0.25">
      <c r="A16363" t="s">
        <v>24</v>
      </c>
      <c r="B16363" t="s">
        <v>57765</v>
      </c>
      <c r="C16363" t="str">
        <f>"A0049224"</f>
        <v>A0049224</v>
      </c>
      <c r="D16363" t="s">
        <v>57766</v>
      </c>
      <c r="E16363" t="s">
        <v>57767</v>
      </c>
      <c r="F16363" t="s">
        <v>56411</v>
      </c>
      <c r="G16363" t="s">
        <v>81</v>
      </c>
      <c r="H16363">
        <v>33037</v>
      </c>
      <c r="I16363" t="s">
        <v>30</v>
      </c>
      <c r="J16363" t="s">
        <v>178</v>
      </c>
      <c r="K16363" t="s">
        <v>179</v>
      </c>
      <c r="N16363" t="s">
        <v>57768</v>
      </c>
      <c r="O16363" t="s">
        <v>57769</v>
      </c>
      <c r="Q16363">
        <v>1</v>
      </c>
      <c r="R16363">
        <v>18</v>
      </c>
      <c r="S16363">
        <v>0</v>
      </c>
      <c r="T16363" t="s">
        <v>57770</v>
      </c>
    </row>
    <row r="16364" spans="1:20" customFormat="1" ht="15" x14ac:dyDescent="0.25">
      <c r="A16364" t="s">
        <v>24</v>
      </c>
      <c r="B16364" t="s">
        <v>59423</v>
      </c>
      <c r="C16364" t="str">
        <f>"34122"</f>
        <v>34122</v>
      </c>
      <c r="D16364" t="s">
        <v>75980</v>
      </c>
      <c r="E16364" t="s">
        <v>75981</v>
      </c>
      <c r="F16364" t="s">
        <v>7579</v>
      </c>
      <c r="G16364" t="s">
        <v>40</v>
      </c>
      <c r="H16364">
        <v>74136</v>
      </c>
      <c r="I16364" t="s">
        <v>30</v>
      </c>
      <c r="J16364" t="s">
        <v>162</v>
      </c>
      <c r="K16364" t="s">
        <v>1490</v>
      </c>
      <c r="N16364" t="s">
        <v>75982</v>
      </c>
      <c r="O16364" t="s">
        <v>75983</v>
      </c>
      <c r="Q16364">
        <v>0</v>
      </c>
      <c r="R16364">
        <v>383</v>
      </c>
      <c r="S16364">
        <v>0</v>
      </c>
      <c r="T16364" t="s">
        <v>75984</v>
      </c>
    </row>
    <row r="16365" spans="1:20" customFormat="1" ht="15" x14ac:dyDescent="0.25">
      <c r="A16365" t="s">
        <v>24</v>
      </c>
      <c r="B16365" t="s">
        <v>4855</v>
      </c>
      <c r="C16365" t="str">
        <f>"SF08414"</f>
        <v>SF08414</v>
      </c>
      <c r="D16365" t="s">
        <v>57776</v>
      </c>
      <c r="E16365" t="s">
        <v>57777</v>
      </c>
      <c r="F16365" t="s">
        <v>11003</v>
      </c>
      <c r="G16365" t="s">
        <v>110</v>
      </c>
      <c r="H16365">
        <v>92011</v>
      </c>
      <c r="I16365" t="s">
        <v>30</v>
      </c>
      <c r="J16365" t="s">
        <v>31</v>
      </c>
      <c r="K16365" t="s">
        <v>163</v>
      </c>
      <c r="N16365" t="s">
        <v>57778</v>
      </c>
      <c r="O16365" t="s">
        <v>57779</v>
      </c>
      <c r="Q16365">
        <v>0</v>
      </c>
      <c r="R16365">
        <v>141</v>
      </c>
      <c r="S16365">
        <v>0</v>
      </c>
      <c r="T16365" t="s">
        <v>57780</v>
      </c>
    </row>
    <row r="16366" spans="1:20" customFormat="1" ht="15" x14ac:dyDescent="0.25">
      <c r="A16366" t="s">
        <v>24</v>
      </c>
      <c r="B16366" t="s">
        <v>675</v>
      </c>
      <c r="C16366" t="str">
        <f>"9673L"</f>
        <v>9673L</v>
      </c>
      <c r="D16366" t="s">
        <v>75994</v>
      </c>
      <c r="E16366" t="s">
        <v>75995</v>
      </c>
      <c r="F16366" t="s">
        <v>56870</v>
      </c>
      <c r="G16366" t="s">
        <v>137</v>
      </c>
      <c r="H16366">
        <v>63101</v>
      </c>
      <c r="I16366" t="s">
        <v>30</v>
      </c>
      <c r="J16366" t="s">
        <v>162</v>
      </c>
      <c r="K16366" t="s">
        <v>1490</v>
      </c>
      <c r="N16366" t="s">
        <v>75996</v>
      </c>
      <c r="O16366" t="s">
        <v>75997</v>
      </c>
      <c r="Q16366">
        <v>0</v>
      </c>
      <c r="R16366">
        <v>716</v>
      </c>
      <c r="S16366">
        <v>0</v>
      </c>
      <c r="T16366" t="s">
        <v>75998</v>
      </c>
    </row>
    <row r="16367" spans="1:20" customFormat="1" ht="15" x14ac:dyDescent="0.25">
      <c r="A16367" t="s">
        <v>24</v>
      </c>
      <c r="B16367" t="s">
        <v>5830</v>
      </c>
      <c r="C16367" t="str">
        <f>"34120"</f>
        <v>34120</v>
      </c>
      <c r="D16367" t="s">
        <v>75999</v>
      </c>
      <c r="E16367" t="s">
        <v>76000</v>
      </c>
      <c r="F16367" t="s">
        <v>35860</v>
      </c>
      <c r="G16367" t="s">
        <v>615</v>
      </c>
      <c r="H16367">
        <v>6901</v>
      </c>
      <c r="I16367" t="s">
        <v>30</v>
      </c>
      <c r="J16367" t="s">
        <v>162</v>
      </c>
      <c r="K16367" t="s">
        <v>1490</v>
      </c>
      <c r="N16367" t="s">
        <v>76001</v>
      </c>
      <c r="O16367" t="s">
        <v>76002</v>
      </c>
      <c r="Q16367">
        <v>0</v>
      </c>
      <c r="R16367">
        <v>508</v>
      </c>
      <c r="S16367">
        <v>0</v>
      </c>
      <c r="T16367" t="s">
        <v>76003</v>
      </c>
    </row>
    <row r="16368" spans="1:20" customFormat="1" ht="15" x14ac:dyDescent="0.25">
      <c r="A16368" t="s">
        <v>24</v>
      </c>
      <c r="B16368" t="s">
        <v>33426</v>
      </c>
      <c r="C16368" t="str">
        <f>"A0095128"</f>
        <v>A0095128</v>
      </c>
      <c r="D16368" t="s">
        <v>57790</v>
      </c>
      <c r="E16368" t="s">
        <v>57791</v>
      </c>
      <c r="F16368" t="s">
        <v>990</v>
      </c>
      <c r="G16368" t="s">
        <v>103</v>
      </c>
      <c r="H16368">
        <v>15213</v>
      </c>
      <c r="I16368" t="s">
        <v>30</v>
      </c>
      <c r="J16368" t="s">
        <v>1004</v>
      </c>
      <c r="K16368" t="s">
        <v>163</v>
      </c>
      <c r="N16368" t="s">
        <v>56653</v>
      </c>
      <c r="Q16368">
        <v>0</v>
      </c>
      <c r="R16368">
        <v>0</v>
      </c>
      <c r="S16368">
        <v>0</v>
      </c>
      <c r="T16368" t="s">
        <v>57792</v>
      </c>
    </row>
    <row r="16369" spans="1:20" customFormat="1" ht="15" x14ac:dyDescent="0.25">
      <c r="A16369" t="s">
        <v>24</v>
      </c>
      <c r="B16369" t="s">
        <v>33426</v>
      </c>
      <c r="C16369" t="str">
        <f>"A0095127"</f>
        <v>A0095127</v>
      </c>
      <c r="D16369" t="s">
        <v>57793</v>
      </c>
      <c r="E16369" t="s">
        <v>57794</v>
      </c>
      <c r="F16369" t="s">
        <v>57795</v>
      </c>
      <c r="G16369" t="s">
        <v>103</v>
      </c>
      <c r="H16369">
        <v>15212</v>
      </c>
      <c r="I16369" t="s">
        <v>30</v>
      </c>
      <c r="J16369" t="s">
        <v>1004</v>
      </c>
      <c r="K16369" t="s">
        <v>163</v>
      </c>
      <c r="N16369" t="s">
        <v>56653</v>
      </c>
      <c r="Q16369">
        <v>0</v>
      </c>
      <c r="R16369">
        <v>0</v>
      </c>
      <c r="S16369">
        <v>0</v>
      </c>
      <c r="T16369" t="s">
        <v>57796</v>
      </c>
    </row>
    <row r="16370" spans="1:20" customFormat="1" ht="15" x14ac:dyDescent="0.25">
      <c r="A16370" t="s">
        <v>24</v>
      </c>
      <c r="B16370" t="s">
        <v>4855</v>
      </c>
      <c r="C16370" t="str">
        <f>"A0084204"</f>
        <v>A0084204</v>
      </c>
      <c r="D16370" t="s">
        <v>57797</v>
      </c>
      <c r="E16370" t="s">
        <v>57798</v>
      </c>
      <c r="F16370" t="s">
        <v>716</v>
      </c>
      <c r="G16370" t="s">
        <v>289</v>
      </c>
      <c r="H16370">
        <v>60661</v>
      </c>
      <c r="I16370" t="s">
        <v>30</v>
      </c>
      <c r="J16370" t="s">
        <v>1004</v>
      </c>
      <c r="K16370" t="s">
        <v>6809</v>
      </c>
      <c r="N16370" t="s">
        <v>57799</v>
      </c>
      <c r="O16370" t="s">
        <v>57800</v>
      </c>
      <c r="Q16370">
        <v>0</v>
      </c>
      <c r="R16370">
        <v>0</v>
      </c>
      <c r="S16370">
        <v>0</v>
      </c>
      <c r="T16370" t="s">
        <v>57801</v>
      </c>
    </row>
    <row r="16371" spans="1:20" customFormat="1" ht="15" x14ac:dyDescent="0.25">
      <c r="A16371" t="s">
        <v>24</v>
      </c>
      <c r="B16371" t="s">
        <v>2360</v>
      </c>
      <c r="C16371" t="str">
        <f>"CL0556"</f>
        <v>CL0556</v>
      </c>
      <c r="D16371" t="s">
        <v>57802</v>
      </c>
      <c r="E16371" t="s">
        <v>57803</v>
      </c>
      <c r="F16371" t="s">
        <v>6845</v>
      </c>
      <c r="G16371" t="s">
        <v>214</v>
      </c>
      <c r="H16371">
        <v>27514</v>
      </c>
      <c r="I16371" t="s">
        <v>30</v>
      </c>
      <c r="J16371" t="s">
        <v>2558</v>
      </c>
      <c r="K16371" t="s">
        <v>179</v>
      </c>
      <c r="N16371" t="s">
        <v>57804</v>
      </c>
      <c r="Q16371">
        <v>0</v>
      </c>
      <c r="R16371">
        <v>0</v>
      </c>
      <c r="S16371">
        <v>0</v>
      </c>
      <c r="T16371" t="s">
        <v>57805</v>
      </c>
    </row>
    <row r="16372" spans="1:20" customFormat="1" ht="15" x14ac:dyDescent="0.25">
      <c r="A16372" t="s">
        <v>24</v>
      </c>
      <c r="B16372" t="s">
        <v>56564</v>
      </c>
      <c r="C16372" t="str">
        <f>"A0087527"</f>
        <v>A0087527</v>
      </c>
      <c r="D16372" t="s">
        <v>57806</v>
      </c>
      <c r="E16372" t="s">
        <v>57807</v>
      </c>
      <c r="F16372" t="s">
        <v>1159</v>
      </c>
      <c r="G16372" t="s">
        <v>58</v>
      </c>
      <c r="H16372">
        <v>29577</v>
      </c>
      <c r="I16372" t="s">
        <v>30</v>
      </c>
      <c r="J16372" t="s">
        <v>31</v>
      </c>
      <c r="K16372" t="s">
        <v>163</v>
      </c>
      <c r="N16372" t="s">
        <v>57808</v>
      </c>
      <c r="Q16372">
        <v>0</v>
      </c>
      <c r="R16372">
        <v>102</v>
      </c>
      <c r="S16372">
        <v>0</v>
      </c>
      <c r="T16372" t="s">
        <v>57809</v>
      </c>
    </row>
    <row r="16373" spans="1:20" customFormat="1" ht="15" hidden="1" x14ac:dyDescent="0.25">
      <c r="A16373" t="s">
        <v>24</v>
      </c>
      <c r="B16373" t="s">
        <v>57810</v>
      </c>
      <c r="C16373" t="str">
        <f>"A0156135"</f>
        <v>A0156135</v>
      </c>
      <c r="D16373" t="s">
        <v>57811</v>
      </c>
      <c r="E16373" t="s">
        <v>57812</v>
      </c>
      <c r="F16373" t="s">
        <v>15269</v>
      </c>
      <c r="G16373" t="s">
        <v>15270</v>
      </c>
      <c r="H16373" t="s">
        <v>57813</v>
      </c>
      <c r="I16373" t="s">
        <v>1459</v>
      </c>
      <c r="J16373" t="s">
        <v>1004</v>
      </c>
      <c r="K16373" t="s">
        <v>163</v>
      </c>
      <c r="N16373" t="s">
        <v>57814</v>
      </c>
      <c r="Q16373">
        <v>0</v>
      </c>
      <c r="R16373">
        <v>0</v>
      </c>
      <c r="S16373">
        <v>0</v>
      </c>
      <c r="T16373" t="s">
        <v>57815</v>
      </c>
    </row>
    <row r="16374" spans="1:20" customFormat="1" ht="15" hidden="1" x14ac:dyDescent="0.25">
      <c r="A16374" t="s">
        <v>24</v>
      </c>
      <c r="B16374" t="s">
        <v>57816</v>
      </c>
      <c r="C16374" t="str">
        <f>"A0151448"</f>
        <v>A0151448</v>
      </c>
      <c r="D16374" t="s">
        <v>57817</v>
      </c>
      <c r="E16374" t="s">
        <v>57818</v>
      </c>
      <c r="F16374" t="s">
        <v>2406</v>
      </c>
      <c r="G16374" t="s">
        <v>2407</v>
      </c>
      <c r="H16374">
        <v>23453</v>
      </c>
      <c r="I16374" t="s">
        <v>2408</v>
      </c>
      <c r="J16374" t="s">
        <v>162</v>
      </c>
      <c r="K16374" t="s">
        <v>163</v>
      </c>
      <c r="N16374" t="s">
        <v>57819</v>
      </c>
      <c r="Q16374">
        <v>0</v>
      </c>
      <c r="R16374">
        <v>181</v>
      </c>
      <c r="S16374">
        <v>0</v>
      </c>
      <c r="T16374" t="s">
        <v>57820</v>
      </c>
    </row>
    <row r="16375" spans="1:20" customFormat="1" ht="15" x14ac:dyDescent="0.25">
      <c r="A16375" t="s">
        <v>24</v>
      </c>
      <c r="B16375" t="s">
        <v>2221</v>
      </c>
      <c r="C16375" t="str">
        <f>"A0066053"</f>
        <v>A0066053</v>
      </c>
      <c r="D16375" t="s">
        <v>76008</v>
      </c>
      <c r="E16375" t="s">
        <v>76009</v>
      </c>
      <c r="F16375" t="s">
        <v>76010</v>
      </c>
      <c r="G16375" t="s">
        <v>52</v>
      </c>
      <c r="H16375">
        <v>77479</v>
      </c>
      <c r="I16375" t="s">
        <v>30</v>
      </c>
      <c r="J16375" t="s">
        <v>162</v>
      </c>
      <c r="K16375" t="s">
        <v>1490</v>
      </c>
      <c r="N16375" t="s">
        <v>76011</v>
      </c>
      <c r="O16375" t="s">
        <v>76012</v>
      </c>
      <c r="Q16375">
        <v>0</v>
      </c>
      <c r="R16375">
        <v>300</v>
      </c>
      <c r="S16375">
        <v>0</v>
      </c>
      <c r="T16375" t="s">
        <v>76013</v>
      </c>
    </row>
    <row r="16376" spans="1:20" customFormat="1" ht="15" x14ac:dyDescent="0.25">
      <c r="A16376" t="s">
        <v>24</v>
      </c>
      <c r="B16376" t="s">
        <v>1548</v>
      </c>
      <c r="C16376" t="str">
        <f>"A0095041"</f>
        <v>A0095041</v>
      </c>
      <c r="D16376" t="s">
        <v>76014</v>
      </c>
      <c r="E16376" t="s">
        <v>76015</v>
      </c>
      <c r="F16376" t="s">
        <v>14426</v>
      </c>
      <c r="G16376" t="s">
        <v>99</v>
      </c>
      <c r="H16376">
        <v>13202</v>
      </c>
      <c r="I16376" t="s">
        <v>30</v>
      </c>
      <c r="J16376" t="s">
        <v>162</v>
      </c>
      <c r="K16376" t="s">
        <v>1490</v>
      </c>
      <c r="N16376" t="s">
        <v>76016</v>
      </c>
      <c r="Q16376">
        <v>0</v>
      </c>
      <c r="R16376">
        <v>261</v>
      </c>
      <c r="S16376">
        <v>0</v>
      </c>
      <c r="T16376" t="s">
        <v>76017</v>
      </c>
    </row>
    <row r="16377" spans="1:20" customFormat="1" ht="15" x14ac:dyDescent="0.25">
      <c r="A16377" t="s">
        <v>24</v>
      </c>
      <c r="B16377" t="s">
        <v>675</v>
      </c>
      <c r="C16377" t="str">
        <f>"337A0"</f>
        <v>337A0</v>
      </c>
      <c r="D16377" t="s">
        <v>76018</v>
      </c>
      <c r="E16377" t="s">
        <v>76019</v>
      </c>
      <c r="F16377" t="s">
        <v>3955</v>
      </c>
      <c r="G16377" t="s">
        <v>81</v>
      </c>
      <c r="H16377">
        <v>33607</v>
      </c>
      <c r="I16377" t="s">
        <v>30</v>
      </c>
      <c r="J16377" t="s">
        <v>162</v>
      </c>
      <c r="K16377" t="s">
        <v>1490</v>
      </c>
      <c r="N16377" t="s">
        <v>76020</v>
      </c>
      <c r="O16377" t="s">
        <v>76021</v>
      </c>
      <c r="Q16377">
        <v>0</v>
      </c>
      <c r="R16377">
        <v>298</v>
      </c>
      <c r="S16377">
        <v>0</v>
      </c>
      <c r="T16377" t="s">
        <v>76022</v>
      </c>
    </row>
    <row r="16378" spans="1:20" customFormat="1" ht="15" x14ac:dyDescent="0.25">
      <c r="A16378" t="s">
        <v>24</v>
      </c>
      <c r="B16378" t="s">
        <v>5843</v>
      </c>
      <c r="C16378" t="str">
        <f>"A0151259"</f>
        <v>A0151259</v>
      </c>
      <c r="D16378" t="s">
        <v>57835</v>
      </c>
      <c r="E16378" t="s">
        <v>57836</v>
      </c>
      <c r="F16378" t="s">
        <v>9540</v>
      </c>
      <c r="G16378" t="s">
        <v>110</v>
      </c>
      <c r="H16378">
        <v>90704</v>
      </c>
      <c r="I16378" t="s">
        <v>30</v>
      </c>
      <c r="J16378" t="s">
        <v>31</v>
      </c>
      <c r="K16378" t="s">
        <v>163</v>
      </c>
      <c r="N16378" t="s">
        <v>57833</v>
      </c>
      <c r="O16378" t="s">
        <v>57837</v>
      </c>
      <c r="Q16378">
        <v>0</v>
      </c>
      <c r="R16378">
        <v>41</v>
      </c>
      <c r="S16378">
        <v>0</v>
      </c>
      <c r="T16378" t="s">
        <v>57838</v>
      </c>
    </row>
    <row r="16379" spans="1:20" customFormat="1" ht="15" x14ac:dyDescent="0.25">
      <c r="A16379" t="s">
        <v>24</v>
      </c>
      <c r="B16379" t="s">
        <v>56103</v>
      </c>
      <c r="C16379" t="str">
        <f>"A0157916"</f>
        <v>A0157916</v>
      </c>
      <c r="D16379" t="s">
        <v>57839</v>
      </c>
      <c r="E16379" t="s">
        <v>57840</v>
      </c>
      <c r="F16379" t="s">
        <v>13473</v>
      </c>
      <c r="G16379" t="s">
        <v>110</v>
      </c>
      <c r="H16379">
        <v>95658</v>
      </c>
      <c r="I16379" t="s">
        <v>30</v>
      </c>
      <c r="J16379" t="s">
        <v>178</v>
      </c>
      <c r="K16379" t="s">
        <v>179</v>
      </c>
      <c r="N16379" t="s">
        <v>57841</v>
      </c>
      <c r="O16379" t="s">
        <v>57842</v>
      </c>
      <c r="Q16379">
        <v>1</v>
      </c>
      <c r="R16379">
        <v>0</v>
      </c>
      <c r="S16379">
        <v>0</v>
      </c>
      <c r="T16379" t="s">
        <v>57843</v>
      </c>
    </row>
    <row r="16380" spans="1:20" customFormat="1" ht="15" x14ac:dyDescent="0.25">
      <c r="A16380" t="s">
        <v>24</v>
      </c>
      <c r="B16380" t="s">
        <v>57844</v>
      </c>
      <c r="C16380" t="str">
        <f>"A0049762"</f>
        <v>A0049762</v>
      </c>
      <c r="D16380" t="s">
        <v>57845</v>
      </c>
      <c r="E16380" t="s">
        <v>57846</v>
      </c>
      <c r="F16380" t="s">
        <v>1558</v>
      </c>
      <c r="G16380" t="s">
        <v>880</v>
      </c>
      <c r="H16380">
        <v>37660</v>
      </c>
      <c r="I16380" t="s">
        <v>30</v>
      </c>
      <c r="J16380" t="s">
        <v>178</v>
      </c>
      <c r="K16380" t="s">
        <v>179</v>
      </c>
      <c r="N16380" t="s">
        <v>57847</v>
      </c>
      <c r="O16380" t="s">
        <v>57848</v>
      </c>
      <c r="P16380" t="s">
        <v>3998</v>
      </c>
      <c r="Q16380">
        <v>1</v>
      </c>
      <c r="R16380">
        <v>18</v>
      </c>
      <c r="S16380">
        <v>0</v>
      </c>
      <c r="T16380" t="s">
        <v>57849</v>
      </c>
    </row>
    <row r="16381" spans="1:20" customFormat="1" ht="15" x14ac:dyDescent="0.25">
      <c r="A16381" t="s">
        <v>24</v>
      </c>
      <c r="B16381" t="s">
        <v>57850</v>
      </c>
      <c r="C16381" t="str">
        <f>"A0052444"</f>
        <v>A0052444</v>
      </c>
      <c r="D16381" t="s">
        <v>57851</v>
      </c>
      <c r="E16381" t="s">
        <v>57852</v>
      </c>
      <c r="F16381" t="s">
        <v>3364</v>
      </c>
      <c r="G16381" t="s">
        <v>338</v>
      </c>
      <c r="H16381">
        <v>7039</v>
      </c>
      <c r="I16381" t="s">
        <v>30</v>
      </c>
      <c r="J16381" t="s">
        <v>178</v>
      </c>
      <c r="K16381" t="s">
        <v>179</v>
      </c>
      <c r="N16381" t="s">
        <v>57853</v>
      </c>
      <c r="O16381" t="s">
        <v>57854</v>
      </c>
      <c r="P16381" t="s">
        <v>3998</v>
      </c>
      <c r="Q16381">
        <v>1</v>
      </c>
      <c r="R16381">
        <v>0</v>
      </c>
      <c r="S16381">
        <v>0</v>
      </c>
      <c r="T16381" t="s">
        <v>57855</v>
      </c>
    </row>
    <row r="16382" spans="1:20" customFormat="1" ht="15" x14ac:dyDescent="0.25">
      <c r="A16382" t="s">
        <v>24</v>
      </c>
      <c r="B16382" t="s">
        <v>675</v>
      </c>
      <c r="C16382" t="str">
        <f>"A0064326"</f>
        <v>A0064326</v>
      </c>
      <c r="D16382" t="s">
        <v>76023</v>
      </c>
      <c r="E16382" t="s">
        <v>76024</v>
      </c>
      <c r="F16382" t="s">
        <v>74893</v>
      </c>
      <c r="G16382" t="s">
        <v>52</v>
      </c>
      <c r="H16382">
        <v>77380</v>
      </c>
      <c r="I16382" t="s">
        <v>30</v>
      </c>
      <c r="J16382" t="s">
        <v>162</v>
      </c>
      <c r="K16382" t="s">
        <v>1490</v>
      </c>
      <c r="N16382" t="s">
        <v>76025</v>
      </c>
      <c r="O16382" t="s">
        <v>76026</v>
      </c>
      <c r="Q16382">
        <v>0</v>
      </c>
      <c r="R16382">
        <v>350</v>
      </c>
      <c r="S16382">
        <v>0</v>
      </c>
      <c r="T16382" t="s">
        <v>76027</v>
      </c>
    </row>
    <row r="16383" spans="1:20" customFormat="1" ht="15" x14ac:dyDescent="0.25">
      <c r="A16383" t="s">
        <v>24</v>
      </c>
      <c r="B16383" t="s">
        <v>57861</v>
      </c>
      <c r="C16383" t="str">
        <f>"A0051718"</f>
        <v>A0051718</v>
      </c>
      <c r="D16383" t="s">
        <v>57862</v>
      </c>
      <c r="E16383" t="s">
        <v>57863</v>
      </c>
      <c r="F16383" t="s">
        <v>57237</v>
      </c>
      <c r="G16383" t="s">
        <v>103</v>
      </c>
      <c r="H16383">
        <v>19422</v>
      </c>
      <c r="I16383" t="s">
        <v>30</v>
      </c>
      <c r="J16383" t="s">
        <v>178</v>
      </c>
      <c r="K16383" t="s">
        <v>179</v>
      </c>
      <c r="N16383" t="s">
        <v>57864</v>
      </c>
      <c r="O16383" t="s">
        <v>57865</v>
      </c>
      <c r="P16383" t="s">
        <v>992</v>
      </c>
      <c r="Q16383">
        <v>0</v>
      </c>
      <c r="R16383">
        <v>18</v>
      </c>
      <c r="S16383">
        <v>0</v>
      </c>
      <c r="T16383" t="s">
        <v>57866</v>
      </c>
    </row>
    <row r="16384" spans="1:20" customFormat="1" ht="15" x14ac:dyDescent="0.25">
      <c r="A16384" t="s">
        <v>24</v>
      </c>
      <c r="B16384" t="s">
        <v>675</v>
      </c>
      <c r="C16384" t="str">
        <f>"337E9"</f>
        <v>337E9</v>
      </c>
      <c r="D16384" t="s">
        <v>76033</v>
      </c>
      <c r="E16384" t="s">
        <v>76034</v>
      </c>
      <c r="F16384" t="s">
        <v>5946</v>
      </c>
      <c r="G16384" t="s">
        <v>110</v>
      </c>
      <c r="H16384">
        <v>90503</v>
      </c>
      <c r="I16384" t="s">
        <v>30</v>
      </c>
      <c r="J16384" t="s">
        <v>162</v>
      </c>
      <c r="K16384" t="s">
        <v>1490</v>
      </c>
      <c r="N16384" t="s">
        <v>76035</v>
      </c>
      <c r="Q16384">
        <v>0</v>
      </c>
      <c r="R16384">
        <v>487</v>
      </c>
      <c r="S16384">
        <v>0</v>
      </c>
      <c r="T16384" t="s">
        <v>76036</v>
      </c>
    </row>
    <row r="16385" spans="1:25" customFormat="1" ht="15" x14ac:dyDescent="0.25">
      <c r="A16385" t="s">
        <v>24</v>
      </c>
      <c r="B16385" t="s">
        <v>675</v>
      </c>
      <c r="C16385" t="str">
        <f>"337W8"</f>
        <v>337W8</v>
      </c>
      <c r="D16385" t="s">
        <v>76037</v>
      </c>
      <c r="E16385" t="s">
        <v>76038</v>
      </c>
      <c r="F16385" t="s">
        <v>4770</v>
      </c>
      <c r="G16385" t="s">
        <v>117</v>
      </c>
      <c r="H16385">
        <v>48084</v>
      </c>
      <c r="I16385" t="s">
        <v>30</v>
      </c>
      <c r="J16385" t="s">
        <v>162</v>
      </c>
      <c r="K16385" t="s">
        <v>1490</v>
      </c>
      <c r="N16385" t="s">
        <v>76039</v>
      </c>
      <c r="O16385" t="s">
        <v>76040</v>
      </c>
      <c r="Q16385">
        <v>0</v>
      </c>
      <c r="R16385">
        <v>350</v>
      </c>
      <c r="S16385">
        <v>0</v>
      </c>
      <c r="T16385" t="s">
        <v>76041</v>
      </c>
    </row>
    <row r="16386" spans="1:25" customFormat="1" ht="15" x14ac:dyDescent="0.25">
      <c r="A16386" t="s">
        <v>24</v>
      </c>
      <c r="B16386" t="s">
        <v>57441</v>
      </c>
      <c r="C16386" t="str">
        <f>"A0096251"</f>
        <v>A0096251</v>
      </c>
      <c r="D16386" t="s">
        <v>57880</v>
      </c>
      <c r="E16386" t="s">
        <v>57881</v>
      </c>
      <c r="F16386" t="s">
        <v>57882</v>
      </c>
      <c r="G16386" t="s">
        <v>99</v>
      </c>
      <c r="H16386">
        <v>10024</v>
      </c>
      <c r="I16386" t="s">
        <v>30</v>
      </c>
      <c r="J16386" t="s">
        <v>145</v>
      </c>
      <c r="K16386" t="s">
        <v>163</v>
      </c>
      <c r="N16386" t="s">
        <v>57444</v>
      </c>
      <c r="Q16386">
        <v>0</v>
      </c>
      <c r="R16386">
        <v>56</v>
      </c>
      <c r="S16386">
        <v>0</v>
      </c>
      <c r="T16386" t="s">
        <v>57883</v>
      </c>
    </row>
    <row r="16387" spans="1:25" customFormat="1" ht="15" x14ac:dyDescent="0.25">
      <c r="A16387" t="s">
        <v>24</v>
      </c>
      <c r="B16387" t="s">
        <v>1583</v>
      </c>
      <c r="C16387" t="str">
        <f>"A0100724"</f>
        <v>A0100724</v>
      </c>
      <c r="D16387" t="s">
        <v>57884</v>
      </c>
      <c r="E16387" t="s">
        <v>57885</v>
      </c>
      <c r="F16387" t="s">
        <v>985</v>
      </c>
      <c r="G16387" t="s">
        <v>81</v>
      </c>
      <c r="H16387">
        <v>32821</v>
      </c>
      <c r="I16387" t="s">
        <v>30</v>
      </c>
      <c r="J16387" t="s">
        <v>191</v>
      </c>
      <c r="K16387" t="s">
        <v>6809</v>
      </c>
      <c r="N16387" t="s">
        <v>57886</v>
      </c>
      <c r="Q16387">
        <v>0</v>
      </c>
      <c r="R16387">
        <v>0</v>
      </c>
      <c r="S16387">
        <v>0</v>
      </c>
      <c r="T16387" t="s">
        <v>57887</v>
      </c>
    </row>
    <row r="16388" spans="1:25" customFormat="1" ht="15" x14ac:dyDescent="0.25">
      <c r="A16388" t="s">
        <v>24</v>
      </c>
      <c r="B16388" t="s">
        <v>2360</v>
      </c>
      <c r="C16388" t="str">
        <f>"CL0413"</f>
        <v>CL0413</v>
      </c>
      <c r="D16388" t="s">
        <v>57888</v>
      </c>
      <c r="E16388" t="s">
        <v>57889</v>
      </c>
      <c r="F16388" t="s">
        <v>3955</v>
      </c>
      <c r="G16388" t="s">
        <v>81</v>
      </c>
      <c r="H16388">
        <v>33609</v>
      </c>
      <c r="I16388" t="s">
        <v>30</v>
      </c>
      <c r="J16388" t="s">
        <v>2558</v>
      </c>
      <c r="K16388" t="s">
        <v>55688</v>
      </c>
      <c r="Q16388">
        <v>0</v>
      </c>
      <c r="R16388">
        <v>0</v>
      </c>
      <c r="S16388">
        <v>0</v>
      </c>
      <c r="T16388" t="s">
        <v>57890</v>
      </c>
    </row>
    <row r="16389" spans="1:25" x14ac:dyDescent="0.25">
      <c r="A16389" s="5" t="s">
        <v>24</v>
      </c>
      <c r="B16389" s="5" t="s">
        <v>675</v>
      </c>
      <c r="C16389" s="5" t="str">
        <f>"34811"</f>
        <v>34811</v>
      </c>
      <c r="D16389" s="5" t="s">
        <v>76042</v>
      </c>
      <c r="E16389" s="5" t="s">
        <v>76043</v>
      </c>
      <c r="F16389" s="5" t="s">
        <v>76044</v>
      </c>
      <c r="G16389" s="5" t="s">
        <v>615</v>
      </c>
      <c r="H16389" s="5">
        <v>6611</v>
      </c>
      <c r="I16389" s="5" t="s">
        <v>30</v>
      </c>
      <c r="J16389" s="5" t="s">
        <v>162</v>
      </c>
      <c r="K16389" s="5" t="s">
        <v>1490</v>
      </c>
      <c r="L16389" s="5"/>
      <c r="M16389" s="5"/>
      <c r="N16389" s="5" t="s">
        <v>76045</v>
      </c>
      <c r="O16389" s="5"/>
      <c r="P16389" s="5"/>
      <c r="Q16389" s="5">
        <v>0</v>
      </c>
      <c r="R16389" s="5">
        <v>325</v>
      </c>
      <c r="S16389" s="5">
        <v>0</v>
      </c>
      <c r="T16389" s="5" t="s">
        <v>76046</v>
      </c>
      <c r="U16389" s="5"/>
      <c r="V16389" s="5"/>
      <c r="W16389" s="5"/>
      <c r="X16389" s="5"/>
      <c r="Y16389" s="5"/>
    </row>
    <row r="16390" spans="1:25" x14ac:dyDescent="0.25">
      <c r="A16390" s="5" t="s">
        <v>24</v>
      </c>
      <c r="B16390" s="5" t="s">
        <v>56277</v>
      </c>
      <c r="C16390" s="5" t="str">
        <f>"34207"</f>
        <v>34207</v>
      </c>
      <c r="D16390" s="5" t="s">
        <v>76047</v>
      </c>
      <c r="E16390" s="5" t="s">
        <v>76048</v>
      </c>
      <c r="F16390" s="5" t="s">
        <v>796</v>
      </c>
      <c r="G16390" s="5" t="s">
        <v>197</v>
      </c>
      <c r="H16390" s="5">
        <v>85719</v>
      </c>
      <c r="I16390" s="5" t="s">
        <v>30</v>
      </c>
      <c r="J16390" s="5" t="s">
        <v>162</v>
      </c>
      <c r="K16390" s="5" t="s">
        <v>1490</v>
      </c>
      <c r="L16390" s="5"/>
      <c r="M16390" s="5"/>
      <c r="N16390" s="5" t="s">
        <v>76049</v>
      </c>
      <c r="O16390" s="5"/>
      <c r="P16390" s="5"/>
      <c r="Q16390" s="5">
        <v>0</v>
      </c>
      <c r="R16390" s="5">
        <v>250</v>
      </c>
      <c r="S16390" s="5">
        <v>0</v>
      </c>
      <c r="T16390" s="5" t="s">
        <v>76050</v>
      </c>
      <c r="U16390" s="5"/>
      <c r="V16390" s="5"/>
      <c r="W16390" s="5"/>
      <c r="X16390" s="5"/>
      <c r="Y16390" s="5"/>
    </row>
    <row r="16391" spans="1:25" customFormat="1" ht="15" x14ac:dyDescent="0.25">
      <c r="A16391" t="s">
        <v>24</v>
      </c>
      <c r="B16391" t="s">
        <v>675</v>
      </c>
      <c r="C16391" t="str">
        <f>"33772"</f>
        <v>33772</v>
      </c>
      <c r="D16391" t="s">
        <v>76051</v>
      </c>
      <c r="E16391" t="s">
        <v>76052</v>
      </c>
      <c r="F16391" t="s">
        <v>60374</v>
      </c>
      <c r="G16391" t="s">
        <v>29</v>
      </c>
      <c r="H16391">
        <v>22182</v>
      </c>
      <c r="I16391" t="s">
        <v>30</v>
      </c>
      <c r="J16391" t="s">
        <v>162</v>
      </c>
      <c r="K16391" t="s">
        <v>1490</v>
      </c>
      <c r="N16391" t="s">
        <v>76053</v>
      </c>
      <c r="O16391" t="s">
        <v>76054</v>
      </c>
      <c r="Q16391">
        <v>0</v>
      </c>
      <c r="R16391">
        <v>390</v>
      </c>
      <c r="S16391">
        <v>0</v>
      </c>
      <c r="T16391" t="s">
        <v>76055</v>
      </c>
    </row>
    <row r="16392" spans="1:25" customFormat="1" ht="15" x14ac:dyDescent="0.25">
      <c r="A16392" t="s">
        <v>24</v>
      </c>
      <c r="B16392" t="s">
        <v>5149</v>
      </c>
      <c r="C16392" t="str">
        <f>"A0092506"</f>
        <v>A0092506</v>
      </c>
      <c r="D16392" t="s">
        <v>57905</v>
      </c>
      <c r="E16392" t="s">
        <v>57906</v>
      </c>
      <c r="F16392" t="s">
        <v>5152</v>
      </c>
      <c r="G16392" t="s">
        <v>840</v>
      </c>
      <c r="H16392">
        <v>42101</v>
      </c>
      <c r="I16392" t="s">
        <v>30</v>
      </c>
      <c r="J16392" t="s">
        <v>57907</v>
      </c>
      <c r="K16392" t="s">
        <v>163</v>
      </c>
      <c r="Q16392">
        <v>0</v>
      </c>
      <c r="R16392">
        <v>28</v>
      </c>
      <c r="S16392">
        <v>0</v>
      </c>
      <c r="T16392" t="s">
        <v>57908</v>
      </c>
    </row>
    <row r="16393" spans="1:25" customFormat="1" ht="15" x14ac:dyDescent="0.25">
      <c r="A16393" t="s">
        <v>24</v>
      </c>
      <c r="B16393" t="s">
        <v>5149</v>
      </c>
      <c r="C16393" t="str">
        <f>"A0092495"</f>
        <v>A0092495</v>
      </c>
      <c r="D16393" t="s">
        <v>57909</v>
      </c>
      <c r="E16393" t="s">
        <v>57910</v>
      </c>
      <c r="F16393" t="s">
        <v>5152</v>
      </c>
      <c r="G16393" t="s">
        <v>840</v>
      </c>
      <c r="H16393">
        <v>42104</v>
      </c>
      <c r="I16393" t="s">
        <v>30</v>
      </c>
      <c r="J16393" t="s">
        <v>57907</v>
      </c>
      <c r="K16393" t="s">
        <v>163</v>
      </c>
      <c r="N16393" t="s">
        <v>57911</v>
      </c>
      <c r="Q16393">
        <v>0</v>
      </c>
      <c r="R16393">
        <v>61</v>
      </c>
      <c r="S16393">
        <v>0</v>
      </c>
      <c r="T16393" t="s">
        <v>57908</v>
      </c>
    </row>
    <row r="16394" spans="1:25" customFormat="1" ht="15" x14ac:dyDescent="0.25">
      <c r="A16394" t="s">
        <v>24</v>
      </c>
      <c r="B16394" t="s">
        <v>2360</v>
      </c>
      <c r="C16394" t="str">
        <f>"A0050943"</f>
        <v>A0050943</v>
      </c>
      <c r="D16394" t="s">
        <v>57912</v>
      </c>
      <c r="E16394" t="s">
        <v>57913</v>
      </c>
      <c r="F16394" t="s">
        <v>57914</v>
      </c>
      <c r="G16394" t="s">
        <v>29</v>
      </c>
      <c r="H16394">
        <v>20120</v>
      </c>
      <c r="I16394" t="s">
        <v>30</v>
      </c>
      <c r="J16394" t="s">
        <v>178</v>
      </c>
      <c r="K16394" t="s">
        <v>55688</v>
      </c>
      <c r="Q16394">
        <v>1</v>
      </c>
      <c r="R16394">
        <v>0</v>
      </c>
      <c r="S16394">
        <v>0</v>
      </c>
      <c r="T16394" t="s">
        <v>57915</v>
      </c>
    </row>
    <row r="16395" spans="1:25" customFormat="1" ht="15" x14ac:dyDescent="0.25">
      <c r="A16395" t="s">
        <v>24</v>
      </c>
      <c r="B16395" t="s">
        <v>33426</v>
      </c>
      <c r="C16395" t="str">
        <f>"A0091942"</f>
        <v>A0091942</v>
      </c>
      <c r="D16395" t="s">
        <v>57916</v>
      </c>
      <c r="E16395" t="s">
        <v>57917</v>
      </c>
      <c r="F16395" t="s">
        <v>57918</v>
      </c>
      <c r="G16395" t="s">
        <v>52</v>
      </c>
      <c r="H16395">
        <v>75056</v>
      </c>
      <c r="I16395" t="s">
        <v>30</v>
      </c>
      <c r="J16395" t="s">
        <v>7657</v>
      </c>
      <c r="K16395" t="s">
        <v>163</v>
      </c>
      <c r="N16395" t="s">
        <v>57919</v>
      </c>
      <c r="Q16395">
        <v>0</v>
      </c>
      <c r="R16395">
        <v>0</v>
      </c>
      <c r="S16395">
        <v>0</v>
      </c>
      <c r="T16395" t="s">
        <v>57920</v>
      </c>
    </row>
    <row r="16396" spans="1:25" customFormat="1" ht="15" x14ac:dyDescent="0.25">
      <c r="A16396" t="s">
        <v>24</v>
      </c>
      <c r="B16396" t="s">
        <v>2360</v>
      </c>
      <c r="C16396" t="str">
        <f>"A0050027"</f>
        <v>A0050027</v>
      </c>
      <c r="D16396" t="s">
        <v>57921</v>
      </c>
      <c r="E16396" t="s">
        <v>57922</v>
      </c>
      <c r="F16396" t="s">
        <v>57923</v>
      </c>
      <c r="G16396" t="s">
        <v>846</v>
      </c>
      <c r="H16396">
        <v>30135</v>
      </c>
      <c r="I16396" t="s">
        <v>30</v>
      </c>
      <c r="J16396" t="s">
        <v>178</v>
      </c>
      <c r="K16396" t="s">
        <v>8013</v>
      </c>
      <c r="N16396" t="s">
        <v>57924</v>
      </c>
      <c r="Q16396">
        <v>1</v>
      </c>
      <c r="R16396">
        <v>0</v>
      </c>
      <c r="S16396">
        <v>0</v>
      </c>
      <c r="T16396" t="s">
        <v>57925</v>
      </c>
    </row>
    <row r="16397" spans="1:25" customFormat="1" ht="15" x14ac:dyDescent="0.25">
      <c r="A16397" t="s">
        <v>24</v>
      </c>
      <c r="B16397" t="s">
        <v>675</v>
      </c>
      <c r="C16397" t="str">
        <f>"397S3"</f>
        <v>397S3</v>
      </c>
      <c r="D16397" t="s">
        <v>76081</v>
      </c>
      <c r="E16397" t="s">
        <v>76082</v>
      </c>
      <c r="F16397" t="s">
        <v>76083</v>
      </c>
      <c r="G16397" t="s">
        <v>4815</v>
      </c>
      <c r="H16397">
        <v>96815</v>
      </c>
      <c r="I16397" t="s">
        <v>30</v>
      </c>
      <c r="J16397" t="s">
        <v>162</v>
      </c>
      <c r="K16397" t="s">
        <v>1490</v>
      </c>
      <c r="N16397" t="s">
        <v>76084</v>
      </c>
      <c r="Q16397">
        <v>0</v>
      </c>
      <c r="R16397">
        <v>1308</v>
      </c>
      <c r="S16397">
        <v>0</v>
      </c>
      <c r="T16397" t="s">
        <v>76085</v>
      </c>
    </row>
    <row r="16398" spans="1:25" customFormat="1" ht="15" x14ac:dyDescent="0.25">
      <c r="A16398" t="s">
        <v>24</v>
      </c>
      <c r="B16398" t="s">
        <v>63821</v>
      </c>
      <c r="C16398" t="str">
        <f>"34123"</f>
        <v>34123</v>
      </c>
      <c r="D16398" t="s">
        <v>76086</v>
      </c>
      <c r="E16398" t="s">
        <v>76087</v>
      </c>
      <c r="F16398" t="s">
        <v>76088</v>
      </c>
      <c r="G16398" t="s">
        <v>110</v>
      </c>
      <c r="H16398">
        <v>94596</v>
      </c>
      <c r="I16398" t="s">
        <v>30</v>
      </c>
      <c r="J16398" t="s">
        <v>162</v>
      </c>
      <c r="K16398" t="s">
        <v>1490</v>
      </c>
      <c r="N16398" t="s">
        <v>76089</v>
      </c>
      <c r="Q16398">
        <v>0</v>
      </c>
      <c r="R16398">
        <v>338</v>
      </c>
      <c r="S16398">
        <v>0</v>
      </c>
      <c r="T16398" t="s">
        <v>76090</v>
      </c>
    </row>
    <row r="16399" spans="1:25" customFormat="1" ht="15" x14ac:dyDescent="0.25">
      <c r="A16399" t="s">
        <v>24</v>
      </c>
      <c r="B16399" t="s">
        <v>675</v>
      </c>
      <c r="C16399" t="str">
        <f>"88SH008"</f>
        <v>88SH008</v>
      </c>
      <c r="D16399" t="s">
        <v>76091</v>
      </c>
      <c r="E16399" t="s">
        <v>76092</v>
      </c>
      <c r="F16399" t="s">
        <v>6859</v>
      </c>
      <c r="G16399" t="s">
        <v>81</v>
      </c>
      <c r="H16399">
        <v>33401</v>
      </c>
      <c r="I16399" t="s">
        <v>30</v>
      </c>
      <c r="J16399" t="s">
        <v>162</v>
      </c>
      <c r="K16399" t="s">
        <v>1490</v>
      </c>
      <c r="N16399" t="s">
        <v>76093</v>
      </c>
      <c r="O16399" t="s">
        <v>76094</v>
      </c>
      <c r="Q16399">
        <v>0</v>
      </c>
      <c r="R16399">
        <v>349</v>
      </c>
      <c r="S16399">
        <v>0</v>
      </c>
      <c r="T16399" t="s">
        <v>76095</v>
      </c>
    </row>
    <row r="16400" spans="1:25" hidden="1" x14ac:dyDescent="0.25">
      <c r="A16400" s="3" t="s">
        <v>24</v>
      </c>
      <c r="B16400" s="3" t="s">
        <v>57940</v>
      </c>
      <c r="C16400" s="3" t="str">
        <f>"A0097015"</f>
        <v>A0097015</v>
      </c>
      <c r="D16400" s="3" t="s">
        <v>57941</v>
      </c>
      <c r="E16400" s="3" t="s">
        <v>57942</v>
      </c>
      <c r="F16400" s="3" t="s">
        <v>57534</v>
      </c>
      <c r="G16400" s="3" t="s">
        <v>1457</v>
      </c>
      <c r="H16400" s="3" t="s">
        <v>57943</v>
      </c>
      <c r="I16400" s="3" t="s">
        <v>1459</v>
      </c>
      <c r="J16400" s="3" t="s">
        <v>206</v>
      </c>
      <c r="K16400" s="3" t="s">
        <v>163</v>
      </c>
      <c r="N16400" s="3" t="s">
        <v>57944</v>
      </c>
      <c r="O16400" s="3" t="s">
        <v>57945</v>
      </c>
      <c r="Q16400" s="3">
        <v>0</v>
      </c>
      <c r="R16400" s="3">
        <v>57</v>
      </c>
      <c r="S16400" s="3">
        <v>0</v>
      </c>
      <c r="T16400" s="3" t="s">
        <v>57946</v>
      </c>
    </row>
    <row r="16401" spans="1:25" customFormat="1" ht="15" x14ac:dyDescent="0.25">
      <c r="A16401" t="s">
        <v>24</v>
      </c>
      <c r="B16401" t="s">
        <v>59423</v>
      </c>
      <c r="C16401" t="str">
        <f>"34153"</f>
        <v>34153</v>
      </c>
      <c r="D16401" t="s">
        <v>76101</v>
      </c>
      <c r="E16401" t="s">
        <v>76102</v>
      </c>
      <c r="F16401" t="s">
        <v>1871</v>
      </c>
      <c r="G16401" t="s">
        <v>925</v>
      </c>
      <c r="H16401">
        <v>67207</v>
      </c>
      <c r="I16401" t="s">
        <v>30</v>
      </c>
      <c r="J16401" t="s">
        <v>162</v>
      </c>
      <c r="K16401" t="s">
        <v>1490</v>
      </c>
      <c r="N16401" t="s">
        <v>76103</v>
      </c>
      <c r="O16401" t="s">
        <v>76104</v>
      </c>
      <c r="Q16401">
        <v>0</v>
      </c>
      <c r="R16401">
        <v>290</v>
      </c>
      <c r="S16401">
        <v>0</v>
      </c>
      <c r="T16401" t="s">
        <v>76105</v>
      </c>
    </row>
    <row r="16402" spans="1:25" customFormat="1" ht="15" x14ac:dyDescent="0.25">
      <c r="A16402" t="s">
        <v>24</v>
      </c>
      <c r="B16402" t="s">
        <v>675</v>
      </c>
      <c r="C16402" t="str">
        <f>"61AB4"</f>
        <v>61AB4</v>
      </c>
      <c r="D16402" t="s">
        <v>76197</v>
      </c>
      <c r="E16402" t="s">
        <v>76198</v>
      </c>
      <c r="F16402" t="s">
        <v>1558</v>
      </c>
      <c r="G16402" t="s">
        <v>880</v>
      </c>
      <c r="H16402">
        <v>37660</v>
      </c>
      <c r="I16402" t="s">
        <v>30</v>
      </c>
      <c r="J16402" t="s">
        <v>162</v>
      </c>
      <c r="K16402" t="s">
        <v>57369</v>
      </c>
      <c r="N16402" t="s">
        <v>76199</v>
      </c>
      <c r="P16402" t="s">
        <v>3998</v>
      </c>
      <c r="Q16402">
        <v>1</v>
      </c>
      <c r="R16402">
        <v>195</v>
      </c>
      <c r="S16402">
        <v>0</v>
      </c>
      <c r="T16402" t="s">
        <v>76200</v>
      </c>
    </row>
    <row r="16403" spans="1:25" customFormat="1" ht="15" x14ac:dyDescent="0.25">
      <c r="A16403" t="s">
        <v>24</v>
      </c>
      <c r="B16403" t="s">
        <v>2360</v>
      </c>
      <c r="C16403" t="str">
        <f>"A0053417"</f>
        <v>A0053417</v>
      </c>
      <c r="D16403" t="s">
        <v>57957</v>
      </c>
      <c r="E16403" t="s">
        <v>57958</v>
      </c>
      <c r="F16403" t="s">
        <v>57959</v>
      </c>
      <c r="G16403" t="s">
        <v>1170</v>
      </c>
      <c r="H16403">
        <v>70065</v>
      </c>
      <c r="I16403" t="s">
        <v>30</v>
      </c>
      <c r="J16403" t="s">
        <v>178</v>
      </c>
      <c r="K16403" t="s">
        <v>179</v>
      </c>
      <c r="N16403" t="s">
        <v>57960</v>
      </c>
      <c r="Q16403">
        <v>0</v>
      </c>
      <c r="R16403">
        <v>0</v>
      </c>
      <c r="S16403">
        <v>0</v>
      </c>
      <c r="T16403" t="s">
        <v>57961</v>
      </c>
    </row>
    <row r="16404" spans="1:25" customFormat="1" ht="15" x14ac:dyDescent="0.25">
      <c r="A16404" t="s">
        <v>24</v>
      </c>
      <c r="B16404" t="s">
        <v>74366</v>
      </c>
      <c r="C16404" t="str">
        <f>"A0091833"</f>
        <v>A0091833</v>
      </c>
      <c r="D16404" t="s">
        <v>76215</v>
      </c>
      <c r="E16404" t="s">
        <v>76216</v>
      </c>
      <c r="F16404" t="s">
        <v>985</v>
      </c>
      <c r="G16404" t="s">
        <v>81</v>
      </c>
      <c r="H16404">
        <v>34747</v>
      </c>
      <c r="I16404" t="s">
        <v>30</v>
      </c>
      <c r="J16404" t="s">
        <v>162</v>
      </c>
      <c r="K16404" t="s">
        <v>163</v>
      </c>
      <c r="N16404" t="s">
        <v>76217</v>
      </c>
      <c r="Q16404">
        <v>0</v>
      </c>
      <c r="R16404">
        <v>240</v>
      </c>
      <c r="S16404">
        <v>0</v>
      </c>
      <c r="T16404" t="s">
        <v>76218</v>
      </c>
    </row>
    <row r="16405" spans="1:25" customFormat="1" ht="15" x14ac:dyDescent="0.25">
      <c r="A16405" t="s">
        <v>24</v>
      </c>
      <c r="B16405" t="s">
        <v>56967</v>
      </c>
      <c r="C16405" t="str">
        <f>"A0057352"</f>
        <v>A0057352</v>
      </c>
      <c r="D16405" t="s">
        <v>76230</v>
      </c>
      <c r="E16405" t="s">
        <v>76231</v>
      </c>
      <c r="F16405" t="s">
        <v>68809</v>
      </c>
      <c r="G16405" t="s">
        <v>110</v>
      </c>
      <c r="H16405">
        <v>95460</v>
      </c>
      <c r="I16405" t="s">
        <v>30</v>
      </c>
      <c r="J16405" t="s">
        <v>162</v>
      </c>
      <c r="K16405" t="s">
        <v>163</v>
      </c>
      <c r="N16405" t="s">
        <v>68810</v>
      </c>
      <c r="Q16405">
        <v>0</v>
      </c>
      <c r="R16405">
        <v>51</v>
      </c>
      <c r="S16405">
        <v>0</v>
      </c>
      <c r="T16405" t="s">
        <v>76232</v>
      </c>
    </row>
    <row r="16406" spans="1:25" customFormat="1" ht="15" hidden="1" x14ac:dyDescent="0.25">
      <c r="A16406" t="s">
        <v>24</v>
      </c>
      <c r="B16406" t="s">
        <v>57973</v>
      </c>
      <c r="C16406" t="str">
        <f>"15239"</f>
        <v>15239</v>
      </c>
      <c r="D16406" t="s">
        <v>57974</v>
      </c>
      <c r="E16406" t="s">
        <v>57975</v>
      </c>
      <c r="F16406" t="s">
        <v>13197</v>
      </c>
      <c r="G16406" t="s">
        <v>2206</v>
      </c>
      <c r="H16406" t="s">
        <v>57976</v>
      </c>
      <c r="I16406" t="s">
        <v>1459</v>
      </c>
      <c r="J16406" t="s">
        <v>162</v>
      </c>
      <c r="K16406" t="s">
        <v>163</v>
      </c>
      <c r="N16406" t="s">
        <v>57977</v>
      </c>
      <c r="O16406" t="s">
        <v>57978</v>
      </c>
      <c r="Q16406">
        <v>0</v>
      </c>
      <c r="R16406">
        <v>1590</v>
      </c>
      <c r="S16406">
        <v>0</v>
      </c>
      <c r="T16406" t="s">
        <v>57979</v>
      </c>
    </row>
    <row r="16407" spans="1:25" customFormat="1" ht="15" x14ac:dyDescent="0.25">
      <c r="A16407" t="s">
        <v>24</v>
      </c>
      <c r="B16407" t="s">
        <v>57980</v>
      </c>
      <c r="C16407" t="str">
        <f>"A0090861"</f>
        <v>A0090861</v>
      </c>
      <c r="D16407" t="s">
        <v>57981</v>
      </c>
      <c r="E16407" t="s">
        <v>57982</v>
      </c>
      <c r="F16407" t="s">
        <v>57983</v>
      </c>
      <c r="G16407" t="s">
        <v>117</v>
      </c>
      <c r="H16407">
        <v>48316</v>
      </c>
      <c r="I16407" t="s">
        <v>30</v>
      </c>
      <c r="J16407" t="s">
        <v>2415</v>
      </c>
      <c r="K16407" t="s">
        <v>179</v>
      </c>
      <c r="N16407" t="s">
        <v>57984</v>
      </c>
      <c r="P16407" t="s">
        <v>6426</v>
      </c>
      <c r="Q16407">
        <v>1</v>
      </c>
      <c r="R16407">
        <v>0</v>
      </c>
      <c r="S16407">
        <v>0</v>
      </c>
      <c r="T16407" t="s">
        <v>57985</v>
      </c>
    </row>
    <row r="16408" spans="1:25" customFormat="1" ht="15" x14ac:dyDescent="0.25">
      <c r="A16408" t="s">
        <v>24</v>
      </c>
      <c r="B16408" t="s">
        <v>2360</v>
      </c>
      <c r="C16408" t="str">
        <f>"A0050147"</f>
        <v>A0050147</v>
      </c>
      <c r="D16408" t="s">
        <v>57986</v>
      </c>
      <c r="E16408" t="s">
        <v>57987</v>
      </c>
      <c r="F16408" t="s">
        <v>57988</v>
      </c>
      <c r="G16408" t="s">
        <v>338</v>
      </c>
      <c r="H16408">
        <v>8558</v>
      </c>
      <c r="I16408" t="s">
        <v>30</v>
      </c>
      <c r="J16408" t="s">
        <v>178</v>
      </c>
      <c r="K16408" t="s">
        <v>56092</v>
      </c>
      <c r="Q16408">
        <v>1</v>
      </c>
      <c r="R16408">
        <v>0</v>
      </c>
      <c r="S16408">
        <v>0</v>
      </c>
      <c r="T16408" t="s">
        <v>57989</v>
      </c>
    </row>
    <row r="16409" spans="1:25" customFormat="1" ht="15" x14ac:dyDescent="0.25">
      <c r="A16409" t="s">
        <v>24</v>
      </c>
      <c r="B16409" t="s">
        <v>57990</v>
      </c>
      <c r="C16409" t="str">
        <f>"A0051714"</f>
        <v>A0051714</v>
      </c>
      <c r="D16409" t="s">
        <v>57991</v>
      </c>
      <c r="E16409" t="s">
        <v>57992</v>
      </c>
      <c r="F16409" t="s">
        <v>57993</v>
      </c>
      <c r="G16409" t="s">
        <v>103</v>
      </c>
      <c r="H16409">
        <v>19355</v>
      </c>
      <c r="I16409" t="s">
        <v>30</v>
      </c>
      <c r="J16409" t="s">
        <v>178</v>
      </c>
      <c r="K16409" t="s">
        <v>179</v>
      </c>
      <c r="N16409" t="s">
        <v>57994</v>
      </c>
      <c r="P16409" t="s">
        <v>992</v>
      </c>
      <c r="Q16409">
        <v>1</v>
      </c>
      <c r="R16409">
        <v>18</v>
      </c>
      <c r="S16409">
        <v>0</v>
      </c>
      <c r="T16409" t="s">
        <v>57995</v>
      </c>
    </row>
    <row r="16410" spans="1:25" customFormat="1" ht="15" hidden="1" x14ac:dyDescent="0.25">
      <c r="A16410" t="s">
        <v>24</v>
      </c>
      <c r="B16410" t="s">
        <v>1453</v>
      </c>
      <c r="C16410" t="str">
        <f>"A0096947"</f>
        <v>A0096947</v>
      </c>
      <c r="D16410" t="s">
        <v>57996</v>
      </c>
      <c r="E16410" t="s">
        <v>57997</v>
      </c>
      <c r="F16410" t="s">
        <v>57998</v>
      </c>
      <c r="G16410" t="s">
        <v>2270</v>
      </c>
      <c r="H16410" t="s">
        <v>57999</v>
      </c>
      <c r="I16410" t="s">
        <v>1459</v>
      </c>
      <c r="J16410" t="s">
        <v>171</v>
      </c>
      <c r="K16410" t="s">
        <v>163</v>
      </c>
      <c r="N16410" t="s">
        <v>58000</v>
      </c>
      <c r="Q16410">
        <v>0</v>
      </c>
      <c r="R16410">
        <v>87</v>
      </c>
      <c r="S16410">
        <v>0</v>
      </c>
      <c r="T16410" t="s">
        <v>58001</v>
      </c>
    </row>
    <row r="16411" spans="1:25" x14ac:dyDescent="0.25">
      <c r="A16411" s="5" t="s">
        <v>24</v>
      </c>
      <c r="B16411" s="5" t="s">
        <v>76238</v>
      </c>
      <c r="C16411" s="5" t="str">
        <f>"A0070198"</f>
        <v>A0070198</v>
      </c>
      <c r="D16411" s="5" t="s">
        <v>76239</v>
      </c>
      <c r="E16411" s="5" t="s">
        <v>76240</v>
      </c>
      <c r="F16411" s="5" t="s">
        <v>76241</v>
      </c>
      <c r="G16411" s="5" t="s">
        <v>123</v>
      </c>
      <c r="H16411" s="5">
        <v>20784</v>
      </c>
      <c r="I16411" s="5" t="s">
        <v>30</v>
      </c>
      <c r="J16411" s="5" t="s">
        <v>162</v>
      </c>
      <c r="K16411" s="5" t="s">
        <v>163</v>
      </c>
      <c r="L16411" s="5"/>
      <c r="M16411" s="5"/>
      <c r="N16411" s="5" t="s">
        <v>76242</v>
      </c>
      <c r="O16411" s="5" t="s">
        <v>76243</v>
      </c>
      <c r="P16411" s="5"/>
      <c r="Q16411" s="5">
        <v>0</v>
      </c>
      <c r="R16411" s="5">
        <v>241</v>
      </c>
      <c r="S16411" s="5">
        <v>0</v>
      </c>
      <c r="T16411" s="5" t="s">
        <v>76244</v>
      </c>
      <c r="U16411" s="5"/>
      <c r="V16411" s="5"/>
      <c r="W16411" s="5"/>
      <c r="X16411" s="5"/>
      <c r="Y16411" s="5"/>
    </row>
    <row r="16412" spans="1:25" customFormat="1" ht="15" x14ac:dyDescent="0.25">
      <c r="A16412" t="s">
        <v>24</v>
      </c>
      <c r="B16412" t="s">
        <v>33426</v>
      </c>
      <c r="C16412" t="str">
        <f>"A0090175"</f>
        <v>A0090175</v>
      </c>
      <c r="D16412" t="s">
        <v>76268</v>
      </c>
      <c r="E16412" t="s">
        <v>76269</v>
      </c>
      <c r="F16412" t="s">
        <v>76270</v>
      </c>
      <c r="G16412" t="s">
        <v>81</v>
      </c>
      <c r="H16412">
        <v>33014</v>
      </c>
      <c r="I16412" t="s">
        <v>30</v>
      </c>
      <c r="J16412" t="s">
        <v>162</v>
      </c>
      <c r="K16412" t="s">
        <v>163</v>
      </c>
      <c r="N16412" t="s">
        <v>76271</v>
      </c>
      <c r="O16412" t="s">
        <v>76272</v>
      </c>
      <c r="Q16412">
        <v>0</v>
      </c>
      <c r="R16412">
        <v>0</v>
      </c>
      <c r="S16412">
        <v>0</v>
      </c>
      <c r="T16412" t="s">
        <v>76273</v>
      </c>
    </row>
    <row r="16413" spans="1:25" customFormat="1" ht="15" x14ac:dyDescent="0.25">
      <c r="A16413" t="s">
        <v>24</v>
      </c>
      <c r="B16413" t="s">
        <v>675</v>
      </c>
      <c r="C16413" t="str">
        <f>"337A3"</f>
        <v>337A3</v>
      </c>
      <c r="D16413" t="s">
        <v>76274</v>
      </c>
      <c r="E16413" t="s">
        <v>76275</v>
      </c>
      <c r="F16413" t="s">
        <v>12194</v>
      </c>
      <c r="G16413" t="s">
        <v>81</v>
      </c>
      <c r="H16413">
        <v>33132</v>
      </c>
      <c r="I16413" t="s">
        <v>30</v>
      </c>
      <c r="J16413" t="s">
        <v>162</v>
      </c>
      <c r="K16413" t="s">
        <v>1490</v>
      </c>
      <c r="N16413" t="s">
        <v>76276</v>
      </c>
      <c r="Q16413">
        <v>0</v>
      </c>
      <c r="R16413">
        <v>599</v>
      </c>
      <c r="S16413">
        <v>0</v>
      </c>
      <c r="T16413" t="s">
        <v>76277</v>
      </c>
    </row>
    <row r="16414" spans="1:25" customFormat="1" ht="15" hidden="1" x14ac:dyDescent="0.25">
      <c r="A16414" t="s">
        <v>24</v>
      </c>
      <c r="B16414" t="s">
        <v>5858</v>
      </c>
      <c r="C16414" t="str">
        <f>"A0096840"</f>
        <v>A0096840</v>
      </c>
      <c r="D16414" t="s">
        <v>58017</v>
      </c>
      <c r="E16414" t="s">
        <v>58018</v>
      </c>
      <c r="F16414" t="s">
        <v>58019</v>
      </c>
      <c r="G16414" t="s">
        <v>2407</v>
      </c>
      <c r="H16414">
        <v>23410</v>
      </c>
      <c r="I16414" t="s">
        <v>2408</v>
      </c>
      <c r="J16414" t="s">
        <v>162</v>
      </c>
      <c r="K16414" t="s">
        <v>163</v>
      </c>
      <c r="N16414" t="s">
        <v>56327</v>
      </c>
      <c r="O16414" t="s">
        <v>5863</v>
      </c>
      <c r="Q16414">
        <v>0</v>
      </c>
      <c r="R16414">
        <v>92</v>
      </c>
      <c r="S16414">
        <v>0</v>
      </c>
      <c r="T16414" t="s">
        <v>58020</v>
      </c>
    </row>
    <row r="16415" spans="1:25" customFormat="1" ht="15" x14ac:dyDescent="0.25">
      <c r="A16415" t="s">
        <v>24</v>
      </c>
      <c r="B16415" t="s">
        <v>5104</v>
      </c>
      <c r="C16415" t="str">
        <f>"A0148942"</f>
        <v>A0148942</v>
      </c>
      <c r="D16415" t="s">
        <v>76312</v>
      </c>
      <c r="E16415" t="s">
        <v>76313</v>
      </c>
      <c r="F16415" t="s">
        <v>3880</v>
      </c>
      <c r="G16415" t="s">
        <v>99</v>
      </c>
      <c r="H16415">
        <v>10018</v>
      </c>
      <c r="I16415" t="s">
        <v>30</v>
      </c>
      <c r="J16415" t="s">
        <v>162</v>
      </c>
      <c r="K16415" t="s">
        <v>266</v>
      </c>
      <c r="N16415" t="s">
        <v>76314</v>
      </c>
      <c r="O16415" t="s">
        <v>76315</v>
      </c>
      <c r="Q16415">
        <v>0</v>
      </c>
      <c r="R16415">
        <v>310</v>
      </c>
      <c r="S16415">
        <v>0</v>
      </c>
      <c r="T16415" t="s">
        <v>76316</v>
      </c>
    </row>
    <row r="16416" spans="1:25" customFormat="1" ht="15" x14ac:dyDescent="0.25">
      <c r="A16416" t="s">
        <v>24</v>
      </c>
      <c r="B16416" t="s">
        <v>1487</v>
      </c>
      <c r="C16416" t="str">
        <f>"A0091856"</f>
        <v>A0091856</v>
      </c>
      <c r="D16416" t="s">
        <v>76337</v>
      </c>
      <c r="E16416" t="s">
        <v>76338</v>
      </c>
      <c r="F16416" t="s">
        <v>5999</v>
      </c>
      <c r="G16416" t="s">
        <v>71</v>
      </c>
      <c r="H16416">
        <v>53202</v>
      </c>
      <c r="I16416" t="s">
        <v>30</v>
      </c>
      <c r="J16416" t="s">
        <v>162</v>
      </c>
      <c r="K16416" t="s">
        <v>1490</v>
      </c>
      <c r="N16416" t="s">
        <v>76339</v>
      </c>
      <c r="Q16416">
        <v>0</v>
      </c>
      <c r="R16416">
        <v>205</v>
      </c>
      <c r="S16416">
        <v>0</v>
      </c>
      <c r="T16416" t="s">
        <v>76340</v>
      </c>
    </row>
    <row r="16417" spans="1:25" customFormat="1" ht="15" x14ac:dyDescent="0.25">
      <c r="A16417" t="s">
        <v>24</v>
      </c>
      <c r="B16417" t="s">
        <v>675</v>
      </c>
      <c r="C16417" t="str">
        <f>"337H7"</f>
        <v>337H7</v>
      </c>
      <c r="D16417" t="s">
        <v>76346</v>
      </c>
      <c r="E16417" t="s">
        <v>76347</v>
      </c>
      <c r="F16417" t="s">
        <v>6404</v>
      </c>
      <c r="G16417" t="s">
        <v>161</v>
      </c>
      <c r="H16417">
        <v>55402</v>
      </c>
      <c r="I16417" t="s">
        <v>30</v>
      </c>
      <c r="J16417" t="s">
        <v>162</v>
      </c>
      <c r="K16417" t="s">
        <v>1490</v>
      </c>
      <c r="N16417" t="s">
        <v>76348</v>
      </c>
      <c r="O16417" t="s">
        <v>76349</v>
      </c>
      <c r="Q16417">
        <v>0</v>
      </c>
      <c r="R16417">
        <v>583</v>
      </c>
      <c r="S16417">
        <v>0</v>
      </c>
      <c r="T16417" t="s">
        <v>76350</v>
      </c>
    </row>
    <row r="16418" spans="1:25" customFormat="1" ht="15" x14ac:dyDescent="0.25">
      <c r="A16418" t="s">
        <v>24</v>
      </c>
      <c r="B16418" t="s">
        <v>2360</v>
      </c>
      <c r="C16418" t="str">
        <f>"CL0185"</f>
        <v>CL0185</v>
      </c>
      <c r="D16418" t="s">
        <v>58037</v>
      </c>
      <c r="E16418" t="s">
        <v>58038</v>
      </c>
      <c r="F16418" t="s">
        <v>985</v>
      </c>
      <c r="G16418" t="s">
        <v>81</v>
      </c>
      <c r="H16418">
        <v>32801</v>
      </c>
      <c r="I16418" t="s">
        <v>30</v>
      </c>
      <c r="J16418" t="s">
        <v>2558</v>
      </c>
      <c r="K16418" t="s">
        <v>56092</v>
      </c>
      <c r="N16418" t="s">
        <v>58039</v>
      </c>
      <c r="Q16418">
        <v>0</v>
      </c>
      <c r="R16418">
        <v>0</v>
      </c>
      <c r="S16418">
        <v>0</v>
      </c>
      <c r="T16418" t="s">
        <v>58040</v>
      </c>
    </row>
    <row r="16419" spans="1:25" customFormat="1" ht="15" x14ac:dyDescent="0.25">
      <c r="A16419" t="s">
        <v>24</v>
      </c>
      <c r="B16419" t="s">
        <v>2360</v>
      </c>
      <c r="C16419" t="str">
        <f>"CL0881"</f>
        <v>CL0881</v>
      </c>
      <c r="D16419" t="s">
        <v>58041</v>
      </c>
      <c r="E16419" t="s">
        <v>58042</v>
      </c>
      <c r="F16419" t="s">
        <v>5706</v>
      </c>
      <c r="G16419" t="s">
        <v>1706</v>
      </c>
      <c r="H16419">
        <v>35203</v>
      </c>
      <c r="I16419" t="s">
        <v>30</v>
      </c>
      <c r="J16419" t="s">
        <v>2558</v>
      </c>
      <c r="K16419" t="s">
        <v>55688</v>
      </c>
      <c r="N16419" t="s">
        <v>58043</v>
      </c>
      <c r="Q16419">
        <v>0</v>
      </c>
      <c r="R16419">
        <v>0</v>
      </c>
      <c r="S16419">
        <v>0</v>
      </c>
      <c r="T16419" t="s">
        <v>58044</v>
      </c>
    </row>
    <row r="16420" spans="1:25" customFormat="1" ht="15" x14ac:dyDescent="0.25">
      <c r="A16420" t="s">
        <v>24</v>
      </c>
      <c r="B16420" t="s">
        <v>2360</v>
      </c>
      <c r="C16420" t="str">
        <f>"CL0763"</f>
        <v>CL0763</v>
      </c>
      <c r="D16420" t="s">
        <v>58045</v>
      </c>
      <c r="E16420" t="s">
        <v>58046</v>
      </c>
      <c r="F16420" t="s">
        <v>1519</v>
      </c>
      <c r="G16420" t="s">
        <v>110</v>
      </c>
      <c r="H16420">
        <v>90071</v>
      </c>
      <c r="I16420" t="s">
        <v>30</v>
      </c>
      <c r="J16420" t="s">
        <v>2558</v>
      </c>
      <c r="K16420" t="s">
        <v>56092</v>
      </c>
      <c r="N16420" t="s">
        <v>58047</v>
      </c>
      <c r="Q16420">
        <v>0</v>
      </c>
      <c r="R16420">
        <v>0</v>
      </c>
      <c r="S16420">
        <v>0</v>
      </c>
      <c r="T16420" t="s">
        <v>58048</v>
      </c>
    </row>
    <row r="16421" spans="1:25" customFormat="1" ht="15" x14ac:dyDescent="0.25">
      <c r="A16421" t="s">
        <v>24</v>
      </c>
      <c r="B16421" t="s">
        <v>2360</v>
      </c>
      <c r="C16421" t="str">
        <f>"CL0715"</f>
        <v>CL0715</v>
      </c>
      <c r="D16421" t="s">
        <v>58049</v>
      </c>
      <c r="E16421" t="s">
        <v>58050</v>
      </c>
      <c r="F16421" t="s">
        <v>313</v>
      </c>
      <c r="G16421" t="s">
        <v>314</v>
      </c>
      <c r="H16421">
        <v>20004</v>
      </c>
      <c r="I16421" t="s">
        <v>30</v>
      </c>
      <c r="J16421" t="s">
        <v>2558</v>
      </c>
      <c r="K16421" t="s">
        <v>56092</v>
      </c>
      <c r="N16421" t="s">
        <v>58051</v>
      </c>
      <c r="Q16421">
        <v>0</v>
      </c>
      <c r="R16421">
        <v>0</v>
      </c>
      <c r="S16421">
        <v>0</v>
      </c>
      <c r="T16421" t="s">
        <v>58052</v>
      </c>
    </row>
    <row r="16422" spans="1:25" customFormat="1" ht="15" x14ac:dyDescent="0.25">
      <c r="A16422" t="s">
        <v>24</v>
      </c>
      <c r="B16422" t="s">
        <v>2360</v>
      </c>
      <c r="C16422" t="str">
        <f>"CL1631"</f>
        <v>CL1631</v>
      </c>
      <c r="D16422" t="s">
        <v>58053</v>
      </c>
      <c r="E16422" t="s">
        <v>58054</v>
      </c>
      <c r="F16422" t="s">
        <v>10100</v>
      </c>
      <c r="G16422" t="s">
        <v>214</v>
      </c>
      <c r="H16422">
        <v>27601</v>
      </c>
      <c r="I16422" t="s">
        <v>30</v>
      </c>
      <c r="J16422" t="s">
        <v>2558</v>
      </c>
      <c r="K16422" t="s">
        <v>55688</v>
      </c>
      <c r="N16422" t="s">
        <v>58055</v>
      </c>
      <c r="Q16422">
        <v>0</v>
      </c>
      <c r="R16422">
        <v>0</v>
      </c>
      <c r="S16422">
        <v>0</v>
      </c>
      <c r="T16422" t="s">
        <v>58056</v>
      </c>
    </row>
    <row r="16423" spans="1:25" customFormat="1" ht="15" x14ac:dyDescent="0.25">
      <c r="A16423" t="s">
        <v>24</v>
      </c>
      <c r="B16423" t="s">
        <v>1849</v>
      </c>
      <c r="C16423" t="str">
        <f>"A0155572"</f>
        <v>A0155572</v>
      </c>
      <c r="D16423" t="s">
        <v>58057</v>
      </c>
      <c r="E16423" t="s">
        <v>58058</v>
      </c>
      <c r="F16423" t="s">
        <v>56834</v>
      </c>
      <c r="G16423" t="s">
        <v>615</v>
      </c>
      <c r="H16423">
        <v>6103</v>
      </c>
      <c r="I16423" t="s">
        <v>30</v>
      </c>
      <c r="J16423" t="s">
        <v>1004</v>
      </c>
      <c r="K16423" t="s">
        <v>163</v>
      </c>
      <c r="N16423" t="s">
        <v>58059</v>
      </c>
      <c r="Q16423">
        <v>0</v>
      </c>
      <c r="R16423">
        <v>0</v>
      </c>
      <c r="S16423">
        <v>0</v>
      </c>
      <c r="T16423" t="s">
        <v>58060</v>
      </c>
    </row>
    <row r="16424" spans="1:25" customFormat="1" ht="15" x14ac:dyDescent="0.25">
      <c r="A16424" t="s">
        <v>24</v>
      </c>
      <c r="B16424" t="s">
        <v>799</v>
      </c>
      <c r="C16424" t="str">
        <f>"A0137002"</f>
        <v>A0137002</v>
      </c>
      <c r="D16424" t="s">
        <v>58061</v>
      </c>
      <c r="E16424" t="s">
        <v>58062</v>
      </c>
      <c r="F16424" t="s">
        <v>716</v>
      </c>
      <c r="G16424" t="s">
        <v>289</v>
      </c>
      <c r="H16424">
        <v>60657</v>
      </c>
      <c r="I16424" t="s">
        <v>30</v>
      </c>
      <c r="J16424" t="s">
        <v>31</v>
      </c>
      <c r="K16424" t="s">
        <v>163</v>
      </c>
      <c r="N16424" t="s">
        <v>58063</v>
      </c>
      <c r="Q16424">
        <v>0</v>
      </c>
      <c r="R16424">
        <v>45</v>
      </c>
      <c r="S16424">
        <v>0</v>
      </c>
      <c r="T16424" t="s">
        <v>58064</v>
      </c>
    </row>
    <row r="16425" spans="1:25" customFormat="1" ht="15" x14ac:dyDescent="0.25">
      <c r="A16425" t="s">
        <v>24</v>
      </c>
      <c r="B16425" t="s">
        <v>2221</v>
      </c>
      <c r="C16425" t="str">
        <f>"A0056672"</f>
        <v>A0056672</v>
      </c>
      <c r="D16425" t="s">
        <v>76351</v>
      </c>
      <c r="E16425" t="s">
        <v>76352</v>
      </c>
      <c r="F16425" t="s">
        <v>3455</v>
      </c>
      <c r="G16425" t="s">
        <v>161</v>
      </c>
      <c r="H16425">
        <v>55425</v>
      </c>
      <c r="I16425" t="s">
        <v>30</v>
      </c>
      <c r="J16425" t="s">
        <v>162</v>
      </c>
      <c r="K16425" t="s">
        <v>4809</v>
      </c>
      <c r="N16425" t="s">
        <v>76353</v>
      </c>
      <c r="Q16425">
        <v>0</v>
      </c>
      <c r="R16425">
        <v>300</v>
      </c>
      <c r="S16425">
        <v>0</v>
      </c>
      <c r="T16425" t="s">
        <v>76354</v>
      </c>
    </row>
    <row r="16426" spans="1:25" customFormat="1" ht="15" hidden="1" x14ac:dyDescent="0.25">
      <c r="A16426" t="s">
        <v>24</v>
      </c>
      <c r="B16426" t="s">
        <v>1453</v>
      </c>
      <c r="C16426" t="str">
        <f>"A0096940"</f>
        <v>A0096940</v>
      </c>
      <c r="D16426" t="s">
        <v>58071</v>
      </c>
      <c r="E16426" t="s">
        <v>58072</v>
      </c>
      <c r="F16426" t="s">
        <v>58073</v>
      </c>
      <c r="G16426" t="s">
        <v>1457</v>
      </c>
      <c r="H16426" t="s">
        <v>58074</v>
      </c>
      <c r="I16426" t="s">
        <v>1459</v>
      </c>
      <c r="J16426" t="s">
        <v>171</v>
      </c>
      <c r="K16426" t="s">
        <v>248</v>
      </c>
      <c r="N16426" t="s">
        <v>58075</v>
      </c>
      <c r="Q16426">
        <v>0</v>
      </c>
      <c r="R16426">
        <v>98</v>
      </c>
      <c r="S16426">
        <v>0</v>
      </c>
      <c r="T16426" t="s">
        <v>58076</v>
      </c>
    </row>
    <row r="16427" spans="1:25" x14ac:dyDescent="0.25">
      <c r="A16427" s="5" t="s">
        <v>24</v>
      </c>
      <c r="B16427" s="5" t="s">
        <v>675</v>
      </c>
      <c r="C16427" s="5" t="str">
        <f>"A0096714"</f>
        <v>A0096714</v>
      </c>
      <c r="D16427" s="5" t="s">
        <v>76379</v>
      </c>
      <c r="E16427" s="5" t="s">
        <v>76380</v>
      </c>
      <c r="F16427" s="5" t="s">
        <v>13767</v>
      </c>
      <c r="G16427" s="5" t="s">
        <v>4815</v>
      </c>
      <c r="H16427" s="5">
        <v>96815</v>
      </c>
      <c r="I16427" s="5" t="s">
        <v>30</v>
      </c>
      <c r="J16427" s="5" t="s">
        <v>162</v>
      </c>
      <c r="K16427" s="5" t="s">
        <v>822</v>
      </c>
      <c r="L16427" s="5"/>
      <c r="M16427" s="5"/>
      <c r="N16427" s="5"/>
      <c r="O16427" s="5"/>
      <c r="P16427" s="5"/>
      <c r="Q16427" s="5">
        <v>0</v>
      </c>
      <c r="R16427" s="5">
        <v>791</v>
      </c>
      <c r="S16427" s="5">
        <v>0</v>
      </c>
      <c r="T16427" s="5" t="s">
        <v>76381</v>
      </c>
      <c r="U16427" s="5"/>
      <c r="V16427" s="5"/>
      <c r="W16427" s="5"/>
      <c r="X16427" s="5"/>
      <c r="Y16427" s="5"/>
    </row>
    <row r="16428" spans="1:25" customFormat="1" ht="15" x14ac:dyDescent="0.25">
      <c r="A16428" t="s">
        <v>24</v>
      </c>
      <c r="B16428" t="s">
        <v>8742</v>
      </c>
      <c r="C16428" t="str">
        <f>"34259"</f>
        <v>34259</v>
      </c>
      <c r="D16428" t="s">
        <v>76382</v>
      </c>
      <c r="E16428" t="s">
        <v>76383</v>
      </c>
      <c r="F16428" t="s">
        <v>53883</v>
      </c>
      <c r="G16428" t="s">
        <v>1706</v>
      </c>
      <c r="H16428">
        <v>36606</v>
      </c>
      <c r="I16428" t="s">
        <v>30</v>
      </c>
      <c r="J16428" t="s">
        <v>162</v>
      </c>
      <c r="K16428" t="s">
        <v>1490</v>
      </c>
      <c r="N16428" t="s">
        <v>76384</v>
      </c>
      <c r="O16428" t="s">
        <v>76385</v>
      </c>
      <c r="Q16428">
        <v>0</v>
      </c>
      <c r="R16428">
        <v>251</v>
      </c>
      <c r="S16428">
        <v>0</v>
      </c>
      <c r="T16428" t="s">
        <v>76386</v>
      </c>
    </row>
    <row r="16429" spans="1:25" customFormat="1" ht="15" x14ac:dyDescent="0.25">
      <c r="A16429" t="s">
        <v>24</v>
      </c>
      <c r="B16429" t="s">
        <v>1156</v>
      </c>
      <c r="C16429" t="str">
        <f>"A0083359"</f>
        <v>A0083359</v>
      </c>
      <c r="D16429" t="s">
        <v>76429</v>
      </c>
      <c r="E16429" t="s">
        <v>76430</v>
      </c>
      <c r="F16429" t="s">
        <v>1159</v>
      </c>
      <c r="G16429" t="s">
        <v>58</v>
      </c>
      <c r="H16429">
        <v>29572</v>
      </c>
      <c r="I16429" t="s">
        <v>30</v>
      </c>
      <c r="J16429" t="s">
        <v>162</v>
      </c>
      <c r="K16429" t="s">
        <v>163</v>
      </c>
      <c r="N16429" t="s">
        <v>76431</v>
      </c>
      <c r="Q16429">
        <v>0</v>
      </c>
      <c r="R16429">
        <v>194</v>
      </c>
      <c r="S16429">
        <v>0</v>
      </c>
      <c r="T16429" t="s">
        <v>76432</v>
      </c>
    </row>
    <row r="16430" spans="1:25" customFormat="1" ht="15" x14ac:dyDescent="0.25">
      <c r="A16430" t="s">
        <v>24</v>
      </c>
      <c r="B16430" t="s">
        <v>57258</v>
      </c>
      <c r="C16430" t="str">
        <f>"A0059732"</f>
        <v>A0059732</v>
      </c>
      <c r="D16430" t="s">
        <v>76433</v>
      </c>
      <c r="E16430" t="s">
        <v>76434</v>
      </c>
      <c r="F16430" t="s">
        <v>30779</v>
      </c>
      <c r="G16430" t="s">
        <v>110</v>
      </c>
      <c r="H16430">
        <v>93940</v>
      </c>
      <c r="I16430" t="s">
        <v>30</v>
      </c>
      <c r="J16430" t="s">
        <v>162</v>
      </c>
      <c r="K16430" t="s">
        <v>163</v>
      </c>
      <c r="N16430" t="s">
        <v>76435</v>
      </c>
      <c r="O16430" t="s">
        <v>76436</v>
      </c>
      <c r="Q16430">
        <v>0</v>
      </c>
      <c r="R16430">
        <v>290</v>
      </c>
      <c r="S16430">
        <v>0</v>
      </c>
      <c r="T16430" t="s">
        <v>76437</v>
      </c>
    </row>
    <row r="16431" spans="1:25" customFormat="1" ht="15" hidden="1" x14ac:dyDescent="0.25">
      <c r="A16431" t="s">
        <v>24</v>
      </c>
      <c r="B16431" t="s">
        <v>58099</v>
      </c>
      <c r="C16431" t="str">
        <f>"A0093903"</f>
        <v>A0093903</v>
      </c>
      <c r="D16431" t="s">
        <v>58100</v>
      </c>
      <c r="E16431" t="s">
        <v>58101</v>
      </c>
      <c r="F16431" t="s">
        <v>58102</v>
      </c>
      <c r="G16431" t="s">
        <v>1457</v>
      </c>
      <c r="H16431" t="s">
        <v>58103</v>
      </c>
      <c r="I16431" t="s">
        <v>1459</v>
      </c>
      <c r="J16431" t="s">
        <v>162</v>
      </c>
      <c r="K16431" t="s">
        <v>243</v>
      </c>
      <c r="N16431" t="s">
        <v>58104</v>
      </c>
      <c r="Q16431">
        <v>0</v>
      </c>
      <c r="R16431">
        <v>258</v>
      </c>
      <c r="S16431">
        <v>0</v>
      </c>
      <c r="T16431" t="s">
        <v>58105</v>
      </c>
    </row>
    <row r="16432" spans="1:25" customFormat="1" ht="15" x14ac:dyDescent="0.25">
      <c r="A16432" t="s">
        <v>24</v>
      </c>
      <c r="B16432" t="s">
        <v>63096</v>
      </c>
      <c r="C16432" t="str">
        <f>"A0090777"</f>
        <v>A0090777</v>
      </c>
      <c r="D16432" t="s">
        <v>76454</v>
      </c>
      <c r="E16432" t="s">
        <v>76455</v>
      </c>
      <c r="F16432" t="s">
        <v>16728</v>
      </c>
      <c r="G16432" t="s">
        <v>52</v>
      </c>
      <c r="H16432">
        <v>77554</v>
      </c>
      <c r="I16432" t="s">
        <v>30</v>
      </c>
      <c r="J16432" t="s">
        <v>162</v>
      </c>
      <c r="K16432" t="s">
        <v>163</v>
      </c>
      <c r="N16432" t="s">
        <v>76456</v>
      </c>
      <c r="O16432" t="s">
        <v>76457</v>
      </c>
      <c r="P16432" t="s">
        <v>6426</v>
      </c>
      <c r="Q16432">
        <v>1</v>
      </c>
      <c r="R16432">
        <v>428</v>
      </c>
      <c r="S16432">
        <v>0</v>
      </c>
      <c r="T16432" t="s">
        <v>76458</v>
      </c>
    </row>
    <row r="16433" spans="1:25" customFormat="1" ht="15" x14ac:dyDescent="0.25">
      <c r="A16433" t="s">
        <v>24</v>
      </c>
      <c r="B16433" t="s">
        <v>8579</v>
      </c>
      <c r="C16433" t="str">
        <f>"A0085978"</f>
        <v>A0085978</v>
      </c>
      <c r="D16433" t="s">
        <v>76470</v>
      </c>
      <c r="E16433" t="s">
        <v>76471</v>
      </c>
      <c r="F16433" t="s">
        <v>54107</v>
      </c>
      <c r="G16433" t="s">
        <v>507</v>
      </c>
      <c r="H16433">
        <v>26501</v>
      </c>
      <c r="I16433" t="s">
        <v>30</v>
      </c>
      <c r="J16433" t="s">
        <v>162</v>
      </c>
      <c r="K16433" t="s">
        <v>1490</v>
      </c>
      <c r="N16433" t="s">
        <v>76472</v>
      </c>
      <c r="O16433" t="s">
        <v>76473</v>
      </c>
      <c r="Q16433">
        <v>0</v>
      </c>
      <c r="R16433">
        <v>205</v>
      </c>
      <c r="S16433">
        <v>0</v>
      </c>
      <c r="T16433" t="s">
        <v>76474</v>
      </c>
    </row>
    <row r="16434" spans="1:25" customFormat="1" ht="15" x14ac:dyDescent="0.25">
      <c r="A16434" t="s">
        <v>24</v>
      </c>
      <c r="B16434" t="s">
        <v>33426</v>
      </c>
      <c r="C16434" t="str">
        <f>"A0087322"</f>
        <v>A0087322</v>
      </c>
      <c r="D16434" t="s">
        <v>76613</v>
      </c>
      <c r="E16434" t="s">
        <v>76614</v>
      </c>
      <c r="F16434" t="s">
        <v>2094</v>
      </c>
      <c r="G16434" t="s">
        <v>52</v>
      </c>
      <c r="H16434">
        <v>75210</v>
      </c>
      <c r="I16434" t="s">
        <v>30</v>
      </c>
      <c r="J16434" t="s">
        <v>162</v>
      </c>
      <c r="K16434" t="s">
        <v>163</v>
      </c>
      <c r="N16434" t="s">
        <v>76615</v>
      </c>
      <c r="Q16434">
        <v>0</v>
      </c>
      <c r="R16434">
        <v>0</v>
      </c>
      <c r="S16434">
        <v>0</v>
      </c>
      <c r="T16434" t="s">
        <v>76616</v>
      </c>
    </row>
    <row r="16435" spans="1:25" customFormat="1" ht="15" x14ac:dyDescent="0.25">
      <c r="A16435" t="s">
        <v>24</v>
      </c>
      <c r="B16435" t="s">
        <v>1020</v>
      </c>
      <c r="C16435" t="str">
        <f>"34174"</f>
        <v>34174</v>
      </c>
      <c r="D16435" t="s">
        <v>76670</v>
      </c>
      <c r="E16435" t="s">
        <v>76671</v>
      </c>
      <c r="F16435" t="s">
        <v>76672</v>
      </c>
      <c r="G16435" t="s">
        <v>615</v>
      </c>
      <c r="H16435">
        <v>6340</v>
      </c>
      <c r="I16435" t="s">
        <v>30</v>
      </c>
      <c r="J16435" t="s">
        <v>162</v>
      </c>
      <c r="K16435" t="s">
        <v>1490</v>
      </c>
      <c r="N16435" t="s">
        <v>76673</v>
      </c>
      <c r="O16435" t="s">
        <v>76674</v>
      </c>
      <c r="Q16435">
        <v>0</v>
      </c>
      <c r="R16435">
        <v>285</v>
      </c>
      <c r="S16435">
        <v>0</v>
      </c>
      <c r="T16435" t="s">
        <v>76675</v>
      </c>
    </row>
    <row r="16436" spans="1:25" customFormat="1" ht="15" x14ac:dyDescent="0.25">
      <c r="A16436" t="s">
        <v>24</v>
      </c>
      <c r="B16436" t="s">
        <v>6667</v>
      </c>
      <c r="C16436" t="str">
        <f>"CL0327"</f>
        <v>CL0327</v>
      </c>
      <c r="D16436" t="s">
        <v>58125</v>
      </c>
      <c r="E16436" t="s">
        <v>58126</v>
      </c>
      <c r="F16436" t="s">
        <v>1564</v>
      </c>
      <c r="G16436" t="s">
        <v>52</v>
      </c>
      <c r="H16436">
        <v>77047</v>
      </c>
      <c r="I16436" t="s">
        <v>30</v>
      </c>
      <c r="J16436" t="s">
        <v>178</v>
      </c>
      <c r="K16436" t="s">
        <v>6667</v>
      </c>
      <c r="N16436" t="s">
        <v>58127</v>
      </c>
      <c r="Q16436">
        <v>0</v>
      </c>
      <c r="R16436">
        <v>0</v>
      </c>
      <c r="S16436">
        <v>0</v>
      </c>
      <c r="T16436" t="s">
        <v>58128</v>
      </c>
    </row>
    <row r="16437" spans="1:25" customFormat="1" ht="15" x14ac:dyDescent="0.25">
      <c r="A16437" t="s">
        <v>24</v>
      </c>
      <c r="B16437" t="s">
        <v>57258</v>
      </c>
      <c r="C16437" t="str">
        <f>"A0059733"</f>
        <v>A0059733</v>
      </c>
      <c r="D16437" t="s">
        <v>76682</v>
      </c>
      <c r="E16437" t="s">
        <v>76683</v>
      </c>
      <c r="F16437" t="s">
        <v>56449</v>
      </c>
      <c r="G16437" t="s">
        <v>110</v>
      </c>
      <c r="H16437">
        <v>94599</v>
      </c>
      <c r="I16437" t="s">
        <v>30</v>
      </c>
      <c r="J16437" t="s">
        <v>162</v>
      </c>
      <c r="K16437" t="s">
        <v>13697</v>
      </c>
      <c r="N16437" t="s">
        <v>76684</v>
      </c>
      <c r="O16437" t="s">
        <v>76685</v>
      </c>
      <c r="Q16437">
        <v>0</v>
      </c>
      <c r="R16437">
        <v>55</v>
      </c>
      <c r="S16437">
        <v>0</v>
      </c>
      <c r="T16437" t="s">
        <v>76686</v>
      </c>
    </row>
    <row r="16438" spans="1:25" customFormat="1" ht="15" x14ac:dyDescent="0.25">
      <c r="A16438" t="s">
        <v>24</v>
      </c>
      <c r="B16438" t="s">
        <v>5166</v>
      </c>
      <c r="C16438" t="str">
        <f>"34258"</f>
        <v>34258</v>
      </c>
      <c r="D16438" t="s">
        <v>76687</v>
      </c>
      <c r="E16438" t="s">
        <v>76688</v>
      </c>
      <c r="F16438" t="s">
        <v>2241</v>
      </c>
      <c r="G16438" t="s">
        <v>110</v>
      </c>
      <c r="H16438">
        <v>94558</v>
      </c>
      <c r="I16438" t="s">
        <v>30</v>
      </c>
      <c r="J16438" t="s">
        <v>162</v>
      </c>
      <c r="K16438" t="s">
        <v>1490</v>
      </c>
      <c r="N16438" t="s">
        <v>76689</v>
      </c>
      <c r="O16438" t="s">
        <v>76690</v>
      </c>
      <c r="Q16438">
        <v>0</v>
      </c>
      <c r="R16438">
        <v>270</v>
      </c>
      <c r="S16438">
        <v>0</v>
      </c>
      <c r="T16438" t="s">
        <v>76691</v>
      </c>
    </row>
    <row r="16439" spans="1:25" customFormat="1" ht="15" x14ac:dyDescent="0.25">
      <c r="A16439" t="s">
        <v>24</v>
      </c>
      <c r="B16439" t="s">
        <v>76696</v>
      </c>
      <c r="C16439" t="str">
        <f>"A0085520"</f>
        <v>A0085520</v>
      </c>
      <c r="D16439" t="s">
        <v>76696</v>
      </c>
      <c r="E16439" t="s">
        <v>76697</v>
      </c>
      <c r="F16439" t="s">
        <v>35740</v>
      </c>
      <c r="G16439" t="s">
        <v>4815</v>
      </c>
      <c r="H16439">
        <v>96761</v>
      </c>
      <c r="I16439" t="s">
        <v>30</v>
      </c>
      <c r="J16439" t="s">
        <v>162</v>
      </c>
      <c r="K16439" t="s">
        <v>163</v>
      </c>
      <c r="N16439" t="s">
        <v>76698</v>
      </c>
      <c r="Q16439">
        <v>0</v>
      </c>
      <c r="R16439">
        <v>163</v>
      </c>
      <c r="S16439">
        <v>0</v>
      </c>
      <c r="T16439" t="s">
        <v>76699</v>
      </c>
    </row>
    <row r="16440" spans="1:25" x14ac:dyDescent="0.25">
      <c r="A16440" s="5" t="s">
        <v>24</v>
      </c>
      <c r="B16440" s="5" t="s">
        <v>1487</v>
      </c>
      <c r="C16440" s="5" t="str">
        <f>"A0084305"</f>
        <v>A0084305</v>
      </c>
      <c r="D16440" s="5" t="s">
        <v>76704</v>
      </c>
      <c r="E16440" s="5" t="s">
        <v>76705</v>
      </c>
      <c r="F16440" s="5" t="s">
        <v>2971</v>
      </c>
      <c r="G16440" s="5" t="s">
        <v>880</v>
      </c>
      <c r="H16440" s="5">
        <v>37203</v>
      </c>
      <c r="I16440" s="5" t="s">
        <v>30</v>
      </c>
      <c r="J16440" s="5" t="s">
        <v>162</v>
      </c>
      <c r="K16440" s="5" t="s">
        <v>1490</v>
      </c>
      <c r="L16440" s="5"/>
      <c r="M16440" s="5"/>
      <c r="N16440" s="5" t="s">
        <v>76706</v>
      </c>
      <c r="O16440" s="5"/>
      <c r="P16440" s="5"/>
      <c r="Q16440" s="5">
        <v>0</v>
      </c>
      <c r="R16440" s="5">
        <v>301</v>
      </c>
      <c r="S16440" s="5">
        <v>0</v>
      </c>
      <c r="T16440" s="5" t="s">
        <v>76707</v>
      </c>
      <c r="U16440" s="5"/>
      <c r="V16440" s="5"/>
      <c r="W16440" s="5"/>
      <c r="X16440" s="5"/>
      <c r="Y16440" s="5"/>
    </row>
    <row r="16441" spans="1:25" customFormat="1" ht="15" x14ac:dyDescent="0.25">
      <c r="A16441" t="s">
        <v>24</v>
      </c>
      <c r="B16441" t="s">
        <v>186</v>
      </c>
      <c r="C16441" t="str">
        <f>"A0146652"</f>
        <v>A0146652</v>
      </c>
      <c r="D16441" t="s">
        <v>58145</v>
      </c>
      <c r="E16441" t="s">
        <v>56219</v>
      </c>
      <c r="F16441" t="s">
        <v>189</v>
      </c>
      <c r="G16441" t="s">
        <v>190</v>
      </c>
      <c r="H16441">
        <v>81611</v>
      </c>
      <c r="I16441" t="s">
        <v>30</v>
      </c>
      <c r="J16441" t="s">
        <v>1004</v>
      </c>
      <c r="K16441" t="s">
        <v>163</v>
      </c>
      <c r="N16441" t="s">
        <v>55669</v>
      </c>
      <c r="Q16441">
        <v>0</v>
      </c>
      <c r="R16441">
        <v>0</v>
      </c>
      <c r="S16441">
        <v>0</v>
      </c>
      <c r="T16441" t="s">
        <v>55670</v>
      </c>
    </row>
    <row r="16442" spans="1:25" customFormat="1" ht="15" x14ac:dyDescent="0.25">
      <c r="A16442" t="s">
        <v>24</v>
      </c>
      <c r="B16442" t="s">
        <v>4990</v>
      </c>
      <c r="C16442" t="str">
        <f>"A0166074"</f>
        <v>A0166074</v>
      </c>
      <c r="D16442" t="s">
        <v>58150</v>
      </c>
      <c r="E16442" t="s">
        <v>58151</v>
      </c>
      <c r="F16442" t="s">
        <v>10126</v>
      </c>
      <c r="G16442" t="s">
        <v>1898</v>
      </c>
      <c r="H16442">
        <v>52240</v>
      </c>
      <c r="I16442" t="s">
        <v>30</v>
      </c>
      <c r="J16442" t="s">
        <v>687</v>
      </c>
      <c r="K16442" t="s">
        <v>163</v>
      </c>
      <c r="N16442" t="s">
        <v>58152</v>
      </c>
      <c r="Q16442">
        <v>0</v>
      </c>
      <c r="R16442">
        <v>0</v>
      </c>
      <c r="S16442">
        <v>0</v>
      </c>
      <c r="T16442" t="s">
        <v>58153</v>
      </c>
    </row>
    <row r="16443" spans="1:25" customFormat="1" ht="15" x14ac:dyDescent="0.25">
      <c r="A16443" t="s">
        <v>24</v>
      </c>
      <c r="B16443" t="s">
        <v>186</v>
      </c>
      <c r="C16443" t="str">
        <f>"A0146642"</f>
        <v>A0146642</v>
      </c>
      <c r="D16443" t="s">
        <v>58154</v>
      </c>
      <c r="E16443" t="s">
        <v>56243</v>
      </c>
      <c r="F16443" t="s">
        <v>189</v>
      </c>
      <c r="G16443" t="s">
        <v>190</v>
      </c>
      <c r="H16443">
        <v>81611</v>
      </c>
      <c r="I16443" t="s">
        <v>30</v>
      </c>
      <c r="J16443" t="s">
        <v>1004</v>
      </c>
      <c r="K16443" t="s">
        <v>163</v>
      </c>
      <c r="N16443" t="s">
        <v>55669</v>
      </c>
      <c r="Q16443">
        <v>0</v>
      </c>
      <c r="R16443">
        <v>0</v>
      </c>
      <c r="S16443">
        <v>0</v>
      </c>
      <c r="T16443" t="s">
        <v>55670</v>
      </c>
    </row>
    <row r="16444" spans="1:25" customFormat="1" ht="15" hidden="1" x14ac:dyDescent="0.25">
      <c r="A16444" t="s">
        <v>24</v>
      </c>
      <c r="B16444" t="s">
        <v>58155</v>
      </c>
      <c r="C16444" t="str">
        <f>"A0094144"</f>
        <v>A0094144</v>
      </c>
      <c r="D16444" t="s">
        <v>58156</v>
      </c>
      <c r="E16444" t="s">
        <v>58157</v>
      </c>
      <c r="F16444" t="s">
        <v>5332</v>
      </c>
      <c r="G16444" t="s">
        <v>2407</v>
      </c>
      <c r="H16444">
        <v>23400</v>
      </c>
      <c r="I16444" t="s">
        <v>2408</v>
      </c>
      <c r="J16444" t="s">
        <v>2558</v>
      </c>
      <c r="K16444" t="s">
        <v>163</v>
      </c>
      <c r="N16444" t="s">
        <v>58158</v>
      </c>
      <c r="Q16444">
        <v>0</v>
      </c>
      <c r="R16444">
        <v>0</v>
      </c>
      <c r="S16444">
        <v>0</v>
      </c>
      <c r="T16444" t="s">
        <v>58159</v>
      </c>
    </row>
    <row r="16445" spans="1:25" customFormat="1" ht="15" x14ac:dyDescent="0.25">
      <c r="A16445" t="s">
        <v>24</v>
      </c>
      <c r="B16445" t="s">
        <v>55335</v>
      </c>
      <c r="C16445" t="str">
        <f>"A0098541"</f>
        <v>A0098541</v>
      </c>
      <c r="D16445" t="s">
        <v>58160</v>
      </c>
      <c r="E16445" t="s">
        <v>58161</v>
      </c>
      <c r="F16445" t="s">
        <v>1889</v>
      </c>
      <c r="G16445" t="s">
        <v>81</v>
      </c>
      <c r="H16445" t="s">
        <v>58162</v>
      </c>
      <c r="I16445" t="s">
        <v>30</v>
      </c>
      <c r="J16445" t="s">
        <v>55338</v>
      </c>
      <c r="K16445" t="s">
        <v>163</v>
      </c>
      <c r="N16445" t="s">
        <v>58163</v>
      </c>
      <c r="O16445" t="s">
        <v>58164</v>
      </c>
      <c r="Q16445">
        <v>0</v>
      </c>
      <c r="R16445">
        <v>0</v>
      </c>
      <c r="S16445">
        <v>0</v>
      </c>
      <c r="T16445" t="s">
        <v>58165</v>
      </c>
    </row>
    <row r="16446" spans="1:25" customFormat="1" ht="15" x14ac:dyDescent="0.25">
      <c r="A16446" t="s">
        <v>24</v>
      </c>
      <c r="B16446" t="s">
        <v>2360</v>
      </c>
      <c r="C16446" t="str">
        <f>"CL0153"</f>
        <v>CL0153</v>
      </c>
      <c r="D16446" t="s">
        <v>58166</v>
      </c>
      <c r="E16446" t="s">
        <v>58167</v>
      </c>
      <c r="F16446" t="s">
        <v>1546</v>
      </c>
      <c r="G16446" t="s">
        <v>52</v>
      </c>
      <c r="H16446">
        <v>77494</v>
      </c>
      <c r="I16446" t="s">
        <v>30</v>
      </c>
      <c r="J16446" t="s">
        <v>178</v>
      </c>
      <c r="K16446" t="s">
        <v>55688</v>
      </c>
      <c r="N16446" t="s">
        <v>58168</v>
      </c>
      <c r="O16446" t="s">
        <v>58169</v>
      </c>
      <c r="P16446" t="s">
        <v>992</v>
      </c>
      <c r="Q16446">
        <v>1</v>
      </c>
      <c r="R16446">
        <v>0</v>
      </c>
      <c r="S16446">
        <v>0</v>
      </c>
      <c r="T16446" t="s">
        <v>58170</v>
      </c>
    </row>
    <row r="16447" spans="1:25" customFormat="1" ht="15" x14ac:dyDescent="0.25">
      <c r="A16447" t="s">
        <v>24</v>
      </c>
      <c r="B16447" t="s">
        <v>2360</v>
      </c>
      <c r="C16447" t="str">
        <f>"CL9999"</f>
        <v>CL9999</v>
      </c>
      <c r="D16447" t="s">
        <v>58171</v>
      </c>
      <c r="E16447" t="s">
        <v>58172</v>
      </c>
      <c r="F16447" t="s">
        <v>1731</v>
      </c>
      <c r="G16447" t="s">
        <v>52</v>
      </c>
      <c r="H16447">
        <v>75234</v>
      </c>
      <c r="I16447" t="s">
        <v>30</v>
      </c>
      <c r="J16447" t="s">
        <v>191</v>
      </c>
      <c r="K16447" t="s">
        <v>58173</v>
      </c>
      <c r="N16447" t="s">
        <v>58174</v>
      </c>
      <c r="Q16447">
        <v>0</v>
      </c>
      <c r="R16447">
        <v>0</v>
      </c>
      <c r="S16447">
        <v>0</v>
      </c>
      <c r="T16447" t="s">
        <v>58175</v>
      </c>
    </row>
    <row r="16448" spans="1:25" customFormat="1" ht="15" x14ac:dyDescent="0.25">
      <c r="A16448" t="s">
        <v>24</v>
      </c>
      <c r="B16448" t="s">
        <v>7220</v>
      </c>
      <c r="C16448" t="str">
        <f>"A0155609"</f>
        <v>A0155609</v>
      </c>
      <c r="D16448" t="s">
        <v>58176</v>
      </c>
      <c r="E16448" t="s">
        <v>58177</v>
      </c>
      <c r="F16448" t="s">
        <v>58178</v>
      </c>
      <c r="G16448" t="s">
        <v>52</v>
      </c>
      <c r="H16448">
        <v>79745</v>
      </c>
      <c r="I16448" t="s">
        <v>30</v>
      </c>
      <c r="J16448" t="s">
        <v>31</v>
      </c>
      <c r="K16448" t="s">
        <v>5869</v>
      </c>
      <c r="N16448" t="s">
        <v>58179</v>
      </c>
      <c r="O16448" t="s">
        <v>58180</v>
      </c>
      <c r="Q16448">
        <v>0</v>
      </c>
      <c r="R16448">
        <v>60</v>
      </c>
      <c r="S16448">
        <v>0</v>
      </c>
      <c r="T16448" t="s">
        <v>58181</v>
      </c>
    </row>
    <row r="16449" spans="1:20" customFormat="1" ht="15" x14ac:dyDescent="0.25">
      <c r="A16449" t="s">
        <v>24</v>
      </c>
      <c r="B16449" t="s">
        <v>7220</v>
      </c>
      <c r="C16449" t="str">
        <f>"A0098584"</f>
        <v>A0098584</v>
      </c>
      <c r="D16449" t="s">
        <v>58182</v>
      </c>
      <c r="E16449" t="s">
        <v>58183</v>
      </c>
      <c r="F16449" t="s">
        <v>58184</v>
      </c>
      <c r="G16449" t="s">
        <v>1508</v>
      </c>
      <c r="H16449">
        <v>82214</v>
      </c>
      <c r="I16449" t="s">
        <v>30</v>
      </c>
      <c r="J16449" t="s">
        <v>31</v>
      </c>
      <c r="K16449" t="s">
        <v>5885</v>
      </c>
      <c r="N16449" t="s">
        <v>58185</v>
      </c>
      <c r="Q16449">
        <v>0</v>
      </c>
      <c r="R16449">
        <v>45</v>
      </c>
      <c r="S16449">
        <v>0</v>
      </c>
      <c r="T16449" t="s">
        <v>5902</v>
      </c>
    </row>
    <row r="16450" spans="1:20" customFormat="1" ht="15" x14ac:dyDescent="0.25">
      <c r="A16450" t="s">
        <v>24</v>
      </c>
      <c r="B16450" t="s">
        <v>7220</v>
      </c>
      <c r="C16450" t="str">
        <f>"A0094189"</f>
        <v>A0094189</v>
      </c>
      <c r="D16450" t="s">
        <v>58186</v>
      </c>
      <c r="E16450" t="s">
        <v>58187</v>
      </c>
      <c r="F16450" t="s">
        <v>35874</v>
      </c>
      <c r="G16450" t="s">
        <v>427</v>
      </c>
      <c r="H16450">
        <v>68787</v>
      </c>
      <c r="I16450" t="s">
        <v>30</v>
      </c>
      <c r="J16450" t="s">
        <v>31</v>
      </c>
      <c r="K16450" t="s">
        <v>5885</v>
      </c>
      <c r="N16450" t="s">
        <v>58188</v>
      </c>
      <c r="Q16450">
        <v>0</v>
      </c>
      <c r="R16450">
        <v>44</v>
      </c>
      <c r="S16450">
        <v>0</v>
      </c>
      <c r="T16450" t="s">
        <v>58189</v>
      </c>
    </row>
    <row r="16451" spans="1:20" customFormat="1" ht="15" x14ac:dyDescent="0.25">
      <c r="A16451" t="s">
        <v>24</v>
      </c>
      <c r="B16451" t="s">
        <v>7220</v>
      </c>
      <c r="C16451" t="str">
        <f>"A0100875"</f>
        <v>A0100875</v>
      </c>
      <c r="D16451" t="s">
        <v>58190</v>
      </c>
      <c r="E16451" t="s">
        <v>58191</v>
      </c>
      <c r="F16451" t="s">
        <v>58192</v>
      </c>
      <c r="G16451" t="s">
        <v>71</v>
      </c>
      <c r="H16451">
        <v>54002</v>
      </c>
      <c r="I16451" t="s">
        <v>30</v>
      </c>
      <c r="J16451" t="s">
        <v>31</v>
      </c>
      <c r="K16451" t="s">
        <v>5885</v>
      </c>
      <c r="N16451" t="s">
        <v>58193</v>
      </c>
      <c r="Q16451">
        <v>0</v>
      </c>
      <c r="R16451">
        <v>65</v>
      </c>
      <c r="S16451">
        <v>0</v>
      </c>
      <c r="T16451" t="s">
        <v>58194</v>
      </c>
    </row>
    <row r="16452" spans="1:20" customFormat="1" ht="15" x14ac:dyDescent="0.25">
      <c r="A16452" t="s">
        <v>24</v>
      </c>
      <c r="B16452" t="s">
        <v>7220</v>
      </c>
      <c r="C16452" t="str">
        <f>"A0094750"</f>
        <v>A0094750</v>
      </c>
      <c r="D16452" t="s">
        <v>58195</v>
      </c>
      <c r="E16452" t="s">
        <v>58196</v>
      </c>
      <c r="F16452" t="s">
        <v>58197</v>
      </c>
      <c r="G16452" t="s">
        <v>144</v>
      </c>
      <c r="H16452">
        <v>58523</v>
      </c>
      <c r="I16452" t="s">
        <v>30</v>
      </c>
      <c r="J16452" t="s">
        <v>31</v>
      </c>
      <c r="K16452" t="s">
        <v>5885</v>
      </c>
      <c r="N16452" t="s">
        <v>58198</v>
      </c>
      <c r="O16452" t="s">
        <v>58199</v>
      </c>
      <c r="Q16452">
        <v>0</v>
      </c>
      <c r="R16452">
        <v>54</v>
      </c>
      <c r="S16452">
        <v>0</v>
      </c>
      <c r="T16452" t="s">
        <v>58200</v>
      </c>
    </row>
    <row r="16453" spans="1:20" customFormat="1" ht="15" x14ac:dyDescent="0.25">
      <c r="A16453" t="s">
        <v>24</v>
      </c>
      <c r="B16453" t="s">
        <v>7220</v>
      </c>
      <c r="C16453" t="str">
        <f>"A0099988"</f>
        <v>A0099988</v>
      </c>
      <c r="D16453" t="s">
        <v>58201</v>
      </c>
      <c r="E16453" t="s">
        <v>58202</v>
      </c>
      <c r="F16453" t="s">
        <v>58203</v>
      </c>
      <c r="G16453" t="s">
        <v>427</v>
      </c>
      <c r="H16453">
        <v>69341</v>
      </c>
      <c r="I16453" t="s">
        <v>30</v>
      </c>
      <c r="J16453" t="s">
        <v>31</v>
      </c>
      <c r="K16453" t="s">
        <v>5885</v>
      </c>
      <c r="N16453" t="s">
        <v>58204</v>
      </c>
      <c r="Q16453">
        <v>0</v>
      </c>
      <c r="R16453">
        <v>54</v>
      </c>
      <c r="S16453">
        <v>0</v>
      </c>
      <c r="T16453" t="s">
        <v>58205</v>
      </c>
    </row>
    <row r="16454" spans="1:20" customFormat="1" ht="15" x14ac:dyDescent="0.25">
      <c r="A16454" t="s">
        <v>24</v>
      </c>
      <c r="B16454" t="s">
        <v>7220</v>
      </c>
      <c r="C16454" t="str">
        <f>"A0154215"</f>
        <v>A0154215</v>
      </c>
      <c r="D16454" t="s">
        <v>58206</v>
      </c>
      <c r="E16454" t="s">
        <v>58207</v>
      </c>
      <c r="F16454" t="s">
        <v>5572</v>
      </c>
      <c r="G16454" t="s">
        <v>71</v>
      </c>
      <c r="H16454">
        <v>53548</v>
      </c>
      <c r="I16454" t="s">
        <v>30</v>
      </c>
      <c r="J16454" t="s">
        <v>31</v>
      </c>
      <c r="K16454" t="s">
        <v>5885</v>
      </c>
      <c r="N16454" t="s">
        <v>58208</v>
      </c>
      <c r="Q16454">
        <v>0</v>
      </c>
      <c r="R16454">
        <v>53</v>
      </c>
      <c r="S16454">
        <v>0</v>
      </c>
      <c r="T16454" t="s">
        <v>58209</v>
      </c>
    </row>
    <row r="16455" spans="1:20" customFormat="1" ht="15" x14ac:dyDescent="0.25">
      <c r="A16455" t="s">
        <v>24</v>
      </c>
      <c r="B16455" t="s">
        <v>7220</v>
      </c>
      <c r="C16455" t="str">
        <f>"A0096534"</f>
        <v>A0096534</v>
      </c>
      <c r="D16455" t="s">
        <v>58210</v>
      </c>
      <c r="E16455" t="s">
        <v>58211</v>
      </c>
      <c r="F16455" t="s">
        <v>58212</v>
      </c>
      <c r="G16455" t="s">
        <v>925</v>
      </c>
      <c r="H16455">
        <v>67860</v>
      </c>
      <c r="I16455" t="s">
        <v>30</v>
      </c>
      <c r="J16455" t="s">
        <v>31</v>
      </c>
      <c r="K16455" t="s">
        <v>5885</v>
      </c>
      <c r="N16455" t="s">
        <v>58213</v>
      </c>
      <c r="Q16455">
        <v>0</v>
      </c>
      <c r="R16455">
        <v>45</v>
      </c>
      <c r="S16455">
        <v>0</v>
      </c>
      <c r="T16455" t="s">
        <v>58214</v>
      </c>
    </row>
    <row r="16456" spans="1:20" customFormat="1" ht="15" x14ac:dyDescent="0.25">
      <c r="A16456" t="s">
        <v>24</v>
      </c>
      <c r="B16456" t="s">
        <v>7220</v>
      </c>
      <c r="C16456" t="str">
        <f>"A0096535"</f>
        <v>A0096535</v>
      </c>
      <c r="D16456" t="s">
        <v>58215</v>
      </c>
      <c r="E16456" t="s">
        <v>58216</v>
      </c>
      <c r="F16456" t="s">
        <v>58217</v>
      </c>
      <c r="G16456" t="s">
        <v>427</v>
      </c>
      <c r="H16456">
        <v>69001</v>
      </c>
      <c r="I16456" t="s">
        <v>30</v>
      </c>
      <c r="J16456" t="s">
        <v>31</v>
      </c>
      <c r="K16456" t="s">
        <v>5885</v>
      </c>
      <c r="N16456" t="s">
        <v>58218</v>
      </c>
      <c r="Q16456">
        <v>0</v>
      </c>
      <c r="R16456">
        <v>54</v>
      </c>
      <c r="S16456">
        <v>0</v>
      </c>
      <c r="T16456" t="s">
        <v>58219</v>
      </c>
    </row>
    <row r="16457" spans="1:20" customFormat="1" ht="15" x14ac:dyDescent="0.25">
      <c r="A16457" t="s">
        <v>24</v>
      </c>
      <c r="B16457" t="s">
        <v>7220</v>
      </c>
      <c r="C16457" t="str">
        <f>"A0095249"</f>
        <v>A0095249</v>
      </c>
      <c r="D16457" t="s">
        <v>58220</v>
      </c>
      <c r="E16457" t="s">
        <v>58221</v>
      </c>
      <c r="F16457" t="s">
        <v>58222</v>
      </c>
      <c r="G16457" t="s">
        <v>71</v>
      </c>
      <c r="H16457">
        <v>54162</v>
      </c>
      <c r="I16457" t="s">
        <v>30</v>
      </c>
      <c r="J16457" t="s">
        <v>31</v>
      </c>
      <c r="K16457" t="s">
        <v>5885</v>
      </c>
      <c r="N16457" t="s">
        <v>58223</v>
      </c>
      <c r="Q16457">
        <v>0</v>
      </c>
      <c r="R16457">
        <v>35</v>
      </c>
      <c r="S16457">
        <v>0</v>
      </c>
      <c r="T16457" t="s">
        <v>58224</v>
      </c>
    </row>
    <row r="16458" spans="1:20" customFormat="1" ht="15" x14ac:dyDescent="0.25">
      <c r="A16458" t="s">
        <v>24</v>
      </c>
      <c r="B16458" t="s">
        <v>7220</v>
      </c>
      <c r="C16458" t="str">
        <f>"A0094216"</f>
        <v>A0094216</v>
      </c>
      <c r="D16458" t="s">
        <v>58225</v>
      </c>
      <c r="E16458" t="s">
        <v>58226</v>
      </c>
      <c r="F16458" t="s">
        <v>58227</v>
      </c>
      <c r="G16458" t="s">
        <v>103</v>
      </c>
      <c r="H16458">
        <v>15767</v>
      </c>
      <c r="I16458" t="s">
        <v>30</v>
      </c>
      <c r="J16458" t="s">
        <v>31</v>
      </c>
      <c r="K16458" t="s">
        <v>5885</v>
      </c>
      <c r="N16458" t="s">
        <v>58228</v>
      </c>
      <c r="Q16458">
        <v>0</v>
      </c>
      <c r="R16458">
        <v>36</v>
      </c>
      <c r="S16458">
        <v>0</v>
      </c>
      <c r="T16458" t="s">
        <v>58229</v>
      </c>
    </row>
    <row r="16459" spans="1:20" customFormat="1" ht="15" x14ac:dyDescent="0.25">
      <c r="A16459" t="s">
        <v>24</v>
      </c>
      <c r="B16459" t="s">
        <v>7220</v>
      </c>
      <c r="C16459" t="str">
        <f>"A0094164"</f>
        <v>A0094164</v>
      </c>
      <c r="D16459" t="s">
        <v>58230</v>
      </c>
      <c r="E16459" t="s">
        <v>58231</v>
      </c>
      <c r="F16459" t="s">
        <v>58232</v>
      </c>
      <c r="G16459" t="s">
        <v>427</v>
      </c>
      <c r="H16459">
        <v>68434</v>
      </c>
      <c r="I16459" t="s">
        <v>30</v>
      </c>
      <c r="J16459" t="s">
        <v>31</v>
      </c>
      <c r="K16459" t="s">
        <v>5885</v>
      </c>
      <c r="N16459" t="s">
        <v>58233</v>
      </c>
      <c r="Q16459">
        <v>0</v>
      </c>
      <c r="R16459">
        <v>36</v>
      </c>
      <c r="S16459">
        <v>0</v>
      </c>
      <c r="T16459" t="s">
        <v>58234</v>
      </c>
    </row>
    <row r="16460" spans="1:20" customFormat="1" ht="15" x14ac:dyDescent="0.25">
      <c r="A16460" t="s">
        <v>24</v>
      </c>
      <c r="B16460" t="s">
        <v>7220</v>
      </c>
      <c r="C16460" t="str">
        <f>"A0098583"</f>
        <v>A0098583</v>
      </c>
      <c r="D16460" t="s">
        <v>58235</v>
      </c>
      <c r="E16460" t="s">
        <v>58236</v>
      </c>
      <c r="F16460" t="s">
        <v>58237</v>
      </c>
      <c r="G16460" t="s">
        <v>433</v>
      </c>
      <c r="H16460">
        <v>83276</v>
      </c>
      <c r="I16460" t="s">
        <v>30</v>
      </c>
      <c r="J16460" t="s">
        <v>31</v>
      </c>
      <c r="K16460" t="s">
        <v>5885</v>
      </c>
      <c r="N16460" t="s">
        <v>58238</v>
      </c>
      <c r="Q16460">
        <v>0</v>
      </c>
      <c r="R16460">
        <v>53</v>
      </c>
      <c r="S16460">
        <v>0</v>
      </c>
      <c r="T16460" t="s">
        <v>58239</v>
      </c>
    </row>
    <row r="16461" spans="1:20" customFormat="1" ht="15" x14ac:dyDescent="0.25">
      <c r="A16461" t="s">
        <v>24</v>
      </c>
      <c r="B16461" t="s">
        <v>7220</v>
      </c>
      <c r="C16461" t="str">
        <f>"A0096530"</f>
        <v>A0096530</v>
      </c>
      <c r="D16461" t="s">
        <v>58240</v>
      </c>
      <c r="E16461" t="s">
        <v>58241</v>
      </c>
      <c r="F16461" t="s">
        <v>58242</v>
      </c>
      <c r="G16461" t="s">
        <v>71</v>
      </c>
      <c r="H16461">
        <v>54729</v>
      </c>
      <c r="I16461" t="s">
        <v>30</v>
      </c>
      <c r="J16461" t="s">
        <v>31</v>
      </c>
      <c r="K16461" t="s">
        <v>5885</v>
      </c>
      <c r="N16461" t="s">
        <v>58243</v>
      </c>
      <c r="Q16461">
        <v>0</v>
      </c>
      <c r="R16461">
        <v>45</v>
      </c>
      <c r="S16461">
        <v>0</v>
      </c>
      <c r="T16461" t="s">
        <v>58244</v>
      </c>
    </row>
    <row r="16462" spans="1:20" customFormat="1" ht="15" x14ac:dyDescent="0.25">
      <c r="A16462" t="s">
        <v>24</v>
      </c>
      <c r="B16462" t="s">
        <v>7220</v>
      </c>
      <c r="C16462" t="str">
        <f>"A0145431"</f>
        <v>A0145431</v>
      </c>
      <c r="D16462" t="s">
        <v>58245</v>
      </c>
      <c r="E16462" t="s">
        <v>58246</v>
      </c>
      <c r="F16462" t="s">
        <v>4560</v>
      </c>
      <c r="G16462" t="s">
        <v>161</v>
      </c>
      <c r="H16462">
        <v>55306</v>
      </c>
      <c r="I16462" t="s">
        <v>30</v>
      </c>
      <c r="J16462" t="s">
        <v>31</v>
      </c>
      <c r="K16462" t="s">
        <v>5885</v>
      </c>
      <c r="N16462" t="s">
        <v>58247</v>
      </c>
      <c r="O16462" t="s">
        <v>58248</v>
      </c>
      <c r="Q16462">
        <v>0</v>
      </c>
      <c r="R16462">
        <v>54</v>
      </c>
      <c r="S16462">
        <v>0</v>
      </c>
      <c r="T16462" t="s">
        <v>58249</v>
      </c>
    </row>
    <row r="16463" spans="1:20" customFormat="1" ht="15" x14ac:dyDescent="0.25">
      <c r="A16463" t="s">
        <v>24</v>
      </c>
      <c r="B16463" t="s">
        <v>7220</v>
      </c>
      <c r="C16463" t="str">
        <f>"A0099392"</f>
        <v>A0099392</v>
      </c>
      <c r="D16463" t="s">
        <v>58250</v>
      </c>
      <c r="E16463" t="s">
        <v>58251</v>
      </c>
      <c r="F16463" t="s">
        <v>58252</v>
      </c>
      <c r="G16463" t="s">
        <v>1898</v>
      </c>
      <c r="H16463">
        <v>50140</v>
      </c>
      <c r="I16463" t="s">
        <v>30</v>
      </c>
      <c r="J16463" t="s">
        <v>31</v>
      </c>
      <c r="K16463" t="s">
        <v>5885</v>
      </c>
      <c r="N16463" t="s">
        <v>58253</v>
      </c>
      <c r="O16463" t="s">
        <v>58254</v>
      </c>
      <c r="Q16463">
        <v>0</v>
      </c>
      <c r="R16463">
        <v>33</v>
      </c>
      <c r="S16463">
        <v>0</v>
      </c>
      <c r="T16463" t="s">
        <v>58255</v>
      </c>
    </row>
    <row r="16464" spans="1:20" customFormat="1" ht="15" x14ac:dyDescent="0.25">
      <c r="A16464" t="s">
        <v>24</v>
      </c>
      <c r="B16464" t="s">
        <v>7220</v>
      </c>
      <c r="C16464" t="str">
        <f>"A0146664"</f>
        <v>A0146664</v>
      </c>
      <c r="D16464" t="s">
        <v>58256</v>
      </c>
      <c r="E16464" t="s">
        <v>58257</v>
      </c>
      <c r="F16464" t="s">
        <v>58258</v>
      </c>
      <c r="G16464" t="s">
        <v>71</v>
      </c>
      <c r="H16464">
        <v>54956</v>
      </c>
      <c r="I16464" t="s">
        <v>30</v>
      </c>
      <c r="J16464" t="s">
        <v>31</v>
      </c>
      <c r="K16464" t="s">
        <v>5885</v>
      </c>
      <c r="N16464" t="s">
        <v>58259</v>
      </c>
      <c r="Q16464">
        <v>0</v>
      </c>
      <c r="R16464">
        <v>60</v>
      </c>
      <c r="S16464">
        <v>0</v>
      </c>
      <c r="T16464" t="s">
        <v>58260</v>
      </c>
    </row>
    <row r="16465" spans="1:20" customFormat="1" ht="15" x14ac:dyDescent="0.25">
      <c r="A16465" t="s">
        <v>24</v>
      </c>
      <c r="B16465" t="s">
        <v>7220</v>
      </c>
      <c r="C16465" t="str">
        <f>"A0099391"</f>
        <v>A0099391</v>
      </c>
      <c r="D16465" t="s">
        <v>58261</v>
      </c>
      <c r="E16465" t="s">
        <v>58262</v>
      </c>
      <c r="F16465" t="s">
        <v>58263</v>
      </c>
      <c r="G16465" t="s">
        <v>71</v>
      </c>
      <c r="H16465">
        <v>54481</v>
      </c>
      <c r="I16465" t="s">
        <v>30</v>
      </c>
      <c r="J16465" t="s">
        <v>31</v>
      </c>
      <c r="K16465" t="s">
        <v>5885</v>
      </c>
      <c r="N16465" t="s">
        <v>58264</v>
      </c>
      <c r="Q16465">
        <v>0</v>
      </c>
      <c r="R16465">
        <v>60</v>
      </c>
      <c r="S16465">
        <v>0</v>
      </c>
      <c r="T16465" t="s">
        <v>58265</v>
      </c>
    </row>
    <row r="16466" spans="1:20" customFormat="1" ht="15" x14ac:dyDescent="0.25">
      <c r="A16466" t="s">
        <v>24</v>
      </c>
      <c r="B16466" t="s">
        <v>7220</v>
      </c>
      <c r="C16466" t="str">
        <f>"A0151747"</f>
        <v>A0151747</v>
      </c>
      <c r="D16466" t="s">
        <v>58266</v>
      </c>
      <c r="E16466" t="s">
        <v>58267</v>
      </c>
      <c r="F16466" t="s">
        <v>58268</v>
      </c>
      <c r="G16466" t="s">
        <v>1508</v>
      </c>
      <c r="H16466">
        <v>82240</v>
      </c>
      <c r="I16466" t="s">
        <v>30</v>
      </c>
      <c r="J16466" t="s">
        <v>31</v>
      </c>
      <c r="K16466" t="s">
        <v>5885</v>
      </c>
      <c r="Q16466">
        <v>0</v>
      </c>
      <c r="R16466">
        <v>54</v>
      </c>
      <c r="S16466">
        <v>0</v>
      </c>
      <c r="T16466" t="s">
        <v>58269</v>
      </c>
    </row>
    <row r="16467" spans="1:20" customFormat="1" ht="15" x14ac:dyDescent="0.25">
      <c r="A16467" t="s">
        <v>24</v>
      </c>
      <c r="B16467" t="s">
        <v>7220</v>
      </c>
      <c r="C16467" t="str">
        <f>"A0117467"</f>
        <v>A0117467</v>
      </c>
      <c r="D16467" t="s">
        <v>58270</v>
      </c>
      <c r="E16467" t="s">
        <v>58271</v>
      </c>
      <c r="F16467" t="s">
        <v>58272</v>
      </c>
      <c r="G16467" t="s">
        <v>433</v>
      </c>
      <c r="H16467">
        <v>83455</v>
      </c>
      <c r="I16467" t="s">
        <v>30</v>
      </c>
      <c r="J16467" t="s">
        <v>31</v>
      </c>
      <c r="K16467" t="s">
        <v>5885</v>
      </c>
      <c r="N16467" t="s">
        <v>58273</v>
      </c>
      <c r="Q16467">
        <v>0</v>
      </c>
      <c r="R16467">
        <v>56</v>
      </c>
      <c r="S16467">
        <v>0</v>
      </c>
      <c r="T16467" t="s">
        <v>58274</v>
      </c>
    </row>
    <row r="16468" spans="1:20" customFormat="1" ht="15" x14ac:dyDescent="0.25">
      <c r="A16468" t="s">
        <v>24</v>
      </c>
      <c r="B16468" t="s">
        <v>7220</v>
      </c>
      <c r="C16468" t="str">
        <f>"A0060649"</f>
        <v>A0060649</v>
      </c>
      <c r="D16468" t="s">
        <v>58275</v>
      </c>
      <c r="E16468" t="s">
        <v>58276</v>
      </c>
      <c r="F16468" t="s">
        <v>12998</v>
      </c>
      <c r="G16468" t="s">
        <v>71</v>
      </c>
      <c r="H16468">
        <v>54494</v>
      </c>
      <c r="I16468" t="s">
        <v>30</v>
      </c>
      <c r="J16468" t="s">
        <v>31</v>
      </c>
      <c r="K16468" t="s">
        <v>5885</v>
      </c>
      <c r="N16468" t="s">
        <v>58277</v>
      </c>
      <c r="Q16468">
        <v>0</v>
      </c>
      <c r="R16468">
        <v>65</v>
      </c>
      <c r="S16468">
        <v>0</v>
      </c>
      <c r="T16468" t="s">
        <v>58278</v>
      </c>
    </row>
    <row r="16469" spans="1:20" customFormat="1" ht="15" x14ac:dyDescent="0.25">
      <c r="A16469" t="s">
        <v>24</v>
      </c>
      <c r="B16469" t="s">
        <v>7220</v>
      </c>
      <c r="C16469" t="str">
        <f>"A0165050"</f>
        <v>A0165050</v>
      </c>
      <c r="D16469" t="s">
        <v>58279</v>
      </c>
      <c r="E16469" t="s">
        <v>58280</v>
      </c>
      <c r="F16469" t="s">
        <v>58281</v>
      </c>
      <c r="G16469" t="s">
        <v>52</v>
      </c>
      <c r="H16469">
        <v>79714</v>
      </c>
      <c r="I16469" t="s">
        <v>30</v>
      </c>
      <c r="J16469" t="s">
        <v>31</v>
      </c>
      <c r="K16469" t="s">
        <v>5885</v>
      </c>
      <c r="N16469" t="s">
        <v>58282</v>
      </c>
      <c r="Q16469">
        <v>0</v>
      </c>
      <c r="R16469">
        <v>54</v>
      </c>
      <c r="S16469">
        <v>0</v>
      </c>
      <c r="T16469" t="s">
        <v>58283</v>
      </c>
    </row>
    <row r="16470" spans="1:20" customFormat="1" ht="15" x14ac:dyDescent="0.25">
      <c r="A16470" t="s">
        <v>24</v>
      </c>
      <c r="B16470" t="s">
        <v>7220</v>
      </c>
      <c r="C16470" t="str">
        <f>"A0094751"</f>
        <v>A0094751</v>
      </c>
      <c r="D16470" t="s">
        <v>58284</v>
      </c>
      <c r="E16470" t="s">
        <v>58285</v>
      </c>
      <c r="F16470" t="s">
        <v>35893</v>
      </c>
      <c r="G16470" t="s">
        <v>1898</v>
      </c>
      <c r="H16470">
        <v>50129</v>
      </c>
      <c r="I16470" t="s">
        <v>30</v>
      </c>
      <c r="J16470" t="s">
        <v>31</v>
      </c>
      <c r="K16470" t="s">
        <v>5885</v>
      </c>
      <c r="N16470" t="s">
        <v>58286</v>
      </c>
      <c r="O16470" t="s">
        <v>58287</v>
      </c>
      <c r="Q16470">
        <v>0</v>
      </c>
      <c r="R16470">
        <v>73</v>
      </c>
      <c r="S16470">
        <v>0</v>
      </c>
      <c r="T16470" t="s">
        <v>58288</v>
      </c>
    </row>
    <row r="16471" spans="1:20" customFormat="1" ht="15" x14ac:dyDescent="0.25">
      <c r="A16471" t="s">
        <v>24</v>
      </c>
      <c r="B16471" t="s">
        <v>7220</v>
      </c>
      <c r="C16471" t="str">
        <f>"A0094752"</f>
        <v>A0094752</v>
      </c>
      <c r="D16471" t="s">
        <v>58289</v>
      </c>
      <c r="E16471" t="s">
        <v>58290</v>
      </c>
      <c r="F16471" t="s">
        <v>58291</v>
      </c>
      <c r="G16471" t="s">
        <v>52</v>
      </c>
      <c r="H16471">
        <v>79772</v>
      </c>
      <c r="I16471" t="s">
        <v>30</v>
      </c>
      <c r="J16471" t="s">
        <v>31</v>
      </c>
      <c r="K16471" t="s">
        <v>5885</v>
      </c>
      <c r="N16471" t="s">
        <v>58292</v>
      </c>
      <c r="O16471" t="s">
        <v>58293</v>
      </c>
      <c r="Q16471">
        <v>0</v>
      </c>
      <c r="R16471">
        <v>54</v>
      </c>
      <c r="S16471">
        <v>0</v>
      </c>
      <c r="T16471" t="s">
        <v>58294</v>
      </c>
    </row>
    <row r="16472" spans="1:20" customFormat="1" ht="15" x14ac:dyDescent="0.25">
      <c r="A16472" t="s">
        <v>24</v>
      </c>
      <c r="B16472" t="s">
        <v>7220</v>
      </c>
      <c r="C16472" t="str">
        <f>"A0165570"</f>
        <v>A0165570</v>
      </c>
      <c r="D16472" t="s">
        <v>58295</v>
      </c>
      <c r="E16472" t="s">
        <v>58296</v>
      </c>
      <c r="F16472" t="s">
        <v>372</v>
      </c>
      <c r="G16472" t="s">
        <v>161</v>
      </c>
      <c r="H16472">
        <v>55912</v>
      </c>
      <c r="I16472" t="s">
        <v>30</v>
      </c>
      <c r="J16472" t="s">
        <v>31</v>
      </c>
      <c r="K16472" t="s">
        <v>5885</v>
      </c>
      <c r="N16472" t="s">
        <v>58297</v>
      </c>
      <c r="Q16472">
        <v>0</v>
      </c>
      <c r="R16472">
        <v>66</v>
      </c>
      <c r="S16472">
        <v>0</v>
      </c>
      <c r="T16472" t="s">
        <v>58298</v>
      </c>
    </row>
    <row r="16473" spans="1:20" customFormat="1" ht="15" x14ac:dyDescent="0.25">
      <c r="A16473" t="s">
        <v>24</v>
      </c>
      <c r="B16473" t="s">
        <v>7220</v>
      </c>
      <c r="C16473" t="str">
        <f>"A0101208"</f>
        <v>A0101208</v>
      </c>
      <c r="D16473" t="s">
        <v>58299</v>
      </c>
      <c r="E16473" t="s">
        <v>58300</v>
      </c>
      <c r="F16473" t="s">
        <v>56834</v>
      </c>
      <c r="G16473" t="s">
        <v>71</v>
      </c>
      <c r="H16473">
        <v>53027</v>
      </c>
      <c r="I16473" t="s">
        <v>30</v>
      </c>
      <c r="J16473" t="s">
        <v>31</v>
      </c>
      <c r="K16473" t="s">
        <v>5885</v>
      </c>
      <c r="N16473" t="s">
        <v>58301</v>
      </c>
      <c r="Q16473">
        <v>0</v>
      </c>
      <c r="R16473">
        <v>60</v>
      </c>
      <c r="S16473">
        <v>0</v>
      </c>
      <c r="T16473" t="s">
        <v>58302</v>
      </c>
    </row>
    <row r="16474" spans="1:20" customFormat="1" ht="15" x14ac:dyDescent="0.25">
      <c r="A16474" t="s">
        <v>24</v>
      </c>
      <c r="B16474" t="s">
        <v>7220</v>
      </c>
      <c r="C16474" t="str">
        <f>"A0165572"</f>
        <v>A0165572</v>
      </c>
      <c r="D16474" t="s">
        <v>58303</v>
      </c>
      <c r="E16474" t="s">
        <v>58304</v>
      </c>
      <c r="F16474" t="s">
        <v>58305</v>
      </c>
      <c r="G16474" t="s">
        <v>71</v>
      </c>
      <c r="H16474">
        <v>54241</v>
      </c>
      <c r="I16474" t="s">
        <v>30</v>
      </c>
      <c r="J16474" t="s">
        <v>31</v>
      </c>
      <c r="K16474" t="s">
        <v>5885</v>
      </c>
      <c r="N16474" t="s">
        <v>58306</v>
      </c>
      <c r="O16474" t="s">
        <v>58307</v>
      </c>
      <c r="Q16474">
        <v>0</v>
      </c>
      <c r="R16474">
        <v>55</v>
      </c>
      <c r="S16474">
        <v>0</v>
      </c>
      <c r="T16474" t="s">
        <v>58308</v>
      </c>
    </row>
    <row r="16475" spans="1:20" customFormat="1" ht="15" x14ac:dyDescent="0.25">
      <c r="A16475" t="s">
        <v>24</v>
      </c>
      <c r="B16475" t="s">
        <v>7220</v>
      </c>
      <c r="C16475" t="str">
        <f>"A0094746"</f>
        <v>A0094746</v>
      </c>
      <c r="D16475" t="s">
        <v>58309</v>
      </c>
      <c r="E16475" t="s">
        <v>58310</v>
      </c>
      <c r="F16475" t="s">
        <v>58311</v>
      </c>
      <c r="G16475" t="s">
        <v>103</v>
      </c>
      <c r="H16475">
        <v>15003</v>
      </c>
      <c r="I16475" t="s">
        <v>30</v>
      </c>
      <c r="J16475" t="s">
        <v>31</v>
      </c>
      <c r="K16475" t="s">
        <v>5869</v>
      </c>
      <c r="N16475" t="s">
        <v>58312</v>
      </c>
      <c r="Q16475">
        <v>0</v>
      </c>
      <c r="R16475">
        <v>31</v>
      </c>
      <c r="S16475">
        <v>0</v>
      </c>
      <c r="T16475" t="s">
        <v>58313</v>
      </c>
    </row>
    <row r="16476" spans="1:20" customFormat="1" ht="15" x14ac:dyDescent="0.25">
      <c r="A16476" t="s">
        <v>24</v>
      </c>
      <c r="B16476" t="s">
        <v>7220</v>
      </c>
      <c r="C16476" t="str">
        <f>"A0094193"</f>
        <v>A0094193</v>
      </c>
      <c r="D16476" t="s">
        <v>58314</v>
      </c>
      <c r="E16476" t="s">
        <v>58315</v>
      </c>
      <c r="F16476" t="s">
        <v>58316</v>
      </c>
      <c r="G16476" t="s">
        <v>1898</v>
      </c>
      <c r="H16476">
        <v>51521</v>
      </c>
      <c r="I16476" t="s">
        <v>30</v>
      </c>
      <c r="J16476" t="s">
        <v>31</v>
      </c>
      <c r="K16476" t="s">
        <v>5869</v>
      </c>
      <c r="N16476" t="s">
        <v>58317</v>
      </c>
      <c r="O16476" t="s">
        <v>58254</v>
      </c>
      <c r="Q16476">
        <v>0</v>
      </c>
      <c r="R16476">
        <v>40</v>
      </c>
      <c r="S16476">
        <v>0</v>
      </c>
      <c r="T16476" t="s">
        <v>58318</v>
      </c>
    </row>
    <row r="16477" spans="1:20" customFormat="1" ht="15" x14ac:dyDescent="0.25">
      <c r="A16477" t="s">
        <v>24</v>
      </c>
      <c r="B16477" t="s">
        <v>7220</v>
      </c>
      <c r="C16477" t="str">
        <f>"A0094215"</f>
        <v>A0094215</v>
      </c>
      <c r="D16477" t="s">
        <v>58319</v>
      </c>
      <c r="E16477" t="s">
        <v>58320</v>
      </c>
      <c r="F16477" t="s">
        <v>58321</v>
      </c>
      <c r="G16477" t="s">
        <v>52</v>
      </c>
      <c r="H16477">
        <v>76932</v>
      </c>
      <c r="I16477" t="s">
        <v>30</v>
      </c>
      <c r="J16477" t="s">
        <v>31</v>
      </c>
      <c r="K16477" t="s">
        <v>5869</v>
      </c>
      <c r="N16477" t="s">
        <v>58322</v>
      </c>
      <c r="Q16477">
        <v>0</v>
      </c>
      <c r="R16477">
        <v>45</v>
      </c>
      <c r="S16477">
        <v>0</v>
      </c>
      <c r="T16477" t="s">
        <v>58323</v>
      </c>
    </row>
    <row r="16478" spans="1:20" customFormat="1" ht="15" x14ac:dyDescent="0.25">
      <c r="A16478" t="s">
        <v>24</v>
      </c>
      <c r="B16478" t="s">
        <v>7220</v>
      </c>
      <c r="C16478" t="str">
        <f>"A0094197"</f>
        <v>A0094197</v>
      </c>
      <c r="D16478" t="s">
        <v>58324</v>
      </c>
      <c r="E16478" t="s">
        <v>58325</v>
      </c>
      <c r="F16478" t="s">
        <v>58326</v>
      </c>
      <c r="G16478" t="s">
        <v>144</v>
      </c>
      <c r="H16478">
        <v>58318</v>
      </c>
      <c r="I16478" t="s">
        <v>30</v>
      </c>
      <c r="J16478" t="s">
        <v>31</v>
      </c>
      <c r="K16478" t="s">
        <v>5869</v>
      </c>
      <c r="N16478" t="s">
        <v>58327</v>
      </c>
      <c r="Q16478">
        <v>0</v>
      </c>
      <c r="R16478">
        <v>45</v>
      </c>
      <c r="S16478">
        <v>0</v>
      </c>
      <c r="T16478" t="s">
        <v>58328</v>
      </c>
    </row>
    <row r="16479" spans="1:20" customFormat="1" ht="15" x14ac:dyDescent="0.25">
      <c r="A16479" t="s">
        <v>24</v>
      </c>
      <c r="B16479" t="s">
        <v>7220</v>
      </c>
      <c r="C16479" t="str">
        <f>"A0101003"</f>
        <v>A0101003</v>
      </c>
      <c r="D16479" t="s">
        <v>58329</v>
      </c>
      <c r="E16479" t="s">
        <v>58330</v>
      </c>
      <c r="F16479" t="s">
        <v>58331</v>
      </c>
      <c r="G16479" t="s">
        <v>427</v>
      </c>
      <c r="H16479">
        <v>69339</v>
      </c>
      <c r="I16479" t="s">
        <v>30</v>
      </c>
      <c r="J16479" t="s">
        <v>31</v>
      </c>
      <c r="K16479" t="s">
        <v>5885</v>
      </c>
      <c r="N16479" t="s">
        <v>58332</v>
      </c>
      <c r="O16479" t="s">
        <v>58333</v>
      </c>
      <c r="Q16479">
        <v>0</v>
      </c>
      <c r="R16479">
        <v>35</v>
      </c>
      <c r="S16479">
        <v>0</v>
      </c>
      <c r="T16479" t="s">
        <v>58334</v>
      </c>
    </row>
    <row r="16480" spans="1:20" customFormat="1" ht="15" x14ac:dyDescent="0.25">
      <c r="A16480" t="s">
        <v>24</v>
      </c>
      <c r="B16480" t="s">
        <v>7220</v>
      </c>
      <c r="C16480" t="str">
        <f>"A0094501"</f>
        <v>A0094501</v>
      </c>
      <c r="D16480" t="s">
        <v>58335</v>
      </c>
      <c r="E16480" t="s">
        <v>58336</v>
      </c>
      <c r="F16480" t="s">
        <v>57308</v>
      </c>
      <c r="G16480" t="s">
        <v>427</v>
      </c>
      <c r="H16480">
        <v>69022</v>
      </c>
      <c r="I16480" t="s">
        <v>30</v>
      </c>
      <c r="J16480" t="s">
        <v>31</v>
      </c>
      <c r="K16480" t="s">
        <v>5869</v>
      </c>
      <c r="N16480" t="s">
        <v>58337</v>
      </c>
      <c r="O16480" t="s">
        <v>58338</v>
      </c>
      <c r="Q16480">
        <v>0</v>
      </c>
      <c r="R16480">
        <v>31</v>
      </c>
      <c r="S16480">
        <v>0</v>
      </c>
      <c r="T16480" t="s">
        <v>58339</v>
      </c>
    </row>
    <row r="16481" spans="1:20" customFormat="1" ht="15" x14ac:dyDescent="0.25">
      <c r="A16481" t="s">
        <v>24</v>
      </c>
      <c r="B16481" t="s">
        <v>7220</v>
      </c>
      <c r="C16481" t="str">
        <f>"A0094198"</f>
        <v>A0094198</v>
      </c>
      <c r="D16481" t="s">
        <v>58340</v>
      </c>
      <c r="E16481" t="s">
        <v>58341</v>
      </c>
      <c r="F16481" t="s">
        <v>58342</v>
      </c>
      <c r="G16481" t="s">
        <v>144</v>
      </c>
      <c r="H16481">
        <v>58421</v>
      </c>
      <c r="I16481" t="s">
        <v>30</v>
      </c>
      <c r="J16481" t="s">
        <v>31</v>
      </c>
      <c r="K16481" t="s">
        <v>5869</v>
      </c>
      <c r="N16481" t="s">
        <v>58343</v>
      </c>
      <c r="Q16481">
        <v>0</v>
      </c>
      <c r="R16481">
        <v>31</v>
      </c>
      <c r="S16481">
        <v>0</v>
      </c>
      <c r="T16481" t="s">
        <v>58344</v>
      </c>
    </row>
    <row r="16482" spans="1:20" customFormat="1" ht="15" x14ac:dyDescent="0.25">
      <c r="A16482" t="s">
        <v>24</v>
      </c>
      <c r="B16482" t="s">
        <v>7220</v>
      </c>
      <c r="C16482" t="str">
        <f>"A0094202"</f>
        <v>A0094202</v>
      </c>
      <c r="D16482" t="s">
        <v>58345</v>
      </c>
      <c r="E16482" t="s">
        <v>58346</v>
      </c>
      <c r="F16482" t="s">
        <v>58347</v>
      </c>
      <c r="G16482" t="s">
        <v>71</v>
      </c>
      <c r="H16482">
        <v>54929</v>
      </c>
      <c r="I16482" t="s">
        <v>30</v>
      </c>
      <c r="J16482" t="s">
        <v>31</v>
      </c>
      <c r="K16482" t="s">
        <v>5869</v>
      </c>
      <c r="N16482" t="s">
        <v>58348</v>
      </c>
      <c r="Q16482">
        <v>0</v>
      </c>
      <c r="R16482">
        <v>30</v>
      </c>
      <c r="S16482">
        <v>0</v>
      </c>
      <c r="T16482" t="s">
        <v>58349</v>
      </c>
    </row>
    <row r="16483" spans="1:20" customFormat="1" ht="15" x14ac:dyDescent="0.25">
      <c r="A16483" t="s">
        <v>24</v>
      </c>
      <c r="B16483" t="s">
        <v>7220</v>
      </c>
      <c r="C16483" t="str">
        <f>"A0094207"</f>
        <v>A0094207</v>
      </c>
      <c r="D16483" t="s">
        <v>58350</v>
      </c>
      <c r="E16483" t="s">
        <v>58351</v>
      </c>
      <c r="F16483" t="s">
        <v>58352</v>
      </c>
      <c r="G16483" t="s">
        <v>71</v>
      </c>
      <c r="H16483">
        <v>54736</v>
      </c>
      <c r="I16483" t="s">
        <v>30</v>
      </c>
      <c r="J16483" t="s">
        <v>31</v>
      </c>
      <c r="K16483" t="s">
        <v>5869</v>
      </c>
      <c r="N16483" t="s">
        <v>58353</v>
      </c>
      <c r="Q16483">
        <v>0</v>
      </c>
      <c r="R16483">
        <v>31</v>
      </c>
      <c r="S16483">
        <v>0</v>
      </c>
      <c r="T16483" t="s">
        <v>58354</v>
      </c>
    </row>
    <row r="16484" spans="1:20" customFormat="1" ht="15" x14ac:dyDescent="0.25">
      <c r="A16484" t="s">
        <v>24</v>
      </c>
      <c r="B16484" t="s">
        <v>7220</v>
      </c>
      <c r="C16484" t="str">
        <f>"A0094191"</f>
        <v>A0094191</v>
      </c>
      <c r="D16484" t="s">
        <v>58355</v>
      </c>
      <c r="E16484" t="s">
        <v>58356</v>
      </c>
      <c r="F16484" t="s">
        <v>58357</v>
      </c>
      <c r="G16484" t="s">
        <v>190</v>
      </c>
      <c r="H16484">
        <v>81036</v>
      </c>
      <c r="I16484" t="s">
        <v>30</v>
      </c>
      <c r="J16484" t="s">
        <v>31</v>
      </c>
      <c r="K16484" t="s">
        <v>5869</v>
      </c>
      <c r="N16484" t="s">
        <v>58358</v>
      </c>
      <c r="O16484" t="s">
        <v>58359</v>
      </c>
      <c r="Q16484">
        <v>0</v>
      </c>
      <c r="R16484">
        <v>33</v>
      </c>
      <c r="S16484">
        <v>0</v>
      </c>
      <c r="T16484" t="s">
        <v>58360</v>
      </c>
    </row>
    <row r="16485" spans="1:20" customFormat="1" ht="15" x14ac:dyDescent="0.25">
      <c r="A16485" t="s">
        <v>24</v>
      </c>
      <c r="B16485" t="s">
        <v>7220</v>
      </c>
      <c r="C16485" t="str">
        <f>"A0094195"</f>
        <v>A0094195</v>
      </c>
      <c r="D16485" t="s">
        <v>58361</v>
      </c>
      <c r="E16485" t="s">
        <v>58362</v>
      </c>
      <c r="F16485" t="s">
        <v>58363</v>
      </c>
      <c r="G16485" t="s">
        <v>427</v>
      </c>
      <c r="H16485">
        <v>68739</v>
      </c>
      <c r="I16485" t="s">
        <v>30</v>
      </c>
      <c r="J16485" t="s">
        <v>31</v>
      </c>
      <c r="K16485" t="s">
        <v>5869</v>
      </c>
      <c r="N16485" t="s">
        <v>58364</v>
      </c>
      <c r="Q16485">
        <v>0</v>
      </c>
      <c r="R16485">
        <v>29</v>
      </c>
      <c r="S16485">
        <v>0</v>
      </c>
      <c r="T16485" t="s">
        <v>58365</v>
      </c>
    </row>
    <row r="16486" spans="1:20" customFormat="1" ht="15" x14ac:dyDescent="0.25">
      <c r="A16486" t="s">
        <v>24</v>
      </c>
      <c r="B16486" t="s">
        <v>7220</v>
      </c>
      <c r="C16486" t="str">
        <f>"A0094199"</f>
        <v>A0094199</v>
      </c>
      <c r="D16486" t="s">
        <v>58366</v>
      </c>
      <c r="E16486" t="s">
        <v>58367</v>
      </c>
      <c r="F16486" t="s">
        <v>58368</v>
      </c>
      <c r="G16486" t="s">
        <v>144</v>
      </c>
      <c r="H16486">
        <v>58341</v>
      </c>
      <c r="I16486" t="s">
        <v>30</v>
      </c>
      <c r="J16486" t="s">
        <v>31</v>
      </c>
      <c r="K16486" t="s">
        <v>5869</v>
      </c>
      <c r="N16486" t="s">
        <v>58369</v>
      </c>
      <c r="Q16486">
        <v>0</v>
      </c>
      <c r="R16486">
        <v>36</v>
      </c>
      <c r="S16486">
        <v>0</v>
      </c>
      <c r="T16486" t="s">
        <v>58370</v>
      </c>
    </row>
    <row r="16487" spans="1:20" customFormat="1" ht="15" x14ac:dyDescent="0.25">
      <c r="A16487" t="s">
        <v>24</v>
      </c>
      <c r="B16487" t="s">
        <v>7220</v>
      </c>
      <c r="C16487" t="str">
        <f>"A0094222"</f>
        <v>A0094222</v>
      </c>
      <c r="D16487" t="s">
        <v>58371</v>
      </c>
      <c r="E16487" t="s">
        <v>58372</v>
      </c>
      <c r="F16487" t="s">
        <v>58373</v>
      </c>
      <c r="G16487" t="s">
        <v>190</v>
      </c>
      <c r="H16487">
        <v>80644</v>
      </c>
      <c r="I16487" t="s">
        <v>30</v>
      </c>
      <c r="J16487" t="s">
        <v>31</v>
      </c>
      <c r="K16487" t="s">
        <v>5869</v>
      </c>
      <c r="N16487" t="s">
        <v>58374</v>
      </c>
      <c r="Q16487">
        <v>0</v>
      </c>
      <c r="R16487">
        <v>43</v>
      </c>
      <c r="S16487">
        <v>0</v>
      </c>
      <c r="T16487" t="s">
        <v>58375</v>
      </c>
    </row>
    <row r="16488" spans="1:20" customFormat="1" ht="15" x14ac:dyDescent="0.25">
      <c r="A16488" t="s">
        <v>24</v>
      </c>
      <c r="B16488" t="s">
        <v>5865</v>
      </c>
      <c r="C16488" t="str">
        <f>"A0149404"</f>
        <v>A0149404</v>
      </c>
      <c r="D16488" t="s">
        <v>58376</v>
      </c>
      <c r="E16488" t="s">
        <v>58377</v>
      </c>
      <c r="F16488" t="s">
        <v>58378</v>
      </c>
      <c r="G16488" t="s">
        <v>1898</v>
      </c>
      <c r="H16488">
        <v>51450</v>
      </c>
      <c r="I16488" t="s">
        <v>30</v>
      </c>
      <c r="J16488" t="s">
        <v>31</v>
      </c>
      <c r="K16488" t="s">
        <v>5869</v>
      </c>
      <c r="N16488" t="s">
        <v>58379</v>
      </c>
      <c r="Q16488">
        <v>0</v>
      </c>
      <c r="R16488">
        <v>32</v>
      </c>
      <c r="S16488">
        <v>0</v>
      </c>
      <c r="T16488" t="s">
        <v>58380</v>
      </c>
    </row>
    <row r="16489" spans="1:20" customFormat="1" ht="15" x14ac:dyDescent="0.25">
      <c r="A16489" t="s">
        <v>24</v>
      </c>
      <c r="B16489" t="s">
        <v>7220</v>
      </c>
      <c r="C16489" t="str">
        <f>"A0094500"</f>
        <v>A0094500</v>
      </c>
      <c r="D16489" t="s">
        <v>58381</v>
      </c>
      <c r="E16489" t="s">
        <v>58382</v>
      </c>
      <c r="F16489" t="s">
        <v>58383</v>
      </c>
      <c r="G16489" t="s">
        <v>144</v>
      </c>
      <c r="H16489">
        <v>58552</v>
      </c>
      <c r="I16489" t="s">
        <v>30</v>
      </c>
      <c r="J16489" t="s">
        <v>31</v>
      </c>
      <c r="K16489" t="s">
        <v>5869</v>
      </c>
      <c r="N16489" t="s">
        <v>58384</v>
      </c>
      <c r="Q16489">
        <v>0</v>
      </c>
      <c r="R16489">
        <v>31</v>
      </c>
      <c r="S16489">
        <v>0</v>
      </c>
      <c r="T16489" t="s">
        <v>58385</v>
      </c>
    </row>
    <row r="16490" spans="1:20" customFormat="1" ht="15" x14ac:dyDescent="0.25">
      <c r="A16490" t="s">
        <v>24</v>
      </c>
      <c r="B16490" t="s">
        <v>7220</v>
      </c>
      <c r="C16490" t="str">
        <f>"A0094192"</f>
        <v>A0094192</v>
      </c>
      <c r="D16490" t="s">
        <v>58386</v>
      </c>
      <c r="E16490" t="s">
        <v>58387</v>
      </c>
      <c r="F16490" t="s">
        <v>33383</v>
      </c>
      <c r="G16490" t="s">
        <v>1898</v>
      </c>
      <c r="H16490">
        <v>52158</v>
      </c>
      <c r="I16490" t="s">
        <v>30</v>
      </c>
      <c r="J16490" t="s">
        <v>31</v>
      </c>
      <c r="K16490" t="s">
        <v>5869</v>
      </c>
      <c r="N16490" t="s">
        <v>58388</v>
      </c>
      <c r="Q16490">
        <v>0</v>
      </c>
      <c r="R16490">
        <v>54</v>
      </c>
      <c r="S16490">
        <v>0</v>
      </c>
      <c r="T16490" t="s">
        <v>58389</v>
      </c>
    </row>
    <row r="16491" spans="1:20" customFormat="1" ht="15" x14ac:dyDescent="0.25">
      <c r="A16491" t="s">
        <v>24</v>
      </c>
      <c r="B16491" t="s">
        <v>7220</v>
      </c>
      <c r="C16491" t="str">
        <f>"A0094200"</f>
        <v>A0094200</v>
      </c>
      <c r="D16491" t="s">
        <v>58390</v>
      </c>
      <c r="E16491" t="s">
        <v>58391</v>
      </c>
      <c r="F16491" t="s">
        <v>58392</v>
      </c>
      <c r="G16491" t="s">
        <v>144</v>
      </c>
      <c r="H16491">
        <v>58368</v>
      </c>
      <c r="I16491" t="s">
        <v>30</v>
      </c>
      <c r="J16491" t="s">
        <v>31</v>
      </c>
      <c r="K16491" t="s">
        <v>5869</v>
      </c>
      <c r="N16491" t="s">
        <v>58393</v>
      </c>
      <c r="Q16491">
        <v>0</v>
      </c>
      <c r="R16491">
        <v>36</v>
      </c>
      <c r="S16491">
        <v>0</v>
      </c>
      <c r="T16491" t="s">
        <v>58394</v>
      </c>
    </row>
    <row r="16492" spans="1:20" customFormat="1" ht="15" x14ac:dyDescent="0.25">
      <c r="A16492" t="s">
        <v>24</v>
      </c>
      <c r="B16492" t="s">
        <v>7220</v>
      </c>
      <c r="C16492" t="str">
        <f>"A0094220"</f>
        <v>A0094220</v>
      </c>
      <c r="D16492" t="s">
        <v>58395</v>
      </c>
      <c r="E16492" t="s">
        <v>58396</v>
      </c>
      <c r="F16492" t="s">
        <v>58397</v>
      </c>
      <c r="G16492" t="s">
        <v>144</v>
      </c>
      <c r="H16492">
        <v>58482</v>
      </c>
      <c r="I16492" t="s">
        <v>30</v>
      </c>
      <c r="J16492" t="s">
        <v>31</v>
      </c>
      <c r="K16492" t="s">
        <v>5869</v>
      </c>
      <c r="N16492" t="s">
        <v>58398</v>
      </c>
      <c r="Q16492">
        <v>0</v>
      </c>
      <c r="R16492">
        <v>31</v>
      </c>
      <c r="S16492">
        <v>0</v>
      </c>
      <c r="T16492" t="s">
        <v>58399</v>
      </c>
    </row>
    <row r="16493" spans="1:20" customFormat="1" ht="15" x14ac:dyDescent="0.25">
      <c r="A16493" t="s">
        <v>24</v>
      </c>
      <c r="B16493" t="s">
        <v>7220</v>
      </c>
      <c r="C16493" t="str">
        <f>"A0094755"</f>
        <v>A0094755</v>
      </c>
      <c r="D16493" t="s">
        <v>58400</v>
      </c>
      <c r="E16493" t="s">
        <v>58401</v>
      </c>
      <c r="F16493" t="s">
        <v>58402</v>
      </c>
      <c r="G16493" t="s">
        <v>1898</v>
      </c>
      <c r="H16493">
        <v>50677</v>
      </c>
      <c r="I16493" t="s">
        <v>30</v>
      </c>
      <c r="J16493" t="s">
        <v>31</v>
      </c>
      <c r="K16493" t="s">
        <v>5869</v>
      </c>
      <c r="N16493" t="s">
        <v>58403</v>
      </c>
      <c r="Q16493">
        <v>0</v>
      </c>
      <c r="R16493">
        <v>45</v>
      </c>
      <c r="S16493">
        <v>0</v>
      </c>
      <c r="T16493" t="s">
        <v>58404</v>
      </c>
    </row>
    <row r="16494" spans="1:20" customFormat="1" ht="15" x14ac:dyDescent="0.25">
      <c r="A16494" t="s">
        <v>24</v>
      </c>
      <c r="B16494" t="s">
        <v>7220</v>
      </c>
      <c r="C16494" t="str">
        <f>"A0094190"</f>
        <v>A0094190</v>
      </c>
      <c r="D16494" t="s">
        <v>58405</v>
      </c>
      <c r="E16494" t="s">
        <v>58406</v>
      </c>
      <c r="F16494" t="s">
        <v>58407</v>
      </c>
      <c r="G16494" t="s">
        <v>190</v>
      </c>
      <c r="H16494">
        <v>80758</v>
      </c>
      <c r="I16494" t="s">
        <v>30</v>
      </c>
      <c r="J16494" t="s">
        <v>31</v>
      </c>
      <c r="K16494" t="s">
        <v>5869</v>
      </c>
      <c r="N16494" t="s">
        <v>58408</v>
      </c>
      <c r="Q16494">
        <v>0</v>
      </c>
      <c r="R16494">
        <v>35</v>
      </c>
      <c r="S16494">
        <v>0</v>
      </c>
      <c r="T16494" t="s">
        <v>58409</v>
      </c>
    </row>
    <row r="16495" spans="1:20" customFormat="1" ht="15" x14ac:dyDescent="0.25">
      <c r="A16495" t="s">
        <v>24</v>
      </c>
      <c r="B16495" t="s">
        <v>58410</v>
      </c>
      <c r="C16495" t="str">
        <f>"A0096877"</f>
        <v>A0096877</v>
      </c>
      <c r="D16495" t="s">
        <v>58411</v>
      </c>
      <c r="E16495" t="s">
        <v>58412</v>
      </c>
      <c r="F16495" t="s">
        <v>58413</v>
      </c>
      <c r="G16495" t="s">
        <v>289</v>
      </c>
      <c r="H16495">
        <v>62411</v>
      </c>
      <c r="I16495" t="s">
        <v>30</v>
      </c>
      <c r="J16495" t="s">
        <v>31</v>
      </c>
      <c r="K16495" t="s">
        <v>5885</v>
      </c>
      <c r="N16495" t="s">
        <v>58414</v>
      </c>
      <c r="Q16495">
        <v>0</v>
      </c>
      <c r="R16495">
        <v>37</v>
      </c>
      <c r="S16495">
        <v>0</v>
      </c>
      <c r="T16495" t="s">
        <v>58415</v>
      </c>
    </row>
    <row r="16496" spans="1:20" customFormat="1" ht="15" x14ac:dyDescent="0.25">
      <c r="A16496" t="s">
        <v>24</v>
      </c>
      <c r="B16496" t="s">
        <v>5865</v>
      </c>
      <c r="C16496" t="str">
        <f>"A0155919"</f>
        <v>A0155919</v>
      </c>
      <c r="D16496" t="s">
        <v>58416</v>
      </c>
      <c r="E16496" t="s">
        <v>58417</v>
      </c>
      <c r="F16496" t="s">
        <v>3897</v>
      </c>
      <c r="G16496" t="s">
        <v>1898</v>
      </c>
      <c r="H16496">
        <v>50036</v>
      </c>
      <c r="I16496" t="s">
        <v>30</v>
      </c>
      <c r="J16496" t="s">
        <v>31</v>
      </c>
      <c r="K16496" t="s">
        <v>5869</v>
      </c>
      <c r="N16496" t="s">
        <v>58418</v>
      </c>
      <c r="Q16496">
        <v>0</v>
      </c>
      <c r="R16496">
        <v>40</v>
      </c>
      <c r="S16496">
        <v>0</v>
      </c>
      <c r="T16496" t="s">
        <v>58419</v>
      </c>
    </row>
    <row r="16497" spans="1:20" customFormat="1" ht="15" x14ac:dyDescent="0.25">
      <c r="A16497" t="s">
        <v>24</v>
      </c>
      <c r="B16497" t="s">
        <v>7220</v>
      </c>
      <c r="C16497" t="str">
        <f>"A0165573"</f>
        <v>A0165573</v>
      </c>
      <c r="D16497" t="s">
        <v>58420</v>
      </c>
      <c r="E16497" t="s">
        <v>58421</v>
      </c>
      <c r="F16497" t="s">
        <v>58422</v>
      </c>
      <c r="G16497" t="s">
        <v>1898</v>
      </c>
      <c r="H16497">
        <v>50436</v>
      </c>
      <c r="I16497" t="s">
        <v>30</v>
      </c>
      <c r="J16497" t="s">
        <v>31</v>
      </c>
      <c r="K16497" t="s">
        <v>5869</v>
      </c>
      <c r="N16497" t="s">
        <v>58423</v>
      </c>
      <c r="O16497" t="s">
        <v>58424</v>
      </c>
      <c r="Q16497">
        <v>0</v>
      </c>
      <c r="R16497">
        <v>43</v>
      </c>
      <c r="S16497">
        <v>0</v>
      </c>
      <c r="T16497" t="s">
        <v>58425</v>
      </c>
    </row>
    <row r="16498" spans="1:20" customFormat="1" ht="15" x14ac:dyDescent="0.25">
      <c r="A16498" t="s">
        <v>24</v>
      </c>
      <c r="B16498" t="s">
        <v>7220</v>
      </c>
      <c r="C16498" t="str">
        <f>"A0165571"</f>
        <v>A0165571</v>
      </c>
      <c r="D16498" t="s">
        <v>58426</v>
      </c>
      <c r="E16498" t="s">
        <v>58427</v>
      </c>
      <c r="F16498" t="s">
        <v>58428</v>
      </c>
      <c r="G16498" t="s">
        <v>427</v>
      </c>
      <c r="H16498">
        <v>68949</v>
      </c>
      <c r="I16498" t="s">
        <v>30</v>
      </c>
      <c r="J16498" t="s">
        <v>31</v>
      </c>
      <c r="K16498" t="s">
        <v>5869</v>
      </c>
      <c r="N16498" t="s">
        <v>58429</v>
      </c>
      <c r="Q16498">
        <v>0</v>
      </c>
      <c r="R16498">
        <v>45</v>
      </c>
      <c r="S16498">
        <v>0</v>
      </c>
      <c r="T16498" t="s">
        <v>58430</v>
      </c>
    </row>
    <row r="16499" spans="1:20" customFormat="1" ht="15" x14ac:dyDescent="0.25">
      <c r="A16499" t="s">
        <v>24</v>
      </c>
      <c r="B16499" t="s">
        <v>5865</v>
      </c>
      <c r="C16499" t="str">
        <f>"A0148824"</f>
        <v>A0148824</v>
      </c>
      <c r="D16499" t="s">
        <v>58431</v>
      </c>
      <c r="E16499" t="s">
        <v>58432</v>
      </c>
      <c r="F16499" t="s">
        <v>8542</v>
      </c>
      <c r="G16499" t="s">
        <v>1898</v>
      </c>
      <c r="H16499">
        <v>52057</v>
      </c>
      <c r="I16499" t="s">
        <v>30</v>
      </c>
      <c r="J16499" t="s">
        <v>31</v>
      </c>
      <c r="K16499" t="s">
        <v>5869</v>
      </c>
      <c r="N16499" t="s">
        <v>58433</v>
      </c>
      <c r="Q16499">
        <v>0</v>
      </c>
      <c r="R16499">
        <v>32</v>
      </c>
      <c r="S16499">
        <v>0</v>
      </c>
      <c r="T16499" t="s">
        <v>58434</v>
      </c>
    </row>
    <row r="16500" spans="1:20" customFormat="1" ht="15" x14ac:dyDescent="0.25">
      <c r="A16500" t="s">
        <v>24</v>
      </c>
      <c r="B16500" t="s">
        <v>5865</v>
      </c>
      <c r="C16500" t="str">
        <f>"A0154124"</f>
        <v>A0154124</v>
      </c>
      <c r="D16500" t="s">
        <v>58435</v>
      </c>
      <c r="E16500" t="s">
        <v>58436</v>
      </c>
      <c r="F16500" t="s">
        <v>58437</v>
      </c>
      <c r="G16500" t="s">
        <v>1898</v>
      </c>
      <c r="H16500">
        <v>51455</v>
      </c>
      <c r="I16500" t="s">
        <v>30</v>
      </c>
      <c r="J16500" t="s">
        <v>31</v>
      </c>
      <c r="K16500" t="s">
        <v>5885</v>
      </c>
      <c r="N16500" t="s">
        <v>58438</v>
      </c>
      <c r="Q16500">
        <v>0</v>
      </c>
      <c r="R16500">
        <v>32</v>
      </c>
      <c r="S16500">
        <v>0</v>
      </c>
      <c r="T16500" t="s">
        <v>58439</v>
      </c>
    </row>
    <row r="16501" spans="1:20" customFormat="1" ht="15" x14ac:dyDescent="0.25">
      <c r="A16501" t="s">
        <v>24</v>
      </c>
      <c r="B16501" t="s">
        <v>7220</v>
      </c>
      <c r="C16501" t="str">
        <f>"A0099989"</f>
        <v>A0099989</v>
      </c>
      <c r="D16501" t="s">
        <v>58440</v>
      </c>
      <c r="E16501" t="s">
        <v>58441</v>
      </c>
      <c r="F16501" t="s">
        <v>58442</v>
      </c>
      <c r="G16501" t="s">
        <v>71</v>
      </c>
      <c r="H16501">
        <v>54751</v>
      </c>
      <c r="I16501" t="s">
        <v>30</v>
      </c>
      <c r="J16501" t="s">
        <v>31</v>
      </c>
      <c r="K16501" t="s">
        <v>5885</v>
      </c>
      <c r="N16501" t="s">
        <v>58443</v>
      </c>
      <c r="Q16501">
        <v>0</v>
      </c>
      <c r="R16501">
        <v>51</v>
      </c>
      <c r="S16501">
        <v>0</v>
      </c>
      <c r="T16501" t="s">
        <v>58444</v>
      </c>
    </row>
    <row r="16502" spans="1:20" customFormat="1" ht="15" x14ac:dyDescent="0.25">
      <c r="A16502" t="s">
        <v>24</v>
      </c>
      <c r="B16502" t="s">
        <v>7220</v>
      </c>
      <c r="C16502" t="str">
        <f>"A0094645"</f>
        <v>A0094645</v>
      </c>
      <c r="D16502" t="s">
        <v>58445</v>
      </c>
      <c r="E16502" t="s">
        <v>58446</v>
      </c>
      <c r="F16502" t="s">
        <v>58447</v>
      </c>
      <c r="G16502" t="s">
        <v>1898</v>
      </c>
      <c r="H16502">
        <v>50273</v>
      </c>
      <c r="I16502" t="s">
        <v>30</v>
      </c>
      <c r="J16502" t="s">
        <v>31</v>
      </c>
      <c r="K16502" t="s">
        <v>5869</v>
      </c>
      <c r="N16502" t="s">
        <v>58448</v>
      </c>
      <c r="O16502" t="s">
        <v>3486</v>
      </c>
      <c r="Q16502">
        <v>0</v>
      </c>
      <c r="R16502">
        <v>39</v>
      </c>
      <c r="S16502">
        <v>0</v>
      </c>
      <c r="T16502" t="s">
        <v>58449</v>
      </c>
    </row>
    <row r="16503" spans="1:20" customFormat="1" ht="15" x14ac:dyDescent="0.25">
      <c r="A16503" t="s">
        <v>24</v>
      </c>
      <c r="B16503" t="s">
        <v>7220</v>
      </c>
      <c r="C16503" t="str">
        <f>"A0087650"</f>
        <v>A0087650</v>
      </c>
      <c r="D16503" t="s">
        <v>58450</v>
      </c>
      <c r="E16503" t="s">
        <v>58451</v>
      </c>
      <c r="F16503" t="s">
        <v>33439</v>
      </c>
      <c r="G16503" t="s">
        <v>71</v>
      </c>
      <c r="H16503">
        <v>54904</v>
      </c>
      <c r="I16503" t="s">
        <v>30</v>
      </c>
      <c r="J16503" t="s">
        <v>31</v>
      </c>
      <c r="K16503" t="s">
        <v>5869</v>
      </c>
      <c r="N16503" t="s">
        <v>58452</v>
      </c>
      <c r="Q16503">
        <v>0</v>
      </c>
      <c r="R16503">
        <v>79</v>
      </c>
      <c r="S16503">
        <v>0</v>
      </c>
      <c r="T16503" t="s">
        <v>58453</v>
      </c>
    </row>
    <row r="16504" spans="1:20" customFormat="1" ht="15" x14ac:dyDescent="0.25">
      <c r="A16504" t="s">
        <v>24</v>
      </c>
      <c r="B16504" t="s">
        <v>8850</v>
      </c>
      <c r="C16504" t="str">
        <f>"A0094130"</f>
        <v>A0094130</v>
      </c>
      <c r="D16504" t="s">
        <v>58454</v>
      </c>
      <c r="E16504" t="s">
        <v>58455</v>
      </c>
      <c r="F16504" t="s">
        <v>58456</v>
      </c>
      <c r="G16504" t="s">
        <v>81</v>
      </c>
      <c r="H16504">
        <v>33070</v>
      </c>
      <c r="I16504" t="s">
        <v>30</v>
      </c>
      <c r="J16504" t="s">
        <v>31</v>
      </c>
      <c r="K16504" t="s">
        <v>163</v>
      </c>
      <c r="N16504" t="s">
        <v>58457</v>
      </c>
      <c r="Q16504">
        <v>0</v>
      </c>
      <c r="R16504">
        <v>18</v>
      </c>
      <c r="S16504">
        <v>0</v>
      </c>
      <c r="T16504" t="s">
        <v>58458</v>
      </c>
    </row>
    <row r="16505" spans="1:20" customFormat="1" ht="15" x14ac:dyDescent="0.25">
      <c r="A16505" t="s">
        <v>24</v>
      </c>
      <c r="B16505" t="s">
        <v>58459</v>
      </c>
      <c r="C16505" t="str">
        <f>"A0060039"</f>
        <v>A0060039</v>
      </c>
      <c r="D16505" t="s">
        <v>58460</v>
      </c>
      <c r="E16505" t="s">
        <v>58461</v>
      </c>
      <c r="F16505" t="s">
        <v>13767</v>
      </c>
      <c r="G16505" t="s">
        <v>4815</v>
      </c>
      <c r="H16505">
        <v>96815</v>
      </c>
      <c r="I16505" t="s">
        <v>30</v>
      </c>
      <c r="J16505" t="s">
        <v>31</v>
      </c>
      <c r="K16505" t="s">
        <v>163</v>
      </c>
      <c r="N16505" t="s">
        <v>58462</v>
      </c>
      <c r="O16505" t="s">
        <v>58463</v>
      </c>
      <c r="Q16505">
        <v>0</v>
      </c>
      <c r="R16505">
        <v>81</v>
      </c>
      <c r="S16505">
        <v>0</v>
      </c>
      <c r="T16505" t="s">
        <v>58464</v>
      </c>
    </row>
    <row r="16506" spans="1:20" customFormat="1" ht="15" x14ac:dyDescent="0.25">
      <c r="A16506" t="s">
        <v>24</v>
      </c>
      <c r="B16506" t="s">
        <v>54986</v>
      </c>
      <c r="C16506" t="str">
        <f>"A0158103"</f>
        <v>A0158103</v>
      </c>
      <c r="D16506" t="s">
        <v>58465</v>
      </c>
      <c r="E16506" t="s">
        <v>58466</v>
      </c>
      <c r="F16506" t="s">
        <v>58467</v>
      </c>
      <c r="G16506" t="s">
        <v>103</v>
      </c>
      <c r="H16506">
        <v>18428</v>
      </c>
      <c r="I16506" t="s">
        <v>30</v>
      </c>
      <c r="J16506" t="s">
        <v>1004</v>
      </c>
      <c r="K16506" t="s">
        <v>163</v>
      </c>
      <c r="N16506" t="s">
        <v>58468</v>
      </c>
      <c r="O16506" t="s">
        <v>58469</v>
      </c>
      <c r="Q16506">
        <v>0</v>
      </c>
      <c r="R16506">
        <v>0</v>
      </c>
      <c r="S16506">
        <v>0</v>
      </c>
      <c r="T16506" t="s">
        <v>58470</v>
      </c>
    </row>
    <row r="16507" spans="1:20" customFormat="1" ht="15" x14ac:dyDescent="0.25">
      <c r="A16507" t="s">
        <v>24</v>
      </c>
      <c r="B16507" t="s">
        <v>675</v>
      </c>
      <c r="C16507" t="str">
        <f>"A0069054"</f>
        <v>A0069054</v>
      </c>
      <c r="D16507" t="s">
        <v>76726</v>
      </c>
      <c r="E16507" t="s">
        <v>76727</v>
      </c>
      <c r="F16507" t="s">
        <v>2069</v>
      </c>
      <c r="G16507" t="s">
        <v>1170</v>
      </c>
      <c r="H16507">
        <v>70130</v>
      </c>
      <c r="I16507" t="s">
        <v>30</v>
      </c>
      <c r="J16507" t="s">
        <v>162</v>
      </c>
      <c r="K16507" t="s">
        <v>1490</v>
      </c>
      <c r="N16507" t="s">
        <v>76728</v>
      </c>
      <c r="O16507" t="s">
        <v>76729</v>
      </c>
      <c r="Q16507">
        <v>0</v>
      </c>
      <c r="R16507">
        <v>331</v>
      </c>
      <c r="S16507">
        <v>0</v>
      </c>
      <c r="T16507" t="s">
        <v>76730</v>
      </c>
    </row>
    <row r="16508" spans="1:20" customFormat="1" ht="15" x14ac:dyDescent="0.25">
      <c r="A16508" t="s">
        <v>24</v>
      </c>
      <c r="B16508" t="s">
        <v>675</v>
      </c>
      <c r="C16508" t="str">
        <f>"614CW"</f>
        <v>614CW</v>
      </c>
      <c r="D16508" t="s">
        <v>58476</v>
      </c>
      <c r="E16508" t="s">
        <v>58477</v>
      </c>
      <c r="F16508" t="s">
        <v>58478</v>
      </c>
      <c r="G16508" t="s">
        <v>123</v>
      </c>
      <c r="H16508">
        <v>20783</v>
      </c>
      <c r="I16508" t="s">
        <v>30</v>
      </c>
      <c r="J16508" t="s">
        <v>7657</v>
      </c>
      <c r="K16508" t="s">
        <v>57369</v>
      </c>
      <c r="N16508" t="s">
        <v>58479</v>
      </c>
      <c r="O16508" t="s">
        <v>58480</v>
      </c>
      <c r="Q16508">
        <v>0</v>
      </c>
      <c r="R16508">
        <v>237</v>
      </c>
      <c r="S16508">
        <v>0</v>
      </c>
      <c r="T16508" t="s">
        <v>58481</v>
      </c>
    </row>
    <row r="16509" spans="1:20" hidden="1" x14ac:dyDescent="0.25">
      <c r="A16509" s="3" t="s">
        <v>24</v>
      </c>
      <c r="B16509" s="3" t="s">
        <v>675</v>
      </c>
      <c r="C16509" s="3" t="str">
        <f>"A0157480"</f>
        <v>A0157480</v>
      </c>
      <c r="D16509" s="3" t="s">
        <v>58482</v>
      </c>
      <c r="E16509" s="3" t="s">
        <v>58483</v>
      </c>
      <c r="F16509" s="3" t="s">
        <v>58484</v>
      </c>
      <c r="G16509" s="3" t="s">
        <v>58485</v>
      </c>
      <c r="I16509" s="3" t="s">
        <v>58486</v>
      </c>
      <c r="J16509" s="3" t="s">
        <v>206</v>
      </c>
      <c r="K16509" s="3" t="s">
        <v>58487</v>
      </c>
      <c r="N16509" s="3" t="s">
        <v>58488</v>
      </c>
      <c r="Q16509" s="3">
        <v>0</v>
      </c>
      <c r="R16509" s="3">
        <v>96</v>
      </c>
      <c r="S16509" s="3">
        <v>0</v>
      </c>
      <c r="T16509" s="3" t="s">
        <v>58489</v>
      </c>
    </row>
    <row r="16510" spans="1:20" customFormat="1" ht="15" x14ac:dyDescent="0.25">
      <c r="A16510" t="s">
        <v>24</v>
      </c>
      <c r="B16510" t="s">
        <v>2221</v>
      </c>
      <c r="C16510" t="str">
        <f>"33710"</f>
        <v>33710</v>
      </c>
      <c r="D16510" t="s">
        <v>76747</v>
      </c>
      <c r="E16510" t="s">
        <v>76748</v>
      </c>
      <c r="F16510" t="s">
        <v>76749</v>
      </c>
      <c r="G16510" t="s">
        <v>99</v>
      </c>
      <c r="H16510">
        <v>11369</v>
      </c>
      <c r="I16510" t="s">
        <v>30</v>
      </c>
      <c r="J16510" t="s">
        <v>162</v>
      </c>
      <c r="K16510" t="s">
        <v>1490</v>
      </c>
      <c r="N16510" t="s">
        <v>76750</v>
      </c>
      <c r="O16510" t="s">
        <v>76751</v>
      </c>
      <c r="Q16510">
        <v>0</v>
      </c>
      <c r="R16510">
        <v>443</v>
      </c>
      <c r="S16510">
        <v>0</v>
      </c>
      <c r="T16510" t="s">
        <v>76752</v>
      </c>
    </row>
    <row r="16511" spans="1:20" customFormat="1" ht="15" x14ac:dyDescent="0.25">
      <c r="A16511" t="s">
        <v>24</v>
      </c>
      <c r="B16511" t="s">
        <v>1528</v>
      </c>
      <c r="C16511" t="str">
        <f>"A0091978"</f>
        <v>A0091978</v>
      </c>
      <c r="D16511" t="s">
        <v>58495</v>
      </c>
      <c r="E16511" t="s">
        <v>58496</v>
      </c>
      <c r="F16511" t="s">
        <v>2900</v>
      </c>
      <c r="G16511" t="s">
        <v>76</v>
      </c>
      <c r="H16511">
        <v>98121</v>
      </c>
      <c r="I16511" t="s">
        <v>30</v>
      </c>
      <c r="J16511" t="s">
        <v>191</v>
      </c>
      <c r="K16511" t="s">
        <v>11889</v>
      </c>
      <c r="N16511" t="s">
        <v>58497</v>
      </c>
      <c r="Q16511">
        <v>0</v>
      </c>
      <c r="R16511">
        <v>0</v>
      </c>
      <c r="S16511">
        <v>0</v>
      </c>
      <c r="T16511" t="s">
        <v>58498</v>
      </c>
    </row>
    <row r="16512" spans="1:20" customFormat="1" ht="15" x14ac:dyDescent="0.25">
      <c r="A16512" t="s">
        <v>24</v>
      </c>
      <c r="B16512" t="s">
        <v>675</v>
      </c>
      <c r="C16512" t="str">
        <f>"337C7"</f>
        <v>337C7</v>
      </c>
      <c r="D16512" t="s">
        <v>76753</v>
      </c>
      <c r="E16512" t="s">
        <v>76754</v>
      </c>
      <c r="F16512" t="s">
        <v>997</v>
      </c>
      <c r="G16512" t="s">
        <v>99</v>
      </c>
      <c r="H16512">
        <v>10006</v>
      </c>
      <c r="I16512" t="s">
        <v>30</v>
      </c>
      <c r="J16512" t="s">
        <v>162</v>
      </c>
      <c r="K16512" t="s">
        <v>1490</v>
      </c>
      <c r="N16512" t="s">
        <v>76755</v>
      </c>
      <c r="O16512" t="s">
        <v>76756</v>
      </c>
      <c r="Q16512">
        <v>0</v>
      </c>
      <c r="R16512">
        <v>496</v>
      </c>
      <c r="S16512">
        <v>0</v>
      </c>
      <c r="T16512" t="s">
        <v>76757</v>
      </c>
    </row>
    <row r="16513" spans="1:20" customFormat="1" ht="15" x14ac:dyDescent="0.25">
      <c r="A16513" t="s">
        <v>24</v>
      </c>
      <c r="B16513" t="s">
        <v>2360</v>
      </c>
      <c r="C16513" t="str">
        <f>"CL0454"</f>
        <v>CL0454</v>
      </c>
      <c r="D16513" t="s">
        <v>58503</v>
      </c>
      <c r="E16513" t="s">
        <v>58504</v>
      </c>
      <c r="F16513" t="s">
        <v>2900</v>
      </c>
      <c r="G16513" t="s">
        <v>76</v>
      </c>
      <c r="H16513">
        <v>98104</v>
      </c>
      <c r="I16513" t="s">
        <v>30</v>
      </c>
      <c r="J16513" t="s">
        <v>2558</v>
      </c>
      <c r="K16513" t="s">
        <v>56092</v>
      </c>
      <c r="N16513" t="s">
        <v>58505</v>
      </c>
      <c r="O16513" t="s">
        <v>58506</v>
      </c>
      <c r="Q16513">
        <v>0</v>
      </c>
      <c r="R16513">
        <v>0</v>
      </c>
      <c r="S16513">
        <v>0</v>
      </c>
      <c r="T16513" t="s">
        <v>58507</v>
      </c>
    </row>
    <row r="16514" spans="1:20" customFormat="1" ht="15" x14ac:dyDescent="0.25">
      <c r="A16514" t="s">
        <v>24</v>
      </c>
      <c r="B16514" t="s">
        <v>675</v>
      </c>
      <c r="C16514" t="str">
        <f>"33789"</f>
        <v>33789</v>
      </c>
      <c r="D16514" t="s">
        <v>76758</v>
      </c>
      <c r="E16514" t="s">
        <v>76759</v>
      </c>
      <c r="F16514" t="s">
        <v>997</v>
      </c>
      <c r="G16514" t="s">
        <v>99</v>
      </c>
      <c r="H16514">
        <v>10036</v>
      </c>
      <c r="I16514" t="s">
        <v>30</v>
      </c>
      <c r="J16514" t="s">
        <v>162</v>
      </c>
      <c r="K16514" t="s">
        <v>1490</v>
      </c>
      <c r="N16514" t="s">
        <v>76760</v>
      </c>
      <c r="O16514" t="s">
        <v>76761</v>
      </c>
      <c r="Q16514">
        <v>0</v>
      </c>
      <c r="R16514">
        <v>1946</v>
      </c>
      <c r="S16514">
        <v>0</v>
      </c>
      <c r="T16514" t="s">
        <v>76762</v>
      </c>
    </row>
    <row r="16515" spans="1:20" customFormat="1" ht="15" hidden="1" x14ac:dyDescent="0.25">
      <c r="A16515" t="s">
        <v>24</v>
      </c>
      <c r="B16515" t="s">
        <v>2202</v>
      </c>
      <c r="C16515" t="str">
        <f>"A0068816"</f>
        <v>A0068816</v>
      </c>
      <c r="D16515" t="s">
        <v>58513</v>
      </c>
      <c r="E16515" t="s">
        <v>58514</v>
      </c>
      <c r="F16515" t="s">
        <v>58515</v>
      </c>
      <c r="G16515" t="s">
        <v>2206</v>
      </c>
      <c r="H16515" t="s">
        <v>58516</v>
      </c>
      <c r="I16515" t="s">
        <v>1459</v>
      </c>
      <c r="J16515" t="s">
        <v>31</v>
      </c>
      <c r="K16515" t="s">
        <v>296</v>
      </c>
      <c r="N16515" t="s">
        <v>58517</v>
      </c>
      <c r="O16515" t="s">
        <v>58518</v>
      </c>
      <c r="Q16515">
        <v>0</v>
      </c>
      <c r="R16515">
        <v>127</v>
      </c>
      <c r="S16515">
        <v>0</v>
      </c>
      <c r="T16515" t="s">
        <v>58519</v>
      </c>
    </row>
    <row r="16516" spans="1:20" customFormat="1" ht="15" hidden="1" x14ac:dyDescent="0.25">
      <c r="A16516" t="s">
        <v>24</v>
      </c>
      <c r="B16516" t="s">
        <v>2202</v>
      </c>
      <c r="C16516" t="str">
        <f>"A0154015"</f>
        <v>A0154015</v>
      </c>
      <c r="D16516" t="s">
        <v>58520</v>
      </c>
      <c r="E16516" t="s">
        <v>58521</v>
      </c>
      <c r="F16516" t="s">
        <v>58522</v>
      </c>
      <c r="G16516" t="s">
        <v>58523</v>
      </c>
      <c r="H16516" t="s">
        <v>58524</v>
      </c>
      <c r="I16516" t="s">
        <v>1459</v>
      </c>
      <c r="J16516" t="s">
        <v>31</v>
      </c>
      <c r="K16516" t="s">
        <v>296</v>
      </c>
      <c r="N16516" t="s">
        <v>58525</v>
      </c>
      <c r="Q16516">
        <v>0</v>
      </c>
      <c r="R16516">
        <v>78</v>
      </c>
      <c r="S16516">
        <v>0</v>
      </c>
      <c r="T16516" t="s">
        <v>58526</v>
      </c>
    </row>
    <row r="16517" spans="1:20" customFormat="1" ht="15" hidden="1" x14ac:dyDescent="0.25">
      <c r="A16517" t="s">
        <v>24</v>
      </c>
      <c r="B16517" t="s">
        <v>2202</v>
      </c>
      <c r="C16517" t="str">
        <f>"A0068876"</f>
        <v>A0068876</v>
      </c>
      <c r="D16517" t="s">
        <v>58527</v>
      </c>
      <c r="E16517" t="s">
        <v>58528</v>
      </c>
      <c r="F16517" t="s">
        <v>58529</v>
      </c>
      <c r="G16517" t="s">
        <v>5439</v>
      </c>
      <c r="H16517" t="s">
        <v>58530</v>
      </c>
      <c r="I16517" t="s">
        <v>1459</v>
      </c>
      <c r="J16517" t="s">
        <v>31</v>
      </c>
      <c r="K16517" t="s">
        <v>296</v>
      </c>
      <c r="N16517" t="s">
        <v>58531</v>
      </c>
      <c r="Q16517">
        <v>0</v>
      </c>
      <c r="R16517">
        <v>81</v>
      </c>
      <c r="S16517">
        <v>0</v>
      </c>
      <c r="T16517" t="s">
        <v>58532</v>
      </c>
    </row>
    <row r="16518" spans="1:20" customFormat="1" ht="15" hidden="1" x14ac:dyDescent="0.25">
      <c r="A16518" t="s">
        <v>24</v>
      </c>
      <c r="B16518" t="s">
        <v>2202</v>
      </c>
      <c r="C16518" t="str">
        <f>"A0068824"</f>
        <v>A0068824</v>
      </c>
      <c r="D16518" t="s">
        <v>58533</v>
      </c>
      <c r="E16518" t="s">
        <v>58534</v>
      </c>
      <c r="F16518" t="s">
        <v>58535</v>
      </c>
      <c r="G16518" t="s">
        <v>2206</v>
      </c>
      <c r="H16518" t="s">
        <v>58536</v>
      </c>
      <c r="I16518" t="s">
        <v>1459</v>
      </c>
      <c r="J16518" t="s">
        <v>31</v>
      </c>
      <c r="K16518" t="s">
        <v>296</v>
      </c>
      <c r="N16518" t="s">
        <v>58537</v>
      </c>
      <c r="O16518" t="s">
        <v>58538</v>
      </c>
      <c r="Q16518">
        <v>0</v>
      </c>
      <c r="R16518">
        <v>62</v>
      </c>
      <c r="S16518">
        <v>0</v>
      </c>
      <c r="T16518" t="s">
        <v>58539</v>
      </c>
    </row>
    <row r="16519" spans="1:20" customFormat="1" ht="15" hidden="1" x14ac:dyDescent="0.25">
      <c r="A16519" t="s">
        <v>24</v>
      </c>
      <c r="B16519" t="s">
        <v>2202</v>
      </c>
      <c r="C16519" t="str">
        <f>"A0068806"</f>
        <v>A0068806</v>
      </c>
      <c r="D16519" t="s">
        <v>58540</v>
      </c>
      <c r="E16519" t="s">
        <v>58541</v>
      </c>
      <c r="F16519" t="s">
        <v>58542</v>
      </c>
      <c r="G16519" t="s">
        <v>11118</v>
      </c>
      <c r="H16519" t="s">
        <v>58543</v>
      </c>
      <c r="I16519" t="s">
        <v>1459</v>
      </c>
      <c r="J16519" t="s">
        <v>31</v>
      </c>
      <c r="K16519" t="s">
        <v>296</v>
      </c>
      <c r="N16519" t="s">
        <v>58544</v>
      </c>
      <c r="Q16519">
        <v>0</v>
      </c>
      <c r="R16519">
        <v>80</v>
      </c>
      <c r="S16519">
        <v>0</v>
      </c>
      <c r="T16519" t="s">
        <v>58545</v>
      </c>
    </row>
    <row r="16520" spans="1:20" customFormat="1" ht="15" hidden="1" x14ac:dyDescent="0.25">
      <c r="A16520" t="s">
        <v>24</v>
      </c>
      <c r="B16520" t="s">
        <v>2202</v>
      </c>
      <c r="C16520" t="str">
        <f>"A0068877"</f>
        <v>A0068877</v>
      </c>
      <c r="D16520" t="s">
        <v>58546</v>
      </c>
      <c r="E16520" t="s">
        <v>58547</v>
      </c>
      <c r="F16520" t="s">
        <v>58548</v>
      </c>
      <c r="G16520" t="s">
        <v>5439</v>
      </c>
      <c r="H16520" t="s">
        <v>58549</v>
      </c>
      <c r="I16520" t="s">
        <v>1459</v>
      </c>
      <c r="J16520" t="s">
        <v>31</v>
      </c>
      <c r="K16520" t="s">
        <v>296</v>
      </c>
      <c r="N16520" t="s">
        <v>58550</v>
      </c>
      <c r="Q16520">
        <v>0</v>
      </c>
      <c r="R16520">
        <v>59</v>
      </c>
      <c r="S16520">
        <v>0</v>
      </c>
      <c r="T16520" t="s">
        <v>58551</v>
      </c>
    </row>
    <row r="16521" spans="1:20" customFormat="1" ht="15" hidden="1" x14ac:dyDescent="0.25">
      <c r="A16521" t="s">
        <v>24</v>
      </c>
      <c r="B16521" t="s">
        <v>2202</v>
      </c>
      <c r="C16521" t="str">
        <f>"A0068825"</f>
        <v>A0068825</v>
      </c>
      <c r="D16521" t="s">
        <v>58552</v>
      </c>
      <c r="E16521" t="s">
        <v>58553</v>
      </c>
      <c r="F16521" t="s">
        <v>58554</v>
      </c>
      <c r="G16521" t="s">
        <v>2206</v>
      </c>
      <c r="H16521" t="s">
        <v>58555</v>
      </c>
      <c r="I16521" t="s">
        <v>1459</v>
      </c>
      <c r="J16521" t="s">
        <v>31</v>
      </c>
      <c r="K16521" t="s">
        <v>296</v>
      </c>
      <c r="N16521" t="s">
        <v>58556</v>
      </c>
      <c r="Q16521">
        <v>0</v>
      </c>
      <c r="R16521">
        <v>62</v>
      </c>
      <c r="S16521">
        <v>0</v>
      </c>
      <c r="T16521" t="s">
        <v>58557</v>
      </c>
    </row>
    <row r="16522" spans="1:20" customFormat="1" ht="15" hidden="1" x14ac:dyDescent="0.25">
      <c r="A16522" t="s">
        <v>24</v>
      </c>
      <c r="B16522" t="s">
        <v>2202</v>
      </c>
      <c r="C16522" t="str">
        <f>"A0068800"</f>
        <v>A0068800</v>
      </c>
      <c r="D16522" t="s">
        <v>58558</v>
      </c>
      <c r="E16522" t="s">
        <v>58559</v>
      </c>
      <c r="F16522" t="s">
        <v>58560</v>
      </c>
      <c r="G16522" t="s">
        <v>15270</v>
      </c>
      <c r="H16522" t="s">
        <v>58561</v>
      </c>
      <c r="I16522" t="s">
        <v>1459</v>
      </c>
      <c r="J16522" t="s">
        <v>31</v>
      </c>
      <c r="K16522" t="s">
        <v>296</v>
      </c>
      <c r="N16522" t="s">
        <v>58562</v>
      </c>
      <c r="Q16522">
        <v>0</v>
      </c>
      <c r="R16522">
        <v>81</v>
      </c>
      <c r="S16522">
        <v>0</v>
      </c>
      <c r="T16522" t="s">
        <v>58563</v>
      </c>
    </row>
    <row r="16523" spans="1:20" customFormat="1" ht="15" hidden="1" x14ac:dyDescent="0.25">
      <c r="A16523" t="s">
        <v>24</v>
      </c>
      <c r="B16523" t="s">
        <v>2202</v>
      </c>
      <c r="C16523" t="str">
        <f>"A0068801"</f>
        <v>A0068801</v>
      </c>
      <c r="D16523" t="s">
        <v>58564</v>
      </c>
      <c r="E16523" t="s">
        <v>58565</v>
      </c>
      <c r="F16523" t="s">
        <v>58566</v>
      </c>
      <c r="G16523" t="s">
        <v>15270</v>
      </c>
      <c r="H16523" t="s">
        <v>58567</v>
      </c>
      <c r="I16523" t="s">
        <v>1459</v>
      </c>
      <c r="J16523" t="s">
        <v>31</v>
      </c>
      <c r="K16523" t="s">
        <v>296</v>
      </c>
      <c r="N16523" t="s">
        <v>58568</v>
      </c>
      <c r="O16523" t="s">
        <v>58569</v>
      </c>
      <c r="Q16523">
        <v>0</v>
      </c>
      <c r="R16523">
        <v>59</v>
      </c>
      <c r="S16523">
        <v>0</v>
      </c>
      <c r="T16523" t="s">
        <v>58570</v>
      </c>
    </row>
    <row r="16524" spans="1:20" customFormat="1" ht="15" hidden="1" x14ac:dyDescent="0.25">
      <c r="A16524" t="s">
        <v>24</v>
      </c>
      <c r="B16524" t="s">
        <v>2202</v>
      </c>
      <c r="C16524" t="str">
        <f>"A0068780"</f>
        <v>A0068780</v>
      </c>
      <c r="D16524" t="s">
        <v>58571</v>
      </c>
      <c r="E16524" t="s">
        <v>58572</v>
      </c>
      <c r="F16524" t="s">
        <v>58573</v>
      </c>
      <c r="G16524" t="s">
        <v>5439</v>
      </c>
      <c r="H16524" t="s">
        <v>58574</v>
      </c>
      <c r="I16524" t="s">
        <v>1459</v>
      </c>
      <c r="J16524" t="s">
        <v>31</v>
      </c>
      <c r="K16524" t="s">
        <v>296</v>
      </c>
      <c r="N16524" t="s">
        <v>58575</v>
      </c>
      <c r="Q16524">
        <v>0</v>
      </c>
      <c r="R16524">
        <v>81</v>
      </c>
      <c r="S16524">
        <v>0</v>
      </c>
      <c r="T16524" t="s">
        <v>58576</v>
      </c>
    </row>
    <row r="16525" spans="1:20" customFormat="1" ht="15" hidden="1" x14ac:dyDescent="0.25">
      <c r="A16525" t="s">
        <v>24</v>
      </c>
      <c r="B16525" t="s">
        <v>2202</v>
      </c>
      <c r="C16525" t="str">
        <f>"A0068810"</f>
        <v>A0068810</v>
      </c>
      <c r="D16525" t="s">
        <v>58577</v>
      </c>
      <c r="E16525" t="s">
        <v>58578</v>
      </c>
      <c r="F16525" t="s">
        <v>58579</v>
      </c>
      <c r="G16525" t="s">
        <v>53283</v>
      </c>
      <c r="H16525" t="s">
        <v>58580</v>
      </c>
      <c r="I16525" t="s">
        <v>1459</v>
      </c>
      <c r="J16525" t="s">
        <v>31</v>
      </c>
      <c r="K16525" t="s">
        <v>296</v>
      </c>
      <c r="N16525" t="s">
        <v>58581</v>
      </c>
      <c r="Q16525">
        <v>0</v>
      </c>
      <c r="R16525">
        <v>62</v>
      </c>
      <c r="S16525">
        <v>0</v>
      </c>
      <c r="T16525" t="s">
        <v>58582</v>
      </c>
    </row>
    <row r="16526" spans="1:20" customFormat="1" ht="15" hidden="1" x14ac:dyDescent="0.25">
      <c r="A16526" t="s">
        <v>24</v>
      </c>
      <c r="B16526" t="s">
        <v>2202</v>
      </c>
      <c r="C16526" t="str">
        <f>"A0068828"</f>
        <v>A0068828</v>
      </c>
      <c r="D16526" t="s">
        <v>58583</v>
      </c>
      <c r="E16526" t="s">
        <v>58584</v>
      </c>
      <c r="F16526" t="s">
        <v>58585</v>
      </c>
      <c r="G16526" t="s">
        <v>2206</v>
      </c>
      <c r="H16526" t="s">
        <v>58586</v>
      </c>
      <c r="I16526" t="s">
        <v>1459</v>
      </c>
      <c r="J16526" t="s">
        <v>31</v>
      </c>
      <c r="K16526" t="s">
        <v>296</v>
      </c>
      <c r="N16526" t="s">
        <v>58587</v>
      </c>
      <c r="Q16526">
        <v>0</v>
      </c>
      <c r="R16526">
        <v>60</v>
      </c>
      <c r="S16526">
        <v>0</v>
      </c>
      <c r="T16526" t="s">
        <v>58588</v>
      </c>
    </row>
    <row r="16527" spans="1:20" customFormat="1" ht="15" hidden="1" x14ac:dyDescent="0.25">
      <c r="A16527" t="s">
        <v>24</v>
      </c>
      <c r="B16527" t="s">
        <v>2202</v>
      </c>
      <c r="C16527" t="str">
        <f>"A0068832"</f>
        <v>A0068832</v>
      </c>
      <c r="D16527" t="s">
        <v>58589</v>
      </c>
      <c r="E16527" t="s">
        <v>58590</v>
      </c>
      <c r="F16527" t="s">
        <v>58591</v>
      </c>
      <c r="G16527" t="s">
        <v>2206</v>
      </c>
      <c r="H16527" t="s">
        <v>58592</v>
      </c>
      <c r="I16527" t="s">
        <v>1459</v>
      </c>
      <c r="J16527" t="s">
        <v>31</v>
      </c>
      <c r="K16527" t="s">
        <v>296</v>
      </c>
      <c r="N16527" t="s">
        <v>58593</v>
      </c>
      <c r="Q16527">
        <v>0</v>
      </c>
      <c r="R16527">
        <v>77</v>
      </c>
      <c r="S16527">
        <v>0</v>
      </c>
      <c r="T16527" t="s">
        <v>58594</v>
      </c>
    </row>
    <row r="16528" spans="1:20" customFormat="1" ht="15" x14ac:dyDescent="0.25">
      <c r="A16528" t="s">
        <v>24</v>
      </c>
      <c r="B16528" t="s">
        <v>58595</v>
      </c>
      <c r="C16528" t="str">
        <f>"A0098184"</f>
        <v>A0098184</v>
      </c>
      <c r="D16528" t="s">
        <v>58596</v>
      </c>
      <c r="E16528" t="s">
        <v>58597</v>
      </c>
      <c r="F16528" t="s">
        <v>58598</v>
      </c>
      <c r="G16528" t="s">
        <v>81</v>
      </c>
      <c r="H16528">
        <v>34746</v>
      </c>
      <c r="I16528" t="s">
        <v>30</v>
      </c>
      <c r="J16528" t="s">
        <v>31</v>
      </c>
      <c r="K16528" t="s">
        <v>296</v>
      </c>
      <c r="N16528" t="s">
        <v>58599</v>
      </c>
      <c r="Q16528">
        <v>0</v>
      </c>
      <c r="R16528">
        <v>63</v>
      </c>
      <c r="S16528">
        <v>0</v>
      </c>
      <c r="T16528" t="s">
        <v>58600</v>
      </c>
    </row>
    <row r="16529" spans="1:20" customFormat="1" ht="15" hidden="1" x14ac:dyDescent="0.25">
      <c r="A16529" t="s">
        <v>24</v>
      </c>
      <c r="B16529" t="s">
        <v>2202</v>
      </c>
      <c r="C16529" t="str">
        <f>"A0154016"</f>
        <v>A0154016</v>
      </c>
      <c r="D16529" t="s">
        <v>58601</v>
      </c>
      <c r="E16529" t="s">
        <v>58602</v>
      </c>
      <c r="F16529" t="s">
        <v>58603</v>
      </c>
      <c r="G16529" t="s">
        <v>5439</v>
      </c>
      <c r="H16529" t="s">
        <v>58604</v>
      </c>
      <c r="I16529" t="s">
        <v>1459</v>
      </c>
      <c r="J16529" t="s">
        <v>31</v>
      </c>
      <c r="K16529" t="s">
        <v>296</v>
      </c>
      <c r="N16529" t="s">
        <v>58605</v>
      </c>
      <c r="Q16529">
        <v>0</v>
      </c>
      <c r="R16529">
        <v>119</v>
      </c>
      <c r="S16529">
        <v>0</v>
      </c>
      <c r="T16529" t="s">
        <v>58606</v>
      </c>
    </row>
    <row r="16530" spans="1:20" customFormat="1" ht="15" hidden="1" x14ac:dyDescent="0.25">
      <c r="A16530" t="s">
        <v>24</v>
      </c>
      <c r="B16530" t="s">
        <v>2202</v>
      </c>
      <c r="C16530" t="str">
        <f>"A0068851"</f>
        <v>A0068851</v>
      </c>
      <c r="D16530" t="s">
        <v>58607</v>
      </c>
      <c r="E16530" t="s">
        <v>58608</v>
      </c>
      <c r="F16530" t="s">
        <v>58609</v>
      </c>
      <c r="G16530" t="s">
        <v>2206</v>
      </c>
      <c r="H16530" t="s">
        <v>58610</v>
      </c>
      <c r="I16530" t="s">
        <v>1459</v>
      </c>
      <c r="J16530" t="s">
        <v>31</v>
      </c>
      <c r="K16530" t="s">
        <v>296</v>
      </c>
      <c r="N16530" t="s">
        <v>58611</v>
      </c>
      <c r="Q16530">
        <v>0</v>
      </c>
      <c r="R16530">
        <v>108</v>
      </c>
      <c r="S16530">
        <v>0</v>
      </c>
      <c r="T16530" t="s">
        <v>58612</v>
      </c>
    </row>
    <row r="16531" spans="1:20" customFormat="1" ht="15" hidden="1" x14ac:dyDescent="0.25">
      <c r="A16531" t="s">
        <v>24</v>
      </c>
      <c r="B16531" t="s">
        <v>2202</v>
      </c>
      <c r="C16531" t="str">
        <f>"A0068886"</f>
        <v>A0068886</v>
      </c>
      <c r="D16531" t="s">
        <v>58613</v>
      </c>
      <c r="E16531" t="s">
        <v>58614</v>
      </c>
      <c r="F16531" t="s">
        <v>58615</v>
      </c>
      <c r="G16531" t="s">
        <v>38009</v>
      </c>
      <c r="H16531" t="s">
        <v>58616</v>
      </c>
      <c r="I16531" t="s">
        <v>1459</v>
      </c>
      <c r="J16531" t="s">
        <v>31</v>
      </c>
      <c r="K16531" t="s">
        <v>296</v>
      </c>
      <c r="N16531" t="s">
        <v>58617</v>
      </c>
      <c r="O16531" t="s">
        <v>58618</v>
      </c>
      <c r="Q16531">
        <v>0</v>
      </c>
      <c r="R16531">
        <v>62</v>
      </c>
      <c r="S16531">
        <v>0</v>
      </c>
      <c r="T16531" t="s">
        <v>58619</v>
      </c>
    </row>
    <row r="16532" spans="1:20" customFormat="1" ht="15" hidden="1" x14ac:dyDescent="0.25">
      <c r="A16532" t="s">
        <v>24</v>
      </c>
      <c r="B16532" t="s">
        <v>2202</v>
      </c>
      <c r="C16532" t="str">
        <f>"A0068852"</f>
        <v>A0068852</v>
      </c>
      <c r="D16532" t="s">
        <v>58620</v>
      </c>
      <c r="E16532" t="s">
        <v>58621</v>
      </c>
      <c r="F16532" t="s">
        <v>58622</v>
      </c>
      <c r="G16532" t="s">
        <v>2206</v>
      </c>
      <c r="H16532" t="s">
        <v>58623</v>
      </c>
      <c r="I16532" t="s">
        <v>1459</v>
      </c>
      <c r="J16532" t="s">
        <v>31</v>
      </c>
      <c r="K16532" t="s">
        <v>296</v>
      </c>
      <c r="N16532" t="s">
        <v>58624</v>
      </c>
      <c r="Q16532">
        <v>0</v>
      </c>
      <c r="R16532">
        <v>82</v>
      </c>
      <c r="S16532">
        <v>0</v>
      </c>
      <c r="T16532" t="s">
        <v>58625</v>
      </c>
    </row>
    <row r="16533" spans="1:20" customFormat="1" ht="15" hidden="1" x14ac:dyDescent="0.25">
      <c r="A16533" t="s">
        <v>24</v>
      </c>
      <c r="B16533" t="s">
        <v>2202</v>
      </c>
      <c r="C16533" t="str">
        <f>"A0068881"</f>
        <v>A0068881</v>
      </c>
      <c r="D16533" t="s">
        <v>58626</v>
      </c>
      <c r="E16533" t="s">
        <v>58627</v>
      </c>
      <c r="F16533" t="s">
        <v>58628</v>
      </c>
      <c r="G16533" t="s">
        <v>5439</v>
      </c>
      <c r="H16533" t="s">
        <v>58629</v>
      </c>
      <c r="I16533" t="s">
        <v>1459</v>
      </c>
      <c r="J16533" t="s">
        <v>31</v>
      </c>
      <c r="K16533" t="s">
        <v>296</v>
      </c>
      <c r="N16533" t="s">
        <v>58630</v>
      </c>
      <c r="O16533" t="s">
        <v>58631</v>
      </c>
      <c r="Q16533">
        <v>0</v>
      </c>
      <c r="R16533">
        <v>61</v>
      </c>
      <c r="S16533">
        <v>0</v>
      </c>
      <c r="T16533" t="s">
        <v>58632</v>
      </c>
    </row>
    <row r="16534" spans="1:20" customFormat="1" ht="15" hidden="1" x14ac:dyDescent="0.25">
      <c r="A16534" t="s">
        <v>24</v>
      </c>
      <c r="B16534" t="s">
        <v>2202</v>
      </c>
      <c r="C16534" t="str">
        <f>"A0068856"</f>
        <v>A0068856</v>
      </c>
      <c r="D16534" t="s">
        <v>58633</v>
      </c>
      <c r="E16534" t="s">
        <v>58634</v>
      </c>
      <c r="F16534" t="s">
        <v>4851</v>
      </c>
      <c r="G16534" t="s">
        <v>2206</v>
      </c>
      <c r="H16534" t="s">
        <v>58635</v>
      </c>
      <c r="I16534" t="s">
        <v>1459</v>
      </c>
      <c r="J16534" t="s">
        <v>31</v>
      </c>
      <c r="K16534" t="s">
        <v>296</v>
      </c>
      <c r="N16534" t="s">
        <v>58636</v>
      </c>
      <c r="Q16534">
        <v>0</v>
      </c>
      <c r="R16534">
        <v>80</v>
      </c>
      <c r="S16534">
        <v>0</v>
      </c>
      <c r="T16534" t="s">
        <v>58637</v>
      </c>
    </row>
    <row r="16535" spans="1:20" customFormat="1" ht="15" hidden="1" x14ac:dyDescent="0.25">
      <c r="A16535" t="s">
        <v>24</v>
      </c>
      <c r="B16535" t="s">
        <v>2202</v>
      </c>
      <c r="C16535" t="str">
        <f>"A0068891"</f>
        <v>A0068891</v>
      </c>
      <c r="D16535" t="s">
        <v>58638</v>
      </c>
      <c r="E16535" t="s">
        <v>58639</v>
      </c>
      <c r="F16535" t="s">
        <v>58640</v>
      </c>
      <c r="G16535" t="s">
        <v>38009</v>
      </c>
      <c r="H16535" t="s">
        <v>58641</v>
      </c>
      <c r="I16535" t="s">
        <v>1459</v>
      </c>
      <c r="J16535" t="s">
        <v>31</v>
      </c>
      <c r="K16535" t="s">
        <v>296</v>
      </c>
      <c r="N16535" t="s">
        <v>58642</v>
      </c>
      <c r="Q16535">
        <v>0</v>
      </c>
      <c r="R16535">
        <v>74</v>
      </c>
      <c r="S16535">
        <v>0</v>
      </c>
      <c r="T16535" t="s">
        <v>58643</v>
      </c>
    </row>
    <row r="16536" spans="1:20" customFormat="1" ht="15" hidden="1" x14ac:dyDescent="0.25">
      <c r="A16536" t="s">
        <v>24</v>
      </c>
      <c r="B16536" t="s">
        <v>2202</v>
      </c>
      <c r="C16536" t="str">
        <f>"A0068811"</f>
        <v>A0068811</v>
      </c>
      <c r="D16536" t="s">
        <v>58644</v>
      </c>
      <c r="E16536" t="s">
        <v>58645</v>
      </c>
      <c r="F16536" t="s">
        <v>58646</v>
      </c>
      <c r="G16536" t="s">
        <v>53283</v>
      </c>
      <c r="H16536" t="s">
        <v>58647</v>
      </c>
      <c r="I16536" t="s">
        <v>1459</v>
      </c>
      <c r="J16536" t="s">
        <v>31</v>
      </c>
      <c r="K16536" t="s">
        <v>296</v>
      </c>
      <c r="N16536" t="s">
        <v>58648</v>
      </c>
      <c r="Q16536">
        <v>0</v>
      </c>
      <c r="R16536">
        <v>62</v>
      </c>
      <c r="S16536">
        <v>0</v>
      </c>
      <c r="T16536" t="s">
        <v>58649</v>
      </c>
    </row>
    <row r="16537" spans="1:20" customFormat="1" ht="15" hidden="1" x14ac:dyDescent="0.25">
      <c r="A16537" t="s">
        <v>24</v>
      </c>
      <c r="B16537" t="s">
        <v>2202</v>
      </c>
      <c r="C16537" t="str">
        <f>"A0068883"</f>
        <v>A0068883</v>
      </c>
      <c r="D16537" t="s">
        <v>58650</v>
      </c>
      <c r="E16537" t="s">
        <v>58651</v>
      </c>
      <c r="F16537" t="s">
        <v>58652</v>
      </c>
      <c r="G16537" t="s">
        <v>5439</v>
      </c>
      <c r="H16537" t="s">
        <v>58653</v>
      </c>
      <c r="I16537" t="s">
        <v>1459</v>
      </c>
      <c r="J16537" t="s">
        <v>31</v>
      </c>
      <c r="K16537" t="s">
        <v>296</v>
      </c>
      <c r="N16537" t="s">
        <v>58654</v>
      </c>
      <c r="Q16537">
        <v>0</v>
      </c>
      <c r="R16537">
        <v>63</v>
      </c>
      <c r="S16537">
        <v>0</v>
      </c>
      <c r="T16537" t="s">
        <v>58655</v>
      </c>
    </row>
    <row r="16538" spans="1:20" customFormat="1" ht="15" hidden="1" x14ac:dyDescent="0.25">
      <c r="A16538" t="s">
        <v>24</v>
      </c>
      <c r="B16538" t="s">
        <v>2202</v>
      </c>
      <c r="C16538" t="str">
        <f>"A0068859"</f>
        <v>A0068859</v>
      </c>
      <c r="D16538" t="s">
        <v>58656</v>
      </c>
      <c r="E16538" t="s">
        <v>58657</v>
      </c>
      <c r="F16538" t="s">
        <v>55657</v>
      </c>
      <c r="G16538" t="s">
        <v>2206</v>
      </c>
      <c r="H16538" t="s">
        <v>58658</v>
      </c>
      <c r="I16538" t="s">
        <v>1459</v>
      </c>
      <c r="J16538" t="s">
        <v>31</v>
      </c>
      <c r="K16538" t="s">
        <v>296</v>
      </c>
      <c r="N16538" t="s">
        <v>58659</v>
      </c>
      <c r="O16538" t="s">
        <v>58660</v>
      </c>
      <c r="Q16538">
        <v>0</v>
      </c>
      <c r="R16538">
        <v>80</v>
      </c>
      <c r="S16538">
        <v>0</v>
      </c>
      <c r="T16538" t="s">
        <v>58661</v>
      </c>
    </row>
    <row r="16539" spans="1:20" customFormat="1" ht="15" hidden="1" x14ac:dyDescent="0.25">
      <c r="A16539" t="s">
        <v>24</v>
      </c>
      <c r="B16539" t="s">
        <v>2202</v>
      </c>
      <c r="C16539" t="str">
        <f>"A0068860"</f>
        <v>A0068860</v>
      </c>
      <c r="D16539" t="s">
        <v>58662</v>
      </c>
      <c r="E16539" t="s">
        <v>58663</v>
      </c>
      <c r="F16539" t="s">
        <v>58664</v>
      </c>
      <c r="G16539" t="s">
        <v>2206</v>
      </c>
      <c r="H16539" t="s">
        <v>58665</v>
      </c>
      <c r="I16539" t="s">
        <v>1459</v>
      </c>
      <c r="J16539" t="s">
        <v>31</v>
      </c>
      <c r="K16539" t="s">
        <v>296</v>
      </c>
      <c r="N16539" t="s">
        <v>58666</v>
      </c>
      <c r="Q16539">
        <v>0</v>
      </c>
      <c r="R16539">
        <v>81</v>
      </c>
      <c r="S16539">
        <v>0</v>
      </c>
      <c r="T16539" t="s">
        <v>58667</v>
      </c>
    </row>
    <row r="16540" spans="1:20" customFormat="1" ht="15" hidden="1" x14ac:dyDescent="0.25">
      <c r="A16540" t="s">
        <v>24</v>
      </c>
      <c r="B16540" t="s">
        <v>2202</v>
      </c>
      <c r="C16540" t="str">
        <f>"A0068812"</f>
        <v>A0068812</v>
      </c>
      <c r="D16540" t="s">
        <v>58668</v>
      </c>
      <c r="E16540" t="s">
        <v>58669</v>
      </c>
      <c r="F16540" t="s">
        <v>58670</v>
      </c>
      <c r="G16540" t="s">
        <v>53283</v>
      </c>
      <c r="H16540" t="s">
        <v>58671</v>
      </c>
      <c r="I16540" t="s">
        <v>1459</v>
      </c>
      <c r="J16540" t="s">
        <v>31</v>
      </c>
      <c r="K16540" t="s">
        <v>296</v>
      </c>
      <c r="N16540" t="s">
        <v>58672</v>
      </c>
      <c r="Q16540">
        <v>0</v>
      </c>
      <c r="R16540">
        <v>81</v>
      </c>
      <c r="S16540">
        <v>0</v>
      </c>
      <c r="T16540" t="s">
        <v>58673</v>
      </c>
    </row>
    <row r="16541" spans="1:20" customFormat="1" ht="15" x14ac:dyDescent="0.25">
      <c r="A16541" t="s">
        <v>24</v>
      </c>
      <c r="B16541" t="s">
        <v>2180</v>
      </c>
      <c r="C16541" t="str">
        <f>"A0098443"</f>
        <v>A0098443</v>
      </c>
      <c r="D16541" t="s">
        <v>58674</v>
      </c>
      <c r="E16541" t="s">
        <v>58675</v>
      </c>
      <c r="F16541" t="s">
        <v>4894</v>
      </c>
      <c r="G16541" t="s">
        <v>1369</v>
      </c>
      <c r="H16541">
        <v>38804</v>
      </c>
      <c r="I16541" t="s">
        <v>30</v>
      </c>
      <c r="J16541" t="s">
        <v>31</v>
      </c>
      <c r="K16541" t="s">
        <v>296</v>
      </c>
      <c r="N16541" t="s">
        <v>58676</v>
      </c>
      <c r="Q16541">
        <v>0</v>
      </c>
      <c r="R16541">
        <v>58</v>
      </c>
      <c r="S16541">
        <v>0</v>
      </c>
      <c r="T16541" t="s">
        <v>58677</v>
      </c>
    </row>
    <row r="16542" spans="1:20" customFormat="1" ht="15" hidden="1" x14ac:dyDescent="0.25">
      <c r="A16542" t="s">
        <v>24</v>
      </c>
      <c r="B16542" t="s">
        <v>2202</v>
      </c>
      <c r="C16542" t="str">
        <f>"A0068885"</f>
        <v>A0068885</v>
      </c>
      <c r="D16542" t="s">
        <v>58678</v>
      </c>
      <c r="E16542" t="s">
        <v>58679</v>
      </c>
      <c r="F16542" t="s">
        <v>58680</v>
      </c>
      <c r="G16542" t="s">
        <v>5439</v>
      </c>
      <c r="H16542" t="s">
        <v>58681</v>
      </c>
      <c r="I16542" t="s">
        <v>1459</v>
      </c>
      <c r="J16542" t="s">
        <v>31</v>
      </c>
      <c r="K16542" t="s">
        <v>296</v>
      </c>
      <c r="N16542" t="s">
        <v>58682</v>
      </c>
      <c r="Q16542">
        <v>0</v>
      </c>
      <c r="R16542">
        <v>81</v>
      </c>
      <c r="S16542">
        <v>0</v>
      </c>
      <c r="T16542" t="s">
        <v>58683</v>
      </c>
    </row>
    <row r="16543" spans="1:20" customFormat="1" ht="15" x14ac:dyDescent="0.25">
      <c r="A16543" t="s">
        <v>24</v>
      </c>
      <c r="B16543" t="s">
        <v>56443</v>
      </c>
      <c r="C16543" t="str">
        <f>"A0058856"</f>
        <v>A0058856</v>
      </c>
      <c r="D16543" t="s">
        <v>58684</v>
      </c>
      <c r="E16543" t="s">
        <v>58685</v>
      </c>
      <c r="F16543" t="s">
        <v>13167</v>
      </c>
      <c r="G16543" t="s">
        <v>846</v>
      </c>
      <c r="H16543">
        <v>31093</v>
      </c>
      <c r="I16543" t="s">
        <v>30</v>
      </c>
      <c r="J16543" t="s">
        <v>31</v>
      </c>
      <c r="K16543" t="s">
        <v>296</v>
      </c>
      <c r="N16543" t="s">
        <v>58686</v>
      </c>
      <c r="Q16543">
        <v>0</v>
      </c>
      <c r="R16543">
        <v>83</v>
      </c>
      <c r="S16543">
        <v>0</v>
      </c>
      <c r="T16543" t="s">
        <v>58687</v>
      </c>
    </row>
    <row r="16544" spans="1:20" customFormat="1" ht="15" hidden="1" x14ac:dyDescent="0.25">
      <c r="A16544" t="s">
        <v>24</v>
      </c>
      <c r="B16544" t="s">
        <v>2202</v>
      </c>
      <c r="C16544" t="str">
        <f>"A0068813"</f>
        <v>A0068813</v>
      </c>
      <c r="D16544" t="s">
        <v>58688</v>
      </c>
      <c r="E16544" t="s">
        <v>58689</v>
      </c>
      <c r="F16544" t="s">
        <v>58690</v>
      </c>
      <c r="G16544" t="s">
        <v>53283</v>
      </c>
      <c r="H16544" t="s">
        <v>58691</v>
      </c>
      <c r="I16544" t="s">
        <v>1459</v>
      </c>
      <c r="J16544" t="s">
        <v>31</v>
      </c>
      <c r="K16544" t="s">
        <v>296</v>
      </c>
      <c r="N16544" t="s">
        <v>58692</v>
      </c>
      <c r="Q16544">
        <v>0</v>
      </c>
      <c r="R16544">
        <v>79</v>
      </c>
      <c r="S16544">
        <v>0</v>
      </c>
      <c r="T16544" t="s">
        <v>58693</v>
      </c>
    </row>
    <row r="16545" spans="1:20" customFormat="1" ht="15" x14ac:dyDescent="0.25">
      <c r="A16545" t="s">
        <v>24</v>
      </c>
      <c r="B16545" t="s">
        <v>58694</v>
      </c>
      <c r="C16545" t="str">
        <f>"A0097000"</f>
        <v>A0097000</v>
      </c>
      <c r="D16545" t="s">
        <v>58695</v>
      </c>
      <c r="E16545" t="s">
        <v>58696</v>
      </c>
      <c r="F16545" t="s">
        <v>3540</v>
      </c>
      <c r="G16545" t="s">
        <v>85</v>
      </c>
      <c r="H16545" t="s">
        <v>58697</v>
      </c>
      <c r="I16545" t="s">
        <v>30</v>
      </c>
      <c r="J16545" t="s">
        <v>31</v>
      </c>
      <c r="K16545" t="s">
        <v>296</v>
      </c>
      <c r="N16545" t="s">
        <v>58698</v>
      </c>
      <c r="Q16545">
        <v>0</v>
      </c>
      <c r="R16545">
        <v>65</v>
      </c>
      <c r="S16545">
        <v>0</v>
      </c>
      <c r="T16545" t="s">
        <v>58699</v>
      </c>
    </row>
    <row r="16546" spans="1:20" customFormat="1" ht="15" x14ac:dyDescent="0.25">
      <c r="A16546" t="s">
        <v>24</v>
      </c>
      <c r="B16546" t="s">
        <v>56848</v>
      </c>
      <c r="C16546" t="str">
        <f>"A0098521"</f>
        <v>A0098521</v>
      </c>
      <c r="D16546" t="s">
        <v>58700</v>
      </c>
      <c r="E16546" t="s">
        <v>58701</v>
      </c>
      <c r="F16546" t="s">
        <v>58702</v>
      </c>
      <c r="G16546" t="s">
        <v>85</v>
      </c>
      <c r="H16546">
        <v>72903</v>
      </c>
      <c r="I16546" t="s">
        <v>30</v>
      </c>
      <c r="J16546" t="s">
        <v>31</v>
      </c>
      <c r="K16546" t="s">
        <v>296</v>
      </c>
      <c r="N16546" t="s">
        <v>58703</v>
      </c>
      <c r="Q16546">
        <v>0</v>
      </c>
      <c r="R16546">
        <v>83</v>
      </c>
      <c r="S16546">
        <v>0</v>
      </c>
      <c r="T16546" t="s">
        <v>58704</v>
      </c>
    </row>
    <row r="16547" spans="1:20" customFormat="1" ht="15" x14ac:dyDescent="0.25">
      <c r="A16547" t="s">
        <v>24</v>
      </c>
      <c r="B16547" t="s">
        <v>32773</v>
      </c>
      <c r="C16547" t="str">
        <f>"A0117292"</f>
        <v>A0117292</v>
      </c>
      <c r="D16547" t="s">
        <v>58705</v>
      </c>
      <c r="E16547" t="s">
        <v>58706</v>
      </c>
      <c r="F16547" t="s">
        <v>34134</v>
      </c>
      <c r="G16547" t="s">
        <v>880</v>
      </c>
      <c r="H16547">
        <v>37013</v>
      </c>
      <c r="I16547" t="s">
        <v>30</v>
      </c>
      <c r="J16547" t="s">
        <v>31</v>
      </c>
      <c r="K16547" t="s">
        <v>296</v>
      </c>
      <c r="N16547" t="s">
        <v>58707</v>
      </c>
      <c r="Q16547">
        <v>0</v>
      </c>
      <c r="R16547">
        <v>97</v>
      </c>
      <c r="S16547">
        <v>0</v>
      </c>
      <c r="T16547" t="s">
        <v>58708</v>
      </c>
    </row>
    <row r="16548" spans="1:20" customFormat="1" ht="15" x14ac:dyDescent="0.25">
      <c r="A16548" t="s">
        <v>24</v>
      </c>
      <c r="B16548" t="s">
        <v>58709</v>
      </c>
      <c r="C16548" t="str">
        <f>"A0100325"</f>
        <v>A0100325</v>
      </c>
      <c r="D16548" t="s">
        <v>58710</v>
      </c>
      <c r="E16548" t="s">
        <v>58711</v>
      </c>
      <c r="F16548" t="s">
        <v>57308</v>
      </c>
      <c r="G16548" t="s">
        <v>123</v>
      </c>
      <c r="H16548">
        <v>21613</v>
      </c>
      <c r="I16548" t="s">
        <v>30</v>
      </c>
      <c r="J16548" t="s">
        <v>31</v>
      </c>
      <c r="K16548" t="s">
        <v>296</v>
      </c>
      <c r="N16548" t="s">
        <v>58712</v>
      </c>
      <c r="Q16548">
        <v>0</v>
      </c>
      <c r="R16548">
        <v>65</v>
      </c>
      <c r="S16548">
        <v>0</v>
      </c>
      <c r="T16548" t="s">
        <v>58713</v>
      </c>
    </row>
    <row r="16549" spans="1:20" customFormat="1" ht="15" x14ac:dyDescent="0.25">
      <c r="A16549" t="s">
        <v>24</v>
      </c>
      <c r="B16549" t="s">
        <v>58709</v>
      </c>
      <c r="C16549" t="str">
        <f>"A0084868"</f>
        <v>A0084868</v>
      </c>
      <c r="D16549" t="s">
        <v>58714</v>
      </c>
      <c r="E16549" t="s">
        <v>58715</v>
      </c>
      <c r="F16549" t="s">
        <v>58716</v>
      </c>
      <c r="G16549" t="s">
        <v>123</v>
      </c>
      <c r="H16549">
        <v>21620</v>
      </c>
      <c r="I16549" t="s">
        <v>30</v>
      </c>
      <c r="J16549" t="s">
        <v>31</v>
      </c>
      <c r="K16549" t="s">
        <v>296</v>
      </c>
      <c r="Q16549">
        <v>0</v>
      </c>
      <c r="R16549">
        <v>81</v>
      </c>
      <c r="S16549">
        <v>0</v>
      </c>
      <c r="T16549" t="s">
        <v>58717</v>
      </c>
    </row>
    <row r="16550" spans="1:20" customFormat="1" ht="15" x14ac:dyDescent="0.25">
      <c r="A16550" t="s">
        <v>24</v>
      </c>
      <c r="B16550" t="s">
        <v>1473</v>
      </c>
      <c r="C16550" t="str">
        <f>"A0090374"</f>
        <v>A0090374</v>
      </c>
      <c r="D16550" t="s">
        <v>58718</v>
      </c>
      <c r="E16550" t="s">
        <v>58719</v>
      </c>
      <c r="F16550" t="s">
        <v>13665</v>
      </c>
      <c r="G16550" t="s">
        <v>880</v>
      </c>
      <c r="H16550">
        <v>38501</v>
      </c>
      <c r="I16550" t="s">
        <v>30</v>
      </c>
      <c r="J16550" t="s">
        <v>31</v>
      </c>
      <c r="K16550" t="s">
        <v>296</v>
      </c>
      <c r="N16550" t="s">
        <v>58720</v>
      </c>
      <c r="Q16550">
        <v>0</v>
      </c>
      <c r="R16550">
        <v>60</v>
      </c>
      <c r="S16550">
        <v>0</v>
      </c>
      <c r="T16550" t="s">
        <v>58721</v>
      </c>
    </row>
    <row r="16551" spans="1:20" customFormat="1" ht="15" x14ac:dyDescent="0.25">
      <c r="A16551" t="s">
        <v>24</v>
      </c>
      <c r="B16551" t="s">
        <v>2340</v>
      </c>
      <c r="C16551" t="str">
        <f>"A0086874"</f>
        <v>A0086874</v>
      </c>
      <c r="D16551" t="s">
        <v>58722</v>
      </c>
      <c r="E16551" t="s">
        <v>58723</v>
      </c>
      <c r="F16551" t="s">
        <v>12883</v>
      </c>
      <c r="G16551" t="s">
        <v>29</v>
      </c>
      <c r="H16551">
        <v>20166</v>
      </c>
      <c r="I16551" t="s">
        <v>30</v>
      </c>
      <c r="J16551" t="s">
        <v>31</v>
      </c>
      <c r="K16551" t="s">
        <v>296</v>
      </c>
      <c r="N16551" t="s">
        <v>58724</v>
      </c>
      <c r="Q16551">
        <v>0</v>
      </c>
      <c r="R16551">
        <v>104</v>
      </c>
      <c r="S16551">
        <v>0</v>
      </c>
      <c r="T16551" t="s">
        <v>58725</v>
      </c>
    </row>
    <row r="16552" spans="1:20" customFormat="1" ht="15" x14ac:dyDescent="0.25">
      <c r="A16552" t="s">
        <v>24</v>
      </c>
      <c r="B16552" t="s">
        <v>3151</v>
      </c>
      <c r="C16552" t="str">
        <f>"A0158626"</f>
        <v>A0158626</v>
      </c>
      <c r="D16552" t="s">
        <v>58726</v>
      </c>
      <c r="E16552" t="s">
        <v>58727</v>
      </c>
      <c r="F16552" t="s">
        <v>7376</v>
      </c>
      <c r="G16552" t="s">
        <v>1170</v>
      </c>
      <c r="H16552">
        <v>71502</v>
      </c>
      <c r="I16552" t="s">
        <v>30</v>
      </c>
      <c r="J16552" t="s">
        <v>31</v>
      </c>
      <c r="K16552" t="s">
        <v>296</v>
      </c>
      <c r="N16552" t="s">
        <v>58728</v>
      </c>
      <c r="Q16552">
        <v>0</v>
      </c>
      <c r="R16552">
        <v>66</v>
      </c>
      <c r="S16552">
        <v>0</v>
      </c>
      <c r="T16552" t="s">
        <v>58729</v>
      </c>
    </row>
    <row r="16553" spans="1:20" customFormat="1" ht="15" x14ac:dyDescent="0.25">
      <c r="A16553" t="s">
        <v>24</v>
      </c>
      <c r="B16553" t="s">
        <v>54371</v>
      </c>
      <c r="C16553" t="str">
        <f>"A0061132"</f>
        <v>A0061132</v>
      </c>
      <c r="D16553" t="s">
        <v>58730</v>
      </c>
      <c r="E16553" t="s">
        <v>58731</v>
      </c>
      <c r="F16553" t="s">
        <v>54374</v>
      </c>
      <c r="G16553" t="s">
        <v>65</v>
      </c>
      <c r="H16553">
        <v>43537</v>
      </c>
      <c r="I16553" t="s">
        <v>30</v>
      </c>
      <c r="J16553" t="s">
        <v>31</v>
      </c>
      <c r="K16553" t="s">
        <v>296</v>
      </c>
      <c r="N16553" t="s">
        <v>58732</v>
      </c>
      <c r="Q16553">
        <v>0</v>
      </c>
      <c r="R16553">
        <v>78</v>
      </c>
      <c r="S16553">
        <v>0</v>
      </c>
      <c r="T16553" t="s">
        <v>58733</v>
      </c>
    </row>
    <row r="16554" spans="1:20" customFormat="1" ht="15" x14ac:dyDescent="0.25">
      <c r="A16554" t="s">
        <v>24</v>
      </c>
      <c r="B16554" t="s">
        <v>58734</v>
      </c>
      <c r="C16554" t="str">
        <f>"432P7"</f>
        <v>432P7</v>
      </c>
      <c r="D16554" t="s">
        <v>58735</v>
      </c>
      <c r="E16554" t="s">
        <v>58736</v>
      </c>
      <c r="F16554" t="s">
        <v>196</v>
      </c>
      <c r="G16554" t="s">
        <v>197</v>
      </c>
      <c r="H16554">
        <v>85023</v>
      </c>
      <c r="I16554" t="s">
        <v>30</v>
      </c>
      <c r="J16554" t="s">
        <v>31</v>
      </c>
      <c r="K16554" t="s">
        <v>296</v>
      </c>
      <c r="N16554" t="s">
        <v>58737</v>
      </c>
      <c r="O16554" t="s">
        <v>58738</v>
      </c>
      <c r="Q16554">
        <v>0</v>
      </c>
      <c r="R16554">
        <v>66</v>
      </c>
      <c r="S16554">
        <v>0</v>
      </c>
      <c r="T16554" t="s">
        <v>58739</v>
      </c>
    </row>
    <row r="16555" spans="1:20" customFormat="1" ht="15" x14ac:dyDescent="0.25">
      <c r="A16555" t="s">
        <v>24</v>
      </c>
      <c r="B16555" t="s">
        <v>3502</v>
      </c>
      <c r="C16555" t="str">
        <f>"SC154"</f>
        <v>SC154</v>
      </c>
      <c r="D16555" t="s">
        <v>58740</v>
      </c>
      <c r="E16555" t="s">
        <v>58741</v>
      </c>
      <c r="F16555" t="s">
        <v>2128</v>
      </c>
      <c r="G16555" t="s">
        <v>52</v>
      </c>
      <c r="H16555">
        <v>75074</v>
      </c>
      <c r="I16555" t="s">
        <v>30</v>
      </c>
      <c r="J16555" t="s">
        <v>31</v>
      </c>
      <c r="K16555" t="s">
        <v>296</v>
      </c>
      <c r="N16555" t="s">
        <v>58742</v>
      </c>
      <c r="Q16555">
        <v>0</v>
      </c>
      <c r="R16555">
        <v>161</v>
      </c>
      <c r="S16555">
        <v>0</v>
      </c>
      <c r="T16555" t="s">
        <v>58743</v>
      </c>
    </row>
    <row r="16556" spans="1:20" customFormat="1" ht="15" x14ac:dyDescent="0.25">
      <c r="A16556" t="s">
        <v>24</v>
      </c>
      <c r="B16556" t="s">
        <v>58744</v>
      </c>
      <c r="C16556" t="str">
        <f>"A0165466"</f>
        <v>A0165466</v>
      </c>
      <c r="D16556" t="s">
        <v>58745</v>
      </c>
      <c r="E16556" t="s">
        <v>58746</v>
      </c>
      <c r="F16556" t="s">
        <v>58747</v>
      </c>
      <c r="G16556" t="s">
        <v>1508</v>
      </c>
      <c r="H16556">
        <v>82301</v>
      </c>
      <c r="I16556" t="s">
        <v>30</v>
      </c>
      <c r="J16556" t="s">
        <v>31</v>
      </c>
      <c r="K16556" t="s">
        <v>296</v>
      </c>
      <c r="N16556" t="s">
        <v>58748</v>
      </c>
      <c r="O16556" t="s">
        <v>58749</v>
      </c>
      <c r="Q16556">
        <v>0</v>
      </c>
      <c r="R16556">
        <v>65</v>
      </c>
      <c r="S16556">
        <v>0</v>
      </c>
      <c r="T16556" t="s">
        <v>58750</v>
      </c>
    </row>
    <row r="16557" spans="1:20" customFormat="1" ht="15" x14ac:dyDescent="0.25">
      <c r="A16557" t="s">
        <v>24</v>
      </c>
      <c r="B16557" t="s">
        <v>10398</v>
      </c>
      <c r="C16557" t="str">
        <f>"88CI002"</f>
        <v>88CI002</v>
      </c>
      <c r="D16557" t="s">
        <v>58751</v>
      </c>
      <c r="E16557" t="s">
        <v>58752</v>
      </c>
      <c r="F16557" t="s">
        <v>2978</v>
      </c>
      <c r="G16557" t="s">
        <v>110</v>
      </c>
      <c r="H16557">
        <v>92108</v>
      </c>
      <c r="I16557" t="s">
        <v>30</v>
      </c>
      <c r="J16557" t="s">
        <v>31</v>
      </c>
      <c r="K16557" t="s">
        <v>296</v>
      </c>
      <c r="N16557" t="s">
        <v>58753</v>
      </c>
      <c r="Q16557">
        <v>0</v>
      </c>
      <c r="R16557">
        <v>200</v>
      </c>
      <c r="S16557">
        <v>0</v>
      </c>
      <c r="T16557" t="s">
        <v>58754</v>
      </c>
    </row>
    <row r="16558" spans="1:20" customFormat="1" ht="15" x14ac:dyDescent="0.25">
      <c r="A16558" t="s">
        <v>24</v>
      </c>
      <c r="B16558" t="s">
        <v>58755</v>
      </c>
      <c r="C16558" t="str">
        <f>"A0095512"</f>
        <v>A0095512</v>
      </c>
      <c r="D16558" t="s">
        <v>58756</v>
      </c>
      <c r="E16558" t="s">
        <v>58757</v>
      </c>
      <c r="F16558" t="s">
        <v>2839</v>
      </c>
      <c r="G16558" t="s">
        <v>846</v>
      </c>
      <c r="H16558">
        <v>31408</v>
      </c>
      <c r="I16558" t="s">
        <v>30</v>
      </c>
      <c r="J16558" t="s">
        <v>31</v>
      </c>
      <c r="K16558" t="s">
        <v>296</v>
      </c>
      <c r="N16558" t="s">
        <v>58758</v>
      </c>
      <c r="Q16558">
        <v>0</v>
      </c>
      <c r="R16558">
        <v>79</v>
      </c>
      <c r="S16558">
        <v>0</v>
      </c>
      <c r="T16558" t="s">
        <v>58759</v>
      </c>
    </row>
    <row r="16559" spans="1:20" customFormat="1" ht="15" x14ac:dyDescent="0.25">
      <c r="A16559" t="s">
        <v>24</v>
      </c>
      <c r="B16559" t="s">
        <v>1836</v>
      </c>
      <c r="C16559" t="str">
        <f>"A0151369"</f>
        <v>A0151369</v>
      </c>
      <c r="D16559" t="s">
        <v>58760</v>
      </c>
      <c r="E16559" t="s">
        <v>58761</v>
      </c>
      <c r="F16559" t="s">
        <v>4829</v>
      </c>
      <c r="G16559" t="s">
        <v>52</v>
      </c>
      <c r="H16559">
        <v>75063</v>
      </c>
      <c r="I16559" t="s">
        <v>30</v>
      </c>
      <c r="J16559" t="s">
        <v>31</v>
      </c>
      <c r="K16559" t="s">
        <v>296</v>
      </c>
      <c r="N16559" t="s">
        <v>58762</v>
      </c>
      <c r="O16559" t="s">
        <v>58763</v>
      </c>
      <c r="Q16559">
        <v>0</v>
      </c>
      <c r="R16559">
        <v>68</v>
      </c>
      <c r="S16559">
        <v>0</v>
      </c>
      <c r="T16559" t="s">
        <v>58764</v>
      </c>
    </row>
    <row r="16560" spans="1:20" customFormat="1" ht="15" x14ac:dyDescent="0.25">
      <c r="A16560" t="s">
        <v>24</v>
      </c>
      <c r="B16560" t="s">
        <v>3221</v>
      </c>
      <c r="C16560" t="str">
        <f>"A0057274"</f>
        <v>A0057274</v>
      </c>
      <c r="D16560" t="s">
        <v>58765</v>
      </c>
      <c r="E16560" t="s">
        <v>58766</v>
      </c>
      <c r="F16560" t="s">
        <v>58767</v>
      </c>
      <c r="G16560" t="s">
        <v>2391</v>
      </c>
      <c r="H16560">
        <v>5819</v>
      </c>
      <c r="I16560" t="s">
        <v>30</v>
      </c>
      <c r="J16560" t="s">
        <v>31</v>
      </c>
      <c r="K16560" t="s">
        <v>296</v>
      </c>
      <c r="N16560" t="s">
        <v>58768</v>
      </c>
      <c r="Q16560">
        <v>0</v>
      </c>
      <c r="R16560">
        <v>107</v>
      </c>
      <c r="S16560">
        <v>0</v>
      </c>
      <c r="T16560" t="s">
        <v>58769</v>
      </c>
    </row>
    <row r="16561" spans="1:20" customFormat="1" ht="15" x14ac:dyDescent="0.25">
      <c r="A16561" t="s">
        <v>24</v>
      </c>
      <c r="B16561" t="s">
        <v>58770</v>
      </c>
      <c r="C16561" t="str">
        <f>"A0093738"</f>
        <v>A0093738</v>
      </c>
      <c r="D16561" t="s">
        <v>58771</v>
      </c>
      <c r="E16561" t="s">
        <v>58772</v>
      </c>
      <c r="F16561" t="s">
        <v>58773</v>
      </c>
      <c r="G16561" t="s">
        <v>85</v>
      </c>
      <c r="H16561">
        <v>72956</v>
      </c>
      <c r="I16561" t="s">
        <v>30</v>
      </c>
      <c r="J16561" t="s">
        <v>31</v>
      </c>
      <c r="K16561" t="s">
        <v>296</v>
      </c>
      <c r="N16561" t="s">
        <v>13596</v>
      </c>
      <c r="O16561" t="s">
        <v>58774</v>
      </c>
      <c r="Q16561">
        <v>0</v>
      </c>
      <c r="R16561">
        <v>58</v>
      </c>
      <c r="S16561">
        <v>0</v>
      </c>
      <c r="T16561" t="s">
        <v>58775</v>
      </c>
    </row>
    <row r="16562" spans="1:20" customFormat="1" ht="15" x14ac:dyDescent="0.25">
      <c r="A16562" t="s">
        <v>24</v>
      </c>
      <c r="B16562" t="s">
        <v>56748</v>
      </c>
      <c r="C16562" t="str">
        <f>"A0157356"</f>
        <v>A0157356</v>
      </c>
      <c r="D16562" t="s">
        <v>58776</v>
      </c>
      <c r="E16562" t="s">
        <v>58777</v>
      </c>
      <c r="F16562" t="s">
        <v>16267</v>
      </c>
      <c r="G16562" t="s">
        <v>29</v>
      </c>
      <c r="H16562">
        <v>23455</v>
      </c>
      <c r="I16562" t="s">
        <v>30</v>
      </c>
      <c r="J16562" t="s">
        <v>31</v>
      </c>
      <c r="K16562" t="s">
        <v>296</v>
      </c>
      <c r="N16562" t="s">
        <v>58778</v>
      </c>
      <c r="Q16562">
        <v>0</v>
      </c>
      <c r="R16562">
        <v>67</v>
      </c>
      <c r="S16562">
        <v>0</v>
      </c>
      <c r="T16562" t="s">
        <v>58779</v>
      </c>
    </row>
    <row r="16563" spans="1:20" customFormat="1" ht="15" x14ac:dyDescent="0.25">
      <c r="A16563" t="s">
        <v>24</v>
      </c>
      <c r="B16563" t="s">
        <v>32773</v>
      </c>
      <c r="C16563" t="str">
        <f>"A0067219"</f>
        <v>A0067219</v>
      </c>
      <c r="D16563" t="s">
        <v>58780</v>
      </c>
      <c r="E16563" t="s">
        <v>58781</v>
      </c>
      <c r="F16563" t="s">
        <v>58782</v>
      </c>
      <c r="G16563" t="s">
        <v>1170</v>
      </c>
      <c r="H16563">
        <v>70791</v>
      </c>
      <c r="I16563" t="s">
        <v>30</v>
      </c>
      <c r="J16563" t="s">
        <v>31</v>
      </c>
      <c r="K16563" t="s">
        <v>296</v>
      </c>
      <c r="N16563" t="s">
        <v>58783</v>
      </c>
      <c r="Q16563">
        <v>0</v>
      </c>
      <c r="R16563">
        <v>70</v>
      </c>
      <c r="S16563">
        <v>0</v>
      </c>
      <c r="T16563" t="s">
        <v>58784</v>
      </c>
    </row>
    <row r="16564" spans="1:20" customFormat="1" ht="15" hidden="1" x14ac:dyDescent="0.25">
      <c r="A16564" t="s">
        <v>24</v>
      </c>
      <c r="B16564" t="s">
        <v>2202</v>
      </c>
      <c r="C16564" t="str">
        <f>"A0068795"</f>
        <v>A0068795</v>
      </c>
      <c r="D16564" t="s">
        <v>58785</v>
      </c>
      <c r="E16564" t="s">
        <v>58786</v>
      </c>
      <c r="F16564" t="s">
        <v>58787</v>
      </c>
      <c r="G16564" t="s">
        <v>58788</v>
      </c>
      <c r="H16564" t="s">
        <v>58789</v>
      </c>
      <c r="I16564" t="s">
        <v>1459</v>
      </c>
      <c r="J16564" t="s">
        <v>31</v>
      </c>
      <c r="K16564" t="s">
        <v>296</v>
      </c>
      <c r="N16564" t="s">
        <v>58790</v>
      </c>
      <c r="Q16564">
        <v>0</v>
      </c>
      <c r="R16564">
        <v>80</v>
      </c>
      <c r="S16564">
        <v>0</v>
      </c>
      <c r="T16564" t="s">
        <v>58791</v>
      </c>
    </row>
    <row r="16565" spans="1:20" customFormat="1" ht="15" hidden="1" x14ac:dyDescent="0.25">
      <c r="A16565" t="s">
        <v>24</v>
      </c>
      <c r="B16565" t="s">
        <v>2202</v>
      </c>
      <c r="C16565" t="str">
        <f>"A0068874"</f>
        <v>A0068874</v>
      </c>
      <c r="D16565" t="s">
        <v>58792</v>
      </c>
      <c r="E16565" t="s">
        <v>58793</v>
      </c>
      <c r="F16565" t="s">
        <v>58794</v>
      </c>
      <c r="G16565" t="s">
        <v>5439</v>
      </c>
      <c r="H16565" t="s">
        <v>58795</v>
      </c>
      <c r="I16565" t="s">
        <v>1459</v>
      </c>
      <c r="J16565" t="s">
        <v>31</v>
      </c>
      <c r="K16565" t="s">
        <v>296</v>
      </c>
      <c r="N16565" t="s">
        <v>58796</v>
      </c>
      <c r="Q16565">
        <v>0</v>
      </c>
      <c r="R16565">
        <v>61</v>
      </c>
      <c r="S16565">
        <v>0</v>
      </c>
      <c r="T16565" t="s">
        <v>58797</v>
      </c>
    </row>
    <row r="16566" spans="1:20" customFormat="1" ht="15" hidden="1" x14ac:dyDescent="0.25">
      <c r="A16566" t="s">
        <v>24</v>
      </c>
      <c r="B16566" t="s">
        <v>2202</v>
      </c>
      <c r="C16566" t="str">
        <f>"A0068808"</f>
        <v>A0068808</v>
      </c>
      <c r="D16566" t="s">
        <v>58798</v>
      </c>
      <c r="E16566" t="s">
        <v>58799</v>
      </c>
      <c r="F16566" t="s">
        <v>58800</v>
      </c>
      <c r="G16566" t="s">
        <v>53283</v>
      </c>
      <c r="H16566" t="s">
        <v>58801</v>
      </c>
      <c r="I16566" t="s">
        <v>1459</v>
      </c>
      <c r="J16566" t="s">
        <v>31</v>
      </c>
      <c r="K16566" t="s">
        <v>296</v>
      </c>
      <c r="N16566" t="s">
        <v>58802</v>
      </c>
      <c r="Q16566">
        <v>0</v>
      </c>
      <c r="R16566">
        <v>61</v>
      </c>
      <c r="S16566">
        <v>0</v>
      </c>
      <c r="T16566" t="s">
        <v>58803</v>
      </c>
    </row>
    <row r="16567" spans="1:20" customFormat="1" ht="15" hidden="1" x14ac:dyDescent="0.25">
      <c r="A16567" t="s">
        <v>24</v>
      </c>
      <c r="B16567" t="s">
        <v>2202</v>
      </c>
      <c r="C16567" t="str">
        <f>"A0068762"</f>
        <v>A0068762</v>
      </c>
      <c r="D16567" t="s">
        <v>58804</v>
      </c>
      <c r="E16567" t="s">
        <v>58805</v>
      </c>
      <c r="F16567" t="s">
        <v>58806</v>
      </c>
      <c r="G16567" t="s">
        <v>5439</v>
      </c>
      <c r="H16567" t="s">
        <v>58807</v>
      </c>
      <c r="I16567" t="s">
        <v>1459</v>
      </c>
      <c r="J16567" t="s">
        <v>31</v>
      </c>
      <c r="K16567" t="s">
        <v>296</v>
      </c>
      <c r="N16567" t="s">
        <v>58808</v>
      </c>
      <c r="Q16567">
        <v>0</v>
      </c>
      <c r="R16567">
        <v>62</v>
      </c>
      <c r="S16567">
        <v>0</v>
      </c>
      <c r="T16567" t="s">
        <v>58809</v>
      </c>
    </row>
    <row r="16568" spans="1:20" customFormat="1" ht="15" x14ac:dyDescent="0.25">
      <c r="A16568" t="s">
        <v>24</v>
      </c>
      <c r="B16568" t="s">
        <v>56594</v>
      </c>
      <c r="C16568" t="str">
        <f>"A0066729"</f>
        <v>A0066729</v>
      </c>
      <c r="D16568" t="s">
        <v>58810</v>
      </c>
      <c r="E16568" t="s">
        <v>58811</v>
      </c>
      <c r="F16568" t="s">
        <v>7408</v>
      </c>
      <c r="G16568" t="s">
        <v>899</v>
      </c>
      <c r="H16568">
        <v>2151</v>
      </c>
      <c r="I16568" t="s">
        <v>30</v>
      </c>
      <c r="J16568" t="s">
        <v>31</v>
      </c>
      <c r="K16568" t="s">
        <v>296</v>
      </c>
      <c r="N16568" t="s">
        <v>58812</v>
      </c>
      <c r="Q16568">
        <v>0</v>
      </c>
      <c r="R16568">
        <v>208</v>
      </c>
      <c r="S16568">
        <v>0</v>
      </c>
      <c r="T16568" t="s">
        <v>58813</v>
      </c>
    </row>
    <row r="16569" spans="1:20" customFormat="1" ht="15" x14ac:dyDescent="0.25">
      <c r="A16569" t="s">
        <v>24</v>
      </c>
      <c r="B16569" t="s">
        <v>58814</v>
      </c>
      <c r="C16569" t="str">
        <f>"A0076358"</f>
        <v>A0076358</v>
      </c>
      <c r="D16569" t="s">
        <v>58815</v>
      </c>
      <c r="E16569" t="s">
        <v>58816</v>
      </c>
      <c r="F16569" t="s">
        <v>58817</v>
      </c>
      <c r="G16569" t="s">
        <v>381</v>
      </c>
      <c r="H16569">
        <v>46123</v>
      </c>
      <c r="I16569" t="s">
        <v>30</v>
      </c>
      <c r="J16569" t="s">
        <v>31</v>
      </c>
      <c r="K16569" t="s">
        <v>296</v>
      </c>
      <c r="N16569" t="s">
        <v>58818</v>
      </c>
      <c r="Q16569">
        <v>0</v>
      </c>
      <c r="R16569">
        <v>58</v>
      </c>
      <c r="S16569">
        <v>0</v>
      </c>
      <c r="T16569" t="s">
        <v>58819</v>
      </c>
    </row>
    <row r="16570" spans="1:20" customFormat="1" ht="15" hidden="1" x14ac:dyDescent="0.25">
      <c r="A16570" t="s">
        <v>24</v>
      </c>
      <c r="B16570" t="s">
        <v>2202</v>
      </c>
      <c r="C16570" t="str">
        <f>"A0068875"</f>
        <v>A0068875</v>
      </c>
      <c r="D16570" t="s">
        <v>58820</v>
      </c>
      <c r="E16570" t="s">
        <v>58821</v>
      </c>
      <c r="F16570" t="s">
        <v>58822</v>
      </c>
      <c r="G16570" t="s">
        <v>5439</v>
      </c>
      <c r="H16570" t="s">
        <v>58823</v>
      </c>
      <c r="I16570" t="s">
        <v>1459</v>
      </c>
      <c r="J16570" t="s">
        <v>31</v>
      </c>
      <c r="K16570" t="s">
        <v>296</v>
      </c>
      <c r="N16570" t="s">
        <v>58824</v>
      </c>
      <c r="Q16570">
        <v>0</v>
      </c>
      <c r="R16570">
        <v>61</v>
      </c>
      <c r="S16570">
        <v>0</v>
      </c>
      <c r="T16570" t="s">
        <v>58825</v>
      </c>
    </row>
    <row r="16571" spans="1:20" customFormat="1" ht="15" hidden="1" x14ac:dyDescent="0.25">
      <c r="A16571" t="s">
        <v>24</v>
      </c>
      <c r="B16571" t="s">
        <v>55654</v>
      </c>
      <c r="C16571" t="str">
        <f>"A0069086"</f>
        <v>A0069086</v>
      </c>
      <c r="D16571" t="s">
        <v>58826</v>
      </c>
      <c r="E16571" t="s">
        <v>58827</v>
      </c>
      <c r="F16571" t="s">
        <v>58828</v>
      </c>
      <c r="G16571" t="s">
        <v>15270</v>
      </c>
      <c r="H16571" t="s">
        <v>58829</v>
      </c>
      <c r="I16571" t="s">
        <v>1459</v>
      </c>
      <c r="J16571" t="s">
        <v>31</v>
      </c>
      <c r="K16571" t="s">
        <v>296</v>
      </c>
      <c r="N16571" t="s">
        <v>58830</v>
      </c>
      <c r="Q16571">
        <v>0</v>
      </c>
      <c r="R16571">
        <v>76</v>
      </c>
      <c r="S16571">
        <v>0</v>
      </c>
      <c r="T16571" t="s">
        <v>58831</v>
      </c>
    </row>
    <row r="16572" spans="1:20" customFormat="1" ht="15" x14ac:dyDescent="0.25">
      <c r="A16572" t="s">
        <v>24</v>
      </c>
      <c r="B16572" t="s">
        <v>8805</v>
      </c>
      <c r="C16572" t="str">
        <f>"SF01266"</f>
        <v>SF01266</v>
      </c>
      <c r="D16572" t="s">
        <v>58832</v>
      </c>
      <c r="E16572" t="s">
        <v>58833</v>
      </c>
      <c r="F16572" t="s">
        <v>16093</v>
      </c>
      <c r="G16572" t="s">
        <v>117</v>
      </c>
      <c r="H16572">
        <v>48708</v>
      </c>
      <c r="I16572" t="s">
        <v>30</v>
      </c>
      <c r="J16572" t="s">
        <v>31</v>
      </c>
      <c r="K16572" t="s">
        <v>296</v>
      </c>
      <c r="N16572" t="s">
        <v>58834</v>
      </c>
      <c r="Q16572">
        <v>0</v>
      </c>
      <c r="R16572">
        <v>100</v>
      </c>
      <c r="S16572">
        <v>0</v>
      </c>
      <c r="T16572" t="s">
        <v>58835</v>
      </c>
    </row>
    <row r="16573" spans="1:20" customFormat="1" ht="15" hidden="1" x14ac:dyDescent="0.25">
      <c r="A16573" t="s">
        <v>24</v>
      </c>
      <c r="B16573" t="s">
        <v>2202</v>
      </c>
      <c r="C16573" t="str">
        <f>"A0068794"</f>
        <v>A0068794</v>
      </c>
      <c r="D16573" t="s">
        <v>58836</v>
      </c>
      <c r="E16573" t="s">
        <v>58837</v>
      </c>
      <c r="F16573" t="s">
        <v>4339</v>
      </c>
      <c r="G16573" t="s">
        <v>58788</v>
      </c>
      <c r="H16573" t="s">
        <v>58838</v>
      </c>
      <c r="I16573" t="s">
        <v>1459</v>
      </c>
      <c r="J16573" t="s">
        <v>31</v>
      </c>
      <c r="K16573" t="s">
        <v>296</v>
      </c>
      <c r="N16573" t="s">
        <v>58839</v>
      </c>
      <c r="Q16573">
        <v>0</v>
      </c>
      <c r="R16573">
        <v>80</v>
      </c>
      <c r="S16573">
        <v>0</v>
      </c>
      <c r="T16573" t="s">
        <v>58840</v>
      </c>
    </row>
    <row r="16574" spans="1:20" customFormat="1" ht="15" x14ac:dyDescent="0.25">
      <c r="A16574" t="s">
        <v>24</v>
      </c>
      <c r="B16574" t="s">
        <v>56166</v>
      </c>
      <c r="C16574" t="str">
        <f>"A0059658"</f>
        <v>A0059658</v>
      </c>
      <c r="D16574" t="s">
        <v>58841</v>
      </c>
      <c r="E16574" t="s">
        <v>58842</v>
      </c>
      <c r="F16574" t="s">
        <v>748</v>
      </c>
      <c r="G16574" t="s">
        <v>110</v>
      </c>
      <c r="H16574">
        <v>94109</v>
      </c>
      <c r="I16574" t="s">
        <v>30</v>
      </c>
      <c r="J16574" t="s">
        <v>31</v>
      </c>
      <c r="K16574" t="s">
        <v>296</v>
      </c>
      <c r="N16574" t="s">
        <v>58843</v>
      </c>
      <c r="O16574" t="s">
        <v>58844</v>
      </c>
      <c r="Q16574">
        <v>0</v>
      </c>
      <c r="R16574">
        <v>138</v>
      </c>
      <c r="S16574">
        <v>0</v>
      </c>
      <c r="T16574" t="s">
        <v>58845</v>
      </c>
    </row>
    <row r="16575" spans="1:20" customFormat="1" ht="15" hidden="1" x14ac:dyDescent="0.25">
      <c r="A16575" t="s">
        <v>24</v>
      </c>
      <c r="B16575" t="s">
        <v>2202</v>
      </c>
      <c r="C16575" t="str">
        <f>"A0068822"</f>
        <v>A0068822</v>
      </c>
      <c r="D16575" t="s">
        <v>58846</v>
      </c>
      <c r="E16575" t="s">
        <v>58847</v>
      </c>
      <c r="F16575" t="s">
        <v>57308</v>
      </c>
      <c r="G16575" t="s">
        <v>2206</v>
      </c>
      <c r="H16575" t="s">
        <v>58848</v>
      </c>
      <c r="I16575" t="s">
        <v>1459</v>
      </c>
      <c r="J16575" t="s">
        <v>31</v>
      </c>
      <c r="K16575" t="s">
        <v>296</v>
      </c>
      <c r="N16575" t="s">
        <v>58849</v>
      </c>
      <c r="Q16575">
        <v>0</v>
      </c>
      <c r="R16575">
        <v>84</v>
      </c>
      <c r="S16575">
        <v>0</v>
      </c>
      <c r="T16575" t="s">
        <v>58850</v>
      </c>
    </row>
    <row r="16576" spans="1:20" customFormat="1" ht="15" hidden="1" x14ac:dyDescent="0.25">
      <c r="A16576" t="s">
        <v>24</v>
      </c>
      <c r="B16576" t="s">
        <v>8397</v>
      </c>
      <c r="C16576" t="str">
        <f>"SF03946"</f>
        <v>SF03946</v>
      </c>
      <c r="D16576" t="s">
        <v>58851</v>
      </c>
      <c r="E16576" t="s">
        <v>58852</v>
      </c>
      <c r="F16576" t="s">
        <v>19587</v>
      </c>
      <c r="G16576" t="s">
        <v>2206</v>
      </c>
      <c r="H16576" t="s">
        <v>58853</v>
      </c>
      <c r="I16576" t="s">
        <v>1459</v>
      </c>
      <c r="J16576" t="s">
        <v>31</v>
      </c>
      <c r="K16576" t="s">
        <v>296</v>
      </c>
      <c r="N16576" t="s">
        <v>58854</v>
      </c>
      <c r="Q16576">
        <v>0</v>
      </c>
      <c r="R16576">
        <v>116</v>
      </c>
      <c r="S16576">
        <v>0</v>
      </c>
      <c r="T16576" t="s">
        <v>58855</v>
      </c>
    </row>
    <row r="16577" spans="1:20" customFormat="1" ht="15" x14ac:dyDescent="0.25">
      <c r="A16577" t="s">
        <v>24</v>
      </c>
      <c r="B16577" t="s">
        <v>58856</v>
      </c>
      <c r="C16577" t="str">
        <f>"A0069112"</f>
        <v>A0069112</v>
      </c>
      <c r="D16577" t="s">
        <v>58857</v>
      </c>
      <c r="E16577" t="s">
        <v>58858</v>
      </c>
      <c r="F16577" t="s">
        <v>58859</v>
      </c>
      <c r="G16577" t="s">
        <v>103</v>
      </c>
      <c r="H16577">
        <v>16046</v>
      </c>
      <c r="I16577" t="s">
        <v>30</v>
      </c>
      <c r="J16577" t="s">
        <v>31</v>
      </c>
      <c r="K16577" t="s">
        <v>296</v>
      </c>
      <c r="N16577" t="s">
        <v>58860</v>
      </c>
      <c r="Q16577">
        <v>0</v>
      </c>
      <c r="R16577">
        <v>103</v>
      </c>
      <c r="S16577">
        <v>0</v>
      </c>
      <c r="T16577" t="s">
        <v>58861</v>
      </c>
    </row>
    <row r="16578" spans="1:20" customFormat="1" ht="15" x14ac:dyDescent="0.25">
      <c r="A16578" t="s">
        <v>24</v>
      </c>
      <c r="B16578" t="s">
        <v>706</v>
      </c>
      <c r="C16578" t="str">
        <f>"A0096246"</f>
        <v>A0096246</v>
      </c>
      <c r="D16578" t="s">
        <v>58862</v>
      </c>
      <c r="E16578" t="s">
        <v>58863</v>
      </c>
      <c r="F16578" t="s">
        <v>58864</v>
      </c>
      <c r="G16578" t="s">
        <v>81</v>
      </c>
      <c r="H16578">
        <v>32724</v>
      </c>
      <c r="I16578" t="s">
        <v>30</v>
      </c>
      <c r="J16578" t="s">
        <v>31</v>
      </c>
      <c r="K16578" t="s">
        <v>296</v>
      </c>
      <c r="N16578" t="s">
        <v>58865</v>
      </c>
      <c r="O16578" t="s">
        <v>58866</v>
      </c>
      <c r="Q16578">
        <v>0</v>
      </c>
      <c r="R16578">
        <v>68</v>
      </c>
      <c r="S16578">
        <v>0</v>
      </c>
      <c r="T16578" t="s">
        <v>58867</v>
      </c>
    </row>
    <row r="16579" spans="1:20" customFormat="1" ht="15" x14ac:dyDescent="0.25">
      <c r="A16579" t="s">
        <v>24</v>
      </c>
      <c r="B16579" t="s">
        <v>2340</v>
      </c>
      <c r="C16579" t="str">
        <f>"A0073314"</f>
        <v>A0073314</v>
      </c>
      <c r="D16579" t="s">
        <v>58868</v>
      </c>
      <c r="E16579" t="s">
        <v>58869</v>
      </c>
      <c r="F16579" t="s">
        <v>313</v>
      </c>
      <c r="G16579" t="s">
        <v>314</v>
      </c>
      <c r="H16579">
        <v>20005</v>
      </c>
      <c r="I16579" t="s">
        <v>30</v>
      </c>
      <c r="J16579" t="s">
        <v>31</v>
      </c>
      <c r="K16579" t="s">
        <v>296</v>
      </c>
      <c r="N16579" t="s">
        <v>58870</v>
      </c>
      <c r="Q16579">
        <v>0</v>
      </c>
      <c r="R16579">
        <v>100</v>
      </c>
      <c r="S16579">
        <v>0</v>
      </c>
      <c r="T16579" t="s">
        <v>58871</v>
      </c>
    </row>
    <row r="16580" spans="1:20" customFormat="1" ht="15" x14ac:dyDescent="0.25">
      <c r="A16580" t="s">
        <v>24</v>
      </c>
      <c r="B16580" t="s">
        <v>56443</v>
      </c>
      <c r="C16580" t="str">
        <f>"A0070015"</f>
        <v>A0070015</v>
      </c>
      <c r="D16580" t="s">
        <v>58872</v>
      </c>
      <c r="E16580" t="s">
        <v>58873</v>
      </c>
      <c r="F16580" t="s">
        <v>10276</v>
      </c>
      <c r="G16580" t="s">
        <v>846</v>
      </c>
      <c r="H16580">
        <v>30315</v>
      </c>
      <c r="I16580" t="s">
        <v>30</v>
      </c>
      <c r="J16580" t="s">
        <v>31</v>
      </c>
      <c r="K16580" t="s">
        <v>296</v>
      </c>
      <c r="N16580" t="s">
        <v>13798</v>
      </c>
      <c r="Q16580">
        <v>0</v>
      </c>
      <c r="R16580">
        <v>92</v>
      </c>
      <c r="S16580">
        <v>0</v>
      </c>
      <c r="T16580" t="s">
        <v>58874</v>
      </c>
    </row>
    <row r="16581" spans="1:20" customFormat="1" ht="15" hidden="1" x14ac:dyDescent="0.25">
      <c r="A16581" t="s">
        <v>24</v>
      </c>
      <c r="B16581" t="s">
        <v>2202</v>
      </c>
      <c r="C16581" t="str">
        <f>"A0068857"</f>
        <v>A0068857</v>
      </c>
      <c r="D16581" t="s">
        <v>58875</v>
      </c>
      <c r="E16581" t="s">
        <v>58876</v>
      </c>
      <c r="F16581" t="s">
        <v>4851</v>
      </c>
      <c r="G16581" t="s">
        <v>2206</v>
      </c>
      <c r="H16581" t="s">
        <v>58877</v>
      </c>
      <c r="I16581" t="s">
        <v>1459</v>
      </c>
      <c r="J16581" t="s">
        <v>31</v>
      </c>
      <c r="K16581" t="s">
        <v>296</v>
      </c>
      <c r="N16581" t="s">
        <v>58878</v>
      </c>
      <c r="Q16581">
        <v>0</v>
      </c>
      <c r="R16581">
        <v>81</v>
      </c>
      <c r="S16581">
        <v>0</v>
      </c>
      <c r="T16581" t="s">
        <v>58879</v>
      </c>
    </row>
    <row r="16582" spans="1:20" customFormat="1" ht="15" hidden="1" x14ac:dyDescent="0.25">
      <c r="A16582" t="s">
        <v>24</v>
      </c>
      <c r="B16582" t="s">
        <v>2202</v>
      </c>
      <c r="C16582" t="str">
        <f>"A0068803"</f>
        <v>A0068803</v>
      </c>
      <c r="D16582" t="s">
        <v>58880</v>
      </c>
      <c r="E16582" t="s">
        <v>58881</v>
      </c>
      <c r="F16582" t="s">
        <v>15269</v>
      </c>
      <c r="G16582" t="s">
        <v>15270</v>
      </c>
      <c r="H16582" t="s">
        <v>58882</v>
      </c>
      <c r="I16582" t="s">
        <v>1459</v>
      </c>
      <c r="J16582" t="s">
        <v>31</v>
      </c>
      <c r="K16582" t="s">
        <v>296</v>
      </c>
      <c r="N16582" t="s">
        <v>58883</v>
      </c>
      <c r="Q16582">
        <v>0</v>
      </c>
      <c r="R16582">
        <v>79</v>
      </c>
      <c r="S16582">
        <v>0</v>
      </c>
      <c r="T16582" t="s">
        <v>58884</v>
      </c>
    </row>
    <row r="16583" spans="1:20" customFormat="1" ht="15" x14ac:dyDescent="0.25">
      <c r="A16583" t="s">
        <v>24</v>
      </c>
      <c r="B16583" t="s">
        <v>1473</v>
      </c>
      <c r="C16583" t="str">
        <f>"A0090372"</f>
        <v>A0090372</v>
      </c>
      <c r="D16583" t="s">
        <v>58885</v>
      </c>
      <c r="E16583" t="s">
        <v>58886</v>
      </c>
      <c r="F16583" t="s">
        <v>56789</v>
      </c>
      <c r="G16583" t="s">
        <v>65</v>
      </c>
      <c r="H16583">
        <v>43123</v>
      </c>
      <c r="I16583" t="s">
        <v>30</v>
      </c>
      <c r="J16583" t="s">
        <v>31</v>
      </c>
      <c r="K16583" t="s">
        <v>296</v>
      </c>
      <c r="N16583" t="s">
        <v>13596</v>
      </c>
      <c r="Q16583">
        <v>0</v>
      </c>
      <c r="R16583">
        <v>60</v>
      </c>
      <c r="S16583">
        <v>0</v>
      </c>
      <c r="T16583" t="s">
        <v>58887</v>
      </c>
    </row>
    <row r="16584" spans="1:20" customFormat="1" ht="15" x14ac:dyDescent="0.25">
      <c r="A16584" t="s">
        <v>24</v>
      </c>
      <c r="B16584" t="s">
        <v>11697</v>
      </c>
      <c r="C16584" t="str">
        <f>"A0147543"</f>
        <v>A0147543</v>
      </c>
      <c r="D16584" t="s">
        <v>58888</v>
      </c>
      <c r="E16584" t="s">
        <v>58889</v>
      </c>
      <c r="F16584" t="s">
        <v>58890</v>
      </c>
      <c r="G16584" t="s">
        <v>1369</v>
      </c>
      <c r="H16584">
        <v>38637</v>
      </c>
      <c r="I16584" t="s">
        <v>30</v>
      </c>
      <c r="J16584" t="s">
        <v>31</v>
      </c>
      <c r="K16584" t="s">
        <v>296</v>
      </c>
      <c r="N16584" t="s">
        <v>6489</v>
      </c>
      <c r="Q16584">
        <v>0</v>
      </c>
      <c r="R16584">
        <v>49</v>
      </c>
      <c r="S16584">
        <v>0</v>
      </c>
      <c r="T16584" t="s">
        <v>58891</v>
      </c>
    </row>
    <row r="16585" spans="1:20" customFormat="1" ht="15" hidden="1" x14ac:dyDescent="0.25">
      <c r="A16585" t="s">
        <v>24</v>
      </c>
      <c r="B16585" t="s">
        <v>2202</v>
      </c>
      <c r="C16585" t="str">
        <f>"A0068834"</f>
        <v>A0068834</v>
      </c>
      <c r="D16585" t="s">
        <v>58892</v>
      </c>
      <c r="E16585" t="s">
        <v>58893</v>
      </c>
      <c r="F16585" t="s">
        <v>58894</v>
      </c>
      <c r="G16585" t="s">
        <v>2206</v>
      </c>
      <c r="H16585" t="s">
        <v>58895</v>
      </c>
      <c r="I16585" t="s">
        <v>1459</v>
      </c>
      <c r="J16585" t="s">
        <v>31</v>
      </c>
      <c r="K16585" t="s">
        <v>296</v>
      </c>
      <c r="N16585" t="s">
        <v>58896</v>
      </c>
      <c r="Q16585">
        <v>0</v>
      </c>
      <c r="R16585">
        <v>94</v>
      </c>
      <c r="S16585">
        <v>0</v>
      </c>
      <c r="T16585" t="s">
        <v>58897</v>
      </c>
    </row>
    <row r="16586" spans="1:20" customFormat="1" ht="15" hidden="1" x14ac:dyDescent="0.25">
      <c r="A16586" t="s">
        <v>24</v>
      </c>
      <c r="B16586" t="s">
        <v>2202</v>
      </c>
      <c r="C16586" t="str">
        <f>"A0068831"</f>
        <v>A0068831</v>
      </c>
      <c r="D16586" t="s">
        <v>58898</v>
      </c>
      <c r="E16586" t="s">
        <v>58899</v>
      </c>
      <c r="F16586" t="s">
        <v>58900</v>
      </c>
      <c r="G16586" t="s">
        <v>2206</v>
      </c>
      <c r="H16586" t="s">
        <v>58901</v>
      </c>
      <c r="I16586" t="s">
        <v>1459</v>
      </c>
      <c r="J16586" t="s">
        <v>31</v>
      </c>
      <c r="K16586" t="s">
        <v>296</v>
      </c>
      <c r="N16586" t="s">
        <v>58902</v>
      </c>
      <c r="Q16586">
        <v>0</v>
      </c>
      <c r="R16586">
        <v>66</v>
      </c>
      <c r="S16586">
        <v>0</v>
      </c>
      <c r="T16586" t="s">
        <v>58903</v>
      </c>
    </row>
    <row r="16587" spans="1:20" customFormat="1" ht="15" x14ac:dyDescent="0.25">
      <c r="A16587" t="s">
        <v>24</v>
      </c>
      <c r="B16587" t="s">
        <v>32773</v>
      </c>
      <c r="C16587" t="str">
        <f>"A0086020"</f>
        <v>A0086020</v>
      </c>
      <c r="D16587" t="s">
        <v>58904</v>
      </c>
      <c r="E16587" t="s">
        <v>58905</v>
      </c>
      <c r="F16587" t="s">
        <v>58906</v>
      </c>
      <c r="G16587" t="s">
        <v>65</v>
      </c>
      <c r="H16587">
        <v>45801</v>
      </c>
      <c r="I16587" t="s">
        <v>30</v>
      </c>
      <c r="J16587" t="s">
        <v>31</v>
      </c>
      <c r="K16587" t="s">
        <v>296</v>
      </c>
      <c r="N16587" t="s">
        <v>13597</v>
      </c>
      <c r="Q16587">
        <v>0</v>
      </c>
      <c r="R16587">
        <v>118</v>
      </c>
      <c r="S16587">
        <v>0</v>
      </c>
      <c r="T16587" t="s">
        <v>58907</v>
      </c>
    </row>
    <row r="16588" spans="1:20" customFormat="1" ht="15" hidden="1" x14ac:dyDescent="0.25">
      <c r="A16588" t="s">
        <v>24</v>
      </c>
      <c r="B16588" t="s">
        <v>2202</v>
      </c>
      <c r="C16588" t="str">
        <f>"A0068804"</f>
        <v>A0068804</v>
      </c>
      <c r="D16588" t="s">
        <v>58908</v>
      </c>
      <c r="E16588" t="s">
        <v>58909</v>
      </c>
      <c r="F16588" t="s">
        <v>15269</v>
      </c>
      <c r="G16588" t="s">
        <v>15270</v>
      </c>
      <c r="H16588" t="s">
        <v>58910</v>
      </c>
      <c r="I16588" t="s">
        <v>1459</v>
      </c>
      <c r="J16588" t="s">
        <v>31</v>
      </c>
      <c r="K16588" t="s">
        <v>296</v>
      </c>
      <c r="N16588" t="s">
        <v>58911</v>
      </c>
      <c r="Q16588">
        <v>0</v>
      </c>
      <c r="R16588">
        <v>59</v>
      </c>
      <c r="S16588">
        <v>0</v>
      </c>
      <c r="T16588" t="s">
        <v>58912</v>
      </c>
    </row>
    <row r="16589" spans="1:20" customFormat="1" ht="15" x14ac:dyDescent="0.25">
      <c r="A16589" t="s">
        <v>24</v>
      </c>
      <c r="B16589" t="s">
        <v>54371</v>
      </c>
      <c r="C16589" t="str">
        <f>"A0099024"</f>
        <v>A0099024</v>
      </c>
      <c r="D16589" t="s">
        <v>58913</v>
      </c>
      <c r="E16589" t="s">
        <v>58914</v>
      </c>
      <c r="F16589" t="s">
        <v>54374</v>
      </c>
      <c r="G16589" t="s">
        <v>65</v>
      </c>
      <c r="H16589">
        <v>43537</v>
      </c>
      <c r="I16589" t="s">
        <v>30</v>
      </c>
      <c r="J16589" t="s">
        <v>31</v>
      </c>
      <c r="K16589" t="s">
        <v>296</v>
      </c>
      <c r="N16589" t="s">
        <v>58915</v>
      </c>
      <c r="Q16589">
        <v>0</v>
      </c>
      <c r="R16589">
        <v>75</v>
      </c>
      <c r="S16589">
        <v>0</v>
      </c>
      <c r="T16589" t="s">
        <v>58916</v>
      </c>
    </row>
    <row r="16590" spans="1:20" customFormat="1" ht="15" x14ac:dyDescent="0.25">
      <c r="A16590" t="s">
        <v>24</v>
      </c>
      <c r="B16590" t="s">
        <v>58709</v>
      </c>
      <c r="C16590" t="str">
        <f>"A0100321"</f>
        <v>A0100321</v>
      </c>
      <c r="D16590" t="s">
        <v>58917</v>
      </c>
      <c r="E16590" t="s">
        <v>58918</v>
      </c>
      <c r="F16590" t="s">
        <v>54673</v>
      </c>
      <c r="G16590" t="s">
        <v>103</v>
      </c>
      <c r="H16590">
        <v>17055</v>
      </c>
      <c r="I16590" t="s">
        <v>30</v>
      </c>
      <c r="J16590" t="s">
        <v>31</v>
      </c>
      <c r="K16590" t="s">
        <v>296</v>
      </c>
      <c r="N16590" t="s">
        <v>58919</v>
      </c>
      <c r="Q16590">
        <v>0</v>
      </c>
      <c r="R16590">
        <v>64</v>
      </c>
      <c r="S16590">
        <v>0</v>
      </c>
      <c r="T16590" t="s">
        <v>58920</v>
      </c>
    </row>
    <row r="16591" spans="1:20" customFormat="1" ht="15" hidden="1" x14ac:dyDescent="0.25">
      <c r="A16591" t="s">
        <v>24</v>
      </c>
      <c r="B16591" t="s">
        <v>2202</v>
      </c>
      <c r="C16591" t="str">
        <f>"A0068839"</f>
        <v>A0068839</v>
      </c>
      <c r="D16591" t="s">
        <v>58921</v>
      </c>
      <c r="E16591" t="s">
        <v>58922</v>
      </c>
      <c r="F16591" t="s">
        <v>58923</v>
      </c>
      <c r="G16591" t="s">
        <v>2206</v>
      </c>
      <c r="H16591" t="s">
        <v>58924</v>
      </c>
      <c r="I16591" t="s">
        <v>1459</v>
      </c>
      <c r="J16591" t="s">
        <v>31</v>
      </c>
      <c r="K16591" t="s">
        <v>296</v>
      </c>
      <c r="N16591" t="s">
        <v>58925</v>
      </c>
      <c r="Q16591">
        <v>0</v>
      </c>
      <c r="R16591">
        <v>102</v>
      </c>
      <c r="S16591">
        <v>0</v>
      </c>
      <c r="T16591" t="s">
        <v>58926</v>
      </c>
    </row>
    <row r="16592" spans="1:20" customFormat="1" ht="15" x14ac:dyDescent="0.25">
      <c r="A16592" t="s">
        <v>24</v>
      </c>
      <c r="B16592" t="s">
        <v>57575</v>
      </c>
      <c r="C16592" t="str">
        <f>"SF08152"</f>
        <v>SF08152</v>
      </c>
      <c r="D16592" t="s">
        <v>58927</v>
      </c>
      <c r="E16592" t="s">
        <v>58928</v>
      </c>
      <c r="F16592" t="s">
        <v>1382</v>
      </c>
      <c r="G16592" t="s">
        <v>29</v>
      </c>
      <c r="H16592">
        <v>23603</v>
      </c>
      <c r="I16592" t="s">
        <v>30</v>
      </c>
      <c r="J16592" t="s">
        <v>31</v>
      </c>
      <c r="K16592" t="s">
        <v>296</v>
      </c>
      <c r="N16592" t="s">
        <v>58929</v>
      </c>
      <c r="Q16592">
        <v>0</v>
      </c>
      <c r="R16592">
        <v>157</v>
      </c>
      <c r="S16592">
        <v>0</v>
      </c>
      <c r="T16592" t="s">
        <v>58930</v>
      </c>
    </row>
    <row r="16593" spans="1:20" customFormat="1" ht="15" x14ac:dyDescent="0.25">
      <c r="A16593" t="s">
        <v>24</v>
      </c>
      <c r="B16593" t="s">
        <v>10129</v>
      </c>
      <c r="C16593" t="str">
        <f>"88CI053"</f>
        <v>88CI053</v>
      </c>
      <c r="D16593" t="s">
        <v>58931</v>
      </c>
      <c r="E16593" t="s">
        <v>58932</v>
      </c>
      <c r="F16593" t="s">
        <v>57031</v>
      </c>
      <c r="G16593" t="s">
        <v>289</v>
      </c>
      <c r="H16593">
        <v>60435</v>
      </c>
      <c r="I16593" t="s">
        <v>30</v>
      </c>
      <c r="J16593" t="s">
        <v>31</v>
      </c>
      <c r="K16593" t="s">
        <v>296</v>
      </c>
      <c r="N16593" t="s">
        <v>56893</v>
      </c>
      <c r="O16593" t="s">
        <v>58933</v>
      </c>
      <c r="Q16593">
        <v>0</v>
      </c>
      <c r="R16593">
        <v>64</v>
      </c>
      <c r="S16593">
        <v>0</v>
      </c>
      <c r="T16593" t="s">
        <v>58934</v>
      </c>
    </row>
    <row r="16594" spans="1:20" customFormat="1" ht="15" x14ac:dyDescent="0.25">
      <c r="A16594" t="s">
        <v>24</v>
      </c>
      <c r="B16594" t="s">
        <v>56842</v>
      </c>
      <c r="C16594" t="str">
        <f>"A0098068"</f>
        <v>A0098068</v>
      </c>
      <c r="D16594" t="s">
        <v>58935</v>
      </c>
      <c r="E16594" t="s">
        <v>58936</v>
      </c>
      <c r="F16594" t="s">
        <v>33838</v>
      </c>
      <c r="G16594" t="s">
        <v>65</v>
      </c>
      <c r="H16594">
        <v>45424</v>
      </c>
      <c r="I16594" t="s">
        <v>30</v>
      </c>
      <c r="J16594" t="s">
        <v>31</v>
      </c>
      <c r="K16594" t="s">
        <v>296</v>
      </c>
      <c r="N16594" t="s">
        <v>58937</v>
      </c>
      <c r="Q16594">
        <v>0</v>
      </c>
      <c r="R16594">
        <v>53</v>
      </c>
      <c r="S16594">
        <v>0</v>
      </c>
      <c r="T16594" t="s">
        <v>58938</v>
      </c>
    </row>
    <row r="16595" spans="1:20" customFormat="1" ht="15" x14ac:dyDescent="0.25">
      <c r="A16595" t="s">
        <v>24</v>
      </c>
      <c r="B16595" t="s">
        <v>4000</v>
      </c>
      <c r="C16595" t="str">
        <f>"A0096983"</f>
        <v>A0096983</v>
      </c>
      <c r="D16595" t="s">
        <v>58939</v>
      </c>
      <c r="E16595" t="s">
        <v>58940</v>
      </c>
      <c r="F16595" t="s">
        <v>1551</v>
      </c>
      <c r="G16595" t="s">
        <v>289</v>
      </c>
      <c r="H16595">
        <v>60018</v>
      </c>
      <c r="I16595" t="s">
        <v>30</v>
      </c>
      <c r="J16595" t="s">
        <v>31</v>
      </c>
      <c r="K16595" t="s">
        <v>296</v>
      </c>
      <c r="N16595" t="s">
        <v>4005</v>
      </c>
      <c r="O16595" t="s">
        <v>58941</v>
      </c>
      <c r="Q16595">
        <v>0</v>
      </c>
      <c r="R16595">
        <v>140</v>
      </c>
      <c r="S16595">
        <v>0</v>
      </c>
      <c r="T16595" t="s">
        <v>58942</v>
      </c>
    </row>
    <row r="16596" spans="1:20" customFormat="1" ht="15" hidden="1" x14ac:dyDescent="0.25">
      <c r="A16596" t="s">
        <v>24</v>
      </c>
      <c r="B16596" t="s">
        <v>2202</v>
      </c>
      <c r="C16596" t="str">
        <f>"A0068844"</f>
        <v>A0068844</v>
      </c>
      <c r="D16596" t="s">
        <v>58943</v>
      </c>
      <c r="E16596" t="s">
        <v>58944</v>
      </c>
      <c r="F16596" t="s">
        <v>58945</v>
      </c>
      <c r="G16596" t="s">
        <v>2206</v>
      </c>
      <c r="H16596" t="s">
        <v>58946</v>
      </c>
      <c r="I16596" t="s">
        <v>1459</v>
      </c>
      <c r="J16596" t="s">
        <v>31</v>
      </c>
      <c r="K16596" t="s">
        <v>296</v>
      </c>
      <c r="N16596" t="s">
        <v>58947</v>
      </c>
      <c r="Q16596">
        <v>0</v>
      </c>
      <c r="R16596">
        <v>80</v>
      </c>
      <c r="S16596">
        <v>0</v>
      </c>
      <c r="T16596" t="s">
        <v>58948</v>
      </c>
    </row>
    <row r="16597" spans="1:20" customFormat="1" ht="15" hidden="1" x14ac:dyDescent="0.25">
      <c r="A16597" t="s">
        <v>24</v>
      </c>
      <c r="B16597" t="s">
        <v>2202</v>
      </c>
      <c r="C16597" t="str">
        <f>"A0068772"</f>
        <v>A0068772</v>
      </c>
      <c r="D16597" t="s">
        <v>58949</v>
      </c>
      <c r="E16597" t="s">
        <v>58950</v>
      </c>
      <c r="F16597" t="s">
        <v>58951</v>
      </c>
      <c r="G16597" t="s">
        <v>2206</v>
      </c>
      <c r="H16597" t="s">
        <v>58952</v>
      </c>
      <c r="I16597" t="s">
        <v>1459</v>
      </c>
      <c r="J16597" t="s">
        <v>31</v>
      </c>
      <c r="K16597" t="s">
        <v>296</v>
      </c>
      <c r="N16597" t="s">
        <v>58953</v>
      </c>
      <c r="O16597" t="s">
        <v>58954</v>
      </c>
      <c r="Q16597">
        <v>0</v>
      </c>
      <c r="R16597">
        <v>69</v>
      </c>
      <c r="S16597">
        <v>0</v>
      </c>
      <c r="T16597" t="s">
        <v>58955</v>
      </c>
    </row>
    <row r="16598" spans="1:20" customFormat="1" ht="15" hidden="1" x14ac:dyDescent="0.25">
      <c r="A16598" t="s">
        <v>24</v>
      </c>
      <c r="B16598" t="s">
        <v>2202</v>
      </c>
      <c r="C16598" t="str">
        <f>"A0068849"</f>
        <v>A0068849</v>
      </c>
      <c r="D16598" t="s">
        <v>58956</v>
      </c>
      <c r="E16598" t="s">
        <v>58957</v>
      </c>
      <c r="F16598" t="s">
        <v>58958</v>
      </c>
      <c r="G16598" t="s">
        <v>2206</v>
      </c>
      <c r="H16598" t="s">
        <v>58959</v>
      </c>
      <c r="I16598" t="s">
        <v>1459</v>
      </c>
      <c r="J16598" t="s">
        <v>31</v>
      </c>
      <c r="K16598" t="s">
        <v>296</v>
      </c>
      <c r="N16598" t="s">
        <v>58960</v>
      </c>
      <c r="Q16598">
        <v>0</v>
      </c>
      <c r="R16598">
        <v>61</v>
      </c>
      <c r="S16598">
        <v>0</v>
      </c>
      <c r="T16598" t="s">
        <v>58961</v>
      </c>
    </row>
    <row r="16599" spans="1:20" customFormat="1" ht="15" hidden="1" x14ac:dyDescent="0.25">
      <c r="A16599" t="s">
        <v>24</v>
      </c>
      <c r="B16599" t="s">
        <v>2202</v>
      </c>
      <c r="C16599" t="str">
        <f>"A0068850"</f>
        <v>A0068850</v>
      </c>
      <c r="D16599" t="s">
        <v>58962</v>
      </c>
      <c r="E16599" t="s">
        <v>58963</v>
      </c>
      <c r="F16599" t="s">
        <v>58964</v>
      </c>
      <c r="G16599" t="s">
        <v>2206</v>
      </c>
      <c r="H16599" t="s">
        <v>58965</v>
      </c>
      <c r="I16599" t="s">
        <v>1459</v>
      </c>
      <c r="J16599" t="s">
        <v>31</v>
      </c>
      <c r="K16599" t="s">
        <v>296</v>
      </c>
      <c r="N16599" t="s">
        <v>58966</v>
      </c>
      <c r="Q16599">
        <v>0</v>
      </c>
      <c r="R16599">
        <v>61</v>
      </c>
      <c r="S16599">
        <v>0</v>
      </c>
      <c r="T16599" t="s">
        <v>58967</v>
      </c>
    </row>
    <row r="16600" spans="1:20" customFormat="1" ht="15" x14ac:dyDescent="0.25">
      <c r="A16600" t="s">
        <v>24</v>
      </c>
      <c r="B16600" t="s">
        <v>58968</v>
      </c>
      <c r="C16600" t="str">
        <f>"88CI066"</f>
        <v>88CI066</v>
      </c>
      <c r="D16600" t="s">
        <v>58969</v>
      </c>
      <c r="E16600" t="s">
        <v>58970</v>
      </c>
      <c r="F16600" t="s">
        <v>34249</v>
      </c>
      <c r="G16600" t="s">
        <v>81</v>
      </c>
      <c r="H16600">
        <v>33563</v>
      </c>
      <c r="I16600" t="s">
        <v>30</v>
      </c>
      <c r="J16600" t="s">
        <v>31</v>
      </c>
      <c r="K16600" t="s">
        <v>296</v>
      </c>
      <c r="N16600" t="s">
        <v>58971</v>
      </c>
      <c r="Q16600">
        <v>0</v>
      </c>
      <c r="R16600">
        <v>61</v>
      </c>
      <c r="S16600">
        <v>0</v>
      </c>
      <c r="T16600" t="s">
        <v>58972</v>
      </c>
    </row>
    <row r="16601" spans="1:20" customFormat="1" ht="15" x14ac:dyDescent="0.25">
      <c r="A16601" t="s">
        <v>24</v>
      </c>
      <c r="B16601" t="s">
        <v>8805</v>
      </c>
      <c r="C16601" t="str">
        <f>"A0059651"</f>
        <v>A0059651</v>
      </c>
      <c r="D16601" t="s">
        <v>58973</v>
      </c>
      <c r="E16601" t="s">
        <v>58974</v>
      </c>
      <c r="F16601" t="s">
        <v>58975</v>
      </c>
      <c r="G16601" t="s">
        <v>117</v>
      </c>
      <c r="H16601">
        <v>48170</v>
      </c>
      <c r="I16601" t="s">
        <v>30</v>
      </c>
      <c r="J16601" t="s">
        <v>31</v>
      </c>
      <c r="K16601" t="s">
        <v>296</v>
      </c>
      <c r="N16601" t="s">
        <v>58976</v>
      </c>
      <c r="O16601" t="s">
        <v>58977</v>
      </c>
      <c r="Q16601">
        <v>0</v>
      </c>
      <c r="R16601">
        <v>115</v>
      </c>
      <c r="S16601">
        <v>0</v>
      </c>
      <c r="T16601" t="s">
        <v>58978</v>
      </c>
    </row>
    <row r="16602" spans="1:20" customFormat="1" ht="15" x14ac:dyDescent="0.25">
      <c r="A16602" t="s">
        <v>24</v>
      </c>
      <c r="B16602" t="s">
        <v>8366</v>
      </c>
      <c r="C16602" t="str">
        <f>"SF04106"</f>
        <v>SF04106</v>
      </c>
      <c r="D16602" t="s">
        <v>58979</v>
      </c>
      <c r="E16602" t="s">
        <v>58980</v>
      </c>
      <c r="F16602" t="s">
        <v>26445</v>
      </c>
      <c r="G16602" t="s">
        <v>899</v>
      </c>
      <c r="H16602">
        <v>2368</v>
      </c>
      <c r="I16602" t="s">
        <v>30</v>
      </c>
      <c r="J16602" t="s">
        <v>31</v>
      </c>
      <c r="K16602" t="s">
        <v>296</v>
      </c>
      <c r="N16602" t="s">
        <v>58981</v>
      </c>
      <c r="Q16602">
        <v>0</v>
      </c>
      <c r="R16602">
        <v>158</v>
      </c>
      <c r="S16602">
        <v>0</v>
      </c>
      <c r="T16602" t="s">
        <v>58982</v>
      </c>
    </row>
    <row r="16603" spans="1:20" customFormat="1" ht="15" hidden="1" x14ac:dyDescent="0.25">
      <c r="A16603" t="s">
        <v>24</v>
      </c>
      <c r="B16603" t="s">
        <v>2202</v>
      </c>
      <c r="C16603" t="str">
        <f>"A0068887"</f>
        <v>A0068887</v>
      </c>
      <c r="D16603" t="s">
        <v>58983</v>
      </c>
      <c r="E16603" t="s">
        <v>58984</v>
      </c>
      <c r="F16603" t="s">
        <v>58985</v>
      </c>
      <c r="G16603" t="s">
        <v>38009</v>
      </c>
      <c r="H16603" t="s">
        <v>58986</v>
      </c>
      <c r="I16603" t="s">
        <v>1459</v>
      </c>
      <c r="J16603" t="s">
        <v>31</v>
      </c>
      <c r="K16603" t="s">
        <v>296</v>
      </c>
      <c r="N16603" t="s">
        <v>58987</v>
      </c>
      <c r="Q16603">
        <v>0</v>
      </c>
      <c r="R16603">
        <v>99</v>
      </c>
      <c r="S16603">
        <v>0</v>
      </c>
      <c r="T16603" t="s">
        <v>58988</v>
      </c>
    </row>
    <row r="16604" spans="1:20" customFormat="1" ht="15" x14ac:dyDescent="0.25">
      <c r="A16604" t="s">
        <v>24</v>
      </c>
      <c r="B16604" t="s">
        <v>1192</v>
      </c>
      <c r="C16604" t="str">
        <f>"A0093936"</f>
        <v>A0093936</v>
      </c>
      <c r="D16604" t="s">
        <v>58989</v>
      </c>
      <c r="E16604" t="s">
        <v>58990</v>
      </c>
      <c r="F16604" t="s">
        <v>2438</v>
      </c>
      <c r="G16604" t="s">
        <v>528</v>
      </c>
      <c r="H16604">
        <v>19971</v>
      </c>
      <c r="I16604" t="s">
        <v>30</v>
      </c>
      <c r="J16604" t="s">
        <v>31</v>
      </c>
      <c r="K16604" t="s">
        <v>296</v>
      </c>
      <c r="N16604" t="s">
        <v>58991</v>
      </c>
      <c r="Q16604">
        <v>0</v>
      </c>
      <c r="R16604">
        <v>98</v>
      </c>
      <c r="S16604">
        <v>0</v>
      </c>
      <c r="T16604" t="s">
        <v>58992</v>
      </c>
    </row>
    <row r="16605" spans="1:20" customFormat="1" ht="15" x14ac:dyDescent="0.25">
      <c r="A16605" t="s">
        <v>24</v>
      </c>
      <c r="B16605" t="s">
        <v>58993</v>
      </c>
      <c r="C16605" t="str">
        <f>"432J3"</f>
        <v>432J3</v>
      </c>
      <c r="D16605" t="s">
        <v>58994</v>
      </c>
      <c r="E16605" t="s">
        <v>58995</v>
      </c>
      <c r="F16605" t="s">
        <v>3246</v>
      </c>
      <c r="G16605" t="s">
        <v>65</v>
      </c>
      <c r="H16605">
        <v>44839</v>
      </c>
      <c r="I16605" t="s">
        <v>30</v>
      </c>
      <c r="J16605" t="s">
        <v>31</v>
      </c>
      <c r="K16605" t="s">
        <v>296</v>
      </c>
      <c r="N16605" t="s">
        <v>58996</v>
      </c>
      <c r="Q16605">
        <v>0</v>
      </c>
      <c r="R16605">
        <v>65</v>
      </c>
      <c r="S16605">
        <v>0</v>
      </c>
      <c r="T16605" t="s">
        <v>58997</v>
      </c>
    </row>
    <row r="16606" spans="1:20" customFormat="1" ht="15" x14ac:dyDescent="0.25">
      <c r="A16606" t="s">
        <v>24</v>
      </c>
      <c r="B16606" t="s">
        <v>1473</v>
      </c>
      <c r="C16606" t="str">
        <f>"A0090373"</f>
        <v>A0090373</v>
      </c>
      <c r="D16606" t="s">
        <v>58998</v>
      </c>
      <c r="E16606" t="s">
        <v>58999</v>
      </c>
      <c r="F16606" t="s">
        <v>1476</v>
      </c>
      <c r="G16606" t="s">
        <v>99</v>
      </c>
      <c r="H16606">
        <v>14618</v>
      </c>
      <c r="I16606" t="s">
        <v>30</v>
      </c>
      <c r="J16606" t="s">
        <v>31</v>
      </c>
      <c r="K16606" t="s">
        <v>296</v>
      </c>
      <c r="N16606" t="s">
        <v>1477</v>
      </c>
      <c r="O16606" t="s">
        <v>59000</v>
      </c>
      <c r="Q16606">
        <v>0</v>
      </c>
      <c r="R16606">
        <v>43</v>
      </c>
      <c r="S16606">
        <v>0</v>
      </c>
      <c r="T16606" t="s">
        <v>59001</v>
      </c>
    </row>
    <row r="16607" spans="1:20" customFormat="1" ht="15" hidden="1" x14ac:dyDescent="0.25">
      <c r="A16607" t="s">
        <v>24</v>
      </c>
      <c r="B16607" t="s">
        <v>2202</v>
      </c>
      <c r="C16607" t="str">
        <f>"A0068890"</f>
        <v>A0068890</v>
      </c>
      <c r="D16607" t="s">
        <v>59002</v>
      </c>
      <c r="E16607" t="s">
        <v>59003</v>
      </c>
      <c r="F16607" t="s">
        <v>59004</v>
      </c>
      <c r="G16607" t="s">
        <v>38009</v>
      </c>
      <c r="H16607" t="s">
        <v>59005</v>
      </c>
      <c r="I16607" t="s">
        <v>1459</v>
      </c>
      <c r="J16607" t="s">
        <v>31</v>
      </c>
      <c r="K16607" t="s">
        <v>296</v>
      </c>
      <c r="N16607" t="s">
        <v>59006</v>
      </c>
      <c r="Q16607">
        <v>0</v>
      </c>
      <c r="R16607">
        <v>80</v>
      </c>
      <c r="S16607">
        <v>0</v>
      </c>
      <c r="T16607" t="s">
        <v>59007</v>
      </c>
    </row>
    <row r="16608" spans="1:20" customFormat="1" ht="15" hidden="1" x14ac:dyDescent="0.25">
      <c r="A16608" t="s">
        <v>24</v>
      </c>
      <c r="B16608" t="s">
        <v>2202</v>
      </c>
      <c r="C16608" t="str">
        <f>"A0068882"</f>
        <v>A0068882</v>
      </c>
      <c r="D16608" t="s">
        <v>59008</v>
      </c>
      <c r="E16608" t="s">
        <v>59009</v>
      </c>
      <c r="F16608" t="s">
        <v>59010</v>
      </c>
      <c r="G16608" t="s">
        <v>5439</v>
      </c>
      <c r="H16608" t="s">
        <v>59011</v>
      </c>
      <c r="I16608" t="s">
        <v>1459</v>
      </c>
      <c r="J16608" t="s">
        <v>31</v>
      </c>
      <c r="K16608" t="s">
        <v>296</v>
      </c>
      <c r="N16608" t="s">
        <v>59012</v>
      </c>
      <c r="Q16608">
        <v>0</v>
      </c>
      <c r="R16608">
        <v>59</v>
      </c>
      <c r="S16608">
        <v>0</v>
      </c>
      <c r="T16608" t="s">
        <v>59013</v>
      </c>
    </row>
    <row r="16609" spans="1:20" customFormat="1" ht="15" hidden="1" x14ac:dyDescent="0.25">
      <c r="A16609" t="s">
        <v>24</v>
      </c>
      <c r="B16609" t="s">
        <v>2202</v>
      </c>
      <c r="C16609" t="str">
        <f>"A0068854"</f>
        <v>A0068854</v>
      </c>
      <c r="D16609" t="s">
        <v>59014</v>
      </c>
      <c r="E16609" t="s">
        <v>59015</v>
      </c>
      <c r="F16609" t="s">
        <v>59016</v>
      </c>
      <c r="G16609" t="s">
        <v>2206</v>
      </c>
      <c r="H16609" t="s">
        <v>59017</v>
      </c>
      <c r="I16609" t="s">
        <v>1459</v>
      </c>
      <c r="J16609" t="s">
        <v>31</v>
      </c>
      <c r="K16609" t="s">
        <v>296</v>
      </c>
      <c r="N16609" t="s">
        <v>59018</v>
      </c>
      <c r="Q16609">
        <v>0</v>
      </c>
      <c r="R16609">
        <v>61</v>
      </c>
      <c r="S16609">
        <v>0</v>
      </c>
      <c r="T16609" t="s">
        <v>59019</v>
      </c>
    </row>
    <row r="16610" spans="1:20" customFormat="1" ht="15" hidden="1" x14ac:dyDescent="0.25">
      <c r="A16610" t="s">
        <v>24</v>
      </c>
      <c r="B16610" t="s">
        <v>2202</v>
      </c>
      <c r="C16610" t="str">
        <f>"A0154014"</f>
        <v>A0154014</v>
      </c>
      <c r="D16610" t="s">
        <v>59020</v>
      </c>
      <c r="E16610" t="s">
        <v>59021</v>
      </c>
      <c r="F16610" t="s">
        <v>59022</v>
      </c>
      <c r="G16610" t="s">
        <v>5439</v>
      </c>
      <c r="H16610" t="s">
        <v>59023</v>
      </c>
      <c r="I16610" t="s">
        <v>1459</v>
      </c>
      <c r="J16610" t="s">
        <v>31</v>
      </c>
      <c r="K16610" t="s">
        <v>296</v>
      </c>
      <c r="N16610" t="s">
        <v>59024</v>
      </c>
      <c r="Q16610">
        <v>0</v>
      </c>
      <c r="R16610">
        <v>97</v>
      </c>
      <c r="S16610">
        <v>0</v>
      </c>
      <c r="T16610" t="s">
        <v>59025</v>
      </c>
    </row>
    <row r="16611" spans="1:20" customFormat="1" ht="15" hidden="1" x14ac:dyDescent="0.25">
      <c r="A16611" t="s">
        <v>24</v>
      </c>
      <c r="B16611" t="s">
        <v>2202</v>
      </c>
      <c r="C16611" t="str">
        <f>"A0068796"</f>
        <v>A0068796</v>
      </c>
      <c r="D16611" t="s">
        <v>59026</v>
      </c>
      <c r="E16611" t="s">
        <v>59027</v>
      </c>
      <c r="F16611" t="s">
        <v>58787</v>
      </c>
      <c r="G16611" t="s">
        <v>58788</v>
      </c>
      <c r="H16611" t="s">
        <v>59028</v>
      </c>
      <c r="I16611" t="s">
        <v>1459</v>
      </c>
      <c r="J16611" t="s">
        <v>31</v>
      </c>
      <c r="K16611" t="s">
        <v>296</v>
      </c>
      <c r="N16611" t="s">
        <v>59029</v>
      </c>
      <c r="Q16611">
        <v>0</v>
      </c>
      <c r="R16611">
        <v>80</v>
      </c>
      <c r="S16611">
        <v>0</v>
      </c>
      <c r="T16611" t="s">
        <v>59030</v>
      </c>
    </row>
    <row r="16612" spans="1:20" customFormat="1" ht="15" x14ac:dyDescent="0.25">
      <c r="A16612" t="s">
        <v>24</v>
      </c>
      <c r="B16612" t="s">
        <v>59031</v>
      </c>
      <c r="C16612" t="str">
        <f>"A0093333"</f>
        <v>A0093333</v>
      </c>
      <c r="D16612" t="s">
        <v>59032</v>
      </c>
      <c r="E16612" t="s">
        <v>59033</v>
      </c>
      <c r="F16612" t="s">
        <v>59034</v>
      </c>
      <c r="G16612" t="s">
        <v>2391</v>
      </c>
      <c r="H16612">
        <v>5403</v>
      </c>
      <c r="I16612" t="s">
        <v>30</v>
      </c>
      <c r="J16612" t="s">
        <v>31</v>
      </c>
      <c r="K16612" t="s">
        <v>296</v>
      </c>
      <c r="N16612" t="s">
        <v>59035</v>
      </c>
      <c r="Q16612">
        <v>0</v>
      </c>
      <c r="R16612">
        <v>86</v>
      </c>
      <c r="S16612">
        <v>0</v>
      </c>
      <c r="T16612" t="s">
        <v>59036</v>
      </c>
    </row>
    <row r="16613" spans="1:20" customFormat="1" ht="15" hidden="1" x14ac:dyDescent="0.25">
      <c r="A16613" t="s">
        <v>24</v>
      </c>
      <c r="B16613" t="s">
        <v>2202</v>
      </c>
      <c r="C16613" t="str">
        <f>"A0068872"</f>
        <v>A0068872</v>
      </c>
      <c r="D16613" t="s">
        <v>59037</v>
      </c>
      <c r="E16613" t="s">
        <v>59038</v>
      </c>
      <c r="F16613" t="s">
        <v>59039</v>
      </c>
      <c r="G16613" t="s">
        <v>5439</v>
      </c>
      <c r="H16613" t="s">
        <v>59040</v>
      </c>
      <c r="I16613" t="s">
        <v>1459</v>
      </c>
      <c r="J16613" t="s">
        <v>31</v>
      </c>
      <c r="K16613" t="s">
        <v>296</v>
      </c>
      <c r="N16613" t="s">
        <v>59041</v>
      </c>
      <c r="Q16613">
        <v>0</v>
      </c>
      <c r="R16613">
        <v>100</v>
      </c>
      <c r="S16613">
        <v>0</v>
      </c>
      <c r="T16613" t="s">
        <v>59042</v>
      </c>
    </row>
    <row r="16614" spans="1:20" customFormat="1" ht="15" x14ac:dyDescent="0.25">
      <c r="A16614" t="s">
        <v>24</v>
      </c>
      <c r="B16614" t="s">
        <v>1020</v>
      </c>
      <c r="C16614" t="str">
        <f>"A0091009"</f>
        <v>A0091009</v>
      </c>
      <c r="D16614" t="s">
        <v>59043</v>
      </c>
      <c r="E16614" t="s">
        <v>59044</v>
      </c>
      <c r="F16614" t="s">
        <v>2198</v>
      </c>
      <c r="G16614" t="s">
        <v>52</v>
      </c>
      <c r="H16614">
        <v>75461</v>
      </c>
      <c r="I16614" t="s">
        <v>30</v>
      </c>
      <c r="J16614" t="s">
        <v>31</v>
      </c>
      <c r="K16614" t="s">
        <v>296</v>
      </c>
      <c r="N16614" t="s">
        <v>59045</v>
      </c>
      <c r="Q16614">
        <v>0</v>
      </c>
      <c r="R16614">
        <v>56</v>
      </c>
      <c r="S16614">
        <v>0</v>
      </c>
      <c r="T16614" t="s">
        <v>59046</v>
      </c>
    </row>
    <row r="16615" spans="1:20" customFormat="1" ht="15" x14ac:dyDescent="0.25">
      <c r="A16615" t="s">
        <v>24</v>
      </c>
      <c r="B16615" t="s">
        <v>5435</v>
      </c>
      <c r="C16615" t="str">
        <f>"432P5"</f>
        <v>432P5</v>
      </c>
      <c r="D16615" t="s">
        <v>59047</v>
      </c>
      <c r="E16615" t="s">
        <v>59048</v>
      </c>
      <c r="F16615" t="s">
        <v>59049</v>
      </c>
      <c r="G16615" t="s">
        <v>99</v>
      </c>
      <c r="H16615">
        <v>11791</v>
      </c>
      <c r="I16615" t="s">
        <v>30</v>
      </c>
      <c r="J16615" t="s">
        <v>31</v>
      </c>
      <c r="K16615" t="s">
        <v>296</v>
      </c>
      <c r="N16615" t="s">
        <v>59050</v>
      </c>
      <c r="Q16615">
        <v>0</v>
      </c>
      <c r="R16615">
        <v>82</v>
      </c>
      <c r="S16615">
        <v>0</v>
      </c>
      <c r="T16615" t="s">
        <v>59051</v>
      </c>
    </row>
    <row r="16616" spans="1:20" customFormat="1" ht="15" x14ac:dyDescent="0.25">
      <c r="A16616" t="s">
        <v>24</v>
      </c>
      <c r="B16616" t="s">
        <v>59052</v>
      </c>
      <c r="C16616" t="str">
        <f>"A0064614"</f>
        <v>A0064614</v>
      </c>
      <c r="D16616" t="s">
        <v>59053</v>
      </c>
      <c r="E16616" t="s">
        <v>59054</v>
      </c>
      <c r="F16616" t="s">
        <v>659</v>
      </c>
      <c r="G16616" t="s">
        <v>81</v>
      </c>
      <c r="H16616">
        <v>32608</v>
      </c>
      <c r="I16616" t="s">
        <v>30</v>
      </c>
      <c r="J16616" t="s">
        <v>31</v>
      </c>
      <c r="K16616" t="s">
        <v>296</v>
      </c>
      <c r="N16616" t="s">
        <v>59055</v>
      </c>
      <c r="Q16616">
        <v>0</v>
      </c>
      <c r="R16616">
        <v>83</v>
      </c>
      <c r="S16616">
        <v>0</v>
      </c>
      <c r="T16616" t="s">
        <v>59056</v>
      </c>
    </row>
    <row r="16617" spans="1:20" customFormat="1" ht="15" hidden="1" x14ac:dyDescent="0.25">
      <c r="A16617" t="s">
        <v>24</v>
      </c>
      <c r="B16617" t="s">
        <v>2202</v>
      </c>
      <c r="C16617" t="str">
        <f>"A0068781"</f>
        <v>A0068781</v>
      </c>
      <c r="D16617" t="s">
        <v>59057</v>
      </c>
      <c r="E16617" t="s">
        <v>59058</v>
      </c>
      <c r="F16617" t="s">
        <v>59059</v>
      </c>
      <c r="G16617" t="s">
        <v>1457</v>
      </c>
      <c r="H16617" t="s">
        <v>59060</v>
      </c>
      <c r="I16617" t="s">
        <v>1459</v>
      </c>
      <c r="J16617" t="s">
        <v>31</v>
      </c>
      <c r="K16617" t="s">
        <v>296</v>
      </c>
      <c r="N16617" t="s">
        <v>59061</v>
      </c>
      <c r="Q16617">
        <v>0</v>
      </c>
      <c r="R16617">
        <v>100</v>
      </c>
      <c r="S16617">
        <v>0</v>
      </c>
      <c r="T16617" t="s">
        <v>59062</v>
      </c>
    </row>
    <row r="16618" spans="1:20" customFormat="1" ht="15" hidden="1" x14ac:dyDescent="0.25">
      <c r="A16618" t="s">
        <v>24</v>
      </c>
      <c r="B16618" t="s">
        <v>2202</v>
      </c>
      <c r="C16618" t="str">
        <f>"A0068773"</f>
        <v>A0068773</v>
      </c>
      <c r="D16618" t="s">
        <v>59063</v>
      </c>
      <c r="E16618" t="s">
        <v>59064</v>
      </c>
      <c r="F16618" t="s">
        <v>56045</v>
      </c>
      <c r="G16618" t="s">
        <v>2206</v>
      </c>
      <c r="H16618" t="s">
        <v>59065</v>
      </c>
      <c r="I16618" t="s">
        <v>1459</v>
      </c>
      <c r="J16618" t="s">
        <v>31</v>
      </c>
      <c r="K16618" t="s">
        <v>296</v>
      </c>
      <c r="N16618" t="s">
        <v>59066</v>
      </c>
      <c r="Q16618">
        <v>0</v>
      </c>
      <c r="R16618">
        <v>146</v>
      </c>
      <c r="S16618">
        <v>0</v>
      </c>
      <c r="T16618" t="s">
        <v>59067</v>
      </c>
    </row>
    <row r="16619" spans="1:20" customFormat="1" ht="15" x14ac:dyDescent="0.25">
      <c r="A16619" t="s">
        <v>24</v>
      </c>
      <c r="B16619" t="s">
        <v>8366</v>
      </c>
      <c r="C16619" t="str">
        <f>"88CI136"</f>
        <v>88CI136</v>
      </c>
      <c r="D16619" t="s">
        <v>59068</v>
      </c>
      <c r="E16619" t="s">
        <v>59069</v>
      </c>
      <c r="F16619" t="s">
        <v>53258</v>
      </c>
      <c r="G16619" t="s">
        <v>899</v>
      </c>
      <c r="H16619">
        <v>1801</v>
      </c>
      <c r="I16619" t="s">
        <v>30</v>
      </c>
      <c r="J16619" t="s">
        <v>31</v>
      </c>
      <c r="K16619" t="s">
        <v>296</v>
      </c>
      <c r="N16619" t="s">
        <v>59070</v>
      </c>
      <c r="Q16619">
        <v>0</v>
      </c>
      <c r="R16619">
        <v>65</v>
      </c>
      <c r="S16619">
        <v>0</v>
      </c>
      <c r="T16619" t="s">
        <v>59071</v>
      </c>
    </row>
    <row r="16620" spans="1:20" customFormat="1" ht="15" x14ac:dyDescent="0.25">
      <c r="A16620" t="s">
        <v>24</v>
      </c>
      <c r="B16620" t="s">
        <v>3502</v>
      </c>
      <c r="C16620" t="str">
        <f>"A0094058"</f>
        <v>A0094058</v>
      </c>
      <c r="D16620" t="s">
        <v>59072</v>
      </c>
      <c r="E16620" t="s">
        <v>59073</v>
      </c>
      <c r="F16620" t="s">
        <v>2094</v>
      </c>
      <c r="G16620" t="s">
        <v>52</v>
      </c>
      <c r="H16620">
        <v>75243</v>
      </c>
      <c r="I16620" t="s">
        <v>30</v>
      </c>
      <c r="J16620" t="s">
        <v>31</v>
      </c>
      <c r="K16620" t="s">
        <v>296</v>
      </c>
      <c r="N16620" t="s">
        <v>59074</v>
      </c>
      <c r="Q16620">
        <v>0</v>
      </c>
      <c r="R16620">
        <v>78</v>
      </c>
      <c r="S16620">
        <v>0</v>
      </c>
      <c r="T16620" t="s">
        <v>59075</v>
      </c>
    </row>
    <row r="16621" spans="1:20" customFormat="1" ht="15" x14ac:dyDescent="0.25">
      <c r="A16621" t="s">
        <v>24</v>
      </c>
      <c r="B16621" t="s">
        <v>7220</v>
      </c>
      <c r="C16621" t="str">
        <f>"A0094209"</f>
        <v>A0094209</v>
      </c>
      <c r="D16621" t="s">
        <v>59076</v>
      </c>
      <c r="E16621" t="s">
        <v>59077</v>
      </c>
      <c r="F16621" t="s">
        <v>57243</v>
      </c>
      <c r="G16621" t="s">
        <v>71</v>
      </c>
      <c r="H16621">
        <v>54971</v>
      </c>
      <c r="I16621" t="s">
        <v>30</v>
      </c>
      <c r="J16621" t="s">
        <v>31</v>
      </c>
      <c r="K16621" t="s">
        <v>296</v>
      </c>
      <c r="N16621" t="s">
        <v>59078</v>
      </c>
      <c r="Q16621">
        <v>0</v>
      </c>
      <c r="R16621">
        <v>72</v>
      </c>
      <c r="S16621">
        <v>0</v>
      </c>
      <c r="T16621" t="s">
        <v>59079</v>
      </c>
    </row>
    <row r="16622" spans="1:20" customFormat="1" ht="15" x14ac:dyDescent="0.25">
      <c r="A16622" t="s">
        <v>24</v>
      </c>
      <c r="B16622" t="s">
        <v>59080</v>
      </c>
      <c r="C16622" t="str">
        <f>"A0154640"</f>
        <v>A0154640</v>
      </c>
      <c r="D16622" t="s">
        <v>59081</v>
      </c>
      <c r="E16622" t="s">
        <v>59082</v>
      </c>
      <c r="F16622" t="s">
        <v>56780</v>
      </c>
      <c r="G16622" t="s">
        <v>110</v>
      </c>
      <c r="H16622">
        <v>92311</v>
      </c>
      <c r="I16622" t="s">
        <v>30</v>
      </c>
      <c r="J16622" t="s">
        <v>31</v>
      </c>
      <c r="K16622" t="s">
        <v>296</v>
      </c>
      <c r="N16622" t="s">
        <v>59083</v>
      </c>
      <c r="O16622" t="s">
        <v>59084</v>
      </c>
      <c r="Q16622">
        <v>0</v>
      </c>
      <c r="R16622">
        <v>83</v>
      </c>
      <c r="S16622">
        <v>0</v>
      </c>
      <c r="T16622" t="s">
        <v>59085</v>
      </c>
    </row>
    <row r="16623" spans="1:20" customFormat="1" ht="15" x14ac:dyDescent="0.25">
      <c r="A16623" t="s">
        <v>24</v>
      </c>
      <c r="B16623" t="s">
        <v>32773</v>
      </c>
      <c r="C16623" t="str">
        <f>"A0148423"</f>
        <v>A0148423</v>
      </c>
      <c r="D16623" t="s">
        <v>59086</v>
      </c>
      <c r="E16623" t="s">
        <v>59087</v>
      </c>
      <c r="F16623" t="s">
        <v>5152</v>
      </c>
      <c r="G16623" t="s">
        <v>840</v>
      </c>
      <c r="H16623">
        <v>42104</v>
      </c>
      <c r="I16623" t="s">
        <v>30</v>
      </c>
      <c r="J16623" t="s">
        <v>31</v>
      </c>
      <c r="K16623" t="s">
        <v>296</v>
      </c>
      <c r="N16623" t="s">
        <v>59088</v>
      </c>
      <c r="Q16623">
        <v>0</v>
      </c>
      <c r="R16623">
        <v>81</v>
      </c>
      <c r="S16623">
        <v>0</v>
      </c>
      <c r="T16623" t="s">
        <v>59089</v>
      </c>
    </row>
    <row r="16624" spans="1:20" customFormat="1" ht="15" x14ac:dyDescent="0.25">
      <c r="A16624" t="s">
        <v>24</v>
      </c>
      <c r="B16624" t="s">
        <v>1020</v>
      </c>
      <c r="C16624" t="str">
        <f>"A0091012"</f>
        <v>A0091012</v>
      </c>
      <c r="D16624" t="s">
        <v>59090</v>
      </c>
      <c r="E16624" t="s">
        <v>59091</v>
      </c>
      <c r="F16624" t="s">
        <v>59092</v>
      </c>
      <c r="G16624" t="s">
        <v>52</v>
      </c>
      <c r="H16624">
        <v>78610</v>
      </c>
      <c r="I16624" t="s">
        <v>30</v>
      </c>
      <c r="J16624" t="s">
        <v>31</v>
      </c>
      <c r="K16624" t="s">
        <v>296</v>
      </c>
      <c r="N16624" t="s">
        <v>59093</v>
      </c>
      <c r="O16624" t="s">
        <v>59094</v>
      </c>
      <c r="Q16624">
        <v>0</v>
      </c>
      <c r="R16624">
        <v>74</v>
      </c>
      <c r="S16624">
        <v>0</v>
      </c>
      <c r="T16624" t="s">
        <v>59095</v>
      </c>
    </row>
    <row r="16625" spans="1:20" customFormat="1" ht="15" x14ac:dyDescent="0.25">
      <c r="A16625" t="s">
        <v>24</v>
      </c>
      <c r="B16625" t="s">
        <v>56986</v>
      </c>
      <c r="C16625" t="str">
        <f>"A0155404"</f>
        <v>A0155404</v>
      </c>
      <c r="D16625" t="s">
        <v>59096</v>
      </c>
      <c r="E16625" t="s">
        <v>59097</v>
      </c>
      <c r="F16625" t="s">
        <v>56955</v>
      </c>
      <c r="G16625" t="s">
        <v>190</v>
      </c>
      <c r="H16625">
        <v>80109</v>
      </c>
      <c r="I16625" t="s">
        <v>30</v>
      </c>
      <c r="J16625" t="s">
        <v>31</v>
      </c>
      <c r="K16625" t="s">
        <v>296</v>
      </c>
      <c r="N16625" t="s">
        <v>59098</v>
      </c>
      <c r="Q16625">
        <v>0</v>
      </c>
      <c r="R16625">
        <v>66</v>
      </c>
      <c r="S16625">
        <v>0</v>
      </c>
      <c r="T16625" t="s">
        <v>59099</v>
      </c>
    </row>
    <row r="16626" spans="1:20" customFormat="1" ht="15" x14ac:dyDescent="0.25">
      <c r="A16626" t="s">
        <v>24</v>
      </c>
      <c r="B16626" t="s">
        <v>2340</v>
      </c>
      <c r="C16626" t="str">
        <f>"A0086969"</f>
        <v>A0086969</v>
      </c>
      <c r="D16626" t="s">
        <v>59100</v>
      </c>
      <c r="E16626" t="s">
        <v>59101</v>
      </c>
      <c r="F16626" t="s">
        <v>28</v>
      </c>
      <c r="G16626" t="s">
        <v>29</v>
      </c>
      <c r="H16626">
        <v>20151</v>
      </c>
      <c r="I16626" t="s">
        <v>30</v>
      </c>
      <c r="J16626" t="s">
        <v>31</v>
      </c>
      <c r="K16626" t="s">
        <v>296</v>
      </c>
      <c r="N16626" t="s">
        <v>59102</v>
      </c>
      <c r="Q16626">
        <v>0</v>
      </c>
      <c r="R16626">
        <v>89</v>
      </c>
      <c r="S16626">
        <v>0</v>
      </c>
      <c r="T16626" t="s">
        <v>59103</v>
      </c>
    </row>
    <row r="16627" spans="1:20" customFormat="1" ht="15" x14ac:dyDescent="0.25">
      <c r="A16627" t="s">
        <v>24</v>
      </c>
      <c r="B16627" t="s">
        <v>59104</v>
      </c>
      <c r="C16627" t="str">
        <f>"A0095549"</f>
        <v>A0095549</v>
      </c>
      <c r="D16627" t="s">
        <v>59105</v>
      </c>
      <c r="E16627" t="s">
        <v>59106</v>
      </c>
      <c r="F16627" t="s">
        <v>7699</v>
      </c>
      <c r="G16627" t="s">
        <v>81</v>
      </c>
      <c r="H16627">
        <v>33755</v>
      </c>
      <c r="I16627" t="s">
        <v>30</v>
      </c>
      <c r="J16627" t="s">
        <v>31</v>
      </c>
      <c r="K16627" t="s">
        <v>296</v>
      </c>
      <c r="N16627" t="s">
        <v>59107</v>
      </c>
      <c r="Q16627">
        <v>0</v>
      </c>
      <c r="R16627">
        <v>50</v>
      </c>
      <c r="S16627">
        <v>0</v>
      </c>
      <c r="T16627" t="s">
        <v>59108</v>
      </c>
    </row>
    <row r="16628" spans="1:20" customFormat="1" ht="15" x14ac:dyDescent="0.25">
      <c r="A16628" t="s">
        <v>24</v>
      </c>
      <c r="B16628" t="s">
        <v>55247</v>
      </c>
      <c r="C16628" t="str">
        <f>"88CI127"</f>
        <v>88CI127</v>
      </c>
      <c r="D16628" t="s">
        <v>59109</v>
      </c>
      <c r="E16628" t="s">
        <v>59110</v>
      </c>
      <c r="F16628" t="s">
        <v>1525</v>
      </c>
      <c r="G16628" t="s">
        <v>65</v>
      </c>
      <c r="H16628">
        <v>43228</v>
      </c>
      <c r="I16628" t="s">
        <v>30</v>
      </c>
      <c r="J16628" t="s">
        <v>31</v>
      </c>
      <c r="K16628" t="s">
        <v>296</v>
      </c>
      <c r="N16628" t="s">
        <v>59111</v>
      </c>
      <c r="Q16628">
        <v>0</v>
      </c>
      <c r="R16628">
        <v>71</v>
      </c>
      <c r="S16628">
        <v>0</v>
      </c>
      <c r="T16628" t="s">
        <v>59112</v>
      </c>
    </row>
    <row r="16629" spans="1:20" customFormat="1" ht="15" x14ac:dyDescent="0.25">
      <c r="A16629" t="s">
        <v>24</v>
      </c>
      <c r="B16629" t="s">
        <v>1473</v>
      </c>
      <c r="C16629" t="str">
        <f>"A0090376"</f>
        <v>A0090376</v>
      </c>
      <c r="D16629" t="s">
        <v>59113</v>
      </c>
      <c r="E16629" t="s">
        <v>59114</v>
      </c>
      <c r="F16629" t="s">
        <v>13665</v>
      </c>
      <c r="G16629" t="s">
        <v>880</v>
      </c>
      <c r="H16629">
        <v>38501</v>
      </c>
      <c r="I16629" t="s">
        <v>30</v>
      </c>
      <c r="J16629" t="s">
        <v>31</v>
      </c>
      <c r="K16629" t="s">
        <v>296</v>
      </c>
      <c r="N16629" t="s">
        <v>13596</v>
      </c>
      <c r="Q16629">
        <v>0</v>
      </c>
      <c r="R16629">
        <v>54</v>
      </c>
      <c r="S16629">
        <v>0</v>
      </c>
      <c r="T16629" t="s">
        <v>59115</v>
      </c>
    </row>
    <row r="16630" spans="1:20" customFormat="1" ht="15" x14ac:dyDescent="0.25">
      <c r="A16630" t="s">
        <v>24</v>
      </c>
      <c r="B16630" t="s">
        <v>59116</v>
      </c>
      <c r="C16630" t="str">
        <f>"A0095887"</f>
        <v>A0095887</v>
      </c>
      <c r="D16630" t="s">
        <v>59117</v>
      </c>
      <c r="E16630" t="s">
        <v>59118</v>
      </c>
      <c r="F16630" t="s">
        <v>59119</v>
      </c>
      <c r="G16630" t="s">
        <v>190</v>
      </c>
      <c r="H16630">
        <v>80111</v>
      </c>
      <c r="I16630" t="s">
        <v>30</v>
      </c>
      <c r="J16630" t="s">
        <v>31</v>
      </c>
      <c r="K16630" t="s">
        <v>296</v>
      </c>
      <c r="N16630" t="s">
        <v>59120</v>
      </c>
      <c r="O16630" t="s">
        <v>59121</v>
      </c>
      <c r="Q16630">
        <v>0</v>
      </c>
      <c r="R16630">
        <v>78</v>
      </c>
      <c r="S16630">
        <v>0</v>
      </c>
      <c r="T16630" t="s">
        <v>59122</v>
      </c>
    </row>
    <row r="16631" spans="1:20" customFormat="1" ht="15" x14ac:dyDescent="0.25">
      <c r="A16631" t="s">
        <v>24</v>
      </c>
      <c r="B16631" t="s">
        <v>1192</v>
      </c>
      <c r="C16631" t="str">
        <f>"A0093933"</f>
        <v>A0093933</v>
      </c>
      <c r="D16631" t="s">
        <v>59123</v>
      </c>
      <c r="E16631" t="s">
        <v>59124</v>
      </c>
      <c r="F16631" t="s">
        <v>985</v>
      </c>
      <c r="G16631" t="s">
        <v>81</v>
      </c>
      <c r="H16631">
        <v>32801</v>
      </c>
      <c r="I16631" t="s">
        <v>30</v>
      </c>
      <c r="J16631" t="s">
        <v>31</v>
      </c>
      <c r="K16631" t="s">
        <v>296</v>
      </c>
      <c r="N16631" t="s">
        <v>59125</v>
      </c>
      <c r="Q16631">
        <v>0</v>
      </c>
      <c r="R16631">
        <v>122</v>
      </c>
      <c r="S16631">
        <v>0</v>
      </c>
      <c r="T16631" t="s">
        <v>59126</v>
      </c>
    </row>
    <row r="16632" spans="1:20" customFormat="1" ht="15" x14ac:dyDescent="0.25">
      <c r="A16632" t="s">
        <v>24</v>
      </c>
      <c r="B16632" t="s">
        <v>32773</v>
      </c>
      <c r="C16632" t="str">
        <f>"A0157414"</f>
        <v>A0157414</v>
      </c>
      <c r="D16632" t="s">
        <v>59127</v>
      </c>
      <c r="E16632" t="s">
        <v>59128</v>
      </c>
      <c r="F16632" t="s">
        <v>59129</v>
      </c>
      <c r="G16632" t="s">
        <v>840</v>
      </c>
      <c r="H16632">
        <v>41035</v>
      </c>
      <c r="I16632" t="s">
        <v>30</v>
      </c>
      <c r="J16632" t="s">
        <v>31</v>
      </c>
      <c r="K16632" t="s">
        <v>296</v>
      </c>
      <c r="N16632" t="s">
        <v>59130</v>
      </c>
      <c r="Q16632">
        <v>0</v>
      </c>
      <c r="R16632">
        <v>81</v>
      </c>
      <c r="S16632">
        <v>0</v>
      </c>
      <c r="T16632" t="s">
        <v>59131</v>
      </c>
    </row>
    <row r="16633" spans="1:20" customFormat="1" ht="15" x14ac:dyDescent="0.25">
      <c r="A16633" t="s">
        <v>24</v>
      </c>
      <c r="B16633" t="s">
        <v>706</v>
      </c>
      <c r="C16633" t="str">
        <f>"A0096247"</f>
        <v>A0096247</v>
      </c>
      <c r="D16633" t="s">
        <v>59132</v>
      </c>
      <c r="E16633" t="s">
        <v>59133</v>
      </c>
      <c r="F16633" t="s">
        <v>59134</v>
      </c>
      <c r="G16633" t="s">
        <v>81</v>
      </c>
      <c r="H16633">
        <v>34432</v>
      </c>
      <c r="I16633" t="s">
        <v>30</v>
      </c>
      <c r="J16633" t="s">
        <v>31</v>
      </c>
      <c r="K16633" t="s">
        <v>296</v>
      </c>
      <c r="N16633" t="s">
        <v>59135</v>
      </c>
      <c r="O16633" t="s">
        <v>59136</v>
      </c>
      <c r="Q16633">
        <v>0</v>
      </c>
      <c r="R16633">
        <v>70</v>
      </c>
      <c r="S16633">
        <v>0</v>
      </c>
      <c r="T16633" t="s">
        <v>59137</v>
      </c>
    </row>
    <row r="16634" spans="1:20" customFormat="1" ht="15" x14ac:dyDescent="0.25">
      <c r="A16634" t="s">
        <v>24</v>
      </c>
      <c r="B16634" t="s">
        <v>3502</v>
      </c>
      <c r="C16634" t="str">
        <f>"A0094060"</f>
        <v>A0094060</v>
      </c>
      <c r="D16634" t="s">
        <v>59138</v>
      </c>
      <c r="E16634" t="s">
        <v>59139</v>
      </c>
      <c r="F16634" t="s">
        <v>59140</v>
      </c>
      <c r="G16634" t="s">
        <v>52</v>
      </c>
      <c r="H16634">
        <v>75119</v>
      </c>
      <c r="I16634" t="s">
        <v>30</v>
      </c>
      <c r="J16634" t="s">
        <v>31</v>
      </c>
      <c r="K16634" t="s">
        <v>296</v>
      </c>
      <c r="N16634" t="s">
        <v>57045</v>
      </c>
      <c r="Q16634">
        <v>0</v>
      </c>
      <c r="R16634">
        <v>69</v>
      </c>
      <c r="S16634">
        <v>0</v>
      </c>
      <c r="T16634" t="s">
        <v>59141</v>
      </c>
    </row>
    <row r="16635" spans="1:20" customFormat="1" ht="15" x14ac:dyDescent="0.25">
      <c r="A16635" t="s">
        <v>24</v>
      </c>
      <c r="B16635" t="s">
        <v>59142</v>
      </c>
      <c r="C16635" t="str">
        <f>"88CI135"</f>
        <v>88CI135</v>
      </c>
      <c r="D16635" t="s">
        <v>59143</v>
      </c>
      <c r="E16635" t="s">
        <v>59144</v>
      </c>
      <c r="F16635" t="s">
        <v>3837</v>
      </c>
      <c r="G16635" t="s">
        <v>47</v>
      </c>
      <c r="H16635">
        <v>97477</v>
      </c>
      <c r="I16635" t="s">
        <v>30</v>
      </c>
      <c r="J16635" t="s">
        <v>31</v>
      </c>
      <c r="K16635" t="s">
        <v>296</v>
      </c>
      <c r="N16635" t="s">
        <v>59145</v>
      </c>
      <c r="Q16635">
        <v>0</v>
      </c>
      <c r="R16635">
        <v>77</v>
      </c>
      <c r="S16635">
        <v>0</v>
      </c>
      <c r="T16635" t="s">
        <v>59146</v>
      </c>
    </row>
    <row r="16636" spans="1:20" customFormat="1" ht="15" x14ac:dyDescent="0.25">
      <c r="A16636" t="s">
        <v>24</v>
      </c>
      <c r="B16636" t="s">
        <v>58814</v>
      </c>
      <c r="C16636" t="str">
        <f>"A0076359"</f>
        <v>A0076359</v>
      </c>
      <c r="D16636" t="s">
        <v>59147</v>
      </c>
      <c r="E16636" t="s">
        <v>59148</v>
      </c>
      <c r="F16636" t="s">
        <v>59149</v>
      </c>
      <c r="G16636" t="s">
        <v>381</v>
      </c>
      <c r="H16636">
        <v>46256</v>
      </c>
      <c r="I16636" t="s">
        <v>30</v>
      </c>
      <c r="J16636" t="s">
        <v>145</v>
      </c>
      <c r="K16636" t="s">
        <v>296</v>
      </c>
      <c r="N16636" t="s">
        <v>59150</v>
      </c>
      <c r="O16636" t="s">
        <v>59151</v>
      </c>
      <c r="Q16636">
        <v>0</v>
      </c>
      <c r="R16636">
        <v>65</v>
      </c>
      <c r="S16636">
        <v>0</v>
      </c>
      <c r="T16636" t="s">
        <v>59152</v>
      </c>
    </row>
    <row r="16637" spans="1:20" customFormat="1" ht="15" x14ac:dyDescent="0.25">
      <c r="A16637" t="s">
        <v>24</v>
      </c>
      <c r="B16637" t="s">
        <v>706</v>
      </c>
      <c r="C16637" t="str">
        <f>"A0154095"</f>
        <v>A0154095</v>
      </c>
      <c r="D16637" t="s">
        <v>59153</v>
      </c>
      <c r="E16637" t="s">
        <v>59154</v>
      </c>
      <c r="F16637" t="s">
        <v>659</v>
      </c>
      <c r="G16637" t="s">
        <v>81</v>
      </c>
      <c r="H16637">
        <v>32608</v>
      </c>
      <c r="I16637" t="s">
        <v>30</v>
      </c>
      <c r="J16637" t="s">
        <v>31</v>
      </c>
      <c r="K16637" t="s">
        <v>296</v>
      </c>
      <c r="N16637" t="s">
        <v>59155</v>
      </c>
      <c r="O16637" t="s">
        <v>59156</v>
      </c>
      <c r="Q16637">
        <v>0</v>
      </c>
      <c r="R16637">
        <v>105</v>
      </c>
      <c r="S16637">
        <v>0</v>
      </c>
      <c r="T16637" t="s">
        <v>59157</v>
      </c>
    </row>
    <row r="16638" spans="1:20" customFormat="1" ht="15" x14ac:dyDescent="0.25">
      <c r="A16638" t="s">
        <v>24</v>
      </c>
      <c r="B16638" t="s">
        <v>5830</v>
      </c>
      <c r="C16638" t="str">
        <f>"A0093549"</f>
        <v>A0093549</v>
      </c>
      <c r="D16638" t="s">
        <v>59158</v>
      </c>
      <c r="E16638" t="s">
        <v>59159</v>
      </c>
      <c r="F16638" t="s">
        <v>59160</v>
      </c>
      <c r="G16638" t="s">
        <v>214</v>
      </c>
      <c r="H16638">
        <v>28054</v>
      </c>
      <c r="I16638" t="s">
        <v>30</v>
      </c>
      <c r="J16638" t="s">
        <v>31</v>
      </c>
      <c r="K16638" t="s">
        <v>296</v>
      </c>
      <c r="N16638" t="s">
        <v>59161</v>
      </c>
      <c r="Q16638">
        <v>0</v>
      </c>
      <c r="R16638">
        <v>108</v>
      </c>
      <c r="S16638">
        <v>0</v>
      </c>
      <c r="T16638" t="s">
        <v>59162</v>
      </c>
    </row>
    <row r="16639" spans="1:20" customFormat="1" ht="15" x14ac:dyDescent="0.25">
      <c r="A16639" t="s">
        <v>24</v>
      </c>
      <c r="B16639" t="s">
        <v>12901</v>
      </c>
      <c r="C16639" t="str">
        <f>"A0092531"</f>
        <v>A0092531</v>
      </c>
      <c r="D16639" t="s">
        <v>59163</v>
      </c>
      <c r="E16639" t="s">
        <v>59164</v>
      </c>
      <c r="F16639" t="s">
        <v>1195</v>
      </c>
      <c r="G16639" t="s">
        <v>840</v>
      </c>
      <c r="H16639">
        <v>40324</v>
      </c>
      <c r="I16639" t="s">
        <v>30</v>
      </c>
      <c r="J16639" t="s">
        <v>31</v>
      </c>
      <c r="K16639" t="s">
        <v>296</v>
      </c>
      <c r="N16639" t="s">
        <v>59165</v>
      </c>
      <c r="Q16639">
        <v>0</v>
      </c>
      <c r="R16639">
        <v>67</v>
      </c>
      <c r="S16639">
        <v>0</v>
      </c>
      <c r="T16639" t="s">
        <v>59166</v>
      </c>
    </row>
    <row r="16640" spans="1:20" customFormat="1" ht="15" x14ac:dyDescent="0.25">
      <c r="A16640" t="s">
        <v>24</v>
      </c>
      <c r="B16640" t="s">
        <v>59167</v>
      </c>
      <c r="C16640" t="str">
        <f>"A0157198"</f>
        <v>A0157198</v>
      </c>
      <c r="D16640" t="s">
        <v>59168</v>
      </c>
      <c r="E16640" t="s">
        <v>59169</v>
      </c>
      <c r="F16640" t="s">
        <v>5905</v>
      </c>
      <c r="G16640" t="s">
        <v>58</v>
      </c>
      <c r="H16640">
        <v>29615</v>
      </c>
      <c r="I16640" t="s">
        <v>30</v>
      </c>
      <c r="J16640" t="s">
        <v>31</v>
      </c>
      <c r="K16640" t="s">
        <v>296</v>
      </c>
      <c r="N16640" t="s">
        <v>59170</v>
      </c>
      <c r="O16640" t="s">
        <v>59171</v>
      </c>
      <c r="Q16640">
        <v>0</v>
      </c>
      <c r="R16640">
        <v>93</v>
      </c>
      <c r="S16640">
        <v>0</v>
      </c>
      <c r="T16640" t="s">
        <v>59172</v>
      </c>
    </row>
    <row r="16641" spans="1:20" customFormat="1" ht="15" x14ac:dyDescent="0.25">
      <c r="A16641" t="s">
        <v>24</v>
      </c>
      <c r="B16641" t="s">
        <v>1473</v>
      </c>
      <c r="C16641" t="str">
        <f>"A0151677"</f>
        <v>A0151677</v>
      </c>
      <c r="D16641" t="s">
        <v>59173</v>
      </c>
      <c r="E16641" t="s">
        <v>59174</v>
      </c>
      <c r="F16641" t="s">
        <v>56789</v>
      </c>
      <c r="G16641" t="s">
        <v>65</v>
      </c>
      <c r="H16641">
        <v>43123</v>
      </c>
      <c r="I16641" t="s">
        <v>30</v>
      </c>
      <c r="J16641" t="s">
        <v>31</v>
      </c>
      <c r="K16641" t="s">
        <v>296</v>
      </c>
      <c r="N16641" t="s">
        <v>59175</v>
      </c>
      <c r="Q16641">
        <v>0</v>
      </c>
      <c r="R16641">
        <v>82</v>
      </c>
      <c r="S16641">
        <v>0</v>
      </c>
      <c r="T16641" t="s">
        <v>59176</v>
      </c>
    </row>
    <row r="16642" spans="1:20" customFormat="1" ht="15" x14ac:dyDescent="0.25">
      <c r="A16642" t="s">
        <v>24</v>
      </c>
      <c r="B16642" t="s">
        <v>54598</v>
      </c>
      <c r="C16642" t="str">
        <f>"A0147533"</f>
        <v>A0147533</v>
      </c>
      <c r="D16642" t="s">
        <v>59177</v>
      </c>
      <c r="E16642" t="s">
        <v>59178</v>
      </c>
      <c r="F16642" t="s">
        <v>59179</v>
      </c>
      <c r="G16642" t="s">
        <v>846</v>
      </c>
      <c r="H16642">
        <v>30043</v>
      </c>
      <c r="I16642" t="s">
        <v>30</v>
      </c>
      <c r="J16642" t="s">
        <v>31</v>
      </c>
      <c r="K16642" t="s">
        <v>296</v>
      </c>
      <c r="N16642" t="s">
        <v>59180</v>
      </c>
      <c r="Q16642">
        <v>0</v>
      </c>
      <c r="R16642">
        <v>52</v>
      </c>
      <c r="S16642">
        <v>0</v>
      </c>
      <c r="T16642" t="s">
        <v>59181</v>
      </c>
    </row>
    <row r="16643" spans="1:20" customFormat="1" ht="15" x14ac:dyDescent="0.25">
      <c r="A16643" t="s">
        <v>24</v>
      </c>
      <c r="B16643" t="s">
        <v>3502</v>
      </c>
      <c r="C16643" t="str">
        <f>"A0146897"</f>
        <v>A0146897</v>
      </c>
      <c r="D16643" t="s">
        <v>59182</v>
      </c>
      <c r="E16643" t="s">
        <v>59183</v>
      </c>
      <c r="F16643" t="s">
        <v>59184</v>
      </c>
      <c r="G16643" t="s">
        <v>52</v>
      </c>
      <c r="H16643">
        <v>77396</v>
      </c>
      <c r="I16643" t="s">
        <v>30</v>
      </c>
      <c r="J16643" t="s">
        <v>31</v>
      </c>
      <c r="K16643" t="s">
        <v>296</v>
      </c>
      <c r="N16643" t="s">
        <v>3506</v>
      </c>
      <c r="O16643" t="s">
        <v>59185</v>
      </c>
      <c r="Q16643">
        <v>0</v>
      </c>
      <c r="R16643">
        <v>86</v>
      </c>
      <c r="S16643">
        <v>0</v>
      </c>
      <c r="T16643" t="s">
        <v>59186</v>
      </c>
    </row>
    <row r="16644" spans="1:20" customFormat="1" ht="15" x14ac:dyDescent="0.25">
      <c r="A16644" t="s">
        <v>24</v>
      </c>
      <c r="B16644" t="s">
        <v>55987</v>
      </c>
      <c r="C16644" t="str">
        <f>"A0101124"</f>
        <v>A0101124</v>
      </c>
      <c r="D16644" t="s">
        <v>59187</v>
      </c>
      <c r="E16644" t="s">
        <v>59188</v>
      </c>
      <c r="F16644" t="s">
        <v>4417</v>
      </c>
      <c r="G16644" t="s">
        <v>137</v>
      </c>
      <c r="H16644">
        <v>64057</v>
      </c>
      <c r="I16644" t="s">
        <v>30</v>
      </c>
      <c r="J16644" t="s">
        <v>31</v>
      </c>
      <c r="K16644" t="s">
        <v>296</v>
      </c>
      <c r="N16644" t="s">
        <v>59189</v>
      </c>
      <c r="Q16644">
        <v>0</v>
      </c>
      <c r="R16644">
        <v>88</v>
      </c>
      <c r="S16644">
        <v>0</v>
      </c>
      <c r="T16644" t="s">
        <v>59190</v>
      </c>
    </row>
    <row r="16645" spans="1:20" customFormat="1" ht="15" x14ac:dyDescent="0.25">
      <c r="A16645" t="s">
        <v>24</v>
      </c>
      <c r="B16645" t="s">
        <v>57165</v>
      </c>
      <c r="C16645" t="str">
        <f>"A0092292"</f>
        <v>A0092292</v>
      </c>
      <c r="D16645" t="s">
        <v>59191</v>
      </c>
      <c r="E16645" t="s">
        <v>59192</v>
      </c>
      <c r="F16645" t="s">
        <v>59193</v>
      </c>
      <c r="G16645" t="s">
        <v>71</v>
      </c>
      <c r="H16645">
        <v>53038</v>
      </c>
      <c r="I16645" t="s">
        <v>30</v>
      </c>
      <c r="J16645" t="s">
        <v>31</v>
      </c>
      <c r="K16645" t="s">
        <v>296</v>
      </c>
      <c r="N16645" t="s">
        <v>57169</v>
      </c>
      <c r="O16645" t="s">
        <v>59194</v>
      </c>
      <c r="Q16645">
        <v>0</v>
      </c>
      <c r="R16645">
        <v>100</v>
      </c>
      <c r="S16645">
        <v>0</v>
      </c>
      <c r="T16645" t="s">
        <v>59195</v>
      </c>
    </row>
    <row r="16646" spans="1:20" customFormat="1" ht="15" x14ac:dyDescent="0.25">
      <c r="A16646" t="s">
        <v>24</v>
      </c>
      <c r="B16646" t="s">
        <v>706</v>
      </c>
      <c r="C16646" t="str">
        <f>"A0151282"</f>
        <v>A0151282</v>
      </c>
      <c r="D16646" t="s">
        <v>59196</v>
      </c>
      <c r="E16646" t="s">
        <v>59197</v>
      </c>
      <c r="F16646" t="s">
        <v>1326</v>
      </c>
      <c r="G16646" t="s">
        <v>81</v>
      </c>
      <c r="H16646">
        <v>34475</v>
      </c>
      <c r="I16646" t="s">
        <v>30</v>
      </c>
      <c r="J16646" t="s">
        <v>31</v>
      </c>
      <c r="K16646" t="s">
        <v>296</v>
      </c>
      <c r="N16646" t="s">
        <v>59198</v>
      </c>
      <c r="Q16646">
        <v>0</v>
      </c>
      <c r="R16646">
        <v>89</v>
      </c>
      <c r="S16646">
        <v>0</v>
      </c>
      <c r="T16646" t="s">
        <v>59199</v>
      </c>
    </row>
    <row r="16647" spans="1:20" customFormat="1" ht="15" x14ac:dyDescent="0.25">
      <c r="A16647" t="s">
        <v>24</v>
      </c>
      <c r="B16647" t="s">
        <v>59200</v>
      </c>
      <c r="C16647" t="str">
        <f>"A0075515"</f>
        <v>A0075515</v>
      </c>
      <c r="D16647" t="s">
        <v>59201</v>
      </c>
      <c r="E16647" t="s">
        <v>59202</v>
      </c>
      <c r="F16647" t="s">
        <v>35000</v>
      </c>
      <c r="G16647" t="s">
        <v>289</v>
      </c>
      <c r="H16647">
        <v>60176</v>
      </c>
      <c r="I16647" t="s">
        <v>30</v>
      </c>
      <c r="J16647" t="s">
        <v>31</v>
      </c>
      <c r="K16647" t="s">
        <v>296</v>
      </c>
      <c r="N16647" t="s">
        <v>59203</v>
      </c>
      <c r="O16647" t="s">
        <v>59204</v>
      </c>
      <c r="Q16647">
        <v>0</v>
      </c>
      <c r="R16647">
        <v>160</v>
      </c>
      <c r="S16647">
        <v>0</v>
      </c>
      <c r="T16647" t="s">
        <v>59205</v>
      </c>
    </row>
    <row r="16648" spans="1:20" customFormat="1" ht="15" x14ac:dyDescent="0.25">
      <c r="A16648" t="s">
        <v>24</v>
      </c>
      <c r="B16648" t="s">
        <v>11697</v>
      </c>
      <c r="C16648" t="str">
        <f>"A0146621"</f>
        <v>A0146621</v>
      </c>
      <c r="D16648" t="s">
        <v>59206</v>
      </c>
      <c r="E16648" t="s">
        <v>59207</v>
      </c>
      <c r="F16648" t="s">
        <v>59208</v>
      </c>
      <c r="G16648" t="s">
        <v>81</v>
      </c>
      <c r="H16648">
        <v>32907</v>
      </c>
      <c r="I16648" t="s">
        <v>30</v>
      </c>
      <c r="J16648" t="s">
        <v>31</v>
      </c>
      <c r="K16648" t="s">
        <v>296</v>
      </c>
      <c r="N16648" t="s">
        <v>6489</v>
      </c>
      <c r="Q16648">
        <v>0</v>
      </c>
      <c r="R16648">
        <v>83</v>
      </c>
      <c r="S16648">
        <v>0</v>
      </c>
      <c r="T16648" t="s">
        <v>59209</v>
      </c>
    </row>
    <row r="16649" spans="1:20" customFormat="1" ht="15" x14ac:dyDescent="0.25">
      <c r="A16649" t="s">
        <v>24</v>
      </c>
      <c r="B16649" t="s">
        <v>1473</v>
      </c>
      <c r="C16649" t="str">
        <f>"A0090377"</f>
        <v>A0090377</v>
      </c>
      <c r="D16649" t="s">
        <v>59210</v>
      </c>
      <c r="E16649" t="s">
        <v>59211</v>
      </c>
      <c r="F16649" t="s">
        <v>3932</v>
      </c>
      <c r="G16649" t="s">
        <v>117</v>
      </c>
      <c r="H16649">
        <v>49548</v>
      </c>
      <c r="I16649" t="s">
        <v>30</v>
      </c>
      <c r="J16649" t="s">
        <v>31</v>
      </c>
      <c r="K16649" t="s">
        <v>296</v>
      </c>
      <c r="N16649" t="s">
        <v>59212</v>
      </c>
      <c r="Q16649">
        <v>0</v>
      </c>
      <c r="R16649">
        <v>78</v>
      </c>
      <c r="S16649">
        <v>0</v>
      </c>
      <c r="T16649" t="s">
        <v>59213</v>
      </c>
    </row>
    <row r="16650" spans="1:20" customFormat="1" ht="15" x14ac:dyDescent="0.25">
      <c r="A16650" t="s">
        <v>24</v>
      </c>
      <c r="B16650" t="s">
        <v>59031</v>
      </c>
      <c r="C16650" t="str">
        <f>"SF09666"</f>
        <v>SF09666</v>
      </c>
      <c r="D16650" t="s">
        <v>59214</v>
      </c>
      <c r="E16650" t="s">
        <v>59215</v>
      </c>
      <c r="F16650" t="s">
        <v>59216</v>
      </c>
      <c r="G16650" t="s">
        <v>2391</v>
      </c>
      <c r="H16650">
        <v>5403</v>
      </c>
      <c r="I16650" t="s">
        <v>30</v>
      </c>
      <c r="J16650" t="s">
        <v>31</v>
      </c>
      <c r="K16650" t="s">
        <v>296</v>
      </c>
      <c r="N16650" t="s">
        <v>59217</v>
      </c>
      <c r="O16650" t="s">
        <v>59218</v>
      </c>
      <c r="Q16650">
        <v>0</v>
      </c>
      <c r="R16650">
        <v>84</v>
      </c>
      <c r="S16650">
        <v>0</v>
      </c>
      <c r="T16650" t="s">
        <v>59219</v>
      </c>
    </row>
    <row r="16651" spans="1:20" customFormat="1" ht="15" x14ac:dyDescent="0.25">
      <c r="A16651" t="s">
        <v>24</v>
      </c>
      <c r="B16651" t="s">
        <v>58814</v>
      </c>
      <c r="C16651" t="str">
        <f>"A0084794"</f>
        <v>A0084794</v>
      </c>
      <c r="D16651" t="s">
        <v>59220</v>
      </c>
      <c r="E16651" t="s">
        <v>59221</v>
      </c>
      <c r="F16651" t="s">
        <v>9431</v>
      </c>
      <c r="G16651" t="s">
        <v>381</v>
      </c>
      <c r="H16651">
        <v>46237</v>
      </c>
      <c r="I16651" t="s">
        <v>30</v>
      </c>
      <c r="J16651" t="s">
        <v>31</v>
      </c>
      <c r="K16651" t="s">
        <v>296</v>
      </c>
      <c r="N16651" t="s">
        <v>59222</v>
      </c>
      <c r="O16651" t="s">
        <v>59223</v>
      </c>
      <c r="Q16651">
        <v>0</v>
      </c>
      <c r="R16651">
        <v>68</v>
      </c>
      <c r="S16651">
        <v>0</v>
      </c>
      <c r="T16651" t="s">
        <v>59224</v>
      </c>
    </row>
    <row r="16652" spans="1:20" customFormat="1" ht="15" x14ac:dyDescent="0.25">
      <c r="A16652" t="s">
        <v>24</v>
      </c>
      <c r="B16652" t="s">
        <v>257</v>
      </c>
      <c r="C16652" t="str">
        <f>"A0058910"</f>
        <v>A0058910</v>
      </c>
      <c r="D16652" t="s">
        <v>59225</v>
      </c>
      <c r="E16652" t="s">
        <v>59226</v>
      </c>
      <c r="F16652" t="s">
        <v>59227</v>
      </c>
      <c r="G16652" t="s">
        <v>1369</v>
      </c>
      <c r="H16652">
        <v>39759</v>
      </c>
      <c r="I16652" t="s">
        <v>30</v>
      </c>
      <c r="J16652" t="s">
        <v>31</v>
      </c>
      <c r="K16652" t="s">
        <v>296</v>
      </c>
      <c r="N16652" t="s">
        <v>59228</v>
      </c>
      <c r="Q16652">
        <v>0</v>
      </c>
      <c r="R16652">
        <v>76</v>
      </c>
      <c r="S16652">
        <v>0</v>
      </c>
      <c r="T16652" t="s">
        <v>59229</v>
      </c>
    </row>
    <row r="16653" spans="1:20" customFormat="1" ht="15" x14ac:dyDescent="0.25">
      <c r="A16653" t="s">
        <v>24</v>
      </c>
      <c r="B16653" t="s">
        <v>1014</v>
      </c>
      <c r="C16653" t="str">
        <f>"A0091994"</f>
        <v>A0091994</v>
      </c>
      <c r="D16653" t="s">
        <v>59230</v>
      </c>
      <c r="E16653" t="s">
        <v>59231</v>
      </c>
      <c r="F16653" t="s">
        <v>6430</v>
      </c>
      <c r="G16653" t="s">
        <v>52</v>
      </c>
      <c r="H16653">
        <v>76705</v>
      </c>
      <c r="I16653" t="s">
        <v>30</v>
      </c>
      <c r="J16653" t="s">
        <v>31</v>
      </c>
      <c r="K16653" t="s">
        <v>296</v>
      </c>
      <c r="N16653" t="s">
        <v>3912</v>
      </c>
      <c r="Q16653">
        <v>0</v>
      </c>
      <c r="R16653">
        <v>94</v>
      </c>
      <c r="S16653">
        <v>0</v>
      </c>
      <c r="T16653" t="s">
        <v>59232</v>
      </c>
    </row>
    <row r="16654" spans="1:20" customFormat="1" ht="15" x14ac:dyDescent="0.25">
      <c r="A16654" t="s">
        <v>24</v>
      </c>
      <c r="B16654" t="s">
        <v>59233</v>
      </c>
      <c r="C16654" t="str">
        <f>"A0066108"</f>
        <v>A0066108</v>
      </c>
      <c r="D16654" t="s">
        <v>59234</v>
      </c>
      <c r="E16654" t="s">
        <v>59235</v>
      </c>
      <c r="F16654" t="s">
        <v>59236</v>
      </c>
      <c r="G16654" t="s">
        <v>338</v>
      </c>
      <c r="H16654">
        <v>7001</v>
      </c>
      <c r="I16654" t="s">
        <v>30</v>
      </c>
      <c r="J16654" t="s">
        <v>31</v>
      </c>
      <c r="K16654" t="s">
        <v>296</v>
      </c>
      <c r="N16654" t="s">
        <v>59237</v>
      </c>
      <c r="Q16654">
        <v>0</v>
      </c>
      <c r="R16654">
        <v>101</v>
      </c>
      <c r="S16654">
        <v>0</v>
      </c>
      <c r="T16654" t="s">
        <v>59238</v>
      </c>
    </row>
    <row r="16655" spans="1:20" customFormat="1" ht="15" x14ac:dyDescent="0.25">
      <c r="A16655" t="s">
        <v>24</v>
      </c>
      <c r="B16655" t="s">
        <v>2360</v>
      </c>
      <c r="C16655" t="str">
        <f>"CL0971"</f>
        <v>CL0971</v>
      </c>
      <c r="D16655" t="s">
        <v>59239</v>
      </c>
      <c r="E16655" t="s">
        <v>59240</v>
      </c>
      <c r="F16655" t="s">
        <v>845</v>
      </c>
      <c r="G16655" t="s">
        <v>846</v>
      </c>
      <c r="H16655">
        <v>30303</v>
      </c>
      <c r="I16655" t="s">
        <v>30</v>
      </c>
      <c r="J16655" t="s">
        <v>2558</v>
      </c>
      <c r="K16655" t="s">
        <v>56092</v>
      </c>
      <c r="N16655" t="s">
        <v>59241</v>
      </c>
      <c r="Q16655">
        <v>0</v>
      </c>
      <c r="R16655">
        <v>0</v>
      </c>
      <c r="S16655">
        <v>0</v>
      </c>
      <c r="T16655" t="s">
        <v>59242</v>
      </c>
    </row>
    <row r="16656" spans="1:20" customFormat="1" ht="15" x14ac:dyDescent="0.25">
      <c r="A16656" t="s">
        <v>24</v>
      </c>
      <c r="B16656" t="s">
        <v>675</v>
      </c>
      <c r="C16656" t="str">
        <f>"337E5"</f>
        <v>337E5</v>
      </c>
      <c r="D16656" t="s">
        <v>76763</v>
      </c>
      <c r="E16656" t="s">
        <v>76764</v>
      </c>
      <c r="F16656" t="s">
        <v>1153</v>
      </c>
      <c r="G16656" t="s">
        <v>338</v>
      </c>
      <c r="H16656">
        <v>7114</v>
      </c>
      <c r="I16656" t="s">
        <v>30</v>
      </c>
      <c r="J16656" t="s">
        <v>162</v>
      </c>
      <c r="K16656" t="s">
        <v>1490</v>
      </c>
      <c r="N16656" t="s">
        <v>76765</v>
      </c>
      <c r="O16656" t="s">
        <v>76766</v>
      </c>
      <c r="Q16656">
        <v>0</v>
      </c>
      <c r="R16656">
        <v>591</v>
      </c>
      <c r="S16656">
        <v>0</v>
      </c>
      <c r="T16656" t="s">
        <v>76767</v>
      </c>
    </row>
    <row r="16657" spans="1:20" customFormat="1" ht="15" x14ac:dyDescent="0.25">
      <c r="A16657" t="s">
        <v>24</v>
      </c>
      <c r="B16657" t="s">
        <v>8805</v>
      </c>
      <c r="C16657" t="str">
        <f>"A0095076"</f>
        <v>A0095076</v>
      </c>
      <c r="D16657" t="s">
        <v>59247</v>
      </c>
      <c r="E16657" t="s">
        <v>59248</v>
      </c>
      <c r="F16657" t="s">
        <v>59249</v>
      </c>
      <c r="G16657" t="s">
        <v>117</v>
      </c>
      <c r="H16657">
        <v>48390</v>
      </c>
      <c r="I16657" t="s">
        <v>30</v>
      </c>
      <c r="J16657" t="s">
        <v>31</v>
      </c>
      <c r="K16657" t="s">
        <v>222</v>
      </c>
      <c r="N16657" t="s">
        <v>59250</v>
      </c>
      <c r="Q16657">
        <v>0</v>
      </c>
      <c r="R16657">
        <v>71</v>
      </c>
      <c r="S16657">
        <v>0</v>
      </c>
      <c r="T16657" t="s">
        <v>59251</v>
      </c>
    </row>
    <row r="16658" spans="1:20" customFormat="1" ht="15" x14ac:dyDescent="0.25">
      <c r="A16658" t="s">
        <v>24</v>
      </c>
      <c r="B16658" t="s">
        <v>59252</v>
      </c>
      <c r="C16658" t="str">
        <f>"A0050257"</f>
        <v>A0050257</v>
      </c>
      <c r="D16658" t="s">
        <v>59253</v>
      </c>
      <c r="E16658" t="s">
        <v>59254</v>
      </c>
      <c r="F16658" t="s">
        <v>14442</v>
      </c>
      <c r="G16658" t="s">
        <v>103</v>
      </c>
      <c r="H16658">
        <v>19044</v>
      </c>
      <c r="I16658" t="s">
        <v>30</v>
      </c>
      <c r="J16658" t="s">
        <v>178</v>
      </c>
      <c r="K16658" t="s">
        <v>179</v>
      </c>
      <c r="N16658" t="s">
        <v>59255</v>
      </c>
      <c r="O16658" t="s">
        <v>59256</v>
      </c>
      <c r="P16658" t="s">
        <v>992</v>
      </c>
      <c r="Q16658">
        <v>1</v>
      </c>
      <c r="R16658">
        <v>0</v>
      </c>
      <c r="S16658">
        <v>0</v>
      </c>
      <c r="T16658" t="s">
        <v>59257</v>
      </c>
    </row>
    <row r="16659" spans="1:20" customFormat="1" ht="15" x14ac:dyDescent="0.25">
      <c r="A16659" t="s">
        <v>24</v>
      </c>
      <c r="B16659" t="s">
        <v>675</v>
      </c>
      <c r="C16659" t="str">
        <f>"337P1"</f>
        <v>337P1</v>
      </c>
      <c r="D16659" t="s">
        <v>76773</v>
      </c>
      <c r="E16659" t="s">
        <v>76774</v>
      </c>
      <c r="F16659" t="s">
        <v>34412</v>
      </c>
      <c r="G16659" t="s">
        <v>110</v>
      </c>
      <c r="H16659">
        <v>92660</v>
      </c>
      <c r="I16659" t="s">
        <v>30</v>
      </c>
      <c r="J16659" t="s">
        <v>162</v>
      </c>
      <c r="K16659" t="s">
        <v>1490</v>
      </c>
      <c r="N16659" t="s">
        <v>76775</v>
      </c>
      <c r="O16659" t="s">
        <v>76776</v>
      </c>
      <c r="Q16659">
        <v>0</v>
      </c>
      <c r="R16659">
        <v>250</v>
      </c>
      <c r="S16659">
        <v>0</v>
      </c>
      <c r="T16659" t="s">
        <v>76777</v>
      </c>
    </row>
    <row r="16660" spans="1:20" customFormat="1" ht="15" x14ac:dyDescent="0.25">
      <c r="A16660" t="s">
        <v>24</v>
      </c>
      <c r="B16660" t="s">
        <v>6667</v>
      </c>
      <c r="C16660" t="str">
        <f>"A0085871"</f>
        <v>A0085871</v>
      </c>
      <c r="D16660" t="s">
        <v>59263</v>
      </c>
      <c r="E16660" t="s">
        <v>59264</v>
      </c>
      <c r="F16660" t="s">
        <v>2014</v>
      </c>
      <c r="G16660" t="s">
        <v>197</v>
      </c>
      <c r="H16660">
        <v>85251</v>
      </c>
      <c r="I16660" t="s">
        <v>30</v>
      </c>
      <c r="J16660" t="s">
        <v>178</v>
      </c>
      <c r="K16660" t="s">
        <v>6667</v>
      </c>
      <c r="N16660" t="s">
        <v>59265</v>
      </c>
      <c r="O16660" t="s">
        <v>59266</v>
      </c>
      <c r="Q16660">
        <v>0</v>
      </c>
      <c r="R16660">
        <v>0</v>
      </c>
      <c r="S16660">
        <v>0</v>
      </c>
      <c r="T16660" t="s">
        <v>59267</v>
      </c>
    </row>
    <row r="16661" spans="1:20" customFormat="1" ht="15" x14ac:dyDescent="0.25">
      <c r="A16661" t="s">
        <v>24</v>
      </c>
      <c r="B16661" t="s">
        <v>5166</v>
      </c>
      <c r="C16661" t="str">
        <f>"A0085129"</f>
        <v>A0085129</v>
      </c>
      <c r="D16661" t="s">
        <v>59268</v>
      </c>
      <c r="E16661" t="s">
        <v>59269</v>
      </c>
      <c r="F16661" t="s">
        <v>6004</v>
      </c>
      <c r="G16661" t="s">
        <v>1508</v>
      </c>
      <c r="H16661">
        <v>83025</v>
      </c>
      <c r="I16661" t="s">
        <v>30</v>
      </c>
      <c r="J16661" t="s">
        <v>31</v>
      </c>
      <c r="K16661" t="s">
        <v>163</v>
      </c>
      <c r="N16661" t="s">
        <v>59270</v>
      </c>
      <c r="O16661" t="s">
        <v>59271</v>
      </c>
      <c r="Q16661">
        <v>0</v>
      </c>
      <c r="R16661">
        <v>90</v>
      </c>
      <c r="S16661">
        <v>0</v>
      </c>
      <c r="T16661" t="s">
        <v>59272</v>
      </c>
    </row>
    <row r="16662" spans="1:20" customFormat="1" ht="15" x14ac:dyDescent="0.25">
      <c r="A16662" t="s">
        <v>24</v>
      </c>
      <c r="B16662" t="s">
        <v>1548</v>
      </c>
      <c r="C16662" t="str">
        <f>"A0075612"</f>
        <v>A0075612</v>
      </c>
      <c r="D16662" t="s">
        <v>76778</v>
      </c>
      <c r="E16662" t="s">
        <v>76779</v>
      </c>
      <c r="F16662" t="s">
        <v>1003</v>
      </c>
      <c r="G16662" t="s">
        <v>81</v>
      </c>
      <c r="H16662">
        <v>33160</v>
      </c>
      <c r="I16662" t="s">
        <v>30</v>
      </c>
      <c r="J16662" t="s">
        <v>162</v>
      </c>
      <c r="K16662" t="s">
        <v>6809</v>
      </c>
      <c r="N16662" t="s">
        <v>76780</v>
      </c>
      <c r="O16662" t="s">
        <v>76781</v>
      </c>
      <c r="Q16662">
        <v>0</v>
      </c>
      <c r="R16662">
        <v>300</v>
      </c>
      <c r="S16662">
        <v>0</v>
      </c>
      <c r="T16662" t="s">
        <v>76782</v>
      </c>
    </row>
    <row r="16663" spans="1:20" customFormat="1" ht="15" x14ac:dyDescent="0.25">
      <c r="A16663" t="s">
        <v>24</v>
      </c>
      <c r="B16663" t="s">
        <v>1098</v>
      </c>
      <c r="C16663" t="str">
        <f>"88IN113"</f>
        <v>88IN113</v>
      </c>
      <c r="D16663" t="s">
        <v>76792</v>
      </c>
      <c r="E16663" t="s">
        <v>76793</v>
      </c>
      <c r="F16663" t="s">
        <v>33618</v>
      </c>
      <c r="G16663" t="s">
        <v>90</v>
      </c>
      <c r="H16663">
        <v>2840</v>
      </c>
      <c r="I16663" t="s">
        <v>30</v>
      </c>
      <c r="J16663" t="s">
        <v>162</v>
      </c>
      <c r="K16663" t="s">
        <v>13697</v>
      </c>
      <c r="N16663" t="s">
        <v>76794</v>
      </c>
      <c r="O16663" t="s">
        <v>1102</v>
      </c>
      <c r="Q16663">
        <v>0</v>
      </c>
      <c r="R16663">
        <v>133</v>
      </c>
      <c r="S16663">
        <v>0</v>
      </c>
      <c r="T16663" t="s">
        <v>76795</v>
      </c>
    </row>
    <row r="16664" spans="1:20" customFormat="1" ht="15" x14ac:dyDescent="0.25">
      <c r="A16664" t="s">
        <v>24</v>
      </c>
      <c r="B16664" t="s">
        <v>675</v>
      </c>
      <c r="C16664" t="str">
        <f>"337M0"</f>
        <v>337M0</v>
      </c>
      <c r="D16664" t="s">
        <v>76796</v>
      </c>
      <c r="E16664" t="s">
        <v>76797</v>
      </c>
      <c r="F16664" t="s">
        <v>33618</v>
      </c>
      <c r="G16664" t="s">
        <v>90</v>
      </c>
      <c r="H16664">
        <v>2840</v>
      </c>
      <c r="I16664" t="s">
        <v>30</v>
      </c>
      <c r="J16664" t="s">
        <v>162</v>
      </c>
      <c r="K16664" t="s">
        <v>1490</v>
      </c>
      <c r="N16664" t="s">
        <v>76798</v>
      </c>
      <c r="O16664" t="s">
        <v>10080</v>
      </c>
      <c r="Q16664">
        <v>0</v>
      </c>
      <c r="R16664">
        <v>317</v>
      </c>
      <c r="S16664">
        <v>0</v>
      </c>
      <c r="T16664" t="s">
        <v>76799</v>
      </c>
    </row>
    <row r="16665" spans="1:20" customFormat="1" ht="15" hidden="1" x14ac:dyDescent="0.25">
      <c r="A16665" t="s">
        <v>24</v>
      </c>
      <c r="B16665" t="s">
        <v>55676</v>
      </c>
      <c r="C16665" t="str">
        <f>"A0100907"</f>
        <v>A0100907</v>
      </c>
      <c r="D16665" t="s">
        <v>59289</v>
      </c>
      <c r="E16665" t="s">
        <v>59290</v>
      </c>
      <c r="F16665" t="s">
        <v>5874</v>
      </c>
      <c r="G16665" t="s">
        <v>3843</v>
      </c>
      <c r="H16665">
        <v>5348</v>
      </c>
      <c r="I16665" t="s">
        <v>2408</v>
      </c>
      <c r="J16665" t="s">
        <v>215</v>
      </c>
      <c r="K16665" t="s">
        <v>163</v>
      </c>
      <c r="N16665" t="s">
        <v>59291</v>
      </c>
      <c r="Q16665">
        <v>0</v>
      </c>
      <c r="R16665">
        <v>27</v>
      </c>
      <c r="S16665">
        <v>0</v>
      </c>
      <c r="T16665" t="s">
        <v>59292</v>
      </c>
    </row>
    <row r="16666" spans="1:20" customFormat="1" ht="15" hidden="1" x14ac:dyDescent="0.25">
      <c r="A16666" t="s">
        <v>24</v>
      </c>
      <c r="B16666" t="s">
        <v>55676</v>
      </c>
      <c r="C16666" t="str">
        <f>"A0100908"</f>
        <v>A0100908</v>
      </c>
      <c r="D16666" t="s">
        <v>59293</v>
      </c>
      <c r="E16666" t="s">
        <v>59294</v>
      </c>
      <c r="F16666" t="s">
        <v>5874</v>
      </c>
      <c r="G16666" t="s">
        <v>3843</v>
      </c>
      <c r="H16666">
        <v>11200</v>
      </c>
      <c r="I16666" t="s">
        <v>2408</v>
      </c>
      <c r="J16666" t="s">
        <v>215</v>
      </c>
      <c r="K16666" t="s">
        <v>163</v>
      </c>
      <c r="N16666" t="s">
        <v>59291</v>
      </c>
      <c r="Q16666">
        <v>0</v>
      </c>
      <c r="R16666">
        <v>9</v>
      </c>
      <c r="S16666">
        <v>0</v>
      </c>
      <c r="T16666" t="s">
        <v>59292</v>
      </c>
    </row>
    <row r="16667" spans="1:20" customFormat="1" ht="15" hidden="1" x14ac:dyDescent="0.25">
      <c r="A16667" t="s">
        <v>24</v>
      </c>
      <c r="B16667" t="s">
        <v>55676</v>
      </c>
      <c r="C16667" t="str">
        <f>"A0100928"</f>
        <v>A0100928</v>
      </c>
      <c r="D16667" t="s">
        <v>59295</v>
      </c>
      <c r="E16667" t="s">
        <v>59296</v>
      </c>
      <c r="F16667" t="s">
        <v>59297</v>
      </c>
      <c r="G16667" t="s">
        <v>13345</v>
      </c>
      <c r="H16667">
        <v>52760</v>
      </c>
      <c r="I16667" t="s">
        <v>2408</v>
      </c>
      <c r="J16667" t="s">
        <v>2272</v>
      </c>
      <c r="K16667" t="s">
        <v>163</v>
      </c>
      <c r="N16667" t="s">
        <v>55679</v>
      </c>
      <c r="Q16667">
        <v>0</v>
      </c>
      <c r="R16667">
        <v>216</v>
      </c>
      <c r="S16667">
        <v>0</v>
      </c>
      <c r="T16667" t="s">
        <v>55680</v>
      </c>
    </row>
    <row r="16668" spans="1:20" customFormat="1" ht="15" x14ac:dyDescent="0.25">
      <c r="A16668" t="s">
        <v>24</v>
      </c>
      <c r="B16668" t="s">
        <v>2955</v>
      </c>
      <c r="C16668" t="str">
        <f>"A0076670"</f>
        <v>A0076670</v>
      </c>
      <c r="D16668" t="s">
        <v>76800</v>
      </c>
      <c r="E16668" t="s">
        <v>76801</v>
      </c>
      <c r="F16668" t="s">
        <v>61260</v>
      </c>
      <c r="G16668" t="s">
        <v>29</v>
      </c>
      <c r="H16668">
        <v>23606</v>
      </c>
      <c r="I16668" t="s">
        <v>30</v>
      </c>
      <c r="J16668" t="s">
        <v>162</v>
      </c>
      <c r="K16668" t="s">
        <v>57369</v>
      </c>
      <c r="N16668" t="s">
        <v>76802</v>
      </c>
      <c r="Q16668">
        <v>0</v>
      </c>
      <c r="R16668">
        <v>256</v>
      </c>
      <c r="S16668">
        <v>0</v>
      </c>
      <c r="T16668" t="s">
        <v>76803</v>
      </c>
    </row>
    <row r="16669" spans="1:20" customFormat="1" ht="15" hidden="1" x14ac:dyDescent="0.25">
      <c r="A16669" t="s">
        <v>24</v>
      </c>
      <c r="B16669" t="s">
        <v>675</v>
      </c>
      <c r="C16669" t="str">
        <f>"39002"</f>
        <v>39002</v>
      </c>
      <c r="D16669" t="s">
        <v>59302</v>
      </c>
      <c r="E16669" t="s">
        <v>59303</v>
      </c>
      <c r="F16669" t="s">
        <v>4802</v>
      </c>
      <c r="G16669" t="s">
        <v>6356</v>
      </c>
      <c r="H16669">
        <v>40703</v>
      </c>
      <c r="I16669" t="s">
        <v>4803</v>
      </c>
      <c r="J16669" t="s">
        <v>162</v>
      </c>
      <c r="K16669" t="s">
        <v>1490</v>
      </c>
      <c r="N16669" t="s">
        <v>59304</v>
      </c>
      <c r="O16669" t="s">
        <v>59305</v>
      </c>
      <c r="P16669" t="s">
        <v>992</v>
      </c>
      <c r="Q16669">
        <v>0</v>
      </c>
      <c r="R16669">
        <v>251</v>
      </c>
      <c r="S16669">
        <v>0</v>
      </c>
      <c r="T16669" t="s">
        <v>59306</v>
      </c>
    </row>
    <row r="16670" spans="1:20" customFormat="1" ht="15" x14ac:dyDescent="0.25">
      <c r="A16670" t="s">
        <v>24</v>
      </c>
      <c r="B16670" t="s">
        <v>2360</v>
      </c>
      <c r="C16670" t="str">
        <f>"CL1084"</f>
        <v>CL1084</v>
      </c>
      <c r="D16670" t="s">
        <v>59307</v>
      </c>
      <c r="E16670" t="s">
        <v>59308</v>
      </c>
      <c r="F16670" t="s">
        <v>59309</v>
      </c>
      <c r="G16670" t="s">
        <v>110</v>
      </c>
      <c r="H16670">
        <v>92679</v>
      </c>
      <c r="I16670" t="s">
        <v>30</v>
      </c>
      <c r="J16670" t="s">
        <v>178</v>
      </c>
      <c r="K16670" t="s">
        <v>56092</v>
      </c>
      <c r="N16670" t="s">
        <v>59310</v>
      </c>
      <c r="O16670" t="s">
        <v>59311</v>
      </c>
      <c r="P16670" t="s">
        <v>992</v>
      </c>
      <c r="Q16670">
        <v>2</v>
      </c>
      <c r="R16670">
        <v>0</v>
      </c>
      <c r="S16670">
        <v>0</v>
      </c>
      <c r="T16670" t="s">
        <v>59312</v>
      </c>
    </row>
    <row r="16671" spans="1:20" customFormat="1" ht="15" x14ac:dyDescent="0.25">
      <c r="A16671" t="s">
        <v>24</v>
      </c>
      <c r="B16671" t="s">
        <v>2360</v>
      </c>
      <c r="C16671" t="str">
        <f>"88IN100"</f>
        <v>88IN100</v>
      </c>
      <c r="D16671" t="s">
        <v>59313</v>
      </c>
      <c r="E16671" t="s">
        <v>59314</v>
      </c>
      <c r="F16671" t="s">
        <v>1525</v>
      </c>
      <c r="G16671" t="s">
        <v>846</v>
      </c>
      <c r="H16671">
        <v>31906</v>
      </c>
      <c r="I16671" t="s">
        <v>30</v>
      </c>
      <c r="J16671" t="s">
        <v>178</v>
      </c>
      <c r="K16671" t="s">
        <v>179</v>
      </c>
      <c r="N16671" t="s">
        <v>59315</v>
      </c>
      <c r="Q16671">
        <v>1</v>
      </c>
      <c r="R16671">
        <v>0</v>
      </c>
      <c r="S16671">
        <v>0</v>
      </c>
      <c r="T16671" t="s">
        <v>59316</v>
      </c>
    </row>
    <row r="16672" spans="1:20" customFormat="1" ht="15" x14ac:dyDescent="0.25">
      <c r="A16672" t="s">
        <v>24</v>
      </c>
      <c r="B16672" t="s">
        <v>2360</v>
      </c>
      <c r="C16672" t="str">
        <f>"CL1098"</f>
        <v>CL1098</v>
      </c>
      <c r="D16672" t="s">
        <v>59317</v>
      </c>
      <c r="E16672" t="s">
        <v>59318</v>
      </c>
      <c r="F16672" t="s">
        <v>35912</v>
      </c>
      <c r="G16672" t="s">
        <v>58</v>
      </c>
      <c r="H16672">
        <v>29926</v>
      </c>
      <c r="I16672" t="s">
        <v>30</v>
      </c>
      <c r="J16672" t="s">
        <v>178</v>
      </c>
      <c r="K16672" t="s">
        <v>55688</v>
      </c>
      <c r="N16672" t="s">
        <v>59319</v>
      </c>
      <c r="P16672" t="s">
        <v>992</v>
      </c>
      <c r="Q16672">
        <v>1</v>
      </c>
      <c r="R16672">
        <v>0</v>
      </c>
      <c r="S16672">
        <v>0</v>
      </c>
      <c r="T16672" t="s">
        <v>59320</v>
      </c>
    </row>
    <row r="16673" spans="1:20" customFormat="1" ht="15" x14ac:dyDescent="0.25">
      <c r="A16673" t="s">
        <v>24</v>
      </c>
      <c r="B16673" t="s">
        <v>2360</v>
      </c>
      <c r="C16673" t="str">
        <f>"A0049434"</f>
        <v>A0049434</v>
      </c>
      <c r="D16673" t="s">
        <v>59321</v>
      </c>
      <c r="E16673" t="s">
        <v>59322</v>
      </c>
      <c r="F16673" t="s">
        <v>59323</v>
      </c>
      <c r="G16673" t="s">
        <v>846</v>
      </c>
      <c r="H16673">
        <v>30022</v>
      </c>
      <c r="I16673" t="s">
        <v>30</v>
      </c>
      <c r="J16673" t="s">
        <v>178</v>
      </c>
      <c r="K16673" t="s">
        <v>56092</v>
      </c>
      <c r="N16673" t="s">
        <v>59324</v>
      </c>
      <c r="O16673" t="s">
        <v>59325</v>
      </c>
      <c r="Q16673">
        <v>1</v>
      </c>
      <c r="R16673">
        <v>0</v>
      </c>
      <c r="S16673">
        <v>0</v>
      </c>
      <c r="T16673" t="s">
        <v>59326</v>
      </c>
    </row>
    <row r="16674" spans="1:20" customFormat="1" ht="15" x14ac:dyDescent="0.25">
      <c r="A16674" t="s">
        <v>24</v>
      </c>
      <c r="B16674" t="s">
        <v>62881</v>
      </c>
      <c r="C16674" t="str">
        <f>"34310"</f>
        <v>34310</v>
      </c>
      <c r="D16674" t="s">
        <v>76843</v>
      </c>
      <c r="E16674" t="s">
        <v>76844</v>
      </c>
      <c r="F16674" t="s">
        <v>61274</v>
      </c>
      <c r="G16674" t="s">
        <v>29</v>
      </c>
      <c r="H16674">
        <v>23510</v>
      </c>
      <c r="I16674" t="s">
        <v>30</v>
      </c>
      <c r="J16674" t="s">
        <v>162</v>
      </c>
      <c r="K16674" t="s">
        <v>1490</v>
      </c>
      <c r="N16674" t="s">
        <v>76845</v>
      </c>
      <c r="O16674" t="s">
        <v>76846</v>
      </c>
      <c r="Q16674">
        <v>0</v>
      </c>
      <c r="R16674">
        <v>407</v>
      </c>
      <c r="S16674">
        <v>0</v>
      </c>
      <c r="T16674" t="s">
        <v>76847</v>
      </c>
    </row>
    <row r="16675" spans="1:20" customFormat="1" ht="15" x14ac:dyDescent="0.25">
      <c r="A16675" t="s">
        <v>24</v>
      </c>
      <c r="B16675" t="s">
        <v>1156</v>
      </c>
      <c r="C16675" t="str">
        <f>"A0087476"</f>
        <v>A0087476</v>
      </c>
      <c r="D16675" t="s">
        <v>76848</v>
      </c>
      <c r="E16675" t="s">
        <v>76849</v>
      </c>
      <c r="F16675" t="s">
        <v>56572</v>
      </c>
      <c r="G16675" t="s">
        <v>58</v>
      </c>
      <c r="H16675">
        <v>29582</v>
      </c>
      <c r="I16675" t="s">
        <v>30</v>
      </c>
      <c r="J16675" t="s">
        <v>162</v>
      </c>
      <c r="K16675" t="s">
        <v>163</v>
      </c>
      <c r="N16675" t="s">
        <v>76850</v>
      </c>
      <c r="O16675" t="s">
        <v>76851</v>
      </c>
      <c r="P16675" t="s">
        <v>3998</v>
      </c>
      <c r="Q16675">
        <v>1</v>
      </c>
      <c r="R16675">
        <v>84</v>
      </c>
      <c r="S16675">
        <v>0</v>
      </c>
      <c r="T16675" t="s">
        <v>76852</v>
      </c>
    </row>
    <row r="16676" spans="1:20" customFormat="1" ht="15" x14ac:dyDescent="0.25">
      <c r="A16676" t="s">
        <v>24</v>
      </c>
      <c r="B16676" t="s">
        <v>13299</v>
      </c>
      <c r="C16676" t="str">
        <f>"A0069062"</f>
        <v>A0069062</v>
      </c>
      <c r="D16676" t="s">
        <v>76853</v>
      </c>
      <c r="E16676" t="s">
        <v>76854</v>
      </c>
      <c r="F16676" t="s">
        <v>13824</v>
      </c>
      <c r="G16676" t="s">
        <v>58</v>
      </c>
      <c r="H16676">
        <v>29406</v>
      </c>
      <c r="I16676" t="s">
        <v>30</v>
      </c>
      <c r="J16676" t="s">
        <v>162</v>
      </c>
      <c r="K16676" t="s">
        <v>1490</v>
      </c>
      <c r="N16676" t="s">
        <v>76855</v>
      </c>
      <c r="O16676" t="s">
        <v>76856</v>
      </c>
      <c r="Q16676">
        <v>0</v>
      </c>
      <c r="R16676">
        <v>289</v>
      </c>
      <c r="S16676">
        <v>0</v>
      </c>
      <c r="T16676" t="s">
        <v>76857</v>
      </c>
    </row>
    <row r="16677" spans="1:20" customFormat="1" ht="15" x14ac:dyDescent="0.25">
      <c r="A16677" t="s">
        <v>24</v>
      </c>
      <c r="B16677" t="s">
        <v>13304</v>
      </c>
      <c r="C16677" t="str">
        <f>"A0148763"</f>
        <v>A0148763</v>
      </c>
      <c r="D16677" t="s">
        <v>76885</v>
      </c>
      <c r="E16677" t="s">
        <v>76886</v>
      </c>
      <c r="F16677" t="s">
        <v>1889</v>
      </c>
      <c r="G16677" t="s">
        <v>81</v>
      </c>
      <c r="H16677">
        <v>33129</v>
      </c>
      <c r="I16677" t="s">
        <v>30</v>
      </c>
      <c r="J16677" t="s">
        <v>162</v>
      </c>
      <c r="K16677" t="s">
        <v>13257</v>
      </c>
      <c r="N16677" t="s">
        <v>76887</v>
      </c>
      <c r="Q16677">
        <v>0</v>
      </c>
      <c r="R16677">
        <v>275</v>
      </c>
      <c r="S16677">
        <v>0</v>
      </c>
      <c r="T16677" t="s">
        <v>76888</v>
      </c>
    </row>
    <row r="16678" spans="1:20" customFormat="1" ht="15" x14ac:dyDescent="0.25">
      <c r="A16678" t="s">
        <v>24</v>
      </c>
      <c r="B16678" t="s">
        <v>762</v>
      </c>
      <c r="C16678" t="str">
        <f>"A0095599"</f>
        <v>A0095599</v>
      </c>
      <c r="D16678" t="s">
        <v>76906</v>
      </c>
      <c r="E16678" t="s">
        <v>76907</v>
      </c>
      <c r="F16678" t="s">
        <v>2128</v>
      </c>
      <c r="G16678" t="s">
        <v>52</v>
      </c>
      <c r="H16678">
        <v>75024</v>
      </c>
      <c r="I16678" t="s">
        <v>30</v>
      </c>
      <c r="J16678" t="s">
        <v>162</v>
      </c>
      <c r="K16678" t="s">
        <v>2881</v>
      </c>
      <c r="N16678" t="s">
        <v>2155</v>
      </c>
      <c r="O16678" t="s">
        <v>76908</v>
      </c>
      <c r="Q16678">
        <v>0</v>
      </c>
      <c r="R16678">
        <v>176</v>
      </c>
      <c r="S16678">
        <v>0</v>
      </c>
      <c r="T16678" t="s">
        <v>76909</v>
      </c>
    </row>
    <row r="16679" spans="1:20" customFormat="1" ht="15" x14ac:dyDescent="0.25">
      <c r="A16679" t="s">
        <v>24</v>
      </c>
      <c r="B16679" t="s">
        <v>762</v>
      </c>
      <c r="C16679" t="str">
        <f>"A0095597"</f>
        <v>A0095597</v>
      </c>
      <c r="D16679" t="s">
        <v>76910</v>
      </c>
      <c r="E16679" t="s">
        <v>76911</v>
      </c>
      <c r="F16679" t="s">
        <v>4829</v>
      </c>
      <c r="G16679" t="s">
        <v>52</v>
      </c>
      <c r="H16679">
        <v>75039</v>
      </c>
      <c r="I16679" t="s">
        <v>30</v>
      </c>
      <c r="J16679" t="s">
        <v>162</v>
      </c>
      <c r="K16679" t="s">
        <v>2881</v>
      </c>
      <c r="N16679" t="s">
        <v>76912</v>
      </c>
      <c r="O16679" t="s">
        <v>76913</v>
      </c>
      <c r="Q16679">
        <v>0</v>
      </c>
      <c r="R16679">
        <v>200</v>
      </c>
      <c r="S16679">
        <v>0</v>
      </c>
      <c r="T16679" t="s">
        <v>76914</v>
      </c>
    </row>
    <row r="16680" spans="1:20" customFormat="1" ht="15" x14ac:dyDescent="0.25">
      <c r="A16680" t="s">
        <v>24</v>
      </c>
      <c r="B16680" t="s">
        <v>3343</v>
      </c>
      <c r="C16680" t="str">
        <f>"A0063376"</f>
        <v>A0063376</v>
      </c>
      <c r="D16680" t="s">
        <v>59355</v>
      </c>
      <c r="E16680" t="s">
        <v>59356</v>
      </c>
      <c r="F16680" t="s">
        <v>13473</v>
      </c>
      <c r="G16680" t="s">
        <v>427</v>
      </c>
      <c r="H16680">
        <v>68521</v>
      </c>
      <c r="I16680" t="s">
        <v>30</v>
      </c>
      <c r="J16680" t="s">
        <v>31</v>
      </c>
      <c r="K16680" t="s">
        <v>308</v>
      </c>
      <c r="N16680" t="s">
        <v>59357</v>
      </c>
      <c r="Q16680">
        <v>0</v>
      </c>
      <c r="R16680">
        <v>95</v>
      </c>
      <c r="S16680">
        <v>0</v>
      </c>
      <c r="T16680" t="s">
        <v>59358</v>
      </c>
    </row>
    <row r="16681" spans="1:20" customFormat="1" ht="15" x14ac:dyDescent="0.25">
      <c r="A16681" t="s">
        <v>24</v>
      </c>
      <c r="B16681" t="s">
        <v>3343</v>
      </c>
      <c r="C16681" t="str">
        <f>"A0100567"</f>
        <v>A0100567</v>
      </c>
      <c r="D16681" t="s">
        <v>59359</v>
      </c>
      <c r="E16681" t="s">
        <v>59360</v>
      </c>
      <c r="F16681" t="s">
        <v>58975</v>
      </c>
      <c r="G16681" t="s">
        <v>161</v>
      </c>
      <c r="H16681">
        <v>55447</v>
      </c>
      <c r="I16681" t="s">
        <v>30</v>
      </c>
      <c r="J16681" t="s">
        <v>31</v>
      </c>
      <c r="K16681" t="s">
        <v>59361</v>
      </c>
      <c r="N16681" t="s">
        <v>59362</v>
      </c>
      <c r="Q16681">
        <v>0</v>
      </c>
      <c r="R16681">
        <v>132</v>
      </c>
      <c r="S16681">
        <v>0</v>
      </c>
      <c r="T16681" t="s">
        <v>59363</v>
      </c>
    </row>
    <row r="16682" spans="1:20" customFormat="1" ht="15" x14ac:dyDescent="0.25">
      <c r="A16682" t="s">
        <v>24</v>
      </c>
      <c r="B16682" t="s">
        <v>762</v>
      </c>
      <c r="C16682" t="str">
        <f>"A0095600"</f>
        <v>A0095600</v>
      </c>
      <c r="D16682" t="s">
        <v>76915</v>
      </c>
      <c r="E16682" t="s">
        <v>76916</v>
      </c>
      <c r="F16682" t="s">
        <v>61540</v>
      </c>
      <c r="G16682" t="s">
        <v>90</v>
      </c>
      <c r="H16682">
        <v>2886</v>
      </c>
      <c r="I16682" t="s">
        <v>30</v>
      </c>
      <c r="J16682" t="s">
        <v>162</v>
      </c>
      <c r="K16682" t="s">
        <v>2881</v>
      </c>
      <c r="N16682" t="s">
        <v>76917</v>
      </c>
      <c r="O16682" t="s">
        <v>76918</v>
      </c>
      <c r="Q16682">
        <v>0</v>
      </c>
      <c r="R16682">
        <v>163</v>
      </c>
      <c r="S16682">
        <v>0</v>
      </c>
      <c r="T16682" t="s">
        <v>76919</v>
      </c>
    </row>
    <row r="16683" spans="1:20" customFormat="1" ht="15" x14ac:dyDescent="0.25">
      <c r="A16683" t="s">
        <v>24</v>
      </c>
      <c r="B16683" t="s">
        <v>675</v>
      </c>
      <c r="C16683" t="str">
        <f>"34198"</f>
        <v>34198</v>
      </c>
      <c r="D16683" t="s">
        <v>76948</v>
      </c>
      <c r="E16683" t="s">
        <v>55069</v>
      </c>
      <c r="F16683" t="s">
        <v>990</v>
      </c>
      <c r="G16683" t="s">
        <v>110</v>
      </c>
      <c r="H16683">
        <v>94607</v>
      </c>
      <c r="I16683" t="s">
        <v>30</v>
      </c>
      <c r="J16683" t="s">
        <v>162</v>
      </c>
      <c r="K16683" t="s">
        <v>1490</v>
      </c>
      <c r="N16683" t="s">
        <v>76949</v>
      </c>
      <c r="O16683" t="s">
        <v>76950</v>
      </c>
      <c r="Q16683">
        <v>0</v>
      </c>
      <c r="R16683">
        <v>484</v>
      </c>
      <c r="S16683">
        <v>0</v>
      </c>
      <c r="T16683" t="s">
        <v>76951</v>
      </c>
    </row>
    <row r="16684" spans="1:20" customFormat="1" ht="15" x14ac:dyDescent="0.25">
      <c r="A16684" t="s">
        <v>24</v>
      </c>
      <c r="B16684" t="s">
        <v>76958</v>
      </c>
      <c r="C16684" t="str">
        <f>"A0091761"</f>
        <v>A0091761</v>
      </c>
      <c r="D16684" t="s">
        <v>76959</v>
      </c>
      <c r="E16684" t="s">
        <v>76960</v>
      </c>
      <c r="F16684" t="s">
        <v>76961</v>
      </c>
      <c r="G16684" t="s">
        <v>81</v>
      </c>
      <c r="H16684">
        <v>33149</v>
      </c>
      <c r="I16684" t="s">
        <v>30</v>
      </c>
      <c r="J16684" t="s">
        <v>162</v>
      </c>
      <c r="K16684" t="s">
        <v>163</v>
      </c>
      <c r="N16684" t="s">
        <v>76962</v>
      </c>
      <c r="Q16684">
        <v>0</v>
      </c>
      <c r="R16684">
        <v>802</v>
      </c>
      <c r="S16684">
        <v>0</v>
      </c>
      <c r="T16684" t="s">
        <v>76963</v>
      </c>
    </row>
    <row r="16685" spans="1:20" customFormat="1" ht="15" x14ac:dyDescent="0.25">
      <c r="A16685" t="s">
        <v>24</v>
      </c>
      <c r="B16685" t="s">
        <v>56564</v>
      </c>
      <c r="C16685" t="str">
        <f>"A0062232"</f>
        <v>A0062232</v>
      </c>
      <c r="D16685" t="s">
        <v>76964</v>
      </c>
      <c r="E16685" t="s">
        <v>76965</v>
      </c>
      <c r="F16685" t="s">
        <v>1159</v>
      </c>
      <c r="G16685" t="s">
        <v>58</v>
      </c>
      <c r="H16685">
        <v>29572</v>
      </c>
      <c r="I16685" t="s">
        <v>30</v>
      </c>
      <c r="J16685" t="s">
        <v>162</v>
      </c>
      <c r="K16685" t="s">
        <v>163</v>
      </c>
      <c r="N16685" t="s">
        <v>76966</v>
      </c>
      <c r="Q16685">
        <v>0</v>
      </c>
      <c r="R16685">
        <v>151</v>
      </c>
      <c r="S16685">
        <v>0</v>
      </c>
      <c r="T16685" t="s">
        <v>76967</v>
      </c>
    </row>
    <row r="16686" spans="1:20" customFormat="1" ht="15" x14ac:dyDescent="0.25">
      <c r="A16686" t="s">
        <v>24</v>
      </c>
      <c r="B16686" t="s">
        <v>1156</v>
      </c>
      <c r="C16686" t="str">
        <f>"A0075276"</f>
        <v>A0075276</v>
      </c>
      <c r="D16686" t="s">
        <v>76981</v>
      </c>
      <c r="E16686" t="s">
        <v>76982</v>
      </c>
      <c r="F16686" t="s">
        <v>1159</v>
      </c>
      <c r="G16686" t="s">
        <v>58</v>
      </c>
      <c r="H16686">
        <v>29578</v>
      </c>
      <c r="I16686" t="s">
        <v>30</v>
      </c>
      <c r="J16686" t="s">
        <v>162</v>
      </c>
      <c r="K16686" t="s">
        <v>163</v>
      </c>
      <c r="N16686" t="s">
        <v>76983</v>
      </c>
      <c r="O16686" t="s">
        <v>76984</v>
      </c>
      <c r="Q16686">
        <v>0</v>
      </c>
      <c r="R16686">
        <v>332</v>
      </c>
      <c r="S16686">
        <v>0</v>
      </c>
      <c r="T16686" t="s">
        <v>76985</v>
      </c>
    </row>
    <row r="16687" spans="1:20" customFormat="1" ht="15" x14ac:dyDescent="0.25">
      <c r="A16687" t="s">
        <v>24</v>
      </c>
      <c r="B16687" t="s">
        <v>1849</v>
      </c>
      <c r="C16687" t="str">
        <f>"61BA7"</f>
        <v>61BA7</v>
      </c>
      <c r="D16687" t="s">
        <v>77011</v>
      </c>
      <c r="E16687" t="s">
        <v>77012</v>
      </c>
      <c r="F16687" t="s">
        <v>4227</v>
      </c>
      <c r="G16687" t="s">
        <v>65</v>
      </c>
      <c r="H16687">
        <v>45701</v>
      </c>
      <c r="I16687" t="s">
        <v>30</v>
      </c>
      <c r="J16687" t="s">
        <v>162</v>
      </c>
      <c r="K16687" t="s">
        <v>163</v>
      </c>
      <c r="N16687" t="s">
        <v>65254</v>
      </c>
      <c r="Q16687">
        <v>0</v>
      </c>
      <c r="R16687">
        <v>139</v>
      </c>
      <c r="S16687">
        <v>0</v>
      </c>
      <c r="T16687" t="s">
        <v>77013</v>
      </c>
    </row>
    <row r="16688" spans="1:20" customFormat="1" ht="15" x14ac:dyDescent="0.25">
      <c r="A16688" t="s">
        <v>24</v>
      </c>
      <c r="B16688" t="s">
        <v>2221</v>
      </c>
      <c r="C16688" t="str">
        <f>"33778"</f>
        <v>33778</v>
      </c>
      <c r="D16688" t="s">
        <v>77029</v>
      </c>
      <c r="E16688" t="s">
        <v>77030</v>
      </c>
      <c r="F16688" t="s">
        <v>1541</v>
      </c>
      <c r="G16688" t="s">
        <v>427</v>
      </c>
      <c r="H16688">
        <v>68114</v>
      </c>
      <c r="I16688" t="s">
        <v>30</v>
      </c>
      <c r="J16688" t="s">
        <v>162</v>
      </c>
      <c r="K16688" t="s">
        <v>1490</v>
      </c>
      <c r="N16688" t="s">
        <v>77031</v>
      </c>
      <c r="Q16688">
        <v>0</v>
      </c>
      <c r="R16688">
        <v>300</v>
      </c>
      <c r="S16688">
        <v>0</v>
      </c>
      <c r="T16688" t="s">
        <v>77032</v>
      </c>
    </row>
    <row r="16689" spans="1:20" customFormat="1" ht="15" x14ac:dyDescent="0.25">
      <c r="A16689" t="s">
        <v>24</v>
      </c>
      <c r="B16689" t="s">
        <v>3367</v>
      </c>
      <c r="C16689" t="str">
        <f>"A0096772"</f>
        <v>A0096772</v>
      </c>
      <c r="D16689" t="s">
        <v>77033</v>
      </c>
      <c r="E16689" t="s">
        <v>77034</v>
      </c>
      <c r="F16689" t="s">
        <v>1541</v>
      </c>
      <c r="G16689" t="s">
        <v>427</v>
      </c>
      <c r="H16689">
        <v>68102</v>
      </c>
      <c r="I16689" t="s">
        <v>30</v>
      </c>
      <c r="J16689" t="s">
        <v>162</v>
      </c>
      <c r="K16689" t="s">
        <v>1490</v>
      </c>
      <c r="N16689" t="s">
        <v>77035</v>
      </c>
      <c r="Q16689">
        <v>0</v>
      </c>
      <c r="R16689">
        <v>335</v>
      </c>
      <c r="S16689">
        <v>0</v>
      </c>
      <c r="T16689" t="s">
        <v>77036</v>
      </c>
    </row>
    <row r="16690" spans="1:20" customFormat="1" ht="15" x14ac:dyDescent="0.25">
      <c r="A16690" t="s">
        <v>24</v>
      </c>
      <c r="B16690" t="s">
        <v>77067</v>
      </c>
      <c r="C16690" t="str">
        <f>"A0063667"</f>
        <v>A0063667</v>
      </c>
      <c r="D16690" t="s">
        <v>77068</v>
      </c>
      <c r="E16690" t="s">
        <v>77069</v>
      </c>
      <c r="F16690" t="s">
        <v>748</v>
      </c>
      <c r="G16690" t="s">
        <v>110</v>
      </c>
      <c r="H16690">
        <v>94108</v>
      </c>
      <c r="I16690" t="s">
        <v>30</v>
      </c>
      <c r="J16690" t="s">
        <v>162</v>
      </c>
      <c r="K16690" t="s">
        <v>163</v>
      </c>
      <c r="N16690" t="s">
        <v>77070</v>
      </c>
      <c r="O16690" t="s">
        <v>77071</v>
      </c>
      <c r="Q16690">
        <v>0</v>
      </c>
      <c r="R16690">
        <v>106</v>
      </c>
      <c r="S16690">
        <v>0</v>
      </c>
      <c r="T16690" t="s">
        <v>77072</v>
      </c>
    </row>
    <row r="16691" spans="1:20" customFormat="1" ht="15" x14ac:dyDescent="0.25">
      <c r="A16691" t="s">
        <v>24</v>
      </c>
      <c r="B16691" t="s">
        <v>799</v>
      </c>
      <c r="C16691" t="str">
        <f>"A0145880"</f>
        <v>A0145880</v>
      </c>
      <c r="D16691" t="s">
        <v>77073</v>
      </c>
      <c r="E16691" t="s">
        <v>77074</v>
      </c>
      <c r="F16691" t="s">
        <v>10100</v>
      </c>
      <c r="G16691" t="s">
        <v>214</v>
      </c>
      <c r="H16691">
        <v>27603</v>
      </c>
      <c r="I16691" t="s">
        <v>30</v>
      </c>
      <c r="J16691" t="s">
        <v>162</v>
      </c>
      <c r="K16691" t="s">
        <v>163</v>
      </c>
      <c r="N16691" t="s">
        <v>77075</v>
      </c>
      <c r="Q16691">
        <v>0</v>
      </c>
      <c r="R16691">
        <v>126</v>
      </c>
      <c r="S16691">
        <v>0</v>
      </c>
      <c r="T16691" t="s">
        <v>77076</v>
      </c>
    </row>
    <row r="16692" spans="1:20" customFormat="1" ht="15" x14ac:dyDescent="0.25">
      <c r="A16692" t="s">
        <v>24</v>
      </c>
      <c r="B16692" t="s">
        <v>799</v>
      </c>
      <c r="C16692" t="str">
        <f>"A0145881"</f>
        <v>A0145881</v>
      </c>
      <c r="D16692" t="s">
        <v>77077</v>
      </c>
      <c r="E16692" t="s">
        <v>77078</v>
      </c>
      <c r="F16692" t="s">
        <v>3041</v>
      </c>
      <c r="G16692" t="s">
        <v>840</v>
      </c>
      <c r="H16692">
        <v>40503</v>
      </c>
      <c r="I16692" t="s">
        <v>30</v>
      </c>
      <c r="J16692" t="s">
        <v>162</v>
      </c>
      <c r="K16692" t="s">
        <v>163</v>
      </c>
      <c r="N16692" t="s">
        <v>77079</v>
      </c>
      <c r="O16692" t="s">
        <v>54564</v>
      </c>
      <c r="Q16692">
        <v>0</v>
      </c>
      <c r="R16692">
        <v>120</v>
      </c>
      <c r="S16692">
        <v>0</v>
      </c>
      <c r="T16692" t="s">
        <v>77080</v>
      </c>
    </row>
    <row r="16693" spans="1:20" customFormat="1" ht="15" x14ac:dyDescent="0.25">
      <c r="A16693" t="s">
        <v>24</v>
      </c>
      <c r="B16693" t="s">
        <v>799</v>
      </c>
      <c r="C16693" t="str">
        <f>"A0100231"</f>
        <v>A0100231</v>
      </c>
      <c r="D16693" t="s">
        <v>77081</v>
      </c>
      <c r="E16693" t="s">
        <v>77082</v>
      </c>
      <c r="F16693" t="s">
        <v>12619</v>
      </c>
      <c r="G16693" t="s">
        <v>190</v>
      </c>
      <c r="H16693">
        <v>80401</v>
      </c>
      <c r="I16693" t="s">
        <v>30</v>
      </c>
      <c r="J16693" t="s">
        <v>162</v>
      </c>
      <c r="K16693" t="s">
        <v>163</v>
      </c>
      <c r="N16693" t="s">
        <v>77083</v>
      </c>
      <c r="O16693" t="s">
        <v>77084</v>
      </c>
      <c r="Q16693">
        <v>0</v>
      </c>
      <c r="R16693">
        <v>124</v>
      </c>
      <c r="S16693">
        <v>0</v>
      </c>
      <c r="T16693" t="s">
        <v>77085</v>
      </c>
    </row>
    <row r="16694" spans="1:20" customFormat="1" ht="15" x14ac:dyDescent="0.25">
      <c r="A16694" t="s">
        <v>24</v>
      </c>
      <c r="B16694" t="s">
        <v>55661</v>
      </c>
      <c r="C16694" t="str">
        <f>"A0084965"</f>
        <v>A0084965</v>
      </c>
      <c r="D16694" t="s">
        <v>77109</v>
      </c>
      <c r="E16694" t="s">
        <v>77110</v>
      </c>
      <c r="F16694" t="s">
        <v>77111</v>
      </c>
      <c r="G16694" t="s">
        <v>4815</v>
      </c>
      <c r="H16694">
        <v>96740</v>
      </c>
      <c r="I16694" t="s">
        <v>30</v>
      </c>
      <c r="J16694" t="s">
        <v>162</v>
      </c>
      <c r="K16694" t="s">
        <v>55664</v>
      </c>
      <c r="N16694" t="s">
        <v>77112</v>
      </c>
      <c r="Q16694">
        <v>0</v>
      </c>
      <c r="R16694">
        <v>509</v>
      </c>
      <c r="S16694">
        <v>0</v>
      </c>
      <c r="T16694" t="s">
        <v>77113</v>
      </c>
    </row>
    <row r="16695" spans="1:20" customFormat="1" ht="15" x14ac:dyDescent="0.25">
      <c r="A16695" t="s">
        <v>24</v>
      </c>
      <c r="B16695" t="s">
        <v>2360</v>
      </c>
      <c r="C16695" t="str">
        <f>"CL0103"</f>
        <v>CL0103</v>
      </c>
      <c r="D16695" t="s">
        <v>59429</v>
      </c>
      <c r="E16695" t="s">
        <v>59430</v>
      </c>
      <c r="F16695" t="s">
        <v>7699</v>
      </c>
      <c r="G16695" t="s">
        <v>81</v>
      </c>
      <c r="H16695">
        <v>33761</v>
      </c>
      <c r="I16695" t="s">
        <v>30</v>
      </c>
      <c r="J16695" t="s">
        <v>178</v>
      </c>
      <c r="K16695" t="s">
        <v>56676</v>
      </c>
      <c r="N16695" t="s">
        <v>59431</v>
      </c>
      <c r="P16695" t="s">
        <v>992</v>
      </c>
      <c r="Q16695">
        <v>2</v>
      </c>
      <c r="R16695">
        <v>0</v>
      </c>
      <c r="S16695">
        <v>0</v>
      </c>
      <c r="T16695" t="s">
        <v>59432</v>
      </c>
    </row>
    <row r="16696" spans="1:20" customFormat="1" ht="15" x14ac:dyDescent="0.25">
      <c r="A16696" t="s">
        <v>24</v>
      </c>
      <c r="B16696" t="s">
        <v>59433</v>
      </c>
      <c r="C16696" t="str">
        <f>"A0153426"</f>
        <v>A0153426</v>
      </c>
      <c r="D16696" t="s">
        <v>59434</v>
      </c>
      <c r="E16696" t="s">
        <v>59435</v>
      </c>
      <c r="F16696" t="s">
        <v>7677</v>
      </c>
      <c r="G16696" t="s">
        <v>153</v>
      </c>
      <c r="H16696">
        <v>84060</v>
      </c>
      <c r="I16696" t="s">
        <v>30</v>
      </c>
      <c r="J16696" t="s">
        <v>1004</v>
      </c>
      <c r="K16696" t="s">
        <v>163</v>
      </c>
      <c r="N16696" t="s">
        <v>59436</v>
      </c>
      <c r="Q16696">
        <v>0</v>
      </c>
      <c r="R16696">
        <v>0</v>
      </c>
      <c r="S16696">
        <v>0</v>
      </c>
      <c r="T16696" t="s">
        <v>59437</v>
      </c>
    </row>
    <row r="16697" spans="1:20" customFormat="1" ht="15" x14ac:dyDescent="0.25">
      <c r="A16697" t="s">
        <v>24</v>
      </c>
      <c r="B16697" t="s">
        <v>63096</v>
      </c>
      <c r="C16697" t="str">
        <f>"A0090776"</f>
        <v>A0090776</v>
      </c>
      <c r="D16697" t="s">
        <v>77126</v>
      </c>
      <c r="E16697" t="s">
        <v>77127</v>
      </c>
      <c r="F16697" t="s">
        <v>2120</v>
      </c>
      <c r="G16697" t="s">
        <v>52</v>
      </c>
      <c r="H16697">
        <v>79401</v>
      </c>
      <c r="I16697" t="s">
        <v>30</v>
      </c>
      <c r="J16697" t="s">
        <v>162</v>
      </c>
      <c r="K16697" t="s">
        <v>163</v>
      </c>
      <c r="N16697" t="s">
        <v>77128</v>
      </c>
      <c r="O16697" t="s">
        <v>77129</v>
      </c>
      <c r="Q16697">
        <v>0</v>
      </c>
      <c r="R16697">
        <v>303</v>
      </c>
      <c r="S16697">
        <v>0</v>
      </c>
      <c r="T16697" t="s">
        <v>77130</v>
      </c>
    </row>
    <row r="16698" spans="1:20" customFormat="1" ht="15" hidden="1" x14ac:dyDescent="0.25">
      <c r="A16698" t="s">
        <v>24</v>
      </c>
      <c r="B16698" t="s">
        <v>675</v>
      </c>
      <c r="C16698" t="str">
        <f>"A0097805"</f>
        <v>A0097805</v>
      </c>
      <c r="D16698" t="s">
        <v>59443</v>
      </c>
      <c r="E16698" t="s">
        <v>59444</v>
      </c>
      <c r="F16698" t="s">
        <v>59445</v>
      </c>
      <c r="G16698" t="s">
        <v>3843</v>
      </c>
      <c r="H16698">
        <v>2610</v>
      </c>
      <c r="I16698" t="s">
        <v>2408</v>
      </c>
      <c r="J16698" t="s">
        <v>171</v>
      </c>
      <c r="K16698" t="s">
        <v>973</v>
      </c>
      <c r="N16698" t="s">
        <v>59446</v>
      </c>
      <c r="Q16698">
        <v>0</v>
      </c>
      <c r="R16698">
        <v>125</v>
      </c>
      <c r="S16698">
        <v>0</v>
      </c>
      <c r="T16698" t="s">
        <v>54430</v>
      </c>
    </row>
    <row r="16699" spans="1:20" customFormat="1" ht="15" x14ac:dyDescent="0.25">
      <c r="A16699" t="s">
        <v>24</v>
      </c>
      <c r="B16699" t="s">
        <v>5166</v>
      </c>
      <c r="C16699" t="str">
        <f>"A0058280"</f>
        <v>A0058280</v>
      </c>
      <c r="D16699" t="s">
        <v>77131</v>
      </c>
      <c r="E16699" t="s">
        <v>77132</v>
      </c>
      <c r="F16699" t="s">
        <v>972</v>
      </c>
      <c r="G16699" t="s">
        <v>190</v>
      </c>
      <c r="H16699">
        <v>80202</v>
      </c>
      <c r="I16699" t="s">
        <v>30</v>
      </c>
      <c r="J16699" t="s">
        <v>162</v>
      </c>
      <c r="K16699" t="s">
        <v>163</v>
      </c>
      <c r="N16699" t="s">
        <v>77133</v>
      </c>
      <c r="O16699" t="s">
        <v>77134</v>
      </c>
      <c r="Q16699">
        <v>0</v>
      </c>
      <c r="R16699">
        <v>80</v>
      </c>
      <c r="S16699">
        <v>0</v>
      </c>
      <c r="T16699" t="s">
        <v>77135</v>
      </c>
    </row>
    <row r="16700" spans="1:20" customFormat="1" ht="15" x14ac:dyDescent="0.25">
      <c r="A16700" t="s">
        <v>24</v>
      </c>
      <c r="B16700" t="s">
        <v>56564</v>
      </c>
      <c r="C16700" t="str">
        <f>"A0087532"</f>
        <v>A0087532</v>
      </c>
      <c r="D16700" t="s">
        <v>77164</v>
      </c>
      <c r="E16700" t="s">
        <v>77165</v>
      </c>
      <c r="F16700" t="s">
        <v>1159</v>
      </c>
      <c r="G16700" t="s">
        <v>58</v>
      </c>
      <c r="H16700">
        <v>29578</v>
      </c>
      <c r="I16700" t="s">
        <v>30</v>
      </c>
      <c r="J16700" t="s">
        <v>162</v>
      </c>
      <c r="K16700" t="s">
        <v>163</v>
      </c>
      <c r="N16700" t="s">
        <v>77166</v>
      </c>
      <c r="O16700" t="s">
        <v>77167</v>
      </c>
      <c r="Q16700">
        <v>0</v>
      </c>
      <c r="R16700">
        <v>102</v>
      </c>
      <c r="S16700">
        <v>0</v>
      </c>
      <c r="T16700" t="s">
        <v>77168</v>
      </c>
    </row>
    <row r="16701" spans="1:20" customFormat="1" ht="15" x14ac:dyDescent="0.25">
      <c r="A16701" t="s">
        <v>24</v>
      </c>
      <c r="B16701" t="s">
        <v>9400</v>
      </c>
      <c r="C16701" t="str">
        <f>"A0090172"</f>
        <v>A0090172</v>
      </c>
      <c r="D16701" t="s">
        <v>77169</v>
      </c>
      <c r="E16701" t="s">
        <v>77170</v>
      </c>
      <c r="F16701" t="s">
        <v>77171</v>
      </c>
      <c r="G16701" t="s">
        <v>110</v>
      </c>
      <c r="H16701">
        <v>96146</v>
      </c>
      <c r="I16701" t="s">
        <v>30</v>
      </c>
      <c r="J16701" t="s">
        <v>162</v>
      </c>
      <c r="K16701" t="s">
        <v>163</v>
      </c>
      <c r="N16701" t="s">
        <v>77172</v>
      </c>
      <c r="O16701" t="s">
        <v>77173</v>
      </c>
      <c r="Q16701">
        <v>0</v>
      </c>
      <c r="R16701">
        <v>181</v>
      </c>
      <c r="S16701">
        <v>0</v>
      </c>
      <c r="T16701" t="s">
        <v>77174</v>
      </c>
    </row>
    <row r="16702" spans="1:20" customFormat="1" ht="15" hidden="1" x14ac:dyDescent="0.25">
      <c r="A16702" t="s">
        <v>24</v>
      </c>
      <c r="B16702" t="s">
        <v>59461</v>
      </c>
      <c r="C16702" t="str">
        <f>"SF05186"</f>
        <v>SF05186</v>
      </c>
      <c r="D16702" t="s">
        <v>59462</v>
      </c>
      <c r="E16702" t="s">
        <v>59463</v>
      </c>
      <c r="F16702" t="s">
        <v>59464</v>
      </c>
      <c r="G16702" t="s">
        <v>2206</v>
      </c>
      <c r="H16702" t="s">
        <v>59465</v>
      </c>
      <c r="I16702" t="s">
        <v>1459</v>
      </c>
      <c r="J16702" t="s">
        <v>171</v>
      </c>
      <c r="K16702" t="s">
        <v>973</v>
      </c>
      <c r="N16702" t="s">
        <v>59466</v>
      </c>
      <c r="O16702" t="s">
        <v>59467</v>
      </c>
      <c r="Q16702">
        <v>0</v>
      </c>
      <c r="R16702">
        <v>187</v>
      </c>
      <c r="S16702">
        <v>0</v>
      </c>
      <c r="T16702" t="s">
        <v>59468</v>
      </c>
    </row>
    <row r="16703" spans="1:20" customFormat="1" ht="15" x14ac:dyDescent="0.25">
      <c r="A16703" t="s">
        <v>24</v>
      </c>
      <c r="B16703" t="s">
        <v>5435</v>
      </c>
      <c r="C16703" t="str">
        <f>"A0085039"</f>
        <v>A0085039</v>
      </c>
      <c r="D16703" t="s">
        <v>77175</v>
      </c>
      <c r="E16703" t="s">
        <v>77176</v>
      </c>
      <c r="F16703" t="s">
        <v>77177</v>
      </c>
      <c r="G16703" t="s">
        <v>81</v>
      </c>
      <c r="H16703">
        <v>33404</v>
      </c>
      <c r="I16703" t="s">
        <v>30</v>
      </c>
      <c r="J16703" t="s">
        <v>162</v>
      </c>
      <c r="K16703" t="s">
        <v>1490</v>
      </c>
      <c r="N16703" t="s">
        <v>77178</v>
      </c>
      <c r="O16703" t="s">
        <v>77179</v>
      </c>
      <c r="Q16703">
        <v>0</v>
      </c>
      <c r="R16703">
        <v>222</v>
      </c>
      <c r="S16703">
        <v>0</v>
      </c>
      <c r="T16703" t="s">
        <v>77180</v>
      </c>
    </row>
    <row r="16704" spans="1:20" customFormat="1" ht="15" x14ac:dyDescent="0.25">
      <c r="A16704" t="s">
        <v>24</v>
      </c>
      <c r="B16704" t="s">
        <v>814</v>
      </c>
      <c r="C16704" t="str">
        <f>"A0069220"</f>
        <v>A0069220</v>
      </c>
      <c r="D16704" t="s">
        <v>77205</v>
      </c>
      <c r="E16704" t="s">
        <v>77206</v>
      </c>
      <c r="F16704" t="s">
        <v>2978</v>
      </c>
      <c r="G16704" t="s">
        <v>110</v>
      </c>
      <c r="H16704">
        <v>92109</v>
      </c>
      <c r="I16704" t="s">
        <v>30</v>
      </c>
      <c r="J16704" t="s">
        <v>162</v>
      </c>
      <c r="K16704" t="s">
        <v>2015</v>
      </c>
      <c r="N16704" t="s">
        <v>77207</v>
      </c>
      <c r="O16704" t="s">
        <v>77208</v>
      </c>
      <c r="Q16704">
        <v>0</v>
      </c>
      <c r="R16704">
        <v>462</v>
      </c>
      <c r="S16704">
        <v>0</v>
      </c>
      <c r="T16704" t="s">
        <v>77209</v>
      </c>
    </row>
    <row r="16705" spans="1:20" customFormat="1" ht="15" x14ac:dyDescent="0.25">
      <c r="A16705" t="s">
        <v>24</v>
      </c>
      <c r="B16705" t="s">
        <v>1156</v>
      </c>
      <c r="C16705" t="str">
        <f>"A0088638"</f>
        <v>A0088638</v>
      </c>
      <c r="D16705" t="s">
        <v>77210</v>
      </c>
      <c r="E16705" t="s">
        <v>77211</v>
      </c>
      <c r="F16705" t="s">
        <v>1159</v>
      </c>
      <c r="G16705" t="s">
        <v>58</v>
      </c>
      <c r="H16705">
        <v>29577</v>
      </c>
      <c r="I16705" t="s">
        <v>30</v>
      </c>
      <c r="J16705" t="s">
        <v>162</v>
      </c>
      <c r="K16705" t="s">
        <v>163</v>
      </c>
      <c r="N16705" t="s">
        <v>77212</v>
      </c>
      <c r="O16705" t="s">
        <v>77213</v>
      </c>
      <c r="Q16705">
        <v>0</v>
      </c>
      <c r="R16705">
        <v>190</v>
      </c>
      <c r="S16705">
        <v>0</v>
      </c>
      <c r="T16705" t="s">
        <v>77214</v>
      </c>
    </row>
    <row r="16706" spans="1:20" customFormat="1" ht="15" hidden="1" x14ac:dyDescent="0.25">
      <c r="A16706" t="s">
        <v>24</v>
      </c>
      <c r="B16706" t="s">
        <v>14300</v>
      </c>
      <c r="C16706" t="str">
        <f>"A0083282"</f>
        <v>A0083282</v>
      </c>
      <c r="D16706" t="s">
        <v>59484</v>
      </c>
      <c r="E16706" t="s">
        <v>59485</v>
      </c>
      <c r="F16706" t="s">
        <v>59486</v>
      </c>
      <c r="G16706" t="s">
        <v>9901</v>
      </c>
      <c r="H16706">
        <v>604</v>
      </c>
      <c r="I16706" t="s">
        <v>9902</v>
      </c>
      <c r="J16706" t="s">
        <v>171</v>
      </c>
      <c r="K16706" t="s">
        <v>973</v>
      </c>
      <c r="N16706" t="s">
        <v>59487</v>
      </c>
      <c r="O16706" t="s">
        <v>59488</v>
      </c>
      <c r="Q16706">
        <v>0</v>
      </c>
      <c r="R16706">
        <v>145</v>
      </c>
      <c r="S16706">
        <v>0</v>
      </c>
      <c r="T16706" t="s">
        <v>59489</v>
      </c>
    </row>
    <row r="16707" spans="1:20" customFormat="1" ht="15" x14ac:dyDescent="0.25">
      <c r="A16707" t="s">
        <v>24</v>
      </c>
      <c r="B16707" t="s">
        <v>2011</v>
      </c>
      <c r="C16707" t="str">
        <f>"A0098428"</f>
        <v>A0098428</v>
      </c>
      <c r="D16707" t="s">
        <v>77251</v>
      </c>
      <c r="E16707" t="s">
        <v>77252</v>
      </c>
      <c r="F16707" t="s">
        <v>997</v>
      </c>
      <c r="G16707" t="s">
        <v>99</v>
      </c>
      <c r="H16707">
        <v>10016</v>
      </c>
      <c r="I16707" t="s">
        <v>30</v>
      </c>
      <c r="J16707" t="s">
        <v>162</v>
      </c>
      <c r="K16707" t="s">
        <v>13246</v>
      </c>
      <c r="N16707" t="s">
        <v>77253</v>
      </c>
      <c r="O16707" t="s">
        <v>77254</v>
      </c>
      <c r="Q16707">
        <v>0</v>
      </c>
      <c r="R16707">
        <v>131</v>
      </c>
      <c r="S16707">
        <v>0</v>
      </c>
      <c r="T16707" t="s">
        <v>77255</v>
      </c>
    </row>
    <row r="16708" spans="1:20" customFormat="1" ht="15" x14ac:dyDescent="0.25">
      <c r="A16708" t="s">
        <v>24</v>
      </c>
      <c r="B16708" t="s">
        <v>1020</v>
      </c>
      <c r="C16708" t="str">
        <f>"A0094948"</f>
        <v>A0094948</v>
      </c>
      <c r="D16708" t="s">
        <v>77274</v>
      </c>
      <c r="E16708" t="s">
        <v>77275</v>
      </c>
      <c r="F16708" t="s">
        <v>1084</v>
      </c>
      <c r="G16708" t="s">
        <v>81</v>
      </c>
      <c r="H16708">
        <v>33040</v>
      </c>
      <c r="I16708" t="s">
        <v>30</v>
      </c>
      <c r="J16708" t="s">
        <v>162</v>
      </c>
      <c r="K16708" t="s">
        <v>163</v>
      </c>
      <c r="N16708" t="s">
        <v>77276</v>
      </c>
      <c r="O16708" t="s">
        <v>77277</v>
      </c>
      <c r="Q16708">
        <v>0</v>
      </c>
      <c r="R16708">
        <v>148</v>
      </c>
      <c r="S16708">
        <v>0</v>
      </c>
      <c r="T16708" t="s">
        <v>77278</v>
      </c>
    </row>
    <row r="16709" spans="1:20" customFormat="1" ht="15" x14ac:dyDescent="0.25">
      <c r="A16709" t="s">
        <v>24</v>
      </c>
      <c r="B16709" t="s">
        <v>11170</v>
      </c>
      <c r="C16709" t="str">
        <f>"A0095104"</f>
        <v>A0095104</v>
      </c>
      <c r="D16709" t="s">
        <v>77279</v>
      </c>
      <c r="E16709" t="s">
        <v>77280</v>
      </c>
      <c r="F16709" t="s">
        <v>77281</v>
      </c>
      <c r="G16709" t="s">
        <v>110</v>
      </c>
      <c r="H16709">
        <v>92648</v>
      </c>
      <c r="I16709" t="s">
        <v>30</v>
      </c>
      <c r="J16709" t="s">
        <v>162</v>
      </c>
      <c r="K16709" t="s">
        <v>163</v>
      </c>
      <c r="N16709" t="s">
        <v>77282</v>
      </c>
      <c r="O16709" t="s">
        <v>77283</v>
      </c>
      <c r="Q16709">
        <v>0</v>
      </c>
      <c r="R16709">
        <v>250</v>
      </c>
      <c r="S16709">
        <v>0</v>
      </c>
      <c r="T16709" t="s">
        <v>77284</v>
      </c>
    </row>
    <row r="16710" spans="1:20" customFormat="1" ht="15" x14ac:dyDescent="0.25">
      <c r="A16710" t="s">
        <v>24</v>
      </c>
      <c r="B16710" t="s">
        <v>814</v>
      </c>
      <c r="C16710" t="str">
        <f>"A0088588"</f>
        <v>A0088588</v>
      </c>
      <c r="D16710" t="s">
        <v>77348</v>
      </c>
      <c r="E16710" t="s">
        <v>77349</v>
      </c>
      <c r="F16710" t="s">
        <v>4467</v>
      </c>
      <c r="G16710" t="s">
        <v>289</v>
      </c>
      <c r="H16710">
        <v>61602</v>
      </c>
      <c r="I16710" t="s">
        <v>30</v>
      </c>
      <c r="J16710" t="s">
        <v>162</v>
      </c>
      <c r="K16710" t="s">
        <v>1490</v>
      </c>
      <c r="N16710" t="s">
        <v>61427</v>
      </c>
      <c r="O16710" t="s">
        <v>760</v>
      </c>
      <c r="Q16710">
        <v>0</v>
      </c>
      <c r="R16710">
        <v>286</v>
      </c>
      <c r="S16710">
        <v>0</v>
      </c>
      <c r="T16710" t="s">
        <v>61428</v>
      </c>
    </row>
    <row r="16711" spans="1:20" customFormat="1" ht="15" x14ac:dyDescent="0.25">
      <c r="A16711" t="s">
        <v>24</v>
      </c>
      <c r="B16711" t="s">
        <v>77357</v>
      </c>
      <c r="C16711" t="str">
        <f>"A0148785"</f>
        <v>A0148785</v>
      </c>
      <c r="D16711" t="s">
        <v>77358</v>
      </c>
      <c r="E16711" t="s">
        <v>77359</v>
      </c>
      <c r="F16711" t="s">
        <v>1003</v>
      </c>
      <c r="G16711" t="s">
        <v>81</v>
      </c>
      <c r="H16711">
        <v>33139</v>
      </c>
      <c r="I16711" t="s">
        <v>30</v>
      </c>
      <c r="J16711" t="s">
        <v>162</v>
      </c>
      <c r="K16711" t="s">
        <v>163</v>
      </c>
      <c r="Q16711">
        <v>0</v>
      </c>
      <c r="R16711">
        <v>98</v>
      </c>
      <c r="S16711">
        <v>0</v>
      </c>
      <c r="T16711" t="s">
        <v>77360</v>
      </c>
    </row>
    <row r="16712" spans="1:20" customFormat="1" ht="15" x14ac:dyDescent="0.25">
      <c r="A16712" t="s">
        <v>24</v>
      </c>
      <c r="B16712" t="s">
        <v>1548</v>
      </c>
      <c r="C16712" t="str">
        <f>"A0060985"</f>
        <v>A0060985</v>
      </c>
      <c r="D16712" t="s">
        <v>77368</v>
      </c>
      <c r="E16712" t="s">
        <v>77369</v>
      </c>
      <c r="F16712" t="s">
        <v>54046</v>
      </c>
      <c r="G16712" t="s">
        <v>81</v>
      </c>
      <c r="H16712">
        <v>33418</v>
      </c>
      <c r="I16712" t="s">
        <v>30</v>
      </c>
      <c r="J16712" t="s">
        <v>162</v>
      </c>
      <c r="K16712" t="s">
        <v>179</v>
      </c>
      <c r="N16712" t="s">
        <v>77370</v>
      </c>
      <c r="O16712" t="s">
        <v>77371</v>
      </c>
      <c r="P16712" t="s">
        <v>3998</v>
      </c>
      <c r="Q16712">
        <v>5</v>
      </c>
      <c r="R16712">
        <v>339</v>
      </c>
      <c r="S16712">
        <v>0</v>
      </c>
      <c r="T16712" t="s">
        <v>77372</v>
      </c>
    </row>
    <row r="16713" spans="1:20" customFormat="1" ht="15" x14ac:dyDescent="0.25">
      <c r="A16713" t="s">
        <v>24</v>
      </c>
      <c r="B16713" t="s">
        <v>2221</v>
      </c>
      <c r="C16713" t="str">
        <f>"A0085360"</f>
        <v>A0085360</v>
      </c>
      <c r="D16713" t="s">
        <v>77373</v>
      </c>
      <c r="E16713" t="s">
        <v>77374</v>
      </c>
      <c r="F16713" t="s">
        <v>9812</v>
      </c>
      <c r="G16713" t="s">
        <v>103</v>
      </c>
      <c r="H16713">
        <v>19153</v>
      </c>
      <c r="I16713" t="s">
        <v>30</v>
      </c>
      <c r="J16713" t="s">
        <v>162</v>
      </c>
      <c r="K16713" t="s">
        <v>266</v>
      </c>
      <c r="N16713" t="s">
        <v>77375</v>
      </c>
      <c r="Q16713">
        <v>0</v>
      </c>
      <c r="R16713">
        <v>263</v>
      </c>
      <c r="S16713">
        <v>0</v>
      </c>
      <c r="T16713" t="s">
        <v>77376</v>
      </c>
    </row>
    <row r="16714" spans="1:20" customFormat="1" ht="15" x14ac:dyDescent="0.25">
      <c r="A16714" t="s">
        <v>24</v>
      </c>
      <c r="B16714" t="s">
        <v>16534</v>
      </c>
      <c r="C16714" t="str">
        <f>"A0156499"</f>
        <v>A0156499</v>
      </c>
      <c r="D16714" t="s">
        <v>77407</v>
      </c>
      <c r="E16714" t="s">
        <v>77408</v>
      </c>
      <c r="F16714" t="s">
        <v>77409</v>
      </c>
      <c r="G16714" t="s">
        <v>81</v>
      </c>
      <c r="H16714">
        <v>33316</v>
      </c>
      <c r="I16714" t="s">
        <v>30</v>
      </c>
      <c r="J16714" t="s">
        <v>162</v>
      </c>
      <c r="K16714" t="s">
        <v>163</v>
      </c>
      <c r="N16714" t="s">
        <v>5169</v>
      </c>
      <c r="Q16714">
        <v>0</v>
      </c>
      <c r="R16714">
        <v>376</v>
      </c>
      <c r="S16714">
        <v>0</v>
      </c>
      <c r="T16714" t="s">
        <v>77410</v>
      </c>
    </row>
    <row r="16715" spans="1:20" customFormat="1" ht="15" x14ac:dyDescent="0.25">
      <c r="A16715" t="s">
        <v>24</v>
      </c>
      <c r="B16715" t="s">
        <v>2221</v>
      </c>
      <c r="C16715" t="str">
        <f>"A0054356"</f>
        <v>A0054356</v>
      </c>
      <c r="D16715" t="s">
        <v>77411</v>
      </c>
      <c r="E16715" t="s">
        <v>77412</v>
      </c>
      <c r="F16715" t="s">
        <v>1084</v>
      </c>
      <c r="G16715" t="s">
        <v>81</v>
      </c>
      <c r="H16715">
        <v>33040</v>
      </c>
      <c r="I16715" t="s">
        <v>30</v>
      </c>
      <c r="J16715" t="s">
        <v>162</v>
      </c>
      <c r="K16715" t="s">
        <v>163</v>
      </c>
      <c r="N16715" t="s">
        <v>77413</v>
      </c>
      <c r="O16715" t="s">
        <v>77414</v>
      </c>
      <c r="Q16715">
        <v>0</v>
      </c>
      <c r="R16715">
        <v>142</v>
      </c>
      <c r="S16715">
        <v>0</v>
      </c>
      <c r="T16715" t="s">
        <v>77415</v>
      </c>
    </row>
    <row r="16716" spans="1:20" customFormat="1" ht="15" x14ac:dyDescent="0.25">
      <c r="A16716" t="s">
        <v>24</v>
      </c>
      <c r="B16716" t="s">
        <v>5830</v>
      </c>
      <c r="C16716" t="str">
        <f>"A0057787"</f>
        <v>A0057787</v>
      </c>
      <c r="D16716" t="s">
        <v>77416</v>
      </c>
      <c r="E16716" t="s">
        <v>77417</v>
      </c>
      <c r="F16716" t="s">
        <v>7455</v>
      </c>
      <c r="G16716" t="s">
        <v>123</v>
      </c>
      <c r="H16716">
        <v>21202</v>
      </c>
      <c r="I16716" t="s">
        <v>30</v>
      </c>
      <c r="J16716" t="s">
        <v>162</v>
      </c>
      <c r="K16716" t="s">
        <v>163</v>
      </c>
      <c r="N16716" t="s">
        <v>77418</v>
      </c>
      <c r="O16716" t="s">
        <v>77419</v>
      </c>
      <c r="Q16716">
        <v>0</v>
      </c>
      <c r="R16716">
        <v>66</v>
      </c>
      <c r="S16716">
        <v>0</v>
      </c>
      <c r="T16716" t="s">
        <v>77420</v>
      </c>
    </row>
    <row r="16717" spans="1:20" customFormat="1" ht="15" x14ac:dyDescent="0.25">
      <c r="A16717" t="s">
        <v>24</v>
      </c>
      <c r="B16717" t="s">
        <v>77432</v>
      </c>
      <c r="C16717" t="str">
        <f>"A0056857"</f>
        <v>A0056857</v>
      </c>
      <c r="D16717" t="s">
        <v>77433</v>
      </c>
      <c r="E16717" t="s">
        <v>77434</v>
      </c>
      <c r="F16717" t="s">
        <v>77435</v>
      </c>
      <c r="G16717" t="s">
        <v>81</v>
      </c>
      <c r="H16717">
        <v>33931</v>
      </c>
      <c r="I16717" t="s">
        <v>30</v>
      </c>
      <c r="J16717" t="s">
        <v>162</v>
      </c>
      <c r="K16717" t="s">
        <v>163</v>
      </c>
      <c r="N16717" t="s">
        <v>77436</v>
      </c>
      <c r="O16717" t="s">
        <v>77437</v>
      </c>
      <c r="Q16717">
        <v>0</v>
      </c>
      <c r="R16717">
        <v>218</v>
      </c>
      <c r="S16717">
        <v>0</v>
      </c>
      <c r="T16717" t="s">
        <v>77438</v>
      </c>
    </row>
    <row r="16718" spans="1:20" customFormat="1" ht="15" x14ac:dyDescent="0.25">
      <c r="A16718" t="s">
        <v>24</v>
      </c>
      <c r="B16718" t="s">
        <v>1849</v>
      </c>
      <c r="C16718" t="str">
        <f>"A0066052"</f>
        <v>A0066052</v>
      </c>
      <c r="D16718" t="s">
        <v>77445</v>
      </c>
      <c r="E16718" t="s">
        <v>77446</v>
      </c>
      <c r="F16718" t="s">
        <v>3167</v>
      </c>
      <c r="G16718" t="s">
        <v>103</v>
      </c>
      <c r="H16718">
        <v>16066</v>
      </c>
      <c r="I16718" t="s">
        <v>30</v>
      </c>
      <c r="J16718" t="s">
        <v>162</v>
      </c>
      <c r="K16718" t="s">
        <v>1490</v>
      </c>
      <c r="N16718" t="s">
        <v>53373</v>
      </c>
      <c r="Q16718">
        <v>0</v>
      </c>
      <c r="R16718">
        <v>295</v>
      </c>
      <c r="S16718">
        <v>0</v>
      </c>
      <c r="T16718" t="s">
        <v>77447</v>
      </c>
    </row>
    <row r="16719" spans="1:20" customFormat="1" ht="15" x14ac:dyDescent="0.25">
      <c r="A16719" t="s">
        <v>24</v>
      </c>
      <c r="B16719" t="s">
        <v>63672</v>
      </c>
      <c r="C16719" t="str">
        <f>"A0098994"</f>
        <v>A0098994</v>
      </c>
      <c r="D16719" t="s">
        <v>77464</v>
      </c>
      <c r="E16719" t="s">
        <v>77465</v>
      </c>
      <c r="F16719" t="s">
        <v>4334</v>
      </c>
      <c r="G16719" t="s">
        <v>85</v>
      </c>
      <c r="H16719">
        <v>72211</v>
      </c>
      <c r="I16719" t="s">
        <v>30</v>
      </c>
      <c r="J16719" t="s">
        <v>162</v>
      </c>
      <c r="K16719" t="s">
        <v>163</v>
      </c>
      <c r="N16719" t="s">
        <v>77466</v>
      </c>
      <c r="O16719" t="s">
        <v>55504</v>
      </c>
      <c r="Q16719">
        <v>0</v>
      </c>
      <c r="R16719">
        <v>243</v>
      </c>
      <c r="S16719">
        <v>0</v>
      </c>
      <c r="T16719" t="s">
        <v>77467</v>
      </c>
    </row>
    <row r="16720" spans="1:20" customFormat="1" ht="15" x14ac:dyDescent="0.25">
      <c r="A16720" t="s">
        <v>24</v>
      </c>
      <c r="B16720" t="s">
        <v>3221</v>
      </c>
      <c r="C16720" t="str">
        <f>"A0054353"</f>
        <v>A0054353</v>
      </c>
      <c r="D16720" t="s">
        <v>77472</v>
      </c>
      <c r="E16720" t="s">
        <v>77473</v>
      </c>
      <c r="F16720" t="s">
        <v>77474</v>
      </c>
      <c r="G16720" t="s">
        <v>90</v>
      </c>
      <c r="H16720">
        <v>2891</v>
      </c>
      <c r="I16720" t="s">
        <v>30</v>
      </c>
      <c r="J16720" t="s">
        <v>162</v>
      </c>
      <c r="K16720" t="s">
        <v>163</v>
      </c>
      <c r="N16720" t="s">
        <v>77475</v>
      </c>
      <c r="O16720" t="s">
        <v>77476</v>
      </c>
      <c r="Q16720">
        <v>0</v>
      </c>
      <c r="R16720">
        <v>112</v>
      </c>
      <c r="S16720">
        <v>0</v>
      </c>
      <c r="T16720" t="s">
        <v>77477</v>
      </c>
    </row>
    <row r="16721" spans="1:20" customFormat="1" ht="15" x14ac:dyDescent="0.25">
      <c r="A16721" t="s">
        <v>24</v>
      </c>
      <c r="B16721" t="s">
        <v>1849</v>
      </c>
      <c r="C16721" t="str">
        <f>"SC010"</f>
        <v>SC010</v>
      </c>
      <c r="D16721" t="s">
        <v>77478</v>
      </c>
      <c r="E16721" t="s">
        <v>77479</v>
      </c>
      <c r="F16721" t="s">
        <v>7495</v>
      </c>
      <c r="G16721" t="s">
        <v>110</v>
      </c>
      <c r="H16721">
        <v>94588</v>
      </c>
      <c r="I16721" t="s">
        <v>30</v>
      </c>
      <c r="J16721" t="s">
        <v>162</v>
      </c>
      <c r="K16721" t="s">
        <v>1490</v>
      </c>
      <c r="N16721" t="s">
        <v>77480</v>
      </c>
      <c r="Q16721">
        <v>0</v>
      </c>
      <c r="R16721">
        <v>242</v>
      </c>
      <c r="S16721">
        <v>0</v>
      </c>
      <c r="T16721" t="s">
        <v>77481</v>
      </c>
    </row>
    <row r="16722" spans="1:20" customFormat="1" ht="15" x14ac:dyDescent="0.25">
      <c r="A16722" t="s">
        <v>24</v>
      </c>
      <c r="B16722" t="s">
        <v>2812</v>
      </c>
      <c r="C16722" t="str">
        <f>"A0146638"</f>
        <v>A0146638</v>
      </c>
      <c r="D16722" t="s">
        <v>77482</v>
      </c>
      <c r="E16722" t="s">
        <v>77483</v>
      </c>
      <c r="F16722" t="s">
        <v>77484</v>
      </c>
      <c r="G16722" t="s">
        <v>81</v>
      </c>
      <c r="H16722">
        <v>33308</v>
      </c>
      <c r="I16722" t="s">
        <v>30</v>
      </c>
      <c r="J16722" t="s">
        <v>162</v>
      </c>
      <c r="K16722" t="s">
        <v>163</v>
      </c>
      <c r="N16722" t="s">
        <v>77485</v>
      </c>
      <c r="O16722" t="s">
        <v>77486</v>
      </c>
      <c r="Q16722">
        <v>0</v>
      </c>
      <c r="R16722">
        <v>148</v>
      </c>
      <c r="S16722">
        <v>0</v>
      </c>
      <c r="T16722" t="s">
        <v>77487</v>
      </c>
    </row>
    <row r="16723" spans="1:20" customFormat="1" ht="15" x14ac:dyDescent="0.25">
      <c r="A16723" t="s">
        <v>24</v>
      </c>
      <c r="B16723" t="s">
        <v>675</v>
      </c>
      <c r="C16723" t="str">
        <f>"33709"</f>
        <v>33709</v>
      </c>
      <c r="D16723" t="s">
        <v>77541</v>
      </c>
      <c r="E16723" t="s">
        <v>77542</v>
      </c>
      <c r="F16723" t="s">
        <v>6593</v>
      </c>
      <c r="G16723" t="s">
        <v>47</v>
      </c>
      <c r="H16723">
        <v>97201</v>
      </c>
      <c r="I16723" t="s">
        <v>30</v>
      </c>
      <c r="J16723" t="s">
        <v>162</v>
      </c>
      <c r="K16723" t="s">
        <v>1490</v>
      </c>
      <c r="N16723" t="s">
        <v>77543</v>
      </c>
      <c r="O16723" t="s">
        <v>77544</v>
      </c>
      <c r="Q16723">
        <v>0</v>
      </c>
      <c r="R16723">
        <v>503</v>
      </c>
      <c r="S16723">
        <v>0</v>
      </c>
      <c r="T16723" t="s">
        <v>77545</v>
      </c>
    </row>
    <row r="16724" spans="1:20" customFormat="1" ht="15" hidden="1" x14ac:dyDescent="0.25">
      <c r="A16724" t="s">
        <v>24</v>
      </c>
      <c r="B16724" t="s">
        <v>59569</v>
      </c>
      <c r="C16724" t="str">
        <f>"A0151673"</f>
        <v>A0151673</v>
      </c>
      <c r="D16724" t="s">
        <v>59570</v>
      </c>
      <c r="E16724" t="s">
        <v>59571</v>
      </c>
      <c r="F16724" t="s">
        <v>56212</v>
      </c>
      <c r="G16724" t="s">
        <v>56201</v>
      </c>
      <c r="I16724" t="s">
        <v>56202</v>
      </c>
      <c r="J16724" t="s">
        <v>171</v>
      </c>
      <c r="K16724" t="s">
        <v>973</v>
      </c>
      <c r="N16724" t="s">
        <v>59572</v>
      </c>
      <c r="O16724" t="s">
        <v>59573</v>
      </c>
      <c r="Q16724">
        <v>0</v>
      </c>
      <c r="R16724">
        <v>148</v>
      </c>
      <c r="S16724">
        <v>0</v>
      </c>
      <c r="T16724" t="s">
        <v>59574</v>
      </c>
    </row>
    <row r="16725" spans="1:20" customFormat="1" ht="15" x14ac:dyDescent="0.25">
      <c r="A16725" t="s">
        <v>24</v>
      </c>
      <c r="B16725" t="s">
        <v>77546</v>
      </c>
      <c r="C16725" t="str">
        <f>"A0090599"</f>
        <v>A0090599</v>
      </c>
      <c r="D16725" t="s">
        <v>77547</v>
      </c>
      <c r="E16725" t="s">
        <v>77548</v>
      </c>
      <c r="F16725" t="s">
        <v>2376</v>
      </c>
      <c r="G16725" t="s">
        <v>110</v>
      </c>
      <c r="H16725">
        <v>93940</v>
      </c>
      <c r="I16725" t="s">
        <v>30</v>
      </c>
      <c r="J16725" t="s">
        <v>162</v>
      </c>
      <c r="K16725" t="s">
        <v>163</v>
      </c>
      <c r="N16725" t="s">
        <v>77549</v>
      </c>
      <c r="O16725" t="s">
        <v>77550</v>
      </c>
      <c r="Q16725">
        <v>0</v>
      </c>
      <c r="R16725">
        <v>379</v>
      </c>
      <c r="S16725">
        <v>0</v>
      </c>
      <c r="T16725" t="s">
        <v>77551</v>
      </c>
    </row>
    <row r="16726" spans="1:20" customFormat="1" ht="15" x14ac:dyDescent="0.25">
      <c r="A16726" t="s">
        <v>24</v>
      </c>
      <c r="B16726" t="s">
        <v>675</v>
      </c>
      <c r="C16726" t="str">
        <f>"A0056751"</f>
        <v>A0056751</v>
      </c>
      <c r="D16726" t="s">
        <v>77564</v>
      </c>
      <c r="E16726" t="s">
        <v>77565</v>
      </c>
      <c r="F16726" t="s">
        <v>6888</v>
      </c>
      <c r="G16726" t="s">
        <v>338</v>
      </c>
      <c r="H16726">
        <v>8540</v>
      </c>
      <c r="I16726" t="s">
        <v>30</v>
      </c>
      <c r="J16726" t="s">
        <v>162</v>
      </c>
      <c r="K16726" t="s">
        <v>1490</v>
      </c>
      <c r="N16726" t="s">
        <v>77566</v>
      </c>
      <c r="O16726" t="s">
        <v>77567</v>
      </c>
      <c r="Q16726">
        <v>0</v>
      </c>
      <c r="R16726">
        <v>290</v>
      </c>
      <c r="S16726">
        <v>0</v>
      </c>
      <c r="T16726" t="s">
        <v>77568</v>
      </c>
    </row>
    <row r="16727" spans="1:20" customFormat="1" ht="15" x14ac:dyDescent="0.25">
      <c r="A16727" t="s">
        <v>24</v>
      </c>
      <c r="B16727" t="s">
        <v>5830</v>
      </c>
      <c r="C16727" t="str">
        <f>"34222"</f>
        <v>34222</v>
      </c>
      <c r="D16727" t="s">
        <v>77581</v>
      </c>
      <c r="E16727" t="s">
        <v>77582</v>
      </c>
      <c r="F16727" t="s">
        <v>6865</v>
      </c>
      <c r="G16727" t="s">
        <v>90</v>
      </c>
      <c r="H16727">
        <v>2904</v>
      </c>
      <c r="I16727" t="s">
        <v>30</v>
      </c>
      <c r="J16727" t="s">
        <v>162</v>
      </c>
      <c r="K16727" t="s">
        <v>1490</v>
      </c>
      <c r="N16727" t="s">
        <v>77583</v>
      </c>
      <c r="Q16727">
        <v>0</v>
      </c>
      <c r="R16727">
        <v>351</v>
      </c>
      <c r="S16727">
        <v>0</v>
      </c>
      <c r="T16727" t="s">
        <v>77584</v>
      </c>
    </row>
    <row r="16728" spans="1:20" customFormat="1" ht="15" x14ac:dyDescent="0.25">
      <c r="A16728" t="s">
        <v>24</v>
      </c>
      <c r="B16728" t="s">
        <v>675</v>
      </c>
      <c r="C16728" t="str">
        <f>"34225"</f>
        <v>34225</v>
      </c>
      <c r="D16728" t="s">
        <v>77585</v>
      </c>
      <c r="E16728" t="s">
        <v>77586</v>
      </c>
      <c r="F16728" t="s">
        <v>77587</v>
      </c>
      <c r="G16728" t="s">
        <v>153</v>
      </c>
      <c r="H16728">
        <v>84601</v>
      </c>
      <c r="I16728" t="s">
        <v>30</v>
      </c>
      <c r="J16728" t="s">
        <v>162</v>
      </c>
      <c r="K16728" t="s">
        <v>57369</v>
      </c>
      <c r="N16728" t="s">
        <v>77588</v>
      </c>
      <c r="O16728" t="s">
        <v>77589</v>
      </c>
      <c r="Q16728">
        <v>0</v>
      </c>
      <c r="R16728">
        <v>331</v>
      </c>
      <c r="S16728">
        <v>0</v>
      </c>
      <c r="T16728" t="s">
        <v>77590</v>
      </c>
    </row>
    <row r="16729" spans="1:20" customFormat="1" ht="15" x14ac:dyDescent="0.25">
      <c r="A16729" t="s">
        <v>24</v>
      </c>
      <c r="B16729" t="s">
        <v>2011</v>
      </c>
      <c r="C16729" t="str">
        <f>"A0149090"</f>
        <v>A0149090</v>
      </c>
      <c r="D16729" t="s">
        <v>77887</v>
      </c>
      <c r="E16729" t="s">
        <v>77888</v>
      </c>
      <c r="F16729" t="s">
        <v>5620</v>
      </c>
      <c r="G16729" t="s">
        <v>29</v>
      </c>
      <c r="H16729">
        <v>23220</v>
      </c>
      <c r="I16729" t="s">
        <v>30</v>
      </c>
      <c r="J16729" t="s">
        <v>162</v>
      </c>
      <c r="K16729" t="s">
        <v>2015</v>
      </c>
      <c r="N16729" t="s">
        <v>77889</v>
      </c>
      <c r="Q16729">
        <v>0</v>
      </c>
      <c r="R16729">
        <v>73</v>
      </c>
      <c r="S16729">
        <v>0</v>
      </c>
      <c r="T16729" t="s">
        <v>77890</v>
      </c>
    </row>
    <row r="16730" spans="1:20" customFormat="1" ht="15" x14ac:dyDescent="0.25">
      <c r="A16730" t="s">
        <v>24</v>
      </c>
      <c r="B16730" t="s">
        <v>2011</v>
      </c>
      <c r="C16730" t="str">
        <f>"A0154097"</f>
        <v>A0154097</v>
      </c>
      <c r="D16730" t="s">
        <v>77891</v>
      </c>
      <c r="E16730" t="s">
        <v>77892</v>
      </c>
      <c r="F16730" t="s">
        <v>3401</v>
      </c>
      <c r="G16730" t="s">
        <v>29</v>
      </c>
      <c r="H16730">
        <v>22903</v>
      </c>
      <c r="I16730" t="s">
        <v>30</v>
      </c>
      <c r="J16730" t="s">
        <v>162</v>
      </c>
      <c r="K16730" t="s">
        <v>2015</v>
      </c>
      <c r="N16730" t="s">
        <v>77889</v>
      </c>
      <c r="Q16730">
        <v>0</v>
      </c>
      <c r="R16730">
        <v>80</v>
      </c>
      <c r="S16730">
        <v>0</v>
      </c>
      <c r="T16730" t="s">
        <v>77893</v>
      </c>
    </row>
    <row r="16731" spans="1:20" customFormat="1" ht="15" x14ac:dyDescent="0.25">
      <c r="A16731" t="s">
        <v>24</v>
      </c>
      <c r="B16731" t="s">
        <v>9549</v>
      </c>
      <c r="C16731" t="str">
        <f>"A0058871"</f>
        <v>A0058871</v>
      </c>
      <c r="D16731" t="s">
        <v>77894</v>
      </c>
      <c r="E16731" t="s">
        <v>77895</v>
      </c>
      <c r="F16731" t="s">
        <v>33693</v>
      </c>
      <c r="G16731" t="s">
        <v>144</v>
      </c>
      <c r="H16731">
        <v>58102</v>
      </c>
      <c r="I16731" t="s">
        <v>30</v>
      </c>
      <c r="J16731" t="s">
        <v>162</v>
      </c>
      <c r="K16731" t="s">
        <v>251</v>
      </c>
      <c r="N16731" t="s">
        <v>77896</v>
      </c>
      <c r="Q16731">
        <v>0</v>
      </c>
      <c r="R16731">
        <v>151</v>
      </c>
      <c r="S16731">
        <v>0</v>
      </c>
      <c r="T16731" t="s">
        <v>77897</v>
      </c>
    </row>
    <row r="16732" spans="1:20" customFormat="1" ht="15" x14ac:dyDescent="0.25">
      <c r="A16732" t="s">
        <v>24</v>
      </c>
      <c r="B16732" t="s">
        <v>1467</v>
      </c>
      <c r="C16732" t="str">
        <f>"A0089595"</f>
        <v>A0089595</v>
      </c>
      <c r="D16732" t="s">
        <v>77898</v>
      </c>
      <c r="E16732" t="s">
        <v>77899</v>
      </c>
      <c r="F16732" t="s">
        <v>70566</v>
      </c>
      <c r="G16732" t="s">
        <v>899</v>
      </c>
      <c r="H16732">
        <v>1824</v>
      </c>
      <c r="I16732" t="s">
        <v>30</v>
      </c>
      <c r="J16732" t="s">
        <v>162</v>
      </c>
      <c r="K16732" t="s">
        <v>251</v>
      </c>
      <c r="Q16732">
        <v>0</v>
      </c>
      <c r="R16732">
        <v>214</v>
      </c>
      <c r="S16732">
        <v>0</v>
      </c>
      <c r="T16732" t="s">
        <v>77900</v>
      </c>
    </row>
    <row r="16733" spans="1:20" customFormat="1" ht="15" x14ac:dyDescent="0.25">
      <c r="A16733" t="s">
        <v>24</v>
      </c>
      <c r="B16733" t="s">
        <v>1548</v>
      </c>
      <c r="C16733" t="str">
        <f>"A0059984"</f>
        <v>A0059984</v>
      </c>
      <c r="D16733" t="s">
        <v>77904</v>
      </c>
      <c r="E16733" t="s">
        <v>77905</v>
      </c>
      <c r="F16733" t="s">
        <v>7455</v>
      </c>
      <c r="G16733" t="s">
        <v>123</v>
      </c>
      <c r="H16733">
        <v>21201</v>
      </c>
      <c r="I16733" t="s">
        <v>30</v>
      </c>
      <c r="J16733" t="s">
        <v>162</v>
      </c>
      <c r="K16733" t="s">
        <v>251</v>
      </c>
      <c r="N16733" t="s">
        <v>70023</v>
      </c>
      <c r="O16733" t="s">
        <v>77906</v>
      </c>
      <c r="Q16733">
        <v>0</v>
      </c>
      <c r="R16733">
        <v>325</v>
      </c>
      <c r="S16733">
        <v>0</v>
      </c>
      <c r="T16733" t="s">
        <v>77907</v>
      </c>
    </row>
    <row r="16734" spans="1:20" customFormat="1" ht="15" x14ac:dyDescent="0.25">
      <c r="A16734" t="s">
        <v>24</v>
      </c>
      <c r="B16734" t="s">
        <v>57067</v>
      </c>
      <c r="C16734" t="str">
        <f>"A0058844"</f>
        <v>A0058844</v>
      </c>
      <c r="D16734" t="s">
        <v>77908</v>
      </c>
      <c r="E16734" t="s">
        <v>77909</v>
      </c>
      <c r="F16734" t="s">
        <v>53840</v>
      </c>
      <c r="G16734" t="s">
        <v>840</v>
      </c>
      <c r="H16734">
        <v>41011</v>
      </c>
      <c r="I16734" t="s">
        <v>30</v>
      </c>
      <c r="J16734" t="s">
        <v>162</v>
      </c>
      <c r="K16734" t="s">
        <v>251</v>
      </c>
      <c r="N16734" t="s">
        <v>77910</v>
      </c>
      <c r="Q16734">
        <v>0</v>
      </c>
      <c r="R16734">
        <v>236</v>
      </c>
      <c r="S16734">
        <v>0</v>
      </c>
      <c r="T16734" t="s">
        <v>77911</v>
      </c>
    </row>
    <row r="16735" spans="1:20" customFormat="1" ht="15" x14ac:dyDescent="0.25">
      <c r="A16735" t="s">
        <v>24</v>
      </c>
      <c r="B16735" t="s">
        <v>65770</v>
      </c>
      <c r="C16735" t="str">
        <f>"A0062858"</f>
        <v>A0062858</v>
      </c>
      <c r="D16735" t="s">
        <v>77912</v>
      </c>
      <c r="E16735" t="s">
        <v>77913</v>
      </c>
      <c r="F16735" t="s">
        <v>69173</v>
      </c>
      <c r="G16735" t="s">
        <v>99</v>
      </c>
      <c r="H16735">
        <v>14830</v>
      </c>
      <c r="I16735" t="s">
        <v>30</v>
      </c>
      <c r="J16735" t="s">
        <v>162</v>
      </c>
      <c r="K16735" t="s">
        <v>251</v>
      </c>
      <c r="N16735" t="s">
        <v>77914</v>
      </c>
      <c r="Q16735">
        <v>0</v>
      </c>
      <c r="R16735">
        <v>180</v>
      </c>
      <c r="S16735">
        <v>0</v>
      </c>
      <c r="T16735" t="s">
        <v>77915</v>
      </c>
    </row>
    <row r="16736" spans="1:20" customFormat="1" ht="15" x14ac:dyDescent="0.25">
      <c r="A16736" t="s">
        <v>24</v>
      </c>
      <c r="B16736" t="s">
        <v>56463</v>
      </c>
      <c r="C16736" t="str">
        <f>"A0148945"</f>
        <v>A0148945</v>
      </c>
      <c r="D16736" t="s">
        <v>77916</v>
      </c>
      <c r="E16736" t="s">
        <v>77917</v>
      </c>
      <c r="F16736" t="s">
        <v>14619</v>
      </c>
      <c r="G16736" t="s">
        <v>52</v>
      </c>
      <c r="H16736">
        <v>75001</v>
      </c>
      <c r="I16736" t="s">
        <v>30</v>
      </c>
      <c r="J16736" t="s">
        <v>162</v>
      </c>
      <c r="K16736" t="s">
        <v>251</v>
      </c>
      <c r="N16736" t="s">
        <v>77918</v>
      </c>
      <c r="O16736" t="s">
        <v>62491</v>
      </c>
      <c r="Q16736">
        <v>0</v>
      </c>
      <c r="R16736">
        <v>101</v>
      </c>
      <c r="S16736">
        <v>0</v>
      </c>
      <c r="T16736" t="s">
        <v>77919</v>
      </c>
    </row>
    <row r="16737" spans="1:20" customFormat="1" ht="15" x14ac:dyDescent="0.25">
      <c r="A16737" t="s">
        <v>24</v>
      </c>
      <c r="B16737" t="s">
        <v>61358</v>
      </c>
      <c r="C16737" t="str">
        <f>"A0101045"</f>
        <v>A0101045</v>
      </c>
      <c r="D16737" t="s">
        <v>77920</v>
      </c>
      <c r="E16737" t="s">
        <v>77921</v>
      </c>
      <c r="F16737" t="s">
        <v>61540</v>
      </c>
      <c r="G16737" t="s">
        <v>90</v>
      </c>
      <c r="H16737">
        <v>2886</v>
      </c>
      <c r="I16737" t="s">
        <v>30</v>
      </c>
      <c r="J16737" t="s">
        <v>162</v>
      </c>
      <c r="K16737" t="s">
        <v>251</v>
      </c>
      <c r="N16737" t="s">
        <v>77922</v>
      </c>
      <c r="Q16737">
        <v>0</v>
      </c>
      <c r="R16737">
        <v>111</v>
      </c>
      <c r="S16737">
        <v>0</v>
      </c>
      <c r="T16737" t="s">
        <v>77923</v>
      </c>
    </row>
    <row r="16738" spans="1:20" customFormat="1" ht="15" x14ac:dyDescent="0.25">
      <c r="A16738" t="s">
        <v>24</v>
      </c>
      <c r="B16738" t="s">
        <v>3343</v>
      </c>
      <c r="C16738" t="str">
        <f>"A0100570"</f>
        <v>A0100570</v>
      </c>
      <c r="D16738" t="s">
        <v>77951</v>
      </c>
      <c r="E16738" t="s">
        <v>77952</v>
      </c>
      <c r="F16738" t="s">
        <v>77953</v>
      </c>
      <c r="G16738" t="s">
        <v>1508</v>
      </c>
      <c r="H16738">
        <v>82716</v>
      </c>
      <c r="I16738" t="s">
        <v>30</v>
      </c>
      <c r="J16738" t="s">
        <v>162</v>
      </c>
      <c r="K16738" t="s">
        <v>248</v>
      </c>
      <c r="N16738" t="s">
        <v>77954</v>
      </c>
      <c r="Q16738">
        <v>0</v>
      </c>
      <c r="R16738">
        <v>159</v>
      </c>
      <c r="S16738">
        <v>0</v>
      </c>
      <c r="T16738" t="s">
        <v>77955</v>
      </c>
    </row>
    <row r="16739" spans="1:20" customFormat="1" ht="15" x14ac:dyDescent="0.25">
      <c r="A16739" t="s">
        <v>24</v>
      </c>
      <c r="B16739" t="s">
        <v>78089</v>
      </c>
      <c r="C16739" t="str">
        <f>"A0095100"</f>
        <v>A0095100</v>
      </c>
      <c r="D16739" t="s">
        <v>78090</v>
      </c>
      <c r="E16739" t="s">
        <v>78091</v>
      </c>
      <c r="F16739" t="s">
        <v>6897</v>
      </c>
      <c r="G16739" t="s">
        <v>99</v>
      </c>
      <c r="H16739">
        <v>12207</v>
      </c>
      <c r="I16739" t="s">
        <v>30</v>
      </c>
      <c r="J16739" t="s">
        <v>162</v>
      </c>
      <c r="K16739" t="s">
        <v>8335</v>
      </c>
      <c r="N16739" t="s">
        <v>78092</v>
      </c>
      <c r="Q16739">
        <v>0</v>
      </c>
      <c r="R16739">
        <v>203</v>
      </c>
      <c r="S16739">
        <v>0</v>
      </c>
      <c r="T16739" t="s">
        <v>78093</v>
      </c>
    </row>
    <row r="16740" spans="1:20" customFormat="1" ht="15" x14ac:dyDescent="0.25">
      <c r="A16740" t="s">
        <v>24</v>
      </c>
      <c r="B16740" t="s">
        <v>675</v>
      </c>
      <c r="C16740" t="str">
        <f>"A0088576"</f>
        <v>A0088576</v>
      </c>
      <c r="D16740" t="s">
        <v>78094</v>
      </c>
      <c r="E16740" t="s">
        <v>78095</v>
      </c>
      <c r="F16740" t="s">
        <v>1131</v>
      </c>
      <c r="G16740" t="s">
        <v>29</v>
      </c>
      <c r="H16740">
        <v>22202</v>
      </c>
      <c r="I16740" t="s">
        <v>30</v>
      </c>
      <c r="J16740" t="s">
        <v>162</v>
      </c>
      <c r="K16740" t="s">
        <v>8335</v>
      </c>
      <c r="N16740" t="s">
        <v>78096</v>
      </c>
      <c r="O16740" t="s">
        <v>78097</v>
      </c>
      <c r="Q16740">
        <v>0</v>
      </c>
      <c r="R16740">
        <v>300</v>
      </c>
      <c r="S16740">
        <v>0</v>
      </c>
      <c r="T16740" t="s">
        <v>78098</v>
      </c>
    </row>
    <row r="16741" spans="1:20" customFormat="1" ht="15" x14ac:dyDescent="0.25">
      <c r="A16741" t="s">
        <v>24</v>
      </c>
      <c r="B16741" t="s">
        <v>675</v>
      </c>
      <c r="C16741" t="str">
        <f>"A0056052"</f>
        <v>A0056052</v>
      </c>
      <c r="D16741" t="s">
        <v>78106</v>
      </c>
      <c r="E16741" t="s">
        <v>78107</v>
      </c>
      <c r="F16741" t="s">
        <v>3024</v>
      </c>
      <c r="G16741" t="s">
        <v>846</v>
      </c>
      <c r="H16741">
        <v>30337</v>
      </c>
      <c r="I16741" t="s">
        <v>30</v>
      </c>
      <c r="J16741" t="s">
        <v>162</v>
      </c>
      <c r="K16741" t="s">
        <v>8335</v>
      </c>
      <c r="Q16741">
        <v>0</v>
      </c>
      <c r="R16741">
        <v>204</v>
      </c>
      <c r="S16741">
        <v>0</v>
      </c>
      <c r="T16741" t="s">
        <v>78108</v>
      </c>
    </row>
    <row r="16742" spans="1:20" customFormat="1" ht="15" x14ac:dyDescent="0.25">
      <c r="A16742" t="s">
        <v>24</v>
      </c>
      <c r="B16742" t="s">
        <v>5166</v>
      </c>
      <c r="C16742" t="str">
        <f>"A0089059"</f>
        <v>A0089059</v>
      </c>
      <c r="D16742" t="s">
        <v>78109</v>
      </c>
      <c r="E16742" t="s">
        <v>78110</v>
      </c>
      <c r="F16742" t="s">
        <v>845</v>
      </c>
      <c r="G16742" t="s">
        <v>846</v>
      </c>
      <c r="H16742">
        <v>30308</v>
      </c>
      <c r="I16742" t="s">
        <v>30</v>
      </c>
      <c r="J16742" t="s">
        <v>162</v>
      </c>
      <c r="K16742" t="s">
        <v>8335</v>
      </c>
      <c r="N16742" t="s">
        <v>2831</v>
      </c>
      <c r="O16742" t="s">
        <v>78111</v>
      </c>
      <c r="Q16742">
        <v>0</v>
      </c>
      <c r="R16742">
        <v>304</v>
      </c>
      <c r="S16742">
        <v>0</v>
      </c>
      <c r="T16742" t="s">
        <v>78112</v>
      </c>
    </row>
    <row r="16743" spans="1:20" customFormat="1" ht="15" x14ac:dyDescent="0.25">
      <c r="A16743" t="s">
        <v>24</v>
      </c>
      <c r="B16743" t="s">
        <v>675</v>
      </c>
      <c r="C16743" t="str">
        <f>"CT71V"</f>
        <v>CT71V</v>
      </c>
      <c r="D16743" t="s">
        <v>78113</v>
      </c>
      <c r="E16743" t="s">
        <v>78114</v>
      </c>
      <c r="F16743" t="s">
        <v>372</v>
      </c>
      <c r="G16743" t="s">
        <v>52</v>
      </c>
      <c r="H16743">
        <v>78759</v>
      </c>
      <c r="I16743" t="s">
        <v>30</v>
      </c>
      <c r="J16743" t="s">
        <v>162</v>
      </c>
      <c r="K16743" t="s">
        <v>8335</v>
      </c>
      <c r="N16743" t="s">
        <v>78115</v>
      </c>
      <c r="O16743" t="s">
        <v>78116</v>
      </c>
      <c r="Q16743">
        <v>0</v>
      </c>
      <c r="R16743">
        <v>498</v>
      </c>
      <c r="S16743">
        <v>0</v>
      </c>
      <c r="T16743" t="s">
        <v>78117</v>
      </c>
    </row>
    <row r="16744" spans="1:20" customFormat="1" ht="15" x14ac:dyDescent="0.25">
      <c r="A16744" t="s">
        <v>24</v>
      </c>
      <c r="B16744" t="s">
        <v>2387</v>
      </c>
      <c r="C16744" t="str">
        <f>"A0086851"</f>
        <v>A0086851</v>
      </c>
      <c r="D16744" t="s">
        <v>78118</v>
      </c>
      <c r="E16744" t="s">
        <v>78119</v>
      </c>
      <c r="F16744" t="s">
        <v>15022</v>
      </c>
      <c r="G16744" t="s">
        <v>899</v>
      </c>
      <c r="H16744">
        <v>2035</v>
      </c>
      <c r="I16744" t="s">
        <v>30</v>
      </c>
      <c r="J16744" t="s">
        <v>162</v>
      </c>
      <c r="K16744" t="s">
        <v>8335</v>
      </c>
      <c r="N16744" t="s">
        <v>78120</v>
      </c>
      <c r="O16744" t="s">
        <v>78121</v>
      </c>
      <c r="Q16744">
        <v>0</v>
      </c>
      <c r="R16744">
        <v>156</v>
      </c>
      <c r="S16744">
        <v>0</v>
      </c>
      <c r="T16744" t="s">
        <v>78122</v>
      </c>
    </row>
    <row r="16745" spans="1:20" customFormat="1" ht="15" x14ac:dyDescent="0.25">
      <c r="A16745" t="s">
        <v>24</v>
      </c>
      <c r="B16745" t="s">
        <v>675</v>
      </c>
      <c r="C16745" t="str">
        <f>"A0083821"</f>
        <v>A0083821</v>
      </c>
      <c r="D16745" t="s">
        <v>78123</v>
      </c>
      <c r="E16745" t="s">
        <v>78124</v>
      </c>
      <c r="F16745" t="s">
        <v>1208</v>
      </c>
      <c r="G16745" t="s">
        <v>899</v>
      </c>
      <c r="H16745">
        <v>2210</v>
      </c>
      <c r="I16745" t="s">
        <v>30</v>
      </c>
      <c r="J16745" t="s">
        <v>162</v>
      </c>
      <c r="K16745" t="s">
        <v>8335</v>
      </c>
      <c r="N16745" t="s">
        <v>78125</v>
      </c>
      <c r="O16745" t="s">
        <v>78126</v>
      </c>
      <c r="Q16745">
        <v>0</v>
      </c>
      <c r="R16745">
        <v>471</v>
      </c>
      <c r="S16745">
        <v>0</v>
      </c>
      <c r="T16745" t="s">
        <v>78127</v>
      </c>
    </row>
    <row r="16746" spans="1:20" customFormat="1" ht="15" x14ac:dyDescent="0.25">
      <c r="A16746" t="s">
        <v>24</v>
      </c>
      <c r="B16746" t="s">
        <v>1020</v>
      </c>
      <c r="C16746" t="str">
        <f>"A0064885"</f>
        <v>A0064885</v>
      </c>
      <c r="D16746" t="s">
        <v>78128</v>
      </c>
      <c r="E16746" t="s">
        <v>78129</v>
      </c>
      <c r="F16746" t="s">
        <v>5597</v>
      </c>
      <c r="G16746" t="s">
        <v>190</v>
      </c>
      <c r="H16746">
        <v>80021</v>
      </c>
      <c r="I16746" t="s">
        <v>30</v>
      </c>
      <c r="J16746" t="s">
        <v>162</v>
      </c>
      <c r="K16746" t="s">
        <v>8335</v>
      </c>
      <c r="N16746" t="s">
        <v>78130</v>
      </c>
      <c r="Q16746">
        <v>0</v>
      </c>
      <c r="R16746">
        <v>232</v>
      </c>
      <c r="S16746">
        <v>0</v>
      </c>
      <c r="T16746" t="s">
        <v>78131</v>
      </c>
    </row>
    <row r="16747" spans="1:20" customFormat="1" ht="15" x14ac:dyDescent="0.25">
      <c r="A16747" t="s">
        <v>24</v>
      </c>
      <c r="B16747" t="s">
        <v>675</v>
      </c>
      <c r="C16747" t="str">
        <f>"A0083963"</f>
        <v>A0083963</v>
      </c>
      <c r="D16747" t="s">
        <v>78132</v>
      </c>
      <c r="E16747" t="s">
        <v>78133</v>
      </c>
      <c r="F16747" t="s">
        <v>242</v>
      </c>
      <c r="G16747" t="s">
        <v>214</v>
      </c>
      <c r="H16747">
        <v>28209</v>
      </c>
      <c r="I16747" t="s">
        <v>30</v>
      </c>
      <c r="J16747" t="s">
        <v>162</v>
      </c>
      <c r="K16747" t="s">
        <v>8335</v>
      </c>
      <c r="Q16747">
        <v>0</v>
      </c>
      <c r="R16747">
        <v>262</v>
      </c>
      <c r="S16747">
        <v>0</v>
      </c>
      <c r="T16747" t="s">
        <v>78134</v>
      </c>
    </row>
    <row r="16748" spans="1:20" customFormat="1" ht="15" x14ac:dyDescent="0.25">
      <c r="A16748" t="s">
        <v>24</v>
      </c>
      <c r="B16748" t="s">
        <v>675</v>
      </c>
      <c r="C16748" t="str">
        <f>"CT72E"</f>
        <v>CT72E</v>
      </c>
      <c r="D16748" t="s">
        <v>78135</v>
      </c>
      <c r="E16748" t="s">
        <v>78136</v>
      </c>
      <c r="F16748" t="s">
        <v>716</v>
      </c>
      <c r="G16748" t="s">
        <v>289</v>
      </c>
      <c r="H16748">
        <v>60601</v>
      </c>
      <c r="I16748" t="s">
        <v>30</v>
      </c>
      <c r="J16748" t="s">
        <v>162</v>
      </c>
      <c r="K16748" t="s">
        <v>8335</v>
      </c>
      <c r="N16748" t="s">
        <v>78137</v>
      </c>
      <c r="O16748" t="s">
        <v>78138</v>
      </c>
      <c r="Q16748">
        <v>0</v>
      </c>
      <c r="R16748">
        <v>553</v>
      </c>
      <c r="S16748">
        <v>0</v>
      </c>
      <c r="T16748" t="s">
        <v>78139</v>
      </c>
    </row>
    <row r="16749" spans="1:20" customFormat="1" ht="15" x14ac:dyDescent="0.25">
      <c r="A16749" t="s">
        <v>24</v>
      </c>
      <c r="B16749" t="s">
        <v>56473</v>
      </c>
      <c r="C16749" t="str">
        <f>"A0064725"</f>
        <v>A0064725</v>
      </c>
      <c r="D16749" t="s">
        <v>78140</v>
      </c>
      <c r="E16749" t="s">
        <v>78141</v>
      </c>
      <c r="F16749" t="s">
        <v>76088</v>
      </c>
      <c r="G16749" t="s">
        <v>110</v>
      </c>
      <c r="H16749">
        <v>94597</v>
      </c>
      <c r="I16749" t="s">
        <v>30</v>
      </c>
      <c r="J16749" t="s">
        <v>162</v>
      </c>
      <c r="K16749" t="s">
        <v>8335</v>
      </c>
      <c r="N16749" t="s">
        <v>78142</v>
      </c>
      <c r="O16749" t="s">
        <v>78143</v>
      </c>
      <c r="Q16749">
        <v>0</v>
      </c>
      <c r="R16749">
        <v>175</v>
      </c>
      <c r="S16749">
        <v>0</v>
      </c>
      <c r="T16749" t="s">
        <v>78144</v>
      </c>
    </row>
    <row r="16750" spans="1:20" customFormat="1" ht="15" x14ac:dyDescent="0.25">
      <c r="A16750" t="s">
        <v>24</v>
      </c>
      <c r="B16750" t="s">
        <v>78145</v>
      </c>
      <c r="C16750" t="str">
        <f>"A0085382"</f>
        <v>A0085382</v>
      </c>
      <c r="D16750" t="s">
        <v>78146</v>
      </c>
      <c r="E16750" t="s">
        <v>78147</v>
      </c>
      <c r="F16750" t="s">
        <v>55687</v>
      </c>
      <c r="G16750" t="s">
        <v>110</v>
      </c>
      <c r="H16750">
        <v>92656</v>
      </c>
      <c r="I16750" t="s">
        <v>30</v>
      </c>
      <c r="J16750" t="s">
        <v>162</v>
      </c>
      <c r="K16750" t="s">
        <v>8335</v>
      </c>
      <c r="N16750" t="s">
        <v>78148</v>
      </c>
      <c r="O16750" t="s">
        <v>78149</v>
      </c>
      <c r="Q16750">
        <v>0</v>
      </c>
      <c r="R16750">
        <v>174</v>
      </c>
      <c r="S16750">
        <v>0</v>
      </c>
      <c r="T16750" t="s">
        <v>78150</v>
      </c>
    </row>
    <row r="16751" spans="1:20" customFormat="1" ht="15" x14ac:dyDescent="0.25">
      <c r="A16751" t="s">
        <v>24</v>
      </c>
      <c r="B16751" t="s">
        <v>675</v>
      </c>
      <c r="C16751" t="str">
        <f>"A0060569"</f>
        <v>A0060569</v>
      </c>
      <c r="D16751" t="s">
        <v>78151</v>
      </c>
      <c r="E16751" t="s">
        <v>78152</v>
      </c>
      <c r="F16751" t="s">
        <v>1525</v>
      </c>
      <c r="G16751" t="s">
        <v>65</v>
      </c>
      <c r="H16751">
        <v>43215</v>
      </c>
      <c r="I16751" t="s">
        <v>30</v>
      </c>
      <c r="J16751" t="s">
        <v>162</v>
      </c>
      <c r="K16751" t="s">
        <v>8335</v>
      </c>
      <c r="N16751" t="s">
        <v>78153</v>
      </c>
      <c r="O16751" t="s">
        <v>78154</v>
      </c>
      <c r="Q16751">
        <v>0</v>
      </c>
      <c r="R16751">
        <v>415</v>
      </c>
      <c r="S16751">
        <v>0</v>
      </c>
      <c r="T16751" t="s">
        <v>78155</v>
      </c>
    </row>
    <row r="16752" spans="1:20" customFormat="1" ht="15" x14ac:dyDescent="0.25">
      <c r="A16752" t="s">
        <v>24</v>
      </c>
      <c r="B16752" t="s">
        <v>675</v>
      </c>
      <c r="C16752" t="str">
        <f>"CT71W"</f>
        <v>CT71W</v>
      </c>
      <c r="D16752" t="s">
        <v>78161</v>
      </c>
      <c r="E16752" t="s">
        <v>78162</v>
      </c>
      <c r="F16752" t="s">
        <v>2094</v>
      </c>
      <c r="G16752" t="s">
        <v>52</v>
      </c>
      <c r="H16752">
        <v>75207</v>
      </c>
      <c r="I16752" t="s">
        <v>30</v>
      </c>
      <c r="J16752" t="s">
        <v>162</v>
      </c>
      <c r="K16752" t="s">
        <v>8335</v>
      </c>
      <c r="N16752" t="s">
        <v>78163</v>
      </c>
      <c r="O16752" t="s">
        <v>78164</v>
      </c>
      <c r="Q16752">
        <v>0</v>
      </c>
      <c r="R16752">
        <v>514</v>
      </c>
      <c r="S16752">
        <v>0</v>
      </c>
      <c r="T16752" t="s">
        <v>78165</v>
      </c>
    </row>
    <row r="16753" spans="1:20" customFormat="1" ht="15" x14ac:dyDescent="0.25">
      <c r="A16753" t="s">
        <v>24</v>
      </c>
      <c r="B16753" t="s">
        <v>675</v>
      </c>
      <c r="C16753" t="str">
        <f>"A0097882"</f>
        <v>A0097882</v>
      </c>
      <c r="D16753" t="s">
        <v>78166</v>
      </c>
      <c r="E16753" t="s">
        <v>78167</v>
      </c>
      <c r="F16753" t="s">
        <v>2128</v>
      </c>
      <c r="G16753" t="s">
        <v>52</v>
      </c>
      <c r="H16753">
        <v>75024</v>
      </c>
      <c r="I16753" t="s">
        <v>30</v>
      </c>
      <c r="J16753" t="s">
        <v>162</v>
      </c>
      <c r="K16753" t="s">
        <v>8335</v>
      </c>
      <c r="N16753" t="s">
        <v>78168</v>
      </c>
      <c r="Q16753">
        <v>0</v>
      </c>
      <c r="R16753">
        <v>300</v>
      </c>
      <c r="S16753">
        <v>0</v>
      </c>
      <c r="T16753" t="s">
        <v>78169</v>
      </c>
    </row>
    <row r="16754" spans="1:20" customFormat="1" ht="15" x14ac:dyDescent="0.25">
      <c r="A16754" t="s">
        <v>24</v>
      </c>
      <c r="B16754" t="s">
        <v>56277</v>
      </c>
      <c r="C16754" t="str">
        <f>"71F11"</f>
        <v>71F11</v>
      </c>
      <c r="D16754" t="s">
        <v>78170</v>
      </c>
      <c r="E16754" t="s">
        <v>78171</v>
      </c>
      <c r="F16754" t="s">
        <v>10779</v>
      </c>
      <c r="G16754" t="s">
        <v>52</v>
      </c>
      <c r="H16754">
        <v>75082</v>
      </c>
      <c r="I16754" t="s">
        <v>30</v>
      </c>
      <c r="J16754" t="s">
        <v>162</v>
      </c>
      <c r="K16754" t="s">
        <v>8335</v>
      </c>
      <c r="N16754" t="s">
        <v>78172</v>
      </c>
      <c r="O16754" t="s">
        <v>78173</v>
      </c>
      <c r="Q16754">
        <v>0</v>
      </c>
      <c r="R16754">
        <v>336</v>
      </c>
      <c r="S16754">
        <v>0</v>
      </c>
      <c r="T16754" t="s">
        <v>78174</v>
      </c>
    </row>
    <row r="16755" spans="1:20" customFormat="1" ht="15" x14ac:dyDescent="0.25">
      <c r="A16755" t="s">
        <v>24</v>
      </c>
      <c r="B16755" t="s">
        <v>5079</v>
      </c>
      <c r="C16755" t="str">
        <f>"71F36"</f>
        <v>71F36</v>
      </c>
      <c r="D16755" t="s">
        <v>78175</v>
      </c>
      <c r="E16755" t="s">
        <v>78176</v>
      </c>
      <c r="F16755" t="s">
        <v>78177</v>
      </c>
      <c r="G16755" t="s">
        <v>99</v>
      </c>
      <c r="H16755">
        <v>14534</v>
      </c>
      <c r="I16755" t="s">
        <v>30</v>
      </c>
      <c r="J16755" t="s">
        <v>162</v>
      </c>
      <c r="K16755" t="s">
        <v>8335</v>
      </c>
      <c r="N16755" t="s">
        <v>78178</v>
      </c>
      <c r="O16755" t="s">
        <v>78179</v>
      </c>
      <c r="Q16755">
        <v>0</v>
      </c>
      <c r="R16755">
        <v>99</v>
      </c>
      <c r="S16755">
        <v>0</v>
      </c>
      <c r="T16755" t="s">
        <v>78180</v>
      </c>
    </row>
    <row r="16756" spans="1:20" customFormat="1" ht="15" x14ac:dyDescent="0.25">
      <c r="A16756" t="s">
        <v>24</v>
      </c>
      <c r="B16756" t="s">
        <v>4400</v>
      </c>
      <c r="C16756" t="str">
        <f>"88IN106"</f>
        <v>88IN106</v>
      </c>
      <c r="D16756" t="s">
        <v>78181</v>
      </c>
      <c r="E16756" t="s">
        <v>78182</v>
      </c>
      <c r="F16756" t="s">
        <v>5008</v>
      </c>
      <c r="G16756" t="s">
        <v>1898</v>
      </c>
      <c r="H16756">
        <v>50309</v>
      </c>
      <c r="I16756" t="s">
        <v>30</v>
      </c>
      <c r="J16756" t="s">
        <v>162</v>
      </c>
      <c r="K16756" t="s">
        <v>8335</v>
      </c>
      <c r="N16756" t="s">
        <v>78183</v>
      </c>
      <c r="Q16756">
        <v>0</v>
      </c>
      <c r="R16756">
        <v>212</v>
      </c>
      <c r="S16756">
        <v>0</v>
      </c>
      <c r="T16756" t="s">
        <v>78184</v>
      </c>
    </row>
    <row r="16757" spans="1:20" customFormat="1" ht="15" x14ac:dyDescent="0.25">
      <c r="A16757" t="s">
        <v>24</v>
      </c>
      <c r="B16757" t="s">
        <v>1020</v>
      </c>
      <c r="C16757" t="str">
        <f>"71F22"</f>
        <v>71F22</v>
      </c>
      <c r="D16757" t="s">
        <v>78193</v>
      </c>
      <c r="E16757" t="s">
        <v>78194</v>
      </c>
      <c r="F16757" t="s">
        <v>8447</v>
      </c>
      <c r="G16757" t="s">
        <v>81</v>
      </c>
      <c r="H16757">
        <v>33324</v>
      </c>
      <c r="I16757" t="s">
        <v>30</v>
      </c>
      <c r="J16757" t="s">
        <v>162</v>
      </c>
      <c r="K16757" t="s">
        <v>8335</v>
      </c>
      <c r="N16757" t="s">
        <v>78195</v>
      </c>
      <c r="Q16757">
        <v>0</v>
      </c>
      <c r="R16757">
        <v>250</v>
      </c>
      <c r="S16757">
        <v>0</v>
      </c>
      <c r="T16757" t="s">
        <v>78196</v>
      </c>
    </row>
    <row r="16758" spans="1:20" customFormat="1" ht="15" x14ac:dyDescent="0.25">
      <c r="A16758" t="s">
        <v>24</v>
      </c>
      <c r="B16758" t="s">
        <v>63821</v>
      </c>
      <c r="C16758" t="str">
        <f>"71F06"</f>
        <v>71F06</v>
      </c>
      <c r="D16758" t="s">
        <v>78197</v>
      </c>
      <c r="E16758" t="s">
        <v>78198</v>
      </c>
      <c r="F16758" t="s">
        <v>10730</v>
      </c>
      <c r="G16758" t="s">
        <v>214</v>
      </c>
      <c r="H16758">
        <v>28801</v>
      </c>
      <c r="I16758" t="s">
        <v>30</v>
      </c>
      <c r="J16758" t="s">
        <v>162</v>
      </c>
      <c r="K16758" t="s">
        <v>8335</v>
      </c>
      <c r="N16758" t="s">
        <v>78199</v>
      </c>
      <c r="Q16758">
        <v>0</v>
      </c>
      <c r="R16758">
        <v>275</v>
      </c>
      <c r="S16758">
        <v>0</v>
      </c>
      <c r="T16758" t="s">
        <v>78200</v>
      </c>
    </row>
    <row r="16759" spans="1:20" customFormat="1" ht="15" hidden="1" x14ac:dyDescent="0.25">
      <c r="A16759" t="s">
        <v>24</v>
      </c>
      <c r="B16759" t="s">
        <v>675</v>
      </c>
      <c r="C16759" t="str">
        <f>"A0097836"</f>
        <v>A0097836</v>
      </c>
      <c r="D16759" t="s">
        <v>59740</v>
      </c>
      <c r="E16759" t="s">
        <v>59741</v>
      </c>
      <c r="F16759" t="s">
        <v>59742</v>
      </c>
      <c r="G16759" t="s">
        <v>59743</v>
      </c>
      <c r="I16759" t="s">
        <v>59744</v>
      </c>
      <c r="J16759" t="s">
        <v>171</v>
      </c>
      <c r="K16759" t="s">
        <v>973</v>
      </c>
      <c r="N16759" t="s">
        <v>59745</v>
      </c>
      <c r="Q16759">
        <v>0</v>
      </c>
      <c r="R16759">
        <v>140</v>
      </c>
      <c r="S16759">
        <v>0</v>
      </c>
      <c r="T16759" t="s">
        <v>59746</v>
      </c>
    </row>
    <row r="16760" spans="1:20" customFormat="1" ht="15" x14ac:dyDescent="0.25">
      <c r="A16760" t="s">
        <v>24</v>
      </c>
      <c r="B16760" t="s">
        <v>8579</v>
      </c>
      <c r="C16760" t="str">
        <f>"A0092239"</f>
        <v>A0092239</v>
      </c>
      <c r="D16760" t="s">
        <v>78201</v>
      </c>
      <c r="E16760" t="s">
        <v>78202</v>
      </c>
      <c r="F16760" t="s">
        <v>972</v>
      </c>
      <c r="G16760" t="s">
        <v>190</v>
      </c>
      <c r="H16760">
        <v>80202</v>
      </c>
      <c r="I16760" t="s">
        <v>30</v>
      </c>
      <c r="J16760" t="s">
        <v>162</v>
      </c>
      <c r="K16760" t="s">
        <v>8335</v>
      </c>
      <c r="N16760" t="s">
        <v>78203</v>
      </c>
      <c r="O16760" t="s">
        <v>78204</v>
      </c>
      <c r="Q16760">
        <v>0</v>
      </c>
      <c r="R16760">
        <v>230</v>
      </c>
      <c r="S16760">
        <v>0</v>
      </c>
      <c r="T16760" t="s">
        <v>78205</v>
      </c>
    </row>
    <row r="16761" spans="1:20" customFormat="1" ht="15" x14ac:dyDescent="0.25">
      <c r="A16761" t="s">
        <v>24</v>
      </c>
      <c r="B16761" t="s">
        <v>2583</v>
      </c>
      <c r="C16761" t="str">
        <f>"A0096765"</f>
        <v>A0096765</v>
      </c>
      <c r="D16761" t="s">
        <v>78206</v>
      </c>
      <c r="E16761" t="s">
        <v>78207</v>
      </c>
      <c r="F16761" t="s">
        <v>2586</v>
      </c>
      <c r="G16761" t="s">
        <v>65</v>
      </c>
      <c r="H16761">
        <v>43604</v>
      </c>
      <c r="I16761" t="s">
        <v>30</v>
      </c>
      <c r="J16761" t="s">
        <v>162</v>
      </c>
      <c r="K16761" t="s">
        <v>8335</v>
      </c>
      <c r="N16761" t="s">
        <v>78208</v>
      </c>
      <c r="O16761" t="s">
        <v>78209</v>
      </c>
      <c r="Q16761">
        <v>0</v>
      </c>
      <c r="R16761">
        <v>240</v>
      </c>
      <c r="S16761">
        <v>0</v>
      </c>
      <c r="T16761" t="s">
        <v>78210</v>
      </c>
    </row>
    <row r="16762" spans="1:20" customFormat="1" ht="15" x14ac:dyDescent="0.25">
      <c r="A16762" t="s">
        <v>24</v>
      </c>
      <c r="B16762" t="s">
        <v>675</v>
      </c>
      <c r="C16762" t="str">
        <f>"CT72P"</f>
        <v>CT72P</v>
      </c>
      <c r="D16762" t="s">
        <v>78211</v>
      </c>
      <c r="E16762" t="s">
        <v>78212</v>
      </c>
      <c r="F16762" t="s">
        <v>6583</v>
      </c>
      <c r="G16762" t="s">
        <v>110</v>
      </c>
      <c r="H16762">
        <v>92210</v>
      </c>
      <c r="I16762" t="s">
        <v>30</v>
      </c>
      <c r="J16762" t="s">
        <v>162</v>
      </c>
      <c r="K16762" t="s">
        <v>8335</v>
      </c>
      <c r="N16762" t="s">
        <v>78213</v>
      </c>
      <c r="O16762" t="s">
        <v>78214</v>
      </c>
      <c r="P16762" t="s">
        <v>3998</v>
      </c>
      <c r="Q16762">
        <v>2</v>
      </c>
      <c r="R16762">
        <v>560</v>
      </c>
      <c r="S16762">
        <v>0</v>
      </c>
      <c r="T16762" t="s">
        <v>78215</v>
      </c>
    </row>
    <row r="16763" spans="1:20" customFormat="1" ht="15" x14ac:dyDescent="0.25">
      <c r="A16763" t="s">
        <v>24</v>
      </c>
      <c r="B16763" t="s">
        <v>1849</v>
      </c>
      <c r="C16763" t="str">
        <f>"A0086470"</f>
        <v>A0086470</v>
      </c>
      <c r="D16763" t="s">
        <v>78216</v>
      </c>
      <c r="E16763" t="s">
        <v>78217</v>
      </c>
      <c r="F16763" t="s">
        <v>16914</v>
      </c>
      <c r="G16763" t="s">
        <v>381</v>
      </c>
      <c r="H16763">
        <v>46032</v>
      </c>
      <c r="I16763" t="s">
        <v>30</v>
      </c>
      <c r="J16763" t="s">
        <v>162</v>
      </c>
      <c r="K16763" t="s">
        <v>8335</v>
      </c>
      <c r="N16763" t="s">
        <v>78218</v>
      </c>
      <c r="O16763" t="s">
        <v>78219</v>
      </c>
      <c r="Q16763">
        <v>0</v>
      </c>
      <c r="R16763">
        <v>263</v>
      </c>
      <c r="S16763">
        <v>0</v>
      </c>
      <c r="T16763" t="s">
        <v>78220</v>
      </c>
    </row>
    <row r="16764" spans="1:20" customFormat="1" ht="15" x14ac:dyDescent="0.25">
      <c r="A16764" t="s">
        <v>24</v>
      </c>
      <c r="B16764" t="s">
        <v>675</v>
      </c>
      <c r="C16764" t="str">
        <f>"CT72R"</f>
        <v>CT72R</v>
      </c>
      <c r="D16764" t="s">
        <v>78221</v>
      </c>
      <c r="E16764" t="s">
        <v>78222</v>
      </c>
      <c r="F16764" t="s">
        <v>693</v>
      </c>
      <c r="G16764" t="s">
        <v>110</v>
      </c>
      <c r="H16764">
        <v>90802</v>
      </c>
      <c r="I16764" t="s">
        <v>30</v>
      </c>
      <c r="J16764" t="s">
        <v>162</v>
      </c>
      <c r="K16764" t="s">
        <v>8335</v>
      </c>
      <c r="N16764" t="s">
        <v>78223</v>
      </c>
      <c r="Q16764">
        <v>0</v>
      </c>
      <c r="R16764">
        <v>374</v>
      </c>
      <c r="S16764">
        <v>0</v>
      </c>
      <c r="T16764" t="s">
        <v>78224</v>
      </c>
    </row>
    <row r="16765" spans="1:20" customFormat="1" ht="15" x14ac:dyDescent="0.25">
      <c r="A16765" t="s">
        <v>24</v>
      </c>
      <c r="B16765" t="s">
        <v>675</v>
      </c>
      <c r="C16765" t="str">
        <f>"CT72T"</f>
        <v>CT72T</v>
      </c>
      <c r="D16765" t="s">
        <v>78225</v>
      </c>
      <c r="E16765" t="s">
        <v>78226</v>
      </c>
      <c r="F16765" t="s">
        <v>1519</v>
      </c>
      <c r="G16765" t="s">
        <v>110</v>
      </c>
      <c r="H16765">
        <v>90045</v>
      </c>
      <c r="I16765" t="s">
        <v>30</v>
      </c>
      <c r="J16765" t="s">
        <v>162</v>
      </c>
      <c r="K16765" t="s">
        <v>8335</v>
      </c>
      <c r="N16765" t="s">
        <v>78227</v>
      </c>
      <c r="O16765" t="s">
        <v>78228</v>
      </c>
      <c r="Q16765">
        <v>0</v>
      </c>
      <c r="R16765">
        <v>499</v>
      </c>
      <c r="S16765">
        <v>0</v>
      </c>
      <c r="T16765" t="s">
        <v>78229</v>
      </c>
    </row>
    <row r="16766" spans="1:20" customFormat="1" ht="15" x14ac:dyDescent="0.25">
      <c r="A16766" t="s">
        <v>24</v>
      </c>
      <c r="B16766" t="s">
        <v>976</v>
      </c>
      <c r="C16766" t="str">
        <f>"A0076027"</f>
        <v>A0076027</v>
      </c>
      <c r="D16766" t="s">
        <v>78230</v>
      </c>
      <c r="E16766" t="s">
        <v>78231</v>
      </c>
      <c r="F16766" t="s">
        <v>3455</v>
      </c>
      <c r="G16766" t="s">
        <v>161</v>
      </c>
      <c r="H16766">
        <v>55437</v>
      </c>
      <c r="I16766" t="s">
        <v>30</v>
      </c>
      <c r="J16766" t="s">
        <v>162</v>
      </c>
      <c r="K16766" t="s">
        <v>8335</v>
      </c>
      <c r="N16766" t="s">
        <v>78232</v>
      </c>
      <c r="Q16766">
        <v>0</v>
      </c>
      <c r="R16766">
        <v>256</v>
      </c>
      <c r="S16766">
        <v>0</v>
      </c>
      <c r="T16766" t="s">
        <v>78233</v>
      </c>
    </row>
    <row r="16767" spans="1:20" customFormat="1" ht="15" x14ac:dyDescent="0.25">
      <c r="A16767" t="s">
        <v>24</v>
      </c>
      <c r="B16767" t="s">
        <v>56330</v>
      </c>
      <c r="C16767" t="str">
        <f>"A0078493"</f>
        <v>A0078493</v>
      </c>
      <c r="D16767" t="s">
        <v>78234</v>
      </c>
      <c r="E16767" t="s">
        <v>78235</v>
      </c>
      <c r="F16767" t="s">
        <v>8562</v>
      </c>
      <c r="G16767" t="s">
        <v>1706</v>
      </c>
      <c r="H16767">
        <v>36104</v>
      </c>
      <c r="I16767" t="s">
        <v>30</v>
      </c>
      <c r="J16767" t="s">
        <v>162</v>
      </c>
      <c r="K16767" t="s">
        <v>8335</v>
      </c>
      <c r="N16767" t="s">
        <v>78236</v>
      </c>
      <c r="O16767" t="s">
        <v>78237</v>
      </c>
      <c r="Q16767">
        <v>0</v>
      </c>
      <c r="R16767">
        <v>346</v>
      </c>
      <c r="S16767">
        <v>0</v>
      </c>
      <c r="T16767" t="s">
        <v>78238</v>
      </c>
    </row>
    <row r="16768" spans="1:20" customFormat="1" ht="15" x14ac:dyDescent="0.25">
      <c r="A16768" t="s">
        <v>24</v>
      </c>
      <c r="B16768" t="s">
        <v>675</v>
      </c>
      <c r="C16768" t="str">
        <f>"CT71E"</f>
        <v>CT71E</v>
      </c>
      <c r="D16768" t="s">
        <v>78243</v>
      </c>
      <c r="E16768" t="s">
        <v>78244</v>
      </c>
      <c r="F16768" t="s">
        <v>2971</v>
      </c>
      <c r="G16768" t="s">
        <v>880</v>
      </c>
      <c r="H16768">
        <v>37203</v>
      </c>
      <c r="I16768" t="s">
        <v>30</v>
      </c>
      <c r="J16768" t="s">
        <v>162</v>
      </c>
      <c r="K16768" t="s">
        <v>8335</v>
      </c>
      <c r="N16768" t="s">
        <v>78245</v>
      </c>
      <c r="Q16768">
        <v>0</v>
      </c>
      <c r="R16768">
        <v>673</v>
      </c>
      <c r="S16768">
        <v>0</v>
      </c>
      <c r="T16768" t="s">
        <v>78246</v>
      </c>
    </row>
    <row r="16769" spans="1:20" customFormat="1" ht="15" x14ac:dyDescent="0.25">
      <c r="A16769" t="s">
        <v>24</v>
      </c>
      <c r="B16769" t="s">
        <v>675</v>
      </c>
      <c r="C16769" t="str">
        <f>"A0066055"</f>
        <v>A0066055</v>
      </c>
      <c r="D16769" t="s">
        <v>78247</v>
      </c>
      <c r="E16769" t="s">
        <v>78248</v>
      </c>
      <c r="F16769" t="s">
        <v>2069</v>
      </c>
      <c r="G16769" t="s">
        <v>1170</v>
      </c>
      <c r="H16769">
        <v>70130</v>
      </c>
      <c r="I16769" t="s">
        <v>30</v>
      </c>
      <c r="J16769" t="s">
        <v>162</v>
      </c>
      <c r="K16769" t="s">
        <v>8335</v>
      </c>
      <c r="N16769" t="s">
        <v>78249</v>
      </c>
      <c r="Q16769">
        <v>0</v>
      </c>
      <c r="R16769">
        <v>217</v>
      </c>
      <c r="S16769">
        <v>0</v>
      </c>
      <c r="T16769" t="s">
        <v>78250</v>
      </c>
    </row>
    <row r="16770" spans="1:20" customFormat="1" ht="15" x14ac:dyDescent="0.25">
      <c r="A16770" t="s">
        <v>24</v>
      </c>
      <c r="B16770" t="s">
        <v>675</v>
      </c>
      <c r="C16770" t="str">
        <f>"9673F"</f>
        <v>9673F</v>
      </c>
      <c r="D16770" t="s">
        <v>78251</v>
      </c>
      <c r="E16770" t="s">
        <v>78252</v>
      </c>
      <c r="F16770" t="s">
        <v>2069</v>
      </c>
      <c r="G16770" t="s">
        <v>1170</v>
      </c>
      <c r="H16770">
        <v>70112</v>
      </c>
      <c r="I16770" t="s">
        <v>30</v>
      </c>
      <c r="J16770" t="s">
        <v>162</v>
      </c>
      <c r="K16770" t="s">
        <v>8335</v>
      </c>
      <c r="Q16770">
        <v>0</v>
      </c>
      <c r="R16770">
        <v>280</v>
      </c>
      <c r="S16770">
        <v>0</v>
      </c>
      <c r="T16770" t="s">
        <v>78253</v>
      </c>
    </row>
    <row r="16771" spans="1:20" customFormat="1" ht="15" x14ac:dyDescent="0.25">
      <c r="A16771" t="s">
        <v>24</v>
      </c>
      <c r="B16771" t="s">
        <v>1561</v>
      </c>
      <c r="C16771" t="str">
        <f>"A0076774"</f>
        <v>A0076774</v>
      </c>
      <c r="D16771" t="s">
        <v>78254</v>
      </c>
      <c r="E16771" t="s">
        <v>78255</v>
      </c>
      <c r="F16771" t="s">
        <v>60391</v>
      </c>
      <c r="G16771" t="s">
        <v>338</v>
      </c>
      <c r="H16771">
        <v>7201</v>
      </c>
      <c r="I16771" t="s">
        <v>30</v>
      </c>
      <c r="J16771" t="s">
        <v>162</v>
      </c>
      <c r="K16771" t="s">
        <v>8335</v>
      </c>
      <c r="N16771" t="s">
        <v>78256</v>
      </c>
      <c r="O16771" t="s">
        <v>78257</v>
      </c>
      <c r="Q16771">
        <v>0</v>
      </c>
      <c r="R16771">
        <v>396</v>
      </c>
      <c r="S16771">
        <v>0</v>
      </c>
      <c r="T16771" t="s">
        <v>78258</v>
      </c>
    </row>
    <row r="16772" spans="1:20" customFormat="1" ht="15" x14ac:dyDescent="0.25">
      <c r="A16772" t="s">
        <v>24</v>
      </c>
      <c r="B16772" t="s">
        <v>1849</v>
      </c>
      <c r="C16772" t="str">
        <f>"A0069141"</f>
        <v>A0069141</v>
      </c>
      <c r="D16772" t="s">
        <v>78259</v>
      </c>
      <c r="E16772" t="s">
        <v>78260</v>
      </c>
      <c r="F16772" t="s">
        <v>34412</v>
      </c>
      <c r="G16772" t="s">
        <v>110</v>
      </c>
      <c r="H16772">
        <v>92660</v>
      </c>
      <c r="I16772" t="s">
        <v>30</v>
      </c>
      <c r="J16772" t="s">
        <v>162</v>
      </c>
      <c r="K16772" t="s">
        <v>8335</v>
      </c>
      <c r="N16772" t="s">
        <v>78261</v>
      </c>
      <c r="Q16772">
        <v>0</v>
      </c>
      <c r="R16772">
        <v>444</v>
      </c>
      <c r="S16772">
        <v>0</v>
      </c>
      <c r="T16772" t="s">
        <v>78262</v>
      </c>
    </row>
    <row r="16773" spans="1:20" customFormat="1" ht="15" x14ac:dyDescent="0.25">
      <c r="A16773" t="s">
        <v>24</v>
      </c>
      <c r="B16773" t="s">
        <v>675</v>
      </c>
      <c r="C16773" t="str">
        <f>"CT71H"</f>
        <v>CT71H</v>
      </c>
      <c r="D16773" t="s">
        <v>78263</v>
      </c>
      <c r="E16773" t="s">
        <v>78264</v>
      </c>
      <c r="F16773" t="s">
        <v>985</v>
      </c>
      <c r="G16773" t="s">
        <v>81</v>
      </c>
      <c r="H16773" t="s">
        <v>78265</v>
      </c>
      <c r="I16773" t="s">
        <v>30</v>
      </c>
      <c r="J16773" t="s">
        <v>162</v>
      </c>
      <c r="K16773" t="s">
        <v>8335</v>
      </c>
      <c r="N16773" t="s">
        <v>78266</v>
      </c>
      <c r="O16773" t="s">
        <v>78267</v>
      </c>
      <c r="Q16773">
        <v>0</v>
      </c>
      <c r="R16773">
        <v>778</v>
      </c>
      <c r="S16773">
        <v>0</v>
      </c>
      <c r="T16773" t="s">
        <v>78268</v>
      </c>
    </row>
    <row r="16774" spans="1:20" customFormat="1" ht="15" x14ac:dyDescent="0.25">
      <c r="A16774" t="s">
        <v>24</v>
      </c>
      <c r="B16774" t="s">
        <v>13299</v>
      </c>
      <c r="C16774" t="str">
        <f>"CT71F"</f>
        <v>CT71F</v>
      </c>
      <c r="D16774" t="s">
        <v>78269</v>
      </c>
      <c r="E16774" t="s">
        <v>78270</v>
      </c>
      <c r="F16774" t="s">
        <v>985</v>
      </c>
      <c r="G16774" t="s">
        <v>81</v>
      </c>
      <c r="H16774">
        <v>32812</v>
      </c>
      <c r="I16774" t="s">
        <v>30</v>
      </c>
      <c r="J16774" t="s">
        <v>162</v>
      </c>
      <c r="K16774" t="s">
        <v>8335</v>
      </c>
      <c r="N16774" t="s">
        <v>78271</v>
      </c>
      <c r="Q16774">
        <v>0</v>
      </c>
      <c r="R16774">
        <v>297</v>
      </c>
      <c r="S16774">
        <v>0</v>
      </c>
      <c r="T16774" t="s">
        <v>78272</v>
      </c>
    </row>
    <row r="16775" spans="1:20" customFormat="1" ht="15" x14ac:dyDescent="0.25">
      <c r="A16775" t="s">
        <v>24</v>
      </c>
      <c r="B16775" t="s">
        <v>1020</v>
      </c>
      <c r="C16775" t="str">
        <f>"A0058062"</f>
        <v>A0058062</v>
      </c>
      <c r="D16775" t="s">
        <v>59823</v>
      </c>
      <c r="E16775" t="s">
        <v>59824</v>
      </c>
      <c r="F16775" t="s">
        <v>59825</v>
      </c>
      <c r="G16775" t="s">
        <v>899</v>
      </c>
      <c r="H16775">
        <v>2446</v>
      </c>
      <c r="I16775" t="s">
        <v>30</v>
      </c>
      <c r="J16775" t="s">
        <v>31</v>
      </c>
      <c r="K16775" t="s">
        <v>973</v>
      </c>
      <c r="N16775" t="s">
        <v>59826</v>
      </c>
      <c r="Q16775">
        <v>0</v>
      </c>
      <c r="R16775">
        <v>188</v>
      </c>
      <c r="S16775">
        <v>0</v>
      </c>
      <c r="T16775" t="s">
        <v>59827</v>
      </c>
    </row>
    <row r="16776" spans="1:20" customFormat="1" ht="15" x14ac:dyDescent="0.25">
      <c r="A16776" t="s">
        <v>24</v>
      </c>
      <c r="B16776" t="s">
        <v>2221</v>
      </c>
      <c r="C16776" t="str">
        <f>"A0060449"</f>
        <v>A0060449</v>
      </c>
      <c r="D16776" t="s">
        <v>78273</v>
      </c>
      <c r="E16776" t="s">
        <v>78274</v>
      </c>
      <c r="F16776" t="s">
        <v>7063</v>
      </c>
      <c r="G16776" t="s">
        <v>110</v>
      </c>
      <c r="H16776">
        <v>92264</v>
      </c>
      <c r="I16776" t="s">
        <v>30</v>
      </c>
      <c r="J16776" t="s">
        <v>162</v>
      </c>
      <c r="K16776" t="s">
        <v>8335</v>
      </c>
      <c r="N16776" t="s">
        <v>78275</v>
      </c>
      <c r="Q16776">
        <v>0</v>
      </c>
      <c r="R16776">
        <v>410</v>
      </c>
      <c r="S16776">
        <v>0</v>
      </c>
      <c r="T16776" t="s">
        <v>78276</v>
      </c>
    </row>
    <row r="16777" spans="1:20" customFormat="1" ht="15" x14ac:dyDescent="0.25">
      <c r="A16777" t="s">
        <v>24</v>
      </c>
      <c r="B16777" t="s">
        <v>8579</v>
      </c>
      <c r="C16777" t="str">
        <f>"A0094900"</f>
        <v>A0094900</v>
      </c>
      <c r="D16777" t="s">
        <v>78277</v>
      </c>
      <c r="E16777" t="s">
        <v>78278</v>
      </c>
      <c r="F16777" t="s">
        <v>997</v>
      </c>
      <c r="G16777" t="s">
        <v>99</v>
      </c>
      <c r="H16777">
        <v>10017</v>
      </c>
      <c r="I16777" t="s">
        <v>30</v>
      </c>
      <c r="J16777" t="s">
        <v>162</v>
      </c>
      <c r="K16777" t="s">
        <v>8335</v>
      </c>
      <c r="N16777" t="s">
        <v>78279</v>
      </c>
      <c r="O16777" t="s">
        <v>78280</v>
      </c>
      <c r="Q16777">
        <v>0</v>
      </c>
      <c r="R16777">
        <v>349</v>
      </c>
      <c r="S16777">
        <v>0</v>
      </c>
      <c r="T16777" t="s">
        <v>78281</v>
      </c>
    </row>
    <row r="16778" spans="1:20" customFormat="1" ht="15" x14ac:dyDescent="0.25">
      <c r="A16778" t="s">
        <v>24</v>
      </c>
      <c r="B16778" t="s">
        <v>675</v>
      </c>
      <c r="C16778" t="str">
        <f>"A0090396"</f>
        <v>A0090396</v>
      </c>
      <c r="D16778" t="s">
        <v>78282</v>
      </c>
      <c r="E16778" t="s">
        <v>78283</v>
      </c>
      <c r="F16778" t="s">
        <v>196</v>
      </c>
      <c r="G16778" t="s">
        <v>197</v>
      </c>
      <c r="H16778">
        <v>85004</v>
      </c>
      <c r="I16778" t="s">
        <v>30</v>
      </c>
      <c r="J16778" t="s">
        <v>162</v>
      </c>
      <c r="K16778" t="s">
        <v>8335</v>
      </c>
      <c r="N16778" t="s">
        <v>78284</v>
      </c>
      <c r="O16778" t="s">
        <v>78285</v>
      </c>
      <c r="Q16778">
        <v>0</v>
      </c>
      <c r="R16778">
        <v>520</v>
      </c>
      <c r="S16778">
        <v>0</v>
      </c>
      <c r="T16778" t="s">
        <v>78286</v>
      </c>
    </row>
    <row r="16779" spans="1:20" customFormat="1" ht="15" x14ac:dyDescent="0.25">
      <c r="A16779" t="s">
        <v>24</v>
      </c>
      <c r="B16779" t="s">
        <v>56277</v>
      </c>
      <c r="C16779" t="str">
        <f>"A0084633"</f>
        <v>A0084633</v>
      </c>
      <c r="D16779" t="s">
        <v>78287</v>
      </c>
      <c r="E16779" t="s">
        <v>78288</v>
      </c>
      <c r="F16779" t="s">
        <v>5518</v>
      </c>
      <c r="G16779" t="s">
        <v>197</v>
      </c>
      <c r="H16779">
        <v>85305</v>
      </c>
      <c r="I16779" t="s">
        <v>30</v>
      </c>
      <c r="J16779" t="s">
        <v>162</v>
      </c>
      <c r="K16779" t="s">
        <v>8335</v>
      </c>
      <c r="N16779" t="s">
        <v>78289</v>
      </c>
      <c r="O16779" t="s">
        <v>78290</v>
      </c>
      <c r="Q16779">
        <v>0</v>
      </c>
      <c r="R16779">
        <v>320</v>
      </c>
      <c r="S16779">
        <v>0</v>
      </c>
      <c r="T16779" t="s">
        <v>78291</v>
      </c>
    </row>
    <row r="16780" spans="1:20" customFormat="1" ht="15" x14ac:dyDescent="0.25">
      <c r="A16780" t="s">
        <v>24</v>
      </c>
      <c r="B16780" t="s">
        <v>5166</v>
      </c>
      <c r="C16780" t="str">
        <f>"71F16"</f>
        <v>71F16</v>
      </c>
      <c r="D16780" t="s">
        <v>78292</v>
      </c>
      <c r="E16780" t="s">
        <v>78293</v>
      </c>
      <c r="F16780" t="s">
        <v>102</v>
      </c>
      <c r="G16780" t="s">
        <v>103</v>
      </c>
      <c r="H16780">
        <v>15222</v>
      </c>
      <c r="I16780" t="s">
        <v>30</v>
      </c>
      <c r="J16780" t="s">
        <v>162</v>
      </c>
      <c r="K16780" t="s">
        <v>8335</v>
      </c>
      <c r="N16780" t="s">
        <v>78294</v>
      </c>
      <c r="O16780" t="s">
        <v>78295</v>
      </c>
      <c r="Q16780">
        <v>0</v>
      </c>
      <c r="R16780">
        <v>300</v>
      </c>
      <c r="S16780">
        <v>0</v>
      </c>
      <c r="T16780" t="s">
        <v>78296</v>
      </c>
    </row>
    <row r="16781" spans="1:20" customFormat="1" ht="15" x14ac:dyDescent="0.25">
      <c r="A16781" t="s">
        <v>24</v>
      </c>
      <c r="B16781" t="s">
        <v>5435</v>
      </c>
      <c r="C16781" t="str">
        <f>"A0065818"</f>
        <v>A0065818</v>
      </c>
      <c r="D16781" t="s">
        <v>78297</v>
      </c>
      <c r="E16781" t="s">
        <v>78298</v>
      </c>
      <c r="F16781" t="s">
        <v>62969</v>
      </c>
      <c r="G16781" t="s">
        <v>221</v>
      </c>
      <c r="H16781">
        <v>89501</v>
      </c>
      <c r="I16781" t="s">
        <v>30</v>
      </c>
      <c r="J16781" t="s">
        <v>162</v>
      </c>
      <c r="K16781" t="s">
        <v>8335</v>
      </c>
      <c r="N16781" t="s">
        <v>78299</v>
      </c>
      <c r="O16781" t="s">
        <v>78300</v>
      </c>
      <c r="Q16781">
        <v>0</v>
      </c>
      <c r="R16781">
        <v>214</v>
      </c>
      <c r="S16781">
        <v>0</v>
      </c>
      <c r="T16781" t="s">
        <v>78301</v>
      </c>
    </row>
    <row r="16782" spans="1:20" customFormat="1" ht="15" x14ac:dyDescent="0.25">
      <c r="A16782" t="s">
        <v>24</v>
      </c>
      <c r="B16782" t="s">
        <v>56330</v>
      </c>
      <c r="C16782" t="str">
        <f>"A0060554"</f>
        <v>A0060554</v>
      </c>
      <c r="D16782" t="s">
        <v>78302</v>
      </c>
      <c r="E16782" t="s">
        <v>78303</v>
      </c>
      <c r="F16782" t="s">
        <v>53883</v>
      </c>
      <c r="G16782" t="s">
        <v>1706</v>
      </c>
      <c r="H16782">
        <v>36602</v>
      </c>
      <c r="I16782" t="s">
        <v>30</v>
      </c>
      <c r="J16782" t="s">
        <v>162</v>
      </c>
      <c r="K16782" t="s">
        <v>8335</v>
      </c>
      <c r="N16782" t="s">
        <v>78304</v>
      </c>
      <c r="O16782" t="s">
        <v>78305</v>
      </c>
      <c r="Q16782">
        <v>0</v>
      </c>
      <c r="R16782">
        <v>374</v>
      </c>
      <c r="S16782">
        <v>0</v>
      </c>
      <c r="T16782" t="s">
        <v>78306</v>
      </c>
    </row>
    <row r="16783" spans="1:20" customFormat="1" ht="15" hidden="1" x14ac:dyDescent="0.25">
      <c r="A16783" t="s">
        <v>24</v>
      </c>
      <c r="B16783" t="s">
        <v>59861</v>
      </c>
      <c r="C16783" t="str">
        <f>"A0098465"</f>
        <v>A0098465</v>
      </c>
      <c r="D16783" t="s">
        <v>59862</v>
      </c>
      <c r="E16783" t="s">
        <v>59863</v>
      </c>
      <c r="F16783" t="s">
        <v>59864</v>
      </c>
      <c r="G16783" t="s">
        <v>55614</v>
      </c>
      <c r="I16783" t="s">
        <v>55613</v>
      </c>
      <c r="J16783" t="s">
        <v>171</v>
      </c>
      <c r="K16783" t="s">
        <v>973</v>
      </c>
      <c r="N16783" t="s">
        <v>59865</v>
      </c>
      <c r="O16783" t="s">
        <v>59866</v>
      </c>
      <c r="Q16783">
        <v>0</v>
      </c>
      <c r="R16783">
        <v>147</v>
      </c>
      <c r="S16783">
        <v>0</v>
      </c>
      <c r="T16783" t="s">
        <v>59867</v>
      </c>
    </row>
    <row r="16784" spans="1:20" customFormat="1" ht="15" x14ac:dyDescent="0.25">
      <c r="A16784" t="s">
        <v>24</v>
      </c>
      <c r="B16784" t="s">
        <v>56330</v>
      </c>
      <c r="C16784" t="str">
        <f>"A0074567"</f>
        <v>A0074567</v>
      </c>
      <c r="D16784" t="s">
        <v>78307</v>
      </c>
      <c r="E16784" t="s">
        <v>78308</v>
      </c>
      <c r="F16784" t="s">
        <v>78309</v>
      </c>
      <c r="G16784" t="s">
        <v>1706</v>
      </c>
      <c r="H16784">
        <v>35226</v>
      </c>
      <c r="I16784" t="s">
        <v>30</v>
      </c>
      <c r="J16784" t="s">
        <v>162</v>
      </c>
      <c r="K16784" t="s">
        <v>8335</v>
      </c>
      <c r="N16784" t="s">
        <v>78310</v>
      </c>
      <c r="O16784" t="s">
        <v>78311</v>
      </c>
      <c r="P16784" t="s">
        <v>3998</v>
      </c>
      <c r="Q16784">
        <v>0</v>
      </c>
      <c r="R16784">
        <v>248</v>
      </c>
      <c r="S16784">
        <v>0</v>
      </c>
      <c r="T16784" t="s">
        <v>78312</v>
      </c>
    </row>
    <row r="16785" spans="1:20" customFormat="1" ht="15" x14ac:dyDescent="0.25">
      <c r="A16785" t="s">
        <v>24</v>
      </c>
      <c r="B16785" t="s">
        <v>10398</v>
      </c>
      <c r="C16785" t="str">
        <f>"A0100221"</f>
        <v>A0100221</v>
      </c>
      <c r="D16785" t="s">
        <v>78313</v>
      </c>
      <c r="E16785" t="s">
        <v>78314</v>
      </c>
      <c r="F16785" t="s">
        <v>2094</v>
      </c>
      <c r="G16785" t="s">
        <v>52</v>
      </c>
      <c r="H16785">
        <v>75201</v>
      </c>
      <c r="I16785" t="s">
        <v>30</v>
      </c>
      <c r="J16785" t="s">
        <v>162</v>
      </c>
      <c r="K16785" t="s">
        <v>8335</v>
      </c>
      <c r="N16785" t="s">
        <v>78315</v>
      </c>
      <c r="Q16785">
        <v>0</v>
      </c>
      <c r="R16785">
        <v>177</v>
      </c>
      <c r="S16785">
        <v>0</v>
      </c>
      <c r="T16785" t="s">
        <v>78316</v>
      </c>
    </row>
    <row r="16786" spans="1:20" customFormat="1" ht="15" x14ac:dyDescent="0.25">
      <c r="A16786" t="s">
        <v>24</v>
      </c>
      <c r="B16786" t="s">
        <v>675</v>
      </c>
      <c r="C16786" t="str">
        <f>"A0075211"</f>
        <v>A0075211</v>
      </c>
      <c r="D16786" t="s">
        <v>78323</v>
      </c>
      <c r="E16786" t="s">
        <v>78324</v>
      </c>
      <c r="F16786" t="s">
        <v>4003</v>
      </c>
      <c r="G16786" t="s">
        <v>289</v>
      </c>
      <c r="H16786">
        <v>60173</v>
      </c>
      <c r="I16786" t="s">
        <v>30</v>
      </c>
      <c r="J16786" t="s">
        <v>162</v>
      </c>
      <c r="K16786" t="s">
        <v>8335</v>
      </c>
      <c r="N16786" t="s">
        <v>78325</v>
      </c>
      <c r="Q16786">
        <v>0</v>
      </c>
      <c r="R16786">
        <v>448</v>
      </c>
      <c r="S16786">
        <v>0</v>
      </c>
      <c r="T16786" t="s">
        <v>78326</v>
      </c>
    </row>
    <row r="16787" spans="1:20" customFormat="1" ht="15" x14ac:dyDescent="0.25">
      <c r="A16787" t="s">
        <v>24</v>
      </c>
      <c r="B16787" t="s">
        <v>4400</v>
      </c>
      <c r="C16787" t="str">
        <f>"CT72K"</f>
        <v>CT72K</v>
      </c>
      <c r="D16787" t="s">
        <v>78327</v>
      </c>
      <c r="E16787" t="s">
        <v>78328</v>
      </c>
      <c r="F16787" t="s">
        <v>56870</v>
      </c>
      <c r="G16787" t="s">
        <v>137</v>
      </c>
      <c r="H16787">
        <v>63134</v>
      </c>
      <c r="I16787" t="s">
        <v>30</v>
      </c>
      <c r="J16787" t="s">
        <v>162</v>
      </c>
      <c r="K16787" t="s">
        <v>8335</v>
      </c>
      <c r="N16787" t="s">
        <v>78329</v>
      </c>
      <c r="Q16787">
        <v>0</v>
      </c>
      <c r="R16787">
        <v>393</v>
      </c>
      <c r="S16787">
        <v>0</v>
      </c>
      <c r="T16787" t="s">
        <v>78330</v>
      </c>
    </row>
    <row r="16788" spans="1:20" customFormat="1" ht="15" x14ac:dyDescent="0.25">
      <c r="A16788" t="s">
        <v>24</v>
      </c>
      <c r="B16788" t="s">
        <v>56277</v>
      </c>
      <c r="C16788" t="str">
        <f>"71F14"</f>
        <v>71F14</v>
      </c>
      <c r="D16788" t="s">
        <v>78331</v>
      </c>
      <c r="E16788" t="s">
        <v>78332</v>
      </c>
      <c r="F16788" t="s">
        <v>61939</v>
      </c>
      <c r="G16788" t="s">
        <v>81</v>
      </c>
      <c r="H16788">
        <v>32092</v>
      </c>
      <c r="I16788" t="s">
        <v>30</v>
      </c>
      <c r="J16788" t="s">
        <v>162</v>
      </c>
      <c r="K16788" t="s">
        <v>8335</v>
      </c>
      <c r="N16788" t="s">
        <v>78333</v>
      </c>
      <c r="Q16788">
        <v>2</v>
      </c>
      <c r="R16788">
        <v>300</v>
      </c>
      <c r="S16788">
        <v>0</v>
      </c>
      <c r="T16788" t="s">
        <v>78334</v>
      </c>
    </row>
    <row r="16789" spans="1:20" customFormat="1" ht="15" x14ac:dyDescent="0.25">
      <c r="A16789" t="s">
        <v>24</v>
      </c>
      <c r="B16789" t="s">
        <v>675</v>
      </c>
      <c r="C16789" t="str">
        <f>"A0068141"</f>
        <v>A0068141</v>
      </c>
      <c r="D16789" t="s">
        <v>78335</v>
      </c>
      <c r="E16789" t="s">
        <v>78336</v>
      </c>
      <c r="F16789" t="s">
        <v>3955</v>
      </c>
      <c r="G16789" t="s">
        <v>81</v>
      </c>
      <c r="H16789">
        <v>33607</v>
      </c>
      <c r="I16789" t="s">
        <v>30</v>
      </c>
      <c r="J16789" t="s">
        <v>162</v>
      </c>
      <c r="K16789" t="s">
        <v>8335</v>
      </c>
      <c r="N16789" t="s">
        <v>78337</v>
      </c>
      <c r="O16789" t="s">
        <v>78338</v>
      </c>
      <c r="Q16789">
        <v>0</v>
      </c>
      <c r="R16789">
        <v>293</v>
      </c>
      <c r="S16789">
        <v>0</v>
      </c>
      <c r="T16789" t="s">
        <v>78339</v>
      </c>
    </row>
    <row r="16790" spans="1:20" customFormat="1" ht="15" x14ac:dyDescent="0.25">
      <c r="A16790" t="s">
        <v>24</v>
      </c>
      <c r="B16790" t="s">
        <v>675</v>
      </c>
      <c r="C16790" t="str">
        <f>"CT71T"</f>
        <v>CT71T</v>
      </c>
      <c r="D16790" t="s">
        <v>78340</v>
      </c>
      <c r="E16790" t="s">
        <v>78341</v>
      </c>
      <c r="F16790" t="s">
        <v>997</v>
      </c>
      <c r="G16790" t="s">
        <v>99</v>
      </c>
      <c r="H16790">
        <v>10036</v>
      </c>
      <c r="I16790" t="s">
        <v>30</v>
      </c>
      <c r="J16790" t="s">
        <v>162</v>
      </c>
      <c r="K16790" t="s">
        <v>8335</v>
      </c>
      <c r="N16790" t="s">
        <v>78342</v>
      </c>
      <c r="O16790" t="s">
        <v>78343</v>
      </c>
      <c r="Q16790">
        <v>0</v>
      </c>
      <c r="R16790">
        <v>305</v>
      </c>
      <c r="S16790">
        <v>0</v>
      </c>
      <c r="T16790" t="s">
        <v>78344</v>
      </c>
    </row>
    <row r="16791" spans="1:20" customFormat="1" ht="15" x14ac:dyDescent="0.25">
      <c r="A16791" t="s">
        <v>24</v>
      </c>
      <c r="B16791" t="s">
        <v>56277</v>
      </c>
      <c r="C16791" t="str">
        <f>"A0065563"</f>
        <v>A0065563</v>
      </c>
      <c r="D16791" t="s">
        <v>78345</v>
      </c>
      <c r="E16791" t="s">
        <v>78346</v>
      </c>
      <c r="F16791" t="s">
        <v>7579</v>
      </c>
      <c r="G16791" t="s">
        <v>40</v>
      </c>
      <c r="H16791">
        <v>74133</v>
      </c>
      <c r="I16791" t="s">
        <v>30</v>
      </c>
      <c r="J16791" t="s">
        <v>162</v>
      </c>
      <c r="K16791" t="s">
        <v>8335</v>
      </c>
      <c r="N16791" t="s">
        <v>78347</v>
      </c>
      <c r="Q16791">
        <v>0</v>
      </c>
      <c r="R16791">
        <v>300</v>
      </c>
      <c r="S16791">
        <v>0</v>
      </c>
      <c r="T16791" t="s">
        <v>78348</v>
      </c>
    </row>
    <row r="16792" spans="1:20" customFormat="1" ht="15" hidden="1" x14ac:dyDescent="0.25">
      <c r="A16792" t="s">
        <v>24</v>
      </c>
      <c r="B16792" t="s">
        <v>675</v>
      </c>
      <c r="C16792" t="str">
        <f>"A0093637"</f>
        <v>A0093637</v>
      </c>
      <c r="D16792" t="s">
        <v>59902</v>
      </c>
      <c r="E16792" t="s">
        <v>59903</v>
      </c>
      <c r="F16792" t="s">
        <v>59904</v>
      </c>
      <c r="G16792" t="s">
        <v>4493</v>
      </c>
      <c r="H16792">
        <v>76120</v>
      </c>
      <c r="I16792" t="s">
        <v>2408</v>
      </c>
      <c r="J16792" t="s">
        <v>171</v>
      </c>
      <c r="K16792" t="s">
        <v>973</v>
      </c>
      <c r="N16792" t="s">
        <v>55565</v>
      </c>
      <c r="O16792" t="s">
        <v>59905</v>
      </c>
      <c r="Q16792">
        <v>0</v>
      </c>
      <c r="R16792">
        <v>156</v>
      </c>
      <c r="S16792">
        <v>0</v>
      </c>
      <c r="T16792" t="s">
        <v>59906</v>
      </c>
    </row>
    <row r="16793" spans="1:20" customFormat="1" ht="15" x14ac:dyDescent="0.25">
      <c r="A16793" t="s">
        <v>24</v>
      </c>
      <c r="B16793" t="s">
        <v>675</v>
      </c>
      <c r="C16793" t="str">
        <f>"9671P"</f>
        <v>9671P</v>
      </c>
      <c r="D16793" t="s">
        <v>78349</v>
      </c>
      <c r="E16793" t="s">
        <v>78350</v>
      </c>
      <c r="F16793" t="s">
        <v>313</v>
      </c>
      <c r="G16793" t="s">
        <v>314</v>
      </c>
      <c r="H16793" t="s">
        <v>78351</v>
      </c>
      <c r="I16793" t="s">
        <v>30</v>
      </c>
      <c r="J16793" t="s">
        <v>162</v>
      </c>
      <c r="K16793" t="s">
        <v>8335</v>
      </c>
      <c r="N16793" t="s">
        <v>78352</v>
      </c>
      <c r="Q16793">
        <v>0</v>
      </c>
      <c r="R16793">
        <v>801</v>
      </c>
      <c r="S16793">
        <v>0</v>
      </c>
      <c r="T16793" t="s">
        <v>78353</v>
      </c>
    </row>
    <row r="16794" spans="1:20" customFormat="1" ht="15" x14ac:dyDescent="0.25">
      <c r="A16794" t="s">
        <v>24</v>
      </c>
      <c r="B16794" t="s">
        <v>675</v>
      </c>
      <c r="C16794" t="str">
        <f>"CT71L"</f>
        <v>CT71L</v>
      </c>
      <c r="D16794" t="s">
        <v>78354</v>
      </c>
      <c r="E16794" t="s">
        <v>78355</v>
      </c>
      <c r="F16794" t="s">
        <v>845</v>
      </c>
      <c r="G16794" t="s">
        <v>846</v>
      </c>
      <c r="H16794">
        <v>30339</v>
      </c>
      <c r="I16794" t="s">
        <v>30</v>
      </c>
      <c r="J16794" t="s">
        <v>162</v>
      </c>
      <c r="K16794" t="s">
        <v>8335</v>
      </c>
      <c r="N16794" t="s">
        <v>78356</v>
      </c>
      <c r="Q16794">
        <v>0</v>
      </c>
      <c r="R16794">
        <v>521</v>
      </c>
      <c r="S16794">
        <v>0</v>
      </c>
      <c r="T16794" t="s">
        <v>78357</v>
      </c>
    </row>
    <row r="16795" spans="1:20" customFormat="1" ht="15" x14ac:dyDescent="0.25">
      <c r="A16795" t="s">
        <v>24</v>
      </c>
      <c r="B16795" t="s">
        <v>675</v>
      </c>
      <c r="C16795" t="str">
        <f>"9671X"</f>
        <v>9671X</v>
      </c>
      <c r="D16795" t="s">
        <v>78358</v>
      </c>
      <c r="E16795" t="s">
        <v>78359</v>
      </c>
      <c r="F16795" t="s">
        <v>3505</v>
      </c>
      <c r="G16795" t="s">
        <v>52</v>
      </c>
      <c r="H16795">
        <v>76102</v>
      </c>
      <c r="I16795" t="s">
        <v>30</v>
      </c>
      <c r="J16795" t="s">
        <v>162</v>
      </c>
      <c r="K16795" t="s">
        <v>8335</v>
      </c>
      <c r="N16795" t="s">
        <v>78360</v>
      </c>
      <c r="Q16795">
        <v>0</v>
      </c>
      <c r="R16795">
        <v>504</v>
      </c>
      <c r="S16795">
        <v>0</v>
      </c>
      <c r="T16795" t="s">
        <v>78361</v>
      </c>
    </row>
    <row r="16796" spans="1:20" customFormat="1" ht="15" hidden="1" x14ac:dyDescent="0.25">
      <c r="A16796" t="s">
        <v>24</v>
      </c>
      <c r="B16796" t="s">
        <v>59925</v>
      </c>
      <c r="C16796" t="str">
        <f>"A0088678"</f>
        <v>A0088678</v>
      </c>
      <c r="D16796" t="s">
        <v>59926</v>
      </c>
      <c r="E16796" t="s">
        <v>59927</v>
      </c>
      <c r="F16796" t="s">
        <v>59928</v>
      </c>
      <c r="G16796" t="s">
        <v>13345</v>
      </c>
      <c r="H16796">
        <v>55200</v>
      </c>
      <c r="I16796" t="s">
        <v>2408</v>
      </c>
      <c r="J16796" t="s">
        <v>171</v>
      </c>
      <c r="K16796" t="s">
        <v>973</v>
      </c>
      <c r="N16796" t="s">
        <v>59929</v>
      </c>
      <c r="O16796" t="s">
        <v>59930</v>
      </c>
      <c r="Q16796">
        <v>0</v>
      </c>
      <c r="R16796">
        <v>153</v>
      </c>
      <c r="S16796">
        <v>0</v>
      </c>
      <c r="T16796" t="s">
        <v>59931</v>
      </c>
    </row>
    <row r="16797" spans="1:20" customFormat="1" ht="15" hidden="1" x14ac:dyDescent="0.25">
      <c r="A16797" t="s">
        <v>24</v>
      </c>
      <c r="B16797" t="s">
        <v>59925</v>
      </c>
      <c r="C16797" t="str">
        <f>"A0091114"</f>
        <v>A0091114</v>
      </c>
      <c r="D16797" t="s">
        <v>59932</v>
      </c>
      <c r="E16797" t="s">
        <v>59933</v>
      </c>
      <c r="F16797" t="s">
        <v>59934</v>
      </c>
      <c r="G16797" t="s">
        <v>13345</v>
      </c>
      <c r="H16797">
        <v>50160</v>
      </c>
      <c r="I16797" t="s">
        <v>2408</v>
      </c>
      <c r="J16797" t="s">
        <v>171</v>
      </c>
      <c r="K16797" t="s">
        <v>973</v>
      </c>
      <c r="N16797" t="s">
        <v>59935</v>
      </c>
      <c r="O16797" t="s">
        <v>59936</v>
      </c>
      <c r="Q16797">
        <v>0</v>
      </c>
      <c r="R16797">
        <v>184</v>
      </c>
      <c r="S16797">
        <v>0</v>
      </c>
      <c r="T16797" t="s">
        <v>59937</v>
      </c>
    </row>
    <row r="16798" spans="1:20" customFormat="1" ht="15" x14ac:dyDescent="0.25">
      <c r="A16798" t="s">
        <v>24</v>
      </c>
      <c r="B16798" t="s">
        <v>2011</v>
      </c>
      <c r="C16798" t="str">
        <f>"A0050251"</f>
        <v>A0050251</v>
      </c>
      <c r="D16798" t="s">
        <v>80172</v>
      </c>
      <c r="E16798" t="s">
        <v>80173</v>
      </c>
      <c r="F16798" t="s">
        <v>80174</v>
      </c>
      <c r="G16798" t="s">
        <v>110</v>
      </c>
      <c r="H16798">
        <v>96146</v>
      </c>
      <c r="I16798" t="s">
        <v>30</v>
      </c>
      <c r="J16798" t="s">
        <v>162</v>
      </c>
      <c r="K16798" t="s">
        <v>2015</v>
      </c>
      <c r="N16798" t="s">
        <v>80175</v>
      </c>
      <c r="O16798" t="s">
        <v>80176</v>
      </c>
      <c r="P16798" t="s">
        <v>3998</v>
      </c>
      <c r="Q16798">
        <v>1</v>
      </c>
      <c r="R16798">
        <v>405</v>
      </c>
      <c r="S16798">
        <v>0</v>
      </c>
      <c r="T16798" t="s">
        <v>80177</v>
      </c>
    </row>
    <row r="16799" spans="1:20" customFormat="1" ht="15" hidden="1" x14ac:dyDescent="0.25">
      <c r="A16799" t="s">
        <v>24</v>
      </c>
      <c r="B16799" t="s">
        <v>59461</v>
      </c>
      <c r="C16799" t="str">
        <f>"A0089218"</f>
        <v>A0089218</v>
      </c>
      <c r="D16799" t="s">
        <v>59943</v>
      </c>
      <c r="E16799" t="s">
        <v>59944</v>
      </c>
      <c r="F16799" t="s">
        <v>24802</v>
      </c>
      <c r="G16799" t="s">
        <v>2206</v>
      </c>
      <c r="H16799" t="s">
        <v>59945</v>
      </c>
      <c r="I16799" t="s">
        <v>1459</v>
      </c>
      <c r="J16799" t="s">
        <v>171</v>
      </c>
      <c r="K16799" t="s">
        <v>973</v>
      </c>
      <c r="N16799" t="s">
        <v>59946</v>
      </c>
      <c r="O16799" t="s">
        <v>59947</v>
      </c>
      <c r="Q16799">
        <v>0</v>
      </c>
      <c r="R16799">
        <v>128</v>
      </c>
      <c r="S16799">
        <v>0</v>
      </c>
      <c r="T16799" t="s">
        <v>59948</v>
      </c>
    </row>
    <row r="16800" spans="1:20" customFormat="1" ht="15" hidden="1" x14ac:dyDescent="0.25">
      <c r="A16800" t="s">
        <v>24</v>
      </c>
      <c r="B16800" t="s">
        <v>675</v>
      </c>
      <c r="C16800" t="str">
        <f>"A0088538"</f>
        <v>A0088538</v>
      </c>
      <c r="D16800" t="s">
        <v>59949</v>
      </c>
      <c r="E16800" t="s">
        <v>59950</v>
      </c>
      <c r="F16800" t="s">
        <v>8456</v>
      </c>
      <c r="G16800" t="s">
        <v>1457</v>
      </c>
      <c r="H16800" t="s">
        <v>59951</v>
      </c>
      <c r="I16800" t="s">
        <v>1459</v>
      </c>
      <c r="J16800" t="s">
        <v>171</v>
      </c>
      <c r="K16800" t="s">
        <v>973</v>
      </c>
      <c r="N16800" t="s">
        <v>59952</v>
      </c>
      <c r="O16800" t="s">
        <v>59953</v>
      </c>
      <c r="Q16800">
        <v>0</v>
      </c>
      <c r="R16800">
        <v>171</v>
      </c>
      <c r="S16800">
        <v>0</v>
      </c>
      <c r="T16800" t="s">
        <v>59954</v>
      </c>
    </row>
    <row r="16801" spans="1:20" customFormat="1" ht="15" x14ac:dyDescent="0.25">
      <c r="A16801" t="s">
        <v>24</v>
      </c>
      <c r="B16801" t="s">
        <v>62881</v>
      </c>
      <c r="C16801" t="str">
        <f>"34240"</f>
        <v>34240</v>
      </c>
      <c r="D16801" t="s">
        <v>80189</v>
      </c>
      <c r="E16801" t="s">
        <v>80190</v>
      </c>
      <c r="F16801" t="s">
        <v>16350</v>
      </c>
      <c r="G16801" t="s">
        <v>29</v>
      </c>
      <c r="H16801">
        <v>23060</v>
      </c>
      <c r="I16801" t="s">
        <v>30</v>
      </c>
      <c r="J16801" t="s">
        <v>162</v>
      </c>
      <c r="K16801" t="s">
        <v>1490</v>
      </c>
      <c r="N16801" t="s">
        <v>80191</v>
      </c>
      <c r="Q16801">
        <v>0</v>
      </c>
      <c r="R16801">
        <v>243</v>
      </c>
      <c r="S16801">
        <v>0</v>
      </c>
      <c r="T16801" t="s">
        <v>80192</v>
      </c>
    </row>
    <row r="16802" spans="1:20" customFormat="1" ht="15" x14ac:dyDescent="0.25">
      <c r="A16802" t="s">
        <v>24</v>
      </c>
      <c r="B16802" t="s">
        <v>2011</v>
      </c>
      <c r="C16802" t="str">
        <f>"A0086389"</f>
        <v>A0086389</v>
      </c>
      <c r="D16802" t="s">
        <v>80254</v>
      </c>
      <c r="E16802" t="s">
        <v>80255</v>
      </c>
      <c r="F16802" t="s">
        <v>6845</v>
      </c>
      <c r="G16802" t="s">
        <v>214</v>
      </c>
      <c r="H16802">
        <v>27514</v>
      </c>
      <c r="I16802" t="s">
        <v>30</v>
      </c>
      <c r="J16802" t="s">
        <v>162</v>
      </c>
      <c r="K16802" t="s">
        <v>2015</v>
      </c>
      <c r="N16802" t="s">
        <v>80256</v>
      </c>
      <c r="O16802" t="s">
        <v>80257</v>
      </c>
      <c r="Q16802">
        <v>0</v>
      </c>
      <c r="R16802">
        <v>120</v>
      </c>
      <c r="S16802">
        <v>0</v>
      </c>
      <c r="T16802" t="s">
        <v>80258</v>
      </c>
    </row>
    <row r="16803" spans="1:20" customFormat="1" ht="15" x14ac:dyDescent="0.25">
      <c r="A16803" t="s">
        <v>24</v>
      </c>
      <c r="B16803" t="s">
        <v>80259</v>
      </c>
      <c r="C16803" t="str">
        <f>"A0064126"</f>
        <v>A0064126</v>
      </c>
      <c r="D16803" t="s">
        <v>80260</v>
      </c>
      <c r="E16803" t="s">
        <v>80261</v>
      </c>
      <c r="F16803" t="s">
        <v>65819</v>
      </c>
      <c r="G16803" t="s">
        <v>123</v>
      </c>
      <c r="H16803">
        <v>21502</v>
      </c>
      <c r="I16803" t="s">
        <v>30</v>
      </c>
      <c r="J16803" t="s">
        <v>162</v>
      </c>
      <c r="K16803" t="s">
        <v>163</v>
      </c>
      <c r="N16803" t="s">
        <v>80262</v>
      </c>
      <c r="O16803" t="s">
        <v>56323</v>
      </c>
      <c r="P16803" t="s">
        <v>3998</v>
      </c>
      <c r="Q16803">
        <v>1</v>
      </c>
      <c r="R16803">
        <v>199</v>
      </c>
      <c r="S16803">
        <v>0</v>
      </c>
      <c r="T16803" t="s">
        <v>80263</v>
      </c>
    </row>
    <row r="16804" spans="1:20" customFormat="1" ht="15" x14ac:dyDescent="0.25">
      <c r="A16804" t="s">
        <v>24</v>
      </c>
      <c r="B16804" t="s">
        <v>805</v>
      </c>
      <c r="C16804" t="str">
        <f>"A0083968"</f>
        <v>A0083968</v>
      </c>
      <c r="D16804" t="s">
        <v>80390</v>
      </c>
      <c r="E16804" t="s">
        <v>80391</v>
      </c>
      <c r="F16804" t="s">
        <v>1208</v>
      </c>
      <c r="G16804" t="s">
        <v>899</v>
      </c>
      <c r="H16804">
        <v>2142</v>
      </c>
      <c r="I16804" t="s">
        <v>30</v>
      </c>
      <c r="J16804" t="s">
        <v>162</v>
      </c>
      <c r="K16804" t="s">
        <v>6405</v>
      </c>
      <c r="N16804" t="s">
        <v>80392</v>
      </c>
      <c r="Q16804">
        <v>0</v>
      </c>
      <c r="R16804">
        <v>400</v>
      </c>
      <c r="S16804">
        <v>0</v>
      </c>
      <c r="T16804" t="s">
        <v>80393</v>
      </c>
    </row>
    <row r="16805" spans="1:20" customFormat="1" ht="15" x14ac:dyDescent="0.25">
      <c r="A16805" t="s">
        <v>24</v>
      </c>
      <c r="B16805" t="s">
        <v>805</v>
      </c>
      <c r="C16805" t="str">
        <f>"88IN020"</f>
        <v>88IN020</v>
      </c>
      <c r="D16805" t="s">
        <v>80394</v>
      </c>
      <c r="E16805" t="s">
        <v>80395</v>
      </c>
      <c r="F16805" t="s">
        <v>716</v>
      </c>
      <c r="G16805" t="s">
        <v>289</v>
      </c>
      <c r="H16805">
        <v>60601</v>
      </c>
      <c r="I16805" t="s">
        <v>30</v>
      </c>
      <c r="J16805" t="s">
        <v>162</v>
      </c>
      <c r="K16805" t="s">
        <v>6405</v>
      </c>
      <c r="N16805" t="s">
        <v>80396</v>
      </c>
      <c r="Q16805">
        <v>0</v>
      </c>
      <c r="R16805">
        <v>334</v>
      </c>
      <c r="S16805">
        <v>0</v>
      </c>
      <c r="T16805" t="s">
        <v>80397</v>
      </c>
    </row>
    <row r="16806" spans="1:20" customFormat="1" ht="15" x14ac:dyDescent="0.25">
      <c r="A16806" t="s">
        <v>24</v>
      </c>
      <c r="B16806" t="s">
        <v>805</v>
      </c>
      <c r="C16806" t="str">
        <f>"A0076134"</f>
        <v>A0076134</v>
      </c>
      <c r="D16806" t="s">
        <v>80398</v>
      </c>
      <c r="E16806" t="s">
        <v>80399</v>
      </c>
      <c r="F16806" t="s">
        <v>7455</v>
      </c>
      <c r="G16806" t="s">
        <v>123</v>
      </c>
      <c r="H16806">
        <v>21202</v>
      </c>
      <c r="I16806" t="s">
        <v>30</v>
      </c>
      <c r="J16806" t="s">
        <v>162</v>
      </c>
      <c r="K16806" t="s">
        <v>6405</v>
      </c>
      <c r="N16806" t="s">
        <v>80400</v>
      </c>
      <c r="O16806" t="s">
        <v>80401</v>
      </c>
      <c r="Q16806">
        <v>0</v>
      </c>
      <c r="R16806">
        <v>203</v>
      </c>
      <c r="S16806">
        <v>0</v>
      </c>
      <c r="T16806" t="s">
        <v>80402</v>
      </c>
    </row>
    <row r="16807" spans="1:20" customFormat="1" ht="15" x14ac:dyDescent="0.25">
      <c r="A16807" t="s">
        <v>24</v>
      </c>
      <c r="B16807" t="s">
        <v>805</v>
      </c>
      <c r="C16807" t="str">
        <f>"SC136"</f>
        <v>SC136</v>
      </c>
      <c r="D16807" t="s">
        <v>80403</v>
      </c>
      <c r="E16807" t="s">
        <v>80404</v>
      </c>
      <c r="F16807" t="s">
        <v>1564</v>
      </c>
      <c r="G16807" t="s">
        <v>52</v>
      </c>
      <c r="H16807">
        <v>77027</v>
      </c>
      <c r="I16807" t="s">
        <v>30</v>
      </c>
      <c r="J16807" t="s">
        <v>162</v>
      </c>
      <c r="K16807" t="s">
        <v>6405</v>
      </c>
      <c r="N16807" t="s">
        <v>80405</v>
      </c>
      <c r="Q16807">
        <v>0</v>
      </c>
      <c r="R16807">
        <v>485</v>
      </c>
      <c r="S16807">
        <v>0</v>
      </c>
      <c r="T16807" t="s">
        <v>80406</v>
      </c>
    </row>
    <row r="16808" spans="1:20" customFormat="1" ht="15" x14ac:dyDescent="0.25">
      <c r="A16808" t="s">
        <v>24</v>
      </c>
      <c r="B16808" t="s">
        <v>805</v>
      </c>
      <c r="C16808" t="str">
        <f>"397R8"</f>
        <v>397R8</v>
      </c>
      <c r="D16808" t="s">
        <v>80407</v>
      </c>
      <c r="E16808" t="s">
        <v>80408</v>
      </c>
      <c r="F16808" t="s">
        <v>12897</v>
      </c>
      <c r="G16808" t="s">
        <v>4815</v>
      </c>
      <c r="H16808">
        <v>96766</v>
      </c>
      <c r="I16808" t="s">
        <v>30</v>
      </c>
      <c r="J16808" t="s">
        <v>162</v>
      </c>
      <c r="K16808" t="s">
        <v>6405</v>
      </c>
      <c r="N16808" t="s">
        <v>80409</v>
      </c>
      <c r="O16808" t="s">
        <v>80410</v>
      </c>
      <c r="P16808" t="s">
        <v>3998</v>
      </c>
      <c r="Q16808">
        <v>2</v>
      </c>
      <c r="R16808">
        <v>454</v>
      </c>
      <c r="S16808">
        <v>0</v>
      </c>
      <c r="T16808" t="s">
        <v>80411</v>
      </c>
    </row>
    <row r="16809" spans="1:20" customFormat="1" ht="15" x14ac:dyDescent="0.25">
      <c r="A16809" t="s">
        <v>24</v>
      </c>
      <c r="B16809" t="s">
        <v>805</v>
      </c>
      <c r="C16809" t="str">
        <f>"A0058365"</f>
        <v>A0058365</v>
      </c>
      <c r="D16809" t="s">
        <v>80412</v>
      </c>
      <c r="E16809" t="s">
        <v>80413</v>
      </c>
      <c r="F16809" t="s">
        <v>2069</v>
      </c>
      <c r="G16809" t="s">
        <v>1170</v>
      </c>
      <c r="H16809">
        <v>70130</v>
      </c>
      <c r="I16809" t="s">
        <v>30</v>
      </c>
      <c r="J16809" t="s">
        <v>162</v>
      </c>
      <c r="K16809" t="s">
        <v>6405</v>
      </c>
      <c r="N16809" t="s">
        <v>80414</v>
      </c>
      <c r="O16809" t="s">
        <v>80415</v>
      </c>
      <c r="Q16809">
        <v>0</v>
      </c>
      <c r="R16809">
        <v>483</v>
      </c>
      <c r="S16809">
        <v>0</v>
      </c>
      <c r="T16809" t="s">
        <v>80416</v>
      </c>
    </row>
    <row r="16810" spans="1:20" customFormat="1" ht="15" x14ac:dyDescent="0.25">
      <c r="A16810" t="s">
        <v>24</v>
      </c>
      <c r="B16810" t="s">
        <v>1528</v>
      </c>
      <c r="C16810" t="str">
        <f>"A0101007"</f>
        <v>A0101007</v>
      </c>
      <c r="D16810" t="s">
        <v>80442</v>
      </c>
      <c r="E16810" t="s">
        <v>80443</v>
      </c>
      <c r="F16810" t="s">
        <v>80444</v>
      </c>
      <c r="G16810" t="s">
        <v>1184</v>
      </c>
      <c r="H16810">
        <v>59065</v>
      </c>
      <c r="I16810" t="s">
        <v>30</v>
      </c>
      <c r="J16810" t="s">
        <v>162</v>
      </c>
      <c r="K16810" t="s">
        <v>163</v>
      </c>
      <c r="N16810" t="s">
        <v>80445</v>
      </c>
      <c r="O16810" t="s">
        <v>80446</v>
      </c>
      <c r="Q16810">
        <v>0</v>
      </c>
      <c r="R16810">
        <v>50</v>
      </c>
      <c r="S16810">
        <v>0</v>
      </c>
      <c r="T16810" t="s">
        <v>80447</v>
      </c>
    </row>
    <row r="16811" spans="1:20" customFormat="1" ht="15" x14ac:dyDescent="0.25">
      <c r="A16811" t="s">
        <v>24</v>
      </c>
      <c r="B16811" t="s">
        <v>1528</v>
      </c>
      <c r="C16811" t="str">
        <f>"A0061133"</f>
        <v>A0061133</v>
      </c>
      <c r="D16811" t="s">
        <v>80453</v>
      </c>
      <c r="E16811" t="s">
        <v>80454</v>
      </c>
      <c r="F16811" t="s">
        <v>80455</v>
      </c>
      <c r="G16811" t="s">
        <v>76</v>
      </c>
      <c r="H16811">
        <v>98065</v>
      </c>
      <c r="I16811" t="s">
        <v>30</v>
      </c>
      <c r="J16811" t="s">
        <v>162</v>
      </c>
      <c r="K16811" t="s">
        <v>163</v>
      </c>
      <c r="N16811" t="s">
        <v>80456</v>
      </c>
      <c r="O16811" t="s">
        <v>80457</v>
      </c>
      <c r="Q16811">
        <v>0</v>
      </c>
      <c r="R16811">
        <v>89</v>
      </c>
      <c r="S16811">
        <v>0</v>
      </c>
      <c r="T16811" t="s">
        <v>80458</v>
      </c>
    </row>
    <row r="16812" spans="1:20" customFormat="1" ht="15" x14ac:dyDescent="0.25">
      <c r="A16812" t="s">
        <v>24</v>
      </c>
      <c r="B16812" t="s">
        <v>54771</v>
      </c>
      <c r="C16812" t="str">
        <f>"34227"</f>
        <v>34227</v>
      </c>
      <c r="D16812" t="s">
        <v>80459</v>
      </c>
      <c r="E16812" t="s">
        <v>80460</v>
      </c>
      <c r="F16812" t="s">
        <v>4541</v>
      </c>
      <c r="G16812" t="s">
        <v>153</v>
      </c>
      <c r="H16812">
        <v>84108</v>
      </c>
      <c r="I16812" t="s">
        <v>30</v>
      </c>
      <c r="J16812" t="s">
        <v>162</v>
      </c>
      <c r="K16812" t="s">
        <v>1490</v>
      </c>
      <c r="N16812" t="s">
        <v>80461</v>
      </c>
      <c r="Q16812">
        <v>0</v>
      </c>
      <c r="R16812">
        <v>217</v>
      </c>
      <c r="S16812">
        <v>0</v>
      </c>
      <c r="T16812" t="s">
        <v>80462</v>
      </c>
    </row>
    <row r="16813" spans="1:20" customFormat="1" ht="15" x14ac:dyDescent="0.25">
      <c r="A16813" t="s">
        <v>24</v>
      </c>
      <c r="B16813" t="s">
        <v>2373</v>
      </c>
      <c r="C16813" t="str">
        <f>"33758"</f>
        <v>33758</v>
      </c>
      <c r="D16813" t="s">
        <v>80463</v>
      </c>
      <c r="E16813" t="s">
        <v>80464</v>
      </c>
      <c r="F16813" t="s">
        <v>4541</v>
      </c>
      <c r="G16813" t="s">
        <v>153</v>
      </c>
      <c r="H16813">
        <v>84101</v>
      </c>
      <c r="I16813" t="s">
        <v>30</v>
      </c>
      <c r="J16813" t="s">
        <v>162</v>
      </c>
      <c r="K16813" t="s">
        <v>1490</v>
      </c>
      <c r="N16813" t="s">
        <v>80465</v>
      </c>
      <c r="Q16813">
        <v>0</v>
      </c>
      <c r="R16813">
        <v>509</v>
      </c>
      <c r="S16813">
        <v>0</v>
      </c>
      <c r="T16813" t="s">
        <v>80466</v>
      </c>
    </row>
    <row r="16814" spans="1:20" customFormat="1" ht="15" x14ac:dyDescent="0.25">
      <c r="A16814" t="s">
        <v>24</v>
      </c>
      <c r="B16814" t="s">
        <v>13679</v>
      </c>
      <c r="C16814" t="str">
        <f>"337X5"</f>
        <v>337X5</v>
      </c>
      <c r="D16814" t="s">
        <v>80473</v>
      </c>
      <c r="E16814" t="s">
        <v>80474</v>
      </c>
      <c r="F16814" t="s">
        <v>2978</v>
      </c>
      <c r="G16814" t="s">
        <v>110</v>
      </c>
      <c r="H16814">
        <v>92130</v>
      </c>
      <c r="I16814" t="s">
        <v>30</v>
      </c>
      <c r="J16814" t="s">
        <v>162</v>
      </c>
      <c r="K16814" t="s">
        <v>1490</v>
      </c>
      <c r="N16814" t="s">
        <v>63178</v>
      </c>
      <c r="Q16814">
        <v>0</v>
      </c>
      <c r="R16814">
        <v>284</v>
      </c>
      <c r="S16814">
        <v>0</v>
      </c>
      <c r="T16814" t="s">
        <v>80475</v>
      </c>
    </row>
    <row r="16815" spans="1:20" customFormat="1" ht="15" x14ac:dyDescent="0.25">
      <c r="A16815" t="s">
        <v>24</v>
      </c>
      <c r="B16815" t="s">
        <v>675</v>
      </c>
      <c r="C16815" t="str">
        <f>"337J8"</f>
        <v>337J8</v>
      </c>
      <c r="D16815" t="s">
        <v>80476</v>
      </c>
      <c r="E16815" t="s">
        <v>80477</v>
      </c>
      <c r="F16815" t="s">
        <v>2978</v>
      </c>
      <c r="G16815" t="s">
        <v>110</v>
      </c>
      <c r="H16815">
        <v>92101</v>
      </c>
      <c r="I16815" t="s">
        <v>30</v>
      </c>
      <c r="J16815" t="s">
        <v>162</v>
      </c>
      <c r="K16815" t="s">
        <v>1490</v>
      </c>
      <c r="N16815" t="s">
        <v>80478</v>
      </c>
      <c r="O16815" t="s">
        <v>80479</v>
      </c>
      <c r="Q16815">
        <v>0</v>
      </c>
      <c r="R16815">
        <v>1354</v>
      </c>
      <c r="S16815">
        <v>0</v>
      </c>
      <c r="T16815" t="s">
        <v>80480</v>
      </c>
    </row>
    <row r="16816" spans="1:20" customFormat="1" ht="15" x14ac:dyDescent="0.25">
      <c r="A16816" t="s">
        <v>24</v>
      </c>
      <c r="B16816" t="s">
        <v>675</v>
      </c>
      <c r="C16816" t="str">
        <f>"337C9"</f>
        <v>337C9</v>
      </c>
      <c r="D16816" t="s">
        <v>80483</v>
      </c>
      <c r="E16816" t="s">
        <v>80484</v>
      </c>
      <c r="F16816" t="s">
        <v>74087</v>
      </c>
      <c r="G16816" t="s">
        <v>110</v>
      </c>
      <c r="H16816">
        <v>94010</v>
      </c>
      <c r="I16816" t="s">
        <v>30</v>
      </c>
      <c r="J16816" t="s">
        <v>162</v>
      </c>
      <c r="K16816" t="s">
        <v>1490</v>
      </c>
      <c r="N16816" t="s">
        <v>80485</v>
      </c>
      <c r="O16816" t="s">
        <v>80486</v>
      </c>
      <c r="Q16816">
        <v>0</v>
      </c>
      <c r="R16816">
        <v>684</v>
      </c>
      <c r="S16816">
        <v>0</v>
      </c>
      <c r="T16816" t="s">
        <v>80487</v>
      </c>
    </row>
    <row r="16817" spans="1:20" customFormat="1" ht="15" x14ac:dyDescent="0.25">
      <c r="A16817" t="s">
        <v>24</v>
      </c>
      <c r="B16817" t="s">
        <v>675</v>
      </c>
      <c r="C16817" t="str">
        <f>"SC013"</f>
        <v>SC013</v>
      </c>
      <c r="D16817" t="s">
        <v>80488</v>
      </c>
      <c r="E16817" t="s">
        <v>80489</v>
      </c>
      <c r="F16817" t="s">
        <v>748</v>
      </c>
      <c r="G16817" t="s">
        <v>110</v>
      </c>
      <c r="H16817">
        <v>94108</v>
      </c>
      <c r="I16817" t="s">
        <v>30</v>
      </c>
      <c r="J16817" t="s">
        <v>162</v>
      </c>
      <c r="K16817" t="s">
        <v>1490</v>
      </c>
      <c r="N16817" t="s">
        <v>80490</v>
      </c>
      <c r="O16817" t="s">
        <v>80491</v>
      </c>
      <c r="Q16817">
        <v>0</v>
      </c>
      <c r="R16817">
        <v>403</v>
      </c>
      <c r="S16817">
        <v>0</v>
      </c>
      <c r="T16817" t="s">
        <v>80492</v>
      </c>
    </row>
    <row r="16818" spans="1:20" customFormat="1" ht="15" x14ac:dyDescent="0.25">
      <c r="A16818" t="s">
        <v>24</v>
      </c>
      <c r="B16818" t="s">
        <v>80508</v>
      </c>
      <c r="C16818" t="str">
        <f>"A0092115"</f>
        <v>A0092115</v>
      </c>
      <c r="D16818" t="s">
        <v>80509</v>
      </c>
      <c r="E16818" t="s">
        <v>80510</v>
      </c>
      <c r="F16818" t="s">
        <v>9540</v>
      </c>
      <c r="G16818" t="s">
        <v>110</v>
      </c>
      <c r="H16818">
        <v>90704</v>
      </c>
      <c r="I16818" t="s">
        <v>30</v>
      </c>
      <c r="J16818" t="s">
        <v>162</v>
      </c>
      <c r="K16818" t="s">
        <v>163</v>
      </c>
      <c r="N16818" t="s">
        <v>80511</v>
      </c>
      <c r="O16818" t="s">
        <v>80512</v>
      </c>
      <c r="Q16818">
        <v>1</v>
      </c>
      <c r="R16818">
        <v>0</v>
      </c>
      <c r="S16818">
        <v>0</v>
      </c>
      <c r="T16818" t="s">
        <v>80513</v>
      </c>
    </row>
    <row r="16819" spans="1:20" customFormat="1" ht="15" x14ac:dyDescent="0.25">
      <c r="A16819" t="s">
        <v>24</v>
      </c>
      <c r="B16819" t="s">
        <v>2248</v>
      </c>
      <c r="C16819" t="str">
        <f>"A0089959"</f>
        <v>A0089959</v>
      </c>
      <c r="D16819" t="s">
        <v>80514</v>
      </c>
      <c r="E16819" t="s">
        <v>80515</v>
      </c>
      <c r="F16819" t="s">
        <v>2039</v>
      </c>
      <c r="G16819" t="s">
        <v>110</v>
      </c>
      <c r="H16819">
        <v>95060</v>
      </c>
      <c r="I16819" t="s">
        <v>30</v>
      </c>
      <c r="J16819" t="s">
        <v>162</v>
      </c>
      <c r="K16819" t="s">
        <v>163</v>
      </c>
      <c r="N16819" t="s">
        <v>80516</v>
      </c>
      <c r="Q16819">
        <v>0</v>
      </c>
      <c r="R16819">
        <v>163</v>
      </c>
      <c r="S16819">
        <v>0</v>
      </c>
      <c r="T16819" t="s">
        <v>80517</v>
      </c>
    </row>
    <row r="16820" spans="1:20" customFormat="1" ht="15" x14ac:dyDescent="0.25">
      <c r="A16820" t="s">
        <v>24</v>
      </c>
      <c r="B16820" t="s">
        <v>2221</v>
      </c>
      <c r="C16820" t="str">
        <f>"A0085351"</f>
        <v>A0085351</v>
      </c>
      <c r="D16820" t="s">
        <v>80518</v>
      </c>
      <c r="E16820" t="s">
        <v>80519</v>
      </c>
      <c r="F16820" t="s">
        <v>1586</v>
      </c>
      <c r="G16820" t="s">
        <v>1587</v>
      </c>
      <c r="H16820">
        <v>87501</v>
      </c>
      <c r="I16820" t="s">
        <v>30</v>
      </c>
      <c r="J16820" t="s">
        <v>162</v>
      </c>
      <c r="K16820" t="s">
        <v>4809</v>
      </c>
      <c r="N16820" t="s">
        <v>80520</v>
      </c>
      <c r="O16820" t="s">
        <v>80521</v>
      </c>
      <c r="Q16820">
        <v>0</v>
      </c>
      <c r="R16820">
        <v>157</v>
      </c>
      <c r="S16820">
        <v>0</v>
      </c>
      <c r="T16820" t="s">
        <v>80522</v>
      </c>
    </row>
    <row r="16821" spans="1:20" customFormat="1" ht="15" x14ac:dyDescent="0.25">
      <c r="A16821" t="s">
        <v>24</v>
      </c>
      <c r="B16821" t="s">
        <v>55909</v>
      </c>
      <c r="C16821" t="str">
        <f>"A0100236"</f>
        <v>A0100236</v>
      </c>
      <c r="D16821" t="s">
        <v>80523</v>
      </c>
      <c r="E16821" t="s">
        <v>80524</v>
      </c>
      <c r="F16821" t="s">
        <v>1586</v>
      </c>
      <c r="G16821" t="s">
        <v>1587</v>
      </c>
      <c r="H16821">
        <v>87505</v>
      </c>
      <c r="I16821" t="s">
        <v>30</v>
      </c>
      <c r="J16821" t="s">
        <v>162</v>
      </c>
      <c r="K16821" t="s">
        <v>163</v>
      </c>
      <c r="N16821" t="s">
        <v>80525</v>
      </c>
      <c r="Q16821">
        <v>0</v>
      </c>
      <c r="R16821">
        <v>145</v>
      </c>
      <c r="S16821">
        <v>0</v>
      </c>
      <c r="T16821" t="s">
        <v>80526</v>
      </c>
    </row>
    <row r="16822" spans="1:20" customFormat="1" ht="15" x14ac:dyDescent="0.25">
      <c r="A16822" t="s">
        <v>24</v>
      </c>
      <c r="B16822" t="s">
        <v>10936</v>
      </c>
      <c r="C16822" t="str">
        <f>"34148"</f>
        <v>34148</v>
      </c>
      <c r="D16822" t="s">
        <v>80540</v>
      </c>
      <c r="E16822" t="s">
        <v>80541</v>
      </c>
      <c r="F16822" t="s">
        <v>80542</v>
      </c>
      <c r="G16822" t="s">
        <v>110</v>
      </c>
      <c r="H16822">
        <v>93427</v>
      </c>
      <c r="I16822" t="s">
        <v>30</v>
      </c>
      <c r="J16822" t="s">
        <v>162</v>
      </c>
      <c r="K16822" t="s">
        <v>1490</v>
      </c>
      <c r="N16822" t="s">
        <v>80543</v>
      </c>
      <c r="O16822" t="s">
        <v>80544</v>
      </c>
      <c r="Q16822">
        <v>0</v>
      </c>
      <c r="R16822">
        <v>149</v>
      </c>
      <c r="S16822">
        <v>0</v>
      </c>
      <c r="T16822" t="s">
        <v>80545</v>
      </c>
    </row>
    <row r="16823" spans="1:20" customFormat="1" ht="15" x14ac:dyDescent="0.25">
      <c r="A16823" t="s">
        <v>24</v>
      </c>
      <c r="B16823" t="s">
        <v>675</v>
      </c>
      <c r="C16823" t="str">
        <f>"34157"</f>
        <v>34157</v>
      </c>
      <c r="D16823" t="s">
        <v>80551</v>
      </c>
      <c r="E16823" t="s">
        <v>80552</v>
      </c>
      <c r="F16823" t="s">
        <v>80553</v>
      </c>
      <c r="G16823" t="s">
        <v>81</v>
      </c>
      <c r="H16823">
        <v>32082</v>
      </c>
      <c r="I16823" t="s">
        <v>30</v>
      </c>
      <c r="J16823" t="s">
        <v>162</v>
      </c>
      <c r="K16823" t="s">
        <v>1490</v>
      </c>
      <c r="N16823" t="s">
        <v>80554</v>
      </c>
      <c r="O16823" t="s">
        <v>80555</v>
      </c>
      <c r="P16823" t="s">
        <v>3998</v>
      </c>
      <c r="Q16823">
        <v>0</v>
      </c>
      <c r="R16823">
        <v>508</v>
      </c>
      <c r="S16823">
        <v>0</v>
      </c>
      <c r="T16823" t="s">
        <v>80556</v>
      </c>
    </row>
    <row r="16824" spans="1:20" customFormat="1" ht="15" x14ac:dyDescent="0.25">
      <c r="A16824" t="s">
        <v>24</v>
      </c>
      <c r="B16824" t="s">
        <v>675</v>
      </c>
      <c r="C16824" t="str">
        <f>"337W4"</f>
        <v>337W4</v>
      </c>
      <c r="D16824" t="s">
        <v>80557</v>
      </c>
      <c r="E16824" t="s">
        <v>80558</v>
      </c>
      <c r="F16824" t="s">
        <v>2014</v>
      </c>
      <c r="G16824" t="s">
        <v>197</v>
      </c>
      <c r="H16824">
        <v>85260</v>
      </c>
      <c r="I16824" t="s">
        <v>30</v>
      </c>
      <c r="J16824" t="s">
        <v>162</v>
      </c>
      <c r="K16824" t="s">
        <v>1490</v>
      </c>
      <c r="N16824" t="s">
        <v>80559</v>
      </c>
      <c r="O16824" t="s">
        <v>80560</v>
      </c>
      <c r="Q16824">
        <v>0</v>
      </c>
      <c r="R16824">
        <v>270</v>
      </c>
      <c r="S16824">
        <v>0</v>
      </c>
      <c r="T16824" t="s">
        <v>80561</v>
      </c>
    </row>
    <row r="16825" spans="1:20" customFormat="1" ht="15" x14ac:dyDescent="0.25">
      <c r="A16825" t="s">
        <v>24</v>
      </c>
      <c r="B16825" t="s">
        <v>675</v>
      </c>
      <c r="C16825" t="str">
        <f>"337P2"</f>
        <v>337P2</v>
      </c>
      <c r="D16825" t="s">
        <v>80562</v>
      </c>
      <c r="E16825" t="s">
        <v>80563</v>
      </c>
      <c r="F16825" t="s">
        <v>2014</v>
      </c>
      <c r="G16825" t="s">
        <v>197</v>
      </c>
      <c r="H16825">
        <v>85251</v>
      </c>
      <c r="I16825" t="s">
        <v>30</v>
      </c>
      <c r="J16825" t="s">
        <v>162</v>
      </c>
      <c r="K16825" t="s">
        <v>1490</v>
      </c>
      <c r="N16825" t="s">
        <v>80564</v>
      </c>
      <c r="O16825" t="s">
        <v>80565</v>
      </c>
      <c r="Q16825">
        <v>0</v>
      </c>
      <c r="R16825">
        <v>243</v>
      </c>
      <c r="S16825">
        <v>0</v>
      </c>
      <c r="T16825" t="s">
        <v>80566</v>
      </c>
    </row>
    <row r="16826" spans="1:20" customFormat="1" ht="15" x14ac:dyDescent="0.25">
      <c r="A16826" t="s">
        <v>24</v>
      </c>
      <c r="B16826" t="s">
        <v>56564</v>
      </c>
      <c r="C16826" t="str">
        <f>"A0062233"</f>
        <v>A0062233</v>
      </c>
      <c r="D16826" t="s">
        <v>80578</v>
      </c>
      <c r="E16826" t="s">
        <v>80579</v>
      </c>
      <c r="F16826" t="s">
        <v>1159</v>
      </c>
      <c r="G16826" t="s">
        <v>58</v>
      </c>
      <c r="H16826" t="s">
        <v>80580</v>
      </c>
      <c r="I16826" t="s">
        <v>30</v>
      </c>
      <c r="J16826" t="s">
        <v>162</v>
      </c>
      <c r="K16826" t="s">
        <v>163</v>
      </c>
      <c r="N16826" t="s">
        <v>80581</v>
      </c>
      <c r="O16826" t="s">
        <v>80582</v>
      </c>
      <c r="Q16826">
        <v>0</v>
      </c>
      <c r="R16826">
        <v>200</v>
      </c>
      <c r="S16826">
        <v>0</v>
      </c>
      <c r="T16826" t="s">
        <v>80583</v>
      </c>
    </row>
    <row r="16827" spans="1:20" customFormat="1" ht="15" x14ac:dyDescent="0.25">
      <c r="A16827" t="s">
        <v>24</v>
      </c>
      <c r="B16827" t="s">
        <v>8579</v>
      </c>
      <c r="C16827" t="str">
        <f>"A0085165"</f>
        <v>A0085165</v>
      </c>
      <c r="D16827" t="s">
        <v>80593</v>
      </c>
      <c r="E16827" t="s">
        <v>80594</v>
      </c>
      <c r="F16827" t="s">
        <v>1444</v>
      </c>
      <c r="G16827" t="s">
        <v>76</v>
      </c>
      <c r="H16827">
        <v>98101</v>
      </c>
      <c r="I16827" t="s">
        <v>30</v>
      </c>
      <c r="J16827" t="s">
        <v>162</v>
      </c>
      <c r="K16827" t="s">
        <v>4809</v>
      </c>
      <c r="N16827" t="s">
        <v>80595</v>
      </c>
      <c r="Q16827">
        <v>0</v>
      </c>
      <c r="R16827">
        <v>239</v>
      </c>
      <c r="S16827">
        <v>0</v>
      </c>
      <c r="T16827" t="s">
        <v>80596</v>
      </c>
    </row>
    <row r="16828" spans="1:20" customFormat="1" ht="15" x14ac:dyDescent="0.25">
      <c r="A16828" t="s">
        <v>24</v>
      </c>
      <c r="B16828" t="s">
        <v>675</v>
      </c>
      <c r="C16828" t="str">
        <f>"A0093536"</f>
        <v>A0093536</v>
      </c>
      <c r="D16828" t="s">
        <v>80597</v>
      </c>
      <c r="E16828" t="s">
        <v>80598</v>
      </c>
      <c r="F16828" t="s">
        <v>14497</v>
      </c>
      <c r="G16828" t="s">
        <v>76</v>
      </c>
      <c r="H16828">
        <v>98004</v>
      </c>
      <c r="I16828" t="s">
        <v>30</v>
      </c>
      <c r="J16828" t="s">
        <v>162</v>
      </c>
      <c r="K16828" t="s">
        <v>1490</v>
      </c>
      <c r="N16828" t="s">
        <v>80599</v>
      </c>
      <c r="O16828" t="s">
        <v>80600</v>
      </c>
      <c r="Q16828">
        <v>0</v>
      </c>
      <c r="R16828">
        <v>384</v>
      </c>
      <c r="S16828">
        <v>0</v>
      </c>
      <c r="T16828" t="s">
        <v>80601</v>
      </c>
    </row>
    <row r="16829" spans="1:20" customFormat="1" ht="15" x14ac:dyDescent="0.25">
      <c r="A16829" t="s">
        <v>24</v>
      </c>
      <c r="B16829" t="s">
        <v>11010</v>
      </c>
      <c r="C16829" t="str">
        <f>"A0154618"</f>
        <v>A0154618</v>
      </c>
      <c r="D16829" t="s">
        <v>80614</v>
      </c>
      <c r="E16829" t="s">
        <v>80615</v>
      </c>
      <c r="F16829" t="s">
        <v>997</v>
      </c>
      <c r="G16829" t="s">
        <v>99</v>
      </c>
      <c r="H16829">
        <v>10001</v>
      </c>
      <c r="I16829" t="s">
        <v>30</v>
      </c>
      <c r="J16829" t="s">
        <v>162</v>
      </c>
      <c r="K16829" t="s">
        <v>163</v>
      </c>
      <c r="N16829" t="s">
        <v>80616</v>
      </c>
      <c r="O16829" t="s">
        <v>80617</v>
      </c>
      <c r="Q16829">
        <v>0</v>
      </c>
      <c r="R16829">
        <v>62</v>
      </c>
      <c r="S16829">
        <v>0</v>
      </c>
      <c r="T16829" t="s">
        <v>80618</v>
      </c>
    </row>
    <row r="16830" spans="1:20" customFormat="1" ht="15" x14ac:dyDescent="0.25">
      <c r="A16830" t="s">
        <v>24</v>
      </c>
      <c r="B16830" t="s">
        <v>1528</v>
      </c>
      <c r="C16830" t="str">
        <f>"A0064225"</f>
        <v>A0064225</v>
      </c>
      <c r="D16830" t="s">
        <v>80657</v>
      </c>
      <c r="E16830" t="s">
        <v>80658</v>
      </c>
      <c r="F16830" t="s">
        <v>65262</v>
      </c>
      <c r="G16830" t="s">
        <v>76</v>
      </c>
      <c r="H16830">
        <v>98230</v>
      </c>
      <c r="I16830" t="s">
        <v>30</v>
      </c>
      <c r="J16830" t="s">
        <v>162</v>
      </c>
      <c r="K16830" t="s">
        <v>163</v>
      </c>
      <c r="N16830" t="s">
        <v>80659</v>
      </c>
      <c r="O16830" t="s">
        <v>33844</v>
      </c>
      <c r="Q16830">
        <v>0</v>
      </c>
      <c r="R16830">
        <v>212</v>
      </c>
      <c r="S16830">
        <v>0</v>
      </c>
      <c r="T16830" t="s">
        <v>80660</v>
      </c>
    </row>
    <row r="16831" spans="1:20" customFormat="1" ht="15" x14ac:dyDescent="0.25">
      <c r="A16831" t="s">
        <v>24</v>
      </c>
      <c r="B16831" t="s">
        <v>1098</v>
      </c>
      <c r="C16831" t="str">
        <f>"A0058763"</f>
        <v>A0058763</v>
      </c>
      <c r="D16831" t="s">
        <v>80667</v>
      </c>
      <c r="E16831" t="s">
        <v>80668</v>
      </c>
      <c r="F16831" t="s">
        <v>74788</v>
      </c>
      <c r="G16831" t="s">
        <v>81</v>
      </c>
      <c r="H16831">
        <v>33870</v>
      </c>
      <c r="I16831" t="s">
        <v>30</v>
      </c>
      <c r="J16831" t="s">
        <v>162</v>
      </c>
      <c r="K16831" t="s">
        <v>163</v>
      </c>
      <c r="N16831" t="s">
        <v>80669</v>
      </c>
      <c r="P16831" t="s">
        <v>3998</v>
      </c>
      <c r="Q16831">
        <v>0</v>
      </c>
      <c r="R16831">
        <v>123</v>
      </c>
      <c r="S16831">
        <v>0</v>
      </c>
      <c r="T16831" t="s">
        <v>80670</v>
      </c>
    </row>
    <row r="16832" spans="1:20" customFormat="1" ht="15" x14ac:dyDescent="0.25">
      <c r="A16832" t="s">
        <v>24</v>
      </c>
      <c r="B16832" t="s">
        <v>80696</v>
      </c>
      <c r="C16832" t="str">
        <f>"A0095241"</f>
        <v>A0095241</v>
      </c>
      <c r="D16832" t="s">
        <v>80697</v>
      </c>
      <c r="E16832" t="s">
        <v>80698</v>
      </c>
      <c r="F16832" t="s">
        <v>80699</v>
      </c>
      <c r="G16832" t="s">
        <v>840</v>
      </c>
      <c r="H16832">
        <v>40330</v>
      </c>
      <c r="I16832" t="s">
        <v>30</v>
      </c>
      <c r="J16832" t="s">
        <v>162</v>
      </c>
      <c r="K16832" t="s">
        <v>163</v>
      </c>
      <c r="N16832" t="s">
        <v>80700</v>
      </c>
      <c r="Q16832">
        <v>0</v>
      </c>
      <c r="R16832">
        <v>80</v>
      </c>
      <c r="S16832">
        <v>0</v>
      </c>
      <c r="T16832" t="s">
        <v>80701</v>
      </c>
    </row>
    <row r="16833" spans="1:20" customFormat="1" ht="15" x14ac:dyDescent="0.25">
      <c r="A16833" t="s">
        <v>24</v>
      </c>
      <c r="B16833" t="s">
        <v>2221</v>
      </c>
      <c r="C16833" t="str">
        <f>"A0056805"</f>
        <v>A0056805</v>
      </c>
      <c r="D16833" t="s">
        <v>80732</v>
      </c>
      <c r="E16833" t="s">
        <v>80733</v>
      </c>
      <c r="F16833" t="s">
        <v>3048</v>
      </c>
      <c r="G16833" t="s">
        <v>3049</v>
      </c>
      <c r="H16833">
        <v>99501</v>
      </c>
      <c r="I16833" t="s">
        <v>30</v>
      </c>
      <c r="J16833" t="s">
        <v>162</v>
      </c>
      <c r="K16833" t="s">
        <v>1502</v>
      </c>
      <c r="N16833" t="s">
        <v>80734</v>
      </c>
      <c r="O16833" t="s">
        <v>80735</v>
      </c>
      <c r="Q16833">
        <v>0</v>
      </c>
      <c r="R16833">
        <v>375</v>
      </c>
      <c r="S16833">
        <v>0</v>
      </c>
      <c r="T16833" t="s">
        <v>80736</v>
      </c>
    </row>
    <row r="16834" spans="1:20" customFormat="1" ht="15" x14ac:dyDescent="0.25">
      <c r="A16834" t="s">
        <v>24</v>
      </c>
      <c r="B16834" t="s">
        <v>2221</v>
      </c>
      <c r="C16834" t="str">
        <f>"A0089508"</f>
        <v>A0089508</v>
      </c>
      <c r="D16834" t="s">
        <v>80737</v>
      </c>
      <c r="E16834" t="s">
        <v>80738</v>
      </c>
      <c r="F16834" t="s">
        <v>6840</v>
      </c>
      <c r="G16834" t="s">
        <v>117</v>
      </c>
      <c r="H16834">
        <v>48108</v>
      </c>
      <c r="I16834" t="s">
        <v>30</v>
      </c>
      <c r="J16834" t="s">
        <v>162</v>
      </c>
      <c r="K16834" t="s">
        <v>1502</v>
      </c>
      <c r="N16834" t="s">
        <v>80739</v>
      </c>
      <c r="O16834" t="s">
        <v>80740</v>
      </c>
      <c r="Q16834">
        <v>0</v>
      </c>
      <c r="R16834">
        <v>197</v>
      </c>
      <c r="S16834">
        <v>0</v>
      </c>
      <c r="T16834" t="s">
        <v>80741</v>
      </c>
    </row>
    <row r="16835" spans="1:20" customFormat="1" ht="15" x14ac:dyDescent="0.25">
      <c r="A16835" t="s">
        <v>24</v>
      </c>
      <c r="B16835" t="s">
        <v>74653</v>
      </c>
      <c r="C16835" t="str">
        <f>"A0098564"</f>
        <v>A0098564</v>
      </c>
      <c r="D16835" t="s">
        <v>80742</v>
      </c>
      <c r="E16835" t="s">
        <v>80743</v>
      </c>
      <c r="F16835" t="s">
        <v>1131</v>
      </c>
      <c r="G16835" t="s">
        <v>52</v>
      </c>
      <c r="H16835">
        <v>76011</v>
      </c>
      <c r="I16835" t="s">
        <v>30</v>
      </c>
      <c r="J16835" t="s">
        <v>162</v>
      </c>
      <c r="K16835" t="s">
        <v>1502</v>
      </c>
      <c r="N16835" t="s">
        <v>80744</v>
      </c>
      <c r="Q16835">
        <v>0</v>
      </c>
      <c r="R16835">
        <v>311</v>
      </c>
      <c r="S16835">
        <v>0</v>
      </c>
      <c r="T16835" t="s">
        <v>80745</v>
      </c>
    </row>
    <row r="16836" spans="1:20" customFormat="1" ht="15" x14ac:dyDescent="0.25">
      <c r="A16836" t="s">
        <v>24</v>
      </c>
      <c r="B16836" t="s">
        <v>2373</v>
      </c>
      <c r="C16836" t="str">
        <f>"A0068479"</f>
        <v>A0068479</v>
      </c>
      <c r="D16836" t="s">
        <v>80746</v>
      </c>
      <c r="E16836" t="s">
        <v>80747</v>
      </c>
      <c r="F16836" t="s">
        <v>10276</v>
      </c>
      <c r="G16836" t="s">
        <v>846</v>
      </c>
      <c r="H16836">
        <v>30303</v>
      </c>
      <c r="I16836" t="s">
        <v>30</v>
      </c>
      <c r="J16836" t="s">
        <v>162</v>
      </c>
      <c r="K16836" t="s">
        <v>1502</v>
      </c>
      <c r="N16836" t="s">
        <v>80748</v>
      </c>
      <c r="O16836" t="s">
        <v>80749</v>
      </c>
      <c r="Q16836">
        <v>0</v>
      </c>
      <c r="R16836">
        <v>763</v>
      </c>
      <c r="S16836">
        <v>0</v>
      </c>
      <c r="T16836" t="s">
        <v>80750</v>
      </c>
    </row>
    <row r="16837" spans="1:20" customFormat="1" ht="15" x14ac:dyDescent="0.25">
      <c r="A16837" t="s">
        <v>24</v>
      </c>
      <c r="B16837" t="s">
        <v>675</v>
      </c>
      <c r="C16837" t="str">
        <f>"A0096641"</f>
        <v>A0096641</v>
      </c>
      <c r="D16837" t="s">
        <v>80751</v>
      </c>
      <c r="E16837" t="s">
        <v>80752</v>
      </c>
      <c r="F16837" t="s">
        <v>76989</v>
      </c>
      <c r="G16837" t="s">
        <v>338</v>
      </c>
      <c r="H16837">
        <v>8401</v>
      </c>
      <c r="I16837" t="s">
        <v>30</v>
      </c>
      <c r="J16837" t="s">
        <v>162</v>
      </c>
      <c r="K16837" t="s">
        <v>1502</v>
      </c>
      <c r="N16837" t="s">
        <v>80753</v>
      </c>
      <c r="O16837" t="s">
        <v>80754</v>
      </c>
      <c r="Q16837">
        <v>0</v>
      </c>
      <c r="R16837">
        <v>502</v>
      </c>
      <c r="S16837">
        <v>0</v>
      </c>
      <c r="T16837" t="s">
        <v>80755</v>
      </c>
    </row>
    <row r="16838" spans="1:20" customFormat="1" ht="15" x14ac:dyDescent="0.25">
      <c r="A16838" t="s">
        <v>24</v>
      </c>
      <c r="B16838" t="s">
        <v>5166</v>
      </c>
      <c r="C16838" t="str">
        <f>"337F6"</f>
        <v>337F6</v>
      </c>
      <c r="D16838" t="s">
        <v>80756</v>
      </c>
      <c r="E16838" t="s">
        <v>80757</v>
      </c>
      <c r="F16838" t="s">
        <v>372</v>
      </c>
      <c r="G16838" t="s">
        <v>52</v>
      </c>
      <c r="H16838">
        <v>78701</v>
      </c>
      <c r="I16838" t="s">
        <v>30</v>
      </c>
      <c r="J16838" t="s">
        <v>162</v>
      </c>
      <c r="K16838" t="s">
        <v>1502</v>
      </c>
      <c r="Q16838">
        <v>0</v>
      </c>
      <c r="R16838">
        <v>365</v>
      </c>
      <c r="S16838">
        <v>0</v>
      </c>
      <c r="T16838" t="s">
        <v>80758</v>
      </c>
    </row>
    <row r="16839" spans="1:20" customFormat="1" ht="15" x14ac:dyDescent="0.25">
      <c r="A16839" t="s">
        <v>24</v>
      </c>
      <c r="B16839" t="s">
        <v>675</v>
      </c>
      <c r="C16839" t="str">
        <f>"A0096640"</f>
        <v>A0096640</v>
      </c>
      <c r="D16839" t="s">
        <v>80759</v>
      </c>
      <c r="E16839" t="s">
        <v>80760</v>
      </c>
      <c r="F16839" t="s">
        <v>5706</v>
      </c>
      <c r="G16839" t="s">
        <v>1706</v>
      </c>
      <c r="H16839">
        <v>35203</v>
      </c>
      <c r="I16839" t="s">
        <v>30</v>
      </c>
      <c r="J16839" t="s">
        <v>162</v>
      </c>
      <c r="K16839" t="s">
        <v>1502</v>
      </c>
      <c r="N16839" t="s">
        <v>80761</v>
      </c>
      <c r="Q16839">
        <v>0</v>
      </c>
      <c r="R16839">
        <v>757</v>
      </c>
      <c r="S16839">
        <v>0</v>
      </c>
      <c r="T16839" t="s">
        <v>80762</v>
      </c>
    </row>
    <row r="16840" spans="1:20" customFormat="1" ht="15" x14ac:dyDescent="0.25">
      <c r="A16840" t="s">
        <v>24</v>
      </c>
      <c r="B16840" t="s">
        <v>4140</v>
      </c>
      <c r="C16840" t="str">
        <f>"A0060622"</f>
        <v>A0060622</v>
      </c>
      <c r="D16840" t="s">
        <v>80763</v>
      </c>
      <c r="E16840" t="s">
        <v>80764</v>
      </c>
      <c r="F16840" t="s">
        <v>6404</v>
      </c>
      <c r="G16840" t="s">
        <v>161</v>
      </c>
      <c r="H16840">
        <v>55439</v>
      </c>
      <c r="I16840" t="s">
        <v>30</v>
      </c>
      <c r="J16840" t="s">
        <v>162</v>
      </c>
      <c r="K16840" t="s">
        <v>1502</v>
      </c>
      <c r="N16840" t="s">
        <v>80765</v>
      </c>
      <c r="O16840" t="s">
        <v>80766</v>
      </c>
      <c r="Q16840">
        <v>0</v>
      </c>
      <c r="R16840">
        <v>282</v>
      </c>
      <c r="S16840">
        <v>0</v>
      </c>
      <c r="T16840" t="s">
        <v>80767</v>
      </c>
    </row>
    <row r="16841" spans="1:20" customFormat="1" ht="15" x14ac:dyDescent="0.25">
      <c r="A16841" t="s">
        <v>24</v>
      </c>
      <c r="B16841" t="s">
        <v>675</v>
      </c>
      <c r="C16841" t="str">
        <f>"A0086878"</f>
        <v>A0086878</v>
      </c>
      <c r="D16841" t="s">
        <v>80768</v>
      </c>
      <c r="E16841" t="s">
        <v>80769</v>
      </c>
      <c r="F16841" t="s">
        <v>26129</v>
      </c>
      <c r="G16841" t="s">
        <v>899</v>
      </c>
      <c r="H16841">
        <v>2199</v>
      </c>
      <c r="I16841" t="s">
        <v>30</v>
      </c>
      <c r="J16841" t="s">
        <v>162</v>
      </c>
      <c r="K16841" t="s">
        <v>1502</v>
      </c>
      <c r="N16841" t="s">
        <v>54792</v>
      </c>
      <c r="O16841" t="s">
        <v>80770</v>
      </c>
      <c r="Q16841">
        <v>0</v>
      </c>
      <c r="R16841">
        <v>1220</v>
      </c>
      <c r="S16841">
        <v>0</v>
      </c>
      <c r="T16841" t="s">
        <v>80771</v>
      </c>
    </row>
    <row r="16842" spans="1:20" customFormat="1" ht="15" x14ac:dyDescent="0.25">
      <c r="A16842" t="s">
        <v>24</v>
      </c>
      <c r="B16842" t="s">
        <v>2221</v>
      </c>
      <c r="C16842" t="str">
        <f>"A0056733"</f>
        <v>A0056733</v>
      </c>
      <c r="D16842" t="s">
        <v>80778</v>
      </c>
      <c r="E16842" t="s">
        <v>80779</v>
      </c>
      <c r="F16842" t="s">
        <v>79235</v>
      </c>
      <c r="G16842" t="s">
        <v>103</v>
      </c>
      <c r="H16842">
        <v>19047</v>
      </c>
      <c r="I16842" t="s">
        <v>30</v>
      </c>
      <c r="J16842" t="s">
        <v>162</v>
      </c>
      <c r="K16842" t="s">
        <v>1502</v>
      </c>
      <c r="N16842" t="s">
        <v>80780</v>
      </c>
      <c r="Q16842">
        <v>0</v>
      </c>
      <c r="R16842">
        <v>187</v>
      </c>
      <c r="S16842">
        <v>0</v>
      </c>
      <c r="T16842" t="s">
        <v>80781</v>
      </c>
    </row>
    <row r="16843" spans="1:20" customFormat="1" ht="15" x14ac:dyDescent="0.25">
      <c r="A16843" t="s">
        <v>24</v>
      </c>
      <c r="B16843" t="s">
        <v>80787</v>
      </c>
      <c r="C16843" t="str">
        <f>"A0086908"</f>
        <v>A0086908</v>
      </c>
      <c r="D16843" t="s">
        <v>80788</v>
      </c>
      <c r="E16843" t="s">
        <v>80789</v>
      </c>
      <c r="F16843" t="s">
        <v>11003</v>
      </c>
      <c r="G16843" t="s">
        <v>110</v>
      </c>
      <c r="H16843">
        <v>92008</v>
      </c>
      <c r="I16843" t="s">
        <v>30</v>
      </c>
      <c r="J16843" t="s">
        <v>162</v>
      </c>
      <c r="K16843" t="s">
        <v>1502</v>
      </c>
      <c r="N16843" t="s">
        <v>80790</v>
      </c>
      <c r="O16843" t="s">
        <v>80791</v>
      </c>
      <c r="Q16843">
        <v>0</v>
      </c>
      <c r="R16843">
        <v>251</v>
      </c>
      <c r="S16843">
        <v>0</v>
      </c>
      <c r="T16843" t="s">
        <v>80792</v>
      </c>
    </row>
    <row r="16844" spans="1:20" customFormat="1" ht="15" x14ac:dyDescent="0.25">
      <c r="A16844" t="s">
        <v>24</v>
      </c>
      <c r="B16844" t="s">
        <v>54771</v>
      </c>
      <c r="C16844" t="str">
        <f>"A0098847"</f>
        <v>A0098847</v>
      </c>
      <c r="D16844" t="s">
        <v>80805</v>
      </c>
      <c r="E16844" t="s">
        <v>80806</v>
      </c>
      <c r="F16844" t="s">
        <v>242</v>
      </c>
      <c r="G16844" t="s">
        <v>214</v>
      </c>
      <c r="H16844">
        <v>28204</v>
      </c>
      <c r="I16844" t="s">
        <v>30</v>
      </c>
      <c r="J16844" t="s">
        <v>162</v>
      </c>
      <c r="K16844" t="s">
        <v>1502</v>
      </c>
      <c r="N16844" t="s">
        <v>80807</v>
      </c>
      <c r="O16844" t="s">
        <v>80808</v>
      </c>
      <c r="Q16844">
        <v>0</v>
      </c>
      <c r="R16844">
        <v>605</v>
      </c>
      <c r="S16844">
        <v>0</v>
      </c>
      <c r="T16844" t="s">
        <v>80809</v>
      </c>
    </row>
    <row r="16845" spans="1:20" customFormat="1" ht="15" x14ac:dyDescent="0.25">
      <c r="A16845" t="s">
        <v>24</v>
      </c>
      <c r="B16845" t="s">
        <v>2583</v>
      </c>
      <c r="C16845" t="str">
        <f>"A0098652"</f>
        <v>A0098652</v>
      </c>
      <c r="D16845" t="s">
        <v>80810</v>
      </c>
      <c r="E16845" t="s">
        <v>80811</v>
      </c>
      <c r="F16845" t="s">
        <v>9068</v>
      </c>
      <c r="G16845" t="s">
        <v>289</v>
      </c>
      <c r="H16845">
        <v>60018</v>
      </c>
      <c r="I16845" t="s">
        <v>30</v>
      </c>
      <c r="J16845" t="s">
        <v>162</v>
      </c>
      <c r="K16845" t="s">
        <v>1502</v>
      </c>
      <c r="N16845" t="s">
        <v>80812</v>
      </c>
      <c r="Q16845">
        <v>0</v>
      </c>
      <c r="R16845">
        <v>296</v>
      </c>
      <c r="S16845">
        <v>0</v>
      </c>
      <c r="T16845" t="s">
        <v>80813</v>
      </c>
    </row>
    <row r="16846" spans="1:20" customFormat="1" ht="15" x14ac:dyDescent="0.25">
      <c r="A16846" t="s">
        <v>24</v>
      </c>
      <c r="B16846" t="s">
        <v>2221</v>
      </c>
      <c r="C16846" t="str">
        <f>"A0058881"</f>
        <v>A0058881</v>
      </c>
      <c r="D16846" t="s">
        <v>80819</v>
      </c>
      <c r="E16846" t="s">
        <v>80820</v>
      </c>
      <c r="F16846" t="s">
        <v>9431</v>
      </c>
      <c r="G16846" t="s">
        <v>381</v>
      </c>
      <c r="H16846">
        <v>46204</v>
      </c>
      <c r="I16846" t="s">
        <v>30</v>
      </c>
      <c r="J16846" t="s">
        <v>162</v>
      </c>
      <c r="K16846" t="s">
        <v>1502</v>
      </c>
      <c r="N16846" t="s">
        <v>80821</v>
      </c>
      <c r="O16846" t="s">
        <v>80822</v>
      </c>
      <c r="Q16846">
        <v>0</v>
      </c>
      <c r="R16846">
        <v>371</v>
      </c>
      <c r="S16846">
        <v>0</v>
      </c>
      <c r="T16846" t="s">
        <v>80823</v>
      </c>
    </row>
    <row r="16847" spans="1:20" customFormat="1" ht="15" x14ac:dyDescent="0.25">
      <c r="A16847" t="s">
        <v>24</v>
      </c>
      <c r="B16847" t="s">
        <v>80824</v>
      </c>
      <c r="C16847" t="str">
        <f>"A0098586"</f>
        <v>A0098586</v>
      </c>
      <c r="D16847" t="s">
        <v>80825</v>
      </c>
      <c r="E16847" t="s">
        <v>80826</v>
      </c>
      <c r="F16847" t="s">
        <v>57308</v>
      </c>
      <c r="G16847" t="s">
        <v>899</v>
      </c>
      <c r="H16847">
        <v>2138</v>
      </c>
      <c r="I16847" t="s">
        <v>30</v>
      </c>
      <c r="J16847" t="s">
        <v>162</v>
      </c>
      <c r="K16847" t="s">
        <v>1502</v>
      </c>
      <c r="N16847" t="s">
        <v>80827</v>
      </c>
      <c r="O16847" t="s">
        <v>80828</v>
      </c>
      <c r="Q16847">
        <v>0</v>
      </c>
      <c r="R16847">
        <v>175</v>
      </c>
      <c r="S16847">
        <v>0</v>
      </c>
      <c r="T16847" t="s">
        <v>80829</v>
      </c>
    </row>
    <row r="16848" spans="1:20" customFormat="1" ht="15" x14ac:dyDescent="0.25">
      <c r="A16848" t="s">
        <v>24</v>
      </c>
      <c r="B16848" t="s">
        <v>71047</v>
      </c>
      <c r="C16848" t="str">
        <f>"A0090499"</f>
        <v>A0090499</v>
      </c>
      <c r="D16848" t="s">
        <v>80830</v>
      </c>
      <c r="E16848" t="s">
        <v>80831</v>
      </c>
      <c r="F16848" t="s">
        <v>196</v>
      </c>
      <c r="G16848" t="s">
        <v>197</v>
      </c>
      <c r="H16848">
        <v>85021</v>
      </c>
      <c r="I16848" t="s">
        <v>30</v>
      </c>
      <c r="J16848" t="s">
        <v>162</v>
      </c>
      <c r="K16848" t="s">
        <v>1502</v>
      </c>
      <c r="N16848" t="s">
        <v>80832</v>
      </c>
      <c r="O16848" t="s">
        <v>80833</v>
      </c>
      <c r="Q16848">
        <v>0</v>
      </c>
      <c r="R16848">
        <v>342</v>
      </c>
      <c r="S16848">
        <v>0</v>
      </c>
      <c r="T16848" t="s">
        <v>80834</v>
      </c>
    </row>
    <row r="16849" spans="1:20" customFormat="1" ht="15" x14ac:dyDescent="0.25">
      <c r="A16849" t="s">
        <v>24</v>
      </c>
      <c r="B16849" t="s">
        <v>675</v>
      </c>
      <c r="C16849" t="str">
        <f>"A0060574"</f>
        <v>A0060574</v>
      </c>
      <c r="D16849" t="s">
        <v>80835</v>
      </c>
      <c r="E16849" t="s">
        <v>80836</v>
      </c>
      <c r="F16849" t="s">
        <v>2094</v>
      </c>
      <c r="G16849" t="s">
        <v>52</v>
      </c>
      <c r="H16849">
        <v>75201</v>
      </c>
      <c r="I16849" t="s">
        <v>30</v>
      </c>
      <c r="J16849" t="s">
        <v>162</v>
      </c>
      <c r="K16849" t="s">
        <v>1502</v>
      </c>
      <c r="N16849" t="s">
        <v>80837</v>
      </c>
      <c r="O16849" t="s">
        <v>80838</v>
      </c>
      <c r="Q16849">
        <v>0</v>
      </c>
      <c r="R16849">
        <v>1840</v>
      </c>
      <c r="S16849">
        <v>0</v>
      </c>
      <c r="T16849" t="s">
        <v>80839</v>
      </c>
    </row>
    <row r="16850" spans="1:20" customFormat="1" ht="15" x14ac:dyDescent="0.25">
      <c r="A16850" t="s">
        <v>24</v>
      </c>
      <c r="B16850" t="s">
        <v>675</v>
      </c>
      <c r="C16850" t="str">
        <f>"A0060556"</f>
        <v>A0060556</v>
      </c>
      <c r="D16850" t="s">
        <v>80840</v>
      </c>
      <c r="E16850" t="s">
        <v>80841</v>
      </c>
      <c r="F16850" t="s">
        <v>972</v>
      </c>
      <c r="G16850" t="s">
        <v>190</v>
      </c>
      <c r="H16850">
        <v>80202</v>
      </c>
      <c r="I16850" t="s">
        <v>30</v>
      </c>
      <c r="J16850" t="s">
        <v>162</v>
      </c>
      <c r="K16850" t="s">
        <v>1502</v>
      </c>
      <c r="N16850" t="s">
        <v>80842</v>
      </c>
      <c r="O16850" t="s">
        <v>80843</v>
      </c>
      <c r="Q16850">
        <v>0</v>
      </c>
      <c r="R16850">
        <v>1231</v>
      </c>
      <c r="S16850">
        <v>0</v>
      </c>
      <c r="T16850" t="s">
        <v>80844</v>
      </c>
    </row>
    <row r="16851" spans="1:20" customFormat="1" ht="15" x14ac:dyDescent="0.25">
      <c r="A16851" t="s">
        <v>24</v>
      </c>
      <c r="B16851" t="s">
        <v>2910</v>
      </c>
      <c r="C16851" t="str">
        <f>"SF01959"</f>
        <v>SF01959</v>
      </c>
      <c r="D16851" t="s">
        <v>80850</v>
      </c>
      <c r="E16851" t="s">
        <v>80851</v>
      </c>
      <c r="F16851" t="s">
        <v>17690</v>
      </c>
      <c r="G16851" t="s">
        <v>117</v>
      </c>
      <c r="H16851">
        <v>48174</v>
      </c>
      <c r="I16851" t="s">
        <v>30</v>
      </c>
      <c r="J16851" t="s">
        <v>162</v>
      </c>
      <c r="K16851" t="s">
        <v>1502</v>
      </c>
      <c r="Q16851">
        <v>0</v>
      </c>
      <c r="R16851">
        <v>359</v>
      </c>
      <c r="S16851">
        <v>0</v>
      </c>
      <c r="T16851" t="s">
        <v>80852</v>
      </c>
    </row>
    <row r="16852" spans="1:20" customFormat="1" ht="15" x14ac:dyDescent="0.25">
      <c r="A16852" t="s">
        <v>24</v>
      </c>
      <c r="B16852" t="s">
        <v>1487</v>
      </c>
      <c r="C16852" t="str">
        <f>"A0084972"</f>
        <v>A0084972</v>
      </c>
      <c r="D16852" t="s">
        <v>80853</v>
      </c>
      <c r="E16852" t="s">
        <v>80854</v>
      </c>
      <c r="F16852" t="s">
        <v>5915</v>
      </c>
      <c r="G16852" t="s">
        <v>103</v>
      </c>
      <c r="H16852">
        <v>16507</v>
      </c>
      <c r="I16852" t="s">
        <v>30</v>
      </c>
      <c r="J16852" t="s">
        <v>162</v>
      </c>
      <c r="K16852" t="s">
        <v>1502</v>
      </c>
      <c r="N16852" t="s">
        <v>80855</v>
      </c>
      <c r="O16852" t="s">
        <v>80856</v>
      </c>
      <c r="Q16852">
        <v>0</v>
      </c>
      <c r="R16852">
        <v>200</v>
      </c>
      <c r="S16852">
        <v>0</v>
      </c>
      <c r="T16852" t="s">
        <v>80857</v>
      </c>
    </row>
    <row r="16853" spans="1:20" customFormat="1" ht="15" x14ac:dyDescent="0.25">
      <c r="A16853" t="s">
        <v>24</v>
      </c>
      <c r="B16853" t="s">
        <v>675</v>
      </c>
      <c r="C16853" t="str">
        <f>"A0086900"</f>
        <v>A0086900</v>
      </c>
      <c r="D16853" t="s">
        <v>80858</v>
      </c>
      <c r="E16853" t="s">
        <v>80859</v>
      </c>
      <c r="F16853" t="s">
        <v>1378</v>
      </c>
      <c r="G16853" t="s">
        <v>110</v>
      </c>
      <c r="H16853">
        <v>91768</v>
      </c>
      <c r="I16853" t="s">
        <v>30</v>
      </c>
      <c r="J16853" t="s">
        <v>162</v>
      </c>
      <c r="K16853" t="s">
        <v>1502</v>
      </c>
      <c r="N16853" t="s">
        <v>80860</v>
      </c>
      <c r="Q16853">
        <v>0</v>
      </c>
      <c r="R16853">
        <v>247</v>
      </c>
      <c r="S16853">
        <v>0</v>
      </c>
      <c r="T16853" t="s">
        <v>80861</v>
      </c>
    </row>
    <row r="16854" spans="1:20" customFormat="1" ht="15" x14ac:dyDescent="0.25">
      <c r="A16854" t="s">
        <v>24</v>
      </c>
      <c r="B16854" t="s">
        <v>2387</v>
      </c>
      <c r="C16854" t="str">
        <f>"A0076799"</f>
        <v>A0076799</v>
      </c>
      <c r="D16854" t="s">
        <v>80862</v>
      </c>
      <c r="E16854" t="s">
        <v>80863</v>
      </c>
      <c r="F16854" t="s">
        <v>1470</v>
      </c>
      <c r="G16854" t="s">
        <v>899</v>
      </c>
      <c r="H16854">
        <v>1701</v>
      </c>
      <c r="I16854" t="s">
        <v>30</v>
      </c>
      <c r="J16854" t="s">
        <v>162</v>
      </c>
      <c r="K16854" t="s">
        <v>1502</v>
      </c>
      <c r="N16854" t="s">
        <v>80864</v>
      </c>
      <c r="Q16854">
        <v>0</v>
      </c>
      <c r="R16854">
        <v>375</v>
      </c>
      <c r="S16854">
        <v>0</v>
      </c>
      <c r="T16854" t="s">
        <v>80865</v>
      </c>
    </row>
    <row r="16855" spans="1:20" customFormat="1" ht="15" x14ac:dyDescent="0.25">
      <c r="A16855" t="s">
        <v>24</v>
      </c>
      <c r="B16855" t="s">
        <v>1849</v>
      </c>
      <c r="C16855" t="str">
        <f>"A0068295"</f>
        <v>A0068295</v>
      </c>
      <c r="D16855" t="s">
        <v>80871</v>
      </c>
      <c r="E16855" t="s">
        <v>80872</v>
      </c>
      <c r="F16855" t="s">
        <v>1519</v>
      </c>
      <c r="G16855" t="s">
        <v>110</v>
      </c>
      <c r="H16855">
        <v>90045</v>
      </c>
      <c r="I16855" t="s">
        <v>30</v>
      </c>
      <c r="J16855" t="s">
        <v>162</v>
      </c>
      <c r="K16855" t="s">
        <v>1502</v>
      </c>
      <c r="N16855" t="s">
        <v>80873</v>
      </c>
      <c r="Q16855">
        <v>0</v>
      </c>
      <c r="R16855">
        <v>602</v>
      </c>
      <c r="S16855">
        <v>0</v>
      </c>
      <c r="T16855" t="s">
        <v>80874</v>
      </c>
    </row>
    <row r="16856" spans="1:20" customFormat="1" ht="15" x14ac:dyDescent="0.25">
      <c r="A16856" t="s">
        <v>24</v>
      </c>
      <c r="B16856" t="s">
        <v>675</v>
      </c>
      <c r="C16856" t="str">
        <f>"A0098090"</f>
        <v>A0098090</v>
      </c>
      <c r="D16856" t="s">
        <v>80875</v>
      </c>
      <c r="E16856" t="s">
        <v>80876</v>
      </c>
      <c r="F16856" t="s">
        <v>1195</v>
      </c>
      <c r="G16856" t="s">
        <v>52</v>
      </c>
      <c r="H16856">
        <v>78628</v>
      </c>
      <c r="I16856" t="s">
        <v>30</v>
      </c>
      <c r="J16856" t="s">
        <v>162</v>
      </c>
      <c r="K16856" t="s">
        <v>1502</v>
      </c>
      <c r="N16856" t="s">
        <v>80877</v>
      </c>
      <c r="Q16856">
        <v>0</v>
      </c>
      <c r="R16856">
        <v>224</v>
      </c>
      <c r="S16856">
        <v>0</v>
      </c>
      <c r="T16856" t="s">
        <v>80878</v>
      </c>
    </row>
    <row r="16857" spans="1:20" customFormat="1" ht="15" x14ac:dyDescent="0.25">
      <c r="A16857" t="s">
        <v>24</v>
      </c>
      <c r="B16857" t="s">
        <v>675</v>
      </c>
      <c r="C16857" t="str">
        <f>"A0096710"</f>
        <v>A0096710</v>
      </c>
      <c r="D16857" t="s">
        <v>80879</v>
      </c>
      <c r="E16857" t="s">
        <v>80880</v>
      </c>
      <c r="F16857" t="s">
        <v>34458</v>
      </c>
      <c r="G16857" t="s">
        <v>197</v>
      </c>
      <c r="H16857">
        <v>85226</v>
      </c>
      <c r="I16857" t="s">
        <v>30</v>
      </c>
      <c r="J16857" t="s">
        <v>162</v>
      </c>
      <c r="K16857" t="s">
        <v>1502</v>
      </c>
      <c r="N16857" t="s">
        <v>80881</v>
      </c>
      <c r="O16857" t="s">
        <v>80882</v>
      </c>
      <c r="Q16857">
        <v>0</v>
      </c>
      <c r="R16857">
        <v>500</v>
      </c>
      <c r="S16857">
        <v>0</v>
      </c>
      <c r="T16857" t="s">
        <v>80883</v>
      </c>
    </row>
    <row r="16858" spans="1:20" customFormat="1" ht="15" x14ac:dyDescent="0.25">
      <c r="A16858" t="s">
        <v>24</v>
      </c>
      <c r="B16858" t="s">
        <v>675</v>
      </c>
      <c r="C16858" t="str">
        <f>"A0059002"</f>
        <v>A0059002</v>
      </c>
      <c r="D16858" t="s">
        <v>80884</v>
      </c>
      <c r="E16858" t="s">
        <v>80885</v>
      </c>
      <c r="F16858" t="s">
        <v>716</v>
      </c>
      <c r="G16858" t="s">
        <v>289</v>
      </c>
      <c r="H16858">
        <v>60611</v>
      </c>
      <c r="I16858" t="s">
        <v>30</v>
      </c>
      <c r="J16858" t="s">
        <v>162</v>
      </c>
      <c r="K16858" t="s">
        <v>1502</v>
      </c>
      <c r="N16858" t="s">
        <v>80886</v>
      </c>
      <c r="O16858" t="s">
        <v>80887</v>
      </c>
      <c r="Q16858">
        <v>0</v>
      </c>
      <c r="R16858">
        <v>1218</v>
      </c>
      <c r="S16858">
        <v>0</v>
      </c>
      <c r="T16858" t="s">
        <v>80888</v>
      </c>
    </row>
    <row r="16859" spans="1:20" customFormat="1" ht="15" x14ac:dyDescent="0.25">
      <c r="A16859" t="s">
        <v>24</v>
      </c>
      <c r="B16859" t="s">
        <v>675</v>
      </c>
      <c r="C16859" t="str">
        <f>"HY09704"</f>
        <v>HY09704</v>
      </c>
      <c r="D16859" t="s">
        <v>80889</v>
      </c>
      <c r="E16859" t="s">
        <v>80890</v>
      </c>
      <c r="F16859" t="s">
        <v>1519</v>
      </c>
      <c r="G16859" t="s">
        <v>110</v>
      </c>
      <c r="H16859">
        <v>90017</v>
      </c>
      <c r="I16859" t="s">
        <v>30</v>
      </c>
      <c r="J16859" t="s">
        <v>162</v>
      </c>
      <c r="K16859" t="s">
        <v>1502</v>
      </c>
      <c r="N16859" t="s">
        <v>80891</v>
      </c>
      <c r="O16859" t="s">
        <v>80892</v>
      </c>
      <c r="Q16859">
        <v>0</v>
      </c>
      <c r="R16859">
        <v>496</v>
      </c>
      <c r="S16859">
        <v>0</v>
      </c>
      <c r="T16859" t="s">
        <v>80893</v>
      </c>
    </row>
    <row r="16860" spans="1:20" customFormat="1" ht="15" x14ac:dyDescent="0.25">
      <c r="A16860" t="s">
        <v>24</v>
      </c>
      <c r="B16860" t="s">
        <v>675</v>
      </c>
      <c r="C16860" t="str">
        <f>"A0096688"</f>
        <v>A0096688</v>
      </c>
      <c r="D16860" t="s">
        <v>80898</v>
      </c>
      <c r="E16860" t="s">
        <v>80899</v>
      </c>
      <c r="F16860" t="s">
        <v>196</v>
      </c>
      <c r="G16860" t="s">
        <v>197</v>
      </c>
      <c r="H16860">
        <v>85004</v>
      </c>
      <c r="I16860" t="s">
        <v>30</v>
      </c>
      <c r="J16860" t="s">
        <v>162</v>
      </c>
      <c r="K16860" t="s">
        <v>1502</v>
      </c>
      <c r="N16860" t="s">
        <v>80900</v>
      </c>
      <c r="O16860" t="s">
        <v>80901</v>
      </c>
      <c r="Q16860">
        <v>0</v>
      </c>
      <c r="R16860">
        <v>1000</v>
      </c>
      <c r="S16860">
        <v>0</v>
      </c>
      <c r="T16860" t="s">
        <v>80902</v>
      </c>
    </row>
    <row r="16861" spans="1:20" customFormat="1" ht="15" x14ac:dyDescent="0.25">
      <c r="A16861" t="s">
        <v>24</v>
      </c>
      <c r="B16861" t="s">
        <v>675</v>
      </c>
      <c r="C16861" t="str">
        <f>"A0085171"</f>
        <v>A0085171</v>
      </c>
      <c r="D16861" t="s">
        <v>80903</v>
      </c>
      <c r="E16861" t="s">
        <v>80904</v>
      </c>
      <c r="F16861" t="s">
        <v>5742</v>
      </c>
      <c r="G16861" t="s">
        <v>110</v>
      </c>
      <c r="H16861">
        <v>95814</v>
      </c>
      <c r="I16861" t="s">
        <v>30</v>
      </c>
      <c r="J16861" t="s">
        <v>162</v>
      </c>
      <c r="K16861" t="s">
        <v>1502</v>
      </c>
      <c r="N16861" t="s">
        <v>80905</v>
      </c>
      <c r="Q16861">
        <v>0</v>
      </c>
      <c r="R16861">
        <v>503</v>
      </c>
      <c r="S16861">
        <v>0</v>
      </c>
      <c r="T16861" t="s">
        <v>80906</v>
      </c>
    </row>
    <row r="16862" spans="1:20" customFormat="1" ht="15" x14ac:dyDescent="0.25">
      <c r="A16862" t="s">
        <v>24</v>
      </c>
      <c r="B16862" t="s">
        <v>67039</v>
      </c>
      <c r="C16862" t="str">
        <f>"A0072533"</f>
        <v>A0072533</v>
      </c>
      <c r="D16862" t="s">
        <v>80907</v>
      </c>
      <c r="E16862" t="s">
        <v>80908</v>
      </c>
      <c r="F16862" t="s">
        <v>3685</v>
      </c>
      <c r="G16862" t="s">
        <v>214</v>
      </c>
      <c r="H16862">
        <v>27407</v>
      </c>
      <c r="I16862" t="s">
        <v>30</v>
      </c>
      <c r="J16862" t="s">
        <v>162</v>
      </c>
      <c r="K16862" t="s">
        <v>1502</v>
      </c>
      <c r="N16862" t="s">
        <v>68861</v>
      </c>
      <c r="O16862" t="s">
        <v>80909</v>
      </c>
      <c r="Q16862">
        <v>0</v>
      </c>
      <c r="R16862">
        <v>985</v>
      </c>
      <c r="S16862">
        <v>0</v>
      </c>
      <c r="T16862" t="s">
        <v>80910</v>
      </c>
    </row>
    <row r="16863" spans="1:20" customFormat="1" ht="15" x14ac:dyDescent="0.25">
      <c r="A16863" t="s">
        <v>24</v>
      </c>
      <c r="B16863" t="s">
        <v>2812</v>
      </c>
      <c r="C16863" t="str">
        <f>"A0083111"</f>
        <v>A0083111</v>
      </c>
      <c r="D16863" t="s">
        <v>80917</v>
      </c>
      <c r="E16863" t="s">
        <v>80918</v>
      </c>
      <c r="F16863" t="s">
        <v>2443</v>
      </c>
      <c r="G16863" t="s">
        <v>81</v>
      </c>
      <c r="H16863">
        <v>32256</v>
      </c>
      <c r="I16863" t="s">
        <v>30</v>
      </c>
      <c r="J16863" t="s">
        <v>162</v>
      </c>
      <c r="K16863" t="s">
        <v>1502</v>
      </c>
      <c r="N16863" t="s">
        <v>80919</v>
      </c>
      <c r="Q16863">
        <v>0</v>
      </c>
      <c r="R16863">
        <v>159</v>
      </c>
      <c r="S16863">
        <v>0</v>
      </c>
      <c r="T16863" t="s">
        <v>80920</v>
      </c>
    </row>
    <row r="16864" spans="1:20" customFormat="1" ht="15" x14ac:dyDescent="0.25">
      <c r="A16864" t="s">
        <v>24</v>
      </c>
      <c r="B16864" t="s">
        <v>11484</v>
      </c>
      <c r="C16864" t="str">
        <f>"A0056494"</f>
        <v>A0056494</v>
      </c>
      <c r="D16864" t="s">
        <v>80921</v>
      </c>
      <c r="E16864" t="s">
        <v>80922</v>
      </c>
      <c r="F16864" t="s">
        <v>1564</v>
      </c>
      <c r="G16864" t="s">
        <v>52</v>
      </c>
      <c r="H16864">
        <v>77092</v>
      </c>
      <c r="I16864" t="s">
        <v>30</v>
      </c>
      <c r="J16864" t="s">
        <v>162</v>
      </c>
      <c r="K16864" t="s">
        <v>1502</v>
      </c>
      <c r="N16864" t="s">
        <v>80923</v>
      </c>
      <c r="Q16864">
        <v>0</v>
      </c>
      <c r="R16864">
        <v>382</v>
      </c>
      <c r="S16864">
        <v>0</v>
      </c>
      <c r="T16864" t="s">
        <v>80924</v>
      </c>
    </row>
    <row r="16865" spans="1:20" customFormat="1" ht="15" x14ac:dyDescent="0.25">
      <c r="A16865" t="s">
        <v>24</v>
      </c>
      <c r="B16865" t="s">
        <v>675</v>
      </c>
      <c r="C16865" t="str">
        <f>"A0085633"</f>
        <v>A0085633</v>
      </c>
      <c r="D16865" t="s">
        <v>80925</v>
      </c>
      <c r="E16865" t="s">
        <v>80926</v>
      </c>
      <c r="F16865" t="s">
        <v>4082</v>
      </c>
      <c r="G16865" t="s">
        <v>123</v>
      </c>
      <c r="H16865">
        <v>21201</v>
      </c>
      <c r="I16865" t="s">
        <v>30</v>
      </c>
      <c r="J16865" t="s">
        <v>162</v>
      </c>
      <c r="K16865" t="s">
        <v>1502</v>
      </c>
      <c r="N16865" t="s">
        <v>80927</v>
      </c>
      <c r="O16865" t="s">
        <v>80928</v>
      </c>
      <c r="Q16865">
        <v>0</v>
      </c>
      <c r="R16865">
        <v>338</v>
      </c>
      <c r="S16865">
        <v>0</v>
      </c>
      <c r="T16865" t="s">
        <v>80929</v>
      </c>
    </row>
    <row r="16866" spans="1:20" customFormat="1" ht="15" x14ac:dyDescent="0.25">
      <c r="A16866" t="s">
        <v>24</v>
      </c>
      <c r="B16866" t="s">
        <v>675</v>
      </c>
      <c r="C16866" t="str">
        <f>"HY09040"</f>
        <v>HY09040</v>
      </c>
      <c r="D16866" t="s">
        <v>80930</v>
      </c>
      <c r="E16866" t="s">
        <v>80931</v>
      </c>
      <c r="F16866" t="s">
        <v>5107</v>
      </c>
      <c r="G16866" t="s">
        <v>137</v>
      </c>
      <c r="H16866">
        <v>64108</v>
      </c>
      <c r="I16866" t="s">
        <v>30</v>
      </c>
      <c r="J16866" t="s">
        <v>162</v>
      </c>
      <c r="K16866" t="s">
        <v>1502</v>
      </c>
      <c r="N16866" t="s">
        <v>80932</v>
      </c>
      <c r="Q16866">
        <v>0</v>
      </c>
      <c r="R16866">
        <v>720</v>
      </c>
      <c r="S16866">
        <v>0</v>
      </c>
      <c r="T16866" t="s">
        <v>80933</v>
      </c>
    </row>
    <row r="16867" spans="1:20" customFormat="1" ht="15" x14ac:dyDescent="0.25">
      <c r="A16867" t="s">
        <v>24</v>
      </c>
      <c r="B16867" t="s">
        <v>814</v>
      </c>
      <c r="C16867" t="str">
        <f>"A0089766"</f>
        <v>A0089766</v>
      </c>
      <c r="D16867" t="s">
        <v>80934</v>
      </c>
      <c r="E16867" t="s">
        <v>80935</v>
      </c>
      <c r="F16867" t="s">
        <v>56246</v>
      </c>
      <c r="G16867" t="s">
        <v>4815</v>
      </c>
      <c r="H16867">
        <v>96746</v>
      </c>
      <c r="I16867" t="s">
        <v>30</v>
      </c>
      <c r="J16867" t="s">
        <v>162</v>
      </c>
      <c r="K16867" t="s">
        <v>1502</v>
      </c>
      <c r="N16867" t="s">
        <v>80936</v>
      </c>
      <c r="Q16867">
        <v>0</v>
      </c>
      <c r="R16867">
        <v>311</v>
      </c>
      <c r="S16867">
        <v>0</v>
      </c>
      <c r="T16867" t="s">
        <v>80937</v>
      </c>
    </row>
    <row r="16868" spans="1:20" customFormat="1" ht="15" x14ac:dyDescent="0.25">
      <c r="A16868" t="s">
        <v>24</v>
      </c>
      <c r="B16868" t="s">
        <v>675</v>
      </c>
      <c r="C16868" t="str">
        <f>"A0096624"</f>
        <v>A0096624</v>
      </c>
      <c r="D16868" t="s">
        <v>80938</v>
      </c>
      <c r="E16868" t="s">
        <v>80939</v>
      </c>
      <c r="F16868" t="s">
        <v>66972</v>
      </c>
      <c r="G16868" t="s">
        <v>4815</v>
      </c>
      <c r="H16868">
        <v>96756</v>
      </c>
      <c r="I16868" t="s">
        <v>30</v>
      </c>
      <c r="J16868" t="s">
        <v>162</v>
      </c>
      <c r="K16868" t="s">
        <v>1502</v>
      </c>
      <c r="N16868" t="s">
        <v>80940</v>
      </c>
      <c r="O16868" t="s">
        <v>80941</v>
      </c>
      <c r="Q16868">
        <v>0</v>
      </c>
      <c r="R16868">
        <v>391</v>
      </c>
      <c r="S16868">
        <v>0</v>
      </c>
      <c r="T16868" t="s">
        <v>80942</v>
      </c>
    </row>
    <row r="16869" spans="1:20" customFormat="1" ht="15" x14ac:dyDescent="0.25">
      <c r="A16869" t="s">
        <v>24</v>
      </c>
      <c r="B16869" t="s">
        <v>80943</v>
      </c>
      <c r="C16869" t="str">
        <f>"A0083154"</f>
        <v>A0083154</v>
      </c>
      <c r="D16869" t="s">
        <v>80944</v>
      </c>
      <c r="E16869" t="s">
        <v>80945</v>
      </c>
      <c r="F16869" t="s">
        <v>64361</v>
      </c>
      <c r="G16869" t="s">
        <v>110</v>
      </c>
      <c r="H16869">
        <v>92037</v>
      </c>
      <c r="I16869" t="s">
        <v>30</v>
      </c>
      <c r="J16869" t="s">
        <v>162</v>
      </c>
      <c r="K16869" t="s">
        <v>1502</v>
      </c>
      <c r="N16869" t="s">
        <v>80946</v>
      </c>
      <c r="Q16869">
        <v>0</v>
      </c>
      <c r="R16869">
        <v>252</v>
      </c>
      <c r="S16869">
        <v>0</v>
      </c>
      <c r="T16869" t="s">
        <v>80947</v>
      </c>
    </row>
    <row r="16870" spans="1:20" customFormat="1" ht="15" x14ac:dyDescent="0.25">
      <c r="A16870" t="s">
        <v>24</v>
      </c>
      <c r="B16870" t="s">
        <v>80948</v>
      </c>
      <c r="C16870" t="str">
        <f>"A0078022"</f>
        <v>A0078022</v>
      </c>
      <c r="D16870" t="s">
        <v>80949</v>
      </c>
      <c r="E16870" t="s">
        <v>80950</v>
      </c>
      <c r="F16870" t="s">
        <v>4237</v>
      </c>
      <c r="G16870" t="s">
        <v>99</v>
      </c>
      <c r="H16870">
        <v>11354</v>
      </c>
      <c r="I16870" t="s">
        <v>30</v>
      </c>
      <c r="J16870" t="s">
        <v>162</v>
      </c>
      <c r="K16870" t="s">
        <v>1502</v>
      </c>
      <c r="N16870" t="s">
        <v>80951</v>
      </c>
      <c r="O16870" t="s">
        <v>80952</v>
      </c>
      <c r="Q16870">
        <v>0</v>
      </c>
      <c r="R16870">
        <v>173</v>
      </c>
      <c r="S16870">
        <v>0</v>
      </c>
      <c r="T16870" t="s">
        <v>80953</v>
      </c>
    </row>
    <row r="16871" spans="1:20" customFormat="1" ht="15" x14ac:dyDescent="0.25">
      <c r="A16871" t="s">
        <v>24</v>
      </c>
      <c r="B16871" t="s">
        <v>63583</v>
      </c>
      <c r="C16871" t="str">
        <f>"A0099342"</f>
        <v>A0099342</v>
      </c>
      <c r="D16871" t="s">
        <v>80954</v>
      </c>
      <c r="E16871" t="s">
        <v>80955</v>
      </c>
      <c r="F16871" t="s">
        <v>9026</v>
      </c>
      <c r="G16871" t="s">
        <v>110</v>
      </c>
      <c r="H16871">
        <v>91776</v>
      </c>
      <c r="I16871" t="s">
        <v>30</v>
      </c>
      <c r="J16871" t="s">
        <v>162</v>
      </c>
      <c r="K16871" t="s">
        <v>1502</v>
      </c>
      <c r="N16871" t="s">
        <v>80956</v>
      </c>
      <c r="Q16871">
        <v>0</v>
      </c>
      <c r="R16871">
        <v>288</v>
      </c>
      <c r="S16871">
        <v>0</v>
      </c>
      <c r="T16871" t="s">
        <v>80957</v>
      </c>
    </row>
    <row r="16872" spans="1:20" customFormat="1" ht="15" x14ac:dyDescent="0.25">
      <c r="A16872" t="s">
        <v>24</v>
      </c>
      <c r="B16872" t="s">
        <v>675</v>
      </c>
      <c r="C16872" t="str">
        <f>"A0096715"</f>
        <v>A0096715</v>
      </c>
      <c r="D16872" t="s">
        <v>80963</v>
      </c>
      <c r="E16872" t="s">
        <v>80964</v>
      </c>
      <c r="F16872" t="s">
        <v>35740</v>
      </c>
      <c r="G16872" t="s">
        <v>4815</v>
      </c>
      <c r="H16872">
        <v>96761</v>
      </c>
      <c r="I16872" t="s">
        <v>30</v>
      </c>
      <c r="J16872" t="s">
        <v>162</v>
      </c>
      <c r="K16872" t="s">
        <v>1502</v>
      </c>
      <c r="N16872" t="s">
        <v>80965</v>
      </c>
      <c r="Q16872">
        <v>0</v>
      </c>
      <c r="R16872">
        <v>508</v>
      </c>
      <c r="S16872">
        <v>0</v>
      </c>
      <c r="T16872" t="s">
        <v>80966</v>
      </c>
    </row>
    <row r="16873" spans="1:20" customFormat="1" ht="15" x14ac:dyDescent="0.25">
      <c r="A16873" t="s">
        <v>24</v>
      </c>
      <c r="B16873" t="s">
        <v>1020</v>
      </c>
      <c r="C16873" t="str">
        <f>"A0059971"</f>
        <v>A0059971</v>
      </c>
      <c r="D16873" t="s">
        <v>80967</v>
      </c>
      <c r="E16873" t="s">
        <v>80968</v>
      </c>
      <c r="F16873" t="s">
        <v>1889</v>
      </c>
      <c r="G16873" t="s">
        <v>81</v>
      </c>
      <c r="H16873">
        <v>33142</v>
      </c>
      <c r="I16873" t="s">
        <v>30</v>
      </c>
      <c r="J16873" t="s">
        <v>162</v>
      </c>
      <c r="K16873" t="s">
        <v>1502</v>
      </c>
      <c r="N16873" t="s">
        <v>80969</v>
      </c>
      <c r="O16873" t="s">
        <v>80970</v>
      </c>
      <c r="Q16873">
        <v>0</v>
      </c>
      <c r="R16873">
        <v>405</v>
      </c>
      <c r="S16873">
        <v>0</v>
      </c>
      <c r="T16873" t="s">
        <v>80971</v>
      </c>
    </row>
    <row r="16874" spans="1:20" customFormat="1" ht="15" x14ac:dyDescent="0.25">
      <c r="A16874" t="s">
        <v>24</v>
      </c>
      <c r="B16874" t="s">
        <v>2221</v>
      </c>
      <c r="C16874" t="str">
        <f>"A0058867"</f>
        <v>A0058867</v>
      </c>
      <c r="D16874" t="s">
        <v>80972</v>
      </c>
      <c r="E16874" t="s">
        <v>80973</v>
      </c>
      <c r="F16874" t="s">
        <v>80974</v>
      </c>
      <c r="G16874" t="s">
        <v>161</v>
      </c>
      <c r="H16874">
        <v>55305</v>
      </c>
      <c r="I16874" t="s">
        <v>30</v>
      </c>
      <c r="J16874" t="s">
        <v>162</v>
      </c>
      <c r="K16874" t="s">
        <v>1502</v>
      </c>
      <c r="N16874" t="s">
        <v>80975</v>
      </c>
      <c r="Q16874">
        <v>0</v>
      </c>
      <c r="R16874">
        <v>222</v>
      </c>
      <c r="S16874">
        <v>0</v>
      </c>
      <c r="T16874" t="s">
        <v>80976</v>
      </c>
    </row>
    <row r="16875" spans="1:20" customFormat="1" ht="15" x14ac:dyDescent="0.25">
      <c r="A16875" t="s">
        <v>24</v>
      </c>
      <c r="B16875" t="s">
        <v>2221</v>
      </c>
      <c r="C16875" t="str">
        <f>"A0084014"</f>
        <v>A0084014</v>
      </c>
      <c r="D16875" t="s">
        <v>80977</v>
      </c>
      <c r="E16875" t="s">
        <v>80978</v>
      </c>
      <c r="F16875" t="s">
        <v>1439</v>
      </c>
      <c r="G16875" t="s">
        <v>110</v>
      </c>
      <c r="H16875">
        <v>92108</v>
      </c>
      <c r="I16875" t="s">
        <v>30</v>
      </c>
      <c r="J16875" t="s">
        <v>162</v>
      </c>
      <c r="K16875" t="s">
        <v>1502</v>
      </c>
      <c r="N16875" t="s">
        <v>80979</v>
      </c>
      <c r="Q16875">
        <v>0</v>
      </c>
      <c r="R16875">
        <v>260</v>
      </c>
      <c r="S16875">
        <v>0</v>
      </c>
      <c r="T16875" t="s">
        <v>80980</v>
      </c>
    </row>
    <row r="16876" spans="1:20" customFormat="1" ht="15" x14ac:dyDescent="0.25">
      <c r="A16876" t="s">
        <v>24</v>
      </c>
      <c r="B16876" t="s">
        <v>2373</v>
      </c>
      <c r="C16876" t="str">
        <f>"A0073577"</f>
        <v>A0073577</v>
      </c>
      <c r="D16876" t="s">
        <v>80986</v>
      </c>
      <c r="E16876" t="s">
        <v>80987</v>
      </c>
      <c r="F16876" t="s">
        <v>2971</v>
      </c>
      <c r="G16876" t="s">
        <v>880</v>
      </c>
      <c r="H16876">
        <v>37214</v>
      </c>
      <c r="I16876" t="s">
        <v>30</v>
      </c>
      <c r="J16876" t="s">
        <v>162</v>
      </c>
      <c r="K16876" t="s">
        <v>1502</v>
      </c>
      <c r="N16876" t="s">
        <v>80988</v>
      </c>
      <c r="Q16876">
        <v>0</v>
      </c>
      <c r="R16876">
        <v>410</v>
      </c>
      <c r="S16876">
        <v>0</v>
      </c>
      <c r="T16876" t="s">
        <v>80989</v>
      </c>
    </row>
    <row r="16877" spans="1:20" customFormat="1" ht="15" x14ac:dyDescent="0.25">
      <c r="A16877" t="s">
        <v>24</v>
      </c>
      <c r="B16877" t="s">
        <v>54771</v>
      </c>
      <c r="C16877" t="str">
        <f>"A0086877"</f>
        <v>A0086877</v>
      </c>
      <c r="D16877" t="s">
        <v>80990</v>
      </c>
      <c r="E16877" t="s">
        <v>80991</v>
      </c>
      <c r="F16877" t="s">
        <v>26283</v>
      </c>
      <c r="G16877" t="s">
        <v>899</v>
      </c>
      <c r="H16877">
        <v>2494</v>
      </c>
      <c r="I16877" t="s">
        <v>30</v>
      </c>
      <c r="J16877" t="s">
        <v>162</v>
      </c>
      <c r="K16877" t="s">
        <v>1502</v>
      </c>
      <c r="N16877" t="s">
        <v>80992</v>
      </c>
      <c r="O16877" t="s">
        <v>80993</v>
      </c>
      <c r="Q16877">
        <v>0</v>
      </c>
      <c r="R16877">
        <v>247</v>
      </c>
      <c r="S16877">
        <v>0</v>
      </c>
      <c r="T16877" t="s">
        <v>80994</v>
      </c>
    </row>
    <row r="16878" spans="1:20" customFormat="1" ht="15" x14ac:dyDescent="0.25">
      <c r="A16878" t="s">
        <v>24</v>
      </c>
      <c r="B16878" t="s">
        <v>675</v>
      </c>
      <c r="C16878" t="str">
        <f>"A0096706"</f>
        <v>A0096706</v>
      </c>
      <c r="D16878" t="s">
        <v>80995</v>
      </c>
      <c r="E16878" t="s">
        <v>80996</v>
      </c>
      <c r="F16878" t="s">
        <v>2069</v>
      </c>
      <c r="G16878" t="s">
        <v>1170</v>
      </c>
      <c r="H16878">
        <v>70130</v>
      </c>
      <c r="I16878" t="s">
        <v>30</v>
      </c>
      <c r="J16878" t="s">
        <v>162</v>
      </c>
      <c r="K16878" t="s">
        <v>1502</v>
      </c>
      <c r="N16878" t="s">
        <v>80997</v>
      </c>
      <c r="Q16878">
        <v>0</v>
      </c>
      <c r="R16878">
        <v>1110</v>
      </c>
      <c r="S16878">
        <v>0</v>
      </c>
      <c r="T16878" t="s">
        <v>80998</v>
      </c>
    </row>
    <row r="16879" spans="1:20" customFormat="1" ht="15" x14ac:dyDescent="0.25">
      <c r="A16879" t="s">
        <v>24</v>
      </c>
      <c r="B16879" t="s">
        <v>675</v>
      </c>
      <c r="C16879" t="str">
        <f>"A0078025"</f>
        <v>A0078025</v>
      </c>
      <c r="D16879" t="s">
        <v>80999</v>
      </c>
      <c r="E16879" t="s">
        <v>81000</v>
      </c>
      <c r="F16879" t="s">
        <v>23833</v>
      </c>
      <c r="G16879" t="s">
        <v>99</v>
      </c>
      <c r="H16879">
        <v>10019</v>
      </c>
      <c r="I16879" t="s">
        <v>30</v>
      </c>
      <c r="J16879" t="s">
        <v>162</v>
      </c>
      <c r="K16879" t="s">
        <v>1502</v>
      </c>
      <c r="N16879" t="s">
        <v>81001</v>
      </c>
      <c r="O16879" t="s">
        <v>81002</v>
      </c>
      <c r="Q16879">
        <v>0</v>
      </c>
      <c r="R16879">
        <v>1780</v>
      </c>
      <c r="S16879">
        <v>0</v>
      </c>
      <c r="T16879" t="s">
        <v>81003</v>
      </c>
    </row>
    <row r="16880" spans="1:20" customFormat="1" ht="15" x14ac:dyDescent="0.25">
      <c r="A16880" t="s">
        <v>24</v>
      </c>
      <c r="B16880" t="s">
        <v>56277</v>
      </c>
      <c r="C16880" t="str">
        <f>"A0069005"</f>
        <v>A0069005</v>
      </c>
      <c r="D16880" t="s">
        <v>81004</v>
      </c>
      <c r="E16880" t="s">
        <v>81005</v>
      </c>
      <c r="F16880" t="s">
        <v>61274</v>
      </c>
      <c r="G16880" t="s">
        <v>29</v>
      </c>
      <c r="H16880">
        <v>23510</v>
      </c>
      <c r="I16880" t="s">
        <v>30</v>
      </c>
      <c r="J16880" t="s">
        <v>162</v>
      </c>
      <c r="K16880" t="s">
        <v>1502</v>
      </c>
      <c r="N16880" t="s">
        <v>81006</v>
      </c>
      <c r="O16880" t="s">
        <v>68887</v>
      </c>
      <c r="Q16880">
        <v>0</v>
      </c>
      <c r="R16880">
        <v>445</v>
      </c>
      <c r="S16880">
        <v>0</v>
      </c>
      <c r="T16880" t="s">
        <v>81007</v>
      </c>
    </row>
    <row r="16881" spans="1:20" customFormat="1" ht="15" x14ac:dyDescent="0.25">
      <c r="A16881" t="s">
        <v>24</v>
      </c>
      <c r="B16881" t="s">
        <v>1548</v>
      </c>
      <c r="C16881" t="str">
        <f>"A0056767"</f>
        <v>A0056767</v>
      </c>
      <c r="D16881" t="s">
        <v>81008</v>
      </c>
      <c r="E16881" t="s">
        <v>81009</v>
      </c>
      <c r="F16881" t="s">
        <v>866</v>
      </c>
      <c r="G16881" t="s">
        <v>40</v>
      </c>
      <c r="H16881">
        <v>73102</v>
      </c>
      <c r="I16881" t="s">
        <v>30</v>
      </c>
      <c r="J16881" t="s">
        <v>162</v>
      </c>
      <c r="K16881" t="s">
        <v>1502</v>
      </c>
      <c r="N16881" t="s">
        <v>81010</v>
      </c>
      <c r="Q16881">
        <v>0</v>
      </c>
      <c r="R16881">
        <v>396</v>
      </c>
      <c r="S16881">
        <v>0</v>
      </c>
      <c r="T16881" t="s">
        <v>81011</v>
      </c>
    </row>
    <row r="16882" spans="1:20" customFormat="1" ht="15" x14ac:dyDescent="0.25">
      <c r="A16882" t="s">
        <v>24</v>
      </c>
      <c r="B16882" t="s">
        <v>675</v>
      </c>
      <c r="C16882" t="str">
        <f>"A0085167"</f>
        <v>A0085167</v>
      </c>
      <c r="D16882" t="s">
        <v>81018</v>
      </c>
      <c r="E16882" t="s">
        <v>81019</v>
      </c>
      <c r="F16882" t="s">
        <v>13127</v>
      </c>
      <c r="G16882" t="s">
        <v>925</v>
      </c>
      <c r="H16882">
        <v>66211</v>
      </c>
      <c r="I16882" t="s">
        <v>30</v>
      </c>
      <c r="J16882" t="s">
        <v>162</v>
      </c>
      <c r="K16882" t="s">
        <v>1502</v>
      </c>
      <c r="N16882" t="s">
        <v>81020</v>
      </c>
      <c r="Q16882">
        <v>0</v>
      </c>
      <c r="R16882">
        <v>412</v>
      </c>
      <c r="S16882">
        <v>0</v>
      </c>
      <c r="T16882" t="s">
        <v>81021</v>
      </c>
    </row>
    <row r="16883" spans="1:20" customFormat="1" ht="15" x14ac:dyDescent="0.25">
      <c r="A16883" t="s">
        <v>24</v>
      </c>
      <c r="B16883" t="s">
        <v>66542</v>
      </c>
      <c r="C16883" t="str">
        <f>"88SH004"</f>
        <v>88SH004</v>
      </c>
      <c r="D16883" t="s">
        <v>81022</v>
      </c>
      <c r="E16883" t="s">
        <v>81023</v>
      </c>
      <c r="F16883" t="s">
        <v>5374</v>
      </c>
      <c r="G16883" t="s">
        <v>110</v>
      </c>
      <c r="H16883">
        <v>94301</v>
      </c>
      <c r="I16883" t="s">
        <v>30</v>
      </c>
      <c r="J16883" t="s">
        <v>162</v>
      </c>
      <c r="K16883" t="s">
        <v>1502</v>
      </c>
      <c r="N16883" t="s">
        <v>81024</v>
      </c>
      <c r="O16883" t="s">
        <v>81025</v>
      </c>
      <c r="Q16883">
        <v>0</v>
      </c>
      <c r="R16883">
        <v>348</v>
      </c>
      <c r="S16883">
        <v>0</v>
      </c>
      <c r="T16883" t="s">
        <v>81026</v>
      </c>
    </row>
    <row r="16884" spans="1:20" customFormat="1" ht="15" x14ac:dyDescent="0.25">
      <c r="A16884" t="s">
        <v>24</v>
      </c>
      <c r="B16884" t="s">
        <v>1548</v>
      </c>
      <c r="C16884" t="str">
        <f>"A0094242"</f>
        <v>A0094242</v>
      </c>
      <c r="D16884" t="s">
        <v>81027</v>
      </c>
      <c r="E16884" t="s">
        <v>81028</v>
      </c>
      <c r="F16884" t="s">
        <v>75150</v>
      </c>
      <c r="G16884" t="s">
        <v>81</v>
      </c>
      <c r="H16884">
        <v>32408</v>
      </c>
      <c r="I16884" t="s">
        <v>30</v>
      </c>
      <c r="J16884" t="s">
        <v>162</v>
      </c>
      <c r="K16884" t="s">
        <v>1502</v>
      </c>
      <c r="N16884" t="s">
        <v>81029</v>
      </c>
      <c r="Q16884">
        <v>0</v>
      </c>
      <c r="R16884">
        <v>320</v>
      </c>
      <c r="S16884">
        <v>0</v>
      </c>
      <c r="T16884" t="s">
        <v>81030</v>
      </c>
    </row>
    <row r="16885" spans="1:20" customFormat="1" ht="15" x14ac:dyDescent="0.25">
      <c r="A16885" t="s">
        <v>24</v>
      </c>
      <c r="B16885" t="s">
        <v>2373</v>
      </c>
      <c r="C16885" t="str">
        <f>"A0085408"</f>
        <v>A0085408</v>
      </c>
      <c r="D16885" t="s">
        <v>81038</v>
      </c>
      <c r="E16885" t="s">
        <v>81039</v>
      </c>
      <c r="F16885" t="s">
        <v>67638</v>
      </c>
      <c r="G16885" t="s">
        <v>338</v>
      </c>
      <c r="H16885">
        <v>7054</v>
      </c>
      <c r="I16885" t="s">
        <v>30</v>
      </c>
      <c r="J16885" t="s">
        <v>162</v>
      </c>
      <c r="K16885" t="s">
        <v>1502</v>
      </c>
      <c r="N16885" t="s">
        <v>81040</v>
      </c>
      <c r="O16885" t="s">
        <v>81041</v>
      </c>
      <c r="Q16885">
        <v>0</v>
      </c>
      <c r="R16885">
        <v>370</v>
      </c>
      <c r="S16885">
        <v>0</v>
      </c>
      <c r="T16885" t="s">
        <v>81042</v>
      </c>
    </row>
    <row r="16886" spans="1:20" customFormat="1" ht="15" x14ac:dyDescent="0.25">
      <c r="A16886" t="s">
        <v>24</v>
      </c>
      <c r="B16886" t="s">
        <v>2373</v>
      </c>
      <c r="C16886" t="str">
        <f>"A0085494"</f>
        <v>A0085494</v>
      </c>
      <c r="D16886" t="s">
        <v>81043</v>
      </c>
      <c r="E16886" t="s">
        <v>81044</v>
      </c>
      <c r="F16886" t="s">
        <v>13792</v>
      </c>
      <c r="G16886" t="s">
        <v>29</v>
      </c>
      <c r="H16886">
        <v>22204</v>
      </c>
      <c r="I16886" t="s">
        <v>30</v>
      </c>
      <c r="J16886" t="s">
        <v>162</v>
      </c>
      <c r="K16886" t="s">
        <v>1502</v>
      </c>
      <c r="N16886" t="s">
        <v>81045</v>
      </c>
      <c r="O16886" t="s">
        <v>68834</v>
      </c>
      <c r="Q16886">
        <v>0</v>
      </c>
      <c r="R16886">
        <v>416</v>
      </c>
      <c r="S16886">
        <v>0</v>
      </c>
      <c r="T16886" t="s">
        <v>81046</v>
      </c>
    </row>
    <row r="16887" spans="1:20" customFormat="1" ht="15" x14ac:dyDescent="0.25">
      <c r="A16887" t="s">
        <v>24</v>
      </c>
      <c r="B16887" t="s">
        <v>814</v>
      </c>
      <c r="C16887" t="str">
        <f>"A0095703"</f>
        <v>A0095703</v>
      </c>
      <c r="D16887" t="s">
        <v>81051</v>
      </c>
      <c r="E16887" t="s">
        <v>81052</v>
      </c>
      <c r="F16887" t="s">
        <v>9812</v>
      </c>
      <c r="G16887" t="s">
        <v>103</v>
      </c>
      <c r="H16887">
        <v>19104</v>
      </c>
      <c r="I16887" t="s">
        <v>30</v>
      </c>
      <c r="J16887" t="s">
        <v>162</v>
      </c>
      <c r="K16887" t="s">
        <v>1502</v>
      </c>
      <c r="N16887" t="s">
        <v>81053</v>
      </c>
      <c r="Q16887">
        <v>0</v>
      </c>
      <c r="R16887">
        <v>332</v>
      </c>
      <c r="S16887">
        <v>0</v>
      </c>
      <c r="T16887" t="s">
        <v>81054</v>
      </c>
    </row>
    <row r="16888" spans="1:20" customFormat="1" ht="15" x14ac:dyDescent="0.25">
      <c r="A16888" t="s">
        <v>24</v>
      </c>
      <c r="B16888" t="s">
        <v>3159</v>
      </c>
      <c r="C16888" t="str">
        <f>"SF05932"</f>
        <v>SF05932</v>
      </c>
      <c r="D16888" t="s">
        <v>81055</v>
      </c>
      <c r="E16888" t="s">
        <v>81056</v>
      </c>
      <c r="F16888" t="s">
        <v>271</v>
      </c>
      <c r="G16888" t="s">
        <v>103</v>
      </c>
      <c r="H16888">
        <v>15108</v>
      </c>
      <c r="I16888" t="s">
        <v>30</v>
      </c>
      <c r="J16888" t="s">
        <v>162</v>
      </c>
      <c r="K16888" t="s">
        <v>1502</v>
      </c>
      <c r="N16888" t="s">
        <v>81057</v>
      </c>
      <c r="Q16888">
        <v>0</v>
      </c>
      <c r="R16888">
        <v>200</v>
      </c>
      <c r="S16888">
        <v>0</v>
      </c>
      <c r="T16888" t="s">
        <v>81058</v>
      </c>
    </row>
    <row r="16889" spans="1:20" customFormat="1" ht="15" x14ac:dyDescent="0.25">
      <c r="A16889" t="s">
        <v>24</v>
      </c>
      <c r="B16889" t="s">
        <v>675</v>
      </c>
      <c r="C16889" t="str">
        <f>"A0096712"</f>
        <v>A0096712</v>
      </c>
      <c r="D16889" t="s">
        <v>81059</v>
      </c>
      <c r="E16889" t="s">
        <v>81060</v>
      </c>
      <c r="F16889" t="s">
        <v>13767</v>
      </c>
      <c r="G16889" t="s">
        <v>4815</v>
      </c>
      <c r="H16889">
        <v>96815</v>
      </c>
      <c r="I16889" t="s">
        <v>30</v>
      </c>
      <c r="J16889" t="s">
        <v>162</v>
      </c>
      <c r="K16889" t="s">
        <v>1502</v>
      </c>
      <c r="N16889" t="s">
        <v>81061</v>
      </c>
      <c r="Q16889">
        <v>0</v>
      </c>
      <c r="R16889">
        <v>1139</v>
      </c>
      <c r="S16889">
        <v>0</v>
      </c>
      <c r="T16889" t="s">
        <v>81062</v>
      </c>
    </row>
    <row r="16890" spans="1:20" customFormat="1" ht="15" x14ac:dyDescent="0.25">
      <c r="A16890" t="s">
        <v>24</v>
      </c>
      <c r="B16890" t="s">
        <v>10398</v>
      </c>
      <c r="C16890" t="str">
        <f>"A0098248"</f>
        <v>A0098248</v>
      </c>
      <c r="D16890" t="s">
        <v>81067</v>
      </c>
      <c r="E16890" t="s">
        <v>81068</v>
      </c>
      <c r="F16890" t="s">
        <v>65426</v>
      </c>
      <c r="G16890" t="s">
        <v>110</v>
      </c>
      <c r="H16890">
        <v>96003</v>
      </c>
      <c r="I16890" t="s">
        <v>30</v>
      </c>
      <c r="J16890" t="s">
        <v>162</v>
      </c>
      <c r="K16890" t="s">
        <v>1502</v>
      </c>
      <c r="N16890" t="s">
        <v>81069</v>
      </c>
      <c r="Q16890">
        <v>0</v>
      </c>
      <c r="R16890">
        <v>130</v>
      </c>
      <c r="S16890">
        <v>0</v>
      </c>
      <c r="T16890" t="s">
        <v>81070</v>
      </c>
    </row>
    <row r="16891" spans="1:20" customFormat="1" ht="15" x14ac:dyDescent="0.25">
      <c r="A16891" t="s">
        <v>24</v>
      </c>
      <c r="B16891" t="s">
        <v>9524</v>
      </c>
      <c r="C16891" t="str">
        <f>"A0083311"</f>
        <v>A0083311</v>
      </c>
      <c r="D16891" t="s">
        <v>81079</v>
      </c>
      <c r="E16891" t="s">
        <v>81080</v>
      </c>
      <c r="F16891" t="s">
        <v>1439</v>
      </c>
      <c r="G16891" t="s">
        <v>110</v>
      </c>
      <c r="H16891">
        <v>92101</v>
      </c>
      <c r="I16891" t="s">
        <v>30</v>
      </c>
      <c r="J16891" t="s">
        <v>162</v>
      </c>
      <c r="K16891" t="s">
        <v>1502</v>
      </c>
      <c r="N16891" t="s">
        <v>81081</v>
      </c>
      <c r="O16891" t="s">
        <v>81082</v>
      </c>
      <c r="Q16891">
        <v>0</v>
      </c>
      <c r="R16891">
        <v>1053</v>
      </c>
      <c r="S16891">
        <v>0</v>
      </c>
      <c r="T16891" t="s">
        <v>81083</v>
      </c>
    </row>
    <row r="16892" spans="1:20" customFormat="1" ht="15" x14ac:dyDescent="0.25">
      <c r="A16892" t="s">
        <v>24</v>
      </c>
      <c r="B16892" t="s">
        <v>675</v>
      </c>
      <c r="C16892" t="str">
        <f>"A0059715"</f>
        <v>A0059715</v>
      </c>
      <c r="D16892" t="s">
        <v>81089</v>
      </c>
      <c r="E16892" t="s">
        <v>81090</v>
      </c>
      <c r="F16892" t="s">
        <v>2900</v>
      </c>
      <c r="G16892" t="s">
        <v>76</v>
      </c>
      <c r="H16892">
        <v>98101</v>
      </c>
      <c r="I16892" t="s">
        <v>30</v>
      </c>
      <c r="J16892" t="s">
        <v>162</v>
      </c>
      <c r="K16892" t="s">
        <v>1502</v>
      </c>
      <c r="N16892" t="s">
        <v>81091</v>
      </c>
      <c r="O16892" t="s">
        <v>81092</v>
      </c>
      <c r="Q16892">
        <v>0</v>
      </c>
      <c r="R16892">
        <v>1236</v>
      </c>
      <c r="S16892">
        <v>0</v>
      </c>
      <c r="T16892" t="s">
        <v>81093</v>
      </c>
    </row>
    <row r="16893" spans="1:20" customFormat="1" ht="15" x14ac:dyDescent="0.25">
      <c r="A16893" t="s">
        <v>24</v>
      </c>
      <c r="B16893" t="s">
        <v>56277</v>
      </c>
      <c r="C16893" t="str">
        <f>"A0055848"</f>
        <v>A0055848</v>
      </c>
      <c r="D16893" t="s">
        <v>81094</v>
      </c>
      <c r="E16893" t="s">
        <v>81095</v>
      </c>
      <c r="F16893" t="s">
        <v>65531</v>
      </c>
      <c r="G16893" t="s">
        <v>3236</v>
      </c>
      <c r="H16893">
        <v>57104</v>
      </c>
      <c r="I16893" t="s">
        <v>30</v>
      </c>
      <c r="J16893" t="s">
        <v>162</v>
      </c>
      <c r="K16893" t="s">
        <v>1502</v>
      </c>
      <c r="N16893" t="s">
        <v>81096</v>
      </c>
      <c r="O16893" t="s">
        <v>81097</v>
      </c>
      <c r="Q16893">
        <v>0</v>
      </c>
      <c r="R16893">
        <v>243</v>
      </c>
      <c r="S16893">
        <v>0</v>
      </c>
      <c r="T16893" t="s">
        <v>81098</v>
      </c>
    </row>
    <row r="16894" spans="1:20" customFormat="1" ht="15" x14ac:dyDescent="0.25">
      <c r="A16894" t="s">
        <v>24</v>
      </c>
      <c r="B16894" t="s">
        <v>55875</v>
      </c>
      <c r="C16894" t="str">
        <f>"A0078414"</f>
        <v>A0078414</v>
      </c>
      <c r="D16894" t="s">
        <v>81099</v>
      </c>
      <c r="E16894" t="s">
        <v>81100</v>
      </c>
      <c r="F16894" t="s">
        <v>81101</v>
      </c>
      <c r="G16894" t="s">
        <v>110</v>
      </c>
      <c r="H16894">
        <v>94954</v>
      </c>
      <c r="I16894" t="s">
        <v>30</v>
      </c>
      <c r="J16894" t="s">
        <v>162</v>
      </c>
      <c r="K16894" t="s">
        <v>1502</v>
      </c>
      <c r="N16894" t="s">
        <v>81102</v>
      </c>
      <c r="Q16894">
        <v>0</v>
      </c>
      <c r="R16894">
        <v>184</v>
      </c>
      <c r="S16894">
        <v>0</v>
      </c>
      <c r="T16894" t="s">
        <v>81103</v>
      </c>
    </row>
    <row r="16895" spans="1:20" customFormat="1" ht="15" x14ac:dyDescent="0.25">
      <c r="A16895" t="s">
        <v>24</v>
      </c>
      <c r="B16895" t="s">
        <v>81104</v>
      </c>
      <c r="C16895" t="str">
        <f>"A0098653"</f>
        <v>A0098653</v>
      </c>
      <c r="D16895" t="s">
        <v>81105</v>
      </c>
      <c r="E16895" t="s">
        <v>81106</v>
      </c>
      <c r="F16895" t="s">
        <v>3837</v>
      </c>
      <c r="G16895" t="s">
        <v>899</v>
      </c>
      <c r="H16895">
        <v>1144</v>
      </c>
      <c r="I16895" t="s">
        <v>30</v>
      </c>
      <c r="J16895" t="s">
        <v>162</v>
      </c>
      <c r="K16895" t="s">
        <v>1502</v>
      </c>
      <c r="N16895" t="s">
        <v>81107</v>
      </c>
      <c r="Q16895">
        <v>0</v>
      </c>
      <c r="R16895">
        <v>325</v>
      </c>
      <c r="S16895">
        <v>0</v>
      </c>
      <c r="T16895" t="s">
        <v>81108</v>
      </c>
    </row>
    <row r="16896" spans="1:20" customFormat="1" ht="15" x14ac:dyDescent="0.25">
      <c r="A16896" t="s">
        <v>24</v>
      </c>
      <c r="B16896" t="s">
        <v>4400</v>
      </c>
      <c r="C16896" t="str">
        <f>"A0091928"</f>
        <v>A0091928</v>
      </c>
      <c r="D16896" t="s">
        <v>81109</v>
      </c>
      <c r="E16896" t="s">
        <v>81110</v>
      </c>
      <c r="F16896" t="s">
        <v>60297</v>
      </c>
      <c r="G16896" t="s">
        <v>161</v>
      </c>
      <c r="H16896">
        <v>55125</v>
      </c>
      <c r="I16896" t="s">
        <v>30</v>
      </c>
      <c r="J16896" t="s">
        <v>162</v>
      </c>
      <c r="K16896" t="s">
        <v>1502</v>
      </c>
      <c r="Q16896">
        <v>0</v>
      </c>
      <c r="R16896">
        <v>150</v>
      </c>
      <c r="S16896">
        <v>0</v>
      </c>
      <c r="T16896" t="s">
        <v>81111</v>
      </c>
    </row>
    <row r="16897" spans="1:20" customFormat="1" ht="15" x14ac:dyDescent="0.25">
      <c r="A16897" t="s">
        <v>24</v>
      </c>
      <c r="B16897" t="s">
        <v>1583</v>
      </c>
      <c r="C16897" t="str">
        <f>"A0069497"</f>
        <v>A0069497</v>
      </c>
      <c r="D16897" t="s">
        <v>81112</v>
      </c>
      <c r="E16897" t="s">
        <v>81113</v>
      </c>
      <c r="F16897" t="s">
        <v>79973</v>
      </c>
      <c r="G16897" t="s">
        <v>190</v>
      </c>
      <c r="H16897">
        <v>80487</v>
      </c>
      <c r="I16897" t="s">
        <v>30</v>
      </c>
      <c r="J16897" t="s">
        <v>162</v>
      </c>
      <c r="K16897" t="s">
        <v>80774</v>
      </c>
      <c r="N16897" t="s">
        <v>81114</v>
      </c>
      <c r="O16897" t="s">
        <v>81115</v>
      </c>
      <c r="P16897" t="s">
        <v>3998</v>
      </c>
      <c r="Q16897">
        <v>1</v>
      </c>
      <c r="R16897">
        <v>204</v>
      </c>
      <c r="S16897">
        <v>0</v>
      </c>
      <c r="T16897" t="s">
        <v>81116</v>
      </c>
    </row>
    <row r="16898" spans="1:20" customFormat="1" ht="15" x14ac:dyDescent="0.25">
      <c r="A16898" t="s">
        <v>24</v>
      </c>
      <c r="B16898" t="s">
        <v>762</v>
      </c>
      <c r="C16898" t="str">
        <f>"A0096707"</f>
        <v>A0096707</v>
      </c>
      <c r="D16898" t="s">
        <v>81117</v>
      </c>
      <c r="E16898" t="s">
        <v>81118</v>
      </c>
      <c r="F16898" t="s">
        <v>2083</v>
      </c>
      <c r="G16898" t="s">
        <v>52</v>
      </c>
      <c r="H16898">
        <v>75034</v>
      </c>
      <c r="I16898" t="s">
        <v>30</v>
      </c>
      <c r="J16898" t="s">
        <v>162</v>
      </c>
      <c r="K16898" t="s">
        <v>1502</v>
      </c>
      <c r="N16898" t="s">
        <v>81119</v>
      </c>
      <c r="O16898" t="s">
        <v>81120</v>
      </c>
      <c r="Q16898">
        <v>0</v>
      </c>
      <c r="R16898">
        <v>119</v>
      </c>
      <c r="S16898">
        <v>0</v>
      </c>
      <c r="T16898" t="s">
        <v>81121</v>
      </c>
    </row>
    <row r="16899" spans="1:20" customFormat="1" ht="15" x14ac:dyDescent="0.25">
      <c r="A16899" t="s">
        <v>24</v>
      </c>
      <c r="B16899" t="s">
        <v>57556</v>
      </c>
      <c r="C16899" t="str">
        <f>"A0084343"</f>
        <v>A0084343</v>
      </c>
      <c r="D16899" t="s">
        <v>81128</v>
      </c>
      <c r="E16899" t="s">
        <v>81129</v>
      </c>
      <c r="F16899" t="s">
        <v>1525</v>
      </c>
      <c r="G16899" t="s">
        <v>65</v>
      </c>
      <c r="H16899">
        <v>43235</v>
      </c>
      <c r="I16899" t="s">
        <v>30</v>
      </c>
      <c r="J16899" t="s">
        <v>162</v>
      </c>
      <c r="K16899" t="s">
        <v>1502</v>
      </c>
      <c r="N16899" t="s">
        <v>81130</v>
      </c>
      <c r="O16899" t="s">
        <v>81131</v>
      </c>
      <c r="Q16899">
        <v>0</v>
      </c>
      <c r="R16899">
        <v>259</v>
      </c>
      <c r="S16899">
        <v>0</v>
      </c>
      <c r="T16899" t="s">
        <v>81132</v>
      </c>
    </row>
    <row r="16900" spans="1:20" customFormat="1" ht="15" x14ac:dyDescent="0.25">
      <c r="A16900" t="s">
        <v>24</v>
      </c>
      <c r="B16900" t="s">
        <v>66549</v>
      </c>
      <c r="C16900" t="str">
        <f>"A0086050"</f>
        <v>A0086050</v>
      </c>
      <c r="D16900" t="s">
        <v>81133</v>
      </c>
      <c r="E16900" t="s">
        <v>81134</v>
      </c>
      <c r="F16900" t="s">
        <v>77409</v>
      </c>
      <c r="G16900" t="s">
        <v>81</v>
      </c>
      <c r="H16900">
        <v>33309</v>
      </c>
      <c r="I16900" t="s">
        <v>30</v>
      </c>
      <c r="J16900" t="s">
        <v>162</v>
      </c>
      <c r="K16900" t="s">
        <v>1502</v>
      </c>
      <c r="N16900" t="s">
        <v>81135</v>
      </c>
      <c r="O16900" t="s">
        <v>81136</v>
      </c>
      <c r="Q16900">
        <v>0</v>
      </c>
      <c r="R16900">
        <v>250</v>
      </c>
      <c r="S16900">
        <v>0</v>
      </c>
      <c r="T16900" t="s">
        <v>81137</v>
      </c>
    </row>
    <row r="16901" spans="1:20" customFormat="1" ht="15" x14ac:dyDescent="0.25">
      <c r="A16901" t="s">
        <v>24</v>
      </c>
      <c r="B16901" t="s">
        <v>2812</v>
      </c>
      <c r="C16901" t="str">
        <f>"A0059562"</f>
        <v>A0059562</v>
      </c>
      <c r="D16901" t="s">
        <v>81138</v>
      </c>
      <c r="E16901" t="s">
        <v>81139</v>
      </c>
      <c r="F16901" t="s">
        <v>8801</v>
      </c>
      <c r="G16901" t="s">
        <v>81</v>
      </c>
      <c r="H16901">
        <v>33324</v>
      </c>
      <c r="I16901" t="s">
        <v>30</v>
      </c>
      <c r="J16901" t="s">
        <v>162</v>
      </c>
      <c r="K16901" t="s">
        <v>1502</v>
      </c>
      <c r="N16901" t="s">
        <v>81140</v>
      </c>
      <c r="O16901" t="s">
        <v>81141</v>
      </c>
      <c r="Q16901">
        <v>0</v>
      </c>
      <c r="R16901">
        <v>263</v>
      </c>
      <c r="S16901">
        <v>0</v>
      </c>
      <c r="T16901" t="s">
        <v>81142</v>
      </c>
    </row>
    <row r="16902" spans="1:20" customFormat="1" ht="15" x14ac:dyDescent="0.25">
      <c r="A16902" t="s">
        <v>24</v>
      </c>
      <c r="B16902" t="s">
        <v>1205</v>
      </c>
      <c r="C16902" t="str">
        <f>"A0090503"</f>
        <v>A0090503</v>
      </c>
      <c r="D16902" t="s">
        <v>81143</v>
      </c>
      <c r="E16902" t="s">
        <v>81144</v>
      </c>
      <c r="F16902" t="s">
        <v>845</v>
      </c>
      <c r="G16902" t="s">
        <v>846</v>
      </c>
      <c r="H16902">
        <v>30339</v>
      </c>
      <c r="I16902" t="s">
        <v>30</v>
      </c>
      <c r="J16902" t="s">
        <v>162</v>
      </c>
      <c r="K16902" t="s">
        <v>1502</v>
      </c>
      <c r="N16902" t="s">
        <v>69868</v>
      </c>
      <c r="O16902" t="s">
        <v>81145</v>
      </c>
      <c r="Q16902">
        <v>0</v>
      </c>
      <c r="R16902">
        <v>278</v>
      </c>
      <c r="S16902">
        <v>0</v>
      </c>
      <c r="T16902" t="s">
        <v>81146</v>
      </c>
    </row>
    <row r="16903" spans="1:20" customFormat="1" ht="15" x14ac:dyDescent="0.25">
      <c r="A16903" t="s">
        <v>24</v>
      </c>
      <c r="B16903" t="s">
        <v>1548</v>
      </c>
      <c r="C16903" t="str">
        <f>"A0094132"</f>
        <v>A0094132</v>
      </c>
      <c r="D16903" t="s">
        <v>81147</v>
      </c>
      <c r="E16903" t="s">
        <v>81148</v>
      </c>
      <c r="F16903" t="s">
        <v>55840</v>
      </c>
      <c r="G16903" t="s">
        <v>103</v>
      </c>
      <c r="H16903">
        <v>19153</v>
      </c>
      <c r="I16903" t="s">
        <v>30</v>
      </c>
      <c r="J16903" t="s">
        <v>162</v>
      </c>
      <c r="K16903" t="s">
        <v>1502</v>
      </c>
      <c r="N16903" t="s">
        <v>81149</v>
      </c>
      <c r="O16903" t="s">
        <v>15289</v>
      </c>
      <c r="Q16903">
        <v>0</v>
      </c>
      <c r="R16903">
        <v>250</v>
      </c>
      <c r="S16903">
        <v>0</v>
      </c>
      <c r="T16903" t="s">
        <v>81150</v>
      </c>
    </row>
    <row r="16904" spans="1:20" customFormat="1" ht="15" x14ac:dyDescent="0.25">
      <c r="A16904" t="s">
        <v>24</v>
      </c>
      <c r="B16904" t="s">
        <v>81151</v>
      </c>
      <c r="C16904" t="str">
        <f>"A0098660"</f>
        <v>A0098660</v>
      </c>
      <c r="D16904" t="s">
        <v>81152</v>
      </c>
      <c r="E16904" t="s">
        <v>81153</v>
      </c>
      <c r="F16904" t="s">
        <v>81154</v>
      </c>
      <c r="G16904" t="s">
        <v>99</v>
      </c>
      <c r="H16904">
        <v>13210</v>
      </c>
      <c r="I16904" t="s">
        <v>30</v>
      </c>
      <c r="J16904" t="s">
        <v>162</v>
      </c>
      <c r="K16904" t="s">
        <v>1502</v>
      </c>
      <c r="N16904" t="s">
        <v>81155</v>
      </c>
      <c r="O16904" t="s">
        <v>81156</v>
      </c>
      <c r="Q16904">
        <v>0</v>
      </c>
      <c r="R16904">
        <v>236</v>
      </c>
      <c r="S16904">
        <v>0</v>
      </c>
      <c r="T16904" t="s">
        <v>81157</v>
      </c>
    </row>
    <row r="16905" spans="1:20" customFormat="1" ht="15" x14ac:dyDescent="0.25">
      <c r="A16905" t="s">
        <v>24</v>
      </c>
      <c r="B16905" t="s">
        <v>3221</v>
      </c>
      <c r="C16905" t="str">
        <f>"A0068250"</f>
        <v>A0068250</v>
      </c>
      <c r="D16905" t="s">
        <v>81158</v>
      </c>
      <c r="E16905" t="s">
        <v>81159</v>
      </c>
      <c r="F16905" t="s">
        <v>2714</v>
      </c>
      <c r="G16905" t="s">
        <v>81</v>
      </c>
      <c r="H16905">
        <v>33610</v>
      </c>
      <c r="I16905" t="s">
        <v>30</v>
      </c>
      <c r="J16905" t="s">
        <v>162</v>
      </c>
      <c r="K16905" t="s">
        <v>1502</v>
      </c>
      <c r="N16905" t="s">
        <v>81160</v>
      </c>
      <c r="O16905" t="s">
        <v>81161</v>
      </c>
      <c r="Q16905">
        <v>0</v>
      </c>
      <c r="R16905">
        <v>266</v>
      </c>
      <c r="S16905">
        <v>0</v>
      </c>
      <c r="T16905" t="s">
        <v>81162</v>
      </c>
    </row>
    <row r="16906" spans="1:20" customFormat="1" ht="15" x14ac:dyDescent="0.25">
      <c r="A16906" t="s">
        <v>24</v>
      </c>
      <c r="B16906" t="s">
        <v>56392</v>
      </c>
      <c r="C16906" t="str">
        <f>"A0075354"</f>
        <v>A0075354</v>
      </c>
      <c r="D16906" t="s">
        <v>81163</v>
      </c>
      <c r="E16906" t="s">
        <v>81164</v>
      </c>
      <c r="F16906" t="s">
        <v>3955</v>
      </c>
      <c r="G16906" t="s">
        <v>81</v>
      </c>
      <c r="H16906">
        <v>33602</v>
      </c>
      <c r="I16906" t="s">
        <v>30</v>
      </c>
      <c r="J16906" t="s">
        <v>162</v>
      </c>
      <c r="K16906" t="s">
        <v>1502</v>
      </c>
      <c r="N16906" t="s">
        <v>81165</v>
      </c>
      <c r="Q16906">
        <v>0</v>
      </c>
      <c r="R16906">
        <v>277</v>
      </c>
      <c r="S16906">
        <v>0</v>
      </c>
      <c r="T16906" t="s">
        <v>81166</v>
      </c>
    </row>
    <row r="16907" spans="1:20" customFormat="1" ht="15" x14ac:dyDescent="0.25">
      <c r="A16907" t="s">
        <v>24</v>
      </c>
      <c r="B16907" t="s">
        <v>2221</v>
      </c>
      <c r="C16907" t="str">
        <f>"A0083349"</f>
        <v>A0083349</v>
      </c>
      <c r="D16907" t="s">
        <v>81167</v>
      </c>
      <c r="E16907" t="s">
        <v>81168</v>
      </c>
      <c r="F16907" t="s">
        <v>81169</v>
      </c>
      <c r="G16907" t="s">
        <v>99</v>
      </c>
      <c r="H16907">
        <v>10591</v>
      </c>
      <c r="I16907" t="s">
        <v>30</v>
      </c>
      <c r="J16907" t="s">
        <v>162</v>
      </c>
      <c r="K16907" t="s">
        <v>1502</v>
      </c>
      <c r="N16907" t="s">
        <v>81170</v>
      </c>
      <c r="O16907" t="s">
        <v>81171</v>
      </c>
      <c r="Q16907">
        <v>0</v>
      </c>
      <c r="R16907">
        <v>150</v>
      </c>
      <c r="S16907">
        <v>0</v>
      </c>
      <c r="T16907" t="s">
        <v>81172</v>
      </c>
    </row>
    <row r="16908" spans="1:20" customFormat="1" ht="15" x14ac:dyDescent="0.25">
      <c r="A16908" t="s">
        <v>24</v>
      </c>
      <c r="B16908" t="s">
        <v>5104</v>
      </c>
      <c r="C16908" t="str">
        <f>"A0089345"</f>
        <v>A0089345</v>
      </c>
      <c r="D16908" t="s">
        <v>81173</v>
      </c>
      <c r="E16908" t="s">
        <v>81174</v>
      </c>
      <c r="F16908" t="s">
        <v>997</v>
      </c>
      <c r="G16908" t="s">
        <v>99</v>
      </c>
      <c r="H16908">
        <v>10013</v>
      </c>
      <c r="I16908" t="s">
        <v>30</v>
      </c>
      <c r="J16908" t="s">
        <v>162</v>
      </c>
      <c r="K16908" t="s">
        <v>1502</v>
      </c>
      <c r="N16908" t="s">
        <v>81175</v>
      </c>
      <c r="O16908" t="s">
        <v>81176</v>
      </c>
      <c r="Q16908">
        <v>0</v>
      </c>
      <c r="R16908">
        <v>369</v>
      </c>
      <c r="S16908">
        <v>0</v>
      </c>
      <c r="T16908" t="s">
        <v>81177</v>
      </c>
    </row>
    <row r="16909" spans="1:20" customFormat="1" ht="15" x14ac:dyDescent="0.25">
      <c r="A16909" t="s">
        <v>24</v>
      </c>
      <c r="B16909" t="s">
        <v>64569</v>
      </c>
      <c r="C16909" t="str">
        <f>"A0083398"</f>
        <v>A0083398</v>
      </c>
      <c r="D16909" t="s">
        <v>81178</v>
      </c>
      <c r="E16909" t="s">
        <v>81179</v>
      </c>
      <c r="F16909" t="s">
        <v>796</v>
      </c>
      <c r="G16909" t="s">
        <v>197</v>
      </c>
      <c r="H16909">
        <v>85712</v>
      </c>
      <c r="I16909" t="s">
        <v>30</v>
      </c>
      <c r="J16909" t="s">
        <v>162</v>
      </c>
      <c r="K16909" t="s">
        <v>1502</v>
      </c>
      <c r="N16909" t="s">
        <v>81180</v>
      </c>
      <c r="O16909" t="s">
        <v>81181</v>
      </c>
      <c r="Q16909">
        <v>0</v>
      </c>
      <c r="R16909">
        <v>216</v>
      </c>
      <c r="S16909">
        <v>0</v>
      </c>
      <c r="T16909" t="s">
        <v>81182</v>
      </c>
    </row>
    <row r="16910" spans="1:20" customFormat="1" ht="15" x14ac:dyDescent="0.25">
      <c r="A16910" t="s">
        <v>24</v>
      </c>
      <c r="B16910" t="s">
        <v>81183</v>
      </c>
      <c r="C16910" t="str">
        <f>"A0086390"</f>
        <v>A0086390</v>
      </c>
      <c r="D16910" t="s">
        <v>81184</v>
      </c>
      <c r="E16910" t="s">
        <v>81185</v>
      </c>
      <c r="F16910" t="s">
        <v>81186</v>
      </c>
      <c r="G16910" t="s">
        <v>110</v>
      </c>
      <c r="H16910">
        <v>91608</v>
      </c>
      <c r="I16910" t="s">
        <v>30</v>
      </c>
      <c r="J16910" t="s">
        <v>162</v>
      </c>
      <c r="K16910" t="s">
        <v>1502</v>
      </c>
      <c r="N16910" t="s">
        <v>81187</v>
      </c>
      <c r="O16910" t="s">
        <v>81188</v>
      </c>
      <c r="Q16910">
        <v>0</v>
      </c>
      <c r="R16910">
        <v>457</v>
      </c>
      <c r="S16910">
        <v>0</v>
      </c>
      <c r="T16910" t="s">
        <v>81189</v>
      </c>
    </row>
    <row r="16911" spans="1:20" customFormat="1" ht="15" x14ac:dyDescent="0.25">
      <c r="A16911" t="s">
        <v>24</v>
      </c>
      <c r="B16911" t="s">
        <v>675</v>
      </c>
      <c r="C16911" t="str">
        <f>"A0083977"</f>
        <v>A0083977</v>
      </c>
      <c r="D16911" t="s">
        <v>81200</v>
      </c>
      <c r="E16911" t="s">
        <v>81201</v>
      </c>
      <c r="F16911" t="s">
        <v>4814</v>
      </c>
      <c r="G16911" t="s">
        <v>4815</v>
      </c>
      <c r="H16911">
        <v>96815</v>
      </c>
      <c r="I16911" t="s">
        <v>30</v>
      </c>
      <c r="J16911" t="s">
        <v>162</v>
      </c>
      <c r="K16911" t="s">
        <v>1502</v>
      </c>
      <c r="Q16911">
        <v>0</v>
      </c>
      <c r="R16911">
        <v>1636</v>
      </c>
      <c r="S16911">
        <v>0</v>
      </c>
      <c r="T16911" t="s">
        <v>81202</v>
      </c>
    </row>
    <row r="16912" spans="1:20" customFormat="1" ht="15" x14ac:dyDescent="0.25">
      <c r="A16912" t="s">
        <v>24</v>
      </c>
      <c r="B16912" t="s">
        <v>56277</v>
      </c>
      <c r="C16912" t="str">
        <f>"A0087918"</f>
        <v>A0087918</v>
      </c>
      <c r="D16912" t="s">
        <v>81203</v>
      </c>
      <c r="E16912" t="s">
        <v>81204</v>
      </c>
      <c r="F16912" t="s">
        <v>2263</v>
      </c>
      <c r="G16912" t="s">
        <v>1898</v>
      </c>
      <c r="H16912">
        <v>50266</v>
      </c>
      <c r="I16912" t="s">
        <v>30</v>
      </c>
      <c r="J16912" t="s">
        <v>162</v>
      </c>
      <c r="K16912" t="s">
        <v>1502</v>
      </c>
      <c r="N16912" t="s">
        <v>81205</v>
      </c>
      <c r="O16912" t="s">
        <v>68887</v>
      </c>
      <c r="Q16912">
        <v>0</v>
      </c>
      <c r="R16912">
        <v>285</v>
      </c>
      <c r="S16912">
        <v>0</v>
      </c>
      <c r="T16912" t="s">
        <v>81206</v>
      </c>
    </row>
    <row r="16913" spans="1:20" customFormat="1" ht="15" x14ac:dyDescent="0.25">
      <c r="A16913" t="s">
        <v>24</v>
      </c>
      <c r="B16913" t="s">
        <v>2910</v>
      </c>
      <c r="C16913" t="str">
        <f>"A0054298"</f>
        <v>A0054298</v>
      </c>
      <c r="D16913" t="s">
        <v>81227</v>
      </c>
      <c r="E16913" t="s">
        <v>81228</v>
      </c>
      <c r="F16913" t="s">
        <v>1935</v>
      </c>
      <c r="G16913" t="s">
        <v>338</v>
      </c>
      <c r="H16913">
        <v>8401</v>
      </c>
      <c r="I16913" t="s">
        <v>30</v>
      </c>
      <c r="J16913" t="s">
        <v>162</v>
      </c>
      <c r="K16913" t="s">
        <v>163</v>
      </c>
      <c r="N16913" t="s">
        <v>81229</v>
      </c>
      <c r="O16913" t="s">
        <v>81230</v>
      </c>
      <c r="Q16913">
        <v>0</v>
      </c>
      <c r="R16913">
        <v>872</v>
      </c>
      <c r="S16913">
        <v>0</v>
      </c>
      <c r="T16913" t="s">
        <v>81231</v>
      </c>
    </row>
    <row r="16914" spans="1:20" customFormat="1" ht="15" x14ac:dyDescent="0.25">
      <c r="A16914" t="s">
        <v>24</v>
      </c>
      <c r="B16914" t="s">
        <v>81258</v>
      </c>
      <c r="C16914" t="str">
        <f>"A0060686"</f>
        <v>A0060686</v>
      </c>
      <c r="D16914" t="s">
        <v>81259</v>
      </c>
      <c r="E16914" t="s">
        <v>81260</v>
      </c>
      <c r="F16914" t="s">
        <v>2241</v>
      </c>
      <c r="G16914" t="s">
        <v>110</v>
      </c>
      <c r="H16914">
        <v>94558</v>
      </c>
      <c r="I16914" t="s">
        <v>30</v>
      </c>
      <c r="J16914" t="s">
        <v>162</v>
      </c>
      <c r="K16914" t="s">
        <v>163</v>
      </c>
      <c r="N16914" t="s">
        <v>81261</v>
      </c>
      <c r="P16914" t="s">
        <v>3998</v>
      </c>
      <c r="Q16914">
        <v>2</v>
      </c>
      <c r="R16914">
        <v>341</v>
      </c>
      <c r="S16914">
        <v>0</v>
      </c>
      <c r="T16914" t="s">
        <v>81262</v>
      </c>
    </row>
    <row r="16915" spans="1:20" customFormat="1" ht="15" x14ac:dyDescent="0.25">
      <c r="A16915" t="s">
        <v>24</v>
      </c>
      <c r="B16915" t="s">
        <v>10734</v>
      </c>
      <c r="C16915" t="str">
        <f>"A0062425"</f>
        <v>A0062425</v>
      </c>
      <c r="D16915" t="s">
        <v>81282</v>
      </c>
      <c r="E16915" t="s">
        <v>81283</v>
      </c>
      <c r="F16915" t="s">
        <v>81284</v>
      </c>
      <c r="G16915" t="s">
        <v>76</v>
      </c>
      <c r="H16915">
        <v>98648</v>
      </c>
      <c r="I16915" t="s">
        <v>30</v>
      </c>
      <c r="J16915" t="s">
        <v>162</v>
      </c>
      <c r="K16915" t="s">
        <v>163</v>
      </c>
      <c r="N16915" t="s">
        <v>81285</v>
      </c>
      <c r="O16915" t="s">
        <v>81286</v>
      </c>
      <c r="P16915" t="s">
        <v>3998</v>
      </c>
      <c r="Q16915">
        <v>1</v>
      </c>
      <c r="R16915">
        <v>254</v>
      </c>
      <c r="S16915">
        <v>0</v>
      </c>
      <c r="T16915" t="s">
        <v>81287</v>
      </c>
    </row>
    <row r="16916" spans="1:20" customFormat="1" ht="15" x14ac:dyDescent="0.25">
      <c r="A16916" t="s">
        <v>24</v>
      </c>
      <c r="B16916" t="s">
        <v>75189</v>
      </c>
      <c r="C16916" t="str">
        <f>"A0085816"</f>
        <v>A0085816</v>
      </c>
      <c r="D16916" t="s">
        <v>81392</v>
      </c>
      <c r="E16916" t="s">
        <v>81393</v>
      </c>
      <c r="F16916" t="s">
        <v>3545</v>
      </c>
      <c r="G16916" t="s">
        <v>153</v>
      </c>
      <c r="H16916">
        <v>84317</v>
      </c>
      <c r="I16916" t="s">
        <v>30</v>
      </c>
      <c r="J16916" t="s">
        <v>162</v>
      </c>
      <c r="K16916" t="s">
        <v>163</v>
      </c>
      <c r="N16916" t="s">
        <v>81394</v>
      </c>
      <c r="O16916" t="s">
        <v>81395</v>
      </c>
      <c r="Q16916">
        <v>0</v>
      </c>
      <c r="R16916">
        <v>0</v>
      </c>
      <c r="S16916">
        <v>0</v>
      </c>
      <c r="T16916" t="s">
        <v>81396</v>
      </c>
    </row>
    <row r="16917" spans="1:20" customFormat="1" ht="15" x14ac:dyDescent="0.25">
      <c r="A16917" t="s">
        <v>24</v>
      </c>
      <c r="B16917" t="s">
        <v>814</v>
      </c>
      <c r="C16917" t="str">
        <f>"A0165823"</f>
        <v>A0165823</v>
      </c>
      <c r="D16917" t="s">
        <v>81397</v>
      </c>
      <c r="E16917" t="s">
        <v>81398</v>
      </c>
      <c r="F16917" t="s">
        <v>81399</v>
      </c>
      <c r="G16917" t="s">
        <v>153</v>
      </c>
      <c r="H16917">
        <v>84092</v>
      </c>
      <c r="I16917" t="s">
        <v>30</v>
      </c>
      <c r="J16917" t="s">
        <v>162</v>
      </c>
      <c r="K16917" t="s">
        <v>163</v>
      </c>
      <c r="N16917" t="s">
        <v>81400</v>
      </c>
      <c r="Q16917">
        <v>0</v>
      </c>
      <c r="R16917">
        <v>64</v>
      </c>
      <c r="S16917">
        <v>0</v>
      </c>
      <c r="T16917" t="s">
        <v>81401</v>
      </c>
    </row>
    <row r="16918" spans="1:20" customFormat="1" ht="15" x14ac:dyDescent="0.25">
      <c r="A16918" t="s">
        <v>24</v>
      </c>
      <c r="B16918" t="s">
        <v>9400</v>
      </c>
      <c r="C16918" t="str">
        <f>"A0049990"</f>
        <v>A0049990</v>
      </c>
      <c r="D16918" t="s">
        <v>81402</v>
      </c>
      <c r="E16918" t="s">
        <v>81403</v>
      </c>
      <c r="F16918" t="s">
        <v>81404</v>
      </c>
      <c r="G16918" t="s">
        <v>507</v>
      </c>
      <c r="H16918">
        <v>26209</v>
      </c>
      <c r="I16918" t="s">
        <v>30</v>
      </c>
      <c r="J16918" t="s">
        <v>162</v>
      </c>
      <c r="K16918" t="s">
        <v>163</v>
      </c>
      <c r="N16918" t="s">
        <v>81405</v>
      </c>
      <c r="O16918" t="s">
        <v>81406</v>
      </c>
      <c r="P16918" t="s">
        <v>3998</v>
      </c>
      <c r="Q16918">
        <v>1</v>
      </c>
      <c r="R16918">
        <v>0</v>
      </c>
      <c r="S16918">
        <v>0</v>
      </c>
      <c r="T16918" t="s">
        <v>81407</v>
      </c>
    </row>
    <row r="16919" spans="1:20" customFormat="1" ht="15" x14ac:dyDescent="0.25">
      <c r="A16919" t="s">
        <v>24</v>
      </c>
      <c r="B16919" t="s">
        <v>8771</v>
      </c>
      <c r="C16919" t="str">
        <f>"A0068164"</f>
        <v>A0068164</v>
      </c>
      <c r="D16919" t="s">
        <v>81408</v>
      </c>
      <c r="E16919" t="s">
        <v>81409</v>
      </c>
      <c r="F16919" t="s">
        <v>716</v>
      </c>
      <c r="G16919" t="s">
        <v>289</v>
      </c>
      <c r="H16919">
        <v>60611</v>
      </c>
      <c r="I16919" t="s">
        <v>30</v>
      </c>
      <c r="J16919" t="s">
        <v>162</v>
      </c>
      <c r="K16919" t="s">
        <v>81410</v>
      </c>
      <c r="N16919" t="s">
        <v>81411</v>
      </c>
      <c r="Q16919">
        <v>0</v>
      </c>
      <c r="R16919">
        <v>415</v>
      </c>
      <c r="S16919">
        <v>0</v>
      </c>
      <c r="T16919" t="s">
        <v>81412</v>
      </c>
    </row>
    <row r="16920" spans="1:20" customFormat="1" ht="15" x14ac:dyDescent="0.25">
      <c r="A16920" t="s">
        <v>24</v>
      </c>
      <c r="B16920" t="s">
        <v>8771</v>
      </c>
      <c r="C16920" t="str">
        <f>"A0060617"</f>
        <v>A0060617</v>
      </c>
      <c r="D16920" t="s">
        <v>81413</v>
      </c>
      <c r="E16920" t="s">
        <v>81414</v>
      </c>
      <c r="F16920" t="s">
        <v>1519</v>
      </c>
      <c r="G16920" t="s">
        <v>110</v>
      </c>
      <c r="H16920">
        <v>90048</v>
      </c>
      <c r="I16920" t="s">
        <v>30</v>
      </c>
      <c r="J16920" t="s">
        <v>162</v>
      </c>
      <c r="K16920" t="s">
        <v>81410</v>
      </c>
      <c r="N16920" t="s">
        <v>81415</v>
      </c>
      <c r="Q16920">
        <v>0</v>
      </c>
      <c r="R16920">
        <v>295</v>
      </c>
      <c r="S16920">
        <v>0</v>
      </c>
      <c r="T16920" t="s">
        <v>81416</v>
      </c>
    </row>
    <row r="16921" spans="1:20" customFormat="1" ht="15" x14ac:dyDescent="0.25">
      <c r="A16921" t="s">
        <v>24</v>
      </c>
      <c r="B16921" t="s">
        <v>8771</v>
      </c>
      <c r="C16921" t="str">
        <f>"A0060590"</f>
        <v>A0060590</v>
      </c>
      <c r="D16921" t="s">
        <v>81427</v>
      </c>
      <c r="E16921" t="s">
        <v>81428</v>
      </c>
      <c r="F16921" t="s">
        <v>997</v>
      </c>
      <c r="G16921" t="s">
        <v>99</v>
      </c>
      <c r="H16921">
        <v>10036</v>
      </c>
      <c r="I16921" t="s">
        <v>30</v>
      </c>
      <c r="J16921" t="s">
        <v>162</v>
      </c>
      <c r="K16921" t="s">
        <v>81410</v>
      </c>
      <c r="N16921" t="s">
        <v>81429</v>
      </c>
      <c r="O16921" t="s">
        <v>81430</v>
      </c>
      <c r="Q16921">
        <v>0</v>
      </c>
      <c r="R16921">
        <v>398</v>
      </c>
      <c r="S16921">
        <v>0</v>
      </c>
      <c r="T16921" t="s">
        <v>81431</v>
      </c>
    </row>
    <row r="16922" spans="1:20" customFormat="1" ht="15" x14ac:dyDescent="0.25">
      <c r="A16922" t="s">
        <v>24</v>
      </c>
      <c r="B16922" t="s">
        <v>8771</v>
      </c>
      <c r="C16922" t="str">
        <f>"A0060615"</f>
        <v>A0060615</v>
      </c>
      <c r="D16922" t="s">
        <v>81432</v>
      </c>
      <c r="E16922" t="s">
        <v>81433</v>
      </c>
      <c r="F16922" t="s">
        <v>9812</v>
      </c>
      <c r="G16922" t="s">
        <v>103</v>
      </c>
      <c r="H16922">
        <v>19103</v>
      </c>
      <c r="I16922" t="s">
        <v>30</v>
      </c>
      <c r="J16922" t="s">
        <v>162</v>
      </c>
      <c r="K16922" t="s">
        <v>81410</v>
      </c>
      <c r="N16922" t="s">
        <v>81434</v>
      </c>
      <c r="Q16922">
        <v>0</v>
      </c>
      <c r="R16922">
        <v>306</v>
      </c>
      <c r="S16922">
        <v>0</v>
      </c>
      <c r="T16922" t="s">
        <v>81435</v>
      </c>
    </row>
    <row r="16923" spans="1:20" customFormat="1" ht="15" x14ac:dyDescent="0.25">
      <c r="A16923" t="s">
        <v>24</v>
      </c>
      <c r="B16923" t="s">
        <v>8771</v>
      </c>
      <c r="C16923" t="str">
        <f>"A0060619"</f>
        <v>A0060619</v>
      </c>
      <c r="D16923" t="s">
        <v>81436</v>
      </c>
      <c r="E16923" t="s">
        <v>81437</v>
      </c>
      <c r="F16923" t="s">
        <v>313</v>
      </c>
      <c r="G16923" t="s">
        <v>314</v>
      </c>
      <c r="H16923">
        <v>20005</v>
      </c>
      <c r="I16923" t="s">
        <v>30</v>
      </c>
      <c r="J16923" t="s">
        <v>162</v>
      </c>
      <c r="K16923" t="s">
        <v>81410</v>
      </c>
      <c r="N16923" t="s">
        <v>81438</v>
      </c>
      <c r="Q16923">
        <v>0</v>
      </c>
      <c r="R16923">
        <v>237</v>
      </c>
      <c r="S16923">
        <v>0</v>
      </c>
      <c r="T16923" t="s">
        <v>81439</v>
      </c>
    </row>
    <row r="16924" spans="1:20" customFormat="1" ht="15" x14ac:dyDescent="0.25">
      <c r="A16924" t="s">
        <v>24</v>
      </c>
      <c r="B16924" t="s">
        <v>9400</v>
      </c>
      <c r="C16924" t="str">
        <f>"A0097964"</f>
        <v>A0097964</v>
      </c>
      <c r="D16924" t="s">
        <v>81448</v>
      </c>
      <c r="E16924" t="s">
        <v>81449</v>
      </c>
      <c r="F16924" t="s">
        <v>81450</v>
      </c>
      <c r="G16924" t="s">
        <v>153</v>
      </c>
      <c r="H16924">
        <v>84121</v>
      </c>
      <c r="I16924" t="s">
        <v>30</v>
      </c>
      <c r="J16924" t="s">
        <v>162</v>
      </c>
      <c r="K16924" t="s">
        <v>163</v>
      </c>
      <c r="N16924" t="s">
        <v>81451</v>
      </c>
      <c r="O16924" t="s">
        <v>81452</v>
      </c>
      <c r="Q16924">
        <v>0</v>
      </c>
      <c r="R16924">
        <v>0</v>
      </c>
      <c r="S16924">
        <v>0</v>
      </c>
      <c r="T16924" t="s">
        <v>81453</v>
      </c>
    </row>
    <row r="16925" spans="1:20" customFormat="1" ht="15" x14ac:dyDescent="0.25">
      <c r="A16925" t="s">
        <v>24</v>
      </c>
      <c r="B16925" t="s">
        <v>805</v>
      </c>
      <c r="C16925" t="str">
        <f>"311JP"</f>
        <v>311JP</v>
      </c>
      <c r="D16925" t="s">
        <v>81468</v>
      </c>
      <c r="E16925" t="s">
        <v>81469</v>
      </c>
      <c r="F16925" t="s">
        <v>66545</v>
      </c>
      <c r="G16925" t="s">
        <v>110</v>
      </c>
      <c r="H16925">
        <v>94608</v>
      </c>
      <c r="I16925" t="s">
        <v>30</v>
      </c>
      <c r="J16925" t="s">
        <v>162</v>
      </c>
      <c r="K16925" t="s">
        <v>809</v>
      </c>
      <c r="N16925" t="s">
        <v>81470</v>
      </c>
      <c r="O16925" t="s">
        <v>81471</v>
      </c>
      <c r="Q16925">
        <v>0</v>
      </c>
      <c r="R16925">
        <v>295</v>
      </c>
      <c r="S16925">
        <v>0</v>
      </c>
      <c r="T16925" t="s">
        <v>81472</v>
      </c>
    </row>
    <row r="16926" spans="1:20" customFormat="1" ht="15" x14ac:dyDescent="0.25">
      <c r="A16926" t="s">
        <v>24</v>
      </c>
      <c r="B16926" t="s">
        <v>805</v>
      </c>
      <c r="C16926" t="str">
        <f>"33752"</f>
        <v>33752</v>
      </c>
      <c r="D16926" t="s">
        <v>81816</v>
      </c>
      <c r="E16926" t="s">
        <v>81817</v>
      </c>
      <c r="F16926" t="s">
        <v>2971</v>
      </c>
      <c r="G16926" t="s">
        <v>880</v>
      </c>
      <c r="H16926">
        <v>37214</v>
      </c>
      <c r="I16926" t="s">
        <v>30</v>
      </c>
      <c r="J16926" t="s">
        <v>162</v>
      </c>
      <c r="K16926" t="s">
        <v>809</v>
      </c>
      <c r="N16926" t="s">
        <v>81818</v>
      </c>
      <c r="O16926" t="s">
        <v>81819</v>
      </c>
      <c r="Q16926">
        <v>0</v>
      </c>
      <c r="R16926">
        <v>399</v>
      </c>
      <c r="S16926">
        <v>0</v>
      </c>
      <c r="T16926" t="s">
        <v>81820</v>
      </c>
    </row>
    <row r="16927" spans="1:20" customFormat="1" ht="15" x14ac:dyDescent="0.25">
      <c r="A16927" t="s">
        <v>24</v>
      </c>
      <c r="B16927" t="s">
        <v>805</v>
      </c>
      <c r="C16927" t="str">
        <f>"A0054638"</f>
        <v>A0054638</v>
      </c>
      <c r="D16927" t="s">
        <v>82121</v>
      </c>
      <c r="E16927" t="s">
        <v>82122</v>
      </c>
      <c r="F16927" t="s">
        <v>2014</v>
      </c>
      <c r="G16927" t="s">
        <v>197</v>
      </c>
      <c r="H16927">
        <v>85258</v>
      </c>
      <c r="I16927" t="s">
        <v>30</v>
      </c>
      <c r="J16927" t="s">
        <v>162</v>
      </c>
      <c r="K16927" t="s">
        <v>809</v>
      </c>
      <c r="N16927" t="s">
        <v>82123</v>
      </c>
      <c r="O16927" t="s">
        <v>82124</v>
      </c>
      <c r="Q16927">
        <v>0</v>
      </c>
      <c r="R16927">
        <v>162</v>
      </c>
      <c r="S16927">
        <v>0</v>
      </c>
      <c r="T16927" t="s">
        <v>82125</v>
      </c>
    </row>
    <row r="16928" spans="1:20" customFormat="1" ht="15" x14ac:dyDescent="0.25">
      <c r="A16928" t="s">
        <v>24</v>
      </c>
      <c r="B16928" t="s">
        <v>149</v>
      </c>
      <c r="C16928" t="str">
        <f>"A0154331"</f>
        <v>A0154331</v>
      </c>
      <c r="D16928" t="s">
        <v>82136</v>
      </c>
      <c r="E16928" t="s">
        <v>82137</v>
      </c>
      <c r="F16928" t="s">
        <v>6708</v>
      </c>
      <c r="G16928" t="s">
        <v>99</v>
      </c>
      <c r="H16928">
        <v>11944</v>
      </c>
      <c r="I16928" t="s">
        <v>30</v>
      </c>
      <c r="J16928" t="s">
        <v>162</v>
      </c>
      <c r="K16928" t="s">
        <v>163</v>
      </c>
      <c r="N16928" t="s">
        <v>6709</v>
      </c>
      <c r="O16928" t="s">
        <v>82138</v>
      </c>
      <c r="Q16928">
        <v>0</v>
      </c>
      <c r="R16928">
        <v>55</v>
      </c>
      <c r="S16928">
        <v>0</v>
      </c>
      <c r="T16928" t="s">
        <v>82139</v>
      </c>
    </row>
    <row r="16929" spans="1:20" customFormat="1" ht="15" x14ac:dyDescent="0.25">
      <c r="A16929" t="s">
        <v>24</v>
      </c>
      <c r="B16929" t="s">
        <v>63096</v>
      </c>
      <c r="C16929" t="str">
        <f>"A0063162"</f>
        <v>A0063162</v>
      </c>
      <c r="D16929" t="s">
        <v>82149</v>
      </c>
      <c r="E16929" t="s">
        <v>82150</v>
      </c>
      <c r="F16929" t="s">
        <v>65041</v>
      </c>
      <c r="G16929" t="s">
        <v>52</v>
      </c>
      <c r="H16929">
        <v>77573</v>
      </c>
      <c r="I16929" t="s">
        <v>30</v>
      </c>
      <c r="J16929" t="s">
        <v>162</v>
      </c>
      <c r="K16929" t="s">
        <v>163</v>
      </c>
      <c r="N16929" t="s">
        <v>82151</v>
      </c>
      <c r="Q16929">
        <v>0</v>
      </c>
      <c r="R16929">
        <v>237</v>
      </c>
      <c r="S16929">
        <v>0</v>
      </c>
      <c r="T16929" t="s">
        <v>82152</v>
      </c>
    </row>
    <row r="16930" spans="1:20" customFormat="1" ht="15" x14ac:dyDescent="0.25">
      <c r="A16930" t="s">
        <v>24</v>
      </c>
      <c r="B16930" t="s">
        <v>82153</v>
      </c>
      <c r="C16930" t="str">
        <f>"A0098824"</f>
        <v>A0098824</v>
      </c>
      <c r="D16930" t="s">
        <v>82154</v>
      </c>
      <c r="E16930" t="s">
        <v>82155</v>
      </c>
      <c r="F16930" t="s">
        <v>82156</v>
      </c>
      <c r="G16930" t="s">
        <v>427</v>
      </c>
      <c r="H16930">
        <v>68776</v>
      </c>
      <c r="I16930" t="s">
        <v>30</v>
      </c>
      <c r="J16930" t="s">
        <v>162</v>
      </c>
      <c r="K16930" t="s">
        <v>1490</v>
      </c>
      <c r="N16930" t="s">
        <v>82157</v>
      </c>
      <c r="O16930" t="s">
        <v>82158</v>
      </c>
      <c r="Q16930">
        <v>0</v>
      </c>
      <c r="R16930">
        <v>181</v>
      </c>
      <c r="S16930">
        <v>0</v>
      </c>
      <c r="T16930" t="s">
        <v>82159</v>
      </c>
    </row>
    <row r="16931" spans="1:20" customFormat="1" ht="15" x14ac:dyDescent="0.25">
      <c r="A16931" t="s">
        <v>24</v>
      </c>
      <c r="B16931" t="s">
        <v>1098</v>
      </c>
      <c r="C16931" t="str">
        <f>"A0093478"</f>
        <v>A0093478</v>
      </c>
      <c r="D16931" t="s">
        <v>82160</v>
      </c>
      <c r="E16931" t="s">
        <v>82161</v>
      </c>
      <c r="F16931" t="s">
        <v>82162</v>
      </c>
      <c r="G16931" t="s">
        <v>899</v>
      </c>
      <c r="H16931">
        <v>1550</v>
      </c>
      <c r="I16931" t="s">
        <v>30</v>
      </c>
      <c r="J16931" t="s">
        <v>162</v>
      </c>
      <c r="K16931" t="s">
        <v>163</v>
      </c>
      <c r="N16931" t="s">
        <v>82163</v>
      </c>
      <c r="O16931" t="s">
        <v>82164</v>
      </c>
      <c r="Q16931">
        <v>0</v>
      </c>
      <c r="R16931">
        <v>203</v>
      </c>
      <c r="S16931">
        <v>0</v>
      </c>
      <c r="T16931" t="s">
        <v>82165</v>
      </c>
    </row>
    <row r="16932" spans="1:20" customFormat="1" ht="15" x14ac:dyDescent="0.25">
      <c r="A16932" t="s">
        <v>24</v>
      </c>
      <c r="B16932" t="s">
        <v>1849</v>
      </c>
      <c r="C16932" t="str">
        <f>"A0066054"</f>
        <v>A0066054</v>
      </c>
      <c r="D16932" t="s">
        <v>82184</v>
      </c>
      <c r="E16932" t="s">
        <v>82185</v>
      </c>
      <c r="F16932" t="s">
        <v>66464</v>
      </c>
      <c r="G16932" t="s">
        <v>58</v>
      </c>
      <c r="H16932">
        <v>29306</v>
      </c>
      <c r="I16932" t="s">
        <v>30</v>
      </c>
      <c r="J16932" t="s">
        <v>162</v>
      </c>
      <c r="K16932" t="s">
        <v>1490</v>
      </c>
      <c r="N16932" t="s">
        <v>82186</v>
      </c>
      <c r="O16932" t="s">
        <v>82187</v>
      </c>
      <c r="Q16932">
        <v>0</v>
      </c>
      <c r="R16932">
        <v>247</v>
      </c>
      <c r="S16932">
        <v>0</v>
      </c>
      <c r="T16932" t="s">
        <v>82188</v>
      </c>
    </row>
    <row r="16933" spans="1:20" customFormat="1" ht="15" x14ac:dyDescent="0.25">
      <c r="A16933" t="s">
        <v>24</v>
      </c>
      <c r="B16933" t="s">
        <v>56772</v>
      </c>
      <c r="C16933" t="str">
        <f>"A0137000"</f>
        <v>A0137000</v>
      </c>
      <c r="D16933" t="s">
        <v>82197</v>
      </c>
      <c r="E16933" t="s">
        <v>82198</v>
      </c>
      <c r="F16933" t="s">
        <v>82199</v>
      </c>
      <c r="G16933" t="s">
        <v>110</v>
      </c>
      <c r="H16933">
        <v>91604</v>
      </c>
      <c r="I16933" t="s">
        <v>30</v>
      </c>
      <c r="J16933" t="s">
        <v>162</v>
      </c>
      <c r="K16933" t="s">
        <v>163</v>
      </c>
      <c r="N16933" t="s">
        <v>82200</v>
      </c>
      <c r="Q16933">
        <v>0</v>
      </c>
      <c r="R16933">
        <v>190</v>
      </c>
      <c r="S16933">
        <v>0</v>
      </c>
      <c r="T16933" t="s">
        <v>82201</v>
      </c>
    </row>
    <row r="16934" spans="1:20" customFormat="1" ht="15" x14ac:dyDescent="0.25">
      <c r="A16934" t="s">
        <v>24</v>
      </c>
      <c r="B16934" t="s">
        <v>2221</v>
      </c>
      <c r="C16934" t="str">
        <f>"A0058890"</f>
        <v>A0058890</v>
      </c>
      <c r="D16934" t="s">
        <v>83134</v>
      </c>
      <c r="E16934" t="s">
        <v>83135</v>
      </c>
      <c r="F16934" t="s">
        <v>54994</v>
      </c>
      <c r="G16934" t="s">
        <v>81</v>
      </c>
      <c r="H16934">
        <v>33701</v>
      </c>
      <c r="I16934" t="s">
        <v>30</v>
      </c>
      <c r="J16934" t="s">
        <v>162</v>
      </c>
      <c r="K16934" t="s">
        <v>4809</v>
      </c>
      <c r="N16934" t="s">
        <v>83136</v>
      </c>
      <c r="Q16934">
        <v>0</v>
      </c>
      <c r="R16934">
        <v>333</v>
      </c>
      <c r="S16934">
        <v>0</v>
      </c>
      <c r="T16934" t="s">
        <v>83137</v>
      </c>
    </row>
    <row r="16935" spans="1:20" customFormat="1" ht="15" x14ac:dyDescent="0.25">
      <c r="A16935" t="s">
        <v>24</v>
      </c>
      <c r="B16935" t="s">
        <v>57258</v>
      </c>
      <c r="C16935" t="str">
        <f>"A0059731"</f>
        <v>A0059731</v>
      </c>
      <c r="D16935" t="s">
        <v>83143</v>
      </c>
      <c r="E16935" t="s">
        <v>83144</v>
      </c>
      <c r="F16935" t="s">
        <v>36968</v>
      </c>
      <c r="G16935" t="s">
        <v>110</v>
      </c>
      <c r="H16935">
        <v>94025</v>
      </c>
      <c r="I16935" t="s">
        <v>30</v>
      </c>
      <c r="J16935" t="s">
        <v>162</v>
      </c>
      <c r="K16935" t="s">
        <v>163</v>
      </c>
      <c r="N16935" t="s">
        <v>13847</v>
      </c>
      <c r="O16935" t="s">
        <v>83145</v>
      </c>
      <c r="Q16935">
        <v>0</v>
      </c>
      <c r="R16935">
        <v>163</v>
      </c>
      <c r="S16935">
        <v>0</v>
      </c>
      <c r="T16935" t="s">
        <v>83146</v>
      </c>
    </row>
    <row r="16936" spans="1:20" customFormat="1" ht="15" x14ac:dyDescent="0.25">
      <c r="A16936" t="s">
        <v>24</v>
      </c>
      <c r="B16936" t="s">
        <v>9400</v>
      </c>
      <c r="C16936" t="str">
        <f>"A0075154"</f>
        <v>A0075154</v>
      </c>
      <c r="D16936" t="s">
        <v>83366</v>
      </c>
      <c r="E16936" t="s">
        <v>83367</v>
      </c>
      <c r="F16936" t="s">
        <v>79973</v>
      </c>
      <c r="G16936" t="s">
        <v>190</v>
      </c>
      <c r="H16936">
        <v>80487</v>
      </c>
      <c r="I16936" t="s">
        <v>30</v>
      </c>
      <c r="J16936" t="s">
        <v>162</v>
      </c>
      <c r="K16936" t="s">
        <v>163</v>
      </c>
      <c r="N16936" t="s">
        <v>83368</v>
      </c>
      <c r="O16936" t="s">
        <v>83369</v>
      </c>
      <c r="Q16936">
        <v>0</v>
      </c>
      <c r="R16936">
        <v>0</v>
      </c>
      <c r="S16936">
        <v>0</v>
      </c>
      <c r="T16936" t="s">
        <v>83370</v>
      </c>
    </row>
    <row r="16937" spans="1:20" customFormat="1" ht="15" x14ac:dyDescent="0.25">
      <c r="A16937" t="s">
        <v>24</v>
      </c>
      <c r="B16937" t="s">
        <v>9400</v>
      </c>
      <c r="C16937" t="str">
        <f>"A0071628"</f>
        <v>A0071628</v>
      </c>
      <c r="D16937" t="s">
        <v>83410</v>
      </c>
      <c r="E16937" t="s">
        <v>83411</v>
      </c>
      <c r="F16937" t="s">
        <v>83412</v>
      </c>
      <c r="G16937" t="s">
        <v>2391</v>
      </c>
      <c r="H16937">
        <v>5155</v>
      </c>
      <c r="I16937" t="s">
        <v>30</v>
      </c>
      <c r="J16937" t="s">
        <v>162</v>
      </c>
      <c r="K16937" t="s">
        <v>163</v>
      </c>
      <c r="N16937" t="s">
        <v>83413</v>
      </c>
      <c r="O16937" t="s">
        <v>83414</v>
      </c>
      <c r="Q16937">
        <v>0</v>
      </c>
      <c r="R16937">
        <v>0</v>
      </c>
      <c r="S16937">
        <v>0</v>
      </c>
      <c r="T16937" t="s">
        <v>83415</v>
      </c>
    </row>
    <row r="16938" spans="1:20" customFormat="1" ht="15" x14ac:dyDescent="0.25">
      <c r="A16938" t="s">
        <v>24</v>
      </c>
      <c r="B16938" t="s">
        <v>75189</v>
      </c>
      <c r="C16938" t="str">
        <f>"A0085820"</f>
        <v>A0085820</v>
      </c>
      <c r="D16938" t="s">
        <v>83443</v>
      </c>
      <c r="E16938" t="s">
        <v>83444</v>
      </c>
      <c r="F16938" t="s">
        <v>7794</v>
      </c>
      <c r="G16938" t="s">
        <v>433</v>
      </c>
      <c r="H16938">
        <v>83353</v>
      </c>
      <c r="I16938" t="s">
        <v>30</v>
      </c>
      <c r="J16938" t="s">
        <v>162</v>
      </c>
      <c r="K16938" t="s">
        <v>163</v>
      </c>
      <c r="N16938" t="s">
        <v>83445</v>
      </c>
      <c r="O16938" t="s">
        <v>83446</v>
      </c>
      <c r="Q16938">
        <v>3</v>
      </c>
      <c r="R16938">
        <v>450</v>
      </c>
      <c r="S16938">
        <v>0</v>
      </c>
      <c r="T16938" t="s">
        <v>83447</v>
      </c>
    </row>
    <row r="16939" spans="1:20" customFormat="1" ht="15" x14ac:dyDescent="0.25">
      <c r="A16939" t="s">
        <v>24</v>
      </c>
      <c r="B16939" t="s">
        <v>7602</v>
      </c>
      <c r="C16939" t="str">
        <f>"A0060121"</f>
        <v>A0060121</v>
      </c>
      <c r="D16939" t="s">
        <v>83448</v>
      </c>
      <c r="E16939" t="s">
        <v>83449</v>
      </c>
      <c r="F16939" t="s">
        <v>5651</v>
      </c>
      <c r="G16939" t="s">
        <v>110</v>
      </c>
      <c r="H16939">
        <v>92802</v>
      </c>
      <c r="I16939" t="s">
        <v>30</v>
      </c>
      <c r="J16939" t="s">
        <v>162</v>
      </c>
      <c r="K16939" t="s">
        <v>2881</v>
      </c>
      <c r="N16939" t="s">
        <v>83450</v>
      </c>
      <c r="Q16939">
        <v>0</v>
      </c>
      <c r="R16939">
        <v>174</v>
      </c>
      <c r="S16939">
        <v>0</v>
      </c>
      <c r="T16939" t="s">
        <v>83451</v>
      </c>
    </row>
    <row r="16940" spans="1:20" customFormat="1" ht="15" x14ac:dyDescent="0.25">
      <c r="A16940" t="s">
        <v>24</v>
      </c>
      <c r="B16940" t="s">
        <v>83453</v>
      </c>
      <c r="C16940" t="str">
        <f>"A0062447"</f>
        <v>A0062447</v>
      </c>
      <c r="D16940" t="s">
        <v>83454</v>
      </c>
      <c r="E16940" t="s">
        <v>83455</v>
      </c>
      <c r="F16940" t="s">
        <v>83456</v>
      </c>
      <c r="G16940" t="s">
        <v>47</v>
      </c>
      <c r="H16940">
        <v>97707</v>
      </c>
      <c r="I16940" t="s">
        <v>30</v>
      </c>
      <c r="J16940" t="s">
        <v>162</v>
      </c>
      <c r="K16940" t="s">
        <v>163</v>
      </c>
      <c r="N16940" t="s">
        <v>83457</v>
      </c>
      <c r="O16940" t="s">
        <v>83458</v>
      </c>
      <c r="P16940" t="s">
        <v>3998</v>
      </c>
      <c r="Q16940">
        <v>4</v>
      </c>
      <c r="R16940">
        <v>245</v>
      </c>
      <c r="S16940">
        <v>0</v>
      </c>
      <c r="T16940" t="s">
        <v>83459</v>
      </c>
    </row>
    <row r="16941" spans="1:20" customFormat="1" ht="15" x14ac:dyDescent="0.25">
      <c r="A16941" t="s">
        <v>24</v>
      </c>
      <c r="B16941" t="s">
        <v>4855</v>
      </c>
      <c r="C16941" t="str">
        <f>"A0156518"</f>
        <v>A0156518</v>
      </c>
      <c r="D16941" t="s">
        <v>83719</v>
      </c>
      <c r="E16941" t="s">
        <v>83720</v>
      </c>
      <c r="F16941" t="s">
        <v>83721</v>
      </c>
      <c r="G16941" t="s">
        <v>433</v>
      </c>
      <c r="H16941">
        <v>83615</v>
      </c>
      <c r="I16941" t="s">
        <v>30</v>
      </c>
      <c r="J16941" t="s">
        <v>162</v>
      </c>
      <c r="K16941" t="s">
        <v>163</v>
      </c>
      <c r="N16941" t="s">
        <v>83722</v>
      </c>
      <c r="Q16941">
        <v>0</v>
      </c>
      <c r="R16941">
        <v>82</v>
      </c>
      <c r="S16941">
        <v>0</v>
      </c>
      <c r="T16941" t="s">
        <v>83723</v>
      </c>
    </row>
    <row r="16942" spans="1:20" customFormat="1" ht="15" x14ac:dyDescent="0.25">
      <c r="A16942" t="s">
        <v>24</v>
      </c>
      <c r="B16942" t="s">
        <v>675</v>
      </c>
      <c r="C16942" t="str">
        <f>"337U8"</f>
        <v>337U8</v>
      </c>
      <c r="D16942" t="s">
        <v>83732</v>
      </c>
      <c r="E16942" t="s">
        <v>83733</v>
      </c>
      <c r="F16942" t="s">
        <v>3955</v>
      </c>
      <c r="G16942" t="s">
        <v>81</v>
      </c>
      <c r="H16942">
        <v>33602</v>
      </c>
      <c r="I16942" t="s">
        <v>30</v>
      </c>
      <c r="J16942" t="s">
        <v>162</v>
      </c>
      <c r="K16942" t="s">
        <v>1490</v>
      </c>
      <c r="N16942" t="s">
        <v>55028</v>
      </c>
      <c r="O16942" t="s">
        <v>83734</v>
      </c>
      <c r="Q16942">
        <v>0</v>
      </c>
      <c r="R16942">
        <v>719</v>
      </c>
      <c r="S16942">
        <v>0</v>
      </c>
      <c r="T16942" t="s">
        <v>83735</v>
      </c>
    </row>
    <row r="16943" spans="1:20" customFormat="1" ht="15" hidden="1" x14ac:dyDescent="0.25">
      <c r="A16943" t="s">
        <v>24</v>
      </c>
      <c r="B16943" t="s">
        <v>675</v>
      </c>
      <c r="C16943" t="str">
        <f>"A0095790"</f>
        <v>A0095790</v>
      </c>
      <c r="D16943" t="s">
        <v>60616</v>
      </c>
      <c r="E16943" t="s">
        <v>60617</v>
      </c>
      <c r="F16943" t="s">
        <v>60618</v>
      </c>
      <c r="G16943" t="s">
        <v>60619</v>
      </c>
      <c r="H16943">
        <v>83294</v>
      </c>
      <c r="I16943" t="s">
        <v>2408</v>
      </c>
      <c r="J16943" t="s">
        <v>171</v>
      </c>
      <c r="K16943" t="s">
        <v>973</v>
      </c>
      <c r="N16943" t="s">
        <v>60620</v>
      </c>
      <c r="Q16943">
        <v>0</v>
      </c>
      <c r="R16943">
        <v>133</v>
      </c>
      <c r="S16943">
        <v>0</v>
      </c>
      <c r="T16943" t="s">
        <v>60621</v>
      </c>
    </row>
    <row r="16944" spans="1:20" customFormat="1" ht="15" x14ac:dyDescent="0.25">
      <c r="A16944" t="s">
        <v>24</v>
      </c>
      <c r="B16944" t="s">
        <v>13513</v>
      </c>
      <c r="C16944" t="str">
        <f>"A0051022"</f>
        <v>A0051022</v>
      </c>
      <c r="D16944" t="s">
        <v>83740</v>
      </c>
      <c r="E16944" t="s">
        <v>83741</v>
      </c>
      <c r="F16944" t="s">
        <v>83742</v>
      </c>
      <c r="G16944" t="s">
        <v>52</v>
      </c>
      <c r="H16944">
        <v>78006</v>
      </c>
      <c r="I16944" t="s">
        <v>30</v>
      </c>
      <c r="J16944" t="s">
        <v>162</v>
      </c>
      <c r="K16944" t="s">
        <v>163</v>
      </c>
      <c r="N16944" t="s">
        <v>83743</v>
      </c>
      <c r="O16944" t="s">
        <v>83744</v>
      </c>
      <c r="Q16944">
        <v>1</v>
      </c>
      <c r="R16944">
        <v>111</v>
      </c>
      <c r="S16944">
        <v>0</v>
      </c>
      <c r="T16944" t="s">
        <v>83745</v>
      </c>
    </row>
    <row r="16945" spans="1:20" customFormat="1" ht="15" x14ac:dyDescent="0.25">
      <c r="A16945" t="s">
        <v>24</v>
      </c>
      <c r="B16945" t="s">
        <v>1487</v>
      </c>
      <c r="C16945" t="str">
        <f>"337N6"</f>
        <v>337N6</v>
      </c>
      <c r="D16945" t="s">
        <v>83759</v>
      </c>
      <c r="E16945" t="s">
        <v>83760</v>
      </c>
      <c r="F16945" t="s">
        <v>67764</v>
      </c>
      <c r="G16945" t="s">
        <v>338</v>
      </c>
      <c r="H16945">
        <v>7666</v>
      </c>
      <c r="I16945" t="s">
        <v>30</v>
      </c>
      <c r="J16945" t="s">
        <v>162</v>
      </c>
      <c r="K16945" t="s">
        <v>1490</v>
      </c>
      <c r="N16945" t="s">
        <v>83761</v>
      </c>
      <c r="O16945" t="s">
        <v>83762</v>
      </c>
      <c r="Q16945">
        <v>0</v>
      </c>
      <c r="R16945">
        <v>345</v>
      </c>
      <c r="S16945">
        <v>0</v>
      </c>
      <c r="T16945" t="s">
        <v>83763</v>
      </c>
    </row>
    <row r="16946" spans="1:20" customFormat="1" ht="15" x14ac:dyDescent="0.25">
      <c r="A16946" t="s">
        <v>24</v>
      </c>
      <c r="B16946" t="s">
        <v>2011</v>
      </c>
      <c r="C16946" t="str">
        <f>"A0062427"</f>
        <v>A0062427</v>
      </c>
      <c r="D16946" t="s">
        <v>83764</v>
      </c>
      <c r="E16946" t="s">
        <v>83765</v>
      </c>
      <c r="F16946" t="s">
        <v>1592</v>
      </c>
      <c r="G16946" t="s">
        <v>197</v>
      </c>
      <c r="H16946">
        <v>85281</v>
      </c>
      <c r="I16946" t="s">
        <v>30</v>
      </c>
      <c r="J16946" t="s">
        <v>162</v>
      </c>
      <c r="K16946" t="s">
        <v>2015</v>
      </c>
      <c r="N16946" t="s">
        <v>83766</v>
      </c>
      <c r="O16946" t="s">
        <v>83767</v>
      </c>
      <c r="Q16946">
        <v>0</v>
      </c>
      <c r="R16946">
        <v>303</v>
      </c>
      <c r="S16946">
        <v>0</v>
      </c>
      <c r="T16946" t="s">
        <v>83768</v>
      </c>
    </row>
    <row r="16947" spans="1:20" customFormat="1" ht="15" x14ac:dyDescent="0.25">
      <c r="A16947" t="s">
        <v>24</v>
      </c>
      <c r="B16947" t="s">
        <v>5830</v>
      </c>
      <c r="C16947" t="str">
        <f>"A0054839"</f>
        <v>A0054839</v>
      </c>
      <c r="D16947" t="s">
        <v>83789</v>
      </c>
      <c r="E16947" t="s">
        <v>83790</v>
      </c>
      <c r="F16947" t="s">
        <v>4082</v>
      </c>
      <c r="G16947" t="s">
        <v>123</v>
      </c>
      <c r="H16947">
        <v>21231</v>
      </c>
      <c r="I16947" t="s">
        <v>30</v>
      </c>
      <c r="J16947" t="s">
        <v>162</v>
      </c>
      <c r="K16947" t="s">
        <v>83791</v>
      </c>
      <c r="N16947" t="s">
        <v>83792</v>
      </c>
      <c r="Q16947">
        <v>0</v>
      </c>
      <c r="R16947">
        <v>80</v>
      </c>
      <c r="S16947">
        <v>0</v>
      </c>
      <c r="T16947" t="s">
        <v>83793</v>
      </c>
    </row>
    <row r="16948" spans="1:20" customFormat="1" ht="15" x14ac:dyDescent="0.25">
      <c r="A16948" t="s">
        <v>24</v>
      </c>
      <c r="B16948" t="s">
        <v>75738</v>
      </c>
      <c r="C16948" t="str">
        <f>"A0154264"</f>
        <v>A0154264</v>
      </c>
      <c r="D16948" t="s">
        <v>83817</v>
      </c>
      <c r="E16948" t="s">
        <v>83818</v>
      </c>
      <c r="F16948" t="s">
        <v>83259</v>
      </c>
      <c r="G16948" t="s">
        <v>85</v>
      </c>
      <c r="H16948">
        <v>71901</v>
      </c>
      <c r="I16948" t="s">
        <v>30</v>
      </c>
      <c r="J16948" t="s">
        <v>162</v>
      </c>
      <c r="K16948" t="s">
        <v>163</v>
      </c>
      <c r="N16948" t="s">
        <v>83819</v>
      </c>
      <c r="O16948" t="s">
        <v>83820</v>
      </c>
      <c r="Q16948">
        <v>0</v>
      </c>
      <c r="R16948">
        <v>385</v>
      </c>
      <c r="S16948">
        <v>0</v>
      </c>
      <c r="T16948" t="s">
        <v>83821</v>
      </c>
    </row>
    <row r="16949" spans="1:20" customFormat="1" ht="15" x14ac:dyDescent="0.25">
      <c r="A16949" t="s">
        <v>24</v>
      </c>
      <c r="B16949" t="s">
        <v>56330</v>
      </c>
      <c r="C16949" t="str">
        <f>"A0078310"</f>
        <v>A0078310</v>
      </c>
      <c r="D16949" t="s">
        <v>83859</v>
      </c>
      <c r="E16949" t="s">
        <v>83860</v>
      </c>
      <c r="F16949" t="s">
        <v>53883</v>
      </c>
      <c r="G16949" t="s">
        <v>1706</v>
      </c>
      <c r="H16949">
        <v>36602</v>
      </c>
      <c r="I16949" t="s">
        <v>30</v>
      </c>
      <c r="J16949" t="s">
        <v>162</v>
      </c>
      <c r="K16949" t="s">
        <v>8335</v>
      </c>
      <c r="N16949" t="s">
        <v>83861</v>
      </c>
      <c r="Q16949">
        <v>0</v>
      </c>
      <c r="R16949">
        <v>238</v>
      </c>
      <c r="S16949">
        <v>0</v>
      </c>
      <c r="T16949" t="s">
        <v>83862</v>
      </c>
    </row>
    <row r="16950" spans="1:20" customFormat="1" ht="15" x14ac:dyDescent="0.25">
      <c r="A16950" t="s">
        <v>24</v>
      </c>
      <c r="B16950" t="s">
        <v>35833</v>
      </c>
      <c r="C16950" t="str">
        <f>"A0093398"</f>
        <v>A0093398</v>
      </c>
      <c r="D16950" t="s">
        <v>83869</v>
      </c>
      <c r="E16950" t="s">
        <v>83870</v>
      </c>
      <c r="F16950" t="s">
        <v>56591</v>
      </c>
      <c r="G16950" t="s">
        <v>1706</v>
      </c>
      <c r="H16950">
        <v>36542</v>
      </c>
      <c r="I16950" t="s">
        <v>30</v>
      </c>
      <c r="J16950" t="s">
        <v>162</v>
      </c>
      <c r="K16950" t="s">
        <v>163</v>
      </c>
      <c r="N16950" t="s">
        <v>83871</v>
      </c>
      <c r="O16950" t="s">
        <v>83872</v>
      </c>
      <c r="Q16950">
        <v>1</v>
      </c>
      <c r="R16950">
        <v>656</v>
      </c>
      <c r="S16950">
        <v>0</v>
      </c>
      <c r="T16950" t="s">
        <v>83873</v>
      </c>
    </row>
    <row r="16951" spans="1:20" customFormat="1" ht="15" x14ac:dyDescent="0.25">
      <c r="A16951" t="s">
        <v>24</v>
      </c>
      <c r="B16951" t="s">
        <v>13513</v>
      </c>
      <c r="C16951" t="str">
        <f>"A0057139"</f>
        <v>A0057139</v>
      </c>
      <c r="D16951" t="s">
        <v>83874</v>
      </c>
      <c r="E16951" t="s">
        <v>83875</v>
      </c>
      <c r="F16951" t="s">
        <v>35912</v>
      </c>
      <c r="G16951" t="s">
        <v>58</v>
      </c>
      <c r="H16951">
        <v>29928</v>
      </c>
      <c r="I16951" t="s">
        <v>30</v>
      </c>
      <c r="J16951" t="s">
        <v>162</v>
      </c>
      <c r="K16951" t="s">
        <v>163</v>
      </c>
      <c r="N16951" t="s">
        <v>83876</v>
      </c>
      <c r="O16951" t="s">
        <v>83877</v>
      </c>
      <c r="Q16951">
        <v>0</v>
      </c>
      <c r="R16951">
        <v>202</v>
      </c>
      <c r="S16951">
        <v>0</v>
      </c>
      <c r="T16951" t="s">
        <v>83878</v>
      </c>
    </row>
    <row r="16952" spans="1:20" customFormat="1" ht="15" x14ac:dyDescent="0.25">
      <c r="A16952" t="s">
        <v>24</v>
      </c>
      <c r="B16952" t="s">
        <v>2011</v>
      </c>
      <c r="C16952" t="str">
        <f>"A0095044"</f>
        <v>A0095044</v>
      </c>
      <c r="D16952" t="s">
        <v>83879</v>
      </c>
      <c r="E16952" t="s">
        <v>83880</v>
      </c>
      <c r="F16952" t="s">
        <v>997</v>
      </c>
      <c r="G16952" t="s">
        <v>99</v>
      </c>
      <c r="H16952">
        <v>10038</v>
      </c>
      <c r="I16952" t="s">
        <v>30</v>
      </c>
      <c r="J16952" t="s">
        <v>162</v>
      </c>
      <c r="K16952" t="s">
        <v>7012</v>
      </c>
      <c r="N16952" t="s">
        <v>83881</v>
      </c>
      <c r="O16952" t="s">
        <v>83882</v>
      </c>
      <c r="Q16952">
        <v>0</v>
      </c>
      <c r="R16952">
        <v>287</v>
      </c>
      <c r="S16952">
        <v>0</v>
      </c>
      <c r="T16952" t="s">
        <v>83883</v>
      </c>
    </row>
    <row r="16953" spans="1:20" customFormat="1" ht="15" x14ac:dyDescent="0.25">
      <c r="A16953" t="s">
        <v>24</v>
      </c>
      <c r="B16953" t="s">
        <v>2435</v>
      </c>
      <c r="C16953" t="str">
        <f>"SF01281"</f>
        <v>SF01281</v>
      </c>
      <c r="D16953" t="s">
        <v>83894</v>
      </c>
      <c r="E16953" t="s">
        <v>83895</v>
      </c>
      <c r="F16953" t="s">
        <v>6609</v>
      </c>
      <c r="G16953" t="s">
        <v>123</v>
      </c>
      <c r="H16953">
        <v>20814</v>
      </c>
      <c r="I16953" t="s">
        <v>30</v>
      </c>
      <c r="J16953" t="s">
        <v>162</v>
      </c>
      <c r="K16953" t="s">
        <v>2881</v>
      </c>
      <c r="N16953" t="s">
        <v>83896</v>
      </c>
      <c r="Q16953">
        <v>0</v>
      </c>
      <c r="R16953">
        <v>270</v>
      </c>
      <c r="S16953">
        <v>0</v>
      </c>
      <c r="T16953" t="s">
        <v>83897</v>
      </c>
    </row>
    <row r="16954" spans="1:20" customFormat="1" ht="15" x14ac:dyDescent="0.25">
      <c r="A16954" t="s">
        <v>24</v>
      </c>
      <c r="B16954" t="s">
        <v>83898</v>
      </c>
      <c r="C16954" t="str">
        <f>"A0069356"</f>
        <v>A0069356</v>
      </c>
      <c r="D16954" t="s">
        <v>83899</v>
      </c>
      <c r="E16954" t="s">
        <v>83900</v>
      </c>
      <c r="F16954" t="s">
        <v>63580</v>
      </c>
      <c r="G16954" t="s">
        <v>81</v>
      </c>
      <c r="H16954">
        <v>33139</v>
      </c>
      <c r="I16954" t="s">
        <v>30</v>
      </c>
      <c r="J16954" t="s">
        <v>162</v>
      </c>
      <c r="K16954" t="s">
        <v>163</v>
      </c>
      <c r="N16954" t="s">
        <v>83901</v>
      </c>
      <c r="Q16954">
        <v>0</v>
      </c>
      <c r="R16954">
        <v>61</v>
      </c>
      <c r="S16954">
        <v>0</v>
      </c>
      <c r="T16954" t="s">
        <v>83902</v>
      </c>
    </row>
    <row r="16955" spans="1:20" customFormat="1" ht="15" x14ac:dyDescent="0.25">
      <c r="A16955" t="s">
        <v>24</v>
      </c>
      <c r="B16955" t="s">
        <v>6363</v>
      </c>
      <c r="C16955" t="str">
        <f>"A0097792"</f>
        <v>A0097792</v>
      </c>
      <c r="D16955" t="s">
        <v>83903</v>
      </c>
      <c r="E16955" t="s">
        <v>83904</v>
      </c>
      <c r="F16955" t="s">
        <v>2008</v>
      </c>
      <c r="G16955" t="s">
        <v>880</v>
      </c>
      <c r="H16955">
        <v>37863</v>
      </c>
      <c r="I16955" t="s">
        <v>30</v>
      </c>
      <c r="J16955" t="s">
        <v>162</v>
      </c>
      <c r="K16955" t="s">
        <v>2881</v>
      </c>
      <c r="N16955" t="s">
        <v>83905</v>
      </c>
      <c r="O16955" t="s">
        <v>83906</v>
      </c>
      <c r="Q16955">
        <v>0</v>
      </c>
      <c r="R16955">
        <v>178</v>
      </c>
      <c r="S16955">
        <v>0</v>
      </c>
      <c r="T16955" t="s">
        <v>83907</v>
      </c>
    </row>
    <row r="16956" spans="1:20" customFormat="1" ht="15" x14ac:dyDescent="0.25">
      <c r="A16956" t="s">
        <v>24</v>
      </c>
      <c r="B16956" t="s">
        <v>1020</v>
      </c>
      <c r="C16956" t="str">
        <f>"A0083969"</f>
        <v>A0083969</v>
      </c>
      <c r="D16956" t="s">
        <v>83919</v>
      </c>
      <c r="E16956" t="s">
        <v>83920</v>
      </c>
      <c r="F16956" t="s">
        <v>26129</v>
      </c>
      <c r="G16956" t="s">
        <v>899</v>
      </c>
      <c r="H16956">
        <v>2114</v>
      </c>
      <c r="I16956" t="s">
        <v>30</v>
      </c>
      <c r="J16956" t="s">
        <v>162</v>
      </c>
      <c r="K16956" t="s">
        <v>163</v>
      </c>
      <c r="N16956" t="s">
        <v>83921</v>
      </c>
      <c r="O16956" t="s">
        <v>66620</v>
      </c>
      <c r="Q16956">
        <v>0</v>
      </c>
      <c r="R16956">
        <v>80</v>
      </c>
      <c r="S16956">
        <v>0</v>
      </c>
      <c r="T16956" t="s">
        <v>83922</v>
      </c>
    </row>
    <row r="16957" spans="1:20" customFormat="1" ht="15" x14ac:dyDescent="0.25">
      <c r="A16957" t="s">
        <v>24</v>
      </c>
      <c r="B16957" t="s">
        <v>1156</v>
      </c>
      <c r="C16957" t="str">
        <f>"A0074960"</f>
        <v>A0074960</v>
      </c>
      <c r="D16957" t="s">
        <v>83932</v>
      </c>
      <c r="E16957" t="s">
        <v>83933</v>
      </c>
      <c r="F16957" t="s">
        <v>1159</v>
      </c>
      <c r="G16957" t="s">
        <v>58</v>
      </c>
      <c r="H16957">
        <v>29577</v>
      </c>
      <c r="I16957" t="s">
        <v>30</v>
      </c>
      <c r="J16957" t="s">
        <v>162</v>
      </c>
      <c r="K16957" t="s">
        <v>179</v>
      </c>
      <c r="N16957" t="s">
        <v>83934</v>
      </c>
      <c r="O16957" t="s">
        <v>83935</v>
      </c>
      <c r="Q16957">
        <v>0</v>
      </c>
      <c r="R16957">
        <v>627</v>
      </c>
      <c r="S16957">
        <v>0</v>
      </c>
      <c r="T16957" t="s">
        <v>83936</v>
      </c>
    </row>
    <row r="16958" spans="1:20" customFormat="1" ht="15" x14ac:dyDescent="0.25">
      <c r="A16958" t="s">
        <v>24</v>
      </c>
      <c r="B16958" t="s">
        <v>2520</v>
      </c>
      <c r="C16958" t="str">
        <f>"A0073504"</f>
        <v>A0073504</v>
      </c>
      <c r="D16958" t="s">
        <v>83937</v>
      </c>
      <c r="E16958" t="s">
        <v>83938</v>
      </c>
      <c r="F16958" t="s">
        <v>2978</v>
      </c>
      <c r="G16958" t="s">
        <v>110</v>
      </c>
      <c r="H16958">
        <v>92101</v>
      </c>
      <c r="I16958" t="s">
        <v>30</v>
      </c>
      <c r="J16958" t="s">
        <v>162</v>
      </c>
      <c r="K16958" t="s">
        <v>163</v>
      </c>
      <c r="N16958" t="s">
        <v>83939</v>
      </c>
      <c r="Q16958">
        <v>0</v>
      </c>
      <c r="R16958">
        <v>102</v>
      </c>
      <c r="S16958">
        <v>0</v>
      </c>
      <c r="T16958" t="s">
        <v>83940</v>
      </c>
    </row>
    <row r="16959" spans="1:20" customFormat="1" ht="15" x14ac:dyDescent="0.25">
      <c r="A16959" t="s">
        <v>24</v>
      </c>
      <c r="B16959" t="s">
        <v>799</v>
      </c>
      <c r="C16959" t="str">
        <f>"A0098969"</f>
        <v>A0098969</v>
      </c>
      <c r="D16959" t="s">
        <v>83941</v>
      </c>
      <c r="E16959" t="s">
        <v>83942</v>
      </c>
      <c r="F16959" t="s">
        <v>62645</v>
      </c>
      <c r="G16959" t="s">
        <v>29</v>
      </c>
      <c r="H16959">
        <v>24201</v>
      </c>
      <c r="I16959" t="s">
        <v>30</v>
      </c>
      <c r="J16959" t="s">
        <v>162</v>
      </c>
      <c r="K16959" t="s">
        <v>163</v>
      </c>
      <c r="N16959" t="s">
        <v>83943</v>
      </c>
      <c r="O16959" t="s">
        <v>83944</v>
      </c>
      <c r="Q16959">
        <v>0</v>
      </c>
      <c r="R16959">
        <v>65</v>
      </c>
      <c r="S16959">
        <v>0</v>
      </c>
      <c r="T16959" t="s">
        <v>83945</v>
      </c>
    </row>
    <row r="16960" spans="1:20" customFormat="1" ht="15" x14ac:dyDescent="0.25">
      <c r="A16960" t="s">
        <v>24</v>
      </c>
      <c r="B16960" t="s">
        <v>63096</v>
      </c>
      <c r="C16960" t="str">
        <f>"A0060991"</f>
        <v>A0060991</v>
      </c>
      <c r="D16960" t="s">
        <v>83951</v>
      </c>
      <c r="E16960" t="s">
        <v>83952</v>
      </c>
      <c r="F16960" t="s">
        <v>3466</v>
      </c>
      <c r="G16960" t="s">
        <v>840</v>
      </c>
      <c r="H16960">
        <v>40202</v>
      </c>
      <c r="I16960" t="s">
        <v>30</v>
      </c>
      <c r="J16960" t="s">
        <v>162</v>
      </c>
      <c r="K16960" t="s">
        <v>163</v>
      </c>
      <c r="N16960" t="s">
        <v>83953</v>
      </c>
      <c r="O16960" t="s">
        <v>83954</v>
      </c>
      <c r="Q16960">
        <v>0</v>
      </c>
      <c r="R16960">
        <v>293</v>
      </c>
      <c r="S16960">
        <v>0</v>
      </c>
      <c r="T16960" t="s">
        <v>83955</v>
      </c>
    </row>
    <row r="16961" spans="1:20" customFormat="1" ht="15" x14ac:dyDescent="0.25">
      <c r="A16961" t="s">
        <v>24</v>
      </c>
      <c r="B16961" t="s">
        <v>8843</v>
      </c>
      <c r="C16961" t="str">
        <f>"A0155977"</f>
        <v>A0155977</v>
      </c>
      <c r="D16961" t="s">
        <v>83960</v>
      </c>
      <c r="E16961" t="s">
        <v>83961</v>
      </c>
      <c r="F16961" t="s">
        <v>67480</v>
      </c>
      <c r="G16961" t="s">
        <v>81</v>
      </c>
      <c r="H16961">
        <v>32163</v>
      </c>
      <c r="I16961" t="s">
        <v>30</v>
      </c>
      <c r="J16961" t="s">
        <v>162</v>
      </c>
      <c r="K16961" t="s">
        <v>163</v>
      </c>
      <c r="N16961" t="s">
        <v>83962</v>
      </c>
      <c r="Q16961">
        <v>0</v>
      </c>
      <c r="R16961">
        <v>160</v>
      </c>
      <c r="S16961">
        <v>0</v>
      </c>
      <c r="T16961" t="s">
        <v>83963</v>
      </c>
    </row>
    <row r="16962" spans="1:20" customFormat="1" ht="15" x14ac:dyDescent="0.25">
      <c r="A16962" t="s">
        <v>24</v>
      </c>
      <c r="B16962" t="s">
        <v>2011</v>
      </c>
      <c r="C16962" t="str">
        <f>"A0086388"</f>
        <v>A0086388</v>
      </c>
      <c r="D16962" t="s">
        <v>83985</v>
      </c>
      <c r="E16962" t="s">
        <v>83986</v>
      </c>
      <c r="F16962" t="s">
        <v>6845</v>
      </c>
      <c r="G16962" t="s">
        <v>214</v>
      </c>
      <c r="H16962">
        <v>27516</v>
      </c>
      <c r="I16962" t="s">
        <v>30</v>
      </c>
      <c r="J16962" t="s">
        <v>162</v>
      </c>
      <c r="K16962" t="s">
        <v>2015</v>
      </c>
      <c r="N16962" t="s">
        <v>83987</v>
      </c>
      <c r="Q16962">
        <v>0</v>
      </c>
      <c r="R16962">
        <v>185</v>
      </c>
      <c r="S16962">
        <v>0</v>
      </c>
      <c r="T16962" t="s">
        <v>83988</v>
      </c>
    </row>
    <row r="16963" spans="1:20" customFormat="1" ht="15" x14ac:dyDescent="0.25">
      <c r="A16963" t="s">
        <v>24</v>
      </c>
      <c r="B16963" t="s">
        <v>80787</v>
      </c>
      <c r="C16963" t="str">
        <f>"A0154348"</f>
        <v>A0154348</v>
      </c>
      <c r="D16963" t="s">
        <v>83998</v>
      </c>
      <c r="E16963" t="s">
        <v>83999</v>
      </c>
      <c r="F16963" t="s">
        <v>11003</v>
      </c>
      <c r="G16963" t="s">
        <v>110</v>
      </c>
      <c r="H16963">
        <v>92008</v>
      </c>
      <c r="I16963" t="s">
        <v>30</v>
      </c>
      <c r="J16963" t="s">
        <v>162</v>
      </c>
      <c r="K16963" t="s">
        <v>2881</v>
      </c>
      <c r="N16963" t="s">
        <v>84000</v>
      </c>
      <c r="O16963" t="s">
        <v>84001</v>
      </c>
      <c r="Q16963">
        <v>0</v>
      </c>
      <c r="R16963">
        <v>90</v>
      </c>
      <c r="S16963">
        <v>0</v>
      </c>
      <c r="T16963" t="s">
        <v>84002</v>
      </c>
    </row>
    <row r="16964" spans="1:20" customFormat="1" ht="15" x14ac:dyDescent="0.25">
      <c r="A16964" t="s">
        <v>24</v>
      </c>
      <c r="B16964" t="s">
        <v>61358</v>
      </c>
      <c r="C16964" t="str">
        <f>"A0157892"</f>
        <v>A0157892</v>
      </c>
      <c r="D16964" t="s">
        <v>84006</v>
      </c>
      <c r="E16964" t="s">
        <v>84007</v>
      </c>
      <c r="F16964" t="s">
        <v>985</v>
      </c>
      <c r="G16964" t="s">
        <v>81</v>
      </c>
      <c r="H16964">
        <v>32826</v>
      </c>
      <c r="I16964" t="s">
        <v>30</v>
      </c>
      <c r="J16964" t="s">
        <v>162</v>
      </c>
      <c r="K16964" t="s">
        <v>3447</v>
      </c>
      <c r="Q16964">
        <v>0</v>
      </c>
      <c r="R16964">
        <v>179</v>
      </c>
      <c r="S16964">
        <v>0</v>
      </c>
      <c r="T16964" t="s">
        <v>84008</v>
      </c>
    </row>
    <row r="16965" spans="1:20" customFormat="1" ht="15" x14ac:dyDescent="0.25">
      <c r="A16965" t="s">
        <v>24</v>
      </c>
      <c r="B16965" t="s">
        <v>5830</v>
      </c>
      <c r="C16965" t="str">
        <f>"SF01048"</f>
        <v>SF01048</v>
      </c>
      <c r="D16965" t="s">
        <v>84009</v>
      </c>
      <c r="E16965" t="s">
        <v>84010</v>
      </c>
      <c r="F16965" t="s">
        <v>68963</v>
      </c>
      <c r="G16965" t="s">
        <v>103</v>
      </c>
      <c r="H16965">
        <v>18031</v>
      </c>
      <c r="I16965" t="s">
        <v>30</v>
      </c>
      <c r="J16965" t="s">
        <v>162</v>
      </c>
      <c r="K16965" t="s">
        <v>6657</v>
      </c>
      <c r="N16965" t="s">
        <v>84011</v>
      </c>
      <c r="Q16965">
        <v>0</v>
      </c>
      <c r="R16965">
        <v>175</v>
      </c>
      <c r="S16965">
        <v>0</v>
      </c>
      <c r="T16965" t="s">
        <v>84012</v>
      </c>
    </row>
    <row r="16966" spans="1:20" customFormat="1" ht="15" x14ac:dyDescent="0.25">
      <c r="A16966" t="s">
        <v>24</v>
      </c>
      <c r="B16966" t="s">
        <v>1561</v>
      </c>
      <c r="C16966" t="str">
        <f>"A0096676"</f>
        <v>A0096676</v>
      </c>
      <c r="D16966" t="s">
        <v>84013</v>
      </c>
      <c r="E16966" t="s">
        <v>84014</v>
      </c>
      <c r="F16966" t="s">
        <v>6404</v>
      </c>
      <c r="G16966" t="s">
        <v>161</v>
      </c>
      <c r="H16966">
        <v>55403</v>
      </c>
      <c r="I16966" t="s">
        <v>30</v>
      </c>
      <c r="J16966" t="s">
        <v>162</v>
      </c>
      <c r="K16966" t="s">
        <v>163</v>
      </c>
      <c r="N16966" t="s">
        <v>84015</v>
      </c>
      <c r="Q16966">
        <v>0</v>
      </c>
      <c r="R16966">
        <v>60</v>
      </c>
      <c r="S16966">
        <v>0</v>
      </c>
      <c r="T16966" t="s">
        <v>84016</v>
      </c>
    </row>
    <row r="16967" spans="1:20" customFormat="1" ht="15" hidden="1" x14ac:dyDescent="0.25">
      <c r="A16967" t="s">
        <v>24</v>
      </c>
      <c r="B16967" t="s">
        <v>675</v>
      </c>
      <c r="C16967" t="str">
        <f>"A0074610"</f>
        <v>A0074610</v>
      </c>
      <c r="D16967" t="s">
        <v>60729</v>
      </c>
      <c r="E16967" t="s">
        <v>60730</v>
      </c>
      <c r="F16967" t="s">
        <v>60731</v>
      </c>
      <c r="G16967" t="s">
        <v>6820</v>
      </c>
      <c r="H16967" t="s">
        <v>55193</v>
      </c>
      <c r="I16967" t="s">
        <v>6821</v>
      </c>
      <c r="J16967" t="s">
        <v>171</v>
      </c>
      <c r="K16967" t="s">
        <v>973</v>
      </c>
      <c r="N16967" t="s">
        <v>60732</v>
      </c>
      <c r="O16967" t="s">
        <v>60733</v>
      </c>
      <c r="Q16967">
        <v>0</v>
      </c>
      <c r="R16967">
        <v>119</v>
      </c>
      <c r="S16967">
        <v>0</v>
      </c>
      <c r="T16967" t="s">
        <v>60734</v>
      </c>
    </row>
    <row r="16968" spans="1:20" customFormat="1" ht="15" x14ac:dyDescent="0.25">
      <c r="A16968" t="s">
        <v>24</v>
      </c>
      <c r="B16968" t="s">
        <v>8742</v>
      </c>
      <c r="C16968" t="str">
        <f>"A0091574"</f>
        <v>A0091574</v>
      </c>
      <c r="D16968" t="s">
        <v>84017</v>
      </c>
      <c r="E16968" t="s">
        <v>84018</v>
      </c>
      <c r="F16968" t="s">
        <v>1346</v>
      </c>
      <c r="G16968" t="s">
        <v>880</v>
      </c>
      <c r="H16968">
        <v>37402</v>
      </c>
      <c r="I16968" t="s">
        <v>30</v>
      </c>
      <c r="J16968" t="s">
        <v>162</v>
      </c>
      <c r="K16968" t="s">
        <v>163</v>
      </c>
      <c r="N16968" t="s">
        <v>84019</v>
      </c>
      <c r="Q16968">
        <v>1</v>
      </c>
      <c r="R16968">
        <v>199</v>
      </c>
      <c r="S16968">
        <v>0</v>
      </c>
      <c r="T16968" t="s">
        <v>84020</v>
      </c>
    </row>
    <row r="16969" spans="1:20" customFormat="1" ht="15" x14ac:dyDescent="0.25">
      <c r="A16969" t="s">
        <v>24</v>
      </c>
      <c r="B16969" t="s">
        <v>2221</v>
      </c>
      <c r="C16969" t="str">
        <f>"A0075972"</f>
        <v>A0075972</v>
      </c>
      <c r="D16969" t="s">
        <v>84021</v>
      </c>
      <c r="E16969" t="s">
        <v>84022</v>
      </c>
      <c r="F16969" t="s">
        <v>313</v>
      </c>
      <c r="G16969" t="s">
        <v>314</v>
      </c>
      <c r="H16969">
        <v>20009</v>
      </c>
      <c r="I16969" t="s">
        <v>30</v>
      </c>
      <c r="J16969" t="s">
        <v>162</v>
      </c>
      <c r="K16969" t="s">
        <v>163</v>
      </c>
      <c r="N16969" t="s">
        <v>84023</v>
      </c>
      <c r="Q16969">
        <v>0</v>
      </c>
      <c r="R16969">
        <v>144</v>
      </c>
      <c r="S16969">
        <v>0</v>
      </c>
      <c r="T16969" t="s">
        <v>84024</v>
      </c>
    </row>
    <row r="16970" spans="1:20" customFormat="1" ht="15" x14ac:dyDescent="0.25">
      <c r="A16970" t="s">
        <v>24</v>
      </c>
      <c r="B16970" t="s">
        <v>66542</v>
      </c>
      <c r="C16970" t="str">
        <f>"A0095013"</f>
        <v>A0095013</v>
      </c>
      <c r="D16970" t="s">
        <v>84033</v>
      </c>
      <c r="E16970" t="s">
        <v>84034</v>
      </c>
      <c r="F16970" t="s">
        <v>5374</v>
      </c>
      <c r="G16970" t="s">
        <v>110</v>
      </c>
      <c r="H16970">
        <v>94301</v>
      </c>
      <c r="I16970" t="s">
        <v>30</v>
      </c>
      <c r="J16970" t="s">
        <v>162</v>
      </c>
      <c r="K16970" t="s">
        <v>163</v>
      </c>
      <c r="N16970" t="s">
        <v>84035</v>
      </c>
      <c r="Q16970">
        <v>0</v>
      </c>
      <c r="R16970">
        <v>23</v>
      </c>
      <c r="S16970">
        <v>0</v>
      </c>
      <c r="T16970" t="s">
        <v>84036</v>
      </c>
    </row>
    <row r="16971" spans="1:20" customFormat="1" ht="15" x14ac:dyDescent="0.25">
      <c r="A16971" t="s">
        <v>24</v>
      </c>
      <c r="B16971" t="s">
        <v>63096</v>
      </c>
      <c r="C16971" t="str">
        <f>"A0090989"</f>
        <v>A0090989</v>
      </c>
      <c r="D16971" t="s">
        <v>84042</v>
      </c>
      <c r="E16971" t="s">
        <v>84043</v>
      </c>
      <c r="F16971" t="s">
        <v>84044</v>
      </c>
      <c r="G16971" t="s">
        <v>190</v>
      </c>
      <c r="H16971">
        <v>80829</v>
      </c>
      <c r="I16971" t="s">
        <v>30</v>
      </c>
      <c r="J16971" t="s">
        <v>162</v>
      </c>
      <c r="K16971" t="s">
        <v>163</v>
      </c>
      <c r="N16971" t="s">
        <v>84045</v>
      </c>
      <c r="O16971" t="s">
        <v>84046</v>
      </c>
      <c r="Q16971">
        <v>0</v>
      </c>
      <c r="R16971">
        <v>54</v>
      </c>
      <c r="S16971">
        <v>0</v>
      </c>
      <c r="T16971" t="s">
        <v>84047</v>
      </c>
    </row>
    <row r="16972" spans="1:20" customFormat="1" ht="15" x14ac:dyDescent="0.25">
      <c r="A16972" t="s">
        <v>24</v>
      </c>
      <c r="B16972" t="s">
        <v>805</v>
      </c>
      <c r="C16972" t="str">
        <f>"A0054216"</f>
        <v>A0054216</v>
      </c>
      <c r="D16972" t="s">
        <v>84048</v>
      </c>
      <c r="E16972" t="s">
        <v>84049</v>
      </c>
      <c r="F16972" t="s">
        <v>748</v>
      </c>
      <c r="G16972" t="s">
        <v>110</v>
      </c>
      <c r="H16972">
        <v>94102</v>
      </c>
      <c r="I16972" t="s">
        <v>30</v>
      </c>
      <c r="J16972" t="s">
        <v>162</v>
      </c>
      <c r="K16972" t="s">
        <v>6405</v>
      </c>
      <c r="N16972" t="s">
        <v>84050</v>
      </c>
      <c r="O16972" t="s">
        <v>84051</v>
      </c>
      <c r="Q16972">
        <v>0</v>
      </c>
      <c r="R16972">
        <v>363</v>
      </c>
      <c r="S16972">
        <v>0</v>
      </c>
      <c r="T16972" t="s">
        <v>84052</v>
      </c>
    </row>
    <row r="16973" spans="1:20" customFormat="1" ht="15" x14ac:dyDescent="0.25">
      <c r="A16973" t="s">
        <v>24</v>
      </c>
      <c r="B16973" t="s">
        <v>3367</v>
      </c>
      <c r="C16973" t="str">
        <f>"A0075094"</f>
        <v>A0075094</v>
      </c>
      <c r="D16973" t="s">
        <v>84109</v>
      </c>
      <c r="E16973" t="s">
        <v>84110</v>
      </c>
      <c r="F16973" t="s">
        <v>13473</v>
      </c>
      <c r="G16973" t="s">
        <v>427</v>
      </c>
      <c r="H16973">
        <v>68508</v>
      </c>
      <c r="I16973" t="s">
        <v>30</v>
      </c>
      <c r="J16973" t="s">
        <v>162</v>
      </c>
      <c r="K16973" t="s">
        <v>1490</v>
      </c>
      <c r="N16973" t="s">
        <v>84111</v>
      </c>
      <c r="Q16973">
        <v>0</v>
      </c>
      <c r="R16973">
        <v>297</v>
      </c>
      <c r="S16973">
        <v>0</v>
      </c>
      <c r="T16973" t="s">
        <v>84112</v>
      </c>
    </row>
    <row r="16974" spans="1:20" customFormat="1" ht="15" x14ac:dyDescent="0.25">
      <c r="A16974" t="s">
        <v>24</v>
      </c>
      <c r="B16974" t="s">
        <v>5166</v>
      </c>
      <c r="C16974" t="str">
        <f>"A0092728"</f>
        <v>A0092728</v>
      </c>
      <c r="D16974" t="s">
        <v>84117</v>
      </c>
      <c r="E16974" t="s">
        <v>84118</v>
      </c>
      <c r="F16974" t="s">
        <v>972</v>
      </c>
      <c r="G16974" t="s">
        <v>190</v>
      </c>
      <c r="H16974">
        <v>80202</v>
      </c>
      <c r="I16974" t="s">
        <v>30</v>
      </c>
      <c r="J16974" t="s">
        <v>162</v>
      </c>
      <c r="K16974" t="s">
        <v>163</v>
      </c>
      <c r="N16974" t="s">
        <v>84119</v>
      </c>
      <c r="O16974" t="s">
        <v>84120</v>
      </c>
      <c r="Q16974">
        <v>0</v>
      </c>
      <c r="R16974">
        <v>112</v>
      </c>
      <c r="S16974">
        <v>0</v>
      </c>
      <c r="T16974" t="s">
        <v>84121</v>
      </c>
    </row>
    <row r="16975" spans="1:20" customFormat="1" ht="15" x14ac:dyDescent="0.25">
      <c r="A16975" t="s">
        <v>24</v>
      </c>
      <c r="B16975" t="s">
        <v>5166</v>
      </c>
      <c r="C16975" t="str">
        <f>"A0058279"</f>
        <v>A0058279</v>
      </c>
      <c r="D16975" t="s">
        <v>84131</v>
      </c>
      <c r="E16975" t="s">
        <v>84132</v>
      </c>
      <c r="F16975" t="s">
        <v>972</v>
      </c>
      <c r="G16975" t="s">
        <v>190</v>
      </c>
      <c r="H16975">
        <v>80202</v>
      </c>
      <c r="I16975" t="s">
        <v>30</v>
      </c>
      <c r="J16975" t="s">
        <v>162</v>
      </c>
      <c r="K16975" t="s">
        <v>759</v>
      </c>
      <c r="N16975" t="s">
        <v>84133</v>
      </c>
      <c r="O16975" t="s">
        <v>84134</v>
      </c>
      <c r="Q16975">
        <v>0</v>
      </c>
      <c r="R16975">
        <v>336</v>
      </c>
      <c r="S16975">
        <v>0</v>
      </c>
      <c r="T16975" t="s">
        <v>84135</v>
      </c>
    </row>
    <row r="16976" spans="1:20" customFormat="1" ht="15" x14ac:dyDescent="0.25">
      <c r="A16976" t="s">
        <v>24</v>
      </c>
      <c r="B16976" t="s">
        <v>13299</v>
      </c>
      <c r="C16976" t="str">
        <f>"A0059020"</f>
        <v>A0059020</v>
      </c>
      <c r="D16976" t="s">
        <v>84147</v>
      </c>
      <c r="E16976" t="s">
        <v>84148</v>
      </c>
      <c r="F16976" t="s">
        <v>985</v>
      </c>
      <c r="G16976" t="s">
        <v>81</v>
      </c>
      <c r="H16976">
        <v>32836</v>
      </c>
      <c r="I16976" t="s">
        <v>30</v>
      </c>
      <c r="J16976" t="s">
        <v>162</v>
      </c>
      <c r="K16976" t="s">
        <v>8834</v>
      </c>
      <c r="N16976" t="s">
        <v>84149</v>
      </c>
      <c r="O16976" t="s">
        <v>84150</v>
      </c>
      <c r="Q16976">
        <v>0</v>
      </c>
      <c r="R16976">
        <v>243</v>
      </c>
      <c r="S16976">
        <v>0</v>
      </c>
      <c r="T16976" t="s">
        <v>84151</v>
      </c>
    </row>
    <row r="16977" spans="1:20" customFormat="1" ht="15" x14ac:dyDescent="0.25">
      <c r="A16977" t="s">
        <v>24</v>
      </c>
      <c r="B16977" t="s">
        <v>84152</v>
      </c>
      <c r="C16977" t="str">
        <f>"A0088939"</f>
        <v>A0088939</v>
      </c>
      <c r="D16977" t="s">
        <v>84153</v>
      </c>
      <c r="E16977" t="s">
        <v>84154</v>
      </c>
      <c r="F16977" t="s">
        <v>997</v>
      </c>
      <c r="G16977" t="s">
        <v>99</v>
      </c>
      <c r="H16977">
        <v>10013</v>
      </c>
      <c r="I16977" t="s">
        <v>30</v>
      </c>
      <c r="J16977" t="s">
        <v>162</v>
      </c>
      <c r="K16977" t="s">
        <v>163</v>
      </c>
      <c r="N16977" t="s">
        <v>84155</v>
      </c>
      <c r="O16977" t="s">
        <v>84156</v>
      </c>
      <c r="Q16977">
        <v>0</v>
      </c>
      <c r="R16977">
        <v>391</v>
      </c>
      <c r="S16977">
        <v>0</v>
      </c>
      <c r="T16977" t="s">
        <v>84157</v>
      </c>
    </row>
    <row r="16978" spans="1:20" customFormat="1" ht="15" x14ac:dyDescent="0.25">
      <c r="A16978" t="s">
        <v>24</v>
      </c>
      <c r="B16978" t="s">
        <v>5166</v>
      </c>
      <c r="C16978" t="str">
        <f>"A0056730"</f>
        <v>A0056730</v>
      </c>
      <c r="D16978" t="s">
        <v>84163</v>
      </c>
      <c r="E16978" t="s">
        <v>84164</v>
      </c>
      <c r="F16978" t="s">
        <v>372</v>
      </c>
      <c r="G16978" t="s">
        <v>52</v>
      </c>
      <c r="H16978">
        <v>78752</v>
      </c>
      <c r="I16978" t="s">
        <v>30</v>
      </c>
      <c r="J16978" t="s">
        <v>162</v>
      </c>
      <c r="K16978" t="s">
        <v>759</v>
      </c>
      <c r="N16978" t="s">
        <v>84165</v>
      </c>
      <c r="O16978" t="s">
        <v>84166</v>
      </c>
      <c r="Q16978">
        <v>0</v>
      </c>
      <c r="R16978">
        <v>350</v>
      </c>
      <c r="S16978">
        <v>0</v>
      </c>
      <c r="T16978" t="s">
        <v>84167</v>
      </c>
    </row>
    <row r="16979" spans="1:20" customFormat="1" ht="15" x14ac:dyDescent="0.25">
      <c r="A16979" t="s">
        <v>24</v>
      </c>
      <c r="B16979" t="s">
        <v>84183</v>
      </c>
      <c r="C16979" t="str">
        <f>"A0098562"</f>
        <v>A0098562</v>
      </c>
      <c r="D16979" t="s">
        <v>84184</v>
      </c>
      <c r="E16979" t="s">
        <v>84185</v>
      </c>
      <c r="F16979" t="s">
        <v>1003</v>
      </c>
      <c r="G16979" t="s">
        <v>81</v>
      </c>
      <c r="H16979">
        <v>33139</v>
      </c>
      <c r="I16979" t="s">
        <v>30</v>
      </c>
      <c r="J16979" t="s">
        <v>162</v>
      </c>
      <c r="K16979" t="s">
        <v>163</v>
      </c>
      <c r="N16979" t="s">
        <v>84186</v>
      </c>
      <c r="O16979" t="s">
        <v>84187</v>
      </c>
      <c r="Q16979">
        <v>0</v>
      </c>
      <c r="R16979">
        <v>0</v>
      </c>
      <c r="S16979">
        <v>0</v>
      </c>
      <c r="T16979" t="s">
        <v>84188</v>
      </c>
    </row>
    <row r="16980" spans="1:20" customFormat="1" ht="15" x14ac:dyDescent="0.25">
      <c r="A16980" t="s">
        <v>24</v>
      </c>
      <c r="B16980" t="s">
        <v>2011</v>
      </c>
      <c r="C16980" t="str">
        <f>"A0074734"</f>
        <v>A0074734</v>
      </c>
      <c r="D16980" t="s">
        <v>84211</v>
      </c>
      <c r="E16980" t="s">
        <v>84212</v>
      </c>
      <c r="F16980" t="s">
        <v>84213</v>
      </c>
      <c r="G16980" t="s">
        <v>137</v>
      </c>
      <c r="H16980">
        <v>64024</v>
      </c>
      <c r="I16980" t="s">
        <v>30</v>
      </c>
      <c r="J16980" t="s">
        <v>162</v>
      </c>
      <c r="K16980" t="s">
        <v>2015</v>
      </c>
      <c r="N16980" t="s">
        <v>84214</v>
      </c>
      <c r="Q16980">
        <v>0</v>
      </c>
      <c r="R16980">
        <v>153</v>
      </c>
      <c r="S16980">
        <v>0</v>
      </c>
      <c r="T16980" t="s">
        <v>84215</v>
      </c>
    </row>
    <row r="16981" spans="1:20" customFormat="1" ht="15" x14ac:dyDescent="0.25">
      <c r="A16981" t="s">
        <v>24</v>
      </c>
      <c r="B16981" t="s">
        <v>13730</v>
      </c>
      <c r="C16981" t="str">
        <f>"A0059121"</f>
        <v>A0059121</v>
      </c>
      <c r="D16981" t="s">
        <v>84216</v>
      </c>
      <c r="E16981" t="s">
        <v>84217</v>
      </c>
      <c r="F16981" t="s">
        <v>356</v>
      </c>
      <c r="G16981" t="s">
        <v>52</v>
      </c>
      <c r="H16981">
        <v>78205</v>
      </c>
      <c r="I16981" t="s">
        <v>30</v>
      </c>
      <c r="J16981" t="s">
        <v>162</v>
      </c>
      <c r="K16981" t="s">
        <v>759</v>
      </c>
      <c r="N16981" t="s">
        <v>84218</v>
      </c>
      <c r="Q16981">
        <v>0</v>
      </c>
      <c r="R16981">
        <v>177</v>
      </c>
      <c r="S16981">
        <v>0</v>
      </c>
      <c r="T16981" t="s">
        <v>84219</v>
      </c>
    </row>
    <row r="16982" spans="1:20" customFormat="1" ht="15" x14ac:dyDescent="0.25">
      <c r="A16982" t="s">
        <v>24</v>
      </c>
      <c r="B16982" t="s">
        <v>84352</v>
      </c>
      <c r="C16982" t="str">
        <f>"A0060561"</f>
        <v>A0060561</v>
      </c>
      <c r="D16982" t="s">
        <v>84353</v>
      </c>
      <c r="E16982" t="s">
        <v>84354</v>
      </c>
      <c r="F16982" t="s">
        <v>985</v>
      </c>
      <c r="G16982" t="s">
        <v>81</v>
      </c>
      <c r="H16982">
        <v>32809</v>
      </c>
      <c r="I16982" t="s">
        <v>30</v>
      </c>
      <c r="J16982" t="s">
        <v>162</v>
      </c>
      <c r="K16982" t="s">
        <v>163</v>
      </c>
      <c r="N16982" t="s">
        <v>84355</v>
      </c>
      <c r="O16982" t="s">
        <v>84356</v>
      </c>
      <c r="Q16982">
        <v>0</v>
      </c>
      <c r="R16982">
        <v>511</v>
      </c>
      <c r="S16982">
        <v>0</v>
      </c>
      <c r="T16982" t="s">
        <v>84357</v>
      </c>
    </row>
    <row r="16983" spans="1:20" customFormat="1" ht="15" x14ac:dyDescent="0.25">
      <c r="A16983" t="s">
        <v>24</v>
      </c>
      <c r="B16983" t="s">
        <v>814</v>
      </c>
      <c r="C16983" t="str">
        <f>"A0098848"</f>
        <v>A0098848</v>
      </c>
      <c r="D16983" t="s">
        <v>84358</v>
      </c>
      <c r="E16983" t="s">
        <v>84359</v>
      </c>
      <c r="F16983" t="s">
        <v>5107</v>
      </c>
      <c r="G16983" t="s">
        <v>137</v>
      </c>
      <c r="H16983">
        <v>64112</v>
      </c>
      <c r="I16983" t="s">
        <v>30</v>
      </c>
      <c r="J16983" t="s">
        <v>162</v>
      </c>
      <c r="K16983" t="s">
        <v>163</v>
      </c>
      <c r="N16983" t="s">
        <v>84360</v>
      </c>
      <c r="Q16983">
        <v>0</v>
      </c>
      <c r="R16983">
        <v>132</v>
      </c>
      <c r="S16983">
        <v>0</v>
      </c>
      <c r="T16983" t="s">
        <v>84361</v>
      </c>
    </row>
    <row r="16984" spans="1:20" customFormat="1" ht="15" hidden="1" x14ac:dyDescent="0.25">
      <c r="A16984" t="s">
        <v>24</v>
      </c>
      <c r="B16984" t="s">
        <v>675</v>
      </c>
      <c r="C16984" t="str">
        <f>"A0094404"</f>
        <v>A0094404</v>
      </c>
      <c r="D16984" t="s">
        <v>60806</v>
      </c>
      <c r="E16984" t="s">
        <v>60807</v>
      </c>
      <c r="F16984" t="s">
        <v>58894</v>
      </c>
      <c r="G16984" t="s">
        <v>10038</v>
      </c>
      <c r="I16984" t="s">
        <v>1308</v>
      </c>
      <c r="J16984" t="s">
        <v>171</v>
      </c>
      <c r="K16984" t="s">
        <v>973</v>
      </c>
      <c r="N16984" t="s">
        <v>60808</v>
      </c>
      <c r="Q16984">
        <v>0</v>
      </c>
      <c r="R16984">
        <v>130</v>
      </c>
      <c r="S16984">
        <v>0</v>
      </c>
      <c r="T16984" t="s">
        <v>60809</v>
      </c>
    </row>
    <row r="16985" spans="1:20" customFormat="1" ht="15" x14ac:dyDescent="0.25">
      <c r="A16985" t="s">
        <v>24</v>
      </c>
      <c r="B16985" t="s">
        <v>84367</v>
      </c>
      <c r="C16985" t="str">
        <f>"A0064214"</f>
        <v>A0064214</v>
      </c>
      <c r="D16985" t="s">
        <v>84368</v>
      </c>
      <c r="E16985" t="s">
        <v>84369</v>
      </c>
      <c r="F16985" t="s">
        <v>4570</v>
      </c>
      <c r="G16985" t="s">
        <v>99</v>
      </c>
      <c r="H16985">
        <v>11530</v>
      </c>
      <c r="I16985" t="s">
        <v>30</v>
      </c>
      <c r="J16985" t="s">
        <v>162</v>
      </c>
      <c r="K16985" t="s">
        <v>163</v>
      </c>
      <c r="N16985" t="s">
        <v>84370</v>
      </c>
      <c r="O16985" t="s">
        <v>84371</v>
      </c>
      <c r="Q16985">
        <v>0</v>
      </c>
      <c r="R16985">
        <v>272</v>
      </c>
      <c r="S16985">
        <v>0</v>
      </c>
      <c r="T16985" t="s">
        <v>84372</v>
      </c>
    </row>
    <row r="16986" spans="1:20" customFormat="1" ht="15" x14ac:dyDescent="0.25">
      <c r="A16986" t="s">
        <v>24</v>
      </c>
      <c r="B16986" t="s">
        <v>3367</v>
      </c>
      <c r="C16986" t="str">
        <f>"SF02362"</f>
        <v>SF02362</v>
      </c>
      <c r="D16986" t="s">
        <v>84373</v>
      </c>
      <c r="E16986" t="s">
        <v>84374</v>
      </c>
      <c r="F16986" t="s">
        <v>6534</v>
      </c>
      <c r="G16986" t="s">
        <v>110</v>
      </c>
      <c r="H16986">
        <v>91602</v>
      </c>
      <c r="I16986" t="s">
        <v>30</v>
      </c>
      <c r="J16986" t="s">
        <v>162</v>
      </c>
      <c r="K16986" t="s">
        <v>163</v>
      </c>
      <c r="N16986" t="s">
        <v>84375</v>
      </c>
      <c r="O16986" t="s">
        <v>84376</v>
      </c>
      <c r="Q16986">
        <v>0</v>
      </c>
      <c r="R16986">
        <v>255</v>
      </c>
      <c r="S16986">
        <v>0</v>
      </c>
      <c r="T16986" t="s">
        <v>84377</v>
      </c>
    </row>
    <row r="16987" spans="1:20" customFormat="1" ht="15" x14ac:dyDescent="0.25">
      <c r="A16987" t="s">
        <v>24</v>
      </c>
      <c r="B16987" t="s">
        <v>10398</v>
      </c>
      <c r="C16987" t="str">
        <f>"A0155873"</f>
        <v>A0155873</v>
      </c>
      <c r="D16987" t="s">
        <v>84387</v>
      </c>
      <c r="E16987" t="s">
        <v>84388</v>
      </c>
      <c r="F16987" t="s">
        <v>5518</v>
      </c>
      <c r="G16987" t="s">
        <v>110</v>
      </c>
      <c r="H16987">
        <v>91202</v>
      </c>
      <c r="I16987" t="s">
        <v>30</v>
      </c>
      <c r="J16987" t="s">
        <v>162</v>
      </c>
      <c r="K16987" t="s">
        <v>3447</v>
      </c>
      <c r="N16987" t="s">
        <v>84389</v>
      </c>
      <c r="Q16987">
        <v>0</v>
      </c>
      <c r="R16987">
        <v>85</v>
      </c>
      <c r="S16987">
        <v>0</v>
      </c>
      <c r="T16987" t="s">
        <v>84390</v>
      </c>
    </row>
    <row r="16988" spans="1:20" customFormat="1" ht="15" x14ac:dyDescent="0.25">
      <c r="A16988" t="s">
        <v>24</v>
      </c>
      <c r="B16988" t="s">
        <v>7953</v>
      </c>
      <c r="C16988" t="str">
        <f>"A0092132"</f>
        <v>A0092132</v>
      </c>
      <c r="D16988" t="s">
        <v>84391</v>
      </c>
      <c r="E16988" t="s">
        <v>84392</v>
      </c>
      <c r="F16988" t="s">
        <v>716</v>
      </c>
      <c r="G16988" t="s">
        <v>289</v>
      </c>
      <c r="H16988">
        <v>60654</v>
      </c>
      <c r="I16988" t="s">
        <v>30</v>
      </c>
      <c r="J16988" t="s">
        <v>162</v>
      </c>
      <c r="K16988" t="s">
        <v>163</v>
      </c>
      <c r="N16988" t="s">
        <v>84393</v>
      </c>
      <c r="O16988" t="s">
        <v>84394</v>
      </c>
      <c r="Q16988">
        <v>0</v>
      </c>
      <c r="R16988">
        <v>221</v>
      </c>
      <c r="S16988">
        <v>0</v>
      </c>
      <c r="T16988" t="s">
        <v>84395</v>
      </c>
    </row>
    <row r="16989" spans="1:20" customFormat="1" ht="15" x14ac:dyDescent="0.25">
      <c r="A16989" t="s">
        <v>24</v>
      </c>
      <c r="B16989" t="s">
        <v>1561</v>
      </c>
      <c r="C16989" t="str">
        <f>"A0095935"</f>
        <v>A0095935</v>
      </c>
      <c r="D16989" t="s">
        <v>84396</v>
      </c>
      <c r="E16989" t="s">
        <v>84397</v>
      </c>
      <c r="F16989" t="s">
        <v>3955</v>
      </c>
      <c r="G16989" t="s">
        <v>81</v>
      </c>
      <c r="H16989">
        <v>33607</v>
      </c>
      <c r="I16989" t="s">
        <v>30</v>
      </c>
      <c r="J16989" t="s">
        <v>162</v>
      </c>
      <c r="K16989" t="s">
        <v>163</v>
      </c>
      <c r="N16989" t="s">
        <v>84398</v>
      </c>
      <c r="O16989" t="s">
        <v>84399</v>
      </c>
      <c r="Q16989">
        <v>0</v>
      </c>
      <c r="R16989">
        <v>276</v>
      </c>
      <c r="S16989">
        <v>0</v>
      </c>
      <c r="T16989" t="s">
        <v>84400</v>
      </c>
    </row>
    <row r="16990" spans="1:20" customFormat="1" ht="15" x14ac:dyDescent="0.25">
      <c r="A16990" t="s">
        <v>24</v>
      </c>
      <c r="B16990" t="s">
        <v>84094</v>
      </c>
      <c r="C16990" t="str">
        <f>"A0054616"</f>
        <v>A0054616</v>
      </c>
      <c r="D16990" t="s">
        <v>84429</v>
      </c>
      <c r="E16990" t="s">
        <v>84430</v>
      </c>
      <c r="F16990" t="s">
        <v>24298</v>
      </c>
      <c r="G16990" t="s">
        <v>110</v>
      </c>
      <c r="H16990">
        <v>92037</v>
      </c>
      <c r="I16990" t="s">
        <v>30</v>
      </c>
      <c r="J16990" t="s">
        <v>162</v>
      </c>
      <c r="K16990" t="s">
        <v>163</v>
      </c>
      <c r="N16990" t="s">
        <v>84097</v>
      </c>
      <c r="O16990" t="s">
        <v>84431</v>
      </c>
      <c r="Q16990">
        <v>0</v>
      </c>
      <c r="R16990">
        <v>93</v>
      </c>
      <c r="S16990">
        <v>0</v>
      </c>
      <c r="T16990" t="s">
        <v>84432</v>
      </c>
    </row>
    <row r="16991" spans="1:20" customFormat="1" ht="15" x14ac:dyDescent="0.25">
      <c r="A16991" t="s">
        <v>24</v>
      </c>
      <c r="B16991" t="s">
        <v>63790</v>
      </c>
      <c r="C16991" t="str">
        <f>"A0096321"</f>
        <v>A0096321</v>
      </c>
      <c r="D16991" t="s">
        <v>84433</v>
      </c>
      <c r="E16991" t="s">
        <v>84434</v>
      </c>
      <c r="F16991" t="s">
        <v>84435</v>
      </c>
      <c r="G16991" t="s">
        <v>880</v>
      </c>
      <c r="H16991">
        <v>38116</v>
      </c>
      <c r="I16991" t="s">
        <v>30</v>
      </c>
      <c r="J16991" t="s">
        <v>162</v>
      </c>
      <c r="K16991" t="s">
        <v>163</v>
      </c>
      <c r="N16991" t="s">
        <v>84436</v>
      </c>
      <c r="Q16991">
        <v>0</v>
      </c>
      <c r="R16991">
        <v>430</v>
      </c>
      <c r="S16991">
        <v>0</v>
      </c>
      <c r="T16991" t="s">
        <v>84437</v>
      </c>
    </row>
    <row r="16992" spans="1:20" customFormat="1" ht="15" x14ac:dyDescent="0.25">
      <c r="A16992" t="s">
        <v>24</v>
      </c>
      <c r="B16992" t="s">
        <v>1849</v>
      </c>
      <c r="C16992" t="str">
        <f>"A0089570"</f>
        <v>A0089570</v>
      </c>
      <c r="D16992" t="s">
        <v>84442</v>
      </c>
      <c r="E16992" t="s">
        <v>84443</v>
      </c>
      <c r="F16992" t="s">
        <v>33592</v>
      </c>
      <c r="G16992" t="s">
        <v>1363</v>
      </c>
      <c r="H16992">
        <v>3755</v>
      </c>
      <c r="I16992" t="s">
        <v>30</v>
      </c>
      <c r="J16992" t="s">
        <v>162</v>
      </c>
      <c r="K16992" t="s">
        <v>163</v>
      </c>
      <c r="N16992" t="s">
        <v>84444</v>
      </c>
      <c r="O16992" t="s">
        <v>84445</v>
      </c>
      <c r="Q16992">
        <v>0</v>
      </c>
      <c r="R16992">
        <v>93</v>
      </c>
      <c r="S16992">
        <v>0</v>
      </c>
      <c r="T16992" t="s">
        <v>84446</v>
      </c>
    </row>
    <row r="16993" spans="1:20" customFormat="1" ht="15" x14ac:dyDescent="0.25">
      <c r="A16993" t="s">
        <v>24</v>
      </c>
      <c r="B16993" t="s">
        <v>63096</v>
      </c>
      <c r="C16993" t="str">
        <f>"A0063177"</f>
        <v>A0063177</v>
      </c>
      <c r="D16993" t="s">
        <v>84471</v>
      </c>
      <c r="E16993" t="s">
        <v>84472</v>
      </c>
      <c r="F16993" t="s">
        <v>356</v>
      </c>
      <c r="G16993" t="s">
        <v>52</v>
      </c>
      <c r="H16993">
        <v>78205</v>
      </c>
      <c r="I16993" t="s">
        <v>30</v>
      </c>
      <c r="J16993" t="s">
        <v>162</v>
      </c>
      <c r="K16993" t="s">
        <v>163</v>
      </c>
      <c r="N16993" t="s">
        <v>84473</v>
      </c>
      <c r="O16993" t="s">
        <v>84474</v>
      </c>
      <c r="Q16993">
        <v>0</v>
      </c>
      <c r="R16993">
        <v>316</v>
      </c>
      <c r="S16993">
        <v>0</v>
      </c>
      <c r="T16993" t="s">
        <v>84475</v>
      </c>
    </row>
    <row r="16994" spans="1:20" customFormat="1" ht="15" x14ac:dyDescent="0.25">
      <c r="A16994" t="s">
        <v>24</v>
      </c>
      <c r="B16994" t="s">
        <v>84476</v>
      </c>
      <c r="C16994" t="str">
        <f>"A0099075"</f>
        <v>A0099075</v>
      </c>
      <c r="D16994" t="s">
        <v>84477</v>
      </c>
      <c r="E16994" t="s">
        <v>84478</v>
      </c>
      <c r="F16994" t="s">
        <v>59643</v>
      </c>
      <c r="G16994" t="s">
        <v>1706</v>
      </c>
      <c r="H16994">
        <v>36830</v>
      </c>
      <c r="I16994" t="s">
        <v>30</v>
      </c>
      <c r="J16994" t="s">
        <v>162</v>
      </c>
      <c r="K16994" t="s">
        <v>163</v>
      </c>
      <c r="N16994" t="s">
        <v>84479</v>
      </c>
      <c r="O16994" t="s">
        <v>84480</v>
      </c>
      <c r="Q16994">
        <v>0</v>
      </c>
      <c r="R16994">
        <v>236</v>
      </c>
      <c r="S16994">
        <v>0</v>
      </c>
      <c r="T16994" t="s">
        <v>84481</v>
      </c>
    </row>
    <row r="16995" spans="1:20" customFormat="1" ht="15" x14ac:dyDescent="0.25">
      <c r="A16995" t="s">
        <v>24</v>
      </c>
      <c r="B16995" t="s">
        <v>14919</v>
      </c>
      <c r="C16995" t="str">
        <f>"HY03088"</f>
        <v>HY03088</v>
      </c>
      <c r="D16995" t="s">
        <v>84487</v>
      </c>
      <c r="E16995" t="s">
        <v>84488</v>
      </c>
      <c r="F16995" t="s">
        <v>3006</v>
      </c>
      <c r="G16995" t="s">
        <v>103</v>
      </c>
      <c r="H16995">
        <v>17033</v>
      </c>
      <c r="I16995" t="s">
        <v>30</v>
      </c>
      <c r="J16995" t="s">
        <v>162</v>
      </c>
      <c r="K16995" t="s">
        <v>163</v>
      </c>
      <c r="N16995" t="s">
        <v>84489</v>
      </c>
      <c r="O16995" t="s">
        <v>84490</v>
      </c>
      <c r="Q16995">
        <v>0</v>
      </c>
      <c r="R16995">
        <v>276</v>
      </c>
      <c r="S16995">
        <v>0</v>
      </c>
      <c r="T16995" t="s">
        <v>84491</v>
      </c>
    </row>
    <row r="16996" spans="1:20" customFormat="1" ht="15" x14ac:dyDescent="0.25">
      <c r="A16996" t="s">
        <v>24</v>
      </c>
      <c r="B16996" t="s">
        <v>5166</v>
      </c>
      <c r="C16996" t="str">
        <f>"A0095900"</f>
        <v>A0095900</v>
      </c>
      <c r="D16996" t="s">
        <v>84511</v>
      </c>
      <c r="E16996" t="s">
        <v>84512</v>
      </c>
      <c r="F16996" t="s">
        <v>2971</v>
      </c>
      <c r="G16996" t="s">
        <v>880</v>
      </c>
      <c r="H16996">
        <v>37203</v>
      </c>
      <c r="I16996" t="s">
        <v>30</v>
      </c>
      <c r="J16996" t="s">
        <v>162</v>
      </c>
      <c r="K16996" t="s">
        <v>163</v>
      </c>
      <c r="N16996" t="s">
        <v>84513</v>
      </c>
      <c r="O16996" t="s">
        <v>84514</v>
      </c>
      <c r="Q16996">
        <v>0</v>
      </c>
      <c r="R16996">
        <v>247</v>
      </c>
      <c r="S16996">
        <v>0</v>
      </c>
      <c r="T16996" t="s">
        <v>84515</v>
      </c>
    </row>
    <row r="16997" spans="1:20" customFormat="1" ht="15" x14ac:dyDescent="0.25">
      <c r="A16997" t="s">
        <v>24</v>
      </c>
      <c r="B16997" t="s">
        <v>799</v>
      </c>
      <c r="C16997" t="str">
        <f>"A0156521"</f>
        <v>A0156521</v>
      </c>
      <c r="D16997" t="s">
        <v>84520</v>
      </c>
      <c r="E16997" t="s">
        <v>84521</v>
      </c>
      <c r="F16997" t="s">
        <v>84522</v>
      </c>
      <c r="G16997" t="s">
        <v>214</v>
      </c>
      <c r="H16997">
        <v>27244</v>
      </c>
      <c r="I16997" t="s">
        <v>30</v>
      </c>
      <c r="J16997" t="s">
        <v>162</v>
      </c>
      <c r="K16997" t="s">
        <v>163</v>
      </c>
      <c r="N16997" t="s">
        <v>84523</v>
      </c>
      <c r="Q16997">
        <v>0</v>
      </c>
      <c r="R16997">
        <v>80</v>
      </c>
      <c r="S16997">
        <v>0</v>
      </c>
      <c r="T16997" t="s">
        <v>84524</v>
      </c>
    </row>
    <row r="16998" spans="1:20" customFormat="1" ht="15" x14ac:dyDescent="0.25">
      <c r="A16998" t="s">
        <v>24</v>
      </c>
      <c r="B16998" t="s">
        <v>5830</v>
      </c>
      <c r="C16998" t="str">
        <f>"A0095700"</f>
        <v>A0095700</v>
      </c>
      <c r="D16998" t="s">
        <v>84525</v>
      </c>
      <c r="E16998" t="s">
        <v>84526</v>
      </c>
      <c r="F16998" t="s">
        <v>7455</v>
      </c>
      <c r="G16998" t="s">
        <v>123</v>
      </c>
      <c r="H16998">
        <v>21231</v>
      </c>
      <c r="I16998" t="s">
        <v>30</v>
      </c>
      <c r="J16998" t="s">
        <v>162</v>
      </c>
      <c r="K16998" t="s">
        <v>163</v>
      </c>
      <c r="N16998" t="s">
        <v>84527</v>
      </c>
      <c r="O16998" t="s">
        <v>84528</v>
      </c>
      <c r="Q16998">
        <v>0</v>
      </c>
      <c r="R16998">
        <v>38</v>
      </c>
      <c r="S16998">
        <v>0</v>
      </c>
      <c r="T16998" t="s">
        <v>84529</v>
      </c>
    </row>
    <row r="16999" spans="1:20" customFormat="1" ht="15" x14ac:dyDescent="0.25">
      <c r="A16999" t="s">
        <v>24</v>
      </c>
      <c r="B16999" t="s">
        <v>1138</v>
      </c>
      <c r="C16999" t="str">
        <f>"A0087710"</f>
        <v>A0087710</v>
      </c>
      <c r="D16999" t="s">
        <v>60877</v>
      </c>
      <c r="E16999" t="s">
        <v>60878</v>
      </c>
      <c r="F16999" t="s">
        <v>60879</v>
      </c>
      <c r="G16999" t="s">
        <v>123</v>
      </c>
      <c r="H16999">
        <v>20774</v>
      </c>
      <c r="I16999" t="s">
        <v>30</v>
      </c>
      <c r="J16999" t="s">
        <v>31</v>
      </c>
      <c r="K16999" t="s">
        <v>973</v>
      </c>
      <c r="N16999" t="s">
        <v>60880</v>
      </c>
      <c r="Q16999">
        <v>0</v>
      </c>
      <c r="R16999">
        <v>107</v>
      </c>
      <c r="S16999">
        <v>0</v>
      </c>
      <c r="T16999">
        <f>+ (301)-925-1400</f>
        <v>-2024</v>
      </c>
    </row>
    <row r="17000" spans="1:20" customFormat="1" ht="15" x14ac:dyDescent="0.25">
      <c r="A17000" t="s">
        <v>24</v>
      </c>
      <c r="B17000" t="s">
        <v>3221</v>
      </c>
      <c r="C17000" t="str">
        <f>"A0094382"</f>
        <v>A0094382</v>
      </c>
      <c r="D17000" t="s">
        <v>84530</v>
      </c>
      <c r="E17000" t="s">
        <v>84531</v>
      </c>
      <c r="F17000" t="s">
        <v>9058</v>
      </c>
      <c r="G17000" t="s">
        <v>615</v>
      </c>
      <c r="H17000">
        <v>6457</v>
      </c>
      <c r="I17000" t="s">
        <v>30</v>
      </c>
      <c r="J17000" t="s">
        <v>162</v>
      </c>
      <c r="K17000" t="s">
        <v>163</v>
      </c>
      <c r="N17000" t="s">
        <v>84532</v>
      </c>
      <c r="Q17000">
        <v>0</v>
      </c>
      <c r="R17000">
        <v>100</v>
      </c>
      <c r="S17000">
        <v>0</v>
      </c>
      <c r="T17000" t="s">
        <v>84533</v>
      </c>
    </row>
    <row r="17001" spans="1:20" customFormat="1" ht="15" x14ac:dyDescent="0.25">
      <c r="A17001" t="s">
        <v>24</v>
      </c>
      <c r="B17001" t="s">
        <v>84574</v>
      </c>
      <c r="C17001" t="str">
        <f>"A0095323"</f>
        <v>A0095323</v>
      </c>
      <c r="D17001" t="s">
        <v>84575</v>
      </c>
      <c r="E17001" t="s">
        <v>84576</v>
      </c>
      <c r="F17001" t="s">
        <v>997</v>
      </c>
      <c r="G17001" t="s">
        <v>99</v>
      </c>
      <c r="H17001">
        <v>10016</v>
      </c>
      <c r="I17001" t="s">
        <v>30</v>
      </c>
      <c r="J17001" t="s">
        <v>162</v>
      </c>
      <c r="K17001" t="s">
        <v>163</v>
      </c>
      <c r="N17001" t="s">
        <v>84577</v>
      </c>
      <c r="O17001" t="s">
        <v>84578</v>
      </c>
      <c r="Q17001">
        <v>0</v>
      </c>
      <c r="R17001">
        <v>150</v>
      </c>
      <c r="S17001">
        <v>0</v>
      </c>
      <c r="T17001" t="s">
        <v>84579</v>
      </c>
    </row>
    <row r="17002" spans="1:20" customFormat="1" ht="15" x14ac:dyDescent="0.25">
      <c r="A17002" t="s">
        <v>24</v>
      </c>
      <c r="B17002" t="s">
        <v>84584</v>
      </c>
      <c r="C17002" t="str">
        <f>"A0155866"</f>
        <v>A0155866</v>
      </c>
      <c r="D17002" t="s">
        <v>84585</v>
      </c>
      <c r="E17002" t="s">
        <v>84586</v>
      </c>
      <c r="F17002" t="s">
        <v>1519</v>
      </c>
      <c r="G17002" t="s">
        <v>110</v>
      </c>
      <c r="H17002">
        <v>90017</v>
      </c>
      <c r="I17002" t="s">
        <v>30</v>
      </c>
      <c r="J17002" t="s">
        <v>162</v>
      </c>
      <c r="K17002" t="s">
        <v>163</v>
      </c>
      <c r="N17002" t="s">
        <v>84587</v>
      </c>
      <c r="Q17002">
        <v>0</v>
      </c>
      <c r="R17002">
        <v>487</v>
      </c>
      <c r="S17002">
        <v>0</v>
      </c>
      <c r="T17002" t="s">
        <v>84588</v>
      </c>
    </row>
    <row r="17003" spans="1:20" customFormat="1" ht="15" x14ac:dyDescent="0.25">
      <c r="A17003" t="s">
        <v>24</v>
      </c>
      <c r="B17003" t="s">
        <v>4855</v>
      </c>
      <c r="C17003" t="str">
        <f>"A0067958"</f>
        <v>A0067958</v>
      </c>
      <c r="D17003" t="s">
        <v>84589</v>
      </c>
      <c r="E17003" t="s">
        <v>84590</v>
      </c>
      <c r="F17003" t="s">
        <v>2978</v>
      </c>
      <c r="G17003" t="s">
        <v>110</v>
      </c>
      <c r="H17003">
        <v>92104</v>
      </c>
      <c r="I17003" t="s">
        <v>30</v>
      </c>
      <c r="J17003" t="s">
        <v>162</v>
      </c>
      <c r="K17003" t="s">
        <v>163</v>
      </c>
      <c r="N17003" t="s">
        <v>84591</v>
      </c>
      <c r="Q17003">
        <v>0</v>
      </c>
      <c r="R17003">
        <v>133</v>
      </c>
      <c r="S17003">
        <v>0</v>
      </c>
      <c r="T17003" t="s">
        <v>84592</v>
      </c>
    </row>
    <row r="17004" spans="1:20" customFormat="1" ht="15" x14ac:dyDescent="0.25">
      <c r="A17004" t="s">
        <v>24</v>
      </c>
      <c r="B17004" t="s">
        <v>57973</v>
      </c>
      <c r="C17004" t="str">
        <f>"A0092379"</f>
        <v>A0092379</v>
      </c>
      <c r="D17004" t="s">
        <v>84602</v>
      </c>
      <c r="E17004" t="s">
        <v>84603</v>
      </c>
      <c r="F17004" t="s">
        <v>1208</v>
      </c>
      <c r="G17004" t="s">
        <v>899</v>
      </c>
      <c r="H17004">
        <v>2110</v>
      </c>
      <c r="I17004" t="s">
        <v>30</v>
      </c>
      <c r="J17004" t="s">
        <v>162</v>
      </c>
      <c r="K17004" t="s">
        <v>163</v>
      </c>
      <c r="N17004" t="s">
        <v>84604</v>
      </c>
      <c r="O17004" t="s">
        <v>84605</v>
      </c>
      <c r="Q17004">
        <v>0</v>
      </c>
      <c r="R17004">
        <v>318</v>
      </c>
      <c r="S17004">
        <v>0</v>
      </c>
      <c r="T17004" t="s">
        <v>84606</v>
      </c>
    </row>
    <row r="17005" spans="1:20" customFormat="1" ht="15" x14ac:dyDescent="0.25">
      <c r="A17005" t="s">
        <v>24</v>
      </c>
      <c r="B17005" t="s">
        <v>2011</v>
      </c>
      <c r="C17005" t="str">
        <f>"A0076947"</f>
        <v>A0076947</v>
      </c>
      <c r="D17005" t="s">
        <v>84611</v>
      </c>
      <c r="E17005" t="s">
        <v>84612</v>
      </c>
      <c r="F17005" t="s">
        <v>748</v>
      </c>
      <c r="G17005" t="s">
        <v>110</v>
      </c>
      <c r="H17005">
        <v>94115</v>
      </c>
      <c r="I17005" t="s">
        <v>30</v>
      </c>
      <c r="J17005" t="s">
        <v>162</v>
      </c>
      <c r="K17005" t="s">
        <v>13246</v>
      </c>
      <c r="N17005" t="s">
        <v>84613</v>
      </c>
      <c r="Q17005">
        <v>0</v>
      </c>
      <c r="R17005">
        <v>49</v>
      </c>
      <c r="S17005">
        <v>0</v>
      </c>
      <c r="T17005" t="s">
        <v>84614</v>
      </c>
    </row>
    <row r="17006" spans="1:20" customFormat="1" ht="15" hidden="1" x14ac:dyDescent="0.25">
      <c r="A17006" t="s">
        <v>24</v>
      </c>
      <c r="B17006" t="s">
        <v>675</v>
      </c>
      <c r="C17006" t="str">
        <f>"A0101010"</f>
        <v>A0101010</v>
      </c>
      <c r="D17006" t="s">
        <v>60911</v>
      </c>
      <c r="E17006" t="s">
        <v>60912</v>
      </c>
      <c r="F17006" t="s">
        <v>60913</v>
      </c>
      <c r="G17006" t="s">
        <v>4528</v>
      </c>
      <c r="H17006">
        <v>37510</v>
      </c>
      <c r="I17006" t="s">
        <v>2408</v>
      </c>
      <c r="J17006" t="s">
        <v>171</v>
      </c>
      <c r="K17006" t="s">
        <v>973</v>
      </c>
      <c r="N17006" t="s">
        <v>60914</v>
      </c>
      <c r="Q17006">
        <v>0</v>
      </c>
      <c r="R17006">
        <v>140</v>
      </c>
      <c r="S17006">
        <v>0</v>
      </c>
      <c r="T17006" t="s">
        <v>60915</v>
      </c>
    </row>
    <row r="17007" spans="1:20" customFormat="1" ht="15" x14ac:dyDescent="0.25">
      <c r="A17007" t="s">
        <v>24</v>
      </c>
      <c r="B17007" t="s">
        <v>84630</v>
      </c>
      <c r="C17007" t="str">
        <f>"A0098780"</f>
        <v>A0098780</v>
      </c>
      <c r="D17007" t="s">
        <v>84631</v>
      </c>
      <c r="E17007" t="s">
        <v>84632</v>
      </c>
      <c r="F17007" t="s">
        <v>372</v>
      </c>
      <c r="G17007" t="s">
        <v>52</v>
      </c>
      <c r="H17007">
        <v>78701</v>
      </c>
      <c r="I17007" t="s">
        <v>30</v>
      </c>
      <c r="J17007" t="s">
        <v>162</v>
      </c>
      <c r="K17007" t="s">
        <v>84633</v>
      </c>
      <c r="N17007" t="s">
        <v>84634</v>
      </c>
      <c r="Q17007">
        <v>0</v>
      </c>
      <c r="R17007">
        <v>428</v>
      </c>
      <c r="S17007">
        <v>0</v>
      </c>
      <c r="T17007" t="s">
        <v>84635</v>
      </c>
    </row>
    <row r="17008" spans="1:20" customFormat="1" ht="15" x14ac:dyDescent="0.25">
      <c r="A17008" t="s">
        <v>24</v>
      </c>
      <c r="B17008" t="s">
        <v>84630</v>
      </c>
      <c r="C17008" t="str">
        <f>"A0095643"</f>
        <v>A0095643</v>
      </c>
      <c r="D17008" t="s">
        <v>84636</v>
      </c>
      <c r="E17008" t="s">
        <v>84637</v>
      </c>
      <c r="F17008" t="s">
        <v>8822</v>
      </c>
      <c r="G17008" t="s">
        <v>110</v>
      </c>
      <c r="H17008">
        <v>90010</v>
      </c>
      <c r="I17008" t="s">
        <v>30</v>
      </c>
      <c r="J17008" t="s">
        <v>162</v>
      </c>
      <c r="K17008" t="s">
        <v>84633</v>
      </c>
      <c r="N17008" t="s">
        <v>84638</v>
      </c>
      <c r="O17008" t="s">
        <v>84639</v>
      </c>
      <c r="Q17008">
        <v>0</v>
      </c>
      <c r="R17008">
        <v>388</v>
      </c>
      <c r="S17008">
        <v>0</v>
      </c>
      <c r="T17008" t="s">
        <v>84640</v>
      </c>
    </row>
    <row r="17009" spans="1:20" customFormat="1" ht="15" x14ac:dyDescent="0.25">
      <c r="A17009" t="s">
        <v>24</v>
      </c>
      <c r="B17009" t="s">
        <v>5384</v>
      </c>
      <c r="C17009" t="str">
        <f>"A0148750"</f>
        <v>A0148750</v>
      </c>
      <c r="D17009" t="s">
        <v>84649</v>
      </c>
      <c r="E17009" t="s">
        <v>84650</v>
      </c>
      <c r="F17009" t="s">
        <v>84651</v>
      </c>
      <c r="G17009" t="s">
        <v>153</v>
      </c>
      <c r="H17009">
        <v>84017</v>
      </c>
      <c r="I17009" t="s">
        <v>30</v>
      </c>
      <c r="J17009" t="s">
        <v>162</v>
      </c>
      <c r="K17009" t="s">
        <v>163</v>
      </c>
      <c r="N17009" t="s">
        <v>84652</v>
      </c>
      <c r="Q17009">
        <v>0</v>
      </c>
      <c r="R17009">
        <v>46</v>
      </c>
      <c r="S17009">
        <v>0</v>
      </c>
      <c r="T17009" t="s">
        <v>84653</v>
      </c>
    </row>
    <row r="17010" spans="1:20" customFormat="1" ht="15" x14ac:dyDescent="0.25">
      <c r="A17010" t="s">
        <v>24</v>
      </c>
      <c r="B17010" t="s">
        <v>850</v>
      </c>
      <c r="C17010" t="str">
        <f>"A0151435"</f>
        <v>A0151435</v>
      </c>
      <c r="D17010" t="s">
        <v>84654</v>
      </c>
      <c r="E17010" t="s">
        <v>84655</v>
      </c>
      <c r="F17010" t="s">
        <v>56591</v>
      </c>
      <c r="G17010" t="s">
        <v>1706</v>
      </c>
      <c r="H17010">
        <v>36542</v>
      </c>
      <c r="I17010" t="s">
        <v>30</v>
      </c>
      <c r="J17010" t="s">
        <v>162</v>
      </c>
      <c r="K17010" t="s">
        <v>4809</v>
      </c>
      <c r="N17010" t="s">
        <v>84656</v>
      </c>
      <c r="Q17010">
        <v>0</v>
      </c>
      <c r="R17010">
        <v>350</v>
      </c>
      <c r="S17010">
        <v>0</v>
      </c>
      <c r="T17010" t="s">
        <v>84657</v>
      </c>
    </row>
    <row r="17011" spans="1:20" customFormat="1" ht="15" x14ac:dyDescent="0.25">
      <c r="A17011" t="s">
        <v>24</v>
      </c>
      <c r="B17011" t="s">
        <v>4400</v>
      </c>
      <c r="C17011" t="str">
        <f>"88BW006"</f>
        <v>88BW006</v>
      </c>
      <c r="D17011" t="s">
        <v>84658</v>
      </c>
      <c r="E17011" t="s">
        <v>84659</v>
      </c>
      <c r="F17011" t="s">
        <v>5833</v>
      </c>
      <c r="G17011" t="s">
        <v>1508</v>
      </c>
      <c r="H17011">
        <v>83002</v>
      </c>
      <c r="I17011" t="s">
        <v>30</v>
      </c>
      <c r="J17011" t="s">
        <v>162</v>
      </c>
      <c r="K17011" t="s">
        <v>163</v>
      </c>
      <c r="N17011" t="s">
        <v>84660</v>
      </c>
      <c r="Q17011">
        <v>0</v>
      </c>
      <c r="R17011">
        <v>154</v>
      </c>
      <c r="S17011">
        <v>0</v>
      </c>
      <c r="T17011" t="s">
        <v>84661</v>
      </c>
    </row>
    <row r="17012" spans="1:20" customFormat="1" ht="15" x14ac:dyDescent="0.25">
      <c r="A17012" t="s">
        <v>24</v>
      </c>
      <c r="B17012" t="s">
        <v>4400</v>
      </c>
      <c r="C17012" t="str">
        <f>"A0089052"</f>
        <v>A0089052</v>
      </c>
      <c r="D17012" t="s">
        <v>84677</v>
      </c>
      <c r="E17012" t="s">
        <v>84678</v>
      </c>
      <c r="F17012" t="s">
        <v>2094</v>
      </c>
      <c r="G17012" t="s">
        <v>52</v>
      </c>
      <c r="H17012">
        <v>75205</v>
      </c>
      <c r="I17012" t="s">
        <v>30</v>
      </c>
      <c r="J17012" t="s">
        <v>162</v>
      </c>
      <c r="K17012" t="s">
        <v>33433</v>
      </c>
      <c r="N17012" t="s">
        <v>84679</v>
      </c>
      <c r="O17012" t="s">
        <v>84680</v>
      </c>
      <c r="Q17012">
        <v>0</v>
      </c>
      <c r="R17012">
        <v>90</v>
      </c>
      <c r="S17012">
        <v>0</v>
      </c>
      <c r="T17012" t="s">
        <v>84681</v>
      </c>
    </row>
    <row r="17013" spans="1:20" customFormat="1" ht="15" x14ac:dyDescent="0.25">
      <c r="A17013" t="s">
        <v>24</v>
      </c>
      <c r="B17013" t="s">
        <v>84686</v>
      </c>
      <c r="C17013" t="str">
        <f>"A0058749"</f>
        <v>A0058749</v>
      </c>
      <c r="D17013" t="s">
        <v>84687</v>
      </c>
      <c r="E17013" t="s">
        <v>84688</v>
      </c>
      <c r="F17013" t="s">
        <v>14436</v>
      </c>
      <c r="G17013" t="s">
        <v>338</v>
      </c>
      <c r="H17013">
        <v>7960</v>
      </c>
      <c r="I17013" t="s">
        <v>30</v>
      </c>
      <c r="J17013" t="s">
        <v>162</v>
      </c>
      <c r="K17013" t="s">
        <v>163</v>
      </c>
      <c r="N17013" t="s">
        <v>84689</v>
      </c>
      <c r="O17013" t="s">
        <v>84690</v>
      </c>
      <c r="Q17013">
        <v>0</v>
      </c>
      <c r="R17013">
        <v>186</v>
      </c>
      <c r="S17013">
        <v>0</v>
      </c>
      <c r="T17013" t="s">
        <v>84691</v>
      </c>
    </row>
    <row r="17014" spans="1:20" customFormat="1" ht="15" x14ac:dyDescent="0.25">
      <c r="A17014" t="s">
        <v>24</v>
      </c>
      <c r="B17014" t="s">
        <v>5166</v>
      </c>
      <c r="C17014" t="str">
        <f>"A0097994"</f>
        <v>A0097994</v>
      </c>
      <c r="D17014" t="s">
        <v>84710</v>
      </c>
      <c r="E17014" t="s">
        <v>84711</v>
      </c>
      <c r="F17014" t="s">
        <v>972</v>
      </c>
      <c r="G17014" t="s">
        <v>190</v>
      </c>
      <c r="H17014">
        <v>80202</v>
      </c>
      <c r="I17014" t="s">
        <v>30</v>
      </c>
      <c r="J17014" t="s">
        <v>162</v>
      </c>
      <c r="K17014" t="s">
        <v>163</v>
      </c>
      <c r="N17014" t="s">
        <v>84712</v>
      </c>
      <c r="O17014" t="s">
        <v>84713</v>
      </c>
      <c r="Q17014">
        <v>0</v>
      </c>
      <c r="R17014">
        <v>172</v>
      </c>
      <c r="S17014">
        <v>0</v>
      </c>
      <c r="T17014" t="s">
        <v>4521</v>
      </c>
    </row>
    <row r="17015" spans="1:20" customFormat="1" ht="15" x14ac:dyDescent="0.25">
      <c r="A17015" t="s">
        <v>24</v>
      </c>
      <c r="B17015" t="s">
        <v>2221</v>
      </c>
      <c r="C17015" t="str">
        <f>"A0063495"</f>
        <v>A0063495</v>
      </c>
      <c r="D17015" t="s">
        <v>84724</v>
      </c>
      <c r="E17015" t="s">
        <v>84725</v>
      </c>
      <c r="F17015" t="s">
        <v>4674</v>
      </c>
      <c r="G17015" t="s">
        <v>314</v>
      </c>
      <c r="H17015">
        <v>20037</v>
      </c>
      <c r="I17015" t="s">
        <v>30</v>
      </c>
      <c r="J17015" t="s">
        <v>162</v>
      </c>
      <c r="K17015" t="s">
        <v>163</v>
      </c>
      <c r="N17015" t="s">
        <v>84726</v>
      </c>
      <c r="O17015" t="s">
        <v>84727</v>
      </c>
      <c r="Q17015">
        <v>0</v>
      </c>
      <c r="R17015">
        <v>240</v>
      </c>
      <c r="S17015">
        <v>0</v>
      </c>
      <c r="T17015" t="s">
        <v>84728</v>
      </c>
    </row>
    <row r="17016" spans="1:20" customFormat="1" ht="15" x14ac:dyDescent="0.25">
      <c r="A17016" t="s">
        <v>24</v>
      </c>
      <c r="B17016" t="s">
        <v>4855</v>
      </c>
      <c r="C17016" t="str">
        <f>"A0149409"</f>
        <v>A0149409</v>
      </c>
      <c r="D17016" t="s">
        <v>84734</v>
      </c>
      <c r="E17016" t="s">
        <v>84735</v>
      </c>
      <c r="F17016" t="s">
        <v>67558</v>
      </c>
      <c r="G17016" t="s">
        <v>1898</v>
      </c>
      <c r="H17016">
        <v>52761</v>
      </c>
      <c r="I17016" t="s">
        <v>30</v>
      </c>
      <c r="J17016" t="s">
        <v>162</v>
      </c>
      <c r="K17016" t="s">
        <v>3447</v>
      </c>
      <c r="N17016" t="s">
        <v>84736</v>
      </c>
      <c r="Q17016">
        <v>0</v>
      </c>
      <c r="R17016">
        <v>122</v>
      </c>
      <c r="S17016">
        <v>0</v>
      </c>
      <c r="T17016" t="s">
        <v>84737</v>
      </c>
    </row>
    <row r="17017" spans="1:20" customFormat="1" ht="15" x14ac:dyDescent="0.25">
      <c r="A17017" t="s">
        <v>24</v>
      </c>
      <c r="B17017" t="s">
        <v>2373</v>
      </c>
      <c r="C17017" t="str">
        <f>"A0099762"</f>
        <v>A0099762</v>
      </c>
      <c r="D17017" t="s">
        <v>84753</v>
      </c>
      <c r="E17017" t="s">
        <v>84754</v>
      </c>
      <c r="F17017" t="s">
        <v>1564</v>
      </c>
      <c r="G17017" t="s">
        <v>52</v>
      </c>
      <c r="H17017">
        <v>77024</v>
      </c>
      <c r="I17017" t="s">
        <v>30</v>
      </c>
      <c r="J17017" t="s">
        <v>162</v>
      </c>
      <c r="K17017" t="s">
        <v>163</v>
      </c>
      <c r="N17017" t="s">
        <v>75454</v>
      </c>
      <c r="Q17017">
        <v>0</v>
      </c>
      <c r="R17017">
        <v>266</v>
      </c>
      <c r="S17017">
        <v>0</v>
      </c>
      <c r="T17017" t="s">
        <v>84755</v>
      </c>
    </row>
    <row r="17018" spans="1:20" customFormat="1" ht="15" x14ac:dyDescent="0.25">
      <c r="A17018" t="s">
        <v>24</v>
      </c>
      <c r="B17018" t="s">
        <v>675</v>
      </c>
      <c r="C17018" t="str">
        <f>"33716"</f>
        <v>33716</v>
      </c>
      <c r="D17018" t="s">
        <v>84767</v>
      </c>
      <c r="E17018" t="s">
        <v>84768</v>
      </c>
      <c r="F17018" t="s">
        <v>2069</v>
      </c>
      <c r="G17018" t="s">
        <v>1170</v>
      </c>
      <c r="H17018">
        <v>70130</v>
      </c>
      <c r="I17018" t="s">
        <v>30</v>
      </c>
      <c r="J17018" t="s">
        <v>162</v>
      </c>
      <c r="K17018" t="s">
        <v>1490</v>
      </c>
      <c r="N17018" t="s">
        <v>84769</v>
      </c>
      <c r="O17018" t="s">
        <v>84770</v>
      </c>
      <c r="Q17018">
        <v>0</v>
      </c>
      <c r="R17018">
        <v>1290</v>
      </c>
      <c r="S17018">
        <v>0</v>
      </c>
      <c r="T17018" t="s">
        <v>84771</v>
      </c>
    </row>
    <row r="17019" spans="1:20" customFormat="1" ht="15" x14ac:dyDescent="0.25">
      <c r="A17019" t="s">
        <v>24</v>
      </c>
      <c r="B17019" t="s">
        <v>675</v>
      </c>
      <c r="C17019" t="str">
        <f>"337U0"</f>
        <v>337U0</v>
      </c>
      <c r="D17019" t="s">
        <v>84772</v>
      </c>
      <c r="E17019" t="s">
        <v>84773</v>
      </c>
      <c r="F17019" t="s">
        <v>4385</v>
      </c>
      <c r="G17019" t="s">
        <v>99</v>
      </c>
      <c r="H17019">
        <v>11201</v>
      </c>
      <c r="I17019" t="s">
        <v>30</v>
      </c>
      <c r="J17019" t="s">
        <v>162</v>
      </c>
      <c r="K17019" t="s">
        <v>1490</v>
      </c>
      <c r="N17019" t="s">
        <v>84774</v>
      </c>
      <c r="O17019" t="s">
        <v>84775</v>
      </c>
      <c r="Q17019">
        <v>0</v>
      </c>
      <c r="R17019">
        <v>658</v>
      </c>
      <c r="S17019">
        <v>0</v>
      </c>
      <c r="T17019" t="s">
        <v>84776</v>
      </c>
    </row>
    <row r="17020" spans="1:20" customFormat="1" ht="15" x14ac:dyDescent="0.25">
      <c r="A17020" t="s">
        <v>24</v>
      </c>
      <c r="B17020" t="s">
        <v>1561</v>
      </c>
      <c r="C17020" t="str">
        <f>"A0089161"</f>
        <v>A0089161</v>
      </c>
      <c r="D17020" t="s">
        <v>84777</v>
      </c>
      <c r="E17020" t="s">
        <v>84778</v>
      </c>
      <c r="F17020" t="s">
        <v>3880</v>
      </c>
      <c r="G17020" t="s">
        <v>99</v>
      </c>
      <c r="H17020">
        <v>10001</v>
      </c>
      <c r="I17020" t="s">
        <v>30</v>
      </c>
      <c r="J17020" t="s">
        <v>162</v>
      </c>
      <c r="K17020" t="s">
        <v>4581</v>
      </c>
      <c r="N17020" t="s">
        <v>84779</v>
      </c>
      <c r="O17020" t="s">
        <v>84780</v>
      </c>
      <c r="Q17020">
        <v>0</v>
      </c>
      <c r="R17020">
        <v>1050</v>
      </c>
      <c r="S17020">
        <v>0</v>
      </c>
      <c r="T17020" t="s">
        <v>84781</v>
      </c>
    </row>
    <row r="17021" spans="1:20" customFormat="1" ht="15" x14ac:dyDescent="0.25">
      <c r="A17021" t="s">
        <v>24</v>
      </c>
      <c r="B17021" t="s">
        <v>84630</v>
      </c>
      <c r="C17021" t="str">
        <f>"A0099754"</f>
        <v>A0099754</v>
      </c>
      <c r="D17021" t="s">
        <v>84786</v>
      </c>
      <c r="E17021" t="s">
        <v>84787</v>
      </c>
      <c r="F17021" t="s">
        <v>1519</v>
      </c>
      <c r="G17021" t="s">
        <v>110</v>
      </c>
      <c r="H17021">
        <v>90014</v>
      </c>
      <c r="I17021" t="s">
        <v>30</v>
      </c>
      <c r="J17021" t="s">
        <v>162</v>
      </c>
      <c r="K17021" t="s">
        <v>163</v>
      </c>
      <c r="N17021" t="s">
        <v>84788</v>
      </c>
      <c r="O17021" t="s">
        <v>84789</v>
      </c>
      <c r="Q17021">
        <v>0</v>
      </c>
      <c r="R17021">
        <v>241</v>
      </c>
      <c r="S17021">
        <v>0</v>
      </c>
      <c r="T17021" t="s">
        <v>84790</v>
      </c>
    </row>
    <row r="17022" spans="1:20" customFormat="1" ht="15" x14ac:dyDescent="0.25">
      <c r="A17022" t="s">
        <v>24</v>
      </c>
      <c r="B17022" t="s">
        <v>77067</v>
      </c>
      <c r="C17022" t="str">
        <f>"A0084159"</f>
        <v>A0084159</v>
      </c>
      <c r="D17022" t="s">
        <v>84819</v>
      </c>
      <c r="E17022" t="s">
        <v>84820</v>
      </c>
      <c r="F17022" t="s">
        <v>748</v>
      </c>
      <c r="G17022" t="s">
        <v>110</v>
      </c>
      <c r="H17022">
        <v>94108</v>
      </c>
      <c r="I17022" t="s">
        <v>30</v>
      </c>
      <c r="J17022" t="s">
        <v>162</v>
      </c>
      <c r="K17022" t="s">
        <v>163</v>
      </c>
      <c r="N17022" t="s">
        <v>77070</v>
      </c>
      <c r="Q17022">
        <v>0</v>
      </c>
      <c r="R17022">
        <v>86</v>
      </c>
      <c r="S17022">
        <v>0</v>
      </c>
      <c r="T17022" t="s">
        <v>84821</v>
      </c>
    </row>
    <row r="17023" spans="1:20" customFormat="1" ht="15" x14ac:dyDescent="0.25">
      <c r="A17023" t="s">
        <v>24</v>
      </c>
      <c r="B17023" t="s">
        <v>814</v>
      </c>
      <c r="C17023" t="str">
        <f>"88IN002"</f>
        <v>88IN002</v>
      </c>
      <c r="D17023" t="s">
        <v>84833</v>
      </c>
      <c r="E17023" t="s">
        <v>84834</v>
      </c>
      <c r="F17023" t="s">
        <v>70636</v>
      </c>
      <c r="G17023" t="s">
        <v>880</v>
      </c>
      <c r="H17023">
        <v>37738</v>
      </c>
      <c r="I17023" t="s">
        <v>30</v>
      </c>
      <c r="J17023" t="s">
        <v>162</v>
      </c>
      <c r="K17023" t="s">
        <v>759</v>
      </c>
      <c r="N17023" t="s">
        <v>84835</v>
      </c>
      <c r="O17023" t="s">
        <v>84836</v>
      </c>
      <c r="Q17023">
        <v>0</v>
      </c>
      <c r="R17023">
        <v>315</v>
      </c>
      <c r="S17023">
        <v>0</v>
      </c>
      <c r="T17023" t="s">
        <v>84837</v>
      </c>
    </row>
    <row r="17024" spans="1:20" customFormat="1" ht="15" x14ac:dyDescent="0.25">
      <c r="A17024" t="s">
        <v>24</v>
      </c>
      <c r="B17024" t="s">
        <v>3367</v>
      </c>
      <c r="C17024" t="str">
        <f>"A0087217"</f>
        <v>A0087217</v>
      </c>
      <c r="D17024" t="s">
        <v>84865</v>
      </c>
      <c r="E17024" t="s">
        <v>84866</v>
      </c>
      <c r="F17024" t="s">
        <v>220</v>
      </c>
      <c r="G17024" t="s">
        <v>221</v>
      </c>
      <c r="H17024">
        <v>89169</v>
      </c>
      <c r="I17024" t="s">
        <v>30</v>
      </c>
      <c r="J17024" t="s">
        <v>162</v>
      </c>
      <c r="K17024" t="s">
        <v>163</v>
      </c>
      <c r="N17024" t="s">
        <v>84867</v>
      </c>
      <c r="O17024" t="s">
        <v>13794</v>
      </c>
      <c r="Q17024">
        <v>0</v>
      </c>
      <c r="R17024">
        <v>255</v>
      </c>
      <c r="S17024">
        <v>0</v>
      </c>
      <c r="T17024" t="s">
        <v>84868</v>
      </c>
    </row>
    <row r="17025" spans="1:20" customFormat="1" ht="15" x14ac:dyDescent="0.25">
      <c r="A17025" t="s">
        <v>24</v>
      </c>
      <c r="B17025" t="s">
        <v>1020</v>
      </c>
      <c r="C17025" t="str">
        <f>"A0148430"</f>
        <v>A0148430</v>
      </c>
      <c r="D17025" t="s">
        <v>84869</v>
      </c>
      <c r="E17025" t="s">
        <v>84870</v>
      </c>
      <c r="F17025" t="s">
        <v>2856</v>
      </c>
      <c r="G17025" t="s">
        <v>52</v>
      </c>
      <c r="H17025">
        <v>79901</v>
      </c>
      <c r="I17025" t="s">
        <v>30</v>
      </c>
      <c r="J17025" t="s">
        <v>162</v>
      </c>
      <c r="K17025" t="s">
        <v>163</v>
      </c>
      <c r="N17025" t="s">
        <v>84871</v>
      </c>
      <c r="O17025" t="s">
        <v>84872</v>
      </c>
      <c r="Q17025">
        <v>0</v>
      </c>
      <c r="R17025">
        <v>131</v>
      </c>
      <c r="S17025">
        <v>0</v>
      </c>
      <c r="T17025" t="s">
        <v>192</v>
      </c>
    </row>
    <row r="17026" spans="1:20" customFormat="1" ht="15" x14ac:dyDescent="0.25">
      <c r="A17026" t="s">
        <v>24</v>
      </c>
      <c r="B17026" t="s">
        <v>84883</v>
      </c>
      <c r="C17026" t="str">
        <f>"A0095558"</f>
        <v>A0095558</v>
      </c>
      <c r="D17026" t="s">
        <v>84884</v>
      </c>
      <c r="E17026" t="s">
        <v>84885</v>
      </c>
      <c r="F17026" t="s">
        <v>6593</v>
      </c>
      <c r="G17026" t="s">
        <v>2450</v>
      </c>
      <c r="H17026">
        <v>4101</v>
      </c>
      <c r="I17026" t="s">
        <v>30</v>
      </c>
      <c r="J17026" t="s">
        <v>162</v>
      </c>
      <c r="K17026" t="s">
        <v>163</v>
      </c>
      <c r="N17026" t="s">
        <v>84886</v>
      </c>
      <c r="O17026" t="s">
        <v>84887</v>
      </c>
      <c r="Q17026">
        <v>0</v>
      </c>
      <c r="R17026">
        <v>95</v>
      </c>
      <c r="S17026">
        <v>0</v>
      </c>
      <c r="T17026" t="s">
        <v>84888</v>
      </c>
    </row>
    <row r="17027" spans="1:20" customFormat="1" ht="15" hidden="1" x14ac:dyDescent="0.25">
      <c r="A17027" t="s">
        <v>24</v>
      </c>
      <c r="B17027" t="s">
        <v>61015</v>
      </c>
      <c r="C17027" t="str">
        <f>"A0096328"</f>
        <v>A0096328</v>
      </c>
      <c r="D17027" t="s">
        <v>61016</v>
      </c>
      <c r="E17027" t="s">
        <v>61017</v>
      </c>
      <c r="F17027" t="s">
        <v>3145</v>
      </c>
      <c r="G17027" t="s">
        <v>8864</v>
      </c>
      <c r="I17027" t="s">
        <v>3147</v>
      </c>
      <c r="J17027" t="s">
        <v>171</v>
      </c>
      <c r="K17027" t="s">
        <v>973</v>
      </c>
      <c r="N17027" t="s">
        <v>61018</v>
      </c>
      <c r="Q17027">
        <v>0</v>
      </c>
      <c r="R17027">
        <v>120</v>
      </c>
      <c r="S17027">
        <v>0</v>
      </c>
      <c r="T17027" t="s">
        <v>61019</v>
      </c>
    </row>
    <row r="17028" spans="1:20" customFormat="1" ht="15" x14ac:dyDescent="0.25">
      <c r="A17028" t="s">
        <v>24</v>
      </c>
      <c r="B17028" t="s">
        <v>33920</v>
      </c>
      <c r="C17028" t="str">
        <f>"A0098453"</f>
        <v>A0098453</v>
      </c>
      <c r="D17028" t="s">
        <v>84934</v>
      </c>
      <c r="E17028" t="s">
        <v>84935</v>
      </c>
      <c r="F17028" t="s">
        <v>84936</v>
      </c>
      <c r="G17028" t="s">
        <v>846</v>
      </c>
      <c r="H17028">
        <v>30582</v>
      </c>
      <c r="I17028" t="s">
        <v>30</v>
      </c>
      <c r="J17028" t="s">
        <v>162</v>
      </c>
      <c r="K17028" t="s">
        <v>163</v>
      </c>
      <c r="N17028" t="s">
        <v>84937</v>
      </c>
      <c r="Q17028">
        <v>0</v>
      </c>
      <c r="R17028">
        <v>66</v>
      </c>
      <c r="S17028">
        <v>0</v>
      </c>
      <c r="T17028" t="s">
        <v>84938</v>
      </c>
    </row>
    <row r="17029" spans="1:20" customFormat="1" ht="15" x14ac:dyDescent="0.25">
      <c r="A17029" t="s">
        <v>24</v>
      </c>
      <c r="B17029" t="s">
        <v>1020</v>
      </c>
      <c r="C17029" t="str">
        <f>"A0063435"</f>
        <v>A0063435</v>
      </c>
      <c r="D17029" t="s">
        <v>84939</v>
      </c>
      <c r="E17029" t="s">
        <v>84940</v>
      </c>
      <c r="F17029" t="s">
        <v>9812</v>
      </c>
      <c r="G17029" t="s">
        <v>103</v>
      </c>
      <c r="H17029">
        <v>19103</v>
      </c>
      <c r="I17029" t="s">
        <v>30</v>
      </c>
      <c r="J17029" t="s">
        <v>162</v>
      </c>
      <c r="K17029" t="s">
        <v>163</v>
      </c>
      <c r="N17029" t="s">
        <v>84941</v>
      </c>
      <c r="O17029" t="s">
        <v>84942</v>
      </c>
      <c r="Q17029">
        <v>0</v>
      </c>
      <c r="R17029">
        <v>98</v>
      </c>
      <c r="S17029">
        <v>0</v>
      </c>
      <c r="T17029" t="s">
        <v>84943</v>
      </c>
    </row>
    <row r="17030" spans="1:20" customFormat="1" ht="15" x14ac:dyDescent="0.25">
      <c r="A17030" t="s">
        <v>24</v>
      </c>
      <c r="B17030" t="s">
        <v>675</v>
      </c>
      <c r="C17030" t="str">
        <f>"A0088109"</f>
        <v>A0088109</v>
      </c>
      <c r="D17030" t="s">
        <v>85113</v>
      </c>
      <c r="E17030" t="s">
        <v>85114</v>
      </c>
      <c r="F17030" t="s">
        <v>3414</v>
      </c>
      <c r="G17030" t="s">
        <v>110</v>
      </c>
      <c r="H17030">
        <v>96161</v>
      </c>
      <c r="I17030" t="s">
        <v>30</v>
      </c>
      <c r="J17030" t="s">
        <v>162</v>
      </c>
      <c r="K17030" t="s">
        <v>680</v>
      </c>
      <c r="N17030" t="s">
        <v>85115</v>
      </c>
      <c r="O17030" t="s">
        <v>85116</v>
      </c>
      <c r="Q17030">
        <v>0</v>
      </c>
      <c r="R17030">
        <v>170</v>
      </c>
      <c r="S17030">
        <v>0</v>
      </c>
      <c r="T17030" t="s">
        <v>85117</v>
      </c>
    </row>
    <row r="17031" spans="1:20" customFormat="1" ht="15" x14ac:dyDescent="0.25">
      <c r="A17031" t="s">
        <v>24</v>
      </c>
      <c r="B17031" t="s">
        <v>72472</v>
      </c>
      <c r="C17031" t="str">
        <f>"88IN027"</f>
        <v>88IN027</v>
      </c>
      <c r="D17031" t="s">
        <v>85177</v>
      </c>
      <c r="E17031" t="s">
        <v>85178</v>
      </c>
      <c r="F17031" t="s">
        <v>4674</v>
      </c>
      <c r="G17031" t="s">
        <v>314</v>
      </c>
      <c r="H17031">
        <v>20037</v>
      </c>
      <c r="I17031" t="s">
        <v>30</v>
      </c>
      <c r="J17031" t="s">
        <v>162</v>
      </c>
      <c r="K17031" t="s">
        <v>163</v>
      </c>
      <c r="N17031" t="s">
        <v>85179</v>
      </c>
      <c r="O17031" t="s">
        <v>85180</v>
      </c>
      <c r="Q17031">
        <v>0</v>
      </c>
      <c r="R17031">
        <v>126</v>
      </c>
      <c r="S17031">
        <v>0</v>
      </c>
      <c r="T17031" t="s">
        <v>85181</v>
      </c>
    </row>
    <row r="17032" spans="1:20" customFormat="1" ht="15" x14ac:dyDescent="0.25">
      <c r="A17032" t="s">
        <v>24</v>
      </c>
      <c r="B17032" t="s">
        <v>713</v>
      </c>
      <c r="C17032" t="str">
        <f>"A0098062"</f>
        <v>A0098062</v>
      </c>
      <c r="D17032" t="s">
        <v>85187</v>
      </c>
      <c r="E17032" t="s">
        <v>85188</v>
      </c>
      <c r="F17032" t="s">
        <v>716</v>
      </c>
      <c r="G17032" t="s">
        <v>289</v>
      </c>
      <c r="H17032">
        <v>60647</v>
      </c>
      <c r="I17032" t="s">
        <v>30</v>
      </c>
      <c r="J17032" t="s">
        <v>162</v>
      </c>
      <c r="K17032" t="s">
        <v>7017</v>
      </c>
      <c r="N17032" t="s">
        <v>85189</v>
      </c>
      <c r="O17032" t="s">
        <v>85190</v>
      </c>
      <c r="Q17032">
        <v>0</v>
      </c>
      <c r="R17032">
        <v>89</v>
      </c>
      <c r="S17032">
        <v>0</v>
      </c>
      <c r="T17032" t="s">
        <v>85191</v>
      </c>
    </row>
    <row r="17033" spans="1:20" customFormat="1" ht="15" x14ac:dyDescent="0.25">
      <c r="A17033" t="s">
        <v>24</v>
      </c>
      <c r="B17033" t="s">
        <v>34201</v>
      </c>
      <c r="C17033" t="str">
        <f>"A0117686"</f>
        <v>A0117686</v>
      </c>
      <c r="D17033" t="s">
        <v>85192</v>
      </c>
      <c r="E17033" t="s">
        <v>85193</v>
      </c>
      <c r="F17033" t="s">
        <v>9068</v>
      </c>
      <c r="G17033" t="s">
        <v>289</v>
      </c>
      <c r="H17033">
        <v>60018</v>
      </c>
      <c r="I17033" t="s">
        <v>30</v>
      </c>
      <c r="J17033" t="s">
        <v>162</v>
      </c>
      <c r="K17033" t="s">
        <v>2881</v>
      </c>
      <c r="N17033" t="s">
        <v>85194</v>
      </c>
      <c r="O17033" t="s">
        <v>85195</v>
      </c>
      <c r="Q17033">
        <v>0</v>
      </c>
      <c r="R17033">
        <v>165</v>
      </c>
      <c r="S17033">
        <v>0</v>
      </c>
      <c r="T17033" t="s">
        <v>85196</v>
      </c>
    </row>
    <row r="17034" spans="1:20" customFormat="1" ht="15" x14ac:dyDescent="0.25">
      <c r="A17034" t="s">
        <v>24</v>
      </c>
      <c r="B17034" t="s">
        <v>84630</v>
      </c>
      <c r="C17034" t="str">
        <f>"A0095033"</f>
        <v>A0095033</v>
      </c>
      <c r="D17034" t="s">
        <v>85224</v>
      </c>
      <c r="E17034" t="s">
        <v>85225</v>
      </c>
      <c r="F17034" t="s">
        <v>7063</v>
      </c>
      <c r="G17034" t="s">
        <v>110</v>
      </c>
      <c r="H17034">
        <v>92264</v>
      </c>
      <c r="I17034" t="s">
        <v>30</v>
      </c>
      <c r="J17034" t="s">
        <v>162</v>
      </c>
      <c r="K17034" t="s">
        <v>163</v>
      </c>
      <c r="N17034" t="s">
        <v>85226</v>
      </c>
      <c r="Q17034">
        <v>0</v>
      </c>
      <c r="R17034">
        <v>249</v>
      </c>
      <c r="S17034">
        <v>0</v>
      </c>
      <c r="T17034" t="s">
        <v>85227</v>
      </c>
    </row>
    <row r="17035" spans="1:20" customFormat="1" ht="15" x14ac:dyDescent="0.25">
      <c r="A17035" t="s">
        <v>24</v>
      </c>
      <c r="B17035" t="s">
        <v>84630</v>
      </c>
      <c r="C17035" t="str">
        <f>"A0095031"</f>
        <v>A0095031</v>
      </c>
      <c r="D17035" t="s">
        <v>85228</v>
      </c>
      <c r="E17035" t="s">
        <v>85229</v>
      </c>
      <c r="F17035" t="s">
        <v>2014</v>
      </c>
      <c r="G17035" t="s">
        <v>197</v>
      </c>
      <c r="H17035">
        <v>85251</v>
      </c>
      <c r="I17035" t="s">
        <v>30</v>
      </c>
      <c r="J17035" t="s">
        <v>162</v>
      </c>
      <c r="K17035" t="s">
        <v>163</v>
      </c>
      <c r="N17035" t="s">
        <v>85230</v>
      </c>
      <c r="O17035" t="s">
        <v>85231</v>
      </c>
      <c r="Q17035">
        <v>0</v>
      </c>
      <c r="R17035">
        <v>194</v>
      </c>
      <c r="S17035">
        <v>0</v>
      </c>
      <c r="T17035" t="s">
        <v>85232</v>
      </c>
    </row>
    <row r="17036" spans="1:20" customFormat="1" ht="15" x14ac:dyDescent="0.25">
      <c r="A17036" t="s">
        <v>24</v>
      </c>
      <c r="B17036" t="s">
        <v>1020</v>
      </c>
      <c r="C17036" t="str">
        <f>"A0054445"</f>
        <v>A0054445</v>
      </c>
      <c r="D17036" t="s">
        <v>85233</v>
      </c>
      <c r="E17036" t="s">
        <v>85234</v>
      </c>
      <c r="F17036" t="s">
        <v>85235</v>
      </c>
      <c r="G17036" t="s">
        <v>110</v>
      </c>
      <c r="H17036">
        <v>93933</v>
      </c>
      <c r="I17036" t="s">
        <v>30</v>
      </c>
      <c r="J17036" t="s">
        <v>162</v>
      </c>
      <c r="K17036" t="s">
        <v>163</v>
      </c>
      <c r="N17036" t="s">
        <v>85236</v>
      </c>
      <c r="Q17036">
        <v>0</v>
      </c>
      <c r="R17036">
        <v>60</v>
      </c>
      <c r="S17036">
        <v>0</v>
      </c>
      <c r="T17036" t="s">
        <v>85237</v>
      </c>
    </row>
    <row r="17037" spans="1:20" customFormat="1" ht="15" x14ac:dyDescent="0.25">
      <c r="A17037" t="s">
        <v>24</v>
      </c>
      <c r="B17037" t="s">
        <v>1849</v>
      </c>
      <c r="C17037" t="str">
        <f>"A0069216"</f>
        <v>A0069216</v>
      </c>
      <c r="D17037" t="s">
        <v>85258</v>
      </c>
      <c r="E17037" t="s">
        <v>85259</v>
      </c>
      <c r="F17037" t="s">
        <v>62744</v>
      </c>
      <c r="G17037" t="s">
        <v>81</v>
      </c>
      <c r="H17037">
        <v>32118</v>
      </c>
      <c r="I17037" t="s">
        <v>30</v>
      </c>
      <c r="J17037" t="s">
        <v>162</v>
      </c>
      <c r="K17037" t="s">
        <v>163</v>
      </c>
      <c r="N17037" t="s">
        <v>85260</v>
      </c>
      <c r="Q17037">
        <v>0</v>
      </c>
      <c r="R17037">
        <v>212</v>
      </c>
      <c r="S17037">
        <v>0</v>
      </c>
      <c r="T17037" t="s">
        <v>85261</v>
      </c>
    </row>
    <row r="17038" spans="1:20" customFormat="1" ht="15" x14ac:dyDescent="0.25">
      <c r="A17038" t="s">
        <v>24</v>
      </c>
      <c r="B17038" t="s">
        <v>3367</v>
      </c>
      <c r="C17038" t="str">
        <f>"A0087223"</f>
        <v>A0087223</v>
      </c>
      <c r="D17038" t="s">
        <v>85271</v>
      </c>
      <c r="E17038" t="s">
        <v>14972</v>
      </c>
      <c r="F17038" t="s">
        <v>866</v>
      </c>
      <c r="G17038" t="s">
        <v>40</v>
      </c>
      <c r="H17038">
        <v>73102</v>
      </c>
      <c r="I17038" t="s">
        <v>30</v>
      </c>
      <c r="J17038" t="s">
        <v>162</v>
      </c>
      <c r="K17038" t="s">
        <v>4809</v>
      </c>
      <c r="N17038" t="s">
        <v>85272</v>
      </c>
      <c r="Q17038">
        <v>0</v>
      </c>
      <c r="R17038">
        <v>225</v>
      </c>
      <c r="S17038">
        <v>0</v>
      </c>
      <c r="T17038" t="s">
        <v>85273</v>
      </c>
    </row>
    <row r="17039" spans="1:20" customFormat="1" ht="15" x14ac:dyDescent="0.25">
      <c r="A17039" t="s">
        <v>24</v>
      </c>
      <c r="B17039" t="s">
        <v>85274</v>
      </c>
      <c r="C17039" t="str">
        <f>"A0054287"</f>
        <v>A0054287</v>
      </c>
      <c r="D17039" t="s">
        <v>85275</v>
      </c>
      <c r="E17039" t="s">
        <v>85276</v>
      </c>
      <c r="F17039" t="s">
        <v>34946</v>
      </c>
      <c r="G17039" t="s">
        <v>338</v>
      </c>
      <c r="H17039">
        <v>7059</v>
      </c>
      <c r="I17039" t="s">
        <v>30</v>
      </c>
      <c r="J17039" t="s">
        <v>162</v>
      </c>
      <c r="K17039" t="s">
        <v>2881</v>
      </c>
      <c r="N17039" t="s">
        <v>62731</v>
      </c>
      <c r="O17039" t="s">
        <v>62730</v>
      </c>
      <c r="Q17039">
        <v>0</v>
      </c>
      <c r="R17039">
        <v>118</v>
      </c>
      <c r="S17039">
        <v>0</v>
      </c>
      <c r="T17039" t="s">
        <v>85277</v>
      </c>
    </row>
    <row r="17040" spans="1:20" customFormat="1" ht="15" hidden="1" x14ac:dyDescent="0.25">
      <c r="A17040" t="s">
        <v>24</v>
      </c>
      <c r="B17040" t="s">
        <v>675</v>
      </c>
      <c r="C17040" t="str">
        <f>"A0091048"</f>
        <v>A0091048</v>
      </c>
      <c r="D17040" t="s">
        <v>61076</v>
      </c>
      <c r="E17040" t="s">
        <v>61077</v>
      </c>
      <c r="F17040" t="s">
        <v>5874</v>
      </c>
      <c r="G17040" t="s">
        <v>3843</v>
      </c>
      <c r="H17040">
        <v>15520</v>
      </c>
      <c r="I17040" t="s">
        <v>2408</v>
      </c>
      <c r="J17040" t="s">
        <v>171</v>
      </c>
      <c r="K17040" t="s">
        <v>973</v>
      </c>
      <c r="N17040" t="s">
        <v>9546</v>
      </c>
      <c r="Q17040">
        <v>0</v>
      </c>
      <c r="R17040">
        <v>271</v>
      </c>
      <c r="S17040">
        <v>0</v>
      </c>
      <c r="T17040" t="s">
        <v>61078</v>
      </c>
    </row>
    <row r="17041" spans="1:20" customFormat="1" ht="15" hidden="1" x14ac:dyDescent="0.25">
      <c r="A17041" t="s">
        <v>24</v>
      </c>
      <c r="B17041" t="s">
        <v>61079</v>
      </c>
      <c r="C17041" t="str">
        <f>"A0095903"</f>
        <v>A0095903</v>
      </c>
      <c r="D17041" t="s">
        <v>61080</v>
      </c>
      <c r="E17041" t="s">
        <v>61081</v>
      </c>
      <c r="F17041" t="s">
        <v>2408</v>
      </c>
      <c r="G17041" t="s">
        <v>3843</v>
      </c>
      <c r="H17041">
        <v>11870</v>
      </c>
      <c r="I17041" t="s">
        <v>2408</v>
      </c>
      <c r="J17041" t="s">
        <v>171</v>
      </c>
      <c r="K17041" t="s">
        <v>973</v>
      </c>
      <c r="N17041" t="s">
        <v>61082</v>
      </c>
      <c r="Q17041">
        <v>0</v>
      </c>
      <c r="R17041">
        <v>252</v>
      </c>
      <c r="S17041">
        <v>0</v>
      </c>
      <c r="T17041" t="s">
        <v>61083</v>
      </c>
    </row>
    <row r="17042" spans="1:20" customFormat="1" ht="15" hidden="1" x14ac:dyDescent="0.25">
      <c r="A17042" t="s">
        <v>24</v>
      </c>
      <c r="B17042" t="s">
        <v>675</v>
      </c>
      <c r="C17042" t="str">
        <f>"A0096790"</f>
        <v>A0096790</v>
      </c>
      <c r="D17042" t="s">
        <v>61084</v>
      </c>
      <c r="E17042" t="s">
        <v>61085</v>
      </c>
      <c r="F17042" t="s">
        <v>13344</v>
      </c>
      <c r="G17042" t="s">
        <v>13345</v>
      </c>
      <c r="H17042">
        <v>53398</v>
      </c>
      <c r="I17042" t="s">
        <v>2408</v>
      </c>
      <c r="J17042" t="s">
        <v>171</v>
      </c>
      <c r="K17042" t="s">
        <v>973</v>
      </c>
      <c r="N17042" t="s">
        <v>59446</v>
      </c>
      <c r="Q17042">
        <v>0</v>
      </c>
      <c r="R17042">
        <v>130</v>
      </c>
      <c r="S17042">
        <v>0</v>
      </c>
      <c r="T17042" t="s">
        <v>61086</v>
      </c>
    </row>
    <row r="17043" spans="1:20" customFormat="1" ht="15" x14ac:dyDescent="0.25">
      <c r="A17043" t="s">
        <v>24</v>
      </c>
      <c r="B17043" t="s">
        <v>1528</v>
      </c>
      <c r="C17043" t="str">
        <f>"A0147576"</f>
        <v>A0147576</v>
      </c>
      <c r="D17043" t="s">
        <v>85350</v>
      </c>
      <c r="E17043" t="s">
        <v>85351</v>
      </c>
      <c r="F17043" t="s">
        <v>2900</v>
      </c>
      <c r="G17043" t="s">
        <v>76</v>
      </c>
      <c r="H17043">
        <v>98101</v>
      </c>
      <c r="I17043" t="s">
        <v>30</v>
      </c>
      <c r="J17043" t="s">
        <v>162</v>
      </c>
      <c r="K17043" t="s">
        <v>163</v>
      </c>
      <c r="N17043" t="s">
        <v>85352</v>
      </c>
      <c r="Q17043">
        <v>0</v>
      </c>
      <c r="R17043">
        <v>91</v>
      </c>
      <c r="S17043">
        <v>0</v>
      </c>
      <c r="T17043" t="s">
        <v>85353</v>
      </c>
    </row>
    <row r="17044" spans="1:20" customFormat="1" ht="15" x14ac:dyDescent="0.25">
      <c r="A17044" t="s">
        <v>24</v>
      </c>
      <c r="B17044" t="s">
        <v>799</v>
      </c>
      <c r="C17044" t="str">
        <f>"A0099402"</f>
        <v>A0099402</v>
      </c>
      <c r="D17044" t="s">
        <v>85364</v>
      </c>
      <c r="E17044" t="s">
        <v>85365</v>
      </c>
      <c r="F17044" t="s">
        <v>2930</v>
      </c>
      <c r="G17044" t="s">
        <v>2391</v>
      </c>
      <c r="H17044">
        <v>5672</v>
      </c>
      <c r="I17044" t="s">
        <v>30</v>
      </c>
      <c r="J17044" t="s">
        <v>162</v>
      </c>
      <c r="K17044" t="s">
        <v>163</v>
      </c>
      <c r="N17044" t="s">
        <v>85366</v>
      </c>
      <c r="Q17044">
        <v>0</v>
      </c>
      <c r="R17044">
        <v>46</v>
      </c>
      <c r="S17044">
        <v>0</v>
      </c>
      <c r="T17044" t="s">
        <v>85367</v>
      </c>
    </row>
    <row r="17045" spans="1:20" customFormat="1" ht="15" x14ac:dyDescent="0.25">
      <c r="A17045" t="s">
        <v>24</v>
      </c>
      <c r="B17045" t="s">
        <v>1561</v>
      </c>
      <c r="C17045" t="str">
        <f>"A0151358"</f>
        <v>A0151358</v>
      </c>
      <c r="D17045" t="s">
        <v>85377</v>
      </c>
      <c r="E17045" t="s">
        <v>85378</v>
      </c>
      <c r="F17045" t="s">
        <v>1308</v>
      </c>
      <c r="G17045" t="s">
        <v>99</v>
      </c>
      <c r="H17045">
        <v>11430</v>
      </c>
      <c r="I17045" t="s">
        <v>30</v>
      </c>
      <c r="J17045" t="s">
        <v>162</v>
      </c>
      <c r="K17045" t="s">
        <v>163</v>
      </c>
      <c r="N17045" t="s">
        <v>85379</v>
      </c>
      <c r="O17045" t="s">
        <v>85380</v>
      </c>
      <c r="Q17045">
        <v>0</v>
      </c>
      <c r="R17045">
        <v>512</v>
      </c>
      <c r="S17045">
        <v>0</v>
      </c>
      <c r="T17045" t="s">
        <v>85381</v>
      </c>
    </row>
    <row r="17046" spans="1:20" customFormat="1" ht="15" x14ac:dyDescent="0.25">
      <c r="A17046" t="s">
        <v>24</v>
      </c>
      <c r="B17046" t="s">
        <v>1548</v>
      </c>
      <c r="C17046" t="str">
        <f>"A0056820"</f>
        <v>A0056820</v>
      </c>
      <c r="D17046" t="s">
        <v>85414</v>
      </c>
      <c r="E17046" t="s">
        <v>85415</v>
      </c>
      <c r="F17046" t="s">
        <v>313</v>
      </c>
      <c r="G17046" t="s">
        <v>314</v>
      </c>
      <c r="H17046">
        <v>20036</v>
      </c>
      <c r="I17046" t="s">
        <v>30</v>
      </c>
      <c r="J17046" t="s">
        <v>162</v>
      </c>
      <c r="K17046" t="s">
        <v>3447</v>
      </c>
      <c r="N17046" t="s">
        <v>85416</v>
      </c>
      <c r="Q17046">
        <v>0</v>
      </c>
      <c r="R17046">
        <v>231</v>
      </c>
      <c r="S17046">
        <v>0</v>
      </c>
      <c r="T17046" t="s">
        <v>85417</v>
      </c>
    </row>
    <row r="17047" spans="1:20" customFormat="1" ht="15" x14ac:dyDescent="0.25">
      <c r="A17047" t="s">
        <v>24</v>
      </c>
      <c r="B17047" t="s">
        <v>799</v>
      </c>
      <c r="C17047" t="str">
        <f>"A0077079"</f>
        <v>A0077079</v>
      </c>
      <c r="D17047" t="s">
        <v>85438</v>
      </c>
      <c r="E17047" t="s">
        <v>85439</v>
      </c>
      <c r="F17047" t="s">
        <v>33618</v>
      </c>
      <c r="G17047" t="s">
        <v>90</v>
      </c>
      <c r="H17047">
        <v>2840</v>
      </c>
      <c r="I17047" t="s">
        <v>30</v>
      </c>
      <c r="J17047" t="s">
        <v>162</v>
      </c>
      <c r="K17047" t="s">
        <v>163</v>
      </c>
      <c r="N17047" t="s">
        <v>85440</v>
      </c>
      <c r="Q17047">
        <v>0</v>
      </c>
      <c r="R17047">
        <v>200</v>
      </c>
      <c r="S17047">
        <v>0</v>
      </c>
      <c r="T17047" t="s">
        <v>85441</v>
      </c>
    </row>
    <row r="17048" spans="1:20" customFormat="1" ht="15" x14ac:dyDescent="0.25">
      <c r="A17048" t="s">
        <v>24</v>
      </c>
      <c r="B17048" t="s">
        <v>75189</v>
      </c>
      <c r="C17048" t="str">
        <f>"A0085815"</f>
        <v>A0085815</v>
      </c>
      <c r="D17048" t="s">
        <v>85442</v>
      </c>
      <c r="E17048" t="s">
        <v>85443</v>
      </c>
      <c r="F17048" t="s">
        <v>1439</v>
      </c>
      <c r="G17048" t="s">
        <v>110</v>
      </c>
      <c r="H17048">
        <v>92101</v>
      </c>
      <c r="I17048" t="s">
        <v>30</v>
      </c>
      <c r="J17048" t="s">
        <v>162</v>
      </c>
      <c r="K17048" t="s">
        <v>163</v>
      </c>
      <c r="N17048" t="s">
        <v>85444</v>
      </c>
      <c r="O17048" t="s">
        <v>85445</v>
      </c>
      <c r="Q17048">
        <v>0</v>
      </c>
      <c r="R17048">
        <v>223</v>
      </c>
      <c r="S17048">
        <v>0</v>
      </c>
      <c r="T17048" t="s">
        <v>85446</v>
      </c>
    </row>
    <row r="17049" spans="1:20" customFormat="1" ht="15" x14ac:dyDescent="0.25">
      <c r="A17049" t="s">
        <v>24</v>
      </c>
      <c r="B17049" t="s">
        <v>1487</v>
      </c>
      <c r="C17049" t="str">
        <f>"A0088374"</f>
        <v>A0088374</v>
      </c>
      <c r="D17049" t="s">
        <v>85447</v>
      </c>
      <c r="E17049" t="s">
        <v>85448</v>
      </c>
      <c r="F17049" t="s">
        <v>372</v>
      </c>
      <c r="G17049" t="s">
        <v>52</v>
      </c>
      <c r="H17049">
        <v>78758</v>
      </c>
      <c r="I17049" t="s">
        <v>30</v>
      </c>
      <c r="J17049" t="s">
        <v>162</v>
      </c>
      <c r="K17049" t="s">
        <v>822</v>
      </c>
      <c r="N17049" t="s">
        <v>85449</v>
      </c>
      <c r="Q17049">
        <v>0</v>
      </c>
      <c r="R17049">
        <v>340</v>
      </c>
      <c r="S17049">
        <v>0</v>
      </c>
      <c r="T17049" t="s">
        <v>85450</v>
      </c>
    </row>
    <row r="17050" spans="1:20" customFormat="1" ht="15" x14ac:dyDescent="0.25">
      <c r="A17050" t="s">
        <v>24</v>
      </c>
      <c r="B17050" t="s">
        <v>675</v>
      </c>
      <c r="C17050" t="str">
        <f>"A0096711"</f>
        <v>A0096711</v>
      </c>
      <c r="D17050" t="s">
        <v>85458</v>
      </c>
      <c r="E17050" t="s">
        <v>85459</v>
      </c>
      <c r="F17050" t="s">
        <v>14497</v>
      </c>
      <c r="G17050" t="s">
        <v>76</v>
      </c>
      <c r="H17050">
        <v>98004</v>
      </c>
      <c r="I17050" t="s">
        <v>30</v>
      </c>
      <c r="J17050" t="s">
        <v>162</v>
      </c>
      <c r="K17050" t="s">
        <v>822</v>
      </c>
      <c r="N17050" t="s">
        <v>85460</v>
      </c>
      <c r="O17050" t="s">
        <v>85461</v>
      </c>
      <c r="Q17050">
        <v>0</v>
      </c>
      <c r="R17050">
        <v>337</v>
      </c>
      <c r="S17050">
        <v>0</v>
      </c>
      <c r="T17050" t="s">
        <v>85462</v>
      </c>
    </row>
    <row r="17051" spans="1:20" customFormat="1" ht="15" x14ac:dyDescent="0.25">
      <c r="A17051" t="s">
        <v>24</v>
      </c>
      <c r="B17051" t="s">
        <v>675</v>
      </c>
      <c r="C17051" t="str">
        <f>"A0096675"</f>
        <v>A0096675</v>
      </c>
      <c r="D17051" t="s">
        <v>85463</v>
      </c>
      <c r="E17051" t="s">
        <v>85464</v>
      </c>
      <c r="F17051" t="s">
        <v>5706</v>
      </c>
      <c r="G17051" t="s">
        <v>1706</v>
      </c>
      <c r="H17051">
        <v>35203</v>
      </c>
      <c r="I17051" t="s">
        <v>30</v>
      </c>
      <c r="J17051" t="s">
        <v>162</v>
      </c>
      <c r="K17051" t="s">
        <v>822</v>
      </c>
      <c r="Q17051">
        <v>0</v>
      </c>
      <c r="R17051">
        <v>294</v>
      </c>
      <c r="S17051">
        <v>0</v>
      </c>
      <c r="T17051" t="s">
        <v>85465</v>
      </c>
    </row>
    <row r="17052" spans="1:20" customFormat="1" ht="15" x14ac:dyDescent="0.25">
      <c r="A17052" t="s">
        <v>24</v>
      </c>
      <c r="B17052" t="s">
        <v>675</v>
      </c>
      <c r="C17052" t="str">
        <f>"A0096619"</f>
        <v>A0096619</v>
      </c>
      <c r="D17052" t="s">
        <v>85466</v>
      </c>
      <c r="E17052" t="s">
        <v>85467</v>
      </c>
      <c r="F17052" t="s">
        <v>7153</v>
      </c>
      <c r="G17052" t="s">
        <v>117</v>
      </c>
      <c r="H17052">
        <v>48226</v>
      </c>
      <c r="I17052" t="s">
        <v>30</v>
      </c>
      <c r="J17052" t="s">
        <v>162</v>
      </c>
      <c r="K17052" t="s">
        <v>822</v>
      </c>
      <c r="N17052" t="s">
        <v>85468</v>
      </c>
      <c r="Q17052">
        <v>0</v>
      </c>
      <c r="R17052">
        <v>453</v>
      </c>
      <c r="S17052">
        <v>0</v>
      </c>
      <c r="T17052" t="s">
        <v>85469</v>
      </c>
    </row>
    <row r="17053" spans="1:20" customFormat="1" ht="15" x14ac:dyDescent="0.25">
      <c r="A17053" t="s">
        <v>24</v>
      </c>
      <c r="B17053" t="s">
        <v>2373</v>
      </c>
      <c r="C17053" t="str">
        <f>"A0059514"</f>
        <v>A0059514</v>
      </c>
      <c r="D17053" t="s">
        <v>85470</v>
      </c>
      <c r="E17053" t="s">
        <v>85471</v>
      </c>
      <c r="F17053" t="s">
        <v>845</v>
      </c>
      <c r="G17053" t="s">
        <v>846</v>
      </c>
      <c r="H17053">
        <v>30326</v>
      </c>
      <c r="I17053" t="s">
        <v>30</v>
      </c>
      <c r="J17053" t="s">
        <v>162</v>
      </c>
      <c r="K17053" t="s">
        <v>822</v>
      </c>
      <c r="N17053" t="s">
        <v>85472</v>
      </c>
      <c r="O17053" t="s">
        <v>56300</v>
      </c>
      <c r="Q17053">
        <v>0</v>
      </c>
      <c r="R17053">
        <v>365</v>
      </c>
      <c r="S17053">
        <v>0</v>
      </c>
      <c r="T17053" t="s">
        <v>85473</v>
      </c>
    </row>
    <row r="17054" spans="1:20" customFormat="1" ht="15" x14ac:dyDescent="0.25">
      <c r="A17054" t="s">
        <v>24</v>
      </c>
      <c r="B17054" t="s">
        <v>675</v>
      </c>
      <c r="C17054" t="str">
        <f>"A0096689"</f>
        <v>A0096689</v>
      </c>
      <c r="D17054" t="s">
        <v>85484</v>
      </c>
      <c r="E17054" t="s">
        <v>85485</v>
      </c>
      <c r="F17054" t="s">
        <v>67262</v>
      </c>
      <c r="G17054" t="s">
        <v>81</v>
      </c>
      <c r="H17054">
        <v>33914</v>
      </c>
      <c r="I17054" t="s">
        <v>30</v>
      </c>
      <c r="J17054" t="s">
        <v>162</v>
      </c>
      <c r="K17054" t="s">
        <v>822</v>
      </c>
      <c r="Q17054">
        <v>0</v>
      </c>
      <c r="R17054">
        <v>263</v>
      </c>
      <c r="S17054">
        <v>0</v>
      </c>
      <c r="T17054" t="s">
        <v>85486</v>
      </c>
    </row>
    <row r="17055" spans="1:20" customFormat="1" ht="15" x14ac:dyDescent="0.25">
      <c r="A17055" t="s">
        <v>24</v>
      </c>
      <c r="B17055" t="s">
        <v>675</v>
      </c>
      <c r="C17055" t="str">
        <f>"A0096657"</f>
        <v>A0096657</v>
      </c>
      <c r="D17055" t="s">
        <v>85487</v>
      </c>
      <c r="E17055" t="s">
        <v>85488</v>
      </c>
      <c r="F17055" t="s">
        <v>242</v>
      </c>
      <c r="G17055" t="s">
        <v>214</v>
      </c>
      <c r="H17055">
        <v>28202</v>
      </c>
      <c r="I17055" t="s">
        <v>30</v>
      </c>
      <c r="J17055" t="s">
        <v>162</v>
      </c>
      <c r="K17055" t="s">
        <v>822</v>
      </c>
      <c r="N17055" t="s">
        <v>69873</v>
      </c>
      <c r="O17055" t="s">
        <v>85489</v>
      </c>
      <c r="Q17055">
        <v>0</v>
      </c>
      <c r="R17055">
        <v>700</v>
      </c>
      <c r="S17055">
        <v>0</v>
      </c>
      <c r="T17055" t="s">
        <v>85490</v>
      </c>
    </row>
    <row r="17056" spans="1:20" customFormat="1" ht="15" x14ac:dyDescent="0.25">
      <c r="A17056" t="s">
        <v>24</v>
      </c>
      <c r="B17056" t="s">
        <v>762</v>
      </c>
      <c r="C17056" t="str">
        <f>"A0060004"</f>
        <v>A0060004</v>
      </c>
      <c r="D17056" t="s">
        <v>85491</v>
      </c>
      <c r="E17056" t="s">
        <v>85492</v>
      </c>
      <c r="F17056" t="s">
        <v>13048</v>
      </c>
      <c r="G17056" t="s">
        <v>289</v>
      </c>
      <c r="H17056">
        <v>60143</v>
      </c>
      <c r="I17056" t="s">
        <v>30</v>
      </c>
      <c r="J17056" t="s">
        <v>162</v>
      </c>
      <c r="K17056" t="s">
        <v>822</v>
      </c>
      <c r="N17056" t="s">
        <v>85493</v>
      </c>
      <c r="Q17056">
        <v>0</v>
      </c>
      <c r="R17056">
        <v>408</v>
      </c>
      <c r="S17056">
        <v>0</v>
      </c>
      <c r="T17056" t="s">
        <v>85494</v>
      </c>
    </row>
    <row r="17057" spans="1:20" customFormat="1" ht="15" x14ac:dyDescent="0.25">
      <c r="A17057" t="s">
        <v>24</v>
      </c>
      <c r="B17057" t="s">
        <v>675</v>
      </c>
      <c r="C17057" t="str">
        <f>"A0059003"</f>
        <v>A0059003</v>
      </c>
      <c r="D17057" t="s">
        <v>85495</v>
      </c>
      <c r="E17057" t="s">
        <v>85496</v>
      </c>
      <c r="F17057" t="s">
        <v>716</v>
      </c>
      <c r="G17057" t="s">
        <v>289</v>
      </c>
      <c r="H17057">
        <v>60654</v>
      </c>
      <c r="I17057" t="s">
        <v>30</v>
      </c>
      <c r="J17057" t="s">
        <v>162</v>
      </c>
      <c r="K17057" t="s">
        <v>822</v>
      </c>
      <c r="N17057" t="s">
        <v>85497</v>
      </c>
      <c r="O17057" t="s">
        <v>85498</v>
      </c>
      <c r="Q17057">
        <v>0</v>
      </c>
      <c r="R17057">
        <v>445</v>
      </c>
      <c r="S17057">
        <v>0</v>
      </c>
      <c r="T17057" t="s">
        <v>85499</v>
      </c>
    </row>
    <row r="17058" spans="1:20" customFormat="1" ht="15" hidden="1" x14ac:dyDescent="0.25">
      <c r="A17058" t="s">
        <v>24</v>
      </c>
      <c r="B17058" t="s">
        <v>5435</v>
      </c>
      <c r="C17058" t="str">
        <f>"A0078446"</f>
        <v>A0078446</v>
      </c>
      <c r="D17058" t="s">
        <v>61155</v>
      </c>
      <c r="E17058" t="s">
        <v>61156</v>
      </c>
      <c r="F17058" t="s">
        <v>61157</v>
      </c>
      <c r="G17058" t="s">
        <v>5439</v>
      </c>
      <c r="H17058" t="s">
        <v>61158</v>
      </c>
      <c r="I17058" t="s">
        <v>1459</v>
      </c>
      <c r="J17058" t="s">
        <v>171</v>
      </c>
      <c r="K17058" t="s">
        <v>973</v>
      </c>
      <c r="N17058" t="s">
        <v>61159</v>
      </c>
      <c r="O17058" t="s">
        <v>61160</v>
      </c>
      <c r="Q17058">
        <v>0</v>
      </c>
      <c r="R17058">
        <v>160</v>
      </c>
      <c r="S17058">
        <v>0</v>
      </c>
      <c r="T17058" t="s">
        <v>61161</v>
      </c>
    </row>
    <row r="17059" spans="1:20" customFormat="1" ht="15" hidden="1" x14ac:dyDescent="0.25">
      <c r="A17059" t="s">
        <v>24</v>
      </c>
      <c r="B17059" t="s">
        <v>7405</v>
      </c>
      <c r="C17059" t="str">
        <f>"A0156573"</f>
        <v>A0156573</v>
      </c>
      <c r="D17059" t="s">
        <v>61162</v>
      </c>
      <c r="E17059" t="s">
        <v>61163</v>
      </c>
      <c r="F17059" t="s">
        <v>59022</v>
      </c>
      <c r="G17059" t="s">
        <v>5439</v>
      </c>
      <c r="H17059" t="s">
        <v>61164</v>
      </c>
      <c r="I17059" t="s">
        <v>1459</v>
      </c>
      <c r="J17059" t="s">
        <v>171</v>
      </c>
      <c r="K17059" t="s">
        <v>973</v>
      </c>
      <c r="N17059" t="s">
        <v>61165</v>
      </c>
      <c r="Q17059">
        <v>0</v>
      </c>
      <c r="R17059">
        <v>184</v>
      </c>
      <c r="S17059">
        <v>0</v>
      </c>
      <c r="T17059" t="s">
        <v>61166</v>
      </c>
    </row>
    <row r="17060" spans="1:20" customFormat="1" ht="15" x14ac:dyDescent="0.25">
      <c r="A17060" t="s">
        <v>24</v>
      </c>
      <c r="B17060" t="s">
        <v>2373</v>
      </c>
      <c r="C17060" t="str">
        <f>"A0096654"</f>
        <v>A0096654</v>
      </c>
      <c r="D17060" t="s">
        <v>85500</v>
      </c>
      <c r="E17060" t="s">
        <v>85501</v>
      </c>
      <c r="F17060" t="s">
        <v>13716</v>
      </c>
      <c r="G17060" t="s">
        <v>65</v>
      </c>
      <c r="H17060">
        <v>45202</v>
      </c>
      <c r="I17060" t="s">
        <v>30</v>
      </c>
      <c r="J17060" t="s">
        <v>162</v>
      </c>
      <c r="K17060" t="s">
        <v>822</v>
      </c>
      <c r="N17060" t="s">
        <v>85502</v>
      </c>
      <c r="O17060" t="s">
        <v>85503</v>
      </c>
      <c r="Q17060">
        <v>0</v>
      </c>
      <c r="R17060">
        <v>456</v>
      </c>
      <c r="S17060">
        <v>0</v>
      </c>
      <c r="T17060" t="s">
        <v>85504</v>
      </c>
    </row>
    <row r="17061" spans="1:20" customFormat="1" ht="15" x14ac:dyDescent="0.25">
      <c r="A17061" t="s">
        <v>24</v>
      </c>
      <c r="B17061" t="s">
        <v>5166</v>
      </c>
      <c r="C17061" t="str">
        <f>"A0056912"</f>
        <v>A0056912</v>
      </c>
      <c r="D17061" t="s">
        <v>85505</v>
      </c>
      <c r="E17061" t="s">
        <v>85506</v>
      </c>
      <c r="F17061" t="s">
        <v>6883</v>
      </c>
      <c r="G17061" t="s">
        <v>65</v>
      </c>
      <c r="H17061">
        <v>44114</v>
      </c>
      <c r="I17061" t="s">
        <v>30</v>
      </c>
      <c r="J17061" t="s">
        <v>162</v>
      </c>
      <c r="K17061" t="s">
        <v>822</v>
      </c>
      <c r="N17061" t="s">
        <v>85507</v>
      </c>
      <c r="Q17061">
        <v>0</v>
      </c>
      <c r="R17061">
        <v>472</v>
      </c>
      <c r="S17061">
        <v>0</v>
      </c>
      <c r="T17061" t="s">
        <v>85508</v>
      </c>
    </row>
    <row r="17062" spans="1:20" customFormat="1" ht="15" x14ac:dyDescent="0.25">
      <c r="A17062" t="s">
        <v>24</v>
      </c>
      <c r="B17062" t="s">
        <v>675</v>
      </c>
      <c r="C17062" t="str">
        <f>"A0096697"</f>
        <v>A0096697</v>
      </c>
      <c r="D17062" t="s">
        <v>85509</v>
      </c>
      <c r="E17062" t="s">
        <v>85510</v>
      </c>
      <c r="F17062" t="s">
        <v>271</v>
      </c>
      <c r="G17062" t="s">
        <v>103</v>
      </c>
      <c r="H17062">
        <v>15222</v>
      </c>
      <c r="I17062" t="s">
        <v>30</v>
      </c>
      <c r="J17062" t="s">
        <v>162</v>
      </c>
      <c r="K17062" t="s">
        <v>822</v>
      </c>
      <c r="N17062" t="s">
        <v>85511</v>
      </c>
      <c r="Q17062">
        <v>0</v>
      </c>
      <c r="R17062">
        <v>616</v>
      </c>
      <c r="S17062">
        <v>0</v>
      </c>
      <c r="T17062" t="s">
        <v>85512</v>
      </c>
    </row>
    <row r="17063" spans="1:20" customFormat="1" ht="15" x14ac:dyDescent="0.25">
      <c r="A17063" t="s">
        <v>24</v>
      </c>
      <c r="B17063" t="s">
        <v>675</v>
      </c>
      <c r="C17063" t="str">
        <f>"A0096705"</f>
        <v>A0096705</v>
      </c>
      <c r="D17063" t="s">
        <v>85513</v>
      </c>
      <c r="E17063" t="s">
        <v>85514</v>
      </c>
      <c r="F17063" t="s">
        <v>1208</v>
      </c>
      <c r="G17063" t="s">
        <v>899</v>
      </c>
      <c r="H17063">
        <v>2116</v>
      </c>
      <c r="I17063" t="s">
        <v>30</v>
      </c>
      <c r="J17063" t="s">
        <v>162</v>
      </c>
      <c r="K17063" t="s">
        <v>822</v>
      </c>
      <c r="N17063" t="s">
        <v>85515</v>
      </c>
      <c r="O17063" t="s">
        <v>85516</v>
      </c>
      <c r="Q17063">
        <v>0</v>
      </c>
      <c r="R17063">
        <v>803</v>
      </c>
      <c r="S17063">
        <v>0</v>
      </c>
      <c r="T17063" t="s">
        <v>85517</v>
      </c>
    </row>
    <row r="17064" spans="1:20" customFormat="1" ht="15" x14ac:dyDescent="0.25">
      <c r="A17064" t="s">
        <v>24</v>
      </c>
      <c r="B17064" t="s">
        <v>13679</v>
      </c>
      <c r="C17064" t="str">
        <f>"A0073576"</f>
        <v>A0073576</v>
      </c>
      <c r="D17064" t="s">
        <v>85518</v>
      </c>
      <c r="E17064" t="s">
        <v>85519</v>
      </c>
      <c r="F17064" t="s">
        <v>1131</v>
      </c>
      <c r="G17064" t="s">
        <v>29</v>
      </c>
      <c r="H17064">
        <v>22202</v>
      </c>
      <c r="I17064" t="s">
        <v>30</v>
      </c>
      <c r="J17064" t="s">
        <v>162</v>
      </c>
      <c r="K17064" t="s">
        <v>822</v>
      </c>
      <c r="N17064" t="s">
        <v>85520</v>
      </c>
      <c r="Q17064">
        <v>0</v>
      </c>
      <c r="R17064">
        <v>223</v>
      </c>
      <c r="S17064">
        <v>0</v>
      </c>
      <c r="T17064" t="s">
        <v>85521</v>
      </c>
    </row>
    <row r="17065" spans="1:20" customFormat="1" ht="15" x14ac:dyDescent="0.25">
      <c r="A17065" t="s">
        <v>24</v>
      </c>
      <c r="B17065" t="s">
        <v>675</v>
      </c>
      <c r="C17065" t="str">
        <f>"A0096709"</f>
        <v>A0096709</v>
      </c>
      <c r="D17065" t="s">
        <v>85522</v>
      </c>
      <c r="E17065" t="s">
        <v>85523</v>
      </c>
      <c r="F17065" t="s">
        <v>2094</v>
      </c>
      <c r="G17065" t="s">
        <v>52</v>
      </c>
      <c r="H17065">
        <v>75202</v>
      </c>
      <c r="I17065" t="s">
        <v>30</v>
      </c>
      <c r="J17065" t="s">
        <v>162</v>
      </c>
      <c r="K17065" t="s">
        <v>822</v>
      </c>
      <c r="N17065" t="s">
        <v>85524</v>
      </c>
      <c r="O17065" t="s">
        <v>85525</v>
      </c>
      <c r="Q17065">
        <v>0</v>
      </c>
      <c r="R17065">
        <v>323</v>
      </c>
      <c r="S17065">
        <v>0</v>
      </c>
      <c r="T17065" t="s">
        <v>85526</v>
      </c>
    </row>
    <row r="17066" spans="1:20" customFormat="1" ht="15" x14ac:dyDescent="0.25">
      <c r="A17066" t="s">
        <v>24</v>
      </c>
      <c r="B17066" t="s">
        <v>1020</v>
      </c>
      <c r="C17066" t="str">
        <f>"SC147"</f>
        <v>SC147</v>
      </c>
      <c r="D17066" t="s">
        <v>85527</v>
      </c>
      <c r="E17066" t="s">
        <v>85528</v>
      </c>
      <c r="F17066" t="s">
        <v>4829</v>
      </c>
      <c r="G17066" t="s">
        <v>52</v>
      </c>
      <c r="H17066">
        <v>75063</v>
      </c>
      <c r="I17066" t="s">
        <v>30</v>
      </c>
      <c r="J17066" t="s">
        <v>162</v>
      </c>
      <c r="K17066" t="s">
        <v>822</v>
      </c>
      <c r="N17066" t="s">
        <v>85529</v>
      </c>
      <c r="O17066" t="s">
        <v>85530</v>
      </c>
      <c r="Q17066">
        <v>0</v>
      </c>
      <c r="R17066">
        <v>506</v>
      </c>
      <c r="S17066">
        <v>0</v>
      </c>
      <c r="T17066" t="s">
        <v>85531</v>
      </c>
    </row>
    <row r="17067" spans="1:20" customFormat="1" ht="15" x14ac:dyDescent="0.25">
      <c r="A17067" t="s">
        <v>24</v>
      </c>
      <c r="B17067" t="s">
        <v>2373</v>
      </c>
      <c r="C17067" t="str">
        <f>"A0071707"</f>
        <v>A0071707</v>
      </c>
      <c r="D17067" t="s">
        <v>85532</v>
      </c>
      <c r="E17067" t="s">
        <v>85533</v>
      </c>
      <c r="F17067" t="s">
        <v>2094</v>
      </c>
      <c r="G17067" t="s">
        <v>52</v>
      </c>
      <c r="H17067">
        <v>75251</v>
      </c>
      <c r="I17067" t="s">
        <v>30</v>
      </c>
      <c r="J17067" t="s">
        <v>162</v>
      </c>
      <c r="K17067" t="s">
        <v>822</v>
      </c>
      <c r="N17067" t="s">
        <v>85534</v>
      </c>
      <c r="O17067" t="s">
        <v>85535</v>
      </c>
      <c r="Q17067">
        <v>0</v>
      </c>
      <c r="R17067">
        <v>536</v>
      </c>
      <c r="S17067">
        <v>0</v>
      </c>
      <c r="T17067" t="s">
        <v>85536</v>
      </c>
    </row>
    <row r="17068" spans="1:20" customFormat="1" ht="15" x14ac:dyDescent="0.25">
      <c r="A17068" t="s">
        <v>24</v>
      </c>
      <c r="B17068" t="s">
        <v>675</v>
      </c>
      <c r="C17068" t="str">
        <f>"A0096646"</f>
        <v>A0096646</v>
      </c>
      <c r="D17068" t="s">
        <v>85537</v>
      </c>
      <c r="E17068" t="s">
        <v>85538</v>
      </c>
      <c r="F17068" t="s">
        <v>972</v>
      </c>
      <c r="G17068" t="s">
        <v>190</v>
      </c>
      <c r="H17068">
        <v>80202</v>
      </c>
      <c r="I17068" t="s">
        <v>30</v>
      </c>
      <c r="J17068" t="s">
        <v>162</v>
      </c>
      <c r="K17068" t="s">
        <v>822</v>
      </c>
      <c r="N17068" t="s">
        <v>85539</v>
      </c>
      <c r="O17068" t="s">
        <v>85540</v>
      </c>
      <c r="Q17068">
        <v>0</v>
      </c>
      <c r="R17068">
        <v>430</v>
      </c>
      <c r="S17068">
        <v>0</v>
      </c>
      <c r="T17068" t="s">
        <v>85541</v>
      </c>
    </row>
    <row r="17069" spans="1:20" customFormat="1" ht="15" x14ac:dyDescent="0.25">
      <c r="A17069" t="s">
        <v>24</v>
      </c>
      <c r="B17069" t="s">
        <v>675</v>
      </c>
      <c r="C17069" t="str">
        <f>"A0096674"</f>
        <v>A0096674</v>
      </c>
      <c r="D17069" t="s">
        <v>85542</v>
      </c>
      <c r="E17069" t="s">
        <v>85543</v>
      </c>
      <c r="F17069" t="s">
        <v>972</v>
      </c>
      <c r="G17069" t="s">
        <v>190</v>
      </c>
      <c r="H17069">
        <v>80249</v>
      </c>
      <c r="I17069" t="s">
        <v>30</v>
      </c>
      <c r="J17069" t="s">
        <v>162</v>
      </c>
      <c r="K17069" t="s">
        <v>822</v>
      </c>
      <c r="N17069" t="s">
        <v>85544</v>
      </c>
      <c r="O17069" t="s">
        <v>85545</v>
      </c>
      <c r="Q17069">
        <v>0</v>
      </c>
      <c r="R17069">
        <v>519</v>
      </c>
      <c r="S17069">
        <v>0</v>
      </c>
      <c r="T17069" t="s">
        <v>85546</v>
      </c>
    </row>
    <row r="17070" spans="1:20" customFormat="1" ht="15" x14ac:dyDescent="0.25">
      <c r="A17070" t="s">
        <v>24</v>
      </c>
      <c r="B17070" t="s">
        <v>675</v>
      </c>
      <c r="C17070" t="str">
        <f>"A0071706"</f>
        <v>A0071706</v>
      </c>
      <c r="D17070" t="s">
        <v>85552</v>
      </c>
      <c r="E17070" t="s">
        <v>85553</v>
      </c>
      <c r="F17070" t="s">
        <v>1731</v>
      </c>
      <c r="G17070" t="s">
        <v>52</v>
      </c>
      <c r="H17070">
        <v>75240</v>
      </c>
      <c r="I17070" t="s">
        <v>30</v>
      </c>
      <c r="J17070" t="s">
        <v>162</v>
      </c>
      <c r="K17070" t="s">
        <v>822</v>
      </c>
      <c r="N17070" t="s">
        <v>85554</v>
      </c>
      <c r="O17070" t="s">
        <v>85555</v>
      </c>
      <c r="Q17070">
        <v>0</v>
      </c>
      <c r="R17070">
        <v>448</v>
      </c>
      <c r="S17070">
        <v>0</v>
      </c>
      <c r="T17070" t="s">
        <v>85556</v>
      </c>
    </row>
    <row r="17071" spans="1:20" customFormat="1" ht="15" x14ac:dyDescent="0.25">
      <c r="A17071" t="s">
        <v>24</v>
      </c>
      <c r="B17071" t="s">
        <v>675</v>
      </c>
      <c r="C17071" t="str">
        <f>"A0096671"</f>
        <v>A0096671</v>
      </c>
      <c r="D17071" t="s">
        <v>85557</v>
      </c>
      <c r="E17071" t="s">
        <v>85558</v>
      </c>
      <c r="F17071" t="s">
        <v>1564</v>
      </c>
      <c r="G17071" t="s">
        <v>52</v>
      </c>
      <c r="H17071">
        <v>77056</v>
      </c>
      <c r="I17071" t="s">
        <v>30</v>
      </c>
      <c r="J17071" t="s">
        <v>162</v>
      </c>
      <c r="K17071" t="s">
        <v>822</v>
      </c>
      <c r="N17071" t="s">
        <v>85559</v>
      </c>
      <c r="O17071" t="s">
        <v>85560</v>
      </c>
      <c r="Q17071">
        <v>0</v>
      </c>
      <c r="R17071">
        <v>487</v>
      </c>
      <c r="S17071">
        <v>0</v>
      </c>
      <c r="T17071" t="s">
        <v>85561</v>
      </c>
    </row>
    <row r="17072" spans="1:20" customFormat="1" ht="15" x14ac:dyDescent="0.25">
      <c r="A17072" t="s">
        <v>24</v>
      </c>
      <c r="B17072" t="s">
        <v>675</v>
      </c>
      <c r="C17072" t="str">
        <f>"A0096647"</f>
        <v>A0096647</v>
      </c>
      <c r="D17072" t="s">
        <v>85562</v>
      </c>
      <c r="E17072" t="s">
        <v>85563</v>
      </c>
      <c r="F17072" t="s">
        <v>313</v>
      </c>
      <c r="G17072" t="s">
        <v>314</v>
      </c>
      <c r="H17072">
        <v>20037</v>
      </c>
      <c r="I17072" t="s">
        <v>30</v>
      </c>
      <c r="J17072" t="s">
        <v>162</v>
      </c>
      <c r="K17072" t="s">
        <v>822</v>
      </c>
      <c r="N17072" t="s">
        <v>75512</v>
      </c>
      <c r="Q17072">
        <v>0</v>
      </c>
      <c r="R17072">
        <v>267</v>
      </c>
      <c r="S17072">
        <v>0</v>
      </c>
      <c r="T17072" t="s">
        <v>85564</v>
      </c>
    </row>
    <row r="17073" spans="1:20" customFormat="1" ht="15" x14ac:dyDescent="0.25">
      <c r="A17073" t="s">
        <v>24</v>
      </c>
      <c r="B17073" t="s">
        <v>76156</v>
      </c>
      <c r="C17073" t="str">
        <f>"A0100284"</f>
        <v>A0100284</v>
      </c>
      <c r="D17073" t="s">
        <v>85569</v>
      </c>
      <c r="E17073" t="s">
        <v>85570</v>
      </c>
      <c r="F17073" t="s">
        <v>76159</v>
      </c>
      <c r="G17073" t="s">
        <v>4815</v>
      </c>
      <c r="H17073">
        <v>96743</v>
      </c>
      <c r="I17073" t="s">
        <v>30</v>
      </c>
      <c r="J17073" t="s">
        <v>162</v>
      </c>
      <c r="K17073" t="s">
        <v>822</v>
      </c>
      <c r="N17073" t="s">
        <v>85571</v>
      </c>
      <c r="Q17073">
        <v>0</v>
      </c>
      <c r="R17073">
        <v>249</v>
      </c>
      <c r="S17073">
        <v>0</v>
      </c>
      <c r="T17073" t="s">
        <v>85572</v>
      </c>
    </row>
    <row r="17074" spans="1:20" customFormat="1" ht="15" x14ac:dyDescent="0.25">
      <c r="A17074" t="s">
        <v>24</v>
      </c>
      <c r="B17074" t="s">
        <v>675</v>
      </c>
      <c r="C17074" t="str">
        <f>"A0096690"</f>
        <v>A0096690</v>
      </c>
      <c r="D17074" t="s">
        <v>85579</v>
      </c>
      <c r="E17074" t="s">
        <v>85580</v>
      </c>
      <c r="F17074" t="s">
        <v>35912</v>
      </c>
      <c r="G17074" t="s">
        <v>58</v>
      </c>
      <c r="H17074">
        <v>29928</v>
      </c>
      <c r="I17074" t="s">
        <v>30</v>
      </c>
      <c r="J17074" t="s">
        <v>162</v>
      </c>
      <c r="K17074" t="s">
        <v>822</v>
      </c>
      <c r="N17074" t="s">
        <v>85581</v>
      </c>
      <c r="Q17074">
        <v>0</v>
      </c>
      <c r="R17074">
        <v>416</v>
      </c>
      <c r="S17074">
        <v>0</v>
      </c>
      <c r="T17074" t="s">
        <v>85582</v>
      </c>
    </row>
    <row r="17075" spans="1:20" customFormat="1" ht="15" x14ac:dyDescent="0.25">
      <c r="A17075" t="s">
        <v>24</v>
      </c>
      <c r="B17075" t="s">
        <v>35433</v>
      </c>
      <c r="C17075" t="str">
        <f>"A0153085"</f>
        <v>A0153085</v>
      </c>
      <c r="D17075" t="s">
        <v>85583</v>
      </c>
      <c r="E17075" t="s">
        <v>85584</v>
      </c>
      <c r="F17075" t="s">
        <v>1564</v>
      </c>
      <c r="G17075" t="s">
        <v>52</v>
      </c>
      <c r="H17075">
        <v>77030</v>
      </c>
      <c r="I17075" t="s">
        <v>30</v>
      </c>
      <c r="J17075" t="s">
        <v>162</v>
      </c>
      <c r="K17075" t="s">
        <v>822</v>
      </c>
      <c r="N17075" t="s">
        <v>85585</v>
      </c>
      <c r="O17075" t="s">
        <v>85586</v>
      </c>
      <c r="Q17075">
        <v>0</v>
      </c>
      <c r="R17075">
        <v>273</v>
      </c>
      <c r="S17075">
        <v>0</v>
      </c>
      <c r="T17075" t="s">
        <v>85587</v>
      </c>
    </row>
    <row r="17076" spans="1:20" customFormat="1" ht="15" x14ac:dyDescent="0.25">
      <c r="A17076" t="s">
        <v>24</v>
      </c>
      <c r="B17076" t="s">
        <v>675</v>
      </c>
      <c r="C17076" t="str">
        <f>"A0096673"</f>
        <v>A0096673</v>
      </c>
      <c r="D17076" t="s">
        <v>85588</v>
      </c>
      <c r="E17076" t="s">
        <v>85589</v>
      </c>
      <c r="F17076" t="s">
        <v>1564</v>
      </c>
      <c r="G17076" t="s">
        <v>52</v>
      </c>
      <c r="H17076">
        <v>77024</v>
      </c>
      <c r="I17076" t="s">
        <v>30</v>
      </c>
      <c r="J17076" t="s">
        <v>162</v>
      </c>
      <c r="K17076" t="s">
        <v>822</v>
      </c>
      <c r="N17076" t="s">
        <v>85590</v>
      </c>
      <c r="Q17076">
        <v>0</v>
      </c>
      <c r="R17076">
        <v>287</v>
      </c>
      <c r="S17076">
        <v>0</v>
      </c>
      <c r="T17076" t="s">
        <v>85591</v>
      </c>
    </row>
    <row r="17077" spans="1:20" customFormat="1" ht="15" x14ac:dyDescent="0.25">
      <c r="A17077" t="s">
        <v>24</v>
      </c>
      <c r="B17077" t="s">
        <v>675</v>
      </c>
      <c r="C17077" t="str">
        <f>"A0136805"</f>
        <v>A0136805</v>
      </c>
      <c r="D17077" t="s">
        <v>85592</v>
      </c>
      <c r="E17077" t="s">
        <v>85593</v>
      </c>
      <c r="F17077" t="s">
        <v>4829</v>
      </c>
      <c r="G17077" t="s">
        <v>52</v>
      </c>
      <c r="H17077">
        <v>75039</v>
      </c>
      <c r="I17077" t="s">
        <v>30</v>
      </c>
      <c r="J17077" t="s">
        <v>162</v>
      </c>
      <c r="K17077" t="s">
        <v>822</v>
      </c>
      <c r="N17077" t="s">
        <v>85594</v>
      </c>
      <c r="O17077" t="s">
        <v>85595</v>
      </c>
      <c r="Q17077">
        <v>0</v>
      </c>
      <c r="R17077">
        <v>350</v>
      </c>
      <c r="S17077">
        <v>0</v>
      </c>
      <c r="T17077" t="s">
        <v>85596</v>
      </c>
    </row>
    <row r="17078" spans="1:20" customFormat="1" ht="15" x14ac:dyDescent="0.25">
      <c r="A17078" t="s">
        <v>24</v>
      </c>
      <c r="B17078" t="s">
        <v>4140</v>
      </c>
      <c r="C17078" t="str">
        <f>"A0098845"</f>
        <v>A0098845</v>
      </c>
      <c r="D17078" t="s">
        <v>85597</v>
      </c>
      <c r="E17078" t="s">
        <v>85598</v>
      </c>
      <c r="F17078" t="s">
        <v>5833</v>
      </c>
      <c r="G17078" t="s">
        <v>1369</v>
      </c>
      <c r="H17078">
        <v>39201</v>
      </c>
      <c r="I17078" t="s">
        <v>30</v>
      </c>
      <c r="J17078" t="s">
        <v>162</v>
      </c>
      <c r="K17078" t="s">
        <v>822</v>
      </c>
      <c r="N17078" t="s">
        <v>85599</v>
      </c>
      <c r="Q17078">
        <v>0</v>
      </c>
      <c r="R17078">
        <v>203</v>
      </c>
      <c r="S17078">
        <v>0</v>
      </c>
      <c r="T17078" t="s">
        <v>85600</v>
      </c>
    </row>
    <row r="17079" spans="1:20" customFormat="1" ht="15" x14ac:dyDescent="0.25">
      <c r="A17079" t="s">
        <v>24</v>
      </c>
      <c r="B17079" t="s">
        <v>675</v>
      </c>
      <c r="C17079" t="str">
        <f>"A0096682"</f>
        <v>A0096682</v>
      </c>
      <c r="D17079" t="s">
        <v>85601</v>
      </c>
      <c r="E17079" t="s">
        <v>85602</v>
      </c>
      <c r="F17079" t="s">
        <v>5107</v>
      </c>
      <c r="G17079" t="s">
        <v>137</v>
      </c>
      <c r="H17079">
        <v>64108</v>
      </c>
      <c r="I17079" t="s">
        <v>30</v>
      </c>
      <c r="J17079" t="s">
        <v>162</v>
      </c>
      <c r="K17079" t="s">
        <v>822</v>
      </c>
      <c r="N17079" t="s">
        <v>80932</v>
      </c>
      <c r="Q17079">
        <v>0</v>
      </c>
      <c r="R17079">
        <v>724</v>
      </c>
      <c r="S17079">
        <v>0</v>
      </c>
      <c r="T17079" t="s">
        <v>85603</v>
      </c>
    </row>
    <row r="17080" spans="1:20" customFormat="1" ht="15" x14ac:dyDescent="0.25">
      <c r="A17080" t="s">
        <v>24</v>
      </c>
      <c r="B17080" t="s">
        <v>2373</v>
      </c>
      <c r="C17080" t="str">
        <f>"A0086147"</f>
        <v>A0086147</v>
      </c>
      <c r="D17080" t="s">
        <v>85604</v>
      </c>
      <c r="E17080" t="s">
        <v>85605</v>
      </c>
      <c r="F17080" t="s">
        <v>7734</v>
      </c>
      <c r="G17080" t="s">
        <v>197</v>
      </c>
      <c r="H17080">
        <v>85718</v>
      </c>
      <c r="I17080" t="s">
        <v>30</v>
      </c>
      <c r="J17080" t="s">
        <v>162</v>
      </c>
      <c r="K17080" t="s">
        <v>822</v>
      </c>
      <c r="N17080" t="s">
        <v>85606</v>
      </c>
      <c r="O17080" t="s">
        <v>85607</v>
      </c>
      <c r="Q17080">
        <v>0</v>
      </c>
      <c r="R17080">
        <v>487</v>
      </c>
      <c r="S17080">
        <v>0</v>
      </c>
      <c r="T17080" t="s">
        <v>85608</v>
      </c>
    </row>
    <row r="17081" spans="1:20" customFormat="1" ht="15" x14ac:dyDescent="0.25">
      <c r="A17081" t="s">
        <v>24</v>
      </c>
      <c r="B17081" t="s">
        <v>1548</v>
      </c>
      <c r="C17081" t="str">
        <f>"A0096620"</f>
        <v>A0096620</v>
      </c>
      <c r="D17081" t="s">
        <v>85609</v>
      </c>
      <c r="E17081" t="s">
        <v>85610</v>
      </c>
      <c r="F17081" t="s">
        <v>6698</v>
      </c>
      <c r="G17081" t="s">
        <v>289</v>
      </c>
      <c r="H17081">
        <v>60148</v>
      </c>
      <c r="I17081" t="s">
        <v>30</v>
      </c>
      <c r="J17081" t="s">
        <v>162</v>
      </c>
      <c r="K17081" t="s">
        <v>822</v>
      </c>
      <c r="N17081" t="s">
        <v>85611</v>
      </c>
      <c r="Q17081">
        <v>0</v>
      </c>
      <c r="R17081">
        <v>500</v>
      </c>
      <c r="S17081">
        <v>0</v>
      </c>
      <c r="T17081" t="s">
        <v>85612</v>
      </c>
    </row>
    <row r="17082" spans="1:20" customFormat="1" ht="15" x14ac:dyDescent="0.25">
      <c r="A17082" t="s">
        <v>24</v>
      </c>
      <c r="B17082" t="s">
        <v>675</v>
      </c>
      <c r="C17082" t="str">
        <f>"A0096645"</f>
        <v>A0096645</v>
      </c>
      <c r="D17082" t="s">
        <v>85613</v>
      </c>
      <c r="E17082" t="s">
        <v>85614</v>
      </c>
      <c r="F17082" t="s">
        <v>1519</v>
      </c>
      <c r="G17082" t="s">
        <v>110</v>
      </c>
      <c r="H17082">
        <v>90045</v>
      </c>
      <c r="I17082" t="s">
        <v>30</v>
      </c>
      <c r="J17082" t="s">
        <v>162</v>
      </c>
      <c r="K17082" t="s">
        <v>822</v>
      </c>
      <c r="N17082" t="s">
        <v>85615</v>
      </c>
      <c r="Q17082">
        <v>0</v>
      </c>
      <c r="R17082">
        <v>747</v>
      </c>
      <c r="S17082">
        <v>0</v>
      </c>
      <c r="T17082" t="s">
        <v>85616</v>
      </c>
    </row>
    <row r="17083" spans="1:20" customFormat="1" ht="15" x14ac:dyDescent="0.25">
      <c r="A17083" t="s">
        <v>24</v>
      </c>
      <c r="B17083" t="s">
        <v>675</v>
      </c>
      <c r="C17083" t="str">
        <f>"A0096648"</f>
        <v>A0096648</v>
      </c>
      <c r="D17083" t="s">
        <v>85617</v>
      </c>
      <c r="E17083" t="s">
        <v>85618</v>
      </c>
      <c r="F17083" t="s">
        <v>35740</v>
      </c>
      <c r="G17083" t="s">
        <v>4815</v>
      </c>
      <c r="H17083">
        <v>96761</v>
      </c>
      <c r="I17083" t="s">
        <v>30</v>
      </c>
      <c r="J17083" t="s">
        <v>162</v>
      </c>
      <c r="K17083" t="s">
        <v>822</v>
      </c>
      <c r="N17083" t="s">
        <v>85619</v>
      </c>
      <c r="O17083" t="s">
        <v>85620</v>
      </c>
      <c r="Q17083">
        <v>0</v>
      </c>
      <c r="R17083">
        <v>759</v>
      </c>
      <c r="S17083">
        <v>0</v>
      </c>
      <c r="T17083" t="s">
        <v>85621</v>
      </c>
    </row>
    <row r="17084" spans="1:20" customFormat="1" ht="15" x14ac:dyDescent="0.25">
      <c r="A17084" t="s">
        <v>24</v>
      </c>
      <c r="B17084" t="s">
        <v>85622</v>
      </c>
      <c r="C17084" t="str">
        <f>"A0098670"</f>
        <v>A0098670</v>
      </c>
      <c r="D17084" t="s">
        <v>85623</v>
      </c>
      <c r="E17084" t="s">
        <v>85624</v>
      </c>
      <c r="F17084" t="s">
        <v>11700</v>
      </c>
      <c r="G17084" t="s">
        <v>880</v>
      </c>
      <c r="H17084">
        <v>38103</v>
      </c>
      <c r="I17084" t="s">
        <v>30</v>
      </c>
      <c r="J17084" t="s">
        <v>162</v>
      </c>
      <c r="K17084" t="s">
        <v>822</v>
      </c>
      <c r="N17084" t="s">
        <v>85625</v>
      </c>
      <c r="O17084" t="s">
        <v>85626</v>
      </c>
      <c r="Q17084">
        <v>0</v>
      </c>
      <c r="R17084">
        <v>203</v>
      </c>
      <c r="S17084">
        <v>0</v>
      </c>
      <c r="T17084" t="s">
        <v>85627</v>
      </c>
    </row>
    <row r="17085" spans="1:20" customFormat="1" ht="15" x14ac:dyDescent="0.25">
      <c r="A17085" t="s">
        <v>24</v>
      </c>
      <c r="B17085" t="s">
        <v>675</v>
      </c>
      <c r="C17085" t="str">
        <f>"A0096627"</f>
        <v>A0096627</v>
      </c>
      <c r="D17085" t="s">
        <v>85628</v>
      </c>
      <c r="E17085" t="s">
        <v>85629</v>
      </c>
      <c r="F17085" t="s">
        <v>716</v>
      </c>
      <c r="G17085" t="s">
        <v>289</v>
      </c>
      <c r="H17085">
        <v>60611</v>
      </c>
      <c r="I17085" t="s">
        <v>30</v>
      </c>
      <c r="J17085" t="s">
        <v>162</v>
      </c>
      <c r="K17085" t="s">
        <v>822</v>
      </c>
      <c r="N17085" t="s">
        <v>85630</v>
      </c>
      <c r="O17085" t="s">
        <v>85631</v>
      </c>
      <c r="Q17085">
        <v>0</v>
      </c>
      <c r="R17085">
        <v>752</v>
      </c>
      <c r="S17085">
        <v>0</v>
      </c>
      <c r="T17085" t="s">
        <v>85632</v>
      </c>
    </row>
    <row r="17086" spans="1:20" customFormat="1" ht="15" x14ac:dyDescent="0.25">
      <c r="A17086" t="s">
        <v>24</v>
      </c>
      <c r="B17086" t="s">
        <v>1487</v>
      </c>
      <c r="C17086" t="str">
        <f>"A0098448"</f>
        <v>A0098448</v>
      </c>
      <c r="D17086" t="s">
        <v>85633</v>
      </c>
      <c r="E17086" t="s">
        <v>85634</v>
      </c>
      <c r="F17086" t="s">
        <v>5999</v>
      </c>
      <c r="G17086" t="s">
        <v>71</v>
      </c>
      <c r="H17086">
        <v>53202</v>
      </c>
      <c r="I17086" t="s">
        <v>30</v>
      </c>
      <c r="J17086" t="s">
        <v>162</v>
      </c>
      <c r="K17086" t="s">
        <v>822</v>
      </c>
      <c r="N17086" t="s">
        <v>76339</v>
      </c>
      <c r="Q17086">
        <v>0</v>
      </c>
      <c r="R17086">
        <v>200</v>
      </c>
      <c r="S17086">
        <v>0</v>
      </c>
      <c r="T17086" t="s">
        <v>85635</v>
      </c>
    </row>
    <row r="17087" spans="1:20" customFormat="1" ht="15" x14ac:dyDescent="0.25">
      <c r="A17087" t="s">
        <v>24</v>
      </c>
      <c r="B17087" t="s">
        <v>2373</v>
      </c>
      <c r="C17087" t="str">
        <f>"A0083130"</f>
        <v>A0083130</v>
      </c>
      <c r="D17087" t="s">
        <v>85636</v>
      </c>
      <c r="E17087" t="s">
        <v>85637</v>
      </c>
      <c r="F17087" t="s">
        <v>6404</v>
      </c>
      <c r="G17087" t="s">
        <v>161</v>
      </c>
      <c r="H17087" t="s">
        <v>85638</v>
      </c>
      <c r="I17087" t="s">
        <v>30</v>
      </c>
      <c r="J17087" t="s">
        <v>162</v>
      </c>
      <c r="K17087" t="s">
        <v>822</v>
      </c>
      <c r="N17087" t="s">
        <v>85639</v>
      </c>
      <c r="Q17087">
        <v>0</v>
      </c>
      <c r="R17087">
        <v>214</v>
      </c>
      <c r="S17087">
        <v>0</v>
      </c>
      <c r="T17087" t="s">
        <v>85640</v>
      </c>
    </row>
    <row r="17088" spans="1:20" customFormat="1" ht="15" x14ac:dyDescent="0.25">
      <c r="A17088" t="s">
        <v>24</v>
      </c>
      <c r="B17088" t="s">
        <v>675</v>
      </c>
      <c r="C17088" t="str">
        <f>"A0059018"</f>
        <v>A0059018</v>
      </c>
      <c r="D17088" t="s">
        <v>85647</v>
      </c>
      <c r="E17088" t="s">
        <v>85648</v>
      </c>
      <c r="F17088" t="s">
        <v>997</v>
      </c>
      <c r="G17088" t="s">
        <v>99</v>
      </c>
      <c r="H17088">
        <v>10036</v>
      </c>
      <c r="I17088" t="s">
        <v>30</v>
      </c>
      <c r="J17088" t="s">
        <v>162</v>
      </c>
      <c r="K17088" t="s">
        <v>822</v>
      </c>
      <c r="N17088" t="s">
        <v>85649</v>
      </c>
      <c r="O17088" t="s">
        <v>85650</v>
      </c>
      <c r="Q17088">
        <v>0</v>
      </c>
      <c r="R17088">
        <v>873</v>
      </c>
      <c r="S17088">
        <v>0</v>
      </c>
      <c r="T17088" t="s">
        <v>85651</v>
      </c>
    </row>
    <row r="17089" spans="1:20" customFormat="1" ht="15" x14ac:dyDescent="0.25">
      <c r="A17089" t="s">
        <v>24</v>
      </c>
      <c r="B17089" t="s">
        <v>2373</v>
      </c>
      <c r="C17089" t="str">
        <f>"A0062794"</f>
        <v>A0062794</v>
      </c>
      <c r="D17089" t="s">
        <v>85652</v>
      </c>
      <c r="E17089" t="s">
        <v>85653</v>
      </c>
      <c r="F17089" t="s">
        <v>997</v>
      </c>
      <c r="G17089" t="s">
        <v>99</v>
      </c>
      <c r="H17089">
        <v>10017</v>
      </c>
      <c r="I17089" t="s">
        <v>30</v>
      </c>
      <c r="J17089" t="s">
        <v>162</v>
      </c>
      <c r="K17089" t="s">
        <v>822</v>
      </c>
      <c r="N17089" t="s">
        <v>85654</v>
      </c>
      <c r="O17089" t="s">
        <v>85655</v>
      </c>
      <c r="Q17089">
        <v>0</v>
      </c>
      <c r="R17089">
        <v>773</v>
      </c>
      <c r="S17089">
        <v>0</v>
      </c>
      <c r="T17089" t="s">
        <v>85656</v>
      </c>
    </row>
    <row r="17090" spans="1:20" customFormat="1" ht="15" x14ac:dyDescent="0.25">
      <c r="A17090" t="s">
        <v>24</v>
      </c>
      <c r="B17090" t="s">
        <v>675</v>
      </c>
      <c r="C17090" t="str">
        <f>"A0096655"</f>
        <v>A0096655</v>
      </c>
      <c r="D17090" t="s">
        <v>85657</v>
      </c>
      <c r="E17090" t="s">
        <v>85658</v>
      </c>
      <c r="F17090" t="s">
        <v>1564</v>
      </c>
      <c r="G17090" t="s">
        <v>52</v>
      </c>
      <c r="H17090">
        <v>77056</v>
      </c>
      <c r="I17090" t="s">
        <v>30</v>
      </c>
      <c r="J17090" t="s">
        <v>162</v>
      </c>
      <c r="K17090" t="s">
        <v>822</v>
      </c>
      <c r="N17090" t="s">
        <v>85559</v>
      </c>
      <c r="Q17090">
        <v>0</v>
      </c>
      <c r="R17090">
        <v>406</v>
      </c>
      <c r="S17090">
        <v>0</v>
      </c>
      <c r="T17090" t="s">
        <v>85561</v>
      </c>
    </row>
    <row r="17091" spans="1:20" customFormat="1" ht="15" x14ac:dyDescent="0.25">
      <c r="A17091" t="s">
        <v>24</v>
      </c>
      <c r="B17091" t="s">
        <v>675</v>
      </c>
      <c r="C17091" t="str">
        <f>"A0096683"</f>
        <v>A0096683</v>
      </c>
      <c r="D17091" t="s">
        <v>85659</v>
      </c>
      <c r="E17091" t="s">
        <v>85660</v>
      </c>
      <c r="F17091" t="s">
        <v>9068</v>
      </c>
      <c r="G17091" t="s">
        <v>289</v>
      </c>
      <c r="H17091">
        <v>60018</v>
      </c>
      <c r="I17091" t="s">
        <v>30</v>
      </c>
      <c r="J17091" t="s">
        <v>162</v>
      </c>
      <c r="K17091" t="s">
        <v>822</v>
      </c>
      <c r="N17091" t="s">
        <v>80887</v>
      </c>
      <c r="Q17091">
        <v>0</v>
      </c>
      <c r="R17091">
        <v>525</v>
      </c>
      <c r="S17091">
        <v>0</v>
      </c>
      <c r="T17091" t="s">
        <v>85661</v>
      </c>
    </row>
    <row r="17092" spans="1:20" customFormat="1" ht="15" x14ac:dyDescent="0.25">
      <c r="A17092" t="s">
        <v>24</v>
      </c>
      <c r="B17092" t="s">
        <v>675</v>
      </c>
      <c r="C17092" t="str">
        <f>"A0090965"</f>
        <v>A0090965</v>
      </c>
      <c r="D17092" t="s">
        <v>85668</v>
      </c>
      <c r="E17092" t="s">
        <v>85669</v>
      </c>
      <c r="F17092" t="s">
        <v>845</v>
      </c>
      <c r="G17092" t="s">
        <v>846</v>
      </c>
      <c r="H17092">
        <v>30303</v>
      </c>
      <c r="I17092" t="s">
        <v>30</v>
      </c>
      <c r="J17092" t="s">
        <v>162</v>
      </c>
      <c r="K17092" t="s">
        <v>822</v>
      </c>
      <c r="N17092" t="s">
        <v>85670</v>
      </c>
      <c r="O17092" t="s">
        <v>85671</v>
      </c>
      <c r="Q17092">
        <v>0</v>
      </c>
      <c r="R17092">
        <v>1073</v>
      </c>
      <c r="S17092">
        <v>0</v>
      </c>
      <c r="T17092" t="s">
        <v>85672</v>
      </c>
    </row>
    <row r="17093" spans="1:20" customFormat="1" ht="15" x14ac:dyDescent="0.25">
      <c r="A17093" t="s">
        <v>24</v>
      </c>
      <c r="B17093" t="s">
        <v>1020</v>
      </c>
      <c r="C17093" t="str">
        <f>"A0075817"</f>
        <v>A0075817</v>
      </c>
      <c r="D17093" t="s">
        <v>85673</v>
      </c>
      <c r="E17093" t="s">
        <v>85674</v>
      </c>
      <c r="F17093" t="s">
        <v>9812</v>
      </c>
      <c r="G17093" t="s">
        <v>103</v>
      </c>
      <c r="H17093">
        <v>19103</v>
      </c>
      <c r="I17093" t="s">
        <v>30</v>
      </c>
      <c r="J17093" t="s">
        <v>162</v>
      </c>
      <c r="K17093" t="s">
        <v>822</v>
      </c>
      <c r="N17093" t="s">
        <v>85675</v>
      </c>
      <c r="O17093" t="s">
        <v>85676</v>
      </c>
      <c r="Q17093">
        <v>0</v>
      </c>
      <c r="R17093">
        <v>294</v>
      </c>
      <c r="S17093">
        <v>0</v>
      </c>
      <c r="T17093" t="s">
        <v>85677</v>
      </c>
    </row>
    <row r="17094" spans="1:20" customFormat="1" ht="15" x14ac:dyDescent="0.25">
      <c r="A17094" t="s">
        <v>24</v>
      </c>
      <c r="B17094" t="s">
        <v>675</v>
      </c>
      <c r="C17094" t="str">
        <f>"A0096680"</f>
        <v>A0096680</v>
      </c>
      <c r="D17094" t="s">
        <v>85678</v>
      </c>
      <c r="E17094" t="s">
        <v>85679</v>
      </c>
      <c r="F17094" t="s">
        <v>196</v>
      </c>
      <c r="G17094" t="s">
        <v>197</v>
      </c>
      <c r="H17094">
        <v>85004</v>
      </c>
      <c r="I17094" t="s">
        <v>30</v>
      </c>
      <c r="J17094" t="s">
        <v>162</v>
      </c>
      <c r="K17094" t="s">
        <v>822</v>
      </c>
      <c r="N17094" t="s">
        <v>85680</v>
      </c>
      <c r="O17094" t="s">
        <v>85681</v>
      </c>
      <c r="Q17094">
        <v>0</v>
      </c>
      <c r="R17094">
        <v>242</v>
      </c>
      <c r="S17094">
        <v>0</v>
      </c>
      <c r="T17094" t="s">
        <v>85682</v>
      </c>
    </row>
    <row r="17095" spans="1:20" customFormat="1" ht="15" x14ac:dyDescent="0.25">
      <c r="A17095" t="s">
        <v>24</v>
      </c>
      <c r="B17095" t="s">
        <v>2221</v>
      </c>
      <c r="C17095" t="str">
        <f>"A0075971"</f>
        <v>A0075971</v>
      </c>
      <c r="D17095" t="s">
        <v>85688</v>
      </c>
      <c r="E17095" t="s">
        <v>85689</v>
      </c>
      <c r="F17095" t="s">
        <v>6888</v>
      </c>
      <c r="G17095" t="s">
        <v>338</v>
      </c>
      <c r="H17095">
        <v>8540</v>
      </c>
      <c r="I17095" t="s">
        <v>30</v>
      </c>
      <c r="J17095" t="s">
        <v>162</v>
      </c>
      <c r="K17095" t="s">
        <v>822</v>
      </c>
      <c r="N17095" t="s">
        <v>85690</v>
      </c>
      <c r="O17095" t="s">
        <v>84023</v>
      </c>
      <c r="Q17095">
        <v>0</v>
      </c>
      <c r="R17095">
        <v>294</v>
      </c>
      <c r="S17095">
        <v>0</v>
      </c>
      <c r="T17095" t="s">
        <v>85691</v>
      </c>
    </row>
    <row r="17096" spans="1:20" customFormat="1" ht="15" x14ac:dyDescent="0.25">
      <c r="A17096" t="s">
        <v>24</v>
      </c>
      <c r="B17096" t="s">
        <v>2373</v>
      </c>
      <c r="C17096" t="str">
        <f>"A0086187"</f>
        <v>A0086187</v>
      </c>
      <c r="D17096" t="s">
        <v>85715</v>
      </c>
      <c r="E17096" t="s">
        <v>85716</v>
      </c>
      <c r="F17096" t="s">
        <v>356</v>
      </c>
      <c r="G17096" t="s">
        <v>52</v>
      </c>
      <c r="H17096">
        <v>78205</v>
      </c>
      <c r="I17096" t="s">
        <v>30</v>
      </c>
      <c r="J17096" t="s">
        <v>162</v>
      </c>
      <c r="K17096" t="s">
        <v>822</v>
      </c>
      <c r="N17096" t="s">
        <v>85717</v>
      </c>
      <c r="Q17096">
        <v>0</v>
      </c>
      <c r="R17096">
        <v>473</v>
      </c>
      <c r="S17096">
        <v>0</v>
      </c>
      <c r="T17096" t="s">
        <v>85718</v>
      </c>
    </row>
    <row r="17097" spans="1:20" customFormat="1" ht="15" x14ac:dyDescent="0.25">
      <c r="A17097" t="s">
        <v>24</v>
      </c>
      <c r="B17097" t="s">
        <v>675</v>
      </c>
      <c r="C17097" t="str">
        <f>"A0086907"</f>
        <v>A0086907</v>
      </c>
      <c r="D17097" t="s">
        <v>85719</v>
      </c>
      <c r="E17097" t="s">
        <v>85720</v>
      </c>
      <c r="F17097" t="s">
        <v>1439</v>
      </c>
      <c r="G17097" t="s">
        <v>110</v>
      </c>
      <c r="H17097">
        <v>92101</v>
      </c>
      <c r="I17097" t="s">
        <v>30</v>
      </c>
      <c r="J17097" t="s">
        <v>162</v>
      </c>
      <c r="K17097" t="s">
        <v>822</v>
      </c>
      <c r="N17097" t="s">
        <v>85721</v>
      </c>
      <c r="O17097" t="s">
        <v>85722</v>
      </c>
      <c r="Q17097">
        <v>0</v>
      </c>
      <c r="R17097">
        <v>442</v>
      </c>
      <c r="S17097">
        <v>0</v>
      </c>
      <c r="T17097" t="s">
        <v>85723</v>
      </c>
    </row>
    <row r="17098" spans="1:20" customFormat="1" ht="15" x14ac:dyDescent="0.25">
      <c r="A17098" t="s">
        <v>24</v>
      </c>
      <c r="B17098" t="s">
        <v>54970</v>
      </c>
      <c r="C17098" t="str">
        <f>"A0098339"</f>
        <v>A0098339</v>
      </c>
      <c r="D17098" t="s">
        <v>85724</v>
      </c>
      <c r="E17098" t="s">
        <v>85725</v>
      </c>
      <c r="F17098" t="s">
        <v>709</v>
      </c>
      <c r="G17098" t="s">
        <v>81</v>
      </c>
      <c r="H17098">
        <v>34236</v>
      </c>
      <c r="I17098" t="s">
        <v>30</v>
      </c>
      <c r="J17098" t="s">
        <v>162</v>
      </c>
      <c r="K17098" t="s">
        <v>822</v>
      </c>
      <c r="N17098" t="s">
        <v>85726</v>
      </c>
      <c r="O17098" t="s">
        <v>85727</v>
      </c>
      <c r="Q17098">
        <v>0</v>
      </c>
      <c r="R17098">
        <v>255</v>
      </c>
      <c r="S17098">
        <v>0</v>
      </c>
      <c r="T17098" t="s">
        <v>85728</v>
      </c>
    </row>
    <row r="17099" spans="1:20" customFormat="1" ht="15" x14ac:dyDescent="0.25">
      <c r="A17099" t="s">
        <v>24</v>
      </c>
      <c r="B17099" t="s">
        <v>675</v>
      </c>
      <c r="C17099" t="str">
        <f>"A0096656"</f>
        <v>A0096656</v>
      </c>
      <c r="D17099" t="s">
        <v>85729</v>
      </c>
      <c r="E17099" t="s">
        <v>85730</v>
      </c>
      <c r="F17099" t="s">
        <v>2839</v>
      </c>
      <c r="G17099" t="s">
        <v>846</v>
      </c>
      <c r="H17099">
        <v>31421</v>
      </c>
      <c r="I17099" t="s">
        <v>30</v>
      </c>
      <c r="J17099" t="s">
        <v>162</v>
      </c>
      <c r="K17099" t="s">
        <v>822</v>
      </c>
      <c r="N17099" t="s">
        <v>85731</v>
      </c>
      <c r="Q17099">
        <v>0</v>
      </c>
      <c r="R17099">
        <v>403</v>
      </c>
      <c r="S17099">
        <v>0</v>
      </c>
      <c r="T17099" t="s">
        <v>85732</v>
      </c>
    </row>
    <row r="17100" spans="1:20" customFormat="1" ht="15" x14ac:dyDescent="0.25">
      <c r="A17100" t="s">
        <v>24</v>
      </c>
      <c r="B17100" t="s">
        <v>675</v>
      </c>
      <c r="C17100" t="str">
        <f>"A0087668"</f>
        <v>A0087668</v>
      </c>
      <c r="D17100" t="s">
        <v>85733</v>
      </c>
      <c r="E17100" t="s">
        <v>85734</v>
      </c>
      <c r="F17100" t="s">
        <v>1444</v>
      </c>
      <c r="G17100" t="s">
        <v>76</v>
      </c>
      <c r="H17100">
        <v>98101</v>
      </c>
      <c r="I17100" t="s">
        <v>30</v>
      </c>
      <c r="J17100" t="s">
        <v>162</v>
      </c>
      <c r="K17100" t="s">
        <v>822</v>
      </c>
      <c r="N17100" t="s">
        <v>85735</v>
      </c>
      <c r="Q17100">
        <v>0</v>
      </c>
      <c r="R17100">
        <v>891</v>
      </c>
      <c r="S17100">
        <v>0</v>
      </c>
      <c r="T17100" t="s">
        <v>85736</v>
      </c>
    </row>
    <row r="17101" spans="1:20" customFormat="1" ht="15" x14ac:dyDescent="0.25">
      <c r="A17101" t="s">
        <v>24</v>
      </c>
      <c r="B17101" t="s">
        <v>675</v>
      </c>
      <c r="C17101" t="str">
        <f>"A0096644"</f>
        <v>A0096644</v>
      </c>
      <c r="D17101" t="s">
        <v>85737</v>
      </c>
      <c r="E17101" t="s">
        <v>85738</v>
      </c>
      <c r="F17101" t="s">
        <v>2557</v>
      </c>
      <c r="G17101" t="s">
        <v>110</v>
      </c>
      <c r="H17101">
        <v>92626</v>
      </c>
      <c r="I17101" t="s">
        <v>30</v>
      </c>
      <c r="J17101" t="s">
        <v>162</v>
      </c>
      <c r="K17101" t="s">
        <v>822</v>
      </c>
      <c r="N17101" t="s">
        <v>85739</v>
      </c>
      <c r="O17101" t="s">
        <v>85740</v>
      </c>
      <c r="Q17101">
        <v>0</v>
      </c>
      <c r="R17101">
        <v>390</v>
      </c>
      <c r="S17101">
        <v>0</v>
      </c>
      <c r="T17101" t="s">
        <v>85741</v>
      </c>
    </row>
    <row r="17102" spans="1:20" customFormat="1" ht="15" x14ac:dyDescent="0.25">
      <c r="A17102" t="s">
        <v>24</v>
      </c>
      <c r="B17102" t="s">
        <v>762</v>
      </c>
      <c r="C17102" t="str">
        <f>"A0072522"</f>
        <v>A0072522</v>
      </c>
      <c r="D17102" t="s">
        <v>85742</v>
      </c>
      <c r="E17102" t="s">
        <v>85743</v>
      </c>
      <c r="F17102" t="s">
        <v>2083</v>
      </c>
      <c r="G17102" t="s">
        <v>52</v>
      </c>
      <c r="H17102">
        <v>75034</v>
      </c>
      <c r="I17102" t="s">
        <v>30</v>
      </c>
      <c r="J17102" t="s">
        <v>162</v>
      </c>
      <c r="K17102" t="s">
        <v>822</v>
      </c>
      <c r="N17102" t="s">
        <v>85744</v>
      </c>
      <c r="Q17102">
        <v>0</v>
      </c>
      <c r="R17102">
        <v>301</v>
      </c>
      <c r="S17102">
        <v>0</v>
      </c>
      <c r="T17102" t="s">
        <v>85745</v>
      </c>
    </row>
    <row r="17103" spans="1:20" customFormat="1" ht="15" x14ac:dyDescent="0.25">
      <c r="A17103" t="s">
        <v>24</v>
      </c>
      <c r="B17103" t="s">
        <v>2373</v>
      </c>
      <c r="C17103" t="str">
        <f>"A0096653"</f>
        <v>A0096653</v>
      </c>
      <c r="D17103" t="s">
        <v>85751</v>
      </c>
      <c r="E17103" t="s">
        <v>85752</v>
      </c>
      <c r="F17103" t="s">
        <v>64617</v>
      </c>
      <c r="G17103" t="s">
        <v>899</v>
      </c>
      <c r="H17103">
        <v>2451</v>
      </c>
      <c r="I17103" t="s">
        <v>30</v>
      </c>
      <c r="J17103" t="s">
        <v>162</v>
      </c>
      <c r="K17103" t="s">
        <v>822</v>
      </c>
      <c r="Q17103">
        <v>0</v>
      </c>
      <c r="R17103">
        <v>346</v>
      </c>
      <c r="S17103">
        <v>0</v>
      </c>
      <c r="T17103" t="s">
        <v>85753</v>
      </c>
    </row>
    <row r="17104" spans="1:20" customFormat="1" ht="15" x14ac:dyDescent="0.25">
      <c r="A17104" t="s">
        <v>24</v>
      </c>
      <c r="B17104" t="s">
        <v>13299</v>
      </c>
      <c r="C17104" t="str">
        <f>"A0090105"</f>
        <v>A0090105</v>
      </c>
      <c r="D17104" t="s">
        <v>85754</v>
      </c>
      <c r="E17104" t="s">
        <v>85755</v>
      </c>
      <c r="F17104" t="s">
        <v>34764</v>
      </c>
      <c r="G17104" t="s">
        <v>29</v>
      </c>
      <c r="H17104">
        <v>20171</v>
      </c>
      <c r="I17104" t="s">
        <v>30</v>
      </c>
      <c r="J17104" t="s">
        <v>162</v>
      </c>
      <c r="K17104" t="s">
        <v>822</v>
      </c>
      <c r="N17104" t="s">
        <v>85756</v>
      </c>
      <c r="Q17104">
        <v>0</v>
      </c>
      <c r="R17104">
        <v>317</v>
      </c>
      <c r="S17104">
        <v>0</v>
      </c>
      <c r="T17104" t="s">
        <v>85757</v>
      </c>
    </row>
    <row r="17105" spans="1:20" customFormat="1" ht="15" x14ac:dyDescent="0.25">
      <c r="A17105" t="s">
        <v>24</v>
      </c>
      <c r="B17105" t="s">
        <v>5435</v>
      </c>
      <c r="C17105" t="str">
        <f>"A0086771"</f>
        <v>A0086771</v>
      </c>
      <c r="D17105" t="s">
        <v>85762</v>
      </c>
      <c r="E17105" t="s">
        <v>85763</v>
      </c>
      <c r="F17105" t="s">
        <v>67484</v>
      </c>
      <c r="G17105" t="s">
        <v>99</v>
      </c>
      <c r="H17105">
        <v>12946</v>
      </c>
      <c r="I17105" t="s">
        <v>30</v>
      </c>
      <c r="J17105" t="s">
        <v>162</v>
      </c>
      <c r="K17105" t="s">
        <v>163</v>
      </c>
      <c r="N17105" t="s">
        <v>85764</v>
      </c>
      <c r="O17105" t="s">
        <v>85765</v>
      </c>
      <c r="Q17105">
        <v>0</v>
      </c>
      <c r="R17105">
        <v>94</v>
      </c>
      <c r="S17105">
        <v>0</v>
      </c>
      <c r="T17105" t="s">
        <v>85766</v>
      </c>
    </row>
    <row r="17106" spans="1:20" customFormat="1" ht="15" x14ac:dyDescent="0.25">
      <c r="A17106" t="s">
        <v>24</v>
      </c>
      <c r="B17106" t="s">
        <v>1020</v>
      </c>
      <c r="C17106" t="str">
        <f>"A0064910"</f>
        <v>A0064910</v>
      </c>
      <c r="D17106" t="s">
        <v>85801</v>
      </c>
      <c r="E17106" t="s">
        <v>85802</v>
      </c>
      <c r="F17106" t="s">
        <v>6650</v>
      </c>
      <c r="G17106" t="s">
        <v>81</v>
      </c>
      <c r="H17106">
        <v>33146</v>
      </c>
      <c r="I17106" t="s">
        <v>30</v>
      </c>
      <c r="J17106" t="s">
        <v>162</v>
      </c>
      <c r="K17106" t="s">
        <v>163</v>
      </c>
      <c r="N17106" t="s">
        <v>85803</v>
      </c>
      <c r="Q17106">
        <v>0</v>
      </c>
      <c r="R17106">
        <v>245</v>
      </c>
      <c r="S17106">
        <v>0</v>
      </c>
      <c r="T17106" t="s">
        <v>85804</v>
      </c>
    </row>
    <row r="17107" spans="1:20" customFormat="1" ht="15" hidden="1" x14ac:dyDescent="0.25">
      <c r="A17107" t="s">
        <v>24</v>
      </c>
      <c r="B17107" t="s">
        <v>61391</v>
      </c>
      <c r="C17107" t="str">
        <f>"A0093898"</f>
        <v>A0093898</v>
      </c>
      <c r="D17107" t="s">
        <v>61392</v>
      </c>
      <c r="E17107" t="s">
        <v>61393</v>
      </c>
      <c r="F17107" t="s">
        <v>3145</v>
      </c>
      <c r="G17107" t="s">
        <v>8864</v>
      </c>
      <c r="I17107" t="s">
        <v>3147</v>
      </c>
      <c r="J17107" t="s">
        <v>171</v>
      </c>
      <c r="K17107" t="s">
        <v>973</v>
      </c>
      <c r="N17107" t="s">
        <v>61394</v>
      </c>
      <c r="Q17107">
        <v>0</v>
      </c>
      <c r="R17107">
        <v>248</v>
      </c>
      <c r="S17107">
        <v>0</v>
      </c>
      <c r="T17107" t="s">
        <v>61395</v>
      </c>
    </row>
    <row r="17108" spans="1:20" customFormat="1" ht="15" x14ac:dyDescent="0.25">
      <c r="A17108" t="s">
        <v>24</v>
      </c>
      <c r="B17108" t="s">
        <v>2011</v>
      </c>
      <c r="C17108" t="str">
        <f>"A0069392"</f>
        <v>A0069392</v>
      </c>
      <c r="D17108" t="s">
        <v>85805</v>
      </c>
      <c r="E17108" t="s">
        <v>85806</v>
      </c>
      <c r="F17108" t="s">
        <v>997</v>
      </c>
      <c r="G17108" t="s">
        <v>99</v>
      </c>
      <c r="H17108">
        <v>10109</v>
      </c>
      <c r="I17108" t="s">
        <v>30</v>
      </c>
      <c r="J17108" t="s">
        <v>162</v>
      </c>
      <c r="K17108" t="s">
        <v>7012</v>
      </c>
      <c r="N17108" t="s">
        <v>85807</v>
      </c>
      <c r="O17108" t="s">
        <v>33597</v>
      </c>
      <c r="Q17108">
        <v>0</v>
      </c>
      <c r="R17108">
        <v>730</v>
      </c>
      <c r="S17108">
        <v>0</v>
      </c>
      <c r="T17108" t="s">
        <v>85808</v>
      </c>
    </row>
    <row r="17109" spans="1:20" customFormat="1" ht="15" x14ac:dyDescent="0.25">
      <c r="A17109" t="s">
        <v>24</v>
      </c>
      <c r="B17109" t="s">
        <v>7953</v>
      </c>
      <c r="C17109" t="str">
        <f>"A0069143"</f>
        <v>A0069143</v>
      </c>
      <c r="D17109" t="s">
        <v>85809</v>
      </c>
      <c r="E17109" t="s">
        <v>85810</v>
      </c>
      <c r="F17109" t="s">
        <v>716</v>
      </c>
      <c r="G17109" t="s">
        <v>289</v>
      </c>
      <c r="H17109">
        <v>60611</v>
      </c>
      <c r="I17109" t="s">
        <v>30</v>
      </c>
      <c r="J17109" t="s">
        <v>162</v>
      </c>
      <c r="K17109" t="s">
        <v>7012</v>
      </c>
      <c r="N17109" t="s">
        <v>85811</v>
      </c>
      <c r="Q17109">
        <v>0</v>
      </c>
      <c r="R17109">
        <v>247</v>
      </c>
      <c r="S17109">
        <v>0</v>
      </c>
      <c r="T17109" t="s">
        <v>85812</v>
      </c>
    </row>
    <row r="17110" spans="1:20" customFormat="1" ht="15" x14ac:dyDescent="0.25">
      <c r="A17110" t="s">
        <v>24</v>
      </c>
      <c r="B17110" t="s">
        <v>814</v>
      </c>
      <c r="C17110" t="str">
        <f>"A0154135"</f>
        <v>A0154135</v>
      </c>
      <c r="D17110" t="s">
        <v>85813</v>
      </c>
      <c r="E17110" t="s">
        <v>85814</v>
      </c>
      <c r="F17110" t="s">
        <v>313</v>
      </c>
      <c r="G17110" t="s">
        <v>314</v>
      </c>
      <c r="H17110">
        <v>20003</v>
      </c>
      <c r="I17110" t="s">
        <v>30</v>
      </c>
      <c r="J17110" t="s">
        <v>162</v>
      </c>
      <c r="K17110" t="s">
        <v>7012</v>
      </c>
      <c r="N17110" t="s">
        <v>85815</v>
      </c>
      <c r="Q17110">
        <v>0</v>
      </c>
      <c r="R17110">
        <v>225</v>
      </c>
      <c r="S17110">
        <v>0</v>
      </c>
      <c r="T17110" t="s">
        <v>85816</v>
      </c>
    </row>
    <row r="17111" spans="1:20" customFormat="1" ht="15" x14ac:dyDescent="0.25">
      <c r="A17111" t="s">
        <v>24</v>
      </c>
      <c r="B17111" t="s">
        <v>2011</v>
      </c>
      <c r="C17111" t="str">
        <f>"A0095051"</f>
        <v>A0095051</v>
      </c>
      <c r="D17111" t="s">
        <v>85822</v>
      </c>
      <c r="E17111" t="s">
        <v>85823</v>
      </c>
      <c r="F17111" t="s">
        <v>2900</v>
      </c>
      <c r="G17111" t="s">
        <v>76</v>
      </c>
      <c r="H17111">
        <v>98101</v>
      </c>
      <c r="I17111" t="s">
        <v>30</v>
      </c>
      <c r="J17111" t="s">
        <v>162</v>
      </c>
      <c r="K17111" t="s">
        <v>7012</v>
      </c>
      <c r="N17111" t="s">
        <v>85824</v>
      </c>
      <c r="O17111" t="s">
        <v>85825</v>
      </c>
      <c r="Q17111">
        <v>0</v>
      </c>
      <c r="R17111">
        <v>160</v>
      </c>
      <c r="S17111">
        <v>0</v>
      </c>
      <c r="T17111" t="s">
        <v>85826</v>
      </c>
    </row>
    <row r="17112" spans="1:20" customFormat="1" ht="15" x14ac:dyDescent="0.25">
      <c r="A17112" t="s">
        <v>24</v>
      </c>
      <c r="B17112" t="s">
        <v>14979</v>
      </c>
      <c r="C17112" t="str">
        <f>"A0089484"</f>
        <v>A0089484</v>
      </c>
      <c r="D17112" t="s">
        <v>85857</v>
      </c>
      <c r="E17112" t="s">
        <v>85858</v>
      </c>
      <c r="F17112" t="s">
        <v>85859</v>
      </c>
      <c r="G17112" t="s">
        <v>110</v>
      </c>
      <c r="H17112">
        <v>95450</v>
      </c>
      <c r="I17112" t="s">
        <v>30</v>
      </c>
      <c r="J17112" t="s">
        <v>162</v>
      </c>
      <c r="K17112" t="s">
        <v>163</v>
      </c>
      <c r="N17112" t="s">
        <v>8813</v>
      </c>
      <c r="Q17112">
        <v>0</v>
      </c>
      <c r="R17112">
        <v>46</v>
      </c>
      <c r="S17112">
        <v>0</v>
      </c>
      <c r="T17112" t="s">
        <v>85860</v>
      </c>
    </row>
    <row r="17113" spans="1:20" customFormat="1" ht="15" x14ac:dyDescent="0.25">
      <c r="A17113" t="s">
        <v>24</v>
      </c>
      <c r="B17113" t="s">
        <v>3367</v>
      </c>
      <c r="C17113" t="str">
        <f>"A0056517"</f>
        <v>A0056517</v>
      </c>
      <c r="D17113" t="s">
        <v>85866</v>
      </c>
      <c r="E17113" t="s">
        <v>85867</v>
      </c>
      <c r="F17113" t="s">
        <v>54959</v>
      </c>
      <c r="G17113" t="s">
        <v>71</v>
      </c>
      <c r="H17113">
        <v>53147</v>
      </c>
      <c r="I17113" t="s">
        <v>30</v>
      </c>
      <c r="J17113" t="s">
        <v>162</v>
      </c>
      <c r="K17113" t="s">
        <v>163</v>
      </c>
      <c r="N17113" t="s">
        <v>85868</v>
      </c>
      <c r="O17113" t="s">
        <v>85869</v>
      </c>
      <c r="Q17113">
        <v>0</v>
      </c>
      <c r="R17113">
        <v>225</v>
      </c>
      <c r="S17113">
        <v>0</v>
      </c>
      <c r="T17113" t="s">
        <v>85870</v>
      </c>
    </row>
    <row r="17114" spans="1:20" customFormat="1" ht="15" x14ac:dyDescent="0.25">
      <c r="A17114" t="s">
        <v>24</v>
      </c>
      <c r="B17114" t="s">
        <v>1098</v>
      </c>
      <c r="C17114" t="str">
        <f>"A0051522"</f>
        <v>A0051522</v>
      </c>
      <c r="D17114" t="s">
        <v>85873</v>
      </c>
      <c r="E17114" t="s">
        <v>85874</v>
      </c>
      <c r="F17114" t="s">
        <v>65592</v>
      </c>
      <c r="G17114" t="s">
        <v>103</v>
      </c>
      <c r="H17114">
        <v>16803</v>
      </c>
      <c r="I17114" t="s">
        <v>30</v>
      </c>
      <c r="J17114" t="s">
        <v>162</v>
      </c>
      <c r="K17114" t="s">
        <v>179</v>
      </c>
      <c r="N17114" t="s">
        <v>85875</v>
      </c>
      <c r="P17114" t="s">
        <v>3998</v>
      </c>
      <c r="Q17114">
        <v>1</v>
      </c>
      <c r="R17114">
        <v>100</v>
      </c>
      <c r="S17114">
        <v>0</v>
      </c>
      <c r="T17114" t="s">
        <v>85876</v>
      </c>
    </row>
    <row r="17115" spans="1:20" customFormat="1" ht="15" x14ac:dyDescent="0.25">
      <c r="A17115" t="s">
        <v>24</v>
      </c>
      <c r="B17115" t="s">
        <v>976</v>
      </c>
      <c r="C17115" t="str">
        <f>"A0094103"</f>
        <v>A0094103</v>
      </c>
      <c r="D17115" t="s">
        <v>85882</v>
      </c>
      <c r="E17115" t="s">
        <v>85883</v>
      </c>
      <c r="F17115" t="s">
        <v>2930</v>
      </c>
      <c r="G17115" t="s">
        <v>2391</v>
      </c>
      <c r="H17115">
        <v>5672</v>
      </c>
      <c r="I17115" t="s">
        <v>30</v>
      </c>
      <c r="J17115" t="s">
        <v>162</v>
      </c>
      <c r="K17115" t="s">
        <v>163</v>
      </c>
      <c r="N17115" t="s">
        <v>85884</v>
      </c>
      <c r="O17115" t="s">
        <v>85885</v>
      </c>
      <c r="Q17115">
        <v>0</v>
      </c>
      <c r="R17115">
        <v>68</v>
      </c>
      <c r="S17115">
        <v>0</v>
      </c>
      <c r="T17115" t="s">
        <v>85886</v>
      </c>
    </row>
    <row r="17116" spans="1:20" customFormat="1" ht="15" x14ac:dyDescent="0.25">
      <c r="A17116" t="s">
        <v>24</v>
      </c>
      <c r="B17116" t="s">
        <v>14164</v>
      </c>
      <c r="C17116" t="str">
        <f>"A0094112"</f>
        <v>A0094112</v>
      </c>
      <c r="D17116" t="s">
        <v>86861</v>
      </c>
      <c r="E17116" t="s">
        <v>86862</v>
      </c>
      <c r="F17116" t="s">
        <v>13767</v>
      </c>
      <c r="G17116" t="s">
        <v>4815</v>
      </c>
      <c r="H17116">
        <v>96815</v>
      </c>
      <c r="I17116" t="s">
        <v>30</v>
      </c>
      <c r="J17116" t="s">
        <v>162</v>
      </c>
      <c r="K17116" t="s">
        <v>163</v>
      </c>
      <c r="N17116" t="s">
        <v>86863</v>
      </c>
      <c r="O17116" t="s">
        <v>86864</v>
      </c>
      <c r="Q17116">
        <v>0</v>
      </c>
      <c r="R17116">
        <v>462</v>
      </c>
      <c r="S17116">
        <v>0</v>
      </c>
      <c r="T17116" t="s">
        <v>86865</v>
      </c>
    </row>
    <row r="17117" spans="1:20" customFormat="1" ht="15" x14ac:dyDescent="0.25">
      <c r="A17117" t="s">
        <v>24</v>
      </c>
      <c r="B17117" t="s">
        <v>35833</v>
      </c>
      <c r="C17117" t="str">
        <f>"A0093397"</f>
        <v>A0093397</v>
      </c>
      <c r="D17117" t="s">
        <v>86929</v>
      </c>
      <c r="E17117" t="s">
        <v>86930</v>
      </c>
      <c r="F17117" t="s">
        <v>5636</v>
      </c>
      <c r="G17117" t="s">
        <v>1706</v>
      </c>
      <c r="H17117">
        <v>36561</v>
      </c>
      <c r="I17117" t="s">
        <v>30</v>
      </c>
      <c r="J17117" t="s">
        <v>162</v>
      </c>
      <c r="K17117" t="s">
        <v>163</v>
      </c>
      <c r="N17117" t="s">
        <v>83872</v>
      </c>
      <c r="Q17117">
        <v>1</v>
      </c>
      <c r="R17117">
        <v>398</v>
      </c>
      <c r="S17117">
        <v>0</v>
      </c>
      <c r="T17117" t="s">
        <v>86931</v>
      </c>
    </row>
    <row r="17118" spans="1:20" customFormat="1" ht="15" x14ac:dyDescent="0.25">
      <c r="A17118" t="s">
        <v>24</v>
      </c>
      <c r="B17118" t="s">
        <v>6647</v>
      </c>
      <c r="C17118" t="str">
        <f>"A0099651"</f>
        <v>A0099651</v>
      </c>
      <c r="D17118" t="s">
        <v>87001</v>
      </c>
      <c r="E17118" t="s">
        <v>87002</v>
      </c>
      <c r="F17118" t="s">
        <v>985</v>
      </c>
      <c r="G17118" t="s">
        <v>81</v>
      </c>
      <c r="H17118">
        <v>32819</v>
      </c>
      <c r="I17118" t="s">
        <v>30</v>
      </c>
      <c r="J17118" t="s">
        <v>162</v>
      </c>
      <c r="K17118" t="s">
        <v>163</v>
      </c>
      <c r="N17118" t="s">
        <v>87003</v>
      </c>
      <c r="Q17118">
        <v>0</v>
      </c>
      <c r="R17118">
        <v>600</v>
      </c>
      <c r="S17118">
        <v>0</v>
      </c>
      <c r="T17118" t="s">
        <v>87004</v>
      </c>
    </row>
    <row r="17119" spans="1:20" customFormat="1" ht="15" x14ac:dyDescent="0.25">
      <c r="A17119" t="s">
        <v>24</v>
      </c>
      <c r="B17119" t="s">
        <v>6647</v>
      </c>
      <c r="C17119" t="str">
        <f>"A0151292"</f>
        <v>A0151292</v>
      </c>
      <c r="D17119" t="s">
        <v>87005</v>
      </c>
      <c r="E17119" t="s">
        <v>87006</v>
      </c>
      <c r="F17119" t="s">
        <v>985</v>
      </c>
      <c r="G17119" t="s">
        <v>81</v>
      </c>
      <c r="H17119">
        <v>32819</v>
      </c>
      <c r="I17119" t="s">
        <v>30</v>
      </c>
      <c r="J17119" t="s">
        <v>162</v>
      </c>
      <c r="K17119" t="s">
        <v>163</v>
      </c>
      <c r="N17119" t="s">
        <v>87007</v>
      </c>
      <c r="O17119" t="s">
        <v>6652</v>
      </c>
      <c r="Q17119">
        <v>0</v>
      </c>
      <c r="R17119">
        <v>2050</v>
      </c>
      <c r="S17119">
        <v>0</v>
      </c>
      <c r="T17119" t="s">
        <v>75222</v>
      </c>
    </row>
    <row r="17120" spans="1:20" customFormat="1" ht="15" x14ac:dyDescent="0.25">
      <c r="A17120" t="s">
        <v>24</v>
      </c>
      <c r="B17120" t="s">
        <v>6647</v>
      </c>
      <c r="C17120" t="str">
        <f>"A0137022"</f>
        <v>A0137022</v>
      </c>
      <c r="D17120" t="s">
        <v>87008</v>
      </c>
      <c r="E17120" t="s">
        <v>87009</v>
      </c>
      <c r="F17120" t="s">
        <v>985</v>
      </c>
      <c r="G17120" t="s">
        <v>81</v>
      </c>
      <c r="H17120">
        <v>32819</v>
      </c>
      <c r="I17120" t="s">
        <v>30</v>
      </c>
      <c r="J17120" t="s">
        <v>162</v>
      </c>
      <c r="K17120" t="s">
        <v>163</v>
      </c>
      <c r="N17120" t="s">
        <v>6652</v>
      </c>
      <c r="Q17120">
        <v>0</v>
      </c>
      <c r="R17120">
        <v>750</v>
      </c>
      <c r="S17120">
        <v>0</v>
      </c>
      <c r="T17120" t="s">
        <v>75222</v>
      </c>
    </row>
    <row r="17121" spans="1:20" customFormat="1" ht="15" x14ac:dyDescent="0.25">
      <c r="A17121" t="s">
        <v>24</v>
      </c>
      <c r="B17121" t="s">
        <v>56277</v>
      </c>
      <c r="C17121" t="str">
        <f>"A0087917"</f>
        <v>A0087917</v>
      </c>
      <c r="D17121" t="s">
        <v>87039</v>
      </c>
      <c r="E17121" t="s">
        <v>87040</v>
      </c>
      <c r="F17121" t="s">
        <v>3837</v>
      </c>
      <c r="G17121" t="s">
        <v>137</v>
      </c>
      <c r="H17121">
        <v>65806</v>
      </c>
      <c r="I17121" t="s">
        <v>30</v>
      </c>
      <c r="J17121" t="s">
        <v>162</v>
      </c>
      <c r="K17121" t="s">
        <v>163</v>
      </c>
      <c r="N17121" t="s">
        <v>87041</v>
      </c>
      <c r="Q17121">
        <v>0</v>
      </c>
      <c r="R17121">
        <v>271</v>
      </c>
      <c r="S17121">
        <v>0</v>
      </c>
      <c r="T17121" t="s">
        <v>87042</v>
      </c>
    </row>
    <row r="17122" spans="1:20" customFormat="1" ht="15" x14ac:dyDescent="0.25">
      <c r="A17122" t="s">
        <v>24</v>
      </c>
      <c r="B17122" t="s">
        <v>976</v>
      </c>
      <c r="C17122" t="str">
        <f>"A0055664"</f>
        <v>A0055664</v>
      </c>
      <c r="D17122" t="s">
        <v>87131</v>
      </c>
      <c r="E17122" t="s">
        <v>87132</v>
      </c>
      <c r="F17122" t="s">
        <v>748</v>
      </c>
      <c r="G17122" t="s">
        <v>110</v>
      </c>
      <c r="H17122">
        <v>94102</v>
      </c>
      <c r="I17122" t="s">
        <v>30</v>
      </c>
      <c r="J17122" t="s">
        <v>162</v>
      </c>
      <c r="K17122" t="s">
        <v>163</v>
      </c>
      <c r="N17122" t="s">
        <v>54559</v>
      </c>
      <c r="O17122" t="s">
        <v>87133</v>
      </c>
      <c r="Q17122">
        <v>0</v>
      </c>
      <c r="R17122">
        <v>189</v>
      </c>
      <c r="S17122">
        <v>0</v>
      </c>
      <c r="T17122" t="s">
        <v>87134</v>
      </c>
    </row>
    <row r="17123" spans="1:20" customFormat="1" ht="15" x14ac:dyDescent="0.25">
      <c r="A17123" t="s">
        <v>24</v>
      </c>
      <c r="B17123" t="s">
        <v>57844</v>
      </c>
      <c r="C17123" t="str">
        <f>"CT71K"</f>
        <v>CT71K</v>
      </c>
      <c r="D17123" t="s">
        <v>87150</v>
      </c>
      <c r="E17123" t="s">
        <v>87151</v>
      </c>
      <c r="F17123" t="s">
        <v>81278</v>
      </c>
      <c r="G17123" t="s">
        <v>81</v>
      </c>
      <c r="H17123">
        <v>33701</v>
      </c>
      <c r="I17123" t="s">
        <v>30</v>
      </c>
      <c r="J17123" t="s">
        <v>162</v>
      </c>
      <c r="K17123" t="s">
        <v>8335</v>
      </c>
      <c r="N17123" t="s">
        <v>87152</v>
      </c>
      <c r="O17123" t="s">
        <v>87153</v>
      </c>
      <c r="P17123" t="s">
        <v>3998</v>
      </c>
      <c r="Q17123">
        <v>1</v>
      </c>
      <c r="R17123">
        <v>361</v>
      </c>
      <c r="S17123">
        <v>0</v>
      </c>
      <c r="T17123" t="s">
        <v>87154</v>
      </c>
    </row>
    <row r="17124" spans="1:20" customFormat="1" ht="15" x14ac:dyDescent="0.25">
      <c r="A17124" t="s">
        <v>24</v>
      </c>
      <c r="B17124" t="s">
        <v>55506</v>
      </c>
      <c r="C17124" t="str">
        <f>"A0060464"</f>
        <v>A0060464</v>
      </c>
      <c r="D17124" t="s">
        <v>87155</v>
      </c>
      <c r="E17124" t="s">
        <v>87156</v>
      </c>
      <c r="F17124" t="s">
        <v>87157</v>
      </c>
      <c r="G17124" t="s">
        <v>110</v>
      </c>
      <c r="H17124">
        <v>93291</v>
      </c>
      <c r="I17124" t="s">
        <v>30</v>
      </c>
      <c r="J17124" t="s">
        <v>162</v>
      </c>
      <c r="K17124" t="s">
        <v>1490</v>
      </c>
      <c r="N17124" t="s">
        <v>87158</v>
      </c>
      <c r="Q17124">
        <v>0</v>
      </c>
      <c r="R17124">
        <v>201</v>
      </c>
      <c r="S17124">
        <v>0</v>
      </c>
      <c r="T17124" t="s">
        <v>87159</v>
      </c>
    </row>
    <row r="17125" spans="1:20" customFormat="1" ht="15" x14ac:dyDescent="0.25">
      <c r="A17125" t="s">
        <v>24</v>
      </c>
      <c r="B17125" t="s">
        <v>11170</v>
      </c>
      <c r="C17125" t="str">
        <f>"A0101191"</f>
        <v>A0101191</v>
      </c>
      <c r="D17125" t="s">
        <v>87160</v>
      </c>
      <c r="E17125" t="s">
        <v>87161</v>
      </c>
      <c r="F17125" t="s">
        <v>2241</v>
      </c>
      <c r="G17125" t="s">
        <v>110</v>
      </c>
      <c r="H17125">
        <v>94558</v>
      </c>
      <c r="I17125" t="s">
        <v>30</v>
      </c>
      <c r="J17125" t="s">
        <v>162</v>
      </c>
      <c r="K17125" t="s">
        <v>163</v>
      </c>
      <c r="N17125" t="s">
        <v>84732</v>
      </c>
      <c r="Q17125">
        <v>0</v>
      </c>
      <c r="R17125">
        <v>145</v>
      </c>
      <c r="S17125">
        <v>0</v>
      </c>
      <c r="T17125" t="s">
        <v>87162</v>
      </c>
    </row>
    <row r="17126" spans="1:20" customFormat="1" ht="15" x14ac:dyDescent="0.25">
      <c r="A17126" t="s">
        <v>24</v>
      </c>
      <c r="B17126" t="s">
        <v>4855</v>
      </c>
      <c r="C17126" t="str">
        <f>"A0074942"</f>
        <v>A0074942</v>
      </c>
      <c r="D17126" t="s">
        <v>87172</v>
      </c>
      <c r="E17126" t="s">
        <v>87173</v>
      </c>
      <c r="F17126" t="s">
        <v>716</v>
      </c>
      <c r="G17126" t="s">
        <v>289</v>
      </c>
      <c r="H17126">
        <v>60654</v>
      </c>
      <c r="I17126" t="s">
        <v>30</v>
      </c>
      <c r="J17126" t="s">
        <v>162</v>
      </c>
      <c r="K17126" t="s">
        <v>854</v>
      </c>
      <c r="N17126" t="s">
        <v>87174</v>
      </c>
      <c r="Q17126">
        <v>0</v>
      </c>
      <c r="R17126">
        <v>521</v>
      </c>
      <c r="S17126">
        <v>0</v>
      </c>
      <c r="T17126" t="s">
        <v>87175</v>
      </c>
    </row>
    <row r="17127" spans="1:20" customFormat="1" ht="15" x14ac:dyDescent="0.25">
      <c r="A17127" t="s">
        <v>24</v>
      </c>
      <c r="B17127" t="s">
        <v>87294</v>
      </c>
      <c r="C17127" t="str">
        <f>"A0164722"</f>
        <v>A0164722</v>
      </c>
      <c r="D17127" t="s">
        <v>87295</v>
      </c>
      <c r="E17127" t="s">
        <v>87296</v>
      </c>
      <c r="F17127" t="s">
        <v>13767</v>
      </c>
      <c r="G17127" t="s">
        <v>4815</v>
      </c>
      <c r="H17127">
        <v>96815</v>
      </c>
      <c r="I17127" t="s">
        <v>30</v>
      </c>
      <c r="J17127" t="s">
        <v>162</v>
      </c>
      <c r="K17127" t="s">
        <v>163</v>
      </c>
      <c r="N17127" t="s">
        <v>87297</v>
      </c>
      <c r="O17127" t="s">
        <v>87298</v>
      </c>
      <c r="Q17127">
        <v>0</v>
      </c>
      <c r="R17127">
        <v>275</v>
      </c>
      <c r="S17127">
        <v>0</v>
      </c>
      <c r="T17127" t="s">
        <v>87299</v>
      </c>
    </row>
    <row r="17128" spans="1:20" customFormat="1" ht="15" x14ac:dyDescent="0.25">
      <c r="A17128" t="s">
        <v>24</v>
      </c>
      <c r="B17128" t="s">
        <v>675</v>
      </c>
      <c r="C17128" t="str">
        <f>"A0057341"</f>
        <v>A0057341</v>
      </c>
      <c r="D17128" t="s">
        <v>87300</v>
      </c>
      <c r="E17128" t="s">
        <v>87301</v>
      </c>
      <c r="F17128" t="s">
        <v>76058</v>
      </c>
      <c r="G17128" t="s">
        <v>4815</v>
      </c>
      <c r="H17128">
        <v>96738</v>
      </c>
      <c r="I17128" t="s">
        <v>30</v>
      </c>
      <c r="J17128" t="s">
        <v>162</v>
      </c>
      <c r="K17128" t="s">
        <v>1490</v>
      </c>
      <c r="N17128" t="s">
        <v>87302</v>
      </c>
      <c r="O17128" t="s">
        <v>87303</v>
      </c>
      <c r="Q17128">
        <v>0</v>
      </c>
      <c r="R17128">
        <v>261</v>
      </c>
      <c r="S17128">
        <v>0</v>
      </c>
      <c r="T17128" t="s">
        <v>87304</v>
      </c>
    </row>
    <row r="17129" spans="1:20" customFormat="1" ht="15" x14ac:dyDescent="0.25">
      <c r="A17129" t="s">
        <v>24</v>
      </c>
      <c r="B17129" t="s">
        <v>675</v>
      </c>
      <c r="C17129" t="str">
        <f>"A0057329"</f>
        <v>A0057329</v>
      </c>
      <c r="D17129" t="s">
        <v>87307</v>
      </c>
      <c r="E17129" t="s">
        <v>87308</v>
      </c>
      <c r="F17129" t="s">
        <v>35268</v>
      </c>
      <c r="G17129" t="s">
        <v>4815</v>
      </c>
      <c r="H17129">
        <v>96753</v>
      </c>
      <c r="I17129" t="s">
        <v>30</v>
      </c>
      <c r="J17129" t="s">
        <v>162</v>
      </c>
      <c r="K17129" t="s">
        <v>1490</v>
      </c>
      <c r="Q17129">
        <v>0</v>
      </c>
      <c r="R17129">
        <v>540</v>
      </c>
      <c r="S17129">
        <v>0</v>
      </c>
      <c r="T17129" t="s">
        <v>87309</v>
      </c>
    </row>
    <row r="17130" spans="1:20" customFormat="1" ht="15" x14ac:dyDescent="0.25">
      <c r="A17130" t="s">
        <v>24</v>
      </c>
      <c r="B17130" t="s">
        <v>84183</v>
      </c>
      <c r="C17130" t="str">
        <f>"A0098560"</f>
        <v>A0098560</v>
      </c>
      <c r="D17130" t="s">
        <v>87323</v>
      </c>
      <c r="E17130" t="s">
        <v>84185</v>
      </c>
      <c r="F17130" t="s">
        <v>1003</v>
      </c>
      <c r="G17130" t="s">
        <v>81</v>
      </c>
      <c r="H17130">
        <v>33139</v>
      </c>
      <c r="I17130" t="s">
        <v>30</v>
      </c>
      <c r="J17130" t="s">
        <v>162</v>
      </c>
      <c r="K17130" t="s">
        <v>163</v>
      </c>
      <c r="N17130" t="s">
        <v>87324</v>
      </c>
      <c r="Q17130">
        <v>0</v>
      </c>
      <c r="R17130">
        <v>0</v>
      </c>
      <c r="S17130">
        <v>0</v>
      </c>
      <c r="T17130" t="s">
        <v>84188</v>
      </c>
    </row>
    <row r="17131" spans="1:20" customFormat="1" ht="15" x14ac:dyDescent="0.25">
      <c r="A17131" t="s">
        <v>24</v>
      </c>
      <c r="B17131" t="s">
        <v>2221</v>
      </c>
      <c r="C17131" t="str">
        <f>"A0085357"</f>
        <v>A0085357</v>
      </c>
      <c r="D17131" t="s">
        <v>87334</v>
      </c>
      <c r="E17131" t="s">
        <v>87335</v>
      </c>
      <c r="F17131" t="s">
        <v>76088</v>
      </c>
      <c r="G17131" t="s">
        <v>110</v>
      </c>
      <c r="H17131">
        <v>94597</v>
      </c>
      <c r="I17131" t="s">
        <v>30</v>
      </c>
      <c r="J17131" t="s">
        <v>162</v>
      </c>
      <c r="K17131" t="s">
        <v>266</v>
      </c>
      <c r="N17131" t="s">
        <v>87336</v>
      </c>
      <c r="Q17131">
        <v>0</v>
      </c>
      <c r="R17131">
        <v>249</v>
      </c>
      <c r="S17131">
        <v>0</v>
      </c>
      <c r="T17131" t="s">
        <v>87337</v>
      </c>
    </row>
    <row r="17132" spans="1:20" customFormat="1" ht="15" x14ac:dyDescent="0.25">
      <c r="A17132" t="s">
        <v>24</v>
      </c>
      <c r="B17132" t="s">
        <v>2373</v>
      </c>
      <c r="C17132" t="str">
        <f>"34131"</f>
        <v>34131</v>
      </c>
      <c r="D17132" t="s">
        <v>87354</v>
      </c>
      <c r="E17132" t="s">
        <v>87355</v>
      </c>
      <c r="F17132" t="s">
        <v>7999</v>
      </c>
      <c r="G17132" t="s">
        <v>110</v>
      </c>
      <c r="H17132">
        <v>91367</v>
      </c>
      <c r="I17132" t="s">
        <v>30</v>
      </c>
      <c r="J17132" t="s">
        <v>162</v>
      </c>
      <c r="K17132" t="s">
        <v>1490</v>
      </c>
      <c r="N17132" t="s">
        <v>13043</v>
      </c>
      <c r="O17132" t="s">
        <v>87356</v>
      </c>
      <c r="Q17132">
        <v>0</v>
      </c>
      <c r="R17132">
        <v>478</v>
      </c>
      <c r="S17132">
        <v>0</v>
      </c>
      <c r="T17132" t="s">
        <v>87357</v>
      </c>
    </row>
    <row r="17133" spans="1:20" customFormat="1" ht="15" x14ac:dyDescent="0.25">
      <c r="A17133" t="s">
        <v>24</v>
      </c>
      <c r="B17133" t="s">
        <v>87358</v>
      </c>
      <c r="C17133" t="str">
        <f>"SC058"</f>
        <v>SC058</v>
      </c>
      <c r="D17133" t="s">
        <v>87359</v>
      </c>
      <c r="E17133" t="s">
        <v>87360</v>
      </c>
      <c r="F17133" t="s">
        <v>716</v>
      </c>
      <c r="G17133" t="s">
        <v>289</v>
      </c>
      <c r="H17133">
        <v>60611</v>
      </c>
      <c r="I17133" t="s">
        <v>30</v>
      </c>
      <c r="J17133" t="s">
        <v>162</v>
      </c>
      <c r="K17133" t="s">
        <v>163</v>
      </c>
      <c r="N17133" t="s">
        <v>87361</v>
      </c>
      <c r="Q17133">
        <v>0</v>
      </c>
      <c r="R17133">
        <v>443</v>
      </c>
      <c r="S17133">
        <v>0</v>
      </c>
      <c r="T17133" t="s">
        <v>87362</v>
      </c>
    </row>
    <row r="17134" spans="1:20" customFormat="1" ht="15" x14ac:dyDescent="0.25">
      <c r="A17134" t="s">
        <v>24</v>
      </c>
      <c r="B17134" t="s">
        <v>87358</v>
      </c>
      <c r="C17134" t="str">
        <f>"A0054164"</f>
        <v>A0054164</v>
      </c>
      <c r="D17134" t="s">
        <v>87363</v>
      </c>
      <c r="E17134" t="s">
        <v>87364</v>
      </c>
      <c r="F17134" t="s">
        <v>2719</v>
      </c>
      <c r="G17134" t="s">
        <v>190</v>
      </c>
      <c r="H17134">
        <v>80203</v>
      </c>
      <c r="I17134" t="s">
        <v>30</v>
      </c>
      <c r="J17134" t="s">
        <v>162</v>
      </c>
      <c r="K17134" t="s">
        <v>163</v>
      </c>
      <c r="N17134" t="s">
        <v>87365</v>
      </c>
      <c r="O17134" t="s">
        <v>87366</v>
      </c>
      <c r="Q17134">
        <v>0</v>
      </c>
      <c r="R17134">
        <v>216</v>
      </c>
      <c r="S17134">
        <v>0</v>
      </c>
      <c r="T17134" t="s">
        <v>87367</v>
      </c>
    </row>
    <row r="17135" spans="1:20" customFormat="1" ht="15" x14ac:dyDescent="0.25">
      <c r="A17135" t="s">
        <v>24</v>
      </c>
      <c r="B17135" t="s">
        <v>87358</v>
      </c>
      <c r="C17135" t="str">
        <f>"A0054432"</f>
        <v>A0054432</v>
      </c>
      <c r="D17135" t="s">
        <v>87368</v>
      </c>
      <c r="E17135" t="s">
        <v>87369</v>
      </c>
      <c r="F17135" t="s">
        <v>1731</v>
      </c>
      <c r="G17135" t="s">
        <v>52</v>
      </c>
      <c r="H17135">
        <v>75219</v>
      </c>
      <c r="I17135" t="s">
        <v>30</v>
      </c>
      <c r="J17135" t="s">
        <v>162</v>
      </c>
      <c r="K17135" t="s">
        <v>163</v>
      </c>
      <c r="N17135" t="s">
        <v>58333</v>
      </c>
      <c r="Q17135">
        <v>0</v>
      </c>
      <c r="R17135">
        <v>184</v>
      </c>
      <c r="S17135">
        <v>0</v>
      </c>
      <c r="T17135" t="s">
        <v>87370</v>
      </c>
    </row>
    <row r="17136" spans="1:20" customFormat="1" ht="15" x14ac:dyDescent="0.25">
      <c r="A17136" t="s">
        <v>24</v>
      </c>
      <c r="B17136" t="s">
        <v>87358</v>
      </c>
      <c r="C17136" t="str">
        <f>"A0063504"</f>
        <v>A0063504</v>
      </c>
      <c r="D17136" t="s">
        <v>87371</v>
      </c>
      <c r="E17136" t="s">
        <v>87372</v>
      </c>
      <c r="F17136" t="s">
        <v>997</v>
      </c>
      <c r="G17136" t="s">
        <v>99</v>
      </c>
      <c r="H17136" t="s">
        <v>87373</v>
      </c>
      <c r="I17136" t="s">
        <v>30</v>
      </c>
      <c r="J17136" t="s">
        <v>162</v>
      </c>
      <c r="K17136" t="s">
        <v>163</v>
      </c>
      <c r="N17136" t="s">
        <v>87374</v>
      </c>
      <c r="O17136" t="s">
        <v>87375</v>
      </c>
      <c r="Q17136">
        <v>0</v>
      </c>
      <c r="R17136">
        <v>426</v>
      </c>
      <c r="S17136">
        <v>0</v>
      </c>
      <c r="T17136" t="s">
        <v>87376</v>
      </c>
    </row>
    <row r="17137" spans="1:20" customFormat="1" ht="15" x14ac:dyDescent="0.25">
      <c r="A17137" t="s">
        <v>24</v>
      </c>
      <c r="B17137" t="s">
        <v>87358</v>
      </c>
      <c r="C17137" t="str">
        <f>"A0063678"</f>
        <v>A0063678</v>
      </c>
      <c r="D17137" t="s">
        <v>87377</v>
      </c>
      <c r="E17137" t="s">
        <v>87378</v>
      </c>
      <c r="F17137" t="s">
        <v>748</v>
      </c>
      <c r="G17137" t="s">
        <v>110</v>
      </c>
      <c r="H17137">
        <v>94102</v>
      </c>
      <c r="I17137" t="s">
        <v>30</v>
      </c>
      <c r="J17137" t="s">
        <v>162</v>
      </c>
      <c r="K17137" t="s">
        <v>163</v>
      </c>
      <c r="N17137" t="s">
        <v>87379</v>
      </c>
      <c r="Q17137">
        <v>0</v>
      </c>
      <c r="R17137">
        <v>74</v>
      </c>
      <c r="S17137">
        <v>0</v>
      </c>
      <c r="T17137" t="s">
        <v>87380</v>
      </c>
    </row>
    <row r="17138" spans="1:20" customFormat="1" ht="15" x14ac:dyDescent="0.25">
      <c r="A17138" t="s">
        <v>24</v>
      </c>
      <c r="B17138" t="s">
        <v>61358</v>
      </c>
      <c r="C17138" t="str">
        <f>"337P8"</f>
        <v>337P8</v>
      </c>
      <c r="D17138" t="s">
        <v>87381</v>
      </c>
      <c r="E17138" t="s">
        <v>87382</v>
      </c>
      <c r="F17138" t="s">
        <v>34764</v>
      </c>
      <c r="G17138" t="s">
        <v>29</v>
      </c>
      <c r="H17138">
        <v>20170</v>
      </c>
      <c r="I17138" t="s">
        <v>30</v>
      </c>
      <c r="J17138" t="s">
        <v>162</v>
      </c>
      <c r="K17138" t="s">
        <v>1490</v>
      </c>
      <c r="N17138" t="s">
        <v>71899</v>
      </c>
      <c r="Q17138">
        <v>0</v>
      </c>
      <c r="R17138">
        <v>253</v>
      </c>
      <c r="S17138">
        <v>0</v>
      </c>
      <c r="T17138" t="s">
        <v>87383</v>
      </c>
    </row>
    <row r="17139" spans="1:20" customFormat="1" ht="15" hidden="1" x14ac:dyDescent="0.25">
      <c r="A17139" t="s">
        <v>24</v>
      </c>
      <c r="B17139" t="s">
        <v>61543</v>
      </c>
      <c r="C17139" t="str">
        <f>"A0089983"</f>
        <v>A0089983</v>
      </c>
      <c r="D17139" t="s">
        <v>61544</v>
      </c>
      <c r="E17139" t="s">
        <v>61545</v>
      </c>
      <c r="F17139" t="s">
        <v>56389</v>
      </c>
      <c r="G17139" t="s">
        <v>4499</v>
      </c>
      <c r="H17139">
        <v>72400</v>
      </c>
      <c r="I17139" t="s">
        <v>2408</v>
      </c>
      <c r="J17139" t="s">
        <v>171</v>
      </c>
      <c r="K17139" t="s">
        <v>973</v>
      </c>
      <c r="N17139" t="s">
        <v>61546</v>
      </c>
      <c r="Q17139">
        <v>0</v>
      </c>
      <c r="R17139">
        <v>154</v>
      </c>
      <c r="S17139">
        <v>0</v>
      </c>
      <c r="T17139" t="s">
        <v>61547</v>
      </c>
    </row>
    <row r="17140" spans="1:20" customFormat="1" ht="15" x14ac:dyDescent="0.25">
      <c r="A17140" t="s">
        <v>24</v>
      </c>
      <c r="B17140" t="s">
        <v>675</v>
      </c>
      <c r="C17140" t="str">
        <f>"33770"</f>
        <v>33770</v>
      </c>
      <c r="D17140" t="s">
        <v>87384</v>
      </c>
      <c r="E17140" t="s">
        <v>87385</v>
      </c>
      <c r="F17140" t="s">
        <v>313</v>
      </c>
      <c r="G17140" t="s">
        <v>314</v>
      </c>
      <c r="H17140">
        <v>20037</v>
      </c>
      <c r="I17140" t="s">
        <v>30</v>
      </c>
      <c r="J17140" t="s">
        <v>162</v>
      </c>
      <c r="K17140" t="s">
        <v>1490</v>
      </c>
      <c r="N17140" t="s">
        <v>87386</v>
      </c>
      <c r="Q17140">
        <v>0</v>
      </c>
      <c r="R17140">
        <v>414</v>
      </c>
      <c r="S17140">
        <v>0</v>
      </c>
      <c r="T17140" t="s">
        <v>87387</v>
      </c>
    </row>
    <row r="17141" spans="1:20" customFormat="1" ht="15" hidden="1" x14ac:dyDescent="0.25">
      <c r="A17141" t="s">
        <v>24</v>
      </c>
      <c r="B17141" t="s">
        <v>7405</v>
      </c>
      <c r="C17141" t="str">
        <f>"A0096409"</f>
        <v>A0096409</v>
      </c>
      <c r="D17141" t="s">
        <v>61552</v>
      </c>
      <c r="E17141" t="s">
        <v>61553</v>
      </c>
      <c r="F17141" t="s">
        <v>61554</v>
      </c>
      <c r="G17141" t="s">
        <v>5439</v>
      </c>
      <c r="H17141" t="s">
        <v>61555</v>
      </c>
      <c r="I17141" t="s">
        <v>1459</v>
      </c>
      <c r="J17141" t="s">
        <v>171</v>
      </c>
      <c r="K17141" t="s">
        <v>973</v>
      </c>
      <c r="N17141" t="s">
        <v>61556</v>
      </c>
      <c r="Q17141">
        <v>0</v>
      </c>
      <c r="R17141">
        <v>160</v>
      </c>
      <c r="S17141">
        <v>0</v>
      </c>
      <c r="T17141" t="s">
        <v>61557</v>
      </c>
    </row>
    <row r="17142" spans="1:20" customFormat="1" ht="15" x14ac:dyDescent="0.25">
      <c r="A17142" t="s">
        <v>24</v>
      </c>
      <c r="B17142" t="s">
        <v>2011</v>
      </c>
      <c r="C17142" t="str">
        <f>"A0057590"</f>
        <v>A0057590</v>
      </c>
      <c r="D17142" t="s">
        <v>87393</v>
      </c>
      <c r="E17142" t="s">
        <v>87394</v>
      </c>
      <c r="F17142" t="s">
        <v>990</v>
      </c>
      <c r="G17142" t="s">
        <v>110</v>
      </c>
      <c r="H17142">
        <v>94607</v>
      </c>
      <c r="I17142" t="s">
        <v>30</v>
      </c>
      <c r="J17142" t="s">
        <v>162</v>
      </c>
      <c r="K17142" t="s">
        <v>13246</v>
      </c>
      <c r="N17142" t="s">
        <v>87395</v>
      </c>
      <c r="O17142" t="s">
        <v>87396</v>
      </c>
      <c r="Q17142">
        <v>0</v>
      </c>
      <c r="R17142">
        <v>145</v>
      </c>
      <c r="S17142">
        <v>0</v>
      </c>
      <c r="T17142" t="s">
        <v>87397</v>
      </c>
    </row>
    <row r="17143" spans="1:20" customFormat="1" ht="15" x14ac:dyDescent="0.25">
      <c r="A17143" t="s">
        <v>24</v>
      </c>
      <c r="B17143" t="s">
        <v>8843</v>
      </c>
      <c r="C17143" t="str">
        <f>"A0084958"</f>
        <v>A0084958</v>
      </c>
      <c r="D17143" t="s">
        <v>87398</v>
      </c>
      <c r="E17143" t="s">
        <v>87399</v>
      </c>
      <c r="F17143" t="s">
        <v>2457</v>
      </c>
      <c r="G17143" t="s">
        <v>81</v>
      </c>
      <c r="H17143">
        <v>32162</v>
      </c>
      <c r="I17143" t="s">
        <v>30</v>
      </c>
      <c r="J17143" t="s">
        <v>162</v>
      </c>
      <c r="K17143" t="s">
        <v>163</v>
      </c>
      <c r="N17143" t="s">
        <v>87400</v>
      </c>
      <c r="Q17143">
        <v>0</v>
      </c>
      <c r="R17143">
        <v>120</v>
      </c>
      <c r="S17143">
        <v>0</v>
      </c>
      <c r="T17143" t="s">
        <v>87401</v>
      </c>
    </row>
    <row r="17144" spans="1:20" customFormat="1" ht="15" x14ac:dyDescent="0.25">
      <c r="A17144" t="s">
        <v>24</v>
      </c>
      <c r="B17144" t="s">
        <v>675</v>
      </c>
      <c r="C17144" t="str">
        <f>"33750"</f>
        <v>33750</v>
      </c>
      <c r="D17144" t="s">
        <v>87439</v>
      </c>
      <c r="E17144" t="s">
        <v>87440</v>
      </c>
      <c r="F17144" t="s">
        <v>12569</v>
      </c>
      <c r="G17144" t="s">
        <v>99</v>
      </c>
      <c r="H17144">
        <v>10591</v>
      </c>
      <c r="I17144" t="s">
        <v>30</v>
      </c>
      <c r="J17144" t="s">
        <v>162</v>
      </c>
      <c r="K17144" t="s">
        <v>1490</v>
      </c>
      <c r="N17144" t="s">
        <v>87441</v>
      </c>
      <c r="O17144" t="s">
        <v>87442</v>
      </c>
      <c r="Q17144">
        <v>0</v>
      </c>
      <c r="R17144">
        <v>444</v>
      </c>
      <c r="S17144">
        <v>0</v>
      </c>
      <c r="T17144" t="s">
        <v>87443</v>
      </c>
    </row>
    <row r="17145" spans="1:20" customFormat="1" ht="15" x14ac:dyDescent="0.25">
      <c r="A17145" t="s">
        <v>24</v>
      </c>
      <c r="B17145" t="s">
        <v>57323</v>
      </c>
      <c r="C17145" t="str">
        <f>"A0096059"</f>
        <v>A0096059</v>
      </c>
      <c r="D17145" t="s">
        <v>57323</v>
      </c>
      <c r="E17145" t="s">
        <v>87455</v>
      </c>
      <c r="F17145" t="s">
        <v>87456</v>
      </c>
      <c r="G17145" t="s">
        <v>899</v>
      </c>
      <c r="H17145">
        <v>1886</v>
      </c>
      <c r="I17145" t="s">
        <v>30</v>
      </c>
      <c r="J17145" t="s">
        <v>162</v>
      </c>
      <c r="K17145" t="s">
        <v>163</v>
      </c>
      <c r="Q17145">
        <v>0</v>
      </c>
      <c r="R17145">
        <v>192</v>
      </c>
      <c r="S17145">
        <v>0</v>
      </c>
      <c r="T17145" t="s">
        <v>87457</v>
      </c>
    </row>
    <row r="17146" spans="1:20" customFormat="1" ht="15" x14ac:dyDescent="0.25">
      <c r="A17146" t="s">
        <v>24</v>
      </c>
      <c r="B17146" t="s">
        <v>5648</v>
      </c>
      <c r="C17146" t="str">
        <f>"A0153243"</f>
        <v>A0153243</v>
      </c>
      <c r="D17146" t="s">
        <v>87458</v>
      </c>
      <c r="E17146" t="s">
        <v>87459</v>
      </c>
      <c r="F17146" t="s">
        <v>5651</v>
      </c>
      <c r="G17146" t="s">
        <v>110</v>
      </c>
      <c r="H17146">
        <v>92802</v>
      </c>
      <c r="I17146" t="s">
        <v>30</v>
      </c>
      <c r="J17146" t="s">
        <v>162</v>
      </c>
      <c r="K17146" t="s">
        <v>822</v>
      </c>
      <c r="N17146" t="s">
        <v>87460</v>
      </c>
      <c r="O17146" t="s">
        <v>80791</v>
      </c>
      <c r="Q17146">
        <v>0</v>
      </c>
      <c r="R17146">
        <v>618</v>
      </c>
      <c r="S17146">
        <v>0</v>
      </c>
      <c r="T17146" t="s">
        <v>87461</v>
      </c>
    </row>
    <row r="17147" spans="1:20" customFormat="1" ht="15" x14ac:dyDescent="0.25">
      <c r="A17147" t="s">
        <v>24</v>
      </c>
      <c r="B17147" t="s">
        <v>2373</v>
      </c>
      <c r="C17147" t="str">
        <f>"A0076931"</f>
        <v>A0076931</v>
      </c>
      <c r="D17147" t="s">
        <v>87462</v>
      </c>
      <c r="E17147" t="s">
        <v>87463</v>
      </c>
      <c r="F17147" t="s">
        <v>281</v>
      </c>
      <c r="G17147" t="s">
        <v>123</v>
      </c>
      <c r="H17147">
        <v>21401</v>
      </c>
      <c r="I17147" t="s">
        <v>30</v>
      </c>
      <c r="J17147" t="s">
        <v>162</v>
      </c>
      <c r="K17147" t="s">
        <v>822</v>
      </c>
      <c r="N17147" t="s">
        <v>56296</v>
      </c>
      <c r="O17147" t="s">
        <v>87464</v>
      </c>
      <c r="Q17147">
        <v>0</v>
      </c>
      <c r="R17147">
        <v>225</v>
      </c>
      <c r="S17147">
        <v>0</v>
      </c>
      <c r="T17147" t="s">
        <v>87465</v>
      </c>
    </row>
    <row r="17148" spans="1:20" customFormat="1" ht="15" x14ac:dyDescent="0.25">
      <c r="A17148" t="s">
        <v>24</v>
      </c>
      <c r="B17148" t="s">
        <v>2373</v>
      </c>
      <c r="C17148" t="str">
        <f>"A0078664"</f>
        <v>A0078664</v>
      </c>
      <c r="D17148" t="s">
        <v>87466</v>
      </c>
      <c r="E17148" t="s">
        <v>87467</v>
      </c>
      <c r="F17148" t="s">
        <v>10276</v>
      </c>
      <c r="G17148" t="s">
        <v>846</v>
      </c>
      <c r="H17148">
        <v>30328</v>
      </c>
      <c r="I17148" t="s">
        <v>30</v>
      </c>
      <c r="J17148" t="s">
        <v>162</v>
      </c>
      <c r="K17148" t="s">
        <v>822</v>
      </c>
      <c r="N17148" t="s">
        <v>87468</v>
      </c>
      <c r="O17148" t="s">
        <v>87469</v>
      </c>
      <c r="Q17148">
        <v>0</v>
      </c>
      <c r="R17148">
        <v>372</v>
      </c>
      <c r="S17148">
        <v>0</v>
      </c>
      <c r="T17148" t="s">
        <v>87470</v>
      </c>
    </row>
    <row r="17149" spans="1:20" customFormat="1" ht="15" x14ac:dyDescent="0.25">
      <c r="A17149" t="s">
        <v>24</v>
      </c>
      <c r="B17149" t="s">
        <v>1487</v>
      </c>
      <c r="C17149" t="str">
        <f>"A0094120"</f>
        <v>A0094120</v>
      </c>
      <c r="D17149" t="s">
        <v>87471</v>
      </c>
      <c r="E17149" t="s">
        <v>87472</v>
      </c>
      <c r="F17149" t="s">
        <v>372</v>
      </c>
      <c r="G17149" t="s">
        <v>52</v>
      </c>
      <c r="H17149">
        <v>78701</v>
      </c>
      <c r="I17149" t="s">
        <v>30</v>
      </c>
      <c r="J17149" t="s">
        <v>162</v>
      </c>
      <c r="K17149" t="s">
        <v>822</v>
      </c>
      <c r="N17149" t="s">
        <v>73246</v>
      </c>
      <c r="Q17149">
        <v>0</v>
      </c>
      <c r="R17149">
        <v>366</v>
      </c>
      <c r="S17149">
        <v>0</v>
      </c>
      <c r="T17149" t="s">
        <v>87473</v>
      </c>
    </row>
    <row r="17150" spans="1:20" customFormat="1" ht="15" x14ac:dyDescent="0.25">
      <c r="A17150" t="s">
        <v>24</v>
      </c>
      <c r="B17150" t="s">
        <v>80787</v>
      </c>
      <c r="C17150" t="str">
        <f>"A0100917"</f>
        <v>A0100917</v>
      </c>
      <c r="D17150" t="s">
        <v>87474</v>
      </c>
      <c r="E17150" t="s">
        <v>80789</v>
      </c>
      <c r="F17150" t="s">
        <v>11003</v>
      </c>
      <c r="G17150" t="s">
        <v>110</v>
      </c>
      <c r="H17150">
        <v>92008</v>
      </c>
      <c r="I17150" t="s">
        <v>30</v>
      </c>
      <c r="J17150" t="s">
        <v>162</v>
      </c>
      <c r="K17150" t="s">
        <v>822</v>
      </c>
      <c r="N17150" t="s">
        <v>80790</v>
      </c>
      <c r="O17150" t="s">
        <v>80791</v>
      </c>
      <c r="Q17150">
        <v>0</v>
      </c>
      <c r="R17150">
        <v>203</v>
      </c>
      <c r="S17150">
        <v>0</v>
      </c>
      <c r="T17150" t="s">
        <v>87475</v>
      </c>
    </row>
    <row r="17151" spans="1:20" customFormat="1" ht="15" x14ac:dyDescent="0.25">
      <c r="A17151" t="s">
        <v>24</v>
      </c>
      <c r="B17151" t="s">
        <v>5104</v>
      </c>
      <c r="C17151" t="str">
        <f>"A0087218"</f>
        <v>A0087218</v>
      </c>
      <c r="D17151" t="s">
        <v>87476</v>
      </c>
      <c r="E17151" t="s">
        <v>87477</v>
      </c>
      <c r="F17151" t="s">
        <v>1525</v>
      </c>
      <c r="G17151" t="s">
        <v>65</v>
      </c>
      <c r="H17151">
        <v>43215</v>
      </c>
      <c r="I17151" t="s">
        <v>30</v>
      </c>
      <c r="J17151" t="s">
        <v>162</v>
      </c>
      <c r="K17151" t="s">
        <v>822</v>
      </c>
      <c r="N17151" t="s">
        <v>87478</v>
      </c>
      <c r="Q17151">
        <v>0</v>
      </c>
      <c r="R17151">
        <v>189</v>
      </c>
      <c r="S17151">
        <v>0</v>
      </c>
      <c r="T17151" t="s">
        <v>87479</v>
      </c>
    </row>
    <row r="17152" spans="1:20" customFormat="1" ht="15" x14ac:dyDescent="0.25">
      <c r="A17152" t="s">
        <v>24</v>
      </c>
      <c r="B17152" t="s">
        <v>675</v>
      </c>
      <c r="C17152" t="str">
        <f>"A0096851"</f>
        <v>A0096851</v>
      </c>
      <c r="D17152" t="s">
        <v>87484</v>
      </c>
      <c r="E17152" t="s">
        <v>87485</v>
      </c>
      <c r="F17152" t="s">
        <v>7153</v>
      </c>
      <c r="G17152" t="s">
        <v>117</v>
      </c>
      <c r="H17152">
        <v>48242</v>
      </c>
      <c r="I17152" t="s">
        <v>30</v>
      </c>
      <c r="J17152" t="s">
        <v>162</v>
      </c>
      <c r="K17152" t="s">
        <v>822</v>
      </c>
      <c r="N17152" t="s">
        <v>87486</v>
      </c>
      <c r="O17152" t="s">
        <v>87487</v>
      </c>
      <c r="Q17152">
        <v>0</v>
      </c>
      <c r="R17152">
        <v>404</v>
      </c>
      <c r="S17152">
        <v>0</v>
      </c>
      <c r="T17152" t="s">
        <v>87488</v>
      </c>
    </row>
    <row r="17153" spans="1:20" customFormat="1" ht="15" x14ac:dyDescent="0.25">
      <c r="A17153" t="s">
        <v>24</v>
      </c>
      <c r="B17153" t="s">
        <v>1548</v>
      </c>
      <c r="C17153" t="str">
        <f>"A0095901"</f>
        <v>A0095901</v>
      </c>
      <c r="D17153" t="s">
        <v>87494</v>
      </c>
      <c r="E17153" t="s">
        <v>87495</v>
      </c>
      <c r="F17153" t="s">
        <v>3545</v>
      </c>
      <c r="G17153" t="s">
        <v>1706</v>
      </c>
      <c r="H17153">
        <v>35806</v>
      </c>
      <c r="I17153" t="s">
        <v>30</v>
      </c>
      <c r="J17153" t="s">
        <v>162</v>
      </c>
      <c r="K17153" t="s">
        <v>822</v>
      </c>
      <c r="N17153" t="s">
        <v>87496</v>
      </c>
      <c r="O17153" t="s">
        <v>87497</v>
      </c>
      <c r="Q17153">
        <v>0</v>
      </c>
      <c r="R17153">
        <v>210</v>
      </c>
      <c r="S17153">
        <v>0</v>
      </c>
      <c r="T17153" t="s">
        <v>87498</v>
      </c>
    </row>
    <row r="17154" spans="1:20" customFormat="1" ht="15" x14ac:dyDescent="0.25">
      <c r="A17154" t="s">
        <v>24</v>
      </c>
      <c r="B17154" t="s">
        <v>814</v>
      </c>
      <c r="C17154" t="str">
        <f>"A0095217"</f>
        <v>A0095217</v>
      </c>
      <c r="D17154" t="s">
        <v>87499</v>
      </c>
      <c r="E17154" t="s">
        <v>87500</v>
      </c>
      <c r="F17154" t="s">
        <v>9431</v>
      </c>
      <c r="G17154" t="s">
        <v>381</v>
      </c>
      <c r="H17154">
        <v>46204</v>
      </c>
      <c r="I17154" t="s">
        <v>30</v>
      </c>
      <c r="J17154" t="s">
        <v>162</v>
      </c>
      <c r="K17154" t="s">
        <v>822</v>
      </c>
      <c r="N17154" t="s">
        <v>87501</v>
      </c>
      <c r="Q17154">
        <v>0</v>
      </c>
      <c r="R17154">
        <v>575</v>
      </c>
      <c r="S17154">
        <v>0</v>
      </c>
      <c r="T17154" t="s">
        <v>87502</v>
      </c>
    </row>
    <row r="17155" spans="1:20" customFormat="1" ht="15" x14ac:dyDescent="0.25">
      <c r="A17155" t="s">
        <v>24</v>
      </c>
      <c r="B17155" t="s">
        <v>675</v>
      </c>
      <c r="C17155" t="str">
        <f>"A0096621"</f>
        <v>A0096621</v>
      </c>
      <c r="D17155" t="s">
        <v>87503</v>
      </c>
      <c r="E17155" t="s">
        <v>87504</v>
      </c>
      <c r="F17155" t="s">
        <v>337</v>
      </c>
      <c r="G17155" t="s">
        <v>338</v>
      </c>
      <c r="H17155">
        <v>7310</v>
      </c>
      <c r="I17155" t="s">
        <v>30</v>
      </c>
      <c r="J17155" t="s">
        <v>162</v>
      </c>
      <c r="K17155" t="s">
        <v>822</v>
      </c>
      <c r="N17155" t="s">
        <v>87505</v>
      </c>
      <c r="O17155" t="s">
        <v>87506</v>
      </c>
      <c r="Q17155">
        <v>0</v>
      </c>
      <c r="R17155">
        <v>429</v>
      </c>
      <c r="S17155">
        <v>0</v>
      </c>
      <c r="T17155" t="s">
        <v>87507</v>
      </c>
    </row>
    <row r="17156" spans="1:20" customFormat="1" ht="15" x14ac:dyDescent="0.25">
      <c r="A17156" t="s">
        <v>24</v>
      </c>
      <c r="B17156" t="s">
        <v>675</v>
      </c>
      <c r="C17156" t="str">
        <f>"337G7"</f>
        <v>337G7</v>
      </c>
      <c r="D17156" t="s">
        <v>87512</v>
      </c>
      <c r="E17156" t="s">
        <v>87513</v>
      </c>
      <c r="F17156" t="s">
        <v>2014</v>
      </c>
      <c r="G17156" t="s">
        <v>197</v>
      </c>
      <c r="H17156">
        <v>85254</v>
      </c>
      <c r="I17156" t="s">
        <v>30</v>
      </c>
      <c r="J17156" t="s">
        <v>162</v>
      </c>
      <c r="K17156" t="s">
        <v>822</v>
      </c>
      <c r="N17156" t="s">
        <v>87514</v>
      </c>
      <c r="O17156" t="s">
        <v>87515</v>
      </c>
      <c r="Q17156">
        <v>0</v>
      </c>
      <c r="R17156">
        <v>732</v>
      </c>
      <c r="S17156">
        <v>0</v>
      </c>
      <c r="T17156" t="s">
        <v>87516</v>
      </c>
    </row>
    <row r="17157" spans="1:20" customFormat="1" ht="15" x14ac:dyDescent="0.25">
      <c r="A17157" t="s">
        <v>24</v>
      </c>
      <c r="B17157" t="s">
        <v>5843</v>
      </c>
      <c r="C17157" t="str">
        <f>"HY09856"</f>
        <v>HY09856</v>
      </c>
      <c r="D17157" t="s">
        <v>87526</v>
      </c>
      <c r="E17157" t="s">
        <v>87527</v>
      </c>
      <c r="F17157" t="s">
        <v>3353</v>
      </c>
      <c r="G17157" t="s">
        <v>221</v>
      </c>
      <c r="H17157">
        <v>89011</v>
      </c>
      <c r="I17157" t="s">
        <v>30</v>
      </c>
      <c r="J17157" t="s">
        <v>162</v>
      </c>
      <c r="K17157" t="s">
        <v>822</v>
      </c>
      <c r="N17157" t="s">
        <v>87528</v>
      </c>
      <c r="O17157" t="s">
        <v>87529</v>
      </c>
      <c r="Q17157">
        <v>0</v>
      </c>
      <c r="R17157">
        <v>493</v>
      </c>
      <c r="S17157">
        <v>0</v>
      </c>
      <c r="T17157" t="s">
        <v>87530</v>
      </c>
    </row>
    <row r="17158" spans="1:20" customFormat="1" ht="15" x14ac:dyDescent="0.25">
      <c r="A17158" t="s">
        <v>24</v>
      </c>
      <c r="B17158" t="s">
        <v>13730</v>
      </c>
      <c r="C17158" t="str">
        <f>"A0095916"</f>
        <v>A0095916</v>
      </c>
      <c r="D17158" t="s">
        <v>87531</v>
      </c>
      <c r="E17158" t="s">
        <v>87532</v>
      </c>
      <c r="F17158" t="s">
        <v>87533</v>
      </c>
      <c r="G17158" t="s">
        <v>338</v>
      </c>
      <c r="H17158">
        <v>8054</v>
      </c>
      <c r="I17158" t="s">
        <v>30</v>
      </c>
      <c r="J17158" t="s">
        <v>162</v>
      </c>
      <c r="K17158" t="s">
        <v>822</v>
      </c>
      <c r="N17158" t="s">
        <v>87534</v>
      </c>
      <c r="O17158" t="s">
        <v>87535</v>
      </c>
      <c r="Q17158">
        <v>0</v>
      </c>
      <c r="R17158">
        <v>173</v>
      </c>
      <c r="S17158">
        <v>0</v>
      </c>
      <c r="T17158" t="s">
        <v>87536</v>
      </c>
    </row>
    <row r="17159" spans="1:20" customFormat="1" ht="15" x14ac:dyDescent="0.25">
      <c r="A17159" t="s">
        <v>24</v>
      </c>
      <c r="B17159" t="s">
        <v>2955</v>
      </c>
      <c r="C17159" t="str">
        <f>"A0085208"</f>
        <v>A0085208</v>
      </c>
      <c r="D17159" t="s">
        <v>87542</v>
      </c>
      <c r="E17159" t="s">
        <v>87543</v>
      </c>
      <c r="F17159" t="s">
        <v>66687</v>
      </c>
      <c r="G17159" t="s">
        <v>123</v>
      </c>
      <c r="H17159">
        <v>20745</v>
      </c>
      <c r="I17159" t="s">
        <v>30</v>
      </c>
      <c r="J17159" t="s">
        <v>162</v>
      </c>
      <c r="K17159" t="s">
        <v>822</v>
      </c>
      <c r="N17159" t="s">
        <v>87544</v>
      </c>
      <c r="Q17159">
        <v>0</v>
      </c>
      <c r="R17159">
        <v>195</v>
      </c>
      <c r="S17159">
        <v>0</v>
      </c>
      <c r="T17159" t="s">
        <v>87545</v>
      </c>
    </row>
    <row r="17160" spans="1:20" customFormat="1" ht="15" x14ac:dyDescent="0.25">
      <c r="A17160" t="s">
        <v>24</v>
      </c>
      <c r="B17160" t="s">
        <v>66542</v>
      </c>
      <c r="C17160" t="str">
        <f>"88WT001"</f>
        <v>88WT001</v>
      </c>
      <c r="D17160" t="s">
        <v>87546</v>
      </c>
      <c r="E17160" t="s">
        <v>87547</v>
      </c>
      <c r="F17160" t="s">
        <v>5374</v>
      </c>
      <c r="G17160" t="s">
        <v>110</v>
      </c>
      <c r="H17160">
        <v>94301</v>
      </c>
      <c r="I17160" t="s">
        <v>30</v>
      </c>
      <c r="J17160" t="s">
        <v>162</v>
      </c>
      <c r="K17160" t="s">
        <v>822</v>
      </c>
      <c r="N17160" t="s">
        <v>12337</v>
      </c>
      <c r="O17160" t="s">
        <v>81024</v>
      </c>
      <c r="Q17160">
        <v>0</v>
      </c>
      <c r="R17160">
        <v>184</v>
      </c>
      <c r="S17160">
        <v>0</v>
      </c>
      <c r="T17160" t="s">
        <v>87548</v>
      </c>
    </row>
    <row r="17161" spans="1:20" customFormat="1" ht="15" x14ac:dyDescent="0.25">
      <c r="A17161" t="s">
        <v>24</v>
      </c>
      <c r="B17161" t="s">
        <v>2373</v>
      </c>
      <c r="C17161" t="str">
        <f>"A0086898"</f>
        <v>A0086898</v>
      </c>
      <c r="D17161" t="s">
        <v>87549</v>
      </c>
      <c r="E17161" t="s">
        <v>87550</v>
      </c>
      <c r="F17161" t="s">
        <v>9836</v>
      </c>
      <c r="G17161" t="s">
        <v>110</v>
      </c>
      <c r="H17161">
        <v>91101</v>
      </c>
      <c r="I17161" t="s">
        <v>30</v>
      </c>
      <c r="J17161" t="s">
        <v>162</v>
      </c>
      <c r="K17161" t="s">
        <v>822</v>
      </c>
      <c r="N17161" t="s">
        <v>87551</v>
      </c>
      <c r="O17161" t="s">
        <v>87552</v>
      </c>
      <c r="Q17161">
        <v>0</v>
      </c>
      <c r="R17161">
        <v>350</v>
      </c>
      <c r="S17161">
        <v>0</v>
      </c>
      <c r="T17161" t="s">
        <v>87553</v>
      </c>
    </row>
    <row r="17162" spans="1:20" customFormat="1" ht="15" x14ac:dyDescent="0.25">
      <c r="A17162" t="s">
        <v>24</v>
      </c>
      <c r="B17162" t="s">
        <v>2373</v>
      </c>
      <c r="C17162" t="str">
        <f>"A0085607"</f>
        <v>A0085607</v>
      </c>
      <c r="D17162" t="s">
        <v>87560</v>
      </c>
      <c r="E17162" t="s">
        <v>87561</v>
      </c>
      <c r="F17162" t="s">
        <v>74074</v>
      </c>
      <c r="G17162" t="s">
        <v>29</v>
      </c>
      <c r="H17162">
        <v>20191</v>
      </c>
      <c r="I17162" t="s">
        <v>30</v>
      </c>
      <c r="J17162" t="s">
        <v>162</v>
      </c>
      <c r="K17162" t="s">
        <v>822</v>
      </c>
      <c r="N17162" t="s">
        <v>12179</v>
      </c>
      <c r="Q17162">
        <v>0</v>
      </c>
      <c r="R17162">
        <v>191</v>
      </c>
      <c r="S17162">
        <v>0</v>
      </c>
      <c r="T17162" t="s">
        <v>87562</v>
      </c>
    </row>
    <row r="17163" spans="1:20" customFormat="1" ht="15" x14ac:dyDescent="0.25">
      <c r="A17163" t="s">
        <v>24</v>
      </c>
      <c r="B17163" t="s">
        <v>8592</v>
      </c>
      <c r="C17163" t="str">
        <f>"A0098713"</f>
        <v>A0098713</v>
      </c>
      <c r="D17163" t="s">
        <v>87563</v>
      </c>
      <c r="E17163" t="s">
        <v>87564</v>
      </c>
      <c r="F17163" t="s">
        <v>8595</v>
      </c>
      <c r="G17163" t="s">
        <v>190</v>
      </c>
      <c r="H17163">
        <v>81620</v>
      </c>
      <c r="I17163" t="s">
        <v>30</v>
      </c>
      <c r="J17163" t="s">
        <v>162</v>
      </c>
      <c r="K17163" t="s">
        <v>822</v>
      </c>
      <c r="N17163" t="s">
        <v>87565</v>
      </c>
      <c r="O17163" t="s">
        <v>87566</v>
      </c>
      <c r="Q17163">
        <v>0</v>
      </c>
      <c r="R17163">
        <v>230</v>
      </c>
      <c r="S17163">
        <v>0</v>
      </c>
      <c r="T17163" t="s">
        <v>87567</v>
      </c>
    </row>
    <row r="17164" spans="1:20" customFormat="1" ht="15" x14ac:dyDescent="0.25">
      <c r="A17164" t="s">
        <v>24</v>
      </c>
      <c r="B17164" t="s">
        <v>56277</v>
      </c>
      <c r="C17164" t="str">
        <f>"A0069056"</f>
        <v>A0069056</v>
      </c>
      <c r="D17164" t="s">
        <v>87572</v>
      </c>
      <c r="E17164" t="s">
        <v>87573</v>
      </c>
      <c r="F17164" t="s">
        <v>34957</v>
      </c>
      <c r="G17164" t="s">
        <v>117</v>
      </c>
      <c r="H17164">
        <v>48075</v>
      </c>
      <c r="I17164" t="s">
        <v>30</v>
      </c>
      <c r="J17164" t="s">
        <v>162</v>
      </c>
      <c r="K17164" t="s">
        <v>822</v>
      </c>
      <c r="N17164" t="s">
        <v>87574</v>
      </c>
      <c r="O17164" t="s">
        <v>87575</v>
      </c>
      <c r="Q17164">
        <v>0</v>
      </c>
      <c r="R17164">
        <v>384</v>
      </c>
      <c r="S17164">
        <v>0</v>
      </c>
      <c r="T17164" t="s">
        <v>87576</v>
      </c>
    </row>
    <row r="17165" spans="1:20" customFormat="1" ht="15" x14ac:dyDescent="0.25">
      <c r="A17165" t="s">
        <v>24</v>
      </c>
      <c r="B17165" t="s">
        <v>2373</v>
      </c>
      <c r="C17165" t="str">
        <f>"A0084844"</f>
        <v>A0084844</v>
      </c>
      <c r="D17165" t="s">
        <v>87583</v>
      </c>
      <c r="E17165" t="s">
        <v>87584</v>
      </c>
      <c r="F17165" t="s">
        <v>56870</v>
      </c>
      <c r="G17165" t="s">
        <v>137</v>
      </c>
      <c r="H17165">
        <v>63102</v>
      </c>
      <c r="I17165" t="s">
        <v>30</v>
      </c>
      <c r="J17165" t="s">
        <v>162</v>
      </c>
      <c r="K17165" t="s">
        <v>822</v>
      </c>
      <c r="N17165" t="s">
        <v>87585</v>
      </c>
      <c r="O17165" t="s">
        <v>87586</v>
      </c>
      <c r="Q17165">
        <v>0</v>
      </c>
      <c r="R17165">
        <v>255</v>
      </c>
      <c r="S17165">
        <v>0</v>
      </c>
      <c r="T17165" t="s">
        <v>87587</v>
      </c>
    </row>
    <row r="17166" spans="1:20" customFormat="1" ht="15" x14ac:dyDescent="0.25">
      <c r="A17166" t="s">
        <v>24</v>
      </c>
      <c r="B17166" t="s">
        <v>2373</v>
      </c>
      <c r="C17166" t="str">
        <f>"A0094828"</f>
        <v>A0094828</v>
      </c>
      <c r="D17166" t="s">
        <v>87588</v>
      </c>
      <c r="E17166" t="s">
        <v>87589</v>
      </c>
      <c r="F17166" t="s">
        <v>3955</v>
      </c>
      <c r="G17166" t="s">
        <v>81</v>
      </c>
      <c r="H17166">
        <v>33602</v>
      </c>
      <c r="I17166" t="s">
        <v>30</v>
      </c>
      <c r="J17166" t="s">
        <v>162</v>
      </c>
      <c r="K17166" t="s">
        <v>822</v>
      </c>
      <c r="N17166" t="s">
        <v>87590</v>
      </c>
      <c r="Q17166">
        <v>0</v>
      </c>
      <c r="R17166">
        <v>299</v>
      </c>
      <c r="S17166">
        <v>0</v>
      </c>
      <c r="T17166" t="s">
        <v>87591</v>
      </c>
    </row>
    <row r="17167" spans="1:20" customFormat="1" ht="15" x14ac:dyDescent="0.25">
      <c r="A17167" t="s">
        <v>24</v>
      </c>
      <c r="B17167" t="s">
        <v>2955</v>
      </c>
      <c r="C17167" t="str">
        <f>"A0084561"</f>
        <v>A0084561</v>
      </c>
      <c r="D17167" t="s">
        <v>87592</v>
      </c>
      <c r="E17167" t="s">
        <v>87593</v>
      </c>
      <c r="F17167" t="s">
        <v>16267</v>
      </c>
      <c r="G17167" t="s">
        <v>29</v>
      </c>
      <c r="H17167">
        <v>23462</v>
      </c>
      <c r="I17167" t="s">
        <v>30</v>
      </c>
      <c r="J17167" t="s">
        <v>162</v>
      </c>
      <c r="K17167" t="s">
        <v>822</v>
      </c>
      <c r="N17167" t="s">
        <v>87594</v>
      </c>
      <c r="Q17167">
        <v>0</v>
      </c>
      <c r="R17167">
        <v>236</v>
      </c>
      <c r="S17167">
        <v>0</v>
      </c>
      <c r="T17167" t="s">
        <v>87595</v>
      </c>
    </row>
    <row r="17168" spans="1:20" customFormat="1" ht="15" x14ac:dyDescent="0.25">
      <c r="A17168" t="s">
        <v>24</v>
      </c>
      <c r="B17168" t="s">
        <v>2373</v>
      </c>
      <c r="C17168" t="str">
        <f>"A0085849"</f>
        <v>A0085849</v>
      </c>
      <c r="D17168" t="s">
        <v>87596</v>
      </c>
      <c r="E17168" t="s">
        <v>87597</v>
      </c>
      <c r="F17168" t="s">
        <v>13634</v>
      </c>
      <c r="G17168" t="s">
        <v>190</v>
      </c>
      <c r="H17168">
        <v>80020</v>
      </c>
      <c r="I17168" t="s">
        <v>30</v>
      </c>
      <c r="J17168" t="s">
        <v>162</v>
      </c>
      <c r="K17168" t="s">
        <v>822</v>
      </c>
      <c r="N17168" t="s">
        <v>87598</v>
      </c>
      <c r="O17168" t="s">
        <v>87599</v>
      </c>
      <c r="Q17168">
        <v>0</v>
      </c>
      <c r="R17168">
        <v>369</v>
      </c>
      <c r="S17168">
        <v>0</v>
      </c>
      <c r="T17168" t="s">
        <v>87600</v>
      </c>
    </row>
    <row r="17169" spans="1:20" customFormat="1" ht="15" x14ac:dyDescent="0.25">
      <c r="A17169" t="s">
        <v>24</v>
      </c>
      <c r="B17169" t="s">
        <v>84183</v>
      </c>
      <c r="C17169" t="str">
        <f>"A0098561"</f>
        <v>A0098561</v>
      </c>
      <c r="D17169" t="s">
        <v>87613</v>
      </c>
      <c r="E17169" t="s">
        <v>84185</v>
      </c>
      <c r="F17169" t="s">
        <v>1003</v>
      </c>
      <c r="G17169" t="s">
        <v>81</v>
      </c>
      <c r="H17169">
        <v>33139</v>
      </c>
      <c r="I17169" t="s">
        <v>30</v>
      </c>
      <c r="J17169" t="s">
        <v>162</v>
      </c>
      <c r="K17169" t="s">
        <v>163</v>
      </c>
      <c r="N17169" t="s">
        <v>87324</v>
      </c>
      <c r="Q17169">
        <v>0</v>
      </c>
      <c r="R17169">
        <v>0</v>
      </c>
      <c r="S17169">
        <v>0</v>
      </c>
      <c r="T17169" t="s">
        <v>84188</v>
      </c>
    </row>
    <row r="17170" spans="1:20" customFormat="1" ht="15" x14ac:dyDescent="0.25">
      <c r="A17170" t="s">
        <v>24</v>
      </c>
      <c r="B17170" t="s">
        <v>2011</v>
      </c>
      <c r="C17170" t="str">
        <f>"A0062448"</f>
        <v>A0062448</v>
      </c>
      <c r="D17170" t="s">
        <v>87656</v>
      </c>
      <c r="E17170" t="s">
        <v>87657</v>
      </c>
      <c r="F17170" t="s">
        <v>87658</v>
      </c>
      <c r="G17170" t="s">
        <v>58</v>
      </c>
      <c r="H17170">
        <v>29451</v>
      </c>
      <c r="I17170" t="s">
        <v>30</v>
      </c>
      <c r="J17170" t="s">
        <v>162</v>
      </c>
      <c r="K17170" t="s">
        <v>2015</v>
      </c>
      <c r="P17170" t="s">
        <v>3998</v>
      </c>
      <c r="Q17170">
        <v>2</v>
      </c>
      <c r="R17170">
        <v>250</v>
      </c>
      <c r="S17170">
        <v>0</v>
      </c>
      <c r="T17170" t="s">
        <v>87659</v>
      </c>
    </row>
    <row r="17171" spans="1:20" customFormat="1" ht="15" x14ac:dyDescent="0.25">
      <c r="A17171" t="s">
        <v>24</v>
      </c>
      <c r="B17171" t="s">
        <v>2011</v>
      </c>
      <c r="C17171" t="str">
        <f>"A0076954"</f>
        <v>A0076954</v>
      </c>
      <c r="D17171" t="s">
        <v>87668</v>
      </c>
      <c r="E17171" t="s">
        <v>87669</v>
      </c>
      <c r="F17171" t="s">
        <v>32880</v>
      </c>
      <c r="G17171" t="s">
        <v>110</v>
      </c>
      <c r="H17171">
        <v>94087</v>
      </c>
      <c r="I17171" t="s">
        <v>30</v>
      </c>
      <c r="J17171" t="s">
        <v>162</v>
      </c>
      <c r="K17171" t="s">
        <v>13246</v>
      </c>
      <c r="N17171" t="s">
        <v>72345</v>
      </c>
      <c r="Q17171">
        <v>0</v>
      </c>
      <c r="R17171">
        <v>204</v>
      </c>
      <c r="S17171">
        <v>0</v>
      </c>
      <c r="T17171" t="s">
        <v>87670</v>
      </c>
    </row>
    <row r="17172" spans="1:20" customFormat="1" ht="15" x14ac:dyDescent="0.25">
      <c r="A17172" t="s">
        <v>24</v>
      </c>
      <c r="B17172" t="s">
        <v>2812</v>
      </c>
      <c r="C17172" t="str">
        <f>"A0060567"</f>
        <v>A0060567</v>
      </c>
      <c r="D17172" t="s">
        <v>87753</v>
      </c>
      <c r="E17172" t="s">
        <v>87754</v>
      </c>
      <c r="F17172" t="s">
        <v>16277</v>
      </c>
      <c r="G17172" t="s">
        <v>214</v>
      </c>
      <c r="H17172">
        <v>27101</v>
      </c>
      <c r="I17172" t="s">
        <v>30</v>
      </c>
      <c r="J17172" t="s">
        <v>162</v>
      </c>
      <c r="K17172" t="s">
        <v>1490</v>
      </c>
      <c r="N17172" t="s">
        <v>87755</v>
      </c>
      <c r="O17172" t="s">
        <v>87756</v>
      </c>
      <c r="Q17172">
        <v>0</v>
      </c>
      <c r="R17172">
        <v>315</v>
      </c>
      <c r="S17172">
        <v>0</v>
      </c>
      <c r="T17172" t="s">
        <v>87757</v>
      </c>
    </row>
    <row r="17173" spans="1:20" customFormat="1" ht="15" x14ac:dyDescent="0.25">
      <c r="A17173" t="s">
        <v>24</v>
      </c>
      <c r="B17173" t="s">
        <v>9400</v>
      </c>
      <c r="C17173" t="str">
        <f>"A0067950"</f>
        <v>A0067950</v>
      </c>
      <c r="D17173" t="s">
        <v>87758</v>
      </c>
      <c r="E17173" t="s">
        <v>87759</v>
      </c>
      <c r="F17173" t="s">
        <v>87760</v>
      </c>
      <c r="G17173" t="s">
        <v>190</v>
      </c>
      <c r="H17173">
        <v>80482</v>
      </c>
      <c r="I17173" t="s">
        <v>30</v>
      </c>
      <c r="J17173" t="s">
        <v>162</v>
      </c>
      <c r="K17173" t="s">
        <v>163</v>
      </c>
      <c r="N17173" t="s">
        <v>87761</v>
      </c>
      <c r="O17173" t="s">
        <v>87762</v>
      </c>
      <c r="Q17173">
        <v>0</v>
      </c>
      <c r="R17173">
        <v>0</v>
      </c>
      <c r="S17173">
        <v>0</v>
      </c>
      <c r="T17173" t="s">
        <v>87763</v>
      </c>
    </row>
    <row r="17174" spans="1:20" customFormat="1" ht="15" x14ac:dyDescent="0.25">
      <c r="A17174" t="s">
        <v>24</v>
      </c>
      <c r="B17174" t="s">
        <v>64821</v>
      </c>
      <c r="C17174" t="str">
        <f>"A0095453"</f>
        <v>A0095453</v>
      </c>
      <c r="D17174" t="s">
        <v>87819</v>
      </c>
      <c r="E17174" t="s">
        <v>87820</v>
      </c>
      <c r="F17174" t="s">
        <v>58817</v>
      </c>
      <c r="G17174" t="s">
        <v>65</v>
      </c>
      <c r="H17174">
        <v>44011</v>
      </c>
      <c r="I17174" t="s">
        <v>30</v>
      </c>
      <c r="J17174" t="s">
        <v>162</v>
      </c>
      <c r="K17174" t="s">
        <v>4581</v>
      </c>
      <c r="N17174" t="s">
        <v>87821</v>
      </c>
      <c r="Q17174">
        <v>0</v>
      </c>
      <c r="R17174">
        <v>113</v>
      </c>
      <c r="S17174">
        <v>0</v>
      </c>
      <c r="T17174" t="s">
        <v>87822</v>
      </c>
    </row>
    <row r="17175" spans="1:20" customFormat="1" ht="15" x14ac:dyDescent="0.25">
      <c r="A17175" t="s">
        <v>24</v>
      </c>
      <c r="B17175" t="s">
        <v>54091</v>
      </c>
      <c r="C17175" t="str">
        <f>"A0069002"</f>
        <v>A0069002</v>
      </c>
      <c r="D17175" t="s">
        <v>87823</v>
      </c>
      <c r="E17175" t="s">
        <v>87824</v>
      </c>
      <c r="F17175" t="s">
        <v>326</v>
      </c>
      <c r="G17175" t="s">
        <v>123</v>
      </c>
      <c r="H17175">
        <v>20705</v>
      </c>
      <c r="I17175" t="s">
        <v>30</v>
      </c>
      <c r="J17175" t="s">
        <v>162</v>
      </c>
      <c r="K17175" t="s">
        <v>4581</v>
      </c>
      <c r="Q17175">
        <v>0</v>
      </c>
      <c r="R17175">
        <v>207</v>
      </c>
      <c r="S17175">
        <v>0</v>
      </c>
      <c r="T17175" t="s">
        <v>87825</v>
      </c>
    </row>
    <row r="17176" spans="1:20" customFormat="1" ht="15" x14ac:dyDescent="0.25">
      <c r="A17176" t="s">
        <v>24</v>
      </c>
      <c r="B17176" t="s">
        <v>799</v>
      </c>
      <c r="C17176" t="str">
        <f>"A0064593"</f>
        <v>A0064593</v>
      </c>
      <c r="D17176" t="s">
        <v>87826</v>
      </c>
      <c r="E17176" t="s">
        <v>87827</v>
      </c>
      <c r="F17176" t="s">
        <v>58702</v>
      </c>
      <c r="G17176" t="s">
        <v>85</v>
      </c>
      <c r="H17176">
        <v>72901</v>
      </c>
      <c r="I17176" t="s">
        <v>30</v>
      </c>
      <c r="J17176" t="s">
        <v>162</v>
      </c>
      <c r="K17176" t="s">
        <v>4581</v>
      </c>
      <c r="N17176" t="s">
        <v>87828</v>
      </c>
      <c r="Q17176">
        <v>0</v>
      </c>
      <c r="R17176">
        <v>255</v>
      </c>
      <c r="S17176">
        <v>0</v>
      </c>
      <c r="T17176" t="s">
        <v>87829</v>
      </c>
    </row>
    <row r="17177" spans="1:20" customFormat="1" ht="15" x14ac:dyDescent="0.25">
      <c r="A17177" t="s">
        <v>24</v>
      </c>
      <c r="B17177" t="s">
        <v>56277</v>
      </c>
      <c r="C17177" t="str">
        <f>"71F07"</f>
        <v>71F07</v>
      </c>
      <c r="D17177" t="s">
        <v>87843</v>
      </c>
      <c r="E17177" t="s">
        <v>87844</v>
      </c>
      <c r="F17177" t="s">
        <v>866</v>
      </c>
      <c r="G17177" t="s">
        <v>40</v>
      </c>
      <c r="H17177">
        <v>73102</v>
      </c>
      <c r="I17177" t="s">
        <v>30</v>
      </c>
      <c r="J17177" t="s">
        <v>162</v>
      </c>
      <c r="K17177" t="s">
        <v>15079</v>
      </c>
      <c r="N17177" t="s">
        <v>87845</v>
      </c>
      <c r="Q17177">
        <v>0</v>
      </c>
      <c r="R17177">
        <v>311</v>
      </c>
      <c r="S17177">
        <v>0</v>
      </c>
      <c r="T17177" t="s">
        <v>87846</v>
      </c>
    </row>
    <row r="17178" spans="1:20" customFormat="1" ht="15" x14ac:dyDescent="0.25">
      <c r="A17178" t="s">
        <v>24</v>
      </c>
      <c r="B17178" t="s">
        <v>64821</v>
      </c>
      <c r="C17178" t="str">
        <f>"A0095454"</f>
        <v>A0095454</v>
      </c>
      <c r="D17178" t="s">
        <v>87847</v>
      </c>
      <c r="E17178" t="s">
        <v>87848</v>
      </c>
      <c r="F17178" t="s">
        <v>33082</v>
      </c>
      <c r="G17178" t="s">
        <v>381</v>
      </c>
      <c r="H17178">
        <v>46060</v>
      </c>
      <c r="I17178" t="s">
        <v>30</v>
      </c>
      <c r="J17178" t="s">
        <v>162</v>
      </c>
      <c r="K17178" t="s">
        <v>4581</v>
      </c>
      <c r="N17178" t="s">
        <v>87849</v>
      </c>
      <c r="Q17178">
        <v>0</v>
      </c>
      <c r="R17178">
        <v>132</v>
      </c>
      <c r="S17178">
        <v>0</v>
      </c>
      <c r="T17178" t="s">
        <v>87850</v>
      </c>
    </row>
    <row r="17179" spans="1:20" customFormat="1" ht="15" x14ac:dyDescent="0.25">
      <c r="A17179" t="s">
        <v>24</v>
      </c>
      <c r="B17179" t="s">
        <v>75738</v>
      </c>
      <c r="C17179" t="str">
        <f>"A0077439"</f>
        <v>A0077439</v>
      </c>
      <c r="D17179" t="s">
        <v>87851</v>
      </c>
      <c r="E17179" t="s">
        <v>87852</v>
      </c>
      <c r="F17179" t="s">
        <v>1755</v>
      </c>
      <c r="G17179" t="s">
        <v>289</v>
      </c>
      <c r="H17179">
        <v>62701</v>
      </c>
      <c r="I17179" t="s">
        <v>30</v>
      </c>
      <c r="J17179" t="s">
        <v>162</v>
      </c>
      <c r="K17179" t="s">
        <v>4581</v>
      </c>
      <c r="Q17179">
        <v>0</v>
      </c>
      <c r="R17179">
        <v>369</v>
      </c>
      <c r="S17179">
        <v>0</v>
      </c>
      <c r="T17179" t="s">
        <v>87853</v>
      </c>
    </row>
    <row r="17180" spans="1:20" customFormat="1" ht="15" x14ac:dyDescent="0.25">
      <c r="A17180" t="s">
        <v>24</v>
      </c>
      <c r="B17180" t="s">
        <v>59423</v>
      </c>
      <c r="C17180" t="str">
        <f>"A0063025"</f>
        <v>A0063025</v>
      </c>
      <c r="D17180" t="s">
        <v>87854</v>
      </c>
      <c r="E17180" t="s">
        <v>87855</v>
      </c>
      <c r="F17180" t="s">
        <v>7579</v>
      </c>
      <c r="G17180" t="s">
        <v>40</v>
      </c>
      <c r="H17180">
        <v>74146</v>
      </c>
      <c r="I17180" t="s">
        <v>30</v>
      </c>
      <c r="J17180" t="s">
        <v>162</v>
      </c>
      <c r="K17180" t="s">
        <v>4581</v>
      </c>
      <c r="N17180" t="s">
        <v>87856</v>
      </c>
      <c r="Q17180">
        <v>0</v>
      </c>
      <c r="R17180">
        <v>325</v>
      </c>
      <c r="S17180">
        <v>0</v>
      </c>
      <c r="T17180" t="s">
        <v>87857</v>
      </c>
    </row>
    <row r="17181" spans="1:20" customFormat="1" ht="15" x14ac:dyDescent="0.25">
      <c r="A17181" t="s">
        <v>24</v>
      </c>
      <c r="B17181" t="s">
        <v>64821</v>
      </c>
      <c r="C17181" t="str">
        <f>"A0099627"</f>
        <v>A0099627</v>
      </c>
      <c r="D17181" t="s">
        <v>87858</v>
      </c>
      <c r="E17181" t="s">
        <v>87859</v>
      </c>
      <c r="F17181" t="s">
        <v>87860</v>
      </c>
      <c r="G17181" t="s">
        <v>381</v>
      </c>
      <c r="H17181">
        <v>46074</v>
      </c>
      <c r="I17181" t="s">
        <v>30</v>
      </c>
      <c r="J17181" t="s">
        <v>162</v>
      </c>
      <c r="K17181" t="s">
        <v>4581</v>
      </c>
      <c r="N17181" t="s">
        <v>87861</v>
      </c>
      <c r="Q17181">
        <v>0</v>
      </c>
      <c r="R17181">
        <v>152</v>
      </c>
      <c r="S17181">
        <v>0</v>
      </c>
      <c r="T17181" t="s">
        <v>87862</v>
      </c>
    </row>
    <row r="17182" spans="1:20" customFormat="1" ht="15" x14ac:dyDescent="0.25">
      <c r="A17182" t="s">
        <v>24</v>
      </c>
      <c r="B17182" t="s">
        <v>63096</v>
      </c>
      <c r="C17182" t="str">
        <f>"A0063174"</f>
        <v>A0063174</v>
      </c>
      <c r="D17182" t="s">
        <v>87863</v>
      </c>
      <c r="E17182" t="s">
        <v>87864</v>
      </c>
      <c r="F17182" t="s">
        <v>74359</v>
      </c>
      <c r="G17182" t="s">
        <v>52</v>
      </c>
      <c r="H17182">
        <v>78028</v>
      </c>
      <c r="I17182" t="s">
        <v>30</v>
      </c>
      <c r="J17182" t="s">
        <v>162</v>
      </c>
      <c r="K17182" t="s">
        <v>163</v>
      </c>
      <c r="N17182" t="s">
        <v>87865</v>
      </c>
      <c r="Q17182">
        <v>0</v>
      </c>
      <c r="R17182">
        <v>190</v>
      </c>
      <c r="S17182">
        <v>0</v>
      </c>
      <c r="T17182" t="s">
        <v>87866</v>
      </c>
    </row>
    <row r="17183" spans="1:20" customFormat="1" ht="15" x14ac:dyDescent="0.25">
      <c r="A17183" t="s">
        <v>24</v>
      </c>
      <c r="B17183" t="s">
        <v>9843</v>
      </c>
      <c r="C17183" t="str">
        <f>"A0090567"</f>
        <v>A0090567</v>
      </c>
      <c r="D17183" t="s">
        <v>87879</v>
      </c>
      <c r="E17183" t="s">
        <v>62369</v>
      </c>
      <c r="F17183" t="s">
        <v>2983</v>
      </c>
      <c r="G17183" t="s">
        <v>81</v>
      </c>
      <c r="H17183">
        <v>32746</v>
      </c>
      <c r="I17183" t="s">
        <v>30</v>
      </c>
      <c r="J17183" t="s">
        <v>162</v>
      </c>
      <c r="K17183" t="s">
        <v>822</v>
      </c>
      <c r="N17183" t="s">
        <v>87880</v>
      </c>
      <c r="Q17183">
        <v>0</v>
      </c>
      <c r="R17183">
        <v>252</v>
      </c>
      <c r="S17183">
        <v>0</v>
      </c>
      <c r="T17183" t="s">
        <v>87881</v>
      </c>
    </row>
    <row r="17184" spans="1:20" customFormat="1" ht="15" hidden="1" x14ac:dyDescent="0.25">
      <c r="A17184" t="s">
        <v>24</v>
      </c>
      <c r="B17184" t="s">
        <v>675</v>
      </c>
      <c r="C17184" t="str">
        <f>"A0091406"</f>
        <v>A0091406</v>
      </c>
      <c r="D17184" t="s">
        <v>61741</v>
      </c>
      <c r="E17184" t="s">
        <v>61742</v>
      </c>
      <c r="F17184" t="s">
        <v>61743</v>
      </c>
      <c r="G17184" t="s">
        <v>6356</v>
      </c>
      <c r="H17184">
        <v>20109</v>
      </c>
      <c r="I17184" t="s">
        <v>4803</v>
      </c>
      <c r="J17184" t="s">
        <v>171</v>
      </c>
      <c r="K17184" t="s">
        <v>973</v>
      </c>
      <c r="N17184" t="s">
        <v>61744</v>
      </c>
      <c r="Q17184">
        <v>0</v>
      </c>
      <c r="R17184">
        <v>127</v>
      </c>
      <c r="S17184">
        <v>0</v>
      </c>
      <c r="T17184" t="s">
        <v>61745</v>
      </c>
    </row>
    <row r="17185" spans="1:25" customFormat="1" ht="15" hidden="1" x14ac:dyDescent="0.25">
      <c r="A17185" t="s">
        <v>24</v>
      </c>
      <c r="B17185" t="s">
        <v>675</v>
      </c>
      <c r="C17185" t="str">
        <f>"10328"</f>
        <v>10328</v>
      </c>
      <c r="D17185" t="s">
        <v>61746</v>
      </c>
      <c r="E17185" t="s">
        <v>61747</v>
      </c>
      <c r="F17185" t="s">
        <v>4802</v>
      </c>
      <c r="G17185" t="s">
        <v>6356</v>
      </c>
      <c r="H17185">
        <v>10203</v>
      </c>
      <c r="I17185" t="s">
        <v>4803</v>
      </c>
      <c r="J17185" t="s">
        <v>171</v>
      </c>
      <c r="K17185" t="s">
        <v>973</v>
      </c>
      <c r="N17185" t="s">
        <v>61748</v>
      </c>
      <c r="O17185" t="s">
        <v>61749</v>
      </c>
      <c r="Q17185">
        <v>0</v>
      </c>
      <c r="R17185">
        <v>125</v>
      </c>
      <c r="S17185">
        <v>0</v>
      </c>
      <c r="T17185" t="s">
        <v>61750</v>
      </c>
    </row>
    <row r="17186" spans="1:25" customFormat="1" ht="15" x14ac:dyDescent="0.25">
      <c r="A17186" t="s">
        <v>24</v>
      </c>
      <c r="B17186" t="s">
        <v>4400</v>
      </c>
      <c r="C17186" t="str">
        <f>"A0166058"</f>
        <v>A0166058</v>
      </c>
      <c r="D17186" t="s">
        <v>87894</v>
      </c>
      <c r="E17186" t="s">
        <v>87895</v>
      </c>
      <c r="F17186" t="s">
        <v>68101</v>
      </c>
      <c r="G17186" t="s">
        <v>289</v>
      </c>
      <c r="H17186">
        <v>60201</v>
      </c>
      <c r="I17186" t="s">
        <v>30</v>
      </c>
      <c r="J17186" t="s">
        <v>162</v>
      </c>
      <c r="K17186" t="s">
        <v>33433</v>
      </c>
      <c r="N17186" t="s">
        <v>74833</v>
      </c>
      <c r="Q17186">
        <v>0</v>
      </c>
      <c r="R17186">
        <v>119</v>
      </c>
      <c r="S17186">
        <v>0</v>
      </c>
      <c r="T17186" t="s">
        <v>192</v>
      </c>
    </row>
    <row r="17187" spans="1:25" customFormat="1" ht="15" x14ac:dyDescent="0.25">
      <c r="A17187" t="s">
        <v>24</v>
      </c>
      <c r="B17187" t="s">
        <v>799</v>
      </c>
      <c r="C17187" t="str">
        <f>"A0164615"</f>
        <v>A0164615</v>
      </c>
      <c r="D17187" t="s">
        <v>87896</v>
      </c>
      <c r="E17187" t="s">
        <v>87897</v>
      </c>
      <c r="F17187" t="s">
        <v>87898</v>
      </c>
      <c r="G17187" t="s">
        <v>2450</v>
      </c>
      <c r="H17187">
        <v>4901</v>
      </c>
      <c r="I17187" t="s">
        <v>30</v>
      </c>
      <c r="J17187" t="s">
        <v>162</v>
      </c>
      <c r="K17187" t="s">
        <v>163</v>
      </c>
      <c r="N17187" t="s">
        <v>87899</v>
      </c>
      <c r="Q17187">
        <v>0</v>
      </c>
      <c r="R17187">
        <v>53</v>
      </c>
      <c r="S17187">
        <v>0</v>
      </c>
      <c r="T17187" t="s">
        <v>53899</v>
      </c>
    </row>
    <row r="17188" spans="1:25" customFormat="1" x14ac:dyDescent="0.25">
      <c r="A17188" s="4" t="s">
        <v>24</v>
      </c>
      <c r="B17188" s="4" t="s">
        <v>193</v>
      </c>
      <c r="C17188" s="4" t="str">
        <f>"A0189334"</f>
        <v>A0189334</v>
      </c>
      <c r="D17188" s="4" t="s">
        <v>5704</v>
      </c>
      <c r="E17188" s="4" t="s">
        <v>5705</v>
      </c>
      <c r="F17188" s="4" t="s">
        <v>5706</v>
      </c>
      <c r="G17188" s="4" t="s">
        <v>1706</v>
      </c>
      <c r="H17188" s="4">
        <v>35203</v>
      </c>
      <c r="I17188" s="4" t="s">
        <v>30</v>
      </c>
      <c r="J17188" s="4" t="s">
        <v>206</v>
      </c>
      <c r="K17188" s="4" t="s">
        <v>5707</v>
      </c>
      <c r="L17188" s="4"/>
      <c r="M17188" s="4"/>
      <c r="N17188" s="4" t="s">
        <v>5708</v>
      </c>
      <c r="O17188" s="4" t="s">
        <v>5709</v>
      </c>
      <c r="P17188" s="4"/>
      <c r="Q17188" s="4">
        <v>0</v>
      </c>
      <c r="R17188" s="4">
        <v>120</v>
      </c>
      <c r="S17188" s="4">
        <v>0</v>
      </c>
      <c r="T17188" s="4" t="s">
        <v>5710</v>
      </c>
      <c r="U17188" s="4"/>
      <c r="V17188" s="4"/>
      <c r="W17188" s="4"/>
      <c r="X17188" s="4"/>
      <c r="Y17188" s="4"/>
    </row>
    <row r="17189" spans="1:25" customFormat="1" x14ac:dyDescent="0.25">
      <c r="A17189" s="4" t="s">
        <v>24</v>
      </c>
      <c r="B17189" s="4" t="s">
        <v>850</v>
      </c>
      <c r="C17189" s="4" t="str">
        <f>"A0152780"</f>
        <v>A0152780</v>
      </c>
      <c r="D17189" s="4" t="s">
        <v>35817</v>
      </c>
      <c r="E17189" s="4" t="s">
        <v>35818</v>
      </c>
      <c r="F17189" s="4" t="s">
        <v>802</v>
      </c>
      <c r="G17189" s="4" t="s">
        <v>1706</v>
      </c>
      <c r="H17189" s="4">
        <v>35209</v>
      </c>
      <c r="I17189" s="4" t="s">
        <v>30</v>
      </c>
      <c r="J17189" s="4" t="s">
        <v>206</v>
      </c>
      <c r="K17189" s="4" t="s">
        <v>5707</v>
      </c>
      <c r="L17189" s="4"/>
      <c r="M17189" s="4"/>
      <c r="N17189" s="4" t="s">
        <v>35819</v>
      </c>
      <c r="O17189" s="4" t="s">
        <v>35820</v>
      </c>
      <c r="P17189" s="4"/>
      <c r="Q17189" s="4">
        <v>0</v>
      </c>
      <c r="R17189" s="4">
        <v>125</v>
      </c>
      <c r="S17189" s="4">
        <v>0</v>
      </c>
      <c r="T17189" s="4" t="s">
        <v>35821</v>
      </c>
      <c r="U17189" s="4"/>
      <c r="V17189" s="4"/>
      <c r="W17189" s="4"/>
      <c r="X17189" s="4"/>
      <c r="Y17189" s="4"/>
    </row>
    <row r="17190" spans="1:25" customFormat="1" x14ac:dyDescent="0.25">
      <c r="A17190" s="4" t="s">
        <v>24</v>
      </c>
      <c r="B17190" s="4" t="s">
        <v>850</v>
      </c>
      <c r="C17190" s="4" t="str">
        <f>"A0151436"</f>
        <v>A0151436</v>
      </c>
      <c r="D17190" s="4" t="s">
        <v>54579</v>
      </c>
      <c r="E17190" s="4" t="s">
        <v>54580</v>
      </c>
      <c r="F17190" s="4" t="s">
        <v>3545</v>
      </c>
      <c r="G17190" s="4" t="s">
        <v>1706</v>
      </c>
      <c r="H17190" s="4">
        <v>35801</v>
      </c>
      <c r="I17190" s="4" t="s">
        <v>30</v>
      </c>
      <c r="J17190" s="4" t="s">
        <v>206</v>
      </c>
      <c r="K17190" s="4" t="s">
        <v>5707</v>
      </c>
      <c r="L17190" s="4"/>
      <c r="M17190" s="4"/>
      <c r="N17190" s="4"/>
      <c r="O17190" s="4"/>
      <c r="P17190" s="4"/>
      <c r="Q17190" s="4">
        <v>0</v>
      </c>
      <c r="R17190" s="4">
        <v>125</v>
      </c>
      <c r="S17190" s="4">
        <v>0</v>
      </c>
      <c r="T17190" s="4" t="s">
        <v>54581</v>
      </c>
      <c r="U17190" s="4"/>
      <c r="V17190" s="4"/>
      <c r="W17190" s="4"/>
      <c r="X17190" s="4"/>
      <c r="Y17190" s="4"/>
    </row>
    <row r="17191" spans="1:25" customFormat="1" x14ac:dyDescent="0.25">
      <c r="A17191" s="4" t="s">
        <v>24</v>
      </c>
      <c r="B17191" s="4" t="s">
        <v>8742</v>
      </c>
      <c r="C17191" s="4" t="str">
        <f>"A0097023"</f>
        <v>A0097023</v>
      </c>
      <c r="D17191" s="4" t="s">
        <v>63795</v>
      </c>
      <c r="E17191" s="4" t="s">
        <v>63796</v>
      </c>
      <c r="F17191" s="4" t="s">
        <v>5706</v>
      </c>
      <c r="G17191" s="4" t="s">
        <v>1706</v>
      </c>
      <c r="H17191" s="4">
        <v>35203</v>
      </c>
      <c r="I17191" s="4" t="s">
        <v>30</v>
      </c>
      <c r="J17191" s="4" t="s">
        <v>206</v>
      </c>
      <c r="K17191" s="4" t="s">
        <v>6459</v>
      </c>
      <c r="L17191" s="4"/>
      <c r="M17191" s="4"/>
      <c r="N17191" s="4"/>
      <c r="O17191" s="4"/>
      <c r="P17191" s="4"/>
      <c r="Q17191" s="4">
        <v>0</v>
      </c>
      <c r="R17191" s="4">
        <v>117</v>
      </c>
      <c r="S17191" s="4">
        <v>0</v>
      </c>
      <c r="T17191" s="4" t="s">
        <v>63797</v>
      </c>
      <c r="U17191" s="4"/>
      <c r="V17191" s="4"/>
      <c r="W17191" s="4"/>
      <c r="X17191" s="4"/>
      <c r="Y17191" s="4"/>
    </row>
    <row r="17192" spans="1:25" customFormat="1" x14ac:dyDescent="0.25">
      <c r="A17192" s="4" t="s">
        <v>24</v>
      </c>
      <c r="B17192" s="4" t="s">
        <v>799</v>
      </c>
      <c r="C17192" s="4" t="str">
        <f>"A0072476"</f>
        <v>A0072476</v>
      </c>
      <c r="D17192" s="4" t="s">
        <v>83794</v>
      </c>
      <c r="E17192" s="4" t="s">
        <v>83795</v>
      </c>
      <c r="F17192" s="4" t="s">
        <v>53883</v>
      </c>
      <c r="G17192" s="4" t="s">
        <v>1706</v>
      </c>
      <c r="H17192" s="4">
        <v>36602</v>
      </c>
      <c r="I17192" s="4" t="s">
        <v>30</v>
      </c>
      <c r="J17192" s="4" t="s">
        <v>206</v>
      </c>
      <c r="K17192" s="4" t="s">
        <v>5707</v>
      </c>
      <c r="L17192" s="4"/>
      <c r="M17192" s="4"/>
      <c r="N17192" s="4" t="s">
        <v>83796</v>
      </c>
      <c r="O17192" s="4" t="s">
        <v>53990</v>
      </c>
      <c r="P17192" s="4"/>
      <c r="Q17192" s="4">
        <v>0</v>
      </c>
      <c r="R17192" s="4">
        <v>156</v>
      </c>
      <c r="S17192" s="4">
        <v>0</v>
      </c>
      <c r="T17192" s="4" t="s">
        <v>83797</v>
      </c>
      <c r="U17192" s="4"/>
      <c r="V17192" s="4"/>
      <c r="W17192" s="4"/>
      <c r="X17192" s="4"/>
      <c r="Y17192" s="4"/>
    </row>
    <row r="17193" spans="1:25" customFormat="1" x14ac:dyDescent="0.25">
      <c r="A17193" s="4" t="s">
        <v>24</v>
      </c>
      <c r="B17193" s="4" t="s">
        <v>56330</v>
      </c>
      <c r="C17193" s="4" t="str">
        <f>"34175"</f>
        <v>34175</v>
      </c>
      <c r="D17193" s="4" t="s">
        <v>84423</v>
      </c>
      <c r="E17193" s="4" t="s">
        <v>84424</v>
      </c>
      <c r="F17193" s="4" t="s">
        <v>84425</v>
      </c>
      <c r="G17193" s="4" t="s">
        <v>1706</v>
      </c>
      <c r="H17193" s="4">
        <v>36564</v>
      </c>
      <c r="I17193" s="4" t="s">
        <v>30</v>
      </c>
      <c r="J17193" s="4" t="s">
        <v>206</v>
      </c>
      <c r="K17193" s="4" t="s">
        <v>6459</v>
      </c>
      <c r="L17193" s="4"/>
      <c r="M17193" s="4"/>
      <c r="N17193" s="4" t="s">
        <v>84426</v>
      </c>
      <c r="O17193" s="4" t="s">
        <v>84427</v>
      </c>
      <c r="P17193" s="4" t="s">
        <v>3998</v>
      </c>
      <c r="Q17193" s="4">
        <v>0</v>
      </c>
      <c r="R17193" s="4">
        <v>405</v>
      </c>
      <c r="S17193" s="4">
        <v>0</v>
      </c>
      <c r="T17193" s="4" t="s">
        <v>84428</v>
      </c>
      <c r="U17193" s="4"/>
      <c r="V17193" s="4"/>
      <c r="W17193" s="4"/>
      <c r="X17193" s="4"/>
      <c r="Y17193" s="4"/>
    </row>
    <row r="17194" spans="1:25" customFormat="1" x14ac:dyDescent="0.25">
      <c r="A17194" s="4" t="s">
        <v>24</v>
      </c>
      <c r="B17194" s="4" t="s">
        <v>55042</v>
      </c>
      <c r="C17194" s="4" t="str">
        <f>"A0165089"</f>
        <v>A0165089</v>
      </c>
      <c r="D17194" s="4" t="s">
        <v>55043</v>
      </c>
      <c r="E17194" s="4" t="s">
        <v>55044</v>
      </c>
      <c r="F17194" s="4" t="s">
        <v>55045</v>
      </c>
      <c r="G17194" s="4" t="s">
        <v>197</v>
      </c>
      <c r="H17194" s="4">
        <v>85377</v>
      </c>
      <c r="I17194" s="4" t="s">
        <v>30</v>
      </c>
      <c r="J17194" s="4" t="s">
        <v>206</v>
      </c>
      <c r="K17194" s="4" t="s">
        <v>163</v>
      </c>
      <c r="L17194" s="4"/>
      <c r="M17194" s="4"/>
      <c r="N17194" s="4" t="s">
        <v>55046</v>
      </c>
      <c r="O17194" s="4" t="s">
        <v>55047</v>
      </c>
      <c r="P17194" s="4"/>
      <c r="Q17194" s="4">
        <v>0</v>
      </c>
      <c r="R17194" s="4">
        <v>184</v>
      </c>
      <c r="S17194" s="4">
        <v>0</v>
      </c>
      <c r="T17194" s="4" t="s">
        <v>55048</v>
      </c>
      <c r="U17194" s="4"/>
      <c r="V17194" s="4"/>
      <c r="W17194" s="4"/>
      <c r="X17194" s="4"/>
      <c r="Y17194" s="4"/>
    </row>
    <row r="17195" spans="1:25" customFormat="1" x14ac:dyDescent="0.25">
      <c r="A17195" s="4" t="s">
        <v>24</v>
      </c>
      <c r="B17195" s="4" t="s">
        <v>1583</v>
      </c>
      <c r="C17195" s="4" t="str">
        <f>"A0145900"</f>
        <v>A0145900</v>
      </c>
      <c r="D17195" s="4" t="s">
        <v>55645</v>
      </c>
      <c r="E17195" s="4" t="s">
        <v>55646</v>
      </c>
      <c r="F17195" s="4" t="s">
        <v>2014</v>
      </c>
      <c r="G17195" s="4" t="s">
        <v>197</v>
      </c>
      <c r="H17195" s="4">
        <v>85268</v>
      </c>
      <c r="I17195" s="4" t="s">
        <v>30</v>
      </c>
      <c r="J17195" s="4" t="s">
        <v>206</v>
      </c>
      <c r="K17195" s="4" t="s">
        <v>6459</v>
      </c>
      <c r="L17195" s="4"/>
      <c r="M17195" s="4"/>
      <c r="N17195" s="4" t="s">
        <v>55647</v>
      </c>
      <c r="O17195" s="4" t="s">
        <v>55648</v>
      </c>
      <c r="P17195" s="4"/>
      <c r="Q17195" s="4">
        <v>0</v>
      </c>
      <c r="R17195" s="4">
        <v>34</v>
      </c>
      <c r="S17195" s="4">
        <v>0</v>
      </c>
      <c r="T17195" s="4" t="s">
        <v>55649</v>
      </c>
      <c r="U17195" s="4"/>
      <c r="V17195" s="4"/>
      <c r="W17195" s="4"/>
      <c r="X17195" s="4"/>
      <c r="Y17195" s="4"/>
    </row>
    <row r="17196" spans="1:25" customFormat="1" x14ac:dyDescent="0.25">
      <c r="A17196" s="4" t="s">
        <v>24</v>
      </c>
      <c r="B17196" s="4" t="s">
        <v>54343</v>
      </c>
      <c r="C17196" s="4" t="str">
        <f>"A0054766"</f>
        <v>A0054766</v>
      </c>
      <c r="D17196" s="4" t="s">
        <v>57717</v>
      </c>
      <c r="E17196" s="4" t="s">
        <v>57718</v>
      </c>
      <c r="F17196" s="4" t="s">
        <v>7734</v>
      </c>
      <c r="G17196" s="4" t="s">
        <v>197</v>
      </c>
      <c r="H17196" s="4">
        <v>85750</v>
      </c>
      <c r="I17196" s="4" t="s">
        <v>30</v>
      </c>
      <c r="J17196" s="4" t="s">
        <v>206</v>
      </c>
      <c r="K17196" s="4" t="s">
        <v>163</v>
      </c>
      <c r="L17196" s="4"/>
      <c r="M17196" s="4"/>
      <c r="N17196" s="4" t="s">
        <v>57719</v>
      </c>
      <c r="O17196" s="4" t="s">
        <v>57720</v>
      </c>
      <c r="P17196" s="4"/>
      <c r="Q17196" s="4">
        <v>0</v>
      </c>
      <c r="R17196" s="4">
        <v>190</v>
      </c>
      <c r="S17196" s="4">
        <v>0</v>
      </c>
      <c r="T17196" s="4" t="s">
        <v>57721</v>
      </c>
      <c r="U17196" s="4"/>
      <c r="V17196" s="4"/>
      <c r="W17196" s="4"/>
      <c r="X17196" s="4"/>
      <c r="Y17196" s="4"/>
    </row>
    <row r="17197" spans="1:25" customFormat="1" x14ac:dyDescent="0.25">
      <c r="A17197" s="4" t="s">
        <v>24</v>
      </c>
      <c r="B17197" s="4" t="s">
        <v>2011</v>
      </c>
      <c r="C17197" s="4" t="str">
        <f>"A0064405"</f>
        <v>A0064405</v>
      </c>
      <c r="D17197" s="4" t="s">
        <v>76355</v>
      </c>
      <c r="E17197" s="4" t="s">
        <v>76356</v>
      </c>
      <c r="F17197" s="4" t="s">
        <v>76357</v>
      </c>
      <c r="G17197" s="4" t="s">
        <v>197</v>
      </c>
      <c r="H17197" s="4">
        <v>85739</v>
      </c>
      <c r="I17197" s="4" t="s">
        <v>30</v>
      </c>
      <c r="J17197" s="4" t="s">
        <v>206</v>
      </c>
      <c r="K17197" s="4" t="s">
        <v>76358</v>
      </c>
      <c r="L17197" s="4"/>
      <c r="M17197" s="4"/>
      <c r="N17197" s="4" t="s">
        <v>76359</v>
      </c>
      <c r="O17197" s="4" t="s">
        <v>76360</v>
      </c>
      <c r="P17197" s="4"/>
      <c r="Q17197" s="4">
        <v>0</v>
      </c>
      <c r="R17197" s="4">
        <v>118</v>
      </c>
      <c r="S17197" s="4">
        <v>0</v>
      </c>
      <c r="T17197" s="4" t="s">
        <v>76361</v>
      </c>
      <c r="U17197" s="4"/>
      <c r="V17197" s="4"/>
      <c r="W17197" s="4"/>
      <c r="X17197" s="4"/>
      <c r="Y17197" s="4"/>
    </row>
    <row r="17198" spans="1:25" customFormat="1" x14ac:dyDescent="0.25">
      <c r="A17198" s="4" t="s">
        <v>24</v>
      </c>
      <c r="B17198" s="4" t="s">
        <v>2011</v>
      </c>
      <c r="C17198" s="4" t="str">
        <f>"A0062399"</f>
        <v>A0062399</v>
      </c>
      <c r="D17198" s="4" t="s">
        <v>80385</v>
      </c>
      <c r="E17198" s="4" t="s">
        <v>80386</v>
      </c>
      <c r="F17198" s="4" t="s">
        <v>10187</v>
      </c>
      <c r="G17198" s="4" t="s">
        <v>197</v>
      </c>
      <c r="H17198" s="4">
        <v>85018</v>
      </c>
      <c r="I17198" s="4" t="s">
        <v>30</v>
      </c>
      <c r="J17198" s="4" t="s">
        <v>206</v>
      </c>
      <c r="K17198" s="4" t="s">
        <v>13297</v>
      </c>
      <c r="L17198" s="4"/>
      <c r="M17198" s="4"/>
      <c r="N17198" s="4" t="s">
        <v>80387</v>
      </c>
      <c r="O17198" s="4" t="s">
        <v>80388</v>
      </c>
      <c r="P17198" s="4"/>
      <c r="Q17198" s="4">
        <v>0</v>
      </c>
      <c r="R17198" s="4">
        <v>117</v>
      </c>
      <c r="S17198" s="4">
        <v>0</v>
      </c>
      <c r="T17198" s="4" t="s">
        <v>80389</v>
      </c>
      <c r="U17198" s="4"/>
      <c r="V17198" s="4"/>
      <c r="W17198" s="4"/>
      <c r="X17198" s="4"/>
      <c r="Y17198" s="4"/>
    </row>
    <row r="17199" spans="1:25" customFormat="1" x14ac:dyDescent="0.25">
      <c r="A17199" s="4" t="s">
        <v>24</v>
      </c>
      <c r="B17199" s="4" t="s">
        <v>814</v>
      </c>
      <c r="C17199" s="4" t="str">
        <f>"73R07"</f>
        <v>73R07</v>
      </c>
      <c r="D17199" s="4" t="s">
        <v>83971</v>
      </c>
      <c r="E17199" s="4" t="s">
        <v>83972</v>
      </c>
      <c r="F17199" s="4" t="s">
        <v>196</v>
      </c>
      <c r="G17199" s="4" t="s">
        <v>197</v>
      </c>
      <c r="H17199" s="4">
        <v>85016</v>
      </c>
      <c r="I17199" s="4" t="s">
        <v>30</v>
      </c>
      <c r="J17199" s="4" t="s">
        <v>206</v>
      </c>
      <c r="K17199" s="4" t="s">
        <v>6459</v>
      </c>
      <c r="L17199" s="4"/>
      <c r="M17199" s="4"/>
      <c r="N17199" s="4" t="s">
        <v>83973</v>
      </c>
      <c r="O17199" s="4" t="s">
        <v>83974</v>
      </c>
      <c r="P17199" s="4"/>
      <c r="Q17199" s="4">
        <v>0</v>
      </c>
      <c r="R17199" s="4">
        <v>277</v>
      </c>
      <c r="S17199" s="4">
        <v>0</v>
      </c>
      <c r="T17199" s="4" t="s">
        <v>83975</v>
      </c>
      <c r="U17199" s="4"/>
      <c r="V17199" s="4"/>
      <c r="W17199" s="4"/>
      <c r="X17199" s="4"/>
      <c r="Y17199" s="4"/>
    </row>
    <row r="17200" spans="1:25" customFormat="1" x14ac:dyDescent="0.25">
      <c r="A17200" s="4" t="s">
        <v>24</v>
      </c>
      <c r="B17200" s="4" t="s">
        <v>675</v>
      </c>
      <c r="C17200" s="4" t="str">
        <f>"A0063642"</f>
        <v>A0063642</v>
      </c>
      <c r="D17200" s="4" t="s">
        <v>84856</v>
      </c>
      <c r="E17200" s="4" t="s">
        <v>84857</v>
      </c>
      <c r="F17200" s="4" t="s">
        <v>2014</v>
      </c>
      <c r="G17200" s="4" t="s">
        <v>197</v>
      </c>
      <c r="H17200" s="4">
        <v>85251</v>
      </c>
      <c r="I17200" s="4" t="s">
        <v>30</v>
      </c>
      <c r="J17200" s="4" t="s">
        <v>206</v>
      </c>
      <c r="K17200" s="4" t="s">
        <v>55170</v>
      </c>
      <c r="L17200" s="4"/>
      <c r="M17200" s="4"/>
      <c r="N17200" s="4" t="s">
        <v>84858</v>
      </c>
      <c r="O17200" s="4" t="s">
        <v>84859</v>
      </c>
      <c r="P17200" s="4"/>
      <c r="Q17200" s="4">
        <v>0</v>
      </c>
      <c r="R17200" s="4">
        <v>643</v>
      </c>
      <c r="S17200" s="4">
        <v>0</v>
      </c>
      <c r="T17200" s="4" t="s">
        <v>84860</v>
      </c>
      <c r="U17200" s="4"/>
      <c r="V17200" s="4"/>
      <c r="W17200" s="4"/>
      <c r="X17200" s="4"/>
      <c r="Y17200" s="4"/>
    </row>
    <row r="17201" spans="1:25" customFormat="1" x14ac:dyDescent="0.25">
      <c r="A17201" s="4" t="s">
        <v>24</v>
      </c>
      <c r="B17201" s="4" t="s">
        <v>675</v>
      </c>
      <c r="C17201" s="4" t="str">
        <f>"A0086285"</f>
        <v>A0086285</v>
      </c>
      <c r="D17201" s="4" t="s">
        <v>85084</v>
      </c>
      <c r="E17201" s="4" t="s">
        <v>85085</v>
      </c>
      <c r="F17201" s="4" t="s">
        <v>85086</v>
      </c>
      <c r="G17201" s="4" t="s">
        <v>197</v>
      </c>
      <c r="H17201" s="4">
        <v>85658</v>
      </c>
      <c r="I17201" s="4" t="s">
        <v>30</v>
      </c>
      <c r="J17201" s="4" t="s">
        <v>206</v>
      </c>
      <c r="K17201" s="4" t="s">
        <v>680</v>
      </c>
      <c r="L17201" s="4"/>
      <c r="M17201" s="4"/>
      <c r="N17201" s="4" t="s">
        <v>85087</v>
      </c>
      <c r="O17201" s="4" t="s">
        <v>85088</v>
      </c>
      <c r="P17201" s="4"/>
      <c r="Q17201" s="4">
        <v>0</v>
      </c>
      <c r="R17201" s="4">
        <v>250</v>
      </c>
      <c r="S17201" s="4">
        <v>0</v>
      </c>
      <c r="T17201" s="4" t="s">
        <v>85089</v>
      </c>
      <c r="U17201" s="4"/>
      <c r="V17201" s="4"/>
      <c r="W17201" s="4"/>
      <c r="X17201" s="4"/>
      <c r="Y17201" s="4"/>
    </row>
    <row r="17202" spans="1:25" customFormat="1" x14ac:dyDescent="0.25">
      <c r="A17202" s="4" t="s">
        <v>24</v>
      </c>
      <c r="B17202" s="4" t="s">
        <v>1849</v>
      </c>
      <c r="C17202" s="4" t="str">
        <f>"A0063643"</f>
        <v>A0063643</v>
      </c>
      <c r="D17202" s="4" t="s">
        <v>85776</v>
      </c>
      <c r="E17202" s="4" t="s">
        <v>85777</v>
      </c>
      <c r="F17202" s="4" t="s">
        <v>85778</v>
      </c>
      <c r="G17202" s="4" t="s">
        <v>197</v>
      </c>
      <c r="H17202" s="4" t="s">
        <v>85779</v>
      </c>
      <c r="I17202" s="4" t="s">
        <v>30</v>
      </c>
      <c r="J17202" s="4" t="s">
        <v>206</v>
      </c>
      <c r="K17202" s="4" t="s">
        <v>163</v>
      </c>
      <c r="L17202" s="4"/>
      <c r="M17202" s="4"/>
      <c r="N17202" s="4" t="s">
        <v>85780</v>
      </c>
      <c r="O17202" s="4" t="s">
        <v>85781</v>
      </c>
      <c r="P17202" s="4"/>
      <c r="Q17202" s="4">
        <v>3</v>
      </c>
      <c r="R17202" s="4">
        <v>331</v>
      </c>
      <c r="S17202" s="4">
        <v>0</v>
      </c>
      <c r="T17202" s="4" t="s">
        <v>85782</v>
      </c>
      <c r="U17202" s="4"/>
      <c r="V17202" s="4"/>
      <c r="W17202" s="4"/>
      <c r="X17202" s="4"/>
      <c r="Y17202" s="4"/>
    </row>
    <row r="17203" spans="1:25" customFormat="1" x14ac:dyDescent="0.25">
      <c r="A17203" s="4" t="s">
        <v>24</v>
      </c>
      <c r="B17203" s="4" t="s">
        <v>675</v>
      </c>
      <c r="C17203" s="4" t="str">
        <f>"A0096628"</f>
        <v>A0096628</v>
      </c>
      <c r="D17203" s="4" t="s">
        <v>87268</v>
      </c>
      <c r="E17203" s="4" t="s">
        <v>87269</v>
      </c>
      <c r="F17203" s="4" t="s">
        <v>2014</v>
      </c>
      <c r="G17203" s="4" t="s">
        <v>197</v>
      </c>
      <c r="H17203" s="4">
        <v>85251</v>
      </c>
      <c r="I17203" s="4" t="s">
        <v>30</v>
      </c>
      <c r="J17203" s="4" t="s">
        <v>206</v>
      </c>
      <c r="K17203" s="4" t="s">
        <v>16717</v>
      </c>
      <c r="L17203" s="4"/>
      <c r="M17203" s="4"/>
      <c r="N17203" s="4" t="s">
        <v>87270</v>
      </c>
      <c r="O17203" s="4" t="s">
        <v>87271</v>
      </c>
      <c r="P17203" s="4"/>
      <c r="Q17203" s="4">
        <v>0</v>
      </c>
      <c r="R17203" s="4">
        <v>230</v>
      </c>
      <c r="S17203" s="4">
        <v>0</v>
      </c>
      <c r="T17203" s="4" t="s">
        <v>87272</v>
      </c>
      <c r="U17203" s="4"/>
      <c r="V17203" s="4"/>
      <c r="W17203" s="4"/>
      <c r="X17203" s="4"/>
      <c r="Y17203" s="4"/>
    </row>
    <row r="17204" spans="1:25" customFormat="1" x14ac:dyDescent="0.25">
      <c r="A17204" s="4" t="s">
        <v>24</v>
      </c>
      <c r="B17204" s="4" t="s">
        <v>193</v>
      </c>
      <c r="C17204" s="4" t="str">
        <f>"A0063585"</f>
        <v>A0063585</v>
      </c>
      <c r="D17204" s="4" t="s">
        <v>202</v>
      </c>
      <c r="E17204" s="4" t="s">
        <v>203</v>
      </c>
      <c r="F17204" s="4" t="s">
        <v>204</v>
      </c>
      <c r="G17204" s="4" t="s">
        <v>110</v>
      </c>
      <c r="H17204" s="4" t="s">
        <v>205</v>
      </c>
      <c r="I17204" s="4" t="s">
        <v>30</v>
      </c>
      <c r="J17204" s="4" t="s">
        <v>206</v>
      </c>
      <c r="K17204" s="4" t="s">
        <v>163</v>
      </c>
      <c r="L17204" s="4"/>
      <c r="M17204" s="4"/>
      <c r="N17204" s="4" t="s">
        <v>207</v>
      </c>
      <c r="O17204" s="4" t="s">
        <v>208</v>
      </c>
      <c r="P17204" s="4"/>
      <c r="Q17204" s="4">
        <v>0</v>
      </c>
      <c r="R17204" s="4">
        <v>119</v>
      </c>
      <c r="S17204" s="4">
        <v>0</v>
      </c>
      <c r="T17204" s="4" t="s">
        <v>209</v>
      </c>
      <c r="U17204" s="4"/>
      <c r="V17204" s="4"/>
      <c r="W17204" s="4"/>
      <c r="X17204" s="4"/>
      <c r="Y17204" s="4"/>
    </row>
    <row r="17205" spans="1:25" customFormat="1" x14ac:dyDescent="0.25">
      <c r="A17205" s="4" t="s">
        <v>24</v>
      </c>
      <c r="B17205" s="4" t="s">
        <v>2238</v>
      </c>
      <c r="C17205" s="4" t="str">
        <f>"A0069156"</f>
        <v>A0069156</v>
      </c>
      <c r="D17205" s="4" t="s">
        <v>2239</v>
      </c>
      <c r="E17205" s="4" t="s">
        <v>2240</v>
      </c>
      <c r="F17205" s="4" t="s">
        <v>2241</v>
      </c>
      <c r="G17205" s="4" t="s">
        <v>110</v>
      </c>
      <c r="H17205" s="4">
        <v>94559</v>
      </c>
      <c r="I17205" s="4" t="s">
        <v>30</v>
      </c>
      <c r="J17205" s="4" t="s">
        <v>206</v>
      </c>
      <c r="K17205" s="4" t="s">
        <v>163</v>
      </c>
      <c r="L17205" s="4"/>
      <c r="M17205" s="4"/>
      <c r="N17205" s="4" t="s">
        <v>2242</v>
      </c>
      <c r="O17205" s="4" t="s">
        <v>2243</v>
      </c>
      <c r="P17205" s="4"/>
      <c r="Q17205" s="4">
        <v>0</v>
      </c>
      <c r="R17205" s="4">
        <v>114</v>
      </c>
      <c r="S17205" s="4">
        <v>0</v>
      </c>
      <c r="T17205" s="4" t="s">
        <v>2244</v>
      </c>
      <c r="U17205" s="4"/>
      <c r="V17205" s="4"/>
      <c r="W17205" s="4"/>
      <c r="X17205" s="4"/>
      <c r="Y17205" s="4"/>
    </row>
    <row r="17206" spans="1:25" customFormat="1" x14ac:dyDescent="0.25">
      <c r="A17206" s="4" t="s">
        <v>24</v>
      </c>
      <c r="B17206" s="4" t="s">
        <v>1583</v>
      </c>
      <c r="C17206" s="4" t="str">
        <f>"A0191964"</f>
        <v>A0191964</v>
      </c>
      <c r="D17206" s="4" t="s">
        <v>3429</v>
      </c>
      <c r="E17206" s="4" t="s">
        <v>3430</v>
      </c>
      <c r="F17206" s="4" t="s">
        <v>3431</v>
      </c>
      <c r="G17206" s="4" t="s">
        <v>110</v>
      </c>
      <c r="H17206" s="4">
        <v>92026</v>
      </c>
      <c r="I17206" s="4" t="s">
        <v>30</v>
      </c>
      <c r="J17206" s="4" t="s">
        <v>206</v>
      </c>
      <c r="K17206" s="4" t="s">
        <v>163</v>
      </c>
      <c r="L17206" s="4"/>
      <c r="M17206" s="4"/>
      <c r="N17206" s="4" t="s">
        <v>3432</v>
      </c>
      <c r="O17206" s="4"/>
      <c r="P17206" s="4"/>
      <c r="Q17206" s="4">
        <v>0</v>
      </c>
      <c r="R17206" s="4">
        <v>76</v>
      </c>
      <c r="S17206" s="4">
        <v>0</v>
      </c>
      <c r="T17206" s="4" t="s">
        <v>2023</v>
      </c>
      <c r="U17206" s="4"/>
      <c r="V17206" s="4"/>
      <c r="W17206" s="4"/>
      <c r="X17206" s="4"/>
      <c r="Y17206" s="4"/>
    </row>
    <row r="17207" spans="1:25" customFormat="1" x14ac:dyDescent="0.25">
      <c r="A17207" s="4" t="s">
        <v>24</v>
      </c>
      <c r="B17207" s="4" t="s">
        <v>1583</v>
      </c>
      <c r="C17207" s="4" t="str">
        <f>"A0191963"</f>
        <v>A0191963</v>
      </c>
      <c r="D17207" s="4" t="s">
        <v>3433</v>
      </c>
      <c r="E17207" s="4" t="s">
        <v>3434</v>
      </c>
      <c r="F17207" s="4" t="s">
        <v>3431</v>
      </c>
      <c r="G17207" s="4" t="s">
        <v>110</v>
      </c>
      <c r="H17207" s="4">
        <v>92026</v>
      </c>
      <c r="I17207" s="4" t="s">
        <v>30</v>
      </c>
      <c r="J17207" s="4" t="s">
        <v>206</v>
      </c>
      <c r="K17207" s="4" t="s">
        <v>163</v>
      </c>
      <c r="L17207" s="4"/>
      <c r="M17207" s="4"/>
      <c r="N17207" s="4" t="s">
        <v>3432</v>
      </c>
      <c r="O17207" s="4"/>
      <c r="P17207" s="4"/>
      <c r="Q17207" s="4">
        <v>0</v>
      </c>
      <c r="R17207" s="4">
        <v>146</v>
      </c>
      <c r="S17207" s="4">
        <v>0</v>
      </c>
      <c r="T17207" s="4" t="s">
        <v>2023</v>
      </c>
      <c r="U17207" s="4"/>
      <c r="V17207" s="4"/>
      <c r="W17207" s="4"/>
      <c r="X17207" s="4"/>
      <c r="Y17207" s="4"/>
    </row>
    <row r="17208" spans="1:25" customFormat="1" x14ac:dyDescent="0.25">
      <c r="A17208" s="4" t="s">
        <v>24</v>
      </c>
      <c r="B17208" s="4" t="s">
        <v>1583</v>
      </c>
      <c r="C17208" s="4" t="str">
        <f>"A0063660"</f>
        <v>A0063660</v>
      </c>
      <c r="D17208" s="4" t="s">
        <v>3435</v>
      </c>
      <c r="E17208" s="4" t="s">
        <v>3436</v>
      </c>
      <c r="F17208" s="4" t="s">
        <v>3431</v>
      </c>
      <c r="G17208" s="4" t="s">
        <v>110</v>
      </c>
      <c r="H17208" s="4">
        <v>92026</v>
      </c>
      <c r="I17208" s="4" t="s">
        <v>30</v>
      </c>
      <c r="J17208" s="4" t="s">
        <v>206</v>
      </c>
      <c r="K17208" s="4" t="s">
        <v>163</v>
      </c>
      <c r="L17208" s="4"/>
      <c r="M17208" s="4"/>
      <c r="N17208" s="4" t="s">
        <v>3432</v>
      </c>
      <c r="O17208" s="4"/>
      <c r="P17208" s="4"/>
      <c r="Q17208" s="4">
        <v>0</v>
      </c>
      <c r="R17208" s="4">
        <v>286</v>
      </c>
      <c r="S17208" s="4">
        <v>0</v>
      </c>
      <c r="T17208" s="4" t="s">
        <v>2023</v>
      </c>
      <c r="U17208" s="4"/>
      <c r="V17208" s="4"/>
      <c r="W17208" s="4"/>
      <c r="X17208" s="4"/>
      <c r="Y17208" s="4"/>
    </row>
    <row r="17209" spans="1:25" customFormat="1" x14ac:dyDescent="0.25">
      <c r="A17209" s="4" t="s">
        <v>24</v>
      </c>
      <c r="B17209" s="4" t="s">
        <v>5120</v>
      </c>
      <c r="C17209" s="4" t="str">
        <f>"A0166084"</f>
        <v>A0166084</v>
      </c>
      <c r="D17209" s="4" t="s">
        <v>5126</v>
      </c>
      <c r="E17209" s="4" t="s">
        <v>5127</v>
      </c>
      <c r="F17209" s="4" t="s">
        <v>748</v>
      </c>
      <c r="G17209" s="4" t="s">
        <v>110</v>
      </c>
      <c r="H17209" s="4">
        <v>94103</v>
      </c>
      <c r="I17209" s="4" t="s">
        <v>30</v>
      </c>
      <c r="J17209" s="4" t="s">
        <v>206</v>
      </c>
      <c r="K17209" s="4" t="s">
        <v>163</v>
      </c>
      <c r="L17209" s="4"/>
      <c r="M17209" s="4"/>
      <c r="N17209" s="4" t="s">
        <v>5128</v>
      </c>
      <c r="O17209" s="4"/>
      <c r="P17209" s="4"/>
      <c r="Q17209" s="4">
        <v>0</v>
      </c>
      <c r="R17209" s="4">
        <v>194</v>
      </c>
      <c r="S17209" s="4">
        <v>0</v>
      </c>
      <c r="T17209" s="4" t="s">
        <v>5129</v>
      </c>
      <c r="U17209" s="4"/>
      <c r="V17209" s="4"/>
      <c r="W17209" s="4"/>
      <c r="X17209" s="4"/>
      <c r="Y17209" s="4"/>
    </row>
    <row r="17210" spans="1:25" customFormat="1" x14ac:dyDescent="0.25">
      <c r="A17210" s="4" t="s">
        <v>24</v>
      </c>
      <c r="B17210" s="4" t="s">
        <v>2955</v>
      </c>
      <c r="C17210" s="4" t="str">
        <f>"A0191134"</f>
        <v>A0191134</v>
      </c>
      <c r="D17210" s="4" t="s">
        <v>5372</v>
      </c>
      <c r="E17210" s="4" t="s">
        <v>5373</v>
      </c>
      <c r="F17210" s="4" t="s">
        <v>5374</v>
      </c>
      <c r="G17210" s="4" t="s">
        <v>110</v>
      </c>
      <c r="H17210" s="4">
        <v>94301</v>
      </c>
      <c r="I17210" s="4" t="s">
        <v>30</v>
      </c>
      <c r="J17210" s="4" t="s">
        <v>206</v>
      </c>
      <c r="K17210" s="4" t="s">
        <v>163</v>
      </c>
      <c r="L17210" s="4"/>
      <c r="M17210" s="4"/>
      <c r="N17210" s="4" t="s">
        <v>5375</v>
      </c>
      <c r="O17210" s="4" t="s">
        <v>5376</v>
      </c>
      <c r="P17210" s="4"/>
      <c r="Q17210" s="4">
        <v>0</v>
      </c>
      <c r="R17210" s="4">
        <v>63</v>
      </c>
      <c r="S17210" s="4">
        <v>0</v>
      </c>
      <c r="T17210" s="4" t="s">
        <v>5377</v>
      </c>
      <c r="U17210" s="4"/>
      <c r="V17210" s="4"/>
      <c r="W17210" s="4"/>
      <c r="X17210" s="4"/>
      <c r="Y17210" s="4"/>
    </row>
    <row r="17211" spans="1:25" customFormat="1" x14ac:dyDescent="0.25">
      <c r="A17211" s="4" t="s">
        <v>24</v>
      </c>
      <c r="B17211" s="4" t="s">
        <v>5384</v>
      </c>
      <c r="C17211" s="4" t="str">
        <f>"A0191141"</f>
        <v>A0191141</v>
      </c>
      <c r="D17211" s="4" t="s">
        <v>5385</v>
      </c>
      <c r="E17211" s="4" t="s">
        <v>5386</v>
      </c>
      <c r="F17211" s="4" t="s">
        <v>2241</v>
      </c>
      <c r="G17211" s="4" t="s">
        <v>110</v>
      </c>
      <c r="H17211" s="4">
        <v>94559</v>
      </c>
      <c r="I17211" s="4" t="s">
        <v>30</v>
      </c>
      <c r="J17211" s="4" t="s">
        <v>206</v>
      </c>
      <c r="K17211" s="4" t="s">
        <v>163</v>
      </c>
      <c r="L17211" s="4"/>
      <c r="M17211" s="4"/>
      <c r="N17211" s="4" t="s">
        <v>5387</v>
      </c>
      <c r="O17211" s="4" t="s">
        <v>5388</v>
      </c>
      <c r="P17211" s="4"/>
      <c r="Q17211" s="4">
        <v>0</v>
      </c>
      <c r="R17211" s="4">
        <v>135</v>
      </c>
      <c r="S17211" s="4">
        <v>0</v>
      </c>
      <c r="T17211" s="4" t="s">
        <v>5389</v>
      </c>
      <c r="U17211" s="4"/>
      <c r="V17211" s="4"/>
      <c r="W17211" s="4"/>
      <c r="X17211" s="4"/>
      <c r="Y17211" s="4"/>
    </row>
    <row r="17212" spans="1:25" customFormat="1" x14ac:dyDescent="0.25">
      <c r="A17212" s="4" t="s">
        <v>24</v>
      </c>
      <c r="B17212" s="4" t="s">
        <v>5648</v>
      </c>
      <c r="C17212" s="4" t="str">
        <f>"A0190974"</f>
        <v>A0190974</v>
      </c>
      <c r="D17212" s="4" t="s">
        <v>5649</v>
      </c>
      <c r="E17212" s="4" t="s">
        <v>5650</v>
      </c>
      <c r="F17212" s="4" t="s">
        <v>5651</v>
      </c>
      <c r="G17212" s="4" t="s">
        <v>110</v>
      </c>
      <c r="H17212" s="4">
        <v>92802</v>
      </c>
      <c r="I17212" s="4" t="s">
        <v>30</v>
      </c>
      <c r="J17212" s="4" t="s">
        <v>206</v>
      </c>
      <c r="K17212" s="4" t="s">
        <v>163</v>
      </c>
      <c r="L17212" s="4"/>
      <c r="M17212" s="4"/>
      <c r="N17212" s="4" t="s">
        <v>5652</v>
      </c>
      <c r="O17212" s="4" t="s">
        <v>5653</v>
      </c>
      <c r="P17212" s="4"/>
      <c r="Q17212" s="4">
        <v>0</v>
      </c>
      <c r="R17212" s="4">
        <v>0</v>
      </c>
      <c r="S17212" s="4">
        <v>0</v>
      </c>
      <c r="T17212" s="4" t="s">
        <v>5654</v>
      </c>
      <c r="U17212" s="4"/>
      <c r="V17212" s="4"/>
      <c r="W17212" s="4"/>
      <c r="X17212" s="4"/>
      <c r="Y17212" s="4"/>
    </row>
    <row r="17213" spans="1:25" customFormat="1" x14ac:dyDescent="0.25">
      <c r="A17213" s="4" t="s">
        <v>24</v>
      </c>
      <c r="B17213" s="4" t="s">
        <v>7014</v>
      </c>
      <c r="C17213" s="4" t="str">
        <f>"A0100955"</f>
        <v>A0100955</v>
      </c>
      <c r="D17213" s="4" t="s">
        <v>7015</v>
      </c>
      <c r="E17213" s="4" t="s">
        <v>7016</v>
      </c>
      <c r="F17213" s="4" t="s">
        <v>748</v>
      </c>
      <c r="G17213" s="4" t="s">
        <v>110</v>
      </c>
      <c r="H17213" s="4">
        <v>94102</v>
      </c>
      <c r="I17213" s="4" t="s">
        <v>30</v>
      </c>
      <c r="J17213" s="4" t="s">
        <v>206</v>
      </c>
      <c r="K17213" s="4" t="s">
        <v>7017</v>
      </c>
      <c r="L17213" s="4"/>
      <c r="M17213" s="4"/>
      <c r="N17213" s="4" t="s">
        <v>7018</v>
      </c>
      <c r="O17213" s="4"/>
      <c r="P17213" s="4"/>
      <c r="Q17213" s="4">
        <v>0</v>
      </c>
      <c r="R17213" s="4">
        <v>131</v>
      </c>
      <c r="S17213" s="4">
        <v>0</v>
      </c>
      <c r="T17213" s="4" t="s">
        <v>7019</v>
      </c>
      <c r="U17213" s="4"/>
      <c r="V17213" s="4"/>
      <c r="W17213" s="4"/>
      <c r="X17213" s="4"/>
      <c r="Y17213" s="4"/>
    </row>
    <row r="17214" spans="1:25" customFormat="1" x14ac:dyDescent="0.25">
      <c r="A17214" s="4" t="s">
        <v>24</v>
      </c>
      <c r="B17214" s="4" t="s">
        <v>7014</v>
      </c>
      <c r="C17214" s="4" t="str">
        <f>"A0149403"</f>
        <v>A0149403</v>
      </c>
      <c r="D17214" s="4" t="s">
        <v>7020</v>
      </c>
      <c r="E17214" s="4" t="s">
        <v>7021</v>
      </c>
      <c r="F17214" s="4" t="s">
        <v>1519</v>
      </c>
      <c r="G17214" s="4" t="s">
        <v>110</v>
      </c>
      <c r="H17214" s="4">
        <v>90015</v>
      </c>
      <c r="I17214" s="4" t="s">
        <v>30</v>
      </c>
      <c r="J17214" s="4" t="s">
        <v>206</v>
      </c>
      <c r="K17214" s="4" t="s">
        <v>7017</v>
      </c>
      <c r="L17214" s="4"/>
      <c r="M17214" s="4"/>
      <c r="N17214" s="4" t="s">
        <v>7022</v>
      </c>
      <c r="O17214" s="4"/>
      <c r="P17214" s="4"/>
      <c r="Q17214" s="4">
        <v>0</v>
      </c>
      <c r="R17214" s="4">
        <v>148</v>
      </c>
      <c r="S17214" s="4">
        <v>0</v>
      </c>
      <c r="T17214" s="4" t="s">
        <v>7023</v>
      </c>
      <c r="U17214" s="4"/>
      <c r="V17214" s="4"/>
      <c r="W17214" s="4"/>
      <c r="X17214" s="4"/>
      <c r="Y17214" s="4"/>
    </row>
    <row r="17215" spans="1:25" customFormat="1" x14ac:dyDescent="0.25">
      <c r="A17215" s="4" t="s">
        <v>24</v>
      </c>
      <c r="B17215" s="4" t="s">
        <v>7014</v>
      </c>
      <c r="C17215" s="4" t="str">
        <f>"A0158479"</f>
        <v>A0158479</v>
      </c>
      <c r="D17215" s="4" t="s">
        <v>7028</v>
      </c>
      <c r="E17215" s="4" t="s">
        <v>7029</v>
      </c>
      <c r="F17215" s="4" t="s">
        <v>1865</v>
      </c>
      <c r="G17215" s="4" t="s">
        <v>110</v>
      </c>
      <c r="H17215" s="4">
        <v>90401</v>
      </c>
      <c r="I17215" s="4" t="s">
        <v>30</v>
      </c>
      <c r="J17215" s="4" t="s">
        <v>206</v>
      </c>
      <c r="K17215" s="4" t="s">
        <v>7017</v>
      </c>
      <c r="L17215" s="4"/>
      <c r="M17215" s="4"/>
      <c r="N17215" s="4" t="s">
        <v>7030</v>
      </c>
      <c r="O17215" s="4"/>
      <c r="P17215" s="4"/>
      <c r="Q17215" s="4">
        <v>0</v>
      </c>
      <c r="R17215" s="4">
        <v>271</v>
      </c>
      <c r="S17215" s="4">
        <v>0</v>
      </c>
      <c r="T17215" s="4" t="s">
        <v>7031</v>
      </c>
      <c r="U17215" s="4"/>
      <c r="V17215" s="4"/>
      <c r="W17215" s="4"/>
      <c r="X17215" s="4"/>
      <c r="Y17215" s="4"/>
    </row>
    <row r="17216" spans="1:25" customFormat="1" x14ac:dyDescent="0.25">
      <c r="A17216" s="4" t="s">
        <v>24</v>
      </c>
      <c r="B17216" s="4" t="s">
        <v>7014</v>
      </c>
      <c r="C17216" s="4" t="str">
        <f>"A0089965"</f>
        <v>A0089965</v>
      </c>
      <c r="D17216" s="4" t="s">
        <v>7032</v>
      </c>
      <c r="E17216" s="4" t="s">
        <v>7033</v>
      </c>
      <c r="F17216" s="4" t="s">
        <v>1519</v>
      </c>
      <c r="G17216" s="4" t="s">
        <v>110</v>
      </c>
      <c r="H17216" s="4">
        <v>90045</v>
      </c>
      <c r="I17216" s="4" t="s">
        <v>30</v>
      </c>
      <c r="J17216" s="4" t="s">
        <v>206</v>
      </c>
      <c r="K17216" s="4" t="s">
        <v>7017</v>
      </c>
      <c r="L17216" s="4"/>
      <c r="M17216" s="4"/>
      <c r="N17216" s="4" t="s">
        <v>7034</v>
      </c>
      <c r="O17216" s="4"/>
      <c r="P17216" s="4"/>
      <c r="Q17216" s="4">
        <v>0</v>
      </c>
      <c r="R17216" s="4">
        <v>250</v>
      </c>
      <c r="S17216" s="4">
        <v>0</v>
      </c>
      <c r="T17216" s="4" t="s">
        <v>7035</v>
      </c>
      <c r="U17216" s="4"/>
      <c r="V17216" s="4"/>
      <c r="W17216" s="4"/>
      <c r="X17216" s="4"/>
      <c r="Y17216" s="4"/>
    </row>
    <row r="17217" spans="1:25" customFormat="1" x14ac:dyDescent="0.25">
      <c r="A17217" s="4" t="s">
        <v>24</v>
      </c>
      <c r="B17217" s="4" t="s">
        <v>2238</v>
      </c>
      <c r="C17217" s="4" t="str">
        <f>"A0069218"</f>
        <v>A0069218</v>
      </c>
      <c r="D17217" s="4" t="s">
        <v>7975</v>
      </c>
      <c r="E17217" s="4" t="s">
        <v>7976</v>
      </c>
      <c r="F17217" s="4" t="s">
        <v>7977</v>
      </c>
      <c r="G17217" s="4" t="s">
        <v>110</v>
      </c>
      <c r="H17217" s="4">
        <v>90277</v>
      </c>
      <c r="I17217" s="4" t="s">
        <v>30</v>
      </c>
      <c r="J17217" s="4" t="s">
        <v>206</v>
      </c>
      <c r="K17217" s="4" t="s">
        <v>163</v>
      </c>
      <c r="L17217" s="4"/>
      <c r="M17217" s="4"/>
      <c r="N17217" s="4" t="s">
        <v>7978</v>
      </c>
      <c r="O17217" s="4" t="s">
        <v>7979</v>
      </c>
      <c r="P17217" s="4"/>
      <c r="Q17217" s="4">
        <v>0</v>
      </c>
      <c r="R17217" s="4">
        <v>163</v>
      </c>
      <c r="S17217" s="4">
        <v>0</v>
      </c>
      <c r="T17217" s="4" t="s">
        <v>7980</v>
      </c>
      <c r="U17217" s="4"/>
      <c r="V17217" s="4"/>
      <c r="W17217" s="4"/>
      <c r="X17217" s="4"/>
      <c r="Y17217" s="4"/>
    </row>
    <row r="17218" spans="1:25" customFormat="1" x14ac:dyDescent="0.25">
      <c r="A17218" s="4" t="s">
        <v>24</v>
      </c>
      <c r="B17218" s="4" t="s">
        <v>2238</v>
      </c>
      <c r="C17218" s="4" t="str">
        <f>"A0063661"</f>
        <v>A0063661</v>
      </c>
      <c r="D17218" s="4" t="s">
        <v>7985</v>
      </c>
      <c r="E17218" s="4" t="s">
        <v>7986</v>
      </c>
      <c r="F17218" s="4" t="s">
        <v>2978</v>
      </c>
      <c r="G17218" s="4" t="s">
        <v>110</v>
      </c>
      <c r="H17218" s="4">
        <v>92106</v>
      </c>
      <c r="I17218" s="4" t="s">
        <v>30</v>
      </c>
      <c r="J17218" s="4" t="s">
        <v>206</v>
      </c>
      <c r="K17218" s="4" t="s">
        <v>163</v>
      </c>
      <c r="L17218" s="4"/>
      <c r="M17218" s="4"/>
      <c r="N17218" s="4" t="s">
        <v>7987</v>
      </c>
      <c r="O17218" s="4"/>
      <c r="P17218" s="4"/>
      <c r="Q17218" s="4">
        <v>0</v>
      </c>
      <c r="R17218" s="4">
        <v>170</v>
      </c>
      <c r="S17218" s="4">
        <v>0</v>
      </c>
      <c r="T17218" s="4" t="s">
        <v>7988</v>
      </c>
      <c r="U17218" s="4"/>
      <c r="V17218" s="4"/>
      <c r="W17218" s="4"/>
      <c r="X17218" s="4"/>
      <c r="Y17218" s="4"/>
    </row>
    <row r="17219" spans="1:25" customFormat="1" x14ac:dyDescent="0.25">
      <c r="A17219" s="4" t="s">
        <v>24</v>
      </c>
      <c r="B17219" s="4" t="s">
        <v>5104</v>
      </c>
      <c r="C17219" s="4" t="str">
        <f>"A0076948"</f>
        <v>A0076948</v>
      </c>
      <c r="D17219" s="4" t="s">
        <v>9046</v>
      </c>
      <c r="E17219" s="4" t="s">
        <v>9047</v>
      </c>
      <c r="F17219" s="4" t="s">
        <v>748</v>
      </c>
      <c r="G17219" s="4" t="s">
        <v>110</v>
      </c>
      <c r="H17219" s="4">
        <v>94102</v>
      </c>
      <c r="I17219" s="4" t="s">
        <v>30</v>
      </c>
      <c r="J17219" s="4" t="s">
        <v>206</v>
      </c>
      <c r="K17219" s="4" t="s">
        <v>6459</v>
      </c>
      <c r="L17219" s="4"/>
      <c r="M17219" s="4"/>
      <c r="N17219" s="4" t="s">
        <v>9048</v>
      </c>
      <c r="O17219" s="4" t="s">
        <v>9049</v>
      </c>
      <c r="P17219" s="4"/>
      <c r="Q17219" s="4">
        <v>0</v>
      </c>
      <c r="R17219" s="4">
        <v>171</v>
      </c>
      <c r="S17219" s="4">
        <v>0</v>
      </c>
      <c r="T17219" s="4" t="s">
        <v>9050</v>
      </c>
      <c r="U17219" s="4"/>
      <c r="V17219" s="4"/>
      <c r="W17219" s="4"/>
      <c r="X17219" s="4"/>
      <c r="Y17219" s="4"/>
    </row>
    <row r="17220" spans="1:25" customFormat="1" x14ac:dyDescent="0.25">
      <c r="A17220" s="4" t="s">
        <v>24</v>
      </c>
      <c r="B17220" s="4" t="s">
        <v>10118</v>
      </c>
      <c r="C17220" s="4" t="str">
        <f>"A0054371"</f>
        <v>A0054371</v>
      </c>
      <c r="D17220" s="4" t="s">
        <v>10119</v>
      </c>
      <c r="E17220" s="4" t="s">
        <v>10120</v>
      </c>
      <c r="F17220" s="4" t="s">
        <v>4300</v>
      </c>
      <c r="G17220" s="4" t="s">
        <v>110</v>
      </c>
      <c r="H17220" s="4">
        <v>92262</v>
      </c>
      <c r="I17220" s="4" t="s">
        <v>30</v>
      </c>
      <c r="J17220" s="4" t="s">
        <v>206</v>
      </c>
      <c r="K17220" s="4" t="s">
        <v>163</v>
      </c>
      <c r="L17220" s="4"/>
      <c r="M17220" s="4"/>
      <c r="N17220" s="4" t="s">
        <v>10121</v>
      </c>
      <c r="O17220" s="4" t="s">
        <v>10122</v>
      </c>
      <c r="P17220" s="4"/>
      <c r="Q17220" s="4">
        <v>0</v>
      </c>
      <c r="R17220" s="4">
        <v>37</v>
      </c>
      <c r="S17220" s="4">
        <v>0</v>
      </c>
      <c r="T17220" s="4" t="s">
        <v>10123</v>
      </c>
      <c r="U17220" s="4"/>
      <c r="V17220" s="4"/>
      <c r="W17220" s="4"/>
      <c r="X17220" s="4"/>
      <c r="Y17220" s="4"/>
    </row>
    <row r="17221" spans="1:25" customFormat="1" x14ac:dyDescent="0.25">
      <c r="A17221" s="4" t="s">
        <v>24</v>
      </c>
      <c r="B17221" s="4" t="s">
        <v>9524</v>
      </c>
      <c r="C17221" s="4" t="str">
        <f>"A0151635"</f>
        <v>A0151635</v>
      </c>
      <c r="D17221" s="4" t="s">
        <v>11138</v>
      </c>
      <c r="E17221" s="4" t="s">
        <v>11139</v>
      </c>
      <c r="F17221" s="4" t="s">
        <v>170</v>
      </c>
      <c r="G17221" s="4" t="s">
        <v>110</v>
      </c>
      <c r="H17221" s="4">
        <v>93449</v>
      </c>
      <c r="I17221" s="4" t="s">
        <v>30</v>
      </c>
      <c r="J17221" s="4" t="s">
        <v>206</v>
      </c>
      <c r="K17221" s="4" t="s">
        <v>6459</v>
      </c>
      <c r="L17221" s="4"/>
      <c r="M17221" s="4"/>
      <c r="N17221" s="4" t="s">
        <v>11140</v>
      </c>
      <c r="O17221" s="4" t="s">
        <v>11141</v>
      </c>
      <c r="P17221" s="4"/>
      <c r="Q17221" s="4">
        <v>0</v>
      </c>
      <c r="R17221" s="4">
        <v>124</v>
      </c>
      <c r="S17221" s="4">
        <v>0</v>
      </c>
      <c r="T17221" s="4" t="s">
        <v>11142</v>
      </c>
      <c r="U17221" s="4"/>
      <c r="V17221" s="4"/>
      <c r="W17221" s="4"/>
      <c r="X17221" s="4"/>
      <c r="Y17221" s="4"/>
    </row>
    <row r="17222" spans="1:25" customFormat="1" x14ac:dyDescent="0.25">
      <c r="A17222" s="4" t="s">
        <v>24</v>
      </c>
      <c r="B17222" s="4" t="s">
        <v>11628</v>
      </c>
      <c r="C17222" s="4" t="str">
        <f>"A0188367"</f>
        <v>A0188367</v>
      </c>
      <c r="D17222" s="4" t="s">
        <v>11629</v>
      </c>
      <c r="E17222" s="4" t="s">
        <v>11630</v>
      </c>
      <c r="F17222" s="4" t="s">
        <v>11631</v>
      </c>
      <c r="G17222" s="4" t="s">
        <v>110</v>
      </c>
      <c r="H17222" s="4">
        <v>94043</v>
      </c>
      <c r="I17222" s="4" t="s">
        <v>30</v>
      </c>
      <c r="J17222" s="4" t="s">
        <v>206</v>
      </c>
      <c r="K17222" s="4" t="s">
        <v>163</v>
      </c>
      <c r="L17222" s="4"/>
      <c r="M17222" s="4"/>
      <c r="N17222" s="4" t="s">
        <v>11632</v>
      </c>
      <c r="O17222" s="4" t="s">
        <v>11633</v>
      </c>
      <c r="P17222" s="4"/>
      <c r="Q17222" s="4">
        <v>0</v>
      </c>
      <c r="R17222" s="4">
        <v>255</v>
      </c>
      <c r="S17222" s="4">
        <v>0</v>
      </c>
      <c r="T17222" s="4" t="s">
        <v>11634</v>
      </c>
      <c r="U17222" s="4"/>
      <c r="V17222" s="4"/>
      <c r="W17222" s="4"/>
      <c r="X17222" s="4"/>
      <c r="Y17222" s="4"/>
    </row>
    <row r="17223" spans="1:25" customFormat="1" x14ac:dyDescent="0.25">
      <c r="A17223" s="4" t="s">
        <v>24</v>
      </c>
      <c r="B17223" s="4" t="s">
        <v>13506</v>
      </c>
      <c r="C17223" s="4" t="str">
        <f>"A0049585"</f>
        <v>A0049585</v>
      </c>
      <c r="D17223" s="4" t="s">
        <v>13507</v>
      </c>
      <c r="E17223" s="4" t="s">
        <v>13508</v>
      </c>
      <c r="F17223" s="4" t="s">
        <v>13509</v>
      </c>
      <c r="G17223" s="4" t="s">
        <v>110</v>
      </c>
      <c r="H17223" s="4">
        <v>95046</v>
      </c>
      <c r="I17223" s="4" t="s">
        <v>30</v>
      </c>
      <c r="J17223" s="4" t="s">
        <v>206</v>
      </c>
      <c r="K17223" s="4" t="s">
        <v>179</v>
      </c>
      <c r="L17223" s="4"/>
      <c r="M17223" s="4"/>
      <c r="N17223" s="4" t="s">
        <v>13510</v>
      </c>
      <c r="O17223" s="4" t="s">
        <v>13511</v>
      </c>
      <c r="P17223" s="4" t="s">
        <v>3998</v>
      </c>
      <c r="Q17223" s="4">
        <v>0</v>
      </c>
      <c r="R17223" s="4">
        <v>45</v>
      </c>
      <c r="S17223" s="4">
        <v>0</v>
      </c>
      <c r="T17223" s="4" t="s">
        <v>13512</v>
      </c>
      <c r="U17223" s="4"/>
      <c r="V17223" s="4"/>
      <c r="W17223" s="4"/>
      <c r="X17223" s="4"/>
      <c r="Y17223" s="4"/>
    </row>
    <row r="17224" spans="1:25" customFormat="1" x14ac:dyDescent="0.25">
      <c r="A17224" s="4" t="s">
        <v>24</v>
      </c>
      <c r="B17224" s="4" t="s">
        <v>13513</v>
      </c>
      <c r="C17224" s="4" t="str">
        <f>"A0055662"</f>
        <v>A0055662</v>
      </c>
      <c r="D17224" s="4" t="s">
        <v>13514</v>
      </c>
      <c r="E17224" s="4" t="s">
        <v>13515</v>
      </c>
      <c r="F17224" s="4" t="s">
        <v>748</v>
      </c>
      <c r="G17224" s="4" t="s">
        <v>110</v>
      </c>
      <c r="H17224" s="4">
        <v>94102</v>
      </c>
      <c r="I17224" s="4" t="s">
        <v>30</v>
      </c>
      <c r="J17224" s="4" t="s">
        <v>206</v>
      </c>
      <c r="K17224" s="4" t="s">
        <v>163</v>
      </c>
      <c r="L17224" s="4"/>
      <c r="M17224" s="4"/>
      <c r="N17224" s="4" t="s">
        <v>13516</v>
      </c>
      <c r="O17224" s="4" t="s">
        <v>13517</v>
      </c>
      <c r="P17224" s="4"/>
      <c r="Q17224" s="4">
        <v>0</v>
      </c>
      <c r="R17224" s="4">
        <v>416</v>
      </c>
      <c r="S17224" s="4">
        <v>0</v>
      </c>
      <c r="T17224" s="4" t="s">
        <v>13518</v>
      </c>
      <c r="U17224" s="4"/>
      <c r="V17224" s="4"/>
      <c r="W17224" s="4"/>
      <c r="X17224" s="4"/>
      <c r="Y17224" s="4"/>
    </row>
    <row r="17225" spans="1:25" customFormat="1" x14ac:dyDescent="0.25">
      <c r="A17225" s="4" t="s">
        <v>24</v>
      </c>
      <c r="B17225" s="4" t="s">
        <v>13771</v>
      </c>
      <c r="C17225" s="4" t="str">
        <f>"A0166312"</f>
        <v>A0166312</v>
      </c>
      <c r="D17225" s="4" t="s">
        <v>13772</v>
      </c>
      <c r="E17225" s="4" t="s">
        <v>13773</v>
      </c>
      <c r="F17225" s="4" t="s">
        <v>6686</v>
      </c>
      <c r="G17225" s="4" t="s">
        <v>110</v>
      </c>
      <c r="H17225" s="4">
        <v>93401</v>
      </c>
      <c r="I17225" s="4" t="s">
        <v>30</v>
      </c>
      <c r="J17225" s="4" t="s">
        <v>206</v>
      </c>
      <c r="K17225" s="4" t="s">
        <v>163</v>
      </c>
      <c r="L17225" s="4"/>
      <c r="M17225" s="4"/>
      <c r="N17225" s="4" t="s">
        <v>13774</v>
      </c>
      <c r="O17225" s="4"/>
      <c r="P17225" s="4"/>
      <c r="Q17225" s="4">
        <v>0</v>
      </c>
      <c r="R17225" s="4">
        <v>78</v>
      </c>
      <c r="S17225" s="4">
        <v>0</v>
      </c>
      <c r="T17225" s="4" t="s">
        <v>13775</v>
      </c>
      <c r="U17225" s="4"/>
      <c r="V17225" s="4"/>
      <c r="W17225" s="4"/>
      <c r="X17225" s="4"/>
      <c r="Y17225" s="4"/>
    </row>
    <row r="17226" spans="1:25" customFormat="1" x14ac:dyDescent="0.25">
      <c r="A17226" s="4" t="s">
        <v>24</v>
      </c>
      <c r="B17226" s="4" t="s">
        <v>5384</v>
      </c>
      <c r="C17226" s="4" t="str">
        <f>"A0077049"</f>
        <v>A0077049</v>
      </c>
      <c r="D17226" s="4" t="s">
        <v>13845</v>
      </c>
      <c r="E17226" s="4" t="s">
        <v>13846</v>
      </c>
      <c r="F17226" s="4" t="s">
        <v>5551</v>
      </c>
      <c r="G17226" s="4" t="s">
        <v>110</v>
      </c>
      <c r="H17226" s="4">
        <v>94515</v>
      </c>
      <c r="I17226" s="4" t="s">
        <v>30</v>
      </c>
      <c r="J17226" s="4" t="s">
        <v>206</v>
      </c>
      <c r="K17226" s="4" t="s">
        <v>163</v>
      </c>
      <c r="L17226" s="4"/>
      <c r="M17226" s="4"/>
      <c r="N17226" s="4" t="s">
        <v>13847</v>
      </c>
      <c r="O17226" s="4"/>
      <c r="P17226" s="4"/>
      <c r="Q17226" s="4">
        <v>0</v>
      </c>
      <c r="R17226" s="4">
        <v>50</v>
      </c>
      <c r="S17226" s="4">
        <v>0</v>
      </c>
      <c r="T17226" s="4" t="s">
        <v>13848</v>
      </c>
      <c r="U17226" s="4"/>
      <c r="V17226" s="4"/>
      <c r="W17226" s="4"/>
      <c r="X17226" s="4"/>
      <c r="Y17226" s="4"/>
    </row>
    <row r="17227" spans="1:25" customFormat="1" x14ac:dyDescent="0.25">
      <c r="A17227" s="4" t="s">
        <v>24</v>
      </c>
      <c r="B17227" s="4" t="s">
        <v>193</v>
      </c>
      <c r="C17227" s="4" t="str">
        <f>"FM010"</f>
        <v>FM010</v>
      </c>
      <c r="D17227" s="4" t="s">
        <v>15066</v>
      </c>
      <c r="E17227" s="4" t="s">
        <v>15067</v>
      </c>
      <c r="F17227" s="4" t="s">
        <v>4802</v>
      </c>
      <c r="G17227" s="4" t="s">
        <v>110</v>
      </c>
      <c r="H17227" s="4">
        <v>95113</v>
      </c>
      <c r="I17227" s="4" t="s">
        <v>30</v>
      </c>
      <c r="J17227" s="4" t="s">
        <v>206</v>
      </c>
      <c r="K17227" s="4" t="s">
        <v>163</v>
      </c>
      <c r="L17227" s="4"/>
      <c r="M17227" s="4"/>
      <c r="N17227" s="4" t="s">
        <v>15068</v>
      </c>
      <c r="O17227" s="4" t="s">
        <v>15069</v>
      </c>
      <c r="P17227" s="4"/>
      <c r="Q17227" s="4">
        <v>0</v>
      </c>
      <c r="R17227" s="4">
        <v>808</v>
      </c>
      <c r="S17227" s="4">
        <v>0</v>
      </c>
      <c r="T17227" s="4" t="s">
        <v>15070</v>
      </c>
      <c r="U17227" s="4"/>
      <c r="V17227" s="4"/>
      <c r="W17227" s="4"/>
      <c r="X17227" s="4"/>
      <c r="Y17227" s="4"/>
    </row>
    <row r="17228" spans="1:25" customFormat="1" x14ac:dyDescent="0.25">
      <c r="A17228" s="4" t="s">
        <v>24</v>
      </c>
      <c r="B17228" s="4" t="s">
        <v>2011</v>
      </c>
      <c r="C17228" s="4" t="str">
        <f>"A0098922"</f>
        <v>A0098922</v>
      </c>
      <c r="D17228" s="4" t="s">
        <v>15738</v>
      </c>
      <c r="E17228" s="4" t="s">
        <v>15739</v>
      </c>
      <c r="F17228" s="4" t="s">
        <v>15740</v>
      </c>
      <c r="G17228" s="4" t="s">
        <v>110</v>
      </c>
      <c r="H17228" s="4">
        <v>94574</v>
      </c>
      <c r="I17228" s="4" t="s">
        <v>30</v>
      </c>
      <c r="J17228" s="4" t="s">
        <v>206</v>
      </c>
      <c r="K17228" s="4" t="s">
        <v>15741</v>
      </c>
      <c r="L17228" s="4"/>
      <c r="M17228" s="4"/>
      <c r="N17228" s="4" t="s">
        <v>15742</v>
      </c>
      <c r="O17228" s="4"/>
      <c r="P17228" s="4"/>
      <c r="Q17228" s="4">
        <v>0</v>
      </c>
      <c r="R17228" s="4">
        <v>68</v>
      </c>
      <c r="S17228" s="4">
        <v>0</v>
      </c>
      <c r="T17228" s="4" t="s">
        <v>15743</v>
      </c>
      <c r="U17228" s="4"/>
      <c r="V17228" s="4"/>
      <c r="W17228" s="4"/>
      <c r="X17228" s="4"/>
      <c r="Y17228" s="4"/>
    </row>
    <row r="17229" spans="1:25" customFormat="1" x14ac:dyDescent="0.25">
      <c r="A17229" s="4" t="s">
        <v>24</v>
      </c>
      <c r="B17229" s="4" t="s">
        <v>13684</v>
      </c>
      <c r="C17229" s="4" t="str">
        <f>"A0054483"</f>
        <v>A0054483</v>
      </c>
      <c r="D17229" s="4" t="s">
        <v>16582</v>
      </c>
      <c r="E17229" s="4" t="s">
        <v>16583</v>
      </c>
      <c r="F17229" s="4" t="s">
        <v>16584</v>
      </c>
      <c r="G17229" s="4" t="s">
        <v>110</v>
      </c>
      <c r="H17229" s="4">
        <v>92352</v>
      </c>
      <c r="I17229" s="4" t="s">
        <v>30</v>
      </c>
      <c r="J17229" s="4" t="s">
        <v>206</v>
      </c>
      <c r="K17229" s="4" t="s">
        <v>163</v>
      </c>
      <c r="L17229" s="4"/>
      <c r="M17229" s="4"/>
      <c r="N17229" s="4" t="s">
        <v>16585</v>
      </c>
      <c r="O17229" s="4"/>
      <c r="P17229" s="4"/>
      <c r="Q17229" s="4">
        <v>0</v>
      </c>
      <c r="R17229" s="4">
        <v>162</v>
      </c>
      <c r="S17229" s="4">
        <v>0</v>
      </c>
      <c r="T17229" s="4" t="s">
        <v>16586</v>
      </c>
      <c r="U17229" s="4"/>
      <c r="V17229" s="4"/>
      <c r="W17229" s="4"/>
      <c r="X17229" s="4"/>
      <c r="Y17229" s="4"/>
    </row>
    <row r="17230" spans="1:25" customFormat="1" x14ac:dyDescent="0.25">
      <c r="A17230" s="4" t="s">
        <v>24</v>
      </c>
      <c r="B17230" s="4" t="s">
        <v>7230</v>
      </c>
      <c r="C17230" s="4" t="str">
        <f>"A0074165"</f>
        <v>A0074165</v>
      </c>
      <c r="D17230" s="4" t="s">
        <v>33714</v>
      </c>
      <c r="E17230" s="4" t="s">
        <v>33715</v>
      </c>
      <c r="F17230" s="4" t="s">
        <v>33716</v>
      </c>
      <c r="G17230" s="4" t="s">
        <v>110</v>
      </c>
      <c r="H17230" s="4">
        <v>92629</v>
      </c>
      <c r="I17230" s="4" t="s">
        <v>30</v>
      </c>
      <c r="J17230" s="4" t="s">
        <v>206</v>
      </c>
      <c r="K17230" s="4" t="s">
        <v>163</v>
      </c>
      <c r="L17230" s="4"/>
      <c r="M17230" s="4"/>
      <c r="N17230" s="4" t="s">
        <v>11140</v>
      </c>
      <c r="O17230" s="4" t="s">
        <v>33717</v>
      </c>
      <c r="P17230" s="4"/>
      <c r="Q17230" s="4">
        <v>1</v>
      </c>
      <c r="R17230" s="4">
        <v>400</v>
      </c>
      <c r="S17230" s="4">
        <v>0</v>
      </c>
      <c r="T17230" s="4" t="s">
        <v>33718</v>
      </c>
      <c r="U17230" s="4"/>
      <c r="V17230" s="4"/>
      <c r="W17230" s="4"/>
      <c r="X17230" s="4"/>
      <c r="Y17230" s="4"/>
    </row>
    <row r="17231" spans="1:25" customFormat="1" x14ac:dyDescent="0.25">
      <c r="A17231" s="4" t="s">
        <v>24</v>
      </c>
      <c r="B17231" s="4" t="s">
        <v>193</v>
      </c>
      <c r="C17231" s="4" t="str">
        <f>"A0064175"</f>
        <v>A0064175</v>
      </c>
      <c r="D17231" s="4" t="s">
        <v>33833</v>
      </c>
      <c r="E17231" s="4" t="s">
        <v>33834</v>
      </c>
      <c r="F17231" s="4" t="s">
        <v>6583</v>
      </c>
      <c r="G17231" s="4" t="s">
        <v>110</v>
      </c>
      <c r="H17231" s="4">
        <v>92210</v>
      </c>
      <c r="I17231" s="4" t="s">
        <v>30</v>
      </c>
      <c r="J17231" s="4" t="s">
        <v>206</v>
      </c>
      <c r="K17231" s="4" t="s">
        <v>5707</v>
      </c>
      <c r="L17231" s="4"/>
      <c r="M17231" s="4"/>
      <c r="N17231" s="4"/>
      <c r="O17231" s="4"/>
      <c r="P17231" s="4" t="s">
        <v>3998</v>
      </c>
      <c r="Q17231" s="4">
        <v>2</v>
      </c>
      <c r="R17231" s="4">
        <v>215</v>
      </c>
      <c r="S17231" s="4">
        <v>0</v>
      </c>
      <c r="T17231" s="4" t="s">
        <v>33835</v>
      </c>
      <c r="U17231" s="4"/>
      <c r="V17231" s="4"/>
      <c r="W17231" s="4"/>
      <c r="X17231" s="4"/>
      <c r="Y17231" s="4"/>
    </row>
    <row r="17232" spans="1:25" customFormat="1" x14ac:dyDescent="0.25">
      <c r="A17232" s="4" t="s">
        <v>24</v>
      </c>
      <c r="B17232" s="4" t="s">
        <v>34163</v>
      </c>
      <c r="C17232" s="4" t="str">
        <f>"A0063582"</f>
        <v>A0063582</v>
      </c>
      <c r="D17232" s="4" t="s">
        <v>34164</v>
      </c>
      <c r="E17232" s="4" t="s">
        <v>34165</v>
      </c>
      <c r="F17232" s="4" t="s">
        <v>204</v>
      </c>
      <c r="G17232" s="4" t="s">
        <v>110</v>
      </c>
      <c r="H17232" s="4">
        <v>90210</v>
      </c>
      <c r="I17232" s="4" t="s">
        <v>30</v>
      </c>
      <c r="J17232" s="4" t="s">
        <v>206</v>
      </c>
      <c r="K17232" s="4" t="s">
        <v>163</v>
      </c>
      <c r="L17232" s="4"/>
      <c r="M17232" s="4"/>
      <c r="N17232" s="4"/>
      <c r="O17232" s="4"/>
      <c r="P17232" s="4"/>
      <c r="Q17232" s="4">
        <v>0</v>
      </c>
      <c r="R17232" s="4">
        <v>88</v>
      </c>
      <c r="S17232" s="4">
        <v>0</v>
      </c>
      <c r="T17232" s="4" t="s">
        <v>34166</v>
      </c>
      <c r="U17232" s="4"/>
      <c r="V17232" s="4"/>
      <c r="W17232" s="4"/>
      <c r="X17232" s="4"/>
      <c r="Y17232" s="4"/>
    </row>
    <row r="17233" spans="1:25" customFormat="1" x14ac:dyDescent="0.25">
      <c r="A17233" s="4" t="s">
        <v>24</v>
      </c>
      <c r="B17233" s="4" t="s">
        <v>5166</v>
      </c>
      <c r="C17233" s="4" t="str">
        <f>"9673A"</f>
        <v>9673A</v>
      </c>
      <c r="D17233" s="4" t="s">
        <v>34516</v>
      </c>
      <c r="E17233" s="4" t="s">
        <v>34517</v>
      </c>
      <c r="F17233" s="4" t="s">
        <v>7567</v>
      </c>
      <c r="G17233" s="4" t="s">
        <v>110</v>
      </c>
      <c r="H17233" s="4">
        <v>95476</v>
      </c>
      <c r="I17233" s="4" t="s">
        <v>30</v>
      </c>
      <c r="J17233" s="4" t="s">
        <v>206</v>
      </c>
      <c r="K17233" s="4" t="s">
        <v>6459</v>
      </c>
      <c r="L17233" s="4"/>
      <c r="M17233" s="4"/>
      <c r="N17233" s="4" t="s">
        <v>34518</v>
      </c>
      <c r="O17233" s="4" t="s">
        <v>34519</v>
      </c>
      <c r="P17233" s="4"/>
      <c r="Q17233" s="4">
        <v>0</v>
      </c>
      <c r="R17233" s="4">
        <v>182</v>
      </c>
      <c r="S17233" s="4">
        <v>0</v>
      </c>
      <c r="T17233" s="4" t="s">
        <v>34520</v>
      </c>
      <c r="U17233" s="4"/>
      <c r="V17233" s="4"/>
      <c r="W17233" s="4"/>
      <c r="X17233" s="4"/>
      <c r="Y17233" s="4"/>
    </row>
    <row r="17234" spans="1:25" customFormat="1" x14ac:dyDescent="0.25">
      <c r="A17234" s="4" t="s">
        <v>24</v>
      </c>
      <c r="B17234" s="4" t="s">
        <v>2011</v>
      </c>
      <c r="C17234" s="4" t="str">
        <f>"A0178650"</f>
        <v>A0178650</v>
      </c>
      <c r="D17234" s="4" t="s">
        <v>53354</v>
      </c>
      <c r="E17234" s="4" t="s">
        <v>53355</v>
      </c>
      <c r="F17234" s="4" t="s">
        <v>2952</v>
      </c>
      <c r="G17234" s="4" t="s">
        <v>110</v>
      </c>
      <c r="H17234" s="4">
        <v>92024</v>
      </c>
      <c r="I17234" s="4" t="s">
        <v>30</v>
      </c>
      <c r="J17234" s="4" t="s">
        <v>206</v>
      </c>
      <c r="K17234" s="4" t="s">
        <v>15741</v>
      </c>
      <c r="L17234" s="4"/>
      <c r="M17234" s="4"/>
      <c r="N17234" s="4" t="s">
        <v>53356</v>
      </c>
      <c r="O17234" s="4" t="s">
        <v>53357</v>
      </c>
      <c r="P17234" s="4"/>
      <c r="Q17234" s="4">
        <v>0</v>
      </c>
      <c r="R17234" s="4">
        <v>130</v>
      </c>
      <c r="S17234" s="4">
        <v>0</v>
      </c>
      <c r="T17234" s="4" t="s">
        <v>192</v>
      </c>
      <c r="U17234" s="4"/>
      <c r="V17234" s="4"/>
      <c r="W17234" s="4"/>
      <c r="X17234" s="4"/>
      <c r="Y17234" s="4"/>
    </row>
    <row r="17235" spans="1:25" customFormat="1" x14ac:dyDescent="0.25">
      <c r="A17235" s="4" t="s">
        <v>24</v>
      </c>
      <c r="B17235" s="4" t="s">
        <v>6635</v>
      </c>
      <c r="C17235" s="4" t="str">
        <f>"A0165592"</f>
        <v>A0165592</v>
      </c>
      <c r="D17235" s="4" t="s">
        <v>54064</v>
      </c>
      <c r="E17235" s="4" t="s">
        <v>54065</v>
      </c>
      <c r="F17235" s="4" t="s">
        <v>778</v>
      </c>
      <c r="G17235" s="4" t="s">
        <v>110</v>
      </c>
      <c r="H17235" s="4">
        <v>93108</v>
      </c>
      <c r="I17235" s="4" t="s">
        <v>30</v>
      </c>
      <c r="J17235" s="4" t="s">
        <v>206</v>
      </c>
      <c r="K17235" s="4" t="s">
        <v>163</v>
      </c>
      <c r="L17235" s="4"/>
      <c r="M17235" s="4"/>
      <c r="N17235" s="4" t="s">
        <v>54066</v>
      </c>
      <c r="O17235" s="4"/>
      <c r="P17235" s="4"/>
      <c r="Q17235" s="4">
        <v>0</v>
      </c>
      <c r="R17235" s="4">
        <v>124</v>
      </c>
      <c r="S17235" s="4">
        <v>0</v>
      </c>
      <c r="T17235" s="4" t="s">
        <v>54067</v>
      </c>
      <c r="U17235" s="4"/>
      <c r="V17235" s="4"/>
      <c r="W17235" s="4"/>
      <c r="X17235" s="4"/>
      <c r="Y17235" s="4"/>
    </row>
    <row r="17236" spans="1:25" customFormat="1" x14ac:dyDescent="0.25">
      <c r="A17236" s="4" t="s">
        <v>24</v>
      </c>
      <c r="B17236" s="4" t="s">
        <v>2238</v>
      </c>
      <c r="C17236" s="4" t="str">
        <f>"A0145939"</f>
        <v>A0145939</v>
      </c>
      <c r="D17236" s="4" t="s">
        <v>54169</v>
      </c>
      <c r="E17236" s="4" t="s">
        <v>54170</v>
      </c>
      <c r="F17236" s="4" t="s">
        <v>748</v>
      </c>
      <c r="G17236" s="4" t="s">
        <v>110</v>
      </c>
      <c r="H17236" s="4">
        <v>94133</v>
      </c>
      <c r="I17236" s="4" t="s">
        <v>30</v>
      </c>
      <c r="J17236" s="4" t="s">
        <v>206</v>
      </c>
      <c r="K17236" s="4" t="s">
        <v>163</v>
      </c>
      <c r="L17236" s="4"/>
      <c r="M17236" s="4"/>
      <c r="N17236" s="4" t="s">
        <v>54171</v>
      </c>
      <c r="O17236" s="4" t="s">
        <v>54172</v>
      </c>
      <c r="P17236" s="4"/>
      <c r="Q17236" s="4">
        <v>0</v>
      </c>
      <c r="R17236" s="4">
        <v>221</v>
      </c>
      <c r="S17236" s="4">
        <v>0</v>
      </c>
      <c r="T17236" s="4" t="s">
        <v>54173</v>
      </c>
      <c r="U17236" s="4"/>
      <c r="V17236" s="4"/>
      <c r="W17236" s="4"/>
      <c r="X17236" s="4"/>
      <c r="Y17236" s="4"/>
    </row>
    <row r="17237" spans="1:25" customFormat="1" x14ac:dyDescent="0.25">
      <c r="A17237" s="4" t="s">
        <v>24</v>
      </c>
      <c r="B17237" s="4" t="s">
        <v>2238</v>
      </c>
      <c r="C17237" s="4" t="str">
        <f>"A0062429"</f>
        <v>A0062429</v>
      </c>
      <c r="D17237" s="4" t="s">
        <v>54179</v>
      </c>
      <c r="E17237" s="4" t="s">
        <v>54180</v>
      </c>
      <c r="F17237" s="4" t="s">
        <v>54181</v>
      </c>
      <c r="G17237" s="4" t="s">
        <v>110</v>
      </c>
      <c r="H17237" s="4">
        <v>92014</v>
      </c>
      <c r="I17237" s="4" t="s">
        <v>30</v>
      </c>
      <c r="J17237" s="4" t="s">
        <v>206</v>
      </c>
      <c r="K17237" s="4" t="s">
        <v>2015</v>
      </c>
      <c r="L17237" s="4"/>
      <c r="M17237" s="4"/>
      <c r="N17237" s="4" t="s">
        <v>54013</v>
      </c>
      <c r="O17237" s="4" t="s">
        <v>54182</v>
      </c>
      <c r="P17237" s="4"/>
      <c r="Q17237" s="4">
        <v>0</v>
      </c>
      <c r="R17237" s="4">
        <v>121</v>
      </c>
      <c r="S17237" s="4">
        <v>0</v>
      </c>
      <c r="T17237" s="4" t="s">
        <v>54183</v>
      </c>
      <c r="U17237" s="4"/>
      <c r="V17237" s="4"/>
      <c r="W17237" s="4"/>
      <c r="X17237" s="4"/>
      <c r="Y17237" s="4"/>
    </row>
    <row r="17238" spans="1:25" customFormat="1" x14ac:dyDescent="0.25">
      <c r="A17238" s="4" t="s">
        <v>24</v>
      </c>
      <c r="B17238" s="4" t="s">
        <v>2238</v>
      </c>
      <c r="C17238" s="4" t="str">
        <f>"A0077254"</f>
        <v>A0077254</v>
      </c>
      <c r="D17238" s="4" t="s">
        <v>54190</v>
      </c>
      <c r="E17238" s="4" t="s">
        <v>54191</v>
      </c>
      <c r="F17238" s="4" t="s">
        <v>748</v>
      </c>
      <c r="G17238" s="4" t="s">
        <v>110</v>
      </c>
      <c r="H17238" s="4">
        <v>94109</v>
      </c>
      <c r="I17238" s="4" t="s">
        <v>30</v>
      </c>
      <c r="J17238" s="4" t="s">
        <v>206</v>
      </c>
      <c r="K17238" s="4" t="s">
        <v>163</v>
      </c>
      <c r="L17238" s="4"/>
      <c r="M17238" s="4"/>
      <c r="N17238" s="4" t="s">
        <v>54171</v>
      </c>
      <c r="O17238" s="4"/>
      <c r="P17238" s="4"/>
      <c r="Q17238" s="4">
        <v>0</v>
      </c>
      <c r="R17238" s="4">
        <v>252</v>
      </c>
      <c r="S17238" s="4">
        <v>0</v>
      </c>
      <c r="T17238" s="4" t="s">
        <v>54192</v>
      </c>
      <c r="U17238" s="4"/>
      <c r="V17238" s="4"/>
      <c r="W17238" s="4"/>
      <c r="X17238" s="4"/>
      <c r="Y17238" s="4"/>
    </row>
    <row r="17239" spans="1:25" customFormat="1" x14ac:dyDescent="0.25">
      <c r="A17239" s="4" t="s">
        <v>24</v>
      </c>
      <c r="B17239" s="4" t="s">
        <v>54450</v>
      </c>
      <c r="C17239" s="4" t="str">
        <f>"A0089452"</f>
        <v>A0089452</v>
      </c>
      <c r="D17239" s="4" t="s">
        <v>54451</v>
      </c>
      <c r="E17239" s="4" t="s">
        <v>54452</v>
      </c>
      <c r="F17239" s="4" t="s">
        <v>204</v>
      </c>
      <c r="G17239" s="4" t="s">
        <v>110</v>
      </c>
      <c r="H17239" s="4">
        <v>90210</v>
      </c>
      <c r="I17239" s="4" t="s">
        <v>30</v>
      </c>
      <c r="J17239" s="4" t="s">
        <v>206</v>
      </c>
      <c r="K17239" s="4" t="s">
        <v>163</v>
      </c>
      <c r="L17239" s="4"/>
      <c r="M17239" s="4"/>
      <c r="N17239" s="4" t="s">
        <v>54453</v>
      </c>
      <c r="O17239" s="4"/>
      <c r="P17239" s="4"/>
      <c r="Q17239" s="4">
        <v>0</v>
      </c>
      <c r="R17239" s="4">
        <v>201</v>
      </c>
      <c r="S17239" s="4">
        <v>0</v>
      </c>
      <c r="T17239" s="4" t="s">
        <v>54454</v>
      </c>
      <c r="U17239" s="4"/>
      <c r="V17239" s="4"/>
      <c r="W17239" s="4"/>
      <c r="X17239" s="4"/>
      <c r="Y17239" s="4"/>
    </row>
    <row r="17240" spans="1:25" customFormat="1" x14ac:dyDescent="0.25">
      <c r="A17240" s="4" t="s">
        <v>24</v>
      </c>
      <c r="B17240" s="4" t="s">
        <v>7674</v>
      </c>
      <c r="C17240" s="4" t="str">
        <f>"A0164851"</f>
        <v>A0164851</v>
      </c>
      <c r="D17240" s="4" t="s">
        <v>55228</v>
      </c>
      <c r="E17240" s="4" t="s">
        <v>55229</v>
      </c>
      <c r="F17240" s="4" t="s">
        <v>10461</v>
      </c>
      <c r="G17240" s="4" t="s">
        <v>110</v>
      </c>
      <c r="H17240" s="4">
        <v>95448</v>
      </c>
      <c r="I17240" s="4" t="s">
        <v>30</v>
      </c>
      <c r="J17240" s="4" t="s">
        <v>206</v>
      </c>
      <c r="K17240" s="4" t="s">
        <v>9098</v>
      </c>
      <c r="L17240" s="4"/>
      <c r="M17240" s="4"/>
      <c r="N17240" s="4" t="s">
        <v>55230</v>
      </c>
      <c r="O17240" s="4" t="s">
        <v>55231</v>
      </c>
      <c r="P17240" s="4"/>
      <c r="Q17240" s="4">
        <v>0</v>
      </c>
      <c r="R17240" s="4">
        <v>130</v>
      </c>
      <c r="S17240" s="4">
        <v>0</v>
      </c>
      <c r="T17240" s="4" t="s">
        <v>55232</v>
      </c>
      <c r="U17240" s="4"/>
      <c r="V17240" s="4"/>
      <c r="W17240" s="4"/>
      <c r="X17240" s="4"/>
      <c r="Y17240" s="4"/>
    </row>
    <row r="17241" spans="1:25" customFormat="1" x14ac:dyDescent="0.25">
      <c r="A17241" s="4" t="s">
        <v>24</v>
      </c>
      <c r="B17241" s="4" t="s">
        <v>6635</v>
      </c>
      <c r="C17241" s="4" t="str">
        <f>"A0089572"</f>
        <v>A0089572</v>
      </c>
      <c r="D17241" s="4" t="s">
        <v>55257</v>
      </c>
      <c r="E17241" s="4" t="s">
        <v>55258</v>
      </c>
      <c r="F17241" s="4" t="s">
        <v>55259</v>
      </c>
      <c r="G17241" s="4" t="s">
        <v>110</v>
      </c>
      <c r="H17241" s="4">
        <v>94025</v>
      </c>
      <c r="I17241" s="4" t="s">
        <v>30</v>
      </c>
      <c r="J17241" s="4" t="s">
        <v>206</v>
      </c>
      <c r="K17241" s="4" t="s">
        <v>163</v>
      </c>
      <c r="L17241" s="4"/>
      <c r="M17241" s="4"/>
      <c r="N17241" s="4" t="s">
        <v>55260</v>
      </c>
      <c r="O17241" s="4" t="s">
        <v>55261</v>
      </c>
      <c r="P17241" s="4"/>
      <c r="Q17241" s="4">
        <v>0</v>
      </c>
      <c r="R17241" s="4">
        <v>121</v>
      </c>
      <c r="S17241" s="4">
        <v>0</v>
      </c>
      <c r="T17241" s="4" t="s">
        <v>55262</v>
      </c>
      <c r="U17241" s="4"/>
      <c r="V17241" s="4"/>
      <c r="W17241" s="4"/>
      <c r="X17241" s="4"/>
      <c r="Y17241" s="4"/>
    </row>
    <row r="17242" spans="1:25" customFormat="1" x14ac:dyDescent="0.25">
      <c r="A17242" s="4" t="s">
        <v>24</v>
      </c>
      <c r="B17242" s="4" t="s">
        <v>6611</v>
      </c>
      <c r="C17242" s="4" t="str">
        <f>"A0099763"</f>
        <v>A0099763</v>
      </c>
      <c r="D17242" s="4" t="s">
        <v>55330</v>
      </c>
      <c r="E17242" s="4" t="s">
        <v>55331</v>
      </c>
      <c r="F17242" s="4" t="s">
        <v>1519</v>
      </c>
      <c r="G17242" s="4" t="s">
        <v>110</v>
      </c>
      <c r="H17242" s="4">
        <v>90069</v>
      </c>
      <c r="I17242" s="4" t="s">
        <v>30</v>
      </c>
      <c r="J17242" s="4" t="s">
        <v>206</v>
      </c>
      <c r="K17242" s="4" t="s">
        <v>163</v>
      </c>
      <c r="L17242" s="4"/>
      <c r="M17242" s="4"/>
      <c r="N17242" s="4" t="s">
        <v>55332</v>
      </c>
      <c r="O17242" s="4" t="s">
        <v>55333</v>
      </c>
      <c r="P17242" s="4"/>
      <c r="Q17242" s="4">
        <v>0</v>
      </c>
      <c r="R17242" s="4">
        <v>286</v>
      </c>
      <c r="S17242" s="4">
        <v>0</v>
      </c>
      <c r="T17242" s="4" t="s">
        <v>55334</v>
      </c>
      <c r="U17242" s="4"/>
      <c r="V17242" s="4"/>
      <c r="W17242" s="4"/>
      <c r="X17242" s="4"/>
      <c r="Y17242" s="4"/>
    </row>
    <row r="17243" spans="1:25" customFormat="1" x14ac:dyDescent="0.25">
      <c r="A17243" s="4" t="s">
        <v>24</v>
      </c>
      <c r="B17243" s="4" t="s">
        <v>5384</v>
      </c>
      <c r="C17243" s="4" t="str">
        <f>"A0095432"</f>
        <v>A0095432</v>
      </c>
      <c r="D17243" s="4" t="s">
        <v>56320</v>
      </c>
      <c r="E17243" s="4" t="s">
        <v>56321</v>
      </c>
      <c r="F17243" s="4" t="s">
        <v>56322</v>
      </c>
      <c r="G17243" s="4" t="s">
        <v>110</v>
      </c>
      <c r="H17243" s="4">
        <v>94573</v>
      </c>
      <c r="I17243" s="4" t="s">
        <v>30</v>
      </c>
      <c r="J17243" s="4" t="s">
        <v>206</v>
      </c>
      <c r="K17243" s="4" t="s">
        <v>163</v>
      </c>
      <c r="L17243" s="4"/>
      <c r="M17243" s="4"/>
      <c r="N17243" s="4" t="s">
        <v>56323</v>
      </c>
      <c r="O17243" s="4"/>
      <c r="P17243" s="4"/>
      <c r="Q17243" s="4">
        <v>0</v>
      </c>
      <c r="R17243" s="4">
        <v>50</v>
      </c>
      <c r="S17243" s="4">
        <v>0</v>
      </c>
      <c r="T17243" s="4" t="s">
        <v>56324</v>
      </c>
      <c r="U17243" s="4"/>
      <c r="V17243" s="4"/>
      <c r="W17243" s="4"/>
      <c r="X17243" s="4"/>
      <c r="Y17243" s="4"/>
    </row>
    <row r="17244" spans="1:25" customFormat="1" x14ac:dyDescent="0.25">
      <c r="A17244" s="4" t="s">
        <v>24</v>
      </c>
      <c r="B17244" s="4" t="s">
        <v>5648</v>
      </c>
      <c r="C17244" s="4" t="str">
        <f>"A0059757"</f>
        <v>A0059757</v>
      </c>
      <c r="D17244" s="4" t="s">
        <v>56378</v>
      </c>
      <c r="E17244" s="4" t="s">
        <v>56379</v>
      </c>
      <c r="F17244" s="4" t="s">
        <v>2557</v>
      </c>
      <c r="G17244" s="4" t="s">
        <v>110</v>
      </c>
      <c r="H17244" s="4">
        <v>92626</v>
      </c>
      <c r="I17244" s="4" t="s">
        <v>30</v>
      </c>
      <c r="J17244" s="4" t="s">
        <v>206</v>
      </c>
      <c r="K17244" s="4" t="s">
        <v>3447</v>
      </c>
      <c r="L17244" s="4"/>
      <c r="M17244" s="4"/>
      <c r="N17244" s="4" t="s">
        <v>56380</v>
      </c>
      <c r="O17244" s="4"/>
      <c r="P17244" s="4"/>
      <c r="Q17244" s="4">
        <v>0</v>
      </c>
      <c r="R17244" s="4">
        <v>238</v>
      </c>
      <c r="S17244" s="4">
        <v>0</v>
      </c>
      <c r="T17244" s="4" t="s">
        <v>56381</v>
      </c>
      <c r="U17244" s="4"/>
      <c r="V17244" s="4"/>
      <c r="W17244" s="4"/>
      <c r="X17244" s="4"/>
      <c r="Y17244" s="4"/>
    </row>
    <row r="17245" spans="1:25" customFormat="1" x14ac:dyDescent="0.25">
      <c r="A17245" s="4" t="s">
        <v>24</v>
      </c>
      <c r="B17245" s="4" t="s">
        <v>56419</v>
      </c>
      <c r="C17245" s="4" t="str">
        <f>"A0054810"</f>
        <v>A0054810</v>
      </c>
      <c r="D17245" s="4" t="s">
        <v>56420</v>
      </c>
      <c r="E17245" s="4" t="s">
        <v>56421</v>
      </c>
      <c r="F17245" s="4" t="s">
        <v>6992</v>
      </c>
      <c r="G17245" s="4" t="s">
        <v>110</v>
      </c>
      <c r="H17245" s="4">
        <v>92663</v>
      </c>
      <c r="I17245" s="4" t="s">
        <v>30</v>
      </c>
      <c r="J17245" s="4" t="s">
        <v>206</v>
      </c>
      <c r="K17245" s="4" t="s">
        <v>163</v>
      </c>
      <c r="L17245" s="4"/>
      <c r="M17245" s="4"/>
      <c r="N17245" s="4" t="s">
        <v>56422</v>
      </c>
      <c r="O17245" s="4" t="s">
        <v>56423</v>
      </c>
      <c r="P17245" s="4"/>
      <c r="Q17245" s="4">
        <v>0</v>
      </c>
      <c r="R17245" s="4">
        <v>159</v>
      </c>
      <c r="S17245" s="4">
        <v>0</v>
      </c>
      <c r="T17245" s="4" t="s">
        <v>56424</v>
      </c>
      <c r="U17245" s="4"/>
      <c r="V17245" s="4"/>
      <c r="W17245" s="4"/>
      <c r="X17245" s="4"/>
      <c r="Y17245" s="4"/>
    </row>
    <row r="17246" spans="1:25" customFormat="1" x14ac:dyDescent="0.25">
      <c r="A17246" s="4" t="s">
        <v>24</v>
      </c>
      <c r="B17246" s="4" t="s">
        <v>2221</v>
      </c>
      <c r="C17246" s="4" t="str">
        <f>"A0091566"</f>
        <v>A0091566</v>
      </c>
      <c r="D17246" s="4" t="s">
        <v>56447</v>
      </c>
      <c r="E17246" s="4" t="s">
        <v>56448</v>
      </c>
      <c r="F17246" s="4" t="s">
        <v>56449</v>
      </c>
      <c r="G17246" s="4" t="s">
        <v>110</v>
      </c>
      <c r="H17246" s="4">
        <v>94599</v>
      </c>
      <c r="I17246" s="4" t="s">
        <v>30</v>
      </c>
      <c r="J17246" s="4" t="s">
        <v>206</v>
      </c>
      <c r="K17246" s="4" t="s">
        <v>163</v>
      </c>
      <c r="L17246" s="4"/>
      <c r="M17246" s="4"/>
      <c r="N17246" s="4" t="s">
        <v>56450</v>
      </c>
      <c r="O17246" s="4" t="s">
        <v>56451</v>
      </c>
      <c r="P17246" s="4"/>
      <c r="Q17246" s="4">
        <v>0</v>
      </c>
      <c r="R17246" s="4">
        <v>62</v>
      </c>
      <c r="S17246" s="4">
        <v>0</v>
      </c>
      <c r="T17246" s="4" t="s">
        <v>56452</v>
      </c>
      <c r="U17246" s="4"/>
      <c r="V17246" s="4"/>
      <c r="W17246" s="4"/>
      <c r="X17246" s="4"/>
      <c r="Y17246" s="4"/>
    </row>
    <row r="17247" spans="1:25" customFormat="1" x14ac:dyDescent="0.25">
      <c r="A17247" s="4" t="s">
        <v>24</v>
      </c>
      <c r="B17247" s="4" t="s">
        <v>56642</v>
      </c>
      <c r="C17247" s="4" t="str">
        <f>"A0098430"</f>
        <v>A0098430</v>
      </c>
      <c r="D17247" s="4" t="s">
        <v>56643</v>
      </c>
      <c r="E17247" s="4" t="s">
        <v>56644</v>
      </c>
      <c r="F17247" s="4" t="s">
        <v>729</v>
      </c>
      <c r="G17247" s="4" t="s">
        <v>110</v>
      </c>
      <c r="H17247" s="4">
        <v>93103</v>
      </c>
      <c r="I17247" s="4" t="s">
        <v>30</v>
      </c>
      <c r="J17247" s="4" t="s">
        <v>206</v>
      </c>
      <c r="K17247" s="4" t="s">
        <v>163</v>
      </c>
      <c r="L17247" s="4"/>
      <c r="M17247" s="4"/>
      <c r="N17247" s="4" t="s">
        <v>56645</v>
      </c>
      <c r="O17247" s="4"/>
      <c r="P17247" s="4"/>
      <c r="Q17247" s="4">
        <v>0</v>
      </c>
      <c r="R17247" s="4">
        <v>92</v>
      </c>
      <c r="S17247" s="4">
        <v>0</v>
      </c>
      <c r="T17247" s="4" t="s">
        <v>56646</v>
      </c>
      <c r="U17247" s="4"/>
      <c r="V17247" s="4"/>
      <c r="W17247" s="4"/>
      <c r="X17247" s="4"/>
      <c r="Y17247" s="4"/>
    </row>
    <row r="17248" spans="1:25" customFormat="1" ht="15" hidden="1" x14ac:dyDescent="0.25">
      <c r="A17248" t="s">
        <v>24</v>
      </c>
      <c r="B17248" t="s">
        <v>675</v>
      </c>
      <c r="C17248" t="str">
        <f>"6513E"</f>
        <v>6513E</v>
      </c>
      <c r="D17248" t="s">
        <v>62043</v>
      </c>
      <c r="E17248" t="s">
        <v>62044</v>
      </c>
      <c r="F17248" t="s">
        <v>13197</v>
      </c>
      <c r="G17248" t="s">
        <v>2206</v>
      </c>
      <c r="H17248" t="s">
        <v>62045</v>
      </c>
      <c r="I17248" t="s">
        <v>1459</v>
      </c>
      <c r="J17248" t="s">
        <v>162</v>
      </c>
      <c r="K17248" t="s">
        <v>973</v>
      </c>
      <c r="N17248" t="s">
        <v>62046</v>
      </c>
      <c r="Q17248">
        <v>0</v>
      </c>
      <c r="R17248">
        <v>575</v>
      </c>
      <c r="S17248">
        <v>0</v>
      </c>
      <c r="T17248" t="s">
        <v>62047</v>
      </c>
    </row>
    <row r="17249" spans="1:25" customFormat="1" ht="15" hidden="1" x14ac:dyDescent="0.25">
      <c r="A17249" t="s">
        <v>24</v>
      </c>
      <c r="B17249" t="s">
        <v>1548</v>
      </c>
      <c r="C17249" t="str">
        <f>"A0094583"</f>
        <v>A0094583</v>
      </c>
      <c r="D17249" t="s">
        <v>62048</v>
      </c>
      <c r="E17249" t="s">
        <v>62049</v>
      </c>
      <c r="F17249" t="s">
        <v>2879</v>
      </c>
      <c r="G17249" t="s">
        <v>2206</v>
      </c>
      <c r="H17249" t="s">
        <v>62050</v>
      </c>
      <c r="I17249" t="s">
        <v>1459</v>
      </c>
      <c r="J17249" t="s">
        <v>171</v>
      </c>
      <c r="K17249" t="s">
        <v>973</v>
      </c>
      <c r="N17249" t="s">
        <v>62051</v>
      </c>
      <c r="O17249" t="s">
        <v>62052</v>
      </c>
      <c r="Q17249">
        <v>0</v>
      </c>
      <c r="R17249">
        <v>144</v>
      </c>
      <c r="S17249">
        <v>0</v>
      </c>
      <c r="T17249" t="s">
        <v>62053</v>
      </c>
    </row>
    <row r="17250" spans="1:25" customFormat="1" x14ac:dyDescent="0.25">
      <c r="A17250" s="4" t="s">
        <v>24</v>
      </c>
      <c r="B17250" s="4" t="s">
        <v>2248</v>
      </c>
      <c r="C17250" s="4" t="str">
        <f>"A0054794"</f>
        <v>A0054794</v>
      </c>
      <c r="D17250" s="4" t="s">
        <v>56684</v>
      </c>
      <c r="E17250" s="4" t="s">
        <v>56685</v>
      </c>
      <c r="F17250" s="4" t="s">
        <v>56686</v>
      </c>
      <c r="G17250" s="4" t="s">
        <v>110</v>
      </c>
      <c r="H17250" s="4">
        <v>93924</v>
      </c>
      <c r="I17250" s="4" t="s">
        <v>30</v>
      </c>
      <c r="J17250" s="4" t="s">
        <v>206</v>
      </c>
      <c r="K17250" s="4" t="s">
        <v>163</v>
      </c>
      <c r="L17250" s="4"/>
      <c r="M17250" s="4"/>
      <c r="N17250" s="4" t="s">
        <v>56687</v>
      </c>
      <c r="O17250" s="4" t="s">
        <v>56688</v>
      </c>
      <c r="P17250" s="4"/>
      <c r="Q17250" s="4">
        <v>0</v>
      </c>
      <c r="R17250" s="4">
        <v>73</v>
      </c>
      <c r="S17250" s="4">
        <v>0</v>
      </c>
      <c r="T17250" s="4" t="s">
        <v>56689</v>
      </c>
      <c r="U17250" s="4"/>
      <c r="V17250" s="4"/>
      <c r="W17250" s="4"/>
      <c r="X17250" s="4"/>
      <c r="Y17250" s="4"/>
    </row>
    <row r="17251" spans="1:25" customFormat="1" x14ac:dyDescent="0.25">
      <c r="A17251" s="4" t="s">
        <v>24</v>
      </c>
      <c r="B17251" s="4" t="s">
        <v>10734</v>
      </c>
      <c r="C17251" s="4" t="str">
        <f>"A0075004"</f>
        <v>A0075004</v>
      </c>
      <c r="D17251" s="4" t="s">
        <v>57891</v>
      </c>
      <c r="E17251" s="4" t="s">
        <v>57892</v>
      </c>
      <c r="F17251" s="4" t="s">
        <v>10401</v>
      </c>
      <c r="G17251" s="4" t="s">
        <v>110</v>
      </c>
      <c r="H17251" s="4">
        <v>90069</v>
      </c>
      <c r="I17251" s="4" t="s">
        <v>30</v>
      </c>
      <c r="J17251" s="4" t="s">
        <v>206</v>
      </c>
      <c r="K17251" s="4" t="s">
        <v>163</v>
      </c>
      <c r="L17251" s="4"/>
      <c r="M17251" s="4"/>
      <c r="N17251" s="4" t="s">
        <v>57893</v>
      </c>
      <c r="O17251" s="4" t="s">
        <v>57894</v>
      </c>
      <c r="P17251" s="4"/>
      <c r="Q17251" s="4">
        <v>0</v>
      </c>
      <c r="R17251" s="4">
        <v>115</v>
      </c>
      <c r="S17251" s="4">
        <v>0</v>
      </c>
      <c r="T17251" s="4" t="s">
        <v>57895</v>
      </c>
      <c r="U17251" s="4"/>
      <c r="V17251" s="4"/>
      <c r="W17251" s="4"/>
      <c r="X17251" s="4"/>
      <c r="Y17251" s="4"/>
    </row>
    <row r="17252" spans="1:25" customFormat="1" x14ac:dyDescent="0.25">
      <c r="A17252" s="4" t="s">
        <v>24</v>
      </c>
      <c r="B17252" s="4" t="s">
        <v>10734</v>
      </c>
      <c r="C17252" s="4" t="str">
        <f>"A0061339"</f>
        <v>A0061339</v>
      </c>
      <c r="D17252" s="4" t="s">
        <v>57896</v>
      </c>
      <c r="E17252" s="4" t="s">
        <v>57897</v>
      </c>
      <c r="F17252" s="4" t="s">
        <v>2039</v>
      </c>
      <c r="G17252" s="4" t="s">
        <v>110</v>
      </c>
      <c r="H17252" s="4">
        <v>95065</v>
      </c>
      <c r="I17252" s="4" t="s">
        <v>30</v>
      </c>
      <c r="J17252" s="4" t="s">
        <v>206</v>
      </c>
      <c r="K17252" s="4" t="s">
        <v>163</v>
      </c>
      <c r="L17252" s="4"/>
      <c r="M17252" s="4"/>
      <c r="N17252" s="4" t="s">
        <v>57898</v>
      </c>
      <c r="O17252" s="4"/>
      <c r="P17252" s="4"/>
      <c r="Q17252" s="4">
        <v>0</v>
      </c>
      <c r="R17252" s="4">
        <v>156</v>
      </c>
      <c r="S17252" s="4">
        <v>0</v>
      </c>
      <c r="T17252" s="4" t="s">
        <v>57899</v>
      </c>
      <c r="U17252" s="4"/>
      <c r="V17252" s="4"/>
      <c r="W17252" s="4"/>
      <c r="X17252" s="4"/>
      <c r="Y17252" s="4"/>
    </row>
    <row r="17253" spans="1:25" customFormat="1" x14ac:dyDescent="0.25">
      <c r="A17253" s="4" t="s">
        <v>24</v>
      </c>
      <c r="B17253" s="4" t="s">
        <v>13304</v>
      </c>
      <c r="C17253" s="4" t="str">
        <f>"A0054734"</f>
        <v>A0054734</v>
      </c>
      <c r="D17253" s="4" t="s">
        <v>58077</v>
      </c>
      <c r="E17253" s="4" t="s">
        <v>58078</v>
      </c>
      <c r="F17253" s="4" t="s">
        <v>20275</v>
      </c>
      <c r="G17253" s="4" t="s">
        <v>110</v>
      </c>
      <c r="H17253" s="4">
        <v>94705</v>
      </c>
      <c r="I17253" s="4" t="s">
        <v>30</v>
      </c>
      <c r="J17253" s="4" t="s">
        <v>206</v>
      </c>
      <c r="K17253" s="4" t="s">
        <v>32744</v>
      </c>
      <c r="L17253" s="4"/>
      <c r="M17253" s="4"/>
      <c r="N17253" s="4" t="s">
        <v>58079</v>
      </c>
      <c r="O17253" s="4"/>
      <c r="P17253" s="4"/>
      <c r="Q17253" s="4">
        <v>0</v>
      </c>
      <c r="R17253" s="4">
        <v>279</v>
      </c>
      <c r="S17253" s="4">
        <v>0</v>
      </c>
      <c r="T17253" s="4" t="s">
        <v>58080</v>
      </c>
      <c r="U17253" s="4"/>
      <c r="V17253" s="4"/>
      <c r="W17253" s="4"/>
      <c r="X17253" s="4"/>
      <c r="Y17253" s="4"/>
    </row>
    <row r="17254" spans="1:25" customFormat="1" x14ac:dyDescent="0.25">
      <c r="A17254" s="4" t="s">
        <v>24</v>
      </c>
      <c r="B17254" s="4" t="s">
        <v>2238</v>
      </c>
      <c r="C17254" s="4" t="str">
        <f>"A0067004"</f>
        <v>A0067004</v>
      </c>
      <c r="D17254" s="4" t="s">
        <v>64359</v>
      </c>
      <c r="E17254" s="4" t="s">
        <v>64360</v>
      </c>
      <c r="F17254" s="4" t="s">
        <v>64361</v>
      </c>
      <c r="G17254" s="4" t="s">
        <v>110</v>
      </c>
      <c r="H17254" s="4">
        <v>92037</v>
      </c>
      <c r="I17254" s="4" t="s">
        <v>30</v>
      </c>
      <c r="J17254" s="4" t="s">
        <v>206</v>
      </c>
      <c r="K17254" s="4" t="s">
        <v>163</v>
      </c>
      <c r="L17254" s="4"/>
      <c r="M17254" s="4"/>
      <c r="N17254" s="4" t="s">
        <v>64362</v>
      </c>
      <c r="O17254" s="4"/>
      <c r="P17254" s="4"/>
      <c r="Q17254" s="4">
        <v>0</v>
      </c>
      <c r="R17254" s="4">
        <v>210</v>
      </c>
      <c r="S17254" s="4">
        <v>0</v>
      </c>
      <c r="T17254" s="4" t="s">
        <v>64363</v>
      </c>
      <c r="U17254" s="4"/>
      <c r="V17254" s="4"/>
      <c r="W17254" s="4"/>
      <c r="X17254" s="4"/>
      <c r="Y17254" s="4"/>
    </row>
    <row r="17255" spans="1:25" customFormat="1" x14ac:dyDescent="0.25">
      <c r="A17255" s="4" t="s">
        <v>24</v>
      </c>
      <c r="B17255" s="4" t="s">
        <v>13304</v>
      </c>
      <c r="C17255" s="4" t="str">
        <f>"A0077522"</f>
        <v>A0077522</v>
      </c>
      <c r="D17255" s="4" t="s">
        <v>66090</v>
      </c>
      <c r="E17255" s="4" t="s">
        <v>66091</v>
      </c>
      <c r="F17255" s="4" t="s">
        <v>1519</v>
      </c>
      <c r="G17255" s="4" t="s">
        <v>110</v>
      </c>
      <c r="H17255" s="4">
        <v>90067</v>
      </c>
      <c r="I17255" s="4" t="s">
        <v>30</v>
      </c>
      <c r="J17255" s="4" t="s">
        <v>206</v>
      </c>
      <c r="K17255" s="4" t="s">
        <v>32744</v>
      </c>
      <c r="L17255" s="4"/>
      <c r="M17255" s="4"/>
      <c r="N17255" s="4" t="s">
        <v>66092</v>
      </c>
      <c r="O17255" s="4"/>
      <c r="P17255" s="4"/>
      <c r="Q17255" s="4">
        <v>0</v>
      </c>
      <c r="R17255" s="4">
        <v>726</v>
      </c>
      <c r="S17255" s="4">
        <v>0</v>
      </c>
      <c r="T17255" s="4" t="s">
        <v>66093</v>
      </c>
      <c r="U17255" s="4"/>
      <c r="V17255" s="4"/>
      <c r="W17255" s="4"/>
      <c r="X17255" s="4"/>
      <c r="Y17255" s="4"/>
    </row>
    <row r="17256" spans="1:25" customFormat="1" x14ac:dyDescent="0.25">
      <c r="A17256" s="4" t="s">
        <v>24</v>
      </c>
      <c r="B17256" s="4" t="s">
        <v>13304</v>
      </c>
      <c r="C17256" s="4" t="str">
        <f>"A0094601"</f>
        <v>A0094601</v>
      </c>
      <c r="D17256" s="4" t="s">
        <v>66098</v>
      </c>
      <c r="E17256" s="4" t="s">
        <v>66099</v>
      </c>
      <c r="F17256" s="4" t="s">
        <v>2978</v>
      </c>
      <c r="G17256" s="4" t="s">
        <v>110</v>
      </c>
      <c r="H17256" s="4">
        <v>92130</v>
      </c>
      <c r="I17256" s="4" t="s">
        <v>30</v>
      </c>
      <c r="J17256" s="4" t="s">
        <v>206</v>
      </c>
      <c r="K17256" s="4" t="s">
        <v>32744</v>
      </c>
      <c r="L17256" s="4"/>
      <c r="M17256" s="4"/>
      <c r="N17256" s="4" t="s">
        <v>66100</v>
      </c>
      <c r="O17256" s="4" t="s">
        <v>66101</v>
      </c>
      <c r="P17256" s="4"/>
      <c r="Q17256" s="4">
        <v>1</v>
      </c>
      <c r="R17256" s="4">
        <v>249</v>
      </c>
      <c r="S17256" s="4">
        <v>0</v>
      </c>
      <c r="T17256" s="4" t="s">
        <v>66102</v>
      </c>
      <c r="U17256" s="4"/>
      <c r="V17256" s="4"/>
      <c r="W17256" s="4"/>
      <c r="X17256" s="4"/>
      <c r="Y17256" s="4"/>
    </row>
    <row r="17257" spans="1:25" customFormat="1" x14ac:dyDescent="0.25">
      <c r="A17257" s="4" t="s">
        <v>24</v>
      </c>
      <c r="B17257" s="4" t="s">
        <v>13304</v>
      </c>
      <c r="C17257" s="4" t="str">
        <f>"FM009"</f>
        <v>FM009</v>
      </c>
      <c r="D17257" s="4" t="s">
        <v>66117</v>
      </c>
      <c r="E17257" s="4" t="s">
        <v>66118</v>
      </c>
      <c r="F17257" s="4" t="s">
        <v>748</v>
      </c>
      <c r="G17257" s="4" t="s">
        <v>110</v>
      </c>
      <c r="H17257" s="4">
        <v>94108</v>
      </c>
      <c r="I17257" s="4" t="s">
        <v>30</v>
      </c>
      <c r="J17257" s="4" t="s">
        <v>206</v>
      </c>
      <c r="K17257" s="4" t="s">
        <v>32744</v>
      </c>
      <c r="L17257" s="4"/>
      <c r="M17257" s="4"/>
      <c r="N17257" s="4"/>
      <c r="O17257" s="4"/>
      <c r="P17257" s="4"/>
      <c r="Q17257" s="4">
        <v>0</v>
      </c>
      <c r="R17257" s="4">
        <v>591</v>
      </c>
      <c r="S17257" s="4">
        <v>0</v>
      </c>
      <c r="T17257" s="4" t="s">
        <v>66119</v>
      </c>
      <c r="U17257" s="4"/>
      <c r="V17257" s="4"/>
      <c r="W17257" s="4"/>
      <c r="X17257" s="4"/>
      <c r="Y17257" s="4"/>
    </row>
    <row r="17258" spans="1:25" customFormat="1" x14ac:dyDescent="0.25">
      <c r="A17258" s="4" t="s">
        <v>24</v>
      </c>
      <c r="B17258" s="4" t="s">
        <v>66181</v>
      </c>
      <c r="C17258" s="4" t="str">
        <f>"A0063190"</f>
        <v>A0063190</v>
      </c>
      <c r="D17258" s="4" t="s">
        <v>66182</v>
      </c>
      <c r="E17258" s="4" t="s">
        <v>66183</v>
      </c>
      <c r="F17258" s="4" t="s">
        <v>34412</v>
      </c>
      <c r="G17258" s="4" t="s">
        <v>110</v>
      </c>
      <c r="H17258" s="4">
        <v>92660</v>
      </c>
      <c r="I17258" s="4" t="s">
        <v>30</v>
      </c>
      <c r="J17258" s="4" t="s">
        <v>206</v>
      </c>
      <c r="K17258" s="4" t="s">
        <v>163</v>
      </c>
      <c r="L17258" s="4"/>
      <c r="M17258" s="4"/>
      <c r="N17258" s="4" t="s">
        <v>66184</v>
      </c>
      <c r="O17258" s="4" t="s">
        <v>66185</v>
      </c>
      <c r="P17258" s="4" t="s">
        <v>6426</v>
      </c>
      <c r="Q17258" s="4">
        <v>1</v>
      </c>
      <c r="R17258" s="4">
        <v>295</v>
      </c>
      <c r="S17258" s="4">
        <v>0</v>
      </c>
      <c r="T17258" s="4" t="s">
        <v>66186</v>
      </c>
      <c r="U17258" s="4"/>
      <c r="V17258" s="4"/>
      <c r="W17258" s="4"/>
      <c r="X17258" s="4"/>
      <c r="Y17258" s="4"/>
    </row>
    <row r="17259" spans="1:25" customFormat="1" x14ac:dyDescent="0.25">
      <c r="A17259" s="4" t="s">
        <v>24</v>
      </c>
      <c r="B17259" s="4" t="s">
        <v>66557</v>
      </c>
      <c r="C17259" s="4" t="str">
        <f>"A0100512"</f>
        <v>A0100512</v>
      </c>
      <c r="D17259" s="4" t="s">
        <v>66558</v>
      </c>
      <c r="E17259" s="4" t="s">
        <v>66559</v>
      </c>
      <c r="F17259" s="4" t="s">
        <v>11003</v>
      </c>
      <c r="G17259" s="4" t="s">
        <v>110</v>
      </c>
      <c r="H17259" s="4">
        <v>92011</v>
      </c>
      <c r="I17259" s="4" t="s">
        <v>30</v>
      </c>
      <c r="J17259" s="4" t="s">
        <v>206</v>
      </c>
      <c r="K17259" s="4" t="s">
        <v>11680</v>
      </c>
      <c r="L17259" s="4"/>
      <c r="M17259" s="4"/>
      <c r="N17259" s="4" t="s">
        <v>66560</v>
      </c>
      <c r="O17259" s="4" t="s">
        <v>66561</v>
      </c>
      <c r="P17259" s="4"/>
      <c r="Q17259" s="4">
        <v>0</v>
      </c>
      <c r="R17259" s="4">
        <v>246</v>
      </c>
      <c r="S17259" s="4">
        <v>0</v>
      </c>
      <c r="T17259" s="4" t="s">
        <v>66562</v>
      </c>
      <c r="U17259" s="4"/>
      <c r="V17259" s="4"/>
      <c r="W17259" s="4"/>
      <c r="X17259" s="4"/>
      <c r="Y17259" s="4"/>
    </row>
    <row r="17260" spans="1:25" customFormat="1" x14ac:dyDescent="0.25">
      <c r="A17260" s="4" t="s">
        <v>24</v>
      </c>
      <c r="B17260" s="4" t="s">
        <v>2373</v>
      </c>
      <c r="C17260" s="4" t="str">
        <f>"A0060618"</f>
        <v>A0060618</v>
      </c>
      <c r="D17260" s="4" t="s">
        <v>66917</v>
      </c>
      <c r="E17260" s="4" t="s">
        <v>66918</v>
      </c>
      <c r="F17260" s="4" t="s">
        <v>15046</v>
      </c>
      <c r="G17260" s="4" t="s">
        <v>110</v>
      </c>
      <c r="H17260" s="4">
        <v>94065</v>
      </c>
      <c r="I17260" s="4" t="s">
        <v>30</v>
      </c>
      <c r="J17260" s="4" t="s">
        <v>206</v>
      </c>
      <c r="K17260" s="4" t="s">
        <v>2492</v>
      </c>
      <c r="L17260" s="4"/>
      <c r="M17260" s="4"/>
      <c r="N17260" s="4" t="s">
        <v>66919</v>
      </c>
      <c r="O17260" s="4"/>
      <c r="P17260" s="4"/>
      <c r="Q17260" s="4">
        <v>0</v>
      </c>
      <c r="R17260" s="4">
        <v>421</v>
      </c>
      <c r="S17260" s="4">
        <v>0</v>
      </c>
      <c r="T17260" s="4" t="s">
        <v>66920</v>
      </c>
      <c r="U17260" s="4"/>
      <c r="V17260" s="4"/>
      <c r="W17260" s="4"/>
      <c r="X17260" s="4"/>
      <c r="Y17260" s="4"/>
    </row>
    <row r="17261" spans="1:25" customFormat="1" x14ac:dyDescent="0.25">
      <c r="A17261" s="4" t="s">
        <v>24</v>
      </c>
      <c r="B17261" s="4" t="s">
        <v>2221</v>
      </c>
      <c r="C17261" s="4" t="str">
        <f>"SF04377"</f>
        <v>SF04377</v>
      </c>
      <c r="D17261" s="4" t="s">
        <v>72654</v>
      </c>
      <c r="E17261" s="4" t="s">
        <v>72655</v>
      </c>
      <c r="F17261" s="4" t="s">
        <v>27607</v>
      </c>
      <c r="G17261" s="4" t="s">
        <v>110</v>
      </c>
      <c r="H17261" s="4">
        <v>95060</v>
      </c>
      <c r="I17261" s="4" t="s">
        <v>30</v>
      </c>
      <c r="J17261" s="4" t="s">
        <v>206</v>
      </c>
      <c r="K17261" s="4" t="s">
        <v>6459</v>
      </c>
      <c r="L17261" s="4"/>
      <c r="M17261" s="4"/>
      <c r="N17261" s="4" t="s">
        <v>72656</v>
      </c>
      <c r="O17261" s="4" t="s">
        <v>72657</v>
      </c>
      <c r="P17261" s="4"/>
      <c r="Q17261" s="4">
        <v>0</v>
      </c>
      <c r="R17261" s="4">
        <v>170</v>
      </c>
      <c r="S17261" s="4">
        <v>0</v>
      </c>
      <c r="T17261" s="4" t="s">
        <v>72658</v>
      </c>
      <c r="U17261" s="4"/>
      <c r="V17261" s="4"/>
      <c r="W17261" s="4"/>
      <c r="X17261" s="4"/>
      <c r="Y17261" s="4"/>
    </row>
    <row r="17262" spans="1:25" customFormat="1" ht="15" hidden="1" x14ac:dyDescent="0.25">
      <c r="A17262" t="s">
        <v>24</v>
      </c>
      <c r="B17262" t="s">
        <v>62111</v>
      </c>
      <c r="C17262" t="str">
        <f>"A0099667"</f>
        <v>A0099667</v>
      </c>
      <c r="D17262" t="s">
        <v>62112</v>
      </c>
      <c r="E17262" t="s">
        <v>62113</v>
      </c>
      <c r="F17262" t="s">
        <v>62114</v>
      </c>
      <c r="G17262" t="s">
        <v>62115</v>
      </c>
      <c r="H17262">
        <v>86035</v>
      </c>
      <c r="I17262" t="s">
        <v>2408</v>
      </c>
      <c r="J17262" t="s">
        <v>171</v>
      </c>
      <c r="K17262" t="s">
        <v>973</v>
      </c>
      <c r="N17262" t="s">
        <v>62116</v>
      </c>
      <c r="Q17262">
        <v>0</v>
      </c>
      <c r="R17262">
        <v>145</v>
      </c>
      <c r="S17262">
        <v>0</v>
      </c>
      <c r="T17262" t="s">
        <v>62117</v>
      </c>
    </row>
    <row r="17263" spans="1:25" customFormat="1" x14ac:dyDescent="0.25">
      <c r="A17263" s="4" t="s">
        <v>24</v>
      </c>
      <c r="B17263" s="4" t="s">
        <v>2373</v>
      </c>
      <c r="C17263" s="4" t="str">
        <f>"A0095955"</f>
        <v>A0095955</v>
      </c>
      <c r="D17263" s="4" t="s">
        <v>72679</v>
      </c>
      <c r="E17263" s="4" t="s">
        <v>72680</v>
      </c>
      <c r="F17263" s="4" t="s">
        <v>2978</v>
      </c>
      <c r="G17263" s="4" t="s">
        <v>110</v>
      </c>
      <c r="H17263" s="4">
        <v>92101</v>
      </c>
      <c r="I17263" s="4" t="s">
        <v>30</v>
      </c>
      <c r="J17263" s="4" t="s">
        <v>206</v>
      </c>
      <c r="K17263" s="4" t="s">
        <v>6459</v>
      </c>
      <c r="L17263" s="4"/>
      <c r="M17263" s="4"/>
      <c r="N17263" s="4" t="s">
        <v>72681</v>
      </c>
      <c r="O17263" s="4" t="s">
        <v>72682</v>
      </c>
      <c r="P17263" s="4"/>
      <c r="Q17263" s="4">
        <v>0</v>
      </c>
      <c r="R17263" s="4">
        <v>258</v>
      </c>
      <c r="S17263" s="4">
        <v>0</v>
      </c>
      <c r="T17263" s="4" t="s">
        <v>72683</v>
      </c>
      <c r="U17263" s="4"/>
      <c r="V17263" s="4"/>
      <c r="W17263" s="4"/>
      <c r="X17263" s="4"/>
      <c r="Y17263" s="4"/>
    </row>
    <row r="17264" spans="1:25" customFormat="1" x14ac:dyDescent="0.25">
      <c r="A17264" s="4" t="s">
        <v>24</v>
      </c>
      <c r="B17264" s="4" t="s">
        <v>10734</v>
      </c>
      <c r="C17264" s="4" t="str">
        <f>"A0055661"</f>
        <v>A0055661</v>
      </c>
      <c r="D17264" s="4" t="s">
        <v>72696</v>
      </c>
      <c r="E17264" s="4" t="s">
        <v>72697</v>
      </c>
      <c r="F17264" s="4" t="s">
        <v>748</v>
      </c>
      <c r="G17264" s="4" t="s">
        <v>110</v>
      </c>
      <c r="H17264" s="4">
        <v>94102</v>
      </c>
      <c r="I17264" s="4" t="s">
        <v>30</v>
      </c>
      <c r="J17264" s="4" t="s">
        <v>206</v>
      </c>
      <c r="K17264" s="4" t="s">
        <v>163</v>
      </c>
      <c r="L17264" s="4"/>
      <c r="M17264" s="4"/>
      <c r="N17264" s="4" t="s">
        <v>72698</v>
      </c>
      <c r="O17264" s="4" t="s">
        <v>72699</v>
      </c>
      <c r="P17264" s="4"/>
      <c r="Q17264" s="4">
        <v>0</v>
      </c>
      <c r="R17264" s="4">
        <v>236</v>
      </c>
      <c r="S17264" s="4">
        <v>0</v>
      </c>
      <c r="T17264" s="4" t="s">
        <v>72700</v>
      </c>
      <c r="U17264" s="4"/>
      <c r="V17264" s="4"/>
      <c r="W17264" s="4"/>
      <c r="X17264" s="4"/>
      <c r="Y17264" s="4"/>
    </row>
    <row r="17265" spans="1:25" customFormat="1" x14ac:dyDescent="0.25">
      <c r="A17265" s="4" t="s">
        <v>24</v>
      </c>
      <c r="B17265" s="4" t="s">
        <v>2221</v>
      </c>
      <c r="C17265" s="4" t="str">
        <f>"A0099285"</f>
        <v>A0099285</v>
      </c>
      <c r="D17265" s="4" t="s">
        <v>72744</v>
      </c>
      <c r="E17265" s="4" t="s">
        <v>72745</v>
      </c>
      <c r="F17265" s="4" t="s">
        <v>56449</v>
      </c>
      <c r="G17265" s="4" t="s">
        <v>110</v>
      </c>
      <c r="H17265" s="4">
        <v>94599</v>
      </c>
      <c r="I17265" s="4" t="s">
        <v>30</v>
      </c>
      <c r="J17265" s="4" t="s">
        <v>206</v>
      </c>
      <c r="K17265" s="4" t="s">
        <v>163</v>
      </c>
      <c r="L17265" s="4"/>
      <c r="M17265" s="4"/>
      <c r="N17265" s="4" t="s">
        <v>56450</v>
      </c>
      <c r="O17265" s="4"/>
      <c r="P17265" s="4"/>
      <c r="Q17265" s="4">
        <v>0</v>
      </c>
      <c r="R17265" s="4">
        <v>80</v>
      </c>
      <c r="S17265" s="4">
        <v>0</v>
      </c>
      <c r="T17265" s="4" t="s">
        <v>72746</v>
      </c>
      <c r="U17265" s="4"/>
      <c r="V17265" s="4"/>
      <c r="W17265" s="4"/>
      <c r="X17265" s="4"/>
      <c r="Y17265" s="4"/>
    </row>
    <row r="17266" spans="1:25" customFormat="1" x14ac:dyDescent="0.25">
      <c r="A17266" s="4" t="s">
        <v>24</v>
      </c>
      <c r="B17266" s="4" t="s">
        <v>675</v>
      </c>
      <c r="C17266" s="4" t="str">
        <f>"A0154554"</f>
        <v>A0154554</v>
      </c>
      <c r="D17266" s="4" t="s">
        <v>74343</v>
      </c>
      <c r="E17266" s="4" t="s">
        <v>74344</v>
      </c>
      <c r="F17266" s="4" t="s">
        <v>74345</v>
      </c>
      <c r="G17266" s="4" t="s">
        <v>110</v>
      </c>
      <c r="H17266" s="4">
        <v>92675</v>
      </c>
      <c r="I17266" s="4" t="s">
        <v>30</v>
      </c>
      <c r="J17266" s="4" t="s">
        <v>206</v>
      </c>
      <c r="K17266" s="4" t="s">
        <v>6459</v>
      </c>
      <c r="L17266" s="4"/>
      <c r="M17266" s="4"/>
      <c r="N17266" s="4" t="s">
        <v>74346</v>
      </c>
      <c r="O17266" s="4"/>
      <c r="P17266" s="4"/>
      <c r="Q17266" s="4">
        <v>0</v>
      </c>
      <c r="R17266" s="4">
        <v>124</v>
      </c>
      <c r="S17266" s="4">
        <v>0</v>
      </c>
      <c r="T17266" s="4" t="s">
        <v>74347</v>
      </c>
      <c r="U17266" s="4"/>
      <c r="V17266" s="4"/>
      <c r="W17266" s="4"/>
      <c r="X17266" s="4"/>
      <c r="Y17266" s="4"/>
    </row>
    <row r="17267" spans="1:25" customFormat="1" x14ac:dyDescent="0.25">
      <c r="A17267" s="4" t="s">
        <v>24</v>
      </c>
      <c r="B17267" s="4" t="s">
        <v>5843</v>
      </c>
      <c r="C17267" s="4" t="str">
        <f>"A0063652"</f>
        <v>A0063652</v>
      </c>
      <c r="D17267" s="4" t="s">
        <v>74901</v>
      </c>
      <c r="E17267" s="4" t="s">
        <v>74902</v>
      </c>
      <c r="F17267" s="4" t="s">
        <v>64361</v>
      </c>
      <c r="G17267" s="4" t="s">
        <v>110</v>
      </c>
      <c r="H17267" s="4" t="s">
        <v>74903</v>
      </c>
      <c r="I17267" s="4" t="s">
        <v>30</v>
      </c>
      <c r="J17267" s="4" t="s">
        <v>206</v>
      </c>
      <c r="K17267" s="4" t="s">
        <v>67127</v>
      </c>
      <c r="L17267" s="4"/>
      <c r="M17267" s="4"/>
      <c r="N17267" s="4" t="s">
        <v>74904</v>
      </c>
      <c r="O17267" s="4"/>
      <c r="P17267" s="4"/>
      <c r="Q17267" s="4">
        <v>0</v>
      </c>
      <c r="R17267" s="4">
        <v>112</v>
      </c>
      <c r="S17267" s="4">
        <v>0</v>
      </c>
      <c r="T17267" s="4" t="s">
        <v>74905</v>
      </c>
      <c r="U17267" s="4"/>
      <c r="V17267" s="4"/>
      <c r="W17267" s="4"/>
      <c r="X17267" s="4"/>
      <c r="Y17267" s="4"/>
    </row>
    <row r="17268" spans="1:25" customFormat="1" x14ac:dyDescent="0.25">
      <c r="A17268" s="4" t="s">
        <v>24</v>
      </c>
      <c r="B17268" s="4" t="s">
        <v>675</v>
      </c>
      <c r="C17268" s="4" t="str">
        <f>"A0099647"</f>
        <v>A0099647</v>
      </c>
      <c r="D17268" s="4" t="s">
        <v>75161</v>
      </c>
      <c r="E17268" s="4" t="s">
        <v>75162</v>
      </c>
      <c r="F17268" s="4" t="s">
        <v>34412</v>
      </c>
      <c r="G17268" s="4" t="s">
        <v>110</v>
      </c>
      <c r="H17268" s="4">
        <v>92663</v>
      </c>
      <c r="I17268" s="4" t="s">
        <v>30</v>
      </c>
      <c r="J17268" s="4" t="s">
        <v>206</v>
      </c>
      <c r="K17268" s="4" t="s">
        <v>6459</v>
      </c>
      <c r="L17268" s="4"/>
      <c r="M17268" s="4"/>
      <c r="N17268" s="4" t="s">
        <v>75163</v>
      </c>
      <c r="O17268" s="4" t="s">
        <v>75164</v>
      </c>
      <c r="P17268" s="4"/>
      <c r="Q17268" s="4">
        <v>0</v>
      </c>
      <c r="R17268" s="4">
        <v>130</v>
      </c>
      <c r="S17268" s="4">
        <v>0</v>
      </c>
      <c r="T17268" s="4" t="s">
        <v>75165</v>
      </c>
      <c r="U17268" s="4"/>
      <c r="V17268" s="4"/>
      <c r="W17268" s="4"/>
      <c r="X17268" s="4"/>
      <c r="Y17268" s="4"/>
    </row>
    <row r="17269" spans="1:25" customFormat="1" x14ac:dyDescent="0.25">
      <c r="A17269" s="4" t="s">
        <v>24</v>
      </c>
      <c r="B17269" s="4" t="s">
        <v>2373</v>
      </c>
      <c r="C17269" s="4" t="str">
        <f>"A0088838"</f>
        <v>A0088838</v>
      </c>
      <c r="D17269" s="4" t="s">
        <v>75452</v>
      </c>
      <c r="E17269" s="4" t="s">
        <v>75453</v>
      </c>
      <c r="F17269" s="4" t="s">
        <v>729</v>
      </c>
      <c r="G17269" s="4" t="s">
        <v>110</v>
      </c>
      <c r="H17269" s="4">
        <v>93103</v>
      </c>
      <c r="I17269" s="4" t="s">
        <v>30</v>
      </c>
      <c r="J17269" s="4" t="s">
        <v>206</v>
      </c>
      <c r="K17269" s="4" t="s">
        <v>13297</v>
      </c>
      <c r="L17269" s="4"/>
      <c r="M17269" s="4"/>
      <c r="N17269" s="4" t="s">
        <v>75454</v>
      </c>
      <c r="O17269" s="4"/>
      <c r="P17269" s="4"/>
      <c r="Q17269" s="4">
        <v>0</v>
      </c>
      <c r="R17269" s="4">
        <v>173</v>
      </c>
      <c r="S17269" s="4">
        <v>0</v>
      </c>
      <c r="T17269" s="4" t="s">
        <v>75455</v>
      </c>
      <c r="U17269" s="4"/>
      <c r="V17269" s="4"/>
      <c r="W17269" s="4"/>
      <c r="X17269" s="4"/>
      <c r="Y17269" s="4"/>
    </row>
    <row r="17270" spans="1:25" customFormat="1" x14ac:dyDescent="0.25">
      <c r="A17270" s="4" t="s">
        <v>24</v>
      </c>
      <c r="B17270" s="4" t="s">
        <v>814</v>
      </c>
      <c r="C17270" s="4" t="str">
        <f>"A0095216"</f>
        <v>A0095216</v>
      </c>
      <c r="D17270" s="4" t="s">
        <v>75472</v>
      </c>
      <c r="E17270" s="4" t="s">
        <v>75473</v>
      </c>
      <c r="F17270" s="4" t="s">
        <v>7063</v>
      </c>
      <c r="G17270" s="4" t="s">
        <v>110</v>
      </c>
      <c r="H17270" s="4">
        <v>92262</v>
      </c>
      <c r="I17270" s="4" t="s">
        <v>30</v>
      </c>
      <c r="J17270" s="4" t="s">
        <v>206</v>
      </c>
      <c r="K17270" s="4" t="s">
        <v>163</v>
      </c>
      <c r="L17270" s="4"/>
      <c r="M17270" s="4"/>
      <c r="N17270" s="4" t="s">
        <v>75474</v>
      </c>
      <c r="O17270" s="4" t="s">
        <v>75475</v>
      </c>
      <c r="P17270" s="4"/>
      <c r="Q17270" s="4">
        <v>0</v>
      </c>
      <c r="R17270" s="4">
        <v>398</v>
      </c>
      <c r="S17270" s="4">
        <v>0</v>
      </c>
      <c r="T17270" s="4" t="s">
        <v>75476</v>
      </c>
      <c r="U17270" s="4"/>
      <c r="V17270" s="4"/>
      <c r="W17270" s="4"/>
      <c r="X17270" s="4"/>
      <c r="Y17270" s="4"/>
    </row>
    <row r="17271" spans="1:25" customFormat="1" x14ac:dyDescent="0.25">
      <c r="A17271" s="4" t="s">
        <v>24</v>
      </c>
      <c r="B17271" s="4" t="s">
        <v>2221</v>
      </c>
      <c r="C17271" s="4" t="str">
        <f>"9672X"</f>
        <v>9672X</v>
      </c>
      <c r="D17271" s="4" t="s">
        <v>76591</v>
      </c>
      <c r="E17271" s="4" t="s">
        <v>76592</v>
      </c>
      <c r="F17271" s="4" t="s">
        <v>1519</v>
      </c>
      <c r="G17271" s="4" t="s">
        <v>110</v>
      </c>
      <c r="H17271" s="4">
        <v>90035</v>
      </c>
      <c r="I17271" s="4" t="s">
        <v>30</v>
      </c>
      <c r="J17271" s="4" t="s">
        <v>206</v>
      </c>
      <c r="K17271" s="4" t="s">
        <v>163</v>
      </c>
      <c r="L17271" s="4"/>
      <c r="M17271" s="4"/>
      <c r="N17271" s="4" t="s">
        <v>76593</v>
      </c>
      <c r="O17271" s="4"/>
      <c r="P17271" s="4"/>
      <c r="Q17271" s="4">
        <v>0</v>
      </c>
      <c r="R17271" s="4">
        <v>137</v>
      </c>
      <c r="S17271" s="4">
        <v>0</v>
      </c>
      <c r="T17271" s="4" t="s">
        <v>76594</v>
      </c>
      <c r="U17271" s="4"/>
      <c r="V17271" s="4"/>
      <c r="W17271" s="4"/>
      <c r="X17271" s="4"/>
      <c r="Y17271" s="4"/>
    </row>
    <row r="17272" spans="1:25" customFormat="1" x14ac:dyDescent="0.25">
      <c r="A17272" s="4" t="s">
        <v>24</v>
      </c>
      <c r="B17272" s="4" t="s">
        <v>77144</v>
      </c>
      <c r="C17272" s="4" t="str">
        <f>"A0051730"</f>
        <v>A0051730</v>
      </c>
      <c r="D17272" s="4" t="s">
        <v>77145</v>
      </c>
      <c r="E17272" s="4" t="s">
        <v>77146</v>
      </c>
      <c r="F17272" s="4" t="s">
        <v>77147</v>
      </c>
      <c r="G17272" s="4" t="s">
        <v>110</v>
      </c>
      <c r="H17272" s="4">
        <v>91744</v>
      </c>
      <c r="I17272" s="4" t="s">
        <v>30</v>
      </c>
      <c r="J17272" s="4" t="s">
        <v>206</v>
      </c>
      <c r="K17272" s="4" t="s">
        <v>163</v>
      </c>
      <c r="L17272" s="4"/>
      <c r="M17272" s="4"/>
      <c r="N17272" s="4" t="s">
        <v>77148</v>
      </c>
      <c r="O17272" s="4" t="s">
        <v>77149</v>
      </c>
      <c r="P17272" s="4" t="s">
        <v>3998</v>
      </c>
      <c r="Q17272" s="4">
        <v>0</v>
      </c>
      <c r="R17272" s="4">
        <v>292</v>
      </c>
      <c r="S17272" s="4">
        <v>0</v>
      </c>
      <c r="T17272" s="4" t="s">
        <v>77150</v>
      </c>
      <c r="U17272" s="4"/>
      <c r="V17272" s="4"/>
      <c r="W17272" s="4"/>
      <c r="X17272" s="4"/>
      <c r="Y17272" s="4"/>
    </row>
    <row r="17273" spans="1:25" customFormat="1" x14ac:dyDescent="0.25">
      <c r="A17273" s="4" t="s">
        <v>24</v>
      </c>
      <c r="B17273" s="4" t="s">
        <v>675</v>
      </c>
      <c r="C17273" s="4" t="str">
        <f>"A0096716"</f>
        <v>A0096716</v>
      </c>
      <c r="D17273" s="4" t="s">
        <v>77159</v>
      </c>
      <c r="E17273" s="4" t="s">
        <v>77160</v>
      </c>
      <c r="F17273" s="4" t="s">
        <v>748</v>
      </c>
      <c r="G17273" s="4" t="s">
        <v>110</v>
      </c>
      <c r="H17273" s="4">
        <v>94105</v>
      </c>
      <c r="I17273" s="4" t="s">
        <v>30</v>
      </c>
      <c r="J17273" s="4" t="s">
        <v>206</v>
      </c>
      <c r="K17273" s="4" t="s">
        <v>55170</v>
      </c>
      <c r="L17273" s="4"/>
      <c r="M17273" s="4"/>
      <c r="N17273" s="4" t="s">
        <v>77161</v>
      </c>
      <c r="O17273" s="4" t="s">
        <v>77162</v>
      </c>
      <c r="P17273" s="4"/>
      <c r="Q17273" s="4">
        <v>0</v>
      </c>
      <c r="R17273" s="4">
        <v>556</v>
      </c>
      <c r="S17273" s="4">
        <v>0</v>
      </c>
      <c r="T17273" s="4" t="s">
        <v>77163</v>
      </c>
      <c r="U17273" s="4"/>
      <c r="V17273" s="4"/>
      <c r="W17273" s="4"/>
      <c r="X17273" s="4"/>
      <c r="Y17273" s="4"/>
    </row>
    <row r="17274" spans="1:25" customFormat="1" x14ac:dyDescent="0.25">
      <c r="A17274" s="4" t="s">
        <v>24</v>
      </c>
      <c r="B17274" s="4" t="s">
        <v>2011</v>
      </c>
      <c r="C17274" s="4" t="str">
        <f>"A0063189"</f>
        <v>A0063189</v>
      </c>
      <c r="D17274" s="4" t="s">
        <v>77215</v>
      </c>
      <c r="E17274" s="4" t="s">
        <v>77216</v>
      </c>
      <c r="F17274" s="4" t="s">
        <v>11003</v>
      </c>
      <c r="G17274" s="4" t="s">
        <v>110</v>
      </c>
      <c r="H17274" s="4">
        <v>92011</v>
      </c>
      <c r="I17274" s="4" t="s">
        <v>30</v>
      </c>
      <c r="J17274" s="4" t="s">
        <v>206</v>
      </c>
      <c r="K17274" s="4" t="s">
        <v>77217</v>
      </c>
      <c r="L17274" s="4"/>
      <c r="M17274" s="4"/>
      <c r="N17274" s="4" t="s">
        <v>77218</v>
      </c>
      <c r="O17274" s="4" t="s">
        <v>77219</v>
      </c>
      <c r="P17274" s="4" t="s">
        <v>3998</v>
      </c>
      <c r="Q17274" s="4">
        <v>1</v>
      </c>
      <c r="R17274" s="4">
        <v>327</v>
      </c>
      <c r="S17274" s="4">
        <v>0</v>
      </c>
      <c r="T17274" s="4" t="s">
        <v>77220</v>
      </c>
      <c r="U17274" s="4"/>
      <c r="V17274" s="4"/>
      <c r="W17274" s="4"/>
      <c r="X17274" s="4"/>
      <c r="Y17274" s="4"/>
    </row>
    <row r="17275" spans="1:25" customFormat="1" x14ac:dyDescent="0.25">
      <c r="A17275" s="4" t="s">
        <v>24</v>
      </c>
      <c r="B17275" s="4" t="s">
        <v>1849</v>
      </c>
      <c r="C17275" s="4" t="str">
        <f>"A0088917"</f>
        <v>A0088917</v>
      </c>
      <c r="D17275" s="4" t="s">
        <v>77296</v>
      </c>
      <c r="E17275" s="4" t="s">
        <v>77297</v>
      </c>
      <c r="F17275" s="4" t="s">
        <v>77298</v>
      </c>
      <c r="G17275" s="4" t="s">
        <v>110</v>
      </c>
      <c r="H17275" s="4">
        <v>93953</v>
      </c>
      <c r="I17275" s="4" t="s">
        <v>30</v>
      </c>
      <c r="J17275" s="4" t="s">
        <v>206</v>
      </c>
      <c r="K17275" s="4" t="s">
        <v>163</v>
      </c>
      <c r="L17275" s="4"/>
      <c r="M17275" s="4"/>
      <c r="N17275" s="4" t="s">
        <v>77299</v>
      </c>
      <c r="O17275" s="4" t="s">
        <v>77300</v>
      </c>
      <c r="P17275" s="4"/>
      <c r="Q17275" s="4">
        <v>5</v>
      </c>
      <c r="R17275" s="4">
        <v>454</v>
      </c>
      <c r="S17275" s="4">
        <v>0</v>
      </c>
      <c r="T17275" s="4" t="s">
        <v>77301</v>
      </c>
      <c r="U17275" s="4"/>
      <c r="V17275" s="4"/>
      <c r="W17275" s="4"/>
      <c r="X17275" s="4"/>
      <c r="Y17275" s="4"/>
    </row>
    <row r="17276" spans="1:25" customFormat="1" x14ac:dyDescent="0.25">
      <c r="A17276" s="4" t="s">
        <v>24</v>
      </c>
      <c r="B17276" s="4" t="s">
        <v>7674</v>
      </c>
      <c r="C17276" s="4" t="str">
        <f>"A0088091"</f>
        <v>A0088091</v>
      </c>
      <c r="D17276" s="4" t="s">
        <v>77329</v>
      </c>
      <c r="E17276" s="4" t="s">
        <v>10929</v>
      </c>
      <c r="F17276" s="4" t="s">
        <v>10401</v>
      </c>
      <c r="G17276" s="4" t="s">
        <v>110</v>
      </c>
      <c r="H17276" s="4">
        <v>90069</v>
      </c>
      <c r="I17276" s="4" t="s">
        <v>30</v>
      </c>
      <c r="J17276" s="4" t="s">
        <v>206</v>
      </c>
      <c r="K17276" s="4" t="s">
        <v>7678</v>
      </c>
      <c r="L17276" s="4"/>
      <c r="M17276" s="4"/>
      <c r="N17276" s="4" t="s">
        <v>10930</v>
      </c>
      <c r="O17276" s="4" t="s">
        <v>77330</v>
      </c>
      <c r="P17276" s="4"/>
      <c r="Q17276" s="4">
        <v>0</v>
      </c>
      <c r="R17276" s="4">
        <v>189</v>
      </c>
      <c r="S17276" s="4">
        <v>0</v>
      </c>
      <c r="T17276" s="4" t="s">
        <v>7681</v>
      </c>
      <c r="U17276" s="4"/>
      <c r="V17276" s="4"/>
      <c r="W17276" s="4"/>
      <c r="X17276" s="4"/>
      <c r="Y17276" s="4"/>
    </row>
    <row r="17277" spans="1:25" customFormat="1" x14ac:dyDescent="0.25">
      <c r="A17277" s="4" t="s">
        <v>24</v>
      </c>
      <c r="B17277" s="4" t="s">
        <v>77331</v>
      </c>
      <c r="C17277" s="4" t="str">
        <f>"A0054361"</f>
        <v>A0054361</v>
      </c>
      <c r="D17277" s="4" t="s">
        <v>77332</v>
      </c>
      <c r="E17277" s="4" t="s">
        <v>77333</v>
      </c>
      <c r="F17277" s="4" t="s">
        <v>5229</v>
      </c>
      <c r="G17277" s="4" t="s">
        <v>110</v>
      </c>
      <c r="H17277" s="4">
        <v>90212</v>
      </c>
      <c r="I17277" s="4" t="s">
        <v>30</v>
      </c>
      <c r="J17277" s="4" t="s">
        <v>206</v>
      </c>
      <c r="K17277" s="4" t="s">
        <v>77334</v>
      </c>
      <c r="L17277" s="4"/>
      <c r="M17277" s="4"/>
      <c r="N17277" s="4" t="s">
        <v>77335</v>
      </c>
      <c r="O17277" s="4" t="s">
        <v>77336</v>
      </c>
      <c r="P17277" s="4"/>
      <c r="Q17277" s="4">
        <v>0</v>
      </c>
      <c r="R17277" s="4">
        <v>200</v>
      </c>
      <c r="S17277" s="4">
        <v>0</v>
      </c>
      <c r="T17277" s="4" t="s">
        <v>77337</v>
      </c>
      <c r="U17277" s="4"/>
      <c r="V17277" s="4"/>
      <c r="W17277" s="4"/>
      <c r="X17277" s="4"/>
      <c r="Y17277" s="4"/>
    </row>
    <row r="17278" spans="1:25" customFormat="1" x14ac:dyDescent="0.25">
      <c r="A17278" s="4" t="s">
        <v>24</v>
      </c>
      <c r="B17278" s="4" t="s">
        <v>77331</v>
      </c>
      <c r="C17278" s="4" t="str">
        <f>"A0064173"</f>
        <v>A0064173</v>
      </c>
      <c r="D17278" s="4" t="s">
        <v>77618</v>
      </c>
      <c r="E17278" s="4" t="s">
        <v>77619</v>
      </c>
      <c r="F17278" s="4" t="s">
        <v>13589</v>
      </c>
      <c r="G17278" s="4" t="s">
        <v>110</v>
      </c>
      <c r="H17278" s="4">
        <v>93923</v>
      </c>
      <c r="I17278" s="4" t="s">
        <v>30</v>
      </c>
      <c r="J17278" s="4" t="s">
        <v>206</v>
      </c>
      <c r="K17278" s="4" t="s">
        <v>77334</v>
      </c>
      <c r="L17278" s="4"/>
      <c r="M17278" s="4"/>
      <c r="N17278" s="4" t="s">
        <v>77620</v>
      </c>
      <c r="O17278" s="4" t="s">
        <v>77621</v>
      </c>
      <c r="P17278" s="4" t="s">
        <v>6426</v>
      </c>
      <c r="Q17278" s="4">
        <v>1</v>
      </c>
      <c r="R17278" s="4">
        <v>91</v>
      </c>
      <c r="S17278" s="4">
        <v>0</v>
      </c>
      <c r="T17278" s="4" t="s">
        <v>77622</v>
      </c>
      <c r="U17278" s="4"/>
      <c r="V17278" s="4"/>
      <c r="W17278" s="4"/>
      <c r="X17278" s="4"/>
      <c r="Y17278" s="4"/>
    </row>
    <row r="17279" spans="1:25" customFormat="1" ht="15" x14ac:dyDescent="0.25">
      <c r="A17279" t="s">
        <v>24</v>
      </c>
      <c r="B17279" t="s">
        <v>62192</v>
      </c>
      <c r="C17279" t="str">
        <f>"A0095941"</f>
        <v>A0095941</v>
      </c>
      <c r="D17279" t="s">
        <v>62193</v>
      </c>
      <c r="E17279" t="s">
        <v>62194</v>
      </c>
      <c r="F17279" t="s">
        <v>748</v>
      </c>
      <c r="G17279" t="s">
        <v>110</v>
      </c>
      <c r="H17279">
        <v>94109</v>
      </c>
      <c r="I17279" t="s">
        <v>30</v>
      </c>
      <c r="J17279" t="s">
        <v>31</v>
      </c>
      <c r="K17279" t="s">
        <v>163</v>
      </c>
      <c r="N17279" t="s">
        <v>62195</v>
      </c>
      <c r="O17279" t="s">
        <v>62196</v>
      </c>
      <c r="Q17279">
        <v>0</v>
      </c>
      <c r="R17279">
        <v>96</v>
      </c>
      <c r="S17279">
        <v>0</v>
      </c>
      <c r="T17279" t="s">
        <v>62197</v>
      </c>
    </row>
    <row r="17280" spans="1:25" customFormat="1" ht="15" x14ac:dyDescent="0.25">
      <c r="A17280" t="s">
        <v>24</v>
      </c>
      <c r="B17280" t="s">
        <v>6667</v>
      </c>
      <c r="C17280" t="str">
        <f>"A0049465"</f>
        <v>A0049465</v>
      </c>
      <c r="D17280" t="s">
        <v>62198</v>
      </c>
      <c r="E17280" t="s">
        <v>62199</v>
      </c>
      <c r="F17280" t="s">
        <v>2110</v>
      </c>
      <c r="G17280" t="s">
        <v>52</v>
      </c>
      <c r="H17280">
        <v>76051</v>
      </c>
      <c r="I17280" t="s">
        <v>30</v>
      </c>
      <c r="J17280" t="s">
        <v>178</v>
      </c>
      <c r="K17280" t="s">
        <v>6667</v>
      </c>
      <c r="N17280" t="s">
        <v>62200</v>
      </c>
      <c r="O17280" t="s">
        <v>62201</v>
      </c>
      <c r="P17280" t="s">
        <v>3998</v>
      </c>
      <c r="Q17280">
        <v>1</v>
      </c>
      <c r="R17280">
        <v>0</v>
      </c>
      <c r="S17280">
        <v>0</v>
      </c>
      <c r="T17280" t="s">
        <v>62202</v>
      </c>
    </row>
    <row r="17281" spans="1:25" customFormat="1" ht="15" x14ac:dyDescent="0.25">
      <c r="A17281" t="s">
        <v>24</v>
      </c>
      <c r="B17281" t="s">
        <v>56103</v>
      </c>
      <c r="C17281" t="str">
        <f>"A0157915"</f>
        <v>A0157915</v>
      </c>
      <c r="D17281" t="s">
        <v>62203</v>
      </c>
      <c r="E17281" t="s">
        <v>62204</v>
      </c>
      <c r="F17281" t="s">
        <v>3414</v>
      </c>
      <c r="G17281" t="s">
        <v>110</v>
      </c>
      <c r="H17281">
        <v>96161</v>
      </c>
      <c r="I17281" t="s">
        <v>30</v>
      </c>
      <c r="J17281" t="s">
        <v>2415</v>
      </c>
      <c r="K17281" t="s">
        <v>179</v>
      </c>
      <c r="N17281" t="s">
        <v>62205</v>
      </c>
      <c r="Q17281">
        <v>0</v>
      </c>
      <c r="R17281">
        <v>0</v>
      </c>
      <c r="S17281">
        <v>0</v>
      </c>
      <c r="T17281" t="s">
        <v>62206</v>
      </c>
    </row>
    <row r="17282" spans="1:25" customFormat="1" ht="15" x14ac:dyDescent="0.25">
      <c r="A17282" t="s">
        <v>24</v>
      </c>
      <c r="B17282" t="s">
        <v>55909</v>
      </c>
      <c r="C17282" t="str">
        <f>"A0158233"</f>
        <v>A0158233</v>
      </c>
      <c r="D17282" t="s">
        <v>62207</v>
      </c>
      <c r="E17282" t="s">
        <v>62208</v>
      </c>
      <c r="F17282" t="s">
        <v>1586</v>
      </c>
      <c r="G17282" t="s">
        <v>1587</v>
      </c>
      <c r="H17282">
        <v>87507</v>
      </c>
      <c r="I17282" t="s">
        <v>30</v>
      </c>
      <c r="J17282" t="s">
        <v>31</v>
      </c>
      <c r="K17282" t="s">
        <v>163</v>
      </c>
      <c r="N17282" t="s">
        <v>55917</v>
      </c>
      <c r="Q17282">
        <v>0</v>
      </c>
      <c r="R17282">
        <v>89</v>
      </c>
      <c r="S17282">
        <v>0</v>
      </c>
      <c r="T17282" t="s">
        <v>62209</v>
      </c>
    </row>
    <row r="17283" spans="1:25" customFormat="1" ht="15" x14ac:dyDescent="0.25">
      <c r="A17283" t="s">
        <v>24</v>
      </c>
      <c r="B17283" t="s">
        <v>4990</v>
      </c>
      <c r="C17283" t="str">
        <f>"A0166077"</f>
        <v>A0166077</v>
      </c>
      <c r="D17283" t="s">
        <v>62210</v>
      </c>
      <c r="E17283" t="s">
        <v>62211</v>
      </c>
      <c r="F17283" t="s">
        <v>4467</v>
      </c>
      <c r="G17283" t="s">
        <v>289</v>
      </c>
      <c r="H17283">
        <v>61602</v>
      </c>
      <c r="I17283" t="s">
        <v>30</v>
      </c>
      <c r="J17283" t="s">
        <v>687</v>
      </c>
      <c r="K17283" t="s">
        <v>163</v>
      </c>
      <c r="N17283" t="s">
        <v>62212</v>
      </c>
      <c r="O17283" t="s">
        <v>62213</v>
      </c>
      <c r="Q17283">
        <v>0</v>
      </c>
      <c r="R17283">
        <v>0</v>
      </c>
      <c r="S17283">
        <v>0</v>
      </c>
      <c r="T17283" t="s">
        <v>62214</v>
      </c>
    </row>
    <row r="17284" spans="1:25" customFormat="1" ht="15" x14ac:dyDescent="0.25">
      <c r="A17284" t="s">
        <v>24</v>
      </c>
      <c r="B17284" t="s">
        <v>13496</v>
      </c>
      <c r="C17284" t="str">
        <f>"CL0774"</f>
        <v>CL0774</v>
      </c>
      <c r="D17284" t="s">
        <v>62215</v>
      </c>
      <c r="E17284" t="s">
        <v>62216</v>
      </c>
      <c r="F17284" t="s">
        <v>11700</v>
      </c>
      <c r="G17284" t="s">
        <v>880</v>
      </c>
      <c r="H17284">
        <v>38119</v>
      </c>
      <c r="I17284" t="s">
        <v>30</v>
      </c>
      <c r="J17284" t="s">
        <v>2558</v>
      </c>
      <c r="K17284" t="s">
        <v>163</v>
      </c>
      <c r="N17284" t="s">
        <v>62217</v>
      </c>
      <c r="O17284" t="s">
        <v>62218</v>
      </c>
      <c r="Q17284">
        <v>0</v>
      </c>
      <c r="R17284">
        <v>0</v>
      </c>
      <c r="S17284">
        <v>0</v>
      </c>
      <c r="T17284" t="s">
        <v>62219</v>
      </c>
    </row>
    <row r="17285" spans="1:25" x14ac:dyDescent="0.25">
      <c r="A17285" s="3" t="s">
        <v>24</v>
      </c>
      <c r="B17285" s="3" t="s">
        <v>77968</v>
      </c>
      <c r="C17285" s="3" t="str">
        <f>"A0054741"</f>
        <v>A0054741</v>
      </c>
      <c r="D17285" s="3" t="s">
        <v>77969</v>
      </c>
      <c r="E17285" s="3" t="s">
        <v>77970</v>
      </c>
      <c r="F17285" s="3" t="s">
        <v>77971</v>
      </c>
      <c r="G17285" s="3" t="s">
        <v>110</v>
      </c>
      <c r="H17285" s="3">
        <v>92067</v>
      </c>
      <c r="I17285" s="3" t="s">
        <v>30</v>
      </c>
      <c r="J17285" s="3" t="s">
        <v>206</v>
      </c>
      <c r="K17285" s="3" t="s">
        <v>163</v>
      </c>
      <c r="N17285" s="3" t="s">
        <v>77972</v>
      </c>
      <c r="O17285" s="3" t="s">
        <v>77973</v>
      </c>
      <c r="Q17285" s="3">
        <v>0</v>
      </c>
      <c r="R17285" s="3">
        <v>49</v>
      </c>
      <c r="S17285" s="3">
        <v>0</v>
      </c>
      <c r="T17285" s="3" t="s">
        <v>77974</v>
      </c>
    </row>
    <row r="17286" spans="1:25" customFormat="1" ht="15" x14ac:dyDescent="0.25">
      <c r="A17286" t="s">
        <v>24</v>
      </c>
      <c r="B17286" t="s">
        <v>1548</v>
      </c>
      <c r="C17286" t="str">
        <f>"A0075600"</f>
        <v>A0075600</v>
      </c>
      <c r="D17286" t="s">
        <v>62224</v>
      </c>
      <c r="E17286" t="s">
        <v>62225</v>
      </c>
      <c r="F17286" t="s">
        <v>12811</v>
      </c>
      <c r="G17286" t="s">
        <v>29</v>
      </c>
      <c r="H17286">
        <v>22030</v>
      </c>
      <c r="I17286" t="s">
        <v>30</v>
      </c>
      <c r="J17286" t="s">
        <v>191</v>
      </c>
      <c r="K17286" t="s">
        <v>11889</v>
      </c>
      <c r="N17286" t="s">
        <v>62226</v>
      </c>
      <c r="Q17286">
        <v>0</v>
      </c>
      <c r="R17286">
        <v>0</v>
      </c>
      <c r="S17286">
        <v>0</v>
      </c>
      <c r="T17286" t="s">
        <v>62227</v>
      </c>
    </row>
    <row r="17287" spans="1:25" customFormat="1" ht="15" x14ac:dyDescent="0.25">
      <c r="A17287" t="s">
        <v>24</v>
      </c>
      <c r="B17287" t="s">
        <v>56488</v>
      </c>
      <c r="C17287" t="str">
        <f>"A0053227"</f>
        <v>A0053227</v>
      </c>
      <c r="D17287" t="s">
        <v>62228</v>
      </c>
      <c r="E17287" t="s">
        <v>62229</v>
      </c>
      <c r="F17287" t="s">
        <v>62230</v>
      </c>
      <c r="G17287" t="s">
        <v>123</v>
      </c>
      <c r="H17287">
        <v>21114</v>
      </c>
      <c r="I17287" t="s">
        <v>30</v>
      </c>
      <c r="J17287" t="s">
        <v>178</v>
      </c>
      <c r="K17287" t="s">
        <v>179</v>
      </c>
      <c r="N17287" t="s">
        <v>62231</v>
      </c>
      <c r="O17287" t="s">
        <v>62232</v>
      </c>
      <c r="Q17287">
        <v>1</v>
      </c>
      <c r="R17287">
        <v>0</v>
      </c>
      <c r="S17287">
        <v>0</v>
      </c>
      <c r="T17287" t="s">
        <v>62233</v>
      </c>
    </row>
    <row r="17288" spans="1:25" customFormat="1" x14ac:dyDescent="0.25">
      <c r="A17288" s="4" t="s">
        <v>24</v>
      </c>
      <c r="B17288" s="4" t="s">
        <v>675</v>
      </c>
      <c r="C17288" s="4" t="str">
        <f>"A0063584"</f>
        <v>A0063584</v>
      </c>
      <c r="D17288" s="4" t="s">
        <v>81378</v>
      </c>
      <c r="E17288" s="4" t="s">
        <v>81379</v>
      </c>
      <c r="F17288" s="4" t="s">
        <v>1519</v>
      </c>
      <c r="G17288" s="4" t="s">
        <v>110</v>
      </c>
      <c r="H17288" s="4">
        <v>90048</v>
      </c>
      <c r="I17288" s="4" t="s">
        <v>30</v>
      </c>
      <c r="J17288" s="4" t="s">
        <v>206</v>
      </c>
      <c r="K17288" s="4" t="s">
        <v>55170</v>
      </c>
      <c r="L17288" s="4"/>
      <c r="M17288" s="4"/>
      <c r="N17288" s="4" t="s">
        <v>81380</v>
      </c>
      <c r="O17288" s="4"/>
      <c r="P17288" s="4"/>
      <c r="Q17288" s="4">
        <v>0</v>
      </c>
      <c r="R17288" s="4">
        <v>297</v>
      </c>
      <c r="S17288" s="4">
        <v>0</v>
      </c>
      <c r="T17288" s="4" t="s">
        <v>81381</v>
      </c>
      <c r="U17288" s="4"/>
      <c r="V17288" s="4"/>
      <c r="W17288" s="4"/>
      <c r="X17288" s="4"/>
      <c r="Y17288" s="4"/>
    </row>
    <row r="17289" spans="1:25" customFormat="1" ht="15" x14ac:dyDescent="0.25">
      <c r="A17289" t="s">
        <v>24</v>
      </c>
      <c r="B17289" t="s">
        <v>675</v>
      </c>
      <c r="C17289" t="str">
        <f>"A0084688"</f>
        <v>A0084688</v>
      </c>
      <c r="D17289" t="s">
        <v>62239</v>
      </c>
      <c r="E17289" t="s">
        <v>62240</v>
      </c>
      <c r="F17289" t="s">
        <v>62241</v>
      </c>
      <c r="G17289" t="s">
        <v>29</v>
      </c>
      <c r="H17289">
        <v>20147</v>
      </c>
      <c r="I17289" t="s">
        <v>30</v>
      </c>
      <c r="J17289" t="s">
        <v>191</v>
      </c>
      <c r="K17289" t="s">
        <v>163</v>
      </c>
      <c r="N17289" t="s">
        <v>62242</v>
      </c>
      <c r="O17289" t="s">
        <v>62243</v>
      </c>
      <c r="Q17289">
        <v>0</v>
      </c>
      <c r="R17289">
        <v>0</v>
      </c>
      <c r="S17289">
        <v>0</v>
      </c>
      <c r="T17289" t="s">
        <v>62244</v>
      </c>
    </row>
    <row r="17290" spans="1:25" customFormat="1" ht="15" x14ac:dyDescent="0.25">
      <c r="A17290" t="s">
        <v>24</v>
      </c>
      <c r="B17290" t="s">
        <v>2360</v>
      </c>
      <c r="C17290" t="str">
        <f>"CL0678"</f>
        <v>CL0678</v>
      </c>
      <c r="D17290" t="s">
        <v>62245</v>
      </c>
      <c r="E17290" t="s">
        <v>62246</v>
      </c>
      <c r="F17290" t="s">
        <v>54052</v>
      </c>
      <c r="G17290" t="s">
        <v>110</v>
      </c>
      <c r="H17290">
        <v>94526</v>
      </c>
      <c r="I17290" t="s">
        <v>30</v>
      </c>
      <c r="J17290" t="s">
        <v>178</v>
      </c>
      <c r="K17290" t="s">
        <v>56676</v>
      </c>
      <c r="N17290" t="s">
        <v>62247</v>
      </c>
      <c r="P17290" t="s">
        <v>992</v>
      </c>
      <c r="Q17290">
        <v>1</v>
      </c>
      <c r="R17290">
        <v>0</v>
      </c>
      <c r="S17290">
        <v>0</v>
      </c>
      <c r="T17290" t="s">
        <v>62248</v>
      </c>
    </row>
    <row r="17291" spans="1:25" customFormat="1" x14ac:dyDescent="0.25">
      <c r="A17291" s="4" t="s">
        <v>24</v>
      </c>
      <c r="B17291" s="4" t="s">
        <v>5384</v>
      </c>
      <c r="C17291" s="4" t="str">
        <f>"A0098230"</f>
        <v>A0098230</v>
      </c>
      <c r="D17291" s="4" t="s">
        <v>81440</v>
      </c>
      <c r="E17291" s="4" t="s">
        <v>81441</v>
      </c>
      <c r="F17291" s="4" t="s">
        <v>5551</v>
      </c>
      <c r="G17291" s="4" t="s">
        <v>110</v>
      </c>
      <c r="H17291" s="4">
        <v>94515</v>
      </c>
      <c r="I17291" s="4" t="s">
        <v>30</v>
      </c>
      <c r="J17291" s="4" t="s">
        <v>206</v>
      </c>
      <c r="K17291" s="4" t="s">
        <v>163</v>
      </c>
      <c r="L17291" s="4"/>
      <c r="M17291" s="4"/>
      <c r="N17291" s="4" t="s">
        <v>81442</v>
      </c>
      <c r="O17291" s="4"/>
      <c r="P17291" s="4"/>
      <c r="Q17291" s="4">
        <v>0</v>
      </c>
      <c r="R17291" s="4">
        <v>89</v>
      </c>
      <c r="S17291" s="4">
        <v>0</v>
      </c>
      <c r="T17291" s="4" t="s">
        <v>81443</v>
      </c>
      <c r="U17291" s="4"/>
      <c r="V17291" s="4"/>
      <c r="W17291" s="4"/>
      <c r="X17291" s="4"/>
      <c r="Y17291" s="4"/>
    </row>
    <row r="17292" spans="1:25" customFormat="1" x14ac:dyDescent="0.25">
      <c r="A17292" s="4" t="s">
        <v>24</v>
      </c>
      <c r="B17292" s="4" t="s">
        <v>83460</v>
      </c>
      <c r="C17292" s="4" t="str">
        <f>"A0054250"</f>
        <v>A0054250</v>
      </c>
      <c r="D17292" s="4" t="s">
        <v>83461</v>
      </c>
      <c r="E17292" s="4" t="s">
        <v>83462</v>
      </c>
      <c r="F17292" s="4" t="s">
        <v>24586</v>
      </c>
      <c r="G17292" s="4" t="s">
        <v>110</v>
      </c>
      <c r="H17292" s="4">
        <v>90069</v>
      </c>
      <c r="I17292" s="4" t="s">
        <v>30</v>
      </c>
      <c r="J17292" s="4" t="s">
        <v>206</v>
      </c>
      <c r="K17292" s="4" t="s">
        <v>163</v>
      </c>
      <c r="L17292" s="4"/>
      <c r="M17292" s="4"/>
      <c r="N17292" s="4" t="s">
        <v>83463</v>
      </c>
      <c r="O17292" s="4" t="s">
        <v>83464</v>
      </c>
      <c r="P17292" s="4"/>
      <c r="Q17292" s="4">
        <v>0</v>
      </c>
      <c r="R17292" s="4">
        <v>152</v>
      </c>
      <c r="S17292" s="4">
        <v>0</v>
      </c>
      <c r="T17292" s="4" t="s">
        <v>83465</v>
      </c>
      <c r="U17292" s="4"/>
      <c r="V17292" s="4"/>
      <c r="W17292" s="4"/>
      <c r="X17292" s="4"/>
      <c r="Y17292" s="4"/>
    </row>
    <row r="17293" spans="1:25" customFormat="1" x14ac:dyDescent="0.25">
      <c r="A17293" s="4" t="s">
        <v>24</v>
      </c>
      <c r="B17293" s="4" t="s">
        <v>675</v>
      </c>
      <c r="C17293" s="4" t="str">
        <f>"A0064180"</f>
        <v>A0064180</v>
      </c>
      <c r="D17293" s="4" t="s">
        <v>83845</v>
      </c>
      <c r="E17293" s="4" t="s">
        <v>83846</v>
      </c>
      <c r="F17293" s="4" t="s">
        <v>979</v>
      </c>
      <c r="G17293" s="4" t="s">
        <v>110</v>
      </c>
      <c r="H17293" s="4">
        <v>93117</v>
      </c>
      <c r="I17293" s="4" t="s">
        <v>30</v>
      </c>
      <c r="J17293" s="4" t="s">
        <v>206</v>
      </c>
      <c r="K17293" s="4" t="s">
        <v>680</v>
      </c>
      <c r="L17293" s="4"/>
      <c r="M17293" s="4"/>
      <c r="N17293" s="4" t="s">
        <v>83847</v>
      </c>
      <c r="O17293" s="4" t="s">
        <v>83848</v>
      </c>
      <c r="P17293" s="4"/>
      <c r="Q17293" s="4">
        <v>0</v>
      </c>
      <c r="R17293" s="4">
        <v>358</v>
      </c>
      <c r="S17293" s="4">
        <v>0</v>
      </c>
      <c r="T17293" s="4" t="s">
        <v>83849</v>
      </c>
      <c r="U17293" s="4"/>
      <c r="V17293" s="4"/>
      <c r="W17293" s="4"/>
      <c r="X17293" s="4"/>
      <c r="Y17293" s="4"/>
    </row>
    <row r="17294" spans="1:25" customFormat="1" x14ac:dyDescent="0.25">
      <c r="A17294" s="4" t="s">
        <v>24</v>
      </c>
      <c r="B17294" s="4" t="s">
        <v>675</v>
      </c>
      <c r="C17294" s="4" t="str">
        <f>"311QR"</f>
        <v>311QR</v>
      </c>
      <c r="D17294" s="4" t="s">
        <v>84025</v>
      </c>
      <c r="E17294" s="4" t="s">
        <v>84026</v>
      </c>
      <c r="F17294" s="4" t="s">
        <v>748</v>
      </c>
      <c r="G17294" s="4" t="s">
        <v>110</v>
      </c>
      <c r="H17294" s="4">
        <v>94105</v>
      </c>
      <c r="I17294" s="4" t="s">
        <v>30</v>
      </c>
      <c r="J17294" s="4" t="s">
        <v>206</v>
      </c>
      <c r="K17294" s="4" t="s">
        <v>6459</v>
      </c>
      <c r="L17294" s="4"/>
      <c r="M17294" s="4"/>
      <c r="N17294" s="4" t="s">
        <v>84027</v>
      </c>
      <c r="O17294" s="4"/>
      <c r="P17294" s="4"/>
      <c r="Q17294" s="4">
        <v>0</v>
      </c>
      <c r="R17294" s="4">
        <v>405</v>
      </c>
      <c r="S17294" s="4">
        <v>0</v>
      </c>
      <c r="T17294" s="4" t="s">
        <v>84028</v>
      </c>
      <c r="U17294" s="4"/>
      <c r="V17294" s="4"/>
      <c r="W17294" s="4"/>
      <c r="X17294" s="4"/>
      <c r="Y17294" s="4"/>
    </row>
    <row r="17295" spans="1:25" customFormat="1" x14ac:dyDescent="0.25">
      <c r="A17295" s="4" t="s">
        <v>24</v>
      </c>
      <c r="B17295" s="4" t="s">
        <v>66542</v>
      </c>
      <c r="C17295" s="4" t="str">
        <f>"A0085460"</f>
        <v>A0085460</v>
      </c>
      <c r="D17295" s="4" t="s">
        <v>84029</v>
      </c>
      <c r="E17295" s="4" t="s">
        <v>84030</v>
      </c>
      <c r="F17295" s="4" t="s">
        <v>2376</v>
      </c>
      <c r="G17295" s="4" t="s">
        <v>110</v>
      </c>
      <c r="H17295" s="4">
        <v>93940</v>
      </c>
      <c r="I17295" s="4" t="s">
        <v>30</v>
      </c>
      <c r="J17295" s="4" t="s">
        <v>206</v>
      </c>
      <c r="K17295" s="4" t="s">
        <v>163</v>
      </c>
      <c r="L17295" s="4"/>
      <c r="M17295" s="4"/>
      <c r="N17295" s="4" t="s">
        <v>84031</v>
      </c>
      <c r="O17295" s="4"/>
      <c r="P17295" s="4"/>
      <c r="Q17295" s="4">
        <v>0</v>
      </c>
      <c r="R17295" s="4">
        <v>208</v>
      </c>
      <c r="S17295" s="4">
        <v>0</v>
      </c>
      <c r="T17295" s="4" t="s">
        <v>84032</v>
      </c>
      <c r="U17295" s="4"/>
      <c r="V17295" s="4"/>
      <c r="W17295" s="4"/>
      <c r="X17295" s="4"/>
      <c r="Y17295" s="4"/>
    </row>
    <row r="17296" spans="1:25" customFormat="1" x14ac:dyDescent="0.25">
      <c r="A17296" s="4" t="s">
        <v>24</v>
      </c>
      <c r="B17296" s="4" t="s">
        <v>13304</v>
      </c>
      <c r="C17296" s="4" t="str">
        <f>"FM004"</f>
        <v>FM004</v>
      </c>
      <c r="D17296" s="4" t="s">
        <v>84288</v>
      </c>
      <c r="E17296" s="4" t="s">
        <v>84289</v>
      </c>
      <c r="F17296" s="4" t="s">
        <v>1865</v>
      </c>
      <c r="G17296" s="4" t="s">
        <v>110</v>
      </c>
      <c r="H17296" s="4">
        <v>90401</v>
      </c>
      <c r="I17296" s="4" t="s">
        <v>30</v>
      </c>
      <c r="J17296" s="4" t="s">
        <v>206</v>
      </c>
      <c r="K17296" s="4" t="s">
        <v>32744</v>
      </c>
      <c r="L17296" s="4"/>
      <c r="M17296" s="4"/>
      <c r="N17296" s="4" t="s">
        <v>84290</v>
      </c>
      <c r="O17296" s="4" t="s">
        <v>84291</v>
      </c>
      <c r="P17296" s="4"/>
      <c r="Q17296" s="4">
        <v>0</v>
      </c>
      <c r="R17296" s="4">
        <v>302</v>
      </c>
      <c r="S17296" s="4">
        <v>0</v>
      </c>
      <c r="T17296" s="4" t="s">
        <v>84292</v>
      </c>
      <c r="U17296" s="4"/>
      <c r="V17296" s="4"/>
      <c r="W17296" s="4"/>
      <c r="X17296" s="4"/>
      <c r="Y17296" s="4"/>
    </row>
    <row r="17297" spans="1:25" customFormat="1" x14ac:dyDescent="0.25">
      <c r="A17297" s="4" t="s">
        <v>24</v>
      </c>
      <c r="B17297" s="4" t="s">
        <v>13304</v>
      </c>
      <c r="C17297" s="4" t="str">
        <f>"A0064838"</f>
        <v>A0064838</v>
      </c>
      <c r="D17297" s="4" t="s">
        <v>84321</v>
      </c>
      <c r="E17297" s="4" t="s">
        <v>84322</v>
      </c>
      <c r="F17297" s="4" t="s">
        <v>84323</v>
      </c>
      <c r="G17297" s="4" t="s">
        <v>110</v>
      </c>
      <c r="H17297" s="4">
        <v>95476</v>
      </c>
      <c r="I17297" s="4" t="s">
        <v>30</v>
      </c>
      <c r="J17297" s="4" t="s">
        <v>206</v>
      </c>
      <c r="K17297" s="4" t="s">
        <v>32744</v>
      </c>
      <c r="L17297" s="4"/>
      <c r="M17297" s="4"/>
      <c r="N17297" s="4" t="s">
        <v>84324</v>
      </c>
      <c r="O17297" s="4" t="s">
        <v>75267</v>
      </c>
      <c r="P17297" s="4"/>
      <c r="Q17297" s="4">
        <v>0</v>
      </c>
      <c r="R17297" s="4">
        <v>228</v>
      </c>
      <c r="S17297" s="4">
        <v>0</v>
      </c>
      <c r="T17297" s="4" t="s">
        <v>84325</v>
      </c>
      <c r="U17297" s="4"/>
      <c r="V17297" s="4"/>
      <c r="W17297" s="4"/>
      <c r="X17297" s="4"/>
      <c r="Y17297" s="4"/>
    </row>
    <row r="17298" spans="1:25" customFormat="1" x14ac:dyDescent="0.25">
      <c r="A17298" s="4" t="s">
        <v>24</v>
      </c>
      <c r="B17298" s="4" t="s">
        <v>5166</v>
      </c>
      <c r="C17298" s="4" t="str">
        <f>"A0146969"</f>
        <v>A0146969</v>
      </c>
      <c r="D17298" s="4" t="s">
        <v>84438</v>
      </c>
      <c r="E17298" s="4" t="s">
        <v>84439</v>
      </c>
      <c r="F17298" s="4" t="s">
        <v>2978</v>
      </c>
      <c r="G17298" s="4" t="s">
        <v>110</v>
      </c>
      <c r="H17298" s="4">
        <v>92101</v>
      </c>
      <c r="I17298" s="4" t="s">
        <v>30</v>
      </c>
      <c r="J17298" s="4" t="s">
        <v>206</v>
      </c>
      <c r="K17298" s="4" t="s">
        <v>3447</v>
      </c>
      <c r="L17298" s="4"/>
      <c r="M17298" s="4"/>
      <c r="N17298" s="4" t="s">
        <v>84440</v>
      </c>
      <c r="O17298" s="4"/>
      <c r="P17298" s="4"/>
      <c r="Q17298" s="4">
        <v>0</v>
      </c>
      <c r="R17298" s="4">
        <v>168</v>
      </c>
      <c r="S17298" s="4">
        <v>0</v>
      </c>
      <c r="T17298" s="4" t="s">
        <v>84441</v>
      </c>
      <c r="U17298" s="4"/>
      <c r="V17298" s="4"/>
      <c r="W17298" s="4"/>
      <c r="X17298" s="4"/>
      <c r="Y17298" s="4"/>
    </row>
    <row r="17299" spans="1:25" customFormat="1" x14ac:dyDescent="0.25">
      <c r="A17299" s="4" t="s">
        <v>24</v>
      </c>
      <c r="B17299" s="4" t="s">
        <v>1020</v>
      </c>
      <c r="C17299" s="4" t="str">
        <f>"A0099266"</f>
        <v>A0099266</v>
      </c>
      <c r="D17299" s="4" t="s">
        <v>84494</v>
      </c>
      <c r="E17299" s="4" t="s">
        <v>84495</v>
      </c>
      <c r="F17299" s="4" t="s">
        <v>55259</v>
      </c>
      <c r="G17299" s="4" t="s">
        <v>110</v>
      </c>
      <c r="H17299" s="4">
        <v>94025</v>
      </c>
      <c r="I17299" s="4" t="s">
        <v>30</v>
      </c>
      <c r="J17299" s="4" t="s">
        <v>206</v>
      </c>
      <c r="K17299" s="4" t="s">
        <v>6459</v>
      </c>
      <c r="L17299" s="4"/>
      <c r="M17299" s="4"/>
      <c r="N17299" s="4" t="s">
        <v>84496</v>
      </c>
      <c r="O17299" s="4"/>
      <c r="P17299" s="4"/>
      <c r="Q17299" s="4">
        <v>0</v>
      </c>
      <c r="R17299" s="4">
        <v>250</v>
      </c>
      <c r="S17299" s="4">
        <v>0</v>
      </c>
      <c r="T17299" s="4" t="s">
        <v>84497</v>
      </c>
      <c r="U17299" s="4"/>
      <c r="V17299" s="4"/>
      <c r="W17299" s="4"/>
      <c r="X17299" s="4"/>
      <c r="Y17299" s="4"/>
    </row>
    <row r="17300" spans="1:25" customFormat="1" x14ac:dyDescent="0.25">
      <c r="A17300" s="4" t="s">
        <v>24</v>
      </c>
      <c r="B17300" s="4" t="s">
        <v>2373</v>
      </c>
      <c r="C17300" s="4" t="str">
        <f>"A0091567"</f>
        <v>A0091567</v>
      </c>
      <c r="D17300" s="4" t="s">
        <v>84534</v>
      </c>
      <c r="E17300" s="4" t="s">
        <v>84535</v>
      </c>
      <c r="F17300" s="4" t="s">
        <v>77971</v>
      </c>
      <c r="G17300" s="4" t="s">
        <v>110</v>
      </c>
      <c r="H17300" s="4">
        <v>92067</v>
      </c>
      <c r="I17300" s="4" t="s">
        <v>30</v>
      </c>
      <c r="J17300" s="4" t="s">
        <v>206</v>
      </c>
      <c r="K17300" s="4" t="s">
        <v>3447</v>
      </c>
      <c r="L17300" s="4"/>
      <c r="M17300" s="4"/>
      <c r="N17300" s="4" t="s">
        <v>84536</v>
      </c>
      <c r="O17300" s="4"/>
      <c r="P17300" s="4"/>
      <c r="Q17300" s="4">
        <v>0</v>
      </c>
      <c r="R17300" s="4">
        <v>80</v>
      </c>
      <c r="S17300" s="4">
        <v>0</v>
      </c>
      <c r="T17300" s="4" t="s">
        <v>84537</v>
      </c>
      <c r="U17300" s="4"/>
      <c r="V17300" s="4"/>
      <c r="W17300" s="4"/>
      <c r="X17300" s="4"/>
      <c r="Y17300" s="4"/>
    </row>
    <row r="17301" spans="1:25" customFormat="1" x14ac:dyDescent="0.25">
      <c r="A17301" s="4" t="s">
        <v>24</v>
      </c>
      <c r="B17301" s="4" t="s">
        <v>57973</v>
      </c>
      <c r="C17301" s="4" t="str">
        <f>"A0087267"</f>
        <v>A0087267</v>
      </c>
      <c r="D17301" s="4" t="s">
        <v>84593</v>
      </c>
      <c r="E17301" s="4" t="s">
        <v>84594</v>
      </c>
      <c r="F17301" s="4" t="s">
        <v>703</v>
      </c>
      <c r="G17301" s="4" t="s">
        <v>110</v>
      </c>
      <c r="H17301" s="4">
        <v>91106</v>
      </c>
      <c r="I17301" s="4" t="s">
        <v>30</v>
      </c>
      <c r="J17301" s="4" t="s">
        <v>206</v>
      </c>
      <c r="K17301" s="4" t="s">
        <v>163</v>
      </c>
      <c r="L17301" s="4"/>
      <c r="M17301" s="4"/>
      <c r="N17301" s="4" t="s">
        <v>84595</v>
      </c>
      <c r="O17301" s="4"/>
      <c r="P17301" s="4"/>
      <c r="Q17301" s="4">
        <v>0</v>
      </c>
      <c r="R17301" s="4">
        <v>380</v>
      </c>
      <c r="S17301" s="4">
        <v>0</v>
      </c>
      <c r="T17301" s="4" t="s">
        <v>84596</v>
      </c>
      <c r="U17301" s="4"/>
      <c r="V17301" s="4"/>
      <c r="W17301" s="4"/>
      <c r="X17301" s="4"/>
      <c r="Y17301" s="4"/>
    </row>
    <row r="17302" spans="1:25" customFormat="1" x14ac:dyDescent="0.25">
      <c r="A17302" s="4" t="s">
        <v>24</v>
      </c>
      <c r="B17302" s="4" t="s">
        <v>10734</v>
      </c>
      <c r="C17302" s="4" t="str">
        <f>"A0055668"</f>
        <v>A0055668</v>
      </c>
      <c r="D17302" s="4" t="s">
        <v>84702</v>
      </c>
      <c r="E17302" s="4" t="s">
        <v>84703</v>
      </c>
      <c r="F17302" s="4" t="s">
        <v>748</v>
      </c>
      <c r="G17302" s="4" t="s">
        <v>110</v>
      </c>
      <c r="H17302" s="4">
        <v>94102</v>
      </c>
      <c r="I17302" s="4" t="s">
        <v>30</v>
      </c>
      <c r="J17302" s="4" t="s">
        <v>206</v>
      </c>
      <c r="K17302" s="4" t="s">
        <v>163</v>
      </c>
      <c r="L17302" s="4"/>
      <c r="M17302" s="4"/>
      <c r="N17302" s="4" t="s">
        <v>72698</v>
      </c>
      <c r="O17302" s="4" t="s">
        <v>84704</v>
      </c>
      <c r="P17302" s="4"/>
      <c r="Q17302" s="4">
        <v>0</v>
      </c>
      <c r="R17302" s="4">
        <v>208</v>
      </c>
      <c r="S17302" s="4">
        <v>0</v>
      </c>
      <c r="T17302" s="4" t="s">
        <v>84705</v>
      </c>
      <c r="U17302" s="4"/>
      <c r="V17302" s="4"/>
      <c r="W17302" s="4"/>
      <c r="X17302" s="4"/>
      <c r="Y17302" s="4"/>
    </row>
    <row r="17303" spans="1:25" customFormat="1" x14ac:dyDescent="0.25">
      <c r="A17303" s="4" t="s">
        <v>24</v>
      </c>
      <c r="B17303" s="4" t="s">
        <v>11170</v>
      </c>
      <c r="C17303" s="4" t="str">
        <f>"A0076777"</f>
        <v>A0076777</v>
      </c>
      <c r="D17303" s="4" t="s">
        <v>84729</v>
      </c>
      <c r="E17303" s="4" t="s">
        <v>84730</v>
      </c>
      <c r="F17303" s="4" t="s">
        <v>2241</v>
      </c>
      <c r="G17303" s="4" t="s">
        <v>110</v>
      </c>
      <c r="H17303" s="4">
        <v>94558</v>
      </c>
      <c r="I17303" s="4" t="s">
        <v>30</v>
      </c>
      <c r="J17303" s="4" t="s">
        <v>206</v>
      </c>
      <c r="K17303" s="4" t="s">
        <v>163</v>
      </c>
      <c r="L17303" s="4"/>
      <c r="M17303" s="4"/>
      <c r="N17303" s="4" t="s">
        <v>84731</v>
      </c>
      <c r="O17303" s="4" t="s">
        <v>84732</v>
      </c>
      <c r="P17303" s="4"/>
      <c r="Q17303" s="4">
        <v>0</v>
      </c>
      <c r="R17303" s="4">
        <v>320</v>
      </c>
      <c r="S17303" s="4">
        <v>0</v>
      </c>
      <c r="T17303" s="4" t="s">
        <v>84733</v>
      </c>
      <c r="U17303" s="4"/>
      <c r="V17303" s="4"/>
      <c r="W17303" s="4"/>
      <c r="X17303" s="4"/>
      <c r="Y17303" s="4"/>
    </row>
    <row r="17304" spans="1:25" customFormat="1" x14ac:dyDescent="0.25">
      <c r="A17304" s="4" t="s">
        <v>24</v>
      </c>
      <c r="B17304" s="4" t="s">
        <v>7674</v>
      </c>
      <c r="C17304" s="4" t="str">
        <f>"A0096979"</f>
        <v>A0096979</v>
      </c>
      <c r="D17304" s="4" t="s">
        <v>84838</v>
      </c>
      <c r="E17304" s="4" t="s">
        <v>84839</v>
      </c>
      <c r="F17304" s="4" t="s">
        <v>2978</v>
      </c>
      <c r="G17304" s="4" t="s">
        <v>110</v>
      </c>
      <c r="H17304" s="4">
        <v>92101</v>
      </c>
      <c r="I17304" s="4" t="s">
        <v>30</v>
      </c>
      <c r="J17304" s="4" t="s">
        <v>206</v>
      </c>
      <c r="K17304" s="4" t="s">
        <v>7678</v>
      </c>
      <c r="L17304" s="4"/>
      <c r="M17304" s="4"/>
      <c r="N17304" s="4" t="s">
        <v>84840</v>
      </c>
      <c r="O17304" s="4"/>
      <c r="P17304" s="4"/>
      <c r="Q17304" s="4">
        <v>0</v>
      </c>
      <c r="R17304" s="4">
        <v>317</v>
      </c>
      <c r="S17304" s="4">
        <v>0</v>
      </c>
      <c r="T17304" s="4" t="s">
        <v>84841</v>
      </c>
      <c r="U17304" s="4"/>
      <c r="V17304" s="4"/>
      <c r="W17304" s="4"/>
      <c r="X17304" s="4"/>
      <c r="Y17304" s="4"/>
    </row>
    <row r="17305" spans="1:25" customFormat="1" x14ac:dyDescent="0.25">
      <c r="A17305" s="4" t="s">
        <v>24</v>
      </c>
      <c r="B17305" s="4" t="s">
        <v>66181</v>
      </c>
      <c r="C17305" s="4" t="str">
        <f>"A0085060"</f>
        <v>A0085060</v>
      </c>
      <c r="D17305" s="4" t="s">
        <v>84925</v>
      </c>
      <c r="E17305" s="4" t="s">
        <v>84926</v>
      </c>
      <c r="F17305" s="4" t="s">
        <v>76789</v>
      </c>
      <c r="G17305" s="4" t="s">
        <v>110</v>
      </c>
      <c r="H17305" s="4">
        <v>92657</v>
      </c>
      <c r="I17305" s="4" t="s">
        <v>30</v>
      </c>
      <c r="J17305" s="4" t="s">
        <v>206</v>
      </c>
      <c r="K17305" s="4" t="s">
        <v>163</v>
      </c>
      <c r="L17305" s="4"/>
      <c r="M17305" s="4"/>
      <c r="N17305" s="4" t="s">
        <v>84927</v>
      </c>
      <c r="O17305" s="4" t="s">
        <v>84928</v>
      </c>
      <c r="P17305" s="4"/>
      <c r="Q17305" s="4">
        <v>0</v>
      </c>
      <c r="R17305" s="4">
        <v>204</v>
      </c>
      <c r="S17305" s="4">
        <v>0</v>
      </c>
      <c r="T17305" s="4" t="s">
        <v>84929</v>
      </c>
      <c r="U17305" s="4"/>
      <c r="V17305" s="4"/>
      <c r="W17305" s="4"/>
      <c r="X17305" s="4"/>
      <c r="Y17305" s="4"/>
    </row>
    <row r="17306" spans="1:25" customFormat="1" x14ac:dyDescent="0.25">
      <c r="A17306" s="4" t="s">
        <v>24</v>
      </c>
      <c r="B17306" s="4" t="s">
        <v>675</v>
      </c>
      <c r="C17306" s="4" t="str">
        <f>"73R16"</f>
        <v>73R16</v>
      </c>
      <c r="D17306" s="4" t="s">
        <v>85121</v>
      </c>
      <c r="E17306" s="4" t="s">
        <v>85122</v>
      </c>
      <c r="F17306" s="4" t="s">
        <v>69409</v>
      </c>
      <c r="G17306" s="4" t="s">
        <v>110</v>
      </c>
      <c r="H17306" s="4">
        <v>90292</v>
      </c>
      <c r="I17306" s="4" t="s">
        <v>30</v>
      </c>
      <c r="J17306" s="4" t="s">
        <v>206</v>
      </c>
      <c r="K17306" s="4" t="s">
        <v>680</v>
      </c>
      <c r="L17306" s="4"/>
      <c r="M17306" s="4"/>
      <c r="N17306" s="4" t="s">
        <v>85123</v>
      </c>
      <c r="O17306" s="4"/>
      <c r="P17306" s="4"/>
      <c r="Q17306" s="4">
        <v>0</v>
      </c>
      <c r="R17306" s="4">
        <v>304</v>
      </c>
      <c r="S17306" s="4">
        <v>0</v>
      </c>
      <c r="T17306" s="4" t="s">
        <v>85124</v>
      </c>
      <c r="U17306" s="4"/>
      <c r="V17306" s="4"/>
      <c r="W17306" s="4"/>
      <c r="X17306" s="4"/>
      <c r="Y17306" s="4"/>
    </row>
    <row r="17307" spans="1:25" customFormat="1" x14ac:dyDescent="0.25">
      <c r="A17307" s="4" t="s">
        <v>24</v>
      </c>
      <c r="B17307" s="4" t="s">
        <v>675</v>
      </c>
      <c r="C17307" s="4" t="str">
        <f>"73R06"</f>
        <v>73R06</v>
      </c>
      <c r="D17307" s="4" t="s">
        <v>85139</v>
      </c>
      <c r="E17307" s="4" t="s">
        <v>85140</v>
      </c>
      <c r="F17307" s="4" t="s">
        <v>3995</v>
      </c>
      <c r="G17307" s="4" t="s">
        <v>110</v>
      </c>
      <c r="H17307" s="4">
        <v>92270</v>
      </c>
      <c r="I17307" s="4" t="s">
        <v>30</v>
      </c>
      <c r="J17307" s="4" t="s">
        <v>206</v>
      </c>
      <c r="K17307" s="4" t="s">
        <v>680</v>
      </c>
      <c r="L17307" s="4"/>
      <c r="M17307" s="4"/>
      <c r="N17307" s="4" t="s">
        <v>85141</v>
      </c>
      <c r="O17307" s="4" t="s">
        <v>85142</v>
      </c>
      <c r="P17307" s="4"/>
      <c r="Q17307" s="4">
        <v>0</v>
      </c>
      <c r="R17307" s="4">
        <v>261</v>
      </c>
      <c r="S17307" s="4">
        <v>0</v>
      </c>
      <c r="T17307" s="4" t="s">
        <v>85143</v>
      </c>
      <c r="U17307" s="4"/>
      <c r="V17307" s="4"/>
      <c r="W17307" s="4"/>
      <c r="X17307" s="4"/>
      <c r="Y17307" s="4"/>
    </row>
    <row r="17308" spans="1:25" customFormat="1" x14ac:dyDescent="0.25">
      <c r="A17308" s="4" t="s">
        <v>24</v>
      </c>
      <c r="B17308" s="4" t="s">
        <v>675</v>
      </c>
      <c r="C17308" s="4" t="str">
        <f>"73R21"</f>
        <v>73R21</v>
      </c>
      <c r="D17308" s="4" t="s">
        <v>85144</v>
      </c>
      <c r="E17308" s="4" t="s">
        <v>85145</v>
      </c>
      <c r="F17308" s="4" t="s">
        <v>748</v>
      </c>
      <c r="G17308" s="4" t="s">
        <v>110</v>
      </c>
      <c r="H17308" s="4">
        <v>94108</v>
      </c>
      <c r="I17308" s="4" t="s">
        <v>30</v>
      </c>
      <c r="J17308" s="4" t="s">
        <v>206</v>
      </c>
      <c r="K17308" s="4" t="s">
        <v>680</v>
      </c>
      <c r="L17308" s="4"/>
      <c r="M17308" s="4"/>
      <c r="N17308" s="4" t="s">
        <v>85146</v>
      </c>
      <c r="O17308" s="4" t="s">
        <v>85147</v>
      </c>
      <c r="P17308" s="4"/>
      <c r="Q17308" s="4">
        <v>0</v>
      </c>
      <c r="R17308" s="4">
        <v>336</v>
      </c>
      <c r="S17308" s="4">
        <v>0</v>
      </c>
      <c r="T17308" s="4" t="s">
        <v>85148</v>
      </c>
      <c r="U17308" s="4"/>
      <c r="V17308" s="4"/>
      <c r="W17308" s="4"/>
      <c r="X17308" s="4"/>
      <c r="Y17308" s="4"/>
    </row>
    <row r="17309" spans="1:25" customFormat="1" x14ac:dyDescent="0.25">
      <c r="A17309" s="4" t="s">
        <v>24</v>
      </c>
      <c r="B17309" s="4" t="s">
        <v>675</v>
      </c>
      <c r="C17309" s="4" t="str">
        <f>"A0096670"</f>
        <v>A0096670</v>
      </c>
      <c r="D17309" s="4" t="s">
        <v>85335</v>
      </c>
      <c r="E17309" s="4" t="s">
        <v>85336</v>
      </c>
      <c r="F17309" s="4" t="s">
        <v>748</v>
      </c>
      <c r="G17309" s="4" t="s">
        <v>110</v>
      </c>
      <c r="H17309" s="4">
        <v>94103</v>
      </c>
      <c r="I17309" s="4" t="s">
        <v>30</v>
      </c>
      <c r="J17309" s="4" t="s">
        <v>206</v>
      </c>
      <c r="K17309" s="4" t="s">
        <v>5338</v>
      </c>
      <c r="L17309" s="4"/>
      <c r="M17309" s="4"/>
      <c r="N17309" s="4" t="s">
        <v>85337</v>
      </c>
      <c r="O17309" s="4" t="s">
        <v>85338</v>
      </c>
      <c r="P17309" s="4"/>
      <c r="Q17309" s="4">
        <v>0</v>
      </c>
      <c r="R17309" s="4">
        <v>260</v>
      </c>
      <c r="S17309" s="4">
        <v>0</v>
      </c>
      <c r="T17309" s="4" t="s">
        <v>85339</v>
      </c>
      <c r="U17309" s="4"/>
      <c r="V17309" s="4"/>
      <c r="W17309" s="4"/>
      <c r="X17309" s="4"/>
      <c r="Y17309" s="4"/>
    </row>
    <row r="17310" spans="1:25" customFormat="1" ht="15" x14ac:dyDescent="0.25">
      <c r="A17310" t="s">
        <v>24</v>
      </c>
      <c r="B17310" t="s">
        <v>1528</v>
      </c>
      <c r="C17310" t="str">
        <f>"A0091939"</f>
        <v>A0091939</v>
      </c>
      <c r="D17310" t="s">
        <v>62335</v>
      </c>
      <c r="E17310" t="s">
        <v>62336</v>
      </c>
      <c r="F17310" t="s">
        <v>2900</v>
      </c>
      <c r="G17310" t="s">
        <v>76</v>
      </c>
      <c r="H17310">
        <v>98121</v>
      </c>
      <c r="I17310" t="s">
        <v>30</v>
      </c>
      <c r="J17310" t="s">
        <v>191</v>
      </c>
      <c r="K17310" t="s">
        <v>163</v>
      </c>
      <c r="N17310" t="s">
        <v>62337</v>
      </c>
      <c r="O17310" t="s">
        <v>62338</v>
      </c>
      <c r="Q17310">
        <v>0</v>
      </c>
      <c r="R17310">
        <v>0</v>
      </c>
      <c r="S17310">
        <v>0</v>
      </c>
      <c r="T17310" t="s">
        <v>62339</v>
      </c>
    </row>
    <row r="17311" spans="1:25" hidden="1" x14ac:dyDescent="0.25">
      <c r="A17311" s="3" t="s">
        <v>24</v>
      </c>
      <c r="B17311" s="3" t="s">
        <v>675</v>
      </c>
      <c r="C17311" s="3" t="str">
        <f>"A0157477"</f>
        <v>A0157477</v>
      </c>
      <c r="D17311" s="3" t="s">
        <v>62340</v>
      </c>
      <c r="E17311" s="3" t="s">
        <v>62341</v>
      </c>
      <c r="F17311" s="3" t="s">
        <v>58484</v>
      </c>
      <c r="G17311" s="3" t="s">
        <v>58485</v>
      </c>
      <c r="I17311" s="3" t="s">
        <v>58486</v>
      </c>
      <c r="J17311" s="3" t="s">
        <v>206</v>
      </c>
      <c r="K17311" s="3" t="s">
        <v>6459</v>
      </c>
      <c r="Q17311" s="3">
        <v>0</v>
      </c>
      <c r="R17311" s="3">
        <v>88</v>
      </c>
      <c r="S17311" s="3">
        <v>0</v>
      </c>
      <c r="T17311" s="3" t="s">
        <v>62342</v>
      </c>
    </row>
    <row r="17312" spans="1:25" customFormat="1" ht="15" x14ac:dyDescent="0.25">
      <c r="A17312" t="s">
        <v>24</v>
      </c>
      <c r="B17312" t="s">
        <v>2360</v>
      </c>
      <c r="C17312" t="str">
        <f>"A0147491"</f>
        <v>A0147491</v>
      </c>
      <c r="D17312" t="s">
        <v>62343</v>
      </c>
      <c r="E17312" t="s">
        <v>62344</v>
      </c>
      <c r="F17312" t="s">
        <v>62345</v>
      </c>
      <c r="G17312" t="s">
        <v>289</v>
      </c>
      <c r="H17312">
        <v>60014</v>
      </c>
      <c r="I17312" t="s">
        <v>30</v>
      </c>
      <c r="J17312" t="s">
        <v>178</v>
      </c>
      <c r="K17312" t="s">
        <v>179</v>
      </c>
      <c r="N17312" t="s">
        <v>62346</v>
      </c>
      <c r="O17312" t="s">
        <v>62347</v>
      </c>
      <c r="Q17312">
        <v>1</v>
      </c>
      <c r="R17312">
        <v>0</v>
      </c>
      <c r="S17312">
        <v>0</v>
      </c>
      <c r="T17312" t="s">
        <v>62348</v>
      </c>
    </row>
    <row r="17313" spans="1:25" customFormat="1" x14ac:dyDescent="0.25">
      <c r="A17313" s="4" t="s">
        <v>24</v>
      </c>
      <c r="B17313" s="4" t="s">
        <v>675</v>
      </c>
      <c r="C17313" s="4" t="str">
        <f>"A0054141"</f>
        <v>A0054141</v>
      </c>
      <c r="D17313" s="4" t="s">
        <v>85406</v>
      </c>
      <c r="E17313" s="4" t="s">
        <v>85407</v>
      </c>
      <c r="F17313" s="4" t="s">
        <v>1439</v>
      </c>
      <c r="G17313" s="4" t="s">
        <v>110</v>
      </c>
      <c r="H17313" s="4">
        <v>92101</v>
      </c>
      <c r="I17313" s="4" t="s">
        <v>30</v>
      </c>
      <c r="J17313" s="4" t="s">
        <v>206</v>
      </c>
      <c r="K17313" s="4" t="s">
        <v>55170</v>
      </c>
      <c r="L17313" s="4"/>
      <c r="M17313" s="4"/>
      <c r="N17313" s="4" t="s">
        <v>85408</v>
      </c>
      <c r="O17313" s="4"/>
      <c r="P17313" s="4"/>
      <c r="Q17313" s="4">
        <v>0</v>
      </c>
      <c r="R17313" s="4">
        <v>270</v>
      </c>
      <c r="S17313" s="4">
        <v>0</v>
      </c>
      <c r="T17313" s="4" t="s">
        <v>85409</v>
      </c>
      <c r="U17313" s="4"/>
      <c r="V17313" s="4"/>
      <c r="W17313" s="4"/>
      <c r="X17313" s="4"/>
      <c r="Y17313" s="4"/>
    </row>
    <row r="17314" spans="1:25" customFormat="1" ht="15" x14ac:dyDescent="0.25">
      <c r="A17314" t="s">
        <v>24</v>
      </c>
      <c r="B17314" t="s">
        <v>1583</v>
      </c>
      <c r="C17314" t="str">
        <f>"A0056864"</f>
        <v>A0056864</v>
      </c>
      <c r="D17314" t="s">
        <v>62355</v>
      </c>
      <c r="E17314" t="s">
        <v>62356</v>
      </c>
      <c r="F17314" t="s">
        <v>62357</v>
      </c>
      <c r="G17314" t="s">
        <v>81</v>
      </c>
      <c r="H17314">
        <v>34145</v>
      </c>
      <c r="I17314" t="s">
        <v>30</v>
      </c>
      <c r="J17314" t="s">
        <v>2544</v>
      </c>
      <c r="K17314" t="s">
        <v>36059</v>
      </c>
      <c r="N17314" t="s">
        <v>62358</v>
      </c>
      <c r="O17314" t="s">
        <v>62359</v>
      </c>
      <c r="Q17314">
        <v>0</v>
      </c>
      <c r="R17314">
        <v>219</v>
      </c>
      <c r="S17314">
        <v>0</v>
      </c>
      <c r="T17314" t="s">
        <v>62360</v>
      </c>
    </row>
    <row r="17315" spans="1:25" customFormat="1" ht="15" x14ac:dyDescent="0.25">
      <c r="A17315" t="s">
        <v>24</v>
      </c>
      <c r="B17315" t="s">
        <v>33426</v>
      </c>
      <c r="C17315" t="str">
        <f>"A0088517"</f>
        <v>A0088517</v>
      </c>
      <c r="D17315" t="s">
        <v>62361</v>
      </c>
      <c r="E17315" t="s">
        <v>62362</v>
      </c>
      <c r="F17315" t="s">
        <v>2094</v>
      </c>
      <c r="G17315" t="s">
        <v>52</v>
      </c>
      <c r="H17315">
        <v>75247</v>
      </c>
      <c r="I17315" t="s">
        <v>30</v>
      </c>
      <c r="J17315" t="s">
        <v>191</v>
      </c>
      <c r="K17315" t="s">
        <v>11889</v>
      </c>
      <c r="Q17315">
        <v>0</v>
      </c>
      <c r="R17315">
        <v>0</v>
      </c>
      <c r="S17315">
        <v>0</v>
      </c>
      <c r="T17315" t="s">
        <v>62363</v>
      </c>
    </row>
    <row r="17316" spans="1:25" customFormat="1" ht="15" x14ac:dyDescent="0.25">
      <c r="A17316" t="s">
        <v>24</v>
      </c>
      <c r="B17316" t="s">
        <v>33426</v>
      </c>
      <c r="C17316" t="str">
        <f>"A0088074"</f>
        <v>A0088074</v>
      </c>
      <c r="D17316" t="s">
        <v>62364</v>
      </c>
      <c r="E17316" t="s">
        <v>62365</v>
      </c>
      <c r="F17316" t="s">
        <v>2094</v>
      </c>
      <c r="G17316" t="s">
        <v>52</v>
      </c>
      <c r="H17316">
        <v>75201</v>
      </c>
      <c r="I17316" t="s">
        <v>30</v>
      </c>
      <c r="J17316" t="s">
        <v>7657</v>
      </c>
      <c r="K17316" t="s">
        <v>163</v>
      </c>
      <c r="N17316" t="s">
        <v>62366</v>
      </c>
      <c r="Q17316">
        <v>0</v>
      </c>
      <c r="R17316">
        <v>0</v>
      </c>
      <c r="S17316">
        <v>0</v>
      </c>
      <c r="T17316" t="s">
        <v>62367</v>
      </c>
    </row>
    <row r="17317" spans="1:25" customFormat="1" x14ac:dyDescent="0.25">
      <c r="A17317" s="4" t="s">
        <v>24</v>
      </c>
      <c r="B17317" s="4" t="s">
        <v>5843</v>
      </c>
      <c r="C17317" s="4" t="str">
        <f>"A0093475"</f>
        <v>A0093475</v>
      </c>
      <c r="D17317" s="4" t="s">
        <v>86785</v>
      </c>
      <c r="E17317" s="4" t="s">
        <v>86786</v>
      </c>
      <c r="F17317" s="4" t="s">
        <v>7063</v>
      </c>
      <c r="G17317" s="4" t="s">
        <v>110</v>
      </c>
      <c r="H17317" s="4">
        <v>92262</v>
      </c>
      <c r="I17317" s="4" t="s">
        <v>30</v>
      </c>
      <c r="J17317" s="4" t="s">
        <v>206</v>
      </c>
      <c r="K17317" s="4" t="s">
        <v>6459</v>
      </c>
      <c r="L17317" s="4"/>
      <c r="M17317" s="4"/>
      <c r="N17317" s="4" t="s">
        <v>76554</v>
      </c>
      <c r="O17317" s="4"/>
      <c r="P17317" s="4"/>
      <c r="Q17317" s="4">
        <v>0</v>
      </c>
      <c r="R17317" s="4">
        <v>56</v>
      </c>
      <c r="S17317" s="4">
        <v>0</v>
      </c>
      <c r="T17317" s="4" t="s">
        <v>86787</v>
      </c>
      <c r="U17317" s="4"/>
      <c r="V17317" s="4"/>
      <c r="W17317" s="4"/>
      <c r="X17317" s="4"/>
      <c r="Y17317" s="4"/>
    </row>
    <row r="17318" spans="1:25" customFormat="1" x14ac:dyDescent="0.25">
      <c r="A17318" s="4" t="s">
        <v>24</v>
      </c>
      <c r="B17318" s="4" t="s">
        <v>2011</v>
      </c>
      <c r="C17318" s="4" t="str">
        <f>"A0089962"</f>
        <v>A0089962</v>
      </c>
      <c r="D17318" s="4" t="s">
        <v>87066</v>
      </c>
      <c r="E17318" s="4" t="s">
        <v>87067</v>
      </c>
      <c r="F17318" s="4" t="s">
        <v>87068</v>
      </c>
      <c r="G17318" s="4" t="s">
        <v>110</v>
      </c>
      <c r="H17318" s="4">
        <v>93920</v>
      </c>
      <c r="I17318" s="4" t="s">
        <v>30</v>
      </c>
      <c r="J17318" s="4" t="s">
        <v>206</v>
      </c>
      <c r="K17318" s="4" t="s">
        <v>15741</v>
      </c>
      <c r="L17318" s="4"/>
      <c r="M17318" s="4"/>
      <c r="N17318" s="4" t="s">
        <v>87069</v>
      </c>
      <c r="O17318" s="4" t="s">
        <v>84440</v>
      </c>
      <c r="P17318" s="4"/>
      <c r="Q17318" s="4">
        <v>0</v>
      </c>
      <c r="R17318" s="4">
        <v>60</v>
      </c>
      <c r="S17318" s="4">
        <v>0</v>
      </c>
      <c r="T17318" s="4" t="s">
        <v>87070</v>
      </c>
      <c r="U17318" s="4"/>
      <c r="V17318" s="4"/>
      <c r="W17318" s="4"/>
      <c r="X17318" s="4"/>
      <c r="Y17318" s="4"/>
    </row>
    <row r="17319" spans="1:25" customFormat="1" ht="15" hidden="1" x14ac:dyDescent="0.25">
      <c r="A17319" t="s">
        <v>24</v>
      </c>
      <c r="B17319" t="s">
        <v>62376</v>
      </c>
      <c r="C17319" t="str">
        <f>"39040"</f>
        <v>39040</v>
      </c>
      <c r="D17319" t="s">
        <v>62377</v>
      </c>
      <c r="E17319" t="s">
        <v>62378</v>
      </c>
      <c r="F17319" t="s">
        <v>62379</v>
      </c>
      <c r="G17319" t="s">
        <v>62380</v>
      </c>
      <c r="I17319" t="s">
        <v>62379</v>
      </c>
      <c r="J17319" t="s">
        <v>162</v>
      </c>
      <c r="K17319" t="s">
        <v>1490</v>
      </c>
      <c r="Q17319">
        <v>0</v>
      </c>
      <c r="R17319">
        <v>336</v>
      </c>
      <c r="S17319">
        <v>0</v>
      </c>
      <c r="T17319" t="s">
        <v>62381</v>
      </c>
    </row>
    <row r="17320" spans="1:25" customFormat="1" ht="15" x14ac:dyDescent="0.25">
      <c r="A17320" t="s">
        <v>24</v>
      </c>
      <c r="B17320" t="s">
        <v>2373</v>
      </c>
      <c r="C17320" t="str">
        <f>"A0098618"</f>
        <v>A0098618</v>
      </c>
      <c r="D17320" t="s">
        <v>62382</v>
      </c>
      <c r="E17320" t="s">
        <v>62383</v>
      </c>
      <c r="F17320" t="s">
        <v>716</v>
      </c>
      <c r="G17320" t="s">
        <v>289</v>
      </c>
      <c r="H17320">
        <v>60611</v>
      </c>
      <c r="I17320" t="s">
        <v>30</v>
      </c>
      <c r="J17320" t="s">
        <v>1004</v>
      </c>
      <c r="K17320" t="s">
        <v>6809</v>
      </c>
      <c r="Q17320">
        <v>0</v>
      </c>
      <c r="R17320">
        <v>0</v>
      </c>
      <c r="S17320">
        <v>0</v>
      </c>
      <c r="T17320" t="s">
        <v>62384</v>
      </c>
    </row>
    <row r="17321" spans="1:25" customFormat="1" ht="15" x14ac:dyDescent="0.25">
      <c r="A17321" t="s">
        <v>24</v>
      </c>
      <c r="B17321" t="s">
        <v>2360</v>
      </c>
      <c r="C17321" t="str">
        <f>"CL1598"</f>
        <v>CL1598</v>
      </c>
      <c r="D17321" t="s">
        <v>62385</v>
      </c>
      <c r="E17321" t="s">
        <v>62386</v>
      </c>
      <c r="F17321" t="s">
        <v>62387</v>
      </c>
      <c r="G17321" t="s">
        <v>214</v>
      </c>
      <c r="H17321">
        <v>27927</v>
      </c>
      <c r="I17321" t="s">
        <v>30</v>
      </c>
      <c r="J17321" t="s">
        <v>178</v>
      </c>
      <c r="K17321" t="s">
        <v>56676</v>
      </c>
      <c r="N17321" t="s">
        <v>62388</v>
      </c>
      <c r="P17321" t="s">
        <v>992</v>
      </c>
      <c r="Q17321">
        <v>1</v>
      </c>
      <c r="R17321">
        <v>0</v>
      </c>
      <c r="S17321">
        <v>0</v>
      </c>
      <c r="T17321" t="s">
        <v>62389</v>
      </c>
    </row>
    <row r="17322" spans="1:25" customFormat="1" ht="15" x14ac:dyDescent="0.25">
      <c r="A17322" t="s">
        <v>24</v>
      </c>
      <c r="B17322" t="s">
        <v>1583</v>
      </c>
      <c r="C17322" t="str">
        <f>"38D14"</f>
        <v>38D14</v>
      </c>
      <c r="D17322" t="s">
        <v>62390</v>
      </c>
      <c r="E17322" t="s">
        <v>62391</v>
      </c>
      <c r="F17322" t="s">
        <v>1208</v>
      </c>
      <c r="G17322" t="s">
        <v>899</v>
      </c>
      <c r="H17322">
        <v>2109</v>
      </c>
      <c r="I17322" t="s">
        <v>30</v>
      </c>
      <c r="J17322" t="s">
        <v>2544</v>
      </c>
      <c r="K17322" t="s">
        <v>36059</v>
      </c>
      <c r="N17322" t="s">
        <v>62392</v>
      </c>
      <c r="Q17322">
        <v>0</v>
      </c>
      <c r="R17322">
        <v>80</v>
      </c>
      <c r="S17322">
        <v>0</v>
      </c>
      <c r="T17322" t="s">
        <v>62393</v>
      </c>
    </row>
    <row r="17323" spans="1:25" customFormat="1" ht="15" x14ac:dyDescent="0.25">
      <c r="A17323" t="s">
        <v>24</v>
      </c>
      <c r="B17323" t="s">
        <v>1583</v>
      </c>
      <c r="C17323" t="str">
        <f>"A0100725"</f>
        <v>A0100725</v>
      </c>
      <c r="D17323" t="s">
        <v>62394</v>
      </c>
      <c r="E17323" t="s">
        <v>62395</v>
      </c>
      <c r="F17323" t="s">
        <v>4541</v>
      </c>
      <c r="G17323" t="s">
        <v>153</v>
      </c>
      <c r="H17323">
        <v>84115</v>
      </c>
      <c r="I17323" t="s">
        <v>30</v>
      </c>
      <c r="J17323" t="s">
        <v>191</v>
      </c>
      <c r="K17323" t="s">
        <v>6809</v>
      </c>
      <c r="N17323" t="s">
        <v>62396</v>
      </c>
      <c r="Q17323">
        <v>0</v>
      </c>
      <c r="R17323">
        <v>0</v>
      </c>
      <c r="S17323">
        <v>0</v>
      </c>
      <c r="T17323" t="s">
        <v>62397</v>
      </c>
    </row>
    <row r="17324" spans="1:25" customFormat="1" ht="15" x14ac:dyDescent="0.25">
      <c r="A17324" t="s">
        <v>24</v>
      </c>
      <c r="B17324" t="s">
        <v>1583</v>
      </c>
      <c r="C17324" t="str">
        <f>"38A26"</f>
        <v>38A26</v>
      </c>
      <c r="D17324" t="s">
        <v>62398</v>
      </c>
      <c r="E17324" t="s">
        <v>62399</v>
      </c>
      <c r="F17324" t="s">
        <v>985</v>
      </c>
      <c r="G17324" t="s">
        <v>81</v>
      </c>
      <c r="H17324">
        <v>32821</v>
      </c>
      <c r="I17324" t="s">
        <v>30</v>
      </c>
      <c r="J17324" t="s">
        <v>2544</v>
      </c>
      <c r="K17324" t="s">
        <v>36059</v>
      </c>
      <c r="N17324" t="s">
        <v>62400</v>
      </c>
      <c r="Q17324">
        <v>0</v>
      </c>
      <c r="R17324">
        <v>510</v>
      </c>
      <c r="S17324">
        <v>0</v>
      </c>
      <c r="T17324" t="s">
        <v>62401</v>
      </c>
    </row>
    <row r="17325" spans="1:25" customFormat="1" x14ac:dyDescent="0.25">
      <c r="A17325" s="4" t="s">
        <v>24</v>
      </c>
      <c r="B17325" s="4" t="s">
        <v>1862</v>
      </c>
      <c r="C17325" s="4" t="str">
        <f>"A0089045"</f>
        <v>A0089045</v>
      </c>
      <c r="D17325" s="4" t="s">
        <v>87099</v>
      </c>
      <c r="E17325" s="4" t="s">
        <v>87100</v>
      </c>
      <c r="F17325" s="4" t="s">
        <v>1865</v>
      </c>
      <c r="G17325" s="4" t="s">
        <v>110</v>
      </c>
      <c r="H17325" s="4">
        <v>90401</v>
      </c>
      <c r="I17325" s="4" t="s">
        <v>30</v>
      </c>
      <c r="J17325" s="4" t="s">
        <v>206</v>
      </c>
      <c r="K17325" s="4" t="s">
        <v>163</v>
      </c>
      <c r="L17325" s="4"/>
      <c r="M17325" s="4"/>
      <c r="N17325" s="4" t="s">
        <v>1866</v>
      </c>
      <c r="O17325" s="4" t="s">
        <v>83800</v>
      </c>
      <c r="P17325" s="4"/>
      <c r="Q17325" s="4">
        <v>0</v>
      </c>
      <c r="R17325" s="4">
        <v>162</v>
      </c>
      <c r="S17325" s="4">
        <v>0</v>
      </c>
      <c r="T17325" s="4" t="s">
        <v>87101</v>
      </c>
      <c r="U17325" s="4"/>
      <c r="V17325" s="4"/>
      <c r="W17325" s="4"/>
      <c r="X17325" s="4"/>
      <c r="Y17325" s="4"/>
    </row>
    <row r="17326" spans="1:25" customFormat="1" x14ac:dyDescent="0.25">
      <c r="A17326" s="4" t="s">
        <v>24</v>
      </c>
      <c r="B17326" s="4" t="s">
        <v>675</v>
      </c>
      <c r="C17326" s="4" t="str">
        <f>"A0096698"</f>
        <v>A0096698</v>
      </c>
      <c r="D17326" s="4" t="s">
        <v>87221</v>
      </c>
      <c r="E17326" s="4" t="s">
        <v>87222</v>
      </c>
      <c r="F17326" s="4" t="s">
        <v>1519</v>
      </c>
      <c r="G17326" s="4" t="s">
        <v>110</v>
      </c>
      <c r="H17326" s="4">
        <v>90024</v>
      </c>
      <c r="I17326" s="4" t="s">
        <v>30</v>
      </c>
      <c r="J17326" s="4" t="s">
        <v>206</v>
      </c>
      <c r="K17326" s="4" t="s">
        <v>16717</v>
      </c>
      <c r="L17326" s="4"/>
      <c r="M17326" s="4"/>
      <c r="N17326" s="4" t="s">
        <v>87223</v>
      </c>
      <c r="O17326" s="4"/>
      <c r="P17326" s="4"/>
      <c r="Q17326" s="4">
        <v>0</v>
      </c>
      <c r="R17326" s="4">
        <v>297</v>
      </c>
      <c r="S17326" s="4">
        <v>0</v>
      </c>
      <c r="T17326" s="4" t="s">
        <v>87224</v>
      </c>
      <c r="U17326" s="4"/>
      <c r="V17326" s="4"/>
      <c r="W17326" s="4"/>
      <c r="X17326" s="4"/>
      <c r="Y17326" s="4"/>
    </row>
    <row r="17327" spans="1:25" customFormat="1" x14ac:dyDescent="0.25">
      <c r="A17327" s="4" t="s">
        <v>24</v>
      </c>
      <c r="B17327" s="4" t="s">
        <v>675</v>
      </c>
      <c r="C17327" s="4" t="str">
        <f>"A0096678"</f>
        <v>A0096678</v>
      </c>
      <c r="D17327" s="4" t="s">
        <v>87263</v>
      </c>
      <c r="E17327" s="4" t="s">
        <v>87264</v>
      </c>
      <c r="F17327" s="4" t="s">
        <v>748</v>
      </c>
      <c r="G17327" s="4" t="s">
        <v>110</v>
      </c>
      <c r="H17327" s="4">
        <v>94103</v>
      </c>
      <c r="I17327" s="4" t="s">
        <v>30</v>
      </c>
      <c r="J17327" s="4" t="s">
        <v>206</v>
      </c>
      <c r="K17327" s="4" t="s">
        <v>16717</v>
      </c>
      <c r="L17327" s="4"/>
      <c r="M17327" s="4"/>
      <c r="N17327" s="4" t="s">
        <v>87265</v>
      </c>
      <c r="O17327" s="4" t="s">
        <v>87266</v>
      </c>
      <c r="P17327" s="4"/>
      <c r="Q17327" s="4">
        <v>0</v>
      </c>
      <c r="R17327" s="4">
        <v>404</v>
      </c>
      <c r="S17327" s="4">
        <v>0</v>
      </c>
      <c r="T17327" s="4" t="s">
        <v>87267</v>
      </c>
      <c r="U17327" s="4"/>
      <c r="V17327" s="4"/>
      <c r="W17327" s="4"/>
      <c r="X17327" s="4"/>
      <c r="Y17327" s="4"/>
    </row>
    <row r="17328" spans="1:25" customFormat="1" x14ac:dyDescent="0.25">
      <c r="A17328" s="4" t="s">
        <v>24</v>
      </c>
      <c r="B17328" s="4" t="s">
        <v>675</v>
      </c>
      <c r="C17328" s="4" t="str">
        <f>"A0095025"</f>
        <v>A0095025</v>
      </c>
      <c r="D17328" s="4" t="s">
        <v>87420</v>
      </c>
      <c r="E17328" s="4" t="s">
        <v>87421</v>
      </c>
      <c r="F17328" s="4" t="s">
        <v>1519</v>
      </c>
      <c r="G17328" s="4" t="s">
        <v>110</v>
      </c>
      <c r="H17328" s="4">
        <v>90069</v>
      </c>
      <c r="I17328" s="4" t="s">
        <v>30</v>
      </c>
      <c r="J17328" s="4" t="s">
        <v>206</v>
      </c>
      <c r="K17328" s="4" t="s">
        <v>3956</v>
      </c>
      <c r="L17328" s="4"/>
      <c r="M17328" s="4"/>
      <c r="N17328" s="4" t="s">
        <v>87422</v>
      </c>
      <c r="O17328" s="4" t="s">
        <v>87423</v>
      </c>
      <c r="P17328" s="4"/>
      <c r="Q17328" s="4">
        <v>0</v>
      </c>
      <c r="R17328" s="4">
        <v>190</v>
      </c>
      <c r="S17328" s="4">
        <v>0</v>
      </c>
      <c r="T17328" s="4" t="s">
        <v>87424</v>
      </c>
      <c r="U17328" s="4"/>
      <c r="V17328" s="4"/>
      <c r="W17328" s="4"/>
      <c r="X17328" s="4"/>
      <c r="Y17328" s="4"/>
    </row>
    <row r="17329" spans="1:25" customFormat="1" x14ac:dyDescent="0.25">
      <c r="A17329" s="4" t="s">
        <v>24</v>
      </c>
      <c r="B17329" s="4" t="s">
        <v>13730</v>
      </c>
      <c r="C17329" s="4" t="str">
        <f>"337W6"</f>
        <v>337W6</v>
      </c>
      <c r="D17329" s="4" t="s">
        <v>87444</v>
      </c>
      <c r="E17329" s="4" t="s">
        <v>87445</v>
      </c>
      <c r="F17329" s="4" t="s">
        <v>87446</v>
      </c>
      <c r="G17329" s="4" t="s">
        <v>110</v>
      </c>
      <c r="H17329" s="4" t="s">
        <v>87447</v>
      </c>
      <c r="I17329" s="4" t="s">
        <v>30</v>
      </c>
      <c r="J17329" s="4" t="s">
        <v>206</v>
      </c>
      <c r="K17329" s="4" t="s">
        <v>6459</v>
      </c>
      <c r="L17329" s="4"/>
      <c r="M17329" s="4"/>
      <c r="N17329" s="4" t="s">
        <v>87448</v>
      </c>
      <c r="O17329" s="4"/>
      <c r="P17329" s="4" t="s">
        <v>3998</v>
      </c>
      <c r="Q17329" s="4">
        <v>1</v>
      </c>
      <c r="R17329" s="4">
        <v>385</v>
      </c>
      <c r="S17329" s="4">
        <v>0</v>
      </c>
      <c r="T17329" s="4" t="s">
        <v>87449</v>
      </c>
      <c r="U17329" s="4"/>
      <c r="V17329" s="4"/>
      <c r="W17329" s="4"/>
      <c r="X17329" s="4"/>
      <c r="Y17329" s="4"/>
    </row>
    <row r="17330" spans="1:25" customFormat="1" ht="15" x14ac:dyDescent="0.25">
      <c r="A17330" t="s">
        <v>24</v>
      </c>
      <c r="B17330" t="s">
        <v>33426</v>
      </c>
      <c r="C17330" t="str">
        <f>"A0091943"</f>
        <v>A0091943</v>
      </c>
      <c r="D17330" t="s">
        <v>62424</v>
      </c>
      <c r="E17330" t="s">
        <v>62425</v>
      </c>
      <c r="F17330" t="s">
        <v>2094</v>
      </c>
      <c r="G17330" t="s">
        <v>52</v>
      </c>
      <c r="H17330">
        <v>75225</v>
      </c>
      <c r="I17330" t="s">
        <v>30</v>
      </c>
      <c r="J17330" t="s">
        <v>7657</v>
      </c>
      <c r="K17330" t="s">
        <v>163</v>
      </c>
      <c r="Q17330">
        <v>0</v>
      </c>
      <c r="R17330">
        <v>0</v>
      </c>
      <c r="S17330">
        <v>0</v>
      </c>
      <c r="T17330" t="s">
        <v>62426</v>
      </c>
    </row>
    <row r="17331" spans="1:25" customFormat="1" ht="15" x14ac:dyDescent="0.25">
      <c r="A17331" t="s">
        <v>24</v>
      </c>
      <c r="B17331" t="s">
        <v>6667</v>
      </c>
      <c r="C17331" t="str">
        <f>"A0096659"</f>
        <v>A0096659</v>
      </c>
      <c r="D17331" t="s">
        <v>62427</v>
      </c>
      <c r="E17331" t="s">
        <v>62428</v>
      </c>
      <c r="F17331" t="s">
        <v>62429</v>
      </c>
      <c r="G17331" t="s">
        <v>110</v>
      </c>
      <c r="H17331">
        <v>92708</v>
      </c>
      <c r="I17331" t="s">
        <v>30</v>
      </c>
      <c r="J17331" t="s">
        <v>178</v>
      </c>
      <c r="K17331" t="s">
        <v>6667</v>
      </c>
      <c r="N17331" t="s">
        <v>62430</v>
      </c>
      <c r="O17331" t="s">
        <v>62431</v>
      </c>
      <c r="Q17331">
        <v>0</v>
      </c>
      <c r="R17331">
        <v>0</v>
      </c>
      <c r="S17331">
        <v>0</v>
      </c>
      <c r="T17331" t="s">
        <v>62432</v>
      </c>
    </row>
    <row r="17332" spans="1:25" customFormat="1" ht="15" x14ac:dyDescent="0.25">
      <c r="A17332" t="s">
        <v>24</v>
      </c>
      <c r="B17332" t="s">
        <v>814</v>
      </c>
      <c r="C17332" t="str">
        <f>"A0092208"</f>
        <v>A0092208</v>
      </c>
      <c r="D17332" t="s">
        <v>62433</v>
      </c>
      <c r="E17332" t="s">
        <v>62434</v>
      </c>
      <c r="F17332" t="s">
        <v>3587</v>
      </c>
      <c r="G17332" t="s">
        <v>846</v>
      </c>
      <c r="H17332">
        <v>30346</v>
      </c>
      <c r="I17332" t="s">
        <v>30</v>
      </c>
      <c r="J17332" t="s">
        <v>191</v>
      </c>
      <c r="K17332" t="s">
        <v>11889</v>
      </c>
      <c r="N17332" t="s">
        <v>62435</v>
      </c>
      <c r="Q17332">
        <v>0</v>
      </c>
      <c r="R17332">
        <v>0</v>
      </c>
      <c r="S17332">
        <v>0</v>
      </c>
      <c r="T17332" t="s">
        <v>62436</v>
      </c>
    </row>
    <row r="17333" spans="1:25" customFormat="1" ht="15" hidden="1" x14ac:dyDescent="0.25">
      <c r="A17333" t="s">
        <v>24</v>
      </c>
      <c r="B17333" t="s">
        <v>1453</v>
      </c>
      <c r="C17333" t="str">
        <f>"A0096945"</f>
        <v>A0096945</v>
      </c>
      <c r="D17333" t="s">
        <v>62437</v>
      </c>
      <c r="E17333" t="s">
        <v>62438</v>
      </c>
      <c r="F17333" t="s">
        <v>62439</v>
      </c>
      <c r="G17333" t="s">
        <v>2270</v>
      </c>
      <c r="H17333" t="s">
        <v>62440</v>
      </c>
      <c r="I17333" t="s">
        <v>1459</v>
      </c>
      <c r="J17333" t="s">
        <v>171</v>
      </c>
      <c r="K17333" t="s">
        <v>163</v>
      </c>
      <c r="N17333" t="s">
        <v>62441</v>
      </c>
      <c r="Q17333">
        <v>0</v>
      </c>
      <c r="R17333">
        <v>124</v>
      </c>
      <c r="S17333">
        <v>0</v>
      </c>
      <c r="T17333" t="s">
        <v>62442</v>
      </c>
    </row>
    <row r="17334" spans="1:25" customFormat="1" ht="15" hidden="1" x14ac:dyDescent="0.25">
      <c r="A17334" t="s">
        <v>24</v>
      </c>
      <c r="B17334" t="s">
        <v>1453</v>
      </c>
      <c r="C17334" t="str">
        <f>"A0096946"</f>
        <v>A0096946</v>
      </c>
      <c r="D17334" t="s">
        <v>62443</v>
      </c>
      <c r="E17334" t="s">
        <v>62444</v>
      </c>
      <c r="F17334" t="s">
        <v>62439</v>
      </c>
      <c r="G17334" t="s">
        <v>2270</v>
      </c>
      <c r="H17334" t="s">
        <v>62440</v>
      </c>
      <c r="I17334" t="s">
        <v>1459</v>
      </c>
      <c r="J17334" t="s">
        <v>162</v>
      </c>
      <c r="K17334" t="s">
        <v>163</v>
      </c>
      <c r="N17334" t="s">
        <v>62441</v>
      </c>
      <c r="Q17334">
        <v>0</v>
      </c>
      <c r="R17334">
        <v>100</v>
      </c>
      <c r="S17334">
        <v>0</v>
      </c>
      <c r="T17334" t="s">
        <v>62445</v>
      </c>
    </row>
    <row r="17335" spans="1:25" customFormat="1" ht="15" x14ac:dyDescent="0.25">
      <c r="A17335" t="s">
        <v>24</v>
      </c>
      <c r="B17335" t="s">
        <v>1467</v>
      </c>
      <c r="C17335" t="str">
        <f>"A0151491"</f>
        <v>A0151491</v>
      </c>
      <c r="D17335" t="s">
        <v>62446</v>
      </c>
      <c r="E17335" t="s">
        <v>62447</v>
      </c>
      <c r="F17335" t="s">
        <v>62448</v>
      </c>
      <c r="G17335" t="s">
        <v>899</v>
      </c>
      <c r="H17335">
        <v>1844</v>
      </c>
      <c r="I17335" t="s">
        <v>30</v>
      </c>
      <c r="J17335" t="s">
        <v>145</v>
      </c>
      <c r="K17335" t="s">
        <v>1185</v>
      </c>
      <c r="N17335" t="s">
        <v>62449</v>
      </c>
      <c r="Q17335">
        <v>0</v>
      </c>
      <c r="R17335">
        <v>117</v>
      </c>
      <c r="S17335">
        <v>0</v>
      </c>
      <c r="T17335" t="s">
        <v>62450</v>
      </c>
    </row>
    <row r="17336" spans="1:25" customFormat="1" ht="15" x14ac:dyDescent="0.25">
      <c r="A17336" t="s">
        <v>24</v>
      </c>
      <c r="B17336" t="s">
        <v>2340</v>
      </c>
      <c r="C17336" t="str">
        <f>"A0074690"</f>
        <v>A0074690</v>
      </c>
      <c r="D17336" t="s">
        <v>62451</v>
      </c>
      <c r="E17336" t="s">
        <v>62452</v>
      </c>
      <c r="F17336" t="s">
        <v>1131</v>
      </c>
      <c r="G17336" t="s">
        <v>29</v>
      </c>
      <c r="H17336">
        <v>22204</v>
      </c>
      <c r="I17336" t="s">
        <v>30</v>
      </c>
      <c r="J17336" t="s">
        <v>145</v>
      </c>
      <c r="K17336" t="s">
        <v>1185</v>
      </c>
      <c r="N17336" t="s">
        <v>62453</v>
      </c>
      <c r="Q17336">
        <v>0</v>
      </c>
      <c r="R17336">
        <v>80</v>
      </c>
      <c r="S17336">
        <v>0</v>
      </c>
      <c r="T17336" t="s">
        <v>62454</v>
      </c>
    </row>
    <row r="17337" spans="1:25" customFormat="1" ht="15" x14ac:dyDescent="0.25">
      <c r="A17337" t="s">
        <v>24</v>
      </c>
      <c r="B17337" t="s">
        <v>56986</v>
      </c>
      <c r="C17337" t="str">
        <f>"A0155405"</f>
        <v>A0155405</v>
      </c>
      <c r="D17337" t="s">
        <v>62455</v>
      </c>
      <c r="E17337" t="s">
        <v>62456</v>
      </c>
      <c r="F17337" t="s">
        <v>56955</v>
      </c>
      <c r="G17337" t="s">
        <v>190</v>
      </c>
      <c r="H17337">
        <v>80109</v>
      </c>
      <c r="I17337" t="s">
        <v>30</v>
      </c>
      <c r="J17337" t="s">
        <v>145</v>
      </c>
      <c r="K17337" t="s">
        <v>1185</v>
      </c>
      <c r="N17337" t="s">
        <v>59098</v>
      </c>
      <c r="Q17337">
        <v>0</v>
      </c>
      <c r="R17337">
        <v>63</v>
      </c>
      <c r="S17337">
        <v>0</v>
      </c>
      <c r="T17337" t="s">
        <v>62457</v>
      </c>
    </row>
    <row r="17338" spans="1:25" customFormat="1" ht="15" hidden="1" x14ac:dyDescent="0.25">
      <c r="A17338" t="s">
        <v>24</v>
      </c>
      <c r="B17338" t="s">
        <v>7405</v>
      </c>
      <c r="C17338" t="str">
        <f>"A0096691"</f>
        <v>A0096691</v>
      </c>
      <c r="D17338" t="s">
        <v>62458</v>
      </c>
      <c r="E17338" t="s">
        <v>62459</v>
      </c>
      <c r="F17338" t="s">
        <v>62460</v>
      </c>
      <c r="G17338" t="s">
        <v>5439</v>
      </c>
      <c r="H17338" t="s">
        <v>62461</v>
      </c>
      <c r="I17338" t="s">
        <v>1459</v>
      </c>
      <c r="J17338" t="s">
        <v>145</v>
      </c>
      <c r="K17338" t="s">
        <v>1185</v>
      </c>
      <c r="N17338" t="s">
        <v>62462</v>
      </c>
      <c r="Q17338">
        <v>0</v>
      </c>
      <c r="R17338">
        <v>90</v>
      </c>
      <c r="S17338">
        <v>0</v>
      </c>
      <c r="T17338" t="s">
        <v>62463</v>
      </c>
    </row>
    <row r="17339" spans="1:25" customFormat="1" ht="15" x14ac:dyDescent="0.25">
      <c r="A17339" t="s">
        <v>24</v>
      </c>
      <c r="B17339" t="s">
        <v>55987</v>
      </c>
      <c r="C17339" t="str">
        <f>"A0059913"</f>
        <v>A0059913</v>
      </c>
      <c r="D17339" t="s">
        <v>62464</v>
      </c>
      <c r="E17339" t="s">
        <v>62465</v>
      </c>
      <c r="F17339" t="s">
        <v>62466</v>
      </c>
      <c r="G17339" t="s">
        <v>40</v>
      </c>
      <c r="H17339">
        <v>73521</v>
      </c>
      <c r="I17339" t="s">
        <v>30</v>
      </c>
      <c r="J17339" t="s">
        <v>145</v>
      </c>
      <c r="K17339" t="s">
        <v>1185</v>
      </c>
      <c r="N17339" t="s">
        <v>62467</v>
      </c>
      <c r="Q17339">
        <v>0</v>
      </c>
      <c r="R17339">
        <v>100</v>
      </c>
      <c r="S17339">
        <v>0</v>
      </c>
      <c r="T17339" t="s">
        <v>62468</v>
      </c>
    </row>
    <row r="17340" spans="1:25" customFormat="1" ht="15" hidden="1" x14ac:dyDescent="0.25">
      <c r="A17340" t="s">
        <v>24</v>
      </c>
      <c r="B17340" t="s">
        <v>55654</v>
      </c>
      <c r="C17340" t="str">
        <f>"A0083595"</f>
        <v>A0083595</v>
      </c>
      <c r="D17340" t="s">
        <v>62469</v>
      </c>
      <c r="E17340" t="s">
        <v>62470</v>
      </c>
      <c r="F17340" t="s">
        <v>15269</v>
      </c>
      <c r="G17340" t="s">
        <v>15270</v>
      </c>
      <c r="H17340" t="s">
        <v>58910</v>
      </c>
      <c r="I17340" t="s">
        <v>1459</v>
      </c>
      <c r="J17340" t="s">
        <v>145</v>
      </c>
      <c r="K17340" t="s">
        <v>1185</v>
      </c>
      <c r="N17340" t="s">
        <v>62471</v>
      </c>
      <c r="O17340" t="s">
        <v>62472</v>
      </c>
      <c r="Q17340">
        <v>0</v>
      </c>
      <c r="R17340">
        <v>151</v>
      </c>
      <c r="S17340">
        <v>0</v>
      </c>
      <c r="T17340" t="s">
        <v>62473</v>
      </c>
    </row>
    <row r="17341" spans="1:25" customFormat="1" ht="15" x14ac:dyDescent="0.25">
      <c r="A17341" t="s">
        <v>24</v>
      </c>
      <c r="B17341" t="s">
        <v>57575</v>
      </c>
      <c r="C17341" t="str">
        <f>"A0060329"</f>
        <v>A0060329</v>
      </c>
      <c r="D17341" t="s">
        <v>62474</v>
      </c>
      <c r="E17341" t="s">
        <v>62475</v>
      </c>
      <c r="F17341" t="s">
        <v>62476</v>
      </c>
      <c r="G17341" t="s">
        <v>81</v>
      </c>
      <c r="H17341">
        <v>34135</v>
      </c>
      <c r="I17341" t="s">
        <v>30</v>
      </c>
      <c r="J17341" t="s">
        <v>145</v>
      </c>
      <c r="K17341" t="s">
        <v>1185</v>
      </c>
      <c r="N17341" t="s">
        <v>57579</v>
      </c>
      <c r="O17341" t="s">
        <v>62477</v>
      </c>
      <c r="Q17341">
        <v>0</v>
      </c>
      <c r="R17341">
        <v>60</v>
      </c>
      <c r="S17341">
        <v>0</v>
      </c>
      <c r="T17341" t="s">
        <v>62478</v>
      </c>
    </row>
    <row r="17342" spans="1:25" customFormat="1" ht="15" x14ac:dyDescent="0.25">
      <c r="A17342" t="s">
        <v>24</v>
      </c>
      <c r="B17342" t="s">
        <v>55997</v>
      </c>
      <c r="C17342" t="str">
        <f>"A0149401"</f>
        <v>A0149401</v>
      </c>
      <c r="D17342" t="s">
        <v>62479</v>
      </c>
      <c r="E17342" t="s">
        <v>62480</v>
      </c>
      <c r="F17342" t="s">
        <v>62481</v>
      </c>
      <c r="G17342" t="s">
        <v>338</v>
      </c>
      <c r="H17342">
        <v>8201</v>
      </c>
      <c r="I17342" t="s">
        <v>30</v>
      </c>
      <c r="J17342" t="s">
        <v>145</v>
      </c>
      <c r="K17342" t="s">
        <v>1185</v>
      </c>
      <c r="N17342" t="s">
        <v>62482</v>
      </c>
      <c r="Q17342">
        <v>0</v>
      </c>
      <c r="R17342">
        <v>200</v>
      </c>
      <c r="S17342">
        <v>0</v>
      </c>
      <c r="T17342" t="s">
        <v>62483</v>
      </c>
    </row>
    <row r="17343" spans="1:25" customFormat="1" ht="15" x14ac:dyDescent="0.25">
      <c r="A17343" t="s">
        <v>24</v>
      </c>
      <c r="B17343" t="s">
        <v>11378</v>
      </c>
      <c r="C17343" t="str">
        <f>"A0165581"</f>
        <v>A0165581</v>
      </c>
      <c r="D17343" t="s">
        <v>62484</v>
      </c>
      <c r="E17343" t="s">
        <v>62485</v>
      </c>
      <c r="F17343" t="s">
        <v>11381</v>
      </c>
      <c r="G17343" t="s">
        <v>846</v>
      </c>
      <c r="H17343">
        <v>30087</v>
      </c>
      <c r="I17343" t="s">
        <v>30</v>
      </c>
      <c r="J17343" t="s">
        <v>145</v>
      </c>
      <c r="K17343" t="s">
        <v>1185</v>
      </c>
      <c r="N17343" t="s">
        <v>62486</v>
      </c>
      <c r="Q17343">
        <v>0</v>
      </c>
      <c r="R17343">
        <v>81</v>
      </c>
      <c r="S17343">
        <v>0</v>
      </c>
      <c r="T17343" t="s">
        <v>62487</v>
      </c>
    </row>
    <row r="17344" spans="1:25" customFormat="1" ht="15" x14ac:dyDescent="0.25">
      <c r="A17344" t="s">
        <v>24</v>
      </c>
      <c r="B17344" t="s">
        <v>56463</v>
      </c>
      <c r="C17344" t="str">
        <f>"A0148946"</f>
        <v>A0148946</v>
      </c>
      <c r="D17344" t="s">
        <v>62488</v>
      </c>
      <c r="E17344" t="s">
        <v>62489</v>
      </c>
      <c r="F17344" t="s">
        <v>62490</v>
      </c>
      <c r="G17344" t="s">
        <v>52</v>
      </c>
      <c r="H17344">
        <v>76207</v>
      </c>
      <c r="I17344" t="s">
        <v>30</v>
      </c>
      <c r="J17344" t="s">
        <v>145</v>
      </c>
      <c r="K17344" t="s">
        <v>1185</v>
      </c>
      <c r="N17344" t="s">
        <v>62491</v>
      </c>
      <c r="O17344" t="s">
        <v>62492</v>
      </c>
      <c r="Q17344">
        <v>0</v>
      </c>
      <c r="R17344">
        <v>110</v>
      </c>
      <c r="S17344">
        <v>0</v>
      </c>
      <c r="T17344" t="s">
        <v>62493</v>
      </c>
    </row>
    <row r="17345" spans="1:20" customFormat="1" ht="15" x14ac:dyDescent="0.25">
      <c r="A17345" t="s">
        <v>24</v>
      </c>
      <c r="B17345" t="s">
        <v>62494</v>
      </c>
      <c r="C17345" t="str">
        <f>"A0088900"</f>
        <v>A0088900</v>
      </c>
      <c r="D17345" t="s">
        <v>62495</v>
      </c>
      <c r="E17345" t="s">
        <v>62496</v>
      </c>
      <c r="F17345" t="s">
        <v>1153</v>
      </c>
      <c r="G17345" t="s">
        <v>528</v>
      </c>
      <c r="H17345">
        <v>19713</v>
      </c>
      <c r="I17345" t="s">
        <v>30</v>
      </c>
      <c r="J17345" t="s">
        <v>145</v>
      </c>
      <c r="K17345" t="s">
        <v>1185</v>
      </c>
      <c r="N17345" t="s">
        <v>62497</v>
      </c>
      <c r="Q17345">
        <v>0</v>
      </c>
      <c r="R17345">
        <v>142</v>
      </c>
      <c r="S17345">
        <v>0</v>
      </c>
      <c r="T17345" t="s">
        <v>62498</v>
      </c>
    </row>
    <row r="17346" spans="1:20" customFormat="1" ht="15" x14ac:dyDescent="0.25">
      <c r="A17346" t="s">
        <v>24</v>
      </c>
      <c r="B17346" t="s">
        <v>2340</v>
      </c>
      <c r="C17346" t="str">
        <f>"A0090891"</f>
        <v>A0090891</v>
      </c>
      <c r="D17346" t="s">
        <v>62499</v>
      </c>
      <c r="E17346" t="s">
        <v>62500</v>
      </c>
      <c r="F17346" t="s">
        <v>62501</v>
      </c>
      <c r="G17346" t="s">
        <v>123</v>
      </c>
      <c r="H17346">
        <v>20746</v>
      </c>
      <c r="I17346" t="s">
        <v>30</v>
      </c>
      <c r="J17346" t="s">
        <v>145</v>
      </c>
      <c r="K17346" t="s">
        <v>1185</v>
      </c>
      <c r="N17346" t="s">
        <v>62502</v>
      </c>
      <c r="Q17346">
        <v>0</v>
      </c>
      <c r="R17346">
        <v>139</v>
      </c>
      <c r="S17346">
        <v>0</v>
      </c>
      <c r="T17346" t="s">
        <v>62503</v>
      </c>
    </row>
    <row r="17347" spans="1:20" customFormat="1" ht="15" x14ac:dyDescent="0.25">
      <c r="A17347" t="s">
        <v>24</v>
      </c>
      <c r="B17347" t="s">
        <v>8850</v>
      </c>
      <c r="C17347" t="str">
        <f>"A0154222"</f>
        <v>A0154222</v>
      </c>
      <c r="D17347" t="s">
        <v>62504</v>
      </c>
      <c r="E17347" t="s">
        <v>62505</v>
      </c>
      <c r="F17347" t="s">
        <v>7699</v>
      </c>
      <c r="G17347" t="s">
        <v>81</v>
      </c>
      <c r="H17347">
        <v>33759</v>
      </c>
      <c r="I17347" t="s">
        <v>30</v>
      </c>
      <c r="J17347" t="s">
        <v>145</v>
      </c>
      <c r="K17347" t="s">
        <v>1185</v>
      </c>
      <c r="N17347" t="s">
        <v>62506</v>
      </c>
      <c r="Q17347">
        <v>0</v>
      </c>
      <c r="R17347">
        <v>92</v>
      </c>
      <c r="S17347">
        <v>0</v>
      </c>
      <c r="T17347" t="s">
        <v>62507</v>
      </c>
    </row>
    <row r="17348" spans="1:20" customFormat="1" ht="15" x14ac:dyDescent="0.25">
      <c r="A17348" t="s">
        <v>24</v>
      </c>
      <c r="B17348" t="s">
        <v>2340</v>
      </c>
      <c r="C17348" t="str">
        <f>"A0074687"</f>
        <v>A0074687</v>
      </c>
      <c r="D17348" t="s">
        <v>62508</v>
      </c>
      <c r="E17348" t="s">
        <v>62509</v>
      </c>
      <c r="F17348" t="s">
        <v>3024</v>
      </c>
      <c r="G17348" t="s">
        <v>123</v>
      </c>
      <c r="H17348">
        <v>20740</v>
      </c>
      <c r="I17348" t="s">
        <v>30</v>
      </c>
      <c r="J17348" t="s">
        <v>145</v>
      </c>
      <c r="K17348" t="s">
        <v>1185</v>
      </c>
      <c r="N17348" t="s">
        <v>2214</v>
      </c>
      <c r="Q17348">
        <v>0</v>
      </c>
      <c r="R17348">
        <v>111</v>
      </c>
      <c r="S17348">
        <v>0</v>
      </c>
      <c r="T17348" t="s">
        <v>62510</v>
      </c>
    </row>
    <row r="17349" spans="1:20" customFormat="1" ht="15" x14ac:dyDescent="0.25">
      <c r="A17349" t="s">
        <v>24</v>
      </c>
      <c r="B17349" t="s">
        <v>8366</v>
      </c>
      <c r="C17349" t="str">
        <f>"A0086162"</f>
        <v>A0086162</v>
      </c>
      <c r="D17349" t="s">
        <v>62511</v>
      </c>
      <c r="E17349" t="s">
        <v>62512</v>
      </c>
      <c r="F17349" t="s">
        <v>62513</v>
      </c>
      <c r="G17349" t="s">
        <v>90</v>
      </c>
      <c r="H17349">
        <v>2920</v>
      </c>
      <c r="I17349" t="s">
        <v>30</v>
      </c>
      <c r="J17349" t="s">
        <v>145</v>
      </c>
      <c r="K17349" t="s">
        <v>1185</v>
      </c>
      <c r="N17349" t="s">
        <v>62514</v>
      </c>
      <c r="O17349" t="s">
        <v>14317</v>
      </c>
      <c r="Q17349">
        <v>0</v>
      </c>
      <c r="R17349">
        <v>65</v>
      </c>
      <c r="S17349">
        <v>0</v>
      </c>
      <c r="T17349" t="s">
        <v>62515</v>
      </c>
    </row>
    <row r="17350" spans="1:20" customFormat="1" ht="15" x14ac:dyDescent="0.25">
      <c r="A17350" t="s">
        <v>24</v>
      </c>
      <c r="B17350" t="s">
        <v>15291</v>
      </c>
      <c r="C17350" t="str">
        <f>"A0158572"</f>
        <v>A0158572</v>
      </c>
      <c r="D17350" t="s">
        <v>62516</v>
      </c>
      <c r="E17350" t="s">
        <v>62517</v>
      </c>
      <c r="F17350" t="s">
        <v>62518</v>
      </c>
      <c r="G17350" t="s">
        <v>52</v>
      </c>
      <c r="H17350">
        <v>79022</v>
      </c>
      <c r="I17350" t="s">
        <v>30</v>
      </c>
      <c r="J17350" t="s">
        <v>145</v>
      </c>
      <c r="K17350" t="s">
        <v>1185</v>
      </c>
      <c r="N17350" t="s">
        <v>62519</v>
      </c>
      <c r="Q17350">
        <v>0</v>
      </c>
      <c r="R17350">
        <v>43</v>
      </c>
      <c r="S17350">
        <v>0</v>
      </c>
      <c r="T17350" t="s">
        <v>62520</v>
      </c>
    </row>
    <row r="17351" spans="1:20" customFormat="1" ht="15" x14ac:dyDescent="0.25">
      <c r="A17351" t="s">
        <v>24</v>
      </c>
      <c r="B17351" t="s">
        <v>8579</v>
      </c>
      <c r="C17351" t="str">
        <f>"A0089702"</f>
        <v>A0089702</v>
      </c>
      <c r="D17351" t="s">
        <v>62521</v>
      </c>
      <c r="E17351" t="s">
        <v>62522</v>
      </c>
      <c r="F17351" t="s">
        <v>972</v>
      </c>
      <c r="G17351" t="s">
        <v>190</v>
      </c>
      <c r="H17351">
        <v>80249</v>
      </c>
      <c r="I17351" t="s">
        <v>30</v>
      </c>
      <c r="J17351" t="s">
        <v>145</v>
      </c>
      <c r="K17351" t="s">
        <v>1185</v>
      </c>
      <c r="N17351" t="s">
        <v>62523</v>
      </c>
      <c r="O17351" t="s">
        <v>62524</v>
      </c>
      <c r="Q17351">
        <v>0</v>
      </c>
      <c r="R17351">
        <v>102</v>
      </c>
      <c r="S17351">
        <v>0</v>
      </c>
      <c r="T17351" t="s">
        <v>62525</v>
      </c>
    </row>
    <row r="17352" spans="1:20" customFormat="1" ht="15" hidden="1" x14ac:dyDescent="0.25">
      <c r="A17352" t="s">
        <v>24</v>
      </c>
      <c r="B17352" t="s">
        <v>57067</v>
      </c>
      <c r="C17352" t="str">
        <f>"A0094950"</f>
        <v>A0094950</v>
      </c>
      <c r="D17352" t="s">
        <v>62526</v>
      </c>
      <c r="E17352" t="s">
        <v>62527</v>
      </c>
      <c r="F17352" t="s">
        <v>56045</v>
      </c>
      <c r="G17352" t="s">
        <v>2206</v>
      </c>
      <c r="H17352" t="s">
        <v>62528</v>
      </c>
      <c r="I17352" t="s">
        <v>1459</v>
      </c>
      <c r="J17352" t="s">
        <v>145</v>
      </c>
      <c r="K17352" t="s">
        <v>1185</v>
      </c>
      <c r="N17352" t="s">
        <v>62529</v>
      </c>
      <c r="Q17352">
        <v>0</v>
      </c>
      <c r="R17352">
        <v>74</v>
      </c>
      <c r="S17352">
        <v>0</v>
      </c>
      <c r="T17352" t="s">
        <v>62530</v>
      </c>
    </row>
    <row r="17353" spans="1:20" customFormat="1" ht="15" x14ac:dyDescent="0.25">
      <c r="A17353" t="s">
        <v>24</v>
      </c>
      <c r="B17353" t="s">
        <v>55987</v>
      </c>
      <c r="C17353" t="str">
        <f>"A0101068"</f>
        <v>A0101068</v>
      </c>
      <c r="D17353" t="s">
        <v>62531</v>
      </c>
      <c r="E17353" t="s">
        <v>62532</v>
      </c>
      <c r="F17353" t="s">
        <v>2051</v>
      </c>
      <c r="G17353" t="s">
        <v>161</v>
      </c>
      <c r="H17353">
        <v>55812</v>
      </c>
      <c r="I17353" t="s">
        <v>30</v>
      </c>
      <c r="J17353" t="s">
        <v>145</v>
      </c>
      <c r="K17353" t="s">
        <v>1185</v>
      </c>
      <c r="N17353" t="s">
        <v>62533</v>
      </c>
      <c r="O17353" t="s">
        <v>62534</v>
      </c>
      <c r="Q17353">
        <v>0</v>
      </c>
      <c r="R17353">
        <v>64</v>
      </c>
      <c r="S17353">
        <v>0</v>
      </c>
      <c r="T17353" t="s">
        <v>62535</v>
      </c>
    </row>
    <row r="17354" spans="1:20" customFormat="1" ht="15" x14ac:dyDescent="0.25">
      <c r="A17354" t="s">
        <v>24</v>
      </c>
      <c r="B17354" t="s">
        <v>10398</v>
      </c>
      <c r="C17354" t="str">
        <f>"A0057508"</f>
        <v>A0057508</v>
      </c>
      <c r="D17354" t="s">
        <v>62536</v>
      </c>
      <c r="E17354" t="s">
        <v>62537</v>
      </c>
      <c r="F17354" t="s">
        <v>2978</v>
      </c>
      <c r="G17354" t="s">
        <v>110</v>
      </c>
      <c r="H17354">
        <v>92024</v>
      </c>
      <c r="I17354" t="s">
        <v>30</v>
      </c>
      <c r="J17354" t="s">
        <v>145</v>
      </c>
      <c r="K17354" t="s">
        <v>1185</v>
      </c>
      <c r="N17354" t="s">
        <v>62538</v>
      </c>
      <c r="Q17354">
        <v>0</v>
      </c>
      <c r="R17354">
        <v>124</v>
      </c>
      <c r="S17354">
        <v>0</v>
      </c>
      <c r="T17354" t="s">
        <v>62539</v>
      </c>
    </row>
    <row r="17355" spans="1:20" customFormat="1" ht="15" x14ac:dyDescent="0.25">
      <c r="A17355" t="s">
        <v>24</v>
      </c>
      <c r="B17355" t="s">
        <v>62540</v>
      </c>
      <c r="C17355" t="str">
        <f>"A0156067"</f>
        <v>A0156067</v>
      </c>
      <c r="D17355" t="s">
        <v>62541</v>
      </c>
      <c r="E17355" t="s">
        <v>62542</v>
      </c>
      <c r="F17355" t="s">
        <v>56789</v>
      </c>
      <c r="G17355" t="s">
        <v>65</v>
      </c>
      <c r="H17355">
        <v>43123</v>
      </c>
      <c r="I17355" t="s">
        <v>30</v>
      </c>
      <c r="J17355" t="s">
        <v>145</v>
      </c>
      <c r="K17355" t="s">
        <v>1185</v>
      </c>
      <c r="N17355" t="s">
        <v>62543</v>
      </c>
      <c r="Q17355">
        <v>0</v>
      </c>
      <c r="R17355">
        <v>70</v>
      </c>
      <c r="S17355">
        <v>0</v>
      </c>
      <c r="T17355" t="s">
        <v>62544</v>
      </c>
    </row>
    <row r="17356" spans="1:20" customFormat="1" ht="15" x14ac:dyDescent="0.25">
      <c r="A17356" t="s">
        <v>24</v>
      </c>
      <c r="B17356" t="s">
        <v>55987</v>
      </c>
      <c r="C17356" t="str">
        <f>"A0101127"</f>
        <v>A0101127</v>
      </c>
      <c r="D17356" t="s">
        <v>62545</v>
      </c>
      <c r="E17356" t="s">
        <v>62546</v>
      </c>
      <c r="F17356" t="s">
        <v>62547</v>
      </c>
      <c r="G17356" t="s">
        <v>71</v>
      </c>
      <c r="H17356">
        <v>54534</v>
      </c>
      <c r="I17356" t="s">
        <v>30</v>
      </c>
      <c r="J17356" t="s">
        <v>145</v>
      </c>
      <c r="K17356" t="s">
        <v>1185</v>
      </c>
      <c r="N17356" t="s">
        <v>62548</v>
      </c>
      <c r="Q17356">
        <v>0</v>
      </c>
      <c r="R17356">
        <v>69</v>
      </c>
      <c r="S17356">
        <v>0</v>
      </c>
      <c r="T17356" t="s">
        <v>62549</v>
      </c>
    </row>
    <row r="17357" spans="1:20" customFormat="1" ht="15" x14ac:dyDescent="0.25">
      <c r="A17357" t="s">
        <v>24</v>
      </c>
      <c r="B17357" t="s">
        <v>57165</v>
      </c>
      <c r="C17357" t="str">
        <f>"A0155605"</f>
        <v>A0155605</v>
      </c>
      <c r="D17357" t="s">
        <v>62550</v>
      </c>
      <c r="E17357" t="s">
        <v>62551</v>
      </c>
      <c r="F17357" t="s">
        <v>59193</v>
      </c>
      <c r="G17357" t="s">
        <v>71</v>
      </c>
      <c r="H17357">
        <v>53038</v>
      </c>
      <c r="I17357" t="s">
        <v>30</v>
      </c>
      <c r="J17357" t="s">
        <v>145</v>
      </c>
      <c r="K17357" t="s">
        <v>1185</v>
      </c>
      <c r="N17357" t="s">
        <v>62552</v>
      </c>
      <c r="Q17357">
        <v>0</v>
      </c>
      <c r="R17357">
        <v>45</v>
      </c>
      <c r="S17357">
        <v>0</v>
      </c>
      <c r="T17357" t="s">
        <v>62553</v>
      </c>
    </row>
    <row r="17358" spans="1:20" customFormat="1" ht="15" x14ac:dyDescent="0.25">
      <c r="A17358" t="s">
        <v>24</v>
      </c>
      <c r="B17358" t="s">
        <v>13267</v>
      </c>
      <c r="C17358" t="str">
        <f>"A0084379"</f>
        <v>A0084379</v>
      </c>
      <c r="D17358" t="s">
        <v>62554</v>
      </c>
      <c r="E17358" t="s">
        <v>62555</v>
      </c>
      <c r="F17358" t="s">
        <v>11057</v>
      </c>
      <c r="G17358" t="s">
        <v>197</v>
      </c>
      <c r="H17358">
        <v>86401</v>
      </c>
      <c r="I17358" t="s">
        <v>30</v>
      </c>
      <c r="J17358" t="s">
        <v>145</v>
      </c>
      <c r="K17358" t="s">
        <v>1185</v>
      </c>
      <c r="N17358" t="s">
        <v>62109</v>
      </c>
      <c r="O17358" t="s">
        <v>10984</v>
      </c>
      <c r="Q17358">
        <v>0</v>
      </c>
      <c r="R17358">
        <v>60</v>
      </c>
      <c r="S17358">
        <v>0</v>
      </c>
      <c r="T17358" t="s">
        <v>62556</v>
      </c>
    </row>
    <row r="17359" spans="1:20" customFormat="1" ht="15" x14ac:dyDescent="0.25">
      <c r="A17359" t="s">
        <v>24</v>
      </c>
      <c r="B17359" t="s">
        <v>1577</v>
      </c>
      <c r="C17359" t="str">
        <f>"A0158089"</f>
        <v>A0158089</v>
      </c>
      <c r="D17359" t="s">
        <v>62557</v>
      </c>
      <c r="E17359" t="s">
        <v>53882</v>
      </c>
      <c r="F17359" t="s">
        <v>53883</v>
      </c>
      <c r="G17359" t="s">
        <v>1706</v>
      </c>
      <c r="H17359">
        <v>36608</v>
      </c>
      <c r="I17359" t="s">
        <v>30</v>
      </c>
      <c r="J17359" t="s">
        <v>145</v>
      </c>
      <c r="K17359" t="s">
        <v>1185</v>
      </c>
      <c r="N17359" t="s">
        <v>53884</v>
      </c>
      <c r="Q17359">
        <v>0</v>
      </c>
      <c r="R17359">
        <v>70</v>
      </c>
      <c r="S17359">
        <v>0</v>
      </c>
      <c r="T17359" t="s">
        <v>62558</v>
      </c>
    </row>
    <row r="17360" spans="1:20" customFormat="1" ht="15" hidden="1" x14ac:dyDescent="0.25">
      <c r="A17360" t="s">
        <v>24</v>
      </c>
      <c r="B17360" t="s">
        <v>62559</v>
      </c>
      <c r="C17360" t="str">
        <f>"A0094928"</f>
        <v>A0094928</v>
      </c>
      <c r="D17360" t="s">
        <v>62560</v>
      </c>
      <c r="E17360" t="s">
        <v>62561</v>
      </c>
      <c r="F17360" t="s">
        <v>58945</v>
      </c>
      <c r="G17360" t="s">
        <v>2206</v>
      </c>
      <c r="H17360" t="s">
        <v>62562</v>
      </c>
      <c r="I17360" t="s">
        <v>1459</v>
      </c>
      <c r="J17360" t="s">
        <v>145</v>
      </c>
      <c r="K17360" t="s">
        <v>1185</v>
      </c>
      <c r="N17360" t="s">
        <v>62563</v>
      </c>
      <c r="Q17360">
        <v>0</v>
      </c>
      <c r="R17360">
        <v>78</v>
      </c>
      <c r="S17360">
        <v>0</v>
      </c>
      <c r="T17360" t="s">
        <v>62564</v>
      </c>
    </row>
    <row r="17361" spans="1:25" customFormat="1" ht="15" hidden="1" x14ac:dyDescent="0.25">
      <c r="A17361" t="s">
        <v>24</v>
      </c>
      <c r="B17361" t="s">
        <v>62565</v>
      </c>
      <c r="C17361" t="str">
        <f>"A0097879"</f>
        <v>A0097879</v>
      </c>
      <c r="D17361" t="s">
        <v>62566</v>
      </c>
      <c r="E17361" t="s">
        <v>62567</v>
      </c>
      <c r="F17361" t="s">
        <v>56045</v>
      </c>
      <c r="G17361" t="s">
        <v>2206</v>
      </c>
      <c r="H17361" t="s">
        <v>62568</v>
      </c>
      <c r="I17361" t="s">
        <v>1459</v>
      </c>
      <c r="J17361" t="s">
        <v>145</v>
      </c>
      <c r="K17361" t="s">
        <v>1185</v>
      </c>
      <c r="N17361" t="s">
        <v>62569</v>
      </c>
      <c r="Q17361">
        <v>0</v>
      </c>
      <c r="R17361">
        <v>81</v>
      </c>
      <c r="S17361">
        <v>0</v>
      </c>
      <c r="T17361" t="s">
        <v>62570</v>
      </c>
    </row>
    <row r="17362" spans="1:25" customFormat="1" ht="15" hidden="1" x14ac:dyDescent="0.25">
      <c r="A17362" t="s">
        <v>24</v>
      </c>
      <c r="B17362" t="s">
        <v>57067</v>
      </c>
      <c r="C17362" t="str">
        <f>"A0094952"</f>
        <v>A0094952</v>
      </c>
      <c r="D17362" t="s">
        <v>62571</v>
      </c>
      <c r="E17362" t="s">
        <v>62572</v>
      </c>
      <c r="F17362" t="s">
        <v>54204</v>
      </c>
      <c r="G17362" t="s">
        <v>2206</v>
      </c>
      <c r="H17362" t="s">
        <v>62573</v>
      </c>
      <c r="I17362" t="s">
        <v>1459</v>
      </c>
      <c r="J17362" t="s">
        <v>145</v>
      </c>
      <c r="K17362" t="s">
        <v>1185</v>
      </c>
      <c r="N17362" t="s">
        <v>62574</v>
      </c>
      <c r="Q17362">
        <v>0</v>
      </c>
      <c r="R17362">
        <v>129</v>
      </c>
      <c r="S17362">
        <v>0</v>
      </c>
      <c r="T17362" t="s">
        <v>62575</v>
      </c>
    </row>
    <row r="17363" spans="1:25" customFormat="1" ht="15" x14ac:dyDescent="0.25">
      <c r="A17363" t="s">
        <v>24</v>
      </c>
      <c r="B17363" t="s">
        <v>8850</v>
      </c>
      <c r="C17363" t="str">
        <f>"A0085146"</f>
        <v>A0085146</v>
      </c>
      <c r="D17363" t="s">
        <v>62576</v>
      </c>
      <c r="E17363" t="s">
        <v>62577</v>
      </c>
      <c r="F17363" t="s">
        <v>6941</v>
      </c>
      <c r="G17363" t="s">
        <v>214</v>
      </c>
      <c r="H17363">
        <v>27560</v>
      </c>
      <c r="I17363" t="s">
        <v>30</v>
      </c>
      <c r="J17363" t="s">
        <v>145</v>
      </c>
      <c r="K17363" t="s">
        <v>1185</v>
      </c>
      <c r="N17363" t="s">
        <v>53598</v>
      </c>
      <c r="Q17363">
        <v>0</v>
      </c>
      <c r="R17363">
        <v>111</v>
      </c>
      <c r="S17363">
        <v>0</v>
      </c>
      <c r="T17363" t="s">
        <v>62578</v>
      </c>
    </row>
    <row r="17364" spans="1:25" customFormat="1" ht="15" x14ac:dyDescent="0.25">
      <c r="A17364" t="s">
        <v>24</v>
      </c>
      <c r="B17364" t="s">
        <v>53262</v>
      </c>
      <c r="C17364" t="str">
        <f>"A0094139"</f>
        <v>A0094139</v>
      </c>
      <c r="D17364" t="s">
        <v>62579</v>
      </c>
      <c r="E17364" t="s">
        <v>62580</v>
      </c>
      <c r="F17364" t="s">
        <v>62581</v>
      </c>
      <c r="G17364" t="s">
        <v>214</v>
      </c>
      <c r="H17364">
        <v>28384</v>
      </c>
      <c r="I17364" t="s">
        <v>30</v>
      </c>
      <c r="J17364" t="s">
        <v>145</v>
      </c>
      <c r="K17364" t="s">
        <v>1185</v>
      </c>
      <c r="N17364" t="s">
        <v>14317</v>
      </c>
      <c r="Q17364">
        <v>0</v>
      </c>
      <c r="R17364">
        <v>50</v>
      </c>
      <c r="S17364">
        <v>0</v>
      </c>
      <c r="T17364" t="s">
        <v>62582</v>
      </c>
    </row>
    <row r="17365" spans="1:25" customFormat="1" ht="15" x14ac:dyDescent="0.25">
      <c r="A17365" t="s">
        <v>24</v>
      </c>
      <c r="B17365" t="s">
        <v>2340</v>
      </c>
      <c r="C17365" t="str">
        <f>"A0098588"</f>
        <v>A0098588</v>
      </c>
      <c r="D17365" t="s">
        <v>62583</v>
      </c>
      <c r="E17365" t="s">
        <v>62584</v>
      </c>
      <c r="F17365" t="s">
        <v>54994</v>
      </c>
      <c r="G17365" t="s">
        <v>81</v>
      </c>
      <c r="H17365">
        <v>33714</v>
      </c>
      <c r="I17365" t="s">
        <v>30</v>
      </c>
      <c r="J17365" t="s">
        <v>145</v>
      </c>
      <c r="K17365" t="s">
        <v>1185</v>
      </c>
      <c r="N17365" t="s">
        <v>62585</v>
      </c>
      <c r="Q17365">
        <v>0</v>
      </c>
      <c r="R17365">
        <v>170</v>
      </c>
      <c r="S17365">
        <v>0</v>
      </c>
      <c r="T17365" t="s">
        <v>62586</v>
      </c>
    </row>
    <row r="17366" spans="1:25" customFormat="1" ht="15" hidden="1" x14ac:dyDescent="0.25">
      <c r="A17366" t="s">
        <v>24</v>
      </c>
      <c r="B17366" t="s">
        <v>56113</v>
      </c>
      <c r="C17366" t="str">
        <f>"A0059275"</f>
        <v>A0059275</v>
      </c>
      <c r="D17366" t="s">
        <v>62587</v>
      </c>
      <c r="E17366" t="s">
        <v>62588</v>
      </c>
      <c r="F17366" t="s">
        <v>62589</v>
      </c>
      <c r="G17366" t="s">
        <v>62590</v>
      </c>
      <c r="H17366" t="s">
        <v>62591</v>
      </c>
      <c r="I17366" t="s">
        <v>1459</v>
      </c>
      <c r="J17366" t="s">
        <v>145</v>
      </c>
      <c r="K17366" t="s">
        <v>1185</v>
      </c>
      <c r="N17366" t="s">
        <v>62592</v>
      </c>
      <c r="Q17366">
        <v>0</v>
      </c>
      <c r="R17366">
        <v>99</v>
      </c>
      <c r="S17366">
        <v>0</v>
      </c>
      <c r="T17366" t="s">
        <v>62593</v>
      </c>
    </row>
    <row r="17367" spans="1:25" customFormat="1" x14ac:dyDescent="0.25">
      <c r="A17367" s="4" t="s">
        <v>24</v>
      </c>
      <c r="B17367" s="4" t="s">
        <v>5384</v>
      </c>
      <c r="C17367" s="4" t="str">
        <f>"A0091870"</f>
        <v>A0091870</v>
      </c>
      <c r="D17367" s="4" t="s">
        <v>72609</v>
      </c>
      <c r="E17367" s="4" t="s">
        <v>72610</v>
      </c>
      <c r="F17367" s="4" t="s">
        <v>72611</v>
      </c>
      <c r="G17367" s="4" t="s">
        <v>190</v>
      </c>
      <c r="H17367" s="4">
        <v>81435</v>
      </c>
      <c r="I17367" s="4" t="s">
        <v>30</v>
      </c>
      <c r="J17367" s="4" t="s">
        <v>206</v>
      </c>
      <c r="K17367" s="4" t="s">
        <v>163</v>
      </c>
      <c r="L17367" s="4"/>
      <c r="M17367" s="4"/>
      <c r="N17367" s="4" t="s">
        <v>72612</v>
      </c>
      <c r="O17367" s="4" t="s">
        <v>57203</v>
      </c>
      <c r="P17367" s="4"/>
      <c r="Q17367" s="4">
        <v>0</v>
      </c>
      <c r="R17367" s="4">
        <v>106</v>
      </c>
      <c r="S17367" s="4">
        <v>0</v>
      </c>
      <c r="T17367" s="4" t="s">
        <v>72613</v>
      </c>
      <c r="U17367" s="4"/>
      <c r="V17367" s="4"/>
      <c r="W17367" s="4"/>
      <c r="X17367" s="4"/>
      <c r="Y17367" s="4"/>
    </row>
    <row r="17368" spans="1:25" customFormat="1" x14ac:dyDescent="0.25">
      <c r="A17368" s="4" t="s">
        <v>24</v>
      </c>
      <c r="B17368" s="4" t="s">
        <v>186</v>
      </c>
      <c r="C17368" s="4" t="str">
        <f>"A0146646"</f>
        <v>A0146646</v>
      </c>
      <c r="D17368" s="4" t="s">
        <v>75172</v>
      </c>
      <c r="E17368" s="4" t="s">
        <v>75173</v>
      </c>
      <c r="F17368" s="4" t="s">
        <v>189</v>
      </c>
      <c r="G17368" s="4" t="s">
        <v>190</v>
      </c>
      <c r="H17368" s="4">
        <v>81611</v>
      </c>
      <c r="I17368" s="4" t="s">
        <v>30</v>
      </c>
      <c r="J17368" s="4" t="s">
        <v>206</v>
      </c>
      <c r="K17368" s="4" t="s">
        <v>163</v>
      </c>
      <c r="L17368" s="4"/>
      <c r="M17368" s="4"/>
      <c r="N17368" s="4" t="s">
        <v>75174</v>
      </c>
      <c r="O17368" s="4" t="s">
        <v>75175</v>
      </c>
      <c r="P17368" s="4"/>
      <c r="Q17368" s="4">
        <v>0</v>
      </c>
      <c r="R17368" s="4">
        <v>126</v>
      </c>
      <c r="S17368" s="4">
        <v>0</v>
      </c>
      <c r="T17368" s="4" t="s">
        <v>55670</v>
      </c>
      <c r="U17368" s="4"/>
      <c r="V17368" s="4"/>
      <c r="W17368" s="4"/>
      <c r="X17368" s="4"/>
      <c r="Y17368" s="4"/>
    </row>
    <row r="17369" spans="1:25" customFormat="1" ht="15" hidden="1" x14ac:dyDescent="0.25">
      <c r="A17369" t="s">
        <v>24</v>
      </c>
      <c r="B17369" t="s">
        <v>4799</v>
      </c>
      <c r="C17369" t="str">
        <f>"A0157905"</f>
        <v>A0157905</v>
      </c>
      <c r="D17369" t="s">
        <v>62604</v>
      </c>
      <c r="E17369" t="s">
        <v>62605</v>
      </c>
      <c r="F17369" t="s">
        <v>62606</v>
      </c>
      <c r="G17369" t="s">
        <v>5862</v>
      </c>
      <c r="H17369">
        <v>63724</v>
      </c>
      <c r="I17369" t="s">
        <v>2408</v>
      </c>
      <c r="J17369" t="s">
        <v>162</v>
      </c>
      <c r="K17369" t="s">
        <v>4839</v>
      </c>
      <c r="N17369" t="s">
        <v>62607</v>
      </c>
      <c r="O17369" t="s">
        <v>62608</v>
      </c>
      <c r="Q17369">
        <v>0</v>
      </c>
      <c r="R17369">
        <v>146</v>
      </c>
      <c r="S17369">
        <v>0</v>
      </c>
      <c r="T17369" t="s">
        <v>62609</v>
      </c>
    </row>
    <row r="17370" spans="1:25" customFormat="1" ht="15" hidden="1" x14ac:dyDescent="0.25">
      <c r="A17370" t="s">
        <v>24</v>
      </c>
      <c r="B17370" t="s">
        <v>4799</v>
      </c>
      <c r="C17370" t="str">
        <f>"A0157906"</f>
        <v>A0157906</v>
      </c>
      <c r="D17370" t="s">
        <v>62610</v>
      </c>
      <c r="E17370" t="s">
        <v>62611</v>
      </c>
      <c r="F17370" t="s">
        <v>62606</v>
      </c>
      <c r="G17370" t="s">
        <v>5862</v>
      </c>
      <c r="H17370">
        <v>63724</v>
      </c>
      <c r="I17370" t="s">
        <v>2408</v>
      </c>
      <c r="J17370" t="s">
        <v>162</v>
      </c>
      <c r="K17370" t="s">
        <v>4839</v>
      </c>
      <c r="N17370" t="s">
        <v>62607</v>
      </c>
      <c r="Q17370">
        <v>0</v>
      </c>
      <c r="R17370">
        <v>161</v>
      </c>
      <c r="S17370">
        <v>0</v>
      </c>
      <c r="T17370" t="s">
        <v>62609</v>
      </c>
    </row>
    <row r="17371" spans="1:25" customFormat="1" x14ac:dyDescent="0.25">
      <c r="A17371" s="4" t="s">
        <v>24</v>
      </c>
      <c r="B17371" s="4" t="s">
        <v>186</v>
      </c>
      <c r="C17371" s="4" t="str">
        <f>"A0098764"</f>
        <v>A0098764</v>
      </c>
      <c r="D17371" s="4" t="s">
        <v>75176</v>
      </c>
      <c r="E17371" s="4" t="s">
        <v>75177</v>
      </c>
      <c r="F17371" s="4" t="s">
        <v>34169</v>
      </c>
      <c r="G17371" s="4" t="s">
        <v>190</v>
      </c>
      <c r="H17371" s="4">
        <v>81615</v>
      </c>
      <c r="I17371" s="4" t="s">
        <v>30</v>
      </c>
      <c r="J17371" s="4" t="s">
        <v>206</v>
      </c>
      <c r="K17371" s="4" t="s">
        <v>163</v>
      </c>
      <c r="L17371" s="4"/>
      <c r="M17371" s="4"/>
      <c r="N17371" s="4" t="s">
        <v>75178</v>
      </c>
      <c r="O17371" s="4" t="s">
        <v>75179</v>
      </c>
      <c r="P17371" s="4"/>
      <c r="Q17371" s="4">
        <v>0</v>
      </c>
      <c r="R17371" s="4">
        <v>99</v>
      </c>
      <c r="S17371" s="4">
        <v>0</v>
      </c>
      <c r="T17371" s="4" t="s">
        <v>75180</v>
      </c>
      <c r="U17371" s="4"/>
      <c r="V17371" s="4"/>
      <c r="W17371" s="4"/>
      <c r="X17371" s="4"/>
      <c r="Y17371" s="4"/>
    </row>
    <row r="17372" spans="1:25" customFormat="1" ht="15" x14ac:dyDescent="0.25">
      <c r="A17372" t="s">
        <v>24</v>
      </c>
      <c r="B17372" t="s">
        <v>2360</v>
      </c>
      <c r="C17372" t="str">
        <f>"CL112A"</f>
        <v>CL112A</v>
      </c>
      <c r="D17372" t="s">
        <v>62617</v>
      </c>
      <c r="E17372" t="s">
        <v>62618</v>
      </c>
      <c r="F17372" t="s">
        <v>62619</v>
      </c>
      <c r="G17372" t="s">
        <v>52</v>
      </c>
      <c r="H17372">
        <v>77345</v>
      </c>
      <c r="I17372" t="s">
        <v>30</v>
      </c>
      <c r="J17372" t="s">
        <v>178</v>
      </c>
      <c r="K17372" t="s">
        <v>56092</v>
      </c>
      <c r="P17372" t="s">
        <v>992</v>
      </c>
      <c r="Q17372">
        <v>1</v>
      </c>
      <c r="R17372">
        <v>0</v>
      </c>
      <c r="S17372">
        <v>0</v>
      </c>
      <c r="T17372" t="s">
        <v>62620</v>
      </c>
    </row>
    <row r="17373" spans="1:25" customFormat="1" ht="15" hidden="1" x14ac:dyDescent="0.25">
      <c r="A17373" t="s">
        <v>24</v>
      </c>
      <c r="B17373" t="s">
        <v>58155</v>
      </c>
      <c r="C17373" t="str">
        <f>"A0096018"</f>
        <v>A0096018</v>
      </c>
      <c r="D17373" t="s">
        <v>62621</v>
      </c>
      <c r="E17373" t="s">
        <v>62622</v>
      </c>
      <c r="F17373" t="s">
        <v>58019</v>
      </c>
      <c r="G17373" t="s">
        <v>2407</v>
      </c>
      <c r="H17373">
        <v>23410</v>
      </c>
      <c r="I17373" t="s">
        <v>2408</v>
      </c>
      <c r="J17373" t="s">
        <v>191</v>
      </c>
      <c r="K17373" t="s">
        <v>163</v>
      </c>
      <c r="N17373" t="s">
        <v>58158</v>
      </c>
      <c r="Q17373">
        <v>0</v>
      </c>
      <c r="R17373">
        <v>750</v>
      </c>
      <c r="S17373">
        <v>0</v>
      </c>
      <c r="T17373" t="s">
        <v>62623</v>
      </c>
    </row>
    <row r="17374" spans="1:25" customFormat="1" ht="15" x14ac:dyDescent="0.25">
      <c r="A17374" t="s">
        <v>24</v>
      </c>
      <c r="B17374" t="s">
        <v>62624</v>
      </c>
      <c r="C17374" t="str">
        <f>"A0093510"</f>
        <v>A0093510</v>
      </c>
      <c r="D17374" t="s">
        <v>62625</v>
      </c>
      <c r="E17374" t="s">
        <v>62626</v>
      </c>
      <c r="F17374" t="s">
        <v>1570</v>
      </c>
      <c r="G17374" t="s">
        <v>81</v>
      </c>
      <c r="H17374">
        <v>33334</v>
      </c>
      <c r="I17374" t="s">
        <v>30</v>
      </c>
      <c r="J17374" t="s">
        <v>3881</v>
      </c>
      <c r="K17374" t="s">
        <v>163</v>
      </c>
      <c r="N17374" t="s">
        <v>62627</v>
      </c>
      <c r="Q17374">
        <v>0</v>
      </c>
      <c r="R17374">
        <v>0</v>
      </c>
      <c r="S17374">
        <v>0</v>
      </c>
      <c r="T17374" t="s">
        <v>62628</v>
      </c>
    </row>
    <row r="17375" spans="1:25" customFormat="1" ht="15" x14ac:dyDescent="0.25">
      <c r="A17375" t="s">
        <v>24</v>
      </c>
      <c r="B17375" t="s">
        <v>2373</v>
      </c>
      <c r="C17375" t="str">
        <f>"A0095272"</f>
        <v>A0095272</v>
      </c>
      <c r="D17375" t="s">
        <v>62629</v>
      </c>
      <c r="E17375" t="s">
        <v>62630</v>
      </c>
      <c r="F17375" t="s">
        <v>33663</v>
      </c>
      <c r="G17375" t="s">
        <v>110</v>
      </c>
      <c r="H17375">
        <v>90028</v>
      </c>
      <c r="I17375" t="s">
        <v>30</v>
      </c>
      <c r="J17375" t="s">
        <v>1004</v>
      </c>
      <c r="K17375" t="s">
        <v>163</v>
      </c>
      <c r="N17375" t="s">
        <v>62631</v>
      </c>
      <c r="O17375" t="s">
        <v>11132</v>
      </c>
      <c r="Q17375">
        <v>0</v>
      </c>
      <c r="R17375">
        <v>0</v>
      </c>
      <c r="S17375">
        <v>0</v>
      </c>
      <c r="T17375" t="s">
        <v>62632</v>
      </c>
    </row>
    <row r="17376" spans="1:25" customFormat="1" ht="15" hidden="1" x14ac:dyDescent="0.25">
      <c r="A17376" t="s">
        <v>24</v>
      </c>
      <c r="B17376" t="s">
        <v>675</v>
      </c>
      <c r="C17376" t="str">
        <f>"15247"</f>
        <v>15247</v>
      </c>
      <c r="D17376" t="s">
        <v>62633</v>
      </c>
      <c r="E17376" t="s">
        <v>62634</v>
      </c>
      <c r="F17376" t="s">
        <v>15269</v>
      </c>
      <c r="G17376" t="s">
        <v>15270</v>
      </c>
      <c r="H17376" t="s">
        <v>62635</v>
      </c>
      <c r="I17376" t="s">
        <v>1459</v>
      </c>
      <c r="J17376" t="s">
        <v>162</v>
      </c>
      <c r="K17376" t="s">
        <v>8834</v>
      </c>
      <c r="N17376" t="s">
        <v>62636</v>
      </c>
      <c r="Q17376">
        <v>0</v>
      </c>
      <c r="R17376">
        <v>309</v>
      </c>
      <c r="S17376">
        <v>0</v>
      </c>
      <c r="T17376" t="s">
        <v>62637</v>
      </c>
    </row>
    <row r="17377" spans="1:25" customFormat="1" ht="15" hidden="1" x14ac:dyDescent="0.25">
      <c r="A17377" t="s">
        <v>24</v>
      </c>
      <c r="B17377" t="s">
        <v>675</v>
      </c>
      <c r="C17377" t="str">
        <f>"15232"</f>
        <v>15232</v>
      </c>
      <c r="D17377" t="s">
        <v>62638</v>
      </c>
      <c r="E17377" t="s">
        <v>62639</v>
      </c>
      <c r="F17377" t="s">
        <v>59004</v>
      </c>
      <c r="G17377" t="s">
        <v>38009</v>
      </c>
      <c r="H17377" t="s">
        <v>62640</v>
      </c>
      <c r="I17377" t="s">
        <v>1459</v>
      </c>
      <c r="J17377" t="s">
        <v>162</v>
      </c>
      <c r="K17377" t="s">
        <v>8834</v>
      </c>
      <c r="N17377" t="s">
        <v>62641</v>
      </c>
      <c r="Q17377">
        <v>0</v>
      </c>
      <c r="R17377">
        <v>225</v>
      </c>
      <c r="S17377">
        <v>0</v>
      </c>
      <c r="T17377" t="s">
        <v>62642</v>
      </c>
    </row>
    <row r="17378" spans="1:25" customFormat="1" x14ac:dyDescent="0.25">
      <c r="A17378" s="4" t="s">
        <v>24</v>
      </c>
      <c r="B17378" s="4" t="s">
        <v>186</v>
      </c>
      <c r="C17378" s="4" t="str">
        <f>"A0068878"</f>
        <v>A0068878</v>
      </c>
      <c r="D17378" s="4" t="s">
        <v>75210</v>
      </c>
      <c r="E17378" s="4" t="s">
        <v>75211</v>
      </c>
      <c r="F17378" s="4" t="s">
        <v>189</v>
      </c>
      <c r="G17378" s="4" t="s">
        <v>190</v>
      </c>
      <c r="H17378" s="4">
        <v>81611</v>
      </c>
      <c r="I17378" s="4" t="s">
        <v>30</v>
      </c>
      <c r="J17378" s="4" t="s">
        <v>206</v>
      </c>
      <c r="K17378" s="4" t="s">
        <v>163</v>
      </c>
      <c r="L17378" s="4"/>
      <c r="M17378" s="4"/>
      <c r="N17378" s="4" t="s">
        <v>75212</v>
      </c>
      <c r="O17378" s="4" t="s">
        <v>75213</v>
      </c>
      <c r="P17378" s="4"/>
      <c r="Q17378" s="4">
        <v>0</v>
      </c>
      <c r="R17378" s="4">
        <v>92</v>
      </c>
      <c r="S17378" s="4">
        <v>0</v>
      </c>
      <c r="T17378" s="4" t="s">
        <v>75214</v>
      </c>
      <c r="U17378" s="4"/>
      <c r="V17378" s="4"/>
      <c r="W17378" s="4"/>
      <c r="X17378" s="4"/>
      <c r="Y17378" s="4"/>
    </row>
    <row r="17379" spans="1:25" customFormat="1" ht="15" hidden="1" x14ac:dyDescent="0.25">
      <c r="A17379" t="s">
        <v>24</v>
      </c>
      <c r="B17379" t="s">
        <v>675</v>
      </c>
      <c r="C17379" t="str">
        <f>"A0086848"</f>
        <v>A0086848</v>
      </c>
      <c r="D17379" t="s">
        <v>62648</v>
      </c>
      <c r="E17379" t="s">
        <v>62649</v>
      </c>
      <c r="F17379" t="s">
        <v>62650</v>
      </c>
      <c r="G17379" t="s">
        <v>2270</v>
      </c>
      <c r="H17379" t="s">
        <v>62651</v>
      </c>
      <c r="I17379" t="s">
        <v>1459</v>
      </c>
      <c r="J17379" t="s">
        <v>162</v>
      </c>
      <c r="K17379" t="s">
        <v>8834</v>
      </c>
      <c r="N17379" t="s">
        <v>62652</v>
      </c>
      <c r="O17379" t="s">
        <v>62653</v>
      </c>
      <c r="Q17379">
        <v>0</v>
      </c>
      <c r="R17379">
        <v>200</v>
      </c>
      <c r="S17379">
        <v>0</v>
      </c>
      <c r="T17379" t="s">
        <v>62654</v>
      </c>
    </row>
    <row r="17380" spans="1:25" customFormat="1" ht="15" hidden="1" x14ac:dyDescent="0.25">
      <c r="A17380" t="s">
        <v>24</v>
      </c>
      <c r="B17380" t="s">
        <v>675</v>
      </c>
      <c r="C17380" t="str">
        <f>"15230"</f>
        <v>15230</v>
      </c>
      <c r="D17380" t="s">
        <v>62655</v>
      </c>
      <c r="E17380" t="s">
        <v>62656</v>
      </c>
      <c r="F17380" t="s">
        <v>8456</v>
      </c>
      <c r="G17380" t="s">
        <v>1457</v>
      </c>
      <c r="H17380" t="s">
        <v>62657</v>
      </c>
      <c r="I17380" t="s">
        <v>1459</v>
      </c>
      <c r="J17380" t="s">
        <v>162</v>
      </c>
      <c r="K17380" t="s">
        <v>8834</v>
      </c>
      <c r="N17380" t="s">
        <v>62658</v>
      </c>
      <c r="Q17380">
        <v>0</v>
      </c>
      <c r="R17380">
        <v>296</v>
      </c>
      <c r="S17380">
        <v>0</v>
      </c>
      <c r="T17380" t="s">
        <v>62659</v>
      </c>
    </row>
    <row r="17381" spans="1:25" customFormat="1" ht="15" hidden="1" x14ac:dyDescent="0.25">
      <c r="A17381" t="s">
        <v>24</v>
      </c>
      <c r="B17381" t="s">
        <v>675</v>
      </c>
      <c r="C17381" t="str">
        <f>"15229"</f>
        <v>15229</v>
      </c>
      <c r="D17381" t="s">
        <v>62660</v>
      </c>
      <c r="E17381" t="s">
        <v>62661</v>
      </c>
      <c r="F17381" t="s">
        <v>8456</v>
      </c>
      <c r="G17381" t="s">
        <v>1457</v>
      </c>
      <c r="H17381" t="s">
        <v>62662</v>
      </c>
      <c r="I17381" t="s">
        <v>1459</v>
      </c>
      <c r="J17381" t="s">
        <v>162</v>
      </c>
      <c r="K17381" t="s">
        <v>8834</v>
      </c>
      <c r="N17381" t="s">
        <v>62663</v>
      </c>
      <c r="Q17381">
        <v>0</v>
      </c>
      <c r="R17381">
        <v>395</v>
      </c>
      <c r="S17381">
        <v>0</v>
      </c>
      <c r="T17381" t="s">
        <v>62664</v>
      </c>
    </row>
    <row r="17382" spans="1:25" customFormat="1" ht="15" hidden="1" x14ac:dyDescent="0.25">
      <c r="A17382" t="s">
        <v>24</v>
      </c>
      <c r="B17382" t="s">
        <v>62665</v>
      </c>
      <c r="C17382" t="str">
        <f>"A0078407"</f>
        <v>A0078407</v>
      </c>
      <c r="D17382" t="s">
        <v>62666</v>
      </c>
      <c r="E17382" t="s">
        <v>62667</v>
      </c>
      <c r="F17382" t="s">
        <v>8456</v>
      </c>
      <c r="G17382" t="s">
        <v>1457</v>
      </c>
      <c r="H17382" t="s">
        <v>62668</v>
      </c>
      <c r="I17382" t="s">
        <v>1459</v>
      </c>
      <c r="J17382" t="s">
        <v>162</v>
      </c>
      <c r="K17382" t="s">
        <v>8834</v>
      </c>
      <c r="N17382" t="s">
        <v>62669</v>
      </c>
      <c r="O17382" t="s">
        <v>62670</v>
      </c>
      <c r="Q17382">
        <v>0</v>
      </c>
      <c r="R17382">
        <v>252</v>
      </c>
      <c r="S17382">
        <v>0</v>
      </c>
      <c r="T17382" t="s">
        <v>62671</v>
      </c>
    </row>
    <row r="17383" spans="1:25" customFormat="1" ht="15" hidden="1" x14ac:dyDescent="0.25">
      <c r="A17383" t="s">
        <v>24</v>
      </c>
      <c r="B17383" t="s">
        <v>675</v>
      </c>
      <c r="C17383" t="str">
        <f>"15227"</f>
        <v>15227</v>
      </c>
      <c r="D17383" t="s">
        <v>62672</v>
      </c>
      <c r="E17383" t="s">
        <v>62673</v>
      </c>
      <c r="F17383" t="s">
        <v>59059</v>
      </c>
      <c r="G17383" t="s">
        <v>1457</v>
      </c>
      <c r="H17383" t="s">
        <v>62674</v>
      </c>
      <c r="I17383" t="s">
        <v>1459</v>
      </c>
      <c r="J17383" t="s">
        <v>162</v>
      </c>
      <c r="K17383" t="s">
        <v>8834</v>
      </c>
      <c r="N17383" t="s">
        <v>62675</v>
      </c>
      <c r="Q17383">
        <v>0</v>
      </c>
      <c r="R17383">
        <v>169</v>
      </c>
      <c r="S17383">
        <v>0</v>
      </c>
      <c r="T17383" t="s">
        <v>62676</v>
      </c>
    </row>
    <row r="17384" spans="1:25" customFormat="1" ht="15" hidden="1" x14ac:dyDescent="0.25">
      <c r="A17384" t="s">
        <v>24</v>
      </c>
      <c r="B17384" t="s">
        <v>675</v>
      </c>
      <c r="C17384" t="str">
        <f>"15228"</f>
        <v>15228</v>
      </c>
      <c r="D17384" t="s">
        <v>62677</v>
      </c>
      <c r="E17384" t="s">
        <v>62678</v>
      </c>
      <c r="F17384" t="s">
        <v>59059</v>
      </c>
      <c r="G17384" t="s">
        <v>1457</v>
      </c>
      <c r="H17384" t="s">
        <v>62679</v>
      </c>
      <c r="I17384" t="s">
        <v>1459</v>
      </c>
      <c r="J17384" t="s">
        <v>162</v>
      </c>
      <c r="K17384" t="s">
        <v>8834</v>
      </c>
      <c r="N17384" t="s">
        <v>62675</v>
      </c>
      <c r="Q17384">
        <v>0</v>
      </c>
      <c r="R17384">
        <v>237</v>
      </c>
      <c r="S17384">
        <v>0</v>
      </c>
      <c r="T17384" t="s">
        <v>62680</v>
      </c>
    </row>
    <row r="17385" spans="1:25" customFormat="1" ht="15" hidden="1" x14ac:dyDescent="0.25">
      <c r="A17385" t="s">
        <v>24</v>
      </c>
      <c r="B17385" t="s">
        <v>675</v>
      </c>
      <c r="C17385" t="str">
        <f>"A0068329"</f>
        <v>A0068329</v>
      </c>
      <c r="D17385" t="s">
        <v>62681</v>
      </c>
      <c r="E17385" t="s">
        <v>62682</v>
      </c>
      <c r="F17385" t="s">
        <v>58566</v>
      </c>
      <c r="G17385" t="s">
        <v>15270</v>
      </c>
      <c r="H17385" t="s">
        <v>62683</v>
      </c>
      <c r="I17385" t="s">
        <v>1459</v>
      </c>
      <c r="J17385" t="s">
        <v>162</v>
      </c>
      <c r="K17385" t="s">
        <v>8834</v>
      </c>
      <c r="N17385" t="s">
        <v>62684</v>
      </c>
      <c r="Q17385">
        <v>0</v>
      </c>
      <c r="R17385">
        <v>222</v>
      </c>
      <c r="S17385">
        <v>0</v>
      </c>
      <c r="T17385" t="s">
        <v>62685</v>
      </c>
    </row>
    <row r="17386" spans="1:25" customFormat="1" ht="15" hidden="1" x14ac:dyDescent="0.25">
      <c r="A17386" t="s">
        <v>24</v>
      </c>
      <c r="B17386" t="s">
        <v>675</v>
      </c>
      <c r="C17386" t="str">
        <f>"A0068977"</f>
        <v>A0068977</v>
      </c>
      <c r="D17386" t="s">
        <v>62686</v>
      </c>
      <c r="E17386" t="s">
        <v>62687</v>
      </c>
      <c r="F17386" t="s">
        <v>57016</v>
      </c>
      <c r="G17386" t="s">
        <v>2270</v>
      </c>
      <c r="H17386" t="s">
        <v>62688</v>
      </c>
      <c r="I17386" t="s">
        <v>1459</v>
      </c>
      <c r="J17386" t="s">
        <v>162</v>
      </c>
      <c r="K17386" t="s">
        <v>8834</v>
      </c>
      <c r="N17386" t="s">
        <v>62689</v>
      </c>
      <c r="O17386" t="s">
        <v>62690</v>
      </c>
      <c r="Q17386">
        <v>0</v>
      </c>
      <c r="R17386">
        <v>324</v>
      </c>
      <c r="S17386">
        <v>0</v>
      </c>
      <c r="T17386" t="s">
        <v>62691</v>
      </c>
    </row>
    <row r="17387" spans="1:25" customFormat="1" x14ac:dyDescent="0.25">
      <c r="A17387" s="4" t="s">
        <v>24</v>
      </c>
      <c r="B17387" s="4" t="s">
        <v>2011</v>
      </c>
      <c r="C17387" s="4" t="str">
        <f>"HY09586"</f>
        <v>HY09586</v>
      </c>
      <c r="D17387" s="4" t="s">
        <v>77221</v>
      </c>
      <c r="E17387" s="4" t="s">
        <v>77222</v>
      </c>
      <c r="F17387" s="4" t="s">
        <v>58817</v>
      </c>
      <c r="G17387" s="4" t="s">
        <v>190</v>
      </c>
      <c r="H17387" s="4" t="s">
        <v>77223</v>
      </c>
      <c r="I17387" s="4" t="s">
        <v>30</v>
      </c>
      <c r="J17387" s="4" t="s">
        <v>206</v>
      </c>
      <c r="K17387" s="4" t="s">
        <v>77217</v>
      </c>
      <c r="L17387" s="4"/>
      <c r="M17387" s="4"/>
      <c r="N17387" s="4" t="s">
        <v>77224</v>
      </c>
      <c r="O17387" s="4" t="s">
        <v>77225</v>
      </c>
      <c r="P17387" s="4"/>
      <c r="Q17387" s="4">
        <v>0</v>
      </c>
      <c r="R17387" s="4">
        <v>190</v>
      </c>
      <c r="S17387" s="4">
        <v>0</v>
      </c>
      <c r="T17387" s="4" t="s">
        <v>77226</v>
      </c>
      <c r="U17387" s="4"/>
      <c r="V17387" s="4"/>
      <c r="W17387" s="4"/>
      <c r="X17387" s="4"/>
      <c r="Y17387" s="4"/>
    </row>
    <row r="17388" spans="1:25" customFormat="1" ht="15" hidden="1" x14ac:dyDescent="0.25">
      <c r="A17388" t="s">
        <v>24</v>
      </c>
      <c r="B17388" t="s">
        <v>675</v>
      </c>
      <c r="C17388" t="str">
        <f>"A0085422"</f>
        <v>A0085422</v>
      </c>
      <c r="D17388" t="s">
        <v>62698</v>
      </c>
      <c r="E17388" t="s">
        <v>62699</v>
      </c>
      <c r="F17388" t="s">
        <v>62700</v>
      </c>
      <c r="G17388" t="s">
        <v>2206</v>
      </c>
      <c r="H17388" t="s">
        <v>62701</v>
      </c>
      <c r="I17388" t="s">
        <v>1459</v>
      </c>
      <c r="J17388" t="s">
        <v>162</v>
      </c>
      <c r="K17388" t="s">
        <v>8834</v>
      </c>
      <c r="N17388" t="s">
        <v>62702</v>
      </c>
      <c r="Q17388">
        <v>0</v>
      </c>
      <c r="R17388">
        <v>148</v>
      </c>
      <c r="S17388">
        <v>0</v>
      </c>
      <c r="T17388" t="s">
        <v>62703</v>
      </c>
    </row>
    <row r="17389" spans="1:25" customFormat="1" x14ac:dyDescent="0.25">
      <c r="A17389" s="4" t="s">
        <v>24</v>
      </c>
      <c r="B17389" s="4" t="s">
        <v>11506</v>
      </c>
      <c r="C17389" s="4" t="str">
        <f>"A0093815"</f>
        <v>A0093815</v>
      </c>
      <c r="D17389" s="4" t="s">
        <v>83827</v>
      </c>
      <c r="E17389" s="4" t="s">
        <v>83828</v>
      </c>
      <c r="F17389" s="4" t="s">
        <v>972</v>
      </c>
      <c r="G17389" s="4" t="s">
        <v>190</v>
      </c>
      <c r="H17389" s="4">
        <v>80203</v>
      </c>
      <c r="I17389" s="4" t="s">
        <v>30</v>
      </c>
      <c r="J17389" s="4" t="s">
        <v>206</v>
      </c>
      <c r="K17389" s="4" t="s">
        <v>5707</v>
      </c>
      <c r="L17389" s="4"/>
      <c r="M17389" s="4"/>
      <c r="N17389" s="4" t="s">
        <v>83829</v>
      </c>
      <c r="O17389" s="4" t="s">
        <v>83830</v>
      </c>
      <c r="P17389" s="4"/>
      <c r="Q17389" s="4">
        <v>0</v>
      </c>
      <c r="R17389" s="4">
        <v>165</v>
      </c>
      <c r="S17389" s="4">
        <v>0</v>
      </c>
      <c r="T17389" s="4" t="s">
        <v>83831</v>
      </c>
      <c r="U17389" s="4"/>
      <c r="V17389" s="4"/>
      <c r="W17389" s="4"/>
      <c r="X17389" s="4"/>
      <c r="Y17389" s="4"/>
    </row>
    <row r="17390" spans="1:25" customFormat="1" x14ac:dyDescent="0.25">
      <c r="A17390" s="4" t="s">
        <v>24</v>
      </c>
      <c r="B17390" s="4" t="s">
        <v>2373</v>
      </c>
      <c r="C17390" s="4" t="str">
        <f>"A0058542"</f>
        <v>A0058542</v>
      </c>
      <c r="D17390" s="4" t="s">
        <v>83956</v>
      </c>
      <c r="E17390" s="4" t="s">
        <v>83957</v>
      </c>
      <c r="F17390" s="4" t="s">
        <v>972</v>
      </c>
      <c r="G17390" s="4" t="s">
        <v>190</v>
      </c>
      <c r="H17390" s="4">
        <v>80202</v>
      </c>
      <c r="I17390" s="4" t="s">
        <v>30</v>
      </c>
      <c r="J17390" s="4" t="s">
        <v>206</v>
      </c>
      <c r="K17390" s="4" t="s">
        <v>6459</v>
      </c>
      <c r="L17390" s="4"/>
      <c r="M17390" s="4"/>
      <c r="N17390" s="4" t="s">
        <v>70594</v>
      </c>
      <c r="O17390" s="4" t="s">
        <v>83958</v>
      </c>
      <c r="P17390" s="4"/>
      <c r="Q17390" s="4">
        <v>0</v>
      </c>
      <c r="R17390" s="4">
        <v>241</v>
      </c>
      <c r="S17390" s="4">
        <v>0</v>
      </c>
      <c r="T17390" s="4" t="s">
        <v>83959</v>
      </c>
      <c r="U17390" s="4"/>
      <c r="V17390" s="4"/>
      <c r="W17390" s="4"/>
      <c r="X17390" s="4"/>
      <c r="Y17390" s="4"/>
    </row>
    <row r="17391" spans="1:25" customFormat="1" x14ac:dyDescent="0.25">
      <c r="A17391" s="4" t="s">
        <v>24</v>
      </c>
      <c r="B17391" s="4" t="s">
        <v>5166</v>
      </c>
      <c r="C17391" s="4" t="str">
        <f>"A0098932"</f>
        <v>A0098932</v>
      </c>
      <c r="D17391" s="4" t="s">
        <v>84205</v>
      </c>
      <c r="E17391" s="4" t="s">
        <v>84206</v>
      </c>
      <c r="F17391" s="4" t="s">
        <v>84207</v>
      </c>
      <c r="G17391" s="4" t="s">
        <v>190</v>
      </c>
      <c r="H17391" s="4">
        <v>80524</v>
      </c>
      <c r="I17391" s="4" t="s">
        <v>30</v>
      </c>
      <c r="J17391" s="4" t="s">
        <v>206</v>
      </c>
      <c r="K17391" s="4" t="s">
        <v>6459</v>
      </c>
      <c r="L17391" s="4"/>
      <c r="M17391" s="4"/>
      <c r="N17391" s="4" t="s">
        <v>67467</v>
      </c>
      <c r="O17391" s="4" t="s">
        <v>84208</v>
      </c>
      <c r="P17391" s="4"/>
      <c r="Q17391" s="4">
        <v>0</v>
      </c>
      <c r="R17391" s="4">
        <v>165</v>
      </c>
      <c r="S17391" s="4">
        <v>0</v>
      </c>
      <c r="T17391" s="4" t="s">
        <v>192</v>
      </c>
      <c r="U17391" s="4"/>
      <c r="V17391" s="4"/>
      <c r="W17391" s="4"/>
      <c r="X17391" s="4"/>
      <c r="Y17391" s="4"/>
    </row>
    <row r="17392" spans="1:25" customFormat="1" x14ac:dyDescent="0.25">
      <c r="A17392" s="4" t="s">
        <v>24</v>
      </c>
      <c r="B17392" s="4" t="s">
        <v>8579</v>
      </c>
      <c r="C17392" s="4" t="str">
        <f>"A0100000"</f>
        <v>A0100000</v>
      </c>
      <c r="D17392" s="4" t="s">
        <v>84545</v>
      </c>
      <c r="E17392" s="4" t="s">
        <v>84546</v>
      </c>
      <c r="F17392" s="4" t="s">
        <v>972</v>
      </c>
      <c r="G17392" s="4" t="s">
        <v>190</v>
      </c>
      <c r="H17392" s="4">
        <v>80206</v>
      </c>
      <c r="I17392" s="4" t="s">
        <v>30</v>
      </c>
      <c r="J17392" s="4" t="s">
        <v>206</v>
      </c>
      <c r="K17392" s="4" t="s">
        <v>6459</v>
      </c>
      <c r="L17392" s="4"/>
      <c r="M17392" s="4"/>
      <c r="N17392" s="4" t="s">
        <v>84547</v>
      </c>
      <c r="O17392" s="4" t="s">
        <v>84548</v>
      </c>
      <c r="P17392" s="4"/>
      <c r="Q17392" s="4">
        <v>0</v>
      </c>
      <c r="R17392" s="4">
        <v>201</v>
      </c>
      <c r="S17392" s="4">
        <v>0</v>
      </c>
      <c r="T17392" s="4" t="s">
        <v>84549</v>
      </c>
      <c r="U17392" s="4"/>
      <c r="V17392" s="4"/>
      <c r="W17392" s="4"/>
      <c r="X17392" s="4"/>
      <c r="Y17392" s="4"/>
    </row>
    <row r="17393" spans="1:25" customFormat="1" x14ac:dyDescent="0.25">
      <c r="A17393" s="4" t="s">
        <v>24</v>
      </c>
      <c r="B17393" s="4" t="s">
        <v>5166</v>
      </c>
      <c r="C17393" s="4" t="str">
        <f>"A0093757"</f>
        <v>A0093757</v>
      </c>
      <c r="D17393" s="4" t="s">
        <v>84827</v>
      </c>
      <c r="E17393" s="4" t="s">
        <v>84828</v>
      </c>
      <c r="F17393" s="4" t="s">
        <v>972</v>
      </c>
      <c r="G17393" s="4" t="s">
        <v>190</v>
      </c>
      <c r="H17393" s="4">
        <v>80202</v>
      </c>
      <c r="I17393" s="4" t="s">
        <v>30</v>
      </c>
      <c r="J17393" s="4" t="s">
        <v>206</v>
      </c>
      <c r="K17393" s="4" t="s">
        <v>163</v>
      </c>
      <c r="L17393" s="4"/>
      <c r="M17393" s="4"/>
      <c r="N17393" s="4" t="s">
        <v>84829</v>
      </c>
      <c r="O17393" s="4"/>
      <c r="P17393" s="4"/>
      <c r="Q17393" s="4">
        <v>0</v>
      </c>
      <c r="R17393" s="4">
        <v>0</v>
      </c>
      <c r="S17393" s="4">
        <v>0</v>
      </c>
      <c r="T17393" s="4" t="s">
        <v>84830</v>
      </c>
      <c r="U17393" s="4"/>
      <c r="V17393" s="4"/>
      <c r="W17393" s="4"/>
      <c r="X17393" s="4"/>
      <c r="Y17393" s="4"/>
    </row>
    <row r="17394" spans="1:25" customFormat="1" x14ac:dyDescent="0.25">
      <c r="A17394" s="4" t="s">
        <v>24</v>
      </c>
      <c r="B17394" s="4" t="s">
        <v>675</v>
      </c>
      <c r="C17394" s="4" t="str">
        <f>"A0084360"</f>
        <v>A0084360</v>
      </c>
      <c r="D17394" s="4" t="s">
        <v>84972</v>
      </c>
      <c r="E17394" s="4" t="s">
        <v>84973</v>
      </c>
      <c r="F17394" s="4" t="s">
        <v>972</v>
      </c>
      <c r="G17394" s="4" t="s">
        <v>190</v>
      </c>
      <c r="H17394" s="4">
        <v>80202</v>
      </c>
      <c r="I17394" s="4" t="s">
        <v>30</v>
      </c>
      <c r="J17394" s="4" t="s">
        <v>206</v>
      </c>
      <c r="K17394" s="4" t="s">
        <v>680</v>
      </c>
      <c r="L17394" s="4"/>
      <c r="M17394" s="4"/>
      <c r="N17394" s="4" t="s">
        <v>84974</v>
      </c>
      <c r="O17394" s="4" t="s">
        <v>84975</v>
      </c>
      <c r="P17394" s="4"/>
      <c r="Q17394" s="4">
        <v>0</v>
      </c>
      <c r="R17394" s="4">
        <v>202</v>
      </c>
      <c r="S17394" s="4">
        <v>0</v>
      </c>
      <c r="T17394" s="4" t="s">
        <v>84976</v>
      </c>
      <c r="U17394" s="4"/>
      <c r="V17394" s="4"/>
      <c r="W17394" s="4"/>
      <c r="X17394" s="4"/>
      <c r="Y17394" s="4"/>
    </row>
    <row r="17395" spans="1:25" customFormat="1" x14ac:dyDescent="0.25">
      <c r="A17395" s="4" t="s">
        <v>24</v>
      </c>
      <c r="B17395" s="4" t="s">
        <v>675</v>
      </c>
      <c r="C17395" s="4" t="str">
        <f>"73R56"</f>
        <v>73R56</v>
      </c>
      <c r="D17395" s="4" t="s">
        <v>85048</v>
      </c>
      <c r="E17395" s="4" t="s">
        <v>85049</v>
      </c>
      <c r="F17395" s="4" t="s">
        <v>58817</v>
      </c>
      <c r="G17395" s="4" t="s">
        <v>190</v>
      </c>
      <c r="H17395" s="4">
        <v>81632</v>
      </c>
      <c r="I17395" s="4" t="s">
        <v>30</v>
      </c>
      <c r="J17395" s="4" t="s">
        <v>206</v>
      </c>
      <c r="K17395" s="4" t="s">
        <v>680</v>
      </c>
      <c r="L17395" s="4"/>
      <c r="M17395" s="4"/>
      <c r="N17395" s="4" t="s">
        <v>85050</v>
      </c>
      <c r="O17395" s="4" t="s">
        <v>85051</v>
      </c>
      <c r="P17395" s="4"/>
      <c r="Q17395" s="4">
        <v>0</v>
      </c>
      <c r="R17395" s="4">
        <v>204</v>
      </c>
      <c r="S17395" s="4">
        <v>0</v>
      </c>
      <c r="T17395" s="4" t="s">
        <v>85052</v>
      </c>
      <c r="U17395" s="4"/>
      <c r="V17395" s="4"/>
      <c r="W17395" s="4"/>
      <c r="X17395" s="4"/>
      <c r="Y17395" s="4"/>
    </row>
    <row r="17396" spans="1:25" customFormat="1" x14ac:dyDescent="0.25">
      <c r="A17396" s="4" t="s">
        <v>24</v>
      </c>
      <c r="B17396" s="4" t="s">
        <v>675</v>
      </c>
      <c r="C17396" s="4" t="str">
        <f>"A0087766"</f>
        <v>A0087766</v>
      </c>
      <c r="D17396" s="4" t="s">
        <v>85291</v>
      </c>
      <c r="E17396" s="4" t="s">
        <v>85292</v>
      </c>
      <c r="F17396" s="4" t="s">
        <v>189</v>
      </c>
      <c r="G17396" s="4" t="s">
        <v>190</v>
      </c>
      <c r="H17396" s="4">
        <v>81611</v>
      </c>
      <c r="I17396" s="4" t="s">
        <v>30</v>
      </c>
      <c r="J17396" s="4" t="s">
        <v>206</v>
      </c>
      <c r="K17396" s="4" t="s">
        <v>5338</v>
      </c>
      <c r="L17396" s="4"/>
      <c r="M17396" s="4"/>
      <c r="N17396" s="4" t="s">
        <v>85293</v>
      </c>
      <c r="O17396" s="4" t="s">
        <v>85294</v>
      </c>
      <c r="P17396" s="4"/>
      <c r="Q17396" s="4">
        <v>0</v>
      </c>
      <c r="R17396" s="4">
        <v>179</v>
      </c>
      <c r="S17396" s="4">
        <v>0</v>
      </c>
      <c r="T17396" s="4" t="s">
        <v>85295</v>
      </c>
      <c r="U17396" s="4"/>
      <c r="V17396" s="4"/>
      <c r="W17396" s="4"/>
      <c r="X17396" s="4"/>
      <c r="Y17396" s="4"/>
    </row>
    <row r="17397" spans="1:25" customFormat="1" x14ac:dyDescent="0.25">
      <c r="A17397" s="4" t="s">
        <v>24</v>
      </c>
      <c r="B17397" s="4" t="s">
        <v>8592</v>
      </c>
      <c r="C17397" s="4" t="str">
        <f>"A0089047"</f>
        <v>A0089047</v>
      </c>
      <c r="D17397" s="4" t="s">
        <v>87102</v>
      </c>
      <c r="E17397" s="4" t="s">
        <v>87103</v>
      </c>
      <c r="F17397" s="4" t="s">
        <v>34169</v>
      </c>
      <c r="G17397" s="4" t="s">
        <v>190</v>
      </c>
      <c r="H17397" s="4">
        <v>81615</v>
      </c>
      <c r="I17397" s="4" t="s">
        <v>30</v>
      </c>
      <c r="J17397" s="4" t="s">
        <v>206</v>
      </c>
      <c r="K17397" s="4" t="s">
        <v>163</v>
      </c>
      <c r="L17397" s="4"/>
      <c r="M17397" s="4"/>
      <c r="N17397" s="4" t="s">
        <v>87104</v>
      </c>
      <c r="O17397" s="4" t="s">
        <v>87105</v>
      </c>
      <c r="P17397" s="4"/>
      <c r="Q17397" s="4">
        <v>0</v>
      </c>
      <c r="R17397" s="4">
        <v>168</v>
      </c>
      <c r="S17397" s="4">
        <v>0</v>
      </c>
      <c r="T17397" s="4" t="s">
        <v>87106</v>
      </c>
      <c r="U17397" s="4"/>
      <c r="V17397" s="4"/>
      <c r="W17397" s="4"/>
      <c r="X17397" s="4"/>
      <c r="Y17397" s="4"/>
    </row>
    <row r="17398" spans="1:25" customFormat="1" x14ac:dyDescent="0.25">
      <c r="A17398" s="4" t="s">
        <v>24</v>
      </c>
      <c r="B17398" s="4" t="s">
        <v>814</v>
      </c>
      <c r="C17398" s="4" t="str">
        <f>"A0071681"</f>
        <v>A0071681</v>
      </c>
      <c r="D17398" s="4" t="s">
        <v>87126</v>
      </c>
      <c r="E17398" s="4" t="s">
        <v>87127</v>
      </c>
      <c r="F17398" s="4" t="s">
        <v>34169</v>
      </c>
      <c r="G17398" s="4" t="s">
        <v>190</v>
      </c>
      <c r="H17398" s="4">
        <v>81615</v>
      </c>
      <c r="I17398" s="4" t="s">
        <v>30</v>
      </c>
      <c r="J17398" s="4" t="s">
        <v>206</v>
      </c>
      <c r="K17398" s="4" t="s">
        <v>6459</v>
      </c>
      <c r="L17398" s="4"/>
      <c r="M17398" s="4"/>
      <c r="N17398" s="4" t="s">
        <v>87128</v>
      </c>
      <c r="O17398" s="4" t="s">
        <v>87129</v>
      </c>
      <c r="P17398" s="4"/>
      <c r="Q17398" s="4">
        <v>0</v>
      </c>
      <c r="R17398" s="4">
        <v>254</v>
      </c>
      <c r="S17398" s="4">
        <v>0</v>
      </c>
      <c r="T17398" s="4" t="s">
        <v>87130</v>
      </c>
      <c r="U17398" s="4"/>
      <c r="V17398" s="4"/>
      <c r="W17398" s="4"/>
      <c r="X17398" s="4"/>
      <c r="Y17398" s="4"/>
    </row>
    <row r="17399" spans="1:25" customFormat="1" x14ac:dyDescent="0.25">
      <c r="A17399" s="4" t="s">
        <v>24</v>
      </c>
      <c r="B17399" s="4" t="s">
        <v>675</v>
      </c>
      <c r="C17399" s="4" t="str">
        <f>"A0146006"</f>
        <v>A0146006</v>
      </c>
      <c r="D17399" s="4" t="s">
        <v>87176</v>
      </c>
      <c r="E17399" s="4" t="s">
        <v>87177</v>
      </c>
      <c r="F17399" s="4" t="s">
        <v>189</v>
      </c>
      <c r="G17399" s="4" t="s">
        <v>190</v>
      </c>
      <c r="H17399" s="4">
        <v>81611</v>
      </c>
      <c r="I17399" s="4" t="s">
        <v>30</v>
      </c>
      <c r="J17399" s="4" t="s">
        <v>206</v>
      </c>
      <c r="K17399" s="4" t="s">
        <v>16717</v>
      </c>
      <c r="L17399" s="4"/>
      <c r="M17399" s="4"/>
      <c r="N17399" s="4" t="s">
        <v>87178</v>
      </c>
      <c r="O17399" s="4" t="s">
        <v>87179</v>
      </c>
      <c r="P17399" s="4"/>
      <c r="Q17399" s="4">
        <v>0</v>
      </c>
      <c r="R17399" s="4">
        <v>88</v>
      </c>
      <c r="S17399" s="4">
        <v>0</v>
      </c>
      <c r="T17399" s="4" t="s">
        <v>87180</v>
      </c>
      <c r="U17399" s="4"/>
      <c r="V17399" s="4"/>
      <c r="W17399" s="4"/>
      <c r="X17399" s="4"/>
      <c r="Y17399" s="4"/>
    </row>
    <row r="17400" spans="1:25" customFormat="1" x14ac:dyDescent="0.25">
      <c r="A17400" s="4" t="s">
        <v>24</v>
      </c>
      <c r="B17400" s="4" t="s">
        <v>5384</v>
      </c>
      <c r="C17400" s="4" t="str">
        <f>"A0098446"</f>
        <v>A0098446</v>
      </c>
      <c r="D17400" s="4" t="s">
        <v>76172</v>
      </c>
      <c r="E17400" s="4" t="s">
        <v>76173</v>
      </c>
      <c r="F17400" s="4" t="s">
        <v>313</v>
      </c>
      <c r="G17400" s="4" t="s">
        <v>615</v>
      </c>
      <c r="H17400" s="4">
        <v>6793</v>
      </c>
      <c r="I17400" s="4" t="s">
        <v>30</v>
      </c>
      <c r="J17400" s="4" t="s">
        <v>206</v>
      </c>
      <c r="K17400" s="4" t="s">
        <v>163</v>
      </c>
      <c r="L17400" s="4"/>
      <c r="M17400" s="4"/>
      <c r="N17400" s="4" t="s">
        <v>76174</v>
      </c>
      <c r="O17400" s="4"/>
      <c r="P17400" s="4"/>
      <c r="Q17400" s="4">
        <v>0</v>
      </c>
      <c r="R17400" s="4">
        <v>30</v>
      </c>
      <c r="S17400" s="4">
        <v>0</v>
      </c>
      <c r="T17400" s="4" t="s">
        <v>76175</v>
      </c>
      <c r="U17400" s="4"/>
      <c r="V17400" s="4"/>
      <c r="W17400" s="4"/>
      <c r="X17400" s="4"/>
      <c r="Y17400" s="4"/>
    </row>
    <row r="17401" spans="1:25" customFormat="1" ht="15" hidden="1" x14ac:dyDescent="0.25">
      <c r="A17401" t="s">
        <v>24</v>
      </c>
      <c r="B17401" t="s">
        <v>2202</v>
      </c>
      <c r="C17401" t="str">
        <f>"15235"</f>
        <v>15235</v>
      </c>
      <c r="D17401" t="s">
        <v>62761</v>
      </c>
      <c r="E17401" t="s">
        <v>62762</v>
      </c>
      <c r="F17401" t="s">
        <v>6439</v>
      </c>
      <c r="G17401" t="s">
        <v>2206</v>
      </c>
      <c r="H17401" t="s">
        <v>62763</v>
      </c>
      <c r="I17401" t="s">
        <v>1459</v>
      </c>
      <c r="J17401" t="s">
        <v>162</v>
      </c>
      <c r="K17401" t="s">
        <v>8834</v>
      </c>
      <c r="N17401" t="s">
        <v>62764</v>
      </c>
      <c r="Q17401">
        <v>0</v>
      </c>
      <c r="R17401">
        <v>220</v>
      </c>
      <c r="S17401">
        <v>0</v>
      </c>
      <c r="T17401" t="s">
        <v>62765</v>
      </c>
    </row>
    <row r="17402" spans="1:25" customFormat="1" ht="15" hidden="1" x14ac:dyDescent="0.25">
      <c r="A17402" t="s">
        <v>24</v>
      </c>
      <c r="B17402" t="s">
        <v>5435</v>
      </c>
      <c r="C17402" t="str">
        <f>"A0158567"</f>
        <v>A0158567</v>
      </c>
      <c r="D17402" t="s">
        <v>62766</v>
      </c>
      <c r="E17402" t="s">
        <v>62767</v>
      </c>
      <c r="F17402" t="s">
        <v>62768</v>
      </c>
      <c r="G17402" t="s">
        <v>5439</v>
      </c>
      <c r="H17402" t="s">
        <v>62769</v>
      </c>
      <c r="I17402" t="s">
        <v>1459</v>
      </c>
      <c r="J17402" t="s">
        <v>162</v>
      </c>
      <c r="K17402" t="s">
        <v>8834</v>
      </c>
      <c r="N17402" t="s">
        <v>62770</v>
      </c>
      <c r="Q17402">
        <v>0</v>
      </c>
      <c r="R17402">
        <v>210</v>
      </c>
      <c r="S17402">
        <v>0</v>
      </c>
      <c r="T17402" t="s">
        <v>62771</v>
      </c>
    </row>
    <row r="17403" spans="1:25" customFormat="1" x14ac:dyDescent="0.25">
      <c r="A17403" s="4" t="s">
        <v>24</v>
      </c>
      <c r="B17403" s="4" t="s">
        <v>193</v>
      </c>
      <c r="C17403" s="4" t="str">
        <f>"A0076801"</f>
        <v>A0076801</v>
      </c>
      <c r="D17403" s="4" t="s">
        <v>7508</v>
      </c>
      <c r="E17403" s="4" t="s">
        <v>7509</v>
      </c>
      <c r="F17403" s="4" t="s">
        <v>313</v>
      </c>
      <c r="G17403" s="4" t="s">
        <v>314</v>
      </c>
      <c r="H17403" s="4">
        <v>20008</v>
      </c>
      <c r="I17403" s="4" t="s">
        <v>30</v>
      </c>
      <c r="J17403" s="4" t="s">
        <v>206</v>
      </c>
      <c r="K17403" s="4" t="s">
        <v>163</v>
      </c>
      <c r="L17403" s="4"/>
      <c r="M17403" s="4"/>
      <c r="N17403" s="4"/>
      <c r="O17403" s="4"/>
      <c r="P17403" s="4"/>
      <c r="Q17403" s="4">
        <v>0</v>
      </c>
      <c r="R17403" s="4">
        <v>259</v>
      </c>
      <c r="S17403" s="4">
        <v>0</v>
      </c>
      <c r="T17403" s="4" t="s">
        <v>7510</v>
      </c>
      <c r="U17403" s="4"/>
      <c r="V17403" s="4"/>
      <c r="W17403" s="4"/>
      <c r="X17403" s="4"/>
      <c r="Y17403" s="4"/>
    </row>
    <row r="17404" spans="1:25" customFormat="1" x14ac:dyDescent="0.25">
      <c r="A17404" s="4" t="s">
        <v>24</v>
      </c>
      <c r="B17404" s="4" t="s">
        <v>13001</v>
      </c>
      <c r="C17404" s="4" t="str">
        <f>"15039"</f>
        <v>15039</v>
      </c>
      <c r="D17404" s="4" t="s">
        <v>13002</v>
      </c>
      <c r="E17404" s="4" t="s">
        <v>13003</v>
      </c>
      <c r="F17404" s="4" t="s">
        <v>313</v>
      </c>
      <c r="G17404" s="4" t="s">
        <v>314</v>
      </c>
      <c r="H17404" s="4">
        <v>20036</v>
      </c>
      <c r="I17404" s="4" t="s">
        <v>30</v>
      </c>
      <c r="J17404" s="4" t="s">
        <v>206</v>
      </c>
      <c r="K17404" s="4" t="s">
        <v>163</v>
      </c>
      <c r="L17404" s="4"/>
      <c r="M17404" s="4"/>
      <c r="N17404" s="4" t="s">
        <v>13004</v>
      </c>
      <c r="O17404" s="4" t="s">
        <v>13005</v>
      </c>
      <c r="P17404" s="4"/>
      <c r="Q17404" s="4">
        <v>0</v>
      </c>
      <c r="R17404" s="4">
        <v>327</v>
      </c>
      <c r="S17404" s="4">
        <v>0</v>
      </c>
      <c r="T17404" s="4" t="s">
        <v>13006</v>
      </c>
      <c r="U17404" s="4"/>
      <c r="V17404" s="4"/>
      <c r="W17404" s="4"/>
      <c r="X17404" s="4"/>
      <c r="Y17404" s="4"/>
    </row>
    <row r="17405" spans="1:25" customFormat="1" ht="15" hidden="1" x14ac:dyDescent="0.25">
      <c r="A17405" t="s">
        <v>24</v>
      </c>
      <c r="B17405" t="s">
        <v>675</v>
      </c>
      <c r="C17405" t="str">
        <f>"A0068313"</f>
        <v>A0068313</v>
      </c>
      <c r="D17405" t="s">
        <v>62782</v>
      </c>
      <c r="E17405" t="s">
        <v>62783</v>
      </c>
      <c r="F17405" t="s">
        <v>59004</v>
      </c>
      <c r="G17405" t="s">
        <v>38009</v>
      </c>
      <c r="H17405" t="s">
        <v>62784</v>
      </c>
      <c r="I17405" t="s">
        <v>1459</v>
      </c>
      <c r="J17405" t="s">
        <v>162</v>
      </c>
      <c r="K17405" t="s">
        <v>8834</v>
      </c>
      <c r="N17405" t="s">
        <v>62785</v>
      </c>
      <c r="Q17405">
        <v>0</v>
      </c>
      <c r="R17405">
        <v>291</v>
      </c>
      <c r="S17405">
        <v>0</v>
      </c>
      <c r="T17405" t="s">
        <v>62786</v>
      </c>
    </row>
    <row r="17406" spans="1:25" customFormat="1" x14ac:dyDescent="0.25">
      <c r="A17406" s="4" t="s">
        <v>24</v>
      </c>
      <c r="B17406" s="4" t="s">
        <v>13304</v>
      </c>
      <c r="C17406" s="4" t="str">
        <f>"A0062441"</f>
        <v>A0062441</v>
      </c>
      <c r="D17406" s="4" t="s">
        <v>66168</v>
      </c>
      <c r="E17406" s="4" t="s">
        <v>66169</v>
      </c>
      <c r="F17406" s="4" t="s">
        <v>4674</v>
      </c>
      <c r="G17406" s="4" t="s">
        <v>314</v>
      </c>
      <c r="H17406" s="4">
        <v>20037</v>
      </c>
      <c r="I17406" s="4" t="s">
        <v>30</v>
      </c>
      <c r="J17406" s="4" t="s">
        <v>206</v>
      </c>
      <c r="K17406" s="4" t="s">
        <v>32744</v>
      </c>
      <c r="L17406" s="4"/>
      <c r="M17406" s="4"/>
      <c r="N17406" s="4" t="s">
        <v>66170</v>
      </c>
      <c r="O17406" s="4" t="s">
        <v>66171</v>
      </c>
      <c r="P17406" s="4"/>
      <c r="Q17406" s="4">
        <v>0</v>
      </c>
      <c r="R17406" s="4">
        <v>413</v>
      </c>
      <c r="S17406" s="4">
        <v>0</v>
      </c>
      <c r="T17406" s="4" t="s">
        <v>66172</v>
      </c>
      <c r="U17406" s="4"/>
      <c r="V17406" s="4"/>
      <c r="W17406" s="4"/>
      <c r="X17406" s="4"/>
      <c r="Y17406" s="4"/>
    </row>
    <row r="17407" spans="1:25" customFormat="1" ht="15" hidden="1" x14ac:dyDescent="0.25">
      <c r="A17407" t="s">
        <v>24</v>
      </c>
      <c r="B17407" t="s">
        <v>675</v>
      </c>
      <c r="C17407" t="str">
        <f>"A0096322"</f>
        <v>A0096322</v>
      </c>
      <c r="D17407" t="s">
        <v>62791</v>
      </c>
      <c r="E17407" t="s">
        <v>62792</v>
      </c>
      <c r="F17407" t="s">
        <v>55657</v>
      </c>
      <c r="G17407" t="s">
        <v>2206</v>
      </c>
      <c r="H17407" t="s">
        <v>62793</v>
      </c>
      <c r="I17407" t="s">
        <v>1459</v>
      </c>
      <c r="J17407" t="s">
        <v>162</v>
      </c>
      <c r="K17407" t="s">
        <v>8834</v>
      </c>
      <c r="N17407" t="s">
        <v>62794</v>
      </c>
      <c r="Q17407">
        <v>0</v>
      </c>
      <c r="R17407">
        <v>149</v>
      </c>
      <c r="S17407">
        <v>0</v>
      </c>
      <c r="T17407" t="s">
        <v>62795</v>
      </c>
    </row>
    <row r="17408" spans="1:25" customFormat="1" ht="15" hidden="1" x14ac:dyDescent="0.25">
      <c r="A17408" t="s">
        <v>24</v>
      </c>
      <c r="B17408" t="s">
        <v>62796</v>
      </c>
      <c r="C17408" t="str">
        <f>"A0074033"</f>
        <v>A0074033</v>
      </c>
      <c r="D17408" t="s">
        <v>62797</v>
      </c>
      <c r="E17408" t="s">
        <v>62798</v>
      </c>
      <c r="F17408" t="s">
        <v>2879</v>
      </c>
      <c r="G17408" t="s">
        <v>2206</v>
      </c>
      <c r="H17408" t="s">
        <v>62799</v>
      </c>
      <c r="I17408" t="s">
        <v>1459</v>
      </c>
      <c r="J17408" t="s">
        <v>162</v>
      </c>
      <c r="K17408" t="s">
        <v>8834</v>
      </c>
      <c r="N17408" t="s">
        <v>62800</v>
      </c>
      <c r="Q17408">
        <v>0</v>
      </c>
      <c r="R17408">
        <v>325</v>
      </c>
      <c r="S17408">
        <v>0</v>
      </c>
      <c r="T17408" t="s">
        <v>62801</v>
      </c>
    </row>
    <row r="17409" spans="1:25" customFormat="1" ht="15" hidden="1" x14ac:dyDescent="0.25">
      <c r="A17409" t="s">
        <v>24</v>
      </c>
      <c r="B17409" t="s">
        <v>62802</v>
      </c>
      <c r="C17409" t="str">
        <f>"A0101164"</f>
        <v>A0101164</v>
      </c>
      <c r="D17409" t="s">
        <v>62803</v>
      </c>
      <c r="E17409" t="s">
        <v>62804</v>
      </c>
      <c r="F17409" t="s">
        <v>10963</v>
      </c>
      <c r="G17409" t="s">
        <v>2270</v>
      </c>
      <c r="H17409" t="s">
        <v>62805</v>
      </c>
      <c r="I17409" t="s">
        <v>1459</v>
      </c>
      <c r="J17409" t="s">
        <v>162</v>
      </c>
      <c r="K17409" t="s">
        <v>8834</v>
      </c>
      <c r="N17409" t="s">
        <v>62806</v>
      </c>
      <c r="Q17409">
        <v>0</v>
      </c>
      <c r="R17409">
        <v>150</v>
      </c>
      <c r="S17409">
        <v>0</v>
      </c>
      <c r="T17409" t="s">
        <v>62807</v>
      </c>
    </row>
    <row r="17410" spans="1:25" customFormat="1" x14ac:dyDescent="0.25">
      <c r="A17410" s="4" t="s">
        <v>24</v>
      </c>
      <c r="B17410" s="4" t="s">
        <v>850</v>
      </c>
      <c r="C17410" s="4" t="str">
        <f>"A0077351"</f>
        <v>A0077351</v>
      </c>
      <c r="D17410" s="4" t="s">
        <v>74621</v>
      </c>
      <c r="E17410" s="4" t="s">
        <v>74622</v>
      </c>
      <c r="F17410" s="4" t="s">
        <v>313</v>
      </c>
      <c r="G17410" s="4" t="s">
        <v>314</v>
      </c>
      <c r="H17410" s="4">
        <v>20036</v>
      </c>
      <c r="I17410" s="4" t="s">
        <v>30</v>
      </c>
      <c r="J17410" s="4" t="s">
        <v>206</v>
      </c>
      <c r="K17410" s="4" t="s">
        <v>13178</v>
      </c>
      <c r="L17410" s="4"/>
      <c r="M17410" s="4"/>
      <c r="N17410" s="4" t="s">
        <v>74623</v>
      </c>
      <c r="O17410" s="4"/>
      <c r="P17410" s="4"/>
      <c r="Q17410" s="4">
        <v>0</v>
      </c>
      <c r="R17410" s="4">
        <v>144</v>
      </c>
      <c r="S17410" s="4">
        <v>0</v>
      </c>
      <c r="T17410" s="4" t="s">
        <v>74624</v>
      </c>
      <c r="U17410" s="4"/>
      <c r="V17410" s="4"/>
      <c r="W17410" s="4"/>
      <c r="X17410" s="4"/>
      <c r="Y17410" s="4"/>
    </row>
    <row r="17411" spans="1:25" customFormat="1" ht="15" hidden="1" x14ac:dyDescent="0.25">
      <c r="A17411" t="s">
        <v>24</v>
      </c>
      <c r="B17411" t="s">
        <v>675</v>
      </c>
      <c r="C17411" t="str">
        <f>"15243"</f>
        <v>15243</v>
      </c>
      <c r="D17411" t="s">
        <v>62813</v>
      </c>
      <c r="E17411" t="s">
        <v>62814</v>
      </c>
      <c r="F17411" t="s">
        <v>5438</v>
      </c>
      <c r="G17411" t="s">
        <v>5439</v>
      </c>
      <c r="H17411" t="s">
        <v>62815</v>
      </c>
      <c r="I17411" t="s">
        <v>1459</v>
      </c>
      <c r="J17411" t="s">
        <v>162</v>
      </c>
      <c r="K17411" t="s">
        <v>8834</v>
      </c>
      <c r="N17411" t="s">
        <v>62816</v>
      </c>
      <c r="Q17411">
        <v>0</v>
      </c>
      <c r="R17411">
        <v>456</v>
      </c>
      <c r="S17411">
        <v>0</v>
      </c>
      <c r="T17411" t="s">
        <v>62817</v>
      </c>
    </row>
    <row r="17412" spans="1:25" customFormat="1" ht="15" hidden="1" x14ac:dyDescent="0.25">
      <c r="A17412" t="s">
        <v>24</v>
      </c>
      <c r="B17412" t="s">
        <v>675</v>
      </c>
      <c r="C17412" t="str">
        <f>"SF01776"</f>
        <v>SF01776</v>
      </c>
      <c r="D17412" t="s">
        <v>62818</v>
      </c>
      <c r="E17412" t="s">
        <v>62819</v>
      </c>
      <c r="F17412" t="s">
        <v>21644</v>
      </c>
      <c r="G17412" t="s">
        <v>2206</v>
      </c>
      <c r="H17412" t="s">
        <v>62820</v>
      </c>
      <c r="I17412" t="s">
        <v>1459</v>
      </c>
      <c r="J17412" t="s">
        <v>162</v>
      </c>
      <c r="K17412" t="s">
        <v>8834</v>
      </c>
      <c r="Q17412">
        <v>0</v>
      </c>
      <c r="R17412">
        <v>410</v>
      </c>
      <c r="S17412">
        <v>0</v>
      </c>
      <c r="T17412" t="s">
        <v>62821</v>
      </c>
    </row>
    <row r="17413" spans="1:25" customFormat="1" ht="15" hidden="1" x14ac:dyDescent="0.25">
      <c r="A17413" t="s">
        <v>24</v>
      </c>
      <c r="B17413" t="s">
        <v>675</v>
      </c>
      <c r="C17413" t="str">
        <f>"15251"</f>
        <v>15251</v>
      </c>
      <c r="D17413" t="s">
        <v>62822</v>
      </c>
      <c r="E17413" t="s">
        <v>62823</v>
      </c>
      <c r="F17413" t="s">
        <v>58522</v>
      </c>
      <c r="G17413" t="s">
        <v>58523</v>
      </c>
      <c r="H17413" t="s">
        <v>62824</v>
      </c>
      <c r="I17413" t="s">
        <v>1459</v>
      </c>
      <c r="J17413" t="s">
        <v>162</v>
      </c>
      <c r="K17413" t="s">
        <v>8834</v>
      </c>
      <c r="N17413" t="s">
        <v>62825</v>
      </c>
      <c r="Q17413">
        <v>0</v>
      </c>
      <c r="R17413">
        <v>211</v>
      </c>
      <c r="S17413">
        <v>0</v>
      </c>
      <c r="T17413" t="s">
        <v>62826</v>
      </c>
    </row>
    <row r="17414" spans="1:25" customFormat="1" ht="15" hidden="1" x14ac:dyDescent="0.25">
      <c r="A17414" t="s">
        <v>24</v>
      </c>
      <c r="B17414" t="s">
        <v>675</v>
      </c>
      <c r="C17414" t="str">
        <f>"A0068325"</f>
        <v>A0068325</v>
      </c>
      <c r="D17414" t="s">
        <v>62827</v>
      </c>
      <c r="E17414" t="s">
        <v>62828</v>
      </c>
      <c r="F17414" t="s">
        <v>62829</v>
      </c>
      <c r="G17414" t="s">
        <v>5439</v>
      </c>
      <c r="H17414" t="s">
        <v>62830</v>
      </c>
      <c r="I17414" t="s">
        <v>1459</v>
      </c>
      <c r="J17414" t="s">
        <v>162</v>
      </c>
      <c r="K17414" t="s">
        <v>8834</v>
      </c>
      <c r="N17414" t="s">
        <v>62831</v>
      </c>
      <c r="Q17414">
        <v>0</v>
      </c>
      <c r="R17414">
        <v>377</v>
      </c>
      <c r="S17414">
        <v>0</v>
      </c>
      <c r="T17414" t="s">
        <v>62832</v>
      </c>
    </row>
    <row r="17415" spans="1:25" customFormat="1" x14ac:dyDescent="0.25">
      <c r="A17415" s="4" t="s">
        <v>24</v>
      </c>
      <c r="B17415" s="4" t="s">
        <v>10087</v>
      </c>
      <c r="C17415" s="4" t="str">
        <f>"A0065029"</f>
        <v>A0065029</v>
      </c>
      <c r="D17415" s="4" t="s">
        <v>75423</v>
      </c>
      <c r="E17415" s="4" t="s">
        <v>75424</v>
      </c>
      <c r="F17415" s="4" t="s">
        <v>313</v>
      </c>
      <c r="G17415" s="4" t="s">
        <v>314</v>
      </c>
      <c r="H17415" s="4">
        <v>20024</v>
      </c>
      <c r="I17415" s="4" t="s">
        <v>30</v>
      </c>
      <c r="J17415" s="4" t="s">
        <v>206</v>
      </c>
      <c r="K17415" s="4" t="s">
        <v>10093</v>
      </c>
      <c r="L17415" s="4"/>
      <c r="M17415" s="4"/>
      <c r="N17415" s="4"/>
      <c r="O17415" s="4"/>
      <c r="P17415" s="4"/>
      <c r="Q17415" s="4">
        <v>0</v>
      </c>
      <c r="R17415" s="4">
        <v>400</v>
      </c>
      <c r="S17415" s="4">
        <v>0</v>
      </c>
      <c r="T17415" s="4" t="s">
        <v>75425</v>
      </c>
      <c r="U17415" s="4"/>
      <c r="V17415" s="4"/>
      <c r="W17415" s="4"/>
      <c r="X17415" s="4"/>
      <c r="Y17415" s="4"/>
    </row>
    <row r="17416" spans="1:25" customFormat="1" ht="15" hidden="1" x14ac:dyDescent="0.25">
      <c r="A17416" t="s">
        <v>24</v>
      </c>
      <c r="B17416" t="s">
        <v>1548</v>
      </c>
      <c r="C17416" t="str">
        <f>"A0070045"</f>
        <v>A0070045</v>
      </c>
      <c r="D17416" t="s">
        <v>62837</v>
      </c>
      <c r="E17416" t="s">
        <v>62838</v>
      </c>
      <c r="F17416" t="s">
        <v>62839</v>
      </c>
      <c r="G17416" t="s">
        <v>15270</v>
      </c>
      <c r="H17416" t="s">
        <v>62840</v>
      </c>
      <c r="I17416" t="s">
        <v>1459</v>
      </c>
      <c r="J17416" t="s">
        <v>162</v>
      </c>
      <c r="K17416" t="s">
        <v>8834</v>
      </c>
      <c r="N17416" t="s">
        <v>62841</v>
      </c>
      <c r="Q17416">
        <v>0</v>
      </c>
      <c r="R17416">
        <v>252</v>
      </c>
      <c r="S17416">
        <v>0</v>
      </c>
      <c r="T17416" t="s">
        <v>62842</v>
      </c>
    </row>
    <row r="17417" spans="1:25" customFormat="1" ht="15" hidden="1" x14ac:dyDescent="0.25">
      <c r="A17417" t="s">
        <v>24</v>
      </c>
      <c r="B17417" t="s">
        <v>675</v>
      </c>
      <c r="C17417" t="str">
        <f>"SF04381"</f>
        <v>SF04381</v>
      </c>
      <c r="D17417" t="s">
        <v>62843</v>
      </c>
      <c r="E17417" t="s">
        <v>62844</v>
      </c>
      <c r="F17417" t="s">
        <v>58622</v>
      </c>
      <c r="G17417" t="s">
        <v>2206</v>
      </c>
      <c r="H17417" t="s">
        <v>62845</v>
      </c>
      <c r="I17417" t="s">
        <v>1459</v>
      </c>
      <c r="J17417" t="s">
        <v>162</v>
      </c>
      <c r="K17417" t="s">
        <v>8834</v>
      </c>
      <c r="N17417" t="s">
        <v>62846</v>
      </c>
      <c r="Q17417">
        <v>0</v>
      </c>
      <c r="R17417">
        <v>195</v>
      </c>
      <c r="S17417">
        <v>0</v>
      </c>
      <c r="T17417" t="s">
        <v>62847</v>
      </c>
    </row>
    <row r="17418" spans="1:25" customFormat="1" ht="15" hidden="1" x14ac:dyDescent="0.25">
      <c r="A17418" t="s">
        <v>24</v>
      </c>
      <c r="B17418" t="s">
        <v>675</v>
      </c>
      <c r="C17418" t="str">
        <f>"15246"</f>
        <v>15246</v>
      </c>
      <c r="D17418" t="s">
        <v>62848</v>
      </c>
      <c r="E17418" t="s">
        <v>62849</v>
      </c>
      <c r="F17418" t="s">
        <v>59010</v>
      </c>
      <c r="G17418" t="s">
        <v>5439</v>
      </c>
      <c r="H17418" t="s">
        <v>62850</v>
      </c>
      <c r="I17418" t="s">
        <v>1459</v>
      </c>
      <c r="J17418" t="s">
        <v>162</v>
      </c>
      <c r="K17418" t="s">
        <v>8834</v>
      </c>
      <c r="N17418" t="s">
        <v>62851</v>
      </c>
      <c r="Q17418">
        <v>0</v>
      </c>
      <c r="R17418">
        <v>178</v>
      </c>
      <c r="S17418">
        <v>0</v>
      </c>
      <c r="T17418" t="s">
        <v>62852</v>
      </c>
    </row>
    <row r="17419" spans="1:25" customFormat="1" ht="15" hidden="1" x14ac:dyDescent="0.25">
      <c r="A17419" t="s">
        <v>24</v>
      </c>
      <c r="B17419" t="s">
        <v>675</v>
      </c>
      <c r="C17419" t="str">
        <f>"A0094650"</f>
        <v>A0094650</v>
      </c>
      <c r="D17419" t="s">
        <v>62853</v>
      </c>
      <c r="E17419" t="s">
        <v>62854</v>
      </c>
      <c r="F17419" t="s">
        <v>13197</v>
      </c>
      <c r="G17419" t="s">
        <v>2206</v>
      </c>
      <c r="H17419" t="s">
        <v>62855</v>
      </c>
      <c r="I17419" t="s">
        <v>1459</v>
      </c>
      <c r="J17419" t="s">
        <v>162</v>
      </c>
      <c r="K17419" t="s">
        <v>8834</v>
      </c>
      <c r="N17419" t="s">
        <v>62856</v>
      </c>
      <c r="Q17419">
        <v>0</v>
      </c>
      <c r="R17419">
        <v>567</v>
      </c>
      <c r="S17419">
        <v>0</v>
      </c>
      <c r="T17419" t="s">
        <v>62857</v>
      </c>
    </row>
    <row r="17420" spans="1:25" customFormat="1" ht="15" hidden="1" x14ac:dyDescent="0.25">
      <c r="A17420" t="s">
        <v>24</v>
      </c>
      <c r="B17420" t="s">
        <v>62858</v>
      </c>
      <c r="C17420" t="str">
        <f>"A0096480"</f>
        <v>A0096480</v>
      </c>
      <c r="D17420" t="s">
        <v>62859</v>
      </c>
      <c r="E17420" t="s">
        <v>62860</v>
      </c>
      <c r="F17420" t="s">
        <v>13197</v>
      </c>
      <c r="G17420" t="s">
        <v>2206</v>
      </c>
      <c r="H17420" t="s">
        <v>62861</v>
      </c>
      <c r="I17420" t="s">
        <v>1459</v>
      </c>
      <c r="J17420" t="s">
        <v>162</v>
      </c>
      <c r="K17420" t="s">
        <v>8834</v>
      </c>
      <c r="N17420" t="s">
        <v>62862</v>
      </c>
      <c r="Q17420">
        <v>0</v>
      </c>
      <c r="R17420">
        <v>433</v>
      </c>
      <c r="S17420">
        <v>0</v>
      </c>
      <c r="T17420" t="s">
        <v>62863</v>
      </c>
    </row>
    <row r="17421" spans="1:25" customFormat="1" ht="15" hidden="1" x14ac:dyDescent="0.25">
      <c r="A17421" t="s">
        <v>24</v>
      </c>
      <c r="B17421" t="s">
        <v>675</v>
      </c>
      <c r="C17421" t="str">
        <f>"15245"</f>
        <v>15245</v>
      </c>
      <c r="D17421" t="s">
        <v>62864</v>
      </c>
      <c r="E17421" t="s">
        <v>62865</v>
      </c>
      <c r="F17421" t="s">
        <v>62866</v>
      </c>
      <c r="G17421" t="s">
        <v>5439</v>
      </c>
      <c r="H17421" t="s">
        <v>62867</v>
      </c>
      <c r="I17421" t="s">
        <v>1459</v>
      </c>
      <c r="J17421" t="s">
        <v>162</v>
      </c>
      <c r="K17421" t="s">
        <v>8834</v>
      </c>
      <c r="N17421" t="s">
        <v>62868</v>
      </c>
      <c r="O17421" t="s">
        <v>62869</v>
      </c>
      <c r="Q17421">
        <v>0</v>
      </c>
      <c r="R17421">
        <v>159</v>
      </c>
      <c r="S17421">
        <v>0</v>
      </c>
      <c r="T17421" t="s">
        <v>62870</v>
      </c>
    </row>
    <row r="17422" spans="1:25" customFormat="1" ht="15" hidden="1" x14ac:dyDescent="0.25">
      <c r="A17422" t="s">
        <v>24</v>
      </c>
      <c r="B17422" t="s">
        <v>675</v>
      </c>
      <c r="C17422" t="str">
        <f>"15222"</f>
        <v>15222</v>
      </c>
      <c r="D17422" t="s">
        <v>62871</v>
      </c>
      <c r="E17422" t="s">
        <v>62872</v>
      </c>
      <c r="F17422" t="s">
        <v>2269</v>
      </c>
      <c r="G17422" t="s">
        <v>2270</v>
      </c>
      <c r="H17422" t="s">
        <v>62873</v>
      </c>
      <c r="I17422" t="s">
        <v>1459</v>
      </c>
      <c r="J17422" t="s">
        <v>162</v>
      </c>
      <c r="K17422" t="s">
        <v>8834</v>
      </c>
      <c r="N17422" t="s">
        <v>62874</v>
      </c>
      <c r="Q17422">
        <v>0</v>
      </c>
      <c r="R17422">
        <v>225</v>
      </c>
      <c r="S17422">
        <v>0</v>
      </c>
      <c r="T17422" t="s">
        <v>62875</v>
      </c>
    </row>
    <row r="17423" spans="1:25" customFormat="1" ht="15" hidden="1" x14ac:dyDescent="0.25">
      <c r="A17423" t="s">
        <v>24</v>
      </c>
      <c r="B17423" t="s">
        <v>675</v>
      </c>
      <c r="C17423" t="str">
        <f>"A0071691"</f>
        <v>A0071691</v>
      </c>
      <c r="D17423" t="s">
        <v>62876</v>
      </c>
      <c r="E17423" t="s">
        <v>62877</v>
      </c>
      <c r="F17423" t="s">
        <v>18671</v>
      </c>
      <c r="G17423" t="s">
        <v>2270</v>
      </c>
      <c r="H17423" t="s">
        <v>62878</v>
      </c>
      <c r="I17423" t="s">
        <v>1459</v>
      </c>
      <c r="J17423" t="s">
        <v>162</v>
      </c>
      <c r="K17423" t="s">
        <v>8834</v>
      </c>
      <c r="N17423" t="s">
        <v>62879</v>
      </c>
      <c r="Q17423">
        <v>0</v>
      </c>
      <c r="R17423">
        <v>239</v>
      </c>
      <c r="S17423">
        <v>0</v>
      </c>
      <c r="T17423" t="s">
        <v>62880</v>
      </c>
    </row>
    <row r="17424" spans="1:25" customFormat="1" x14ac:dyDescent="0.25">
      <c r="A17424" s="4" t="s">
        <v>24</v>
      </c>
      <c r="B17424" s="4" t="s">
        <v>2011</v>
      </c>
      <c r="C17424" s="4" t="str">
        <f>"HY09766"</f>
        <v>HY09766</v>
      </c>
      <c r="D17424" s="4" t="s">
        <v>77247</v>
      </c>
      <c r="E17424" s="4" t="s">
        <v>77248</v>
      </c>
      <c r="F17424" s="4" t="s">
        <v>313</v>
      </c>
      <c r="G17424" s="4" t="s">
        <v>314</v>
      </c>
      <c r="H17424" s="4">
        <v>20037</v>
      </c>
      <c r="I17424" s="4" t="s">
        <v>30</v>
      </c>
      <c r="J17424" s="4" t="s">
        <v>206</v>
      </c>
      <c r="K17424" s="4" t="s">
        <v>77217</v>
      </c>
      <c r="L17424" s="4"/>
      <c r="M17424" s="4"/>
      <c r="N17424" s="4" t="s">
        <v>77249</v>
      </c>
      <c r="O17424" s="4"/>
      <c r="P17424" s="4"/>
      <c r="Q17424" s="4">
        <v>0</v>
      </c>
      <c r="R17424" s="4">
        <v>216</v>
      </c>
      <c r="S17424" s="4">
        <v>0</v>
      </c>
      <c r="T17424" s="4" t="s">
        <v>77250</v>
      </c>
      <c r="U17424" s="4"/>
      <c r="V17424" s="4"/>
      <c r="W17424" s="4"/>
      <c r="X17424" s="4"/>
      <c r="Y17424" s="4"/>
    </row>
    <row r="17425" spans="1:25" customFormat="1" ht="15" hidden="1" x14ac:dyDescent="0.25">
      <c r="A17425" t="s">
        <v>24</v>
      </c>
      <c r="B17425" t="s">
        <v>675</v>
      </c>
      <c r="C17425" t="str">
        <f>"A0094651"</f>
        <v>A0094651</v>
      </c>
      <c r="D17425" t="s">
        <v>62887</v>
      </c>
      <c r="E17425" t="s">
        <v>62888</v>
      </c>
      <c r="F17425" t="s">
        <v>2205</v>
      </c>
      <c r="G17425" t="s">
        <v>2206</v>
      </c>
      <c r="H17425" t="s">
        <v>62889</v>
      </c>
      <c r="I17425" t="s">
        <v>1459</v>
      </c>
      <c r="J17425" t="s">
        <v>162</v>
      </c>
      <c r="K17425" t="s">
        <v>8834</v>
      </c>
      <c r="N17425" t="s">
        <v>62890</v>
      </c>
      <c r="Q17425">
        <v>0</v>
      </c>
      <c r="R17425">
        <v>194</v>
      </c>
      <c r="S17425">
        <v>0</v>
      </c>
      <c r="T17425" t="s">
        <v>62891</v>
      </c>
    </row>
    <row r="17426" spans="1:25" customFormat="1" ht="15" hidden="1" x14ac:dyDescent="0.25">
      <c r="A17426" t="s">
        <v>24</v>
      </c>
      <c r="B17426" t="s">
        <v>675</v>
      </c>
      <c r="C17426" t="str">
        <f>"15225"</f>
        <v>15225</v>
      </c>
      <c r="D17426" t="s">
        <v>62892</v>
      </c>
      <c r="E17426" t="s">
        <v>62893</v>
      </c>
      <c r="F17426" t="s">
        <v>62894</v>
      </c>
      <c r="G17426" t="s">
        <v>2270</v>
      </c>
      <c r="H17426" t="s">
        <v>62895</v>
      </c>
      <c r="I17426" t="s">
        <v>1459</v>
      </c>
      <c r="J17426" t="s">
        <v>162</v>
      </c>
      <c r="K17426" t="s">
        <v>8834</v>
      </c>
      <c r="N17426" t="s">
        <v>62896</v>
      </c>
      <c r="O17426" t="s">
        <v>62897</v>
      </c>
      <c r="Q17426">
        <v>0</v>
      </c>
      <c r="R17426">
        <v>207</v>
      </c>
      <c r="S17426">
        <v>0</v>
      </c>
      <c r="T17426" t="s">
        <v>62898</v>
      </c>
    </row>
    <row r="17427" spans="1:25" customFormat="1" ht="15" hidden="1" x14ac:dyDescent="0.25">
      <c r="A17427" t="s">
        <v>24</v>
      </c>
      <c r="B17427" t="s">
        <v>675</v>
      </c>
      <c r="C17427" t="str">
        <f>"15234"</f>
        <v>15234</v>
      </c>
      <c r="D17427" t="s">
        <v>62899</v>
      </c>
      <c r="E17427" t="s">
        <v>62900</v>
      </c>
      <c r="F17427" t="s">
        <v>58787</v>
      </c>
      <c r="G17427" t="s">
        <v>58788</v>
      </c>
      <c r="H17427" t="s">
        <v>62901</v>
      </c>
      <c r="I17427" t="s">
        <v>1459</v>
      </c>
      <c r="J17427" t="s">
        <v>162</v>
      </c>
      <c r="K17427" t="s">
        <v>8834</v>
      </c>
      <c r="N17427" t="s">
        <v>62902</v>
      </c>
      <c r="Q17427">
        <v>0</v>
      </c>
      <c r="R17427">
        <v>389</v>
      </c>
      <c r="S17427">
        <v>0</v>
      </c>
      <c r="T17427" t="s">
        <v>62903</v>
      </c>
    </row>
    <row r="17428" spans="1:25" customFormat="1" ht="15" x14ac:dyDescent="0.25">
      <c r="A17428" t="s">
        <v>24</v>
      </c>
      <c r="B17428" t="s">
        <v>33426</v>
      </c>
      <c r="C17428" t="str">
        <f>"A0158111"</f>
        <v>A0158111</v>
      </c>
      <c r="D17428" t="s">
        <v>62904</v>
      </c>
      <c r="E17428" t="s">
        <v>62905</v>
      </c>
      <c r="F17428" t="s">
        <v>972</v>
      </c>
      <c r="G17428" t="s">
        <v>190</v>
      </c>
      <c r="H17428">
        <v>80204</v>
      </c>
      <c r="I17428" t="s">
        <v>30</v>
      </c>
      <c r="J17428" t="s">
        <v>1004</v>
      </c>
      <c r="K17428" t="s">
        <v>163</v>
      </c>
      <c r="N17428" t="s">
        <v>62906</v>
      </c>
      <c r="O17428" t="s">
        <v>62907</v>
      </c>
      <c r="Q17428">
        <v>0</v>
      </c>
      <c r="R17428">
        <v>0</v>
      </c>
      <c r="S17428">
        <v>0</v>
      </c>
      <c r="T17428" t="s">
        <v>62908</v>
      </c>
    </row>
    <row r="17429" spans="1:25" customFormat="1" x14ac:dyDescent="0.25">
      <c r="A17429" s="4" t="s">
        <v>24</v>
      </c>
      <c r="B17429" s="4" t="s">
        <v>2955</v>
      </c>
      <c r="C17429" s="4" t="str">
        <f>"A0063498"</f>
        <v>A0063498</v>
      </c>
      <c r="D17429" s="4" t="s">
        <v>77388</v>
      </c>
      <c r="E17429" s="4" t="s">
        <v>77389</v>
      </c>
      <c r="F17429" s="4" t="s">
        <v>4674</v>
      </c>
      <c r="G17429" s="4" t="s">
        <v>314</v>
      </c>
      <c r="H17429" s="4">
        <v>20001</v>
      </c>
      <c r="I17429" s="4" t="s">
        <v>30</v>
      </c>
      <c r="J17429" s="4" t="s">
        <v>206</v>
      </c>
      <c r="K17429" s="4" t="s">
        <v>163</v>
      </c>
      <c r="L17429" s="4"/>
      <c r="M17429" s="4"/>
      <c r="N17429" s="4" t="s">
        <v>77390</v>
      </c>
      <c r="O17429" s="4" t="s">
        <v>77391</v>
      </c>
      <c r="P17429" s="4"/>
      <c r="Q17429" s="4">
        <v>0</v>
      </c>
      <c r="R17429" s="4">
        <v>149</v>
      </c>
      <c r="S17429" s="4">
        <v>0</v>
      </c>
      <c r="T17429" s="4" t="s">
        <v>77392</v>
      </c>
      <c r="U17429" s="4"/>
      <c r="V17429" s="4"/>
      <c r="W17429" s="4"/>
      <c r="X17429" s="4"/>
      <c r="Y17429" s="4"/>
    </row>
    <row r="17430" spans="1:25" customFormat="1" x14ac:dyDescent="0.25">
      <c r="A17430" s="4" t="s">
        <v>24</v>
      </c>
      <c r="B17430" s="4" t="s">
        <v>6635</v>
      </c>
      <c r="C17430" s="4" t="str">
        <f>"A0165591"</f>
        <v>A0165591</v>
      </c>
      <c r="D17430" s="4" t="s">
        <v>80367</v>
      </c>
      <c r="E17430" s="4" t="s">
        <v>80368</v>
      </c>
      <c r="F17430" s="4" t="s">
        <v>313</v>
      </c>
      <c r="G17430" s="4" t="s">
        <v>314</v>
      </c>
      <c r="H17430" s="4">
        <v>20007</v>
      </c>
      <c r="I17430" s="4" t="s">
        <v>30</v>
      </c>
      <c r="J17430" s="4" t="s">
        <v>206</v>
      </c>
      <c r="K17430" s="4" t="s">
        <v>163</v>
      </c>
      <c r="L17430" s="4"/>
      <c r="M17430" s="4"/>
      <c r="N17430" s="4" t="s">
        <v>80369</v>
      </c>
      <c r="O17430" s="4" t="s">
        <v>80370</v>
      </c>
      <c r="P17430" s="4"/>
      <c r="Q17430" s="4">
        <v>0</v>
      </c>
      <c r="R17430" s="4">
        <v>55</v>
      </c>
      <c r="S17430" s="4">
        <v>0</v>
      </c>
      <c r="T17430" s="4" t="s">
        <v>80371</v>
      </c>
      <c r="U17430" s="4"/>
      <c r="V17430" s="4"/>
      <c r="W17430" s="4"/>
      <c r="X17430" s="4"/>
      <c r="Y17430" s="4"/>
    </row>
    <row r="17431" spans="1:25" customFormat="1" ht="15" x14ac:dyDescent="0.25">
      <c r="A17431" t="s">
        <v>24</v>
      </c>
      <c r="B17431" t="s">
        <v>5166</v>
      </c>
      <c r="C17431" t="str">
        <f>"A0098424"</f>
        <v>A0098424</v>
      </c>
      <c r="D17431" t="s">
        <v>62918</v>
      </c>
      <c r="E17431" t="s">
        <v>62919</v>
      </c>
      <c r="F17431" t="s">
        <v>972</v>
      </c>
      <c r="G17431" t="s">
        <v>190</v>
      </c>
      <c r="H17431">
        <v>80202</v>
      </c>
      <c r="I17431" t="s">
        <v>30</v>
      </c>
      <c r="J17431" t="s">
        <v>1004</v>
      </c>
      <c r="K17431" t="s">
        <v>6809</v>
      </c>
      <c r="N17431" t="s">
        <v>35788</v>
      </c>
      <c r="O17431" t="s">
        <v>62920</v>
      </c>
      <c r="Q17431">
        <v>0</v>
      </c>
      <c r="R17431">
        <v>0</v>
      </c>
      <c r="S17431">
        <v>0</v>
      </c>
      <c r="T17431" t="s">
        <v>62921</v>
      </c>
    </row>
    <row r="17432" spans="1:25" customFormat="1" x14ac:dyDescent="0.25">
      <c r="A17432" s="4" t="s">
        <v>24</v>
      </c>
      <c r="B17432" s="4" t="s">
        <v>84550</v>
      </c>
      <c r="C17432" s="4" t="str">
        <f>"A0060988"</f>
        <v>A0060988</v>
      </c>
      <c r="D17432" s="4" t="s">
        <v>84551</v>
      </c>
      <c r="E17432" s="4" t="s">
        <v>84552</v>
      </c>
      <c r="F17432" s="4" t="s">
        <v>4674</v>
      </c>
      <c r="G17432" s="4" t="s">
        <v>314</v>
      </c>
      <c r="H17432" s="4">
        <v>20036</v>
      </c>
      <c r="I17432" s="4" t="s">
        <v>30</v>
      </c>
      <c r="J17432" s="4" t="s">
        <v>206</v>
      </c>
      <c r="K17432" s="4" t="s">
        <v>163</v>
      </c>
      <c r="L17432" s="4"/>
      <c r="M17432" s="4"/>
      <c r="N17432" s="4" t="s">
        <v>84553</v>
      </c>
      <c r="O17432" s="4" t="s">
        <v>84554</v>
      </c>
      <c r="P17432" s="4"/>
      <c r="Q17432" s="4">
        <v>0</v>
      </c>
      <c r="R17432" s="4">
        <v>99</v>
      </c>
      <c r="S17432" s="4">
        <v>0</v>
      </c>
      <c r="T17432" s="4" t="s">
        <v>84555</v>
      </c>
      <c r="U17432" s="4"/>
      <c r="V17432" s="4"/>
      <c r="W17432" s="4"/>
      <c r="X17432" s="4"/>
      <c r="Y17432" s="4"/>
    </row>
    <row r="17433" spans="1:25" customFormat="1" ht="15" x14ac:dyDescent="0.25">
      <c r="A17433" t="s">
        <v>24</v>
      </c>
      <c r="B17433" t="s">
        <v>6667</v>
      </c>
      <c r="C17433" t="str">
        <f>"AC025"</f>
        <v>AC025</v>
      </c>
      <c r="D17433" t="s">
        <v>62927</v>
      </c>
      <c r="E17433" t="s">
        <v>62928</v>
      </c>
      <c r="F17433" t="s">
        <v>220</v>
      </c>
      <c r="G17433" t="s">
        <v>221</v>
      </c>
      <c r="H17433">
        <v>89101</v>
      </c>
      <c r="I17433" t="s">
        <v>30</v>
      </c>
      <c r="J17433" t="s">
        <v>178</v>
      </c>
      <c r="K17433" t="s">
        <v>6667</v>
      </c>
      <c r="P17433" t="s">
        <v>992</v>
      </c>
      <c r="Q17433">
        <v>1</v>
      </c>
      <c r="R17433">
        <v>0</v>
      </c>
      <c r="S17433">
        <v>0</v>
      </c>
      <c r="T17433" t="s">
        <v>62929</v>
      </c>
    </row>
    <row r="17434" spans="1:25" customFormat="1" x14ac:dyDescent="0.25">
      <c r="A17434" s="4" t="s">
        <v>24</v>
      </c>
      <c r="B17434" s="4" t="s">
        <v>675</v>
      </c>
      <c r="C17434" s="4" t="str">
        <f>"CT71N"</f>
        <v>CT71N</v>
      </c>
      <c r="D17434" s="4" t="s">
        <v>84714</v>
      </c>
      <c r="E17434" s="4" t="s">
        <v>84715</v>
      </c>
      <c r="F17434" s="4" t="s">
        <v>313</v>
      </c>
      <c r="G17434" s="4" t="s">
        <v>314</v>
      </c>
      <c r="H17434" s="4">
        <v>20036</v>
      </c>
      <c r="I17434" s="4" t="s">
        <v>30</v>
      </c>
      <c r="J17434" s="4" t="s">
        <v>206</v>
      </c>
      <c r="K17434" s="4" t="s">
        <v>6459</v>
      </c>
      <c r="L17434" s="4"/>
      <c r="M17434" s="4"/>
      <c r="N17434" s="4" t="s">
        <v>84716</v>
      </c>
      <c r="O17434" s="4" t="s">
        <v>73920</v>
      </c>
      <c r="P17434" s="4"/>
      <c r="Q17434" s="4">
        <v>0</v>
      </c>
      <c r="R17434" s="4">
        <v>660</v>
      </c>
      <c r="S17434" s="4">
        <v>0</v>
      </c>
      <c r="T17434" s="4" t="s">
        <v>84717</v>
      </c>
      <c r="U17434" s="4"/>
      <c r="V17434" s="4"/>
      <c r="W17434" s="4"/>
      <c r="X17434" s="4"/>
      <c r="Y17434" s="4"/>
    </row>
    <row r="17435" spans="1:25" customFormat="1" x14ac:dyDescent="0.25">
      <c r="A17435" s="4" t="s">
        <v>24</v>
      </c>
      <c r="B17435" s="4" t="s">
        <v>675</v>
      </c>
      <c r="C17435" s="4" t="str">
        <f>"A0066076"</f>
        <v>A0066076</v>
      </c>
      <c r="D17435" s="4" t="s">
        <v>84977</v>
      </c>
      <c r="E17435" s="4" t="s">
        <v>84978</v>
      </c>
      <c r="F17435" s="4" t="s">
        <v>313</v>
      </c>
      <c r="G17435" s="4" t="s">
        <v>314</v>
      </c>
      <c r="H17435" s="4">
        <v>20007</v>
      </c>
      <c r="I17435" s="4" t="s">
        <v>30</v>
      </c>
      <c r="J17435" s="4" t="s">
        <v>206</v>
      </c>
      <c r="K17435" s="4" t="s">
        <v>680</v>
      </c>
      <c r="L17435" s="4"/>
      <c r="M17435" s="4"/>
      <c r="N17435" s="4" t="s">
        <v>84979</v>
      </c>
      <c r="O17435" s="4"/>
      <c r="P17435" s="4"/>
      <c r="Q17435" s="4">
        <v>0</v>
      </c>
      <c r="R17435" s="4">
        <v>86</v>
      </c>
      <c r="S17435" s="4">
        <v>0</v>
      </c>
      <c r="T17435" s="4" t="s">
        <v>84980</v>
      </c>
      <c r="U17435" s="4"/>
      <c r="V17435" s="4"/>
      <c r="W17435" s="4"/>
      <c r="X17435" s="4"/>
      <c r="Y17435" s="4"/>
    </row>
    <row r="17436" spans="1:25" customFormat="1" x14ac:dyDescent="0.25">
      <c r="A17436" s="4" t="s">
        <v>24</v>
      </c>
      <c r="B17436" s="4" t="s">
        <v>675</v>
      </c>
      <c r="C17436" s="4" t="str">
        <f>"73R52"</f>
        <v>73R52</v>
      </c>
      <c r="D17436" s="4" t="s">
        <v>85035</v>
      </c>
      <c r="E17436" s="4" t="s">
        <v>85036</v>
      </c>
      <c r="F17436" s="4" t="s">
        <v>313</v>
      </c>
      <c r="G17436" s="4" t="s">
        <v>314</v>
      </c>
      <c r="H17436" s="4">
        <v>20037</v>
      </c>
      <c r="I17436" s="4" t="s">
        <v>30</v>
      </c>
      <c r="J17436" s="4" t="s">
        <v>206</v>
      </c>
      <c r="K17436" s="4" t="s">
        <v>680</v>
      </c>
      <c r="L17436" s="4"/>
      <c r="M17436" s="4"/>
      <c r="N17436" s="4" t="s">
        <v>85037</v>
      </c>
      <c r="O17436" s="4"/>
      <c r="P17436" s="4"/>
      <c r="Q17436" s="4">
        <v>0</v>
      </c>
      <c r="R17436" s="4">
        <v>300</v>
      </c>
      <c r="S17436" s="4">
        <v>0</v>
      </c>
      <c r="T17436" s="4" t="s">
        <v>85038</v>
      </c>
      <c r="U17436" s="4"/>
      <c r="V17436" s="4"/>
      <c r="W17436" s="4"/>
      <c r="X17436" s="4"/>
      <c r="Y17436" s="4"/>
    </row>
    <row r="17437" spans="1:25" customFormat="1" ht="15" x14ac:dyDescent="0.25">
      <c r="A17437" t="s">
        <v>24</v>
      </c>
      <c r="B17437" t="s">
        <v>33426</v>
      </c>
      <c r="C17437" t="str">
        <f>"A0100505"</f>
        <v>A0100505</v>
      </c>
      <c r="D17437" t="s">
        <v>62944</v>
      </c>
      <c r="E17437" t="s">
        <v>62945</v>
      </c>
      <c r="F17437" t="s">
        <v>7153</v>
      </c>
      <c r="G17437" t="s">
        <v>117</v>
      </c>
      <c r="H17437">
        <v>48202</v>
      </c>
      <c r="I17437" t="s">
        <v>30</v>
      </c>
      <c r="J17437" t="s">
        <v>1004</v>
      </c>
      <c r="K17437" t="s">
        <v>163</v>
      </c>
      <c r="Q17437">
        <v>0</v>
      </c>
      <c r="R17437">
        <v>0</v>
      </c>
      <c r="S17437">
        <v>0</v>
      </c>
      <c r="T17437" t="s">
        <v>62946</v>
      </c>
    </row>
    <row r="17438" spans="1:25" customFormat="1" x14ac:dyDescent="0.25">
      <c r="A17438" s="4" t="s">
        <v>24</v>
      </c>
      <c r="B17438" s="4" t="s">
        <v>675</v>
      </c>
      <c r="C17438" s="4" t="str">
        <f>"A0086802"</f>
        <v>A0086802</v>
      </c>
      <c r="D17438" s="4" t="s">
        <v>85346</v>
      </c>
      <c r="E17438" s="4" t="s">
        <v>85347</v>
      </c>
      <c r="F17438" s="4" t="s">
        <v>4674</v>
      </c>
      <c r="G17438" s="4" t="s">
        <v>314</v>
      </c>
      <c r="H17438" s="4">
        <v>20006</v>
      </c>
      <c r="I17438" s="4" t="s">
        <v>30</v>
      </c>
      <c r="J17438" s="4" t="s">
        <v>206</v>
      </c>
      <c r="K17438" s="4" t="s">
        <v>5338</v>
      </c>
      <c r="L17438" s="4"/>
      <c r="M17438" s="4"/>
      <c r="N17438" s="4" t="s">
        <v>85348</v>
      </c>
      <c r="O17438" s="4"/>
      <c r="P17438" s="4"/>
      <c r="Q17438" s="4">
        <v>0</v>
      </c>
      <c r="R17438" s="4">
        <v>172</v>
      </c>
      <c r="S17438" s="4">
        <v>0</v>
      </c>
      <c r="T17438" s="4" t="s">
        <v>85349</v>
      </c>
      <c r="U17438" s="4"/>
      <c r="V17438" s="4"/>
      <c r="W17438" s="4"/>
      <c r="X17438" s="4"/>
      <c r="Y17438" s="4"/>
    </row>
    <row r="17439" spans="1:25" customFormat="1" ht="15" x14ac:dyDescent="0.25">
      <c r="A17439" t="s">
        <v>24</v>
      </c>
      <c r="B17439" t="s">
        <v>2360</v>
      </c>
      <c r="C17439" t="str">
        <f>"CL1594"</f>
        <v>CL1594</v>
      </c>
      <c r="D17439" t="s">
        <v>62951</v>
      </c>
      <c r="E17439" t="s">
        <v>62952</v>
      </c>
      <c r="F17439" t="s">
        <v>62953</v>
      </c>
      <c r="G17439" t="s">
        <v>214</v>
      </c>
      <c r="H17439">
        <v>27540</v>
      </c>
      <c r="I17439" t="s">
        <v>30</v>
      </c>
      <c r="J17439" t="s">
        <v>178</v>
      </c>
      <c r="K17439" t="s">
        <v>56676</v>
      </c>
      <c r="N17439" t="s">
        <v>62954</v>
      </c>
      <c r="P17439" t="s">
        <v>992</v>
      </c>
      <c r="Q17439">
        <v>1</v>
      </c>
      <c r="R17439">
        <v>0</v>
      </c>
      <c r="S17439">
        <v>0</v>
      </c>
      <c r="T17439" t="s">
        <v>62955</v>
      </c>
    </row>
    <row r="17440" spans="1:25" customFormat="1" x14ac:dyDescent="0.25">
      <c r="A17440" s="4" t="s">
        <v>24</v>
      </c>
      <c r="B17440" s="4" t="s">
        <v>85434</v>
      </c>
      <c r="C17440" s="4" t="str">
        <f>"A0095138"</f>
        <v>A0095138</v>
      </c>
      <c r="D17440" s="4" t="s">
        <v>85435</v>
      </c>
      <c r="E17440" s="4" t="s">
        <v>85436</v>
      </c>
      <c r="F17440" s="4" t="s">
        <v>313</v>
      </c>
      <c r="G17440" s="4" t="s">
        <v>314</v>
      </c>
      <c r="H17440" s="4">
        <v>20037</v>
      </c>
      <c r="I17440" s="4" t="s">
        <v>30</v>
      </c>
      <c r="J17440" s="4" t="s">
        <v>206</v>
      </c>
      <c r="K17440" s="4" t="s">
        <v>163</v>
      </c>
      <c r="L17440" s="4"/>
      <c r="M17440" s="4"/>
      <c r="N17440" s="4"/>
      <c r="O17440" s="4"/>
      <c r="P17440" s="4"/>
      <c r="Q17440" s="4">
        <v>0</v>
      </c>
      <c r="R17440" s="4">
        <v>338</v>
      </c>
      <c r="S17440" s="4">
        <v>0</v>
      </c>
      <c r="T17440" s="4" t="s">
        <v>85437</v>
      </c>
      <c r="U17440" s="4"/>
      <c r="V17440" s="4"/>
      <c r="W17440" s="4"/>
      <c r="X17440" s="4"/>
      <c r="Y17440" s="4"/>
    </row>
    <row r="17441" spans="1:25" customFormat="1" ht="15" x14ac:dyDescent="0.25">
      <c r="A17441" t="s">
        <v>24</v>
      </c>
      <c r="B17441" t="s">
        <v>2360</v>
      </c>
      <c r="C17441" t="str">
        <f>"CL1545"</f>
        <v>CL1545</v>
      </c>
      <c r="D17441" t="s">
        <v>62961</v>
      </c>
      <c r="E17441" t="s">
        <v>62962</v>
      </c>
      <c r="F17441" t="s">
        <v>62963</v>
      </c>
      <c r="G17441" t="s">
        <v>103</v>
      </c>
      <c r="H17441">
        <v>15143</v>
      </c>
      <c r="I17441" t="s">
        <v>30</v>
      </c>
      <c r="J17441" t="s">
        <v>178</v>
      </c>
      <c r="K17441" t="s">
        <v>55688</v>
      </c>
      <c r="N17441" t="s">
        <v>62964</v>
      </c>
      <c r="O17441" t="s">
        <v>62965</v>
      </c>
      <c r="P17441" t="s">
        <v>992</v>
      </c>
      <c r="Q17441">
        <v>1</v>
      </c>
      <c r="R17441">
        <v>0</v>
      </c>
      <c r="S17441">
        <v>0</v>
      </c>
      <c r="T17441" t="s">
        <v>62966</v>
      </c>
    </row>
    <row r="17442" spans="1:25" customFormat="1" ht="15" x14ac:dyDescent="0.25">
      <c r="A17442" t="s">
        <v>24</v>
      </c>
      <c r="B17442" t="s">
        <v>56277</v>
      </c>
      <c r="C17442" t="str">
        <f>"A0065659"</f>
        <v>A0065659</v>
      </c>
      <c r="D17442" t="s">
        <v>62967</v>
      </c>
      <c r="E17442" t="s">
        <v>62968</v>
      </c>
      <c r="F17442" t="s">
        <v>62969</v>
      </c>
      <c r="G17442" t="s">
        <v>221</v>
      </c>
      <c r="H17442" t="s">
        <v>62970</v>
      </c>
      <c r="I17442" t="s">
        <v>30</v>
      </c>
      <c r="J17442" t="s">
        <v>5805</v>
      </c>
      <c r="K17442" t="s">
        <v>163</v>
      </c>
      <c r="N17442" t="s">
        <v>62971</v>
      </c>
      <c r="O17442" t="s">
        <v>62972</v>
      </c>
      <c r="Q17442">
        <v>0</v>
      </c>
      <c r="R17442">
        <v>0</v>
      </c>
      <c r="S17442">
        <v>0</v>
      </c>
      <c r="T17442" t="s">
        <v>62973</v>
      </c>
    </row>
    <row r="17443" spans="1:25" customFormat="1" ht="15" x14ac:dyDescent="0.25">
      <c r="A17443" t="s">
        <v>24</v>
      </c>
      <c r="B17443" t="s">
        <v>2360</v>
      </c>
      <c r="C17443" t="str">
        <f>"A0067457"</f>
        <v>A0067457</v>
      </c>
      <c r="D17443" t="s">
        <v>62974</v>
      </c>
      <c r="E17443" t="s">
        <v>62975</v>
      </c>
      <c r="F17443" t="s">
        <v>62976</v>
      </c>
      <c r="G17443" t="s">
        <v>29</v>
      </c>
      <c r="H17443">
        <v>20169</v>
      </c>
      <c r="I17443" t="s">
        <v>30</v>
      </c>
      <c r="J17443" t="s">
        <v>178</v>
      </c>
      <c r="K17443" t="s">
        <v>56092</v>
      </c>
      <c r="N17443" t="s">
        <v>62977</v>
      </c>
      <c r="P17443" t="s">
        <v>992</v>
      </c>
      <c r="Q17443">
        <v>1</v>
      </c>
      <c r="R17443">
        <v>0</v>
      </c>
      <c r="S17443">
        <v>0</v>
      </c>
      <c r="T17443" t="s">
        <v>62978</v>
      </c>
    </row>
    <row r="17444" spans="1:25" customFormat="1" x14ac:dyDescent="0.25">
      <c r="A17444" s="4" t="s">
        <v>24</v>
      </c>
      <c r="B17444" s="4" t="s">
        <v>14164</v>
      </c>
      <c r="C17444" s="4" t="str">
        <f>"A0095800"</f>
        <v>A0095800</v>
      </c>
      <c r="D17444" s="4" t="s">
        <v>86866</v>
      </c>
      <c r="E17444" s="4" t="s">
        <v>86867</v>
      </c>
      <c r="F17444" s="4" t="s">
        <v>313</v>
      </c>
      <c r="G17444" s="4" t="s">
        <v>314</v>
      </c>
      <c r="H17444" s="4">
        <v>20004</v>
      </c>
      <c r="I17444" s="4" t="s">
        <v>30</v>
      </c>
      <c r="J17444" s="4" t="s">
        <v>206</v>
      </c>
      <c r="K17444" s="4" t="s">
        <v>163</v>
      </c>
      <c r="L17444" s="4"/>
      <c r="M17444" s="4"/>
      <c r="N17444" s="4" t="s">
        <v>86868</v>
      </c>
      <c r="O17444" s="4"/>
      <c r="P17444" s="4"/>
      <c r="Q17444" s="4">
        <v>0</v>
      </c>
      <c r="R17444" s="4">
        <v>262</v>
      </c>
      <c r="S17444" s="4">
        <v>0</v>
      </c>
      <c r="T17444" s="4" t="s">
        <v>86869</v>
      </c>
      <c r="U17444" s="4"/>
      <c r="V17444" s="4"/>
      <c r="W17444" s="4"/>
      <c r="X17444" s="4"/>
      <c r="Y17444" s="4"/>
    </row>
    <row r="17445" spans="1:25" customFormat="1" ht="15" hidden="1" x14ac:dyDescent="0.25">
      <c r="A17445" t="s">
        <v>24</v>
      </c>
      <c r="B17445" t="s">
        <v>62984</v>
      </c>
      <c r="C17445" t="str">
        <f>"A0093591"</f>
        <v>A0093591</v>
      </c>
      <c r="D17445" t="s">
        <v>62985</v>
      </c>
      <c r="E17445" t="s">
        <v>62986</v>
      </c>
      <c r="F17445" t="s">
        <v>62987</v>
      </c>
      <c r="G17445" t="s">
        <v>9901</v>
      </c>
      <c r="H17445">
        <v>646</v>
      </c>
      <c r="I17445" t="s">
        <v>9902</v>
      </c>
      <c r="J17445" t="s">
        <v>178</v>
      </c>
      <c r="K17445" t="s">
        <v>163</v>
      </c>
      <c r="N17445" t="s">
        <v>62988</v>
      </c>
      <c r="O17445" t="s">
        <v>62989</v>
      </c>
      <c r="P17445" t="s">
        <v>3998</v>
      </c>
      <c r="Q17445">
        <v>1</v>
      </c>
      <c r="R17445">
        <v>35</v>
      </c>
      <c r="S17445">
        <v>0</v>
      </c>
      <c r="T17445" t="s">
        <v>62990</v>
      </c>
    </row>
    <row r="17446" spans="1:25" hidden="1" x14ac:dyDescent="0.25">
      <c r="A17446" s="3" t="s">
        <v>24</v>
      </c>
      <c r="B17446" s="3" t="s">
        <v>675</v>
      </c>
      <c r="C17446" s="3" t="str">
        <f>"A0091512"</f>
        <v>A0091512</v>
      </c>
      <c r="D17446" s="3" t="s">
        <v>62991</v>
      </c>
      <c r="E17446" s="3" t="s">
        <v>62992</v>
      </c>
      <c r="F17446" s="3" t="s">
        <v>62987</v>
      </c>
      <c r="G17446" s="3" t="s">
        <v>9901</v>
      </c>
      <c r="H17446" s="3">
        <v>646</v>
      </c>
      <c r="I17446" s="3" t="s">
        <v>9902</v>
      </c>
      <c r="J17446" s="3" t="s">
        <v>206</v>
      </c>
      <c r="K17446" s="3" t="s">
        <v>680</v>
      </c>
      <c r="N17446" s="3" t="s">
        <v>62993</v>
      </c>
      <c r="O17446" s="3" t="s">
        <v>62994</v>
      </c>
      <c r="Q17446" s="3">
        <v>1</v>
      </c>
      <c r="R17446" s="3">
        <v>115</v>
      </c>
      <c r="S17446" s="3">
        <v>0</v>
      </c>
      <c r="T17446" s="3" t="s">
        <v>62995</v>
      </c>
    </row>
    <row r="17447" spans="1:25" customFormat="1" x14ac:dyDescent="0.25">
      <c r="A17447" s="4" t="s">
        <v>24</v>
      </c>
      <c r="B17447" s="4" t="s">
        <v>1862</v>
      </c>
      <c r="C17447" s="4" t="str">
        <f>"A0077330"</f>
        <v>A0077330</v>
      </c>
      <c r="D17447" s="4" t="s">
        <v>87115</v>
      </c>
      <c r="E17447" s="4" t="s">
        <v>87116</v>
      </c>
      <c r="F17447" s="4" t="s">
        <v>313</v>
      </c>
      <c r="G17447" s="4" t="s">
        <v>314</v>
      </c>
      <c r="H17447" s="4">
        <v>20005</v>
      </c>
      <c r="I17447" s="4" t="s">
        <v>30</v>
      </c>
      <c r="J17447" s="4" t="s">
        <v>206</v>
      </c>
      <c r="K17447" s="4" t="s">
        <v>163</v>
      </c>
      <c r="L17447" s="4"/>
      <c r="M17447" s="4"/>
      <c r="N17447" s="4"/>
      <c r="O17447" s="4"/>
      <c r="P17447" s="4"/>
      <c r="Q17447" s="4">
        <v>0</v>
      </c>
      <c r="R17447" s="4">
        <v>178</v>
      </c>
      <c r="S17447" s="4">
        <v>0</v>
      </c>
      <c r="T17447" s="4" t="s">
        <v>87117</v>
      </c>
      <c r="U17447" s="4"/>
      <c r="V17447" s="4"/>
      <c r="W17447" s="4"/>
      <c r="X17447" s="4"/>
      <c r="Y17447" s="4"/>
    </row>
    <row r="17448" spans="1:25" customFormat="1" x14ac:dyDescent="0.25">
      <c r="A17448" s="4" t="s">
        <v>24</v>
      </c>
      <c r="B17448" s="4" t="s">
        <v>982</v>
      </c>
      <c r="C17448" s="4" t="str">
        <f>"A0188274"</f>
        <v>A0188274</v>
      </c>
      <c r="D17448" s="4" t="s">
        <v>983</v>
      </c>
      <c r="E17448" s="4" t="s">
        <v>984</v>
      </c>
      <c r="F17448" s="4" t="s">
        <v>985</v>
      </c>
      <c r="G17448" s="4" t="s">
        <v>81</v>
      </c>
      <c r="H17448" s="4">
        <v>32836</v>
      </c>
      <c r="I17448" s="4" t="s">
        <v>30</v>
      </c>
      <c r="J17448" s="4" t="s">
        <v>206</v>
      </c>
      <c r="K17448" s="4" t="s">
        <v>163</v>
      </c>
      <c r="L17448" s="4"/>
      <c r="M17448" s="4"/>
      <c r="N17448" s="4" t="s">
        <v>986</v>
      </c>
      <c r="O17448" s="4"/>
      <c r="P17448" s="4"/>
      <c r="Q17448" s="4">
        <v>0</v>
      </c>
      <c r="R17448" s="4">
        <v>401</v>
      </c>
      <c r="S17448" s="4">
        <v>0</v>
      </c>
      <c r="T17448" s="4" t="s">
        <v>987</v>
      </c>
      <c r="U17448" s="4"/>
      <c r="V17448" s="4"/>
      <c r="W17448" s="4"/>
      <c r="X17448" s="4"/>
      <c r="Y17448" s="4"/>
    </row>
    <row r="17449" spans="1:25" customFormat="1" x14ac:dyDescent="0.25">
      <c r="A17449" s="4" t="s">
        <v>24</v>
      </c>
      <c r="B17449" s="4" t="s">
        <v>1849</v>
      </c>
      <c r="C17449" s="4" t="str">
        <f>"A0060620"</f>
        <v>A0060620</v>
      </c>
      <c r="D17449" s="4" t="s">
        <v>2490</v>
      </c>
      <c r="E17449" s="4" t="s">
        <v>2491</v>
      </c>
      <c r="F17449" s="4" t="s">
        <v>1889</v>
      </c>
      <c r="G17449" s="4" t="s">
        <v>81</v>
      </c>
      <c r="H17449" s="4">
        <v>33126</v>
      </c>
      <c r="I17449" s="4" t="s">
        <v>30</v>
      </c>
      <c r="J17449" s="4" t="s">
        <v>206</v>
      </c>
      <c r="K17449" s="4" t="s">
        <v>2492</v>
      </c>
      <c r="L17449" s="4"/>
      <c r="M17449" s="4"/>
      <c r="N17449" s="4" t="s">
        <v>2493</v>
      </c>
      <c r="O17449" s="4"/>
      <c r="P17449" s="4"/>
      <c r="Q17449" s="4">
        <v>0</v>
      </c>
      <c r="R17449" s="4">
        <v>315</v>
      </c>
      <c r="S17449" s="4">
        <v>0</v>
      </c>
      <c r="T17449" s="4" t="s">
        <v>2494</v>
      </c>
      <c r="U17449" s="4"/>
      <c r="V17449" s="4"/>
      <c r="W17449" s="4"/>
      <c r="X17449" s="4"/>
      <c r="Y17449" s="4"/>
    </row>
    <row r="17450" spans="1:25" customFormat="1" x14ac:dyDescent="0.25">
      <c r="A17450" s="4" t="s">
        <v>24</v>
      </c>
      <c r="B17450" s="4" t="s">
        <v>675</v>
      </c>
      <c r="C17450" s="4" t="str">
        <f>"A0190469"</f>
        <v>A0190469</v>
      </c>
      <c r="D17450" s="4" t="s">
        <v>3953</v>
      </c>
      <c r="E17450" s="4" t="s">
        <v>3954</v>
      </c>
      <c r="F17450" s="4" t="s">
        <v>3955</v>
      </c>
      <c r="G17450" s="4" t="s">
        <v>81</v>
      </c>
      <c r="H17450" s="4">
        <v>33602</v>
      </c>
      <c r="I17450" s="4" t="s">
        <v>30</v>
      </c>
      <c r="J17450" s="4" t="s">
        <v>206</v>
      </c>
      <c r="K17450" s="4" t="s">
        <v>3956</v>
      </c>
      <c r="L17450" s="4"/>
      <c r="M17450" s="4"/>
      <c r="N17450" s="4" t="s">
        <v>3957</v>
      </c>
      <c r="O17450" s="4"/>
      <c r="P17450" s="4"/>
      <c r="Q17450" s="4">
        <v>0</v>
      </c>
      <c r="R17450" s="4">
        <v>170</v>
      </c>
      <c r="S17450" s="4">
        <v>0</v>
      </c>
      <c r="T17450" s="4" t="s">
        <v>192</v>
      </c>
      <c r="U17450" s="4"/>
      <c r="V17450" s="4"/>
      <c r="W17450" s="4"/>
      <c r="X17450" s="4"/>
      <c r="Y17450" s="4"/>
    </row>
    <row r="17451" spans="1:25" customFormat="1" x14ac:dyDescent="0.25">
      <c r="A17451" s="4" t="s">
        <v>24</v>
      </c>
      <c r="B17451" s="4" t="s">
        <v>2238</v>
      </c>
      <c r="C17451" s="4" t="str">
        <f>"A0145940"</f>
        <v>A0145940</v>
      </c>
      <c r="D17451" s="4" t="s">
        <v>4007</v>
      </c>
      <c r="E17451" s="4" t="s">
        <v>4008</v>
      </c>
      <c r="F17451" s="4" t="s">
        <v>4009</v>
      </c>
      <c r="G17451" s="4" t="s">
        <v>81</v>
      </c>
      <c r="H17451" s="4">
        <v>33160</v>
      </c>
      <c r="I17451" s="4" t="s">
        <v>30</v>
      </c>
      <c r="J17451" s="4" t="s">
        <v>206</v>
      </c>
      <c r="K17451" s="4" t="s">
        <v>163</v>
      </c>
      <c r="L17451" s="4"/>
      <c r="M17451" s="4"/>
      <c r="N17451" s="4" t="s">
        <v>4010</v>
      </c>
      <c r="O17451" s="4" t="s">
        <v>4011</v>
      </c>
      <c r="P17451" s="4"/>
      <c r="Q17451" s="4">
        <v>0</v>
      </c>
      <c r="R17451" s="4">
        <v>250</v>
      </c>
      <c r="S17451" s="4">
        <v>0</v>
      </c>
      <c r="T17451" s="4" t="s">
        <v>4012</v>
      </c>
      <c r="U17451" s="4"/>
      <c r="V17451" s="4"/>
      <c r="W17451" s="4"/>
      <c r="X17451" s="4"/>
      <c r="Y17451" s="4"/>
    </row>
    <row r="17452" spans="1:25" customFormat="1" x14ac:dyDescent="0.25">
      <c r="A17452" s="4" t="s">
        <v>24</v>
      </c>
      <c r="B17452" s="4" t="s">
        <v>5579</v>
      </c>
      <c r="C17452" s="4" t="str">
        <f>"A0064456"</f>
        <v>A0064456</v>
      </c>
      <c r="D17452" s="4" t="s">
        <v>5580</v>
      </c>
      <c r="E17452" s="4" t="s">
        <v>5581</v>
      </c>
      <c r="F17452" s="4" t="s">
        <v>1003</v>
      </c>
      <c r="G17452" s="4" t="s">
        <v>81</v>
      </c>
      <c r="H17452" s="4">
        <v>33140</v>
      </c>
      <c r="I17452" s="4" t="s">
        <v>30</v>
      </c>
      <c r="J17452" s="4" t="s">
        <v>206</v>
      </c>
      <c r="K17452" s="4" t="s">
        <v>163</v>
      </c>
      <c r="L17452" s="4"/>
      <c r="M17452" s="4"/>
      <c r="N17452" s="4" t="s">
        <v>5582</v>
      </c>
      <c r="O17452" s="4"/>
      <c r="P17452" s="4"/>
      <c r="Q17452" s="4">
        <v>0</v>
      </c>
      <c r="R17452" s="4">
        <v>74</v>
      </c>
      <c r="S17452" s="4">
        <v>0</v>
      </c>
      <c r="T17452" s="4" t="s">
        <v>5583</v>
      </c>
      <c r="U17452" s="4"/>
      <c r="V17452" s="4"/>
      <c r="W17452" s="4"/>
      <c r="X17452" s="4"/>
      <c r="Y17452" s="4"/>
    </row>
    <row r="17453" spans="1:25" customFormat="1" x14ac:dyDescent="0.25">
      <c r="A17453" s="4" t="s">
        <v>24</v>
      </c>
      <c r="B17453" s="4" t="s">
        <v>2238</v>
      </c>
      <c r="C17453" s="4" t="str">
        <f>"A0145937"</f>
        <v>A0145937</v>
      </c>
      <c r="D17453" s="4" t="s">
        <v>7964</v>
      </c>
      <c r="E17453" s="4" t="s">
        <v>7965</v>
      </c>
      <c r="F17453" s="4" t="s">
        <v>1570</v>
      </c>
      <c r="G17453" s="4" t="s">
        <v>81</v>
      </c>
      <c r="H17453" s="4">
        <v>33305</v>
      </c>
      <c r="I17453" s="4" t="s">
        <v>30</v>
      </c>
      <c r="J17453" s="4" t="s">
        <v>206</v>
      </c>
      <c r="K17453" s="4" t="s">
        <v>163</v>
      </c>
      <c r="L17453" s="4"/>
      <c r="M17453" s="4"/>
      <c r="N17453" s="4" t="s">
        <v>7966</v>
      </c>
      <c r="O17453" s="4" t="s">
        <v>7967</v>
      </c>
      <c r="P17453" s="4"/>
      <c r="Q17453" s="4">
        <v>0</v>
      </c>
      <c r="R17453" s="4">
        <v>156</v>
      </c>
      <c r="S17453" s="4">
        <v>0</v>
      </c>
      <c r="T17453" s="4" t="s">
        <v>7968</v>
      </c>
      <c r="U17453" s="4"/>
      <c r="V17453" s="4"/>
      <c r="W17453" s="4"/>
      <c r="X17453" s="4"/>
      <c r="Y17453" s="4"/>
    </row>
    <row r="17454" spans="1:25" customFormat="1" x14ac:dyDescent="0.25">
      <c r="A17454" s="4" t="s">
        <v>24</v>
      </c>
      <c r="B17454" s="4" t="s">
        <v>2238</v>
      </c>
      <c r="C17454" s="4" t="str">
        <f>"A0069223"</f>
        <v>A0069223</v>
      </c>
      <c r="D17454" s="4" t="s">
        <v>7969</v>
      </c>
      <c r="E17454" s="4" t="s">
        <v>7970</v>
      </c>
      <c r="F17454" s="4" t="s">
        <v>7971</v>
      </c>
      <c r="G17454" s="4" t="s">
        <v>81</v>
      </c>
      <c r="H17454" s="4">
        <v>33042</v>
      </c>
      <c r="I17454" s="4" t="s">
        <v>30</v>
      </c>
      <c r="J17454" s="4" t="s">
        <v>206</v>
      </c>
      <c r="K17454" s="4" t="s">
        <v>163</v>
      </c>
      <c r="L17454" s="4"/>
      <c r="M17454" s="4"/>
      <c r="N17454" s="4" t="s">
        <v>7972</v>
      </c>
      <c r="O17454" s="4" t="s">
        <v>7973</v>
      </c>
      <c r="P17454" s="4"/>
      <c r="Q17454" s="4">
        <v>0</v>
      </c>
      <c r="R17454" s="4">
        <v>30</v>
      </c>
      <c r="S17454" s="4">
        <v>0</v>
      </c>
      <c r="T17454" s="4" t="s">
        <v>7974</v>
      </c>
      <c r="U17454" s="4"/>
      <c r="V17454" s="4"/>
      <c r="W17454" s="4"/>
      <c r="X17454" s="4"/>
      <c r="Y17454" s="4"/>
    </row>
    <row r="17455" spans="1:25" customFormat="1" x14ac:dyDescent="0.25">
      <c r="A17455" s="4" t="s">
        <v>24</v>
      </c>
      <c r="B17455" s="4" t="s">
        <v>2238</v>
      </c>
      <c r="C17455" s="4" t="str">
        <f>"A0069219"</f>
        <v>A0069219</v>
      </c>
      <c r="D17455" s="4" t="s">
        <v>7981</v>
      </c>
      <c r="E17455" s="4" t="s">
        <v>7982</v>
      </c>
      <c r="F17455" s="4" t="s">
        <v>1084</v>
      </c>
      <c r="G17455" s="4" t="s">
        <v>81</v>
      </c>
      <c r="H17455" s="4">
        <v>33040</v>
      </c>
      <c r="I17455" s="4" t="s">
        <v>30</v>
      </c>
      <c r="J17455" s="4" t="s">
        <v>206</v>
      </c>
      <c r="K17455" s="4" t="s">
        <v>6809</v>
      </c>
      <c r="L17455" s="4"/>
      <c r="M17455" s="4"/>
      <c r="N17455" s="4" t="s">
        <v>7983</v>
      </c>
      <c r="O17455" s="4" t="s">
        <v>7973</v>
      </c>
      <c r="P17455" s="4"/>
      <c r="Q17455" s="4">
        <v>0</v>
      </c>
      <c r="R17455" s="4">
        <v>100</v>
      </c>
      <c r="S17455" s="4">
        <v>0</v>
      </c>
      <c r="T17455" s="4" t="s">
        <v>7984</v>
      </c>
      <c r="U17455" s="4"/>
      <c r="V17455" s="4"/>
      <c r="W17455" s="4"/>
      <c r="X17455" s="4"/>
      <c r="Y17455" s="4"/>
    </row>
    <row r="17456" spans="1:25" customFormat="1" x14ac:dyDescent="0.25">
      <c r="A17456" s="4" t="s">
        <v>24</v>
      </c>
      <c r="B17456" s="4" t="s">
        <v>8771</v>
      </c>
      <c r="C17456" s="4" t="str">
        <f>"A0188920"</f>
        <v>A0188920</v>
      </c>
      <c r="D17456" s="4" t="s">
        <v>8772</v>
      </c>
      <c r="E17456" s="4" t="s">
        <v>8773</v>
      </c>
      <c r="F17456" s="4" t="s">
        <v>1889</v>
      </c>
      <c r="G17456" s="4" t="s">
        <v>81</v>
      </c>
      <c r="H17456" s="4">
        <v>33137</v>
      </c>
      <c r="I17456" s="4" t="s">
        <v>30</v>
      </c>
      <c r="J17456" s="4" t="s">
        <v>206</v>
      </c>
      <c r="K17456" s="4" t="s">
        <v>8774</v>
      </c>
      <c r="L17456" s="4"/>
      <c r="M17456" s="4"/>
      <c r="N17456" s="4" t="s">
        <v>8775</v>
      </c>
      <c r="O17456" s="4"/>
      <c r="P17456" s="4"/>
      <c r="Q17456" s="4">
        <v>0</v>
      </c>
      <c r="R17456" s="4">
        <v>60</v>
      </c>
      <c r="S17456" s="4">
        <v>0</v>
      </c>
      <c r="T17456" s="4" t="s">
        <v>8776</v>
      </c>
      <c r="U17456" s="4"/>
      <c r="V17456" s="4"/>
      <c r="W17456" s="4"/>
      <c r="X17456" s="4"/>
      <c r="Y17456" s="4"/>
    </row>
    <row r="17457" spans="1:25" customFormat="1" x14ac:dyDescent="0.25">
      <c r="A17457" s="4" t="s">
        <v>24</v>
      </c>
      <c r="B17457" s="4" t="s">
        <v>8771</v>
      </c>
      <c r="C17457" s="4" t="str">
        <f>"A0188330"</f>
        <v>A0188330</v>
      </c>
      <c r="D17457" s="4" t="s">
        <v>8777</v>
      </c>
      <c r="E17457" s="4" t="s">
        <v>8778</v>
      </c>
      <c r="F17457" s="4" t="s">
        <v>1889</v>
      </c>
      <c r="G17457" s="4" t="s">
        <v>81</v>
      </c>
      <c r="H17457" s="4">
        <v>33130</v>
      </c>
      <c r="I17457" s="4" t="s">
        <v>30</v>
      </c>
      <c r="J17457" s="4" t="s">
        <v>206</v>
      </c>
      <c r="K17457" s="4" t="s">
        <v>8779</v>
      </c>
      <c r="L17457" s="4"/>
      <c r="M17457" s="4"/>
      <c r="N17457" s="4" t="s">
        <v>8780</v>
      </c>
      <c r="O17457" s="4"/>
      <c r="P17457" s="4"/>
      <c r="Q17457" s="4">
        <v>0</v>
      </c>
      <c r="R17457" s="4">
        <v>124</v>
      </c>
      <c r="S17457" s="4">
        <v>0</v>
      </c>
      <c r="T17457" s="4" t="s">
        <v>8781</v>
      </c>
      <c r="U17457" s="4"/>
      <c r="V17457" s="4"/>
      <c r="W17457" s="4"/>
      <c r="X17457" s="4"/>
      <c r="Y17457" s="4"/>
    </row>
    <row r="17458" spans="1:25" customFormat="1" x14ac:dyDescent="0.25">
      <c r="A17458" s="4" t="s">
        <v>24</v>
      </c>
      <c r="B17458" s="4" t="s">
        <v>1548</v>
      </c>
      <c r="C17458" s="4" t="str">
        <f>"A0187392"</f>
        <v>A0187392</v>
      </c>
      <c r="D17458" s="4" t="s">
        <v>9090</v>
      </c>
      <c r="E17458" s="4" t="s">
        <v>9091</v>
      </c>
      <c r="F17458" s="4" t="s">
        <v>1258</v>
      </c>
      <c r="G17458" s="4" t="s">
        <v>81</v>
      </c>
      <c r="H17458" s="4">
        <v>32118</v>
      </c>
      <c r="I17458" s="4" t="s">
        <v>30</v>
      </c>
      <c r="J17458" s="4" t="s">
        <v>206</v>
      </c>
      <c r="K17458" s="4" t="s">
        <v>163</v>
      </c>
      <c r="L17458" s="4"/>
      <c r="M17458" s="4"/>
      <c r="N17458" s="4" t="s">
        <v>9092</v>
      </c>
      <c r="O17458" s="4" t="s">
        <v>9093</v>
      </c>
      <c r="P17458" s="4"/>
      <c r="Q17458" s="4">
        <v>0</v>
      </c>
      <c r="R17458" s="4">
        <v>72</v>
      </c>
      <c r="S17458" s="4">
        <v>0</v>
      </c>
      <c r="T17458" s="4" t="s">
        <v>9094</v>
      </c>
      <c r="U17458" s="4"/>
      <c r="V17458" s="4"/>
      <c r="W17458" s="4"/>
      <c r="X17458" s="4"/>
      <c r="Y17458" s="4"/>
    </row>
    <row r="17459" spans="1:25" customFormat="1" x14ac:dyDescent="0.25">
      <c r="A17459" s="4" t="s">
        <v>24</v>
      </c>
      <c r="B17459" s="4" t="s">
        <v>8771</v>
      </c>
      <c r="C17459" s="4" t="str">
        <f>"AE135103"</f>
        <v>AE135103</v>
      </c>
      <c r="D17459" s="4" t="s">
        <v>9999</v>
      </c>
      <c r="E17459" s="4" t="s">
        <v>10000</v>
      </c>
      <c r="F17459" s="4" t="s">
        <v>1003</v>
      </c>
      <c r="G17459" s="4" t="s">
        <v>81</v>
      </c>
      <c r="H17459" s="4">
        <v>33139</v>
      </c>
      <c r="I17459" s="4" t="s">
        <v>30</v>
      </c>
      <c r="J17459" s="4" t="s">
        <v>206</v>
      </c>
      <c r="K17459" s="4" t="s">
        <v>8779</v>
      </c>
      <c r="L17459" s="4"/>
      <c r="M17459" s="4"/>
      <c r="N17459" s="4" t="s">
        <v>10001</v>
      </c>
      <c r="O17459" s="4"/>
      <c r="P17459" s="4"/>
      <c r="Q17459" s="4">
        <v>0</v>
      </c>
      <c r="R17459" s="4">
        <v>140</v>
      </c>
      <c r="S17459" s="4">
        <v>0</v>
      </c>
      <c r="T17459" s="4" t="s">
        <v>10002</v>
      </c>
      <c r="U17459" s="4"/>
      <c r="V17459" s="4"/>
      <c r="W17459" s="4"/>
      <c r="X17459" s="4"/>
      <c r="Y17459" s="4"/>
    </row>
    <row r="17460" spans="1:25" customFormat="1" x14ac:dyDescent="0.25">
      <c r="A17460" s="4" t="s">
        <v>24</v>
      </c>
      <c r="B17460" s="4" t="s">
        <v>8771</v>
      </c>
      <c r="C17460" s="4" t="str">
        <f>"A0188921"</f>
        <v>A0188921</v>
      </c>
      <c r="D17460" s="4" t="s">
        <v>10337</v>
      </c>
      <c r="E17460" s="4" t="s">
        <v>10338</v>
      </c>
      <c r="F17460" s="4" t="s">
        <v>1889</v>
      </c>
      <c r="G17460" s="4" t="s">
        <v>81</v>
      </c>
      <c r="H17460" s="4">
        <v>33130</v>
      </c>
      <c r="I17460" s="4" t="s">
        <v>30</v>
      </c>
      <c r="J17460" s="4" t="s">
        <v>206</v>
      </c>
      <c r="K17460" s="4" t="s">
        <v>8779</v>
      </c>
      <c r="L17460" s="4"/>
      <c r="M17460" s="4"/>
      <c r="N17460" s="4" t="s">
        <v>8780</v>
      </c>
      <c r="O17460" s="4" t="s">
        <v>10339</v>
      </c>
      <c r="P17460" s="4"/>
      <c r="Q17460" s="4">
        <v>0</v>
      </c>
      <c r="R17460" s="4">
        <v>69</v>
      </c>
      <c r="S17460" s="4">
        <v>0</v>
      </c>
      <c r="T17460" s="4" t="s">
        <v>10340</v>
      </c>
      <c r="U17460" s="4"/>
      <c r="V17460" s="4"/>
      <c r="W17460" s="4"/>
      <c r="X17460" s="4"/>
      <c r="Y17460" s="4"/>
    </row>
    <row r="17461" spans="1:25" customFormat="1" x14ac:dyDescent="0.25">
      <c r="A17461" s="4" t="s">
        <v>24</v>
      </c>
      <c r="B17461" s="4" t="s">
        <v>13304</v>
      </c>
      <c r="C17461" s="4" t="str">
        <f>"A0187429"</f>
        <v>A0187429</v>
      </c>
      <c r="D17461" s="4" t="s">
        <v>13309</v>
      </c>
      <c r="E17461" s="4" t="s">
        <v>13310</v>
      </c>
      <c r="F17461" s="4" t="s">
        <v>1889</v>
      </c>
      <c r="G17461" s="4" t="s">
        <v>81</v>
      </c>
      <c r="H17461" s="4">
        <v>33140</v>
      </c>
      <c r="I17461" s="4" t="s">
        <v>30</v>
      </c>
      <c r="J17461" s="4" t="s">
        <v>206</v>
      </c>
      <c r="K17461" s="4" t="s">
        <v>163</v>
      </c>
      <c r="L17461" s="4"/>
      <c r="M17461" s="4"/>
      <c r="N17461" s="4" t="s">
        <v>13307</v>
      </c>
      <c r="O17461" s="4"/>
      <c r="P17461" s="4"/>
      <c r="Q17461" s="4">
        <v>0</v>
      </c>
      <c r="R17461" s="4">
        <v>40</v>
      </c>
      <c r="S17461" s="4">
        <v>0</v>
      </c>
      <c r="T17461" s="4" t="s">
        <v>13308</v>
      </c>
      <c r="U17461" s="4"/>
      <c r="V17461" s="4"/>
      <c r="W17461" s="4"/>
      <c r="X17461" s="4"/>
      <c r="Y17461" s="4"/>
    </row>
    <row r="17462" spans="1:25" customFormat="1" x14ac:dyDescent="0.25">
      <c r="A17462" s="4" t="s">
        <v>24</v>
      </c>
      <c r="B17462" s="4" t="s">
        <v>13684</v>
      </c>
      <c r="C17462" s="4" t="str">
        <f>"A0067927"</f>
        <v>A0067927</v>
      </c>
      <c r="D17462" s="4" t="s">
        <v>13736</v>
      </c>
      <c r="E17462" s="4" t="s">
        <v>13737</v>
      </c>
      <c r="F17462" s="4" t="s">
        <v>13738</v>
      </c>
      <c r="G17462" s="4" t="s">
        <v>81</v>
      </c>
      <c r="H17462" s="4">
        <v>33050</v>
      </c>
      <c r="I17462" s="4" t="s">
        <v>30</v>
      </c>
      <c r="J17462" s="4" t="s">
        <v>206</v>
      </c>
      <c r="K17462" s="4" t="s">
        <v>163</v>
      </c>
      <c r="L17462" s="4"/>
      <c r="M17462" s="4"/>
      <c r="N17462" s="4" t="s">
        <v>13739</v>
      </c>
      <c r="O17462" s="4"/>
      <c r="P17462" s="4"/>
      <c r="Q17462" s="4">
        <v>0</v>
      </c>
      <c r="R17462" s="4">
        <v>419</v>
      </c>
      <c r="S17462" s="4">
        <v>0</v>
      </c>
      <c r="T17462" s="4" t="s">
        <v>13740</v>
      </c>
      <c r="U17462" s="4"/>
      <c r="V17462" s="4"/>
      <c r="W17462" s="4"/>
      <c r="X17462" s="4"/>
      <c r="Y17462" s="4"/>
    </row>
    <row r="17463" spans="1:25" customFormat="1" x14ac:dyDescent="0.25">
      <c r="A17463" s="4" t="s">
        <v>24</v>
      </c>
      <c r="B17463" s="4" t="s">
        <v>13684</v>
      </c>
      <c r="C17463" s="4" t="str">
        <f>"A0054133"</f>
        <v>A0054133</v>
      </c>
      <c r="D17463" s="4" t="s">
        <v>13747</v>
      </c>
      <c r="E17463" s="4" t="s">
        <v>13748</v>
      </c>
      <c r="F17463" s="4" t="s">
        <v>985</v>
      </c>
      <c r="G17463" s="4" t="s">
        <v>81</v>
      </c>
      <c r="H17463" s="4">
        <v>32836</v>
      </c>
      <c r="I17463" s="4" t="s">
        <v>30</v>
      </c>
      <c r="J17463" s="4" t="s">
        <v>206</v>
      </c>
      <c r="K17463" s="4" t="s">
        <v>163</v>
      </c>
      <c r="L17463" s="4"/>
      <c r="M17463" s="4"/>
      <c r="N17463" s="4" t="s">
        <v>13749</v>
      </c>
      <c r="O17463" s="4" t="s">
        <v>986</v>
      </c>
      <c r="P17463" s="4"/>
      <c r="Q17463" s="4">
        <v>0</v>
      </c>
      <c r="R17463" s="4">
        <v>146</v>
      </c>
      <c r="S17463" s="4">
        <v>0</v>
      </c>
      <c r="T17463" s="4" t="s">
        <v>13750</v>
      </c>
      <c r="U17463" s="4"/>
      <c r="V17463" s="4"/>
      <c r="W17463" s="4"/>
      <c r="X17463" s="4"/>
      <c r="Y17463" s="4"/>
    </row>
    <row r="17464" spans="1:25" customFormat="1" x14ac:dyDescent="0.25">
      <c r="A17464" s="4" t="s">
        <v>24</v>
      </c>
      <c r="B17464" s="4" t="s">
        <v>13684</v>
      </c>
      <c r="C17464" s="4" t="str">
        <f>"A0091571"</f>
        <v>A0091571</v>
      </c>
      <c r="D17464" s="4" t="s">
        <v>15140</v>
      </c>
      <c r="E17464" s="4" t="s">
        <v>15141</v>
      </c>
      <c r="F17464" s="4" t="s">
        <v>8970</v>
      </c>
      <c r="G17464" s="4" t="s">
        <v>81</v>
      </c>
      <c r="H17464" s="4">
        <v>32963</v>
      </c>
      <c r="I17464" s="4" t="s">
        <v>30</v>
      </c>
      <c r="J17464" s="4" t="s">
        <v>206</v>
      </c>
      <c r="K17464" s="4" t="s">
        <v>163</v>
      </c>
      <c r="L17464" s="4"/>
      <c r="M17464" s="4"/>
      <c r="N17464" s="4" t="s">
        <v>15142</v>
      </c>
      <c r="O17464" s="4" t="s">
        <v>15143</v>
      </c>
      <c r="P17464" s="4"/>
      <c r="Q17464" s="4">
        <v>0</v>
      </c>
      <c r="R17464" s="4">
        <v>94</v>
      </c>
      <c r="S17464" s="4">
        <v>0</v>
      </c>
      <c r="T17464" s="4" t="s">
        <v>15144</v>
      </c>
      <c r="U17464" s="4"/>
      <c r="V17464" s="4"/>
      <c r="W17464" s="4"/>
      <c r="X17464" s="4"/>
      <c r="Y17464" s="4"/>
    </row>
    <row r="17465" spans="1:25" customFormat="1" x14ac:dyDescent="0.25">
      <c r="A17465" s="4" t="s">
        <v>24</v>
      </c>
      <c r="B17465" s="4" t="s">
        <v>13304</v>
      </c>
      <c r="C17465" s="4" t="str">
        <f>"A0100226"</f>
        <v>A0100226</v>
      </c>
      <c r="D17465" s="4" t="s">
        <v>33894</v>
      </c>
      <c r="E17465" s="4" t="s">
        <v>13306</v>
      </c>
      <c r="F17465" s="4" t="s">
        <v>1889</v>
      </c>
      <c r="G17465" s="4" t="s">
        <v>81</v>
      </c>
      <c r="H17465" s="4">
        <v>33140</v>
      </c>
      <c r="I17465" s="4" t="s">
        <v>30</v>
      </c>
      <c r="J17465" s="4" t="s">
        <v>206</v>
      </c>
      <c r="K17465" s="4" t="s">
        <v>163</v>
      </c>
      <c r="L17465" s="4"/>
      <c r="M17465" s="4"/>
      <c r="N17465" s="4" t="s">
        <v>13307</v>
      </c>
      <c r="O17465" s="4" t="s">
        <v>33895</v>
      </c>
      <c r="P17465" s="4"/>
      <c r="Q17465" s="4">
        <v>0</v>
      </c>
      <c r="R17465" s="4">
        <v>165</v>
      </c>
      <c r="S17465" s="4">
        <v>0</v>
      </c>
      <c r="T17465" s="4" t="s">
        <v>33896</v>
      </c>
      <c r="U17465" s="4"/>
      <c r="V17465" s="4"/>
      <c r="W17465" s="4"/>
      <c r="X17465" s="4"/>
      <c r="Y17465" s="4"/>
    </row>
    <row r="17466" spans="1:25" customFormat="1" x14ac:dyDescent="0.25">
      <c r="A17466" s="4" t="s">
        <v>24</v>
      </c>
      <c r="B17466" s="4" t="s">
        <v>675</v>
      </c>
      <c r="C17466" s="4" t="str">
        <f>"A0178634"</f>
        <v>A0178634</v>
      </c>
      <c r="D17466" s="4" t="s">
        <v>34060</v>
      </c>
      <c r="E17466" s="4" t="s">
        <v>34061</v>
      </c>
      <c r="F17466" s="4" t="s">
        <v>8946</v>
      </c>
      <c r="G17466" s="4" t="s">
        <v>81</v>
      </c>
      <c r="H17466" s="4">
        <v>32830</v>
      </c>
      <c r="I17466" s="4" t="s">
        <v>30</v>
      </c>
      <c r="J17466" s="4" t="s">
        <v>206</v>
      </c>
      <c r="K17466" s="4" t="s">
        <v>6459</v>
      </c>
      <c r="L17466" s="4"/>
      <c r="M17466" s="4"/>
      <c r="N17466" s="4"/>
      <c r="O17466" s="4"/>
      <c r="P17466" s="4"/>
      <c r="Q17466" s="4">
        <v>0</v>
      </c>
      <c r="R17466" s="4">
        <v>335</v>
      </c>
      <c r="S17466" s="4">
        <v>0</v>
      </c>
      <c r="T17466" s="4" t="s">
        <v>192</v>
      </c>
      <c r="U17466" s="4"/>
      <c r="V17466" s="4"/>
      <c r="W17466" s="4"/>
      <c r="X17466" s="4"/>
      <c r="Y17466" s="4"/>
    </row>
    <row r="17467" spans="1:25" customFormat="1" x14ac:dyDescent="0.25">
      <c r="A17467" s="4" t="s">
        <v>24</v>
      </c>
      <c r="B17467" s="4" t="s">
        <v>13513</v>
      </c>
      <c r="C17467" s="4" t="str">
        <f>"A0061562"</f>
        <v>A0061562</v>
      </c>
      <c r="D17467" s="4" t="s">
        <v>34471</v>
      </c>
      <c r="E17467" s="4" t="s">
        <v>34472</v>
      </c>
      <c r="F17467" s="4" t="s">
        <v>6972</v>
      </c>
      <c r="G17467" s="4" t="s">
        <v>81</v>
      </c>
      <c r="H17467" s="4">
        <v>33432</v>
      </c>
      <c r="I17467" s="4" t="s">
        <v>30</v>
      </c>
      <c r="J17467" s="4" t="s">
        <v>206</v>
      </c>
      <c r="K17467" s="4" t="s">
        <v>163</v>
      </c>
      <c r="L17467" s="4"/>
      <c r="M17467" s="4"/>
      <c r="N17467" s="4" t="s">
        <v>34473</v>
      </c>
      <c r="O17467" s="4" t="s">
        <v>34474</v>
      </c>
      <c r="P17467" s="4"/>
      <c r="Q17467" s="4">
        <v>2</v>
      </c>
      <c r="R17467" s="4">
        <v>1047</v>
      </c>
      <c r="S17467" s="4">
        <v>0</v>
      </c>
      <c r="T17467" s="4" t="s">
        <v>34475</v>
      </c>
      <c r="U17467" s="4"/>
      <c r="V17467" s="4"/>
      <c r="W17467" s="4"/>
      <c r="X17467" s="4"/>
      <c r="Y17467" s="4"/>
    </row>
    <row r="17468" spans="1:25" customFormat="1" x14ac:dyDescent="0.25">
      <c r="A17468" s="4" t="s">
        <v>24</v>
      </c>
      <c r="B17468" s="4" t="s">
        <v>814</v>
      </c>
      <c r="C17468" s="4" t="str">
        <f>"9673H"</f>
        <v>9673H</v>
      </c>
      <c r="D17468" s="4" t="s">
        <v>53512</v>
      </c>
      <c r="E17468" s="4" t="s">
        <v>53513</v>
      </c>
      <c r="F17468" s="4" t="s">
        <v>1003</v>
      </c>
      <c r="G17468" s="4" t="s">
        <v>81</v>
      </c>
      <c r="H17468" s="4">
        <v>33140</v>
      </c>
      <c r="I17468" s="4" t="s">
        <v>30</v>
      </c>
      <c r="J17468" s="4" t="s">
        <v>206</v>
      </c>
      <c r="K17468" s="4" t="s">
        <v>163</v>
      </c>
      <c r="L17468" s="4"/>
      <c r="M17468" s="4"/>
      <c r="N17468" s="4" t="s">
        <v>53514</v>
      </c>
      <c r="O17468" s="4"/>
      <c r="P17468" s="4"/>
      <c r="Q17468" s="4">
        <v>0</v>
      </c>
      <c r="R17468" s="4">
        <v>349</v>
      </c>
      <c r="S17468" s="4">
        <v>0</v>
      </c>
      <c r="T17468" s="4" t="s">
        <v>53515</v>
      </c>
      <c r="U17468" s="4"/>
      <c r="V17468" s="4"/>
      <c r="W17468" s="4"/>
      <c r="X17468" s="4"/>
      <c r="Y17468" s="4"/>
    </row>
    <row r="17469" spans="1:25" customFormat="1" x14ac:dyDescent="0.25">
      <c r="A17469" s="4" t="s">
        <v>24</v>
      </c>
      <c r="B17469" s="4" t="s">
        <v>2238</v>
      </c>
      <c r="C17469" s="4" t="str">
        <f>"A0063568"</f>
        <v>A0063568</v>
      </c>
      <c r="D17469" s="4" t="s">
        <v>54068</v>
      </c>
      <c r="E17469" s="4" t="s">
        <v>54069</v>
      </c>
      <c r="F17469" s="4" t="s">
        <v>10379</v>
      </c>
      <c r="G17469" s="4" t="s">
        <v>81</v>
      </c>
      <c r="H17469" s="4">
        <v>34108</v>
      </c>
      <c r="I17469" s="4" t="s">
        <v>30</v>
      </c>
      <c r="J17469" s="4" t="s">
        <v>206</v>
      </c>
      <c r="K17469" s="4" t="s">
        <v>163</v>
      </c>
      <c r="L17469" s="4"/>
      <c r="M17469" s="4"/>
      <c r="N17469" s="4" t="s">
        <v>54070</v>
      </c>
      <c r="O17469" s="4" t="s">
        <v>54071</v>
      </c>
      <c r="P17469" s="4"/>
      <c r="Q17469" s="4">
        <v>0</v>
      </c>
      <c r="R17469" s="4">
        <v>189</v>
      </c>
      <c r="S17469" s="4">
        <v>0</v>
      </c>
      <c r="T17469" s="4" t="s">
        <v>54072</v>
      </c>
      <c r="U17469" s="4"/>
      <c r="V17469" s="4"/>
      <c r="W17469" s="4"/>
      <c r="X17469" s="4"/>
      <c r="Y17469" s="4"/>
    </row>
    <row r="17470" spans="1:25" customFormat="1" x14ac:dyDescent="0.25">
      <c r="A17470" s="4" t="s">
        <v>24</v>
      </c>
      <c r="B17470" s="4" t="s">
        <v>5104</v>
      </c>
      <c r="C17470" s="4" t="str">
        <f>"A0098830"</f>
        <v>A0098830</v>
      </c>
      <c r="D17470" s="4" t="s">
        <v>54151</v>
      </c>
      <c r="E17470" s="4" t="s">
        <v>54152</v>
      </c>
      <c r="F17470" s="4" t="s">
        <v>1570</v>
      </c>
      <c r="G17470" s="4" t="s">
        <v>81</v>
      </c>
      <c r="H17470" s="4">
        <v>33304</v>
      </c>
      <c r="I17470" s="4" t="s">
        <v>30</v>
      </c>
      <c r="J17470" s="4" t="s">
        <v>206</v>
      </c>
      <c r="K17470" s="4" t="s">
        <v>5707</v>
      </c>
      <c r="L17470" s="4"/>
      <c r="M17470" s="4"/>
      <c r="N17470" s="4" t="s">
        <v>54153</v>
      </c>
      <c r="O17470" s="4" t="s">
        <v>54154</v>
      </c>
      <c r="P17470" s="4"/>
      <c r="Q17470" s="4">
        <v>0</v>
      </c>
      <c r="R17470" s="4">
        <v>141</v>
      </c>
      <c r="S17470" s="4">
        <v>0</v>
      </c>
      <c r="T17470" s="4" t="s">
        <v>54155</v>
      </c>
      <c r="U17470" s="4"/>
      <c r="V17470" s="4"/>
      <c r="W17470" s="4"/>
      <c r="X17470" s="4"/>
      <c r="Y17470" s="4"/>
    </row>
    <row r="17471" spans="1:25" customFormat="1" x14ac:dyDescent="0.25">
      <c r="A17471" s="4" t="s">
        <v>24</v>
      </c>
      <c r="B17471" s="4" t="s">
        <v>814</v>
      </c>
      <c r="C17471" s="4" t="str">
        <f>"A0096224"</f>
        <v>A0096224</v>
      </c>
      <c r="D17471" s="4" t="s">
        <v>56409</v>
      </c>
      <c r="E17471" s="4" t="s">
        <v>56410</v>
      </c>
      <c r="F17471" s="4" t="s">
        <v>56411</v>
      </c>
      <c r="G17471" s="4" t="s">
        <v>81</v>
      </c>
      <c r="H17471" s="4">
        <v>33037</v>
      </c>
      <c r="I17471" s="4" t="s">
        <v>30</v>
      </c>
      <c r="J17471" s="4" t="s">
        <v>206</v>
      </c>
      <c r="K17471" s="4" t="s">
        <v>5707</v>
      </c>
      <c r="L17471" s="4"/>
      <c r="M17471" s="4"/>
      <c r="N17471" s="4" t="s">
        <v>56412</v>
      </c>
      <c r="O17471" s="4"/>
      <c r="P17471" s="4"/>
      <c r="Q17471" s="4">
        <v>0</v>
      </c>
      <c r="R17471" s="4">
        <v>200</v>
      </c>
      <c r="S17471" s="4">
        <v>0</v>
      </c>
      <c r="T17471" s="4" t="s">
        <v>56413</v>
      </c>
      <c r="U17471" s="4"/>
      <c r="V17471" s="4"/>
      <c r="W17471" s="4"/>
      <c r="X17471" s="4"/>
      <c r="Y17471" s="4"/>
    </row>
    <row r="17472" spans="1:25" customFormat="1" x14ac:dyDescent="0.25">
      <c r="A17472" s="4" t="s">
        <v>24</v>
      </c>
      <c r="B17472" s="4" t="s">
        <v>1020</v>
      </c>
      <c r="C17472" s="4" t="str">
        <f>"A0068099"</f>
        <v>A0068099</v>
      </c>
      <c r="D17472" s="4" t="s">
        <v>57467</v>
      </c>
      <c r="E17472" s="4" t="s">
        <v>57468</v>
      </c>
      <c r="F17472" s="4" t="s">
        <v>1003</v>
      </c>
      <c r="G17472" s="4" t="s">
        <v>81</v>
      </c>
      <c r="H17472" s="4">
        <v>33140</v>
      </c>
      <c r="I17472" s="4" t="s">
        <v>30</v>
      </c>
      <c r="J17472" s="4" t="s">
        <v>206</v>
      </c>
      <c r="K17472" s="4" t="s">
        <v>6459</v>
      </c>
      <c r="L17472" s="4"/>
      <c r="M17472" s="4"/>
      <c r="N17472" s="4" t="s">
        <v>57469</v>
      </c>
      <c r="O17472" s="4"/>
      <c r="P17472" s="4"/>
      <c r="Q17472" s="4">
        <v>0</v>
      </c>
      <c r="R17472" s="4">
        <v>356</v>
      </c>
      <c r="S17472" s="4">
        <v>0</v>
      </c>
      <c r="T17472" s="4" t="s">
        <v>57470</v>
      </c>
      <c r="U17472" s="4"/>
      <c r="V17472" s="4"/>
      <c r="W17472" s="4"/>
      <c r="X17472" s="4"/>
      <c r="Y17472" s="4"/>
    </row>
    <row r="17473" spans="1:25" customFormat="1" x14ac:dyDescent="0.25">
      <c r="A17473" s="4" t="s">
        <v>24</v>
      </c>
      <c r="B17473" s="4" t="s">
        <v>4400</v>
      </c>
      <c r="C17473" s="4" t="str">
        <f>"A0090535"</f>
        <v>A0090535</v>
      </c>
      <c r="D17473" s="4" t="s">
        <v>72421</v>
      </c>
      <c r="E17473" s="4" t="s">
        <v>72422</v>
      </c>
      <c r="F17473" s="4" t="s">
        <v>2564</v>
      </c>
      <c r="G17473" s="4" t="s">
        <v>81</v>
      </c>
      <c r="H17473" s="4">
        <v>32301</v>
      </c>
      <c r="I17473" s="4" t="s">
        <v>30</v>
      </c>
      <c r="J17473" s="4" t="s">
        <v>206</v>
      </c>
      <c r="K17473" s="4" t="s">
        <v>6459</v>
      </c>
      <c r="L17473" s="4"/>
      <c r="M17473" s="4"/>
      <c r="N17473" s="4" t="s">
        <v>72423</v>
      </c>
      <c r="O17473" s="4"/>
      <c r="P17473" s="4"/>
      <c r="Q17473" s="4">
        <v>0</v>
      </c>
      <c r="R17473" s="4">
        <v>117</v>
      </c>
      <c r="S17473" s="4">
        <v>0</v>
      </c>
      <c r="T17473" s="4" t="s">
        <v>72424</v>
      </c>
      <c r="U17473" s="4"/>
      <c r="V17473" s="4"/>
      <c r="W17473" s="4"/>
      <c r="X17473" s="4"/>
      <c r="Y17473" s="4"/>
    </row>
    <row r="17474" spans="1:25" customFormat="1" x14ac:dyDescent="0.25">
      <c r="A17474" s="4" t="s">
        <v>24</v>
      </c>
      <c r="B17474" s="4" t="s">
        <v>10087</v>
      </c>
      <c r="C17474" s="4" t="str">
        <f>"A0065022"</f>
        <v>A0065022</v>
      </c>
      <c r="D17474" s="4" t="s">
        <v>75413</v>
      </c>
      <c r="E17474" s="4" t="s">
        <v>75414</v>
      </c>
      <c r="F17474" s="4" t="s">
        <v>1889</v>
      </c>
      <c r="G17474" s="4" t="s">
        <v>81</v>
      </c>
      <c r="H17474" s="4">
        <v>33131</v>
      </c>
      <c r="I17474" s="4" t="s">
        <v>30</v>
      </c>
      <c r="J17474" s="4" t="s">
        <v>206</v>
      </c>
      <c r="K17474" s="4" t="s">
        <v>10093</v>
      </c>
      <c r="L17474" s="4"/>
      <c r="M17474" s="4"/>
      <c r="N17474" s="4" t="s">
        <v>75415</v>
      </c>
      <c r="O17474" s="4" t="s">
        <v>75416</v>
      </c>
      <c r="P17474" s="4"/>
      <c r="Q17474" s="4">
        <v>0</v>
      </c>
      <c r="R17474" s="4">
        <v>329</v>
      </c>
      <c r="S17474" s="4">
        <v>0</v>
      </c>
      <c r="T17474" s="4" t="s">
        <v>75417</v>
      </c>
      <c r="U17474" s="4"/>
      <c r="V17474" s="4"/>
      <c r="W17474" s="4"/>
      <c r="X17474" s="4"/>
      <c r="Y17474" s="4"/>
    </row>
    <row r="17475" spans="1:25" customFormat="1" x14ac:dyDescent="0.25">
      <c r="A17475" s="4" t="s">
        <v>24</v>
      </c>
      <c r="B17475" s="4" t="s">
        <v>1548</v>
      </c>
      <c r="C17475" s="4" t="str">
        <f>"A0054434"</f>
        <v>A0054434</v>
      </c>
      <c r="D17475" s="4" t="s">
        <v>76167</v>
      </c>
      <c r="E17475" s="4" t="s">
        <v>76168</v>
      </c>
      <c r="F17475" s="4" t="s">
        <v>76169</v>
      </c>
      <c r="G17475" s="4" t="s">
        <v>81</v>
      </c>
      <c r="H17475" s="4">
        <v>33133</v>
      </c>
      <c r="I17475" s="4" t="s">
        <v>30</v>
      </c>
      <c r="J17475" s="4" t="s">
        <v>206</v>
      </c>
      <c r="K17475" s="4" t="s">
        <v>163</v>
      </c>
      <c r="L17475" s="4"/>
      <c r="M17475" s="4"/>
      <c r="N17475" s="4" t="s">
        <v>76170</v>
      </c>
      <c r="O17475" s="4"/>
      <c r="P17475" s="4"/>
      <c r="Q17475" s="4">
        <v>0</v>
      </c>
      <c r="R17475" s="4">
        <v>179</v>
      </c>
      <c r="S17475" s="4">
        <v>0</v>
      </c>
      <c r="T17475" s="4" t="s">
        <v>76171</v>
      </c>
      <c r="U17475" s="4"/>
      <c r="V17475" s="4"/>
      <c r="W17475" s="4"/>
      <c r="X17475" s="4"/>
      <c r="Y17475" s="4"/>
    </row>
    <row r="17476" spans="1:25" customFormat="1" x14ac:dyDescent="0.25">
      <c r="A17476" s="4" t="s">
        <v>24</v>
      </c>
      <c r="B17476" s="4" t="s">
        <v>76595</v>
      </c>
      <c r="C17476" s="4" t="str">
        <f>"A0148502"</f>
        <v>A0148502</v>
      </c>
      <c r="D17476" s="4" t="s">
        <v>76596</v>
      </c>
      <c r="E17476" s="4" t="s">
        <v>76597</v>
      </c>
      <c r="F17476" s="4" t="s">
        <v>1889</v>
      </c>
      <c r="G17476" s="4" t="s">
        <v>81</v>
      </c>
      <c r="H17476" s="4">
        <v>33133</v>
      </c>
      <c r="I17476" s="4" t="s">
        <v>30</v>
      </c>
      <c r="J17476" s="4" t="s">
        <v>206</v>
      </c>
      <c r="K17476" s="4" t="s">
        <v>163</v>
      </c>
      <c r="L17476" s="4"/>
      <c r="M17476" s="4"/>
      <c r="N17476" s="4" t="s">
        <v>76598</v>
      </c>
      <c r="O17476" s="4" t="s">
        <v>76599</v>
      </c>
      <c r="P17476" s="4"/>
      <c r="Q17476" s="4">
        <v>0</v>
      </c>
      <c r="R17476" s="4">
        <v>100</v>
      </c>
      <c r="S17476" s="4">
        <v>0</v>
      </c>
      <c r="T17476" s="4" t="s">
        <v>76600</v>
      </c>
      <c r="U17476" s="4"/>
      <c r="V17476" s="4"/>
      <c r="W17476" s="4"/>
      <c r="X17476" s="4"/>
      <c r="Y17476" s="4"/>
    </row>
    <row r="17477" spans="1:25" customFormat="1" x14ac:dyDescent="0.25">
      <c r="A17477" s="4" t="s">
        <v>24</v>
      </c>
      <c r="B17477" s="4" t="s">
        <v>57765</v>
      </c>
      <c r="C17477" s="4" t="str">
        <f>"A0054389"</f>
        <v>A0054389</v>
      </c>
      <c r="D17477" s="4" t="s">
        <v>76976</v>
      </c>
      <c r="E17477" s="4" t="s">
        <v>76977</v>
      </c>
      <c r="F17477" s="4" t="s">
        <v>76978</v>
      </c>
      <c r="G17477" s="4" t="s">
        <v>81</v>
      </c>
      <c r="H17477" s="4">
        <v>33037</v>
      </c>
      <c r="I17477" s="4" t="s">
        <v>30</v>
      </c>
      <c r="J17477" s="4" t="s">
        <v>206</v>
      </c>
      <c r="K17477" s="4" t="s">
        <v>163</v>
      </c>
      <c r="L17477" s="4"/>
      <c r="M17477" s="4"/>
      <c r="N17477" s="4" t="s">
        <v>76979</v>
      </c>
      <c r="O17477" s="4"/>
      <c r="P17477" s="4" t="s">
        <v>992</v>
      </c>
      <c r="Q17477" s="4">
        <v>2</v>
      </c>
      <c r="R17477" s="4">
        <v>353</v>
      </c>
      <c r="S17477" s="4">
        <v>0</v>
      </c>
      <c r="T17477" s="4" t="s">
        <v>76980</v>
      </c>
      <c r="U17477" s="4"/>
      <c r="V17477" s="4"/>
      <c r="W17477" s="4"/>
      <c r="X17477" s="4"/>
      <c r="Y17477" s="4"/>
    </row>
    <row r="17478" spans="1:25" customFormat="1" ht="15" hidden="1" x14ac:dyDescent="0.25">
      <c r="A17478" t="s">
        <v>24</v>
      </c>
      <c r="B17478" t="s">
        <v>63140</v>
      </c>
      <c r="C17478" t="str">
        <f>"A0095159"</f>
        <v>A0095159</v>
      </c>
      <c r="D17478" t="s">
        <v>63141</v>
      </c>
      <c r="E17478" t="s">
        <v>63142</v>
      </c>
      <c r="F17478" t="s">
        <v>58985</v>
      </c>
      <c r="G17478" t="s">
        <v>38009</v>
      </c>
      <c r="H17478" t="s">
        <v>63143</v>
      </c>
      <c r="I17478" t="s">
        <v>1459</v>
      </c>
      <c r="J17478" t="s">
        <v>162</v>
      </c>
      <c r="K17478" t="s">
        <v>759</v>
      </c>
      <c r="N17478" t="s">
        <v>63144</v>
      </c>
      <c r="O17478" t="s">
        <v>63145</v>
      </c>
      <c r="Q17478">
        <v>0</v>
      </c>
      <c r="R17478">
        <v>235</v>
      </c>
      <c r="S17478">
        <v>0</v>
      </c>
      <c r="T17478" t="s">
        <v>63146</v>
      </c>
    </row>
    <row r="17479" spans="1:25" customFormat="1" x14ac:dyDescent="0.25">
      <c r="A17479" s="4" t="s">
        <v>24</v>
      </c>
      <c r="B17479" s="4" t="s">
        <v>2221</v>
      </c>
      <c r="C17479" s="4" t="str">
        <f>"A0061136"</f>
        <v>A0061136</v>
      </c>
      <c r="D17479" s="4" t="s">
        <v>77043</v>
      </c>
      <c r="E17479" s="4" t="s">
        <v>77044</v>
      </c>
      <c r="F17479" s="4" t="s">
        <v>23017</v>
      </c>
      <c r="G17479" s="4" t="s">
        <v>81</v>
      </c>
      <c r="H17479" s="4">
        <v>32233</v>
      </c>
      <c r="I17479" s="4" t="s">
        <v>30</v>
      </c>
      <c r="J17479" s="4" t="s">
        <v>206</v>
      </c>
      <c r="K17479" s="4" t="s">
        <v>163</v>
      </c>
      <c r="L17479" s="4"/>
      <c r="M17479" s="4"/>
      <c r="N17479" s="4" t="s">
        <v>77045</v>
      </c>
      <c r="O17479" s="4"/>
      <c r="P17479" s="4"/>
      <c r="Q17479" s="4">
        <v>0</v>
      </c>
      <c r="R17479" s="4">
        <v>193</v>
      </c>
      <c r="S17479" s="4">
        <v>0</v>
      </c>
      <c r="T17479" s="4" t="s">
        <v>77046</v>
      </c>
      <c r="U17479" s="4"/>
      <c r="V17479" s="4"/>
      <c r="W17479" s="4"/>
      <c r="X17479" s="4"/>
      <c r="Y17479" s="4"/>
    </row>
    <row r="17480" spans="1:25" customFormat="1" x14ac:dyDescent="0.25">
      <c r="A17480" s="4" t="s">
        <v>24</v>
      </c>
      <c r="B17480" s="4" t="s">
        <v>1098</v>
      </c>
      <c r="C17480" s="4" t="str">
        <f>"A0099262"</f>
        <v>A0099262</v>
      </c>
      <c r="D17480" s="4" t="s">
        <v>77121</v>
      </c>
      <c r="E17480" s="4" t="s">
        <v>77122</v>
      </c>
      <c r="F17480" s="4" t="s">
        <v>709</v>
      </c>
      <c r="G17480" s="4" t="s">
        <v>81</v>
      </c>
      <c r="H17480" s="4">
        <v>34234</v>
      </c>
      <c r="I17480" s="4" t="s">
        <v>30</v>
      </c>
      <c r="J17480" s="4" t="s">
        <v>206</v>
      </c>
      <c r="K17480" s="4" t="s">
        <v>6459</v>
      </c>
      <c r="L17480" s="4"/>
      <c r="M17480" s="4"/>
      <c r="N17480" s="4" t="s">
        <v>77123</v>
      </c>
      <c r="O17480" s="4" t="s">
        <v>77124</v>
      </c>
      <c r="P17480" s="4"/>
      <c r="Q17480" s="4">
        <v>0</v>
      </c>
      <c r="R17480" s="4">
        <v>164</v>
      </c>
      <c r="S17480" s="4">
        <v>0</v>
      </c>
      <c r="T17480" s="4" t="s">
        <v>77125</v>
      </c>
      <c r="U17480" s="4"/>
      <c r="V17480" s="4"/>
      <c r="W17480" s="4"/>
      <c r="X17480" s="4"/>
      <c r="Y17480" s="4"/>
    </row>
    <row r="17481" spans="1:25" customFormat="1" ht="15" hidden="1" x14ac:dyDescent="0.25">
      <c r="A17481" t="s">
        <v>24</v>
      </c>
      <c r="B17481" t="s">
        <v>63140</v>
      </c>
      <c r="C17481" t="str">
        <f>"A0068306"</f>
        <v>A0068306</v>
      </c>
      <c r="D17481" t="s">
        <v>63157</v>
      </c>
      <c r="E17481" t="s">
        <v>63158</v>
      </c>
      <c r="F17481" t="s">
        <v>59059</v>
      </c>
      <c r="G17481" t="s">
        <v>1457</v>
      </c>
      <c r="H17481" t="s">
        <v>63159</v>
      </c>
      <c r="I17481" t="s">
        <v>1459</v>
      </c>
      <c r="J17481" t="s">
        <v>162</v>
      </c>
      <c r="K17481" t="s">
        <v>759</v>
      </c>
      <c r="Q17481">
        <v>0</v>
      </c>
      <c r="R17481">
        <v>238</v>
      </c>
      <c r="S17481">
        <v>0</v>
      </c>
      <c r="T17481" t="s">
        <v>63160</v>
      </c>
    </row>
    <row r="17482" spans="1:25" customFormat="1" x14ac:dyDescent="0.25">
      <c r="A17482" s="4" t="s">
        <v>24</v>
      </c>
      <c r="B17482" s="4" t="s">
        <v>1098</v>
      </c>
      <c r="C17482" s="4" t="str">
        <f>"A0094432"</f>
        <v>A0094432</v>
      </c>
      <c r="D17482" s="4" t="s">
        <v>77456</v>
      </c>
      <c r="E17482" s="4" t="s">
        <v>77457</v>
      </c>
      <c r="F17482" s="4" t="s">
        <v>56411</v>
      </c>
      <c r="G17482" s="4" t="s">
        <v>81</v>
      </c>
      <c r="H17482" s="4">
        <v>33037</v>
      </c>
      <c r="I17482" s="4" t="s">
        <v>30</v>
      </c>
      <c r="J17482" s="4" t="s">
        <v>206</v>
      </c>
      <c r="K17482" s="4" t="s">
        <v>6459</v>
      </c>
      <c r="L17482" s="4"/>
      <c r="M17482" s="4"/>
      <c r="N17482" s="4" t="s">
        <v>77458</v>
      </c>
      <c r="O17482" s="4"/>
      <c r="P17482" s="4"/>
      <c r="Q17482" s="4">
        <v>0</v>
      </c>
      <c r="R17482" s="4">
        <v>144</v>
      </c>
      <c r="S17482" s="4">
        <v>0</v>
      </c>
      <c r="T17482" s="4" t="s">
        <v>77459</v>
      </c>
      <c r="U17482" s="4"/>
      <c r="V17482" s="4"/>
      <c r="W17482" s="4"/>
      <c r="X17482" s="4"/>
      <c r="Y17482" s="4"/>
    </row>
    <row r="17483" spans="1:25" customFormat="1" x14ac:dyDescent="0.25">
      <c r="A17483" s="4" t="s">
        <v>24</v>
      </c>
      <c r="B17483" s="4" t="s">
        <v>80426</v>
      </c>
      <c r="C17483" s="4" t="str">
        <f>"A0066523"</f>
        <v>A0066523</v>
      </c>
      <c r="D17483" s="4" t="s">
        <v>80427</v>
      </c>
      <c r="E17483" s="4" t="s">
        <v>80428</v>
      </c>
      <c r="F17483" s="4" t="s">
        <v>80429</v>
      </c>
      <c r="G17483" s="4" t="s">
        <v>81</v>
      </c>
      <c r="H17483" s="4">
        <v>33543</v>
      </c>
      <c r="I17483" s="4" t="s">
        <v>30</v>
      </c>
      <c r="J17483" s="4" t="s">
        <v>206</v>
      </c>
      <c r="K17483" s="4" t="s">
        <v>163</v>
      </c>
      <c r="L17483" s="4"/>
      <c r="M17483" s="4"/>
      <c r="N17483" s="4" t="s">
        <v>80430</v>
      </c>
      <c r="O17483" s="4" t="s">
        <v>80431</v>
      </c>
      <c r="P17483" s="4"/>
      <c r="Q17483" s="4">
        <v>2</v>
      </c>
      <c r="R17483" s="4">
        <v>800</v>
      </c>
      <c r="S17483" s="4">
        <v>0</v>
      </c>
      <c r="T17483" s="4" t="s">
        <v>80432</v>
      </c>
      <c r="U17483" s="4"/>
      <c r="V17483" s="4"/>
      <c r="W17483" s="4"/>
      <c r="X17483" s="4"/>
      <c r="Y17483" s="4"/>
    </row>
    <row r="17484" spans="1:25" customFormat="1" x14ac:dyDescent="0.25">
      <c r="A17484" s="4" t="s">
        <v>24</v>
      </c>
      <c r="B17484" s="4" t="s">
        <v>81084</v>
      </c>
      <c r="C17484" s="4" t="str">
        <f>"A0058107"</f>
        <v>A0058107</v>
      </c>
      <c r="D17484" s="4" t="s">
        <v>81085</v>
      </c>
      <c r="E17484" s="4" t="s">
        <v>81086</v>
      </c>
      <c r="F17484" s="4" t="s">
        <v>7699</v>
      </c>
      <c r="G17484" s="4" t="s">
        <v>81</v>
      </c>
      <c r="H17484" s="4">
        <v>33767</v>
      </c>
      <c r="I17484" s="4" t="s">
        <v>30</v>
      </c>
      <c r="J17484" s="4" t="s">
        <v>206</v>
      </c>
      <c r="K17484" s="4" t="s">
        <v>1502</v>
      </c>
      <c r="L17484" s="4"/>
      <c r="M17484" s="4"/>
      <c r="N17484" s="4" t="s">
        <v>81087</v>
      </c>
      <c r="O17484" s="4"/>
      <c r="P17484" s="4"/>
      <c r="Q17484" s="4">
        <v>0</v>
      </c>
      <c r="R17484" s="4">
        <v>390</v>
      </c>
      <c r="S17484" s="4">
        <v>0</v>
      </c>
      <c r="T17484" s="4" t="s">
        <v>81088</v>
      </c>
      <c r="U17484" s="4"/>
      <c r="V17484" s="4"/>
      <c r="W17484" s="4"/>
      <c r="X17484" s="4"/>
      <c r="Y17484" s="4"/>
    </row>
    <row r="17485" spans="1:25" customFormat="1" x14ac:dyDescent="0.25">
      <c r="A17485" s="4" t="s">
        <v>24</v>
      </c>
      <c r="B17485" s="4" t="s">
        <v>2373</v>
      </c>
      <c r="C17485" s="4" t="str">
        <f>"A0054154"</f>
        <v>A0054154</v>
      </c>
      <c r="D17485" s="4" t="s">
        <v>81276</v>
      </c>
      <c r="E17485" s="4" t="s">
        <v>81277</v>
      </c>
      <c r="F17485" s="4" t="s">
        <v>81278</v>
      </c>
      <c r="G17485" s="4" t="s">
        <v>81</v>
      </c>
      <c r="H17485" s="4">
        <v>33706</v>
      </c>
      <c r="I17485" s="4" t="s">
        <v>30</v>
      </c>
      <c r="J17485" s="4" t="s">
        <v>206</v>
      </c>
      <c r="K17485" s="4" t="s">
        <v>163</v>
      </c>
      <c r="L17485" s="4"/>
      <c r="M17485" s="4"/>
      <c r="N17485" s="4" t="s">
        <v>81279</v>
      </c>
      <c r="O17485" s="4" t="s">
        <v>81280</v>
      </c>
      <c r="P17485" s="4"/>
      <c r="Q17485" s="4">
        <v>0</v>
      </c>
      <c r="R17485" s="4">
        <v>382</v>
      </c>
      <c r="S17485" s="4">
        <v>0</v>
      </c>
      <c r="T17485" s="4" t="s">
        <v>81281</v>
      </c>
      <c r="U17485" s="4"/>
      <c r="V17485" s="4"/>
      <c r="W17485" s="4"/>
      <c r="X17485" s="4"/>
      <c r="Y17485" s="4"/>
    </row>
    <row r="17486" spans="1:25" customFormat="1" x14ac:dyDescent="0.25">
      <c r="A17486" s="4" t="s">
        <v>24</v>
      </c>
      <c r="B17486" s="4" t="s">
        <v>83836</v>
      </c>
      <c r="C17486" s="4" t="str">
        <f>"A0087815"</f>
        <v>A0087815</v>
      </c>
      <c r="D17486" s="4" t="s">
        <v>83837</v>
      </c>
      <c r="E17486" s="4" t="s">
        <v>83838</v>
      </c>
      <c r="F17486" s="4" t="s">
        <v>77409</v>
      </c>
      <c r="G17486" s="4" t="s">
        <v>81</v>
      </c>
      <c r="H17486" s="4">
        <v>33304</v>
      </c>
      <c r="I17486" s="4" t="s">
        <v>30</v>
      </c>
      <c r="J17486" s="4" t="s">
        <v>206</v>
      </c>
      <c r="K17486" s="4" t="s">
        <v>163</v>
      </c>
      <c r="L17486" s="4"/>
      <c r="M17486" s="4"/>
      <c r="N17486" s="4" t="s">
        <v>83839</v>
      </c>
      <c r="O17486" s="4" t="s">
        <v>83840</v>
      </c>
      <c r="P17486" s="4"/>
      <c r="Q17486" s="4">
        <v>0</v>
      </c>
      <c r="R17486" s="4">
        <v>124</v>
      </c>
      <c r="S17486" s="4">
        <v>0</v>
      </c>
      <c r="T17486" s="4" t="s">
        <v>83841</v>
      </c>
      <c r="U17486" s="4"/>
      <c r="V17486" s="4"/>
      <c r="W17486" s="4"/>
      <c r="X17486" s="4"/>
      <c r="Y17486" s="4"/>
    </row>
    <row r="17487" spans="1:25" customFormat="1" ht="15" hidden="1" x14ac:dyDescent="0.25">
      <c r="A17487" t="s">
        <v>24</v>
      </c>
      <c r="B17487" t="s">
        <v>58099</v>
      </c>
      <c r="C17487" t="str">
        <f>"A0093922"</f>
        <v>A0093922</v>
      </c>
      <c r="D17487" t="s">
        <v>63185</v>
      </c>
      <c r="E17487" t="s">
        <v>63186</v>
      </c>
      <c r="F17487" t="s">
        <v>59059</v>
      </c>
      <c r="G17487" t="s">
        <v>1457</v>
      </c>
      <c r="H17487" t="s">
        <v>63187</v>
      </c>
      <c r="I17487" t="s">
        <v>1459</v>
      </c>
      <c r="J17487" t="s">
        <v>162</v>
      </c>
      <c r="K17487" t="s">
        <v>759</v>
      </c>
      <c r="N17487" t="s">
        <v>63188</v>
      </c>
      <c r="O17487" t="s">
        <v>63189</v>
      </c>
      <c r="Q17487">
        <v>0</v>
      </c>
      <c r="R17487">
        <v>255</v>
      </c>
      <c r="S17487">
        <v>0</v>
      </c>
      <c r="T17487" t="s">
        <v>63190</v>
      </c>
    </row>
    <row r="17488" spans="1:25" customFormat="1" x14ac:dyDescent="0.25">
      <c r="A17488" s="4" t="s">
        <v>24</v>
      </c>
      <c r="B17488" s="4" t="s">
        <v>1020</v>
      </c>
      <c r="C17488" s="4" t="str">
        <f>"A0061047"</f>
        <v>A0061047</v>
      </c>
      <c r="D17488" s="4" t="s">
        <v>83912</v>
      </c>
      <c r="E17488" s="4" t="s">
        <v>83913</v>
      </c>
      <c r="F17488" s="4" t="s">
        <v>1003</v>
      </c>
      <c r="G17488" s="4" t="s">
        <v>81</v>
      </c>
      <c r="H17488" s="4">
        <v>33139</v>
      </c>
      <c r="I17488" s="4" t="s">
        <v>30</v>
      </c>
      <c r="J17488" s="4" t="s">
        <v>206</v>
      </c>
      <c r="K17488" s="4" t="s">
        <v>163</v>
      </c>
      <c r="L17488" s="4"/>
      <c r="M17488" s="4"/>
      <c r="N17488" s="4" t="s">
        <v>14432</v>
      </c>
      <c r="O17488" s="4"/>
      <c r="P17488" s="4"/>
      <c r="Q17488" s="4">
        <v>0</v>
      </c>
      <c r="R17488" s="4">
        <v>75</v>
      </c>
      <c r="S17488" s="4">
        <v>0</v>
      </c>
      <c r="T17488" s="4" t="s">
        <v>83914</v>
      </c>
      <c r="U17488" s="4"/>
      <c r="V17488" s="4"/>
      <c r="W17488" s="4"/>
      <c r="X17488" s="4"/>
      <c r="Y17488" s="4"/>
    </row>
    <row r="17489" spans="1:25" customFormat="1" x14ac:dyDescent="0.25">
      <c r="A17489" s="4" t="s">
        <v>24</v>
      </c>
      <c r="B17489" s="4" t="s">
        <v>4400</v>
      </c>
      <c r="C17489" s="4" t="str">
        <f>"A0063081"</f>
        <v>A0063081</v>
      </c>
      <c r="D17489" s="4" t="s">
        <v>84003</v>
      </c>
      <c r="E17489" s="4" t="s">
        <v>84004</v>
      </c>
      <c r="F17489" s="4" t="s">
        <v>985</v>
      </c>
      <c r="G17489" s="4" t="s">
        <v>81</v>
      </c>
      <c r="H17489" s="4">
        <v>32819</v>
      </c>
      <c r="I17489" s="4" t="s">
        <v>30</v>
      </c>
      <c r="J17489" s="4" t="s">
        <v>206</v>
      </c>
      <c r="K17489" s="4" t="s">
        <v>6459</v>
      </c>
      <c r="L17489" s="4"/>
      <c r="M17489" s="4"/>
      <c r="N17489" s="4" t="s">
        <v>16672</v>
      </c>
      <c r="O17489" s="4"/>
      <c r="P17489" s="4"/>
      <c r="Q17489" s="4">
        <v>0</v>
      </c>
      <c r="R17489" s="4">
        <v>214</v>
      </c>
      <c r="S17489" s="4">
        <v>0</v>
      </c>
      <c r="T17489" s="4" t="s">
        <v>84005</v>
      </c>
      <c r="U17489" s="4"/>
      <c r="V17489" s="4"/>
      <c r="W17489" s="4"/>
      <c r="X17489" s="4"/>
      <c r="Y17489" s="4"/>
    </row>
    <row r="17490" spans="1:25" customFormat="1" x14ac:dyDescent="0.25">
      <c r="A17490" s="4" t="s">
        <v>24</v>
      </c>
      <c r="B17490" s="4" t="s">
        <v>2011</v>
      </c>
      <c r="C17490" s="4" t="str">
        <f>"A0095023"</f>
        <v>A0095023</v>
      </c>
      <c r="D17490" s="4" t="s">
        <v>84104</v>
      </c>
      <c r="E17490" s="4" t="s">
        <v>84105</v>
      </c>
      <c r="F17490" s="4" t="s">
        <v>1889</v>
      </c>
      <c r="G17490" s="4" t="s">
        <v>81</v>
      </c>
      <c r="H17490" s="4">
        <v>33140</v>
      </c>
      <c r="I17490" s="4" t="s">
        <v>30</v>
      </c>
      <c r="J17490" s="4" t="s">
        <v>206</v>
      </c>
      <c r="K17490" s="4" t="s">
        <v>13297</v>
      </c>
      <c r="L17490" s="4"/>
      <c r="M17490" s="4"/>
      <c r="N17490" s="4" t="s">
        <v>84106</v>
      </c>
      <c r="O17490" s="4" t="s">
        <v>84107</v>
      </c>
      <c r="P17490" s="4"/>
      <c r="Q17490" s="4">
        <v>0</v>
      </c>
      <c r="R17490" s="4">
        <v>380</v>
      </c>
      <c r="S17490" s="4">
        <v>0</v>
      </c>
      <c r="T17490" s="4" t="s">
        <v>84108</v>
      </c>
      <c r="U17490" s="4"/>
      <c r="V17490" s="4"/>
      <c r="W17490" s="4"/>
      <c r="X17490" s="4"/>
      <c r="Y17490" s="4"/>
    </row>
    <row r="17491" spans="1:25" customFormat="1" x14ac:dyDescent="0.25">
      <c r="A17491" s="4" t="s">
        <v>24</v>
      </c>
      <c r="B17491" s="4" t="s">
        <v>61358</v>
      </c>
      <c r="C17491" s="4" t="str">
        <f>"A0145884"</f>
        <v>A0145884</v>
      </c>
      <c r="D17491" s="4" t="s">
        <v>84127</v>
      </c>
      <c r="E17491" s="4" t="s">
        <v>84128</v>
      </c>
      <c r="F17491" s="4" t="s">
        <v>3955</v>
      </c>
      <c r="G17491" s="4" t="s">
        <v>81</v>
      </c>
      <c r="H17491" s="4">
        <v>33607</v>
      </c>
      <c r="I17491" s="4" t="s">
        <v>30</v>
      </c>
      <c r="J17491" s="4" t="s">
        <v>206</v>
      </c>
      <c r="K17491" s="4" t="s">
        <v>6459</v>
      </c>
      <c r="L17491" s="4"/>
      <c r="M17491" s="4"/>
      <c r="N17491" s="4" t="s">
        <v>84129</v>
      </c>
      <c r="O17491" s="4"/>
      <c r="P17491" s="4"/>
      <c r="Q17491" s="4">
        <v>0</v>
      </c>
      <c r="R17491" s="4">
        <v>180</v>
      </c>
      <c r="S17491" s="4">
        <v>0</v>
      </c>
      <c r="T17491" s="4" t="s">
        <v>84130</v>
      </c>
      <c r="U17491" s="4"/>
      <c r="V17491" s="4"/>
      <c r="W17491" s="4"/>
      <c r="X17491" s="4"/>
      <c r="Y17491" s="4"/>
    </row>
    <row r="17492" spans="1:25" customFormat="1" x14ac:dyDescent="0.25">
      <c r="A17492" s="4" t="s">
        <v>24</v>
      </c>
      <c r="B17492" s="4" t="s">
        <v>1098</v>
      </c>
      <c r="C17492" s="4" t="str">
        <f>"A0100251"</f>
        <v>A0100251</v>
      </c>
      <c r="D17492" s="4" t="s">
        <v>84143</v>
      </c>
      <c r="E17492" s="4" t="s">
        <v>84144</v>
      </c>
      <c r="F17492" s="4" t="s">
        <v>1258</v>
      </c>
      <c r="G17492" s="4" t="s">
        <v>81</v>
      </c>
      <c r="H17492" s="4">
        <v>32114</v>
      </c>
      <c r="I17492" s="4" t="s">
        <v>30</v>
      </c>
      <c r="J17492" s="4" t="s">
        <v>206</v>
      </c>
      <c r="K17492" s="4" t="s">
        <v>6459</v>
      </c>
      <c r="L17492" s="4"/>
      <c r="M17492" s="4"/>
      <c r="N17492" s="4" t="s">
        <v>84145</v>
      </c>
      <c r="O17492" s="4"/>
      <c r="P17492" s="4"/>
      <c r="Q17492" s="4">
        <v>0</v>
      </c>
      <c r="R17492" s="4">
        <v>145</v>
      </c>
      <c r="S17492" s="4">
        <v>0</v>
      </c>
      <c r="T17492" s="4" t="s">
        <v>84146</v>
      </c>
      <c r="U17492" s="4"/>
      <c r="V17492" s="4"/>
      <c r="W17492" s="4"/>
      <c r="X17492" s="4"/>
      <c r="Y17492" s="4"/>
    </row>
    <row r="17493" spans="1:25" customFormat="1" x14ac:dyDescent="0.25">
      <c r="A17493" s="4" t="s">
        <v>24</v>
      </c>
      <c r="B17493" s="4" t="s">
        <v>675</v>
      </c>
      <c r="C17493" s="4" t="str">
        <f>"A0089871"</f>
        <v>A0089871</v>
      </c>
      <c r="D17493" s="4" t="s">
        <v>84742</v>
      </c>
      <c r="E17493" s="4" t="s">
        <v>84743</v>
      </c>
      <c r="F17493" s="4" t="s">
        <v>1003</v>
      </c>
      <c r="G17493" s="4" t="s">
        <v>81</v>
      </c>
      <c r="H17493" s="4">
        <v>33140</v>
      </c>
      <c r="I17493" s="4" t="s">
        <v>30</v>
      </c>
      <c r="J17493" s="4" t="s">
        <v>206</v>
      </c>
      <c r="K17493" s="4" t="s">
        <v>3956</v>
      </c>
      <c r="L17493" s="4"/>
      <c r="M17493" s="4"/>
      <c r="N17493" s="4" t="s">
        <v>84744</v>
      </c>
      <c r="O17493" s="4"/>
      <c r="P17493" s="4"/>
      <c r="Q17493" s="4">
        <v>0</v>
      </c>
      <c r="R17493" s="4">
        <v>295</v>
      </c>
      <c r="S17493" s="4">
        <v>0</v>
      </c>
      <c r="T17493" s="4" t="s">
        <v>84745</v>
      </c>
      <c r="U17493" s="4"/>
      <c r="V17493" s="4"/>
      <c r="W17493" s="4"/>
      <c r="X17493" s="4"/>
      <c r="Y17493" s="4"/>
    </row>
    <row r="17494" spans="1:25" customFormat="1" x14ac:dyDescent="0.25">
      <c r="A17494" s="4" t="s">
        <v>24</v>
      </c>
      <c r="B17494" s="4" t="s">
        <v>84756</v>
      </c>
      <c r="C17494" s="4" t="str">
        <f>"A0054409"</f>
        <v>A0054409</v>
      </c>
      <c r="D17494" s="4" t="s">
        <v>84757</v>
      </c>
      <c r="E17494" s="4" t="s">
        <v>84758</v>
      </c>
      <c r="F17494" s="4" t="s">
        <v>20524</v>
      </c>
      <c r="G17494" s="4" t="s">
        <v>81</v>
      </c>
      <c r="H17494" s="4">
        <v>33139</v>
      </c>
      <c r="I17494" s="4" t="s">
        <v>30</v>
      </c>
      <c r="J17494" s="4" t="s">
        <v>206</v>
      </c>
      <c r="K17494" s="4" t="s">
        <v>163</v>
      </c>
      <c r="L17494" s="4"/>
      <c r="M17494" s="4"/>
      <c r="N17494" s="4" t="s">
        <v>84759</v>
      </c>
      <c r="O17494" s="4" t="s">
        <v>84760</v>
      </c>
      <c r="P17494" s="4"/>
      <c r="Q17494" s="4">
        <v>0</v>
      </c>
      <c r="R17494" s="4">
        <v>152</v>
      </c>
      <c r="S17494" s="4">
        <v>0</v>
      </c>
      <c r="T17494" s="4" t="s">
        <v>84761</v>
      </c>
      <c r="U17494" s="4"/>
      <c r="V17494" s="4"/>
      <c r="W17494" s="4"/>
      <c r="X17494" s="4"/>
      <c r="Y17494" s="4"/>
    </row>
    <row r="17495" spans="1:25" customFormat="1" x14ac:dyDescent="0.25">
      <c r="A17495" s="4" t="s">
        <v>24</v>
      </c>
      <c r="B17495" s="4" t="s">
        <v>675</v>
      </c>
      <c r="C17495" s="4" t="str">
        <f>"A0091568"</f>
        <v>A0091568</v>
      </c>
      <c r="D17495" s="4" t="s">
        <v>84944</v>
      </c>
      <c r="E17495" s="4" t="s">
        <v>84945</v>
      </c>
      <c r="F17495" s="4" t="s">
        <v>1003</v>
      </c>
      <c r="G17495" s="4" t="s">
        <v>81</v>
      </c>
      <c r="H17495" s="4">
        <v>33154</v>
      </c>
      <c r="I17495" s="4" t="s">
        <v>30</v>
      </c>
      <c r="J17495" s="4" t="s">
        <v>206</v>
      </c>
      <c r="K17495" s="4" t="s">
        <v>680</v>
      </c>
      <c r="L17495" s="4"/>
      <c r="M17495" s="4"/>
      <c r="N17495" s="4" t="s">
        <v>84946</v>
      </c>
      <c r="O17495" s="4" t="s">
        <v>84947</v>
      </c>
      <c r="P17495" s="4"/>
      <c r="Q17495" s="4">
        <v>0</v>
      </c>
      <c r="R17495" s="4">
        <v>124</v>
      </c>
      <c r="S17495" s="4">
        <v>0</v>
      </c>
      <c r="T17495" s="4" t="s">
        <v>84948</v>
      </c>
      <c r="U17495" s="4"/>
      <c r="V17495" s="4"/>
      <c r="W17495" s="4"/>
      <c r="X17495" s="4"/>
      <c r="Y17495" s="4"/>
    </row>
    <row r="17496" spans="1:25" customFormat="1" x14ac:dyDescent="0.25">
      <c r="A17496" s="4" t="s">
        <v>24</v>
      </c>
      <c r="B17496" s="4" t="s">
        <v>675</v>
      </c>
      <c r="C17496" s="4" t="str">
        <f>"73R55"</f>
        <v>73R55</v>
      </c>
      <c r="D17496" s="4" t="s">
        <v>84981</v>
      </c>
      <c r="E17496" s="4" t="s">
        <v>84982</v>
      </c>
      <c r="F17496" s="4" t="s">
        <v>10379</v>
      </c>
      <c r="G17496" s="4" t="s">
        <v>81</v>
      </c>
      <c r="H17496" s="4">
        <v>34109</v>
      </c>
      <c r="I17496" s="4" t="s">
        <v>30</v>
      </c>
      <c r="J17496" s="4" t="s">
        <v>206</v>
      </c>
      <c r="K17496" s="4" t="s">
        <v>680</v>
      </c>
      <c r="L17496" s="4"/>
      <c r="M17496" s="4"/>
      <c r="N17496" s="4" t="s">
        <v>84983</v>
      </c>
      <c r="O17496" s="4" t="s">
        <v>84984</v>
      </c>
      <c r="P17496" s="4" t="s">
        <v>3998</v>
      </c>
      <c r="Q17496" s="4">
        <v>1</v>
      </c>
      <c r="R17496" s="4">
        <v>295</v>
      </c>
      <c r="S17496" s="4">
        <v>0</v>
      </c>
      <c r="T17496" s="4" t="s">
        <v>84985</v>
      </c>
      <c r="U17496" s="4"/>
      <c r="V17496" s="4"/>
      <c r="W17496" s="4"/>
      <c r="X17496" s="4"/>
      <c r="Y17496" s="4"/>
    </row>
    <row r="17497" spans="1:25" customFormat="1" x14ac:dyDescent="0.25">
      <c r="A17497" s="4" t="s">
        <v>24</v>
      </c>
      <c r="B17497" s="4" t="s">
        <v>675</v>
      </c>
      <c r="C17497" s="4" t="str">
        <f>"73R51"</f>
        <v>73R51</v>
      </c>
      <c r="D17497" s="4" t="s">
        <v>84986</v>
      </c>
      <c r="E17497" s="4" t="s">
        <v>84987</v>
      </c>
      <c r="F17497" s="4" t="s">
        <v>985</v>
      </c>
      <c r="G17497" s="4" t="s">
        <v>81</v>
      </c>
      <c r="H17497" s="4">
        <v>32837</v>
      </c>
      <c r="I17497" s="4" t="s">
        <v>30</v>
      </c>
      <c r="J17497" s="4" t="s">
        <v>206</v>
      </c>
      <c r="K17497" s="4" t="s">
        <v>680</v>
      </c>
      <c r="L17497" s="4"/>
      <c r="M17497" s="4"/>
      <c r="N17497" s="4" t="s">
        <v>84988</v>
      </c>
      <c r="O17497" s="4" t="s">
        <v>84989</v>
      </c>
      <c r="P17497" s="4" t="s">
        <v>3998</v>
      </c>
      <c r="Q17497" s="4">
        <v>1</v>
      </c>
      <c r="R17497" s="4">
        <v>584</v>
      </c>
      <c r="S17497" s="4">
        <v>0</v>
      </c>
      <c r="T17497" s="4" t="s">
        <v>84990</v>
      </c>
      <c r="U17497" s="4"/>
      <c r="V17497" s="4"/>
      <c r="W17497" s="4"/>
      <c r="X17497" s="4"/>
      <c r="Y17497" s="4"/>
    </row>
    <row r="17498" spans="1:25" customFormat="1" x14ac:dyDescent="0.25">
      <c r="A17498" s="4" t="s">
        <v>24</v>
      </c>
      <c r="B17498" s="4" t="s">
        <v>675</v>
      </c>
      <c r="C17498" s="4" t="str">
        <f>"73R23"</f>
        <v>73R23</v>
      </c>
      <c r="D17498" s="4" t="s">
        <v>85039</v>
      </c>
      <c r="E17498" s="4" t="s">
        <v>85040</v>
      </c>
      <c r="F17498" s="4" t="s">
        <v>55954</v>
      </c>
      <c r="G17498" s="4" t="s">
        <v>81</v>
      </c>
      <c r="H17498" s="4">
        <v>32034</v>
      </c>
      <c r="I17498" s="4" t="s">
        <v>30</v>
      </c>
      <c r="J17498" s="4" t="s">
        <v>206</v>
      </c>
      <c r="K17498" s="4" t="s">
        <v>680</v>
      </c>
      <c r="L17498" s="4"/>
      <c r="M17498" s="4"/>
      <c r="N17498" s="4" t="s">
        <v>85041</v>
      </c>
      <c r="O17498" s="4" t="s">
        <v>85042</v>
      </c>
      <c r="P17498" s="4" t="s">
        <v>3998</v>
      </c>
      <c r="Q17498" s="4">
        <v>1</v>
      </c>
      <c r="R17498" s="4">
        <v>446</v>
      </c>
      <c r="S17498" s="4">
        <v>0</v>
      </c>
      <c r="T17498" s="4" t="s">
        <v>85043</v>
      </c>
      <c r="U17498" s="4"/>
      <c r="V17498" s="4"/>
      <c r="W17498" s="4"/>
      <c r="X17498" s="4"/>
      <c r="Y17498" s="4"/>
    </row>
    <row r="17499" spans="1:25" customFormat="1" x14ac:dyDescent="0.25">
      <c r="A17499" s="4" t="s">
        <v>24</v>
      </c>
      <c r="B17499" s="4" t="s">
        <v>675</v>
      </c>
      <c r="C17499" s="4" t="str">
        <f>"73R60"</f>
        <v>73R60</v>
      </c>
      <c r="D17499" s="4" t="s">
        <v>85075</v>
      </c>
      <c r="E17499" s="4" t="s">
        <v>85076</v>
      </c>
      <c r="F17499" s="4" t="s">
        <v>14430</v>
      </c>
      <c r="G17499" s="4" t="s">
        <v>81</v>
      </c>
      <c r="H17499" s="4">
        <v>33133</v>
      </c>
      <c r="I17499" s="4" t="s">
        <v>30</v>
      </c>
      <c r="J17499" s="4" t="s">
        <v>206</v>
      </c>
      <c r="K17499" s="4" t="s">
        <v>680</v>
      </c>
      <c r="L17499" s="4"/>
      <c r="M17499" s="4"/>
      <c r="N17499" s="4" t="s">
        <v>85077</v>
      </c>
      <c r="O17499" s="4"/>
      <c r="P17499" s="4" t="s">
        <v>992</v>
      </c>
      <c r="Q17499" s="4">
        <v>0</v>
      </c>
      <c r="R17499" s="4">
        <v>115</v>
      </c>
      <c r="S17499" s="4">
        <v>0</v>
      </c>
      <c r="T17499" s="4" t="s">
        <v>85078</v>
      </c>
      <c r="U17499" s="4"/>
      <c r="V17499" s="4"/>
      <c r="W17499" s="4"/>
      <c r="X17499" s="4"/>
      <c r="Y17499" s="4"/>
    </row>
    <row r="17500" spans="1:25" customFormat="1" x14ac:dyDescent="0.25">
      <c r="A17500" s="4" t="s">
        <v>24</v>
      </c>
      <c r="B17500" s="4" t="s">
        <v>675</v>
      </c>
      <c r="C17500" s="4" t="str">
        <f>"A0084093"</f>
        <v>A0084093</v>
      </c>
      <c r="D17500" s="4" t="s">
        <v>85093</v>
      </c>
      <c r="E17500" s="4" t="s">
        <v>85094</v>
      </c>
      <c r="F17500" s="4" t="s">
        <v>9180</v>
      </c>
      <c r="G17500" s="4" t="s">
        <v>81</v>
      </c>
      <c r="H17500" s="4">
        <v>33304</v>
      </c>
      <c r="I17500" s="4" t="s">
        <v>30</v>
      </c>
      <c r="J17500" s="4" t="s">
        <v>206</v>
      </c>
      <c r="K17500" s="4" t="s">
        <v>680</v>
      </c>
      <c r="L17500" s="4"/>
      <c r="M17500" s="4"/>
      <c r="N17500" s="4" t="s">
        <v>85095</v>
      </c>
      <c r="O17500" s="4" t="s">
        <v>85096</v>
      </c>
      <c r="P17500" s="4"/>
      <c r="Q17500" s="4">
        <v>0</v>
      </c>
      <c r="R17500" s="4">
        <v>220</v>
      </c>
      <c r="S17500" s="4">
        <v>0</v>
      </c>
      <c r="T17500" s="4" t="s">
        <v>85097</v>
      </c>
      <c r="U17500" s="4"/>
      <c r="V17500" s="4"/>
      <c r="W17500" s="4"/>
      <c r="X17500" s="4"/>
      <c r="Y17500" s="4"/>
    </row>
    <row r="17501" spans="1:25" customFormat="1" x14ac:dyDescent="0.25">
      <c r="A17501" s="4" t="s">
        <v>24</v>
      </c>
      <c r="B17501" s="4" t="s">
        <v>675</v>
      </c>
      <c r="C17501" s="4" t="str">
        <f>"73R59"</f>
        <v>73R59</v>
      </c>
      <c r="D17501" s="4" t="s">
        <v>85109</v>
      </c>
      <c r="E17501" s="4" t="s">
        <v>85110</v>
      </c>
      <c r="F17501" s="4" t="s">
        <v>76961</v>
      </c>
      <c r="G17501" s="4" t="s">
        <v>81</v>
      </c>
      <c r="H17501" s="4">
        <v>33149</v>
      </c>
      <c r="I17501" s="4" t="s">
        <v>30</v>
      </c>
      <c r="J17501" s="4" t="s">
        <v>206</v>
      </c>
      <c r="K17501" s="4" t="s">
        <v>680</v>
      </c>
      <c r="L17501" s="4"/>
      <c r="M17501" s="4"/>
      <c r="N17501" s="4" t="s">
        <v>85077</v>
      </c>
      <c r="O17501" s="4" t="s">
        <v>85111</v>
      </c>
      <c r="P17501" s="4" t="s">
        <v>992</v>
      </c>
      <c r="Q17501" s="4">
        <v>0</v>
      </c>
      <c r="R17501" s="4">
        <v>392</v>
      </c>
      <c r="S17501" s="4">
        <v>0</v>
      </c>
      <c r="T17501" s="4" t="s">
        <v>85112</v>
      </c>
      <c r="U17501" s="4"/>
      <c r="V17501" s="4"/>
      <c r="W17501" s="4"/>
      <c r="X17501" s="4"/>
      <c r="Y17501" s="4"/>
    </row>
    <row r="17502" spans="1:25" customFormat="1" x14ac:dyDescent="0.25">
      <c r="A17502" s="4" t="s">
        <v>24</v>
      </c>
      <c r="B17502" s="4" t="s">
        <v>675</v>
      </c>
      <c r="C17502" s="4" t="str">
        <f>"73R05"</f>
        <v>73R05</v>
      </c>
      <c r="D17502" s="4" t="s">
        <v>85125</v>
      </c>
      <c r="E17502" s="4" t="s">
        <v>85126</v>
      </c>
      <c r="F17502" s="4" t="s">
        <v>10379</v>
      </c>
      <c r="G17502" s="4" t="s">
        <v>81</v>
      </c>
      <c r="H17502" s="4">
        <v>34108</v>
      </c>
      <c r="I17502" s="4" t="s">
        <v>30</v>
      </c>
      <c r="J17502" s="4" t="s">
        <v>206</v>
      </c>
      <c r="K17502" s="4" t="s">
        <v>680</v>
      </c>
      <c r="L17502" s="4"/>
      <c r="M17502" s="4"/>
      <c r="N17502" s="4" t="s">
        <v>85127</v>
      </c>
      <c r="O17502" s="4"/>
      <c r="P17502" s="4" t="s">
        <v>992</v>
      </c>
      <c r="Q17502" s="4">
        <v>0</v>
      </c>
      <c r="R17502" s="4">
        <v>450</v>
      </c>
      <c r="S17502" s="4">
        <v>0</v>
      </c>
      <c r="T17502" s="4" t="s">
        <v>85128</v>
      </c>
      <c r="U17502" s="4"/>
      <c r="V17502" s="4"/>
      <c r="W17502" s="4"/>
      <c r="X17502" s="4"/>
      <c r="Y17502" s="4"/>
    </row>
    <row r="17503" spans="1:25" customFormat="1" x14ac:dyDescent="0.25">
      <c r="A17503" s="4" t="s">
        <v>24</v>
      </c>
      <c r="B17503" s="4" t="s">
        <v>675</v>
      </c>
      <c r="C17503" s="4" t="str">
        <f>"73R41"</f>
        <v>73R41</v>
      </c>
      <c r="D17503" s="4" t="s">
        <v>85152</v>
      </c>
      <c r="E17503" s="4" t="s">
        <v>85153</v>
      </c>
      <c r="F17503" s="4" t="s">
        <v>709</v>
      </c>
      <c r="G17503" s="4" t="s">
        <v>81</v>
      </c>
      <c r="H17503" s="4">
        <v>34236</v>
      </c>
      <c r="I17503" s="4" t="s">
        <v>30</v>
      </c>
      <c r="J17503" s="4" t="s">
        <v>206</v>
      </c>
      <c r="K17503" s="4" t="s">
        <v>680</v>
      </c>
      <c r="L17503" s="4"/>
      <c r="M17503" s="4"/>
      <c r="N17503" s="4" t="s">
        <v>85154</v>
      </c>
      <c r="O17503" s="4" t="s">
        <v>85155</v>
      </c>
      <c r="P17503" s="4" t="s">
        <v>992</v>
      </c>
      <c r="Q17503" s="4">
        <v>1</v>
      </c>
      <c r="R17503" s="4">
        <v>272</v>
      </c>
      <c r="S17503" s="4">
        <v>0</v>
      </c>
      <c r="T17503" s="4" t="s">
        <v>85156</v>
      </c>
      <c r="U17503" s="4"/>
      <c r="V17503" s="4"/>
      <c r="W17503" s="4"/>
      <c r="X17503" s="4"/>
      <c r="Y17503" s="4"/>
    </row>
    <row r="17504" spans="1:25" customFormat="1" x14ac:dyDescent="0.25">
      <c r="A17504" s="4" t="s">
        <v>24</v>
      </c>
      <c r="B17504" s="4" t="s">
        <v>675</v>
      </c>
      <c r="C17504" s="4" t="str">
        <f>"73R50"</f>
        <v>73R50</v>
      </c>
      <c r="D17504" s="4" t="s">
        <v>85157</v>
      </c>
      <c r="E17504" s="4" t="s">
        <v>85158</v>
      </c>
      <c r="F17504" s="4" t="s">
        <v>1889</v>
      </c>
      <c r="G17504" s="4" t="s">
        <v>81</v>
      </c>
      <c r="H17504" s="4">
        <v>33139</v>
      </c>
      <c r="I17504" s="4" t="s">
        <v>30</v>
      </c>
      <c r="J17504" s="4" t="s">
        <v>206</v>
      </c>
      <c r="K17504" s="4" t="s">
        <v>680</v>
      </c>
      <c r="L17504" s="4"/>
      <c r="M17504" s="4"/>
      <c r="N17504" s="4" t="s">
        <v>85159</v>
      </c>
      <c r="O17504" s="4"/>
      <c r="P17504" s="4"/>
      <c r="Q17504" s="4">
        <v>0</v>
      </c>
      <c r="R17504" s="4">
        <v>375</v>
      </c>
      <c r="S17504" s="4">
        <v>0</v>
      </c>
      <c r="T17504" s="4" t="s">
        <v>85160</v>
      </c>
      <c r="U17504" s="4"/>
      <c r="V17504" s="4"/>
      <c r="W17504" s="4"/>
      <c r="X17504" s="4"/>
      <c r="Y17504" s="4"/>
    </row>
    <row r="17505" spans="1:25" customFormat="1" x14ac:dyDescent="0.25">
      <c r="A17505" s="4" t="s">
        <v>24</v>
      </c>
      <c r="B17505" s="4" t="s">
        <v>2373</v>
      </c>
      <c r="C17505" s="4" t="str">
        <f>"SC172"</f>
        <v>SC172</v>
      </c>
      <c r="D17505" s="4" t="s">
        <v>85206</v>
      </c>
      <c r="E17505" s="4" t="s">
        <v>85207</v>
      </c>
      <c r="F17505" s="4" t="s">
        <v>1003</v>
      </c>
      <c r="G17505" s="4" t="s">
        <v>81</v>
      </c>
      <c r="H17505" s="4">
        <v>33139</v>
      </c>
      <c r="I17505" s="4" t="s">
        <v>30</v>
      </c>
      <c r="J17505" s="4" t="s">
        <v>206</v>
      </c>
      <c r="K17505" s="4" t="s">
        <v>3447</v>
      </c>
      <c r="L17505" s="4"/>
      <c r="M17505" s="4"/>
      <c r="N17505" s="4" t="s">
        <v>85208</v>
      </c>
      <c r="O17505" s="4" t="s">
        <v>85209</v>
      </c>
      <c r="P17505" s="4"/>
      <c r="Q17505" s="4">
        <v>0</v>
      </c>
      <c r="R17505" s="4">
        <v>393</v>
      </c>
      <c r="S17505" s="4">
        <v>0</v>
      </c>
      <c r="T17505" s="4" t="s">
        <v>85210</v>
      </c>
      <c r="U17505" s="4"/>
      <c r="V17505" s="4"/>
      <c r="W17505" s="4"/>
      <c r="X17505" s="4"/>
      <c r="Y17505" s="4"/>
    </row>
    <row r="17506" spans="1:25" customFormat="1" x14ac:dyDescent="0.25">
      <c r="A17506" s="4" t="s">
        <v>24</v>
      </c>
      <c r="B17506" s="4" t="s">
        <v>1548</v>
      </c>
      <c r="C17506" s="4" t="str">
        <f>"A0117374"</f>
        <v>A0117374</v>
      </c>
      <c r="D17506" s="4" t="s">
        <v>85243</v>
      </c>
      <c r="E17506" s="4" t="s">
        <v>85244</v>
      </c>
      <c r="F17506" s="4" t="s">
        <v>709</v>
      </c>
      <c r="G17506" s="4" t="s">
        <v>81</v>
      </c>
      <c r="H17506" s="4">
        <v>34236</v>
      </c>
      <c r="I17506" s="4" t="s">
        <v>30</v>
      </c>
      <c r="J17506" s="4" t="s">
        <v>206</v>
      </c>
      <c r="K17506" s="4" t="s">
        <v>3447</v>
      </c>
      <c r="L17506" s="4"/>
      <c r="M17506" s="4"/>
      <c r="N17506" s="4" t="s">
        <v>85245</v>
      </c>
      <c r="O17506" s="4"/>
      <c r="P17506" s="4"/>
      <c r="Q17506" s="4">
        <v>0</v>
      </c>
      <c r="R17506" s="4">
        <v>89</v>
      </c>
      <c r="S17506" s="4">
        <v>0</v>
      </c>
      <c r="T17506" s="4" t="s">
        <v>85246</v>
      </c>
      <c r="U17506" s="4"/>
      <c r="V17506" s="4"/>
      <c r="W17506" s="4"/>
      <c r="X17506" s="4"/>
      <c r="Y17506" s="4"/>
    </row>
    <row r="17507" spans="1:25" customFormat="1" x14ac:dyDescent="0.25">
      <c r="A17507" s="4" t="s">
        <v>24</v>
      </c>
      <c r="B17507" s="4" t="s">
        <v>675</v>
      </c>
      <c r="C17507" s="4" t="str">
        <f>"A0096708"</f>
        <v>A0096708</v>
      </c>
      <c r="D17507" s="4" t="s">
        <v>85306</v>
      </c>
      <c r="E17507" s="4" t="s">
        <v>85307</v>
      </c>
      <c r="F17507" s="4" t="s">
        <v>85308</v>
      </c>
      <c r="G17507" s="4" t="s">
        <v>81</v>
      </c>
      <c r="H17507" s="4">
        <v>33154</v>
      </c>
      <c r="I17507" s="4" t="s">
        <v>30</v>
      </c>
      <c r="J17507" s="4" t="s">
        <v>206</v>
      </c>
      <c r="K17507" s="4" t="s">
        <v>5338</v>
      </c>
      <c r="L17507" s="4"/>
      <c r="M17507" s="4"/>
      <c r="N17507" s="4" t="s">
        <v>85309</v>
      </c>
      <c r="O17507" s="4"/>
      <c r="P17507" s="4"/>
      <c r="Q17507" s="4">
        <v>0</v>
      </c>
      <c r="R17507" s="4">
        <v>216</v>
      </c>
      <c r="S17507" s="4">
        <v>0</v>
      </c>
      <c r="T17507" s="4" t="s">
        <v>85310</v>
      </c>
      <c r="U17507" s="4"/>
      <c r="V17507" s="4"/>
      <c r="W17507" s="4"/>
      <c r="X17507" s="4"/>
      <c r="Y17507" s="4"/>
    </row>
    <row r="17508" spans="1:25" customFormat="1" ht="15" hidden="1" x14ac:dyDescent="0.25">
      <c r="A17508" t="s">
        <v>24</v>
      </c>
      <c r="B17508" t="s">
        <v>56113</v>
      </c>
      <c r="C17508" t="str">
        <f>"A0069023"</f>
        <v>A0069023</v>
      </c>
      <c r="D17508" t="s">
        <v>63285</v>
      </c>
      <c r="E17508" t="s">
        <v>63286</v>
      </c>
      <c r="F17508" t="s">
        <v>6439</v>
      </c>
      <c r="G17508" t="s">
        <v>2206</v>
      </c>
      <c r="H17508" t="s">
        <v>63287</v>
      </c>
      <c r="I17508" t="s">
        <v>1459</v>
      </c>
      <c r="J17508" t="s">
        <v>162</v>
      </c>
      <c r="K17508" t="s">
        <v>759</v>
      </c>
      <c r="N17508" t="s">
        <v>63288</v>
      </c>
      <c r="Q17508">
        <v>0</v>
      </c>
      <c r="R17508">
        <v>323</v>
      </c>
      <c r="S17508">
        <v>0</v>
      </c>
      <c r="T17508" t="s">
        <v>63289</v>
      </c>
    </row>
    <row r="17509" spans="1:25" customFormat="1" x14ac:dyDescent="0.25">
      <c r="A17509" s="4" t="s">
        <v>24</v>
      </c>
      <c r="B17509" s="4" t="s">
        <v>2373</v>
      </c>
      <c r="C17509" s="4" t="str">
        <f>"A0059948"</f>
        <v>A0059948</v>
      </c>
      <c r="D17509" s="4" t="s">
        <v>85758</v>
      </c>
      <c r="E17509" s="4" t="s">
        <v>85759</v>
      </c>
      <c r="F17509" s="4" t="s">
        <v>3955</v>
      </c>
      <c r="G17509" s="4" t="s">
        <v>81</v>
      </c>
      <c r="H17509" s="4">
        <v>33609</v>
      </c>
      <c r="I17509" s="4" t="s">
        <v>30</v>
      </c>
      <c r="J17509" s="4" t="s">
        <v>206</v>
      </c>
      <c r="K17509" s="4" t="s">
        <v>3447</v>
      </c>
      <c r="L17509" s="4"/>
      <c r="M17509" s="4"/>
      <c r="N17509" s="4" t="s">
        <v>85760</v>
      </c>
      <c r="O17509" s="4"/>
      <c r="P17509" s="4"/>
      <c r="Q17509" s="4">
        <v>0</v>
      </c>
      <c r="R17509" s="4">
        <v>325</v>
      </c>
      <c r="S17509" s="4">
        <v>0</v>
      </c>
      <c r="T17509" s="4" t="s">
        <v>85761</v>
      </c>
      <c r="U17509" s="4"/>
      <c r="V17509" s="4"/>
      <c r="W17509" s="4"/>
      <c r="X17509" s="4"/>
      <c r="Y17509" s="4"/>
    </row>
    <row r="17510" spans="1:25" customFormat="1" x14ac:dyDescent="0.25">
      <c r="A17510" s="4" t="s">
        <v>24</v>
      </c>
      <c r="B17510" s="4" t="s">
        <v>1020</v>
      </c>
      <c r="C17510" s="4" t="str">
        <f>"A0061049"</f>
        <v>A0061049</v>
      </c>
      <c r="D17510" s="4" t="s">
        <v>85788</v>
      </c>
      <c r="E17510" s="4" t="s">
        <v>85789</v>
      </c>
      <c r="F17510" s="4" t="s">
        <v>1003</v>
      </c>
      <c r="G17510" s="4" t="s">
        <v>81</v>
      </c>
      <c r="H17510" s="4">
        <v>33139</v>
      </c>
      <c r="I17510" s="4" t="s">
        <v>30</v>
      </c>
      <c r="J17510" s="4" t="s">
        <v>206</v>
      </c>
      <c r="K17510" s="4" t="s">
        <v>6459</v>
      </c>
      <c r="L17510" s="4"/>
      <c r="M17510" s="4"/>
      <c r="N17510" s="4" t="s">
        <v>14432</v>
      </c>
      <c r="O17510" s="4"/>
      <c r="P17510" s="4"/>
      <c r="Q17510" s="4">
        <v>0</v>
      </c>
      <c r="R17510" s="4">
        <v>71</v>
      </c>
      <c r="S17510" s="4">
        <v>0</v>
      </c>
      <c r="T17510" s="4" t="s">
        <v>85790</v>
      </c>
      <c r="U17510" s="4"/>
      <c r="V17510" s="4"/>
      <c r="W17510" s="4"/>
      <c r="X17510" s="4"/>
      <c r="Y17510" s="4"/>
    </row>
    <row r="17511" spans="1:25" customFormat="1" x14ac:dyDescent="0.25">
      <c r="A17511" s="4" t="s">
        <v>24</v>
      </c>
      <c r="B17511" s="4" t="s">
        <v>86705</v>
      </c>
      <c r="C17511" s="4" t="str">
        <f>"A0054156"</f>
        <v>A0054156</v>
      </c>
      <c r="D17511" s="4" t="s">
        <v>86706</v>
      </c>
      <c r="E17511" s="4" t="s">
        <v>86707</v>
      </c>
      <c r="F17511" s="4" t="s">
        <v>15102</v>
      </c>
      <c r="G17511" s="4" t="s">
        <v>81</v>
      </c>
      <c r="H17511" s="4">
        <v>33706</v>
      </c>
      <c r="I17511" s="4" t="s">
        <v>30</v>
      </c>
      <c r="J17511" s="4" t="s">
        <v>206</v>
      </c>
      <c r="K17511" s="4" t="s">
        <v>163</v>
      </c>
      <c r="L17511" s="4"/>
      <c r="M17511" s="4"/>
      <c r="N17511" s="4" t="s">
        <v>86708</v>
      </c>
      <c r="O17511" s="4" t="s">
        <v>83132</v>
      </c>
      <c r="P17511" s="4"/>
      <c r="Q17511" s="4">
        <v>0</v>
      </c>
      <c r="R17511" s="4">
        <v>585</v>
      </c>
      <c r="S17511" s="4">
        <v>0</v>
      </c>
      <c r="T17511" s="4" t="s">
        <v>86709</v>
      </c>
      <c r="U17511" s="4"/>
      <c r="V17511" s="4"/>
      <c r="W17511" s="4"/>
      <c r="X17511" s="4"/>
      <c r="Y17511" s="4"/>
    </row>
    <row r="17512" spans="1:25" customFormat="1" x14ac:dyDescent="0.25">
      <c r="A17512" s="4" t="s">
        <v>24</v>
      </c>
      <c r="B17512" s="4" t="s">
        <v>14164</v>
      </c>
      <c r="C17512" s="4" t="str">
        <f>"A0067696"</f>
        <v>A0067696</v>
      </c>
      <c r="D17512" s="4" t="s">
        <v>86870</v>
      </c>
      <c r="E17512" s="4" t="s">
        <v>86871</v>
      </c>
      <c r="F17512" s="4" t="s">
        <v>1889</v>
      </c>
      <c r="G17512" s="4" t="s">
        <v>81</v>
      </c>
      <c r="H17512" s="4">
        <v>33178</v>
      </c>
      <c r="I17512" s="4" t="s">
        <v>30</v>
      </c>
      <c r="J17512" s="4" t="s">
        <v>206</v>
      </c>
      <c r="K17512" s="4" t="s">
        <v>163</v>
      </c>
      <c r="L17512" s="4"/>
      <c r="M17512" s="4"/>
      <c r="N17512" s="4" t="s">
        <v>86872</v>
      </c>
      <c r="O17512" s="4" t="s">
        <v>86873</v>
      </c>
      <c r="P17512" s="4" t="s">
        <v>3998</v>
      </c>
      <c r="Q17512" s="4">
        <v>5</v>
      </c>
      <c r="R17512" s="4">
        <v>693</v>
      </c>
      <c r="S17512" s="4">
        <v>0</v>
      </c>
      <c r="T17512" s="4" t="s">
        <v>86874</v>
      </c>
      <c r="U17512" s="4"/>
      <c r="V17512" s="4"/>
      <c r="W17512" s="4"/>
      <c r="X17512" s="4"/>
      <c r="Y17512" s="4"/>
    </row>
    <row r="17513" spans="1:25" customFormat="1" x14ac:dyDescent="0.25">
      <c r="A17513" s="4" t="s">
        <v>24</v>
      </c>
      <c r="B17513" s="4" t="s">
        <v>675</v>
      </c>
      <c r="C17513" s="4" t="str">
        <f>"A0054813"</f>
        <v>A0054813</v>
      </c>
      <c r="D17513" s="4" t="s">
        <v>87211</v>
      </c>
      <c r="E17513" s="4" t="s">
        <v>87212</v>
      </c>
      <c r="F17513" s="4" t="s">
        <v>9180</v>
      </c>
      <c r="G17513" s="4" t="s">
        <v>81</v>
      </c>
      <c r="H17513" s="4">
        <v>33304</v>
      </c>
      <c r="I17513" s="4" t="s">
        <v>30</v>
      </c>
      <c r="J17513" s="4" t="s">
        <v>206</v>
      </c>
      <c r="K17513" s="4" t="s">
        <v>16717</v>
      </c>
      <c r="L17513" s="4"/>
      <c r="M17513" s="4"/>
      <c r="N17513" s="4" t="s">
        <v>87213</v>
      </c>
      <c r="O17513" s="4" t="s">
        <v>87214</v>
      </c>
      <c r="P17513" s="4"/>
      <c r="Q17513" s="4">
        <v>0</v>
      </c>
      <c r="R17513" s="4">
        <v>430</v>
      </c>
      <c r="S17513" s="4">
        <v>0</v>
      </c>
      <c r="T17513" s="4" t="s">
        <v>87215</v>
      </c>
      <c r="U17513" s="4"/>
      <c r="V17513" s="4"/>
      <c r="W17513" s="4"/>
      <c r="X17513" s="4"/>
      <c r="Y17513" s="4"/>
    </row>
    <row r="17514" spans="1:25" customFormat="1" x14ac:dyDescent="0.25">
      <c r="A17514" s="4" t="s">
        <v>24</v>
      </c>
      <c r="B17514" s="4" t="s">
        <v>675</v>
      </c>
      <c r="C17514" s="4" t="str">
        <f>"A0089046"</f>
        <v>A0089046</v>
      </c>
      <c r="D17514" s="4" t="s">
        <v>87229</v>
      </c>
      <c r="E17514" s="4" t="s">
        <v>87230</v>
      </c>
      <c r="F17514" s="4" t="s">
        <v>1889</v>
      </c>
      <c r="G17514" s="4" t="s">
        <v>81</v>
      </c>
      <c r="H17514" s="4">
        <v>33131</v>
      </c>
      <c r="I17514" s="4" t="s">
        <v>30</v>
      </c>
      <c r="J17514" s="4" t="s">
        <v>206</v>
      </c>
      <c r="K17514" s="4" t="s">
        <v>16717</v>
      </c>
      <c r="L17514" s="4"/>
      <c r="M17514" s="4"/>
      <c r="N17514" s="4" t="s">
        <v>87231</v>
      </c>
      <c r="O17514" s="4"/>
      <c r="P17514" s="4"/>
      <c r="Q17514" s="4">
        <v>0</v>
      </c>
      <c r="R17514" s="4">
        <v>148</v>
      </c>
      <c r="S17514" s="4">
        <v>0</v>
      </c>
      <c r="T17514" s="4" t="s">
        <v>87232</v>
      </c>
      <c r="U17514" s="4"/>
      <c r="V17514" s="4"/>
      <c r="W17514" s="4"/>
      <c r="X17514" s="4"/>
      <c r="Y17514" s="4"/>
    </row>
    <row r="17515" spans="1:25" customFormat="1" x14ac:dyDescent="0.25">
      <c r="A17515" s="4" t="s">
        <v>24</v>
      </c>
      <c r="B17515" s="4" t="s">
        <v>675</v>
      </c>
      <c r="C17515" s="4" t="str">
        <f>"SF03217"</f>
        <v>SF03217</v>
      </c>
      <c r="D17515" s="4" t="s">
        <v>87277</v>
      </c>
      <c r="E17515" s="4" t="s">
        <v>84185</v>
      </c>
      <c r="F17515" s="4" t="s">
        <v>1003</v>
      </c>
      <c r="G17515" s="4" t="s">
        <v>81</v>
      </c>
      <c r="H17515" s="4">
        <v>33139</v>
      </c>
      <c r="I17515" s="4" t="s">
        <v>30</v>
      </c>
      <c r="J17515" s="4" t="s">
        <v>206</v>
      </c>
      <c r="K17515" s="4" t="s">
        <v>16717</v>
      </c>
      <c r="L17515" s="4"/>
      <c r="M17515" s="4"/>
      <c r="N17515" s="4" t="s">
        <v>87278</v>
      </c>
      <c r="O17515" s="4" t="s">
        <v>87279</v>
      </c>
      <c r="P17515" s="4"/>
      <c r="Q17515" s="4">
        <v>0</v>
      </c>
      <c r="R17515" s="4">
        <v>407</v>
      </c>
      <c r="S17515" s="4">
        <v>0</v>
      </c>
      <c r="T17515" s="4" t="s">
        <v>87280</v>
      </c>
      <c r="U17515" s="4"/>
      <c r="V17515" s="4"/>
      <c r="W17515" s="4"/>
      <c r="X17515" s="4"/>
      <c r="Y17515" s="4"/>
    </row>
    <row r="17516" spans="1:25" customFormat="1" x14ac:dyDescent="0.25">
      <c r="A17516" s="4" t="s">
        <v>24</v>
      </c>
      <c r="B17516" s="4" t="s">
        <v>675</v>
      </c>
      <c r="C17516" s="4" t="str">
        <f>"8890580"</f>
        <v>8890580</v>
      </c>
      <c r="D17516" s="4" t="s">
        <v>87343</v>
      </c>
      <c r="E17516" s="4" t="s">
        <v>87344</v>
      </c>
      <c r="F17516" s="4" t="s">
        <v>985</v>
      </c>
      <c r="G17516" s="4" t="s">
        <v>81</v>
      </c>
      <c r="H17516" s="4">
        <v>32830</v>
      </c>
      <c r="I17516" s="4" t="s">
        <v>30</v>
      </c>
      <c r="J17516" s="4" t="s">
        <v>206</v>
      </c>
      <c r="K17516" s="4" t="s">
        <v>55170</v>
      </c>
      <c r="L17516" s="4"/>
      <c r="M17516" s="4"/>
      <c r="N17516" s="4" t="s">
        <v>87345</v>
      </c>
      <c r="O17516" s="4" t="s">
        <v>87346</v>
      </c>
      <c r="P17516" s="4"/>
      <c r="Q17516" s="4">
        <v>0</v>
      </c>
      <c r="R17516" s="4">
        <v>1509</v>
      </c>
      <c r="S17516" s="4">
        <v>0</v>
      </c>
      <c r="T17516" s="4" t="s">
        <v>87347</v>
      </c>
      <c r="U17516" s="4"/>
      <c r="V17516" s="4"/>
      <c r="W17516" s="4"/>
      <c r="X17516" s="4"/>
      <c r="Y17516" s="4"/>
    </row>
    <row r="17517" spans="1:25" customFormat="1" x14ac:dyDescent="0.25">
      <c r="A17517" s="4" t="s">
        <v>24</v>
      </c>
      <c r="B17517" s="4" t="s">
        <v>675</v>
      </c>
      <c r="C17517" s="4" t="str">
        <f>"A0096679"</f>
        <v>A0096679</v>
      </c>
      <c r="D17517" s="4" t="s">
        <v>87348</v>
      </c>
      <c r="E17517" s="4" t="s">
        <v>87349</v>
      </c>
      <c r="F17517" s="4" t="s">
        <v>985</v>
      </c>
      <c r="G17517" s="4" t="s">
        <v>81</v>
      </c>
      <c r="H17517" s="4">
        <v>32830</v>
      </c>
      <c r="I17517" s="4" t="s">
        <v>30</v>
      </c>
      <c r="J17517" s="4" t="s">
        <v>206</v>
      </c>
      <c r="K17517" s="4" t="s">
        <v>55170</v>
      </c>
      <c r="L17517" s="4"/>
      <c r="M17517" s="4"/>
      <c r="N17517" s="4" t="s">
        <v>87345</v>
      </c>
      <c r="O17517" s="4" t="s">
        <v>87346</v>
      </c>
      <c r="P17517" s="4"/>
      <c r="Q17517" s="4">
        <v>0</v>
      </c>
      <c r="R17517" s="4">
        <v>758</v>
      </c>
      <c r="S17517" s="4">
        <v>0</v>
      </c>
      <c r="T17517" s="4" t="s">
        <v>87350</v>
      </c>
      <c r="U17517" s="4"/>
      <c r="V17517" s="4"/>
      <c r="W17517" s="4"/>
      <c r="X17517" s="4"/>
      <c r="Y17517" s="4"/>
    </row>
    <row r="17518" spans="1:25" customFormat="1" x14ac:dyDescent="0.25">
      <c r="A17518" s="4" t="s">
        <v>24</v>
      </c>
      <c r="B17518" s="4" t="s">
        <v>649</v>
      </c>
      <c r="C17518" s="4" t="str">
        <f>"A0185653"</f>
        <v>A0185653</v>
      </c>
      <c r="D17518" s="4" t="s">
        <v>12790</v>
      </c>
      <c r="E17518" s="4" t="s">
        <v>12791</v>
      </c>
      <c r="F17518" s="4" t="s">
        <v>1883</v>
      </c>
      <c r="G17518" s="4" t="s">
        <v>846</v>
      </c>
      <c r="H17518" s="4">
        <v>30009</v>
      </c>
      <c r="I17518" s="4" t="s">
        <v>30</v>
      </c>
      <c r="J17518" s="4" t="s">
        <v>206</v>
      </c>
      <c r="K17518" s="4" t="s">
        <v>5707</v>
      </c>
      <c r="L17518" s="4"/>
      <c r="M17518" s="4"/>
      <c r="N17518" s="4" t="s">
        <v>12792</v>
      </c>
      <c r="O17518" s="4"/>
      <c r="P17518" s="4"/>
      <c r="Q17518" s="4">
        <v>0</v>
      </c>
      <c r="R17518" s="4">
        <v>119</v>
      </c>
      <c r="S17518" s="4">
        <v>0</v>
      </c>
      <c r="T17518" s="4" t="s">
        <v>12793</v>
      </c>
      <c r="U17518" s="4"/>
      <c r="V17518" s="4"/>
      <c r="W17518" s="4"/>
      <c r="X17518" s="4"/>
      <c r="Y17518" s="4"/>
    </row>
    <row r="17519" spans="1:25" customFormat="1" x14ac:dyDescent="0.25">
      <c r="A17519" s="4" t="s">
        <v>24</v>
      </c>
      <c r="B17519" s="4" t="s">
        <v>33404</v>
      </c>
      <c r="C17519" s="4" t="str">
        <f>"SF02987"</f>
        <v>SF02987</v>
      </c>
      <c r="D17519" s="4" t="s">
        <v>33405</v>
      </c>
      <c r="E17519" s="4" t="s">
        <v>33406</v>
      </c>
      <c r="F17519" s="4" t="s">
        <v>845</v>
      </c>
      <c r="G17519" s="4" t="s">
        <v>846</v>
      </c>
      <c r="H17519" s="4">
        <v>30326</v>
      </c>
      <c r="I17519" s="4" t="s">
        <v>30</v>
      </c>
      <c r="J17519" s="4" t="s">
        <v>206</v>
      </c>
      <c r="K17519" s="4" t="s">
        <v>6459</v>
      </c>
      <c r="L17519" s="4"/>
      <c r="M17519" s="4"/>
      <c r="N17519" s="4" t="s">
        <v>33407</v>
      </c>
      <c r="O17519" s="4" t="s">
        <v>33408</v>
      </c>
      <c r="P17519" s="4"/>
      <c r="Q17519" s="4">
        <v>0</v>
      </c>
      <c r="R17519" s="4">
        <v>291</v>
      </c>
      <c r="S17519" s="4">
        <v>0</v>
      </c>
      <c r="T17519" s="4" t="s">
        <v>33409</v>
      </c>
      <c r="U17519" s="4"/>
      <c r="V17519" s="4"/>
      <c r="W17519" s="4"/>
      <c r="X17519" s="4"/>
      <c r="Y17519" s="4"/>
    </row>
    <row r="17520" spans="1:25" customFormat="1" x14ac:dyDescent="0.25">
      <c r="A17520" s="4" t="s">
        <v>24</v>
      </c>
      <c r="B17520" s="4" t="s">
        <v>4400</v>
      </c>
      <c r="C17520" s="4" t="str">
        <f>"A0096623"</f>
        <v>A0096623</v>
      </c>
      <c r="D17520" s="4" t="s">
        <v>72625</v>
      </c>
      <c r="E17520" s="4" t="s">
        <v>72626</v>
      </c>
      <c r="F17520" s="4" t="s">
        <v>845</v>
      </c>
      <c r="G17520" s="4" t="s">
        <v>846</v>
      </c>
      <c r="H17520" s="4">
        <v>30361</v>
      </c>
      <c r="I17520" s="4" t="s">
        <v>30</v>
      </c>
      <c r="J17520" s="4" t="s">
        <v>206</v>
      </c>
      <c r="K17520" s="4" t="s">
        <v>163</v>
      </c>
      <c r="L17520" s="4"/>
      <c r="M17520" s="4"/>
      <c r="N17520" s="4" t="s">
        <v>72627</v>
      </c>
      <c r="O17520" s="4" t="s">
        <v>72628</v>
      </c>
      <c r="P17520" s="4"/>
      <c r="Q17520" s="4">
        <v>0</v>
      </c>
      <c r="R17520" s="4">
        <v>466</v>
      </c>
      <c r="S17520" s="4">
        <v>0</v>
      </c>
      <c r="T17520" s="4" t="s">
        <v>72629</v>
      </c>
      <c r="U17520" s="4"/>
      <c r="V17520" s="4"/>
      <c r="W17520" s="4"/>
      <c r="X17520" s="4"/>
      <c r="Y17520" s="4"/>
    </row>
    <row r="17521" spans="1:25" customFormat="1" x14ac:dyDescent="0.25">
      <c r="A17521" s="4" t="s">
        <v>24</v>
      </c>
      <c r="B17521" s="4" t="s">
        <v>3221</v>
      </c>
      <c r="C17521" s="4" t="str">
        <f>"A0063550"</f>
        <v>A0063550</v>
      </c>
      <c r="D17521" s="4" t="s">
        <v>72705</v>
      </c>
      <c r="E17521" s="4" t="s">
        <v>72706</v>
      </c>
      <c r="F17521" s="4" t="s">
        <v>72707</v>
      </c>
      <c r="G17521" s="4" t="s">
        <v>846</v>
      </c>
      <c r="H17521" s="4">
        <v>31328</v>
      </c>
      <c r="I17521" s="4" t="s">
        <v>30</v>
      </c>
      <c r="J17521" s="4" t="s">
        <v>206</v>
      </c>
      <c r="K17521" s="4" t="s">
        <v>163</v>
      </c>
      <c r="L17521" s="4"/>
      <c r="M17521" s="4"/>
      <c r="N17521" s="4" t="s">
        <v>72708</v>
      </c>
      <c r="O17521" s="4"/>
      <c r="P17521" s="4"/>
      <c r="Q17521" s="4">
        <v>0</v>
      </c>
      <c r="R17521" s="4">
        <v>210</v>
      </c>
      <c r="S17521" s="4">
        <v>0</v>
      </c>
      <c r="T17521" s="4" t="s">
        <v>72709</v>
      </c>
      <c r="U17521" s="4"/>
      <c r="V17521" s="4"/>
      <c r="W17521" s="4"/>
      <c r="X17521" s="4"/>
      <c r="Y17521" s="4"/>
    </row>
    <row r="17522" spans="1:25" customFormat="1" x14ac:dyDescent="0.25">
      <c r="A17522" s="4" t="s">
        <v>24</v>
      </c>
      <c r="B17522" s="4" t="s">
        <v>2373</v>
      </c>
      <c r="C17522" s="4" t="str">
        <f>"SF01353"</f>
        <v>SF01353</v>
      </c>
      <c r="D17522" s="4" t="s">
        <v>74625</v>
      </c>
      <c r="E17522" s="4" t="s">
        <v>74626</v>
      </c>
      <c r="F17522" s="4" t="s">
        <v>2839</v>
      </c>
      <c r="G17522" s="4" t="s">
        <v>846</v>
      </c>
      <c r="H17522" s="4">
        <v>31401</v>
      </c>
      <c r="I17522" s="4" t="s">
        <v>30</v>
      </c>
      <c r="J17522" s="4" t="s">
        <v>206</v>
      </c>
      <c r="K17522" s="4" t="s">
        <v>13178</v>
      </c>
      <c r="L17522" s="4"/>
      <c r="M17522" s="4"/>
      <c r="N17522" s="4" t="s">
        <v>70057</v>
      </c>
      <c r="O17522" s="4" t="s">
        <v>74627</v>
      </c>
      <c r="P17522" s="4"/>
      <c r="Q17522" s="4">
        <v>0</v>
      </c>
      <c r="R17522" s="4">
        <v>145</v>
      </c>
      <c r="S17522" s="4">
        <v>0</v>
      </c>
      <c r="T17522" s="4" t="s">
        <v>74628</v>
      </c>
      <c r="U17522" s="4"/>
      <c r="V17522" s="4"/>
      <c r="W17522" s="4"/>
      <c r="X17522" s="4"/>
      <c r="Y17522" s="4"/>
    </row>
    <row r="17523" spans="1:25" customFormat="1" ht="15" hidden="1" x14ac:dyDescent="0.25">
      <c r="A17523" t="s">
        <v>24</v>
      </c>
      <c r="B17523" t="s">
        <v>59461</v>
      </c>
      <c r="C17523" t="str">
        <f>"A0068757"</f>
        <v>A0068757</v>
      </c>
      <c r="D17523" t="s">
        <v>63353</v>
      </c>
      <c r="E17523" t="s">
        <v>63354</v>
      </c>
      <c r="F17523" t="s">
        <v>63355</v>
      </c>
      <c r="G17523" t="s">
        <v>5439</v>
      </c>
      <c r="H17523" t="s">
        <v>63356</v>
      </c>
      <c r="I17523" t="s">
        <v>1459</v>
      </c>
      <c r="J17523" t="s">
        <v>162</v>
      </c>
      <c r="K17523" t="s">
        <v>759</v>
      </c>
      <c r="N17523" t="s">
        <v>63357</v>
      </c>
      <c r="Q17523">
        <v>0</v>
      </c>
      <c r="R17523">
        <v>311</v>
      </c>
      <c r="S17523">
        <v>0</v>
      </c>
      <c r="T17523" t="s">
        <v>63358</v>
      </c>
    </row>
    <row r="17524" spans="1:25" customFormat="1" x14ac:dyDescent="0.25">
      <c r="A17524" s="4" t="s">
        <v>24</v>
      </c>
      <c r="B17524" s="4" t="s">
        <v>3459</v>
      </c>
      <c r="C17524" s="4" t="str">
        <f>"A0117423"</f>
        <v>A0117423</v>
      </c>
      <c r="D17524" s="4" t="s">
        <v>83806</v>
      </c>
      <c r="E17524" s="4" t="s">
        <v>83807</v>
      </c>
      <c r="F17524" s="4" t="s">
        <v>2839</v>
      </c>
      <c r="G17524" s="4" t="s">
        <v>846</v>
      </c>
      <c r="H17524" s="4">
        <v>31401</v>
      </c>
      <c r="I17524" s="4" t="s">
        <v>30</v>
      </c>
      <c r="J17524" s="4" t="s">
        <v>206</v>
      </c>
      <c r="K17524" s="4" t="s">
        <v>3447</v>
      </c>
      <c r="L17524" s="4"/>
      <c r="M17524" s="4"/>
      <c r="N17524" s="4"/>
      <c r="O17524" s="4"/>
      <c r="P17524" s="4"/>
      <c r="Q17524" s="4">
        <v>0</v>
      </c>
      <c r="R17524" s="4">
        <v>214</v>
      </c>
      <c r="S17524" s="4">
        <v>0</v>
      </c>
      <c r="T17524" s="4" t="s">
        <v>83808</v>
      </c>
      <c r="U17524" s="4"/>
      <c r="V17524" s="4"/>
      <c r="W17524" s="4"/>
      <c r="X17524" s="4"/>
      <c r="Y17524" s="4"/>
    </row>
    <row r="17525" spans="1:25" customFormat="1" x14ac:dyDescent="0.25">
      <c r="A17525" s="4" t="s">
        <v>24</v>
      </c>
      <c r="B17525" s="4" t="s">
        <v>2373</v>
      </c>
      <c r="C17525" s="4" t="str">
        <f>"A0099013"</f>
        <v>A0099013</v>
      </c>
      <c r="D17525" s="4" t="s">
        <v>84482</v>
      </c>
      <c r="E17525" s="4" t="s">
        <v>84483</v>
      </c>
      <c r="F17525" s="4" t="s">
        <v>1883</v>
      </c>
      <c r="G17525" s="4" t="s">
        <v>846</v>
      </c>
      <c r="H17525" s="4">
        <v>30009</v>
      </c>
      <c r="I17525" s="4" t="s">
        <v>30</v>
      </c>
      <c r="J17525" s="4" t="s">
        <v>206</v>
      </c>
      <c r="K17525" s="4" t="s">
        <v>6459</v>
      </c>
      <c r="L17525" s="4"/>
      <c r="M17525" s="4"/>
      <c r="N17525" s="4" t="s">
        <v>84484</v>
      </c>
      <c r="O17525" s="4" t="s">
        <v>84485</v>
      </c>
      <c r="P17525" s="4"/>
      <c r="Q17525" s="4">
        <v>0</v>
      </c>
      <c r="R17525" s="4">
        <v>325</v>
      </c>
      <c r="S17525" s="4">
        <v>0</v>
      </c>
      <c r="T17525" s="4" t="s">
        <v>84486</v>
      </c>
      <c r="U17525" s="4"/>
      <c r="V17525" s="4"/>
      <c r="W17525" s="4"/>
      <c r="X17525" s="4"/>
      <c r="Y17525" s="4"/>
    </row>
    <row r="17526" spans="1:25" customFormat="1" x14ac:dyDescent="0.25">
      <c r="A17526" s="4" t="s">
        <v>24</v>
      </c>
      <c r="B17526" s="4" t="s">
        <v>5166</v>
      </c>
      <c r="C17526" s="4" t="str">
        <f>"A0096924"</f>
        <v>A0096924</v>
      </c>
      <c r="D17526" s="4" t="s">
        <v>84842</v>
      </c>
      <c r="E17526" s="4" t="s">
        <v>84843</v>
      </c>
      <c r="F17526" s="4" t="s">
        <v>2839</v>
      </c>
      <c r="G17526" s="4" t="s">
        <v>846</v>
      </c>
      <c r="H17526" s="4">
        <v>31401</v>
      </c>
      <c r="I17526" s="4" t="s">
        <v>30</v>
      </c>
      <c r="J17526" s="4" t="s">
        <v>206</v>
      </c>
      <c r="K17526" s="4" t="s">
        <v>55170</v>
      </c>
      <c r="L17526" s="4"/>
      <c r="M17526" s="4"/>
      <c r="N17526" s="4" t="s">
        <v>84844</v>
      </c>
      <c r="O17526" s="4"/>
      <c r="P17526" s="4"/>
      <c r="Q17526" s="4">
        <v>0</v>
      </c>
      <c r="R17526" s="4">
        <v>168</v>
      </c>
      <c r="S17526" s="4">
        <v>0</v>
      </c>
      <c r="T17526" s="4" t="s">
        <v>84845</v>
      </c>
      <c r="U17526" s="4"/>
      <c r="V17526" s="4"/>
      <c r="W17526" s="4"/>
      <c r="X17526" s="4"/>
      <c r="Y17526" s="4"/>
    </row>
    <row r="17527" spans="1:25" customFormat="1" x14ac:dyDescent="0.25">
      <c r="A17527" s="4" t="s">
        <v>24</v>
      </c>
      <c r="B17527" s="4" t="s">
        <v>675</v>
      </c>
      <c r="C17527" s="4" t="str">
        <f>"73R67"</f>
        <v>73R67</v>
      </c>
      <c r="D17527" s="4" t="s">
        <v>85027</v>
      </c>
      <c r="E17527" s="4" t="s">
        <v>85028</v>
      </c>
      <c r="F17527" s="4" t="s">
        <v>9498</v>
      </c>
      <c r="G17527" s="4" t="s">
        <v>846</v>
      </c>
      <c r="H17527" s="4">
        <v>30642</v>
      </c>
      <c r="I17527" s="4" t="s">
        <v>30</v>
      </c>
      <c r="J17527" s="4" t="s">
        <v>206</v>
      </c>
      <c r="K17527" s="4" t="s">
        <v>680</v>
      </c>
      <c r="L17527" s="4"/>
      <c r="M17527" s="4"/>
      <c r="N17527" s="4" t="s">
        <v>85029</v>
      </c>
      <c r="O17527" s="4" t="s">
        <v>85030</v>
      </c>
      <c r="P17527" s="4" t="s">
        <v>3998</v>
      </c>
      <c r="Q17527" s="4">
        <v>4</v>
      </c>
      <c r="R17527" s="4">
        <v>251</v>
      </c>
      <c r="S17527" s="4">
        <v>0</v>
      </c>
      <c r="T17527" s="4" t="s">
        <v>85031</v>
      </c>
      <c r="U17527" s="4"/>
      <c r="V17527" s="4"/>
      <c r="W17527" s="4"/>
      <c r="X17527" s="4"/>
      <c r="Y17527" s="4"/>
    </row>
    <row r="17528" spans="1:25" customFormat="1" x14ac:dyDescent="0.25">
      <c r="A17528" s="4" t="s">
        <v>24</v>
      </c>
      <c r="B17528" s="4" t="s">
        <v>675</v>
      </c>
      <c r="C17528" s="4" t="str">
        <f>"73R03"</f>
        <v>73R03</v>
      </c>
      <c r="D17528" s="4" t="s">
        <v>85044</v>
      </c>
      <c r="E17528" s="4" t="s">
        <v>85045</v>
      </c>
      <c r="F17528" s="4" t="s">
        <v>845</v>
      </c>
      <c r="G17528" s="4" t="s">
        <v>846</v>
      </c>
      <c r="H17528" s="4">
        <v>30303</v>
      </c>
      <c r="I17528" s="4" t="s">
        <v>30</v>
      </c>
      <c r="J17528" s="4" t="s">
        <v>206</v>
      </c>
      <c r="K17528" s="4" t="s">
        <v>680</v>
      </c>
      <c r="L17528" s="4"/>
      <c r="M17528" s="4"/>
      <c r="N17528" s="4" t="s">
        <v>85046</v>
      </c>
      <c r="O17528" s="4"/>
      <c r="P17528" s="4"/>
      <c r="Q17528" s="4">
        <v>0</v>
      </c>
      <c r="R17528" s="4">
        <v>463</v>
      </c>
      <c r="S17528" s="4">
        <v>0</v>
      </c>
      <c r="T17528" s="4" t="s">
        <v>85047</v>
      </c>
      <c r="U17528" s="4"/>
      <c r="V17528" s="4"/>
      <c r="W17528" s="4"/>
      <c r="X17528" s="4"/>
      <c r="Y17528" s="4"/>
    </row>
    <row r="17529" spans="1:25" customFormat="1" x14ac:dyDescent="0.25">
      <c r="A17529" s="4" t="s">
        <v>24</v>
      </c>
      <c r="B17529" s="4" t="s">
        <v>675</v>
      </c>
      <c r="C17529" s="4" t="str">
        <f>"A0096686"</f>
        <v>A0096686</v>
      </c>
      <c r="D17529" s="4" t="s">
        <v>85296</v>
      </c>
      <c r="E17529" s="4" t="s">
        <v>85297</v>
      </c>
      <c r="F17529" s="4" t="s">
        <v>845</v>
      </c>
      <c r="G17529" s="4" t="s">
        <v>846</v>
      </c>
      <c r="H17529" s="4">
        <v>30305</v>
      </c>
      <c r="I17529" s="4" t="s">
        <v>30</v>
      </c>
      <c r="J17529" s="4" t="s">
        <v>206</v>
      </c>
      <c r="K17529" s="4" t="s">
        <v>5338</v>
      </c>
      <c r="L17529" s="4"/>
      <c r="M17529" s="4"/>
      <c r="N17529" s="4" t="s">
        <v>85298</v>
      </c>
      <c r="O17529" s="4" t="s">
        <v>85299</v>
      </c>
      <c r="P17529" s="4"/>
      <c r="Q17529" s="4">
        <v>0</v>
      </c>
      <c r="R17529" s="4">
        <v>151</v>
      </c>
      <c r="S17529" s="4">
        <v>0</v>
      </c>
      <c r="T17529" s="4" t="s">
        <v>85300</v>
      </c>
      <c r="U17529" s="4"/>
      <c r="V17529" s="4"/>
      <c r="W17529" s="4"/>
      <c r="X17529" s="4"/>
      <c r="Y17529" s="4"/>
    </row>
    <row r="17530" spans="1:25" customFormat="1" x14ac:dyDescent="0.25">
      <c r="A17530" s="4" t="s">
        <v>24</v>
      </c>
      <c r="B17530" s="4" t="s">
        <v>2373</v>
      </c>
      <c r="C17530" s="4" t="str">
        <f>"73R02"</f>
        <v>73R02</v>
      </c>
      <c r="D17530" s="4" t="s">
        <v>85767</v>
      </c>
      <c r="E17530" s="4" t="s">
        <v>85768</v>
      </c>
      <c r="F17530" s="4" t="s">
        <v>845</v>
      </c>
      <c r="G17530" s="4" t="s">
        <v>846</v>
      </c>
      <c r="H17530" s="4">
        <v>30326</v>
      </c>
      <c r="I17530" s="4" t="s">
        <v>30</v>
      </c>
      <c r="J17530" s="4" t="s">
        <v>206</v>
      </c>
      <c r="K17530" s="4" t="s">
        <v>55170</v>
      </c>
      <c r="L17530" s="4"/>
      <c r="M17530" s="4"/>
      <c r="N17530" s="4" t="s">
        <v>85769</v>
      </c>
      <c r="O17530" s="4"/>
      <c r="P17530" s="4"/>
      <c r="Q17530" s="4">
        <v>0</v>
      </c>
      <c r="R17530" s="4">
        <v>582</v>
      </c>
      <c r="S17530" s="4">
        <v>0</v>
      </c>
      <c r="T17530" s="4" t="s">
        <v>85770</v>
      </c>
      <c r="U17530" s="4"/>
      <c r="V17530" s="4"/>
      <c r="W17530" s="4"/>
      <c r="X17530" s="4"/>
      <c r="Y17530" s="4"/>
    </row>
    <row r="17531" spans="1:25" customFormat="1" x14ac:dyDescent="0.25">
      <c r="A17531" s="4" t="s">
        <v>24</v>
      </c>
      <c r="B17531" s="4" t="s">
        <v>1567</v>
      </c>
      <c r="C17531" s="4" t="str">
        <f>"A0096518"</f>
        <v>A0096518</v>
      </c>
      <c r="D17531" s="4" t="s">
        <v>86942</v>
      </c>
      <c r="E17531" s="4" t="s">
        <v>86943</v>
      </c>
      <c r="F17531" s="4" t="s">
        <v>845</v>
      </c>
      <c r="G17531" s="4" t="s">
        <v>846</v>
      </c>
      <c r="H17531" s="4">
        <v>30308</v>
      </c>
      <c r="I17531" s="4" t="s">
        <v>30</v>
      </c>
      <c r="J17531" s="4" t="s">
        <v>206</v>
      </c>
      <c r="K17531" s="4" t="s">
        <v>6459</v>
      </c>
      <c r="L17531" s="4"/>
      <c r="M17531" s="4"/>
      <c r="N17531" s="4" t="s">
        <v>86944</v>
      </c>
      <c r="O17531" s="4"/>
      <c r="P17531" s="4"/>
      <c r="Q17531" s="4">
        <v>0</v>
      </c>
      <c r="R17531" s="4">
        <v>102</v>
      </c>
      <c r="S17531" s="4">
        <v>0</v>
      </c>
      <c r="T17531" s="4" t="s">
        <v>86945</v>
      </c>
      <c r="U17531" s="4"/>
      <c r="V17531" s="4"/>
      <c r="W17531" s="4"/>
      <c r="X17531" s="4"/>
      <c r="Y17531" s="4"/>
    </row>
    <row r="17532" spans="1:25" customFormat="1" x14ac:dyDescent="0.25">
      <c r="A17532" s="4" t="s">
        <v>24</v>
      </c>
      <c r="B17532" s="4" t="s">
        <v>1567</v>
      </c>
      <c r="C17532" s="4" t="str">
        <f>"A0096519"</f>
        <v>A0096519</v>
      </c>
      <c r="D17532" s="4" t="s">
        <v>86946</v>
      </c>
      <c r="E17532" s="4" t="s">
        <v>86947</v>
      </c>
      <c r="F17532" s="4" t="s">
        <v>845</v>
      </c>
      <c r="G17532" s="4" t="s">
        <v>846</v>
      </c>
      <c r="H17532" s="4">
        <v>30363</v>
      </c>
      <c r="I17532" s="4" t="s">
        <v>30</v>
      </c>
      <c r="J17532" s="4" t="s">
        <v>206</v>
      </c>
      <c r="K17532" s="4" t="s">
        <v>6459</v>
      </c>
      <c r="L17532" s="4"/>
      <c r="M17532" s="4"/>
      <c r="N17532" s="4" t="s">
        <v>86948</v>
      </c>
      <c r="O17532" s="4" t="s">
        <v>78294</v>
      </c>
      <c r="P17532" s="4"/>
      <c r="Q17532" s="4">
        <v>0</v>
      </c>
      <c r="R17532" s="4">
        <v>101</v>
      </c>
      <c r="S17532" s="4">
        <v>0</v>
      </c>
      <c r="T17532" s="4" t="s">
        <v>86949</v>
      </c>
      <c r="U17532" s="4"/>
      <c r="V17532" s="4"/>
      <c r="W17532" s="4"/>
      <c r="X17532" s="4"/>
      <c r="Y17532" s="4"/>
    </row>
    <row r="17533" spans="1:25" customFormat="1" x14ac:dyDescent="0.25">
      <c r="A17533" s="4" t="s">
        <v>24</v>
      </c>
      <c r="B17533" s="4" t="s">
        <v>675</v>
      </c>
      <c r="C17533" s="4" t="str">
        <f>"A0096618"</f>
        <v>A0096618</v>
      </c>
      <c r="D17533" s="4" t="s">
        <v>87181</v>
      </c>
      <c r="E17533" s="4" t="s">
        <v>87182</v>
      </c>
      <c r="F17533" s="4" t="s">
        <v>845</v>
      </c>
      <c r="G17533" s="4" t="s">
        <v>846</v>
      </c>
      <c r="H17533" s="4">
        <v>30308</v>
      </c>
      <c r="I17533" s="4" t="s">
        <v>30</v>
      </c>
      <c r="J17533" s="4" t="s">
        <v>206</v>
      </c>
      <c r="K17533" s="4" t="s">
        <v>16717</v>
      </c>
      <c r="L17533" s="4"/>
      <c r="M17533" s="4"/>
      <c r="N17533" s="4" t="s">
        <v>87183</v>
      </c>
      <c r="O17533" s="4" t="s">
        <v>87184</v>
      </c>
      <c r="P17533" s="4"/>
      <c r="Q17533" s="4">
        <v>0</v>
      </c>
      <c r="R17533" s="4">
        <v>237</v>
      </c>
      <c r="S17533" s="4">
        <v>0</v>
      </c>
      <c r="T17533" s="4" t="s">
        <v>87185</v>
      </c>
      <c r="U17533" s="4"/>
      <c r="V17533" s="4"/>
      <c r="W17533" s="4"/>
      <c r="X17533" s="4"/>
      <c r="Y17533" s="4"/>
    </row>
    <row r="17534" spans="1:25" customFormat="1" x14ac:dyDescent="0.25">
      <c r="A17534" s="4" t="s">
        <v>24</v>
      </c>
      <c r="B17534" s="4" t="s">
        <v>13684</v>
      </c>
      <c r="C17534" s="4" t="str">
        <f>"A0091572"</f>
        <v>A0091572</v>
      </c>
      <c r="D17534" s="4" t="s">
        <v>15109</v>
      </c>
      <c r="E17534" s="4" t="s">
        <v>15110</v>
      </c>
      <c r="F17534" s="4" t="s">
        <v>15111</v>
      </c>
      <c r="G17534" s="4" t="s">
        <v>4815</v>
      </c>
      <c r="H17534" s="4">
        <v>96731</v>
      </c>
      <c r="I17534" s="4" t="s">
        <v>30</v>
      </c>
      <c r="J17534" s="4" t="s">
        <v>206</v>
      </c>
      <c r="K17534" s="4" t="s">
        <v>163</v>
      </c>
      <c r="L17534" s="4"/>
      <c r="M17534" s="4"/>
      <c r="N17534" s="4" t="s">
        <v>15112</v>
      </c>
      <c r="O17534" s="4" t="s">
        <v>15113</v>
      </c>
      <c r="P17534" s="4"/>
      <c r="Q17534" s="4">
        <v>0</v>
      </c>
      <c r="R17534" s="4">
        <v>452</v>
      </c>
      <c r="S17534" s="4">
        <v>0</v>
      </c>
      <c r="T17534" s="4" t="s">
        <v>15114</v>
      </c>
      <c r="U17534" s="4"/>
      <c r="V17534" s="4"/>
      <c r="W17534" s="4"/>
      <c r="X17534" s="4"/>
      <c r="Y17534" s="4"/>
    </row>
    <row r="17535" spans="1:25" customFormat="1" x14ac:dyDescent="0.25">
      <c r="A17535" s="4" t="s">
        <v>24</v>
      </c>
      <c r="B17535" s="4" t="s">
        <v>2011</v>
      </c>
      <c r="C17535" s="4" t="str">
        <f>"A0054608"</f>
        <v>A0054608</v>
      </c>
      <c r="D17535" s="4" t="s">
        <v>53923</v>
      </c>
      <c r="E17535" s="4" t="s">
        <v>53924</v>
      </c>
      <c r="F17535" s="4" t="s">
        <v>53925</v>
      </c>
      <c r="G17535" s="4" t="s">
        <v>4815</v>
      </c>
      <c r="H17535" s="4">
        <v>96713</v>
      </c>
      <c r="I17535" s="4" t="s">
        <v>30</v>
      </c>
      <c r="J17535" s="4" t="s">
        <v>206</v>
      </c>
      <c r="K17535" s="4" t="s">
        <v>2015</v>
      </c>
      <c r="L17535" s="4"/>
      <c r="M17535" s="4"/>
      <c r="N17535" s="4" t="s">
        <v>53926</v>
      </c>
      <c r="O17535" s="4" t="s">
        <v>53927</v>
      </c>
      <c r="P17535" s="4"/>
      <c r="Q17535" s="4">
        <v>0</v>
      </c>
      <c r="R17535" s="4">
        <v>84</v>
      </c>
      <c r="S17535" s="4">
        <v>0</v>
      </c>
      <c r="T17535" s="4" t="s">
        <v>53928</v>
      </c>
      <c r="U17535" s="4"/>
      <c r="V17535" s="4"/>
      <c r="W17535" s="4"/>
      <c r="X17535" s="4"/>
      <c r="Y17535" s="4"/>
    </row>
    <row r="17536" spans="1:25" customFormat="1" x14ac:dyDescent="0.25">
      <c r="A17536" s="4" t="s">
        <v>24</v>
      </c>
      <c r="B17536" s="4" t="s">
        <v>67124</v>
      </c>
      <c r="C17536" s="4" t="str">
        <f>"A0063558"</f>
        <v>A0063558</v>
      </c>
      <c r="D17536" s="4" t="s">
        <v>67125</v>
      </c>
      <c r="E17536" s="4" t="s">
        <v>67126</v>
      </c>
      <c r="F17536" s="4" t="s">
        <v>13767</v>
      </c>
      <c r="G17536" s="4" t="s">
        <v>4815</v>
      </c>
      <c r="H17536" s="4">
        <v>96815</v>
      </c>
      <c r="I17536" s="4" t="s">
        <v>30</v>
      </c>
      <c r="J17536" s="4" t="s">
        <v>206</v>
      </c>
      <c r="K17536" s="4" t="s">
        <v>67127</v>
      </c>
      <c r="L17536" s="4"/>
      <c r="M17536" s="4"/>
      <c r="N17536" s="4" t="s">
        <v>67128</v>
      </c>
      <c r="O17536" s="4" t="s">
        <v>67129</v>
      </c>
      <c r="P17536" s="4"/>
      <c r="Q17536" s="4">
        <v>0</v>
      </c>
      <c r="R17536" s="4">
        <v>412</v>
      </c>
      <c r="S17536" s="4">
        <v>0</v>
      </c>
      <c r="T17536" s="4" t="s">
        <v>67130</v>
      </c>
      <c r="U17536" s="4"/>
      <c r="V17536" s="4"/>
      <c r="W17536" s="4"/>
      <c r="X17536" s="4"/>
      <c r="Y17536" s="4"/>
    </row>
    <row r="17537" spans="1:25" customFormat="1" x14ac:dyDescent="0.25">
      <c r="A17537" s="4" t="s">
        <v>24</v>
      </c>
      <c r="B17537" s="4" t="s">
        <v>67124</v>
      </c>
      <c r="C17537" s="4" t="str">
        <f>"A0062596"</f>
        <v>A0062596</v>
      </c>
      <c r="D17537" s="4" t="s">
        <v>67131</v>
      </c>
      <c r="E17537" s="4" t="s">
        <v>67132</v>
      </c>
      <c r="F17537" s="4" t="s">
        <v>13767</v>
      </c>
      <c r="G17537" s="4" t="s">
        <v>4815</v>
      </c>
      <c r="H17537" s="4">
        <v>96815</v>
      </c>
      <c r="I17537" s="4" t="s">
        <v>30</v>
      </c>
      <c r="J17537" s="4" t="s">
        <v>206</v>
      </c>
      <c r="K17537" s="4" t="s">
        <v>163</v>
      </c>
      <c r="L17537" s="4"/>
      <c r="M17537" s="4"/>
      <c r="N17537" s="4" t="s">
        <v>67133</v>
      </c>
      <c r="O17537" s="4"/>
      <c r="P17537" s="4"/>
      <c r="Q17537" s="4">
        <v>0</v>
      </c>
      <c r="R17537" s="4">
        <v>298</v>
      </c>
      <c r="S17537" s="4">
        <v>0</v>
      </c>
      <c r="T17537" s="4" t="s">
        <v>67134</v>
      </c>
      <c r="U17537" s="4"/>
      <c r="V17537" s="4"/>
      <c r="W17537" s="4"/>
      <c r="X17537" s="4"/>
      <c r="Y17537" s="4"/>
    </row>
    <row r="17538" spans="1:25" customFormat="1" x14ac:dyDescent="0.25">
      <c r="A17538" s="4" t="s">
        <v>24</v>
      </c>
      <c r="B17538" s="4" t="s">
        <v>11170</v>
      </c>
      <c r="C17538" s="4" t="str">
        <f>"A0096205"</f>
        <v>A0096205</v>
      </c>
      <c r="D17538" s="4" t="s">
        <v>74723</v>
      </c>
      <c r="E17538" s="4" t="s">
        <v>74724</v>
      </c>
      <c r="F17538" s="4" t="s">
        <v>66972</v>
      </c>
      <c r="G17538" s="4" t="s">
        <v>4815</v>
      </c>
      <c r="H17538" s="4">
        <v>96756</v>
      </c>
      <c r="I17538" s="4" t="s">
        <v>30</v>
      </c>
      <c r="J17538" s="4" t="s">
        <v>206</v>
      </c>
      <c r="K17538" s="4" t="s">
        <v>163</v>
      </c>
      <c r="L17538" s="4"/>
      <c r="M17538" s="4"/>
      <c r="N17538" s="4"/>
      <c r="O17538" s="4"/>
      <c r="P17538" s="4"/>
      <c r="Q17538" s="4">
        <v>0</v>
      </c>
      <c r="R17538" s="4">
        <v>121</v>
      </c>
      <c r="S17538" s="4">
        <v>0</v>
      </c>
      <c r="T17538" s="4" t="s">
        <v>74725</v>
      </c>
      <c r="U17538" s="4"/>
      <c r="V17538" s="4"/>
      <c r="W17538" s="4"/>
      <c r="X17538" s="4"/>
      <c r="Y17538" s="4"/>
    </row>
    <row r="17539" spans="1:25" customFormat="1" x14ac:dyDescent="0.25">
      <c r="A17539" s="4" t="s">
        <v>24</v>
      </c>
      <c r="B17539" s="4" t="s">
        <v>10398</v>
      </c>
      <c r="C17539" s="4" t="str">
        <f>"A0097862"</f>
        <v>A0097862</v>
      </c>
      <c r="D17539" s="4" t="s">
        <v>74730</v>
      </c>
      <c r="E17539" s="4" t="s">
        <v>74731</v>
      </c>
      <c r="F17539" s="4" t="s">
        <v>66972</v>
      </c>
      <c r="G17539" s="4" t="s">
        <v>4815</v>
      </c>
      <c r="H17539" s="4">
        <v>96756</v>
      </c>
      <c r="I17539" s="4" t="s">
        <v>30</v>
      </c>
      <c r="J17539" s="4" t="s">
        <v>206</v>
      </c>
      <c r="K17539" s="4" t="s">
        <v>6459</v>
      </c>
      <c r="L17539" s="4"/>
      <c r="M17539" s="4"/>
      <c r="N17539" s="4" t="s">
        <v>74732</v>
      </c>
      <c r="O17539" s="4" t="s">
        <v>74733</v>
      </c>
      <c r="P17539" s="4"/>
      <c r="Q17539" s="4">
        <v>0</v>
      </c>
      <c r="R17539" s="4">
        <v>306</v>
      </c>
      <c r="S17539" s="4">
        <v>0</v>
      </c>
      <c r="T17539" s="4" t="s">
        <v>74734</v>
      </c>
      <c r="U17539" s="4"/>
      <c r="V17539" s="4"/>
      <c r="W17539" s="4"/>
      <c r="X17539" s="4"/>
      <c r="Y17539" s="4"/>
    </row>
    <row r="17540" spans="1:25" customFormat="1" x14ac:dyDescent="0.25">
      <c r="A17540" s="4" t="s">
        <v>24</v>
      </c>
      <c r="B17540" s="4" t="s">
        <v>75393</v>
      </c>
      <c r="C17540" s="4" t="str">
        <f>"A0075341"</f>
        <v>A0075341</v>
      </c>
      <c r="D17540" s="4" t="s">
        <v>75394</v>
      </c>
      <c r="E17540" s="4" t="s">
        <v>75395</v>
      </c>
      <c r="F17540" s="4" t="s">
        <v>75396</v>
      </c>
      <c r="G17540" s="4" t="s">
        <v>4815</v>
      </c>
      <c r="H17540" s="4">
        <v>96753</v>
      </c>
      <c r="I17540" s="4" t="s">
        <v>30</v>
      </c>
      <c r="J17540" s="4" t="s">
        <v>206</v>
      </c>
      <c r="K17540" s="4" t="s">
        <v>163</v>
      </c>
      <c r="L17540" s="4"/>
      <c r="M17540" s="4"/>
      <c r="N17540" s="4" t="s">
        <v>75397</v>
      </c>
      <c r="O17540" s="4" t="s">
        <v>75398</v>
      </c>
      <c r="P17540" s="4" t="s">
        <v>3998</v>
      </c>
      <c r="Q17540" s="4">
        <v>1</v>
      </c>
      <c r="R17540" s="4">
        <v>310</v>
      </c>
      <c r="S17540" s="4">
        <v>0</v>
      </c>
      <c r="T17540" s="4" t="s">
        <v>75399</v>
      </c>
      <c r="U17540" s="4"/>
      <c r="V17540" s="4"/>
      <c r="W17540" s="4"/>
      <c r="X17540" s="4"/>
      <c r="Y17540" s="4"/>
    </row>
    <row r="17541" spans="1:25" customFormat="1" x14ac:dyDescent="0.25">
      <c r="A17541" s="4" t="s">
        <v>24</v>
      </c>
      <c r="B17541" s="4" t="s">
        <v>76156</v>
      </c>
      <c r="C17541" s="4" t="str">
        <f>"A0054029"</f>
        <v>A0054029</v>
      </c>
      <c r="D17541" s="4" t="s">
        <v>76157</v>
      </c>
      <c r="E17541" s="4" t="s">
        <v>76158</v>
      </c>
      <c r="F17541" s="4" t="s">
        <v>76159</v>
      </c>
      <c r="G17541" s="4" t="s">
        <v>4815</v>
      </c>
      <c r="H17541" s="4">
        <v>96743</v>
      </c>
      <c r="I17541" s="4" t="s">
        <v>30</v>
      </c>
      <c r="J17541" s="4" t="s">
        <v>206</v>
      </c>
      <c r="K17541" s="4" t="s">
        <v>6459</v>
      </c>
      <c r="L17541" s="4"/>
      <c r="M17541" s="4"/>
      <c r="N17541" s="4" t="s">
        <v>76160</v>
      </c>
      <c r="O17541" s="4"/>
      <c r="P17541" s="4" t="s">
        <v>3998</v>
      </c>
      <c r="Q17541" s="4">
        <v>1</v>
      </c>
      <c r="R17541" s="4">
        <v>252</v>
      </c>
      <c r="S17541" s="4">
        <v>0</v>
      </c>
      <c r="T17541" s="4" t="s">
        <v>76161</v>
      </c>
      <c r="U17541" s="4"/>
      <c r="V17541" s="4"/>
      <c r="W17541" s="4"/>
      <c r="X17541" s="4"/>
      <c r="Y17541" s="4"/>
    </row>
    <row r="17542" spans="1:25" customFormat="1" x14ac:dyDescent="0.25">
      <c r="A17542" s="4" t="s">
        <v>24</v>
      </c>
      <c r="B17542" s="4" t="s">
        <v>5384</v>
      </c>
      <c r="C17542" s="4" t="str">
        <f>"A0064195"</f>
        <v>A0064195</v>
      </c>
      <c r="D17542" s="4" t="s">
        <v>76162</v>
      </c>
      <c r="E17542" s="4" t="s">
        <v>76163</v>
      </c>
      <c r="F17542" s="4" t="s">
        <v>76159</v>
      </c>
      <c r="G17542" s="4" t="s">
        <v>4815</v>
      </c>
      <c r="H17542" s="4">
        <v>96743</v>
      </c>
      <c r="I17542" s="4" t="s">
        <v>30</v>
      </c>
      <c r="J17542" s="4" t="s">
        <v>206</v>
      </c>
      <c r="K17542" s="4" t="s">
        <v>67127</v>
      </c>
      <c r="L17542" s="4"/>
      <c r="M17542" s="4"/>
      <c r="N17542" s="4" t="s">
        <v>76164</v>
      </c>
      <c r="O17542" s="4" t="s">
        <v>76165</v>
      </c>
      <c r="P17542" s="4" t="s">
        <v>3998</v>
      </c>
      <c r="Q17542" s="4">
        <v>3</v>
      </c>
      <c r="R17542" s="4">
        <v>353</v>
      </c>
      <c r="S17542" s="4">
        <v>0</v>
      </c>
      <c r="T17542" s="4" t="s">
        <v>76166</v>
      </c>
      <c r="U17542" s="4"/>
      <c r="V17542" s="4"/>
      <c r="W17542" s="4"/>
      <c r="X17542" s="4"/>
      <c r="Y17542" s="4"/>
    </row>
    <row r="17543" spans="1:25" customFormat="1" x14ac:dyDescent="0.25">
      <c r="A17543" s="4" t="s">
        <v>24</v>
      </c>
      <c r="B17543" s="4" t="s">
        <v>7674</v>
      </c>
      <c r="C17543" s="4" t="str">
        <f>"A0054507"</f>
        <v>A0054507</v>
      </c>
      <c r="D17543" s="4" t="s">
        <v>76409</v>
      </c>
      <c r="E17543" s="4" t="s">
        <v>76410</v>
      </c>
      <c r="F17543" s="4" t="s">
        <v>35740</v>
      </c>
      <c r="G17543" s="4" t="s">
        <v>4815</v>
      </c>
      <c r="H17543" s="4">
        <v>96761</v>
      </c>
      <c r="I17543" s="4" t="s">
        <v>30</v>
      </c>
      <c r="J17543" s="4" t="s">
        <v>206</v>
      </c>
      <c r="K17543" s="4" t="s">
        <v>9098</v>
      </c>
      <c r="L17543" s="4"/>
      <c r="M17543" s="4"/>
      <c r="N17543" s="4" t="s">
        <v>76411</v>
      </c>
      <c r="O17543" s="4" t="s">
        <v>76412</v>
      </c>
      <c r="P17543" s="4"/>
      <c r="Q17543" s="4">
        <v>0</v>
      </c>
      <c r="R17543" s="4">
        <v>194</v>
      </c>
      <c r="S17543" s="4">
        <v>0</v>
      </c>
      <c r="T17543" s="4" t="s">
        <v>76413</v>
      </c>
      <c r="U17543" s="4"/>
      <c r="V17543" s="4"/>
      <c r="W17543" s="4"/>
      <c r="X17543" s="4"/>
      <c r="Y17543" s="4"/>
    </row>
    <row r="17544" spans="1:25" customFormat="1" x14ac:dyDescent="0.25">
      <c r="A17544" s="4" t="s">
        <v>24</v>
      </c>
      <c r="B17544" s="4" t="s">
        <v>6611</v>
      </c>
      <c r="C17544" s="4" t="str">
        <f>"CL1259"</f>
        <v>CL1259</v>
      </c>
      <c r="D17544" s="4" t="s">
        <v>77569</v>
      </c>
      <c r="E17544" s="4" t="s">
        <v>77570</v>
      </c>
      <c r="F17544" s="4" t="s">
        <v>77571</v>
      </c>
      <c r="G17544" s="4" t="s">
        <v>4815</v>
      </c>
      <c r="H17544" s="4">
        <v>96722</v>
      </c>
      <c r="I17544" s="4" t="s">
        <v>30</v>
      </c>
      <c r="J17544" s="4" t="s">
        <v>206</v>
      </c>
      <c r="K17544" s="4" t="s">
        <v>163</v>
      </c>
      <c r="L17544" s="4"/>
      <c r="M17544" s="4"/>
      <c r="N17544" s="4" t="s">
        <v>77572</v>
      </c>
      <c r="O17544" s="4" t="s">
        <v>77573</v>
      </c>
      <c r="P17544" s="4"/>
      <c r="Q17544" s="4">
        <v>0</v>
      </c>
      <c r="R17544" s="4">
        <v>252</v>
      </c>
      <c r="S17544" s="4">
        <v>0</v>
      </c>
      <c r="T17544" s="4" t="s">
        <v>77574</v>
      </c>
      <c r="U17544" s="4"/>
      <c r="V17544" s="4"/>
      <c r="W17544" s="4"/>
      <c r="X17544" s="4"/>
      <c r="Y17544" s="4"/>
    </row>
    <row r="17545" spans="1:25" customFormat="1" x14ac:dyDescent="0.25">
      <c r="A17545" s="4" t="s">
        <v>24</v>
      </c>
      <c r="B17545" s="4" t="s">
        <v>13304</v>
      </c>
      <c r="C17545" s="4" t="str">
        <f>"FM011"</f>
        <v>FM011</v>
      </c>
      <c r="D17545" s="4" t="s">
        <v>84274</v>
      </c>
      <c r="E17545" s="4" t="s">
        <v>84275</v>
      </c>
      <c r="F17545" s="4" t="s">
        <v>35268</v>
      </c>
      <c r="G17545" s="4" t="s">
        <v>4815</v>
      </c>
      <c r="H17545" s="4">
        <v>96753</v>
      </c>
      <c r="I17545" s="4" t="s">
        <v>30</v>
      </c>
      <c r="J17545" s="4" t="s">
        <v>206</v>
      </c>
      <c r="K17545" s="4" t="s">
        <v>32744</v>
      </c>
      <c r="L17545" s="4"/>
      <c r="M17545" s="4"/>
      <c r="N17545" s="4" t="s">
        <v>84276</v>
      </c>
      <c r="O17545" s="4"/>
      <c r="P17545" s="4"/>
      <c r="Q17545" s="4">
        <v>0</v>
      </c>
      <c r="R17545" s="4">
        <v>450</v>
      </c>
      <c r="S17545" s="4">
        <v>0</v>
      </c>
      <c r="T17545" s="4" t="s">
        <v>84277</v>
      </c>
      <c r="U17545" s="4"/>
      <c r="V17545" s="4"/>
      <c r="W17545" s="4"/>
      <c r="X17545" s="4"/>
      <c r="Y17545" s="4"/>
    </row>
    <row r="17546" spans="1:25" customFormat="1" x14ac:dyDescent="0.25">
      <c r="A17546" s="4" t="s">
        <v>24</v>
      </c>
      <c r="B17546" s="4" t="s">
        <v>13304</v>
      </c>
      <c r="C17546" s="4" t="str">
        <f>"A0065410"</f>
        <v>A0065410</v>
      </c>
      <c r="D17546" s="4" t="s">
        <v>84298</v>
      </c>
      <c r="E17546" s="4" t="s">
        <v>84299</v>
      </c>
      <c r="F17546" s="4" t="s">
        <v>84300</v>
      </c>
      <c r="G17546" s="4" t="s">
        <v>4815</v>
      </c>
      <c r="H17546" s="4">
        <v>96743</v>
      </c>
      <c r="I17546" s="4" t="s">
        <v>30</v>
      </c>
      <c r="J17546" s="4" t="s">
        <v>206</v>
      </c>
      <c r="K17546" s="4" t="s">
        <v>32744</v>
      </c>
      <c r="L17546" s="4"/>
      <c r="M17546" s="4"/>
      <c r="N17546" s="4" t="s">
        <v>84301</v>
      </c>
      <c r="O17546" s="4" t="s">
        <v>84302</v>
      </c>
      <c r="P17546" s="4" t="s">
        <v>3998</v>
      </c>
      <c r="Q17546" s="4">
        <v>2</v>
      </c>
      <c r="R17546" s="4">
        <v>540</v>
      </c>
      <c r="S17546" s="4">
        <v>0</v>
      </c>
      <c r="T17546" s="4" t="s">
        <v>84303</v>
      </c>
      <c r="U17546" s="4"/>
      <c r="V17546" s="4"/>
      <c r="W17546" s="4"/>
      <c r="X17546" s="4"/>
      <c r="Y17546" s="4"/>
    </row>
    <row r="17547" spans="1:25" customFormat="1" ht="15" hidden="1" x14ac:dyDescent="0.25">
      <c r="A17547" t="s">
        <v>24</v>
      </c>
      <c r="B17547" t="s">
        <v>62565</v>
      </c>
      <c r="C17547" t="str">
        <f>"A0076211"</f>
        <v>A0076211</v>
      </c>
      <c r="D17547" t="s">
        <v>63469</v>
      </c>
      <c r="E17547" t="s">
        <v>63470</v>
      </c>
      <c r="F17547" t="s">
        <v>13197</v>
      </c>
      <c r="G17547" t="s">
        <v>2206</v>
      </c>
      <c r="H17547" t="s">
        <v>63471</v>
      </c>
      <c r="I17547" t="s">
        <v>1459</v>
      </c>
      <c r="J17547" t="s">
        <v>162</v>
      </c>
      <c r="K17547" t="s">
        <v>759</v>
      </c>
      <c r="N17547" t="s">
        <v>63472</v>
      </c>
      <c r="O17547" t="s">
        <v>63473</v>
      </c>
      <c r="Q17547">
        <v>0</v>
      </c>
      <c r="R17547">
        <v>452</v>
      </c>
      <c r="S17547">
        <v>0</v>
      </c>
      <c r="T17547" t="s">
        <v>63474</v>
      </c>
    </row>
    <row r="17548" spans="1:25" customFormat="1" x14ac:dyDescent="0.25">
      <c r="A17548" s="4" t="s">
        <v>24</v>
      </c>
      <c r="B17548" s="4" t="s">
        <v>76156</v>
      </c>
      <c r="C17548" s="4" t="str">
        <f>"A0075342"</f>
        <v>A0075342</v>
      </c>
      <c r="D17548" s="4" t="s">
        <v>84451</v>
      </c>
      <c r="E17548" s="4" t="s">
        <v>84452</v>
      </c>
      <c r="F17548" s="4" t="s">
        <v>13767</v>
      </c>
      <c r="G17548" s="4" t="s">
        <v>4815</v>
      </c>
      <c r="H17548" s="4">
        <v>96815</v>
      </c>
      <c r="I17548" s="4" t="s">
        <v>30</v>
      </c>
      <c r="J17548" s="4" t="s">
        <v>206</v>
      </c>
      <c r="K17548" s="4" t="s">
        <v>84453</v>
      </c>
      <c r="L17548" s="4"/>
      <c r="M17548" s="4"/>
      <c r="N17548" s="4"/>
      <c r="O17548" s="4"/>
      <c r="P17548" s="4" t="s">
        <v>3998</v>
      </c>
      <c r="Q17548" s="4">
        <v>2</v>
      </c>
      <c r="R17548" s="4">
        <v>521</v>
      </c>
      <c r="S17548" s="4">
        <v>0</v>
      </c>
      <c r="T17548" s="4" t="s">
        <v>84454</v>
      </c>
      <c r="U17548" s="4"/>
      <c r="V17548" s="4"/>
      <c r="W17548" s="4"/>
      <c r="X17548" s="4"/>
      <c r="Y17548" s="4"/>
    </row>
    <row r="17549" spans="1:25" customFormat="1" x14ac:dyDescent="0.25">
      <c r="A17549" s="4" t="s">
        <v>24</v>
      </c>
      <c r="B17549" s="4" t="s">
        <v>84564</v>
      </c>
      <c r="C17549" s="4" t="str">
        <f>"A0054508"</f>
        <v>A0054508</v>
      </c>
      <c r="D17549" s="4" t="s">
        <v>84565</v>
      </c>
      <c r="E17549" s="4" t="s">
        <v>84566</v>
      </c>
      <c r="F17549" s="4" t="s">
        <v>4814</v>
      </c>
      <c r="G17549" s="4" t="s">
        <v>4815</v>
      </c>
      <c r="H17549" s="4">
        <v>96816</v>
      </c>
      <c r="I17549" s="4" t="s">
        <v>30</v>
      </c>
      <c r="J17549" s="4" t="s">
        <v>206</v>
      </c>
      <c r="K17549" s="4" t="s">
        <v>163</v>
      </c>
      <c r="L17549" s="4"/>
      <c r="M17549" s="4"/>
      <c r="N17549" s="4" t="s">
        <v>84567</v>
      </c>
      <c r="O17549" s="4" t="s">
        <v>84568</v>
      </c>
      <c r="P17549" s="4"/>
      <c r="Q17549" s="4">
        <v>0</v>
      </c>
      <c r="R17549" s="4">
        <v>338</v>
      </c>
      <c r="S17549" s="4">
        <v>0</v>
      </c>
      <c r="T17549" s="4" t="s">
        <v>84569</v>
      </c>
      <c r="U17549" s="4"/>
      <c r="V17549" s="4"/>
      <c r="W17549" s="4"/>
      <c r="X17549" s="4"/>
      <c r="Y17549" s="4"/>
    </row>
    <row r="17550" spans="1:25" customFormat="1" x14ac:dyDescent="0.25">
      <c r="A17550" s="4" t="s">
        <v>24</v>
      </c>
      <c r="B17550" s="4" t="s">
        <v>1849</v>
      </c>
      <c r="C17550" s="4" t="str">
        <f>"A0060032"</f>
        <v>A0060032</v>
      </c>
      <c r="D17550" s="4" t="s">
        <v>84615</v>
      </c>
      <c r="E17550" s="4" t="s">
        <v>84616</v>
      </c>
      <c r="F17550" s="4" t="s">
        <v>13767</v>
      </c>
      <c r="G17550" s="4" t="s">
        <v>4815</v>
      </c>
      <c r="H17550" s="4">
        <v>96815</v>
      </c>
      <c r="I17550" s="4" t="s">
        <v>30</v>
      </c>
      <c r="J17550" s="4" t="s">
        <v>206</v>
      </c>
      <c r="K17550" s="4" t="s">
        <v>6459</v>
      </c>
      <c r="L17550" s="4"/>
      <c r="M17550" s="4"/>
      <c r="N17550" s="4" t="s">
        <v>84617</v>
      </c>
      <c r="O17550" s="4" t="s">
        <v>84618</v>
      </c>
      <c r="P17550" s="4"/>
      <c r="Q17550" s="4">
        <v>0</v>
      </c>
      <c r="R17550" s="4">
        <v>251</v>
      </c>
      <c r="S17550" s="4">
        <v>0</v>
      </c>
      <c r="T17550" s="4" t="s">
        <v>84619</v>
      </c>
      <c r="U17550" s="4"/>
      <c r="V17550" s="4"/>
      <c r="W17550" s="4"/>
      <c r="X17550" s="4"/>
      <c r="Y17550" s="4"/>
    </row>
    <row r="17551" spans="1:25" customFormat="1" x14ac:dyDescent="0.25">
      <c r="A17551" s="4" t="s">
        <v>24</v>
      </c>
      <c r="B17551" s="4" t="s">
        <v>675</v>
      </c>
      <c r="C17551" s="4" t="str">
        <f>"73R26"</f>
        <v>73R26</v>
      </c>
      <c r="D17551" s="4" t="s">
        <v>85103</v>
      </c>
      <c r="E17551" s="4" t="s">
        <v>85104</v>
      </c>
      <c r="F17551" s="4" t="s">
        <v>85105</v>
      </c>
      <c r="G17551" s="4" t="s">
        <v>4815</v>
      </c>
      <c r="H17551" s="4">
        <v>96761</v>
      </c>
      <c r="I17551" s="4" t="s">
        <v>30</v>
      </c>
      <c r="J17551" s="4" t="s">
        <v>206</v>
      </c>
      <c r="K17551" s="4" t="s">
        <v>680</v>
      </c>
      <c r="L17551" s="4"/>
      <c r="M17551" s="4"/>
      <c r="N17551" s="4" t="s">
        <v>85106</v>
      </c>
      <c r="O17551" s="4" t="s">
        <v>85107</v>
      </c>
      <c r="P17551" s="4" t="s">
        <v>3998</v>
      </c>
      <c r="Q17551" s="4">
        <v>1</v>
      </c>
      <c r="R17551" s="4">
        <v>463</v>
      </c>
      <c r="S17551" s="4">
        <v>0</v>
      </c>
      <c r="T17551" s="4" t="s">
        <v>85108</v>
      </c>
      <c r="U17551" s="4"/>
      <c r="V17551" s="4"/>
      <c r="W17551" s="4"/>
      <c r="X17551" s="4"/>
      <c r="Y17551" s="4"/>
    </row>
    <row r="17552" spans="1:25" customFormat="1" x14ac:dyDescent="0.25">
      <c r="A17552" s="4" t="s">
        <v>24</v>
      </c>
      <c r="B17552" s="4" t="s">
        <v>675</v>
      </c>
      <c r="C17552" s="4" t="str">
        <f>"A0096713"</f>
        <v>A0096713</v>
      </c>
      <c r="D17552" s="4" t="s">
        <v>85203</v>
      </c>
      <c r="E17552" s="4" t="s">
        <v>85204</v>
      </c>
      <c r="F17552" s="4" t="s">
        <v>13767</v>
      </c>
      <c r="G17552" s="4" t="s">
        <v>4815</v>
      </c>
      <c r="H17552" s="4">
        <v>96815</v>
      </c>
      <c r="I17552" s="4" t="s">
        <v>30</v>
      </c>
      <c r="J17552" s="4" t="s">
        <v>206</v>
      </c>
      <c r="K17552" s="4" t="s">
        <v>55170</v>
      </c>
      <c r="L17552" s="4"/>
      <c r="M17552" s="4"/>
      <c r="N17552" s="4"/>
      <c r="O17552" s="4"/>
      <c r="P17552" s="4"/>
      <c r="Q17552" s="4">
        <v>0</v>
      </c>
      <c r="R17552" s="4">
        <v>528</v>
      </c>
      <c r="S17552" s="4">
        <v>0</v>
      </c>
      <c r="T17552" s="4" t="s">
        <v>85205</v>
      </c>
      <c r="U17552" s="4"/>
      <c r="V17552" s="4"/>
      <c r="W17552" s="4"/>
      <c r="X17552" s="4"/>
      <c r="Y17552" s="4"/>
    </row>
    <row r="17553" spans="1:25" customFormat="1" ht="15" x14ac:dyDescent="0.25">
      <c r="A17553" t="s">
        <v>24</v>
      </c>
      <c r="B17553" t="s">
        <v>2360</v>
      </c>
      <c r="C17553" t="str">
        <f>"CL0632"</f>
        <v>CL0632</v>
      </c>
      <c r="D17553" t="s">
        <v>63498</v>
      </c>
      <c r="E17553" t="s">
        <v>63499</v>
      </c>
      <c r="F17553" t="s">
        <v>1564</v>
      </c>
      <c r="G17553" t="s">
        <v>52</v>
      </c>
      <c r="H17553">
        <v>77002</v>
      </c>
      <c r="I17553" t="s">
        <v>30</v>
      </c>
      <c r="J17553" t="s">
        <v>2558</v>
      </c>
      <c r="K17553" t="s">
        <v>56092</v>
      </c>
      <c r="N17553" t="s">
        <v>63500</v>
      </c>
      <c r="O17553" t="s">
        <v>63501</v>
      </c>
      <c r="Q17553">
        <v>0</v>
      </c>
      <c r="R17553">
        <v>0</v>
      </c>
      <c r="S17553">
        <v>0</v>
      </c>
      <c r="T17553" t="s">
        <v>63502</v>
      </c>
    </row>
    <row r="17554" spans="1:25" customFormat="1" ht="15" x14ac:dyDescent="0.25">
      <c r="A17554" t="s">
        <v>24</v>
      </c>
      <c r="B17554" t="s">
        <v>2360</v>
      </c>
      <c r="C17554" t="str">
        <f>"CL0192"</f>
        <v>CL0192</v>
      </c>
      <c r="D17554" t="s">
        <v>63503</v>
      </c>
      <c r="E17554" t="s">
        <v>63504</v>
      </c>
      <c r="F17554" t="s">
        <v>1564</v>
      </c>
      <c r="G17554" t="s">
        <v>52</v>
      </c>
      <c r="H17554">
        <v>77002</v>
      </c>
      <c r="I17554" t="s">
        <v>30</v>
      </c>
      <c r="J17554" t="s">
        <v>2558</v>
      </c>
      <c r="K17554" t="s">
        <v>56092</v>
      </c>
      <c r="Q17554">
        <v>0</v>
      </c>
      <c r="R17554">
        <v>0</v>
      </c>
      <c r="S17554">
        <v>0</v>
      </c>
      <c r="T17554" t="s">
        <v>63505</v>
      </c>
    </row>
    <row r="17555" spans="1:25" customFormat="1" x14ac:dyDescent="0.25">
      <c r="A17555" s="4" t="s">
        <v>24</v>
      </c>
      <c r="B17555" s="4" t="s">
        <v>2583</v>
      </c>
      <c r="C17555" s="4" t="str">
        <f>"A0087296"</f>
        <v>A0087296</v>
      </c>
      <c r="D17555" s="4" t="s">
        <v>72445</v>
      </c>
      <c r="E17555" s="4" t="s">
        <v>5007</v>
      </c>
      <c r="F17555" s="4" t="s">
        <v>5008</v>
      </c>
      <c r="G17555" s="4" t="s">
        <v>1898</v>
      </c>
      <c r="H17555" s="4">
        <v>50309</v>
      </c>
      <c r="I17555" s="4" t="s">
        <v>30</v>
      </c>
      <c r="J17555" s="4" t="s">
        <v>206</v>
      </c>
      <c r="K17555" s="4" t="s">
        <v>5707</v>
      </c>
      <c r="L17555" s="4"/>
      <c r="M17555" s="4"/>
      <c r="N17555" s="4" t="s">
        <v>72446</v>
      </c>
      <c r="O17555" s="4"/>
      <c r="P17555" s="4"/>
      <c r="Q17555" s="4">
        <v>0</v>
      </c>
      <c r="R17555" s="4">
        <v>156</v>
      </c>
      <c r="S17555" s="4">
        <v>0</v>
      </c>
      <c r="T17555" s="4" t="s">
        <v>72447</v>
      </c>
      <c r="U17555" s="4"/>
      <c r="V17555" s="4"/>
      <c r="W17555" s="4"/>
      <c r="X17555" s="4"/>
      <c r="Y17555" s="4"/>
    </row>
    <row r="17556" spans="1:25" customFormat="1" ht="15" x14ac:dyDescent="0.25">
      <c r="A17556" t="s">
        <v>24</v>
      </c>
      <c r="B17556" t="s">
        <v>149</v>
      </c>
      <c r="C17556" t="str">
        <f>"A0154204"</f>
        <v>A0154204</v>
      </c>
      <c r="D17556" t="s">
        <v>63510</v>
      </c>
      <c r="E17556" t="s">
        <v>63511</v>
      </c>
      <c r="F17556" t="s">
        <v>5551</v>
      </c>
      <c r="G17556" t="s">
        <v>110</v>
      </c>
      <c r="H17556">
        <v>94515</v>
      </c>
      <c r="I17556" t="s">
        <v>30</v>
      </c>
      <c r="J17556" t="s">
        <v>31</v>
      </c>
      <c r="K17556" t="s">
        <v>163</v>
      </c>
      <c r="N17556" t="s">
        <v>63512</v>
      </c>
      <c r="Q17556">
        <v>0</v>
      </c>
      <c r="R17556">
        <v>42</v>
      </c>
      <c r="S17556">
        <v>0</v>
      </c>
      <c r="T17556" t="s">
        <v>63513</v>
      </c>
    </row>
    <row r="17557" spans="1:25" x14ac:dyDescent="0.25">
      <c r="A17557" s="3" t="s">
        <v>24</v>
      </c>
      <c r="B17557" s="3" t="s">
        <v>675</v>
      </c>
      <c r="C17557" s="3" t="str">
        <f>"A0186951"</f>
        <v>A0186951</v>
      </c>
      <c r="D17557" s="3" t="s">
        <v>5336</v>
      </c>
      <c r="E17557" s="3" t="s">
        <v>5337</v>
      </c>
      <c r="F17557" s="3" t="s">
        <v>716</v>
      </c>
      <c r="G17557" s="3" t="s">
        <v>289</v>
      </c>
      <c r="H17557" s="3">
        <v>60601</v>
      </c>
      <c r="I17557" s="3" t="s">
        <v>30</v>
      </c>
      <c r="J17557" s="3" t="s">
        <v>206</v>
      </c>
      <c r="K17557" s="3" t="s">
        <v>5338</v>
      </c>
      <c r="N17557" s="3" t="s">
        <v>5339</v>
      </c>
      <c r="O17557" s="3" t="s">
        <v>5340</v>
      </c>
      <c r="Q17557" s="3">
        <v>0</v>
      </c>
      <c r="R17557" s="3">
        <v>192</v>
      </c>
      <c r="S17557" s="3">
        <v>0</v>
      </c>
      <c r="T17557" s="3" t="s">
        <v>192</v>
      </c>
    </row>
    <row r="17558" spans="1:25" customFormat="1" x14ac:dyDescent="0.25">
      <c r="A17558" s="4" t="s">
        <v>24</v>
      </c>
      <c r="B17558" s="4" t="s">
        <v>16434</v>
      </c>
      <c r="C17558" s="4" t="str">
        <f>"A0166076"</f>
        <v>A0166076</v>
      </c>
      <c r="D17558" s="4" t="s">
        <v>16674</v>
      </c>
      <c r="E17558" s="4" t="s">
        <v>16675</v>
      </c>
      <c r="F17558" s="4" t="s">
        <v>716</v>
      </c>
      <c r="G17558" s="4" t="s">
        <v>289</v>
      </c>
      <c r="H17558" s="4">
        <v>60601</v>
      </c>
      <c r="I17558" s="4" t="s">
        <v>30</v>
      </c>
      <c r="J17558" s="4" t="s">
        <v>206</v>
      </c>
      <c r="K17558" s="4" t="s">
        <v>163</v>
      </c>
      <c r="L17558" s="4"/>
      <c r="M17558" s="4"/>
      <c r="N17558" s="4" t="s">
        <v>16676</v>
      </c>
      <c r="O17558" s="4" t="s">
        <v>16677</v>
      </c>
      <c r="P17558" s="4"/>
      <c r="Q17558" s="4">
        <v>0</v>
      </c>
      <c r="R17558" s="4">
        <v>250</v>
      </c>
      <c r="S17558" s="4">
        <v>0</v>
      </c>
      <c r="T17558" s="4" t="s">
        <v>16678</v>
      </c>
      <c r="U17558" s="4"/>
      <c r="V17558" s="4"/>
      <c r="W17558" s="4"/>
      <c r="X17558" s="4"/>
      <c r="Y17558" s="4"/>
    </row>
    <row r="17559" spans="1:25" customFormat="1" ht="15" x14ac:dyDescent="0.25">
      <c r="A17559" t="s">
        <v>24</v>
      </c>
      <c r="B17559" t="s">
        <v>10097</v>
      </c>
      <c r="C17559" t="str">
        <f>"88IN034"</f>
        <v>88IN034</v>
      </c>
      <c r="D17559" t="s">
        <v>63524</v>
      </c>
      <c r="E17559" t="s">
        <v>63525</v>
      </c>
      <c r="F17559" t="s">
        <v>1926</v>
      </c>
      <c r="G17559" t="s">
        <v>214</v>
      </c>
      <c r="H17559">
        <v>28202</v>
      </c>
      <c r="I17559" t="s">
        <v>30</v>
      </c>
      <c r="J17559" t="s">
        <v>31</v>
      </c>
      <c r="K17559" t="s">
        <v>13697</v>
      </c>
      <c r="N17559" t="s">
        <v>63526</v>
      </c>
      <c r="Q17559">
        <v>0</v>
      </c>
      <c r="R17559">
        <v>60</v>
      </c>
      <c r="S17559">
        <v>0</v>
      </c>
      <c r="T17559" t="s">
        <v>63527</v>
      </c>
    </row>
    <row r="17560" spans="1:25" customFormat="1" x14ac:dyDescent="0.25">
      <c r="A17560" s="4" t="s">
        <v>24</v>
      </c>
      <c r="B17560" s="4" t="s">
        <v>675</v>
      </c>
      <c r="C17560" s="4" t="str">
        <f>"A0180246"</f>
        <v>A0180246</v>
      </c>
      <c r="D17560" s="4" t="s">
        <v>34186</v>
      </c>
      <c r="E17560" s="4" t="s">
        <v>5337</v>
      </c>
      <c r="F17560" s="4" t="s">
        <v>716</v>
      </c>
      <c r="G17560" s="4" t="s">
        <v>289</v>
      </c>
      <c r="H17560" s="4">
        <v>60601</v>
      </c>
      <c r="I17560" s="4" t="s">
        <v>30</v>
      </c>
      <c r="J17560" s="4" t="s">
        <v>206</v>
      </c>
      <c r="K17560" s="4" t="s">
        <v>5338</v>
      </c>
      <c r="L17560" s="4"/>
      <c r="M17560" s="4"/>
      <c r="N17560" s="4" t="s">
        <v>34187</v>
      </c>
      <c r="O17560" s="4" t="s">
        <v>34188</v>
      </c>
      <c r="P17560" s="4"/>
      <c r="Q17560" s="4">
        <v>0</v>
      </c>
      <c r="R17560" s="4">
        <v>393</v>
      </c>
      <c r="S17560" s="4">
        <v>0</v>
      </c>
      <c r="T17560" s="4" t="s">
        <v>34189</v>
      </c>
      <c r="U17560" s="4"/>
      <c r="V17560" s="4"/>
      <c r="W17560" s="4"/>
      <c r="X17560" s="4"/>
      <c r="Y17560" s="4"/>
    </row>
    <row r="17561" spans="1:25" customFormat="1" x14ac:dyDescent="0.25">
      <c r="A17561" s="4" t="s">
        <v>24</v>
      </c>
      <c r="B17561" s="4" t="s">
        <v>9558</v>
      </c>
      <c r="C17561" s="4" t="str">
        <f>"A0166787"</f>
        <v>A0166787</v>
      </c>
      <c r="D17561" s="4" t="s">
        <v>54886</v>
      </c>
      <c r="E17561" s="4" t="s">
        <v>54887</v>
      </c>
      <c r="F17561" s="4" t="s">
        <v>716</v>
      </c>
      <c r="G17561" s="4" t="s">
        <v>289</v>
      </c>
      <c r="H17561" s="4">
        <v>60611</v>
      </c>
      <c r="I17561" s="4" t="s">
        <v>30</v>
      </c>
      <c r="J17561" s="4" t="s">
        <v>206</v>
      </c>
      <c r="K17561" s="4" t="s">
        <v>5707</v>
      </c>
      <c r="L17561" s="4"/>
      <c r="M17561" s="4"/>
      <c r="N17561" s="4" t="s">
        <v>54888</v>
      </c>
      <c r="O17561" s="4" t="s">
        <v>54889</v>
      </c>
      <c r="P17561" s="4"/>
      <c r="Q17561" s="4">
        <v>0</v>
      </c>
      <c r="R17561" s="4">
        <v>222</v>
      </c>
      <c r="S17561" s="4">
        <v>0</v>
      </c>
      <c r="T17561" s="4" t="s">
        <v>54890</v>
      </c>
      <c r="U17561" s="4"/>
      <c r="V17561" s="4"/>
      <c r="W17561" s="4"/>
      <c r="X17561" s="4"/>
      <c r="Y17561" s="4"/>
    </row>
    <row r="17562" spans="1:25" customFormat="1" ht="15" x14ac:dyDescent="0.25">
      <c r="A17562" t="s">
        <v>24</v>
      </c>
      <c r="B17562" t="s">
        <v>6667</v>
      </c>
      <c r="C17562" t="str">
        <f>"A0050062"</f>
        <v>A0050062</v>
      </c>
      <c r="D17562" t="s">
        <v>63536</v>
      </c>
      <c r="E17562" t="s">
        <v>63537</v>
      </c>
      <c r="F17562" t="s">
        <v>7931</v>
      </c>
      <c r="G17562" t="s">
        <v>289</v>
      </c>
      <c r="H17562">
        <v>60134</v>
      </c>
      <c r="I17562" t="s">
        <v>30</v>
      </c>
      <c r="J17562" t="s">
        <v>178</v>
      </c>
      <c r="K17562" t="s">
        <v>6667</v>
      </c>
      <c r="N17562" t="s">
        <v>63538</v>
      </c>
      <c r="Q17562">
        <v>0</v>
      </c>
      <c r="R17562">
        <v>0</v>
      </c>
      <c r="S17562">
        <v>0</v>
      </c>
      <c r="T17562" t="s">
        <v>63539</v>
      </c>
    </row>
    <row r="17563" spans="1:25" customFormat="1" x14ac:dyDescent="0.25">
      <c r="A17563" s="4" t="s">
        <v>24</v>
      </c>
      <c r="B17563" s="4" t="s">
        <v>2011</v>
      </c>
      <c r="C17563" s="4" t="str">
        <f>"A0095059"</f>
        <v>A0095059</v>
      </c>
      <c r="D17563" s="4" t="s">
        <v>58002</v>
      </c>
      <c r="E17563" s="4" t="s">
        <v>58003</v>
      </c>
      <c r="F17563" s="4" t="s">
        <v>716</v>
      </c>
      <c r="G17563" s="4" t="s">
        <v>289</v>
      </c>
      <c r="H17563" s="4">
        <v>60603</v>
      </c>
      <c r="I17563" s="4" t="s">
        <v>30</v>
      </c>
      <c r="J17563" s="4" t="s">
        <v>206</v>
      </c>
      <c r="K17563" s="4" t="s">
        <v>13297</v>
      </c>
      <c r="L17563" s="4"/>
      <c r="M17563" s="4"/>
      <c r="N17563" s="4" t="s">
        <v>58004</v>
      </c>
      <c r="O17563" s="4" t="s">
        <v>58005</v>
      </c>
      <c r="P17563" s="4"/>
      <c r="Q17563" s="4">
        <v>0</v>
      </c>
      <c r="R17563" s="4">
        <v>241</v>
      </c>
      <c r="S17563" s="4">
        <v>0</v>
      </c>
      <c r="T17563" s="4" t="s">
        <v>58006</v>
      </c>
      <c r="U17563" s="4"/>
      <c r="V17563" s="4"/>
      <c r="W17563" s="4"/>
      <c r="X17563" s="4"/>
      <c r="Y17563" s="4"/>
    </row>
    <row r="17564" spans="1:25" customFormat="1" ht="15" x14ac:dyDescent="0.25">
      <c r="A17564" t="s">
        <v>24</v>
      </c>
      <c r="B17564" t="s">
        <v>2360</v>
      </c>
      <c r="C17564" t="str">
        <f>"A0085362"</f>
        <v>A0085362</v>
      </c>
      <c r="D17564" t="s">
        <v>63546</v>
      </c>
      <c r="E17564" t="s">
        <v>63547</v>
      </c>
      <c r="F17564" t="s">
        <v>63548</v>
      </c>
      <c r="G17564" t="s">
        <v>846</v>
      </c>
      <c r="H17564">
        <v>30189</v>
      </c>
      <c r="I17564" t="s">
        <v>30</v>
      </c>
      <c r="J17564" t="s">
        <v>178</v>
      </c>
      <c r="K17564" t="s">
        <v>8013</v>
      </c>
      <c r="N17564" t="s">
        <v>63549</v>
      </c>
      <c r="Q17564">
        <v>1</v>
      </c>
      <c r="R17564">
        <v>0</v>
      </c>
      <c r="S17564">
        <v>0</v>
      </c>
      <c r="T17564" t="s">
        <v>63550</v>
      </c>
    </row>
    <row r="17565" spans="1:25" customFormat="1" ht="15" x14ac:dyDescent="0.25">
      <c r="A17565" t="s">
        <v>24</v>
      </c>
      <c r="B17565" t="s">
        <v>63551</v>
      </c>
      <c r="C17565" t="str">
        <f>"A0093737"</f>
        <v>A0093737</v>
      </c>
      <c r="D17565" t="s">
        <v>63551</v>
      </c>
      <c r="E17565" t="s">
        <v>63552</v>
      </c>
      <c r="F17565" t="s">
        <v>63553</v>
      </c>
      <c r="G17565" t="s">
        <v>52</v>
      </c>
      <c r="H17565">
        <v>75757</v>
      </c>
      <c r="I17565" t="s">
        <v>30</v>
      </c>
      <c r="J17565" t="s">
        <v>2558</v>
      </c>
      <c r="K17565" t="s">
        <v>163</v>
      </c>
      <c r="N17565" t="s">
        <v>63554</v>
      </c>
      <c r="O17565" t="s">
        <v>63555</v>
      </c>
      <c r="Q17565">
        <v>1</v>
      </c>
      <c r="R17565">
        <v>0</v>
      </c>
      <c r="S17565">
        <v>0</v>
      </c>
      <c r="T17565" t="s">
        <v>63556</v>
      </c>
    </row>
    <row r="17566" spans="1:25" customFormat="1" ht="15" x14ac:dyDescent="0.25">
      <c r="A17566" t="s">
        <v>24</v>
      </c>
      <c r="B17566" t="s">
        <v>2360</v>
      </c>
      <c r="C17566" t="str">
        <f>"CL1593"</f>
        <v>CL1593</v>
      </c>
      <c r="D17566" t="s">
        <v>63557</v>
      </c>
      <c r="E17566" t="s">
        <v>63558</v>
      </c>
      <c r="F17566" t="s">
        <v>63559</v>
      </c>
      <c r="G17566" t="s">
        <v>846</v>
      </c>
      <c r="H17566">
        <v>30281</v>
      </c>
      <c r="I17566" t="s">
        <v>30</v>
      </c>
      <c r="J17566" t="s">
        <v>178</v>
      </c>
      <c r="K17566" t="s">
        <v>56676</v>
      </c>
      <c r="N17566" t="s">
        <v>63560</v>
      </c>
      <c r="O17566" t="s">
        <v>63561</v>
      </c>
      <c r="P17566" t="s">
        <v>992</v>
      </c>
      <c r="Q17566">
        <v>1</v>
      </c>
      <c r="R17566">
        <v>0</v>
      </c>
      <c r="S17566">
        <v>0</v>
      </c>
      <c r="T17566" t="s">
        <v>63562</v>
      </c>
    </row>
    <row r="17567" spans="1:25" customFormat="1" ht="15" x14ac:dyDescent="0.25">
      <c r="A17567" t="s">
        <v>24</v>
      </c>
      <c r="B17567" t="s">
        <v>2360</v>
      </c>
      <c r="C17567" t="str">
        <f>"A0053181"</f>
        <v>A0053181</v>
      </c>
      <c r="D17567" t="s">
        <v>63563</v>
      </c>
      <c r="E17567" t="s">
        <v>63564</v>
      </c>
      <c r="F17567" t="s">
        <v>196</v>
      </c>
      <c r="G17567" t="s">
        <v>123</v>
      </c>
      <c r="H17567">
        <v>21131</v>
      </c>
      <c r="I17567" t="s">
        <v>30</v>
      </c>
      <c r="J17567" t="s">
        <v>178</v>
      </c>
      <c r="K17567" t="s">
        <v>55688</v>
      </c>
      <c r="N17567" t="s">
        <v>63565</v>
      </c>
      <c r="Q17567">
        <v>1</v>
      </c>
      <c r="R17567">
        <v>18</v>
      </c>
      <c r="S17567">
        <v>0</v>
      </c>
      <c r="T17567" t="s">
        <v>63566</v>
      </c>
    </row>
    <row r="17568" spans="1:25" customFormat="1" ht="15" x14ac:dyDescent="0.25">
      <c r="A17568" t="s">
        <v>24</v>
      </c>
      <c r="B17568" t="s">
        <v>2360</v>
      </c>
      <c r="C17568" t="str">
        <f>"CL1588"</f>
        <v>CL1588</v>
      </c>
      <c r="D17568" t="s">
        <v>63567</v>
      </c>
      <c r="E17568" t="s">
        <v>63568</v>
      </c>
      <c r="F17568" t="s">
        <v>63569</v>
      </c>
      <c r="G17568" t="s">
        <v>81</v>
      </c>
      <c r="H17568">
        <v>34677</v>
      </c>
      <c r="I17568" t="s">
        <v>30</v>
      </c>
      <c r="J17568" t="s">
        <v>178</v>
      </c>
      <c r="K17568" t="s">
        <v>56676</v>
      </c>
      <c r="N17568" t="s">
        <v>63570</v>
      </c>
      <c r="P17568" t="s">
        <v>992</v>
      </c>
      <c r="Q17568">
        <v>2</v>
      </c>
      <c r="R17568">
        <v>0</v>
      </c>
      <c r="S17568">
        <v>0</v>
      </c>
      <c r="T17568" t="s">
        <v>63571</v>
      </c>
    </row>
    <row r="17569" spans="1:25" customFormat="1" ht="15" x14ac:dyDescent="0.25">
      <c r="A17569" t="s">
        <v>24</v>
      </c>
      <c r="B17569" t="s">
        <v>1583</v>
      </c>
      <c r="C17569" t="str">
        <f>"38N15"</f>
        <v>38N15</v>
      </c>
      <c r="D17569" t="s">
        <v>63572</v>
      </c>
      <c r="E17569" t="s">
        <v>63573</v>
      </c>
      <c r="F17569" t="s">
        <v>60633</v>
      </c>
      <c r="G17569" t="s">
        <v>58</v>
      </c>
      <c r="H17569">
        <v>29928</v>
      </c>
      <c r="I17569" t="s">
        <v>30</v>
      </c>
      <c r="J17569" t="s">
        <v>2544</v>
      </c>
      <c r="K17569" t="s">
        <v>36059</v>
      </c>
      <c r="N17569" t="s">
        <v>63574</v>
      </c>
      <c r="O17569" t="s">
        <v>63575</v>
      </c>
      <c r="Q17569">
        <v>0</v>
      </c>
      <c r="R17569">
        <v>30</v>
      </c>
      <c r="S17569">
        <v>0</v>
      </c>
      <c r="T17569" t="s">
        <v>63576</v>
      </c>
    </row>
    <row r="17570" spans="1:25" customFormat="1" x14ac:dyDescent="0.25">
      <c r="A17570" s="4" t="s">
        <v>24</v>
      </c>
      <c r="B17570" s="4" t="s">
        <v>2373</v>
      </c>
      <c r="C17570" s="4" t="str">
        <f>"A0077052"</f>
        <v>A0077052</v>
      </c>
      <c r="D17570" s="4" t="s">
        <v>72368</v>
      </c>
      <c r="E17570" s="4" t="s">
        <v>72369</v>
      </c>
      <c r="F17570" s="4" t="s">
        <v>716</v>
      </c>
      <c r="G17570" s="4" t="s">
        <v>289</v>
      </c>
      <c r="H17570" s="4">
        <v>60654</v>
      </c>
      <c r="I17570" s="4" t="s">
        <v>30</v>
      </c>
      <c r="J17570" s="4" t="s">
        <v>206</v>
      </c>
      <c r="K17570" s="4" t="s">
        <v>6459</v>
      </c>
      <c r="L17570" s="4"/>
      <c r="M17570" s="4"/>
      <c r="N17570" s="4" t="s">
        <v>72370</v>
      </c>
      <c r="O17570" s="4"/>
      <c r="P17570" s="4"/>
      <c r="Q17570" s="4">
        <v>0</v>
      </c>
      <c r="R17570" s="4">
        <v>354</v>
      </c>
      <c r="S17570" s="4">
        <v>0</v>
      </c>
      <c r="T17570" s="4" t="s">
        <v>72371</v>
      </c>
      <c r="U17570" s="4"/>
      <c r="V17570" s="4"/>
      <c r="W17570" s="4"/>
      <c r="X17570" s="4"/>
      <c r="Y17570" s="4"/>
    </row>
    <row r="17571" spans="1:25" customFormat="1" x14ac:dyDescent="0.25">
      <c r="A17571" s="4" t="s">
        <v>24</v>
      </c>
      <c r="B17571" s="4" t="s">
        <v>7953</v>
      </c>
      <c r="C17571" s="4" t="str">
        <f>"A0136978"</f>
        <v>A0136978</v>
      </c>
      <c r="D17571" s="4" t="s">
        <v>72574</v>
      </c>
      <c r="E17571" s="4" t="s">
        <v>72575</v>
      </c>
      <c r="F17571" s="4" t="s">
        <v>72576</v>
      </c>
      <c r="G17571" s="4" t="s">
        <v>289</v>
      </c>
      <c r="H17571" s="4">
        <v>60601</v>
      </c>
      <c r="I17571" s="4" t="s">
        <v>30</v>
      </c>
      <c r="J17571" s="4" t="s">
        <v>206</v>
      </c>
      <c r="K17571" s="4" t="s">
        <v>163</v>
      </c>
      <c r="L17571" s="4"/>
      <c r="M17571" s="4"/>
      <c r="N17571" s="4" t="s">
        <v>72577</v>
      </c>
      <c r="O17571" s="4" t="s">
        <v>72578</v>
      </c>
      <c r="P17571" s="4"/>
      <c r="Q17571" s="4">
        <v>0</v>
      </c>
      <c r="R17571" s="4">
        <v>218</v>
      </c>
      <c r="S17571" s="4">
        <v>0</v>
      </c>
      <c r="T17571" s="4" t="s">
        <v>72579</v>
      </c>
      <c r="U17571" s="4"/>
      <c r="V17571" s="4"/>
      <c r="W17571" s="4"/>
      <c r="X17571" s="4"/>
      <c r="Y17571" s="4"/>
    </row>
    <row r="17572" spans="1:25" customFormat="1" ht="15" x14ac:dyDescent="0.25">
      <c r="A17572" t="s">
        <v>24</v>
      </c>
      <c r="B17572" t="s">
        <v>1528</v>
      </c>
      <c r="C17572" t="str">
        <f>"A0067656"</f>
        <v>A0067656</v>
      </c>
      <c r="D17572" t="s">
        <v>63588</v>
      </c>
      <c r="E17572" t="s">
        <v>63589</v>
      </c>
      <c r="F17572" t="s">
        <v>63590</v>
      </c>
      <c r="G17572" t="s">
        <v>76</v>
      </c>
      <c r="H17572">
        <v>98296</v>
      </c>
      <c r="I17572" t="s">
        <v>30</v>
      </c>
      <c r="J17572" t="s">
        <v>178</v>
      </c>
      <c r="K17572" t="s">
        <v>179</v>
      </c>
      <c r="N17572" t="s">
        <v>63591</v>
      </c>
      <c r="Q17572">
        <v>1</v>
      </c>
      <c r="R17572">
        <v>0</v>
      </c>
      <c r="S17572">
        <v>0</v>
      </c>
      <c r="T17572" t="s">
        <v>63592</v>
      </c>
    </row>
    <row r="17573" spans="1:25" customFormat="1" ht="15" x14ac:dyDescent="0.25">
      <c r="A17573" t="s">
        <v>24</v>
      </c>
      <c r="B17573" t="s">
        <v>63593</v>
      </c>
      <c r="C17573" t="str">
        <f>"A0096614"</f>
        <v>A0096614</v>
      </c>
      <c r="D17573" t="s">
        <v>63594</v>
      </c>
      <c r="E17573" t="s">
        <v>63595</v>
      </c>
      <c r="F17573" t="s">
        <v>63596</v>
      </c>
      <c r="G17573" t="s">
        <v>846</v>
      </c>
      <c r="H17573">
        <v>30288</v>
      </c>
      <c r="I17573" t="s">
        <v>30</v>
      </c>
      <c r="J17573" t="s">
        <v>145</v>
      </c>
      <c r="K17573" t="s">
        <v>763</v>
      </c>
      <c r="N17573" t="s">
        <v>63597</v>
      </c>
      <c r="Q17573">
        <v>0</v>
      </c>
      <c r="R17573">
        <v>53</v>
      </c>
      <c r="S17573">
        <v>0</v>
      </c>
      <c r="T17573" t="s">
        <v>63598</v>
      </c>
    </row>
    <row r="17574" spans="1:25" customFormat="1" ht="15" x14ac:dyDescent="0.25">
      <c r="A17574" t="s">
        <v>24</v>
      </c>
      <c r="B17574" t="s">
        <v>58709</v>
      </c>
      <c r="C17574" t="str">
        <f>"A0100323"</f>
        <v>A0100323</v>
      </c>
      <c r="D17574" t="s">
        <v>63599</v>
      </c>
      <c r="E17574" t="s">
        <v>63600</v>
      </c>
      <c r="F17574" t="s">
        <v>63601</v>
      </c>
      <c r="G17574" t="s">
        <v>103</v>
      </c>
      <c r="H17574">
        <v>17876</v>
      </c>
      <c r="I17574" t="s">
        <v>30</v>
      </c>
      <c r="J17574" t="s">
        <v>145</v>
      </c>
      <c r="K17574" t="s">
        <v>763</v>
      </c>
      <c r="N17574" t="s">
        <v>63602</v>
      </c>
      <c r="Q17574">
        <v>0</v>
      </c>
      <c r="R17574">
        <v>118</v>
      </c>
      <c r="S17574">
        <v>0</v>
      </c>
      <c r="T17574" t="s">
        <v>63603</v>
      </c>
    </row>
    <row r="17575" spans="1:25" customFormat="1" ht="15" x14ac:dyDescent="0.25">
      <c r="A17575" t="s">
        <v>24</v>
      </c>
      <c r="B17575" t="s">
        <v>58709</v>
      </c>
      <c r="C17575" t="str">
        <f>"A0100328"</f>
        <v>A0100328</v>
      </c>
      <c r="D17575" t="s">
        <v>63604</v>
      </c>
      <c r="E17575" t="s">
        <v>63605</v>
      </c>
      <c r="F17575" t="s">
        <v>63606</v>
      </c>
      <c r="G17575" t="s">
        <v>507</v>
      </c>
      <c r="H17575">
        <v>26059</v>
      </c>
      <c r="I17575" t="s">
        <v>30</v>
      </c>
      <c r="J17575" t="s">
        <v>145</v>
      </c>
      <c r="K17575" t="s">
        <v>763</v>
      </c>
      <c r="N17575" t="s">
        <v>63607</v>
      </c>
      <c r="Q17575">
        <v>0</v>
      </c>
      <c r="R17575">
        <v>113</v>
      </c>
      <c r="S17575">
        <v>0</v>
      </c>
      <c r="T17575" t="s">
        <v>63608</v>
      </c>
    </row>
    <row r="17576" spans="1:25" customFormat="1" ht="15" x14ac:dyDescent="0.25">
      <c r="A17576" t="s">
        <v>24</v>
      </c>
      <c r="B17576" t="s">
        <v>8366</v>
      </c>
      <c r="C17576" t="str">
        <f>"A0091043"</f>
        <v>A0091043</v>
      </c>
      <c r="D17576" t="s">
        <v>63609</v>
      </c>
      <c r="E17576" t="s">
        <v>63610</v>
      </c>
      <c r="F17576" t="s">
        <v>63611</v>
      </c>
      <c r="G17576" t="s">
        <v>899</v>
      </c>
      <c r="H17576">
        <v>2148</v>
      </c>
      <c r="I17576" t="s">
        <v>30</v>
      </c>
      <c r="J17576" t="s">
        <v>145</v>
      </c>
      <c r="K17576" t="s">
        <v>763</v>
      </c>
      <c r="N17576" t="s">
        <v>11382</v>
      </c>
      <c r="Q17576">
        <v>0</v>
      </c>
      <c r="R17576">
        <v>51</v>
      </c>
      <c r="S17576">
        <v>0</v>
      </c>
      <c r="T17576" t="s">
        <v>63612</v>
      </c>
    </row>
    <row r="17577" spans="1:25" customFormat="1" ht="15" x14ac:dyDescent="0.25">
      <c r="A17577" t="s">
        <v>24</v>
      </c>
      <c r="B17577" t="s">
        <v>2340</v>
      </c>
      <c r="C17577" t="str">
        <f>"A0096307"</f>
        <v>A0096307</v>
      </c>
      <c r="D17577" t="s">
        <v>63613</v>
      </c>
      <c r="E17577" t="s">
        <v>63614</v>
      </c>
      <c r="F17577" t="s">
        <v>63615</v>
      </c>
      <c r="G17577" t="s">
        <v>103</v>
      </c>
      <c r="H17577">
        <v>19029</v>
      </c>
      <c r="I17577" t="s">
        <v>30</v>
      </c>
      <c r="J17577" t="s">
        <v>145</v>
      </c>
      <c r="K17577" t="s">
        <v>763</v>
      </c>
      <c r="N17577" t="s">
        <v>63616</v>
      </c>
      <c r="Q17577">
        <v>0</v>
      </c>
      <c r="R17577">
        <v>50</v>
      </c>
      <c r="S17577">
        <v>0</v>
      </c>
      <c r="T17577" t="s">
        <v>63617</v>
      </c>
    </row>
    <row r="17578" spans="1:25" customFormat="1" ht="15" x14ac:dyDescent="0.25">
      <c r="A17578" t="s">
        <v>24</v>
      </c>
      <c r="B17578" t="s">
        <v>62540</v>
      </c>
      <c r="C17578" t="str">
        <f>"A0156071"</f>
        <v>A0156071</v>
      </c>
      <c r="D17578" t="s">
        <v>63618</v>
      </c>
      <c r="E17578" t="s">
        <v>63619</v>
      </c>
      <c r="F17578" t="s">
        <v>63620</v>
      </c>
      <c r="G17578" t="s">
        <v>65</v>
      </c>
      <c r="H17578">
        <v>43204</v>
      </c>
      <c r="I17578" t="s">
        <v>30</v>
      </c>
      <c r="J17578" t="s">
        <v>145</v>
      </c>
      <c r="K17578" t="s">
        <v>763</v>
      </c>
      <c r="N17578" t="s">
        <v>63621</v>
      </c>
      <c r="Q17578">
        <v>0</v>
      </c>
      <c r="R17578">
        <v>42</v>
      </c>
      <c r="S17578">
        <v>0</v>
      </c>
      <c r="T17578" t="s">
        <v>63622</v>
      </c>
    </row>
    <row r="17579" spans="1:25" customFormat="1" ht="15" x14ac:dyDescent="0.25">
      <c r="A17579" t="s">
        <v>24</v>
      </c>
      <c r="B17579" t="s">
        <v>3502</v>
      </c>
      <c r="C17579" t="str">
        <f>"A0094061"</f>
        <v>A0094061</v>
      </c>
      <c r="D17579" t="s">
        <v>63623</v>
      </c>
      <c r="E17579" t="s">
        <v>63624</v>
      </c>
      <c r="F17579" t="s">
        <v>10779</v>
      </c>
      <c r="G17579" t="s">
        <v>52</v>
      </c>
      <c r="H17579">
        <v>75080</v>
      </c>
      <c r="I17579" t="s">
        <v>30</v>
      </c>
      <c r="J17579" t="s">
        <v>145</v>
      </c>
      <c r="K17579" t="s">
        <v>763</v>
      </c>
      <c r="N17579" t="s">
        <v>63625</v>
      </c>
      <c r="Q17579">
        <v>0</v>
      </c>
      <c r="R17579">
        <v>65</v>
      </c>
      <c r="S17579">
        <v>0</v>
      </c>
      <c r="T17579" t="s">
        <v>63626</v>
      </c>
    </row>
    <row r="17580" spans="1:25" customFormat="1" ht="15" x14ac:dyDescent="0.25">
      <c r="A17580" t="s">
        <v>24</v>
      </c>
      <c r="B17580" t="s">
        <v>8366</v>
      </c>
      <c r="C17580" t="str">
        <f>"A0092522"</f>
        <v>A0092522</v>
      </c>
      <c r="D17580" t="s">
        <v>63627</v>
      </c>
      <c r="E17580" t="s">
        <v>63628</v>
      </c>
      <c r="F17580" t="s">
        <v>63629</v>
      </c>
      <c r="G17580" t="s">
        <v>899</v>
      </c>
      <c r="H17580">
        <v>2067</v>
      </c>
      <c r="I17580" t="s">
        <v>30</v>
      </c>
      <c r="J17580" t="s">
        <v>145</v>
      </c>
      <c r="K17580" t="s">
        <v>763</v>
      </c>
      <c r="N17580" t="s">
        <v>4552</v>
      </c>
      <c r="Q17580">
        <v>0</v>
      </c>
      <c r="R17580">
        <v>50</v>
      </c>
      <c r="S17580">
        <v>0</v>
      </c>
      <c r="T17580" t="s">
        <v>63630</v>
      </c>
    </row>
    <row r="17581" spans="1:25" customFormat="1" ht="15" x14ac:dyDescent="0.25">
      <c r="A17581" t="s">
        <v>24</v>
      </c>
      <c r="B17581" t="s">
        <v>2520</v>
      </c>
      <c r="C17581" t="str">
        <f>"A0096407"</f>
        <v>A0096407</v>
      </c>
      <c r="D17581" t="s">
        <v>63631</v>
      </c>
      <c r="E17581" t="s">
        <v>63632</v>
      </c>
      <c r="F17581" t="s">
        <v>5651</v>
      </c>
      <c r="G17581" t="s">
        <v>110</v>
      </c>
      <c r="H17581">
        <v>92802</v>
      </c>
      <c r="I17581" t="s">
        <v>30</v>
      </c>
      <c r="J17581" t="s">
        <v>31</v>
      </c>
      <c r="K17581" t="s">
        <v>163</v>
      </c>
      <c r="N17581" t="s">
        <v>63633</v>
      </c>
      <c r="O17581" t="s">
        <v>63634</v>
      </c>
      <c r="Q17581">
        <v>0</v>
      </c>
      <c r="R17581">
        <v>78</v>
      </c>
      <c r="S17581">
        <v>0</v>
      </c>
      <c r="T17581" t="s">
        <v>63635</v>
      </c>
    </row>
    <row r="17582" spans="1:25" customFormat="1" x14ac:dyDescent="0.25">
      <c r="A17582" s="4" t="s">
        <v>24</v>
      </c>
      <c r="B17582" s="4" t="s">
        <v>814</v>
      </c>
      <c r="C17582" s="4" t="str">
        <f>"A0099908"</f>
        <v>A0099908</v>
      </c>
      <c r="D17582" s="4" t="s">
        <v>72747</v>
      </c>
      <c r="E17582" s="4" t="s">
        <v>72748</v>
      </c>
      <c r="F17582" s="4" t="s">
        <v>716</v>
      </c>
      <c r="G17582" s="4" t="s">
        <v>289</v>
      </c>
      <c r="H17582" s="4">
        <v>60613</v>
      </c>
      <c r="I17582" s="4" t="s">
        <v>30</v>
      </c>
      <c r="J17582" s="4" t="s">
        <v>206</v>
      </c>
      <c r="K17582" s="4" t="s">
        <v>3447</v>
      </c>
      <c r="L17582" s="4"/>
      <c r="M17582" s="4"/>
      <c r="N17582" s="4" t="s">
        <v>72749</v>
      </c>
      <c r="O17582" s="4" t="s">
        <v>72750</v>
      </c>
      <c r="P17582" s="4"/>
      <c r="Q17582" s="4">
        <v>0</v>
      </c>
      <c r="R17582" s="4">
        <v>174</v>
      </c>
      <c r="S17582" s="4">
        <v>0</v>
      </c>
      <c r="T17582" s="4" t="s">
        <v>72751</v>
      </c>
      <c r="U17582" s="4"/>
      <c r="V17582" s="4"/>
      <c r="W17582" s="4"/>
      <c r="X17582" s="4"/>
      <c r="Y17582" s="4"/>
    </row>
    <row r="17583" spans="1:25" customFormat="1" ht="15" hidden="1" x14ac:dyDescent="0.25">
      <c r="A17583" t="s">
        <v>24</v>
      </c>
      <c r="B17583" t="s">
        <v>59861</v>
      </c>
      <c r="C17583" t="str">
        <f>"A0098464"</f>
        <v>A0098464</v>
      </c>
      <c r="D17583" t="s">
        <v>63640</v>
      </c>
      <c r="E17583" t="s">
        <v>63641</v>
      </c>
      <c r="F17583" t="s">
        <v>63642</v>
      </c>
      <c r="G17583" t="s">
        <v>55614</v>
      </c>
      <c r="I17583" t="s">
        <v>55613</v>
      </c>
      <c r="J17583" t="s">
        <v>162</v>
      </c>
      <c r="K17583" t="s">
        <v>163</v>
      </c>
      <c r="N17583" t="s">
        <v>63643</v>
      </c>
      <c r="O17583" t="s">
        <v>63644</v>
      </c>
      <c r="Q17583">
        <v>0</v>
      </c>
      <c r="R17583">
        <v>25</v>
      </c>
      <c r="S17583">
        <v>0</v>
      </c>
      <c r="T17583" t="s">
        <v>59867</v>
      </c>
    </row>
    <row r="17584" spans="1:25" customFormat="1" x14ac:dyDescent="0.25">
      <c r="A17584" s="4" t="s">
        <v>24</v>
      </c>
      <c r="B17584" s="4" t="s">
        <v>74653</v>
      </c>
      <c r="C17584" s="4" t="str">
        <f>"A0074943"</f>
        <v>A0074943</v>
      </c>
      <c r="D17584" s="4" t="s">
        <v>74654</v>
      </c>
      <c r="E17584" s="4" t="s">
        <v>74655</v>
      </c>
      <c r="F17584" s="4" t="s">
        <v>716</v>
      </c>
      <c r="G17584" s="4" t="s">
        <v>289</v>
      </c>
      <c r="H17584" s="4">
        <v>60654</v>
      </c>
      <c r="I17584" s="4" t="s">
        <v>30</v>
      </c>
      <c r="J17584" s="4" t="s">
        <v>206</v>
      </c>
      <c r="K17584" s="4" t="s">
        <v>163</v>
      </c>
      <c r="L17584" s="4"/>
      <c r="M17584" s="4"/>
      <c r="N17584" s="4" t="s">
        <v>74656</v>
      </c>
      <c r="O17584" s="4" t="s">
        <v>69868</v>
      </c>
      <c r="P17584" s="4"/>
      <c r="Q17584" s="4">
        <v>0</v>
      </c>
      <c r="R17584" s="4">
        <v>215</v>
      </c>
      <c r="S17584" s="4">
        <v>0</v>
      </c>
      <c r="T17584" s="4" t="s">
        <v>74657</v>
      </c>
      <c r="U17584" s="4"/>
      <c r="V17584" s="4"/>
      <c r="W17584" s="4"/>
      <c r="X17584" s="4"/>
      <c r="Y17584" s="4"/>
    </row>
    <row r="17585" spans="1:20" customFormat="1" ht="15" x14ac:dyDescent="0.25">
      <c r="A17585" t="s">
        <v>24</v>
      </c>
      <c r="B17585" t="s">
        <v>56488</v>
      </c>
      <c r="C17585" t="str">
        <f>"A0085860"</f>
        <v>A0085860</v>
      </c>
      <c r="D17585" t="s">
        <v>63649</v>
      </c>
      <c r="E17585" t="s">
        <v>63650</v>
      </c>
      <c r="F17585" t="s">
        <v>63651</v>
      </c>
      <c r="G17585" t="s">
        <v>52</v>
      </c>
      <c r="H17585">
        <v>75070</v>
      </c>
      <c r="I17585" t="s">
        <v>30</v>
      </c>
      <c r="J17585" t="s">
        <v>178</v>
      </c>
      <c r="K17585" t="s">
        <v>179</v>
      </c>
      <c r="N17585" t="s">
        <v>63652</v>
      </c>
      <c r="Q17585">
        <v>1</v>
      </c>
      <c r="R17585">
        <v>0</v>
      </c>
      <c r="S17585">
        <v>0</v>
      </c>
      <c r="T17585" t="s">
        <v>63653</v>
      </c>
    </row>
    <row r="17586" spans="1:20" customFormat="1" ht="15" hidden="1" x14ac:dyDescent="0.25">
      <c r="A17586" t="s">
        <v>24</v>
      </c>
      <c r="B17586" t="s">
        <v>675</v>
      </c>
      <c r="C17586" t="str">
        <f>"A0157481"</f>
        <v>A0157481</v>
      </c>
      <c r="D17586" t="s">
        <v>63654</v>
      </c>
      <c r="E17586" t="s">
        <v>63655</v>
      </c>
      <c r="F17586" t="s">
        <v>63656</v>
      </c>
      <c r="G17586" t="s">
        <v>58485</v>
      </c>
      <c r="I17586" t="s">
        <v>58486</v>
      </c>
      <c r="J17586" t="s">
        <v>191</v>
      </c>
      <c r="K17586" t="s">
        <v>11889</v>
      </c>
      <c r="Q17586">
        <v>0</v>
      </c>
      <c r="R17586">
        <v>0</v>
      </c>
      <c r="S17586">
        <v>0</v>
      </c>
      <c r="T17586" t="s">
        <v>63657</v>
      </c>
    </row>
    <row r="17587" spans="1:20" customFormat="1" ht="15" x14ac:dyDescent="0.25">
      <c r="A17587" t="s">
        <v>24</v>
      </c>
      <c r="B17587" t="s">
        <v>2836</v>
      </c>
      <c r="C17587" t="str">
        <f>"A0087758"</f>
        <v>A0087758</v>
      </c>
      <c r="D17587" t="s">
        <v>63658</v>
      </c>
      <c r="E17587" t="s">
        <v>63659</v>
      </c>
      <c r="F17587" t="s">
        <v>33592</v>
      </c>
      <c r="G17587" t="s">
        <v>123</v>
      </c>
      <c r="H17587">
        <v>21076</v>
      </c>
      <c r="I17587" t="s">
        <v>30</v>
      </c>
      <c r="J17587" t="s">
        <v>31</v>
      </c>
      <c r="K17587" t="s">
        <v>1890</v>
      </c>
      <c r="N17587" t="s">
        <v>63660</v>
      </c>
      <c r="O17587" t="s">
        <v>63661</v>
      </c>
      <c r="Q17587">
        <v>0</v>
      </c>
      <c r="R17587">
        <v>147</v>
      </c>
      <c r="S17587">
        <v>0</v>
      </c>
      <c r="T17587" t="s">
        <v>63662</v>
      </c>
    </row>
    <row r="17588" spans="1:20" customFormat="1" ht="15" x14ac:dyDescent="0.25">
      <c r="A17588" t="s">
        <v>24</v>
      </c>
      <c r="B17588" t="s">
        <v>1487</v>
      </c>
      <c r="C17588" t="str">
        <f>"A0098903"</f>
        <v>A0098903</v>
      </c>
      <c r="D17588" t="s">
        <v>63663</v>
      </c>
      <c r="E17588" t="s">
        <v>55721</v>
      </c>
      <c r="F17588" t="s">
        <v>372</v>
      </c>
      <c r="G17588" t="s">
        <v>52</v>
      </c>
      <c r="H17588">
        <v>78701</v>
      </c>
      <c r="I17588" t="s">
        <v>30</v>
      </c>
      <c r="J17588" t="s">
        <v>31</v>
      </c>
      <c r="K17588" t="s">
        <v>1890</v>
      </c>
      <c r="N17588" t="s">
        <v>55427</v>
      </c>
      <c r="Q17588">
        <v>0</v>
      </c>
      <c r="R17588">
        <v>144</v>
      </c>
      <c r="S17588">
        <v>0</v>
      </c>
      <c r="T17588" t="s">
        <v>63664</v>
      </c>
    </row>
    <row r="17589" spans="1:20" customFormat="1" ht="15" x14ac:dyDescent="0.25">
      <c r="A17589" t="s">
        <v>24</v>
      </c>
      <c r="B17589" t="s">
        <v>257</v>
      </c>
      <c r="C17589" t="str">
        <f>"A0145945"</f>
        <v>A0145945</v>
      </c>
      <c r="D17589" t="s">
        <v>63665</v>
      </c>
      <c r="E17589" t="s">
        <v>63666</v>
      </c>
      <c r="F17589" t="s">
        <v>3059</v>
      </c>
      <c r="G17589" t="s">
        <v>52</v>
      </c>
      <c r="H17589">
        <v>78664</v>
      </c>
      <c r="I17589" t="s">
        <v>30</v>
      </c>
      <c r="J17589" t="s">
        <v>31</v>
      </c>
      <c r="K17589" t="s">
        <v>1890</v>
      </c>
      <c r="N17589" t="s">
        <v>55854</v>
      </c>
      <c r="O17589" t="s">
        <v>55855</v>
      </c>
      <c r="Q17589">
        <v>0</v>
      </c>
      <c r="R17589">
        <v>123</v>
      </c>
      <c r="S17589">
        <v>0</v>
      </c>
      <c r="T17589" t="s">
        <v>63667</v>
      </c>
    </row>
    <row r="17590" spans="1:20" customFormat="1" ht="15" x14ac:dyDescent="0.25">
      <c r="A17590" t="s">
        <v>24</v>
      </c>
      <c r="B17590" t="s">
        <v>59142</v>
      </c>
      <c r="C17590" t="str">
        <f>"A0158293"</f>
        <v>A0158293</v>
      </c>
      <c r="D17590" t="s">
        <v>63668</v>
      </c>
      <c r="E17590" t="s">
        <v>63669</v>
      </c>
      <c r="F17590" t="s">
        <v>4189</v>
      </c>
      <c r="G17590" t="s">
        <v>47</v>
      </c>
      <c r="H17590">
        <v>97701</v>
      </c>
      <c r="I17590" t="s">
        <v>30</v>
      </c>
      <c r="J17590" t="s">
        <v>31</v>
      </c>
      <c r="K17590" t="s">
        <v>1890</v>
      </c>
      <c r="N17590" t="s">
        <v>63670</v>
      </c>
      <c r="Q17590">
        <v>0</v>
      </c>
      <c r="R17590">
        <v>112</v>
      </c>
      <c r="S17590">
        <v>0</v>
      </c>
      <c r="T17590" t="s">
        <v>63671</v>
      </c>
    </row>
    <row r="17591" spans="1:20" customFormat="1" ht="15" x14ac:dyDescent="0.25">
      <c r="A17591" t="s">
        <v>24</v>
      </c>
      <c r="B17591" t="s">
        <v>63672</v>
      </c>
      <c r="C17591" t="str">
        <f>"A0098992"</f>
        <v>A0098992</v>
      </c>
      <c r="D17591" t="s">
        <v>63673</v>
      </c>
      <c r="E17591" t="s">
        <v>63674</v>
      </c>
      <c r="F17591" t="s">
        <v>55362</v>
      </c>
      <c r="G17591" t="s">
        <v>85</v>
      </c>
      <c r="H17591">
        <v>72712</v>
      </c>
      <c r="I17591" t="s">
        <v>30</v>
      </c>
      <c r="J17591" t="s">
        <v>31</v>
      </c>
      <c r="K17591" t="s">
        <v>1890</v>
      </c>
      <c r="N17591" t="s">
        <v>63675</v>
      </c>
      <c r="Q17591">
        <v>0</v>
      </c>
      <c r="R17591">
        <v>107</v>
      </c>
      <c r="S17591">
        <v>0</v>
      </c>
      <c r="T17591" t="s">
        <v>63676</v>
      </c>
    </row>
    <row r="17592" spans="1:20" customFormat="1" ht="15" x14ac:dyDescent="0.25">
      <c r="A17592" t="s">
        <v>24</v>
      </c>
      <c r="B17592" t="s">
        <v>55528</v>
      </c>
      <c r="C17592" t="str">
        <f>"A0154256"</f>
        <v>A0154256</v>
      </c>
      <c r="D17592" t="s">
        <v>63677</v>
      </c>
      <c r="E17592" t="s">
        <v>63678</v>
      </c>
      <c r="F17592" t="s">
        <v>3455</v>
      </c>
      <c r="G17592" t="s">
        <v>161</v>
      </c>
      <c r="H17592">
        <v>55425</v>
      </c>
      <c r="I17592" t="s">
        <v>30</v>
      </c>
      <c r="J17592" t="s">
        <v>31</v>
      </c>
      <c r="K17592" t="s">
        <v>1890</v>
      </c>
      <c r="N17592" t="s">
        <v>63679</v>
      </c>
      <c r="O17592" t="s">
        <v>63680</v>
      </c>
      <c r="Q17592">
        <v>0</v>
      </c>
      <c r="R17592">
        <v>144</v>
      </c>
      <c r="S17592">
        <v>0</v>
      </c>
      <c r="T17592" t="s">
        <v>63681</v>
      </c>
    </row>
    <row r="17593" spans="1:20" customFormat="1" ht="15" x14ac:dyDescent="0.25">
      <c r="A17593" t="s">
        <v>24</v>
      </c>
      <c r="B17593" t="s">
        <v>675</v>
      </c>
      <c r="C17593" t="str">
        <f>"A0096700"</f>
        <v>A0096700</v>
      </c>
      <c r="D17593" t="s">
        <v>63682</v>
      </c>
      <c r="E17593" t="s">
        <v>63683</v>
      </c>
      <c r="F17593" t="s">
        <v>1208</v>
      </c>
      <c r="G17593" t="s">
        <v>899</v>
      </c>
      <c r="H17593">
        <v>2210</v>
      </c>
      <c r="I17593" t="s">
        <v>30</v>
      </c>
      <c r="J17593" t="s">
        <v>31</v>
      </c>
      <c r="K17593" t="s">
        <v>1890</v>
      </c>
      <c r="Q17593">
        <v>0</v>
      </c>
      <c r="R17593">
        <v>180</v>
      </c>
      <c r="S17593">
        <v>0</v>
      </c>
      <c r="T17593" t="s">
        <v>63684</v>
      </c>
    </row>
    <row r="17594" spans="1:20" customFormat="1" ht="15" x14ac:dyDescent="0.25">
      <c r="A17594" t="s">
        <v>24</v>
      </c>
      <c r="B17594" t="s">
        <v>63685</v>
      </c>
      <c r="C17594" t="str">
        <f>"A0099272"</f>
        <v>A0099272</v>
      </c>
      <c r="D17594" t="s">
        <v>63686</v>
      </c>
      <c r="E17594" t="s">
        <v>63687</v>
      </c>
      <c r="F17594" t="s">
        <v>6941</v>
      </c>
      <c r="G17594" t="s">
        <v>214</v>
      </c>
      <c r="H17594">
        <v>27560</v>
      </c>
      <c r="I17594" t="s">
        <v>30</v>
      </c>
      <c r="J17594" t="s">
        <v>31</v>
      </c>
      <c r="K17594" t="s">
        <v>1890</v>
      </c>
      <c r="N17594" t="s">
        <v>63688</v>
      </c>
      <c r="Q17594">
        <v>0</v>
      </c>
      <c r="R17594">
        <v>105</v>
      </c>
      <c r="S17594">
        <v>0</v>
      </c>
      <c r="T17594" t="s">
        <v>63689</v>
      </c>
    </row>
    <row r="17595" spans="1:20" customFormat="1" ht="15" x14ac:dyDescent="0.25">
      <c r="A17595" t="s">
        <v>24</v>
      </c>
      <c r="B17595" t="s">
        <v>257</v>
      </c>
      <c r="C17595" t="str">
        <f>"A0088230"</f>
        <v>A0088230</v>
      </c>
      <c r="D17595" t="s">
        <v>63690</v>
      </c>
      <c r="E17595" t="s">
        <v>63691</v>
      </c>
      <c r="F17595" t="s">
        <v>35075</v>
      </c>
      <c r="G17595" t="s">
        <v>190</v>
      </c>
      <c r="H17595">
        <v>80124</v>
      </c>
      <c r="I17595" t="s">
        <v>30</v>
      </c>
      <c r="J17595" t="s">
        <v>31</v>
      </c>
      <c r="K17595" t="s">
        <v>1890</v>
      </c>
      <c r="N17595" t="s">
        <v>63692</v>
      </c>
      <c r="O17595" t="s">
        <v>63693</v>
      </c>
      <c r="Q17595">
        <v>0</v>
      </c>
      <c r="R17595">
        <v>123</v>
      </c>
      <c r="S17595">
        <v>0</v>
      </c>
      <c r="T17595" t="s">
        <v>63694</v>
      </c>
    </row>
    <row r="17596" spans="1:20" customFormat="1" ht="15" x14ac:dyDescent="0.25">
      <c r="A17596" t="s">
        <v>24</v>
      </c>
      <c r="B17596" t="s">
        <v>10398</v>
      </c>
      <c r="C17596" t="str">
        <f>"A0146012"</f>
        <v>A0146012</v>
      </c>
      <c r="D17596" t="s">
        <v>63695</v>
      </c>
      <c r="E17596" t="s">
        <v>63696</v>
      </c>
      <c r="F17596" t="s">
        <v>7153</v>
      </c>
      <c r="G17596" t="s">
        <v>117</v>
      </c>
      <c r="H17596">
        <v>48226</v>
      </c>
      <c r="I17596" t="s">
        <v>30</v>
      </c>
      <c r="J17596" t="s">
        <v>31</v>
      </c>
      <c r="K17596" t="s">
        <v>1890</v>
      </c>
      <c r="N17596" t="s">
        <v>14973</v>
      </c>
      <c r="Q17596">
        <v>0</v>
      </c>
      <c r="R17596">
        <v>110</v>
      </c>
      <c r="S17596">
        <v>0</v>
      </c>
      <c r="T17596" t="s">
        <v>63697</v>
      </c>
    </row>
    <row r="17597" spans="1:20" customFormat="1" ht="15" hidden="1" x14ac:dyDescent="0.25">
      <c r="A17597" t="s">
        <v>24</v>
      </c>
      <c r="B17597" t="s">
        <v>10942</v>
      </c>
      <c r="C17597" t="str">
        <f>"A0099973"</f>
        <v>A0099973</v>
      </c>
      <c r="D17597" t="s">
        <v>63698</v>
      </c>
      <c r="E17597" t="s">
        <v>63699</v>
      </c>
      <c r="F17597" t="s">
        <v>59059</v>
      </c>
      <c r="G17597" t="s">
        <v>1457</v>
      </c>
      <c r="H17597" t="s">
        <v>63700</v>
      </c>
      <c r="I17597" t="s">
        <v>1459</v>
      </c>
      <c r="J17597" t="s">
        <v>31</v>
      </c>
      <c r="K17597" t="s">
        <v>1890</v>
      </c>
      <c r="N17597" t="s">
        <v>63701</v>
      </c>
      <c r="Q17597">
        <v>0</v>
      </c>
      <c r="R17597">
        <v>100</v>
      </c>
      <c r="S17597">
        <v>0</v>
      </c>
      <c r="T17597" t="s">
        <v>63702</v>
      </c>
    </row>
    <row r="17598" spans="1:20" customFormat="1" ht="15" x14ac:dyDescent="0.25">
      <c r="A17598" t="s">
        <v>24</v>
      </c>
      <c r="B17598" t="s">
        <v>55997</v>
      </c>
      <c r="C17598" t="str">
        <f>"A0093109"</f>
        <v>A0093109</v>
      </c>
      <c r="D17598" t="s">
        <v>63703</v>
      </c>
      <c r="E17598" t="s">
        <v>63704</v>
      </c>
      <c r="F17598" t="s">
        <v>63705</v>
      </c>
      <c r="G17598" t="s">
        <v>338</v>
      </c>
      <c r="H17598">
        <v>8628</v>
      </c>
      <c r="I17598" t="s">
        <v>30</v>
      </c>
      <c r="J17598" t="s">
        <v>31</v>
      </c>
      <c r="K17598" t="s">
        <v>1890</v>
      </c>
      <c r="N17598" t="s">
        <v>63706</v>
      </c>
      <c r="Q17598">
        <v>0</v>
      </c>
      <c r="R17598">
        <v>128</v>
      </c>
      <c r="S17598">
        <v>0</v>
      </c>
      <c r="T17598" t="s">
        <v>63707</v>
      </c>
    </row>
    <row r="17599" spans="1:20" customFormat="1" ht="15" x14ac:dyDescent="0.25">
      <c r="A17599" t="s">
        <v>24</v>
      </c>
      <c r="B17599" t="s">
        <v>34039</v>
      </c>
      <c r="C17599" t="str">
        <f>"A0093568"</f>
        <v>A0093568</v>
      </c>
      <c r="D17599" t="s">
        <v>63708</v>
      </c>
      <c r="E17599" t="s">
        <v>63709</v>
      </c>
      <c r="F17599" t="s">
        <v>15731</v>
      </c>
      <c r="G17599" t="s">
        <v>1363</v>
      </c>
      <c r="H17599">
        <v>3766</v>
      </c>
      <c r="I17599" t="s">
        <v>30</v>
      </c>
      <c r="J17599" t="s">
        <v>31</v>
      </c>
      <c r="K17599" t="s">
        <v>1890</v>
      </c>
      <c r="N17599" t="s">
        <v>63710</v>
      </c>
      <c r="O17599" t="s">
        <v>60596</v>
      </c>
      <c r="Q17599">
        <v>0</v>
      </c>
      <c r="R17599">
        <v>120</v>
      </c>
      <c r="S17599">
        <v>0</v>
      </c>
      <c r="T17599" t="s">
        <v>63711</v>
      </c>
    </row>
    <row r="17600" spans="1:20" customFormat="1" ht="15" x14ac:dyDescent="0.25">
      <c r="A17600" t="s">
        <v>24</v>
      </c>
      <c r="B17600" t="s">
        <v>14979</v>
      </c>
      <c r="C17600" t="str">
        <f>"A0093528"</f>
        <v>A0093528</v>
      </c>
      <c r="D17600" t="s">
        <v>63712</v>
      </c>
      <c r="E17600" t="s">
        <v>63713</v>
      </c>
      <c r="F17600" t="s">
        <v>63714</v>
      </c>
      <c r="G17600" t="s">
        <v>338</v>
      </c>
      <c r="H17600">
        <v>7029</v>
      </c>
      <c r="I17600" t="s">
        <v>30</v>
      </c>
      <c r="J17600" t="s">
        <v>31</v>
      </c>
      <c r="K17600" t="s">
        <v>1890</v>
      </c>
      <c r="N17600" t="s">
        <v>63715</v>
      </c>
      <c r="O17600" t="s">
        <v>63716</v>
      </c>
      <c r="Q17600">
        <v>0</v>
      </c>
      <c r="R17600">
        <v>138</v>
      </c>
      <c r="S17600">
        <v>0</v>
      </c>
      <c r="T17600" t="s">
        <v>63717</v>
      </c>
    </row>
    <row r="17601" spans="1:20" customFormat="1" ht="15" x14ac:dyDescent="0.25">
      <c r="A17601" t="s">
        <v>24</v>
      </c>
      <c r="B17601" t="s">
        <v>55640</v>
      </c>
      <c r="C17601" t="str">
        <f>"A0099071"</f>
        <v>A0099071</v>
      </c>
      <c r="D17601" t="s">
        <v>63718</v>
      </c>
      <c r="E17601" t="s">
        <v>63719</v>
      </c>
      <c r="F17601" t="s">
        <v>63720</v>
      </c>
      <c r="G17601" t="s">
        <v>289</v>
      </c>
      <c r="H17601">
        <v>61265</v>
      </c>
      <c r="I17601" t="s">
        <v>30</v>
      </c>
      <c r="J17601" t="s">
        <v>31</v>
      </c>
      <c r="K17601" t="s">
        <v>1890</v>
      </c>
      <c r="N17601" t="s">
        <v>63721</v>
      </c>
      <c r="Q17601">
        <v>0</v>
      </c>
      <c r="R17601">
        <v>96</v>
      </c>
      <c r="S17601">
        <v>0</v>
      </c>
      <c r="T17601" t="s">
        <v>63722</v>
      </c>
    </row>
    <row r="17602" spans="1:20" customFormat="1" ht="15" x14ac:dyDescent="0.25">
      <c r="A17602" t="s">
        <v>24</v>
      </c>
      <c r="B17602" t="s">
        <v>61024</v>
      </c>
      <c r="C17602" t="str">
        <f>"A0100065"</f>
        <v>A0100065</v>
      </c>
      <c r="D17602" t="s">
        <v>63723</v>
      </c>
      <c r="E17602" t="s">
        <v>63724</v>
      </c>
      <c r="F17602" t="s">
        <v>63725</v>
      </c>
      <c r="G17602" t="s">
        <v>52</v>
      </c>
      <c r="H17602">
        <v>77494</v>
      </c>
      <c r="I17602" t="s">
        <v>30</v>
      </c>
      <c r="J17602" t="s">
        <v>31</v>
      </c>
      <c r="K17602" t="s">
        <v>1890</v>
      </c>
      <c r="N17602" t="s">
        <v>63726</v>
      </c>
      <c r="O17602" t="s">
        <v>63727</v>
      </c>
      <c r="Q17602">
        <v>0</v>
      </c>
      <c r="R17602">
        <v>143</v>
      </c>
      <c r="S17602">
        <v>0</v>
      </c>
      <c r="T17602" t="s">
        <v>63728</v>
      </c>
    </row>
    <row r="17603" spans="1:20" customFormat="1" ht="15" x14ac:dyDescent="0.25">
      <c r="A17603" t="s">
        <v>24</v>
      </c>
      <c r="B17603" t="s">
        <v>15291</v>
      </c>
      <c r="C17603" t="str">
        <f>"A0087274"</f>
        <v>A0087274</v>
      </c>
      <c r="D17603" t="s">
        <v>63729</v>
      </c>
      <c r="E17603" t="s">
        <v>63730</v>
      </c>
      <c r="F17603" t="s">
        <v>1564</v>
      </c>
      <c r="G17603" t="s">
        <v>52</v>
      </c>
      <c r="H17603">
        <v>77070</v>
      </c>
      <c r="I17603" t="s">
        <v>30</v>
      </c>
      <c r="J17603" t="s">
        <v>31</v>
      </c>
      <c r="K17603" t="s">
        <v>1890</v>
      </c>
      <c r="N17603" t="s">
        <v>63731</v>
      </c>
      <c r="Q17603">
        <v>0</v>
      </c>
      <c r="R17603">
        <v>123</v>
      </c>
      <c r="S17603">
        <v>0</v>
      </c>
      <c r="T17603" t="s">
        <v>63732</v>
      </c>
    </row>
    <row r="17604" spans="1:20" customFormat="1" ht="15" x14ac:dyDescent="0.25">
      <c r="A17604" t="s">
        <v>24</v>
      </c>
      <c r="B17604" t="s">
        <v>1548</v>
      </c>
      <c r="C17604" t="str">
        <f>"A0098367"</f>
        <v>A0098367</v>
      </c>
      <c r="D17604" t="s">
        <v>63733</v>
      </c>
      <c r="E17604" t="s">
        <v>63734</v>
      </c>
      <c r="F17604" t="s">
        <v>3545</v>
      </c>
      <c r="G17604" t="s">
        <v>1706</v>
      </c>
      <c r="H17604">
        <v>35806</v>
      </c>
      <c r="I17604" t="s">
        <v>30</v>
      </c>
      <c r="J17604" t="s">
        <v>31</v>
      </c>
      <c r="K17604" t="s">
        <v>1890</v>
      </c>
      <c r="N17604" t="s">
        <v>63128</v>
      </c>
      <c r="Q17604">
        <v>0</v>
      </c>
      <c r="R17604">
        <v>150</v>
      </c>
      <c r="S17604">
        <v>0</v>
      </c>
      <c r="T17604" t="s">
        <v>63735</v>
      </c>
    </row>
    <row r="17605" spans="1:20" customFormat="1" ht="15" x14ac:dyDescent="0.25">
      <c r="A17605" t="s">
        <v>24</v>
      </c>
      <c r="B17605" t="s">
        <v>1323</v>
      </c>
      <c r="C17605" t="str">
        <f>"A0158239"</f>
        <v>A0158239</v>
      </c>
      <c r="D17605" t="s">
        <v>63736</v>
      </c>
      <c r="E17605" t="s">
        <v>63737</v>
      </c>
      <c r="F17605" t="s">
        <v>12348</v>
      </c>
      <c r="G17605" t="s">
        <v>880</v>
      </c>
      <c r="H17605">
        <v>37922</v>
      </c>
      <c r="I17605" t="s">
        <v>30</v>
      </c>
      <c r="J17605" t="s">
        <v>31</v>
      </c>
      <c r="K17605" t="s">
        <v>1890</v>
      </c>
      <c r="N17605" t="s">
        <v>63738</v>
      </c>
      <c r="Q17605">
        <v>0</v>
      </c>
      <c r="R17605">
        <v>105</v>
      </c>
      <c r="S17605">
        <v>0</v>
      </c>
      <c r="T17605" t="s">
        <v>8754</v>
      </c>
    </row>
    <row r="17606" spans="1:20" customFormat="1" ht="15" x14ac:dyDescent="0.25">
      <c r="A17606" t="s">
        <v>24</v>
      </c>
      <c r="B17606" t="s">
        <v>5843</v>
      </c>
      <c r="C17606" t="str">
        <f>"A0096442"</f>
        <v>A0096442</v>
      </c>
      <c r="D17606" t="s">
        <v>63739</v>
      </c>
      <c r="E17606" t="s">
        <v>63740</v>
      </c>
      <c r="F17606" t="s">
        <v>220</v>
      </c>
      <c r="G17606" t="s">
        <v>221</v>
      </c>
      <c r="H17606">
        <v>89135</v>
      </c>
      <c r="I17606" t="s">
        <v>30</v>
      </c>
      <c r="J17606" t="s">
        <v>31</v>
      </c>
      <c r="K17606" t="s">
        <v>1890</v>
      </c>
      <c r="N17606" t="s">
        <v>63741</v>
      </c>
      <c r="Q17606">
        <v>0</v>
      </c>
      <c r="R17606">
        <v>115</v>
      </c>
      <c r="S17606">
        <v>0</v>
      </c>
      <c r="T17606" t="s">
        <v>63742</v>
      </c>
    </row>
    <row r="17607" spans="1:20" customFormat="1" ht="15" x14ac:dyDescent="0.25">
      <c r="A17607" t="s">
        <v>24</v>
      </c>
      <c r="B17607" t="s">
        <v>7405</v>
      </c>
      <c r="C17607" t="str">
        <f>"A0078024"</f>
        <v>A0078024</v>
      </c>
      <c r="D17607" t="s">
        <v>63743</v>
      </c>
      <c r="E17607" t="s">
        <v>63744</v>
      </c>
      <c r="F17607" t="s">
        <v>1689</v>
      </c>
      <c r="G17607" t="s">
        <v>899</v>
      </c>
      <c r="H17607">
        <v>2421</v>
      </c>
      <c r="I17607" t="s">
        <v>30</v>
      </c>
      <c r="J17607" t="s">
        <v>31</v>
      </c>
      <c r="K17607" t="s">
        <v>1890</v>
      </c>
      <c r="N17607" t="s">
        <v>55796</v>
      </c>
      <c r="Q17607">
        <v>0</v>
      </c>
      <c r="R17607">
        <v>123</v>
      </c>
      <c r="S17607">
        <v>0</v>
      </c>
      <c r="T17607" t="s">
        <v>63745</v>
      </c>
    </row>
    <row r="17608" spans="1:20" customFormat="1" ht="15" x14ac:dyDescent="0.25">
      <c r="A17608" t="s">
        <v>24</v>
      </c>
      <c r="B17608" t="s">
        <v>15855</v>
      </c>
      <c r="C17608" t="str">
        <f>"A0147919"</f>
        <v>A0147919</v>
      </c>
      <c r="D17608" t="s">
        <v>63746</v>
      </c>
      <c r="E17608" t="s">
        <v>63747</v>
      </c>
      <c r="F17608" t="s">
        <v>2971</v>
      </c>
      <c r="G17608" t="s">
        <v>880</v>
      </c>
      <c r="H17608">
        <v>37214</v>
      </c>
      <c r="I17608" t="s">
        <v>30</v>
      </c>
      <c r="J17608" t="s">
        <v>31</v>
      </c>
      <c r="K17608" t="s">
        <v>1890</v>
      </c>
      <c r="N17608" t="s">
        <v>63748</v>
      </c>
      <c r="Q17608">
        <v>0</v>
      </c>
      <c r="R17608">
        <v>120</v>
      </c>
      <c r="S17608">
        <v>0</v>
      </c>
      <c r="T17608" t="s">
        <v>63749</v>
      </c>
    </row>
    <row r="17609" spans="1:20" customFormat="1" ht="15" x14ac:dyDescent="0.25">
      <c r="A17609" t="s">
        <v>24</v>
      </c>
      <c r="B17609" t="s">
        <v>1467</v>
      </c>
      <c r="C17609" t="str">
        <f>"A0062479"</f>
        <v>A0062479</v>
      </c>
      <c r="D17609" t="s">
        <v>63750</v>
      </c>
      <c r="E17609" t="s">
        <v>63751</v>
      </c>
      <c r="F17609" t="s">
        <v>63752</v>
      </c>
      <c r="G17609" t="s">
        <v>899</v>
      </c>
      <c r="H17609">
        <v>1863</v>
      </c>
      <c r="I17609" t="s">
        <v>30</v>
      </c>
      <c r="J17609" t="s">
        <v>31</v>
      </c>
      <c r="K17609" t="s">
        <v>1890</v>
      </c>
      <c r="N17609" t="s">
        <v>63753</v>
      </c>
      <c r="Q17609">
        <v>0</v>
      </c>
      <c r="R17609">
        <v>100</v>
      </c>
      <c r="S17609">
        <v>0</v>
      </c>
      <c r="T17609" t="s">
        <v>63754</v>
      </c>
    </row>
    <row r="17610" spans="1:20" customFormat="1" ht="15" x14ac:dyDescent="0.25">
      <c r="A17610" t="s">
        <v>24</v>
      </c>
      <c r="B17610" t="s">
        <v>257</v>
      </c>
      <c r="C17610" t="str">
        <f>"A0158034"</f>
        <v>A0158034</v>
      </c>
      <c r="D17610" t="s">
        <v>63755</v>
      </c>
      <c r="E17610" t="s">
        <v>63756</v>
      </c>
      <c r="F17610" t="s">
        <v>985</v>
      </c>
      <c r="G17610" t="s">
        <v>81</v>
      </c>
      <c r="H17610">
        <v>32819</v>
      </c>
      <c r="I17610" t="s">
        <v>30</v>
      </c>
      <c r="J17610" t="s">
        <v>31</v>
      </c>
      <c r="K17610" t="s">
        <v>1890</v>
      </c>
      <c r="N17610" t="s">
        <v>63757</v>
      </c>
      <c r="O17610" t="s">
        <v>63758</v>
      </c>
      <c r="Q17610">
        <v>0</v>
      </c>
      <c r="R17610">
        <v>165</v>
      </c>
      <c r="S17610">
        <v>0</v>
      </c>
      <c r="T17610" t="s">
        <v>63759</v>
      </c>
    </row>
    <row r="17611" spans="1:20" customFormat="1" ht="15" x14ac:dyDescent="0.25">
      <c r="A17611" t="s">
        <v>24</v>
      </c>
      <c r="B17611" t="s">
        <v>1317</v>
      </c>
      <c r="C17611" t="str">
        <f>"A0098822"</f>
        <v>A0098822</v>
      </c>
      <c r="D17611" t="s">
        <v>63760</v>
      </c>
      <c r="E17611" t="s">
        <v>63761</v>
      </c>
      <c r="F17611" t="s">
        <v>14243</v>
      </c>
      <c r="G17611" t="s">
        <v>110</v>
      </c>
      <c r="H17611">
        <v>93551</v>
      </c>
      <c r="I17611" t="s">
        <v>30</v>
      </c>
      <c r="J17611" t="s">
        <v>31</v>
      </c>
      <c r="K17611" t="s">
        <v>1890</v>
      </c>
      <c r="N17611" t="s">
        <v>63762</v>
      </c>
      <c r="Q17611">
        <v>0</v>
      </c>
      <c r="R17611">
        <v>123</v>
      </c>
      <c r="S17611">
        <v>0</v>
      </c>
      <c r="T17611" t="s">
        <v>63763</v>
      </c>
    </row>
    <row r="17612" spans="1:20" customFormat="1" ht="15" x14ac:dyDescent="0.25">
      <c r="A17612" t="s">
        <v>24</v>
      </c>
      <c r="B17612" t="s">
        <v>675</v>
      </c>
      <c r="C17612" t="str">
        <f>"A0098083"</f>
        <v>A0098083</v>
      </c>
      <c r="D17612" t="s">
        <v>63764</v>
      </c>
      <c r="E17612" t="s">
        <v>9811</v>
      </c>
      <c r="F17612" t="s">
        <v>9812</v>
      </c>
      <c r="G17612" t="s">
        <v>103</v>
      </c>
      <c r="H17612">
        <v>19102</v>
      </c>
      <c r="I17612" t="s">
        <v>30</v>
      </c>
      <c r="J17612" t="s">
        <v>31</v>
      </c>
      <c r="K17612" t="s">
        <v>1890</v>
      </c>
      <c r="N17612" t="s">
        <v>63765</v>
      </c>
      <c r="O17612" t="s">
        <v>63766</v>
      </c>
      <c r="Q17612">
        <v>0</v>
      </c>
      <c r="R17612">
        <v>460</v>
      </c>
      <c r="S17612">
        <v>0</v>
      </c>
      <c r="T17612" t="s">
        <v>63767</v>
      </c>
    </row>
    <row r="17613" spans="1:20" customFormat="1" ht="15" x14ac:dyDescent="0.25">
      <c r="A17613" t="s">
        <v>24</v>
      </c>
      <c r="B17613" t="s">
        <v>9549</v>
      </c>
      <c r="C17613" t="str">
        <f>"A0156807"</f>
        <v>A0156807</v>
      </c>
      <c r="D17613" t="s">
        <v>63768</v>
      </c>
      <c r="E17613" t="s">
        <v>63769</v>
      </c>
      <c r="F17613" t="s">
        <v>3802</v>
      </c>
      <c r="G17613" t="s">
        <v>47</v>
      </c>
      <c r="H17613">
        <v>97006</v>
      </c>
      <c r="I17613" t="s">
        <v>30</v>
      </c>
      <c r="J17613" t="s">
        <v>31</v>
      </c>
      <c r="K17613" t="s">
        <v>1890</v>
      </c>
      <c r="N17613" t="s">
        <v>63770</v>
      </c>
      <c r="Q17613">
        <v>0</v>
      </c>
      <c r="R17613">
        <v>110</v>
      </c>
      <c r="S17613">
        <v>0</v>
      </c>
      <c r="T17613" t="s">
        <v>4521</v>
      </c>
    </row>
    <row r="17614" spans="1:20" customFormat="1" ht="15" x14ac:dyDescent="0.25">
      <c r="A17614" t="s">
        <v>24</v>
      </c>
      <c r="B17614" t="s">
        <v>1138</v>
      </c>
      <c r="C17614" t="str">
        <f>"A0154354"</f>
        <v>A0154354</v>
      </c>
      <c r="D17614" t="s">
        <v>63771</v>
      </c>
      <c r="E17614" t="s">
        <v>63772</v>
      </c>
      <c r="F17614" t="s">
        <v>3517</v>
      </c>
      <c r="G17614" t="s">
        <v>110</v>
      </c>
      <c r="H17614">
        <v>95834</v>
      </c>
      <c r="I17614" t="s">
        <v>30</v>
      </c>
      <c r="J17614" t="s">
        <v>31</v>
      </c>
      <c r="K17614" t="s">
        <v>1890</v>
      </c>
      <c r="N17614" t="s">
        <v>63773</v>
      </c>
      <c r="Q17614">
        <v>0</v>
      </c>
      <c r="R17614">
        <v>120</v>
      </c>
      <c r="S17614">
        <v>0</v>
      </c>
      <c r="T17614" t="s">
        <v>63774</v>
      </c>
    </row>
    <row r="17615" spans="1:20" customFormat="1" ht="15" hidden="1" x14ac:dyDescent="0.25">
      <c r="A17615" t="s">
        <v>24</v>
      </c>
      <c r="B17615" t="s">
        <v>59461</v>
      </c>
      <c r="C17615" t="str">
        <f>"A0153171"</f>
        <v>A0153171</v>
      </c>
      <c r="D17615" t="s">
        <v>63775</v>
      </c>
      <c r="E17615" t="s">
        <v>63776</v>
      </c>
      <c r="F17615" t="s">
        <v>2879</v>
      </c>
      <c r="G17615" t="s">
        <v>2206</v>
      </c>
      <c r="H17615" t="s">
        <v>63777</v>
      </c>
      <c r="I17615" t="s">
        <v>1459</v>
      </c>
      <c r="J17615" t="s">
        <v>31</v>
      </c>
      <c r="K17615" t="s">
        <v>1890</v>
      </c>
      <c r="N17615" t="s">
        <v>63778</v>
      </c>
      <c r="Q17615">
        <v>0</v>
      </c>
      <c r="R17615">
        <v>144</v>
      </c>
      <c r="S17615">
        <v>0</v>
      </c>
      <c r="T17615" t="s">
        <v>63779</v>
      </c>
    </row>
    <row r="17616" spans="1:20" customFormat="1" ht="15" x14ac:dyDescent="0.25">
      <c r="A17616" t="s">
        <v>24</v>
      </c>
      <c r="B17616" t="s">
        <v>2360</v>
      </c>
      <c r="C17616" t="str">
        <f>"CL1610"</f>
        <v>CL1610</v>
      </c>
      <c r="D17616" t="s">
        <v>63780</v>
      </c>
      <c r="E17616" t="s">
        <v>63781</v>
      </c>
      <c r="F17616" t="s">
        <v>372</v>
      </c>
      <c r="G17616" t="s">
        <v>52</v>
      </c>
      <c r="H17616">
        <v>78738</v>
      </c>
      <c r="I17616" t="s">
        <v>30</v>
      </c>
      <c r="J17616" t="s">
        <v>56476</v>
      </c>
      <c r="K17616" t="s">
        <v>56092</v>
      </c>
      <c r="N17616" t="s">
        <v>63782</v>
      </c>
      <c r="Q17616">
        <v>0</v>
      </c>
      <c r="R17616">
        <v>0</v>
      </c>
      <c r="S17616">
        <v>0</v>
      </c>
      <c r="T17616" t="s">
        <v>63783</v>
      </c>
    </row>
    <row r="17617" spans="1:25" customFormat="1" ht="15" x14ac:dyDescent="0.25">
      <c r="A17617" t="s">
        <v>24</v>
      </c>
      <c r="B17617" t="s">
        <v>186</v>
      </c>
      <c r="C17617" t="str">
        <f>"A0146653"</f>
        <v>A0146653</v>
      </c>
      <c r="D17617" t="s">
        <v>63784</v>
      </c>
      <c r="E17617" t="s">
        <v>63785</v>
      </c>
      <c r="F17617" t="s">
        <v>34169</v>
      </c>
      <c r="G17617" t="s">
        <v>190</v>
      </c>
      <c r="H17617">
        <v>81615</v>
      </c>
      <c r="I17617" t="s">
        <v>30</v>
      </c>
      <c r="J17617" t="s">
        <v>1004</v>
      </c>
      <c r="K17617" t="s">
        <v>163</v>
      </c>
      <c r="N17617" t="s">
        <v>55669</v>
      </c>
      <c r="Q17617">
        <v>0</v>
      </c>
      <c r="R17617">
        <v>0</v>
      </c>
      <c r="S17617">
        <v>0</v>
      </c>
      <c r="T17617" t="s">
        <v>55670</v>
      </c>
    </row>
    <row r="17618" spans="1:25" customFormat="1" ht="15" x14ac:dyDescent="0.25">
      <c r="A17618" t="s">
        <v>24</v>
      </c>
      <c r="B17618" t="s">
        <v>799</v>
      </c>
      <c r="C17618" t="str">
        <f>"A0093848"</f>
        <v>A0093848</v>
      </c>
      <c r="D17618" t="s">
        <v>63786</v>
      </c>
      <c r="E17618" t="s">
        <v>63787</v>
      </c>
      <c r="F17618" t="s">
        <v>5369</v>
      </c>
      <c r="G17618" t="s">
        <v>58</v>
      </c>
      <c r="H17618">
        <v>29401</v>
      </c>
      <c r="I17618" t="s">
        <v>30</v>
      </c>
      <c r="J17618" t="s">
        <v>31</v>
      </c>
      <c r="K17618" t="s">
        <v>163</v>
      </c>
      <c r="N17618" t="s">
        <v>63788</v>
      </c>
      <c r="Q17618">
        <v>0</v>
      </c>
      <c r="R17618">
        <v>25</v>
      </c>
      <c r="S17618">
        <v>0</v>
      </c>
      <c r="T17618" t="s">
        <v>63789</v>
      </c>
    </row>
    <row r="17619" spans="1:25" customFormat="1" ht="15" x14ac:dyDescent="0.25">
      <c r="A17619" t="s">
        <v>24</v>
      </c>
      <c r="B17619" t="s">
        <v>63790</v>
      </c>
      <c r="C17619" t="str">
        <f>"A0099275"</f>
        <v>A0099275</v>
      </c>
      <c r="D17619" t="s">
        <v>63791</v>
      </c>
      <c r="E17619" t="s">
        <v>63792</v>
      </c>
      <c r="F17619" t="s">
        <v>11700</v>
      </c>
      <c r="G17619" t="s">
        <v>880</v>
      </c>
      <c r="H17619">
        <v>38116</v>
      </c>
      <c r="I17619" t="s">
        <v>30</v>
      </c>
      <c r="J17619" t="s">
        <v>7657</v>
      </c>
      <c r="K17619" t="s">
        <v>163</v>
      </c>
      <c r="N17619" t="s">
        <v>63793</v>
      </c>
      <c r="Q17619">
        <v>0</v>
      </c>
      <c r="R17619">
        <v>0</v>
      </c>
      <c r="S17619">
        <v>0</v>
      </c>
      <c r="T17619" t="s">
        <v>63794</v>
      </c>
    </row>
    <row r="17620" spans="1:25" x14ac:dyDescent="0.25">
      <c r="A17620" s="3" t="s">
        <v>24</v>
      </c>
      <c r="B17620" s="3" t="s">
        <v>7953</v>
      </c>
      <c r="C17620" s="3" t="str">
        <f>"A0156078"</f>
        <v>A0156078</v>
      </c>
      <c r="D17620" s="3" t="s">
        <v>75303</v>
      </c>
      <c r="E17620" s="3" t="s">
        <v>75304</v>
      </c>
      <c r="F17620" s="3" t="s">
        <v>716</v>
      </c>
      <c r="G17620" s="3" t="s">
        <v>289</v>
      </c>
      <c r="H17620" s="3">
        <v>60601</v>
      </c>
      <c r="I17620" s="3" t="s">
        <v>30</v>
      </c>
      <c r="J17620" s="3" t="s">
        <v>206</v>
      </c>
      <c r="K17620" s="3" t="s">
        <v>5707</v>
      </c>
      <c r="N17620" s="3" t="s">
        <v>75305</v>
      </c>
      <c r="O17620" s="3" t="s">
        <v>75306</v>
      </c>
      <c r="Q17620" s="3">
        <v>0</v>
      </c>
      <c r="R17620" s="3">
        <v>452</v>
      </c>
      <c r="S17620" s="3">
        <v>0</v>
      </c>
      <c r="T17620" s="3" t="s">
        <v>75307</v>
      </c>
    </row>
    <row r="17621" spans="1:25" customFormat="1" x14ac:dyDescent="0.25">
      <c r="A17621" s="4" t="s">
        <v>24</v>
      </c>
      <c r="B17621" s="4" t="s">
        <v>2011</v>
      </c>
      <c r="C17621" s="4" t="str">
        <f>"HY09783"</f>
        <v>HY09783</v>
      </c>
      <c r="D17621" s="4" t="s">
        <v>77227</v>
      </c>
      <c r="E17621" s="4" t="s">
        <v>77228</v>
      </c>
      <c r="F17621" s="4" t="s">
        <v>716</v>
      </c>
      <c r="G17621" s="4" t="s">
        <v>289</v>
      </c>
      <c r="H17621" s="4">
        <v>60611</v>
      </c>
      <c r="I17621" s="4" t="s">
        <v>30</v>
      </c>
      <c r="J17621" s="4" t="s">
        <v>206</v>
      </c>
      <c r="K17621" s="4" t="s">
        <v>77217</v>
      </c>
      <c r="L17621" s="4"/>
      <c r="M17621" s="4"/>
      <c r="N17621" s="4" t="s">
        <v>77229</v>
      </c>
      <c r="O17621" s="4" t="s">
        <v>77230</v>
      </c>
      <c r="P17621" s="4"/>
      <c r="Q17621" s="4">
        <v>0</v>
      </c>
      <c r="R17621" s="4">
        <v>198</v>
      </c>
      <c r="S17621" s="4">
        <v>0</v>
      </c>
      <c r="T17621" s="4" t="s">
        <v>77231</v>
      </c>
      <c r="U17621" s="4"/>
      <c r="V17621" s="4"/>
      <c r="W17621" s="4"/>
      <c r="X17621" s="4"/>
      <c r="Y17621" s="4"/>
    </row>
    <row r="17622" spans="1:25" customFormat="1" x14ac:dyDescent="0.25">
      <c r="A17622" s="4" t="s">
        <v>24</v>
      </c>
      <c r="B17622" s="4" t="s">
        <v>7674</v>
      </c>
      <c r="C17622" s="4" t="str">
        <f>"A0093846"</f>
        <v>A0093846</v>
      </c>
      <c r="D17622" s="4" t="s">
        <v>77320</v>
      </c>
      <c r="E17622" s="4" t="s">
        <v>16110</v>
      </c>
      <c r="F17622" s="4" t="s">
        <v>716</v>
      </c>
      <c r="G17622" s="4" t="s">
        <v>289</v>
      </c>
      <c r="H17622" s="4">
        <v>60601</v>
      </c>
      <c r="I17622" s="4" t="s">
        <v>30</v>
      </c>
      <c r="J17622" s="4" t="s">
        <v>206</v>
      </c>
      <c r="K17622" s="4" t="s">
        <v>7678</v>
      </c>
      <c r="L17622" s="4"/>
      <c r="M17622" s="4"/>
      <c r="N17622" s="4" t="s">
        <v>77321</v>
      </c>
      <c r="O17622" s="4" t="s">
        <v>77322</v>
      </c>
      <c r="P17622" s="4"/>
      <c r="Q17622" s="4">
        <v>0</v>
      </c>
      <c r="R17622" s="4">
        <v>381</v>
      </c>
      <c r="S17622" s="4">
        <v>0</v>
      </c>
      <c r="T17622" s="4" t="s">
        <v>77323</v>
      </c>
      <c r="U17622" s="4"/>
      <c r="V17622" s="4"/>
      <c r="W17622" s="4"/>
      <c r="X17622" s="4"/>
      <c r="Y17622" s="4"/>
    </row>
    <row r="17623" spans="1:25" customFormat="1" x14ac:dyDescent="0.25">
      <c r="A17623" s="4" t="s">
        <v>24</v>
      </c>
      <c r="B17623" s="4" t="s">
        <v>77331</v>
      </c>
      <c r="C17623" s="4" t="str">
        <f>"A0063551"</f>
        <v>A0063551</v>
      </c>
      <c r="D17623" s="4" t="s">
        <v>77338</v>
      </c>
      <c r="E17623" s="4" t="s">
        <v>77339</v>
      </c>
      <c r="F17623" s="4" t="s">
        <v>716</v>
      </c>
      <c r="G17623" s="4" t="s">
        <v>289</v>
      </c>
      <c r="H17623" s="4">
        <v>60611</v>
      </c>
      <c r="I17623" s="4" t="s">
        <v>30</v>
      </c>
      <c r="J17623" s="4" t="s">
        <v>206</v>
      </c>
      <c r="K17623" s="4" t="s">
        <v>77334</v>
      </c>
      <c r="L17623" s="4"/>
      <c r="M17623" s="4"/>
      <c r="N17623" s="4" t="s">
        <v>77340</v>
      </c>
      <c r="O17623" s="4" t="s">
        <v>77341</v>
      </c>
      <c r="P17623" s="4"/>
      <c r="Q17623" s="4">
        <v>0</v>
      </c>
      <c r="R17623" s="4">
        <v>339</v>
      </c>
      <c r="S17623" s="4">
        <v>0</v>
      </c>
      <c r="T17623" s="4" t="s">
        <v>77342</v>
      </c>
      <c r="U17623" s="4"/>
      <c r="V17623" s="4"/>
      <c r="W17623" s="4"/>
      <c r="X17623" s="4"/>
      <c r="Y17623" s="4"/>
    </row>
    <row r="17624" spans="1:25" customFormat="1" ht="15" x14ac:dyDescent="0.25">
      <c r="A17624" t="s">
        <v>24</v>
      </c>
      <c r="B17624" t="s">
        <v>55661</v>
      </c>
      <c r="C17624" t="str">
        <f>"A0098784"</f>
        <v>A0098784</v>
      </c>
      <c r="D17624" t="s">
        <v>63812</v>
      </c>
      <c r="E17624" t="s">
        <v>63813</v>
      </c>
      <c r="F17624" t="s">
        <v>13767</v>
      </c>
      <c r="G17624" t="s">
        <v>4815</v>
      </c>
      <c r="H17624">
        <v>96815</v>
      </c>
      <c r="I17624" t="s">
        <v>30</v>
      </c>
      <c r="J17624" t="s">
        <v>31</v>
      </c>
      <c r="K17624" t="s">
        <v>266</v>
      </c>
      <c r="N17624" t="s">
        <v>63814</v>
      </c>
      <c r="Q17624">
        <v>0</v>
      </c>
      <c r="R17624">
        <v>369</v>
      </c>
      <c r="S17624">
        <v>0</v>
      </c>
      <c r="T17624" t="s">
        <v>63815</v>
      </c>
    </row>
    <row r="17625" spans="1:25" customFormat="1" x14ac:dyDescent="0.25">
      <c r="A17625" s="4" t="s">
        <v>24</v>
      </c>
      <c r="B17625" s="4" t="s">
        <v>13304</v>
      </c>
      <c r="C17625" s="4" t="str">
        <f>"A0059515"</f>
        <v>A0059515</v>
      </c>
      <c r="D17625" s="4" t="s">
        <v>83704</v>
      </c>
      <c r="E17625" s="4" t="s">
        <v>83705</v>
      </c>
      <c r="F17625" s="4" t="s">
        <v>716</v>
      </c>
      <c r="G17625" s="4" t="s">
        <v>289</v>
      </c>
      <c r="H17625" s="4">
        <v>60601</v>
      </c>
      <c r="I17625" s="4" t="s">
        <v>30</v>
      </c>
      <c r="J17625" s="4" t="s">
        <v>206</v>
      </c>
      <c r="K17625" s="4" t="s">
        <v>83706</v>
      </c>
      <c r="L17625" s="4"/>
      <c r="M17625" s="4"/>
      <c r="N17625" s="4" t="s">
        <v>83707</v>
      </c>
      <c r="O17625" s="4"/>
      <c r="P17625" s="4"/>
      <c r="Q17625" s="4">
        <v>0</v>
      </c>
      <c r="R17625" s="4">
        <v>661</v>
      </c>
      <c r="S17625" s="4">
        <v>0</v>
      </c>
      <c r="T17625" s="4" t="s">
        <v>83708</v>
      </c>
      <c r="U17625" s="4"/>
      <c r="V17625" s="4"/>
      <c r="W17625" s="4"/>
      <c r="X17625" s="4"/>
      <c r="Y17625" s="4"/>
    </row>
    <row r="17626" spans="1:25" customFormat="1" x14ac:dyDescent="0.25">
      <c r="A17626" s="4" t="s">
        <v>24</v>
      </c>
      <c r="B17626" s="4" t="s">
        <v>5166</v>
      </c>
      <c r="C17626" s="4" t="str">
        <f>"A0084843"</f>
        <v>A0084843</v>
      </c>
      <c r="D17626" s="4" t="s">
        <v>83908</v>
      </c>
      <c r="E17626" s="4" t="s">
        <v>83909</v>
      </c>
      <c r="F17626" s="4" t="s">
        <v>716</v>
      </c>
      <c r="G17626" s="4" t="s">
        <v>289</v>
      </c>
      <c r="H17626" s="4">
        <v>60605</v>
      </c>
      <c r="I17626" s="4" t="s">
        <v>30</v>
      </c>
      <c r="J17626" s="4" t="s">
        <v>206</v>
      </c>
      <c r="K17626" s="4" t="s">
        <v>6459</v>
      </c>
      <c r="L17626" s="4"/>
      <c r="M17626" s="4"/>
      <c r="N17626" s="4" t="s">
        <v>83910</v>
      </c>
      <c r="O17626" s="4"/>
      <c r="P17626" s="4"/>
      <c r="Q17626" s="4">
        <v>0</v>
      </c>
      <c r="R17626" s="4">
        <v>332</v>
      </c>
      <c r="S17626" s="4">
        <v>0</v>
      </c>
      <c r="T17626" s="4" t="s">
        <v>83911</v>
      </c>
      <c r="U17626" s="4"/>
      <c r="V17626" s="4"/>
      <c r="W17626" s="4"/>
      <c r="X17626" s="4"/>
      <c r="Y17626" s="4"/>
    </row>
    <row r="17627" spans="1:25" customFormat="1" x14ac:dyDescent="0.25">
      <c r="A17627" s="4" t="s">
        <v>24</v>
      </c>
      <c r="B17627" s="4" t="s">
        <v>2583</v>
      </c>
      <c r="C17627" s="4" t="str">
        <f>"A0060006"</f>
        <v>A0060006</v>
      </c>
      <c r="D17627" s="4" t="s">
        <v>84175</v>
      </c>
      <c r="E17627" s="4" t="s">
        <v>84176</v>
      </c>
      <c r="F17627" s="4" t="s">
        <v>9072</v>
      </c>
      <c r="G17627" s="4" t="s">
        <v>289</v>
      </c>
      <c r="H17627" s="4">
        <v>60523</v>
      </c>
      <c r="I17627" s="4" t="s">
        <v>30</v>
      </c>
      <c r="J17627" s="4" t="s">
        <v>206</v>
      </c>
      <c r="K17627" s="4" t="s">
        <v>6459</v>
      </c>
      <c r="L17627" s="4"/>
      <c r="M17627" s="4"/>
      <c r="N17627" s="4" t="s">
        <v>84177</v>
      </c>
      <c r="O17627" s="4" t="s">
        <v>84178</v>
      </c>
      <c r="P17627" s="4"/>
      <c r="Q17627" s="4">
        <v>0</v>
      </c>
      <c r="R17627" s="4">
        <v>160</v>
      </c>
      <c r="S17627" s="4">
        <v>0</v>
      </c>
      <c r="T17627" s="4" t="s">
        <v>84179</v>
      </c>
      <c r="U17627" s="4"/>
      <c r="V17627" s="4"/>
      <c r="W17627" s="4"/>
      <c r="X17627" s="4"/>
      <c r="Y17627" s="4"/>
    </row>
    <row r="17628" spans="1:25" customFormat="1" x14ac:dyDescent="0.25">
      <c r="A17628" s="4" t="s">
        <v>24</v>
      </c>
      <c r="B17628" s="4" t="s">
        <v>57973</v>
      </c>
      <c r="C17628" s="4" t="str">
        <f>"A0092252"</f>
        <v>A0092252</v>
      </c>
      <c r="D17628" s="4" t="s">
        <v>84607</v>
      </c>
      <c r="E17628" s="4" t="s">
        <v>84608</v>
      </c>
      <c r="F17628" s="4" t="s">
        <v>716</v>
      </c>
      <c r="G17628" s="4" t="s">
        <v>289</v>
      </c>
      <c r="H17628" s="4">
        <v>60611</v>
      </c>
      <c r="I17628" s="4" t="s">
        <v>30</v>
      </c>
      <c r="J17628" s="4" t="s">
        <v>206</v>
      </c>
      <c r="K17628" s="4" t="s">
        <v>163</v>
      </c>
      <c r="L17628" s="4"/>
      <c r="M17628" s="4"/>
      <c r="N17628" s="4" t="s">
        <v>84609</v>
      </c>
      <c r="O17628" s="4"/>
      <c r="P17628" s="4"/>
      <c r="Q17628" s="4">
        <v>0</v>
      </c>
      <c r="R17628" s="4">
        <v>316</v>
      </c>
      <c r="S17628" s="4">
        <v>0</v>
      </c>
      <c r="T17628" s="4" t="s">
        <v>84610</v>
      </c>
      <c r="U17628" s="4"/>
      <c r="V17628" s="4"/>
      <c r="W17628" s="4"/>
      <c r="X17628" s="4"/>
      <c r="Y17628" s="4"/>
    </row>
    <row r="17629" spans="1:25" customFormat="1" x14ac:dyDescent="0.25">
      <c r="A17629" s="4" t="s">
        <v>24</v>
      </c>
      <c r="B17629" s="4" t="s">
        <v>5166</v>
      </c>
      <c r="C17629" s="4" t="str">
        <f>"A0063199"</f>
        <v>A0063199</v>
      </c>
      <c r="D17629" s="4" t="s">
        <v>85068</v>
      </c>
      <c r="E17629" s="4" t="s">
        <v>85069</v>
      </c>
      <c r="F17629" s="4" t="s">
        <v>716</v>
      </c>
      <c r="G17629" s="4" t="s">
        <v>289</v>
      </c>
      <c r="H17629" s="4">
        <v>60611</v>
      </c>
      <c r="I17629" s="4" t="s">
        <v>30</v>
      </c>
      <c r="J17629" s="4" t="s">
        <v>206</v>
      </c>
      <c r="K17629" s="4" t="s">
        <v>680</v>
      </c>
      <c r="L17629" s="4"/>
      <c r="M17629" s="4"/>
      <c r="N17629" s="4" t="s">
        <v>85070</v>
      </c>
      <c r="O17629" s="4"/>
      <c r="P17629" s="4"/>
      <c r="Q17629" s="4">
        <v>0</v>
      </c>
      <c r="R17629" s="4">
        <v>429</v>
      </c>
      <c r="S17629" s="4">
        <v>0</v>
      </c>
      <c r="T17629" s="4" t="s">
        <v>85071</v>
      </c>
      <c r="U17629" s="4"/>
      <c r="V17629" s="4"/>
      <c r="W17629" s="4"/>
      <c r="X17629" s="4"/>
      <c r="Y17629" s="4"/>
    </row>
    <row r="17630" spans="1:25" customFormat="1" x14ac:dyDescent="0.25">
      <c r="A17630" s="4" t="s">
        <v>24</v>
      </c>
      <c r="B17630" s="4" t="s">
        <v>14164</v>
      </c>
      <c r="C17630" s="4" t="str">
        <f>"A0085186"</f>
        <v>A0085186</v>
      </c>
      <c r="D17630" s="4" t="s">
        <v>86852</v>
      </c>
      <c r="E17630" s="4" t="s">
        <v>86853</v>
      </c>
      <c r="F17630" s="4" t="s">
        <v>716</v>
      </c>
      <c r="G17630" s="4" t="s">
        <v>289</v>
      </c>
      <c r="H17630" s="4">
        <v>60611</v>
      </c>
      <c r="I17630" s="4" t="s">
        <v>30</v>
      </c>
      <c r="J17630" s="4" t="s">
        <v>206</v>
      </c>
      <c r="K17630" s="4" t="s">
        <v>163</v>
      </c>
      <c r="L17630" s="4"/>
      <c r="M17630" s="4"/>
      <c r="N17630" s="4" t="s">
        <v>86854</v>
      </c>
      <c r="O17630" s="4" t="s">
        <v>86855</v>
      </c>
      <c r="P17630" s="4"/>
      <c r="Q17630" s="4">
        <v>0</v>
      </c>
      <c r="R17630" s="4">
        <v>339</v>
      </c>
      <c r="S17630" s="4">
        <v>0</v>
      </c>
      <c r="T17630" s="4" t="s">
        <v>86856</v>
      </c>
      <c r="U17630" s="4"/>
      <c r="V17630" s="4"/>
      <c r="W17630" s="4"/>
      <c r="X17630" s="4"/>
      <c r="Y17630" s="4"/>
    </row>
    <row r="17631" spans="1:25" customFormat="1" x14ac:dyDescent="0.25">
      <c r="A17631" s="4" t="s">
        <v>24</v>
      </c>
      <c r="B17631" s="4" t="s">
        <v>1862</v>
      </c>
      <c r="C17631" s="4" t="str">
        <f>"A0099053"</f>
        <v>A0099053</v>
      </c>
      <c r="D17631" s="4" t="s">
        <v>87085</v>
      </c>
      <c r="E17631" s="4" t="s">
        <v>87086</v>
      </c>
      <c r="F17631" s="4" t="s">
        <v>716</v>
      </c>
      <c r="G17631" s="4" t="s">
        <v>289</v>
      </c>
      <c r="H17631" s="4">
        <v>60610</v>
      </c>
      <c r="I17631" s="4" t="s">
        <v>30</v>
      </c>
      <c r="J17631" s="4" t="s">
        <v>206</v>
      </c>
      <c r="K17631" s="4" t="s">
        <v>163</v>
      </c>
      <c r="L17631" s="4"/>
      <c r="M17631" s="4"/>
      <c r="N17631" s="4" t="s">
        <v>87087</v>
      </c>
      <c r="O17631" s="4"/>
      <c r="P17631" s="4"/>
      <c r="Q17631" s="4">
        <v>0</v>
      </c>
      <c r="R17631" s="4">
        <v>180</v>
      </c>
      <c r="S17631" s="4">
        <v>0</v>
      </c>
      <c r="T17631" s="4" t="s">
        <v>87088</v>
      </c>
      <c r="U17631" s="4"/>
      <c r="V17631" s="4"/>
      <c r="W17631" s="4"/>
      <c r="X17631" s="4"/>
      <c r="Y17631" s="4"/>
    </row>
    <row r="17632" spans="1:25" customFormat="1" x14ac:dyDescent="0.25">
      <c r="A17632" s="4" t="s">
        <v>24</v>
      </c>
      <c r="B17632" s="4" t="s">
        <v>675</v>
      </c>
      <c r="C17632" s="4" t="str">
        <f>"A0096684"</f>
        <v>A0096684</v>
      </c>
      <c r="D17632" s="4" t="s">
        <v>87198</v>
      </c>
      <c r="E17632" s="4" t="s">
        <v>87199</v>
      </c>
      <c r="F17632" s="4" t="s">
        <v>716</v>
      </c>
      <c r="G17632" s="4" t="s">
        <v>289</v>
      </c>
      <c r="H17632" s="4">
        <v>60603</v>
      </c>
      <c r="I17632" s="4" t="s">
        <v>30</v>
      </c>
      <c r="J17632" s="4" t="s">
        <v>206</v>
      </c>
      <c r="K17632" s="4" t="s">
        <v>16717</v>
      </c>
      <c r="L17632" s="4"/>
      <c r="M17632" s="4"/>
      <c r="N17632" s="4" t="s">
        <v>87200</v>
      </c>
      <c r="O17632" s="4" t="s">
        <v>87201</v>
      </c>
      <c r="P17632" s="4"/>
      <c r="Q17632" s="4">
        <v>0</v>
      </c>
      <c r="R17632" s="4">
        <v>368</v>
      </c>
      <c r="S17632" s="4">
        <v>0</v>
      </c>
      <c r="T17632" s="4" t="s">
        <v>87202</v>
      </c>
      <c r="U17632" s="4"/>
      <c r="V17632" s="4"/>
      <c r="W17632" s="4"/>
      <c r="X17632" s="4"/>
      <c r="Y17632" s="4"/>
    </row>
    <row r="17633" spans="1:25" customFormat="1" x14ac:dyDescent="0.25">
      <c r="A17633" s="4" t="s">
        <v>24</v>
      </c>
      <c r="B17633" s="4" t="s">
        <v>675</v>
      </c>
      <c r="C17633" s="4" t="str">
        <f>"A0096696"</f>
        <v>A0096696</v>
      </c>
      <c r="D17633" s="4" t="s">
        <v>87203</v>
      </c>
      <c r="E17633" s="4" t="s">
        <v>87204</v>
      </c>
      <c r="F17633" s="4" t="s">
        <v>716</v>
      </c>
      <c r="G17633" s="4" t="s">
        <v>289</v>
      </c>
      <c r="H17633" s="4">
        <v>60611</v>
      </c>
      <c r="I17633" s="4" t="s">
        <v>30</v>
      </c>
      <c r="J17633" s="4" t="s">
        <v>206</v>
      </c>
      <c r="K17633" s="4" t="s">
        <v>16717</v>
      </c>
      <c r="L17633" s="4"/>
      <c r="M17633" s="4"/>
      <c r="N17633" s="4" t="s">
        <v>87200</v>
      </c>
      <c r="O17633" s="4"/>
      <c r="P17633" s="4"/>
      <c r="Q17633" s="4">
        <v>0</v>
      </c>
      <c r="R17633" s="4">
        <v>520</v>
      </c>
      <c r="S17633" s="4">
        <v>0</v>
      </c>
      <c r="T17633" s="4" t="s">
        <v>87205</v>
      </c>
      <c r="U17633" s="4"/>
      <c r="V17633" s="4"/>
      <c r="W17633" s="4"/>
      <c r="X17633" s="4"/>
      <c r="Y17633" s="4"/>
    </row>
    <row r="17634" spans="1:25" customFormat="1" x14ac:dyDescent="0.25">
      <c r="A17634" s="4" t="s">
        <v>24</v>
      </c>
      <c r="B17634" s="4" t="s">
        <v>9975</v>
      </c>
      <c r="C17634" s="4" t="str">
        <f>"A0155441"</f>
        <v>A0155441</v>
      </c>
      <c r="D17634" s="4" t="s">
        <v>72360</v>
      </c>
      <c r="E17634" s="4" t="s">
        <v>72361</v>
      </c>
      <c r="F17634" s="4" t="s">
        <v>13589</v>
      </c>
      <c r="G17634" s="4" t="s">
        <v>381</v>
      </c>
      <c r="H17634" s="4">
        <v>46032</v>
      </c>
      <c r="I17634" s="4" t="s">
        <v>30</v>
      </c>
      <c r="J17634" s="4" t="s">
        <v>206</v>
      </c>
      <c r="K17634" s="4" t="s">
        <v>6459</v>
      </c>
      <c r="L17634" s="4"/>
      <c r="M17634" s="4"/>
      <c r="N17634" s="4" t="s">
        <v>72362</v>
      </c>
      <c r="O17634" s="4" t="s">
        <v>72363</v>
      </c>
      <c r="P17634" s="4"/>
      <c r="Q17634" s="4">
        <v>0</v>
      </c>
      <c r="R17634" s="4">
        <v>122</v>
      </c>
      <c r="S17634" s="4">
        <v>0</v>
      </c>
      <c r="T17634" s="4" t="s">
        <v>72364</v>
      </c>
      <c r="U17634" s="4"/>
      <c r="V17634" s="4"/>
      <c r="W17634" s="4"/>
      <c r="X17634" s="4"/>
      <c r="Y17634" s="4"/>
    </row>
    <row r="17635" spans="1:25" customFormat="1" x14ac:dyDescent="0.25">
      <c r="A17635" s="4" t="s">
        <v>24</v>
      </c>
      <c r="B17635" s="4" t="s">
        <v>1487</v>
      </c>
      <c r="C17635" s="4" t="str">
        <f>"A0085040"</f>
        <v>A0085040</v>
      </c>
      <c r="D17635" s="4" t="s">
        <v>86990</v>
      </c>
      <c r="E17635" s="4" t="s">
        <v>86991</v>
      </c>
      <c r="F17635" s="4" t="s">
        <v>86992</v>
      </c>
      <c r="G17635" s="4" t="s">
        <v>381</v>
      </c>
      <c r="H17635" s="4">
        <v>47906</v>
      </c>
      <c r="I17635" s="4" t="s">
        <v>30</v>
      </c>
      <c r="J17635" s="4" t="s">
        <v>206</v>
      </c>
      <c r="K17635" s="4" t="s">
        <v>6459</v>
      </c>
      <c r="L17635" s="4"/>
      <c r="M17635" s="4"/>
      <c r="N17635" s="4" t="s">
        <v>86993</v>
      </c>
      <c r="O17635" s="4" t="s">
        <v>86994</v>
      </c>
      <c r="P17635" s="4"/>
      <c r="Q17635" s="4">
        <v>0</v>
      </c>
      <c r="R17635" s="4">
        <v>182</v>
      </c>
      <c r="S17635" s="4">
        <v>0</v>
      </c>
      <c r="T17635" s="4" t="s">
        <v>86995</v>
      </c>
      <c r="U17635" s="4"/>
      <c r="V17635" s="4"/>
      <c r="W17635" s="4"/>
      <c r="X17635" s="4"/>
      <c r="Y17635" s="4"/>
    </row>
    <row r="17636" spans="1:25" customFormat="1" x14ac:dyDescent="0.25">
      <c r="A17636" s="4" t="s">
        <v>24</v>
      </c>
      <c r="B17636" s="4" t="s">
        <v>9975</v>
      </c>
      <c r="C17636" s="4" t="str">
        <f>"A0093238"</f>
        <v>A0093238</v>
      </c>
      <c r="D17636" s="4" t="s">
        <v>55947</v>
      </c>
      <c r="E17636" s="4" t="s">
        <v>55948</v>
      </c>
      <c r="F17636" s="4" t="s">
        <v>1871</v>
      </c>
      <c r="G17636" s="4" t="s">
        <v>925</v>
      </c>
      <c r="H17636" s="4">
        <v>67202</v>
      </c>
      <c r="I17636" s="4" t="s">
        <v>30</v>
      </c>
      <c r="J17636" s="4" t="s">
        <v>206</v>
      </c>
      <c r="K17636" s="4" t="s">
        <v>6459</v>
      </c>
      <c r="L17636" s="4"/>
      <c r="M17636" s="4"/>
      <c r="N17636" s="4" t="s">
        <v>55949</v>
      </c>
      <c r="O17636" s="4"/>
      <c r="P17636" s="4"/>
      <c r="Q17636" s="4">
        <v>0</v>
      </c>
      <c r="R17636" s="4">
        <v>117</v>
      </c>
      <c r="S17636" s="4">
        <v>0</v>
      </c>
      <c r="T17636" s="4" t="s">
        <v>55950</v>
      </c>
      <c r="U17636" s="4"/>
      <c r="V17636" s="4"/>
      <c r="W17636" s="4"/>
      <c r="X17636" s="4"/>
      <c r="Y17636" s="4"/>
    </row>
    <row r="17637" spans="1:25" customFormat="1" x14ac:dyDescent="0.25">
      <c r="A17637" s="4" t="s">
        <v>24</v>
      </c>
      <c r="B17637" s="4" t="s">
        <v>9391</v>
      </c>
      <c r="C17637" s="4" t="str">
        <f>"A0180568"</f>
        <v>A0180568</v>
      </c>
      <c r="D17637" s="4" t="s">
        <v>33104</v>
      </c>
      <c r="E17637" s="4" t="s">
        <v>33105</v>
      </c>
      <c r="F17637" s="4" t="s">
        <v>3466</v>
      </c>
      <c r="G17637" s="4" t="s">
        <v>840</v>
      </c>
      <c r="H17637" s="4">
        <v>40202</v>
      </c>
      <c r="I17637" s="4" t="s">
        <v>30</v>
      </c>
      <c r="J17637" s="4" t="s">
        <v>206</v>
      </c>
      <c r="K17637" s="4" t="s">
        <v>163</v>
      </c>
      <c r="L17637" s="4"/>
      <c r="M17637" s="4"/>
      <c r="N17637" s="4" t="s">
        <v>33106</v>
      </c>
      <c r="O17637" s="4" t="s">
        <v>33107</v>
      </c>
      <c r="P17637" s="4"/>
      <c r="Q17637" s="4">
        <v>0</v>
      </c>
      <c r="R17637" s="4">
        <v>50</v>
      </c>
      <c r="S17637" s="4">
        <v>0</v>
      </c>
      <c r="T17637" s="4" t="s">
        <v>33108</v>
      </c>
      <c r="U17637" s="4"/>
      <c r="V17637" s="4"/>
      <c r="W17637" s="4"/>
      <c r="X17637" s="4"/>
      <c r="Y17637" s="4"/>
    </row>
    <row r="17638" spans="1:25" customFormat="1" x14ac:dyDescent="0.25">
      <c r="A17638" s="4" t="s">
        <v>24</v>
      </c>
      <c r="B17638" s="4" t="s">
        <v>1487</v>
      </c>
      <c r="C17638" s="4" t="str">
        <f>"A0145350"</f>
        <v>A0145350</v>
      </c>
      <c r="D17638" s="4" t="s">
        <v>72407</v>
      </c>
      <c r="E17638" s="4" t="s">
        <v>72408</v>
      </c>
      <c r="F17638" s="4" t="s">
        <v>3466</v>
      </c>
      <c r="G17638" s="4" t="s">
        <v>840</v>
      </c>
      <c r="H17638" s="4">
        <v>40202</v>
      </c>
      <c r="I17638" s="4" t="s">
        <v>30</v>
      </c>
      <c r="J17638" s="4" t="s">
        <v>206</v>
      </c>
      <c r="K17638" s="4" t="s">
        <v>6459</v>
      </c>
      <c r="L17638" s="4"/>
      <c r="M17638" s="4"/>
      <c r="N17638" s="4" t="s">
        <v>72409</v>
      </c>
      <c r="O17638" s="4" t="s">
        <v>72410</v>
      </c>
      <c r="P17638" s="4"/>
      <c r="Q17638" s="4">
        <v>0</v>
      </c>
      <c r="R17638" s="4">
        <v>205</v>
      </c>
      <c r="S17638" s="4">
        <v>0</v>
      </c>
      <c r="T17638" s="4" t="s">
        <v>72411</v>
      </c>
      <c r="U17638" s="4"/>
      <c r="V17638" s="4"/>
      <c r="W17638" s="4"/>
      <c r="X17638" s="4"/>
      <c r="Y17638" s="4"/>
    </row>
    <row r="17639" spans="1:25" customFormat="1" x14ac:dyDescent="0.25">
      <c r="A17639" s="4" t="s">
        <v>24</v>
      </c>
      <c r="B17639" s="4" t="s">
        <v>140</v>
      </c>
      <c r="C17639" s="4" t="str">
        <f>"A0091444"</f>
        <v>A0091444</v>
      </c>
      <c r="D17639" s="4" t="s">
        <v>13326</v>
      </c>
      <c r="E17639" s="4" t="s">
        <v>13327</v>
      </c>
      <c r="F17639" s="4" t="s">
        <v>2069</v>
      </c>
      <c r="G17639" s="4" t="s">
        <v>1170</v>
      </c>
      <c r="H17639" s="4">
        <v>70112</v>
      </c>
      <c r="I17639" s="4" t="s">
        <v>30</v>
      </c>
      <c r="J17639" s="4" t="s">
        <v>206</v>
      </c>
      <c r="K17639" s="4" t="s">
        <v>6459</v>
      </c>
      <c r="L17639" s="4"/>
      <c r="M17639" s="4"/>
      <c r="N17639" s="4"/>
      <c r="O17639" s="4"/>
      <c r="P17639" s="4"/>
      <c r="Q17639" s="4">
        <v>0</v>
      </c>
      <c r="R17639" s="4">
        <v>166</v>
      </c>
      <c r="S17639" s="4">
        <v>0</v>
      </c>
      <c r="T17639" s="4" t="s">
        <v>13328</v>
      </c>
      <c r="U17639" s="4"/>
      <c r="V17639" s="4"/>
      <c r="W17639" s="4"/>
      <c r="X17639" s="4"/>
      <c r="Y17639" s="4"/>
    </row>
    <row r="17640" spans="1:25" customFormat="1" x14ac:dyDescent="0.25">
      <c r="A17640" s="4" t="s">
        <v>24</v>
      </c>
      <c r="B17640" s="4" t="s">
        <v>16434</v>
      </c>
      <c r="C17640" s="4" t="str">
        <f>"A0180584"</f>
        <v>A0180584</v>
      </c>
      <c r="D17640" s="4" t="s">
        <v>16435</v>
      </c>
      <c r="E17640" s="4" t="s">
        <v>16436</v>
      </c>
      <c r="F17640" s="4" t="s">
        <v>2069</v>
      </c>
      <c r="G17640" s="4" t="s">
        <v>1170</v>
      </c>
      <c r="H17640" s="4">
        <v>70113</v>
      </c>
      <c r="I17640" s="4" t="s">
        <v>30</v>
      </c>
      <c r="J17640" s="4" t="s">
        <v>206</v>
      </c>
      <c r="K17640" s="4" t="s">
        <v>163</v>
      </c>
      <c r="L17640" s="4"/>
      <c r="M17640" s="4"/>
      <c r="N17640" s="4" t="s">
        <v>16437</v>
      </c>
      <c r="O17640" s="4" t="s">
        <v>16438</v>
      </c>
      <c r="P17640" s="4"/>
      <c r="Q17640" s="4">
        <v>0</v>
      </c>
      <c r="R17640" s="4">
        <v>230</v>
      </c>
      <c r="S17640" s="4">
        <v>0</v>
      </c>
      <c r="T17640" s="4" t="s">
        <v>16439</v>
      </c>
      <c r="U17640" s="4"/>
      <c r="V17640" s="4"/>
      <c r="W17640" s="4"/>
      <c r="X17640" s="4"/>
      <c r="Y17640" s="4"/>
    </row>
    <row r="17641" spans="1:25" customFormat="1" x14ac:dyDescent="0.25">
      <c r="A17641" s="4" t="s">
        <v>24</v>
      </c>
      <c r="B17641" s="4" t="s">
        <v>11484</v>
      </c>
      <c r="C17641" s="4" t="str">
        <f>"A0054362"</f>
        <v>A0054362</v>
      </c>
      <c r="D17641" s="4" t="s">
        <v>33882</v>
      </c>
      <c r="E17641" s="4" t="s">
        <v>33883</v>
      </c>
      <c r="F17641" s="4" t="s">
        <v>2069</v>
      </c>
      <c r="G17641" s="4" t="s">
        <v>1170</v>
      </c>
      <c r="H17641" s="4">
        <v>70130</v>
      </c>
      <c r="I17641" s="4" t="s">
        <v>30</v>
      </c>
      <c r="J17641" s="4" t="s">
        <v>206</v>
      </c>
      <c r="K17641" s="4" t="s">
        <v>163</v>
      </c>
      <c r="L17641" s="4"/>
      <c r="M17641" s="4"/>
      <c r="N17641" s="4" t="s">
        <v>33884</v>
      </c>
      <c r="O17641" s="4"/>
      <c r="P17641" s="4"/>
      <c r="Q17641" s="4">
        <v>0</v>
      </c>
      <c r="R17641" s="4">
        <v>65</v>
      </c>
      <c r="S17641" s="4">
        <v>0</v>
      </c>
      <c r="T17641" s="4" t="s">
        <v>33885</v>
      </c>
      <c r="U17641" s="4"/>
      <c r="V17641" s="4"/>
      <c r="W17641" s="4"/>
      <c r="X17641" s="4"/>
      <c r="Y17641" s="4"/>
    </row>
    <row r="17642" spans="1:25" customFormat="1" x14ac:dyDescent="0.25">
      <c r="A17642" s="4" t="s">
        <v>24</v>
      </c>
      <c r="B17642" s="4" t="s">
        <v>149</v>
      </c>
      <c r="C17642" s="4" t="str">
        <f>"A0063632"</f>
        <v>A0063632</v>
      </c>
      <c r="D17642" s="4" t="s">
        <v>35300</v>
      </c>
      <c r="E17642" s="4" t="s">
        <v>35301</v>
      </c>
      <c r="F17642" s="4" t="s">
        <v>2069</v>
      </c>
      <c r="G17642" s="4" t="s">
        <v>1170</v>
      </c>
      <c r="H17642" s="4">
        <v>70130</v>
      </c>
      <c r="I17642" s="4" t="s">
        <v>30</v>
      </c>
      <c r="J17642" s="4" t="s">
        <v>206</v>
      </c>
      <c r="K17642" s="4" t="s">
        <v>163</v>
      </c>
      <c r="L17642" s="4"/>
      <c r="M17642" s="4"/>
      <c r="N17642" s="4" t="s">
        <v>35302</v>
      </c>
      <c r="O17642" s="4" t="s">
        <v>35303</v>
      </c>
      <c r="P17642" s="4"/>
      <c r="Q17642" s="4">
        <v>0</v>
      </c>
      <c r="R17642" s="4">
        <v>117</v>
      </c>
      <c r="S17642" s="4">
        <v>0</v>
      </c>
      <c r="T17642" s="4" t="s">
        <v>35304</v>
      </c>
      <c r="U17642" s="4"/>
      <c r="V17642" s="4"/>
      <c r="W17642" s="4"/>
      <c r="X17642" s="4"/>
      <c r="Y17642" s="4"/>
    </row>
    <row r="17643" spans="1:25" customFormat="1" x14ac:dyDescent="0.25">
      <c r="A17643" s="4" t="s">
        <v>24</v>
      </c>
      <c r="B17643" s="4" t="s">
        <v>11484</v>
      </c>
      <c r="C17643" s="4" t="str">
        <f>"A0100185"</f>
        <v>A0100185</v>
      </c>
      <c r="D17643" s="4" t="s">
        <v>53589</v>
      </c>
      <c r="E17643" s="4" t="s">
        <v>53590</v>
      </c>
      <c r="F17643" s="4" t="s">
        <v>2069</v>
      </c>
      <c r="G17643" s="4" t="s">
        <v>1170</v>
      </c>
      <c r="H17643" s="4">
        <v>70130</v>
      </c>
      <c r="I17643" s="4" t="s">
        <v>30</v>
      </c>
      <c r="J17643" s="4" t="s">
        <v>206</v>
      </c>
      <c r="K17643" s="4" t="s">
        <v>13297</v>
      </c>
      <c r="L17643" s="4"/>
      <c r="M17643" s="4"/>
      <c r="N17643" s="4" t="s">
        <v>53591</v>
      </c>
      <c r="O17643" s="4" t="s">
        <v>53592</v>
      </c>
      <c r="P17643" s="4"/>
      <c r="Q17643" s="4">
        <v>0</v>
      </c>
      <c r="R17643" s="4">
        <v>196</v>
      </c>
      <c r="S17643" s="4">
        <v>0</v>
      </c>
      <c r="T17643" s="4" t="s">
        <v>53593</v>
      </c>
      <c r="U17643" s="4"/>
      <c r="V17643" s="4"/>
      <c r="W17643" s="4"/>
      <c r="X17643" s="4"/>
      <c r="Y17643" s="4"/>
    </row>
    <row r="17644" spans="1:25" customFormat="1" ht="15" hidden="1" x14ac:dyDescent="0.25">
      <c r="A17644" t="s">
        <v>24</v>
      </c>
      <c r="B17644" t="s">
        <v>59461</v>
      </c>
      <c r="C17644" t="str">
        <f>"A0098022"</f>
        <v>A0098022</v>
      </c>
      <c r="D17644" t="s">
        <v>63898</v>
      </c>
      <c r="E17644" t="s">
        <v>63899</v>
      </c>
      <c r="F17644" t="s">
        <v>5438</v>
      </c>
      <c r="G17644" t="s">
        <v>5439</v>
      </c>
      <c r="H17644" t="s">
        <v>63900</v>
      </c>
      <c r="I17644" t="s">
        <v>1459</v>
      </c>
      <c r="J17644" t="s">
        <v>162</v>
      </c>
      <c r="K17644" t="s">
        <v>266</v>
      </c>
      <c r="N17644" t="s">
        <v>63901</v>
      </c>
      <c r="Q17644">
        <v>0</v>
      </c>
      <c r="R17644">
        <v>161</v>
      </c>
      <c r="S17644">
        <v>0</v>
      </c>
      <c r="T17644" t="s">
        <v>63902</v>
      </c>
    </row>
    <row r="17645" spans="1:25" customFormat="1" x14ac:dyDescent="0.25">
      <c r="A17645" s="4" t="s">
        <v>24</v>
      </c>
      <c r="B17645" s="4" t="s">
        <v>814</v>
      </c>
      <c r="C17645" s="4" t="str">
        <f>"A0151439"</f>
        <v>A0151439</v>
      </c>
      <c r="D17645" s="4" t="s">
        <v>68779</v>
      </c>
      <c r="E17645" s="4" t="s">
        <v>68780</v>
      </c>
      <c r="F17645" s="4" t="s">
        <v>2069</v>
      </c>
      <c r="G17645" s="4" t="s">
        <v>1170</v>
      </c>
      <c r="H17645" s="4">
        <v>70130</v>
      </c>
      <c r="I17645" s="4" t="s">
        <v>30</v>
      </c>
      <c r="J17645" s="4" t="s">
        <v>206</v>
      </c>
      <c r="K17645" s="4" t="s">
        <v>5707</v>
      </c>
      <c r="L17645" s="4"/>
      <c r="M17645" s="4"/>
      <c r="N17645" s="4" t="s">
        <v>68781</v>
      </c>
      <c r="O17645" s="4"/>
      <c r="P17645" s="4"/>
      <c r="Q17645" s="4">
        <v>0</v>
      </c>
      <c r="R17645" s="4">
        <v>230</v>
      </c>
      <c r="S17645" s="4">
        <v>0</v>
      </c>
      <c r="T17645" s="4" t="s">
        <v>68782</v>
      </c>
      <c r="U17645" s="4"/>
      <c r="V17645" s="4"/>
      <c r="W17645" s="4"/>
      <c r="X17645" s="4"/>
      <c r="Y17645" s="4"/>
    </row>
    <row r="17646" spans="1:25" customFormat="1" x14ac:dyDescent="0.25">
      <c r="A17646" s="4" t="s">
        <v>24</v>
      </c>
      <c r="B17646" s="4" t="s">
        <v>13679</v>
      </c>
      <c r="C17646" s="4" t="str">
        <f>"SC078"</f>
        <v>SC078</v>
      </c>
      <c r="D17646" s="4" t="s">
        <v>74377</v>
      </c>
      <c r="E17646" s="4" t="s">
        <v>74378</v>
      </c>
      <c r="F17646" s="4" t="s">
        <v>2069</v>
      </c>
      <c r="G17646" s="4" t="s">
        <v>1170</v>
      </c>
      <c r="H17646" s="4">
        <v>70130</v>
      </c>
      <c r="I17646" s="4" t="s">
        <v>30</v>
      </c>
      <c r="J17646" s="4" t="s">
        <v>206</v>
      </c>
      <c r="K17646" s="4" t="s">
        <v>74379</v>
      </c>
      <c r="L17646" s="4"/>
      <c r="M17646" s="4"/>
      <c r="N17646" s="4" t="s">
        <v>74380</v>
      </c>
      <c r="O17646" s="4" t="s">
        <v>74381</v>
      </c>
      <c r="P17646" s="4"/>
      <c r="Q17646" s="4">
        <v>0</v>
      </c>
      <c r="R17646" s="4">
        <v>484</v>
      </c>
      <c r="S17646" s="4">
        <v>0</v>
      </c>
      <c r="T17646" s="4" t="s">
        <v>74382</v>
      </c>
      <c r="U17646" s="4"/>
      <c r="V17646" s="4"/>
      <c r="W17646" s="4"/>
      <c r="X17646" s="4"/>
      <c r="Y17646" s="4"/>
    </row>
    <row r="17647" spans="1:25" customFormat="1" x14ac:dyDescent="0.25">
      <c r="A17647" s="4" t="s">
        <v>24</v>
      </c>
      <c r="B17647" s="4" t="s">
        <v>2373</v>
      </c>
      <c r="C17647" s="4" t="str">
        <f>"A0147541"</f>
        <v>A0147541</v>
      </c>
      <c r="D17647" s="4" t="s">
        <v>76833</v>
      </c>
      <c r="E17647" s="4" t="s">
        <v>76834</v>
      </c>
      <c r="F17647" s="4" t="s">
        <v>2069</v>
      </c>
      <c r="G17647" s="4" t="s">
        <v>1170</v>
      </c>
      <c r="H17647" s="4">
        <v>70112</v>
      </c>
      <c r="I17647" s="4" t="s">
        <v>30</v>
      </c>
      <c r="J17647" s="4" t="s">
        <v>206</v>
      </c>
      <c r="K17647" s="4" t="s">
        <v>67127</v>
      </c>
      <c r="L17647" s="4"/>
      <c r="M17647" s="4"/>
      <c r="N17647" s="4" t="s">
        <v>76835</v>
      </c>
      <c r="O17647" s="4" t="s">
        <v>76836</v>
      </c>
      <c r="P17647" s="4"/>
      <c r="Q17647" s="4">
        <v>0</v>
      </c>
      <c r="R17647" s="4">
        <v>217</v>
      </c>
      <c r="S17647" s="4">
        <v>0</v>
      </c>
      <c r="T17647" s="4" t="s">
        <v>76837</v>
      </c>
      <c r="U17647" s="4"/>
      <c r="V17647" s="4"/>
      <c r="W17647" s="4"/>
      <c r="X17647" s="4"/>
      <c r="Y17647" s="4"/>
    </row>
    <row r="17648" spans="1:25" customFormat="1" ht="15" hidden="1" x14ac:dyDescent="0.25">
      <c r="A17648" t="s">
        <v>24</v>
      </c>
      <c r="B17648" t="s">
        <v>59461</v>
      </c>
      <c r="C17648" t="str">
        <f>"A0068743"</f>
        <v>A0068743</v>
      </c>
      <c r="D17648" t="s">
        <v>63920</v>
      </c>
      <c r="E17648" t="s">
        <v>63921</v>
      </c>
      <c r="F17648" t="s">
        <v>13197</v>
      </c>
      <c r="G17648" t="s">
        <v>2206</v>
      </c>
      <c r="H17648" t="s">
        <v>63922</v>
      </c>
      <c r="I17648" t="s">
        <v>1459</v>
      </c>
      <c r="J17648" t="s">
        <v>162</v>
      </c>
      <c r="K17648" t="s">
        <v>266</v>
      </c>
      <c r="N17648" t="s">
        <v>34606</v>
      </c>
      <c r="Q17648">
        <v>0</v>
      </c>
      <c r="R17648">
        <v>254</v>
      </c>
      <c r="S17648">
        <v>0</v>
      </c>
      <c r="T17648" t="s">
        <v>63923</v>
      </c>
    </row>
    <row r="17649" spans="1:25" customFormat="1" x14ac:dyDescent="0.25">
      <c r="A17649" s="4" t="s">
        <v>24</v>
      </c>
      <c r="B17649" s="4" t="s">
        <v>2917</v>
      </c>
      <c r="C17649" s="4" t="str">
        <f>"A0063637"</f>
        <v>A0063637</v>
      </c>
      <c r="D17649" s="4" t="s">
        <v>77609</v>
      </c>
      <c r="E17649" s="4" t="s">
        <v>77610</v>
      </c>
      <c r="F17649" s="4" t="s">
        <v>2069</v>
      </c>
      <c r="G17649" s="4" t="s">
        <v>1170</v>
      </c>
      <c r="H17649" s="4">
        <v>70130</v>
      </c>
      <c r="I17649" s="4" t="s">
        <v>30</v>
      </c>
      <c r="J17649" s="4" t="s">
        <v>206</v>
      </c>
      <c r="K17649" s="4" t="s">
        <v>6459</v>
      </c>
      <c r="L17649" s="4"/>
      <c r="M17649" s="4"/>
      <c r="N17649" s="4" t="s">
        <v>77611</v>
      </c>
      <c r="O17649" s="4"/>
      <c r="P17649" s="4"/>
      <c r="Q17649" s="4">
        <v>0</v>
      </c>
      <c r="R17649" s="4">
        <v>196</v>
      </c>
      <c r="S17649" s="4">
        <v>0</v>
      </c>
      <c r="T17649" s="4" t="s">
        <v>77612</v>
      </c>
      <c r="U17649" s="4"/>
      <c r="V17649" s="4"/>
      <c r="W17649" s="4"/>
      <c r="X17649" s="4"/>
      <c r="Y17649" s="4"/>
    </row>
    <row r="17650" spans="1:25" customFormat="1" x14ac:dyDescent="0.25">
      <c r="A17650" s="4" t="s">
        <v>24</v>
      </c>
      <c r="B17650" s="4" t="s">
        <v>675</v>
      </c>
      <c r="C17650" s="4" t="str">
        <f>"73R44"</f>
        <v>73R44</v>
      </c>
      <c r="D17650" s="4" t="s">
        <v>85129</v>
      </c>
      <c r="E17650" s="4" t="s">
        <v>85130</v>
      </c>
      <c r="F17650" s="4" t="s">
        <v>2069</v>
      </c>
      <c r="G17650" s="4" t="s">
        <v>1170</v>
      </c>
      <c r="H17650" s="4">
        <v>70112</v>
      </c>
      <c r="I17650" s="4" t="s">
        <v>30</v>
      </c>
      <c r="J17650" s="4" t="s">
        <v>206</v>
      </c>
      <c r="K17650" s="4" t="s">
        <v>680</v>
      </c>
      <c r="L17650" s="4"/>
      <c r="M17650" s="4"/>
      <c r="N17650" s="4" t="s">
        <v>85131</v>
      </c>
      <c r="O17650" s="4" t="s">
        <v>85132</v>
      </c>
      <c r="P17650" s="4"/>
      <c r="Q17650" s="4">
        <v>0</v>
      </c>
      <c r="R17650" s="4">
        <v>527</v>
      </c>
      <c r="S17650" s="4">
        <v>0</v>
      </c>
      <c r="T17650" s="4" t="s">
        <v>85133</v>
      </c>
      <c r="U17650" s="4"/>
      <c r="V17650" s="4"/>
      <c r="W17650" s="4"/>
      <c r="X17650" s="4"/>
      <c r="Y17650" s="4"/>
    </row>
    <row r="17651" spans="1:25" customFormat="1" x14ac:dyDescent="0.25">
      <c r="A17651" s="4" t="s">
        <v>24</v>
      </c>
      <c r="B17651" s="4" t="s">
        <v>675</v>
      </c>
      <c r="C17651" s="4" t="str">
        <f>"A0085965"</f>
        <v>A0085965</v>
      </c>
      <c r="D17651" s="4" t="s">
        <v>87242</v>
      </c>
      <c r="E17651" s="4" t="s">
        <v>87243</v>
      </c>
      <c r="F17651" s="4" t="s">
        <v>7095</v>
      </c>
      <c r="G17651" s="4" t="s">
        <v>1170</v>
      </c>
      <c r="H17651" s="4">
        <v>70130</v>
      </c>
      <c r="I17651" s="4" t="s">
        <v>30</v>
      </c>
      <c r="J17651" s="4" t="s">
        <v>206</v>
      </c>
      <c r="K17651" s="4" t="s">
        <v>16717</v>
      </c>
      <c r="L17651" s="4"/>
      <c r="M17651" s="4"/>
      <c r="N17651" s="4" t="s">
        <v>87244</v>
      </c>
      <c r="O17651" s="4"/>
      <c r="P17651" s="4"/>
      <c r="Q17651" s="4">
        <v>0</v>
      </c>
      <c r="R17651" s="4">
        <v>97</v>
      </c>
      <c r="S17651" s="4">
        <v>0</v>
      </c>
      <c r="T17651" s="4" t="s">
        <v>87245</v>
      </c>
      <c r="U17651" s="4"/>
      <c r="V17651" s="4"/>
      <c r="W17651" s="4"/>
      <c r="X17651" s="4"/>
      <c r="Y17651" s="4"/>
    </row>
    <row r="17652" spans="1:25" customFormat="1" x14ac:dyDescent="0.25">
      <c r="A17652" s="4" t="s">
        <v>24</v>
      </c>
      <c r="B17652" s="4" t="s">
        <v>1849</v>
      </c>
      <c r="C17652" s="4" t="str">
        <f>"A0063539"</f>
        <v>A0063539</v>
      </c>
      <c r="D17652" s="4" t="s">
        <v>57301</v>
      </c>
      <c r="E17652" s="4" t="s">
        <v>57302</v>
      </c>
      <c r="F17652" s="4" t="s">
        <v>1208</v>
      </c>
      <c r="G17652" s="4" t="s">
        <v>899</v>
      </c>
      <c r="H17652" s="4">
        <v>2110</v>
      </c>
      <c r="I17652" s="4" t="s">
        <v>30</v>
      </c>
      <c r="J17652" s="4" t="s">
        <v>206</v>
      </c>
      <c r="K17652" s="4" t="s">
        <v>163</v>
      </c>
      <c r="L17652" s="4"/>
      <c r="M17652" s="4"/>
      <c r="N17652" s="4" t="s">
        <v>57303</v>
      </c>
      <c r="O17652" s="4" t="s">
        <v>57304</v>
      </c>
      <c r="P17652" s="4"/>
      <c r="Q17652" s="4">
        <v>0</v>
      </c>
      <c r="R17652" s="4">
        <v>230</v>
      </c>
      <c r="S17652" s="4">
        <v>0</v>
      </c>
      <c r="T17652" s="4" t="s">
        <v>57305</v>
      </c>
      <c r="U17652" s="4"/>
      <c r="V17652" s="4"/>
      <c r="W17652" s="4"/>
      <c r="X17652" s="4"/>
      <c r="Y17652" s="4"/>
    </row>
    <row r="17653" spans="1:25" customFormat="1" x14ac:dyDescent="0.25">
      <c r="A17653" s="4" t="s">
        <v>24</v>
      </c>
      <c r="B17653" s="4" t="s">
        <v>54343</v>
      </c>
      <c r="C17653" s="4" t="str">
        <f>"A0096630"</f>
        <v>A0096630</v>
      </c>
      <c r="D17653" s="4" t="s">
        <v>57712</v>
      </c>
      <c r="E17653" s="4" t="s">
        <v>57713</v>
      </c>
      <c r="F17653" s="4" t="s">
        <v>54595</v>
      </c>
      <c r="G17653" s="4" t="s">
        <v>899</v>
      </c>
      <c r="H17653" s="4">
        <v>1240</v>
      </c>
      <c r="I17653" s="4" t="s">
        <v>30</v>
      </c>
      <c r="J17653" s="4" t="s">
        <v>206</v>
      </c>
      <c r="K17653" s="4" t="s">
        <v>163</v>
      </c>
      <c r="L17653" s="4"/>
      <c r="M17653" s="4"/>
      <c r="N17653" s="4" t="s">
        <v>57714</v>
      </c>
      <c r="O17653" s="4" t="s">
        <v>57715</v>
      </c>
      <c r="P17653" s="4"/>
      <c r="Q17653" s="4">
        <v>0</v>
      </c>
      <c r="R17653" s="4">
        <v>126</v>
      </c>
      <c r="S17653" s="4">
        <v>0</v>
      </c>
      <c r="T17653" s="4" t="s">
        <v>57716</v>
      </c>
      <c r="U17653" s="4"/>
      <c r="V17653" s="4"/>
      <c r="W17653" s="4"/>
      <c r="X17653" s="4"/>
      <c r="Y17653" s="4"/>
    </row>
    <row r="17654" spans="1:25" customFormat="1" x14ac:dyDescent="0.25">
      <c r="A17654" s="4" t="s">
        <v>24</v>
      </c>
      <c r="B17654" s="4" t="s">
        <v>5166</v>
      </c>
      <c r="C17654" s="4" t="str">
        <f>"A0078336"</f>
        <v>A0078336</v>
      </c>
      <c r="D17654" s="4" t="s">
        <v>72380</v>
      </c>
      <c r="E17654" s="4" t="s">
        <v>72381</v>
      </c>
      <c r="F17654" s="4" t="s">
        <v>1208</v>
      </c>
      <c r="G17654" s="4" t="s">
        <v>899</v>
      </c>
      <c r="H17654" s="4">
        <v>2215</v>
      </c>
      <c r="I17654" s="4" t="s">
        <v>30</v>
      </c>
      <c r="J17654" s="4" t="s">
        <v>206</v>
      </c>
      <c r="K17654" s="4" t="s">
        <v>163</v>
      </c>
      <c r="L17654" s="4"/>
      <c r="M17654" s="4"/>
      <c r="N17654" s="4" t="s">
        <v>72382</v>
      </c>
      <c r="O17654" s="4" t="s">
        <v>72383</v>
      </c>
      <c r="P17654" s="4"/>
      <c r="Q17654" s="4">
        <v>0</v>
      </c>
      <c r="R17654" s="4">
        <v>245</v>
      </c>
      <c r="S17654" s="4">
        <v>0</v>
      </c>
      <c r="T17654" s="4" t="s">
        <v>72384</v>
      </c>
      <c r="U17654" s="4"/>
      <c r="V17654" s="4"/>
      <c r="W17654" s="4"/>
      <c r="X17654" s="4"/>
      <c r="Y17654" s="4"/>
    </row>
    <row r="17655" spans="1:25" customFormat="1" x14ac:dyDescent="0.25">
      <c r="A17655" s="4" t="s">
        <v>24</v>
      </c>
      <c r="B17655" s="4" t="s">
        <v>8579</v>
      </c>
      <c r="C17655" s="4" t="str">
        <f>"A0077320"</f>
        <v>A0077320</v>
      </c>
      <c r="D17655" s="4" t="s">
        <v>74637</v>
      </c>
      <c r="E17655" s="4" t="s">
        <v>74638</v>
      </c>
      <c r="F17655" s="4" t="s">
        <v>1208</v>
      </c>
      <c r="G17655" s="4" t="s">
        <v>899</v>
      </c>
      <c r="H17655" s="4">
        <v>2114</v>
      </c>
      <c r="I17655" s="4" t="s">
        <v>30</v>
      </c>
      <c r="J17655" s="4" t="s">
        <v>206</v>
      </c>
      <c r="K17655" s="4" t="s">
        <v>13178</v>
      </c>
      <c r="L17655" s="4"/>
      <c r="M17655" s="4"/>
      <c r="N17655" s="4" t="s">
        <v>74639</v>
      </c>
      <c r="O17655" s="4"/>
      <c r="P17655" s="4"/>
      <c r="Q17655" s="4">
        <v>0</v>
      </c>
      <c r="R17655" s="4">
        <v>112</v>
      </c>
      <c r="S17655" s="4">
        <v>0</v>
      </c>
      <c r="T17655" s="4" t="s">
        <v>74640</v>
      </c>
      <c r="U17655" s="4"/>
      <c r="V17655" s="4"/>
      <c r="W17655" s="4"/>
      <c r="X17655" s="4"/>
      <c r="Y17655" s="4"/>
    </row>
    <row r="17656" spans="1:25" customFormat="1" x14ac:dyDescent="0.25">
      <c r="A17656" s="4" t="s">
        <v>24</v>
      </c>
      <c r="B17656" s="4" t="s">
        <v>10087</v>
      </c>
      <c r="C17656" s="4" t="str">
        <f>"A0084703"</f>
        <v>A0084703</v>
      </c>
      <c r="D17656" s="4" t="s">
        <v>75408</v>
      </c>
      <c r="E17656" s="4" t="s">
        <v>75409</v>
      </c>
      <c r="F17656" s="4" t="s">
        <v>1208</v>
      </c>
      <c r="G17656" s="4" t="s">
        <v>899</v>
      </c>
      <c r="H17656" s="4">
        <v>2199</v>
      </c>
      <c r="I17656" s="4" t="s">
        <v>30</v>
      </c>
      <c r="J17656" s="4" t="s">
        <v>206</v>
      </c>
      <c r="K17656" s="4" t="s">
        <v>10093</v>
      </c>
      <c r="L17656" s="4"/>
      <c r="M17656" s="4"/>
      <c r="N17656" s="4" t="s">
        <v>75410</v>
      </c>
      <c r="O17656" s="4" t="s">
        <v>75411</v>
      </c>
      <c r="P17656" s="4"/>
      <c r="Q17656" s="4">
        <v>0</v>
      </c>
      <c r="R17656" s="4">
        <v>148</v>
      </c>
      <c r="S17656" s="4">
        <v>0</v>
      </c>
      <c r="T17656" s="4" t="s">
        <v>75412</v>
      </c>
      <c r="U17656" s="4"/>
      <c r="V17656" s="4"/>
      <c r="W17656" s="4"/>
      <c r="X17656" s="4"/>
      <c r="Y17656" s="4"/>
    </row>
    <row r="17657" spans="1:25" customFormat="1" x14ac:dyDescent="0.25">
      <c r="A17657" s="4" t="s">
        <v>24</v>
      </c>
      <c r="B17657" s="4" t="s">
        <v>2011</v>
      </c>
      <c r="C17657" s="4" t="str">
        <f>"A0056719"</f>
        <v>A0056719</v>
      </c>
      <c r="D17657" s="4" t="s">
        <v>76366</v>
      </c>
      <c r="E17657" s="4" t="s">
        <v>76367</v>
      </c>
      <c r="F17657" s="4" t="s">
        <v>54595</v>
      </c>
      <c r="G17657" s="4" t="s">
        <v>899</v>
      </c>
      <c r="H17657" s="4">
        <v>1240</v>
      </c>
      <c r="I17657" s="4" t="s">
        <v>30</v>
      </c>
      <c r="J17657" s="4" t="s">
        <v>206</v>
      </c>
      <c r="K17657" s="4" t="s">
        <v>76358</v>
      </c>
      <c r="L17657" s="4"/>
      <c r="M17657" s="4"/>
      <c r="N17657" s="4" t="s">
        <v>76368</v>
      </c>
      <c r="O17657" s="4"/>
      <c r="P17657" s="4"/>
      <c r="Q17657" s="4">
        <v>1</v>
      </c>
      <c r="R17657" s="4">
        <v>105</v>
      </c>
      <c r="S17657" s="4">
        <v>0</v>
      </c>
      <c r="T17657" s="4" t="s">
        <v>76369</v>
      </c>
      <c r="U17657" s="4"/>
      <c r="V17657" s="4"/>
      <c r="W17657" s="4"/>
      <c r="X17657" s="4"/>
      <c r="Y17657" s="4"/>
    </row>
    <row r="17658" spans="1:25" customFormat="1" x14ac:dyDescent="0.25">
      <c r="A17658" s="4" t="s">
        <v>24</v>
      </c>
      <c r="B17658" s="4" t="s">
        <v>2373</v>
      </c>
      <c r="C17658" s="4" t="str">
        <f>"A0094097"</f>
        <v>A0094097</v>
      </c>
      <c r="D17658" s="4" t="s">
        <v>80184</v>
      </c>
      <c r="E17658" s="4" t="s">
        <v>80185</v>
      </c>
      <c r="F17658" s="4" t="s">
        <v>1208</v>
      </c>
      <c r="G17658" s="4" t="s">
        <v>899</v>
      </c>
      <c r="H17658" s="4">
        <v>2116</v>
      </c>
      <c r="I17658" s="4" t="s">
        <v>30</v>
      </c>
      <c r="J17658" s="4" t="s">
        <v>206</v>
      </c>
      <c r="K17658" s="4" t="s">
        <v>163</v>
      </c>
      <c r="L17658" s="4"/>
      <c r="M17658" s="4"/>
      <c r="N17658" s="4" t="s">
        <v>80186</v>
      </c>
      <c r="O17658" s="4" t="s">
        <v>80187</v>
      </c>
      <c r="P17658" s="4"/>
      <c r="Q17658" s="4">
        <v>0</v>
      </c>
      <c r="R17658" s="4">
        <v>356</v>
      </c>
      <c r="S17658" s="4">
        <v>0</v>
      </c>
      <c r="T17658" s="4" t="s">
        <v>80188</v>
      </c>
      <c r="U17658" s="4"/>
      <c r="V17658" s="4"/>
      <c r="W17658" s="4"/>
      <c r="X17658" s="4"/>
      <c r="Y17658" s="4"/>
    </row>
    <row r="17659" spans="1:25" customFormat="1" x14ac:dyDescent="0.25">
      <c r="A17659" s="4" t="s">
        <v>24</v>
      </c>
      <c r="B17659" s="4" t="s">
        <v>80589</v>
      </c>
      <c r="C17659" s="4" t="str">
        <f>"A0054174"</f>
        <v>A0054174</v>
      </c>
      <c r="D17659" s="4" t="s">
        <v>80590</v>
      </c>
      <c r="E17659" s="4" t="s">
        <v>80591</v>
      </c>
      <c r="F17659" s="4" t="s">
        <v>26129</v>
      </c>
      <c r="G17659" s="4" t="s">
        <v>899</v>
      </c>
      <c r="H17659" s="4">
        <v>2210</v>
      </c>
      <c r="I17659" s="4" t="s">
        <v>30</v>
      </c>
      <c r="J17659" s="4" t="s">
        <v>206</v>
      </c>
      <c r="K17659" s="4" t="s">
        <v>163</v>
      </c>
      <c r="L17659" s="4"/>
      <c r="M17659" s="4"/>
      <c r="N17659" s="4"/>
      <c r="O17659" s="4"/>
      <c r="P17659" s="4"/>
      <c r="Q17659" s="4">
        <v>0</v>
      </c>
      <c r="R17659" s="4">
        <v>427</v>
      </c>
      <c r="S17659" s="4">
        <v>0</v>
      </c>
      <c r="T17659" s="4" t="s">
        <v>80592</v>
      </c>
      <c r="U17659" s="4"/>
      <c r="V17659" s="4"/>
      <c r="W17659" s="4"/>
      <c r="X17659" s="4"/>
      <c r="Y17659" s="4"/>
    </row>
    <row r="17660" spans="1:25" customFormat="1" x14ac:dyDescent="0.25">
      <c r="A17660" s="4" t="s">
        <v>24</v>
      </c>
      <c r="B17660" s="4" t="s">
        <v>1020</v>
      </c>
      <c r="C17660" s="4" t="str">
        <f>"A0094414"</f>
        <v>A0094414</v>
      </c>
      <c r="D17660" s="4" t="s">
        <v>84220</v>
      </c>
      <c r="E17660" s="4" t="s">
        <v>84221</v>
      </c>
      <c r="F17660" s="4" t="s">
        <v>1208</v>
      </c>
      <c r="G17660" s="4" t="s">
        <v>899</v>
      </c>
      <c r="H17660" s="4">
        <v>2210</v>
      </c>
      <c r="I17660" s="4" t="s">
        <v>30</v>
      </c>
      <c r="J17660" s="4" t="s">
        <v>206</v>
      </c>
      <c r="K17660" s="4" t="s">
        <v>6459</v>
      </c>
      <c r="L17660" s="4"/>
      <c r="M17660" s="4"/>
      <c r="N17660" s="4" t="s">
        <v>84222</v>
      </c>
      <c r="O17660" s="4" t="s">
        <v>84223</v>
      </c>
      <c r="P17660" s="4"/>
      <c r="Q17660" s="4">
        <v>0</v>
      </c>
      <c r="R17660" s="4">
        <v>136</v>
      </c>
      <c r="S17660" s="4">
        <v>0</v>
      </c>
      <c r="T17660" s="4" t="s">
        <v>84224</v>
      </c>
      <c r="U17660" s="4"/>
      <c r="V17660" s="4"/>
      <c r="W17660" s="4"/>
      <c r="X17660" s="4"/>
      <c r="Y17660" s="4"/>
    </row>
    <row r="17661" spans="1:25" customFormat="1" x14ac:dyDescent="0.25">
      <c r="A17661" s="4" t="s">
        <v>24</v>
      </c>
      <c r="B17661" s="4" t="s">
        <v>13304</v>
      </c>
      <c r="C17661" s="4" t="str">
        <f>"FM002"</f>
        <v>FM002</v>
      </c>
      <c r="D17661" s="4" t="s">
        <v>84241</v>
      </c>
      <c r="E17661" s="4" t="s">
        <v>84242</v>
      </c>
      <c r="F17661" s="4" t="s">
        <v>1208</v>
      </c>
      <c r="G17661" s="4" t="s">
        <v>899</v>
      </c>
      <c r="H17661" s="4">
        <v>2116</v>
      </c>
      <c r="I17661" s="4" t="s">
        <v>30</v>
      </c>
      <c r="J17661" s="4" t="s">
        <v>206</v>
      </c>
      <c r="K17661" s="4" t="s">
        <v>32744</v>
      </c>
      <c r="L17661" s="4"/>
      <c r="M17661" s="4"/>
      <c r="N17661" s="4" t="s">
        <v>84243</v>
      </c>
      <c r="O17661" s="4" t="s">
        <v>84244</v>
      </c>
      <c r="P17661" s="4"/>
      <c r="Q17661" s="4">
        <v>0</v>
      </c>
      <c r="R17661" s="4">
        <v>383</v>
      </c>
      <c r="S17661" s="4">
        <v>0</v>
      </c>
      <c r="T17661" s="4" t="s">
        <v>84245</v>
      </c>
      <c r="U17661" s="4"/>
      <c r="V17661" s="4"/>
      <c r="W17661" s="4"/>
      <c r="X17661" s="4"/>
      <c r="Y17661" s="4"/>
    </row>
    <row r="17662" spans="1:25" customFormat="1" x14ac:dyDescent="0.25">
      <c r="A17662" s="4" t="s">
        <v>24</v>
      </c>
      <c r="B17662" s="4" t="s">
        <v>2373</v>
      </c>
      <c r="C17662" s="4" t="str">
        <f>"A0086045"</f>
        <v>A0086045</v>
      </c>
      <c r="D17662" s="4" t="s">
        <v>84625</v>
      </c>
      <c r="E17662" s="4" t="s">
        <v>84626</v>
      </c>
      <c r="F17662" s="4" t="s">
        <v>1208</v>
      </c>
      <c r="G17662" s="4" t="s">
        <v>899</v>
      </c>
      <c r="H17662" s="4">
        <v>2114</v>
      </c>
      <c r="I17662" s="4" t="s">
        <v>30</v>
      </c>
      <c r="J17662" s="4" t="s">
        <v>206</v>
      </c>
      <c r="K17662" s="4" t="s">
        <v>55170</v>
      </c>
      <c r="L17662" s="4"/>
      <c r="M17662" s="4"/>
      <c r="N17662" s="4" t="s">
        <v>84627</v>
      </c>
      <c r="O17662" s="4" t="s">
        <v>84628</v>
      </c>
      <c r="P17662" s="4"/>
      <c r="Q17662" s="4">
        <v>0</v>
      </c>
      <c r="R17662" s="4">
        <v>298</v>
      </c>
      <c r="S17662" s="4">
        <v>0</v>
      </c>
      <c r="T17662" s="4" t="s">
        <v>84629</v>
      </c>
      <c r="U17662" s="4"/>
      <c r="V17662" s="4"/>
      <c r="W17662" s="4"/>
      <c r="X17662" s="4"/>
      <c r="Y17662" s="4"/>
    </row>
    <row r="17663" spans="1:25" customFormat="1" x14ac:dyDescent="0.25">
      <c r="A17663" s="4" t="s">
        <v>24</v>
      </c>
      <c r="B17663" s="4" t="s">
        <v>675</v>
      </c>
      <c r="C17663" s="4" t="str">
        <f>"73R63"</f>
        <v>73R63</v>
      </c>
      <c r="D17663" s="4" t="s">
        <v>85053</v>
      </c>
      <c r="E17663" s="4" t="s">
        <v>85054</v>
      </c>
      <c r="F17663" s="4" t="s">
        <v>1208</v>
      </c>
      <c r="G17663" s="4" t="s">
        <v>899</v>
      </c>
      <c r="H17663" s="4">
        <v>2111</v>
      </c>
      <c r="I17663" s="4" t="s">
        <v>30</v>
      </c>
      <c r="J17663" s="4" t="s">
        <v>206</v>
      </c>
      <c r="K17663" s="4" t="s">
        <v>680</v>
      </c>
      <c r="L17663" s="4"/>
      <c r="M17663" s="4"/>
      <c r="N17663" s="4" t="s">
        <v>85055</v>
      </c>
      <c r="O17663" s="4" t="s">
        <v>85056</v>
      </c>
      <c r="P17663" s="4"/>
      <c r="Q17663" s="4">
        <v>0</v>
      </c>
      <c r="R17663" s="4">
        <v>193</v>
      </c>
      <c r="S17663" s="4">
        <v>0</v>
      </c>
      <c r="T17663" s="4" t="s">
        <v>85057</v>
      </c>
      <c r="U17663" s="4"/>
      <c r="V17663" s="4"/>
      <c r="W17663" s="4"/>
      <c r="X17663" s="4"/>
      <c r="Y17663" s="4"/>
    </row>
    <row r="17664" spans="1:25" customFormat="1" x14ac:dyDescent="0.25">
      <c r="A17664" s="4" t="s">
        <v>24</v>
      </c>
      <c r="B17664" s="4" t="s">
        <v>2387</v>
      </c>
      <c r="C17664" s="4" t="str">
        <f>"A0100120"</f>
        <v>A0100120</v>
      </c>
      <c r="D17664" s="4" t="s">
        <v>85197</v>
      </c>
      <c r="E17664" s="4" t="s">
        <v>85198</v>
      </c>
      <c r="F17664" s="4" t="s">
        <v>85199</v>
      </c>
      <c r="G17664" s="4" t="s">
        <v>899</v>
      </c>
      <c r="H17664" s="4">
        <v>2145</v>
      </c>
      <c r="I17664" s="4" t="s">
        <v>30</v>
      </c>
      <c r="J17664" s="4" t="s">
        <v>206</v>
      </c>
      <c r="K17664" s="4" t="s">
        <v>6459</v>
      </c>
      <c r="L17664" s="4"/>
      <c r="M17664" s="4"/>
      <c r="N17664" s="4" t="s">
        <v>85200</v>
      </c>
      <c r="O17664" s="4" t="s">
        <v>85201</v>
      </c>
      <c r="P17664" s="4"/>
      <c r="Q17664" s="4">
        <v>0</v>
      </c>
      <c r="R17664" s="4">
        <v>160</v>
      </c>
      <c r="S17664" s="4">
        <v>0</v>
      </c>
      <c r="T17664" s="4" t="s">
        <v>85202</v>
      </c>
      <c r="U17664" s="4"/>
      <c r="V17664" s="4"/>
      <c r="W17664" s="4"/>
      <c r="X17664" s="4"/>
      <c r="Y17664" s="4"/>
    </row>
    <row r="17665" spans="1:25" customFormat="1" x14ac:dyDescent="0.25">
      <c r="A17665" s="4" t="s">
        <v>24</v>
      </c>
      <c r="B17665" s="4" t="s">
        <v>675</v>
      </c>
      <c r="C17665" s="4" t="str">
        <f>"A0096685"</f>
        <v>A0096685</v>
      </c>
      <c r="D17665" s="4" t="s">
        <v>87194</v>
      </c>
      <c r="E17665" s="4" t="s">
        <v>87195</v>
      </c>
      <c r="F17665" s="4" t="s">
        <v>1208</v>
      </c>
      <c r="G17665" s="4" t="s">
        <v>899</v>
      </c>
      <c r="H17665" s="4">
        <v>2116</v>
      </c>
      <c r="I17665" s="4" t="s">
        <v>30</v>
      </c>
      <c r="J17665" s="4" t="s">
        <v>206</v>
      </c>
      <c r="K17665" s="4" t="s">
        <v>16717</v>
      </c>
      <c r="L17665" s="4"/>
      <c r="M17665" s="4"/>
      <c r="N17665" s="4" t="s">
        <v>87196</v>
      </c>
      <c r="O17665" s="4"/>
      <c r="P17665" s="4"/>
      <c r="Q17665" s="4">
        <v>0</v>
      </c>
      <c r="R17665" s="4">
        <v>238</v>
      </c>
      <c r="S17665" s="4">
        <v>0</v>
      </c>
      <c r="T17665" s="4" t="s">
        <v>87197</v>
      </c>
      <c r="U17665" s="4"/>
      <c r="V17665" s="4"/>
      <c r="W17665" s="4"/>
      <c r="X17665" s="4"/>
      <c r="Y17665" s="4"/>
    </row>
    <row r="17666" spans="1:25" customFormat="1" x14ac:dyDescent="0.25">
      <c r="A17666" s="4" t="s">
        <v>24</v>
      </c>
      <c r="B17666" s="4" t="s">
        <v>1020</v>
      </c>
      <c r="C17666" s="4" t="str">
        <f>"34104"</f>
        <v>34104</v>
      </c>
      <c r="D17666" s="4" t="s">
        <v>56085</v>
      </c>
      <c r="E17666" s="4" t="s">
        <v>56086</v>
      </c>
      <c r="F17666" s="4" t="s">
        <v>281</v>
      </c>
      <c r="G17666" s="4" t="s">
        <v>123</v>
      </c>
      <c r="H17666" s="4">
        <v>21401</v>
      </c>
      <c r="I17666" s="4" t="s">
        <v>30</v>
      </c>
      <c r="J17666" s="4" t="s">
        <v>206</v>
      </c>
      <c r="K17666" s="4" t="s">
        <v>6459</v>
      </c>
      <c r="L17666" s="4"/>
      <c r="M17666" s="4"/>
      <c r="N17666" s="4" t="s">
        <v>56087</v>
      </c>
      <c r="O17666" s="4"/>
      <c r="P17666" s="4"/>
      <c r="Q17666" s="4">
        <v>0</v>
      </c>
      <c r="R17666" s="4">
        <v>150</v>
      </c>
      <c r="S17666" s="4">
        <v>0</v>
      </c>
      <c r="T17666" s="4" t="s">
        <v>56088</v>
      </c>
      <c r="U17666" s="4"/>
      <c r="V17666" s="4"/>
      <c r="W17666" s="4"/>
      <c r="X17666" s="4"/>
      <c r="Y17666" s="4"/>
    </row>
    <row r="17667" spans="1:25" customFormat="1" x14ac:dyDescent="0.25">
      <c r="A17667" s="4" t="s">
        <v>24</v>
      </c>
      <c r="B17667" s="4" t="s">
        <v>7674</v>
      </c>
      <c r="C17667" s="4" t="str">
        <f>"A0096981"</f>
        <v>A0096981</v>
      </c>
      <c r="D17667" s="4" t="s">
        <v>85221</v>
      </c>
      <c r="E17667" s="4" t="s">
        <v>85222</v>
      </c>
      <c r="F17667" s="4" t="s">
        <v>7455</v>
      </c>
      <c r="G17667" s="4" t="s">
        <v>123</v>
      </c>
      <c r="H17667" s="4">
        <v>21231</v>
      </c>
      <c r="I17667" s="4" t="s">
        <v>30</v>
      </c>
      <c r="J17667" s="4" t="s">
        <v>206</v>
      </c>
      <c r="K17667" s="4" t="s">
        <v>7678</v>
      </c>
      <c r="L17667" s="4"/>
      <c r="M17667" s="4"/>
      <c r="N17667" s="4"/>
      <c r="O17667" s="4"/>
      <c r="P17667" s="4"/>
      <c r="Q17667" s="4">
        <v>0</v>
      </c>
      <c r="R17667" s="4">
        <v>128</v>
      </c>
      <c r="S17667" s="4">
        <v>0</v>
      </c>
      <c r="T17667" s="4" t="s">
        <v>85223</v>
      </c>
      <c r="U17667" s="4"/>
      <c r="V17667" s="4"/>
      <c r="W17667" s="4"/>
      <c r="X17667" s="4"/>
      <c r="Y17667" s="4"/>
    </row>
    <row r="17668" spans="1:25" customFormat="1" x14ac:dyDescent="0.25">
      <c r="A17668" s="4" t="s">
        <v>24</v>
      </c>
      <c r="B17668" s="4" t="s">
        <v>3459</v>
      </c>
      <c r="C17668" s="4" t="str">
        <f>"A0151261"</f>
        <v>A0151261</v>
      </c>
      <c r="D17668" s="4" t="s">
        <v>58145</v>
      </c>
      <c r="E17668" s="4" t="s">
        <v>58146</v>
      </c>
      <c r="F17668" s="4" t="s">
        <v>58147</v>
      </c>
      <c r="G17668" s="4" t="s">
        <v>2450</v>
      </c>
      <c r="H17668" s="4">
        <v>3902</v>
      </c>
      <c r="I17668" s="4" t="s">
        <v>30</v>
      </c>
      <c r="J17668" s="4" t="s">
        <v>206</v>
      </c>
      <c r="K17668" s="4" t="s">
        <v>163</v>
      </c>
      <c r="L17668" s="4"/>
      <c r="M17668" s="4"/>
      <c r="N17668" s="4" t="s">
        <v>58148</v>
      </c>
      <c r="O17668" s="4"/>
      <c r="P17668" s="4"/>
      <c r="Q17668" s="4">
        <v>0</v>
      </c>
      <c r="R17668" s="4">
        <v>226</v>
      </c>
      <c r="S17668" s="4">
        <v>0</v>
      </c>
      <c r="T17668" s="4" t="s">
        <v>58149</v>
      </c>
      <c r="U17668" s="4"/>
      <c r="V17668" s="4"/>
      <c r="W17668" s="4"/>
      <c r="X17668" s="4"/>
      <c r="Y17668" s="4"/>
    </row>
    <row r="17669" spans="1:25" customFormat="1" x14ac:dyDescent="0.25">
      <c r="A17669" s="4" t="s">
        <v>24</v>
      </c>
      <c r="B17669" s="4" t="s">
        <v>5384</v>
      </c>
      <c r="C17669" s="4" t="str">
        <f>"A0098447"</f>
        <v>A0098447</v>
      </c>
      <c r="D17669" s="4" t="s">
        <v>87618</v>
      </c>
      <c r="E17669" s="4" t="s">
        <v>87619</v>
      </c>
      <c r="F17669" s="4" t="s">
        <v>2803</v>
      </c>
      <c r="G17669" s="4" t="s">
        <v>2450</v>
      </c>
      <c r="H17669" s="4">
        <v>4043</v>
      </c>
      <c r="I17669" s="4" t="s">
        <v>30</v>
      </c>
      <c r="J17669" s="4" t="s">
        <v>206</v>
      </c>
      <c r="K17669" s="4" t="s">
        <v>163</v>
      </c>
      <c r="L17669" s="4"/>
      <c r="M17669" s="4"/>
      <c r="N17669" s="4" t="s">
        <v>87620</v>
      </c>
      <c r="O17669" s="4" t="s">
        <v>87621</v>
      </c>
      <c r="P17669" s="4"/>
      <c r="Q17669" s="4">
        <v>0</v>
      </c>
      <c r="R17669" s="4">
        <v>26</v>
      </c>
      <c r="S17669" s="4">
        <v>0</v>
      </c>
      <c r="T17669" s="4" t="s">
        <v>87622</v>
      </c>
      <c r="U17669" s="4"/>
      <c r="V17669" s="4"/>
      <c r="W17669" s="4"/>
      <c r="X17669" s="4"/>
      <c r="Y17669" s="4"/>
    </row>
    <row r="17670" spans="1:25" customFormat="1" x14ac:dyDescent="0.25">
      <c r="A17670" s="4" t="s">
        <v>24</v>
      </c>
      <c r="B17670" s="4" t="s">
        <v>6711</v>
      </c>
      <c r="C17670" s="4" t="str">
        <f>"A0076813"</f>
        <v>A0076813</v>
      </c>
      <c r="D17670" s="4" t="s">
        <v>6712</v>
      </c>
      <c r="E17670" s="4" t="s">
        <v>6713</v>
      </c>
      <c r="F17670" s="4" t="s">
        <v>1476</v>
      </c>
      <c r="G17670" s="4" t="s">
        <v>117</v>
      </c>
      <c r="H17670" s="4">
        <v>48307</v>
      </c>
      <c r="I17670" s="4" t="s">
        <v>30</v>
      </c>
      <c r="J17670" s="4" t="s">
        <v>206</v>
      </c>
      <c r="K17670" s="4" t="s">
        <v>163</v>
      </c>
      <c r="L17670" s="4"/>
      <c r="M17670" s="4"/>
      <c r="N17670" s="4" t="s">
        <v>6714</v>
      </c>
      <c r="O17670" s="4"/>
      <c r="P17670" s="4"/>
      <c r="Q17670" s="4">
        <v>0</v>
      </c>
      <c r="R17670" s="4">
        <v>143</v>
      </c>
      <c r="S17670" s="4">
        <v>0</v>
      </c>
      <c r="T17670" s="4" t="s">
        <v>6715</v>
      </c>
      <c r="U17670" s="4"/>
      <c r="V17670" s="4"/>
      <c r="W17670" s="4"/>
      <c r="X17670" s="4"/>
      <c r="Y17670" s="4"/>
    </row>
    <row r="17671" spans="1:25" customFormat="1" x14ac:dyDescent="0.25">
      <c r="A17671" s="4" t="s">
        <v>24</v>
      </c>
      <c r="B17671" s="4" t="s">
        <v>8843</v>
      </c>
      <c r="C17671" s="4" t="str">
        <f>"A0063076"</f>
        <v>A0063076</v>
      </c>
      <c r="D17671" s="4" t="s">
        <v>8844</v>
      </c>
      <c r="E17671" s="4" t="s">
        <v>8845</v>
      </c>
      <c r="F17671" s="4" t="s">
        <v>8846</v>
      </c>
      <c r="G17671" s="4" t="s">
        <v>117</v>
      </c>
      <c r="H17671" s="4">
        <v>48202</v>
      </c>
      <c r="I17671" s="4" t="s">
        <v>30</v>
      </c>
      <c r="J17671" s="4" t="s">
        <v>206</v>
      </c>
      <c r="K17671" s="4" t="s">
        <v>163</v>
      </c>
      <c r="L17671" s="4"/>
      <c r="M17671" s="4"/>
      <c r="N17671" s="4" t="s">
        <v>8847</v>
      </c>
      <c r="O17671" s="4" t="s">
        <v>8848</v>
      </c>
      <c r="P17671" s="4"/>
      <c r="Q17671" s="4">
        <v>0</v>
      </c>
      <c r="R17671" s="4">
        <v>125</v>
      </c>
      <c r="S17671" s="4">
        <v>0</v>
      </c>
      <c r="T17671" s="4" t="s">
        <v>8849</v>
      </c>
      <c r="U17671" s="4"/>
      <c r="V17671" s="4"/>
      <c r="W17671" s="4"/>
      <c r="X17671" s="4"/>
      <c r="Y17671" s="4"/>
    </row>
    <row r="17672" spans="1:25" customFormat="1" x14ac:dyDescent="0.25">
      <c r="A17672" s="4" t="s">
        <v>24</v>
      </c>
      <c r="B17672" s="4" t="s">
        <v>14275</v>
      </c>
      <c r="C17672" s="4" t="str">
        <f>"A0064206"</f>
        <v>A0064206</v>
      </c>
      <c r="D17672" s="4" t="s">
        <v>14276</v>
      </c>
      <c r="E17672" s="4" t="s">
        <v>14277</v>
      </c>
      <c r="F17672" s="4" t="s">
        <v>5706</v>
      </c>
      <c r="G17672" s="4" t="s">
        <v>117</v>
      </c>
      <c r="H17672" s="4">
        <v>48009</v>
      </c>
      <c r="I17672" s="4" t="s">
        <v>30</v>
      </c>
      <c r="J17672" s="4" t="s">
        <v>206</v>
      </c>
      <c r="K17672" s="4" t="s">
        <v>163</v>
      </c>
      <c r="L17672" s="4"/>
      <c r="M17672" s="4"/>
      <c r="N17672" s="4" t="s">
        <v>14278</v>
      </c>
      <c r="O17672" s="4" t="s">
        <v>14279</v>
      </c>
      <c r="P17672" s="4"/>
      <c r="Q17672" s="4">
        <v>0</v>
      </c>
      <c r="R17672" s="4">
        <v>150</v>
      </c>
      <c r="S17672" s="4">
        <v>0</v>
      </c>
      <c r="T17672" s="4" t="s">
        <v>14280</v>
      </c>
      <c r="U17672" s="4"/>
      <c r="V17672" s="4"/>
      <c r="W17672" s="4"/>
      <c r="X17672" s="4"/>
      <c r="Y17672" s="4"/>
    </row>
    <row r="17673" spans="1:25" customFormat="1" x14ac:dyDescent="0.25">
      <c r="A17673" s="4" t="s">
        <v>24</v>
      </c>
      <c r="B17673" s="4" t="s">
        <v>53594</v>
      </c>
      <c r="C17673" s="4" t="str">
        <f>"A0178601"</f>
        <v>A0178601</v>
      </c>
      <c r="D17673" s="4" t="s">
        <v>53595</v>
      </c>
      <c r="E17673" s="4" t="s">
        <v>53596</v>
      </c>
      <c r="F17673" s="4" t="s">
        <v>5706</v>
      </c>
      <c r="G17673" s="4" t="s">
        <v>117</v>
      </c>
      <c r="H17673" s="4">
        <v>48009</v>
      </c>
      <c r="I17673" s="4" t="s">
        <v>30</v>
      </c>
      <c r="J17673" s="4" t="s">
        <v>206</v>
      </c>
      <c r="K17673" s="4" t="s">
        <v>163</v>
      </c>
      <c r="L17673" s="4"/>
      <c r="M17673" s="4"/>
      <c r="N17673" s="4" t="s">
        <v>53597</v>
      </c>
      <c r="O17673" s="4" t="s">
        <v>53598</v>
      </c>
      <c r="P17673" s="4"/>
      <c r="Q17673" s="4">
        <v>0</v>
      </c>
      <c r="R17673" s="4">
        <v>126</v>
      </c>
      <c r="S17673" s="4">
        <v>0</v>
      </c>
      <c r="T17673" s="4" t="s">
        <v>192</v>
      </c>
      <c r="U17673" s="4"/>
      <c r="V17673" s="4"/>
      <c r="W17673" s="4"/>
      <c r="X17673" s="4"/>
      <c r="Y17673" s="4"/>
    </row>
    <row r="17674" spans="1:25" customFormat="1" x14ac:dyDescent="0.25">
      <c r="A17674" s="4" t="s">
        <v>24</v>
      </c>
      <c r="B17674" s="4" t="s">
        <v>8843</v>
      </c>
      <c r="C17674" s="4" t="str">
        <f>"A0066871"</f>
        <v>A0066871</v>
      </c>
      <c r="D17674" s="4" t="s">
        <v>56008</v>
      </c>
      <c r="E17674" s="4" t="s">
        <v>56009</v>
      </c>
      <c r="F17674" s="4" t="s">
        <v>3932</v>
      </c>
      <c r="G17674" s="4" t="s">
        <v>117</v>
      </c>
      <c r="H17674" s="4">
        <v>49503</v>
      </c>
      <c r="I17674" s="4" t="s">
        <v>30</v>
      </c>
      <c r="J17674" s="4" t="s">
        <v>206</v>
      </c>
      <c r="K17674" s="4" t="s">
        <v>5707</v>
      </c>
      <c r="L17674" s="4"/>
      <c r="M17674" s="4"/>
      <c r="N17674" s="4" t="s">
        <v>56010</v>
      </c>
      <c r="O17674" s="4" t="s">
        <v>56011</v>
      </c>
      <c r="P17674" s="4"/>
      <c r="Q17674" s="4">
        <v>0</v>
      </c>
      <c r="R17674" s="4">
        <v>682</v>
      </c>
      <c r="S17674" s="4">
        <v>0</v>
      </c>
      <c r="T17674" s="4" t="s">
        <v>56012</v>
      </c>
      <c r="U17674" s="4"/>
      <c r="V17674" s="4"/>
      <c r="W17674" s="4"/>
      <c r="X17674" s="4"/>
      <c r="Y17674" s="4"/>
    </row>
    <row r="17675" spans="1:25" customFormat="1" x14ac:dyDescent="0.25">
      <c r="A17675" s="4" t="s">
        <v>24</v>
      </c>
      <c r="B17675" s="4" t="s">
        <v>8843</v>
      </c>
      <c r="C17675" s="4" t="str">
        <f>"A0075826"</f>
        <v>A0075826</v>
      </c>
      <c r="D17675" s="4" t="s">
        <v>74501</v>
      </c>
      <c r="E17675" s="4" t="s">
        <v>74502</v>
      </c>
      <c r="F17675" s="4" t="s">
        <v>3932</v>
      </c>
      <c r="G17675" s="4" t="s">
        <v>117</v>
      </c>
      <c r="H17675" s="4">
        <v>49503</v>
      </c>
      <c r="I17675" s="4" t="s">
        <v>30</v>
      </c>
      <c r="J17675" s="4" t="s">
        <v>206</v>
      </c>
      <c r="K17675" s="4" t="s">
        <v>10770</v>
      </c>
      <c r="L17675" s="4"/>
      <c r="M17675" s="4"/>
      <c r="N17675" s="4" t="s">
        <v>74503</v>
      </c>
      <c r="O17675" s="4"/>
      <c r="P17675" s="4"/>
      <c r="Q17675" s="4">
        <v>0</v>
      </c>
      <c r="R17675" s="4">
        <v>340</v>
      </c>
      <c r="S17675" s="4">
        <v>0</v>
      </c>
      <c r="T17675" s="4" t="s">
        <v>74504</v>
      </c>
      <c r="U17675" s="4"/>
      <c r="V17675" s="4"/>
      <c r="W17675" s="4"/>
      <c r="X17675" s="4"/>
      <c r="Y17675" s="4"/>
    </row>
    <row r="17676" spans="1:25" customFormat="1" x14ac:dyDescent="0.25">
      <c r="A17676" s="4" t="s">
        <v>24</v>
      </c>
      <c r="B17676" s="4" t="s">
        <v>1567</v>
      </c>
      <c r="C17676" s="4" t="str">
        <f>"73R09"</f>
        <v>73R09</v>
      </c>
      <c r="D17676" s="4" t="s">
        <v>84455</v>
      </c>
      <c r="E17676" s="4" t="s">
        <v>84456</v>
      </c>
      <c r="F17676" s="4" t="s">
        <v>60313</v>
      </c>
      <c r="G17676" s="4" t="s">
        <v>117</v>
      </c>
      <c r="H17676" s="4">
        <v>48126</v>
      </c>
      <c r="I17676" s="4" t="s">
        <v>30</v>
      </c>
      <c r="J17676" s="4" t="s">
        <v>206</v>
      </c>
      <c r="K17676" s="4" t="s">
        <v>6459</v>
      </c>
      <c r="L17676" s="4"/>
      <c r="M17676" s="4"/>
      <c r="N17676" s="4" t="s">
        <v>84457</v>
      </c>
      <c r="O17676" s="4"/>
      <c r="P17676" s="4"/>
      <c r="Q17676" s="4">
        <v>0</v>
      </c>
      <c r="R17676" s="4">
        <v>308</v>
      </c>
      <c r="S17676" s="4">
        <v>0</v>
      </c>
      <c r="T17676" s="4" t="s">
        <v>84458</v>
      </c>
      <c r="U17676" s="4"/>
      <c r="V17676" s="4"/>
      <c r="W17676" s="4"/>
      <c r="X17676" s="4"/>
      <c r="Y17676" s="4"/>
    </row>
    <row r="17677" spans="1:25" customFormat="1" x14ac:dyDescent="0.25">
      <c r="A17677" s="4" t="s">
        <v>24</v>
      </c>
      <c r="B17677" s="4" t="s">
        <v>814</v>
      </c>
      <c r="C17677" s="4" t="str">
        <f>"A0089393"</f>
        <v>A0089393</v>
      </c>
      <c r="D17677" s="4" t="s">
        <v>64316</v>
      </c>
      <c r="E17677" s="4" t="s">
        <v>64317</v>
      </c>
      <c r="F17677" s="4" t="s">
        <v>6404</v>
      </c>
      <c r="G17677" s="4" t="s">
        <v>161</v>
      </c>
      <c r="H17677" s="4">
        <v>55401</v>
      </c>
      <c r="I17677" s="4" t="s">
        <v>30</v>
      </c>
      <c r="J17677" s="4" t="s">
        <v>206</v>
      </c>
      <c r="K17677" s="4" t="s">
        <v>6459</v>
      </c>
      <c r="L17677" s="4"/>
      <c r="M17677" s="4"/>
      <c r="N17677" s="4" t="s">
        <v>64318</v>
      </c>
      <c r="O17677" s="4"/>
      <c r="P17677" s="4"/>
      <c r="Q17677" s="4">
        <v>0</v>
      </c>
      <c r="R17677" s="4">
        <v>220</v>
      </c>
      <c r="S17677" s="4">
        <v>0</v>
      </c>
      <c r="T17677" s="4" t="s">
        <v>64319</v>
      </c>
      <c r="U17677" s="4"/>
      <c r="V17677" s="4"/>
      <c r="W17677" s="4"/>
      <c r="X17677" s="4"/>
      <c r="Y17677" s="4"/>
    </row>
    <row r="17678" spans="1:25" customFormat="1" x14ac:dyDescent="0.25">
      <c r="A17678" s="4" t="s">
        <v>24</v>
      </c>
      <c r="B17678" s="4" t="s">
        <v>4140</v>
      </c>
      <c r="C17678" s="4" t="str">
        <f>"A0091344"</f>
        <v>A0091344</v>
      </c>
      <c r="D17678" s="4" t="s">
        <v>72566</v>
      </c>
      <c r="E17678" s="4" t="s">
        <v>72567</v>
      </c>
      <c r="F17678" s="4" t="s">
        <v>6404</v>
      </c>
      <c r="G17678" s="4" t="s">
        <v>161</v>
      </c>
      <c r="H17678" s="4">
        <v>55403</v>
      </c>
      <c r="I17678" s="4" t="s">
        <v>30</v>
      </c>
      <c r="J17678" s="4" t="s">
        <v>206</v>
      </c>
      <c r="K17678" s="4" t="s">
        <v>55170</v>
      </c>
      <c r="L17678" s="4"/>
      <c r="M17678" s="4"/>
      <c r="N17678" s="4" t="s">
        <v>6505</v>
      </c>
      <c r="O17678" s="4"/>
      <c r="P17678" s="4"/>
      <c r="Q17678" s="4">
        <v>0</v>
      </c>
      <c r="R17678" s="4">
        <v>136</v>
      </c>
      <c r="S17678" s="4">
        <v>0</v>
      </c>
      <c r="T17678" s="4" t="s">
        <v>72568</v>
      </c>
      <c r="U17678" s="4"/>
      <c r="V17678" s="4"/>
      <c r="W17678" s="4"/>
      <c r="X17678" s="4"/>
      <c r="Y17678" s="4"/>
    </row>
    <row r="17679" spans="1:25" customFormat="1" x14ac:dyDescent="0.25">
      <c r="A17679" s="4" t="s">
        <v>24</v>
      </c>
      <c r="B17679" s="4" t="s">
        <v>675</v>
      </c>
      <c r="C17679" s="4" t="str">
        <f>"A0096625"</f>
        <v>A0096625</v>
      </c>
      <c r="D17679" s="4" t="s">
        <v>87233</v>
      </c>
      <c r="E17679" s="4" t="s">
        <v>87234</v>
      </c>
      <c r="F17679" s="4" t="s">
        <v>6404</v>
      </c>
      <c r="G17679" s="4" t="s">
        <v>161</v>
      </c>
      <c r="H17679" s="4">
        <v>55402</v>
      </c>
      <c r="I17679" s="4" t="s">
        <v>30</v>
      </c>
      <c r="J17679" s="4" t="s">
        <v>206</v>
      </c>
      <c r="K17679" s="4" t="s">
        <v>16717</v>
      </c>
      <c r="L17679" s="4"/>
      <c r="M17679" s="4"/>
      <c r="N17679" s="4" t="s">
        <v>87235</v>
      </c>
      <c r="O17679" s="4"/>
      <c r="P17679" s="4"/>
      <c r="Q17679" s="4">
        <v>0</v>
      </c>
      <c r="R17679" s="4">
        <v>229</v>
      </c>
      <c r="S17679" s="4">
        <v>0</v>
      </c>
      <c r="T17679" s="4" t="s">
        <v>87236</v>
      </c>
      <c r="U17679" s="4"/>
      <c r="V17679" s="4"/>
      <c r="W17679" s="4"/>
      <c r="X17679" s="4"/>
      <c r="Y17679" s="4"/>
    </row>
    <row r="17680" spans="1:25" customFormat="1" x14ac:dyDescent="0.25">
      <c r="A17680" s="4" t="s">
        <v>24</v>
      </c>
      <c r="B17680" s="4" t="s">
        <v>1583</v>
      </c>
      <c r="C17680" s="4" t="str">
        <f>"A0191975"</f>
        <v>A0191975</v>
      </c>
      <c r="D17680" s="4" t="s">
        <v>3182</v>
      </c>
      <c r="E17680" s="4" t="s">
        <v>3183</v>
      </c>
      <c r="F17680" s="4" t="s">
        <v>3184</v>
      </c>
      <c r="G17680" s="4" t="s">
        <v>137</v>
      </c>
      <c r="H17680" s="4">
        <v>65616</v>
      </c>
      <c r="I17680" s="4" t="s">
        <v>30</v>
      </c>
      <c r="J17680" s="4" t="s">
        <v>206</v>
      </c>
      <c r="K17680" s="4" t="s">
        <v>163</v>
      </c>
      <c r="L17680" s="4"/>
      <c r="M17680" s="4"/>
      <c r="N17680" s="4" t="s">
        <v>3185</v>
      </c>
      <c r="O17680" s="4"/>
      <c r="P17680" s="4"/>
      <c r="Q17680" s="4">
        <v>0</v>
      </c>
      <c r="R17680" s="4">
        <v>104</v>
      </c>
      <c r="S17680" s="4">
        <v>0</v>
      </c>
      <c r="T17680" s="4" t="s">
        <v>2023</v>
      </c>
      <c r="U17680" s="4"/>
      <c r="V17680" s="4"/>
      <c r="W17680" s="4"/>
      <c r="X17680" s="4"/>
      <c r="Y17680" s="4"/>
    </row>
    <row r="17681" spans="1:25" customFormat="1" x14ac:dyDescent="0.25">
      <c r="A17681" s="4" t="s">
        <v>24</v>
      </c>
      <c r="B17681" s="4" t="s">
        <v>11484</v>
      </c>
      <c r="C17681" s="4" t="str">
        <f>"A0165887"</f>
        <v>A0165887</v>
      </c>
      <c r="D17681" s="4" t="s">
        <v>13295</v>
      </c>
      <c r="E17681" s="4" t="s">
        <v>13296</v>
      </c>
      <c r="F17681" s="4" t="s">
        <v>3860</v>
      </c>
      <c r="G17681" s="4" t="s">
        <v>137</v>
      </c>
      <c r="H17681" s="4">
        <v>63103</v>
      </c>
      <c r="I17681" s="4" t="s">
        <v>30</v>
      </c>
      <c r="J17681" s="4" t="s">
        <v>206</v>
      </c>
      <c r="K17681" s="4" t="s">
        <v>13297</v>
      </c>
      <c r="L17681" s="4"/>
      <c r="M17681" s="4"/>
      <c r="N17681" s="4" t="s">
        <v>11487</v>
      </c>
      <c r="O17681" s="4"/>
      <c r="P17681" s="4"/>
      <c r="Q17681" s="4">
        <v>0</v>
      </c>
      <c r="R17681" s="4">
        <v>142</v>
      </c>
      <c r="S17681" s="4">
        <v>0</v>
      </c>
      <c r="T17681" s="4" t="s">
        <v>13298</v>
      </c>
      <c r="U17681" s="4"/>
      <c r="V17681" s="4"/>
      <c r="W17681" s="4"/>
      <c r="X17681" s="4"/>
      <c r="Y17681" s="4"/>
    </row>
    <row r="17682" spans="1:25" customFormat="1" x14ac:dyDescent="0.25">
      <c r="A17682" s="4" t="s">
        <v>24</v>
      </c>
      <c r="B17682" s="4" t="s">
        <v>9975</v>
      </c>
      <c r="C17682" s="4" t="str">
        <f>"A0090701"</f>
        <v>A0090701</v>
      </c>
      <c r="D17682" s="4" t="s">
        <v>55935</v>
      </c>
      <c r="E17682" s="4" t="s">
        <v>55936</v>
      </c>
      <c r="F17682" s="4" t="s">
        <v>5107</v>
      </c>
      <c r="G17682" s="4" t="s">
        <v>137</v>
      </c>
      <c r="H17682" s="4">
        <v>64106</v>
      </c>
      <c r="I17682" s="4" t="s">
        <v>30</v>
      </c>
      <c r="J17682" s="4" t="s">
        <v>206</v>
      </c>
      <c r="K17682" s="4" t="s">
        <v>6459</v>
      </c>
      <c r="L17682" s="4"/>
      <c r="M17682" s="4"/>
      <c r="N17682" s="4" t="s">
        <v>55937</v>
      </c>
      <c r="O17682" s="4" t="s">
        <v>55938</v>
      </c>
      <c r="P17682" s="4"/>
      <c r="Q17682" s="4">
        <v>0</v>
      </c>
      <c r="R17682" s="4">
        <v>113</v>
      </c>
      <c r="S17682" s="4">
        <v>0</v>
      </c>
      <c r="T17682" s="4" t="s">
        <v>55939</v>
      </c>
      <c r="U17682" s="4"/>
      <c r="V17682" s="4"/>
      <c r="W17682" s="4"/>
      <c r="X17682" s="4"/>
      <c r="Y17682" s="4"/>
    </row>
    <row r="17683" spans="1:25" customFormat="1" x14ac:dyDescent="0.25">
      <c r="A17683" s="4" t="s">
        <v>24</v>
      </c>
      <c r="B17683" s="4" t="s">
        <v>4400</v>
      </c>
      <c r="C17683" s="4" t="str">
        <f>"A0157233"</f>
        <v>A0157233</v>
      </c>
      <c r="D17683" s="4" t="s">
        <v>56081</v>
      </c>
      <c r="E17683" s="4" t="s">
        <v>56082</v>
      </c>
      <c r="F17683" s="4" t="s">
        <v>3860</v>
      </c>
      <c r="G17683" s="4" t="s">
        <v>137</v>
      </c>
      <c r="H17683" s="4">
        <v>63103</v>
      </c>
      <c r="I17683" s="4" t="s">
        <v>30</v>
      </c>
      <c r="J17683" s="4" t="s">
        <v>206</v>
      </c>
      <c r="K17683" s="4" t="s">
        <v>163</v>
      </c>
      <c r="L17683" s="4"/>
      <c r="M17683" s="4"/>
      <c r="N17683" s="4" t="s">
        <v>56083</v>
      </c>
      <c r="O17683" s="4"/>
      <c r="P17683" s="4"/>
      <c r="Q17683" s="4">
        <v>0</v>
      </c>
      <c r="R17683" s="4">
        <v>146</v>
      </c>
      <c r="S17683" s="4">
        <v>0</v>
      </c>
      <c r="T17683" s="4" t="s">
        <v>56084</v>
      </c>
      <c r="U17683" s="4"/>
      <c r="V17683" s="4"/>
      <c r="W17683" s="4"/>
      <c r="X17683" s="4"/>
      <c r="Y17683" s="4"/>
    </row>
    <row r="17684" spans="1:25" customFormat="1" x14ac:dyDescent="0.25">
      <c r="A17684" s="4" t="s">
        <v>24</v>
      </c>
      <c r="B17684" s="4" t="s">
        <v>675</v>
      </c>
      <c r="C17684" s="4" t="str">
        <f>"73R13"</f>
        <v>73R13</v>
      </c>
      <c r="D17684" s="4" t="s">
        <v>85161</v>
      </c>
      <c r="E17684" s="4" t="s">
        <v>85162</v>
      </c>
      <c r="F17684" s="4" t="s">
        <v>85163</v>
      </c>
      <c r="G17684" s="4" t="s">
        <v>137</v>
      </c>
      <c r="H17684" s="4">
        <v>63105</v>
      </c>
      <c r="I17684" s="4" t="s">
        <v>30</v>
      </c>
      <c r="J17684" s="4" t="s">
        <v>206</v>
      </c>
      <c r="K17684" s="4" t="s">
        <v>680</v>
      </c>
      <c r="L17684" s="4"/>
      <c r="M17684" s="4"/>
      <c r="N17684" s="4" t="s">
        <v>85164</v>
      </c>
      <c r="O17684" s="4" t="s">
        <v>85165</v>
      </c>
      <c r="P17684" s="4"/>
      <c r="Q17684" s="4">
        <v>0</v>
      </c>
      <c r="R17684" s="4">
        <v>300</v>
      </c>
      <c r="S17684" s="4">
        <v>0</v>
      </c>
      <c r="T17684" s="4" t="s">
        <v>85166</v>
      </c>
      <c r="U17684" s="4"/>
      <c r="V17684" s="4"/>
      <c r="W17684" s="4"/>
      <c r="X17684" s="4"/>
      <c r="Y17684" s="4"/>
    </row>
    <row r="17685" spans="1:25" customFormat="1" x14ac:dyDescent="0.25">
      <c r="A17685" s="4" t="s">
        <v>24</v>
      </c>
      <c r="B17685" s="4" t="s">
        <v>7674</v>
      </c>
      <c r="C17685" s="4" t="str">
        <f>"A0186387"</f>
        <v>A0186387</v>
      </c>
      <c r="D17685" s="4" t="s">
        <v>9095</v>
      </c>
      <c r="E17685" s="4" t="s">
        <v>9096</v>
      </c>
      <c r="F17685" s="4" t="s">
        <v>9097</v>
      </c>
      <c r="G17685" s="4" t="s">
        <v>1184</v>
      </c>
      <c r="H17685" s="4">
        <v>59716</v>
      </c>
      <c r="I17685" s="4" t="s">
        <v>30</v>
      </c>
      <c r="J17685" s="4" t="s">
        <v>206</v>
      </c>
      <c r="K17685" s="4" t="s">
        <v>9098</v>
      </c>
      <c r="L17685" s="4"/>
      <c r="M17685" s="4"/>
      <c r="N17685" s="4" t="s">
        <v>9099</v>
      </c>
      <c r="O17685" s="4" t="s">
        <v>9100</v>
      </c>
      <c r="P17685" s="4"/>
      <c r="Q17685" s="4">
        <v>0</v>
      </c>
      <c r="R17685" s="4">
        <v>150</v>
      </c>
      <c r="S17685" s="4">
        <v>0</v>
      </c>
      <c r="T17685" s="4" t="s">
        <v>9101</v>
      </c>
      <c r="U17685" s="4"/>
      <c r="V17685" s="4"/>
      <c r="W17685" s="4"/>
      <c r="X17685" s="4"/>
      <c r="Y17685" s="4"/>
    </row>
    <row r="17686" spans="1:25" customFormat="1" x14ac:dyDescent="0.25">
      <c r="A17686" s="4" t="s">
        <v>24</v>
      </c>
      <c r="B17686" s="4" t="s">
        <v>7674</v>
      </c>
      <c r="C17686" s="4" t="str">
        <f>"A0073973"</f>
        <v>A0073973</v>
      </c>
      <c r="D17686" s="4" t="s">
        <v>82174</v>
      </c>
      <c r="E17686" s="4" t="s">
        <v>82175</v>
      </c>
      <c r="F17686" s="4" t="s">
        <v>9097</v>
      </c>
      <c r="G17686" s="4" t="s">
        <v>1184</v>
      </c>
      <c r="H17686" s="4">
        <v>59716</v>
      </c>
      <c r="I17686" s="4" t="s">
        <v>30</v>
      </c>
      <c r="J17686" s="4" t="s">
        <v>206</v>
      </c>
      <c r="K17686" s="4" t="s">
        <v>163</v>
      </c>
      <c r="L17686" s="4"/>
      <c r="M17686" s="4"/>
      <c r="N17686" s="4" t="s">
        <v>82176</v>
      </c>
      <c r="O17686" s="4" t="s">
        <v>82177</v>
      </c>
      <c r="P17686" s="4" t="s">
        <v>992</v>
      </c>
      <c r="Q17686" s="4">
        <v>1</v>
      </c>
      <c r="R17686" s="4">
        <v>8</v>
      </c>
      <c r="S17686" s="4">
        <v>0</v>
      </c>
      <c r="T17686" s="4" t="s">
        <v>82178</v>
      </c>
      <c r="U17686" s="4"/>
      <c r="V17686" s="4"/>
      <c r="W17686" s="4"/>
      <c r="X17686" s="4"/>
      <c r="Y17686" s="4"/>
    </row>
    <row r="17687" spans="1:25" customFormat="1" x14ac:dyDescent="0.25">
      <c r="A17687" s="4" t="s">
        <v>24</v>
      </c>
      <c r="B17687" s="4" t="s">
        <v>11587</v>
      </c>
      <c r="C17687" s="4" t="str">
        <f>"A0098970"</f>
        <v>A0098970</v>
      </c>
      <c r="D17687" s="4" t="s">
        <v>34565</v>
      </c>
      <c r="E17687" s="4" t="s">
        <v>34566</v>
      </c>
      <c r="F17687" s="4" t="s">
        <v>10730</v>
      </c>
      <c r="G17687" s="4" t="s">
        <v>214</v>
      </c>
      <c r="H17687" s="4">
        <v>28801</v>
      </c>
      <c r="I17687" s="4" t="s">
        <v>30</v>
      </c>
      <c r="J17687" s="4" t="s">
        <v>206</v>
      </c>
      <c r="K17687" s="4" t="s">
        <v>5707</v>
      </c>
      <c r="L17687" s="4"/>
      <c r="M17687" s="4"/>
      <c r="N17687" s="4" t="s">
        <v>34567</v>
      </c>
      <c r="O17687" s="4"/>
      <c r="P17687" s="4"/>
      <c r="Q17687" s="4">
        <v>0</v>
      </c>
      <c r="R17687" s="4">
        <v>92</v>
      </c>
      <c r="S17687" s="4">
        <v>0</v>
      </c>
      <c r="T17687" s="4" t="s">
        <v>34568</v>
      </c>
      <c r="U17687" s="4"/>
      <c r="V17687" s="4"/>
      <c r="W17687" s="4"/>
      <c r="X17687" s="4"/>
      <c r="Y17687" s="4"/>
    </row>
    <row r="17688" spans="1:25" customFormat="1" x14ac:dyDescent="0.25">
      <c r="A17688" s="4" t="s">
        <v>24</v>
      </c>
      <c r="B17688" s="4" t="s">
        <v>4400</v>
      </c>
      <c r="C17688" s="4" t="str">
        <f>"A0153137"</f>
        <v>A0153137</v>
      </c>
      <c r="D17688" s="4" t="s">
        <v>66583</v>
      </c>
      <c r="E17688" s="4" t="s">
        <v>66584</v>
      </c>
      <c r="F17688" s="4" t="s">
        <v>6845</v>
      </c>
      <c r="G17688" s="4" t="s">
        <v>214</v>
      </c>
      <c r="H17688" s="4">
        <v>27516</v>
      </c>
      <c r="I17688" s="4" t="s">
        <v>30</v>
      </c>
      <c r="J17688" s="4" t="s">
        <v>206</v>
      </c>
      <c r="K17688" s="4" t="s">
        <v>5707</v>
      </c>
      <c r="L17688" s="4"/>
      <c r="M17688" s="4"/>
      <c r="N17688" s="4" t="s">
        <v>66585</v>
      </c>
      <c r="O17688" s="4"/>
      <c r="P17688" s="4"/>
      <c r="Q17688" s="4">
        <v>0</v>
      </c>
      <c r="R17688" s="4">
        <v>67</v>
      </c>
      <c r="S17688" s="4">
        <v>0</v>
      </c>
      <c r="T17688" s="4" t="s">
        <v>66586</v>
      </c>
      <c r="U17688" s="4"/>
      <c r="V17688" s="4"/>
      <c r="W17688" s="4"/>
      <c r="X17688" s="4"/>
      <c r="Y17688" s="4"/>
    </row>
    <row r="17689" spans="1:25" customFormat="1" x14ac:dyDescent="0.25">
      <c r="A17689" s="4" t="s">
        <v>24</v>
      </c>
      <c r="B17689" s="4" t="s">
        <v>67039</v>
      </c>
      <c r="C17689" s="4" t="str">
        <f>"A0049829"</f>
        <v>A0049829</v>
      </c>
      <c r="D17689" s="4" t="s">
        <v>67040</v>
      </c>
      <c r="E17689" s="4" t="s">
        <v>67041</v>
      </c>
      <c r="F17689" s="4" t="s">
        <v>9498</v>
      </c>
      <c r="G17689" s="4" t="s">
        <v>214</v>
      </c>
      <c r="H17689" s="4">
        <v>27407</v>
      </c>
      <c r="I17689" s="4" t="s">
        <v>30</v>
      </c>
      <c r="J17689" s="4" t="s">
        <v>206</v>
      </c>
      <c r="K17689" s="4" t="s">
        <v>163</v>
      </c>
      <c r="L17689" s="4"/>
      <c r="M17689" s="4"/>
      <c r="N17689" s="4" t="s">
        <v>67042</v>
      </c>
      <c r="O17689" s="4" t="s">
        <v>67043</v>
      </c>
      <c r="P17689" s="4" t="s">
        <v>3998</v>
      </c>
      <c r="Q17689" s="4">
        <v>2</v>
      </c>
      <c r="R17689" s="4">
        <v>247</v>
      </c>
      <c r="S17689" s="4">
        <v>0</v>
      </c>
      <c r="T17689" s="4" t="s">
        <v>67044</v>
      </c>
      <c r="U17689" s="4"/>
      <c r="V17689" s="4"/>
      <c r="W17689" s="4"/>
      <c r="X17689" s="4"/>
      <c r="Y17689" s="4"/>
    </row>
    <row r="17690" spans="1:25" customFormat="1" x14ac:dyDescent="0.25">
      <c r="A17690" s="4" t="s">
        <v>24</v>
      </c>
      <c r="B17690" s="4" t="s">
        <v>342</v>
      </c>
      <c r="C17690" s="4" t="str">
        <f>"A0147855"</f>
        <v>A0147855</v>
      </c>
      <c r="D17690" s="4" t="s">
        <v>74633</v>
      </c>
      <c r="E17690" s="4" t="s">
        <v>74634</v>
      </c>
      <c r="F17690" s="4" t="s">
        <v>10730</v>
      </c>
      <c r="G17690" s="4" t="s">
        <v>214</v>
      </c>
      <c r="H17690" s="4">
        <v>28801</v>
      </c>
      <c r="I17690" s="4" t="s">
        <v>30</v>
      </c>
      <c r="J17690" s="4" t="s">
        <v>206</v>
      </c>
      <c r="K17690" s="4" t="s">
        <v>13178</v>
      </c>
      <c r="L17690" s="4"/>
      <c r="M17690" s="4"/>
      <c r="N17690" s="4" t="s">
        <v>74635</v>
      </c>
      <c r="O17690" s="4"/>
      <c r="P17690" s="4"/>
      <c r="Q17690" s="4">
        <v>0</v>
      </c>
      <c r="R17690" s="4">
        <v>128</v>
      </c>
      <c r="S17690" s="4">
        <v>0</v>
      </c>
      <c r="T17690" s="4" t="s">
        <v>74636</v>
      </c>
      <c r="U17690" s="4"/>
      <c r="V17690" s="4"/>
      <c r="W17690" s="4"/>
      <c r="X17690" s="4"/>
      <c r="Y17690" s="4"/>
    </row>
    <row r="17691" spans="1:25" customFormat="1" x14ac:dyDescent="0.25">
      <c r="A17691" s="4" t="s">
        <v>24</v>
      </c>
      <c r="B17691" s="4" t="s">
        <v>675</v>
      </c>
      <c r="C17691" s="4" t="str">
        <f>"A0087061"</f>
        <v>A0087061</v>
      </c>
      <c r="D17691" s="4" t="s">
        <v>85063</v>
      </c>
      <c r="E17691" s="4" t="s">
        <v>85064</v>
      </c>
      <c r="F17691" s="4" t="s">
        <v>1926</v>
      </c>
      <c r="G17691" s="4" t="s">
        <v>214</v>
      </c>
      <c r="H17691" s="4">
        <v>28202</v>
      </c>
      <c r="I17691" s="4" t="s">
        <v>30</v>
      </c>
      <c r="J17691" s="4" t="s">
        <v>206</v>
      </c>
      <c r="K17691" s="4" t="s">
        <v>680</v>
      </c>
      <c r="L17691" s="4"/>
      <c r="M17691" s="4"/>
      <c r="N17691" s="4" t="s">
        <v>85065</v>
      </c>
      <c r="O17691" s="4" t="s">
        <v>85066</v>
      </c>
      <c r="P17691" s="4"/>
      <c r="Q17691" s="4">
        <v>0</v>
      </c>
      <c r="R17691" s="4">
        <v>147</v>
      </c>
      <c r="S17691" s="4">
        <v>0</v>
      </c>
      <c r="T17691" s="4" t="s">
        <v>85067</v>
      </c>
      <c r="U17691" s="4"/>
      <c r="V17691" s="4"/>
      <c r="W17691" s="4"/>
      <c r="X17691" s="4"/>
      <c r="Y17691" s="4"/>
    </row>
    <row r="17692" spans="1:25" customFormat="1" x14ac:dyDescent="0.25">
      <c r="A17692" s="4" t="s">
        <v>24</v>
      </c>
      <c r="B17692" s="4" t="s">
        <v>65411</v>
      </c>
      <c r="C17692" s="4" t="str">
        <f>"A0054296"</f>
        <v>A0054296</v>
      </c>
      <c r="D17692" s="4" t="s">
        <v>85262</v>
      </c>
      <c r="E17692" s="4" t="s">
        <v>85263</v>
      </c>
      <c r="F17692" s="4" t="s">
        <v>6845</v>
      </c>
      <c r="G17692" s="4" t="s">
        <v>214</v>
      </c>
      <c r="H17692" s="4">
        <v>27514</v>
      </c>
      <c r="I17692" s="4" t="s">
        <v>30</v>
      </c>
      <c r="J17692" s="4" t="s">
        <v>206</v>
      </c>
      <c r="K17692" s="4" t="s">
        <v>6459</v>
      </c>
      <c r="L17692" s="4"/>
      <c r="M17692" s="4"/>
      <c r="N17692" s="4" t="s">
        <v>85264</v>
      </c>
      <c r="O17692" s="4" t="s">
        <v>85265</v>
      </c>
      <c r="P17692" s="4"/>
      <c r="Q17692" s="4">
        <v>0</v>
      </c>
      <c r="R17692" s="4">
        <v>79</v>
      </c>
      <c r="S17692" s="4">
        <v>0</v>
      </c>
      <c r="T17692" s="4" t="s">
        <v>85266</v>
      </c>
      <c r="U17692" s="4"/>
      <c r="V17692" s="4"/>
      <c r="W17692" s="4"/>
      <c r="X17692" s="4"/>
      <c r="Y17692" s="4"/>
    </row>
    <row r="17693" spans="1:25" customFormat="1" x14ac:dyDescent="0.25">
      <c r="A17693" s="4" t="s">
        <v>24</v>
      </c>
      <c r="B17693" s="4" t="s">
        <v>1849</v>
      </c>
      <c r="C17693" s="4" t="str">
        <f>"A0098462"</f>
        <v>A0098462</v>
      </c>
      <c r="D17693" s="4" t="s">
        <v>85354</v>
      </c>
      <c r="E17693" s="4" t="s">
        <v>85355</v>
      </c>
      <c r="F17693" s="4" t="s">
        <v>10100</v>
      </c>
      <c r="G17693" s="4" t="s">
        <v>214</v>
      </c>
      <c r="H17693" s="4">
        <v>27606</v>
      </c>
      <c r="I17693" s="4" t="s">
        <v>30</v>
      </c>
      <c r="J17693" s="4" t="s">
        <v>206</v>
      </c>
      <c r="K17693" s="4" t="s">
        <v>6459</v>
      </c>
      <c r="L17693" s="4"/>
      <c r="M17693" s="4"/>
      <c r="N17693" s="4" t="s">
        <v>85356</v>
      </c>
      <c r="O17693" s="4" t="s">
        <v>85357</v>
      </c>
      <c r="P17693" s="4"/>
      <c r="Q17693" s="4">
        <v>0</v>
      </c>
      <c r="R17693" s="4">
        <v>164</v>
      </c>
      <c r="S17693" s="4">
        <v>0</v>
      </c>
      <c r="T17693" s="4" t="s">
        <v>85358</v>
      </c>
      <c r="U17693" s="4"/>
      <c r="V17693" s="4"/>
      <c r="W17693" s="4"/>
      <c r="X17693" s="4"/>
      <c r="Y17693" s="4"/>
    </row>
    <row r="17694" spans="1:25" customFormat="1" x14ac:dyDescent="0.25">
      <c r="A17694" s="4" t="s">
        <v>24</v>
      </c>
      <c r="B17694" s="4" t="s">
        <v>80546</v>
      </c>
      <c r="C17694" s="4" t="str">
        <f>"A0077048"</f>
        <v>A0077048</v>
      </c>
      <c r="D17694" s="4" t="s">
        <v>85382</v>
      </c>
      <c r="E17694" s="4" t="s">
        <v>85383</v>
      </c>
      <c r="F17694" s="4" t="s">
        <v>6927</v>
      </c>
      <c r="G17694" s="4" t="s">
        <v>214</v>
      </c>
      <c r="H17694" s="4">
        <v>27513</v>
      </c>
      <c r="I17694" s="4" t="s">
        <v>30</v>
      </c>
      <c r="J17694" s="4" t="s">
        <v>206</v>
      </c>
      <c r="K17694" s="4" t="s">
        <v>163</v>
      </c>
      <c r="L17694" s="4"/>
      <c r="M17694" s="4"/>
      <c r="N17694" s="4" t="s">
        <v>85384</v>
      </c>
      <c r="O17694" s="4"/>
      <c r="P17694" s="4"/>
      <c r="Q17694" s="4">
        <v>0</v>
      </c>
      <c r="R17694" s="4">
        <v>150</v>
      </c>
      <c r="S17694" s="4">
        <v>0</v>
      </c>
      <c r="T17694" s="4" t="s">
        <v>85385</v>
      </c>
      <c r="U17694" s="4"/>
      <c r="V17694" s="4"/>
      <c r="W17694" s="4"/>
      <c r="X17694" s="4"/>
      <c r="Y17694" s="4"/>
    </row>
    <row r="17695" spans="1:25" customFormat="1" x14ac:dyDescent="0.25">
      <c r="A17695" s="4" t="s">
        <v>24</v>
      </c>
      <c r="B17695" s="4" t="s">
        <v>1567</v>
      </c>
      <c r="C17695" s="4" t="str">
        <f>"A0180032"</f>
        <v>A0180032</v>
      </c>
      <c r="D17695" s="4" t="s">
        <v>34252</v>
      </c>
      <c r="E17695" s="4" t="s">
        <v>34253</v>
      </c>
      <c r="F17695" s="4" t="s">
        <v>1541</v>
      </c>
      <c r="G17695" s="4" t="s">
        <v>427</v>
      </c>
      <c r="H17695" s="4">
        <v>68022</v>
      </c>
      <c r="I17695" s="4" t="s">
        <v>30</v>
      </c>
      <c r="J17695" s="4" t="s">
        <v>206</v>
      </c>
      <c r="K17695" s="4" t="s">
        <v>6459</v>
      </c>
      <c r="L17695" s="4"/>
      <c r="M17695" s="4"/>
      <c r="N17695" s="4" t="s">
        <v>34254</v>
      </c>
      <c r="O17695" s="4"/>
      <c r="P17695" s="4"/>
      <c r="Q17695" s="4">
        <v>0</v>
      </c>
      <c r="R17695" s="4">
        <v>120</v>
      </c>
      <c r="S17695" s="4">
        <v>0</v>
      </c>
      <c r="T17695" s="4" t="s">
        <v>34255</v>
      </c>
      <c r="U17695" s="4"/>
      <c r="V17695" s="4"/>
      <c r="W17695" s="4"/>
      <c r="X17695" s="4"/>
      <c r="Y17695" s="4"/>
    </row>
    <row r="17696" spans="1:25" customFormat="1" x14ac:dyDescent="0.25">
      <c r="A17696" s="4" t="s">
        <v>24</v>
      </c>
      <c r="B17696" s="4" t="s">
        <v>814</v>
      </c>
      <c r="C17696" s="4" t="str">
        <f>"A0162264"</f>
        <v>A0162264</v>
      </c>
      <c r="D17696" s="4" t="s">
        <v>74629</v>
      </c>
      <c r="E17696" s="4" t="s">
        <v>74630</v>
      </c>
      <c r="F17696" s="4" t="s">
        <v>1541</v>
      </c>
      <c r="G17696" s="4" t="s">
        <v>427</v>
      </c>
      <c r="H17696" s="4">
        <v>68131</v>
      </c>
      <c r="I17696" s="4" t="s">
        <v>30</v>
      </c>
      <c r="J17696" s="4" t="s">
        <v>206</v>
      </c>
      <c r="K17696" s="4" t="s">
        <v>13178</v>
      </c>
      <c r="L17696" s="4"/>
      <c r="M17696" s="4"/>
      <c r="N17696" s="4" t="s">
        <v>74631</v>
      </c>
      <c r="O17696" s="4"/>
      <c r="P17696" s="4"/>
      <c r="Q17696" s="4">
        <v>0</v>
      </c>
      <c r="R17696" s="4">
        <v>204</v>
      </c>
      <c r="S17696" s="4">
        <v>0</v>
      </c>
      <c r="T17696" s="4" t="s">
        <v>74632</v>
      </c>
      <c r="U17696" s="4"/>
      <c r="V17696" s="4"/>
      <c r="W17696" s="4"/>
      <c r="X17696" s="4"/>
      <c r="Y17696" s="4"/>
    </row>
    <row r="17697" spans="1:25" customFormat="1" x14ac:dyDescent="0.25">
      <c r="A17697" s="4" t="s">
        <v>24</v>
      </c>
      <c r="B17697" s="4" t="s">
        <v>2910</v>
      </c>
      <c r="C17697" s="4" t="str">
        <f>"A0154141"</f>
        <v>A0154141</v>
      </c>
      <c r="D17697" s="4" t="s">
        <v>77350</v>
      </c>
      <c r="E17697" s="4" t="s">
        <v>77351</v>
      </c>
      <c r="F17697" s="4" t="s">
        <v>1541</v>
      </c>
      <c r="G17697" s="4" t="s">
        <v>427</v>
      </c>
      <c r="H17697" s="4">
        <v>68102</v>
      </c>
      <c r="I17697" s="4" t="s">
        <v>30</v>
      </c>
      <c r="J17697" s="4" t="s">
        <v>206</v>
      </c>
      <c r="K17697" s="4" t="s">
        <v>5707</v>
      </c>
      <c r="L17697" s="4"/>
      <c r="M17697" s="4"/>
      <c r="N17697" s="4" t="s">
        <v>2915</v>
      </c>
      <c r="O17697" s="4"/>
      <c r="P17697" s="4"/>
      <c r="Q17697" s="4">
        <v>0</v>
      </c>
      <c r="R17697" s="4">
        <v>90</v>
      </c>
      <c r="S17697" s="4">
        <v>0</v>
      </c>
      <c r="T17697" s="4" t="s">
        <v>77352</v>
      </c>
      <c r="U17697" s="4"/>
      <c r="V17697" s="4"/>
      <c r="W17697" s="4"/>
      <c r="X17697" s="4"/>
      <c r="Y17697" s="4"/>
    </row>
    <row r="17698" spans="1:25" customFormat="1" x14ac:dyDescent="0.25">
      <c r="A17698" s="4" t="s">
        <v>24</v>
      </c>
      <c r="B17698" s="4" t="s">
        <v>2373</v>
      </c>
      <c r="C17698" s="4" t="str">
        <f>"A0147014"</f>
        <v>A0147014</v>
      </c>
      <c r="D17698" s="4" t="s">
        <v>64339</v>
      </c>
      <c r="E17698" s="4" t="s">
        <v>64340</v>
      </c>
      <c r="F17698" s="4" t="s">
        <v>10998</v>
      </c>
      <c r="G17698" s="4" t="s">
        <v>338</v>
      </c>
      <c r="H17698" s="4">
        <v>7086</v>
      </c>
      <c r="I17698" s="4" t="s">
        <v>30</v>
      </c>
      <c r="J17698" s="4" t="s">
        <v>206</v>
      </c>
      <c r="K17698" s="4" t="s">
        <v>6459</v>
      </c>
      <c r="L17698" s="4"/>
      <c r="M17698" s="4"/>
      <c r="N17698" s="4" t="s">
        <v>64341</v>
      </c>
      <c r="O17698" s="4" t="s">
        <v>64342</v>
      </c>
      <c r="P17698" s="4"/>
      <c r="Q17698" s="4">
        <v>0</v>
      </c>
      <c r="R17698" s="4">
        <v>208</v>
      </c>
      <c r="S17698" s="4">
        <v>0</v>
      </c>
      <c r="T17698" s="4" t="s">
        <v>64343</v>
      </c>
      <c r="U17698" s="4"/>
      <c r="V17698" s="4"/>
      <c r="W17698" s="4"/>
      <c r="X17698" s="4"/>
      <c r="Y17698" s="4"/>
    </row>
    <row r="17699" spans="1:25" customFormat="1" x14ac:dyDescent="0.25">
      <c r="A17699" s="4" t="s">
        <v>24</v>
      </c>
      <c r="B17699" s="4" t="s">
        <v>76986</v>
      </c>
      <c r="C17699" s="4" t="str">
        <f>"A0100996"</f>
        <v>A0100996</v>
      </c>
      <c r="D17699" s="4" t="s">
        <v>76987</v>
      </c>
      <c r="E17699" s="4" t="s">
        <v>76988</v>
      </c>
      <c r="F17699" s="4" t="s">
        <v>76989</v>
      </c>
      <c r="G17699" s="4" t="s">
        <v>338</v>
      </c>
      <c r="H17699" s="4">
        <v>8401</v>
      </c>
      <c r="I17699" s="4" t="s">
        <v>30</v>
      </c>
      <c r="J17699" s="4" t="s">
        <v>206</v>
      </c>
      <c r="K17699" s="4" t="s">
        <v>163</v>
      </c>
      <c r="L17699" s="4"/>
      <c r="M17699" s="4"/>
      <c r="N17699" s="4" t="s">
        <v>76990</v>
      </c>
      <c r="O17699" s="4"/>
      <c r="P17699" s="4"/>
      <c r="Q17699" s="4">
        <v>0</v>
      </c>
      <c r="R17699" s="4">
        <v>1399</v>
      </c>
      <c r="S17699" s="4">
        <v>0</v>
      </c>
      <c r="T17699" s="4" t="s">
        <v>76991</v>
      </c>
      <c r="U17699" s="4"/>
      <c r="V17699" s="4"/>
      <c r="W17699" s="4"/>
      <c r="X17699" s="4"/>
      <c r="Y17699" s="4"/>
    </row>
    <row r="17700" spans="1:25" customFormat="1" x14ac:dyDescent="0.25">
      <c r="A17700" s="4" t="s">
        <v>24</v>
      </c>
      <c r="B17700" s="4" t="s">
        <v>7674</v>
      </c>
      <c r="C17700" s="4" t="str">
        <f>"A0146018"</f>
        <v>A0146018</v>
      </c>
      <c r="D17700" s="4" t="s">
        <v>77324</v>
      </c>
      <c r="E17700" s="4" t="s">
        <v>77325</v>
      </c>
      <c r="F17700" s="4" t="s">
        <v>11096</v>
      </c>
      <c r="G17700" s="4" t="s">
        <v>338</v>
      </c>
      <c r="H17700" s="4">
        <v>7977</v>
      </c>
      <c r="I17700" s="4" t="s">
        <v>30</v>
      </c>
      <c r="J17700" s="4" t="s">
        <v>206</v>
      </c>
      <c r="K17700" s="4" t="s">
        <v>163</v>
      </c>
      <c r="L17700" s="4"/>
      <c r="M17700" s="4"/>
      <c r="N17700" s="4" t="s">
        <v>77326</v>
      </c>
      <c r="O17700" s="4" t="s">
        <v>77327</v>
      </c>
      <c r="P17700" s="4"/>
      <c r="Q17700" s="4">
        <v>0</v>
      </c>
      <c r="R17700" s="4">
        <v>66</v>
      </c>
      <c r="S17700" s="4">
        <v>0</v>
      </c>
      <c r="T17700" s="4" t="s">
        <v>77328</v>
      </c>
      <c r="U17700" s="4"/>
      <c r="V17700" s="4"/>
      <c r="W17700" s="4"/>
      <c r="X17700" s="4"/>
      <c r="Y17700" s="4"/>
    </row>
    <row r="17701" spans="1:25" customFormat="1" x14ac:dyDescent="0.25">
      <c r="A17701" s="4" t="s">
        <v>24</v>
      </c>
      <c r="B17701" s="4" t="s">
        <v>33690</v>
      </c>
      <c r="C17701" s="4" t="str">
        <f>"A0146981"</f>
        <v>A0146981</v>
      </c>
      <c r="D17701" s="4" t="s">
        <v>84718</v>
      </c>
      <c r="E17701" s="4" t="s">
        <v>84719</v>
      </c>
      <c r="F17701" s="4" t="s">
        <v>84720</v>
      </c>
      <c r="G17701" s="4" t="s">
        <v>338</v>
      </c>
      <c r="H17701" s="4">
        <v>7042</v>
      </c>
      <c r="I17701" s="4" t="s">
        <v>30</v>
      </c>
      <c r="J17701" s="4" t="s">
        <v>206</v>
      </c>
      <c r="K17701" s="4" t="s">
        <v>6459</v>
      </c>
      <c r="L17701" s="4"/>
      <c r="M17701" s="4"/>
      <c r="N17701" s="4" t="s">
        <v>84721</v>
      </c>
      <c r="O17701" s="4" t="s">
        <v>84722</v>
      </c>
      <c r="P17701" s="4"/>
      <c r="Q17701" s="4">
        <v>0</v>
      </c>
      <c r="R17701" s="4">
        <v>151</v>
      </c>
      <c r="S17701" s="4">
        <v>0</v>
      </c>
      <c r="T17701" s="4" t="s">
        <v>84723</v>
      </c>
      <c r="U17701" s="4"/>
      <c r="V17701" s="4"/>
      <c r="W17701" s="4"/>
      <c r="X17701" s="4"/>
      <c r="Y17701" s="4"/>
    </row>
    <row r="17702" spans="1:25" customFormat="1" x14ac:dyDescent="0.25">
      <c r="A17702" s="4" t="s">
        <v>24</v>
      </c>
      <c r="B17702" s="4" t="s">
        <v>675</v>
      </c>
      <c r="C17702" s="4" t="str">
        <f>"A0096622"</f>
        <v>A0096622</v>
      </c>
      <c r="D17702" s="4" t="s">
        <v>87216</v>
      </c>
      <c r="E17702" s="4" t="s">
        <v>87217</v>
      </c>
      <c r="F17702" s="4" t="s">
        <v>67137</v>
      </c>
      <c r="G17702" s="4" t="s">
        <v>338</v>
      </c>
      <c r="H17702" s="4">
        <v>7030</v>
      </c>
      <c r="I17702" s="4" t="s">
        <v>30</v>
      </c>
      <c r="J17702" s="4" t="s">
        <v>206</v>
      </c>
      <c r="K17702" s="4" t="s">
        <v>16717</v>
      </c>
      <c r="L17702" s="4"/>
      <c r="M17702" s="4"/>
      <c r="N17702" s="4" t="s">
        <v>87218</v>
      </c>
      <c r="O17702" s="4" t="s">
        <v>87219</v>
      </c>
      <c r="P17702" s="4"/>
      <c r="Q17702" s="4">
        <v>0</v>
      </c>
      <c r="R17702" s="4">
        <v>223</v>
      </c>
      <c r="S17702" s="4">
        <v>0</v>
      </c>
      <c r="T17702" s="4" t="s">
        <v>87220</v>
      </c>
      <c r="U17702" s="4"/>
      <c r="V17702" s="4"/>
      <c r="W17702" s="4"/>
      <c r="X17702" s="4"/>
      <c r="Y17702" s="4"/>
    </row>
    <row r="17703" spans="1:25" customFormat="1" x14ac:dyDescent="0.25">
      <c r="A17703" s="4" t="s">
        <v>24</v>
      </c>
      <c r="B17703" s="4" t="s">
        <v>2221</v>
      </c>
      <c r="C17703" s="4" t="str">
        <f>"A0073565"</f>
        <v>A0073565</v>
      </c>
      <c r="D17703" s="4" t="s">
        <v>74761</v>
      </c>
      <c r="E17703" s="4" t="s">
        <v>74762</v>
      </c>
      <c r="F17703" s="4" t="s">
        <v>1586</v>
      </c>
      <c r="G17703" s="4" t="s">
        <v>1587</v>
      </c>
      <c r="H17703" s="4">
        <v>87501</v>
      </c>
      <c r="I17703" s="4" t="s">
        <v>30</v>
      </c>
      <c r="J17703" s="4" t="s">
        <v>206</v>
      </c>
      <c r="K17703" s="4" t="s">
        <v>3447</v>
      </c>
      <c r="L17703" s="4"/>
      <c r="M17703" s="4"/>
      <c r="N17703" s="4" t="s">
        <v>74763</v>
      </c>
      <c r="O17703" s="4"/>
      <c r="P17703" s="4"/>
      <c r="Q17703" s="4">
        <v>0</v>
      </c>
      <c r="R17703" s="4">
        <v>157</v>
      </c>
      <c r="S17703" s="4">
        <v>0</v>
      </c>
      <c r="T17703" s="4" t="s">
        <v>74764</v>
      </c>
      <c r="U17703" s="4"/>
      <c r="V17703" s="4"/>
      <c r="W17703" s="4"/>
      <c r="X17703" s="4"/>
      <c r="Y17703" s="4"/>
    </row>
    <row r="17704" spans="1:25" customFormat="1" x14ac:dyDescent="0.25">
      <c r="A17704" s="4" t="s">
        <v>24</v>
      </c>
      <c r="B17704" s="4" t="s">
        <v>6635</v>
      </c>
      <c r="C17704" s="4" t="str">
        <f>"A0064211"</f>
        <v>A0064211</v>
      </c>
      <c r="D17704" s="4" t="s">
        <v>80341</v>
      </c>
      <c r="E17704" s="4" t="s">
        <v>80342</v>
      </c>
      <c r="F17704" s="4" t="s">
        <v>1586</v>
      </c>
      <c r="G17704" s="4" t="s">
        <v>1587</v>
      </c>
      <c r="H17704" s="4">
        <v>87501</v>
      </c>
      <c r="I17704" s="4" t="s">
        <v>30</v>
      </c>
      <c r="J17704" s="4" t="s">
        <v>206</v>
      </c>
      <c r="K17704" s="4" t="s">
        <v>163</v>
      </c>
      <c r="L17704" s="4"/>
      <c r="M17704" s="4"/>
      <c r="N17704" s="4" t="s">
        <v>80343</v>
      </c>
      <c r="O17704" s="4" t="s">
        <v>80344</v>
      </c>
      <c r="P17704" s="4"/>
      <c r="Q17704" s="4">
        <v>0</v>
      </c>
      <c r="R17704" s="4">
        <v>57</v>
      </c>
      <c r="S17704" s="4">
        <v>0</v>
      </c>
      <c r="T17704" s="4" t="s">
        <v>80345</v>
      </c>
      <c r="U17704" s="4"/>
      <c r="V17704" s="4"/>
      <c r="W17704" s="4"/>
      <c r="X17704" s="4"/>
      <c r="Y17704" s="4"/>
    </row>
    <row r="17705" spans="1:25" customFormat="1" x14ac:dyDescent="0.25">
      <c r="A17705" s="4" t="s">
        <v>24</v>
      </c>
      <c r="B17705" s="4" t="s">
        <v>54343</v>
      </c>
      <c r="C17705" s="4" t="str">
        <f>"A0096631"</f>
        <v>A0096631</v>
      </c>
      <c r="D17705" s="4" t="s">
        <v>54344</v>
      </c>
      <c r="E17705" s="4" t="s">
        <v>54345</v>
      </c>
      <c r="F17705" s="4" t="s">
        <v>220</v>
      </c>
      <c r="G17705" s="4" t="s">
        <v>221</v>
      </c>
      <c r="H17705" s="4">
        <v>89109</v>
      </c>
      <c r="I17705" s="4" t="s">
        <v>30</v>
      </c>
      <c r="J17705" s="4" t="s">
        <v>206</v>
      </c>
      <c r="K17705" s="4" t="s">
        <v>163</v>
      </c>
      <c r="L17705" s="4"/>
      <c r="M17705" s="4"/>
      <c r="N17705" s="4" t="s">
        <v>54346</v>
      </c>
      <c r="O17705" s="4" t="s">
        <v>54347</v>
      </c>
      <c r="P17705" s="4"/>
      <c r="Q17705" s="4">
        <v>0</v>
      </c>
      <c r="R17705" s="4">
        <v>0</v>
      </c>
      <c r="S17705" s="4">
        <v>0</v>
      </c>
      <c r="T17705" s="4" t="s">
        <v>54348</v>
      </c>
      <c r="U17705" s="4"/>
      <c r="V17705" s="4"/>
      <c r="W17705" s="4"/>
      <c r="X17705" s="4"/>
      <c r="Y17705" s="4"/>
    </row>
    <row r="17706" spans="1:25" customFormat="1" x14ac:dyDescent="0.25">
      <c r="A17706" s="4" t="s">
        <v>24</v>
      </c>
      <c r="B17706" s="4" t="s">
        <v>14164</v>
      </c>
      <c r="C17706" s="4" t="str">
        <f>"A0085385"</f>
        <v>A0085385</v>
      </c>
      <c r="D17706" s="4" t="s">
        <v>86857</v>
      </c>
      <c r="E17706" s="4" t="s">
        <v>86858</v>
      </c>
      <c r="F17706" s="4" t="s">
        <v>220</v>
      </c>
      <c r="G17706" s="4" t="s">
        <v>221</v>
      </c>
      <c r="H17706" s="4">
        <v>89109</v>
      </c>
      <c r="I17706" s="4" t="s">
        <v>30</v>
      </c>
      <c r="J17706" s="4" t="s">
        <v>206</v>
      </c>
      <c r="K17706" s="4" t="s">
        <v>163</v>
      </c>
      <c r="L17706" s="4"/>
      <c r="M17706" s="4"/>
      <c r="N17706" s="4" t="s">
        <v>86859</v>
      </c>
      <c r="O17706" s="4"/>
      <c r="P17706" s="4"/>
      <c r="Q17706" s="4">
        <v>0</v>
      </c>
      <c r="R17706" s="4">
        <v>1282</v>
      </c>
      <c r="S17706" s="4">
        <v>0</v>
      </c>
      <c r="T17706" s="4" t="s">
        <v>86860</v>
      </c>
      <c r="U17706" s="4"/>
      <c r="V17706" s="4"/>
      <c r="W17706" s="4"/>
      <c r="X17706" s="4"/>
      <c r="Y17706" s="4"/>
    </row>
    <row r="17707" spans="1:25" customFormat="1" x14ac:dyDescent="0.25">
      <c r="A17707" s="4" t="s">
        <v>24</v>
      </c>
      <c r="B17707" s="4" t="s">
        <v>1105</v>
      </c>
      <c r="C17707" s="4" t="str">
        <f>"A0190543"</f>
        <v>A0190543</v>
      </c>
      <c r="D17707" s="4" t="s">
        <v>1118</v>
      </c>
      <c r="E17707" s="4" t="s">
        <v>1119</v>
      </c>
      <c r="F17707" s="4" t="s">
        <v>997</v>
      </c>
      <c r="G17707" s="4" t="s">
        <v>99</v>
      </c>
      <c r="H17707" s="4">
        <v>10022</v>
      </c>
      <c r="I17707" s="4" t="s">
        <v>30</v>
      </c>
      <c r="J17707" s="4" t="s">
        <v>206</v>
      </c>
      <c r="K17707" s="4" t="s">
        <v>163</v>
      </c>
      <c r="L17707" s="4"/>
      <c r="M17707" s="4"/>
      <c r="N17707" s="4" t="s">
        <v>1120</v>
      </c>
      <c r="O17707" s="4" t="s">
        <v>1121</v>
      </c>
      <c r="P17707" s="4"/>
      <c r="Q17707" s="4">
        <v>0</v>
      </c>
      <c r="R17707" s="4">
        <v>822</v>
      </c>
      <c r="S17707" s="4">
        <v>0</v>
      </c>
      <c r="T17707" s="4" t="s">
        <v>1122</v>
      </c>
      <c r="U17707" s="4"/>
      <c r="V17707" s="4"/>
      <c r="W17707" s="4"/>
      <c r="X17707" s="4"/>
      <c r="Y17707" s="4"/>
    </row>
    <row r="17708" spans="1:25" customFormat="1" x14ac:dyDescent="0.25">
      <c r="A17708" s="4" t="s">
        <v>24</v>
      </c>
      <c r="B17708" s="4" t="s">
        <v>675</v>
      </c>
      <c r="C17708" s="4" t="str">
        <f>"A0166504"</f>
        <v>A0166504</v>
      </c>
      <c r="D17708" s="4" t="s">
        <v>3905</v>
      </c>
      <c r="E17708" s="4" t="s">
        <v>3906</v>
      </c>
      <c r="F17708" s="4" t="s">
        <v>3880</v>
      </c>
      <c r="G17708" s="4" t="s">
        <v>99</v>
      </c>
      <c r="H17708" s="4">
        <v>10001</v>
      </c>
      <c r="I17708" s="4" t="s">
        <v>30</v>
      </c>
      <c r="J17708" s="4" t="s">
        <v>206</v>
      </c>
      <c r="K17708" s="4" t="s">
        <v>680</v>
      </c>
      <c r="L17708" s="4"/>
      <c r="M17708" s="4"/>
      <c r="N17708" s="4" t="s">
        <v>3907</v>
      </c>
      <c r="O17708" s="4" t="s">
        <v>3908</v>
      </c>
      <c r="P17708" s="4"/>
      <c r="Q17708" s="4">
        <v>0</v>
      </c>
      <c r="R17708" s="4">
        <v>250</v>
      </c>
      <c r="S17708" s="4">
        <v>0</v>
      </c>
      <c r="T17708" s="4" t="s">
        <v>3909</v>
      </c>
      <c r="U17708" s="4"/>
      <c r="V17708" s="4"/>
      <c r="W17708" s="4"/>
      <c r="X17708" s="4"/>
      <c r="Y17708" s="4"/>
    </row>
    <row r="17709" spans="1:25" customFormat="1" x14ac:dyDescent="0.25">
      <c r="A17709" s="4" t="s">
        <v>24</v>
      </c>
      <c r="B17709" s="4" t="s">
        <v>5655</v>
      </c>
      <c r="C17709" s="4" t="str">
        <f>"A0096672"</f>
        <v>A0096672</v>
      </c>
      <c r="D17709" s="4" t="s">
        <v>5656</v>
      </c>
      <c r="E17709" s="4" t="s">
        <v>5657</v>
      </c>
      <c r="F17709" s="4" t="s">
        <v>997</v>
      </c>
      <c r="G17709" s="4" t="s">
        <v>99</v>
      </c>
      <c r="H17709" s="4">
        <v>10006</v>
      </c>
      <c r="I17709" s="4" t="s">
        <v>30</v>
      </c>
      <c r="J17709" s="4" t="s">
        <v>206</v>
      </c>
      <c r="K17709" s="4" t="s">
        <v>163</v>
      </c>
      <c r="L17709" s="4"/>
      <c r="M17709" s="4"/>
      <c r="N17709" s="4" t="s">
        <v>5658</v>
      </c>
      <c r="O17709" s="4" t="s">
        <v>5659</v>
      </c>
      <c r="P17709" s="4"/>
      <c r="Q17709" s="4">
        <v>0</v>
      </c>
      <c r="R17709" s="4">
        <v>217</v>
      </c>
      <c r="S17709" s="4">
        <v>0</v>
      </c>
      <c r="T17709" s="4" t="s">
        <v>5660</v>
      </c>
      <c r="U17709" s="4"/>
      <c r="V17709" s="4"/>
      <c r="W17709" s="4"/>
      <c r="X17709" s="4"/>
      <c r="Y17709" s="4"/>
    </row>
    <row r="17710" spans="1:25" customFormat="1" x14ac:dyDescent="0.25">
      <c r="A17710" s="4" t="s">
        <v>24</v>
      </c>
      <c r="B17710" s="4" t="s">
        <v>3628</v>
      </c>
      <c r="C17710" s="4" t="str">
        <f>"A0064354"</f>
        <v>A0064354</v>
      </c>
      <c r="D17710" s="4" t="s">
        <v>6456</v>
      </c>
      <c r="E17710" s="4" t="s">
        <v>6457</v>
      </c>
      <c r="F17710" s="4" t="s">
        <v>6458</v>
      </c>
      <c r="G17710" s="4" t="s">
        <v>99</v>
      </c>
      <c r="H17710" s="4">
        <v>10036</v>
      </c>
      <c r="I17710" s="4" t="s">
        <v>30</v>
      </c>
      <c r="J17710" s="4" t="s">
        <v>206</v>
      </c>
      <c r="K17710" s="4" t="s">
        <v>6459</v>
      </c>
      <c r="L17710" s="4"/>
      <c r="M17710" s="4"/>
      <c r="N17710" s="4" t="s">
        <v>6460</v>
      </c>
      <c r="O17710" s="4" t="s">
        <v>6461</v>
      </c>
      <c r="P17710" s="4"/>
      <c r="Q17710" s="4">
        <v>0</v>
      </c>
      <c r="R17710" s="4">
        <v>181</v>
      </c>
      <c r="S17710" s="4">
        <v>0</v>
      </c>
      <c r="T17710" s="4" t="s">
        <v>6462</v>
      </c>
      <c r="U17710" s="4"/>
      <c r="V17710" s="4"/>
      <c r="W17710" s="4"/>
      <c r="X17710" s="4"/>
      <c r="Y17710" s="4"/>
    </row>
    <row r="17711" spans="1:25" customFormat="1" x14ac:dyDescent="0.25">
      <c r="A17711" s="4" t="s">
        <v>24</v>
      </c>
      <c r="B17711" s="4" t="s">
        <v>675</v>
      </c>
      <c r="C17711" s="4" t="str">
        <f>"73R70"</f>
        <v>73R70</v>
      </c>
      <c r="D17711" s="4" t="s">
        <v>6616</v>
      </c>
      <c r="E17711" s="4" t="s">
        <v>6617</v>
      </c>
      <c r="F17711" s="4" t="s">
        <v>997</v>
      </c>
      <c r="G17711" s="4" t="s">
        <v>99</v>
      </c>
      <c r="H17711" s="4">
        <v>10019</v>
      </c>
      <c r="I17711" s="4" t="s">
        <v>30</v>
      </c>
      <c r="J17711" s="4" t="s">
        <v>206</v>
      </c>
      <c r="K17711" s="4" t="s">
        <v>680</v>
      </c>
      <c r="L17711" s="4"/>
      <c r="M17711" s="4"/>
      <c r="N17711" s="4" t="s">
        <v>6618</v>
      </c>
      <c r="O17711" s="4" t="s">
        <v>6619</v>
      </c>
      <c r="P17711" s="4"/>
      <c r="Q17711" s="4">
        <v>0</v>
      </c>
      <c r="R17711" s="4">
        <v>259</v>
      </c>
      <c r="S17711" s="4">
        <v>0</v>
      </c>
      <c r="T17711" s="4" t="s">
        <v>6620</v>
      </c>
      <c r="U17711" s="4"/>
      <c r="V17711" s="4"/>
      <c r="W17711" s="4"/>
      <c r="X17711" s="4"/>
      <c r="Y17711" s="4"/>
    </row>
    <row r="17712" spans="1:25" customFormat="1" x14ac:dyDescent="0.25">
      <c r="A17712" s="4" t="s">
        <v>24</v>
      </c>
      <c r="B17712" s="4" t="s">
        <v>1561</v>
      </c>
      <c r="C17712" s="4" t="str">
        <f>"A0062855"</f>
        <v>A0062855</v>
      </c>
      <c r="D17712" s="4" t="s">
        <v>9915</v>
      </c>
      <c r="E17712" s="4" t="s">
        <v>9916</v>
      </c>
      <c r="F17712" s="4" t="s">
        <v>997</v>
      </c>
      <c r="G17712" s="4" t="s">
        <v>99</v>
      </c>
      <c r="H17712" s="4">
        <v>10017</v>
      </c>
      <c r="I17712" s="4" t="s">
        <v>30</v>
      </c>
      <c r="J17712" s="4" t="s">
        <v>206</v>
      </c>
      <c r="K17712" s="4" t="s">
        <v>6459</v>
      </c>
      <c r="L17712" s="4"/>
      <c r="M17712" s="4"/>
      <c r="N17712" s="4" t="s">
        <v>9917</v>
      </c>
      <c r="O17712" s="4" t="s">
        <v>9918</v>
      </c>
      <c r="P17712" s="4"/>
      <c r="Q17712" s="4">
        <v>0</v>
      </c>
      <c r="R17712" s="4">
        <v>705</v>
      </c>
      <c r="S17712" s="4">
        <v>0</v>
      </c>
      <c r="T17712" s="4" t="s">
        <v>9919</v>
      </c>
      <c r="U17712" s="4"/>
      <c r="V17712" s="4"/>
      <c r="W17712" s="4"/>
      <c r="X17712" s="4"/>
      <c r="Y17712" s="4"/>
    </row>
    <row r="17713" spans="1:25" customFormat="1" x14ac:dyDescent="0.25">
      <c r="A17713" s="4" t="s">
        <v>24</v>
      </c>
      <c r="B17713" s="4" t="s">
        <v>7674</v>
      </c>
      <c r="C17713" s="4" t="str">
        <f>"A0180245"</f>
        <v>A0180245</v>
      </c>
      <c r="D17713" s="4" t="s">
        <v>15393</v>
      </c>
      <c r="E17713" s="4" t="s">
        <v>15394</v>
      </c>
      <c r="F17713" s="4" t="s">
        <v>3880</v>
      </c>
      <c r="G17713" s="4" t="s">
        <v>99</v>
      </c>
      <c r="H17713" s="4">
        <v>10001</v>
      </c>
      <c r="I17713" s="4" t="s">
        <v>30</v>
      </c>
      <c r="J17713" s="4" t="s">
        <v>206</v>
      </c>
      <c r="K17713" s="4" t="s">
        <v>7678</v>
      </c>
      <c r="L17713" s="4"/>
      <c r="M17713" s="4"/>
      <c r="N17713" s="4" t="s">
        <v>15395</v>
      </c>
      <c r="O17713" s="4" t="s">
        <v>15396</v>
      </c>
      <c r="P17713" s="4"/>
      <c r="Q17713" s="4">
        <v>0</v>
      </c>
      <c r="R17713" s="4">
        <v>164</v>
      </c>
      <c r="S17713" s="4">
        <v>0</v>
      </c>
      <c r="T17713" s="4" t="s">
        <v>15397</v>
      </c>
      <c r="U17713" s="4"/>
      <c r="V17713" s="4"/>
      <c r="W17713" s="4"/>
      <c r="X17713" s="4"/>
      <c r="Y17713" s="4"/>
    </row>
    <row r="17714" spans="1:25" customFormat="1" x14ac:dyDescent="0.25">
      <c r="A17714" s="4" t="s">
        <v>24</v>
      </c>
      <c r="B17714" s="4" t="s">
        <v>6611</v>
      </c>
      <c r="C17714" s="4" t="str">
        <f>"A0100768"</f>
        <v>A0100768</v>
      </c>
      <c r="D17714" s="4" t="s">
        <v>32748</v>
      </c>
      <c r="E17714" s="4" t="s">
        <v>32749</v>
      </c>
      <c r="F17714" s="4" t="s">
        <v>997</v>
      </c>
      <c r="G17714" s="4" t="s">
        <v>99</v>
      </c>
      <c r="H17714" s="4">
        <v>10019</v>
      </c>
      <c r="I17714" s="4" t="s">
        <v>30</v>
      </c>
      <c r="J17714" s="4" t="s">
        <v>206</v>
      </c>
      <c r="K17714" s="4" t="s">
        <v>163</v>
      </c>
      <c r="L17714" s="4"/>
      <c r="M17714" s="4"/>
      <c r="N17714" s="4" t="s">
        <v>32750</v>
      </c>
      <c r="O17714" s="4" t="s">
        <v>32751</v>
      </c>
      <c r="P17714" s="4"/>
      <c r="Q17714" s="4">
        <v>0</v>
      </c>
      <c r="R17714" s="4">
        <v>114</v>
      </c>
      <c r="S17714" s="4">
        <v>0</v>
      </c>
      <c r="T17714" s="4" t="s">
        <v>32752</v>
      </c>
      <c r="U17714" s="4"/>
      <c r="V17714" s="4"/>
      <c r="W17714" s="4"/>
      <c r="X17714" s="4"/>
      <c r="Y17714" s="4"/>
    </row>
    <row r="17715" spans="1:25" customFormat="1" x14ac:dyDescent="0.25">
      <c r="A17715" s="4" t="s">
        <v>24</v>
      </c>
      <c r="B17715" s="4" t="s">
        <v>34241</v>
      </c>
      <c r="C17715" s="4" t="str">
        <f>"A0054568"</f>
        <v>A0054568</v>
      </c>
      <c r="D17715" s="4" t="s">
        <v>34242</v>
      </c>
      <c r="E17715" s="4" t="s">
        <v>34243</v>
      </c>
      <c r="F17715" s="4" t="s">
        <v>23833</v>
      </c>
      <c r="G17715" s="4" t="s">
        <v>99</v>
      </c>
      <c r="H17715" s="4">
        <v>10065</v>
      </c>
      <c r="I17715" s="4" t="s">
        <v>30</v>
      </c>
      <c r="J17715" s="4" t="s">
        <v>206</v>
      </c>
      <c r="K17715" s="4" t="s">
        <v>163</v>
      </c>
      <c r="L17715" s="4"/>
      <c r="M17715" s="4"/>
      <c r="N17715" s="4" t="s">
        <v>34244</v>
      </c>
      <c r="O17715" s="4" t="s">
        <v>34245</v>
      </c>
      <c r="P17715" s="4"/>
      <c r="Q17715" s="4">
        <v>0</v>
      </c>
      <c r="R17715" s="4">
        <v>142</v>
      </c>
      <c r="S17715" s="4">
        <v>0</v>
      </c>
      <c r="T17715" s="4" t="s">
        <v>34246</v>
      </c>
      <c r="U17715" s="4"/>
      <c r="V17715" s="4"/>
      <c r="W17715" s="4"/>
      <c r="X17715" s="4"/>
      <c r="Y17715" s="4"/>
    </row>
    <row r="17716" spans="1:25" customFormat="1" x14ac:dyDescent="0.25">
      <c r="A17716" s="4" t="s">
        <v>24</v>
      </c>
      <c r="B17716" s="4" t="s">
        <v>67081</v>
      </c>
      <c r="C17716" s="4" t="str">
        <f>"A0054610"</f>
        <v>A0054610</v>
      </c>
      <c r="D17716" s="4" t="s">
        <v>67086</v>
      </c>
      <c r="E17716" s="4" t="s">
        <v>67087</v>
      </c>
      <c r="F17716" s="4" t="s">
        <v>67088</v>
      </c>
      <c r="G17716" s="4" t="s">
        <v>99</v>
      </c>
      <c r="H17716" s="4">
        <v>11954</v>
      </c>
      <c r="I17716" s="4" t="s">
        <v>30</v>
      </c>
      <c r="J17716" s="4" t="s">
        <v>206</v>
      </c>
      <c r="K17716" s="4" t="s">
        <v>163</v>
      </c>
      <c r="L17716" s="4"/>
      <c r="M17716" s="4"/>
      <c r="N17716" s="4" t="s">
        <v>67089</v>
      </c>
      <c r="O17716" s="4" t="s">
        <v>67090</v>
      </c>
      <c r="P17716" s="4"/>
      <c r="Q17716" s="4">
        <v>0</v>
      </c>
      <c r="R17716" s="4">
        <v>109</v>
      </c>
      <c r="S17716" s="4">
        <v>0</v>
      </c>
      <c r="T17716" s="4" t="s">
        <v>67091</v>
      </c>
      <c r="U17716" s="4"/>
      <c r="V17716" s="4"/>
      <c r="W17716" s="4"/>
      <c r="X17716" s="4"/>
      <c r="Y17716" s="4"/>
    </row>
    <row r="17717" spans="1:25" customFormat="1" x14ac:dyDescent="0.25">
      <c r="A17717" s="4" t="s">
        <v>24</v>
      </c>
      <c r="B17717" s="4" t="s">
        <v>1561</v>
      </c>
      <c r="C17717" s="4" t="str">
        <f>"A0089054"</f>
        <v>A0089054</v>
      </c>
      <c r="D17717" s="4" t="s">
        <v>74311</v>
      </c>
      <c r="E17717" s="4" t="s">
        <v>74312</v>
      </c>
      <c r="F17717" s="4" t="s">
        <v>3880</v>
      </c>
      <c r="G17717" s="4" t="s">
        <v>99</v>
      </c>
      <c r="H17717" s="4">
        <v>10036</v>
      </c>
      <c r="I17717" s="4" t="s">
        <v>30</v>
      </c>
      <c r="J17717" s="4" t="s">
        <v>206</v>
      </c>
      <c r="K17717" s="4" t="s">
        <v>13178</v>
      </c>
      <c r="L17717" s="4"/>
      <c r="M17717" s="4"/>
      <c r="N17717" s="4" t="s">
        <v>74313</v>
      </c>
      <c r="O17717" s="4" t="s">
        <v>74314</v>
      </c>
      <c r="P17717" s="4"/>
      <c r="Q17717" s="4">
        <v>0</v>
      </c>
      <c r="R17717" s="4">
        <v>222</v>
      </c>
      <c r="S17717" s="4">
        <v>0</v>
      </c>
      <c r="T17717" s="4" t="s">
        <v>74315</v>
      </c>
      <c r="U17717" s="4"/>
      <c r="V17717" s="4"/>
      <c r="W17717" s="4"/>
      <c r="X17717" s="4"/>
      <c r="Y17717" s="4"/>
    </row>
    <row r="17718" spans="1:25" customFormat="1" x14ac:dyDescent="0.25">
      <c r="A17718" s="4" t="s">
        <v>24</v>
      </c>
      <c r="B17718" s="4" t="s">
        <v>10087</v>
      </c>
      <c r="C17718" s="4" t="str">
        <f>"A0065027"</f>
        <v>A0065027</v>
      </c>
      <c r="D17718" s="4" t="s">
        <v>75418</v>
      </c>
      <c r="E17718" s="4" t="s">
        <v>75419</v>
      </c>
      <c r="F17718" s="4" t="s">
        <v>997</v>
      </c>
      <c r="G17718" s="4" t="s">
        <v>99</v>
      </c>
      <c r="H17718" s="4">
        <v>10023</v>
      </c>
      <c r="I17718" s="4" t="s">
        <v>30</v>
      </c>
      <c r="J17718" s="4" t="s">
        <v>206</v>
      </c>
      <c r="K17718" s="4" t="s">
        <v>10093</v>
      </c>
      <c r="L17718" s="4"/>
      <c r="M17718" s="4"/>
      <c r="N17718" s="4" t="s">
        <v>75420</v>
      </c>
      <c r="O17718" s="4" t="s">
        <v>75421</v>
      </c>
      <c r="P17718" s="4"/>
      <c r="Q17718" s="4">
        <v>0</v>
      </c>
      <c r="R17718" s="4">
        <v>248</v>
      </c>
      <c r="S17718" s="4">
        <v>0</v>
      </c>
      <c r="T17718" s="4" t="s">
        <v>75422</v>
      </c>
      <c r="U17718" s="4"/>
      <c r="V17718" s="4"/>
      <c r="W17718" s="4"/>
      <c r="X17718" s="4"/>
      <c r="Y17718" s="4"/>
    </row>
    <row r="17719" spans="1:25" customFormat="1" x14ac:dyDescent="0.25">
      <c r="A17719" s="4" t="s">
        <v>24</v>
      </c>
      <c r="B17719" s="4" t="s">
        <v>76601</v>
      </c>
      <c r="C17719" s="4" t="str">
        <f>"A0101078"</f>
        <v>A0101078</v>
      </c>
      <c r="D17719" s="4" t="s">
        <v>76602</v>
      </c>
      <c r="E17719" s="4" t="s">
        <v>76603</v>
      </c>
      <c r="F17719" s="4" t="s">
        <v>997</v>
      </c>
      <c r="G17719" s="4" t="s">
        <v>99</v>
      </c>
      <c r="H17719" s="4">
        <v>10038</v>
      </c>
      <c r="I17719" s="4" t="s">
        <v>30</v>
      </c>
      <c r="J17719" s="4" t="s">
        <v>206</v>
      </c>
      <c r="K17719" s="4" t="s">
        <v>163</v>
      </c>
      <c r="L17719" s="4"/>
      <c r="M17719" s="4"/>
      <c r="N17719" s="4" t="s">
        <v>76604</v>
      </c>
      <c r="O17719" s="4" t="s">
        <v>76605</v>
      </c>
      <c r="P17719" s="4"/>
      <c r="Q17719" s="4">
        <v>0</v>
      </c>
      <c r="R17719" s="4">
        <v>66</v>
      </c>
      <c r="S17719" s="4">
        <v>0</v>
      </c>
      <c r="T17719" s="4" t="s">
        <v>76606</v>
      </c>
      <c r="U17719" s="4"/>
      <c r="V17719" s="4"/>
      <c r="W17719" s="4"/>
      <c r="X17719" s="4"/>
      <c r="Y17719" s="4"/>
    </row>
    <row r="17720" spans="1:25" customFormat="1" x14ac:dyDescent="0.25">
      <c r="A17720" s="4" t="s">
        <v>24</v>
      </c>
      <c r="B17720" s="4" t="s">
        <v>2011</v>
      </c>
      <c r="C17720" s="4" t="str">
        <f>"A0092390"</f>
        <v>A0092390</v>
      </c>
      <c r="D17720" s="4" t="s">
        <v>77232</v>
      </c>
      <c r="E17720" s="4" t="s">
        <v>77233</v>
      </c>
      <c r="F17720" s="4" t="s">
        <v>997</v>
      </c>
      <c r="G17720" s="4" t="s">
        <v>99</v>
      </c>
      <c r="H17720" s="4">
        <v>10019</v>
      </c>
      <c r="I17720" s="4" t="s">
        <v>30</v>
      </c>
      <c r="J17720" s="4" t="s">
        <v>206</v>
      </c>
      <c r="K17720" s="4" t="s">
        <v>77217</v>
      </c>
      <c r="L17720" s="4"/>
      <c r="M17720" s="4"/>
      <c r="N17720" s="4" t="s">
        <v>77234</v>
      </c>
      <c r="O17720" s="4" t="s">
        <v>77235</v>
      </c>
      <c r="P17720" s="4"/>
      <c r="Q17720" s="4">
        <v>0</v>
      </c>
      <c r="R17720" s="4">
        <v>210</v>
      </c>
      <c r="S17720" s="4">
        <v>0</v>
      </c>
      <c r="T17720" s="4" t="s">
        <v>77236</v>
      </c>
      <c r="U17720" s="4"/>
      <c r="V17720" s="4"/>
      <c r="W17720" s="4"/>
      <c r="X17720" s="4"/>
      <c r="Y17720" s="4"/>
    </row>
    <row r="17721" spans="1:25" customFormat="1" x14ac:dyDescent="0.25">
      <c r="A17721" s="4" t="s">
        <v>24</v>
      </c>
      <c r="B17721" s="4" t="s">
        <v>77331</v>
      </c>
      <c r="C17721" s="4" t="str">
        <f>"A0063514"</f>
        <v>A0063514</v>
      </c>
      <c r="D17721" s="4" t="s">
        <v>77343</v>
      </c>
      <c r="E17721" s="4" t="s">
        <v>77344</v>
      </c>
      <c r="F17721" s="4" t="s">
        <v>997</v>
      </c>
      <c r="G17721" s="4" t="s">
        <v>99</v>
      </c>
      <c r="H17721" s="4">
        <v>10019</v>
      </c>
      <c r="I17721" s="4" t="s">
        <v>30</v>
      </c>
      <c r="J17721" s="4" t="s">
        <v>206</v>
      </c>
      <c r="K17721" s="4" t="s">
        <v>77334</v>
      </c>
      <c r="L17721" s="4"/>
      <c r="M17721" s="4"/>
      <c r="N17721" s="4" t="s">
        <v>77345</v>
      </c>
      <c r="O17721" s="4" t="s">
        <v>77346</v>
      </c>
      <c r="P17721" s="4"/>
      <c r="Q17721" s="4">
        <v>0</v>
      </c>
      <c r="R17721" s="4">
        <v>239</v>
      </c>
      <c r="S17721" s="4">
        <v>0</v>
      </c>
      <c r="T17721" s="4" t="s">
        <v>77347</v>
      </c>
      <c r="U17721" s="4"/>
      <c r="V17721" s="4"/>
      <c r="W17721" s="4"/>
      <c r="X17721" s="4"/>
      <c r="Y17721" s="4"/>
    </row>
    <row r="17722" spans="1:25" customFormat="1" x14ac:dyDescent="0.25">
      <c r="A17722" s="4" t="s">
        <v>24</v>
      </c>
      <c r="B17722" s="4" t="s">
        <v>1567</v>
      </c>
      <c r="C17722" s="4" t="str">
        <f>"A0098836"</f>
        <v>A0098836</v>
      </c>
      <c r="D17722" s="4" t="s">
        <v>78084</v>
      </c>
      <c r="E17722" s="4" t="s">
        <v>78085</v>
      </c>
      <c r="F17722" s="4" t="s">
        <v>58800</v>
      </c>
      <c r="G17722" s="4" t="s">
        <v>99</v>
      </c>
      <c r="H17722" s="4">
        <v>14226</v>
      </c>
      <c r="I17722" s="4" t="s">
        <v>30</v>
      </c>
      <c r="J17722" s="4" t="s">
        <v>206</v>
      </c>
      <c r="K17722" s="4" t="s">
        <v>3447</v>
      </c>
      <c r="L17722" s="4"/>
      <c r="M17722" s="4"/>
      <c r="N17722" s="4" t="s">
        <v>78086</v>
      </c>
      <c r="O17722" s="4" t="s">
        <v>78087</v>
      </c>
      <c r="P17722" s="4"/>
      <c r="Q17722" s="4">
        <v>0</v>
      </c>
      <c r="R17722" s="4">
        <v>92</v>
      </c>
      <c r="S17722" s="4">
        <v>0</v>
      </c>
      <c r="T17722" s="4" t="s">
        <v>78088</v>
      </c>
      <c r="U17722" s="4"/>
      <c r="V17722" s="4"/>
      <c r="W17722" s="4"/>
      <c r="X17722" s="4"/>
      <c r="Y17722" s="4"/>
    </row>
    <row r="17723" spans="1:25" customFormat="1" x14ac:dyDescent="0.25">
      <c r="A17723" s="4" t="s">
        <v>24</v>
      </c>
      <c r="B17723" s="4" t="s">
        <v>6635</v>
      </c>
      <c r="C17723" s="4" t="str">
        <f>"A0076986"</f>
        <v>A0076986</v>
      </c>
      <c r="D17723" s="4" t="s">
        <v>83980</v>
      </c>
      <c r="E17723" s="4" t="s">
        <v>83981</v>
      </c>
      <c r="F17723" s="4" t="s">
        <v>997</v>
      </c>
      <c r="G17723" s="4" t="s">
        <v>99</v>
      </c>
      <c r="H17723" s="4">
        <v>10021</v>
      </c>
      <c r="I17723" s="4" t="s">
        <v>30</v>
      </c>
      <c r="J17723" s="4" t="s">
        <v>206</v>
      </c>
      <c r="K17723" s="4" t="s">
        <v>163</v>
      </c>
      <c r="L17723" s="4"/>
      <c r="M17723" s="4"/>
      <c r="N17723" s="4" t="s">
        <v>83982</v>
      </c>
      <c r="O17723" s="4" t="s">
        <v>83983</v>
      </c>
      <c r="P17723" s="4"/>
      <c r="Q17723" s="4">
        <v>0</v>
      </c>
      <c r="R17723" s="4">
        <v>187</v>
      </c>
      <c r="S17723" s="4">
        <v>0</v>
      </c>
      <c r="T17723" s="4" t="s">
        <v>83984</v>
      </c>
      <c r="U17723" s="4"/>
      <c r="V17723" s="4"/>
      <c r="W17723" s="4"/>
      <c r="X17723" s="4"/>
      <c r="Y17723" s="4"/>
    </row>
    <row r="17724" spans="1:25" customFormat="1" x14ac:dyDescent="0.25">
      <c r="A17724" s="4" t="s">
        <v>24</v>
      </c>
      <c r="B17724" s="4" t="s">
        <v>675</v>
      </c>
      <c r="C17724" s="4" t="str">
        <f>"A0091909"</f>
        <v>A0091909</v>
      </c>
      <c r="D17724" s="4" t="s">
        <v>84053</v>
      </c>
      <c r="E17724" s="4" t="s">
        <v>84054</v>
      </c>
      <c r="F17724" s="4" t="s">
        <v>997</v>
      </c>
      <c r="G17724" s="4" t="s">
        <v>99</v>
      </c>
      <c r="H17724" s="4">
        <v>10010</v>
      </c>
      <c r="I17724" s="4" t="s">
        <v>30</v>
      </c>
      <c r="J17724" s="4" t="s">
        <v>206</v>
      </c>
      <c r="K17724" s="4" t="s">
        <v>3956</v>
      </c>
      <c r="L17724" s="4"/>
      <c r="M17724" s="4"/>
      <c r="N17724" s="4" t="s">
        <v>84055</v>
      </c>
      <c r="O17724" s="4" t="s">
        <v>84056</v>
      </c>
      <c r="P17724" s="4"/>
      <c r="Q17724" s="4">
        <v>0</v>
      </c>
      <c r="R17724" s="4">
        <v>273</v>
      </c>
      <c r="S17724" s="4">
        <v>0</v>
      </c>
      <c r="T17724" s="4" t="s">
        <v>84057</v>
      </c>
      <c r="U17724" s="4"/>
      <c r="V17724" s="4"/>
      <c r="W17724" s="4"/>
      <c r="X17724" s="4"/>
      <c r="Y17724" s="4"/>
    </row>
    <row r="17725" spans="1:25" customFormat="1" x14ac:dyDescent="0.25">
      <c r="A17725" s="4" t="s">
        <v>24</v>
      </c>
      <c r="B17725" s="4" t="s">
        <v>2380</v>
      </c>
      <c r="C17725" s="4" t="str">
        <f>"A0093198"</f>
        <v>A0093198</v>
      </c>
      <c r="D17725" s="4" t="s">
        <v>84580</v>
      </c>
      <c r="E17725" s="4" t="s">
        <v>84581</v>
      </c>
      <c r="F17725" s="4" t="s">
        <v>997</v>
      </c>
      <c r="G17725" s="4" t="s">
        <v>99</v>
      </c>
      <c r="H17725" s="4">
        <v>10036</v>
      </c>
      <c r="I17725" s="4" t="s">
        <v>30</v>
      </c>
      <c r="J17725" s="4" t="s">
        <v>206</v>
      </c>
      <c r="K17725" s="4" t="s">
        <v>163</v>
      </c>
      <c r="L17725" s="4"/>
      <c r="M17725" s="4"/>
      <c r="N17725" s="4" t="s">
        <v>84582</v>
      </c>
      <c r="O17725" s="4" t="s">
        <v>84583</v>
      </c>
      <c r="P17725" s="4"/>
      <c r="Q17725" s="4">
        <v>0</v>
      </c>
      <c r="R17725" s="4">
        <v>330</v>
      </c>
      <c r="S17725" s="4">
        <v>0</v>
      </c>
      <c r="T17725" s="4" t="s">
        <v>2029</v>
      </c>
      <c r="U17725" s="4"/>
      <c r="V17725" s="4"/>
      <c r="W17725" s="4"/>
      <c r="X17725" s="4"/>
      <c r="Y17725" s="4"/>
    </row>
    <row r="17726" spans="1:25" customFormat="1" x14ac:dyDescent="0.25">
      <c r="A17726" s="4" t="s">
        <v>24</v>
      </c>
      <c r="B17726" s="4" t="s">
        <v>57973</v>
      </c>
      <c r="C17726" s="4" t="str">
        <f>"A0093854"</f>
        <v>A0093854</v>
      </c>
      <c r="D17726" s="4" t="s">
        <v>84597</v>
      </c>
      <c r="E17726" s="4" t="s">
        <v>84598</v>
      </c>
      <c r="F17726" s="4" t="s">
        <v>3880</v>
      </c>
      <c r="G17726" s="4" t="s">
        <v>99</v>
      </c>
      <c r="H17726" s="4">
        <v>10018</v>
      </c>
      <c r="I17726" s="4" t="s">
        <v>30</v>
      </c>
      <c r="J17726" s="4" t="s">
        <v>206</v>
      </c>
      <c r="K17726" s="4" t="s">
        <v>163</v>
      </c>
      <c r="L17726" s="4"/>
      <c r="M17726" s="4"/>
      <c r="N17726" s="4" t="s">
        <v>84599</v>
      </c>
      <c r="O17726" s="4" t="s">
        <v>84600</v>
      </c>
      <c r="P17726" s="4"/>
      <c r="Q17726" s="4">
        <v>0</v>
      </c>
      <c r="R17726" s="4">
        <v>234</v>
      </c>
      <c r="S17726" s="4">
        <v>0</v>
      </c>
      <c r="T17726" s="4" t="s">
        <v>84601</v>
      </c>
      <c r="U17726" s="4"/>
      <c r="V17726" s="4"/>
      <c r="W17726" s="4"/>
      <c r="X17726" s="4"/>
      <c r="Y17726" s="4"/>
    </row>
    <row r="17727" spans="1:25" customFormat="1" x14ac:dyDescent="0.25">
      <c r="A17727" s="4" t="s">
        <v>24</v>
      </c>
      <c r="B17727" s="4" t="s">
        <v>1548</v>
      </c>
      <c r="C17727" s="4" t="str">
        <f>"A0084846"</f>
        <v>A0084846</v>
      </c>
      <c r="D17727" s="4" t="s">
        <v>84814</v>
      </c>
      <c r="E17727" s="4" t="s">
        <v>84815</v>
      </c>
      <c r="F17727" s="4" t="s">
        <v>35175</v>
      </c>
      <c r="G17727" s="4" t="s">
        <v>99</v>
      </c>
      <c r="H17727" s="4">
        <v>10601</v>
      </c>
      <c r="I17727" s="4" t="s">
        <v>30</v>
      </c>
      <c r="J17727" s="4" t="s">
        <v>206</v>
      </c>
      <c r="K17727" s="4" t="s">
        <v>6459</v>
      </c>
      <c r="L17727" s="4"/>
      <c r="M17727" s="4"/>
      <c r="N17727" s="4" t="s">
        <v>84816</v>
      </c>
      <c r="O17727" s="4" t="s">
        <v>84817</v>
      </c>
      <c r="P17727" s="4"/>
      <c r="Q17727" s="4">
        <v>0</v>
      </c>
      <c r="R17727" s="4">
        <v>122</v>
      </c>
      <c r="S17727" s="4">
        <v>0</v>
      </c>
      <c r="T17727" s="4" t="s">
        <v>84818</v>
      </c>
      <c r="U17727" s="4"/>
      <c r="V17727" s="4"/>
      <c r="W17727" s="4"/>
      <c r="X17727" s="4"/>
      <c r="Y17727" s="4"/>
    </row>
    <row r="17728" spans="1:25" customFormat="1" x14ac:dyDescent="0.25">
      <c r="A17728" s="4" t="s">
        <v>24</v>
      </c>
      <c r="B17728" s="4" t="s">
        <v>13304</v>
      </c>
      <c r="C17728" s="4" t="str">
        <f>"FM005"</f>
        <v>FM005</v>
      </c>
      <c r="D17728" s="4" t="s">
        <v>84873</v>
      </c>
      <c r="E17728" s="4" t="s">
        <v>84874</v>
      </c>
      <c r="F17728" s="4" t="s">
        <v>997</v>
      </c>
      <c r="G17728" s="4" t="s">
        <v>99</v>
      </c>
      <c r="H17728" s="4">
        <v>10019</v>
      </c>
      <c r="I17728" s="4" t="s">
        <v>30</v>
      </c>
      <c r="J17728" s="4" t="s">
        <v>206</v>
      </c>
      <c r="K17728" s="4" t="s">
        <v>32744</v>
      </c>
      <c r="L17728" s="4"/>
      <c r="M17728" s="4"/>
      <c r="N17728" s="4" t="s">
        <v>84875</v>
      </c>
      <c r="O17728" s="4" t="s">
        <v>84876</v>
      </c>
      <c r="P17728" s="4"/>
      <c r="Q17728" s="4">
        <v>0</v>
      </c>
      <c r="R17728" s="4">
        <v>282</v>
      </c>
      <c r="S17728" s="4">
        <v>0</v>
      </c>
      <c r="T17728" s="4" t="s">
        <v>84877</v>
      </c>
      <c r="U17728" s="4"/>
      <c r="V17728" s="4"/>
      <c r="W17728" s="4"/>
      <c r="X17728" s="4"/>
      <c r="Y17728" s="4"/>
    </row>
    <row r="17729" spans="1:25" customFormat="1" x14ac:dyDescent="0.25">
      <c r="A17729" s="4" t="s">
        <v>24</v>
      </c>
      <c r="B17729" s="4" t="s">
        <v>675</v>
      </c>
      <c r="C17729" s="4" t="str">
        <f>"A0068235"</f>
        <v>A0068235</v>
      </c>
      <c r="D17729" s="4" t="s">
        <v>85325</v>
      </c>
      <c r="E17729" s="4" t="s">
        <v>85326</v>
      </c>
      <c r="F17729" s="4" t="s">
        <v>23833</v>
      </c>
      <c r="G17729" s="4" t="s">
        <v>99</v>
      </c>
      <c r="H17729" s="4">
        <v>10022</v>
      </c>
      <c r="I17729" s="4" t="s">
        <v>30</v>
      </c>
      <c r="J17729" s="4" t="s">
        <v>206</v>
      </c>
      <c r="K17729" s="4" t="s">
        <v>5338</v>
      </c>
      <c r="L17729" s="4"/>
      <c r="M17729" s="4"/>
      <c r="N17729" s="4" t="s">
        <v>85327</v>
      </c>
      <c r="O17729" s="4" t="s">
        <v>85328</v>
      </c>
      <c r="P17729" s="4"/>
      <c r="Q17729" s="4">
        <v>0</v>
      </c>
      <c r="R17729" s="4">
        <v>238</v>
      </c>
      <c r="S17729" s="4">
        <v>0</v>
      </c>
      <c r="T17729" s="4" t="s">
        <v>85329</v>
      </c>
      <c r="U17729" s="4"/>
      <c r="V17729" s="4"/>
      <c r="W17729" s="4"/>
      <c r="X17729" s="4"/>
      <c r="Y17729" s="4"/>
    </row>
    <row r="17730" spans="1:25" customFormat="1" x14ac:dyDescent="0.25">
      <c r="A17730" s="4" t="s">
        <v>24</v>
      </c>
      <c r="B17730" s="4" t="s">
        <v>675</v>
      </c>
      <c r="C17730" s="4" t="str">
        <f>"A0148483"</f>
        <v>A0148483</v>
      </c>
      <c r="D17730" s="4" t="s">
        <v>85368</v>
      </c>
      <c r="E17730" s="4" t="s">
        <v>85369</v>
      </c>
      <c r="F17730" s="4" t="s">
        <v>997</v>
      </c>
      <c r="G17730" s="4" t="s">
        <v>99</v>
      </c>
      <c r="H17730" s="4">
        <v>10036</v>
      </c>
      <c r="I17730" s="4" t="s">
        <v>30</v>
      </c>
      <c r="J17730" s="4" t="s">
        <v>206</v>
      </c>
      <c r="K17730" s="4" t="s">
        <v>3956</v>
      </c>
      <c r="L17730" s="4"/>
      <c r="M17730" s="4"/>
      <c r="N17730" s="4" t="s">
        <v>85370</v>
      </c>
      <c r="O17730" s="4" t="s">
        <v>85371</v>
      </c>
      <c r="P17730" s="4"/>
      <c r="Q17730" s="4">
        <v>0</v>
      </c>
      <c r="R17730" s="4">
        <v>457</v>
      </c>
      <c r="S17730" s="4">
        <v>0</v>
      </c>
      <c r="T17730" s="4" t="s">
        <v>85372</v>
      </c>
      <c r="U17730" s="4"/>
      <c r="V17730" s="4"/>
      <c r="W17730" s="4"/>
      <c r="X17730" s="4"/>
      <c r="Y17730" s="4"/>
    </row>
    <row r="17731" spans="1:25" customFormat="1" x14ac:dyDescent="0.25">
      <c r="A17731" s="4" t="s">
        <v>24</v>
      </c>
      <c r="B17731" s="4" t="s">
        <v>5104</v>
      </c>
      <c r="C17731" s="4" t="str">
        <f>"A0157404"</f>
        <v>A0157404</v>
      </c>
      <c r="D17731" s="4" t="s">
        <v>85429</v>
      </c>
      <c r="E17731" s="4" t="s">
        <v>85430</v>
      </c>
      <c r="F17731" s="4" t="s">
        <v>997</v>
      </c>
      <c r="G17731" s="4" t="s">
        <v>99</v>
      </c>
      <c r="H17731" s="4">
        <v>10005</v>
      </c>
      <c r="I17731" s="4" t="s">
        <v>30</v>
      </c>
      <c r="J17731" s="4" t="s">
        <v>206</v>
      </c>
      <c r="K17731" s="4" t="s">
        <v>163</v>
      </c>
      <c r="L17731" s="4"/>
      <c r="M17731" s="4"/>
      <c r="N17731" s="4" t="s">
        <v>85431</v>
      </c>
      <c r="O17731" s="4" t="s">
        <v>85432</v>
      </c>
      <c r="P17731" s="4"/>
      <c r="Q17731" s="4">
        <v>0</v>
      </c>
      <c r="R17731" s="4">
        <v>181</v>
      </c>
      <c r="S17731" s="4">
        <v>0</v>
      </c>
      <c r="T17731" s="4" t="s">
        <v>85433</v>
      </c>
      <c r="U17731" s="4"/>
      <c r="V17731" s="4"/>
      <c r="W17731" s="4"/>
      <c r="X17731" s="4"/>
      <c r="Y17731" s="4"/>
    </row>
    <row r="17732" spans="1:25" customFormat="1" x14ac:dyDescent="0.25">
      <c r="A17732" s="4" t="s">
        <v>24</v>
      </c>
      <c r="B17732" s="4" t="s">
        <v>675</v>
      </c>
      <c r="C17732" s="4" t="str">
        <f>"A0084512"</f>
        <v>A0084512</v>
      </c>
      <c r="D17732" s="4" t="s">
        <v>87246</v>
      </c>
      <c r="E17732" s="4" t="s">
        <v>87247</v>
      </c>
      <c r="F17732" s="4" t="s">
        <v>23833</v>
      </c>
      <c r="G17732" s="4" t="s">
        <v>99</v>
      </c>
      <c r="H17732" s="4">
        <v>10036</v>
      </c>
      <c r="I17732" s="4" t="s">
        <v>30</v>
      </c>
      <c r="J17732" s="4" t="s">
        <v>206</v>
      </c>
      <c r="K17732" s="4" t="s">
        <v>16717</v>
      </c>
      <c r="L17732" s="4"/>
      <c r="M17732" s="4"/>
      <c r="N17732" s="4" t="s">
        <v>78342</v>
      </c>
      <c r="O17732" s="4" t="s">
        <v>87248</v>
      </c>
      <c r="P17732" s="4"/>
      <c r="Q17732" s="4">
        <v>0</v>
      </c>
      <c r="R17732" s="4">
        <v>509</v>
      </c>
      <c r="S17732" s="4">
        <v>0</v>
      </c>
      <c r="T17732" s="4" t="s">
        <v>87249</v>
      </c>
      <c r="U17732" s="4"/>
      <c r="V17732" s="4"/>
      <c r="W17732" s="4"/>
      <c r="X17732" s="4"/>
      <c r="Y17732" s="4"/>
    </row>
    <row r="17733" spans="1:25" customFormat="1" x14ac:dyDescent="0.25">
      <c r="A17733" s="4" t="s">
        <v>24</v>
      </c>
      <c r="B17733" s="4" t="s">
        <v>675</v>
      </c>
      <c r="C17733" s="4" t="str">
        <f>"A0086051"</f>
        <v>A0086051</v>
      </c>
      <c r="D17733" s="4" t="s">
        <v>87250</v>
      </c>
      <c r="E17733" s="4" t="s">
        <v>87251</v>
      </c>
      <c r="F17733" s="4" t="s">
        <v>23833</v>
      </c>
      <c r="G17733" s="4" t="s">
        <v>99</v>
      </c>
      <c r="H17733" s="4">
        <v>10003</v>
      </c>
      <c r="I17733" s="4" t="s">
        <v>30</v>
      </c>
      <c r="J17733" s="4" t="s">
        <v>206</v>
      </c>
      <c r="K17733" s="4" t="s">
        <v>16717</v>
      </c>
      <c r="L17733" s="4"/>
      <c r="M17733" s="4"/>
      <c r="N17733" s="4" t="s">
        <v>87252</v>
      </c>
      <c r="O17733" s="4" t="s">
        <v>78342</v>
      </c>
      <c r="P17733" s="4"/>
      <c r="Q17733" s="4">
        <v>0</v>
      </c>
      <c r="R17733" s="4">
        <v>270</v>
      </c>
      <c r="S17733" s="4">
        <v>0</v>
      </c>
      <c r="T17733" s="4" t="s">
        <v>87253</v>
      </c>
      <c r="U17733" s="4"/>
      <c r="V17733" s="4"/>
      <c r="W17733" s="4"/>
      <c r="X17733" s="4"/>
      <c r="Y17733" s="4"/>
    </row>
    <row r="17734" spans="1:25" customFormat="1" x14ac:dyDescent="0.25">
      <c r="A17734" s="4" t="s">
        <v>24</v>
      </c>
      <c r="B17734" s="4" t="s">
        <v>2583</v>
      </c>
      <c r="C17734" s="4" t="str">
        <f>"A0094539"</f>
        <v>A0094539</v>
      </c>
      <c r="D17734" s="4" t="s">
        <v>72598</v>
      </c>
      <c r="E17734" s="4" t="s">
        <v>7561</v>
      </c>
      <c r="F17734" s="4" t="s">
        <v>1525</v>
      </c>
      <c r="G17734" s="4" t="s">
        <v>65</v>
      </c>
      <c r="H17734" s="4">
        <v>43215</v>
      </c>
      <c r="I17734" s="4" t="s">
        <v>30</v>
      </c>
      <c r="J17734" s="4" t="s">
        <v>206</v>
      </c>
      <c r="K17734" s="4" t="s">
        <v>6459</v>
      </c>
      <c r="L17734" s="4"/>
      <c r="M17734" s="4"/>
      <c r="N17734" s="4" t="s">
        <v>72599</v>
      </c>
      <c r="O17734" s="4" t="s">
        <v>72600</v>
      </c>
      <c r="P17734" s="4"/>
      <c r="Q17734" s="4">
        <v>0</v>
      </c>
      <c r="R17734" s="4">
        <v>149</v>
      </c>
      <c r="S17734" s="4">
        <v>0</v>
      </c>
      <c r="T17734" s="4" t="s">
        <v>72601</v>
      </c>
      <c r="U17734" s="4"/>
      <c r="V17734" s="4"/>
      <c r="W17734" s="4"/>
      <c r="X17734" s="4"/>
      <c r="Y17734" s="4"/>
    </row>
    <row r="17735" spans="1:25" customFormat="1" x14ac:dyDescent="0.25">
      <c r="A17735" s="4" t="s">
        <v>24</v>
      </c>
      <c r="B17735" s="4" t="s">
        <v>1849</v>
      </c>
      <c r="C17735" s="4" t="str">
        <f>"A0096543"</f>
        <v>A0096543</v>
      </c>
      <c r="D17735" s="4" t="s">
        <v>84682</v>
      </c>
      <c r="E17735" s="4" t="s">
        <v>84683</v>
      </c>
      <c r="F17735" s="4" t="s">
        <v>13716</v>
      </c>
      <c r="G17735" s="4" t="s">
        <v>65</v>
      </c>
      <c r="H17735" s="4">
        <v>45202</v>
      </c>
      <c r="I17735" s="4" t="s">
        <v>30</v>
      </c>
      <c r="J17735" s="4" t="s">
        <v>206</v>
      </c>
      <c r="K17735" s="4" t="s">
        <v>6459</v>
      </c>
      <c r="L17735" s="4"/>
      <c r="M17735" s="4"/>
      <c r="N17735" s="4" t="s">
        <v>84684</v>
      </c>
      <c r="O17735" s="4" t="s">
        <v>84685</v>
      </c>
      <c r="P17735" s="4"/>
      <c r="Q17735" s="4">
        <v>0</v>
      </c>
      <c r="R17735" s="4">
        <v>106</v>
      </c>
      <c r="S17735" s="4">
        <v>0</v>
      </c>
      <c r="T17735" s="4" t="s">
        <v>15245</v>
      </c>
      <c r="U17735" s="4"/>
      <c r="V17735" s="4"/>
      <c r="W17735" s="4"/>
      <c r="X17735" s="4"/>
      <c r="Y17735" s="4"/>
    </row>
    <row r="17736" spans="1:25" x14ac:dyDescent="0.25">
      <c r="A17736" s="3" t="s">
        <v>24</v>
      </c>
      <c r="B17736" s="3" t="s">
        <v>7239</v>
      </c>
      <c r="C17736" s="3" t="str">
        <f>"A0093406"</f>
        <v>A0093406</v>
      </c>
      <c r="D17736" s="3" t="s">
        <v>84738</v>
      </c>
      <c r="E17736" s="3" t="s">
        <v>84739</v>
      </c>
      <c r="F17736" s="3" t="s">
        <v>6883</v>
      </c>
      <c r="G17736" s="3" t="s">
        <v>65</v>
      </c>
      <c r="H17736" s="3">
        <v>44115</v>
      </c>
      <c r="I17736" s="3" t="s">
        <v>30</v>
      </c>
      <c r="J17736" s="3" t="s">
        <v>206</v>
      </c>
      <c r="K17736" s="3" t="s">
        <v>6459</v>
      </c>
      <c r="N17736" s="3" t="s">
        <v>72646</v>
      </c>
      <c r="O17736" s="3" t="s">
        <v>84740</v>
      </c>
      <c r="Q17736" s="3">
        <v>0</v>
      </c>
      <c r="R17736" s="3">
        <v>156</v>
      </c>
      <c r="S17736" s="3">
        <v>0</v>
      </c>
      <c r="T17736" s="3" t="s">
        <v>84741</v>
      </c>
    </row>
    <row r="17737" spans="1:25" customFormat="1" x14ac:dyDescent="0.25">
      <c r="A17737" s="4" t="s">
        <v>24</v>
      </c>
      <c r="B17737" s="4" t="s">
        <v>675</v>
      </c>
      <c r="C17737" s="4" t="str">
        <f>"73R18"</f>
        <v>73R18</v>
      </c>
      <c r="D17737" s="4" t="s">
        <v>85072</v>
      </c>
      <c r="E17737" s="4" t="s">
        <v>85073</v>
      </c>
      <c r="F17737" s="4" t="s">
        <v>6883</v>
      </c>
      <c r="G17737" s="4" t="s">
        <v>65</v>
      </c>
      <c r="H17737" s="4">
        <v>44113</v>
      </c>
      <c r="I17737" s="4" t="s">
        <v>30</v>
      </c>
      <c r="J17737" s="4" t="s">
        <v>206</v>
      </c>
      <c r="K17737" s="4" t="s">
        <v>680</v>
      </c>
      <c r="L17737" s="4"/>
      <c r="M17737" s="4"/>
      <c r="N17737" s="4" t="s">
        <v>85050</v>
      </c>
      <c r="O17737" s="4"/>
      <c r="P17737" s="4"/>
      <c r="Q17737" s="4">
        <v>0</v>
      </c>
      <c r="R17737" s="4">
        <v>208</v>
      </c>
      <c r="S17737" s="4">
        <v>0</v>
      </c>
      <c r="T17737" s="4" t="s">
        <v>85074</v>
      </c>
      <c r="U17737" s="4"/>
      <c r="V17737" s="4"/>
      <c r="W17737" s="4"/>
      <c r="X17737" s="4"/>
      <c r="Y17737" s="4"/>
    </row>
    <row r="17738" spans="1:25" customFormat="1" ht="15" x14ac:dyDescent="0.25">
      <c r="A17738" t="s">
        <v>24</v>
      </c>
      <c r="B17738" t="s">
        <v>56103</v>
      </c>
      <c r="C17738" t="str">
        <f>"A0064642"</f>
        <v>A0064642</v>
      </c>
      <c r="D17738" t="s">
        <v>64324</v>
      </c>
      <c r="E17738" t="s">
        <v>64325</v>
      </c>
      <c r="F17738" t="s">
        <v>64326</v>
      </c>
      <c r="G17738" t="s">
        <v>110</v>
      </c>
      <c r="H17738">
        <v>95630</v>
      </c>
      <c r="I17738" t="s">
        <v>30</v>
      </c>
      <c r="J17738" t="s">
        <v>2415</v>
      </c>
      <c r="K17738" t="s">
        <v>163</v>
      </c>
      <c r="N17738" t="s">
        <v>64327</v>
      </c>
      <c r="P17738" t="s">
        <v>6426</v>
      </c>
      <c r="Q17738">
        <v>1</v>
      </c>
      <c r="R17738">
        <v>0</v>
      </c>
      <c r="S17738">
        <v>0</v>
      </c>
      <c r="T17738" t="s">
        <v>64328</v>
      </c>
    </row>
    <row r="17739" spans="1:25" customFormat="1" ht="15" x14ac:dyDescent="0.25">
      <c r="A17739" t="s">
        <v>24</v>
      </c>
      <c r="B17739" t="s">
        <v>2520</v>
      </c>
      <c r="C17739" t="str">
        <f>"A0054664"</f>
        <v>A0054664</v>
      </c>
      <c r="D17739" t="s">
        <v>64329</v>
      </c>
      <c r="E17739" t="s">
        <v>64330</v>
      </c>
      <c r="F17739" t="s">
        <v>24298</v>
      </c>
      <c r="G17739" t="s">
        <v>110</v>
      </c>
      <c r="H17739">
        <v>92037</v>
      </c>
      <c r="I17739" t="s">
        <v>30</v>
      </c>
      <c r="J17739" t="s">
        <v>31</v>
      </c>
      <c r="K17739" t="s">
        <v>163</v>
      </c>
      <c r="N17739" t="s">
        <v>64331</v>
      </c>
      <c r="Q17739">
        <v>0</v>
      </c>
      <c r="R17739">
        <v>73</v>
      </c>
      <c r="S17739">
        <v>0</v>
      </c>
      <c r="T17739" t="s">
        <v>64332</v>
      </c>
    </row>
    <row r="17740" spans="1:25" customFormat="1" ht="15" x14ac:dyDescent="0.25">
      <c r="A17740" t="s">
        <v>24</v>
      </c>
      <c r="B17740" t="s">
        <v>2360</v>
      </c>
      <c r="C17740" t="str">
        <f>"A0052229"</f>
        <v>A0052229</v>
      </c>
      <c r="D17740" t="s">
        <v>64333</v>
      </c>
      <c r="E17740" t="s">
        <v>64334</v>
      </c>
      <c r="F17740" t="s">
        <v>64335</v>
      </c>
      <c r="G17740" t="s">
        <v>99</v>
      </c>
      <c r="H17740">
        <v>11576</v>
      </c>
      <c r="I17740" t="s">
        <v>30</v>
      </c>
      <c r="J17740" t="s">
        <v>178</v>
      </c>
      <c r="K17740" t="s">
        <v>56092</v>
      </c>
      <c r="N17740" t="s">
        <v>64336</v>
      </c>
      <c r="O17740" t="s">
        <v>64337</v>
      </c>
      <c r="Q17740">
        <v>0</v>
      </c>
      <c r="R17740">
        <v>18</v>
      </c>
      <c r="S17740">
        <v>0</v>
      </c>
      <c r="T17740" t="s">
        <v>64338</v>
      </c>
    </row>
    <row r="17741" spans="1:25" x14ac:dyDescent="0.25">
      <c r="A17741" s="3" t="s">
        <v>24</v>
      </c>
      <c r="B17741" s="3" t="s">
        <v>1567</v>
      </c>
      <c r="C17741" s="3" t="str">
        <f>"A0180055"</f>
        <v>A0180055</v>
      </c>
      <c r="D17741" s="3" t="s">
        <v>35262</v>
      </c>
      <c r="E17741" s="3" t="s">
        <v>35263</v>
      </c>
      <c r="F17741" s="3" t="s">
        <v>7579</v>
      </c>
      <c r="G17741" s="3" t="s">
        <v>40</v>
      </c>
      <c r="H17741" s="3">
        <v>74103</v>
      </c>
      <c r="I17741" s="3" t="s">
        <v>30</v>
      </c>
      <c r="J17741" s="3" t="s">
        <v>206</v>
      </c>
      <c r="K17741" s="3" t="s">
        <v>5707</v>
      </c>
      <c r="N17741" s="3" t="s">
        <v>35264</v>
      </c>
      <c r="Q17741" s="3">
        <v>0</v>
      </c>
      <c r="R17741" s="3">
        <v>96</v>
      </c>
      <c r="S17741" s="3">
        <v>0</v>
      </c>
      <c r="T17741" s="3" t="s">
        <v>35265</v>
      </c>
    </row>
    <row r="17742" spans="1:25" customFormat="1" ht="15" x14ac:dyDescent="0.25">
      <c r="A17742" t="s">
        <v>24</v>
      </c>
      <c r="B17742" t="s">
        <v>1138</v>
      </c>
      <c r="C17742" t="str">
        <f>"A0084860"</f>
        <v>A0084860</v>
      </c>
      <c r="D17742" t="s">
        <v>64344</v>
      </c>
      <c r="E17742" t="s">
        <v>64345</v>
      </c>
      <c r="F17742" t="s">
        <v>5915</v>
      </c>
      <c r="G17742" t="s">
        <v>103</v>
      </c>
      <c r="H17742">
        <v>16565</v>
      </c>
      <c r="I17742" t="s">
        <v>30</v>
      </c>
      <c r="J17742" t="s">
        <v>31</v>
      </c>
      <c r="K17742" t="s">
        <v>222</v>
      </c>
      <c r="N17742" t="s">
        <v>64346</v>
      </c>
      <c r="Q17742">
        <v>0</v>
      </c>
      <c r="R17742">
        <v>160</v>
      </c>
      <c r="S17742">
        <v>0</v>
      </c>
      <c r="T17742" t="s">
        <v>64347</v>
      </c>
    </row>
    <row r="17743" spans="1:25" customFormat="1" ht="15" x14ac:dyDescent="0.25">
      <c r="A17743" t="s">
        <v>24</v>
      </c>
      <c r="B17743" t="s">
        <v>1528</v>
      </c>
      <c r="C17743" t="str">
        <f>"A0088477"</f>
        <v>A0088477</v>
      </c>
      <c r="D17743" t="s">
        <v>64348</v>
      </c>
      <c r="E17743" t="s">
        <v>64349</v>
      </c>
      <c r="F17743" t="s">
        <v>2900</v>
      </c>
      <c r="G17743" t="s">
        <v>76</v>
      </c>
      <c r="H17743">
        <v>98101</v>
      </c>
      <c r="I17743" t="s">
        <v>30</v>
      </c>
      <c r="J17743" t="s">
        <v>9545</v>
      </c>
      <c r="K17743" t="s">
        <v>163</v>
      </c>
      <c r="N17743" t="s">
        <v>64350</v>
      </c>
      <c r="O17743" t="s">
        <v>64351</v>
      </c>
      <c r="Q17743">
        <v>0</v>
      </c>
      <c r="R17743">
        <v>275</v>
      </c>
      <c r="S17743">
        <v>0</v>
      </c>
      <c r="T17743" t="s">
        <v>64352</v>
      </c>
    </row>
    <row r="17744" spans="1:25" customFormat="1" ht="15" x14ac:dyDescent="0.25">
      <c r="A17744" t="s">
        <v>24</v>
      </c>
      <c r="B17744" t="s">
        <v>1583</v>
      </c>
      <c r="C17744" t="str">
        <f>"A0060062"</f>
        <v>A0060062</v>
      </c>
      <c r="D17744" t="s">
        <v>64353</v>
      </c>
      <c r="E17744" t="s">
        <v>64354</v>
      </c>
      <c r="F17744" t="s">
        <v>13767</v>
      </c>
      <c r="G17744" t="s">
        <v>4815</v>
      </c>
      <c r="H17744">
        <v>96815</v>
      </c>
      <c r="I17744" t="s">
        <v>30</v>
      </c>
      <c r="J17744" t="s">
        <v>31</v>
      </c>
      <c r="K17744" t="s">
        <v>163</v>
      </c>
      <c r="Q17744">
        <v>0</v>
      </c>
      <c r="R17744">
        <v>79</v>
      </c>
      <c r="S17744">
        <v>0</v>
      </c>
      <c r="T17744" t="s">
        <v>64355</v>
      </c>
    </row>
    <row r="17745" spans="1:25" customFormat="1" ht="15" hidden="1" x14ac:dyDescent="0.25">
      <c r="A17745" t="s">
        <v>24</v>
      </c>
      <c r="B17745" t="s">
        <v>5858</v>
      </c>
      <c r="C17745" t="str">
        <f>"A0092395"</f>
        <v>A0092395</v>
      </c>
      <c r="D17745" t="s">
        <v>64356</v>
      </c>
      <c r="E17745" t="s">
        <v>64357</v>
      </c>
      <c r="F17745" t="s">
        <v>2406</v>
      </c>
      <c r="G17745" t="s">
        <v>2407</v>
      </c>
      <c r="H17745">
        <v>23410</v>
      </c>
      <c r="I17745" t="s">
        <v>2408</v>
      </c>
      <c r="J17745" t="s">
        <v>162</v>
      </c>
      <c r="K17745" t="s">
        <v>163</v>
      </c>
      <c r="N17745" t="s">
        <v>56327</v>
      </c>
      <c r="O17745" t="s">
        <v>5863</v>
      </c>
      <c r="Q17745">
        <v>0</v>
      </c>
      <c r="R17745">
        <v>51</v>
      </c>
      <c r="S17745">
        <v>0</v>
      </c>
      <c r="T17745" t="s">
        <v>64358</v>
      </c>
    </row>
    <row r="17746" spans="1:25" x14ac:dyDescent="0.25">
      <c r="A17746" s="3" t="s">
        <v>24</v>
      </c>
      <c r="B17746" s="3" t="s">
        <v>9975</v>
      </c>
      <c r="C17746" s="3" t="str">
        <f>"A0093239"</f>
        <v>A0093239</v>
      </c>
      <c r="D17746" s="3" t="s">
        <v>55940</v>
      </c>
      <c r="E17746" s="3" t="s">
        <v>55941</v>
      </c>
      <c r="F17746" s="3" t="s">
        <v>866</v>
      </c>
      <c r="G17746" s="3" t="s">
        <v>40</v>
      </c>
      <c r="H17746" s="3">
        <v>73103</v>
      </c>
      <c r="I17746" s="3" t="s">
        <v>30</v>
      </c>
      <c r="J17746" s="3" t="s">
        <v>206</v>
      </c>
      <c r="K17746" s="3" t="s">
        <v>6459</v>
      </c>
      <c r="N17746" s="3" t="s">
        <v>55942</v>
      </c>
      <c r="Q17746" s="3">
        <v>0</v>
      </c>
      <c r="R17746" s="3">
        <v>54</v>
      </c>
      <c r="S17746" s="3">
        <v>0</v>
      </c>
      <c r="T17746" s="3" t="s">
        <v>55943</v>
      </c>
    </row>
    <row r="17747" spans="1:25" customFormat="1" ht="15" x14ac:dyDescent="0.25">
      <c r="A17747" t="s">
        <v>24</v>
      </c>
      <c r="B17747" t="s">
        <v>62173</v>
      </c>
      <c r="C17747" t="str">
        <f>"A0091281"</f>
        <v>A0091281</v>
      </c>
      <c r="D17747" t="s">
        <v>64364</v>
      </c>
      <c r="E17747" t="s">
        <v>64365</v>
      </c>
      <c r="F17747" t="s">
        <v>53898</v>
      </c>
      <c r="G17747" t="s">
        <v>507</v>
      </c>
      <c r="H17747">
        <v>26505</v>
      </c>
      <c r="I17747" t="s">
        <v>30</v>
      </c>
      <c r="J17747" t="s">
        <v>31</v>
      </c>
      <c r="K17747" t="s">
        <v>163</v>
      </c>
      <c r="N17747" t="s">
        <v>64366</v>
      </c>
      <c r="Q17747">
        <v>0</v>
      </c>
      <c r="R17747">
        <v>78</v>
      </c>
      <c r="S17747">
        <v>0</v>
      </c>
      <c r="T17747" t="s">
        <v>64367</v>
      </c>
    </row>
    <row r="17748" spans="1:25" customFormat="1" ht="15" x14ac:dyDescent="0.25">
      <c r="A17748" t="s">
        <v>24</v>
      </c>
      <c r="B17748" t="s">
        <v>15916</v>
      </c>
      <c r="C17748" t="str">
        <f>"A0087313"</f>
        <v>A0087313</v>
      </c>
      <c r="D17748" t="s">
        <v>64368</v>
      </c>
      <c r="E17748" t="s">
        <v>64369</v>
      </c>
      <c r="F17748" t="s">
        <v>53563</v>
      </c>
      <c r="G17748" t="s">
        <v>1170</v>
      </c>
      <c r="H17748">
        <v>70570</v>
      </c>
      <c r="I17748" t="s">
        <v>30</v>
      </c>
      <c r="J17748" t="s">
        <v>31</v>
      </c>
      <c r="K17748" t="s">
        <v>163</v>
      </c>
      <c r="N17748" t="s">
        <v>64370</v>
      </c>
      <c r="O17748" t="s">
        <v>64371</v>
      </c>
      <c r="Q17748">
        <v>0</v>
      </c>
      <c r="R17748">
        <v>117</v>
      </c>
      <c r="S17748">
        <v>0</v>
      </c>
      <c r="T17748" t="s">
        <v>64372</v>
      </c>
    </row>
    <row r="17749" spans="1:25" customFormat="1" x14ac:dyDescent="0.25">
      <c r="A17749" s="4" t="s">
        <v>24</v>
      </c>
      <c r="B17749" s="4" t="s">
        <v>9975</v>
      </c>
      <c r="C17749" s="4" t="str">
        <f>"A0054832"</f>
        <v>A0054832</v>
      </c>
      <c r="D17749" s="4" t="s">
        <v>55944</v>
      </c>
      <c r="E17749" s="4" t="s">
        <v>55945</v>
      </c>
      <c r="F17749" s="4" t="s">
        <v>8348</v>
      </c>
      <c r="G17749" s="4" t="s">
        <v>40</v>
      </c>
      <c r="H17749" s="4">
        <v>74119</v>
      </c>
      <c r="I17749" s="4" t="s">
        <v>30</v>
      </c>
      <c r="J17749" s="4" t="s">
        <v>206</v>
      </c>
      <c r="K17749" s="4" t="s">
        <v>6459</v>
      </c>
      <c r="L17749" s="4"/>
      <c r="M17749" s="4"/>
      <c r="N17749" s="4" t="s">
        <v>55937</v>
      </c>
      <c r="O17749" s="4"/>
      <c r="P17749" s="4"/>
      <c r="Q17749" s="4">
        <v>0</v>
      </c>
      <c r="R17749" s="4">
        <v>55</v>
      </c>
      <c r="S17749" s="4">
        <v>0</v>
      </c>
      <c r="T17749" s="4" t="s">
        <v>55946</v>
      </c>
      <c r="U17749" s="4"/>
      <c r="V17749" s="4"/>
      <c r="W17749" s="4"/>
      <c r="X17749" s="4"/>
      <c r="Y17749" s="4"/>
    </row>
    <row r="17750" spans="1:25" customFormat="1" ht="15" x14ac:dyDescent="0.25">
      <c r="A17750" t="s">
        <v>24</v>
      </c>
      <c r="B17750" t="s">
        <v>734</v>
      </c>
      <c r="C17750" t="str">
        <f>"57221"</f>
        <v>57221</v>
      </c>
      <c r="D17750" t="s">
        <v>64378</v>
      </c>
      <c r="E17750" t="s">
        <v>64379</v>
      </c>
      <c r="F17750" t="s">
        <v>59754</v>
      </c>
      <c r="G17750" t="s">
        <v>1170</v>
      </c>
      <c r="H17750">
        <v>71111</v>
      </c>
      <c r="I17750" t="s">
        <v>30</v>
      </c>
      <c r="J17750" t="s">
        <v>145</v>
      </c>
      <c r="K17750" t="s">
        <v>146</v>
      </c>
      <c r="N17750" t="s">
        <v>64380</v>
      </c>
      <c r="Q17750">
        <v>0</v>
      </c>
      <c r="R17750">
        <v>72</v>
      </c>
      <c r="S17750">
        <v>0</v>
      </c>
      <c r="T17750" t="s">
        <v>64381</v>
      </c>
    </row>
    <row r="17751" spans="1:25" customFormat="1" ht="15" x14ac:dyDescent="0.25">
      <c r="A17751" t="s">
        <v>24</v>
      </c>
      <c r="B17751" t="s">
        <v>2360</v>
      </c>
      <c r="C17751" t="str">
        <f>"CL0734"</f>
        <v>CL0734</v>
      </c>
      <c r="D17751" t="s">
        <v>64382</v>
      </c>
      <c r="E17751" t="s">
        <v>64383</v>
      </c>
      <c r="F17751" t="s">
        <v>64384</v>
      </c>
      <c r="G17751" t="s">
        <v>52</v>
      </c>
      <c r="H17751">
        <v>78015</v>
      </c>
      <c r="I17751" t="s">
        <v>30</v>
      </c>
      <c r="J17751" t="s">
        <v>178</v>
      </c>
      <c r="K17751" t="s">
        <v>55688</v>
      </c>
      <c r="N17751" t="s">
        <v>64385</v>
      </c>
      <c r="P17751" t="s">
        <v>992</v>
      </c>
      <c r="Q17751">
        <v>2</v>
      </c>
      <c r="R17751">
        <v>0</v>
      </c>
      <c r="S17751">
        <v>0</v>
      </c>
      <c r="T17751" t="s">
        <v>64386</v>
      </c>
    </row>
    <row r="17752" spans="1:25" customFormat="1" x14ac:dyDescent="0.25">
      <c r="A17752" s="4" t="s">
        <v>24</v>
      </c>
      <c r="B17752" s="4" t="s">
        <v>7953</v>
      </c>
      <c r="C17752" s="4" t="str">
        <f>"A0189983"</f>
        <v>A0189983</v>
      </c>
      <c r="D17752" s="4" t="s">
        <v>7954</v>
      </c>
      <c r="E17752" s="4" t="s">
        <v>7955</v>
      </c>
      <c r="F17752" s="4" t="s">
        <v>6593</v>
      </c>
      <c r="G17752" s="4" t="s">
        <v>47</v>
      </c>
      <c r="H17752" s="4">
        <v>97201</v>
      </c>
      <c r="I17752" s="4" t="s">
        <v>30</v>
      </c>
      <c r="J17752" s="4" t="s">
        <v>206</v>
      </c>
      <c r="K17752" s="4" t="s">
        <v>5707</v>
      </c>
      <c r="L17752" s="4"/>
      <c r="M17752" s="4"/>
      <c r="N17752" s="4" t="s">
        <v>7956</v>
      </c>
      <c r="O17752" s="4"/>
      <c r="P17752" s="4"/>
      <c r="Q17752" s="4">
        <v>0</v>
      </c>
      <c r="R17752" s="4">
        <v>296</v>
      </c>
      <c r="S17752" s="4">
        <v>0</v>
      </c>
      <c r="T17752" s="4" t="s">
        <v>7957</v>
      </c>
      <c r="U17752" s="4"/>
      <c r="V17752" s="4"/>
      <c r="W17752" s="4"/>
      <c r="X17752" s="4"/>
      <c r="Y17752" s="4"/>
    </row>
    <row r="17753" spans="1:25" customFormat="1" ht="15" x14ac:dyDescent="0.25">
      <c r="A17753" t="s">
        <v>24</v>
      </c>
      <c r="B17753" t="s">
        <v>2955</v>
      </c>
      <c r="C17753" t="str">
        <f>"432PW"</f>
        <v>432PW</v>
      </c>
      <c r="D17753" t="s">
        <v>64391</v>
      </c>
      <c r="E17753" t="s">
        <v>64392</v>
      </c>
      <c r="F17753" t="s">
        <v>14497</v>
      </c>
      <c r="G17753" t="s">
        <v>76</v>
      </c>
      <c r="H17753">
        <v>98007</v>
      </c>
      <c r="I17753" t="s">
        <v>30</v>
      </c>
      <c r="J17753" t="s">
        <v>31</v>
      </c>
      <c r="K17753" t="s">
        <v>32</v>
      </c>
      <c r="N17753" t="s">
        <v>53644</v>
      </c>
      <c r="Q17753">
        <v>0</v>
      </c>
      <c r="R17753">
        <v>144</v>
      </c>
      <c r="S17753">
        <v>0</v>
      </c>
      <c r="T17753" t="s">
        <v>64393</v>
      </c>
    </row>
    <row r="17754" spans="1:25" customFormat="1" ht="15" x14ac:dyDescent="0.25">
      <c r="A17754" t="s">
        <v>24</v>
      </c>
      <c r="B17754" t="s">
        <v>64394</v>
      </c>
      <c r="C17754" t="str">
        <f>"432MP"</f>
        <v>432MP</v>
      </c>
      <c r="D17754" t="s">
        <v>64395</v>
      </c>
      <c r="E17754" t="s">
        <v>64396</v>
      </c>
      <c r="F17754" t="s">
        <v>33070</v>
      </c>
      <c r="G17754" t="s">
        <v>47</v>
      </c>
      <c r="H17754">
        <v>97035</v>
      </c>
      <c r="I17754" t="s">
        <v>30</v>
      </c>
      <c r="J17754" t="s">
        <v>31</v>
      </c>
      <c r="K17754" t="s">
        <v>32</v>
      </c>
      <c r="N17754" t="s">
        <v>64397</v>
      </c>
      <c r="O17754" t="s">
        <v>3486</v>
      </c>
      <c r="Q17754">
        <v>0</v>
      </c>
      <c r="R17754">
        <v>124</v>
      </c>
      <c r="S17754">
        <v>0</v>
      </c>
      <c r="T17754" t="s">
        <v>64398</v>
      </c>
    </row>
    <row r="17755" spans="1:25" customFormat="1" ht="15" x14ac:dyDescent="0.25">
      <c r="A17755" t="s">
        <v>24</v>
      </c>
      <c r="B17755" t="s">
        <v>4459</v>
      </c>
      <c r="C17755" t="str">
        <f>"A0065477"</f>
        <v>A0065477</v>
      </c>
      <c r="D17755" t="s">
        <v>64399</v>
      </c>
      <c r="E17755" t="s">
        <v>64400</v>
      </c>
      <c r="F17755" t="s">
        <v>61639</v>
      </c>
      <c r="G17755" t="s">
        <v>110</v>
      </c>
      <c r="H17755">
        <v>95670</v>
      </c>
      <c r="I17755" t="s">
        <v>30</v>
      </c>
      <c r="J17755" t="s">
        <v>31</v>
      </c>
      <c r="K17755" t="s">
        <v>32</v>
      </c>
      <c r="N17755" t="s">
        <v>64401</v>
      </c>
      <c r="O17755" t="s">
        <v>64402</v>
      </c>
      <c r="Q17755">
        <v>0</v>
      </c>
      <c r="R17755">
        <v>104</v>
      </c>
      <c r="S17755">
        <v>0</v>
      </c>
      <c r="T17755" t="s">
        <v>64403</v>
      </c>
    </row>
    <row r="17756" spans="1:25" customFormat="1" ht="15" x14ac:dyDescent="0.25">
      <c r="A17756" t="s">
        <v>24</v>
      </c>
      <c r="B17756" t="s">
        <v>2340</v>
      </c>
      <c r="C17756" t="str">
        <f>"A0156151"</f>
        <v>A0156151</v>
      </c>
      <c r="D17756" t="s">
        <v>64404</v>
      </c>
      <c r="E17756" t="s">
        <v>64405</v>
      </c>
      <c r="F17756" t="s">
        <v>3967</v>
      </c>
      <c r="G17756" t="s">
        <v>123</v>
      </c>
      <c r="H17756">
        <v>21001</v>
      </c>
      <c r="I17756" t="s">
        <v>30</v>
      </c>
      <c r="J17756" t="s">
        <v>31</v>
      </c>
      <c r="K17756" t="s">
        <v>32</v>
      </c>
      <c r="N17756" t="s">
        <v>64406</v>
      </c>
      <c r="Q17756">
        <v>0</v>
      </c>
      <c r="R17756">
        <v>84</v>
      </c>
      <c r="S17756">
        <v>0</v>
      </c>
      <c r="T17756" t="s">
        <v>64407</v>
      </c>
    </row>
    <row r="17757" spans="1:25" customFormat="1" ht="15" x14ac:dyDescent="0.25">
      <c r="A17757" t="s">
        <v>24</v>
      </c>
      <c r="B17757" t="s">
        <v>58106</v>
      </c>
      <c r="C17757" t="str">
        <f>"A0068128"</f>
        <v>A0068128</v>
      </c>
      <c r="D17757" t="s">
        <v>64408</v>
      </c>
      <c r="E17757" t="s">
        <v>64409</v>
      </c>
      <c r="F17757" t="s">
        <v>64410</v>
      </c>
      <c r="G17757" t="s">
        <v>58</v>
      </c>
      <c r="H17757">
        <v>29803</v>
      </c>
      <c r="I17757" t="s">
        <v>30</v>
      </c>
      <c r="J17757" t="s">
        <v>31</v>
      </c>
      <c r="K17757" t="s">
        <v>32</v>
      </c>
      <c r="N17757" t="s">
        <v>64411</v>
      </c>
      <c r="Q17757">
        <v>0</v>
      </c>
      <c r="R17757">
        <v>84</v>
      </c>
      <c r="S17757">
        <v>0</v>
      </c>
      <c r="T17757" t="s">
        <v>64412</v>
      </c>
    </row>
    <row r="17758" spans="1:25" customFormat="1" ht="15" x14ac:dyDescent="0.25">
      <c r="A17758" t="s">
        <v>24</v>
      </c>
      <c r="B17758" t="s">
        <v>56842</v>
      </c>
      <c r="C17758" t="str">
        <f>"A0095057"</f>
        <v>A0095057</v>
      </c>
      <c r="D17758" t="s">
        <v>64413</v>
      </c>
      <c r="E17758" t="s">
        <v>64414</v>
      </c>
      <c r="F17758" t="s">
        <v>64415</v>
      </c>
      <c r="G17758" t="s">
        <v>65</v>
      </c>
      <c r="H17758">
        <v>44224</v>
      </c>
      <c r="I17758" t="s">
        <v>30</v>
      </c>
      <c r="J17758" t="s">
        <v>31</v>
      </c>
      <c r="K17758" t="s">
        <v>32</v>
      </c>
      <c r="N17758" t="s">
        <v>64416</v>
      </c>
      <c r="O17758" t="s">
        <v>64417</v>
      </c>
      <c r="Q17758">
        <v>0</v>
      </c>
      <c r="R17758">
        <v>84</v>
      </c>
      <c r="S17758">
        <v>0</v>
      </c>
      <c r="T17758" t="s">
        <v>64418</v>
      </c>
    </row>
    <row r="17759" spans="1:25" customFormat="1" ht="15" x14ac:dyDescent="0.25">
      <c r="A17759" t="s">
        <v>24</v>
      </c>
      <c r="B17759" t="s">
        <v>64419</v>
      </c>
      <c r="C17759" t="str">
        <f>"A0090817"</f>
        <v>A0090817</v>
      </c>
      <c r="D17759" t="s">
        <v>64420</v>
      </c>
      <c r="E17759" t="s">
        <v>64421</v>
      </c>
      <c r="F17759" t="s">
        <v>64422</v>
      </c>
      <c r="G17759" t="s">
        <v>1587</v>
      </c>
      <c r="H17759">
        <v>88310</v>
      </c>
      <c r="I17759" t="s">
        <v>30</v>
      </c>
      <c r="J17759" t="s">
        <v>31</v>
      </c>
      <c r="K17759" t="s">
        <v>32</v>
      </c>
      <c r="N17759" t="s">
        <v>64423</v>
      </c>
      <c r="O17759" t="s">
        <v>64424</v>
      </c>
      <c r="Q17759">
        <v>0</v>
      </c>
      <c r="R17759">
        <v>73</v>
      </c>
      <c r="S17759">
        <v>0</v>
      </c>
      <c r="T17759" t="s">
        <v>64425</v>
      </c>
    </row>
    <row r="17760" spans="1:25" customFormat="1" ht="15" x14ac:dyDescent="0.25">
      <c r="A17760" t="s">
        <v>24</v>
      </c>
      <c r="B17760" t="s">
        <v>1323</v>
      </c>
      <c r="C17760" t="str">
        <f>"A0088637"</f>
        <v>A0088637</v>
      </c>
      <c r="D17760" t="s">
        <v>64426</v>
      </c>
      <c r="E17760" t="s">
        <v>64427</v>
      </c>
      <c r="F17760" t="s">
        <v>6897</v>
      </c>
      <c r="G17760" t="s">
        <v>846</v>
      </c>
      <c r="H17760">
        <v>31707</v>
      </c>
      <c r="I17760" t="s">
        <v>30</v>
      </c>
      <c r="J17760" t="s">
        <v>31</v>
      </c>
      <c r="K17760" t="s">
        <v>32</v>
      </c>
      <c r="N17760" t="s">
        <v>64428</v>
      </c>
      <c r="Q17760">
        <v>0</v>
      </c>
      <c r="R17760">
        <v>87</v>
      </c>
      <c r="S17760">
        <v>0</v>
      </c>
      <c r="T17760" t="s">
        <v>64429</v>
      </c>
    </row>
    <row r="17761" spans="1:20" customFormat="1" ht="15" x14ac:dyDescent="0.25">
      <c r="A17761" t="s">
        <v>24</v>
      </c>
      <c r="B17761" t="s">
        <v>5079</v>
      </c>
      <c r="C17761" t="str">
        <f>"651YD"</f>
        <v>651YD</v>
      </c>
      <c r="D17761" t="s">
        <v>64430</v>
      </c>
      <c r="E17761" t="s">
        <v>64431</v>
      </c>
      <c r="F17761" t="s">
        <v>6897</v>
      </c>
      <c r="G17761" t="s">
        <v>99</v>
      </c>
      <c r="H17761">
        <v>12205</v>
      </c>
      <c r="I17761" t="s">
        <v>30</v>
      </c>
      <c r="J17761" t="s">
        <v>31</v>
      </c>
      <c r="K17761" t="s">
        <v>32</v>
      </c>
      <c r="N17761" t="s">
        <v>3486</v>
      </c>
      <c r="O17761" t="s">
        <v>64432</v>
      </c>
      <c r="Q17761">
        <v>0</v>
      </c>
      <c r="R17761">
        <v>78</v>
      </c>
      <c r="S17761">
        <v>0</v>
      </c>
      <c r="T17761" t="s">
        <v>64433</v>
      </c>
    </row>
    <row r="17762" spans="1:20" customFormat="1" ht="15" x14ac:dyDescent="0.25">
      <c r="A17762" t="s">
        <v>24</v>
      </c>
      <c r="B17762" t="s">
        <v>2340</v>
      </c>
      <c r="C17762" t="str">
        <f>"4322X"</f>
        <v>4322X</v>
      </c>
      <c r="D17762" t="s">
        <v>64434</v>
      </c>
      <c r="E17762" t="s">
        <v>64435</v>
      </c>
      <c r="F17762" t="s">
        <v>64436</v>
      </c>
      <c r="G17762" t="s">
        <v>99</v>
      </c>
      <c r="H17762">
        <v>12061</v>
      </c>
      <c r="I17762" t="s">
        <v>30</v>
      </c>
      <c r="J17762" t="s">
        <v>31</v>
      </c>
      <c r="K17762" t="s">
        <v>32</v>
      </c>
      <c r="N17762" t="s">
        <v>64437</v>
      </c>
      <c r="Q17762">
        <v>0</v>
      </c>
      <c r="R17762">
        <v>105</v>
      </c>
      <c r="S17762">
        <v>0</v>
      </c>
      <c r="T17762" t="s">
        <v>64438</v>
      </c>
    </row>
    <row r="17763" spans="1:20" customFormat="1" ht="15" x14ac:dyDescent="0.25">
      <c r="A17763" t="s">
        <v>24</v>
      </c>
      <c r="B17763" t="s">
        <v>64439</v>
      </c>
      <c r="C17763" t="str">
        <f>"A0096459"</f>
        <v>A0096459</v>
      </c>
      <c r="D17763" t="s">
        <v>64440</v>
      </c>
      <c r="E17763" t="s">
        <v>64441</v>
      </c>
      <c r="F17763" t="s">
        <v>1622</v>
      </c>
      <c r="G17763" t="s">
        <v>1170</v>
      </c>
      <c r="H17763">
        <v>71303</v>
      </c>
      <c r="I17763" t="s">
        <v>30</v>
      </c>
      <c r="J17763" t="s">
        <v>31</v>
      </c>
      <c r="K17763" t="s">
        <v>32</v>
      </c>
      <c r="N17763" t="s">
        <v>64442</v>
      </c>
      <c r="Q17763">
        <v>0</v>
      </c>
      <c r="R17763">
        <v>96</v>
      </c>
      <c r="S17763">
        <v>0</v>
      </c>
      <c r="T17763" t="s">
        <v>64443</v>
      </c>
    </row>
    <row r="17764" spans="1:20" customFormat="1" ht="15" x14ac:dyDescent="0.25">
      <c r="A17764" t="s">
        <v>24</v>
      </c>
      <c r="B17764" t="s">
        <v>2340</v>
      </c>
      <c r="C17764" t="str">
        <f>"A0095078"</f>
        <v>A0095078</v>
      </c>
      <c r="D17764" t="s">
        <v>64440</v>
      </c>
      <c r="E17764" t="s">
        <v>64444</v>
      </c>
      <c r="F17764" t="s">
        <v>1622</v>
      </c>
      <c r="G17764" t="s">
        <v>29</v>
      </c>
      <c r="H17764">
        <v>22312</v>
      </c>
      <c r="I17764" t="s">
        <v>30</v>
      </c>
      <c r="J17764" t="s">
        <v>31</v>
      </c>
      <c r="K17764" t="s">
        <v>32</v>
      </c>
      <c r="N17764" t="s">
        <v>64445</v>
      </c>
      <c r="Q17764">
        <v>0</v>
      </c>
      <c r="R17764">
        <v>150</v>
      </c>
      <c r="S17764">
        <v>0</v>
      </c>
      <c r="T17764" t="s">
        <v>64446</v>
      </c>
    </row>
    <row r="17765" spans="1:20" customFormat="1" ht="15" x14ac:dyDescent="0.25">
      <c r="A17765" t="s">
        <v>24</v>
      </c>
      <c r="B17765" t="s">
        <v>60496</v>
      </c>
      <c r="C17765" t="str">
        <f>"A0097677"</f>
        <v>A0097677</v>
      </c>
      <c r="D17765" t="s">
        <v>64447</v>
      </c>
      <c r="E17765" t="s">
        <v>64448</v>
      </c>
      <c r="F17765" t="s">
        <v>64449</v>
      </c>
      <c r="G17765" t="s">
        <v>103</v>
      </c>
      <c r="H17765">
        <v>16602</v>
      </c>
      <c r="I17765" t="s">
        <v>30</v>
      </c>
      <c r="J17765" t="s">
        <v>31</v>
      </c>
      <c r="K17765" t="s">
        <v>32</v>
      </c>
      <c r="N17765" t="s">
        <v>64450</v>
      </c>
      <c r="O17765" t="s">
        <v>64451</v>
      </c>
      <c r="Q17765">
        <v>0</v>
      </c>
      <c r="R17765">
        <v>104</v>
      </c>
      <c r="S17765">
        <v>0</v>
      </c>
      <c r="T17765" t="s">
        <v>64452</v>
      </c>
    </row>
    <row r="17766" spans="1:20" customFormat="1" ht="15" x14ac:dyDescent="0.25">
      <c r="A17766" t="s">
        <v>24</v>
      </c>
      <c r="B17766" t="s">
        <v>57000</v>
      </c>
      <c r="C17766" t="str">
        <f>"4322I"</f>
        <v>4322I</v>
      </c>
      <c r="D17766" t="s">
        <v>64453</v>
      </c>
      <c r="E17766" t="s">
        <v>64454</v>
      </c>
      <c r="F17766" t="s">
        <v>64455</v>
      </c>
      <c r="G17766" t="s">
        <v>58</v>
      </c>
      <c r="H17766">
        <v>29621</v>
      </c>
      <c r="I17766" t="s">
        <v>30</v>
      </c>
      <c r="J17766" t="s">
        <v>31</v>
      </c>
      <c r="K17766" t="s">
        <v>32</v>
      </c>
      <c r="N17766" t="s">
        <v>64456</v>
      </c>
      <c r="Q17766">
        <v>0</v>
      </c>
      <c r="R17766">
        <v>78</v>
      </c>
      <c r="S17766">
        <v>0</v>
      </c>
      <c r="T17766" t="s">
        <v>64457</v>
      </c>
    </row>
    <row r="17767" spans="1:20" customFormat="1" ht="15" x14ac:dyDescent="0.25">
      <c r="A17767" t="s">
        <v>24</v>
      </c>
      <c r="B17767" t="s">
        <v>1323</v>
      </c>
      <c r="C17767" t="str">
        <f>"A0087734"</f>
        <v>A0087734</v>
      </c>
      <c r="D17767" t="s">
        <v>64458</v>
      </c>
      <c r="E17767" t="s">
        <v>64459</v>
      </c>
      <c r="F17767" t="s">
        <v>61372</v>
      </c>
      <c r="G17767" t="s">
        <v>1706</v>
      </c>
      <c r="H17767">
        <v>36203</v>
      </c>
      <c r="I17767" t="s">
        <v>30</v>
      </c>
      <c r="J17767" t="s">
        <v>31</v>
      </c>
      <c r="K17767" t="s">
        <v>32</v>
      </c>
      <c r="N17767" t="s">
        <v>64460</v>
      </c>
      <c r="Q17767">
        <v>0</v>
      </c>
      <c r="R17767">
        <v>81</v>
      </c>
      <c r="S17767">
        <v>0</v>
      </c>
      <c r="T17767" t="s">
        <v>64461</v>
      </c>
    </row>
    <row r="17768" spans="1:20" customFormat="1" ht="15" x14ac:dyDescent="0.25">
      <c r="A17768" t="s">
        <v>24</v>
      </c>
      <c r="B17768" t="s">
        <v>9549</v>
      </c>
      <c r="C17768" t="str">
        <f>"A0153135"</f>
        <v>A0153135</v>
      </c>
      <c r="D17768" t="s">
        <v>64462</v>
      </c>
      <c r="E17768" t="s">
        <v>64463</v>
      </c>
      <c r="F17768" t="s">
        <v>9415</v>
      </c>
      <c r="G17768" t="s">
        <v>71</v>
      </c>
      <c r="H17768">
        <v>54914</v>
      </c>
      <c r="I17768" t="s">
        <v>30</v>
      </c>
      <c r="J17768" t="s">
        <v>31</v>
      </c>
      <c r="K17768" t="s">
        <v>32</v>
      </c>
      <c r="N17768" t="s">
        <v>64464</v>
      </c>
      <c r="Q17768">
        <v>0</v>
      </c>
      <c r="R17768">
        <v>82</v>
      </c>
      <c r="S17768">
        <v>0</v>
      </c>
      <c r="T17768" t="s">
        <v>64465</v>
      </c>
    </row>
    <row r="17769" spans="1:20" customFormat="1" ht="15" x14ac:dyDescent="0.25">
      <c r="A17769" t="s">
        <v>24</v>
      </c>
      <c r="B17769" t="s">
        <v>2340</v>
      </c>
      <c r="C17769" t="str">
        <f>"A0094122"</f>
        <v>A0094122</v>
      </c>
      <c r="D17769" t="s">
        <v>64466</v>
      </c>
      <c r="E17769" t="s">
        <v>64467</v>
      </c>
      <c r="F17769" t="s">
        <v>33592</v>
      </c>
      <c r="G17769" t="s">
        <v>123</v>
      </c>
      <c r="H17769">
        <v>21076</v>
      </c>
      <c r="I17769" t="s">
        <v>30</v>
      </c>
      <c r="J17769" t="s">
        <v>31</v>
      </c>
      <c r="K17769" t="s">
        <v>32</v>
      </c>
      <c r="N17769" t="s">
        <v>64468</v>
      </c>
      <c r="Q17769">
        <v>0</v>
      </c>
      <c r="R17769">
        <v>95</v>
      </c>
      <c r="S17769">
        <v>0</v>
      </c>
      <c r="T17769" t="s">
        <v>64469</v>
      </c>
    </row>
    <row r="17770" spans="1:20" customFormat="1" ht="15" x14ac:dyDescent="0.25">
      <c r="A17770" t="s">
        <v>24</v>
      </c>
      <c r="B17770" t="s">
        <v>59347</v>
      </c>
      <c r="C17770" t="str">
        <f>"A0095961"</f>
        <v>A0095961</v>
      </c>
      <c r="D17770" t="s">
        <v>64470</v>
      </c>
      <c r="E17770" t="s">
        <v>64471</v>
      </c>
      <c r="F17770" t="s">
        <v>10730</v>
      </c>
      <c r="G17770" t="s">
        <v>214</v>
      </c>
      <c r="H17770">
        <v>28805</v>
      </c>
      <c r="I17770" t="s">
        <v>30</v>
      </c>
      <c r="J17770" t="s">
        <v>31</v>
      </c>
      <c r="K17770" t="s">
        <v>32</v>
      </c>
      <c r="N17770" t="s">
        <v>64472</v>
      </c>
      <c r="Q17770">
        <v>0</v>
      </c>
      <c r="R17770">
        <v>80</v>
      </c>
      <c r="S17770">
        <v>0</v>
      </c>
      <c r="T17770" t="s">
        <v>64473</v>
      </c>
    </row>
    <row r="17771" spans="1:20" customFormat="1" ht="15" x14ac:dyDescent="0.25">
      <c r="A17771" t="s">
        <v>24</v>
      </c>
      <c r="B17771" t="s">
        <v>64474</v>
      </c>
      <c r="C17771" t="str">
        <f>"A0094324"</f>
        <v>A0094324</v>
      </c>
      <c r="D17771" t="s">
        <v>64475</v>
      </c>
      <c r="E17771" t="s">
        <v>64476</v>
      </c>
      <c r="F17771" t="s">
        <v>3358</v>
      </c>
      <c r="G17771" t="s">
        <v>65</v>
      </c>
      <c r="H17771">
        <v>45701</v>
      </c>
      <c r="I17771" t="s">
        <v>30</v>
      </c>
      <c r="J17771" t="s">
        <v>31</v>
      </c>
      <c r="K17771" t="s">
        <v>32</v>
      </c>
      <c r="N17771" t="s">
        <v>64477</v>
      </c>
      <c r="O17771" t="s">
        <v>64478</v>
      </c>
      <c r="Q17771">
        <v>0</v>
      </c>
      <c r="R17771">
        <v>87</v>
      </c>
      <c r="S17771">
        <v>0</v>
      </c>
      <c r="T17771" t="s">
        <v>64479</v>
      </c>
    </row>
    <row r="17772" spans="1:20" customFormat="1" ht="15" x14ac:dyDescent="0.25">
      <c r="A17772" t="s">
        <v>24</v>
      </c>
      <c r="B17772" t="s">
        <v>13299</v>
      </c>
      <c r="C17772" t="str">
        <f>"88WG001"</f>
        <v>88WG001</v>
      </c>
      <c r="D17772" t="s">
        <v>64480</v>
      </c>
      <c r="E17772" t="s">
        <v>64481</v>
      </c>
      <c r="F17772" t="s">
        <v>3024</v>
      </c>
      <c r="G17772" t="s">
        <v>846</v>
      </c>
      <c r="H17772">
        <v>30337</v>
      </c>
      <c r="I17772" t="s">
        <v>30</v>
      </c>
      <c r="J17772" t="s">
        <v>31</v>
      </c>
      <c r="K17772" t="s">
        <v>32</v>
      </c>
      <c r="N17772" t="s">
        <v>64482</v>
      </c>
      <c r="Q17772">
        <v>0</v>
      </c>
      <c r="R17772">
        <v>127</v>
      </c>
      <c r="S17772">
        <v>0</v>
      </c>
      <c r="T17772" t="s">
        <v>64483</v>
      </c>
    </row>
    <row r="17773" spans="1:20" customFormat="1" ht="15" x14ac:dyDescent="0.25">
      <c r="A17773" t="s">
        <v>24</v>
      </c>
      <c r="B17773" t="s">
        <v>4400</v>
      </c>
      <c r="C17773" t="str">
        <f>"A0091450"</f>
        <v>A0091450</v>
      </c>
      <c r="D17773" t="s">
        <v>64484</v>
      </c>
      <c r="E17773" t="s">
        <v>64485</v>
      </c>
      <c r="F17773" t="s">
        <v>845</v>
      </c>
      <c r="G17773" t="s">
        <v>846</v>
      </c>
      <c r="H17773">
        <v>30303</v>
      </c>
      <c r="I17773" t="s">
        <v>30</v>
      </c>
      <c r="J17773" t="s">
        <v>31</v>
      </c>
      <c r="K17773" t="s">
        <v>32</v>
      </c>
      <c r="N17773" t="s">
        <v>64486</v>
      </c>
      <c r="Q17773">
        <v>0</v>
      </c>
      <c r="R17773">
        <v>156</v>
      </c>
      <c r="S17773">
        <v>0</v>
      </c>
      <c r="T17773" t="s">
        <v>64487</v>
      </c>
    </row>
    <row r="17774" spans="1:20" customFormat="1" ht="15" x14ac:dyDescent="0.25">
      <c r="A17774" t="s">
        <v>24</v>
      </c>
      <c r="B17774" t="s">
        <v>8742</v>
      </c>
      <c r="C17774" t="str">
        <f>"A0100106"</f>
        <v>A0100106</v>
      </c>
      <c r="D17774" t="s">
        <v>64488</v>
      </c>
      <c r="E17774" t="s">
        <v>64489</v>
      </c>
      <c r="F17774" t="s">
        <v>8202</v>
      </c>
      <c r="G17774" t="s">
        <v>846</v>
      </c>
      <c r="H17774">
        <v>30213</v>
      </c>
      <c r="I17774" t="s">
        <v>30</v>
      </c>
      <c r="J17774" t="s">
        <v>31</v>
      </c>
      <c r="K17774" t="s">
        <v>32</v>
      </c>
      <c r="N17774" t="s">
        <v>64490</v>
      </c>
      <c r="Q17774">
        <v>0</v>
      </c>
      <c r="R17774">
        <v>87</v>
      </c>
      <c r="S17774">
        <v>0</v>
      </c>
      <c r="T17774" t="s">
        <v>64491</v>
      </c>
    </row>
    <row r="17775" spans="1:20" customFormat="1" ht="15" x14ac:dyDescent="0.25">
      <c r="A17775" t="s">
        <v>24</v>
      </c>
      <c r="B17775" t="s">
        <v>2221</v>
      </c>
      <c r="C17775" t="str">
        <f>"432PO"</f>
        <v>432PO</v>
      </c>
      <c r="D17775" t="s">
        <v>64492</v>
      </c>
      <c r="E17775" t="s">
        <v>64493</v>
      </c>
      <c r="F17775" t="s">
        <v>1248</v>
      </c>
      <c r="G17775" t="s">
        <v>846</v>
      </c>
      <c r="H17775">
        <v>30144</v>
      </c>
      <c r="I17775" t="s">
        <v>30</v>
      </c>
      <c r="J17775" t="s">
        <v>31</v>
      </c>
      <c r="K17775" t="s">
        <v>32</v>
      </c>
      <c r="N17775" t="s">
        <v>64494</v>
      </c>
      <c r="Q17775">
        <v>0</v>
      </c>
      <c r="R17775">
        <v>87</v>
      </c>
      <c r="S17775">
        <v>0</v>
      </c>
      <c r="T17775" t="s">
        <v>64495</v>
      </c>
    </row>
    <row r="17776" spans="1:20" customFormat="1" ht="15" x14ac:dyDescent="0.25">
      <c r="A17776" t="s">
        <v>24</v>
      </c>
      <c r="B17776" t="s">
        <v>5564</v>
      </c>
      <c r="C17776" t="str">
        <f>"A0099779"</f>
        <v>A0099779</v>
      </c>
      <c r="D17776" t="s">
        <v>64496</v>
      </c>
      <c r="E17776" t="s">
        <v>59610</v>
      </c>
      <c r="F17776" t="s">
        <v>59611</v>
      </c>
      <c r="G17776" t="s">
        <v>846</v>
      </c>
      <c r="H17776">
        <v>30122</v>
      </c>
      <c r="I17776" t="s">
        <v>30</v>
      </c>
      <c r="J17776" t="s">
        <v>31</v>
      </c>
      <c r="K17776" t="s">
        <v>32</v>
      </c>
      <c r="N17776" t="s">
        <v>64497</v>
      </c>
      <c r="O17776" t="s">
        <v>64498</v>
      </c>
      <c r="Q17776">
        <v>0</v>
      </c>
      <c r="R17776">
        <v>70</v>
      </c>
      <c r="S17776">
        <v>0</v>
      </c>
      <c r="T17776" t="s">
        <v>59612</v>
      </c>
    </row>
    <row r="17777" spans="1:20" customFormat="1" ht="15" x14ac:dyDescent="0.25">
      <c r="A17777" t="s">
        <v>24</v>
      </c>
      <c r="B17777" t="s">
        <v>5564</v>
      </c>
      <c r="C17777" t="str">
        <f>"A0096453"</f>
        <v>A0096453</v>
      </c>
      <c r="D17777" t="s">
        <v>64499</v>
      </c>
      <c r="E17777" t="s">
        <v>64500</v>
      </c>
      <c r="F17777" t="s">
        <v>63559</v>
      </c>
      <c r="G17777" t="s">
        <v>846</v>
      </c>
      <c r="H17777">
        <v>30281</v>
      </c>
      <c r="I17777" t="s">
        <v>30</v>
      </c>
      <c r="J17777" t="s">
        <v>31</v>
      </c>
      <c r="K17777" t="s">
        <v>32</v>
      </c>
      <c r="N17777" t="s">
        <v>64501</v>
      </c>
      <c r="Q17777">
        <v>0</v>
      </c>
      <c r="R17777">
        <v>92</v>
      </c>
      <c r="S17777">
        <v>0</v>
      </c>
      <c r="T17777" t="s">
        <v>64502</v>
      </c>
    </row>
    <row r="17778" spans="1:20" customFormat="1" ht="15" x14ac:dyDescent="0.25">
      <c r="A17778" t="s">
        <v>24</v>
      </c>
      <c r="B17778" t="s">
        <v>11523</v>
      </c>
      <c r="C17778" t="str">
        <f>"A0078607"</f>
        <v>A0078607</v>
      </c>
      <c r="D17778" t="s">
        <v>64503</v>
      </c>
      <c r="E17778" t="s">
        <v>64504</v>
      </c>
      <c r="F17778" t="s">
        <v>64505</v>
      </c>
      <c r="G17778" t="s">
        <v>846</v>
      </c>
      <c r="H17778">
        <v>30038</v>
      </c>
      <c r="I17778" t="s">
        <v>30</v>
      </c>
      <c r="J17778" t="s">
        <v>31</v>
      </c>
      <c r="K17778" t="s">
        <v>32</v>
      </c>
      <c r="N17778" t="s">
        <v>64506</v>
      </c>
      <c r="Q17778">
        <v>0</v>
      </c>
      <c r="R17778">
        <v>85</v>
      </c>
      <c r="S17778">
        <v>0</v>
      </c>
      <c r="T17778" t="s">
        <v>64507</v>
      </c>
    </row>
    <row r="17779" spans="1:20" customFormat="1" ht="15" x14ac:dyDescent="0.25">
      <c r="A17779" t="s">
        <v>24</v>
      </c>
      <c r="B17779" t="s">
        <v>2955</v>
      </c>
      <c r="C17779" t="str">
        <f>"432PK"</f>
        <v>432PK</v>
      </c>
      <c r="D17779" t="s">
        <v>64508</v>
      </c>
      <c r="E17779" t="s">
        <v>64509</v>
      </c>
      <c r="F17779" t="s">
        <v>845</v>
      </c>
      <c r="G17779" t="s">
        <v>846</v>
      </c>
      <c r="H17779">
        <v>30339</v>
      </c>
      <c r="I17779" t="s">
        <v>30</v>
      </c>
      <c r="J17779" t="s">
        <v>31</v>
      </c>
      <c r="K17779" t="s">
        <v>32</v>
      </c>
      <c r="N17779" t="s">
        <v>64510</v>
      </c>
      <c r="Q17779">
        <v>0</v>
      </c>
      <c r="R17779">
        <v>144</v>
      </c>
      <c r="S17779">
        <v>0</v>
      </c>
      <c r="T17779" t="s">
        <v>64511</v>
      </c>
    </row>
    <row r="17780" spans="1:20" customFormat="1" ht="15" x14ac:dyDescent="0.25">
      <c r="A17780" t="s">
        <v>24</v>
      </c>
      <c r="B17780" t="s">
        <v>9843</v>
      </c>
      <c r="C17780" t="str">
        <f>"A0094567"</f>
        <v>A0094567</v>
      </c>
      <c r="D17780" t="s">
        <v>64512</v>
      </c>
      <c r="E17780" t="s">
        <v>64513</v>
      </c>
      <c r="F17780" t="s">
        <v>64514</v>
      </c>
      <c r="G17780" t="s">
        <v>1706</v>
      </c>
      <c r="H17780">
        <v>36504</v>
      </c>
      <c r="I17780" t="s">
        <v>30</v>
      </c>
      <c r="J17780" t="s">
        <v>31</v>
      </c>
      <c r="K17780" t="s">
        <v>32</v>
      </c>
      <c r="N17780" t="s">
        <v>64515</v>
      </c>
      <c r="Q17780">
        <v>0</v>
      </c>
      <c r="R17780">
        <v>75</v>
      </c>
      <c r="S17780">
        <v>0</v>
      </c>
      <c r="T17780" t="s">
        <v>64516</v>
      </c>
    </row>
    <row r="17781" spans="1:20" customFormat="1" ht="15" x14ac:dyDescent="0.25">
      <c r="A17781" t="s">
        <v>24</v>
      </c>
      <c r="B17781" t="s">
        <v>1467</v>
      </c>
      <c r="C17781" t="str">
        <f>"A0067731"</f>
        <v>A0067731</v>
      </c>
      <c r="D17781" t="s">
        <v>64517</v>
      </c>
      <c r="E17781" t="s">
        <v>64518</v>
      </c>
      <c r="F17781" t="s">
        <v>59643</v>
      </c>
      <c r="G17781" t="s">
        <v>899</v>
      </c>
      <c r="H17781">
        <v>1501</v>
      </c>
      <c r="I17781" t="s">
        <v>30</v>
      </c>
      <c r="J17781" t="s">
        <v>31</v>
      </c>
      <c r="K17781" t="s">
        <v>32</v>
      </c>
      <c r="N17781" t="s">
        <v>64519</v>
      </c>
      <c r="Q17781">
        <v>0</v>
      </c>
      <c r="R17781">
        <v>82</v>
      </c>
      <c r="S17781">
        <v>0</v>
      </c>
      <c r="T17781" t="s">
        <v>64520</v>
      </c>
    </row>
    <row r="17782" spans="1:20" customFormat="1" ht="15" x14ac:dyDescent="0.25">
      <c r="A17782" t="s">
        <v>24</v>
      </c>
      <c r="B17782" t="s">
        <v>1098</v>
      </c>
      <c r="C17782" t="str">
        <f>"A0088045"</f>
        <v>A0088045</v>
      </c>
      <c r="D17782" t="s">
        <v>64521</v>
      </c>
      <c r="E17782" t="s">
        <v>64522</v>
      </c>
      <c r="F17782" t="s">
        <v>9854</v>
      </c>
      <c r="G17782" t="s">
        <v>846</v>
      </c>
      <c r="H17782">
        <v>30909</v>
      </c>
      <c r="I17782" t="s">
        <v>30</v>
      </c>
      <c r="J17782" t="s">
        <v>31</v>
      </c>
      <c r="K17782" t="s">
        <v>32</v>
      </c>
      <c r="N17782" t="s">
        <v>64523</v>
      </c>
      <c r="O17782" t="s">
        <v>64524</v>
      </c>
      <c r="Q17782">
        <v>0</v>
      </c>
      <c r="R17782">
        <v>82</v>
      </c>
      <c r="S17782">
        <v>0</v>
      </c>
      <c r="T17782" t="s">
        <v>64525</v>
      </c>
    </row>
    <row r="17783" spans="1:20" customFormat="1" ht="15" x14ac:dyDescent="0.25">
      <c r="A17783" t="s">
        <v>24</v>
      </c>
      <c r="B17783" t="s">
        <v>5564</v>
      </c>
      <c r="C17783" t="str">
        <f>"A0145443"</f>
        <v>A0145443</v>
      </c>
      <c r="D17783" t="s">
        <v>64526</v>
      </c>
      <c r="E17783" t="s">
        <v>64527</v>
      </c>
      <c r="F17783" t="s">
        <v>9854</v>
      </c>
      <c r="G17783" t="s">
        <v>846</v>
      </c>
      <c r="H17783">
        <v>30907</v>
      </c>
      <c r="I17783" t="s">
        <v>30</v>
      </c>
      <c r="J17783" t="s">
        <v>31</v>
      </c>
      <c r="K17783" t="s">
        <v>32</v>
      </c>
      <c r="N17783" t="s">
        <v>64528</v>
      </c>
      <c r="Q17783">
        <v>0</v>
      </c>
      <c r="R17783">
        <v>90</v>
      </c>
      <c r="S17783">
        <v>0</v>
      </c>
      <c r="T17783" t="s">
        <v>64529</v>
      </c>
    </row>
    <row r="17784" spans="1:20" customFormat="1" ht="15" x14ac:dyDescent="0.25">
      <c r="A17784" t="s">
        <v>24</v>
      </c>
      <c r="B17784" t="s">
        <v>1020</v>
      </c>
      <c r="C17784" t="str">
        <f>"A0087407"</f>
        <v>A0087407</v>
      </c>
      <c r="D17784" t="s">
        <v>64530</v>
      </c>
      <c r="E17784" t="s">
        <v>64531</v>
      </c>
      <c r="F17784" t="s">
        <v>372</v>
      </c>
      <c r="G17784" t="s">
        <v>52</v>
      </c>
      <c r="H17784">
        <v>78741</v>
      </c>
      <c r="I17784" t="s">
        <v>30</v>
      </c>
      <c r="J17784" t="s">
        <v>31</v>
      </c>
      <c r="K17784" t="s">
        <v>32</v>
      </c>
      <c r="N17784" t="s">
        <v>64532</v>
      </c>
      <c r="Q17784">
        <v>0</v>
      </c>
      <c r="R17784">
        <v>150</v>
      </c>
      <c r="S17784">
        <v>0</v>
      </c>
      <c r="T17784" t="s">
        <v>64533</v>
      </c>
    </row>
    <row r="17785" spans="1:20" customFormat="1" ht="15" x14ac:dyDescent="0.25">
      <c r="A17785" t="s">
        <v>24</v>
      </c>
      <c r="B17785" t="s">
        <v>1561</v>
      </c>
      <c r="C17785" t="str">
        <f>"645XU"</f>
        <v>645XU</v>
      </c>
      <c r="D17785" t="s">
        <v>64534</v>
      </c>
      <c r="E17785" t="s">
        <v>64535</v>
      </c>
      <c r="F17785" t="s">
        <v>372</v>
      </c>
      <c r="G17785" t="s">
        <v>52</v>
      </c>
      <c r="H17785">
        <v>78759</v>
      </c>
      <c r="I17785" t="s">
        <v>30</v>
      </c>
      <c r="J17785" t="s">
        <v>31</v>
      </c>
      <c r="K17785" t="s">
        <v>32</v>
      </c>
      <c r="N17785" t="s">
        <v>64536</v>
      </c>
      <c r="Q17785">
        <v>0</v>
      </c>
      <c r="R17785">
        <v>134</v>
      </c>
      <c r="S17785">
        <v>0</v>
      </c>
      <c r="T17785" t="s">
        <v>64537</v>
      </c>
    </row>
    <row r="17786" spans="1:20" customFormat="1" ht="15" x14ac:dyDescent="0.25">
      <c r="A17786" t="s">
        <v>24</v>
      </c>
      <c r="B17786" t="s">
        <v>61024</v>
      </c>
      <c r="C17786" t="str">
        <f>"A0094531"</f>
        <v>A0094531</v>
      </c>
      <c r="D17786" t="s">
        <v>64538</v>
      </c>
      <c r="E17786" t="s">
        <v>64539</v>
      </c>
      <c r="F17786" t="s">
        <v>64262</v>
      </c>
      <c r="G17786" t="s">
        <v>52</v>
      </c>
      <c r="H17786">
        <v>78666</v>
      </c>
      <c r="I17786" t="s">
        <v>30</v>
      </c>
      <c r="J17786" t="s">
        <v>31</v>
      </c>
      <c r="K17786" t="s">
        <v>32</v>
      </c>
      <c r="N17786" t="s">
        <v>64540</v>
      </c>
      <c r="O17786" t="s">
        <v>64541</v>
      </c>
      <c r="Q17786">
        <v>0</v>
      </c>
      <c r="R17786">
        <v>108</v>
      </c>
      <c r="S17786">
        <v>0</v>
      </c>
      <c r="T17786" t="s">
        <v>64542</v>
      </c>
    </row>
    <row r="17787" spans="1:20" customFormat="1" ht="15" x14ac:dyDescent="0.25">
      <c r="A17787" t="s">
        <v>24</v>
      </c>
      <c r="B17787" t="s">
        <v>2812</v>
      </c>
      <c r="C17787" t="str">
        <f>"432XF"</f>
        <v>432XF</v>
      </c>
      <c r="D17787" t="s">
        <v>64543</v>
      </c>
      <c r="E17787" t="s">
        <v>64544</v>
      </c>
      <c r="F17787" t="s">
        <v>372</v>
      </c>
      <c r="G17787" t="s">
        <v>52</v>
      </c>
      <c r="H17787">
        <v>78751</v>
      </c>
      <c r="I17787" t="s">
        <v>30</v>
      </c>
      <c r="J17787" t="s">
        <v>31</v>
      </c>
      <c r="K17787" t="s">
        <v>32</v>
      </c>
      <c r="N17787" t="s">
        <v>64545</v>
      </c>
      <c r="Q17787">
        <v>0</v>
      </c>
      <c r="R17787">
        <v>63</v>
      </c>
      <c r="S17787">
        <v>0</v>
      </c>
      <c r="T17787" t="s">
        <v>64546</v>
      </c>
    </row>
    <row r="17788" spans="1:20" customFormat="1" ht="15" x14ac:dyDescent="0.25">
      <c r="A17788" t="s">
        <v>24</v>
      </c>
      <c r="B17788" t="s">
        <v>58814</v>
      </c>
      <c r="C17788" t="str">
        <f>"A0088796"</f>
        <v>A0088796</v>
      </c>
      <c r="D17788" t="s">
        <v>64547</v>
      </c>
      <c r="E17788" t="s">
        <v>64548</v>
      </c>
      <c r="F17788" t="s">
        <v>58817</v>
      </c>
      <c r="G17788" t="s">
        <v>381</v>
      </c>
      <c r="H17788">
        <v>46123</v>
      </c>
      <c r="I17788" t="s">
        <v>30</v>
      </c>
      <c r="J17788" t="s">
        <v>31</v>
      </c>
      <c r="K17788" t="s">
        <v>32</v>
      </c>
      <c r="N17788" t="s">
        <v>3486</v>
      </c>
      <c r="O17788" t="s">
        <v>64549</v>
      </c>
      <c r="Q17788">
        <v>0</v>
      </c>
      <c r="R17788">
        <v>73</v>
      </c>
      <c r="S17788">
        <v>0</v>
      </c>
      <c r="T17788" t="s">
        <v>64550</v>
      </c>
    </row>
    <row r="17789" spans="1:20" customFormat="1" ht="15" x14ac:dyDescent="0.25">
      <c r="A17789" t="s">
        <v>24</v>
      </c>
      <c r="B17789" t="s">
        <v>5104</v>
      </c>
      <c r="C17789" t="str">
        <f>"A0089099"</f>
        <v>A0089099</v>
      </c>
      <c r="D17789" t="s">
        <v>64551</v>
      </c>
      <c r="E17789" t="s">
        <v>64552</v>
      </c>
      <c r="F17789" t="s">
        <v>7455</v>
      </c>
      <c r="G17789" t="s">
        <v>123</v>
      </c>
      <c r="H17789">
        <v>21202</v>
      </c>
      <c r="I17789" t="s">
        <v>30</v>
      </c>
      <c r="J17789" t="s">
        <v>31</v>
      </c>
      <c r="K17789" t="s">
        <v>32</v>
      </c>
      <c r="N17789" t="s">
        <v>64553</v>
      </c>
      <c r="Q17789">
        <v>0</v>
      </c>
      <c r="R17789">
        <v>154</v>
      </c>
      <c r="S17789">
        <v>0</v>
      </c>
      <c r="T17789" t="s">
        <v>64554</v>
      </c>
    </row>
    <row r="17790" spans="1:20" customFormat="1" ht="15" x14ac:dyDescent="0.25">
      <c r="A17790" t="s">
        <v>24</v>
      </c>
      <c r="B17790" t="s">
        <v>55128</v>
      </c>
      <c r="C17790" t="str">
        <f>"A0158302"</f>
        <v>A0158302</v>
      </c>
      <c r="D17790" t="s">
        <v>64555</v>
      </c>
      <c r="E17790" t="s">
        <v>64556</v>
      </c>
      <c r="F17790" t="s">
        <v>8536</v>
      </c>
      <c r="G17790" t="s">
        <v>840</v>
      </c>
      <c r="H17790">
        <v>40004</v>
      </c>
      <c r="I17790" t="s">
        <v>30</v>
      </c>
      <c r="J17790" t="s">
        <v>31</v>
      </c>
      <c r="K17790" t="s">
        <v>32</v>
      </c>
      <c r="N17790" t="s">
        <v>64557</v>
      </c>
      <c r="Q17790">
        <v>0</v>
      </c>
      <c r="R17790">
        <v>92</v>
      </c>
      <c r="S17790">
        <v>0</v>
      </c>
      <c r="T17790" t="s">
        <v>64558</v>
      </c>
    </row>
    <row r="17791" spans="1:20" customFormat="1" ht="15" x14ac:dyDescent="0.25">
      <c r="A17791" t="s">
        <v>24</v>
      </c>
      <c r="B17791" t="s">
        <v>64559</v>
      </c>
      <c r="C17791" t="str">
        <f>"A0094575"</f>
        <v>A0094575</v>
      </c>
      <c r="D17791" t="s">
        <v>64560</v>
      </c>
      <c r="E17791" t="s">
        <v>64561</v>
      </c>
      <c r="F17791" t="s">
        <v>64562</v>
      </c>
      <c r="G17791" t="s">
        <v>52</v>
      </c>
      <c r="H17791">
        <v>77414</v>
      </c>
      <c r="I17791" t="s">
        <v>30</v>
      </c>
      <c r="J17791" t="s">
        <v>31</v>
      </c>
      <c r="K17791" t="s">
        <v>32</v>
      </c>
      <c r="N17791" t="s">
        <v>64563</v>
      </c>
      <c r="Q17791">
        <v>0</v>
      </c>
      <c r="R17791">
        <v>79</v>
      </c>
      <c r="S17791">
        <v>0</v>
      </c>
      <c r="T17791" t="s">
        <v>64564</v>
      </c>
    </row>
    <row r="17792" spans="1:20" customFormat="1" ht="15" x14ac:dyDescent="0.25">
      <c r="A17792" t="s">
        <v>24</v>
      </c>
      <c r="B17792" t="s">
        <v>62173</v>
      </c>
      <c r="C17792" t="str">
        <f>"A0086855"</f>
        <v>A0086855</v>
      </c>
      <c r="D17792" t="s">
        <v>64565</v>
      </c>
      <c r="E17792" t="s">
        <v>64566</v>
      </c>
      <c r="F17792" t="s">
        <v>13788</v>
      </c>
      <c r="G17792" t="s">
        <v>103</v>
      </c>
      <c r="H17792">
        <v>15522</v>
      </c>
      <c r="I17792" t="s">
        <v>30</v>
      </c>
      <c r="J17792" t="s">
        <v>31</v>
      </c>
      <c r="K17792" t="s">
        <v>32</v>
      </c>
      <c r="N17792" t="s">
        <v>64567</v>
      </c>
      <c r="Q17792">
        <v>0</v>
      </c>
      <c r="R17792">
        <v>84</v>
      </c>
      <c r="S17792">
        <v>0</v>
      </c>
      <c r="T17792" t="s">
        <v>64568</v>
      </c>
    </row>
    <row r="17793" spans="1:20" customFormat="1" ht="15" x14ac:dyDescent="0.25">
      <c r="A17793" t="s">
        <v>24</v>
      </c>
      <c r="B17793" t="s">
        <v>64569</v>
      </c>
      <c r="C17793" t="str">
        <f>"A0065510"</f>
        <v>A0065510</v>
      </c>
      <c r="D17793" t="s">
        <v>64570</v>
      </c>
      <c r="E17793" t="s">
        <v>64571</v>
      </c>
      <c r="F17793" t="s">
        <v>4189</v>
      </c>
      <c r="G17793" t="s">
        <v>47</v>
      </c>
      <c r="H17793">
        <v>97701</v>
      </c>
      <c r="I17793" t="s">
        <v>30</v>
      </c>
      <c r="J17793" t="s">
        <v>31</v>
      </c>
      <c r="K17793" t="s">
        <v>32</v>
      </c>
      <c r="N17793" t="s">
        <v>64572</v>
      </c>
      <c r="Q17793">
        <v>0</v>
      </c>
      <c r="R17793">
        <v>84</v>
      </c>
      <c r="S17793">
        <v>0</v>
      </c>
      <c r="T17793" t="s">
        <v>64573</v>
      </c>
    </row>
    <row r="17794" spans="1:20" customFormat="1" ht="15" x14ac:dyDescent="0.25">
      <c r="A17794" t="s">
        <v>24</v>
      </c>
      <c r="B17794" t="s">
        <v>1561</v>
      </c>
      <c r="C17794" t="str">
        <f>"4325E"</f>
        <v>4325E</v>
      </c>
      <c r="D17794" t="s">
        <v>64574</v>
      </c>
      <c r="E17794" t="s">
        <v>64575</v>
      </c>
      <c r="F17794" t="s">
        <v>14072</v>
      </c>
      <c r="G17794" t="s">
        <v>85</v>
      </c>
      <c r="H17794">
        <v>72757</v>
      </c>
      <c r="I17794" t="s">
        <v>30</v>
      </c>
      <c r="J17794" t="s">
        <v>31</v>
      </c>
      <c r="K17794" t="s">
        <v>32</v>
      </c>
      <c r="N17794" t="s">
        <v>64576</v>
      </c>
      <c r="O17794" t="s">
        <v>64577</v>
      </c>
      <c r="Q17794">
        <v>0</v>
      </c>
      <c r="R17794">
        <v>99</v>
      </c>
      <c r="S17794">
        <v>0</v>
      </c>
      <c r="T17794" t="s">
        <v>64578</v>
      </c>
    </row>
    <row r="17795" spans="1:20" customFormat="1" ht="15" x14ac:dyDescent="0.25">
      <c r="A17795" t="s">
        <v>24</v>
      </c>
      <c r="B17795" t="s">
        <v>34691</v>
      </c>
      <c r="C17795" t="str">
        <f>"A0117412"</f>
        <v>A0117412</v>
      </c>
      <c r="D17795" t="s">
        <v>64579</v>
      </c>
      <c r="E17795" t="s">
        <v>64580</v>
      </c>
      <c r="F17795" t="s">
        <v>5706</v>
      </c>
      <c r="G17795" t="s">
        <v>1706</v>
      </c>
      <c r="H17795">
        <v>35243</v>
      </c>
      <c r="I17795" t="s">
        <v>30</v>
      </c>
      <c r="J17795" t="s">
        <v>31</v>
      </c>
      <c r="K17795" t="s">
        <v>32</v>
      </c>
      <c r="N17795" t="s">
        <v>64581</v>
      </c>
      <c r="Q17795">
        <v>0</v>
      </c>
      <c r="R17795">
        <v>95</v>
      </c>
      <c r="S17795">
        <v>0</v>
      </c>
      <c r="T17795" t="s">
        <v>64582</v>
      </c>
    </row>
    <row r="17796" spans="1:20" customFormat="1" ht="15" x14ac:dyDescent="0.25">
      <c r="A17796" t="s">
        <v>24</v>
      </c>
      <c r="B17796" t="s">
        <v>8742</v>
      </c>
      <c r="C17796" t="str">
        <f>"A0146962"</f>
        <v>A0146962</v>
      </c>
      <c r="D17796" t="s">
        <v>64583</v>
      </c>
      <c r="E17796" t="s">
        <v>64584</v>
      </c>
      <c r="F17796" t="s">
        <v>5706</v>
      </c>
      <c r="G17796" t="s">
        <v>1706</v>
      </c>
      <c r="H17796">
        <v>35233</v>
      </c>
      <c r="I17796" t="s">
        <v>30</v>
      </c>
      <c r="J17796" t="s">
        <v>31</v>
      </c>
      <c r="K17796" t="s">
        <v>32</v>
      </c>
      <c r="N17796" t="s">
        <v>64585</v>
      </c>
      <c r="Q17796">
        <v>0</v>
      </c>
      <c r="R17796">
        <v>120</v>
      </c>
      <c r="S17796">
        <v>0</v>
      </c>
      <c r="T17796" t="s">
        <v>64586</v>
      </c>
    </row>
    <row r="17797" spans="1:20" customFormat="1" ht="15" x14ac:dyDescent="0.25">
      <c r="A17797" t="s">
        <v>24</v>
      </c>
      <c r="B17797" t="s">
        <v>64587</v>
      </c>
      <c r="C17797" t="str">
        <f>"A0075967"</f>
        <v>A0075967</v>
      </c>
      <c r="D17797" t="s">
        <v>64588</v>
      </c>
      <c r="E17797" t="s">
        <v>64589</v>
      </c>
      <c r="F17797" t="s">
        <v>64590</v>
      </c>
      <c r="G17797" t="s">
        <v>1706</v>
      </c>
      <c r="H17797">
        <v>35068</v>
      </c>
      <c r="I17797" t="s">
        <v>30</v>
      </c>
      <c r="J17797" t="s">
        <v>31</v>
      </c>
      <c r="K17797" t="s">
        <v>32</v>
      </c>
      <c r="N17797" t="s">
        <v>64591</v>
      </c>
      <c r="O17797" t="s">
        <v>64592</v>
      </c>
      <c r="Q17797">
        <v>0</v>
      </c>
      <c r="R17797">
        <v>75</v>
      </c>
      <c r="S17797">
        <v>0</v>
      </c>
      <c r="T17797" t="s">
        <v>64593</v>
      </c>
    </row>
    <row r="17798" spans="1:20" customFormat="1" ht="15" x14ac:dyDescent="0.25">
      <c r="A17798" t="s">
        <v>24</v>
      </c>
      <c r="B17798" t="s">
        <v>64587</v>
      </c>
      <c r="C17798" t="str">
        <f>"A0089215"</f>
        <v>A0089215</v>
      </c>
      <c r="D17798" t="s">
        <v>64594</v>
      </c>
      <c r="E17798" t="s">
        <v>64595</v>
      </c>
      <c r="F17798" t="s">
        <v>64596</v>
      </c>
      <c r="G17798" t="s">
        <v>1706</v>
      </c>
      <c r="H17798">
        <v>35124</v>
      </c>
      <c r="I17798" t="s">
        <v>30</v>
      </c>
      <c r="J17798" t="s">
        <v>31</v>
      </c>
      <c r="K17798" t="s">
        <v>32</v>
      </c>
      <c r="N17798" t="s">
        <v>64592</v>
      </c>
      <c r="Q17798">
        <v>0</v>
      </c>
      <c r="R17798">
        <v>93</v>
      </c>
      <c r="S17798">
        <v>0</v>
      </c>
      <c r="T17798" t="s">
        <v>64597</v>
      </c>
    </row>
    <row r="17799" spans="1:20" customFormat="1" ht="15" x14ac:dyDescent="0.25">
      <c r="A17799" t="s">
        <v>24</v>
      </c>
      <c r="B17799" t="s">
        <v>58814</v>
      </c>
      <c r="C17799" t="str">
        <f>"A0158031"</f>
        <v>A0158031</v>
      </c>
      <c r="D17799" t="s">
        <v>64598</v>
      </c>
      <c r="E17799" t="s">
        <v>64599</v>
      </c>
      <c r="F17799" t="s">
        <v>54041</v>
      </c>
      <c r="G17799" t="s">
        <v>81</v>
      </c>
      <c r="H17799">
        <v>33441</v>
      </c>
      <c r="I17799" t="s">
        <v>30</v>
      </c>
      <c r="J17799" t="s">
        <v>31</v>
      </c>
      <c r="K17799" t="s">
        <v>32</v>
      </c>
      <c r="N17799" t="s">
        <v>64600</v>
      </c>
      <c r="Q17799">
        <v>0</v>
      </c>
      <c r="R17799">
        <v>101</v>
      </c>
      <c r="S17799">
        <v>0</v>
      </c>
      <c r="T17799" t="s">
        <v>64601</v>
      </c>
    </row>
    <row r="17800" spans="1:20" customFormat="1" ht="15" x14ac:dyDescent="0.25">
      <c r="A17800" t="s">
        <v>24</v>
      </c>
      <c r="B17800" t="s">
        <v>9549</v>
      </c>
      <c r="C17800" t="str">
        <f>"A0156814"</f>
        <v>A0156814</v>
      </c>
      <c r="D17800" t="s">
        <v>64602</v>
      </c>
      <c r="E17800" t="s">
        <v>64603</v>
      </c>
      <c r="F17800" t="s">
        <v>53770</v>
      </c>
      <c r="G17800" t="s">
        <v>433</v>
      </c>
      <c r="H17800">
        <v>83704</v>
      </c>
      <c r="I17800" t="s">
        <v>30</v>
      </c>
      <c r="J17800" t="s">
        <v>31</v>
      </c>
      <c r="K17800" t="s">
        <v>32</v>
      </c>
      <c r="N17800" t="s">
        <v>64604</v>
      </c>
      <c r="Q17800">
        <v>0</v>
      </c>
      <c r="R17800">
        <v>106</v>
      </c>
      <c r="S17800">
        <v>0</v>
      </c>
      <c r="T17800" t="s">
        <v>64605</v>
      </c>
    </row>
    <row r="17801" spans="1:20" customFormat="1" ht="15" x14ac:dyDescent="0.25">
      <c r="A17801" t="s">
        <v>24</v>
      </c>
      <c r="B17801" t="s">
        <v>2387</v>
      </c>
      <c r="C17801" t="str">
        <f>"A0152909"</f>
        <v>A0152909</v>
      </c>
      <c r="D17801" t="s">
        <v>64606</v>
      </c>
      <c r="E17801" t="s">
        <v>64607</v>
      </c>
      <c r="F17801" t="s">
        <v>57969</v>
      </c>
      <c r="G17801" t="s">
        <v>899</v>
      </c>
      <c r="H17801">
        <v>2150</v>
      </c>
      <c r="I17801" t="s">
        <v>30</v>
      </c>
      <c r="J17801" t="s">
        <v>31</v>
      </c>
      <c r="K17801" t="s">
        <v>32</v>
      </c>
      <c r="N17801" t="s">
        <v>64608</v>
      </c>
      <c r="Q17801">
        <v>0</v>
      </c>
      <c r="R17801">
        <v>80</v>
      </c>
      <c r="S17801">
        <v>0</v>
      </c>
      <c r="T17801" t="s">
        <v>64609</v>
      </c>
    </row>
    <row r="17802" spans="1:20" customFormat="1" ht="15" x14ac:dyDescent="0.25">
      <c r="A17802" t="s">
        <v>24</v>
      </c>
      <c r="B17802" t="s">
        <v>34039</v>
      </c>
      <c r="C17802" t="str">
        <f>"A0099111"</f>
        <v>A0099111</v>
      </c>
      <c r="D17802" t="s">
        <v>64610</v>
      </c>
      <c r="E17802" t="s">
        <v>64611</v>
      </c>
      <c r="F17802" t="s">
        <v>64612</v>
      </c>
      <c r="G17802" t="s">
        <v>899</v>
      </c>
      <c r="H17802">
        <v>1752</v>
      </c>
      <c r="I17802" t="s">
        <v>30</v>
      </c>
      <c r="J17802" t="s">
        <v>31</v>
      </c>
      <c r="K17802" t="s">
        <v>32</v>
      </c>
      <c r="N17802" t="s">
        <v>64613</v>
      </c>
      <c r="Q17802">
        <v>0</v>
      </c>
      <c r="R17802">
        <v>108</v>
      </c>
      <c r="S17802">
        <v>0</v>
      </c>
      <c r="T17802" t="s">
        <v>64614</v>
      </c>
    </row>
    <row r="17803" spans="1:20" customFormat="1" ht="15" x14ac:dyDescent="0.25">
      <c r="A17803" t="s">
        <v>24</v>
      </c>
      <c r="B17803" t="s">
        <v>2387</v>
      </c>
      <c r="C17803" t="str">
        <f>"A0117302"</f>
        <v>A0117302</v>
      </c>
      <c r="D17803" t="s">
        <v>64615</v>
      </c>
      <c r="E17803" t="s">
        <v>64616</v>
      </c>
      <c r="F17803" t="s">
        <v>64617</v>
      </c>
      <c r="G17803" t="s">
        <v>899</v>
      </c>
      <c r="H17803">
        <v>2452</v>
      </c>
      <c r="I17803" t="s">
        <v>30</v>
      </c>
      <c r="J17803" t="s">
        <v>31</v>
      </c>
      <c r="K17803" t="s">
        <v>32</v>
      </c>
      <c r="N17803" t="s">
        <v>64618</v>
      </c>
      <c r="Q17803">
        <v>0</v>
      </c>
      <c r="R17803">
        <v>94</v>
      </c>
      <c r="S17803">
        <v>0</v>
      </c>
      <c r="T17803" t="s">
        <v>64619</v>
      </c>
    </row>
    <row r="17804" spans="1:20" customFormat="1" ht="15" x14ac:dyDescent="0.25">
      <c r="A17804" t="s">
        <v>24</v>
      </c>
      <c r="B17804" t="s">
        <v>5149</v>
      </c>
      <c r="C17804" t="str">
        <f>"A0094123"</f>
        <v>A0094123</v>
      </c>
      <c r="D17804" t="s">
        <v>64620</v>
      </c>
      <c r="E17804" t="s">
        <v>64621</v>
      </c>
      <c r="F17804" t="s">
        <v>5152</v>
      </c>
      <c r="G17804" t="s">
        <v>840</v>
      </c>
      <c r="H17804">
        <v>42104</v>
      </c>
      <c r="I17804" t="s">
        <v>30</v>
      </c>
      <c r="J17804" t="s">
        <v>31</v>
      </c>
      <c r="K17804" t="s">
        <v>32</v>
      </c>
      <c r="N17804" t="s">
        <v>64622</v>
      </c>
      <c r="O17804" t="s">
        <v>64623</v>
      </c>
      <c r="Q17804">
        <v>0</v>
      </c>
      <c r="R17804">
        <v>106</v>
      </c>
      <c r="S17804">
        <v>0</v>
      </c>
      <c r="T17804" t="s">
        <v>64624</v>
      </c>
    </row>
    <row r="17805" spans="1:20" customFormat="1" ht="15" x14ac:dyDescent="0.25">
      <c r="A17805" t="s">
        <v>24</v>
      </c>
      <c r="B17805" t="s">
        <v>649</v>
      </c>
      <c r="C17805" t="str">
        <f>"A0093953"</f>
        <v>A0093953</v>
      </c>
      <c r="D17805" t="s">
        <v>64625</v>
      </c>
      <c r="E17805" t="s">
        <v>64626</v>
      </c>
      <c r="F17805" t="s">
        <v>59849</v>
      </c>
      <c r="G17805" t="s">
        <v>846</v>
      </c>
      <c r="H17805">
        <v>30519</v>
      </c>
      <c r="I17805" t="s">
        <v>30</v>
      </c>
      <c r="J17805" t="s">
        <v>31</v>
      </c>
      <c r="K17805" t="s">
        <v>32</v>
      </c>
      <c r="N17805" t="s">
        <v>64627</v>
      </c>
      <c r="Q17805">
        <v>0</v>
      </c>
      <c r="R17805">
        <v>96</v>
      </c>
      <c r="S17805">
        <v>0</v>
      </c>
      <c r="T17805" t="s">
        <v>64628</v>
      </c>
    </row>
    <row r="17806" spans="1:20" customFormat="1" ht="15" x14ac:dyDescent="0.25">
      <c r="A17806" t="s">
        <v>24</v>
      </c>
      <c r="B17806" t="s">
        <v>1317</v>
      </c>
      <c r="C17806" t="str">
        <f>"A0083638"</f>
        <v>A0083638</v>
      </c>
      <c r="D17806" t="s">
        <v>64629</v>
      </c>
      <c r="E17806" t="s">
        <v>64630</v>
      </c>
      <c r="F17806" t="s">
        <v>64631</v>
      </c>
      <c r="G17806" t="s">
        <v>433</v>
      </c>
      <c r="H17806">
        <v>83318</v>
      </c>
      <c r="I17806" t="s">
        <v>30</v>
      </c>
      <c r="J17806" t="s">
        <v>31</v>
      </c>
      <c r="K17806" t="s">
        <v>32</v>
      </c>
      <c r="N17806" t="s">
        <v>64632</v>
      </c>
      <c r="O17806" t="s">
        <v>64633</v>
      </c>
      <c r="Q17806">
        <v>0</v>
      </c>
      <c r="R17806">
        <v>81</v>
      </c>
      <c r="S17806">
        <v>0</v>
      </c>
      <c r="T17806" t="s">
        <v>64634</v>
      </c>
    </row>
    <row r="17807" spans="1:20" customFormat="1" ht="15" x14ac:dyDescent="0.25">
      <c r="A17807" t="s">
        <v>24</v>
      </c>
      <c r="B17807" t="s">
        <v>64635</v>
      </c>
      <c r="C17807" t="str">
        <f>"432MA"</f>
        <v>432MA</v>
      </c>
      <c r="D17807" t="s">
        <v>64636</v>
      </c>
      <c r="E17807" t="s">
        <v>64637</v>
      </c>
      <c r="F17807" t="s">
        <v>2390</v>
      </c>
      <c r="G17807" t="s">
        <v>1898</v>
      </c>
      <c r="H17807">
        <v>52601</v>
      </c>
      <c r="I17807" t="s">
        <v>30</v>
      </c>
      <c r="J17807" t="s">
        <v>31</v>
      </c>
      <c r="K17807" t="s">
        <v>32</v>
      </c>
      <c r="N17807" t="s">
        <v>64638</v>
      </c>
      <c r="O17807" t="s">
        <v>64639</v>
      </c>
      <c r="Q17807">
        <v>0</v>
      </c>
      <c r="R17807">
        <v>63</v>
      </c>
      <c r="S17807">
        <v>0</v>
      </c>
      <c r="T17807" t="s">
        <v>64640</v>
      </c>
    </row>
    <row r="17808" spans="1:20" customFormat="1" ht="15" x14ac:dyDescent="0.25">
      <c r="A17808" t="s">
        <v>24</v>
      </c>
      <c r="B17808" t="s">
        <v>59142</v>
      </c>
      <c r="C17808" t="str">
        <f>"A0083425"</f>
        <v>A0083425</v>
      </c>
      <c r="D17808" t="s">
        <v>64636</v>
      </c>
      <c r="E17808" t="s">
        <v>64641</v>
      </c>
      <c r="F17808" t="s">
        <v>2390</v>
      </c>
      <c r="G17808" t="s">
        <v>76</v>
      </c>
      <c r="H17808">
        <v>98233</v>
      </c>
      <c r="I17808" t="s">
        <v>30</v>
      </c>
      <c r="J17808" t="s">
        <v>31</v>
      </c>
      <c r="K17808" t="s">
        <v>32</v>
      </c>
      <c r="N17808" t="s">
        <v>64642</v>
      </c>
      <c r="O17808" t="s">
        <v>64643</v>
      </c>
      <c r="Q17808">
        <v>0</v>
      </c>
      <c r="R17808">
        <v>78</v>
      </c>
      <c r="S17808">
        <v>0</v>
      </c>
      <c r="T17808" t="s">
        <v>64644</v>
      </c>
    </row>
    <row r="17809" spans="1:20" customFormat="1" ht="15" x14ac:dyDescent="0.25">
      <c r="A17809" t="s">
        <v>24</v>
      </c>
      <c r="B17809" t="s">
        <v>2340</v>
      </c>
      <c r="C17809" t="str">
        <f>"A0090165"</f>
        <v>A0090165</v>
      </c>
      <c r="D17809" t="s">
        <v>64645</v>
      </c>
      <c r="E17809" t="s">
        <v>64646</v>
      </c>
      <c r="F17809" t="s">
        <v>2531</v>
      </c>
      <c r="G17809" t="s">
        <v>123</v>
      </c>
      <c r="H17809">
        <v>21090</v>
      </c>
      <c r="I17809" t="s">
        <v>30</v>
      </c>
      <c r="J17809" t="s">
        <v>31</v>
      </c>
      <c r="K17809" t="s">
        <v>32</v>
      </c>
      <c r="N17809" t="s">
        <v>64647</v>
      </c>
      <c r="Q17809">
        <v>0</v>
      </c>
      <c r="R17809">
        <v>105</v>
      </c>
      <c r="S17809">
        <v>0</v>
      </c>
      <c r="T17809" t="s">
        <v>64648</v>
      </c>
    </row>
    <row r="17810" spans="1:20" customFormat="1" ht="15" x14ac:dyDescent="0.25">
      <c r="A17810" t="s">
        <v>24</v>
      </c>
      <c r="B17810" t="s">
        <v>57114</v>
      </c>
      <c r="C17810" t="str">
        <f>"A0090354"</f>
        <v>A0090354</v>
      </c>
      <c r="D17810" t="s">
        <v>64649</v>
      </c>
      <c r="E17810" t="s">
        <v>64650</v>
      </c>
      <c r="F17810" t="s">
        <v>57117</v>
      </c>
      <c r="G17810" t="s">
        <v>76</v>
      </c>
      <c r="H17810">
        <v>98373</v>
      </c>
      <c r="I17810" t="s">
        <v>30</v>
      </c>
      <c r="J17810" t="s">
        <v>31</v>
      </c>
      <c r="K17810" t="s">
        <v>32</v>
      </c>
      <c r="N17810" t="s">
        <v>64651</v>
      </c>
      <c r="Q17810">
        <v>0</v>
      </c>
      <c r="R17810">
        <v>120</v>
      </c>
      <c r="S17810">
        <v>0</v>
      </c>
      <c r="T17810" t="s">
        <v>64652</v>
      </c>
    </row>
    <row r="17811" spans="1:20" customFormat="1" ht="15" x14ac:dyDescent="0.25">
      <c r="A17811" t="s">
        <v>24</v>
      </c>
      <c r="B17811" t="s">
        <v>56742</v>
      </c>
      <c r="C17811" t="str">
        <f>"A0090841"</f>
        <v>A0090841</v>
      </c>
      <c r="D17811" t="s">
        <v>64653</v>
      </c>
      <c r="E17811" t="s">
        <v>64654</v>
      </c>
      <c r="F17811" t="s">
        <v>56948</v>
      </c>
      <c r="G17811" t="s">
        <v>110</v>
      </c>
      <c r="H17811">
        <v>95010</v>
      </c>
      <c r="I17811" t="s">
        <v>30</v>
      </c>
      <c r="J17811" t="s">
        <v>31</v>
      </c>
      <c r="K17811" t="s">
        <v>32</v>
      </c>
      <c r="N17811" t="s">
        <v>64655</v>
      </c>
      <c r="O17811" t="s">
        <v>64656</v>
      </c>
      <c r="Q17811">
        <v>0</v>
      </c>
      <c r="R17811">
        <v>84</v>
      </c>
      <c r="S17811">
        <v>0</v>
      </c>
      <c r="T17811" t="s">
        <v>64657</v>
      </c>
    </row>
    <row r="17812" spans="1:20" customFormat="1" ht="15" hidden="1" x14ac:dyDescent="0.25">
      <c r="A17812" t="s">
        <v>24</v>
      </c>
      <c r="B17812" t="s">
        <v>675</v>
      </c>
      <c r="C17812" t="str">
        <f>"A0093554"</f>
        <v>A0093554</v>
      </c>
      <c r="D17812" t="s">
        <v>64658</v>
      </c>
      <c r="E17812" t="s">
        <v>64659</v>
      </c>
      <c r="F17812" t="s">
        <v>8456</v>
      </c>
      <c r="G17812" t="s">
        <v>1457</v>
      </c>
      <c r="H17812" t="s">
        <v>64660</v>
      </c>
      <c r="I17812" t="s">
        <v>1459</v>
      </c>
      <c r="J17812" t="s">
        <v>31</v>
      </c>
      <c r="K17812" t="s">
        <v>32</v>
      </c>
      <c r="N17812" t="s">
        <v>64661</v>
      </c>
      <c r="O17812" t="s">
        <v>64662</v>
      </c>
      <c r="Q17812">
        <v>0</v>
      </c>
      <c r="R17812">
        <v>124</v>
      </c>
      <c r="S17812">
        <v>0</v>
      </c>
      <c r="T17812" t="s">
        <v>64663</v>
      </c>
    </row>
    <row r="17813" spans="1:20" customFormat="1" ht="15" x14ac:dyDescent="0.25">
      <c r="A17813" t="s">
        <v>24</v>
      </c>
      <c r="B17813" t="s">
        <v>64664</v>
      </c>
      <c r="C17813" t="str">
        <f>"A0094527"</f>
        <v>A0094527</v>
      </c>
      <c r="D17813" t="s">
        <v>64665</v>
      </c>
      <c r="E17813" t="s">
        <v>64666</v>
      </c>
      <c r="F17813" t="s">
        <v>33034</v>
      </c>
      <c r="G17813" t="s">
        <v>110</v>
      </c>
      <c r="H17813">
        <v>93010</v>
      </c>
      <c r="I17813" t="s">
        <v>30</v>
      </c>
      <c r="J17813" t="s">
        <v>31</v>
      </c>
      <c r="K17813" t="s">
        <v>32</v>
      </c>
      <c r="N17813" t="s">
        <v>64667</v>
      </c>
      <c r="Q17813">
        <v>0</v>
      </c>
      <c r="R17813">
        <v>102</v>
      </c>
      <c r="S17813">
        <v>0</v>
      </c>
      <c r="T17813" t="s">
        <v>64668</v>
      </c>
    </row>
    <row r="17814" spans="1:20" customFormat="1" ht="15" x14ac:dyDescent="0.25">
      <c r="A17814" t="s">
        <v>24</v>
      </c>
      <c r="B17814" t="s">
        <v>4990</v>
      </c>
      <c r="C17814" t="str">
        <f>"A0056317"</f>
        <v>A0056317</v>
      </c>
      <c r="D17814" t="s">
        <v>64669</v>
      </c>
      <c r="E17814" t="s">
        <v>64670</v>
      </c>
      <c r="F17814" t="s">
        <v>57308</v>
      </c>
      <c r="G17814" t="s">
        <v>65</v>
      </c>
      <c r="H17814">
        <v>43725</v>
      </c>
      <c r="I17814" t="s">
        <v>30</v>
      </c>
      <c r="J17814" t="s">
        <v>31</v>
      </c>
      <c r="K17814" t="s">
        <v>32</v>
      </c>
      <c r="N17814" t="s">
        <v>64671</v>
      </c>
      <c r="Q17814">
        <v>0</v>
      </c>
      <c r="R17814">
        <v>99</v>
      </c>
      <c r="S17814">
        <v>0</v>
      </c>
      <c r="T17814" t="s">
        <v>64672</v>
      </c>
    </row>
    <row r="17815" spans="1:20" customFormat="1" ht="15" x14ac:dyDescent="0.25">
      <c r="A17815" t="s">
        <v>24</v>
      </c>
      <c r="B17815" t="s">
        <v>62173</v>
      </c>
      <c r="C17815" t="str">
        <f>"A0086136"</f>
        <v>A0086136</v>
      </c>
      <c r="D17815" t="s">
        <v>64673</v>
      </c>
      <c r="E17815" t="s">
        <v>64674</v>
      </c>
      <c r="F17815" t="s">
        <v>64675</v>
      </c>
      <c r="G17815" t="s">
        <v>103</v>
      </c>
      <c r="H17815">
        <v>17015</v>
      </c>
      <c r="I17815" t="s">
        <v>30</v>
      </c>
      <c r="J17815" t="s">
        <v>31</v>
      </c>
      <c r="K17815" t="s">
        <v>32</v>
      </c>
      <c r="N17815" t="s">
        <v>64676</v>
      </c>
      <c r="Q17815">
        <v>0</v>
      </c>
      <c r="R17815">
        <v>84</v>
      </c>
      <c r="S17815">
        <v>0</v>
      </c>
      <c r="T17815" t="s">
        <v>64677</v>
      </c>
    </row>
    <row r="17816" spans="1:20" customFormat="1" ht="15" x14ac:dyDescent="0.25">
      <c r="A17816" t="s">
        <v>24</v>
      </c>
      <c r="B17816" t="s">
        <v>1317</v>
      </c>
      <c r="C17816" t="str">
        <f>"A0089916"</f>
        <v>A0089916</v>
      </c>
      <c r="D17816" t="s">
        <v>64678</v>
      </c>
      <c r="E17816" t="s">
        <v>64679</v>
      </c>
      <c r="F17816" t="s">
        <v>64680</v>
      </c>
      <c r="G17816" t="s">
        <v>1587</v>
      </c>
      <c r="H17816">
        <v>88220</v>
      </c>
      <c r="I17816" t="s">
        <v>30</v>
      </c>
      <c r="J17816" t="s">
        <v>31</v>
      </c>
      <c r="K17816" t="s">
        <v>32</v>
      </c>
      <c r="N17816" t="s">
        <v>64681</v>
      </c>
      <c r="Q17816">
        <v>0</v>
      </c>
      <c r="R17816">
        <v>91</v>
      </c>
      <c r="S17816">
        <v>0</v>
      </c>
      <c r="T17816" t="s">
        <v>64682</v>
      </c>
    </row>
    <row r="17817" spans="1:20" customFormat="1" ht="15" x14ac:dyDescent="0.25">
      <c r="A17817" t="s">
        <v>24</v>
      </c>
      <c r="B17817" t="s">
        <v>4990</v>
      </c>
      <c r="C17817" t="str">
        <f>"A0090480"</f>
        <v>A0090480</v>
      </c>
      <c r="D17817" t="s">
        <v>64683</v>
      </c>
      <c r="E17817" t="s">
        <v>64684</v>
      </c>
      <c r="F17817" t="s">
        <v>57858</v>
      </c>
      <c r="G17817" t="s">
        <v>1898</v>
      </c>
      <c r="H17817">
        <v>52404</v>
      </c>
      <c r="I17817" t="s">
        <v>30</v>
      </c>
      <c r="J17817" t="s">
        <v>31</v>
      </c>
      <c r="K17817" t="s">
        <v>32</v>
      </c>
      <c r="N17817" t="s">
        <v>64685</v>
      </c>
      <c r="Q17817">
        <v>0</v>
      </c>
      <c r="R17817">
        <v>92</v>
      </c>
      <c r="S17817">
        <v>0</v>
      </c>
      <c r="T17817" t="s">
        <v>64686</v>
      </c>
    </row>
    <row r="17818" spans="1:20" customFormat="1" ht="15" x14ac:dyDescent="0.25">
      <c r="A17818" t="s">
        <v>24</v>
      </c>
      <c r="B17818" t="s">
        <v>2910</v>
      </c>
      <c r="C17818" t="str">
        <f>"A0101100"</f>
        <v>A0101100</v>
      </c>
      <c r="D17818" t="s">
        <v>64687</v>
      </c>
      <c r="E17818" t="s">
        <v>64688</v>
      </c>
      <c r="F17818" t="s">
        <v>5369</v>
      </c>
      <c r="G17818" t="s">
        <v>507</v>
      </c>
      <c r="H17818">
        <v>25303</v>
      </c>
      <c r="I17818" t="s">
        <v>30</v>
      </c>
      <c r="J17818" t="s">
        <v>31</v>
      </c>
      <c r="K17818" t="s">
        <v>32</v>
      </c>
      <c r="N17818" t="s">
        <v>64689</v>
      </c>
      <c r="Q17818">
        <v>0</v>
      </c>
      <c r="R17818">
        <v>94</v>
      </c>
      <c r="S17818">
        <v>0</v>
      </c>
      <c r="T17818" t="s">
        <v>64690</v>
      </c>
    </row>
    <row r="17819" spans="1:20" customFormat="1" ht="15" x14ac:dyDescent="0.25">
      <c r="A17819" t="s">
        <v>24</v>
      </c>
      <c r="B17819" t="s">
        <v>1092</v>
      </c>
      <c r="C17819" t="str">
        <f>"A0091518"</f>
        <v>A0091518</v>
      </c>
      <c r="D17819" t="s">
        <v>64691</v>
      </c>
      <c r="E17819" t="s">
        <v>64692</v>
      </c>
      <c r="F17819" t="s">
        <v>13824</v>
      </c>
      <c r="G17819" t="s">
        <v>58</v>
      </c>
      <c r="H17819">
        <v>29418</v>
      </c>
      <c r="I17819" t="s">
        <v>30</v>
      </c>
      <c r="J17819" t="s">
        <v>31</v>
      </c>
      <c r="K17819" t="s">
        <v>32</v>
      </c>
      <c r="N17819" t="s">
        <v>64693</v>
      </c>
      <c r="Q17819">
        <v>0</v>
      </c>
      <c r="R17819">
        <v>102</v>
      </c>
      <c r="S17819">
        <v>0</v>
      </c>
      <c r="T17819" t="s">
        <v>64694</v>
      </c>
    </row>
    <row r="17820" spans="1:20" customFormat="1" ht="15" x14ac:dyDescent="0.25">
      <c r="A17820" t="s">
        <v>24</v>
      </c>
      <c r="B17820" t="s">
        <v>59626</v>
      </c>
      <c r="C17820" t="str">
        <f>"A0088076"</f>
        <v>A0088076</v>
      </c>
      <c r="D17820" t="s">
        <v>64695</v>
      </c>
      <c r="E17820" t="s">
        <v>64696</v>
      </c>
      <c r="F17820" t="s">
        <v>5369</v>
      </c>
      <c r="G17820" t="s">
        <v>58</v>
      </c>
      <c r="H17820">
        <v>29420</v>
      </c>
      <c r="I17820" t="s">
        <v>30</v>
      </c>
      <c r="J17820" t="s">
        <v>31</v>
      </c>
      <c r="K17820" t="s">
        <v>32</v>
      </c>
      <c r="N17820" t="s">
        <v>64697</v>
      </c>
      <c r="Q17820">
        <v>0</v>
      </c>
      <c r="R17820">
        <v>84</v>
      </c>
      <c r="S17820">
        <v>0</v>
      </c>
      <c r="T17820" t="s">
        <v>64698</v>
      </c>
    </row>
    <row r="17821" spans="1:20" customFormat="1" ht="15" x14ac:dyDescent="0.25">
      <c r="A17821" t="s">
        <v>24</v>
      </c>
      <c r="B17821" t="s">
        <v>13299</v>
      </c>
      <c r="C17821" t="str">
        <f>"A0083779"</f>
        <v>A0083779</v>
      </c>
      <c r="D17821" t="s">
        <v>64699</v>
      </c>
      <c r="E17821" t="s">
        <v>64700</v>
      </c>
      <c r="F17821" t="s">
        <v>1926</v>
      </c>
      <c r="G17821" t="s">
        <v>214</v>
      </c>
      <c r="H17821">
        <v>28204</v>
      </c>
      <c r="I17821" t="s">
        <v>30</v>
      </c>
      <c r="J17821" t="s">
        <v>31</v>
      </c>
      <c r="K17821" t="s">
        <v>32</v>
      </c>
      <c r="N17821" t="s">
        <v>64701</v>
      </c>
      <c r="Q17821">
        <v>0</v>
      </c>
      <c r="R17821">
        <v>193</v>
      </c>
      <c r="S17821">
        <v>0</v>
      </c>
      <c r="T17821" t="s">
        <v>64702</v>
      </c>
    </row>
    <row r="17822" spans="1:20" customFormat="1" ht="15" x14ac:dyDescent="0.25">
      <c r="A17822" t="s">
        <v>24</v>
      </c>
      <c r="B17822" t="s">
        <v>63685</v>
      </c>
      <c r="C17822" t="str">
        <f>"432SM"</f>
        <v>432SM</v>
      </c>
      <c r="D17822" t="s">
        <v>64703</v>
      </c>
      <c r="E17822" t="s">
        <v>64704</v>
      </c>
      <c r="F17822" t="s">
        <v>242</v>
      </c>
      <c r="G17822" t="s">
        <v>214</v>
      </c>
      <c r="H17822">
        <v>28273</v>
      </c>
      <c r="I17822" t="s">
        <v>30</v>
      </c>
      <c r="J17822" t="s">
        <v>31</v>
      </c>
      <c r="K17822" t="s">
        <v>32</v>
      </c>
      <c r="N17822" t="s">
        <v>64705</v>
      </c>
      <c r="Q17822">
        <v>0</v>
      </c>
      <c r="R17822">
        <v>82</v>
      </c>
      <c r="S17822">
        <v>0</v>
      </c>
      <c r="T17822" t="s">
        <v>64706</v>
      </c>
    </row>
    <row r="17823" spans="1:20" customFormat="1" ht="15" x14ac:dyDescent="0.25">
      <c r="A17823" t="s">
        <v>24</v>
      </c>
      <c r="B17823" t="s">
        <v>3159</v>
      </c>
      <c r="C17823" t="str">
        <f>"A0089417"</f>
        <v>A0089417</v>
      </c>
      <c r="D17823" t="s">
        <v>64707</v>
      </c>
      <c r="E17823" t="s">
        <v>64708</v>
      </c>
      <c r="F17823" t="s">
        <v>242</v>
      </c>
      <c r="G17823" t="s">
        <v>214</v>
      </c>
      <c r="H17823">
        <v>28227</v>
      </c>
      <c r="I17823" t="s">
        <v>30</v>
      </c>
      <c r="J17823" t="s">
        <v>31</v>
      </c>
      <c r="K17823" t="s">
        <v>32</v>
      </c>
      <c r="N17823" t="s">
        <v>64709</v>
      </c>
      <c r="Q17823">
        <v>0</v>
      </c>
      <c r="R17823">
        <v>94</v>
      </c>
      <c r="S17823">
        <v>0</v>
      </c>
      <c r="T17823" t="s">
        <v>64710</v>
      </c>
    </row>
    <row r="17824" spans="1:20" customFormat="1" ht="15" x14ac:dyDescent="0.25">
      <c r="A17824" t="s">
        <v>24</v>
      </c>
      <c r="B17824" t="s">
        <v>1323</v>
      </c>
      <c r="C17824" t="str">
        <f>"SF01559"</f>
        <v>SF01559</v>
      </c>
      <c r="D17824" t="s">
        <v>64711</v>
      </c>
      <c r="E17824" t="s">
        <v>64712</v>
      </c>
      <c r="F17824" t="s">
        <v>1904</v>
      </c>
      <c r="G17824" t="s">
        <v>880</v>
      </c>
      <c r="H17824">
        <v>37421</v>
      </c>
      <c r="I17824" t="s">
        <v>30</v>
      </c>
      <c r="J17824" t="s">
        <v>31</v>
      </c>
      <c r="K17824" t="s">
        <v>32</v>
      </c>
      <c r="N17824" t="s">
        <v>64713</v>
      </c>
      <c r="Q17824">
        <v>0</v>
      </c>
      <c r="R17824">
        <v>108</v>
      </c>
      <c r="S17824">
        <v>0</v>
      </c>
      <c r="T17824" t="s">
        <v>64714</v>
      </c>
    </row>
    <row r="17825" spans="1:20" customFormat="1" ht="15" x14ac:dyDescent="0.25">
      <c r="A17825" t="s">
        <v>24</v>
      </c>
      <c r="B17825" t="s">
        <v>9391</v>
      </c>
      <c r="C17825" t="str">
        <f>"A0088211"</f>
        <v>A0088211</v>
      </c>
      <c r="D17825" t="s">
        <v>64715</v>
      </c>
      <c r="E17825" t="s">
        <v>64716</v>
      </c>
      <c r="F17825" t="s">
        <v>1346</v>
      </c>
      <c r="G17825" t="s">
        <v>880</v>
      </c>
      <c r="H17825">
        <v>37419</v>
      </c>
      <c r="I17825" t="s">
        <v>30</v>
      </c>
      <c r="J17825" t="s">
        <v>31</v>
      </c>
      <c r="K17825" t="s">
        <v>32</v>
      </c>
      <c r="N17825" t="s">
        <v>64717</v>
      </c>
      <c r="Q17825">
        <v>0</v>
      </c>
      <c r="R17825">
        <v>90</v>
      </c>
      <c r="S17825">
        <v>0</v>
      </c>
      <c r="T17825" t="s">
        <v>64718</v>
      </c>
    </row>
    <row r="17826" spans="1:20" customFormat="1" ht="15" x14ac:dyDescent="0.25">
      <c r="A17826" t="s">
        <v>24</v>
      </c>
      <c r="B17826" t="s">
        <v>1323</v>
      </c>
      <c r="C17826" t="str">
        <f>"A0087684"</f>
        <v>A0087684</v>
      </c>
      <c r="D17826" t="s">
        <v>64719</v>
      </c>
      <c r="E17826" t="s">
        <v>64720</v>
      </c>
      <c r="F17826" t="s">
        <v>64721</v>
      </c>
      <c r="G17826" t="s">
        <v>880</v>
      </c>
      <c r="H17826">
        <v>37412</v>
      </c>
      <c r="I17826" t="s">
        <v>30</v>
      </c>
      <c r="J17826" t="s">
        <v>31</v>
      </c>
      <c r="K17826" t="s">
        <v>32</v>
      </c>
      <c r="N17826" t="s">
        <v>64722</v>
      </c>
      <c r="Q17826">
        <v>0</v>
      </c>
      <c r="R17826">
        <v>79</v>
      </c>
      <c r="S17826">
        <v>0</v>
      </c>
      <c r="T17826" t="s">
        <v>64723</v>
      </c>
    </row>
    <row r="17827" spans="1:20" customFormat="1" ht="15" x14ac:dyDescent="0.25">
      <c r="A17827" t="s">
        <v>24</v>
      </c>
      <c r="B17827" t="s">
        <v>57575</v>
      </c>
      <c r="C17827" t="str">
        <f>"A0086093"</f>
        <v>A0086093</v>
      </c>
      <c r="D17827" t="s">
        <v>64724</v>
      </c>
      <c r="E17827" t="s">
        <v>64725</v>
      </c>
      <c r="F17827" t="s">
        <v>16286</v>
      </c>
      <c r="G17827" t="s">
        <v>29</v>
      </c>
      <c r="H17827">
        <v>23321</v>
      </c>
      <c r="I17827" t="s">
        <v>30</v>
      </c>
      <c r="J17827" t="s">
        <v>31</v>
      </c>
      <c r="K17827" t="s">
        <v>32</v>
      </c>
      <c r="N17827" t="s">
        <v>64726</v>
      </c>
      <c r="O17827" t="s">
        <v>57579</v>
      </c>
      <c r="Q17827">
        <v>0</v>
      </c>
      <c r="R17827">
        <v>82</v>
      </c>
      <c r="S17827">
        <v>0</v>
      </c>
      <c r="T17827" t="s">
        <v>64727</v>
      </c>
    </row>
    <row r="17828" spans="1:20" customFormat="1" ht="15" x14ac:dyDescent="0.25">
      <c r="A17828" t="s">
        <v>24</v>
      </c>
      <c r="B17828" t="s">
        <v>1487</v>
      </c>
      <c r="C17828" t="str">
        <f>"A0091802"</f>
        <v>A0091802</v>
      </c>
      <c r="D17828" t="s">
        <v>64728</v>
      </c>
      <c r="E17828" t="s">
        <v>64729</v>
      </c>
      <c r="F17828" t="s">
        <v>716</v>
      </c>
      <c r="G17828" t="s">
        <v>289</v>
      </c>
      <c r="H17828">
        <v>60654</v>
      </c>
      <c r="I17828" t="s">
        <v>30</v>
      </c>
      <c r="J17828" t="s">
        <v>31</v>
      </c>
      <c r="K17828" t="s">
        <v>32</v>
      </c>
      <c r="N17828" t="s">
        <v>55789</v>
      </c>
      <c r="Q17828">
        <v>0</v>
      </c>
      <c r="R17828">
        <v>180</v>
      </c>
      <c r="S17828">
        <v>0</v>
      </c>
      <c r="T17828" t="s">
        <v>64730</v>
      </c>
    </row>
    <row r="17829" spans="1:20" customFormat="1" ht="15" x14ac:dyDescent="0.25">
      <c r="A17829" t="s">
        <v>24</v>
      </c>
      <c r="B17829" t="s">
        <v>64731</v>
      </c>
      <c r="C17829" t="str">
        <f>"4321F"</f>
        <v>4321F</v>
      </c>
      <c r="D17829" t="s">
        <v>64732</v>
      </c>
      <c r="E17829" t="s">
        <v>64733</v>
      </c>
      <c r="F17829" t="s">
        <v>716</v>
      </c>
      <c r="G17829" t="s">
        <v>289</v>
      </c>
      <c r="H17829">
        <v>60611</v>
      </c>
      <c r="I17829" t="s">
        <v>30</v>
      </c>
      <c r="J17829" t="s">
        <v>31</v>
      </c>
      <c r="K17829" t="s">
        <v>32</v>
      </c>
      <c r="N17829" t="s">
        <v>64734</v>
      </c>
      <c r="O17829" t="s">
        <v>64735</v>
      </c>
      <c r="Q17829">
        <v>0</v>
      </c>
      <c r="R17829">
        <v>185</v>
      </c>
      <c r="S17829">
        <v>0</v>
      </c>
      <c r="T17829" t="s">
        <v>64736</v>
      </c>
    </row>
    <row r="17830" spans="1:20" customFormat="1" ht="15" x14ac:dyDescent="0.25">
      <c r="A17830" t="s">
        <v>24</v>
      </c>
      <c r="B17830" t="s">
        <v>34033</v>
      </c>
      <c r="C17830" t="str">
        <f>"432ZU"</f>
        <v>432ZU</v>
      </c>
      <c r="D17830" t="s">
        <v>64737</v>
      </c>
      <c r="E17830" t="s">
        <v>64738</v>
      </c>
      <c r="F17830" t="s">
        <v>60065</v>
      </c>
      <c r="G17830" t="s">
        <v>289</v>
      </c>
      <c r="H17830">
        <v>60563</v>
      </c>
      <c r="I17830" t="s">
        <v>30</v>
      </c>
      <c r="J17830" t="s">
        <v>31</v>
      </c>
      <c r="K17830" t="s">
        <v>32</v>
      </c>
      <c r="N17830" t="s">
        <v>64739</v>
      </c>
      <c r="O17830" t="s">
        <v>64740</v>
      </c>
      <c r="Q17830">
        <v>0</v>
      </c>
      <c r="R17830">
        <v>105</v>
      </c>
      <c r="S17830">
        <v>0</v>
      </c>
      <c r="T17830" t="s">
        <v>64741</v>
      </c>
    </row>
    <row r="17831" spans="1:20" customFormat="1" ht="15" x14ac:dyDescent="0.25">
      <c r="A17831" t="s">
        <v>24</v>
      </c>
      <c r="B17831" t="s">
        <v>1138</v>
      </c>
      <c r="C17831" t="str">
        <f>"88CN024"</f>
        <v>88CN024</v>
      </c>
      <c r="D17831" t="s">
        <v>64742</v>
      </c>
      <c r="E17831" t="s">
        <v>64743</v>
      </c>
      <c r="F17831" t="s">
        <v>13716</v>
      </c>
      <c r="G17831" t="s">
        <v>65</v>
      </c>
      <c r="H17831">
        <v>45245</v>
      </c>
      <c r="I17831" t="s">
        <v>30</v>
      </c>
      <c r="J17831" t="s">
        <v>31</v>
      </c>
      <c r="K17831" t="s">
        <v>32</v>
      </c>
      <c r="N17831" t="s">
        <v>64744</v>
      </c>
      <c r="O17831" t="s">
        <v>3486</v>
      </c>
      <c r="Q17831">
        <v>0</v>
      </c>
      <c r="R17831">
        <v>78</v>
      </c>
      <c r="S17831">
        <v>0</v>
      </c>
      <c r="T17831" t="s">
        <v>64745</v>
      </c>
    </row>
    <row r="17832" spans="1:20" customFormat="1" ht="15" x14ac:dyDescent="0.25">
      <c r="A17832" t="s">
        <v>24</v>
      </c>
      <c r="B17832" t="s">
        <v>2005</v>
      </c>
      <c r="C17832" t="str">
        <f>"A0149061"</f>
        <v>A0149061</v>
      </c>
      <c r="D17832" t="s">
        <v>64746</v>
      </c>
      <c r="E17832" t="s">
        <v>64747</v>
      </c>
      <c r="F17832" t="s">
        <v>2352</v>
      </c>
      <c r="G17832" t="s">
        <v>840</v>
      </c>
      <c r="H17832">
        <v>41042</v>
      </c>
      <c r="I17832" t="s">
        <v>30</v>
      </c>
      <c r="J17832" t="s">
        <v>31</v>
      </c>
      <c r="K17832" t="s">
        <v>32</v>
      </c>
      <c r="N17832" t="s">
        <v>64748</v>
      </c>
      <c r="Q17832">
        <v>0</v>
      </c>
      <c r="R17832">
        <v>92</v>
      </c>
      <c r="S17832">
        <v>0</v>
      </c>
      <c r="T17832" t="s">
        <v>64749</v>
      </c>
    </row>
    <row r="17833" spans="1:20" customFormat="1" ht="15" x14ac:dyDescent="0.25">
      <c r="A17833" t="s">
        <v>24</v>
      </c>
      <c r="B17833" t="s">
        <v>4341</v>
      </c>
      <c r="C17833" t="str">
        <f>"A0096694"</f>
        <v>A0096694</v>
      </c>
      <c r="D17833" t="s">
        <v>64750</v>
      </c>
      <c r="E17833" t="s">
        <v>64751</v>
      </c>
      <c r="F17833" t="s">
        <v>13716</v>
      </c>
      <c r="G17833" t="s">
        <v>65</v>
      </c>
      <c r="H17833">
        <v>45219</v>
      </c>
      <c r="I17833" t="s">
        <v>30</v>
      </c>
      <c r="J17833" t="s">
        <v>31</v>
      </c>
      <c r="K17833" t="s">
        <v>32</v>
      </c>
      <c r="N17833" t="s">
        <v>64752</v>
      </c>
      <c r="O17833" t="s">
        <v>64753</v>
      </c>
      <c r="Q17833">
        <v>0</v>
      </c>
      <c r="R17833">
        <v>115</v>
      </c>
      <c r="S17833">
        <v>0</v>
      </c>
      <c r="T17833" t="s">
        <v>64754</v>
      </c>
    </row>
    <row r="17834" spans="1:20" customFormat="1" ht="15" x14ac:dyDescent="0.25">
      <c r="A17834" t="s">
        <v>24</v>
      </c>
      <c r="B17834" t="s">
        <v>9391</v>
      </c>
      <c r="C17834" t="str">
        <f>"A0085824"</f>
        <v>A0085824</v>
      </c>
      <c r="D17834" t="s">
        <v>64755</v>
      </c>
      <c r="E17834" t="s">
        <v>64756</v>
      </c>
      <c r="F17834" t="s">
        <v>2307</v>
      </c>
      <c r="G17834" t="s">
        <v>880</v>
      </c>
      <c r="H17834">
        <v>37312</v>
      </c>
      <c r="I17834" t="s">
        <v>30</v>
      </c>
      <c r="J17834" t="s">
        <v>31</v>
      </c>
      <c r="K17834" t="s">
        <v>32</v>
      </c>
      <c r="N17834" t="s">
        <v>64757</v>
      </c>
      <c r="Q17834">
        <v>0</v>
      </c>
      <c r="R17834">
        <v>82</v>
      </c>
      <c r="S17834">
        <v>0</v>
      </c>
      <c r="T17834" t="s">
        <v>64758</v>
      </c>
    </row>
    <row r="17835" spans="1:20" customFormat="1" ht="15" x14ac:dyDescent="0.25">
      <c r="A17835" t="s">
        <v>24</v>
      </c>
      <c r="B17835" t="s">
        <v>5558</v>
      </c>
      <c r="C17835" t="str">
        <f>"A0077171"</f>
        <v>A0077171</v>
      </c>
      <c r="D17835" t="s">
        <v>64759</v>
      </c>
      <c r="E17835" t="s">
        <v>64760</v>
      </c>
      <c r="F17835" t="s">
        <v>64761</v>
      </c>
      <c r="G17835" t="s">
        <v>1587</v>
      </c>
      <c r="H17835">
        <v>88101</v>
      </c>
      <c r="I17835" t="s">
        <v>30</v>
      </c>
      <c r="J17835" t="s">
        <v>31</v>
      </c>
      <c r="K17835" t="s">
        <v>32</v>
      </c>
      <c r="N17835" t="s">
        <v>64762</v>
      </c>
      <c r="Q17835">
        <v>0</v>
      </c>
      <c r="R17835">
        <v>69</v>
      </c>
      <c r="S17835">
        <v>0</v>
      </c>
      <c r="T17835" t="s">
        <v>64763</v>
      </c>
    </row>
    <row r="17836" spans="1:20" customFormat="1" ht="15" x14ac:dyDescent="0.25">
      <c r="A17836" t="s">
        <v>24</v>
      </c>
      <c r="B17836" t="s">
        <v>649</v>
      </c>
      <c r="C17836" t="str">
        <f>"A0087387"</f>
        <v>A0087387</v>
      </c>
      <c r="D17836" t="s">
        <v>64764</v>
      </c>
      <c r="E17836" t="s">
        <v>64765</v>
      </c>
      <c r="F17836" t="s">
        <v>1858</v>
      </c>
      <c r="G17836" t="s">
        <v>190</v>
      </c>
      <c r="H17836">
        <v>80921</v>
      </c>
      <c r="I17836" t="s">
        <v>30</v>
      </c>
      <c r="J17836" t="s">
        <v>31</v>
      </c>
      <c r="K17836" t="s">
        <v>32</v>
      </c>
      <c r="N17836" t="s">
        <v>64766</v>
      </c>
      <c r="Q17836">
        <v>0</v>
      </c>
      <c r="R17836">
        <v>85</v>
      </c>
      <c r="S17836">
        <v>0</v>
      </c>
      <c r="T17836" t="s">
        <v>64767</v>
      </c>
    </row>
    <row r="17837" spans="1:20" customFormat="1" ht="15" x14ac:dyDescent="0.25">
      <c r="A17837" t="s">
        <v>24</v>
      </c>
      <c r="B17837" t="s">
        <v>1317</v>
      </c>
      <c r="C17837" t="str">
        <f>"A0148421"</f>
        <v>A0148421</v>
      </c>
      <c r="D17837" t="s">
        <v>64768</v>
      </c>
      <c r="E17837" t="s">
        <v>64769</v>
      </c>
      <c r="F17837" t="s">
        <v>1858</v>
      </c>
      <c r="G17837" t="s">
        <v>190</v>
      </c>
      <c r="H17837">
        <v>80922</v>
      </c>
      <c r="I17837" t="s">
        <v>30</v>
      </c>
      <c r="J17837" t="s">
        <v>31</v>
      </c>
      <c r="K17837" t="s">
        <v>32</v>
      </c>
      <c r="N17837" t="s">
        <v>64770</v>
      </c>
      <c r="Q17837">
        <v>0</v>
      </c>
      <c r="R17837">
        <v>80</v>
      </c>
      <c r="S17837">
        <v>0</v>
      </c>
      <c r="T17837" t="s">
        <v>64771</v>
      </c>
    </row>
    <row r="17838" spans="1:20" customFormat="1" ht="15" x14ac:dyDescent="0.25">
      <c r="A17838" t="s">
        <v>24</v>
      </c>
      <c r="B17838" t="s">
        <v>257</v>
      </c>
      <c r="C17838" t="str">
        <f>"A0089817"</f>
        <v>A0089817</v>
      </c>
      <c r="D17838" t="s">
        <v>64772</v>
      </c>
      <c r="E17838" t="s">
        <v>64773</v>
      </c>
      <c r="F17838" t="s">
        <v>64774</v>
      </c>
      <c r="G17838" t="s">
        <v>1369</v>
      </c>
      <c r="H17838">
        <v>39701</v>
      </c>
      <c r="I17838" t="s">
        <v>30</v>
      </c>
      <c r="J17838" t="s">
        <v>31</v>
      </c>
      <c r="K17838" t="s">
        <v>32</v>
      </c>
      <c r="N17838" t="s">
        <v>64775</v>
      </c>
      <c r="Q17838">
        <v>0</v>
      </c>
      <c r="R17838">
        <v>85</v>
      </c>
      <c r="S17838">
        <v>0</v>
      </c>
      <c r="T17838" t="s">
        <v>64776</v>
      </c>
    </row>
    <row r="17839" spans="1:20" customFormat="1" ht="15" x14ac:dyDescent="0.25">
      <c r="A17839" t="s">
        <v>24</v>
      </c>
      <c r="B17839" t="s">
        <v>2583</v>
      </c>
      <c r="C17839" t="str">
        <f>"A0084465"</f>
        <v>A0084465</v>
      </c>
      <c r="D17839" t="s">
        <v>64777</v>
      </c>
      <c r="E17839" t="s">
        <v>64778</v>
      </c>
      <c r="F17839" t="s">
        <v>1525</v>
      </c>
      <c r="G17839" t="s">
        <v>65</v>
      </c>
      <c r="H17839">
        <v>43219</v>
      </c>
      <c r="I17839" t="s">
        <v>30</v>
      </c>
      <c r="J17839" t="s">
        <v>31</v>
      </c>
      <c r="K17839" t="s">
        <v>32</v>
      </c>
      <c r="N17839" t="s">
        <v>64779</v>
      </c>
      <c r="Q17839">
        <v>0</v>
      </c>
      <c r="R17839">
        <v>121</v>
      </c>
      <c r="S17839">
        <v>0</v>
      </c>
      <c r="T17839" t="s">
        <v>64780</v>
      </c>
    </row>
    <row r="17840" spans="1:20" customFormat="1" ht="15" x14ac:dyDescent="0.25">
      <c r="A17840" t="s">
        <v>24</v>
      </c>
      <c r="B17840" t="s">
        <v>64474</v>
      </c>
      <c r="C17840" t="str">
        <f>"A0153179"</f>
        <v>A0153179</v>
      </c>
      <c r="D17840" t="s">
        <v>64781</v>
      </c>
      <c r="E17840" t="s">
        <v>64782</v>
      </c>
      <c r="F17840" t="s">
        <v>1525</v>
      </c>
      <c r="G17840" t="s">
        <v>65</v>
      </c>
      <c r="H17840">
        <v>43081</v>
      </c>
      <c r="I17840" t="s">
        <v>30</v>
      </c>
      <c r="J17840" t="s">
        <v>31</v>
      </c>
      <c r="K17840" t="s">
        <v>32</v>
      </c>
      <c r="N17840" t="s">
        <v>64783</v>
      </c>
      <c r="Q17840">
        <v>0</v>
      </c>
      <c r="R17840">
        <v>121</v>
      </c>
      <c r="S17840">
        <v>0</v>
      </c>
      <c r="T17840" t="s">
        <v>64784</v>
      </c>
    </row>
    <row r="17841" spans="1:20" customFormat="1" ht="15" x14ac:dyDescent="0.25">
      <c r="A17841" t="s">
        <v>24</v>
      </c>
      <c r="B17841" t="s">
        <v>56842</v>
      </c>
      <c r="C17841" t="str">
        <f>"A0093698"</f>
        <v>A0093698</v>
      </c>
      <c r="D17841" t="s">
        <v>64785</v>
      </c>
      <c r="E17841" t="s">
        <v>64786</v>
      </c>
      <c r="F17841" t="s">
        <v>1525</v>
      </c>
      <c r="G17841" t="s">
        <v>65</v>
      </c>
      <c r="H17841">
        <v>43235</v>
      </c>
      <c r="I17841" t="s">
        <v>30</v>
      </c>
      <c r="J17841" t="s">
        <v>31</v>
      </c>
      <c r="K17841" t="s">
        <v>32</v>
      </c>
      <c r="N17841" t="s">
        <v>4830</v>
      </c>
      <c r="O17841" t="s">
        <v>64787</v>
      </c>
      <c r="Q17841">
        <v>0</v>
      </c>
      <c r="R17841">
        <v>83</v>
      </c>
      <c r="S17841">
        <v>0</v>
      </c>
      <c r="T17841" t="s">
        <v>64788</v>
      </c>
    </row>
    <row r="17842" spans="1:20" customFormat="1" ht="15" x14ac:dyDescent="0.25">
      <c r="A17842" t="s">
        <v>24</v>
      </c>
      <c r="B17842" t="s">
        <v>2583</v>
      </c>
      <c r="C17842" t="str">
        <f>"4322D"</f>
        <v>4322D</v>
      </c>
      <c r="D17842" t="s">
        <v>64789</v>
      </c>
      <c r="E17842" t="s">
        <v>64790</v>
      </c>
      <c r="F17842" t="s">
        <v>1525</v>
      </c>
      <c r="G17842" t="s">
        <v>65</v>
      </c>
      <c r="H17842">
        <v>43202</v>
      </c>
      <c r="I17842" t="s">
        <v>30</v>
      </c>
      <c r="J17842" t="s">
        <v>31</v>
      </c>
      <c r="K17842" t="s">
        <v>32</v>
      </c>
      <c r="N17842" t="s">
        <v>64791</v>
      </c>
      <c r="Q17842">
        <v>0</v>
      </c>
      <c r="R17842">
        <v>165</v>
      </c>
      <c r="S17842">
        <v>0</v>
      </c>
      <c r="T17842" t="s">
        <v>64792</v>
      </c>
    </row>
    <row r="17843" spans="1:20" customFormat="1" ht="15" x14ac:dyDescent="0.25">
      <c r="A17843" t="s">
        <v>24</v>
      </c>
      <c r="B17843" t="s">
        <v>64793</v>
      </c>
      <c r="C17843" t="str">
        <f>"A0089974"</f>
        <v>A0089974</v>
      </c>
      <c r="D17843" t="s">
        <v>64794</v>
      </c>
      <c r="E17843" t="s">
        <v>64795</v>
      </c>
      <c r="F17843" t="s">
        <v>64</v>
      </c>
      <c r="G17843" t="s">
        <v>65</v>
      </c>
      <c r="H17843">
        <v>43228</v>
      </c>
      <c r="I17843" t="s">
        <v>30</v>
      </c>
      <c r="J17843" t="s">
        <v>31</v>
      </c>
      <c r="K17843" t="s">
        <v>32</v>
      </c>
      <c r="N17843" t="s">
        <v>64796</v>
      </c>
      <c r="O17843" t="s">
        <v>64797</v>
      </c>
      <c r="Q17843">
        <v>0</v>
      </c>
      <c r="R17843">
        <v>83</v>
      </c>
      <c r="S17843">
        <v>0</v>
      </c>
      <c r="T17843" t="s">
        <v>64798</v>
      </c>
    </row>
    <row r="17844" spans="1:20" customFormat="1" ht="15" x14ac:dyDescent="0.25">
      <c r="A17844" t="s">
        <v>24</v>
      </c>
      <c r="B17844" t="s">
        <v>1323</v>
      </c>
      <c r="C17844" t="str">
        <f>"A0087689"</f>
        <v>A0087689</v>
      </c>
      <c r="D17844" t="s">
        <v>64799</v>
      </c>
      <c r="E17844" t="s">
        <v>64800</v>
      </c>
      <c r="F17844" t="s">
        <v>64801</v>
      </c>
      <c r="G17844" t="s">
        <v>85</v>
      </c>
      <c r="H17844">
        <v>72032</v>
      </c>
      <c r="I17844" t="s">
        <v>30</v>
      </c>
      <c r="J17844" t="s">
        <v>31</v>
      </c>
      <c r="K17844" t="s">
        <v>32</v>
      </c>
      <c r="N17844" t="s">
        <v>64802</v>
      </c>
      <c r="Q17844">
        <v>0</v>
      </c>
      <c r="R17844">
        <v>89</v>
      </c>
      <c r="S17844">
        <v>0</v>
      </c>
      <c r="T17844" t="s">
        <v>64803</v>
      </c>
    </row>
    <row r="17845" spans="1:20" customFormat="1" ht="15" x14ac:dyDescent="0.25">
      <c r="A17845" t="s">
        <v>24</v>
      </c>
      <c r="B17845" t="s">
        <v>2005</v>
      </c>
      <c r="C17845" t="str">
        <f>"A0087207"</f>
        <v>A0087207</v>
      </c>
      <c r="D17845" t="s">
        <v>64804</v>
      </c>
      <c r="E17845" t="s">
        <v>64805</v>
      </c>
      <c r="F17845" t="s">
        <v>13665</v>
      </c>
      <c r="G17845" t="s">
        <v>880</v>
      </c>
      <c r="H17845">
        <v>38506</v>
      </c>
      <c r="I17845" t="s">
        <v>30</v>
      </c>
      <c r="J17845" t="s">
        <v>31</v>
      </c>
      <c r="K17845" t="s">
        <v>32</v>
      </c>
      <c r="N17845" t="s">
        <v>64806</v>
      </c>
      <c r="O17845" t="s">
        <v>14929</v>
      </c>
      <c r="Q17845">
        <v>0</v>
      </c>
      <c r="R17845">
        <v>81</v>
      </c>
      <c r="S17845">
        <v>0</v>
      </c>
      <c r="T17845" t="s">
        <v>64807</v>
      </c>
    </row>
    <row r="17846" spans="1:20" customFormat="1" ht="15" x14ac:dyDescent="0.25">
      <c r="A17846" t="s">
        <v>24</v>
      </c>
      <c r="B17846" t="s">
        <v>5564</v>
      </c>
      <c r="C17846" t="str">
        <f>"A0084479"</f>
        <v>A0084479</v>
      </c>
      <c r="D17846" t="s">
        <v>64808</v>
      </c>
      <c r="E17846" t="s">
        <v>64809</v>
      </c>
      <c r="F17846" t="s">
        <v>64810</v>
      </c>
      <c r="G17846" t="s">
        <v>846</v>
      </c>
      <c r="H17846">
        <v>31015</v>
      </c>
      <c r="I17846" t="s">
        <v>30</v>
      </c>
      <c r="J17846" t="s">
        <v>31</v>
      </c>
      <c r="K17846" t="s">
        <v>32</v>
      </c>
      <c r="N17846" t="s">
        <v>64811</v>
      </c>
      <c r="Q17846">
        <v>0</v>
      </c>
      <c r="R17846">
        <v>51</v>
      </c>
      <c r="S17846">
        <v>0</v>
      </c>
      <c r="T17846" t="s">
        <v>64812</v>
      </c>
    </row>
    <row r="17847" spans="1:20" customFormat="1" ht="15" x14ac:dyDescent="0.25">
      <c r="A17847" t="s">
        <v>24</v>
      </c>
      <c r="B17847" t="s">
        <v>15039</v>
      </c>
      <c r="C17847" t="str">
        <f>"A0096026"</f>
        <v>A0096026</v>
      </c>
      <c r="D17847" t="s">
        <v>64813</v>
      </c>
      <c r="E17847" t="s">
        <v>64814</v>
      </c>
      <c r="F17847" t="s">
        <v>2094</v>
      </c>
      <c r="G17847" t="s">
        <v>52</v>
      </c>
      <c r="H17847">
        <v>75212</v>
      </c>
      <c r="I17847" t="s">
        <v>30</v>
      </c>
      <c r="J17847" t="s">
        <v>31</v>
      </c>
      <c r="K17847" t="s">
        <v>32</v>
      </c>
      <c r="N17847" t="s">
        <v>64815</v>
      </c>
      <c r="Q17847">
        <v>0</v>
      </c>
      <c r="R17847">
        <v>82</v>
      </c>
      <c r="S17847">
        <v>0</v>
      </c>
      <c r="T17847" t="s">
        <v>64816</v>
      </c>
    </row>
    <row r="17848" spans="1:20" customFormat="1" ht="15" x14ac:dyDescent="0.25">
      <c r="A17848" t="s">
        <v>24</v>
      </c>
      <c r="B17848" t="s">
        <v>1098</v>
      </c>
      <c r="C17848" t="str">
        <f>"A0117458"</f>
        <v>A0117458</v>
      </c>
      <c r="D17848" t="s">
        <v>64817</v>
      </c>
      <c r="E17848" t="s">
        <v>64818</v>
      </c>
      <c r="F17848" t="s">
        <v>33838</v>
      </c>
      <c r="G17848" t="s">
        <v>65</v>
      </c>
      <c r="H17848">
        <v>45402</v>
      </c>
      <c r="I17848" t="s">
        <v>30</v>
      </c>
      <c r="J17848" t="s">
        <v>31</v>
      </c>
      <c r="K17848" t="s">
        <v>32</v>
      </c>
      <c r="N17848" t="s">
        <v>64819</v>
      </c>
      <c r="Q17848">
        <v>0</v>
      </c>
      <c r="R17848">
        <v>98</v>
      </c>
      <c r="S17848">
        <v>0</v>
      </c>
      <c r="T17848" t="s">
        <v>64820</v>
      </c>
    </row>
    <row r="17849" spans="1:20" customFormat="1" ht="15" x14ac:dyDescent="0.25">
      <c r="A17849" t="s">
        <v>24</v>
      </c>
      <c r="B17849" t="s">
        <v>64821</v>
      </c>
      <c r="C17849" t="str">
        <f>"432BF"</f>
        <v>432BF</v>
      </c>
      <c r="D17849" t="s">
        <v>64822</v>
      </c>
      <c r="E17849" t="s">
        <v>64823</v>
      </c>
      <c r="F17849" t="s">
        <v>6314</v>
      </c>
      <c r="G17849" t="s">
        <v>65</v>
      </c>
      <c r="H17849">
        <v>45373</v>
      </c>
      <c r="I17849" t="s">
        <v>30</v>
      </c>
      <c r="J17849" t="s">
        <v>31</v>
      </c>
      <c r="K17849" t="s">
        <v>32</v>
      </c>
      <c r="N17849" t="s">
        <v>64824</v>
      </c>
      <c r="O17849" t="s">
        <v>64825</v>
      </c>
      <c r="Q17849">
        <v>0</v>
      </c>
      <c r="R17849">
        <v>80</v>
      </c>
      <c r="S17849">
        <v>0</v>
      </c>
      <c r="T17849" t="s">
        <v>64826</v>
      </c>
    </row>
    <row r="17850" spans="1:20" customFormat="1" ht="15" x14ac:dyDescent="0.25">
      <c r="A17850" t="s">
        <v>24</v>
      </c>
      <c r="B17850" t="s">
        <v>1098</v>
      </c>
      <c r="C17850" t="str">
        <f>"A0099413"</f>
        <v>A0099413</v>
      </c>
      <c r="D17850" t="s">
        <v>64827</v>
      </c>
      <c r="E17850" t="s">
        <v>64828</v>
      </c>
      <c r="F17850" t="s">
        <v>1258</v>
      </c>
      <c r="G17850" t="s">
        <v>81</v>
      </c>
      <c r="H17850">
        <v>32114</v>
      </c>
      <c r="I17850" t="s">
        <v>30</v>
      </c>
      <c r="J17850" t="s">
        <v>31</v>
      </c>
      <c r="K17850" t="s">
        <v>32</v>
      </c>
      <c r="N17850" t="s">
        <v>64829</v>
      </c>
      <c r="O17850" t="s">
        <v>64830</v>
      </c>
      <c r="Q17850">
        <v>0</v>
      </c>
      <c r="R17850">
        <v>105</v>
      </c>
      <c r="S17850">
        <v>0</v>
      </c>
      <c r="T17850" t="s">
        <v>64831</v>
      </c>
    </row>
    <row r="17851" spans="1:20" customFormat="1" ht="15" x14ac:dyDescent="0.25">
      <c r="A17851" t="s">
        <v>24</v>
      </c>
      <c r="B17851" t="s">
        <v>649</v>
      </c>
      <c r="C17851" t="str">
        <f>"A0100434"</f>
        <v>A0100434</v>
      </c>
      <c r="D17851" t="s">
        <v>64832</v>
      </c>
      <c r="E17851" t="s">
        <v>64833</v>
      </c>
      <c r="F17851" t="s">
        <v>5567</v>
      </c>
      <c r="G17851" t="s">
        <v>52</v>
      </c>
      <c r="H17851">
        <v>76234</v>
      </c>
      <c r="I17851" t="s">
        <v>30</v>
      </c>
      <c r="J17851" t="s">
        <v>31</v>
      </c>
      <c r="K17851" t="s">
        <v>32</v>
      </c>
      <c r="N17851" t="s">
        <v>64834</v>
      </c>
      <c r="Q17851">
        <v>0</v>
      </c>
      <c r="R17851">
        <v>107</v>
      </c>
      <c r="S17851">
        <v>0</v>
      </c>
      <c r="T17851" t="s">
        <v>64835</v>
      </c>
    </row>
    <row r="17852" spans="1:20" customFormat="1" ht="15" x14ac:dyDescent="0.25">
      <c r="A17852" t="s">
        <v>24</v>
      </c>
      <c r="B17852" t="s">
        <v>56986</v>
      </c>
      <c r="C17852" t="str">
        <f>"A0094805"</f>
        <v>A0094805</v>
      </c>
      <c r="D17852" t="s">
        <v>64836</v>
      </c>
      <c r="E17852" t="s">
        <v>64837</v>
      </c>
      <c r="F17852" t="s">
        <v>972</v>
      </c>
      <c r="G17852" t="s">
        <v>190</v>
      </c>
      <c r="H17852">
        <v>80211</v>
      </c>
      <c r="I17852" t="s">
        <v>30</v>
      </c>
      <c r="J17852" t="s">
        <v>31</v>
      </c>
      <c r="K17852" t="s">
        <v>32</v>
      </c>
      <c r="N17852" t="s">
        <v>64838</v>
      </c>
      <c r="Q17852">
        <v>0</v>
      </c>
      <c r="R17852">
        <v>80</v>
      </c>
      <c r="S17852">
        <v>0</v>
      </c>
      <c r="T17852" t="s">
        <v>64839</v>
      </c>
    </row>
    <row r="17853" spans="1:20" customFormat="1" ht="15" x14ac:dyDescent="0.25">
      <c r="A17853" t="s">
        <v>24</v>
      </c>
      <c r="B17853" t="s">
        <v>56735</v>
      </c>
      <c r="C17853" t="str">
        <f>"A0098939"</f>
        <v>A0098939</v>
      </c>
      <c r="D17853" t="s">
        <v>64840</v>
      </c>
      <c r="E17853" t="s">
        <v>64841</v>
      </c>
      <c r="F17853" t="s">
        <v>56738</v>
      </c>
      <c r="G17853" t="s">
        <v>190</v>
      </c>
      <c r="H17853">
        <v>80601</v>
      </c>
      <c r="I17853" t="s">
        <v>30</v>
      </c>
      <c r="J17853" t="s">
        <v>31</v>
      </c>
      <c r="K17853" t="s">
        <v>32</v>
      </c>
      <c r="N17853" t="s">
        <v>56739</v>
      </c>
      <c r="O17853" t="s">
        <v>56740</v>
      </c>
      <c r="Q17853">
        <v>0</v>
      </c>
      <c r="R17853">
        <v>78</v>
      </c>
      <c r="S17853">
        <v>0</v>
      </c>
      <c r="T17853" t="s">
        <v>64842</v>
      </c>
    </row>
    <row r="17854" spans="1:20" customFormat="1" ht="15" x14ac:dyDescent="0.25">
      <c r="A17854" t="s">
        <v>24</v>
      </c>
      <c r="B17854" t="s">
        <v>4855</v>
      </c>
      <c r="C17854" t="str">
        <f>"A0058733"</f>
        <v>A0058733</v>
      </c>
      <c r="D17854" t="s">
        <v>64843</v>
      </c>
      <c r="E17854" t="s">
        <v>64844</v>
      </c>
      <c r="F17854" t="s">
        <v>15239</v>
      </c>
      <c r="G17854" t="s">
        <v>190</v>
      </c>
      <c r="H17854">
        <v>80235</v>
      </c>
      <c r="I17854" t="s">
        <v>30</v>
      </c>
      <c r="J17854" t="s">
        <v>31</v>
      </c>
      <c r="K17854" t="s">
        <v>32</v>
      </c>
      <c r="N17854" t="s">
        <v>1090</v>
      </c>
      <c r="Q17854">
        <v>0</v>
      </c>
      <c r="R17854">
        <v>150</v>
      </c>
      <c r="S17854">
        <v>0</v>
      </c>
      <c r="T17854" t="s">
        <v>64845</v>
      </c>
    </row>
    <row r="17855" spans="1:20" customFormat="1" ht="15" x14ac:dyDescent="0.25">
      <c r="A17855" t="s">
        <v>24</v>
      </c>
      <c r="B17855" t="s">
        <v>2340</v>
      </c>
      <c r="C17855" t="str">
        <f>"A0100624"</f>
        <v>A0100624</v>
      </c>
      <c r="D17855" t="s">
        <v>64846</v>
      </c>
      <c r="E17855" t="s">
        <v>64847</v>
      </c>
      <c r="F17855" t="s">
        <v>972</v>
      </c>
      <c r="G17855" t="s">
        <v>190</v>
      </c>
      <c r="H17855">
        <v>80237</v>
      </c>
      <c r="I17855" t="s">
        <v>30</v>
      </c>
      <c r="J17855" t="s">
        <v>31</v>
      </c>
      <c r="K17855" t="s">
        <v>32</v>
      </c>
      <c r="N17855" t="s">
        <v>64848</v>
      </c>
      <c r="Q17855">
        <v>0</v>
      </c>
      <c r="R17855">
        <v>94</v>
      </c>
      <c r="S17855">
        <v>0</v>
      </c>
      <c r="T17855" t="s">
        <v>64849</v>
      </c>
    </row>
    <row r="17856" spans="1:20" customFormat="1" ht="15" x14ac:dyDescent="0.25">
      <c r="A17856" t="s">
        <v>24</v>
      </c>
      <c r="B17856" t="s">
        <v>10986</v>
      </c>
      <c r="C17856" t="str">
        <f>"A0145934"</f>
        <v>A0145934</v>
      </c>
      <c r="D17856" t="s">
        <v>64850</v>
      </c>
      <c r="E17856" t="s">
        <v>64851</v>
      </c>
      <c r="F17856" t="s">
        <v>972</v>
      </c>
      <c r="G17856" t="s">
        <v>190</v>
      </c>
      <c r="H17856">
        <v>80228</v>
      </c>
      <c r="I17856" t="s">
        <v>30</v>
      </c>
      <c r="J17856" t="s">
        <v>31</v>
      </c>
      <c r="K17856" t="s">
        <v>32</v>
      </c>
      <c r="N17856" t="s">
        <v>64852</v>
      </c>
      <c r="O17856" t="s">
        <v>64853</v>
      </c>
      <c r="Q17856">
        <v>0</v>
      </c>
      <c r="R17856">
        <v>128</v>
      </c>
      <c r="S17856">
        <v>0</v>
      </c>
      <c r="T17856" t="s">
        <v>64854</v>
      </c>
    </row>
    <row r="17857" spans="1:20" customFormat="1" ht="15" x14ac:dyDescent="0.25">
      <c r="A17857" t="s">
        <v>24</v>
      </c>
      <c r="B17857" t="s">
        <v>649</v>
      </c>
      <c r="C17857" t="str">
        <f>"A0098686"</f>
        <v>A0098686</v>
      </c>
      <c r="D17857" t="s">
        <v>64855</v>
      </c>
      <c r="E17857" t="s">
        <v>64856</v>
      </c>
      <c r="F17857" t="s">
        <v>8225</v>
      </c>
      <c r="G17857" t="s">
        <v>846</v>
      </c>
      <c r="H17857">
        <v>31021</v>
      </c>
      <c r="I17857" t="s">
        <v>30</v>
      </c>
      <c r="J17857" t="s">
        <v>31</v>
      </c>
      <c r="K17857" t="s">
        <v>32</v>
      </c>
      <c r="Q17857">
        <v>0</v>
      </c>
      <c r="R17857">
        <v>75</v>
      </c>
      <c r="S17857">
        <v>0</v>
      </c>
      <c r="T17857" t="s">
        <v>64857</v>
      </c>
    </row>
    <row r="17858" spans="1:20" customFormat="1" ht="15" x14ac:dyDescent="0.25">
      <c r="A17858" t="s">
        <v>24</v>
      </c>
      <c r="B17858" t="s">
        <v>1098</v>
      </c>
      <c r="C17858" t="str">
        <f>"A0092125"</f>
        <v>A0092125</v>
      </c>
      <c r="D17858" t="s">
        <v>64858</v>
      </c>
      <c r="E17858" t="s">
        <v>64859</v>
      </c>
      <c r="F17858" t="s">
        <v>64860</v>
      </c>
      <c r="G17858" t="s">
        <v>103</v>
      </c>
      <c r="H17858">
        <v>15801</v>
      </c>
      <c r="I17858" t="s">
        <v>30</v>
      </c>
      <c r="J17858" t="s">
        <v>31</v>
      </c>
      <c r="K17858" t="s">
        <v>32</v>
      </c>
      <c r="N17858" t="s">
        <v>64861</v>
      </c>
      <c r="Q17858">
        <v>0</v>
      </c>
      <c r="R17858">
        <v>91</v>
      </c>
      <c r="S17858">
        <v>0</v>
      </c>
      <c r="T17858" t="s">
        <v>64862</v>
      </c>
    </row>
    <row r="17859" spans="1:20" customFormat="1" ht="15" x14ac:dyDescent="0.25">
      <c r="A17859" t="s">
        <v>24</v>
      </c>
      <c r="B17859" t="s">
        <v>1323</v>
      </c>
      <c r="C17859" t="str">
        <f>"A0092124"</f>
        <v>A0092124</v>
      </c>
      <c r="D17859" t="s">
        <v>64863</v>
      </c>
      <c r="E17859" t="s">
        <v>64864</v>
      </c>
      <c r="F17859" t="s">
        <v>2051</v>
      </c>
      <c r="G17859" t="s">
        <v>846</v>
      </c>
      <c r="H17859">
        <v>30096</v>
      </c>
      <c r="I17859" t="s">
        <v>30</v>
      </c>
      <c r="J17859" t="s">
        <v>31</v>
      </c>
      <c r="K17859" t="s">
        <v>32</v>
      </c>
      <c r="N17859" t="s">
        <v>64865</v>
      </c>
      <c r="Q17859">
        <v>0</v>
      </c>
      <c r="R17859">
        <v>112</v>
      </c>
      <c r="S17859">
        <v>0</v>
      </c>
      <c r="T17859" t="s">
        <v>64866</v>
      </c>
    </row>
    <row r="17860" spans="1:20" customFormat="1" ht="15" x14ac:dyDescent="0.25">
      <c r="A17860" t="s">
        <v>24</v>
      </c>
      <c r="B17860" t="s">
        <v>2005</v>
      </c>
      <c r="C17860" t="str">
        <f>"A0136935"</f>
        <v>A0136935</v>
      </c>
      <c r="D17860" t="s">
        <v>64867</v>
      </c>
      <c r="E17860" t="s">
        <v>64868</v>
      </c>
      <c r="F17860" t="s">
        <v>64869</v>
      </c>
      <c r="G17860" t="s">
        <v>58</v>
      </c>
      <c r="H17860">
        <v>29334</v>
      </c>
      <c r="I17860" t="s">
        <v>30</v>
      </c>
      <c r="J17860" t="s">
        <v>31</v>
      </c>
      <c r="K17860" t="s">
        <v>32</v>
      </c>
      <c r="N17860" t="s">
        <v>64870</v>
      </c>
      <c r="O17860" t="s">
        <v>14929</v>
      </c>
      <c r="Q17860">
        <v>0</v>
      </c>
      <c r="R17860">
        <v>91</v>
      </c>
      <c r="S17860">
        <v>0</v>
      </c>
      <c r="T17860" t="s">
        <v>64871</v>
      </c>
    </row>
    <row r="17861" spans="1:20" customFormat="1" ht="15" x14ac:dyDescent="0.25">
      <c r="A17861" t="s">
        <v>24</v>
      </c>
      <c r="B17861" t="s">
        <v>10097</v>
      </c>
      <c r="C17861" t="str">
        <f>"A0084398"</f>
        <v>A0084398</v>
      </c>
      <c r="D17861" t="s">
        <v>64872</v>
      </c>
      <c r="E17861" t="s">
        <v>64873</v>
      </c>
      <c r="F17861" t="s">
        <v>15531</v>
      </c>
      <c r="G17861" t="s">
        <v>214</v>
      </c>
      <c r="H17861">
        <v>27713</v>
      </c>
      <c r="I17861" t="s">
        <v>30</v>
      </c>
      <c r="J17861" t="s">
        <v>31</v>
      </c>
      <c r="K17861" t="s">
        <v>32</v>
      </c>
      <c r="N17861" t="s">
        <v>64874</v>
      </c>
      <c r="Q17861">
        <v>0</v>
      </c>
      <c r="R17861">
        <v>98</v>
      </c>
      <c r="S17861">
        <v>0</v>
      </c>
      <c r="T17861" t="s">
        <v>64875</v>
      </c>
    </row>
    <row r="17862" spans="1:20" customFormat="1" ht="15" x14ac:dyDescent="0.25">
      <c r="A17862" t="s">
        <v>24</v>
      </c>
      <c r="B17862" t="s">
        <v>675</v>
      </c>
      <c r="C17862" t="str">
        <f>"A0094929"</f>
        <v>A0094929</v>
      </c>
      <c r="D17862" t="s">
        <v>64876</v>
      </c>
      <c r="E17862" t="s">
        <v>64877</v>
      </c>
      <c r="F17862" t="s">
        <v>64878</v>
      </c>
      <c r="G17862" t="s">
        <v>99</v>
      </c>
      <c r="H17862">
        <v>13057</v>
      </c>
      <c r="I17862" t="s">
        <v>30</v>
      </c>
      <c r="J17862" t="s">
        <v>31</v>
      </c>
      <c r="K17862" t="s">
        <v>32</v>
      </c>
      <c r="N17862" t="s">
        <v>64879</v>
      </c>
      <c r="O17862" t="s">
        <v>64880</v>
      </c>
      <c r="Q17862">
        <v>0</v>
      </c>
      <c r="R17862">
        <v>106</v>
      </c>
      <c r="S17862">
        <v>0</v>
      </c>
      <c r="T17862" t="s">
        <v>64881</v>
      </c>
    </row>
    <row r="17863" spans="1:20" customFormat="1" ht="15" hidden="1" x14ac:dyDescent="0.25">
      <c r="A17863" t="s">
        <v>24</v>
      </c>
      <c r="B17863" t="s">
        <v>649</v>
      </c>
      <c r="C17863" t="str">
        <f>"A0151773"</f>
        <v>A0151773</v>
      </c>
      <c r="D17863" t="s">
        <v>64882</v>
      </c>
      <c r="E17863" t="s">
        <v>64883</v>
      </c>
      <c r="F17863" t="s">
        <v>59059</v>
      </c>
      <c r="G17863" t="s">
        <v>1457</v>
      </c>
      <c r="H17863" t="s">
        <v>64884</v>
      </c>
      <c r="I17863" t="s">
        <v>1459</v>
      </c>
      <c r="J17863" t="s">
        <v>31</v>
      </c>
      <c r="K17863" t="s">
        <v>32</v>
      </c>
      <c r="N17863" t="s">
        <v>64885</v>
      </c>
      <c r="Q17863">
        <v>0</v>
      </c>
      <c r="R17863">
        <v>135</v>
      </c>
      <c r="S17863">
        <v>0</v>
      </c>
      <c r="T17863" t="s">
        <v>64886</v>
      </c>
    </row>
    <row r="17864" spans="1:20" customFormat="1" ht="15" x14ac:dyDescent="0.25">
      <c r="A17864" t="s">
        <v>24</v>
      </c>
      <c r="B17864" t="s">
        <v>1020</v>
      </c>
      <c r="C17864" t="str">
        <f>"A0076655"</f>
        <v>A0076655</v>
      </c>
      <c r="D17864" t="s">
        <v>64887</v>
      </c>
      <c r="E17864" t="s">
        <v>64888</v>
      </c>
      <c r="F17864" t="s">
        <v>871</v>
      </c>
      <c r="G17864" t="s">
        <v>110</v>
      </c>
      <c r="H17864">
        <v>92243</v>
      </c>
      <c r="I17864" t="s">
        <v>30</v>
      </c>
      <c r="J17864" t="s">
        <v>31</v>
      </c>
      <c r="K17864" t="s">
        <v>32</v>
      </c>
      <c r="N17864" t="s">
        <v>64889</v>
      </c>
      <c r="Q17864">
        <v>0</v>
      </c>
      <c r="R17864">
        <v>88</v>
      </c>
      <c r="S17864">
        <v>0</v>
      </c>
      <c r="T17864" t="s">
        <v>64890</v>
      </c>
    </row>
    <row r="17865" spans="1:20" customFormat="1" ht="15" x14ac:dyDescent="0.25">
      <c r="A17865" t="s">
        <v>24</v>
      </c>
      <c r="B17865" t="s">
        <v>8405</v>
      </c>
      <c r="C17865" t="str">
        <f>"A0093379"</f>
        <v>A0093379</v>
      </c>
      <c r="D17865" t="s">
        <v>64891</v>
      </c>
      <c r="E17865" t="s">
        <v>64892</v>
      </c>
      <c r="F17865" t="s">
        <v>60397</v>
      </c>
      <c r="G17865" t="s">
        <v>381</v>
      </c>
      <c r="H17865">
        <v>46514</v>
      </c>
      <c r="I17865" t="s">
        <v>30</v>
      </c>
      <c r="J17865" t="s">
        <v>31</v>
      </c>
      <c r="K17865" t="s">
        <v>32</v>
      </c>
      <c r="N17865" t="s">
        <v>64893</v>
      </c>
      <c r="Q17865">
        <v>0</v>
      </c>
      <c r="R17865">
        <v>84</v>
      </c>
      <c r="S17865">
        <v>0</v>
      </c>
      <c r="T17865" t="s">
        <v>64894</v>
      </c>
    </row>
    <row r="17866" spans="1:20" customFormat="1" ht="15" x14ac:dyDescent="0.25">
      <c r="A17866" t="s">
        <v>24</v>
      </c>
      <c r="B17866" t="s">
        <v>8742</v>
      </c>
      <c r="C17866" t="str">
        <f>"A0094569"</f>
        <v>A0094569</v>
      </c>
      <c r="D17866" t="s">
        <v>64895</v>
      </c>
      <c r="E17866" t="s">
        <v>64896</v>
      </c>
      <c r="F17866" t="s">
        <v>64897</v>
      </c>
      <c r="G17866" t="s">
        <v>1706</v>
      </c>
      <c r="H17866">
        <v>36330</v>
      </c>
      <c r="I17866" t="s">
        <v>30</v>
      </c>
      <c r="J17866" t="s">
        <v>31</v>
      </c>
      <c r="K17866" t="s">
        <v>32</v>
      </c>
      <c r="N17866" t="s">
        <v>64898</v>
      </c>
      <c r="Q17866">
        <v>0</v>
      </c>
      <c r="R17866">
        <v>79</v>
      </c>
      <c r="S17866">
        <v>0</v>
      </c>
      <c r="T17866" t="s">
        <v>64899</v>
      </c>
    </row>
    <row r="17867" spans="1:20" customFormat="1" ht="15" x14ac:dyDescent="0.25">
      <c r="A17867" t="s">
        <v>24</v>
      </c>
      <c r="B17867" t="s">
        <v>11298</v>
      </c>
      <c r="C17867" t="str">
        <f>"A0099435"</f>
        <v>A0099435</v>
      </c>
      <c r="D17867" t="s">
        <v>64900</v>
      </c>
      <c r="E17867" t="s">
        <v>64901</v>
      </c>
      <c r="F17867" t="s">
        <v>260</v>
      </c>
      <c r="G17867" t="s">
        <v>47</v>
      </c>
      <c r="H17867">
        <v>97403</v>
      </c>
      <c r="I17867" t="s">
        <v>30</v>
      </c>
      <c r="J17867" t="s">
        <v>31</v>
      </c>
      <c r="K17867" t="s">
        <v>32</v>
      </c>
      <c r="N17867" t="s">
        <v>11301</v>
      </c>
      <c r="Q17867">
        <v>0</v>
      </c>
      <c r="R17867">
        <v>81</v>
      </c>
      <c r="S17867">
        <v>0</v>
      </c>
      <c r="T17867" t="s">
        <v>11303</v>
      </c>
    </row>
    <row r="17868" spans="1:20" customFormat="1" ht="15" x14ac:dyDescent="0.25">
      <c r="A17868" t="s">
        <v>24</v>
      </c>
      <c r="B17868" t="s">
        <v>2583</v>
      </c>
      <c r="C17868" t="str">
        <f>"A0146961"</f>
        <v>A0146961</v>
      </c>
      <c r="D17868" t="s">
        <v>64902</v>
      </c>
      <c r="E17868" t="s">
        <v>64903</v>
      </c>
      <c r="F17868" t="s">
        <v>64904</v>
      </c>
      <c r="G17868" t="s">
        <v>381</v>
      </c>
      <c r="H17868">
        <v>47943</v>
      </c>
      <c r="I17868" t="s">
        <v>30</v>
      </c>
      <c r="J17868" t="s">
        <v>31</v>
      </c>
      <c r="K17868" t="s">
        <v>32</v>
      </c>
      <c r="N17868" t="s">
        <v>64905</v>
      </c>
      <c r="Q17868">
        <v>0</v>
      </c>
      <c r="R17868">
        <v>99</v>
      </c>
      <c r="S17868">
        <v>0</v>
      </c>
      <c r="T17868" t="s">
        <v>64906</v>
      </c>
    </row>
    <row r="17869" spans="1:20" customFormat="1" ht="15" x14ac:dyDescent="0.25">
      <c r="A17869" t="s">
        <v>24</v>
      </c>
      <c r="B17869" t="s">
        <v>64907</v>
      </c>
      <c r="C17869" t="str">
        <f>"A0073694"</f>
        <v>A0073694</v>
      </c>
      <c r="D17869" t="s">
        <v>64908</v>
      </c>
      <c r="E17869" t="s">
        <v>64909</v>
      </c>
      <c r="F17869" t="s">
        <v>32744</v>
      </c>
      <c r="G17869" t="s">
        <v>507</v>
      </c>
      <c r="H17869">
        <v>26554</v>
      </c>
      <c r="I17869" t="s">
        <v>30</v>
      </c>
      <c r="J17869" t="s">
        <v>31</v>
      </c>
      <c r="K17869" t="s">
        <v>32</v>
      </c>
      <c r="N17869" t="s">
        <v>64910</v>
      </c>
      <c r="Q17869">
        <v>0</v>
      </c>
      <c r="R17869">
        <v>80</v>
      </c>
      <c r="S17869">
        <v>0</v>
      </c>
      <c r="T17869" t="s">
        <v>64911</v>
      </c>
    </row>
    <row r="17870" spans="1:20" customFormat="1" ht="15" x14ac:dyDescent="0.25">
      <c r="A17870" t="s">
        <v>24</v>
      </c>
      <c r="B17870" t="s">
        <v>342</v>
      </c>
      <c r="C17870" t="str">
        <f>"A0089114"</f>
        <v>A0089114</v>
      </c>
      <c r="D17870" t="s">
        <v>64912</v>
      </c>
      <c r="E17870" t="s">
        <v>64913</v>
      </c>
      <c r="F17870" t="s">
        <v>64914</v>
      </c>
      <c r="G17870" t="s">
        <v>81</v>
      </c>
      <c r="H17870">
        <v>34945</v>
      </c>
      <c r="I17870" t="s">
        <v>30</v>
      </c>
      <c r="J17870" t="s">
        <v>31</v>
      </c>
      <c r="K17870" t="s">
        <v>32</v>
      </c>
      <c r="N17870" t="s">
        <v>64915</v>
      </c>
      <c r="Q17870">
        <v>0</v>
      </c>
      <c r="R17870">
        <v>108</v>
      </c>
      <c r="S17870">
        <v>0</v>
      </c>
      <c r="T17870" t="s">
        <v>64916</v>
      </c>
    </row>
    <row r="17871" spans="1:20" customFormat="1" ht="15" x14ac:dyDescent="0.25">
      <c r="A17871" t="s">
        <v>24</v>
      </c>
      <c r="B17871" t="s">
        <v>56848</v>
      </c>
      <c r="C17871" t="str">
        <f>"A0099261"</f>
        <v>A0099261</v>
      </c>
      <c r="D17871" t="s">
        <v>64917</v>
      </c>
      <c r="E17871" t="s">
        <v>64918</v>
      </c>
      <c r="F17871" t="s">
        <v>58702</v>
      </c>
      <c r="G17871" t="s">
        <v>85</v>
      </c>
      <c r="H17871">
        <v>72903</v>
      </c>
      <c r="I17871" t="s">
        <v>30</v>
      </c>
      <c r="J17871" t="s">
        <v>31</v>
      </c>
      <c r="K17871" t="s">
        <v>32</v>
      </c>
      <c r="N17871" t="s">
        <v>64919</v>
      </c>
      <c r="Q17871">
        <v>0</v>
      </c>
      <c r="R17871">
        <v>90</v>
      </c>
      <c r="S17871">
        <v>0</v>
      </c>
      <c r="T17871" t="s">
        <v>64920</v>
      </c>
    </row>
    <row r="17872" spans="1:20" customFormat="1" ht="15" x14ac:dyDescent="0.25">
      <c r="A17872" t="s">
        <v>24</v>
      </c>
      <c r="B17872" t="s">
        <v>4990</v>
      </c>
      <c r="C17872" t="str">
        <f>"A0087445"</f>
        <v>A0087445</v>
      </c>
      <c r="D17872" t="s">
        <v>64921</v>
      </c>
      <c r="E17872" t="s">
        <v>64922</v>
      </c>
      <c r="F17872" t="s">
        <v>64923</v>
      </c>
      <c r="G17872" t="s">
        <v>381</v>
      </c>
      <c r="H17872">
        <v>46818</v>
      </c>
      <c r="I17872" t="s">
        <v>30</v>
      </c>
      <c r="J17872" t="s">
        <v>31</v>
      </c>
      <c r="K17872" t="s">
        <v>32</v>
      </c>
      <c r="Q17872">
        <v>0</v>
      </c>
      <c r="R17872">
        <v>83</v>
      </c>
      <c r="S17872">
        <v>0</v>
      </c>
      <c r="T17872" t="s">
        <v>64924</v>
      </c>
    </row>
    <row r="17873" spans="1:20" customFormat="1" ht="15" x14ac:dyDescent="0.25">
      <c r="A17873" t="s">
        <v>24</v>
      </c>
      <c r="B17873" t="s">
        <v>1561</v>
      </c>
      <c r="C17873" t="str">
        <f>"A0099082"</f>
        <v>A0099082</v>
      </c>
      <c r="D17873" t="s">
        <v>64925</v>
      </c>
      <c r="E17873" t="s">
        <v>64926</v>
      </c>
      <c r="F17873" t="s">
        <v>3505</v>
      </c>
      <c r="G17873" t="s">
        <v>52</v>
      </c>
      <c r="H17873">
        <v>76102</v>
      </c>
      <c r="I17873" t="s">
        <v>30</v>
      </c>
      <c r="J17873" t="s">
        <v>31</v>
      </c>
      <c r="K17873" t="s">
        <v>32</v>
      </c>
      <c r="N17873" t="s">
        <v>64927</v>
      </c>
      <c r="Q17873">
        <v>0</v>
      </c>
      <c r="R17873">
        <v>120</v>
      </c>
      <c r="S17873">
        <v>0</v>
      </c>
      <c r="T17873" t="s">
        <v>64928</v>
      </c>
    </row>
    <row r="17874" spans="1:20" customFormat="1" ht="15" x14ac:dyDescent="0.25">
      <c r="A17874" t="s">
        <v>24</v>
      </c>
      <c r="B17874" t="s">
        <v>64929</v>
      </c>
      <c r="C17874" t="str">
        <f>"A0099345"</f>
        <v>A0099345</v>
      </c>
      <c r="D17874" t="s">
        <v>64930</v>
      </c>
      <c r="E17874" t="s">
        <v>64931</v>
      </c>
      <c r="F17874" t="s">
        <v>3582</v>
      </c>
      <c r="G17874" t="s">
        <v>52</v>
      </c>
      <c r="H17874">
        <v>76028</v>
      </c>
      <c r="I17874" t="s">
        <v>30</v>
      </c>
      <c r="J17874" t="s">
        <v>31</v>
      </c>
      <c r="K17874" t="s">
        <v>32</v>
      </c>
      <c r="N17874" t="s">
        <v>64932</v>
      </c>
      <c r="O17874" t="s">
        <v>64933</v>
      </c>
      <c r="Q17874">
        <v>0</v>
      </c>
      <c r="R17874">
        <v>82</v>
      </c>
      <c r="S17874">
        <v>0</v>
      </c>
      <c r="T17874" t="s">
        <v>64934</v>
      </c>
    </row>
    <row r="17875" spans="1:20" customFormat="1" ht="15" x14ac:dyDescent="0.25">
      <c r="A17875" t="s">
        <v>24</v>
      </c>
      <c r="B17875" t="s">
        <v>64935</v>
      </c>
      <c r="C17875" t="str">
        <f>"432BU"</f>
        <v>432BU</v>
      </c>
      <c r="D17875" t="s">
        <v>64936</v>
      </c>
      <c r="E17875" t="s">
        <v>64937</v>
      </c>
      <c r="F17875" t="s">
        <v>3505</v>
      </c>
      <c r="G17875" t="s">
        <v>52</v>
      </c>
      <c r="H17875">
        <v>76137</v>
      </c>
      <c r="I17875" t="s">
        <v>30</v>
      </c>
      <c r="J17875" t="s">
        <v>31</v>
      </c>
      <c r="K17875" t="s">
        <v>32</v>
      </c>
      <c r="N17875" t="s">
        <v>64938</v>
      </c>
      <c r="O17875" t="s">
        <v>64939</v>
      </c>
      <c r="Q17875">
        <v>0</v>
      </c>
      <c r="R17875">
        <v>106</v>
      </c>
      <c r="S17875">
        <v>0</v>
      </c>
      <c r="T17875" t="s">
        <v>64940</v>
      </c>
    </row>
    <row r="17876" spans="1:20" customFormat="1" ht="15" x14ac:dyDescent="0.25">
      <c r="A17876" t="s">
        <v>24</v>
      </c>
      <c r="B17876" t="s">
        <v>64941</v>
      </c>
      <c r="C17876" t="str">
        <f>"432UH"</f>
        <v>432UH</v>
      </c>
      <c r="D17876" t="s">
        <v>64942</v>
      </c>
      <c r="E17876" t="s">
        <v>64943</v>
      </c>
      <c r="F17876" t="s">
        <v>64944</v>
      </c>
      <c r="G17876" t="s">
        <v>117</v>
      </c>
      <c r="H17876">
        <v>48734</v>
      </c>
      <c r="I17876" t="s">
        <v>30</v>
      </c>
      <c r="J17876" t="s">
        <v>31</v>
      </c>
      <c r="K17876" t="s">
        <v>32</v>
      </c>
      <c r="N17876" t="s">
        <v>64945</v>
      </c>
      <c r="Q17876">
        <v>0</v>
      </c>
      <c r="R17876">
        <v>63</v>
      </c>
      <c r="S17876">
        <v>0</v>
      </c>
      <c r="T17876" t="s">
        <v>64946</v>
      </c>
    </row>
    <row r="17877" spans="1:20" customFormat="1" ht="15" x14ac:dyDescent="0.25">
      <c r="A17877" t="s">
        <v>24</v>
      </c>
      <c r="B17877" t="s">
        <v>59080</v>
      </c>
      <c r="C17877" t="str">
        <f>"A0117365"</f>
        <v>A0117365</v>
      </c>
      <c r="D17877" t="s">
        <v>64947</v>
      </c>
      <c r="E17877" t="s">
        <v>64948</v>
      </c>
      <c r="F17877" t="s">
        <v>14614</v>
      </c>
      <c r="G17877" t="s">
        <v>110</v>
      </c>
      <c r="H17877">
        <v>93711</v>
      </c>
      <c r="I17877" t="s">
        <v>30</v>
      </c>
      <c r="J17877" t="s">
        <v>31</v>
      </c>
      <c r="K17877" t="s">
        <v>32</v>
      </c>
      <c r="Q17877">
        <v>0</v>
      </c>
      <c r="R17877">
        <v>90</v>
      </c>
      <c r="S17877">
        <v>0</v>
      </c>
      <c r="T17877" t="s">
        <v>64949</v>
      </c>
    </row>
    <row r="17878" spans="1:20" customFormat="1" ht="15" x14ac:dyDescent="0.25">
      <c r="A17878" t="s">
        <v>24</v>
      </c>
      <c r="B17878" t="s">
        <v>257</v>
      </c>
      <c r="C17878" t="str">
        <f>"A0087327"</f>
        <v>A0087327</v>
      </c>
      <c r="D17878" t="s">
        <v>64950</v>
      </c>
      <c r="E17878" t="s">
        <v>64951</v>
      </c>
      <c r="F17878" t="s">
        <v>64952</v>
      </c>
      <c r="G17878" t="s">
        <v>1706</v>
      </c>
      <c r="H17878">
        <v>35904</v>
      </c>
      <c r="I17878" t="s">
        <v>30</v>
      </c>
      <c r="J17878" t="s">
        <v>31</v>
      </c>
      <c r="K17878" t="s">
        <v>32</v>
      </c>
      <c r="N17878" t="s">
        <v>64953</v>
      </c>
      <c r="Q17878">
        <v>0</v>
      </c>
      <c r="R17878">
        <v>91</v>
      </c>
      <c r="S17878">
        <v>0</v>
      </c>
      <c r="T17878" t="s">
        <v>64954</v>
      </c>
    </row>
    <row r="17879" spans="1:20" customFormat="1" ht="15" x14ac:dyDescent="0.25">
      <c r="A17879" t="s">
        <v>24</v>
      </c>
      <c r="B17879" t="s">
        <v>649</v>
      </c>
      <c r="C17879" t="str">
        <f>"A0092648"</f>
        <v>A0092648</v>
      </c>
      <c r="D17879" t="s">
        <v>64955</v>
      </c>
      <c r="E17879" t="s">
        <v>64956</v>
      </c>
      <c r="F17879" t="s">
        <v>659</v>
      </c>
      <c r="G17879" t="s">
        <v>846</v>
      </c>
      <c r="H17879">
        <v>30501</v>
      </c>
      <c r="I17879" t="s">
        <v>30</v>
      </c>
      <c r="J17879" t="s">
        <v>31</v>
      </c>
      <c r="K17879" t="s">
        <v>32</v>
      </c>
      <c r="N17879" t="s">
        <v>64957</v>
      </c>
      <c r="Q17879">
        <v>0</v>
      </c>
      <c r="R17879">
        <v>86</v>
      </c>
      <c r="S17879">
        <v>0</v>
      </c>
      <c r="T17879" t="s">
        <v>64958</v>
      </c>
    </row>
    <row r="17880" spans="1:20" customFormat="1" ht="15" x14ac:dyDescent="0.25">
      <c r="A17880" t="s">
        <v>24</v>
      </c>
      <c r="B17880" t="s">
        <v>64959</v>
      </c>
      <c r="C17880" t="str">
        <f>"A0092582"</f>
        <v>A0092582</v>
      </c>
      <c r="D17880" t="s">
        <v>64960</v>
      </c>
      <c r="E17880" t="s">
        <v>64961</v>
      </c>
      <c r="F17880" t="s">
        <v>659</v>
      </c>
      <c r="G17880" t="s">
        <v>81</v>
      </c>
      <c r="H17880">
        <v>32608</v>
      </c>
      <c r="I17880" t="s">
        <v>30</v>
      </c>
      <c r="J17880" t="s">
        <v>31</v>
      </c>
      <c r="K17880" t="s">
        <v>32</v>
      </c>
      <c r="N17880" t="s">
        <v>64962</v>
      </c>
      <c r="O17880" t="s">
        <v>64963</v>
      </c>
      <c r="Q17880">
        <v>0</v>
      </c>
      <c r="R17880">
        <v>114</v>
      </c>
      <c r="S17880">
        <v>0</v>
      </c>
      <c r="T17880" t="s">
        <v>64964</v>
      </c>
    </row>
    <row r="17881" spans="1:20" customFormat="1" ht="15" x14ac:dyDescent="0.25">
      <c r="A17881" t="s">
        <v>24</v>
      </c>
      <c r="B17881" t="s">
        <v>33380</v>
      </c>
      <c r="C17881" t="str">
        <f>"A0099300"</f>
        <v>A0099300</v>
      </c>
      <c r="D17881" t="s">
        <v>64965</v>
      </c>
      <c r="E17881" t="s">
        <v>64966</v>
      </c>
      <c r="F17881" t="s">
        <v>64967</v>
      </c>
      <c r="G17881" t="s">
        <v>117</v>
      </c>
      <c r="H17881">
        <v>49735</v>
      </c>
      <c r="I17881" t="s">
        <v>30</v>
      </c>
      <c r="J17881" t="s">
        <v>31</v>
      </c>
      <c r="K17881" t="s">
        <v>32</v>
      </c>
      <c r="N17881" t="s">
        <v>64968</v>
      </c>
      <c r="Q17881">
        <v>0</v>
      </c>
      <c r="R17881">
        <v>83</v>
      </c>
      <c r="S17881">
        <v>0</v>
      </c>
      <c r="T17881" t="s">
        <v>64969</v>
      </c>
    </row>
    <row r="17882" spans="1:20" customFormat="1" ht="15" x14ac:dyDescent="0.25">
      <c r="A17882" t="s">
        <v>24</v>
      </c>
      <c r="B17882" t="s">
        <v>1092</v>
      </c>
      <c r="C17882" t="str">
        <f>"A0052221"</f>
        <v>A0052221</v>
      </c>
      <c r="D17882" t="s">
        <v>64970</v>
      </c>
      <c r="E17882" t="s">
        <v>64971</v>
      </c>
      <c r="F17882" t="s">
        <v>7931</v>
      </c>
      <c r="G17882" t="s">
        <v>99</v>
      </c>
      <c r="H17882">
        <v>14456</v>
      </c>
      <c r="I17882" t="s">
        <v>30</v>
      </c>
      <c r="J17882" t="s">
        <v>31</v>
      </c>
      <c r="K17882" t="s">
        <v>32</v>
      </c>
      <c r="N17882" t="s">
        <v>64972</v>
      </c>
      <c r="O17882" t="s">
        <v>64973</v>
      </c>
      <c r="Q17882">
        <v>0</v>
      </c>
      <c r="R17882">
        <v>84</v>
      </c>
      <c r="S17882">
        <v>0</v>
      </c>
      <c r="T17882" t="s">
        <v>64974</v>
      </c>
    </row>
    <row r="17883" spans="1:20" customFormat="1" ht="15" x14ac:dyDescent="0.25">
      <c r="A17883" t="s">
        <v>24</v>
      </c>
      <c r="B17883" t="s">
        <v>2340</v>
      </c>
      <c r="C17883" t="str">
        <f>"A0073760"</f>
        <v>A0073760</v>
      </c>
      <c r="D17883" t="s">
        <v>64975</v>
      </c>
      <c r="E17883" t="s">
        <v>64976</v>
      </c>
      <c r="F17883" t="s">
        <v>4970</v>
      </c>
      <c r="G17883" t="s">
        <v>123</v>
      </c>
      <c r="H17883">
        <v>20876</v>
      </c>
      <c r="I17883" t="s">
        <v>30</v>
      </c>
      <c r="J17883" t="s">
        <v>31</v>
      </c>
      <c r="K17883" t="s">
        <v>32</v>
      </c>
      <c r="N17883" t="s">
        <v>64977</v>
      </c>
      <c r="Q17883">
        <v>0</v>
      </c>
      <c r="R17883">
        <v>87</v>
      </c>
      <c r="S17883">
        <v>0</v>
      </c>
      <c r="T17883" t="s">
        <v>64978</v>
      </c>
    </row>
    <row r="17884" spans="1:20" customFormat="1" ht="15" x14ac:dyDescent="0.25">
      <c r="A17884" t="s">
        <v>24</v>
      </c>
      <c r="B17884" t="s">
        <v>54573</v>
      </c>
      <c r="C17884" t="str">
        <f>"A0097906"</f>
        <v>A0097906</v>
      </c>
      <c r="D17884" t="s">
        <v>64979</v>
      </c>
      <c r="E17884" t="s">
        <v>64980</v>
      </c>
      <c r="F17884" t="s">
        <v>5999</v>
      </c>
      <c r="G17884" t="s">
        <v>71</v>
      </c>
      <c r="H17884">
        <v>53217</v>
      </c>
      <c r="I17884" t="s">
        <v>30</v>
      </c>
      <c r="J17884" t="s">
        <v>31</v>
      </c>
      <c r="K17884" t="s">
        <v>32</v>
      </c>
      <c r="N17884" t="s">
        <v>54577</v>
      </c>
      <c r="O17884" t="s">
        <v>54576</v>
      </c>
      <c r="Q17884">
        <v>0</v>
      </c>
      <c r="R17884">
        <v>84</v>
      </c>
      <c r="S17884">
        <v>0</v>
      </c>
      <c r="T17884" t="s">
        <v>64981</v>
      </c>
    </row>
    <row r="17885" spans="1:20" customFormat="1" ht="15" x14ac:dyDescent="0.25">
      <c r="A17885" t="s">
        <v>24</v>
      </c>
      <c r="B17885" t="s">
        <v>8742</v>
      </c>
      <c r="C17885" t="str">
        <f>"A0147571"</f>
        <v>A0147571</v>
      </c>
      <c r="D17885" t="s">
        <v>64982</v>
      </c>
      <c r="E17885" t="s">
        <v>64983</v>
      </c>
      <c r="F17885" t="s">
        <v>64984</v>
      </c>
      <c r="G17885" t="s">
        <v>381</v>
      </c>
      <c r="H17885">
        <v>46528</v>
      </c>
      <c r="I17885" t="s">
        <v>30</v>
      </c>
      <c r="J17885" t="s">
        <v>31</v>
      </c>
      <c r="K17885" t="s">
        <v>32</v>
      </c>
      <c r="N17885" t="s">
        <v>64985</v>
      </c>
      <c r="Q17885">
        <v>0</v>
      </c>
      <c r="R17885">
        <v>92</v>
      </c>
      <c r="S17885">
        <v>0</v>
      </c>
      <c r="T17885" t="s">
        <v>64986</v>
      </c>
    </row>
    <row r="17886" spans="1:20" customFormat="1" ht="15" x14ac:dyDescent="0.25">
      <c r="A17886" t="s">
        <v>24</v>
      </c>
      <c r="B17886" t="s">
        <v>64987</v>
      </c>
      <c r="C17886" t="str">
        <f>"A0075609"</f>
        <v>A0075609</v>
      </c>
      <c r="D17886" t="s">
        <v>64988</v>
      </c>
      <c r="E17886" t="s">
        <v>64989</v>
      </c>
      <c r="F17886" t="s">
        <v>64984</v>
      </c>
      <c r="G17886" t="s">
        <v>99</v>
      </c>
      <c r="H17886">
        <v>10924</v>
      </c>
      <c r="I17886" t="s">
        <v>30</v>
      </c>
      <c r="J17886" t="s">
        <v>31</v>
      </c>
      <c r="K17886" t="s">
        <v>32</v>
      </c>
      <c r="N17886" t="s">
        <v>64990</v>
      </c>
      <c r="Q17886">
        <v>0</v>
      </c>
      <c r="R17886">
        <v>96</v>
      </c>
      <c r="S17886">
        <v>0</v>
      </c>
      <c r="T17886" t="s">
        <v>64991</v>
      </c>
    </row>
    <row r="17887" spans="1:20" customFormat="1" ht="15" x14ac:dyDescent="0.25">
      <c r="A17887" t="s">
        <v>24</v>
      </c>
      <c r="B17887" t="s">
        <v>59142</v>
      </c>
      <c r="C17887" t="str">
        <f>"A0100066"</f>
        <v>A0100066</v>
      </c>
      <c r="D17887" t="s">
        <v>64992</v>
      </c>
      <c r="E17887" t="s">
        <v>64993</v>
      </c>
      <c r="F17887" t="s">
        <v>1476</v>
      </c>
      <c r="G17887" t="s">
        <v>76</v>
      </c>
      <c r="H17887">
        <v>98579</v>
      </c>
      <c r="I17887" t="s">
        <v>30</v>
      </c>
      <c r="J17887" t="s">
        <v>31</v>
      </c>
      <c r="K17887" t="s">
        <v>32</v>
      </c>
      <c r="N17887" t="s">
        <v>64994</v>
      </c>
      <c r="O17887" t="s">
        <v>64995</v>
      </c>
      <c r="Q17887">
        <v>0</v>
      </c>
      <c r="R17887">
        <v>88</v>
      </c>
      <c r="S17887">
        <v>0</v>
      </c>
      <c r="T17887" t="s">
        <v>64996</v>
      </c>
    </row>
    <row r="17888" spans="1:20" customFormat="1" ht="15" x14ac:dyDescent="0.25">
      <c r="A17888" t="s">
        <v>24</v>
      </c>
      <c r="B17888" t="s">
        <v>64997</v>
      </c>
      <c r="C17888" t="str">
        <f>"A0095106"</f>
        <v>A0095106</v>
      </c>
      <c r="D17888" t="s">
        <v>64998</v>
      </c>
      <c r="E17888" t="s">
        <v>64999</v>
      </c>
      <c r="F17888" t="s">
        <v>9498</v>
      </c>
      <c r="G17888" t="s">
        <v>214</v>
      </c>
      <c r="H17888">
        <v>27407</v>
      </c>
      <c r="I17888" t="s">
        <v>30</v>
      </c>
      <c r="J17888" t="s">
        <v>31</v>
      </c>
      <c r="K17888" t="s">
        <v>32</v>
      </c>
      <c r="N17888" t="s">
        <v>65000</v>
      </c>
      <c r="Q17888">
        <v>0</v>
      </c>
      <c r="R17888">
        <v>80</v>
      </c>
      <c r="S17888">
        <v>0</v>
      </c>
      <c r="T17888" t="s">
        <v>65001</v>
      </c>
    </row>
    <row r="17889" spans="1:20" customFormat="1" ht="15" x14ac:dyDescent="0.25">
      <c r="A17889" t="s">
        <v>24</v>
      </c>
      <c r="B17889" t="s">
        <v>65002</v>
      </c>
      <c r="C17889" t="str">
        <f>"A0083694"</f>
        <v>A0083694</v>
      </c>
      <c r="D17889" t="s">
        <v>65003</v>
      </c>
      <c r="E17889" t="s">
        <v>65004</v>
      </c>
      <c r="F17889" t="s">
        <v>3685</v>
      </c>
      <c r="G17889" t="s">
        <v>214</v>
      </c>
      <c r="H17889">
        <v>27409</v>
      </c>
      <c r="I17889" t="s">
        <v>30</v>
      </c>
      <c r="J17889" t="s">
        <v>31</v>
      </c>
      <c r="K17889" t="s">
        <v>32</v>
      </c>
      <c r="N17889" t="s">
        <v>65005</v>
      </c>
      <c r="Q17889">
        <v>0</v>
      </c>
      <c r="R17889">
        <v>98</v>
      </c>
      <c r="S17889">
        <v>0</v>
      </c>
      <c r="T17889" t="s">
        <v>65006</v>
      </c>
    </row>
    <row r="17890" spans="1:20" customFormat="1" ht="15" x14ac:dyDescent="0.25">
      <c r="A17890" t="s">
        <v>24</v>
      </c>
      <c r="B17890" t="s">
        <v>1098</v>
      </c>
      <c r="C17890" t="str">
        <f>"A0100862"</f>
        <v>A0100862</v>
      </c>
      <c r="D17890" t="s">
        <v>65007</v>
      </c>
      <c r="E17890" t="s">
        <v>65008</v>
      </c>
      <c r="F17890" t="s">
        <v>65009</v>
      </c>
      <c r="G17890" t="s">
        <v>103</v>
      </c>
      <c r="H17890">
        <v>17057</v>
      </c>
      <c r="I17890" t="s">
        <v>30</v>
      </c>
      <c r="J17890" t="s">
        <v>31</v>
      </c>
      <c r="K17890" t="s">
        <v>32</v>
      </c>
      <c r="N17890" t="s">
        <v>65010</v>
      </c>
      <c r="O17890" t="s">
        <v>65011</v>
      </c>
      <c r="Q17890">
        <v>0</v>
      </c>
      <c r="R17890">
        <v>123</v>
      </c>
      <c r="S17890">
        <v>0</v>
      </c>
      <c r="T17890" t="s">
        <v>65012</v>
      </c>
    </row>
    <row r="17891" spans="1:20" customFormat="1" ht="15" x14ac:dyDescent="0.25">
      <c r="A17891" t="s">
        <v>24</v>
      </c>
      <c r="B17891" t="s">
        <v>60503</v>
      </c>
      <c r="C17891" t="str">
        <f>"A0089253"</f>
        <v>A0089253</v>
      </c>
      <c r="D17891" t="s">
        <v>65013</v>
      </c>
      <c r="E17891" t="s">
        <v>65014</v>
      </c>
      <c r="F17891" t="s">
        <v>6390</v>
      </c>
      <c r="G17891" t="s">
        <v>29</v>
      </c>
      <c r="H17891">
        <v>22801</v>
      </c>
      <c r="I17891" t="s">
        <v>30</v>
      </c>
      <c r="J17891" t="s">
        <v>31</v>
      </c>
      <c r="K17891" t="s">
        <v>32</v>
      </c>
      <c r="N17891" t="s">
        <v>65015</v>
      </c>
      <c r="Q17891">
        <v>0</v>
      </c>
      <c r="R17891">
        <v>100</v>
      </c>
      <c r="S17891">
        <v>0</v>
      </c>
      <c r="T17891" t="s">
        <v>65016</v>
      </c>
    </row>
    <row r="17892" spans="1:20" customFormat="1" ht="15" x14ac:dyDescent="0.25">
      <c r="A17892" t="s">
        <v>24</v>
      </c>
      <c r="B17892" t="s">
        <v>53837</v>
      </c>
      <c r="C17892" t="str">
        <f>"432SL"</f>
        <v>432SL</v>
      </c>
      <c r="D17892" t="s">
        <v>65017</v>
      </c>
      <c r="E17892" t="s">
        <v>65018</v>
      </c>
      <c r="F17892" t="s">
        <v>57658</v>
      </c>
      <c r="G17892" t="s">
        <v>1369</v>
      </c>
      <c r="H17892">
        <v>39401</v>
      </c>
      <c r="I17892" t="s">
        <v>30</v>
      </c>
      <c r="J17892" t="s">
        <v>31</v>
      </c>
      <c r="K17892" t="s">
        <v>32</v>
      </c>
      <c r="N17892" t="s">
        <v>53855</v>
      </c>
      <c r="O17892" t="s">
        <v>65019</v>
      </c>
      <c r="Q17892">
        <v>0</v>
      </c>
      <c r="R17892">
        <v>79</v>
      </c>
      <c r="S17892">
        <v>0</v>
      </c>
      <c r="T17892" t="s">
        <v>65020</v>
      </c>
    </row>
    <row r="17893" spans="1:20" customFormat="1" ht="15" x14ac:dyDescent="0.25">
      <c r="A17893" t="s">
        <v>24</v>
      </c>
      <c r="B17893" t="s">
        <v>6976</v>
      </c>
      <c r="C17893" t="str">
        <f>"4321M"</f>
        <v>4321M</v>
      </c>
      <c r="D17893" t="s">
        <v>65021</v>
      </c>
      <c r="E17893" t="s">
        <v>65022</v>
      </c>
      <c r="F17893" t="s">
        <v>50974</v>
      </c>
      <c r="G17893" t="s">
        <v>103</v>
      </c>
      <c r="H17893">
        <v>18202</v>
      </c>
      <c r="I17893" t="s">
        <v>30</v>
      </c>
      <c r="J17893" t="s">
        <v>31</v>
      </c>
      <c r="K17893" t="s">
        <v>32</v>
      </c>
      <c r="N17893" t="s">
        <v>65023</v>
      </c>
      <c r="Q17893">
        <v>0</v>
      </c>
      <c r="R17893">
        <v>100</v>
      </c>
      <c r="S17893">
        <v>0</v>
      </c>
      <c r="T17893" t="s">
        <v>65024</v>
      </c>
    </row>
    <row r="17894" spans="1:20" customFormat="1" ht="15" x14ac:dyDescent="0.25">
      <c r="A17894" t="s">
        <v>24</v>
      </c>
      <c r="B17894" t="s">
        <v>65002</v>
      </c>
      <c r="C17894" t="str">
        <f>"A0069102"</f>
        <v>A0069102</v>
      </c>
      <c r="D17894" t="s">
        <v>65025</v>
      </c>
      <c r="E17894" t="s">
        <v>65026</v>
      </c>
      <c r="F17894" t="s">
        <v>65027</v>
      </c>
      <c r="G17894" t="s">
        <v>214</v>
      </c>
      <c r="H17894">
        <v>27263</v>
      </c>
      <c r="I17894" t="s">
        <v>30</v>
      </c>
      <c r="J17894" t="s">
        <v>31</v>
      </c>
      <c r="K17894" t="s">
        <v>32</v>
      </c>
      <c r="N17894" t="s">
        <v>65005</v>
      </c>
      <c r="Q17894">
        <v>0</v>
      </c>
      <c r="R17894">
        <v>74</v>
      </c>
      <c r="S17894">
        <v>0</v>
      </c>
      <c r="T17894" t="s">
        <v>65028</v>
      </c>
    </row>
    <row r="17895" spans="1:20" customFormat="1" ht="15" x14ac:dyDescent="0.25">
      <c r="A17895" t="s">
        <v>24</v>
      </c>
      <c r="B17895" t="s">
        <v>8742</v>
      </c>
      <c r="C17895" t="str">
        <f>"A0091262"</f>
        <v>A0091262</v>
      </c>
      <c r="D17895" t="s">
        <v>65029</v>
      </c>
      <c r="E17895" t="s">
        <v>65030</v>
      </c>
      <c r="F17895" t="s">
        <v>65031</v>
      </c>
      <c r="G17895" t="s">
        <v>1706</v>
      </c>
      <c r="H17895">
        <v>36043</v>
      </c>
      <c r="I17895" t="s">
        <v>30</v>
      </c>
      <c r="J17895" t="s">
        <v>31</v>
      </c>
      <c r="K17895" t="s">
        <v>32</v>
      </c>
      <c r="N17895" t="s">
        <v>65032</v>
      </c>
      <c r="O17895" t="s">
        <v>65033</v>
      </c>
      <c r="Q17895">
        <v>0</v>
      </c>
      <c r="R17895">
        <v>87</v>
      </c>
      <c r="S17895">
        <v>0</v>
      </c>
      <c r="T17895" t="s">
        <v>65034</v>
      </c>
    </row>
    <row r="17896" spans="1:20" customFormat="1" ht="15" x14ac:dyDescent="0.25">
      <c r="A17896" t="s">
        <v>24</v>
      </c>
      <c r="B17896" t="s">
        <v>1561</v>
      </c>
      <c r="C17896" t="str">
        <f>"A0091299"</f>
        <v>A0091299</v>
      </c>
      <c r="D17896" t="s">
        <v>65035</v>
      </c>
      <c r="E17896" t="s">
        <v>65036</v>
      </c>
      <c r="F17896" t="s">
        <v>1564</v>
      </c>
      <c r="G17896" t="s">
        <v>52</v>
      </c>
      <c r="H17896">
        <v>77032</v>
      </c>
      <c r="I17896" t="s">
        <v>30</v>
      </c>
      <c r="J17896" t="s">
        <v>31</v>
      </c>
      <c r="K17896" t="s">
        <v>32</v>
      </c>
      <c r="N17896" t="s">
        <v>65037</v>
      </c>
      <c r="Q17896">
        <v>0</v>
      </c>
      <c r="R17896">
        <v>131</v>
      </c>
      <c r="S17896">
        <v>0</v>
      </c>
      <c r="T17896" t="s">
        <v>65038</v>
      </c>
    </row>
    <row r="17897" spans="1:20" customFormat="1" ht="15" x14ac:dyDescent="0.25">
      <c r="A17897" t="s">
        <v>24</v>
      </c>
      <c r="B17897" t="s">
        <v>1323</v>
      </c>
      <c r="C17897" t="str">
        <f>"A0157896"</f>
        <v>A0157896</v>
      </c>
      <c r="D17897" t="s">
        <v>65039</v>
      </c>
      <c r="E17897" t="s">
        <v>65040</v>
      </c>
      <c r="F17897" t="s">
        <v>65041</v>
      </c>
      <c r="G17897" t="s">
        <v>52</v>
      </c>
      <c r="H17897">
        <v>77573</v>
      </c>
      <c r="I17897" t="s">
        <v>30</v>
      </c>
      <c r="J17897" t="s">
        <v>31</v>
      </c>
      <c r="K17897" t="s">
        <v>32</v>
      </c>
      <c r="N17897" t="s">
        <v>65042</v>
      </c>
      <c r="Q17897">
        <v>0</v>
      </c>
      <c r="R17897">
        <v>112</v>
      </c>
      <c r="S17897">
        <v>0</v>
      </c>
      <c r="T17897" t="s">
        <v>65043</v>
      </c>
    </row>
    <row r="17898" spans="1:20" customFormat="1" ht="15" x14ac:dyDescent="0.25">
      <c r="A17898" t="s">
        <v>24</v>
      </c>
      <c r="B17898" t="s">
        <v>1323</v>
      </c>
      <c r="C17898" t="str">
        <f>"A0095222"</f>
        <v>A0095222</v>
      </c>
      <c r="D17898" t="s">
        <v>65044</v>
      </c>
      <c r="E17898" t="s">
        <v>65045</v>
      </c>
      <c r="F17898" t="s">
        <v>703</v>
      </c>
      <c r="G17898" t="s">
        <v>52</v>
      </c>
      <c r="H17898">
        <v>77505</v>
      </c>
      <c r="I17898" t="s">
        <v>30</v>
      </c>
      <c r="J17898" t="s">
        <v>31</v>
      </c>
      <c r="K17898" t="s">
        <v>32</v>
      </c>
      <c r="N17898" t="s">
        <v>65046</v>
      </c>
      <c r="Q17898">
        <v>0</v>
      </c>
      <c r="R17898">
        <v>68</v>
      </c>
      <c r="S17898">
        <v>0</v>
      </c>
      <c r="T17898">
        <f>+(832)-664-8870</f>
        <v>-8702</v>
      </c>
    </row>
    <row r="17899" spans="1:20" customFormat="1" ht="15" x14ac:dyDescent="0.25">
      <c r="A17899" t="s">
        <v>24</v>
      </c>
      <c r="B17899" t="s">
        <v>59814</v>
      </c>
      <c r="C17899" t="str">
        <f>"A0090044"</f>
        <v>A0090044</v>
      </c>
      <c r="D17899" t="s">
        <v>65047</v>
      </c>
      <c r="E17899" t="s">
        <v>65048</v>
      </c>
      <c r="F17899" t="s">
        <v>65049</v>
      </c>
      <c r="G17899" t="s">
        <v>103</v>
      </c>
      <c r="H17899">
        <v>16652</v>
      </c>
      <c r="I17899" t="s">
        <v>30</v>
      </c>
      <c r="J17899" t="s">
        <v>31</v>
      </c>
      <c r="K17899" t="s">
        <v>32</v>
      </c>
      <c r="N17899" t="s">
        <v>65050</v>
      </c>
      <c r="Q17899">
        <v>0</v>
      </c>
      <c r="R17899">
        <v>83</v>
      </c>
      <c r="S17899">
        <v>0</v>
      </c>
      <c r="T17899" t="s">
        <v>65051</v>
      </c>
    </row>
    <row r="17900" spans="1:20" customFormat="1" ht="15" x14ac:dyDescent="0.25">
      <c r="A17900" t="s">
        <v>24</v>
      </c>
      <c r="B17900" t="s">
        <v>2812</v>
      </c>
      <c r="C17900" t="str">
        <f>"432R2"</f>
        <v>432R2</v>
      </c>
      <c r="D17900" t="s">
        <v>65052</v>
      </c>
      <c r="E17900" t="s">
        <v>65053</v>
      </c>
      <c r="F17900" t="s">
        <v>9431</v>
      </c>
      <c r="G17900" t="s">
        <v>381</v>
      </c>
      <c r="H17900">
        <v>46241</v>
      </c>
      <c r="I17900" t="s">
        <v>30</v>
      </c>
      <c r="J17900" t="s">
        <v>31</v>
      </c>
      <c r="K17900" t="s">
        <v>32</v>
      </c>
      <c r="N17900" t="s">
        <v>65054</v>
      </c>
      <c r="O17900" t="s">
        <v>65055</v>
      </c>
      <c r="Q17900">
        <v>0</v>
      </c>
      <c r="R17900">
        <v>86</v>
      </c>
      <c r="S17900">
        <v>0</v>
      </c>
      <c r="T17900" t="s">
        <v>65056</v>
      </c>
    </row>
    <row r="17901" spans="1:20" customFormat="1" ht="15" x14ac:dyDescent="0.25">
      <c r="A17901" t="s">
        <v>24</v>
      </c>
      <c r="B17901" t="s">
        <v>1487</v>
      </c>
      <c r="C17901" t="str">
        <f>"A0088375"</f>
        <v>A0088375</v>
      </c>
      <c r="D17901" t="s">
        <v>65057</v>
      </c>
      <c r="E17901" t="s">
        <v>65058</v>
      </c>
      <c r="F17901" t="s">
        <v>9431</v>
      </c>
      <c r="G17901" t="s">
        <v>381</v>
      </c>
      <c r="H17901">
        <v>46204</v>
      </c>
      <c r="I17901" t="s">
        <v>30</v>
      </c>
      <c r="J17901" t="s">
        <v>31</v>
      </c>
      <c r="K17901" t="s">
        <v>32</v>
      </c>
      <c r="N17901" t="s">
        <v>65059</v>
      </c>
      <c r="O17901" t="s">
        <v>65060</v>
      </c>
      <c r="Q17901">
        <v>0</v>
      </c>
      <c r="R17901">
        <v>168</v>
      </c>
      <c r="S17901">
        <v>0</v>
      </c>
      <c r="T17901" t="s">
        <v>65061</v>
      </c>
    </row>
    <row r="17902" spans="1:20" customFormat="1" ht="15" x14ac:dyDescent="0.25">
      <c r="A17902" t="s">
        <v>24</v>
      </c>
      <c r="B17902" t="s">
        <v>15039</v>
      </c>
      <c r="C17902" t="str">
        <f>"432JG"</f>
        <v>432JG</v>
      </c>
      <c r="D17902" t="s">
        <v>65062</v>
      </c>
      <c r="E17902" t="s">
        <v>65063</v>
      </c>
      <c r="F17902" t="s">
        <v>9431</v>
      </c>
      <c r="G17902" t="s">
        <v>381</v>
      </c>
      <c r="H17902">
        <v>46278</v>
      </c>
      <c r="I17902" t="s">
        <v>30</v>
      </c>
      <c r="J17902" t="s">
        <v>31</v>
      </c>
      <c r="K17902" t="s">
        <v>32</v>
      </c>
      <c r="N17902" t="s">
        <v>65064</v>
      </c>
      <c r="Q17902">
        <v>0</v>
      </c>
      <c r="R17902">
        <v>78</v>
      </c>
      <c r="S17902">
        <v>0</v>
      </c>
      <c r="T17902" t="s">
        <v>65065</v>
      </c>
    </row>
    <row r="17903" spans="1:20" customFormat="1" ht="15" x14ac:dyDescent="0.25">
      <c r="A17903" t="s">
        <v>24</v>
      </c>
      <c r="B17903" t="s">
        <v>2340</v>
      </c>
      <c r="C17903" t="str">
        <f>"A0092320"</f>
        <v>A0092320</v>
      </c>
      <c r="D17903" t="s">
        <v>65066</v>
      </c>
      <c r="E17903" t="s">
        <v>65067</v>
      </c>
      <c r="F17903" t="s">
        <v>10663</v>
      </c>
      <c r="G17903" t="s">
        <v>99</v>
      </c>
      <c r="H17903">
        <v>14850</v>
      </c>
      <c r="I17903" t="s">
        <v>30</v>
      </c>
      <c r="J17903" t="s">
        <v>31</v>
      </c>
      <c r="K17903" t="s">
        <v>32</v>
      </c>
      <c r="N17903" t="s">
        <v>65068</v>
      </c>
      <c r="Q17903">
        <v>0</v>
      </c>
      <c r="R17903">
        <v>106</v>
      </c>
      <c r="S17903">
        <v>0</v>
      </c>
      <c r="T17903" t="s">
        <v>65069</v>
      </c>
    </row>
    <row r="17904" spans="1:20" customFormat="1" ht="15" x14ac:dyDescent="0.25">
      <c r="A17904" t="s">
        <v>24</v>
      </c>
      <c r="B17904" t="s">
        <v>34154</v>
      </c>
      <c r="C17904" t="str">
        <f>"432QM"</f>
        <v>432QM</v>
      </c>
      <c r="D17904" t="s">
        <v>65070</v>
      </c>
      <c r="E17904" t="s">
        <v>65071</v>
      </c>
      <c r="F17904" t="s">
        <v>2443</v>
      </c>
      <c r="G17904" t="s">
        <v>81</v>
      </c>
      <c r="H17904">
        <v>32218</v>
      </c>
      <c r="I17904" t="s">
        <v>30</v>
      </c>
      <c r="J17904" t="s">
        <v>31</v>
      </c>
      <c r="K17904" t="s">
        <v>32</v>
      </c>
      <c r="N17904" t="s">
        <v>65072</v>
      </c>
      <c r="Q17904">
        <v>0</v>
      </c>
      <c r="R17904">
        <v>107</v>
      </c>
      <c r="S17904">
        <v>0</v>
      </c>
      <c r="T17904" t="s">
        <v>65073</v>
      </c>
    </row>
    <row r="17905" spans="1:20" customFormat="1" ht="15" x14ac:dyDescent="0.25">
      <c r="A17905" t="s">
        <v>24</v>
      </c>
      <c r="B17905" t="s">
        <v>1098</v>
      </c>
      <c r="C17905" t="str">
        <f>"A0066540"</f>
        <v>A0066540</v>
      </c>
      <c r="D17905" t="s">
        <v>65074</v>
      </c>
      <c r="E17905" t="s">
        <v>65075</v>
      </c>
      <c r="F17905" t="s">
        <v>2443</v>
      </c>
      <c r="G17905" t="s">
        <v>81</v>
      </c>
      <c r="H17905">
        <v>32250</v>
      </c>
      <c r="I17905" t="s">
        <v>30</v>
      </c>
      <c r="J17905" t="s">
        <v>31</v>
      </c>
      <c r="K17905" t="s">
        <v>32</v>
      </c>
      <c r="N17905" t="s">
        <v>65076</v>
      </c>
      <c r="O17905" t="s">
        <v>65077</v>
      </c>
      <c r="Q17905">
        <v>0</v>
      </c>
      <c r="R17905">
        <v>76</v>
      </c>
      <c r="S17905">
        <v>0</v>
      </c>
      <c r="T17905" t="s">
        <v>65078</v>
      </c>
    </row>
    <row r="17906" spans="1:20" customFormat="1" ht="15" x14ac:dyDescent="0.25">
      <c r="A17906" t="s">
        <v>24</v>
      </c>
      <c r="B17906" t="s">
        <v>2005</v>
      </c>
      <c r="C17906" t="str">
        <f>"A0096237"</f>
        <v>A0096237</v>
      </c>
      <c r="D17906" t="s">
        <v>65079</v>
      </c>
      <c r="E17906" t="s">
        <v>65080</v>
      </c>
      <c r="F17906" t="s">
        <v>60774</v>
      </c>
      <c r="G17906" t="s">
        <v>880</v>
      </c>
      <c r="H17906">
        <v>37604</v>
      </c>
      <c r="I17906" t="s">
        <v>30</v>
      </c>
      <c r="J17906" t="s">
        <v>31</v>
      </c>
      <c r="K17906" t="s">
        <v>32</v>
      </c>
      <c r="N17906" t="s">
        <v>65081</v>
      </c>
      <c r="Q17906">
        <v>0</v>
      </c>
      <c r="R17906">
        <v>90</v>
      </c>
      <c r="S17906">
        <v>0</v>
      </c>
      <c r="T17906" t="s">
        <v>65082</v>
      </c>
    </row>
    <row r="17907" spans="1:20" customFormat="1" ht="15" x14ac:dyDescent="0.25">
      <c r="A17907" t="s">
        <v>24</v>
      </c>
      <c r="B17907" t="s">
        <v>65083</v>
      </c>
      <c r="C17907" t="str">
        <f>"A0100585"</f>
        <v>A0100585</v>
      </c>
      <c r="D17907" t="s">
        <v>65084</v>
      </c>
      <c r="E17907" t="s">
        <v>65085</v>
      </c>
      <c r="F17907" t="s">
        <v>65086</v>
      </c>
      <c r="G17907" t="s">
        <v>137</v>
      </c>
      <c r="H17907">
        <v>64012</v>
      </c>
      <c r="I17907" t="s">
        <v>30</v>
      </c>
      <c r="J17907" t="s">
        <v>31</v>
      </c>
      <c r="K17907" t="s">
        <v>32</v>
      </c>
      <c r="N17907" t="s">
        <v>65087</v>
      </c>
      <c r="Q17907">
        <v>0</v>
      </c>
      <c r="R17907">
        <v>82</v>
      </c>
      <c r="S17907">
        <v>0</v>
      </c>
      <c r="T17907" t="s">
        <v>65088</v>
      </c>
    </row>
    <row r="17908" spans="1:20" customFormat="1" ht="15" x14ac:dyDescent="0.25">
      <c r="A17908" t="s">
        <v>24</v>
      </c>
      <c r="B17908" t="s">
        <v>34039</v>
      </c>
      <c r="C17908" t="str">
        <f>"A0093551"</f>
        <v>A0093551</v>
      </c>
      <c r="D17908" t="s">
        <v>65089</v>
      </c>
      <c r="E17908" t="s">
        <v>65090</v>
      </c>
      <c r="F17908" t="s">
        <v>4173</v>
      </c>
      <c r="G17908" t="s">
        <v>925</v>
      </c>
      <c r="H17908">
        <v>66048</v>
      </c>
      <c r="I17908" t="s">
        <v>30</v>
      </c>
      <c r="J17908" t="s">
        <v>31</v>
      </c>
      <c r="K17908" t="s">
        <v>32</v>
      </c>
      <c r="N17908" t="s">
        <v>65091</v>
      </c>
      <c r="O17908" t="s">
        <v>65092</v>
      </c>
      <c r="Q17908">
        <v>0</v>
      </c>
      <c r="R17908">
        <v>90</v>
      </c>
      <c r="S17908">
        <v>0</v>
      </c>
      <c r="T17908" t="s">
        <v>65093</v>
      </c>
    </row>
    <row r="17909" spans="1:20" customFormat="1" ht="15" x14ac:dyDescent="0.25">
      <c r="A17909" t="s">
        <v>24</v>
      </c>
      <c r="B17909" t="s">
        <v>1467</v>
      </c>
      <c r="C17909" t="str">
        <f>"A0093170"</f>
        <v>A0093170</v>
      </c>
      <c r="D17909" t="s">
        <v>65094</v>
      </c>
      <c r="E17909" t="s">
        <v>65095</v>
      </c>
      <c r="F17909" t="s">
        <v>15012</v>
      </c>
      <c r="G17909" t="s">
        <v>1363</v>
      </c>
      <c r="H17909">
        <v>3431</v>
      </c>
      <c r="I17909" t="s">
        <v>30</v>
      </c>
      <c r="J17909" t="s">
        <v>31</v>
      </c>
      <c r="K17909" t="s">
        <v>32</v>
      </c>
      <c r="N17909" t="s">
        <v>63753</v>
      </c>
      <c r="O17909" t="s">
        <v>65096</v>
      </c>
      <c r="Q17909">
        <v>0</v>
      </c>
      <c r="R17909">
        <v>40</v>
      </c>
      <c r="S17909">
        <v>0</v>
      </c>
      <c r="T17909" t="s">
        <v>65097</v>
      </c>
    </row>
    <row r="17910" spans="1:20" customFormat="1" ht="15" x14ac:dyDescent="0.25">
      <c r="A17910" t="s">
        <v>24</v>
      </c>
      <c r="B17910" t="s">
        <v>1192</v>
      </c>
      <c r="C17910" t="str">
        <f>"A0088508"</f>
        <v>A0088508</v>
      </c>
      <c r="D17910" t="s">
        <v>65098</v>
      </c>
      <c r="E17910" t="s">
        <v>65099</v>
      </c>
      <c r="F17910" t="s">
        <v>65100</v>
      </c>
      <c r="G17910" t="s">
        <v>103</v>
      </c>
      <c r="H17910">
        <v>19348</v>
      </c>
      <c r="I17910" t="s">
        <v>30</v>
      </c>
      <c r="J17910" t="s">
        <v>31</v>
      </c>
      <c r="K17910" t="s">
        <v>32</v>
      </c>
      <c r="N17910" t="s">
        <v>65101</v>
      </c>
      <c r="Q17910">
        <v>0</v>
      </c>
      <c r="R17910">
        <v>109</v>
      </c>
      <c r="S17910">
        <v>0</v>
      </c>
      <c r="T17910" t="s">
        <v>65102</v>
      </c>
    </row>
    <row r="17911" spans="1:20" customFormat="1" ht="15" x14ac:dyDescent="0.25">
      <c r="A17911" t="s">
        <v>24</v>
      </c>
      <c r="B17911" t="s">
        <v>2583</v>
      </c>
      <c r="C17911" t="str">
        <f>"A0100525"</f>
        <v>A0100525</v>
      </c>
      <c r="D17911" t="s">
        <v>65103</v>
      </c>
      <c r="E17911" t="s">
        <v>65104</v>
      </c>
      <c r="F17911" t="s">
        <v>63132</v>
      </c>
      <c r="G17911" t="s">
        <v>71</v>
      </c>
      <c r="H17911">
        <v>53158</v>
      </c>
      <c r="I17911" t="s">
        <v>30</v>
      </c>
      <c r="J17911" t="s">
        <v>31</v>
      </c>
      <c r="K17911" t="s">
        <v>32</v>
      </c>
      <c r="N17911" t="s">
        <v>65105</v>
      </c>
      <c r="Q17911">
        <v>0</v>
      </c>
      <c r="R17911">
        <v>108</v>
      </c>
      <c r="S17911">
        <v>0</v>
      </c>
      <c r="T17911" t="s">
        <v>65106</v>
      </c>
    </row>
    <row r="17912" spans="1:20" customFormat="1" ht="15" x14ac:dyDescent="0.25">
      <c r="A17912" t="s">
        <v>24</v>
      </c>
      <c r="B17912" t="s">
        <v>34039</v>
      </c>
      <c r="C17912" t="str">
        <f>"A0162104"</f>
        <v>A0162104</v>
      </c>
      <c r="D17912" t="s">
        <v>65107</v>
      </c>
      <c r="E17912" t="s">
        <v>65108</v>
      </c>
      <c r="F17912" t="s">
        <v>4960</v>
      </c>
      <c r="G17912" t="s">
        <v>47</v>
      </c>
      <c r="H17912">
        <v>97601</v>
      </c>
      <c r="I17912" t="s">
        <v>30</v>
      </c>
      <c r="J17912" t="s">
        <v>31</v>
      </c>
      <c r="K17912" t="s">
        <v>32</v>
      </c>
      <c r="Q17912">
        <v>0</v>
      </c>
      <c r="R17912">
        <v>92</v>
      </c>
      <c r="S17912">
        <v>0</v>
      </c>
      <c r="T17912" t="s">
        <v>65109</v>
      </c>
    </row>
    <row r="17913" spans="1:20" customFormat="1" ht="15" x14ac:dyDescent="0.25">
      <c r="A17913" t="s">
        <v>24</v>
      </c>
      <c r="B17913" t="s">
        <v>9391</v>
      </c>
      <c r="C17913" t="str">
        <f>"A0091947"</f>
        <v>A0091947</v>
      </c>
      <c r="D17913" t="s">
        <v>65110</v>
      </c>
      <c r="E17913" t="s">
        <v>65111</v>
      </c>
      <c r="F17913" t="s">
        <v>65112</v>
      </c>
      <c r="G17913" t="s">
        <v>880</v>
      </c>
      <c r="H17913">
        <v>37932</v>
      </c>
      <c r="I17913" t="s">
        <v>30</v>
      </c>
      <c r="J17913" t="s">
        <v>31</v>
      </c>
      <c r="K17913" t="s">
        <v>32</v>
      </c>
      <c r="N17913" t="s">
        <v>65113</v>
      </c>
      <c r="Q17913">
        <v>0</v>
      </c>
      <c r="R17913">
        <v>90</v>
      </c>
      <c r="S17913">
        <v>0</v>
      </c>
      <c r="T17913" t="s">
        <v>65114</v>
      </c>
    </row>
    <row r="17914" spans="1:20" customFormat="1" ht="15" x14ac:dyDescent="0.25">
      <c r="A17914" t="s">
        <v>24</v>
      </c>
      <c r="B17914" t="s">
        <v>2005</v>
      </c>
      <c r="C17914" t="str">
        <f>"A0089325"</f>
        <v>A0089325</v>
      </c>
      <c r="D17914" t="s">
        <v>65115</v>
      </c>
      <c r="E17914" t="s">
        <v>65116</v>
      </c>
      <c r="F17914" t="s">
        <v>53877</v>
      </c>
      <c r="G17914" t="s">
        <v>880</v>
      </c>
      <c r="H17914">
        <v>37764</v>
      </c>
      <c r="I17914" t="s">
        <v>30</v>
      </c>
      <c r="J17914" t="s">
        <v>31</v>
      </c>
      <c r="K17914" t="s">
        <v>32</v>
      </c>
      <c r="N17914" t="s">
        <v>65117</v>
      </c>
      <c r="Q17914">
        <v>0</v>
      </c>
      <c r="R17914">
        <v>91</v>
      </c>
      <c r="S17914">
        <v>0</v>
      </c>
      <c r="T17914" t="s">
        <v>65118</v>
      </c>
    </row>
    <row r="17915" spans="1:20" customFormat="1" ht="15" x14ac:dyDescent="0.25">
      <c r="A17915" t="s">
        <v>24</v>
      </c>
      <c r="B17915" t="s">
        <v>65119</v>
      </c>
      <c r="C17915" t="str">
        <f>"A0095055"</f>
        <v>A0095055</v>
      </c>
      <c r="D17915" t="s">
        <v>65120</v>
      </c>
      <c r="E17915" t="s">
        <v>65121</v>
      </c>
      <c r="F17915" t="s">
        <v>65122</v>
      </c>
      <c r="G17915" t="s">
        <v>71</v>
      </c>
      <c r="H17915">
        <v>54601</v>
      </c>
      <c r="I17915" t="s">
        <v>30</v>
      </c>
      <c r="J17915" t="s">
        <v>31</v>
      </c>
      <c r="K17915" t="s">
        <v>32</v>
      </c>
      <c r="N17915" t="s">
        <v>65123</v>
      </c>
      <c r="O17915" t="s">
        <v>65124</v>
      </c>
      <c r="Q17915">
        <v>0</v>
      </c>
      <c r="R17915">
        <v>92</v>
      </c>
      <c r="S17915">
        <v>0</v>
      </c>
      <c r="T17915" t="s">
        <v>65125</v>
      </c>
    </row>
    <row r="17916" spans="1:20" customFormat="1" ht="15" x14ac:dyDescent="0.25">
      <c r="A17916" t="s">
        <v>24</v>
      </c>
      <c r="B17916" t="s">
        <v>2583</v>
      </c>
      <c r="C17916" t="str">
        <f>"A0153134"</f>
        <v>A0153134</v>
      </c>
      <c r="D17916" t="s">
        <v>65126</v>
      </c>
      <c r="E17916" t="s">
        <v>65127</v>
      </c>
      <c r="F17916" t="s">
        <v>54959</v>
      </c>
      <c r="G17916" t="s">
        <v>71</v>
      </c>
      <c r="H17916">
        <v>53147</v>
      </c>
      <c r="I17916" t="s">
        <v>30</v>
      </c>
      <c r="J17916" t="s">
        <v>31</v>
      </c>
      <c r="K17916" t="s">
        <v>32</v>
      </c>
      <c r="N17916" t="s">
        <v>65128</v>
      </c>
      <c r="Q17916">
        <v>0</v>
      </c>
      <c r="R17916">
        <v>92</v>
      </c>
      <c r="S17916">
        <v>0</v>
      </c>
      <c r="T17916" t="s">
        <v>65129</v>
      </c>
    </row>
    <row r="17917" spans="1:20" customFormat="1" ht="15" x14ac:dyDescent="0.25">
      <c r="A17917" t="s">
        <v>24</v>
      </c>
      <c r="B17917" t="s">
        <v>1098</v>
      </c>
      <c r="C17917" t="str">
        <f>"A0087077"</f>
        <v>A0087077</v>
      </c>
      <c r="D17917" t="s">
        <v>65130</v>
      </c>
      <c r="E17917" t="s">
        <v>65131</v>
      </c>
      <c r="F17917" t="s">
        <v>34249</v>
      </c>
      <c r="G17917" t="s">
        <v>81</v>
      </c>
      <c r="H17917">
        <v>33566</v>
      </c>
      <c r="I17917" t="s">
        <v>30</v>
      </c>
      <c r="J17917" t="s">
        <v>31</v>
      </c>
      <c r="K17917" t="s">
        <v>32</v>
      </c>
      <c r="N17917" t="s">
        <v>65132</v>
      </c>
      <c r="O17917" t="s">
        <v>65133</v>
      </c>
      <c r="Q17917">
        <v>0</v>
      </c>
      <c r="R17917">
        <v>87</v>
      </c>
      <c r="S17917">
        <v>0</v>
      </c>
      <c r="T17917" t="s">
        <v>65134</v>
      </c>
    </row>
    <row r="17918" spans="1:20" customFormat="1" ht="15" x14ac:dyDescent="0.25">
      <c r="A17918" t="s">
        <v>24</v>
      </c>
      <c r="B17918" t="s">
        <v>6515</v>
      </c>
      <c r="C17918" t="str">
        <f>"A0096417"</f>
        <v>A0096417</v>
      </c>
      <c r="D17918" t="s">
        <v>65135</v>
      </c>
      <c r="E17918" t="s">
        <v>65136</v>
      </c>
      <c r="F17918" t="s">
        <v>1320</v>
      </c>
      <c r="G17918" t="s">
        <v>103</v>
      </c>
      <c r="H17918">
        <v>17603</v>
      </c>
      <c r="I17918" t="s">
        <v>30</v>
      </c>
      <c r="J17918" t="s">
        <v>31</v>
      </c>
      <c r="K17918" t="s">
        <v>32</v>
      </c>
      <c r="N17918" t="s">
        <v>65137</v>
      </c>
      <c r="Q17918">
        <v>0</v>
      </c>
      <c r="R17918">
        <v>118</v>
      </c>
      <c r="S17918">
        <v>0</v>
      </c>
      <c r="T17918" t="s">
        <v>65138</v>
      </c>
    </row>
    <row r="17919" spans="1:20" customFormat="1" ht="15" x14ac:dyDescent="0.25">
      <c r="A17919" t="s">
        <v>24</v>
      </c>
      <c r="B17919" t="s">
        <v>4341</v>
      </c>
      <c r="C17919" t="str">
        <f>"A0095066"</f>
        <v>A0095066</v>
      </c>
      <c r="D17919" t="s">
        <v>65139</v>
      </c>
      <c r="E17919" t="s">
        <v>65140</v>
      </c>
      <c r="F17919" t="s">
        <v>5075</v>
      </c>
      <c r="G17919" t="s">
        <v>117</v>
      </c>
      <c r="H17919">
        <v>48912</v>
      </c>
      <c r="I17919" t="s">
        <v>30</v>
      </c>
      <c r="J17919" t="s">
        <v>31</v>
      </c>
      <c r="K17919" t="s">
        <v>32</v>
      </c>
      <c r="N17919" t="s">
        <v>65141</v>
      </c>
      <c r="O17919" t="s">
        <v>65142</v>
      </c>
      <c r="Q17919">
        <v>0</v>
      </c>
      <c r="R17919">
        <v>116</v>
      </c>
      <c r="S17919">
        <v>0</v>
      </c>
      <c r="T17919" t="s">
        <v>65143</v>
      </c>
    </row>
    <row r="17920" spans="1:20" customFormat="1" ht="15" x14ac:dyDescent="0.25">
      <c r="A17920" t="s">
        <v>24</v>
      </c>
      <c r="B17920" t="s">
        <v>59699</v>
      </c>
      <c r="C17920" t="str">
        <f>"A0146003"</f>
        <v>A0146003</v>
      </c>
      <c r="D17920" t="s">
        <v>65144</v>
      </c>
      <c r="E17920" t="s">
        <v>65145</v>
      </c>
      <c r="F17920" t="s">
        <v>65146</v>
      </c>
      <c r="G17920" t="s">
        <v>1170</v>
      </c>
      <c r="H17920">
        <v>70068</v>
      </c>
      <c r="I17920" t="s">
        <v>30</v>
      </c>
      <c r="J17920" t="s">
        <v>31</v>
      </c>
      <c r="K17920" t="s">
        <v>32</v>
      </c>
      <c r="N17920" t="s">
        <v>65147</v>
      </c>
      <c r="Q17920">
        <v>0</v>
      </c>
      <c r="R17920">
        <v>94</v>
      </c>
      <c r="S17920">
        <v>0</v>
      </c>
      <c r="T17920" t="s">
        <v>65148</v>
      </c>
    </row>
    <row r="17921" spans="1:20" customFormat="1" ht="15" x14ac:dyDescent="0.25">
      <c r="A17921" t="s">
        <v>24</v>
      </c>
      <c r="B17921" t="s">
        <v>58744</v>
      </c>
      <c r="C17921" t="str">
        <f>"A0086993"</f>
        <v>A0086993</v>
      </c>
      <c r="D17921" t="s">
        <v>65149</v>
      </c>
      <c r="E17921" t="s">
        <v>65150</v>
      </c>
      <c r="F17921" t="s">
        <v>65151</v>
      </c>
      <c r="G17921" t="s">
        <v>1508</v>
      </c>
      <c r="H17921">
        <v>82070</v>
      </c>
      <c r="I17921" t="s">
        <v>30</v>
      </c>
      <c r="J17921" t="s">
        <v>31</v>
      </c>
      <c r="K17921" t="s">
        <v>32</v>
      </c>
      <c r="N17921" t="s">
        <v>56846</v>
      </c>
      <c r="O17921" t="s">
        <v>65152</v>
      </c>
      <c r="Q17921">
        <v>0</v>
      </c>
      <c r="R17921">
        <v>83</v>
      </c>
      <c r="S17921">
        <v>0</v>
      </c>
      <c r="T17921" t="s">
        <v>65153</v>
      </c>
    </row>
    <row r="17922" spans="1:20" customFormat="1" ht="15" x14ac:dyDescent="0.25">
      <c r="A17922" t="s">
        <v>24</v>
      </c>
      <c r="B17922" t="s">
        <v>61024</v>
      </c>
      <c r="C17922" t="str">
        <f>"A0066050"</f>
        <v>A0066050</v>
      </c>
      <c r="D17922" t="s">
        <v>65154</v>
      </c>
      <c r="E17922" t="s">
        <v>65155</v>
      </c>
      <c r="F17922" t="s">
        <v>6947</v>
      </c>
      <c r="G17922" t="s">
        <v>52</v>
      </c>
      <c r="H17922">
        <v>78041</v>
      </c>
      <c r="I17922" t="s">
        <v>30</v>
      </c>
      <c r="J17922" t="s">
        <v>31</v>
      </c>
      <c r="K17922" t="s">
        <v>32</v>
      </c>
      <c r="N17922" t="s">
        <v>65156</v>
      </c>
      <c r="Q17922">
        <v>0</v>
      </c>
      <c r="R17922">
        <v>115</v>
      </c>
      <c r="S17922">
        <v>0</v>
      </c>
      <c r="T17922" t="s">
        <v>65157</v>
      </c>
    </row>
    <row r="17923" spans="1:20" customFormat="1" ht="15" x14ac:dyDescent="0.25">
      <c r="A17923" t="s">
        <v>24</v>
      </c>
      <c r="B17923" t="s">
        <v>734</v>
      </c>
      <c r="C17923" t="str">
        <f>"A0147026"</f>
        <v>A0147026</v>
      </c>
      <c r="D17923" t="s">
        <v>65158</v>
      </c>
      <c r="E17923" t="s">
        <v>65159</v>
      </c>
      <c r="F17923" t="s">
        <v>220</v>
      </c>
      <c r="G17923" t="s">
        <v>221</v>
      </c>
      <c r="H17923">
        <v>89119</v>
      </c>
      <c r="I17923" t="s">
        <v>30</v>
      </c>
      <c r="J17923" t="s">
        <v>31</v>
      </c>
      <c r="K17923" t="s">
        <v>32</v>
      </c>
      <c r="N17923" t="s">
        <v>54261</v>
      </c>
      <c r="Q17923">
        <v>0</v>
      </c>
      <c r="R17923">
        <v>105</v>
      </c>
      <c r="S17923">
        <v>0</v>
      </c>
      <c r="T17923" t="s">
        <v>65160</v>
      </c>
    </row>
    <row r="17924" spans="1:20" customFormat="1" ht="15" x14ac:dyDescent="0.25">
      <c r="A17924" t="s">
        <v>24</v>
      </c>
      <c r="B17924" t="s">
        <v>57000</v>
      </c>
      <c r="C17924" t="str">
        <f>"A0153181"</f>
        <v>A0153181</v>
      </c>
      <c r="D17924" t="s">
        <v>65161</v>
      </c>
      <c r="E17924" t="s">
        <v>65162</v>
      </c>
      <c r="F17924" t="s">
        <v>220</v>
      </c>
      <c r="G17924" t="s">
        <v>221</v>
      </c>
      <c r="H17924">
        <v>89130</v>
      </c>
      <c r="I17924" t="s">
        <v>30</v>
      </c>
      <c r="J17924" t="s">
        <v>31</v>
      </c>
      <c r="K17924" t="s">
        <v>32</v>
      </c>
      <c r="N17924" t="s">
        <v>223</v>
      </c>
      <c r="Q17924">
        <v>0</v>
      </c>
      <c r="R17924">
        <v>87</v>
      </c>
      <c r="S17924">
        <v>0</v>
      </c>
      <c r="T17924" t="s">
        <v>65163</v>
      </c>
    </row>
    <row r="17925" spans="1:20" customFormat="1" ht="15" x14ac:dyDescent="0.25">
      <c r="A17925" t="s">
        <v>24</v>
      </c>
      <c r="B17925" t="s">
        <v>1317</v>
      </c>
      <c r="C17925" t="str">
        <f>"A0069334"</f>
        <v>A0069334</v>
      </c>
      <c r="D17925" t="s">
        <v>65164</v>
      </c>
      <c r="E17925" t="s">
        <v>65165</v>
      </c>
      <c r="F17925" t="s">
        <v>65166</v>
      </c>
      <c r="G17925" t="s">
        <v>40</v>
      </c>
      <c r="H17925">
        <v>73501</v>
      </c>
      <c r="I17925" t="s">
        <v>30</v>
      </c>
      <c r="J17925" t="s">
        <v>31</v>
      </c>
      <c r="K17925" t="s">
        <v>32</v>
      </c>
      <c r="N17925" t="s">
        <v>65167</v>
      </c>
      <c r="Q17925">
        <v>0</v>
      </c>
      <c r="R17925">
        <v>84</v>
      </c>
      <c r="S17925">
        <v>0</v>
      </c>
      <c r="T17925" t="s">
        <v>65168</v>
      </c>
    </row>
    <row r="17926" spans="1:20" customFormat="1" ht="15" x14ac:dyDescent="0.25">
      <c r="A17926" t="s">
        <v>24</v>
      </c>
      <c r="B17926" t="s">
        <v>1323</v>
      </c>
      <c r="C17926" t="str">
        <f>"A0100052"</f>
        <v>A0100052</v>
      </c>
      <c r="D17926" t="s">
        <v>65169</v>
      </c>
      <c r="E17926" t="s">
        <v>65170</v>
      </c>
      <c r="F17926" t="s">
        <v>15731</v>
      </c>
      <c r="G17926" t="s">
        <v>880</v>
      </c>
      <c r="H17926">
        <v>37087</v>
      </c>
      <c r="I17926" t="s">
        <v>30</v>
      </c>
      <c r="J17926" t="s">
        <v>31</v>
      </c>
      <c r="K17926" t="s">
        <v>32</v>
      </c>
      <c r="N17926" t="s">
        <v>65171</v>
      </c>
      <c r="Q17926">
        <v>0</v>
      </c>
      <c r="R17926">
        <v>90</v>
      </c>
      <c r="S17926">
        <v>0</v>
      </c>
      <c r="T17926" t="s">
        <v>65172</v>
      </c>
    </row>
    <row r="17927" spans="1:20" customFormat="1" ht="15" x14ac:dyDescent="0.25">
      <c r="A17927" t="s">
        <v>24</v>
      </c>
      <c r="B17927" t="s">
        <v>4400</v>
      </c>
      <c r="C17927" t="str">
        <f>"A0088216"</f>
        <v>A0088216</v>
      </c>
      <c r="D17927" t="s">
        <v>65173</v>
      </c>
      <c r="E17927" t="s">
        <v>65174</v>
      </c>
      <c r="F17927" t="s">
        <v>3041</v>
      </c>
      <c r="G17927" t="s">
        <v>840</v>
      </c>
      <c r="H17927">
        <v>40511</v>
      </c>
      <c r="I17927" t="s">
        <v>30</v>
      </c>
      <c r="J17927" t="s">
        <v>31</v>
      </c>
      <c r="K17927" t="s">
        <v>32</v>
      </c>
      <c r="N17927" t="s">
        <v>65175</v>
      </c>
      <c r="Q17927">
        <v>0</v>
      </c>
      <c r="R17927">
        <v>114</v>
      </c>
      <c r="S17927">
        <v>0</v>
      </c>
      <c r="T17927" t="s">
        <v>65176</v>
      </c>
    </row>
    <row r="17928" spans="1:20" customFormat="1" ht="15" x14ac:dyDescent="0.25">
      <c r="A17928" t="s">
        <v>24</v>
      </c>
      <c r="B17928" t="s">
        <v>10986</v>
      </c>
      <c r="C17928" t="str">
        <f>"A0162085"</f>
        <v>A0162085</v>
      </c>
      <c r="D17928" t="s">
        <v>65177</v>
      </c>
      <c r="E17928" t="s">
        <v>65178</v>
      </c>
      <c r="F17928" t="s">
        <v>3364</v>
      </c>
      <c r="G17928" t="s">
        <v>1184</v>
      </c>
      <c r="H17928">
        <v>59047</v>
      </c>
      <c r="I17928" t="s">
        <v>30</v>
      </c>
      <c r="J17928" t="s">
        <v>31</v>
      </c>
      <c r="K17928" t="s">
        <v>32</v>
      </c>
      <c r="N17928" t="s">
        <v>65179</v>
      </c>
      <c r="Q17928">
        <v>0</v>
      </c>
      <c r="R17928">
        <v>90</v>
      </c>
      <c r="S17928">
        <v>0</v>
      </c>
      <c r="T17928" t="s">
        <v>65180</v>
      </c>
    </row>
    <row r="17929" spans="1:20" customFormat="1" ht="15" x14ac:dyDescent="0.25">
      <c r="A17929" t="s">
        <v>24</v>
      </c>
      <c r="B17929" t="s">
        <v>59814</v>
      </c>
      <c r="C17929" t="str">
        <f>"A0088493"</f>
        <v>A0088493</v>
      </c>
      <c r="D17929" t="s">
        <v>65181</v>
      </c>
      <c r="E17929" t="s">
        <v>65182</v>
      </c>
      <c r="F17929" t="s">
        <v>65183</v>
      </c>
      <c r="G17929" t="s">
        <v>103</v>
      </c>
      <c r="H17929">
        <v>17745</v>
      </c>
      <c r="I17929" t="s">
        <v>30</v>
      </c>
      <c r="J17929" t="s">
        <v>31</v>
      </c>
      <c r="K17929" t="s">
        <v>32</v>
      </c>
      <c r="N17929" t="s">
        <v>65184</v>
      </c>
      <c r="Q17929">
        <v>0</v>
      </c>
      <c r="R17929">
        <v>65</v>
      </c>
      <c r="S17929">
        <v>0</v>
      </c>
      <c r="T17929" t="s">
        <v>65185</v>
      </c>
    </row>
    <row r="17930" spans="1:20" customFormat="1" ht="15" x14ac:dyDescent="0.25">
      <c r="A17930" t="s">
        <v>24</v>
      </c>
      <c r="B17930" t="s">
        <v>2910</v>
      </c>
      <c r="C17930" t="str">
        <f>"A0087477"</f>
        <v>A0087477</v>
      </c>
      <c r="D17930" t="s">
        <v>65186</v>
      </c>
      <c r="E17930" t="s">
        <v>65187</v>
      </c>
      <c r="F17930" t="s">
        <v>3466</v>
      </c>
      <c r="G17930" t="s">
        <v>840</v>
      </c>
      <c r="H17930">
        <v>40299</v>
      </c>
      <c r="I17930" t="s">
        <v>30</v>
      </c>
      <c r="J17930" t="s">
        <v>31</v>
      </c>
      <c r="K17930" t="s">
        <v>32</v>
      </c>
      <c r="N17930" t="s">
        <v>65188</v>
      </c>
      <c r="Q17930">
        <v>0</v>
      </c>
      <c r="R17930">
        <v>85</v>
      </c>
      <c r="S17930">
        <v>0</v>
      </c>
      <c r="T17930" t="s">
        <v>65189</v>
      </c>
    </row>
    <row r="17931" spans="1:20" customFormat="1" ht="15" x14ac:dyDescent="0.25">
      <c r="A17931" t="s">
        <v>24</v>
      </c>
      <c r="B17931" t="s">
        <v>1020</v>
      </c>
      <c r="C17931" t="str">
        <f>"A0085211"</f>
        <v>A0085211</v>
      </c>
      <c r="D17931" t="s">
        <v>65190</v>
      </c>
      <c r="E17931" t="s">
        <v>65191</v>
      </c>
      <c r="F17931" t="s">
        <v>3466</v>
      </c>
      <c r="G17931" t="s">
        <v>840</v>
      </c>
      <c r="H17931">
        <v>40202</v>
      </c>
      <c r="I17931" t="s">
        <v>30</v>
      </c>
      <c r="J17931" t="s">
        <v>31</v>
      </c>
      <c r="K17931" t="s">
        <v>32</v>
      </c>
      <c r="N17931" t="s">
        <v>65192</v>
      </c>
      <c r="Q17931">
        <v>0</v>
      </c>
      <c r="R17931">
        <v>135</v>
      </c>
      <c r="S17931">
        <v>0</v>
      </c>
      <c r="T17931" t="s">
        <v>65193</v>
      </c>
    </row>
    <row r="17932" spans="1:20" customFormat="1" ht="15" x14ac:dyDescent="0.25">
      <c r="A17932" t="s">
        <v>24</v>
      </c>
      <c r="B17932" t="s">
        <v>4341</v>
      </c>
      <c r="C17932" t="str">
        <f>"A0158018"</f>
        <v>A0158018</v>
      </c>
      <c r="D17932" t="s">
        <v>65194</v>
      </c>
      <c r="E17932" t="s">
        <v>65195</v>
      </c>
      <c r="F17932" t="s">
        <v>35414</v>
      </c>
      <c r="G17932" t="s">
        <v>381</v>
      </c>
      <c r="H17932">
        <v>47130</v>
      </c>
      <c r="I17932" t="s">
        <v>30</v>
      </c>
      <c r="J17932" t="s">
        <v>31</v>
      </c>
      <c r="K17932" t="s">
        <v>32</v>
      </c>
      <c r="N17932" t="s">
        <v>65196</v>
      </c>
      <c r="Q17932">
        <v>0</v>
      </c>
      <c r="R17932">
        <v>84</v>
      </c>
      <c r="S17932">
        <v>0</v>
      </c>
      <c r="T17932" t="s">
        <v>65197</v>
      </c>
    </row>
    <row r="17933" spans="1:20" customFormat="1" ht="15" x14ac:dyDescent="0.25">
      <c r="A17933" t="s">
        <v>24</v>
      </c>
      <c r="B17933" t="s">
        <v>1487</v>
      </c>
      <c r="C17933" t="str">
        <f>"A0100619"</f>
        <v>A0100619</v>
      </c>
      <c r="D17933" t="s">
        <v>65198</v>
      </c>
      <c r="E17933" t="s">
        <v>65199</v>
      </c>
      <c r="F17933" t="s">
        <v>3466</v>
      </c>
      <c r="G17933" t="s">
        <v>840</v>
      </c>
      <c r="H17933">
        <v>40202</v>
      </c>
      <c r="I17933" t="s">
        <v>30</v>
      </c>
      <c r="J17933" t="s">
        <v>31</v>
      </c>
      <c r="K17933" t="s">
        <v>32</v>
      </c>
      <c r="N17933" t="s">
        <v>65200</v>
      </c>
      <c r="Q17933">
        <v>0</v>
      </c>
      <c r="R17933">
        <v>79</v>
      </c>
      <c r="S17933">
        <v>0</v>
      </c>
      <c r="T17933" t="s">
        <v>65201</v>
      </c>
    </row>
    <row r="17934" spans="1:20" customFormat="1" ht="15" x14ac:dyDescent="0.25">
      <c r="A17934" t="s">
        <v>24</v>
      </c>
      <c r="B17934" t="s">
        <v>3343</v>
      </c>
      <c r="C17934" t="str">
        <f>"A0099680"</f>
        <v>A0099680</v>
      </c>
      <c r="D17934" t="s">
        <v>65202</v>
      </c>
      <c r="E17934" t="s">
        <v>65203</v>
      </c>
      <c r="F17934" t="s">
        <v>2120</v>
      </c>
      <c r="G17934" t="s">
        <v>52</v>
      </c>
      <c r="H17934">
        <v>79407</v>
      </c>
      <c r="I17934" t="s">
        <v>30</v>
      </c>
      <c r="J17934" t="s">
        <v>31</v>
      </c>
      <c r="K17934" t="s">
        <v>32</v>
      </c>
      <c r="N17934" t="s">
        <v>65204</v>
      </c>
      <c r="O17934" t="s">
        <v>65205</v>
      </c>
      <c r="Q17934">
        <v>0</v>
      </c>
      <c r="R17934">
        <v>100</v>
      </c>
      <c r="S17934">
        <v>0</v>
      </c>
      <c r="T17934" t="s">
        <v>65206</v>
      </c>
    </row>
    <row r="17935" spans="1:20" customFormat="1" ht="15" x14ac:dyDescent="0.25">
      <c r="A17935" t="s">
        <v>24</v>
      </c>
      <c r="B17935" t="s">
        <v>649</v>
      </c>
      <c r="C17935" t="str">
        <f>"A0064270"</f>
        <v>A0064270</v>
      </c>
      <c r="D17935" t="s">
        <v>65207</v>
      </c>
      <c r="E17935" t="s">
        <v>65208</v>
      </c>
      <c r="F17935" t="s">
        <v>16213</v>
      </c>
      <c r="G17935" t="s">
        <v>29</v>
      </c>
      <c r="H17935">
        <v>24502</v>
      </c>
      <c r="I17935" t="s">
        <v>30</v>
      </c>
      <c r="J17935" t="s">
        <v>31</v>
      </c>
      <c r="K17935" t="s">
        <v>32</v>
      </c>
      <c r="N17935" t="s">
        <v>65209</v>
      </c>
      <c r="Q17935">
        <v>0</v>
      </c>
      <c r="R17935">
        <v>131</v>
      </c>
      <c r="S17935">
        <v>0</v>
      </c>
      <c r="T17935" t="s">
        <v>65210</v>
      </c>
    </row>
    <row r="17936" spans="1:20" customFormat="1" ht="15" x14ac:dyDescent="0.25">
      <c r="A17936" t="s">
        <v>24</v>
      </c>
      <c r="B17936" t="s">
        <v>57556</v>
      </c>
      <c r="C17936" t="str">
        <f>"432ET"</f>
        <v>432ET</v>
      </c>
      <c r="D17936" t="s">
        <v>65211</v>
      </c>
      <c r="E17936" t="s">
        <v>65212</v>
      </c>
      <c r="F17936" t="s">
        <v>3560</v>
      </c>
      <c r="G17936" t="s">
        <v>846</v>
      </c>
      <c r="H17936">
        <v>31210</v>
      </c>
      <c r="I17936" t="s">
        <v>30</v>
      </c>
      <c r="J17936" t="s">
        <v>31</v>
      </c>
      <c r="K17936" t="s">
        <v>32</v>
      </c>
      <c r="N17936" t="s">
        <v>65213</v>
      </c>
      <c r="Q17936">
        <v>0</v>
      </c>
      <c r="R17936">
        <v>78</v>
      </c>
      <c r="S17936">
        <v>0</v>
      </c>
      <c r="T17936" t="s">
        <v>65214</v>
      </c>
    </row>
    <row r="17937" spans="1:20" customFormat="1" ht="15" x14ac:dyDescent="0.25">
      <c r="A17937" t="s">
        <v>24</v>
      </c>
      <c r="B17937" t="s">
        <v>34033</v>
      </c>
      <c r="C17937" t="str">
        <f>"A0088699"</f>
        <v>A0088699</v>
      </c>
      <c r="D17937" t="s">
        <v>65215</v>
      </c>
      <c r="E17937" t="s">
        <v>65216</v>
      </c>
      <c r="F17937" t="s">
        <v>11991</v>
      </c>
      <c r="G17937" t="s">
        <v>71</v>
      </c>
      <c r="H17937">
        <v>53718</v>
      </c>
      <c r="I17937" t="s">
        <v>30</v>
      </c>
      <c r="J17937" t="s">
        <v>31</v>
      </c>
      <c r="K17937" t="s">
        <v>32</v>
      </c>
      <c r="N17937" t="s">
        <v>60988</v>
      </c>
      <c r="O17937" t="s">
        <v>60989</v>
      </c>
      <c r="Q17937">
        <v>0</v>
      </c>
      <c r="R17937">
        <v>130</v>
      </c>
      <c r="S17937">
        <v>0</v>
      </c>
      <c r="T17937" t="s">
        <v>65217</v>
      </c>
    </row>
    <row r="17938" spans="1:20" customFormat="1" ht="15" x14ac:dyDescent="0.25">
      <c r="A17938" t="s">
        <v>24</v>
      </c>
      <c r="B17938" t="s">
        <v>649</v>
      </c>
      <c r="C17938" t="str">
        <f>"A0084995"</f>
        <v>A0084995</v>
      </c>
      <c r="D17938" t="s">
        <v>65218</v>
      </c>
      <c r="E17938" t="s">
        <v>65219</v>
      </c>
      <c r="F17938" t="s">
        <v>22836</v>
      </c>
      <c r="G17938" t="s">
        <v>81</v>
      </c>
      <c r="H17938">
        <v>32448</v>
      </c>
      <c r="I17938" t="s">
        <v>30</v>
      </c>
      <c r="J17938" t="s">
        <v>31</v>
      </c>
      <c r="K17938" t="s">
        <v>32</v>
      </c>
      <c r="N17938" t="s">
        <v>62602</v>
      </c>
      <c r="Q17938">
        <v>0</v>
      </c>
      <c r="R17938">
        <v>77</v>
      </c>
      <c r="S17938">
        <v>0</v>
      </c>
      <c r="T17938" t="s">
        <v>65220</v>
      </c>
    </row>
    <row r="17939" spans="1:20" customFormat="1" ht="15" x14ac:dyDescent="0.25">
      <c r="A17939" t="s">
        <v>24</v>
      </c>
      <c r="B17939" t="s">
        <v>64474</v>
      </c>
      <c r="C17939" t="str">
        <f>"A0090970"</f>
        <v>A0090970</v>
      </c>
      <c r="D17939" t="s">
        <v>65221</v>
      </c>
      <c r="E17939" t="s">
        <v>65222</v>
      </c>
      <c r="F17939" t="s">
        <v>1215</v>
      </c>
      <c r="G17939" t="s">
        <v>65</v>
      </c>
      <c r="H17939">
        <v>45750</v>
      </c>
      <c r="I17939" t="s">
        <v>30</v>
      </c>
      <c r="J17939" t="s">
        <v>31</v>
      </c>
      <c r="K17939" t="s">
        <v>32</v>
      </c>
      <c r="N17939" t="s">
        <v>65223</v>
      </c>
      <c r="O17939" t="s">
        <v>65224</v>
      </c>
      <c r="Q17939">
        <v>0</v>
      </c>
      <c r="R17939">
        <v>104</v>
      </c>
      <c r="S17939">
        <v>0</v>
      </c>
      <c r="T17939" t="s">
        <v>65225</v>
      </c>
    </row>
    <row r="17940" spans="1:20" customFormat="1" ht="15" x14ac:dyDescent="0.25">
      <c r="A17940" t="s">
        <v>24</v>
      </c>
      <c r="B17940" t="s">
        <v>7427</v>
      </c>
      <c r="C17940" t="str">
        <f>"A0073957"</f>
        <v>A0073957</v>
      </c>
      <c r="D17940" t="s">
        <v>65226</v>
      </c>
      <c r="E17940" t="s">
        <v>65227</v>
      </c>
      <c r="F17940" t="s">
        <v>65228</v>
      </c>
      <c r="G17940" t="s">
        <v>52</v>
      </c>
      <c r="H17940">
        <v>75672</v>
      </c>
      <c r="I17940" t="s">
        <v>30</v>
      </c>
      <c r="J17940" t="s">
        <v>31</v>
      </c>
      <c r="K17940" t="s">
        <v>32</v>
      </c>
      <c r="N17940" t="s">
        <v>65229</v>
      </c>
      <c r="O17940" t="s">
        <v>7430</v>
      </c>
      <c r="Q17940">
        <v>0</v>
      </c>
      <c r="R17940">
        <v>83</v>
      </c>
      <c r="S17940">
        <v>0</v>
      </c>
      <c r="T17940" t="s">
        <v>65230</v>
      </c>
    </row>
    <row r="17941" spans="1:20" customFormat="1" ht="15" x14ac:dyDescent="0.25">
      <c r="A17941" t="s">
        <v>24</v>
      </c>
      <c r="B17941" t="s">
        <v>4990</v>
      </c>
      <c r="C17941" t="str">
        <f>"A0096316"</f>
        <v>A0096316</v>
      </c>
      <c r="D17941" t="s">
        <v>65231</v>
      </c>
      <c r="E17941" t="s">
        <v>65232</v>
      </c>
      <c r="F17941" t="s">
        <v>65233</v>
      </c>
      <c r="G17941" t="s">
        <v>507</v>
      </c>
      <c r="H17941">
        <v>25401</v>
      </c>
      <c r="I17941" t="s">
        <v>30</v>
      </c>
      <c r="J17941" t="s">
        <v>31</v>
      </c>
      <c r="K17941" t="s">
        <v>32</v>
      </c>
      <c r="Q17941">
        <v>0</v>
      </c>
      <c r="R17941">
        <v>91</v>
      </c>
      <c r="S17941">
        <v>0</v>
      </c>
      <c r="T17941" t="s">
        <v>65234</v>
      </c>
    </row>
    <row r="17942" spans="1:20" customFormat="1" ht="15" x14ac:dyDescent="0.25">
      <c r="A17942" t="s">
        <v>24</v>
      </c>
      <c r="B17942" t="s">
        <v>13807</v>
      </c>
      <c r="C17942" t="str">
        <f>"A0086276"</f>
        <v>A0086276</v>
      </c>
      <c r="D17942" t="s">
        <v>65235</v>
      </c>
      <c r="E17942" t="s">
        <v>65236</v>
      </c>
      <c r="F17942" t="s">
        <v>65237</v>
      </c>
      <c r="G17942" t="s">
        <v>1369</v>
      </c>
      <c r="H17942">
        <v>38654</v>
      </c>
      <c r="I17942" t="s">
        <v>30</v>
      </c>
      <c r="J17942" t="s">
        <v>31</v>
      </c>
      <c r="K17942" t="s">
        <v>32</v>
      </c>
      <c r="N17942" t="s">
        <v>65238</v>
      </c>
      <c r="O17942" t="s">
        <v>65239</v>
      </c>
      <c r="Q17942">
        <v>0</v>
      </c>
      <c r="R17942">
        <v>109</v>
      </c>
      <c r="S17942">
        <v>0</v>
      </c>
      <c r="T17942" t="s">
        <v>65240</v>
      </c>
    </row>
    <row r="17943" spans="1:20" customFormat="1" ht="15" hidden="1" x14ac:dyDescent="0.25">
      <c r="A17943" t="s">
        <v>24</v>
      </c>
      <c r="B17943" t="s">
        <v>65241</v>
      </c>
      <c r="C17943" t="str">
        <f>"A0145391"</f>
        <v>A0145391</v>
      </c>
      <c r="D17943" t="s">
        <v>65242</v>
      </c>
      <c r="E17943" t="s">
        <v>65243</v>
      </c>
      <c r="F17943" t="s">
        <v>3070</v>
      </c>
      <c r="G17943" t="s">
        <v>3071</v>
      </c>
      <c r="H17943">
        <v>21240</v>
      </c>
      <c r="I17943" t="s">
        <v>2408</v>
      </c>
      <c r="J17943" t="s">
        <v>31</v>
      </c>
      <c r="K17943" t="s">
        <v>32</v>
      </c>
      <c r="N17943" t="s">
        <v>65244</v>
      </c>
      <c r="O17943" t="s">
        <v>65245</v>
      </c>
      <c r="Q17943">
        <v>0</v>
      </c>
      <c r="R17943">
        <v>152</v>
      </c>
      <c r="S17943">
        <v>0</v>
      </c>
      <c r="T17943" t="s">
        <v>65246</v>
      </c>
    </row>
    <row r="17944" spans="1:20" customFormat="1" ht="15" hidden="1" x14ac:dyDescent="0.25">
      <c r="A17944" t="s">
        <v>24</v>
      </c>
      <c r="B17944" t="s">
        <v>675</v>
      </c>
      <c r="C17944" t="str">
        <f>"A0097831"</f>
        <v>A0097831</v>
      </c>
      <c r="D17944" t="s">
        <v>65247</v>
      </c>
      <c r="E17944" t="s">
        <v>59444</v>
      </c>
      <c r="F17944" t="s">
        <v>5874</v>
      </c>
      <c r="G17944" t="s">
        <v>3843</v>
      </c>
      <c r="H17944">
        <v>2610</v>
      </c>
      <c r="I17944" t="s">
        <v>2408</v>
      </c>
      <c r="J17944" t="s">
        <v>31</v>
      </c>
      <c r="K17944" t="s">
        <v>32</v>
      </c>
      <c r="N17944" t="s">
        <v>59446</v>
      </c>
      <c r="Q17944">
        <v>0</v>
      </c>
      <c r="R17944">
        <v>121</v>
      </c>
      <c r="S17944">
        <v>0</v>
      </c>
      <c r="T17944" t="s">
        <v>54430</v>
      </c>
    </row>
    <row r="17945" spans="1:20" customFormat="1" ht="15" x14ac:dyDescent="0.25">
      <c r="A17945" t="s">
        <v>24</v>
      </c>
      <c r="B17945" t="s">
        <v>2340</v>
      </c>
      <c r="C17945" t="str">
        <f>"A0101108"</f>
        <v>A0101108</v>
      </c>
      <c r="D17945" t="s">
        <v>65248</v>
      </c>
      <c r="E17945" t="s">
        <v>65249</v>
      </c>
      <c r="F17945" t="s">
        <v>16742</v>
      </c>
      <c r="G17945" t="s">
        <v>81</v>
      </c>
      <c r="H17945">
        <v>33166</v>
      </c>
      <c r="I17945" t="s">
        <v>30</v>
      </c>
      <c r="J17945" t="s">
        <v>31</v>
      </c>
      <c r="K17945" t="s">
        <v>32</v>
      </c>
      <c r="N17945" t="s">
        <v>65250</v>
      </c>
      <c r="Q17945">
        <v>0</v>
      </c>
      <c r="R17945">
        <v>133</v>
      </c>
      <c r="S17945">
        <v>0</v>
      </c>
      <c r="T17945" t="s">
        <v>65251</v>
      </c>
    </row>
    <row r="17946" spans="1:20" customFormat="1" ht="15" x14ac:dyDescent="0.25">
      <c r="A17946" t="s">
        <v>24</v>
      </c>
      <c r="B17946" t="s">
        <v>64941</v>
      </c>
      <c r="C17946" t="str">
        <f>"A0147924"</f>
        <v>A0147924</v>
      </c>
      <c r="D17946" t="s">
        <v>65252</v>
      </c>
      <c r="E17946" t="s">
        <v>65253</v>
      </c>
      <c r="F17946" t="s">
        <v>2057</v>
      </c>
      <c r="G17946" t="s">
        <v>117</v>
      </c>
      <c r="H17946">
        <v>48640</v>
      </c>
      <c r="I17946" t="s">
        <v>30</v>
      </c>
      <c r="J17946" t="s">
        <v>31</v>
      </c>
      <c r="K17946" t="s">
        <v>32</v>
      </c>
      <c r="N17946" t="s">
        <v>65254</v>
      </c>
      <c r="Q17946">
        <v>0</v>
      </c>
      <c r="R17946">
        <v>77</v>
      </c>
      <c r="S17946">
        <v>0</v>
      </c>
      <c r="T17946" t="s">
        <v>65255</v>
      </c>
    </row>
    <row r="17947" spans="1:20" customFormat="1" ht="15" x14ac:dyDescent="0.25">
      <c r="A17947" t="s">
        <v>24</v>
      </c>
      <c r="B17947" t="s">
        <v>4990</v>
      </c>
      <c r="C17947" t="str">
        <f>"A0147863"</f>
        <v>A0147863</v>
      </c>
      <c r="D17947" t="s">
        <v>65256</v>
      </c>
      <c r="E17947" t="s">
        <v>65257</v>
      </c>
      <c r="F17947" t="s">
        <v>57381</v>
      </c>
      <c r="G17947" t="s">
        <v>71</v>
      </c>
      <c r="H17947">
        <v>53045</v>
      </c>
      <c r="I17947" t="s">
        <v>30</v>
      </c>
      <c r="J17947" t="s">
        <v>31</v>
      </c>
      <c r="K17947" t="s">
        <v>32</v>
      </c>
      <c r="N17947" t="s">
        <v>65258</v>
      </c>
      <c r="Q17947">
        <v>0</v>
      </c>
      <c r="R17947">
        <v>135</v>
      </c>
      <c r="S17947">
        <v>0</v>
      </c>
      <c r="T17947" t="s">
        <v>65259</v>
      </c>
    </row>
    <row r="17948" spans="1:20" customFormat="1" ht="15" x14ac:dyDescent="0.25">
      <c r="A17948" t="s">
        <v>24</v>
      </c>
      <c r="B17948" t="s">
        <v>3343</v>
      </c>
      <c r="C17948" t="str">
        <f>"A0147929"</f>
        <v>A0147929</v>
      </c>
      <c r="D17948" t="s">
        <v>65260</v>
      </c>
      <c r="E17948" t="s">
        <v>65261</v>
      </c>
      <c r="F17948" t="s">
        <v>65262</v>
      </c>
      <c r="G17948" t="s">
        <v>161</v>
      </c>
      <c r="H17948">
        <v>55449</v>
      </c>
      <c r="I17948" t="s">
        <v>30</v>
      </c>
      <c r="J17948" t="s">
        <v>31</v>
      </c>
      <c r="K17948" t="s">
        <v>32</v>
      </c>
      <c r="N17948" t="s">
        <v>65263</v>
      </c>
      <c r="Q17948">
        <v>0</v>
      </c>
      <c r="R17948">
        <v>80</v>
      </c>
      <c r="S17948">
        <v>0</v>
      </c>
      <c r="T17948" t="s">
        <v>65264</v>
      </c>
    </row>
    <row r="17949" spans="1:20" customFormat="1" ht="15" x14ac:dyDescent="0.25">
      <c r="A17949" t="s">
        <v>24</v>
      </c>
      <c r="B17949" t="s">
        <v>4990</v>
      </c>
      <c r="C17949" t="str">
        <f>"A0146894"</f>
        <v>A0146894</v>
      </c>
      <c r="D17949" t="s">
        <v>65265</v>
      </c>
      <c r="E17949" t="s">
        <v>65266</v>
      </c>
      <c r="F17949" t="s">
        <v>65267</v>
      </c>
      <c r="G17949" t="s">
        <v>161</v>
      </c>
      <c r="H17949">
        <v>55379</v>
      </c>
      <c r="I17949" t="s">
        <v>30</v>
      </c>
      <c r="J17949" t="s">
        <v>31</v>
      </c>
      <c r="K17949" t="s">
        <v>32</v>
      </c>
      <c r="N17949" t="s">
        <v>65268</v>
      </c>
      <c r="O17949" t="s">
        <v>65269</v>
      </c>
      <c r="Q17949">
        <v>0</v>
      </c>
      <c r="R17949">
        <v>129</v>
      </c>
      <c r="S17949">
        <v>0</v>
      </c>
      <c r="T17949" t="s">
        <v>65270</v>
      </c>
    </row>
    <row r="17950" spans="1:20" customFormat="1" ht="15" x14ac:dyDescent="0.25">
      <c r="A17950" t="s">
        <v>24</v>
      </c>
      <c r="B17950" t="s">
        <v>10986</v>
      </c>
      <c r="C17950" t="str">
        <f>"A0093679"</f>
        <v>A0093679</v>
      </c>
      <c r="D17950" t="s">
        <v>65271</v>
      </c>
      <c r="E17950" t="s">
        <v>65272</v>
      </c>
      <c r="F17950" t="s">
        <v>152</v>
      </c>
      <c r="G17950" t="s">
        <v>153</v>
      </c>
      <c r="H17950">
        <v>84532</v>
      </c>
      <c r="I17950" t="s">
        <v>30</v>
      </c>
      <c r="J17950" t="s">
        <v>31</v>
      </c>
      <c r="K17950" t="s">
        <v>32</v>
      </c>
      <c r="N17950" t="s">
        <v>65273</v>
      </c>
      <c r="O17950" t="s">
        <v>65274</v>
      </c>
      <c r="Q17950">
        <v>0</v>
      </c>
      <c r="R17950">
        <v>89</v>
      </c>
      <c r="S17950">
        <v>0</v>
      </c>
      <c r="T17950" t="s">
        <v>65275</v>
      </c>
    </row>
    <row r="17951" spans="1:20" customFormat="1" ht="15" x14ac:dyDescent="0.25">
      <c r="A17951" t="s">
        <v>24</v>
      </c>
      <c r="B17951" t="s">
        <v>2917</v>
      </c>
      <c r="C17951" t="str">
        <f>"A0087468"</f>
        <v>A0087468</v>
      </c>
      <c r="D17951" t="s">
        <v>65276</v>
      </c>
      <c r="E17951" t="s">
        <v>65277</v>
      </c>
      <c r="F17951" t="s">
        <v>65278</v>
      </c>
      <c r="G17951" t="s">
        <v>1706</v>
      </c>
      <c r="H17951">
        <v>36527</v>
      </c>
      <c r="I17951" t="s">
        <v>30</v>
      </c>
      <c r="J17951" t="s">
        <v>31</v>
      </c>
      <c r="K17951" t="s">
        <v>32</v>
      </c>
      <c r="N17951" t="s">
        <v>65279</v>
      </c>
      <c r="O17951" t="s">
        <v>65280</v>
      </c>
      <c r="Q17951">
        <v>0</v>
      </c>
      <c r="R17951">
        <v>83</v>
      </c>
      <c r="S17951">
        <v>0</v>
      </c>
      <c r="T17951" t="s">
        <v>65281</v>
      </c>
    </row>
    <row r="17952" spans="1:20" customFormat="1" ht="15" x14ac:dyDescent="0.25">
      <c r="A17952" t="s">
        <v>24</v>
      </c>
      <c r="B17952" t="s">
        <v>8742</v>
      </c>
      <c r="C17952" t="str">
        <f>"A0094570"</f>
        <v>A0094570</v>
      </c>
      <c r="D17952" t="s">
        <v>65282</v>
      </c>
      <c r="E17952" t="s">
        <v>65283</v>
      </c>
      <c r="F17952" t="s">
        <v>3618</v>
      </c>
      <c r="G17952" t="s">
        <v>1706</v>
      </c>
      <c r="H17952">
        <v>36571</v>
      </c>
      <c r="I17952" t="s">
        <v>30</v>
      </c>
      <c r="J17952" t="s">
        <v>31</v>
      </c>
      <c r="K17952" t="s">
        <v>32</v>
      </c>
      <c r="N17952" t="s">
        <v>65284</v>
      </c>
      <c r="Q17952">
        <v>0</v>
      </c>
      <c r="R17952">
        <v>98</v>
      </c>
      <c r="S17952">
        <v>0</v>
      </c>
      <c r="T17952" t="s">
        <v>65285</v>
      </c>
    </row>
    <row r="17953" spans="1:20" customFormat="1" ht="15" x14ac:dyDescent="0.25">
      <c r="A17953" t="s">
        <v>24</v>
      </c>
      <c r="B17953" t="s">
        <v>34039</v>
      </c>
      <c r="C17953" t="str">
        <f>"A0098683"</f>
        <v>A0098683</v>
      </c>
      <c r="D17953" t="s">
        <v>65286</v>
      </c>
      <c r="E17953" t="s">
        <v>65287</v>
      </c>
      <c r="F17953" t="s">
        <v>65288</v>
      </c>
      <c r="G17953" t="s">
        <v>76</v>
      </c>
      <c r="H17953">
        <v>98837</v>
      </c>
      <c r="I17953" t="s">
        <v>30</v>
      </c>
      <c r="J17953" t="s">
        <v>31</v>
      </c>
      <c r="K17953" t="s">
        <v>32</v>
      </c>
      <c r="N17953" t="s">
        <v>65289</v>
      </c>
      <c r="Q17953">
        <v>0</v>
      </c>
      <c r="R17953">
        <v>84</v>
      </c>
      <c r="S17953">
        <v>0</v>
      </c>
      <c r="T17953" t="s">
        <v>65290</v>
      </c>
    </row>
    <row r="17954" spans="1:20" customFormat="1" ht="15" x14ac:dyDescent="0.25">
      <c r="A17954" t="s">
        <v>24</v>
      </c>
      <c r="B17954" t="s">
        <v>1317</v>
      </c>
      <c r="C17954" t="str">
        <f>"A0085043"</f>
        <v>A0085043</v>
      </c>
      <c r="D17954" t="s">
        <v>65291</v>
      </c>
      <c r="E17954" t="s">
        <v>65292</v>
      </c>
      <c r="F17954" t="s">
        <v>65293</v>
      </c>
      <c r="G17954" t="s">
        <v>433</v>
      </c>
      <c r="H17954">
        <v>83687</v>
      </c>
      <c r="I17954" t="s">
        <v>30</v>
      </c>
      <c r="J17954" t="s">
        <v>31</v>
      </c>
      <c r="K17954" t="s">
        <v>32</v>
      </c>
      <c r="N17954" t="s">
        <v>65294</v>
      </c>
      <c r="Q17954">
        <v>0</v>
      </c>
      <c r="R17954">
        <v>88</v>
      </c>
      <c r="S17954">
        <v>0</v>
      </c>
      <c r="T17954" t="s">
        <v>65295</v>
      </c>
    </row>
    <row r="17955" spans="1:20" customFormat="1" ht="15" x14ac:dyDescent="0.25">
      <c r="A17955" t="s">
        <v>24</v>
      </c>
      <c r="B17955" t="s">
        <v>3151</v>
      </c>
      <c r="C17955" t="str">
        <f>"A0092436"</f>
        <v>A0092436</v>
      </c>
      <c r="D17955" t="s">
        <v>65296</v>
      </c>
      <c r="E17955" t="s">
        <v>65297</v>
      </c>
      <c r="F17955" t="s">
        <v>65298</v>
      </c>
      <c r="G17955" t="s">
        <v>1170</v>
      </c>
      <c r="H17955">
        <v>71457</v>
      </c>
      <c r="I17955" t="s">
        <v>30</v>
      </c>
      <c r="J17955" t="s">
        <v>31</v>
      </c>
      <c r="K17955" t="s">
        <v>32</v>
      </c>
      <c r="N17955" t="s">
        <v>65299</v>
      </c>
      <c r="Q17955">
        <v>0</v>
      </c>
      <c r="R17955">
        <v>74</v>
      </c>
      <c r="S17955">
        <v>0</v>
      </c>
      <c r="T17955" t="s">
        <v>65300</v>
      </c>
    </row>
    <row r="17956" spans="1:20" customFormat="1" ht="15" x14ac:dyDescent="0.25">
      <c r="A17956" t="s">
        <v>24</v>
      </c>
      <c r="B17956" t="s">
        <v>4341</v>
      </c>
      <c r="C17956" t="str">
        <f>"A0087575"</f>
        <v>A0087575</v>
      </c>
      <c r="D17956" t="s">
        <v>65301</v>
      </c>
      <c r="E17956" t="s">
        <v>65302</v>
      </c>
      <c r="F17956" t="s">
        <v>65303</v>
      </c>
      <c r="G17956" t="s">
        <v>117</v>
      </c>
      <c r="H17956">
        <v>49117</v>
      </c>
      <c r="I17956" t="s">
        <v>30</v>
      </c>
      <c r="J17956" t="s">
        <v>31</v>
      </c>
      <c r="K17956" t="s">
        <v>32</v>
      </c>
      <c r="N17956" t="s">
        <v>65304</v>
      </c>
      <c r="Q17956">
        <v>0</v>
      </c>
      <c r="R17956">
        <v>105</v>
      </c>
      <c r="S17956">
        <v>0</v>
      </c>
      <c r="T17956" t="s">
        <v>65305</v>
      </c>
    </row>
    <row r="17957" spans="1:20" customFormat="1" ht="15" x14ac:dyDescent="0.25">
      <c r="A17957" t="s">
        <v>24</v>
      </c>
      <c r="B17957" t="s">
        <v>3159</v>
      </c>
      <c r="C17957" t="str">
        <f>"A0093618"</f>
        <v>A0093618</v>
      </c>
      <c r="D17957" t="s">
        <v>65306</v>
      </c>
      <c r="E17957" t="s">
        <v>65307</v>
      </c>
      <c r="F17957" t="s">
        <v>58095</v>
      </c>
      <c r="G17957" t="s">
        <v>528</v>
      </c>
      <c r="H17957">
        <v>19720</v>
      </c>
      <c r="I17957" t="s">
        <v>30</v>
      </c>
      <c r="J17957" t="s">
        <v>31</v>
      </c>
      <c r="K17957" t="s">
        <v>32</v>
      </c>
      <c r="N17957" t="s">
        <v>65308</v>
      </c>
      <c r="Q17957">
        <v>0</v>
      </c>
      <c r="R17957">
        <v>72</v>
      </c>
      <c r="S17957">
        <v>0</v>
      </c>
      <c r="T17957" t="s">
        <v>65309</v>
      </c>
    </row>
    <row r="17958" spans="1:20" customFormat="1" ht="15" x14ac:dyDescent="0.25">
      <c r="A17958" t="s">
        <v>24</v>
      </c>
      <c r="B17958" t="s">
        <v>2340</v>
      </c>
      <c r="C17958" t="str">
        <f>"A0101213"</f>
        <v>A0101213</v>
      </c>
      <c r="D17958" t="s">
        <v>65310</v>
      </c>
      <c r="E17958" t="s">
        <v>65311</v>
      </c>
      <c r="F17958" t="s">
        <v>1580</v>
      </c>
      <c r="G17958" t="s">
        <v>1170</v>
      </c>
      <c r="H17958">
        <v>70002</v>
      </c>
      <c r="I17958" t="s">
        <v>30</v>
      </c>
      <c r="J17958" t="s">
        <v>31</v>
      </c>
      <c r="K17958" t="s">
        <v>32</v>
      </c>
      <c r="N17958" t="s">
        <v>65312</v>
      </c>
      <c r="O17958" t="s">
        <v>65313</v>
      </c>
      <c r="Q17958">
        <v>0</v>
      </c>
      <c r="R17958">
        <v>124</v>
      </c>
      <c r="S17958">
        <v>0</v>
      </c>
      <c r="T17958" t="s">
        <v>65314</v>
      </c>
    </row>
    <row r="17959" spans="1:20" customFormat="1" ht="15" x14ac:dyDescent="0.25">
      <c r="A17959" t="s">
        <v>24</v>
      </c>
      <c r="B17959" t="s">
        <v>65315</v>
      </c>
      <c r="C17959" t="str">
        <f>"A0090043"</f>
        <v>A0090043</v>
      </c>
      <c r="D17959" t="s">
        <v>65316</v>
      </c>
      <c r="E17959" t="s">
        <v>65317</v>
      </c>
      <c r="F17959" t="s">
        <v>4385</v>
      </c>
      <c r="G17959" t="s">
        <v>99</v>
      </c>
      <c r="H17959">
        <v>11217</v>
      </c>
      <c r="I17959" t="s">
        <v>30</v>
      </c>
      <c r="J17959" t="s">
        <v>31</v>
      </c>
      <c r="K17959" t="s">
        <v>32</v>
      </c>
      <c r="N17959" t="s">
        <v>65318</v>
      </c>
      <c r="Q17959">
        <v>0</v>
      </c>
      <c r="R17959">
        <v>131</v>
      </c>
      <c r="S17959">
        <v>0</v>
      </c>
      <c r="T17959" t="s">
        <v>65319</v>
      </c>
    </row>
    <row r="17960" spans="1:20" customFormat="1" ht="15" x14ac:dyDescent="0.25">
      <c r="A17960" t="s">
        <v>24</v>
      </c>
      <c r="B17960" t="s">
        <v>5104</v>
      </c>
      <c r="C17960" t="str">
        <f>"A0100821"</f>
        <v>A0100821</v>
      </c>
      <c r="D17960" t="s">
        <v>65320</v>
      </c>
      <c r="E17960" t="s">
        <v>65321</v>
      </c>
      <c r="F17960" t="s">
        <v>997</v>
      </c>
      <c r="G17960" t="s">
        <v>99</v>
      </c>
      <c r="H17960">
        <v>10018</v>
      </c>
      <c r="I17960" t="s">
        <v>30</v>
      </c>
      <c r="J17960" t="s">
        <v>31</v>
      </c>
      <c r="K17960" t="s">
        <v>32</v>
      </c>
      <c r="N17960" t="s">
        <v>65322</v>
      </c>
      <c r="Q17960">
        <v>0</v>
      </c>
      <c r="R17960">
        <v>314</v>
      </c>
      <c r="S17960">
        <v>0</v>
      </c>
      <c r="T17960" t="s">
        <v>65323</v>
      </c>
    </row>
    <row r="17961" spans="1:20" customFormat="1" ht="15" hidden="1" x14ac:dyDescent="0.25">
      <c r="A17961" t="s">
        <v>24</v>
      </c>
      <c r="B17961" t="s">
        <v>675</v>
      </c>
      <c r="C17961" t="str">
        <f>"A0097801"</f>
        <v>A0097801</v>
      </c>
      <c r="D17961" t="s">
        <v>65324</v>
      </c>
      <c r="E17961" t="s">
        <v>65325</v>
      </c>
      <c r="F17961" t="s">
        <v>16552</v>
      </c>
      <c r="G17961" t="s">
        <v>60619</v>
      </c>
      <c r="H17961">
        <v>84066</v>
      </c>
      <c r="I17961" t="s">
        <v>2408</v>
      </c>
      <c r="J17961" t="s">
        <v>31</v>
      </c>
      <c r="K17961" t="s">
        <v>32</v>
      </c>
      <c r="N17961" t="s">
        <v>65326</v>
      </c>
      <c r="Q17961">
        <v>0</v>
      </c>
      <c r="R17961">
        <v>134</v>
      </c>
      <c r="S17961">
        <v>0</v>
      </c>
      <c r="T17961" t="s">
        <v>65327</v>
      </c>
    </row>
    <row r="17962" spans="1:20" customFormat="1" ht="15" x14ac:dyDescent="0.25">
      <c r="A17962" t="s">
        <v>24</v>
      </c>
      <c r="B17962" t="s">
        <v>649</v>
      </c>
      <c r="C17962" t="str">
        <f>"A0064809"</f>
        <v>A0064809</v>
      </c>
      <c r="D17962" t="s">
        <v>65328</v>
      </c>
      <c r="E17962" t="s">
        <v>65329</v>
      </c>
      <c r="F17962" t="s">
        <v>5369</v>
      </c>
      <c r="G17962" t="s">
        <v>58</v>
      </c>
      <c r="H17962">
        <v>29406</v>
      </c>
      <c r="I17962" t="s">
        <v>30</v>
      </c>
      <c r="J17962" t="s">
        <v>31</v>
      </c>
      <c r="K17962" t="s">
        <v>32</v>
      </c>
      <c r="N17962" t="s">
        <v>65330</v>
      </c>
      <c r="O17962" t="s">
        <v>65331</v>
      </c>
      <c r="Q17962">
        <v>0</v>
      </c>
      <c r="R17962">
        <v>79</v>
      </c>
      <c r="S17962">
        <v>0</v>
      </c>
      <c r="T17962" t="s">
        <v>65332</v>
      </c>
    </row>
    <row r="17963" spans="1:20" customFormat="1" ht="15" x14ac:dyDescent="0.25">
      <c r="A17963" t="s">
        <v>24</v>
      </c>
      <c r="B17963" t="s">
        <v>11093</v>
      </c>
      <c r="C17963" t="str">
        <f>"A0085442"</f>
        <v>A0085442</v>
      </c>
      <c r="D17963" t="s">
        <v>65333</v>
      </c>
      <c r="E17963" t="s">
        <v>65334</v>
      </c>
      <c r="F17963" t="s">
        <v>1541</v>
      </c>
      <c r="G17963" t="s">
        <v>427</v>
      </c>
      <c r="H17963">
        <v>68102</v>
      </c>
      <c r="I17963" t="s">
        <v>30</v>
      </c>
      <c r="J17963" t="s">
        <v>31</v>
      </c>
      <c r="K17963" t="s">
        <v>32</v>
      </c>
      <c r="N17963" t="s">
        <v>65335</v>
      </c>
      <c r="Q17963">
        <v>0</v>
      </c>
      <c r="R17963">
        <v>114</v>
      </c>
      <c r="S17963">
        <v>0</v>
      </c>
      <c r="T17963" t="s">
        <v>65336</v>
      </c>
    </row>
    <row r="17964" spans="1:20" customFormat="1" ht="15" x14ac:dyDescent="0.25">
      <c r="A17964" t="s">
        <v>24</v>
      </c>
      <c r="B17964" t="s">
        <v>1577</v>
      </c>
      <c r="C17964" t="str">
        <f>"A0087367"</f>
        <v>A0087367</v>
      </c>
      <c r="D17964" t="s">
        <v>65337</v>
      </c>
      <c r="E17964" t="s">
        <v>65338</v>
      </c>
      <c r="F17964" t="s">
        <v>5636</v>
      </c>
      <c r="G17964" t="s">
        <v>1706</v>
      </c>
      <c r="H17964">
        <v>36561</v>
      </c>
      <c r="I17964" t="s">
        <v>30</v>
      </c>
      <c r="J17964" t="s">
        <v>31</v>
      </c>
      <c r="K17964" t="s">
        <v>32</v>
      </c>
      <c r="N17964" t="s">
        <v>65339</v>
      </c>
      <c r="Q17964">
        <v>0</v>
      </c>
      <c r="R17964">
        <v>116</v>
      </c>
      <c r="S17964">
        <v>0</v>
      </c>
      <c r="T17964" t="s">
        <v>65340</v>
      </c>
    </row>
    <row r="17965" spans="1:20" customFormat="1" ht="15" x14ac:dyDescent="0.25">
      <c r="A17965" t="s">
        <v>24</v>
      </c>
      <c r="B17965" t="s">
        <v>675</v>
      </c>
      <c r="C17965" t="str">
        <f>"A0087664"</f>
        <v>A0087664</v>
      </c>
      <c r="D17965" t="s">
        <v>65341</v>
      </c>
      <c r="E17965" t="s">
        <v>65342</v>
      </c>
      <c r="F17965" t="s">
        <v>985</v>
      </c>
      <c r="G17965" t="s">
        <v>81</v>
      </c>
      <c r="H17965">
        <v>32821</v>
      </c>
      <c r="I17965" t="s">
        <v>30</v>
      </c>
      <c r="J17965" t="s">
        <v>31</v>
      </c>
      <c r="K17965" t="s">
        <v>32</v>
      </c>
      <c r="N17965" t="s">
        <v>65343</v>
      </c>
      <c r="O17965" t="s">
        <v>65344</v>
      </c>
      <c r="Q17965">
        <v>0</v>
      </c>
      <c r="R17965">
        <v>200</v>
      </c>
      <c r="S17965">
        <v>0</v>
      </c>
      <c r="T17965" t="s">
        <v>65345</v>
      </c>
    </row>
    <row r="17966" spans="1:20" customFormat="1" ht="15" x14ac:dyDescent="0.25">
      <c r="A17966" t="s">
        <v>24</v>
      </c>
      <c r="B17966" t="s">
        <v>34154</v>
      </c>
      <c r="C17966" t="str">
        <f>"A0094540"</f>
        <v>A0094540</v>
      </c>
      <c r="D17966" t="s">
        <v>65346</v>
      </c>
      <c r="E17966" t="s">
        <v>65347</v>
      </c>
      <c r="F17966" t="s">
        <v>985</v>
      </c>
      <c r="G17966" t="s">
        <v>81</v>
      </c>
      <c r="H17966">
        <v>32817</v>
      </c>
      <c r="I17966" t="s">
        <v>30</v>
      </c>
      <c r="J17966" t="s">
        <v>31</v>
      </c>
      <c r="K17966" t="s">
        <v>32</v>
      </c>
      <c r="N17966" t="s">
        <v>65348</v>
      </c>
      <c r="Q17966">
        <v>0</v>
      </c>
      <c r="R17966">
        <v>112</v>
      </c>
      <c r="S17966">
        <v>0</v>
      </c>
      <c r="T17966" t="s">
        <v>65349</v>
      </c>
    </row>
    <row r="17967" spans="1:20" customFormat="1" ht="15" x14ac:dyDescent="0.25">
      <c r="A17967" t="s">
        <v>24</v>
      </c>
      <c r="B17967" t="s">
        <v>706</v>
      </c>
      <c r="C17967" t="str">
        <f>"A0094553"</f>
        <v>A0094553</v>
      </c>
      <c r="D17967" t="s">
        <v>65350</v>
      </c>
      <c r="E17967" t="s">
        <v>65351</v>
      </c>
      <c r="F17967" t="s">
        <v>58598</v>
      </c>
      <c r="G17967" t="s">
        <v>81</v>
      </c>
      <c r="H17967">
        <v>34747</v>
      </c>
      <c r="I17967" t="s">
        <v>30</v>
      </c>
      <c r="J17967" t="s">
        <v>31</v>
      </c>
      <c r="K17967" t="s">
        <v>32</v>
      </c>
      <c r="N17967" t="s">
        <v>65352</v>
      </c>
      <c r="Q17967">
        <v>0</v>
      </c>
      <c r="R17967">
        <v>150</v>
      </c>
      <c r="S17967">
        <v>0</v>
      </c>
      <c r="T17967" t="s">
        <v>65353</v>
      </c>
    </row>
    <row r="17968" spans="1:20" customFormat="1" ht="15" x14ac:dyDescent="0.25">
      <c r="A17968" t="s">
        <v>24</v>
      </c>
      <c r="B17968" t="s">
        <v>34201</v>
      </c>
      <c r="C17968" t="str">
        <f>"A0089902"</f>
        <v>A0089902</v>
      </c>
      <c r="D17968" t="s">
        <v>65354</v>
      </c>
      <c r="E17968" t="s">
        <v>65355</v>
      </c>
      <c r="F17968" t="s">
        <v>56045</v>
      </c>
      <c r="G17968" t="s">
        <v>289</v>
      </c>
      <c r="H17968">
        <v>61350</v>
      </c>
      <c r="I17968" t="s">
        <v>30</v>
      </c>
      <c r="J17968" t="s">
        <v>31</v>
      </c>
      <c r="K17968" t="s">
        <v>32</v>
      </c>
      <c r="N17968" t="s">
        <v>65356</v>
      </c>
      <c r="Q17968">
        <v>0</v>
      </c>
      <c r="R17968">
        <v>84</v>
      </c>
      <c r="S17968">
        <v>0</v>
      </c>
      <c r="T17968" t="s">
        <v>65357</v>
      </c>
    </row>
    <row r="17969" spans="1:20" customFormat="1" ht="15" x14ac:dyDescent="0.25">
      <c r="A17969" t="s">
        <v>24</v>
      </c>
      <c r="B17969" t="s">
        <v>1098</v>
      </c>
      <c r="C17969" t="str">
        <f>"88RD020"</f>
        <v>88RD020</v>
      </c>
      <c r="D17969" t="s">
        <v>65358</v>
      </c>
      <c r="E17969" t="s">
        <v>65359</v>
      </c>
      <c r="F17969" t="s">
        <v>61403</v>
      </c>
      <c r="G17969" t="s">
        <v>338</v>
      </c>
      <c r="H17969">
        <v>7652</v>
      </c>
      <c r="I17969" t="s">
        <v>30</v>
      </c>
      <c r="J17969" t="s">
        <v>31</v>
      </c>
      <c r="K17969" t="s">
        <v>32</v>
      </c>
      <c r="N17969" t="s">
        <v>65360</v>
      </c>
      <c r="Q17969">
        <v>0</v>
      </c>
      <c r="R17969">
        <v>120</v>
      </c>
      <c r="S17969">
        <v>0</v>
      </c>
      <c r="T17969" t="s">
        <v>65361</v>
      </c>
    </row>
    <row r="17970" spans="1:20" customFormat="1" ht="15" x14ac:dyDescent="0.25">
      <c r="A17970" t="s">
        <v>24</v>
      </c>
      <c r="B17970" t="s">
        <v>34033</v>
      </c>
      <c r="C17970" t="str">
        <f>"A0087305"</f>
        <v>A0087305</v>
      </c>
      <c r="D17970" t="s">
        <v>65362</v>
      </c>
      <c r="E17970" t="s">
        <v>65363</v>
      </c>
      <c r="F17970" t="s">
        <v>4159</v>
      </c>
      <c r="G17970" t="s">
        <v>289</v>
      </c>
      <c r="H17970">
        <v>61611</v>
      </c>
      <c r="I17970" t="s">
        <v>30</v>
      </c>
      <c r="J17970" t="s">
        <v>31</v>
      </c>
      <c r="K17970" t="s">
        <v>32</v>
      </c>
      <c r="N17970" t="s">
        <v>65364</v>
      </c>
      <c r="Q17970">
        <v>0</v>
      </c>
      <c r="R17970">
        <v>89</v>
      </c>
      <c r="S17970">
        <v>0</v>
      </c>
      <c r="T17970" t="s">
        <v>65365</v>
      </c>
    </row>
    <row r="17971" spans="1:20" customFormat="1" ht="15" x14ac:dyDescent="0.25">
      <c r="A17971" t="s">
        <v>24</v>
      </c>
      <c r="B17971" t="s">
        <v>65366</v>
      </c>
      <c r="C17971" t="str">
        <f>"A0100527"</f>
        <v>A0100527</v>
      </c>
      <c r="D17971" t="s">
        <v>65367</v>
      </c>
      <c r="E17971" t="s">
        <v>65368</v>
      </c>
      <c r="F17971" t="s">
        <v>65369</v>
      </c>
      <c r="G17971" t="s">
        <v>103</v>
      </c>
      <c r="H17971">
        <v>19008</v>
      </c>
      <c r="I17971" t="s">
        <v>30</v>
      </c>
      <c r="J17971" t="s">
        <v>31</v>
      </c>
      <c r="K17971" t="s">
        <v>32</v>
      </c>
      <c r="N17971" t="s">
        <v>65370</v>
      </c>
      <c r="Q17971">
        <v>0</v>
      </c>
      <c r="R17971">
        <v>110</v>
      </c>
      <c r="S17971">
        <v>0</v>
      </c>
      <c r="T17971" t="s">
        <v>65371</v>
      </c>
    </row>
    <row r="17972" spans="1:20" customFormat="1" ht="15" x14ac:dyDescent="0.25">
      <c r="A17972" t="s">
        <v>24</v>
      </c>
      <c r="B17972" t="s">
        <v>65372</v>
      </c>
      <c r="C17972" t="str">
        <f>"A0099871"</f>
        <v>A0099871</v>
      </c>
      <c r="D17972" t="s">
        <v>65373</v>
      </c>
      <c r="E17972" t="s">
        <v>65374</v>
      </c>
      <c r="F17972" t="s">
        <v>1592</v>
      </c>
      <c r="G17972" t="s">
        <v>197</v>
      </c>
      <c r="H17972">
        <v>85282</v>
      </c>
      <c r="I17972" t="s">
        <v>30</v>
      </c>
      <c r="J17972" t="s">
        <v>31</v>
      </c>
      <c r="K17972" t="s">
        <v>32</v>
      </c>
      <c r="N17972" t="s">
        <v>65375</v>
      </c>
      <c r="Q17972">
        <v>0</v>
      </c>
      <c r="R17972">
        <v>110</v>
      </c>
      <c r="S17972">
        <v>0</v>
      </c>
      <c r="T17972" t="s">
        <v>65376</v>
      </c>
    </row>
    <row r="17973" spans="1:20" customFormat="1" ht="15" x14ac:dyDescent="0.25">
      <c r="A17973" t="s">
        <v>24</v>
      </c>
      <c r="B17973" t="s">
        <v>649</v>
      </c>
      <c r="C17973" t="str">
        <f>"A0153940"</f>
        <v>A0153940</v>
      </c>
      <c r="D17973" t="s">
        <v>65377</v>
      </c>
      <c r="E17973" t="s">
        <v>65378</v>
      </c>
      <c r="F17973" t="s">
        <v>196</v>
      </c>
      <c r="G17973" t="s">
        <v>197</v>
      </c>
      <c r="H17973">
        <v>85037</v>
      </c>
      <c r="I17973" t="s">
        <v>30</v>
      </c>
      <c r="J17973" t="s">
        <v>31</v>
      </c>
      <c r="K17973" t="s">
        <v>32</v>
      </c>
      <c r="N17973" t="s">
        <v>65379</v>
      </c>
      <c r="Q17973">
        <v>0</v>
      </c>
      <c r="R17973">
        <v>116</v>
      </c>
      <c r="S17973">
        <v>0</v>
      </c>
      <c r="T17973" t="s">
        <v>65380</v>
      </c>
    </row>
    <row r="17974" spans="1:20" customFormat="1" ht="15" x14ac:dyDescent="0.25">
      <c r="A17974" t="s">
        <v>24</v>
      </c>
      <c r="B17974" t="s">
        <v>2005</v>
      </c>
      <c r="C17974" t="str">
        <f>"A0147926"</f>
        <v>A0147926</v>
      </c>
      <c r="D17974" t="s">
        <v>65381</v>
      </c>
      <c r="E17974" t="s">
        <v>65382</v>
      </c>
      <c r="F17974" t="s">
        <v>2008</v>
      </c>
      <c r="G17974" t="s">
        <v>880</v>
      </c>
      <c r="H17974">
        <v>37863</v>
      </c>
      <c r="I17974" t="s">
        <v>30</v>
      </c>
      <c r="J17974" t="s">
        <v>31</v>
      </c>
      <c r="K17974" t="s">
        <v>32</v>
      </c>
      <c r="N17974" t="s">
        <v>65383</v>
      </c>
      <c r="O17974" t="s">
        <v>65384</v>
      </c>
      <c r="Q17974">
        <v>0</v>
      </c>
      <c r="R17974">
        <v>109</v>
      </c>
      <c r="S17974">
        <v>0</v>
      </c>
      <c r="T17974" t="s">
        <v>65385</v>
      </c>
    </row>
    <row r="17975" spans="1:20" customFormat="1" ht="15" x14ac:dyDescent="0.25">
      <c r="A17975" t="s">
        <v>24</v>
      </c>
      <c r="B17975" t="s">
        <v>56867</v>
      </c>
      <c r="C17975" t="str">
        <f>"A0117499"</f>
        <v>A0117499</v>
      </c>
      <c r="D17975" t="s">
        <v>65386</v>
      </c>
      <c r="E17975" t="s">
        <v>65387</v>
      </c>
      <c r="F17975" t="s">
        <v>65388</v>
      </c>
      <c r="G17975" t="s">
        <v>137</v>
      </c>
      <c r="H17975">
        <v>63901</v>
      </c>
      <c r="I17975" t="s">
        <v>30</v>
      </c>
      <c r="J17975" t="s">
        <v>31</v>
      </c>
      <c r="K17975" t="s">
        <v>32</v>
      </c>
      <c r="N17975" t="s">
        <v>65389</v>
      </c>
      <c r="Q17975">
        <v>0</v>
      </c>
      <c r="R17975">
        <v>82</v>
      </c>
      <c r="S17975">
        <v>0</v>
      </c>
      <c r="T17975" t="s">
        <v>65390</v>
      </c>
    </row>
    <row r="17976" spans="1:20" customFormat="1" ht="15" x14ac:dyDescent="0.25">
      <c r="A17976" t="s">
        <v>24</v>
      </c>
      <c r="B17976" t="s">
        <v>7958</v>
      </c>
      <c r="C17976" t="str">
        <f>"A0151458"</f>
        <v>A0151458</v>
      </c>
      <c r="D17976" t="s">
        <v>65391</v>
      </c>
      <c r="E17976" t="s">
        <v>65392</v>
      </c>
      <c r="F17976" t="s">
        <v>5818</v>
      </c>
      <c r="G17976" t="s">
        <v>65</v>
      </c>
      <c r="H17976">
        <v>43452</v>
      </c>
      <c r="I17976" t="s">
        <v>30</v>
      </c>
      <c r="J17976" t="s">
        <v>31</v>
      </c>
      <c r="K17976" t="s">
        <v>32</v>
      </c>
      <c r="N17976" t="s">
        <v>65393</v>
      </c>
      <c r="Q17976">
        <v>0</v>
      </c>
      <c r="R17976">
        <v>86</v>
      </c>
      <c r="S17976">
        <v>0</v>
      </c>
      <c r="T17976" t="s">
        <v>65394</v>
      </c>
    </row>
    <row r="17977" spans="1:20" customFormat="1" ht="15" x14ac:dyDescent="0.25">
      <c r="A17977" t="s">
        <v>24</v>
      </c>
      <c r="B17977" t="s">
        <v>64394</v>
      </c>
      <c r="C17977" t="str">
        <f>"432ZZ"</f>
        <v>432ZZ</v>
      </c>
      <c r="D17977" t="s">
        <v>65395</v>
      </c>
      <c r="E17977" t="s">
        <v>65396</v>
      </c>
      <c r="F17977" t="s">
        <v>3802</v>
      </c>
      <c r="G17977" t="s">
        <v>47</v>
      </c>
      <c r="H17977">
        <v>97006</v>
      </c>
      <c r="I17977" t="s">
        <v>30</v>
      </c>
      <c r="J17977" t="s">
        <v>31</v>
      </c>
      <c r="K17977" t="s">
        <v>32</v>
      </c>
      <c r="N17977" t="s">
        <v>65397</v>
      </c>
      <c r="Q17977">
        <v>0</v>
      </c>
      <c r="R17977">
        <v>106</v>
      </c>
      <c r="S17977">
        <v>0</v>
      </c>
      <c r="T17977" t="s">
        <v>65398</v>
      </c>
    </row>
    <row r="17978" spans="1:20" customFormat="1" ht="15" x14ac:dyDescent="0.25">
      <c r="A17978" t="s">
        <v>24</v>
      </c>
      <c r="B17978" t="s">
        <v>7040</v>
      </c>
      <c r="C17978" t="str">
        <f>"432YL"</f>
        <v>432YL</v>
      </c>
      <c r="D17978" t="s">
        <v>65399</v>
      </c>
      <c r="E17978" t="s">
        <v>65400</v>
      </c>
      <c r="F17978" t="s">
        <v>2511</v>
      </c>
      <c r="G17978" t="s">
        <v>29</v>
      </c>
      <c r="H17978">
        <v>22192</v>
      </c>
      <c r="I17978" t="s">
        <v>30</v>
      </c>
      <c r="J17978" t="s">
        <v>31</v>
      </c>
      <c r="K17978" t="s">
        <v>32</v>
      </c>
      <c r="N17978" t="s">
        <v>65401</v>
      </c>
      <c r="Q17978">
        <v>0</v>
      </c>
      <c r="R17978">
        <v>84</v>
      </c>
      <c r="S17978">
        <v>0</v>
      </c>
      <c r="T17978" t="s">
        <v>65402</v>
      </c>
    </row>
    <row r="17979" spans="1:20" customFormat="1" ht="15" x14ac:dyDescent="0.25">
      <c r="A17979" t="s">
        <v>24</v>
      </c>
      <c r="B17979" t="s">
        <v>5589</v>
      </c>
      <c r="C17979" t="str">
        <f>"A0096174"</f>
        <v>A0096174</v>
      </c>
      <c r="D17979" t="s">
        <v>65403</v>
      </c>
      <c r="E17979" t="s">
        <v>65404</v>
      </c>
      <c r="F17979" t="s">
        <v>65405</v>
      </c>
      <c r="G17979" t="s">
        <v>153</v>
      </c>
      <c r="H17979">
        <v>84057</v>
      </c>
      <c r="I17979" t="s">
        <v>30</v>
      </c>
      <c r="J17979" t="s">
        <v>31</v>
      </c>
      <c r="K17979" t="s">
        <v>32</v>
      </c>
      <c r="N17979" t="s">
        <v>65406</v>
      </c>
      <c r="Q17979">
        <v>0</v>
      </c>
      <c r="R17979">
        <v>90</v>
      </c>
      <c r="S17979">
        <v>0</v>
      </c>
      <c r="T17979" t="s">
        <v>65407</v>
      </c>
    </row>
    <row r="17980" spans="1:20" customFormat="1" ht="15" hidden="1" x14ac:dyDescent="0.25">
      <c r="A17980" t="s">
        <v>24</v>
      </c>
      <c r="B17980" t="s">
        <v>675</v>
      </c>
      <c r="C17980" t="str">
        <f>"A0095892"</f>
        <v>A0095892</v>
      </c>
      <c r="D17980" t="s">
        <v>65408</v>
      </c>
      <c r="E17980" t="s">
        <v>65409</v>
      </c>
      <c r="F17980" t="s">
        <v>55564</v>
      </c>
      <c r="G17980" t="s">
        <v>4493</v>
      </c>
      <c r="H17980">
        <v>76127</v>
      </c>
      <c r="I17980" t="s">
        <v>2408</v>
      </c>
      <c r="J17980" t="s">
        <v>31</v>
      </c>
      <c r="K17980" t="s">
        <v>32</v>
      </c>
      <c r="N17980" t="s">
        <v>55565</v>
      </c>
      <c r="Q17980">
        <v>0</v>
      </c>
      <c r="R17980">
        <v>110</v>
      </c>
      <c r="S17980">
        <v>0</v>
      </c>
      <c r="T17980" t="s">
        <v>65410</v>
      </c>
    </row>
    <row r="17981" spans="1:20" customFormat="1" ht="15" x14ac:dyDescent="0.25">
      <c r="A17981" t="s">
        <v>24</v>
      </c>
      <c r="B17981" t="s">
        <v>65411</v>
      </c>
      <c r="C17981" t="str">
        <f>"432TU"</f>
        <v>432TU</v>
      </c>
      <c r="D17981" t="s">
        <v>65412</v>
      </c>
      <c r="E17981" t="s">
        <v>65413</v>
      </c>
      <c r="F17981" t="s">
        <v>6941</v>
      </c>
      <c r="G17981" t="s">
        <v>214</v>
      </c>
      <c r="H17981">
        <v>27560</v>
      </c>
      <c r="I17981" t="s">
        <v>30</v>
      </c>
      <c r="J17981" t="s">
        <v>31</v>
      </c>
      <c r="K17981" t="s">
        <v>32</v>
      </c>
      <c r="N17981" t="s">
        <v>65414</v>
      </c>
      <c r="Q17981">
        <v>0</v>
      </c>
      <c r="R17981">
        <v>112</v>
      </c>
      <c r="S17981">
        <v>0</v>
      </c>
      <c r="T17981" t="s">
        <v>65415</v>
      </c>
    </row>
    <row r="17982" spans="1:20" customFormat="1" ht="15" x14ac:dyDescent="0.25">
      <c r="A17982" t="s">
        <v>24</v>
      </c>
      <c r="B17982" t="s">
        <v>10097</v>
      </c>
      <c r="C17982" t="str">
        <f>"432MC"</f>
        <v>432MC</v>
      </c>
      <c r="D17982" t="s">
        <v>65416</v>
      </c>
      <c r="E17982" t="s">
        <v>65417</v>
      </c>
      <c r="F17982" t="s">
        <v>10100</v>
      </c>
      <c r="G17982" t="s">
        <v>214</v>
      </c>
      <c r="H17982">
        <v>27612</v>
      </c>
      <c r="I17982" t="s">
        <v>30</v>
      </c>
      <c r="J17982" t="s">
        <v>31</v>
      </c>
      <c r="K17982" t="s">
        <v>32</v>
      </c>
      <c r="N17982" t="s">
        <v>60192</v>
      </c>
      <c r="Q17982">
        <v>0</v>
      </c>
      <c r="R17982">
        <v>125</v>
      </c>
      <c r="S17982">
        <v>0</v>
      </c>
      <c r="T17982" t="s">
        <v>65418</v>
      </c>
    </row>
    <row r="17983" spans="1:20" customFormat="1" ht="15" x14ac:dyDescent="0.25">
      <c r="A17983" t="s">
        <v>24</v>
      </c>
      <c r="B17983" t="s">
        <v>7040</v>
      </c>
      <c r="C17983" t="str">
        <f>"A0094994"</f>
        <v>A0094994</v>
      </c>
      <c r="D17983" t="s">
        <v>65419</v>
      </c>
      <c r="E17983" t="s">
        <v>65420</v>
      </c>
      <c r="F17983" t="s">
        <v>1483</v>
      </c>
      <c r="G17983" t="s">
        <v>103</v>
      </c>
      <c r="H17983">
        <v>19610</v>
      </c>
      <c r="I17983" t="s">
        <v>30</v>
      </c>
      <c r="J17983" t="s">
        <v>31</v>
      </c>
      <c r="K17983" t="s">
        <v>32</v>
      </c>
      <c r="N17983" t="s">
        <v>65421</v>
      </c>
      <c r="O17983" t="s">
        <v>65422</v>
      </c>
      <c r="Q17983">
        <v>0</v>
      </c>
      <c r="R17983">
        <v>108</v>
      </c>
      <c r="S17983">
        <v>0</v>
      </c>
      <c r="T17983" t="s">
        <v>65423</v>
      </c>
    </row>
    <row r="17984" spans="1:20" customFormat="1" ht="15" x14ac:dyDescent="0.25">
      <c r="A17984" t="s">
        <v>24</v>
      </c>
      <c r="B17984" t="s">
        <v>12991</v>
      </c>
      <c r="C17984" t="str">
        <f>"A0088915"</f>
        <v>A0088915</v>
      </c>
      <c r="D17984" t="s">
        <v>65424</v>
      </c>
      <c r="E17984" t="s">
        <v>65425</v>
      </c>
      <c r="F17984" t="s">
        <v>65426</v>
      </c>
      <c r="G17984" t="s">
        <v>110</v>
      </c>
      <c r="H17984">
        <v>96003</v>
      </c>
      <c r="I17984" t="s">
        <v>30</v>
      </c>
      <c r="J17984" t="s">
        <v>31</v>
      </c>
      <c r="K17984" t="s">
        <v>32</v>
      </c>
      <c r="N17984" t="s">
        <v>65427</v>
      </c>
      <c r="Q17984">
        <v>0</v>
      </c>
      <c r="R17984">
        <v>75</v>
      </c>
      <c r="S17984">
        <v>0</v>
      </c>
      <c r="T17984" t="s">
        <v>65428</v>
      </c>
    </row>
    <row r="17985" spans="1:20" customFormat="1" ht="15" x14ac:dyDescent="0.25">
      <c r="A17985" t="s">
        <v>24</v>
      </c>
      <c r="B17985" t="s">
        <v>4400</v>
      </c>
      <c r="C17985" t="str">
        <f>"4322G"</f>
        <v>4322G</v>
      </c>
      <c r="D17985" t="s">
        <v>65429</v>
      </c>
      <c r="E17985" t="s">
        <v>65430</v>
      </c>
      <c r="F17985" t="s">
        <v>65431</v>
      </c>
      <c r="G17985" t="s">
        <v>221</v>
      </c>
      <c r="H17985">
        <v>89434</v>
      </c>
      <c r="I17985" t="s">
        <v>30</v>
      </c>
      <c r="J17985" t="s">
        <v>31</v>
      </c>
      <c r="K17985" t="s">
        <v>32</v>
      </c>
      <c r="N17985" t="s">
        <v>65432</v>
      </c>
      <c r="O17985" t="s">
        <v>65433</v>
      </c>
      <c r="Q17985">
        <v>0</v>
      </c>
      <c r="R17985">
        <v>88</v>
      </c>
      <c r="S17985">
        <v>0</v>
      </c>
      <c r="T17985" t="s">
        <v>65434</v>
      </c>
    </row>
    <row r="17986" spans="1:20" customFormat="1" ht="15" x14ac:dyDescent="0.25">
      <c r="A17986" t="s">
        <v>24</v>
      </c>
      <c r="B17986" t="s">
        <v>3159</v>
      </c>
      <c r="C17986" t="str">
        <f>"A0145912"</f>
        <v>A0145912</v>
      </c>
      <c r="D17986" t="s">
        <v>65435</v>
      </c>
      <c r="E17986" t="s">
        <v>65436</v>
      </c>
      <c r="F17986" t="s">
        <v>6911</v>
      </c>
      <c r="G17986" t="s">
        <v>29</v>
      </c>
      <c r="H17986">
        <v>23150</v>
      </c>
      <c r="I17986" t="s">
        <v>30</v>
      </c>
      <c r="J17986" t="s">
        <v>31</v>
      </c>
      <c r="K17986" t="s">
        <v>32</v>
      </c>
      <c r="N17986" t="s">
        <v>65437</v>
      </c>
      <c r="Q17986">
        <v>0</v>
      </c>
      <c r="R17986">
        <v>94</v>
      </c>
      <c r="S17986">
        <v>0</v>
      </c>
      <c r="T17986" t="s">
        <v>65438</v>
      </c>
    </row>
    <row r="17987" spans="1:20" customFormat="1" ht="15" x14ac:dyDescent="0.25">
      <c r="A17987" t="s">
        <v>24</v>
      </c>
      <c r="B17987" t="s">
        <v>3159</v>
      </c>
      <c r="C17987" t="str">
        <f>"A0096359"</f>
        <v>A0096359</v>
      </c>
      <c r="D17987" t="s">
        <v>65439</v>
      </c>
      <c r="E17987" t="s">
        <v>65440</v>
      </c>
      <c r="F17987" t="s">
        <v>34220</v>
      </c>
      <c r="G17987" t="s">
        <v>29</v>
      </c>
      <c r="H17987">
        <v>23235</v>
      </c>
      <c r="I17987" t="s">
        <v>30</v>
      </c>
      <c r="J17987" t="s">
        <v>31</v>
      </c>
      <c r="K17987" t="s">
        <v>32</v>
      </c>
      <c r="N17987" t="s">
        <v>65441</v>
      </c>
      <c r="O17987" t="s">
        <v>65442</v>
      </c>
      <c r="Q17987">
        <v>0</v>
      </c>
      <c r="R17987">
        <v>91</v>
      </c>
      <c r="S17987">
        <v>0</v>
      </c>
      <c r="T17987" t="s">
        <v>65443</v>
      </c>
    </row>
    <row r="17988" spans="1:20" customFormat="1" ht="15" x14ac:dyDescent="0.25">
      <c r="A17988" t="s">
        <v>24</v>
      </c>
      <c r="B17988" t="s">
        <v>65444</v>
      </c>
      <c r="C17988" t="str">
        <f>"A0097667"</f>
        <v>A0097667</v>
      </c>
      <c r="D17988" t="s">
        <v>65445</v>
      </c>
      <c r="E17988" t="s">
        <v>65446</v>
      </c>
      <c r="F17988" t="s">
        <v>65447</v>
      </c>
      <c r="G17988" t="s">
        <v>52</v>
      </c>
      <c r="H17988">
        <v>78382</v>
      </c>
      <c r="I17988" t="s">
        <v>30</v>
      </c>
      <c r="J17988" t="s">
        <v>31</v>
      </c>
      <c r="K17988" t="s">
        <v>32</v>
      </c>
      <c r="N17988" t="s">
        <v>65448</v>
      </c>
      <c r="O17988" t="s">
        <v>65449</v>
      </c>
      <c r="Q17988">
        <v>0</v>
      </c>
      <c r="R17988">
        <v>87</v>
      </c>
      <c r="S17988">
        <v>0</v>
      </c>
      <c r="T17988" t="s">
        <v>65450</v>
      </c>
    </row>
    <row r="17989" spans="1:20" customFormat="1" ht="15" x14ac:dyDescent="0.25">
      <c r="A17989" t="s">
        <v>24</v>
      </c>
      <c r="B17989" t="s">
        <v>6811</v>
      </c>
      <c r="C17989" t="str">
        <f>"A0166059"</f>
        <v>A0166059</v>
      </c>
      <c r="D17989" t="s">
        <v>65451</v>
      </c>
      <c r="E17989" t="s">
        <v>65452</v>
      </c>
      <c r="F17989" t="s">
        <v>57504</v>
      </c>
      <c r="G17989" t="s">
        <v>110</v>
      </c>
      <c r="H17989">
        <v>94928</v>
      </c>
      <c r="I17989" t="s">
        <v>30</v>
      </c>
      <c r="J17989" t="s">
        <v>31</v>
      </c>
      <c r="K17989" t="s">
        <v>32</v>
      </c>
      <c r="N17989" t="s">
        <v>56730</v>
      </c>
      <c r="O17989" t="s">
        <v>6814</v>
      </c>
      <c r="Q17989">
        <v>0</v>
      </c>
      <c r="R17989">
        <v>100</v>
      </c>
      <c r="S17989">
        <v>0</v>
      </c>
      <c r="T17989" t="s">
        <v>65453</v>
      </c>
    </row>
    <row r="17990" spans="1:20" customFormat="1" ht="15" x14ac:dyDescent="0.25">
      <c r="A17990" t="s">
        <v>24</v>
      </c>
      <c r="B17990" t="s">
        <v>65454</v>
      </c>
      <c r="C17990" t="str">
        <f>"A0083640"</f>
        <v>A0083640</v>
      </c>
      <c r="D17990" t="s">
        <v>65455</v>
      </c>
      <c r="E17990" t="s">
        <v>65456</v>
      </c>
      <c r="F17990" t="s">
        <v>61616</v>
      </c>
      <c r="G17990" t="s">
        <v>1170</v>
      </c>
      <c r="H17990">
        <v>71270</v>
      </c>
      <c r="I17990" t="s">
        <v>30</v>
      </c>
      <c r="J17990" t="s">
        <v>31</v>
      </c>
      <c r="K17990" t="s">
        <v>32</v>
      </c>
      <c r="N17990" t="s">
        <v>65457</v>
      </c>
      <c r="Q17990">
        <v>0</v>
      </c>
      <c r="R17990">
        <v>82</v>
      </c>
      <c r="S17990">
        <v>0</v>
      </c>
      <c r="T17990" t="s">
        <v>65458</v>
      </c>
    </row>
    <row r="17991" spans="1:20" customFormat="1" ht="15" x14ac:dyDescent="0.25">
      <c r="A17991" t="s">
        <v>24</v>
      </c>
      <c r="B17991" t="s">
        <v>1138</v>
      </c>
      <c r="C17991" t="str">
        <f>"A0094497"</f>
        <v>A0094497</v>
      </c>
      <c r="D17991" t="s">
        <v>65459</v>
      </c>
      <c r="E17991" t="s">
        <v>65460</v>
      </c>
      <c r="F17991" t="s">
        <v>64326</v>
      </c>
      <c r="G17991" t="s">
        <v>110</v>
      </c>
      <c r="H17991">
        <v>95630</v>
      </c>
      <c r="I17991" t="s">
        <v>30</v>
      </c>
      <c r="J17991" t="s">
        <v>31</v>
      </c>
      <c r="K17991" t="s">
        <v>32</v>
      </c>
      <c r="N17991" t="s">
        <v>65461</v>
      </c>
      <c r="Q17991">
        <v>0</v>
      </c>
      <c r="R17991">
        <v>97</v>
      </c>
      <c r="S17991">
        <v>0</v>
      </c>
      <c r="T17991" t="s">
        <v>65462</v>
      </c>
    </row>
    <row r="17992" spans="1:20" customFormat="1" ht="15" x14ac:dyDescent="0.25">
      <c r="A17992" t="s">
        <v>24</v>
      </c>
      <c r="B17992" t="s">
        <v>11368</v>
      </c>
      <c r="C17992" t="str">
        <f>"432ZY"</f>
        <v>432ZY</v>
      </c>
      <c r="D17992" t="s">
        <v>65463</v>
      </c>
      <c r="E17992" t="s">
        <v>65464</v>
      </c>
      <c r="F17992" t="s">
        <v>34022</v>
      </c>
      <c r="G17992" t="s">
        <v>137</v>
      </c>
      <c r="H17992">
        <v>63303</v>
      </c>
      <c r="I17992" t="s">
        <v>30</v>
      </c>
      <c r="J17992" t="s">
        <v>31</v>
      </c>
      <c r="K17992" t="s">
        <v>32</v>
      </c>
      <c r="N17992" t="s">
        <v>65465</v>
      </c>
      <c r="Q17992">
        <v>0</v>
      </c>
      <c r="R17992">
        <v>80</v>
      </c>
      <c r="S17992">
        <v>0</v>
      </c>
      <c r="T17992" t="s">
        <v>65466</v>
      </c>
    </row>
    <row r="17993" spans="1:20" customFormat="1" ht="15" x14ac:dyDescent="0.25">
      <c r="A17993" t="s">
        <v>24</v>
      </c>
      <c r="B17993" t="s">
        <v>60077</v>
      </c>
      <c r="C17993" t="str">
        <f>"432XE"</f>
        <v>432XE</v>
      </c>
      <c r="D17993" t="s">
        <v>65467</v>
      </c>
      <c r="E17993" t="s">
        <v>65468</v>
      </c>
      <c r="F17993" t="s">
        <v>356</v>
      </c>
      <c r="G17993" t="s">
        <v>52</v>
      </c>
      <c r="H17993">
        <v>78216</v>
      </c>
      <c r="I17993" t="s">
        <v>30</v>
      </c>
      <c r="J17993" t="s">
        <v>31</v>
      </c>
      <c r="K17993" t="s">
        <v>32</v>
      </c>
      <c r="N17993" t="s">
        <v>65469</v>
      </c>
      <c r="O17993" t="s">
        <v>61680</v>
      </c>
      <c r="Q17993">
        <v>0</v>
      </c>
      <c r="R17993">
        <v>120</v>
      </c>
      <c r="S17993">
        <v>0</v>
      </c>
      <c r="T17993" t="s">
        <v>65470</v>
      </c>
    </row>
    <row r="17994" spans="1:20" customFormat="1" ht="15" x14ac:dyDescent="0.25">
      <c r="A17994" t="s">
        <v>24</v>
      </c>
      <c r="B17994" t="s">
        <v>65471</v>
      </c>
      <c r="C17994" t="str">
        <f>"A0090094"</f>
        <v>A0090094</v>
      </c>
      <c r="D17994" t="s">
        <v>65472</v>
      </c>
      <c r="E17994" t="s">
        <v>65473</v>
      </c>
      <c r="F17994" t="s">
        <v>356</v>
      </c>
      <c r="G17994" t="s">
        <v>52</v>
      </c>
      <c r="H17994">
        <v>78205</v>
      </c>
      <c r="I17994" t="s">
        <v>30</v>
      </c>
      <c r="J17994" t="s">
        <v>31</v>
      </c>
      <c r="K17994" t="s">
        <v>32</v>
      </c>
      <c r="N17994" t="s">
        <v>65474</v>
      </c>
      <c r="Q17994">
        <v>0</v>
      </c>
      <c r="R17994">
        <v>118</v>
      </c>
      <c r="S17994">
        <v>0</v>
      </c>
      <c r="T17994" t="s">
        <v>65475</v>
      </c>
    </row>
    <row r="17995" spans="1:20" customFormat="1" ht="15" x14ac:dyDescent="0.25">
      <c r="A17995" t="s">
        <v>24</v>
      </c>
      <c r="B17995" t="s">
        <v>4459</v>
      </c>
      <c r="C17995" t="str">
        <f>"A0146668"</f>
        <v>A0146668</v>
      </c>
      <c r="D17995" t="s">
        <v>65476</v>
      </c>
      <c r="E17995" t="s">
        <v>65477</v>
      </c>
      <c r="F17995" t="s">
        <v>4802</v>
      </c>
      <c r="G17995" t="s">
        <v>110</v>
      </c>
      <c r="H17995">
        <v>95002</v>
      </c>
      <c r="I17995" t="s">
        <v>30</v>
      </c>
      <c r="J17995" t="s">
        <v>31</v>
      </c>
      <c r="K17995" t="s">
        <v>32</v>
      </c>
      <c r="N17995" t="s">
        <v>65478</v>
      </c>
      <c r="Q17995">
        <v>0</v>
      </c>
      <c r="R17995">
        <v>114</v>
      </c>
      <c r="S17995">
        <v>0</v>
      </c>
      <c r="T17995" t="s">
        <v>65479</v>
      </c>
    </row>
    <row r="17996" spans="1:20" customFormat="1" ht="15" x14ac:dyDescent="0.25">
      <c r="A17996" t="s">
        <v>24</v>
      </c>
      <c r="B17996" t="s">
        <v>58993</v>
      </c>
      <c r="C17996" t="str">
        <f>"432V7"</f>
        <v>432V7</v>
      </c>
      <c r="D17996" t="s">
        <v>65480</v>
      </c>
      <c r="E17996" t="s">
        <v>65481</v>
      </c>
      <c r="F17996" t="s">
        <v>65482</v>
      </c>
      <c r="G17996" t="s">
        <v>65</v>
      </c>
      <c r="H17996">
        <v>44870</v>
      </c>
      <c r="I17996" t="s">
        <v>30</v>
      </c>
      <c r="J17996" t="s">
        <v>31</v>
      </c>
      <c r="K17996" t="s">
        <v>32</v>
      </c>
      <c r="N17996" t="s">
        <v>65483</v>
      </c>
      <c r="Q17996">
        <v>0</v>
      </c>
      <c r="R17996">
        <v>87</v>
      </c>
      <c r="S17996">
        <v>0</v>
      </c>
      <c r="T17996" t="s">
        <v>65484</v>
      </c>
    </row>
    <row r="17997" spans="1:20" customFormat="1" ht="15" x14ac:dyDescent="0.25">
      <c r="A17997" t="s">
        <v>24</v>
      </c>
      <c r="B17997" t="s">
        <v>64373</v>
      </c>
      <c r="C17997" t="str">
        <f>"A0065409"</f>
        <v>A0065409</v>
      </c>
      <c r="D17997" t="s">
        <v>65485</v>
      </c>
      <c r="E17997" t="s">
        <v>65486</v>
      </c>
      <c r="F17997" t="s">
        <v>16139</v>
      </c>
      <c r="G17997" t="s">
        <v>81</v>
      </c>
      <c r="H17997">
        <v>34202</v>
      </c>
      <c r="I17997" t="s">
        <v>30</v>
      </c>
      <c r="J17997" t="s">
        <v>31</v>
      </c>
      <c r="K17997" t="s">
        <v>32</v>
      </c>
      <c r="N17997" t="s">
        <v>65487</v>
      </c>
      <c r="Q17997">
        <v>0</v>
      </c>
      <c r="R17997">
        <v>87</v>
      </c>
      <c r="S17997">
        <v>0</v>
      </c>
      <c r="T17997" t="s">
        <v>65488</v>
      </c>
    </row>
    <row r="17998" spans="1:20" customFormat="1" ht="15" x14ac:dyDescent="0.25">
      <c r="A17998" t="s">
        <v>24</v>
      </c>
      <c r="B17998" t="s">
        <v>55987</v>
      </c>
      <c r="C17998" t="str">
        <f>"432PA"</f>
        <v>432PA</v>
      </c>
      <c r="D17998" t="s">
        <v>65489</v>
      </c>
      <c r="E17998" t="s">
        <v>65490</v>
      </c>
      <c r="F17998" t="s">
        <v>2839</v>
      </c>
      <c r="G17998" t="s">
        <v>846</v>
      </c>
      <c r="H17998">
        <v>31419</v>
      </c>
      <c r="I17998" t="s">
        <v>30</v>
      </c>
      <c r="J17998" t="s">
        <v>31</v>
      </c>
      <c r="K17998" t="s">
        <v>32</v>
      </c>
      <c r="N17998" t="s">
        <v>65491</v>
      </c>
      <c r="Q17998">
        <v>0</v>
      </c>
      <c r="R17998">
        <v>80</v>
      </c>
      <c r="S17998">
        <v>0</v>
      </c>
      <c r="T17998" t="s">
        <v>65492</v>
      </c>
    </row>
    <row r="17999" spans="1:20" customFormat="1" ht="15" x14ac:dyDescent="0.25">
      <c r="A17999" t="s">
        <v>24</v>
      </c>
      <c r="B17999" t="s">
        <v>58755</v>
      </c>
      <c r="C17999" t="str">
        <f>"432JY"</f>
        <v>432JY</v>
      </c>
      <c r="D17999" t="s">
        <v>65493</v>
      </c>
      <c r="E17999" t="s">
        <v>65494</v>
      </c>
      <c r="F17999" t="s">
        <v>2839</v>
      </c>
      <c r="G17999" t="s">
        <v>846</v>
      </c>
      <c r="H17999">
        <v>31408</v>
      </c>
      <c r="I17999" t="s">
        <v>30</v>
      </c>
      <c r="J17999" t="s">
        <v>31</v>
      </c>
      <c r="K17999" t="s">
        <v>32</v>
      </c>
      <c r="N17999" t="s">
        <v>65495</v>
      </c>
      <c r="Q17999">
        <v>0</v>
      </c>
      <c r="R17999">
        <v>80</v>
      </c>
      <c r="S17999">
        <v>0</v>
      </c>
      <c r="T17999" t="s">
        <v>65496</v>
      </c>
    </row>
    <row r="18000" spans="1:20" customFormat="1" ht="15" x14ac:dyDescent="0.25">
      <c r="A18000" t="s">
        <v>24</v>
      </c>
      <c r="B18000" t="s">
        <v>2917</v>
      </c>
      <c r="C18000" t="str">
        <f>"A0097305"</f>
        <v>A0097305</v>
      </c>
      <c r="D18000" t="s">
        <v>65497</v>
      </c>
      <c r="E18000" t="s">
        <v>65498</v>
      </c>
      <c r="F18000" t="s">
        <v>2839</v>
      </c>
      <c r="G18000" t="s">
        <v>846</v>
      </c>
      <c r="H18000">
        <v>31405</v>
      </c>
      <c r="I18000" t="s">
        <v>30</v>
      </c>
      <c r="J18000" t="s">
        <v>31</v>
      </c>
      <c r="K18000" t="s">
        <v>32</v>
      </c>
      <c r="N18000" t="s">
        <v>54325</v>
      </c>
      <c r="O18000" t="s">
        <v>65499</v>
      </c>
      <c r="Q18000">
        <v>0</v>
      </c>
      <c r="R18000">
        <v>145</v>
      </c>
      <c r="S18000">
        <v>0</v>
      </c>
      <c r="T18000" t="s">
        <v>65500</v>
      </c>
    </row>
    <row r="18001" spans="1:20" customFormat="1" ht="15" x14ac:dyDescent="0.25">
      <c r="A18001" t="s">
        <v>24</v>
      </c>
      <c r="B18001" t="s">
        <v>649</v>
      </c>
      <c r="C18001" t="str">
        <f>"A0095919"</f>
        <v>A0095919</v>
      </c>
      <c r="D18001" t="s">
        <v>65501</v>
      </c>
      <c r="E18001" t="s">
        <v>65502</v>
      </c>
      <c r="F18001" t="s">
        <v>65503</v>
      </c>
      <c r="G18001" t="s">
        <v>427</v>
      </c>
      <c r="H18001">
        <v>69361</v>
      </c>
      <c r="I18001" t="s">
        <v>30</v>
      </c>
      <c r="J18001" t="s">
        <v>31</v>
      </c>
      <c r="K18001" t="s">
        <v>32</v>
      </c>
      <c r="N18001" t="s">
        <v>65504</v>
      </c>
      <c r="Q18001">
        <v>0</v>
      </c>
      <c r="R18001">
        <v>85</v>
      </c>
      <c r="S18001">
        <v>0</v>
      </c>
      <c r="T18001" t="s">
        <v>65505</v>
      </c>
    </row>
    <row r="18002" spans="1:20" customFormat="1" ht="15" x14ac:dyDescent="0.25">
      <c r="A18002" t="s">
        <v>24</v>
      </c>
      <c r="B18002" t="s">
        <v>59080</v>
      </c>
      <c r="C18002" t="str">
        <f>"A0089214"</f>
        <v>A0089214</v>
      </c>
      <c r="D18002" t="s">
        <v>65506</v>
      </c>
      <c r="E18002" t="s">
        <v>65507</v>
      </c>
      <c r="F18002" t="s">
        <v>65508</v>
      </c>
      <c r="G18002" t="s">
        <v>110</v>
      </c>
      <c r="H18002">
        <v>93631</v>
      </c>
      <c r="I18002" t="s">
        <v>30</v>
      </c>
      <c r="J18002" t="s">
        <v>31</v>
      </c>
      <c r="K18002" t="s">
        <v>32</v>
      </c>
      <c r="N18002" t="s">
        <v>65509</v>
      </c>
      <c r="O18002" t="s">
        <v>65510</v>
      </c>
      <c r="Q18002">
        <v>0</v>
      </c>
      <c r="R18002">
        <v>86</v>
      </c>
      <c r="S18002">
        <v>0</v>
      </c>
      <c r="T18002" t="s">
        <v>65511</v>
      </c>
    </row>
    <row r="18003" spans="1:20" customFormat="1" ht="15" x14ac:dyDescent="0.25">
      <c r="A18003" t="s">
        <v>24</v>
      </c>
      <c r="B18003" t="s">
        <v>58814</v>
      </c>
      <c r="C18003" t="str">
        <f>"A0087287"</f>
        <v>A0087287</v>
      </c>
      <c r="D18003" t="s">
        <v>65512</v>
      </c>
      <c r="E18003" t="s">
        <v>65513</v>
      </c>
      <c r="F18003" t="s">
        <v>65514</v>
      </c>
      <c r="G18003" t="s">
        <v>381</v>
      </c>
      <c r="H18003">
        <v>47274</v>
      </c>
      <c r="I18003" t="s">
        <v>30</v>
      </c>
      <c r="J18003" t="s">
        <v>31</v>
      </c>
      <c r="K18003" t="s">
        <v>32</v>
      </c>
      <c r="N18003" t="s">
        <v>65515</v>
      </c>
      <c r="O18003" t="s">
        <v>65516</v>
      </c>
      <c r="Q18003">
        <v>0</v>
      </c>
      <c r="R18003">
        <v>73</v>
      </c>
      <c r="S18003">
        <v>0</v>
      </c>
      <c r="T18003" t="s">
        <v>65517</v>
      </c>
    </row>
    <row r="18004" spans="1:20" customFormat="1" ht="15" x14ac:dyDescent="0.25">
      <c r="A18004" t="s">
        <v>24</v>
      </c>
      <c r="B18004" t="s">
        <v>58744</v>
      </c>
      <c r="C18004" t="str">
        <f>"A0097704"</f>
        <v>A0097704</v>
      </c>
      <c r="D18004" t="s">
        <v>65518</v>
      </c>
      <c r="E18004" t="s">
        <v>65519</v>
      </c>
      <c r="F18004" t="s">
        <v>65520</v>
      </c>
      <c r="G18004" t="s">
        <v>427</v>
      </c>
      <c r="H18004">
        <v>69162</v>
      </c>
      <c r="I18004" t="s">
        <v>30</v>
      </c>
      <c r="J18004" t="s">
        <v>31</v>
      </c>
      <c r="K18004" t="s">
        <v>32</v>
      </c>
      <c r="N18004" t="s">
        <v>65521</v>
      </c>
      <c r="Q18004">
        <v>0</v>
      </c>
      <c r="R18004">
        <v>75</v>
      </c>
      <c r="S18004">
        <v>0</v>
      </c>
      <c r="T18004" t="s">
        <v>65522</v>
      </c>
    </row>
    <row r="18005" spans="1:20" customFormat="1" ht="15" x14ac:dyDescent="0.25">
      <c r="A18005" t="s">
        <v>24</v>
      </c>
      <c r="B18005" t="s">
        <v>5558</v>
      </c>
      <c r="C18005" t="str">
        <f>"A0066727"</f>
        <v>A0066727</v>
      </c>
      <c r="D18005" t="s">
        <v>65523</v>
      </c>
      <c r="E18005" t="s">
        <v>65524</v>
      </c>
      <c r="F18005" t="s">
        <v>65525</v>
      </c>
      <c r="G18005" t="s">
        <v>197</v>
      </c>
      <c r="H18005">
        <v>85635</v>
      </c>
      <c r="I18005" t="s">
        <v>30</v>
      </c>
      <c r="J18005" t="s">
        <v>31</v>
      </c>
      <c r="K18005" t="s">
        <v>32</v>
      </c>
      <c r="N18005" t="s">
        <v>65526</v>
      </c>
      <c r="O18005" t="s">
        <v>65527</v>
      </c>
      <c r="Q18005">
        <v>0</v>
      </c>
      <c r="R18005">
        <v>67</v>
      </c>
      <c r="S18005">
        <v>0</v>
      </c>
      <c r="T18005" t="s">
        <v>65528</v>
      </c>
    </row>
    <row r="18006" spans="1:20" customFormat="1" ht="15" x14ac:dyDescent="0.25">
      <c r="A18006" t="s">
        <v>24</v>
      </c>
      <c r="B18006" t="s">
        <v>9549</v>
      </c>
      <c r="C18006" t="str">
        <f>"A0092303"</f>
        <v>A0092303</v>
      </c>
      <c r="D18006" t="s">
        <v>65529</v>
      </c>
      <c r="E18006" t="s">
        <v>65530</v>
      </c>
      <c r="F18006" t="s">
        <v>65531</v>
      </c>
      <c r="G18006" t="s">
        <v>3236</v>
      </c>
      <c r="H18006">
        <v>57107</v>
      </c>
      <c r="I18006" t="s">
        <v>30</v>
      </c>
      <c r="J18006" t="s">
        <v>31</v>
      </c>
      <c r="K18006" t="s">
        <v>32</v>
      </c>
      <c r="N18006" t="s">
        <v>65532</v>
      </c>
      <c r="Q18006">
        <v>0</v>
      </c>
      <c r="R18006">
        <v>82</v>
      </c>
      <c r="S18006">
        <v>0</v>
      </c>
      <c r="T18006" t="s">
        <v>65533</v>
      </c>
    </row>
    <row r="18007" spans="1:20" customFormat="1" ht="15" x14ac:dyDescent="0.25">
      <c r="A18007" t="s">
        <v>24</v>
      </c>
      <c r="B18007" t="s">
        <v>58709</v>
      </c>
      <c r="C18007" t="str">
        <f>"A0090533"</f>
        <v>A0090533</v>
      </c>
      <c r="D18007" t="s">
        <v>65534</v>
      </c>
      <c r="E18007" t="s">
        <v>65535</v>
      </c>
      <c r="F18007" t="s">
        <v>65536</v>
      </c>
      <c r="G18007" t="s">
        <v>103</v>
      </c>
      <c r="H18007">
        <v>16057</v>
      </c>
      <c r="I18007" t="s">
        <v>30</v>
      </c>
      <c r="J18007" t="s">
        <v>31</v>
      </c>
      <c r="K18007" t="s">
        <v>32</v>
      </c>
      <c r="N18007" t="s">
        <v>65537</v>
      </c>
      <c r="O18007" t="s">
        <v>65538</v>
      </c>
      <c r="Q18007">
        <v>0</v>
      </c>
      <c r="R18007">
        <v>75</v>
      </c>
      <c r="S18007">
        <v>0</v>
      </c>
      <c r="T18007" t="s">
        <v>65539</v>
      </c>
    </row>
    <row r="18008" spans="1:20" customFormat="1" ht="15" x14ac:dyDescent="0.25">
      <c r="A18008" t="s">
        <v>24</v>
      </c>
      <c r="B18008" t="s">
        <v>11027</v>
      </c>
      <c r="C18008" t="str">
        <f>"A0091945"</f>
        <v>A0091945</v>
      </c>
      <c r="D18008" t="s">
        <v>65540</v>
      </c>
      <c r="E18008" t="s">
        <v>65541</v>
      </c>
      <c r="F18008" t="s">
        <v>65542</v>
      </c>
      <c r="G18008" t="s">
        <v>214</v>
      </c>
      <c r="H18008">
        <v>27577</v>
      </c>
      <c r="I18008" t="s">
        <v>30</v>
      </c>
      <c r="J18008" t="s">
        <v>31</v>
      </c>
      <c r="K18008" t="s">
        <v>32</v>
      </c>
      <c r="N18008" t="s">
        <v>65543</v>
      </c>
      <c r="Q18008">
        <v>0</v>
      </c>
      <c r="R18008">
        <v>89</v>
      </c>
      <c r="S18008">
        <v>0</v>
      </c>
      <c r="T18008" t="s">
        <v>65544</v>
      </c>
    </row>
    <row r="18009" spans="1:20" customFormat="1" ht="15" x14ac:dyDescent="0.25">
      <c r="A18009" t="s">
        <v>24</v>
      </c>
      <c r="B18009" t="s">
        <v>1020</v>
      </c>
      <c r="C18009" t="str">
        <f>"A0088822"</f>
        <v>A0088822</v>
      </c>
      <c r="D18009" t="s">
        <v>65545</v>
      </c>
      <c r="E18009" t="s">
        <v>65546</v>
      </c>
      <c r="F18009" t="s">
        <v>55882</v>
      </c>
      <c r="G18009" t="s">
        <v>381</v>
      </c>
      <c r="H18009">
        <v>46617</v>
      </c>
      <c r="I18009" t="s">
        <v>30</v>
      </c>
      <c r="J18009" t="s">
        <v>31</v>
      </c>
      <c r="K18009" t="s">
        <v>32</v>
      </c>
      <c r="N18009" t="s">
        <v>65547</v>
      </c>
      <c r="Q18009">
        <v>0</v>
      </c>
      <c r="R18009">
        <v>119</v>
      </c>
      <c r="S18009">
        <v>0</v>
      </c>
      <c r="T18009" t="s">
        <v>65548</v>
      </c>
    </row>
    <row r="18010" spans="1:20" customFormat="1" ht="15" x14ac:dyDescent="0.25">
      <c r="A18010" t="s">
        <v>24</v>
      </c>
      <c r="B18010" t="s">
        <v>34039</v>
      </c>
      <c r="C18010" t="str">
        <f>"A0087988"</f>
        <v>A0087988</v>
      </c>
      <c r="D18010" t="s">
        <v>65549</v>
      </c>
      <c r="E18010" t="s">
        <v>65550</v>
      </c>
      <c r="F18010" t="s">
        <v>65551</v>
      </c>
      <c r="G18010" t="s">
        <v>29</v>
      </c>
      <c r="H18010">
        <v>24592</v>
      </c>
      <c r="I18010" t="s">
        <v>30</v>
      </c>
      <c r="J18010" t="s">
        <v>31</v>
      </c>
      <c r="K18010" t="s">
        <v>32</v>
      </c>
      <c r="N18010" t="s">
        <v>65552</v>
      </c>
      <c r="Q18010">
        <v>0</v>
      </c>
      <c r="R18010">
        <v>85</v>
      </c>
      <c r="S18010">
        <v>0</v>
      </c>
      <c r="T18010" t="s">
        <v>65553</v>
      </c>
    </row>
    <row r="18011" spans="1:20" customFormat="1" ht="15" x14ac:dyDescent="0.25">
      <c r="A18011" t="s">
        <v>24</v>
      </c>
      <c r="B18011" t="s">
        <v>65554</v>
      </c>
      <c r="C18011" t="str">
        <f>"432B8"</f>
        <v>432B8</v>
      </c>
      <c r="D18011" t="s">
        <v>65555</v>
      </c>
      <c r="E18011" t="s">
        <v>65556</v>
      </c>
      <c r="F18011" t="s">
        <v>57876</v>
      </c>
      <c r="G18011" t="s">
        <v>76</v>
      </c>
      <c r="H18011">
        <v>99202</v>
      </c>
      <c r="I18011" t="s">
        <v>30</v>
      </c>
      <c r="J18011" t="s">
        <v>31</v>
      </c>
      <c r="K18011" t="s">
        <v>32</v>
      </c>
      <c r="N18011" t="s">
        <v>65557</v>
      </c>
      <c r="Q18011">
        <v>0</v>
      </c>
      <c r="R18011">
        <v>87</v>
      </c>
      <c r="S18011">
        <v>0</v>
      </c>
      <c r="T18011" t="s">
        <v>65558</v>
      </c>
    </row>
    <row r="18012" spans="1:20" customFormat="1" ht="15" x14ac:dyDescent="0.25">
      <c r="A18012" t="s">
        <v>24</v>
      </c>
      <c r="B18012" t="s">
        <v>55506</v>
      </c>
      <c r="C18012" t="str">
        <f>"A0063241"</f>
        <v>A0063241</v>
      </c>
      <c r="D18012" t="s">
        <v>65559</v>
      </c>
      <c r="E18012" t="s">
        <v>65560</v>
      </c>
      <c r="F18012" t="s">
        <v>65561</v>
      </c>
      <c r="G18012" t="s">
        <v>615</v>
      </c>
      <c r="H18012">
        <v>6082</v>
      </c>
      <c r="I18012" t="s">
        <v>30</v>
      </c>
      <c r="J18012" t="s">
        <v>31</v>
      </c>
      <c r="K18012" t="s">
        <v>32</v>
      </c>
      <c r="N18012" t="s">
        <v>65562</v>
      </c>
      <c r="O18012" t="s">
        <v>65563</v>
      </c>
      <c r="Q18012">
        <v>0</v>
      </c>
      <c r="R18012">
        <v>174</v>
      </c>
      <c r="S18012">
        <v>0</v>
      </c>
      <c r="T18012" t="s">
        <v>65564</v>
      </c>
    </row>
    <row r="18013" spans="1:20" customFormat="1" ht="15" x14ac:dyDescent="0.25">
      <c r="A18013" t="s">
        <v>24</v>
      </c>
      <c r="B18013" t="s">
        <v>1098</v>
      </c>
      <c r="C18013" t="str">
        <f>"A0087679"</f>
        <v>A0087679</v>
      </c>
      <c r="D18013" t="s">
        <v>65565</v>
      </c>
      <c r="E18013" t="s">
        <v>65566</v>
      </c>
      <c r="F18013" t="s">
        <v>61939</v>
      </c>
      <c r="G18013" t="s">
        <v>81</v>
      </c>
      <c r="H18013">
        <v>32084</v>
      </c>
      <c r="I18013" t="s">
        <v>30</v>
      </c>
      <c r="J18013" t="s">
        <v>31</v>
      </c>
      <c r="K18013" t="s">
        <v>32</v>
      </c>
      <c r="N18013" t="s">
        <v>65567</v>
      </c>
      <c r="O18013" t="s">
        <v>65568</v>
      </c>
      <c r="Q18013">
        <v>0</v>
      </c>
      <c r="R18013">
        <v>82</v>
      </c>
      <c r="S18013">
        <v>0</v>
      </c>
      <c r="T18013" t="s">
        <v>65569</v>
      </c>
    </row>
    <row r="18014" spans="1:20" customFormat="1" ht="15" x14ac:dyDescent="0.25">
      <c r="A18014" t="s">
        <v>24</v>
      </c>
      <c r="B18014" t="s">
        <v>34033</v>
      </c>
      <c r="C18014" t="str">
        <f>"4321L"</f>
        <v>4321L</v>
      </c>
      <c r="D18014" t="s">
        <v>65570</v>
      </c>
      <c r="E18014" t="s">
        <v>65571</v>
      </c>
      <c r="F18014" t="s">
        <v>34022</v>
      </c>
      <c r="G18014" t="s">
        <v>289</v>
      </c>
      <c r="H18014">
        <v>60174</v>
      </c>
      <c r="I18014" t="s">
        <v>30</v>
      </c>
      <c r="J18014" t="s">
        <v>31</v>
      </c>
      <c r="K18014" t="s">
        <v>32</v>
      </c>
      <c r="N18014" t="s">
        <v>65572</v>
      </c>
      <c r="O18014" t="s">
        <v>65573</v>
      </c>
      <c r="Q18014">
        <v>0</v>
      </c>
      <c r="R18014">
        <v>92</v>
      </c>
      <c r="S18014">
        <v>0</v>
      </c>
      <c r="T18014" t="s">
        <v>65574</v>
      </c>
    </row>
    <row r="18015" spans="1:20" customFormat="1" ht="15" hidden="1" x14ac:dyDescent="0.25">
      <c r="A18015" t="s">
        <v>24</v>
      </c>
      <c r="B18015" t="s">
        <v>63140</v>
      </c>
      <c r="C18015" t="str">
        <f>"A0068333"</f>
        <v>A0068333</v>
      </c>
      <c r="D18015" t="s">
        <v>65575</v>
      </c>
      <c r="E18015" t="s">
        <v>65576</v>
      </c>
      <c r="F18015" t="s">
        <v>65577</v>
      </c>
      <c r="G18015" t="s">
        <v>11118</v>
      </c>
      <c r="H18015" t="s">
        <v>65578</v>
      </c>
      <c r="I18015" t="s">
        <v>1459</v>
      </c>
      <c r="J18015" t="s">
        <v>31</v>
      </c>
      <c r="K18015" t="s">
        <v>32</v>
      </c>
      <c r="N18015" t="s">
        <v>65579</v>
      </c>
      <c r="O18015" t="s">
        <v>65580</v>
      </c>
      <c r="Q18015">
        <v>0</v>
      </c>
      <c r="R18015">
        <v>148</v>
      </c>
      <c r="S18015">
        <v>0</v>
      </c>
      <c r="T18015" t="s">
        <v>65581</v>
      </c>
    </row>
    <row r="18016" spans="1:20" customFormat="1" ht="15" x14ac:dyDescent="0.25">
      <c r="A18016" t="s">
        <v>24</v>
      </c>
      <c r="B18016" t="s">
        <v>11368</v>
      </c>
      <c r="C18016" t="str">
        <f>"A0156519"</f>
        <v>A0156519</v>
      </c>
      <c r="D18016" t="s">
        <v>65582</v>
      </c>
      <c r="E18016" t="s">
        <v>65583</v>
      </c>
      <c r="F18016" t="s">
        <v>3860</v>
      </c>
      <c r="G18016" t="s">
        <v>137</v>
      </c>
      <c r="H18016">
        <v>63103</v>
      </c>
      <c r="I18016" t="s">
        <v>30</v>
      </c>
      <c r="J18016" t="s">
        <v>31</v>
      </c>
      <c r="K18016" t="s">
        <v>32</v>
      </c>
      <c r="N18016" t="s">
        <v>65584</v>
      </c>
      <c r="O18016" t="s">
        <v>65585</v>
      </c>
      <c r="Q18016">
        <v>0</v>
      </c>
      <c r="R18016">
        <v>136</v>
      </c>
      <c r="S18016">
        <v>0</v>
      </c>
      <c r="T18016" t="s">
        <v>65586</v>
      </c>
    </row>
    <row r="18017" spans="1:20" customFormat="1" ht="15" x14ac:dyDescent="0.25">
      <c r="A18017" t="s">
        <v>24</v>
      </c>
      <c r="B18017" t="s">
        <v>649</v>
      </c>
      <c r="C18017" t="str">
        <f>"432MO"</f>
        <v>432MO</v>
      </c>
      <c r="D18017" t="s">
        <v>65587</v>
      </c>
      <c r="E18017" t="s">
        <v>65588</v>
      </c>
      <c r="F18017" t="s">
        <v>7699</v>
      </c>
      <c r="G18017" t="s">
        <v>81</v>
      </c>
      <c r="H18017">
        <v>33762</v>
      </c>
      <c r="I18017" t="s">
        <v>30</v>
      </c>
      <c r="J18017" t="s">
        <v>31</v>
      </c>
      <c r="K18017" t="s">
        <v>32</v>
      </c>
      <c r="N18017" t="s">
        <v>4349</v>
      </c>
      <c r="Q18017">
        <v>0</v>
      </c>
      <c r="R18017">
        <v>83</v>
      </c>
      <c r="S18017">
        <v>0</v>
      </c>
      <c r="T18017" t="s">
        <v>65589</v>
      </c>
    </row>
    <row r="18018" spans="1:20" customFormat="1" ht="15" x14ac:dyDescent="0.25">
      <c r="A18018" t="s">
        <v>24</v>
      </c>
      <c r="B18018" t="s">
        <v>1098</v>
      </c>
      <c r="C18018" t="str">
        <f>"A0084084"</f>
        <v>A0084084</v>
      </c>
      <c r="D18018" t="s">
        <v>65590</v>
      </c>
      <c r="E18018" t="s">
        <v>65591</v>
      </c>
      <c r="F18018" t="s">
        <v>65592</v>
      </c>
      <c r="G18018" t="s">
        <v>103</v>
      </c>
      <c r="H18018">
        <v>16803</v>
      </c>
      <c r="I18018" t="s">
        <v>30</v>
      </c>
      <c r="J18018" t="s">
        <v>31</v>
      </c>
      <c r="K18018" t="s">
        <v>32</v>
      </c>
      <c r="N18018" t="s">
        <v>65593</v>
      </c>
      <c r="Q18018">
        <v>0</v>
      </c>
      <c r="R18018">
        <v>83</v>
      </c>
      <c r="S18018">
        <v>0</v>
      </c>
      <c r="T18018" t="s">
        <v>65594</v>
      </c>
    </row>
    <row r="18019" spans="1:20" customFormat="1" ht="15" x14ac:dyDescent="0.25">
      <c r="A18019" t="s">
        <v>24</v>
      </c>
      <c r="B18019" t="s">
        <v>1323</v>
      </c>
      <c r="C18019" t="str">
        <f>"A0090571"</f>
        <v>A0090571</v>
      </c>
      <c r="D18019" t="s">
        <v>65595</v>
      </c>
      <c r="E18019" t="s">
        <v>65596</v>
      </c>
      <c r="F18019" t="s">
        <v>2564</v>
      </c>
      <c r="G18019" t="s">
        <v>81</v>
      </c>
      <c r="H18019">
        <v>32301</v>
      </c>
      <c r="I18019" t="s">
        <v>30</v>
      </c>
      <c r="J18019" t="s">
        <v>31</v>
      </c>
      <c r="K18019" t="s">
        <v>32</v>
      </c>
      <c r="N18019" t="s">
        <v>65597</v>
      </c>
      <c r="Q18019">
        <v>0</v>
      </c>
      <c r="R18019">
        <v>97</v>
      </c>
      <c r="S18019">
        <v>0</v>
      </c>
      <c r="T18019" t="s">
        <v>65598</v>
      </c>
    </row>
    <row r="18020" spans="1:20" customFormat="1" ht="15" x14ac:dyDescent="0.25">
      <c r="A18020" t="s">
        <v>24</v>
      </c>
      <c r="B18020" t="s">
        <v>1317</v>
      </c>
      <c r="C18020" t="str">
        <f>"A0094017"</f>
        <v>A0094017</v>
      </c>
      <c r="D18020" t="s">
        <v>65599</v>
      </c>
      <c r="E18020" t="s">
        <v>65600</v>
      </c>
      <c r="F18020" t="s">
        <v>3955</v>
      </c>
      <c r="G18020" t="s">
        <v>81</v>
      </c>
      <c r="H18020">
        <v>33607</v>
      </c>
      <c r="I18020" t="s">
        <v>30</v>
      </c>
      <c r="J18020" t="s">
        <v>31</v>
      </c>
      <c r="K18020" t="s">
        <v>32</v>
      </c>
      <c r="N18020" t="s">
        <v>65601</v>
      </c>
      <c r="O18020" t="s">
        <v>65602</v>
      </c>
      <c r="Q18020">
        <v>0</v>
      </c>
      <c r="R18020">
        <v>129</v>
      </c>
      <c r="S18020">
        <v>0</v>
      </c>
      <c r="T18020" t="s">
        <v>65603</v>
      </c>
    </row>
    <row r="18021" spans="1:20" customFormat="1" ht="15" x14ac:dyDescent="0.25">
      <c r="A18021" t="s">
        <v>24</v>
      </c>
      <c r="B18021" t="s">
        <v>34154</v>
      </c>
      <c r="C18021" t="str">
        <f>"A0155848"</f>
        <v>A0155848</v>
      </c>
      <c r="D18021" t="s">
        <v>65604</v>
      </c>
      <c r="E18021" t="s">
        <v>65605</v>
      </c>
      <c r="F18021" t="s">
        <v>12857</v>
      </c>
      <c r="G18021" t="s">
        <v>81</v>
      </c>
      <c r="H18021">
        <v>33579</v>
      </c>
      <c r="I18021" t="s">
        <v>30</v>
      </c>
      <c r="J18021" t="s">
        <v>31</v>
      </c>
      <c r="K18021" t="s">
        <v>32</v>
      </c>
      <c r="N18021" t="s">
        <v>65606</v>
      </c>
      <c r="O18021" t="s">
        <v>65607</v>
      </c>
      <c r="Q18021">
        <v>0</v>
      </c>
      <c r="R18021">
        <v>108</v>
      </c>
      <c r="S18021">
        <v>0</v>
      </c>
      <c r="T18021" t="s">
        <v>65608</v>
      </c>
    </row>
    <row r="18022" spans="1:20" customFormat="1" ht="15" x14ac:dyDescent="0.25">
      <c r="A18022" t="s">
        <v>24</v>
      </c>
      <c r="B18022" t="s">
        <v>56553</v>
      </c>
      <c r="C18022" t="str">
        <f>"A0088392"</f>
        <v>A0088392</v>
      </c>
      <c r="D18022" t="s">
        <v>65609</v>
      </c>
      <c r="E18022" t="s">
        <v>65610</v>
      </c>
      <c r="F18022" t="s">
        <v>4998</v>
      </c>
      <c r="G18022" t="s">
        <v>110</v>
      </c>
      <c r="H18022">
        <v>93561</v>
      </c>
      <c r="I18022" t="s">
        <v>30</v>
      </c>
      <c r="J18022" t="s">
        <v>31</v>
      </c>
      <c r="K18022" t="s">
        <v>32</v>
      </c>
      <c r="N18022" t="s">
        <v>56556</v>
      </c>
      <c r="Q18022">
        <v>0</v>
      </c>
      <c r="R18022">
        <v>82</v>
      </c>
      <c r="S18022">
        <v>0</v>
      </c>
      <c r="T18022" t="s">
        <v>65611</v>
      </c>
    </row>
    <row r="18023" spans="1:20" customFormat="1" ht="15" x14ac:dyDescent="0.25">
      <c r="A18023" t="s">
        <v>24</v>
      </c>
      <c r="B18023" t="s">
        <v>5429</v>
      </c>
      <c r="C18023" t="str">
        <f>"A0100610"</f>
        <v>A0100610</v>
      </c>
      <c r="D18023" t="s">
        <v>65612</v>
      </c>
      <c r="E18023" t="s">
        <v>65613</v>
      </c>
      <c r="F18023" t="s">
        <v>65614</v>
      </c>
      <c r="G18023" t="s">
        <v>52</v>
      </c>
      <c r="H18023">
        <v>75160</v>
      </c>
      <c r="I18023" t="s">
        <v>30</v>
      </c>
      <c r="J18023" t="s">
        <v>31</v>
      </c>
      <c r="K18023" t="s">
        <v>32</v>
      </c>
      <c r="N18023" t="s">
        <v>65615</v>
      </c>
      <c r="Q18023">
        <v>0</v>
      </c>
      <c r="R18023">
        <v>82</v>
      </c>
      <c r="S18023">
        <v>0</v>
      </c>
      <c r="T18023" t="s">
        <v>65616</v>
      </c>
    </row>
    <row r="18024" spans="1:20" customFormat="1" ht="15" x14ac:dyDescent="0.25">
      <c r="A18024" t="s">
        <v>24</v>
      </c>
      <c r="B18024" t="s">
        <v>762</v>
      </c>
      <c r="C18024" t="str">
        <f>"A0089209"</f>
        <v>A0089209</v>
      </c>
      <c r="D18024" t="s">
        <v>65617</v>
      </c>
      <c r="E18024" t="s">
        <v>65618</v>
      </c>
      <c r="F18024" t="s">
        <v>57641</v>
      </c>
      <c r="G18024" t="s">
        <v>52</v>
      </c>
      <c r="H18024">
        <v>75503</v>
      </c>
      <c r="I18024" t="s">
        <v>30</v>
      </c>
      <c r="J18024" t="s">
        <v>31</v>
      </c>
      <c r="K18024" t="s">
        <v>32</v>
      </c>
      <c r="N18024" t="s">
        <v>65619</v>
      </c>
      <c r="Q18024">
        <v>0</v>
      </c>
      <c r="R18024">
        <v>83</v>
      </c>
      <c r="S18024">
        <v>0</v>
      </c>
      <c r="T18024" t="s">
        <v>65620</v>
      </c>
    </row>
    <row r="18025" spans="1:20" customFormat="1" ht="15" hidden="1" x14ac:dyDescent="0.25">
      <c r="A18025" t="s">
        <v>24</v>
      </c>
      <c r="B18025" t="s">
        <v>675</v>
      </c>
      <c r="C18025" t="str">
        <f>"A0101087"</f>
        <v>A0101087</v>
      </c>
      <c r="D18025" t="s">
        <v>65621</v>
      </c>
      <c r="E18025" t="s">
        <v>65622</v>
      </c>
      <c r="F18025" t="s">
        <v>65623</v>
      </c>
      <c r="G18025" t="s">
        <v>3071</v>
      </c>
      <c r="H18025">
        <v>22010</v>
      </c>
      <c r="I18025" t="s">
        <v>2408</v>
      </c>
      <c r="J18025" t="s">
        <v>31</v>
      </c>
      <c r="K18025" t="s">
        <v>32</v>
      </c>
      <c r="N18025" t="s">
        <v>65624</v>
      </c>
      <c r="Q18025">
        <v>0</v>
      </c>
      <c r="R18025">
        <v>142</v>
      </c>
      <c r="S18025">
        <v>0</v>
      </c>
      <c r="T18025" t="s">
        <v>65625</v>
      </c>
    </row>
    <row r="18026" spans="1:20" customFormat="1" ht="15" x14ac:dyDescent="0.25">
      <c r="A18026" t="s">
        <v>24</v>
      </c>
      <c r="B18026" t="s">
        <v>55987</v>
      </c>
      <c r="C18026" t="str">
        <f>"A0090314"</f>
        <v>A0090314</v>
      </c>
      <c r="D18026" t="s">
        <v>65626</v>
      </c>
      <c r="E18026" t="s">
        <v>65627</v>
      </c>
      <c r="F18026" t="s">
        <v>65628</v>
      </c>
      <c r="G18026" t="s">
        <v>1369</v>
      </c>
      <c r="H18026">
        <v>38866</v>
      </c>
      <c r="I18026" t="s">
        <v>30</v>
      </c>
      <c r="J18026" t="s">
        <v>31</v>
      </c>
      <c r="K18026" t="s">
        <v>32</v>
      </c>
      <c r="N18026" t="s">
        <v>65629</v>
      </c>
      <c r="Q18026">
        <v>0</v>
      </c>
      <c r="R18026">
        <v>87</v>
      </c>
      <c r="S18026">
        <v>0</v>
      </c>
      <c r="T18026" t="s">
        <v>65630</v>
      </c>
    </row>
    <row r="18027" spans="1:20" customFormat="1" ht="15" x14ac:dyDescent="0.25">
      <c r="A18027" t="s">
        <v>24</v>
      </c>
      <c r="B18027" t="s">
        <v>675</v>
      </c>
      <c r="C18027" t="str">
        <f>"A0092362"</f>
        <v>A0092362</v>
      </c>
      <c r="D18027" t="s">
        <v>65631</v>
      </c>
      <c r="E18027" t="s">
        <v>65632</v>
      </c>
      <c r="F18027" t="s">
        <v>65633</v>
      </c>
      <c r="G18027" t="s">
        <v>110</v>
      </c>
      <c r="H18027">
        <v>92780</v>
      </c>
      <c r="I18027" t="s">
        <v>30</v>
      </c>
      <c r="J18027" t="s">
        <v>31</v>
      </c>
      <c r="K18027" t="s">
        <v>32</v>
      </c>
      <c r="N18027" t="s">
        <v>65634</v>
      </c>
      <c r="O18027" t="s">
        <v>65635</v>
      </c>
      <c r="Q18027">
        <v>0</v>
      </c>
      <c r="R18027">
        <v>145</v>
      </c>
      <c r="S18027">
        <v>0</v>
      </c>
      <c r="T18027" t="s">
        <v>65636</v>
      </c>
    </row>
    <row r="18028" spans="1:20" customFormat="1" ht="15" x14ac:dyDescent="0.25">
      <c r="A18028" t="s">
        <v>24</v>
      </c>
      <c r="B18028" t="s">
        <v>5589</v>
      </c>
      <c r="C18028" t="str">
        <f>"A0093447"</f>
        <v>A0093447</v>
      </c>
      <c r="D18028" t="s">
        <v>65637</v>
      </c>
      <c r="E18028" t="s">
        <v>65638</v>
      </c>
      <c r="F18028" t="s">
        <v>65639</v>
      </c>
      <c r="G18028" t="s">
        <v>433</v>
      </c>
      <c r="H18028">
        <v>83301</v>
      </c>
      <c r="I18028" t="s">
        <v>30</v>
      </c>
      <c r="J18028" t="s">
        <v>31</v>
      </c>
      <c r="K18028" t="s">
        <v>32</v>
      </c>
      <c r="N18028" t="s">
        <v>65640</v>
      </c>
      <c r="O18028" t="s">
        <v>65641</v>
      </c>
      <c r="Q18028">
        <v>0</v>
      </c>
      <c r="R18028">
        <v>92</v>
      </c>
      <c r="S18028">
        <v>0</v>
      </c>
      <c r="T18028" t="s">
        <v>65642</v>
      </c>
    </row>
    <row r="18029" spans="1:20" customFormat="1" ht="15" x14ac:dyDescent="0.25">
      <c r="A18029" t="s">
        <v>24</v>
      </c>
      <c r="B18029" t="s">
        <v>649</v>
      </c>
      <c r="C18029" t="str">
        <f>"A0095132"</f>
        <v>A0095132</v>
      </c>
      <c r="D18029" t="s">
        <v>65643</v>
      </c>
      <c r="E18029" t="s">
        <v>65644</v>
      </c>
      <c r="F18029" t="s">
        <v>65645</v>
      </c>
      <c r="G18029" t="s">
        <v>615</v>
      </c>
      <c r="H18029">
        <v>6382</v>
      </c>
      <c r="I18029" t="s">
        <v>30</v>
      </c>
      <c r="J18029" t="s">
        <v>31</v>
      </c>
      <c r="K18029" t="s">
        <v>32</v>
      </c>
      <c r="N18029" t="s">
        <v>65646</v>
      </c>
      <c r="Q18029">
        <v>0</v>
      </c>
      <c r="R18029">
        <v>105</v>
      </c>
      <c r="S18029">
        <v>0</v>
      </c>
      <c r="T18029" t="s">
        <v>65647</v>
      </c>
    </row>
    <row r="18030" spans="1:20" customFormat="1" ht="15" x14ac:dyDescent="0.25">
      <c r="A18030" t="s">
        <v>24</v>
      </c>
      <c r="B18030" t="s">
        <v>33306</v>
      </c>
      <c r="C18030" t="str">
        <f>"A0088821"</f>
        <v>A0088821</v>
      </c>
      <c r="D18030" t="s">
        <v>65648</v>
      </c>
      <c r="E18030" t="s">
        <v>65649</v>
      </c>
      <c r="F18030" t="s">
        <v>33309</v>
      </c>
      <c r="G18030" t="s">
        <v>81</v>
      </c>
      <c r="H18030">
        <v>34292</v>
      </c>
      <c r="I18030" t="s">
        <v>30</v>
      </c>
      <c r="J18030" t="s">
        <v>31</v>
      </c>
      <c r="K18030" t="s">
        <v>32</v>
      </c>
      <c r="N18030" t="s">
        <v>65650</v>
      </c>
      <c r="Q18030">
        <v>0</v>
      </c>
      <c r="R18030">
        <v>103</v>
      </c>
      <c r="S18030">
        <v>0</v>
      </c>
      <c r="T18030" t="s">
        <v>65651</v>
      </c>
    </row>
    <row r="18031" spans="1:20" customFormat="1" ht="15" hidden="1" x14ac:dyDescent="0.25">
      <c r="A18031" t="s">
        <v>24</v>
      </c>
      <c r="B18031" t="s">
        <v>675</v>
      </c>
      <c r="C18031" t="str">
        <f>"A0095966"</f>
        <v>A0095966</v>
      </c>
      <c r="D18031" t="s">
        <v>65652</v>
      </c>
      <c r="E18031" t="s">
        <v>65653</v>
      </c>
      <c r="F18031" t="s">
        <v>62114</v>
      </c>
      <c r="G18031" t="s">
        <v>62115</v>
      </c>
      <c r="H18031">
        <v>86029</v>
      </c>
      <c r="I18031" t="s">
        <v>2408</v>
      </c>
      <c r="J18031" t="s">
        <v>31</v>
      </c>
      <c r="K18031" t="s">
        <v>32</v>
      </c>
      <c r="N18031" t="s">
        <v>54484</v>
      </c>
      <c r="Q18031">
        <v>0</v>
      </c>
      <c r="R18031">
        <v>134</v>
      </c>
      <c r="S18031">
        <v>0</v>
      </c>
      <c r="T18031" t="s">
        <v>65654</v>
      </c>
    </row>
    <row r="18032" spans="1:20" customFormat="1" ht="15" x14ac:dyDescent="0.25">
      <c r="A18032" t="s">
        <v>24</v>
      </c>
      <c r="B18032" t="s">
        <v>56748</v>
      </c>
      <c r="C18032" t="str">
        <f>"A0151746"</f>
        <v>A0151746</v>
      </c>
      <c r="D18032" t="s">
        <v>65655</v>
      </c>
      <c r="E18032" t="s">
        <v>65656</v>
      </c>
      <c r="F18032" t="s">
        <v>16267</v>
      </c>
      <c r="G18032" t="s">
        <v>29</v>
      </c>
      <c r="H18032">
        <v>23455</v>
      </c>
      <c r="I18032" t="s">
        <v>30</v>
      </c>
      <c r="J18032" t="s">
        <v>31</v>
      </c>
      <c r="K18032" t="s">
        <v>32</v>
      </c>
      <c r="N18032" t="s">
        <v>65657</v>
      </c>
      <c r="Q18032">
        <v>0</v>
      </c>
      <c r="R18032">
        <v>105</v>
      </c>
      <c r="S18032">
        <v>0</v>
      </c>
      <c r="T18032" t="s">
        <v>65658</v>
      </c>
    </row>
    <row r="18033" spans="1:20" customFormat="1" ht="15" x14ac:dyDescent="0.25">
      <c r="A18033" t="s">
        <v>24</v>
      </c>
      <c r="B18033" t="s">
        <v>5357</v>
      </c>
      <c r="C18033" t="str">
        <f>"A0091031"</f>
        <v>A0091031</v>
      </c>
      <c r="D18033" t="s">
        <v>65659</v>
      </c>
      <c r="E18033" t="s">
        <v>65660</v>
      </c>
      <c r="F18033" t="s">
        <v>65661</v>
      </c>
      <c r="G18033" t="s">
        <v>110</v>
      </c>
      <c r="H18033">
        <v>93274</v>
      </c>
      <c r="I18033" t="s">
        <v>30</v>
      </c>
      <c r="J18033" t="s">
        <v>31</v>
      </c>
      <c r="K18033" t="s">
        <v>32</v>
      </c>
      <c r="N18033" t="s">
        <v>65662</v>
      </c>
      <c r="O18033" t="s">
        <v>65663</v>
      </c>
      <c r="Q18033">
        <v>0</v>
      </c>
      <c r="R18033">
        <v>79</v>
      </c>
      <c r="S18033">
        <v>0</v>
      </c>
      <c r="T18033" t="s">
        <v>65664</v>
      </c>
    </row>
    <row r="18034" spans="1:20" customFormat="1" ht="15" x14ac:dyDescent="0.25">
      <c r="A18034" t="s">
        <v>24</v>
      </c>
      <c r="B18034" t="s">
        <v>7427</v>
      </c>
      <c r="C18034" t="str">
        <f>"A0063918"</f>
        <v>A0063918</v>
      </c>
      <c r="D18034" t="s">
        <v>65665</v>
      </c>
      <c r="E18034" t="s">
        <v>65666</v>
      </c>
      <c r="F18034" t="s">
        <v>6430</v>
      </c>
      <c r="G18034" t="s">
        <v>52</v>
      </c>
      <c r="H18034">
        <v>76705</v>
      </c>
      <c r="I18034" t="s">
        <v>30</v>
      </c>
      <c r="J18034" t="s">
        <v>31</v>
      </c>
      <c r="K18034" t="s">
        <v>32</v>
      </c>
      <c r="N18034" t="s">
        <v>65667</v>
      </c>
      <c r="O18034" t="s">
        <v>65668</v>
      </c>
      <c r="Q18034">
        <v>0</v>
      </c>
      <c r="R18034">
        <v>109</v>
      </c>
      <c r="S18034">
        <v>0</v>
      </c>
      <c r="T18034" t="s">
        <v>65669</v>
      </c>
    </row>
    <row r="18035" spans="1:20" customFormat="1" ht="15" x14ac:dyDescent="0.25">
      <c r="A18035" t="s">
        <v>24</v>
      </c>
      <c r="B18035" t="s">
        <v>5564</v>
      </c>
      <c r="C18035" t="str">
        <f>"A0077325"</f>
        <v>A0077325</v>
      </c>
      <c r="D18035" t="s">
        <v>65670</v>
      </c>
      <c r="E18035" t="s">
        <v>65671</v>
      </c>
      <c r="F18035" t="s">
        <v>13167</v>
      </c>
      <c r="G18035" t="s">
        <v>846</v>
      </c>
      <c r="H18035">
        <v>31088</v>
      </c>
      <c r="I18035" t="s">
        <v>30</v>
      </c>
      <c r="J18035" t="s">
        <v>31</v>
      </c>
      <c r="K18035" t="s">
        <v>32</v>
      </c>
      <c r="N18035" t="s">
        <v>62125</v>
      </c>
      <c r="Q18035">
        <v>0</v>
      </c>
      <c r="R18035">
        <v>50</v>
      </c>
      <c r="S18035">
        <v>0</v>
      </c>
      <c r="T18035" t="s">
        <v>65672</v>
      </c>
    </row>
    <row r="18036" spans="1:20" customFormat="1" ht="15" x14ac:dyDescent="0.25">
      <c r="A18036" t="s">
        <v>24</v>
      </c>
      <c r="B18036" t="s">
        <v>8742</v>
      </c>
      <c r="C18036" t="str">
        <f>"A0154119"</f>
        <v>A0154119</v>
      </c>
      <c r="D18036" t="s">
        <v>65673</v>
      </c>
      <c r="E18036" t="s">
        <v>65674</v>
      </c>
      <c r="F18036" t="s">
        <v>65675</v>
      </c>
      <c r="G18036" t="s">
        <v>381</v>
      </c>
      <c r="H18036">
        <v>46582</v>
      </c>
      <c r="I18036" t="s">
        <v>30</v>
      </c>
      <c r="J18036" t="s">
        <v>31</v>
      </c>
      <c r="K18036" t="s">
        <v>32</v>
      </c>
      <c r="N18036" t="s">
        <v>65676</v>
      </c>
      <c r="Q18036">
        <v>0</v>
      </c>
      <c r="R18036">
        <v>84</v>
      </c>
      <c r="S18036">
        <v>0</v>
      </c>
      <c r="T18036" t="s">
        <v>65677</v>
      </c>
    </row>
    <row r="18037" spans="1:20" customFormat="1" ht="15" x14ac:dyDescent="0.25">
      <c r="A18037" t="s">
        <v>24</v>
      </c>
      <c r="B18037" t="s">
        <v>5435</v>
      </c>
      <c r="C18037" t="str">
        <f>"A0089918"</f>
        <v>A0089918</v>
      </c>
      <c r="D18037" t="s">
        <v>65678</v>
      </c>
      <c r="E18037" t="s">
        <v>65679</v>
      </c>
      <c r="F18037" t="s">
        <v>313</v>
      </c>
      <c r="G18037" t="s">
        <v>314</v>
      </c>
      <c r="H18037">
        <v>20001</v>
      </c>
      <c r="I18037" t="s">
        <v>30</v>
      </c>
      <c r="J18037" t="s">
        <v>31</v>
      </c>
      <c r="K18037" t="s">
        <v>32</v>
      </c>
      <c r="N18037" t="s">
        <v>65680</v>
      </c>
      <c r="Q18037">
        <v>0</v>
      </c>
      <c r="R18037">
        <v>198</v>
      </c>
      <c r="S18037">
        <v>0</v>
      </c>
      <c r="T18037" t="s">
        <v>65681</v>
      </c>
    </row>
    <row r="18038" spans="1:20" customFormat="1" ht="15" x14ac:dyDescent="0.25">
      <c r="A18038" t="s">
        <v>24</v>
      </c>
      <c r="B18038" t="s">
        <v>59031</v>
      </c>
      <c r="C18038" t="str">
        <f>"A0094743"</f>
        <v>A0094743</v>
      </c>
      <c r="D18038" t="s">
        <v>65682</v>
      </c>
      <c r="E18038" t="s">
        <v>65683</v>
      </c>
      <c r="F18038" t="s">
        <v>65684</v>
      </c>
      <c r="G18038" t="s">
        <v>2391</v>
      </c>
      <c r="H18038">
        <v>5676</v>
      </c>
      <c r="I18038" t="s">
        <v>30</v>
      </c>
      <c r="J18038" t="s">
        <v>31</v>
      </c>
      <c r="K18038" t="s">
        <v>32</v>
      </c>
      <c r="N18038" t="s">
        <v>65685</v>
      </c>
      <c r="Q18038">
        <v>0</v>
      </c>
      <c r="R18038">
        <v>84</v>
      </c>
      <c r="S18038">
        <v>0</v>
      </c>
      <c r="T18038" t="s">
        <v>65686</v>
      </c>
    </row>
    <row r="18039" spans="1:20" customFormat="1" ht="15" x14ac:dyDescent="0.25">
      <c r="A18039" t="s">
        <v>24</v>
      </c>
      <c r="B18039" t="s">
        <v>5429</v>
      </c>
      <c r="C18039" t="str">
        <f>"A0096536"</f>
        <v>A0096536</v>
      </c>
      <c r="D18039" t="s">
        <v>65687</v>
      </c>
      <c r="E18039" t="s">
        <v>65688</v>
      </c>
      <c r="F18039" t="s">
        <v>65689</v>
      </c>
      <c r="G18039" t="s">
        <v>52</v>
      </c>
      <c r="H18039">
        <v>75165</v>
      </c>
      <c r="I18039" t="s">
        <v>30</v>
      </c>
      <c r="J18039" t="s">
        <v>31</v>
      </c>
      <c r="K18039" t="s">
        <v>32</v>
      </c>
      <c r="N18039" t="s">
        <v>65690</v>
      </c>
      <c r="Q18039">
        <v>0</v>
      </c>
      <c r="R18039">
        <v>78</v>
      </c>
      <c r="S18039">
        <v>0</v>
      </c>
      <c r="T18039" t="s">
        <v>65691</v>
      </c>
    </row>
    <row r="18040" spans="1:20" customFormat="1" ht="15" x14ac:dyDescent="0.25">
      <c r="A18040" t="s">
        <v>24</v>
      </c>
      <c r="B18040" t="s">
        <v>1020</v>
      </c>
      <c r="C18040" t="str">
        <f>"A0087492"</f>
        <v>A0087492</v>
      </c>
      <c r="D18040" t="s">
        <v>65692</v>
      </c>
      <c r="E18040" t="s">
        <v>65693</v>
      </c>
      <c r="F18040" t="s">
        <v>65694</v>
      </c>
      <c r="G18040" t="s">
        <v>52</v>
      </c>
      <c r="H18040">
        <v>76087</v>
      </c>
      <c r="I18040" t="s">
        <v>30</v>
      </c>
      <c r="J18040" t="s">
        <v>31</v>
      </c>
      <c r="K18040" t="s">
        <v>32</v>
      </c>
      <c r="N18040" t="s">
        <v>65695</v>
      </c>
      <c r="O18040" t="s">
        <v>65696</v>
      </c>
      <c r="Q18040">
        <v>0</v>
      </c>
      <c r="R18040">
        <v>86</v>
      </c>
      <c r="S18040">
        <v>0</v>
      </c>
      <c r="T18040" t="s">
        <v>65697</v>
      </c>
    </row>
    <row r="18041" spans="1:20" customFormat="1" ht="15" x14ac:dyDescent="0.25">
      <c r="A18041" t="s">
        <v>24</v>
      </c>
      <c r="B18041" t="s">
        <v>675</v>
      </c>
      <c r="C18041" t="str">
        <f>"A0145401"</f>
        <v>A0145401</v>
      </c>
      <c r="D18041" t="s">
        <v>65698</v>
      </c>
      <c r="E18041" t="s">
        <v>65699</v>
      </c>
      <c r="F18041" t="s">
        <v>65700</v>
      </c>
      <c r="G18041" t="s">
        <v>81</v>
      </c>
      <c r="H18041">
        <v>33414</v>
      </c>
      <c r="I18041" t="s">
        <v>30</v>
      </c>
      <c r="J18041" t="s">
        <v>31</v>
      </c>
      <c r="K18041" t="s">
        <v>32</v>
      </c>
      <c r="N18041" t="s">
        <v>65701</v>
      </c>
      <c r="Q18041">
        <v>0</v>
      </c>
      <c r="R18041">
        <v>109</v>
      </c>
      <c r="S18041">
        <v>0</v>
      </c>
      <c r="T18041" t="s">
        <v>65702</v>
      </c>
    </row>
    <row r="18042" spans="1:20" customFormat="1" ht="15" x14ac:dyDescent="0.25">
      <c r="A18042" t="s">
        <v>24</v>
      </c>
      <c r="B18042" t="s">
        <v>59423</v>
      </c>
      <c r="C18042" t="str">
        <f>"A0100072"</f>
        <v>A0100072</v>
      </c>
      <c r="D18042" t="s">
        <v>65703</v>
      </c>
      <c r="E18042" t="s">
        <v>65704</v>
      </c>
      <c r="F18042" t="s">
        <v>1871</v>
      </c>
      <c r="G18042" t="s">
        <v>925</v>
      </c>
      <c r="H18042">
        <v>67207</v>
      </c>
      <c r="I18042" t="s">
        <v>30</v>
      </c>
      <c r="J18042" t="s">
        <v>31</v>
      </c>
      <c r="K18042" t="s">
        <v>32</v>
      </c>
      <c r="N18042" t="s">
        <v>59426</v>
      </c>
      <c r="Q18042">
        <v>0</v>
      </c>
      <c r="R18042">
        <v>113</v>
      </c>
      <c r="S18042">
        <v>0</v>
      </c>
      <c r="T18042" t="s">
        <v>65705</v>
      </c>
    </row>
    <row r="18043" spans="1:20" customFormat="1" ht="15" x14ac:dyDescent="0.25">
      <c r="A18043" t="s">
        <v>24</v>
      </c>
      <c r="B18043" t="s">
        <v>6515</v>
      </c>
      <c r="C18043" t="str">
        <f>"A0087640"</f>
        <v>A0087640</v>
      </c>
      <c r="D18043" t="s">
        <v>65706</v>
      </c>
      <c r="E18043" t="s">
        <v>65707</v>
      </c>
      <c r="F18043" t="s">
        <v>65708</v>
      </c>
      <c r="G18043" t="s">
        <v>103</v>
      </c>
      <c r="H18043">
        <v>18702</v>
      </c>
      <c r="I18043" t="s">
        <v>30</v>
      </c>
      <c r="J18043" t="s">
        <v>31</v>
      </c>
      <c r="K18043" t="s">
        <v>32</v>
      </c>
      <c r="N18043" t="s">
        <v>65709</v>
      </c>
      <c r="Q18043">
        <v>0</v>
      </c>
      <c r="R18043">
        <v>110</v>
      </c>
      <c r="S18043">
        <v>0</v>
      </c>
      <c r="T18043" t="s">
        <v>65710</v>
      </c>
    </row>
    <row r="18044" spans="1:20" customFormat="1" ht="15" x14ac:dyDescent="0.25">
      <c r="A18044" t="s">
        <v>24</v>
      </c>
      <c r="B18044" t="s">
        <v>2955</v>
      </c>
      <c r="C18044" t="str">
        <f>"A0055222"</f>
        <v>A0055222</v>
      </c>
      <c r="D18044" t="s">
        <v>65711</v>
      </c>
      <c r="E18044" t="s">
        <v>65712</v>
      </c>
      <c r="F18044" t="s">
        <v>1201</v>
      </c>
      <c r="G18044" t="s">
        <v>214</v>
      </c>
      <c r="H18044">
        <v>28403</v>
      </c>
      <c r="I18044" t="s">
        <v>30</v>
      </c>
      <c r="J18044" t="s">
        <v>31</v>
      </c>
      <c r="K18044" t="s">
        <v>32</v>
      </c>
      <c r="N18044" t="s">
        <v>65713</v>
      </c>
      <c r="Q18044">
        <v>0</v>
      </c>
      <c r="R18044">
        <v>125</v>
      </c>
      <c r="S18044">
        <v>0</v>
      </c>
      <c r="T18044" t="s">
        <v>65714</v>
      </c>
    </row>
    <row r="18045" spans="1:20" customFormat="1" ht="15" x14ac:dyDescent="0.25">
      <c r="A18045" t="s">
        <v>24</v>
      </c>
      <c r="B18045" t="s">
        <v>10097</v>
      </c>
      <c r="C18045" t="str">
        <f>"A0092337"</f>
        <v>A0092337</v>
      </c>
      <c r="D18045" t="s">
        <v>65715</v>
      </c>
      <c r="E18045" t="s">
        <v>65716</v>
      </c>
      <c r="F18045" t="s">
        <v>65717</v>
      </c>
      <c r="G18045" t="s">
        <v>214</v>
      </c>
      <c r="H18045">
        <v>27101</v>
      </c>
      <c r="I18045" t="s">
        <v>30</v>
      </c>
      <c r="J18045" t="s">
        <v>31</v>
      </c>
      <c r="K18045" t="s">
        <v>32</v>
      </c>
      <c r="N18045" t="s">
        <v>65718</v>
      </c>
      <c r="Q18045">
        <v>0</v>
      </c>
      <c r="R18045">
        <v>112</v>
      </c>
      <c r="S18045">
        <v>0</v>
      </c>
      <c r="T18045" t="s">
        <v>65719</v>
      </c>
    </row>
    <row r="18046" spans="1:20" customFormat="1" ht="15" x14ac:dyDescent="0.25">
      <c r="A18046" t="s">
        <v>24</v>
      </c>
      <c r="B18046" t="s">
        <v>9412</v>
      </c>
      <c r="C18046" t="str">
        <f>"A0097856"</f>
        <v>A0097856</v>
      </c>
      <c r="D18046" t="s">
        <v>65720</v>
      </c>
      <c r="E18046" t="s">
        <v>65721</v>
      </c>
      <c r="F18046" t="s">
        <v>65722</v>
      </c>
      <c r="G18046" t="s">
        <v>71</v>
      </c>
      <c r="H18046">
        <v>53965</v>
      </c>
      <c r="I18046" t="s">
        <v>30</v>
      </c>
      <c r="J18046" t="s">
        <v>31</v>
      </c>
      <c r="K18046" t="s">
        <v>32</v>
      </c>
      <c r="N18046" t="s">
        <v>65723</v>
      </c>
      <c r="O18046" t="s">
        <v>65724</v>
      </c>
      <c r="Q18046">
        <v>0</v>
      </c>
      <c r="R18046">
        <v>105</v>
      </c>
      <c r="S18046">
        <v>0</v>
      </c>
      <c r="T18046" t="s">
        <v>65725</v>
      </c>
    </row>
    <row r="18047" spans="1:20" customFormat="1" ht="15" x14ac:dyDescent="0.25">
      <c r="A18047" t="s">
        <v>24</v>
      </c>
      <c r="B18047" t="s">
        <v>59233</v>
      </c>
      <c r="C18047" t="str">
        <f>"A0065507"</f>
        <v>A0065507</v>
      </c>
      <c r="D18047" t="s">
        <v>65726</v>
      </c>
      <c r="E18047" t="s">
        <v>65727</v>
      </c>
      <c r="F18047" t="s">
        <v>59236</v>
      </c>
      <c r="G18047" t="s">
        <v>338</v>
      </c>
      <c r="H18047">
        <v>7001</v>
      </c>
      <c r="I18047" t="s">
        <v>30</v>
      </c>
      <c r="J18047" t="s">
        <v>31</v>
      </c>
      <c r="K18047" t="s">
        <v>32</v>
      </c>
      <c r="N18047" t="s">
        <v>65728</v>
      </c>
      <c r="Q18047">
        <v>0</v>
      </c>
      <c r="R18047">
        <v>90</v>
      </c>
      <c r="S18047">
        <v>0</v>
      </c>
      <c r="T18047" t="s">
        <v>65729</v>
      </c>
    </row>
    <row r="18048" spans="1:20" customFormat="1" ht="15" x14ac:dyDescent="0.25">
      <c r="A18048" t="s">
        <v>24</v>
      </c>
      <c r="B18048" t="s">
        <v>65730</v>
      </c>
      <c r="C18048" t="str">
        <f>"A0067542"</f>
        <v>A0067542</v>
      </c>
      <c r="D18048" t="s">
        <v>65731</v>
      </c>
      <c r="E18048" t="s">
        <v>65732</v>
      </c>
      <c r="F18048" t="s">
        <v>57102</v>
      </c>
      <c r="G18048" t="s">
        <v>76</v>
      </c>
      <c r="H18048">
        <v>98901</v>
      </c>
      <c r="I18048" t="s">
        <v>30</v>
      </c>
      <c r="J18048" t="s">
        <v>31</v>
      </c>
      <c r="K18048" t="s">
        <v>32</v>
      </c>
      <c r="N18048" t="s">
        <v>65733</v>
      </c>
      <c r="Q18048">
        <v>0</v>
      </c>
      <c r="R18048">
        <v>88</v>
      </c>
      <c r="S18048">
        <v>0</v>
      </c>
      <c r="T18048" t="s">
        <v>65734</v>
      </c>
    </row>
    <row r="18049" spans="1:20" customFormat="1" ht="15" x14ac:dyDescent="0.25">
      <c r="A18049" t="s">
        <v>24</v>
      </c>
      <c r="B18049" t="s">
        <v>675</v>
      </c>
      <c r="C18049" t="str">
        <f>"582K4"</f>
        <v>582K4</v>
      </c>
      <c r="D18049" t="s">
        <v>65735</v>
      </c>
      <c r="E18049" t="s">
        <v>65736</v>
      </c>
      <c r="F18049" t="s">
        <v>5651</v>
      </c>
      <c r="G18049" t="s">
        <v>110</v>
      </c>
      <c r="H18049">
        <v>92802</v>
      </c>
      <c r="I18049" t="s">
        <v>30</v>
      </c>
      <c r="J18049" t="s">
        <v>31</v>
      </c>
      <c r="K18049" t="s">
        <v>32</v>
      </c>
      <c r="N18049" t="s">
        <v>65634</v>
      </c>
      <c r="Q18049">
        <v>0</v>
      </c>
      <c r="R18049">
        <v>467</v>
      </c>
      <c r="S18049">
        <v>0</v>
      </c>
      <c r="T18049" t="s">
        <v>65737</v>
      </c>
    </row>
    <row r="18050" spans="1:20" customFormat="1" ht="15" x14ac:dyDescent="0.25">
      <c r="A18050" t="s">
        <v>24</v>
      </c>
      <c r="B18050" t="s">
        <v>2387</v>
      </c>
      <c r="C18050" t="str">
        <f>"A0093758"</f>
        <v>A0093758</v>
      </c>
      <c r="D18050" t="s">
        <v>65738</v>
      </c>
      <c r="E18050" t="s">
        <v>65739</v>
      </c>
      <c r="F18050" t="s">
        <v>57308</v>
      </c>
      <c r="G18050" t="s">
        <v>899</v>
      </c>
      <c r="H18050">
        <v>2141</v>
      </c>
      <c r="I18050" t="s">
        <v>30</v>
      </c>
      <c r="J18050" t="s">
        <v>31</v>
      </c>
      <c r="K18050" t="s">
        <v>32</v>
      </c>
      <c r="N18050" t="s">
        <v>55437</v>
      </c>
      <c r="Q18050">
        <v>0</v>
      </c>
      <c r="R18050">
        <v>123</v>
      </c>
      <c r="S18050">
        <v>0</v>
      </c>
      <c r="T18050" t="s">
        <v>65740</v>
      </c>
    </row>
    <row r="18051" spans="1:20" customFormat="1" ht="15" x14ac:dyDescent="0.25">
      <c r="A18051" t="s">
        <v>24</v>
      </c>
      <c r="B18051" t="s">
        <v>1098</v>
      </c>
      <c r="C18051" t="str">
        <f>"A0093927"</f>
        <v>A0093927</v>
      </c>
      <c r="D18051" t="s">
        <v>65741</v>
      </c>
      <c r="E18051" t="s">
        <v>65742</v>
      </c>
      <c r="F18051" t="s">
        <v>55765</v>
      </c>
      <c r="G18051" t="s">
        <v>81</v>
      </c>
      <c r="H18051">
        <v>33444</v>
      </c>
      <c r="I18051" t="s">
        <v>30</v>
      </c>
      <c r="J18051" t="s">
        <v>31</v>
      </c>
      <c r="K18051" t="s">
        <v>32</v>
      </c>
      <c r="N18051" t="s">
        <v>65743</v>
      </c>
      <c r="Q18051">
        <v>0</v>
      </c>
      <c r="R18051">
        <v>95</v>
      </c>
      <c r="S18051">
        <v>0</v>
      </c>
      <c r="T18051" t="s">
        <v>65744</v>
      </c>
    </row>
    <row r="18052" spans="1:20" customFormat="1" ht="15" x14ac:dyDescent="0.25">
      <c r="A18052" t="s">
        <v>24</v>
      </c>
      <c r="B18052" t="s">
        <v>3159</v>
      </c>
      <c r="C18052" t="str">
        <f>"A0093883"</f>
        <v>A0093883</v>
      </c>
      <c r="D18052" t="s">
        <v>65745</v>
      </c>
      <c r="E18052" t="s">
        <v>65746</v>
      </c>
      <c r="F18052" t="s">
        <v>3540</v>
      </c>
      <c r="G18052" t="s">
        <v>214</v>
      </c>
      <c r="H18052">
        <v>28311</v>
      </c>
      <c r="I18052" t="s">
        <v>30</v>
      </c>
      <c r="J18052" t="s">
        <v>31</v>
      </c>
      <c r="K18052" t="s">
        <v>32</v>
      </c>
      <c r="N18052" t="s">
        <v>65747</v>
      </c>
      <c r="Q18052">
        <v>0</v>
      </c>
      <c r="R18052">
        <v>115</v>
      </c>
      <c r="S18052">
        <v>0</v>
      </c>
      <c r="T18052" t="s">
        <v>65748</v>
      </c>
    </row>
    <row r="18053" spans="1:20" customFormat="1" ht="15" x14ac:dyDescent="0.25">
      <c r="A18053" t="s">
        <v>24</v>
      </c>
      <c r="B18053" t="s">
        <v>8742</v>
      </c>
      <c r="C18053" t="str">
        <f>"A0093963"</f>
        <v>A0093963</v>
      </c>
      <c r="D18053" t="s">
        <v>65749</v>
      </c>
      <c r="E18053" t="s">
        <v>65750</v>
      </c>
      <c r="F18053" t="s">
        <v>2183</v>
      </c>
      <c r="G18053" t="s">
        <v>1369</v>
      </c>
      <c r="H18053">
        <v>39301</v>
      </c>
      <c r="I18053" t="s">
        <v>30</v>
      </c>
      <c r="J18053" t="s">
        <v>31</v>
      </c>
      <c r="K18053" t="s">
        <v>32</v>
      </c>
      <c r="N18053" t="s">
        <v>65751</v>
      </c>
      <c r="O18053" t="s">
        <v>65752</v>
      </c>
      <c r="Q18053">
        <v>0</v>
      </c>
      <c r="R18053">
        <v>87</v>
      </c>
      <c r="S18053">
        <v>0</v>
      </c>
      <c r="T18053" t="s">
        <v>65753</v>
      </c>
    </row>
    <row r="18054" spans="1:20" customFormat="1" ht="15" x14ac:dyDescent="0.25">
      <c r="A18054" t="s">
        <v>24</v>
      </c>
      <c r="B18054" t="s">
        <v>9391</v>
      </c>
      <c r="C18054" t="str">
        <f>"A0093461"</f>
        <v>A0093461</v>
      </c>
      <c r="D18054" t="s">
        <v>65754</v>
      </c>
      <c r="E18054" t="s">
        <v>65755</v>
      </c>
      <c r="F18054" t="s">
        <v>2971</v>
      </c>
      <c r="G18054" t="s">
        <v>880</v>
      </c>
      <c r="H18054">
        <v>37203</v>
      </c>
      <c r="I18054" t="s">
        <v>30</v>
      </c>
      <c r="J18054" t="s">
        <v>31</v>
      </c>
      <c r="K18054" t="s">
        <v>32</v>
      </c>
      <c r="N18054" t="s">
        <v>65756</v>
      </c>
      <c r="O18054" t="s">
        <v>65757</v>
      </c>
      <c r="Q18054">
        <v>0</v>
      </c>
      <c r="R18054">
        <v>126</v>
      </c>
      <c r="S18054">
        <v>0</v>
      </c>
      <c r="T18054" t="s">
        <v>65758</v>
      </c>
    </row>
    <row r="18055" spans="1:20" customFormat="1" ht="15" x14ac:dyDescent="0.25">
      <c r="A18055" t="s">
        <v>24</v>
      </c>
      <c r="B18055" t="s">
        <v>5079</v>
      </c>
      <c r="C18055" t="str">
        <f>"432MD"</f>
        <v>432MD</v>
      </c>
      <c r="D18055" t="s">
        <v>65759</v>
      </c>
      <c r="E18055" t="s">
        <v>65760</v>
      </c>
      <c r="F18055" t="s">
        <v>65761</v>
      </c>
      <c r="G18055" t="s">
        <v>99</v>
      </c>
      <c r="H18055">
        <v>14580</v>
      </c>
      <c r="I18055" t="s">
        <v>30</v>
      </c>
      <c r="J18055" t="s">
        <v>31</v>
      </c>
      <c r="K18055" t="s">
        <v>32</v>
      </c>
      <c r="N18055" t="s">
        <v>3486</v>
      </c>
      <c r="O18055" t="s">
        <v>65762</v>
      </c>
      <c r="Q18055">
        <v>0</v>
      </c>
      <c r="R18055">
        <v>63</v>
      </c>
      <c r="S18055">
        <v>0</v>
      </c>
      <c r="T18055" t="s">
        <v>65763</v>
      </c>
    </row>
    <row r="18056" spans="1:20" customFormat="1" ht="15" x14ac:dyDescent="0.25">
      <c r="A18056" t="s">
        <v>24</v>
      </c>
      <c r="B18056" t="s">
        <v>1098</v>
      </c>
      <c r="C18056" t="str">
        <f>"A0091846"</f>
        <v>A0091846</v>
      </c>
      <c r="D18056" t="s">
        <v>65764</v>
      </c>
      <c r="E18056" t="s">
        <v>65765</v>
      </c>
      <c r="F18056" t="s">
        <v>65766</v>
      </c>
      <c r="G18056" t="s">
        <v>103</v>
      </c>
      <c r="H18056">
        <v>18848</v>
      </c>
      <c r="I18056" t="s">
        <v>30</v>
      </c>
      <c r="J18056" t="s">
        <v>31</v>
      </c>
      <c r="K18056" t="s">
        <v>32</v>
      </c>
      <c r="N18056" t="s">
        <v>65767</v>
      </c>
      <c r="O18056" t="s">
        <v>65768</v>
      </c>
      <c r="Q18056">
        <v>0</v>
      </c>
      <c r="R18056">
        <v>87</v>
      </c>
      <c r="S18056">
        <v>0</v>
      </c>
      <c r="T18056" t="s">
        <v>65769</v>
      </c>
    </row>
    <row r="18057" spans="1:20" customFormat="1" ht="15" x14ac:dyDescent="0.25">
      <c r="A18057" t="s">
        <v>24</v>
      </c>
      <c r="B18057" t="s">
        <v>65770</v>
      </c>
      <c r="C18057" t="str">
        <f>"432V2"</f>
        <v>432V2</v>
      </c>
      <c r="D18057" t="s">
        <v>65771</v>
      </c>
      <c r="E18057" t="s">
        <v>65772</v>
      </c>
      <c r="F18057" t="s">
        <v>6840</v>
      </c>
      <c r="G18057" t="s">
        <v>117</v>
      </c>
      <c r="H18057">
        <v>48108</v>
      </c>
      <c r="I18057" t="s">
        <v>30</v>
      </c>
      <c r="J18057" t="s">
        <v>31</v>
      </c>
      <c r="K18057" t="s">
        <v>32</v>
      </c>
      <c r="N18057" t="s">
        <v>65773</v>
      </c>
      <c r="O18057" t="s">
        <v>65774</v>
      </c>
      <c r="Q18057">
        <v>0</v>
      </c>
      <c r="R18057">
        <v>109</v>
      </c>
      <c r="S18057">
        <v>0</v>
      </c>
      <c r="T18057" t="s">
        <v>65775</v>
      </c>
    </row>
    <row r="18058" spans="1:20" customFormat="1" ht="15" x14ac:dyDescent="0.25">
      <c r="A18058" t="s">
        <v>24</v>
      </c>
      <c r="B18058" t="s">
        <v>59423</v>
      </c>
      <c r="C18058" t="str">
        <f>"432P8"</f>
        <v>432P8</v>
      </c>
      <c r="D18058" t="s">
        <v>65776</v>
      </c>
      <c r="E18058" t="s">
        <v>65777</v>
      </c>
      <c r="F18058" t="s">
        <v>1131</v>
      </c>
      <c r="G18058" t="s">
        <v>52</v>
      </c>
      <c r="H18058">
        <v>76006</v>
      </c>
      <c r="I18058" t="s">
        <v>30</v>
      </c>
      <c r="J18058" t="s">
        <v>31</v>
      </c>
      <c r="K18058" t="s">
        <v>32</v>
      </c>
      <c r="N18058" t="s">
        <v>65778</v>
      </c>
      <c r="Q18058">
        <v>0</v>
      </c>
      <c r="R18058">
        <v>109</v>
      </c>
      <c r="S18058">
        <v>0</v>
      </c>
      <c r="T18058" t="s">
        <v>65779</v>
      </c>
    </row>
    <row r="18059" spans="1:20" customFormat="1" ht="15" x14ac:dyDescent="0.25">
      <c r="A18059" t="s">
        <v>24</v>
      </c>
      <c r="B18059" t="s">
        <v>2528</v>
      </c>
      <c r="C18059" t="str">
        <f>"A0089260"</f>
        <v>A0089260</v>
      </c>
      <c r="D18059" t="s">
        <v>65780</v>
      </c>
      <c r="E18059" t="s">
        <v>65781</v>
      </c>
      <c r="F18059" t="s">
        <v>372</v>
      </c>
      <c r="G18059" t="s">
        <v>52</v>
      </c>
      <c r="H18059">
        <v>78750</v>
      </c>
      <c r="I18059" t="s">
        <v>30</v>
      </c>
      <c r="J18059" t="s">
        <v>31</v>
      </c>
      <c r="K18059" t="s">
        <v>32</v>
      </c>
      <c r="N18059" t="s">
        <v>65782</v>
      </c>
      <c r="O18059" t="s">
        <v>3486</v>
      </c>
      <c r="Q18059">
        <v>0</v>
      </c>
      <c r="R18059">
        <v>84</v>
      </c>
      <c r="S18059">
        <v>0</v>
      </c>
      <c r="T18059" t="s">
        <v>65783</v>
      </c>
    </row>
    <row r="18060" spans="1:20" customFormat="1" ht="15" hidden="1" x14ac:dyDescent="0.25">
      <c r="A18060" t="s">
        <v>24</v>
      </c>
      <c r="B18060" t="s">
        <v>2202</v>
      </c>
      <c r="C18060" t="str">
        <f>"A0075936"</f>
        <v>A0075936</v>
      </c>
      <c r="D18060" t="s">
        <v>65784</v>
      </c>
      <c r="E18060" t="s">
        <v>65785</v>
      </c>
      <c r="F18060" t="s">
        <v>58515</v>
      </c>
      <c r="G18060" t="s">
        <v>2206</v>
      </c>
      <c r="H18060" t="s">
        <v>65786</v>
      </c>
      <c r="I18060" t="s">
        <v>1459</v>
      </c>
      <c r="J18060" t="s">
        <v>31</v>
      </c>
      <c r="K18060" t="s">
        <v>32</v>
      </c>
      <c r="N18060" t="s">
        <v>65787</v>
      </c>
      <c r="O18060" t="s">
        <v>65788</v>
      </c>
      <c r="Q18060">
        <v>0</v>
      </c>
      <c r="R18060">
        <v>114</v>
      </c>
      <c r="S18060">
        <v>0</v>
      </c>
      <c r="T18060" t="s">
        <v>65789</v>
      </c>
    </row>
    <row r="18061" spans="1:20" customFormat="1" ht="15" x14ac:dyDescent="0.25">
      <c r="A18061" t="s">
        <v>24</v>
      </c>
      <c r="B18061" t="s">
        <v>1020</v>
      </c>
      <c r="C18061" t="str">
        <f>"432ZL"</f>
        <v>432ZL</v>
      </c>
      <c r="D18061" t="s">
        <v>65790</v>
      </c>
      <c r="E18061" t="s">
        <v>65791</v>
      </c>
      <c r="F18061" t="s">
        <v>54989</v>
      </c>
      <c r="G18061" t="s">
        <v>103</v>
      </c>
      <c r="H18061">
        <v>18018</v>
      </c>
      <c r="I18061" t="s">
        <v>30</v>
      </c>
      <c r="J18061" t="s">
        <v>31</v>
      </c>
      <c r="K18061" t="s">
        <v>32</v>
      </c>
      <c r="N18061" t="s">
        <v>65792</v>
      </c>
      <c r="Q18061">
        <v>0</v>
      </c>
      <c r="R18061">
        <v>103</v>
      </c>
      <c r="S18061">
        <v>0</v>
      </c>
      <c r="T18061" t="s">
        <v>65793</v>
      </c>
    </row>
    <row r="18062" spans="1:20" customFormat="1" ht="15" x14ac:dyDescent="0.25">
      <c r="A18062" t="s">
        <v>24</v>
      </c>
      <c r="B18062" t="s">
        <v>4400</v>
      </c>
      <c r="C18062" t="str">
        <f>"432ZD"</f>
        <v>432ZD</v>
      </c>
      <c r="D18062" t="s">
        <v>65794</v>
      </c>
      <c r="E18062" t="s">
        <v>65795</v>
      </c>
      <c r="F18062" t="s">
        <v>3455</v>
      </c>
      <c r="G18062" t="s">
        <v>381</v>
      </c>
      <c r="H18062">
        <v>47404</v>
      </c>
      <c r="I18062" t="s">
        <v>30</v>
      </c>
      <c r="J18062" t="s">
        <v>31</v>
      </c>
      <c r="K18062" t="s">
        <v>32</v>
      </c>
      <c r="N18062" t="s">
        <v>65796</v>
      </c>
      <c r="O18062" t="s">
        <v>65797</v>
      </c>
      <c r="Q18062">
        <v>0</v>
      </c>
      <c r="R18062">
        <v>105</v>
      </c>
      <c r="S18062">
        <v>0</v>
      </c>
      <c r="T18062" t="s">
        <v>65798</v>
      </c>
    </row>
    <row r="18063" spans="1:20" customFormat="1" ht="15" x14ac:dyDescent="0.25">
      <c r="A18063" t="s">
        <v>24</v>
      </c>
      <c r="B18063" t="s">
        <v>2387</v>
      </c>
      <c r="C18063" t="str">
        <f>"A0088499"</f>
        <v>A0088499</v>
      </c>
      <c r="D18063" t="s">
        <v>65799</v>
      </c>
      <c r="E18063" t="s">
        <v>65800</v>
      </c>
      <c r="F18063" t="s">
        <v>4851</v>
      </c>
      <c r="G18063" t="s">
        <v>899</v>
      </c>
      <c r="H18063">
        <v>1776</v>
      </c>
      <c r="I18063" t="s">
        <v>30</v>
      </c>
      <c r="J18063" t="s">
        <v>31</v>
      </c>
      <c r="K18063" t="s">
        <v>32</v>
      </c>
      <c r="N18063" t="s">
        <v>65801</v>
      </c>
      <c r="Q18063">
        <v>0</v>
      </c>
      <c r="R18063">
        <v>48</v>
      </c>
      <c r="S18063">
        <v>0</v>
      </c>
      <c r="T18063" t="s">
        <v>65802</v>
      </c>
    </row>
    <row r="18064" spans="1:20" customFormat="1" ht="15" x14ac:dyDescent="0.25">
      <c r="A18064" t="s">
        <v>24</v>
      </c>
      <c r="B18064" t="s">
        <v>5830</v>
      </c>
      <c r="C18064" t="str">
        <f>"432QS"</f>
        <v>432QS</v>
      </c>
      <c r="D18064" t="s">
        <v>65803</v>
      </c>
      <c r="E18064" t="s">
        <v>65804</v>
      </c>
      <c r="F18064" t="s">
        <v>242</v>
      </c>
      <c r="G18064" t="s">
        <v>214</v>
      </c>
      <c r="H18064">
        <v>28269</v>
      </c>
      <c r="I18064" t="s">
        <v>30</v>
      </c>
      <c r="J18064" t="s">
        <v>31</v>
      </c>
      <c r="K18064" t="s">
        <v>32</v>
      </c>
      <c r="N18064" t="s">
        <v>65805</v>
      </c>
      <c r="O18064" t="s">
        <v>65806</v>
      </c>
      <c r="Q18064">
        <v>0</v>
      </c>
      <c r="R18064">
        <v>93</v>
      </c>
      <c r="S18064">
        <v>0</v>
      </c>
      <c r="T18064" t="s">
        <v>65807</v>
      </c>
    </row>
    <row r="18065" spans="1:20" customFormat="1" ht="15" x14ac:dyDescent="0.25">
      <c r="A18065" t="s">
        <v>24</v>
      </c>
      <c r="B18065" t="s">
        <v>34738</v>
      </c>
      <c r="C18065" t="str">
        <f>"432TA"</f>
        <v>432TA</v>
      </c>
      <c r="D18065" t="s">
        <v>65808</v>
      </c>
      <c r="E18065" t="s">
        <v>65809</v>
      </c>
      <c r="F18065" t="s">
        <v>4909</v>
      </c>
      <c r="G18065" t="s">
        <v>58</v>
      </c>
      <c r="H18065">
        <v>29212</v>
      </c>
      <c r="I18065" t="s">
        <v>30</v>
      </c>
      <c r="J18065" t="s">
        <v>31</v>
      </c>
      <c r="K18065" t="s">
        <v>32</v>
      </c>
      <c r="N18065" t="s">
        <v>65810</v>
      </c>
      <c r="Q18065">
        <v>0</v>
      </c>
      <c r="R18065">
        <v>84</v>
      </c>
      <c r="S18065">
        <v>0</v>
      </c>
      <c r="T18065" t="s">
        <v>65811</v>
      </c>
    </row>
    <row r="18066" spans="1:20" customFormat="1" ht="15" x14ac:dyDescent="0.25">
      <c r="A18066" t="s">
        <v>24</v>
      </c>
      <c r="B18066" t="s">
        <v>4990</v>
      </c>
      <c r="C18066" t="str">
        <f>"A0098978"</f>
        <v>A0098978</v>
      </c>
      <c r="D18066" t="s">
        <v>65812</v>
      </c>
      <c r="E18066" t="s">
        <v>65813</v>
      </c>
      <c r="F18066" t="s">
        <v>16619</v>
      </c>
      <c r="G18066" t="s">
        <v>1898</v>
      </c>
      <c r="H18066">
        <v>52241</v>
      </c>
      <c r="I18066" t="s">
        <v>30</v>
      </c>
      <c r="J18066" t="s">
        <v>31</v>
      </c>
      <c r="K18066" t="s">
        <v>32</v>
      </c>
      <c r="N18066" t="s">
        <v>65814</v>
      </c>
      <c r="O18066" t="s">
        <v>65815</v>
      </c>
      <c r="Q18066">
        <v>0</v>
      </c>
      <c r="R18066">
        <v>95</v>
      </c>
      <c r="S18066">
        <v>0</v>
      </c>
      <c r="T18066" t="s">
        <v>65816</v>
      </c>
    </row>
    <row r="18067" spans="1:20" customFormat="1" ht="15" x14ac:dyDescent="0.25">
      <c r="A18067" t="s">
        <v>24</v>
      </c>
      <c r="B18067" t="s">
        <v>60496</v>
      </c>
      <c r="C18067" t="str">
        <f>"A0088446"</f>
        <v>A0088446</v>
      </c>
      <c r="D18067" t="s">
        <v>65817</v>
      </c>
      <c r="E18067" t="s">
        <v>65818</v>
      </c>
      <c r="F18067" t="s">
        <v>65819</v>
      </c>
      <c r="G18067" t="s">
        <v>123</v>
      </c>
      <c r="H18067">
        <v>21502</v>
      </c>
      <c r="I18067" t="s">
        <v>30</v>
      </c>
      <c r="J18067" t="s">
        <v>31</v>
      </c>
      <c r="K18067" t="s">
        <v>32</v>
      </c>
      <c r="N18067" t="s">
        <v>65820</v>
      </c>
      <c r="Q18067">
        <v>0</v>
      </c>
      <c r="R18067">
        <v>108</v>
      </c>
      <c r="S18067">
        <v>0</v>
      </c>
      <c r="T18067" t="s">
        <v>65821</v>
      </c>
    </row>
    <row r="18068" spans="1:20" customFormat="1" ht="15" x14ac:dyDescent="0.25">
      <c r="A18068" t="s">
        <v>24</v>
      </c>
      <c r="B18068" t="s">
        <v>2955</v>
      </c>
      <c r="C18068" t="str">
        <f>"432B7"</f>
        <v>432B7</v>
      </c>
      <c r="D18068" t="s">
        <v>65822</v>
      </c>
      <c r="E18068" t="s">
        <v>65823</v>
      </c>
      <c r="F18068" t="s">
        <v>972</v>
      </c>
      <c r="G18068" t="s">
        <v>190</v>
      </c>
      <c r="H18068">
        <v>80249</v>
      </c>
      <c r="I18068" t="s">
        <v>30</v>
      </c>
      <c r="J18068" t="s">
        <v>31</v>
      </c>
      <c r="K18068" t="s">
        <v>32</v>
      </c>
      <c r="N18068" t="s">
        <v>65824</v>
      </c>
      <c r="O18068" t="s">
        <v>65825</v>
      </c>
      <c r="Q18068">
        <v>0</v>
      </c>
      <c r="R18068">
        <v>161</v>
      </c>
      <c r="S18068">
        <v>0</v>
      </c>
      <c r="T18068" t="s">
        <v>65826</v>
      </c>
    </row>
    <row r="18069" spans="1:20" customFormat="1" ht="15" x14ac:dyDescent="0.25">
      <c r="A18069" t="s">
        <v>24</v>
      </c>
      <c r="B18069" t="s">
        <v>11523</v>
      </c>
      <c r="C18069" t="str">
        <f>"432M8"</f>
        <v>432M8</v>
      </c>
      <c r="D18069" t="s">
        <v>65827</v>
      </c>
      <c r="E18069" t="s">
        <v>65828</v>
      </c>
      <c r="F18069" t="s">
        <v>3593</v>
      </c>
      <c r="G18069" t="s">
        <v>1706</v>
      </c>
      <c r="H18069">
        <v>36301</v>
      </c>
      <c r="I18069" t="s">
        <v>30</v>
      </c>
      <c r="J18069" t="s">
        <v>31</v>
      </c>
      <c r="K18069" t="s">
        <v>32</v>
      </c>
      <c r="N18069" t="s">
        <v>65829</v>
      </c>
      <c r="Q18069">
        <v>0</v>
      </c>
      <c r="R18069">
        <v>63</v>
      </c>
      <c r="S18069">
        <v>0</v>
      </c>
      <c r="T18069" t="s">
        <v>65830</v>
      </c>
    </row>
    <row r="18070" spans="1:20" customFormat="1" ht="15" x14ac:dyDescent="0.25">
      <c r="A18070" t="s">
        <v>24</v>
      </c>
      <c r="B18070" t="s">
        <v>2005</v>
      </c>
      <c r="C18070" t="str">
        <f>"432E8"</f>
        <v>432E8</v>
      </c>
      <c r="D18070" t="s">
        <v>65831</v>
      </c>
      <c r="E18070" t="s">
        <v>65832</v>
      </c>
      <c r="F18070" t="s">
        <v>13829</v>
      </c>
      <c r="G18070" t="s">
        <v>381</v>
      </c>
      <c r="H18070">
        <v>47712</v>
      </c>
      <c r="I18070" t="s">
        <v>30</v>
      </c>
      <c r="J18070" t="s">
        <v>31</v>
      </c>
      <c r="K18070" t="s">
        <v>32</v>
      </c>
      <c r="N18070" t="s">
        <v>65833</v>
      </c>
      <c r="Q18070">
        <v>0</v>
      </c>
      <c r="R18070">
        <v>110</v>
      </c>
      <c r="S18070">
        <v>0</v>
      </c>
      <c r="T18070" t="s">
        <v>65834</v>
      </c>
    </row>
    <row r="18071" spans="1:20" customFormat="1" ht="15" x14ac:dyDescent="0.25">
      <c r="A18071" t="s">
        <v>24</v>
      </c>
      <c r="B18071" t="s">
        <v>63672</v>
      </c>
      <c r="C18071" t="str">
        <f>"A0098993"</f>
        <v>A0098993</v>
      </c>
      <c r="D18071" t="s">
        <v>65835</v>
      </c>
      <c r="E18071" t="s">
        <v>65836</v>
      </c>
      <c r="F18071" t="s">
        <v>65837</v>
      </c>
      <c r="G18071" t="s">
        <v>85</v>
      </c>
      <c r="H18071">
        <v>72704</v>
      </c>
      <c r="I18071" t="s">
        <v>30</v>
      </c>
      <c r="J18071" t="s">
        <v>31</v>
      </c>
      <c r="K18071" t="s">
        <v>32</v>
      </c>
      <c r="N18071" t="s">
        <v>65838</v>
      </c>
      <c r="O18071" t="s">
        <v>65839</v>
      </c>
      <c r="Q18071">
        <v>0</v>
      </c>
      <c r="R18071">
        <v>94</v>
      </c>
      <c r="S18071">
        <v>0</v>
      </c>
      <c r="T18071" t="s">
        <v>65840</v>
      </c>
    </row>
    <row r="18072" spans="1:20" customFormat="1" ht="15" x14ac:dyDescent="0.25">
      <c r="A18072" t="s">
        <v>24</v>
      </c>
      <c r="B18072" t="s">
        <v>65841</v>
      </c>
      <c r="C18072" t="str">
        <f>"432JR"</f>
        <v>432JR</v>
      </c>
      <c r="D18072" t="s">
        <v>65842</v>
      </c>
      <c r="E18072" t="s">
        <v>65843</v>
      </c>
      <c r="F18072" t="s">
        <v>3540</v>
      </c>
      <c r="G18072" t="s">
        <v>214</v>
      </c>
      <c r="H18072">
        <v>28301</v>
      </c>
      <c r="I18072" t="s">
        <v>30</v>
      </c>
      <c r="J18072" t="s">
        <v>31</v>
      </c>
      <c r="K18072" t="s">
        <v>32</v>
      </c>
      <c r="N18072" t="s">
        <v>65844</v>
      </c>
      <c r="Q18072">
        <v>0</v>
      </c>
      <c r="R18072">
        <v>63</v>
      </c>
      <c r="S18072">
        <v>0</v>
      </c>
      <c r="T18072" t="s">
        <v>65845</v>
      </c>
    </row>
    <row r="18073" spans="1:20" customFormat="1" ht="15" x14ac:dyDescent="0.25">
      <c r="A18073" t="s">
        <v>24</v>
      </c>
      <c r="B18073" t="s">
        <v>13679</v>
      </c>
      <c r="C18073" t="str">
        <f>"432BK"</f>
        <v>432BK</v>
      </c>
      <c r="D18073" t="s">
        <v>65846</v>
      </c>
      <c r="E18073" t="s">
        <v>65847</v>
      </c>
      <c r="F18073" t="s">
        <v>65848</v>
      </c>
      <c r="G18073" t="s">
        <v>137</v>
      </c>
      <c r="H18073">
        <v>63026</v>
      </c>
      <c r="I18073" t="s">
        <v>30</v>
      </c>
      <c r="J18073" t="s">
        <v>31</v>
      </c>
      <c r="K18073" t="s">
        <v>32</v>
      </c>
      <c r="N18073" t="s">
        <v>65849</v>
      </c>
      <c r="O18073" t="s">
        <v>65850</v>
      </c>
      <c r="Q18073">
        <v>0</v>
      </c>
      <c r="R18073">
        <v>106</v>
      </c>
      <c r="S18073">
        <v>0</v>
      </c>
      <c r="T18073" t="s">
        <v>65851</v>
      </c>
    </row>
    <row r="18074" spans="1:20" customFormat="1" ht="15" x14ac:dyDescent="0.25">
      <c r="A18074" t="s">
        <v>24</v>
      </c>
      <c r="B18074" t="s">
        <v>5435</v>
      </c>
      <c r="C18074" t="str">
        <f>"A0074600"</f>
        <v>A0074600</v>
      </c>
      <c r="D18074" t="s">
        <v>65852</v>
      </c>
      <c r="E18074" t="s">
        <v>65853</v>
      </c>
      <c r="F18074" t="s">
        <v>4237</v>
      </c>
      <c r="G18074" t="s">
        <v>99</v>
      </c>
      <c r="H18074">
        <v>11354</v>
      </c>
      <c r="I18074" t="s">
        <v>30</v>
      </c>
      <c r="J18074" t="s">
        <v>31</v>
      </c>
      <c r="K18074" t="s">
        <v>32</v>
      </c>
      <c r="N18074" t="s">
        <v>65854</v>
      </c>
      <c r="Q18074">
        <v>0</v>
      </c>
      <c r="R18074">
        <v>88</v>
      </c>
      <c r="S18074">
        <v>0</v>
      </c>
      <c r="T18074" t="s">
        <v>65855</v>
      </c>
    </row>
    <row r="18075" spans="1:20" customFormat="1" ht="15" x14ac:dyDescent="0.25">
      <c r="A18075" t="s">
        <v>24</v>
      </c>
      <c r="B18075" t="s">
        <v>34154</v>
      </c>
      <c r="C18075" t="str">
        <f>"432TQ"</f>
        <v>432TQ</v>
      </c>
      <c r="D18075" t="s">
        <v>65856</v>
      </c>
      <c r="E18075" t="s">
        <v>65857</v>
      </c>
      <c r="F18075" t="s">
        <v>177</v>
      </c>
      <c r="G18075" t="s">
        <v>81</v>
      </c>
      <c r="H18075">
        <v>33907</v>
      </c>
      <c r="I18075" t="s">
        <v>30</v>
      </c>
      <c r="J18075" t="s">
        <v>31</v>
      </c>
      <c r="K18075" t="s">
        <v>32</v>
      </c>
      <c r="N18075" t="s">
        <v>65858</v>
      </c>
      <c r="O18075" t="s">
        <v>65859</v>
      </c>
      <c r="Q18075">
        <v>0</v>
      </c>
      <c r="R18075">
        <v>104</v>
      </c>
      <c r="S18075">
        <v>0</v>
      </c>
      <c r="T18075" t="s">
        <v>65860</v>
      </c>
    </row>
    <row r="18076" spans="1:20" customFormat="1" ht="15" x14ac:dyDescent="0.25">
      <c r="A18076" t="s">
        <v>24</v>
      </c>
      <c r="B18076" t="s">
        <v>60496</v>
      </c>
      <c r="C18076" t="str">
        <f>"432PL"</f>
        <v>432PL</v>
      </c>
      <c r="D18076" t="s">
        <v>65861</v>
      </c>
      <c r="E18076" t="s">
        <v>65862</v>
      </c>
      <c r="F18076" t="s">
        <v>60499</v>
      </c>
      <c r="G18076" t="s">
        <v>123</v>
      </c>
      <c r="H18076">
        <v>21703</v>
      </c>
      <c r="I18076" t="s">
        <v>30</v>
      </c>
      <c r="J18076" t="s">
        <v>31</v>
      </c>
      <c r="K18076" t="s">
        <v>32</v>
      </c>
      <c r="N18076" t="s">
        <v>65863</v>
      </c>
      <c r="O18076" t="s">
        <v>65864</v>
      </c>
      <c r="Q18076">
        <v>0</v>
      </c>
      <c r="R18076">
        <v>105</v>
      </c>
      <c r="S18076">
        <v>0</v>
      </c>
      <c r="T18076" t="s">
        <v>65865</v>
      </c>
    </row>
    <row r="18077" spans="1:20" customFormat="1" ht="15" x14ac:dyDescent="0.25">
      <c r="A18077" t="s">
        <v>24</v>
      </c>
      <c r="B18077" t="s">
        <v>649</v>
      </c>
      <c r="C18077" t="str">
        <f>"432PF"</f>
        <v>432PF</v>
      </c>
      <c r="D18077" t="s">
        <v>65866</v>
      </c>
      <c r="E18077" t="s">
        <v>65867</v>
      </c>
      <c r="F18077" t="s">
        <v>59160</v>
      </c>
      <c r="G18077" t="s">
        <v>214</v>
      </c>
      <c r="H18077">
        <v>28054</v>
      </c>
      <c r="I18077" t="s">
        <v>30</v>
      </c>
      <c r="J18077" t="s">
        <v>31</v>
      </c>
      <c r="K18077" t="s">
        <v>32</v>
      </c>
      <c r="N18077" t="s">
        <v>65868</v>
      </c>
      <c r="O18077" t="s">
        <v>65869</v>
      </c>
      <c r="Q18077">
        <v>0</v>
      </c>
      <c r="R18077">
        <v>89</v>
      </c>
      <c r="S18077">
        <v>0</v>
      </c>
      <c r="T18077" t="s">
        <v>65870</v>
      </c>
    </row>
    <row r="18078" spans="1:20" customFormat="1" ht="15" x14ac:dyDescent="0.25">
      <c r="A18078" t="s">
        <v>24</v>
      </c>
      <c r="B18078" t="s">
        <v>3343</v>
      </c>
      <c r="C18078" t="str">
        <f>"432XQ"</f>
        <v>432XQ</v>
      </c>
      <c r="D18078" t="s">
        <v>65871</v>
      </c>
      <c r="E18078" t="s">
        <v>65872</v>
      </c>
      <c r="F18078" t="s">
        <v>59387</v>
      </c>
      <c r="G18078" t="s">
        <v>71</v>
      </c>
      <c r="H18078">
        <v>54304</v>
      </c>
      <c r="I18078" t="s">
        <v>30</v>
      </c>
      <c r="J18078" t="s">
        <v>31</v>
      </c>
      <c r="K18078" t="s">
        <v>32</v>
      </c>
      <c r="N18078" t="s">
        <v>65873</v>
      </c>
      <c r="Q18078">
        <v>0</v>
      </c>
      <c r="R18078">
        <v>61</v>
      </c>
      <c r="S18078">
        <v>0</v>
      </c>
      <c r="T18078" t="s">
        <v>65874</v>
      </c>
    </row>
    <row r="18079" spans="1:20" customFormat="1" ht="15" x14ac:dyDescent="0.25">
      <c r="A18079" t="s">
        <v>24</v>
      </c>
      <c r="B18079" t="s">
        <v>649</v>
      </c>
      <c r="C18079" t="str">
        <f>"432JH"</f>
        <v>432JH</v>
      </c>
      <c r="D18079" t="s">
        <v>65875</v>
      </c>
      <c r="E18079" t="s">
        <v>65876</v>
      </c>
      <c r="F18079" t="s">
        <v>5905</v>
      </c>
      <c r="G18079" t="s">
        <v>58</v>
      </c>
      <c r="H18079">
        <v>29615</v>
      </c>
      <c r="I18079" t="s">
        <v>30</v>
      </c>
      <c r="J18079" t="s">
        <v>31</v>
      </c>
      <c r="K18079" t="s">
        <v>32</v>
      </c>
      <c r="N18079" t="s">
        <v>65877</v>
      </c>
      <c r="O18079" t="s">
        <v>65878</v>
      </c>
      <c r="Q18079">
        <v>0</v>
      </c>
      <c r="R18079">
        <v>94</v>
      </c>
      <c r="S18079">
        <v>0</v>
      </c>
      <c r="T18079" t="s">
        <v>65879</v>
      </c>
    </row>
    <row r="18080" spans="1:20" customFormat="1" ht="15" x14ac:dyDescent="0.25">
      <c r="A18080" t="s">
        <v>24</v>
      </c>
      <c r="B18080" t="s">
        <v>4990</v>
      </c>
      <c r="C18080" t="str">
        <f>"A0100335"</f>
        <v>A0100335</v>
      </c>
      <c r="D18080" t="s">
        <v>65880</v>
      </c>
      <c r="E18080" t="s">
        <v>65881</v>
      </c>
      <c r="F18080" t="s">
        <v>56789</v>
      </c>
      <c r="G18080" t="s">
        <v>65</v>
      </c>
      <c r="H18080">
        <v>43123</v>
      </c>
      <c r="I18080" t="s">
        <v>30</v>
      </c>
      <c r="J18080" t="s">
        <v>31</v>
      </c>
      <c r="K18080" t="s">
        <v>32</v>
      </c>
      <c r="N18080" t="s">
        <v>56376</v>
      </c>
      <c r="O18080" t="s">
        <v>65882</v>
      </c>
      <c r="Q18080">
        <v>0</v>
      </c>
      <c r="R18080">
        <v>95</v>
      </c>
      <c r="S18080">
        <v>0</v>
      </c>
      <c r="T18080" t="s">
        <v>65883</v>
      </c>
    </row>
    <row r="18081" spans="1:20" customFormat="1" ht="15" x14ac:dyDescent="0.25">
      <c r="A18081" t="s">
        <v>24</v>
      </c>
      <c r="B18081" t="s">
        <v>34738</v>
      </c>
      <c r="C18081" t="str">
        <f>"432QH"</f>
        <v>432QH</v>
      </c>
      <c r="D18081" t="s">
        <v>65884</v>
      </c>
      <c r="E18081" t="s">
        <v>65885</v>
      </c>
      <c r="F18081" t="s">
        <v>2739</v>
      </c>
      <c r="G18081" t="s">
        <v>58</v>
      </c>
      <c r="H18081">
        <v>29550</v>
      </c>
      <c r="I18081" t="s">
        <v>30</v>
      </c>
      <c r="J18081" t="s">
        <v>31</v>
      </c>
      <c r="K18081" t="s">
        <v>32</v>
      </c>
      <c r="N18081" t="s">
        <v>65886</v>
      </c>
      <c r="Q18081">
        <v>0</v>
      </c>
      <c r="R18081">
        <v>74</v>
      </c>
      <c r="S18081">
        <v>0</v>
      </c>
      <c r="T18081" t="s">
        <v>65887</v>
      </c>
    </row>
    <row r="18082" spans="1:20" customFormat="1" ht="15" x14ac:dyDescent="0.25">
      <c r="A18082" t="s">
        <v>24</v>
      </c>
      <c r="B18082" t="s">
        <v>1020</v>
      </c>
      <c r="C18082" t="str">
        <f>"432BJ"</f>
        <v>432BJ</v>
      </c>
      <c r="D18082" t="s">
        <v>65888</v>
      </c>
      <c r="E18082" t="s">
        <v>65889</v>
      </c>
      <c r="F18082" t="s">
        <v>59184</v>
      </c>
      <c r="G18082" t="s">
        <v>52</v>
      </c>
      <c r="H18082">
        <v>77338</v>
      </c>
      <c r="I18082" t="s">
        <v>30</v>
      </c>
      <c r="J18082" t="s">
        <v>31</v>
      </c>
      <c r="K18082" t="s">
        <v>32</v>
      </c>
      <c r="N18082" t="s">
        <v>65890</v>
      </c>
      <c r="O18082" t="s">
        <v>65891</v>
      </c>
      <c r="Q18082">
        <v>0</v>
      </c>
      <c r="R18082">
        <v>64</v>
      </c>
      <c r="S18082">
        <v>0</v>
      </c>
      <c r="T18082" t="s">
        <v>65892</v>
      </c>
    </row>
    <row r="18083" spans="1:20" customFormat="1" ht="15" x14ac:dyDescent="0.25">
      <c r="A18083" t="s">
        <v>24</v>
      </c>
      <c r="B18083" t="s">
        <v>8366</v>
      </c>
      <c r="C18083" t="str">
        <f>"A0076324"</f>
        <v>A0076324</v>
      </c>
      <c r="D18083" t="s">
        <v>65893</v>
      </c>
      <c r="E18083" t="s">
        <v>65894</v>
      </c>
      <c r="F18083" t="s">
        <v>1308</v>
      </c>
      <c r="G18083" t="s">
        <v>99</v>
      </c>
      <c r="H18083">
        <v>11434</v>
      </c>
      <c r="I18083" t="s">
        <v>30</v>
      </c>
      <c r="J18083" t="s">
        <v>31</v>
      </c>
      <c r="K18083" t="s">
        <v>32</v>
      </c>
      <c r="N18083" t="s">
        <v>65895</v>
      </c>
      <c r="Q18083">
        <v>0</v>
      </c>
      <c r="R18083">
        <v>110</v>
      </c>
      <c r="S18083">
        <v>0</v>
      </c>
      <c r="T18083" t="s">
        <v>65896</v>
      </c>
    </row>
    <row r="18084" spans="1:20" customFormat="1" ht="15" x14ac:dyDescent="0.25">
      <c r="A18084" t="s">
        <v>24</v>
      </c>
      <c r="B18084" t="s">
        <v>56867</v>
      </c>
      <c r="C18084" t="str">
        <f>"432EJ"</f>
        <v>432EJ</v>
      </c>
      <c r="D18084" t="s">
        <v>65897</v>
      </c>
      <c r="E18084" t="s">
        <v>65898</v>
      </c>
      <c r="F18084" t="s">
        <v>57752</v>
      </c>
      <c r="G18084" t="s">
        <v>137</v>
      </c>
      <c r="H18084">
        <v>65109</v>
      </c>
      <c r="I18084" t="s">
        <v>30</v>
      </c>
      <c r="J18084" t="s">
        <v>31</v>
      </c>
      <c r="K18084" t="s">
        <v>32</v>
      </c>
      <c r="N18084" t="s">
        <v>65899</v>
      </c>
      <c r="Q18084">
        <v>0</v>
      </c>
      <c r="R18084">
        <v>85</v>
      </c>
      <c r="S18084">
        <v>0</v>
      </c>
      <c r="T18084" t="s">
        <v>65900</v>
      </c>
    </row>
    <row r="18085" spans="1:20" customFormat="1" ht="15" x14ac:dyDescent="0.25">
      <c r="A18085" t="s">
        <v>24</v>
      </c>
      <c r="B18085" t="s">
        <v>34039</v>
      </c>
      <c r="C18085" t="str">
        <f>"432QR"</f>
        <v>432QR</v>
      </c>
      <c r="D18085" t="s">
        <v>65901</v>
      </c>
      <c r="E18085" t="s">
        <v>65902</v>
      </c>
      <c r="F18085" t="s">
        <v>5107</v>
      </c>
      <c r="G18085" t="s">
        <v>137</v>
      </c>
      <c r="H18085">
        <v>64108</v>
      </c>
      <c r="I18085" t="s">
        <v>30</v>
      </c>
      <c r="J18085" t="s">
        <v>31</v>
      </c>
      <c r="K18085" t="s">
        <v>32</v>
      </c>
      <c r="N18085" t="s">
        <v>65903</v>
      </c>
      <c r="Q18085">
        <v>0</v>
      </c>
      <c r="R18085">
        <v>116</v>
      </c>
      <c r="S18085">
        <v>0</v>
      </c>
      <c r="T18085" t="s">
        <v>65904</v>
      </c>
    </row>
    <row r="18086" spans="1:20" customFormat="1" ht="15" x14ac:dyDescent="0.25">
      <c r="A18086" t="s">
        <v>24</v>
      </c>
      <c r="B18086" t="s">
        <v>55128</v>
      </c>
      <c r="C18086" t="str">
        <f>"432XV"</f>
        <v>432XV</v>
      </c>
      <c r="D18086" t="s">
        <v>65905</v>
      </c>
      <c r="E18086" t="s">
        <v>65906</v>
      </c>
      <c r="F18086" t="s">
        <v>12348</v>
      </c>
      <c r="G18086" t="s">
        <v>880</v>
      </c>
      <c r="H18086">
        <v>37914</v>
      </c>
      <c r="I18086" t="s">
        <v>30</v>
      </c>
      <c r="J18086" t="s">
        <v>31</v>
      </c>
      <c r="K18086" t="s">
        <v>32</v>
      </c>
      <c r="N18086" t="s">
        <v>65907</v>
      </c>
      <c r="Q18086">
        <v>0</v>
      </c>
      <c r="R18086">
        <v>105</v>
      </c>
      <c r="S18086">
        <v>0</v>
      </c>
      <c r="T18086" t="s">
        <v>65908</v>
      </c>
    </row>
    <row r="18087" spans="1:20" customFormat="1" ht="15" x14ac:dyDescent="0.25">
      <c r="A18087" t="s">
        <v>24</v>
      </c>
      <c r="B18087" t="s">
        <v>1855</v>
      </c>
      <c r="C18087" t="str">
        <f>"432ZO"</f>
        <v>432ZO</v>
      </c>
      <c r="D18087" t="s">
        <v>65909</v>
      </c>
      <c r="E18087" t="s">
        <v>65910</v>
      </c>
      <c r="F18087" t="s">
        <v>5107</v>
      </c>
      <c r="G18087" t="s">
        <v>137</v>
      </c>
      <c r="H18087">
        <v>64153</v>
      </c>
      <c r="I18087" t="s">
        <v>30</v>
      </c>
      <c r="J18087" t="s">
        <v>31</v>
      </c>
      <c r="K18087" t="s">
        <v>32</v>
      </c>
      <c r="N18087" t="s">
        <v>65911</v>
      </c>
      <c r="Q18087">
        <v>0</v>
      </c>
      <c r="R18087">
        <v>130</v>
      </c>
      <c r="S18087">
        <v>0</v>
      </c>
      <c r="T18087" t="s">
        <v>65912</v>
      </c>
    </row>
    <row r="18088" spans="1:20" customFormat="1" ht="15" x14ac:dyDescent="0.25">
      <c r="A18088" t="s">
        <v>24</v>
      </c>
      <c r="B18088" t="s">
        <v>1855</v>
      </c>
      <c r="C18088" t="str">
        <f>"432ZP"</f>
        <v>432ZP</v>
      </c>
      <c r="D18088" t="s">
        <v>65913</v>
      </c>
      <c r="E18088" t="s">
        <v>65914</v>
      </c>
      <c r="F18088" t="s">
        <v>9244</v>
      </c>
      <c r="G18088" t="s">
        <v>925</v>
      </c>
      <c r="H18088">
        <v>66062</v>
      </c>
      <c r="I18088" t="s">
        <v>30</v>
      </c>
      <c r="J18088" t="s">
        <v>31</v>
      </c>
      <c r="K18088" t="s">
        <v>32</v>
      </c>
      <c r="N18088" t="s">
        <v>65915</v>
      </c>
      <c r="O18088" t="s">
        <v>65916</v>
      </c>
      <c r="Q18088">
        <v>0</v>
      </c>
      <c r="R18088">
        <v>85</v>
      </c>
      <c r="S18088">
        <v>0</v>
      </c>
      <c r="T18088" t="s">
        <v>65917</v>
      </c>
    </row>
    <row r="18089" spans="1:20" customFormat="1" ht="15" x14ac:dyDescent="0.25">
      <c r="A18089" t="s">
        <v>24</v>
      </c>
      <c r="B18089" t="s">
        <v>1020</v>
      </c>
      <c r="C18089" t="str">
        <f>"432QW"</f>
        <v>432QW</v>
      </c>
      <c r="D18089" t="s">
        <v>65918</v>
      </c>
      <c r="E18089" t="s">
        <v>65919</v>
      </c>
      <c r="F18089" t="s">
        <v>55146</v>
      </c>
      <c r="G18089" t="s">
        <v>123</v>
      </c>
      <c r="H18089">
        <v>20707</v>
      </c>
      <c r="I18089" t="s">
        <v>30</v>
      </c>
      <c r="J18089" t="s">
        <v>31</v>
      </c>
      <c r="K18089" t="s">
        <v>32</v>
      </c>
      <c r="N18089" t="s">
        <v>65920</v>
      </c>
      <c r="O18089" t="s">
        <v>65921</v>
      </c>
      <c r="Q18089">
        <v>0</v>
      </c>
      <c r="R18089">
        <v>109</v>
      </c>
      <c r="S18089">
        <v>0</v>
      </c>
      <c r="T18089" t="s">
        <v>65922</v>
      </c>
    </row>
    <row r="18090" spans="1:20" customFormat="1" ht="15" hidden="1" x14ac:dyDescent="0.25">
      <c r="A18090" t="s">
        <v>24</v>
      </c>
      <c r="B18090" t="s">
        <v>675</v>
      </c>
      <c r="C18090" t="str">
        <f>"A0096350"</f>
        <v>A0096350</v>
      </c>
      <c r="D18090" t="s">
        <v>65923</v>
      </c>
      <c r="E18090" t="s">
        <v>65924</v>
      </c>
      <c r="F18090" t="s">
        <v>2406</v>
      </c>
      <c r="G18090" t="s">
        <v>2407</v>
      </c>
      <c r="H18090">
        <v>23453</v>
      </c>
      <c r="I18090" t="s">
        <v>2408</v>
      </c>
      <c r="J18090" t="s">
        <v>31</v>
      </c>
      <c r="K18090" t="s">
        <v>32</v>
      </c>
      <c r="N18090" t="s">
        <v>65925</v>
      </c>
      <c r="Q18090">
        <v>0</v>
      </c>
      <c r="R18090">
        <v>128</v>
      </c>
      <c r="S18090">
        <v>0</v>
      </c>
      <c r="T18090" t="s">
        <v>65926</v>
      </c>
    </row>
    <row r="18091" spans="1:20" customFormat="1" ht="15" x14ac:dyDescent="0.25">
      <c r="A18091" t="s">
        <v>24</v>
      </c>
      <c r="B18091" t="s">
        <v>8579</v>
      </c>
      <c r="C18091" t="str">
        <f>"432VQ"</f>
        <v>432VQ</v>
      </c>
      <c r="D18091" t="s">
        <v>65927</v>
      </c>
      <c r="E18091" t="s">
        <v>65928</v>
      </c>
      <c r="F18091" t="s">
        <v>60963</v>
      </c>
      <c r="G18091" t="s">
        <v>190</v>
      </c>
      <c r="H18091">
        <v>80538</v>
      </c>
      <c r="I18091" t="s">
        <v>30</v>
      </c>
      <c r="J18091" t="s">
        <v>31</v>
      </c>
      <c r="K18091" t="s">
        <v>32</v>
      </c>
      <c r="N18091" t="s">
        <v>65929</v>
      </c>
      <c r="O18091" t="s">
        <v>65930</v>
      </c>
      <c r="Q18091">
        <v>0</v>
      </c>
      <c r="R18091">
        <v>82</v>
      </c>
      <c r="S18091">
        <v>0</v>
      </c>
      <c r="T18091" t="s">
        <v>65931</v>
      </c>
    </row>
    <row r="18092" spans="1:20" customFormat="1" ht="15" x14ac:dyDescent="0.25">
      <c r="A18092" t="s">
        <v>24</v>
      </c>
      <c r="B18092" t="s">
        <v>1467</v>
      </c>
      <c r="C18092" t="str">
        <f>"4323F"</f>
        <v>4323F</v>
      </c>
      <c r="D18092" t="s">
        <v>65932</v>
      </c>
      <c r="E18092" t="s">
        <v>65933</v>
      </c>
      <c r="F18092" t="s">
        <v>8542</v>
      </c>
      <c r="G18092" t="s">
        <v>1363</v>
      </c>
      <c r="H18092">
        <v>3103</v>
      </c>
      <c r="I18092" t="s">
        <v>30</v>
      </c>
      <c r="J18092" t="s">
        <v>31</v>
      </c>
      <c r="K18092" t="s">
        <v>32</v>
      </c>
      <c r="N18092" t="s">
        <v>65934</v>
      </c>
      <c r="Q18092">
        <v>0</v>
      </c>
      <c r="R18092">
        <v>96</v>
      </c>
      <c r="S18092">
        <v>0</v>
      </c>
      <c r="T18092" t="s">
        <v>65935</v>
      </c>
    </row>
    <row r="18093" spans="1:20" customFormat="1" ht="15" x14ac:dyDescent="0.25">
      <c r="A18093" t="s">
        <v>24</v>
      </c>
      <c r="B18093" t="s">
        <v>61024</v>
      </c>
      <c r="C18093" t="str">
        <f>"4322F"</f>
        <v>4322F</v>
      </c>
      <c r="D18093" t="s">
        <v>65936</v>
      </c>
      <c r="E18093" t="s">
        <v>65937</v>
      </c>
      <c r="F18093" t="s">
        <v>11551</v>
      </c>
      <c r="G18093" t="s">
        <v>52</v>
      </c>
      <c r="H18093">
        <v>78503</v>
      </c>
      <c r="I18093" t="s">
        <v>30</v>
      </c>
      <c r="J18093" t="s">
        <v>31</v>
      </c>
      <c r="K18093" t="s">
        <v>32</v>
      </c>
      <c r="N18093" t="s">
        <v>61028</v>
      </c>
      <c r="Q18093">
        <v>0</v>
      </c>
      <c r="R18093">
        <v>68</v>
      </c>
      <c r="S18093">
        <v>0</v>
      </c>
      <c r="T18093" t="s">
        <v>65938</v>
      </c>
    </row>
    <row r="18094" spans="1:20" customFormat="1" ht="15" x14ac:dyDescent="0.25">
      <c r="A18094" t="s">
        <v>24</v>
      </c>
      <c r="B18094" t="s">
        <v>2005</v>
      </c>
      <c r="C18094" t="str">
        <f>"432JV"</f>
        <v>432JV</v>
      </c>
      <c r="D18094" t="s">
        <v>65939</v>
      </c>
      <c r="E18094" t="s">
        <v>65940</v>
      </c>
      <c r="F18094" t="s">
        <v>11700</v>
      </c>
      <c r="G18094" t="s">
        <v>880</v>
      </c>
      <c r="H18094">
        <v>38118</v>
      </c>
      <c r="I18094" t="s">
        <v>30</v>
      </c>
      <c r="J18094" t="s">
        <v>31</v>
      </c>
      <c r="K18094" t="s">
        <v>32</v>
      </c>
      <c r="N18094" t="s">
        <v>65941</v>
      </c>
      <c r="O18094" t="s">
        <v>65942</v>
      </c>
      <c r="Q18094">
        <v>0</v>
      </c>
      <c r="R18094">
        <v>88</v>
      </c>
      <c r="S18094">
        <v>0</v>
      </c>
      <c r="T18094" t="s">
        <v>65943</v>
      </c>
    </row>
    <row r="18095" spans="1:20" customFormat="1" ht="15" x14ac:dyDescent="0.25">
      <c r="A18095" t="s">
        <v>24</v>
      </c>
      <c r="B18095" t="s">
        <v>60077</v>
      </c>
      <c r="C18095" t="str">
        <f>"432X2"</f>
        <v>432X2</v>
      </c>
      <c r="D18095" t="s">
        <v>65944</v>
      </c>
      <c r="E18095" t="s">
        <v>65945</v>
      </c>
      <c r="F18095" t="s">
        <v>65946</v>
      </c>
      <c r="G18095" t="s">
        <v>381</v>
      </c>
      <c r="H18095">
        <v>46410</v>
      </c>
      <c r="I18095" t="s">
        <v>30</v>
      </c>
      <c r="J18095" t="s">
        <v>31</v>
      </c>
      <c r="K18095" t="s">
        <v>32</v>
      </c>
      <c r="N18095" t="s">
        <v>65947</v>
      </c>
      <c r="Q18095">
        <v>0</v>
      </c>
      <c r="R18095">
        <v>132</v>
      </c>
      <c r="S18095">
        <v>0</v>
      </c>
      <c r="T18095" t="s">
        <v>65948</v>
      </c>
    </row>
    <row r="18096" spans="1:20" customFormat="1" ht="15" x14ac:dyDescent="0.25">
      <c r="A18096" t="s">
        <v>24</v>
      </c>
      <c r="B18096" t="s">
        <v>2340</v>
      </c>
      <c r="C18096" t="str">
        <f>"A0087430"</f>
        <v>A0087430</v>
      </c>
      <c r="D18096" t="s">
        <v>65949</v>
      </c>
      <c r="E18096" t="s">
        <v>65950</v>
      </c>
      <c r="F18096" t="s">
        <v>1889</v>
      </c>
      <c r="G18096" t="s">
        <v>81</v>
      </c>
      <c r="H18096">
        <v>33126</v>
      </c>
      <c r="I18096" t="s">
        <v>30</v>
      </c>
      <c r="J18096" t="s">
        <v>31</v>
      </c>
      <c r="K18096" t="s">
        <v>32</v>
      </c>
      <c r="N18096" t="s">
        <v>65951</v>
      </c>
      <c r="Q18096">
        <v>0</v>
      </c>
      <c r="R18096">
        <v>120</v>
      </c>
      <c r="S18096">
        <v>0</v>
      </c>
      <c r="T18096" t="s">
        <v>65952</v>
      </c>
    </row>
    <row r="18097" spans="1:20" customFormat="1" ht="15" x14ac:dyDescent="0.25">
      <c r="A18097" t="s">
        <v>24</v>
      </c>
      <c r="B18097" t="s">
        <v>65953</v>
      </c>
      <c r="C18097" t="str">
        <f>"432PC"</f>
        <v>432PC</v>
      </c>
      <c r="D18097" t="s">
        <v>65954</v>
      </c>
      <c r="E18097" t="s">
        <v>65955</v>
      </c>
      <c r="F18097" t="s">
        <v>53883</v>
      </c>
      <c r="G18097" t="s">
        <v>1706</v>
      </c>
      <c r="H18097">
        <v>36609</v>
      </c>
      <c r="I18097" t="s">
        <v>30</v>
      </c>
      <c r="J18097" t="s">
        <v>31</v>
      </c>
      <c r="K18097" t="s">
        <v>32</v>
      </c>
      <c r="N18097" t="s">
        <v>65956</v>
      </c>
      <c r="Q18097">
        <v>0</v>
      </c>
      <c r="R18097">
        <v>80</v>
      </c>
      <c r="S18097">
        <v>0</v>
      </c>
      <c r="T18097" t="s">
        <v>65957</v>
      </c>
    </row>
    <row r="18098" spans="1:20" customFormat="1" ht="15" x14ac:dyDescent="0.25">
      <c r="A18098" t="s">
        <v>24</v>
      </c>
      <c r="B18098" t="s">
        <v>55951</v>
      </c>
      <c r="C18098" t="str">
        <f>"4322K"</f>
        <v>4322K</v>
      </c>
      <c r="D18098" t="s">
        <v>65958</v>
      </c>
      <c r="E18098" t="s">
        <v>65959</v>
      </c>
      <c r="F18098" t="s">
        <v>65960</v>
      </c>
      <c r="G18098" t="s">
        <v>214</v>
      </c>
      <c r="H18098">
        <v>28115</v>
      </c>
      <c r="I18098" t="s">
        <v>30</v>
      </c>
      <c r="J18098" t="s">
        <v>31</v>
      </c>
      <c r="K18098" t="s">
        <v>32</v>
      </c>
      <c r="N18098" t="s">
        <v>65961</v>
      </c>
      <c r="Q18098">
        <v>0</v>
      </c>
      <c r="R18098">
        <v>97</v>
      </c>
      <c r="S18098">
        <v>0</v>
      </c>
      <c r="T18098" t="s">
        <v>65962</v>
      </c>
    </row>
    <row r="18099" spans="1:20" customFormat="1" ht="15" x14ac:dyDescent="0.25">
      <c r="A18099" t="s">
        <v>24</v>
      </c>
      <c r="B18099" t="s">
        <v>4400</v>
      </c>
      <c r="C18099" t="str">
        <f>"A0090764"</f>
        <v>A0090764</v>
      </c>
      <c r="D18099" t="s">
        <v>65963</v>
      </c>
      <c r="E18099" t="s">
        <v>65964</v>
      </c>
      <c r="F18099" t="s">
        <v>65965</v>
      </c>
      <c r="G18099" t="s">
        <v>117</v>
      </c>
      <c r="H18099">
        <v>49444</v>
      </c>
      <c r="I18099" t="s">
        <v>30</v>
      </c>
      <c r="J18099" t="s">
        <v>31</v>
      </c>
      <c r="K18099" t="s">
        <v>32</v>
      </c>
      <c r="N18099" t="s">
        <v>65966</v>
      </c>
      <c r="O18099" t="s">
        <v>65967</v>
      </c>
      <c r="Q18099">
        <v>0</v>
      </c>
      <c r="R18099">
        <v>83</v>
      </c>
      <c r="S18099">
        <v>0</v>
      </c>
      <c r="T18099" t="s">
        <v>65968</v>
      </c>
    </row>
    <row r="18100" spans="1:20" customFormat="1" ht="15" x14ac:dyDescent="0.25">
      <c r="A18100" t="s">
        <v>24</v>
      </c>
      <c r="B18100" t="s">
        <v>5830</v>
      </c>
      <c r="C18100" t="str">
        <f>"432PS"</f>
        <v>432PS</v>
      </c>
      <c r="D18100" t="s">
        <v>65969</v>
      </c>
      <c r="E18100" t="s">
        <v>65970</v>
      </c>
      <c r="F18100" t="s">
        <v>1159</v>
      </c>
      <c r="G18100" t="s">
        <v>58</v>
      </c>
      <c r="H18100">
        <v>29572</v>
      </c>
      <c r="I18100" t="s">
        <v>30</v>
      </c>
      <c r="J18100" t="s">
        <v>31</v>
      </c>
      <c r="K18100" t="s">
        <v>32</v>
      </c>
      <c r="N18100" t="s">
        <v>65971</v>
      </c>
      <c r="Q18100">
        <v>0</v>
      </c>
      <c r="R18100">
        <v>86</v>
      </c>
      <c r="S18100">
        <v>0</v>
      </c>
      <c r="T18100" t="s">
        <v>65972</v>
      </c>
    </row>
    <row r="18101" spans="1:20" customFormat="1" ht="15" x14ac:dyDescent="0.25">
      <c r="A18101" t="s">
        <v>24</v>
      </c>
      <c r="B18101" t="s">
        <v>2005</v>
      </c>
      <c r="C18101" t="str">
        <f>"432MF"</f>
        <v>432MF</v>
      </c>
      <c r="D18101" t="s">
        <v>65973</v>
      </c>
      <c r="E18101" t="s">
        <v>65974</v>
      </c>
      <c r="F18101" t="s">
        <v>1159</v>
      </c>
      <c r="G18101" t="s">
        <v>58</v>
      </c>
      <c r="H18101">
        <v>29577</v>
      </c>
      <c r="I18101" t="s">
        <v>30</v>
      </c>
      <c r="J18101" t="s">
        <v>31</v>
      </c>
      <c r="K18101" t="s">
        <v>32</v>
      </c>
      <c r="N18101" t="s">
        <v>65975</v>
      </c>
      <c r="Q18101">
        <v>0</v>
      </c>
      <c r="R18101">
        <v>109</v>
      </c>
      <c r="S18101">
        <v>0</v>
      </c>
      <c r="T18101" t="s">
        <v>65976</v>
      </c>
    </row>
    <row r="18102" spans="1:20" customFormat="1" ht="15" x14ac:dyDescent="0.25">
      <c r="A18102" t="s">
        <v>24</v>
      </c>
      <c r="B18102" t="s">
        <v>55128</v>
      </c>
      <c r="C18102" t="str">
        <f>"432MB"</f>
        <v>432MB</v>
      </c>
      <c r="D18102" t="s">
        <v>65977</v>
      </c>
      <c r="E18102" t="s">
        <v>65978</v>
      </c>
      <c r="F18102" t="s">
        <v>2971</v>
      </c>
      <c r="G18102" t="s">
        <v>880</v>
      </c>
      <c r="H18102">
        <v>37214</v>
      </c>
      <c r="I18102" t="s">
        <v>30</v>
      </c>
      <c r="J18102" t="s">
        <v>31</v>
      </c>
      <c r="K18102" t="s">
        <v>32</v>
      </c>
      <c r="N18102" t="s">
        <v>65979</v>
      </c>
      <c r="O18102" t="s">
        <v>3486</v>
      </c>
      <c r="Q18102">
        <v>0</v>
      </c>
      <c r="R18102">
        <v>109</v>
      </c>
      <c r="S18102">
        <v>0</v>
      </c>
      <c r="T18102" t="s">
        <v>65980</v>
      </c>
    </row>
    <row r="18103" spans="1:20" customFormat="1" ht="15" x14ac:dyDescent="0.25">
      <c r="A18103" t="s">
        <v>24</v>
      </c>
      <c r="B18103" t="s">
        <v>7040</v>
      </c>
      <c r="C18103" t="str">
        <f>"A0090450"</f>
        <v>A0090450</v>
      </c>
      <c r="D18103" t="s">
        <v>65981</v>
      </c>
      <c r="E18103" t="s">
        <v>65982</v>
      </c>
      <c r="F18103" t="s">
        <v>65983</v>
      </c>
      <c r="G18103" t="s">
        <v>103</v>
      </c>
      <c r="H18103">
        <v>17070</v>
      </c>
      <c r="I18103" t="s">
        <v>30</v>
      </c>
      <c r="J18103" t="s">
        <v>31</v>
      </c>
      <c r="K18103" t="s">
        <v>32</v>
      </c>
      <c r="N18103" t="s">
        <v>65421</v>
      </c>
      <c r="O18103" t="s">
        <v>65984</v>
      </c>
      <c r="Q18103">
        <v>0</v>
      </c>
      <c r="R18103">
        <v>103</v>
      </c>
      <c r="S18103">
        <v>0</v>
      </c>
      <c r="T18103" t="s">
        <v>65985</v>
      </c>
    </row>
    <row r="18104" spans="1:20" customFormat="1" ht="15" x14ac:dyDescent="0.25">
      <c r="A18104" t="s">
        <v>24</v>
      </c>
      <c r="B18104" t="s">
        <v>5435</v>
      </c>
      <c r="C18104" t="str">
        <f>"A0091946"</f>
        <v>A0091946</v>
      </c>
      <c r="D18104" t="s">
        <v>65986</v>
      </c>
      <c r="E18104" t="s">
        <v>65987</v>
      </c>
      <c r="F18104" t="s">
        <v>997</v>
      </c>
      <c r="G18104" t="s">
        <v>99</v>
      </c>
      <c r="H18104">
        <v>10002</v>
      </c>
      <c r="I18104" t="s">
        <v>30</v>
      </c>
      <c r="J18104" t="s">
        <v>31</v>
      </c>
      <c r="K18104" t="s">
        <v>32</v>
      </c>
      <c r="N18104" t="s">
        <v>65988</v>
      </c>
      <c r="Q18104">
        <v>0</v>
      </c>
      <c r="R18104">
        <v>95</v>
      </c>
      <c r="S18104">
        <v>0</v>
      </c>
      <c r="T18104" t="s">
        <v>65989</v>
      </c>
    </row>
    <row r="18105" spans="1:20" customFormat="1" ht="15" x14ac:dyDescent="0.25">
      <c r="A18105" t="s">
        <v>24</v>
      </c>
      <c r="B18105" t="s">
        <v>4400</v>
      </c>
      <c r="C18105" t="str">
        <f>"432ZX"</f>
        <v>432ZX</v>
      </c>
      <c r="D18105" t="s">
        <v>65990</v>
      </c>
      <c r="E18105" t="s">
        <v>65991</v>
      </c>
      <c r="F18105" t="s">
        <v>61280</v>
      </c>
      <c r="G18105" t="s">
        <v>40</v>
      </c>
      <c r="H18105">
        <v>73071</v>
      </c>
      <c r="I18105" t="s">
        <v>30</v>
      </c>
      <c r="J18105" t="s">
        <v>31</v>
      </c>
      <c r="K18105" t="s">
        <v>32</v>
      </c>
      <c r="N18105" t="s">
        <v>61281</v>
      </c>
      <c r="Q18105">
        <v>0</v>
      </c>
      <c r="R18105">
        <v>74</v>
      </c>
      <c r="S18105">
        <v>0</v>
      </c>
      <c r="T18105" t="s">
        <v>65992</v>
      </c>
    </row>
    <row r="18106" spans="1:20" customFormat="1" ht="15" x14ac:dyDescent="0.25">
      <c r="A18106" t="s">
        <v>24</v>
      </c>
      <c r="B18106" t="s">
        <v>65993</v>
      </c>
      <c r="C18106" t="str">
        <f>"432TZ"</f>
        <v>432TZ</v>
      </c>
      <c r="D18106" t="s">
        <v>65994</v>
      </c>
      <c r="E18106" t="s">
        <v>65995</v>
      </c>
      <c r="F18106" t="s">
        <v>65996</v>
      </c>
      <c r="G18106" t="s">
        <v>81</v>
      </c>
      <c r="H18106">
        <v>32073</v>
      </c>
      <c r="I18106" t="s">
        <v>30</v>
      </c>
      <c r="J18106" t="s">
        <v>31</v>
      </c>
      <c r="K18106" t="s">
        <v>32</v>
      </c>
      <c r="N18106" t="s">
        <v>65997</v>
      </c>
      <c r="Q18106">
        <v>0</v>
      </c>
      <c r="R18106">
        <v>83</v>
      </c>
      <c r="S18106">
        <v>0</v>
      </c>
      <c r="T18106" t="s">
        <v>65998</v>
      </c>
    </row>
    <row r="18107" spans="1:20" customFormat="1" ht="15" x14ac:dyDescent="0.25">
      <c r="A18107" t="s">
        <v>24</v>
      </c>
      <c r="B18107" t="s">
        <v>675</v>
      </c>
      <c r="C18107" t="str">
        <f>"582KR"</f>
        <v>582KR</v>
      </c>
      <c r="D18107" t="s">
        <v>65999</v>
      </c>
      <c r="E18107" t="s">
        <v>66000</v>
      </c>
      <c r="F18107" t="s">
        <v>985</v>
      </c>
      <c r="G18107" t="s">
        <v>81</v>
      </c>
      <c r="H18107">
        <v>32821</v>
      </c>
      <c r="I18107" t="s">
        <v>30</v>
      </c>
      <c r="J18107" t="s">
        <v>31</v>
      </c>
      <c r="K18107" t="s">
        <v>32</v>
      </c>
      <c r="N18107" t="s">
        <v>66001</v>
      </c>
      <c r="Q18107">
        <v>0</v>
      </c>
      <c r="R18107">
        <v>388</v>
      </c>
      <c r="S18107">
        <v>0</v>
      </c>
      <c r="T18107" t="s">
        <v>66002</v>
      </c>
    </row>
    <row r="18108" spans="1:20" customFormat="1" ht="15" x14ac:dyDescent="0.25">
      <c r="A18108" t="s">
        <v>24</v>
      </c>
      <c r="B18108" t="s">
        <v>2005</v>
      </c>
      <c r="C18108" t="str">
        <f>"432BE"</f>
        <v>432BE</v>
      </c>
      <c r="D18108" t="s">
        <v>66003</v>
      </c>
      <c r="E18108" t="s">
        <v>66004</v>
      </c>
      <c r="F18108" t="s">
        <v>57432</v>
      </c>
      <c r="G18108" t="s">
        <v>840</v>
      </c>
      <c r="H18108">
        <v>42303</v>
      </c>
      <c r="I18108" t="s">
        <v>30</v>
      </c>
      <c r="J18108" t="s">
        <v>31</v>
      </c>
      <c r="K18108" t="s">
        <v>32</v>
      </c>
      <c r="N18108" t="s">
        <v>66005</v>
      </c>
      <c r="O18108" t="s">
        <v>66006</v>
      </c>
      <c r="Q18108">
        <v>0</v>
      </c>
      <c r="R18108">
        <v>100</v>
      </c>
      <c r="S18108">
        <v>0</v>
      </c>
      <c r="T18108" t="s">
        <v>66007</v>
      </c>
    </row>
    <row r="18109" spans="1:20" customFormat="1" ht="15" x14ac:dyDescent="0.25">
      <c r="A18109" t="s">
        <v>24</v>
      </c>
      <c r="B18109" t="s">
        <v>34154</v>
      </c>
      <c r="C18109" t="str">
        <f>"432XK"</f>
        <v>432XK</v>
      </c>
      <c r="D18109" t="s">
        <v>66008</v>
      </c>
      <c r="E18109" t="s">
        <v>66009</v>
      </c>
      <c r="F18109" t="s">
        <v>1017</v>
      </c>
      <c r="G18109" t="s">
        <v>81</v>
      </c>
      <c r="H18109">
        <v>32514</v>
      </c>
      <c r="I18109" t="s">
        <v>30</v>
      </c>
      <c r="J18109" t="s">
        <v>31</v>
      </c>
      <c r="K18109" t="s">
        <v>32</v>
      </c>
      <c r="N18109" t="s">
        <v>66010</v>
      </c>
      <c r="O18109" t="s">
        <v>66011</v>
      </c>
      <c r="Q18109">
        <v>0</v>
      </c>
      <c r="R18109">
        <v>63</v>
      </c>
      <c r="S18109">
        <v>0</v>
      </c>
      <c r="T18109" t="s">
        <v>66012</v>
      </c>
    </row>
    <row r="18110" spans="1:20" customFormat="1" ht="15" x14ac:dyDescent="0.25">
      <c r="A18110" t="s">
        <v>24</v>
      </c>
      <c r="B18110" t="s">
        <v>56826</v>
      </c>
      <c r="C18110" t="str">
        <f>"4323J"</f>
        <v>4323J</v>
      </c>
      <c r="D18110" t="s">
        <v>66013</v>
      </c>
      <c r="E18110" t="s">
        <v>66014</v>
      </c>
      <c r="F18110" t="s">
        <v>66015</v>
      </c>
      <c r="G18110" t="s">
        <v>899</v>
      </c>
      <c r="H18110">
        <v>2346</v>
      </c>
      <c r="I18110" t="s">
        <v>30</v>
      </c>
      <c r="J18110" t="s">
        <v>31</v>
      </c>
      <c r="K18110" t="s">
        <v>32</v>
      </c>
      <c r="N18110" t="s">
        <v>66016</v>
      </c>
      <c r="Q18110">
        <v>0</v>
      </c>
      <c r="R18110">
        <v>102</v>
      </c>
      <c r="S18110">
        <v>0</v>
      </c>
      <c r="T18110" t="s">
        <v>66017</v>
      </c>
    </row>
    <row r="18111" spans="1:20" customFormat="1" ht="15" x14ac:dyDescent="0.25">
      <c r="A18111" t="s">
        <v>24</v>
      </c>
      <c r="B18111" t="s">
        <v>59423</v>
      </c>
      <c r="C18111" t="str">
        <f>"432YC"</f>
        <v>432YC</v>
      </c>
      <c r="D18111" t="s">
        <v>66018</v>
      </c>
      <c r="E18111" t="s">
        <v>66019</v>
      </c>
      <c r="F18111" t="s">
        <v>66020</v>
      </c>
      <c r="G18111" t="s">
        <v>40</v>
      </c>
      <c r="H18111">
        <v>74601</v>
      </c>
      <c r="I18111" t="s">
        <v>30</v>
      </c>
      <c r="J18111" t="s">
        <v>31</v>
      </c>
      <c r="K18111" t="s">
        <v>32</v>
      </c>
      <c r="N18111" t="s">
        <v>66021</v>
      </c>
      <c r="Q18111">
        <v>0</v>
      </c>
      <c r="R18111">
        <v>63</v>
      </c>
      <c r="S18111">
        <v>0</v>
      </c>
      <c r="T18111" t="s">
        <v>66022</v>
      </c>
    </row>
    <row r="18112" spans="1:20" customFormat="1" ht="15" x14ac:dyDescent="0.25">
      <c r="A18112" t="s">
        <v>24</v>
      </c>
      <c r="B18112" t="s">
        <v>66023</v>
      </c>
      <c r="C18112" t="str">
        <f>"432PE"</f>
        <v>432PE</v>
      </c>
      <c r="D18112" t="s">
        <v>66024</v>
      </c>
      <c r="E18112" t="s">
        <v>66025</v>
      </c>
      <c r="F18112" t="s">
        <v>66026</v>
      </c>
      <c r="G18112" t="s">
        <v>117</v>
      </c>
      <c r="H18112">
        <v>48060</v>
      </c>
      <c r="I18112" t="s">
        <v>30</v>
      </c>
      <c r="J18112" t="s">
        <v>31</v>
      </c>
      <c r="K18112" t="s">
        <v>32</v>
      </c>
      <c r="N18112" t="s">
        <v>66027</v>
      </c>
      <c r="O18112" t="s">
        <v>66028</v>
      </c>
      <c r="Q18112">
        <v>0</v>
      </c>
      <c r="R18112">
        <v>62</v>
      </c>
      <c r="S18112">
        <v>0</v>
      </c>
      <c r="T18112" t="s">
        <v>66029</v>
      </c>
    </row>
    <row r="18113" spans="1:25" customFormat="1" ht="15" x14ac:dyDescent="0.25">
      <c r="A18113" t="s">
        <v>24</v>
      </c>
      <c r="B18113" t="s">
        <v>55506</v>
      </c>
      <c r="C18113" t="str">
        <f>"A0078569"</f>
        <v>A0078569</v>
      </c>
      <c r="D18113" t="s">
        <v>66030</v>
      </c>
      <c r="E18113" t="s">
        <v>66031</v>
      </c>
      <c r="F18113" t="s">
        <v>3517</v>
      </c>
      <c r="G18113" t="s">
        <v>110</v>
      </c>
      <c r="H18113">
        <v>95815</v>
      </c>
      <c r="I18113" t="s">
        <v>30</v>
      </c>
      <c r="J18113" t="s">
        <v>31</v>
      </c>
      <c r="K18113" t="s">
        <v>32</v>
      </c>
      <c r="N18113" t="s">
        <v>61627</v>
      </c>
      <c r="Q18113">
        <v>0</v>
      </c>
      <c r="R18113">
        <v>74</v>
      </c>
      <c r="S18113">
        <v>0</v>
      </c>
      <c r="T18113" t="s">
        <v>66032</v>
      </c>
    </row>
    <row r="18114" spans="1:25" customFormat="1" ht="15" hidden="1" x14ac:dyDescent="0.25">
      <c r="A18114" t="s">
        <v>24</v>
      </c>
      <c r="B18114" t="s">
        <v>675</v>
      </c>
      <c r="C18114" t="str">
        <f>"A0117562"</f>
        <v>A0117562</v>
      </c>
      <c r="D18114" t="s">
        <v>66033</v>
      </c>
      <c r="E18114" t="s">
        <v>66034</v>
      </c>
      <c r="F18114" t="s">
        <v>66035</v>
      </c>
      <c r="G18114" t="s">
        <v>55192</v>
      </c>
      <c r="I18114" t="s">
        <v>55194</v>
      </c>
      <c r="J18114" t="s">
        <v>31</v>
      </c>
      <c r="K18114" t="s">
        <v>32</v>
      </c>
      <c r="N18114" t="s">
        <v>66036</v>
      </c>
      <c r="Q18114">
        <v>0</v>
      </c>
      <c r="R18114">
        <v>130</v>
      </c>
      <c r="S18114">
        <v>0</v>
      </c>
      <c r="T18114" t="s">
        <v>66037</v>
      </c>
    </row>
    <row r="18115" spans="1:25" customFormat="1" ht="15" x14ac:dyDescent="0.25">
      <c r="A18115" t="s">
        <v>24</v>
      </c>
      <c r="B18115" t="s">
        <v>58993</v>
      </c>
      <c r="C18115" t="str">
        <f>"A0155391"</f>
        <v>A0155391</v>
      </c>
      <c r="D18115" t="s">
        <v>66038</v>
      </c>
      <c r="E18115" t="s">
        <v>66039</v>
      </c>
      <c r="F18115" t="s">
        <v>65482</v>
      </c>
      <c r="G18115" t="s">
        <v>65</v>
      </c>
      <c r="H18115">
        <v>44870</v>
      </c>
      <c r="I18115" t="s">
        <v>30</v>
      </c>
      <c r="J18115" t="s">
        <v>31</v>
      </c>
      <c r="K18115" t="s">
        <v>32</v>
      </c>
      <c r="N18115" t="s">
        <v>66040</v>
      </c>
      <c r="Q18115">
        <v>0</v>
      </c>
      <c r="R18115">
        <v>67</v>
      </c>
      <c r="S18115">
        <v>0</v>
      </c>
      <c r="T18115" t="s">
        <v>66041</v>
      </c>
    </row>
    <row r="18116" spans="1:25" customFormat="1" ht="15" x14ac:dyDescent="0.25">
      <c r="A18116" t="s">
        <v>24</v>
      </c>
      <c r="B18116" t="s">
        <v>13679</v>
      </c>
      <c r="C18116" t="str">
        <f>"432PH"</f>
        <v>432PH</v>
      </c>
      <c r="D18116" t="s">
        <v>66042</v>
      </c>
      <c r="E18116" t="s">
        <v>66043</v>
      </c>
      <c r="F18116" t="s">
        <v>66044</v>
      </c>
      <c r="G18116" t="s">
        <v>110</v>
      </c>
      <c r="H18116">
        <v>91381</v>
      </c>
      <c r="I18116" t="s">
        <v>30</v>
      </c>
      <c r="J18116" t="s">
        <v>31</v>
      </c>
      <c r="K18116" t="s">
        <v>32</v>
      </c>
      <c r="N18116" t="s">
        <v>66045</v>
      </c>
      <c r="Q18116">
        <v>0</v>
      </c>
      <c r="R18116">
        <v>66</v>
      </c>
      <c r="S18116">
        <v>0</v>
      </c>
      <c r="T18116" t="s">
        <v>66046</v>
      </c>
    </row>
    <row r="18117" spans="1:25" customFormat="1" ht="15" x14ac:dyDescent="0.25">
      <c r="A18117" t="s">
        <v>24</v>
      </c>
      <c r="B18117" t="s">
        <v>34743</v>
      </c>
      <c r="C18117" t="str">
        <f>"A0055361"</f>
        <v>A0055361</v>
      </c>
      <c r="D18117" t="s">
        <v>66047</v>
      </c>
      <c r="E18117" t="s">
        <v>66048</v>
      </c>
      <c r="F18117" t="s">
        <v>2839</v>
      </c>
      <c r="G18117" t="s">
        <v>846</v>
      </c>
      <c r="H18117">
        <v>31401</v>
      </c>
      <c r="I18117" t="s">
        <v>30</v>
      </c>
      <c r="J18117" t="s">
        <v>31</v>
      </c>
      <c r="K18117" t="s">
        <v>32</v>
      </c>
      <c r="N18117" t="s">
        <v>66049</v>
      </c>
      <c r="Q18117">
        <v>0</v>
      </c>
      <c r="R18117">
        <v>140</v>
      </c>
      <c r="S18117">
        <v>0</v>
      </c>
      <c r="T18117" t="s">
        <v>66050</v>
      </c>
    </row>
    <row r="18118" spans="1:25" customFormat="1" ht="15" x14ac:dyDescent="0.25">
      <c r="A18118" t="s">
        <v>24</v>
      </c>
      <c r="B18118" t="s">
        <v>55997</v>
      </c>
      <c r="C18118" t="str">
        <f>"432YQ"</f>
        <v>432YQ</v>
      </c>
      <c r="D18118" t="s">
        <v>66051</v>
      </c>
      <c r="E18118" t="s">
        <v>66052</v>
      </c>
      <c r="F18118" t="s">
        <v>1153</v>
      </c>
      <c r="G18118" t="s">
        <v>338</v>
      </c>
      <c r="H18118">
        <v>7114</v>
      </c>
      <c r="I18118" t="s">
        <v>30</v>
      </c>
      <c r="J18118" t="s">
        <v>31</v>
      </c>
      <c r="K18118" t="s">
        <v>32</v>
      </c>
      <c r="N18118" t="s">
        <v>66053</v>
      </c>
      <c r="O18118" t="s">
        <v>66054</v>
      </c>
      <c r="Q18118">
        <v>0</v>
      </c>
      <c r="R18118">
        <v>163</v>
      </c>
      <c r="S18118">
        <v>0</v>
      </c>
      <c r="T18118" t="s">
        <v>66055</v>
      </c>
    </row>
    <row r="18119" spans="1:25" customFormat="1" ht="15" x14ac:dyDescent="0.25">
      <c r="A18119" t="s">
        <v>24</v>
      </c>
      <c r="B18119" t="s">
        <v>60077</v>
      </c>
      <c r="C18119" t="str">
        <f>"432YD"</f>
        <v>432YD</v>
      </c>
      <c r="D18119" t="s">
        <v>66056</v>
      </c>
      <c r="E18119" t="s">
        <v>66057</v>
      </c>
      <c r="F18119" t="s">
        <v>3955</v>
      </c>
      <c r="G18119" t="s">
        <v>81</v>
      </c>
      <c r="H18119">
        <v>33619</v>
      </c>
      <c r="I18119" t="s">
        <v>30</v>
      </c>
      <c r="J18119" t="s">
        <v>31</v>
      </c>
      <c r="K18119" t="s">
        <v>32</v>
      </c>
      <c r="N18119" t="s">
        <v>61996</v>
      </c>
      <c r="O18119" t="s">
        <v>61997</v>
      </c>
      <c r="Q18119">
        <v>0</v>
      </c>
      <c r="R18119">
        <v>107</v>
      </c>
      <c r="S18119">
        <v>0</v>
      </c>
      <c r="T18119" t="s">
        <v>66058</v>
      </c>
    </row>
    <row r="18120" spans="1:25" customFormat="1" ht="15" x14ac:dyDescent="0.25">
      <c r="A18120" t="s">
        <v>24</v>
      </c>
      <c r="B18120" t="s">
        <v>33380</v>
      </c>
      <c r="C18120" t="str">
        <f>"432EH"</f>
        <v>432EH</v>
      </c>
      <c r="D18120" t="s">
        <v>66059</v>
      </c>
      <c r="E18120" t="s">
        <v>66060</v>
      </c>
      <c r="F18120" t="s">
        <v>66061</v>
      </c>
      <c r="G18120" t="s">
        <v>117</v>
      </c>
      <c r="H18120">
        <v>49684</v>
      </c>
      <c r="I18120" t="s">
        <v>30</v>
      </c>
      <c r="J18120" t="s">
        <v>31</v>
      </c>
      <c r="K18120" t="s">
        <v>32</v>
      </c>
      <c r="N18120" t="s">
        <v>66062</v>
      </c>
      <c r="O18120" t="s">
        <v>66063</v>
      </c>
      <c r="Q18120">
        <v>0</v>
      </c>
      <c r="R18120">
        <v>85</v>
      </c>
      <c r="S18120">
        <v>0</v>
      </c>
      <c r="T18120" t="s">
        <v>66064</v>
      </c>
    </row>
    <row r="18121" spans="1:25" customFormat="1" ht="15" x14ac:dyDescent="0.25">
      <c r="A18121" t="s">
        <v>24</v>
      </c>
      <c r="B18121" t="s">
        <v>649</v>
      </c>
      <c r="C18121" t="str">
        <f>"432PX"</f>
        <v>432PX</v>
      </c>
      <c r="D18121" t="s">
        <v>66065</v>
      </c>
      <c r="E18121" t="s">
        <v>66066</v>
      </c>
      <c r="F18121" t="s">
        <v>34042</v>
      </c>
      <c r="G18121" t="s">
        <v>1706</v>
      </c>
      <c r="H18121">
        <v>35405</v>
      </c>
      <c r="I18121" t="s">
        <v>30</v>
      </c>
      <c r="J18121" t="s">
        <v>31</v>
      </c>
      <c r="K18121" t="s">
        <v>32</v>
      </c>
      <c r="N18121" t="s">
        <v>66067</v>
      </c>
      <c r="O18121" t="s">
        <v>62082</v>
      </c>
      <c r="Q18121">
        <v>0</v>
      </c>
      <c r="R18121">
        <v>63</v>
      </c>
      <c r="S18121">
        <v>0</v>
      </c>
      <c r="T18121" t="s">
        <v>66068</v>
      </c>
    </row>
    <row r="18122" spans="1:25" customFormat="1" ht="15" x14ac:dyDescent="0.25">
      <c r="A18122" t="s">
        <v>24</v>
      </c>
      <c r="B18122" t="s">
        <v>64474</v>
      </c>
      <c r="C18122" t="str">
        <f>"A0089143"</f>
        <v>A0089143</v>
      </c>
      <c r="D18122" t="s">
        <v>66069</v>
      </c>
      <c r="E18122" t="s">
        <v>66070</v>
      </c>
      <c r="F18122" t="s">
        <v>66071</v>
      </c>
      <c r="G18122" t="s">
        <v>507</v>
      </c>
      <c r="H18122">
        <v>26062</v>
      </c>
      <c r="I18122" t="s">
        <v>30</v>
      </c>
      <c r="J18122" t="s">
        <v>31</v>
      </c>
      <c r="K18122" t="s">
        <v>32</v>
      </c>
      <c r="N18122" t="s">
        <v>66072</v>
      </c>
      <c r="O18122" t="s">
        <v>66073</v>
      </c>
      <c r="Q18122">
        <v>0</v>
      </c>
      <c r="R18122">
        <v>86</v>
      </c>
      <c r="S18122">
        <v>0</v>
      </c>
      <c r="T18122" t="s">
        <v>66074</v>
      </c>
    </row>
    <row r="18123" spans="1:25" customFormat="1" ht="15" x14ac:dyDescent="0.25">
      <c r="A18123" t="s">
        <v>24</v>
      </c>
      <c r="B18123" t="s">
        <v>53262</v>
      </c>
      <c r="C18123" t="str">
        <f>"A0078608"</f>
        <v>A0078608</v>
      </c>
      <c r="D18123" t="s">
        <v>66075</v>
      </c>
      <c r="E18123" t="s">
        <v>66076</v>
      </c>
      <c r="F18123" t="s">
        <v>15693</v>
      </c>
      <c r="G18123" t="s">
        <v>214</v>
      </c>
      <c r="H18123">
        <v>27893</v>
      </c>
      <c r="I18123" t="s">
        <v>30</v>
      </c>
      <c r="J18123" t="s">
        <v>31</v>
      </c>
      <c r="K18123" t="s">
        <v>32</v>
      </c>
      <c r="N18123" t="s">
        <v>66077</v>
      </c>
      <c r="Q18123">
        <v>0</v>
      </c>
      <c r="R18123">
        <v>71</v>
      </c>
      <c r="S18123">
        <v>0</v>
      </c>
      <c r="T18123" t="s">
        <v>66078</v>
      </c>
    </row>
    <row r="18124" spans="1:25" customFormat="1" x14ac:dyDescent="0.25">
      <c r="A18124" s="4" t="s">
        <v>24</v>
      </c>
      <c r="B18124" s="4" t="s">
        <v>77575</v>
      </c>
      <c r="C18124" s="4" t="str">
        <f>"A0095431"</f>
        <v>A0095431</v>
      </c>
      <c r="D18124" s="4" t="s">
        <v>77576</v>
      </c>
      <c r="E18124" s="4" t="s">
        <v>77577</v>
      </c>
      <c r="F18124" s="4" t="s">
        <v>4189</v>
      </c>
      <c r="G18124" s="4" t="s">
        <v>47</v>
      </c>
      <c r="H18124" s="4">
        <v>97701</v>
      </c>
      <c r="I18124" s="4" t="s">
        <v>30</v>
      </c>
      <c r="J18124" s="4" t="s">
        <v>206</v>
      </c>
      <c r="K18124" s="4" t="s">
        <v>163</v>
      </c>
      <c r="L18124" s="4"/>
      <c r="M18124" s="4"/>
      <c r="N18124" s="4" t="s">
        <v>77578</v>
      </c>
      <c r="O18124" s="4" t="s">
        <v>77579</v>
      </c>
      <c r="P18124" s="4"/>
      <c r="Q18124" s="4">
        <v>0</v>
      </c>
      <c r="R18124" s="4">
        <v>152</v>
      </c>
      <c r="S18124" s="4">
        <v>0</v>
      </c>
      <c r="T18124" s="4" t="s">
        <v>77580</v>
      </c>
      <c r="U18124" s="4"/>
      <c r="V18124" s="4"/>
      <c r="W18124" s="4"/>
      <c r="X18124" s="4"/>
      <c r="Y18124" s="4"/>
    </row>
    <row r="18125" spans="1:25" x14ac:dyDescent="0.25">
      <c r="A18125" s="3" t="s">
        <v>24</v>
      </c>
      <c r="B18125" s="3" t="s">
        <v>56702</v>
      </c>
      <c r="C18125" s="3" t="str">
        <f>"A0094764"</f>
        <v>A0094764</v>
      </c>
      <c r="D18125" s="3" t="s">
        <v>84463</v>
      </c>
      <c r="E18125" s="3" t="s">
        <v>84464</v>
      </c>
      <c r="F18125" s="3" t="s">
        <v>6593</v>
      </c>
      <c r="G18125" s="3" t="s">
        <v>47</v>
      </c>
      <c r="H18125" s="3">
        <v>97204</v>
      </c>
      <c r="I18125" s="3" t="s">
        <v>30</v>
      </c>
      <c r="J18125" s="3" t="s">
        <v>206</v>
      </c>
      <c r="K18125" s="3" t="s">
        <v>6459</v>
      </c>
      <c r="N18125" s="3" t="s">
        <v>84465</v>
      </c>
      <c r="O18125" s="3" t="s">
        <v>84466</v>
      </c>
      <c r="Q18125" s="3">
        <v>0</v>
      </c>
      <c r="R18125" s="3">
        <v>120</v>
      </c>
      <c r="S18125" s="3">
        <v>0</v>
      </c>
      <c r="T18125" s="3" t="s">
        <v>84467</v>
      </c>
    </row>
    <row r="18126" spans="1:25" x14ac:dyDescent="0.25">
      <c r="A18126" s="3" t="s">
        <v>24</v>
      </c>
      <c r="B18126" s="3" t="s">
        <v>5166</v>
      </c>
      <c r="C18126" s="3" t="str">
        <f>"A0100520"</f>
        <v>A0100520</v>
      </c>
      <c r="D18126" s="3" t="s">
        <v>84504</v>
      </c>
      <c r="E18126" s="3" t="s">
        <v>84505</v>
      </c>
      <c r="F18126" s="3" t="s">
        <v>6593</v>
      </c>
      <c r="G18126" s="3" t="s">
        <v>47</v>
      </c>
      <c r="H18126" s="3">
        <v>97201</v>
      </c>
      <c r="I18126" s="3" t="s">
        <v>30</v>
      </c>
      <c r="J18126" s="3" t="s">
        <v>206</v>
      </c>
      <c r="K18126" s="3" t="s">
        <v>163</v>
      </c>
      <c r="N18126" s="3" t="s">
        <v>84506</v>
      </c>
      <c r="O18126" s="3" t="s">
        <v>59270</v>
      </c>
      <c r="Q18126" s="3">
        <v>0</v>
      </c>
      <c r="R18126" s="3">
        <v>174</v>
      </c>
      <c r="S18126" s="3">
        <v>0</v>
      </c>
      <c r="T18126" s="3" t="s">
        <v>84507</v>
      </c>
    </row>
    <row r="18127" spans="1:25" hidden="1" x14ac:dyDescent="0.25">
      <c r="A18127" s="3" t="s">
        <v>24</v>
      </c>
      <c r="B18127" s="3" t="s">
        <v>13304</v>
      </c>
      <c r="C18127" s="3" t="str">
        <f>"A0156980"</f>
        <v>A0156980</v>
      </c>
      <c r="D18127" s="3" t="s">
        <v>66094</v>
      </c>
      <c r="E18127" s="3" t="s">
        <v>66095</v>
      </c>
      <c r="F18127" s="3" t="s">
        <v>14902</v>
      </c>
      <c r="G18127" s="3" t="s">
        <v>9901</v>
      </c>
      <c r="H18127" s="3">
        <v>979</v>
      </c>
      <c r="I18127" s="3" t="s">
        <v>9902</v>
      </c>
      <c r="J18127" s="3" t="s">
        <v>206</v>
      </c>
      <c r="K18127" s="3" t="s">
        <v>32744</v>
      </c>
      <c r="N18127" s="3" t="s">
        <v>66096</v>
      </c>
      <c r="Q18127" s="3">
        <v>0</v>
      </c>
      <c r="R18127" s="3">
        <v>388</v>
      </c>
      <c r="S18127" s="3">
        <v>0</v>
      </c>
      <c r="T18127" s="3" t="s">
        <v>66097</v>
      </c>
    </row>
    <row r="18128" spans="1:25" x14ac:dyDescent="0.25">
      <c r="A18128" s="3" t="s">
        <v>24</v>
      </c>
      <c r="B18128" s="3" t="s">
        <v>5166</v>
      </c>
      <c r="C18128" s="3" t="str">
        <f>"A0086178"</f>
        <v>A0086178</v>
      </c>
      <c r="D18128" s="3" t="s">
        <v>84782</v>
      </c>
      <c r="E18128" s="3" t="s">
        <v>84783</v>
      </c>
      <c r="F18128" s="3" t="s">
        <v>6593</v>
      </c>
      <c r="G18128" s="3" t="s">
        <v>47</v>
      </c>
      <c r="H18128" s="3">
        <v>97204</v>
      </c>
      <c r="I18128" s="3" t="s">
        <v>30</v>
      </c>
      <c r="J18128" s="3" t="s">
        <v>206</v>
      </c>
      <c r="K18128" s="3" t="s">
        <v>55170</v>
      </c>
      <c r="N18128" s="3" t="s">
        <v>84784</v>
      </c>
      <c r="O18128" s="3" t="s">
        <v>84506</v>
      </c>
      <c r="Q18128" s="3">
        <v>0</v>
      </c>
      <c r="R18128" s="3">
        <v>331</v>
      </c>
      <c r="S18128" s="3">
        <v>0</v>
      </c>
      <c r="T18128" s="3" t="s">
        <v>84785</v>
      </c>
    </row>
    <row r="18129" spans="1:20" customFormat="1" ht="15" hidden="1" x14ac:dyDescent="0.25">
      <c r="A18129" t="s">
        <v>24</v>
      </c>
      <c r="B18129" t="s">
        <v>66103</v>
      </c>
      <c r="C18129" t="str">
        <f>"A0087508"</f>
        <v>A0087508</v>
      </c>
      <c r="D18129" t="s">
        <v>66104</v>
      </c>
      <c r="E18129" t="s">
        <v>66105</v>
      </c>
      <c r="F18129" t="s">
        <v>62894</v>
      </c>
      <c r="G18129" t="s">
        <v>2270</v>
      </c>
      <c r="H18129" t="s">
        <v>66106</v>
      </c>
      <c r="I18129" t="s">
        <v>1459</v>
      </c>
      <c r="J18129" t="s">
        <v>2544</v>
      </c>
      <c r="K18129" t="s">
        <v>32744</v>
      </c>
      <c r="Q18129">
        <v>0</v>
      </c>
      <c r="R18129">
        <v>22</v>
      </c>
      <c r="S18129">
        <v>0</v>
      </c>
      <c r="T18129" t="s">
        <v>66107</v>
      </c>
    </row>
    <row r="18130" spans="1:20" customFormat="1" ht="15" x14ac:dyDescent="0.25">
      <c r="A18130" t="s">
        <v>24</v>
      </c>
      <c r="B18130" t="s">
        <v>13304</v>
      </c>
      <c r="C18130" t="str">
        <f>"A0086150"</f>
        <v>A0086150</v>
      </c>
      <c r="D18130" t="s">
        <v>66108</v>
      </c>
      <c r="E18130" t="s">
        <v>66109</v>
      </c>
      <c r="F18130" t="s">
        <v>748</v>
      </c>
      <c r="G18130" t="s">
        <v>110</v>
      </c>
      <c r="H18130">
        <v>94109</v>
      </c>
      <c r="I18130" t="s">
        <v>30</v>
      </c>
      <c r="J18130" t="s">
        <v>2544</v>
      </c>
      <c r="K18130" t="s">
        <v>32744</v>
      </c>
      <c r="N18130" t="s">
        <v>66110</v>
      </c>
      <c r="O18130" t="s">
        <v>66111</v>
      </c>
      <c r="Q18130">
        <v>0</v>
      </c>
      <c r="R18130">
        <v>109</v>
      </c>
      <c r="S18130">
        <v>0</v>
      </c>
      <c r="T18130" t="s">
        <v>66112</v>
      </c>
    </row>
    <row r="18131" spans="1:20" customFormat="1" ht="15" x14ac:dyDescent="0.25">
      <c r="A18131" t="s">
        <v>24</v>
      </c>
      <c r="B18131" t="s">
        <v>13304</v>
      </c>
      <c r="C18131" t="str">
        <f>"A0087452"</f>
        <v>A0087452</v>
      </c>
      <c r="D18131" t="s">
        <v>66113</v>
      </c>
      <c r="E18131" t="s">
        <v>66114</v>
      </c>
      <c r="F18131" t="s">
        <v>66115</v>
      </c>
      <c r="G18131" t="s">
        <v>81</v>
      </c>
      <c r="H18131">
        <v>32550</v>
      </c>
      <c r="I18131" t="s">
        <v>30</v>
      </c>
      <c r="J18131" t="s">
        <v>2544</v>
      </c>
      <c r="K18131" t="s">
        <v>32744</v>
      </c>
      <c r="Q18131">
        <v>0</v>
      </c>
      <c r="R18131">
        <v>20</v>
      </c>
      <c r="S18131">
        <v>0</v>
      </c>
      <c r="T18131" t="s">
        <v>66116</v>
      </c>
    </row>
    <row r="18132" spans="1:20" x14ac:dyDescent="0.25">
      <c r="A18132" s="3" t="s">
        <v>24</v>
      </c>
      <c r="B18132" s="3" t="s">
        <v>5166</v>
      </c>
      <c r="C18132" s="3" t="str">
        <f>"A0100612"</f>
        <v>A0100612</v>
      </c>
      <c r="D18132" s="3" t="s">
        <v>13642</v>
      </c>
      <c r="E18132" s="3" t="s">
        <v>13643</v>
      </c>
      <c r="F18132" s="3" t="s">
        <v>271</v>
      </c>
      <c r="G18132" s="3" t="s">
        <v>103</v>
      </c>
      <c r="H18132" s="3">
        <v>15219</v>
      </c>
      <c r="I18132" s="3" t="s">
        <v>30</v>
      </c>
      <c r="J18132" s="3" t="s">
        <v>206</v>
      </c>
      <c r="K18132" s="3" t="s">
        <v>5707</v>
      </c>
      <c r="N18132" s="3" t="s">
        <v>13644</v>
      </c>
      <c r="O18132" s="3" t="s">
        <v>13645</v>
      </c>
      <c r="Q18132" s="3">
        <v>0</v>
      </c>
      <c r="R18132" s="3">
        <v>185</v>
      </c>
      <c r="S18132" s="3">
        <v>0</v>
      </c>
      <c r="T18132" s="3" t="s">
        <v>13646</v>
      </c>
    </row>
    <row r="18133" spans="1:20" hidden="1" x14ac:dyDescent="0.25">
      <c r="A18133" s="3" t="s">
        <v>24</v>
      </c>
      <c r="B18133" s="3" t="s">
        <v>66103</v>
      </c>
      <c r="C18133" s="3" t="str">
        <f>"15256"</f>
        <v>15256</v>
      </c>
      <c r="D18133" s="3" t="s">
        <v>66120</v>
      </c>
      <c r="E18133" s="3" t="s">
        <v>66121</v>
      </c>
      <c r="F18133" s="3" t="s">
        <v>62829</v>
      </c>
      <c r="G18133" s="3" t="s">
        <v>5439</v>
      </c>
      <c r="H18133" s="3" t="s">
        <v>66122</v>
      </c>
      <c r="I18133" s="3" t="s">
        <v>1459</v>
      </c>
      <c r="J18133" s="3" t="s">
        <v>206</v>
      </c>
      <c r="K18133" s="3" t="s">
        <v>32744</v>
      </c>
      <c r="N18133" s="3" t="s">
        <v>66123</v>
      </c>
      <c r="O18133" s="3" t="s">
        <v>66124</v>
      </c>
      <c r="Q18133" s="3">
        <v>0</v>
      </c>
      <c r="R18133" s="3">
        <v>607</v>
      </c>
      <c r="S18133" s="3">
        <v>0</v>
      </c>
      <c r="T18133" s="3" t="s">
        <v>66125</v>
      </c>
    </row>
    <row r="18134" spans="1:20" hidden="1" x14ac:dyDescent="0.25">
      <c r="A18134" s="3" t="s">
        <v>24</v>
      </c>
      <c r="B18134" s="3" t="s">
        <v>66103</v>
      </c>
      <c r="C18134" s="3" t="str">
        <f>"15257"</f>
        <v>15257</v>
      </c>
      <c r="D18134" s="3" t="s">
        <v>66126</v>
      </c>
      <c r="E18134" s="3" t="s">
        <v>66127</v>
      </c>
      <c r="F18134" s="3" t="s">
        <v>56045</v>
      </c>
      <c r="G18134" s="3" t="s">
        <v>2206</v>
      </c>
      <c r="H18134" s="3" t="s">
        <v>66128</v>
      </c>
      <c r="I18134" s="3" t="s">
        <v>1459</v>
      </c>
      <c r="J18134" s="3" t="s">
        <v>206</v>
      </c>
      <c r="K18134" s="3" t="s">
        <v>32744</v>
      </c>
      <c r="N18134" s="3" t="s">
        <v>55312</v>
      </c>
      <c r="Q18134" s="3">
        <v>0</v>
      </c>
      <c r="R18134" s="3">
        <v>426</v>
      </c>
      <c r="S18134" s="3">
        <v>0</v>
      </c>
      <c r="T18134" s="3" t="s">
        <v>66129</v>
      </c>
    </row>
    <row r="18135" spans="1:20" hidden="1" x14ac:dyDescent="0.25">
      <c r="A18135" s="3" t="s">
        <v>24</v>
      </c>
      <c r="B18135" s="3" t="s">
        <v>66103</v>
      </c>
      <c r="C18135" s="3" t="str">
        <f>"15258"</f>
        <v>15258</v>
      </c>
      <c r="D18135" s="3" t="s">
        <v>66130</v>
      </c>
      <c r="E18135" s="3" t="s">
        <v>66131</v>
      </c>
      <c r="F18135" s="3" t="s">
        <v>66132</v>
      </c>
      <c r="G18135" s="3" t="s">
        <v>5439</v>
      </c>
      <c r="H18135" s="3" t="s">
        <v>66133</v>
      </c>
      <c r="I18135" s="3" t="s">
        <v>1459</v>
      </c>
      <c r="J18135" s="3" t="s">
        <v>206</v>
      </c>
      <c r="K18135" s="3" t="s">
        <v>32744</v>
      </c>
      <c r="N18135" s="3" t="s">
        <v>66134</v>
      </c>
      <c r="Q18135" s="3">
        <v>1</v>
      </c>
      <c r="R18135" s="3">
        <v>211</v>
      </c>
      <c r="S18135" s="3">
        <v>0</v>
      </c>
      <c r="T18135" s="3" t="s">
        <v>66135</v>
      </c>
    </row>
    <row r="18136" spans="1:20" hidden="1" x14ac:dyDescent="0.25">
      <c r="A18136" s="3" t="s">
        <v>24</v>
      </c>
      <c r="B18136" s="3" t="s">
        <v>66103</v>
      </c>
      <c r="C18136" s="3" t="str">
        <f>"15266"</f>
        <v>15266</v>
      </c>
      <c r="D18136" s="3" t="s">
        <v>66136</v>
      </c>
      <c r="E18136" s="3" t="s">
        <v>66137</v>
      </c>
      <c r="F18136" s="3" t="s">
        <v>66138</v>
      </c>
      <c r="G18136" s="3" t="s">
        <v>5439</v>
      </c>
      <c r="H18136" s="3" t="s">
        <v>66139</v>
      </c>
      <c r="I18136" s="3" t="s">
        <v>1459</v>
      </c>
      <c r="J18136" s="3" t="s">
        <v>206</v>
      </c>
      <c r="K18136" s="3" t="s">
        <v>32744</v>
      </c>
      <c r="N18136" s="3" t="s">
        <v>66140</v>
      </c>
      <c r="P18136" s="3" t="s">
        <v>3998</v>
      </c>
      <c r="Q18136" s="3">
        <v>1</v>
      </c>
      <c r="R18136" s="3">
        <v>405</v>
      </c>
      <c r="S18136" s="3">
        <v>0</v>
      </c>
      <c r="T18136" s="3" t="s">
        <v>66141</v>
      </c>
    </row>
    <row r="18137" spans="1:20" hidden="1" x14ac:dyDescent="0.25">
      <c r="A18137" s="3" t="s">
        <v>24</v>
      </c>
      <c r="B18137" s="3" t="s">
        <v>66103</v>
      </c>
      <c r="C18137" s="3" t="str">
        <f>"A0086815"</f>
        <v>A0086815</v>
      </c>
      <c r="D18137" s="3" t="s">
        <v>66142</v>
      </c>
      <c r="E18137" s="3" t="s">
        <v>66143</v>
      </c>
      <c r="F18137" s="3" t="s">
        <v>2269</v>
      </c>
      <c r="G18137" s="3" t="s">
        <v>2270</v>
      </c>
      <c r="H18137" s="3" t="s">
        <v>66144</v>
      </c>
      <c r="I18137" s="3" t="s">
        <v>1459</v>
      </c>
      <c r="J18137" s="3" t="s">
        <v>206</v>
      </c>
      <c r="K18137" s="3" t="s">
        <v>32744</v>
      </c>
      <c r="N18137" s="3" t="s">
        <v>66145</v>
      </c>
      <c r="O18137" s="3" t="s">
        <v>66146</v>
      </c>
      <c r="Q18137" s="3">
        <v>0</v>
      </c>
      <c r="R18137" s="3">
        <v>367</v>
      </c>
      <c r="S18137" s="3">
        <v>0</v>
      </c>
      <c r="T18137" s="3" t="s">
        <v>66147</v>
      </c>
    </row>
    <row r="18138" spans="1:20" x14ac:dyDescent="0.25">
      <c r="A18138" s="3" t="s">
        <v>24</v>
      </c>
      <c r="B18138" s="3" t="s">
        <v>13304</v>
      </c>
      <c r="C18138" s="3" t="str">
        <f>"A0086409"</f>
        <v>A0086409</v>
      </c>
      <c r="D18138" s="3" t="s">
        <v>66148</v>
      </c>
      <c r="E18138" s="3" t="s">
        <v>66149</v>
      </c>
      <c r="F18138" s="3" t="s">
        <v>102</v>
      </c>
      <c r="G18138" s="3" t="s">
        <v>103</v>
      </c>
      <c r="H18138" s="3">
        <v>15222</v>
      </c>
      <c r="I18138" s="3" t="s">
        <v>30</v>
      </c>
      <c r="J18138" s="3" t="s">
        <v>206</v>
      </c>
      <c r="K18138" s="3" t="s">
        <v>32744</v>
      </c>
      <c r="N18138" s="3" t="s">
        <v>66150</v>
      </c>
      <c r="Q18138" s="3">
        <v>0</v>
      </c>
      <c r="R18138" s="3">
        <v>165</v>
      </c>
      <c r="S18138" s="3">
        <v>0</v>
      </c>
      <c r="T18138" s="3" t="s">
        <v>66151</v>
      </c>
    </row>
    <row r="18139" spans="1:20" hidden="1" x14ac:dyDescent="0.25">
      <c r="A18139" s="3" t="s">
        <v>24</v>
      </c>
      <c r="B18139" s="3" t="s">
        <v>66103</v>
      </c>
      <c r="C18139" s="3" t="str">
        <f>"15270"</f>
        <v>15270</v>
      </c>
      <c r="D18139" s="3" t="s">
        <v>66152</v>
      </c>
      <c r="E18139" s="3" t="s">
        <v>66153</v>
      </c>
      <c r="F18139" s="3" t="s">
        <v>5438</v>
      </c>
      <c r="G18139" s="3" t="s">
        <v>5439</v>
      </c>
      <c r="H18139" s="3" t="s">
        <v>66154</v>
      </c>
      <c r="I18139" s="3" t="s">
        <v>1459</v>
      </c>
      <c r="J18139" s="3" t="s">
        <v>206</v>
      </c>
      <c r="K18139" s="3" t="s">
        <v>32744</v>
      </c>
      <c r="N18139" s="3" t="s">
        <v>66155</v>
      </c>
      <c r="Q18139" s="3">
        <v>0</v>
      </c>
      <c r="R18139" s="3">
        <v>950</v>
      </c>
      <c r="S18139" s="3">
        <v>0</v>
      </c>
      <c r="T18139" s="3" t="s">
        <v>66156</v>
      </c>
    </row>
    <row r="18140" spans="1:20" hidden="1" x14ac:dyDescent="0.25">
      <c r="A18140" s="3" t="s">
        <v>24</v>
      </c>
      <c r="B18140" s="3" t="s">
        <v>13304</v>
      </c>
      <c r="C18140" s="3" t="str">
        <f>"15272"</f>
        <v>15272</v>
      </c>
      <c r="D18140" s="3" t="s">
        <v>66157</v>
      </c>
      <c r="E18140" s="3" t="s">
        <v>66158</v>
      </c>
      <c r="F18140" s="3" t="s">
        <v>66159</v>
      </c>
      <c r="G18140" s="3" t="s">
        <v>14186</v>
      </c>
      <c r="I18140" s="3" t="s">
        <v>14187</v>
      </c>
      <c r="J18140" s="3" t="s">
        <v>206</v>
      </c>
      <c r="K18140" s="3" t="s">
        <v>32744</v>
      </c>
      <c r="N18140" s="3" t="s">
        <v>66160</v>
      </c>
      <c r="O18140" s="3" t="s">
        <v>66161</v>
      </c>
      <c r="Q18140" s="3">
        <v>1</v>
      </c>
      <c r="R18140" s="3">
        <v>840</v>
      </c>
      <c r="S18140" s="3">
        <v>0</v>
      </c>
      <c r="T18140" s="3" t="s">
        <v>66162</v>
      </c>
    </row>
    <row r="18141" spans="1:20" hidden="1" x14ac:dyDescent="0.25">
      <c r="A18141" s="3" t="s">
        <v>24</v>
      </c>
      <c r="B18141" s="3" t="s">
        <v>66103</v>
      </c>
      <c r="C18141" s="3" t="str">
        <f>"AC109252"</f>
        <v>AC109252</v>
      </c>
      <c r="D18141" s="3" t="s">
        <v>66163</v>
      </c>
      <c r="E18141" s="3" t="s">
        <v>66164</v>
      </c>
      <c r="F18141" s="3" t="s">
        <v>66165</v>
      </c>
      <c r="G18141" s="3" t="s">
        <v>5439</v>
      </c>
      <c r="H18141" s="3" t="s">
        <v>66166</v>
      </c>
      <c r="I18141" s="3" t="s">
        <v>1459</v>
      </c>
      <c r="J18141" s="3" t="s">
        <v>206</v>
      </c>
      <c r="K18141" s="3" t="s">
        <v>32744</v>
      </c>
      <c r="Q18141" s="3">
        <v>0</v>
      </c>
      <c r="R18141" s="3">
        <v>316</v>
      </c>
      <c r="S18141" s="3">
        <v>0</v>
      </c>
      <c r="T18141" s="3" t="s">
        <v>66167</v>
      </c>
    </row>
    <row r="18142" spans="1:20" x14ac:dyDescent="0.25">
      <c r="A18142" s="3" t="s">
        <v>24</v>
      </c>
      <c r="B18142" s="3" t="s">
        <v>81297</v>
      </c>
      <c r="C18142" s="3" t="str">
        <f>"A0054291"</f>
        <v>A0054291</v>
      </c>
      <c r="D18142" s="3" t="s">
        <v>81298</v>
      </c>
      <c r="E18142" s="3" t="s">
        <v>81299</v>
      </c>
      <c r="F18142" s="3" t="s">
        <v>81300</v>
      </c>
      <c r="G18142" s="3" t="s">
        <v>103</v>
      </c>
      <c r="H18142" s="3">
        <v>18357</v>
      </c>
      <c r="I18142" s="3" t="s">
        <v>30</v>
      </c>
      <c r="J18142" s="3" t="s">
        <v>206</v>
      </c>
      <c r="K18142" s="3" t="s">
        <v>163</v>
      </c>
      <c r="N18142" s="3" t="s">
        <v>81301</v>
      </c>
      <c r="Q18142" s="3">
        <v>1</v>
      </c>
      <c r="R18142" s="3">
        <v>186</v>
      </c>
      <c r="S18142" s="3">
        <v>0</v>
      </c>
      <c r="T18142" s="3" t="s">
        <v>81302</v>
      </c>
    </row>
    <row r="18143" spans="1:20" customFormat="1" ht="15" x14ac:dyDescent="0.25">
      <c r="A18143" t="s">
        <v>24</v>
      </c>
      <c r="B18143" t="s">
        <v>1583</v>
      </c>
      <c r="C18143" t="str">
        <f>"A0136982"</f>
        <v>A0136982</v>
      </c>
      <c r="D18143" t="s">
        <v>66173</v>
      </c>
      <c r="E18143" t="s">
        <v>66174</v>
      </c>
      <c r="F18143" t="s">
        <v>1011</v>
      </c>
      <c r="G18143" t="s">
        <v>338</v>
      </c>
      <c r="H18143">
        <v>8205</v>
      </c>
      <c r="I18143" t="s">
        <v>30</v>
      </c>
      <c r="J18143" t="s">
        <v>191</v>
      </c>
      <c r="K18143" t="s">
        <v>6809</v>
      </c>
      <c r="N18143" t="s">
        <v>57296</v>
      </c>
      <c r="Q18143">
        <v>0</v>
      </c>
      <c r="R18143">
        <v>0</v>
      </c>
      <c r="S18143">
        <v>0</v>
      </c>
      <c r="T18143" t="s">
        <v>57297</v>
      </c>
    </row>
    <row r="18144" spans="1:20" customFormat="1" ht="15" x14ac:dyDescent="0.25">
      <c r="A18144" t="s">
        <v>24</v>
      </c>
      <c r="B18144" t="s">
        <v>9549</v>
      </c>
      <c r="C18144" t="str">
        <f>"A0156941"</f>
        <v>A0156941</v>
      </c>
      <c r="D18144" t="s">
        <v>66175</v>
      </c>
      <c r="E18144" t="s">
        <v>66176</v>
      </c>
      <c r="F18144" t="s">
        <v>66177</v>
      </c>
      <c r="G18144" t="s">
        <v>144</v>
      </c>
      <c r="H18144">
        <v>58104</v>
      </c>
      <c r="I18144" t="s">
        <v>30</v>
      </c>
      <c r="J18144" t="s">
        <v>3881</v>
      </c>
      <c r="K18144" t="s">
        <v>66178</v>
      </c>
      <c r="N18144" t="s">
        <v>66179</v>
      </c>
      <c r="Q18144">
        <v>0</v>
      </c>
      <c r="R18144">
        <v>0</v>
      </c>
      <c r="S18144">
        <v>0</v>
      </c>
      <c r="T18144" t="s">
        <v>66180</v>
      </c>
    </row>
    <row r="18145" spans="1:25" x14ac:dyDescent="0.25">
      <c r="A18145" s="3" t="s">
        <v>24</v>
      </c>
      <c r="B18145" s="3" t="s">
        <v>2011</v>
      </c>
      <c r="C18145" s="3" t="str">
        <f>"HY09759"</f>
        <v>HY09759</v>
      </c>
      <c r="D18145" s="3" t="s">
        <v>83884</v>
      </c>
      <c r="E18145" s="3" t="s">
        <v>83885</v>
      </c>
      <c r="F18145" s="3" t="s">
        <v>9812</v>
      </c>
      <c r="G18145" s="3" t="s">
        <v>103</v>
      </c>
      <c r="H18145" s="3">
        <v>19102</v>
      </c>
      <c r="I18145" s="3" t="s">
        <v>30</v>
      </c>
      <c r="J18145" s="3" t="s">
        <v>206</v>
      </c>
      <c r="K18145" s="3" t="s">
        <v>13297</v>
      </c>
      <c r="N18145" s="3" t="s">
        <v>83886</v>
      </c>
      <c r="O18145" s="3" t="s">
        <v>83887</v>
      </c>
      <c r="Q18145" s="3">
        <v>0</v>
      </c>
      <c r="R18145" s="3">
        <v>172</v>
      </c>
      <c r="S18145" s="3">
        <v>0</v>
      </c>
      <c r="T18145" s="3" t="s">
        <v>83888</v>
      </c>
    </row>
    <row r="18146" spans="1:25" customFormat="1" ht="15" x14ac:dyDescent="0.25">
      <c r="A18146" t="s">
        <v>24</v>
      </c>
      <c r="B18146" t="s">
        <v>850</v>
      </c>
      <c r="C18146" t="str">
        <f>"A0151431"</f>
        <v>A0151431</v>
      </c>
      <c r="D18146" t="s">
        <v>66187</v>
      </c>
      <c r="E18146" t="s">
        <v>66188</v>
      </c>
      <c r="F18146" t="s">
        <v>11700</v>
      </c>
      <c r="G18146" t="s">
        <v>880</v>
      </c>
      <c r="H18146">
        <v>38105</v>
      </c>
      <c r="I18146" t="s">
        <v>30</v>
      </c>
      <c r="J18146" t="s">
        <v>145</v>
      </c>
      <c r="K18146" t="s">
        <v>163</v>
      </c>
      <c r="N18146" t="s">
        <v>35819</v>
      </c>
      <c r="Q18146">
        <v>0</v>
      </c>
      <c r="R18146">
        <v>24</v>
      </c>
      <c r="S18146">
        <v>0</v>
      </c>
      <c r="T18146" t="s">
        <v>66189</v>
      </c>
    </row>
    <row r="18147" spans="1:25" customFormat="1" x14ac:dyDescent="0.25">
      <c r="A18147" s="4" t="s">
        <v>24</v>
      </c>
      <c r="B18147" s="4" t="s">
        <v>11484</v>
      </c>
      <c r="C18147" s="4" t="str">
        <f>"A0153239"</f>
        <v>A0153239</v>
      </c>
      <c r="D18147" s="4" t="s">
        <v>84516</v>
      </c>
      <c r="E18147" s="4" t="s">
        <v>84517</v>
      </c>
      <c r="F18147" s="4" t="s">
        <v>271</v>
      </c>
      <c r="G18147" s="4" t="s">
        <v>103</v>
      </c>
      <c r="H18147" s="4">
        <v>15222</v>
      </c>
      <c r="I18147" s="4" t="s">
        <v>30</v>
      </c>
      <c r="J18147" s="4" t="s">
        <v>206</v>
      </c>
      <c r="K18147" s="4" t="s">
        <v>6459</v>
      </c>
      <c r="L18147" s="4"/>
      <c r="M18147" s="4"/>
      <c r="N18147" s="4" t="s">
        <v>84518</v>
      </c>
      <c r="O18147" s="4"/>
      <c r="P18147" s="4"/>
      <c r="Q18147" s="4">
        <v>0</v>
      </c>
      <c r="R18147" s="4">
        <v>123</v>
      </c>
      <c r="S18147" s="4">
        <v>0</v>
      </c>
      <c r="T18147" s="4" t="s">
        <v>84519</v>
      </c>
      <c r="U18147" s="4"/>
      <c r="V18147" s="4"/>
      <c r="W18147" s="4"/>
      <c r="X18147" s="4"/>
      <c r="Y18147" s="4"/>
    </row>
    <row r="18148" spans="1:25" customFormat="1" ht="15" x14ac:dyDescent="0.25">
      <c r="A18148" t="s">
        <v>24</v>
      </c>
      <c r="B18148" t="s">
        <v>2360</v>
      </c>
      <c r="C18148" t="str">
        <f>"CL0674"</f>
        <v>CL0674</v>
      </c>
      <c r="D18148" t="s">
        <v>66195</v>
      </c>
      <c r="E18148" t="s">
        <v>66196</v>
      </c>
      <c r="F18148" t="s">
        <v>53424</v>
      </c>
      <c r="G18148" t="s">
        <v>65</v>
      </c>
      <c r="H18148">
        <v>44319</v>
      </c>
      <c r="I18148" t="s">
        <v>30</v>
      </c>
      <c r="J18148" t="s">
        <v>178</v>
      </c>
      <c r="K18148" t="s">
        <v>56092</v>
      </c>
      <c r="N18148" t="s">
        <v>66197</v>
      </c>
      <c r="O18148" t="s">
        <v>66198</v>
      </c>
      <c r="P18148" t="s">
        <v>992</v>
      </c>
      <c r="Q18148">
        <v>3</v>
      </c>
      <c r="R18148">
        <v>0</v>
      </c>
      <c r="S18148">
        <v>0</v>
      </c>
      <c r="T18148" t="s">
        <v>66199</v>
      </c>
    </row>
    <row r="18149" spans="1:25" customFormat="1" ht="15" x14ac:dyDescent="0.25">
      <c r="A18149" t="s">
        <v>24</v>
      </c>
      <c r="B18149" t="s">
        <v>2360</v>
      </c>
      <c r="C18149" t="str">
        <f>"A0094507"</f>
        <v>A0094507</v>
      </c>
      <c r="D18149" t="s">
        <v>66200</v>
      </c>
      <c r="E18149" t="s">
        <v>66201</v>
      </c>
      <c r="F18149" t="s">
        <v>66202</v>
      </c>
      <c r="G18149" t="s">
        <v>214</v>
      </c>
      <c r="H18149">
        <v>28173</v>
      </c>
      <c r="I18149" t="s">
        <v>30</v>
      </c>
      <c r="J18149" t="s">
        <v>178</v>
      </c>
      <c r="K18149" t="s">
        <v>55688</v>
      </c>
      <c r="N18149" t="s">
        <v>66203</v>
      </c>
      <c r="Q18149">
        <v>1</v>
      </c>
      <c r="R18149">
        <v>0</v>
      </c>
      <c r="S18149">
        <v>0</v>
      </c>
      <c r="T18149" t="s">
        <v>66204</v>
      </c>
    </row>
    <row r="18150" spans="1:25" customFormat="1" ht="15" x14ac:dyDescent="0.25">
      <c r="A18150" t="s">
        <v>24</v>
      </c>
      <c r="B18150" t="s">
        <v>66205</v>
      </c>
      <c r="C18150" t="str">
        <f>"A0154220"</f>
        <v>A0154220</v>
      </c>
      <c r="D18150" t="s">
        <v>66206</v>
      </c>
      <c r="E18150" t="s">
        <v>66207</v>
      </c>
      <c r="F18150" t="s">
        <v>66208</v>
      </c>
      <c r="G18150" t="s">
        <v>103</v>
      </c>
      <c r="H18150">
        <v>19103</v>
      </c>
      <c r="I18150" t="s">
        <v>30</v>
      </c>
      <c r="J18150" t="s">
        <v>2558</v>
      </c>
      <c r="K18150" t="s">
        <v>163</v>
      </c>
      <c r="N18150" t="s">
        <v>66209</v>
      </c>
      <c r="O18150" t="s">
        <v>66210</v>
      </c>
      <c r="Q18150">
        <v>0</v>
      </c>
      <c r="R18150">
        <v>14</v>
      </c>
      <c r="S18150">
        <v>0</v>
      </c>
      <c r="T18150" t="s">
        <v>66211</v>
      </c>
    </row>
    <row r="18151" spans="1:25" customFormat="1" ht="15" x14ac:dyDescent="0.25">
      <c r="A18151" t="s">
        <v>24</v>
      </c>
      <c r="B18151" t="s">
        <v>2360</v>
      </c>
      <c r="C18151" t="str">
        <f>"A0048897"</f>
        <v>A0048897</v>
      </c>
      <c r="D18151" t="s">
        <v>66212</v>
      </c>
      <c r="E18151" t="s">
        <v>66213</v>
      </c>
      <c r="F18151" t="s">
        <v>57330</v>
      </c>
      <c r="G18151" t="s">
        <v>846</v>
      </c>
      <c r="H18151">
        <v>30269</v>
      </c>
      <c r="I18151" t="s">
        <v>30</v>
      </c>
      <c r="J18151" t="s">
        <v>178</v>
      </c>
      <c r="K18151" t="s">
        <v>56676</v>
      </c>
      <c r="N18151" t="s">
        <v>66214</v>
      </c>
      <c r="O18151" t="s">
        <v>66215</v>
      </c>
      <c r="Q18151">
        <v>1</v>
      </c>
      <c r="R18151">
        <v>0</v>
      </c>
      <c r="S18151">
        <v>0</v>
      </c>
      <c r="T18151" t="s">
        <v>66216</v>
      </c>
    </row>
    <row r="18152" spans="1:25" customFormat="1" ht="15" x14ac:dyDescent="0.25">
      <c r="A18152" t="s">
        <v>24</v>
      </c>
      <c r="B18152" t="s">
        <v>33426</v>
      </c>
      <c r="C18152" t="str">
        <f>"A0085949"</f>
        <v>A0085949</v>
      </c>
      <c r="D18152" t="s">
        <v>66217</v>
      </c>
      <c r="E18152" t="s">
        <v>62362</v>
      </c>
      <c r="F18152" t="s">
        <v>2094</v>
      </c>
      <c r="G18152" t="s">
        <v>52</v>
      </c>
      <c r="H18152">
        <v>75247</v>
      </c>
      <c r="I18152" t="s">
        <v>30</v>
      </c>
      <c r="J18152" t="s">
        <v>7657</v>
      </c>
      <c r="K18152" t="s">
        <v>163</v>
      </c>
      <c r="N18152" t="s">
        <v>66218</v>
      </c>
      <c r="O18152" t="s">
        <v>66219</v>
      </c>
      <c r="Q18152">
        <v>0</v>
      </c>
      <c r="R18152">
        <v>0</v>
      </c>
      <c r="S18152">
        <v>0</v>
      </c>
      <c r="T18152" t="s">
        <v>66220</v>
      </c>
    </row>
    <row r="18153" spans="1:25" customFormat="1" ht="15" x14ac:dyDescent="0.25">
      <c r="A18153" t="s">
        <v>24</v>
      </c>
      <c r="B18153" t="s">
        <v>33426</v>
      </c>
      <c r="C18153" t="str">
        <f>"A0088075"</f>
        <v>A0088075</v>
      </c>
      <c r="D18153" t="s">
        <v>66221</v>
      </c>
      <c r="E18153" t="s">
        <v>66222</v>
      </c>
      <c r="F18153" t="s">
        <v>3505</v>
      </c>
      <c r="G18153" t="s">
        <v>52</v>
      </c>
      <c r="H18153">
        <v>76102</v>
      </c>
      <c r="I18153" t="s">
        <v>30</v>
      </c>
      <c r="J18153" t="s">
        <v>7657</v>
      </c>
      <c r="K18153" t="s">
        <v>163</v>
      </c>
      <c r="Q18153">
        <v>0</v>
      </c>
      <c r="R18153">
        <v>0</v>
      </c>
      <c r="S18153">
        <v>0</v>
      </c>
      <c r="T18153" t="s">
        <v>66223</v>
      </c>
    </row>
    <row r="18154" spans="1:25" customFormat="1" ht="15" x14ac:dyDescent="0.25">
      <c r="A18154" t="s">
        <v>24</v>
      </c>
      <c r="B18154" t="s">
        <v>2360</v>
      </c>
      <c r="C18154" t="str">
        <f>"A0050921"</f>
        <v>A0050921</v>
      </c>
      <c r="D18154" t="s">
        <v>66224</v>
      </c>
      <c r="E18154" t="s">
        <v>66225</v>
      </c>
      <c r="F18154" t="s">
        <v>11257</v>
      </c>
      <c r="G18154" t="s">
        <v>29</v>
      </c>
      <c r="H18154">
        <v>23188</v>
      </c>
      <c r="I18154" t="s">
        <v>30</v>
      </c>
      <c r="J18154" t="s">
        <v>178</v>
      </c>
      <c r="K18154" t="s">
        <v>55688</v>
      </c>
      <c r="N18154" t="s">
        <v>66226</v>
      </c>
      <c r="Q18154">
        <v>3</v>
      </c>
      <c r="R18154">
        <v>0</v>
      </c>
      <c r="S18154">
        <v>0</v>
      </c>
      <c r="T18154" t="s">
        <v>66227</v>
      </c>
    </row>
    <row r="18155" spans="1:25" customFormat="1" ht="15" x14ac:dyDescent="0.25">
      <c r="A18155" t="s">
        <v>24</v>
      </c>
      <c r="B18155" t="s">
        <v>56564</v>
      </c>
      <c r="C18155" t="str">
        <f>"A0087528"</f>
        <v>A0087528</v>
      </c>
      <c r="D18155" t="s">
        <v>66228</v>
      </c>
      <c r="E18155" t="s">
        <v>66229</v>
      </c>
      <c r="F18155" t="s">
        <v>1159</v>
      </c>
      <c r="G18155" t="s">
        <v>58</v>
      </c>
      <c r="H18155">
        <v>29577</v>
      </c>
      <c r="I18155" t="s">
        <v>30</v>
      </c>
      <c r="J18155" t="s">
        <v>31</v>
      </c>
      <c r="K18155" t="s">
        <v>163</v>
      </c>
      <c r="N18155" t="s">
        <v>66230</v>
      </c>
      <c r="Q18155">
        <v>0</v>
      </c>
      <c r="R18155">
        <v>54</v>
      </c>
      <c r="S18155">
        <v>0</v>
      </c>
      <c r="T18155" t="s">
        <v>66231</v>
      </c>
    </row>
    <row r="18156" spans="1:25" customFormat="1" ht="15" x14ac:dyDescent="0.25">
      <c r="A18156" t="s">
        <v>24</v>
      </c>
      <c r="B18156" t="s">
        <v>66232</v>
      </c>
      <c r="C18156" t="str">
        <f>"A0052426"</f>
        <v>A0052426</v>
      </c>
      <c r="D18156" t="s">
        <v>66233</v>
      </c>
      <c r="E18156" t="s">
        <v>66234</v>
      </c>
      <c r="F18156" t="s">
        <v>66235</v>
      </c>
      <c r="G18156" t="s">
        <v>338</v>
      </c>
      <c r="H18156">
        <v>8831</v>
      </c>
      <c r="I18156" t="s">
        <v>30</v>
      </c>
      <c r="J18156" t="s">
        <v>178</v>
      </c>
      <c r="K18156" t="s">
        <v>179</v>
      </c>
      <c r="N18156" t="s">
        <v>66236</v>
      </c>
      <c r="O18156" t="s">
        <v>8549</v>
      </c>
      <c r="P18156" t="s">
        <v>992</v>
      </c>
      <c r="Q18156">
        <v>1</v>
      </c>
      <c r="R18156">
        <v>36</v>
      </c>
      <c r="S18156">
        <v>0</v>
      </c>
      <c r="T18156" t="s">
        <v>66237</v>
      </c>
    </row>
    <row r="18157" spans="1:25" customFormat="1" x14ac:dyDescent="0.25">
      <c r="A18157" s="4" t="s">
        <v>24</v>
      </c>
      <c r="B18157" s="4" t="s">
        <v>5166</v>
      </c>
      <c r="C18157" s="4" t="str">
        <f>"A0063204"</f>
        <v>A0063204</v>
      </c>
      <c r="D18157" s="4" t="s">
        <v>84667</v>
      </c>
      <c r="E18157" s="4" t="s">
        <v>84668</v>
      </c>
      <c r="F18157" s="4" t="s">
        <v>9812</v>
      </c>
      <c r="G18157" s="4" t="s">
        <v>103</v>
      </c>
      <c r="H18157" s="4">
        <v>19103</v>
      </c>
      <c r="I18157" s="4" t="s">
        <v>30</v>
      </c>
      <c r="J18157" s="4" t="s">
        <v>206</v>
      </c>
      <c r="K18157" s="4" t="s">
        <v>163</v>
      </c>
      <c r="L18157" s="4"/>
      <c r="M18157" s="4"/>
      <c r="N18157" s="4" t="s">
        <v>84669</v>
      </c>
      <c r="O18157" s="4" t="s">
        <v>84670</v>
      </c>
      <c r="P18157" s="4"/>
      <c r="Q18157" s="4">
        <v>0</v>
      </c>
      <c r="R18157" s="4">
        <v>364</v>
      </c>
      <c r="S18157" s="4">
        <v>0</v>
      </c>
      <c r="T18157" s="4" t="s">
        <v>84671</v>
      </c>
      <c r="U18157" s="4"/>
      <c r="V18157" s="4"/>
      <c r="W18157" s="4"/>
      <c r="X18157" s="4"/>
      <c r="Y18157" s="4"/>
    </row>
    <row r="18158" spans="1:25" customFormat="1" ht="15" hidden="1" x14ac:dyDescent="0.25">
      <c r="A18158" t="s">
        <v>24</v>
      </c>
      <c r="B18158" t="s">
        <v>1453</v>
      </c>
      <c r="C18158" t="str">
        <f>"A0096952"</f>
        <v>A0096952</v>
      </c>
      <c r="D18158" t="s">
        <v>66244</v>
      </c>
      <c r="E18158" t="s">
        <v>66245</v>
      </c>
      <c r="F18158" t="s">
        <v>66246</v>
      </c>
      <c r="G18158" t="s">
        <v>2270</v>
      </c>
      <c r="H18158" t="s">
        <v>66247</v>
      </c>
      <c r="I18158" t="s">
        <v>1459</v>
      </c>
      <c r="J18158" t="s">
        <v>66248</v>
      </c>
      <c r="K18158" t="s">
        <v>163</v>
      </c>
      <c r="N18158" t="s">
        <v>66249</v>
      </c>
      <c r="Q18158">
        <v>0</v>
      </c>
      <c r="R18158">
        <v>0</v>
      </c>
      <c r="S18158">
        <v>0</v>
      </c>
      <c r="T18158" t="s">
        <v>66250</v>
      </c>
    </row>
    <row r="18159" spans="1:25" customFormat="1" ht="15" hidden="1" x14ac:dyDescent="0.25">
      <c r="A18159" t="s">
        <v>24</v>
      </c>
      <c r="B18159" t="s">
        <v>1453</v>
      </c>
      <c r="C18159" t="str">
        <f>"A0096944"</f>
        <v>A0096944</v>
      </c>
      <c r="D18159" t="s">
        <v>66251</v>
      </c>
      <c r="E18159" t="s">
        <v>66252</v>
      </c>
      <c r="F18159" t="s">
        <v>66246</v>
      </c>
      <c r="G18159" t="s">
        <v>2270</v>
      </c>
      <c r="H18159" t="s">
        <v>66253</v>
      </c>
      <c r="I18159" t="s">
        <v>1459</v>
      </c>
      <c r="J18159" t="s">
        <v>31</v>
      </c>
      <c r="K18159" t="s">
        <v>282</v>
      </c>
      <c r="N18159" t="s">
        <v>66254</v>
      </c>
      <c r="Q18159">
        <v>0</v>
      </c>
      <c r="R18159">
        <v>99</v>
      </c>
      <c r="S18159">
        <v>0</v>
      </c>
      <c r="T18159" t="s">
        <v>66255</v>
      </c>
    </row>
    <row r="18160" spans="1:25" customFormat="1" ht="15" hidden="1" x14ac:dyDescent="0.25">
      <c r="A18160" t="s">
        <v>24</v>
      </c>
      <c r="B18160" t="s">
        <v>1453</v>
      </c>
      <c r="C18160" t="str">
        <f>"A0096951"</f>
        <v>A0096951</v>
      </c>
      <c r="D18160" t="s">
        <v>66256</v>
      </c>
      <c r="E18160" t="s">
        <v>66245</v>
      </c>
      <c r="F18160" t="s">
        <v>66246</v>
      </c>
      <c r="G18160" t="s">
        <v>2270</v>
      </c>
      <c r="H18160" t="s">
        <v>66247</v>
      </c>
      <c r="I18160" t="s">
        <v>1459</v>
      </c>
      <c r="J18160" t="s">
        <v>171</v>
      </c>
      <c r="K18160" t="s">
        <v>163</v>
      </c>
      <c r="N18160" t="s">
        <v>66257</v>
      </c>
      <c r="O18160" t="s">
        <v>66258</v>
      </c>
      <c r="Q18160">
        <v>0</v>
      </c>
      <c r="R18160">
        <v>125</v>
      </c>
      <c r="S18160">
        <v>0</v>
      </c>
      <c r="T18160" t="s">
        <v>66259</v>
      </c>
    </row>
    <row r="18161" spans="1:25" customFormat="1" ht="15" hidden="1" x14ac:dyDescent="0.25">
      <c r="A18161" t="s">
        <v>24</v>
      </c>
      <c r="B18161" t="s">
        <v>1453</v>
      </c>
      <c r="C18161" t="str">
        <f>"A0096942"</f>
        <v>A0096942</v>
      </c>
      <c r="D18161" t="s">
        <v>66260</v>
      </c>
      <c r="E18161" t="s">
        <v>66261</v>
      </c>
      <c r="F18161" t="s">
        <v>66246</v>
      </c>
      <c r="G18161" t="s">
        <v>2270</v>
      </c>
      <c r="H18161" t="s">
        <v>66253</v>
      </c>
      <c r="I18161" t="s">
        <v>1459</v>
      </c>
      <c r="J18161" t="s">
        <v>171</v>
      </c>
      <c r="K18161" t="s">
        <v>163</v>
      </c>
      <c r="N18161" t="s">
        <v>66262</v>
      </c>
      <c r="Q18161">
        <v>0</v>
      </c>
      <c r="R18161">
        <v>92</v>
      </c>
      <c r="S18161">
        <v>0</v>
      </c>
      <c r="T18161" t="s">
        <v>66263</v>
      </c>
    </row>
    <row r="18162" spans="1:25" customFormat="1" ht="15" hidden="1" x14ac:dyDescent="0.25">
      <c r="A18162" t="s">
        <v>24</v>
      </c>
      <c r="B18162" t="s">
        <v>1453</v>
      </c>
      <c r="C18162" t="str">
        <f>"A0096943"</f>
        <v>A0096943</v>
      </c>
      <c r="D18162" t="s">
        <v>66264</v>
      </c>
      <c r="E18162" t="s">
        <v>66265</v>
      </c>
      <c r="F18162" t="s">
        <v>66246</v>
      </c>
      <c r="G18162" t="s">
        <v>2270</v>
      </c>
      <c r="H18162" t="s">
        <v>66266</v>
      </c>
      <c r="I18162" t="s">
        <v>1459</v>
      </c>
      <c r="J18162" t="s">
        <v>171</v>
      </c>
      <c r="K18162" t="s">
        <v>163</v>
      </c>
      <c r="N18162" t="s">
        <v>66267</v>
      </c>
      <c r="Q18162">
        <v>0</v>
      </c>
      <c r="R18162">
        <v>127</v>
      </c>
      <c r="S18162">
        <v>0</v>
      </c>
      <c r="T18162" t="s">
        <v>66268</v>
      </c>
    </row>
    <row r="18163" spans="1:25" customFormat="1" x14ac:dyDescent="0.25">
      <c r="A18163" s="4" t="s">
        <v>24</v>
      </c>
      <c r="B18163" s="4" t="s">
        <v>675</v>
      </c>
      <c r="C18163" s="4" t="str">
        <f>"311QP"</f>
        <v>311QP</v>
      </c>
      <c r="D18163" s="4" t="s">
        <v>84791</v>
      </c>
      <c r="E18163" s="4" t="s">
        <v>84792</v>
      </c>
      <c r="F18163" s="4" t="s">
        <v>9812</v>
      </c>
      <c r="G18163" s="4" t="s">
        <v>103</v>
      </c>
      <c r="H18163" s="4">
        <v>19107</v>
      </c>
      <c r="I18163" s="4" t="s">
        <v>30</v>
      </c>
      <c r="J18163" s="4" t="s">
        <v>206</v>
      </c>
      <c r="K18163" s="4" t="s">
        <v>6459</v>
      </c>
      <c r="L18163" s="4"/>
      <c r="M18163" s="4"/>
      <c r="N18163" s="4" t="s">
        <v>84793</v>
      </c>
      <c r="O18163" s="4" t="s">
        <v>84794</v>
      </c>
      <c r="P18163" s="4"/>
      <c r="Q18163" s="4">
        <v>0</v>
      </c>
      <c r="R18163" s="4">
        <v>499</v>
      </c>
      <c r="S18163" s="4">
        <v>0</v>
      </c>
      <c r="T18163" s="4" t="s">
        <v>84795</v>
      </c>
      <c r="U18163" s="4"/>
      <c r="V18163" s="4"/>
      <c r="W18163" s="4"/>
      <c r="X18163" s="4"/>
      <c r="Y18163" s="4"/>
    </row>
    <row r="18164" spans="1:25" customFormat="1" ht="15" x14ac:dyDescent="0.25">
      <c r="A18164" t="s">
        <v>24</v>
      </c>
      <c r="B18164" t="s">
        <v>33426</v>
      </c>
      <c r="C18164" t="str">
        <f>"A0085950"</f>
        <v>A0085950</v>
      </c>
      <c r="D18164" t="s">
        <v>66273</v>
      </c>
      <c r="E18164" t="s">
        <v>66274</v>
      </c>
      <c r="F18164" t="s">
        <v>3505</v>
      </c>
      <c r="G18164" t="s">
        <v>52</v>
      </c>
      <c r="H18164">
        <v>76110</v>
      </c>
      <c r="I18164" t="s">
        <v>30</v>
      </c>
      <c r="J18164" t="s">
        <v>7657</v>
      </c>
      <c r="K18164" t="s">
        <v>163</v>
      </c>
      <c r="N18164" t="s">
        <v>66275</v>
      </c>
      <c r="O18164" t="s">
        <v>66276</v>
      </c>
      <c r="Q18164">
        <v>0</v>
      </c>
      <c r="R18164">
        <v>0</v>
      </c>
      <c r="S18164">
        <v>0</v>
      </c>
      <c r="T18164" t="s">
        <v>66277</v>
      </c>
    </row>
    <row r="18165" spans="1:25" customFormat="1" ht="15" x14ac:dyDescent="0.25">
      <c r="A18165" t="s">
        <v>24</v>
      </c>
      <c r="B18165" t="s">
        <v>11304</v>
      </c>
      <c r="C18165" t="str">
        <f>"A0096498"</f>
        <v>A0096498</v>
      </c>
      <c r="D18165" t="s">
        <v>66278</v>
      </c>
      <c r="E18165" t="s">
        <v>66279</v>
      </c>
      <c r="F18165" t="s">
        <v>716</v>
      </c>
      <c r="G18165" t="s">
        <v>289</v>
      </c>
      <c r="H18165">
        <v>60654</v>
      </c>
      <c r="I18165" t="s">
        <v>30</v>
      </c>
      <c r="J18165" t="s">
        <v>3359</v>
      </c>
      <c r="K18165" t="s">
        <v>163</v>
      </c>
      <c r="N18165" t="s">
        <v>66280</v>
      </c>
      <c r="Q18165">
        <v>0</v>
      </c>
      <c r="R18165">
        <v>57</v>
      </c>
      <c r="S18165">
        <v>0</v>
      </c>
      <c r="T18165" t="s">
        <v>66281</v>
      </c>
    </row>
    <row r="18166" spans="1:25" customFormat="1" ht="15" x14ac:dyDescent="0.25">
      <c r="A18166" t="s">
        <v>24</v>
      </c>
      <c r="B18166" t="s">
        <v>11304</v>
      </c>
      <c r="C18166" t="str">
        <f>"A0097035"</f>
        <v>A0097035</v>
      </c>
      <c r="D18166" t="s">
        <v>66282</v>
      </c>
      <c r="E18166" t="s">
        <v>66283</v>
      </c>
      <c r="F18166" t="s">
        <v>1208</v>
      </c>
      <c r="G18166" t="s">
        <v>899</v>
      </c>
      <c r="H18166">
        <v>2116</v>
      </c>
      <c r="I18166" t="s">
        <v>30</v>
      </c>
      <c r="J18166" t="s">
        <v>3359</v>
      </c>
      <c r="K18166" t="s">
        <v>163</v>
      </c>
      <c r="N18166" t="s">
        <v>66284</v>
      </c>
      <c r="Q18166">
        <v>0</v>
      </c>
      <c r="R18166">
        <v>62</v>
      </c>
      <c r="S18166">
        <v>0</v>
      </c>
      <c r="T18166" t="s">
        <v>66285</v>
      </c>
    </row>
    <row r="18167" spans="1:25" customFormat="1" ht="15" x14ac:dyDescent="0.25">
      <c r="A18167" t="s">
        <v>24</v>
      </c>
      <c r="B18167" t="s">
        <v>11304</v>
      </c>
      <c r="C18167" t="str">
        <f>"A0096504"</f>
        <v>A0096504</v>
      </c>
      <c r="D18167" t="s">
        <v>66286</v>
      </c>
      <c r="E18167" t="s">
        <v>66287</v>
      </c>
      <c r="F18167" t="s">
        <v>2978</v>
      </c>
      <c r="G18167" t="s">
        <v>110</v>
      </c>
      <c r="H18167">
        <v>92101</v>
      </c>
      <c r="I18167" t="s">
        <v>30</v>
      </c>
      <c r="J18167" t="s">
        <v>3359</v>
      </c>
      <c r="K18167" t="s">
        <v>163</v>
      </c>
      <c r="N18167" t="s">
        <v>66288</v>
      </c>
      <c r="Q18167">
        <v>0</v>
      </c>
      <c r="R18167">
        <v>24</v>
      </c>
      <c r="S18167">
        <v>0</v>
      </c>
      <c r="T18167" t="s">
        <v>66289</v>
      </c>
    </row>
    <row r="18168" spans="1:25" customFormat="1" ht="15" x14ac:dyDescent="0.25">
      <c r="A18168" t="s">
        <v>24</v>
      </c>
      <c r="B18168" t="s">
        <v>11304</v>
      </c>
      <c r="C18168" t="str">
        <f>"A0096499"</f>
        <v>A0096499</v>
      </c>
      <c r="D18168" t="s">
        <v>66290</v>
      </c>
      <c r="E18168" t="s">
        <v>66291</v>
      </c>
      <c r="F18168" t="s">
        <v>748</v>
      </c>
      <c r="G18168" t="s">
        <v>110</v>
      </c>
      <c r="H18168">
        <v>94102</v>
      </c>
      <c r="I18168" t="s">
        <v>30</v>
      </c>
      <c r="J18168" t="s">
        <v>3359</v>
      </c>
      <c r="K18168" t="s">
        <v>163</v>
      </c>
      <c r="N18168" t="s">
        <v>66292</v>
      </c>
      <c r="Q18168">
        <v>0</v>
      </c>
      <c r="R18168">
        <v>76</v>
      </c>
      <c r="S18168">
        <v>0</v>
      </c>
      <c r="T18168" t="s">
        <v>66281</v>
      </c>
    </row>
    <row r="18169" spans="1:25" customFormat="1" ht="15" hidden="1" x14ac:dyDescent="0.25">
      <c r="A18169" t="s">
        <v>24</v>
      </c>
      <c r="B18169" t="s">
        <v>10376</v>
      </c>
      <c r="C18169" t="str">
        <f>"A0147856"</f>
        <v>A0147856</v>
      </c>
      <c r="D18169" t="s">
        <v>66293</v>
      </c>
      <c r="E18169" t="s">
        <v>66294</v>
      </c>
      <c r="F18169" t="s">
        <v>57308</v>
      </c>
      <c r="G18169" t="s">
        <v>2206</v>
      </c>
      <c r="H18169" t="s">
        <v>66295</v>
      </c>
      <c r="I18169" t="s">
        <v>1459</v>
      </c>
      <c r="J18169" t="s">
        <v>1004</v>
      </c>
      <c r="K18169" t="s">
        <v>163</v>
      </c>
      <c r="N18169" t="s">
        <v>66296</v>
      </c>
      <c r="Q18169">
        <v>0</v>
      </c>
      <c r="R18169">
        <v>0</v>
      </c>
      <c r="S18169">
        <v>0</v>
      </c>
      <c r="T18169" t="s">
        <v>66297</v>
      </c>
    </row>
    <row r="18170" spans="1:25" customFormat="1" x14ac:dyDescent="0.25">
      <c r="A18170" s="4" t="s">
        <v>24</v>
      </c>
      <c r="B18170" s="4" t="s">
        <v>675</v>
      </c>
      <c r="C18170" s="4" t="str">
        <f>"73R49"</f>
        <v>73R49</v>
      </c>
      <c r="D18170" s="4" t="s">
        <v>85134</v>
      </c>
      <c r="E18170" s="4" t="s">
        <v>85135</v>
      </c>
      <c r="F18170" s="4" t="s">
        <v>9812</v>
      </c>
      <c r="G18170" s="4" t="s">
        <v>103</v>
      </c>
      <c r="H18170" s="4">
        <v>19102</v>
      </c>
      <c r="I18170" s="4" t="s">
        <v>30</v>
      </c>
      <c r="J18170" s="4" t="s">
        <v>206</v>
      </c>
      <c r="K18170" s="4" t="s">
        <v>680</v>
      </c>
      <c r="L18170" s="4"/>
      <c r="M18170" s="4"/>
      <c r="N18170" s="4" t="s">
        <v>85136</v>
      </c>
      <c r="O18170" s="4" t="s">
        <v>85137</v>
      </c>
      <c r="P18170" s="4"/>
      <c r="Q18170" s="4">
        <v>0</v>
      </c>
      <c r="R18170" s="4">
        <v>299</v>
      </c>
      <c r="S18170" s="4">
        <v>0</v>
      </c>
      <c r="T18170" s="4" t="s">
        <v>85138</v>
      </c>
      <c r="U18170" s="4"/>
      <c r="V18170" s="4"/>
      <c r="W18170" s="4"/>
      <c r="X18170" s="4"/>
      <c r="Y18170" s="4"/>
    </row>
    <row r="18171" spans="1:25" customFormat="1" x14ac:dyDescent="0.25">
      <c r="A18171" s="4" t="s">
        <v>24</v>
      </c>
      <c r="B18171" s="4" t="s">
        <v>675</v>
      </c>
      <c r="C18171" s="4" t="str">
        <f>"A0098084"</f>
        <v>A0098084</v>
      </c>
      <c r="D18171" s="4" t="s">
        <v>87257</v>
      </c>
      <c r="E18171" s="4" t="s">
        <v>9811</v>
      </c>
      <c r="F18171" s="4" t="s">
        <v>9812</v>
      </c>
      <c r="G18171" s="4" t="s">
        <v>103</v>
      </c>
      <c r="H18171" s="4">
        <v>19102</v>
      </c>
      <c r="I18171" s="4" t="s">
        <v>30</v>
      </c>
      <c r="J18171" s="4" t="s">
        <v>206</v>
      </c>
      <c r="K18171" s="4" t="s">
        <v>16717</v>
      </c>
      <c r="L18171" s="4"/>
      <c r="M18171" s="4"/>
      <c r="N18171" s="4" t="s">
        <v>63765</v>
      </c>
      <c r="O18171" s="4" t="s">
        <v>63766</v>
      </c>
      <c r="P18171" s="4"/>
      <c r="Q18171" s="4">
        <v>0</v>
      </c>
      <c r="R18171" s="4">
        <v>755</v>
      </c>
      <c r="S18171" s="4">
        <v>0</v>
      </c>
      <c r="T18171" s="4" t="s">
        <v>87258</v>
      </c>
      <c r="U18171" s="4"/>
      <c r="V18171" s="4"/>
      <c r="W18171" s="4"/>
      <c r="X18171" s="4"/>
      <c r="Y18171" s="4"/>
    </row>
    <row r="18172" spans="1:25" customFormat="1" x14ac:dyDescent="0.25">
      <c r="A18172" s="4" t="s">
        <v>24</v>
      </c>
      <c r="B18172" s="4" t="s">
        <v>5384</v>
      </c>
      <c r="C18172" s="4" t="str">
        <f>"A0076818"</f>
        <v>A0076818</v>
      </c>
      <c r="D18172" s="4" t="s">
        <v>87054</v>
      </c>
      <c r="E18172" s="4" t="s">
        <v>87055</v>
      </c>
      <c r="F18172" s="4" t="s">
        <v>33618</v>
      </c>
      <c r="G18172" s="4" t="s">
        <v>90</v>
      </c>
      <c r="H18172" s="4">
        <v>2840</v>
      </c>
      <c r="I18172" s="4" t="s">
        <v>30</v>
      </c>
      <c r="J18172" s="4" t="s">
        <v>206</v>
      </c>
      <c r="K18172" s="4" t="s">
        <v>163</v>
      </c>
      <c r="L18172" s="4"/>
      <c r="M18172" s="4"/>
      <c r="N18172" s="4" t="s">
        <v>87056</v>
      </c>
      <c r="O18172" s="4" t="s">
        <v>87057</v>
      </c>
      <c r="P18172" s="4"/>
      <c r="Q18172" s="4">
        <v>0</v>
      </c>
      <c r="R18172" s="4">
        <v>33</v>
      </c>
      <c r="S18172" s="4">
        <v>0</v>
      </c>
      <c r="T18172" s="4" t="s">
        <v>87058</v>
      </c>
      <c r="U18172" s="4"/>
      <c r="V18172" s="4"/>
      <c r="W18172" s="4"/>
      <c r="X18172" s="4"/>
      <c r="Y18172" s="4"/>
    </row>
    <row r="18173" spans="1:25" customFormat="1" x14ac:dyDescent="0.25">
      <c r="A18173" s="4" t="s">
        <v>24</v>
      </c>
      <c r="B18173" s="4" t="s">
        <v>56636</v>
      </c>
      <c r="C18173" s="4" t="str">
        <f>"A0063548"</f>
        <v>A0063548</v>
      </c>
      <c r="D18173" s="4" t="s">
        <v>56637</v>
      </c>
      <c r="E18173" s="4" t="s">
        <v>56638</v>
      </c>
      <c r="F18173" s="4" t="s">
        <v>5369</v>
      </c>
      <c r="G18173" s="4" t="s">
        <v>58</v>
      </c>
      <c r="H18173" s="4">
        <v>29401</v>
      </c>
      <c r="I18173" s="4" t="s">
        <v>30</v>
      </c>
      <c r="J18173" s="4" t="s">
        <v>206</v>
      </c>
      <c r="K18173" s="4" t="s">
        <v>163</v>
      </c>
      <c r="L18173" s="4"/>
      <c r="M18173" s="4"/>
      <c r="N18173" s="4" t="s">
        <v>56639</v>
      </c>
      <c r="O18173" s="4" t="s">
        <v>56640</v>
      </c>
      <c r="P18173" s="4"/>
      <c r="Q18173" s="4">
        <v>0</v>
      </c>
      <c r="R18173" s="4">
        <v>440</v>
      </c>
      <c r="S18173" s="4">
        <v>0</v>
      </c>
      <c r="T18173" s="4" t="s">
        <v>56641</v>
      </c>
      <c r="U18173" s="4"/>
      <c r="V18173" s="4"/>
      <c r="W18173" s="4"/>
      <c r="X18173" s="4"/>
      <c r="Y18173" s="4"/>
    </row>
    <row r="18174" spans="1:25" customFormat="1" x14ac:dyDescent="0.25">
      <c r="A18174" s="4" t="s">
        <v>24</v>
      </c>
      <c r="B18174" s="4" t="s">
        <v>799</v>
      </c>
      <c r="C18174" s="4" t="str">
        <f>"A0054531"</f>
        <v>A0054531</v>
      </c>
      <c r="D18174" s="4" t="s">
        <v>74301</v>
      </c>
      <c r="E18174" s="4" t="s">
        <v>74302</v>
      </c>
      <c r="F18174" s="4" t="s">
        <v>5369</v>
      </c>
      <c r="G18174" s="4" t="s">
        <v>58</v>
      </c>
      <c r="H18174" s="4">
        <v>29401</v>
      </c>
      <c r="I18174" s="4" t="s">
        <v>30</v>
      </c>
      <c r="J18174" s="4" t="s">
        <v>206</v>
      </c>
      <c r="K18174" s="4" t="s">
        <v>163</v>
      </c>
      <c r="L18174" s="4"/>
      <c r="M18174" s="4"/>
      <c r="N18174" s="4" t="s">
        <v>74303</v>
      </c>
      <c r="O18174" s="4"/>
      <c r="P18174" s="4"/>
      <c r="Q18174" s="4">
        <v>0</v>
      </c>
      <c r="R18174" s="4">
        <v>40</v>
      </c>
      <c r="S18174" s="4">
        <v>0</v>
      </c>
      <c r="T18174" s="4" t="s">
        <v>74304</v>
      </c>
      <c r="U18174" s="4"/>
      <c r="V18174" s="4"/>
      <c r="W18174" s="4"/>
      <c r="X18174" s="4"/>
      <c r="Y18174" s="4"/>
    </row>
    <row r="18175" spans="1:25" customFormat="1" ht="15" hidden="1" x14ac:dyDescent="0.25">
      <c r="A18175" t="s">
        <v>24</v>
      </c>
      <c r="B18175" t="s">
        <v>66320</v>
      </c>
      <c r="C18175" t="str">
        <f>"A0148802"</f>
        <v>A0148802</v>
      </c>
      <c r="D18175" t="s">
        <v>66321</v>
      </c>
      <c r="E18175" t="s">
        <v>66322</v>
      </c>
      <c r="F18175" t="s">
        <v>5874</v>
      </c>
      <c r="G18175" t="s">
        <v>3843</v>
      </c>
      <c r="H18175">
        <v>6700</v>
      </c>
      <c r="I18175" t="s">
        <v>2408</v>
      </c>
      <c r="J18175" t="s">
        <v>171</v>
      </c>
      <c r="K18175" t="s">
        <v>653</v>
      </c>
      <c r="N18175" t="s">
        <v>66323</v>
      </c>
      <c r="O18175" t="s">
        <v>66324</v>
      </c>
      <c r="Q18175">
        <v>0</v>
      </c>
      <c r="R18175">
        <v>90</v>
      </c>
      <c r="S18175">
        <v>0</v>
      </c>
      <c r="T18175" t="s">
        <v>66325</v>
      </c>
    </row>
    <row r="18176" spans="1:25" customFormat="1" x14ac:dyDescent="0.25">
      <c r="A18176" s="4" t="s">
        <v>24</v>
      </c>
      <c r="B18176" s="4" t="s">
        <v>7674</v>
      </c>
      <c r="C18176" s="4" t="str">
        <f>"A0093686"</f>
        <v>A0093686</v>
      </c>
      <c r="D18176" s="4" t="s">
        <v>76419</v>
      </c>
      <c r="E18176" s="4" t="s">
        <v>76420</v>
      </c>
      <c r="F18176" s="4" t="s">
        <v>76421</v>
      </c>
      <c r="G18176" s="4" t="s">
        <v>58</v>
      </c>
      <c r="H18176" s="4">
        <v>29910</v>
      </c>
      <c r="I18176" s="4" t="s">
        <v>30</v>
      </c>
      <c r="J18176" s="4" t="s">
        <v>206</v>
      </c>
      <c r="K18176" s="4" t="s">
        <v>9098</v>
      </c>
      <c r="L18176" s="4"/>
      <c r="M18176" s="4"/>
      <c r="N18176" s="4" t="s">
        <v>76422</v>
      </c>
      <c r="O18176" s="4" t="s">
        <v>76423</v>
      </c>
      <c r="P18176" s="4"/>
      <c r="Q18176" s="4">
        <v>0</v>
      </c>
      <c r="R18176" s="4">
        <v>200</v>
      </c>
      <c r="S18176" s="4">
        <v>0</v>
      </c>
      <c r="T18176" s="4" t="s">
        <v>76424</v>
      </c>
      <c r="U18176" s="4"/>
      <c r="V18176" s="4"/>
      <c r="W18176" s="4"/>
      <c r="X18176" s="4"/>
      <c r="Y18176" s="4"/>
    </row>
    <row r="18177" spans="1:25" customFormat="1" x14ac:dyDescent="0.25">
      <c r="A18177" s="4" t="s">
        <v>24</v>
      </c>
      <c r="B18177" s="4" t="s">
        <v>60106</v>
      </c>
      <c r="C18177" s="4" t="str">
        <f>"A0145450"</f>
        <v>A0145450</v>
      </c>
      <c r="D18177" s="4" t="s">
        <v>84930</v>
      </c>
      <c r="E18177" s="4" t="s">
        <v>84931</v>
      </c>
      <c r="F18177" s="4" t="s">
        <v>5369</v>
      </c>
      <c r="G18177" s="4" t="s">
        <v>58</v>
      </c>
      <c r="H18177" s="4">
        <v>29401</v>
      </c>
      <c r="I18177" s="4" t="s">
        <v>30</v>
      </c>
      <c r="J18177" s="4" t="s">
        <v>206</v>
      </c>
      <c r="K18177" s="4" t="s">
        <v>163</v>
      </c>
      <c r="L18177" s="4"/>
      <c r="M18177" s="4"/>
      <c r="N18177" s="4" t="s">
        <v>84932</v>
      </c>
      <c r="O18177" s="4"/>
      <c r="P18177" s="4"/>
      <c r="Q18177" s="4">
        <v>0</v>
      </c>
      <c r="R18177" s="4">
        <v>54</v>
      </c>
      <c r="S18177" s="4">
        <v>0</v>
      </c>
      <c r="T18177" s="4" t="s">
        <v>84933</v>
      </c>
      <c r="U18177" s="4"/>
      <c r="V18177" s="4"/>
      <c r="W18177" s="4"/>
      <c r="X18177" s="4"/>
      <c r="Y18177" s="4"/>
    </row>
    <row r="18178" spans="1:25" customFormat="1" ht="15" hidden="1" x14ac:dyDescent="0.25">
      <c r="A18178" t="s">
        <v>24</v>
      </c>
      <c r="B18178" t="s">
        <v>10942</v>
      </c>
      <c r="C18178" t="str">
        <f>"A0098727"</f>
        <v>A0098727</v>
      </c>
      <c r="D18178" t="s">
        <v>66333</v>
      </c>
      <c r="E18178" t="s">
        <v>66334</v>
      </c>
      <c r="F18178" t="s">
        <v>59059</v>
      </c>
      <c r="G18178" t="s">
        <v>1457</v>
      </c>
      <c r="H18178" t="s">
        <v>66335</v>
      </c>
      <c r="I18178" t="s">
        <v>1459</v>
      </c>
      <c r="J18178" t="s">
        <v>171</v>
      </c>
      <c r="K18178" t="s">
        <v>653</v>
      </c>
      <c r="N18178" t="s">
        <v>66336</v>
      </c>
      <c r="Q18178">
        <v>0</v>
      </c>
      <c r="R18178">
        <v>154</v>
      </c>
      <c r="S18178">
        <v>0</v>
      </c>
      <c r="T18178" t="s">
        <v>66337</v>
      </c>
    </row>
    <row r="18179" spans="1:25" customFormat="1" ht="15" hidden="1" x14ac:dyDescent="0.25">
      <c r="A18179" t="s">
        <v>24</v>
      </c>
      <c r="B18179" t="s">
        <v>10942</v>
      </c>
      <c r="C18179" t="str">
        <f>"A0099974"</f>
        <v>A0099974</v>
      </c>
      <c r="D18179" t="s">
        <v>66338</v>
      </c>
      <c r="E18179" t="s">
        <v>63699</v>
      </c>
      <c r="F18179" t="s">
        <v>59059</v>
      </c>
      <c r="G18179" t="s">
        <v>1457</v>
      </c>
      <c r="H18179" t="s">
        <v>63700</v>
      </c>
      <c r="I18179" t="s">
        <v>1459</v>
      </c>
      <c r="J18179" t="s">
        <v>171</v>
      </c>
      <c r="K18179" t="s">
        <v>653</v>
      </c>
      <c r="N18179" t="s">
        <v>63701</v>
      </c>
      <c r="Q18179">
        <v>0</v>
      </c>
      <c r="R18179">
        <v>150</v>
      </c>
      <c r="S18179">
        <v>0</v>
      </c>
      <c r="T18179" t="s">
        <v>63702</v>
      </c>
    </row>
    <row r="18180" spans="1:25" customFormat="1" ht="15" hidden="1" x14ac:dyDescent="0.25">
      <c r="A18180" t="s">
        <v>24</v>
      </c>
      <c r="B18180" t="s">
        <v>5435</v>
      </c>
      <c r="C18180" t="str">
        <f>"A0098733"</f>
        <v>A0098733</v>
      </c>
      <c r="D18180" t="s">
        <v>66339</v>
      </c>
      <c r="E18180" t="s">
        <v>66340</v>
      </c>
      <c r="F18180" t="s">
        <v>58560</v>
      </c>
      <c r="G18180" t="s">
        <v>15270</v>
      </c>
      <c r="H18180" t="s">
        <v>66341</v>
      </c>
      <c r="I18180" t="s">
        <v>1459</v>
      </c>
      <c r="J18180" t="s">
        <v>171</v>
      </c>
      <c r="K18180" t="s">
        <v>653</v>
      </c>
      <c r="Q18180">
        <v>0</v>
      </c>
      <c r="R18180">
        <v>103</v>
      </c>
      <c r="S18180">
        <v>0</v>
      </c>
      <c r="T18180" t="s">
        <v>66342</v>
      </c>
    </row>
    <row r="18181" spans="1:25" customFormat="1" x14ac:dyDescent="0.25">
      <c r="A18181" s="4" t="s">
        <v>24</v>
      </c>
      <c r="B18181" s="4" t="s">
        <v>799</v>
      </c>
      <c r="C18181" s="4" t="str">
        <f>"A0094143"</f>
        <v>A0094143</v>
      </c>
      <c r="D18181" s="4" t="s">
        <v>85281</v>
      </c>
      <c r="E18181" s="4" t="s">
        <v>85282</v>
      </c>
      <c r="F18181" s="4" t="s">
        <v>5369</v>
      </c>
      <c r="G18181" s="4" t="s">
        <v>58</v>
      </c>
      <c r="H18181" s="4">
        <v>29464</v>
      </c>
      <c r="I18181" s="4" t="s">
        <v>30</v>
      </c>
      <c r="J18181" s="4" t="s">
        <v>206</v>
      </c>
      <c r="K18181" s="4" t="s">
        <v>163</v>
      </c>
      <c r="L18181" s="4"/>
      <c r="M18181" s="4"/>
      <c r="N18181" s="4" t="s">
        <v>66644</v>
      </c>
      <c r="O18181" s="4" t="s">
        <v>85283</v>
      </c>
      <c r="P18181" s="4"/>
      <c r="Q18181" s="4">
        <v>0</v>
      </c>
      <c r="R18181" s="4">
        <v>41</v>
      </c>
      <c r="S18181" s="4">
        <v>0</v>
      </c>
      <c r="T18181" s="4" t="s">
        <v>85284</v>
      </c>
      <c r="U18181" s="4"/>
      <c r="V18181" s="4"/>
      <c r="W18181" s="4"/>
      <c r="X18181" s="4"/>
      <c r="Y18181" s="4"/>
    </row>
    <row r="18182" spans="1:25" customFormat="1" x14ac:dyDescent="0.25">
      <c r="A18182" s="4" t="s">
        <v>24</v>
      </c>
      <c r="B18182" s="4" t="s">
        <v>16434</v>
      </c>
      <c r="C18182" s="4" t="str">
        <f>"A0166075"</f>
        <v>A0166075</v>
      </c>
      <c r="D18182" s="4" t="s">
        <v>16679</v>
      </c>
      <c r="E18182" s="4" t="s">
        <v>16680</v>
      </c>
      <c r="F18182" s="4" t="s">
        <v>2971</v>
      </c>
      <c r="G18182" s="4" t="s">
        <v>880</v>
      </c>
      <c r="H18182" s="4">
        <v>37203</v>
      </c>
      <c r="I18182" s="4" t="s">
        <v>30</v>
      </c>
      <c r="J18182" s="4" t="s">
        <v>206</v>
      </c>
      <c r="K18182" s="4" t="s">
        <v>163</v>
      </c>
      <c r="L18182" s="4"/>
      <c r="M18182" s="4"/>
      <c r="N18182" s="4" t="s">
        <v>16681</v>
      </c>
      <c r="O18182" s="4" t="s">
        <v>16682</v>
      </c>
      <c r="P18182" s="4"/>
      <c r="Q18182" s="4">
        <v>0</v>
      </c>
      <c r="R18182" s="4">
        <v>262</v>
      </c>
      <c r="S18182" s="4">
        <v>0</v>
      </c>
      <c r="T18182" s="4" t="s">
        <v>16683</v>
      </c>
      <c r="U18182" s="4"/>
      <c r="V18182" s="4"/>
      <c r="W18182" s="4"/>
      <c r="X18182" s="4"/>
      <c r="Y18182" s="4"/>
    </row>
    <row r="18183" spans="1:25" customFormat="1" ht="15" hidden="1" x14ac:dyDescent="0.25">
      <c r="A18183" t="s">
        <v>24</v>
      </c>
      <c r="B18183" t="s">
        <v>66354</v>
      </c>
      <c r="C18183" t="str">
        <f>"A0100007"</f>
        <v>A0100007</v>
      </c>
      <c r="D18183" t="s">
        <v>66355</v>
      </c>
      <c r="E18183" t="s">
        <v>66356</v>
      </c>
      <c r="F18183" t="s">
        <v>66357</v>
      </c>
      <c r="G18183" t="s">
        <v>4505</v>
      </c>
      <c r="H18183">
        <v>64640</v>
      </c>
      <c r="I18183" t="s">
        <v>2408</v>
      </c>
      <c r="J18183" t="s">
        <v>171</v>
      </c>
      <c r="K18183" t="s">
        <v>653</v>
      </c>
      <c r="N18183" t="s">
        <v>66358</v>
      </c>
      <c r="O18183" t="s">
        <v>66359</v>
      </c>
      <c r="Q18183">
        <v>0</v>
      </c>
      <c r="R18183">
        <v>209</v>
      </c>
      <c r="S18183">
        <v>0</v>
      </c>
      <c r="T18183" t="s">
        <v>66360</v>
      </c>
    </row>
    <row r="18184" spans="1:25" customFormat="1" ht="15" hidden="1" x14ac:dyDescent="0.25">
      <c r="A18184" t="s">
        <v>24</v>
      </c>
      <c r="B18184" t="s">
        <v>10942</v>
      </c>
      <c r="C18184" t="str">
        <f>"A0099496"</f>
        <v>A0099496</v>
      </c>
      <c r="D18184" t="s">
        <v>66361</v>
      </c>
      <c r="E18184" t="s">
        <v>66362</v>
      </c>
      <c r="F18184" t="s">
        <v>9107</v>
      </c>
      <c r="G18184" t="s">
        <v>1457</v>
      </c>
      <c r="H18184" t="s">
        <v>66363</v>
      </c>
      <c r="I18184" t="s">
        <v>1459</v>
      </c>
      <c r="J18184" t="s">
        <v>171</v>
      </c>
      <c r="K18184" t="s">
        <v>653</v>
      </c>
      <c r="N18184" t="s">
        <v>63701</v>
      </c>
      <c r="O18184" t="s">
        <v>66364</v>
      </c>
      <c r="Q18184">
        <v>0</v>
      </c>
      <c r="R18184">
        <v>128</v>
      </c>
      <c r="S18184">
        <v>0</v>
      </c>
      <c r="T18184" t="s">
        <v>66365</v>
      </c>
    </row>
    <row r="18185" spans="1:25" customFormat="1" x14ac:dyDescent="0.25">
      <c r="A18185" s="4" t="s">
        <v>24</v>
      </c>
      <c r="B18185" s="4" t="s">
        <v>675</v>
      </c>
      <c r="C18185" s="4" t="str">
        <f>"A0098088"</f>
        <v>A0098088</v>
      </c>
      <c r="D18185" s="4" t="s">
        <v>16715</v>
      </c>
      <c r="E18185" s="4" t="s">
        <v>16716</v>
      </c>
      <c r="F18185" s="4" t="s">
        <v>2971</v>
      </c>
      <c r="G18185" s="4" t="s">
        <v>880</v>
      </c>
      <c r="H18185" s="4">
        <v>37203</v>
      </c>
      <c r="I18185" s="4" t="s">
        <v>30</v>
      </c>
      <c r="J18185" s="4" t="s">
        <v>206</v>
      </c>
      <c r="K18185" s="4" t="s">
        <v>16717</v>
      </c>
      <c r="L18185" s="4"/>
      <c r="M18185" s="4"/>
      <c r="N18185" s="4" t="s">
        <v>16718</v>
      </c>
      <c r="O18185" s="4" t="s">
        <v>16719</v>
      </c>
      <c r="P18185" s="4"/>
      <c r="Q18185" s="4">
        <v>0</v>
      </c>
      <c r="R18185" s="4">
        <v>260</v>
      </c>
      <c r="S18185" s="4">
        <v>0</v>
      </c>
      <c r="T18185" s="4" t="s">
        <v>16720</v>
      </c>
      <c r="U18185" s="4"/>
      <c r="V18185" s="4"/>
      <c r="W18185" s="4"/>
      <c r="X18185" s="4"/>
      <c r="Y18185" s="4"/>
    </row>
    <row r="18186" spans="1:25" customFormat="1" x14ac:dyDescent="0.25">
      <c r="A18186" s="4" t="s">
        <v>24</v>
      </c>
      <c r="B18186" s="4" t="s">
        <v>13679</v>
      </c>
      <c r="C18186" s="4" t="str">
        <f>"A0059869"</f>
        <v>A0059869</v>
      </c>
      <c r="D18186" s="4" t="s">
        <v>55068</v>
      </c>
      <c r="E18186" s="4" t="s">
        <v>55069</v>
      </c>
      <c r="F18186" s="4" t="s">
        <v>2971</v>
      </c>
      <c r="G18186" s="4" t="s">
        <v>880</v>
      </c>
      <c r="H18186" s="4">
        <v>37203</v>
      </c>
      <c r="I18186" s="4" t="s">
        <v>30</v>
      </c>
      <c r="J18186" s="4" t="s">
        <v>206</v>
      </c>
      <c r="K18186" s="4" t="s">
        <v>6459</v>
      </c>
      <c r="L18186" s="4"/>
      <c r="M18186" s="4"/>
      <c r="N18186" s="4" t="s">
        <v>55070</v>
      </c>
      <c r="O18186" s="4"/>
      <c r="P18186" s="4"/>
      <c r="Q18186" s="4">
        <v>0</v>
      </c>
      <c r="R18186" s="4">
        <v>125</v>
      </c>
      <c r="S18186" s="4">
        <v>0</v>
      </c>
      <c r="T18186" s="4" t="s">
        <v>55071</v>
      </c>
      <c r="U18186" s="4"/>
      <c r="V18186" s="4"/>
      <c r="W18186" s="4"/>
      <c r="X18186" s="4"/>
      <c r="Y18186" s="4"/>
    </row>
    <row r="18187" spans="1:25" customFormat="1" x14ac:dyDescent="0.25">
      <c r="A18187" s="4" t="s">
        <v>24</v>
      </c>
      <c r="B18187" s="4" t="s">
        <v>63514</v>
      </c>
      <c r="C18187" s="4" t="str">
        <f>"A0155776"</f>
        <v>A0155776</v>
      </c>
      <c r="D18187" s="4" t="s">
        <v>63515</v>
      </c>
      <c r="E18187" s="4" t="s">
        <v>63516</v>
      </c>
      <c r="F18187" s="4" t="s">
        <v>2971</v>
      </c>
      <c r="G18187" s="4" t="s">
        <v>880</v>
      </c>
      <c r="H18187" s="4">
        <v>37219</v>
      </c>
      <c r="I18187" s="4" t="s">
        <v>30</v>
      </c>
      <c r="J18187" s="4" t="s">
        <v>206</v>
      </c>
      <c r="K18187" s="4" t="s">
        <v>163</v>
      </c>
      <c r="L18187" s="4"/>
      <c r="M18187" s="4"/>
      <c r="N18187" s="4" t="s">
        <v>63517</v>
      </c>
      <c r="O18187" s="4"/>
      <c r="P18187" s="4"/>
      <c r="Q18187" s="4">
        <v>0</v>
      </c>
      <c r="R18187" s="4">
        <v>168</v>
      </c>
      <c r="S18187" s="4">
        <v>0</v>
      </c>
      <c r="T18187" s="4" t="s">
        <v>63518</v>
      </c>
      <c r="U18187" s="4"/>
      <c r="V18187" s="4"/>
      <c r="W18187" s="4"/>
      <c r="X18187" s="4"/>
      <c r="Y18187" s="4"/>
    </row>
    <row r="18188" spans="1:25" customFormat="1" x14ac:dyDescent="0.25">
      <c r="A18188" s="4" t="s">
        <v>24</v>
      </c>
      <c r="B18188" s="4" t="s">
        <v>11484</v>
      </c>
      <c r="C18188" s="4" t="str">
        <f>"A0100184"</f>
        <v>A0100184</v>
      </c>
      <c r="D18188" s="4" t="s">
        <v>71272</v>
      </c>
      <c r="E18188" s="4" t="s">
        <v>71273</v>
      </c>
      <c r="F18188" s="4" t="s">
        <v>2971</v>
      </c>
      <c r="G18188" s="4" t="s">
        <v>880</v>
      </c>
      <c r="H18188" s="4">
        <v>37203</v>
      </c>
      <c r="I18188" s="4" t="s">
        <v>30</v>
      </c>
      <c r="J18188" s="4" t="s">
        <v>206</v>
      </c>
      <c r="K18188" s="4" t="s">
        <v>13297</v>
      </c>
      <c r="L18188" s="4"/>
      <c r="M18188" s="4"/>
      <c r="N18188" s="4" t="s">
        <v>71274</v>
      </c>
      <c r="O18188" s="4"/>
      <c r="P18188" s="4"/>
      <c r="Q18188" s="4">
        <v>0</v>
      </c>
      <c r="R18188" s="4">
        <v>190</v>
      </c>
      <c r="S18188" s="4">
        <v>0</v>
      </c>
      <c r="T18188" s="4" t="s">
        <v>71275</v>
      </c>
      <c r="U18188" s="4"/>
      <c r="V18188" s="4"/>
      <c r="W18188" s="4"/>
      <c r="X18188" s="4"/>
      <c r="Y18188" s="4"/>
    </row>
    <row r="18189" spans="1:25" customFormat="1" ht="15" hidden="1" x14ac:dyDescent="0.25">
      <c r="A18189" t="s">
        <v>24</v>
      </c>
      <c r="B18189" t="s">
        <v>66383</v>
      </c>
      <c r="C18189" t="str">
        <f>"A0093836"</f>
        <v>A0093836</v>
      </c>
      <c r="D18189" t="s">
        <v>66384</v>
      </c>
      <c r="E18189" t="s">
        <v>66385</v>
      </c>
      <c r="F18189" t="s">
        <v>57016</v>
      </c>
      <c r="G18189" t="s">
        <v>2270</v>
      </c>
      <c r="H18189" t="s">
        <v>66386</v>
      </c>
      <c r="I18189" t="s">
        <v>1459</v>
      </c>
      <c r="J18189" t="s">
        <v>171</v>
      </c>
      <c r="K18189" t="s">
        <v>653</v>
      </c>
      <c r="N18189" t="s">
        <v>66387</v>
      </c>
      <c r="Q18189">
        <v>0</v>
      </c>
      <c r="R18189">
        <v>120</v>
      </c>
      <c r="S18189">
        <v>0</v>
      </c>
      <c r="T18189" t="s">
        <v>66388</v>
      </c>
    </row>
    <row r="18190" spans="1:25" customFormat="1" x14ac:dyDescent="0.25">
      <c r="A18190" s="4" t="s">
        <v>24</v>
      </c>
      <c r="B18190" s="4" t="s">
        <v>850</v>
      </c>
      <c r="C18190" s="4" t="str">
        <f>"A0151400"</f>
        <v>A0151400</v>
      </c>
      <c r="D18190" s="4" t="s">
        <v>76219</v>
      </c>
      <c r="E18190" s="4" t="s">
        <v>76220</v>
      </c>
      <c r="F18190" s="4" t="s">
        <v>11700</v>
      </c>
      <c r="G18190" s="4" t="s">
        <v>880</v>
      </c>
      <c r="H18190" s="4">
        <v>38103</v>
      </c>
      <c r="I18190" s="4" t="s">
        <v>30</v>
      </c>
      <c r="J18190" s="4" t="s">
        <v>206</v>
      </c>
      <c r="K18190" s="4" t="s">
        <v>5707</v>
      </c>
      <c r="L18190" s="4"/>
      <c r="M18190" s="4"/>
      <c r="N18190" s="4" t="s">
        <v>76221</v>
      </c>
      <c r="O18190" s="4"/>
      <c r="P18190" s="4"/>
      <c r="Q18190" s="4">
        <v>0</v>
      </c>
      <c r="R18190" s="4">
        <v>124</v>
      </c>
      <c r="S18190" s="4">
        <v>0</v>
      </c>
      <c r="T18190" s="4" t="s">
        <v>76222</v>
      </c>
      <c r="U18190" s="4"/>
      <c r="V18190" s="4"/>
      <c r="W18190" s="4"/>
      <c r="X18190" s="4"/>
      <c r="Y18190" s="4"/>
    </row>
    <row r="18191" spans="1:25" customFormat="1" x14ac:dyDescent="0.25">
      <c r="A18191" s="4" t="s">
        <v>24</v>
      </c>
      <c r="B18191" s="4" t="s">
        <v>3459</v>
      </c>
      <c r="C18191" s="4" t="str">
        <f>"A0099834"</f>
        <v>A0099834</v>
      </c>
      <c r="D18191" s="4" t="s">
        <v>76829</v>
      </c>
      <c r="E18191" s="4" t="s">
        <v>76830</v>
      </c>
      <c r="F18191" s="4" t="s">
        <v>2971</v>
      </c>
      <c r="G18191" s="4" t="s">
        <v>880</v>
      </c>
      <c r="H18191" s="4">
        <v>37219</v>
      </c>
      <c r="I18191" s="4" t="s">
        <v>30</v>
      </c>
      <c r="J18191" s="4" t="s">
        <v>206</v>
      </c>
      <c r="K18191" s="4" t="s">
        <v>3447</v>
      </c>
      <c r="L18191" s="4"/>
      <c r="M18191" s="4"/>
      <c r="N18191" s="4" t="s">
        <v>76831</v>
      </c>
      <c r="O18191" s="4"/>
      <c r="P18191" s="4"/>
      <c r="Q18191" s="4">
        <v>0</v>
      </c>
      <c r="R18191" s="4">
        <v>224</v>
      </c>
      <c r="S18191" s="4">
        <v>0</v>
      </c>
      <c r="T18191" s="4" t="s">
        <v>76832</v>
      </c>
      <c r="U18191" s="4"/>
      <c r="V18191" s="4"/>
      <c r="W18191" s="4"/>
      <c r="X18191" s="4"/>
      <c r="Y18191" s="4"/>
    </row>
    <row r="18192" spans="1:25" customFormat="1" x14ac:dyDescent="0.25">
      <c r="A18192" s="4" t="s">
        <v>24</v>
      </c>
      <c r="B18192" s="4" t="s">
        <v>9391</v>
      </c>
      <c r="C18192" s="4" t="str">
        <f>"A0101116"</f>
        <v>A0101116</v>
      </c>
      <c r="D18192" s="4" t="s">
        <v>84195</v>
      </c>
      <c r="E18192" s="4" t="s">
        <v>84196</v>
      </c>
      <c r="F18192" s="4" t="s">
        <v>1346</v>
      </c>
      <c r="G18192" s="4" t="s">
        <v>880</v>
      </c>
      <c r="H18192" s="4">
        <v>37402</v>
      </c>
      <c r="I18192" s="4" t="s">
        <v>30</v>
      </c>
      <c r="J18192" s="4" t="s">
        <v>206</v>
      </c>
      <c r="K18192" s="4" t="s">
        <v>6459</v>
      </c>
      <c r="L18192" s="4"/>
      <c r="M18192" s="4"/>
      <c r="N18192" s="4" t="s">
        <v>84197</v>
      </c>
      <c r="O18192" s="4"/>
      <c r="P18192" s="4"/>
      <c r="Q18192" s="4">
        <v>0</v>
      </c>
      <c r="R18192" s="4">
        <v>90</v>
      </c>
      <c r="S18192" s="4">
        <v>0</v>
      </c>
      <c r="T18192" s="4" t="s">
        <v>84198</v>
      </c>
      <c r="U18192" s="4"/>
      <c r="V18192" s="4"/>
      <c r="W18192" s="4"/>
      <c r="X18192" s="4"/>
      <c r="Y18192" s="4"/>
    </row>
    <row r="18193" spans="1:25" customFormat="1" x14ac:dyDescent="0.25">
      <c r="A18193" s="4" t="s">
        <v>24</v>
      </c>
      <c r="B18193" s="4" t="s">
        <v>850</v>
      </c>
      <c r="C18193" s="4" t="str">
        <f>"A0151401"</f>
        <v>A0151401</v>
      </c>
      <c r="D18193" s="4" t="s">
        <v>84447</v>
      </c>
      <c r="E18193" s="4" t="s">
        <v>84448</v>
      </c>
      <c r="F18193" s="4" t="s">
        <v>7921</v>
      </c>
      <c r="G18193" s="4" t="s">
        <v>880</v>
      </c>
      <c r="H18193" s="4">
        <v>37064</v>
      </c>
      <c r="I18193" s="4" t="s">
        <v>30</v>
      </c>
      <c r="J18193" s="4" t="s">
        <v>206</v>
      </c>
      <c r="K18193" s="4" t="s">
        <v>5707</v>
      </c>
      <c r="L18193" s="4"/>
      <c r="M18193" s="4"/>
      <c r="N18193" s="4" t="s">
        <v>84449</v>
      </c>
      <c r="O18193" s="4"/>
      <c r="P18193" s="4"/>
      <c r="Q18193" s="4">
        <v>0</v>
      </c>
      <c r="R18193" s="4">
        <v>133</v>
      </c>
      <c r="S18193" s="4">
        <v>0</v>
      </c>
      <c r="T18193" s="4" t="s">
        <v>84450</v>
      </c>
      <c r="U18193" s="4"/>
      <c r="V18193" s="4"/>
      <c r="W18193" s="4"/>
      <c r="X18193" s="4"/>
      <c r="Y18193" s="4"/>
    </row>
    <row r="18194" spans="1:25" customFormat="1" ht="15" hidden="1" x14ac:dyDescent="0.25">
      <c r="A18194" t="s">
        <v>24</v>
      </c>
      <c r="B18194" t="s">
        <v>66354</v>
      </c>
      <c r="C18194" t="str">
        <f>"A0100008"</f>
        <v>A0100008</v>
      </c>
      <c r="D18194" t="s">
        <v>66406</v>
      </c>
      <c r="E18194" t="s">
        <v>66407</v>
      </c>
      <c r="F18194" t="s">
        <v>66408</v>
      </c>
      <c r="G18194" t="s">
        <v>4505</v>
      </c>
      <c r="H18194">
        <v>67138</v>
      </c>
      <c r="I18194" t="s">
        <v>2408</v>
      </c>
      <c r="J18194" t="s">
        <v>171</v>
      </c>
      <c r="K18194" t="s">
        <v>653</v>
      </c>
      <c r="N18194" t="s">
        <v>66358</v>
      </c>
      <c r="Q18194">
        <v>0</v>
      </c>
      <c r="R18194">
        <v>107</v>
      </c>
      <c r="S18194">
        <v>0</v>
      </c>
      <c r="T18194" t="s">
        <v>66360</v>
      </c>
    </row>
    <row r="18195" spans="1:25" customFormat="1" x14ac:dyDescent="0.25">
      <c r="A18195" s="4" t="s">
        <v>24</v>
      </c>
      <c r="B18195" s="4" t="s">
        <v>4140</v>
      </c>
      <c r="C18195" s="4" t="str">
        <f>"A0156081"</f>
        <v>A0156081</v>
      </c>
      <c r="D18195" s="4" t="s">
        <v>84556</v>
      </c>
      <c r="E18195" s="4" t="s">
        <v>84557</v>
      </c>
      <c r="F18195" s="4" t="s">
        <v>2971</v>
      </c>
      <c r="G18195" s="4" t="s">
        <v>880</v>
      </c>
      <c r="H18195" s="4">
        <v>37201</v>
      </c>
      <c r="I18195" s="4" t="s">
        <v>30</v>
      </c>
      <c r="J18195" s="4" t="s">
        <v>206</v>
      </c>
      <c r="K18195" s="4" t="s">
        <v>55170</v>
      </c>
      <c r="L18195" s="4"/>
      <c r="M18195" s="4"/>
      <c r="N18195" s="4" t="s">
        <v>84558</v>
      </c>
      <c r="O18195" s="4" t="s">
        <v>84559</v>
      </c>
      <c r="P18195" s="4"/>
      <c r="Q18195" s="4">
        <v>0</v>
      </c>
      <c r="R18195" s="4">
        <v>300</v>
      </c>
      <c r="S18195" s="4">
        <v>0</v>
      </c>
      <c r="T18195" s="4" t="s">
        <v>84560</v>
      </c>
      <c r="U18195" s="4"/>
      <c r="V18195" s="4"/>
      <c r="W18195" s="4"/>
      <c r="X18195" s="4"/>
      <c r="Y18195" s="4"/>
    </row>
    <row r="18196" spans="1:25" customFormat="1" x14ac:dyDescent="0.25">
      <c r="A18196" s="4" t="s">
        <v>24</v>
      </c>
      <c r="B18196" s="4" t="s">
        <v>1020</v>
      </c>
      <c r="C18196" s="4" t="str">
        <f>"A0086989"</f>
        <v>A0086989</v>
      </c>
      <c r="D18196" s="4" t="s">
        <v>2906</v>
      </c>
      <c r="E18196" s="4" t="s">
        <v>2907</v>
      </c>
      <c r="F18196" s="4" t="s">
        <v>2094</v>
      </c>
      <c r="G18196" s="4" t="s">
        <v>52</v>
      </c>
      <c r="H18196" s="4">
        <v>75201</v>
      </c>
      <c r="I18196" s="4" t="s">
        <v>30</v>
      </c>
      <c r="J18196" s="4" t="s">
        <v>206</v>
      </c>
      <c r="K18196" s="4" t="s">
        <v>163</v>
      </c>
      <c r="L18196" s="4"/>
      <c r="M18196" s="4"/>
      <c r="N18196" s="4" t="s">
        <v>2908</v>
      </c>
      <c r="O18196" s="4"/>
      <c r="P18196" s="4"/>
      <c r="Q18196" s="4">
        <v>0</v>
      </c>
      <c r="R18196" s="4">
        <v>160</v>
      </c>
      <c r="S18196" s="4">
        <v>0</v>
      </c>
      <c r="T18196" s="4" t="s">
        <v>2909</v>
      </c>
      <c r="U18196" s="4"/>
      <c r="V18196" s="4"/>
      <c r="W18196" s="4"/>
      <c r="X18196" s="4"/>
      <c r="Y18196" s="4"/>
    </row>
    <row r="18197" spans="1:25" customFormat="1" x14ac:dyDescent="0.25">
      <c r="A18197" s="4" t="s">
        <v>24</v>
      </c>
      <c r="B18197" s="4" t="s">
        <v>7014</v>
      </c>
      <c r="C18197" s="4" t="str">
        <f>"A0149402"</f>
        <v>A0149402</v>
      </c>
      <c r="D18197" s="4" t="s">
        <v>7057</v>
      </c>
      <c r="E18197" s="4" t="s">
        <v>7058</v>
      </c>
      <c r="F18197" s="4" t="s">
        <v>372</v>
      </c>
      <c r="G18197" s="4" t="s">
        <v>52</v>
      </c>
      <c r="H18197" s="4">
        <v>78701</v>
      </c>
      <c r="I18197" s="4" t="s">
        <v>30</v>
      </c>
      <c r="J18197" s="4" t="s">
        <v>206</v>
      </c>
      <c r="K18197" s="4" t="s">
        <v>7017</v>
      </c>
      <c r="L18197" s="4"/>
      <c r="M18197" s="4"/>
      <c r="N18197" s="4" t="s">
        <v>7059</v>
      </c>
      <c r="O18197" s="4"/>
      <c r="P18197" s="4"/>
      <c r="Q18197" s="4">
        <v>0</v>
      </c>
      <c r="R18197" s="4">
        <v>244</v>
      </c>
      <c r="S18197" s="4">
        <v>0</v>
      </c>
      <c r="T18197" s="4" t="s">
        <v>7060</v>
      </c>
      <c r="U18197" s="4"/>
      <c r="V18197" s="4"/>
      <c r="W18197" s="4"/>
      <c r="X18197" s="4"/>
      <c r="Y18197" s="4"/>
    </row>
    <row r="18198" spans="1:25" customFormat="1" x14ac:dyDescent="0.25">
      <c r="A18198" s="4" t="s">
        <v>24</v>
      </c>
      <c r="B18198" s="4" t="s">
        <v>2373</v>
      </c>
      <c r="C18198" s="4" t="str">
        <f>"A0098707"</f>
        <v>A0098707</v>
      </c>
      <c r="D18198" s="4" t="s">
        <v>7226</v>
      </c>
      <c r="E18198" s="4" t="s">
        <v>7227</v>
      </c>
      <c r="F18198" s="4" t="s">
        <v>1564</v>
      </c>
      <c r="G18198" s="4" t="s">
        <v>52</v>
      </c>
      <c r="H18198" s="4">
        <v>77002</v>
      </c>
      <c r="I18198" s="4" t="s">
        <v>30</v>
      </c>
      <c r="J18198" s="4" t="s">
        <v>206</v>
      </c>
      <c r="K18198" s="4" t="s">
        <v>6459</v>
      </c>
      <c r="L18198" s="4"/>
      <c r="M18198" s="4"/>
      <c r="N18198" s="4" t="s">
        <v>7228</v>
      </c>
      <c r="O18198" s="4"/>
      <c r="P18198" s="4"/>
      <c r="Q18198" s="4">
        <v>0</v>
      </c>
      <c r="R18198" s="4">
        <v>223</v>
      </c>
      <c r="S18198" s="4">
        <v>0</v>
      </c>
      <c r="T18198" s="4" t="s">
        <v>7229</v>
      </c>
      <c r="U18198" s="4"/>
      <c r="V18198" s="4"/>
      <c r="W18198" s="4"/>
      <c r="X18198" s="4"/>
      <c r="Y18198" s="4"/>
    </row>
    <row r="18199" spans="1:25" customFormat="1" x14ac:dyDescent="0.25">
      <c r="A18199" s="4" t="s">
        <v>24</v>
      </c>
      <c r="B18199" s="4" t="s">
        <v>5166</v>
      </c>
      <c r="C18199" s="4" t="str">
        <f>"A0083422"</f>
        <v>A0083422</v>
      </c>
      <c r="D18199" s="4" t="s">
        <v>12728</v>
      </c>
      <c r="E18199" s="4" t="s">
        <v>12729</v>
      </c>
      <c r="F18199" s="4" t="s">
        <v>1564</v>
      </c>
      <c r="G18199" s="4" t="s">
        <v>52</v>
      </c>
      <c r="H18199" s="4" t="s">
        <v>12730</v>
      </c>
      <c r="I18199" s="4" t="s">
        <v>30</v>
      </c>
      <c r="J18199" s="4" t="s">
        <v>206</v>
      </c>
      <c r="K18199" s="4" t="s">
        <v>5707</v>
      </c>
      <c r="L18199" s="4"/>
      <c r="M18199" s="4"/>
      <c r="N18199" s="4"/>
      <c r="O18199" s="4"/>
      <c r="P18199" s="4"/>
      <c r="Q18199" s="4">
        <v>0</v>
      </c>
      <c r="R18199" s="4">
        <v>354</v>
      </c>
      <c r="S18199" s="4">
        <v>0</v>
      </c>
      <c r="T18199" s="4" t="s">
        <v>12731</v>
      </c>
      <c r="U18199" s="4"/>
      <c r="V18199" s="4"/>
      <c r="W18199" s="4"/>
      <c r="X18199" s="4"/>
      <c r="Y18199" s="4"/>
    </row>
    <row r="18200" spans="1:25" customFormat="1" x14ac:dyDescent="0.25">
      <c r="A18200" s="4" t="s">
        <v>24</v>
      </c>
      <c r="B18200" s="4" t="s">
        <v>814</v>
      </c>
      <c r="C18200" s="4" t="str">
        <f>"A0187454"</f>
        <v>A0187454</v>
      </c>
      <c r="D18200" s="4" t="s">
        <v>13176</v>
      </c>
      <c r="E18200" s="4" t="s">
        <v>13177</v>
      </c>
      <c r="F18200" s="4" t="s">
        <v>3505</v>
      </c>
      <c r="G18200" s="4" t="s">
        <v>52</v>
      </c>
      <c r="H18200" s="4">
        <v>76102</v>
      </c>
      <c r="I18200" s="4" t="s">
        <v>30</v>
      </c>
      <c r="J18200" s="4" t="s">
        <v>206</v>
      </c>
      <c r="K18200" s="4" t="s">
        <v>13178</v>
      </c>
      <c r="L18200" s="4"/>
      <c r="M18200" s="4"/>
      <c r="N18200" s="4" t="s">
        <v>13179</v>
      </c>
      <c r="O18200" s="4"/>
      <c r="P18200" s="4"/>
      <c r="Q18200" s="4">
        <v>0</v>
      </c>
      <c r="R18200" s="4">
        <v>232</v>
      </c>
      <c r="S18200" s="4">
        <v>0</v>
      </c>
      <c r="T18200" s="4" t="s">
        <v>13180</v>
      </c>
      <c r="U18200" s="4"/>
      <c r="V18200" s="4"/>
      <c r="W18200" s="4"/>
      <c r="X18200" s="4"/>
      <c r="Y18200" s="4"/>
    </row>
    <row r="18201" spans="1:25" customFormat="1" x14ac:dyDescent="0.25">
      <c r="A18201" s="4" t="s">
        <v>24</v>
      </c>
      <c r="B18201" s="4" t="s">
        <v>13274</v>
      </c>
      <c r="C18201" s="4" t="str">
        <f>"A0186854"</f>
        <v>A0186854</v>
      </c>
      <c r="D18201" s="4" t="s">
        <v>13275</v>
      </c>
      <c r="E18201" s="4" t="s">
        <v>13276</v>
      </c>
      <c r="F18201" s="4" t="s">
        <v>13277</v>
      </c>
      <c r="G18201" s="4" t="s">
        <v>52</v>
      </c>
      <c r="H18201" s="4">
        <v>76801</v>
      </c>
      <c r="I18201" s="4" t="s">
        <v>30</v>
      </c>
      <c r="J18201" s="4" t="s">
        <v>206</v>
      </c>
      <c r="K18201" s="4" t="s">
        <v>163</v>
      </c>
      <c r="L18201" s="4"/>
      <c r="M18201" s="4"/>
      <c r="N18201" s="4" t="s">
        <v>13278</v>
      </c>
      <c r="O18201" s="4" t="s">
        <v>13279</v>
      </c>
      <c r="P18201" s="4"/>
      <c r="Q18201" s="4">
        <v>0</v>
      </c>
      <c r="R18201" s="4">
        <v>100</v>
      </c>
      <c r="S18201" s="4">
        <v>0</v>
      </c>
      <c r="T18201" s="4" t="s">
        <v>13280</v>
      </c>
      <c r="U18201" s="4"/>
      <c r="V18201" s="4"/>
      <c r="W18201" s="4"/>
      <c r="X18201" s="4"/>
      <c r="Y18201" s="4"/>
    </row>
    <row r="18202" spans="1:25" customFormat="1" ht="15" hidden="1" x14ac:dyDescent="0.25">
      <c r="A18202" t="s">
        <v>24</v>
      </c>
      <c r="B18202" t="s">
        <v>1172</v>
      </c>
      <c r="C18202" t="str">
        <f>"A0099244"</f>
        <v>A0099244</v>
      </c>
      <c r="D18202" t="s">
        <v>66439</v>
      </c>
      <c r="E18202" t="s">
        <v>66440</v>
      </c>
      <c r="F18202" t="s">
        <v>1175</v>
      </c>
      <c r="G18202" t="s">
        <v>1176</v>
      </c>
      <c r="H18202">
        <v>23000</v>
      </c>
      <c r="I18202" t="s">
        <v>1177</v>
      </c>
      <c r="J18202" t="s">
        <v>171</v>
      </c>
      <c r="K18202" t="s">
        <v>653</v>
      </c>
      <c r="N18202" t="s">
        <v>66441</v>
      </c>
      <c r="O18202" t="s">
        <v>66442</v>
      </c>
      <c r="Q18202">
        <v>0</v>
      </c>
      <c r="R18202">
        <v>124</v>
      </c>
      <c r="S18202">
        <v>0</v>
      </c>
      <c r="T18202" t="s">
        <v>66443</v>
      </c>
    </row>
    <row r="18203" spans="1:25" customFormat="1" x14ac:dyDescent="0.25">
      <c r="A18203" s="4" t="s">
        <v>24</v>
      </c>
      <c r="B18203" s="4" t="s">
        <v>15219</v>
      </c>
      <c r="C18203" s="4" t="str">
        <f>"A0186550"</f>
        <v>A0186550</v>
      </c>
      <c r="D18203" s="4" t="s">
        <v>15220</v>
      </c>
      <c r="E18203" s="4" t="s">
        <v>15221</v>
      </c>
      <c r="F18203" s="4" t="s">
        <v>1564</v>
      </c>
      <c r="G18203" s="4" t="s">
        <v>52</v>
      </c>
      <c r="H18203" s="4">
        <v>77030</v>
      </c>
      <c r="I18203" s="4" t="s">
        <v>30</v>
      </c>
      <c r="J18203" s="4" t="s">
        <v>206</v>
      </c>
      <c r="K18203" s="4" t="s">
        <v>163</v>
      </c>
      <c r="L18203" s="4"/>
      <c r="M18203" s="4"/>
      <c r="N18203" s="4"/>
      <c r="O18203" s="4"/>
      <c r="P18203" s="4"/>
      <c r="Q18203" s="4">
        <v>0</v>
      </c>
      <c r="R18203" s="4">
        <v>267</v>
      </c>
      <c r="S18203" s="4">
        <v>0</v>
      </c>
      <c r="T18203" s="4" t="s">
        <v>15222</v>
      </c>
      <c r="U18203" s="4"/>
      <c r="V18203" s="4"/>
      <c r="W18203" s="4"/>
      <c r="X18203" s="4"/>
      <c r="Y18203" s="4"/>
    </row>
    <row r="18204" spans="1:25" customFormat="1" x14ac:dyDescent="0.25">
      <c r="A18204" s="4" t="s">
        <v>24</v>
      </c>
      <c r="B18204" s="4" t="s">
        <v>16434</v>
      </c>
      <c r="C18204" s="4" t="str">
        <f>"A0166073"</f>
        <v>A0166073</v>
      </c>
      <c r="D18204" s="4" t="s">
        <v>16684</v>
      </c>
      <c r="E18204" s="4" t="s">
        <v>16685</v>
      </c>
      <c r="F18204" s="4" t="s">
        <v>2094</v>
      </c>
      <c r="G18204" s="4" t="s">
        <v>52</v>
      </c>
      <c r="H18204" s="4">
        <v>75207</v>
      </c>
      <c r="I18204" s="4" t="s">
        <v>30</v>
      </c>
      <c r="J18204" s="4" t="s">
        <v>206</v>
      </c>
      <c r="K18204" s="4" t="s">
        <v>163</v>
      </c>
      <c r="L18204" s="4"/>
      <c r="M18204" s="4"/>
      <c r="N18204" s="4" t="s">
        <v>16686</v>
      </c>
      <c r="O18204" s="4" t="s">
        <v>16687</v>
      </c>
      <c r="P18204" s="4"/>
      <c r="Q18204" s="4">
        <v>0</v>
      </c>
      <c r="R18204" s="4">
        <v>268</v>
      </c>
      <c r="S18204" s="4">
        <v>0</v>
      </c>
      <c r="T18204" s="4" t="s">
        <v>16688</v>
      </c>
      <c r="U18204" s="4"/>
      <c r="V18204" s="4"/>
      <c r="W18204" s="4"/>
      <c r="X18204" s="4"/>
      <c r="Y18204" s="4"/>
    </row>
    <row r="18205" spans="1:25" customFormat="1" x14ac:dyDescent="0.25">
      <c r="A18205" s="4" t="s">
        <v>24</v>
      </c>
      <c r="B18205" s="4" t="s">
        <v>11170</v>
      </c>
      <c r="C18205" s="4" t="str">
        <f>"A0180329"</f>
        <v>A0180329</v>
      </c>
      <c r="D18205" s="4" t="s">
        <v>33853</v>
      </c>
      <c r="E18205" s="4" t="s">
        <v>33854</v>
      </c>
      <c r="F18205" s="4" t="s">
        <v>33855</v>
      </c>
      <c r="G18205" s="4" t="s">
        <v>52</v>
      </c>
      <c r="H18205" s="4">
        <v>78746</v>
      </c>
      <c r="I18205" s="4" t="s">
        <v>30</v>
      </c>
      <c r="J18205" s="4" t="s">
        <v>206</v>
      </c>
      <c r="K18205" s="4" t="s">
        <v>163</v>
      </c>
      <c r="L18205" s="4"/>
      <c r="M18205" s="4"/>
      <c r="N18205" s="4" t="s">
        <v>33856</v>
      </c>
      <c r="O18205" s="4"/>
      <c r="P18205" s="4"/>
      <c r="Q18205" s="4">
        <v>0</v>
      </c>
      <c r="R18205" s="4">
        <v>194</v>
      </c>
      <c r="S18205" s="4">
        <v>0</v>
      </c>
      <c r="T18205" s="4" t="s">
        <v>33857</v>
      </c>
      <c r="U18205" s="4"/>
      <c r="V18205" s="4"/>
      <c r="W18205" s="4"/>
      <c r="X18205" s="4"/>
      <c r="Y18205" s="4"/>
    </row>
    <row r="18206" spans="1:25" customFormat="1" ht="15" hidden="1" x14ac:dyDescent="0.25">
      <c r="A18206" t="s">
        <v>24</v>
      </c>
      <c r="B18206" t="s">
        <v>10942</v>
      </c>
      <c r="C18206" t="str">
        <f>"A0098716"</f>
        <v>A0098716</v>
      </c>
      <c r="D18206" t="s">
        <v>66458</v>
      </c>
      <c r="E18206" t="s">
        <v>66459</v>
      </c>
      <c r="F18206" t="s">
        <v>58102</v>
      </c>
      <c r="G18206" t="s">
        <v>1457</v>
      </c>
      <c r="H18206" t="s">
        <v>66460</v>
      </c>
      <c r="I18206" t="s">
        <v>1459</v>
      </c>
      <c r="J18206" t="s">
        <v>171</v>
      </c>
      <c r="K18206" t="s">
        <v>653</v>
      </c>
      <c r="N18206" t="s">
        <v>63701</v>
      </c>
      <c r="Q18206">
        <v>0</v>
      </c>
      <c r="R18206">
        <v>135</v>
      </c>
      <c r="S18206">
        <v>0</v>
      </c>
      <c r="T18206" t="s">
        <v>66461</v>
      </c>
    </row>
    <row r="18207" spans="1:25" customFormat="1" x14ac:dyDescent="0.25">
      <c r="A18207" s="4" t="s">
        <v>24</v>
      </c>
      <c r="B18207" s="4" t="s">
        <v>8523</v>
      </c>
      <c r="C18207" s="4" t="str">
        <f>"A0146580"</f>
        <v>A0146580</v>
      </c>
      <c r="D18207" s="4" t="s">
        <v>35271</v>
      </c>
      <c r="E18207" s="4" t="s">
        <v>35272</v>
      </c>
      <c r="F18207" s="4" t="s">
        <v>3505</v>
      </c>
      <c r="G18207" s="4" t="s">
        <v>52</v>
      </c>
      <c r="H18207" s="4">
        <v>76102</v>
      </c>
      <c r="I18207" s="4" t="s">
        <v>30</v>
      </c>
      <c r="J18207" s="4" t="s">
        <v>206</v>
      </c>
      <c r="K18207" s="4" t="s">
        <v>6459</v>
      </c>
      <c r="L18207" s="4"/>
      <c r="M18207" s="4"/>
      <c r="N18207" s="4" t="s">
        <v>35273</v>
      </c>
      <c r="O18207" s="4"/>
      <c r="P18207" s="4"/>
      <c r="Q18207" s="4">
        <v>0</v>
      </c>
      <c r="R18207" s="4">
        <v>164</v>
      </c>
      <c r="S18207" s="4">
        <v>0</v>
      </c>
      <c r="T18207" s="4" t="s">
        <v>35274</v>
      </c>
      <c r="U18207" s="4"/>
      <c r="V18207" s="4"/>
      <c r="W18207" s="4"/>
      <c r="X18207" s="4"/>
      <c r="Y18207" s="4"/>
    </row>
    <row r="18208" spans="1:25" customFormat="1" ht="15" hidden="1" x14ac:dyDescent="0.25">
      <c r="A18208" t="s">
        <v>24</v>
      </c>
      <c r="B18208" t="s">
        <v>66468</v>
      </c>
      <c r="C18208" t="str">
        <f>"A0098739"</f>
        <v>A0098739</v>
      </c>
      <c r="D18208" t="s">
        <v>66469</v>
      </c>
      <c r="E18208" t="s">
        <v>66470</v>
      </c>
      <c r="F18208" t="s">
        <v>66471</v>
      </c>
      <c r="G18208" t="s">
        <v>2206</v>
      </c>
      <c r="H18208" t="s">
        <v>66472</v>
      </c>
      <c r="I18208" t="s">
        <v>1459</v>
      </c>
      <c r="J18208" t="s">
        <v>171</v>
      </c>
      <c r="K18208" t="s">
        <v>653</v>
      </c>
      <c r="N18208" t="s">
        <v>66473</v>
      </c>
      <c r="Q18208">
        <v>0</v>
      </c>
      <c r="R18208">
        <v>124</v>
      </c>
      <c r="S18208">
        <v>0</v>
      </c>
      <c r="T18208" t="s">
        <v>66474</v>
      </c>
    </row>
    <row r="18209" spans="1:25" customFormat="1" x14ac:dyDescent="0.25">
      <c r="A18209" s="4" t="s">
        <v>24</v>
      </c>
      <c r="B18209" s="4" t="s">
        <v>53301</v>
      </c>
      <c r="C18209" s="4" t="str">
        <f>"A0165851"</f>
        <v>A0165851</v>
      </c>
      <c r="D18209" s="4" t="s">
        <v>53302</v>
      </c>
      <c r="E18209" s="4" t="s">
        <v>53303</v>
      </c>
      <c r="F18209" s="4" t="s">
        <v>3505</v>
      </c>
      <c r="G18209" s="4" t="s">
        <v>52</v>
      </c>
      <c r="H18209" s="4">
        <v>76164</v>
      </c>
      <c r="I18209" s="4" t="s">
        <v>30</v>
      </c>
      <c r="J18209" s="4" t="s">
        <v>206</v>
      </c>
      <c r="K18209" s="4" t="s">
        <v>6459</v>
      </c>
      <c r="L18209" s="4"/>
      <c r="M18209" s="4"/>
      <c r="N18209" s="4" t="s">
        <v>53304</v>
      </c>
      <c r="O18209" s="4"/>
      <c r="P18209" s="4"/>
      <c r="Q18209" s="4">
        <v>0</v>
      </c>
      <c r="R18209" s="4">
        <v>200</v>
      </c>
      <c r="S18209" s="4">
        <v>0</v>
      </c>
      <c r="T18209" s="4" t="s">
        <v>53305</v>
      </c>
      <c r="U18209" s="4"/>
      <c r="V18209" s="4"/>
      <c r="W18209" s="4"/>
      <c r="X18209" s="4"/>
      <c r="Y18209" s="4"/>
    </row>
    <row r="18210" spans="1:25" customFormat="1" ht="15" hidden="1" x14ac:dyDescent="0.25">
      <c r="A18210" t="s">
        <v>24</v>
      </c>
      <c r="B18210" t="s">
        <v>59461</v>
      </c>
      <c r="C18210" t="str">
        <f>"A0084116"</f>
        <v>A0084116</v>
      </c>
      <c r="D18210" t="s">
        <v>66481</v>
      </c>
      <c r="E18210" t="s">
        <v>63776</v>
      </c>
      <c r="F18210" t="s">
        <v>2879</v>
      </c>
      <c r="G18210" t="s">
        <v>2206</v>
      </c>
      <c r="H18210" t="s">
        <v>63777</v>
      </c>
      <c r="I18210" t="s">
        <v>1459</v>
      </c>
      <c r="J18210" t="s">
        <v>171</v>
      </c>
      <c r="K18210" t="s">
        <v>653</v>
      </c>
      <c r="N18210" t="s">
        <v>63778</v>
      </c>
      <c r="Q18210">
        <v>0</v>
      </c>
      <c r="R18210">
        <v>204</v>
      </c>
      <c r="S18210">
        <v>0</v>
      </c>
      <c r="T18210" t="s">
        <v>66482</v>
      </c>
    </row>
    <row r="18211" spans="1:25" customFormat="1" ht="15" hidden="1" x14ac:dyDescent="0.25">
      <c r="A18211" t="s">
        <v>24</v>
      </c>
      <c r="B18211" t="s">
        <v>1548</v>
      </c>
      <c r="C18211" t="str">
        <f>"A0098738"</f>
        <v>A0098738</v>
      </c>
      <c r="D18211" t="s">
        <v>66483</v>
      </c>
      <c r="E18211" t="s">
        <v>66484</v>
      </c>
      <c r="F18211" t="s">
        <v>2879</v>
      </c>
      <c r="G18211" t="s">
        <v>2206</v>
      </c>
      <c r="H18211" t="s">
        <v>66485</v>
      </c>
      <c r="I18211" t="s">
        <v>1459</v>
      </c>
      <c r="J18211" t="s">
        <v>171</v>
      </c>
      <c r="K18211" t="s">
        <v>653</v>
      </c>
      <c r="N18211" t="s">
        <v>66486</v>
      </c>
      <c r="Q18211">
        <v>0</v>
      </c>
      <c r="R18211">
        <v>145</v>
      </c>
      <c r="S18211">
        <v>0</v>
      </c>
      <c r="T18211" t="s">
        <v>66487</v>
      </c>
    </row>
    <row r="18212" spans="1:25" customFormat="1" ht="15" hidden="1" x14ac:dyDescent="0.25">
      <c r="A18212" t="s">
        <v>24</v>
      </c>
      <c r="B18212" t="s">
        <v>66488</v>
      </c>
      <c r="C18212" t="str">
        <f>"A0145430"</f>
        <v>A0145430</v>
      </c>
      <c r="D18212" t="s">
        <v>66489</v>
      </c>
      <c r="E18212" t="s">
        <v>66490</v>
      </c>
      <c r="F18212" t="s">
        <v>5839</v>
      </c>
      <c r="G18212" t="s">
        <v>5840</v>
      </c>
      <c r="H18212">
        <v>94294</v>
      </c>
      <c r="I18212" t="s">
        <v>2408</v>
      </c>
      <c r="J18212" t="s">
        <v>171</v>
      </c>
      <c r="K18212" t="s">
        <v>653</v>
      </c>
      <c r="N18212" t="s">
        <v>66491</v>
      </c>
      <c r="O18212" t="s">
        <v>66492</v>
      </c>
      <c r="Q18212">
        <v>0</v>
      </c>
      <c r="R18212">
        <v>137</v>
      </c>
      <c r="S18212">
        <v>0</v>
      </c>
      <c r="T18212" t="s">
        <v>66493</v>
      </c>
    </row>
    <row r="18213" spans="1:25" customFormat="1" x14ac:dyDescent="0.25">
      <c r="A18213" s="4" t="s">
        <v>24</v>
      </c>
      <c r="B18213" s="4" t="s">
        <v>2221</v>
      </c>
      <c r="C18213" s="4" t="str">
        <f>"A0093729"</f>
        <v>A0093729</v>
      </c>
      <c r="D18213" s="4" t="s">
        <v>56224</v>
      </c>
      <c r="E18213" s="4" t="s">
        <v>56225</v>
      </c>
      <c r="F18213" s="4" t="s">
        <v>3505</v>
      </c>
      <c r="G18213" s="4" t="s">
        <v>52</v>
      </c>
      <c r="H18213" s="4">
        <v>76102</v>
      </c>
      <c r="I18213" s="4" t="s">
        <v>30</v>
      </c>
      <c r="J18213" s="4" t="s">
        <v>206</v>
      </c>
      <c r="K18213" s="4" t="s">
        <v>163</v>
      </c>
      <c r="L18213" s="4"/>
      <c r="M18213" s="4"/>
      <c r="N18213" s="4" t="s">
        <v>56226</v>
      </c>
      <c r="O18213" s="4"/>
      <c r="P18213" s="4"/>
      <c r="Q18213" s="4">
        <v>0</v>
      </c>
      <c r="R18213" s="4">
        <v>39</v>
      </c>
      <c r="S18213" s="4">
        <v>0</v>
      </c>
      <c r="T18213" s="4" t="s">
        <v>56227</v>
      </c>
      <c r="U18213" s="4"/>
      <c r="V18213" s="4"/>
      <c r="W18213" s="4"/>
      <c r="X18213" s="4"/>
      <c r="Y18213" s="4"/>
    </row>
    <row r="18214" spans="1:25" customFormat="1" x14ac:dyDescent="0.25">
      <c r="A18214" s="4" t="s">
        <v>24</v>
      </c>
      <c r="B18214" s="4" t="s">
        <v>2373</v>
      </c>
      <c r="C18214" s="4" t="str">
        <f>"A0054584"</f>
        <v>A0054584</v>
      </c>
      <c r="D18214" s="4" t="s">
        <v>62220</v>
      </c>
      <c r="E18214" s="4" t="s">
        <v>62221</v>
      </c>
      <c r="F18214" s="4" t="s">
        <v>2094</v>
      </c>
      <c r="G18214" s="4" t="s">
        <v>52</v>
      </c>
      <c r="H18214" s="4">
        <v>75201</v>
      </c>
      <c r="I18214" s="4" t="s">
        <v>30</v>
      </c>
      <c r="J18214" s="4" t="s">
        <v>206</v>
      </c>
      <c r="K18214" s="4" t="s">
        <v>163</v>
      </c>
      <c r="L18214" s="4"/>
      <c r="M18214" s="4"/>
      <c r="N18214" s="4" t="s">
        <v>62222</v>
      </c>
      <c r="O18214" s="4"/>
      <c r="P18214" s="4"/>
      <c r="Q18214" s="4">
        <v>0</v>
      </c>
      <c r="R18214" s="4">
        <v>226</v>
      </c>
      <c r="S18214" s="4">
        <v>0</v>
      </c>
      <c r="T18214" s="4" t="s">
        <v>62223</v>
      </c>
      <c r="U18214" s="4"/>
      <c r="V18214" s="4"/>
      <c r="W18214" s="4"/>
      <c r="X18214" s="4"/>
      <c r="Y18214" s="4"/>
    </row>
    <row r="18215" spans="1:25" customFormat="1" x14ac:dyDescent="0.25">
      <c r="A18215" s="4" t="s">
        <v>24</v>
      </c>
      <c r="B18215" s="4" t="s">
        <v>13304</v>
      </c>
      <c r="C18215" s="4" t="str">
        <f>"A0094640"</f>
        <v>A0094640</v>
      </c>
      <c r="D18215" s="4" t="s">
        <v>66085</v>
      </c>
      <c r="E18215" s="4" t="s">
        <v>66086</v>
      </c>
      <c r="F18215" s="4" t="s">
        <v>372</v>
      </c>
      <c r="G18215" s="4" t="s">
        <v>52</v>
      </c>
      <c r="H18215" s="4">
        <v>78701</v>
      </c>
      <c r="I18215" s="4" t="s">
        <v>30</v>
      </c>
      <c r="J18215" s="4" t="s">
        <v>206</v>
      </c>
      <c r="K18215" s="4" t="s">
        <v>32744</v>
      </c>
      <c r="L18215" s="4"/>
      <c r="M18215" s="4"/>
      <c r="N18215" s="4" t="s">
        <v>66087</v>
      </c>
      <c r="O18215" s="4" t="s">
        <v>66088</v>
      </c>
      <c r="P18215" s="4"/>
      <c r="Q18215" s="4">
        <v>0</v>
      </c>
      <c r="R18215" s="4">
        <v>1048</v>
      </c>
      <c r="S18215" s="4">
        <v>0</v>
      </c>
      <c r="T18215" s="4" t="s">
        <v>66089</v>
      </c>
      <c r="U18215" s="4"/>
      <c r="V18215" s="4"/>
      <c r="W18215" s="4"/>
      <c r="X18215" s="4"/>
      <c r="Y18215" s="4"/>
    </row>
    <row r="18216" spans="1:25" customFormat="1" ht="15" hidden="1" x14ac:dyDescent="0.25">
      <c r="A18216" t="s">
        <v>24</v>
      </c>
      <c r="B18216" t="s">
        <v>675</v>
      </c>
      <c r="C18216" t="str">
        <f>"A0096866"</f>
        <v>A0096866</v>
      </c>
      <c r="D18216" t="s">
        <v>66507</v>
      </c>
      <c r="E18216" t="s">
        <v>66508</v>
      </c>
      <c r="F18216" t="s">
        <v>5423</v>
      </c>
      <c r="G18216" t="s">
        <v>5424</v>
      </c>
      <c r="H18216">
        <v>77500</v>
      </c>
      <c r="I18216" t="s">
        <v>2408</v>
      </c>
      <c r="J18216" t="s">
        <v>171</v>
      </c>
      <c r="K18216" t="s">
        <v>653</v>
      </c>
      <c r="N18216" t="s">
        <v>66509</v>
      </c>
      <c r="Q18216">
        <v>0</v>
      </c>
      <c r="R18216">
        <v>112</v>
      </c>
      <c r="S18216">
        <v>0</v>
      </c>
      <c r="T18216" t="s">
        <v>66510</v>
      </c>
    </row>
    <row r="18217" spans="1:25" customFormat="1" x14ac:dyDescent="0.25">
      <c r="A18217" s="4" t="s">
        <v>24</v>
      </c>
      <c r="B18217" s="4" t="s">
        <v>66563</v>
      </c>
      <c r="C18217" s="4" t="str">
        <f>"A0063206"</f>
        <v>A0063206</v>
      </c>
      <c r="D18217" s="4" t="s">
        <v>66564</v>
      </c>
      <c r="E18217" s="4" t="s">
        <v>66565</v>
      </c>
      <c r="F18217" s="4" t="s">
        <v>4829</v>
      </c>
      <c r="G18217" s="4" t="s">
        <v>52</v>
      </c>
      <c r="H18217" s="4">
        <v>75038</v>
      </c>
      <c r="I18217" s="4" t="s">
        <v>30</v>
      </c>
      <c r="J18217" s="4" t="s">
        <v>206</v>
      </c>
      <c r="K18217" s="4" t="s">
        <v>11680</v>
      </c>
      <c r="L18217" s="4"/>
      <c r="M18217" s="4"/>
      <c r="N18217" s="4" t="s">
        <v>66566</v>
      </c>
      <c r="O18217" s="4" t="s">
        <v>66567</v>
      </c>
      <c r="P18217" s="4" t="s">
        <v>3998</v>
      </c>
      <c r="Q18217" s="4">
        <v>2</v>
      </c>
      <c r="R18217" s="4">
        <v>432</v>
      </c>
      <c r="S18217" s="4">
        <v>0</v>
      </c>
      <c r="T18217" s="4" t="s">
        <v>66568</v>
      </c>
      <c r="U18217" s="4"/>
      <c r="V18217" s="4"/>
      <c r="W18217" s="4"/>
      <c r="X18217" s="4"/>
      <c r="Y18217" s="4"/>
    </row>
    <row r="18218" spans="1:25" customFormat="1" x14ac:dyDescent="0.25">
      <c r="A18218" s="4" t="s">
        <v>24</v>
      </c>
      <c r="B18218" s="4" t="s">
        <v>2373</v>
      </c>
      <c r="C18218" s="4" t="str">
        <f>"A0077353"</f>
        <v>A0077353</v>
      </c>
      <c r="D18218" s="4" t="s">
        <v>68791</v>
      </c>
      <c r="E18218" s="4" t="s">
        <v>68792</v>
      </c>
      <c r="F18218" s="4" t="s">
        <v>2094</v>
      </c>
      <c r="G18218" s="4" t="s">
        <v>52</v>
      </c>
      <c r="H18218" s="4">
        <v>75206</v>
      </c>
      <c r="I18218" s="4" t="s">
        <v>30</v>
      </c>
      <c r="J18218" s="4" t="s">
        <v>206</v>
      </c>
      <c r="K18218" s="4" t="s">
        <v>5707</v>
      </c>
      <c r="L18218" s="4"/>
      <c r="M18218" s="4"/>
      <c r="N18218" s="4" t="s">
        <v>68793</v>
      </c>
      <c r="O18218" s="4" t="s">
        <v>68794</v>
      </c>
      <c r="P18218" s="4"/>
      <c r="Q18218" s="4">
        <v>0</v>
      </c>
      <c r="R18218" s="4">
        <v>198</v>
      </c>
      <c r="S18218" s="4">
        <v>0</v>
      </c>
      <c r="T18218" s="4" t="s">
        <v>68795</v>
      </c>
      <c r="U18218" s="4"/>
      <c r="V18218" s="4"/>
      <c r="W18218" s="4"/>
      <c r="X18218" s="4"/>
      <c r="Y18218" s="4"/>
    </row>
    <row r="18219" spans="1:25" customFormat="1" x14ac:dyDescent="0.25">
      <c r="A18219" s="4" t="s">
        <v>24</v>
      </c>
      <c r="B18219" s="4" t="s">
        <v>13730</v>
      </c>
      <c r="C18219" s="4" t="str">
        <f>"A0083003"</f>
        <v>A0083003</v>
      </c>
      <c r="D18219" s="4" t="s">
        <v>72477</v>
      </c>
      <c r="E18219" s="4" t="s">
        <v>72478</v>
      </c>
      <c r="F18219" s="4" t="s">
        <v>1564</v>
      </c>
      <c r="G18219" s="4" t="s">
        <v>52</v>
      </c>
      <c r="H18219" s="4">
        <v>77002</v>
      </c>
      <c r="I18219" s="4" t="s">
        <v>30</v>
      </c>
      <c r="J18219" s="4" t="s">
        <v>206</v>
      </c>
      <c r="K18219" s="4" t="s">
        <v>6459</v>
      </c>
      <c r="L18219" s="4"/>
      <c r="M18219" s="4"/>
      <c r="N18219" s="4" t="s">
        <v>72479</v>
      </c>
      <c r="O18219" s="4" t="s">
        <v>72480</v>
      </c>
      <c r="P18219" s="4"/>
      <c r="Q18219" s="4">
        <v>0</v>
      </c>
      <c r="R18219" s="4">
        <v>135</v>
      </c>
      <c r="S18219" s="4">
        <v>0</v>
      </c>
      <c r="T18219" s="4" t="s">
        <v>72481</v>
      </c>
      <c r="U18219" s="4"/>
      <c r="V18219" s="4"/>
      <c r="W18219" s="4"/>
      <c r="X18219" s="4"/>
      <c r="Y18219" s="4"/>
    </row>
    <row r="18220" spans="1:25" customFormat="1" x14ac:dyDescent="0.25">
      <c r="A18220" s="4" t="s">
        <v>24</v>
      </c>
      <c r="B18220" s="4" t="s">
        <v>1487</v>
      </c>
      <c r="C18220" s="4" t="str">
        <f>"A0145352"</f>
        <v>A0145352</v>
      </c>
      <c r="D18220" s="4" t="s">
        <v>72648</v>
      </c>
      <c r="E18220" s="4" t="s">
        <v>55425</v>
      </c>
      <c r="F18220" s="4" t="s">
        <v>372</v>
      </c>
      <c r="G18220" s="4" t="s">
        <v>52</v>
      </c>
      <c r="H18220" s="4">
        <v>78701</v>
      </c>
      <c r="I18220" s="4" t="s">
        <v>30</v>
      </c>
      <c r="J18220" s="4" t="s">
        <v>206</v>
      </c>
      <c r="K18220" s="4" t="s">
        <v>6459</v>
      </c>
      <c r="L18220" s="4"/>
      <c r="M18220" s="4"/>
      <c r="N18220" s="4" t="s">
        <v>55426</v>
      </c>
      <c r="O18220" s="4" t="s">
        <v>72649</v>
      </c>
      <c r="P18220" s="4"/>
      <c r="Q18220" s="4">
        <v>0</v>
      </c>
      <c r="R18220" s="4">
        <v>191</v>
      </c>
      <c r="S18220" s="4">
        <v>0</v>
      </c>
      <c r="T18220" s="4" t="s">
        <v>72650</v>
      </c>
      <c r="U18220" s="4"/>
      <c r="V18220" s="4"/>
      <c r="W18220" s="4"/>
      <c r="X18220" s="4"/>
      <c r="Y18220" s="4"/>
    </row>
    <row r="18221" spans="1:25" customFormat="1" x14ac:dyDescent="0.25">
      <c r="A18221" s="4" t="s">
        <v>24</v>
      </c>
      <c r="B18221" s="4" t="s">
        <v>1567</v>
      </c>
      <c r="C18221" s="4" t="str">
        <f>"A0117369"</f>
        <v>A0117369</v>
      </c>
      <c r="D18221" s="4" t="s">
        <v>72659</v>
      </c>
      <c r="E18221" s="4" t="s">
        <v>72660</v>
      </c>
      <c r="F18221" s="4" t="s">
        <v>2856</v>
      </c>
      <c r="G18221" s="4" t="s">
        <v>52</v>
      </c>
      <c r="H18221" s="4">
        <v>79901</v>
      </c>
      <c r="I18221" s="4" t="s">
        <v>30</v>
      </c>
      <c r="J18221" s="4" t="s">
        <v>206</v>
      </c>
      <c r="K18221" s="4" t="s">
        <v>6459</v>
      </c>
      <c r="L18221" s="4"/>
      <c r="M18221" s="4"/>
      <c r="N18221" s="4" t="s">
        <v>72661</v>
      </c>
      <c r="O18221" s="4"/>
      <c r="P18221" s="4"/>
      <c r="Q18221" s="4">
        <v>0</v>
      </c>
      <c r="R18221" s="4">
        <v>357</v>
      </c>
      <c r="S18221" s="4">
        <v>0</v>
      </c>
      <c r="T18221" s="4" t="s">
        <v>72662</v>
      </c>
      <c r="U18221" s="4"/>
      <c r="V18221" s="4"/>
      <c r="W18221" s="4"/>
      <c r="X18221" s="4"/>
      <c r="Y18221" s="4"/>
    </row>
    <row r="18222" spans="1:25" customFormat="1" x14ac:dyDescent="0.25">
      <c r="A18222" s="4" t="s">
        <v>24</v>
      </c>
      <c r="B18222" s="4" t="s">
        <v>9975</v>
      </c>
      <c r="C18222" s="4" t="str">
        <f>"A0162017"</f>
        <v>A0162017</v>
      </c>
      <c r="D18222" s="4" t="s">
        <v>72718</v>
      </c>
      <c r="E18222" s="4" t="s">
        <v>72719</v>
      </c>
      <c r="F18222" s="4" t="s">
        <v>2110</v>
      </c>
      <c r="G18222" s="4" t="s">
        <v>52</v>
      </c>
      <c r="H18222" s="4">
        <v>76051</v>
      </c>
      <c r="I18222" s="4" t="s">
        <v>30</v>
      </c>
      <c r="J18222" s="4" t="s">
        <v>206</v>
      </c>
      <c r="K18222" s="4" t="s">
        <v>6459</v>
      </c>
      <c r="L18222" s="4"/>
      <c r="M18222" s="4"/>
      <c r="N18222" s="4" t="s">
        <v>72720</v>
      </c>
      <c r="O18222" s="4" t="s">
        <v>72721</v>
      </c>
      <c r="P18222" s="4"/>
      <c r="Q18222" s="4">
        <v>0</v>
      </c>
      <c r="R18222" s="4">
        <v>121</v>
      </c>
      <c r="S18222" s="4">
        <v>0</v>
      </c>
      <c r="T18222" s="4" t="s">
        <v>72722</v>
      </c>
      <c r="U18222" s="4"/>
      <c r="V18222" s="4"/>
      <c r="W18222" s="4"/>
      <c r="X18222" s="4"/>
      <c r="Y18222" s="4"/>
    </row>
    <row r="18223" spans="1:25" customFormat="1" x14ac:dyDescent="0.25">
      <c r="A18223" s="4" t="s">
        <v>24</v>
      </c>
      <c r="B18223" s="4" t="s">
        <v>2011</v>
      </c>
      <c r="C18223" s="4" t="str">
        <f>"A0085800"</f>
        <v>A0085800</v>
      </c>
      <c r="D18223" s="4" t="s">
        <v>76362</v>
      </c>
      <c r="E18223" s="4" t="s">
        <v>76363</v>
      </c>
      <c r="F18223" s="4" t="s">
        <v>372</v>
      </c>
      <c r="G18223" s="4" t="s">
        <v>52</v>
      </c>
      <c r="H18223" s="4">
        <v>78726</v>
      </c>
      <c r="I18223" s="4" t="s">
        <v>30</v>
      </c>
      <c r="J18223" s="4" t="s">
        <v>206</v>
      </c>
      <c r="K18223" s="4" t="s">
        <v>76358</v>
      </c>
      <c r="L18223" s="4"/>
      <c r="M18223" s="4"/>
      <c r="N18223" s="4" t="s">
        <v>76364</v>
      </c>
      <c r="O18223" s="4"/>
      <c r="P18223" s="4"/>
      <c r="Q18223" s="4">
        <v>0</v>
      </c>
      <c r="R18223" s="4">
        <v>117</v>
      </c>
      <c r="S18223" s="4">
        <v>0</v>
      </c>
      <c r="T18223" s="4" t="s">
        <v>76365</v>
      </c>
      <c r="U18223" s="4"/>
      <c r="V18223" s="4"/>
      <c r="W18223" s="4"/>
      <c r="X18223" s="4"/>
      <c r="Y18223" s="4"/>
    </row>
    <row r="18224" spans="1:25" customFormat="1" x14ac:dyDescent="0.25">
      <c r="A18224" s="4" t="s">
        <v>24</v>
      </c>
      <c r="B18224" s="4" t="s">
        <v>6635</v>
      </c>
      <c r="C18224" s="4" t="str">
        <f>"A0054450"</f>
        <v>A0054450</v>
      </c>
      <c r="D18224" s="4" t="s">
        <v>80351</v>
      </c>
      <c r="E18224" s="4" t="s">
        <v>80352</v>
      </c>
      <c r="F18224" s="4" t="s">
        <v>2094</v>
      </c>
      <c r="G18224" s="4" t="s">
        <v>52</v>
      </c>
      <c r="H18224" s="4">
        <v>75219</v>
      </c>
      <c r="I18224" s="4" t="s">
        <v>30</v>
      </c>
      <c r="J18224" s="4" t="s">
        <v>206</v>
      </c>
      <c r="K18224" s="4" t="s">
        <v>163</v>
      </c>
      <c r="L18224" s="4"/>
      <c r="M18224" s="4"/>
      <c r="N18224" s="4" t="s">
        <v>80353</v>
      </c>
      <c r="O18224" s="4" t="s">
        <v>80354</v>
      </c>
      <c r="P18224" s="4"/>
      <c r="Q18224" s="4">
        <v>0</v>
      </c>
      <c r="R18224" s="4">
        <v>143</v>
      </c>
      <c r="S18224" s="4">
        <v>0</v>
      </c>
      <c r="T18224" s="4" t="s">
        <v>80355</v>
      </c>
      <c r="U18224" s="4"/>
      <c r="V18224" s="4"/>
      <c r="W18224" s="4"/>
      <c r="X18224" s="4"/>
      <c r="Y18224" s="4"/>
    </row>
    <row r="18225" spans="1:25" customFormat="1" x14ac:dyDescent="0.25">
      <c r="A18225" s="4" t="s">
        <v>24</v>
      </c>
      <c r="B18225" s="4" t="s">
        <v>3459</v>
      </c>
      <c r="C18225" s="4" t="str">
        <f>"A0069215"</f>
        <v>A0069215</v>
      </c>
      <c r="D18225" s="4" t="s">
        <v>83798</v>
      </c>
      <c r="E18225" s="4" t="s">
        <v>83799</v>
      </c>
      <c r="F18225" s="4" t="s">
        <v>2094</v>
      </c>
      <c r="G18225" s="4" t="s">
        <v>52</v>
      </c>
      <c r="H18225" s="4">
        <v>75202</v>
      </c>
      <c r="I18225" s="4" t="s">
        <v>30</v>
      </c>
      <c r="J18225" s="4" t="s">
        <v>206</v>
      </c>
      <c r="K18225" s="4" t="s">
        <v>6459</v>
      </c>
      <c r="L18225" s="4"/>
      <c r="M18225" s="4"/>
      <c r="N18225" s="4" t="s">
        <v>83800</v>
      </c>
      <c r="O18225" s="4" t="s">
        <v>83801</v>
      </c>
      <c r="P18225" s="4"/>
      <c r="Q18225" s="4">
        <v>0</v>
      </c>
      <c r="R18225" s="4">
        <v>407</v>
      </c>
      <c r="S18225" s="4">
        <v>0</v>
      </c>
      <c r="T18225" s="4" t="s">
        <v>83802</v>
      </c>
      <c r="U18225" s="4"/>
      <c r="V18225" s="4"/>
      <c r="W18225" s="4"/>
      <c r="X18225" s="4"/>
      <c r="Y18225" s="4"/>
    </row>
    <row r="18226" spans="1:25" hidden="1" x14ac:dyDescent="0.25">
      <c r="A18226" s="3" t="s">
        <v>24</v>
      </c>
      <c r="B18226" s="3" t="s">
        <v>66553</v>
      </c>
      <c r="C18226" s="3" t="str">
        <f>"A0092245"</f>
        <v>A0092245</v>
      </c>
      <c r="D18226" s="3" t="s">
        <v>66554</v>
      </c>
      <c r="E18226" s="3" t="s">
        <v>66555</v>
      </c>
      <c r="F18226" s="3" t="s">
        <v>5874</v>
      </c>
      <c r="G18226" s="3" t="s">
        <v>3843</v>
      </c>
      <c r="H18226" s="3">
        <v>6600</v>
      </c>
      <c r="I18226" s="3" t="s">
        <v>2408</v>
      </c>
      <c r="J18226" s="3" t="s">
        <v>206</v>
      </c>
      <c r="K18226" s="3" t="s">
        <v>11680</v>
      </c>
      <c r="Q18226" s="3">
        <v>0</v>
      </c>
      <c r="R18226" s="3">
        <v>240</v>
      </c>
      <c r="S18226" s="3">
        <v>0</v>
      </c>
      <c r="T18226" s="3" t="s">
        <v>66556</v>
      </c>
    </row>
    <row r="18227" spans="1:25" x14ac:dyDescent="0.25">
      <c r="A18227" s="3" t="s">
        <v>24</v>
      </c>
      <c r="B18227" s="3" t="s">
        <v>9975</v>
      </c>
      <c r="C18227" s="3" t="str">
        <f>"A0099331"</f>
        <v>A0099331</v>
      </c>
      <c r="D18227" s="3" t="s">
        <v>83850</v>
      </c>
      <c r="E18227" s="3" t="s">
        <v>83851</v>
      </c>
      <c r="F18227" s="3" t="s">
        <v>2063</v>
      </c>
      <c r="G18227" s="3" t="s">
        <v>52</v>
      </c>
      <c r="H18227" s="3">
        <v>79101</v>
      </c>
      <c r="I18227" s="3" t="s">
        <v>30</v>
      </c>
      <c r="J18227" s="3" t="s">
        <v>206</v>
      </c>
      <c r="K18227" s="3" t="s">
        <v>6459</v>
      </c>
      <c r="N18227" s="3" t="s">
        <v>83852</v>
      </c>
      <c r="O18227" s="3" t="s">
        <v>83853</v>
      </c>
      <c r="Q18227" s="3">
        <v>0</v>
      </c>
      <c r="R18227" s="3">
        <v>110</v>
      </c>
      <c r="S18227" s="3">
        <v>0</v>
      </c>
      <c r="T18227" s="3" t="s">
        <v>83854</v>
      </c>
    </row>
    <row r="18228" spans="1:25" x14ac:dyDescent="0.25">
      <c r="A18228" s="3" t="s">
        <v>24</v>
      </c>
      <c r="B18228" s="3" t="s">
        <v>5384</v>
      </c>
      <c r="C18228" s="3" t="str">
        <f>"A0154218"</f>
        <v>A0154218</v>
      </c>
      <c r="D18228" s="3" t="s">
        <v>84099</v>
      </c>
      <c r="E18228" s="3" t="s">
        <v>84100</v>
      </c>
      <c r="F18228" s="3" t="s">
        <v>372</v>
      </c>
      <c r="G18228" s="3" t="s">
        <v>52</v>
      </c>
      <c r="H18228" s="3">
        <v>78751</v>
      </c>
      <c r="I18228" s="3" t="s">
        <v>30</v>
      </c>
      <c r="J18228" s="3" t="s">
        <v>206</v>
      </c>
      <c r="K18228" s="3" t="s">
        <v>163</v>
      </c>
      <c r="N18228" s="3" t="s">
        <v>84101</v>
      </c>
      <c r="O18228" s="3" t="s">
        <v>84102</v>
      </c>
      <c r="Q18228" s="3">
        <v>0</v>
      </c>
      <c r="R18228" s="3">
        <v>54</v>
      </c>
      <c r="S18228" s="3">
        <v>0</v>
      </c>
      <c r="T18228" s="3" t="s">
        <v>84103</v>
      </c>
    </row>
    <row r="18229" spans="1:25" hidden="1" x14ac:dyDescent="0.25">
      <c r="A18229" s="3" t="s">
        <v>24</v>
      </c>
      <c r="B18229" s="3" t="s">
        <v>66569</v>
      </c>
      <c r="C18229" s="3" t="str">
        <f>"A0158623"</f>
        <v>A0158623</v>
      </c>
      <c r="D18229" s="3" t="s">
        <v>66570</v>
      </c>
      <c r="E18229" s="3" t="s">
        <v>66571</v>
      </c>
      <c r="F18229" s="3" t="s">
        <v>66572</v>
      </c>
      <c r="G18229" s="3" t="s">
        <v>53283</v>
      </c>
      <c r="H18229" s="3" t="s">
        <v>66573</v>
      </c>
      <c r="I18229" s="3" t="s">
        <v>1459</v>
      </c>
      <c r="J18229" s="3" t="s">
        <v>206</v>
      </c>
      <c r="K18229" s="3" t="s">
        <v>163</v>
      </c>
      <c r="N18229" s="3" t="s">
        <v>66574</v>
      </c>
      <c r="Q18229" s="3">
        <v>0</v>
      </c>
      <c r="R18229" s="3">
        <v>85</v>
      </c>
      <c r="S18229" s="3">
        <v>0</v>
      </c>
      <c r="T18229" s="3" t="s">
        <v>66575</v>
      </c>
    </row>
    <row r="18230" spans="1:25" customFormat="1" ht="15" x14ac:dyDescent="0.25">
      <c r="A18230" t="s">
        <v>24</v>
      </c>
      <c r="B18230" t="s">
        <v>6667</v>
      </c>
      <c r="C18230" t="str">
        <f>"A0085877"</f>
        <v>A0085877</v>
      </c>
      <c r="D18230" t="s">
        <v>66576</v>
      </c>
      <c r="E18230" t="s">
        <v>66577</v>
      </c>
      <c r="F18230" t="s">
        <v>66578</v>
      </c>
      <c r="G18230" t="s">
        <v>65</v>
      </c>
      <c r="H18230" t="s">
        <v>66579</v>
      </c>
      <c r="I18230" t="s">
        <v>30</v>
      </c>
      <c r="J18230" t="s">
        <v>178</v>
      </c>
      <c r="K18230" t="s">
        <v>6667</v>
      </c>
      <c r="N18230" t="s">
        <v>66580</v>
      </c>
      <c r="O18230" t="s">
        <v>66581</v>
      </c>
      <c r="Q18230">
        <v>0</v>
      </c>
      <c r="R18230">
        <v>0</v>
      </c>
      <c r="S18230">
        <v>0</v>
      </c>
      <c r="T18230" t="s">
        <v>66582</v>
      </c>
    </row>
    <row r="18231" spans="1:25" x14ac:dyDescent="0.25">
      <c r="A18231" s="3" t="s">
        <v>24</v>
      </c>
      <c r="B18231" s="3" t="s">
        <v>2011</v>
      </c>
      <c r="C18231" s="3" t="str">
        <f>"A0054682"</f>
        <v>A0054682</v>
      </c>
      <c r="D18231" s="3" t="s">
        <v>84180</v>
      </c>
      <c r="E18231" s="3" t="s">
        <v>84181</v>
      </c>
      <c r="F18231" s="3" t="s">
        <v>372</v>
      </c>
      <c r="G18231" s="3" t="s">
        <v>52</v>
      </c>
      <c r="H18231" s="3">
        <v>78701</v>
      </c>
      <c r="I18231" s="3" t="s">
        <v>30</v>
      </c>
      <c r="J18231" s="3" t="s">
        <v>206</v>
      </c>
      <c r="K18231" s="3" t="s">
        <v>13297</v>
      </c>
      <c r="N18231" s="3" t="s">
        <v>59241</v>
      </c>
      <c r="Q18231" s="3">
        <v>0</v>
      </c>
      <c r="R18231" s="3">
        <v>179</v>
      </c>
      <c r="S18231" s="3">
        <v>0</v>
      </c>
      <c r="T18231" s="3" t="s">
        <v>84182</v>
      </c>
    </row>
    <row r="18232" spans="1:25" customFormat="1" x14ac:dyDescent="0.25">
      <c r="A18232" s="4" t="s">
        <v>24</v>
      </c>
      <c r="B18232" s="4" t="s">
        <v>13304</v>
      </c>
      <c r="C18232" s="4" t="str">
        <f>"FM008"</f>
        <v>FM008</v>
      </c>
      <c r="D18232" s="4" t="s">
        <v>84246</v>
      </c>
      <c r="E18232" s="4" t="s">
        <v>84247</v>
      </c>
      <c r="F18232" s="4" t="s">
        <v>2094</v>
      </c>
      <c r="G18232" s="4" t="s">
        <v>52</v>
      </c>
      <c r="H18232" s="4">
        <v>75201</v>
      </c>
      <c r="I18232" s="4" t="s">
        <v>30</v>
      </c>
      <c r="J18232" s="4" t="s">
        <v>206</v>
      </c>
      <c r="K18232" s="4" t="s">
        <v>32744</v>
      </c>
      <c r="L18232" s="4"/>
      <c r="M18232" s="4"/>
      <c r="N18232" s="4" t="s">
        <v>84248</v>
      </c>
      <c r="O18232" s="4" t="s">
        <v>84249</v>
      </c>
      <c r="P18232" s="4"/>
      <c r="Q18232" s="4">
        <v>0</v>
      </c>
      <c r="R18232" s="4">
        <v>547</v>
      </c>
      <c r="S18232" s="4">
        <v>0</v>
      </c>
      <c r="T18232" s="4" t="s">
        <v>84250</v>
      </c>
      <c r="U18232" s="4"/>
      <c r="V18232" s="4"/>
      <c r="W18232" s="4"/>
      <c r="X18232" s="4"/>
      <c r="Y18232" s="4"/>
    </row>
    <row r="18233" spans="1:25" customFormat="1" ht="15" x14ac:dyDescent="0.25">
      <c r="A18233" t="s">
        <v>24</v>
      </c>
      <c r="B18233" t="s">
        <v>7602</v>
      </c>
      <c r="C18233" t="str">
        <f>"A0095500"</f>
        <v>A0095500</v>
      </c>
      <c r="D18233" t="s">
        <v>66591</v>
      </c>
      <c r="E18233" t="s">
        <v>66592</v>
      </c>
      <c r="F18233" t="s">
        <v>60506</v>
      </c>
      <c r="G18233" t="s">
        <v>52</v>
      </c>
      <c r="H18233">
        <v>78624</v>
      </c>
      <c r="I18233" t="s">
        <v>30</v>
      </c>
      <c r="J18233" t="s">
        <v>31</v>
      </c>
      <c r="K18233" t="s">
        <v>163</v>
      </c>
      <c r="N18233" t="s">
        <v>66593</v>
      </c>
      <c r="Q18233">
        <v>0</v>
      </c>
      <c r="R18233">
        <v>103</v>
      </c>
      <c r="S18233">
        <v>0</v>
      </c>
      <c r="T18233" t="s">
        <v>66594</v>
      </c>
    </row>
    <row r="18234" spans="1:25" customFormat="1" x14ac:dyDescent="0.25">
      <c r="A18234" s="4" t="s">
        <v>24</v>
      </c>
      <c r="B18234" s="4" t="s">
        <v>675</v>
      </c>
      <c r="C18234" s="4" t="str">
        <f>"A0083767"</f>
        <v>A0083767</v>
      </c>
      <c r="D18234" s="4" t="s">
        <v>85079</v>
      </c>
      <c r="E18234" s="4" t="s">
        <v>85080</v>
      </c>
      <c r="F18234" s="4" t="s">
        <v>2094</v>
      </c>
      <c r="G18234" s="4" t="s">
        <v>52</v>
      </c>
      <c r="H18234" s="4">
        <v>75201</v>
      </c>
      <c r="I18234" s="4" t="s">
        <v>30</v>
      </c>
      <c r="J18234" s="4" t="s">
        <v>206</v>
      </c>
      <c r="K18234" s="4" t="s">
        <v>680</v>
      </c>
      <c r="L18234" s="4"/>
      <c r="M18234" s="4"/>
      <c r="N18234" s="4" t="s">
        <v>85081</v>
      </c>
      <c r="O18234" s="4" t="s">
        <v>85082</v>
      </c>
      <c r="P18234" s="4"/>
      <c r="Q18234" s="4">
        <v>0</v>
      </c>
      <c r="R18234" s="4">
        <v>218</v>
      </c>
      <c r="S18234" s="4">
        <v>0</v>
      </c>
      <c r="T18234" s="4" t="s">
        <v>85083</v>
      </c>
      <c r="U18234" s="4"/>
      <c r="V18234" s="4"/>
      <c r="W18234" s="4"/>
      <c r="X18234" s="4"/>
      <c r="Y18234" s="4"/>
    </row>
    <row r="18235" spans="1:25" customFormat="1" ht="15" x14ac:dyDescent="0.25">
      <c r="A18235" t="s">
        <v>24</v>
      </c>
      <c r="B18235" t="s">
        <v>66599</v>
      </c>
      <c r="C18235" t="str">
        <f>"A0095641"</f>
        <v>A0095641</v>
      </c>
      <c r="D18235" t="s">
        <v>66600</v>
      </c>
      <c r="E18235" t="s">
        <v>66601</v>
      </c>
      <c r="F18235" t="s">
        <v>716</v>
      </c>
      <c r="G18235" t="s">
        <v>289</v>
      </c>
      <c r="H18235">
        <v>60611</v>
      </c>
      <c r="I18235" t="s">
        <v>30</v>
      </c>
      <c r="J18235" t="s">
        <v>31</v>
      </c>
      <c r="K18235" t="s">
        <v>163</v>
      </c>
      <c r="N18235" t="s">
        <v>66602</v>
      </c>
      <c r="Q18235">
        <v>0</v>
      </c>
      <c r="R18235">
        <v>217</v>
      </c>
      <c r="S18235">
        <v>0</v>
      </c>
      <c r="T18235" t="s">
        <v>66603</v>
      </c>
    </row>
    <row r="18236" spans="1:25" customFormat="1" x14ac:dyDescent="0.25">
      <c r="A18236" s="4" t="s">
        <v>24</v>
      </c>
      <c r="B18236" s="4" t="s">
        <v>675</v>
      </c>
      <c r="C18236" s="4" t="str">
        <f>"A0087108"</f>
        <v>A0087108</v>
      </c>
      <c r="D18236" s="4" t="s">
        <v>85316</v>
      </c>
      <c r="E18236" s="4" t="s">
        <v>85317</v>
      </c>
      <c r="F18236" s="4" t="s">
        <v>1564</v>
      </c>
      <c r="G18236" s="4" t="s">
        <v>52</v>
      </c>
      <c r="H18236" s="4">
        <v>77027</v>
      </c>
      <c r="I18236" s="4" t="s">
        <v>30</v>
      </c>
      <c r="J18236" s="4" t="s">
        <v>206</v>
      </c>
      <c r="K18236" s="4" t="s">
        <v>5338</v>
      </c>
      <c r="L18236" s="4"/>
      <c r="M18236" s="4"/>
      <c r="N18236" s="4" t="s">
        <v>85318</v>
      </c>
      <c r="O18236" s="4"/>
      <c r="P18236" s="4"/>
      <c r="Q18236" s="4">
        <v>0</v>
      </c>
      <c r="R18236" s="4">
        <v>232</v>
      </c>
      <c r="S18236" s="4">
        <v>0</v>
      </c>
      <c r="T18236" s="4" t="s">
        <v>85319</v>
      </c>
      <c r="U18236" s="4"/>
      <c r="V18236" s="4"/>
      <c r="W18236" s="4"/>
      <c r="X18236" s="4"/>
      <c r="Y18236" s="4"/>
    </row>
    <row r="18237" spans="1:25" customFormat="1" x14ac:dyDescent="0.25">
      <c r="A18237" s="4" t="s">
        <v>24</v>
      </c>
      <c r="B18237" s="4" t="s">
        <v>675</v>
      </c>
      <c r="C18237" s="4" t="str">
        <f>"A0096669"</f>
        <v>A0096669</v>
      </c>
      <c r="D18237" s="4" t="s">
        <v>87186</v>
      </c>
      <c r="E18237" s="4" t="s">
        <v>87187</v>
      </c>
      <c r="F18237" s="4" t="s">
        <v>372</v>
      </c>
      <c r="G18237" s="4" t="s">
        <v>52</v>
      </c>
      <c r="H18237" s="4">
        <v>78701</v>
      </c>
      <c r="I18237" s="4" t="s">
        <v>30</v>
      </c>
      <c r="J18237" s="4" t="s">
        <v>206</v>
      </c>
      <c r="K18237" s="4" t="s">
        <v>16717</v>
      </c>
      <c r="L18237" s="4"/>
      <c r="M18237" s="4"/>
      <c r="N18237" s="4" t="s">
        <v>87188</v>
      </c>
      <c r="O18237" s="4"/>
      <c r="P18237" s="4"/>
      <c r="Q18237" s="4">
        <v>0</v>
      </c>
      <c r="R18237" s="4">
        <v>251</v>
      </c>
      <c r="S18237" s="4">
        <v>0</v>
      </c>
      <c r="T18237" s="4" t="s">
        <v>87189</v>
      </c>
      <c r="U18237" s="4"/>
      <c r="V18237" s="4"/>
      <c r="W18237" s="4"/>
      <c r="X18237" s="4"/>
      <c r="Y18237" s="4"/>
    </row>
    <row r="18238" spans="1:25" customFormat="1" x14ac:dyDescent="0.25">
      <c r="A18238" s="4" t="s">
        <v>24</v>
      </c>
      <c r="B18238" s="4" t="s">
        <v>675</v>
      </c>
      <c r="C18238" s="4" t="str">
        <f>"A0086368"</f>
        <v>A0086368</v>
      </c>
      <c r="D18238" s="4" t="s">
        <v>87206</v>
      </c>
      <c r="E18238" s="4" t="s">
        <v>87207</v>
      </c>
      <c r="F18238" s="4" t="s">
        <v>1731</v>
      </c>
      <c r="G18238" s="4" t="s">
        <v>52</v>
      </c>
      <c r="H18238" s="4">
        <v>75219</v>
      </c>
      <c r="I18238" s="4" t="s">
        <v>30</v>
      </c>
      <c r="J18238" s="4" t="s">
        <v>206</v>
      </c>
      <c r="K18238" s="4" t="s">
        <v>16717</v>
      </c>
      <c r="L18238" s="4"/>
      <c r="M18238" s="4"/>
      <c r="N18238" s="4" t="s">
        <v>87208</v>
      </c>
      <c r="O18238" s="4" t="s">
        <v>87209</v>
      </c>
      <c r="P18238" s="4"/>
      <c r="Q18238" s="4">
        <v>0</v>
      </c>
      <c r="R18238" s="4">
        <v>252</v>
      </c>
      <c r="S18238" s="4">
        <v>0</v>
      </c>
      <c r="T18238" s="4" t="s">
        <v>87210</v>
      </c>
      <c r="U18238" s="4"/>
      <c r="V18238" s="4"/>
      <c r="W18238" s="4"/>
      <c r="X18238" s="4"/>
      <c r="Y18238" s="4"/>
    </row>
    <row r="18239" spans="1:25" customFormat="1" x14ac:dyDescent="0.25">
      <c r="A18239" s="4" t="s">
        <v>24</v>
      </c>
      <c r="B18239" s="4" t="s">
        <v>7674</v>
      </c>
      <c r="C18239" s="4" t="str">
        <f>"A0188388"</f>
        <v>A0188388</v>
      </c>
      <c r="D18239" s="4" t="s">
        <v>7675</v>
      </c>
      <c r="E18239" s="4" t="s">
        <v>7676</v>
      </c>
      <c r="F18239" s="4" t="s">
        <v>7677</v>
      </c>
      <c r="G18239" s="4" t="s">
        <v>153</v>
      </c>
      <c r="H18239" s="4">
        <v>84098</v>
      </c>
      <c r="I18239" s="4" t="s">
        <v>30</v>
      </c>
      <c r="J18239" s="4" t="s">
        <v>206</v>
      </c>
      <c r="K18239" s="4" t="s">
        <v>7678</v>
      </c>
      <c r="L18239" s="4"/>
      <c r="M18239" s="4"/>
      <c r="N18239" s="4" t="s">
        <v>7679</v>
      </c>
      <c r="O18239" s="4" t="s">
        <v>7680</v>
      </c>
      <c r="P18239" s="4"/>
      <c r="Q18239" s="4">
        <v>0</v>
      </c>
      <c r="R18239" s="4">
        <v>152</v>
      </c>
      <c r="S18239" s="4">
        <v>0</v>
      </c>
      <c r="T18239" s="4" t="s">
        <v>7681</v>
      </c>
      <c r="U18239" s="4"/>
      <c r="V18239" s="4"/>
      <c r="W18239" s="4"/>
      <c r="X18239" s="4"/>
      <c r="Y18239" s="4"/>
    </row>
    <row r="18240" spans="1:25" customFormat="1" x14ac:dyDescent="0.25">
      <c r="A18240" s="4" t="s">
        <v>24</v>
      </c>
      <c r="B18240" s="4" t="s">
        <v>75189</v>
      </c>
      <c r="C18240" s="4" t="str">
        <f>"A0085818"</f>
        <v>A0085818</v>
      </c>
      <c r="D18240" s="4" t="s">
        <v>75200</v>
      </c>
      <c r="E18240" s="4" t="s">
        <v>75201</v>
      </c>
      <c r="F18240" s="4" t="s">
        <v>7267</v>
      </c>
      <c r="G18240" s="4" t="s">
        <v>153</v>
      </c>
      <c r="H18240" s="4">
        <v>84101</v>
      </c>
      <c r="I18240" s="4" t="s">
        <v>30</v>
      </c>
      <c r="J18240" s="4" t="s">
        <v>206</v>
      </c>
      <c r="K18240" s="4" t="s">
        <v>163</v>
      </c>
      <c r="L18240" s="4"/>
      <c r="M18240" s="4"/>
      <c r="N18240" s="4" t="s">
        <v>75202</v>
      </c>
      <c r="O18240" s="4" t="s">
        <v>75203</v>
      </c>
      <c r="P18240" s="4"/>
      <c r="Q18240" s="4">
        <v>0</v>
      </c>
      <c r="R18240" s="4">
        <v>850</v>
      </c>
      <c r="S18240" s="4">
        <v>0</v>
      </c>
      <c r="T18240" s="4" t="s">
        <v>75204</v>
      </c>
      <c r="U18240" s="4"/>
      <c r="V18240" s="4"/>
      <c r="W18240" s="4"/>
      <c r="X18240" s="4"/>
      <c r="Y18240" s="4"/>
    </row>
    <row r="18241" spans="1:25" customFormat="1" x14ac:dyDescent="0.25">
      <c r="A18241" s="4" t="s">
        <v>24</v>
      </c>
      <c r="B18241" s="4" t="s">
        <v>7674</v>
      </c>
      <c r="C18241" s="4" t="str">
        <f>"A0089454"</f>
        <v>A0089454</v>
      </c>
      <c r="D18241" s="4" t="s">
        <v>76404</v>
      </c>
      <c r="E18241" s="4" t="s">
        <v>76405</v>
      </c>
      <c r="F18241" s="4" t="s">
        <v>76406</v>
      </c>
      <c r="G18241" s="4" t="s">
        <v>153</v>
      </c>
      <c r="H18241" s="4">
        <v>84060</v>
      </c>
      <c r="I18241" s="4" t="s">
        <v>30</v>
      </c>
      <c r="J18241" s="4" t="s">
        <v>206</v>
      </c>
      <c r="K18241" s="4" t="s">
        <v>9098</v>
      </c>
      <c r="L18241" s="4"/>
      <c r="M18241" s="4"/>
      <c r="N18241" s="4" t="s">
        <v>76407</v>
      </c>
      <c r="O18241" s="4" t="s">
        <v>13794</v>
      </c>
      <c r="P18241" s="4"/>
      <c r="Q18241" s="4">
        <v>0</v>
      </c>
      <c r="R18241" s="4">
        <v>220</v>
      </c>
      <c r="S18241" s="4">
        <v>0</v>
      </c>
      <c r="T18241" s="4" t="s">
        <v>76408</v>
      </c>
      <c r="U18241" s="4"/>
      <c r="V18241" s="4"/>
      <c r="W18241" s="4"/>
      <c r="X18241" s="4"/>
      <c r="Y18241" s="4"/>
    </row>
    <row r="18242" spans="1:25" customFormat="1" ht="15" x14ac:dyDescent="0.25">
      <c r="A18242" t="s">
        <v>24</v>
      </c>
      <c r="B18242" t="s">
        <v>66630</v>
      </c>
      <c r="C18242" t="str">
        <f>"A0099447"</f>
        <v>A0099447</v>
      </c>
      <c r="D18242" t="s">
        <v>66631</v>
      </c>
      <c r="E18242" t="s">
        <v>66632</v>
      </c>
      <c r="F18242" t="s">
        <v>66633</v>
      </c>
      <c r="G18242" t="s">
        <v>103</v>
      </c>
      <c r="H18242">
        <v>19520</v>
      </c>
      <c r="I18242" t="s">
        <v>30</v>
      </c>
      <c r="J18242" t="s">
        <v>178</v>
      </c>
      <c r="K18242" t="s">
        <v>179</v>
      </c>
      <c r="N18242" t="s">
        <v>66634</v>
      </c>
      <c r="O18242" t="s">
        <v>66635</v>
      </c>
      <c r="Q18242">
        <v>1</v>
      </c>
      <c r="R18242">
        <v>0</v>
      </c>
      <c r="S18242">
        <v>0</v>
      </c>
      <c r="T18242" t="s">
        <v>66636</v>
      </c>
    </row>
    <row r="18243" spans="1:25" hidden="1" x14ac:dyDescent="0.25">
      <c r="A18243" s="3" t="s">
        <v>24</v>
      </c>
      <c r="B18243" s="3" t="s">
        <v>1098</v>
      </c>
      <c r="C18243" s="3" t="str">
        <f>"A0093928"</f>
        <v>A0093928</v>
      </c>
      <c r="D18243" s="3" t="s">
        <v>66637</v>
      </c>
      <c r="E18243" s="3" t="s">
        <v>66638</v>
      </c>
      <c r="F18243" s="3" t="s">
        <v>66639</v>
      </c>
      <c r="G18243" s="3" t="s">
        <v>5143</v>
      </c>
      <c r="I18243" s="3" t="s">
        <v>5145</v>
      </c>
      <c r="J18243" s="3" t="s">
        <v>206</v>
      </c>
      <c r="K18243" s="3" t="s">
        <v>6459</v>
      </c>
      <c r="N18243" s="3" t="s">
        <v>66640</v>
      </c>
      <c r="O18243" s="3" t="s">
        <v>57423</v>
      </c>
      <c r="Q18243" s="3">
        <v>0</v>
      </c>
      <c r="R18243" s="3">
        <v>12</v>
      </c>
      <c r="S18243" s="3">
        <v>0</v>
      </c>
      <c r="T18243" s="3" t="s">
        <v>66641</v>
      </c>
    </row>
    <row r="18244" spans="1:25" customFormat="1" ht="15" x14ac:dyDescent="0.25">
      <c r="A18244" t="s">
        <v>24</v>
      </c>
      <c r="B18244" t="s">
        <v>799</v>
      </c>
      <c r="C18244" t="str">
        <f>"A0064230"</f>
        <v>A0064230</v>
      </c>
      <c r="D18244" t="s">
        <v>66642</v>
      </c>
      <c r="E18244" t="s">
        <v>66643</v>
      </c>
      <c r="F18244" t="s">
        <v>5369</v>
      </c>
      <c r="G18244" t="s">
        <v>58</v>
      </c>
      <c r="H18244">
        <v>29401</v>
      </c>
      <c r="I18244" t="s">
        <v>30</v>
      </c>
      <c r="J18244" t="s">
        <v>31</v>
      </c>
      <c r="K18244" t="s">
        <v>163</v>
      </c>
      <c r="N18244" t="s">
        <v>66644</v>
      </c>
      <c r="O18244" t="s">
        <v>66645</v>
      </c>
      <c r="Q18244">
        <v>0</v>
      </c>
      <c r="R18244">
        <v>50</v>
      </c>
      <c r="S18244">
        <v>0</v>
      </c>
      <c r="T18244" t="s">
        <v>66646</v>
      </c>
    </row>
    <row r="18245" spans="1:25" customFormat="1" ht="15" hidden="1" x14ac:dyDescent="0.25">
      <c r="A18245" t="s">
        <v>24</v>
      </c>
      <c r="B18245" t="s">
        <v>1583</v>
      </c>
      <c r="C18245" t="str">
        <f>"A0085126"</f>
        <v>A0085126</v>
      </c>
      <c r="D18245" t="s">
        <v>66647</v>
      </c>
      <c r="E18245" t="s">
        <v>66648</v>
      </c>
      <c r="F18245" t="s">
        <v>16144</v>
      </c>
      <c r="G18245" t="s">
        <v>16145</v>
      </c>
      <c r="H18245">
        <v>801</v>
      </c>
      <c r="I18245" t="s">
        <v>16146</v>
      </c>
      <c r="J18245" t="s">
        <v>2544</v>
      </c>
      <c r="K18245" t="s">
        <v>36059</v>
      </c>
      <c r="N18245" t="s">
        <v>66649</v>
      </c>
      <c r="Q18245">
        <v>0</v>
      </c>
      <c r="R18245">
        <v>220</v>
      </c>
      <c r="S18245">
        <v>0</v>
      </c>
      <c r="T18245" t="s">
        <v>66650</v>
      </c>
    </row>
    <row r="18246" spans="1:25" customFormat="1" ht="15" hidden="1" x14ac:dyDescent="0.25">
      <c r="A18246" t="s">
        <v>24</v>
      </c>
      <c r="B18246" t="s">
        <v>1583</v>
      </c>
      <c r="C18246" t="str">
        <f>"A0100707"</f>
        <v>A0100707</v>
      </c>
      <c r="D18246" t="s">
        <v>66651</v>
      </c>
      <c r="E18246" t="s">
        <v>66652</v>
      </c>
      <c r="F18246" t="s">
        <v>16144</v>
      </c>
      <c r="G18246" t="s">
        <v>16145</v>
      </c>
      <c r="I18246" t="s">
        <v>16146</v>
      </c>
      <c r="J18246" t="s">
        <v>191</v>
      </c>
      <c r="K18246" t="s">
        <v>6809</v>
      </c>
      <c r="N18246" t="s">
        <v>66653</v>
      </c>
      <c r="Q18246">
        <v>0</v>
      </c>
      <c r="R18246">
        <v>0</v>
      </c>
      <c r="S18246">
        <v>0</v>
      </c>
      <c r="T18246" t="s">
        <v>66654</v>
      </c>
    </row>
    <row r="18247" spans="1:25" customFormat="1" ht="15" x14ac:dyDescent="0.25">
      <c r="A18247" t="s">
        <v>24</v>
      </c>
      <c r="B18247" t="s">
        <v>6667</v>
      </c>
      <c r="C18247" t="str">
        <f>"A0096660"</f>
        <v>A0096660</v>
      </c>
      <c r="D18247" t="s">
        <v>66655</v>
      </c>
      <c r="E18247" t="s">
        <v>66656</v>
      </c>
      <c r="F18247" t="s">
        <v>66657</v>
      </c>
      <c r="G18247" t="s">
        <v>289</v>
      </c>
      <c r="H18247">
        <v>61062</v>
      </c>
      <c r="I18247" t="s">
        <v>30</v>
      </c>
      <c r="J18247" t="s">
        <v>178</v>
      </c>
      <c r="K18247" t="s">
        <v>6667</v>
      </c>
      <c r="N18247" t="s">
        <v>66658</v>
      </c>
      <c r="Q18247">
        <v>0</v>
      </c>
      <c r="R18247">
        <v>0</v>
      </c>
      <c r="S18247">
        <v>0</v>
      </c>
      <c r="T18247" t="s">
        <v>66659</v>
      </c>
    </row>
    <row r="18248" spans="1:25" customFormat="1" x14ac:dyDescent="0.25">
      <c r="A18248" s="4" t="s">
        <v>24</v>
      </c>
      <c r="B18248" s="4" t="s">
        <v>82126</v>
      </c>
      <c r="C18248" s="4" t="str">
        <f>"A0091577"</f>
        <v>A0091577</v>
      </c>
      <c r="D18248" s="4" t="s">
        <v>82127</v>
      </c>
      <c r="E18248" s="4" t="s">
        <v>82128</v>
      </c>
      <c r="F18248" s="4" t="s">
        <v>82129</v>
      </c>
      <c r="G18248" s="4" t="s">
        <v>153</v>
      </c>
      <c r="H18248" s="4">
        <v>84532</v>
      </c>
      <c r="I18248" s="4" t="s">
        <v>30</v>
      </c>
      <c r="J18248" s="4" t="s">
        <v>206</v>
      </c>
      <c r="K18248" s="4" t="s">
        <v>163</v>
      </c>
      <c r="L18248" s="4"/>
      <c r="M18248" s="4"/>
      <c r="N18248" s="4" t="s">
        <v>82130</v>
      </c>
      <c r="O18248" s="4" t="s">
        <v>82131</v>
      </c>
      <c r="P18248" s="4"/>
      <c r="Q18248" s="4">
        <v>0</v>
      </c>
      <c r="R18248" s="4">
        <v>55</v>
      </c>
      <c r="S18248" s="4">
        <v>0</v>
      </c>
      <c r="T18248" s="4" t="s">
        <v>82132</v>
      </c>
      <c r="U18248" s="4"/>
      <c r="V18248" s="4"/>
      <c r="W18248" s="4"/>
      <c r="X18248" s="4"/>
      <c r="Y18248" s="4"/>
    </row>
    <row r="18249" spans="1:25" customFormat="1" x14ac:dyDescent="0.25">
      <c r="A18249" s="4" t="s">
        <v>24</v>
      </c>
      <c r="B18249" s="4" t="s">
        <v>75189</v>
      </c>
      <c r="C18249" s="4" t="str">
        <f>"A0085821"</f>
        <v>A0085821</v>
      </c>
      <c r="D18249" s="4" t="s">
        <v>84418</v>
      </c>
      <c r="E18249" s="4" t="s">
        <v>84419</v>
      </c>
      <c r="F18249" s="4" t="s">
        <v>7267</v>
      </c>
      <c r="G18249" s="4" t="s">
        <v>153</v>
      </c>
      <c r="H18249" s="4">
        <v>84111</v>
      </c>
      <c r="I18249" s="4" t="s">
        <v>30</v>
      </c>
      <c r="J18249" s="4" t="s">
        <v>206</v>
      </c>
      <c r="K18249" s="4" t="s">
        <v>163</v>
      </c>
      <c r="L18249" s="4"/>
      <c r="M18249" s="4"/>
      <c r="N18249" s="4" t="s">
        <v>84420</v>
      </c>
      <c r="O18249" s="4" t="s">
        <v>84421</v>
      </c>
      <c r="P18249" s="4"/>
      <c r="Q18249" s="4">
        <v>0</v>
      </c>
      <c r="R18249" s="4">
        <v>775</v>
      </c>
      <c r="S18249" s="4">
        <v>0</v>
      </c>
      <c r="T18249" s="4" t="s">
        <v>84422</v>
      </c>
      <c r="U18249" s="4"/>
      <c r="V18249" s="4"/>
      <c r="W18249" s="4"/>
      <c r="X18249" s="4"/>
      <c r="Y18249" s="4"/>
    </row>
    <row r="18250" spans="1:25" customFormat="1" ht="15" x14ac:dyDescent="0.25">
      <c r="A18250" t="s">
        <v>24</v>
      </c>
      <c r="B18250" t="s">
        <v>2360</v>
      </c>
      <c r="C18250" t="str">
        <f>"CL1099"</f>
        <v>CL1099</v>
      </c>
      <c r="D18250" t="s">
        <v>66670</v>
      </c>
      <c r="E18250" t="s">
        <v>66671</v>
      </c>
      <c r="F18250" t="s">
        <v>2014</v>
      </c>
      <c r="G18250" t="s">
        <v>197</v>
      </c>
      <c r="H18250">
        <v>85258</v>
      </c>
      <c r="I18250" t="s">
        <v>30</v>
      </c>
      <c r="J18250" t="s">
        <v>178</v>
      </c>
      <c r="K18250" t="s">
        <v>56092</v>
      </c>
      <c r="N18250" t="s">
        <v>66672</v>
      </c>
      <c r="O18250" t="s">
        <v>66673</v>
      </c>
      <c r="P18250" t="s">
        <v>992</v>
      </c>
      <c r="Q18250">
        <v>3</v>
      </c>
      <c r="R18250">
        <v>0</v>
      </c>
      <c r="S18250">
        <v>0</v>
      </c>
      <c r="T18250" t="s">
        <v>66674</v>
      </c>
    </row>
    <row r="18251" spans="1:25" customFormat="1" ht="15" x14ac:dyDescent="0.25">
      <c r="A18251" t="s">
        <v>24</v>
      </c>
      <c r="B18251" t="s">
        <v>33426</v>
      </c>
      <c r="C18251" t="str">
        <f>"A0095171"</f>
        <v>A0095171</v>
      </c>
      <c r="D18251" t="s">
        <v>66675</v>
      </c>
      <c r="E18251" t="s">
        <v>66676</v>
      </c>
      <c r="F18251" t="s">
        <v>66677</v>
      </c>
      <c r="G18251" t="s">
        <v>214</v>
      </c>
      <c r="H18251">
        <v>28052</v>
      </c>
      <c r="I18251" t="s">
        <v>30</v>
      </c>
      <c r="J18251" t="s">
        <v>7657</v>
      </c>
      <c r="K18251" t="s">
        <v>163</v>
      </c>
      <c r="N18251" t="s">
        <v>66678</v>
      </c>
      <c r="O18251" t="s">
        <v>66679</v>
      </c>
      <c r="Q18251">
        <v>0</v>
      </c>
      <c r="R18251">
        <v>0</v>
      </c>
      <c r="S18251">
        <v>0</v>
      </c>
      <c r="T18251" t="s">
        <v>66680</v>
      </c>
    </row>
    <row r="18252" spans="1:25" customFormat="1" x14ac:dyDescent="0.25">
      <c r="A18252" s="4" t="s">
        <v>24</v>
      </c>
      <c r="B18252" s="4" t="s">
        <v>675</v>
      </c>
      <c r="C18252" s="4" t="str">
        <f>"A0091027"</f>
        <v>A0091027</v>
      </c>
      <c r="D18252" s="4" t="s">
        <v>85311</v>
      </c>
      <c r="E18252" s="4" t="s">
        <v>85312</v>
      </c>
      <c r="F18252" s="4" t="s">
        <v>7677</v>
      </c>
      <c r="G18252" s="4" t="s">
        <v>153</v>
      </c>
      <c r="H18252" s="4">
        <v>84060</v>
      </c>
      <c r="I18252" s="4" t="s">
        <v>30</v>
      </c>
      <c r="J18252" s="4" t="s">
        <v>206</v>
      </c>
      <c r="K18252" s="4" t="s">
        <v>5338</v>
      </c>
      <c r="L18252" s="4"/>
      <c r="M18252" s="4"/>
      <c r="N18252" s="4" t="s">
        <v>85313</v>
      </c>
      <c r="O18252" s="4" t="s">
        <v>85314</v>
      </c>
      <c r="P18252" s="4"/>
      <c r="Q18252" s="4">
        <v>0</v>
      </c>
      <c r="R18252" s="4">
        <v>174</v>
      </c>
      <c r="S18252" s="4">
        <v>0</v>
      </c>
      <c r="T18252" s="4" t="s">
        <v>85315</v>
      </c>
      <c r="U18252" s="4"/>
      <c r="V18252" s="4"/>
      <c r="W18252" s="4"/>
      <c r="X18252" s="4"/>
      <c r="Y18252" s="4"/>
    </row>
    <row r="18253" spans="1:25" customFormat="1" x14ac:dyDescent="0.25">
      <c r="A18253" s="4" t="s">
        <v>24</v>
      </c>
      <c r="B18253" s="4" t="s">
        <v>5384</v>
      </c>
      <c r="C18253" s="4" t="str">
        <f>"A0190310"</f>
        <v>A0190310</v>
      </c>
      <c r="D18253" s="4" t="s">
        <v>7463</v>
      </c>
      <c r="E18253" s="4" t="s">
        <v>7464</v>
      </c>
      <c r="F18253" s="4" t="s">
        <v>7465</v>
      </c>
      <c r="G18253" s="4" t="s">
        <v>29</v>
      </c>
      <c r="H18253" s="4">
        <v>24120</v>
      </c>
      <c r="I18253" s="4" t="s">
        <v>30</v>
      </c>
      <c r="J18253" s="4" t="s">
        <v>206</v>
      </c>
      <c r="K18253" s="4" t="s">
        <v>163</v>
      </c>
      <c r="L18253" s="4"/>
      <c r="M18253" s="4"/>
      <c r="N18253" s="4" t="s">
        <v>7466</v>
      </c>
      <c r="O18253" s="4"/>
      <c r="P18253" s="4"/>
      <c r="Q18253" s="4">
        <v>0</v>
      </c>
      <c r="R18253" s="4">
        <v>61</v>
      </c>
      <c r="S18253" s="4">
        <v>0</v>
      </c>
      <c r="T18253" s="4" t="s">
        <v>7467</v>
      </c>
      <c r="U18253" s="4"/>
      <c r="V18253" s="4"/>
      <c r="W18253" s="4"/>
      <c r="X18253" s="4"/>
      <c r="Y18253" s="4"/>
    </row>
    <row r="18254" spans="1:25" customFormat="1" x14ac:dyDescent="0.25">
      <c r="A18254" s="4" t="s">
        <v>24</v>
      </c>
      <c r="B18254" s="4" t="s">
        <v>16155</v>
      </c>
      <c r="C18254" s="4" t="str">
        <f>"A0100703"</f>
        <v>A0100703</v>
      </c>
      <c r="D18254" s="4" t="s">
        <v>16211</v>
      </c>
      <c r="E18254" s="4" t="s">
        <v>16212</v>
      </c>
      <c r="F18254" s="4" t="s">
        <v>16213</v>
      </c>
      <c r="G18254" s="4" t="s">
        <v>29</v>
      </c>
      <c r="H18254" s="4">
        <v>24504</v>
      </c>
      <c r="I18254" s="4" t="s">
        <v>30</v>
      </c>
      <c r="J18254" s="4" t="s">
        <v>206</v>
      </c>
      <c r="K18254" s="4" t="s">
        <v>5707</v>
      </c>
      <c r="L18254" s="4"/>
      <c r="M18254" s="4"/>
      <c r="N18254" s="4" t="s">
        <v>16214</v>
      </c>
      <c r="O18254" s="4"/>
      <c r="P18254" s="4"/>
      <c r="Q18254" s="4">
        <v>0</v>
      </c>
      <c r="R18254" s="4">
        <v>115</v>
      </c>
      <c r="S18254" s="4">
        <v>0</v>
      </c>
      <c r="T18254" s="4" t="s">
        <v>16215</v>
      </c>
      <c r="U18254" s="4"/>
      <c r="V18254" s="4"/>
      <c r="W18254" s="4"/>
      <c r="X18254" s="4"/>
      <c r="Y18254" s="4"/>
    </row>
    <row r="18255" spans="1:25" customFormat="1" x14ac:dyDescent="0.25">
      <c r="A18255" s="4" t="s">
        <v>24</v>
      </c>
      <c r="B18255" s="4" t="s">
        <v>14164</v>
      </c>
      <c r="C18255" s="4" t="str">
        <f>"A0095899"</f>
        <v>A0095899</v>
      </c>
      <c r="D18255" s="4" t="s">
        <v>55671</v>
      </c>
      <c r="E18255" s="4" t="s">
        <v>55672</v>
      </c>
      <c r="F18255" s="4" t="s">
        <v>3401</v>
      </c>
      <c r="G18255" s="4" t="s">
        <v>29</v>
      </c>
      <c r="H18255" s="4">
        <v>22902</v>
      </c>
      <c r="I18255" s="4" t="s">
        <v>30</v>
      </c>
      <c r="J18255" s="4" t="s">
        <v>206</v>
      </c>
      <c r="K18255" s="4" t="s">
        <v>163</v>
      </c>
      <c r="L18255" s="4"/>
      <c r="M18255" s="4"/>
      <c r="N18255" s="4" t="s">
        <v>55673</v>
      </c>
      <c r="O18255" s="4" t="s">
        <v>55674</v>
      </c>
      <c r="P18255" s="4"/>
      <c r="Q18255" s="4">
        <v>0</v>
      </c>
      <c r="R18255" s="4">
        <v>10</v>
      </c>
      <c r="S18255" s="4">
        <v>0</v>
      </c>
      <c r="T18255" s="4" t="s">
        <v>55675</v>
      </c>
      <c r="U18255" s="4"/>
      <c r="V18255" s="4"/>
      <c r="W18255" s="4"/>
      <c r="X18255" s="4"/>
      <c r="Y18255" s="4"/>
    </row>
    <row r="18256" spans="1:25" customFormat="1" x14ac:dyDescent="0.25">
      <c r="A18256" s="4" t="s">
        <v>24</v>
      </c>
      <c r="B18256" s="4" t="s">
        <v>5166</v>
      </c>
      <c r="C18256" s="4" t="str">
        <f>"A0089051"</f>
        <v>A0089051</v>
      </c>
      <c r="D18256" s="4" t="s">
        <v>76475</v>
      </c>
      <c r="E18256" s="4" t="s">
        <v>76476</v>
      </c>
      <c r="F18256" s="4" t="s">
        <v>1622</v>
      </c>
      <c r="G18256" s="4" t="s">
        <v>29</v>
      </c>
      <c r="H18256" s="4">
        <v>22314</v>
      </c>
      <c r="I18256" s="4" t="s">
        <v>30</v>
      </c>
      <c r="J18256" s="4" t="s">
        <v>206</v>
      </c>
      <c r="K18256" s="4" t="s">
        <v>6459</v>
      </c>
      <c r="L18256" s="4"/>
      <c r="M18256" s="4"/>
      <c r="N18256" s="4" t="s">
        <v>76477</v>
      </c>
      <c r="O18256" s="4"/>
      <c r="P18256" s="4"/>
      <c r="Q18256" s="4">
        <v>0</v>
      </c>
      <c r="R18256" s="4">
        <v>189</v>
      </c>
      <c r="S18256" s="4">
        <v>0</v>
      </c>
      <c r="T18256" s="4" t="s">
        <v>76478</v>
      </c>
      <c r="U18256" s="4"/>
      <c r="V18256" s="4"/>
      <c r="W18256" s="4"/>
      <c r="X18256" s="4"/>
      <c r="Y18256" s="4"/>
    </row>
    <row r="18257" spans="1:25" customFormat="1" ht="15" x14ac:dyDescent="0.25">
      <c r="A18257" t="s">
        <v>24</v>
      </c>
      <c r="B18257" t="s">
        <v>675</v>
      </c>
      <c r="C18257" t="str">
        <f>"A0050218"</f>
        <v>A0050218</v>
      </c>
      <c r="D18257" t="s">
        <v>66705</v>
      </c>
      <c r="E18257" t="s">
        <v>66706</v>
      </c>
      <c r="F18257" t="s">
        <v>2971</v>
      </c>
      <c r="G18257" t="s">
        <v>880</v>
      </c>
      <c r="H18257">
        <v>37214</v>
      </c>
      <c r="I18257" t="s">
        <v>30</v>
      </c>
      <c r="J18257" t="s">
        <v>178</v>
      </c>
      <c r="K18257" t="s">
        <v>64967</v>
      </c>
      <c r="N18257" t="s">
        <v>66707</v>
      </c>
      <c r="O18257" t="s">
        <v>66708</v>
      </c>
      <c r="Q18257">
        <v>1</v>
      </c>
      <c r="R18257">
        <v>18</v>
      </c>
      <c r="S18257">
        <v>0</v>
      </c>
      <c r="T18257" t="s">
        <v>66709</v>
      </c>
    </row>
    <row r="18258" spans="1:25" customFormat="1" x14ac:dyDescent="0.25">
      <c r="A18258" s="4" t="s">
        <v>24</v>
      </c>
      <c r="B18258" s="4" t="s">
        <v>5166</v>
      </c>
      <c r="C18258" s="4" t="str">
        <f>"A0089049"</f>
        <v>A0089049</v>
      </c>
      <c r="D18258" s="4" t="s">
        <v>83803</v>
      </c>
      <c r="E18258" s="4" t="s">
        <v>83804</v>
      </c>
      <c r="F18258" s="4" t="s">
        <v>1622</v>
      </c>
      <c r="G18258" s="4" t="s">
        <v>29</v>
      </c>
      <c r="H18258" s="4">
        <v>22314</v>
      </c>
      <c r="I18258" s="4" t="s">
        <v>30</v>
      </c>
      <c r="J18258" s="4" t="s">
        <v>206</v>
      </c>
      <c r="K18258" s="4" t="s">
        <v>6459</v>
      </c>
      <c r="L18258" s="4"/>
      <c r="M18258" s="4"/>
      <c r="N18258" s="4" t="s">
        <v>76477</v>
      </c>
      <c r="O18258" s="4"/>
      <c r="P18258" s="4"/>
      <c r="Q18258" s="4">
        <v>0</v>
      </c>
      <c r="R18258" s="4">
        <v>241</v>
      </c>
      <c r="S18258" s="4">
        <v>0</v>
      </c>
      <c r="T18258" s="4" t="s">
        <v>83805</v>
      </c>
      <c r="U18258" s="4"/>
      <c r="V18258" s="4"/>
      <c r="W18258" s="4"/>
      <c r="X18258" s="4"/>
      <c r="Y18258" s="4"/>
    </row>
    <row r="18259" spans="1:25" customFormat="1" ht="15" x14ac:dyDescent="0.25">
      <c r="A18259" t="s">
        <v>24</v>
      </c>
      <c r="B18259" t="s">
        <v>675</v>
      </c>
      <c r="C18259" t="str">
        <f>"88IN050"</f>
        <v>88IN050</v>
      </c>
      <c r="D18259" t="s">
        <v>66715</v>
      </c>
      <c r="E18259" t="s">
        <v>66716</v>
      </c>
      <c r="F18259" t="s">
        <v>2971</v>
      </c>
      <c r="G18259" t="s">
        <v>880</v>
      </c>
      <c r="H18259">
        <v>37214</v>
      </c>
      <c r="I18259" t="s">
        <v>30</v>
      </c>
      <c r="J18259" t="s">
        <v>1004</v>
      </c>
      <c r="K18259" t="s">
        <v>1490</v>
      </c>
      <c r="N18259" t="s">
        <v>66717</v>
      </c>
      <c r="Q18259">
        <v>0</v>
      </c>
      <c r="R18259">
        <v>2886</v>
      </c>
      <c r="S18259">
        <v>0</v>
      </c>
      <c r="T18259" t="s">
        <v>66718</v>
      </c>
    </row>
    <row r="18260" spans="1:25" customFormat="1" ht="15" x14ac:dyDescent="0.25">
      <c r="A18260" t="s">
        <v>24</v>
      </c>
      <c r="B18260" t="s">
        <v>66599</v>
      </c>
      <c r="C18260" t="str">
        <f>"A0149173"</f>
        <v>A0149173</v>
      </c>
      <c r="D18260" t="s">
        <v>66719</v>
      </c>
      <c r="E18260" t="s">
        <v>66720</v>
      </c>
      <c r="F18260" t="s">
        <v>1889</v>
      </c>
      <c r="G18260" t="s">
        <v>81</v>
      </c>
      <c r="H18260">
        <v>33140</v>
      </c>
      <c r="I18260" t="s">
        <v>30</v>
      </c>
      <c r="J18260" t="s">
        <v>31</v>
      </c>
      <c r="K18260" t="s">
        <v>163</v>
      </c>
      <c r="N18260" t="s">
        <v>66610</v>
      </c>
      <c r="O18260" t="s">
        <v>66721</v>
      </c>
      <c r="Q18260">
        <v>0</v>
      </c>
      <c r="R18260">
        <v>103</v>
      </c>
      <c r="S18260">
        <v>0</v>
      </c>
      <c r="T18260" t="s">
        <v>66722</v>
      </c>
    </row>
    <row r="18261" spans="1:25" customFormat="1" x14ac:dyDescent="0.25">
      <c r="A18261" s="4" t="s">
        <v>24</v>
      </c>
      <c r="B18261" s="4" t="s">
        <v>2955</v>
      </c>
      <c r="C18261" s="4" t="str">
        <f>"A0054226"</f>
        <v>A0054226</v>
      </c>
      <c r="D18261" s="4" t="s">
        <v>83889</v>
      </c>
      <c r="E18261" s="4" t="s">
        <v>83890</v>
      </c>
      <c r="F18261" s="4" t="s">
        <v>5620</v>
      </c>
      <c r="G18261" s="4" t="s">
        <v>29</v>
      </c>
      <c r="H18261" s="4">
        <v>23219</v>
      </c>
      <c r="I18261" s="4" t="s">
        <v>30</v>
      </c>
      <c r="J18261" s="4" t="s">
        <v>206</v>
      </c>
      <c r="K18261" s="4" t="s">
        <v>163</v>
      </c>
      <c r="L18261" s="4"/>
      <c r="M18261" s="4"/>
      <c r="N18261" s="4" t="s">
        <v>83891</v>
      </c>
      <c r="O18261" s="4" t="s">
        <v>83892</v>
      </c>
      <c r="P18261" s="4"/>
      <c r="Q18261" s="4">
        <v>0</v>
      </c>
      <c r="R18261" s="4">
        <v>55</v>
      </c>
      <c r="S18261" s="4">
        <v>0</v>
      </c>
      <c r="T18261" s="4" t="s">
        <v>83893</v>
      </c>
      <c r="U18261" s="4"/>
      <c r="V18261" s="4"/>
      <c r="W18261" s="4"/>
      <c r="X18261" s="4"/>
      <c r="Y18261" s="4"/>
    </row>
    <row r="18262" spans="1:25" customFormat="1" ht="15" x14ac:dyDescent="0.25">
      <c r="A18262" t="s">
        <v>24</v>
      </c>
      <c r="B18262" t="s">
        <v>33426</v>
      </c>
      <c r="C18262" t="str">
        <f>"A0091944"</f>
        <v>A0091944</v>
      </c>
      <c r="D18262" t="s">
        <v>66728</v>
      </c>
      <c r="E18262" t="s">
        <v>66729</v>
      </c>
      <c r="F18262" t="s">
        <v>2094</v>
      </c>
      <c r="G18262" t="s">
        <v>52</v>
      </c>
      <c r="H18262">
        <v>75205</v>
      </c>
      <c r="I18262" t="s">
        <v>30</v>
      </c>
      <c r="J18262" t="s">
        <v>7657</v>
      </c>
      <c r="K18262" t="s">
        <v>163</v>
      </c>
      <c r="N18262" t="s">
        <v>11319</v>
      </c>
      <c r="Q18262">
        <v>0</v>
      </c>
      <c r="R18262">
        <v>0</v>
      </c>
      <c r="S18262">
        <v>0</v>
      </c>
      <c r="T18262" t="s">
        <v>66730</v>
      </c>
    </row>
    <row r="18263" spans="1:25" customFormat="1" x14ac:dyDescent="0.25">
      <c r="A18263" s="4" t="s">
        <v>24</v>
      </c>
      <c r="B18263" s="4" t="s">
        <v>10054</v>
      </c>
      <c r="C18263" s="4" t="str">
        <f>"A0100425"</f>
        <v>A0100425</v>
      </c>
      <c r="D18263" s="4" t="s">
        <v>84172</v>
      </c>
      <c r="E18263" s="4" t="s">
        <v>13030</v>
      </c>
      <c r="F18263" s="4" t="s">
        <v>3401</v>
      </c>
      <c r="G18263" s="4" t="s">
        <v>29</v>
      </c>
      <c r="H18263" s="4">
        <v>22903</v>
      </c>
      <c r="I18263" s="4" t="s">
        <v>30</v>
      </c>
      <c r="J18263" s="4" t="s">
        <v>206</v>
      </c>
      <c r="K18263" s="4" t="s">
        <v>6459</v>
      </c>
      <c r="L18263" s="4"/>
      <c r="M18263" s="4"/>
      <c r="N18263" s="4" t="s">
        <v>84173</v>
      </c>
      <c r="O18263" s="4"/>
      <c r="P18263" s="4"/>
      <c r="Q18263" s="4">
        <v>0</v>
      </c>
      <c r="R18263" s="4">
        <v>150</v>
      </c>
      <c r="S18263" s="4">
        <v>0</v>
      </c>
      <c r="T18263" s="4" t="s">
        <v>84174</v>
      </c>
      <c r="U18263" s="4"/>
      <c r="V18263" s="4"/>
      <c r="W18263" s="4"/>
      <c r="X18263" s="4"/>
      <c r="Y18263" s="4"/>
    </row>
    <row r="18264" spans="1:25" customFormat="1" x14ac:dyDescent="0.25">
      <c r="A18264" s="4" t="s">
        <v>24</v>
      </c>
      <c r="B18264" s="4" t="s">
        <v>675</v>
      </c>
      <c r="C18264" s="4" t="str">
        <f>"73R14"</f>
        <v>73R14</v>
      </c>
      <c r="D18264" s="4" t="s">
        <v>84991</v>
      </c>
      <c r="E18264" s="4" t="s">
        <v>84992</v>
      </c>
      <c r="F18264" s="4" t="s">
        <v>1131</v>
      </c>
      <c r="G18264" s="4" t="s">
        <v>29</v>
      </c>
      <c r="H18264" s="4">
        <v>22202</v>
      </c>
      <c r="I18264" s="4" t="s">
        <v>30</v>
      </c>
      <c r="J18264" s="4" t="s">
        <v>206</v>
      </c>
      <c r="K18264" s="4" t="s">
        <v>680</v>
      </c>
      <c r="L18264" s="4"/>
      <c r="M18264" s="4"/>
      <c r="N18264" s="4" t="s">
        <v>84993</v>
      </c>
      <c r="O18264" s="4"/>
      <c r="P18264" s="4"/>
      <c r="Q18264" s="4">
        <v>0</v>
      </c>
      <c r="R18264" s="4">
        <v>366</v>
      </c>
      <c r="S18264" s="4">
        <v>0</v>
      </c>
      <c r="T18264" s="4" t="s">
        <v>84994</v>
      </c>
      <c r="U18264" s="4"/>
      <c r="V18264" s="4"/>
      <c r="W18264" s="4"/>
      <c r="X18264" s="4"/>
      <c r="Y18264" s="4"/>
    </row>
    <row r="18265" spans="1:25" customFormat="1" x14ac:dyDescent="0.25">
      <c r="A18265" s="4" t="s">
        <v>24</v>
      </c>
      <c r="B18265" s="4" t="s">
        <v>675</v>
      </c>
      <c r="C18265" s="4" t="str">
        <f>"73R24"</f>
        <v>73R24</v>
      </c>
      <c r="D18265" s="4" t="s">
        <v>85032</v>
      </c>
      <c r="E18265" s="4" t="s">
        <v>85033</v>
      </c>
      <c r="F18265" s="4" t="s">
        <v>83350</v>
      </c>
      <c r="G18265" s="4" t="s">
        <v>29</v>
      </c>
      <c r="H18265" s="4">
        <v>22102</v>
      </c>
      <c r="I18265" s="4" t="s">
        <v>30</v>
      </c>
      <c r="J18265" s="4" t="s">
        <v>206</v>
      </c>
      <c r="K18265" s="4" t="s">
        <v>680</v>
      </c>
      <c r="L18265" s="4"/>
      <c r="M18265" s="4"/>
      <c r="N18265" s="4" t="s">
        <v>84979</v>
      </c>
      <c r="O18265" s="4"/>
      <c r="P18265" s="4"/>
      <c r="Q18265" s="4">
        <v>0</v>
      </c>
      <c r="R18265" s="4">
        <v>399</v>
      </c>
      <c r="S18265" s="4">
        <v>0</v>
      </c>
      <c r="T18265" s="4" t="s">
        <v>85034</v>
      </c>
      <c r="U18265" s="4"/>
      <c r="V18265" s="4"/>
      <c r="W18265" s="4"/>
      <c r="X18265" s="4"/>
      <c r="Y18265" s="4"/>
    </row>
    <row r="18266" spans="1:25" customFormat="1" ht="15" x14ac:dyDescent="0.25">
      <c r="A18266" t="s">
        <v>24</v>
      </c>
      <c r="B18266" t="s">
        <v>2360</v>
      </c>
      <c r="C18266" t="str">
        <f>"CL0268"</f>
        <v>CL0268</v>
      </c>
      <c r="D18266" t="s">
        <v>66744</v>
      </c>
      <c r="E18266" t="s">
        <v>66745</v>
      </c>
      <c r="F18266" t="s">
        <v>2128</v>
      </c>
      <c r="G18266" t="s">
        <v>52</v>
      </c>
      <c r="H18266">
        <v>75093</v>
      </c>
      <c r="I18266" t="s">
        <v>30</v>
      </c>
      <c r="J18266" t="s">
        <v>178</v>
      </c>
      <c r="K18266" t="s">
        <v>56092</v>
      </c>
      <c r="N18266" t="s">
        <v>66746</v>
      </c>
      <c r="O18266" t="s">
        <v>66747</v>
      </c>
      <c r="P18266" t="s">
        <v>992</v>
      </c>
      <c r="Q18266">
        <v>2</v>
      </c>
      <c r="R18266">
        <v>0</v>
      </c>
      <c r="S18266">
        <v>0</v>
      </c>
      <c r="T18266" t="s">
        <v>66748</v>
      </c>
    </row>
    <row r="18267" spans="1:25" customFormat="1" x14ac:dyDescent="0.25">
      <c r="A18267" s="4" t="s">
        <v>24</v>
      </c>
      <c r="B18267" s="4" t="s">
        <v>13684</v>
      </c>
      <c r="C18267" s="4" t="str">
        <f>"A0073564"</f>
        <v>A0073564</v>
      </c>
      <c r="D18267" s="4" t="s">
        <v>13741</v>
      </c>
      <c r="E18267" s="4" t="s">
        <v>13742</v>
      </c>
      <c r="F18267" s="4" t="s">
        <v>13743</v>
      </c>
      <c r="G18267" s="4" t="s">
        <v>2391</v>
      </c>
      <c r="H18267" s="4">
        <v>5254</v>
      </c>
      <c r="I18267" s="4" t="s">
        <v>30</v>
      </c>
      <c r="J18267" s="4" t="s">
        <v>206</v>
      </c>
      <c r="K18267" s="4" t="s">
        <v>163</v>
      </c>
      <c r="L18267" s="4"/>
      <c r="M18267" s="4"/>
      <c r="N18267" s="4" t="s">
        <v>13744</v>
      </c>
      <c r="O18267" s="4" t="s">
        <v>13745</v>
      </c>
      <c r="P18267" s="4" t="s">
        <v>3998</v>
      </c>
      <c r="Q18267" s="4">
        <v>0</v>
      </c>
      <c r="R18267" s="4">
        <v>199</v>
      </c>
      <c r="S18267" s="4">
        <v>0</v>
      </c>
      <c r="T18267" s="4" t="s">
        <v>13746</v>
      </c>
      <c r="U18267" s="4"/>
      <c r="V18267" s="4"/>
      <c r="W18267" s="4"/>
      <c r="X18267" s="4"/>
      <c r="Y18267" s="4"/>
    </row>
    <row r="18268" spans="1:25" customFormat="1" x14ac:dyDescent="0.25">
      <c r="A18268" s="4" t="s">
        <v>24</v>
      </c>
      <c r="B18268" s="4" t="s">
        <v>1105</v>
      </c>
      <c r="C18268" s="4" t="str">
        <f>"A0190519"</f>
        <v>A0190519</v>
      </c>
      <c r="D18268" s="4" t="s">
        <v>1106</v>
      </c>
      <c r="E18268" s="4" t="s">
        <v>1107</v>
      </c>
      <c r="F18268" s="4" t="s">
        <v>1108</v>
      </c>
      <c r="G18268" s="4" t="s">
        <v>76</v>
      </c>
      <c r="H18268" s="4">
        <v>98104</v>
      </c>
      <c r="I18268" s="4" t="s">
        <v>30</v>
      </c>
      <c r="J18268" s="4" t="s">
        <v>206</v>
      </c>
      <c r="K18268" s="4" t="s">
        <v>163</v>
      </c>
      <c r="L18268" s="4"/>
      <c r="M18268" s="4"/>
      <c r="N18268" s="4" t="s">
        <v>1109</v>
      </c>
      <c r="O18268" s="4"/>
      <c r="P18268" s="4"/>
      <c r="Q18268" s="4">
        <v>0</v>
      </c>
      <c r="R18268" s="4">
        <v>189</v>
      </c>
      <c r="S18268" s="4">
        <v>0</v>
      </c>
      <c r="T18268" s="4" t="s">
        <v>1110</v>
      </c>
      <c r="U18268" s="4"/>
      <c r="V18268" s="4"/>
      <c r="W18268" s="4"/>
      <c r="X18268" s="4"/>
      <c r="Y18268" s="4"/>
    </row>
    <row r="18269" spans="1:25" customFormat="1" x14ac:dyDescent="0.25">
      <c r="A18269" s="4" t="s">
        <v>24</v>
      </c>
      <c r="B18269" s="4" t="s">
        <v>2238</v>
      </c>
      <c r="C18269" s="4" t="str">
        <f>"A0069214"</f>
        <v>A0069214</v>
      </c>
      <c r="D18269" s="4" t="s">
        <v>7259</v>
      </c>
      <c r="E18269" s="4" t="s">
        <v>7260</v>
      </c>
      <c r="F18269" s="4" t="s">
        <v>2900</v>
      </c>
      <c r="G18269" s="4" t="s">
        <v>76</v>
      </c>
      <c r="H18269" s="4">
        <v>98121</v>
      </c>
      <c r="I18269" s="4" t="s">
        <v>30</v>
      </c>
      <c r="J18269" s="4" t="s">
        <v>206</v>
      </c>
      <c r="K18269" s="4" t="s">
        <v>163</v>
      </c>
      <c r="L18269" s="4"/>
      <c r="M18269" s="4"/>
      <c r="N18269" s="4" t="s">
        <v>7261</v>
      </c>
      <c r="O18269" s="4" t="s">
        <v>7262</v>
      </c>
      <c r="P18269" s="4"/>
      <c r="Q18269" s="4">
        <v>0</v>
      </c>
      <c r="R18269" s="4">
        <v>236</v>
      </c>
      <c r="S18269" s="4">
        <v>0</v>
      </c>
      <c r="T18269" s="4" t="s">
        <v>7263</v>
      </c>
      <c r="U18269" s="4"/>
      <c r="V18269" s="4"/>
      <c r="W18269" s="4"/>
      <c r="X18269" s="4"/>
      <c r="Y18269" s="4"/>
    </row>
    <row r="18270" spans="1:25" customFormat="1" ht="15" x14ac:dyDescent="0.25">
      <c r="A18270" t="s">
        <v>24</v>
      </c>
      <c r="B18270" t="s">
        <v>5843</v>
      </c>
      <c r="C18270" t="str">
        <f>"A0147927"</f>
        <v>A0147927</v>
      </c>
      <c r="D18270" t="s">
        <v>66762</v>
      </c>
      <c r="E18270" t="s">
        <v>66763</v>
      </c>
      <c r="F18270" t="s">
        <v>66764</v>
      </c>
      <c r="G18270" t="s">
        <v>47</v>
      </c>
      <c r="H18270">
        <v>97444</v>
      </c>
      <c r="I18270" t="s">
        <v>30</v>
      </c>
      <c r="J18270" t="s">
        <v>31</v>
      </c>
      <c r="K18270" t="s">
        <v>163</v>
      </c>
      <c r="N18270" t="s">
        <v>66765</v>
      </c>
      <c r="Q18270">
        <v>0</v>
      </c>
      <c r="R18270">
        <v>41</v>
      </c>
      <c r="S18270">
        <v>0</v>
      </c>
      <c r="T18270" t="s">
        <v>66766</v>
      </c>
    </row>
    <row r="18271" spans="1:25" customFormat="1" ht="15" x14ac:dyDescent="0.25">
      <c r="A18271" t="s">
        <v>24</v>
      </c>
      <c r="B18271" t="s">
        <v>1528</v>
      </c>
      <c r="C18271" t="str">
        <f>"A0092163"</f>
        <v>A0092163</v>
      </c>
      <c r="D18271" t="s">
        <v>66767</v>
      </c>
      <c r="E18271" t="s">
        <v>66768</v>
      </c>
      <c r="F18271" t="s">
        <v>66769</v>
      </c>
      <c r="G18271" t="s">
        <v>76</v>
      </c>
      <c r="H18271">
        <v>98312</v>
      </c>
      <c r="I18271" t="s">
        <v>30</v>
      </c>
      <c r="J18271" t="s">
        <v>2415</v>
      </c>
      <c r="K18271" t="s">
        <v>163</v>
      </c>
      <c r="N18271" t="s">
        <v>66770</v>
      </c>
      <c r="O18271" t="s">
        <v>66771</v>
      </c>
      <c r="P18271" t="s">
        <v>6426</v>
      </c>
      <c r="Q18271">
        <v>2</v>
      </c>
      <c r="R18271">
        <v>0</v>
      </c>
      <c r="S18271">
        <v>0</v>
      </c>
      <c r="T18271" t="s">
        <v>66772</v>
      </c>
    </row>
    <row r="18272" spans="1:25" customFormat="1" ht="15" x14ac:dyDescent="0.25">
      <c r="A18272" t="s">
        <v>24</v>
      </c>
      <c r="B18272" t="s">
        <v>2360</v>
      </c>
      <c r="C18272" t="str">
        <f>"CL1136"</f>
        <v>CL1136</v>
      </c>
      <c r="D18272" t="s">
        <v>66773</v>
      </c>
      <c r="E18272" t="s">
        <v>66774</v>
      </c>
      <c r="F18272" t="s">
        <v>35912</v>
      </c>
      <c r="G18272" t="s">
        <v>58</v>
      </c>
      <c r="H18272">
        <v>29926</v>
      </c>
      <c r="I18272" t="s">
        <v>30</v>
      </c>
      <c r="J18272" t="s">
        <v>178</v>
      </c>
      <c r="K18272" t="s">
        <v>55688</v>
      </c>
      <c r="N18272" t="s">
        <v>59319</v>
      </c>
      <c r="P18272" t="s">
        <v>992</v>
      </c>
      <c r="Q18272">
        <v>1</v>
      </c>
      <c r="R18272">
        <v>0</v>
      </c>
      <c r="S18272">
        <v>0</v>
      </c>
      <c r="T18272" t="s">
        <v>66775</v>
      </c>
    </row>
    <row r="18273" spans="1:25" customFormat="1" ht="15" x14ac:dyDescent="0.25">
      <c r="A18273" t="s">
        <v>24</v>
      </c>
      <c r="B18273" t="s">
        <v>9558</v>
      </c>
      <c r="C18273" t="str">
        <f>"A0093820"</f>
        <v>A0093820</v>
      </c>
      <c r="D18273" t="s">
        <v>66776</v>
      </c>
      <c r="E18273" t="s">
        <v>66777</v>
      </c>
      <c r="F18273" t="s">
        <v>2930</v>
      </c>
      <c r="G18273" t="s">
        <v>2391</v>
      </c>
      <c r="H18273">
        <v>5672</v>
      </c>
      <c r="I18273" t="s">
        <v>30</v>
      </c>
      <c r="J18273" t="s">
        <v>31</v>
      </c>
      <c r="K18273" t="s">
        <v>163</v>
      </c>
      <c r="N18273" t="s">
        <v>66778</v>
      </c>
      <c r="Q18273">
        <v>0</v>
      </c>
      <c r="R18273">
        <v>94</v>
      </c>
      <c r="S18273">
        <v>0</v>
      </c>
      <c r="T18273" t="s">
        <v>66779</v>
      </c>
    </row>
    <row r="18274" spans="1:25" customFormat="1" ht="15" x14ac:dyDescent="0.25">
      <c r="A18274" t="s">
        <v>24</v>
      </c>
      <c r="B18274" t="s">
        <v>6667</v>
      </c>
      <c r="C18274" t="str">
        <f>"CL1711"</f>
        <v>CL1711</v>
      </c>
      <c r="D18274" t="s">
        <v>66780</v>
      </c>
      <c r="E18274" t="s">
        <v>66781</v>
      </c>
      <c r="F18274" t="s">
        <v>1546</v>
      </c>
      <c r="G18274" t="s">
        <v>52</v>
      </c>
      <c r="H18274">
        <v>77450</v>
      </c>
      <c r="I18274" t="s">
        <v>30</v>
      </c>
      <c r="J18274" t="s">
        <v>178</v>
      </c>
      <c r="K18274" t="s">
        <v>6667</v>
      </c>
      <c r="N18274" t="s">
        <v>66782</v>
      </c>
      <c r="O18274" t="s">
        <v>66783</v>
      </c>
      <c r="Q18274">
        <v>0</v>
      </c>
      <c r="R18274">
        <v>0</v>
      </c>
      <c r="S18274">
        <v>0</v>
      </c>
      <c r="T18274" t="s">
        <v>66784</v>
      </c>
    </row>
    <row r="18275" spans="1:25" customFormat="1" ht="15" x14ac:dyDescent="0.25">
      <c r="A18275" t="s">
        <v>24</v>
      </c>
      <c r="B18275" t="s">
        <v>2360</v>
      </c>
      <c r="C18275" t="str">
        <f>"CL1056"</f>
        <v>CL1056</v>
      </c>
      <c r="D18275" t="s">
        <v>66785</v>
      </c>
      <c r="E18275" t="s">
        <v>66786</v>
      </c>
      <c r="F18275" t="s">
        <v>35912</v>
      </c>
      <c r="G18275" t="s">
        <v>58</v>
      </c>
      <c r="H18275">
        <v>29926</v>
      </c>
      <c r="I18275" t="s">
        <v>30</v>
      </c>
      <c r="J18275" t="s">
        <v>178</v>
      </c>
      <c r="K18275" t="s">
        <v>55688</v>
      </c>
      <c r="N18275" t="s">
        <v>59319</v>
      </c>
      <c r="P18275" t="s">
        <v>992</v>
      </c>
      <c r="Q18275">
        <v>1</v>
      </c>
      <c r="R18275">
        <v>0</v>
      </c>
      <c r="S18275">
        <v>0</v>
      </c>
      <c r="T18275" t="s">
        <v>66787</v>
      </c>
    </row>
    <row r="18276" spans="1:25" customFormat="1" ht="15" x14ac:dyDescent="0.25">
      <c r="A18276" t="s">
        <v>24</v>
      </c>
      <c r="B18276" t="s">
        <v>2360</v>
      </c>
      <c r="C18276" t="str">
        <f>"A0093771"</f>
        <v>A0093771</v>
      </c>
      <c r="D18276" t="s">
        <v>66788</v>
      </c>
      <c r="E18276" t="s">
        <v>66789</v>
      </c>
      <c r="F18276" t="s">
        <v>54905</v>
      </c>
      <c r="G18276" t="s">
        <v>52</v>
      </c>
      <c r="H18276">
        <v>77380</v>
      </c>
      <c r="I18276" t="s">
        <v>30</v>
      </c>
      <c r="J18276" t="s">
        <v>178</v>
      </c>
      <c r="K18276" t="s">
        <v>56676</v>
      </c>
      <c r="N18276" t="s">
        <v>66790</v>
      </c>
      <c r="Q18276">
        <v>2</v>
      </c>
      <c r="R18276">
        <v>0</v>
      </c>
      <c r="S18276">
        <v>0</v>
      </c>
      <c r="T18276" t="s">
        <v>66791</v>
      </c>
    </row>
    <row r="18277" spans="1:25" customFormat="1" ht="15" x14ac:dyDescent="0.25">
      <c r="A18277" t="s">
        <v>24</v>
      </c>
      <c r="B18277" t="s">
        <v>66792</v>
      </c>
      <c r="C18277" t="str">
        <f>"A0100117"</f>
        <v>A0100117</v>
      </c>
      <c r="D18277" t="s">
        <v>66793</v>
      </c>
      <c r="E18277" t="s">
        <v>66794</v>
      </c>
      <c r="F18277" t="s">
        <v>716</v>
      </c>
      <c r="G18277" t="s">
        <v>289</v>
      </c>
      <c r="H18277">
        <v>60607</v>
      </c>
      <c r="I18277" t="s">
        <v>30</v>
      </c>
      <c r="J18277" t="s">
        <v>3881</v>
      </c>
      <c r="K18277" t="s">
        <v>163</v>
      </c>
      <c r="N18277" t="s">
        <v>66795</v>
      </c>
      <c r="Q18277">
        <v>0</v>
      </c>
      <c r="R18277">
        <v>0</v>
      </c>
      <c r="S18277">
        <v>0</v>
      </c>
      <c r="T18277" t="s">
        <v>66796</v>
      </c>
    </row>
    <row r="18278" spans="1:25" customFormat="1" ht="15" x14ac:dyDescent="0.25">
      <c r="A18278" t="s">
        <v>24</v>
      </c>
      <c r="B18278" t="s">
        <v>66797</v>
      </c>
      <c r="C18278" t="str">
        <f>"A0164996"</f>
        <v>A0164996</v>
      </c>
      <c r="D18278" t="s">
        <v>66798</v>
      </c>
      <c r="E18278" t="s">
        <v>66799</v>
      </c>
      <c r="F18278" t="s">
        <v>2564</v>
      </c>
      <c r="G18278" t="s">
        <v>81</v>
      </c>
      <c r="H18278">
        <v>32301</v>
      </c>
      <c r="I18278" t="s">
        <v>30</v>
      </c>
      <c r="J18278" t="s">
        <v>2558</v>
      </c>
      <c r="K18278" t="s">
        <v>163</v>
      </c>
      <c r="N18278" t="s">
        <v>66800</v>
      </c>
      <c r="O18278" t="s">
        <v>66801</v>
      </c>
      <c r="Q18278">
        <v>0</v>
      </c>
      <c r="R18278">
        <v>0</v>
      </c>
      <c r="S18278">
        <v>0</v>
      </c>
      <c r="T18278" t="s">
        <v>66802</v>
      </c>
    </row>
    <row r="18279" spans="1:25" hidden="1" x14ac:dyDescent="0.25">
      <c r="A18279" s="3" t="s">
        <v>24</v>
      </c>
      <c r="B18279" s="3" t="s">
        <v>66803</v>
      </c>
      <c r="C18279" s="3" t="str">
        <f>"A0096491"</f>
        <v>A0096491</v>
      </c>
      <c r="D18279" s="3" t="s">
        <v>66804</v>
      </c>
      <c r="E18279" s="3" t="s">
        <v>66805</v>
      </c>
      <c r="F18279" s="3" t="s">
        <v>12785</v>
      </c>
      <c r="G18279" s="3" t="s">
        <v>12786</v>
      </c>
      <c r="H18279" s="3" t="s">
        <v>66806</v>
      </c>
      <c r="I18279" s="3" t="s">
        <v>12788</v>
      </c>
      <c r="J18279" s="3" t="s">
        <v>206</v>
      </c>
      <c r="K18279" s="3" t="s">
        <v>163</v>
      </c>
      <c r="N18279" s="3" t="s">
        <v>66807</v>
      </c>
      <c r="O18279" s="3" t="s">
        <v>66808</v>
      </c>
      <c r="Q18279" s="3">
        <v>0</v>
      </c>
      <c r="R18279" s="3">
        <v>108</v>
      </c>
      <c r="S18279" s="3">
        <v>0</v>
      </c>
      <c r="T18279" s="3" t="s">
        <v>66809</v>
      </c>
    </row>
    <row r="18280" spans="1:25" customFormat="1" x14ac:dyDescent="0.25">
      <c r="A18280" s="4" t="s">
        <v>24</v>
      </c>
      <c r="B18280" s="4" t="s">
        <v>13684</v>
      </c>
      <c r="C18280" s="4" t="str">
        <f>"A0064221"</f>
        <v>A0064221</v>
      </c>
      <c r="D18280" s="4" t="s">
        <v>16559</v>
      </c>
      <c r="E18280" s="4" t="s">
        <v>16560</v>
      </c>
      <c r="F18280" s="4" t="s">
        <v>16561</v>
      </c>
      <c r="G18280" s="4" t="s">
        <v>76</v>
      </c>
      <c r="H18280" s="4">
        <v>98072</v>
      </c>
      <c r="I18280" s="4" t="s">
        <v>30</v>
      </c>
      <c r="J18280" s="4" t="s">
        <v>206</v>
      </c>
      <c r="K18280" s="4" t="s">
        <v>163</v>
      </c>
      <c r="L18280" s="4"/>
      <c r="M18280" s="4"/>
      <c r="N18280" s="4" t="s">
        <v>16562</v>
      </c>
      <c r="O18280" s="4" t="s">
        <v>16563</v>
      </c>
      <c r="P18280" s="4"/>
      <c r="Q18280" s="4">
        <v>0</v>
      </c>
      <c r="R18280" s="4">
        <v>84</v>
      </c>
      <c r="S18280" s="4">
        <v>0</v>
      </c>
      <c r="T18280" s="4" t="s">
        <v>16564</v>
      </c>
      <c r="U18280" s="4"/>
      <c r="V18280" s="4"/>
      <c r="W18280" s="4"/>
      <c r="X18280" s="4"/>
      <c r="Y18280" s="4"/>
    </row>
    <row r="18281" spans="1:25" customFormat="1" x14ac:dyDescent="0.25">
      <c r="A18281" s="4" t="s">
        <v>24</v>
      </c>
      <c r="B18281" s="4" t="s">
        <v>2011</v>
      </c>
      <c r="C18281" s="4" t="str">
        <f>"A0059212"</f>
        <v>A0059212</v>
      </c>
      <c r="D18281" s="4" t="s">
        <v>76517</v>
      </c>
      <c r="E18281" s="4" t="s">
        <v>76518</v>
      </c>
      <c r="F18281" s="4" t="s">
        <v>2900</v>
      </c>
      <c r="G18281" s="4" t="s">
        <v>76</v>
      </c>
      <c r="H18281" s="4">
        <v>98101</v>
      </c>
      <c r="I18281" s="4" t="s">
        <v>30</v>
      </c>
      <c r="J18281" s="4" t="s">
        <v>206</v>
      </c>
      <c r="K18281" s="4" t="s">
        <v>2015</v>
      </c>
      <c r="L18281" s="4"/>
      <c r="M18281" s="4"/>
      <c r="N18281" s="4" t="s">
        <v>76519</v>
      </c>
      <c r="O18281" s="4" t="s">
        <v>76520</v>
      </c>
      <c r="P18281" s="4"/>
      <c r="Q18281" s="4">
        <v>0</v>
      </c>
      <c r="R18281" s="4">
        <v>297</v>
      </c>
      <c r="S18281" s="4">
        <v>0</v>
      </c>
      <c r="T18281" s="4" t="s">
        <v>76521</v>
      </c>
      <c r="U18281" s="4"/>
      <c r="V18281" s="4"/>
      <c r="W18281" s="4"/>
      <c r="X18281" s="4"/>
      <c r="Y18281" s="4"/>
    </row>
    <row r="18282" spans="1:25" customFormat="1" x14ac:dyDescent="0.25">
      <c r="A18282" s="4" t="s">
        <v>24</v>
      </c>
      <c r="B18282" s="4" t="s">
        <v>1020</v>
      </c>
      <c r="C18282" s="4" t="str">
        <f>"A0099226"</f>
        <v>A0099226</v>
      </c>
      <c r="D18282" s="4" t="s">
        <v>77195</v>
      </c>
      <c r="E18282" s="4" t="s">
        <v>77196</v>
      </c>
      <c r="F18282" s="4" t="s">
        <v>2900</v>
      </c>
      <c r="G18282" s="4" t="s">
        <v>76</v>
      </c>
      <c r="H18282" s="4">
        <v>98121</v>
      </c>
      <c r="I18282" s="4" t="s">
        <v>30</v>
      </c>
      <c r="J18282" s="4" t="s">
        <v>206</v>
      </c>
      <c r="K18282" s="4" t="s">
        <v>77197</v>
      </c>
      <c r="L18282" s="4"/>
      <c r="M18282" s="4"/>
      <c r="N18282" s="4" t="s">
        <v>77198</v>
      </c>
      <c r="O18282" s="4" t="s">
        <v>77199</v>
      </c>
      <c r="P18282" s="4"/>
      <c r="Q18282" s="4">
        <v>0</v>
      </c>
      <c r="R18282" s="4">
        <v>153</v>
      </c>
      <c r="S18282" s="4">
        <v>0</v>
      </c>
      <c r="T18282" s="4" t="s">
        <v>77200</v>
      </c>
      <c r="U18282" s="4"/>
      <c r="V18282" s="4"/>
      <c r="W18282" s="4"/>
      <c r="X18282" s="4"/>
      <c r="Y18282" s="4"/>
    </row>
    <row r="18283" spans="1:25" customFormat="1" x14ac:dyDescent="0.25">
      <c r="A18283" s="4" t="s">
        <v>24</v>
      </c>
      <c r="B18283" s="4" t="s">
        <v>57873</v>
      </c>
      <c r="C18283" s="4" t="str">
        <f>"A0094137"</f>
        <v>A0094137</v>
      </c>
      <c r="D18283" s="4" t="s">
        <v>84136</v>
      </c>
      <c r="E18283" s="4" t="s">
        <v>84137</v>
      </c>
      <c r="F18283" s="4" t="s">
        <v>57876</v>
      </c>
      <c r="G18283" s="4" t="s">
        <v>76</v>
      </c>
      <c r="H18283" s="4">
        <v>99201</v>
      </c>
      <c r="I18283" s="4" t="s">
        <v>30</v>
      </c>
      <c r="J18283" s="4" t="s">
        <v>206</v>
      </c>
      <c r="K18283" s="4" t="s">
        <v>6459</v>
      </c>
      <c r="L18283" s="4"/>
      <c r="M18283" s="4"/>
      <c r="N18283" s="4" t="s">
        <v>57878</v>
      </c>
      <c r="O18283" s="4"/>
      <c r="P18283" s="4"/>
      <c r="Q18283" s="4">
        <v>0</v>
      </c>
      <c r="R18283" s="4">
        <v>712</v>
      </c>
      <c r="S18283" s="4">
        <v>0</v>
      </c>
      <c r="T18283" s="4" t="s">
        <v>84138</v>
      </c>
      <c r="U18283" s="4"/>
      <c r="V18283" s="4"/>
      <c r="W18283" s="4"/>
      <c r="X18283" s="4"/>
      <c r="Y18283" s="4"/>
    </row>
    <row r="18284" spans="1:25" customFormat="1" x14ac:dyDescent="0.25">
      <c r="A18284" s="4" t="s">
        <v>24</v>
      </c>
      <c r="B18284" s="4" t="s">
        <v>57873</v>
      </c>
      <c r="C18284" s="4" t="str">
        <f>"A0092710"</f>
        <v>A0092710</v>
      </c>
      <c r="D18284" s="4" t="s">
        <v>84139</v>
      </c>
      <c r="E18284" s="4" t="s">
        <v>84140</v>
      </c>
      <c r="F18284" s="4" t="s">
        <v>57876</v>
      </c>
      <c r="G18284" s="4" t="s">
        <v>76</v>
      </c>
      <c r="H18284" s="4">
        <v>99201</v>
      </c>
      <c r="I18284" s="4" t="s">
        <v>30</v>
      </c>
      <c r="J18284" s="4" t="s">
        <v>206</v>
      </c>
      <c r="K18284" s="4" t="s">
        <v>6459</v>
      </c>
      <c r="L18284" s="4"/>
      <c r="M18284" s="4"/>
      <c r="N18284" s="4" t="s">
        <v>57877</v>
      </c>
      <c r="O18284" s="4" t="s">
        <v>84141</v>
      </c>
      <c r="P18284" s="4"/>
      <c r="Q18284" s="4">
        <v>0</v>
      </c>
      <c r="R18284" s="4">
        <v>328</v>
      </c>
      <c r="S18284" s="4">
        <v>0</v>
      </c>
      <c r="T18284" s="4" t="s">
        <v>84142</v>
      </c>
      <c r="U18284" s="4"/>
      <c r="V18284" s="4"/>
      <c r="W18284" s="4"/>
      <c r="X18284" s="4"/>
      <c r="Y18284" s="4"/>
    </row>
    <row r="18285" spans="1:25" customFormat="1" x14ac:dyDescent="0.25">
      <c r="A18285" s="4" t="s">
        <v>24</v>
      </c>
      <c r="B18285" s="4" t="s">
        <v>13304</v>
      </c>
      <c r="C18285" s="4" t="str">
        <f>"A0063208"</f>
        <v>A0063208</v>
      </c>
      <c r="D18285" s="4" t="s">
        <v>84293</v>
      </c>
      <c r="E18285" s="4" t="s">
        <v>84294</v>
      </c>
      <c r="F18285" s="4" t="s">
        <v>2900</v>
      </c>
      <c r="G18285" s="4" t="s">
        <v>76</v>
      </c>
      <c r="H18285" s="4">
        <v>98101</v>
      </c>
      <c r="I18285" s="4" t="s">
        <v>30</v>
      </c>
      <c r="J18285" s="4" t="s">
        <v>206</v>
      </c>
      <c r="K18285" s="4" t="s">
        <v>32744</v>
      </c>
      <c r="L18285" s="4"/>
      <c r="M18285" s="4"/>
      <c r="N18285" s="4" t="s">
        <v>84295</v>
      </c>
      <c r="O18285" s="4" t="s">
        <v>84296</v>
      </c>
      <c r="P18285" s="4"/>
      <c r="Q18285" s="4">
        <v>0</v>
      </c>
      <c r="R18285" s="4">
        <v>450</v>
      </c>
      <c r="S18285" s="4">
        <v>0</v>
      </c>
      <c r="T18285" s="4" t="s">
        <v>84297</v>
      </c>
      <c r="U18285" s="4"/>
      <c r="V18285" s="4"/>
      <c r="W18285" s="4"/>
      <c r="X18285" s="4"/>
      <c r="Y18285" s="4"/>
    </row>
    <row r="18286" spans="1:25" customFormat="1" x14ac:dyDescent="0.25">
      <c r="A18286" s="4" t="s">
        <v>24</v>
      </c>
      <c r="B18286" s="4" t="s">
        <v>57873</v>
      </c>
      <c r="C18286" s="4" t="str">
        <f>"A0064220"</f>
        <v>A0064220</v>
      </c>
      <c r="D18286" s="4" t="s">
        <v>84468</v>
      </c>
      <c r="E18286" s="4" t="s">
        <v>84469</v>
      </c>
      <c r="F18286" s="4" t="s">
        <v>57876</v>
      </c>
      <c r="G18286" s="4" t="s">
        <v>76</v>
      </c>
      <c r="H18286" s="4">
        <v>99201</v>
      </c>
      <c r="I18286" s="4" t="s">
        <v>30</v>
      </c>
      <c r="J18286" s="4" t="s">
        <v>206</v>
      </c>
      <c r="K18286" s="4" t="s">
        <v>6459</v>
      </c>
      <c r="L18286" s="4"/>
      <c r="M18286" s="4"/>
      <c r="N18286" s="4" t="s">
        <v>57878</v>
      </c>
      <c r="O18286" s="4" t="s">
        <v>57877</v>
      </c>
      <c r="P18286" s="4"/>
      <c r="Q18286" s="4">
        <v>0</v>
      </c>
      <c r="R18286" s="4">
        <v>284</v>
      </c>
      <c r="S18286" s="4">
        <v>0</v>
      </c>
      <c r="T18286" s="4" t="s">
        <v>84470</v>
      </c>
      <c r="U18286" s="4"/>
      <c r="V18286" s="4"/>
      <c r="W18286" s="4"/>
      <c r="X18286" s="4"/>
      <c r="Y18286" s="4"/>
    </row>
    <row r="18287" spans="1:25" customFormat="1" x14ac:dyDescent="0.25">
      <c r="A18287" s="4" t="s">
        <v>24</v>
      </c>
      <c r="B18287" s="4" t="s">
        <v>57873</v>
      </c>
      <c r="C18287" s="4" t="str">
        <f>"A0092711"</f>
        <v>A0092711</v>
      </c>
      <c r="D18287" s="4" t="s">
        <v>84492</v>
      </c>
      <c r="E18287" s="4" t="s">
        <v>84493</v>
      </c>
      <c r="F18287" s="4" t="s">
        <v>57876</v>
      </c>
      <c r="G18287" s="4" t="s">
        <v>76</v>
      </c>
      <c r="H18287" s="4">
        <v>99201</v>
      </c>
      <c r="I18287" s="4" t="s">
        <v>30</v>
      </c>
      <c r="J18287" s="4" t="s">
        <v>206</v>
      </c>
      <c r="K18287" s="4" t="s">
        <v>6459</v>
      </c>
      <c r="L18287" s="4"/>
      <c r="M18287" s="4"/>
      <c r="N18287" s="4" t="s">
        <v>84141</v>
      </c>
      <c r="O18287" s="4"/>
      <c r="P18287" s="4"/>
      <c r="Q18287" s="4">
        <v>0</v>
      </c>
      <c r="R18287" s="4">
        <v>48</v>
      </c>
      <c r="S18287" s="4">
        <v>0</v>
      </c>
      <c r="T18287" s="4" t="s">
        <v>84142</v>
      </c>
      <c r="U18287" s="4"/>
      <c r="V18287" s="4"/>
      <c r="W18287" s="4"/>
      <c r="X18287" s="4"/>
      <c r="Y18287" s="4"/>
    </row>
    <row r="18288" spans="1:25" customFormat="1" x14ac:dyDescent="0.25">
      <c r="A18288" s="4" t="s">
        <v>24</v>
      </c>
      <c r="B18288" s="4" t="s">
        <v>675</v>
      </c>
      <c r="C18288" s="4" t="str">
        <f>"A0098092"</f>
        <v>A0098092</v>
      </c>
      <c r="D18288" s="4" t="s">
        <v>87190</v>
      </c>
      <c r="E18288" s="4" t="s">
        <v>87191</v>
      </c>
      <c r="F18288" s="4" t="s">
        <v>14497</v>
      </c>
      <c r="G18288" s="4" t="s">
        <v>76</v>
      </c>
      <c r="H18288" s="4">
        <v>98004</v>
      </c>
      <c r="I18288" s="4" t="s">
        <v>30</v>
      </c>
      <c r="J18288" s="4" t="s">
        <v>206</v>
      </c>
      <c r="K18288" s="4" t="s">
        <v>16717</v>
      </c>
      <c r="L18288" s="4"/>
      <c r="M18288" s="4"/>
      <c r="N18288" s="4" t="s">
        <v>85460</v>
      </c>
      <c r="O18288" s="4" t="s">
        <v>87192</v>
      </c>
      <c r="P18288" s="4"/>
      <c r="Q18288" s="4">
        <v>0</v>
      </c>
      <c r="R18288" s="4">
        <v>245</v>
      </c>
      <c r="S18288" s="4">
        <v>0</v>
      </c>
      <c r="T18288" s="4" t="s">
        <v>87193</v>
      </c>
      <c r="U18288" s="4"/>
      <c r="V18288" s="4"/>
      <c r="W18288" s="4"/>
      <c r="X18288" s="4"/>
      <c r="Y18288" s="4"/>
    </row>
    <row r="18289" spans="1:25" customFormat="1" x14ac:dyDescent="0.25">
      <c r="A18289" s="4" t="s">
        <v>24</v>
      </c>
      <c r="B18289" s="4" t="s">
        <v>675</v>
      </c>
      <c r="C18289" s="4" t="str">
        <f>"A0085500"</f>
        <v>A0085500</v>
      </c>
      <c r="D18289" s="4" t="s">
        <v>87273</v>
      </c>
      <c r="E18289" s="4" t="s">
        <v>87274</v>
      </c>
      <c r="F18289" s="4" t="s">
        <v>2900</v>
      </c>
      <c r="G18289" s="4" t="s">
        <v>76</v>
      </c>
      <c r="H18289" s="4">
        <v>98101</v>
      </c>
      <c r="I18289" s="4" t="s">
        <v>30</v>
      </c>
      <c r="J18289" s="4" t="s">
        <v>206</v>
      </c>
      <c r="K18289" s="4" t="s">
        <v>16717</v>
      </c>
      <c r="L18289" s="4"/>
      <c r="M18289" s="4"/>
      <c r="N18289" s="4" t="s">
        <v>87275</v>
      </c>
      <c r="O18289" s="4"/>
      <c r="P18289" s="4"/>
      <c r="Q18289" s="4">
        <v>0</v>
      </c>
      <c r="R18289" s="4">
        <v>424</v>
      </c>
      <c r="S18289" s="4">
        <v>0</v>
      </c>
      <c r="T18289" s="4" t="s">
        <v>87276</v>
      </c>
      <c r="U18289" s="4"/>
      <c r="V18289" s="4"/>
      <c r="W18289" s="4"/>
      <c r="X18289" s="4"/>
      <c r="Y18289" s="4"/>
    </row>
    <row r="18290" spans="1:25" customFormat="1" x14ac:dyDescent="0.25">
      <c r="A18290" s="4" t="s">
        <v>24</v>
      </c>
      <c r="B18290" s="4" t="s">
        <v>13684</v>
      </c>
      <c r="C18290" s="4" t="str">
        <f>"A0084178"</f>
        <v>A0084178</v>
      </c>
      <c r="D18290" s="4" t="s">
        <v>15151</v>
      </c>
      <c r="E18290" s="4" t="s">
        <v>15152</v>
      </c>
      <c r="F18290" s="4" t="s">
        <v>15153</v>
      </c>
      <c r="G18290" s="4" t="s">
        <v>71</v>
      </c>
      <c r="H18290" s="4">
        <v>53125</v>
      </c>
      <c r="I18290" s="4" t="s">
        <v>30</v>
      </c>
      <c r="J18290" s="4" t="s">
        <v>206</v>
      </c>
      <c r="K18290" s="4" t="s">
        <v>163</v>
      </c>
      <c r="L18290" s="4"/>
      <c r="M18290" s="4"/>
      <c r="N18290" s="4" t="s">
        <v>15154</v>
      </c>
      <c r="O18290" s="4" t="s">
        <v>15155</v>
      </c>
      <c r="P18290" s="4" t="s">
        <v>3998</v>
      </c>
      <c r="Q18290" s="4">
        <v>1</v>
      </c>
      <c r="R18290" s="4">
        <v>334</v>
      </c>
      <c r="S18290" s="4">
        <v>0</v>
      </c>
      <c r="T18290" s="4" t="s">
        <v>15156</v>
      </c>
      <c r="U18290" s="4"/>
      <c r="V18290" s="4"/>
      <c r="W18290" s="4"/>
      <c r="X18290" s="4"/>
      <c r="Y18290" s="4"/>
    </row>
    <row r="18291" spans="1:25" customFormat="1" x14ac:dyDescent="0.25">
      <c r="A18291" s="4" t="s">
        <v>24</v>
      </c>
      <c r="B18291" s="4" t="s">
        <v>9975</v>
      </c>
      <c r="C18291" s="4" t="str">
        <f>"A0054579"</f>
        <v>A0054579</v>
      </c>
      <c r="D18291" s="4" t="s">
        <v>54836</v>
      </c>
      <c r="E18291" s="4" t="s">
        <v>54837</v>
      </c>
      <c r="F18291" s="4" t="s">
        <v>5999</v>
      </c>
      <c r="G18291" s="4" t="s">
        <v>71</v>
      </c>
      <c r="H18291" s="4">
        <v>53202</v>
      </c>
      <c r="I18291" s="4" t="s">
        <v>30</v>
      </c>
      <c r="J18291" s="4" t="s">
        <v>206</v>
      </c>
      <c r="K18291" s="4" t="s">
        <v>6459</v>
      </c>
      <c r="L18291" s="4"/>
      <c r="M18291" s="4"/>
      <c r="N18291" s="4" t="s">
        <v>54838</v>
      </c>
      <c r="O18291" s="4" t="s">
        <v>54839</v>
      </c>
      <c r="P18291" s="4"/>
      <c r="Q18291" s="4">
        <v>0</v>
      </c>
      <c r="R18291" s="4">
        <v>63</v>
      </c>
      <c r="S18291" s="4">
        <v>0</v>
      </c>
      <c r="T18291" s="4" t="s">
        <v>54840</v>
      </c>
      <c r="U18291" s="4"/>
      <c r="V18291" s="4"/>
      <c r="W18291" s="4"/>
      <c r="X18291" s="4"/>
      <c r="Y18291" s="4"/>
    </row>
    <row r="18292" spans="1:25" customFormat="1" x14ac:dyDescent="0.25">
      <c r="A18292" s="4" t="s">
        <v>24</v>
      </c>
      <c r="B18292" s="4" t="s">
        <v>1567</v>
      </c>
      <c r="C18292" s="4" t="str">
        <f>"A0145412"</f>
        <v>A0145412</v>
      </c>
      <c r="D18292" s="4" t="s">
        <v>72644</v>
      </c>
      <c r="E18292" s="4" t="s">
        <v>72645</v>
      </c>
      <c r="F18292" s="4" t="s">
        <v>59387</v>
      </c>
      <c r="G18292" s="4" t="s">
        <v>71</v>
      </c>
      <c r="H18292" s="4">
        <v>54301</v>
      </c>
      <c r="I18292" s="4" t="s">
        <v>30</v>
      </c>
      <c r="J18292" s="4" t="s">
        <v>206</v>
      </c>
      <c r="K18292" s="4" t="s">
        <v>6459</v>
      </c>
      <c r="L18292" s="4"/>
      <c r="M18292" s="4"/>
      <c r="N18292" s="4" t="s">
        <v>72646</v>
      </c>
      <c r="O18292" s="4"/>
      <c r="P18292" s="4"/>
      <c r="Q18292" s="4">
        <v>0</v>
      </c>
      <c r="R18292" s="4">
        <v>160</v>
      </c>
      <c r="S18292" s="4">
        <v>0</v>
      </c>
      <c r="T18292" s="4" t="s">
        <v>72647</v>
      </c>
      <c r="U18292" s="4"/>
      <c r="V18292" s="4"/>
      <c r="W18292" s="4"/>
      <c r="X18292" s="4"/>
      <c r="Y18292" s="4"/>
    </row>
    <row r="18293" spans="1:25" customFormat="1" x14ac:dyDescent="0.25">
      <c r="A18293" s="4" t="s">
        <v>24</v>
      </c>
      <c r="B18293" s="4" t="s">
        <v>3367</v>
      </c>
      <c r="C18293" s="4" t="str">
        <f>"A0087216"</f>
        <v>A0087216</v>
      </c>
      <c r="D18293" s="4" t="s">
        <v>80448</v>
      </c>
      <c r="E18293" s="4" t="s">
        <v>80449</v>
      </c>
      <c r="F18293" s="4" t="s">
        <v>5999</v>
      </c>
      <c r="G18293" s="4" t="s">
        <v>71</v>
      </c>
      <c r="H18293" s="4">
        <v>53202</v>
      </c>
      <c r="I18293" s="4" t="s">
        <v>30</v>
      </c>
      <c r="J18293" s="4" t="s">
        <v>206</v>
      </c>
      <c r="K18293" s="4" t="s">
        <v>163</v>
      </c>
      <c r="L18293" s="4"/>
      <c r="M18293" s="4"/>
      <c r="N18293" s="4" t="s">
        <v>80450</v>
      </c>
      <c r="O18293" s="4" t="s">
        <v>80451</v>
      </c>
      <c r="P18293" s="4"/>
      <c r="Q18293" s="4">
        <v>0</v>
      </c>
      <c r="R18293" s="4">
        <v>221</v>
      </c>
      <c r="S18293" s="4">
        <v>0</v>
      </c>
      <c r="T18293" s="4" t="s">
        <v>80452</v>
      </c>
      <c r="U18293" s="4"/>
      <c r="V18293" s="4"/>
      <c r="W18293" s="4"/>
      <c r="X18293" s="4"/>
      <c r="Y18293" s="4"/>
    </row>
    <row r="18294" spans="1:25" customFormat="1" x14ac:dyDescent="0.25">
      <c r="A18294" s="4" t="s">
        <v>24</v>
      </c>
      <c r="B18294" s="4" t="s">
        <v>3367</v>
      </c>
      <c r="C18294" s="4" t="str">
        <f>"A0064217"</f>
        <v>A0064217</v>
      </c>
      <c r="D18294" s="4" t="s">
        <v>84846</v>
      </c>
      <c r="E18294" s="4" t="s">
        <v>84847</v>
      </c>
      <c r="F18294" s="4" t="s">
        <v>5999</v>
      </c>
      <c r="G18294" s="4" t="s">
        <v>71</v>
      </c>
      <c r="H18294" s="4">
        <v>53202</v>
      </c>
      <c r="I18294" s="4" t="s">
        <v>30</v>
      </c>
      <c r="J18294" s="4" t="s">
        <v>206</v>
      </c>
      <c r="K18294" s="4" t="s">
        <v>67127</v>
      </c>
      <c r="L18294" s="4"/>
      <c r="M18294" s="4"/>
      <c r="N18294" s="4" t="s">
        <v>84848</v>
      </c>
      <c r="O18294" s="4" t="s">
        <v>84849</v>
      </c>
      <c r="P18294" s="4"/>
      <c r="Q18294" s="4">
        <v>0</v>
      </c>
      <c r="R18294" s="4">
        <v>307</v>
      </c>
      <c r="S18294" s="4">
        <v>0</v>
      </c>
      <c r="T18294" s="4" t="s">
        <v>84850</v>
      </c>
      <c r="U18294" s="4"/>
      <c r="V18294" s="4"/>
      <c r="W18294" s="4"/>
      <c r="X18294" s="4"/>
      <c r="Y18294" s="4"/>
    </row>
    <row r="18295" spans="1:25" customFormat="1" x14ac:dyDescent="0.25">
      <c r="A18295" s="4" t="s">
        <v>24</v>
      </c>
      <c r="B18295" s="4" t="s">
        <v>2238</v>
      </c>
      <c r="C18295" s="4" t="str">
        <f>"A0064355"</f>
        <v>A0064355</v>
      </c>
      <c r="D18295" s="4" t="s">
        <v>6002</v>
      </c>
      <c r="E18295" s="4" t="s">
        <v>6003</v>
      </c>
      <c r="F18295" s="4" t="s">
        <v>6004</v>
      </c>
      <c r="G18295" s="4" t="s">
        <v>1508</v>
      </c>
      <c r="H18295" s="4">
        <v>83025</v>
      </c>
      <c r="I18295" s="4" t="s">
        <v>30</v>
      </c>
      <c r="J18295" s="4" t="s">
        <v>206</v>
      </c>
      <c r="K18295" s="4" t="s">
        <v>163</v>
      </c>
      <c r="L18295" s="4"/>
      <c r="M18295" s="4"/>
      <c r="N18295" s="4" t="s">
        <v>6005</v>
      </c>
      <c r="O18295" s="4" t="s">
        <v>6006</v>
      </c>
      <c r="P18295" s="4"/>
      <c r="Q18295" s="4">
        <v>0</v>
      </c>
      <c r="R18295" s="4">
        <v>145</v>
      </c>
      <c r="S18295" s="4">
        <v>0</v>
      </c>
      <c r="T18295" s="4" t="s">
        <v>6007</v>
      </c>
      <c r="U18295" s="4"/>
      <c r="V18295" s="4"/>
      <c r="W18295" s="4"/>
      <c r="X18295" s="4"/>
      <c r="Y18295" s="4"/>
    </row>
    <row r="18296" spans="1:25" customFormat="1" x14ac:dyDescent="0.25">
      <c r="A18296" s="4" t="s">
        <v>24</v>
      </c>
      <c r="B18296" s="4" t="s">
        <v>2238</v>
      </c>
      <c r="C18296" s="4" t="str">
        <f>"A0085128"</f>
        <v>A0085128</v>
      </c>
      <c r="D18296" s="4" t="s">
        <v>6008</v>
      </c>
      <c r="E18296" s="4" t="s">
        <v>6009</v>
      </c>
      <c r="F18296" s="4" t="s">
        <v>6004</v>
      </c>
      <c r="G18296" s="4" t="s">
        <v>1508</v>
      </c>
      <c r="H18296" s="4">
        <v>83025</v>
      </c>
      <c r="I18296" s="4" t="s">
        <v>30</v>
      </c>
      <c r="J18296" s="4" t="s">
        <v>206</v>
      </c>
      <c r="K18296" s="4" t="s">
        <v>163</v>
      </c>
      <c r="L18296" s="4"/>
      <c r="M18296" s="4"/>
      <c r="N18296" s="4" t="s">
        <v>6010</v>
      </c>
      <c r="O18296" s="4" t="s">
        <v>6006</v>
      </c>
      <c r="P18296" s="4"/>
      <c r="Q18296" s="4">
        <v>0</v>
      </c>
      <c r="R18296" s="4">
        <v>132</v>
      </c>
      <c r="S18296" s="4">
        <v>0</v>
      </c>
      <c r="T18296" s="4" t="s">
        <v>6011</v>
      </c>
      <c r="U18296" s="4"/>
      <c r="V18296" s="4"/>
      <c r="W18296" s="4"/>
      <c r="X18296" s="4"/>
      <c r="Y18296" s="4"/>
    </row>
    <row r="18297" spans="1:25" customFormat="1" x14ac:dyDescent="0.25">
      <c r="A18297" s="4" t="s">
        <v>24</v>
      </c>
      <c r="B18297" s="4" t="s">
        <v>13626</v>
      </c>
      <c r="C18297" s="4" t="str">
        <f>"A0165785"</f>
        <v>A0165785</v>
      </c>
      <c r="D18297" s="4" t="s">
        <v>16706</v>
      </c>
      <c r="E18297" s="4" t="s">
        <v>16707</v>
      </c>
      <c r="F18297" s="4" t="s">
        <v>5833</v>
      </c>
      <c r="G18297" s="4" t="s">
        <v>1508</v>
      </c>
      <c r="H18297" s="4">
        <v>83001</v>
      </c>
      <c r="I18297" s="4" t="s">
        <v>30</v>
      </c>
      <c r="J18297" s="4" t="s">
        <v>206</v>
      </c>
      <c r="K18297" s="4" t="s">
        <v>6459</v>
      </c>
      <c r="L18297" s="4"/>
      <c r="M18297" s="4"/>
      <c r="N18297" s="4" t="s">
        <v>16708</v>
      </c>
      <c r="O18297" s="4" t="s">
        <v>16709</v>
      </c>
      <c r="P18297" s="4"/>
      <c r="Q18297" s="4">
        <v>0</v>
      </c>
      <c r="R18297" s="4">
        <v>96</v>
      </c>
      <c r="S18297" s="4">
        <v>0</v>
      </c>
      <c r="T18297" s="4" t="s">
        <v>16710</v>
      </c>
      <c r="U18297" s="4"/>
      <c r="V18297" s="4"/>
      <c r="W18297" s="4"/>
      <c r="X18297" s="4"/>
      <c r="Y18297" s="4"/>
    </row>
    <row r="18298" spans="1:25" customFormat="1" ht="15" x14ac:dyDescent="0.25">
      <c r="A18298" t="s">
        <v>24</v>
      </c>
      <c r="B18298" t="s">
        <v>675</v>
      </c>
      <c r="C18298" t="str">
        <f>"A0193821"</f>
        <v>A0193821</v>
      </c>
      <c r="D18298" t="s">
        <v>676</v>
      </c>
      <c r="E18298" t="s">
        <v>677</v>
      </c>
      <c r="F18298" t="s">
        <v>678</v>
      </c>
      <c r="G18298" t="s">
        <v>123</v>
      </c>
      <c r="H18298">
        <v>20815</v>
      </c>
      <c r="I18298" t="s">
        <v>30</v>
      </c>
      <c r="J18298" t="s">
        <v>679</v>
      </c>
      <c r="K18298" t="s">
        <v>680</v>
      </c>
      <c r="N18298" t="s">
        <v>681</v>
      </c>
      <c r="Q18298">
        <v>0</v>
      </c>
      <c r="R18298">
        <v>65</v>
      </c>
      <c r="S18298">
        <v>0</v>
      </c>
      <c r="T18298" t="s">
        <v>682</v>
      </c>
    </row>
    <row r="18299" spans="1:25" customFormat="1" ht="15" x14ac:dyDescent="0.25">
      <c r="A18299" t="s">
        <v>24</v>
      </c>
      <c r="B18299" t="s">
        <v>1583</v>
      </c>
      <c r="C18299" t="str">
        <f>"A0191965"</f>
        <v>A0191965</v>
      </c>
      <c r="D18299" t="s">
        <v>2019</v>
      </c>
      <c r="E18299" t="s">
        <v>2020</v>
      </c>
      <c r="F18299" t="s">
        <v>2021</v>
      </c>
      <c r="G18299" t="s">
        <v>110</v>
      </c>
      <c r="H18299">
        <v>96161</v>
      </c>
      <c r="I18299" t="s">
        <v>30</v>
      </c>
      <c r="J18299" t="s">
        <v>679</v>
      </c>
      <c r="K18299" t="s">
        <v>163</v>
      </c>
      <c r="N18299" t="s">
        <v>2022</v>
      </c>
      <c r="Q18299">
        <v>0</v>
      </c>
      <c r="R18299">
        <v>21</v>
      </c>
      <c r="S18299">
        <v>0</v>
      </c>
      <c r="T18299" t="s">
        <v>2023</v>
      </c>
    </row>
    <row r="18300" spans="1:25" customFormat="1" ht="15" x14ac:dyDescent="0.25">
      <c r="A18300" t="s">
        <v>24</v>
      </c>
      <c r="B18300" t="s">
        <v>1583</v>
      </c>
      <c r="C18300" t="str">
        <f>"A0191976"</f>
        <v>A0191976</v>
      </c>
      <c r="D18300" t="s">
        <v>2537</v>
      </c>
      <c r="E18300" t="s">
        <v>2538</v>
      </c>
      <c r="F18300" t="s">
        <v>2539</v>
      </c>
      <c r="G18300" t="s">
        <v>190</v>
      </c>
      <c r="H18300">
        <v>81657</v>
      </c>
      <c r="I18300" t="s">
        <v>30</v>
      </c>
      <c r="J18300" t="s">
        <v>679</v>
      </c>
      <c r="K18300" t="s">
        <v>163</v>
      </c>
      <c r="N18300" t="s">
        <v>2540</v>
      </c>
      <c r="Q18300">
        <v>0</v>
      </c>
      <c r="R18300">
        <v>54</v>
      </c>
      <c r="S18300">
        <v>0</v>
      </c>
      <c r="T18300" t="s">
        <v>2023</v>
      </c>
    </row>
    <row r="18301" spans="1:25" customFormat="1" ht="15" x14ac:dyDescent="0.25">
      <c r="A18301" t="s">
        <v>24</v>
      </c>
      <c r="B18301" t="s">
        <v>675</v>
      </c>
      <c r="C18301" t="str">
        <f>"A0076511"</f>
        <v>A0076511</v>
      </c>
      <c r="D18301" t="s">
        <v>2961</v>
      </c>
      <c r="E18301" t="s">
        <v>2962</v>
      </c>
      <c r="F18301" t="s">
        <v>313</v>
      </c>
      <c r="G18301" t="s">
        <v>314</v>
      </c>
      <c r="H18301">
        <v>20007</v>
      </c>
      <c r="I18301" t="s">
        <v>30</v>
      </c>
      <c r="J18301" t="s">
        <v>679</v>
      </c>
      <c r="K18301" t="s">
        <v>680</v>
      </c>
      <c r="N18301" t="s">
        <v>2963</v>
      </c>
      <c r="Q18301">
        <v>0</v>
      </c>
      <c r="R18301">
        <v>0</v>
      </c>
      <c r="S18301">
        <v>0</v>
      </c>
      <c r="T18301" t="s">
        <v>2964</v>
      </c>
    </row>
    <row r="18302" spans="1:25" customFormat="1" ht="15" x14ac:dyDescent="0.25">
      <c r="A18302" t="s">
        <v>24</v>
      </c>
      <c r="B18302" t="s">
        <v>193</v>
      </c>
      <c r="C18302" t="str">
        <f>"A0149055"</f>
        <v>A0149055</v>
      </c>
      <c r="D18302" t="s">
        <v>8338</v>
      </c>
      <c r="E18302" t="s">
        <v>8339</v>
      </c>
      <c r="F18302" t="s">
        <v>7677</v>
      </c>
      <c r="G18302" t="s">
        <v>153</v>
      </c>
      <c r="H18302">
        <v>84098</v>
      </c>
      <c r="I18302" t="s">
        <v>30</v>
      </c>
      <c r="J18302" t="s">
        <v>679</v>
      </c>
      <c r="K18302" t="s">
        <v>163</v>
      </c>
      <c r="N18302" t="s">
        <v>8340</v>
      </c>
      <c r="Q18302">
        <v>0</v>
      </c>
      <c r="R18302">
        <v>137</v>
      </c>
      <c r="S18302">
        <v>0</v>
      </c>
      <c r="T18302" t="s">
        <v>8341</v>
      </c>
    </row>
    <row r="18303" spans="1:25" customFormat="1" ht="15" x14ac:dyDescent="0.25">
      <c r="A18303" t="s">
        <v>24</v>
      </c>
      <c r="B18303" t="s">
        <v>193</v>
      </c>
      <c r="C18303" t="str">
        <f>"33701"</f>
        <v>33701</v>
      </c>
      <c r="D18303" t="s">
        <v>9418</v>
      </c>
      <c r="E18303" t="s">
        <v>9419</v>
      </c>
      <c r="F18303" t="s">
        <v>1131</v>
      </c>
      <c r="G18303" t="s">
        <v>29</v>
      </c>
      <c r="H18303">
        <v>22209</v>
      </c>
      <c r="I18303" t="s">
        <v>30</v>
      </c>
      <c r="J18303" t="s">
        <v>679</v>
      </c>
      <c r="K18303" t="s">
        <v>163</v>
      </c>
      <c r="N18303" t="s">
        <v>9420</v>
      </c>
      <c r="O18303" t="s">
        <v>9421</v>
      </c>
      <c r="Q18303">
        <v>0</v>
      </c>
      <c r="R18303">
        <v>585</v>
      </c>
      <c r="S18303">
        <v>0</v>
      </c>
      <c r="T18303" t="s">
        <v>9422</v>
      </c>
    </row>
    <row r="18304" spans="1:25" x14ac:dyDescent="0.25">
      <c r="A18304" s="5" t="s">
        <v>24</v>
      </c>
      <c r="B18304" s="5" t="s">
        <v>675</v>
      </c>
      <c r="C18304" s="5" t="str">
        <f>"A0166559"</f>
        <v>A0166559</v>
      </c>
      <c r="D18304" s="5" t="s">
        <v>13007</v>
      </c>
      <c r="E18304" s="5" t="s">
        <v>13008</v>
      </c>
      <c r="F18304" s="5" t="s">
        <v>13009</v>
      </c>
      <c r="G18304" s="5" t="s">
        <v>99</v>
      </c>
      <c r="H18304" s="5">
        <v>10580</v>
      </c>
      <c r="I18304" s="5" t="s">
        <v>30</v>
      </c>
      <c r="J18304" s="5" t="s">
        <v>679</v>
      </c>
      <c r="K18304" s="5" t="s">
        <v>13010</v>
      </c>
      <c r="L18304" s="5"/>
      <c r="M18304" s="5"/>
      <c r="N18304" s="5" t="s">
        <v>13011</v>
      </c>
      <c r="O18304" s="5" t="s">
        <v>13012</v>
      </c>
      <c r="P18304" s="5"/>
      <c r="Q18304" s="5">
        <v>0</v>
      </c>
      <c r="R18304" s="5">
        <v>95</v>
      </c>
      <c r="S18304" s="5">
        <v>0</v>
      </c>
      <c r="T18304" s="5" t="s">
        <v>13013</v>
      </c>
      <c r="U18304" s="5"/>
      <c r="V18304" s="5"/>
      <c r="W18304" s="5"/>
      <c r="X18304" s="5"/>
      <c r="Y18304" s="5"/>
    </row>
    <row r="18305" spans="1:20" customFormat="1" ht="15" hidden="1" x14ac:dyDescent="0.25">
      <c r="A18305" t="s">
        <v>24</v>
      </c>
      <c r="B18305" t="s">
        <v>675</v>
      </c>
      <c r="C18305" t="str">
        <f>"39442"</f>
        <v>39442</v>
      </c>
      <c r="D18305" t="s">
        <v>66921</v>
      </c>
      <c r="E18305" t="s">
        <v>66922</v>
      </c>
      <c r="F18305" t="s">
        <v>66923</v>
      </c>
      <c r="G18305" t="s">
        <v>66924</v>
      </c>
      <c r="I18305" t="s">
        <v>66925</v>
      </c>
      <c r="J18305" t="s">
        <v>162</v>
      </c>
      <c r="K18305" t="s">
        <v>1490</v>
      </c>
      <c r="N18305" t="s">
        <v>66926</v>
      </c>
      <c r="Q18305">
        <v>0</v>
      </c>
      <c r="R18305">
        <v>309</v>
      </c>
      <c r="S18305">
        <v>0</v>
      </c>
      <c r="T18305" t="s">
        <v>66927</v>
      </c>
    </row>
    <row r="18306" spans="1:20" customFormat="1" ht="15" x14ac:dyDescent="0.25">
      <c r="A18306" t="s">
        <v>24</v>
      </c>
      <c r="B18306" t="s">
        <v>1583</v>
      </c>
      <c r="C18306" t="str">
        <f>"A0074278"</f>
        <v>A0074278</v>
      </c>
      <c r="D18306" t="s">
        <v>66928</v>
      </c>
      <c r="E18306" t="s">
        <v>66929</v>
      </c>
      <c r="F18306" t="s">
        <v>220</v>
      </c>
      <c r="G18306" t="s">
        <v>221</v>
      </c>
      <c r="H18306">
        <v>89109</v>
      </c>
      <c r="I18306" t="s">
        <v>30</v>
      </c>
      <c r="J18306" t="s">
        <v>2544</v>
      </c>
      <c r="K18306" t="s">
        <v>36059</v>
      </c>
      <c r="N18306" t="s">
        <v>66930</v>
      </c>
      <c r="O18306" t="s">
        <v>66931</v>
      </c>
      <c r="Q18306">
        <v>0</v>
      </c>
      <c r="R18306">
        <v>732</v>
      </c>
      <c r="S18306">
        <v>0</v>
      </c>
      <c r="T18306" t="s">
        <v>66932</v>
      </c>
    </row>
    <row r="18307" spans="1:20" customFormat="1" ht="15" x14ac:dyDescent="0.25">
      <c r="A18307" t="s">
        <v>24</v>
      </c>
      <c r="B18307" t="s">
        <v>2011</v>
      </c>
      <c r="C18307" t="str">
        <f>"A0179593"</f>
        <v>A0179593</v>
      </c>
      <c r="D18307" t="s">
        <v>33386</v>
      </c>
      <c r="E18307" t="s">
        <v>33387</v>
      </c>
      <c r="F18307" t="s">
        <v>33388</v>
      </c>
      <c r="G18307" t="s">
        <v>110</v>
      </c>
      <c r="H18307">
        <v>92054</v>
      </c>
      <c r="I18307" t="s">
        <v>30</v>
      </c>
      <c r="J18307" t="s">
        <v>679</v>
      </c>
      <c r="K18307" t="s">
        <v>2015</v>
      </c>
      <c r="N18307" t="s">
        <v>33389</v>
      </c>
      <c r="O18307" t="s">
        <v>33390</v>
      </c>
      <c r="Q18307">
        <v>0</v>
      </c>
      <c r="R18307">
        <v>226</v>
      </c>
      <c r="S18307">
        <v>0</v>
      </c>
      <c r="T18307" t="s">
        <v>33391</v>
      </c>
    </row>
    <row r="18308" spans="1:20" customFormat="1" ht="15" x14ac:dyDescent="0.25">
      <c r="A18308" t="s">
        <v>24</v>
      </c>
      <c r="B18308" t="s">
        <v>66938</v>
      </c>
      <c r="C18308" t="str">
        <f>"A0086826"</f>
        <v>A0086826</v>
      </c>
      <c r="D18308" t="s">
        <v>66939</v>
      </c>
      <c r="E18308" t="s">
        <v>66940</v>
      </c>
      <c r="F18308" t="s">
        <v>8970</v>
      </c>
      <c r="G18308" t="s">
        <v>81</v>
      </c>
      <c r="H18308">
        <v>32963</v>
      </c>
      <c r="I18308" t="s">
        <v>30</v>
      </c>
      <c r="J18308" t="s">
        <v>56476</v>
      </c>
      <c r="K18308" t="s">
        <v>163</v>
      </c>
      <c r="N18308" t="s">
        <v>66941</v>
      </c>
      <c r="Q18308">
        <v>0</v>
      </c>
      <c r="R18308">
        <v>0</v>
      </c>
      <c r="S18308">
        <v>0</v>
      </c>
      <c r="T18308" t="s">
        <v>66942</v>
      </c>
    </row>
    <row r="18309" spans="1:20" customFormat="1" ht="15" x14ac:dyDescent="0.25">
      <c r="A18309" t="s">
        <v>24</v>
      </c>
      <c r="B18309" t="s">
        <v>66938</v>
      </c>
      <c r="C18309" t="str">
        <f>"A0050411"</f>
        <v>A0050411</v>
      </c>
      <c r="D18309" t="s">
        <v>66943</v>
      </c>
      <c r="E18309" t="s">
        <v>66944</v>
      </c>
      <c r="F18309" t="s">
        <v>8970</v>
      </c>
      <c r="G18309" t="s">
        <v>81</v>
      </c>
      <c r="H18309">
        <v>32967</v>
      </c>
      <c r="I18309" t="s">
        <v>30</v>
      </c>
      <c r="J18309" t="s">
        <v>178</v>
      </c>
      <c r="K18309" t="s">
        <v>179</v>
      </c>
      <c r="Q18309">
        <v>3</v>
      </c>
      <c r="R18309">
        <v>0</v>
      </c>
      <c r="S18309">
        <v>0</v>
      </c>
      <c r="T18309" t="s">
        <v>66945</v>
      </c>
    </row>
    <row r="18310" spans="1:20" customFormat="1" ht="15" hidden="1" x14ac:dyDescent="0.25">
      <c r="A18310" t="s">
        <v>24</v>
      </c>
      <c r="B18310" t="s">
        <v>2011</v>
      </c>
      <c r="C18310" t="str">
        <f>"A0094203"</f>
        <v>A0094203</v>
      </c>
      <c r="D18310" t="s">
        <v>66946</v>
      </c>
      <c r="E18310" t="s">
        <v>9839</v>
      </c>
      <c r="F18310" t="s">
        <v>5142</v>
      </c>
      <c r="G18310" t="s">
        <v>5143</v>
      </c>
      <c r="H18310" t="s">
        <v>5144</v>
      </c>
      <c r="I18310" t="s">
        <v>5145</v>
      </c>
      <c r="J18310" t="s">
        <v>162</v>
      </c>
      <c r="K18310" t="s">
        <v>66947</v>
      </c>
      <c r="N18310" t="s">
        <v>66948</v>
      </c>
      <c r="Q18310">
        <v>0</v>
      </c>
      <c r="R18310">
        <v>733</v>
      </c>
      <c r="S18310">
        <v>0</v>
      </c>
      <c r="T18310" t="s">
        <v>66949</v>
      </c>
    </row>
    <row r="18311" spans="1:20" customFormat="1" ht="15" x14ac:dyDescent="0.25">
      <c r="A18311" t="s">
        <v>24</v>
      </c>
      <c r="B18311" t="s">
        <v>675</v>
      </c>
      <c r="C18311" t="str">
        <f>"A0153415"</f>
        <v>A0153415</v>
      </c>
      <c r="D18311" t="s">
        <v>35275</v>
      </c>
      <c r="E18311" t="s">
        <v>35276</v>
      </c>
      <c r="F18311" t="s">
        <v>997</v>
      </c>
      <c r="G18311" t="s">
        <v>99</v>
      </c>
      <c r="H18311">
        <v>10006</v>
      </c>
      <c r="I18311" t="s">
        <v>30</v>
      </c>
      <c r="J18311" t="s">
        <v>679</v>
      </c>
      <c r="K18311" t="s">
        <v>16717</v>
      </c>
      <c r="N18311" t="s">
        <v>35277</v>
      </c>
      <c r="Q18311">
        <v>0</v>
      </c>
      <c r="R18311">
        <v>223</v>
      </c>
      <c r="S18311">
        <v>0</v>
      </c>
      <c r="T18311" t="s">
        <v>35278</v>
      </c>
    </row>
    <row r="18312" spans="1:20" customFormat="1" ht="15" x14ac:dyDescent="0.25">
      <c r="A18312" t="s">
        <v>24</v>
      </c>
      <c r="B18312" t="s">
        <v>675</v>
      </c>
      <c r="C18312" t="str">
        <f>"A0180037"</f>
        <v>A0180037</v>
      </c>
      <c r="D18312" t="s">
        <v>35312</v>
      </c>
      <c r="E18312" t="s">
        <v>35313</v>
      </c>
      <c r="F18312" t="s">
        <v>709</v>
      </c>
      <c r="G18312" t="s">
        <v>81</v>
      </c>
      <c r="H18312">
        <v>34236</v>
      </c>
      <c r="I18312" t="s">
        <v>30</v>
      </c>
      <c r="J18312" t="s">
        <v>679</v>
      </c>
      <c r="K18312" t="s">
        <v>680</v>
      </c>
      <c r="N18312" t="s">
        <v>35314</v>
      </c>
      <c r="Q18312">
        <v>0</v>
      </c>
      <c r="R18312">
        <v>73</v>
      </c>
      <c r="S18312">
        <v>0</v>
      </c>
      <c r="T18312" t="s">
        <v>35315</v>
      </c>
    </row>
    <row r="18313" spans="1:20" customFormat="1" ht="15" x14ac:dyDescent="0.25">
      <c r="A18313" t="s">
        <v>24</v>
      </c>
      <c r="B18313" t="s">
        <v>2011</v>
      </c>
      <c r="C18313" t="str">
        <f>"A0149484"</f>
        <v>A0149484</v>
      </c>
      <c r="D18313" t="s">
        <v>35738</v>
      </c>
      <c r="E18313" t="s">
        <v>35739</v>
      </c>
      <c r="F18313" t="s">
        <v>35740</v>
      </c>
      <c r="G18313" t="s">
        <v>4815</v>
      </c>
      <c r="H18313">
        <v>96761</v>
      </c>
      <c r="I18313" t="s">
        <v>30</v>
      </c>
      <c r="J18313" t="s">
        <v>679</v>
      </c>
      <c r="K18313" t="s">
        <v>2015</v>
      </c>
      <c r="N18313" t="s">
        <v>35741</v>
      </c>
      <c r="Q18313">
        <v>0</v>
      </c>
      <c r="R18313">
        <v>10</v>
      </c>
      <c r="S18313">
        <v>0</v>
      </c>
      <c r="T18313" t="s">
        <v>35742</v>
      </c>
    </row>
    <row r="18314" spans="1:20" customFormat="1" ht="15" x14ac:dyDescent="0.25">
      <c r="A18314" t="s">
        <v>24</v>
      </c>
      <c r="B18314" t="s">
        <v>2011</v>
      </c>
      <c r="C18314" t="str">
        <f>"A0165223"</f>
        <v>A0165223</v>
      </c>
      <c r="D18314" t="s">
        <v>53805</v>
      </c>
      <c r="E18314" t="s">
        <v>53806</v>
      </c>
      <c r="F18314" t="s">
        <v>10505</v>
      </c>
      <c r="G18314" t="s">
        <v>110</v>
      </c>
      <c r="H18314">
        <v>90232</v>
      </c>
      <c r="I18314" t="s">
        <v>30</v>
      </c>
      <c r="J18314" t="s">
        <v>679</v>
      </c>
      <c r="K18314" t="s">
        <v>2015</v>
      </c>
      <c r="N18314" t="s">
        <v>53807</v>
      </c>
      <c r="Q18314">
        <v>0</v>
      </c>
      <c r="R18314">
        <v>148</v>
      </c>
      <c r="S18314">
        <v>0</v>
      </c>
      <c r="T18314" t="s">
        <v>3073</v>
      </c>
    </row>
    <row r="18315" spans="1:20" customFormat="1" ht="15" x14ac:dyDescent="0.25">
      <c r="A18315" t="s">
        <v>24</v>
      </c>
      <c r="B18315" t="s">
        <v>5384</v>
      </c>
      <c r="C18315" t="str">
        <f>"A0146902"</f>
        <v>A0146902</v>
      </c>
      <c r="D18315" t="s">
        <v>56316</v>
      </c>
      <c r="E18315" t="s">
        <v>56317</v>
      </c>
      <c r="F18315" t="s">
        <v>1570</v>
      </c>
      <c r="G18315" t="s">
        <v>81</v>
      </c>
      <c r="H18315">
        <v>33309</v>
      </c>
      <c r="I18315" t="s">
        <v>30</v>
      </c>
      <c r="J18315" t="s">
        <v>679</v>
      </c>
      <c r="K18315" t="s">
        <v>163</v>
      </c>
      <c r="N18315" t="s">
        <v>56318</v>
      </c>
      <c r="Q18315">
        <v>0</v>
      </c>
      <c r="R18315">
        <v>0</v>
      </c>
      <c r="S18315">
        <v>0</v>
      </c>
      <c r="T18315" t="s">
        <v>56319</v>
      </c>
    </row>
    <row r="18316" spans="1:20" customFormat="1" ht="15" x14ac:dyDescent="0.25">
      <c r="A18316" t="s">
        <v>24</v>
      </c>
      <c r="B18316" t="s">
        <v>2011</v>
      </c>
      <c r="C18316" t="str">
        <f>"A0062443"</f>
        <v>A0062443</v>
      </c>
      <c r="D18316" t="s">
        <v>62930</v>
      </c>
      <c r="E18316" t="s">
        <v>62931</v>
      </c>
      <c r="F18316" t="s">
        <v>62932</v>
      </c>
      <c r="G18316" t="s">
        <v>4815</v>
      </c>
      <c r="H18316">
        <v>96753</v>
      </c>
      <c r="I18316" t="s">
        <v>30</v>
      </c>
      <c r="J18316" t="s">
        <v>679</v>
      </c>
      <c r="K18316" t="s">
        <v>2015</v>
      </c>
      <c r="N18316" t="s">
        <v>62933</v>
      </c>
      <c r="P18316" t="s">
        <v>3998</v>
      </c>
      <c r="Q18316">
        <v>5</v>
      </c>
      <c r="R18316">
        <v>420</v>
      </c>
      <c r="S18316">
        <v>0</v>
      </c>
      <c r="T18316" t="s">
        <v>62934</v>
      </c>
    </row>
    <row r="18317" spans="1:20" customFormat="1" ht="15" hidden="1" x14ac:dyDescent="0.25">
      <c r="A18317" t="s">
        <v>24</v>
      </c>
      <c r="B18317" t="s">
        <v>2011</v>
      </c>
      <c r="C18317" t="str">
        <f>"A0094265"</f>
        <v>A0094265</v>
      </c>
      <c r="D18317" t="s">
        <v>66980</v>
      </c>
      <c r="E18317" t="s">
        <v>66981</v>
      </c>
      <c r="F18317" t="s">
        <v>56035</v>
      </c>
      <c r="G18317" t="s">
        <v>5424</v>
      </c>
      <c r="H18317">
        <v>77710</v>
      </c>
      <c r="I18317" t="s">
        <v>2408</v>
      </c>
      <c r="J18317" t="s">
        <v>162</v>
      </c>
      <c r="K18317" t="s">
        <v>66947</v>
      </c>
      <c r="N18317" t="s">
        <v>66982</v>
      </c>
      <c r="O18317" t="s">
        <v>66983</v>
      </c>
      <c r="Q18317">
        <v>0</v>
      </c>
      <c r="R18317">
        <v>314</v>
      </c>
      <c r="S18317">
        <v>0</v>
      </c>
      <c r="T18317" t="s">
        <v>66984</v>
      </c>
    </row>
    <row r="18318" spans="1:20" customFormat="1" ht="15" x14ac:dyDescent="0.25">
      <c r="A18318" t="s">
        <v>24</v>
      </c>
      <c r="B18318" t="s">
        <v>2011</v>
      </c>
      <c r="C18318" t="str">
        <f>"A0054509"</f>
        <v>A0054509</v>
      </c>
      <c r="D18318" t="s">
        <v>74593</v>
      </c>
      <c r="E18318" t="s">
        <v>74594</v>
      </c>
      <c r="F18318" t="s">
        <v>35740</v>
      </c>
      <c r="G18318" t="s">
        <v>4815</v>
      </c>
      <c r="H18318">
        <v>96761</v>
      </c>
      <c r="I18318" t="s">
        <v>30</v>
      </c>
      <c r="J18318" t="s">
        <v>679</v>
      </c>
      <c r="K18318" t="s">
        <v>2015</v>
      </c>
      <c r="N18318" t="s">
        <v>74595</v>
      </c>
      <c r="Q18318">
        <v>0</v>
      </c>
      <c r="R18318">
        <v>264</v>
      </c>
      <c r="S18318">
        <v>0</v>
      </c>
      <c r="T18318" t="s">
        <v>74596</v>
      </c>
    </row>
    <row r="18319" spans="1:20" customFormat="1" ht="15" x14ac:dyDescent="0.25">
      <c r="A18319" t="s">
        <v>24</v>
      </c>
      <c r="B18319" t="s">
        <v>2011</v>
      </c>
      <c r="C18319" t="str">
        <f>"A0099734"</f>
        <v>A0099734</v>
      </c>
      <c r="D18319" t="s">
        <v>74914</v>
      </c>
      <c r="E18319" t="s">
        <v>74915</v>
      </c>
      <c r="F18319" t="s">
        <v>35740</v>
      </c>
      <c r="G18319" t="s">
        <v>4815</v>
      </c>
      <c r="H18319">
        <v>96761</v>
      </c>
      <c r="I18319" t="s">
        <v>30</v>
      </c>
      <c r="J18319" t="s">
        <v>679</v>
      </c>
      <c r="K18319" t="s">
        <v>2015</v>
      </c>
      <c r="N18319" t="s">
        <v>74916</v>
      </c>
      <c r="O18319" t="s">
        <v>74917</v>
      </c>
      <c r="Q18319">
        <v>0</v>
      </c>
      <c r="R18319">
        <v>199</v>
      </c>
      <c r="S18319">
        <v>0</v>
      </c>
      <c r="T18319" t="s">
        <v>74918</v>
      </c>
    </row>
    <row r="18320" spans="1:20" customFormat="1" ht="15" x14ac:dyDescent="0.25">
      <c r="A18320" t="s">
        <v>24</v>
      </c>
      <c r="B18320" t="s">
        <v>76819</v>
      </c>
      <c r="C18320" t="str">
        <f>"A0151616"</f>
        <v>A0151616</v>
      </c>
      <c r="D18320" t="s">
        <v>76820</v>
      </c>
      <c r="E18320" t="s">
        <v>76821</v>
      </c>
      <c r="F18320" t="s">
        <v>2971</v>
      </c>
      <c r="G18320" t="s">
        <v>880</v>
      </c>
      <c r="H18320">
        <v>37203</v>
      </c>
      <c r="I18320" t="s">
        <v>30</v>
      </c>
      <c r="J18320" t="s">
        <v>679</v>
      </c>
      <c r="K18320" t="s">
        <v>163</v>
      </c>
      <c r="N18320" t="s">
        <v>76822</v>
      </c>
      <c r="O18320" t="s">
        <v>76823</v>
      </c>
      <c r="Q18320">
        <v>0</v>
      </c>
      <c r="R18320">
        <v>24</v>
      </c>
      <c r="S18320">
        <v>0</v>
      </c>
      <c r="T18320" t="s">
        <v>76824</v>
      </c>
    </row>
    <row r="18321" spans="1:25" customFormat="1" ht="15" x14ac:dyDescent="0.25">
      <c r="A18321" t="s">
        <v>24</v>
      </c>
      <c r="B18321" t="s">
        <v>76819</v>
      </c>
      <c r="C18321" t="str">
        <f>"A0151366"</f>
        <v>A0151366</v>
      </c>
      <c r="D18321" t="s">
        <v>76825</v>
      </c>
      <c r="E18321" t="s">
        <v>76826</v>
      </c>
      <c r="F18321" t="s">
        <v>58598</v>
      </c>
      <c r="G18321" t="s">
        <v>81</v>
      </c>
      <c r="H18321">
        <v>34747</v>
      </c>
      <c r="I18321" t="s">
        <v>30</v>
      </c>
      <c r="J18321" t="s">
        <v>679</v>
      </c>
      <c r="K18321" t="s">
        <v>163</v>
      </c>
      <c r="N18321" t="s">
        <v>76827</v>
      </c>
      <c r="O18321" t="s">
        <v>76823</v>
      </c>
      <c r="Q18321">
        <v>0</v>
      </c>
      <c r="R18321">
        <v>88</v>
      </c>
      <c r="S18321">
        <v>0</v>
      </c>
      <c r="T18321" t="s">
        <v>76828</v>
      </c>
    </row>
    <row r="18322" spans="1:25" customFormat="1" ht="15" x14ac:dyDescent="0.25">
      <c r="A18322" t="s">
        <v>24</v>
      </c>
      <c r="B18322" t="s">
        <v>186</v>
      </c>
      <c r="C18322" t="str">
        <f>"A0147861"</f>
        <v>A0147861</v>
      </c>
      <c r="D18322" t="s">
        <v>80168</v>
      </c>
      <c r="E18322" t="s">
        <v>80169</v>
      </c>
      <c r="F18322" t="s">
        <v>189</v>
      </c>
      <c r="G18322" t="s">
        <v>190</v>
      </c>
      <c r="H18322">
        <v>81611</v>
      </c>
      <c r="I18322" t="s">
        <v>30</v>
      </c>
      <c r="J18322" t="s">
        <v>679</v>
      </c>
      <c r="K18322" t="s">
        <v>163</v>
      </c>
      <c r="N18322" t="s">
        <v>80170</v>
      </c>
      <c r="Q18322">
        <v>0</v>
      </c>
      <c r="R18322">
        <v>34</v>
      </c>
      <c r="S18322">
        <v>0</v>
      </c>
      <c r="T18322" t="s">
        <v>80171</v>
      </c>
    </row>
    <row r="18323" spans="1:25" customFormat="1" ht="15" x14ac:dyDescent="0.25">
      <c r="A18323" t="s">
        <v>24</v>
      </c>
      <c r="B18323" t="s">
        <v>8592</v>
      </c>
      <c r="C18323" t="str">
        <f>"A0068427"</f>
        <v>A0068427</v>
      </c>
      <c r="D18323" t="s">
        <v>83832</v>
      </c>
      <c r="E18323" t="s">
        <v>83833</v>
      </c>
      <c r="F18323" t="s">
        <v>189</v>
      </c>
      <c r="G18323" t="s">
        <v>190</v>
      </c>
      <c r="H18323">
        <v>81611</v>
      </c>
      <c r="I18323" t="s">
        <v>30</v>
      </c>
      <c r="J18323" t="s">
        <v>679</v>
      </c>
      <c r="K18323" t="s">
        <v>163</v>
      </c>
      <c r="N18323" t="s">
        <v>83834</v>
      </c>
      <c r="Q18323">
        <v>0</v>
      </c>
      <c r="R18323">
        <v>133</v>
      </c>
      <c r="S18323">
        <v>0</v>
      </c>
      <c r="T18323" t="s">
        <v>83835</v>
      </c>
    </row>
    <row r="18324" spans="1:25" customFormat="1" ht="15" x14ac:dyDescent="0.25">
      <c r="A18324" t="s">
        <v>24</v>
      </c>
      <c r="B18324" t="s">
        <v>57512</v>
      </c>
      <c r="C18324" t="str">
        <f>"A0075625"</f>
        <v>A0075625</v>
      </c>
      <c r="D18324" t="s">
        <v>67013</v>
      </c>
      <c r="E18324" t="s">
        <v>67014</v>
      </c>
      <c r="F18324" t="s">
        <v>11656</v>
      </c>
      <c r="G18324" t="s">
        <v>1706</v>
      </c>
      <c r="H18324">
        <v>36801</v>
      </c>
      <c r="I18324" t="s">
        <v>30</v>
      </c>
      <c r="J18324" t="s">
        <v>2415</v>
      </c>
      <c r="K18324" t="s">
        <v>179</v>
      </c>
      <c r="N18324" t="s">
        <v>67015</v>
      </c>
      <c r="P18324" t="s">
        <v>6426</v>
      </c>
      <c r="Q18324">
        <v>3</v>
      </c>
      <c r="R18324">
        <v>0</v>
      </c>
      <c r="S18324">
        <v>0</v>
      </c>
      <c r="T18324" t="s">
        <v>67016</v>
      </c>
    </row>
    <row r="18325" spans="1:25" customFormat="1" ht="15" x14ac:dyDescent="0.25">
      <c r="A18325" t="s">
        <v>24</v>
      </c>
      <c r="B18325" t="s">
        <v>1583</v>
      </c>
      <c r="C18325" t="str">
        <f>"38K62"</f>
        <v>38K62</v>
      </c>
      <c r="D18325" t="s">
        <v>67017</v>
      </c>
      <c r="E18325" t="s">
        <v>67018</v>
      </c>
      <c r="F18325" t="s">
        <v>53294</v>
      </c>
      <c r="G18325" t="s">
        <v>110</v>
      </c>
      <c r="H18325">
        <v>96150</v>
      </c>
      <c r="I18325" t="s">
        <v>30</v>
      </c>
      <c r="J18325" t="s">
        <v>2544</v>
      </c>
      <c r="K18325" t="s">
        <v>36059</v>
      </c>
      <c r="N18325" t="s">
        <v>67019</v>
      </c>
      <c r="O18325" t="s">
        <v>67020</v>
      </c>
      <c r="Q18325">
        <v>0</v>
      </c>
      <c r="R18325">
        <v>332</v>
      </c>
      <c r="S18325">
        <v>0</v>
      </c>
      <c r="T18325" t="s">
        <v>67021</v>
      </c>
    </row>
    <row r="18326" spans="1:25" customFormat="1" ht="15" x14ac:dyDescent="0.25">
      <c r="A18326" t="s">
        <v>24</v>
      </c>
      <c r="B18326" t="s">
        <v>1583</v>
      </c>
      <c r="C18326" t="str">
        <f>"38K35"</f>
        <v>38K35</v>
      </c>
      <c r="D18326" t="s">
        <v>67022</v>
      </c>
      <c r="E18326" t="s">
        <v>67023</v>
      </c>
      <c r="F18326" t="s">
        <v>60633</v>
      </c>
      <c r="G18326" t="s">
        <v>58</v>
      </c>
      <c r="H18326">
        <v>29928</v>
      </c>
      <c r="I18326" t="s">
        <v>30</v>
      </c>
      <c r="J18326" t="s">
        <v>2544</v>
      </c>
      <c r="K18326" t="s">
        <v>36059</v>
      </c>
      <c r="N18326" t="s">
        <v>67024</v>
      </c>
      <c r="Q18326">
        <v>0</v>
      </c>
      <c r="R18326">
        <v>290</v>
      </c>
      <c r="S18326">
        <v>0</v>
      </c>
      <c r="T18326" t="s">
        <v>67025</v>
      </c>
    </row>
    <row r="18327" spans="1:25" customFormat="1" ht="15" hidden="1" x14ac:dyDescent="0.25">
      <c r="A18327" t="s">
        <v>24</v>
      </c>
      <c r="B18327" t="s">
        <v>1453</v>
      </c>
      <c r="C18327" t="str">
        <f>"A0096939"</f>
        <v>A0096939</v>
      </c>
      <c r="D18327" t="s">
        <v>67026</v>
      </c>
      <c r="E18327" t="s">
        <v>67027</v>
      </c>
      <c r="F18327" t="s">
        <v>9107</v>
      </c>
      <c r="G18327" t="s">
        <v>1457</v>
      </c>
      <c r="H18327" t="s">
        <v>67028</v>
      </c>
      <c r="I18327" t="s">
        <v>1459</v>
      </c>
      <c r="J18327" t="s">
        <v>31</v>
      </c>
      <c r="K18327" t="s">
        <v>282</v>
      </c>
      <c r="N18327" t="s">
        <v>67029</v>
      </c>
      <c r="Q18327">
        <v>0</v>
      </c>
      <c r="R18327">
        <v>102</v>
      </c>
      <c r="S18327">
        <v>0</v>
      </c>
      <c r="T18327" t="s">
        <v>67030</v>
      </c>
    </row>
    <row r="18328" spans="1:25" customFormat="1" ht="15" hidden="1" x14ac:dyDescent="0.25">
      <c r="A18328" t="s">
        <v>24</v>
      </c>
      <c r="B18328" t="s">
        <v>1453</v>
      </c>
      <c r="C18328" t="str">
        <f>"A0096938"</f>
        <v>A0096938</v>
      </c>
      <c r="D18328" t="s">
        <v>67031</v>
      </c>
      <c r="E18328" t="s">
        <v>67032</v>
      </c>
      <c r="F18328" t="s">
        <v>9107</v>
      </c>
      <c r="G18328" t="s">
        <v>1457</v>
      </c>
      <c r="H18328" t="s">
        <v>67033</v>
      </c>
      <c r="I18328" t="s">
        <v>1459</v>
      </c>
      <c r="J18328" t="s">
        <v>145</v>
      </c>
      <c r="K18328" t="s">
        <v>154</v>
      </c>
      <c r="N18328" t="s">
        <v>67034</v>
      </c>
      <c r="Q18328">
        <v>0</v>
      </c>
      <c r="R18328">
        <v>132</v>
      </c>
      <c r="S18328">
        <v>0</v>
      </c>
      <c r="T18328" t="s">
        <v>67030</v>
      </c>
    </row>
    <row r="18329" spans="1:25" customFormat="1" ht="15" x14ac:dyDescent="0.25">
      <c r="A18329" t="s">
        <v>24</v>
      </c>
      <c r="B18329" t="s">
        <v>1583</v>
      </c>
      <c r="C18329" t="str">
        <f>"A0100712"</f>
        <v>A0100712</v>
      </c>
      <c r="D18329" t="s">
        <v>67035</v>
      </c>
      <c r="E18329" t="s">
        <v>67036</v>
      </c>
      <c r="F18329" t="s">
        <v>985</v>
      </c>
      <c r="G18329" t="s">
        <v>81</v>
      </c>
      <c r="H18329">
        <v>32821</v>
      </c>
      <c r="I18329" t="s">
        <v>30</v>
      </c>
      <c r="J18329" t="s">
        <v>191</v>
      </c>
      <c r="K18329" t="s">
        <v>6809</v>
      </c>
      <c r="N18329" t="s">
        <v>67037</v>
      </c>
      <c r="Q18329">
        <v>0</v>
      </c>
      <c r="R18329">
        <v>0</v>
      </c>
      <c r="S18329">
        <v>0</v>
      </c>
      <c r="T18329" t="s">
        <v>67038</v>
      </c>
    </row>
    <row r="18330" spans="1:25" x14ac:dyDescent="0.25">
      <c r="A18330" s="5" t="s">
        <v>24</v>
      </c>
      <c r="B18330" s="5" t="s">
        <v>2011</v>
      </c>
      <c r="C18330" s="5" t="str">
        <f>"A0078406"</f>
        <v>A0078406</v>
      </c>
      <c r="D18330" s="5" t="s">
        <v>84662</v>
      </c>
      <c r="E18330" s="5" t="s">
        <v>84663</v>
      </c>
      <c r="F18330" s="5" t="s">
        <v>2930</v>
      </c>
      <c r="G18330" s="5" t="s">
        <v>2391</v>
      </c>
      <c r="H18330" s="5">
        <v>5672</v>
      </c>
      <c r="I18330" s="5" t="s">
        <v>30</v>
      </c>
      <c r="J18330" s="5" t="s">
        <v>679</v>
      </c>
      <c r="K18330" s="5" t="s">
        <v>2015</v>
      </c>
      <c r="L18330" s="5"/>
      <c r="M18330" s="5"/>
      <c r="N18330" s="5" t="s">
        <v>84664</v>
      </c>
      <c r="O18330" s="5" t="s">
        <v>84665</v>
      </c>
      <c r="P18330" s="5" t="s">
        <v>3998</v>
      </c>
      <c r="Q18330" s="5">
        <v>1</v>
      </c>
      <c r="R18330" s="5">
        <v>300</v>
      </c>
      <c r="S18330" s="5">
        <v>0</v>
      </c>
      <c r="T18330" s="5" t="s">
        <v>84666</v>
      </c>
      <c r="U18330" s="5"/>
      <c r="V18330" s="5"/>
      <c r="W18330" s="5"/>
      <c r="X18330" s="5"/>
      <c r="Y18330" s="5"/>
    </row>
    <row r="18331" spans="1:25" customFormat="1" ht="15" x14ac:dyDescent="0.25">
      <c r="A18331" t="s">
        <v>24</v>
      </c>
      <c r="B18331" t="s">
        <v>2360</v>
      </c>
      <c r="C18331" t="str">
        <f>"CL1554"</f>
        <v>CL1554</v>
      </c>
      <c r="D18331" t="s">
        <v>67045</v>
      </c>
      <c r="E18331" t="s">
        <v>67046</v>
      </c>
      <c r="F18331" t="s">
        <v>67047</v>
      </c>
      <c r="G18331" t="s">
        <v>110</v>
      </c>
      <c r="H18331">
        <v>95746</v>
      </c>
      <c r="I18331" t="s">
        <v>30</v>
      </c>
      <c r="J18331" t="s">
        <v>178</v>
      </c>
      <c r="K18331" t="s">
        <v>56092</v>
      </c>
      <c r="N18331" t="s">
        <v>67048</v>
      </c>
      <c r="P18331" t="s">
        <v>992</v>
      </c>
      <c r="Q18331">
        <v>1</v>
      </c>
      <c r="R18331">
        <v>0</v>
      </c>
      <c r="S18331">
        <v>0</v>
      </c>
      <c r="T18331" t="s">
        <v>67049</v>
      </c>
    </row>
    <row r="18332" spans="1:25" customFormat="1" ht="15" x14ac:dyDescent="0.25">
      <c r="A18332" t="s">
        <v>24</v>
      </c>
      <c r="B18332" t="s">
        <v>2180</v>
      </c>
      <c r="C18332" t="str">
        <f>"A0099905"</f>
        <v>A0099905</v>
      </c>
      <c r="D18332" t="s">
        <v>67050</v>
      </c>
      <c r="E18332" t="s">
        <v>67051</v>
      </c>
      <c r="F18332" t="s">
        <v>4894</v>
      </c>
      <c r="G18332" t="s">
        <v>1369</v>
      </c>
      <c r="H18332">
        <v>38804</v>
      </c>
      <c r="I18332" t="s">
        <v>30</v>
      </c>
      <c r="J18332" t="s">
        <v>1004</v>
      </c>
      <c r="K18332" t="s">
        <v>163</v>
      </c>
      <c r="N18332" t="s">
        <v>67052</v>
      </c>
      <c r="Q18332">
        <v>0</v>
      </c>
      <c r="R18332">
        <v>0</v>
      </c>
      <c r="S18332">
        <v>0</v>
      </c>
      <c r="T18332" t="s">
        <v>67053</v>
      </c>
    </row>
    <row r="18333" spans="1:25" customFormat="1" ht="15" x14ac:dyDescent="0.25">
      <c r="A18333" t="s">
        <v>24</v>
      </c>
      <c r="B18333" t="s">
        <v>2180</v>
      </c>
      <c r="C18333" t="str">
        <f>"A0099903"</f>
        <v>A0099903</v>
      </c>
      <c r="D18333" t="s">
        <v>67054</v>
      </c>
      <c r="E18333" t="s">
        <v>61371</v>
      </c>
      <c r="F18333" t="s">
        <v>61372</v>
      </c>
      <c r="G18333" t="s">
        <v>1369</v>
      </c>
      <c r="H18333">
        <v>38655</v>
      </c>
      <c r="I18333" t="s">
        <v>30</v>
      </c>
      <c r="J18333" t="s">
        <v>1004</v>
      </c>
      <c r="K18333" t="s">
        <v>163</v>
      </c>
      <c r="N18333" t="s">
        <v>67055</v>
      </c>
      <c r="Q18333">
        <v>0</v>
      </c>
      <c r="R18333">
        <v>0</v>
      </c>
      <c r="S18333">
        <v>0</v>
      </c>
      <c r="T18333" t="s">
        <v>67056</v>
      </c>
    </row>
    <row r="18334" spans="1:25" customFormat="1" ht="15" x14ac:dyDescent="0.25">
      <c r="A18334" t="s">
        <v>24</v>
      </c>
      <c r="B18334" t="s">
        <v>67057</v>
      </c>
      <c r="C18334" t="str">
        <f>"A0051670"</f>
        <v>A0051670</v>
      </c>
      <c r="D18334" t="s">
        <v>67058</v>
      </c>
      <c r="E18334" t="s">
        <v>67059</v>
      </c>
      <c r="F18334" t="s">
        <v>14331</v>
      </c>
      <c r="G18334" t="s">
        <v>103</v>
      </c>
      <c r="H18334">
        <v>19444</v>
      </c>
      <c r="I18334" t="s">
        <v>30</v>
      </c>
      <c r="J18334" t="s">
        <v>178</v>
      </c>
      <c r="K18334" t="s">
        <v>179</v>
      </c>
      <c r="N18334" t="s">
        <v>67060</v>
      </c>
      <c r="P18334" t="s">
        <v>992</v>
      </c>
      <c r="Q18334">
        <v>1</v>
      </c>
      <c r="R18334">
        <v>18</v>
      </c>
      <c r="S18334">
        <v>0</v>
      </c>
      <c r="T18334" t="s">
        <v>67061</v>
      </c>
    </row>
    <row r="18335" spans="1:25" customFormat="1" ht="15" x14ac:dyDescent="0.25">
      <c r="A18335" t="s">
        <v>24</v>
      </c>
      <c r="B18335" t="s">
        <v>2360</v>
      </c>
      <c r="C18335" t="str">
        <f>"CL0764"</f>
        <v>CL0764</v>
      </c>
      <c r="D18335" t="s">
        <v>67062</v>
      </c>
      <c r="E18335" t="s">
        <v>67063</v>
      </c>
      <c r="F18335" t="s">
        <v>16286</v>
      </c>
      <c r="G18335" t="s">
        <v>29</v>
      </c>
      <c r="H18335">
        <v>23320</v>
      </c>
      <c r="I18335" t="s">
        <v>30</v>
      </c>
      <c r="J18335" t="s">
        <v>178</v>
      </c>
      <c r="K18335" t="s">
        <v>56676</v>
      </c>
      <c r="N18335" t="s">
        <v>67064</v>
      </c>
      <c r="P18335" t="s">
        <v>992</v>
      </c>
      <c r="Q18335">
        <v>1</v>
      </c>
      <c r="R18335">
        <v>0</v>
      </c>
      <c r="S18335">
        <v>0</v>
      </c>
      <c r="T18335" t="s">
        <v>67065</v>
      </c>
    </row>
    <row r="18336" spans="1:25" customFormat="1" ht="15" x14ac:dyDescent="0.25">
      <c r="A18336" t="s">
        <v>24</v>
      </c>
      <c r="B18336" t="s">
        <v>675</v>
      </c>
      <c r="C18336" t="str">
        <f>"A0157827"</f>
        <v>A0157827</v>
      </c>
      <c r="D18336" t="s">
        <v>84908</v>
      </c>
      <c r="E18336" t="s">
        <v>84909</v>
      </c>
      <c r="F18336" t="s">
        <v>1208</v>
      </c>
      <c r="G18336" t="s">
        <v>899</v>
      </c>
      <c r="H18336">
        <v>2111</v>
      </c>
      <c r="I18336" t="s">
        <v>30</v>
      </c>
      <c r="J18336" t="s">
        <v>679</v>
      </c>
      <c r="K18336" t="s">
        <v>680</v>
      </c>
      <c r="N18336" t="s">
        <v>84910</v>
      </c>
      <c r="Q18336">
        <v>0</v>
      </c>
      <c r="R18336">
        <v>132</v>
      </c>
      <c r="S18336">
        <v>0</v>
      </c>
      <c r="T18336" t="s">
        <v>84911</v>
      </c>
    </row>
    <row r="18337" spans="1:25" customFormat="1" ht="15" x14ac:dyDescent="0.25">
      <c r="A18337" t="s">
        <v>24</v>
      </c>
      <c r="B18337" t="s">
        <v>33426</v>
      </c>
      <c r="C18337" t="str">
        <f>"A0152903"</f>
        <v>A0152903</v>
      </c>
      <c r="D18337" t="s">
        <v>67070</v>
      </c>
      <c r="E18337" t="s">
        <v>67071</v>
      </c>
      <c r="F18337" t="s">
        <v>271</v>
      </c>
      <c r="G18337" t="s">
        <v>103</v>
      </c>
      <c r="H18337">
        <v>15222</v>
      </c>
      <c r="I18337" t="s">
        <v>30</v>
      </c>
      <c r="J18337" t="s">
        <v>1004</v>
      </c>
      <c r="K18337" t="s">
        <v>163</v>
      </c>
      <c r="N18337" t="s">
        <v>56653</v>
      </c>
      <c r="Q18337">
        <v>0</v>
      </c>
      <c r="R18337">
        <v>0</v>
      </c>
      <c r="S18337">
        <v>0</v>
      </c>
      <c r="T18337" t="s">
        <v>56655</v>
      </c>
    </row>
    <row r="18338" spans="1:25" customFormat="1" ht="15" x14ac:dyDescent="0.25">
      <c r="A18338" t="s">
        <v>24</v>
      </c>
      <c r="B18338" t="s">
        <v>67072</v>
      </c>
      <c r="C18338" t="str">
        <f>"A0050143"</f>
        <v>A0050143</v>
      </c>
      <c r="D18338" t="s">
        <v>67073</v>
      </c>
      <c r="E18338" t="s">
        <v>67074</v>
      </c>
      <c r="F18338" t="s">
        <v>5706</v>
      </c>
      <c r="G18338" t="s">
        <v>1706</v>
      </c>
      <c r="H18338">
        <v>35242</v>
      </c>
      <c r="I18338" t="s">
        <v>30</v>
      </c>
      <c r="J18338" t="s">
        <v>178</v>
      </c>
      <c r="K18338" t="s">
        <v>163</v>
      </c>
      <c r="N18338" t="s">
        <v>67075</v>
      </c>
      <c r="Q18338">
        <v>1</v>
      </c>
      <c r="R18338">
        <v>0</v>
      </c>
      <c r="S18338">
        <v>0</v>
      </c>
      <c r="T18338" t="s">
        <v>67076</v>
      </c>
    </row>
    <row r="18339" spans="1:25" customFormat="1" ht="15" x14ac:dyDescent="0.25">
      <c r="A18339" t="s">
        <v>24</v>
      </c>
      <c r="B18339" t="s">
        <v>1528</v>
      </c>
      <c r="C18339" t="str">
        <f>"A0165774"</f>
        <v>A0165774</v>
      </c>
      <c r="D18339" t="s">
        <v>67077</v>
      </c>
      <c r="E18339" t="s">
        <v>67078</v>
      </c>
      <c r="F18339" t="s">
        <v>2900</v>
      </c>
      <c r="G18339" t="s">
        <v>76</v>
      </c>
      <c r="H18339">
        <v>98126</v>
      </c>
      <c r="I18339" t="s">
        <v>30</v>
      </c>
      <c r="J18339" t="s">
        <v>31</v>
      </c>
      <c r="K18339" t="s">
        <v>163</v>
      </c>
      <c r="N18339" t="s">
        <v>67079</v>
      </c>
      <c r="Q18339">
        <v>0</v>
      </c>
      <c r="R18339">
        <v>45</v>
      </c>
      <c r="S18339">
        <v>0</v>
      </c>
      <c r="T18339" t="s">
        <v>67080</v>
      </c>
    </row>
    <row r="18340" spans="1:25" customFormat="1" ht="15" x14ac:dyDescent="0.25">
      <c r="A18340" t="s">
        <v>24</v>
      </c>
      <c r="B18340" t="s">
        <v>675</v>
      </c>
      <c r="C18340" t="str">
        <f>"A0157826"</f>
        <v>A0157826</v>
      </c>
      <c r="D18340" t="s">
        <v>84912</v>
      </c>
      <c r="E18340" t="s">
        <v>84913</v>
      </c>
      <c r="F18340" t="s">
        <v>1208</v>
      </c>
      <c r="G18340" t="s">
        <v>899</v>
      </c>
      <c r="H18340">
        <v>2111</v>
      </c>
      <c r="I18340" t="s">
        <v>30</v>
      </c>
      <c r="J18340" t="s">
        <v>679</v>
      </c>
      <c r="K18340" t="s">
        <v>680</v>
      </c>
      <c r="N18340" t="s">
        <v>84914</v>
      </c>
      <c r="Q18340">
        <v>0</v>
      </c>
      <c r="R18340">
        <v>172</v>
      </c>
      <c r="S18340">
        <v>0</v>
      </c>
      <c r="T18340" t="s">
        <v>84915</v>
      </c>
    </row>
    <row r="18341" spans="1:25" x14ac:dyDescent="0.25">
      <c r="A18341" s="5" t="s">
        <v>24</v>
      </c>
      <c r="B18341" s="5" t="s">
        <v>675</v>
      </c>
      <c r="C18341" s="5" t="str">
        <f>"A0071520"</f>
        <v>A0071520</v>
      </c>
      <c r="D18341" s="5" t="s">
        <v>84916</v>
      </c>
      <c r="E18341" s="5" t="s">
        <v>84917</v>
      </c>
      <c r="F18341" s="5" t="s">
        <v>23833</v>
      </c>
      <c r="G18341" s="5" t="s">
        <v>99</v>
      </c>
      <c r="H18341" s="5">
        <v>10004</v>
      </c>
      <c r="I18341" s="5" t="s">
        <v>30</v>
      </c>
      <c r="J18341" s="5" t="s">
        <v>679</v>
      </c>
      <c r="K18341" s="5" t="s">
        <v>680</v>
      </c>
      <c r="L18341" s="5"/>
      <c r="M18341" s="5"/>
      <c r="N18341" s="5" t="s">
        <v>84918</v>
      </c>
      <c r="O18341" s="5"/>
      <c r="P18341" s="5"/>
      <c r="Q18341" s="5">
        <v>0</v>
      </c>
      <c r="R18341" s="5">
        <v>110</v>
      </c>
      <c r="S18341" s="5">
        <v>0</v>
      </c>
      <c r="T18341" s="5" t="s">
        <v>84919</v>
      </c>
      <c r="U18341" s="5"/>
      <c r="V18341" s="5"/>
      <c r="W18341" s="5"/>
      <c r="X18341" s="5"/>
      <c r="Y18341" s="5"/>
    </row>
    <row r="18342" spans="1:25" customFormat="1" ht="15" x14ac:dyDescent="0.25">
      <c r="A18342" t="s">
        <v>24</v>
      </c>
      <c r="B18342" t="s">
        <v>675</v>
      </c>
      <c r="C18342" t="str">
        <f>"A0087999"</f>
        <v>A0087999</v>
      </c>
      <c r="D18342" t="s">
        <v>84920</v>
      </c>
      <c r="E18342" t="s">
        <v>84921</v>
      </c>
      <c r="F18342" t="s">
        <v>9812</v>
      </c>
      <c r="G18342" t="s">
        <v>103</v>
      </c>
      <c r="H18342">
        <v>19102</v>
      </c>
      <c r="I18342" t="s">
        <v>30</v>
      </c>
      <c r="J18342" t="s">
        <v>679</v>
      </c>
      <c r="K18342" t="s">
        <v>680</v>
      </c>
      <c r="N18342" t="s">
        <v>84922</v>
      </c>
      <c r="O18342" t="s">
        <v>84923</v>
      </c>
      <c r="Q18342">
        <v>0</v>
      </c>
      <c r="R18342">
        <v>270</v>
      </c>
      <c r="S18342">
        <v>0</v>
      </c>
      <c r="T18342" t="s">
        <v>84924</v>
      </c>
    </row>
    <row r="18343" spans="1:25" customFormat="1" ht="15" x14ac:dyDescent="0.25">
      <c r="A18343" t="s">
        <v>24</v>
      </c>
      <c r="B18343" t="s">
        <v>33426</v>
      </c>
      <c r="C18343" t="str">
        <f>"A0087693"</f>
        <v>A0087693</v>
      </c>
      <c r="D18343" t="s">
        <v>67096</v>
      </c>
      <c r="E18343" t="s">
        <v>67097</v>
      </c>
      <c r="F18343" t="s">
        <v>6404</v>
      </c>
      <c r="G18343" t="s">
        <v>161</v>
      </c>
      <c r="H18343">
        <v>55415</v>
      </c>
      <c r="I18343" t="s">
        <v>30</v>
      </c>
      <c r="J18343" t="s">
        <v>7657</v>
      </c>
      <c r="K18343" t="s">
        <v>163</v>
      </c>
      <c r="N18343" t="s">
        <v>67098</v>
      </c>
      <c r="Q18343">
        <v>0</v>
      </c>
      <c r="R18343">
        <v>0</v>
      </c>
      <c r="S18343">
        <v>0</v>
      </c>
      <c r="T18343" t="s">
        <v>67099</v>
      </c>
    </row>
    <row r="18344" spans="1:25" hidden="1" x14ac:dyDescent="0.25">
      <c r="A18344" s="3" t="s">
        <v>24</v>
      </c>
      <c r="B18344" s="3" t="s">
        <v>5858</v>
      </c>
      <c r="C18344" s="3" t="str">
        <f>"A0095712"</f>
        <v>A0095712</v>
      </c>
      <c r="D18344" s="3" t="s">
        <v>67100</v>
      </c>
      <c r="E18344" s="3" t="s">
        <v>67101</v>
      </c>
      <c r="F18344" s="3" t="s">
        <v>4802</v>
      </c>
      <c r="G18344" s="3" t="s">
        <v>6356</v>
      </c>
      <c r="H18344" s="3">
        <v>11908</v>
      </c>
      <c r="I18344" s="3" t="s">
        <v>4803</v>
      </c>
      <c r="J18344" s="3" t="s">
        <v>206</v>
      </c>
      <c r="K18344" s="3" t="s">
        <v>163</v>
      </c>
      <c r="N18344" s="3" t="s">
        <v>67102</v>
      </c>
      <c r="Q18344" s="3">
        <v>0</v>
      </c>
      <c r="R18344" s="3">
        <v>50</v>
      </c>
      <c r="S18344" s="3">
        <v>0</v>
      </c>
      <c r="T18344" s="3" t="s">
        <v>67103</v>
      </c>
    </row>
    <row r="18345" spans="1:25" customFormat="1" ht="15" hidden="1" x14ac:dyDescent="0.25">
      <c r="A18345" t="s">
        <v>24</v>
      </c>
      <c r="B18345" t="s">
        <v>67104</v>
      </c>
      <c r="C18345" t="str">
        <f>"A0096857"</f>
        <v>A0096857</v>
      </c>
      <c r="D18345" t="s">
        <v>67105</v>
      </c>
      <c r="E18345" t="s">
        <v>67106</v>
      </c>
      <c r="F18345" t="s">
        <v>2406</v>
      </c>
      <c r="G18345" t="s">
        <v>2407</v>
      </c>
      <c r="H18345">
        <v>23450</v>
      </c>
      <c r="I18345" t="s">
        <v>2408</v>
      </c>
      <c r="J18345" t="s">
        <v>162</v>
      </c>
      <c r="K18345" t="s">
        <v>163</v>
      </c>
      <c r="N18345" t="s">
        <v>67107</v>
      </c>
      <c r="O18345" t="s">
        <v>67108</v>
      </c>
      <c r="Q18345">
        <v>0</v>
      </c>
      <c r="R18345">
        <v>270</v>
      </c>
      <c r="S18345">
        <v>0</v>
      </c>
      <c r="T18345" t="s">
        <v>67109</v>
      </c>
    </row>
    <row r="18346" spans="1:25" hidden="1" x14ac:dyDescent="0.25">
      <c r="A18346" s="3" t="s">
        <v>24</v>
      </c>
      <c r="B18346" s="3" t="s">
        <v>675</v>
      </c>
      <c r="C18346" s="3" t="str">
        <f>"A0096871"</f>
        <v>A0096871</v>
      </c>
      <c r="D18346" s="3" t="s">
        <v>67110</v>
      </c>
      <c r="E18346" s="3" t="s">
        <v>67111</v>
      </c>
      <c r="F18346" s="3" t="s">
        <v>67112</v>
      </c>
      <c r="G18346" s="3" t="s">
        <v>55169</v>
      </c>
      <c r="H18346" s="3">
        <v>24000</v>
      </c>
      <c r="I18346" s="3" t="s">
        <v>2408</v>
      </c>
      <c r="J18346" s="3" t="s">
        <v>206</v>
      </c>
      <c r="K18346" s="3" t="s">
        <v>55170</v>
      </c>
      <c r="N18346" s="3" t="s">
        <v>55171</v>
      </c>
      <c r="Q18346" s="3">
        <v>0</v>
      </c>
      <c r="R18346" s="3">
        <v>15</v>
      </c>
      <c r="S18346" s="3">
        <v>0</v>
      </c>
      <c r="T18346" s="3" t="s">
        <v>67113</v>
      </c>
    </row>
    <row r="18347" spans="1:25" customFormat="1" ht="15" x14ac:dyDescent="0.25">
      <c r="A18347" t="s">
        <v>24</v>
      </c>
      <c r="B18347" t="s">
        <v>2360</v>
      </c>
      <c r="C18347" t="str">
        <f>"CL0170"</f>
        <v>CL0170</v>
      </c>
      <c r="D18347" t="s">
        <v>67114</v>
      </c>
      <c r="E18347" t="s">
        <v>67115</v>
      </c>
      <c r="F18347" t="s">
        <v>4829</v>
      </c>
      <c r="G18347" t="s">
        <v>52</v>
      </c>
      <c r="H18347">
        <v>75063</v>
      </c>
      <c r="I18347" t="s">
        <v>30</v>
      </c>
      <c r="J18347" t="s">
        <v>178</v>
      </c>
      <c r="K18347" t="s">
        <v>56676</v>
      </c>
      <c r="N18347" t="s">
        <v>67116</v>
      </c>
      <c r="O18347" t="s">
        <v>67117</v>
      </c>
      <c r="P18347" t="s">
        <v>992</v>
      </c>
      <c r="Q18347">
        <v>1</v>
      </c>
      <c r="R18347">
        <v>0</v>
      </c>
      <c r="S18347">
        <v>0</v>
      </c>
      <c r="T18347" t="s">
        <v>67118</v>
      </c>
    </row>
    <row r="18348" spans="1:25" customFormat="1" ht="15" x14ac:dyDescent="0.25">
      <c r="A18348" t="s">
        <v>24</v>
      </c>
      <c r="B18348" t="s">
        <v>1583</v>
      </c>
      <c r="C18348" t="str">
        <f>"A0089494"</f>
        <v>A0089494</v>
      </c>
      <c r="D18348" t="s">
        <v>84949</v>
      </c>
      <c r="E18348" t="s">
        <v>84950</v>
      </c>
      <c r="F18348" t="s">
        <v>58023</v>
      </c>
      <c r="G18348" t="s">
        <v>190</v>
      </c>
      <c r="H18348">
        <v>81657</v>
      </c>
      <c r="I18348" t="s">
        <v>30</v>
      </c>
      <c r="J18348" t="s">
        <v>679</v>
      </c>
      <c r="K18348" t="s">
        <v>36059</v>
      </c>
      <c r="N18348" t="s">
        <v>34188</v>
      </c>
      <c r="O18348" t="s">
        <v>84951</v>
      </c>
      <c r="Q18348">
        <v>0</v>
      </c>
      <c r="R18348">
        <v>116</v>
      </c>
      <c r="S18348">
        <v>0</v>
      </c>
      <c r="T18348" t="s">
        <v>84952</v>
      </c>
    </row>
    <row r="18349" spans="1:25" x14ac:dyDescent="0.25">
      <c r="A18349" s="5" t="s">
        <v>24</v>
      </c>
      <c r="B18349" s="5" t="s">
        <v>675</v>
      </c>
      <c r="C18349" s="5" t="str">
        <f>"A0089770"</f>
        <v>A0089770</v>
      </c>
      <c r="D18349" s="5" t="s">
        <v>84995</v>
      </c>
      <c r="E18349" s="5" t="s">
        <v>84996</v>
      </c>
      <c r="F18349" s="5" t="s">
        <v>845</v>
      </c>
      <c r="G18349" s="5" t="s">
        <v>846</v>
      </c>
      <c r="H18349" s="5">
        <v>30316</v>
      </c>
      <c r="I18349" s="5" t="s">
        <v>30</v>
      </c>
      <c r="J18349" s="5" t="s">
        <v>679</v>
      </c>
      <c r="K18349" s="5" t="s">
        <v>680</v>
      </c>
      <c r="L18349" s="5"/>
      <c r="M18349" s="5"/>
      <c r="N18349" s="5" t="s">
        <v>84997</v>
      </c>
      <c r="O18349" s="5"/>
      <c r="P18349" s="5"/>
      <c r="Q18349" s="5">
        <v>0</v>
      </c>
      <c r="R18349" s="5">
        <v>129</v>
      </c>
      <c r="S18349" s="5">
        <v>0</v>
      </c>
      <c r="T18349" s="5" t="s">
        <v>84998</v>
      </c>
      <c r="U18349" s="5"/>
      <c r="V18349" s="5"/>
      <c r="W18349" s="5"/>
      <c r="X18349" s="5"/>
      <c r="Y18349" s="5"/>
    </row>
    <row r="18350" spans="1:25" x14ac:dyDescent="0.25">
      <c r="A18350" s="5" t="s">
        <v>24</v>
      </c>
      <c r="B18350" s="5" t="s">
        <v>675</v>
      </c>
      <c r="C18350" s="5" t="str">
        <f>"A0083044"</f>
        <v>A0083044</v>
      </c>
      <c r="D18350" s="5" t="s">
        <v>84999</v>
      </c>
      <c r="E18350" s="5" t="s">
        <v>85000</v>
      </c>
      <c r="F18350" s="5" t="s">
        <v>4082</v>
      </c>
      <c r="G18350" s="5" t="s">
        <v>123</v>
      </c>
      <c r="H18350" s="5">
        <v>21230</v>
      </c>
      <c r="I18350" s="5" t="s">
        <v>30</v>
      </c>
      <c r="J18350" s="5" t="s">
        <v>679</v>
      </c>
      <c r="K18350" s="5" t="s">
        <v>680</v>
      </c>
      <c r="L18350" s="5"/>
      <c r="M18350" s="5"/>
      <c r="N18350" s="5" t="s">
        <v>85001</v>
      </c>
      <c r="O18350" s="5" t="s">
        <v>85002</v>
      </c>
      <c r="P18350" s="5"/>
      <c r="Q18350" s="5">
        <v>0</v>
      </c>
      <c r="R18350" s="5">
        <v>191</v>
      </c>
      <c r="S18350" s="5">
        <v>0</v>
      </c>
      <c r="T18350" s="5" t="s">
        <v>85003</v>
      </c>
      <c r="U18350" s="5"/>
      <c r="V18350" s="5"/>
      <c r="W18350" s="5"/>
      <c r="X18350" s="5"/>
      <c r="Y18350" s="5"/>
    </row>
    <row r="18351" spans="1:25" customFormat="1" ht="15" x14ac:dyDescent="0.25">
      <c r="A18351" t="s">
        <v>24</v>
      </c>
      <c r="B18351" t="s">
        <v>67135</v>
      </c>
      <c r="C18351" t="str">
        <f>"A0100319"</f>
        <v>A0100319</v>
      </c>
      <c r="D18351" t="s">
        <v>54611</v>
      </c>
      <c r="E18351" t="s">
        <v>67136</v>
      </c>
      <c r="F18351" t="s">
        <v>67137</v>
      </c>
      <c r="G18351" t="s">
        <v>338</v>
      </c>
      <c r="H18351">
        <v>7030</v>
      </c>
      <c r="I18351" t="s">
        <v>30</v>
      </c>
      <c r="J18351" t="s">
        <v>1004</v>
      </c>
      <c r="K18351" t="s">
        <v>163</v>
      </c>
      <c r="N18351" t="s">
        <v>67138</v>
      </c>
      <c r="Q18351">
        <v>0</v>
      </c>
      <c r="R18351">
        <v>0</v>
      </c>
      <c r="S18351">
        <v>0</v>
      </c>
      <c r="T18351" t="s">
        <v>67139</v>
      </c>
    </row>
    <row r="18352" spans="1:25" customFormat="1" ht="15" hidden="1" x14ac:dyDescent="0.25">
      <c r="A18352" t="s">
        <v>24</v>
      </c>
      <c r="B18352" t="s">
        <v>675</v>
      </c>
      <c r="C18352" t="str">
        <f>"A0075985"</f>
        <v>A0075985</v>
      </c>
      <c r="D18352" t="s">
        <v>67140</v>
      </c>
      <c r="E18352" t="s">
        <v>67141</v>
      </c>
      <c r="F18352" t="s">
        <v>54611</v>
      </c>
      <c r="G18352" t="s">
        <v>53283</v>
      </c>
      <c r="H18352" t="s">
        <v>67142</v>
      </c>
      <c r="I18352" t="s">
        <v>1459</v>
      </c>
      <c r="J18352" t="s">
        <v>162</v>
      </c>
      <c r="K18352" t="s">
        <v>1490</v>
      </c>
      <c r="N18352" t="s">
        <v>67143</v>
      </c>
      <c r="Q18352">
        <v>0</v>
      </c>
      <c r="R18352">
        <v>352</v>
      </c>
      <c r="S18352">
        <v>0</v>
      </c>
      <c r="T18352" t="s">
        <v>67144</v>
      </c>
    </row>
    <row r="18353" spans="1:20" customFormat="1" ht="15" x14ac:dyDescent="0.25">
      <c r="A18353" t="s">
        <v>24</v>
      </c>
      <c r="B18353" t="s">
        <v>675</v>
      </c>
      <c r="C18353" t="str">
        <f>"A0094957"</f>
        <v>A0094957</v>
      </c>
      <c r="D18353" t="s">
        <v>85004</v>
      </c>
      <c r="E18353" t="s">
        <v>85005</v>
      </c>
      <c r="F18353" t="s">
        <v>85006</v>
      </c>
      <c r="G18353" t="s">
        <v>99</v>
      </c>
      <c r="H18353">
        <v>11040</v>
      </c>
      <c r="I18353" t="s">
        <v>30</v>
      </c>
      <c r="J18353" t="s">
        <v>679</v>
      </c>
      <c r="K18353" t="s">
        <v>680</v>
      </c>
      <c r="N18353" t="s">
        <v>85007</v>
      </c>
      <c r="O18353" t="s">
        <v>84918</v>
      </c>
      <c r="Q18353">
        <v>0</v>
      </c>
      <c r="R18353">
        <v>244</v>
      </c>
      <c r="S18353">
        <v>0</v>
      </c>
      <c r="T18353" t="s">
        <v>85008</v>
      </c>
    </row>
    <row r="18354" spans="1:20" customFormat="1" ht="15" x14ac:dyDescent="0.25">
      <c r="A18354" t="s">
        <v>24</v>
      </c>
      <c r="B18354" t="s">
        <v>675</v>
      </c>
      <c r="C18354" t="str">
        <f>"A0089810"</f>
        <v>A0089810</v>
      </c>
      <c r="D18354" t="s">
        <v>85009</v>
      </c>
      <c r="E18354" t="s">
        <v>85010</v>
      </c>
      <c r="F18354" t="s">
        <v>69929</v>
      </c>
      <c r="G18354" t="s">
        <v>81</v>
      </c>
      <c r="H18354">
        <v>33404</v>
      </c>
      <c r="I18354" t="s">
        <v>30</v>
      </c>
      <c r="J18354" t="s">
        <v>679</v>
      </c>
      <c r="K18354" t="s">
        <v>680</v>
      </c>
      <c r="N18354" t="s">
        <v>85011</v>
      </c>
      <c r="Q18354">
        <v>0</v>
      </c>
      <c r="R18354">
        <v>242</v>
      </c>
      <c r="S18354">
        <v>0</v>
      </c>
      <c r="T18354" t="s">
        <v>85012</v>
      </c>
    </row>
    <row r="18355" spans="1:20" customFormat="1" ht="15" x14ac:dyDescent="0.25">
      <c r="A18355" t="s">
        <v>24</v>
      </c>
      <c r="B18355" t="s">
        <v>56443</v>
      </c>
      <c r="C18355" t="str">
        <f>"A0165471"</f>
        <v>A0165471</v>
      </c>
      <c r="D18355" t="s">
        <v>67155</v>
      </c>
      <c r="E18355" t="s">
        <v>67156</v>
      </c>
      <c r="F18355" t="s">
        <v>67157</v>
      </c>
      <c r="G18355" t="s">
        <v>1706</v>
      </c>
      <c r="H18355">
        <v>35022</v>
      </c>
      <c r="I18355" t="s">
        <v>30</v>
      </c>
      <c r="J18355" t="s">
        <v>31</v>
      </c>
      <c r="K18355" t="s">
        <v>163</v>
      </c>
      <c r="N18355" t="s">
        <v>13798</v>
      </c>
      <c r="Q18355">
        <v>0</v>
      </c>
      <c r="R18355">
        <v>84</v>
      </c>
      <c r="S18355">
        <v>0</v>
      </c>
      <c r="T18355" t="s">
        <v>67158</v>
      </c>
    </row>
    <row r="18356" spans="1:20" customFormat="1" ht="15" x14ac:dyDescent="0.25">
      <c r="A18356" t="s">
        <v>24</v>
      </c>
      <c r="B18356" t="s">
        <v>2360</v>
      </c>
      <c r="C18356" t="str">
        <f>"A0049936"</f>
        <v>A0049936</v>
      </c>
      <c r="D18356" t="s">
        <v>67159</v>
      </c>
      <c r="E18356" t="s">
        <v>67160</v>
      </c>
      <c r="F18356" t="s">
        <v>67161</v>
      </c>
      <c r="G18356" t="s">
        <v>99</v>
      </c>
      <c r="H18356">
        <v>11725</v>
      </c>
      <c r="I18356" t="s">
        <v>30</v>
      </c>
      <c r="J18356" t="s">
        <v>178</v>
      </c>
      <c r="K18356" t="s">
        <v>56092</v>
      </c>
      <c r="N18356" t="s">
        <v>67162</v>
      </c>
      <c r="O18356" t="s">
        <v>67163</v>
      </c>
      <c r="P18356" t="s">
        <v>992</v>
      </c>
      <c r="Q18356">
        <v>1</v>
      </c>
      <c r="R18356">
        <v>18</v>
      </c>
      <c r="S18356">
        <v>0</v>
      </c>
      <c r="T18356" t="s">
        <v>67164</v>
      </c>
    </row>
    <row r="18357" spans="1:20" customFormat="1" ht="15" x14ac:dyDescent="0.25">
      <c r="A18357" t="s">
        <v>24</v>
      </c>
      <c r="B18357" t="s">
        <v>57512</v>
      </c>
      <c r="C18357" t="str">
        <f>"A0075626"</f>
        <v>A0075626</v>
      </c>
      <c r="D18357" t="s">
        <v>67165</v>
      </c>
      <c r="E18357" t="s">
        <v>67166</v>
      </c>
      <c r="F18357" t="s">
        <v>67167</v>
      </c>
      <c r="G18357" t="s">
        <v>1706</v>
      </c>
      <c r="H18357">
        <v>35763</v>
      </c>
      <c r="I18357" t="s">
        <v>30</v>
      </c>
      <c r="J18357" t="s">
        <v>2415</v>
      </c>
      <c r="K18357" t="s">
        <v>179</v>
      </c>
      <c r="P18357" t="s">
        <v>6426</v>
      </c>
      <c r="Q18357">
        <v>3</v>
      </c>
      <c r="R18357">
        <v>0</v>
      </c>
      <c r="S18357">
        <v>0</v>
      </c>
      <c r="T18357" t="s">
        <v>67168</v>
      </c>
    </row>
    <row r="18358" spans="1:20" customFormat="1" ht="15" x14ac:dyDescent="0.25">
      <c r="A18358" t="s">
        <v>24</v>
      </c>
      <c r="B18358" t="s">
        <v>2955</v>
      </c>
      <c r="C18358" t="str">
        <f>"88HM101"</f>
        <v>88HM101</v>
      </c>
      <c r="D18358" t="s">
        <v>67169</v>
      </c>
      <c r="E18358" t="s">
        <v>67170</v>
      </c>
      <c r="F18358" t="s">
        <v>6873</v>
      </c>
      <c r="G18358" t="s">
        <v>47</v>
      </c>
      <c r="H18358">
        <v>97504</v>
      </c>
      <c r="I18358" t="s">
        <v>30</v>
      </c>
      <c r="J18358" t="s">
        <v>31</v>
      </c>
      <c r="K18358" t="s">
        <v>198</v>
      </c>
      <c r="N18358" t="s">
        <v>67171</v>
      </c>
      <c r="O18358" t="s">
        <v>67172</v>
      </c>
      <c r="Q18358">
        <v>0</v>
      </c>
      <c r="R18358">
        <v>75</v>
      </c>
      <c r="S18358">
        <v>0</v>
      </c>
      <c r="T18358" t="s">
        <v>67173</v>
      </c>
    </row>
    <row r="18359" spans="1:20" customFormat="1" ht="15" x14ac:dyDescent="0.25">
      <c r="A18359" t="s">
        <v>24</v>
      </c>
      <c r="B18359" t="s">
        <v>13807</v>
      </c>
      <c r="C18359" t="str">
        <f>"88HM006"</f>
        <v>88HM006</v>
      </c>
      <c r="D18359" t="s">
        <v>67174</v>
      </c>
      <c r="E18359" t="s">
        <v>67175</v>
      </c>
      <c r="F18359" t="s">
        <v>1223</v>
      </c>
      <c r="G18359" t="s">
        <v>846</v>
      </c>
      <c r="H18359">
        <v>30092</v>
      </c>
      <c r="I18359" t="s">
        <v>30</v>
      </c>
      <c r="J18359" t="s">
        <v>31</v>
      </c>
      <c r="K18359" t="s">
        <v>198</v>
      </c>
      <c r="N18359" t="s">
        <v>67176</v>
      </c>
      <c r="O18359" t="s">
        <v>67177</v>
      </c>
      <c r="Q18359">
        <v>0</v>
      </c>
      <c r="R18359">
        <v>149</v>
      </c>
      <c r="S18359">
        <v>0</v>
      </c>
      <c r="T18359" t="s">
        <v>67178</v>
      </c>
    </row>
    <row r="18360" spans="1:20" customFormat="1" ht="15" x14ac:dyDescent="0.25">
      <c r="A18360" t="s">
        <v>24</v>
      </c>
      <c r="B18360" t="s">
        <v>2528</v>
      </c>
      <c r="C18360" t="str">
        <f>"A0091924"</f>
        <v>A0091924</v>
      </c>
      <c r="D18360" t="s">
        <v>67179</v>
      </c>
      <c r="E18360" t="s">
        <v>67180</v>
      </c>
      <c r="F18360" t="s">
        <v>6593</v>
      </c>
      <c r="G18360" t="s">
        <v>2450</v>
      </c>
      <c r="H18360">
        <v>4101</v>
      </c>
      <c r="I18360" t="s">
        <v>30</v>
      </c>
      <c r="J18360" t="s">
        <v>31</v>
      </c>
      <c r="K18360" t="s">
        <v>198</v>
      </c>
      <c r="N18360" t="s">
        <v>15003</v>
      </c>
      <c r="O18360" t="s">
        <v>67181</v>
      </c>
      <c r="Q18360">
        <v>0</v>
      </c>
      <c r="R18360">
        <v>122</v>
      </c>
      <c r="S18360">
        <v>0</v>
      </c>
      <c r="T18360" t="s">
        <v>67182</v>
      </c>
    </row>
    <row r="18361" spans="1:20" customFormat="1" ht="15" x14ac:dyDescent="0.25">
      <c r="A18361" t="s">
        <v>24</v>
      </c>
      <c r="B18361" t="s">
        <v>4400</v>
      </c>
      <c r="C18361" t="str">
        <f>"88HM066"</f>
        <v>88HM066</v>
      </c>
      <c r="D18361" t="s">
        <v>67183</v>
      </c>
      <c r="E18361" t="s">
        <v>67184</v>
      </c>
      <c r="F18361" t="s">
        <v>60297</v>
      </c>
      <c r="G18361" t="s">
        <v>161</v>
      </c>
      <c r="H18361">
        <v>55125</v>
      </c>
      <c r="I18361" t="s">
        <v>30</v>
      </c>
      <c r="J18361" t="s">
        <v>31</v>
      </c>
      <c r="K18361" t="s">
        <v>198</v>
      </c>
      <c r="N18361" t="s">
        <v>67185</v>
      </c>
      <c r="Q18361">
        <v>0</v>
      </c>
      <c r="R18361">
        <v>63</v>
      </c>
      <c r="S18361">
        <v>0</v>
      </c>
      <c r="T18361" t="s">
        <v>67186</v>
      </c>
    </row>
    <row r="18362" spans="1:20" customFormat="1" ht="15" x14ac:dyDescent="0.25">
      <c r="A18362" t="s">
        <v>24</v>
      </c>
      <c r="B18362" t="s">
        <v>6363</v>
      </c>
      <c r="C18362" t="str">
        <f>"A0158472"</f>
        <v>A0158472</v>
      </c>
      <c r="D18362" t="s">
        <v>67187</v>
      </c>
      <c r="E18362" t="s">
        <v>67188</v>
      </c>
      <c r="F18362" t="s">
        <v>2971</v>
      </c>
      <c r="G18362" t="s">
        <v>880</v>
      </c>
      <c r="H18362">
        <v>37203</v>
      </c>
      <c r="I18362" t="s">
        <v>30</v>
      </c>
      <c r="J18362" t="s">
        <v>31</v>
      </c>
      <c r="K18362" t="s">
        <v>198</v>
      </c>
      <c r="N18362" t="s">
        <v>67189</v>
      </c>
      <c r="O18362" t="s">
        <v>67190</v>
      </c>
      <c r="Q18362">
        <v>0</v>
      </c>
      <c r="R18362">
        <v>169</v>
      </c>
      <c r="S18362">
        <v>0</v>
      </c>
      <c r="T18362" t="s">
        <v>67191</v>
      </c>
    </row>
    <row r="18363" spans="1:20" customFormat="1" ht="15" x14ac:dyDescent="0.25">
      <c r="A18363" t="s">
        <v>24</v>
      </c>
      <c r="B18363" t="s">
        <v>13679</v>
      </c>
      <c r="C18363" t="str">
        <f>"A0066161"</f>
        <v>A0066161</v>
      </c>
      <c r="D18363" t="s">
        <v>67192</v>
      </c>
      <c r="E18363" t="s">
        <v>67193</v>
      </c>
      <c r="F18363" t="s">
        <v>1622</v>
      </c>
      <c r="G18363" t="s">
        <v>29</v>
      </c>
      <c r="H18363">
        <v>22303</v>
      </c>
      <c r="I18363" t="s">
        <v>30</v>
      </c>
      <c r="J18363" t="s">
        <v>31</v>
      </c>
      <c r="K18363" t="s">
        <v>198</v>
      </c>
      <c r="N18363" t="s">
        <v>67194</v>
      </c>
      <c r="Q18363">
        <v>0</v>
      </c>
      <c r="R18363">
        <v>213</v>
      </c>
      <c r="S18363">
        <v>0</v>
      </c>
      <c r="T18363" t="s">
        <v>67195</v>
      </c>
    </row>
    <row r="18364" spans="1:20" customFormat="1" ht="15" x14ac:dyDescent="0.25">
      <c r="A18364" t="s">
        <v>24</v>
      </c>
      <c r="B18364" t="s">
        <v>55951</v>
      </c>
      <c r="C18364" t="str">
        <f>"A0067883"</f>
        <v>A0067883</v>
      </c>
      <c r="D18364" t="s">
        <v>67196</v>
      </c>
      <c r="E18364" t="s">
        <v>67197</v>
      </c>
      <c r="F18364" t="s">
        <v>67198</v>
      </c>
      <c r="G18364" t="s">
        <v>81</v>
      </c>
      <c r="H18364">
        <v>32034</v>
      </c>
      <c r="I18364" t="s">
        <v>30</v>
      </c>
      <c r="J18364" t="s">
        <v>31</v>
      </c>
      <c r="K18364" t="s">
        <v>198</v>
      </c>
      <c r="N18364" t="s">
        <v>67199</v>
      </c>
      <c r="O18364" t="s">
        <v>67200</v>
      </c>
      <c r="Q18364">
        <v>0</v>
      </c>
      <c r="R18364">
        <v>122</v>
      </c>
      <c r="S18364">
        <v>0</v>
      </c>
      <c r="T18364" t="s">
        <v>67201</v>
      </c>
    </row>
    <row r="18365" spans="1:20" customFormat="1" ht="15" x14ac:dyDescent="0.25">
      <c r="A18365" t="s">
        <v>24</v>
      </c>
      <c r="B18365" t="s">
        <v>8579</v>
      </c>
      <c r="C18365" t="str">
        <f>"88HM083"</f>
        <v>88HM083</v>
      </c>
      <c r="D18365" t="s">
        <v>67202</v>
      </c>
      <c r="E18365" t="s">
        <v>67203</v>
      </c>
      <c r="F18365" t="s">
        <v>8319</v>
      </c>
      <c r="G18365" t="s">
        <v>110</v>
      </c>
      <c r="H18365">
        <v>92840</v>
      </c>
      <c r="I18365" t="s">
        <v>30</v>
      </c>
      <c r="J18365" t="s">
        <v>31</v>
      </c>
      <c r="K18365" t="s">
        <v>198</v>
      </c>
      <c r="N18365" t="s">
        <v>67204</v>
      </c>
      <c r="O18365" t="s">
        <v>67205</v>
      </c>
      <c r="Q18365">
        <v>0</v>
      </c>
      <c r="R18365">
        <v>172</v>
      </c>
      <c r="S18365">
        <v>0</v>
      </c>
      <c r="T18365" t="s">
        <v>67206</v>
      </c>
    </row>
    <row r="18366" spans="1:20" customFormat="1" ht="15" x14ac:dyDescent="0.25">
      <c r="A18366" t="s">
        <v>24</v>
      </c>
      <c r="B18366" t="s">
        <v>1020</v>
      </c>
      <c r="C18366" t="str">
        <f>"A0063882"</f>
        <v>A0063882</v>
      </c>
      <c r="D18366" t="s">
        <v>67207</v>
      </c>
      <c r="E18366" t="s">
        <v>67208</v>
      </c>
      <c r="F18366" t="s">
        <v>281</v>
      </c>
      <c r="G18366" t="s">
        <v>123</v>
      </c>
      <c r="H18366">
        <v>21401</v>
      </c>
      <c r="I18366" t="s">
        <v>30</v>
      </c>
      <c r="J18366" t="s">
        <v>31</v>
      </c>
      <c r="K18366" t="s">
        <v>198</v>
      </c>
      <c r="N18366" t="s">
        <v>63052</v>
      </c>
      <c r="Q18366">
        <v>0</v>
      </c>
      <c r="R18366">
        <v>117</v>
      </c>
      <c r="S18366">
        <v>0</v>
      </c>
      <c r="T18366" t="s">
        <v>67209</v>
      </c>
    </row>
    <row r="18367" spans="1:20" customFormat="1" ht="15" x14ac:dyDescent="0.25">
      <c r="A18367" t="s">
        <v>24</v>
      </c>
      <c r="B18367" t="s">
        <v>9391</v>
      </c>
      <c r="C18367" t="str">
        <f>"A0148743"</f>
        <v>A0148743</v>
      </c>
      <c r="D18367" t="s">
        <v>67210</v>
      </c>
      <c r="E18367" t="s">
        <v>67211</v>
      </c>
      <c r="F18367" t="s">
        <v>5567</v>
      </c>
      <c r="G18367" t="s">
        <v>846</v>
      </c>
      <c r="H18367">
        <v>30030</v>
      </c>
      <c r="I18367" t="s">
        <v>30</v>
      </c>
      <c r="J18367" t="s">
        <v>31</v>
      </c>
      <c r="K18367" t="s">
        <v>198</v>
      </c>
      <c r="N18367" t="s">
        <v>67212</v>
      </c>
      <c r="O18367" t="s">
        <v>67213</v>
      </c>
      <c r="Q18367">
        <v>0</v>
      </c>
      <c r="R18367">
        <v>145</v>
      </c>
      <c r="S18367">
        <v>0</v>
      </c>
      <c r="T18367" t="s">
        <v>67214</v>
      </c>
    </row>
    <row r="18368" spans="1:20" customFormat="1" ht="15" x14ac:dyDescent="0.25">
      <c r="A18368" t="s">
        <v>24</v>
      </c>
      <c r="B18368" t="s">
        <v>342</v>
      </c>
      <c r="C18368" t="str">
        <f>"A0092156"</f>
        <v>A0092156</v>
      </c>
      <c r="D18368" t="s">
        <v>67215</v>
      </c>
      <c r="E18368" t="s">
        <v>67216</v>
      </c>
      <c r="F18368" t="s">
        <v>845</v>
      </c>
      <c r="G18368" t="s">
        <v>846</v>
      </c>
      <c r="H18368">
        <v>30303</v>
      </c>
      <c r="I18368" t="s">
        <v>30</v>
      </c>
      <c r="J18368" t="s">
        <v>31</v>
      </c>
      <c r="K18368" t="s">
        <v>198</v>
      </c>
      <c r="N18368" t="s">
        <v>67217</v>
      </c>
      <c r="O18368" t="s">
        <v>67218</v>
      </c>
      <c r="Q18368">
        <v>0</v>
      </c>
      <c r="R18368">
        <v>119</v>
      </c>
      <c r="S18368">
        <v>0</v>
      </c>
      <c r="T18368" t="s">
        <v>67219</v>
      </c>
    </row>
    <row r="18369" spans="1:20" customFormat="1" ht="15" x14ac:dyDescent="0.25">
      <c r="A18369" t="s">
        <v>24</v>
      </c>
      <c r="B18369" t="s">
        <v>13299</v>
      </c>
      <c r="C18369" t="str">
        <f>"A0097844"</f>
        <v>A0097844</v>
      </c>
      <c r="D18369" t="s">
        <v>67220</v>
      </c>
      <c r="E18369" t="s">
        <v>67221</v>
      </c>
      <c r="F18369" t="s">
        <v>9854</v>
      </c>
      <c r="G18369" t="s">
        <v>846</v>
      </c>
      <c r="H18369">
        <v>30907</v>
      </c>
      <c r="I18369" t="s">
        <v>30</v>
      </c>
      <c r="J18369" t="s">
        <v>31</v>
      </c>
      <c r="K18369" t="s">
        <v>198</v>
      </c>
      <c r="N18369" t="s">
        <v>67222</v>
      </c>
      <c r="Q18369">
        <v>0</v>
      </c>
      <c r="R18369">
        <v>126</v>
      </c>
      <c r="S18369">
        <v>0</v>
      </c>
      <c r="T18369" t="s">
        <v>67223</v>
      </c>
    </row>
    <row r="18370" spans="1:20" customFormat="1" ht="15" x14ac:dyDescent="0.25">
      <c r="A18370" t="s">
        <v>24</v>
      </c>
      <c r="B18370" t="s">
        <v>58814</v>
      </c>
      <c r="C18370" t="str">
        <f>"A0164852"</f>
        <v>A0164852</v>
      </c>
      <c r="D18370" t="s">
        <v>67224</v>
      </c>
      <c r="E18370" t="s">
        <v>67225</v>
      </c>
      <c r="F18370" t="s">
        <v>58817</v>
      </c>
      <c r="G18370" t="s">
        <v>381</v>
      </c>
      <c r="H18370">
        <v>46123</v>
      </c>
      <c r="I18370" t="s">
        <v>30</v>
      </c>
      <c r="J18370" t="s">
        <v>31</v>
      </c>
      <c r="K18370" t="s">
        <v>198</v>
      </c>
      <c r="N18370" t="s">
        <v>64549</v>
      </c>
      <c r="Q18370">
        <v>0</v>
      </c>
      <c r="R18370">
        <v>110</v>
      </c>
      <c r="S18370">
        <v>0</v>
      </c>
      <c r="T18370" t="s">
        <v>67226</v>
      </c>
    </row>
    <row r="18371" spans="1:20" customFormat="1" ht="15" x14ac:dyDescent="0.25">
      <c r="A18371" t="s">
        <v>24</v>
      </c>
      <c r="B18371" t="s">
        <v>2955</v>
      </c>
      <c r="C18371" t="str">
        <f>"A0057657"</f>
        <v>A0057657</v>
      </c>
      <c r="D18371" t="s">
        <v>67227</v>
      </c>
      <c r="E18371" t="s">
        <v>67228</v>
      </c>
      <c r="F18371" t="s">
        <v>11700</v>
      </c>
      <c r="G18371" t="s">
        <v>880</v>
      </c>
      <c r="H18371">
        <v>38138</v>
      </c>
      <c r="I18371" t="s">
        <v>30</v>
      </c>
      <c r="J18371" t="s">
        <v>31</v>
      </c>
      <c r="K18371" t="s">
        <v>198</v>
      </c>
      <c r="N18371" t="s">
        <v>67229</v>
      </c>
      <c r="O18371" t="s">
        <v>67230</v>
      </c>
      <c r="Q18371">
        <v>0</v>
      </c>
      <c r="R18371">
        <v>155</v>
      </c>
      <c r="S18371">
        <v>0</v>
      </c>
      <c r="T18371" t="s">
        <v>67231</v>
      </c>
    </row>
    <row r="18372" spans="1:20" customFormat="1" ht="15" x14ac:dyDescent="0.25">
      <c r="A18372" t="s">
        <v>24</v>
      </c>
      <c r="B18372" t="s">
        <v>6363</v>
      </c>
      <c r="C18372" t="str">
        <f>"A0099686"</f>
        <v>A0099686</v>
      </c>
      <c r="D18372" t="s">
        <v>67232</v>
      </c>
      <c r="E18372" t="s">
        <v>67233</v>
      </c>
      <c r="F18372" t="s">
        <v>7921</v>
      </c>
      <c r="G18372" t="s">
        <v>880</v>
      </c>
      <c r="H18372">
        <v>37064</v>
      </c>
      <c r="I18372" t="s">
        <v>30</v>
      </c>
      <c r="J18372" t="s">
        <v>31</v>
      </c>
      <c r="K18372" t="s">
        <v>198</v>
      </c>
      <c r="N18372" t="s">
        <v>67234</v>
      </c>
      <c r="Q18372">
        <v>0</v>
      </c>
      <c r="R18372">
        <v>124</v>
      </c>
      <c r="S18372">
        <v>0</v>
      </c>
      <c r="T18372" t="s">
        <v>67235</v>
      </c>
    </row>
    <row r="18373" spans="1:20" customFormat="1" ht="15" x14ac:dyDescent="0.25">
      <c r="A18373" t="s">
        <v>24</v>
      </c>
      <c r="B18373" t="s">
        <v>11484</v>
      </c>
      <c r="C18373" t="str">
        <f>"A0100579"</f>
        <v>A0100579</v>
      </c>
      <c r="D18373" t="s">
        <v>67236</v>
      </c>
      <c r="E18373" t="s">
        <v>67237</v>
      </c>
      <c r="F18373" t="s">
        <v>5706</v>
      </c>
      <c r="G18373" t="s">
        <v>1706</v>
      </c>
      <c r="H18373">
        <v>35203</v>
      </c>
      <c r="I18373" t="s">
        <v>30</v>
      </c>
      <c r="J18373" t="s">
        <v>31</v>
      </c>
      <c r="K18373" t="s">
        <v>198</v>
      </c>
      <c r="N18373" t="s">
        <v>67238</v>
      </c>
      <c r="Q18373">
        <v>0</v>
      </c>
      <c r="R18373">
        <v>149</v>
      </c>
      <c r="S18373">
        <v>0</v>
      </c>
      <c r="T18373" t="s">
        <v>67239</v>
      </c>
    </row>
    <row r="18374" spans="1:20" customFormat="1" ht="15" x14ac:dyDescent="0.25">
      <c r="A18374" t="s">
        <v>24</v>
      </c>
      <c r="B18374" t="s">
        <v>4400</v>
      </c>
      <c r="C18374" t="str">
        <f>"A0078343"</f>
        <v>A0078343</v>
      </c>
      <c r="D18374" t="s">
        <v>67240</v>
      </c>
      <c r="E18374" t="s">
        <v>67241</v>
      </c>
      <c r="F18374" t="s">
        <v>57222</v>
      </c>
      <c r="G18374" t="s">
        <v>289</v>
      </c>
      <c r="H18374">
        <v>61761</v>
      </c>
      <c r="I18374" t="s">
        <v>30</v>
      </c>
      <c r="J18374" t="s">
        <v>31</v>
      </c>
      <c r="K18374" t="s">
        <v>198</v>
      </c>
      <c r="N18374" t="s">
        <v>67242</v>
      </c>
      <c r="Q18374">
        <v>0</v>
      </c>
      <c r="R18374">
        <v>128</v>
      </c>
      <c r="S18374">
        <v>0</v>
      </c>
      <c r="T18374" t="s">
        <v>67243</v>
      </c>
    </row>
    <row r="18375" spans="1:20" customFormat="1" ht="15" x14ac:dyDescent="0.25">
      <c r="A18375" t="s">
        <v>24</v>
      </c>
      <c r="B18375" t="s">
        <v>342</v>
      </c>
      <c r="C18375" t="str">
        <f>"A0100839"</f>
        <v>A0100839</v>
      </c>
      <c r="D18375" t="s">
        <v>67244</v>
      </c>
      <c r="E18375" t="s">
        <v>67245</v>
      </c>
      <c r="F18375" t="s">
        <v>845</v>
      </c>
      <c r="G18375" t="s">
        <v>846</v>
      </c>
      <c r="H18375">
        <v>30308</v>
      </c>
      <c r="I18375" t="s">
        <v>30</v>
      </c>
      <c r="J18375" t="s">
        <v>31</v>
      </c>
      <c r="K18375" t="s">
        <v>198</v>
      </c>
      <c r="N18375" t="s">
        <v>67246</v>
      </c>
      <c r="O18375" t="s">
        <v>67247</v>
      </c>
      <c r="Q18375">
        <v>0</v>
      </c>
      <c r="R18375">
        <v>186</v>
      </c>
      <c r="S18375">
        <v>0</v>
      </c>
      <c r="T18375" t="s">
        <v>67248</v>
      </c>
    </row>
    <row r="18376" spans="1:20" customFormat="1" ht="15" x14ac:dyDescent="0.25">
      <c r="A18376" t="s">
        <v>24</v>
      </c>
      <c r="B18376" t="s">
        <v>1020</v>
      </c>
      <c r="C18376" t="str">
        <f>"A0090940"</f>
        <v>A0090940</v>
      </c>
      <c r="D18376" t="s">
        <v>67249</v>
      </c>
      <c r="E18376" t="s">
        <v>67250</v>
      </c>
      <c r="F18376" t="s">
        <v>59092</v>
      </c>
      <c r="G18376" t="s">
        <v>52</v>
      </c>
      <c r="H18376">
        <v>78610</v>
      </c>
      <c r="I18376" t="s">
        <v>30</v>
      </c>
      <c r="J18376" t="s">
        <v>31</v>
      </c>
      <c r="K18376" t="s">
        <v>198</v>
      </c>
      <c r="N18376" t="s">
        <v>67251</v>
      </c>
      <c r="O18376" t="s">
        <v>59094</v>
      </c>
      <c r="Q18376">
        <v>0</v>
      </c>
      <c r="R18376">
        <v>74</v>
      </c>
      <c r="S18376">
        <v>0</v>
      </c>
      <c r="T18376" t="s">
        <v>67252</v>
      </c>
    </row>
    <row r="18377" spans="1:20" customFormat="1" ht="15" x14ac:dyDescent="0.25">
      <c r="A18377" t="s">
        <v>24</v>
      </c>
      <c r="B18377" t="s">
        <v>64635</v>
      </c>
      <c r="C18377" t="str">
        <f>"A0098014"</f>
        <v>A0098014</v>
      </c>
      <c r="D18377" t="s">
        <v>10724</v>
      </c>
      <c r="E18377" t="s">
        <v>67253</v>
      </c>
      <c r="F18377" t="s">
        <v>2390</v>
      </c>
      <c r="G18377" t="s">
        <v>1898</v>
      </c>
      <c r="H18377">
        <v>52601</v>
      </c>
      <c r="I18377" t="s">
        <v>30</v>
      </c>
      <c r="J18377" t="s">
        <v>31</v>
      </c>
      <c r="K18377" t="s">
        <v>198</v>
      </c>
      <c r="N18377" t="s">
        <v>67254</v>
      </c>
      <c r="Q18377">
        <v>0</v>
      </c>
      <c r="R18377">
        <v>87</v>
      </c>
      <c r="S18377">
        <v>0</v>
      </c>
      <c r="T18377" t="s">
        <v>67255</v>
      </c>
    </row>
    <row r="18378" spans="1:20" customFormat="1" ht="15" x14ac:dyDescent="0.25">
      <c r="A18378" t="s">
        <v>24</v>
      </c>
      <c r="B18378" t="s">
        <v>59336</v>
      </c>
      <c r="C18378" t="str">
        <f>"A0099947"</f>
        <v>A0099947</v>
      </c>
      <c r="D18378" t="s">
        <v>67256</v>
      </c>
      <c r="E18378" t="s">
        <v>67257</v>
      </c>
      <c r="F18378" t="s">
        <v>59339</v>
      </c>
      <c r="G18378" t="s">
        <v>123</v>
      </c>
      <c r="H18378">
        <v>20746</v>
      </c>
      <c r="I18378" t="s">
        <v>30</v>
      </c>
      <c r="J18378" t="s">
        <v>31</v>
      </c>
      <c r="K18378" t="s">
        <v>198</v>
      </c>
      <c r="N18378" t="s">
        <v>67258</v>
      </c>
      <c r="Q18378">
        <v>0</v>
      </c>
      <c r="R18378">
        <v>117</v>
      </c>
      <c r="S18378">
        <v>0</v>
      </c>
      <c r="T18378" t="s">
        <v>67259</v>
      </c>
    </row>
    <row r="18379" spans="1:20" customFormat="1" ht="15" x14ac:dyDescent="0.25">
      <c r="A18379" t="s">
        <v>24</v>
      </c>
      <c r="B18379" t="s">
        <v>342</v>
      </c>
      <c r="C18379" t="str">
        <f>"A0095550"</f>
        <v>A0095550</v>
      </c>
      <c r="D18379" t="s">
        <v>67260</v>
      </c>
      <c r="E18379" t="s">
        <v>67261</v>
      </c>
      <c r="F18379" t="s">
        <v>67262</v>
      </c>
      <c r="G18379" t="s">
        <v>81</v>
      </c>
      <c r="H18379">
        <v>33904</v>
      </c>
      <c r="I18379" t="s">
        <v>30</v>
      </c>
      <c r="J18379" t="s">
        <v>31</v>
      </c>
      <c r="K18379" t="s">
        <v>198</v>
      </c>
      <c r="N18379" t="s">
        <v>67263</v>
      </c>
      <c r="Q18379">
        <v>0</v>
      </c>
      <c r="R18379">
        <v>75</v>
      </c>
      <c r="S18379">
        <v>0</v>
      </c>
      <c r="T18379" t="s">
        <v>67264</v>
      </c>
    </row>
    <row r="18380" spans="1:20" customFormat="1" ht="15" x14ac:dyDescent="0.25">
      <c r="A18380" t="s">
        <v>24</v>
      </c>
      <c r="B18380" t="s">
        <v>1192</v>
      </c>
      <c r="C18380" t="str">
        <f>"A0093934"</f>
        <v>A0093934</v>
      </c>
      <c r="D18380" t="s">
        <v>67265</v>
      </c>
      <c r="E18380" t="s">
        <v>67266</v>
      </c>
      <c r="F18380" t="s">
        <v>67267</v>
      </c>
      <c r="G18380" t="s">
        <v>103</v>
      </c>
      <c r="H18380">
        <v>19342</v>
      </c>
      <c r="I18380" t="s">
        <v>30</v>
      </c>
      <c r="J18380" t="s">
        <v>31</v>
      </c>
      <c r="K18380" t="s">
        <v>198</v>
      </c>
      <c r="N18380" t="s">
        <v>67268</v>
      </c>
      <c r="Q18380">
        <v>0</v>
      </c>
      <c r="R18380">
        <v>124</v>
      </c>
      <c r="S18380">
        <v>0</v>
      </c>
      <c r="T18380" t="s">
        <v>67269</v>
      </c>
    </row>
    <row r="18381" spans="1:20" customFormat="1" ht="15" x14ac:dyDescent="0.25">
      <c r="A18381" t="s">
        <v>24</v>
      </c>
      <c r="B18381" t="s">
        <v>7051</v>
      </c>
      <c r="C18381" t="str">
        <f>"A0098850"</f>
        <v>A0098850</v>
      </c>
      <c r="D18381" t="s">
        <v>67270</v>
      </c>
      <c r="E18381" t="s">
        <v>67271</v>
      </c>
      <c r="F18381" t="s">
        <v>242</v>
      </c>
      <c r="G18381" t="s">
        <v>214</v>
      </c>
      <c r="H18381">
        <v>28277</v>
      </c>
      <c r="I18381" t="s">
        <v>30</v>
      </c>
      <c r="J18381" t="s">
        <v>31</v>
      </c>
      <c r="K18381" t="s">
        <v>198</v>
      </c>
      <c r="N18381" t="s">
        <v>67272</v>
      </c>
      <c r="O18381" t="s">
        <v>7055</v>
      </c>
      <c r="Q18381">
        <v>0</v>
      </c>
      <c r="R18381">
        <v>120</v>
      </c>
      <c r="S18381">
        <v>0</v>
      </c>
      <c r="T18381" t="s">
        <v>67273</v>
      </c>
    </row>
    <row r="18382" spans="1:20" customFormat="1" ht="15" x14ac:dyDescent="0.25">
      <c r="A18382" t="s">
        <v>24</v>
      </c>
      <c r="B18382" t="s">
        <v>3343</v>
      </c>
      <c r="C18382" t="str">
        <f>"A0062494"</f>
        <v>A0062494</v>
      </c>
      <c r="D18382" t="s">
        <v>67274</v>
      </c>
      <c r="E18382" t="s">
        <v>67275</v>
      </c>
      <c r="F18382" t="s">
        <v>14907</v>
      </c>
      <c r="G18382" t="s">
        <v>214</v>
      </c>
      <c r="H18382">
        <v>28134</v>
      </c>
      <c r="I18382" t="s">
        <v>30</v>
      </c>
      <c r="J18382" t="s">
        <v>31</v>
      </c>
      <c r="K18382" t="s">
        <v>198</v>
      </c>
      <c r="N18382" t="s">
        <v>67276</v>
      </c>
      <c r="Q18382">
        <v>0</v>
      </c>
      <c r="R18382">
        <v>111</v>
      </c>
      <c r="S18382">
        <v>0</v>
      </c>
      <c r="T18382" t="s">
        <v>67277</v>
      </c>
    </row>
    <row r="18383" spans="1:20" customFormat="1" ht="15" x14ac:dyDescent="0.25">
      <c r="A18383" t="s">
        <v>24</v>
      </c>
      <c r="B18383" t="s">
        <v>16448</v>
      </c>
      <c r="C18383" t="str">
        <f>"A0153927"</f>
        <v>A0153927</v>
      </c>
      <c r="D18383" t="s">
        <v>67278</v>
      </c>
      <c r="E18383" t="s">
        <v>67279</v>
      </c>
      <c r="F18383" t="s">
        <v>242</v>
      </c>
      <c r="G18383" t="s">
        <v>214</v>
      </c>
      <c r="H18383">
        <v>28208</v>
      </c>
      <c r="I18383" t="s">
        <v>30</v>
      </c>
      <c r="J18383" t="s">
        <v>31</v>
      </c>
      <c r="K18383" t="s">
        <v>198</v>
      </c>
      <c r="N18383" t="s">
        <v>67280</v>
      </c>
      <c r="O18383" t="s">
        <v>67281</v>
      </c>
      <c r="Q18383">
        <v>0</v>
      </c>
      <c r="R18383">
        <v>112</v>
      </c>
      <c r="S18383">
        <v>0</v>
      </c>
      <c r="T18383" t="s">
        <v>67282</v>
      </c>
    </row>
    <row r="18384" spans="1:20" customFormat="1" ht="15" x14ac:dyDescent="0.25">
      <c r="A18384" t="s">
        <v>24</v>
      </c>
      <c r="B18384" t="s">
        <v>342</v>
      </c>
      <c r="C18384" t="str">
        <f>"A0147935"</f>
        <v>A0147935</v>
      </c>
      <c r="D18384" t="s">
        <v>67283</v>
      </c>
      <c r="E18384" t="s">
        <v>67284</v>
      </c>
      <c r="F18384" t="s">
        <v>242</v>
      </c>
      <c r="G18384" t="s">
        <v>214</v>
      </c>
      <c r="H18384">
        <v>28273</v>
      </c>
      <c r="I18384" t="s">
        <v>30</v>
      </c>
      <c r="J18384" t="s">
        <v>31</v>
      </c>
      <c r="K18384" t="s">
        <v>198</v>
      </c>
      <c r="N18384" t="s">
        <v>67285</v>
      </c>
      <c r="O18384" t="s">
        <v>67286</v>
      </c>
      <c r="Q18384">
        <v>0</v>
      </c>
      <c r="R18384">
        <v>100</v>
      </c>
      <c r="S18384">
        <v>0</v>
      </c>
      <c r="T18384" t="s">
        <v>67287</v>
      </c>
    </row>
    <row r="18385" spans="1:20" customFormat="1" ht="15" x14ac:dyDescent="0.25">
      <c r="A18385" t="s">
        <v>24</v>
      </c>
      <c r="B18385" t="s">
        <v>9391</v>
      </c>
      <c r="C18385" t="str">
        <f>"A0092367"</f>
        <v>A0092367</v>
      </c>
      <c r="D18385" t="s">
        <v>67288</v>
      </c>
      <c r="E18385" t="s">
        <v>67289</v>
      </c>
      <c r="F18385" t="s">
        <v>1346</v>
      </c>
      <c r="G18385" t="s">
        <v>880</v>
      </c>
      <c r="H18385">
        <v>37402</v>
      </c>
      <c r="I18385" t="s">
        <v>30</v>
      </c>
      <c r="J18385" t="s">
        <v>31</v>
      </c>
      <c r="K18385" t="s">
        <v>198</v>
      </c>
      <c r="N18385" t="s">
        <v>67290</v>
      </c>
      <c r="Q18385">
        <v>0</v>
      </c>
      <c r="R18385">
        <v>134</v>
      </c>
      <c r="S18385">
        <v>0</v>
      </c>
      <c r="T18385" t="s">
        <v>67291</v>
      </c>
    </row>
    <row r="18386" spans="1:20" customFormat="1" ht="15" x14ac:dyDescent="0.25">
      <c r="A18386" t="s">
        <v>24</v>
      </c>
      <c r="B18386" t="s">
        <v>9391</v>
      </c>
      <c r="C18386" t="str">
        <f>"A0095669"</f>
        <v>A0095669</v>
      </c>
      <c r="D18386" t="s">
        <v>67292</v>
      </c>
      <c r="E18386" t="s">
        <v>67293</v>
      </c>
      <c r="F18386" t="s">
        <v>1346</v>
      </c>
      <c r="G18386" t="s">
        <v>880</v>
      </c>
      <c r="H18386">
        <v>37421</v>
      </c>
      <c r="I18386" t="s">
        <v>30</v>
      </c>
      <c r="J18386" t="s">
        <v>31</v>
      </c>
      <c r="K18386" t="s">
        <v>198</v>
      </c>
      <c r="N18386" t="s">
        <v>67294</v>
      </c>
      <c r="Q18386">
        <v>0</v>
      </c>
      <c r="R18386">
        <v>134</v>
      </c>
      <c r="S18386">
        <v>0</v>
      </c>
      <c r="T18386" t="s">
        <v>67295</v>
      </c>
    </row>
    <row r="18387" spans="1:20" customFormat="1" ht="15" x14ac:dyDescent="0.25">
      <c r="A18387" t="s">
        <v>24</v>
      </c>
      <c r="B18387" t="s">
        <v>57575</v>
      </c>
      <c r="C18387" t="str">
        <f>"A0094545"</f>
        <v>A0094545</v>
      </c>
      <c r="D18387" t="s">
        <v>67296</v>
      </c>
      <c r="E18387" t="s">
        <v>67297</v>
      </c>
      <c r="F18387" t="s">
        <v>16286</v>
      </c>
      <c r="G18387" t="s">
        <v>29</v>
      </c>
      <c r="H18387">
        <v>23321</v>
      </c>
      <c r="I18387" t="s">
        <v>30</v>
      </c>
      <c r="J18387" t="s">
        <v>31</v>
      </c>
      <c r="K18387" t="s">
        <v>198</v>
      </c>
      <c r="N18387" t="s">
        <v>67298</v>
      </c>
      <c r="O18387" t="s">
        <v>57579</v>
      </c>
      <c r="Q18387">
        <v>0</v>
      </c>
      <c r="R18387">
        <v>86</v>
      </c>
      <c r="S18387">
        <v>0</v>
      </c>
      <c r="T18387" t="s">
        <v>67299</v>
      </c>
    </row>
    <row r="18388" spans="1:20" customFormat="1" ht="15" x14ac:dyDescent="0.25">
      <c r="A18388" t="s">
        <v>24</v>
      </c>
      <c r="B18388" t="s">
        <v>2583</v>
      </c>
      <c r="C18388" t="str">
        <f>"88HM033"</f>
        <v>88HM033</v>
      </c>
      <c r="D18388" t="s">
        <v>67300</v>
      </c>
      <c r="E18388" t="s">
        <v>67301</v>
      </c>
      <c r="F18388" t="s">
        <v>716</v>
      </c>
      <c r="G18388" t="s">
        <v>289</v>
      </c>
      <c r="H18388">
        <v>60610</v>
      </c>
      <c r="I18388" t="s">
        <v>30</v>
      </c>
      <c r="J18388" t="s">
        <v>31</v>
      </c>
      <c r="K18388" t="s">
        <v>198</v>
      </c>
      <c r="N18388" t="s">
        <v>67302</v>
      </c>
      <c r="O18388" t="s">
        <v>67303</v>
      </c>
      <c r="Q18388">
        <v>0</v>
      </c>
      <c r="R18388">
        <v>230</v>
      </c>
      <c r="S18388">
        <v>0</v>
      </c>
      <c r="T18388" t="s">
        <v>67304</v>
      </c>
    </row>
    <row r="18389" spans="1:20" customFormat="1" ht="15" x14ac:dyDescent="0.25">
      <c r="A18389" t="s">
        <v>24</v>
      </c>
      <c r="B18389" t="s">
        <v>1561</v>
      </c>
      <c r="C18389" t="str">
        <f>"A0146635"</f>
        <v>A0146635</v>
      </c>
      <c r="D18389" t="s">
        <v>67305</v>
      </c>
      <c r="E18389" t="s">
        <v>67306</v>
      </c>
      <c r="F18389" t="s">
        <v>35010</v>
      </c>
      <c r="G18389" t="s">
        <v>289</v>
      </c>
      <c r="H18389">
        <v>60085</v>
      </c>
      <c r="I18389" t="s">
        <v>30</v>
      </c>
      <c r="J18389" t="s">
        <v>31</v>
      </c>
      <c r="K18389" t="s">
        <v>198</v>
      </c>
      <c r="N18389" t="s">
        <v>67307</v>
      </c>
      <c r="O18389" t="s">
        <v>67308</v>
      </c>
      <c r="Q18389">
        <v>0</v>
      </c>
      <c r="R18389">
        <v>116</v>
      </c>
      <c r="S18389">
        <v>0</v>
      </c>
      <c r="T18389" t="s">
        <v>67309</v>
      </c>
    </row>
    <row r="18390" spans="1:20" customFormat="1" ht="15" x14ac:dyDescent="0.25">
      <c r="A18390" t="s">
        <v>24</v>
      </c>
      <c r="B18390" t="s">
        <v>6915</v>
      </c>
      <c r="C18390" t="str">
        <f>"A0094942"</f>
        <v>A0094942</v>
      </c>
      <c r="D18390" t="s">
        <v>67310</v>
      </c>
      <c r="E18390" t="s">
        <v>67311</v>
      </c>
      <c r="F18390" t="s">
        <v>1824</v>
      </c>
      <c r="G18390" t="s">
        <v>65</v>
      </c>
      <c r="H18390">
        <v>45069</v>
      </c>
      <c r="I18390" t="s">
        <v>30</v>
      </c>
      <c r="J18390" t="s">
        <v>31</v>
      </c>
      <c r="K18390" t="s">
        <v>198</v>
      </c>
      <c r="N18390" t="s">
        <v>67312</v>
      </c>
      <c r="Q18390">
        <v>0</v>
      </c>
      <c r="R18390">
        <v>100</v>
      </c>
      <c r="S18390">
        <v>0</v>
      </c>
      <c r="T18390" t="s">
        <v>67313</v>
      </c>
    </row>
    <row r="18391" spans="1:20" customFormat="1" ht="15" x14ac:dyDescent="0.25">
      <c r="A18391" t="s">
        <v>24</v>
      </c>
      <c r="B18391" t="s">
        <v>342</v>
      </c>
      <c r="C18391" t="str">
        <f>"A0100260"</f>
        <v>A0100260</v>
      </c>
      <c r="D18391" t="s">
        <v>67314</v>
      </c>
      <c r="E18391" t="s">
        <v>67315</v>
      </c>
      <c r="F18391" t="s">
        <v>7738</v>
      </c>
      <c r="G18391" t="s">
        <v>81</v>
      </c>
      <c r="H18391">
        <v>33767</v>
      </c>
      <c r="I18391" t="s">
        <v>30</v>
      </c>
      <c r="J18391" t="s">
        <v>31</v>
      </c>
      <c r="K18391" t="s">
        <v>198</v>
      </c>
      <c r="N18391" t="s">
        <v>67316</v>
      </c>
      <c r="O18391" t="s">
        <v>67317</v>
      </c>
      <c r="Q18391">
        <v>0</v>
      </c>
      <c r="R18391">
        <v>91</v>
      </c>
      <c r="S18391">
        <v>0</v>
      </c>
      <c r="T18391" t="s">
        <v>67318</v>
      </c>
    </row>
    <row r="18392" spans="1:20" customFormat="1" ht="15" x14ac:dyDescent="0.25">
      <c r="A18392" t="s">
        <v>24</v>
      </c>
      <c r="B18392" t="s">
        <v>13679</v>
      </c>
      <c r="C18392" t="str">
        <f>"A0091057"</f>
        <v>A0091057</v>
      </c>
      <c r="D18392" t="s">
        <v>67319</v>
      </c>
      <c r="E18392" t="s">
        <v>67320</v>
      </c>
      <c r="F18392" t="s">
        <v>64761</v>
      </c>
      <c r="G18392" t="s">
        <v>110</v>
      </c>
      <c r="H18392">
        <v>93612</v>
      </c>
      <c r="I18392" t="s">
        <v>30</v>
      </c>
      <c r="J18392" t="s">
        <v>31</v>
      </c>
      <c r="K18392" t="s">
        <v>198</v>
      </c>
      <c r="N18392" t="s">
        <v>67321</v>
      </c>
      <c r="Q18392">
        <v>0</v>
      </c>
      <c r="R18392">
        <v>86</v>
      </c>
      <c r="S18392">
        <v>0</v>
      </c>
      <c r="T18392" t="s">
        <v>67322</v>
      </c>
    </row>
    <row r="18393" spans="1:20" customFormat="1" ht="15" x14ac:dyDescent="0.25">
      <c r="A18393" t="s">
        <v>24</v>
      </c>
      <c r="B18393" t="s">
        <v>1561</v>
      </c>
      <c r="C18393" t="str">
        <f>"A0099079"</f>
        <v>A0099079</v>
      </c>
      <c r="D18393" t="s">
        <v>67323</v>
      </c>
      <c r="E18393" t="s">
        <v>67324</v>
      </c>
      <c r="F18393" t="s">
        <v>67325</v>
      </c>
      <c r="G18393" t="s">
        <v>52</v>
      </c>
      <c r="H18393">
        <v>76034</v>
      </c>
      <c r="I18393" t="s">
        <v>30</v>
      </c>
      <c r="J18393" t="s">
        <v>31</v>
      </c>
      <c r="K18393" t="s">
        <v>198</v>
      </c>
      <c r="N18393" t="s">
        <v>3267</v>
      </c>
      <c r="Q18393">
        <v>0</v>
      </c>
      <c r="R18393">
        <v>91</v>
      </c>
      <c r="S18393">
        <v>0</v>
      </c>
      <c r="T18393" t="s">
        <v>67326</v>
      </c>
    </row>
    <row r="18394" spans="1:20" customFormat="1" ht="15" x14ac:dyDescent="0.25">
      <c r="A18394" t="s">
        <v>24</v>
      </c>
      <c r="B18394" t="s">
        <v>6363</v>
      </c>
      <c r="C18394" t="str">
        <f>"A0084476"</f>
        <v>A0084476</v>
      </c>
      <c r="D18394" t="s">
        <v>67327</v>
      </c>
      <c r="E18394" t="s">
        <v>67328</v>
      </c>
      <c r="F18394" t="s">
        <v>1858</v>
      </c>
      <c r="G18394" t="s">
        <v>190</v>
      </c>
      <c r="H18394">
        <v>80906</v>
      </c>
      <c r="I18394" t="s">
        <v>30</v>
      </c>
      <c r="J18394" t="s">
        <v>31</v>
      </c>
      <c r="K18394" t="s">
        <v>198</v>
      </c>
      <c r="N18394" t="s">
        <v>67329</v>
      </c>
      <c r="O18394" t="s">
        <v>67330</v>
      </c>
      <c r="Q18394">
        <v>0</v>
      </c>
      <c r="R18394">
        <v>101</v>
      </c>
      <c r="S18394">
        <v>0</v>
      </c>
      <c r="T18394" t="s">
        <v>67331</v>
      </c>
    </row>
    <row r="18395" spans="1:20" customFormat="1" ht="15" x14ac:dyDescent="0.25">
      <c r="A18395" t="s">
        <v>24</v>
      </c>
      <c r="B18395" t="s">
        <v>13807</v>
      </c>
      <c r="C18395" t="str">
        <f>"A0095576"</f>
        <v>A0095576</v>
      </c>
      <c r="D18395" t="s">
        <v>67332</v>
      </c>
      <c r="E18395" t="s">
        <v>67333</v>
      </c>
      <c r="F18395" t="s">
        <v>4909</v>
      </c>
      <c r="G18395" t="s">
        <v>123</v>
      </c>
      <c r="H18395">
        <v>21046</v>
      </c>
      <c r="I18395" t="s">
        <v>30</v>
      </c>
      <c r="J18395" t="s">
        <v>31</v>
      </c>
      <c r="K18395" t="s">
        <v>198</v>
      </c>
      <c r="N18395" t="s">
        <v>67334</v>
      </c>
      <c r="O18395" t="s">
        <v>67335</v>
      </c>
      <c r="Q18395">
        <v>0</v>
      </c>
      <c r="R18395">
        <v>124</v>
      </c>
      <c r="S18395">
        <v>0</v>
      </c>
      <c r="T18395" t="s">
        <v>67336</v>
      </c>
    </row>
    <row r="18396" spans="1:20" customFormat="1" ht="15" x14ac:dyDescent="0.25">
      <c r="A18396" t="s">
        <v>24</v>
      </c>
      <c r="B18396" t="s">
        <v>257</v>
      </c>
      <c r="C18396" t="str">
        <f>"A0094013"</f>
        <v>A0094013</v>
      </c>
      <c r="D18396" t="s">
        <v>67337</v>
      </c>
      <c r="E18396" t="s">
        <v>67338</v>
      </c>
      <c r="F18396" t="s">
        <v>67339</v>
      </c>
      <c r="G18396" t="s">
        <v>1369</v>
      </c>
      <c r="H18396">
        <v>39701</v>
      </c>
      <c r="I18396" t="s">
        <v>30</v>
      </c>
      <c r="J18396" t="s">
        <v>31</v>
      </c>
      <c r="K18396" t="s">
        <v>198</v>
      </c>
      <c r="N18396" t="s">
        <v>67340</v>
      </c>
      <c r="Q18396">
        <v>0</v>
      </c>
      <c r="R18396">
        <v>88</v>
      </c>
      <c r="S18396">
        <v>0</v>
      </c>
      <c r="T18396" t="s">
        <v>67341</v>
      </c>
    </row>
    <row r="18397" spans="1:20" customFormat="1" ht="15" x14ac:dyDescent="0.25">
      <c r="A18397" t="s">
        <v>24</v>
      </c>
      <c r="B18397" t="s">
        <v>1548</v>
      </c>
      <c r="C18397" t="str">
        <f>"A0084782"</f>
        <v>A0084782</v>
      </c>
      <c r="D18397" t="s">
        <v>67342</v>
      </c>
      <c r="E18397" t="s">
        <v>67343</v>
      </c>
      <c r="F18397" t="s">
        <v>1525</v>
      </c>
      <c r="G18397" t="s">
        <v>65</v>
      </c>
      <c r="H18397">
        <v>43230</v>
      </c>
      <c r="I18397" t="s">
        <v>30</v>
      </c>
      <c r="J18397" t="s">
        <v>31</v>
      </c>
      <c r="K18397" t="s">
        <v>198</v>
      </c>
      <c r="N18397" t="s">
        <v>67344</v>
      </c>
      <c r="O18397" t="s">
        <v>67345</v>
      </c>
      <c r="Q18397">
        <v>0</v>
      </c>
      <c r="R18397">
        <v>146</v>
      </c>
      <c r="S18397">
        <v>0</v>
      </c>
      <c r="T18397" t="s">
        <v>67346</v>
      </c>
    </row>
    <row r="18398" spans="1:20" customFormat="1" ht="15" x14ac:dyDescent="0.25">
      <c r="A18398" t="s">
        <v>24</v>
      </c>
      <c r="B18398" t="s">
        <v>4990</v>
      </c>
      <c r="C18398" t="str">
        <f>"A0154266"</f>
        <v>A0154266</v>
      </c>
      <c r="D18398" t="s">
        <v>67347</v>
      </c>
      <c r="E18398" t="s">
        <v>67348</v>
      </c>
      <c r="F18398" t="s">
        <v>3167</v>
      </c>
      <c r="G18398" t="s">
        <v>103</v>
      </c>
      <c r="H18398">
        <v>16066</v>
      </c>
      <c r="I18398" t="s">
        <v>30</v>
      </c>
      <c r="J18398" t="s">
        <v>31</v>
      </c>
      <c r="K18398" t="s">
        <v>198</v>
      </c>
      <c r="N18398" t="s">
        <v>67349</v>
      </c>
      <c r="Q18398">
        <v>0</v>
      </c>
      <c r="R18398">
        <v>110</v>
      </c>
      <c r="S18398">
        <v>0</v>
      </c>
      <c r="T18398" t="s">
        <v>67350</v>
      </c>
    </row>
    <row r="18399" spans="1:20" customFormat="1" ht="15" x14ac:dyDescent="0.25">
      <c r="A18399" t="s">
        <v>24</v>
      </c>
      <c r="B18399" t="s">
        <v>10936</v>
      </c>
      <c r="C18399" t="str">
        <f>"A0100200"</f>
        <v>A0100200</v>
      </c>
      <c r="D18399" t="s">
        <v>67351</v>
      </c>
      <c r="E18399" t="s">
        <v>67352</v>
      </c>
      <c r="F18399" t="s">
        <v>2083</v>
      </c>
      <c r="G18399" t="s">
        <v>52</v>
      </c>
      <c r="H18399">
        <v>75033</v>
      </c>
      <c r="I18399" t="s">
        <v>30</v>
      </c>
      <c r="J18399" t="s">
        <v>31</v>
      </c>
      <c r="K18399" t="s">
        <v>198</v>
      </c>
      <c r="N18399" t="s">
        <v>67353</v>
      </c>
      <c r="O18399" t="s">
        <v>67354</v>
      </c>
      <c r="Q18399">
        <v>0</v>
      </c>
      <c r="R18399">
        <v>103</v>
      </c>
      <c r="S18399">
        <v>0</v>
      </c>
      <c r="T18399" t="s">
        <v>67355</v>
      </c>
    </row>
    <row r="18400" spans="1:20" customFormat="1" ht="15" x14ac:dyDescent="0.25">
      <c r="A18400" t="s">
        <v>24</v>
      </c>
      <c r="B18400" t="s">
        <v>8523</v>
      </c>
      <c r="C18400" t="str">
        <f>"A0145372"</f>
        <v>A0145372</v>
      </c>
      <c r="D18400" t="s">
        <v>67356</v>
      </c>
      <c r="E18400" t="s">
        <v>67357</v>
      </c>
      <c r="F18400" t="s">
        <v>2094</v>
      </c>
      <c r="G18400" t="s">
        <v>52</v>
      </c>
      <c r="H18400">
        <v>75228</v>
      </c>
      <c r="I18400" t="s">
        <v>30</v>
      </c>
      <c r="J18400" t="s">
        <v>31</v>
      </c>
      <c r="K18400" t="s">
        <v>198</v>
      </c>
      <c r="N18400" t="s">
        <v>67358</v>
      </c>
      <c r="Q18400">
        <v>0</v>
      </c>
      <c r="R18400">
        <v>79</v>
      </c>
      <c r="S18400">
        <v>0</v>
      </c>
      <c r="T18400" t="s">
        <v>67359</v>
      </c>
    </row>
    <row r="18401" spans="1:20" customFormat="1" ht="15" x14ac:dyDescent="0.25">
      <c r="A18401" t="s">
        <v>24</v>
      </c>
      <c r="B18401" t="s">
        <v>56277</v>
      </c>
      <c r="C18401" t="str">
        <f>"A0055853"</f>
        <v>A0055853</v>
      </c>
      <c r="D18401" t="s">
        <v>67360</v>
      </c>
      <c r="E18401" t="s">
        <v>67361</v>
      </c>
      <c r="F18401" t="s">
        <v>737</v>
      </c>
      <c r="G18401" t="s">
        <v>52</v>
      </c>
      <c r="H18401">
        <v>75149</v>
      </c>
      <c r="I18401" t="s">
        <v>30</v>
      </c>
      <c r="J18401" t="s">
        <v>31</v>
      </c>
      <c r="K18401" t="s">
        <v>198</v>
      </c>
      <c r="N18401" t="s">
        <v>67362</v>
      </c>
      <c r="O18401" t="s">
        <v>67363</v>
      </c>
      <c r="Q18401">
        <v>0</v>
      </c>
      <c r="R18401">
        <v>160</v>
      </c>
      <c r="S18401">
        <v>0</v>
      </c>
      <c r="T18401" t="s">
        <v>67364</v>
      </c>
    </row>
    <row r="18402" spans="1:20" customFormat="1" ht="15" x14ac:dyDescent="0.25">
      <c r="A18402" t="s">
        <v>24</v>
      </c>
      <c r="B18402" t="s">
        <v>1020</v>
      </c>
      <c r="C18402" t="str">
        <f>"A0090999"</f>
        <v>A0090999</v>
      </c>
      <c r="D18402" t="s">
        <v>67365</v>
      </c>
      <c r="E18402" t="s">
        <v>67366</v>
      </c>
      <c r="F18402" t="s">
        <v>5567</v>
      </c>
      <c r="G18402" t="s">
        <v>52</v>
      </c>
      <c r="H18402">
        <v>76234</v>
      </c>
      <c r="I18402" t="s">
        <v>30</v>
      </c>
      <c r="J18402" t="s">
        <v>31</v>
      </c>
      <c r="K18402" t="s">
        <v>198</v>
      </c>
      <c r="N18402" t="s">
        <v>67367</v>
      </c>
      <c r="Q18402">
        <v>0</v>
      </c>
      <c r="R18402">
        <v>74</v>
      </c>
      <c r="S18402">
        <v>0</v>
      </c>
      <c r="T18402" t="s">
        <v>67368</v>
      </c>
    </row>
    <row r="18403" spans="1:20" customFormat="1" ht="15" x14ac:dyDescent="0.25">
      <c r="A18403" t="s">
        <v>24</v>
      </c>
      <c r="B18403" t="s">
        <v>56952</v>
      </c>
      <c r="C18403" t="str">
        <f>"A0094987"</f>
        <v>A0094987</v>
      </c>
      <c r="D18403" t="s">
        <v>67369</v>
      </c>
      <c r="E18403" t="s">
        <v>67370</v>
      </c>
      <c r="F18403" t="s">
        <v>972</v>
      </c>
      <c r="G18403" t="s">
        <v>190</v>
      </c>
      <c r="H18403">
        <v>80239</v>
      </c>
      <c r="I18403" t="s">
        <v>30</v>
      </c>
      <c r="J18403" t="s">
        <v>31</v>
      </c>
      <c r="K18403" t="s">
        <v>198</v>
      </c>
      <c r="N18403" t="s">
        <v>67371</v>
      </c>
      <c r="Q18403">
        <v>0</v>
      </c>
      <c r="R18403">
        <v>115</v>
      </c>
      <c r="S18403">
        <v>0</v>
      </c>
      <c r="T18403" t="s">
        <v>67372</v>
      </c>
    </row>
    <row r="18404" spans="1:20" customFormat="1" ht="15" x14ac:dyDescent="0.25">
      <c r="A18404" t="s">
        <v>24</v>
      </c>
      <c r="B18404" t="s">
        <v>5104</v>
      </c>
      <c r="C18404" t="str">
        <f>"A0074821"</f>
        <v>A0074821</v>
      </c>
      <c r="D18404" t="s">
        <v>67373</v>
      </c>
      <c r="E18404" t="s">
        <v>67374</v>
      </c>
      <c r="F18404" t="s">
        <v>972</v>
      </c>
      <c r="G18404" t="s">
        <v>190</v>
      </c>
      <c r="H18404">
        <v>80203</v>
      </c>
      <c r="I18404" t="s">
        <v>30</v>
      </c>
      <c r="J18404" t="s">
        <v>31</v>
      </c>
      <c r="K18404" t="s">
        <v>198</v>
      </c>
      <c r="N18404" t="s">
        <v>67375</v>
      </c>
      <c r="Q18404">
        <v>0</v>
      </c>
      <c r="R18404">
        <v>148</v>
      </c>
      <c r="S18404">
        <v>0</v>
      </c>
      <c r="T18404" t="s">
        <v>67376</v>
      </c>
    </row>
    <row r="18405" spans="1:20" customFormat="1" ht="15" x14ac:dyDescent="0.25">
      <c r="A18405" t="s">
        <v>24</v>
      </c>
      <c r="B18405" t="s">
        <v>7040</v>
      </c>
      <c r="C18405" t="str">
        <f>"A0158093"</f>
        <v>A0158093</v>
      </c>
      <c r="D18405" t="s">
        <v>67377</v>
      </c>
      <c r="E18405" t="s">
        <v>67378</v>
      </c>
      <c r="F18405" t="s">
        <v>67379</v>
      </c>
      <c r="G18405" t="s">
        <v>338</v>
      </c>
      <c r="H18405">
        <v>8096</v>
      </c>
      <c r="I18405" t="s">
        <v>30</v>
      </c>
      <c r="J18405" t="s">
        <v>31</v>
      </c>
      <c r="K18405" t="s">
        <v>198</v>
      </c>
      <c r="N18405" t="s">
        <v>67380</v>
      </c>
      <c r="Q18405">
        <v>0</v>
      </c>
      <c r="R18405">
        <v>105</v>
      </c>
      <c r="S18405">
        <v>0</v>
      </c>
      <c r="T18405" t="s">
        <v>67381</v>
      </c>
    </row>
    <row r="18406" spans="1:20" customFormat="1" ht="15" x14ac:dyDescent="0.25">
      <c r="A18406" t="s">
        <v>24</v>
      </c>
      <c r="B18406" t="s">
        <v>4990</v>
      </c>
      <c r="C18406" t="str">
        <f>"A0091997"</f>
        <v>A0091997</v>
      </c>
      <c r="D18406" t="s">
        <v>67382</v>
      </c>
      <c r="E18406" t="s">
        <v>67383</v>
      </c>
      <c r="F18406" t="s">
        <v>55163</v>
      </c>
      <c r="G18406" t="s">
        <v>1898</v>
      </c>
      <c r="H18406">
        <v>50309</v>
      </c>
      <c r="I18406" t="s">
        <v>30</v>
      </c>
      <c r="J18406" t="s">
        <v>31</v>
      </c>
      <c r="K18406" t="s">
        <v>198</v>
      </c>
      <c r="N18406" t="s">
        <v>67384</v>
      </c>
      <c r="Q18406">
        <v>0</v>
      </c>
      <c r="R18406">
        <v>131</v>
      </c>
      <c r="S18406">
        <v>0</v>
      </c>
      <c r="T18406" t="s">
        <v>67385</v>
      </c>
    </row>
    <row r="18407" spans="1:20" customFormat="1" ht="15" x14ac:dyDescent="0.25">
      <c r="A18407" t="s">
        <v>24</v>
      </c>
      <c r="B18407" t="s">
        <v>2955</v>
      </c>
      <c r="C18407" t="str">
        <f>"88HM026"</f>
        <v>88HM026</v>
      </c>
      <c r="D18407" t="s">
        <v>67386</v>
      </c>
      <c r="E18407" t="s">
        <v>67387</v>
      </c>
      <c r="F18407" t="s">
        <v>2856</v>
      </c>
      <c r="G18407" t="s">
        <v>52</v>
      </c>
      <c r="H18407">
        <v>79925</v>
      </c>
      <c r="I18407" t="s">
        <v>30</v>
      </c>
      <c r="J18407" t="s">
        <v>31</v>
      </c>
      <c r="K18407" t="s">
        <v>198</v>
      </c>
      <c r="N18407" t="s">
        <v>67388</v>
      </c>
      <c r="Q18407">
        <v>0</v>
      </c>
      <c r="R18407">
        <v>139</v>
      </c>
      <c r="S18407">
        <v>0</v>
      </c>
      <c r="T18407" t="s">
        <v>67389</v>
      </c>
    </row>
    <row r="18408" spans="1:20" customFormat="1" ht="15" x14ac:dyDescent="0.25">
      <c r="A18408" t="s">
        <v>24</v>
      </c>
      <c r="B18408" t="s">
        <v>2528</v>
      </c>
      <c r="C18408" t="str">
        <f>"A0092440"</f>
        <v>A0092440</v>
      </c>
      <c r="D18408" t="s">
        <v>67390</v>
      </c>
      <c r="E18408" t="s">
        <v>67391</v>
      </c>
      <c r="F18408" t="s">
        <v>67392</v>
      </c>
      <c r="G18408" t="s">
        <v>1363</v>
      </c>
      <c r="H18408">
        <v>3833</v>
      </c>
      <c r="I18408" t="s">
        <v>30</v>
      </c>
      <c r="J18408" t="s">
        <v>31</v>
      </c>
      <c r="K18408" t="s">
        <v>198</v>
      </c>
      <c r="N18408" t="s">
        <v>67393</v>
      </c>
      <c r="O18408" t="s">
        <v>67394</v>
      </c>
      <c r="Q18408">
        <v>0</v>
      </c>
      <c r="R18408">
        <v>111</v>
      </c>
      <c r="S18408">
        <v>0</v>
      </c>
      <c r="T18408" t="s">
        <v>67395</v>
      </c>
    </row>
    <row r="18409" spans="1:20" customFormat="1" ht="15" x14ac:dyDescent="0.25">
      <c r="A18409" t="s">
        <v>24</v>
      </c>
      <c r="B18409" t="s">
        <v>2340</v>
      </c>
      <c r="C18409" t="str">
        <f>"A0096260"</f>
        <v>A0096260</v>
      </c>
      <c r="D18409" t="s">
        <v>67396</v>
      </c>
      <c r="E18409" t="s">
        <v>67397</v>
      </c>
      <c r="F18409" t="s">
        <v>67398</v>
      </c>
      <c r="G18409" t="s">
        <v>29</v>
      </c>
      <c r="H18409">
        <v>22042</v>
      </c>
      <c r="I18409" t="s">
        <v>30</v>
      </c>
      <c r="J18409" t="s">
        <v>31</v>
      </c>
      <c r="K18409" t="s">
        <v>198</v>
      </c>
      <c r="N18409" t="s">
        <v>67399</v>
      </c>
      <c r="Q18409">
        <v>0</v>
      </c>
      <c r="R18409">
        <v>160</v>
      </c>
      <c r="S18409">
        <v>0</v>
      </c>
      <c r="T18409" t="s">
        <v>67400</v>
      </c>
    </row>
    <row r="18410" spans="1:20" customFormat="1" ht="15" x14ac:dyDescent="0.25">
      <c r="A18410" t="s">
        <v>24</v>
      </c>
      <c r="B18410" t="s">
        <v>16448</v>
      </c>
      <c r="C18410" t="str">
        <f>"A0067107"</f>
        <v>A0067107</v>
      </c>
      <c r="D18410" t="s">
        <v>67401</v>
      </c>
      <c r="E18410" t="s">
        <v>67402</v>
      </c>
      <c r="F18410" t="s">
        <v>3540</v>
      </c>
      <c r="G18410" t="s">
        <v>214</v>
      </c>
      <c r="H18410">
        <v>28312</v>
      </c>
      <c r="I18410" t="s">
        <v>30</v>
      </c>
      <c r="J18410" t="s">
        <v>31</v>
      </c>
      <c r="K18410" t="s">
        <v>198</v>
      </c>
      <c r="N18410" t="s">
        <v>67403</v>
      </c>
      <c r="O18410" t="s">
        <v>67404</v>
      </c>
      <c r="Q18410">
        <v>0</v>
      </c>
      <c r="R18410">
        <v>114</v>
      </c>
      <c r="S18410">
        <v>0</v>
      </c>
      <c r="T18410" t="s">
        <v>192</v>
      </c>
    </row>
    <row r="18411" spans="1:20" customFormat="1" ht="15" x14ac:dyDescent="0.25">
      <c r="A18411" t="s">
        <v>24</v>
      </c>
      <c r="B18411" t="s">
        <v>55997</v>
      </c>
      <c r="C18411" t="str">
        <f>"A0095577"</f>
        <v>A0095577</v>
      </c>
      <c r="D18411" t="s">
        <v>67405</v>
      </c>
      <c r="E18411" t="s">
        <v>67406</v>
      </c>
      <c r="F18411" t="s">
        <v>1622</v>
      </c>
      <c r="G18411" t="s">
        <v>29</v>
      </c>
      <c r="H18411">
        <v>22309</v>
      </c>
      <c r="I18411" t="s">
        <v>30</v>
      </c>
      <c r="J18411" t="s">
        <v>31</v>
      </c>
      <c r="K18411" t="s">
        <v>198</v>
      </c>
      <c r="N18411" t="s">
        <v>67407</v>
      </c>
      <c r="Q18411">
        <v>0</v>
      </c>
      <c r="R18411">
        <v>131</v>
      </c>
      <c r="S18411">
        <v>0</v>
      </c>
      <c r="T18411" t="s">
        <v>67408</v>
      </c>
    </row>
    <row r="18412" spans="1:20" customFormat="1" ht="15" x14ac:dyDescent="0.25">
      <c r="A18412" t="s">
        <v>24</v>
      </c>
      <c r="B18412" t="s">
        <v>2528</v>
      </c>
      <c r="C18412" t="str">
        <f>"AC109075"</f>
        <v>AC109075</v>
      </c>
      <c r="D18412" t="s">
        <v>67409</v>
      </c>
      <c r="E18412" t="s">
        <v>67410</v>
      </c>
      <c r="F18412" t="s">
        <v>33663</v>
      </c>
      <c r="G18412" t="s">
        <v>81</v>
      </c>
      <c r="H18412">
        <v>33020</v>
      </c>
      <c r="I18412" t="s">
        <v>30</v>
      </c>
      <c r="J18412" t="s">
        <v>31</v>
      </c>
      <c r="K18412" t="s">
        <v>198</v>
      </c>
      <c r="N18412" t="s">
        <v>67411</v>
      </c>
      <c r="O18412" t="s">
        <v>67412</v>
      </c>
      <c r="Q18412">
        <v>0</v>
      </c>
      <c r="R18412">
        <v>104</v>
      </c>
      <c r="S18412">
        <v>0</v>
      </c>
      <c r="T18412" t="s">
        <v>67413</v>
      </c>
    </row>
    <row r="18413" spans="1:20" customFormat="1" ht="15" x14ac:dyDescent="0.25">
      <c r="A18413" t="s">
        <v>24</v>
      </c>
      <c r="B18413" t="s">
        <v>4400</v>
      </c>
      <c r="C18413" t="str">
        <f>"A0084386"</f>
        <v>A0084386</v>
      </c>
      <c r="D18413" t="s">
        <v>67414</v>
      </c>
      <c r="E18413" t="s">
        <v>67415</v>
      </c>
      <c r="F18413" t="s">
        <v>3932</v>
      </c>
      <c r="G18413" t="s">
        <v>117</v>
      </c>
      <c r="H18413">
        <v>49512</v>
      </c>
      <c r="I18413" t="s">
        <v>30</v>
      </c>
      <c r="J18413" t="s">
        <v>31</v>
      </c>
      <c r="K18413" t="s">
        <v>198</v>
      </c>
      <c r="N18413" t="s">
        <v>67416</v>
      </c>
      <c r="Q18413">
        <v>0</v>
      </c>
      <c r="R18413">
        <v>98</v>
      </c>
      <c r="S18413">
        <v>0</v>
      </c>
      <c r="T18413" t="s">
        <v>67417</v>
      </c>
    </row>
    <row r="18414" spans="1:20" customFormat="1" ht="15" x14ac:dyDescent="0.25">
      <c r="A18414" t="s">
        <v>24</v>
      </c>
      <c r="B18414" t="s">
        <v>1317</v>
      </c>
      <c r="C18414" t="str">
        <f>"A0100280"</f>
        <v>A0100280</v>
      </c>
      <c r="D18414" t="s">
        <v>67418</v>
      </c>
      <c r="E18414" t="s">
        <v>67419</v>
      </c>
      <c r="F18414" t="s">
        <v>67420</v>
      </c>
      <c r="G18414" t="s">
        <v>47</v>
      </c>
      <c r="H18414">
        <v>97526</v>
      </c>
      <c r="I18414" t="s">
        <v>30</v>
      </c>
      <c r="J18414" t="s">
        <v>31</v>
      </c>
      <c r="K18414" t="s">
        <v>198</v>
      </c>
      <c r="N18414" t="s">
        <v>67421</v>
      </c>
      <c r="Q18414">
        <v>0</v>
      </c>
      <c r="R18414">
        <v>101</v>
      </c>
      <c r="S18414">
        <v>0</v>
      </c>
      <c r="T18414" t="s">
        <v>67422</v>
      </c>
    </row>
    <row r="18415" spans="1:20" customFormat="1" ht="15" x14ac:dyDescent="0.25">
      <c r="A18415" t="s">
        <v>24</v>
      </c>
      <c r="B18415" t="s">
        <v>8742</v>
      </c>
      <c r="C18415" t="str">
        <f>"A0093702"</f>
        <v>A0093702</v>
      </c>
      <c r="D18415" t="s">
        <v>67423</v>
      </c>
      <c r="E18415" t="s">
        <v>67424</v>
      </c>
      <c r="F18415" t="s">
        <v>53854</v>
      </c>
      <c r="G18415" t="s">
        <v>1369</v>
      </c>
      <c r="H18415">
        <v>39503</v>
      </c>
      <c r="I18415" t="s">
        <v>30</v>
      </c>
      <c r="J18415" t="s">
        <v>31</v>
      </c>
      <c r="K18415" t="s">
        <v>198</v>
      </c>
      <c r="N18415" t="s">
        <v>67425</v>
      </c>
      <c r="Q18415">
        <v>0</v>
      </c>
      <c r="R18415">
        <v>143</v>
      </c>
      <c r="S18415">
        <v>0</v>
      </c>
      <c r="T18415" t="s">
        <v>67426</v>
      </c>
    </row>
    <row r="18416" spans="1:20" customFormat="1" ht="15" x14ac:dyDescent="0.25">
      <c r="A18416" t="s">
        <v>24</v>
      </c>
      <c r="B18416" t="s">
        <v>8742</v>
      </c>
      <c r="C18416" t="str">
        <f>"A0096404"</f>
        <v>A0096404</v>
      </c>
      <c r="D18416" t="s">
        <v>67427</v>
      </c>
      <c r="E18416" t="s">
        <v>67428</v>
      </c>
      <c r="F18416" t="s">
        <v>8408</v>
      </c>
      <c r="G18416" t="s">
        <v>381</v>
      </c>
      <c r="H18416">
        <v>46323</v>
      </c>
      <c r="I18416" t="s">
        <v>30</v>
      </c>
      <c r="J18416" t="s">
        <v>31</v>
      </c>
      <c r="K18416" t="s">
        <v>198</v>
      </c>
      <c r="N18416" t="s">
        <v>67429</v>
      </c>
      <c r="O18416" t="s">
        <v>67430</v>
      </c>
      <c r="Q18416">
        <v>0</v>
      </c>
      <c r="R18416">
        <v>117</v>
      </c>
      <c r="S18416">
        <v>0</v>
      </c>
      <c r="T18416" t="s">
        <v>67431</v>
      </c>
    </row>
    <row r="18417" spans="1:20" customFormat="1" ht="15" x14ac:dyDescent="0.25">
      <c r="A18417" t="s">
        <v>24</v>
      </c>
      <c r="B18417" t="s">
        <v>7040</v>
      </c>
      <c r="C18417" t="str">
        <f>"A0156075"</f>
        <v>A0156075</v>
      </c>
      <c r="D18417" t="s">
        <v>67432</v>
      </c>
      <c r="E18417" t="s">
        <v>67433</v>
      </c>
      <c r="F18417" t="s">
        <v>8882</v>
      </c>
      <c r="G18417" t="s">
        <v>103</v>
      </c>
      <c r="H18417">
        <v>17110</v>
      </c>
      <c r="I18417" t="s">
        <v>30</v>
      </c>
      <c r="J18417" t="s">
        <v>31</v>
      </c>
      <c r="K18417" t="s">
        <v>198</v>
      </c>
      <c r="N18417" t="s">
        <v>67434</v>
      </c>
      <c r="Q18417">
        <v>0</v>
      </c>
      <c r="R18417">
        <v>106</v>
      </c>
      <c r="S18417">
        <v>0</v>
      </c>
      <c r="T18417" t="s">
        <v>67435</v>
      </c>
    </row>
    <row r="18418" spans="1:20" customFormat="1" ht="15" x14ac:dyDescent="0.25">
      <c r="A18418" t="s">
        <v>24</v>
      </c>
      <c r="B18418" t="s">
        <v>10054</v>
      </c>
      <c r="C18418" t="str">
        <f>"A0157465"</f>
        <v>A0157465</v>
      </c>
      <c r="D18418" t="s">
        <v>67436</v>
      </c>
      <c r="E18418" t="s">
        <v>67437</v>
      </c>
      <c r="F18418" t="s">
        <v>220</v>
      </c>
      <c r="G18418" t="s">
        <v>221</v>
      </c>
      <c r="H18418">
        <v>89169</v>
      </c>
      <c r="I18418" t="s">
        <v>30</v>
      </c>
      <c r="J18418" t="s">
        <v>31</v>
      </c>
      <c r="K18418" t="s">
        <v>198</v>
      </c>
      <c r="N18418" t="s">
        <v>67438</v>
      </c>
      <c r="O18418" t="s">
        <v>67439</v>
      </c>
      <c r="Q18418">
        <v>0</v>
      </c>
      <c r="R18418">
        <v>250</v>
      </c>
      <c r="S18418">
        <v>0</v>
      </c>
      <c r="T18418" t="s">
        <v>67440</v>
      </c>
    </row>
    <row r="18419" spans="1:20" customFormat="1" ht="15" x14ac:dyDescent="0.25">
      <c r="A18419" t="s">
        <v>24</v>
      </c>
      <c r="B18419" t="s">
        <v>59142</v>
      </c>
      <c r="C18419" t="str">
        <f>"A0097953"</f>
        <v>A0097953</v>
      </c>
      <c r="D18419" t="s">
        <v>67441</v>
      </c>
      <c r="E18419" t="s">
        <v>67442</v>
      </c>
      <c r="F18419" t="s">
        <v>67443</v>
      </c>
      <c r="G18419" t="s">
        <v>47</v>
      </c>
      <c r="H18419">
        <v>97031</v>
      </c>
      <c r="I18419" t="s">
        <v>30</v>
      </c>
      <c r="J18419" t="s">
        <v>31</v>
      </c>
      <c r="K18419" t="s">
        <v>198</v>
      </c>
      <c r="N18419" t="s">
        <v>67444</v>
      </c>
      <c r="Q18419">
        <v>0</v>
      </c>
      <c r="R18419">
        <v>88</v>
      </c>
      <c r="S18419">
        <v>0</v>
      </c>
      <c r="T18419" t="s">
        <v>67445</v>
      </c>
    </row>
    <row r="18420" spans="1:20" customFormat="1" ht="15" x14ac:dyDescent="0.25">
      <c r="A18420" t="s">
        <v>24</v>
      </c>
      <c r="B18420" t="s">
        <v>2528</v>
      </c>
      <c r="C18420" t="str">
        <f>"A0089774"</f>
        <v>A0089774</v>
      </c>
      <c r="D18420" t="s">
        <v>67446</v>
      </c>
      <c r="E18420" t="s">
        <v>67447</v>
      </c>
      <c r="F18420" t="s">
        <v>1564</v>
      </c>
      <c r="G18420" t="s">
        <v>52</v>
      </c>
      <c r="H18420">
        <v>77054</v>
      </c>
      <c r="I18420" t="s">
        <v>30</v>
      </c>
      <c r="J18420" t="s">
        <v>31</v>
      </c>
      <c r="K18420" t="s">
        <v>198</v>
      </c>
      <c r="N18420" t="s">
        <v>67448</v>
      </c>
      <c r="O18420" t="s">
        <v>67449</v>
      </c>
      <c r="Q18420">
        <v>0</v>
      </c>
      <c r="R18420">
        <v>120</v>
      </c>
      <c r="S18420">
        <v>0</v>
      </c>
      <c r="T18420" t="s">
        <v>67450</v>
      </c>
    </row>
    <row r="18421" spans="1:20" customFormat="1" ht="15" x14ac:dyDescent="0.25">
      <c r="A18421" t="s">
        <v>24</v>
      </c>
      <c r="B18421" t="s">
        <v>342</v>
      </c>
      <c r="C18421" t="str">
        <f>"A0087569"</f>
        <v>A0087569</v>
      </c>
      <c r="D18421" t="s">
        <v>67451</v>
      </c>
      <c r="E18421" t="s">
        <v>67452</v>
      </c>
      <c r="F18421" t="s">
        <v>53883</v>
      </c>
      <c r="G18421" t="s">
        <v>1706</v>
      </c>
      <c r="H18421">
        <v>36609</v>
      </c>
      <c r="I18421" t="s">
        <v>30</v>
      </c>
      <c r="J18421" t="s">
        <v>31</v>
      </c>
      <c r="K18421" t="s">
        <v>198</v>
      </c>
      <c r="N18421" t="s">
        <v>67453</v>
      </c>
      <c r="O18421" t="s">
        <v>67454</v>
      </c>
      <c r="Q18421">
        <v>0</v>
      </c>
      <c r="R18421">
        <v>101</v>
      </c>
      <c r="S18421">
        <v>0</v>
      </c>
      <c r="T18421" t="s">
        <v>67455</v>
      </c>
    </row>
    <row r="18422" spans="1:20" customFormat="1" ht="15" x14ac:dyDescent="0.25">
      <c r="A18422" t="s">
        <v>24</v>
      </c>
      <c r="B18422" t="s">
        <v>1138</v>
      </c>
      <c r="C18422" t="str">
        <f>"A0157216"</f>
        <v>A0157216</v>
      </c>
      <c r="D18422" t="s">
        <v>67456</v>
      </c>
      <c r="E18422" t="s">
        <v>67457</v>
      </c>
      <c r="F18422" t="s">
        <v>67458</v>
      </c>
      <c r="G18422" t="s">
        <v>110</v>
      </c>
      <c r="H18422">
        <v>91932</v>
      </c>
      <c r="I18422" t="s">
        <v>30</v>
      </c>
      <c r="J18422" t="s">
        <v>31</v>
      </c>
      <c r="K18422" t="s">
        <v>198</v>
      </c>
      <c r="N18422" t="s">
        <v>67459</v>
      </c>
      <c r="Q18422">
        <v>0</v>
      </c>
      <c r="R18422">
        <v>100</v>
      </c>
      <c r="S18422">
        <v>0</v>
      </c>
      <c r="T18422" t="s">
        <v>67460</v>
      </c>
    </row>
    <row r="18423" spans="1:20" customFormat="1" ht="15" x14ac:dyDescent="0.25">
      <c r="A18423" t="s">
        <v>24</v>
      </c>
      <c r="B18423" t="s">
        <v>8742</v>
      </c>
      <c r="C18423" t="str">
        <f>"88HM013"</f>
        <v>88HM013</v>
      </c>
      <c r="D18423" t="s">
        <v>67461</v>
      </c>
      <c r="E18423" t="s">
        <v>67462</v>
      </c>
      <c r="F18423" t="s">
        <v>5833</v>
      </c>
      <c r="G18423" t="s">
        <v>1369</v>
      </c>
      <c r="H18423">
        <v>39202</v>
      </c>
      <c r="I18423" t="s">
        <v>30</v>
      </c>
      <c r="J18423" t="s">
        <v>31</v>
      </c>
      <c r="K18423" t="s">
        <v>198</v>
      </c>
      <c r="N18423" t="s">
        <v>67463</v>
      </c>
      <c r="Q18423">
        <v>0</v>
      </c>
      <c r="R18423">
        <v>111</v>
      </c>
      <c r="S18423">
        <v>0</v>
      </c>
      <c r="T18423" t="s">
        <v>67464</v>
      </c>
    </row>
    <row r="18424" spans="1:20" customFormat="1" ht="15" x14ac:dyDescent="0.25">
      <c r="A18424" t="s">
        <v>24</v>
      </c>
      <c r="B18424" t="s">
        <v>33369</v>
      </c>
      <c r="C18424" t="str">
        <f>"A0091892"</f>
        <v>A0091892</v>
      </c>
      <c r="D18424" t="s">
        <v>67465</v>
      </c>
      <c r="E18424" t="s">
        <v>67466</v>
      </c>
      <c r="F18424" t="s">
        <v>2443</v>
      </c>
      <c r="G18424" t="s">
        <v>214</v>
      </c>
      <c r="H18424">
        <v>28546</v>
      </c>
      <c r="I18424" t="s">
        <v>30</v>
      </c>
      <c r="J18424" t="s">
        <v>31</v>
      </c>
      <c r="K18424" t="s">
        <v>198</v>
      </c>
      <c r="N18424" t="s">
        <v>67467</v>
      </c>
      <c r="Q18424">
        <v>0</v>
      </c>
      <c r="R18424">
        <v>110</v>
      </c>
      <c r="S18424">
        <v>0</v>
      </c>
      <c r="T18424" t="s">
        <v>67468</v>
      </c>
    </row>
    <row r="18425" spans="1:20" customFormat="1" ht="15" x14ac:dyDescent="0.25">
      <c r="A18425" t="s">
        <v>24</v>
      </c>
      <c r="B18425" t="s">
        <v>257</v>
      </c>
      <c r="C18425" t="str">
        <f>"A0098101"</f>
        <v>A0098101</v>
      </c>
      <c r="D18425" t="s">
        <v>67469</v>
      </c>
      <c r="E18425" t="s">
        <v>67470</v>
      </c>
      <c r="F18425" t="s">
        <v>1601</v>
      </c>
      <c r="G18425" t="s">
        <v>846</v>
      </c>
      <c r="H18425">
        <v>31527</v>
      </c>
      <c r="I18425" t="s">
        <v>30</v>
      </c>
      <c r="J18425" t="s">
        <v>31</v>
      </c>
      <c r="K18425" t="s">
        <v>198</v>
      </c>
      <c r="N18425" t="s">
        <v>67199</v>
      </c>
      <c r="O18425" t="s">
        <v>67471</v>
      </c>
      <c r="Q18425">
        <v>0</v>
      </c>
      <c r="R18425">
        <v>138</v>
      </c>
      <c r="S18425">
        <v>0</v>
      </c>
      <c r="T18425" t="s">
        <v>67472</v>
      </c>
    </row>
    <row r="18426" spans="1:20" customFormat="1" ht="15" hidden="1" x14ac:dyDescent="0.25">
      <c r="A18426" t="s">
        <v>24</v>
      </c>
      <c r="B18426" t="s">
        <v>66383</v>
      </c>
      <c r="C18426" t="str">
        <f>"A0157466"</f>
        <v>A0157466</v>
      </c>
      <c r="D18426" t="s">
        <v>67473</v>
      </c>
      <c r="E18426" t="s">
        <v>67474</v>
      </c>
      <c r="F18426" t="s">
        <v>57016</v>
      </c>
      <c r="G18426" t="s">
        <v>2270</v>
      </c>
      <c r="H18426" t="s">
        <v>67475</v>
      </c>
      <c r="I18426" t="s">
        <v>1459</v>
      </c>
      <c r="J18426" t="s">
        <v>31</v>
      </c>
      <c r="K18426" t="s">
        <v>198</v>
      </c>
      <c r="N18426" t="s">
        <v>67476</v>
      </c>
      <c r="Q18426">
        <v>0</v>
      </c>
      <c r="R18426">
        <v>140</v>
      </c>
      <c r="S18426">
        <v>0</v>
      </c>
      <c r="T18426" t="s">
        <v>67477</v>
      </c>
    </row>
    <row r="18427" spans="1:20" customFormat="1" ht="15" x14ac:dyDescent="0.25">
      <c r="A18427" t="s">
        <v>24</v>
      </c>
      <c r="B18427" t="s">
        <v>342</v>
      </c>
      <c r="C18427" t="str">
        <f>"A0095551"</f>
        <v>A0095551</v>
      </c>
      <c r="D18427" t="s">
        <v>67478</v>
      </c>
      <c r="E18427" t="s">
        <v>67479</v>
      </c>
      <c r="F18427" t="s">
        <v>67480</v>
      </c>
      <c r="G18427" t="s">
        <v>81</v>
      </c>
      <c r="H18427">
        <v>32162</v>
      </c>
      <c r="I18427" t="s">
        <v>30</v>
      </c>
      <c r="J18427" t="s">
        <v>31</v>
      </c>
      <c r="K18427" t="s">
        <v>198</v>
      </c>
      <c r="N18427" t="s">
        <v>59107</v>
      </c>
      <c r="Q18427">
        <v>0</v>
      </c>
      <c r="R18427">
        <v>82</v>
      </c>
      <c r="S18427">
        <v>0</v>
      </c>
      <c r="T18427" t="s">
        <v>67481</v>
      </c>
    </row>
    <row r="18428" spans="1:20" customFormat="1" ht="15" x14ac:dyDescent="0.25">
      <c r="A18428" t="s">
        <v>24</v>
      </c>
      <c r="B18428" t="s">
        <v>1092</v>
      </c>
      <c r="C18428" t="str">
        <f>"A0099100"</f>
        <v>A0099100</v>
      </c>
      <c r="D18428" t="s">
        <v>67482</v>
      </c>
      <c r="E18428" t="s">
        <v>67483</v>
      </c>
      <c r="F18428" t="s">
        <v>67484</v>
      </c>
      <c r="G18428" t="s">
        <v>99</v>
      </c>
      <c r="H18428">
        <v>12946</v>
      </c>
      <c r="I18428" t="s">
        <v>30</v>
      </c>
      <c r="J18428" t="s">
        <v>31</v>
      </c>
      <c r="K18428" t="s">
        <v>198</v>
      </c>
      <c r="N18428" t="s">
        <v>67485</v>
      </c>
      <c r="O18428" t="s">
        <v>67486</v>
      </c>
      <c r="Q18428">
        <v>0</v>
      </c>
      <c r="R18428">
        <v>97</v>
      </c>
      <c r="S18428">
        <v>0</v>
      </c>
      <c r="T18428" t="s">
        <v>67487</v>
      </c>
    </row>
    <row r="18429" spans="1:20" customFormat="1" ht="15" x14ac:dyDescent="0.25">
      <c r="A18429" t="s">
        <v>24</v>
      </c>
      <c r="B18429" t="s">
        <v>10097</v>
      </c>
      <c r="C18429" t="str">
        <f>"88HM082"</f>
        <v>88HM082</v>
      </c>
      <c r="D18429" t="s">
        <v>67488</v>
      </c>
      <c r="E18429" t="s">
        <v>67489</v>
      </c>
      <c r="F18429" t="s">
        <v>3327</v>
      </c>
      <c r="G18429" t="s">
        <v>214</v>
      </c>
      <c r="H18429">
        <v>28403</v>
      </c>
      <c r="I18429" t="s">
        <v>30</v>
      </c>
      <c r="J18429" t="s">
        <v>31</v>
      </c>
      <c r="K18429" t="s">
        <v>198</v>
      </c>
      <c r="N18429" t="s">
        <v>67490</v>
      </c>
      <c r="Q18429">
        <v>0</v>
      </c>
      <c r="R18429">
        <v>120</v>
      </c>
      <c r="S18429">
        <v>0</v>
      </c>
      <c r="T18429" t="s">
        <v>67491</v>
      </c>
    </row>
    <row r="18430" spans="1:20" customFormat="1" ht="15" x14ac:dyDescent="0.25">
      <c r="A18430" t="s">
        <v>24</v>
      </c>
      <c r="B18430" t="s">
        <v>2528</v>
      </c>
      <c r="C18430" t="str">
        <f>"A0096376"</f>
        <v>A0096376</v>
      </c>
      <c r="D18430" t="s">
        <v>67492</v>
      </c>
      <c r="E18430" t="s">
        <v>67493</v>
      </c>
      <c r="F18430" t="s">
        <v>5075</v>
      </c>
      <c r="G18430" t="s">
        <v>117</v>
      </c>
      <c r="H18430">
        <v>48917</v>
      </c>
      <c r="I18430" t="s">
        <v>30</v>
      </c>
      <c r="J18430" t="s">
        <v>31</v>
      </c>
      <c r="K18430" t="s">
        <v>198</v>
      </c>
      <c r="N18430" t="s">
        <v>67494</v>
      </c>
      <c r="Q18430">
        <v>0</v>
      </c>
      <c r="R18430">
        <v>84</v>
      </c>
      <c r="S18430">
        <v>0</v>
      </c>
      <c r="T18430" t="s">
        <v>67495</v>
      </c>
    </row>
    <row r="18431" spans="1:20" customFormat="1" ht="15" x14ac:dyDescent="0.25">
      <c r="A18431" t="s">
        <v>24</v>
      </c>
      <c r="B18431" t="s">
        <v>5843</v>
      </c>
      <c r="C18431" t="str">
        <f>"A0084609"</f>
        <v>A0084609</v>
      </c>
      <c r="D18431" t="s">
        <v>67496</v>
      </c>
      <c r="E18431" t="s">
        <v>67497</v>
      </c>
      <c r="F18431" t="s">
        <v>220</v>
      </c>
      <c r="G18431" t="s">
        <v>221</v>
      </c>
      <c r="H18431">
        <v>89147</v>
      </c>
      <c r="I18431" t="s">
        <v>30</v>
      </c>
      <c r="J18431" t="s">
        <v>31</v>
      </c>
      <c r="K18431" t="s">
        <v>198</v>
      </c>
      <c r="N18431" t="s">
        <v>67498</v>
      </c>
      <c r="O18431" t="s">
        <v>67499</v>
      </c>
      <c r="Q18431">
        <v>0</v>
      </c>
      <c r="R18431">
        <v>106</v>
      </c>
      <c r="S18431">
        <v>0</v>
      </c>
      <c r="T18431" t="s">
        <v>67500</v>
      </c>
    </row>
    <row r="18432" spans="1:20" customFormat="1" ht="15" x14ac:dyDescent="0.25">
      <c r="A18432" t="s">
        <v>24</v>
      </c>
      <c r="B18432" t="s">
        <v>16448</v>
      </c>
      <c r="C18432" t="str">
        <f>"A0164726"</f>
        <v>A0164726</v>
      </c>
      <c r="D18432" t="s">
        <v>67501</v>
      </c>
      <c r="E18432" t="s">
        <v>67502</v>
      </c>
      <c r="F18432" t="s">
        <v>3041</v>
      </c>
      <c r="G18432" t="s">
        <v>58</v>
      </c>
      <c r="H18432">
        <v>29072</v>
      </c>
      <c r="I18432" t="s">
        <v>30</v>
      </c>
      <c r="J18432" t="s">
        <v>31</v>
      </c>
      <c r="K18432" t="s">
        <v>198</v>
      </c>
      <c r="N18432" t="s">
        <v>67503</v>
      </c>
      <c r="O18432" t="s">
        <v>67504</v>
      </c>
      <c r="Q18432">
        <v>0</v>
      </c>
      <c r="R18432">
        <v>114</v>
      </c>
      <c r="S18432">
        <v>0</v>
      </c>
      <c r="T18432" t="s">
        <v>67505</v>
      </c>
    </row>
    <row r="18433" spans="1:20" customFormat="1" ht="15" x14ac:dyDescent="0.25">
      <c r="A18433" t="s">
        <v>24</v>
      </c>
      <c r="B18433" t="s">
        <v>6915</v>
      </c>
      <c r="C18433" t="str">
        <f>"A0155581"</f>
        <v>A0155581</v>
      </c>
      <c r="D18433" t="s">
        <v>67506</v>
      </c>
      <c r="E18433" t="s">
        <v>67507</v>
      </c>
      <c r="F18433" t="s">
        <v>1824</v>
      </c>
      <c r="G18433" t="s">
        <v>65</v>
      </c>
      <c r="H18433">
        <v>45069</v>
      </c>
      <c r="I18433" t="s">
        <v>30</v>
      </c>
      <c r="J18433" t="s">
        <v>31</v>
      </c>
      <c r="K18433" t="s">
        <v>198</v>
      </c>
      <c r="N18433" t="s">
        <v>67508</v>
      </c>
      <c r="Q18433">
        <v>0</v>
      </c>
      <c r="R18433">
        <v>100</v>
      </c>
      <c r="S18433">
        <v>0</v>
      </c>
      <c r="T18433" t="s">
        <v>67509</v>
      </c>
    </row>
    <row r="18434" spans="1:20" customFormat="1" ht="15" x14ac:dyDescent="0.25">
      <c r="A18434" t="s">
        <v>24</v>
      </c>
      <c r="B18434" t="s">
        <v>59080</v>
      </c>
      <c r="C18434" t="str">
        <f>"A0155379"</f>
        <v>A0155379</v>
      </c>
      <c r="D18434" t="s">
        <v>67510</v>
      </c>
      <c r="E18434" t="s">
        <v>67511</v>
      </c>
      <c r="F18434" t="s">
        <v>8496</v>
      </c>
      <c r="G18434" t="s">
        <v>1587</v>
      </c>
      <c r="H18434">
        <v>87544</v>
      </c>
      <c r="I18434" t="s">
        <v>30</v>
      </c>
      <c r="J18434" t="s">
        <v>31</v>
      </c>
      <c r="K18434" t="s">
        <v>198</v>
      </c>
      <c r="N18434" t="s">
        <v>67512</v>
      </c>
      <c r="O18434" t="s">
        <v>67513</v>
      </c>
      <c r="Q18434">
        <v>0</v>
      </c>
      <c r="R18434">
        <v>72</v>
      </c>
      <c r="S18434">
        <v>0</v>
      </c>
      <c r="T18434" t="s">
        <v>67514</v>
      </c>
    </row>
    <row r="18435" spans="1:20" customFormat="1" ht="15" x14ac:dyDescent="0.25">
      <c r="A18435" t="s">
        <v>24</v>
      </c>
      <c r="B18435" t="s">
        <v>56826</v>
      </c>
      <c r="C18435" t="str">
        <f>"A0087768"</f>
        <v>A0087768</v>
      </c>
      <c r="D18435" t="s">
        <v>67515</v>
      </c>
      <c r="E18435" t="s">
        <v>67516</v>
      </c>
      <c r="F18435" t="s">
        <v>8542</v>
      </c>
      <c r="G18435" t="s">
        <v>615</v>
      </c>
      <c r="H18435">
        <v>6040</v>
      </c>
      <c r="I18435" t="s">
        <v>30</v>
      </c>
      <c r="J18435" t="s">
        <v>31</v>
      </c>
      <c r="K18435" t="s">
        <v>198</v>
      </c>
      <c r="N18435" t="s">
        <v>67517</v>
      </c>
      <c r="Q18435">
        <v>0</v>
      </c>
      <c r="R18435">
        <v>107</v>
      </c>
      <c r="S18435">
        <v>0</v>
      </c>
      <c r="T18435" t="s">
        <v>67518</v>
      </c>
    </row>
    <row r="18436" spans="1:20" customFormat="1" ht="15" x14ac:dyDescent="0.25">
      <c r="A18436" t="s">
        <v>24</v>
      </c>
      <c r="B18436" t="s">
        <v>762</v>
      </c>
      <c r="C18436" t="str">
        <f>"A0147984"</f>
        <v>A0147984</v>
      </c>
      <c r="D18436" t="s">
        <v>67519</v>
      </c>
      <c r="E18436" t="s">
        <v>67520</v>
      </c>
      <c r="F18436" t="s">
        <v>67521</v>
      </c>
      <c r="G18436" t="s">
        <v>197</v>
      </c>
      <c r="H18436">
        <v>85742</v>
      </c>
      <c r="I18436" t="s">
        <v>30</v>
      </c>
      <c r="J18436" t="s">
        <v>31</v>
      </c>
      <c r="K18436" t="s">
        <v>198</v>
      </c>
      <c r="N18436" t="s">
        <v>63446</v>
      </c>
      <c r="Q18436">
        <v>0</v>
      </c>
      <c r="R18436">
        <v>101</v>
      </c>
      <c r="S18436">
        <v>0</v>
      </c>
      <c r="T18436" t="s">
        <v>67522</v>
      </c>
    </row>
    <row r="18437" spans="1:20" customFormat="1" ht="15" x14ac:dyDescent="0.25">
      <c r="A18437" t="s">
        <v>24</v>
      </c>
      <c r="B18437" t="s">
        <v>61024</v>
      </c>
      <c r="C18437" t="str">
        <f>"A0089854"</f>
        <v>A0089854</v>
      </c>
      <c r="D18437" t="s">
        <v>67523</v>
      </c>
      <c r="E18437" t="s">
        <v>67524</v>
      </c>
      <c r="F18437" t="s">
        <v>67525</v>
      </c>
      <c r="G18437" t="s">
        <v>52</v>
      </c>
      <c r="H18437">
        <v>78503</v>
      </c>
      <c r="I18437" t="s">
        <v>30</v>
      </c>
      <c r="J18437" t="s">
        <v>31</v>
      </c>
      <c r="K18437" t="s">
        <v>198</v>
      </c>
      <c r="N18437" t="s">
        <v>67526</v>
      </c>
      <c r="Q18437">
        <v>0</v>
      </c>
      <c r="R18437">
        <v>112</v>
      </c>
      <c r="S18437">
        <v>0</v>
      </c>
      <c r="T18437" t="s">
        <v>67527</v>
      </c>
    </row>
    <row r="18438" spans="1:20" customFormat="1" ht="15" x14ac:dyDescent="0.25">
      <c r="A18438" t="s">
        <v>24</v>
      </c>
      <c r="B18438" t="s">
        <v>1020</v>
      </c>
      <c r="C18438" t="str">
        <f>"A0069162"</f>
        <v>A0069162</v>
      </c>
      <c r="D18438" t="s">
        <v>67528</v>
      </c>
      <c r="E18438" t="s">
        <v>67529</v>
      </c>
      <c r="F18438" t="s">
        <v>67530</v>
      </c>
      <c r="G18438" t="s">
        <v>81</v>
      </c>
      <c r="H18438">
        <v>33178</v>
      </c>
      <c r="I18438" t="s">
        <v>30</v>
      </c>
      <c r="J18438" t="s">
        <v>31</v>
      </c>
      <c r="K18438" t="s">
        <v>198</v>
      </c>
      <c r="N18438" t="s">
        <v>67531</v>
      </c>
      <c r="Q18438">
        <v>0</v>
      </c>
      <c r="R18438">
        <v>121</v>
      </c>
      <c r="S18438">
        <v>0</v>
      </c>
      <c r="T18438" t="s">
        <v>67532</v>
      </c>
    </row>
    <row r="18439" spans="1:20" customFormat="1" ht="15" x14ac:dyDescent="0.25">
      <c r="A18439" t="s">
        <v>24</v>
      </c>
      <c r="B18439" t="s">
        <v>4400</v>
      </c>
      <c r="C18439" t="str">
        <f>"A0074572"</f>
        <v>A0074572</v>
      </c>
      <c r="D18439" t="s">
        <v>67533</v>
      </c>
      <c r="E18439" t="s">
        <v>67534</v>
      </c>
      <c r="F18439" t="s">
        <v>5999</v>
      </c>
      <c r="G18439" t="s">
        <v>71</v>
      </c>
      <c r="H18439">
        <v>53203</v>
      </c>
      <c r="I18439" t="s">
        <v>30</v>
      </c>
      <c r="J18439" t="s">
        <v>31</v>
      </c>
      <c r="K18439" t="s">
        <v>198</v>
      </c>
      <c r="N18439" t="s">
        <v>67535</v>
      </c>
      <c r="O18439" t="s">
        <v>67536</v>
      </c>
      <c r="Q18439">
        <v>0</v>
      </c>
      <c r="R18439">
        <v>138</v>
      </c>
      <c r="S18439">
        <v>0</v>
      </c>
      <c r="T18439" t="s">
        <v>67537</v>
      </c>
    </row>
    <row r="18440" spans="1:20" customFormat="1" ht="15" x14ac:dyDescent="0.25">
      <c r="A18440" t="s">
        <v>24</v>
      </c>
      <c r="B18440" t="s">
        <v>4400</v>
      </c>
      <c r="C18440" t="str">
        <f>"A0099095"</f>
        <v>A0099095</v>
      </c>
      <c r="D18440" t="s">
        <v>67538</v>
      </c>
      <c r="E18440" t="s">
        <v>67539</v>
      </c>
      <c r="F18440" t="s">
        <v>63720</v>
      </c>
      <c r="G18440" t="s">
        <v>289</v>
      </c>
      <c r="H18440">
        <v>61265</v>
      </c>
      <c r="I18440" t="s">
        <v>30</v>
      </c>
      <c r="J18440" t="s">
        <v>31</v>
      </c>
      <c r="K18440" t="s">
        <v>198</v>
      </c>
      <c r="N18440" t="s">
        <v>67540</v>
      </c>
      <c r="Q18440">
        <v>0</v>
      </c>
      <c r="R18440">
        <v>98</v>
      </c>
      <c r="S18440">
        <v>0</v>
      </c>
      <c r="T18440" t="s">
        <v>67541</v>
      </c>
    </row>
    <row r="18441" spans="1:20" customFormat="1" ht="15" x14ac:dyDescent="0.25">
      <c r="A18441" t="s">
        <v>24</v>
      </c>
      <c r="B18441" t="s">
        <v>8742</v>
      </c>
      <c r="C18441" t="str">
        <f>"A0087578"</f>
        <v>A0087578</v>
      </c>
      <c r="D18441" t="s">
        <v>67542</v>
      </c>
      <c r="E18441" t="s">
        <v>67543</v>
      </c>
      <c r="F18441" t="s">
        <v>8562</v>
      </c>
      <c r="G18441" t="s">
        <v>1706</v>
      </c>
      <c r="H18441">
        <v>36104</v>
      </c>
      <c r="I18441" t="s">
        <v>30</v>
      </c>
      <c r="J18441" t="s">
        <v>31</v>
      </c>
      <c r="K18441" t="s">
        <v>198</v>
      </c>
      <c r="N18441" t="s">
        <v>67544</v>
      </c>
      <c r="O18441" t="s">
        <v>67545</v>
      </c>
      <c r="Q18441">
        <v>0</v>
      </c>
      <c r="R18441">
        <v>86</v>
      </c>
      <c r="S18441">
        <v>0</v>
      </c>
      <c r="T18441" t="s">
        <v>67546</v>
      </c>
    </row>
    <row r="18442" spans="1:20" customFormat="1" ht="15" x14ac:dyDescent="0.25">
      <c r="A18442" t="s">
        <v>24</v>
      </c>
      <c r="B18442" t="s">
        <v>15855</v>
      </c>
      <c r="C18442" t="str">
        <f>"A0158828"</f>
        <v>A0158828</v>
      </c>
      <c r="D18442" t="s">
        <v>67547</v>
      </c>
      <c r="E18442" t="s">
        <v>67548</v>
      </c>
      <c r="F18442" t="s">
        <v>15858</v>
      </c>
      <c r="G18442" t="s">
        <v>880</v>
      </c>
      <c r="H18442">
        <v>37122</v>
      </c>
      <c r="I18442" t="s">
        <v>30</v>
      </c>
      <c r="J18442" t="s">
        <v>31</v>
      </c>
      <c r="K18442" t="s">
        <v>198</v>
      </c>
      <c r="N18442" t="s">
        <v>67549</v>
      </c>
      <c r="Q18442">
        <v>0</v>
      </c>
      <c r="R18442">
        <v>106</v>
      </c>
      <c r="S18442">
        <v>0</v>
      </c>
      <c r="T18442" t="s">
        <v>67550</v>
      </c>
    </row>
    <row r="18443" spans="1:20" customFormat="1" ht="15" x14ac:dyDescent="0.25">
      <c r="A18443" t="s">
        <v>24</v>
      </c>
      <c r="B18443" t="s">
        <v>1561</v>
      </c>
      <c r="C18443" t="str">
        <f>"A0090894"</f>
        <v>A0090894</v>
      </c>
      <c r="D18443" t="s">
        <v>67551</v>
      </c>
      <c r="E18443" t="s">
        <v>67552</v>
      </c>
      <c r="F18443" t="s">
        <v>5095</v>
      </c>
      <c r="G18443" t="s">
        <v>289</v>
      </c>
      <c r="H18443">
        <v>60056</v>
      </c>
      <c r="I18443" t="s">
        <v>30</v>
      </c>
      <c r="J18443" t="s">
        <v>31</v>
      </c>
      <c r="K18443" t="s">
        <v>198</v>
      </c>
      <c r="N18443" t="s">
        <v>67553</v>
      </c>
      <c r="O18443" t="s">
        <v>67554</v>
      </c>
      <c r="Q18443">
        <v>0</v>
      </c>
      <c r="R18443">
        <v>120</v>
      </c>
      <c r="S18443">
        <v>0</v>
      </c>
      <c r="T18443" t="s">
        <v>67555</v>
      </c>
    </row>
    <row r="18444" spans="1:20" customFormat="1" ht="15" x14ac:dyDescent="0.25">
      <c r="A18444" t="s">
        <v>24</v>
      </c>
      <c r="B18444" t="s">
        <v>4990</v>
      </c>
      <c r="C18444" t="str">
        <f>"A0089591"</f>
        <v>A0089591</v>
      </c>
      <c r="D18444" t="s">
        <v>67556</v>
      </c>
      <c r="E18444" t="s">
        <v>67557</v>
      </c>
      <c r="F18444" t="s">
        <v>67558</v>
      </c>
      <c r="G18444" t="s">
        <v>1898</v>
      </c>
      <c r="H18444">
        <v>52761</v>
      </c>
      <c r="I18444" t="s">
        <v>30</v>
      </c>
      <c r="J18444" t="s">
        <v>31</v>
      </c>
      <c r="K18444" t="s">
        <v>198</v>
      </c>
      <c r="N18444" t="s">
        <v>67559</v>
      </c>
      <c r="Q18444">
        <v>0</v>
      </c>
      <c r="R18444">
        <v>77</v>
      </c>
      <c r="S18444">
        <v>0</v>
      </c>
      <c r="T18444" t="s">
        <v>67560</v>
      </c>
    </row>
    <row r="18445" spans="1:20" customFormat="1" ht="15" x14ac:dyDescent="0.25">
      <c r="A18445" t="s">
        <v>24</v>
      </c>
      <c r="B18445" t="s">
        <v>2221</v>
      </c>
      <c r="C18445" t="str">
        <f>"A0062367"</f>
        <v>A0062367</v>
      </c>
      <c r="D18445" t="s">
        <v>67561</v>
      </c>
      <c r="E18445" t="s">
        <v>67562</v>
      </c>
      <c r="F18445" t="s">
        <v>3505</v>
      </c>
      <c r="G18445" t="s">
        <v>52</v>
      </c>
      <c r="H18445">
        <v>76177</v>
      </c>
      <c r="I18445" t="s">
        <v>30</v>
      </c>
      <c r="J18445" t="s">
        <v>31</v>
      </c>
      <c r="K18445" t="s">
        <v>198</v>
      </c>
      <c r="N18445" t="s">
        <v>67563</v>
      </c>
      <c r="Q18445">
        <v>0</v>
      </c>
      <c r="R18445">
        <v>102</v>
      </c>
      <c r="S18445">
        <v>0</v>
      </c>
      <c r="T18445" t="s">
        <v>67564</v>
      </c>
    </row>
    <row r="18446" spans="1:20" customFormat="1" ht="15" x14ac:dyDescent="0.25">
      <c r="A18446" t="s">
        <v>24</v>
      </c>
      <c r="B18446" t="s">
        <v>55128</v>
      </c>
      <c r="C18446" t="str">
        <f>"A0151464"</f>
        <v>A0151464</v>
      </c>
      <c r="D18446" t="s">
        <v>67565</v>
      </c>
      <c r="E18446" t="s">
        <v>67566</v>
      </c>
      <c r="F18446" t="s">
        <v>2971</v>
      </c>
      <c r="G18446" t="s">
        <v>880</v>
      </c>
      <c r="H18446">
        <v>37207</v>
      </c>
      <c r="I18446" t="s">
        <v>30</v>
      </c>
      <c r="J18446" t="s">
        <v>31</v>
      </c>
      <c r="K18446" t="s">
        <v>198</v>
      </c>
      <c r="N18446" t="s">
        <v>67567</v>
      </c>
      <c r="Q18446">
        <v>0</v>
      </c>
      <c r="R18446">
        <v>126</v>
      </c>
      <c r="S18446">
        <v>0</v>
      </c>
      <c r="T18446" t="s">
        <v>67568</v>
      </c>
    </row>
    <row r="18447" spans="1:20" customFormat="1" ht="15" x14ac:dyDescent="0.25">
      <c r="A18447" t="s">
        <v>24</v>
      </c>
      <c r="B18447" t="s">
        <v>1548</v>
      </c>
      <c r="C18447" t="str">
        <f>"A0096373"</f>
        <v>A0096373</v>
      </c>
      <c r="D18447" t="s">
        <v>67569</v>
      </c>
      <c r="E18447" t="s">
        <v>67570</v>
      </c>
      <c r="F18447" t="s">
        <v>2971</v>
      </c>
      <c r="G18447" t="s">
        <v>880</v>
      </c>
      <c r="H18447">
        <v>37201</v>
      </c>
      <c r="I18447" t="s">
        <v>30</v>
      </c>
      <c r="J18447" t="s">
        <v>31</v>
      </c>
      <c r="K18447" t="s">
        <v>198</v>
      </c>
      <c r="N18447" t="s">
        <v>67571</v>
      </c>
      <c r="O18447" t="s">
        <v>67572</v>
      </c>
      <c r="Q18447">
        <v>0</v>
      </c>
      <c r="R18447">
        <v>154</v>
      </c>
      <c r="S18447">
        <v>0</v>
      </c>
      <c r="T18447" t="s">
        <v>67573</v>
      </c>
    </row>
    <row r="18448" spans="1:20" customFormat="1" ht="15" x14ac:dyDescent="0.25">
      <c r="A18448" t="s">
        <v>24</v>
      </c>
      <c r="B18448" t="s">
        <v>2955</v>
      </c>
      <c r="C18448" t="str">
        <f>"A0086496"</f>
        <v>A0086496</v>
      </c>
      <c r="D18448" t="s">
        <v>67574</v>
      </c>
      <c r="E18448" t="s">
        <v>67575</v>
      </c>
      <c r="F18448" t="s">
        <v>7921</v>
      </c>
      <c r="G18448" t="s">
        <v>880</v>
      </c>
      <c r="H18448">
        <v>37067</v>
      </c>
      <c r="I18448" t="s">
        <v>30</v>
      </c>
      <c r="J18448" t="s">
        <v>31</v>
      </c>
      <c r="K18448" t="s">
        <v>198</v>
      </c>
      <c r="N18448" t="s">
        <v>67576</v>
      </c>
      <c r="Q18448">
        <v>0</v>
      </c>
      <c r="R18448">
        <v>127</v>
      </c>
      <c r="S18448">
        <v>0</v>
      </c>
      <c r="T18448" t="s">
        <v>67577</v>
      </c>
    </row>
    <row r="18449" spans="1:20" customFormat="1" ht="15" x14ac:dyDescent="0.25">
      <c r="A18449" t="s">
        <v>24</v>
      </c>
      <c r="B18449" t="s">
        <v>57671</v>
      </c>
      <c r="C18449" t="str">
        <f>"A0077413"</f>
        <v>A0077413</v>
      </c>
      <c r="D18449" t="s">
        <v>67578</v>
      </c>
      <c r="E18449" t="s">
        <v>67579</v>
      </c>
      <c r="F18449" t="s">
        <v>1420</v>
      </c>
      <c r="G18449" t="s">
        <v>880</v>
      </c>
      <c r="H18449">
        <v>37214</v>
      </c>
      <c r="I18449" t="s">
        <v>30</v>
      </c>
      <c r="J18449" t="s">
        <v>31</v>
      </c>
      <c r="K18449" t="s">
        <v>163</v>
      </c>
      <c r="Q18449">
        <v>0</v>
      </c>
      <c r="R18449">
        <v>111</v>
      </c>
      <c r="S18449">
        <v>0</v>
      </c>
      <c r="T18449" t="s">
        <v>67580</v>
      </c>
    </row>
    <row r="18450" spans="1:20" customFormat="1" ht="15" x14ac:dyDescent="0.25">
      <c r="A18450" t="s">
        <v>24</v>
      </c>
      <c r="B18450" t="s">
        <v>55128</v>
      </c>
      <c r="C18450" t="str">
        <f>"A0095246"</f>
        <v>A0095246</v>
      </c>
      <c r="D18450" t="s">
        <v>67581</v>
      </c>
      <c r="E18450" t="s">
        <v>67582</v>
      </c>
      <c r="F18450" t="s">
        <v>1833</v>
      </c>
      <c r="G18450" t="s">
        <v>65</v>
      </c>
      <c r="H18450">
        <v>43054</v>
      </c>
      <c r="I18450" t="s">
        <v>30</v>
      </c>
      <c r="J18450" t="s">
        <v>31</v>
      </c>
      <c r="K18450" t="s">
        <v>198</v>
      </c>
      <c r="N18450" t="s">
        <v>67583</v>
      </c>
      <c r="O18450" t="s">
        <v>67584</v>
      </c>
      <c r="Q18450">
        <v>0</v>
      </c>
      <c r="R18450">
        <v>114</v>
      </c>
      <c r="S18450">
        <v>0</v>
      </c>
      <c r="T18450" t="s">
        <v>67585</v>
      </c>
    </row>
    <row r="18451" spans="1:20" customFormat="1" ht="15" x14ac:dyDescent="0.25">
      <c r="A18451" t="s">
        <v>24</v>
      </c>
      <c r="B18451" t="s">
        <v>1561</v>
      </c>
      <c r="C18451" t="str">
        <f>"A0086427"</f>
        <v>A0086427</v>
      </c>
      <c r="D18451" t="s">
        <v>67586</v>
      </c>
      <c r="E18451" t="s">
        <v>67587</v>
      </c>
      <c r="F18451" t="s">
        <v>67588</v>
      </c>
      <c r="G18451" t="s">
        <v>615</v>
      </c>
      <c r="H18451">
        <v>6516</v>
      </c>
      <c r="I18451" t="s">
        <v>30</v>
      </c>
      <c r="J18451" t="s">
        <v>31</v>
      </c>
      <c r="K18451" t="s">
        <v>198</v>
      </c>
      <c r="N18451" t="s">
        <v>67589</v>
      </c>
      <c r="Q18451">
        <v>0</v>
      </c>
      <c r="R18451">
        <v>98</v>
      </c>
      <c r="S18451">
        <v>0</v>
      </c>
      <c r="T18451" t="s">
        <v>67590</v>
      </c>
    </row>
    <row r="18452" spans="1:20" customFormat="1" ht="15" x14ac:dyDescent="0.25">
      <c r="A18452" t="s">
        <v>24</v>
      </c>
      <c r="B18452" t="s">
        <v>2836</v>
      </c>
      <c r="C18452" t="str">
        <f>"A0158628"</f>
        <v>A0158628</v>
      </c>
      <c r="D18452" t="s">
        <v>67591</v>
      </c>
      <c r="E18452" t="s">
        <v>67592</v>
      </c>
      <c r="F18452" t="s">
        <v>2069</v>
      </c>
      <c r="G18452" t="s">
        <v>1170</v>
      </c>
      <c r="H18452">
        <v>70130</v>
      </c>
      <c r="I18452" t="s">
        <v>30</v>
      </c>
      <c r="J18452" t="s">
        <v>31</v>
      </c>
      <c r="K18452" t="s">
        <v>198</v>
      </c>
      <c r="N18452" t="s">
        <v>67593</v>
      </c>
      <c r="Q18452">
        <v>0</v>
      </c>
      <c r="R18452">
        <v>288</v>
      </c>
      <c r="S18452">
        <v>0</v>
      </c>
      <c r="T18452" t="s">
        <v>67594</v>
      </c>
    </row>
    <row r="18453" spans="1:20" customFormat="1" ht="15" x14ac:dyDescent="0.25">
      <c r="A18453" t="s">
        <v>24</v>
      </c>
      <c r="B18453" t="s">
        <v>675</v>
      </c>
      <c r="C18453" t="str">
        <f>"A0153133"</f>
        <v>A0153133</v>
      </c>
      <c r="D18453" t="s">
        <v>85013</v>
      </c>
      <c r="E18453" t="s">
        <v>85014</v>
      </c>
      <c r="F18453" t="s">
        <v>85015</v>
      </c>
      <c r="G18453" t="s">
        <v>81</v>
      </c>
      <c r="H18453">
        <v>33160</v>
      </c>
      <c r="I18453" t="s">
        <v>30</v>
      </c>
      <c r="J18453" t="s">
        <v>679</v>
      </c>
      <c r="K18453" t="s">
        <v>680</v>
      </c>
      <c r="N18453" t="s">
        <v>85016</v>
      </c>
      <c r="Q18453">
        <v>0</v>
      </c>
      <c r="R18453">
        <v>211</v>
      </c>
      <c r="S18453">
        <v>0</v>
      </c>
      <c r="T18453" t="s">
        <v>85017</v>
      </c>
    </row>
    <row r="18454" spans="1:20" customFormat="1" ht="15" x14ac:dyDescent="0.25">
      <c r="A18454" t="s">
        <v>24</v>
      </c>
      <c r="B18454" t="s">
        <v>1020</v>
      </c>
      <c r="C18454" t="str">
        <f>"A0165800"</f>
        <v>A0165800</v>
      </c>
      <c r="D18454" t="s">
        <v>67598</v>
      </c>
      <c r="E18454" t="s">
        <v>67599</v>
      </c>
      <c r="F18454" t="s">
        <v>67600</v>
      </c>
      <c r="G18454" t="s">
        <v>338</v>
      </c>
      <c r="H18454">
        <v>7029</v>
      </c>
      <c r="I18454" t="s">
        <v>30</v>
      </c>
      <c r="J18454" t="s">
        <v>31</v>
      </c>
      <c r="K18454" t="s">
        <v>198</v>
      </c>
      <c r="N18454" t="s">
        <v>67601</v>
      </c>
      <c r="Q18454">
        <v>0</v>
      </c>
      <c r="R18454">
        <v>165</v>
      </c>
      <c r="S18454">
        <v>0</v>
      </c>
      <c r="T18454" t="s">
        <v>67602</v>
      </c>
    </row>
    <row r="18455" spans="1:20" customFormat="1" ht="15" x14ac:dyDescent="0.25">
      <c r="A18455" t="s">
        <v>24</v>
      </c>
      <c r="B18455" t="s">
        <v>1138</v>
      </c>
      <c r="C18455" t="str">
        <f>"A0096348"</f>
        <v>A0096348</v>
      </c>
      <c r="D18455" t="s">
        <v>67603</v>
      </c>
      <c r="E18455" t="s">
        <v>67604</v>
      </c>
      <c r="F18455" t="s">
        <v>67605</v>
      </c>
      <c r="G18455" t="s">
        <v>65</v>
      </c>
      <c r="H18455">
        <v>44446</v>
      </c>
      <c r="I18455" t="s">
        <v>30</v>
      </c>
      <c r="J18455" t="s">
        <v>31</v>
      </c>
      <c r="K18455" t="s">
        <v>198</v>
      </c>
      <c r="N18455" t="s">
        <v>67606</v>
      </c>
      <c r="O18455" t="s">
        <v>67607</v>
      </c>
      <c r="Q18455">
        <v>0</v>
      </c>
      <c r="R18455">
        <v>108</v>
      </c>
      <c r="S18455">
        <v>0</v>
      </c>
      <c r="T18455" t="s">
        <v>67608</v>
      </c>
    </row>
    <row r="18456" spans="1:20" customFormat="1" ht="15" x14ac:dyDescent="0.25">
      <c r="A18456" t="s">
        <v>24</v>
      </c>
      <c r="B18456" t="s">
        <v>1020</v>
      </c>
      <c r="C18456" t="str">
        <f>"A0085010"</f>
        <v>A0085010</v>
      </c>
      <c r="D18456" t="s">
        <v>67609</v>
      </c>
      <c r="E18456" t="s">
        <v>67610</v>
      </c>
      <c r="F18456" t="s">
        <v>426</v>
      </c>
      <c r="G18456" t="s">
        <v>427</v>
      </c>
      <c r="H18456">
        <v>68102</v>
      </c>
      <c r="I18456" t="s">
        <v>30</v>
      </c>
      <c r="J18456" t="s">
        <v>31</v>
      </c>
      <c r="K18456" t="s">
        <v>198</v>
      </c>
      <c r="N18456" t="s">
        <v>67611</v>
      </c>
      <c r="Q18456">
        <v>0</v>
      </c>
      <c r="R18456">
        <v>139</v>
      </c>
      <c r="S18456">
        <v>0</v>
      </c>
      <c r="T18456" t="s">
        <v>67612</v>
      </c>
    </row>
    <row r="18457" spans="1:20" customFormat="1" ht="15" x14ac:dyDescent="0.25">
      <c r="A18457" t="s">
        <v>24</v>
      </c>
      <c r="B18457" t="s">
        <v>342</v>
      </c>
      <c r="C18457" t="str">
        <f>"A0091331"</f>
        <v>A0091331</v>
      </c>
      <c r="D18457" t="s">
        <v>67613</v>
      </c>
      <c r="E18457" t="s">
        <v>67614</v>
      </c>
      <c r="F18457" t="s">
        <v>67615</v>
      </c>
      <c r="G18457" t="s">
        <v>81</v>
      </c>
      <c r="H18457">
        <v>32812</v>
      </c>
      <c r="I18457" t="s">
        <v>30</v>
      </c>
      <c r="J18457" t="s">
        <v>31</v>
      </c>
      <c r="K18457" t="s">
        <v>198</v>
      </c>
      <c r="N18457" t="s">
        <v>67616</v>
      </c>
      <c r="O18457" t="s">
        <v>67617</v>
      </c>
      <c r="Q18457">
        <v>0</v>
      </c>
      <c r="R18457">
        <v>180</v>
      </c>
      <c r="S18457">
        <v>0</v>
      </c>
      <c r="T18457" t="s">
        <v>67618</v>
      </c>
    </row>
    <row r="18458" spans="1:20" customFormat="1" ht="15" x14ac:dyDescent="0.25">
      <c r="A18458" t="s">
        <v>24</v>
      </c>
      <c r="B18458" t="s">
        <v>34154</v>
      </c>
      <c r="C18458" t="str">
        <f>"A0094797"</f>
        <v>A0094797</v>
      </c>
      <c r="D18458" t="s">
        <v>67619</v>
      </c>
      <c r="E18458" t="s">
        <v>67620</v>
      </c>
      <c r="F18458" t="s">
        <v>985</v>
      </c>
      <c r="G18458" t="s">
        <v>81</v>
      </c>
      <c r="H18458">
        <v>32806</v>
      </c>
      <c r="I18458" t="s">
        <v>30</v>
      </c>
      <c r="J18458" t="s">
        <v>31</v>
      </c>
      <c r="K18458" t="s">
        <v>198</v>
      </c>
      <c r="N18458" t="s">
        <v>67621</v>
      </c>
      <c r="Q18458">
        <v>0</v>
      </c>
      <c r="R18458">
        <v>126</v>
      </c>
      <c r="S18458">
        <v>0</v>
      </c>
      <c r="T18458" t="s">
        <v>67622</v>
      </c>
    </row>
    <row r="18459" spans="1:20" customFormat="1" ht="15" x14ac:dyDescent="0.25">
      <c r="A18459" t="s">
        <v>24</v>
      </c>
      <c r="B18459" t="s">
        <v>34154</v>
      </c>
      <c r="C18459" t="str">
        <f>"A0101220"</f>
        <v>A0101220</v>
      </c>
      <c r="D18459" t="s">
        <v>67623</v>
      </c>
      <c r="E18459" t="s">
        <v>67624</v>
      </c>
      <c r="F18459" t="s">
        <v>985</v>
      </c>
      <c r="G18459" t="s">
        <v>81</v>
      </c>
      <c r="H18459">
        <v>32819</v>
      </c>
      <c r="I18459" t="s">
        <v>30</v>
      </c>
      <c r="J18459" t="s">
        <v>31</v>
      </c>
      <c r="K18459" t="s">
        <v>198</v>
      </c>
      <c r="N18459" t="s">
        <v>67625</v>
      </c>
      <c r="O18459" t="s">
        <v>67626</v>
      </c>
      <c r="Q18459">
        <v>0</v>
      </c>
      <c r="R18459">
        <v>108</v>
      </c>
      <c r="S18459">
        <v>0</v>
      </c>
      <c r="T18459" t="s">
        <v>15281</v>
      </c>
    </row>
    <row r="18460" spans="1:20" customFormat="1" ht="15" x14ac:dyDescent="0.25">
      <c r="A18460" t="s">
        <v>24</v>
      </c>
      <c r="B18460" t="s">
        <v>1323</v>
      </c>
      <c r="C18460" t="str">
        <f>"A0095397"</f>
        <v>A0095397</v>
      </c>
      <c r="D18460" t="s">
        <v>67627</v>
      </c>
      <c r="E18460" t="s">
        <v>67628</v>
      </c>
      <c r="F18460" t="s">
        <v>14530</v>
      </c>
      <c r="G18460" t="s">
        <v>81</v>
      </c>
      <c r="H18460">
        <v>32714</v>
      </c>
      <c r="I18460" t="s">
        <v>30</v>
      </c>
      <c r="J18460" t="s">
        <v>31</v>
      </c>
      <c r="K18460" t="s">
        <v>198</v>
      </c>
      <c r="N18460" t="s">
        <v>67629</v>
      </c>
      <c r="Q18460">
        <v>0</v>
      </c>
      <c r="R18460">
        <v>128</v>
      </c>
      <c r="S18460">
        <v>0</v>
      </c>
      <c r="T18460" t="s">
        <v>67630</v>
      </c>
    </row>
    <row r="18461" spans="1:20" customFormat="1" ht="15" x14ac:dyDescent="0.25">
      <c r="A18461" t="s">
        <v>24</v>
      </c>
      <c r="B18461" t="s">
        <v>1543</v>
      </c>
      <c r="C18461" t="str">
        <f>"A0091989"</f>
        <v>A0091989</v>
      </c>
      <c r="D18461" t="s">
        <v>67631</v>
      </c>
      <c r="E18461" t="s">
        <v>67632</v>
      </c>
      <c r="F18461" t="s">
        <v>67633</v>
      </c>
      <c r="G18461" t="s">
        <v>81</v>
      </c>
      <c r="H18461">
        <v>32703</v>
      </c>
      <c r="I18461" t="s">
        <v>30</v>
      </c>
      <c r="J18461" t="s">
        <v>31</v>
      </c>
      <c r="K18461" t="s">
        <v>198</v>
      </c>
      <c r="N18461" t="s">
        <v>67634</v>
      </c>
      <c r="Q18461">
        <v>0</v>
      </c>
      <c r="R18461">
        <v>81</v>
      </c>
      <c r="S18461">
        <v>0</v>
      </c>
      <c r="T18461" t="s">
        <v>67635</v>
      </c>
    </row>
    <row r="18462" spans="1:20" customFormat="1" ht="15" x14ac:dyDescent="0.25">
      <c r="A18462" t="s">
        <v>24</v>
      </c>
      <c r="B18462" t="s">
        <v>7040</v>
      </c>
      <c r="C18462" t="str">
        <f>"A0156074"</f>
        <v>A0156074</v>
      </c>
      <c r="D18462" t="s">
        <v>67636</v>
      </c>
      <c r="E18462" t="s">
        <v>67637</v>
      </c>
      <c r="F18462" t="s">
        <v>67638</v>
      </c>
      <c r="G18462" t="s">
        <v>338</v>
      </c>
      <c r="H18462">
        <v>7054</v>
      </c>
      <c r="I18462" t="s">
        <v>30</v>
      </c>
      <c r="J18462" t="s">
        <v>31</v>
      </c>
      <c r="K18462" t="s">
        <v>198</v>
      </c>
      <c r="N18462" t="s">
        <v>67639</v>
      </c>
      <c r="O18462" t="s">
        <v>67640</v>
      </c>
      <c r="Q18462">
        <v>0</v>
      </c>
      <c r="R18462">
        <v>87</v>
      </c>
      <c r="S18462">
        <v>0</v>
      </c>
      <c r="T18462" t="s">
        <v>67641</v>
      </c>
    </row>
    <row r="18463" spans="1:20" customFormat="1" ht="15" x14ac:dyDescent="0.25">
      <c r="A18463" t="s">
        <v>24</v>
      </c>
      <c r="B18463" t="s">
        <v>257</v>
      </c>
      <c r="C18463" t="str">
        <f>"A0078209"</f>
        <v>A0078209</v>
      </c>
      <c r="D18463" t="s">
        <v>67642</v>
      </c>
      <c r="E18463" t="s">
        <v>67643</v>
      </c>
      <c r="F18463" t="s">
        <v>1592</v>
      </c>
      <c r="G18463" t="s">
        <v>197</v>
      </c>
      <c r="H18463">
        <v>85281</v>
      </c>
      <c r="I18463" t="s">
        <v>30</v>
      </c>
      <c r="J18463" t="s">
        <v>31</v>
      </c>
      <c r="K18463" t="s">
        <v>198</v>
      </c>
      <c r="N18463" t="s">
        <v>55902</v>
      </c>
      <c r="O18463" t="s">
        <v>67644</v>
      </c>
      <c r="Q18463">
        <v>0</v>
      </c>
      <c r="R18463">
        <v>117</v>
      </c>
      <c r="S18463">
        <v>0</v>
      </c>
      <c r="T18463" t="s">
        <v>67645</v>
      </c>
    </row>
    <row r="18464" spans="1:20" customFormat="1" ht="15" x14ac:dyDescent="0.25">
      <c r="A18464" t="s">
        <v>24</v>
      </c>
      <c r="B18464" t="s">
        <v>58744</v>
      </c>
      <c r="C18464" t="str">
        <f>"A0100727"</f>
        <v>A0100727</v>
      </c>
      <c r="D18464" t="s">
        <v>67646</v>
      </c>
      <c r="E18464" t="s">
        <v>67647</v>
      </c>
      <c r="F18464" t="s">
        <v>67648</v>
      </c>
      <c r="G18464" t="s">
        <v>1508</v>
      </c>
      <c r="H18464">
        <v>82941</v>
      </c>
      <c r="I18464" t="s">
        <v>30</v>
      </c>
      <c r="J18464" t="s">
        <v>31</v>
      </c>
      <c r="K18464" t="s">
        <v>198</v>
      </c>
      <c r="N18464" t="s">
        <v>67649</v>
      </c>
      <c r="O18464" t="s">
        <v>67650</v>
      </c>
      <c r="Q18464">
        <v>0</v>
      </c>
      <c r="R18464">
        <v>102</v>
      </c>
      <c r="S18464">
        <v>0</v>
      </c>
      <c r="T18464" t="s">
        <v>67651</v>
      </c>
    </row>
    <row r="18465" spans="1:20" customFormat="1" ht="15" x14ac:dyDescent="0.25">
      <c r="A18465" t="s">
        <v>24</v>
      </c>
      <c r="B18465" t="s">
        <v>1548</v>
      </c>
      <c r="C18465" t="str">
        <f>"A0094992"</f>
        <v>A0094992</v>
      </c>
      <c r="D18465" t="s">
        <v>67652</v>
      </c>
      <c r="E18465" t="s">
        <v>67653</v>
      </c>
      <c r="F18465" t="s">
        <v>6835</v>
      </c>
      <c r="G18465" t="s">
        <v>103</v>
      </c>
      <c r="H18465">
        <v>15120</v>
      </c>
      <c r="I18465" t="s">
        <v>30</v>
      </c>
      <c r="J18465" t="s">
        <v>31</v>
      </c>
      <c r="K18465" t="s">
        <v>198</v>
      </c>
      <c r="N18465" t="s">
        <v>67654</v>
      </c>
      <c r="Q18465">
        <v>0</v>
      </c>
      <c r="R18465">
        <v>113</v>
      </c>
      <c r="S18465">
        <v>0</v>
      </c>
      <c r="T18465" t="s">
        <v>67655</v>
      </c>
    </row>
    <row r="18466" spans="1:20" customFormat="1" ht="15" x14ac:dyDescent="0.25">
      <c r="A18466" t="s">
        <v>24</v>
      </c>
      <c r="B18466" t="s">
        <v>1548</v>
      </c>
      <c r="C18466" t="str">
        <f>"A0088064"</f>
        <v>A0088064</v>
      </c>
      <c r="D18466" t="s">
        <v>67656</v>
      </c>
      <c r="E18466" t="s">
        <v>67657</v>
      </c>
      <c r="F18466" t="s">
        <v>313</v>
      </c>
      <c r="G18466" t="s">
        <v>103</v>
      </c>
      <c r="H18466">
        <v>15301</v>
      </c>
      <c r="I18466" t="s">
        <v>30</v>
      </c>
      <c r="J18466" t="s">
        <v>31</v>
      </c>
      <c r="K18466" t="s">
        <v>198</v>
      </c>
      <c r="N18466" t="s">
        <v>67344</v>
      </c>
      <c r="O18466" t="s">
        <v>67658</v>
      </c>
      <c r="Q18466">
        <v>0</v>
      </c>
      <c r="R18466">
        <v>103</v>
      </c>
      <c r="S18466">
        <v>0</v>
      </c>
      <c r="T18466" t="s">
        <v>67659</v>
      </c>
    </row>
    <row r="18467" spans="1:20" customFormat="1" ht="15" x14ac:dyDescent="0.25">
      <c r="A18467" t="s">
        <v>24</v>
      </c>
      <c r="B18467" t="s">
        <v>2387</v>
      </c>
      <c r="C18467" t="str">
        <f>"A0093388"</f>
        <v>A0093388</v>
      </c>
      <c r="D18467" t="s">
        <v>67660</v>
      </c>
      <c r="E18467" t="s">
        <v>67661</v>
      </c>
      <c r="F18467" t="s">
        <v>14994</v>
      </c>
      <c r="G18467" t="s">
        <v>1363</v>
      </c>
      <c r="H18467">
        <v>3801</v>
      </c>
      <c r="I18467" t="s">
        <v>30</v>
      </c>
      <c r="J18467" t="s">
        <v>31</v>
      </c>
      <c r="K18467" t="s">
        <v>198</v>
      </c>
      <c r="N18467" t="s">
        <v>67662</v>
      </c>
      <c r="O18467" t="s">
        <v>67663</v>
      </c>
      <c r="Q18467">
        <v>0</v>
      </c>
      <c r="R18467">
        <v>120</v>
      </c>
      <c r="S18467">
        <v>0</v>
      </c>
      <c r="T18467" t="s">
        <v>67664</v>
      </c>
    </row>
    <row r="18468" spans="1:20" customFormat="1" ht="15" x14ac:dyDescent="0.25">
      <c r="A18468" t="s">
        <v>24</v>
      </c>
      <c r="B18468" t="s">
        <v>67665</v>
      </c>
      <c r="C18468" t="str">
        <f>"A0063148"</f>
        <v>A0063148</v>
      </c>
      <c r="D18468" t="s">
        <v>67666</v>
      </c>
      <c r="E18468" t="s">
        <v>67667</v>
      </c>
      <c r="F18468" t="s">
        <v>61540</v>
      </c>
      <c r="G18468" t="s">
        <v>90</v>
      </c>
      <c r="H18468">
        <v>2886</v>
      </c>
      <c r="I18468" t="s">
        <v>30</v>
      </c>
      <c r="J18468" t="s">
        <v>31</v>
      </c>
      <c r="K18468" t="s">
        <v>198</v>
      </c>
      <c r="N18468" t="s">
        <v>67668</v>
      </c>
      <c r="Q18468">
        <v>0</v>
      </c>
      <c r="R18468">
        <v>173</v>
      </c>
      <c r="S18468">
        <v>0</v>
      </c>
      <c r="T18468" t="s">
        <v>67669</v>
      </c>
    </row>
    <row r="18469" spans="1:20" customFormat="1" ht="15" x14ac:dyDescent="0.25">
      <c r="A18469" t="s">
        <v>24</v>
      </c>
      <c r="B18469" t="s">
        <v>1561</v>
      </c>
      <c r="C18469" t="str">
        <f>"A0090730"</f>
        <v>A0090730</v>
      </c>
      <c r="D18469" t="s">
        <v>67670</v>
      </c>
      <c r="E18469" t="s">
        <v>67671</v>
      </c>
      <c r="F18469" t="s">
        <v>67672</v>
      </c>
      <c r="G18469" t="s">
        <v>190</v>
      </c>
      <c r="H18469">
        <v>81004</v>
      </c>
      <c r="I18469" t="s">
        <v>30</v>
      </c>
      <c r="J18469" t="s">
        <v>31</v>
      </c>
      <c r="K18469" t="s">
        <v>198</v>
      </c>
      <c r="N18469" t="s">
        <v>67673</v>
      </c>
      <c r="Q18469">
        <v>0</v>
      </c>
      <c r="R18469">
        <v>81</v>
      </c>
      <c r="S18469">
        <v>0</v>
      </c>
      <c r="T18469" t="s">
        <v>67674</v>
      </c>
    </row>
    <row r="18470" spans="1:20" customFormat="1" ht="15" x14ac:dyDescent="0.25">
      <c r="A18470" t="s">
        <v>24</v>
      </c>
      <c r="B18470" t="s">
        <v>1317</v>
      </c>
      <c r="C18470" t="str">
        <f>"A0089446"</f>
        <v>A0089446</v>
      </c>
      <c r="D18470" t="s">
        <v>67675</v>
      </c>
      <c r="E18470" t="s">
        <v>67676</v>
      </c>
      <c r="F18470" t="s">
        <v>65426</v>
      </c>
      <c r="G18470" t="s">
        <v>110</v>
      </c>
      <c r="H18470">
        <v>96002</v>
      </c>
      <c r="I18470" t="s">
        <v>30</v>
      </c>
      <c r="J18470" t="s">
        <v>31</v>
      </c>
      <c r="K18470" t="s">
        <v>198</v>
      </c>
      <c r="N18470" t="s">
        <v>67677</v>
      </c>
      <c r="Q18470">
        <v>0</v>
      </c>
      <c r="R18470">
        <v>80</v>
      </c>
      <c r="S18470">
        <v>0</v>
      </c>
      <c r="T18470" t="s">
        <v>67678</v>
      </c>
    </row>
    <row r="18471" spans="1:20" customFormat="1" ht="15" x14ac:dyDescent="0.25">
      <c r="A18471" t="s">
        <v>24</v>
      </c>
      <c r="B18471" t="s">
        <v>59142</v>
      </c>
      <c r="C18471" t="str">
        <f>"A0158044"</f>
        <v>A0158044</v>
      </c>
      <c r="D18471" t="s">
        <v>67679</v>
      </c>
      <c r="E18471" t="s">
        <v>67680</v>
      </c>
      <c r="F18471" t="s">
        <v>67681</v>
      </c>
      <c r="G18471" t="s">
        <v>47</v>
      </c>
      <c r="H18471">
        <v>97470</v>
      </c>
      <c r="I18471" t="s">
        <v>30</v>
      </c>
      <c r="J18471" t="s">
        <v>31</v>
      </c>
      <c r="K18471" t="s">
        <v>198</v>
      </c>
      <c r="N18471" t="s">
        <v>67682</v>
      </c>
      <c r="Q18471">
        <v>0</v>
      </c>
      <c r="R18471">
        <v>84</v>
      </c>
      <c r="S18471">
        <v>0</v>
      </c>
      <c r="T18471" t="s">
        <v>67683</v>
      </c>
    </row>
    <row r="18472" spans="1:20" customFormat="1" ht="15" x14ac:dyDescent="0.25">
      <c r="A18472" t="s">
        <v>24</v>
      </c>
      <c r="B18472" t="s">
        <v>56967</v>
      </c>
      <c r="C18472" t="str">
        <f>"A0155850"</f>
        <v>A0155850</v>
      </c>
      <c r="D18472" t="s">
        <v>67684</v>
      </c>
      <c r="E18472" t="s">
        <v>67685</v>
      </c>
      <c r="F18472" t="s">
        <v>67686</v>
      </c>
      <c r="G18472" t="s">
        <v>110</v>
      </c>
      <c r="H18472">
        <v>95661</v>
      </c>
      <c r="I18472" t="s">
        <v>30</v>
      </c>
      <c r="J18472" t="s">
        <v>31</v>
      </c>
      <c r="K18472" t="s">
        <v>198</v>
      </c>
      <c r="N18472" t="s">
        <v>67687</v>
      </c>
      <c r="Q18472">
        <v>0</v>
      </c>
      <c r="R18472">
        <v>85</v>
      </c>
      <c r="S18472">
        <v>0</v>
      </c>
      <c r="T18472" t="s">
        <v>67688</v>
      </c>
    </row>
    <row r="18473" spans="1:20" customFormat="1" ht="15" x14ac:dyDescent="0.25">
      <c r="A18473" t="s">
        <v>24</v>
      </c>
      <c r="B18473" t="s">
        <v>2340</v>
      </c>
      <c r="C18473" t="str">
        <f>"A0145805"</f>
        <v>A0145805</v>
      </c>
      <c r="D18473" t="s">
        <v>67689</v>
      </c>
      <c r="E18473" t="s">
        <v>67690</v>
      </c>
      <c r="F18473" t="s">
        <v>356</v>
      </c>
      <c r="G18473" t="s">
        <v>52</v>
      </c>
      <c r="H18473">
        <v>78204</v>
      </c>
      <c r="I18473" t="s">
        <v>30</v>
      </c>
      <c r="J18473" t="s">
        <v>31</v>
      </c>
      <c r="K18473" t="s">
        <v>198</v>
      </c>
      <c r="Q18473">
        <v>0</v>
      </c>
      <c r="R18473">
        <v>108</v>
      </c>
      <c r="S18473">
        <v>0</v>
      </c>
      <c r="T18473" t="s">
        <v>67691</v>
      </c>
    </row>
    <row r="18474" spans="1:20" customFormat="1" ht="15" x14ac:dyDescent="0.25">
      <c r="A18474" t="s">
        <v>24</v>
      </c>
      <c r="B18474" t="s">
        <v>2340</v>
      </c>
      <c r="C18474" t="str">
        <f>"A0145803"</f>
        <v>A0145803</v>
      </c>
      <c r="D18474" t="s">
        <v>67692</v>
      </c>
      <c r="E18474" t="s">
        <v>67693</v>
      </c>
      <c r="F18474" t="s">
        <v>356</v>
      </c>
      <c r="G18474" t="s">
        <v>52</v>
      </c>
      <c r="H18474">
        <v>78245</v>
      </c>
      <c r="I18474" t="s">
        <v>30</v>
      </c>
      <c r="J18474" t="s">
        <v>31</v>
      </c>
      <c r="K18474" t="s">
        <v>198</v>
      </c>
      <c r="N18474" t="s">
        <v>67694</v>
      </c>
      <c r="Q18474">
        <v>0</v>
      </c>
      <c r="R18474">
        <v>105</v>
      </c>
      <c r="S18474">
        <v>0</v>
      </c>
      <c r="T18474" t="s">
        <v>67695</v>
      </c>
    </row>
    <row r="18475" spans="1:20" customFormat="1" ht="15" x14ac:dyDescent="0.25">
      <c r="A18475" t="s">
        <v>24</v>
      </c>
      <c r="B18475" t="s">
        <v>1317</v>
      </c>
      <c r="C18475" t="str">
        <f>"A0117560"</f>
        <v>A0117560</v>
      </c>
      <c r="D18475" t="s">
        <v>67696</v>
      </c>
      <c r="E18475" t="s">
        <v>67697</v>
      </c>
      <c r="F18475" t="s">
        <v>2978</v>
      </c>
      <c r="G18475" t="s">
        <v>110</v>
      </c>
      <c r="H18475">
        <v>92101</v>
      </c>
      <c r="I18475" t="s">
        <v>30</v>
      </c>
      <c r="J18475" t="s">
        <v>31</v>
      </c>
      <c r="K18475" t="s">
        <v>198</v>
      </c>
      <c r="N18475" t="s">
        <v>67698</v>
      </c>
      <c r="O18475" t="s">
        <v>67699</v>
      </c>
      <c r="Q18475">
        <v>0</v>
      </c>
      <c r="R18475">
        <v>181</v>
      </c>
      <c r="S18475">
        <v>0</v>
      </c>
      <c r="T18475" t="s">
        <v>67700</v>
      </c>
    </row>
    <row r="18476" spans="1:20" customFormat="1" ht="15" x14ac:dyDescent="0.25">
      <c r="A18476" t="s">
        <v>24</v>
      </c>
      <c r="B18476" t="s">
        <v>1317</v>
      </c>
      <c r="C18476" t="str">
        <f>"A0090898"</f>
        <v>A0090898</v>
      </c>
      <c r="D18476" t="s">
        <v>67701</v>
      </c>
      <c r="E18476" t="s">
        <v>67702</v>
      </c>
      <c r="F18476" t="s">
        <v>6686</v>
      </c>
      <c r="G18476" t="s">
        <v>110</v>
      </c>
      <c r="H18476">
        <v>93405</v>
      </c>
      <c r="I18476" t="s">
        <v>30</v>
      </c>
      <c r="J18476" t="s">
        <v>31</v>
      </c>
      <c r="K18476" t="s">
        <v>198</v>
      </c>
      <c r="N18476" t="s">
        <v>67703</v>
      </c>
      <c r="O18476" t="s">
        <v>67704</v>
      </c>
      <c r="Q18476">
        <v>0</v>
      </c>
      <c r="R18476">
        <v>84</v>
      </c>
      <c r="S18476">
        <v>0</v>
      </c>
      <c r="T18476" t="s">
        <v>67705</v>
      </c>
    </row>
    <row r="18477" spans="1:20" customFormat="1" ht="15" x14ac:dyDescent="0.25">
      <c r="A18477" t="s">
        <v>24</v>
      </c>
      <c r="B18477" t="s">
        <v>56921</v>
      </c>
      <c r="C18477" t="str">
        <f>"A0083583"</f>
        <v>A0083583</v>
      </c>
      <c r="D18477" t="s">
        <v>67706</v>
      </c>
      <c r="E18477" t="s">
        <v>67707</v>
      </c>
      <c r="F18477" t="s">
        <v>67708</v>
      </c>
      <c r="G18477" t="s">
        <v>76</v>
      </c>
      <c r="H18477">
        <v>98036</v>
      </c>
      <c r="I18477" t="s">
        <v>30</v>
      </c>
      <c r="J18477" t="s">
        <v>31</v>
      </c>
      <c r="K18477" t="s">
        <v>198</v>
      </c>
      <c r="Q18477">
        <v>0</v>
      </c>
      <c r="R18477">
        <v>151</v>
      </c>
      <c r="S18477">
        <v>0</v>
      </c>
      <c r="T18477" t="s">
        <v>67709</v>
      </c>
    </row>
    <row r="18478" spans="1:20" customFormat="1" ht="15" x14ac:dyDescent="0.25">
      <c r="A18478" t="s">
        <v>24</v>
      </c>
      <c r="B18478" t="s">
        <v>60830</v>
      </c>
      <c r="C18478" t="str">
        <f>"A0095626"</f>
        <v>A0095626</v>
      </c>
      <c r="D18478" t="s">
        <v>67710</v>
      </c>
      <c r="E18478" t="s">
        <v>67711</v>
      </c>
      <c r="F18478" t="s">
        <v>59754</v>
      </c>
      <c r="G18478" t="s">
        <v>1170</v>
      </c>
      <c r="H18478">
        <v>71111</v>
      </c>
      <c r="I18478" t="s">
        <v>30</v>
      </c>
      <c r="J18478" t="s">
        <v>31</v>
      </c>
      <c r="K18478" t="s">
        <v>198</v>
      </c>
      <c r="N18478" t="s">
        <v>67712</v>
      </c>
      <c r="Q18478">
        <v>0</v>
      </c>
      <c r="R18478">
        <v>71</v>
      </c>
      <c r="S18478">
        <v>0</v>
      </c>
      <c r="T18478" t="s">
        <v>67713</v>
      </c>
    </row>
    <row r="18479" spans="1:20" customFormat="1" ht="15" x14ac:dyDescent="0.25">
      <c r="A18479" t="s">
        <v>24</v>
      </c>
      <c r="B18479" t="s">
        <v>2955</v>
      </c>
      <c r="C18479" t="str">
        <f>"A0154363"</f>
        <v>A0154363</v>
      </c>
      <c r="D18479" t="s">
        <v>67714</v>
      </c>
      <c r="E18479" t="s">
        <v>67715</v>
      </c>
      <c r="F18479" t="s">
        <v>67716</v>
      </c>
      <c r="G18479" t="s">
        <v>190</v>
      </c>
      <c r="H18479">
        <v>80498</v>
      </c>
      <c r="I18479" t="s">
        <v>30</v>
      </c>
      <c r="J18479" t="s">
        <v>31</v>
      </c>
      <c r="K18479" t="s">
        <v>198</v>
      </c>
      <c r="N18479" t="s">
        <v>67717</v>
      </c>
      <c r="Q18479">
        <v>0</v>
      </c>
      <c r="R18479">
        <v>88</v>
      </c>
      <c r="S18479">
        <v>0</v>
      </c>
      <c r="T18479" t="s">
        <v>67718</v>
      </c>
    </row>
    <row r="18480" spans="1:20" customFormat="1" ht="15" x14ac:dyDescent="0.25">
      <c r="A18480" t="s">
        <v>24</v>
      </c>
      <c r="B18480" t="s">
        <v>1020</v>
      </c>
      <c r="C18480" t="str">
        <f>"A0086426"</f>
        <v>A0086426</v>
      </c>
      <c r="D18480" t="s">
        <v>67719</v>
      </c>
      <c r="E18480" t="s">
        <v>67720</v>
      </c>
      <c r="F18480" t="s">
        <v>65542</v>
      </c>
      <c r="G18480" t="s">
        <v>90</v>
      </c>
      <c r="H18480">
        <v>2917</v>
      </c>
      <c r="I18480" t="s">
        <v>30</v>
      </c>
      <c r="J18480" t="s">
        <v>31</v>
      </c>
      <c r="K18480" t="s">
        <v>198</v>
      </c>
      <c r="N18480" t="s">
        <v>67721</v>
      </c>
      <c r="Q18480">
        <v>0</v>
      </c>
      <c r="R18480">
        <v>101</v>
      </c>
      <c r="S18480">
        <v>0</v>
      </c>
      <c r="T18480" t="s">
        <v>67722</v>
      </c>
    </row>
    <row r="18481" spans="1:20" customFormat="1" ht="15" x14ac:dyDescent="0.25">
      <c r="A18481" t="s">
        <v>24</v>
      </c>
      <c r="B18481" t="s">
        <v>649</v>
      </c>
      <c r="C18481" t="str">
        <f>"A0147930"</f>
        <v>A0147930</v>
      </c>
      <c r="D18481" t="s">
        <v>67723</v>
      </c>
      <c r="E18481" t="s">
        <v>67724</v>
      </c>
      <c r="F18481" t="s">
        <v>67725</v>
      </c>
      <c r="G18481" t="s">
        <v>846</v>
      </c>
      <c r="H18481">
        <v>30078</v>
      </c>
      <c r="I18481" t="s">
        <v>30</v>
      </c>
      <c r="J18481" t="s">
        <v>31</v>
      </c>
      <c r="K18481" t="s">
        <v>198</v>
      </c>
      <c r="N18481" t="s">
        <v>67726</v>
      </c>
      <c r="Q18481">
        <v>0</v>
      </c>
      <c r="R18481">
        <v>100</v>
      </c>
      <c r="S18481">
        <v>0</v>
      </c>
      <c r="T18481" t="s">
        <v>67727</v>
      </c>
    </row>
    <row r="18482" spans="1:20" customFormat="1" ht="15" x14ac:dyDescent="0.25">
      <c r="A18482" t="s">
        <v>24</v>
      </c>
      <c r="B18482" t="s">
        <v>4400</v>
      </c>
      <c r="C18482" t="str">
        <f>"88HM030"</f>
        <v>88HM030</v>
      </c>
      <c r="D18482" t="s">
        <v>67728</v>
      </c>
      <c r="E18482" t="s">
        <v>67729</v>
      </c>
      <c r="F18482" t="s">
        <v>55882</v>
      </c>
      <c r="G18482" t="s">
        <v>381</v>
      </c>
      <c r="H18482">
        <v>46637</v>
      </c>
      <c r="I18482" t="s">
        <v>30</v>
      </c>
      <c r="J18482" t="s">
        <v>31</v>
      </c>
      <c r="K18482" t="s">
        <v>198</v>
      </c>
      <c r="N18482" t="s">
        <v>67730</v>
      </c>
      <c r="O18482" t="s">
        <v>67731</v>
      </c>
      <c r="Q18482">
        <v>0</v>
      </c>
      <c r="R18482">
        <v>117</v>
      </c>
      <c r="S18482">
        <v>0</v>
      </c>
      <c r="T18482" t="s">
        <v>67732</v>
      </c>
    </row>
    <row r="18483" spans="1:20" customFormat="1" ht="15" x14ac:dyDescent="0.25">
      <c r="A18483" t="s">
        <v>24</v>
      </c>
      <c r="B18483" t="s">
        <v>1138</v>
      </c>
      <c r="C18483" t="str">
        <f>"A0100663"</f>
        <v>A0100663</v>
      </c>
      <c r="D18483" t="s">
        <v>67733</v>
      </c>
      <c r="E18483" t="s">
        <v>67734</v>
      </c>
      <c r="F18483" t="s">
        <v>67735</v>
      </c>
      <c r="G18483" t="s">
        <v>221</v>
      </c>
      <c r="H18483">
        <v>89434</v>
      </c>
      <c r="I18483" t="s">
        <v>30</v>
      </c>
      <c r="J18483" t="s">
        <v>31</v>
      </c>
      <c r="K18483" t="s">
        <v>198</v>
      </c>
      <c r="N18483" t="s">
        <v>67736</v>
      </c>
      <c r="Q18483">
        <v>0</v>
      </c>
      <c r="R18483">
        <v>101</v>
      </c>
      <c r="S18483">
        <v>0</v>
      </c>
      <c r="T18483" t="s">
        <v>67737</v>
      </c>
    </row>
    <row r="18484" spans="1:20" customFormat="1" ht="15" x14ac:dyDescent="0.25">
      <c r="A18484" t="s">
        <v>24</v>
      </c>
      <c r="B18484" t="s">
        <v>56277</v>
      </c>
      <c r="C18484" t="str">
        <f>"A0055804"</f>
        <v>A0055804</v>
      </c>
      <c r="D18484" t="s">
        <v>67738</v>
      </c>
      <c r="E18484" t="s">
        <v>67739</v>
      </c>
      <c r="F18484" t="s">
        <v>67740</v>
      </c>
      <c r="G18484" t="s">
        <v>85</v>
      </c>
      <c r="H18484">
        <v>72762</v>
      </c>
      <c r="I18484" t="s">
        <v>30</v>
      </c>
      <c r="J18484" t="s">
        <v>31</v>
      </c>
      <c r="K18484" t="s">
        <v>198</v>
      </c>
      <c r="N18484" t="s">
        <v>67741</v>
      </c>
      <c r="Q18484">
        <v>0</v>
      </c>
      <c r="R18484">
        <v>102</v>
      </c>
      <c r="S18484">
        <v>0</v>
      </c>
      <c r="T18484" t="s">
        <v>67742</v>
      </c>
    </row>
    <row r="18485" spans="1:20" customFormat="1" ht="15" x14ac:dyDescent="0.25">
      <c r="A18485" t="s">
        <v>24</v>
      </c>
      <c r="B18485" t="s">
        <v>55894</v>
      </c>
      <c r="C18485" t="str">
        <f>"A0091867"</f>
        <v>A0091867</v>
      </c>
      <c r="D18485" t="s">
        <v>67743</v>
      </c>
      <c r="E18485" t="s">
        <v>67744</v>
      </c>
      <c r="F18485" t="s">
        <v>33699</v>
      </c>
      <c r="G18485" t="s">
        <v>81</v>
      </c>
      <c r="H18485">
        <v>32084</v>
      </c>
      <c r="I18485" t="s">
        <v>30</v>
      </c>
      <c r="J18485" t="s">
        <v>31</v>
      </c>
      <c r="K18485" t="s">
        <v>198</v>
      </c>
      <c r="N18485" t="s">
        <v>67745</v>
      </c>
      <c r="O18485" t="s">
        <v>67746</v>
      </c>
      <c r="Q18485">
        <v>0</v>
      </c>
      <c r="R18485">
        <v>94</v>
      </c>
      <c r="S18485">
        <v>0</v>
      </c>
      <c r="T18485" t="s">
        <v>67747</v>
      </c>
    </row>
    <row r="18486" spans="1:20" customFormat="1" ht="15" x14ac:dyDescent="0.25">
      <c r="A18486" t="s">
        <v>24</v>
      </c>
      <c r="B18486" t="s">
        <v>342</v>
      </c>
      <c r="C18486" t="str">
        <f>"A0096383"</f>
        <v>A0096383</v>
      </c>
      <c r="D18486" t="s">
        <v>67748</v>
      </c>
      <c r="E18486" t="s">
        <v>67749</v>
      </c>
      <c r="F18486" t="s">
        <v>3955</v>
      </c>
      <c r="G18486" t="s">
        <v>81</v>
      </c>
      <c r="H18486">
        <v>33607</v>
      </c>
      <c r="I18486" t="s">
        <v>30</v>
      </c>
      <c r="J18486" t="s">
        <v>31</v>
      </c>
      <c r="K18486" t="s">
        <v>198</v>
      </c>
      <c r="N18486" t="s">
        <v>67750</v>
      </c>
      <c r="O18486" t="s">
        <v>67751</v>
      </c>
      <c r="Q18486">
        <v>0</v>
      </c>
      <c r="R18486">
        <v>178</v>
      </c>
      <c r="S18486">
        <v>0</v>
      </c>
      <c r="T18486" t="s">
        <v>67752</v>
      </c>
    </row>
    <row r="18487" spans="1:20" customFormat="1" ht="15" x14ac:dyDescent="0.25">
      <c r="A18487" t="s">
        <v>24</v>
      </c>
      <c r="B18487" t="s">
        <v>1543</v>
      </c>
      <c r="C18487" t="str">
        <f>"A0165477"</f>
        <v>A0165477</v>
      </c>
      <c r="D18487" t="s">
        <v>67753</v>
      </c>
      <c r="E18487" t="s">
        <v>67754</v>
      </c>
      <c r="F18487" t="s">
        <v>2230</v>
      </c>
      <c r="G18487" t="s">
        <v>81</v>
      </c>
      <c r="H18487">
        <v>33612</v>
      </c>
      <c r="I18487" t="s">
        <v>30</v>
      </c>
      <c r="J18487" t="s">
        <v>31</v>
      </c>
      <c r="K18487" t="s">
        <v>198</v>
      </c>
      <c r="N18487" t="s">
        <v>67755</v>
      </c>
      <c r="Q18487">
        <v>0</v>
      </c>
      <c r="R18487">
        <v>84</v>
      </c>
      <c r="S18487">
        <v>0</v>
      </c>
      <c r="T18487" t="s">
        <v>67756</v>
      </c>
    </row>
    <row r="18488" spans="1:20" customFormat="1" ht="15" x14ac:dyDescent="0.25">
      <c r="A18488" t="s">
        <v>24</v>
      </c>
      <c r="B18488" t="s">
        <v>342</v>
      </c>
      <c r="C18488" t="str">
        <f>"A0095552"</f>
        <v>A0095552</v>
      </c>
      <c r="D18488" t="s">
        <v>67757</v>
      </c>
      <c r="E18488" t="s">
        <v>67758</v>
      </c>
      <c r="F18488" t="s">
        <v>67759</v>
      </c>
      <c r="G18488" t="s">
        <v>81</v>
      </c>
      <c r="H18488">
        <v>33584</v>
      </c>
      <c r="I18488" t="s">
        <v>30</v>
      </c>
      <c r="J18488" t="s">
        <v>31</v>
      </c>
      <c r="K18488" t="s">
        <v>198</v>
      </c>
      <c r="N18488" t="s">
        <v>67760</v>
      </c>
      <c r="Q18488">
        <v>0</v>
      </c>
      <c r="R18488">
        <v>75</v>
      </c>
      <c r="S18488">
        <v>0</v>
      </c>
      <c r="T18488" t="s">
        <v>67761</v>
      </c>
    </row>
    <row r="18489" spans="1:20" customFormat="1" ht="15" x14ac:dyDescent="0.25">
      <c r="A18489" t="s">
        <v>24</v>
      </c>
      <c r="B18489" t="s">
        <v>1487</v>
      </c>
      <c r="C18489" t="str">
        <f>"A0100896"</f>
        <v>A0100896</v>
      </c>
      <c r="D18489" t="s">
        <v>67762</v>
      </c>
      <c r="E18489" t="s">
        <v>67763</v>
      </c>
      <c r="F18489" t="s">
        <v>67764</v>
      </c>
      <c r="G18489" t="s">
        <v>338</v>
      </c>
      <c r="H18489">
        <v>7666</v>
      </c>
      <c r="I18489" t="s">
        <v>30</v>
      </c>
      <c r="J18489" t="s">
        <v>31</v>
      </c>
      <c r="K18489" t="s">
        <v>198</v>
      </c>
      <c r="N18489" t="s">
        <v>67765</v>
      </c>
      <c r="O18489" t="s">
        <v>67766</v>
      </c>
      <c r="Q18489">
        <v>0</v>
      </c>
      <c r="R18489">
        <v>190</v>
      </c>
      <c r="S18489">
        <v>0</v>
      </c>
      <c r="T18489" t="s">
        <v>67767</v>
      </c>
    </row>
    <row r="18490" spans="1:20" customFormat="1" ht="15" x14ac:dyDescent="0.25">
      <c r="A18490" t="s">
        <v>24</v>
      </c>
      <c r="B18490" t="s">
        <v>762</v>
      </c>
      <c r="C18490" t="str">
        <f>"A0153941"</f>
        <v>A0153941</v>
      </c>
      <c r="D18490" t="s">
        <v>67768</v>
      </c>
      <c r="E18490" t="s">
        <v>67769</v>
      </c>
      <c r="F18490" t="s">
        <v>796</v>
      </c>
      <c r="G18490" t="s">
        <v>197</v>
      </c>
      <c r="H18490">
        <v>85747</v>
      </c>
      <c r="I18490" t="s">
        <v>30</v>
      </c>
      <c r="J18490" t="s">
        <v>31</v>
      </c>
      <c r="K18490" t="s">
        <v>198</v>
      </c>
      <c r="N18490" t="s">
        <v>797</v>
      </c>
      <c r="Q18490">
        <v>0</v>
      </c>
      <c r="R18490">
        <v>104</v>
      </c>
      <c r="S18490">
        <v>0</v>
      </c>
      <c r="T18490" t="s">
        <v>67770</v>
      </c>
    </row>
    <row r="18491" spans="1:20" customFormat="1" ht="15" x14ac:dyDescent="0.25">
      <c r="A18491" t="s">
        <v>24</v>
      </c>
      <c r="B18491" t="s">
        <v>1561</v>
      </c>
      <c r="C18491" t="str">
        <f>"A0094234"</f>
        <v>A0094234</v>
      </c>
      <c r="D18491" t="s">
        <v>67771</v>
      </c>
      <c r="E18491" t="s">
        <v>67772</v>
      </c>
      <c r="F18491" t="s">
        <v>7579</v>
      </c>
      <c r="G18491" t="s">
        <v>40</v>
      </c>
      <c r="H18491">
        <v>74133</v>
      </c>
      <c r="I18491" t="s">
        <v>30</v>
      </c>
      <c r="J18491" t="s">
        <v>31</v>
      </c>
      <c r="K18491" t="s">
        <v>198</v>
      </c>
      <c r="N18491" t="s">
        <v>67773</v>
      </c>
      <c r="Q18491">
        <v>0</v>
      </c>
      <c r="R18491">
        <v>102</v>
      </c>
      <c r="S18491">
        <v>0</v>
      </c>
      <c r="T18491" t="s">
        <v>67774</v>
      </c>
    </row>
    <row r="18492" spans="1:20" customFormat="1" ht="15" x14ac:dyDescent="0.25">
      <c r="A18492" t="s">
        <v>24</v>
      </c>
      <c r="B18492" t="s">
        <v>257</v>
      </c>
      <c r="C18492" t="str">
        <f>"A0094261"</f>
        <v>A0094261</v>
      </c>
      <c r="D18492" t="s">
        <v>67775</v>
      </c>
      <c r="E18492" t="s">
        <v>67776</v>
      </c>
      <c r="F18492" t="s">
        <v>67777</v>
      </c>
      <c r="G18492" t="s">
        <v>81</v>
      </c>
      <c r="H18492">
        <v>32960</v>
      </c>
      <c r="I18492" t="s">
        <v>30</v>
      </c>
      <c r="J18492" t="s">
        <v>31</v>
      </c>
      <c r="K18492" t="s">
        <v>198</v>
      </c>
      <c r="N18492" t="s">
        <v>67778</v>
      </c>
      <c r="Q18492">
        <v>0</v>
      </c>
      <c r="R18492">
        <v>86</v>
      </c>
      <c r="S18492">
        <v>0</v>
      </c>
      <c r="T18492" t="s">
        <v>67779</v>
      </c>
    </row>
    <row r="18493" spans="1:20" customFormat="1" ht="15" x14ac:dyDescent="0.25">
      <c r="A18493" t="s">
        <v>24</v>
      </c>
      <c r="B18493" t="s">
        <v>1020</v>
      </c>
      <c r="C18493" t="str">
        <f>"A0090994"</f>
        <v>A0090994</v>
      </c>
      <c r="D18493" t="s">
        <v>67780</v>
      </c>
      <c r="E18493" t="s">
        <v>67781</v>
      </c>
      <c r="F18493" t="s">
        <v>6430</v>
      </c>
      <c r="G18493" t="s">
        <v>52</v>
      </c>
      <c r="H18493">
        <v>76711</v>
      </c>
      <c r="I18493" t="s">
        <v>30</v>
      </c>
      <c r="J18493" t="s">
        <v>31</v>
      </c>
      <c r="K18493" t="s">
        <v>198</v>
      </c>
      <c r="N18493" t="s">
        <v>67782</v>
      </c>
      <c r="Q18493">
        <v>0</v>
      </c>
      <c r="R18493">
        <v>123</v>
      </c>
      <c r="S18493">
        <v>0</v>
      </c>
      <c r="T18493" t="s">
        <v>67783</v>
      </c>
    </row>
    <row r="18494" spans="1:20" customFormat="1" ht="15" x14ac:dyDescent="0.25">
      <c r="A18494" t="s">
        <v>24</v>
      </c>
      <c r="B18494" t="s">
        <v>58814</v>
      </c>
      <c r="C18494" t="str">
        <f>"A0098153"</f>
        <v>A0098153</v>
      </c>
      <c r="D18494" t="s">
        <v>67784</v>
      </c>
      <c r="E18494" t="s">
        <v>67785</v>
      </c>
      <c r="F18494" t="s">
        <v>67786</v>
      </c>
      <c r="G18494" t="s">
        <v>381</v>
      </c>
      <c r="H18494">
        <v>47906</v>
      </c>
      <c r="I18494" t="s">
        <v>30</v>
      </c>
      <c r="J18494" t="s">
        <v>31</v>
      </c>
      <c r="K18494" t="s">
        <v>198</v>
      </c>
      <c r="N18494" t="s">
        <v>67787</v>
      </c>
      <c r="Q18494">
        <v>0</v>
      </c>
      <c r="R18494">
        <v>105</v>
      </c>
      <c r="S18494">
        <v>0</v>
      </c>
      <c r="T18494" t="s">
        <v>67788</v>
      </c>
    </row>
    <row r="18495" spans="1:20" customFormat="1" ht="15" x14ac:dyDescent="0.25">
      <c r="A18495" t="s">
        <v>24</v>
      </c>
      <c r="B18495" t="s">
        <v>2955</v>
      </c>
      <c r="C18495" t="str">
        <f>"A0086523"</f>
        <v>A0086523</v>
      </c>
      <c r="D18495" t="s">
        <v>67789</v>
      </c>
      <c r="E18495" t="s">
        <v>67790</v>
      </c>
      <c r="F18495" t="s">
        <v>67791</v>
      </c>
      <c r="G18495" t="s">
        <v>899</v>
      </c>
      <c r="H18495">
        <v>1886</v>
      </c>
      <c r="I18495" t="s">
        <v>30</v>
      </c>
      <c r="J18495" t="s">
        <v>31</v>
      </c>
      <c r="K18495" t="s">
        <v>198</v>
      </c>
      <c r="N18495" t="s">
        <v>67792</v>
      </c>
      <c r="Q18495">
        <v>0</v>
      </c>
      <c r="R18495">
        <v>110</v>
      </c>
      <c r="S18495">
        <v>0</v>
      </c>
      <c r="T18495" t="s">
        <v>67793</v>
      </c>
    </row>
    <row r="18496" spans="1:20" customFormat="1" ht="15" x14ac:dyDescent="0.25">
      <c r="A18496" t="s">
        <v>24</v>
      </c>
      <c r="B18496" t="s">
        <v>9391</v>
      </c>
      <c r="C18496" t="str">
        <f>"A0098049"</f>
        <v>A0098049</v>
      </c>
      <c r="D18496" t="s">
        <v>67794</v>
      </c>
      <c r="E18496" t="s">
        <v>67795</v>
      </c>
      <c r="F18496" t="s">
        <v>67796</v>
      </c>
      <c r="G18496" t="s">
        <v>214</v>
      </c>
      <c r="H18496">
        <v>28401</v>
      </c>
      <c r="I18496" t="s">
        <v>30</v>
      </c>
      <c r="J18496" t="s">
        <v>31</v>
      </c>
      <c r="K18496" t="s">
        <v>198</v>
      </c>
      <c r="N18496" t="s">
        <v>67797</v>
      </c>
      <c r="Q18496">
        <v>0</v>
      </c>
      <c r="R18496">
        <v>91</v>
      </c>
      <c r="S18496">
        <v>0</v>
      </c>
      <c r="T18496" t="s">
        <v>67798</v>
      </c>
    </row>
    <row r="18497" spans="1:20" customFormat="1" ht="15" x14ac:dyDescent="0.25">
      <c r="A18497" t="s">
        <v>24</v>
      </c>
      <c r="B18497" t="s">
        <v>342</v>
      </c>
      <c r="C18497" t="str">
        <f>"A0090218"</f>
        <v>A0090218</v>
      </c>
      <c r="D18497" t="s">
        <v>67799</v>
      </c>
      <c r="E18497" t="s">
        <v>67800</v>
      </c>
      <c r="F18497" t="s">
        <v>65717</v>
      </c>
      <c r="G18497" t="s">
        <v>214</v>
      </c>
      <c r="H18497">
        <v>27105</v>
      </c>
      <c r="I18497" t="s">
        <v>30</v>
      </c>
      <c r="J18497" t="s">
        <v>31</v>
      </c>
      <c r="K18497" t="s">
        <v>198</v>
      </c>
      <c r="N18497" t="s">
        <v>67801</v>
      </c>
      <c r="O18497" t="s">
        <v>3486</v>
      </c>
      <c r="Q18497">
        <v>0</v>
      </c>
      <c r="R18497">
        <v>94</v>
      </c>
      <c r="S18497">
        <v>0</v>
      </c>
      <c r="T18497" t="s">
        <v>67802</v>
      </c>
    </row>
    <row r="18498" spans="1:20" customFormat="1" ht="15" x14ac:dyDescent="0.25">
      <c r="A18498" t="s">
        <v>24</v>
      </c>
      <c r="B18498" t="s">
        <v>1836</v>
      </c>
      <c r="C18498" t="str">
        <f>"A0096188"</f>
        <v>A0096188</v>
      </c>
      <c r="D18498" t="s">
        <v>67803</v>
      </c>
      <c r="E18498" t="s">
        <v>67804</v>
      </c>
      <c r="F18498" t="s">
        <v>10779</v>
      </c>
      <c r="G18498" t="s">
        <v>52</v>
      </c>
      <c r="H18498">
        <v>75082</v>
      </c>
      <c r="I18498" t="s">
        <v>30</v>
      </c>
      <c r="J18498" t="s">
        <v>31</v>
      </c>
      <c r="K18498" t="s">
        <v>198</v>
      </c>
      <c r="N18498" t="s">
        <v>13860</v>
      </c>
      <c r="O18498" t="s">
        <v>67805</v>
      </c>
      <c r="Q18498">
        <v>0</v>
      </c>
      <c r="R18498">
        <v>101</v>
      </c>
      <c r="S18498">
        <v>0</v>
      </c>
      <c r="T18498" t="s">
        <v>67806</v>
      </c>
    </row>
    <row r="18499" spans="1:20" customFormat="1" ht="15" x14ac:dyDescent="0.25">
      <c r="A18499" t="s">
        <v>24</v>
      </c>
      <c r="B18499" t="s">
        <v>60220</v>
      </c>
      <c r="C18499" t="str">
        <f>"A0095556"</f>
        <v>A0095556</v>
      </c>
      <c r="D18499" t="s">
        <v>67807</v>
      </c>
      <c r="E18499" t="s">
        <v>67808</v>
      </c>
      <c r="F18499" t="s">
        <v>57918</v>
      </c>
      <c r="G18499" t="s">
        <v>52</v>
      </c>
      <c r="H18499">
        <v>75038</v>
      </c>
      <c r="I18499" t="s">
        <v>30</v>
      </c>
      <c r="J18499" t="s">
        <v>31</v>
      </c>
      <c r="K18499" t="s">
        <v>198</v>
      </c>
      <c r="N18499" t="s">
        <v>67809</v>
      </c>
      <c r="Q18499">
        <v>0</v>
      </c>
      <c r="R18499">
        <v>105</v>
      </c>
      <c r="S18499">
        <v>0</v>
      </c>
      <c r="T18499" t="s">
        <v>67810</v>
      </c>
    </row>
    <row r="18500" spans="1:20" customFormat="1" ht="15" x14ac:dyDescent="0.25">
      <c r="A18500" t="s">
        <v>24</v>
      </c>
      <c r="B18500" t="s">
        <v>34738</v>
      </c>
      <c r="C18500" t="str">
        <f>"A0093826"</f>
        <v>A0093826</v>
      </c>
      <c r="D18500" t="s">
        <v>67811</v>
      </c>
      <c r="E18500" t="s">
        <v>67812</v>
      </c>
      <c r="F18500" t="s">
        <v>13716</v>
      </c>
      <c r="G18500" t="s">
        <v>65</v>
      </c>
      <c r="H18500">
        <v>45202</v>
      </c>
      <c r="I18500" t="s">
        <v>30</v>
      </c>
      <c r="J18500" t="s">
        <v>31</v>
      </c>
      <c r="K18500" t="s">
        <v>198</v>
      </c>
      <c r="N18500" t="s">
        <v>67813</v>
      </c>
      <c r="Q18500">
        <v>0</v>
      </c>
      <c r="R18500">
        <v>144</v>
      </c>
      <c r="S18500">
        <v>0</v>
      </c>
      <c r="T18500" t="s">
        <v>67814</v>
      </c>
    </row>
    <row r="18501" spans="1:20" customFormat="1" ht="15" x14ac:dyDescent="0.25">
      <c r="A18501" t="s">
        <v>24</v>
      </c>
      <c r="B18501" t="s">
        <v>4400</v>
      </c>
      <c r="C18501" t="str">
        <f>"A0087849"</f>
        <v>A0087849</v>
      </c>
      <c r="D18501" t="s">
        <v>67815</v>
      </c>
      <c r="E18501" t="s">
        <v>67816</v>
      </c>
      <c r="F18501" t="s">
        <v>1871</v>
      </c>
      <c r="G18501" t="s">
        <v>925</v>
      </c>
      <c r="H18501">
        <v>67226</v>
      </c>
      <c r="I18501" t="s">
        <v>30</v>
      </c>
      <c r="J18501" t="s">
        <v>31</v>
      </c>
      <c r="K18501" t="s">
        <v>198</v>
      </c>
      <c r="N18501" t="s">
        <v>67817</v>
      </c>
      <c r="O18501" t="s">
        <v>67818</v>
      </c>
      <c r="Q18501">
        <v>0</v>
      </c>
      <c r="R18501">
        <v>102</v>
      </c>
      <c r="S18501">
        <v>0</v>
      </c>
      <c r="T18501" t="s">
        <v>67819</v>
      </c>
    </row>
    <row r="18502" spans="1:20" customFormat="1" ht="15" x14ac:dyDescent="0.25">
      <c r="A18502" t="s">
        <v>24</v>
      </c>
      <c r="B18502" t="s">
        <v>13807</v>
      </c>
      <c r="C18502" t="str">
        <f>"A0095942"</f>
        <v>A0095942</v>
      </c>
      <c r="D18502" t="s">
        <v>67820</v>
      </c>
      <c r="E18502" t="s">
        <v>67821</v>
      </c>
      <c r="F18502" t="s">
        <v>3358</v>
      </c>
      <c r="G18502" t="s">
        <v>846</v>
      </c>
      <c r="H18502">
        <v>30606</v>
      </c>
      <c r="I18502" t="s">
        <v>30</v>
      </c>
      <c r="J18502" t="s">
        <v>31</v>
      </c>
      <c r="K18502" t="s">
        <v>198</v>
      </c>
      <c r="N18502" t="s">
        <v>67822</v>
      </c>
      <c r="O18502" t="s">
        <v>67823</v>
      </c>
      <c r="Q18502">
        <v>0</v>
      </c>
      <c r="R18502">
        <v>112</v>
      </c>
      <c r="S18502">
        <v>0</v>
      </c>
      <c r="T18502" t="s">
        <v>67824</v>
      </c>
    </row>
    <row r="18503" spans="1:20" customFormat="1" ht="15" x14ac:dyDescent="0.25">
      <c r="A18503" t="s">
        <v>24</v>
      </c>
      <c r="B18503" t="s">
        <v>64474</v>
      </c>
      <c r="C18503" t="str">
        <f>"A0091801"</f>
        <v>A0091801</v>
      </c>
      <c r="D18503" t="s">
        <v>67820</v>
      </c>
      <c r="E18503" t="s">
        <v>67825</v>
      </c>
      <c r="F18503" t="s">
        <v>3358</v>
      </c>
      <c r="G18503" t="s">
        <v>65</v>
      </c>
      <c r="H18503">
        <v>45701</v>
      </c>
      <c r="I18503" t="s">
        <v>30</v>
      </c>
      <c r="J18503" t="s">
        <v>31</v>
      </c>
      <c r="K18503" t="s">
        <v>198</v>
      </c>
      <c r="N18503" t="s">
        <v>67826</v>
      </c>
      <c r="O18503" t="s">
        <v>67827</v>
      </c>
      <c r="Q18503">
        <v>0</v>
      </c>
      <c r="R18503">
        <v>86</v>
      </c>
      <c r="S18503">
        <v>0</v>
      </c>
      <c r="T18503" t="s">
        <v>67828</v>
      </c>
    </row>
    <row r="18504" spans="1:20" customFormat="1" ht="15" x14ac:dyDescent="0.25">
      <c r="A18504" t="s">
        <v>24</v>
      </c>
      <c r="B18504" t="s">
        <v>342</v>
      </c>
      <c r="C18504" t="str">
        <f>"A0098206"</f>
        <v>A0098206</v>
      </c>
      <c r="D18504" t="s">
        <v>67829</v>
      </c>
      <c r="E18504" t="s">
        <v>67830</v>
      </c>
      <c r="F18504" t="s">
        <v>1248</v>
      </c>
      <c r="G18504" t="s">
        <v>846</v>
      </c>
      <c r="H18504">
        <v>30144</v>
      </c>
      <c r="I18504" t="s">
        <v>30</v>
      </c>
      <c r="J18504" t="s">
        <v>31</v>
      </c>
      <c r="K18504" t="s">
        <v>198</v>
      </c>
      <c r="N18504" t="s">
        <v>67831</v>
      </c>
      <c r="Q18504">
        <v>0</v>
      </c>
      <c r="R18504">
        <v>100</v>
      </c>
      <c r="S18504">
        <v>0</v>
      </c>
      <c r="T18504" t="s">
        <v>67832</v>
      </c>
    </row>
    <row r="18505" spans="1:20" customFormat="1" ht="15" x14ac:dyDescent="0.25">
      <c r="A18505" t="s">
        <v>24</v>
      </c>
      <c r="B18505" t="s">
        <v>2955</v>
      </c>
      <c r="C18505" t="str">
        <f>"A0056161"</f>
        <v>A0056161</v>
      </c>
      <c r="D18505" t="s">
        <v>67833</v>
      </c>
      <c r="E18505" t="s">
        <v>67834</v>
      </c>
      <c r="F18505" t="s">
        <v>372</v>
      </c>
      <c r="G18505" t="s">
        <v>52</v>
      </c>
      <c r="H18505">
        <v>78752</v>
      </c>
      <c r="I18505" t="s">
        <v>30</v>
      </c>
      <c r="J18505" t="s">
        <v>31</v>
      </c>
      <c r="K18505" t="s">
        <v>198</v>
      </c>
      <c r="N18505" t="s">
        <v>67835</v>
      </c>
      <c r="Q18505">
        <v>0</v>
      </c>
      <c r="R18505">
        <v>121</v>
      </c>
      <c r="S18505">
        <v>0</v>
      </c>
      <c r="T18505" t="s">
        <v>67836</v>
      </c>
    </row>
    <row r="18506" spans="1:20" customFormat="1" ht="15" x14ac:dyDescent="0.25">
      <c r="A18506" t="s">
        <v>24</v>
      </c>
      <c r="B18506" t="s">
        <v>15855</v>
      </c>
      <c r="C18506" t="str">
        <f>"A0158832"</f>
        <v>A0158832</v>
      </c>
      <c r="D18506" t="s">
        <v>67837</v>
      </c>
      <c r="E18506" t="s">
        <v>67838</v>
      </c>
      <c r="F18506" t="s">
        <v>2971</v>
      </c>
      <c r="G18506" t="s">
        <v>880</v>
      </c>
      <c r="H18506">
        <v>37221</v>
      </c>
      <c r="I18506" t="s">
        <v>30</v>
      </c>
      <c r="J18506" t="s">
        <v>31</v>
      </c>
      <c r="K18506" t="s">
        <v>198</v>
      </c>
      <c r="N18506" t="s">
        <v>67839</v>
      </c>
      <c r="Q18506">
        <v>0</v>
      </c>
      <c r="R18506">
        <v>86</v>
      </c>
      <c r="S18506">
        <v>0</v>
      </c>
      <c r="T18506" t="s">
        <v>67840</v>
      </c>
    </row>
    <row r="18507" spans="1:20" customFormat="1" ht="15" x14ac:dyDescent="0.25">
      <c r="A18507" t="s">
        <v>24</v>
      </c>
      <c r="B18507" t="s">
        <v>2955</v>
      </c>
      <c r="C18507" t="str">
        <f>"A0056170"</f>
        <v>A0056170</v>
      </c>
      <c r="D18507" t="s">
        <v>67841</v>
      </c>
      <c r="E18507" t="s">
        <v>67842</v>
      </c>
      <c r="F18507" t="s">
        <v>67843</v>
      </c>
      <c r="G18507" t="s">
        <v>1706</v>
      </c>
      <c r="H18507">
        <v>35223</v>
      </c>
      <c r="I18507" t="s">
        <v>30</v>
      </c>
      <c r="J18507" t="s">
        <v>31</v>
      </c>
      <c r="K18507" t="s">
        <v>198</v>
      </c>
      <c r="N18507" t="s">
        <v>67844</v>
      </c>
      <c r="O18507" t="s">
        <v>67845</v>
      </c>
      <c r="Q18507">
        <v>0</v>
      </c>
      <c r="R18507">
        <v>131</v>
      </c>
      <c r="S18507">
        <v>0</v>
      </c>
      <c r="T18507" t="s">
        <v>67846</v>
      </c>
    </row>
    <row r="18508" spans="1:20" customFormat="1" ht="15" x14ac:dyDescent="0.25">
      <c r="A18508" t="s">
        <v>24</v>
      </c>
      <c r="B18508" t="s">
        <v>13807</v>
      </c>
      <c r="C18508" t="str">
        <f>"A0096394"</f>
        <v>A0096394</v>
      </c>
      <c r="D18508" t="s">
        <v>67847</v>
      </c>
      <c r="E18508" t="s">
        <v>67848</v>
      </c>
      <c r="F18508" t="s">
        <v>67849</v>
      </c>
      <c r="G18508" t="s">
        <v>1706</v>
      </c>
      <c r="H18508">
        <v>35242</v>
      </c>
      <c r="I18508" t="s">
        <v>30</v>
      </c>
      <c r="J18508" t="s">
        <v>31</v>
      </c>
      <c r="K18508" t="s">
        <v>198</v>
      </c>
      <c r="N18508" t="s">
        <v>67850</v>
      </c>
      <c r="O18508" t="s">
        <v>67851</v>
      </c>
      <c r="Q18508">
        <v>0</v>
      </c>
      <c r="R18508">
        <v>106</v>
      </c>
      <c r="S18508">
        <v>0</v>
      </c>
      <c r="T18508" t="s">
        <v>67852</v>
      </c>
    </row>
    <row r="18509" spans="1:20" customFormat="1" ht="15" x14ac:dyDescent="0.25">
      <c r="A18509" t="s">
        <v>24</v>
      </c>
      <c r="B18509" t="s">
        <v>4990</v>
      </c>
      <c r="C18509" t="str">
        <f>"A0092157"</f>
        <v>A0092157</v>
      </c>
      <c r="D18509" t="s">
        <v>67853</v>
      </c>
      <c r="E18509" t="s">
        <v>67854</v>
      </c>
      <c r="F18509" t="s">
        <v>5706</v>
      </c>
      <c r="G18509" t="s">
        <v>1706</v>
      </c>
      <c r="H18509">
        <v>35243</v>
      </c>
      <c r="I18509" t="s">
        <v>30</v>
      </c>
      <c r="J18509" t="s">
        <v>31</v>
      </c>
      <c r="K18509" t="s">
        <v>198</v>
      </c>
      <c r="N18509" t="s">
        <v>67855</v>
      </c>
      <c r="Q18509">
        <v>0</v>
      </c>
      <c r="R18509">
        <v>133</v>
      </c>
      <c r="S18509">
        <v>0</v>
      </c>
      <c r="T18509" t="s">
        <v>67856</v>
      </c>
    </row>
    <row r="18510" spans="1:20" customFormat="1" ht="15" x14ac:dyDescent="0.25">
      <c r="A18510" t="s">
        <v>24</v>
      </c>
      <c r="B18510" t="s">
        <v>2583</v>
      </c>
      <c r="C18510" t="str">
        <f>"88HM025"</f>
        <v>88HM025</v>
      </c>
      <c r="D18510" t="s">
        <v>67857</v>
      </c>
      <c r="E18510" t="s">
        <v>67858</v>
      </c>
      <c r="F18510" t="s">
        <v>3455</v>
      </c>
      <c r="G18510" t="s">
        <v>381</v>
      </c>
      <c r="H18510">
        <v>47404</v>
      </c>
      <c r="I18510" t="s">
        <v>30</v>
      </c>
      <c r="J18510" t="s">
        <v>31</v>
      </c>
      <c r="K18510" t="s">
        <v>198</v>
      </c>
      <c r="N18510" t="s">
        <v>67859</v>
      </c>
      <c r="O18510" t="s">
        <v>67860</v>
      </c>
      <c r="Q18510">
        <v>0</v>
      </c>
      <c r="R18510">
        <v>131</v>
      </c>
      <c r="S18510">
        <v>0</v>
      </c>
      <c r="T18510" t="s">
        <v>67861</v>
      </c>
    </row>
    <row r="18511" spans="1:20" customFormat="1" ht="15" x14ac:dyDescent="0.25">
      <c r="A18511" t="s">
        <v>24</v>
      </c>
      <c r="B18511" t="s">
        <v>342</v>
      </c>
      <c r="C18511" t="str">
        <f>"A0085772"</f>
        <v>A0085772</v>
      </c>
      <c r="D18511" t="s">
        <v>67862</v>
      </c>
      <c r="E18511" t="s">
        <v>67863</v>
      </c>
      <c r="F18511" t="s">
        <v>10561</v>
      </c>
      <c r="G18511" t="s">
        <v>81</v>
      </c>
      <c r="H18511">
        <v>34135</v>
      </c>
      <c r="I18511" t="s">
        <v>30</v>
      </c>
      <c r="J18511" t="s">
        <v>31</v>
      </c>
      <c r="K18511" t="s">
        <v>198</v>
      </c>
      <c r="N18511" t="s">
        <v>67864</v>
      </c>
      <c r="O18511" t="s">
        <v>67865</v>
      </c>
      <c r="Q18511">
        <v>0</v>
      </c>
      <c r="R18511">
        <v>93</v>
      </c>
      <c r="S18511">
        <v>0</v>
      </c>
      <c r="T18511" t="s">
        <v>67866</v>
      </c>
    </row>
    <row r="18512" spans="1:20" customFormat="1" ht="15" x14ac:dyDescent="0.25">
      <c r="A18512" t="s">
        <v>24</v>
      </c>
      <c r="B18512" t="s">
        <v>2955</v>
      </c>
      <c r="C18512" t="str">
        <f>"A0075321"</f>
        <v>A0075321</v>
      </c>
      <c r="D18512" t="s">
        <v>67867</v>
      </c>
      <c r="E18512" t="s">
        <v>67868</v>
      </c>
      <c r="F18512" t="s">
        <v>67869</v>
      </c>
      <c r="G18512" t="s">
        <v>899</v>
      </c>
      <c r="H18512">
        <v>1960</v>
      </c>
      <c r="I18512" t="s">
        <v>30</v>
      </c>
      <c r="J18512" t="s">
        <v>31</v>
      </c>
      <c r="K18512" t="s">
        <v>198</v>
      </c>
      <c r="N18512" t="s">
        <v>67870</v>
      </c>
      <c r="Q18512">
        <v>0</v>
      </c>
      <c r="R18512">
        <v>120</v>
      </c>
      <c r="S18512">
        <v>0</v>
      </c>
      <c r="T18512" t="s">
        <v>67871</v>
      </c>
    </row>
    <row r="18513" spans="1:20" customFormat="1" ht="15" x14ac:dyDescent="0.25">
      <c r="A18513" t="s">
        <v>24</v>
      </c>
      <c r="B18513" t="s">
        <v>2340</v>
      </c>
      <c r="C18513" t="str">
        <f>"A0157509"</f>
        <v>A0157509</v>
      </c>
      <c r="D18513" t="s">
        <v>67872</v>
      </c>
      <c r="E18513" t="s">
        <v>67873</v>
      </c>
      <c r="F18513" t="s">
        <v>57969</v>
      </c>
      <c r="G18513" t="s">
        <v>899</v>
      </c>
      <c r="H18513">
        <v>2150</v>
      </c>
      <c r="I18513" t="s">
        <v>30</v>
      </c>
      <c r="J18513" t="s">
        <v>31</v>
      </c>
      <c r="K18513" t="s">
        <v>198</v>
      </c>
      <c r="N18513" t="s">
        <v>67874</v>
      </c>
      <c r="Q18513">
        <v>0</v>
      </c>
      <c r="R18513">
        <v>105</v>
      </c>
      <c r="S18513">
        <v>0</v>
      </c>
      <c r="T18513" t="s">
        <v>67875</v>
      </c>
    </row>
    <row r="18514" spans="1:20" customFormat="1" ht="15" x14ac:dyDescent="0.25">
      <c r="A18514" t="s">
        <v>24</v>
      </c>
      <c r="B18514" t="s">
        <v>2917</v>
      </c>
      <c r="C18514" t="str">
        <f>"A0063145"</f>
        <v>A0063145</v>
      </c>
      <c r="D18514" t="s">
        <v>67876</v>
      </c>
      <c r="E18514" t="s">
        <v>67877</v>
      </c>
      <c r="F18514" t="s">
        <v>34968</v>
      </c>
      <c r="G18514" t="s">
        <v>899</v>
      </c>
      <c r="H18514">
        <v>2184</v>
      </c>
      <c r="I18514" t="s">
        <v>30</v>
      </c>
      <c r="J18514" t="s">
        <v>31</v>
      </c>
      <c r="K18514" t="s">
        <v>198</v>
      </c>
      <c r="N18514" t="s">
        <v>67878</v>
      </c>
      <c r="O18514" t="s">
        <v>67879</v>
      </c>
      <c r="Q18514">
        <v>0</v>
      </c>
      <c r="R18514">
        <v>103</v>
      </c>
      <c r="S18514">
        <v>0</v>
      </c>
      <c r="T18514" t="s">
        <v>67880</v>
      </c>
    </row>
    <row r="18515" spans="1:20" customFormat="1" ht="15" x14ac:dyDescent="0.25">
      <c r="A18515" t="s">
        <v>24</v>
      </c>
      <c r="B18515" t="s">
        <v>8579</v>
      </c>
      <c r="C18515" t="str">
        <f>"88HM120"</f>
        <v>88HM120</v>
      </c>
      <c r="D18515" t="s">
        <v>67881</v>
      </c>
      <c r="E18515" t="s">
        <v>67882</v>
      </c>
      <c r="F18515" t="s">
        <v>3466</v>
      </c>
      <c r="G18515" t="s">
        <v>190</v>
      </c>
      <c r="H18515">
        <v>80027</v>
      </c>
      <c r="I18515" t="s">
        <v>30</v>
      </c>
      <c r="J18515" t="s">
        <v>31</v>
      </c>
      <c r="K18515" t="s">
        <v>198</v>
      </c>
      <c r="N18515" t="s">
        <v>67883</v>
      </c>
      <c r="O18515" t="s">
        <v>67884</v>
      </c>
      <c r="Q18515">
        <v>0</v>
      </c>
      <c r="R18515">
        <v>80</v>
      </c>
      <c r="S18515">
        <v>0</v>
      </c>
      <c r="T18515" t="s">
        <v>67885</v>
      </c>
    </row>
    <row r="18516" spans="1:20" customFormat="1" ht="15" x14ac:dyDescent="0.25">
      <c r="A18516" t="s">
        <v>24</v>
      </c>
      <c r="B18516" t="s">
        <v>1561</v>
      </c>
      <c r="C18516" t="str">
        <f>"A0067077"</f>
        <v>A0067077</v>
      </c>
      <c r="D18516" t="s">
        <v>67886</v>
      </c>
      <c r="E18516" t="s">
        <v>67887</v>
      </c>
      <c r="F18516" t="s">
        <v>5152</v>
      </c>
      <c r="G18516" t="s">
        <v>840</v>
      </c>
      <c r="H18516">
        <v>42104</v>
      </c>
      <c r="I18516" t="s">
        <v>30</v>
      </c>
      <c r="J18516" t="s">
        <v>31</v>
      </c>
      <c r="K18516" t="s">
        <v>198</v>
      </c>
      <c r="N18516" t="s">
        <v>67888</v>
      </c>
      <c r="O18516" t="s">
        <v>67889</v>
      </c>
      <c r="Q18516">
        <v>0</v>
      </c>
      <c r="R18516">
        <v>130</v>
      </c>
      <c r="S18516">
        <v>0</v>
      </c>
      <c r="T18516" t="s">
        <v>67890</v>
      </c>
    </row>
    <row r="18517" spans="1:20" customFormat="1" ht="15" x14ac:dyDescent="0.25">
      <c r="A18517" t="s">
        <v>24</v>
      </c>
      <c r="B18517" t="s">
        <v>2373</v>
      </c>
      <c r="C18517" t="str">
        <f>"A0097903"</f>
        <v>A0097903</v>
      </c>
      <c r="D18517" t="s">
        <v>67891</v>
      </c>
      <c r="E18517" t="s">
        <v>67892</v>
      </c>
      <c r="F18517" t="s">
        <v>16330</v>
      </c>
      <c r="G18517" t="s">
        <v>846</v>
      </c>
      <c r="H18517">
        <v>30512</v>
      </c>
      <c r="I18517" t="s">
        <v>30</v>
      </c>
      <c r="J18517" t="s">
        <v>31</v>
      </c>
      <c r="K18517" t="s">
        <v>198</v>
      </c>
      <c r="N18517" t="s">
        <v>67893</v>
      </c>
      <c r="Q18517">
        <v>0</v>
      </c>
      <c r="R18517">
        <v>95</v>
      </c>
      <c r="S18517">
        <v>0</v>
      </c>
      <c r="T18517" t="s">
        <v>67894</v>
      </c>
    </row>
    <row r="18518" spans="1:20" customFormat="1" ht="15" x14ac:dyDescent="0.25">
      <c r="A18518" t="s">
        <v>24</v>
      </c>
      <c r="B18518" t="s">
        <v>55997</v>
      </c>
      <c r="C18518" t="str">
        <f>"A0067939"</f>
        <v>A0067939</v>
      </c>
      <c r="D18518" t="s">
        <v>67895</v>
      </c>
      <c r="E18518" t="s">
        <v>67896</v>
      </c>
      <c r="F18518" t="s">
        <v>67897</v>
      </c>
      <c r="G18518" t="s">
        <v>338</v>
      </c>
      <c r="H18518">
        <v>8085</v>
      </c>
      <c r="I18518" t="s">
        <v>30</v>
      </c>
      <c r="J18518" t="s">
        <v>31</v>
      </c>
      <c r="K18518" t="s">
        <v>198</v>
      </c>
      <c r="N18518" t="s">
        <v>67898</v>
      </c>
      <c r="O18518" t="s">
        <v>67899</v>
      </c>
      <c r="Q18518">
        <v>0</v>
      </c>
      <c r="R18518">
        <v>95</v>
      </c>
      <c r="S18518">
        <v>0</v>
      </c>
      <c r="T18518" t="s">
        <v>67900</v>
      </c>
    </row>
    <row r="18519" spans="1:20" customFormat="1" ht="15" x14ac:dyDescent="0.25">
      <c r="A18519" t="s">
        <v>24</v>
      </c>
      <c r="B18519" t="s">
        <v>2583</v>
      </c>
      <c r="C18519" t="str">
        <f>"A0148749"</f>
        <v>A0148749</v>
      </c>
      <c r="D18519" t="s">
        <v>67901</v>
      </c>
      <c r="E18519" t="s">
        <v>67902</v>
      </c>
      <c r="F18519" t="s">
        <v>67903</v>
      </c>
      <c r="G18519" t="s">
        <v>289</v>
      </c>
      <c r="H18519">
        <v>60455</v>
      </c>
      <c r="I18519" t="s">
        <v>30</v>
      </c>
      <c r="J18519" t="s">
        <v>31</v>
      </c>
      <c r="K18519" t="s">
        <v>198</v>
      </c>
      <c r="N18519" t="s">
        <v>67904</v>
      </c>
      <c r="Q18519">
        <v>0</v>
      </c>
      <c r="R18519">
        <v>109</v>
      </c>
      <c r="S18519">
        <v>0</v>
      </c>
      <c r="T18519" t="s">
        <v>67905</v>
      </c>
    </row>
    <row r="18520" spans="1:20" customFormat="1" ht="15" x14ac:dyDescent="0.25">
      <c r="A18520" t="s">
        <v>24</v>
      </c>
      <c r="B18520" t="s">
        <v>2387</v>
      </c>
      <c r="C18520" t="str">
        <f>"A0098411"</f>
        <v>A0098411</v>
      </c>
      <c r="D18520" t="s">
        <v>67906</v>
      </c>
      <c r="E18520" t="s">
        <v>67907</v>
      </c>
      <c r="F18520" t="s">
        <v>67908</v>
      </c>
      <c r="G18520" t="s">
        <v>338</v>
      </c>
      <c r="H18520">
        <v>8807</v>
      </c>
      <c r="I18520" t="s">
        <v>30</v>
      </c>
      <c r="J18520" t="s">
        <v>31</v>
      </c>
      <c r="K18520" t="s">
        <v>198</v>
      </c>
      <c r="N18520" t="s">
        <v>67909</v>
      </c>
      <c r="O18520" t="s">
        <v>67910</v>
      </c>
      <c r="Q18520">
        <v>0</v>
      </c>
      <c r="R18520">
        <v>133</v>
      </c>
      <c r="S18520">
        <v>0</v>
      </c>
      <c r="T18520" t="s">
        <v>67911</v>
      </c>
    </row>
    <row r="18521" spans="1:20" customFormat="1" ht="15" x14ac:dyDescent="0.25">
      <c r="A18521" t="s">
        <v>24</v>
      </c>
      <c r="B18521" t="s">
        <v>2528</v>
      </c>
      <c r="C18521" t="str">
        <f>"A0083248"</f>
        <v>A0083248</v>
      </c>
      <c r="D18521" t="s">
        <v>67912</v>
      </c>
      <c r="E18521" t="s">
        <v>67913</v>
      </c>
      <c r="F18521" t="s">
        <v>67914</v>
      </c>
      <c r="G18521" t="s">
        <v>99</v>
      </c>
      <c r="H18521">
        <v>11738</v>
      </c>
      <c r="I18521" t="s">
        <v>30</v>
      </c>
      <c r="J18521" t="s">
        <v>31</v>
      </c>
      <c r="K18521" t="s">
        <v>198</v>
      </c>
      <c r="N18521" t="s">
        <v>67915</v>
      </c>
      <c r="Q18521">
        <v>0</v>
      </c>
      <c r="R18521">
        <v>161</v>
      </c>
      <c r="S18521">
        <v>0</v>
      </c>
      <c r="T18521" t="s">
        <v>67916</v>
      </c>
    </row>
    <row r="18522" spans="1:20" customFormat="1" ht="15" x14ac:dyDescent="0.25">
      <c r="A18522" t="s">
        <v>24</v>
      </c>
      <c r="B18522" t="s">
        <v>2221</v>
      </c>
      <c r="C18522" t="str">
        <f>"A0077409"</f>
        <v>A0077409</v>
      </c>
      <c r="D18522" t="s">
        <v>67917</v>
      </c>
      <c r="E18522" t="s">
        <v>67918</v>
      </c>
      <c r="F18522" t="s">
        <v>67919</v>
      </c>
      <c r="G18522" t="s">
        <v>846</v>
      </c>
      <c r="H18522">
        <v>30519</v>
      </c>
      <c r="I18522" t="s">
        <v>30</v>
      </c>
      <c r="J18522" t="s">
        <v>31</v>
      </c>
      <c r="K18522" t="s">
        <v>198</v>
      </c>
      <c r="N18522" t="s">
        <v>67920</v>
      </c>
      <c r="Q18522">
        <v>0</v>
      </c>
      <c r="R18522">
        <v>92</v>
      </c>
      <c r="S18522">
        <v>0</v>
      </c>
      <c r="T18522" t="s">
        <v>67921</v>
      </c>
    </row>
    <row r="18523" spans="1:20" customFormat="1" ht="15" hidden="1" x14ac:dyDescent="0.25">
      <c r="A18523" t="s">
        <v>24</v>
      </c>
      <c r="B18523" t="s">
        <v>4848</v>
      </c>
      <c r="C18523" t="str">
        <f>"A0156976"</f>
        <v>A0156976</v>
      </c>
      <c r="D18523" t="s">
        <v>67922</v>
      </c>
      <c r="E18523" t="s">
        <v>67923</v>
      </c>
      <c r="F18523" t="s">
        <v>6439</v>
      </c>
      <c r="G18523" t="s">
        <v>2206</v>
      </c>
      <c r="H18523" t="s">
        <v>67924</v>
      </c>
      <c r="I18523" t="s">
        <v>1459</v>
      </c>
      <c r="J18523" t="s">
        <v>31</v>
      </c>
      <c r="K18523" t="s">
        <v>198</v>
      </c>
      <c r="N18523" t="s">
        <v>67925</v>
      </c>
      <c r="Q18523">
        <v>0</v>
      </c>
      <c r="R18523">
        <v>92</v>
      </c>
      <c r="S18523">
        <v>0</v>
      </c>
      <c r="T18523" t="s">
        <v>67926</v>
      </c>
    </row>
    <row r="18524" spans="1:20" customFormat="1" ht="15" x14ac:dyDescent="0.25">
      <c r="A18524" t="s">
        <v>24</v>
      </c>
      <c r="B18524" t="s">
        <v>8366</v>
      </c>
      <c r="C18524" t="str">
        <f>"A0087728"</f>
        <v>A0087728</v>
      </c>
      <c r="D18524" t="s">
        <v>67927</v>
      </c>
      <c r="E18524" t="s">
        <v>67928</v>
      </c>
      <c r="F18524" t="s">
        <v>57308</v>
      </c>
      <c r="G18524" t="s">
        <v>899</v>
      </c>
      <c r="H18524">
        <v>2141</v>
      </c>
      <c r="I18524" t="s">
        <v>30</v>
      </c>
      <c r="J18524" t="s">
        <v>31</v>
      </c>
      <c r="K18524" t="s">
        <v>198</v>
      </c>
      <c r="N18524" t="s">
        <v>67929</v>
      </c>
      <c r="Q18524">
        <v>0</v>
      </c>
      <c r="R18524">
        <v>114</v>
      </c>
      <c r="S18524">
        <v>0</v>
      </c>
      <c r="T18524" t="s">
        <v>67930</v>
      </c>
    </row>
    <row r="18525" spans="1:20" customFormat="1" ht="15" x14ac:dyDescent="0.25">
      <c r="A18525" t="s">
        <v>24</v>
      </c>
      <c r="B18525" t="s">
        <v>1020</v>
      </c>
      <c r="C18525" t="str">
        <f>"A0062763"</f>
        <v>A0062763</v>
      </c>
      <c r="D18525" t="s">
        <v>67931</v>
      </c>
      <c r="E18525" t="s">
        <v>67932</v>
      </c>
      <c r="F18525" t="s">
        <v>64675</v>
      </c>
      <c r="G18525" t="s">
        <v>103</v>
      </c>
      <c r="H18525">
        <v>17013</v>
      </c>
      <c r="I18525" t="s">
        <v>30</v>
      </c>
      <c r="J18525" t="s">
        <v>31</v>
      </c>
      <c r="K18525" t="s">
        <v>198</v>
      </c>
      <c r="N18525" t="s">
        <v>67933</v>
      </c>
      <c r="O18525" t="s">
        <v>67934</v>
      </c>
      <c r="Q18525">
        <v>0</v>
      </c>
      <c r="R18525">
        <v>97</v>
      </c>
      <c r="S18525">
        <v>0</v>
      </c>
      <c r="T18525" t="s">
        <v>67935</v>
      </c>
    </row>
    <row r="18526" spans="1:20" customFormat="1" ht="15" x14ac:dyDescent="0.25">
      <c r="A18526" t="s">
        <v>24</v>
      </c>
      <c r="B18526" t="s">
        <v>4990</v>
      </c>
      <c r="C18526" t="str">
        <f>"A0147871"</f>
        <v>A0147871</v>
      </c>
      <c r="D18526" t="s">
        <v>67936</v>
      </c>
      <c r="E18526" t="s">
        <v>67937</v>
      </c>
      <c r="F18526" t="s">
        <v>67938</v>
      </c>
      <c r="G18526" t="s">
        <v>1898</v>
      </c>
      <c r="H18526">
        <v>50613</v>
      </c>
      <c r="I18526" t="s">
        <v>30</v>
      </c>
      <c r="J18526" t="s">
        <v>31</v>
      </c>
      <c r="K18526" t="s">
        <v>198</v>
      </c>
      <c r="N18526" t="s">
        <v>67939</v>
      </c>
      <c r="O18526" t="s">
        <v>67940</v>
      </c>
      <c r="Q18526">
        <v>0</v>
      </c>
      <c r="R18526">
        <v>130</v>
      </c>
      <c r="S18526">
        <v>0</v>
      </c>
      <c r="T18526" t="s">
        <v>67941</v>
      </c>
    </row>
    <row r="18527" spans="1:20" customFormat="1" ht="15" x14ac:dyDescent="0.25">
      <c r="A18527" t="s">
        <v>24</v>
      </c>
      <c r="B18527" t="s">
        <v>2910</v>
      </c>
      <c r="C18527" t="str">
        <f>"A0148606"</f>
        <v>A0148606</v>
      </c>
      <c r="D18527" t="s">
        <v>67942</v>
      </c>
      <c r="E18527" t="s">
        <v>67943</v>
      </c>
      <c r="F18527" t="s">
        <v>5369</v>
      </c>
      <c r="G18527" t="s">
        <v>507</v>
      </c>
      <c r="H18527">
        <v>25309</v>
      </c>
      <c r="I18527" t="s">
        <v>30</v>
      </c>
      <c r="J18527" t="s">
        <v>31</v>
      </c>
      <c r="K18527" t="s">
        <v>198</v>
      </c>
      <c r="N18527" t="s">
        <v>67944</v>
      </c>
      <c r="O18527" t="s">
        <v>67945</v>
      </c>
      <c r="Q18527">
        <v>0</v>
      </c>
      <c r="R18527">
        <v>139</v>
      </c>
      <c r="S18527">
        <v>0</v>
      </c>
      <c r="T18527" t="s">
        <v>67946</v>
      </c>
    </row>
    <row r="18528" spans="1:20" customFormat="1" ht="15" x14ac:dyDescent="0.25">
      <c r="A18528" t="s">
        <v>24</v>
      </c>
      <c r="B18528" t="s">
        <v>1561</v>
      </c>
      <c r="C18528" t="str">
        <f>"A0091156"</f>
        <v>A0091156</v>
      </c>
      <c r="D18528" t="s">
        <v>67947</v>
      </c>
      <c r="E18528" t="s">
        <v>67948</v>
      </c>
      <c r="F18528" t="s">
        <v>60009</v>
      </c>
      <c r="G18528" t="s">
        <v>214</v>
      </c>
      <c r="H18528">
        <v>28105</v>
      </c>
      <c r="I18528" t="s">
        <v>30</v>
      </c>
      <c r="J18528" t="s">
        <v>31</v>
      </c>
      <c r="K18528" t="s">
        <v>198</v>
      </c>
      <c r="N18528" t="s">
        <v>67949</v>
      </c>
      <c r="Q18528">
        <v>0</v>
      </c>
      <c r="R18528">
        <v>91</v>
      </c>
      <c r="S18528">
        <v>0</v>
      </c>
      <c r="T18528" t="s">
        <v>67950</v>
      </c>
    </row>
    <row r="18529" spans="1:20" customFormat="1" ht="15" x14ac:dyDescent="0.25">
      <c r="A18529" t="s">
        <v>24</v>
      </c>
      <c r="B18529" t="s">
        <v>1020</v>
      </c>
      <c r="C18529" t="str">
        <f>"A0076823"</f>
        <v>A0076823</v>
      </c>
      <c r="D18529" t="s">
        <v>67951</v>
      </c>
      <c r="E18529" t="s">
        <v>67952</v>
      </c>
      <c r="F18529" t="s">
        <v>997</v>
      </c>
      <c r="G18529" t="s">
        <v>99</v>
      </c>
      <c r="H18529" t="s">
        <v>67953</v>
      </c>
      <c r="I18529" t="s">
        <v>30</v>
      </c>
      <c r="J18529" t="s">
        <v>31</v>
      </c>
      <c r="K18529" t="s">
        <v>198</v>
      </c>
      <c r="Q18529">
        <v>0</v>
      </c>
      <c r="R18529">
        <v>144</v>
      </c>
      <c r="S18529">
        <v>0</v>
      </c>
      <c r="T18529" t="s">
        <v>67954</v>
      </c>
    </row>
    <row r="18530" spans="1:20" customFormat="1" ht="15" x14ac:dyDescent="0.25">
      <c r="A18530" t="s">
        <v>24</v>
      </c>
      <c r="B18530" t="s">
        <v>4855</v>
      </c>
      <c r="C18530" t="str">
        <f>"A0096658"</f>
        <v>A0096658</v>
      </c>
      <c r="D18530" t="s">
        <v>67955</v>
      </c>
      <c r="E18530" t="s">
        <v>67956</v>
      </c>
      <c r="F18530" t="s">
        <v>716</v>
      </c>
      <c r="G18530" t="s">
        <v>289</v>
      </c>
      <c r="H18530">
        <v>60661</v>
      </c>
      <c r="I18530" t="s">
        <v>30</v>
      </c>
      <c r="J18530" t="s">
        <v>31</v>
      </c>
      <c r="K18530" t="s">
        <v>198</v>
      </c>
      <c r="N18530" t="s">
        <v>67957</v>
      </c>
      <c r="O18530" t="s">
        <v>67958</v>
      </c>
      <c r="Q18530">
        <v>0</v>
      </c>
      <c r="R18530">
        <v>336</v>
      </c>
      <c r="S18530">
        <v>0</v>
      </c>
      <c r="T18530" t="s">
        <v>67959</v>
      </c>
    </row>
    <row r="18531" spans="1:20" customFormat="1" ht="15" x14ac:dyDescent="0.25">
      <c r="A18531" t="s">
        <v>24</v>
      </c>
      <c r="B18531" t="s">
        <v>2583</v>
      </c>
      <c r="C18531" t="str">
        <f>"A0101218"</f>
        <v>A0101218</v>
      </c>
      <c r="D18531" t="s">
        <v>67960</v>
      </c>
      <c r="E18531" t="s">
        <v>67961</v>
      </c>
      <c r="F18531" t="s">
        <v>716</v>
      </c>
      <c r="G18531" t="s">
        <v>289</v>
      </c>
      <c r="H18531">
        <v>60616</v>
      </c>
      <c r="I18531" t="s">
        <v>30</v>
      </c>
      <c r="J18531" t="s">
        <v>31</v>
      </c>
      <c r="K18531" t="s">
        <v>198</v>
      </c>
      <c r="N18531" t="s">
        <v>67962</v>
      </c>
      <c r="O18531" t="s">
        <v>67963</v>
      </c>
      <c r="Q18531">
        <v>0</v>
      </c>
      <c r="R18531">
        <v>187</v>
      </c>
      <c r="S18531">
        <v>0</v>
      </c>
      <c r="T18531" t="s">
        <v>67964</v>
      </c>
    </row>
    <row r="18532" spans="1:20" customFormat="1" ht="15" x14ac:dyDescent="0.25">
      <c r="A18532" t="s">
        <v>24</v>
      </c>
      <c r="B18532" t="s">
        <v>9391</v>
      </c>
      <c r="C18532" t="str">
        <f>"A0095770"</f>
        <v>A0095770</v>
      </c>
      <c r="D18532" t="s">
        <v>67965</v>
      </c>
      <c r="E18532" t="s">
        <v>67966</v>
      </c>
      <c r="F18532" t="s">
        <v>6883</v>
      </c>
      <c r="G18532" t="s">
        <v>880</v>
      </c>
      <c r="H18532">
        <v>37312</v>
      </c>
      <c r="I18532" t="s">
        <v>30</v>
      </c>
      <c r="J18532" t="s">
        <v>31</v>
      </c>
      <c r="K18532" t="s">
        <v>198</v>
      </c>
      <c r="N18532" t="s">
        <v>67967</v>
      </c>
      <c r="Q18532">
        <v>0</v>
      </c>
      <c r="R18532">
        <v>97</v>
      </c>
      <c r="S18532">
        <v>0</v>
      </c>
      <c r="T18532" t="s">
        <v>67968</v>
      </c>
    </row>
    <row r="18533" spans="1:20" customFormat="1" ht="15" x14ac:dyDescent="0.25">
      <c r="A18533" t="s">
        <v>24</v>
      </c>
      <c r="B18533" t="s">
        <v>257</v>
      </c>
      <c r="C18533" t="str">
        <f>"A0058832"</f>
        <v>A0058832</v>
      </c>
      <c r="D18533" t="s">
        <v>67969</v>
      </c>
      <c r="E18533" t="s">
        <v>67970</v>
      </c>
      <c r="F18533" t="s">
        <v>4909</v>
      </c>
      <c r="G18533" t="s">
        <v>137</v>
      </c>
      <c r="H18533">
        <v>65202</v>
      </c>
      <c r="I18533" t="s">
        <v>30</v>
      </c>
      <c r="J18533" t="s">
        <v>31</v>
      </c>
      <c r="K18533" t="s">
        <v>198</v>
      </c>
      <c r="N18533" t="s">
        <v>67971</v>
      </c>
      <c r="O18533" t="s">
        <v>67972</v>
      </c>
      <c r="Q18533">
        <v>0</v>
      </c>
      <c r="R18533">
        <v>120</v>
      </c>
      <c r="S18533">
        <v>0</v>
      </c>
      <c r="T18533" t="s">
        <v>67973</v>
      </c>
    </row>
    <row r="18534" spans="1:20" customFormat="1" ht="15" x14ac:dyDescent="0.25">
      <c r="A18534" t="s">
        <v>24</v>
      </c>
      <c r="B18534" t="s">
        <v>342</v>
      </c>
      <c r="C18534" t="str">
        <f>"A0147934"</f>
        <v>A0147934</v>
      </c>
      <c r="D18534" t="s">
        <v>67974</v>
      </c>
      <c r="E18534" t="s">
        <v>67975</v>
      </c>
      <c r="F18534" t="s">
        <v>4909</v>
      </c>
      <c r="G18534" t="s">
        <v>58</v>
      </c>
      <c r="H18534">
        <v>29223</v>
      </c>
      <c r="I18534" t="s">
        <v>30</v>
      </c>
      <c r="J18534" t="s">
        <v>31</v>
      </c>
      <c r="K18534" t="s">
        <v>198</v>
      </c>
      <c r="N18534" t="s">
        <v>67976</v>
      </c>
      <c r="O18534" t="s">
        <v>67977</v>
      </c>
      <c r="Q18534">
        <v>0</v>
      </c>
      <c r="R18534">
        <v>110</v>
      </c>
      <c r="S18534">
        <v>0</v>
      </c>
      <c r="T18534" t="s">
        <v>67978</v>
      </c>
    </row>
    <row r="18535" spans="1:20" customFormat="1" ht="15" x14ac:dyDescent="0.25">
      <c r="A18535" t="s">
        <v>24</v>
      </c>
      <c r="B18535" t="s">
        <v>4400</v>
      </c>
      <c r="C18535" t="str">
        <f>"A0096892"</f>
        <v>A0096892</v>
      </c>
      <c r="D18535" t="s">
        <v>67979</v>
      </c>
      <c r="E18535" t="s">
        <v>67980</v>
      </c>
      <c r="F18535" t="s">
        <v>4909</v>
      </c>
      <c r="G18535" t="s">
        <v>58</v>
      </c>
      <c r="H18535">
        <v>29209</v>
      </c>
      <c r="I18535" t="s">
        <v>30</v>
      </c>
      <c r="J18535" t="s">
        <v>31</v>
      </c>
      <c r="K18535" t="s">
        <v>198</v>
      </c>
      <c r="N18535" t="s">
        <v>67981</v>
      </c>
      <c r="Q18535">
        <v>0</v>
      </c>
      <c r="R18535">
        <v>100</v>
      </c>
      <c r="S18535">
        <v>0</v>
      </c>
      <c r="T18535" t="s">
        <v>67982</v>
      </c>
    </row>
    <row r="18536" spans="1:20" customFormat="1" ht="15" x14ac:dyDescent="0.25">
      <c r="A18536" t="s">
        <v>24</v>
      </c>
      <c r="B18536" t="s">
        <v>1561</v>
      </c>
      <c r="C18536" t="str">
        <f>"A0091157"</f>
        <v>A0091157</v>
      </c>
      <c r="D18536" t="s">
        <v>67983</v>
      </c>
      <c r="E18536" t="s">
        <v>67984</v>
      </c>
      <c r="F18536" t="s">
        <v>56723</v>
      </c>
      <c r="G18536" t="s">
        <v>214</v>
      </c>
      <c r="H18536">
        <v>28025</v>
      </c>
      <c r="I18536" t="s">
        <v>30</v>
      </c>
      <c r="J18536" t="s">
        <v>31</v>
      </c>
      <c r="K18536" t="s">
        <v>198</v>
      </c>
      <c r="N18536" t="s">
        <v>67985</v>
      </c>
      <c r="O18536" t="s">
        <v>67986</v>
      </c>
      <c r="Q18536">
        <v>0</v>
      </c>
      <c r="R18536">
        <v>101</v>
      </c>
      <c r="S18536">
        <v>0</v>
      </c>
      <c r="T18536" t="s">
        <v>67987</v>
      </c>
    </row>
    <row r="18537" spans="1:20" customFormat="1" ht="15" x14ac:dyDescent="0.25">
      <c r="A18537" t="s">
        <v>24</v>
      </c>
      <c r="B18537" t="s">
        <v>58694</v>
      </c>
      <c r="C18537" t="str">
        <f>"A0097002"</f>
        <v>A0097002</v>
      </c>
      <c r="D18537" t="s">
        <v>67988</v>
      </c>
      <c r="E18537" t="s">
        <v>67989</v>
      </c>
      <c r="F18537" t="s">
        <v>64801</v>
      </c>
      <c r="G18537" t="s">
        <v>85</v>
      </c>
      <c r="H18537" t="s">
        <v>67990</v>
      </c>
      <c r="I18537" t="s">
        <v>30</v>
      </c>
      <c r="J18537" t="s">
        <v>31</v>
      </c>
      <c r="K18537" t="s">
        <v>198</v>
      </c>
      <c r="N18537" t="s">
        <v>67991</v>
      </c>
      <c r="Q18537">
        <v>0</v>
      </c>
      <c r="R18537">
        <v>75</v>
      </c>
      <c r="S18537">
        <v>0</v>
      </c>
      <c r="T18537" t="s">
        <v>67992</v>
      </c>
    </row>
    <row r="18538" spans="1:20" customFormat="1" ht="15" x14ac:dyDescent="0.25">
      <c r="A18538" t="s">
        <v>24</v>
      </c>
      <c r="B18538" t="s">
        <v>33301</v>
      </c>
      <c r="C18538" t="str">
        <f>"A0095652"</f>
        <v>A0095652</v>
      </c>
      <c r="D18538" t="s">
        <v>67993</v>
      </c>
      <c r="E18538" t="s">
        <v>67994</v>
      </c>
      <c r="F18538" t="s">
        <v>1131</v>
      </c>
      <c r="G18538" t="s">
        <v>52</v>
      </c>
      <c r="H18538">
        <v>76018</v>
      </c>
      <c r="I18538" t="s">
        <v>30</v>
      </c>
      <c r="J18538" t="s">
        <v>31</v>
      </c>
      <c r="K18538" t="s">
        <v>198</v>
      </c>
      <c r="N18538" t="s">
        <v>67995</v>
      </c>
      <c r="Q18538">
        <v>0</v>
      </c>
      <c r="R18538">
        <v>98</v>
      </c>
      <c r="S18538">
        <v>0</v>
      </c>
      <c r="T18538" t="s">
        <v>67996</v>
      </c>
    </row>
    <row r="18539" spans="1:20" customFormat="1" ht="15" x14ac:dyDescent="0.25">
      <c r="A18539" t="s">
        <v>24</v>
      </c>
      <c r="B18539" t="s">
        <v>1020</v>
      </c>
      <c r="C18539" t="str">
        <f>"A0062765"</f>
        <v>A0062765</v>
      </c>
      <c r="D18539" t="s">
        <v>67997</v>
      </c>
      <c r="E18539" t="s">
        <v>67998</v>
      </c>
      <c r="F18539" t="s">
        <v>54052</v>
      </c>
      <c r="G18539" t="s">
        <v>103</v>
      </c>
      <c r="H18539">
        <v>17821</v>
      </c>
      <c r="I18539" t="s">
        <v>30</v>
      </c>
      <c r="J18539" t="s">
        <v>31</v>
      </c>
      <c r="K18539" t="s">
        <v>198</v>
      </c>
      <c r="N18539" t="s">
        <v>67999</v>
      </c>
      <c r="Q18539">
        <v>0</v>
      </c>
      <c r="R18539">
        <v>72</v>
      </c>
      <c r="S18539">
        <v>0</v>
      </c>
      <c r="T18539" t="s">
        <v>68000</v>
      </c>
    </row>
    <row r="18540" spans="1:20" customFormat="1" ht="15" x14ac:dyDescent="0.25">
      <c r="A18540" t="s">
        <v>24</v>
      </c>
      <c r="B18540" t="s">
        <v>342</v>
      </c>
      <c r="C18540" t="str">
        <f>"88HM023"</f>
        <v>88HM023</v>
      </c>
      <c r="D18540" t="s">
        <v>68001</v>
      </c>
      <c r="E18540" t="s">
        <v>68002</v>
      </c>
      <c r="F18540" t="s">
        <v>2330</v>
      </c>
      <c r="G18540" t="s">
        <v>81</v>
      </c>
      <c r="H18540">
        <v>32174</v>
      </c>
      <c r="I18540" t="s">
        <v>30</v>
      </c>
      <c r="J18540" t="s">
        <v>31</v>
      </c>
      <c r="K18540" t="s">
        <v>198</v>
      </c>
      <c r="N18540" t="s">
        <v>68003</v>
      </c>
      <c r="Q18540">
        <v>0</v>
      </c>
      <c r="R18540">
        <v>84</v>
      </c>
      <c r="S18540">
        <v>0</v>
      </c>
      <c r="T18540" t="s">
        <v>68004</v>
      </c>
    </row>
    <row r="18541" spans="1:20" customFormat="1" ht="15" x14ac:dyDescent="0.25">
      <c r="A18541" t="s">
        <v>24</v>
      </c>
      <c r="B18541" t="s">
        <v>8805</v>
      </c>
      <c r="C18541" t="str">
        <f>"A0096325"</f>
        <v>A0096325</v>
      </c>
      <c r="D18541" t="s">
        <v>68005</v>
      </c>
      <c r="E18541" t="s">
        <v>68006</v>
      </c>
      <c r="F18541" t="s">
        <v>60313</v>
      </c>
      <c r="G18541" t="s">
        <v>117</v>
      </c>
      <c r="H18541">
        <v>48124</v>
      </c>
      <c r="I18541" t="s">
        <v>30</v>
      </c>
      <c r="J18541" t="s">
        <v>31</v>
      </c>
      <c r="K18541" t="s">
        <v>198</v>
      </c>
      <c r="N18541" t="s">
        <v>16629</v>
      </c>
      <c r="O18541" t="s">
        <v>68007</v>
      </c>
      <c r="Q18541">
        <v>0</v>
      </c>
      <c r="R18541">
        <v>96</v>
      </c>
      <c r="S18541">
        <v>0</v>
      </c>
      <c r="T18541" t="s">
        <v>68008</v>
      </c>
    </row>
    <row r="18542" spans="1:20" customFormat="1" ht="15" x14ac:dyDescent="0.25">
      <c r="A18542" t="s">
        <v>24</v>
      </c>
      <c r="B18542" t="s">
        <v>706</v>
      </c>
      <c r="C18542" t="str">
        <f>"A0098705"</f>
        <v>A0098705</v>
      </c>
      <c r="D18542" t="s">
        <v>68009</v>
      </c>
      <c r="E18542" t="s">
        <v>68010</v>
      </c>
      <c r="F18542" t="s">
        <v>68011</v>
      </c>
      <c r="G18542" t="s">
        <v>81</v>
      </c>
      <c r="H18542">
        <v>32713</v>
      </c>
      <c r="I18542" t="s">
        <v>30</v>
      </c>
      <c r="J18542" t="s">
        <v>31</v>
      </c>
      <c r="K18542" t="s">
        <v>198</v>
      </c>
      <c r="N18542" t="s">
        <v>68012</v>
      </c>
      <c r="Q18542">
        <v>0</v>
      </c>
      <c r="R18542">
        <v>75</v>
      </c>
      <c r="S18542">
        <v>0</v>
      </c>
      <c r="T18542" t="s">
        <v>68013</v>
      </c>
    </row>
    <row r="18543" spans="1:20" customFormat="1" ht="15" x14ac:dyDescent="0.25">
      <c r="A18543" t="s">
        <v>24</v>
      </c>
      <c r="B18543" t="s">
        <v>9843</v>
      </c>
      <c r="C18543" t="str">
        <f>"A0071653"</f>
        <v>A0071653</v>
      </c>
      <c r="D18543" t="s">
        <v>68014</v>
      </c>
      <c r="E18543" t="s">
        <v>68015</v>
      </c>
      <c r="F18543" t="s">
        <v>5567</v>
      </c>
      <c r="G18543" t="s">
        <v>1706</v>
      </c>
      <c r="H18543">
        <v>35601</v>
      </c>
      <c r="I18543" t="s">
        <v>30</v>
      </c>
      <c r="J18543" t="s">
        <v>31</v>
      </c>
      <c r="K18543" t="s">
        <v>198</v>
      </c>
      <c r="N18543" t="s">
        <v>68016</v>
      </c>
      <c r="Q18543">
        <v>0</v>
      </c>
      <c r="R18543">
        <v>90</v>
      </c>
      <c r="S18543">
        <v>0</v>
      </c>
      <c r="T18543" t="s">
        <v>68017</v>
      </c>
    </row>
    <row r="18544" spans="1:20" customFormat="1" ht="15" x14ac:dyDescent="0.25">
      <c r="A18544" t="s">
        <v>24</v>
      </c>
      <c r="B18544" t="s">
        <v>2836</v>
      </c>
      <c r="C18544" t="str">
        <f>"A0091975"</f>
        <v>A0091975</v>
      </c>
      <c r="D18544" t="s">
        <v>68018</v>
      </c>
      <c r="E18544" t="s">
        <v>68019</v>
      </c>
      <c r="F18544" t="s">
        <v>972</v>
      </c>
      <c r="G18544" t="s">
        <v>190</v>
      </c>
      <c r="H18544">
        <v>80202</v>
      </c>
      <c r="I18544" t="s">
        <v>30</v>
      </c>
      <c r="J18544" t="s">
        <v>31</v>
      </c>
      <c r="K18544" t="s">
        <v>198</v>
      </c>
      <c r="N18544" t="s">
        <v>68020</v>
      </c>
      <c r="O18544" t="s">
        <v>68021</v>
      </c>
      <c r="Q18544">
        <v>0</v>
      </c>
      <c r="R18544">
        <v>120</v>
      </c>
      <c r="S18544">
        <v>0</v>
      </c>
      <c r="T18544" t="s">
        <v>68022</v>
      </c>
    </row>
    <row r="18545" spans="1:20" customFormat="1" ht="15" x14ac:dyDescent="0.25">
      <c r="A18545" t="s">
        <v>24</v>
      </c>
      <c r="B18545" t="s">
        <v>2340</v>
      </c>
      <c r="C18545" t="str">
        <f>"A0098806"</f>
        <v>A0098806</v>
      </c>
      <c r="D18545" t="s">
        <v>68023</v>
      </c>
      <c r="E18545" t="s">
        <v>68024</v>
      </c>
      <c r="F18545" t="s">
        <v>59119</v>
      </c>
      <c r="G18545" t="s">
        <v>190</v>
      </c>
      <c r="H18545">
        <v>80112</v>
      </c>
      <c r="I18545" t="s">
        <v>30</v>
      </c>
      <c r="J18545" t="s">
        <v>31</v>
      </c>
      <c r="K18545" t="s">
        <v>198</v>
      </c>
      <c r="N18545" t="s">
        <v>68025</v>
      </c>
      <c r="Q18545">
        <v>0</v>
      </c>
      <c r="R18545">
        <v>100</v>
      </c>
      <c r="S18545">
        <v>0</v>
      </c>
      <c r="T18545" t="s">
        <v>68026</v>
      </c>
    </row>
    <row r="18546" spans="1:20" customFormat="1" ht="15" x14ac:dyDescent="0.25">
      <c r="A18546" t="s">
        <v>24</v>
      </c>
      <c r="B18546" t="s">
        <v>13807</v>
      </c>
      <c r="C18546" t="str">
        <f>"A0075371"</f>
        <v>A0075371</v>
      </c>
      <c r="D18546" t="s">
        <v>68027</v>
      </c>
      <c r="E18546" t="s">
        <v>68028</v>
      </c>
      <c r="F18546" t="s">
        <v>4149</v>
      </c>
      <c r="G18546" t="s">
        <v>81</v>
      </c>
      <c r="H18546">
        <v>32541</v>
      </c>
      <c r="I18546" t="s">
        <v>30</v>
      </c>
      <c r="J18546" t="s">
        <v>31</v>
      </c>
      <c r="K18546" t="s">
        <v>198</v>
      </c>
      <c r="N18546" t="s">
        <v>68029</v>
      </c>
      <c r="O18546" t="s">
        <v>68030</v>
      </c>
      <c r="Q18546">
        <v>0</v>
      </c>
      <c r="R18546">
        <v>130</v>
      </c>
      <c r="S18546">
        <v>0</v>
      </c>
      <c r="T18546" t="s">
        <v>68031</v>
      </c>
    </row>
    <row r="18547" spans="1:20" customFormat="1" ht="15" x14ac:dyDescent="0.25">
      <c r="A18547" t="s">
        <v>24</v>
      </c>
      <c r="B18547" t="s">
        <v>8805</v>
      </c>
      <c r="C18547" t="str">
        <f>"A0096120"</f>
        <v>A0096120</v>
      </c>
      <c r="D18547" t="s">
        <v>68032</v>
      </c>
      <c r="E18547" t="s">
        <v>68033</v>
      </c>
      <c r="F18547" t="s">
        <v>63841</v>
      </c>
      <c r="G18547" t="s">
        <v>117</v>
      </c>
      <c r="H18547">
        <v>48326</v>
      </c>
      <c r="I18547" t="s">
        <v>30</v>
      </c>
      <c r="J18547" t="s">
        <v>31</v>
      </c>
      <c r="K18547" t="s">
        <v>198</v>
      </c>
      <c r="N18547" t="s">
        <v>68034</v>
      </c>
      <c r="Q18547">
        <v>0</v>
      </c>
      <c r="R18547">
        <v>80</v>
      </c>
      <c r="S18547">
        <v>0</v>
      </c>
      <c r="T18547" t="s">
        <v>68035</v>
      </c>
    </row>
    <row r="18548" spans="1:20" customFormat="1" ht="15" x14ac:dyDescent="0.25">
      <c r="A18548" t="s">
        <v>24</v>
      </c>
      <c r="B18548" t="s">
        <v>8805</v>
      </c>
      <c r="C18548" t="str">
        <f>"A0096121"</f>
        <v>A0096121</v>
      </c>
      <c r="D18548" t="s">
        <v>68036</v>
      </c>
      <c r="E18548" t="s">
        <v>68037</v>
      </c>
      <c r="F18548" t="s">
        <v>63841</v>
      </c>
      <c r="G18548" t="s">
        <v>117</v>
      </c>
      <c r="H18548">
        <v>48326</v>
      </c>
      <c r="I18548" t="s">
        <v>30</v>
      </c>
      <c r="J18548" t="s">
        <v>31</v>
      </c>
      <c r="K18548" t="s">
        <v>198</v>
      </c>
      <c r="N18548" t="s">
        <v>68038</v>
      </c>
      <c r="Q18548">
        <v>0</v>
      </c>
      <c r="R18548">
        <v>100</v>
      </c>
      <c r="S18548">
        <v>0</v>
      </c>
      <c r="T18548" t="s">
        <v>68039</v>
      </c>
    </row>
    <row r="18549" spans="1:20" customFormat="1" ht="15" x14ac:dyDescent="0.25">
      <c r="A18549" t="s">
        <v>24</v>
      </c>
      <c r="B18549" t="s">
        <v>8805</v>
      </c>
      <c r="C18549" t="str">
        <f>"A0096129"</f>
        <v>A0096129</v>
      </c>
      <c r="D18549" t="s">
        <v>68040</v>
      </c>
      <c r="E18549" t="s">
        <v>68041</v>
      </c>
      <c r="F18549" t="s">
        <v>57983</v>
      </c>
      <c r="G18549" t="s">
        <v>117</v>
      </c>
      <c r="H18549">
        <v>48315</v>
      </c>
      <c r="I18549" t="s">
        <v>30</v>
      </c>
      <c r="J18549" t="s">
        <v>31</v>
      </c>
      <c r="K18549" t="s">
        <v>198</v>
      </c>
      <c r="N18549" t="s">
        <v>68042</v>
      </c>
      <c r="Q18549">
        <v>0</v>
      </c>
      <c r="R18549">
        <v>90</v>
      </c>
      <c r="S18549">
        <v>0</v>
      </c>
      <c r="T18549" t="s">
        <v>68043</v>
      </c>
    </row>
    <row r="18550" spans="1:20" customFormat="1" ht="15" x14ac:dyDescent="0.25">
      <c r="A18550" t="s">
        <v>24</v>
      </c>
      <c r="B18550" t="s">
        <v>8805</v>
      </c>
      <c r="C18550" t="str">
        <f>"A0096128"</f>
        <v>A0096128</v>
      </c>
      <c r="D18550" t="s">
        <v>68044</v>
      </c>
      <c r="E18550" t="s">
        <v>68045</v>
      </c>
      <c r="F18550" t="s">
        <v>59249</v>
      </c>
      <c r="G18550" t="s">
        <v>117</v>
      </c>
      <c r="H18550">
        <v>48390</v>
      </c>
      <c r="I18550" t="s">
        <v>30</v>
      </c>
      <c r="J18550" t="s">
        <v>31</v>
      </c>
      <c r="K18550" t="s">
        <v>198</v>
      </c>
      <c r="N18550" t="s">
        <v>68046</v>
      </c>
      <c r="Q18550">
        <v>0</v>
      </c>
      <c r="R18550">
        <v>106</v>
      </c>
      <c r="S18550">
        <v>0</v>
      </c>
      <c r="T18550" t="s">
        <v>68047</v>
      </c>
    </row>
    <row r="18551" spans="1:20" customFormat="1" ht="15" x14ac:dyDescent="0.25">
      <c r="A18551" t="s">
        <v>24</v>
      </c>
      <c r="B18551" t="s">
        <v>1467</v>
      </c>
      <c r="C18551" t="str">
        <f>"A0151478"</f>
        <v>A0151478</v>
      </c>
      <c r="D18551" t="s">
        <v>68048</v>
      </c>
      <c r="E18551" t="s">
        <v>68049</v>
      </c>
      <c r="F18551" t="s">
        <v>1994</v>
      </c>
      <c r="G18551" t="s">
        <v>1363</v>
      </c>
      <c r="H18551">
        <v>3820</v>
      </c>
      <c r="I18551" t="s">
        <v>30</v>
      </c>
      <c r="J18551" t="s">
        <v>31</v>
      </c>
      <c r="K18551" t="s">
        <v>198</v>
      </c>
      <c r="N18551" t="s">
        <v>68050</v>
      </c>
      <c r="Q18551">
        <v>0</v>
      </c>
      <c r="R18551">
        <v>93</v>
      </c>
      <c r="S18551">
        <v>0</v>
      </c>
      <c r="T18551" t="s">
        <v>68051</v>
      </c>
    </row>
    <row r="18552" spans="1:20" customFormat="1" ht="15" x14ac:dyDescent="0.25">
      <c r="A18552" t="s">
        <v>24</v>
      </c>
      <c r="B18552" t="s">
        <v>257</v>
      </c>
      <c r="C18552" t="str">
        <f>"A0089271"</f>
        <v>A0089271</v>
      </c>
      <c r="D18552" t="s">
        <v>68052</v>
      </c>
      <c r="E18552" t="s">
        <v>68053</v>
      </c>
      <c r="F18552" t="s">
        <v>7455</v>
      </c>
      <c r="G18552" t="s">
        <v>123</v>
      </c>
      <c r="H18552">
        <v>21230</v>
      </c>
      <c r="I18552" t="s">
        <v>30</v>
      </c>
      <c r="J18552" t="s">
        <v>31</v>
      </c>
      <c r="K18552" t="s">
        <v>198</v>
      </c>
      <c r="N18552" t="s">
        <v>68054</v>
      </c>
      <c r="Q18552">
        <v>0</v>
      </c>
      <c r="R18552">
        <v>126</v>
      </c>
      <c r="S18552">
        <v>0</v>
      </c>
      <c r="T18552" t="s">
        <v>68055</v>
      </c>
    </row>
    <row r="18553" spans="1:20" customFormat="1" ht="15" x14ac:dyDescent="0.25">
      <c r="A18553" t="s">
        <v>24</v>
      </c>
      <c r="B18553" t="s">
        <v>55997</v>
      </c>
      <c r="C18553" t="str">
        <f>"A0096203"</f>
        <v>A0096203</v>
      </c>
      <c r="D18553" t="s">
        <v>68056</v>
      </c>
      <c r="E18553" t="s">
        <v>68057</v>
      </c>
      <c r="F18553" t="s">
        <v>64860</v>
      </c>
      <c r="G18553" t="s">
        <v>103</v>
      </c>
      <c r="H18553">
        <v>15801</v>
      </c>
      <c r="I18553" t="s">
        <v>30</v>
      </c>
      <c r="J18553" t="s">
        <v>31</v>
      </c>
      <c r="K18553" t="s">
        <v>198</v>
      </c>
      <c r="N18553" t="s">
        <v>68058</v>
      </c>
      <c r="O18553" t="s">
        <v>68059</v>
      </c>
      <c r="Q18553">
        <v>0</v>
      </c>
      <c r="R18553">
        <v>96</v>
      </c>
      <c r="S18553">
        <v>0</v>
      </c>
      <c r="T18553" t="s">
        <v>68060</v>
      </c>
    </row>
    <row r="18554" spans="1:20" customFormat="1" ht="15" x14ac:dyDescent="0.25">
      <c r="A18554" t="s">
        <v>24</v>
      </c>
      <c r="B18554" t="s">
        <v>3343</v>
      </c>
      <c r="C18554" t="str">
        <f>"A0057459"</f>
        <v>A0057459</v>
      </c>
      <c r="D18554" t="s">
        <v>68061</v>
      </c>
      <c r="E18554" t="s">
        <v>68062</v>
      </c>
      <c r="F18554" t="s">
        <v>53394</v>
      </c>
      <c r="G18554" t="s">
        <v>161</v>
      </c>
      <c r="H18554">
        <v>55121</v>
      </c>
      <c r="I18554" t="s">
        <v>30</v>
      </c>
      <c r="J18554" t="s">
        <v>31</v>
      </c>
      <c r="K18554" t="s">
        <v>198</v>
      </c>
      <c r="N18554" t="s">
        <v>68063</v>
      </c>
      <c r="Q18554">
        <v>0</v>
      </c>
      <c r="R18554">
        <v>123</v>
      </c>
      <c r="S18554">
        <v>0</v>
      </c>
      <c r="T18554" t="s">
        <v>68064</v>
      </c>
    </row>
    <row r="18555" spans="1:20" customFormat="1" ht="15" x14ac:dyDescent="0.25">
      <c r="A18555" t="s">
        <v>24</v>
      </c>
      <c r="B18555" t="s">
        <v>2955</v>
      </c>
      <c r="C18555" t="str">
        <f>"A0086866"</f>
        <v>A0086866</v>
      </c>
      <c r="D18555" t="s">
        <v>68065</v>
      </c>
      <c r="E18555" t="s">
        <v>68066</v>
      </c>
      <c r="F18555" t="s">
        <v>33432</v>
      </c>
      <c r="G18555" t="s">
        <v>117</v>
      </c>
      <c r="H18555">
        <v>48823</v>
      </c>
      <c r="I18555" t="s">
        <v>30</v>
      </c>
      <c r="J18555" t="s">
        <v>31</v>
      </c>
      <c r="K18555" t="s">
        <v>198</v>
      </c>
      <c r="N18555" t="s">
        <v>68067</v>
      </c>
      <c r="Q18555">
        <v>0</v>
      </c>
      <c r="R18555">
        <v>86</v>
      </c>
      <c r="S18555">
        <v>0</v>
      </c>
      <c r="T18555" t="s">
        <v>68068</v>
      </c>
    </row>
    <row r="18556" spans="1:20" customFormat="1" ht="15" x14ac:dyDescent="0.25">
      <c r="A18556" t="s">
        <v>24</v>
      </c>
      <c r="B18556" t="s">
        <v>9391</v>
      </c>
      <c r="C18556" t="str">
        <f>"A0145792"</f>
        <v>A0145792</v>
      </c>
      <c r="D18556" t="s">
        <v>68069</v>
      </c>
      <c r="E18556" t="s">
        <v>68070</v>
      </c>
      <c r="F18556" t="s">
        <v>64721</v>
      </c>
      <c r="G18556" t="s">
        <v>880</v>
      </c>
      <c r="H18556">
        <v>37412</v>
      </c>
      <c r="I18556" t="s">
        <v>30</v>
      </c>
      <c r="J18556" t="s">
        <v>31</v>
      </c>
      <c r="K18556" t="s">
        <v>198</v>
      </c>
      <c r="Q18556">
        <v>0</v>
      </c>
      <c r="R18556">
        <v>88</v>
      </c>
      <c r="S18556">
        <v>0</v>
      </c>
      <c r="T18556" t="s">
        <v>68071</v>
      </c>
    </row>
    <row r="18557" spans="1:20" customFormat="1" ht="15" x14ac:dyDescent="0.25">
      <c r="A18557" t="s">
        <v>24</v>
      </c>
      <c r="B18557" t="s">
        <v>10097</v>
      </c>
      <c r="C18557" t="str">
        <f>"A0086154"</f>
        <v>A0086154</v>
      </c>
      <c r="D18557" t="s">
        <v>68072</v>
      </c>
      <c r="E18557" t="s">
        <v>68073</v>
      </c>
      <c r="F18557" t="s">
        <v>1201</v>
      </c>
      <c r="G18557" t="s">
        <v>214</v>
      </c>
      <c r="H18557">
        <v>28403</v>
      </c>
      <c r="I18557" t="s">
        <v>30</v>
      </c>
      <c r="J18557" t="s">
        <v>31</v>
      </c>
      <c r="K18557" t="s">
        <v>198</v>
      </c>
      <c r="N18557" t="s">
        <v>68074</v>
      </c>
      <c r="Q18557">
        <v>0</v>
      </c>
      <c r="R18557">
        <v>125</v>
      </c>
      <c r="S18557">
        <v>0</v>
      </c>
      <c r="T18557" t="s">
        <v>68075</v>
      </c>
    </row>
    <row r="18558" spans="1:20" customFormat="1" ht="15" x14ac:dyDescent="0.25">
      <c r="A18558" t="s">
        <v>24</v>
      </c>
      <c r="B18558" t="s">
        <v>55997</v>
      </c>
      <c r="C18558" t="str">
        <f>"A0096395"</f>
        <v>A0096395</v>
      </c>
      <c r="D18558" t="s">
        <v>68076</v>
      </c>
      <c r="E18558" t="s">
        <v>68077</v>
      </c>
      <c r="F18558" t="s">
        <v>68078</v>
      </c>
      <c r="G18558" t="s">
        <v>338</v>
      </c>
      <c r="H18558">
        <v>8234</v>
      </c>
      <c r="I18558" t="s">
        <v>30</v>
      </c>
      <c r="J18558" t="s">
        <v>31</v>
      </c>
      <c r="K18558" t="s">
        <v>198</v>
      </c>
      <c r="N18558" t="s">
        <v>68079</v>
      </c>
      <c r="O18558" t="s">
        <v>68080</v>
      </c>
      <c r="Q18558">
        <v>0</v>
      </c>
      <c r="R18558">
        <v>115</v>
      </c>
      <c r="S18558">
        <v>0</v>
      </c>
      <c r="T18558" t="s">
        <v>68081</v>
      </c>
    </row>
    <row r="18559" spans="1:20" customFormat="1" ht="15" x14ac:dyDescent="0.25">
      <c r="A18559" t="s">
        <v>24</v>
      </c>
      <c r="B18559" t="s">
        <v>734</v>
      </c>
      <c r="C18559" t="str">
        <f>"A0098155"</f>
        <v>A0098155</v>
      </c>
      <c r="D18559" t="s">
        <v>68082</v>
      </c>
      <c r="E18559" t="s">
        <v>68083</v>
      </c>
      <c r="F18559" t="s">
        <v>871</v>
      </c>
      <c r="G18559" t="s">
        <v>110</v>
      </c>
      <c r="H18559">
        <v>92243</v>
      </c>
      <c r="I18559" t="s">
        <v>30</v>
      </c>
      <c r="J18559" t="s">
        <v>31</v>
      </c>
      <c r="K18559" t="s">
        <v>198</v>
      </c>
      <c r="N18559" t="s">
        <v>68084</v>
      </c>
      <c r="O18559" t="s">
        <v>68085</v>
      </c>
      <c r="Q18559">
        <v>0</v>
      </c>
      <c r="R18559">
        <v>108</v>
      </c>
      <c r="S18559">
        <v>0</v>
      </c>
      <c r="T18559" t="s">
        <v>68086</v>
      </c>
    </row>
    <row r="18560" spans="1:20" customFormat="1" ht="15" x14ac:dyDescent="0.25">
      <c r="A18560" t="s">
        <v>24</v>
      </c>
      <c r="B18560" t="s">
        <v>56277</v>
      </c>
      <c r="C18560" t="str">
        <f>"A0094745"</f>
        <v>A0094745</v>
      </c>
      <c r="D18560" t="s">
        <v>68087</v>
      </c>
      <c r="E18560" t="s">
        <v>68088</v>
      </c>
      <c r="F18560" t="s">
        <v>12304</v>
      </c>
      <c r="G18560" t="s">
        <v>110</v>
      </c>
      <c r="H18560">
        <v>95758</v>
      </c>
      <c r="I18560" t="s">
        <v>30</v>
      </c>
      <c r="J18560" t="s">
        <v>31</v>
      </c>
      <c r="K18560" t="s">
        <v>198</v>
      </c>
      <c r="N18560" t="s">
        <v>68089</v>
      </c>
      <c r="O18560" t="s">
        <v>68090</v>
      </c>
      <c r="Q18560">
        <v>0</v>
      </c>
      <c r="R18560">
        <v>110</v>
      </c>
      <c r="S18560">
        <v>0</v>
      </c>
      <c r="T18560" t="s">
        <v>68091</v>
      </c>
    </row>
    <row r="18561" spans="1:20" customFormat="1" ht="15" x14ac:dyDescent="0.25">
      <c r="A18561" t="s">
        <v>24</v>
      </c>
      <c r="B18561" t="s">
        <v>5104</v>
      </c>
      <c r="C18561" t="str">
        <f>"A0086865"</f>
        <v>A0086865</v>
      </c>
      <c r="D18561" t="s">
        <v>68092</v>
      </c>
      <c r="E18561" t="s">
        <v>68093</v>
      </c>
      <c r="F18561" t="s">
        <v>997</v>
      </c>
      <c r="G18561" t="s">
        <v>99</v>
      </c>
      <c r="H18561">
        <v>10001</v>
      </c>
      <c r="I18561" t="s">
        <v>30</v>
      </c>
      <c r="J18561" t="s">
        <v>31</v>
      </c>
      <c r="K18561" t="s">
        <v>198</v>
      </c>
      <c r="N18561" t="s">
        <v>68094</v>
      </c>
      <c r="Q18561">
        <v>0</v>
      </c>
      <c r="R18561">
        <v>146</v>
      </c>
      <c r="S18561">
        <v>0</v>
      </c>
      <c r="T18561" t="s">
        <v>68095</v>
      </c>
    </row>
    <row r="18562" spans="1:20" customFormat="1" ht="15" x14ac:dyDescent="0.25">
      <c r="A18562" t="s">
        <v>24</v>
      </c>
      <c r="B18562" t="s">
        <v>8742</v>
      </c>
      <c r="C18562" t="str">
        <f>"A0087583"</f>
        <v>A0087583</v>
      </c>
      <c r="D18562" t="s">
        <v>68096</v>
      </c>
      <c r="E18562" t="s">
        <v>68097</v>
      </c>
      <c r="F18562" t="s">
        <v>64897</v>
      </c>
      <c r="G18562" t="s">
        <v>1706</v>
      </c>
      <c r="H18562">
        <v>36330</v>
      </c>
      <c r="I18562" t="s">
        <v>30</v>
      </c>
      <c r="J18562" t="s">
        <v>31</v>
      </c>
      <c r="K18562" t="s">
        <v>198</v>
      </c>
      <c r="N18562" t="s">
        <v>64898</v>
      </c>
      <c r="Q18562">
        <v>0</v>
      </c>
      <c r="R18562">
        <v>75</v>
      </c>
      <c r="S18562">
        <v>0</v>
      </c>
      <c r="T18562" t="s">
        <v>68098</v>
      </c>
    </row>
    <row r="18563" spans="1:20" customFormat="1" ht="15" x14ac:dyDescent="0.25">
      <c r="A18563" t="s">
        <v>24</v>
      </c>
      <c r="B18563" t="s">
        <v>58744</v>
      </c>
      <c r="C18563" t="str">
        <f>"A0097823"</f>
        <v>A0097823</v>
      </c>
      <c r="D18563" t="s">
        <v>68099</v>
      </c>
      <c r="E18563" t="s">
        <v>68100</v>
      </c>
      <c r="F18563" t="s">
        <v>68101</v>
      </c>
      <c r="G18563" t="s">
        <v>1508</v>
      </c>
      <c r="H18563">
        <v>82930</v>
      </c>
      <c r="I18563" t="s">
        <v>30</v>
      </c>
      <c r="J18563" t="s">
        <v>31</v>
      </c>
      <c r="K18563" t="s">
        <v>198</v>
      </c>
      <c r="N18563" t="s">
        <v>68102</v>
      </c>
      <c r="Q18563">
        <v>0</v>
      </c>
      <c r="R18563">
        <v>73</v>
      </c>
      <c r="S18563">
        <v>0</v>
      </c>
      <c r="T18563" t="s">
        <v>68103</v>
      </c>
    </row>
    <row r="18564" spans="1:20" customFormat="1" ht="15" x14ac:dyDescent="0.25">
      <c r="A18564" t="s">
        <v>24</v>
      </c>
      <c r="B18564" t="s">
        <v>2221</v>
      </c>
      <c r="C18564" t="str">
        <f>"A0062283"</f>
        <v>A0062283</v>
      </c>
      <c r="D18564" t="s">
        <v>68104</v>
      </c>
      <c r="E18564" t="s">
        <v>68105</v>
      </c>
      <c r="F18564" t="s">
        <v>13829</v>
      </c>
      <c r="G18564" t="s">
        <v>381</v>
      </c>
      <c r="H18564">
        <v>47715</v>
      </c>
      <c r="I18564" t="s">
        <v>30</v>
      </c>
      <c r="J18564" t="s">
        <v>31</v>
      </c>
      <c r="K18564" t="s">
        <v>198</v>
      </c>
      <c r="N18564" t="s">
        <v>68106</v>
      </c>
      <c r="Q18564">
        <v>0</v>
      </c>
      <c r="R18564">
        <v>141</v>
      </c>
      <c r="S18564">
        <v>0</v>
      </c>
      <c r="T18564" t="s">
        <v>68107</v>
      </c>
    </row>
    <row r="18565" spans="1:20" customFormat="1" ht="15" x14ac:dyDescent="0.25">
      <c r="A18565" t="s">
        <v>24</v>
      </c>
      <c r="B18565" t="s">
        <v>9843</v>
      </c>
      <c r="C18565" t="str">
        <f>"A0073525"</f>
        <v>A0073525</v>
      </c>
      <c r="D18565" t="s">
        <v>68108</v>
      </c>
      <c r="E18565" t="s">
        <v>68109</v>
      </c>
      <c r="F18565" t="s">
        <v>2352</v>
      </c>
      <c r="G18565" t="s">
        <v>1706</v>
      </c>
      <c r="H18565">
        <v>35630</v>
      </c>
      <c r="I18565" t="s">
        <v>30</v>
      </c>
      <c r="J18565" t="s">
        <v>31</v>
      </c>
      <c r="K18565" t="s">
        <v>198</v>
      </c>
      <c r="N18565" t="s">
        <v>68110</v>
      </c>
      <c r="O18565" t="s">
        <v>68111</v>
      </c>
      <c r="Q18565">
        <v>0</v>
      </c>
      <c r="R18565">
        <v>90</v>
      </c>
      <c r="S18565">
        <v>0</v>
      </c>
      <c r="T18565" t="s">
        <v>68112</v>
      </c>
    </row>
    <row r="18566" spans="1:20" customFormat="1" ht="15" hidden="1" x14ac:dyDescent="0.25">
      <c r="A18566" t="s">
        <v>24</v>
      </c>
      <c r="B18566" t="s">
        <v>58099</v>
      </c>
      <c r="C18566" t="str">
        <f>"A0093905"</f>
        <v>A0093905</v>
      </c>
      <c r="D18566" t="s">
        <v>68113</v>
      </c>
      <c r="E18566" t="s">
        <v>68114</v>
      </c>
      <c r="F18566" t="s">
        <v>68115</v>
      </c>
      <c r="G18566" t="s">
        <v>1457</v>
      </c>
      <c r="H18566" t="s">
        <v>68116</v>
      </c>
      <c r="I18566" t="s">
        <v>1459</v>
      </c>
      <c r="J18566" t="s">
        <v>31</v>
      </c>
      <c r="K18566" t="s">
        <v>198</v>
      </c>
      <c r="N18566" t="s">
        <v>68117</v>
      </c>
      <c r="Q18566">
        <v>0</v>
      </c>
      <c r="R18566">
        <v>124</v>
      </c>
      <c r="S18566">
        <v>0</v>
      </c>
      <c r="T18566" t="s">
        <v>68118</v>
      </c>
    </row>
    <row r="18567" spans="1:20" customFormat="1" ht="15" x14ac:dyDescent="0.25">
      <c r="A18567" t="s">
        <v>24</v>
      </c>
      <c r="B18567" t="s">
        <v>1487</v>
      </c>
      <c r="C18567" t="str">
        <f>"A0149033"</f>
        <v>A0149033</v>
      </c>
      <c r="D18567" t="s">
        <v>68119</v>
      </c>
      <c r="E18567" t="s">
        <v>68120</v>
      </c>
      <c r="F18567" t="s">
        <v>60479</v>
      </c>
      <c r="G18567" t="s">
        <v>381</v>
      </c>
      <c r="H18567">
        <v>46802</v>
      </c>
      <c r="I18567" t="s">
        <v>30</v>
      </c>
      <c r="J18567" t="s">
        <v>31</v>
      </c>
      <c r="K18567" t="s">
        <v>198</v>
      </c>
      <c r="N18567" t="s">
        <v>60480</v>
      </c>
      <c r="Q18567">
        <v>0</v>
      </c>
      <c r="R18567">
        <v>136</v>
      </c>
      <c r="S18567">
        <v>0</v>
      </c>
      <c r="T18567" t="s">
        <v>68121</v>
      </c>
    </row>
    <row r="18568" spans="1:20" customFormat="1" ht="15" x14ac:dyDescent="0.25">
      <c r="A18568" t="s">
        <v>24</v>
      </c>
      <c r="B18568" t="s">
        <v>2955</v>
      </c>
      <c r="C18568" t="str">
        <f>"A0062274"</f>
        <v>A0062274</v>
      </c>
      <c r="D18568" t="s">
        <v>68122</v>
      </c>
      <c r="E18568" t="s">
        <v>68123</v>
      </c>
      <c r="F18568" t="s">
        <v>64923</v>
      </c>
      <c r="G18568" t="s">
        <v>381</v>
      </c>
      <c r="H18568">
        <v>46804</v>
      </c>
      <c r="I18568" t="s">
        <v>30</v>
      </c>
      <c r="J18568" t="s">
        <v>31</v>
      </c>
      <c r="K18568" t="s">
        <v>198</v>
      </c>
      <c r="N18568" t="s">
        <v>68124</v>
      </c>
      <c r="O18568" t="s">
        <v>68125</v>
      </c>
      <c r="Q18568">
        <v>0</v>
      </c>
      <c r="R18568">
        <v>118</v>
      </c>
      <c r="S18568">
        <v>0</v>
      </c>
      <c r="T18568" t="s">
        <v>68126</v>
      </c>
    </row>
    <row r="18569" spans="1:20" customFormat="1" ht="15" x14ac:dyDescent="0.25">
      <c r="A18569" t="s">
        <v>24</v>
      </c>
      <c r="B18569" t="s">
        <v>257</v>
      </c>
      <c r="C18569" t="str">
        <f>"A0148797"</f>
        <v>A0148797</v>
      </c>
      <c r="D18569" t="s">
        <v>68127</v>
      </c>
      <c r="E18569" t="s">
        <v>68128</v>
      </c>
      <c r="F18569" t="s">
        <v>8801</v>
      </c>
      <c r="G18569" t="s">
        <v>81</v>
      </c>
      <c r="H18569">
        <v>33324</v>
      </c>
      <c r="I18569" t="s">
        <v>30</v>
      </c>
      <c r="J18569" t="s">
        <v>31</v>
      </c>
      <c r="K18569" t="s">
        <v>198</v>
      </c>
      <c r="N18569" t="s">
        <v>68129</v>
      </c>
      <c r="Q18569">
        <v>0</v>
      </c>
      <c r="R18569">
        <v>128</v>
      </c>
      <c r="S18569">
        <v>0</v>
      </c>
      <c r="T18569" t="s">
        <v>68130</v>
      </c>
    </row>
    <row r="18570" spans="1:20" customFormat="1" ht="15" x14ac:dyDescent="0.25">
      <c r="A18570" t="s">
        <v>24</v>
      </c>
      <c r="B18570" t="s">
        <v>68131</v>
      </c>
      <c r="C18570" t="str">
        <f>"A0063888"</f>
        <v>A0063888</v>
      </c>
      <c r="D18570" t="s">
        <v>68132</v>
      </c>
      <c r="E18570" t="s">
        <v>68133</v>
      </c>
      <c r="F18570" t="s">
        <v>64590</v>
      </c>
      <c r="G18570" t="s">
        <v>1706</v>
      </c>
      <c r="H18570">
        <v>35068</v>
      </c>
      <c r="I18570" t="s">
        <v>30</v>
      </c>
      <c r="J18570" t="s">
        <v>31</v>
      </c>
      <c r="K18570" t="s">
        <v>198</v>
      </c>
      <c r="N18570" t="s">
        <v>68134</v>
      </c>
      <c r="Q18570">
        <v>0</v>
      </c>
      <c r="R18570">
        <v>67</v>
      </c>
      <c r="S18570">
        <v>0</v>
      </c>
      <c r="T18570" t="s">
        <v>68135</v>
      </c>
    </row>
    <row r="18571" spans="1:20" customFormat="1" ht="15" x14ac:dyDescent="0.25">
      <c r="A18571" t="s">
        <v>24</v>
      </c>
      <c r="B18571" t="s">
        <v>13807</v>
      </c>
      <c r="C18571" t="str">
        <f>"A0096843"</f>
        <v>A0096843</v>
      </c>
      <c r="D18571" t="s">
        <v>68136</v>
      </c>
      <c r="E18571" t="s">
        <v>68137</v>
      </c>
      <c r="F18571" t="s">
        <v>4970</v>
      </c>
      <c r="G18571" t="s">
        <v>880</v>
      </c>
      <c r="H18571">
        <v>38138</v>
      </c>
      <c r="I18571" t="s">
        <v>30</v>
      </c>
      <c r="J18571" t="s">
        <v>31</v>
      </c>
      <c r="K18571" t="s">
        <v>198</v>
      </c>
      <c r="N18571" t="s">
        <v>68138</v>
      </c>
      <c r="O18571" t="s">
        <v>68139</v>
      </c>
      <c r="Q18571">
        <v>0</v>
      </c>
      <c r="R18571">
        <v>108</v>
      </c>
      <c r="S18571">
        <v>0</v>
      </c>
      <c r="T18571" t="s">
        <v>68140</v>
      </c>
    </row>
    <row r="18572" spans="1:20" customFormat="1" ht="15" x14ac:dyDescent="0.25">
      <c r="A18572" t="s">
        <v>24</v>
      </c>
      <c r="B18572" t="s">
        <v>58744</v>
      </c>
      <c r="C18572" t="str">
        <f>"A0097822"</f>
        <v>A0097822</v>
      </c>
      <c r="D18572" t="s">
        <v>68141</v>
      </c>
      <c r="E18572" t="s">
        <v>68142</v>
      </c>
      <c r="F18572" t="s">
        <v>68143</v>
      </c>
      <c r="G18572" t="s">
        <v>427</v>
      </c>
      <c r="H18572">
        <v>68803</v>
      </c>
      <c r="I18572" t="s">
        <v>30</v>
      </c>
      <c r="J18572" t="s">
        <v>31</v>
      </c>
      <c r="K18572" t="s">
        <v>198</v>
      </c>
      <c r="N18572" t="s">
        <v>68144</v>
      </c>
      <c r="Q18572">
        <v>0</v>
      </c>
      <c r="R18572">
        <v>68</v>
      </c>
      <c r="S18572">
        <v>0</v>
      </c>
      <c r="T18572" t="s">
        <v>68145</v>
      </c>
    </row>
    <row r="18573" spans="1:20" customFormat="1" ht="15" x14ac:dyDescent="0.25">
      <c r="A18573" t="s">
        <v>24</v>
      </c>
      <c r="B18573" t="s">
        <v>2955</v>
      </c>
      <c r="C18573" t="str">
        <f>"A0086867"</f>
        <v>A0086867</v>
      </c>
      <c r="D18573" t="s">
        <v>68146</v>
      </c>
      <c r="E18573" t="s">
        <v>68147</v>
      </c>
      <c r="F18573" t="s">
        <v>3932</v>
      </c>
      <c r="G18573" t="s">
        <v>117</v>
      </c>
      <c r="H18573">
        <v>49544</v>
      </c>
      <c r="I18573" t="s">
        <v>30</v>
      </c>
      <c r="J18573" t="s">
        <v>31</v>
      </c>
      <c r="K18573" t="s">
        <v>198</v>
      </c>
      <c r="N18573" t="s">
        <v>68148</v>
      </c>
      <c r="Q18573">
        <v>0</v>
      </c>
      <c r="R18573">
        <v>84</v>
      </c>
      <c r="S18573">
        <v>0</v>
      </c>
      <c r="T18573" t="s">
        <v>68149</v>
      </c>
    </row>
    <row r="18574" spans="1:20" customFormat="1" ht="15" x14ac:dyDescent="0.25">
      <c r="A18574" t="s">
        <v>24</v>
      </c>
      <c r="B18574" t="s">
        <v>257</v>
      </c>
      <c r="C18574" t="str">
        <f>"A0092296"</f>
        <v>A0092296</v>
      </c>
      <c r="D18574" t="s">
        <v>68150</v>
      </c>
      <c r="E18574" t="s">
        <v>68151</v>
      </c>
      <c r="F18574" t="s">
        <v>59387</v>
      </c>
      <c r="G18574" t="s">
        <v>71</v>
      </c>
      <c r="H18574">
        <v>54301</v>
      </c>
      <c r="I18574" t="s">
        <v>30</v>
      </c>
      <c r="J18574" t="s">
        <v>31</v>
      </c>
      <c r="K18574" t="s">
        <v>198</v>
      </c>
      <c r="N18574" t="s">
        <v>68152</v>
      </c>
      <c r="Q18574">
        <v>0</v>
      </c>
      <c r="R18574">
        <v>135</v>
      </c>
      <c r="S18574">
        <v>0</v>
      </c>
      <c r="T18574" t="s">
        <v>68153</v>
      </c>
    </row>
    <row r="18575" spans="1:20" customFormat="1" ht="15" x14ac:dyDescent="0.25">
      <c r="A18575" t="s">
        <v>24</v>
      </c>
      <c r="B18575" t="s">
        <v>1577</v>
      </c>
      <c r="C18575" t="str">
        <f>"A0098551"</f>
        <v>A0098551</v>
      </c>
      <c r="D18575" t="s">
        <v>68154</v>
      </c>
      <c r="E18575" t="s">
        <v>68155</v>
      </c>
      <c r="F18575" t="s">
        <v>56591</v>
      </c>
      <c r="G18575" t="s">
        <v>1706</v>
      </c>
      <c r="H18575">
        <v>36542</v>
      </c>
      <c r="I18575" t="s">
        <v>30</v>
      </c>
      <c r="J18575" t="s">
        <v>31</v>
      </c>
      <c r="K18575" t="s">
        <v>198</v>
      </c>
      <c r="N18575" t="s">
        <v>68156</v>
      </c>
      <c r="Q18575">
        <v>0</v>
      </c>
      <c r="R18575">
        <v>89</v>
      </c>
      <c r="S18575">
        <v>0</v>
      </c>
      <c r="T18575" t="s">
        <v>68157</v>
      </c>
    </row>
    <row r="18576" spans="1:20" customFormat="1" ht="15" x14ac:dyDescent="0.25">
      <c r="A18576" t="s">
        <v>24</v>
      </c>
      <c r="B18576" t="s">
        <v>2340</v>
      </c>
      <c r="C18576" t="str">
        <f>"A0059694"</f>
        <v>A0059694</v>
      </c>
      <c r="D18576" t="s">
        <v>68158</v>
      </c>
      <c r="E18576" t="s">
        <v>68159</v>
      </c>
      <c r="F18576" t="s">
        <v>68160</v>
      </c>
      <c r="G18576" t="s">
        <v>899</v>
      </c>
      <c r="H18576">
        <v>1832</v>
      </c>
      <c r="I18576" t="s">
        <v>30</v>
      </c>
      <c r="J18576" t="s">
        <v>31</v>
      </c>
      <c r="K18576" t="s">
        <v>198</v>
      </c>
      <c r="N18576" t="s">
        <v>68161</v>
      </c>
      <c r="O18576" t="s">
        <v>68162</v>
      </c>
      <c r="Q18576">
        <v>0</v>
      </c>
      <c r="R18576">
        <v>126</v>
      </c>
      <c r="S18576">
        <v>0</v>
      </c>
      <c r="T18576" t="s">
        <v>68163</v>
      </c>
    </row>
    <row r="18577" spans="1:20" customFormat="1" ht="15" x14ac:dyDescent="0.25">
      <c r="A18577" t="s">
        <v>24</v>
      </c>
      <c r="B18577" t="s">
        <v>6976</v>
      </c>
      <c r="C18577" t="str">
        <f>"A0099018"</f>
        <v>A0099018</v>
      </c>
      <c r="D18577" t="s">
        <v>68164</v>
      </c>
      <c r="E18577" t="s">
        <v>68165</v>
      </c>
      <c r="F18577" t="s">
        <v>68166</v>
      </c>
      <c r="G18577" t="s">
        <v>103</v>
      </c>
      <c r="H18577">
        <v>18202</v>
      </c>
      <c r="I18577" t="s">
        <v>30</v>
      </c>
      <c r="J18577" t="s">
        <v>31</v>
      </c>
      <c r="K18577" t="s">
        <v>198</v>
      </c>
      <c r="N18577" t="s">
        <v>68167</v>
      </c>
      <c r="Q18577">
        <v>0</v>
      </c>
      <c r="R18577">
        <v>122</v>
      </c>
      <c r="S18577">
        <v>0</v>
      </c>
      <c r="T18577" t="s">
        <v>68168</v>
      </c>
    </row>
    <row r="18578" spans="1:20" customFormat="1" ht="15" x14ac:dyDescent="0.25">
      <c r="A18578" t="s">
        <v>24</v>
      </c>
      <c r="B18578" t="s">
        <v>1020</v>
      </c>
      <c r="C18578" t="str">
        <f>"A0076834"</f>
        <v>A0076834</v>
      </c>
      <c r="D18578" t="s">
        <v>68169</v>
      </c>
      <c r="E18578" t="s">
        <v>68170</v>
      </c>
      <c r="F18578" t="s">
        <v>997</v>
      </c>
      <c r="G18578" t="s">
        <v>99</v>
      </c>
      <c r="H18578" t="s">
        <v>68171</v>
      </c>
      <c r="I18578" t="s">
        <v>30</v>
      </c>
      <c r="J18578" t="s">
        <v>31</v>
      </c>
      <c r="K18578" t="s">
        <v>198</v>
      </c>
      <c r="N18578" t="s">
        <v>68172</v>
      </c>
      <c r="Q18578">
        <v>0</v>
      </c>
      <c r="R18578">
        <v>136</v>
      </c>
      <c r="S18578">
        <v>0</v>
      </c>
      <c r="T18578" t="s">
        <v>68173</v>
      </c>
    </row>
    <row r="18579" spans="1:20" customFormat="1" ht="15" x14ac:dyDescent="0.25">
      <c r="A18579" t="s">
        <v>24</v>
      </c>
      <c r="B18579" t="s">
        <v>1098</v>
      </c>
      <c r="C18579" t="str">
        <f>"A0088356"</f>
        <v>A0088356</v>
      </c>
      <c r="D18579" t="s">
        <v>68174</v>
      </c>
      <c r="E18579" t="s">
        <v>68175</v>
      </c>
      <c r="F18579" t="s">
        <v>68176</v>
      </c>
      <c r="G18579" t="s">
        <v>81</v>
      </c>
      <c r="H18579">
        <v>33033</v>
      </c>
      <c r="I18579" t="s">
        <v>30</v>
      </c>
      <c r="J18579" t="s">
        <v>31</v>
      </c>
      <c r="K18579" t="s">
        <v>198</v>
      </c>
      <c r="N18579" t="s">
        <v>68177</v>
      </c>
      <c r="Q18579">
        <v>0</v>
      </c>
      <c r="R18579">
        <v>120</v>
      </c>
      <c r="S18579">
        <v>0</v>
      </c>
      <c r="T18579" t="s">
        <v>68178</v>
      </c>
    </row>
    <row r="18580" spans="1:20" customFormat="1" ht="15" x14ac:dyDescent="0.25">
      <c r="A18580" t="s">
        <v>24</v>
      </c>
      <c r="B18580" t="s">
        <v>8742</v>
      </c>
      <c r="C18580" t="str">
        <f>"A0087580"</f>
        <v>A0087580</v>
      </c>
      <c r="D18580" t="s">
        <v>68179</v>
      </c>
      <c r="E18580" t="s">
        <v>68180</v>
      </c>
      <c r="F18580" t="s">
        <v>65031</v>
      </c>
      <c r="G18580" t="s">
        <v>1706</v>
      </c>
      <c r="H18580">
        <v>36043</v>
      </c>
      <c r="I18580" t="s">
        <v>30</v>
      </c>
      <c r="J18580" t="s">
        <v>31</v>
      </c>
      <c r="K18580" t="s">
        <v>198</v>
      </c>
      <c r="N18580" t="s">
        <v>65032</v>
      </c>
      <c r="O18580" t="s">
        <v>68181</v>
      </c>
      <c r="Q18580">
        <v>0</v>
      </c>
      <c r="R18580">
        <v>78</v>
      </c>
      <c r="S18580">
        <v>0</v>
      </c>
      <c r="T18580" t="s">
        <v>68182</v>
      </c>
    </row>
    <row r="18581" spans="1:20" customFormat="1" ht="15" x14ac:dyDescent="0.25">
      <c r="A18581" t="s">
        <v>24</v>
      </c>
      <c r="B18581" t="s">
        <v>68183</v>
      </c>
      <c r="C18581" t="str">
        <f>"A0092406"</f>
        <v>A0092406</v>
      </c>
      <c r="D18581" t="s">
        <v>68184</v>
      </c>
      <c r="E18581" t="s">
        <v>68185</v>
      </c>
      <c r="F18581" t="s">
        <v>1564</v>
      </c>
      <c r="G18581" t="s">
        <v>52</v>
      </c>
      <c r="H18581">
        <v>77027</v>
      </c>
      <c r="I18581" t="s">
        <v>30</v>
      </c>
      <c r="J18581" t="s">
        <v>31</v>
      </c>
      <c r="K18581" t="s">
        <v>198</v>
      </c>
      <c r="N18581" t="s">
        <v>68186</v>
      </c>
      <c r="O18581" t="s">
        <v>68187</v>
      </c>
      <c r="Q18581">
        <v>0</v>
      </c>
      <c r="R18581">
        <v>176</v>
      </c>
      <c r="S18581">
        <v>0</v>
      </c>
      <c r="T18581" t="s">
        <v>68188</v>
      </c>
    </row>
    <row r="18582" spans="1:20" customFormat="1" ht="15" x14ac:dyDescent="0.25">
      <c r="A18582" t="s">
        <v>24</v>
      </c>
      <c r="B18582" t="s">
        <v>1561</v>
      </c>
      <c r="C18582" t="str">
        <f>"A0098038"</f>
        <v>A0098038</v>
      </c>
      <c r="D18582" t="s">
        <v>68189</v>
      </c>
      <c r="E18582" t="s">
        <v>68190</v>
      </c>
      <c r="F18582" t="s">
        <v>68191</v>
      </c>
      <c r="G18582" t="s">
        <v>52</v>
      </c>
      <c r="H18582">
        <v>77084</v>
      </c>
      <c r="I18582" t="s">
        <v>30</v>
      </c>
      <c r="J18582" t="s">
        <v>31</v>
      </c>
      <c r="K18582" t="s">
        <v>198</v>
      </c>
      <c r="N18582" t="s">
        <v>60691</v>
      </c>
      <c r="O18582" t="s">
        <v>68192</v>
      </c>
      <c r="Q18582">
        <v>0</v>
      </c>
      <c r="R18582">
        <v>135</v>
      </c>
      <c r="S18582">
        <v>0</v>
      </c>
      <c r="T18582" t="s">
        <v>68193</v>
      </c>
    </row>
    <row r="18583" spans="1:20" customFormat="1" ht="15" x14ac:dyDescent="0.25">
      <c r="A18583" t="s">
        <v>24</v>
      </c>
      <c r="B18583" t="s">
        <v>9843</v>
      </c>
      <c r="C18583" t="str">
        <f>"A0067444"</f>
        <v>A0067444</v>
      </c>
      <c r="D18583" t="s">
        <v>68194</v>
      </c>
      <c r="E18583" t="s">
        <v>68195</v>
      </c>
      <c r="F18583" t="s">
        <v>3545</v>
      </c>
      <c r="G18583" t="s">
        <v>1706</v>
      </c>
      <c r="H18583">
        <v>35802</v>
      </c>
      <c r="I18583" t="s">
        <v>30</v>
      </c>
      <c r="J18583" t="s">
        <v>31</v>
      </c>
      <c r="K18583" t="s">
        <v>198</v>
      </c>
      <c r="N18583" t="s">
        <v>68196</v>
      </c>
      <c r="O18583" t="s">
        <v>68197</v>
      </c>
      <c r="Q18583">
        <v>0</v>
      </c>
      <c r="R18583">
        <v>90</v>
      </c>
      <c r="S18583">
        <v>0</v>
      </c>
      <c r="T18583" t="s">
        <v>68198</v>
      </c>
    </row>
    <row r="18584" spans="1:20" customFormat="1" ht="15" x14ac:dyDescent="0.25">
      <c r="A18584" t="s">
        <v>24</v>
      </c>
      <c r="B18584" t="s">
        <v>2005</v>
      </c>
      <c r="C18584" t="str">
        <f>"A0096194"</f>
        <v>A0096194</v>
      </c>
      <c r="D18584" t="s">
        <v>68199</v>
      </c>
      <c r="E18584" t="s">
        <v>68200</v>
      </c>
      <c r="F18584" t="s">
        <v>68201</v>
      </c>
      <c r="G18584" t="s">
        <v>52</v>
      </c>
      <c r="H18584">
        <v>77029</v>
      </c>
      <c r="I18584" t="s">
        <v>30</v>
      </c>
      <c r="J18584" t="s">
        <v>31</v>
      </c>
      <c r="K18584" t="s">
        <v>198</v>
      </c>
      <c r="N18584" t="s">
        <v>68202</v>
      </c>
      <c r="Q18584">
        <v>0</v>
      </c>
      <c r="R18584">
        <v>89</v>
      </c>
      <c r="S18584">
        <v>0</v>
      </c>
      <c r="T18584" t="s">
        <v>68203</v>
      </c>
    </row>
    <row r="18585" spans="1:20" customFormat="1" ht="15" x14ac:dyDescent="0.25">
      <c r="A18585" t="s">
        <v>24</v>
      </c>
      <c r="B18585" t="s">
        <v>257</v>
      </c>
      <c r="C18585" t="str">
        <f>"A0058102"</f>
        <v>A0058102</v>
      </c>
      <c r="D18585" t="s">
        <v>68204</v>
      </c>
      <c r="E18585" t="s">
        <v>68205</v>
      </c>
      <c r="F18585" t="s">
        <v>9431</v>
      </c>
      <c r="G18585" t="s">
        <v>381</v>
      </c>
      <c r="H18585">
        <v>46225</v>
      </c>
      <c r="I18585" t="s">
        <v>30</v>
      </c>
      <c r="J18585" t="s">
        <v>31</v>
      </c>
      <c r="K18585" t="s">
        <v>198</v>
      </c>
      <c r="N18585" t="s">
        <v>68206</v>
      </c>
      <c r="Q18585">
        <v>0</v>
      </c>
      <c r="R18585">
        <v>180</v>
      </c>
      <c r="S18585">
        <v>0</v>
      </c>
      <c r="T18585" t="s">
        <v>68207</v>
      </c>
    </row>
    <row r="18586" spans="1:20" customFormat="1" ht="15" x14ac:dyDescent="0.25">
      <c r="A18586" t="s">
        <v>24</v>
      </c>
      <c r="B18586" t="s">
        <v>59626</v>
      </c>
      <c r="C18586" t="str">
        <f>"A0089429"</f>
        <v>A0089429</v>
      </c>
      <c r="D18586" t="s">
        <v>68208</v>
      </c>
      <c r="E18586" t="s">
        <v>68209</v>
      </c>
      <c r="F18586" t="s">
        <v>2443</v>
      </c>
      <c r="G18586" t="s">
        <v>81</v>
      </c>
      <c r="H18586">
        <v>32256</v>
      </c>
      <c r="I18586" t="s">
        <v>30</v>
      </c>
      <c r="J18586" t="s">
        <v>31</v>
      </c>
      <c r="K18586" t="s">
        <v>198</v>
      </c>
      <c r="N18586" t="s">
        <v>68210</v>
      </c>
      <c r="Q18586">
        <v>0</v>
      </c>
      <c r="R18586">
        <v>102</v>
      </c>
      <c r="S18586">
        <v>0</v>
      </c>
      <c r="T18586" t="s">
        <v>68211</v>
      </c>
    </row>
    <row r="18587" spans="1:20" customFormat="1" ht="15" x14ac:dyDescent="0.25">
      <c r="A18587" t="s">
        <v>24</v>
      </c>
      <c r="B18587" t="s">
        <v>3159</v>
      </c>
      <c r="C18587" t="str">
        <f>"A0056257"</f>
        <v>A0056257</v>
      </c>
      <c r="D18587" t="s">
        <v>68212</v>
      </c>
      <c r="E18587" t="s">
        <v>68213</v>
      </c>
      <c r="F18587" t="s">
        <v>56903</v>
      </c>
      <c r="G18587" t="s">
        <v>81</v>
      </c>
      <c r="H18587">
        <v>32250</v>
      </c>
      <c r="I18587" t="s">
        <v>30</v>
      </c>
      <c r="J18587" t="s">
        <v>31</v>
      </c>
      <c r="K18587" t="s">
        <v>198</v>
      </c>
      <c r="N18587" t="s">
        <v>68214</v>
      </c>
      <c r="O18587" t="s">
        <v>68215</v>
      </c>
      <c r="Q18587">
        <v>0</v>
      </c>
      <c r="R18587">
        <v>177</v>
      </c>
      <c r="S18587">
        <v>0</v>
      </c>
      <c r="T18587" t="s">
        <v>68216</v>
      </c>
    </row>
    <row r="18588" spans="1:20" customFormat="1" ht="15" x14ac:dyDescent="0.25">
      <c r="A18588" t="s">
        <v>24</v>
      </c>
      <c r="B18588" t="s">
        <v>54573</v>
      </c>
      <c r="C18588" t="str">
        <f>"A0147866"</f>
        <v>A0147866</v>
      </c>
      <c r="D18588" t="s">
        <v>68217</v>
      </c>
      <c r="E18588" t="s">
        <v>68218</v>
      </c>
      <c r="F18588" t="s">
        <v>68219</v>
      </c>
      <c r="G18588" t="s">
        <v>117</v>
      </c>
      <c r="H18588">
        <v>49001</v>
      </c>
      <c r="I18588" t="s">
        <v>30</v>
      </c>
      <c r="J18588" t="s">
        <v>31</v>
      </c>
      <c r="K18588" t="s">
        <v>198</v>
      </c>
      <c r="N18588" t="s">
        <v>68220</v>
      </c>
      <c r="Q18588">
        <v>0</v>
      </c>
      <c r="R18588">
        <v>78</v>
      </c>
      <c r="S18588">
        <v>0</v>
      </c>
      <c r="T18588" t="s">
        <v>68221</v>
      </c>
    </row>
    <row r="18589" spans="1:20" customFormat="1" ht="15" x14ac:dyDescent="0.25">
      <c r="A18589" t="s">
        <v>24</v>
      </c>
      <c r="B18589" t="s">
        <v>2340</v>
      </c>
      <c r="C18589" t="str">
        <f>"A0094329"</f>
        <v>A0094329</v>
      </c>
      <c r="D18589" t="s">
        <v>68222</v>
      </c>
      <c r="E18589" t="s">
        <v>68223</v>
      </c>
      <c r="F18589" t="s">
        <v>5107</v>
      </c>
      <c r="G18589" t="s">
        <v>925</v>
      </c>
      <c r="H18589">
        <v>66111</v>
      </c>
      <c r="I18589" t="s">
        <v>30</v>
      </c>
      <c r="J18589" t="s">
        <v>31</v>
      </c>
      <c r="K18589" t="s">
        <v>198</v>
      </c>
      <c r="N18589" t="s">
        <v>68224</v>
      </c>
      <c r="Q18589">
        <v>0</v>
      </c>
      <c r="R18589">
        <v>76</v>
      </c>
      <c r="S18589">
        <v>0</v>
      </c>
      <c r="T18589" t="s">
        <v>68225</v>
      </c>
    </row>
    <row r="18590" spans="1:20" customFormat="1" ht="15" x14ac:dyDescent="0.25">
      <c r="A18590" t="s">
        <v>24</v>
      </c>
      <c r="B18590" t="s">
        <v>11027</v>
      </c>
      <c r="C18590" t="str">
        <f>"A0098979"</f>
        <v>A0098979</v>
      </c>
      <c r="D18590" t="s">
        <v>68226</v>
      </c>
      <c r="E18590" t="s">
        <v>68227</v>
      </c>
      <c r="F18590" t="s">
        <v>68228</v>
      </c>
      <c r="G18590" t="s">
        <v>214</v>
      </c>
      <c r="H18590">
        <v>27284</v>
      </c>
      <c r="I18590" t="s">
        <v>30</v>
      </c>
      <c r="J18590" t="s">
        <v>31</v>
      </c>
      <c r="K18590" t="s">
        <v>198</v>
      </c>
      <c r="N18590" t="s">
        <v>68229</v>
      </c>
      <c r="O18590" t="s">
        <v>68230</v>
      </c>
      <c r="Q18590">
        <v>0</v>
      </c>
      <c r="R18590">
        <v>98</v>
      </c>
      <c r="S18590">
        <v>0</v>
      </c>
      <c r="T18590" t="s">
        <v>68231</v>
      </c>
    </row>
    <row r="18591" spans="1:20" customFormat="1" ht="15" x14ac:dyDescent="0.25">
      <c r="A18591" t="s">
        <v>24</v>
      </c>
      <c r="B18591" t="s">
        <v>9391</v>
      </c>
      <c r="C18591" t="str">
        <f>"A0095672"</f>
        <v>A0095672</v>
      </c>
      <c r="D18591" t="s">
        <v>68232</v>
      </c>
      <c r="E18591" t="s">
        <v>68233</v>
      </c>
      <c r="F18591" t="s">
        <v>68234</v>
      </c>
      <c r="G18591" t="s">
        <v>880</v>
      </c>
      <c r="H18591">
        <v>37380</v>
      </c>
      <c r="I18591" t="s">
        <v>30</v>
      </c>
      <c r="J18591" t="s">
        <v>31</v>
      </c>
      <c r="K18591" t="s">
        <v>198</v>
      </c>
      <c r="Q18591">
        <v>0</v>
      </c>
      <c r="R18591">
        <v>80</v>
      </c>
      <c r="S18591">
        <v>0</v>
      </c>
      <c r="T18591" t="s">
        <v>68235</v>
      </c>
    </row>
    <row r="18592" spans="1:20" customFormat="1" ht="15" x14ac:dyDescent="0.25">
      <c r="A18592" t="s">
        <v>24</v>
      </c>
      <c r="B18592" t="s">
        <v>1561</v>
      </c>
      <c r="C18592" t="str">
        <f>"A0059915"</f>
        <v>A0059915</v>
      </c>
      <c r="D18592" t="s">
        <v>68236</v>
      </c>
      <c r="E18592" t="s">
        <v>68237</v>
      </c>
      <c r="F18592" t="s">
        <v>9812</v>
      </c>
      <c r="G18592" t="s">
        <v>103</v>
      </c>
      <c r="H18592">
        <v>19406</v>
      </c>
      <c r="I18592" t="s">
        <v>30</v>
      </c>
      <c r="J18592" t="s">
        <v>31</v>
      </c>
      <c r="K18592" t="s">
        <v>198</v>
      </c>
      <c r="N18592" t="s">
        <v>68238</v>
      </c>
      <c r="Q18592">
        <v>0</v>
      </c>
      <c r="R18592">
        <v>148</v>
      </c>
      <c r="S18592">
        <v>0</v>
      </c>
      <c r="T18592" t="s">
        <v>68239</v>
      </c>
    </row>
    <row r="18593" spans="1:20" customFormat="1" ht="15" x14ac:dyDescent="0.25">
      <c r="A18593" t="s">
        <v>24</v>
      </c>
      <c r="B18593" t="s">
        <v>342</v>
      </c>
      <c r="C18593" t="str">
        <f>"A0090179"</f>
        <v>A0090179</v>
      </c>
      <c r="D18593" t="s">
        <v>68240</v>
      </c>
      <c r="E18593" t="s">
        <v>68241</v>
      </c>
      <c r="F18593" t="s">
        <v>12348</v>
      </c>
      <c r="G18593" t="s">
        <v>880</v>
      </c>
      <c r="H18593">
        <v>37934</v>
      </c>
      <c r="I18593" t="s">
        <v>30</v>
      </c>
      <c r="J18593" t="s">
        <v>31</v>
      </c>
      <c r="K18593" t="s">
        <v>198</v>
      </c>
      <c r="N18593" t="s">
        <v>68242</v>
      </c>
      <c r="Q18593">
        <v>0</v>
      </c>
      <c r="R18593">
        <v>105</v>
      </c>
      <c r="S18593">
        <v>0</v>
      </c>
      <c r="T18593" t="s">
        <v>68243</v>
      </c>
    </row>
    <row r="18594" spans="1:20" customFormat="1" ht="15" x14ac:dyDescent="0.25">
      <c r="A18594" t="s">
        <v>24</v>
      </c>
      <c r="B18594" t="s">
        <v>4400</v>
      </c>
      <c r="C18594" t="str">
        <f>"88HM028"</f>
        <v>88HM028</v>
      </c>
      <c r="D18594" t="s">
        <v>68244</v>
      </c>
      <c r="E18594" t="s">
        <v>68245</v>
      </c>
      <c r="F18594" t="s">
        <v>53500</v>
      </c>
      <c r="G18594" t="s">
        <v>381</v>
      </c>
      <c r="H18594">
        <v>46902</v>
      </c>
      <c r="I18594" t="s">
        <v>30</v>
      </c>
      <c r="J18594" t="s">
        <v>31</v>
      </c>
      <c r="K18594" t="s">
        <v>198</v>
      </c>
      <c r="N18594" t="s">
        <v>68246</v>
      </c>
      <c r="O18594" t="s">
        <v>68247</v>
      </c>
      <c r="Q18594">
        <v>0</v>
      </c>
      <c r="R18594">
        <v>105</v>
      </c>
      <c r="S18594">
        <v>0</v>
      </c>
      <c r="T18594" t="s">
        <v>68248</v>
      </c>
    </row>
    <row r="18595" spans="1:20" customFormat="1" ht="15" x14ac:dyDescent="0.25">
      <c r="A18595" t="s">
        <v>24</v>
      </c>
      <c r="B18595" t="s">
        <v>2340</v>
      </c>
      <c r="C18595" t="str">
        <f>"A0087842"</f>
        <v>A0087842</v>
      </c>
      <c r="D18595" t="s">
        <v>68249</v>
      </c>
      <c r="E18595" t="s">
        <v>68250</v>
      </c>
      <c r="F18595" t="s">
        <v>10598</v>
      </c>
      <c r="G18595" t="s">
        <v>81</v>
      </c>
      <c r="H18595">
        <v>33803</v>
      </c>
      <c r="I18595" t="s">
        <v>30</v>
      </c>
      <c r="J18595" t="s">
        <v>31</v>
      </c>
      <c r="K18595" t="s">
        <v>198</v>
      </c>
      <c r="N18595" t="s">
        <v>68251</v>
      </c>
      <c r="Q18595">
        <v>0</v>
      </c>
      <c r="R18595">
        <v>117</v>
      </c>
      <c r="S18595">
        <v>0</v>
      </c>
      <c r="T18595" t="s">
        <v>68252</v>
      </c>
    </row>
    <row r="18596" spans="1:20" customFormat="1" ht="15" x14ac:dyDescent="0.25">
      <c r="A18596" t="s">
        <v>24</v>
      </c>
      <c r="B18596" t="s">
        <v>4990</v>
      </c>
      <c r="C18596" t="str">
        <f>"A0147876"</f>
        <v>A0147876</v>
      </c>
      <c r="D18596" t="s">
        <v>68253</v>
      </c>
      <c r="E18596" t="s">
        <v>68254</v>
      </c>
      <c r="F18596" t="s">
        <v>68255</v>
      </c>
      <c r="G18596" t="s">
        <v>161</v>
      </c>
      <c r="H18596">
        <v>55044</v>
      </c>
      <c r="I18596" t="s">
        <v>30</v>
      </c>
      <c r="J18596" t="s">
        <v>31</v>
      </c>
      <c r="K18596" t="s">
        <v>198</v>
      </c>
      <c r="N18596" t="s">
        <v>68256</v>
      </c>
      <c r="O18596" t="s">
        <v>68257</v>
      </c>
      <c r="Q18596">
        <v>0</v>
      </c>
      <c r="R18596">
        <v>117</v>
      </c>
      <c r="S18596">
        <v>0</v>
      </c>
      <c r="T18596" t="s">
        <v>192</v>
      </c>
    </row>
    <row r="18597" spans="1:20" customFormat="1" ht="15" x14ac:dyDescent="0.25">
      <c r="A18597" t="s">
        <v>24</v>
      </c>
      <c r="B18597" t="s">
        <v>56959</v>
      </c>
      <c r="C18597" t="str">
        <f>"A0095017"</f>
        <v>A0095017</v>
      </c>
      <c r="D18597" t="s">
        <v>68258</v>
      </c>
      <c r="E18597" t="s">
        <v>68259</v>
      </c>
      <c r="F18597" t="s">
        <v>1320</v>
      </c>
      <c r="G18597" t="s">
        <v>65</v>
      </c>
      <c r="H18597">
        <v>43130</v>
      </c>
      <c r="I18597" t="s">
        <v>30</v>
      </c>
      <c r="J18597" t="s">
        <v>31</v>
      </c>
      <c r="K18597" t="s">
        <v>198</v>
      </c>
      <c r="N18597" t="s">
        <v>68260</v>
      </c>
      <c r="O18597" t="s">
        <v>68261</v>
      </c>
      <c r="Q18597">
        <v>0</v>
      </c>
      <c r="R18597">
        <v>78</v>
      </c>
      <c r="S18597">
        <v>0</v>
      </c>
      <c r="T18597" t="s">
        <v>68262</v>
      </c>
    </row>
    <row r="18598" spans="1:20" customFormat="1" ht="15" x14ac:dyDescent="0.25">
      <c r="A18598" t="s">
        <v>24</v>
      </c>
      <c r="B18598" t="s">
        <v>13679</v>
      </c>
      <c r="C18598" t="str">
        <f>"A0075824"</f>
        <v>A0075824</v>
      </c>
      <c r="D18598" t="s">
        <v>68263</v>
      </c>
      <c r="E18598" t="s">
        <v>68264</v>
      </c>
      <c r="F18598" t="s">
        <v>4829</v>
      </c>
      <c r="G18598" t="s">
        <v>52</v>
      </c>
      <c r="H18598">
        <v>75038</v>
      </c>
      <c r="I18598" t="s">
        <v>30</v>
      </c>
      <c r="J18598" t="s">
        <v>31</v>
      </c>
      <c r="K18598" t="s">
        <v>198</v>
      </c>
      <c r="N18598" t="s">
        <v>68265</v>
      </c>
      <c r="Q18598">
        <v>0</v>
      </c>
      <c r="R18598">
        <v>135</v>
      </c>
      <c r="S18598">
        <v>0</v>
      </c>
      <c r="T18598" t="s">
        <v>68266</v>
      </c>
    </row>
    <row r="18599" spans="1:20" customFormat="1" ht="15" x14ac:dyDescent="0.25">
      <c r="A18599" t="s">
        <v>24</v>
      </c>
      <c r="B18599" t="s">
        <v>58709</v>
      </c>
      <c r="C18599" t="str">
        <f>"A0100326"</f>
        <v>A0100326</v>
      </c>
      <c r="D18599" t="s">
        <v>68267</v>
      </c>
      <c r="E18599" t="s">
        <v>68268</v>
      </c>
      <c r="F18599" t="s">
        <v>55146</v>
      </c>
      <c r="G18599" t="s">
        <v>123</v>
      </c>
      <c r="H18599">
        <v>20708</v>
      </c>
      <c r="I18599" t="s">
        <v>30</v>
      </c>
      <c r="J18599" t="s">
        <v>31</v>
      </c>
      <c r="K18599" t="s">
        <v>198</v>
      </c>
      <c r="N18599" t="s">
        <v>67334</v>
      </c>
      <c r="O18599" t="s">
        <v>65538</v>
      </c>
      <c r="Q18599">
        <v>0</v>
      </c>
      <c r="R18599">
        <v>80</v>
      </c>
      <c r="S18599">
        <v>0</v>
      </c>
      <c r="T18599" t="s">
        <v>68269</v>
      </c>
    </row>
    <row r="18600" spans="1:20" customFormat="1" ht="15" x14ac:dyDescent="0.25">
      <c r="A18600" t="s">
        <v>24</v>
      </c>
      <c r="B18600" t="s">
        <v>2221</v>
      </c>
      <c r="C18600" t="str">
        <f>"A0057394"</f>
        <v>A0057394</v>
      </c>
      <c r="D18600" t="s">
        <v>68270</v>
      </c>
      <c r="E18600" t="s">
        <v>68271</v>
      </c>
      <c r="F18600" t="s">
        <v>59179</v>
      </c>
      <c r="G18600" t="s">
        <v>846</v>
      </c>
      <c r="H18600">
        <v>30043</v>
      </c>
      <c r="I18600" t="s">
        <v>30</v>
      </c>
      <c r="J18600" t="s">
        <v>31</v>
      </c>
      <c r="K18600" t="s">
        <v>198</v>
      </c>
      <c r="N18600" t="s">
        <v>68272</v>
      </c>
      <c r="Q18600">
        <v>0</v>
      </c>
      <c r="R18600">
        <v>85</v>
      </c>
      <c r="S18600">
        <v>0</v>
      </c>
      <c r="T18600" t="s">
        <v>68273</v>
      </c>
    </row>
    <row r="18601" spans="1:20" customFormat="1" ht="15" x14ac:dyDescent="0.25">
      <c r="A18601" t="s">
        <v>24</v>
      </c>
      <c r="B18601" t="s">
        <v>58744</v>
      </c>
      <c r="C18601" t="str">
        <f>"A0151694"</f>
        <v>A0151694</v>
      </c>
      <c r="D18601" t="s">
        <v>68274</v>
      </c>
      <c r="E18601" t="s">
        <v>68275</v>
      </c>
      <c r="F18601" t="s">
        <v>68276</v>
      </c>
      <c r="G18601" t="s">
        <v>3236</v>
      </c>
      <c r="H18601">
        <v>57754</v>
      </c>
      <c r="I18601" t="s">
        <v>30</v>
      </c>
      <c r="J18601" t="s">
        <v>31</v>
      </c>
      <c r="K18601" t="s">
        <v>198</v>
      </c>
      <c r="N18601" t="s">
        <v>68277</v>
      </c>
      <c r="O18601" t="s">
        <v>68278</v>
      </c>
      <c r="Q18601">
        <v>0</v>
      </c>
      <c r="R18601">
        <v>90</v>
      </c>
      <c r="S18601">
        <v>0</v>
      </c>
      <c r="T18601" t="s">
        <v>68279</v>
      </c>
    </row>
    <row r="18602" spans="1:20" customFormat="1" ht="15" x14ac:dyDescent="0.25">
      <c r="A18602" t="s">
        <v>24</v>
      </c>
      <c r="B18602" t="s">
        <v>706</v>
      </c>
      <c r="C18602" t="str">
        <f>"A0096243"</f>
        <v>A0096243</v>
      </c>
      <c r="D18602" t="s">
        <v>68280</v>
      </c>
      <c r="E18602" t="s">
        <v>68281</v>
      </c>
      <c r="F18602" t="s">
        <v>34750</v>
      </c>
      <c r="G18602" t="s">
        <v>81</v>
      </c>
      <c r="H18602">
        <v>34788</v>
      </c>
      <c r="I18602" t="s">
        <v>30</v>
      </c>
      <c r="J18602" t="s">
        <v>31</v>
      </c>
      <c r="K18602" t="s">
        <v>198</v>
      </c>
      <c r="N18602" t="s">
        <v>68282</v>
      </c>
      <c r="O18602" t="s">
        <v>68283</v>
      </c>
      <c r="Q18602">
        <v>0</v>
      </c>
      <c r="R18602">
        <v>82</v>
      </c>
      <c r="S18602">
        <v>0</v>
      </c>
      <c r="T18602" t="s">
        <v>68284</v>
      </c>
    </row>
    <row r="18603" spans="1:20" customFormat="1" ht="15" x14ac:dyDescent="0.25">
      <c r="A18603" t="s">
        <v>24</v>
      </c>
      <c r="B18603" t="s">
        <v>55997</v>
      </c>
      <c r="C18603" t="str">
        <f>"A0076825"</f>
        <v>A0076825</v>
      </c>
      <c r="D18603" t="s">
        <v>68285</v>
      </c>
      <c r="E18603" t="s">
        <v>68286</v>
      </c>
      <c r="F18603" t="s">
        <v>68287</v>
      </c>
      <c r="G18603" t="s">
        <v>338</v>
      </c>
      <c r="H18603">
        <v>7036</v>
      </c>
      <c r="I18603" t="s">
        <v>30</v>
      </c>
      <c r="J18603" t="s">
        <v>31</v>
      </c>
      <c r="K18603" t="s">
        <v>198</v>
      </c>
      <c r="N18603" t="s">
        <v>68288</v>
      </c>
      <c r="O18603" t="s">
        <v>68289</v>
      </c>
      <c r="Q18603">
        <v>0</v>
      </c>
      <c r="R18603">
        <v>149</v>
      </c>
      <c r="S18603">
        <v>0</v>
      </c>
      <c r="T18603" t="s">
        <v>68290</v>
      </c>
    </row>
    <row r="18604" spans="1:20" customFormat="1" ht="15" x14ac:dyDescent="0.25">
      <c r="A18604" t="s">
        <v>24</v>
      </c>
      <c r="B18604" t="s">
        <v>3221</v>
      </c>
      <c r="C18604" t="str">
        <f>"A0074718"</f>
        <v>A0074718</v>
      </c>
      <c r="D18604" t="s">
        <v>68291</v>
      </c>
      <c r="E18604" t="s">
        <v>68292</v>
      </c>
      <c r="F18604" t="s">
        <v>12772</v>
      </c>
      <c r="G18604" t="s">
        <v>1363</v>
      </c>
      <c r="H18604">
        <v>3561</v>
      </c>
      <c r="I18604" t="s">
        <v>30</v>
      </c>
      <c r="J18604" t="s">
        <v>31</v>
      </c>
      <c r="K18604" t="s">
        <v>198</v>
      </c>
      <c r="N18604" t="s">
        <v>68293</v>
      </c>
      <c r="O18604" t="s">
        <v>68294</v>
      </c>
      <c r="Q18604">
        <v>0</v>
      </c>
      <c r="R18604">
        <v>88</v>
      </c>
      <c r="S18604">
        <v>0</v>
      </c>
      <c r="T18604" t="s">
        <v>68295</v>
      </c>
    </row>
    <row r="18605" spans="1:20" customFormat="1" ht="15" x14ac:dyDescent="0.25">
      <c r="A18605" t="s">
        <v>24</v>
      </c>
      <c r="B18605" t="s">
        <v>5104</v>
      </c>
      <c r="C18605" t="str">
        <f>"A0063029"</f>
        <v>A0063029</v>
      </c>
      <c r="D18605" t="s">
        <v>68296</v>
      </c>
      <c r="E18605" t="s">
        <v>68297</v>
      </c>
      <c r="F18605" t="s">
        <v>7408</v>
      </c>
      <c r="G18605" t="s">
        <v>899</v>
      </c>
      <c r="H18605">
        <v>2151</v>
      </c>
      <c r="I18605" t="s">
        <v>30</v>
      </c>
      <c r="J18605" t="s">
        <v>31</v>
      </c>
      <c r="K18605" t="s">
        <v>198</v>
      </c>
      <c r="N18605" t="s">
        <v>68298</v>
      </c>
      <c r="O18605" t="s">
        <v>68299</v>
      </c>
      <c r="Q18605">
        <v>0</v>
      </c>
      <c r="R18605">
        <v>227</v>
      </c>
      <c r="S18605">
        <v>0</v>
      </c>
      <c r="T18605" t="s">
        <v>68300</v>
      </c>
    </row>
    <row r="18606" spans="1:20" customFormat="1" ht="15" x14ac:dyDescent="0.25">
      <c r="A18606" t="s">
        <v>24</v>
      </c>
      <c r="B18606" t="s">
        <v>9391</v>
      </c>
      <c r="C18606" t="str">
        <f>"A0095673"</f>
        <v>A0095673</v>
      </c>
      <c r="D18606" t="s">
        <v>68301</v>
      </c>
      <c r="E18606" t="s">
        <v>68302</v>
      </c>
      <c r="F18606" t="s">
        <v>1346</v>
      </c>
      <c r="G18606" t="s">
        <v>880</v>
      </c>
      <c r="H18606">
        <v>37419</v>
      </c>
      <c r="I18606" t="s">
        <v>30</v>
      </c>
      <c r="J18606" t="s">
        <v>31</v>
      </c>
      <c r="K18606" t="s">
        <v>198</v>
      </c>
      <c r="N18606" t="s">
        <v>68303</v>
      </c>
      <c r="O18606" t="s">
        <v>68304</v>
      </c>
      <c r="Q18606">
        <v>0</v>
      </c>
      <c r="R18606">
        <v>94</v>
      </c>
      <c r="S18606">
        <v>0</v>
      </c>
      <c r="T18606" t="s">
        <v>68305</v>
      </c>
    </row>
    <row r="18607" spans="1:20" customFormat="1" ht="15" x14ac:dyDescent="0.25">
      <c r="A18607" t="s">
        <v>24</v>
      </c>
      <c r="B18607" t="s">
        <v>13679</v>
      </c>
      <c r="C18607" t="str">
        <f>"A0095075"</f>
        <v>A0095075</v>
      </c>
      <c r="D18607" t="s">
        <v>68306</v>
      </c>
      <c r="E18607" t="s">
        <v>68307</v>
      </c>
      <c r="F18607" t="s">
        <v>54934</v>
      </c>
      <c r="G18607" t="s">
        <v>110</v>
      </c>
      <c r="H18607">
        <v>90630</v>
      </c>
      <c r="I18607" t="s">
        <v>30</v>
      </c>
      <c r="J18607" t="s">
        <v>31</v>
      </c>
      <c r="K18607" t="s">
        <v>198</v>
      </c>
      <c r="N18607" t="s">
        <v>68308</v>
      </c>
      <c r="Q18607">
        <v>0</v>
      </c>
      <c r="R18607">
        <v>110</v>
      </c>
      <c r="S18607">
        <v>0</v>
      </c>
      <c r="T18607" t="s">
        <v>68309</v>
      </c>
    </row>
    <row r="18608" spans="1:20" customFormat="1" ht="15" x14ac:dyDescent="0.25">
      <c r="A18608" t="s">
        <v>24</v>
      </c>
      <c r="B18608" t="s">
        <v>8579</v>
      </c>
      <c r="C18608" t="str">
        <f>"88HM119"</f>
        <v>88HM119</v>
      </c>
      <c r="D18608" t="s">
        <v>68310</v>
      </c>
      <c r="E18608" t="s">
        <v>68311</v>
      </c>
      <c r="F18608" t="s">
        <v>60963</v>
      </c>
      <c r="G18608" t="s">
        <v>190</v>
      </c>
      <c r="H18608">
        <v>80538</v>
      </c>
      <c r="I18608" t="s">
        <v>30</v>
      </c>
      <c r="J18608" t="s">
        <v>31</v>
      </c>
      <c r="K18608" t="s">
        <v>198</v>
      </c>
      <c r="N18608" t="s">
        <v>68312</v>
      </c>
      <c r="O18608" t="s">
        <v>68313</v>
      </c>
      <c r="Q18608">
        <v>0</v>
      </c>
      <c r="R18608">
        <v>80</v>
      </c>
      <c r="S18608">
        <v>0</v>
      </c>
      <c r="T18608" t="s">
        <v>68314</v>
      </c>
    </row>
    <row r="18609" spans="1:20" customFormat="1" ht="15" x14ac:dyDescent="0.25">
      <c r="A18609" t="s">
        <v>24</v>
      </c>
      <c r="B18609" t="s">
        <v>34033</v>
      </c>
      <c r="C18609" t="str">
        <f>"A0057455"</f>
        <v>A0057455</v>
      </c>
      <c r="D18609" t="s">
        <v>68315</v>
      </c>
      <c r="E18609" t="s">
        <v>68316</v>
      </c>
      <c r="F18609" t="s">
        <v>11991</v>
      </c>
      <c r="G18609" t="s">
        <v>71</v>
      </c>
      <c r="H18609">
        <v>53704</v>
      </c>
      <c r="I18609" t="s">
        <v>30</v>
      </c>
      <c r="J18609" t="s">
        <v>31</v>
      </c>
      <c r="K18609" t="s">
        <v>198</v>
      </c>
      <c r="N18609" t="s">
        <v>68317</v>
      </c>
      <c r="Q18609">
        <v>0</v>
      </c>
      <c r="R18609">
        <v>116</v>
      </c>
      <c r="S18609">
        <v>0</v>
      </c>
      <c r="T18609" t="s">
        <v>68318</v>
      </c>
    </row>
    <row r="18610" spans="1:20" customFormat="1" ht="15" x14ac:dyDescent="0.25">
      <c r="A18610" t="s">
        <v>24</v>
      </c>
      <c r="B18610" t="s">
        <v>2955</v>
      </c>
      <c r="C18610" t="str">
        <f>"A0056262"</f>
        <v>A0056262</v>
      </c>
      <c r="D18610" t="s">
        <v>68319</v>
      </c>
      <c r="E18610" t="s">
        <v>68320</v>
      </c>
      <c r="F18610" t="s">
        <v>14472</v>
      </c>
      <c r="G18610" t="s">
        <v>117</v>
      </c>
      <c r="H18610">
        <v>48071</v>
      </c>
      <c r="I18610" t="s">
        <v>30</v>
      </c>
      <c r="J18610" t="s">
        <v>31</v>
      </c>
      <c r="K18610" t="s">
        <v>198</v>
      </c>
      <c r="N18610" t="s">
        <v>68321</v>
      </c>
      <c r="Q18610">
        <v>0</v>
      </c>
      <c r="R18610">
        <v>123</v>
      </c>
      <c r="S18610">
        <v>0</v>
      </c>
      <c r="T18610" t="s">
        <v>68322</v>
      </c>
    </row>
    <row r="18611" spans="1:20" customFormat="1" ht="15" x14ac:dyDescent="0.25">
      <c r="A18611" t="s">
        <v>24</v>
      </c>
      <c r="B18611" t="s">
        <v>2583</v>
      </c>
      <c r="C18611" t="str">
        <f>"A0078345"</f>
        <v>A0078345</v>
      </c>
      <c r="D18611" t="s">
        <v>68323</v>
      </c>
      <c r="E18611" t="s">
        <v>68324</v>
      </c>
      <c r="F18611" t="s">
        <v>716</v>
      </c>
      <c r="G18611" t="s">
        <v>289</v>
      </c>
      <c r="H18611">
        <v>60603</v>
      </c>
      <c r="I18611" t="s">
        <v>30</v>
      </c>
      <c r="J18611" t="s">
        <v>31</v>
      </c>
      <c r="K18611" t="s">
        <v>198</v>
      </c>
      <c r="N18611" t="s">
        <v>68325</v>
      </c>
      <c r="O18611" t="s">
        <v>68326</v>
      </c>
      <c r="Q18611">
        <v>0</v>
      </c>
      <c r="R18611">
        <v>135</v>
      </c>
      <c r="S18611">
        <v>0</v>
      </c>
      <c r="T18611" t="s">
        <v>68327</v>
      </c>
    </row>
    <row r="18612" spans="1:20" customFormat="1" ht="15" x14ac:dyDescent="0.25">
      <c r="A18612" t="s">
        <v>24</v>
      </c>
      <c r="B18612" t="s">
        <v>2340</v>
      </c>
      <c r="C18612" t="str">
        <f>"A0099290"</f>
        <v>A0099290</v>
      </c>
      <c r="D18612" t="s">
        <v>68328</v>
      </c>
      <c r="E18612" t="s">
        <v>68329</v>
      </c>
      <c r="F18612" t="s">
        <v>61001</v>
      </c>
      <c r="G18612" t="s">
        <v>81</v>
      </c>
      <c r="H18612">
        <v>33050</v>
      </c>
      <c r="I18612" t="s">
        <v>30</v>
      </c>
      <c r="J18612" t="s">
        <v>31</v>
      </c>
      <c r="K18612" t="s">
        <v>198</v>
      </c>
      <c r="N18612" t="s">
        <v>68330</v>
      </c>
      <c r="Q18612">
        <v>0</v>
      </c>
      <c r="R18612">
        <v>80</v>
      </c>
      <c r="S18612">
        <v>0</v>
      </c>
      <c r="T18612" t="s">
        <v>68331</v>
      </c>
    </row>
    <row r="18613" spans="1:20" customFormat="1" ht="15" x14ac:dyDescent="0.25">
      <c r="A18613" t="s">
        <v>24</v>
      </c>
      <c r="B18613" t="s">
        <v>2340</v>
      </c>
      <c r="C18613" t="str">
        <f>"A0087586"</f>
        <v>A0087586</v>
      </c>
      <c r="D18613" t="s">
        <v>68332</v>
      </c>
      <c r="E18613" t="s">
        <v>68333</v>
      </c>
      <c r="F18613" t="s">
        <v>356</v>
      </c>
      <c r="G18613" t="s">
        <v>52</v>
      </c>
      <c r="H18613">
        <v>78230</v>
      </c>
      <c r="I18613" t="s">
        <v>30</v>
      </c>
      <c r="J18613" t="s">
        <v>31</v>
      </c>
      <c r="K18613" t="s">
        <v>198</v>
      </c>
      <c r="N18613" t="s">
        <v>68334</v>
      </c>
      <c r="Q18613">
        <v>0</v>
      </c>
      <c r="R18613">
        <v>109</v>
      </c>
      <c r="S18613">
        <v>0</v>
      </c>
      <c r="T18613" t="s">
        <v>68335</v>
      </c>
    </row>
    <row r="18614" spans="1:20" customFormat="1" ht="15" x14ac:dyDescent="0.25">
      <c r="A18614" t="s">
        <v>24</v>
      </c>
      <c r="B18614" t="s">
        <v>2955</v>
      </c>
      <c r="C18614" t="str">
        <f>"A0056140"</f>
        <v>A0056140</v>
      </c>
      <c r="D18614" t="s">
        <v>68336</v>
      </c>
      <c r="E18614" t="s">
        <v>68337</v>
      </c>
      <c r="F18614" t="s">
        <v>11700</v>
      </c>
      <c r="G18614" t="s">
        <v>880</v>
      </c>
      <c r="H18614">
        <v>38119</v>
      </c>
      <c r="I18614" t="s">
        <v>30</v>
      </c>
      <c r="J18614" t="s">
        <v>31</v>
      </c>
      <c r="K18614" t="s">
        <v>198</v>
      </c>
      <c r="N18614" t="s">
        <v>68338</v>
      </c>
      <c r="Q18614">
        <v>0</v>
      </c>
      <c r="R18614">
        <v>126</v>
      </c>
      <c r="S18614">
        <v>0</v>
      </c>
      <c r="T18614" t="s">
        <v>68339</v>
      </c>
    </row>
    <row r="18615" spans="1:20" customFormat="1" ht="15" x14ac:dyDescent="0.25">
      <c r="A18615" t="s">
        <v>24</v>
      </c>
      <c r="B18615" t="s">
        <v>13807</v>
      </c>
      <c r="C18615" t="str">
        <f>"A0075372"</f>
        <v>A0075372</v>
      </c>
      <c r="D18615" t="s">
        <v>68340</v>
      </c>
      <c r="E18615" t="s">
        <v>68341</v>
      </c>
      <c r="F18615" t="s">
        <v>3035</v>
      </c>
      <c r="G18615" t="s">
        <v>1369</v>
      </c>
      <c r="H18615">
        <v>38671</v>
      </c>
      <c r="I18615" t="s">
        <v>30</v>
      </c>
      <c r="J18615" t="s">
        <v>31</v>
      </c>
      <c r="K18615" t="s">
        <v>198</v>
      </c>
      <c r="N18615" t="s">
        <v>68342</v>
      </c>
      <c r="O18615" t="s">
        <v>68343</v>
      </c>
      <c r="Q18615">
        <v>0</v>
      </c>
      <c r="R18615">
        <v>86</v>
      </c>
      <c r="S18615">
        <v>0</v>
      </c>
      <c r="T18615" t="s">
        <v>68344</v>
      </c>
    </row>
    <row r="18616" spans="1:20" customFormat="1" ht="15" x14ac:dyDescent="0.25">
      <c r="A18616" t="s">
        <v>24</v>
      </c>
      <c r="B18616" t="s">
        <v>68345</v>
      </c>
      <c r="C18616" t="str">
        <f>"88HM092"</f>
        <v>88HM092</v>
      </c>
      <c r="D18616" t="s">
        <v>68346</v>
      </c>
      <c r="E18616" t="s">
        <v>68347</v>
      </c>
      <c r="F18616" t="s">
        <v>65946</v>
      </c>
      <c r="G18616" t="s">
        <v>381</v>
      </c>
      <c r="H18616">
        <v>46410</v>
      </c>
      <c r="I18616" t="s">
        <v>30</v>
      </c>
      <c r="J18616" t="s">
        <v>31</v>
      </c>
      <c r="K18616" t="s">
        <v>198</v>
      </c>
      <c r="N18616" t="s">
        <v>65947</v>
      </c>
      <c r="Q18616">
        <v>0</v>
      </c>
      <c r="R18616">
        <v>64</v>
      </c>
      <c r="S18616">
        <v>0</v>
      </c>
      <c r="T18616" t="s">
        <v>68348</v>
      </c>
    </row>
    <row r="18617" spans="1:20" customFormat="1" ht="15" x14ac:dyDescent="0.25">
      <c r="A18617" t="s">
        <v>24</v>
      </c>
      <c r="B18617" t="s">
        <v>2340</v>
      </c>
      <c r="C18617" t="str">
        <f>"A0099289"</f>
        <v>A0099289</v>
      </c>
      <c r="D18617" t="s">
        <v>68349</v>
      </c>
      <c r="E18617" t="s">
        <v>68350</v>
      </c>
      <c r="F18617" t="s">
        <v>1889</v>
      </c>
      <c r="G18617" t="s">
        <v>81</v>
      </c>
      <c r="H18617">
        <v>33142</v>
      </c>
      <c r="I18617" t="s">
        <v>30</v>
      </c>
      <c r="J18617" t="s">
        <v>31</v>
      </c>
      <c r="K18617" t="s">
        <v>198</v>
      </c>
      <c r="N18617" t="s">
        <v>68351</v>
      </c>
      <c r="O18617" t="s">
        <v>68352</v>
      </c>
      <c r="Q18617">
        <v>0</v>
      </c>
      <c r="R18617">
        <v>127</v>
      </c>
      <c r="S18617">
        <v>0</v>
      </c>
      <c r="T18617" t="s">
        <v>68353</v>
      </c>
    </row>
    <row r="18618" spans="1:20" customFormat="1" ht="15" x14ac:dyDescent="0.25">
      <c r="A18618" t="s">
        <v>24</v>
      </c>
      <c r="B18618" t="s">
        <v>2528</v>
      </c>
      <c r="C18618" t="str">
        <f>"88HM016"</f>
        <v>88HM016</v>
      </c>
      <c r="D18618" t="s">
        <v>68354</v>
      </c>
      <c r="E18618" t="s">
        <v>68355</v>
      </c>
      <c r="F18618" t="s">
        <v>16742</v>
      </c>
      <c r="G18618" t="s">
        <v>81</v>
      </c>
      <c r="H18618">
        <v>33166</v>
      </c>
      <c r="I18618" t="s">
        <v>30</v>
      </c>
      <c r="J18618" t="s">
        <v>31</v>
      </c>
      <c r="K18618" t="s">
        <v>198</v>
      </c>
      <c r="N18618" t="s">
        <v>68356</v>
      </c>
      <c r="O18618" t="s">
        <v>68357</v>
      </c>
      <c r="Q18618">
        <v>0</v>
      </c>
      <c r="R18618">
        <v>127</v>
      </c>
      <c r="S18618">
        <v>0</v>
      </c>
      <c r="T18618" t="s">
        <v>68358</v>
      </c>
    </row>
    <row r="18619" spans="1:20" customFormat="1" ht="15" x14ac:dyDescent="0.25">
      <c r="A18619" t="s">
        <v>24</v>
      </c>
      <c r="B18619" t="s">
        <v>1836</v>
      </c>
      <c r="C18619" t="str">
        <f>"A0158630"</f>
        <v>A0158630</v>
      </c>
      <c r="D18619" t="s">
        <v>68359</v>
      </c>
      <c r="E18619" t="s">
        <v>68360</v>
      </c>
      <c r="F18619" t="s">
        <v>2057</v>
      </c>
      <c r="G18619" t="s">
        <v>52</v>
      </c>
      <c r="H18619">
        <v>79701</v>
      </c>
      <c r="I18619" t="s">
        <v>30</v>
      </c>
      <c r="J18619" t="s">
        <v>31</v>
      </c>
      <c r="K18619" t="s">
        <v>198</v>
      </c>
      <c r="N18619" t="s">
        <v>68361</v>
      </c>
      <c r="O18619" t="s">
        <v>58763</v>
      </c>
      <c r="Q18619">
        <v>0</v>
      </c>
      <c r="R18619">
        <v>105</v>
      </c>
      <c r="S18619">
        <v>0</v>
      </c>
      <c r="T18619" t="s">
        <v>68362</v>
      </c>
    </row>
    <row r="18620" spans="1:20" customFormat="1" ht="15" x14ac:dyDescent="0.25">
      <c r="A18620" t="s">
        <v>24</v>
      </c>
      <c r="B18620" t="s">
        <v>34738</v>
      </c>
      <c r="C18620" t="str">
        <f>"88HM070"</f>
        <v>88HM070</v>
      </c>
      <c r="D18620" t="s">
        <v>5608</v>
      </c>
      <c r="E18620" t="s">
        <v>68363</v>
      </c>
      <c r="F18620" t="s">
        <v>5610</v>
      </c>
      <c r="G18620" t="s">
        <v>214</v>
      </c>
      <c r="H18620">
        <v>28110</v>
      </c>
      <c r="I18620" t="s">
        <v>30</v>
      </c>
      <c r="J18620" t="s">
        <v>31</v>
      </c>
      <c r="K18620" t="s">
        <v>198</v>
      </c>
      <c r="N18620" t="s">
        <v>68364</v>
      </c>
      <c r="Q18620">
        <v>0</v>
      </c>
      <c r="R18620">
        <v>79</v>
      </c>
      <c r="S18620">
        <v>0</v>
      </c>
      <c r="T18620" t="s">
        <v>68365</v>
      </c>
    </row>
    <row r="18621" spans="1:20" customFormat="1" ht="15" x14ac:dyDescent="0.25">
      <c r="A18621" t="s">
        <v>24</v>
      </c>
      <c r="B18621" t="s">
        <v>2583</v>
      </c>
      <c r="C18621" t="str">
        <f>"A0058932"</f>
        <v>A0058932</v>
      </c>
      <c r="D18621" t="s">
        <v>68366</v>
      </c>
      <c r="E18621" t="s">
        <v>68367</v>
      </c>
      <c r="F18621" t="s">
        <v>758</v>
      </c>
      <c r="G18621" t="s">
        <v>103</v>
      </c>
      <c r="H18621">
        <v>15146</v>
      </c>
      <c r="I18621" t="s">
        <v>30</v>
      </c>
      <c r="J18621" t="s">
        <v>31</v>
      </c>
      <c r="K18621" t="s">
        <v>198</v>
      </c>
      <c r="N18621" t="s">
        <v>68368</v>
      </c>
      <c r="Q18621">
        <v>0</v>
      </c>
      <c r="R18621">
        <v>140</v>
      </c>
      <c r="S18621">
        <v>0</v>
      </c>
      <c r="T18621" t="s">
        <v>68369</v>
      </c>
    </row>
    <row r="18622" spans="1:20" customFormat="1" ht="15" x14ac:dyDescent="0.25">
      <c r="A18622" t="s">
        <v>24</v>
      </c>
      <c r="B18622" t="s">
        <v>4400</v>
      </c>
      <c r="C18622" t="str">
        <f>"A0059593"</f>
        <v>A0059593</v>
      </c>
      <c r="D18622" t="s">
        <v>68370</v>
      </c>
      <c r="E18622" t="s">
        <v>68371</v>
      </c>
      <c r="F18622" t="s">
        <v>68372</v>
      </c>
      <c r="G18622" t="s">
        <v>214</v>
      </c>
      <c r="H18622">
        <v>28557</v>
      </c>
      <c r="I18622" t="s">
        <v>30</v>
      </c>
      <c r="J18622" t="s">
        <v>31</v>
      </c>
      <c r="K18622" t="s">
        <v>198</v>
      </c>
      <c r="N18622" t="s">
        <v>68373</v>
      </c>
      <c r="O18622" t="s">
        <v>68374</v>
      </c>
      <c r="Q18622">
        <v>0</v>
      </c>
      <c r="R18622">
        <v>118</v>
      </c>
      <c r="S18622">
        <v>0</v>
      </c>
      <c r="T18622" t="s">
        <v>68375</v>
      </c>
    </row>
    <row r="18623" spans="1:20" customFormat="1" ht="15" x14ac:dyDescent="0.25">
      <c r="A18623" t="s">
        <v>24</v>
      </c>
      <c r="B18623" t="s">
        <v>4400</v>
      </c>
      <c r="C18623" t="str">
        <f>"A0068484"</f>
        <v>A0068484</v>
      </c>
      <c r="D18623" t="s">
        <v>68376</v>
      </c>
      <c r="E18623" t="s">
        <v>68377</v>
      </c>
      <c r="F18623" t="s">
        <v>65965</v>
      </c>
      <c r="G18623" t="s">
        <v>117</v>
      </c>
      <c r="H18623">
        <v>49444</v>
      </c>
      <c r="I18623" t="s">
        <v>30</v>
      </c>
      <c r="J18623" t="s">
        <v>31</v>
      </c>
      <c r="K18623" t="s">
        <v>198</v>
      </c>
      <c r="N18623" t="s">
        <v>68378</v>
      </c>
      <c r="Q18623">
        <v>0</v>
      </c>
      <c r="R18623">
        <v>81</v>
      </c>
      <c r="S18623">
        <v>0</v>
      </c>
      <c r="T18623" t="s">
        <v>68379</v>
      </c>
    </row>
    <row r="18624" spans="1:20" customFormat="1" ht="15" x14ac:dyDescent="0.25">
      <c r="A18624" t="s">
        <v>24</v>
      </c>
      <c r="B18624" t="s">
        <v>7405</v>
      </c>
      <c r="C18624" t="str">
        <f>"A0096419"</f>
        <v>A0096419</v>
      </c>
      <c r="D18624" t="s">
        <v>68380</v>
      </c>
      <c r="E18624" t="s">
        <v>68381</v>
      </c>
      <c r="F18624" t="s">
        <v>34894</v>
      </c>
      <c r="G18624" t="s">
        <v>99</v>
      </c>
      <c r="H18624">
        <v>10954</v>
      </c>
      <c r="I18624" t="s">
        <v>30</v>
      </c>
      <c r="J18624" t="s">
        <v>31</v>
      </c>
      <c r="K18624" t="s">
        <v>198</v>
      </c>
      <c r="N18624" t="s">
        <v>68382</v>
      </c>
      <c r="Q18624">
        <v>0</v>
      </c>
      <c r="R18624">
        <v>84</v>
      </c>
      <c r="S18624">
        <v>0</v>
      </c>
      <c r="T18624" t="s">
        <v>68383</v>
      </c>
    </row>
    <row r="18625" spans="1:20" customFormat="1" ht="15" x14ac:dyDescent="0.25">
      <c r="A18625" t="s">
        <v>24</v>
      </c>
      <c r="B18625" t="s">
        <v>6363</v>
      </c>
      <c r="C18625" t="str">
        <f>"A0075370"</f>
        <v>A0075370</v>
      </c>
      <c r="D18625" t="s">
        <v>68384</v>
      </c>
      <c r="E18625" t="s">
        <v>68385</v>
      </c>
      <c r="F18625" t="s">
        <v>9846</v>
      </c>
      <c r="G18625" t="s">
        <v>880</v>
      </c>
      <c r="H18625">
        <v>37027</v>
      </c>
      <c r="I18625" t="s">
        <v>30</v>
      </c>
      <c r="J18625" t="s">
        <v>31</v>
      </c>
      <c r="K18625" t="s">
        <v>198</v>
      </c>
      <c r="N18625" t="s">
        <v>68386</v>
      </c>
      <c r="O18625" t="s">
        <v>68387</v>
      </c>
      <c r="Q18625">
        <v>0</v>
      </c>
      <c r="R18625">
        <v>106</v>
      </c>
      <c r="S18625">
        <v>0</v>
      </c>
      <c r="T18625" t="s">
        <v>68388</v>
      </c>
    </row>
    <row r="18626" spans="1:20" customFormat="1" ht="15" x14ac:dyDescent="0.25">
      <c r="A18626" t="s">
        <v>24</v>
      </c>
      <c r="B18626" t="s">
        <v>1192</v>
      </c>
      <c r="C18626" t="str">
        <f>"A0093935"</f>
        <v>A0093935</v>
      </c>
      <c r="D18626" t="s">
        <v>68389</v>
      </c>
      <c r="E18626" t="s">
        <v>68390</v>
      </c>
      <c r="F18626" t="s">
        <v>68391</v>
      </c>
      <c r="G18626" t="s">
        <v>338</v>
      </c>
      <c r="H18626">
        <v>7753</v>
      </c>
      <c r="I18626" t="s">
        <v>30</v>
      </c>
      <c r="J18626" t="s">
        <v>31</v>
      </c>
      <c r="K18626" t="s">
        <v>198</v>
      </c>
      <c r="N18626" t="s">
        <v>68392</v>
      </c>
      <c r="Q18626">
        <v>0</v>
      </c>
      <c r="R18626">
        <v>110</v>
      </c>
      <c r="S18626">
        <v>0</v>
      </c>
      <c r="T18626" t="s">
        <v>68393</v>
      </c>
    </row>
    <row r="18627" spans="1:20" customFormat="1" ht="15" x14ac:dyDescent="0.25">
      <c r="A18627" t="s">
        <v>24</v>
      </c>
      <c r="B18627" t="s">
        <v>2836</v>
      </c>
      <c r="C18627" t="str">
        <f>"A0158629"</f>
        <v>A0158629</v>
      </c>
      <c r="D18627" t="s">
        <v>68394</v>
      </c>
      <c r="E18627" t="s">
        <v>68395</v>
      </c>
      <c r="F18627" t="s">
        <v>2069</v>
      </c>
      <c r="G18627" t="s">
        <v>1170</v>
      </c>
      <c r="H18627">
        <v>70130</v>
      </c>
      <c r="I18627" t="s">
        <v>30</v>
      </c>
      <c r="J18627" t="s">
        <v>31</v>
      </c>
      <c r="K18627" t="s">
        <v>198</v>
      </c>
      <c r="N18627" t="s">
        <v>68396</v>
      </c>
      <c r="O18627" t="s">
        <v>68397</v>
      </c>
      <c r="Q18627">
        <v>0</v>
      </c>
      <c r="R18627">
        <v>210</v>
      </c>
      <c r="S18627">
        <v>0</v>
      </c>
      <c r="T18627" t="s">
        <v>68398</v>
      </c>
    </row>
    <row r="18628" spans="1:20" customFormat="1" ht="15" x14ac:dyDescent="0.25">
      <c r="A18628" t="s">
        <v>24</v>
      </c>
      <c r="B18628" t="s">
        <v>2955</v>
      </c>
      <c r="C18628" t="str">
        <f>"A0056155"</f>
        <v>A0056155</v>
      </c>
      <c r="D18628" t="s">
        <v>68399</v>
      </c>
      <c r="E18628" t="s">
        <v>68400</v>
      </c>
      <c r="F18628" t="s">
        <v>61274</v>
      </c>
      <c r="G18628" t="s">
        <v>29</v>
      </c>
      <c r="H18628">
        <v>23505</v>
      </c>
      <c r="I18628" t="s">
        <v>30</v>
      </c>
      <c r="J18628" t="s">
        <v>31</v>
      </c>
      <c r="K18628" t="s">
        <v>198</v>
      </c>
      <c r="N18628" t="s">
        <v>68401</v>
      </c>
      <c r="Q18628">
        <v>0</v>
      </c>
      <c r="R18628">
        <v>117</v>
      </c>
      <c r="S18628">
        <v>0</v>
      </c>
      <c r="T18628" t="s">
        <v>68402</v>
      </c>
    </row>
    <row r="18629" spans="1:20" customFormat="1" ht="15" x14ac:dyDescent="0.25">
      <c r="A18629" t="s">
        <v>24</v>
      </c>
      <c r="B18629" t="s">
        <v>342</v>
      </c>
      <c r="C18629" t="str">
        <f>"88HM019"</f>
        <v>88HM019</v>
      </c>
      <c r="D18629" t="s">
        <v>68403</v>
      </c>
      <c r="E18629" t="s">
        <v>68404</v>
      </c>
      <c r="F18629" t="s">
        <v>16267</v>
      </c>
      <c r="G18629" t="s">
        <v>29</v>
      </c>
      <c r="H18629">
        <v>23462</v>
      </c>
      <c r="I18629" t="s">
        <v>30</v>
      </c>
      <c r="J18629" t="s">
        <v>31</v>
      </c>
      <c r="K18629" t="s">
        <v>198</v>
      </c>
      <c r="N18629" t="s">
        <v>68405</v>
      </c>
      <c r="Q18629">
        <v>0</v>
      </c>
      <c r="R18629">
        <v>120</v>
      </c>
      <c r="S18629">
        <v>0</v>
      </c>
      <c r="T18629" t="s">
        <v>68406</v>
      </c>
    </row>
    <row r="18630" spans="1:20" customFormat="1" ht="15" x14ac:dyDescent="0.25">
      <c r="A18630" t="s">
        <v>24</v>
      </c>
      <c r="B18630" t="s">
        <v>4400</v>
      </c>
      <c r="C18630" t="str">
        <f>"88HM031"</f>
        <v>88HM031</v>
      </c>
      <c r="D18630" t="s">
        <v>68407</v>
      </c>
      <c r="E18630" t="s">
        <v>68408</v>
      </c>
      <c r="F18630" t="s">
        <v>6840</v>
      </c>
      <c r="G18630" t="s">
        <v>117</v>
      </c>
      <c r="H18630">
        <v>48105</v>
      </c>
      <c r="I18630" t="s">
        <v>30</v>
      </c>
      <c r="J18630" t="s">
        <v>31</v>
      </c>
      <c r="K18630" t="s">
        <v>198</v>
      </c>
      <c r="N18630" t="s">
        <v>68409</v>
      </c>
      <c r="O18630" t="s">
        <v>68410</v>
      </c>
      <c r="Q18630">
        <v>0</v>
      </c>
      <c r="R18630">
        <v>129</v>
      </c>
      <c r="S18630">
        <v>0</v>
      </c>
      <c r="T18630" t="s">
        <v>68411</v>
      </c>
    </row>
    <row r="18631" spans="1:20" customFormat="1" ht="15" x14ac:dyDescent="0.25">
      <c r="A18631" t="s">
        <v>24</v>
      </c>
      <c r="B18631" t="s">
        <v>1561</v>
      </c>
      <c r="C18631" t="str">
        <f>"A0087461"</f>
        <v>A0087461</v>
      </c>
      <c r="D18631" t="s">
        <v>68412</v>
      </c>
      <c r="E18631" t="s">
        <v>68413</v>
      </c>
      <c r="F18631" t="s">
        <v>9431</v>
      </c>
      <c r="G18631" t="s">
        <v>381</v>
      </c>
      <c r="H18631">
        <v>46278</v>
      </c>
      <c r="I18631" t="s">
        <v>30</v>
      </c>
      <c r="J18631" t="s">
        <v>31</v>
      </c>
      <c r="K18631" t="s">
        <v>198</v>
      </c>
      <c r="N18631" t="s">
        <v>68414</v>
      </c>
      <c r="O18631" t="s">
        <v>68415</v>
      </c>
      <c r="Q18631">
        <v>0</v>
      </c>
      <c r="R18631">
        <v>110</v>
      </c>
      <c r="S18631">
        <v>0</v>
      </c>
      <c r="T18631" t="s">
        <v>68416</v>
      </c>
    </row>
    <row r="18632" spans="1:20" customFormat="1" ht="15" x14ac:dyDescent="0.25">
      <c r="A18632" t="s">
        <v>24</v>
      </c>
      <c r="B18632" t="s">
        <v>1583</v>
      </c>
      <c r="C18632" t="str">
        <f>"A0096401"</f>
        <v>A0096401</v>
      </c>
      <c r="D18632" t="s">
        <v>68417</v>
      </c>
      <c r="E18632" t="s">
        <v>68418</v>
      </c>
      <c r="F18632" t="s">
        <v>68419</v>
      </c>
      <c r="G18632" t="s">
        <v>4815</v>
      </c>
      <c r="H18632">
        <v>96707</v>
      </c>
      <c r="I18632" t="s">
        <v>30</v>
      </c>
      <c r="J18632" t="s">
        <v>31</v>
      </c>
      <c r="K18632" t="s">
        <v>198</v>
      </c>
      <c r="N18632" t="s">
        <v>68420</v>
      </c>
      <c r="Q18632">
        <v>0</v>
      </c>
      <c r="R18632">
        <v>175</v>
      </c>
      <c r="S18632">
        <v>0</v>
      </c>
      <c r="T18632" t="s">
        <v>68421</v>
      </c>
    </row>
    <row r="18633" spans="1:20" customFormat="1" ht="15" x14ac:dyDescent="0.25">
      <c r="A18633" t="s">
        <v>24</v>
      </c>
      <c r="B18633" t="s">
        <v>4400</v>
      </c>
      <c r="C18633" t="str">
        <f>"A0093505"</f>
        <v>A0093505</v>
      </c>
      <c r="D18633" t="s">
        <v>68422</v>
      </c>
      <c r="E18633" t="s">
        <v>68423</v>
      </c>
      <c r="F18633" t="s">
        <v>866</v>
      </c>
      <c r="G18633" t="s">
        <v>40</v>
      </c>
      <c r="H18633">
        <v>73112</v>
      </c>
      <c r="I18633" t="s">
        <v>30</v>
      </c>
      <c r="J18633" t="s">
        <v>31</v>
      </c>
      <c r="K18633" t="s">
        <v>198</v>
      </c>
      <c r="N18633" t="s">
        <v>68424</v>
      </c>
      <c r="Q18633">
        <v>0</v>
      </c>
      <c r="R18633">
        <v>96</v>
      </c>
      <c r="S18633">
        <v>0</v>
      </c>
      <c r="T18633" t="s">
        <v>68425</v>
      </c>
    </row>
    <row r="18634" spans="1:20" customFormat="1" ht="15" x14ac:dyDescent="0.25">
      <c r="A18634" t="s">
        <v>24</v>
      </c>
      <c r="B18634" t="s">
        <v>16448</v>
      </c>
      <c r="C18634" t="str">
        <f>"A0094085"</f>
        <v>A0094085</v>
      </c>
      <c r="D18634" t="s">
        <v>68426</v>
      </c>
      <c r="E18634" t="s">
        <v>68427</v>
      </c>
      <c r="F18634" t="s">
        <v>59396</v>
      </c>
      <c r="G18634" t="s">
        <v>58</v>
      </c>
      <c r="H18634">
        <v>29118</v>
      </c>
      <c r="I18634" t="s">
        <v>30</v>
      </c>
      <c r="J18634" t="s">
        <v>31</v>
      </c>
      <c r="K18634" t="s">
        <v>198</v>
      </c>
      <c r="Q18634">
        <v>0</v>
      </c>
      <c r="R18634">
        <v>90</v>
      </c>
      <c r="S18634">
        <v>0</v>
      </c>
      <c r="T18634" t="s">
        <v>68428</v>
      </c>
    </row>
    <row r="18635" spans="1:20" customFormat="1" ht="15" x14ac:dyDescent="0.25">
      <c r="A18635" t="s">
        <v>24</v>
      </c>
      <c r="B18635" t="s">
        <v>4990</v>
      </c>
      <c r="C18635" t="str">
        <f>"A0147875"</f>
        <v>A0147875</v>
      </c>
      <c r="D18635" t="s">
        <v>68429</v>
      </c>
      <c r="E18635" t="s">
        <v>68430</v>
      </c>
      <c r="F18635" t="s">
        <v>68431</v>
      </c>
      <c r="G18635" t="s">
        <v>289</v>
      </c>
      <c r="H18635">
        <v>60467</v>
      </c>
      <c r="I18635" t="s">
        <v>30</v>
      </c>
      <c r="J18635" t="s">
        <v>31</v>
      </c>
      <c r="K18635" t="s">
        <v>198</v>
      </c>
      <c r="Q18635">
        <v>0</v>
      </c>
      <c r="R18635">
        <v>80</v>
      </c>
      <c r="S18635">
        <v>0</v>
      </c>
      <c r="T18635" t="s">
        <v>192</v>
      </c>
    </row>
    <row r="18636" spans="1:20" customFormat="1" ht="15" x14ac:dyDescent="0.25">
      <c r="A18636" t="s">
        <v>24</v>
      </c>
      <c r="B18636" t="s">
        <v>2955</v>
      </c>
      <c r="C18636" t="str">
        <f>"A0057625"</f>
        <v>A0057625</v>
      </c>
      <c r="D18636" t="s">
        <v>68432</v>
      </c>
      <c r="E18636" t="s">
        <v>68433</v>
      </c>
      <c r="F18636" t="s">
        <v>985</v>
      </c>
      <c r="G18636" t="s">
        <v>81</v>
      </c>
      <c r="H18636">
        <v>32819</v>
      </c>
      <c r="I18636" t="s">
        <v>30</v>
      </c>
      <c r="J18636" t="s">
        <v>31</v>
      </c>
      <c r="K18636" t="s">
        <v>198</v>
      </c>
      <c r="N18636" t="s">
        <v>68434</v>
      </c>
      <c r="Q18636">
        <v>0</v>
      </c>
      <c r="R18636">
        <v>170</v>
      </c>
      <c r="S18636">
        <v>0</v>
      </c>
      <c r="T18636" t="s">
        <v>68435</v>
      </c>
    </row>
    <row r="18637" spans="1:20" customFormat="1" ht="15" x14ac:dyDescent="0.25">
      <c r="A18637" t="s">
        <v>24</v>
      </c>
      <c r="B18637" t="s">
        <v>34201</v>
      </c>
      <c r="C18637" t="str">
        <f>"A0096240"</f>
        <v>A0096240</v>
      </c>
      <c r="D18637" t="s">
        <v>68436</v>
      </c>
      <c r="E18637" t="s">
        <v>68437</v>
      </c>
      <c r="F18637" t="s">
        <v>56045</v>
      </c>
      <c r="G18637" t="s">
        <v>289</v>
      </c>
      <c r="H18637">
        <v>61350</v>
      </c>
      <c r="I18637" t="s">
        <v>30</v>
      </c>
      <c r="J18637" t="s">
        <v>31</v>
      </c>
      <c r="K18637" t="s">
        <v>198</v>
      </c>
      <c r="N18637" t="s">
        <v>68438</v>
      </c>
      <c r="Q18637">
        <v>0</v>
      </c>
      <c r="R18637">
        <v>64</v>
      </c>
      <c r="S18637">
        <v>0</v>
      </c>
      <c r="T18637" t="s">
        <v>68439</v>
      </c>
    </row>
    <row r="18638" spans="1:20" customFormat="1" ht="15" x14ac:dyDescent="0.25">
      <c r="A18638" t="s">
        <v>24</v>
      </c>
      <c r="B18638" t="s">
        <v>2340</v>
      </c>
      <c r="C18638" t="str">
        <f>"A0088779"</f>
        <v>A0088779</v>
      </c>
      <c r="D18638" t="s">
        <v>68440</v>
      </c>
      <c r="E18638" t="s">
        <v>68441</v>
      </c>
      <c r="F18638" t="s">
        <v>3253</v>
      </c>
      <c r="G18638" t="s">
        <v>52</v>
      </c>
      <c r="H18638">
        <v>79065</v>
      </c>
      <c r="I18638" t="s">
        <v>30</v>
      </c>
      <c r="J18638" t="s">
        <v>31</v>
      </c>
      <c r="K18638" t="s">
        <v>198</v>
      </c>
      <c r="N18638" t="s">
        <v>68442</v>
      </c>
      <c r="Q18638">
        <v>0</v>
      </c>
      <c r="R18638">
        <v>81</v>
      </c>
      <c r="S18638">
        <v>0</v>
      </c>
      <c r="T18638" t="s">
        <v>68443</v>
      </c>
    </row>
    <row r="18639" spans="1:20" customFormat="1" ht="15" x14ac:dyDescent="0.25">
      <c r="A18639" t="s">
        <v>24</v>
      </c>
      <c r="B18639" t="s">
        <v>2221</v>
      </c>
      <c r="C18639" t="str">
        <f>"A0154353"</f>
        <v>A0154353</v>
      </c>
      <c r="D18639" t="s">
        <v>68444</v>
      </c>
      <c r="E18639" t="s">
        <v>68445</v>
      </c>
      <c r="F18639" t="s">
        <v>2506</v>
      </c>
      <c r="G18639" t="s">
        <v>338</v>
      </c>
      <c r="H18639">
        <v>7054</v>
      </c>
      <c r="I18639" t="s">
        <v>30</v>
      </c>
      <c r="J18639" t="s">
        <v>31</v>
      </c>
      <c r="K18639" t="s">
        <v>198</v>
      </c>
      <c r="N18639" t="s">
        <v>68446</v>
      </c>
      <c r="O18639" t="s">
        <v>68447</v>
      </c>
      <c r="Q18639">
        <v>0</v>
      </c>
      <c r="R18639">
        <v>152</v>
      </c>
      <c r="S18639">
        <v>0</v>
      </c>
      <c r="T18639" t="s">
        <v>68448</v>
      </c>
    </row>
    <row r="18640" spans="1:20" customFormat="1" ht="15" x14ac:dyDescent="0.25">
      <c r="A18640" t="s">
        <v>24</v>
      </c>
      <c r="B18640" t="s">
        <v>34738</v>
      </c>
      <c r="C18640" t="str">
        <f>"A0148943"</f>
        <v>A0148943</v>
      </c>
      <c r="D18640" t="s">
        <v>68449</v>
      </c>
      <c r="E18640" t="s">
        <v>68450</v>
      </c>
      <c r="F18640" t="s">
        <v>60676</v>
      </c>
      <c r="G18640" t="s">
        <v>52</v>
      </c>
      <c r="H18640">
        <v>77581</v>
      </c>
      <c r="I18640" t="s">
        <v>30</v>
      </c>
      <c r="J18640" t="s">
        <v>31</v>
      </c>
      <c r="K18640" t="s">
        <v>198</v>
      </c>
      <c r="N18640" t="s">
        <v>68451</v>
      </c>
      <c r="Q18640">
        <v>0</v>
      </c>
      <c r="R18640">
        <v>61</v>
      </c>
      <c r="S18640">
        <v>0</v>
      </c>
      <c r="T18640" t="s">
        <v>68452</v>
      </c>
    </row>
    <row r="18641" spans="1:20" customFormat="1" ht="15" x14ac:dyDescent="0.25">
      <c r="A18641" t="s">
        <v>24</v>
      </c>
      <c r="B18641" t="s">
        <v>56702</v>
      </c>
      <c r="C18641" t="str">
        <f>"A0096774"</f>
        <v>A0096774</v>
      </c>
      <c r="D18641" t="s">
        <v>68453</v>
      </c>
      <c r="E18641" t="s">
        <v>68454</v>
      </c>
      <c r="F18641" t="s">
        <v>16548</v>
      </c>
      <c r="G18641" t="s">
        <v>110</v>
      </c>
      <c r="H18641">
        <v>94952</v>
      </c>
      <c r="I18641" t="s">
        <v>30</v>
      </c>
      <c r="J18641" t="s">
        <v>31</v>
      </c>
      <c r="K18641" t="s">
        <v>198</v>
      </c>
      <c r="N18641" t="s">
        <v>68455</v>
      </c>
      <c r="Q18641">
        <v>0</v>
      </c>
      <c r="R18641">
        <v>75</v>
      </c>
      <c r="S18641">
        <v>0</v>
      </c>
      <c r="T18641" t="s">
        <v>68456</v>
      </c>
    </row>
    <row r="18642" spans="1:20" customFormat="1" ht="15" x14ac:dyDescent="0.25">
      <c r="A18642" t="s">
        <v>24</v>
      </c>
      <c r="B18642" t="s">
        <v>1020</v>
      </c>
      <c r="C18642" t="str">
        <f>"A0062777"</f>
        <v>A0062777</v>
      </c>
      <c r="D18642" t="s">
        <v>68457</v>
      </c>
      <c r="E18642" t="s">
        <v>68458</v>
      </c>
      <c r="F18642" t="s">
        <v>9812</v>
      </c>
      <c r="G18642" t="s">
        <v>103</v>
      </c>
      <c r="H18642" t="s">
        <v>68459</v>
      </c>
      <c r="I18642" t="s">
        <v>30</v>
      </c>
      <c r="J18642" t="s">
        <v>31</v>
      </c>
      <c r="K18642" t="s">
        <v>198</v>
      </c>
      <c r="N18642" t="s">
        <v>16699</v>
      </c>
      <c r="O18642" t="s">
        <v>68460</v>
      </c>
      <c r="Q18642">
        <v>0</v>
      </c>
      <c r="R18642">
        <v>250</v>
      </c>
      <c r="S18642">
        <v>0</v>
      </c>
      <c r="T18642" t="s">
        <v>68461</v>
      </c>
    </row>
    <row r="18643" spans="1:20" customFormat="1" ht="15" x14ac:dyDescent="0.25">
      <c r="A18643" t="s">
        <v>24</v>
      </c>
      <c r="B18643" t="s">
        <v>649</v>
      </c>
      <c r="C18643" t="str">
        <f>"17007"</f>
        <v>17007</v>
      </c>
      <c r="D18643" t="s">
        <v>68462</v>
      </c>
      <c r="E18643" t="s">
        <v>68463</v>
      </c>
      <c r="F18643" t="s">
        <v>9812</v>
      </c>
      <c r="G18643" t="s">
        <v>103</v>
      </c>
      <c r="H18643">
        <v>19153</v>
      </c>
      <c r="I18643" t="s">
        <v>30</v>
      </c>
      <c r="J18643" t="s">
        <v>31</v>
      </c>
      <c r="K18643" t="s">
        <v>198</v>
      </c>
      <c r="N18643" t="s">
        <v>68464</v>
      </c>
      <c r="Q18643">
        <v>0</v>
      </c>
      <c r="R18643">
        <v>151</v>
      </c>
      <c r="S18643">
        <v>0</v>
      </c>
      <c r="T18643" t="s">
        <v>68465</v>
      </c>
    </row>
    <row r="18644" spans="1:20" customFormat="1" ht="15" x14ac:dyDescent="0.25">
      <c r="A18644" t="s">
        <v>24</v>
      </c>
      <c r="B18644" t="s">
        <v>649</v>
      </c>
      <c r="C18644" t="str">
        <f>"88HM114"</f>
        <v>88HM114</v>
      </c>
      <c r="D18644" t="s">
        <v>68466</v>
      </c>
      <c r="E18644" t="s">
        <v>68467</v>
      </c>
      <c r="F18644" t="s">
        <v>61460</v>
      </c>
      <c r="G18644" t="s">
        <v>103</v>
      </c>
      <c r="H18644">
        <v>19462</v>
      </c>
      <c r="I18644" t="s">
        <v>30</v>
      </c>
      <c r="J18644" t="s">
        <v>31</v>
      </c>
      <c r="K18644" t="s">
        <v>198</v>
      </c>
      <c r="N18644" t="s">
        <v>68468</v>
      </c>
      <c r="Q18644">
        <v>0</v>
      </c>
      <c r="R18644">
        <v>136</v>
      </c>
      <c r="S18644">
        <v>0</v>
      </c>
      <c r="T18644" t="s">
        <v>68469</v>
      </c>
    </row>
    <row r="18645" spans="1:20" customFormat="1" ht="15" x14ac:dyDescent="0.25">
      <c r="A18645" t="s">
        <v>24</v>
      </c>
      <c r="B18645" t="s">
        <v>3159</v>
      </c>
      <c r="C18645" t="str">
        <f>"A0058971"</f>
        <v>A0058971</v>
      </c>
      <c r="D18645" t="s">
        <v>68470</v>
      </c>
      <c r="E18645" t="s">
        <v>68471</v>
      </c>
      <c r="F18645" t="s">
        <v>271</v>
      </c>
      <c r="G18645" t="s">
        <v>103</v>
      </c>
      <c r="H18645">
        <v>15213</v>
      </c>
      <c r="I18645" t="s">
        <v>30</v>
      </c>
      <c r="J18645" t="s">
        <v>31</v>
      </c>
      <c r="K18645" t="s">
        <v>198</v>
      </c>
      <c r="N18645" t="s">
        <v>68472</v>
      </c>
      <c r="Q18645">
        <v>0</v>
      </c>
      <c r="R18645">
        <v>132</v>
      </c>
      <c r="S18645">
        <v>0</v>
      </c>
      <c r="T18645" t="s">
        <v>68473</v>
      </c>
    </row>
    <row r="18646" spans="1:20" customFormat="1" ht="15" x14ac:dyDescent="0.25">
      <c r="A18646" t="s">
        <v>24</v>
      </c>
      <c r="B18646" t="s">
        <v>34154</v>
      </c>
      <c r="C18646" t="str">
        <f>"A0062578"</f>
        <v>A0062578</v>
      </c>
      <c r="D18646" t="s">
        <v>68474</v>
      </c>
      <c r="E18646" t="s">
        <v>68475</v>
      </c>
      <c r="F18646" t="s">
        <v>34249</v>
      </c>
      <c r="G18646" t="s">
        <v>81</v>
      </c>
      <c r="H18646">
        <v>33563</v>
      </c>
      <c r="I18646" t="s">
        <v>30</v>
      </c>
      <c r="J18646" t="s">
        <v>31</v>
      </c>
      <c r="K18646" t="s">
        <v>198</v>
      </c>
      <c r="N18646" t="s">
        <v>68476</v>
      </c>
      <c r="Q18646">
        <v>0</v>
      </c>
      <c r="R18646">
        <v>75</v>
      </c>
      <c r="S18646">
        <v>0</v>
      </c>
      <c r="T18646" t="s">
        <v>68477</v>
      </c>
    </row>
    <row r="18647" spans="1:20" customFormat="1" ht="15" x14ac:dyDescent="0.25">
      <c r="A18647" t="s">
        <v>24</v>
      </c>
      <c r="B18647" t="s">
        <v>34154</v>
      </c>
      <c r="C18647" t="str">
        <f>"A0074653"</f>
        <v>A0074653</v>
      </c>
      <c r="D18647" t="s">
        <v>68478</v>
      </c>
      <c r="E18647" t="s">
        <v>68479</v>
      </c>
      <c r="F18647" t="s">
        <v>56903</v>
      </c>
      <c r="G18647" t="s">
        <v>81</v>
      </c>
      <c r="H18647">
        <v>32250</v>
      </c>
      <c r="I18647" t="s">
        <v>30</v>
      </c>
      <c r="J18647" t="s">
        <v>31</v>
      </c>
      <c r="K18647" t="s">
        <v>198</v>
      </c>
      <c r="N18647" t="s">
        <v>68480</v>
      </c>
      <c r="O18647" t="s">
        <v>68481</v>
      </c>
      <c r="Q18647">
        <v>0</v>
      </c>
      <c r="R18647">
        <v>117</v>
      </c>
      <c r="S18647">
        <v>0</v>
      </c>
      <c r="T18647" t="s">
        <v>68482</v>
      </c>
    </row>
    <row r="18648" spans="1:20" customFormat="1" ht="15" x14ac:dyDescent="0.25">
      <c r="A18648" t="s">
        <v>24</v>
      </c>
      <c r="B18648" t="s">
        <v>7405</v>
      </c>
      <c r="C18648" t="str">
        <f>"A0086507"</f>
        <v>A0086507</v>
      </c>
      <c r="D18648" t="s">
        <v>68483</v>
      </c>
      <c r="E18648" t="s">
        <v>68484</v>
      </c>
      <c r="F18648" t="s">
        <v>11346</v>
      </c>
      <c r="G18648" t="s">
        <v>99</v>
      </c>
      <c r="H18648">
        <v>12601</v>
      </c>
      <c r="I18648" t="s">
        <v>30</v>
      </c>
      <c r="J18648" t="s">
        <v>31</v>
      </c>
      <c r="K18648" t="s">
        <v>198</v>
      </c>
      <c r="N18648" t="s">
        <v>68485</v>
      </c>
      <c r="Q18648">
        <v>0</v>
      </c>
      <c r="R18648">
        <v>129</v>
      </c>
      <c r="S18648">
        <v>0</v>
      </c>
      <c r="T18648" t="s">
        <v>68486</v>
      </c>
    </row>
    <row r="18649" spans="1:20" customFormat="1" ht="15" x14ac:dyDescent="0.25">
      <c r="A18649" t="s">
        <v>24</v>
      </c>
      <c r="B18649" t="s">
        <v>13807</v>
      </c>
      <c r="C18649" t="str">
        <f>"A0099477"</f>
        <v>A0099477</v>
      </c>
      <c r="D18649" t="s">
        <v>68487</v>
      </c>
      <c r="E18649" t="s">
        <v>68488</v>
      </c>
      <c r="F18649" t="s">
        <v>68489</v>
      </c>
      <c r="G18649" t="s">
        <v>153</v>
      </c>
      <c r="H18649">
        <v>84084</v>
      </c>
      <c r="I18649" t="s">
        <v>30</v>
      </c>
      <c r="J18649" t="s">
        <v>31</v>
      </c>
      <c r="K18649" t="s">
        <v>198</v>
      </c>
      <c r="N18649" t="s">
        <v>68490</v>
      </c>
      <c r="O18649" t="s">
        <v>68491</v>
      </c>
      <c r="Q18649">
        <v>0</v>
      </c>
      <c r="R18649">
        <v>106</v>
      </c>
      <c r="S18649">
        <v>0</v>
      </c>
      <c r="T18649" t="s">
        <v>68492</v>
      </c>
    </row>
    <row r="18650" spans="1:20" customFormat="1" ht="15" x14ac:dyDescent="0.25">
      <c r="A18650" t="s">
        <v>24</v>
      </c>
      <c r="B18650" t="s">
        <v>13679</v>
      </c>
      <c r="C18650" t="str">
        <f>"A0066163"</f>
        <v>A0066163</v>
      </c>
      <c r="D18650" t="s">
        <v>68493</v>
      </c>
      <c r="E18650" t="s">
        <v>68494</v>
      </c>
      <c r="F18650" t="s">
        <v>2978</v>
      </c>
      <c r="G18650" t="s">
        <v>110</v>
      </c>
      <c r="H18650">
        <v>92101</v>
      </c>
      <c r="I18650" t="s">
        <v>30</v>
      </c>
      <c r="J18650" t="s">
        <v>31</v>
      </c>
      <c r="K18650" t="s">
        <v>198</v>
      </c>
      <c r="N18650" t="s">
        <v>68495</v>
      </c>
      <c r="Q18650">
        <v>0</v>
      </c>
      <c r="R18650">
        <v>177</v>
      </c>
      <c r="S18650">
        <v>0</v>
      </c>
      <c r="T18650" t="s">
        <v>68496</v>
      </c>
    </row>
    <row r="18651" spans="1:20" customFormat="1" ht="15" x14ac:dyDescent="0.25">
      <c r="A18651" t="s">
        <v>24</v>
      </c>
      <c r="B18651" t="s">
        <v>734</v>
      </c>
      <c r="C18651" t="str">
        <f>"A0101089"</f>
        <v>A0101089</v>
      </c>
      <c r="D18651" t="s">
        <v>68497</v>
      </c>
      <c r="E18651" t="s">
        <v>68498</v>
      </c>
      <c r="F18651" t="s">
        <v>4802</v>
      </c>
      <c r="G18651" t="s">
        <v>110</v>
      </c>
      <c r="H18651">
        <v>95131</v>
      </c>
      <c r="I18651" t="s">
        <v>30</v>
      </c>
      <c r="J18651" t="s">
        <v>31</v>
      </c>
      <c r="K18651" t="s">
        <v>198</v>
      </c>
      <c r="N18651" t="s">
        <v>68499</v>
      </c>
      <c r="Q18651">
        <v>0</v>
      </c>
      <c r="R18651">
        <v>145</v>
      </c>
      <c r="S18651">
        <v>0</v>
      </c>
      <c r="T18651" t="s">
        <v>68500</v>
      </c>
    </row>
    <row r="18652" spans="1:20" customFormat="1" ht="15" x14ac:dyDescent="0.25">
      <c r="A18652" t="s">
        <v>24</v>
      </c>
      <c r="B18652" t="s">
        <v>13679</v>
      </c>
      <c r="C18652" t="str">
        <f>"A0066162"</f>
        <v>A0066162</v>
      </c>
      <c r="D18652" t="s">
        <v>68501</v>
      </c>
      <c r="E18652" t="s">
        <v>68502</v>
      </c>
      <c r="F18652" t="s">
        <v>66044</v>
      </c>
      <c r="G18652" t="s">
        <v>110</v>
      </c>
      <c r="H18652">
        <v>91381</v>
      </c>
      <c r="I18652" t="s">
        <v>30</v>
      </c>
      <c r="J18652" t="s">
        <v>31</v>
      </c>
      <c r="K18652" t="s">
        <v>198</v>
      </c>
      <c r="N18652" t="s">
        <v>66045</v>
      </c>
      <c r="Q18652">
        <v>0</v>
      </c>
      <c r="R18652">
        <v>128</v>
      </c>
      <c r="S18652">
        <v>0</v>
      </c>
      <c r="T18652" t="s">
        <v>68503</v>
      </c>
    </row>
    <row r="18653" spans="1:20" customFormat="1" ht="15" x14ac:dyDescent="0.25">
      <c r="A18653" t="s">
        <v>24</v>
      </c>
      <c r="B18653" t="s">
        <v>1561</v>
      </c>
      <c r="C18653" t="str">
        <f>"A0083504"</f>
        <v>A0083504</v>
      </c>
      <c r="D18653" t="s">
        <v>68504</v>
      </c>
      <c r="E18653" t="s">
        <v>68505</v>
      </c>
      <c r="F18653" t="s">
        <v>1586</v>
      </c>
      <c r="G18653" t="s">
        <v>1587</v>
      </c>
      <c r="H18653">
        <v>87507</v>
      </c>
      <c r="I18653" t="s">
        <v>30</v>
      </c>
      <c r="J18653" t="s">
        <v>31</v>
      </c>
      <c r="K18653" t="s">
        <v>198</v>
      </c>
      <c r="N18653" t="s">
        <v>68506</v>
      </c>
      <c r="Q18653">
        <v>0</v>
      </c>
      <c r="R18653">
        <v>91</v>
      </c>
      <c r="S18653">
        <v>0</v>
      </c>
      <c r="T18653" t="s">
        <v>68507</v>
      </c>
    </row>
    <row r="18654" spans="1:20" customFormat="1" ht="15" x14ac:dyDescent="0.25">
      <c r="A18654" t="s">
        <v>24</v>
      </c>
      <c r="B18654" t="s">
        <v>11093</v>
      </c>
      <c r="C18654" t="str">
        <f>"A0056214"</f>
        <v>A0056214</v>
      </c>
      <c r="D18654" t="s">
        <v>68508</v>
      </c>
      <c r="E18654" t="s">
        <v>68509</v>
      </c>
      <c r="F18654" t="s">
        <v>709</v>
      </c>
      <c r="G18654" t="s">
        <v>81</v>
      </c>
      <c r="H18654">
        <v>34243</v>
      </c>
      <c r="I18654" t="s">
        <v>30</v>
      </c>
      <c r="J18654" t="s">
        <v>31</v>
      </c>
      <c r="K18654" t="s">
        <v>198</v>
      </c>
      <c r="N18654" t="s">
        <v>68510</v>
      </c>
      <c r="O18654" t="s">
        <v>68511</v>
      </c>
      <c r="Q18654">
        <v>0</v>
      </c>
      <c r="R18654">
        <v>108</v>
      </c>
      <c r="S18654">
        <v>0</v>
      </c>
      <c r="T18654" t="s">
        <v>68512</v>
      </c>
    </row>
    <row r="18655" spans="1:20" customFormat="1" ht="15" x14ac:dyDescent="0.25">
      <c r="A18655" t="s">
        <v>24</v>
      </c>
      <c r="B18655" t="s">
        <v>1561</v>
      </c>
      <c r="C18655" t="str">
        <f>"A0063160"</f>
        <v>A0063160</v>
      </c>
      <c r="D18655" t="s">
        <v>68513</v>
      </c>
      <c r="E18655" t="s">
        <v>68514</v>
      </c>
      <c r="F18655" t="s">
        <v>33241</v>
      </c>
      <c r="G18655" t="s">
        <v>846</v>
      </c>
      <c r="H18655">
        <v>31407</v>
      </c>
      <c r="I18655" t="s">
        <v>30</v>
      </c>
      <c r="J18655" t="s">
        <v>31</v>
      </c>
      <c r="K18655" t="s">
        <v>198</v>
      </c>
      <c r="N18655" t="s">
        <v>68515</v>
      </c>
      <c r="Q18655">
        <v>0</v>
      </c>
      <c r="R18655">
        <v>106</v>
      </c>
      <c r="S18655">
        <v>0</v>
      </c>
      <c r="T18655" t="s">
        <v>68516</v>
      </c>
    </row>
    <row r="18656" spans="1:20" customFormat="1" ht="15" x14ac:dyDescent="0.25">
      <c r="A18656" t="s">
        <v>24</v>
      </c>
      <c r="B18656" t="s">
        <v>1020</v>
      </c>
      <c r="C18656" t="str">
        <f>"A0076824"</f>
        <v>A0076824</v>
      </c>
      <c r="D18656" t="s">
        <v>68517</v>
      </c>
      <c r="E18656" t="s">
        <v>68518</v>
      </c>
      <c r="F18656" t="s">
        <v>997</v>
      </c>
      <c r="G18656" t="s">
        <v>99</v>
      </c>
      <c r="H18656">
        <v>10038</v>
      </c>
      <c r="I18656" t="s">
        <v>30</v>
      </c>
      <c r="J18656" t="s">
        <v>31</v>
      </c>
      <c r="K18656" t="s">
        <v>198</v>
      </c>
      <c r="N18656" t="s">
        <v>68519</v>
      </c>
      <c r="O18656" t="s">
        <v>68520</v>
      </c>
      <c r="Q18656">
        <v>0</v>
      </c>
      <c r="R18656">
        <v>63</v>
      </c>
      <c r="S18656">
        <v>0</v>
      </c>
      <c r="T18656" t="s">
        <v>68521</v>
      </c>
    </row>
    <row r="18657" spans="1:20" customFormat="1" ht="15" x14ac:dyDescent="0.25">
      <c r="A18657" t="s">
        <v>24</v>
      </c>
      <c r="B18657" t="s">
        <v>1317</v>
      </c>
      <c r="C18657" t="str">
        <f>"A0075163"</f>
        <v>A0075163</v>
      </c>
      <c r="D18657" t="s">
        <v>68522</v>
      </c>
      <c r="E18657" t="s">
        <v>68523</v>
      </c>
      <c r="F18657" t="s">
        <v>61833</v>
      </c>
      <c r="G18657" t="s">
        <v>76</v>
      </c>
      <c r="H18657">
        <v>98188</v>
      </c>
      <c r="I18657" t="s">
        <v>30</v>
      </c>
      <c r="J18657" t="s">
        <v>31</v>
      </c>
      <c r="K18657" t="s">
        <v>198</v>
      </c>
      <c r="N18657" t="s">
        <v>68524</v>
      </c>
      <c r="O18657" t="s">
        <v>68525</v>
      </c>
      <c r="Q18657">
        <v>0</v>
      </c>
      <c r="R18657">
        <v>154</v>
      </c>
      <c r="S18657">
        <v>0</v>
      </c>
      <c r="T18657" t="s">
        <v>68526</v>
      </c>
    </row>
    <row r="18658" spans="1:20" customFormat="1" ht="15" x14ac:dyDescent="0.25">
      <c r="A18658" t="s">
        <v>24</v>
      </c>
      <c r="B18658" t="s">
        <v>1020</v>
      </c>
      <c r="C18658" t="str">
        <f>"A0062818"</f>
        <v>A0062818</v>
      </c>
      <c r="D18658" t="s">
        <v>68527</v>
      </c>
      <c r="E18658" t="s">
        <v>68528</v>
      </c>
      <c r="F18658" t="s">
        <v>68529</v>
      </c>
      <c r="G18658" t="s">
        <v>103</v>
      </c>
      <c r="H18658">
        <v>17876</v>
      </c>
      <c r="I18658" t="s">
        <v>30</v>
      </c>
      <c r="J18658" t="s">
        <v>31</v>
      </c>
      <c r="K18658" t="s">
        <v>198</v>
      </c>
      <c r="N18658" t="s">
        <v>68530</v>
      </c>
      <c r="O18658" t="s">
        <v>68531</v>
      </c>
      <c r="Q18658">
        <v>0</v>
      </c>
      <c r="R18658">
        <v>75</v>
      </c>
      <c r="S18658">
        <v>0</v>
      </c>
      <c r="T18658" t="s">
        <v>68532</v>
      </c>
    </row>
    <row r="18659" spans="1:20" customFormat="1" ht="15" x14ac:dyDescent="0.25">
      <c r="A18659" t="s">
        <v>24</v>
      </c>
      <c r="B18659" t="s">
        <v>1577</v>
      </c>
      <c r="C18659" t="str">
        <f>"A0145353"</f>
        <v>A0145353</v>
      </c>
      <c r="D18659" t="s">
        <v>68533</v>
      </c>
      <c r="E18659" t="s">
        <v>68534</v>
      </c>
      <c r="F18659" t="s">
        <v>68535</v>
      </c>
      <c r="G18659" t="s">
        <v>1170</v>
      </c>
      <c r="H18659">
        <v>70458</v>
      </c>
      <c r="I18659" t="s">
        <v>30</v>
      </c>
      <c r="J18659" t="s">
        <v>31</v>
      </c>
      <c r="K18659" t="s">
        <v>198</v>
      </c>
      <c r="N18659" t="s">
        <v>68536</v>
      </c>
      <c r="Q18659">
        <v>0</v>
      </c>
      <c r="R18659">
        <v>82</v>
      </c>
      <c r="S18659">
        <v>0</v>
      </c>
      <c r="T18659" t="s">
        <v>68537</v>
      </c>
    </row>
    <row r="18660" spans="1:20" customFormat="1" ht="15" x14ac:dyDescent="0.25">
      <c r="A18660" t="s">
        <v>24</v>
      </c>
      <c r="B18660" t="s">
        <v>4400</v>
      </c>
      <c r="C18660" t="str">
        <f>"A0099096"</f>
        <v>A0099096</v>
      </c>
      <c r="D18660" t="s">
        <v>68538</v>
      </c>
      <c r="E18660" t="s">
        <v>68539</v>
      </c>
      <c r="F18660" t="s">
        <v>68540</v>
      </c>
      <c r="G18660" t="s">
        <v>117</v>
      </c>
      <c r="H18660">
        <v>49127</v>
      </c>
      <c r="I18660" t="s">
        <v>30</v>
      </c>
      <c r="J18660" t="s">
        <v>31</v>
      </c>
      <c r="K18660" t="s">
        <v>198</v>
      </c>
      <c r="N18660" t="s">
        <v>67730</v>
      </c>
      <c r="Q18660">
        <v>0</v>
      </c>
      <c r="R18660">
        <v>75</v>
      </c>
      <c r="S18660">
        <v>0</v>
      </c>
      <c r="T18660" t="s">
        <v>68541</v>
      </c>
    </row>
    <row r="18661" spans="1:20" customFormat="1" ht="15" x14ac:dyDescent="0.25">
      <c r="A18661" t="s">
        <v>24</v>
      </c>
      <c r="B18661" t="s">
        <v>257</v>
      </c>
      <c r="C18661" t="str">
        <f>"88HM113"</f>
        <v>88HM113</v>
      </c>
      <c r="D18661" t="s">
        <v>68542</v>
      </c>
      <c r="E18661" t="s">
        <v>68543</v>
      </c>
      <c r="F18661" t="s">
        <v>59227</v>
      </c>
      <c r="G18661" t="s">
        <v>1369</v>
      </c>
      <c r="H18661">
        <v>39759</v>
      </c>
      <c r="I18661" t="s">
        <v>30</v>
      </c>
      <c r="J18661" t="s">
        <v>31</v>
      </c>
      <c r="K18661" t="s">
        <v>198</v>
      </c>
      <c r="N18661" t="s">
        <v>68544</v>
      </c>
      <c r="Q18661">
        <v>0</v>
      </c>
      <c r="R18661">
        <v>67</v>
      </c>
      <c r="S18661">
        <v>0</v>
      </c>
      <c r="T18661" t="s">
        <v>68545</v>
      </c>
    </row>
    <row r="18662" spans="1:20" customFormat="1" ht="15" x14ac:dyDescent="0.25">
      <c r="A18662" t="s">
        <v>24</v>
      </c>
      <c r="B18662" t="s">
        <v>1098</v>
      </c>
      <c r="C18662" t="str">
        <f>"88HM108"</f>
        <v>88HM108</v>
      </c>
      <c r="D18662" t="s">
        <v>68546</v>
      </c>
      <c r="E18662" t="s">
        <v>68547</v>
      </c>
      <c r="F18662" t="s">
        <v>65592</v>
      </c>
      <c r="G18662" t="s">
        <v>103</v>
      </c>
      <c r="H18662">
        <v>16803</v>
      </c>
      <c r="I18662" t="s">
        <v>30</v>
      </c>
      <c r="J18662" t="s">
        <v>31</v>
      </c>
      <c r="K18662" t="s">
        <v>198</v>
      </c>
      <c r="N18662" t="s">
        <v>68548</v>
      </c>
      <c r="Q18662">
        <v>0</v>
      </c>
      <c r="R18662">
        <v>71</v>
      </c>
      <c r="S18662">
        <v>0</v>
      </c>
      <c r="T18662" t="s">
        <v>68549</v>
      </c>
    </row>
    <row r="18663" spans="1:20" customFormat="1" ht="15" x14ac:dyDescent="0.25">
      <c r="A18663" t="s">
        <v>24</v>
      </c>
      <c r="B18663" t="s">
        <v>2955</v>
      </c>
      <c r="C18663" t="str">
        <f>"A0087956"</f>
        <v>A0087956</v>
      </c>
      <c r="D18663" t="s">
        <v>68546</v>
      </c>
      <c r="E18663" t="s">
        <v>68550</v>
      </c>
      <c r="F18663" t="s">
        <v>65592</v>
      </c>
      <c r="G18663" t="s">
        <v>103</v>
      </c>
      <c r="H18663">
        <v>16801</v>
      </c>
      <c r="I18663" t="s">
        <v>30</v>
      </c>
      <c r="J18663" t="s">
        <v>31</v>
      </c>
      <c r="K18663" t="s">
        <v>198</v>
      </c>
      <c r="N18663" t="s">
        <v>68551</v>
      </c>
      <c r="Q18663">
        <v>0</v>
      </c>
      <c r="R18663">
        <v>119</v>
      </c>
      <c r="S18663">
        <v>0</v>
      </c>
      <c r="T18663" t="s">
        <v>68552</v>
      </c>
    </row>
    <row r="18664" spans="1:20" customFormat="1" ht="15" x14ac:dyDescent="0.25">
      <c r="A18664" t="s">
        <v>24</v>
      </c>
      <c r="B18664" t="s">
        <v>1323</v>
      </c>
      <c r="C18664" t="str">
        <f>"A0091925"</f>
        <v>A0091925</v>
      </c>
      <c r="D18664" t="s">
        <v>68553</v>
      </c>
      <c r="E18664" t="s">
        <v>68554</v>
      </c>
      <c r="F18664" t="s">
        <v>68555</v>
      </c>
      <c r="G18664" t="s">
        <v>846</v>
      </c>
      <c r="H18664">
        <v>30458</v>
      </c>
      <c r="I18664" t="s">
        <v>30</v>
      </c>
      <c r="J18664" t="s">
        <v>31</v>
      </c>
      <c r="K18664" t="s">
        <v>198</v>
      </c>
      <c r="N18664" t="s">
        <v>68556</v>
      </c>
      <c r="Q18664">
        <v>0</v>
      </c>
      <c r="R18664">
        <v>90</v>
      </c>
      <c r="S18664">
        <v>0</v>
      </c>
      <c r="T18664" t="s">
        <v>68557</v>
      </c>
    </row>
    <row r="18665" spans="1:20" customFormat="1" ht="15" x14ac:dyDescent="0.25">
      <c r="A18665" t="s">
        <v>24</v>
      </c>
      <c r="B18665" t="s">
        <v>1020</v>
      </c>
      <c r="C18665" t="str">
        <f>"A0083463"</f>
        <v>A0083463</v>
      </c>
      <c r="D18665" t="s">
        <v>68558</v>
      </c>
      <c r="E18665" t="s">
        <v>68559</v>
      </c>
      <c r="F18665" t="s">
        <v>19286</v>
      </c>
      <c r="G18665" t="s">
        <v>52</v>
      </c>
      <c r="H18665">
        <v>79556</v>
      </c>
      <c r="I18665" t="s">
        <v>30</v>
      </c>
      <c r="J18665" t="s">
        <v>31</v>
      </c>
      <c r="K18665" t="s">
        <v>198</v>
      </c>
      <c r="N18665" t="s">
        <v>68560</v>
      </c>
      <c r="Q18665">
        <v>0</v>
      </c>
      <c r="R18665">
        <v>72</v>
      </c>
      <c r="S18665">
        <v>0</v>
      </c>
      <c r="T18665" t="s">
        <v>68561</v>
      </c>
    </row>
    <row r="18666" spans="1:20" customFormat="1" ht="15" x14ac:dyDescent="0.25">
      <c r="A18666" t="s">
        <v>24</v>
      </c>
      <c r="B18666" t="s">
        <v>2836</v>
      </c>
      <c r="C18666" t="str">
        <f>"A0149615"</f>
        <v>A0149615</v>
      </c>
      <c r="D18666" t="s">
        <v>68562</v>
      </c>
      <c r="E18666" t="s">
        <v>68563</v>
      </c>
      <c r="F18666" t="s">
        <v>3955</v>
      </c>
      <c r="G18666" t="s">
        <v>81</v>
      </c>
      <c r="H18666">
        <v>33602</v>
      </c>
      <c r="I18666" t="s">
        <v>30</v>
      </c>
      <c r="J18666" t="s">
        <v>31</v>
      </c>
      <c r="K18666" t="s">
        <v>198</v>
      </c>
      <c r="N18666" t="s">
        <v>68564</v>
      </c>
      <c r="O18666" t="s">
        <v>68565</v>
      </c>
      <c r="Q18666">
        <v>0</v>
      </c>
      <c r="R18666">
        <v>116</v>
      </c>
      <c r="S18666">
        <v>0</v>
      </c>
      <c r="T18666" t="s">
        <v>68566</v>
      </c>
    </row>
    <row r="18667" spans="1:20" customFormat="1" ht="15" x14ac:dyDescent="0.25">
      <c r="A18667" t="s">
        <v>24</v>
      </c>
      <c r="B18667" t="s">
        <v>2917</v>
      </c>
      <c r="C18667" t="str">
        <f>"A0059939"</f>
        <v>A0059939</v>
      </c>
      <c r="D18667" t="s">
        <v>68567</v>
      </c>
      <c r="E18667" t="s">
        <v>68568</v>
      </c>
      <c r="F18667" t="s">
        <v>3955</v>
      </c>
      <c r="G18667" t="s">
        <v>81</v>
      </c>
      <c r="H18667">
        <v>33607</v>
      </c>
      <c r="I18667" t="s">
        <v>30</v>
      </c>
      <c r="J18667" t="s">
        <v>31</v>
      </c>
      <c r="K18667" t="s">
        <v>198</v>
      </c>
      <c r="N18667" t="s">
        <v>68569</v>
      </c>
      <c r="O18667" t="s">
        <v>68570</v>
      </c>
      <c r="Q18667">
        <v>0</v>
      </c>
      <c r="R18667">
        <v>106</v>
      </c>
      <c r="S18667">
        <v>0</v>
      </c>
      <c r="T18667" t="s">
        <v>68571</v>
      </c>
    </row>
    <row r="18668" spans="1:20" customFormat="1" ht="15" x14ac:dyDescent="0.25">
      <c r="A18668" t="s">
        <v>24</v>
      </c>
      <c r="B18668" t="s">
        <v>57556</v>
      </c>
      <c r="C18668" t="str">
        <f>"A0148417"</f>
        <v>A0148417</v>
      </c>
      <c r="D18668" t="s">
        <v>68572</v>
      </c>
      <c r="E18668" t="s">
        <v>68573</v>
      </c>
      <c r="F18668" t="s">
        <v>68574</v>
      </c>
      <c r="G18668" t="s">
        <v>1587</v>
      </c>
      <c r="H18668">
        <v>87571</v>
      </c>
      <c r="I18668" t="s">
        <v>30</v>
      </c>
      <c r="J18668" t="s">
        <v>31</v>
      </c>
      <c r="K18668" t="s">
        <v>198</v>
      </c>
      <c r="N18668" t="s">
        <v>68575</v>
      </c>
      <c r="Q18668">
        <v>0</v>
      </c>
      <c r="R18668">
        <v>71</v>
      </c>
      <c r="S18668">
        <v>0</v>
      </c>
      <c r="T18668" t="s">
        <v>68576</v>
      </c>
    </row>
    <row r="18669" spans="1:20" customFormat="1" ht="15" x14ac:dyDescent="0.25">
      <c r="A18669" t="s">
        <v>24</v>
      </c>
      <c r="B18669" t="s">
        <v>1577</v>
      </c>
      <c r="C18669" t="str">
        <f>"A0055134"</f>
        <v>A0055134</v>
      </c>
      <c r="D18669" t="s">
        <v>68577</v>
      </c>
      <c r="E18669" t="s">
        <v>68578</v>
      </c>
      <c r="F18669" t="s">
        <v>53883</v>
      </c>
      <c r="G18669" t="s">
        <v>1706</v>
      </c>
      <c r="H18669">
        <v>36619</v>
      </c>
      <c r="I18669" t="s">
        <v>30</v>
      </c>
      <c r="J18669" t="s">
        <v>31</v>
      </c>
      <c r="K18669" t="s">
        <v>198</v>
      </c>
      <c r="N18669" t="s">
        <v>68579</v>
      </c>
      <c r="Q18669">
        <v>0</v>
      </c>
      <c r="R18669">
        <v>80</v>
      </c>
      <c r="S18669">
        <v>0</v>
      </c>
      <c r="T18669" t="s">
        <v>68580</v>
      </c>
    </row>
    <row r="18670" spans="1:20" customFormat="1" ht="15" x14ac:dyDescent="0.25">
      <c r="A18670" t="s">
        <v>24</v>
      </c>
      <c r="B18670" t="s">
        <v>1020</v>
      </c>
      <c r="C18670" t="str">
        <f>"A0088268"</f>
        <v>A0088268</v>
      </c>
      <c r="D18670" t="s">
        <v>68581</v>
      </c>
      <c r="E18670" t="s">
        <v>68582</v>
      </c>
      <c r="F18670" t="s">
        <v>997</v>
      </c>
      <c r="G18670" t="s">
        <v>99</v>
      </c>
      <c r="H18670">
        <v>10018</v>
      </c>
      <c r="I18670" t="s">
        <v>30</v>
      </c>
      <c r="J18670" t="s">
        <v>31</v>
      </c>
      <c r="K18670" t="s">
        <v>198</v>
      </c>
      <c r="N18670" t="s">
        <v>57546</v>
      </c>
      <c r="Q18670">
        <v>0</v>
      </c>
      <c r="R18670">
        <v>184</v>
      </c>
      <c r="S18670">
        <v>0</v>
      </c>
      <c r="T18670" t="s">
        <v>68583</v>
      </c>
    </row>
    <row r="18671" spans="1:20" customFormat="1" ht="15" x14ac:dyDescent="0.25">
      <c r="A18671" t="s">
        <v>24</v>
      </c>
      <c r="B18671" t="s">
        <v>1561</v>
      </c>
      <c r="C18671" t="str">
        <f>"A0093709"</f>
        <v>A0093709</v>
      </c>
      <c r="D18671" t="s">
        <v>68584</v>
      </c>
      <c r="E18671" t="s">
        <v>68585</v>
      </c>
      <c r="F18671" t="s">
        <v>62039</v>
      </c>
      <c r="G18671" t="s">
        <v>65</v>
      </c>
      <c r="H18671">
        <v>43460</v>
      </c>
      <c r="I18671" t="s">
        <v>30</v>
      </c>
      <c r="J18671" t="s">
        <v>31</v>
      </c>
      <c r="K18671" t="s">
        <v>198</v>
      </c>
      <c r="N18671" t="s">
        <v>68586</v>
      </c>
      <c r="Q18671">
        <v>0</v>
      </c>
      <c r="R18671">
        <v>98</v>
      </c>
      <c r="S18671">
        <v>0</v>
      </c>
      <c r="T18671" t="s">
        <v>68587</v>
      </c>
    </row>
    <row r="18672" spans="1:20" customFormat="1" ht="15" x14ac:dyDescent="0.25">
      <c r="A18672" t="s">
        <v>24</v>
      </c>
      <c r="B18672" t="s">
        <v>1561</v>
      </c>
      <c r="C18672" t="str">
        <f>"A0078363"</f>
        <v>A0078363</v>
      </c>
      <c r="D18672" t="s">
        <v>68588</v>
      </c>
      <c r="E18672" t="s">
        <v>68589</v>
      </c>
      <c r="F18672" t="s">
        <v>6314</v>
      </c>
      <c r="G18672" t="s">
        <v>1706</v>
      </c>
      <c r="H18672">
        <v>36081</v>
      </c>
      <c r="I18672" t="s">
        <v>30</v>
      </c>
      <c r="J18672" t="s">
        <v>31</v>
      </c>
      <c r="K18672" t="s">
        <v>198</v>
      </c>
      <c r="N18672" t="s">
        <v>68590</v>
      </c>
      <c r="O18672" t="s">
        <v>68591</v>
      </c>
      <c r="Q18672">
        <v>0</v>
      </c>
      <c r="R18672">
        <v>82</v>
      </c>
      <c r="S18672">
        <v>0</v>
      </c>
      <c r="T18672" t="s">
        <v>68592</v>
      </c>
    </row>
    <row r="18673" spans="1:20" customFormat="1" ht="15" x14ac:dyDescent="0.25">
      <c r="A18673" t="s">
        <v>24</v>
      </c>
      <c r="B18673" t="s">
        <v>2955</v>
      </c>
      <c r="C18673" t="str">
        <f>"A0086868"</f>
        <v>A0086868</v>
      </c>
      <c r="D18673" t="s">
        <v>68593</v>
      </c>
      <c r="E18673" t="s">
        <v>68594</v>
      </c>
      <c r="F18673" t="s">
        <v>5884</v>
      </c>
      <c r="G18673" t="s">
        <v>289</v>
      </c>
      <c r="H18673">
        <v>61801</v>
      </c>
      <c r="I18673" t="s">
        <v>30</v>
      </c>
      <c r="J18673" t="s">
        <v>31</v>
      </c>
      <c r="K18673" t="s">
        <v>198</v>
      </c>
      <c r="N18673" t="s">
        <v>68595</v>
      </c>
      <c r="O18673" t="s">
        <v>68596</v>
      </c>
      <c r="Q18673">
        <v>0</v>
      </c>
      <c r="R18673">
        <v>130</v>
      </c>
      <c r="S18673">
        <v>0</v>
      </c>
      <c r="T18673" t="s">
        <v>68597</v>
      </c>
    </row>
    <row r="18674" spans="1:20" customFormat="1" ht="15" x14ac:dyDescent="0.25">
      <c r="A18674" t="s">
        <v>24</v>
      </c>
      <c r="B18674" t="s">
        <v>2340</v>
      </c>
      <c r="C18674" t="str">
        <f>"A0145804"</f>
        <v>A0145804</v>
      </c>
      <c r="D18674" t="s">
        <v>68598</v>
      </c>
      <c r="E18674" t="s">
        <v>68599</v>
      </c>
      <c r="F18674" t="s">
        <v>68600</v>
      </c>
      <c r="G18674" t="s">
        <v>52</v>
      </c>
      <c r="H18674">
        <v>78801</v>
      </c>
      <c r="I18674" t="s">
        <v>30</v>
      </c>
      <c r="J18674" t="s">
        <v>31</v>
      </c>
      <c r="K18674" t="s">
        <v>198</v>
      </c>
      <c r="N18674" t="s">
        <v>68601</v>
      </c>
      <c r="Q18674">
        <v>0</v>
      </c>
      <c r="R18674">
        <v>75</v>
      </c>
      <c r="S18674">
        <v>0</v>
      </c>
      <c r="T18674" t="s">
        <v>68602</v>
      </c>
    </row>
    <row r="18675" spans="1:20" customFormat="1" ht="15" x14ac:dyDescent="0.25">
      <c r="A18675" t="s">
        <v>24</v>
      </c>
      <c r="B18675" t="s">
        <v>68603</v>
      </c>
      <c r="C18675" t="str">
        <f>"A0089753"</f>
        <v>A0089753</v>
      </c>
      <c r="D18675" t="s">
        <v>68604</v>
      </c>
      <c r="E18675" t="s">
        <v>68605</v>
      </c>
      <c r="F18675" t="s">
        <v>33309</v>
      </c>
      <c r="G18675" t="s">
        <v>81</v>
      </c>
      <c r="H18675">
        <v>34292</v>
      </c>
      <c r="I18675" t="s">
        <v>30</v>
      </c>
      <c r="J18675" t="s">
        <v>31</v>
      </c>
      <c r="K18675" t="s">
        <v>198</v>
      </c>
      <c r="N18675" t="s">
        <v>68606</v>
      </c>
      <c r="Q18675">
        <v>0</v>
      </c>
      <c r="R18675">
        <v>110</v>
      </c>
      <c r="S18675">
        <v>0</v>
      </c>
      <c r="T18675" t="s">
        <v>68607</v>
      </c>
    </row>
    <row r="18676" spans="1:20" customFormat="1" ht="15" x14ac:dyDescent="0.25">
      <c r="A18676" t="s">
        <v>24</v>
      </c>
      <c r="B18676" t="s">
        <v>342</v>
      </c>
      <c r="C18676" t="str">
        <f>"A0084232"</f>
        <v>A0084232</v>
      </c>
      <c r="D18676" t="s">
        <v>68608</v>
      </c>
      <c r="E18676" t="s">
        <v>68609</v>
      </c>
      <c r="F18676" t="s">
        <v>8970</v>
      </c>
      <c r="G18676" t="s">
        <v>81</v>
      </c>
      <c r="H18676">
        <v>32966</v>
      </c>
      <c r="I18676" t="s">
        <v>30</v>
      </c>
      <c r="J18676" t="s">
        <v>31</v>
      </c>
      <c r="K18676" t="s">
        <v>198</v>
      </c>
      <c r="N18676" t="s">
        <v>68610</v>
      </c>
      <c r="Q18676">
        <v>0</v>
      </c>
      <c r="R18676">
        <v>63</v>
      </c>
      <c r="S18676">
        <v>0</v>
      </c>
      <c r="T18676" t="s">
        <v>68611</v>
      </c>
    </row>
    <row r="18677" spans="1:20" customFormat="1" ht="15" x14ac:dyDescent="0.25">
      <c r="A18677" t="s">
        <v>24</v>
      </c>
      <c r="B18677" t="s">
        <v>16448</v>
      </c>
      <c r="C18677" t="str">
        <f>"A0098638"</f>
        <v>A0098638</v>
      </c>
      <c r="D18677" t="s">
        <v>68612</v>
      </c>
      <c r="E18677" t="s">
        <v>68613</v>
      </c>
      <c r="F18677" t="s">
        <v>68614</v>
      </c>
      <c r="G18677" t="s">
        <v>58</v>
      </c>
      <c r="H18677">
        <v>29488</v>
      </c>
      <c r="I18677" t="s">
        <v>30</v>
      </c>
      <c r="J18677" t="s">
        <v>31</v>
      </c>
      <c r="K18677" t="s">
        <v>198</v>
      </c>
      <c r="N18677" t="s">
        <v>68615</v>
      </c>
      <c r="O18677" t="s">
        <v>68616</v>
      </c>
      <c r="Q18677">
        <v>0</v>
      </c>
      <c r="R18677">
        <v>114</v>
      </c>
      <c r="S18677">
        <v>0</v>
      </c>
      <c r="T18677" t="s">
        <v>68617</v>
      </c>
    </row>
    <row r="18678" spans="1:20" customFormat="1" ht="15" x14ac:dyDescent="0.25">
      <c r="A18678" t="s">
        <v>24</v>
      </c>
      <c r="B18678" t="s">
        <v>1020</v>
      </c>
      <c r="C18678" t="str">
        <f>"A0089647"</f>
        <v>A0089647</v>
      </c>
      <c r="D18678" t="s">
        <v>68618</v>
      </c>
      <c r="E18678" t="s">
        <v>68619</v>
      </c>
      <c r="F18678" t="s">
        <v>313</v>
      </c>
      <c r="G18678" t="s">
        <v>314</v>
      </c>
      <c r="H18678">
        <v>20001</v>
      </c>
      <c r="I18678" t="s">
        <v>30</v>
      </c>
      <c r="J18678" t="s">
        <v>31</v>
      </c>
      <c r="K18678" t="s">
        <v>198</v>
      </c>
      <c r="N18678" t="s">
        <v>68620</v>
      </c>
      <c r="O18678" t="s">
        <v>68621</v>
      </c>
      <c r="Q18678">
        <v>0</v>
      </c>
      <c r="R18678">
        <v>228</v>
      </c>
      <c r="S18678">
        <v>0</v>
      </c>
      <c r="T18678" t="s">
        <v>68622</v>
      </c>
    </row>
    <row r="18679" spans="1:20" customFormat="1" ht="15" x14ac:dyDescent="0.25">
      <c r="A18679" t="s">
        <v>24</v>
      </c>
      <c r="B18679" t="s">
        <v>55506</v>
      </c>
      <c r="C18679" t="str">
        <f>"A0059818"</f>
        <v>A0059818</v>
      </c>
      <c r="D18679" t="s">
        <v>68623</v>
      </c>
      <c r="E18679" t="s">
        <v>68624</v>
      </c>
      <c r="F18679" t="s">
        <v>68625</v>
      </c>
      <c r="G18679" t="s">
        <v>899</v>
      </c>
      <c r="H18679">
        <v>1089</v>
      </c>
      <c r="I18679" t="s">
        <v>30</v>
      </c>
      <c r="J18679" t="s">
        <v>31</v>
      </c>
      <c r="K18679" t="s">
        <v>198</v>
      </c>
      <c r="N18679" t="s">
        <v>68626</v>
      </c>
      <c r="Q18679">
        <v>0</v>
      </c>
      <c r="R18679">
        <v>125</v>
      </c>
      <c r="S18679">
        <v>0</v>
      </c>
      <c r="T18679" t="s">
        <v>68627</v>
      </c>
    </row>
    <row r="18680" spans="1:20" customFormat="1" ht="15" x14ac:dyDescent="0.25">
      <c r="A18680" t="s">
        <v>24</v>
      </c>
      <c r="B18680" t="s">
        <v>11523</v>
      </c>
      <c r="C18680" t="str">
        <f>"A0158039"</f>
        <v>A0158039</v>
      </c>
      <c r="D18680" t="s">
        <v>68628</v>
      </c>
      <c r="E18680" t="s">
        <v>68629</v>
      </c>
      <c r="F18680" t="s">
        <v>68630</v>
      </c>
      <c r="G18680" t="s">
        <v>1706</v>
      </c>
      <c r="H18680">
        <v>36092</v>
      </c>
      <c r="I18680" t="s">
        <v>30</v>
      </c>
      <c r="J18680" t="s">
        <v>31</v>
      </c>
      <c r="K18680" t="s">
        <v>198</v>
      </c>
      <c r="N18680" t="s">
        <v>68631</v>
      </c>
      <c r="Q18680">
        <v>0</v>
      </c>
      <c r="R18680">
        <v>80</v>
      </c>
      <c r="S18680">
        <v>0</v>
      </c>
      <c r="T18680" t="s">
        <v>68632</v>
      </c>
    </row>
    <row r="18681" spans="1:20" customFormat="1" ht="15" x14ac:dyDescent="0.25">
      <c r="A18681" t="s">
        <v>24</v>
      </c>
      <c r="B18681" t="s">
        <v>8579</v>
      </c>
      <c r="C18681" t="str">
        <f>"88HM116"</f>
        <v>88HM116</v>
      </c>
      <c r="D18681" t="s">
        <v>68633</v>
      </c>
      <c r="E18681" t="s">
        <v>68634</v>
      </c>
      <c r="F18681" t="s">
        <v>12619</v>
      </c>
      <c r="G18681" t="s">
        <v>190</v>
      </c>
      <c r="H18681">
        <v>80401</v>
      </c>
      <c r="I18681" t="s">
        <v>30</v>
      </c>
      <c r="J18681" t="s">
        <v>31</v>
      </c>
      <c r="K18681" t="s">
        <v>198</v>
      </c>
      <c r="N18681" t="s">
        <v>68635</v>
      </c>
      <c r="Q18681">
        <v>0</v>
      </c>
      <c r="R18681">
        <v>121</v>
      </c>
      <c r="S18681">
        <v>0</v>
      </c>
      <c r="T18681" t="s">
        <v>68636</v>
      </c>
    </row>
    <row r="18682" spans="1:20" customFormat="1" ht="15" x14ac:dyDescent="0.25">
      <c r="A18682" t="s">
        <v>24</v>
      </c>
      <c r="B18682" t="s">
        <v>59252</v>
      </c>
      <c r="C18682" t="str">
        <f>"A0065551"</f>
        <v>A0065551</v>
      </c>
      <c r="D18682" t="s">
        <v>68637</v>
      </c>
      <c r="E18682" t="s">
        <v>68638</v>
      </c>
      <c r="F18682" t="s">
        <v>68639</v>
      </c>
      <c r="G18682" t="s">
        <v>338</v>
      </c>
      <c r="H18682">
        <v>8562</v>
      </c>
      <c r="I18682" t="s">
        <v>30</v>
      </c>
      <c r="J18682" t="s">
        <v>2415</v>
      </c>
      <c r="K18682" t="s">
        <v>179</v>
      </c>
      <c r="N18682" t="s">
        <v>68640</v>
      </c>
      <c r="P18682" t="s">
        <v>992</v>
      </c>
      <c r="Q18682">
        <v>1</v>
      </c>
      <c r="R18682">
        <v>0</v>
      </c>
      <c r="S18682">
        <v>0</v>
      </c>
      <c r="T18682" t="s">
        <v>68641</v>
      </c>
    </row>
    <row r="18683" spans="1:20" customFormat="1" ht="15" x14ac:dyDescent="0.25">
      <c r="A18683" t="s">
        <v>24</v>
      </c>
      <c r="B18683" t="s">
        <v>675</v>
      </c>
      <c r="C18683" t="str">
        <f>"A0095796"</f>
        <v>A0095796</v>
      </c>
      <c r="D18683" t="s">
        <v>85018</v>
      </c>
      <c r="E18683" t="s">
        <v>85019</v>
      </c>
      <c r="F18683" t="s">
        <v>13767</v>
      </c>
      <c r="G18683" t="s">
        <v>4815</v>
      </c>
      <c r="H18683">
        <v>96815</v>
      </c>
      <c r="I18683" t="s">
        <v>30</v>
      </c>
      <c r="J18683" t="s">
        <v>679</v>
      </c>
      <c r="K18683" t="s">
        <v>680</v>
      </c>
      <c r="N18683" t="s">
        <v>85020</v>
      </c>
      <c r="Q18683">
        <v>0</v>
      </c>
      <c r="R18683">
        <v>421</v>
      </c>
      <c r="S18683">
        <v>0</v>
      </c>
      <c r="T18683" t="s">
        <v>85021</v>
      </c>
    </row>
    <row r="18684" spans="1:20" customFormat="1" ht="15" x14ac:dyDescent="0.25">
      <c r="A18684" t="s">
        <v>24</v>
      </c>
      <c r="B18684" t="s">
        <v>13496</v>
      </c>
      <c r="C18684" t="str">
        <f>"CL0269"</f>
        <v>CL0269</v>
      </c>
      <c r="D18684" t="s">
        <v>68646</v>
      </c>
      <c r="E18684" t="s">
        <v>68647</v>
      </c>
      <c r="F18684" t="s">
        <v>5369</v>
      </c>
      <c r="G18684" t="s">
        <v>58</v>
      </c>
      <c r="H18684">
        <v>29401</v>
      </c>
      <c r="I18684" t="s">
        <v>30</v>
      </c>
      <c r="J18684" t="s">
        <v>2558</v>
      </c>
      <c r="K18684" t="s">
        <v>163</v>
      </c>
      <c r="N18684" t="s">
        <v>68648</v>
      </c>
      <c r="Q18684">
        <v>0</v>
      </c>
      <c r="R18684">
        <v>0</v>
      </c>
      <c r="S18684">
        <v>0</v>
      </c>
      <c r="T18684" t="s">
        <v>68649</v>
      </c>
    </row>
    <row r="18685" spans="1:20" customFormat="1" ht="15" hidden="1" x14ac:dyDescent="0.25">
      <c r="A18685" t="s">
        <v>24</v>
      </c>
      <c r="B18685" t="s">
        <v>56404</v>
      </c>
      <c r="C18685" t="str">
        <f>"A0094115"</f>
        <v>A0094115</v>
      </c>
      <c r="D18685" t="s">
        <v>68650</v>
      </c>
      <c r="E18685" t="s">
        <v>56406</v>
      </c>
      <c r="F18685" t="s">
        <v>5142</v>
      </c>
      <c r="G18685" t="s">
        <v>5143</v>
      </c>
      <c r="I18685" t="s">
        <v>5145</v>
      </c>
      <c r="J18685" t="s">
        <v>1004</v>
      </c>
      <c r="K18685" t="s">
        <v>163</v>
      </c>
      <c r="N18685" t="s">
        <v>56407</v>
      </c>
      <c r="Q18685">
        <v>0</v>
      </c>
      <c r="R18685">
        <v>0</v>
      </c>
      <c r="S18685">
        <v>0</v>
      </c>
      <c r="T18685" t="s">
        <v>68651</v>
      </c>
    </row>
    <row r="18686" spans="1:20" customFormat="1" ht="15" x14ac:dyDescent="0.25">
      <c r="A18686" t="s">
        <v>24</v>
      </c>
      <c r="B18686" t="s">
        <v>1583</v>
      </c>
      <c r="C18686" t="str">
        <f>"38A80"</f>
        <v>38A80</v>
      </c>
      <c r="D18686" t="s">
        <v>68652</v>
      </c>
      <c r="E18686" t="s">
        <v>68653</v>
      </c>
      <c r="F18686" t="s">
        <v>10530</v>
      </c>
      <c r="G18686" t="s">
        <v>81</v>
      </c>
      <c r="H18686">
        <v>32821</v>
      </c>
      <c r="I18686" t="s">
        <v>30</v>
      </c>
      <c r="J18686" t="s">
        <v>2544</v>
      </c>
      <c r="K18686" t="s">
        <v>36059</v>
      </c>
      <c r="N18686" t="s">
        <v>68654</v>
      </c>
      <c r="O18686" t="s">
        <v>68655</v>
      </c>
      <c r="Q18686">
        <v>0</v>
      </c>
      <c r="R18686">
        <v>102</v>
      </c>
      <c r="S18686">
        <v>0</v>
      </c>
      <c r="T18686" t="s">
        <v>68656</v>
      </c>
    </row>
    <row r="18687" spans="1:20" customFormat="1" ht="15" x14ac:dyDescent="0.25">
      <c r="A18687" t="s">
        <v>24</v>
      </c>
      <c r="B18687" t="s">
        <v>1583</v>
      </c>
      <c r="C18687" t="str">
        <f>"38H25"</f>
        <v>38H25</v>
      </c>
      <c r="D18687" t="s">
        <v>68657</v>
      </c>
      <c r="E18687" t="s">
        <v>68658</v>
      </c>
      <c r="F18687" t="s">
        <v>68659</v>
      </c>
      <c r="G18687" t="s">
        <v>58</v>
      </c>
      <c r="H18687">
        <v>29928</v>
      </c>
      <c r="I18687" t="s">
        <v>30</v>
      </c>
      <c r="J18687" t="s">
        <v>2544</v>
      </c>
      <c r="K18687" t="s">
        <v>36059</v>
      </c>
      <c r="N18687" t="s">
        <v>68660</v>
      </c>
      <c r="Q18687">
        <v>0</v>
      </c>
      <c r="R18687">
        <v>86</v>
      </c>
      <c r="S18687">
        <v>0</v>
      </c>
      <c r="T18687" t="s">
        <v>68661</v>
      </c>
    </row>
    <row r="18688" spans="1:20" customFormat="1" ht="15" x14ac:dyDescent="0.25">
      <c r="A18688" t="s">
        <v>24</v>
      </c>
      <c r="B18688" t="s">
        <v>675</v>
      </c>
      <c r="C18688" t="str">
        <f>"A0083297"</f>
        <v>A0083297</v>
      </c>
      <c r="D18688" t="s">
        <v>85022</v>
      </c>
      <c r="E18688" t="s">
        <v>85023</v>
      </c>
      <c r="F18688" t="s">
        <v>35175</v>
      </c>
      <c r="G18688" t="s">
        <v>99</v>
      </c>
      <c r="H18688">
        <v>10601</v>
      </c>
      <c r="I18688" t="s">
        <v>30</v>
      </c>
      <c r="J18688" t="s">
        <v>679</v>
      </c>
      <c r="K18688" t="s">
        <v>680</v>
      </c>
      <c r="N18688" t="s">
        <v>85024</v>
      </c>
      <c r="O18688" t="s">
        <v>85025</v>
      </c>
      <c r="Q18688">
        <v>0</v>
      </c>
      <c r="R18688">
        <v>0</v>
      </c>
      <c r="S18688">
        <v>0</v>
      </c>
      <c r="T18688" t="s">
        <v>85026</v>
      </c>
    </row>
    <row r="18689" spans="1:20" customFormat="1" ht="15" hidden="1" x14ac:dyDescent="0.25">
      <c r="A18689" t="s">
        <v>24</v>
      </c>
      <c r="B18689" t="s">
        <v>4848</v>
      </c>
      <c r="C18689" t="str">
        <f>"A0156977"</f>
        <v>A0156977</v>
      </c>
      <c r="D18689" t="s">
        <v>68667</v>
      </c>
      <c r="E18689" t="s">
        <v>68668</v>
      </c>
      <c r="F18689" t="s">
        <v>9595</v>
      </c>
      <c r="G18689" t="s">
        <v>2206</v>
      </c>
      <c r="H18689" t="s">
        <v>68669</v>
      </c>
      <c r="I18689" t="s">
        <v>1459</v>
      </c>
      <c r="J18689" t="s">
        <v>145</v>
      </c>
      <c r="K18689" t="s">
        <v>163</v>
      </c>
      <c r="N18689" t="s">
        <v>68670</v>
      </c>
      <c r="O18689" t="s">
        <v>68671</v>
      </c>
      <c r="Q18689">
        <v>0</v>
      </c>
      <c r="R18689">
        <v>100</v>
      </c>
      <c r="S18689">
        <v>0</v>
      </c>
      <c r="T18689" t="s">
        <v>68672</v>
      </c>
    </row>
    <row r="18690" spans="1:20" customFormat="1" ht="15" x14ac:dyDescent="0.25">
      <c r="A18690" t="s">
        <v>24</v>
      </c>
      <c r="B18690" t="s">
        <v>675</v>
      </c>
      <c r="C18690" t="str">
        <f>"A0088687"</f>
        <v>A0088687</v>
      </c>
      <c r="D18690" t="s">
        <v>85118</v>
      </c>
      <c r="E18690" t="s">
        <v>74506</v>
      </c>
      <c r="F18690" t="s">
        <v>1519</v>
      </c>
      <c r="G18690" t="s">
        <v>110</v>
      </c>
      <c r="H18690">
        <v>90015</v>
      </c>
      <c r="I18690" t="s">
        <v>30</v>
      </c>
      <c r="J18690" t="s">
        <v>679</v>
      </c>
      <c r="K18690" t="s">
        <v>680</v>
      </c>
      <c r="N18690" t="s">
        <v>85119</v>
      </c>
      <c r="Q18690">
        <v>0</v>
      </c>
      <c r="R18690">
        <v>123</v>
      </c>
      <c r="S18690">
        <v>0</v>
      </c>
      <c r="T18690" t="s">
        <v>85120</v>
      </c>
    </row>
    <row r="18691" spans="1:20" customFormat="1" ht="15" x14ac:dyDescent="0.25">
      <c r="A18691" t="s">
        <v>24</v>
      </c>
      <c r="B18691" t="s">
        <v>675</v>
      </c>
      <c r="C18691" t="str">
        <f>"A0086367"</f>
        <v>A0086367</v>
      </c>
      <c r="D18691" t="s">
        <v>85373</v>
      </c>
      <c r="E18691" t="s">
        <v>85374</v>
      </c>
      <c r="F18691" t="s">
        <v>10426</v>
      </c>
      <c r="G18691" t="s">
        <v>81</v>
      </c>
      <c r="H18691">
        <v>34236</v>
      </c>
      <c r="I18691" t="s">
        <v>30</v>
      </c>
      <c r="J18691" t="s">
        <v>679</v>
      </c>
      <c r="K18691" t="s">
        <v>680</v>
      </c>
      <c r="N18691" t="s">
        <v>85375</v>
      </c>
      <c r="Q18691">
        <v>0</v>
      </c>
      <c r="R18691">
        <v>80</v>
      </c>
      <c r="S18691">
        <v>0</v>
      </c>
      <c r="T18691" t="s">
        <v>85376</v>
      </c>
    </row>
    <row r="18692" spans="1:20" customFormat="1" ht="15" x14ac:dyDescent="0.25">
      <c r="A18692" t="s">
        <v>24</v>
      </c>
      <c r="B18692" t="s">
        <v>2360</v>
      </c>
      <c r="C18692" t="str">
        <f>"A0076150"</f>
        <v>A0076150</v>
      </c>
      <c r="D18692" t="s">
        <v>68680</v>
      </c>
      <c r="E18692" t="s">
        <v>68681</v>
      </c>
      <c r="F18692" t="s">
        <v>13036</v>
      </c>
      <c r="G18692" t="s">
        <v>103</v>
      </c>
      <c r="H18692">
        <v>19311</v>
      </c>
      <c r="I18692" t="s">
        <v>30</v>
      </c>
      <c r="J18692" t="s">
        <v>178</v>
      </c>
      <c r="K18692" t="s">
        <v>55688</v>
      </c>
      <c r="N18692" t="s">
        <v>68682</v>
      </c>
      <c r="P18692" t="s">
        <v>992</v>
      </c>
      <c r="Q18692">
        <v>1</v>
      </c>
      <c r="R18692">
        <v>0</v>
      </c>
      <c r="S18692">
        <v>0</v>
      </c>
      <c r="T18692" t="s">
        <v>68683</v>
      </c>
    </row>
    <row r="18693" spans="1:20" customFormat="1" ht="15" x14ac:dyDescent="0.25">
      <c r="A18693" t="s">
        <v>24</v>
      </c>
      <c r="B18693" t="s">
        <v>167</v>
      </c>
      <c r="C18693" t="str">
        <f>"A0101022"</f>
        <v>A0101022</v>
      </c>
      <c r="D18693" t="s">
        <v>168</v>
      </c>
      <c r="E18693" t="s">
        <v>169</v>
      </c>
      <c r="F18693" t="s">
        <v>170</v>
      </c>
      <c r="G18693" t="s">
        <v>110</v>
      </c>
      <c r="H18693">
        <v>93449</v>
      </c>
      <c r="I18693" t="s">
        <v>30</v>
      </c>
      <c r="J18693" t="s">
        <v>171</v>
      </c>
      <c r="K18693" t="s">
        <v>163</v>
      </c>
      <c r="N18693" t="s">
        <v>172</v>
      </c>
      <c r="Q18693">
        <v>0</v>
      </c>
      <c r="R18693">
        <v>27</v>
      </c>
      <c r="S18693">
        <v>0</v>
      </c>
      <c r="T18693" t="s">
        <v>173</v>
      </c>
    </row>
    <row r="18694" spans="1:20" customFormat="1" ht="15" x14ac:dyDescent="0.25">
      <c r="A18694" t="s">
        <v>24</v>
      </c>
      <c r="B18694" t="s">
        <v>2360</v>
      </c>
      <c r="C18694" t="str">
        <f>"A0153443"</f>
        <v>A0153443</v>
      </c>
      <c r="D18694" t="s">
        <v>68689</v>
      </c>
      <c r="E18694" t="s">
        <v>68690</v>
      </c>
      <c r="F18694" t="s">
        <v>8920</v>
      </c>
      <c r="G18694" t="s">
        <v>214</v>
      </c>
      <c r="H18694" t="s">
        <v>68691</v>
      </c>
      <c r="I18694" t="s">
        <v>30</v>
      </c>
      <c r="J18694" t="s">
        <v>178</v>
      </c>
      <c r="K18694" t="s">
        <v>56092</v>
      </c>
      <c r="N18694" t="s">
        <v>4422</v>
      </c>
      <c r="Q18694">
        <v>0</v>
      </c>
      <c r="R18694">
        <v>0</v>
      </c>
      <c r="S18694">
        <v>0</v>
      </c>
      <c r="T18694" t="s">
        <v>68692</v>
      </c>
    </row>
    <row r="18695" spans="1:20" customFormat="1" ht="15" x14ac:dyDescent="0.25">
      <c r="A18695" t="s">
        <v>24</v>
      </c>
      <c r="B18695" t="s">
        <v>2360</v>
      </c>
      <c r="C18695" t="str">
        <f>"CL1100"</f>
        <v>CL1100</v>
      </c>
      <c r="D18695" t="s">
        <v>68693</v>
      </c>
      <c r="E18695" t="s">
        <v>68694</v>
      </c>
      <c r="F18695" t="s">
        <v>659</v>
      </c>
      <c r="G18695" t="s">
        <v>81</v>
      </c>
      <c r="H18695">
        <v>32608</v>
      </c>
      <c r="I18695" t="s">
        <v>30</v>
      </c>
      <c r="J18695" t="s">
        <v>178</v>
      </c>
      <c r="K18695" t="s">
        <v>8013</v>
      </c>
      <c r="N18695" t="s">
        <v>68695</v>
      </c>
      <c r="P18695" t="s">
        <v>992</v>
      </c>
      <c r="Q18695">
        <v>1</v>
      </c>
      <c r="R18695">
        <v>0</v>
      </c>
      <c r="S18695">
        <v>0</v>
      </c>
      <c r="T18695" t="s">
        <v>68696</v>
      </c>
    </row>
    <row r="18696" spans="1:20" customFormat="1" ht="15" x14ac:dyDescent="0.25">
      <c r="A18696" t="s">
        <v>24</v>
      </c>
      <c r="B18696" t="s">
        <v>193</v>
      </c>
      <c r="C18696" t="str">
        <f>"A0189008"</f>
        <v>A0189008</v>
      </c>
      <c r="D18696" t="s">
        <v>246</v>
      </c>
      <c r="E18696" t="s">
        <v>247</v>
      </c>
      <c r="F18696" t="s">
        <v>242</v>
      </c>
      <c r="G18696" t="s">
        <v>214</v>
      </c>
      <c r="H18696">
        <v>28217</v>
      </c>
      <c r="I18696" t="s">
        <v>30</v>
      </c>
      <c r="J18696" t="s">
        <v>171</v>
      </c>
      <c r="K18696" t="s">
        <v>248</v>
      </c>
      <c r="N18696" t="s">
        <v>244</v>
      </c>
      <c r="Q18696">
        <v>0</v>
      </c>
      <c r="R18696">
        <v>215</v>
      </c>
      <c r="S18696">
        <v>0</v>
      </c>
      <c r="T18696" t="s">
        <v>249</v>
      </c>
    </row>
    <row r="18697" spans="1:20" customFormat="1" ht="15" x14ac:dyDescent="0.25">
      <c r="A18697" t="s">
        <v>24</v>
      </c>
      <c r="B18697" t="s">
        <v>292</v>
      </c>
      <c r="C18697" t="str">
        <f>"A0193731"</f>
        <v>A0193731</v>
      </c>
      <c r="D18697" t="s">
        <v>305</v>
      </c>
      <c r="E18697" t="s">
        <v>306</v>
      </c>
      <c r="F18697" t="s">
        <v>307</v>
      </c>
      <c r="G18697" t="s">
        <v>123</v>
      </c>
      <c r="H18697">
        <v>20743</v>
      </c>
      <c r="I18697" t="s">
        <v>30</v>
      </c>
      <c r="J18697" t="s">
        <v>171</v>
      </c>
      <c r="K18697" t="s">
        <v>308</v>
      </c>
      <c r="N18697" t="s">
        <v>309</v>
      </c>
      <c r="Q18697">
        <v>0</v>
      </c>
      <c r="R18697">
        <v>74</v>
      </c>
      <c r="S18697">
        <v>0</v>
      </c>
      <c r="T18697" t="s">
        <v>310</v>
      </c>
    </row>
    <row r="18698" spans="1:20" customFormat="1" ht="15" x14ac:dyDescent="0.25">
      <c r="A18698" t="s">
        <v>24</v>
      </c>
      <c r="B18698" t="s">
        <v>292</v>
      </c>
      <c r="C18698" t="str">
        <f>"A0086304"</f>
        <v>A0086304</v>
      </c>
      <c r="D18698" t="s">
        <v>311</v>
      </c>
      <c r="E18698" t="s">
        <v>312</v>
      </c>
      <c r="F18698" t="s">
        <v>313</v>
      </c>
      <c r="G18698" t="s">
        <v>314</v>
      </c>
      <c r="H18698">
        <v>20002</v>
      </c>
      <c r="I18698" t="s">
        <v>30</v>
      </c>
      <c r="J18698" t="s">
        <v>171</v>
      </c>
      <c r="K18698" t="s">
        <v>315</v>
      </c>
      <c r="N18698" t="s">
        <v>316</v>
      </c>
      <c r="Q18698">
        <v>0</v>
      </c>
      <c r="R18698">
        <v>136</v>
      </c>
      <c r="S18698">
        <v>0</v>
      </c>
      <c r="T18698" t="s">
        <v>317</v>
      </c>
    </row>
    <row r="18699" spans="1:20" customFormat="1" ht="15" x14ac:dyDescent="0.25">
      <c r="A18699" t="s">
        <v>24</v>
      </c>
      <c r="B18699" t="s">
        <v>348</v>
      </c>
      <c r="C18699" t="str">
        <f>"A0193796"</f>
        <v>A0193796</v>
      </c>
      <c r="D18699" t="s">
        <v>366</v>
      </c>
      <c r="E18699" t="s">
        <v>367</v>
      </c>
      <c r="F18699" t="s">
        <v>368</v>
      </c>
      <c r="G18699" t="s">
        <v>52</v>
      </c>
      <c r="H18699">
        <v>78119</v>
      </c>
      <c r="I18699" t="s">
        <v>30</v>
      </c>
      <c r="J18699" t="s">
        <v>171</v>
      </c>
      <c r="K18699" t="s">
        <v>315</v>
      </c>
      <c r="N18699" t="s">
        <v>352</v>
      </c>
      <c r="Q18699">
        <v>0</v>
      </c>
      <c r="R18699">
        <v>50</v>
      </c>
      <c r="S18699">
        <v>0</v>
      </c>
      <c r="T18699" t="s">
        <v>369</v>
      </c>
    </row>
    <row r="18700" spans="1:20" customFormat="1" ht="15" x14ac:dyDescent="0.25">
      <c r="A18700" t="s">
        <v>24</v>
      </c>
      <c r="B18700" t="s">
        <v>649</v>
      </c>
      <c r="C18700" t="str">
        <f>"A0058723"</f>
        <v>A0058723</v>
      </c>
      <c r="D18700" t="s">
        <v>650</v>
      </c>
      <c r="E18700" t="s">
        <v>651</v>
      </c>
      <c r="F18700" t="s">
        <v>652</v>
      </c>
      <c r="G18700" t="s">
        <v>110</v>
      </c>
      <c r="H18700">
        <v>93309</v>
      </c>
      <c r="I18700" t="s">
        <v>30</v>
      </c>
      <c r="J18700" t="s">
        <v>171</v>
      </c>
      <c r="K18700" t="s">
        <v>653</v>
      </c>
      <c r="N18700" t="s">
        <v>654</v>
      </c>
      <c r="Q18700">
        <v>0</v>
      </c>
      <c r="R18700">
        <v>198</v>
      </c>
      <c r="S18700">
        <v>0</v>
      </c>
      <c r="T18700" t="s">
        <v>655</v>
      </c>
    </row>
    <row r="18701" spans="1:20" customFormat="1" ht="15" x14ac:dyDescent="0.25">
      <c r="A18701" t="s">
        <v>24</v>
      </c>
      <c r="B18701" t="s">
        <v>5104</v>
      </c>
      <c r="C18701" t="str">
        <f>"A0098401"</f>
        <v>A0098401</v>
      </c>
      <c r="D18701" t="s">
        <v>68723</v>
      </c>
      <c r="E18701" t="s">
        <v>68724</v>
      </c>
      <c r="F18701" t="s">
        <v>2971</v>
      </c>
      <c r="G18701" t="s">
        <v>880</v>
      </c>
      <c r="H18701">
        <v>37203</v>
      </c>
      <c r="I18701" t="s">
        <v>30</v>
      </c>
      <c r="J18701" t="s">
        <v>31</v>
      </c>
      <c r="K18701" t="s">
        <v>163</v>
      </c>
      <c r="N18701" t="s">
        <v>68725</v>
      </c>
      <c r="Q18701">
        <v>0</v>
      </c>
      <c r="R18701">
        <v>108</v>
      </c>
      <c r="S18701">
        <v>0</v>
      </c>
      <c r="T18701" t="s">
        <v>68726</v>
      </c>
    </row>
    <row r="18702" spans="1:20" customFormat="1" ht="15" x14ac:dyDescent="0.25">
      <c r="A18702" t="s">
        <v>24</v>
      </c>
      <c r="B18702" t="s">
        <v>2360</v>
      </c>
      <c r="C18702" t="str">
        <f>"88IN102"</f>
        <v>88IN102</v>
      </c>
      <c r="D18702" t="s">
        <v>68727</v>
      </c>
      <c r="E18702" t="s">
        <v>68728</v>
      </c>
      <c r="F18702" t="s">
        <v>3560</v>
      </c>
      <c r="G18702" t="s">
        <v>846</v>
      </c>
      <c r="H18702">
        <v>31211</v>
      </c>
      <c r="I18702" t="s">
        <v>30</v>
      </c>
      <c r="J18702" t="s">
        <v>178</v>
      </c>
      <c r="K18702" t="s">
        <v>8013</v>
      </c>
      <c r="N18702" t="s">
        <v>33880</v>
      </c>
      <c r="Q18702">
        <v>1</v>
      </c>
      <c r="R18702">
        <v>0</v>
      </c>
      <c r="S18702">
        <v>0</v>
      </c>
      <c r="T18702" t="s">
        <v>68729</v>
      </c>
    </row>
    <row r="18703" spans="1:20" customFormat="1" ht="15" x14ac:dyDescent="0.25">
      <c r="A18703" t="s">
        <v>24</v>
      </c>
      <c r="B18703" t="s">
        <v>2360</v>
      </c>
      <c r="C18703" t="str">
        <f>"CL0164"</f>
        <v>CL0164</v>
      </c>
      <c r="D18703" t="s">
        <v>68730</v>
      </c>
      <c r="E18703" t="s">
        <v>68731</v>
      </c>
      <c r="F18703" t="s">
        <v>1564</v>
      </c>
      <c r="G18703" t="s">
        <v>52</v>
      </c>
      <c r="H18703">
        <v>77095</v>
      </c>
      <c r="I18703" t="s">
        <v>30</v>
      </c>
      <c r="J18703" t="s">
        <v>178</v>
      </c>
      <c r="K18703" t="s">
        <v>56676</v>
      </c>
      <c r="N18703" t="s">
        <v>68732</v>
      </c>
      <c r="O18703" t="s">
        <v>68733</v>
      </c>
      <c r="P18703" t="s">
        <v>992</v>
      </c>
      <c r="Q18703">
        <v>2</v>
      </c>
      <c r="R18703">
        <v>0</v>
      </c>
      <c r="S18703">
        <v>0</v>
      </c>
      <c r="T18703" t="s">
        <v>68734</v>
      </c>
    </row>
    <row r="18704" spans="1:20" customFormat="1" ht="15" x14ac:dyDescent="0.25">
      <c r="A18704" t="s">
        <v>24</v>
      </c>
      <c r="B18704" t="s">
        <v>745</v>
      </c>
      <c r="C18704" t="str">
        <f>"A0076942"</f>
        <v>A0076942</v>
      </c>
      <c r="D18704" t="s">
        <v>746</v>
      </c>
      <c r="E18704" t="s">
        <v>747</v>
      </c>
      <c r="F18704" t="s">
        <v>748</v>
      </c>
      <c r="G18704" t="s">
        <v>110</v>
      </c>
      <c r="H18704">
        <v>94123</v>
      </c>
      <c r="I18704" t="s">
        <v>30</v>
      </c>
      <c r="J18704" t="s">
        <v>171</v>
      </c>
      <c r="K18704" t="s">
        <v>163</v>
      </c>
      <c r="N18704" t="s">
        <v>749</v>
      </c>
      <c r="Q18704">
        <v>0</v>
      </c>
      <c r="R18704">
        <v>57</v>
      </c>
      <c r="S18704">
        <v>0</v>
      </c>
      <c r="T18704" t="s">
        <v>750</v>
      </c>
    </row>
    <row r="18705" spans="1:25" customFormat="1" ht="15" x14ac:dyDescent="0.25">
      <c r="A18705" t="s">
        <v>24</v>
      </c>
      <c r="B18705" t="s">
        <v>193</v>
      </c>
      <c r="C18705" t="str">
        <f>"A0075374"</f>
        <v>A0075374</v>
      </c>
      <c r="D18705" t="s">
        <v>751</v>
      </c>
      <c r="E18705" t="s">
        <v>752</v>
      </c>
      <c r="F18705" t="s">
        <v>753</v>
      </c>
      <c r="G18705" t="s">
        <v>615</v>
      </c>
      <c r="H18705">
        <v>6096</v>
      </c>
      <c r="I18705" t="s">
        <v>30</v>
      </c>
      <c r="J18705" t="s">
        <v>171</v>
      </c>
      <c r="K18705" t="s">
        <v>248</v>
      </c>
      <c r="N18705" t="s">
        <v>754</v>
      </c>
      <c r="Q18705">
        <v>0</v>
      </c>
      <c r="R18705">
        <v>165</v>
      </c>
      <c r="S18705">
        <v>0</v>
      </c>
      <c r="T18705" t="s">
        <v>755</v>
      </c>
    </row>
    <row r="18706" spans="1:25" customFormat="1" ht="15" x14ac:dyDescent="0.25">
      <c r="A18706" t="s">
        <v>24</v>
      </c>
      <c r="B18706" t="s">
        <v>2360</v>
      </c>
      <c r="C18706" t="str">
        <f>"A0049948"</f>
        <v>A0049948</v>
      </c>
      <c r="D18706" t="s">
        <v>68743</v>
      </c>
      <c r="E18706" t="s">
        <v>68744</v>
      </c>
      <c r="F18706" t="s">
        <v>56845</v>
      </c>
      <c r="G18706" t="s">
        <v>65</v>
      </c>
      <c r="H18706">
        <v>43026</v>
      </c>
      <c r="I18706" t="s">
        <v>30</v>
      </c>
      <c r="J18706" t="s">
        <v>178</v>
      </c>
      <c r="K18706" t="s">
        <v>56676</v>
      </c>
      <c r="N18706" t="s">
        <v>68745</v>
      </c>
      <c r="Q18706">
        <v>1</v>
      </c>
      <c r="R18706">
        <v>18</v>
      </c>
      <c r="S18706">
        <v>0</v>
      </c>
      <c r="T18706" t="s">
        <v>68746</v>
      </c>
    </row>
    <row r="18707" spans="1:25" customFormat="1" ht="15" x14ac:dyDescent="0.25">
      <c r="A18707" t="s">
        <v>24</v>
      </c>
      <c r="B18707" t="s">
        <v>1020</v>
      </c>
      <c r="C18707" t="str">
        <f>"A0090796"</f>
        <v>A0090796</v>
      </c>
      <c r="D18707" t="s">
        <v>68747</v>
      </c>
      <c r="E18707" t="s">
        <v>68748</v>
      </c>
      <c r="F18707" t="s">
        <v>3880</v>
      </c>
      <c r="G18707" t="s">
        <v>99</v>
      </c>
      <c r="H18707">
        <v>10001</v>
      </c>
      <c r="I18707" t="s">
        <v>30</v>
      </c>
      <c r="J18707" t="s">
        <v>191</v>
      </c>
      <c r="K18707" t="s">
        <v>11889</v>
      </c>
      <c r="Q18707">
        <v>0</v>
      </c>
      <c r="R18707">
        <v>0</v>
      </c>
      <c r="S18707">
        <v>0</v>
      </c>
      <c r="T18707" t="s">
        <v>68749</v>
      </c>
    </row>
    <row r="18708" spans="1:25" customFormat="1" ht="15" x14ac:dyDescent="0.25">
      <c r="A18708" t="s">
        <v>24</v>
      </c>
      <c r="B18708" t="s">
        <v>14919</v>
      </c>
      <c r="C18708" t="str">
        <f>"A0051651"</f>
        <v>A0051651</v>
      </c>
      <c r="D18708" t="s">
        <v>68750</v>
      </c>
      <c r="E18708" t="s">
        <v>68751</v>
      </c>
      <c r="F18708" t="s">
        <v>14922</v>
      </c>
      <c r="G18708" t="s">
        <v>103</v>
      </c>
      <c r="H18708">
        <v>17033</v>
      </c>
      <c r="I18708" t="s">
        <v>30</v>
      </c>
      <c r="J18708" t="s">
        <v>2415</v>
      </c>
      <c r="K18708" t="s">
        <v>179</v>
      </c>
      <c r="N18708" t="s">
        <v>68752</v>
      </c>
      <c r="O18708" t="s">
        <v>68753</v>
      </c>
      <c r="P18708" t="s">
        <v>3998</v>
      </c>
      <c r="Q18708">
        <v>4</v>
      </c>
      <c r="R18708">
        <v>0</v>
      </c>
      <c r="S18708">
        <v>0</v>
      </c>
      <c r="T18708" t="s">
        <v>68754</v>
      </c>
    </row>
    <row r="18709" spans="1:25" customFormat="1" ht="15" x14ac:dyDescent="0.25">
      <c r="A18709" t="s">
        <v>24</v>
      </c>
      <c r="B18709" t="s">
        <v>799</v>
      </c>
      <c r="C18709" t="str">
        <f>"A0193782"</f>
        <v>A0193782</v>
      </c>
      <c r="D18709" t="s">
        <v>800</v>
      </c>
      <c r="E18709" t="s">
        <v>801</v>
      </c>
      <c r="F18709" t="s">
        <v>802</v>
      </c>
      <c r="G18709" t="s">
        <v>289</v>
      </c>
      <c r="H18709">
        <v>60430</v>
      </c>
      <c r="I18709" t="s">
        <v>30</v>
      </c>
      <c r="J18709" t="s">
        <v>171</v>
      </c>
      <c r="K18709" t="s">
        <v>163</v>
      </c>
      <c r="N18709" t="s">
        <v>803</v>
      </c>
      <c r="Q18709">
        <v>0</v>
      </c>
      <c r="R18709">
        <v>18</v>
      </c>
      <c r="S18709">
        <v>0</v>
      </c>
      <c r="T18709" t="s">
        <v>804</v>
      </c>
    </row>
    <row r="18710" spans="1:25" customFormat="1" ht="15" x14ac:dyDescent="0.25">
      <c r="A18710" t="s">
        <v>24</v>
      </c>
      <c r="B18710" t="s">
        <v>14919</v>
      </c>
      <c r="C18710" t="str">
        <f>"A0092171"</f>
        <v>A0092171</v>
      </c>
      <c r="D18710" t="s">
        <v>68759</v>
      </c>
      <c r="E18710" t="s">
        <v>62957</v>
      </c>
      <c r="F18710" t="s">
        <v>14922</v>
      </c>
      <c r="G18710" t="s">
        <v>103</v>
      </c>
      <c r="H18710">
        <v>17033</v>
      </c>
      <c r="I18710" t="s">
        <v>30</v>
      </c>
      <c r="J18710" t="s">
        <v>191</v>
      </c>
      <c r="K18710" t="s">
        <v>11889</v>
      </c>
      <c r="N18710" t="s">
        <v>68760</v>
      </c>
      <c r="Q18710">
        <v>0</v>
      </c>
      <c r="R18710">
        <v>0</v>
      </c>
      <c r="S18710">
        <v>0</v>
      </c>
      <c r="T18710" t="s">
        <v>68761</v>
      </c>
    </row>
    <row r="18711" spans="1:25" customFormat="1" ht="15" x14ac:dyDescent="0.25">
      <c r="A18711" t="s">
        <v>24</v>
      </c>
      <c r="B18711" t="s">
        <v>805</v>
      </c>
      <c r="C18711" t="str">
        <f>"SC006"</f>
        <v>SC006</v>
      </c>
      <c r="D18711" t="s">
        <v>806</v>
      </c>
      <c r="E18711" t="s">
        <v>807</v>
      </c>
      <c r="F18711" t="s">
        <v>808</v>
      </c>
      <c r="G18711" t="s">
        <v>110</v>
      </c>
      <c r="H18711">
        <v>92614</v>
      </c>
      <c r="I18711" t="s">
        <v>30</v>
      </c>
      <c r="J18711" t="s">
        <v>171</v>
      </c>
      <c r="K18711" t="s">
        <v>809</v>
      </c>
      <c r="N18711" t="s">
        <v>810</v>
      </c>
      <c r="Q18711">
        <v>0</v>
      </c>
      <c r="R18711">
        <v>335</v>
      </c>
      <c r="S18711">
        <v>0</v>
      </c>
      <c r="T18711" t="s">
        <v>811</v>
      </c>
    </row>
    <row r="18712" spans="1:25" customFormat="1" ht="15" x14ac:dyDescent="0.25">
      <c r="A18712" t="s">
        <v>24</v>
      </c>
      <c r="B18712" t="s">
        <v>969</v>
      </c>
      <c r="C18712" t="str">
        <f>"A0193730"</f>
        <v>A0193730</v>
      </c>
      <c r="D18712" t="s">
        <v>970</v>
      </c>
      <c r="E18712" t="s">
        <v>971</v>
      </c>
      <c r="F18712" t="s">
        <v>972</v>
      </c>
      <c r="G18712" t="s">
        <v>190</v>
      </c>
      <c r="H18712">
        <v>80204</v>
      </c>
      <c r="I18712" t="s">
        <v>30</v>
      </c>
      <c r="J18712" t="s">
        <v>171</v>
      </c>
      <c r="K18712" t="s">
        <v>973</v>
      </c>
      <c r="N18712" t="s">
        <v>974</v>
      </c>
      <c r="Q18712">
        <v>0</v>
      </c>
      <c r="R18712">
        <v>113</v>
      </c>
      <c r="S18712">
        <v>0</v>
      </c>
      <c r="T18712" t="s">
        <v>975</v>
      </c>
    </row>
    <row r="18713" spans="1:25" customFormat="1" ht="15" x14ac:dyDescent="0.25">
      <c r="A18713" t="s">
        <v>24</v>
      </c>
      <c r="B18713" t="s">
        <v>1014</v>
      </c>
      <c r="C18713" t="str">
        <f>"A0193716"</f>
        <v>A0193716</v>
      </c>
      <c r="D18713" t="s">
        <v>1015</v>
      </c>
      <c r="E18713" t="s">
        <v>1016</v>
      </c>
      <c r="F18713" t="s">
        <v>1017</v>
      </c>
      <c r="G18713" t="s">
        <v>81</v>
      </c>
      <c r="H18713">
        <v>32526</v>
      </c>
      <c r="I18713" t="s">
        <v>30</v>
      </c>
      <c r="J18713" t="s">
        <v>171</v>
      </c>
      <c r="K18713" t="s">
        <v>308</v>
      </c>
      <c r="N18713" t="s">
        <v>1018</v>
      </c>
      <c r="Q18713">
        <v>0</v>
      </c>
      <c r="R18713">
        <v>63</v>
      </c>
      <c r="S18713">
        <v>0</v>
      </c>
      <c r="T18713" t="s">
        <v>1019</v>
      </c>
    </row>
    <row r="18714" spans="1:25" customFormat="1" ht="15" x14ac:dyDescent="0.25">
      <c r="A18714" t="s">
        <v>24</v>
      </c>
      <c r="B18714" t="s">
        <v>68774</v>
      </c>
      <c r="C18714" t="str">
        <f>"A0052303"</f>
        <v>A0052303</v>
      </c>
      <c r="D18714" t="s">
        <v>68774</v>
      </c>
      <c r="E18714" t="s">
        <v>68775</v>
      </c>
      <c r="F18714" t="s">
        <v>62969</v>
      </c>
      <c r="G18714" t="s">
        <v>221</v>
      </c>
      <c r="H18714">
        <v>89502</v>
      </c>
      <c r="I18714" t="s">
        <v>30</v>
      </c>
      <c r="J18714" t="s">
        <v>178</v>
      </c>
      <c r="K18714" t="s">
        <v>179</v>
      </c>
      <c r="N18714" t="s">
        <v>68776</v>
      </c>
      <c r="O18714" t="s">
        <v>68777</v>
      </c>
      <c r="Q18714">
        <v>0</v>
      </c>
      <c r="R18714">
        <v>0</v>
      </c>
      <c r="S18714">
        <v>0</v>
      </c>
      <c r="T18714" t="s">
        <v>68778</v>
      </c>
    </row>
    <row r="18715" spans="1:25" x14ac:dyDescent="0.25">
      <c r="A18715" s="5" t="s">
        <v>24</v>
      </c>
      <c r="B18715" s="5" t="s">
        <v>1020</v>
      </c>
      <c r="C18715" s="5" t="str">
        <f>"A0192065"</f>
        <v>A0192065</v>
      </c>
      <c r="D18715" s="5" t="s">
        <v>1021</v>
      </c>
      <c r="E18715" s="5" t="s">
        <v>1022</v>
      </c>
      <c r="F18715" s="5" t="s">
        <v>693</v>
      </c>
      <c r="G18715" s="5" t="s">
        <v>110</v>
      </c>
      <c r="H18715" s="5">
        <v>90808</v>
      </c>
      <c r="I18715" s="5" t="s">
        <v>30</v>
      </c>
      <c r="J18715" s="5" t="s">
        <v>171</v>
      </c>
      <c r="K18715" s="5" t="s">
        <v>1023</v>
      </c>
      <c r="L18715" s="5"/>
      <c r="M18715" s="5"/>
      <c r="N18715" s="5" t="s">
        <v>1024</v>
      </c>
      <c r="O18715" s="5"/>
      <c r="P18715" s="5"/>
      <c r="Q18715" s="5">
        <v>0</v>
      </c>
      <c r="R18715" s="5">
        <v>0</v>
      </c>
      <c r="S18715" s="5">
        <v>0</v>
      </c>
      <c r="T18715" s="5" t="s">
        <v>1025</v>
      </c>
      <c r="U18715" s="5"/>
      <c r="V18715" s="5"/>
      <c r="W18715" s="5"/>
      <c r="X18715" s="5"/>
      <c r="Y18715" s="5"/>
    </row>
    <row r="18716" spans="1:25" customFormat="1" ht="15" x14ac:dyDescent="0.25">
      <c r="A18716" t="s">
        <v>24</v>
      </c>
      <c r="B18716" t="s">
        <v>186</v>
      </c>
      <c r="C18716" t="str">
        <f>"A0166324"</f>
        <v>A0166324</v>
      </c>
      <c r="D18716" t="s">
        <v>68783</v>
      </c>
      <c r="E18716" t="s">
        <v>63785</v>
      </c>
      <c r="F18716" t="s">
        <v>34169</v>
      </c>
      <c r="G18716" t="s">
        <v>190</v>
      </c>
      <c r="H18716">
        <v>81615</v>
      </c>
      <c r="I18716" t="s">
        <v>30</v>
      </c>
      <c r="J18716" t="s">
        <v>687</v>
      </c>
      <c r="K18716" t="s">
        <v>163</v>
      </c>
      <c r="N18716" t="s">
        <v>68784</v>
      </c>
      <c r="Q18716">
        <v>0</v>
      </c>
      <c r="R18716">
        <v>0</v>
      </c>
      <c r="S18716">
        <v>0</v>
      </c>
      <c r="T18716" t="s">
        <v>68785</v>
      </c>
    </row>
    <row r="18717" spans="1:25" customFormat="1" ht="15" x14ac:dyDescent="0.25">
      <c r="A18717" t="s">
        <v>24</v>
      </c>
      <c r="B18717" t="s">
        <v>1123</v>
      </c>
      <c r="C18717" t="str">
        <f>"A0193715"</f>
        <v>A0193715</v>
      </c>
      <c r="D18717" t="s">
        <v>1124</v>
      </c>
      <c r="E18717" t="s">
        <v>1125</v>
      </c>
      <c r="F18717" t="s">
        <v>1126</v>
      </c>
      <c r="G18717" t="s">
        <v>381</v>
      </c>
      <c r="H18717">
        <v>46368</v>
      </c>
      <c r="I18717" t="s">
        <v>30</v>
      </c>
      <c r="J18717" t="s">
        <v>171</v>
      </c>
      <c r="K18717" t="s">
        <v>315</v>
      </c>
      <c r="N18717" t="s">
        <v>1127</v>
      </c>
      <c r="Q18717">
        <v>0</v>
      </c>
      <c r="R18717">
        <v>52</v>
      </c>
      <c r="S18717">
        <v>0</v>
      </c>
      <c r="T18717" t="s">
        <v>1128</v>
      </c>
    </row>
    <row r="18718" spans="1:25" x14ac:dyDescent="0.25">
      <c r="A18718" s="5" t="s">
        <v>24</v>
      </c>
      <c r="B18718" s="5" t="s">
        <v>1138</v>
      </c>
      <c r="C18718" s="5" t="str">
        <f>"A0148753"</f>
        <v>A0148753</v>
      </c>
      <c r="D18718" s="5" t="s">
        <v>1144</v>
      </c>
      <c r="E18718" s="5" t="s">
        <v>1145</v>
      </c>
      <c r="F18718" s="5" t="s">
        <v>1146</v>
      </c>
      <c r="G18718" s="5" t="s">
        <v>433</v>
      </c>
      <c r="H18718" s="5">
        <v>83814</v>
      </c>
      <c r="I18718" s="5" t="s">
        <v>30</v>
      </c>
      <c r="J18718" s="5" t="s">
        <v>171</v>
      </c>
      <c r="K18718" s="5" t="s">
        <v>1147</v>
      </c>
      <c r="L18718" s="5"/>
      <c r="M18718" s="5"/>
      <c r="N18718" s="5" t="s">
        <v>1148</v>
      </c>
      <c r="O18718" s="5" t="s">
        <v>1149</v>
      </c>
      <c r="P18718" s="5"/>
      <c r="Q18718" s="5">
        <v>0</v>
      </c>
      <c r="R18718" s="5">
        <v>96</v>
      </c>
      <c r="S18718" s="5">
        <v>0</v>
      </c>
      <c r="T18718" s="5" t="s">
        <v>1150</v>
      </c>
      <c r="U18718" s="5"/>
      <c r="V18718" s="5"/>
      <c r="W18718" s="5"/>
      <c r="X18718" s="5"/>
      <c r="Y18718" s="5"/>
    </row>
    <row r="18719" spans="1:25" customFormat="1" ht="15" x14ac:dyDescent="0.25">
      <c r="A18719" t="s">
        <v>24</v>
      </c>
      <c r="B18719" t="s">
        <v>57512</v>
      </c>
      <c r="C18719" t="str">
        <f>"A0075627"</f>
        <v>A0075627</v>
      </c>
      <c r="D18719" t="s">
        <v>68796</v>
      </c>
      <c r="E18719" t="s">
        <v>68797</v>
      </c>
      <c r="F18719" t="s">
        <v>3593</v>
      </c>
      <c r="G18719" t="s">
        <v>1706</v>
      </c>
      <c r="H18719">
        <v>36305</v>
      </c>
      <c r="I18719" t="s">
        <v>30</v>
      </c>
      <c r="J18719" t="s">
        <v>2415</v>
      </c>
      <c r="K18719" t="s">
        <v>179</v>
      </c>
      <c r="P18719" t="s">
        <v>6426</v>
      </c>
      <c r="Q18719">
        <v>4</v>
      </c>
      <c r="R18719">
        <v>0</v>
      </c>
      <c r="S18719">
        <v>0</v>
      </c>
      <c r="T18719" t="s">
        <v>68798</v>
      </c>
    </row>
    <row r="18720" spans="1:25" customFormat="1" ht="15" x14ac:dyDescent="0.25">
      <c r="A18720" t="s">
        <v>24</v>
      </c>
      <c r="B18720" t="s">
        <v>6667</v>
      </c>
      <c r="C18720" t="str">
        <f>"A0085897"</f>
        <v>A0085897</v>
      </c>
      <c r="D18720" t="s">
        <v>68799</v>
      </c>
      <c r="E18720" t="s">
        <v>68800</v>
      </c>
      <c r="F18720" t="s">
        <v>56870</v>
      </c>
      <c r="G18720" t="s">
        <v>137</v>
      </c>
      <c r="H18720">
        <v>63110</v>
      </c>
      <c r="I18720" t="s">
        <v>30</v>
      </c>
      <c r="J18720" t="s">
        <v>178</v>
      </c>
      <c r="K18720" t="s">
        <v>6667</v>
      </c>
      <c r="N18720" t="s">
        <v>68801</v>
      </c>
      <c r="Q18720">
        <v>0</v>
      </c>
      <c r="R18720">
        <v>0</v>
      </c>
      <c r="S18720">
        <v>0</v>
      </c>
      <c r="T18720" t="s">
        <v>68802</v>
      </c>
    </row>
    <row r="18721" spans="1:20" customFormat="1" ht="15" x14ac:dyDescent="0.25">
      <c r="A18721" t="s">
        <v>24</v>
      </c>
      <c r="B18721" t="s">
        <v>1138</v>
      </c>
      <c r="C18721" t="str">
        <f>"A0145423"</f>
        <v>A0145423</v>
      </c>
      <c r="D18721" t="s">
        <v>1151</v>
      </c>
      <c r="E18721" t="s">
        <v>1152</v>
      </c>
      <c r="F18721" t="s">
        <v>1153</v>
      </c>
      <c r="G18721" t="s">
        <v>110</v>
      </c>
      <c r="H18721">
        <v>94560</v>
      </c>
      <c r="I18721" t="s">
        <v>30</v>
      </c>
      <c r="J18721" t="s">
        <v>171</v>
      </c>
      <c r="K18721" t="s">
        <v>1147</v>
      </c>
      <c r="N18721" t="s">
        <v>1154</v>
      </c>
      <c r="Q18721">
        <v>0</v>
      </c>
      <c r="R18721">
        <v>104</v>
      </c>
      <c r="S18721">
        <v>0</v>
      </c>
      <c r="T18721" t="s">
        <v>1155</v>
      </c>
    </row>
    <row r="18722" spans="1:20" customFormat="1" ht="15" x14ac:dyDescent="0.25">
      <c r="A18722" t="s">
        <v>24</v>
      </c>
      <c r="B18722" t="s">
        <v>56967</v>
      </c>
      <c r="C18722" t="str">
        <f>"A0075610"</f>
        <v>A0075610</v>
      </c>
      <c r="D18722" t="s">
        <v>68807</v>
      </c>
      <c r="E18722" t="s">
        <v>68808</v>
      </c>
      <c r="F18722" t="s">
        <v>68809</v>
      </c>
      <c r="G18722" t="s">
        <v>110</v>
      </c>
      <c r="H18722">
        <v>95460</v>
      </c>
      <c r="I18722" t="s">
        <v>30</v>
      </c>
      <c r="J18722" t="s">
        <v>31</v>
      </c>
      <c r="K18722" t="s">
        <v>163</v>
      </c>
      <c r="N18722" t="s">
        <v>68810</v>
      </c>
      <c r="Q18722">
        <v>0</v>
      </c>
      <c r="R18722">
        <v>44</v>
      </c>
      <c r="S18722">
        <v>0</v>
      </c>
      <c r="T18722" t="s">
        <v>68811</v>
      </c>
    </row>
    <row r="18723" spans="1:20" customFormat="1" ht="15" x14ac:dyDescent="0.25">
      <c r="A18723" t="s">
        <v>24</v>
      </c>
      <c r="B18723" t="s">
        <v>2360</v>
      </c>
      <c r="C18723" t="str">
        <f>"CL1579"</f>
        <v>CL1579</v>
      </c>
      <c r="D18723" t="s">
        <v>68812</v>
      </c>
      <c r="E18723" t="s">
        <v>68813</v>
      </c>
      <c r="F18723" t="s">
        <v>372</v>
      </c>
      <c r="G18723" t="s">
        <v>52</v>
      </c>
      <c r="H18723">
        <v>78738</v>
      </c>
      <c r="I18723" t="s">
        <v>30</v>
      </c>
      <c r="J18723" t="s">
        <v>178</v>
      </c>
      <c r="K18723" t="s">
        <v>56092</v>
      </c>
      <c r="N18723" t="s">
        <v>68814</v>
      </c>
      <c r="O18723" t="s">
        <v>68815</v>
      </c>
      <c r="P18723" t="s">
        <v>992</v>
      </c>
      <c r="Q18723">
        <v>1</v>
      </c>
      <c r="R18723">
        <v>0</v>
      </c>
      <c r="S18723">
        <v>0</v>
      </c>
      <c r="T18723" t="s">
        <v>68816</v>
      </c>
    </row>
    <row r="18724" spans="1:20" customFormat="1" ht="15" x14ac:dyDescent="0.25">
      <c r="A18724" t="s">
        <v>24</v>
      </c>
      <c r="B18724" t="s">
        <v>2360</v>
      </c>
      <c r="C18724" t="str">
        <f>"A0078219"</f>
        <v>A0078219</v>
      </c>
      <c r="D18724" t="s">
        <v>68817</v>
      </c>
      <c r="E18724" t="s">
        <v>68818</v>
      </c>
      <c r="F18724" t="s">
        <v>372</v>
      </c>
      <c r="G18724" t="s">
        <v>52</v>
      </c>
      <c r="H18724">
        <v>78738</v>
      </c>
      <c r="I18724" t="s">
        <v>30</v>
      </c>
      <c r="J18724" t="s">
        <v>178</v>
      </c>
      <c r="K18724" t="s">
        <v>56092</v>
      </c>
      <c r="N18724" t="s">
        <v>68815</v>
      </c>
      <c r="Q18724">
        <v>1</v>
      </c>
      <c r="R18724">
        <v>0</v>
      </c>
      <c r="S18724">
        <v>0</v>
      </c>
      <c r="T18724" t="s">
        <v>68819</v>
      </c>
    </row>
    <row r="18725" spans="1:20" customFormat="1" ht="15" x14ac:dyDescent="0.25">
      <c r="A18725" t="s">
        <v>24</v>
      </c>
      <c r="B18725" t="s">
        <v>1156</v>
      </c>
      <c r="C18725" t="str">
        <f>"A0189899"</f>
        <v>A0189899</v>
      </c>
      <c r="D18725" t="s">
        <v>1157</v>
      </c>
      <c r="E18725" t="s">
        <v>1158</v>
      </c>
      <c r="F18725" t="s">
        <v>1159</v>
      </c>
      <c r="G18725" t="s">
        <v>58</v>
      </c>
      <c r="H18725">
        <v>29577</v>
      </c>
      <c r="I18725" t="s">
        <v>30</v>
      </c>
      <c r="J18725" t="s">
        <v>171</v>
      </c>
      <c r="K18725" t="s">
        <v>973</v>
      </c>
      <c r="N18725" t="s">
        <v>1160</v>
      </c>
      <c r="Q18725">
        <v>0</v>
      </c>
      <c r="R18725">
        <v>230</v>
      </c>
      <c r="S18725">
        <v>0</v>
      </c>
      <c r="T18725" t="s">
        <v>1161</v>
      </c>
    </row>
    <row r="18726" spans="1:20" customFormat="1" ht="15" x14ac:dyDescent="0.25">
      <c r="A18726" t="s">
        <v>24</v>
      </c>
      <c r="B18726" t="s">
        <v>1192</v>
      </c>
      <c r="C18726" t="str">
        <f>"A0154106"</f>
        <v>A0154106</v>
      </c>
      <c r="D18726" t="s">
        <v>1199</v>
      </c>
      <c r="E18726" t="s">
        <v>1200</v>
      </c>
      <c r="F18726" t="s">
        <v>1201</v>
      </c>
      <c r="G18726" t="s">
        <v>528</v>
      </c>
      <c r="H18726">
        <v>19801</v>
      </c>
      <c r="I18726" t="s">
        <v>30</v>
      </c>
      <c r="J18726" t="s">
        <v>171</v>
      </c>
      <c r="K18726" t="s">
        <v>1202</v>
      </c>
      <c r="N18726" t="s">
        <v>1203</v>
      </c>
      <c r="Q18726">
        <v>0</v>
      </c>
      <c r="R18726">
        <v>114</v>
      </c>
      <c r="S18726">
        <v>0</v>
      </c>
      <c r="T18726" t="s">
        <v>1204</v>
      </c>
    </row>
    <row r="18727" spans="1:20" customFormat="1" ht="15" x14ac:dyDescent="0.25">
      <c r="A18727" t="s">
        <v>24</v>
      </c>
      <c r="B18727" t="s">
        <v>1212</v>
      </c>
      <c r="C18727" t="str">
        <f>"A0191722"</f>
        <v>A0191722</v>
      </c>
      <c r="D18727" t="s">
        <v>1256</v>
      </c>
      <c r="E18727" t="s">
        <v>1257</v>
      </c>
      <c r="F18727" t="s">
        <v>1258</v>
      </c>
      <c r="G18727" t="s">
        <v>81</v>
      </c>
      <c r="H18727">
        <v>32118</v>
      </c>
      <c r="I18727" t="s">
        <v>30</v>
      </c>
      <c r="J18727" t="s">
        <v>171</v>
      </c>
      <c r="K18727" t="s">
        <v>1259</v>
      </c>
      <c r="N18727" t="s">
        <v>1260</v>
      </c>
      <c r="Q18727">
        <v>0</v>
      </c>
      <c r="R18727">
        <v>132</v>
      </c>
      <c r="S18727">
        <v>0</v>
      </c>
      <c r="T18727" t="s">
        <v>1261</v>
      </c>
    </row>
    <row r="18728" spans="1:20" customFormat="1" ht="15" x14ac:dyDescent="0.25">
      <c r="A18728" t="s">
        <v>24</v>
      </c>
      <c r="B18728" t="s">
        <v>1212</v>
      </c>
      <c r="C18728" t="str">
        <f>"311A3"</f>
        <v>311A3</v>
      </c>
      <c r="D18728" t="s">
        <v>1262</v>
      </c>
      <c r="E18728" t="s">
        <v>1263</v>
      </c>
      <c r="F18728" t="s">
        <v>1264</v>
      </c>
      <c r="G18728" t="s">
        <v>846</v>
      </c>
      <c r="H18728">
        <v>30084</v>
      </c>
      <c r="I18728" t="s">
        <v>30</v>
      </c>
      <c r="J18728" t="s">
        <v>171</v>
      </c>
      <c r="K18728" t="s">
        <v>973</v>
      </c>
      <c r="N18728" t="s">
        <v>1265</v>
      </c>
      <c r="O18728" t="s">
        <v>1266</v>
      </c>
      <c r="Q18728">
        <v>0</v>
      </c>
      <c r="R18728">
        <v>128</v>
      </c>
      <c r="S18728">
        <v>0</v>
      </c>
      <c r="T18728" t="s">
        <v>1267</v>
      </c>
    </row>
    <row r="18729" spans="1:20" customFormat="1" ht="15" x14ac:dyDescent="0.25">
      <c r="A18729" t="s">
        <v>24</v>
      </c>
      <c r="B18729" t="s">
        <v>1323</v>
      </c>
      <c r="C18729" t="str">
        <f>"A0193701"</f>
        <v>A0193701</v>
      </c>
      <c r="D18729" t="s">
        <v>1329</v>
      </c>
      <c r="E18729" t="s">
        <v>1330</v>
      </c>
      <c r="F18729" t="s">
        <v>1326</v>
      </c>
      <c r="G18729" t="s">
        <v>81</v>
      </c>
      <c r="H18729">
        <v>34470</v>
      </c>
      <c r="I18729" t="s">
        <v>30</v>
      </c>
      <c r="J18729" t="s">
        <v>171</v>
      </c>
      <c r="K18729" t="s">
        <v>1331</v>
      </c>
      <c r="N18729" t="s">
        <v>1332</v>
      </c>
      <c r="Q18729">
        <v>0</v>
      </c>
      <c r="R18729">
        <v>107</v>
      </c>
      <c r="S18729">
        <v>0</v>
      </c>
      <c r="T18729" t="s">
        <v>1333</v>
      </c>
    </row>
    <row r="18730" spans="1:20" customFormat="1" ht="15" x14ac:dyDescent="0.25">
      <c r="A18730" t="s">
        <v>24</v>
      </c>
      <c r="B18730" t="s">
        <v>1323</v>
      </c>
      <c r="C18730" t="str">
        <f>"A0087683"</f>
        <v>A0087683</v>
      </c>
      <c r="D18730" t="s">
        <v>1344</v>
      </c>
      <c r="E18730" t="s">
        <v>1345</v>
      </c>
      <c r="F18730" t="s">
        <v>1346</v>
      </c>
      <c r="G18730" t="s">
        <v>880</v>
      </c>
      <c r="H18730">
        <v>37402</v>
      </c>
      <c r="I18730" t="s">
        <v>30</v>
      </c>
      <c r="J18730" t="s">
        <v>171</v>
      </c>
      <c r="K18730" t="s">
        <v>1147</v>
      </c>
      <c r="N18730" t="s">
        <v>1347</v>
      </c>
      <c r="Q18730">
        <v>0</v>
      </c>
      <c r="R18730">
        <v>124</v>
      </c>
      <c r="S18730">
        <v>0</v>
      </c>
      <c r="T18730" t="s">
        <v>1348</v>
      </c>
    </row>
    <row r="18731" spans="1:20" customFormat="1" ht="15" x14ac:dyDescent="0.25">
      <c r="A18731" t="s">
        <v>24</v>
      </c>
      <c r="B18731" t="s">
        <v>1446</v>
      </c>
      <c r="C18731" t="str">
        <f>"A0166493"</f>
        <v>A0166493</v>
      </c>
      <c r="D18731" t="s">
        <v>1447</v>
      </c>
      <c r="E18731" t="s">
        <v>1448</v>
      </c>
      <c r="F18731" t="s">
        <v>1449</v>
      </c>
      <c r="G18731" t="s">
        <v>85</v>
      </c>
      <c r="H18731">
        <v>72401</v>
      </c>
      <c r="I18731" t="s">
        <v>30</v>
      </c>
      <c r="J18731" t="s">
        <v>171</v>
      </c>
      <c r="K18731" t="s">
        <v>1450</v>
      </c>
      <c r="N18731" t="s">
        <v>1451</v>
      </c>
      <c r="Q18731">
        <v>0</v>
      </c>
      <c r="R18731">
        <v>100</v>
      </c>
      <c r="S18731">
        <v>0</v>
      </c>
      <c r="T18731" t="s">
        <v>1452</v>
      </c>
    </row>
    <row r="18732" spans="1:20" customFormat="1" ht="15" x14ac:dyDescent="0.25">
      <c r="A18732" t="s">
        <v>24</v>
      </c>
      <c r="B18732" t="s">
        <v>257</v>
      </c>
      <c r="C18732" t="str">
        <f>"A0193625"</f>
        <v>A0193625</v>
      </c>
      <c r="D18732" t="s">
        <v>1505</v>
      </c>
      <c r="E18732" t="s">
        <v>1506</v>
      </c>
      <c r="F18732" t="s">
        <v>1507</v>
      </c>
      <c r="G18732" t="s">
        <v>1508</v>
      </c>
      <c r="H18732">
        <v>82601</v>
      </c>
      <c r="I18732" t="s">
        <v>30</v>
      </c>
      <c r="J18732" t="s">
        <v>171</v>
      </c>
      <c r="K18732" t="s">
        <v>1331</v>
      </c>
      <c r="N18732" t="s">
        <v>1509</v>
      </c>
      <c r="Q18732">
        <v>0</v>
      </c>
      <c r="R18732">
        <v>121</v>
      </c>
      <c r="S18732">
        <v>0</v>
      </c>
      <c r="T18732" t="s">
        <v>1510</v>
      </c>
    </row>
    <row r="18733" spans="1:20" customFormat="1" ht="15" x14ac:dyDescent="0.25">
      <c r="A18733" t="s">
        <v>24</v>
      </c>
      <c r="B18733" t="s">
        <v>1317</v>
      </c>
      <c r="C18733" t="str">
        <f>"A0188280"</f>
        <v>A0188280</v>
      </c>
      <c r="D18733" t="s">
        <v>1511</v>
      </c>
      <c r="E18733" t="s">
        <v>1512</v>
      </c>
      <c r="F18733" t="s">
        <v>1513</v>
      </c>
      <c r="G18733" t="s">
        <v>197</v>
      </c>
      <c r="H18733">
        <v>86001</v>
      </c>
      <c r="I18733" t="s">
        <v>30</v>
      </c>
      <c r="J18733" t="s">
        <v>171</v>
      </c>
      <c r="K18733" t="s">
        <v>1202</v>
      </c>
      <c r="N18733" t="s">
        <v>1514</v>
      </c>
      <c r="Q18733">
        <v>0</v>
      </c>
      <c r="R18733">
        <v>93</v>
      </c>
      <c r="S18733">
        <v>0</v>
      </c>
      <c r="T18733" t="s">
        <v>1515</v>
      </c>
    </row>
    <row r="18734" spans="1:20" customFormat="1" ht="15" x14ac:dyDescent="0.25">
      <c r="A18734" t="s">
        <v>24</v>
      </c>
      <c r="B18734" t="s">
        <v>1528</v>
      </c>
      <c r="C18734" t="str">
        <f>"A0193642"</f>
        <v>A0193642</v>
      </c>
      <c r="D18734" t="s">
        <v>1529</v>
      </c>
      <c r="E18734" t="s">
        <v>1530</v>
      </c>
      <c r="F18734" t="s">
        <v>1531</v>
      </c>
      <c r="G18734" t="s">
        <v>76</v>
      </c>
      <c r="H18734">
        <v>98225</v>
      </c>
      <c r="I18734" t="s">
        <v>30</v>
      </c>
      <c r="J18734" t="s">
        <v>171</v>
      </c>
      <c r="K18734" t="s">
        <v>163</v>
      </c>
      <c r="N18734" t="s">
        <v>1532</v>
      </c>
      <c r="Q18734">
        <v>0</v>
      </c>
      <c r="R18734">
        <v>40</v>
      </c>
      <c r="S18734">
        <v>0</v>
      </c>
      <c r="T18734" t="s">
        <v>1533</v>
      </c>
    </row>
    <row r="18735" spans="1:20" customFormat="1" ht="15" x14ac:dyDescent="0.25">
      <c r="A18735" t="s">
        <v>24</v>
      </c>
      <c r="B18735" t="s">
        <v>1528</v>
      </c>
      <c r="C18735" t="str">
        <f>"A0193641"</f>
        <v>A0193641</v>
      </c>
      <c r="D18735" t="s">
        <v>1534</v>
      </c>
      <c r="E18735" t="s">
        <v>1535</v>
      </c>
      <c r="F18735" t="s">
        <v>1536</v>
      </c>
      <c r="G18735" t="s">
        <v>76</v>
      </c>
      <c r="H18735">
        <v>98225</v>
      </c>
      <c r="I18735" t="s">
        <v>30</v>
      </c>
      <c r="J18735" t="s">
        <v>171</v>
      </c>
      <c r="K18735" t="s">
        <v>163</v>
      </c>
      <c r="N18735" t="s">
        <v>1537</v>
      </c>
      <c r="Q18735">
        <v>0</v>
      </c>
      <c r="R18735">
        <v>17</v>
      </c>
      <c r="S18735">
        <v>0</v>
      </c>
      <c r="T18735" t="s">
        <v>1538</v>
      </c>
    </row>
    <row r="18736" spans="1:20" customFormat="1" ht="15" x14ac:dyDescent="0.25">
      <c r="A18736" t="s">
        <v>24</v>
      </c>
      <c r="B18736" t="s">
        <v>1583</v>
      </c>
      <c r="C18736" t="str">
        <f>"A0078459"</f>
        <v>A0078459</v>
      </c>
      <c r="D18736" t="s">
        <v>1584</v>
      </c>
      <c r="E18736" t="s">
        <v>1585</v>
      </c>
      <c r="F18736" t="s">
        <v>1586</v>
      </c>
      <c r="G18736" t="s">
        <v>1587</v>
      </c>
      <c r="H18736">
        <v>87501</v>
      </c>
      <c r="I18736" t="s">
        <v>30</v>
      </c>
      <c r="J18736" t="s">
        <v>171</v>
      </c>
      <c r="K18736" t="s">
        <v>163</v>
      </c>
      <c r="N18736" t="s">
        <v>1588</v>
      </c>
      <c r="Q18736">
        <v>0</v>
      </c>
      <c r="R18736">
        <v>20</v>
      </c>
      <c r="S18736">
        <v>0</v>
      </c>
      <c r="T18736" t="s">
        <v>1589</v>
      </c>
    </row>
    <row r="18737" spans="1:20" customFormat="1" ht="15" x14ac:dyDescent="0.25">
      <c r="A18737" t="s">
        <v>24</v>
      </c>
      <c r="B18737" t="s">
        <v>257</v>
      </c>
      <c r="C18737" t="str">
        <f>"A0158289"</f>
        <v>A0158289</v>
      </c>
      <c r="D18737" t="s">
        <v>1595</v>
      </c>
      <c r="E18737" t="s">
        <v>1596</v>
      </c>
      <c r="F18737" t="s">
        <v>1592</v>
      </c>
      <c r="G18737" t="s">
        <v>197</v>
      </c>
      <c r="H18737">
        <v>85283</v>
      </c>
      <c r="I18737" t="s">
        <v>30</v>
      </c>
      <c r="J18737" t="s">
        <v>171</v>
      </c>
      <c r="K18737" t="s">
        <v>1331</v>
      </c>
      <c r="N18737" t="s">
        <v>1593</v>
      </c>
      <c r="Q18737">
        <v>0</v>
      </c>
      <c r="R18737">
        <v>120</v>
      </c>
      <c r="S18737">
        <v>0</v>
      </c>
      <c r="T18737" t="s">
        <v>1597</v>
      </c>
    </row>
    <row r="18738" spans="1:20" customFormat="1" ht="15" x14ac:dyDescent="0.25">
      <c r="A18738" t="s">
        <v>24</v>
      </c>
      <c r="B18738" t="s">
        <v>1801</v>
      </c>
      <c r="C18738" t="str">
        <f>"A0192212"</f>
        <v>A0192212</v>
      </c>
      <c r="D18738" t="s">
        <v>1802</v>
      </c>
      <c r="E18738" t="s">
        <v>1803</v>
      </c>
      <c r="F18738" t="s">
        <v>1804</v>
      </c>
      <c r="G18738" t="s">
        <v>65</v>
      </c>
      <c r="H18738">
        <v>45895</v>
      </c>
      <c r="I18738" t="s">
        <v>30</v>
      </c>
      <c r="J18738" t="s">
        <v>171</v>
      </c>
      <c r="K18738" t="s">
        <v>1259</v>
      </c>
      <c r="N18738" t="s">
        <v>1805</v>
      </c>
      <c r="Q18738">
        <v>0</v>
      </c>
      <c r="R18738">
        <v>54</v>
      </c>
      <c r="S18738">
        <v>0</v>
      </c>
      <c r="T18738" t="s">
        <v>1806</v>
      </c>
    </row>
    <row r="18739" spans="1:20" customFormat="1" ht="15" x14ac:dyDescent="0.25">
      <c r="A18739" t="s">
        <v>24</v>
      </c>
      <c r="B18739" t="s">
        <v>1801</v>
      </c>
      <c r="C18739" t="str">
        <f>"A0192210"</f>
        <v>A0192210</v>
      </c>
      <c r="D18739" t="s">
        <v>1817</v>
      </c>
      <c r="E18739" t="s">
        <v>1818</v>
      </c>
      <c r="F18739" t="s">
        <v>1819</v>
      </c>
      <c r="G18739" t="s">
        <v>65</v>
      </c>
      <c r="H18739">
        <v>45822</v>
      </c>
      <c r="I18739" t="s">
        <v>30</v>
      </c>
      <c r="J18739" t="s">
        <v>171</v>
      </c>
      <c r="K18739" t="s">
        <v>1259</v>
      </c>
      <c r="N18739" t="s">
        <v>1820</v>
      </c>
      <c r="Q18739">
        <v>0</v>
      </c>
      <c r="R18739">
        <v>53</v>
      </c>
      <c r="S18739">
        <v>0</v>
      </c>
      <c r="T18739" t="s">
        <v>1821</v>
      </c>
    </row>
    <row r="18740" spans="1:20" customFormat="1" ht="15" x14ac:dyDescent="0.25">
      <c r="A18740" t="s">
        <v>24</v>
      </c>
      <c r="B18740" t="s">
        <v>1801</v>
      </c>
      <c r="C18740" t="str">
        <f>"A0058523"</f>
        <v>A0058523</v>
      </c>
      <c r="D18740" t="s">
        <v>1827</v>
      </c>
      <c r="E18740" t="s">
        <v>1828</v>
      </c>
      <c r="F18740" t="s">
        <v>1525</v>
      </c>
      <c r="G18740" t="s">
        <v>65</v>
      </c>
      <c r="H18740">
        <v>43235</v>
      </c>
      <c r="I18740" t="s">
        <v>30</v>
      </c>
      <c r="J18740" t="s">
        <v>171</v>
      </c>
      <c r="K18740" t="s">
        <v>1202</v>
      </c>
      <c r="N18740" t="s">
        <v>1829</v>
      </c>
      <c r="Q18740">
        <v>0</v>
      </c>
      <c r="R18740">
        <v>124</v>
      </c>
      <c r="S18740">
        <v>0</v>
      </c>
      <c r="T18740" t="s">
        <v>1830</v>
      </c>
    </row>
    <row r="18741" spans="1:20" customFormat="1" ht="15" x14ac:dyDescent="0.25">
      <c r="A18741" t="s">
        <v>24</v>
      </c>
      <c r="B18741" t="s">
        <v>1855</v>
      </c>
      <c r="C18741" t="str">
        <f>"A0188452"</f>
        <v>A0188452</v>
      </c>
      <c r="D18741" t="s">
        <v>1856</v>
      </c>
      <c r="E18741" t="s">
        <v>1857</v>
      </c>
      <c r="F18741" t="s">
        <v>1858</v>
      </c>
      <c r="G18741" t="s">
        <v>190</v>
      </c>
      <c r="H18741">
        <v>80916</v>
      </c>
      <c r="I18741" t="s">
        <v>30</v>
      </c>
      <c r="J18741" t="s">
        <v>171</v>
      </c>
      <c r="K18741" t="s">
        <v>973</v>
      </c>
      <c r="N18741" t="s">
        <v>1859</v>
      </c>
      <c r="O18741" t="s">
        <v>1860</v>
      </c>
      <c r="Q18741">
        <v>0</v>
      </c>
      <c r="R18741">
        <v>126</v>
      </c>
      <c r="S18741">
        <v>0</v>
      </c>
      <c r="T18741" t="s">
        <v>1861</v>
      </c>
    </row>
    <row r="18742" spans="1:20" customFormat="1" ht="15" x14ac:dyDescent="0.25">
      <c r="A18742" t="s">
        <v>24</v>
      </c>
      <c r="B18742" t="s">
        <v>675</v>
      </c>
      <c r="C18742" t="str">
        <f>"A0146960"</f>
        <v>A0146960</v>
      </c>
      <c r="D18742" t="s">
        <v>1881</v>
      </c>
      <c r="E18742" t="s">
        <v>1882</v>
      </c>
      <c r="F18742" t="s">
        <v>1883</v>
      </c>
      <c r="G18742" t="s">
        <v>846</v>
      </c>
      <c r="H18742">
        <v>30009</v>
      </c>
      <c r="I18742" t="s">
        <v>30</v>
      </c>
      <c r="J18742" t="s">
        <v>171</v>
      </c>
      <c r="K18742" t="s">
        <v>973</v>
      </c>
      <c r="N18742" t="s">
        <v>1884</v>
      </c>
      <c r="Q18742">
        <v>0</v>
      </c>
      <c r="R18742">
        <v>115</v>
      </c>
      <c r="S18742">
        <v>0</v>
      </c>
      <c r="T18742" t="s">
        <v>1885</v>
      </c>
    </row>
    <row r="18743" spans="1:20" customFormat="1" ht="15" x14ac:dyDescent="0.25">
      <c r="A18743" t="s">
        <v>24</v>
      </c>
      <c r="B18743" t="s">
        <v>2005</v>
      </c>
      <c r="C18743" t="str">
        <f>"A0190405"</f>
        <v>A0190405</v>
      </c>
      <c r="D18743" t="s">
        <v>2006</v>
      </c>
      <c r="E18743" t="s">
        <v>2007</v>
      </c>
      <c r="F18743" t="s">
        <v>2008</v>
      </c>
      <c r="G18743" t="s">
        <v>880</v>
      </c>
      <c r="H18743">
        <v>37863</v>
      </c>
      <c r="I18743" t="s">
        <v>30</v>
      </c>
      <c r="J18743" t="s">
        <v>171</v>
      </c>
      <c r="K18743" t="s">
        <v>1450</v>
      </c>
      <c r="N18743" t="s">
        <v>2009</v>
      </c>
      <c r="Q18743">
        <v>0</v>
      </c>
      <c r="R18743">
        <v>132</v>
      </c>
      <c r="S18743">
        <v>0</v>
      </c>
      <c r="T18743" t="s">
        <v>2010</v>
      </c>
    </row>
    <row r="18744" spans="1:20" customFormat="1" ht="15" x14ac:dyDescent="0.25">
      <c r="A18744" t="s">
        <v>24</v>
      </c>
      <c r="B18744" t="s">
        <v>140</v>
      </c>
      <c r="C18744" t="str">
        <f>"A0092166"</f>
        <v>A0092166</v>
      </c>
      <c r="D18744" t="s">
        <v>2024</v>
      </c>
      <c r="E18744" t="s">
        <v>2025</v>
      </c>
      <c r="F18744" t="s">
        <v>2026</v>
      </c>
      <c r="G18744" t="s">
        <v>52</v>
      </c>
      <c r="H18744">
        <v>77802</v>
      </c>
      <c r="I18744" t="s">
        <v>30</v>
      </c>
      <c r="J18744" t="s">
        <v>171</v>
      </c>
      <c r="K18744" t="s">
        <v>1331</v>
      </c>
      <c r="N18744" t="s">
        <v>2027</v>
      </c>
      <c r="O18744" t="s">
        <v>2028</v>
      </c>
      <c r="Q18744">
        <v>0</v>
      </c>
      <c r="R18744">
        <v>121</v>
      </c>
      <c r="S18744">
        <v>0</v>
      </c>
      <c r="T18744" t="s">
        <v>2029</v>
      </c>
    </row>
    <row r="18745" spans="1:20" customFormat="1" ht="15" x14ac:dyDescent="0.25">
      <c r="A18745" t="s">
        <v>24</v>
      </c>
      <c r="B18745" t="s">
        <v>2048</v>
      </c>
      <c r="C18745" t="str">
        <f>"A0089559"</f>
        <v>A0089559</v>
      </c>
      <c r="D18745" t="s">
        <v>2049</v>
      </c>
      <c r="E18745" t="s">
        <v>2050</v>
      </c>
      <c r="F18745" t="s">
        <v>2051</v>
      </c>
      <c r="G18745" t="s">
        <v>161</v>
      </c>
      <c r="H18745">
        <v>55811</v>
      </c>
      <c r="I18745" t="s">
        <v>30</v>
      </c>
      <c r="J18745" t="s">
        <v>171</v>
      </c>
      <c r="K18745" t="s">
        <v>1450</v>
      </c>
      <c r="N18745" t="s">
        <v>2052</v>
      </c>
      <c r="O18745" t="s">
        <v>2053</v>
      </c>
      <c r="Q18745">
        <v>0</v>
      </c>
      <c r="R18745">
        <v>92</v>
      </c>
      <c r="S18745">
        <v>0</v>
      </c>
      <c r="T18745" t="s">
        <v>2054</v>
      </c>
    </row>
    <row r="18746" spans="1:20" customFormat="1" ht="15" x14ac:dyDescent="0.25">
      <c r="A18746" t="s">
        <v>24</v>
      </c>
      <c r="B18746" t="s">
        <v>140</v>
      </c>
      <c r="C18746" t="str">
        <f>"A0092183"</f>
        <v>A0092183</v>
      </c>
      <c r="D18746" t="s">
        <v>2055</v>
      </c>
      <c r="E18746" t="s">
        <v>2056</v>
      </c>
      <c r="F18746" t="s">
        <v>2057</v>
      </c>
      <c r="G18746" t="s">
        <v>52</v>
      </c>
      <c r="H18746">
        <v>79706</v>
      </c>
      <c r="I18746" t="s">
        <v>30</v>
      </c>
      <c r="J18746" t="s">
        <v>171</v>
      </c>
      <c r="K18746" t="s">
        <v>1023</v>
      </c>
      <c r="N18746" t="s">
        <v>2058</v>
      </c>
      <c r="O18746" t="s">
        <v>2059</v>
      </c>
      <c r="Q18746">
        <v>0</v>
      </c>
      <c r="R18746">
        <v>118</v>
      </c>
      <c r="S18746">
        <v>0</v>
      </c>
      <c r="T18746" t="s">
        <v>2060</v>
      </c>
    </row>
    <row r="18747" spans="1:20" customFormat="1" ht="15" x14ac:dyDescent="0.25">
      <c r="A18747" t="s">
        <v>24</v>
      </c>
      <c r="B18747" t="s">
        <v>140</v>
      </c>
      <c r="C18747" t="str">
        <f>"A0145909"</f>
        <v>A0145909</v>
      </c>
      <c r="D18747" t="s">
        <v>2075</v>
      </c>
      <c r="E18747" t="s">
        <v>2076</v>
      </c>
      <c r="F18747" t="s">
        <v>1564</v>
      </c>
      <c r="G18747" t="s">
        <v>52</v>
      </c>
      <c r="H18747">
        <v>77002</v>
      </c>
      <c r="I18747" t="s">
        <v>30</v>
      </c>
      <c r="J18747" t="s">
        <v>171</v>
      </c>
      <c r="K18747" t="s">
        <v>2077</v>
      </c>
      <c r="N18747" t="s">
        <v>2078</v>
      </c>
      <c r="O18747" t="s">
        <v>2079</v>
      </c>
      <c r="Q18747">
        <v>0</v>
      </c>
      <c r="R18747">
        <v>185</v>
      </c>
      <c r="S18747">
        <v>0</v>
      </c>
      <c r="T18747" t="s">
        <v>2080</v>
      </c>
    </row>
    <row r="18748" spans="1:20" customFormat="1" ht="15" x14ac:dyDescent="0.25">
      <c r="A18748" t="s">
        <v>24</v>
      </c>
      <c r="B18748" t="s">
        <v>140</v>
      </c>
      <c r="C18748" t="str">
        <f>"A0144072"</f>
        <v>A0144072</v>
      </c>
      <c r="D18748" t="s">
        <v>2081</v>
      </c>
      <c r="E18748" t="s">
        <v>2082</v>
      </c>
      <c r="F18748" t="s">
        <v>2083</v>
      </c>
      <c r="G18748" t="s">
        <v>52</v>
      </c>
      <c r="H18748">
        <v>75034</v>
      </c>
      <c r="I18748" t="s">
        <v>30</v>
      </c>
      <c r="J18748" t="s">
        <v>171</v>
      </c>
      <c r="K18748" t="s">
        <v>2077</v>
      </c>
      <c r="N18748" t="s">
        <v>2084</v>
      </c>
      <c r="O18748" t="s">
        <v>2085</v>
      </c>
      <c r="Q18748">
        <v>0</v>
      </c>
      <c r="R18748">
        <v>150</v>
      </c>
      <c r="S18748">
        <v>0</v>
      </c>
      <c r="T18748" t="s">
        <v>2086</v>
      </c>
    </row>
    <row r="18749" spans="1:20" customFormat="1" ht="15" x14ac:dyDescent="0.25">
      <c r="A18749" t="s">
        <v>24</v>
      </c>
      <c r="B18749" t="s">
        <v>140</v>
      </c>
      <c r="C18749" t="str">
        <f>"A0097810"</f>
        <v>A0097810</v>
      </c>
      <c r="D18749" t="s">
        <v>2087</v>
      </c>
      <c r="E18749" t="s">
        <v>2088</v>
      </c>
      <c r="F18749" t="s">
        <v>866</v>
      </c>
      <c r="G18749" t="s">
        <v>40</v>
      </c>
      <c r="H18749">
        <v>73104</v>
      </c>
      <c r="I18749" t="s">
        <v>30</v>
      </c>
      <c r="J18749" t="s">
        <v>171</v>
      </c>
      <c r="K18749" t="s">
        <v>2077</v>
      </c>
      <c r="N18749" t="s">
        <v>2089</v>
      </c>
      <c r="O18749" t="s">
        <v>2090</v>
      </c>
      <c r="Q18749">
        <v>0</v>
      </c>
      <c r="R18749">
        <v>142</v>
      </c>
      <c r="S18749">
        <v>0</v>
      </c>
      <c r="T18749" t="s">
        <v>2091</v>
      </c>
    </row>
    <row r="18750" spans="1:20" customFormat="1" ht="15" x14ac:dyDescent="0.25">
      <c r="A18750" t="s">
        <v>24</v>
      </c>
      <c r="B18750" t="s">
        <v>140</v>
      </c>
      <c r="C18750" t="str">
        <f>"A0094978"</f>
        <v>A0094978</v>
      </c>
      <c r="D18750" t="s">
        <v>2092</v>
      </c>
      <c r="E18750" t="s">
        <v>2093</v>
      </c>
      <c r="F18750" t="s">
        <v>2094</v>
      </c>
      <c r="G18750" t="s">
        <v>52</v>
      </c>
      <c r="H18750">
        <v>75201</v>
      </c>
      <c r="I18750" t="s">
        <v>30</v>
      </c>
      <c r="J18750" t="s">
        <v>171</v>
      </c>
      <c r="K18750" t="s">
        <v>2077</v>
      </c>
      <c r="N18750" t="s">
        <v>2095</v>
      </c>
      <c r="O18750" t="s">
        <v>2096</v>
      </c>
      <c r="Q18750">
        <v>0</v>
      </c>
      <c r="R18750">
        <v>128</v>
      </c>
      <c r="S18750">
        <v>0</v>
      </c>
      <c r="T18750" t="s">
        <v>2097</v>
      </c>
    </row>
    <row r="18751" spans="1:20" customFormat="1" ht="15" x14ac:dyDescent="0.25">
      <c r="A18751" t="s">
        <v>24</v>
      </c>
      <c r="B18751" t="s">
        <v>140</v>
      </c>
      <c r="C18751" t="str">
        <f>"A0146737"</f>
        <v>A0146737</v>
      </c>
      <c r="D18751" t="s">
        <v>2098</v>
      </c>
      <c r="E18751" t="s">
        <v>2082</v>
      </c>
      <c r="F18751" t="s">
        <v>2083</v>
      </c>
      <c r="G18751" t="s">
        <v>52</v>
      </c>
      <c r="H18751">
        <v>75034</v>
      </c>
      <c r="I18751" t="s">
        <v>30</v>
      </c>
      <c r="J18751" t="s">
        <v>171</v>
      </c>
      <c r="K18751" t="s">
        <v>1450</v>
      </c>
      <c r="N18751" t="s">
        <v>2085</v>
      </c>
      <c r="Q18751">
        <v>0</v>
      </c>
      <c r="R18751">
        <v>150</v>
      </c>
      <c r="S18751">
        <v>0</v>
      </c>
      <c r="T18751" t="s">
        <v>2099</v>
      </c>
    </row>
    <row r="18752" spans="1:20" customFormat="1" ht="15" x14ac:dyDescent="0.25">
      <c r="A18752" t="s">
        <v>24</v>
      </c>
      <c r="B18752" t="s">
        <v>140</v>
      </c>
      <c r="C18752" t="str">
        <f>"A0094979"</f>
        <v>A0094979</v>
      </c>
      <c r="D18752" t="s">
        <v>2100</v>
      </c>
      <c r="E18752" t="s">
        <v>2093</v>
      </c>
      <c r="F18752" t="s">
        <v>2094</v>
      </c>
      <c r="G18752" t="s">
        <v>52</v>
      </c>
      <c r="H18752">
        <v>75201</v>
      </c>
      <c r="I18752" t="s">
        <v>30</v>
      </c>
      <c r="J18752" t="s">
        <v>171</v>
      </c>
      <c r="K18752" t="s">
        <v>1450</v>
      </c>
      <c r="N18752" t="s">
        <v>2101</v>
      </c>
      <c r="O18752" t="s">
        <v>2096</v>
      </c>
      <c r="Q18752">
        <v>0</v>
      </c>
      <c r="R18752">
        <v>121</v>
      </c>
      <c r="S18752">
        <v>0</v>
      </c>
      <c r="T18752" t="s">
        <v>2102</v>
      </c>
    </row>
    <row r="18753" spans="1:20" customFormat="1" ht="15" x14ac:dyDescent="0.25">
      <c r="A18753" t="s">
        <v>24</v>
      </c>
      <c r="B18753" t="s">
        <v>140</v>
      </c>
      <c r="C18753" t="str">
        <f>"A0093240"</f>
        <v>A0093240</v>
      </c>
      <c r="D18753" t="s">
        <v>2103</v>
      </c>
      <c r="E18753" t="s">
        <v>2104</v>
      </c>
      <c r="F18753" t="s">
        <v>1877</v>
      </c>
      <c r="G18753" t="s">
        <v>52</v>
      </c>
      <c r="H18753">
        <v>75703</v>
      </c>
      <c r="I18753" t="s">
        <v>30</v>
      </c>
      <c r="J18753" t="s">
        <v>171</v>
      </c>
      <c r="K18753" t="s">
        <v>1450</v>
      </c>
      <c r="N18753" t="s">
        <v>2105</v>
      </c>
      <c r="O18753" t="s">
        <v>2106</v>
      </c>
      <c r="Q18753">
        <v>0</v>
      </c>
      <c r="R18753">
        <v>119</v>
      </c>
      <c r="S18753">
        <v>0</v>
      </c>
      <c r="T18753" t="s">
        <v>2107</v>
      </c>
    </row>
    <row r="18754" spans="1:20" customFormat="1" ht="15" x14ac:dyDescent="0.25">
      <c r="A18754" t="s">
        <v>24</v>
      </c>
      <c r="B18754" t="s">
        <v>140</v>
      </c>
      <c r="C18754" t="str">
        <f>"A0098512"</f>
        <v>A0098512</v>
      </c>
      <c r="D18754" t="s">
        <v>2113</v>
      </c>
      <c r="E18754" t="s">
        <v>2114</v>
      </c>
      <c r="F18754" t="s">
        <v>866</v>
      </c>
      <c r="G18754" t="s">
        <v>40</v>
      </c>
      <c r="H18754">
        <v>73104</v>
      </c>
      <c r="I18754" t="s">
        <v>30</v>
      </c>
      <c r="J18754" t="s">
        <v>171</v>
      </c>
      <c r="K18754" t="s">
        <v>1202</v>
      </c>
      <c r="N18754" t="s">
        <v>2115</v>
      </c>
      <c r="O18754" t="s">
        <v>2116</v>
      </c>
      <c r="Q18754">
        <v>0</v>
      </c>
      <c r="R18754">
        <v>134</v>
      </c>
      <c r="S18754">
        <v>0</v>
      </c>
      <c r="T18754" t="s">
        <v>2117</v>
      </c>
    </row>
    <row r="18755" spans="1:20" customFormat="1" ht="15" x14ac:dyDescent="0.25">
      <c r="A18755" t="s">
        <v>24</v>
      </c>
      <c r="B18755" t="s">
        <v>140</v>
      </c>
      <c r="C18755" t="str">
        <f>"A0094976"</f>
        <v>A0094976</v>
      </c>
      <c r="D18755" t="s">
        <v>2118</v>
      </c>
      <c r="E18755" t="s">
        <v>2119</v>
      </c>
      <c r="F18755" t="s">
        <v>2120</v>
      </c>
      <c r="G18755" t="s">
        <v>52</v>
      </c>
      <c r="H18755">
        <v>79401</v>
      </c>
      <c r="I18755" t="s">
        <v>30</v>
      </c>
      <c r="J18755" t="s">
        <v>171</v>
      </c>
      <c r="K18755" t="s">
        <v>1202</v>
      </c>
      <c r="N18755" t="s">
        <v>2121</v>
      </c>
      <c r="Q18755">
        <v>0</v>
      </c>
      <c r="R18755">
        <v>125</v>
      </c>
      <c r="S18755">
        <v>0</v>
      </c>
      <c r="T18755" t="s">
        <v>2122</v>
      </c>
    </row>
    <row r="18756" spans="1:20" customFormat="1" ht="15" x14ac:dyDescent="0.25">
      <c r="A18756" t="s">
        <v>24</v>
      </c>
      <c r="B18756" t="s">
        <v>140</v>
      </c>
      <c r="C18756" t="str">
        <f>"A0091970"</f>
        <v>A0091970</v>
      </c>
      <c r="D18756" t="s">
        <v>2123</v>
      </c>
      <c r="E18756" t="s">
        <v>2109</v>
      </c>
      <c r="F18756" t="s">
        <v>2110</v>
      </c>
      <c r="G18756" t="s">
        <v>52</v>
      </c>
      <c r="H18756">
        <v>76051</v>
      </c>
      <c r="I18756" t="s">
        <v>30</v>
      </c>
      <c r="J18756" t="s">
        <v>171</v>
      </c>
      <c r="K18756" t="s">
        <v>973</v>
      </c>
      <c r="N18756" t="s">
        <v>2111</v>
      </c>
      <c r="O18756" t="s">
        <v>2124</v>
      </c>
      <c r="Q18756">
        <v>0</v>
      </c>
      <c r="R18756">
        <v>180</v>
      </c>
      <c r="S18756">
        <v>0</v>
      </c>
      <c r="T18756" t="s">
        <v>2125</v>
      </c>
    </row>
    <row r="18757" spans="1:20" customFormat="1" ht="15" x14ac:dyDescent="0.25">
      <c r="A18757" t="s">
        <v>24</v>
      </c>
      <c r="B18757" t="s">
        <v>140</v>
      </c>
      <c r="C18757" t="str">
        <f>"A0074447"</f>
        <v>A0074447</v>
      </c>
      <c r="D18757" t="s">
        <v>2126</v>
      </c>
      <c r="E18757" t="s">
        <v>2127</v>
      </c>
      <c r="F18757" t="s">
        <v>2128</v>
      </c>
      <c r="G18757" t="s">
        <v>52</v>
      </c>
      <c r="H18757">
        <v>75093</v>
      </c>
      <c r="I18757" t="s">
        <v>30</v>
      </c>
      <c r="J18757" t="s">
        <v>171</v>
      </c>
      <c r="K18757" t="s">
        <v>1202</v>
      </c>
      <c r="N18757" t="s">
        <v>2129</v>
      </c>
      <c r="O18757" t="s">
        <v>2130</v>
      </c>
      <c r="Q18757">
        <v>0</v>
      </c>
      <c r="R18757">
        <v>127</v>
      </c>
      <c r="S18757">
        <v>0</v>
      </c>
      <c r="T18757" t="s">
        <v>2131</v>
      </c>
    </row>
    <row r="18758" spans="1:20" customFormat="1" ht="15" x14ac:dyDescent="0.25">
      <c r="A18758" t="s">
        <v>24</v>
      </c>
      <c r="B18758" t="s">
        <v>140</v>
      </c>
      <c r="C18758" t="str">
        <f>"A0058511"</f>
        <v>A0058511</v>
      </c>
      <c r="D18758" t="s">
        <v>2132</v>
      </c>
      <c r="E18758" t="s">
        <v>2133</v>
      </c>
      <c r="F18758" t="s">
        <v>2110</v>
      </c>
      <c r="G18758" t="s">
        <v>52</v>
      </c>
      <c r="H18758">
        <v>76051</v>
      </c>
      <c r="I18758" t="s">
        <v>30</v>
      </c>
      <c r="J18758" t="s">
        <v>171</v>
      </c>
      <c r="K18758" t="s">
        <v>1202</v>
      </c>
      <c r="N18758" t="s">
        <v>2134</v>
      </c>
      <c r="Q18758">
        <v>0</v>
      </c>
      <c r="R18758">
        <v>125</v>
      </c>
      <c r="S18758">
        <v>0</v>
      </c>
      <c r="T18758" t="s">
        <v>2135</v>
      </c>
    </row>
    <row r="18759" spans="1:20" customFormat="1" ht="15" x14ac:dyDescent="0.25">
      <c r="A18759" t="s">
        <v>24</v>
      </c>
      <c r="B18759" t="s">
        <v>140</v>
      </c>
      <c r="C18759" t="str">
        <f>"A0089820"</f>
        <v>A0089820</v>
      </c>
      <c r="D18759" t="s">
        <v>2136</v>
      </c>
      <c r="E18759" t="s">
        <v>2137</v>
      </c>
      <c r="F18759" t="s">
        <v>2063</v>
      </c>
      <c r="G18759" t="s">
        <v>52</v>
      </c>
      <c r="H18759">
        <v>79101</v>
      </c>
      <c r="I18759" t="s">
        <v>30</v>
      </c>
      <c r="J18759" t="s">
        <v>171</v>
      </c>
      <c r="K18759" t="s">
        <v>973</v>
      </c>
      <c r="N18759" t="s">
        <v>2138</v>
      </c>
      <c r="Q18759">
        <v>0</v>
      </c>
      <c r="R18759">
        <v>107</v>
      </c>
      <c r="S18759">
        <v>0</v>
      </c>
      <c r="T18759" t="s">
        <v>2139</v>
      </c>
    </row>
    <row r="18760" spans="1:20" customFormat="1" ht="15" x14ac:dyDescent="0.25">
      <c r="A18760" t="s">
        <v>24</v>
      </c>
      <c r="B18760" t="s">
        <v>140</v>
      </c>
      <c r="C18760" t="str">
        <f>"A0166890"</f>
        <v>A0166890</v>
      </c>
      <c r="D18760" t="s">
        <v>2144</v>
      </c>
      <c r="E18760" t="s">
        <v>2145</v>
      </c>
      <c r="F18760" t="s">
        <v>2110</v>
      </c>
      <c r="G18760" t="s">
        <v>52</v>
      </c>
      <c r="H18760">
        <v>76051</v>
      </c>
      <c r="I18760" t="s">
        <v>30</v>
      </c>
      <c r="J18760" t="s">
        <v>171</v>
      </c>
      <c r="K18760" t="s">
        <v>1331</v>
      </c>
      <c r="N18760" t="s">
        <v>2146</v>
      </c>
      <c r="Q18760">
        <v>0</v>
      </c>
      <c r="R18760">
        <v>152</v>
      </c>
      <c r="S18760">
        <v>0</v>
      </c>
      <c r="T18760" t="s">
        <v>2147</v>
      </c>
    </row>
    <row r="18761" spans="1:20" customFormat="1" ht="15" x14ac:dyDescent="0.25">
      <c r="A18761" t="s">
        <v>24</v>
      </c>
      <c r="B18761" t="s">
        <v>140</v>
      </c>
      <c r="C18761" t="str">
        <f>"A0094972"</f>
        <v>A0094972</v>
      </c>
      <c r="D18761" t="s">
        <v>2157</v>
      </c>
      <c r="E18761" t="s">
        <v>2158</v>
      </c>
      <c r="F18761" t="s">
        <v>2159</v>
      </c>
      <c r="G18761" t="s">
        <v>52</v>
      </c>
      <c r="H18761">
        <v>75605</v>
      </c>
      <c r="I18761" t="s">
        <v>30</v>
      </c>
      <c r="J18761" t="s">
        <v>171</v>
      </c>
      <c r="K18761" t="s">
        <v>1331</v>
      </c>
      <c r="N18761" t="s">
        <v>2160</v>
      </c>
      <c r="O18761" t="s">
        <v>2161</v>
      </c>
      <c r="Q18761">
        <v>0</v>
      </c>
      <c r="R18761">
        <v>122</v>
      </c>
      <c r="S18761">
        <v>0</v>
      </c>
      <c r="T18761" t="s">
        <v>2162</v>
      </c>
    </row>
    <row r="18762" spans="1:20" customFormat="1" ht="15" x14ac:dyDescent="0.25">
      <c r="A18762" t="s">
        <v>24</v>
      </c>
      <c r="B18762" t="s">
        <v>2180</v>
      </c>
      <c r="C18762" t="str">
        <f>"A0192264"</f>
        <v>A0192264</v>
      </c>
      <c r="D18762" t="s">
        <v>2181</v>
      </c>
      <c r="E18762" t="s">
        <v>2182</v>
      </c>
      <c r="F18762" t="s">
        <v>2183</v>
      </c>
      <c r="G18762" t="s">
        <v>1369</v>
      </c>
      <c r="H18762">
        <v>39301</v>
      </c>
      <c r="I18762" t="s">
        <v>30</v>
      </c>
      <c r="J18762" t="s">
        <v>171</v>
      </c>
      <c r="K18762" t="s">
        <v>1331</v>
      </c>
      <c r="N18762" t="s">
        <v>2184</v>
      </c>
      <c r="O18762" t="s">
        <v>2185</v>
      </c>
      <c r="Q18762">
        <v>0</v>
      </c>
      <c r="R18762">
        <v>133</v>
      </c>
      <c r="S18762">
        <v>0</v>
      </c>
      <c r="T18762" t="s">
        <v>2186</v>
      </c>
    </row>
    <row r="18763" spans="1:20" customFormat="1" ht="15" x14ac:dyDescent="0.25">
      <c r="A18763" t="s">
        <v>24</v>
      </c>
      <c r="B18763" t="s">
        <v>805</v>
      </c>
      <c r="C18763" t="str">
        <f>"SC130"</f>
        <v>SC130</v>
      </c>
      <c r="D18763" t="s">
        <v>2245</v>
      </c>
      <c r="E18763" t="s">
        <v>2246</v>
      </c>
      <c r="F18763" t="s">
        <v>2094</v>
      </c>
      <c r="G18763" t="s">
        <v>52</v>
      </c>
      <c r="H18763">
        <v>75240</v>
      </c>
      <c r="I18763" t="s">
        <v>30</v>
      </c>
      <c r="J18763" t="s">
        <v>171</v>
      </c>
      <c r="K18763" t="s">
        <v>809</v>
      </c>
      <c r="Q18763">
        <v>0</v>
      </c>
      <c r="R18763">
        <v>295</v>
      </c>
      <c r="S18763">
        <v>0</v>
      </c>
      <c r="T18763" t="s">
        <v>2247</v>
      </c>
    </row>
    <row r="18764" spans="1:20" customFormat="1" ht="15" x14ac:dyDescent="0.25">
      <c r="A18764" t="s">
        <v>24</v>
      </c>
      <c r="B18764" t="s">
        <v>2248</v>
      </c>
      <c r="C18764" t="str">
        <f>"A0147062"</f>
        <v>A0147062</v>
      </c>
      <c r="D18764" t="s">
        <v>2249</v>
      </c>
      <c r="E18764" t="s">
        <v>2250</v>
      </c>
      <c r="F18764" t="s">
        <v>703</v>
      </c>
      <c r="G18764" t="s">
        <v>110</v>
      </c>
      <c r="H18764">
        <v>91101</v>
      </c>
      <c r="I18764" t="s">
        <v>30</v>
      </c>
      <c r="J18764" t="s">
        <v>171</v>
      </c>
      <c r="K18764" t="s">
        <v>1202</v>
      </c>
      <c r="N18764" t="s">
        <v>2251</v>
      </c>
      <c r="O18764" t="s">
        <v>2252</v>
      </c>
      <c r="Q18764">
        <v>0</v>
      </c>
      <c r="R18764">
        <v>189</v>
      </c>
      <c r="S18764">
        <v>0</v>
      </c>
      <c r="T18764" t="s">
        <v>2253</v>
      </c>
    </row>
    <row r="18765" spans="1:20" customFormat="1" ht="15" x14ac:dyDescent="0.25">
      <c r="A18765" t="s">
        <v>24</v>
      </c>
      <c r="B18765" t="s">
        <v>1008</v>
      </c>
      <c r="C18765" t="str">
        <f>"A0095956"</f>
        <v>A0095956</v>
      </c>
      <c r="D18765" t="s">
        <v>2499</v>
      </c>
      <c r="E18765" t="s">
        <v>2500</v>
      </c>
      <c r="F18765" t="s">
        <v>2501</v>
      </c>
      <c r="G18765" t="s">
        <v>338</v>
      </c>
      <c r="H18765">
        <v>8902</v>
      </c>
      <c r="I18765" t="s">
        <v>30</v>
      </c>
      <c r="J18765" t="s">
        <v>171</v>
      </c>
      <c r="K18765" t="s">
        <v>973</v>
      </c>
      <c r="N18765" t="s">
        <v>2502</v>
      </c>
      <c r="Q18765">
        <v>0</v>
      </c>
      <c r="R18765">
        <v>124</v>
      </c>
      <c r="S18765">
        <v>0</v>
      </c>
      <c r="T18765" t="s">
        <v>2503</v>
      </c>
    </row>
    <row r="18766" spans="1:20" customFormat="1" ht="15" x14ac:dyDescent="0.25">
      <c r="A18766" t="s">
        <v>24</v>
      </c>
      <c r="B18766" t="s">
        <v>2221</v>
      </c>
      <c r="C18766" t="str">
        <f>"A0069718"</f>
        <v>A0069718</v>
      </c>
      <c r="D18766" t="s">
        <v>69000</v>
      </c>
      <c r="E18766" t="s">
        <v>69001</v>
      </c>
      <c r="F18766" t="s">
        <v>4133</v>
      </c>
      <c r="G18766" t="s">
        <v>52</v>
      </c>
      <c r="H18766">
        <v>78701</v>
      </c>
      <c r="I18766" t="s">
        <v>30</v>
      </c>
      <c r="J18766" t="s">
        <v>31</v>
      </c>
      <c r="K18766" t="s">
        <v>1331</v>
      </c>
      <c r="N18766" t="s">
        <v>5546</v>
      </c>
      <c r="Q18766">
        <v>0</v>
      </c>
      <c r="R18766">
        <v>254</v>
      </c>
      <c r="S18766">
        <v>0</v>
      </c>
      <c r="T18766" t="s">
        <v>69002</v>
      </c>
    </row>
    <row r="18767" spans="1:20" customFormat="1" ht="15" x14ac:dyDescent="0.25">
      <c r="A18767" t="s">
        <v>24</v>
      </c>
      <c r="B18767" t="s">
        <v>2583</v>
      </c>
      <c r="C18767" t="str">
        <f>"A0190851"</f>
        <v>A0190851</v>
      </c>
      <c r="D18767" t="s">
        <v>2584</v>
      </c>
      <c r="E18767" t="s">
        <v>2585</v>
      </c>
      <c r="F18767" t="s">
        <v>2586</v>
      </c>
      <c r="G18767" t="s">
        <v>65</v>
      </c>
      <c r="H18767">
        <v>43604</v>
      </c>
      <c r="I18767" t="s">
        <v>30</v>
      </c>
      <c r="J18767" t="s">
        <v>171</v>
      </c>
      <c r="K18767" t="s">
        <v>1023</v>
      </c>
      <c r="N18767" t="s">
        <v>2587</v>
      </c>
      <c r="Q18767">
        <v>0</v>
      </c>
      <c r="R18767">
        <v>93</v>
      </c>
      <c r="S18767">
        <v>0</v>
      </c>
      <c r="T18767" t="s">
        <v>192</v>
      </c>
    </row>
    <row r="18768" spans="1:20" customFormat="1" ht="15" x14ac:dyDescent="0.25">
      <c r="A18768" t="s">
        <v>24</v>
      </c>
      <c r="B18768" t="s">
        <v>2583</v>
      </c>
      <c r="C18768" t="str">
        <f>"A0190850"</f>
        <v>A0190850</v>
      </c>
      <c r="D18768" t="s">
        <v>2588</v>
      </c>
      <c r="E18768" t="s">
        <v>2585</v>
      </c>
      <c r="F18768" t="s">
        <v>2586</v>
      </c>
      <c r="G18768" t="s">
        <v>65</v>
      </c>
      <c r="H18768">
        <v>43604</v>
      </c>
      <c r="I18768" t="s">
        <v>30</v>
      </c>
      <c r="J18768" t="s">
        <v>171</v>
      </c>
      <c r="K18768" t="s">
        <v>1331</v>
      </c>
      <c r="N18768" t="s">
        <v>2587</v>
      </c>
      <c r="Q18768">
        <v>0</v>
      </c>
      <c r="R18768">
        <v>217</v>
      </c>
      <c r="S18768">
        <v>0</v>
      </c>
      <c r="T18768" t="s">
        <v>192</v>
      </c>
    </row>
    <row r="18769" spans="1:20" customFormat="1" ht="15" x14ac:dyDescent="0.25">
      <c r="A18769" t="s">
        <v>24</v>
      </c>
      <c r="B18769" t="s">
        <v>2601</v>
      </c>
      <c r="C18769" t="str">
        <f>"A0072433"</f>
        <v>A0072433</v>
      </c>
      <c r="D18769" t="s">
        <v>2606</v>
      </c>
      <c r="E18769" t="s">
        <v>2607</v>
      </c>
      <c r="F18769" t="s">
        <v>2608</v>
      </c>
      <c r="G18769" t="s">
        <v>338</v>
      </c>
      <c r="H18769">
        <v>8540</v>
      </c>
      <c r="I18769" t="s">
        <v>30</v>
      </c>
      <c r="J18769" t="s">
        <v>171</v>
      </c>
      <c r="K18769" t="s">
        <v>1450</v>
      </c>
      <c r="N18769" t="s">
        <v>2609</v>
      </c>
      <c r="O18769" t="s">
        <v>2610</v>
      </c>
      <c r="Q18769">
        <v>0</v>
      </c>
      <c r="R18769">
        <v>120</v>
      </c>
      <c r="S18769">
        <v>0</v>
      </c>
      <c r="T18769" t="s">
        <v>2611</v>
      </c>
    </row>
    <row r="18770" spans="1:20" customFormat="1" ht="15" x14ac:dyDescent="0.25">
      <c r="A18770" t="s">
        <v>24</v>
      </c>
      <c r="B18770" t="s">
        <v>2601</v>
      </c>
      <c r="C18770" t="str">
        <f>"6512P"</f>
        <v>6512P</v>
      </c>
      <c r="D18770" t="s">
        <v>2616</v>
      </c>
      <c r="E18770" t="s">
        <v>2617</v>
      </c>
      <c r="F18770" t="s">
        <v>2618</v>
      </c>
      <c r="G18770" t="s">
        <v>65</v>
      </c>
      <c r="H18770">
        <v>44094</v>
      </c>
      <c r="I18770" t="s">
        <v>30</v>
      </c>
      <c r="J18770" t="s">
        <v>171</v>
      </c>
      <c r="K18770" t="s">
        <v>973</v>
      </c>
      <c r="N18770" t="s">
        <v>2619</v>
      </c>
      <c r="Q18770">
        <v>0</v>
      </c>
      <c r="R18770">
        <v>90</v>
      </c>
      <c r="S18770">
        <v>0</v>
      </c>
      <c r="T18770" t="s">
        <v>2620</v>
      </c>
    </row>
    <row r="18771" spans="1:20" customFormat="1" ht="15" x14ac:dyDescent="0.25">
      <c r="A18771" t="s">
        <v>24</v>
      </c>
      <c r="B18771" t="s">
        <v>140</v>
      </c>
      <c r="C18771" t="str">
        <f>"A0094658"</f>
        <v>A0094658</v>
      </c>
      <c r="D18771" t="s">
        <v>2828</v>
      </c>
      <c r="E18771" t="s">
        <v>2829</v>
      </c>
      <c r="F18771" t="s">
        <v>845</v>
      </c>
      <c r="G18771" t="s">
        <v>846</v>
      </c>
      <c r="H18771">
        <v>30309</v>
      </c>
      <c r="I18771" t="s">
        <v>30</v>
      </c>
      <c r="J18771" t="s">
        <v>171</v>
      </c>
      <c r="K18771" t="s">
        <v>1023</v>
      </c>
      <c r="N18771" t="s">
        <v>2830</v>
      </c>
      <c r="O18771" t="s">
        <v>2831</v>
      </c>
      <c r="Q18771">
        <v>0</v>
      </c>
      <c r="R18771">
        <v>92</v>
      </c>
      <c r="S18771">
        <v>0</v>
      </c>
      <c r="T18771" t="s">
        <v>2832</v>
      </c>
    </row>
    <row r="18772" spans="1:20" customFormat="1" ht="15" x14ac:dyDescent="0.25">
      <c r="A18772" t="s">
        <v>24</v>
      </c>
      <c r="B18772" t="s">
        <v>140</v>
      </c>
      <c r="C18772" t="str">
        <f>"A0094657"</f>
        <v>A0094657</v>
      </c>
      <c r="D18772" t="s">
        <v>2833</v>
      </c>
      <c r="E18772" t="s">
        <v>2829</v>
      </c>
      <c r="F18772" t="s">
        <v>845</v>
      </c>
      <c r="G18772" t="s">
        <v>846</v>
      </c>
      <c r="H18772">
        <v>30309</v>
      </c>
      <c r="I18772" t="s">
        <v>30</v>
      </c>
      <c r="J18772" t="s">
        <v>171</v>
      </c>
      <c r="K18772" t="s">
        <v>1331</v>
      </c>
      <c r="N18772" t="s">
        <v>2834</v>
      </c>
      <c r="O18772" t="s">
        <v>2830</v>
      </c>
      <c r="Q18772">
        <v>0</v>
      </c>
      <c r="R18772">
        <v>136</v>
      </c>
      <c r="S18772">
        <v>0</v>
      </c>
      <c r="T18772" t="s">
        <v>2835</v>
      </c>
    </row>
    <row r="18773" spans="1:20" customFormat="1" ht="15" x14ac:dyDescent="0.25">
      <c r="A18773" t="s">
        <v>24</v>
      </c>
      <c r="B18773" t="s">
        <v>2836</v>
      </c>
      <c r="C18773" t="str">
        <f>"A0192118"</f>
        <v>A0192118</v>
      </c>
      <c r="D18773" t="s">
        <v>2846</v>
      </c>
      <c r="E18773" t="s">
        <v>2847</v>
      </c>
      <c r="F18773" t="s">
        <v>1131</v>
      </c>
      <c r="G18773" t="s">
        <v>29</v>
      </c>
      <c r="H18773">
        <v>22202</v>
      </c>
      <c r="I18773" t="s">
        <v>30</v>
      </c>
      <c r="J18773" t="s">
        <v>171</v>
      </c>
      <c r="K18773" t="s">
        <v>1331</v>
      </c>
      <c r="N18773" t="s">
        <v>2844</v>
      </c>
      <c r="Q18773">
        <v>0</v>
      </c>
      <c r="R18773">
        <v>248</v>
      </c>
      <c r="S18773">
        <v>0</v>
      </c>
      <c r="T18773" t="s">
        <v>2848</v>
      </c>
    </row>
    <row r="18774" spans="1:20" customFormat="1" ht="15" x14ac:dyDescent="0.25">
      <c r="A18774" t="s">
        <v>24</v>
      </c>
      <c r="B18774" t="s">
        <v>1561</v>
      </c>
      <c r="C18774" t="str">
        <f>"A0084803"</f>
        <v>A0084803</v>
      </c>
      <c r="D18774" t="s">
        <v>2860</v>
      </c>
      <c r="E18774" t="s">
        <v>2861</v>
      </c>
      <c r="F18774" t="s">
        <v>2443</v>
      </c>
      <c r="G18774" t="s">
        <v>81</v>
      </c>
      <c r="H18774">
        <v>32258</v>
      </c>
      <c r="I18774" t="s">
        <v>30</v>
      </c>
      <c r="J18774" t="s">
        <v>171</v>
      </c>
      <c r="K18774" t="s">
        <v>973</v>
      </c>
      <c r="N18774" t="s">
        <v>2862</v>
      </c>
      <c r="O18774" t="s">
        <v>2863</v>
      </c>
      <c r="Q18774">
        <v>0</v>
      </c>
      <c r="R18774">
        <v>120</v>
      </c>
      <c r="S18774">
        <v>0</v>
      </c>
      <c r="T18774" t="s">
        <v>2864</v>
      </c>
    </row>
    <row r="18775" spans="1:20" customFormat="1" ht="15" x14ac:dyDescent="0.25">
      <c r="A18775" t="s">
        <v>24</v>
      </c>
      <c r="B18775" t="s">
        <v>1561</v>
      </c>
      <c r="C18775" t="str">
        <f>"A0096515"</f>
        <v>A0096515</v>
      </c>
      <c r="D18775" t="s">
        <v>2889</v>
      </c>
      <c r="E18775" t="s">
        <v>2890</v>
      </c>
      <c r="F18775" t="s">
        <v>372</v>
      </c>
      <c r="G18775" t="s">
        <v>52</v>
      </c>
      <c r="H18775">
        <v>78744</v>
      </c>
      <c r="I18775" t="s">
        <v>30</v>
      </c>
      <c r="J18775" t="s">
        <v>171</v>
      </c>
      <c r="K18775" t="s">
        <v>1450</v>
      </c>
      <c r="N18775" t="s">
        <v>2891</v>
      </c>
      <c r="O18775" t="s">
        <v>2892</v>
      </c>
      <c r="Q18775">
        <v>0</v>
      </c>
      <c r="R18775">
        <v>120</v>
      </c>
      <c r="S18775">
        <v>0</v>
      </c>
      <c r="T18775" t="s">
        <v>2893</v>
      </c>
    </row>
    <row r="18776" spans="1:20" customFormat="1" ht="15" x14ac:dyDescent="0.25">
      <c r="A18776" t="s">
        <v>24</v>
      </c>
      <c r="B18776" t="s">
        <v>2910</v>
      </c>
      <c r="C18776" t="str">
        <f>"A0192110"</f>
        <v>A0192110</v>
      </c>
      <c r="D18776" t="s">
        <v>2911</v>
      </c>
      <c r="E18776" t="s">
        <v>2912</v>
      </c>
      <c r="F18776" t="s">
        <v>2913</v>
      </c>
      <c r="G18776" t="s">
        <v>65</v>
      </c>
      <c r="H18776">
        <v>45242</v>
      </c>
      <c r="I18776" t="s">
        <v>30</v>
      </c>
      <c r="J18776" t="s">
        <v>171</v>
      </c>
      <c r="K18776" t="s">
        <v>1331</v>
      </c>
      <c r="N18776" t="s">
        <v>2914</v>
      </c>
      <c r="O18776" t="s">
        <v>2915</v>
      </c>
      <c r="Q18776">
        <v>0</v>
      </c>
      <c r="R18776">
        <v>122</v>
      </c>
      <c r="S18776">
        <v>0</v>
      </c>
      <c r="T18776" t="s">
        <v>2916</v>
      </c>
    </row>
    <row r="18777" spans="1:20" customFormat="1" ht="15" x14ac:dyDescent="0.25">
      <c r="A18777" t="s">
        <v>24</v>
      </c>
      <c r="B18777" t="s">
        <v>2917</v>
      </c>
      <c r="C18777" t="str">
        <f>"A0098639"</f>
        <v>A0098639</v>
      </c>
      <c r="D18777" t="s">
        <v>2918</v>
      </c>
      <c r="E18777" t="s">
        <v>2919</v>
      </c>
      <c r="F18777" t="s">
        <v>2920</v>
      </c>
      <c r="G18777" t="s">
        <v>52</v>
      </c>
      <c r="H18777">
        <v>75019</v>
      </c>
      <c r="I18777" t="s">
        <v>30</v>
      </c>
      <c r="J18777" t="s">
        <v>171</v>
      </c>
      <c r="K18777" t="s">
        <v>653</v>
      </c>
      <c r="N18777" t="s">
        <v>2921</v>
      </c>
      <c r="Q18777">
        <v>0</v>
      </c>
      <c r="R18777">
        <v>156</v>
      </c>
      <c r="S18777">
        <v>0</v>
      </c>
      <c r="T18777" t="s">
        <v>2922</v>
      </c>
    </row>
    <row r="18778" spans="1:20" customFormat="1" ht="15" x14ac:dyDescent="0.25">
      <c r="A18778" t="s">
        <v>24</v>
      </c>
      <c r="B18778" t="s">
        <v>2221</v>
      </c>
      <c r="C18778" t="str">
        <f>"A0096744"</f>
        <v>A0096744</v>
      </c>
      <c r="D18778" t="s">
        <v>2923</v>
      </c>
      <c r="E18778" t="s">
        <v>2924</v>
      </c>
      <c r="F18778" t="s">
        <v>313</v>
      </c>
      <c r="G18778" t="s">
        <v>314</v>
      </c>
      <c r="H18778">
        <v>20001</v>
      </c>
      <c r="I18778" t="s">
        <v>30</v>
      </c>
      <c r="J18778" t="s">
        <v>171</v>
      </c>
      <c r="K18778" t="s">
        <v>2925</v>
      </c>
      <c r="N18778" t="s">
        <v>2926</v>
      </c>
      <c r="Q18778">
        <v>0</v>
      </c>
      <c r="R18778">
        <v>200</v>
      </c>
      <c r="S18778">
        <v>0</v>
      </c>
      <c r="T18778" t="s">
        <v>2927</v>
      </c>
    </row>
    <row r="18779" spans="1:20" customFormat="1" ht="15" x14ac:dyDescent="0.25">
      <c r="A18779" t="s">
        <v>24</v>
      </c>
      <c r="B18779" t="s">
        <v>2221</v>
      </c>
      <c r="C18779" t="str">
        <f>"A0077354"</f>
        <v>A0077354</v>
      </c>
      <c r="D18779" t="s">
        <v>2933</v>
      </c>
      <c r="E18779" t="s">
        <v>2934</v>
      </c>
      <c r="F18779" t="s">
        <v>313</v>
      </c>
      <c r="G18779" t="s">
        <v>314</v>
      </c>
      <c r="H18779">
        <v>20036</v>
      </c>
      <c r="I18779" t="s">
        <v>30</v>
      </c>
      <c r="J18779" t="s">
        <v>171</v>
      </c>
      <c r="K18779" t="s">
        <v>973</v>
      </c>
      <c r="N18779" t="s">
        <v>2926</v>
      </c>
      <c r="Q18779">
        <v>0</v>
      </c>
      <c r="R18779">
        <v>143</v>
      </c>
      <c r="S18779">
        <v>0</v>
      </c>
      <c r="T18779" t="s">
        <v>2935</v>
      </c>
    </row>
    <row r="18780" spans="1:20" customFormat="1" ht="15" x14ac:dyDescent="0.25">
      <c r="A18780" t="s">
        <v>24</v>
      </c>
      <c r="B18780" t="s">
        <v>193</v>
      </c>
      <c r="C18780" t="str">
        <f>"SF01316"</f>
        <v>SF01316</v>
      </c>
      <c r="D18780" t="s">
        <v>2950</v>
      </c>
      <c r="E18780" t="s">
        <v>2951</v>
      </c>
      <c r="F18780" t="s">
        <v>2952</v>
      </c>
      <c r="G18780" t="s">
        <v>110</v>
      </c>
      <c r="H18780">
        <v>92024</v>
      </c>
      <c r="I18780" t="s">
        <v>30</v>
      </c>
      <c r="J18780" t="s">
        <v>171</v>
      </c>
      <c r="K18780" t="s">
        <v>315</v>
      </c>
      <c r="N18780" t="s">
        <v>2953</v>
      </c>
      <c r="Q18780">
        <v>0</v>
      </c>
      <c r="R18780">
        <v>100</v>
      </c>
      <c r="S18780">
        <v>0</v>
      </c>
      <c r="T18780" t="s">
        <v>2954</v>
      </c>
    </row>
    <row r="18781" spans="1:20" customFormat="1" ht="15" x14ac:dyDescent="0.25">
      <c r="A18781" t="s">
        <v>24</v>
      </c>
      <c r="B18781" t="s">
        <v>2968</v>
      </c>
      <c r="C18781" t="str">
        <f>"A0145921"</f>
        <v>A0145921</v>
      </c>
      <c r="D18781" t="s">
        <v>2969</v>
      </c>
      <c r="E18781" t="s">
        <v>2970</v>
      </c>
      <c r="F18781" t="s">
        <v>2971</v>
      </c>
      <c r="G18781" t="s">
        <v>880</v>
      </c>
      <c r="H18781">
        <v>37203</v>
      </c>
      <c r="I18781" t="s">
        <v>30</v>
      </c>
      <c r="J18781" t="s">
        <v>171</v>
      </c>
      <c r="K18781" t="s">
        <v>2972</v>
      </c>
      <c r="N18781" t="s">
        <v>2973</v>
      </c>
      <c r="Q18781">
        <v>0</v>
      </c>
      <c r="R18781">
        <v>201</v>
      </c>
      <c r="S18781">
        <v>0</v>
      </c>
      <c r="T18781" t="s">
        <v>2974</v>
      </c>
    </row>
    <row r="18782" spans="1:20" customFormat="1" ht="15" x14ac:dyDescent="0.25">
      <c r="A18782" t="s">
        <v>24</v>
      </c>
      <c r="B18782" t="s">
        <v>2975</v>
      </c>
      <c r="C18782" t="str">
        <f>"SF04328"</f>
        <v>SF04328</v>
      </c>
      <c r="D18782" t="s">
        <v>2976</v>
      </c>
      <c r="E18782" t="s">
        <v>2977</v>
      </c>
      <c r="F18782" t="s">
        <v>2978</v>
      </c>
      <c r="G18782" t="s">
        <v>110</v>
      </c>
      <c r="H18782">
        <v>92126</v>
      </c>
      <c r="I18782" t="s">
        <v>30</v>
      </c>
      <c r="J18782" t="s">
        <v>171</v>
      </c>
      <c r="K18782" t="s">
        <v>973</v>
      </c>
      <c r="N18782" t="s">
        <v>2979</v>
      </c>
      <c r="Q18782">
        <v>0</v>
      </c>
      <c r="R18782">
        <v>155</v>
      </c>
      <c r="S18782">
        <v>0</v>
      </c>
      <c r="T18782" t="s">
        <v>2980</v>
      </c>
    </row>
    <row r="18783" spans="1:20" customFormat="1" ht="15" x14ac:dyDescent="0.25">
      <c r="A18783" t="s">
        <v>24</v>
      </c>
      <c r="B18783" t="s">
        <v>3052</v>
      </c>
      <c r="C18783" t="str">
        <f>"A0187911"</f>
        <v>A0187911</v>
      </c>
      <c r="D18783" t="s">
        <v>3053</v>
      </c>
      <c r="E18783" t="s">
        <v>3054</v>
      </c>
      <c r="F18783" t="s">
        <v>372</v>
      </c>
      <c r="G18783" t="s">
        <v>52</v>
      </c>
      <c r="H18783">
        <v>78726</v>
      </c>
      <c r="I18783" t="s">
        <v>30</v>
      </c>
      <c r="J18783" t="s">
        <v>171</v>
      </c>
      <c r="K18783" t="s">
        <v>1147</v>
      </c>
      <c r="N18783" t="s">
        <v>3055</v>
      </c>
      <c r="Q18783">
        <v>0</v>
      </c>
      <c r="R18783">
        <v>100</v>
      </c>
      <c r="S18783">
        <v>0</v>
      </c>
      <c r="T18783" t="s">
        <v>3056</v>
      </c>
    </row>
    <row r="18784" spans="1:20" customFormat="1" ht="15" x14ac:dyDescent="0.25">
      <c r="A18784" t="s">
        <v>24</v>
      </c>
      <c r="B18784" t="s">
        <v>1561</v>
      </c>
      <c r="C18784" t="str">
        <f>"A0098996"</f>
        <v>A0098996</v>
      </c>
      <c r="D18784" t="s">
        <v>3062</v>
      </c>
      <c r="E18784" t="s">
        <v>3063</v>
      </c>
      <c r="F18784" t="s">
        <v>3064</v>
      </c>
      <c r="G18784" t="s">
        <v>123</v>
      </c>
      <c r="H18784">
        <v>20629</v>
      </c>
      <c r="I18784" t="s">
        <v>30</v>
      </c>
      <c r="J18784" t="s">
        <v>171</v>
      </c>
      <c r="K18784" t="s">
        <v>1331</v>
      </c>
      <c r="N18784" t="s">
        <v>3065</v>
      </c>
      <c r="O18784" t="s">
        <v>3066</v>
      </c>
      <c r="Q18784">
        <v>0</v>
      </c>
      <c r="R18784">
        <v>100</v>
      </c>
      <c r="S18784">
        <v>0</v>
      </c>
      <c r="T18784" t="s">
        <v>3067</v>
      </c>
    </row>
    <row r="18785" spans="1:20" customFormat="1" ht="15" x14ac:dyDescent="0.25">
      <c r="A18785" t="s">
        <v>24</v>
      </c>
      <c r="B18785" t="s">
        <v>788</v>
      </c>
      <c r="C18785" t="str">
        <f>"A0058512"</f>
        <v>A0058512</v>
      </c>
      <c r="D18785" t="s">
        <v>3138</v>
      </c>
      <c r="E18785" t="s">
        <v>3139</v>
      </c>
      <c r="F18785" t="s">
        <v>1564</v>
      </c>
      <c r="G18785" t="s">
        <v>52</v>
      </c>
      <c r="H18785">
        <v>77060</v>
      </c>
      <c r="I18785" t="s">
        <v>30</v>
      </c>
      <c r="J18785" t="s">
        <v>171</v>
      </c>
      <c r="K18785" t="s">
        <v>1202</v>
      </c>
      <c r="N18785" t="s">
        <v>3140</v>
      </c>
      <c r="Q18785">
        <v>0</v>
      </c>
      <c r="R18785">
        <v>126</v>
      </c>
      <c r="S18785">
        <v>0</v>
      </c>
      <c r="T18785" t="s">
        <v>3141</v>
      </c>
    </row>
    <row r="18786" spans="1:20" customFormat="1" ht="15" x14ac:dyDescent="0.25">
      <c r="A18786" t="s">
        <v>24</v>
      </c>
      <c r="B18786" t="s">
        <v>257</v>
      </c>
      <c r="C18786" t="str">
        <f>"A0095684"</f>
        <v>A0095684</v>
      </c>
      <c r="D18786" t="s">
        <v>3165</v>
      </c>
      <c r="E18786" t="s">
        <v>3166</v>
      </c>
      <c r="F18786" t="s">
        <v>3167</v>
      </c>
      <c r="G18786" t="s">
        <v>103</v>
      </c>
      <c r="H18786">
        <v>16066</v>
      </c>
      <c r="I18786" t="s">
        <v>30</v>
      </c>
      <c r="J18786" t="s">
        <v>171</v>
      </c>
      <c r="K18786" t="s">
        <v>1331</v>
      </c>
      <c r="N18786" t="s">
        <v>3168</v>
      </c>
      <c r="O18786" t="s">
        <v>3169</v>
      </c>
      <c r="Q18786">
        <v>0</v>
      </c>
      <c r="R18786">
        <v>136</v>
      </c>
      <c r="S18786">
        <v>0</v>
      </c>
      <c r="T18786" t="s">
        <v>3170</v>
      </c>
    </row>
    <row r="18787" spans="1:20" customFormat="1" ht="15" x14ac:dyDescent="0.25">
      <c r="A18787" t="s">
        <v>24</v>
      </c>
      <c r="B18787" t="s">
        <v>788</v>
      </c>
      <c r="C18787" t="str">
        <f>"A0191982"</f>
        <v>A0191982</v>
      </c>
      <c r="D18787" t="s">
        <v>3233</v>
      </c>
      <c r="E18787" t="s">
        <v>3234</v>
      </c>
      <c r="F18787" t="s">
        <v>3235</v>
      </c>
      <c r="G18787" t="s">
        <v>3236</v>
      </c>
      <c r="H18787">
        <v>57501</v>
      </c>
      <c r="I18787" t="s">
        <v>30</v>
      </c>
      <c r="J18787" t="s">
        <v>171</v>
      </c>
      <c r="K18787" t="s">
        <v>315</v>
      </c>
      <c r="N18787" t="s">
        <v>3237</v>
      </c>
      <c r="Q18787">
        <v>0</v>
      </c>
      <c r="R18787">
        <v>58</v>
      </c>
      <c r="S18787">
        <v>0</v>
      </c>
      <c r="T18787" t="s">
        <v>3238</v>
      </c>
    </row>
    <row r="18788" spans="1:20" customFormat="1" ht="15" x14ac:dyDescent="0.25">
      <c r="A18788" t="s">
        <v>24</v>
      </c>
      <c r="B18788" t="s">
        <v>788</v>
      </c>
      <c r="C18788" t="str">
        <f>"A0191978"</f>
        <v>A0191978</v>
      </c>
      <c r="D18788" t="s">
        <v>3249</v>
      </c>
      <c r="E18788" t="s">
        <v>3250</v>
      </c>
      <c r="F18788" t="s">
        <v>3235</v>
      </c>
      <c r="G18788" t="s">
        <v>3236</v>
      </c>
      <c r="H18788">
        <v>57501</v>
      </c>
      <c r="I18788" t="s">
        <v>30</v>
      </c>
      <c r="J18788" t="s">
        <v>171</v>
      </c>
      <c r="K18788" t="s">
        <v>308</v>
      </c>
      <c r="N18788" t="s">
        <v>3237</v>
      </c>
      <c r="Q18788">
        <v>0</v>
      </c>
      <c r="R18788">
        <v>58</v>
      </c>
      <c r="S18788">
        <v>0</v>
      </c>
      <c r="T18788" t="s">
        <v>3238</v>
      </c>
    </row>
    <row r="18789" spans="1:20" customFormat="1" ht="15" x14ac:dyDescent="0.25">
      <c r="A18789" t="s">
        <v>24</v>
      </c>
      <c r="B18789" t="s">
        <v>3269</v>
      </c>
      <c r="C18789" t="str">
        <f>"311GT"</f>
        <v>311GT</v>
      </c>
      <c r="D18789" t="s">
        <v>3270</v>
      </c>
      <c r="E18789" t="s">
        <v>3271</v>
      </c>
      <c r="F18789" t="s">
        <v>3272</v>
      </c>
      <c r="G18789" t="s">
        <v>65</v>
      </c>
      <c r="H18789">
        <v>44130</v>
      </c>
      <c r="I18789" t="s">
        <v>30</v>
      </c>
      <c r="J18789" t="s">
        <v>171</v>
      </c>
      <c r="K18789" t="s">
        <v>973</v>
      </c>
      <c r="N18789" t="s">
        <v>3273</v>
      </c>
      <c r="O18789" t="s">
        <v>3274</v>
      </c>
      <c r="Q18789">
        <v>0</v>
      </c>
      <c r="R18789">
        <v>154</v>
      </c>
      <c r="S18789">
        <v>0</v>
      </c>
      <c r="T18789" t="s">
        <v>3275</v>
      </c>
    </row>
    <row r="18790" spans="1:20" customFormat="1" ht="15" x14ac:dyDescent="0.25">
      <c r="A18790" t="s">
        <v>24</v>
      </c>
      <c r="B18790" t="s">
        <v>1323</v>
      </c>
      <c r="C18790" t="str">
        <f>"A0191151"</f>
        <v>A0191151</v>
      </c>
      <c r="D18790" t="s">
        <v>3372</v>
      </c>
      <c r="E18790" t="s">
        <v>3373</v>
      </c>
      <c r="F18790" t="s">
        <v>3374</v>
      </c>
      <c r="G18790" t="s">
        <v>52</v>
      </c>
      <c r="H18790">
        <v>77901</v>
      </c>
      <c r="I18790" t="s">
        <v>30</v>
      </c>
      <c r="J18790" t="s">
        <v>171</v>
      </c>
      <c r="K18790" t="s">
        <v>1331</v>
      </c>
      <c r="N18790" t="s">
        <v>3375</v>
      </c>
      <c r="Q18790">
        <v>0</v>
      </c>
      <c r="R18790">
        <v>118</v>
      </c>
      <c r="S18790">
        <v>0</v>
      </c>
      <c r="T18790" t="s">
        <v>3376</v>
      </c>
    </row>
    <row r="18791" spans="1:20" customFormat="1" ht="15" x14ac:dyDescent="0.25">
      <c r="A18791" t="s">
        <v>24</v>
      </c>
      <c r="B18791" t="s">
        <v>1323</v>
      </c>
      <c r="C18791" t="str">
        <f>"A0099031"</f>
        <v>A0099031</v>
      </c>
      <c r="D18791" t="s">
        <v>3377</v>
      </c>
      <c r="E18791" t="s">
        <v>3378</v>
      </c>
      <c r="F18791" t="s">
        <v>3154</v>
      </c>
      <c r="G18791" t="s">
        <v>1170</v>
      </c>
      <c r="H18791">
        <v>70506</v>
      </c>
      <c r="I18791" t="s">
        <v>30</v>
      </c>
      <c r="J18791" t="s">
        <v>171</v>
      </c>
      <c r="K18791" t="s">
        <v>1331</v>
      </c>
      <c r="N18791" t="s">
        <v>3379</v>
      </c>
      <c r="Q18791">
        <v>0</v>
      </c>
      <c r="R18791">
        <v>153</v>
      </c>
      <c r="S18791">
        <v>0</v>
      </c>
      <c r="T18791" t="s">
        <v>3380</v>
      </c>
    </row>
    <row r="18792" spans="1:20" customFormat="1" ht="15" x14ac:dyDescent="0.25">
      <c r="A18792" t="s">
        <v>24</v>
      </c>
      <c r="B18792" t="s">
        <v>2836</v>
      </c>
      <c r="C18792" t="str">
        <f>"A0180043"</f>
        <v>A0180043</v>
      </c>
      <c r="D18792" t="s">
        <v>3395</v>
      </c>
      <c r="E18792" t="s">
        <v>3396</v>
      </c>
      <c r="F18792" t="s">
        <v>2564</v>
      </c>
      <c r="G18792" t="s">
        <v>81</v>
      </c>
      <c r="H18792">
        <v>32310</v>
      </c>
      <c r="I18792" t="s">
        <v>30</v>
      </c>
      <c r="J18792" t="s">
        <v>171</v>
      </c>
      <c r="K18792" t="s">
        <v>2972</v>
      </c>
      <c r="N18792" t="s">
        <v>3397</v>
      </c>
      <c r="Q18792">
        <v>0</v>
      </c>
      <c r="R18792">
        <v>120</v>
      </c>
      <c r="S18792">
        <v>0</v>
      </c>
      <c r="T18792" t="s">
        <v>3398</v>
      </c>
    </row>
    <row r="18793" spans="1:20" customFormat="1" ht="15" x14ac:dyDescent="0.25">
      <c r="A18793" t="s">
        <v>24</v>
      </c>
      <c r="B18793" t="s">
        <v>2836</v>
      </c>
      <c r="C18793" t="str">
        <f>"A0095221"</f>
        <v>A0095221</v>
      </c>
      <c r="D18793" t="s">
        <v>3399</v>
      </c>
      <c r="E18793" t="s">
        <v>3400</v>
      </c>
      <c r="F18793" t="s">
        <v>3401</v>
      </c>
      <c r="G18793" t="s">
        <v>29</v>
      </c>
      <c r="H18793">
        <v>22903</v>
      </c>
      <c r="I18793" t="s">
        <v>30</v>
      </c>
      <c r="J18793" t="s">
        <v>171</v>
      </c>
      <c r="K18793" t="s">
        <v>1450</v>
      </c>
      <c r="N18793" t="s">
        <v>3402</v>
      </c>
      <c r="O18793" t="s">
        <v>3403</v>
      </c>
      <c r="Q18793">
        <v>0</v>
      </c>
      <c r="R18793">
        <v>124</v>
      </c>
      <c r="S18793">
        <v>0</v>
      </c>
      <c r="T18793" t="s">
        <v>3404</v>
      </c>
    </row>
    <row r="18794" spans="1:20" customFormat="1" ht="15" x14ac:dyDescent="0.25">
      <c r="A18794" t="s">
        <v>24</v>
      </c>
      <c r="B18794" t="s">
        <v>2373</v>
      </c>
      <c r="C18794" t="str">
        <f>"A0191984"</f>
        <v>A0191984</v>
      </c>
      <c r="D18794" t="s">
        <v>3453</v>
      </c>
      <c r="E18794" t="s">
        <v>3454</v>
      </c>
      <c r="F18794" t="s">
        <v>3455</v>
      </c>
      <c r="G18794" t="s">
        <v>161</v>
      </c>
      <c r="H18794">
        <v>55425</v>
      </c>
      <c r="I18794" t="s">
        <v>30</v>
      </c>
      <c r="J18794" t="s">
        <v>171</v>
      </c>
      <c r="K18794" t="s">
        <v>3456</v>
      </c>
      <c r="N18794" t="s">
        <v>3457</v>
      </c>
      <c r="Q18794">
        <v>0</v>
      </c>
      <c r="R18794">
        <v>98</v>
      </c>
      <c r="S18794">
        <v>0</v>
      </c>
      <c r="T18794" t="s">
        <v>3458</v>
      </c>
    </row>
    <row r="18795" spans="1:20" customFormat="1" ht="15" x14ac:dyDescent="0.25">
      <c r="A18795" t="s">
        <v>24</v>
      </c>
      <c r="B18795" t="s">
        <v>3502</v>
      </c>
      <c r="C18795" t="str">
        <f>"A0067970"</f>
        <v>A0067970</v>
      </c>
      <c r="D18795" t="s">
        <v>3503</v>
      </c>
      <c r="E18795" t="s">
        <v>3504</v>
      </c>
      <c r="F18795" t="s">
        <v>3505</v>
      </c>
      <c r="G18795" t="s">
        <v>52</v>
      </c>
      <c r="H18795">
        <v>76103</v>
      </c>
      <c r="I18795" t="s">
        <v>30</v>
      </c>
      <c r="J18795" t="s">
        <v>171</v>
      </c>
      <c r="K18795" t="s">
        <v>315</v>
      </c>
      <c r="N18795" t="s">
        <v>3506</v>
      </c>
      <c r="O18795" t="s">
        <v>3507</v>
      </c>
      <c r="Q18795">
        <v>0</v>
      </c>
      <c r="R18795">
        <v>78</v>
      </c>
      <c r="S18795">
        <v>0</v>
      </c>
      <c r="T18795" t="s">
        <v>3508</v>
      </c>
    </row>
    <row r="18796" spans="1:20" customFormat="1" ht="15" x14ac:dyDescent="0.25">
      <c r="A18796" t="s">
        <v>24</v>
      </c>
      <c r="B18796" t="s">
        <v>1323</v>
      </c>
      <c r="C18796" t="str">
        <f>"A0099037"</f>
        <v>A0099037</v>
      </c>
      <c r="D18796" t="s">
        <v>3529</v>
      </c>
      <c r="E18796" t="s">
        <v>3530</v>
      </c>
      <c r="F18796" t="s">
        <v>3531</v>
      </c>
      <c r="G18796" t="s">
        <v>81</v>
      </c>
      <c r="H18796">
        <v>32920</v>
      </c>
      <c r="I18796" t="s">
        <v>30</v>
      </c>
      <c r="J18796" t="s">
        <v>171</v>
      </c>
      <c r="K18796" t="s">
        <v>1023</v>
      </c>
      <c r="N18796" t="s">
        <v>3532</v>
      </c>
      <c r="Q18796">
        <v>0</v>
      </c>
      <c r="R18796">
        <v>153</v>
      </c>
      <c r="S18796">
        <v>0</v>
      </c>
      <c r="T18796" t="s">
        <v>3533</v>
      </c>
    </row>
    <row r="18797" spans="1:20" customFormat="1" ht="15" x14ac:dyDescent="0.25">
      <c r="A18797" t="s">
        <v>24</v>
      </c>
      <c r="B18797" t="s">
        <v>1323</v>
      </c>
      <c r="C18797" t="str">
        <f>"A0083048"</f>
        <v>A0083048</v>
      </c>
      <c r="D18797" t="s">
        <v>3543</v>
      </c>
      <c r="E18797" t="s">
        <v>3544</v>
      </c>
      <c r="F18797" t="s">
        <v>3545</v>
      </c>
      <c r="G18797" t="s">
        <v>1706</v>
      </c>
      <c r="H18797">
        <v>35806</v>
      </c>
      <c r="I18797" t="s">
        <v>30</v>
      </c>
      <c r="J18797" t="s">
        <v>171</v>
      </c>
      <c r="K18797" t="s">
        <v>1023</v>
      </c>
      <c r="N18797" t="s">
        <v>3546</v>
      </c>
      <c r="Q18797">
        <v>0</v>
      </c>
      <c r="R18797">
        <v>107</v>
      </c>
      <c r="S18797">
        <v>0</v>
      </c>
      <c r="T18797" t="s">
        <v>3547</v>
      </c>
    </row>
    <row r="18798" spans="1:20" customFormat="1" ht="15" x14ac:dyDescent="0.25">
      <c r="A18798" t="s">
        <v>24</v>
      </c>
      <c r="B18798" t="s">
        <v>1323</v>
      </c>
      <c r="C18798" t="str">
        <f>"A0086830"</f>
        <v>A0086830</v>
      </c>
      <c r="D18798" t="s">
        <v>3553</v>
      </c>
      <c r="E18798" t="s">
        <v>3554</v>
      </c>
      <c r="F18798" t="s">
        <v>3555</v>
      </c>
      <c r="G18798" t="s">
        <v>81</v>
      </c>
      <c r="H18798">
        <v>32301</v>
      </c>
      <c r="I18798" t="s">
        <v>30</v>
      </c>
      <c r="J18798" t="s">
        <v>171</v>
      </c>
      <c r="K18798" t="s">
        <v>1331</v>
      </c>
      <c r="N18798" t="s">
        <v>3556</v>
      </c>
      <c r="Q18798">
        <v>0</v>
      </c>
      <c r="R18798">
        <v>85</v>
      </c>
      <c r="S18798">
        <v>0</v>
      </c>
      <c r="T18798" t="s">
        <v>3557</v>
      </c>
    </row>
    <row r="18799" spans="1:20" customFormat="1" ht="15" x14ac:dyDescent="0.25">
      <c r="A18799" t="s">
        <v>24</v>
      </c>
      <c r="B18799" t="s">
        <v>1323</v>
      </c>
      <c r="C18799" t="str">
        <f>"A0083934"</f>
        <v>A0083934</v>
      </c>
      <c r="D18799" t="s">
        <v>3558</v>
      </c>
      <c r="E18799" t="s">
        <v>3559</v>
      </c>
      <c r="F18799" t="s">
        <v>3560</v>
      </c>
      <c r="G18799" t="s">
        <v>846</v>
      </c>
      <c r="H18799">
        <v>31204</v>
      </c>
      <c r="I18799" t="s">
        <v>30</v>
      </c>
      <c r="J18799" t="s">
        <v>171</v>
      </c>
      <c r="K18799" t="s">
        <v>1331</v>
      </c>
      <c r="N18799" t="s">
        <v>3561</v>
      </c>
      <c r="Q18799">
        <v>0</v>
      </c>
      <c r="R18799">
        <v>101</v>
      </c>
      <c r="S18799">
        <v>0</v>
      </c>
      <c r="T18799" t="s">
        <v>3562</v>
      </c>
    </row>
    <row r="18800" spans="1:20" customFormat="1" ht="15" x14ac:dyDescent="0.25">
      <c r="A18800" t="s">
        <v>24</v>
      </c>
      <c r="B18800" t="s">
        <v>1323</v>
      </c>
      <c r="C18800" t="str">
        <f>"A0088875"</f>
        <v>A0088875</v>
      </c>
      <c r="D18800" t="s">
        <v>3567</v>
      </c>
      <c r="E18800" t="s">
        <v>3568</v>
      </c>
      <c r="F18800" t="s">
        <v>3569</v>
      </c>
      <c r="G18800" t="s">
        <v>1706</v>
      </c>
      <c r="H18800">
        <v>36303</v>
      </c>
      <c r="I18800" t="s">
        <v>30</v>
      </c>
      <c r="J18800" t="s">
        <v>171</v>
      </c>
      <c r="K18800" t="s">
        <v>1331</v>
      </c>
      <c r="N18800" t="s">
        <v>3570</v>
      </c>
      <c r="Q18800">
        <v>0</v>
      </c>
      <c r="R18800">
        <v>104</v>
      </c>
      <c r="S18800">
        <v>0</v>
      </c>
      <c r="T18800" t="s">
        <v>3571</v>
      </c>
    </row>
    <row r="18801" spans="1:20" customFormat="1" ht="15" x14ac:dyDescent="0.25">
      <c r="A18801" t="s">
        <v>24</v>
      </c>
      <c r="B18801" t="s">
        <v>257</v>
      </c>
      <c r="C18801" t="str">
        <f>"A0096874"</f>
        <v>A0096874</v>
      </c>
      <c r="D18801" t="s">
        <v>3640</v>
      </c>
      <c r="E18801" t="s">
        <v>3641</v>
      </c>
      <c r="F18801" t="s">
        <v>3636</v>
      </c>
      <c r="G18801" t="s">
        <v>81</v>
      </c>
      <c r="H18801">
        <v>33180</v>
      </c>
      <c r="I18801" t="s">
        <v>30</v>
      </c>
      <c r="J18801" t="s">
        <v>171</v>
      </c>
      <c r="K18801" t="s">
        <v>2077</v>
      </c>
      <c r="N18801" t="s">
        <v>3642</v>
      </c>
      <c r="O18801" t="s">
        <v>3637</v>
      </c>
      <c r="Q18801">
        <v>0</v>
      </c>
      <c r="R18801">
        <v>233</v>
      </c>
      <c r="S18801">
        <v>0</v>
      </c>
      <c r="T18801" t="s">
        <v>3643</v>
      </c>
    </row>
    <row r="18802" spans="1:20" customFormat="1" ht="15" x14ac:dyDescent="0.25">
      <c r="A18802" t="s">
        <v>24</v>
      </c>
      <c r="B18802" t="s">
        <v>3628</v>
      </c>
      <c r="C18802" t="str">
        <f>"56946"</f>
        <v>56946</v>
      </c>
      <c r="D18802" t="s">
        <v>3885</v>
      </c>
      <c r="E18802" t="s">
        <v>3886</v>
      </c>
      <c r="F18802" t="s">
        <v>3887</v>
      </c>
      <c r="G18802" t="s">
        <v>65</v>
      </c>
      <c r="H18802">
        <v>44122</v>
      </c>
      <c r="I18802" t="s">
        <v>30</v>
      </c>
      <c r="J18802" t="s">
        <v>171</v>
      </c>
      <c r="K18802" t="s">
        <v>1450</v>
      </c>
      <c r="Q18802">
        <v>0</v>
      </c>
      <c r="R18802">
        <v>174</v>
      </c>
      <c r="S18802">
        <v>0</v>
      </c>
      <c r="T18802" t="s">
        <v>3888</v>
      </c>
    </row>
    <row r="18803" spans="1:20" customFormat="1" ht="15" x14ac:dyDescent="0.25">
      <c r="A18803" t="s">
        <v>24</v>
      </c>
      <c r="B18803" t="s">
        <v>3628</v>
      </c>
      <c r="C18803" t="str">
        <f>"A0094016"</f>
        <v>A0094016</v>
      </c>
      <c r="D18803" t="s">
        <v>3889</v>
      </c>
      <c r="E18803" t="s">
        <v>3890</v>
      </c>
      <c r="F18803" t="s">
        <v>3891</v>
      </c>
      <c r="G18803" t="s">
        <v>190</v>
      </c>
      <c r="H18803">
        <v>80301</v>
      </c>
      <c r="I18803" t="s">
        <v>30</v>
      </c>
      <c r="J18803" t="s">
        <v>171</v>
      </c>
      <c r="K18803" t="s">
        <v>1202</v>
      </c>
      <c r="N18803" t="s">
        <v>3892</v>
      </c>
      <c r="Q18803">
        <v>0</v>
      </c>
      <c r="R18803">
        <v>150</v>
      </c>
      <c r="S18803">
        <v>0</v>
      </c>
      <c r="T18803" t="s">
        <v>3893</v>
      </c>
    </row>
    <row r="18804" spans="1:20" customFormat="1" ht="15" x14ac:dyDescent="0.25">
      <c r="A18804" t="s">
        <v>24</v>
      </c>
      <c r="B18804" t="s">
        <v>3628</v>
      </c>
      <c r="C18804" t="str">
        <f>"A0065957"</f>
        <v>A0065957</v>
      </c>
      <c r="D18804" t="s">
        <v>3914</v>
      </c>
      <c r="E18804" t="s">
        <v>3915</v>
      </c>
      <c r="F18804" t="s">
        <v>2978</v>
      </c>
      <c r="G18804" t="s">
        <v>110</v>
      </c>
      <c r="H18804">
        <v>92131</v>
      </c>
      <c r="I18804" t="s">
        <v>30</v>
      </c>
      <c r="J18804" t="s">
        <v>171</v>
      </c>
      <c r="K18804" t="s">
        <v>1450</v>
      </c>
      <c r="N18804" t="s">
        <v>3916</v>
      </c>
      <c r="O18804" t="s">
        <v>3917</v>
      </c>
      <c r="Q18804">
        <v>0</v>
      </c>
      <c r="R18804">
        <v>95</v>
      </c>
      <c r="S18804">
        <v>0</v>
      </c>
      <c r="T18804" t="s">
        <v>3918</v>
      </c>
    </row>
    <row r="18805" spans="1:20" customFormat="1" ht="15" x14ac:dyDescent="0.25">
      <c r="A18805" t="s">
        <v>24</v>
      </c>
      <c r="B18805" t="s">
        <v>3977</v>
      </c>
      <c r="C18805" t="str">
        <f>"SF08575"</f>
        <v>SF08575</v>
      </c>
      <c r="D18805" t="s">
        <v>3978</v>
      </c>
      <c r="E18805" t="s">
        <v>3979</v>
      </c>
      <c r="F18805" t="s">
        <v>1439</v>
      </c>
      <c r="G18805" t="s">
        <v>110</v>
      </c>
      <c r="H18805">
        <v>92110</v>
      </c>
      <c r="I18805" t="s">
        <v>30</v>
      </c>
      <c r="J18805" t="s">
        <v>171</v>
      </c>
      <c r="K18805" t="s">
        <v>973</v>
      </c>
      <c r="N18805" t="s">
        <v>3980</v>
      </c>
      <c r="O18805" t="s">
        <v>3981</v>
      </c>
      <c r="Q18805">
        <v>0</v>
      </c>
      <c r="R18805">
        <v>176</v>
      </c>
      <c r="S18805">
        <v>0</v>
      </c>
      <c r="T18805" t="s">
        <v>3982</v>
      </c>
    </row>
    <row r="18806" spans="1:20" customFormat="1" ht="15" x14ac:dyDescent="0.25">
      <c r="A18806" t="s">
        <v>24</v>
      </c>
      <c r="B18806" t="s">
        <v>257</v>
      </c>
      <c r="C18806" t="str">
        <f>"A0191797"</f>
        <v>A0191797</v>
      </c>
      <c r="D18806" t="s">
        <v>4147</v>
      </c>
      <c r="E18806" t="s">
        <v>4148</v>
      </c>
      <c r="F18806" t="s">
        <v>4149</v>
      </c>
      <c r="G18806" t="s">
        <v>81</v>
      </c>
      <c r="H18806">
        <v>32541</v>
      </c>
      <c r="I18806" t="s">
        <v>30</v>
      </c>
      <c r="J18806" t="s">
        <v>171</v>
      </c>
      <c r="K18806" t="s">
        <v>1023</v>
      </c>
      <c r="N18806" t="s">
        <v>4150</v>
      </c>
      <c r="Q18806">
        <v>0</v>
      </c>
      <c r="R18806">
        <v>0</v>
      </c>
      <c r="S18806">
        <v>0</v>
      </c>
      <c r="T18806" t="s">
        <v>4151</v>
      </c>
    </row>
    <row r="18807" spans="1:20" customFormat="1" ht="15" x14ac:dyDescent="0.25">
      <c r="A18807" t="s">
        <v>24</v>
      </c>
      <c r="B18807" t="s">
        <v>3628</v>
      </c>
      <c r="C18807" t="str">
        <f>"56636"</f>
        <v>56636</v>
      </c>
      <c r="D18807" t="s">
        <v>4377</v>
      </c>
      <c r="E18807" t="s">
        <v>4378</v>
      </c>
      <c r="F18807" t="s">
        <v>4379</v>
      </c>
      <c r="G18807" t="s">
        <v>65</v>
      </c>
      <c r="H18807">
        <v>44060</v>
      </c>
      <c r="I18807" t="s">
        <v>30</v>
      </c>
      <c r="J18807" t="s">
        <v>171</v>
      </c>
      <c r="K18807" t="s">
        <v>1450</v>
      </c>
      <c r="N18807" t="s">
        <v>4380</v>
      </c>
      <c r="O18807" t="s">
        <v>4381</v>
      </c>
      <c r="Q18807">
        <v>0</v>
      </c>
      <c r="R18807">
        <v>96</v>
      </c>
      <c r="S18807">
        <v>0</v>
      </c>
      <c r="T18807" t="s">
        <v>4382</v>
      </c>
    </row>
    <row r="18808" spans="1:20" customFormat="1" ht="15" x14ac:dyDescent="0.25">
      <c r="A18808" t="s">
        <v>24</v>
      </c>
      <c r="B18808" t="s">
        <v>1548</v>
      </c>
      <c r="C18808" t="str">
        <f>"A0191709"</f>
        <v>A0191709</v>
      </c>
      <c r="D18808" t="s">
        <v>4383</v>
      </c>
      <c r="E18808" t="s">
        <v>4384</v>
      </c>
      <c r="F18808" t="s">
        <v>4385</v>
      </c>
      <c r="G18808" t="s">
        <v>99</v>
      </c>
      <c r="H18808">
        <v>11217</v>
      </c>
      <c r="I18808" t="s">
        <v>30</v>
      </c>
      <c r="J18808" t="s">
        <v>171</v>
      </c>
      <c r="K18808" t="s">
        <v>4386</v>
      </c>
      <c r="N18808" t="s">
        <v>4387</v>
      </c>
      <c r="Q18808">
        <v>0</v>
      </c>
      <c r="R18808">
        <v>202</v>
      </c>
      <c r="S18808">
        <v>0</v>
      </c>
      <c r="T18808" t="s">
        <v>4388</v>
      </c>
    </row>
    <row r="18809" spans="1:20" customFormat="1" ht="15" x14ac:dyDescent="0.25">
      <c r="A18809" t="s">
        <v>24</v>
      </c>
      <c r="B18809" t="s">
        <v>1548</v>
      </c>
      <c r="C18809" t="str">
        <f>"A0058963"</f>
        <v>A0058963</v>
      </c>
      <c r="D18809" t="s">
        <v>4389</v>
      </c>
      <c r="E18809" t="s">
        <v>4390</v>
      </c>
      <c r="F18809" t="s">
        <v>4391</v>
      </c>
      <c r="G18809" t="s">
        <v>615</v>
      </c>
      <c r="H18809">
        <v>6851</v>
      </c>
      <c r="I18809" t="s">
        <v>30</v>
      </c>
      <c r="J18809" t="s">
        <v>171</v>
      </c>
      <c r="K18809" t="s">
        <v>4386</v>
      </c>
      <c r="N18809" t="s">
        <v>4392</v>
      </c>
      <c r="O18809" t="s">
        <v>4393</v>
      </c>
      <c r="Q18809">
        <v>0</v>
      </c>
      <c r="R18809">
        <v>127</v>
      </c>
      <c r="S18809">
        <v>0</v>
      </c>
      <c r="T18809" t="s">
        <v>4394</v>
      </c>
    </row>
    <row r="18810" spans="1:20" customFormat="1" ht="15" x14ac:dyDescent="0.25">
      <c r="A18810" t="s">
        <v>24</v>
      </c>
      <c r="B18810" t="s">
        <v>1548</v>
      </c>
      <c r="C18810" t="str">
        <f>"A0056714"</f>
        <v>A0056714</v>
      </c>
      <c r="D18810" t="s">
        <v>4395</v>
      </c>
      <c r="E18810" t="s">
        <v>4396</v>
      </c>
      <c r="F18810" t="s">
        <v>4397</v>
      </c>
      <c r="G18810" t="s">
        <v>123</v>
      </c>
      <c r="H18810">
        <v>20852</v>
      </c>
      <c r="I18810" t="s">
        <v>30</v>
      </c>
      <c r="J18810" t="s">
        <v>171</v>
      </c>
      <c r="K18810" t="s">
        <v>4386</v>
      </c>
      <c r="N18810" t="s">
        <v>4398</v>
      </c>
      <c r="Q18810">
        <v>0</v>
      </c>
      <c r="R18810">
        <v>162</v>
      </c>
      <c r="S18810">
        <v>0</v>
      </c>
      <c r="T18810" t="s">
        <v>4399</v>
      </c>
    </row>
    <row r="18811" spans="1:20" customFormat="1" ht="15" x14ac:dyDescent="0.25">
      <c r="A18811" t="s">
        <v>24</v>
      </c>
      <c r="B18811" t="s">
        <v>2528</v>
      </c>
      <c r="C18811" t="str">
        <f>"A0089607"</f>
        <v>A0089607</v>
      </c>
      <c r="D18811" t="s">
        <v>69195</v>
      </c>
      <c r="E18811" t="s">
        <v>69196</v>
      </c>
      <c r="F18811" t="s">
        <v>972</v>
      </c>
      <c r="G18811" t="s">
        <v>190</v>
      </c>
      <c r="H18811">
        <v>80237</v>
      </c>
      <c r="I18811" t="s">
        <v>30</v>
      </c>
      <c r="J18811" t="s">
        <v>31</v>
      </c>
      <c r="K18811" t="s">
        <v>1331</v>
      </c>
      <c r="N18811" t="s">
        <v>69197</v>
      </c>
      <c r="O18811" t="s">
        <v>69198</v>
      </c>
      <c r="Q18811">
        <v>0</v>
      </c>
      <c r="R18811">
        <v>180</v>
      </c>
      <c r="S18811">
        <v>0</v>
      </c>
      <c r="T18811" t="s">
        <v>69199</v>
      </c>
    </row>
    <row r="18812" spans="1:20" customFormat="1" ht="15" x14ac:dyDescent="0.25">
      <c r="A18812" t="s">
        <v>24</v>
      </c>
      <c r="B18812" t="s">
        <v>4400</v>
      </c>
      <c r="C18812" t="str">
        <f>"A0090694"</f>
        <v>A0090694</v>
      </c>
      <c r="D18812" t="s">
        <v>4406</v>
      </c>
      <c r="E18812" t="s">
        <v>4407</v>
      </c>
      <c r="F18812" t="s">
        <v>4403</v>
      </c>
      <c r="G18812" t="s">
        <v>65</v>
      </c>
      <c r="H18812">
        <v>43551</v>
      </c>
      <c r="I18812" t="s">
        <v>30</v>
      </c>
      <c r="J18812" t="s">
        <v>171</v>
      </c>
      <c r="K18812" t="s">
        <v>1331</v>
      </c>
      <c r="N18812" t="s">
        <v>4408</v>
      </c>
      <c r="Q18812">
        <v>0</v>
      </c>
      <c r="R18812">
        <v>184</v>
      </c>
      <c r="S18812">
        <v>0</v>
      </c>
      <c r="T18812" t="s">
        <v>4409</v>
      </c>
    </row>
    <row r="18813" spans="1:20" customFormat="1" ht="15" x14ac:dyDescent="0.25">
      <c r="A18813" t="s">
        <v>24</v>
      </c>
      <c r="B18813" t="s">
        <v>3628</v>
      </c>
      <c r="C18813" t="str">
        <f>"56887"</f>
        <v>56887</v>
      </c>
      <c r="D18813" t="s">
        <v>4415</v>
      </c>
      <c r="E18813" t="s">
        <v>4416</v>
      </c>
      <c r="F18813" t="s">
        <v>4417</v>
      </c>
      <c r="G18813" t="s">
        <v>65</v>
      </c>
      <c r="H18813">
        <v>44131</v>
      </c>
      <c r="I18813" t="s">
        <v>30</v>
      </c>
      <c r="J18813" t="s">
        <v>171</v>
      </c>
      <c r="K18813" t="s">
        <v>1450</v>
      </c>
      <c r="N18813" t="s">
        <v>4418</v>
      </c>
      <c r="Q18813">
        <v>0</v>
      </c>
      <c r="R18813">
        <v>118</v>
      </c>
      <c r="S18813">
        <v>0</v>
      </c>
      <c r="T18813" t="s">
        <v>4419</v>
      </c>
    </row>
    <row r="18814" spans="1:20" customFormat="1" ht="15" x14ac:dyDescent="0.25">
      <c r="A18814" t="s">
        <v>24</v>
      </c>
      <c r="B18814" t="s">
        <v>3628</v>
      </c>
      <c r="C18814" t="str">
        <f>"A0095173"</f>
        <v>A0095173</v>
      </c>
      <c r="D18814" t="s">
        <v>4420</v>
      </c>
      <c r="E18814" t="s">
        <v>4421</v>
      </c>
      <c r="F18814" t="s">
        <v>2069</v>
      </c>
      <c r="G18814" t="s">
        <v>1170</v>
      </c>
      <c r="H18814">
        <v>70112</v>
      </c>
      <c r="I18814" t="s">
        <v>30</v>
      </c>
      <c r="J18814" t="s">
        <v>171</v>
      </c>
      <c r="K18814" t="s">
        <v>2925</v>
      </c>
      <c r="N18814" t="s">
        <v>4422</v>
      </c>
      <c r="Q18814">
        <v>0</v>
      </c>
      <c r="R18814">
        <v>108</v>
      </c>
      <c r="S18814">
        <v>0</v>
      </c>
      <c r="T18814" t="s">
        <v>4423</v>
      </c>
    </row>
    <row r="18815" spans="1:20" customFormat="1" ht="15" x14ac:dyDescent="0.25">
      <c r="A18815" t="s">
        <v>24</v>
      </c>
      <c r="B18815" t="s">
        <v>3628</v>
      </c>
      <c r="C18815" t="str">
        <f>"SF05298"</f>
        <v>SF05298</v>
      </c>
      <c r="D18815" t="s">
        <v>4424</v>
      </c>
      <c r="E18815" t="s">
        <v>4425</v>
      </c>
      <c r="F18815" t="s">
        <v>839</v>
      </c>
      <c r="G18815" t="s">
        <v>840</v>
      </c>
      <c r="H18815">
        <v>40299</v>
      </c>
      <c r="I18815" t="s">
        <v>30</v>
      </c>
      <c r="J18815" t="s">
        <v>171</v>
      </c>
      <c r="K18815" t="s">
        <v>1147</v>
      </c>
      <c r="N18815" t="s">
        <v>4426</v>
      </c>
      <c r="O18815" t="s">
        <v>4427</v>
      </c>
      <c r="Q18815">
        <v>0</v>
      </c>
      <c r="R18815">
        <v>94</v>
      </c>
      <c r="S18815">
        <v>0</v>
      </c>
      <c r="T18815" t="s">
        <v>4428</v>
      </c>
    </row>
    <row r="18816" spans="1:20" customFormat="1" ht="15" x14ac:dyDescent="0.25">
      <c r="A18816" t="s">
        <v>24</v>
      </c>
      <c r="B18816" t="s">
        <v>3894</v>
      </c>
      <c r="C18816" t="str">
        <f>"SF04669"</f>
        <v>SF04669</v>
      </c>
      <c r="D18816" t="s">
        <v>4465</v>
      </c>
      <c r="E18816" t="s">
        <v>4466</v>
      </c>
      <c r="F18816" t="s">
        <v>4467</v>
      </c>
      <c r="G18816" t="s">
        <v>289</v>
      </c>
      <c r="H18816">
        <v>61605</v>
      </c>
      <c r="I18816" t="s">
        <v>30</v>
      </c>
      <c r="J18816" t="s">
        <v>171</v>
      </c>
      <c r="K18816" t="s">
        <v>1147</v>
      </c>
      <c r="N18816" t="s">
        <v>4468</v>
      </c>
      <c r="Q18816">
        <v>0</v>
      </c>
      <c r="R18816">
        <v>105</v>
      </c>
      <c r="S18816">
        <v>0</v>
      </c>
      <c r="T18816" t="s">
        <v>4469</v>
      </c>
    </row>
    <row r="18817" spans="1:20" customFormat="1" ht="15" x14ac:dyDescent="0.25">
      <c r="A18817" t="s">
        <v>24</v>
      </c>
      <c r="B18817" t="s">
        <v>3221</v>
      </c>
      <c r="C18817" t="str">
        <f>"A0191135"</f>
        <v>A0191135</v>
      </c>
      <c r="D18817" t="s">
        <v>4530</v>
      </c>
      <c r="E18817" t="s">
        <v>4531</v>
      </c>
      <c r="F18817" t="s">
        <v>4532</v>
      </c>
      <c r="G18817" t="s">
        <v>899</v>
      </c>
      <c r="H18817">
        <v>2657</v>
      </c>
      <c r="I18817" t="s">
        <v>30</v>
      </c>
      <c r="J18817" t="s">
        <v>171</v>
      </c>
      <c r="K18817" t="s">
        <v>163</v>
      </c>
      <c r="N18817" t="s">
        <v>4533</v>
      </c>
      <c r="Q18817">
        <v>0</v>
      </c>
      <c r="R18817">
        <v>37</v>
      </c>
      <c r="S18817">
        <v>0</v>
      </c>
      <c r="T18817" t="s">
        <v>4534</v>
      </c>
    </row>
    <row r="18818" spans="1:20" customFormat="1" ht="15" hidden="1" x14ac:dyDescent="0.25">
      <c r="A18818" t="s">
        <v>24</v>
      </c>
      <c r="B18818" t="s">
        <v>58099</v>
      </c>
      <c r="C18818" t="str">
        <f>"A0093919"</f>
        <v>A0093919</v>
      </c>
      <c r="D18818" t="s">
        <v>69227</v>
      </c>
      <c r="E18818" t="s">
        <v>69228</v>
      </c>
      <c r="F18818" t="s">
        <v>69229</v>
      </c>
      <c r="G18818" t="s">
        <v>1457</v>
      </c>
      <c r="H18818" t="s">
        <v>69230</v>
      </c>
      <c r="I18818" t="s">
        <v>1459</v>
      </c>
      <c r="J18818" t="s">
        <v>171</v>
      </c>
      <c r="K18818" t="s">
        <v>1331</v>
      </c>
      <c r="N18818" t="s">
        <v>69231</v>
      </c>
      <c r="Q18818">
        <v>0</v>
      </c>
      <c r="R18818">
        <v>165</v>
      </c>
      <c r="S18818">
        <v>0</v>
      </c>
      <c r="T18818" t="s">
        <v>69232</v>
      </c>
    </row>
    <row r="18819" spans="1:20" customFormat="1" ht="15" x14ac:dyDescent="0.25">
      <c r="A18819" t="s">
        <v>24</v>
      </c>
      <c r="B18819" t="s">
        <v>3221</v>
      </c>
      <c r="C18819" t="str">
        <f>"A0191137"</f>
        <v>A0191137</v>
      </c>
      <c r="D18819" t="s">
        <v>4535</v>
      </c>
      <c r="E18819" t="s">
        <v>4536</v>
      </c>
      <c r="F18819" t="s">
        <v>4532</v>
      </c>
      <c r="G18819" t="s">
        <v>899</v>
      </c>
      <c r="H18819">
        <v>2657</v>
      </c>
      <c r="I18819" t="s">
        <v>30</v>
      </c>
      <c r="J18819" t="s">
        <v>171</v>
      </c>
      <c r="K18819" t="s">
        <v>163</v>
      </c>
      <c r="N18819" t="s">
        <v>4537</v>
      </c>
      <c r="Q18819">
        <v>0</v>
      </c>
      <c r="R18819">
        <v>43</v>
      </c>
      <c r="S18819">
        <v>0</v>
      </c>
      <c r="T18819" t="s">
        <v>4538</v>
      </c>
    </row>
    <row r="18820" spans="1:20" customFormat="1" ht="15" x14ac:dyDescent="0.25">
      <c r="A18820" t="s">
        <v>24</v>
      </c>
      <c r="B18820" t="s">
        <v>1528</v>
      </c>
      <c r="C18820" t="str">
        <f>"A0191351"</f>
        <v>A0191351</v>
      </c>
      <c r="D18820" t="s">
        <v>4843</v>
      </c>
      <c r="E18820" t="s">
        <v>4844</v>
      </c>
      <c r="F18820" t="s">
        <v>4845</v>
      </c>
      <c r="G18820" t="s">
        <v>76</v>
      </c>
      <c r="H18820">
        <v>98239</v>
      </c>
      <c r="I18820" t="s">
        <v>30</v>
      </c>
      <c r="J18820" t="s">
        <v>171</v>
      </c>
      <c r="K18820" t="s">
        <v>163</v>
      </c>
      <c r="N18820" t="s">
        <v>4846</v>
      </c>
      <c r="Q18820">
        <v>0</v>
      </c>
      <c r="R18820">
        <v>29</v>
      </c>
      <c r="S18820">
        <v>0</v>
      </c>
      <c r="T18820" t="s">
        <v>4847</v>
      </c>
    </row>
    <row r="18821" spans="1:20" customFormat="1" ht="15" x14ac:dyDescent="0.25">
      <c r="A18821" t="s">
        <v>24</v>
      </c>
      <c r="B18821" t="s">
        <v>2528</v>
      </c>
      <c r="C18821" t="str">
        <f>"A0099768"</f>
        <v>A0099768</v>
      </c>
      <c r="D18821" t="s">
        <v>4887</v>
      </c>
      <c r="E18821" t="s">
        <v>4888</v>
      </c>
      <c r="F18821" t="s">
        <v>242</v>
      </c>
      <c r="G18821" t="s">
        <v>214</v>
      </c>
      <c r="H18821">
        <v>28269</v>
      </c>
      <c r="I18821" t="s">
        <v>30</v>
      </c>
      <c r="J18821" t="s">
        <v>171</v>
      </c>
      <c r="K18821" t="s">
        <v>1450</v>
      </c>
      <c r="N18821" t="s">
        <v>4889</v>
      </c>
      <c r="Q18821">
        <v>0</v>
      </c>
      <c r="R18821">
        <v>98</v>
      </c>
      <c r="S18821">
        <v>0</v>
      </c>
      <c r="T18821" t="s">
        <v>4890</v>
      </c>
    </row>
    <row r="18822" spans="1:20" customFormat="1" ht="15" x14ac:dyDescent="0.25">
      <c r="A18822" t="s">
        <v>24</v>
      </c>
      <c r="B18822" t="s">
        <v>2528</v>
      </c>
      <c r="C18822" t="str">
        <f>"A0100173"</f>
        <v>A0100173</v>
      </c>
      <c r="D18822" t="s">
        <v>4891</v>
      </c>
      <c r="E18822" t="s">
        <v>4888</v>
      </c>
      <c r="F18822" t="s">
        <v>242</v>
      </c>
      <c r="G18822" t="s">
        <v>214</v>
      </c>
      <c r="H18822">
        <v>28269</v>
      </c>
      <c r="I18822" t="s">
        <v>30</v>
      </c>
      <c r="J18822" t="s">
        <v>171</v>
      </c>
      <c r="K18822" t="s">
        <v>973</v>
      </c>
      <c r="N18822" t="s">
        <v>4889</v>
      </c>
      <c r="Q18822">
        <v>0</v>
      </c>
      <c r="R18822">
        <v>113</v>
      </c>
      <c r="S18822">
        <v>0</v>
      </c>
      <c r="T18822" t="s">
        <v>4890</v>
      </c>
    </row>
    <row r="18823" spans="1:20" customFormat="1" ht="15" x14ac:dyDescent="0.25">
      <c r="A18823" t="s">
        <v>24</v>
      </c>
      <c r="B18823" t="s">
        <v>4912</v>
      </c>
      <c r="C18823" t="str">
        <f>"A0191308"</f>
        <v>A0191308</v>
      </c>
      <c r="D18823" t="s">
        <v>4913</v>
      </c>
      <c r="E18823" t="s">
        <v>4914</v>
      </c>
      <c r="F18823" t="s">
        <v>4915</v>
      </c>
      <c r="G18823" t="s">
        <v>81</v>
      </c>
      <c r="H18823">
        <v>33936</v>
      </c>
      <c r="I18823" t="s">
        <v>30</v>
      </c>
      <c r="J18823" t="s">
        <v>171</v>
      </c>
      <c r="K18823" t="s">
        <v>315</v>
      </c>
      <c r="N18823" t="s">
        <v>3255</v>
      </c>
      <c r="Q18823">
        <v>0</v>
      </c>
      <c r="R18823">
        <v>75</v>
      </c>
      <c r="S18823">
        <v>0</v>
      </c>
      <c r="T18823" t="s">
        <v>4916</v>
      </c>
    </row>
    <row r="18824" spans="1:20" customFormat="1" ht="15" x14ac:dyDescent="0.25">
      <c r="A18824" t="s">
        <v>24</v>
      </c>
      <c r="B18824" t="s">
        <v>2485</v>
      </c>
      <c r="C18824" t="str">
        <f>"A0191361"</f>
        <v>A0191361</v>
      </c>
      <c r="D18824" t="s">
        <v>4922</v>
      </c>
      <c r="E18824" t="s">
        <v>4923</v>
      </c>
      <c r="F18824" t="s">
        <v>4802</v>
      </c>
      <c r="G18824" t="s">
        <v>110</v>
      </c>
      <c r="H18824">
        <v>95131</v>
      </c>
      <c r="I18824" t="s">
        <v>30</v>
      </c>
      <c r="J18824" t="s">
        <v>171</v>
      </c>
      <c r="K18824" t="s">
        <v>315</v>
      </c>
      <c r="N18824" t="s">
        <v>4924</v>
      </c>
      <c r="Q18824">
        <v>0</v>
      </c>
      <c r="R18824">
        <v>44</v>
      </c>
      <c r="S18824">
        <v>0</v>
      </c>
      <c r="T18824" t="s">
        <v>4925</v>
      </c>
    </row>
    <row r="18825" spans="1:20" customFormat="1" ht="15" x14ac:dyDescent="0.25">
      <c r="A18825" t="s">
        <v>24</v>
      </c>
      <c r="B18825" t="s">
        <v>2485</v>
      </c>
      <c r="C18825" t="str">
        <f>"A0100938"</f>
        <v>A0100938</v>
      </c>
      <c r="D18825" t="s">
        <v>4926</v>
      </c>
      <c r="E18825" t="s">
        <v>4927</v>
      </c>
      <c r="F18825" t="s">
        <v>4928</v>
      </c>
      <c r="G18825" t="s">
        <v>110</v>
      </c>
      <c r="H18825">
        <v>95066</v>
      </c>
      <c r="I18825" t="s">
        <v>30</v>
      </c>
      <c r="J18825" t="s">
        <v>171</v>
      </c>
      <c r="K18825" t="s">
        <v>653</v>
      </c>
      <c r="N18825" t="s">
        <v>4929</v>
      </c>
      <c r="Q18825">
        <v>0</v>
      </c>
      <c r="R18825">
        <v>128</v>
      </c>
      <c r="S18825">
        <v>0</v>
      </c>
      <c r="T18825" t="s">
        <v>4930</v>
      </c>
    </row>
    <row r="18826" spans="1:20" customFormat="1" ht="15" x14ac:dyDescent="0.25">
      <c r="A18826" t="s">
        <v>24</v>
      </c>
      <c r="B18826" t="s">
        <v>2485</v>
      </c>
      <c r="C18826" t="str">
        <f>"A0094577"</f>
        <v>A0094577</v>
      </c>
      <c r="D18826" t="s">
        <v>4955</v>
      </c>
      <c r="E18826" t="s">
        <v>4956</v>
      </c>
      <c r="F18826" t="s">
        <v>2039</v>
      </c>
      <c r="G18826" t="s">
        <v>110</v>
      </c>
      <c r="H18826">
        <v>95060</v>
      </c>
      <c r="I18826" t="s">
        <v>30</v>
      </c>
      <c r="J18826" t="s">
        <v>171</v>
      </c>
      <c r="K18826" t="s">
        <v>973</v>
      </c>
      <c r="N18826" t="s">
        <v>4957</v>
      </c>
      <c r="Q18826">
        <v>0</v>
      </c>
      <c r="R18826">
        <v>151</v>
      </c>
      <c r="S18826">
        <v>0</v>
      </c>
      <c r="T18826" t="s">
        <v>2029</v>
      </c>
    </row>
    <row r="18827" spans="1:20" customFormat="1" ht="15" x14ac:dyDescent="0.25">
      <c r="A18827" t="s">
        <v>24</v>
      </c>
      <c r="B18827" t="s">
        <v>4912</v>
      </c>
      <c r="C18827" t="str">
        <f>"A0056138"</f>
        <v>A0056138</v>
      </c>
      <c r="D18827" t="s">
        <v>4973</v>
      </c>
      <c r="E18827" t="s">
        <v>4974</v>
      </c>
      <c r="F18827" t="s">
        <v>4970</v>
      </c>
      <c r="G18827" t="s">
        <v>880</v>
      </c>
      <c r="H18827">
        <v>38138</v>
      </c>
      <c r="I18827" t="s">
        <v>30</v>
      </c>
      <c r="J18827" t="s">
        <v>171</v>
      </c>
      <c r="K18827" t="s">
        <v>1023</v>
      </c>
      <c r="N18827" t="s">
        <v>4975</v>
      </c>
      <c r="Q18827">
        <v>0</v>
      </c>
      <c r="R18827">
        <v>92</v>
      </c>
      <c r="S18827">
        <v>0</v>
      </c>
      <c r="T18827" t="s">
        <v>4976</v>
      </c>
    </row>
    <row r="18828" spans="1:20" customFormat="1" ht="15" x14ac:dyDescent="0.25">
      <c r="A18828" t="s">
        <v>24</v>
      </c>
      <c r="B18828" t="s">
        <v>5010</v>
      </c>
      <c r="C18828" t="str">
        <f>"A0191290"</f>
        <v>A0191290</v>
      </c>
      <c r="D18828" t="s">
        <v>5011</v>
      </c>
      <c r="E18828" t="s">
        <v>5012</v>
      </c>
      <c r="F18828" t="s">
        <v>5013</v>
      </c>
      <c r="G18828" t="s">
        <v>103</v>
      </c>
      <c r="H18828">
        <v>17406</v>
      </c>
      <c r="I18828" t="s">
        <v>30</v>
      </c>
      <c r="J18828" t="s">
        <v>171</v>
      </c>
      <c r="K18828" t="s">
        <v>1023</v>
      </c>
      <c r="N18828" t="s">
        <v>5014</v>
      </c>
      <c r="Q18828">
        <v>0</v>
      </c>
      <c r="R18828">
        <v>91</v>
      </c>
      <c r="S18828">
        <v>0</v>
      </c>
      <c r="T18828" t="s">
        <v>5015</v>
      </c>
    </row>
    <row r="18829" spans="1:20" customFormat="1" ht="15" x14ac:dyDescent="0.25">
      <c r="A18829" t="s">
        <v>24</v>
      </c>
      <c r="B18829" t="s">
        <v>2955</v>
      </c>
      <c r="C18829" t="str">
        <f>"A0191265"</f>
        <v>A0191265</v>
      </c>
      <c r="D18829" t="s">
        <v>5175</v>
      </c>
      <c r="E18829" t="s">
        <v>5176</v>
      </c>
      <c r="F18829" t="s">
        <v>1564</v>
      </c>
      <c r="G18829" t="s">
        <v>52</v>
      </c>
      <c r="H18829">
        <v>77056</v>
      </c>
      <c r="I18829" t="s">
        <v>30</v>
      </c>
      <c r="J18829" t="s">
        <v>171</v>
      </c>
      <c r="K18829" t="s">
        <v>1331</v>
      </c>
      <c r="N18829" t="s">
        <v>5177</v>
      </c>
      <c r="O18829" t="s">
        <v>5178</v>
      </c>
      <c r="Q18829">
        <v>0</v>
      </c>
      <c r="R18829">
        <v>182</v>
      </c>
      <c r="S18829">
        <v>0</v>
      </c>
      <c r="T18829" t="s">
        <v>5179</v>
      </c>
    </row>
    <row r="18830" spans="1:20" customFormat="1" ht="15" x14ac:dyDescent="0.25">
      <c r="A18830" t="s">
        <v>24</v>
      </c>
      <c r="B18830" t="s">
        <v>2955</v>
      </c>
      <c r="C18830" t="str">
        <f>"A0191264"</f>
        <v>A0191264</v>
      </c>
      <c r="D18830" t="s">
        <v>5180</v>
      </c>
      <c r="E18830" t="s">
        <v>5181</v>
      </c>
      <c r="F18830" t="s">
        <v>1564</v>
      </c>
      <c r="G18830" t="s">
        <v>52</v>
      </c>
      <c r="H18830">
        <v>77079</v>
      </c>
      <c r="I18830" t="s">
        <v>30</v>
      </c>
      <c r="J18830" t="s">
        <v>171</v>
      </c>
      <c r="K18830" t="s">
        <v>1331</v>
      </c>
      <c r="N18830" t="s">
        <v>5182</v>
      </c>
      <c r="Q18830">
        <v>0</v>
      </c>
      <c r="R18830">
        <v>190</v>
      </c>
      <c r="S18830">
        <v>0</v>
      </c>
      <c r="T18830" t="s">
        <v>5179</v>
      </c>
    </row>
    <row r="18831" spans="1:20" customFormat="1" ht="15" x14ac:dyDescent="0.25">
      <c r="A18831" t="s">
        <v>24</v>
      </c>
      <c r="B18831" t="s">
        <v>5351</v>
      </c>
      <c r="C18831" t="str">
        <f>"A0191144"</f>
        <v>A0191144</v>
      </c>
      <c r="D18831" t="s">
        <v>5352</v>
      </c>
      <c r="E18831" t="s">
        <v>5353</v>
      </c>
      <c r="F18831" t="s">
        <v>3955</v>
      </c>
      <c r="G18831" t="s">
        <v>81</v>
      </c>
      <c r="H18831">
        <v>33602</v>
      </c>
      <c r="I18831" t="s">
        <v>30</v>
      </c>
      <c r="J18831" t="s">
        <v>171</v>
      </c>
      <c r="K18831" t="s">
        <v>5354</v>
      </c>
      <c r="N18831" t="s">
        <v>5355</v>
      </c>
      <c r="Q18831">
        <v>0</v>
      </c>
      <c r="R18831">
        <v>212</v>
      </c>
      <c r="S18831">
        <v>0</v>
      </c>
      <c r="T18831" t="s">
        <v>5356</v>
      </c>
    </row>
    <row r="18832" spans="1:20" customFormat="1" ht="15" x14ac:dyDescent="0.25">
      <c r="A18832" t="s">
        <v>24</v>
      </c>
      <c r="B18832" t="s">
        <v>1020</v>
      </c>
      <c r="C18832" t="str">
        <f>"A0076827"</f>
        <v>A0076827</v>
      </c>
      <c r="D18832" t="s">
        <v>69292</v>
      </c>
      <c r="E18832" t="s">
        <v>69293</v>
      </c>
      <c r="F18832" t="s">
        <v>69294</v>
      </c>
      <c r="G18832" t="s">
        <v>615</v>
      </c>
      <c r="H18832" t="s">
        <v>69295</v>
      </c>
      <c r="I18832" t="s">
        <v>30</v>
      </c>
      <c r="J18832" t="s">
        <v>31</v>
      </c>
      <c r="K18832" t="s">
        <v>1331</v>
      </c>
      <c r="N18832" t="s">
        <v>69296</v>
      </c>
      <c r="Q18832">
        <v>0</v>
      </c>
      <c r="R18832">
        <v>150</v>
      </c>
      <c r="S18832">
        <v>0</v>
      </c>
      <c r="T18832" t="s">
        <v>69297</v>
      </c>
    </row>
    <row r="18833" spans="1:20" customFormat="1" ht="15" x14ac:dyDescent="0.25">
      <c r="A18833" t="s">
        <v>24</v>
      </c>
      <c r="B18833" t="s">
        <v>5537</v>
      </c>
      <c r="C18833" t="str">
        <f>"A0077436"</f>
        <v>A0077436</v>
      </c>
      <c r="D18833" t="s">
        <v>5538</v>
      </c>
      <c r="E18833" t="s">
        <v>5539</v>
      </c>
      <c r="F18833" t="s">
        <v>5540</v>
      </c>
      <c r="G18833" t="s">
        <v>2450</v>
      </c>
      <c r="H18833">
        <v>4032</v>
      </c>
      <c r="I18833" t="s">
        <v>30</v>
      </c>
      <c r="J18833" t="s">
        <v>171</v>
      </c>
      <c r="K18833" t="s">
        <v>1331</v>
      </c>
      <c r="N18833" t="s">
        <v>5541</v>
      </c>
      <c r="O18833" t="s">
        <v>5542</v>
      </c>
      <c r="Q18833">
        <v>0</v>
      </c>
      <c r="R18833">
        <v>99</v>
      </c>
      <c r="S18833">
        <v>0</v>
      </c>
      <c r="T18833" t="s">
        <v>5543</v>
      </c>
    </row>
    <row r="18834" spans="1:20" customFormat="1" ht="15" x14ac:dyDescent="0.25">
      <c r="A18834" t="s">
        <v>24</v>
      </c>
      <c r="B18834" t="s">
        <v>1487</v>
      </c>
      <c r="C18834" t="str">
        <f>"A0078304"</f>
        <v>A0078304</v>
      </c>
      <c r="D18834" t="s">
        <v>5544</v>
      </c>
      <c r="E18834" t="s">
        <v>5545</v>
      </c>
      <c r="F18834" t="s">
        <v>372</v>
      </c>
      <c r="G18834" t="s">
        <v>52</v>
      </c>
      <c r="H18834">
        <v>78701</v>
      </c>
      <c r="I18834" t="s">
        <v>30</v>
      </c>
      <c r="J18834" t="s">
        <v>171</v>
      </c>
      <c r="K18834" t="s">
        <v>973</v>
      </c>
      <c r="N18834" t="s">
        <v>5546</v>
      </c>
      <c r="Q18834">
        <v>0</v>
      </c>
      <c r="R18834">
        <v>270</v>
      </c>
      <c r="S18834">
        <v>0</v>
      </c>
      <c r="T18834" t="s">
        <v>5547</v>
      </c>
    </row>
    <row r="18835" spans="1:20" customFormat="1" ht="15" x14ac:dyDescent="0.25">
      <c r="A18835" t="s">
        <v>24</v>
      </c>
      <c r="B18835" t="s">
        <v>5564</v>
      </c>
      <c r="C18835" t="str">
        <f>"A0166490"</f>
        <v>A0166490</v>
      </c>
      <c r="D18835" t="s">
        <v>5565</v>
      </c>
      <c r="E18835" t="s">
        <v>5566</v>
      </c>
      <c r="F18835" t="s">
        <v>5567</v>
      </c>
      <c r="G18835" t="s">
        <v>846</v>
      </c>
      <c r="H18835">
        <v>30033</v>
      </c>
      <c r="I18835" t="s">
        <v>30</v>
      </c>
      <c r="J18835" t="s">
        <v>171</v>
      </c>
      <c r="K18835" t="s">
        <v>1450</v>
      </c>
      <c r="N18835" t="s">
        <v>5568</v>
      </c>
      <c r="Q18835">
        <v>0</v>
      </c>
      <c r="R18835">
        <v>125</v>
      </c>
      <c r="S18835">
        <v>0</v>
      </c>
      <c r="T18835" t="s">
        <v>5569</v>
      </c>
    </row>
    <row r="18836" spans="1:20" customFormat="1" ht="15" x14ac:dyDescent="0.25">
      <c r="A18836" t="s">
        <v>24</v>
      </c>
      <c r="B18836" t="s">
        <v>193</v>
      </c>
      <c r="C18836" t="str">
        <f>"A0098128"</f>
        <v>A0098128</v>
      </c>
      <c r="D18836" t="s">
        <v>5584</v>
      </c>
      <c r="E18836" t="s">
        <v>5585</v>
      </c>
      <c r="F18836" t="s">
        <v>5586</v>
      </c>
      <c r="G18836" t="s">
        <v>99</v>
      </c>
      <c r="H18836">
        <v>11101</v>
      </c>
      <c r="I18836" t="s">
        <v>30</v>
      </c>
      <c r="J18836" t="s">
        <v>171</v>
      </c>
      <c r="K18836" t="s">
        <v>5354</v>
      </c>
      <c r="N18836" t="s">
        <v>5587</v>
      </c>
      <c r="Q18836">
        <v>0</v>
      </c>
      <c r="R18836">
        <v>88</v>
      </c>
      <c r="S18836">
        <v>0</v>
      </c>
      <c r="T18836" t="s">
        <v>5588</v>
      </c>
    </row>
    <row r="18837" spans="1:20" customFormat="1" ht="15" x14ac:dyDescent="0.25">
      <c r="A18837" t="s">
        <v>24</v>
      </c>
      <c r="B18837" t="s">
        <v>1138</v>
      </c>
      <c r="C18837" t="str">
        <f>"A0189881"</f>
        <v>A0189881</v>
      </c>
      <c r="D18837" t="s">
        <v>5595</v>
      </c>
      <c r="E18837" t="s">
        <v>5596</v>
      </c>
      <c r="F18837" t="s">
        <v>5597</v>
      </c>
      <c r="G18837" t="s">
        <v>190</v>
      </c>
      <c r="H18837">
        <v>80021</v>
      </c>
      <c r="I18837" t="s">
        <v>30</v>
      </c>
      <c r="J18837" t="s">
        <v>171</v>
      </c>
      <c r="K18837" t="s">
        <v>1023</v>
      </c>
      <c r="N18837" t="s">
        <v>5598</v>
      </c>
      <c r="O18837" t="s">
        <v>5599</v>
      </c>
      <c r="Q18837">
        <v>0</v>
      </c>
      <c r="R18837">
        <v>104</v>
      </c>
      <c r="S18837">
        <v>0</v>
      </c>
      <c r="T18837" t="s">
        <v>5600</v>
      </c>
    </row>
    <row r="18838" spans="1:20" customFormat="1" ht="15" x14ac:dyDescent="0.25">
      <c r="A18838" t="s">
        <v>24</v>
      </c>
      <c r="B18838" t="s">
        <v>1138</v>
      </c>
      <c r="C18838" t="str">
        <f>"A0189880"</f>
        <v>A0189880</v>
      </c>
      <c r="D18838" t="s">
        <v>5601</v>
      </c>
      <c r="E18838" t="s">
        <v>5596</v>
      </c>
      <c r="F18838" t="s">
        <v>5597</v>
      </c>
      <c r="G18838" t="s">
        <v>190</v>
      </c>
      <c r="H18838">
        <v>80021</v>
      </c>
      <c r="I18838" t="s">
        <v>30</v>
      </c>
      <c r="J18838" t="s">
        <v>171</v>
      </c>
      <c r="K18838" t="s">
        <v>1331</v>
      </c>
      <c r="N18838" t="s">
        <v>5598</v>
      </c>
      <c r="O18838" t="s">
        <v>5602</v>
      </c>
      <c r="Q18838">
        <v>0</v>
      </c>
      <c r="R18838">
        <v>118</v>
      </c>
      <c r="S18838">
        <v>0</v>
      </c>
      <c r="T18838" t="s">
        <v>5603</v>
      </c>
    </row>
    <row r="18839" spans="1:20" customFormat="1" ht="15" x14ac:dyDescent="0.25">
      <c r="A18839" t="s">
        <v>24</v>
      </c>
      <c r="B18839" t="s">
        <v>1849</v>
      </c>
      <c r="C18839" t="str">
        <f>"A0166087"</f>
        <v>A0166087</v>
      </c>
      <c r="D18839" t="s">
        <v>5604</v>
      </c>
      <c r="E18839" t="s">
        <v>5605</v>
      </c>
      <c r="F18839" t="s">
        <v>5075</v>
      </c>
      <c r="G18839" t="s">
        <v>117</v>
      </c>
      <c r="H18839">
        <v>48917</v>
      </c>
      <c r="I18839" t="s">
        <v>30</v>
      </c>
      <c r="J18839" t="s">
        <v>171</v>
      </c>
      <c r="K18839" t="s">
        <v>1331</v>
      </c>
      <c r="N18839" t="s">
        <v>5606</v>
      </c>
      <c r="Q18839">
        <v>0</v>
      </c>
      <c r="R18839">
        <v>124</v>
      </c>
      <c r="S18839">
        <v>0</v>
      </c>
      <c r="T18839" t="s">
        <v>5607</v>
      </c>
    </row>
    <row r="18840" spans="1:20" customFormat="1" ht="15" x14ac:dyDescent="0.25">
      <c r="A18840" t="s">
        <v>24</v>
      </c>
      <c r="B18840" t="s">
        <v>5629</v>
      </c>
      <c r="C18840" t="str">
        <f>"A0098237"</f>
        <v>A0098237</v>
      </c>
      <c r="D18840" t="s">
        <v>5630</v>
      </c>
      <c r="E18840" t="s">
        <v>5631</v>
      </c>
      <c r="F18840" t="s">
        <v>845</v>
      </c>
      <c r="G18840" t="s">
        <v>846</v>
      </c>
      <c r="H18840">
        <v>30344</v>
      </c>
      <c r="I18840" t="s">
        <v>30</v>
      </c>
      <c r="J18840" t="s">
        <v>171</v>
      </c>
      <c r="K18840" t="s">
        <v>653</v>
      </c>
      <c r="N18840" t="s">
        <v>5632</v>
      </c>
      <c r="Q18840">
        <v>0</v>
      </c>
      <c r="R18840">
        <v>186</v>
      </c>
      <c r="S18840">
        <v>0</v>
      </c>
      <c r="T18840" t="s">
        <v>5633</v>
      </c>
    </row>
    <row r="18841" spans="1:20" customFormat="1" ht="15" x14ac:dyDescent="0.25">
      <c r="A18841" t="s">
        <v>24</v>
      </c>
      <c r="B18841" t="s">
        <v>5788</v>
      </c>
      <c r="C18841" t="str">
        <f>"A0189744"</f>
        <v>A0189744</v>
      </c>
      <c r="D18841" t="s">
        <v>5816</v>
      </c>
      <c r="E18841" t="s">
        <v>5817</v>
      </c>
      <c r="F18841" t="s">
        <v>5818</v>
      </c>
      <c r="G18841" t="s">
        <v>65</v>
      </c>
      <c r="H18841">
        <v>43452</v>
      </c>
      <c r="I18841" t="s">
        <v>30</v>
      </c>
      <c r="J18841" t="s">
        <v>171</v>
      </c>
      <c r="K18841" t="s">
        <v>1259</v>
      </c>
      <c r="N18841" t="s">
        <v>5792</v>
      </c>
      <c r="Q18841">
        <v>0</v>
      </c>
      <c r="R18841">
        <v>41</v>
      </c>
      <c r="S18841">
        <v>0</v>
      </c>
      <c r="T18841" t="s">
        <v>5819</v>
      </c>
    </row>
    <row r="18842" spans="1:20" customFormat="1" ht="15" x14ac:dyDescent="0.25">
      <c r="A18842" t="s">
        <v>24</v>
      </c>
      <c r="B18842" t="s">
        <v>5967</v>
      </c>
      <c r="C18842" t="str">
        <f>"A0100686"</f>
        <v>A0100686</v>
      </c>
      <c r="D18842" t="s">
        <v>5968</v>
      </c>
      <c r="E18842" t="s">
        <v>5969</v>
      </c>
      <c r="F18842" t="s">
        <v>866</v>
      </c>
      <c r="G18842" t="s">
        <v>40</v>
      </c>
      <c r="H18842">
        <v>73128</v>
      </c>
      <c r="I18842" t="s">
        <v>30</v>
      </c>
      <c r="J18842" t="s">
        <v>171</v>
      </c>
      <c r="K18842" t="s">
        <v>653</v>
      </c>
      <c r="N18842" t="s">
        <v>5970</v>
      </c>
      <c r="Q18842">
        <v>0</v>
      </c>
      <c r="R18842">
        <v>101</v>
      </c>
      <c r="S18842">
        <v>0</v>
      </c>
      <c r="T18842" t="s">
        <v>5960</v>
      </c>
    </row>
    <row r="18843" spans="1:20" customFormat="1" ht="15" x14ac:dyDescent="0.25">
      <c r="A18843" t="s">
        <v>24</v>
      </c>
      <c r="B18843" t="s">
        <v>140</v>
      </c>
      <c r="C18843" t="str">
        <f>"A0063082"</f>
        <v>A0063082</v>
      </c>
      <c r="D18843" t="s">
        <v>5971</v>
      </c>
      <c r="E18843" t="s">
        <v>5972</v>
      </c>
      <c r="F18843" t="s">
        <v>985</v>
      </c>
      <c r="G18843" t="s">
        <v>81</v>
      </c>
      <c r="H18843">
        <v>32819</v>
      </c>
      <c r="I18843" t="s">
        <v>30</v>
      </c>
      <c r="J18843" t="s">
        <v>171</v>
      </c>
      <c r="K18843" t="s">
        <v>653</v>
      </c>
      <c r="N18843" t="s">
        <v>5973</v>
      </c>
      <c r="O18843" t="s">
        <v>5974</v>
      </c>
      <c r="Q18843">
        <v>0</v>
      </c>
      <c r="R18843">
        <v>301</v>
      </c>
      <c r="S18843">
        <v>0</v>
      </c>
      <c r="T18843" t="s">
        <v>5975</v>
      </c>
    </row>
    <row r="18844" spans="1:20" customFormat="1" ht="15" x14ac:dyDescent="0.25">
      <c r="A18844" t="s">
        <v>24</v>
      </c>
      <c r="B18844" t="s">
        <v>1849</v>
      </c>
      <c r="C18844" t="str">
        <f>"A0154339"</f>
        <v>A0154339</v>
      </c>
      <c r="D18844" t="s">
        <v>6012</v>
      </c>
      <c r="E18844" t="s">
        <v>6013</v>
      </c>
      <c r="F18844" t="s">
        <v>6014</v>
      </c>
      <c r="G18844" t="s">
        <v>117</v>
      </c>
      <c r="H18844">
        <v>48334</v>
      </c>
      <c r="I18844" t="s">
        <v>30</v>
      </c>
      <c r="J18844" t="s">
        <v>171</v>
      </c>
      <c r="K18844" t="s">
        <v>1450</v>
      </c>
      <c r="N18844" t="s">
        <v>6015</v>
      </c>
      <c r="Q18844">
        <v>0</v>
      </c>
      <c r="R18844">
        <v>120</v>
      </c>
      <c r="S18844">
        <v>0</v>
      </c>
      <c r="T18844" t="s">
        <v>6016</v>
      </c>
    </row>
    <row r="18845" spans="1:20" customFormat="1" ht="15" x14ac:dyDescent="0.25">
      <c r="A18845" t="s">
        <v>24</v>
      </c>
      <c r="B18845" t="s">
        <v>1849</v>
      </c>
      <c r="C18845" t="str">
        <f>"A0098621"</f>
        <v>A0098621</v>
      </c>
      <c r="D18845" t="s">
        <v>6322</v>
      </c>
      <c r="E18845" t="s">
        <v>6323</v>
      </c>
      <c r="F18845" t="s">
        <v>5615</v>
      </c>
      <c r="G18845" t="s">
        <v>117</v>
      </c>
      <c r="H18845">
        <v>48174</v>
      </c>
      <c r="I18845" t="s">
        <v>30</v>
      </c>
      <c r="J18845" t="s">
        <v>171</v>
      </c>
      <c r="K18845" t="s">
        <v>653</v>
      </c>
      <c r="N18845" t="s">
        <v>6324</v>
      </c>
      <c r="Q18845">
        <v>0</v>
      </c>
      <c r="R18845">
        <v>175</v>
      </c>
      <c r="S18845">
        <v>0</v>
      </c>
      <c r="T18845" t="s">
        <v>6325</v>
      </c>
    </row>
    <row r="18846" spans="1:20" customFormat="1" ht="15" x14ac:dyDescent="0.25">
      <c r="A18846" t="s">
        <v>24</v>
      </c>
      <c r="B18846" t="s">
        <v>1849</v>
      </c>
      <c r="C18846" t="str">
        <f>"A0094579"</f>
        <v>A0094579</v>
      </c>
      <c r="D18846" t="s">
        <v>6326</v>
      </c>
      <c r="E18846" t="s">
        <v>6327</v>
      </c>
      <c r="F18846" t="s">
        <v>6328</v>
      </c>
      <c r="G18846" t="s">
        <v>117</v>
      </c>
      <c r="H18846">
        <v>48334</v>
      </c>
      <c r="I18846" t="s">
        <v>30</v>
      </c>
      <c r="J18846" t="s">
        <v>171</v>
      </c>
      <c r="K18846" t="s">
        <v>973</v>
      </c>
      <c r="N18846" t="s">
        <v>6329</v>
      </c>
      <c r="O18846" t="s">
        <v>6330</v>
      </c>
      <c r="Q18846">
        <v>0</v>
      </c>
      <c r="R18846">
        <v>106</v>
      </c>
      <c r="S18846">
        <v>0</v>
      </c>
      <c r="T18846" t="s">
        <v>6331</v>
      </c>
    </row>
    <row r="18847" spans="1:20" customFormat="1" ht="15" x14ac:dyDescent="0.25">
      <c r="A18847" t="s">
        <v>24</v>
      </c>
      <c r="B18847" t="s">
        <v>1849</v>
      </c>
      <c r="C18847" t="str">
        <f>"A0166086"</f>
        <v>A0166086</v>
      </c>
      <c r="D18847" t="s">
        <v>6372</v>
      </c>
      <c r="E18847" t="s">
        <v>6373</v>
      </c>
      <c r="F18847" t="s">
        <v>6314</v>
      </c>
      <c r="G18847" t="s">
        <v>117</v>
      </c>
      <c r="H18847">
        <v>48084</v>
      </c>
      <c r="I18847" t="s">
        <v>30</v>
      </c>
      <c r="J18847" t="s">
        <v>171</v>
      </c>
      <c r="K18847" t="s">
        <v>1331</v>
      </c>
      <c r="N18847" t="s">
        <v>6374</v>
      </c>
      <c r="Q18847">
        <v>0</v>
      </c>
      <c r="R18847">
        <v>124</v>
      </c>
      <c r="S18847">
        <v>0</v>
      </c>
      <c r="T18847" t="s">
        <v>6375</v>
      </c>
    </row>
    <row r="18848" spans="1:20" customFormat="1" ht="15" x14ac:dyDescent="0.25">
      <c r="A18848" t="s">
        <v>24</v>
      </c>
      <c r="B18848" t="s">
        <v>6387</v>
      </c>
      <c r="C18848" t="str">
        <f>"A0190805"</f>
        <v>A0190805</v>
      </c>
      <c r="D18848" t="s">
        <v>6388</v>
      </c>
      <c r="E18848" t="s">
        <v>6389</v>
      </c>
      <c r="F18848" t="s">
        <v>6390</v>
      </c>
      <c r="G18848" t="s">
        <v>29</v>
      </c>
      <c r="H18848">
        <v>22801</v>
      </c>
      <c r="I18848" t="s">
        <v>30</v>
      </c>
      <c r="J18848" t="s">
        <v>171</v>
      </c>
      <c r="K18848" t="s">
        <v>308</v>
      </c>
      <c r="N18848" t="s">
        <v>6391</v>
      </c>
      <c r="Q18848">
        <v>0</v>
      </c>
      <c r="R18848">
        <v>64</v>
      </c>
      <c r="S18848">
        <v>0</v>
      </c>
      <c r="T18848" t="s">
        <v>6392</v>
      </c>
    </row>
    <row r="18849" spans="1:20" customFormat="1" ht="15" x14ac:dyDescent="0.25">
      <c r="A18849" t="s">
        <v>24</v>
      </c>
      <c r="B18849" t="s">
        <v>2836</v>
      </c>
      <c r="C18849" t="str">
        <f>"A0096544"</f>
        <v>A0096544</v>
      </c>
      <c r="D18849" t="s">
        <v>6393</v>
      </c>
      <c r="E18849" t="s">
        <v>6394</v>
      </c>
      <c r="F18849" t="s">
        <v>3059</v>
      </c>
      <c r="G18849" t="s">
        <v>52</v>
      </c>
      <c r="H18849">
        <v>78681</v>
      </c>
      <c r="I18849" t="s">
        <v>30</v>
      </c>
      <c r="J18849" t="s">
        <v>171</v>
      </c>
      <c r="K18849" t="s">
        <v>1202</v>
      </c>
      <c r="N18849" t="s">
        <v>6395</v>
      </c>
      <c r="O18849" t="s">
        <v>6396</v>
      </c>
      <c r="Q18849">
        <v>0</v>
      </c>
      <c r="R18849">
        <v>138</v>
      </c>
      <c r="S18849">
        <v>0</v>
      </c>
      <c r="T18849" t="s">
        <v>6397</v>
      </c>
    </row>
    <row r="18850" spans="1:20" customFormat="1" ht="15" x14ac:dyDescent="0.25">
      <c r="A18850" t="s">
        <v>24</v>
      </c>
      <c r="B18850" t="s">
        <v>1268</v>
      </c>
      <c r="C18850" t="str">
        <f>"A0093626"</f>
        <v>A0093626</v>
      </c>
      <c r="D18850" t="s">
        <v>6416</v>
      </c>
      <c r="E18850" t="s">
        <v>6417</v>
      </c>
      <c r="F18850" t="s">
        <v>2120</v>
      </c>
      <c r="G18850" t="s">
        <v>52</v>
      </c>
      <c r="H18850">
        <v>79415</v>
      </c>
      <c r="I18850" t="s">
        <v>30</v>
      </c>
      <c r="J18850" t="s">
        <v>171</v>
      </c>
      <c r="K18850" t="s">
        <v>973</v>
      </c>
      <c r="N18850" t="s">
        <v>6418</v>
      </c>
      <c r="O18850" t="s">
        <v>6419</v>
      </c>
      <c r="Q18850">
        <v>0</v>
      </c>
      <c r="R18850">
        <v>94</v>
      </c>
      <c r="S18850">
        <v>0</v>
      </c>
      <c r="T18850" t="s">
        <v>6420</v>
      </c>
    </row>
    <row r="18851" spans="1:20" customFormat="1" ht="15" x14ac:dyDescent="0.25">
      <c r="A18851" t="s">
        <v>24</v>
      </c>
      <c r="B18851" t="s">
        <v>140</v>
      </c>
      <c r="C18851" t="str">
        <f>"A0162110"</f>
        <v>A0162110</v>
      </c>
      <c r="D18851" t="s">
        <v>6428</v>
      </c>
      <c r="E18851" t="s">
        <v>6429</v>
      </c>
      <c r="F18851" t="s">
        <v>6430</v>
      </c>
      <c r="G18851" t="s">
        <v>52</v>
      </c>
      <c r="H18851">
        <v>76711</v>
      </c>
      <c r="I18851" t="s">
        <v>30</v>
      </c>
      <c r="J18851" t="s">
        <v>171</v>
      </c>
      <c r="K18851" t="s">
        <v>1450</v>
      </c>
      <c r="N18851" t="s">
        <v>6431</v>
      </c>
      <c r="Q18851">
        <v>0</v>
      </c>
      <c r="R18851">
        <v>104</v>
      </c>
      <c r="S18851">
        <v>0</v>
      </c>
      <c r="T18851" t="s">
        <v>6432</v>
      </c>
    </row>
    <row r="18852" spans="1:20" customFormat="1" ht="15" x14ac:dyDescent="0.25">
      <c r="A18852" t="s">
        <v>24</v>
      </c>
      <c r="B18852" t="s">
        <v>140</v>
      </c>
      <c r="C18852" t="str">
        <f>"A0147988"</f>
        <v>A0147988</v>
      </c>
      <c r="D18852" t="s">
        <v>6448</v>
      </c>
      <c r="E18852" t="s">
        <v>6449</v>
      </c>
      <c r="F18852" t="s">
        <v>709</v>
      </c>
      <c r="G18852" t="s">
        <v>81</v>
      </c>
      <c r="H18852">
        <v>34243</v>
      </c>
      <c r="I18852" t="s">
        <v>30</v>
      </c>
      <c r="J18852" t="s">
        <v>171</v>
      </c>
      <c r="K18852" t="s">
        <v>1331</v>
      </c>
      <c r="N18852" t="s">
        <v>6445</v>
      </c>
      <c r="O18852" t="s">
        <v>6446</v>
      </c>
      <c r="Q18852">
        <v>0</v>
      </c>
      <c r="R18852">
        <v>115</v>
      </c>
      <c r="S18852">
        <v>0</v>
      </c>
      <c r="T18852" t="s">
        <v>6450</v>
      </c>
    </row>
    <row r="18853" spans="1:20" customFormat="1" ht="15" x14ac:dyDescent="0.25">
      <c r="A18853" t="s">
        <v>24</v>
      </c>
      <c r="B18853" t="s">
        <v>5104</v>
      </c>
      <c r="C18853" t="str">
        <f>"A0095439"</f>
        <v>A0095439</v>
      </c>
      <c r="D18853" t="s">
        <v>6561</v>
      </c>
      <c r="E18853" t="s">
        <v>6562</v>
      </c>
      <c r="F18853" t="s">
        <v>997</v>
      </c>
      <c r="G18853" t="s">
        <v>99</v>
      </c>
      <c r="H18853">
        <v>10036</v>
      </c>
      <c r="I18853" t="s">
        <v>30</v>
      </c>
      <c r="J18853" t="s">
        <v>171</v>
      </c>
      <c r="K18853" t="s">
        <v>1331</v>
      </c>
      <c r="N18853" t="s">
        <v>6563</v>
      </c>
      <c r="Q18853">
        <v>0</v>
      </c>
      <c r="R18853">
        <v>229</v>
      </c>
      <c r="S18853">
        <v>0</v>
      </c>
      <c r="T18853" t="s">
        <v>6564</v>
      </c>
    </row>
    <row r="18854" spans="1:20" customFormat="1" ht="15" x14ac:dyDescent="0.25">
      <c r="A18854" t="s">
        <v>24</v>
      </c>
      <c r="B18854" t="s">
        <v>6570</v>
      </c>
      <c r="C18854" t="str">
        <f>"A0098144"</f>
        <v>A0098144</v>
      </c>
      <c r="D18854" t="s">
        <v>6571</v>
      </c>
      <c r="E18854" t="s">
        <v>6572</v>
      </c>
      <c r="F18854" t="s">
        <v>6573</v>
      </c>
      <c r="G18854" t="s">
        <v>71</v>
      </c>
      <c r="H18854">
        <v>53593</v>
      </c>
      <c r="I18854" t="s">
        <v>30</v>
      </c>
      <c r="J18854" t="s">
        <v>171</v>
      </c>
      <c r="K18854" t="s">
        <v>1202</v>
      </c>
      <c r="Q18854">
        <v>0</v>
      </c>
      <c r="R18854">
        <v>136</v>
      </c>
      <c r="S18854">
        <v>0</v>
      </c>
      <c r="T18854" t="s">
        <v>6574</v>
      </c>
    </row>
    <row r="18855" spans="1:20" customFormat="1" ht="15" x14ac:dyDescent="0.25">
      <c r="A18855" t="s">
        <v>24</v>
      </c>
      <c r="B18855" t="s">
        <v>4400</v>
      </c>
      <c r="C18855" t="str">
        <f>"A0064886"</f>
        <v>A0064886</v>
      </c>
      <c r="D18855" t="s">
        <v>6828</v>
      </c>
      <c r="E18855" t="s">
        <v>6829</v>
      </c>
      <c r="F18855" t="s">
        <v>6830</v>
      </c>
      <c r="G18855" t="s">
        <v>29</v>
      </c>
      <c r="H18855">
        <v>24017</v>
      </c>
      <c r="I18855" t="s">
        <v>30</v>
      </c>
      <c r="J18855" t="s">
        <v>171</v>
      </c>
      <c r="K18855" t="s">
        <v>973</v>
      </c>
      <c r="N18855" t="s">
        <v>6831</v>
      </c>
      <c r="Q18855">
        <v>0</v>
      </c>
      <c r="R18855">
        <v>135</v>
      </c>
      <c r="S18855">
        <v>0</v>
      </c>
      <c r="T18855" t="s">
        <v>6832</v>
      </c>
    </row>
    <row r="18856" spans="1:20" customFormat="1" ht="15" x14ac:dyDescent="0.25">
      <c r="A18856" t="s">
        <v>24</v>
      </c>
      <c r="B18856" t="s">
        <v>4400</v>
      </c>
      <c r="C18856" t="str">
        <f>"A0075320"</f>
        <v>A0075320</v>
      </c>
      <c r="D18856" t="s">
        <v>6833</v>
      </c>
      <c r="E18856" t="s">
        <v>6834</v>
      </c>
      <c r="F18856" t="s">
        <v>6835</v>
      </c>
      <c r="G18856" t="s">
        <v>103</v>
      </c>
      <c r="H18856">
        <v>15120</v>
      </c>
      <c r="I18856" t="s">
        <v>30</v>
      </c>
      <c r="J18856" t="s">
        <v>171</v>
      </c>
      <c r="K18856" t="s">
        <v>973</v>
      </c>
      <c r="N18856" t="s">
        <v>6836</v>
      </c>
      <c r="Q18856">
        <v>0</v>
      </c>
      <c r="R18856">
        <v>94</v>
      </c>
      <c r="S18856">
        <v>0</v>
      </c>
      <c r="T18856" t="s">
        <v>6837</v>
      </c>
    </row>
    <row r="18857" spans="1:20" customFormat="1" ht="15" x14ac:dyDescent="0.25">
      <c r="A18857" t="s">
        <v>24</v>
      </c>
      <c r="B18857" t="s">
        <v>4400</v>
      </c>
      <c r="C18857" t="str">
        <f>"651XG"</f>
        <v>651XG</v>
      </c>
      <c r="D18857" t="s">
        <v>6838</v>
      </c>
      <c r="E18857" t="s">
        <v>6839</v>
      </c>
      <c r="F18857" t="s">
        <v>6840</v>
      </c>
      <c r="G18857" t="s">
        <v>117</v>
      </c>
      <c r="H18857">
        <v>48108</v>
      </c>
      <c r="I18857" t="s">
        <v>30</v>
      </c>
      <c r="J18857" t="s">
        <v>171</v>
      </c>
      <c r="K18857" t="s">
        <v>973</v>
      </c>
      <c r="N18857" t="s">
        <v>6841</v>
      </c>
      <c r="Q18857">
        <v>0</v>
      </c>
      <c r="R18857">
        <v>160</v>
      </c>
      <c r="S18857">
        <v>0</v>
      </c>
      <c r="T18857" t="s">
        <v>6842</v>
      </c>
    </row>
    <row r="18858" spans="1:20" customFormat="1" ht="15" x14ac:dyDescent="0.25">
      <c r="A18858" t="s">
        <v>24</v>
      </c>
      <c r="B18858" t="s">
        <v>4400</v>
      </c>
      <c r="C18858" t="str">
        <f>"651YS"</f>
        <v>651YS</v>
      </c>
      <c r="D18858" t="s">
        <v>6848</v>
      </c>
      <c r="E18858" t="s">
        <v>6849</v>
      </c>
      <c r="F18858" t="s">
        <v>1201</v>
      </c>
      <c r="G18858" t="s">
        <v>214</v>
      </c>
      <c r="H18858">
        <v>28403</v>
      </c>
      <c r="I18858" t="s">
        <v>30</v>
      </c>
      <c r="J18858" t="s">
        <v>171</v>
      </c>
      <c r="K18858" t="s">
        <v>973</v>
      </c>
      <c r="N18858" t="s">
        <v>6850</v>
      </c>
      <c r="Q18858">
        <v>0</v>
      </c>
      <c r="R18858">
        <v>128</v>
      </c>
      <c r="S18858">
        <v>0</v>
      </c>
      <c r="T18858" t="s">
        <v>6851</v>
      </c>
    </row>
    <row r="18859" spans="1:20" customFormat="1" ht="15" x14ac:dyDescent="0.25">
      <c r="A18859" t="s">
        <v>24</v>
      </c>
      <c r="B18859" t="s">
        <v>4400</v>
      </c>
      <c r="C18859" t="str">
        <f>"6516Y"</f>
        <v>6516Y</v>
      </c>
      <c r="D18859" t="s">
        <v>6857</v>
      </c>
      <c r="E18859" t="s">
        <v>6858</v>
      </c>
      <c r="F18859" t="s">
        <v>6859</v>
      </c>
      <c r="G18859" t="s">
        <v>81</v>
      </c>
      <c r="H18859">
        <v>33401</v>
      </c>
      <c r="I18859" t="s">
        <v>30</v>
      </c>
      <c r="J18859" t="s">
        <v>171</v>
      </c>
      <c r="K18859" t="s">
        <v>973</v>
      </c>
      <c r="N18859" t="s">
        <v>6860</v>
      </c>
      <c r="Q18859">
        <v>0</v>
      </c>
      <c r="R18859">
        <v>103</v>
      </c>
      <c r="S18859">
        <v>0</v>
      </c>
      <c r="T18859" t="s">
        <v>6861</v>
      </c>
    </row>
    <row r="18860" spans="1:20" customFormat="1" ht="15" x14ac:dyDescent="0.25">
      <c r="A18860" t="s">
        <v>24</v>
      </c>
      <c r="B18860" t="s">
        <v>4400</v>
      </c>
      <c r="C18860" t="str">
        <f>"A0084577"</f>
        <v>A0084577</v>
      </c>
      <c r="D18860" t="s">
        <v>6868</v>
      </c>
      <c r="E18860" t="s">
        <v>6869</v>
      </c>
      <c r="F18860" t="s">
        <v>6830</v>
      </c>
      <c r="G18860" t="s">
        <v>29</v>
      </c>
      <c r="H18860">
        <v>24017</v>
      </c>
      <c r="I18860" t="s">
        <v>30</v>
      </c>
      <c r="J18860" t="s">
        <v>171</v>
      </c>
      <c r="K18860" t="s">
        <v>1450</v>
      </c>
      <c r="N18860" t="s">
        <v>6831</v>
      </c>
      <c r="Q18860">
        <v>0</v>
      </c>
      <c r="R18860">
        <v>80</v>
      </c>
      <c r="S18860">
        <v>0</v>
      </c>
      <c r="T18860" t="s">
        <v>6870</v>
      </c>
    </row>
    <row r="18861" spans="1:20" customFormat="1" ht="15" x14ac:dyDescent="0.25">
      <c r="A18861" t="s">
        <v>24</v>
      </c>
      <c r="B18861" t="s">
        <v>4400</v>
      </c>
      <c r="C18861" t="str">
        <f>"A0058610"</f>
        <v>A0058610</v>
      </c>
      <c r="D18861" t="s">
        <v>6871</v>
      </c>
      <c r="E18861" t="s">
        <v>6872</v>
      </c>
      <c r="F18861" t="s">
        <v>6873</v>
      </c>
      <c r="G18861" t="s">
        <v>899</v>
      </c>
      <c r="H18861">
        <v>2155</v>
      </c>
      <c r="I18861" t="s">
        <v>30</v>
      </c>
      <c r="J18861" t="s">
        <v>171</v>
      </c>
      <c r="K18861" t="s">
        <v>1202</v>
      </c>
      <c r="N18861" t="s">
        <v>6874</v>
      </c>
      <c r="Q18861">
        <v>0</v>
      </c>
      <c r="R18861">
        <v>157</v>
      </c>
      <c r="S18861">
        <v>0</v>
      </c>
      <c r="T18861" t="s">
        <v>6875</v>
      </c>
    </row>
    <row r="18862" spans="1:20" customFormat="1" ht="15" x14ac:dyDescent="0.25">
      <c r="A18862" t="s">
        <v>24</v>
      </c>
      <c r="B18862" t="s">
        <v>4400</v>
      </c>
      <c r="C18862" t="str">
        <f>"A0093885"</f>
        <v>A0093885</v>
      </c>
      <c r="D18862" t="s">
        <v>6876</v>
      </c>
      <c r="E18862" t="s">
        <v>6877</v>
      </c>
      <c r="F18862" t="s">
        <v>6878</v>
      </c>
      <c r="G18862" t="s">
        <v>190</v>
      </c>
      <c r="H18862">
        <v>80920</v>
      </c>
      <c r="I18862" t="s">
        <v>30</v>
      </c>
      <c r="J18862" t="s">
        <v>171</v>
      </c>
      <c r="K18862" t="s">
        <v>1023</v>
      </c>
      <c r="N18862" t="s">
        <v>6879</v>
      </c>
      <c r="Q18862">
        <v>0</v>
      </c>
      <c r="R18862">
        <v>127</v>
      </c>
      <c r="S18862">
        <v>0</v>
      </c>
      <c r="T18862" t="s">
        <v>6880</v>
      </c>
    </row>
    <row r="18863" spans="1:20" customFormat="1" ht="15" x14ac:dyDescent="0.25">
      <c r="A18863" t="s">
        <v>24</v>
      </c>
      <c r="B18863" t="s">
        <v>4400</v>
      </c>
      <c r="C18863" t="str">
        <f>"A0093888"</f>
        <v>A0093888</v>
      </c>
      <c r="D18863" t="s">
        <v>6881</v>
      </c>
      <c r="E18863" t="s">
        <v>6882</v>
      </c>
      <c r="F18863" t="s">
        <v>6883</v>
      </c>
      <c r="G18863" t="s">
        <v>65</v>
      </c>
      <c r="H18863">
        <v>44139</v>
      </c>
      <c r="I18863" t="s">
        <v>30</v>
      </c>
      <c r="J18863" t="s">
        <v>171</v>
      </c>
      <c r="K18863" t="s">
        <v>1023</v>
      </c>
      <c r="N18863" t="s">
        <v>6884</v>
      </c>
      <c r="Q18863">
        <v>0</v>
      </c>
      <c r="R18863">
        <v>86</v>
      </c>
      <c r="S18863">
        <v>0</v>
      </c>
      <c r="T18863" t="s">
        <v>6885</v>
      </c>
    </row>
    <row r="18864" spans="1:20" customFormat="1" ht="15" x14ac:dyDescent="0.25">
      <c r="A18864" t="s">
        <v>24</v>
      </c>
      <c r="B18864" t="s">
        <v>4400</v>
      </c>
      <c r="C18864" t="str">
        <f>"A0083001"</f>
        <v>A0083001</v>
      </c>
      <c r="D18864" t="s">
        <v>6886</v>
      </c>
      <c r="E18864" t="s">
        <v>6887</v>
      </c>
      <c r="F18864" t="s">
        <v>6888</v>
      </c>
      <c r="G18864" t="s">
        <v>338</v>
      </c>
      <c r="H18864">
        <v>8540</v>
      </c>
      <c r="I18864" t="s">
        <v>30</v>
      </c>
      <c r="J18864" t="s">
        <v>171</v>
      </c>
      <c r="K18864" t="s">
        <v>1023</v>
      </c>
      <c r="N18864" t="s">
        <v>6889</v>
      </c>
      <c r="Q18864">
        <v>0</v>
      </c>
      <c r="R18864">
        <v>142</v>
      </c>
      <c r="S18864">
        <v>0</v>
      </c>
      <c r="T18864" t="s">
        <v>6890</v>
      </c>
    </row>
    <row r="18865" spans="1:20" customFormat="1" ht="15" x14ac:dyDescent="0.25">
      <c r="A18865" t="s">
        <v>24</v>
      </c>
      <c r="B18865" t="s">
        <v>4400</v>
      </c>
      <c r="C18865" t="str">
        <f>"A0077384"</f>
        <v>A0077384</v>
      </c>
      <c r="D18865" t="s">
        <v>6891</v>
      </c>
      <c r="E18865" t="s">
        <v>6892</v>
      </c>
      <c r="F18865" t="s">
        <v>2793</v>
      </c>
      <c r="G18865" t="s">
        <v>99</v>
      </c>
      <c r="H18865">
        <v>11590</v>
      </c>
      <c r="I18865" t="s">
        <v>30</v>
      </c>
      <c r="J18865" t="s">
        <v>171</v>
      </c>
      <c r="K18865" t="s">
        <v>1331</v>
      </c>
      <c r="N18865" t="s">
        <v>6893</v>
      </c>
      <c r="Q18865">
        <v>0</v>
      </c>
      <c r="R18865">
        <v>140</v>
      </c>
      <c r="S18865">
        <v>0</v>
      </c>
      <c r="T18865" t="s">
        <v>6894</v>
      </c>
    </row>
    <row r="18866" spans="1:20" customFormat="1" ht="15" x14ac:dyDescent="0.25">
      <c r="A18866" t="s">
        <v>24</v>
      </c>
      <c r="B18866" t="s">
        <v>4400</v>
      </c>
      <c r="C18866" t="str">
        <f>"A0059822"</f>
        <v>A0059822</v>
      </c>
      <c r="D18866" t="s">
        <v>6895</v>
      </c>
      <c r="E18866" t="s">
        <v>6896</v>
      </c>
      <c r="F18866" t="s">
        <v>6897</v>
      </c>
      <c r="G18866" t="s">
        <v>99</v>
      </c>
      <c r="H18866">
        <v>12211</v>
      </c>
      <c r="I18866" t="s">
        <v>30</v>
      </c>
      <c r="J18866" t="s">
        <v>171</v>
      </c>
      <c r="K18866" t="s">
        <v>1331</v>
      </c>
      <c r="N18866" t="s">
        <v>6898</v>
      </c>
      <c r="Q18866">
        <v>0</v>
      </c>
      <c r="R18866">
        <v>155</v>
      </c>
      <c r="S18866">
        <v>0</v>
      </c>
      <c r="T18866" t="s">
        <v>6899</v>
      </c>
    </row>
    <row r="18867" spans="1:20" customFormat="1" ht="15" x14ac:dyDescent="0.25">
      <c r="A18867" t="s">
        <v>24</v>
      </c>
      <c r="B18867" t="s">
        <v>4400</v>
      </c>
      <c r="C18867" t="str">
        <f>"SC034"</f>
        <v>SC034</v>
      </c>
      <c r="D18867" t="s">
        <v>6900</v>
      </c>
      <c r="E18867" t="s">
        <v>6901</v>
      </c>
      <c r="F18867" t="s">
        <v>6902</v>
      </c>
      <c r="G18867" t="s">
        <v>615</v>
      </c>
      <c r="H18867">
        <v>6095</v>
      </c>
      <c r="I18867" t="s">
        <v>30</v>
      </c>
      <c r="J18867" t="s">
        <v>171</v>
      </c>
      <c r="K18867" t="s">
        <v>1331</v>
      </c>
      <c r="N18867" t="s">
        <v>6903</v>
      </c>
      <c r="Q18867">
        <v>0</v>
      </c>
      <c r="R18867">
        <v>157</v>
      </c>
      <c r="S18867">
        <v>0</v>
      </c>
      <c r="T18867" t="s">
        <v>6904</v>
      </c>
    </row>
    <row r="18868" spans="1:20" customFormat="1" ht="15" x14ac:dyDescent="0.25">
      <c r="A18868" t="s">
        <v>24</v>
      </c>
      <c r="B18868" t="s">
        <v>4400</v>
      </c>
      <c r="C18868" t="str">
        <f>"A0056248"</f>
        <v>A0056248</v>
      </c>
      <c r="D18868" t="s">
        <v>6905</v>
      </c>
      <c r="E18868" t="s">
        <v>6906</v>
      </c>
      <c r="F18868" t="s">
        <v>1858</v>
      </c>
      <c r="G18868" t="s">
        <v>190</v>
      </c>
      <c r="H18868">
        <v>80920</v>
      </c>
      <c r="I18868" t="s">
        <v>30</v>
      </c>
      <c r="J18868" t="s">
        <v>171</v>
      </c>
      <c r="K18868" t="s">
        <v>1331</v>
      </c>
      <c r="N18868" t="s">
        <v>6879</v>
      </c>
      <c r="O18868" t="s">
        <v>6907</v>
      </c>
      <c r="Q18868">
        <v>0</v>
      </c>
      <c r="R18868">
        <v>154</v>
      </c>
      <c r="S18868">
        <v>0</v>
      </c>
      <c r="T18868" t="s">
        <v>6908</v>
      </c>
    </row>
    <row r="18869" spans="1:20" customFormat="1" ht="15" x14ac:dyDescent="0.25">
      <c r="A18869" t="s">
        <v>24</v>
      </c>
      <c r="B18869" t="s">
        <v>4400</v>
      </c>
      <c r="C18869" t="str">
        <f>"6512G"</f>
        <v>6512G</v>
      </c>
      <c r="D18869" t="s">
        <v>6909</v>
      </c>
      <c r="E18869" t="s">
        <v>6910</v>
      </c>
      <c r="F18869" t="s">
        <v>6911</v>
      </c>
      <c r="G18869" t="s">
        <v>29</v>
      </c>
      <c r="H18869">
        <v>23150</v>
      </c>
      <c r="I18869" t="s">
        <v>30</v>
      </c>
      <c r="J18869" t="s">
        <v>171</v>
      </c>
      <c r="K18869" t="s">
        <v>973</v>
      </c>
      <c r="N18869" t="s">
        <v>6912</v>
      </c>
      <c r="O18869" t="s">
        <v>6913</v>
      </c>
      <c r="Q18869">
        <v>0</v>
      </c>
      <c r="R18869">
        <v>142</v>
      </c>
      <c r="S18869">
        <v>0</v>
      </c>
      <c r="T18869" t="s">
        <v>6914</v>
      </c>
    </row>
    <row r="18870" spans="1:20" customFormat="1" ht="15" x14ac:dyDescent="0.25">
      <c r="A18870" t="s">
        <v>24</v>
      </c>
      <c r="B18870" t="s">
        <v>6915</v>
      </c>
      <c r="C18870" t="str">
        <f>"A0094734"</f>
        <v>A0094734</v>
      </c>
      <c r="D18870" t="s">
        <v>6916</v>
      </c>
      <c r="E18870" t="s">
        <v>6917</v>
      </c>
      <c r="F18870" t="s">
        <v>3041</v>
      </c>
      <c r="G18870" t="s">
        <v>840</v>
      </c>
      <c r="H18870">
        <v>40503</v>
      </c>
      <c r="I18870" t="s">
        <v>30</v>
      </c>
      <c r="J18870" t="s">
        <v>171</v>
      </c>
      <c r="K18870" t="s">
        <v>1023</v>
      </c>
      <c r="N18870" t="s">
        <v>6918</v>
      </c>
      <c r="Q18870">
        <v>0</v>
      </c>
      <c r="R18870">
        <v>91</v>
      </c>
      <c r="S18870">
        <v>0</v>
      </c>
      <c r="T18870" t="s">
        <v>6919</v>
      </c>
    </row>
    <row r="18871" spans="1:20" customFormat="1" ht="15" x14ac:dyDescent="0.25">
      <c r="A18871" t="s">
        <v>24</v>
      </c>
      <c r="B18871" t="s">
        <v>4400</v>
      </c>
      <c r="C18871" t="str">
        <f>"A0059843"</f>
        <v>A0059843</v>
      </c>
      <c r="D18871" t="s">
        <v>6925</v>
      </c>
      <c r="E18871" t="s">
        <v>6926</v>
      </c>
      <c r="F18871" t="s">
        <v>6927</v>
      </c>
      <c r="G18871" t="s">
        <v>214</v>
      </c>
      <c r="H18871">
        <v>27511</v>
      </c>
      <c r="I18871" t="s">
        <v>30</v>
      </c>
      <c r="J18871" t="s">
        <v>171</v>
      </c>
      <c r="K18871" t="s">
        <v>1023</v>
      </c>
      <c r="N18871" t="s">
        <v>6928</v>
      </c>
      <c r="Q18871">
        <v>0</v>
      </c>
      <c r="R18871">
        <v>150</v>
      </c>
      <c r="S18871">
        <v>0</v>
      </c>
      <c r="T18871" t="s">
        <v>6929</v>
      </c>
    </row>
    <row r="18872" spans="1:20" customFormat="1" ht="15" x14ac:dyDescent="0.25">
      <c r="A18872" t="s">
        <v>24</v>
      </c>
      <c r="B18872" t="s">
        <v>4400</v>
      </c>
      <c r="C18872" t="str">
        <f>"A0083644"</f>
        <v>A0083644</v>
      </c>
      <c r="D18872" t="s">
        <v>6930</v>
      </c>
      <c r="E18872" t="s">
        <v>6931</v>
      </c>
      <c r="F18872" t="s">
        <v>1201</v>
      </c>
      <c r="G18872" t="s">
        <v>214</v>
      </c>
      <c r="H18872">
        <v>28405</v>
      </c>
      <c r="I18872" t="s">
        <v>30</v>
      </c>
      <c r="J18872" t="s">
        <v>171</v>
      </c>
      <c r="K18872" t="s">
        <v>1331</v>
      </c>
      <c r="N18872" t="s">
        <v>6932</v>
      </c>
      <c r="O18872" t="s">
        <v>6933</v>
      </c>
      <c r="Q18872">
        <v>0</v>
      </c>
      <c r="R18872">
        <v>119</v>
      </c>
      <c r="S18872">
        <v>0</v>
      </c>
      <c r="T18872" t="s">
        <v>6934</v>
      </c>
    </row>
    <row r="18873" spans="1:20" customFormat="1" ht="15" x14ac:dyDescent="0.25">
      <c r="A18873" t="s">
        <v>24</v>
      </c>
      <c r="B18873" t="s">
        <v>4400</v>
      </c>
      <c r="C18873" t="str">
        <f>"A0063734"</f>
        <v>A0063734</v>
      </c>
      <c r="D18873" t="s">
        <v>6935</v>
      </c>
      <c r="E18873" t="s">
        <v>6936</v>
      </c>
      <c r="F18873" t="s">
        <v>3955</v>
      </c>
      <c r="G18873" t="s">
        <v>81</v>
      </c>
      <c r="H18873">
        <v>33605</v>
      </c>
      <c r="I18873" t="s">
        <v>30</v>
      </c>
      <c r="J18873" t="s">
        <v>171</v>
      </c>
      <c r="K18873" t="s">
        <v>1331</v>
      </c>
      <c r="N18873" t="s">
        <v>6937</v>
      </c>
      <c r="Q18873">
        <v>0</v>
      </c>
      <c r="R18873">
        <v>95</v>
      </c>
      <c r="S18873">
        <v>0</v>
      </c>
      <c r="T18873" t="s">
        <v>6938</v>
      </c>
    </row>
    <row r="18874" spans="1:20" customFormat="1" ht="15" x14ac:dyDescent="0.25">
      <c r="A18874" t="s">
        <v>24</v>
      </c>
      <c r="B18874" t="s">
        <v>4400</v>
      </c>
      <c r="C18874" t="str">
        <f>"A0059850"</f>
        <v>A0059850</v>
      </c>
      <c r="D18874" t="s">
        <v>6939</v>
      </c>
      <c r="E18874" t="s">
        <v>6940</v>
      </c>
      <c r="F18874" t="s">
        <v>6941</v>
      </c>
      <c r="G18874" t="s">
        <v>214</v>
      </c>
      <c r="H18874">
        <v>27560</v>
      </c>
      <c r="I18874" t="s">
        <v>30</v>
      </c>
      <c r="J18874" t="s">
        <v>171</v>
      </c>
      <c r="K18874" t="s">
        <v>1331</v>
      </c>
      <c r="N18874" t="s">
        <v>6942</v>
      </c>
      <c r="O18874" t="s">
        <v>6943</v>
      </c>
      <c r="Q18874">
        <v>0</v>
      </c>
      <c r="R18874">
        <v>155</v>
      </c>
      <c r="S18874">
        <v>0</v>
      </c>
      <c r="T18874" t="s">
        <v>6944</v>
      </c>
    </row>
    <row r="18875" spans="1:20" customFormat="1" ht="15" x14ac:dyDescent="0.25">
      <c r="A18875" t="s">
        <v>24</v>
      </c>
      <c r="B18875" t="s">
        <v>6976</v>
      </c>
      <c r="C18875" t="str">
        <f>"A0085870"</f>
        <v>A0085870</v>
      </c>
      <c r="D18875" t="s">
        <v>6977</v>
      </c>
      <c r="E18875" t="s">
        <v>6978</v>
      </c>
      <c r="F18875" t="s">
        <v>1476</v>
      </c>
      <c r="G18875" t="s">
        <v>99</v>
      </c>
      <c r="H18875">
        <v>14611</v>
      </c>
      <c r="I18875" t="s">
        <v>30</v>
      </c>
      <c r="J18875" t="s">
        <v>171</v>
      </c>
      <c r="K18875" t="s">
        <v>1147</v>
      </c>
      <c r="N18875" t="s">
        <v>6979</v>
      </c>
      <c r="O18875" t="s">
        <v>6980</v>
      </c>
      <c r="Q18875">
        <v>0</v>
      </c>
      <c r="R18875">
        <v>88</v>
      </c>
      <c r="S18875">
        <v>0</v>
      </c>
      <c r="T18875" t="s">
        <v>6981</v>
      </c>
    </row>
    <row r="18876" spans="1:20" customFormat="1" ht="15" x14ac:dyDescent="0.25">
      <c r="A18876" t="s">
        <v>24</v>
      </c>
      <c r="B18876" t="s">
        <v>1567</v>
      </c>
      <c r="C18876" t="str">
        <f>"A0059226"</f>
        <v>A0059226</v>
      </c>
      <c r="D18876" t="s">
        <v>7005</v>
      </c>
      <c r="E18876" t="s">
        <v>7006</v>
      </c>
      <c r="F18876" t="s">
        <v>7007</v>
      </c>
      <c r="G18876" t="s">
        <v>71</v>
      </c>
      <c r="H18876">
        <v>54935</v>
      </c>
      <c r="I18876" t="s">
        <v>30</v>
      </c>
      <c r="J18876" t="s">
        <v>171</v>
      </c>
      <c r="K18876" t="s">
        <v>5979</v>
      </c>
      <c r="N18876" t="s">
        <v>7008</v>
      </c>
      <c r="Q18876">
        <v>0</v>
      </c>
      <c r="R18876">
        <v>121</v>
      </c>
      <c r="S18876">
        <v>0</v>
      </c>
      <c r="T18876" t="s">
        <v>7009</v>
      </c>
    </row>
    <row r="18877" spans="1:20" customFormat="1" ht="15" x14ac:dyDescent="0.25">
      <c r="A18877" t="s">
        <v>24</v>
      </c>
      <c r="B18877" t="s">
        <v>7145</v>
      </c>
      <c r="C18877" t="str">
        <f>"88BW008"</f>
        <v>88BW008</v>
      </c>
      <c r="D18877" t="s">
        <v>7164</v>
      </c>
      <c r="E18877" t="s">
        <v>7165</v>
      </c>
      <c r="F18877" t="s">
        <v>7166</v>
      </c>
      <c r="G18877" t="s">
        <v>197</v>
      </c>
      <c r="H18877">
        <v>85614</v>
      </c>
      <c r="I18877" t="s">
        <v>30</v>
      </c>
      <c r="J18877" t="s">
        <v>171</v>
      </c>
      <c r="K18877" t="s">
        <v>1259</v>
      </c>
      <c r="N18877" t="s">
        <v>7167</v>
      </c>
      <c r="O18877" t="s">
        <v>7168</v>
      </c>
      <c r="Q18877">
        <v>0</v>
      </c>
      <c r="R18877">
        <v>104</v>
      </c>
      <c r="S18877">
        <v>0</v>
      </c>
      <c r="T18877" t="s">
        <v>7169</v>
      </c>
    </row>
    <row r="18878" spans="1:20" customFormat="1" ht="15" x14ac:dyDescent="0.25">
      <c r="A18878" t="s">
        <v>24</v>
      </c>
      <c r="B18878" t="s">
        <v>5843</v>
      </c>
      <c r="C18878" t="str">
        <f>"A0101020"</f>
        <v>A0101020</v>
      </c>
      <c r="D18878" t="s">
        <v>7235</v>
      </c>
      <c r="E18878" t="s">
        <v>7236</v>
      </c>
      <c r="F18878" t="s">
        <v>6808</v>
      </c>
      <c r="G18878" t="s">
        <v>110</v>
      </c>
      <c r="H18878">
        <v>93428</v>
      </c>
      <c r="I18878" t="s">
        <v>30</v>
      </c>
      <c r="J18878" t="s">
        <v>171</v>
      </c>
      <c r="K18878" t="s">
        <v>163</v>
      </c>
      <c r="N18878" t="s">
        <v>7237</v>
      </c>
      <c r="Q18878">
        <v>0</v>
      </c>
      <c r="R18878">
        <v>34</v>
      </c>
      <c r="S18878">
        <v>0</v>
      </c>
      <c r="T18878" t="s">
        <v>7238</v>
      </c>
    </row>
    <row r="18879" spans="1:20" customFormat="1" ht="15" x14ac:dyDescent="0.25">
      <c r="A18879" t="s">
        <v>24</v>
      </c>
      <c r="B18879" t="s">
        <v>193</v>
      </c>
      <c r="C18879" t="str">
        <f>"A0077091"</f>
        <v>A0077091</v>
      </c>
      <c r="D18879" t="s">
        <v>7344</v>
      </c>
      <c r="E18879" t="s">
        <v>7345</v>
      </c>
      <c r="F18879" t="s">
        <v>6878</v>
      </c>
      <c r="G18879" t="s">
        <v>190</v>
      </c>
      <c r="H18879">
        <v>80919</v>
      </c>
      <c r="I18879" t="s">
        <v>30</v>
      </c>
      <c r="J18879" t="s">
        <v>171</v>
      </c>
      <c r="K18879" t="s">
        <v>163</v>
      </c>
      <c r="N18879" t="s">
        <v>7346</v>
      </c>
      <c r="Q18879">
        <v>0</v>
      </c>
      <c r="R18879">
        <v>125</v>
      </c>
      <c r="S18879">
        <v>0</v>
      </c>
      <c r="T18879" t="s">
        <v>7347</v>
      </c>
    </row>
    <row r="18880" spans="1:20" customFormat="1" ht="15" x14ac:dyDescent="0.25">
      <c r="A18880" t="s">
        <v>24</v>
      </c>
      <c r="B18880" t="s">
        <v>193</v>
      </c>
      <c r="C18880" t="str">
        <f>"432N1"</f>
        <v>432N1</v>
      </c>
      <c r="D18880" t="s">
        <v>7383</v>
      </c>
      <c r="E18880" t="s">
        <v>7384</v>
      </c>
      <c r="F18880" t="s">
        <v>3540</v>
      </c>
      <c r="G18880" t="s">
        <v>214</v>
      </c>
      <c r="H18880">
        <v>28303</v>
      </c>
      <c r="I18880" t="s">
        <v>30</v>
      </c>
      <c r="J18880" t="s">
        <v>171</v>
      </c>
      <c r="K18880" t="s">
        <v>7385</v>
      </c>
      <c r="Q18880">
        <v>0</v>
      </c>
      <c r="R18880">
        <v>129</v>
      </c>
      <c r="S18880">
        <v>0</v>
      </c>
      <c r="T18880" t="s">
        <v>7386</v>
      </c>
    </row>
    <row r="18881" spans="1:20" customFormat="1" ht="15" hidden="1" x14ac:dyDescent="0.25">
      <c r="A18881" t="s">
        <v>24</v>
      </c>
      <c r="B18881" t="s">
        <v>1548</v>
      </c>
      <c r="C18881" t="str">
        <f>"A0095168"</f>
        <v>A0095168</v>
      </c>
      <c r="D18881" t="s">
        <v>69508</v>
      </c>
      <c r="E18881" t="s">
        <v>69509</v>
      </c>
      <c r="F18881" t="s">
        <v>69510</v>
      </c>
      <c r="G18881" t="s">
        <v>2206</v>
      </c>
      <c r="H18881" t="s">
        <v>69511</v>
      </c>
      <c r="I18881" t="s">
        <v>1459</v>
      </c>
      <c r="J18881" t="s">
        <v>171</v>
      </c>
      <c r="K18881" t="s">
        <v>1331</v>
      </c>
      <c r="N18881" t="s">
        <v>69512</v>
      </c>
      <c r="Q18881">
        <v>0</v>
      </c>
      <c r="R18881">
        <v>118</v>
      </c>
      <c r="S18881">
        <v>0</v>
      </c>
      <c r="T18881" t="s">
        <v>69513</v>
      </c>
    </row>
    <row r="18882" spans="1:20" customFormat="1" ht="15" x14ac:dyDescent="0.25">
      <c r="A18882" t="s">
        <v>24</v>
      </c>
      <c r="B18882" t="s">
        <v>4400</v>
      </c>
      <c r="C18882" t="str">
        <f>"88IN076"</f>
        <v>88IN076</v>
      </c>
      <c r="D18882" t="s">
        <v>7397</v>
      </c>
      <c r="E18882" t="s">
        <v>7398</v>
      </c>
      <c r="F18882" t="s">
        <v>6593</v>
      </c>
      <c r="G18882" t="s">
        <v>47</v>
      </c>
      <c r="H18882">
        <v>97220</v>
      </c>
      <c r="I18882" t="s">
        <v>30</v>
      </c>
      <c r="J18882" t="s">
        <v>171</v>
      </c>
      <c r="K18882" t="s">
        <v>1023</v>
      </c>
      <c r="N18882" t="s">
        <v>7399</v>
      </c>
      <c r="Q18882">
        <v>0</v>
      </c>
      <c r="R18882">
        <v>105</v>
      </c>
      <c r="S18882">
        <v>0</v>
      </c>
      <c r="T18882" t="s">
        <v>7400</v>
      </c>
    </row>
    <row r="18883" spans="1:20" customFormat="1" ht="15" x14ac:dyDescent="0.25">
      <c r="A18883" t="s">
        <v>24</v>
      </c>
      <c r="B18883" t="s">
        <v>4400</v>
      </c>
      <c r="C18883" t="str">
        <f>"88HD009"</f>
        <v>88HD009</v>
      </c>
      <c r="D18883" t="s">
        <v>7401</v>
      </c>
      <c r="E18883" t="s">
        <v>7402</v>
      </c>
      <c r="F18883" t="s">
        <v>2269</v>
      </c>
      <c r="G18883" t="s">
        <v>76</v>
      </c>
      <c r="H18883">
        <v>98661</v>
      </c>
      <c r="I18883" t="s">
        <v>30</v>
      </c>
      <c r="J18883" t="s">
        <v>171</v>
      </c>
      <c r="K18883" t="s">
        <v>1023</v>
      </c>
      <c r="N18883" t="s">
        <v>7403</v>
      </c>
      <c r="Q18883">
        <v>0</v>
      </c>
      <c r="R18883">
        <v>104</v>
      </c>
      <c r="S18883">
        <v>0</v>
      </c>
      <c r="T18883" t="s">
        <v>7404</v>
      </c>
    </row>
    <row r="18884" spans="1:20" customFormat="1" ht="15" x14ac:dyDescent="0.25">
      <c r="A18884" t="s">
        <v>24</v>
      </c>
      <c r="B18884" t="s">
        <v>193</v>
      </c>
      <c r="C18884" t="str">
        <f>"A0087265"</f>
        <v>A0087265</v>
      </c>
      <c r="D18884" t="s">
        <v>7418</v>
      </c>
      <c r="E18884" t="s">
        <v>7419</v>
      </c>
      <c r="F18884" t="s">
        <v>3154</v>
      </c>
      <c r="G18884" t="s">
        <v>1170</v>
      </c>
      <c r="H18884">
        <v>70508</v>
      </c>
      <c r="I18884" t="s">
        <v>30</v>
      </c>
      <c r="J18884" t="s">
        <v>171</v>
      </c>
      <c r="K18884" t="s">
        <v>1147</v>
      </c>
      <c r="Q18884">
        <v>0</v>
      </c>
      <c r="R18884">
        <v>118</v>
      </c>
      <c r="S18884">
        <v>0</v>
      </c>
      <c r="T18884" t="s">
        <v>7420</v>
      </c>
    </row>
    <row r="18885" spans="1:20" customFormat="1" ht="15" x14ac:dyDescent="0.25">
      <c r="A18885" t="s">
        <v>24</v>
      </c>
      <c r="B18885" t="s">
        <v>7421</v>
      </c>
      <c r="C18885" t="str">
        <f>"A0180636"</f>
        <v>A0180636</v>
      </c>
      <c r="D18885" t="s">
        <v>7422</v>
      </c>
      <c r="E18885" t="s">
        <v>7423</v>
      </c>
      <c r="F18885" t="s">
        <v>7424</v>
      </c>
      <c r="G18885" t="s">
        <v>1369</v>
      </c>
      <c r="H18885">
        <v>39208</v>
      </c>
      <c r="I18885" t="s">
        <v>30</v>
      </c>
      <c r="J18885" t="s">
        <v>171</v>
      </c>
      <c r="K18885" t="s">
        <v>1450</v>
      </c>
      <c r="N18885" t="s">
        <v>7425</v>
      </c>
      <c r="Q18885">
        <v>0</v>
      </c>
      <c r="R18885">
        <v>101</v>
      </c>
      <c r="S18885">
        <v>0</v>
      </c>
      <c r="T18885" t="s">
        <v>7426</v>
      </c>
    </row>
    <row r="18886" spans="1:20" customFormat="1" ht="15" x14ac:dyDescent="0.25">
      <c r="A18886" t="s">
        <v>24</v>
      </c>
      <c r="B18886" t="s">
        <v>1849</v>
      </c>
      <c r="C18886" t="str">
        <f>"A0190332"</f>
        <v>A0190332</v>
      </c>
      <c r="D18886" t="s">
        <v>7437</v>
      </c>
      <c r="E18886" t="s">
        <v>7438</v>
      </c>
      <c r="F18886" t="s">
        <v>2856</v>
      </c>
      <c r="G18886" t="s">
        <v>52</v>
      </c>
      <c r="H18886">
        <v>79902</v>
      </c>
      <c r="I18886" t="s">
        <v>30</v>
      </c>
      <c r="J18886" t="s">
        <v>171</v>
      </c>
      <c r="K18886" t="s">
        <v>1331</v>
      </c>
      <c r="N18886" t="s">
        <v>7439</v>
      </c>
      <c r="Q18886">
        <v>0</v>
      </c>
      <c r="R18886">
        <v>153</v>
      </c>
      <c r="S18886">
        <v>0</v>
      </c>
      <c r="T18886" t="s">
        <v>7440</v>
      </c>
    </row>
    <row r="18887" spans="1:20" customFormat="1" ht="15" x14ac:dyDescent="0.25">
      <c r="A18887" t="s">
        <v>24</v>
      </c>
      <c r="B18887" t="s">
        <v>1288</v>
      </c>
      <c r="C18887" t="str">
        <f>"56594"</f>
        <v>56594</v>
      </c>
      <c r="D18887" t="s">
        <v>7441</v>
      </c>
      <c r="E18887" t="s">
        <v>7442</v>
      </c>
      <c r="F18887" t="s">
        <v>7443</v>
      </c>
      <c r="G18887" t="s">
        <v>123</v>
      </c>
      <c r="H18887">
        <v>20770</v>
      </c>
      <c r="I18887" t="s">
        <v>30</v>
      </c>
      <c r="J18887" t="s">
        <v>171</v>
      </c>
      <c r="K18887" t="s">
        <v>1450</v>
      </c>
      <c r="N18887" t="s">
        <v>7444</v>
      </c>
      <c r="O18887" t="s">
        <v>7445</v>
      </c>
      <c r="Q18887">
        <v>0</v>
      </c>
      <c r="R18887">
        <v>120</v>
      </c>
      <c r="S18887">
        <v>0</v>
      </c>
      <c r="T18887" t="s">
        <v>7446</v>
      </c>
    </row>
    <row r="18888" spans="1:20" customFormat="1" ht="15" x14ac:dyDescent="0.25">
      <c r="A18888" t="s">
        <v>24</v>
      </c>
      <c r="B18888" t="s">
        <v>1288</v>
      </c>
      <c r="C18888" t="str">
        <f>"A0078087"</f>
        <v>A0078087</v>
      </c>
      <c r="D18888" t="s">
        <v>7488</v>
      </c>
      <c r="E18888" t="s">
        <v>7489</v>
      </c>
      <c r="F18888" t="s">
        <v>3645</v>
      </c>
      <c r="G18888" t="s">
        <v>197</v>
      </c>
      <c r="H18888">
        <v>85251</v>
      </c>
      <c r="I18888" t="s">
        <v>30</v>
      </c>
      <c r="J18888" t="s">
        <v>171</v>
      </c>
      <c r="K18888" t="s">
        <v>2972</v>
      </c>
      <c r="N18888" t="s">
        <v>7490</v>
      </c>
      <c r="O18888" t="s">
        <v>7491</v>
      </c>
      <c r="Q18888">
        <v>0</v>
      </c>
      <c r="R18888">
        <v>164</v>
      </c>
      <c r="S18888">
        <v>0</v>
      </c>
      <c r="T18888" t="s">
        <v>7492</v>
      </c>
    </row>
    <row r="18889" spans="1:20" customFormat="1" ht="15" x14ac:dyDescent="0.25">
      <c r="A18889" t="s">
        <v>24</v>
      </c>
      <c r="B18889" t="s">
        <v>1288</v>
      </c>
      <c r="C18889" t="str">
        <f>"A0059751"</f>
        <v>A0059751</v>
      </c>
      <c r="D18889" t="s">
        <v>7493</v>
      </c>
      <c r="E18889" t="s">
        <v>7494</v>
      </c>
      <c r="F18889" t="s">
        <v>7495</v>
      </c>
      <c r="G18889" t="s">
        <v>110</v>
      </c>
      <c r="H18889">
        <v>94588</v>
      </c>
      <c r="I18889" t="s">
        <v>30</v>
      </c>
      <c r="J18889" t="s">
        <v>171</v>
      </c>
      <c r="K18889" t="s">
        <v>2972</v>
      </c>
      <c r="N18889" t="s">
        <v>7496</v>
      </c>
      <c r="O18889" t="s">
        <v>7497</v>
      </c>
      <c r="Q18889">
        <v>0</v>
      </c>
      <c r="R18889">
        <v>128</v>
      </c>
      <c r="S18889">
        <v>0</v>
      </c>
      <c r="T18889" t="s">
        <v>7498</v>
      </c>
    </row>
    <row r="18890" spans="1:20" customFormat="1" ht="15" x14ac:dyDescent="0.25">
      <c r="A18890" t="s">
        <v>24</v>
      </c>
      <c r="B18890" t="s">
        <v>1288</v>
      </c>
      <c r="C18890" t="str">
        <f>"A0078085"</f>
        <v>A0078085</v>
      </c>
      <c r="D18890" t="s">
        <v>7499</v>
      </c>
      <c r="E18890" t="s">
        <v>7500</v>
      </c>
      <c r="F18890" t="s">
        <v>7501</v>
      </c>
      <c r="G18890" t="s">
        <v>110</v>
      </c>
      <c r="H18890">
        <v>94523</v>
      </c>
      <c r="I18890" t="s">
        <v>30</v>
      </c>
      <c r="J18890" t="s">
        <v>171</v>
      </c>
      <c r="K18890" t="s">
        <v>2972</v>
      </c>
      <c r="N18890" t="s">
        <v>7502</v>
      </c>
      <c r="Q18890">
        <v>0</v>
      </c>
      <c r="R18890">
        <v>142</v>
      </c>
      <c r="S18890">
        <v>0</v>
      </c>
      <c r="T18890" t="s">
        <v>7503</v>
      </c>
    </row>
    <row r="18891" spans="1:20" customFormat="1" ht="15" x14ac:dyDescent="0.25">
      <c r="A18891" t="s">
        <v>24</v>
      </c>
      <c r="B18891" t="s">
        <v>1288</v>
      </c>
      <c r="C18891" t="str">
        <f>"A0058869"</f>
        <v>A0058869</v>
      </c>
      <c r="D18891" t="s">
        <v>7504</v>
      </c>
      <c r="E18891" t="s">
        <v>7505</v>
      </c>
      <c r="F18891" t="s">
        <v>1622</v>
      </c>
      <c r="G18891" t="s">
        <v>29</v>
      </c>
      <c r="H18891">
        <v>22304</v>
      </c>
      <c r="I18891" t="s">
        <v>30</v>
      </c>
      <c r="J18891" t="s">
        <v>171</v>
      </c>
      <c r="K18891" t="s">
        <v>973</v>
      </c>
      <c r="N18891" t="s">
        <v>7506</v>
      </c>
      <c r="Q18891">
        <v>0</v>
      </c>
      <c r="R18891">
        <v>203</v>
      </c>
      <c r="S18891">
        <v>0</v>
      </c>
      <c r="T18891" t="s">
        <v>7507</v>
      </c>
    </row>
    <row r="18892" spans="1:20" customFormat="1" ht="15" x14ac:dyDescent="0.25">
      <c r="A18892" t="s">
        <v>24</v>
      </c>
      <c r="B18892" t="s">
        <v>4400</v>
      </c>
      <c r="C18892" t="str">
        <f>"A0089742"</f>
        <v>A0089742</v>
      </c>
      <c r="D18892" t="s">
        <v>7560</v>
      </c>
      <c r="E18892" t="s">
        <v>7561</v>
      </c>
      <c r="F18892" t="s">
        <v>5905</v>
      </c>
      <c r="G18892" t="s">
        <v>58</v>
      </c>
      <c r="H18892">
        <v>29601</v>
      </c>
      <c r="I18892" t="s">
        <v>30</v>
      </c>
      <c r="J18892" t="s">
        <v>171</v>
      </c>
      <c r="K18892" t="s">
        <v>973</v>
      </c>
      <c r="N18892" t="s">
        <v>7562</v>
      </c>
      <c r="O18892" t="s">
        <v>7563</v>
      </c>
      <c r="Q18892">
        <v>0</v>
      </c>
      <c r="R18892">
        <v>135</v>
      </c>
      <c r="S18892">
        <v>0</v>
      </c>
      <c r="T18892" t="s">
        <v>7564</v>
      </c>
    </row>
    <row r="18893" spans="1:20" customFormat="1" ht="15" x14ac:dyDescent="0.25">
      <c r="A18893" t="s">
        <v>24</v>
      </c>
      <c r="B18893" t="s">
        <v>799</v>
      </c>
      <c r="C18893" t="str">
        <f>"A0190208"</f>
        <v>A0190208</v>
      </c>
      <c r="D18893" t="s">
        <v>7651</v>
      </c>
      <c r="E18893" t="s">
        <v>7652</v>
      </c>
      <c r="F18893" t="s">
        <v>4894</v>
      </c>
      <c r="G18893" t="s">
        <v>1369</v>
      </c>
      <c r="H18893">
        <v>38804</v>
      </c>
      <c r="I18893" t="s">
        <v>30</v>
      </c>
      <c r="J18893" t="s">
        <v>171</v>
      </c>
      <c r="K18893" t="s">
        <v>163</v>
      </c>
      <c r="N18893" t="s">
        <v>7653</v>
      </c>
      <c r="Q18893">
        <v>0</v>
      </c>
      <c r="R18893">
        <v>80</v>
      </c>
      <c r="S18893">
        <v>0</v>
      </c>
      <c r="T18893" t="s">
        <v>7654</v>
      </c>
    </row>
    <row r="18894" spans="1:20" customFormat="1" ht="15" x14ac:dyDescent="0.25">
      <c r="A18894" t="s">
        <v>24</v>
      </c>
      <c r="B18894" t="s">
        <v>7702</v>
      </c>
      <c r="C18894" t="str">
        <f>"A0096043"</f>
        <v>A0096043</v>
      </c>
      <c r="D18894" t="s">
        <v>7703</v>
      </c>
      <c r="E18894" t="s">
        <v>7704</v>
      </c>
      <c r="F18894" t="s">
        <v>7705</v>
      </c>
      <c r="G18894" t="s">
        <v>110</v>
      </c>
      <c r="H18894">
        <v>93644</v>
      </c>
      <c r="I18894" t="s">
        <v>30</v>
      </c>
      <c r="J18894" t="s">
        <v>171</v>
      </c>
      <c r="K18894" t="s">
        <v>163</v>
      </c>
      <c r="N18894" t="s">
        <v>7706</v>
      </c>
      <c r="Q18894">
        <v>0</v>
      </c>
      <c r="R18894">
        <v>28</v>
      </c>
      <c r="S18894">
        <v>0</v>
      </c>
      <c r="T18894" t="s">
        <v>7707</v>
      </c>
    </row>
    <row r="18895" spans="1:20" customFormat="1" ht="15" x14ac:dyDescent="0.25">
      <c r="A18895" t="s">
        <v>24</v>
      </c>
      <c r="B18895" t="s">
        <v>3628</v>
      </c>
      <c r="C18895" t="str">
        <f>"A0095393"</f>
        <v>A0095393</v>
      </c>
      <c r="D18895" t="s">
        <v>7712</v>
      </c>
      <c r="E18895" t="s">
        <v>7713</v>
      </c>
      <c r="F18895" t="s">
        <v>7714</v>
      </c>
      <c r="G18895" t="s">
        <v>197</v>
      </c>
      <c r="H18895">
        <v>85212</v>
      </c>
      <c r="I18895" t="s">
        <v>30</v>
      </c>
      <c r="J18895" t="s">
        <v>171</v>
      </c>
      <c r="K18895" t="s">
        <v>973</v>
      </c>
      <c r="N18895" t="s">
        <v>7715</v>
      </c>
      <c r="O18895" t="s">
        <v>7716</v>
      </c>
      <c r="Q18895">
        <v>0</v>
      </c>
      <c r="R18895">
        <v>99</v>
      </c>
      <c r="S18895">
        <v>0</v>
      </c>
      <c r="T18895" t="s">
        <v>7717</v>
      </c>
    </row>
    <row r="18896" spans="1:20" customFormat="1" ht="15" x14ac:dyDescent="0.25">
      <c r="A18896" t="s">
        <v>24</v>
      </c>
      <c r="B18896" t="s">
        <v>7727</v>
      </c>
      <c r="C18896" t="str">
        <f>"A0162102"</f>
        <v>A0162102</v>
      </c>
      <c r="D18896" t="s">
        <v>7728</v>
      </c>
      <c r="E18896" t="s">
        <v>7729</v>
      </c>
      <c r="F18896" t="s">
        <v>196</v>
      </c>
      <c r="G18896" t="s">
        <v>197</v>
      </c>
      <c r="H18896">
        <v>85004</v>
      </c>
      <c r="I18896" t="s">
        <v>30</v>
      </c>
      <c r="J18896" t="s">
        <v>171</v>
      </c>
      <c r="K18896" t="s">
        <v>2077</v>
      </c>
      <c r="N18896" t="s">
        <v>7730</v>
      </c>
      <c r="Q18896">
        <v>0</v>
      </c>
      <c r="R18896">
        <v>199</v>
      </c>
      <c r="S18896">
        <v>0</v>
      </c>
      <c r="T18896" t="s">
        <v>7731</v>
      </c>
    </row>
    <row r="18897" spans="1:20" customFormat="1" ht="15" x14ac:dyDescent="0.25">
      <c r="A18897" t="s">
        <v>24</v>
      </c>
      <c r="B18897" t="s">
        <v>5120</v>
      </c>
      <c r="C18897" t="str">
        <f>"A0100190"</f>
        <v>A0100190</v>
      </c>
      <c r="D18897" t="s">
        <v>7869</v>
      </c>
      <c r="E18897" t="s">
        <v>7870</v>
      </c>
      <c r="F18897" t="s">
        <v>729</v>
      </c>
      <c r="G18897" t="s">
        <v>110</v>
      </c>
      <c r="H18897">
        <v>93110</v>
      </c>
      <c r="I18897" t="s">
        <v>30</v>
      </c>
      <c r="J18897" t="s">
        <v>171</v>
      </c>
      <c r="K18897" t="s">
        <v>1202</v>
      </c>
      <c r="N18897" t="s">
        <v>7871</v>
      </c>
      <c r="Q18897">
        <v>0</v>
      </c>
      <c r="R18897">
        <v>88</v>
      </c>
      <c r="S18897">
        <v>0</v>
      </c>
      <c r="T18897" t="s">
        <v>7872</v>
      </c>
    </row>
    <row r="18898" spans="1:20" customFormat="1" ht="15" x14ac:dyDescent="0.25">
      <c r="A18898" t="s">
        <v>24</v>
      </c>
      <c r="B18898" t="s">
        <v>5120</v>
      </c>
      <c r="C18898" t="str">
        <f>"A0189883"</f>
        <v>A0189883</v>
      </c>
      <c r="D18898" t="s">
        <v>7881</v>
      </c>
      <c r="E18898" t="s">
        <v>7882</v>
      </c>
      <c r="F18898" t="s">
        <v>7883</v>
      </c>
      <c r="G18898" t="s">
        <v>110</v>
      </c>
      <c r="H18898">
        <v>94523</v>
      </c>
      <c r="I18898" t="s">
        <v>30</v>
      </c>
      <c r="J18898" t="s">
        <v>171</v>
      </c>
      <c r="K18898" t="s">
        <v>1023</v>
      </c>
      <c r="N18898" t="s">
        <v>7884</v>
      </c>
      <c r="O18898" t="s">
        <v>7885</v>
      </c>
      <c r="Q18898">
        <v>0</v>
      </c>
      <c r="R18898">
        <v>119</v>
      </c>
      <c r="S18898">
        <v>0</v>
      </c>
      <c r="T18898" t="s">
        <v>7886</v>
      </c>
    </row>
    <row r="18899" spans="1:20" customFormat="1" ht="15" x14ac:dyDescent="0.25">
      <c r="A18899" t="s">
        <v>24</v>
      </c>
      <c r="B18899" t="s">
        <v>1338</v>
      </c>
      <c r="C18899" t="str">
        <f>"A0076136"</f>
        <v>A0076136</v>
      </c>
      <c r="D18899" t="s">
        <v>7903</v>
      </c>
      <c r="E18899" t="s">
        <v>7904</v>
      </c>
      <c r="F18899" t="s">
        <v>356</v>
      </c>
      <c r="G18899" t="s">
        <v>52</v>
      </c>
      <c r="H18899">
        <v>78238</v>
      </c>
      <c r="I18899" t="s">
        <v>30</v>
      </c>
      <c r="J18899" t="s">
        <v>171</v>
      </c>
      <c r="K18899" t="s">
        <v>973</v>
      </c>
      <c r="N18899" t="s">
        <v>1342</v>
      </c>
      <c r="O18899" t="s">
        <v>7905</v>
      </c>
      <c r="Q18899">
        <v>0</v>
      </c>
      <c r="R18899">
        <v>96</v>
      </c>
      <c r="S18899">
        <v>0</v>
      </c>
      <c r="T18899" t="s">
        <v>7906</v>
      </c>
    </row>
    <row r="18900" spans="1:20" customFormat="1" ht="15" x14ac:dyDescent="0.25">
      <c r="A18900" t="s">
        <v>24</v>
      </c>
      <c r="B18900" t="s">
        <v>7928</v>
      </c>
      <c r="C18900" t="str">
        <f>"A0189987"</f>
        <v>A0189987</v>
      </c>
      <c r="D18900" t="s">
        <v>7929</v>
      </c>
      <c r="E18900" t="s">
        <v>7930</v>
      </c>
      <c r="F18900" t="s">
        <v>7931</v>
      </c>
      <c r="G18900" t="s">
        <v>99</v>
      </c>
      <c r="H18900">
        <v>14456</v>
      </c>
      <c r="I18900" t="s">
        <v>30</v>
      </c>
      <c r="J18900" t="s">
        <v>171</v>
      </c>
      <c r="K18900" t="s">
        <v>5979</v>
      </c>
      <c r="N18900" t="s">
        <v>7932</v>
      </c>
      <c r="O18900" t="s">
        <v>7932</v>
      </c>
      <c r="Q18900">
        <v>0</v>
      </c>
      <c r="R18900">
        <v>148</v>
      </c>
      <c r="S18900">
        <v>0</v>
      </c>
      <c r="T18900" t="s">
        <v>7933</v>
      </c>
    </row>
    <row r="18901" spans="1:20" customFormat="1" ht="15" x14ac:dyDescent="0.25">
      <c r="A18901" t="s">
        <v>24</v>
      </c>
      <c r="B18901" t="s">
        <v>762</v>
      </c>
      <c r="C18901" t="str">
        <f>"A0189990"</f>
        <v>A0189990</v>
      </c>
      <c r="D18901" t="s">
        <v>7938</v>
      </c>
      <c r="E18901" t="s">
        <v>7939</v>
      </c>
      <c r="F18901" t="s">
        <v>7940</v>
      </c>
      <c r="G18901" t="s">
        <v>52</v>
      </c>
      <c r="H18901">
        <v>77840</v>
      </c>
      <c r="I18901" t="s">
        <v>30</v>
      </c>
      <c r="J18901" t="s">
        <v>171</v>
      </c>
      <c r="K18901" t="s">
        <v>308</v>
      </c>
      <c r="N18901" t="s">
        <v>7941</v>
      </c>
      <c r="Q18901">
        <v>0</v>
      </c>
      <c r="R18901">
        <v>64</v>
      </c>
      <c r="S18901">
        <v>0</v>
      </c>
      <c r="T18901" t="s">
        <v>7942</v>
      </c>
    </row>
    <row r="18902" spans="1:20" customFormat="1" ht="15" x14ac:dyDescent="0.25">
      <c r="A18902" t="s">
        <v>24</v>
      </c>
      <c r="B18902" t="s">
        <v>1020</v>
      </c>
      <c r="C18902" t="str">
        <f>"A0096742"</f>
        <v>A0096742</v>
      </c>
      <c r="D18902" t="s">
        <v>7947</v>
      </c>
      <c r="E18902" t="s">
        <v>7948</v>
      </c>
      <c r="F18902" t="s">
        <v>997</v>
      </c>
      <c r="G18902" t="s">
        <v>99</v>
      </c>
      <c r="H18902">
        <v>10038</v>
      </c>
      <c r="I18902" t="s">
        <v>30</v>
      </c>
      <c r="J18902" t="s">
        <v>171</v>
      </c>
      <c r="K18902" t="s">
        <v>2925</v>
      </c>
      <c r="N18902" t="s">
        <v>7949</v>
      </c>
      <c r="Q18902">
        <v>0</v>
      </c>
      <c r="R18902">
        <v>298</v>
      </c>
      <c r="S18902">
        <v>0</v>
      </c>
      <c r="T18902" t="s">
        <v>7950</v>
      </c>
    </row>
    <row r="18903" spans="1:20" customFormat="1" ht="15" x14ac:dyDescent="0.25">
      <c r="A18903" t="s">
        <v>24</v>
      </c>
      <c r="B18903" t="s">
        <v>7958</v>
      </c>
      <c r="C18903" t="str">
        <f>"A0156647"</f>
        <v>A0156647</v>
      </c>
      <c r="D18903" t="s">
        <v>7959</v>
      </c>
      <c r="E18903" t="s">
        <v>7960</v>
      </c>
      <c r="F18903" t="s">
        <v>5818</v>
      </c>
      <c r="G18903" t="s">
        <v>65</v>
      </c>
      <c r="H18903">
        <v>43452</v>
      </c>
      <c r="I18903" t="s">
        <v>30</v>
      </c>
      <c r="J18903" t="s">
        <v>171</v>
      </c>
      <c r="K18903" t="s">
        <v>308</v>
      </c>
      <c r="N18903" t="s">
        <v>7961</v>
      </c>
      <c r="O18903" t="s">
        <v>7962</v>
      </c>
      <c r="Q18903">
        <v>0</v>
      </c>
      <c r="R18903">
        <v>64</v>
      </c>
      <c r="S18903">
        <v>0</v>
      </c>
      <c r="T18903" t="s">
        <v>7963</v>
      </c>
    </row>
    <row r="18904" spans="1:20" customFormat="1" ht="15" x14ac:dyDescent="0.25">
      <c r="A18904" t="s">
        <v>24</v>
      </c>
      <c r="B18904" t="s">
        <v>2528</v>
      </c>
      <c r="C18904" t="str">
        <f>"A0068227"</f>
        <v>A0068227</v>
      </c>
      <c r="D18904" t="s">
        <v>8186</v>
      </c>
      <c r="E18904" t="s">
        <v>8187</v>
      </c>
      <c r="F18904" t="s">
        <v>8188</v>
      </c>
      <c r="G18904" t="s">
        <v>103</v>
      </c>
      <c r="H18904">
        <v>19446</v>
      </c>
      <c r="I18904" t="s">
        <v>30</v>
      </c>
      <c r="J18904" t="s">
        <v>171</v>
      </c>
      <c r="K18904" t="s">
        <v>1023</v>
      </c>
      <c r="N18904" t="s">
        <v>3486</v>
      </c>
      <c r="Q18904">
        <v>0</v>
      </c>
      <c r="R18904">
        <v>170</v>
      </c>
      <c r="S18904">
        <v>0</v>
      </c>
      <c r="T18904" t="s">
        <v>8189</v>
      </c>
    </row>
    <row r="18905" spans="1:20" customFormat="1" ht="15" x14ac:dyDescent="0.25">
      <c r="A18905" t="s">
        <v>24</v>
      </c>
      <c r="B18905" t="s">
        <v>193</v>
      </c>
      <c r="C18905" t="str">
        <f>"A0071900"</f>
        <v>A0071900</v>
      </c>
      <c r="D18905" t="s">
        <v>8223</v>
      </c>
      <c r="E18905" t="s">
        <v>8224</v>
      </c>
      <c r="F18905" t="s">
        <v>8225</v>
      </c>
      <c r="G18905" t="s">
        <v>65</v>
      </c>
      <c r="H18905">
        <v>43016</v>
      </c>
      <c r="I18905" t="s">
        <v>30</v>
      </c>
      <c r="J18905" t="s">
        <v>171</v>
      </c>
      <c r="K18905" t="s">
        <v>1147</v>
      </c>
      <c r="N18905" t="s">
        <v>8226</v>
      </c>
      <c r="Q18905">
        <v>0</v>
      </c>
      <c r="R18905">
        <v>111</v>
      </c>
      <c r="S18905">
        <v>0</v>
      </c>
      <c r="T18905" t="s">
        <v>8227</v>
      </c>
    </row>
    <row r="18906" spans="1:20" customFormat="1" ht="15" x14ac:dyDescent="0.25">
      <c r="A18906" t="s">
        <v>24</v>
      </c>
      <c r="B18906" t="s">
        <v>193</v>
      </c>
      <c r="C18906" t="str">
        <f>"A0149059"</f>
        <v>A0149059</v>
      </c>
      <c r="D18906" t="s">
        <v>8228</v>
      </c>
      <c r="E18906" t="s">
        <v>8229</v>
      </c>
      <c r="F18906" t="s">
        <v>8230</v>
      </c>
      <c r="G18906" t="s">
        <v>65</v>
      </c>
      <c r="H18906">
        <v>45342</v>
      </c>
      <c r="I18906" t="s">
        <v>30</v>
      </c>
      <c r="J18906" t="s">
        <v>171</v>
      </c>
      <c r="K18906" t="s">
        <v>1023</v>
      </c>
      <c r="N18906" t="s">
        <v>8231</v>
      </c>
      <c r="Q18906">
        <v>0</v>
      </c>
      <c r="R18906">
        <v>96</v>
      </c>
      <c r="S18906">
        <v>0</v>
      </c>
      <c r="T18906" t="s">
        <v>8232</v>
      </c>
    </row>
    <row r="18907" spans="1:20" customFormat="1" ht="15" x14ac:dyDescent="0.25">
      <c r="A18907" t="s">
        <v>24</v>
      </c>
      <c r="B18907" t="s">
        <v>193</v>
      </c>
      <c r="C18907" t="str">
        <f>"A0099381"</f>
        <v>A0099381</v>
      </c>
      <c r="D18907" t="s">
        <v>8233</v>
      </c>
      <c r="E18907" t="s">
        <v>8234</v>
      </c>
      <c r="F18907" t="s">
        <v>4909</v>
      </c>
      <c r="G18907" t="s">
        <v>58</v>
      </c>
      <c r="H18907">
        <v>29210</v>
      </c>
      <c r="I18907" t="s">
        <v>30</v>
      </c>
      <c r="J18907" t="s">
        <v>171</v>
      </c>
      <c r="K18907" t="s">
        <v>1023</v>
      </c>
      <c r="N18907" t="s">
        <v>8235</v>
      </c>
      <c r="O18907" t="s">
        <v>8236</v>
      </c>
      <c r="Q18907">
        <v>0</v>
      </c>
      <c r="R18907">
        <v>81</v>
      </c>
      <c r="S18907">
        <v>0</v>
      </c>
      <c r="T18907" t="s">
        <v>8237</v>
      </c>
    </row>
    <row r="18908" spans="1:20" customFormat="1" ht="15" x14ac:dyDescent="0.25">
      <c r="A18908" t="s">
        <v>24</v>
      </c>
      <c r="B18908" t="s">
        <v>8296</v>
      </c>
      <c r="C18908" t="str">
        <f>"56878"</f>
        <v>56878</v>
      </c>
      <c r="D18908" t="s">
        <v>8297</v>
      </c>
      <c r="E18908" t="s">
        <v>8298</v>
      </c>
      <c r="F18908" t="s">
        <v>8299</v>
      </c>
      <c r="G18908" t="s">
        <v>110</v>
      </c>
      <c r="H18908">
        <v>90638</v>
      </c>
      <c r="I18908" t="s">
        <v>30</v>
      </c>
      <c r="J18908" t="s">
        <v>171</v>
      </c>
      <c r="K18908" t="s">
        <v>1450</v>
      </c>
      <c r="N18908" t="s">
        <v>8300</v>
      </c>
      <c r="Q18908">
        <v>0</v>
      </c>
      <c r="R18908">
        <v>146</v>
      </c>
      <c r="S18908">
        <v>0</v>
      </c>
      <c r="T18908" t="s">
        <v>8301</v>
      </c>
    </row>
    <row r="18909" spans="1:20" customFormat="1" ht="15" x14ac:dyDescent="0.25">
      <c r="A18909" t="s">
        <v>24</v>
      </c>
      <c r="B18909" t="s">
        <v>8296</v>
      </c>
      <c r="C18909" t="str">
        <f>"A0068169"</f>
        <v>A0068169</v>
      </c>
      <c r="D18909" t="s">
        <v>8322</v>
      </c>
      <c r="E18909" t="s">
        <v>8323</v>
      </c>
      <c r="F18909" t="s">
        <v>8324</v>
      </c>
      <c r="G18909" t="s">
        <v>110</v>
      </c>
      <c r="H18909">
        <v>91706</v>
      </c>
      <c r="I18909" t="s">
        <v>30</v>
      </c>
      <c r="J18909" t="s">
        <v>171</v>
      </c>
      <c r="K18909" t="s">
        <v>973</v>
      </c>
      <c r="N18909" t="s">
        <v>8325</v>
      </c>
      <c r="O18909" t="s">
        <v>8326</v>
      </c>
      <c r="Q18909">
        <v>0</v>
      </c>
      <c r="R18909">
        <v>195</v>
      </c>
      <c r="S18909">
        <v>0</v>
      </c>
      <c r="T18909" t="s">
        <v>8327</v>
      </c>
    </row>
    <row r="18910" spans="1:20" customFormat="1" ht="15" x14ac:dyDescent="0.25">
      <c r="A18910" t="s">
        <v>24</v>
      </c>
      <c r="B18910" t="s">
        <v>706</v>
      </c>
      <c r="C18910" t="str">
        <f>"A0189685"</f>
        <v>A0189685</v>
      </c>
      <c r="D18910" t="s">
        <v>8388</v>
      </c>
      <c r="E18910" t="s">
        <v>8389</v>
      </c>
      <c r="F18910" t="s">
        <v>2443</v>
      </c>
      <c r="G18910" t="s">
        <v>81</v>
      </c>
      <c r="H18910">
        <v>32244</v>
      </c>
      <c r="I18910" t="s">
        <v>30</v>
      </c>
      <c r="J18910" t="s">
        <v>171</v>
      </c>
      <c r="K18910" t="s">
        <v>1259</v>
      </c>
      <c r="N18910" t="s">
        <v>711</v>
      </c>
      <c r="O18910" t="s">
        <v>8390</v>
      </c>
      <c r="Q18910">
        <v>0</v>
      </c>
      <c r="R18910">
        <v>100</v>
      </c>
      <c r="S18910">
        <v>0</v>
      </c>
      <c r="T18910" t="s">
        <v>8391</v>
      </c>
    </row>
    <row r="18911" spans="1:20" customFormat="1" ht="15" x14ac:dyDescent="0.25">
      <c r="A18911" t="s">
        <v>24</v>
      </c>
      <c r="B18911" t="s">
        <v>8405</v>
      </c>
      <c r="C18911" t="str">
        <f>"56974"</f>
        <v>56974</v>
      </c>
      <c r="D18911" t="s">
        <v>8406</v>
      </c>
      <c r="E18911" t="s">
        <v>8407</v>
      </c>
      <c r="F18911" t="s">
        <v>8408</v>
      </c>
      <c r="G18911" t="s">
        <v>381</v>
      </c>
      <c r="H18911">
        <v>46323</v>
      </c>
      <c r="I18911" t="s">
        <v>30</v>
      </c>
      <c r="J18911" t="s">
        <v>171</v>
      </c>
      <c r="K18911" t="s">
        <v>1450</v>
      </c>
      <c r="N18911" t="s">
        <v>8409</v>
      </c>
      <c r="Q18911">
        <v>0</v>
      </c>
      <c r="R18911">
        <v>78</v>
      </c>
      <c r="S18911">
        <v>0</v>
      </c>
      <c r="T18911" t="s">
        <v>8410</v>
      </c>
    </row>
    <row r="18912" spans="1:20" customFormat="1" ht="15" x14ac:dyDescent="0.25">
      <c r="A18912" t="s">
        <v>24</v>
      </c>
      <c r="B18912" t="s">
        <v>8405</v>
      </c>
      <c r="C18912" t="str">
        <f>"651UE"</f>
        <v>651UE</v>
      </c>
      <c r="D18912" t="s">
        <v>8411</v>
      </c>
      <c r="E18912" t="s">
        <v>8412</v>
      </c>
      <c r="F18912" t="s">
        <v>8408</v>
      </c>
      <c r="G18912" t="s">
        <v>381</v>
      </c>
      <c r="H18912">
        <v>46323</v>
      </c>
      <c r="I18912" t="s">
        <v>30</v>
      </c>
      <c r="J18912" t="s">
        <v>171</v>
      </c>
      <c r="K18912" t="s">
        <v>973</v>
      </c>
      <c r="N18912" t="s">
        <v>8413</v>
      </c>
      <c r="Q18912">
        <v>0</v>
      </c>
      <c r="R18912">
        <v>85</v>
      </c>
      <c r="S18912">
        <v>0</v>
      </c>
      <c r="T18912" t="s">
        <v>8414</v>
      </c>
    </row>
    <row r="18913" spans="1:20" customFormat="1" ht="15" x14ac:dyDescent="0.25">
      <c r="A18913" t="s">
        <v>24</v>
      </c>
      <c r="B18913" t="s">
        <v>1268</v>
      </c>
      <c r="C18913" t="str">
        <f>"6514F"</f>
        <v>6514F</v>
      </c>
      <c r="D18913" t="s">
        <v>8508</v>
      </c>
      <c r="E18913" t="s">
        <v>8509</v>
      </c>
      <c r="F18913" t="s">
        <v>8510</v>
      </c>
      <c r="G18913" t="s">
        <v>58</v>
      </c>
      <c r="H18913">
        <v>29732</v>
      </c>
      <c r="I18913" t="s">
        <v>30</v>
      </c>
      <c r="J18913" t="s">
        <v>171</v>
      </c>
      <c r="K18913" t="s">
        <v>973</v>
      </c>
      <c r="N18913" t="s">
        <v>8511</v>
      </c>
      <c r="O18913" t="s">
        <v>8512</v>
      </c>
      <c r="Q18913">
        <v>0</v>
      </c>
      <c r="R18913">
        <v>90</v>
      </c>
      <c r="S18913">
        <v>0</v>
      </c>
      <c r="T18913" t="s">
        <v>8513</v>
      </c>
    </row>
    <row r="18914" spans="1:20" customFormat="1" ht="15" x14ac:dyDescent="0.25">
      <c r="A18914" t="s">
        <v>24</v>
      </c>
      <c r="B18914" t="s">
        <v>1268</v>
      </c>
      <c r="C18914" t="str">
        <f>"A0055015"</f>
        <v>A0055015</v>
      </c>
      <c r="D18914" t="s">
        <v>8514</v>
      </c>
      <c r="E18914" t="s">
        <v>8515</v>
      </c>
      <c r="F18914" t="s">
        <v>3455</v>
      </c>
      <c r="G18914" t="s">
        <v>161</v>
      </c>
      <c r="H18914">
        <v>55435</v>
      </c>
      <c r="I18914" t="s">
        <v>30</v>
      </c>
      <c r="J18914" t="s">
        <v>171</v>
      </c>
      <c r="K18914" t="s">
        <v>973</v>
      </c>
      <c r="N18914" t="s">
        <v>8516</v>
      </c>
      <c r="Q18914">
        <v>0</v>
      </c>
      <c r="R18914">
        <v>209</v>
      </c>
      <c r="S18914">
        <v>0</v>
      </c>
      <c r="T18914" t="s">
        <v>8517</v>
      </c>
    </row>
    <row r="18915" spans="1:20" customFormat="1" ht="15" x14ac:dyDescent="0.25">
      <c r="A18915" t="s">
        <v>24</v>
      </c>
      <c r="B18915" t="s">
        <v>1467</v>
      </c>
      <c r="C18915" t="str">
        <f>"A0189824"</f>
        <v>A0189824</v>
      </c>
      <c r="D18915" t="s">
        <v>8540</v>
      </c>
      <c r="E18915" t="s">
        <v>8541</v>
      </c>
      <c r="F18915" t="s">
        <v>8542</v>
      </c>
      <c r="G18915" t="s">
        <v>1363</v>
      </c>
      <c r="H18915">
        <v>3103</v>
      </c>
      <c r="I18915" t="s">
        <v>30</v>
      </c>
      <c r="J18915" t="s">
        <v>171</v>
      </c>
      <c r="K18915" t="s">
        <v>4386</v>
      </c>
      <c r="N18915" t="s">
        <v>8543</v>
      </c>
      <c r="Q18915">
        <v>0</v>
      </c>
      <c r="R18915">
        <v>112</v>
      </c>
      <c r="S18915">
        <v>0</v>
      </c>
      <c r="T18915" t="s">
        <v>8544</v>
      </c>
    </row>
    <row r="18916" spans="1:20" customFormat="1" ht="15" x14ac:dyDescent="0.25">
      <c r="A18916" t="s">
        <v>24</v>
      </c>
      <c r="B18916" t="s">
        <v>8466</v>
      </c>
      <c r="C18916" t="str">
        <f>"A0058646"</f>
        <v>A0058646</v>
      </c>
      <c r="D18916" t="s">
        <v>8565</v>
      </c>
      <c r="E18916" t="s">
        <v>8566</v>
      </c>
      <c r="F18916" t="s">
        <v>8567</v>
      </c>
      <c r="G18916" t="s">
        <v>338</v>
      </c>
      <c r="H18916">
        <v>7856</v>
      </c>
      <c r="I18916" t="s">
        <v>30</v>
      </c>
      <c r="J18916" t="s">
        <v>171</v>
      </c>
      <c r="K18916" t="s">
        <v>973</v>
      </c>
      <c r="N18916" t="s">
        <v>8568</v>
      </c>
      <c r="Q18916">
        <v>0</v>
      </c>
      <c r="R18916">
        <v>125</v>
      </c>
      <c r="S18916">
        <v>0</v>
      </c>
      <c r="T18916" t="s">
        <v>8569</v>
      </c>
    </row>
    <row r="18917" spans="1:20" customFormat="1" ht="15" x14ac:dyDescent="0.25">
      <c r="A18917" t="s">
        <v>24</v>
      </c>
      <c r="B18917" t="s">
        <v>8466</v>
      </c>
      <c r="C18917" t="str">
        <f>"A0189439"</f>
        <v>A0189439</v>
      </c>
      <c r="D18917" t="s">
        <v>8570</v>
      </c>
      <c r="E18917" t="s">
        <v>8571</v>
      </c>
      <c r="F18917" t="s">
        <v>6941</v>
      </c>
      <c r="G18917" t="s">
        <v>214</v>
      </c>
      <c r="H18917">
        <v>27560</v>
      </c>
      <c r="I18917" t="s">
        <v>30</v>
      </c>
      <c r="J18917" t="s">
        <v>171</v>
      </c>
      <c r="K18917" t="s">
        <v>308</v>
      </c>
      <c r="N18917" t="s">
        <v>8572</v>
      </c>
      <c r="Q18917">
        <v>0</v>
      </c>
      <c r="R18917">
        <v>87</v>
      </c>
      <c r="S18917">
        <v>0</v>
      </c>
      <c r="T18917" t="s">
        <v>8573</v>
      </c>
    </row>
    <row r="18918" spans="1:20" customFormat="1" ht="15" x14ac:dyDescent="0.25">
      <c r="A18918" t="s">
        <v>24</v>
      </c>
      <c r="B18918" t="s">
        <v>8787</v>
      </c>
      <c r="C18918" t="str">
        <f>"A0058617"</f>
        <v>A0058617</v>
      </c>
      <c r="D18918" t="s">
        <v>8788</v>
      </c>
      <c r="E18918" t="s">
        <v>8789</v>
      </c>
      <c r="F18918" t="s">
        <v>2051</v>
      </c>
      <c r="G18918" t="s">
        <v>846</v>
      </c>
      <c r="H18918">
        <v>30097</v>
      </c>
      <c r="I18918" t="s">
        <v>30</v>
      </c>
      <c r="J18918" t="s">
        <v>171</v>
      </c>
      <c r="K18918" t="s">
        <v>1202</v>
      </c>
      <c r="N18918" t="s">
        <v>8790</v>
      </c>
      <c r="O18918" t="s">
        <v>8791</v>
      </c>
      <c r="Q18918">
        <v>0</v>
      </c>
      <c r="R18918">
        <v>122</v>
      </c>
      <c r="S18918">
        <v>0</v>
      </c>
      <c r="T18918" t="s">
        <v>8792</v>
      </c>
    </row>
    <row r="18919" spans="1:20" customFormat="1" ht="15" hidden="1" x14ac:dyDescent="0.25">
      <c r="A18919" t="s">
        <v>24</v>
      </c>
      <c r="B18919" t="s">
        <v>62565</v>
      </c>
      <c r="C18919" t="str">
        <f>"A0096932"</f>
        <v>A0096932</v>
      </c>
      <c r="D18919" t="s">
        <v>69681</v>
      </c>
      <c r="E18919" t="s">
        <v>69682</v>
      </c>
      <c r="F18919" t="s">
        <v>2879</v>
      </c>
      <c r="G18919" t="s">
        <v>2206</v>
      </c>
      <c r="H18919" t="s">
        <v>69683</v>
      </c>
      <c r="I18919" t="s">
        <v>1459</v>
      </c>
      <c r="J18919" t="s">
        <v>171</v>
      </c>
      <c r="K18919" t="s">
        <v>1331</v>
      </c>
      <c r="N18919" t="s">
        <v>69684</v>
      </c>
      <c r="O18919" t="s">
        <v>69685</v>
      </c>
      <c r="Q18919">
        <v>0</v>
      </c>
      <c r="R18919">
        <v>154</v>
      </c>
      <c r="S18919">
        <v>0</v>
      </c>
      <c r="T18919" t="s">
        <v>69686</v>
      </c>
    </row>
    <row r="18920" spans="1:20" customFormat="1" ht="15" hidden="1" x14ac:dyDescent="0.25">
      <c r="A18920" t="s">
        <v>24</v>
      </c>
      <c r="B18920" t="s">
        <v>59461</v>
      </c>
      <c r="C18920" t="str">
        <f>"A0098031"</f>
        <v>A0098031</v>
      </c>
      <c r="D18920" t="s">
        <v>69687</v>
      </c>
      <c r="E18920" t="s">
        <v>69688</v>
      </c>
      <c r="F18920" t="s">
        <v>13197</v>
      </c>
      <c r="G18920" t="s">
        <v>2206</v>
      </c>
      <c r="H18920" t="s">
        <v>69689</v>
      </c>
      <c r="I18920" t="s">
        <v>1459</v>
      </c>
      <c r="J18920" t="s">
        <v>171</v>
      </c>
      <c r="K18920" t="s">
        <v>1331</v>
      </c>
      <c r="Q18920">
        <v>0</v>
      </c>
      <c r="R18920">
        <v>224</v>
      </c>
      <c r="S18920">
        <v>0</v>
      </c>
      <c r="T18920" t="s">
        <v>69690</v>
      </c>
    </row>
    <row r="18921" spans="1:20" customFormat="1" ht="15" hidden="1" x14ac:dyDescent="0.25">
      <c r="A18921" t="s">
        <v>24</v>
      </c>
      <c r="B18921" t="s">
        <v>59461</v>
      </c>
      <c r="C18921" t="str">
        <f>"A0097709"</f>
        <v>A0097709</v>
      </c>
      <c r="D18921" t="s">
        <v>69691</v>
      </c>
      <c r="E18921" t="s">
        <v>69692</v>
      </c>
      <c r="F18921" t="s">
        <v>56723</v>
      </c>
      <c r="G18921" t="s">
        <v>2206</v>
      </c>
      <c r="H18921" t="s">
        <v>69693</v>
      </c>
      <c r="I18921" t="s">
        <v>1459</v>
      </c>
      <c r="J18921" t="s">
        <v>171</v>
      </c>
      <c r="K18921" t="s">
        <v>1331</v>
      </c>
      <c r="N18921" t="s">
        <v>69694</v>
      </c>
      <c r="Q18921">
        <v>0</v>
      </c>
      <c r="R18921">
        <v>155</v>
      </c>
      <c r="S18921">
        <v>0</v>
      </c>
      <c r="T18921" t="s">
        <v>69695</v>
      </c>
    </row>
    <row r="18922" spans="1:20" customFormat="1" ht="15" hidden="1" x14ac:dyDescent="0.25">
      <c r="A18922" t="s">
        <v>24</v>
      </c>
      <c r="B18922" t="s">
        <v>57067</v>
      </c>
      <c r="C18922" t="str">
        <f>"A0093916"</f>
        <v>A0093916</v>
      </c>
      <c r="D18922" t="s">
        <v>69696</v>
      </c>
      <c r="E18922" t="s">
        <v>69697</v>
      </c>
      <c r="F18922" t="s">
        <v>69698</v>
      </c>
      <c r="G18922" t="s">
        <v>2206</v>
      </c>
      <c r="H18922" t="s">
        <v>69699</v>
      </c>
      <c r="I18922" t="s">
        <v>1459</v>
      </c>
      <c r="J18922" t="s">
        <v>171</v>
      </c>
      <c r="K18922" t="s">
        <v>1331</v>
      </c>
      <c r="N18922" t="s">
        <v>69700</v>
      </c>
      <c r="O18922" t="s">
        <v>69701</v>
      </c>
      <c r="Q18922">
        <v>0</v>
      </c>
      <c r="R18922">
        <v>133</v>
      </c>
      <c r="S18922">
        <v>0</v>
      </c>
      <c r="T18922" t="s">
        <v>69702</v>
      </c>
    </row>
    <row r="18923" spans="1:20" customFormat="1" ht="15" hidden="1" x14ac:dyDescent="0.25">
      <c r="A18923" t="s">
        <v>24</v>
      </c>
      <c r="B18923" t="s">
        <v>2202</v>
      </c>
      <c r="C18923" t="str">
        <f>"A0154017"</f>
        <v>A0154017</v>
      </c>
      <c r="D18923" t="s">
        <v>69703</v>
      </c>
      <c r="E18923" t="s">
        <v>69704</v>
      </c>
      <c r="F18923" t="s">
        <v>2390</v>
      </c>
      <c r="G18923" t="s">
        <v>2206</v>
      </c>
      <c r="H18923" t="s">
        <v>69705</v>
      </c>
      <c r="I18923" t="s">
        <v>1459</v>
      </c>
      <c r="J18923" t="s">
        <v>171</v>
      </c>
      <c r="K18923" t="s">
        <v>1331</v>
      </c>
      <c r="N18923" t="s">
        <v>69706</v>
      </c>
      <c r="Q18923">
        <v>0</v>
      </c>
      <c r="R18923">
        <v>120</v>
      </c>
      <c r="S18923">
        <v>0</v>
      </c>
      <c r="T18923" t="s">
        <v>69707</v>
      </c>
    </row>
    <row r="18924" spans="1:20" customFormat="1" ht="15" x14ac:dyDescent="0.25">
      <c r="A18924" t="s">
        <v>24</v>
      </c>
      <c r="B18924" t="s">
        <v>8787</v>
      </c>
      <c r="C18924" t="str">
        <f>"A0075095"</f>
        <v>A0075095</v>
      </c>
      <c r="D18924" t="s">
        <v>8793</v>
      </c>
      <c r="E18924" t="s">
        <v>8794</v>
      </c>
      <c r="F18924" t="s">
        <v>8795</v>
      </c>
      <c r="G18924" t="s">
        <v>85</v>
      </c>
      <c r="H18924">
        <v>72756</v>
      </c>
      <c r="I18924" t="s">
        <v>30</v>
      </c>
      <c r="J18924" t="s">
        <v>171</v>
      </c>
      <c r="K18924" t="s">
        <v>1202</v>
      </c>
      <c r="N18924" t="s">
        <v>8796</v>
      </c>
      <c r="O18924" t="s">
        <v>8797</v>
      </c>
      <c r="Q18924">
        <v>0</v>
      </c>
      <c r="R18924">
        <v>103</v>
      </c>
      <c r="S18924">
        <v>0</v>
      </c>
      <c r="T18924" t="s">
        <v>8798</v>
      </c>
    </row>
    <row r="18925" spans="1:20" customFormat="1" ht="15" x14ac:dyDescent="0.25">
      <c r="A18925" t="s">
        <v>24</v>
      </c>
      <c r="B18925" t="s">
        <v>8787</v>
      </c>
      <c r="C18925" t="str">
        <f>"A0057546"</f>
        <v>A0057546</v>
      </c>
      <c r="D18925" t="s">
        <v>8799</v>
      </c>
      <c r="E18925" t="s">
        <v>8800</v>
      </c>
      <c r="F18925" t="s">
        <v>8801</v>
      </c>
      <c r="G18925" t="s">
        <v>81</v>
      </c>
      <c r="H18925">
        <v>33324</v>
      </c>
      <c r="I18925" t="s">
        <v>30</v>
      </c>
      <c r="J18925" t="s">
        <v>171</v>
      </c>
      <c r="K18925" t="s">
        <v>1202</v>
      </c>
      <c r="N18925" t="s">
        <v>8802</v>
      </c>
      <c r="O18925" t="s">
        <v>8803</v>
      </c>
      <c r="Q18925">
        <v>0</v>
      </c>
      <c r="R18925">
        <v>126</v>
      </c>
      <c r="S18925">
        <v>0</v>
      </c>
      <c r="T18925" t="s">
        <v>8804</v>
      </c>
    </row>
    <row r="18926" spans="1:20" customFormat="1" ht="15" x14ac:dyDescent="0.25">
      <c r="A18926" t="s">
        <v>24</v>
      </c>
      <c r="B18926" t="s">
        <v>8815</v>
      </c>
      <c r="C18926" t="str">
        <f>"A0074810"</f>
        <v>A0074810</v>
      </c>
      <c r="D18926" t="s">
        <v>8816</v>
      </c>
      <c r="E18926" t="s">
        <v>8817</v>
      </c>
      <c r="F18926" t="s">
        <v>2983</v>
      </c>
      <c r="G18926" t="s">
        <v>81</v>
      </c>
      <c r="H18926">
        <v>32746</v>
      </c>
      <c r="I18926" t="s">
        <v>30</v>
      </c>
      <c r="J18926" t="s">
        <v>171</v>
      </c>
      <c r="K18926" t="s">
        <v>973</v>
      </c>
      <c r="N18926" t="s">
        <v>8818</v>
      </c>
      <c r="Q18926">
        <v>0</v>
      </c>
      <c r="R18926">
        <v>83</v>
      </c>
      <c r="S18926">
        <v>0</v>
      </c>
      <c r="T18926" t="s">
        <v>8819</v>
      </c>
    </row>
    <row r="18927" spans="1:20" customFormat="1" ht="15" x14ac:dyDescent="0.25">
      <c r="A18927" t="s">
        <v>24</v>
      </c>
      <c r="B18927" t="s">
        <v>2601</v>
      </c>
      <c r="C18927" t="str">
        <f>"A0098177"</f>
        <v>A0098177</v>
      </c>
      <c r="D18927" t="s">
        <v>9061</v>
      </c>
      <c r="E18927" t="s">
        <v>9062</v>
      </c>
      <c r="F18927" t="s">
        <v>1201</v>
      </c>
      <c r="G18927" t="s">
        <v>528</v>
      </c>
      <c r="H18927">
        <v>19801</v>
      </c>
      <c r="I18927" t="s">
        <v>30</v>
      </c>
      <c r="J18927" t="s">
        <v>171</v>
      </c>
      <c r="K18927" t="s">
        <v>1450</v>
      </c>
      <c r="N18927" t="s">
        <v>9063</v>
      </c>
      <c r="Q18927">
        <v>0</v>
      </c>
      <c r="R18927">
        <v>96</v>
      </c>
      <c r="S18927">
        <v>0</v>
      </c>
      <c r="T18927" t="s">
        <v>9064</v>
      </c>
    </row>
    <row r="18928" spans="1:20" customFormat="1" ht="15" x14ac:dyDescent="0.25">
      <c r="A18928" t="s">
        <v>24</v>
      </c>
      <c r="B18928" t="s">
        <v>1288</v>
      </c>
      <c r="C18928" t="str">
        <f>"A0101149"</f>
        <v>A0101149</v>
      </c>
      <c r="D18928" t="s">
        <v>9301</v>
      </c>
      <c r="E18928" t="s">
        <v>9302</v>
      </c>
      <c r="F18928" t="s">
        <v>9303</v>
      </c>
      <c r="G18928" t="s">
        <v>289</v>
      </c>
      <c r="H18928">
        <v>60174</v>
      </c>
      <c r="I18928" t="s">
        <v>30</v>
      </c>
      <c r="J18928" t="s">
        <v>171</v>
      </c>
      <c r="K18928" t="s">
        <v>1331</v>
      </c>
      <c r="N18928" t="s">
        <v>9304</v>
      </c>
      <c r="Q18928">
        <v>0</v>
      </c>
      <c r="R18928">
        <v>120</v>
      </c>
      <c r="S18928">
        <v>0</v>
      </c>
      <c r="T18928" t="s">
        <v>9305</v>
      </c>
    </row>
    <row r="18929" spans="1:20" customFormat="1" ht="15" x14ac:dyDescent="0.25">
      <c r="A18929" t="s">
        <v>24</v>
      </c>
      <c r="B18929" t="s">
        <v>3159</v>
      </c>
      <c r="C18929" t="str">
        <f>"A0189432"</f>
        <v>A0189432</v>
      </c>
      <c r="D18929" t="s">
        <v>9371</v>
      </c>
      <c r="E18929" t="s">
        <v>9372</v>
      </c>
      <c r="F18929" t="s">
        <v>9373</v>
      </c>
      <c r="G18929" t="s">
        <v>29</v>
      </c>
      <c r="H18929">
        <v>24293</v>
      </c>
      <c r="I18929" t="s">
        <v>30</v>
      </c>
      <c r="J18929" t="s">
        <v>171</v>
      </c>
      <c r="K18929" t="s">
        <v>163</v>
      </c>
      <c r="N18929" t="s">
        <v>9374</v>
      </c>
      <c r="Q18929">
        <v>0</v>
      </c>
      <c r="R18929">
        <v>49</v>
      </c>
      <c r="S18929">
        <v>0</v>
      </c>
      <c r="T18929" t="s">
        <v>9375</v>
      </c>
    </row>
    <row r="18930" spans="1:20" customFormat="1" ht="15" x14ac:dyDescent="0.25">
      <c r="A18930" t="s">
        <v>24</v>
      </c>
      <c r="B18930" t="s">
        <v>1561</v>
      </c>
      <c r="C18930" t="str">
        <f>"A0189038"</f>
        <v>A0189038</v>
      </c>
      <c r="D18930" t="s">
        <v>9387</v>
      </c>
      <c r="E18930" t="s">
        <v>9388</v>
      </c>
      <c r="F18930" t="s">
        <v>2549</v>
      </c>
      <c r="G18930" t="s">
        <v>110</v>
      </c>
      <c r="H18930">
        <v>92234</v>
      </c>
      <c r="I18930" t="s">
        <v>30</v>
      </c>
      <c r="J18930" t="s">
        <v>171</v>
      </c>
      <c r="K18930" t="s">
        <v>1147</v>
      </c>
      <c r="N18930" t="s">
        <v>9389</v>
      </c>
      <c r="Q18930">
        <v>0</v>
      </c>
      <c r="R18930">
        <v>197</v>
      </c>
      <c r="S18930">
        <v>0</v>
      </c>
      <c r="T18930" t="s">
        <v>9390</v>
      </c>
    </row>
    <row r="18931" spans="1:20" customFormat="1" ht="15" x14ac:dyDescent="0.25">
      <c r="A18931" t="s">
        <v>24</v>
      </c>
      <c r="B18931" t="s">
        <v>9490</v>
      </c>
      <c r="C18931" t="str">
        <f>"A0189035"</f>
        <v>A0189035</v>
      </c>
      <c r="D18931" t="s">
        <v>9491</v>
      </c>
      <c r="E18931" t="s">
        <v>9492</v>
      </c>
      <c r="F18931" t="s">
        <v>9493</v>
      </c>
      <c r="G18931" t="s">
        <v>840</v>
      </c>
      <c r="H18931">
        <v>42029</v>
      </c>
      <c r="I18931" t="s">
        <v>30</v>
      </c>
      <c r="J18931" t="s">
        <v>171</v>
      </c>
      <c r="K18931" t="s">
        <v>315</v>
      </c>
      <c r="N18931" t="s">
        <v>9494</v>
      </c>
      <c r="Q18931">
        <v>0</v>
      </c>
      <c r="R18931">
        <v>72</v>
      </c>
      <c r="S18931">
        <v>0</v>
      </c>
      <c r="T18931" t="s">
        <v>9495</v>
      </c>
    </row>
    <row r="18932" spans="1:20" customFormat="1" ht="15" x14ac:dyDescent="0.25">
      <c r="A18932" t="s">
        <v>24</v>
      </c>
      <c r="B18932" t="s">
        <v>9490</v>
      </c>
      <c r="C18932" t="str">
        <f>"A0189034"</f>
        <v>A0189034</v>
      </c>
      <c r="D18932" t="s">
        <v>9496</v>
      </c>
      <c r="E18932" t="s">
        <v>9497</v>
      </c>
      <c r="F18932" t="s">
        <v>9498</v>
      </c>
      <c r="G18932" t="s">
        <v>214</v>
      </c>
      <c r="H18932">
        <v>27407</v>
      </c>
      <c r="I18932" t="s">
        <v>30</v>
      </c>
      <c r="J18932" t="s">
        <v>171</v>
      </c>
      <c r="K18932" t="s">
        <v>9499</v>
      </c>
      <c r="N18932" t="s">
        <v>9500</v>
      </c>
      <c r="O18932" t="s">
        <v>9501</v>
      </c>
      <c r="Q18932">
        <v>0</v>
      </c>
      <c r="R18932">
        <v>128</v>
      </c>
      <c r="S18932">
        <v>0</v>
      </c>
      <c r="T18932" t="s">
        <v>9502</v>
      </c>
    </row>
    <row r="18933" spans="1:20" customFormat="1" ht="15" x14ac:dyDescent="0.25">
      <c r="A18933" t="s">
        <v>24</v>
      </c>
      <c r="B18933" t="s">
        <v>9490</v>
      </c>
      <c r="C18933" t="str">
        <f>"A0189031"</f>
        <v>A0189031</v>
      </c>
      <c r="D18933" t="s">
        <v>9507</v>
      </c>
      <c r="E18933" t="s">
        <v>9508</v>
      </c>
      <c r="F18933" t="s">
        <v>9509</v>
      </c>
      <c r="G18933" t="s">
        <v>110</v>
      </c>
      <c r="H18933">
        <v>92545</v>
      </c>
      <c r="I18933" t="s">
        <v>30</v>
      </c>
      <c r="J18933" t="s">
        <v>171</v>
      </c>
      <c r="K18933" t="s">
        <v>1259</v>
      </c>
      <c r="N18933" t="s">
        <v>9510</v>
      </c>
      <c r="O18933" t="s">
        <v>9511</v>
      </c>
      <c r="Q18933">
        <v>0</v>
      </c>
      <c r="R18933">
        <v>65</v>
      </c>
      <c r="S18933">
        <v>0</v>
      </c>
      <c r="T18933" t="s">
        <v>9512</v>
      </c>
    </row>
    <row r="18934" spans="1:20" customFormat="1" ht="15" x14ac:dyDescent="0.25">
      <c r="A18934" t="s">
        <v>24</v>
      </c>
      <c r="B18934" t="s">
        <v>9490</v>
      </c>
      <c r="C18934" t="str">
        <f>"A0189032"</f>
        <v>A0189032</v>
      </c>
      <c r="D18934" t="s">
        <v>9513</v>
      </c>
      <c r="E18934" t="s">
        <v>9514</v>
      </c>
      <c r="F18934" t="s">
        <v>9515</v>
      </c>
      <c r="G18934" t="s">
        <v>110</v>
      </c>
      <c r="H18934">
        <v>92021</v>
      </c>
      <c r="I18934" t="s">
        <v>30</v>
      </c>
      <c r="J18934" t="s">
        <v>171</v>
      </c>
      <c r="K18934" t="s">
        <v>9499</v>
      </c>
      <c r="N18934" t="s">
        <v>9516</v>
      </c>
      <c r="Q18934">
        <v>0</v>
      </c>
      <c r="R18934">
        <v>47</v>
      </c>
      <c r="S18934">
        <v>0</v>
      </c>
      <c r="T18934" t="s">
        <v>9517</v>
      </c>
    </row>
    <row r="18935" spans="1:20" customFormat="1" ht="15" x14ac:dyDescent="0.25">
      <c r="A18935" t="s">
        <v>24</v>
      </c>
      <c r="B18935" t="s">
        <v>9490</v>
      </c>
      <c r="C18935" t="str">
        <f>"A0188397"</f>
        <v>A0188397</v>
      </c>
      <c r="D18935" t="s">
        <v>9518</v>
      </c>
      <c r="E18935" t="s">
        <v>9519</v>
      </c>
      <c r="F18935" t="s">
        <v>9515</v>
      </c>
      <c r="G18935" t="s">
        <v>110</v>
      </c>
      <c r="H18935">
        <v>92021</v>
      </c>
      <c r="I18935" t="s">
        <v>30</v>
      </c>
      <c r="J18935" t="s">
        <v>171</v>
      </c>
      <c r="K18935" t="s">
        <v>315</v>
      </c>
      <c r="N18935" t="s">
        <v>9516</v>
      </c>
      <c r="Q18935">
        <v>0</v>
      </c>
      <c r="R18935">
        <v>50</v>
      </c>
      <c r="S18935">
        <v>0</v>
      </c>
      <c r="T18935" t="s">
        <v>9520</v>
      </c>
    </row>
    <row r="18936" spans="1:20" customFormat="1" ht="15" x14ac:dyDescent="0.25">
      <c r="A18936" t="s">
        <v>24</v>
      </c>
      <c r="B18936" t="s">
        <v>140</v>
      </c>
      <c r="C18936" t="str">
        <f>"A0086606"</f>
        <v>A0086606</v>
      </c>
      <c r="D18936" t="s">
        <v>9569</v>
      </c>
      <c r="E18936" t="s">
        <v>9570</v>
      </c>
      <c r="F18936" t="s">
        <v>4003</v>
      </c>
      <c r="G18936" t="s">
        <v>289</v>
      </c>
      <c r="H18936">
        <v>60173</v>
      </c>
      <c r="I18936" t="s">
        <v>30</v>
      </c>
      <c r="J18936" t="s">
        <v>171</v>
      </c>
      <c r="K18936" t="s">
        <v>1331</v>
      </c>
      <c r="N18936" t="s">
        <v>9571</v>
      </c>
      <c r="O18936" t="s">
        <v>9572</v>
      </c>
      <c r="Q18936">
        <v>0</v>
      </c>
      <c r="R18936">
        <v>166</v>
      </c>
      <c r="S18936">
        <v>0</v>
      </c>
      <c r="T18936" t="s">
        <v>9573</v>
      </c>
    </row>
    <row r="18937" spans="1:20" customFormat="1" ht="15" x14ac:dyDescent="0.25">
      <c r="A18937" t="s">
        <v>24</v>
      </c>
      <c r="B18937" t="s">
        <v>9598</v>
      </c>
      <c r="C18937" t="str">
        <f>"A0094438"</f>
        <v>A0094438</v>
      </c>
      <c r="D18937" t="s">
        <v>9599</v>
      </c>
      <c r="E18937" t="s">
        <v>9600</v>
      </c>
      <c r="F18937" t="s">
        <v>997</v>
      </c>
      <c r="G18937" t="s">
        <v>99</v>
      </c>
      <c r="H18937">
        <v>10006</v>
      </c>
      <c r="I18937" t="s">
        <v>30</v>
      </c>
      <c r="J18937" t="s">
        <v>171</v>
      </c>
      <c r="K18937" t="s">
        <v>163</v>
      </c>
      <c r="N18937" t="s">
        <v>9601</v>
      </c>
      <c r="O18937" t="s">
        <v>9602</v>
      </c>
      <c r="Q18937">
        <v>0</v>
      </c>
      <c r="R18937">
        <v>317</v>
      </c>
      <c r="S18937">
        <v>0</v>
      </c>
      <c r="T18937" t="s">
        <v>9603</v>
      </c>
    </row>
    <row r="18938" spans="1:20" customFormat="1" ht="15" x14ac:dyDescent="0.25">
      <c r="A18938" t="s">
        <v>24</v>
      </c>
      <c r="B18938" t="s">
        <v>9843</v>
      </c>
      <c r="C18938" t="str">
        <f>"A0189050"</f>
        <v>A0189050</v>
      </c>
      <c r="D18938" t="s">
        <v>9844</v>
      </c>
      <c r="E18938" t="s">
        <v>9845</v>
      </c>
      <c r="F18938" t="s">
        <v>9846</v>
      </c>
      <c r="G18938" t="s">
        <v>880</v>
      </c>
      <c r="H18938">
        <v>37027</v>
      </c>
      <c r="I18938" t="s">
        <v>30</v>
      </c>
      <c r="J18938" t="s">
        <v>171</v>
      </c>
      <c r="K18938" t="s">
        <v>2077</v>
      </c>
      <c r="N18938" t="s">
        <v>9847</v>
      </c>
      <c r="Q18938">
        <v>0</v>
      </c>
      <c r="R18938">
        <v>148</v>
      </c>
      <c r="S18938">
        <v>0</v>
      </c>
      <c r="T18938" t="s">
        <v>9848</v>
      </c>
    </row>
    <row r="18939" spans="1:20" customFormat="1" ht="15" x14ac:dyDescent="0.25">
      <c r="A18939" t="s">
        <v>24</v>
      </c>
      <c r="B18939" t="s">
        <v>10054</v>
      </c>
      <c r="C18939" t="str">
        <f>"A0189026"</f>
        <v>A0189026</v>
      </c>
      <c r="D18939" t="s">
        <v>10055</v>
      </c>
      <c r="E18939" t="s">
        <v>10056</v>
      </c>
      <c r="F18939" t="s">
        <v>6593</v>
      </c>
      <c r="G18939" t="s">
        <v>2450</v>
      </c>
      <c r="H18939">
        <v>4101</v>
      </c>
      <c r="I18939" t="s">
        <v>30</v>
      </c>
      <c r="J18939" t="s">
        <v>171</v>
      </c>
      <c r="K18939" t="s">
        <v>3456</v>
      </c>
      <c r="N18939" t="s">
        <v>10057</v>
      </c>
      <c r="Q18939">
        <v>0</v>
      </c>
      <c r="R18939">
        <v>102</v>
      </c>
      <c r="S18939">
        <v>0</v>
      </c>
      <c r="T18939" t="s">
        <v>10058</v>
      </c>
    </row>
    <row r="18940" spans="1:20" customFormat="1" ht="15" x14ac:dyDescent="0.25">
      <c r="A18940" t="s">
        <v>24</v>
      </c>
      <c r="B18940" t="s">
        <v>10097</v>
      </c>
      <c r="C18940" t="str">
        <f>"A0185501"</f>
        <v>A0185501</v>
      </c>
      <c r="D18940" t="s">
        <v>10098</v>
      </c>
      <c r="E18940" t="s">
        <v>10099</v>
      </c>
      <c r="F18940" t="s">
        <v>10100</v>
      </c>
      <c r="G18940" t="s">
        <v>214</v>
      </c>
      <c r="H18940">
        <v>27603</v>
      </c>
      <c r="I18940" t="s">
        <v>30</v>
      </c>
      <c r="J18940" t="s">
        <v>171</v>
      </c>
      <c r="K18940" t="s">
        <v>2077</v>
      </c>
      <c r="N18940" t="s">
        <v>10101</v>
      </c>
      <c r="Q18940">
        <v>0</v>
      </c>
      <c r="R18940">
        <v>147</v>
      </c>
      <c r="S18940">
        <v>0</v>
      </c>
      <c r="T18940" t="s">
        <v>10102</v>
      </c>
    </row>
    <row r="18941" spans="1:20" customFormat="1" ht="15" x14ac:dyDescent="0.25">
      <c r="A18941" t="s">
        <v>24</v>
      </c>
      <c r="B18941" t="s">
        <v>1583</v>
      </c>
      <c r="C18941" t="str">
        <f>"A0100708"</f>
        <v>A0100708</v>
      </c>
      <c r="D18941" t="s">
        <v>69787</v>
      </c>
      <c r="E18941" t="s">
        <v>69788</v>
      </c>
      <c r="F18941" t="s">
        <v>2808</v>
      </c>
      <c r="G18941" t="s">
        <v>58</v>
      </c>
      <c r="H18941">
        <v>29928</v>
      </c>
      <c r="I18941" t="s">
        <v>30</v>
      </c>
      <c r="J18941" t="s">
        <v>191</v>
      </c>
      <c r="K18941" t="s">
        <v>6809</v>
      </c>
      <c r="N18941" t="s">
        <v>69789</v>
      </c>
      <c r="Q18941">
        <v>0</v>
      </c>
      <c r="R18941">
        <v>0</v>
      </c>
      <c r="S18941">
        <v>0</v>
      </c>
      <c r="T18941" t="s">
        <v>69790</v>
      </c>
    </row>
    <row r="18942" spans="1:20" customFormat="1" ht="15" x14ac:dyDescent="0.25">
      <c r="A18942" t="s">
        <v>24</v>
      </c>
      <c r="B18942" t="s">
        <v>10398</v>
      </c>
      <c r="C18942" t="str">
        <f>"A0101066"</f>
        <v>A0101066</v>
      </c>
      <c r="D18942" t="s">
        <v>10399</v>
      </c>
      <c r="E18942" t="s">
        <v>10400</v>
      </c>
      <c r="F18942" t="s">
        <v>10401</v>
      </c>
      <c r="G18942" t="s">
        <v>110</v>
      </c>
      <c r="H18942">
        <v>90048</v>
      </c>
      <c r="I18942" t="s">
        <v>30</v>
      </c>
      <c r="J18942" t="s">
        <v>171</v>
      </c>
      <c r="K18942" t="s">
        <v>2077</v>
      </c>
      <c r="N18942" t="s">
        <v>10402</v>
      </c>
      <c r="Q18942">
        <v>0</v>
      </c>
      <c r="R18942">
        <v>176</v>
      </c>
      <c r="S18942">
        <v>0</v>
      </c>
      <c r="T18942" t="s">
        <v>10403</v>
      </c>
    </row>
    <row r="18943" spans="1:20" customFormat="1" ht="15" x14ac:dyDescent="0.25">
      <c r="A18943" t="s">
        <v>24</v>
      </c>
      <c r="B18943" t="s">
        <v>342</v>
      </c>
      <c r="C18943" t="str">
        <f>"A0162106"</f>
        <v>A0162106</v>
      </c>
      <c r="D18943" t="s">
        <v>10413</v>
      </c>
      <c r="E18943" t="s">
        <v>10410</v>
      </c>
      <c r="F18943" t="s">
        <v>845</v>
      </c>
      <c r="G18943" t="s">
        <v>846</v>
      </c>
      <c r="H18943">
        <v>30308</v>
      </c>
      <c r="I18943" t="s">
        <v>30</v>
      </c>
      <c r="J18943" t="s">
        <v>171</v>
      </c>
      <c r="K18943" t="s">
        <v>973</v>
      </c>
      <c r="N18943" t="s">
        <v>10411</v>
      </c>
      <c r="O18943" t="s">
        <v>10412</v>
      </c>
      <c r="Q18943">
        <v>0</v>
      </c>
      <c r="R18943">
        <v>158</v>
      </c>
      <c r="S18943">
        <v>0</v>
      </c>
      <c r="T18943" t="s">
        <v>3073</v>
      </c>
    </row>
    <row r="18944" spans="1:20" customFormat="1" ht="15" x14ac:dyDescent="0.25">
      <c r="A18944" t="s">
        <v>24</v>
      </c>
      <c r="B18944" t="s">
        <v>342</v>
      </c>
      <c r="C18944" t="str">
        <f>"A0187063"</f>
        <v>A0187063</v>
      </c>
      <c r="D18944" t="s">
        <v>10428</v>
      </c>
      <c r="E18944" t="s">
        <v>10429</v>
      </c>
      <c r="F18944" t="s">
        <v>10430</v>
      </c>
      <c r="G18944" t="s">
        <v>1369</v>
      </c>
      <c r="H18944">
        <v>39157</v>
      </c>
      <c r="I18944" t="s">
        <v>30</v>
      </c>
      <c r="J18944" t="s">
        <v>171</v>
      </c>
      <c r="K18944" t="s">
        <v>2077</v>
      </c>
      <c r="N18944" t="s">
        <v>10431</v>
      </c>
      <c r="Q18944">
        <v>0</v>
      </c>
      <c r="R18944">
        <v>132</v>
      </c>
      <c r="S18944">
        <v>0</v>
      </c>
      <c r="T18944" t="s">
        <v>10432</v>
      </c>
    </row>
    <row r="18945" spans="1:20" customFormat="1" ht="15" x14ac:dyDescent="0.25">
      <c r="A18945" t="s">
        <v>24</v>
      </c>
      <c r="B18945" t="s">
        <v>762</v>
      </c>
      <c r="C18945" t="str">
        <f>"A0096980"</f>
        <v>A0096980</v>
      </c>
      <c r="D18945" t="s">
        <v>10445</v>
      </c>
      <c r="E18945" t="s">
        <v>10446</v>
      </c>
      <c r="F18945" t="s">
        <v>10447</v>
      </c>
      <c r="G18945" t="s">
        <v>52</v>
      </c>
      <c r="H18945">
        <v>75002</v>
      </c>
      <c r="I18945" t="s">
        <v>30</v>
      </c>
      <c r="J18945" t="s">
        <v>171</v>
      </c>
      <c r="K18945" t="s">
        <v>1202</v>
      </c>
      <c r="N18945" t="s">
        <v>10448</v>
      </c>
      <c r="Q18945">
        <v>0</v>
      </c>
      <c r="R18945">
        <v>104</v>
      </c>
      <c r="S18945">
        <v>0</v>
      </c>
      <c r="T18945" t="s">
        <v>10449</v>
      </c>
    </row>
    <row r="18946" spans="1:20" customFormat="1" ht="15" x14ac:dyDescent="0.25">
      <c r="A18946" t="s">
        <v>24</v>
      </c>
      <c r="B18946" t="s">
        <v>193</v>
      </c>
      <c r="C18946" t="str">
        <f>"A0083241"</f>
        <v>A0083241</v>
      </c>
      <c r="D18946" t="s">
        <v>10454</v>
      </c>
      <c r="E18946" t="s">
        <v>10455</v>
      </c>
      <c r="F18946" t="s">
        <v>997</v>
      </c>
      <c r="G18946" t="s">
        <v>99</v>
      </c>
      <c r="H18946">
        <v>10013</v>
      </c>
      <c r="I18946" t="s">
        <v>30</v>
      </c>
      <c r="J18946" t="s">
        <v>171</v>
      </c>
      <c r="K18946" t="s">
        <v>163</v>
      </c>
      <c r="N18946" t="s">
        <v>10456</v>
      </c>
      <c r="O18946" t="s">
        <v>10457</v>
      </c>
      <c r="Q18946">
        <v>0</v>
      </c>
      <c r="R18946">
        <v>45</v>
      </c>
      <c r="S18946">
        <v>0</v>
      </c>
      <c r="T18946" t="s">
        <v>10458</v>
      </c>
    </row>
    <row r="18947" spans="1:20" customFormat="1" ht="15" x14ac:dyDescent="0.25">
      <c r="A18947" t="s">
        <v>24</v>
      </c>
      <c r="B18947" t="s">
        <v>10398</v>
      </c>
      <c r="C18947" t="str">
        <f>"A0100871"</f>
        <v>A0100871</v>
      </c>
      <c r="D18947" t="s">
        <v>10459</v>
      </c>
      <c r="E18947" t="s">
        <v>10460</v>
      </c>
      <c r="F18947" t="s">
        <v>10461</v>
      </c>
      <c r="G18947" t="s">
        <v>110</v>
      </c>
      <c r="H18947">
        <v>95448</v>
      </c>
      <c r="I18947" t="s">
        <v>30</v>
      </c>
      <c r="J18947" t="s">
        <v>171</v>
      </c>
      <c r="K18947" t="s">
        <v>1450</v>
      </c>
      <c r="N18947" t="s">
        <v>10462</v>
      </c>
      <c r="Q18947">
        <v>0</v>
      </c>
      <c r="R18947">
        <v>126</v>
      </c>
      <c r="S18947">
        <v>0</v>
      </c>
      <c r="T18947">
        <f>+(916)-708-5700</f>
        <v>-5492</v>
      </c>
    </row>
    <row r="18948" spans="1:20" customFormat="1" ht="15" x14ac:dyDescent="0.25">
      <c r="A18948" t="s">
        <v>24</v>
      </c>
      <c r="B18948" t="s">
        <v>10398</v>
      </c>
      <c r="C18948" t="str">
        <f>"A0099316"</f>
        <v>A0099316</v>
      </c>
      <c r="D18948" t="s">
        <v>10463</v>
      </c>
      <c r="E18948" t="s">
        <v>10464</v>
      </c>
      <c r="F18948" t="s">
        <v>1519</v>
      </c>
      <c r="G18948" t="s">
        <v>110</v>
      </c>
      <c r="H18948">
        <v>90045</v>
      </c>
      <c r="I18948" t="s">
        <v>30</v>
      </c>
      <c r="J18948" t="s">
        <v>171</v>
      </c>
      <c r="K18948" t="s">
        <v>5707</v>
      </c>
      <c r="N18948" t="s">
        <v>10465</v>
      </c>
      <c r="Q18948">
        <v>0</v>
      </c>
      <c r="R18948">
        <v>290</v>
      </c>
      <c r="S18948">
        <v>0</v>
      </c>
      <c r="T18948" t="s">
        <v>10466</v>
      </c>
    </row>
    <row r="18949" spans="1:20" customFormat="1" ht="15" x14ac:dyDescent="0.25">
      <c r="A18949" t="s">
        <v>24</v>
      </c>
      <c r="B18949" t="s">
        <v>10398</v>
      </c>
      <c r="C18949" t="str">
        <f>"A0094176"</f>
        <v>A0094176</v>
      </c>
      <c r="D18949" t="s">
        <v>10467</v>
      </c>
      <c r="E18949" t="s">
        <v>10468</v>
      </c>
      <c r="F18949" t="s">
        <v>1519</v>
      </c>
      <c r="G18949" t="s">
        <v>110</v>
      </c>
      <c r="H18949">
        <v>90045</v>
      </c>
      <c r="I18949" t="s">
        <v>30</v>
      </c>
      <c r="J18949" t="s">
        <v>171</v>
      </c>
      <c r="K18949" t="s">
        <v>1450</v>
      </c>
      <c r="N18949" t="s">
        <v>10469</v>
      </c>
      <c r="Q18949">
        <v>0</v>
      </c>
      <c r="R18949">
        <v>231</v>
      </c>
      <c r="S18949">
        <v>0</v>
      </c>
      <c r="T18949" t="s">
        <v>10470</v>
      </c>
    </row>
    <row r="18950" spans="1:20" customFormat="1" ht="15" x14ac:dyDescent="0.25">
      <c r="A18950" t="s">
        <v>24</v>
      </c>
      <c r="B18950" t="s">
        <v>10398</v>
      </c>
      <c r="C18950" t="str">
        <f>"57437"</f>
        <v>57437</v>
      </c>
      <c r="D18950" t="s">
        <v>10471</v>
      </c>
      <c r="E18950" t="s">
        <v>10472</v>
      </c>
      <c r="F18950" t="s">
        <v>1519</v>
      </c>
      <c r="G18950" t="s">
        <v>110</v>
      </c>
      <c r="H18950">
        <v>90035</v>
      </c>
      <c r="I18950" t="s">
        <v>30</v>
      </c>
      <c r="J18950" t="s">
        <v>171</v>
      </c>
      <c r="K18950" t="s">
        <v>1450</v>
      </c>
      <c r="N18950" t="s">
        <v>10473</v>
      </c>
      <c r="Q18950">
        <v>0</v>
      </c>
      <c r="R18950">
        <v>186</v>
      </c>
      <c r="S18950">
        <v>0</v>
      </c>
      <c r="T18950" t="s">
        <v>10474</v>
      </c>
    </row>
    <row r="18951" spans="1:20" customFormat="1" ht="15" x14ac:dyDescent="0.25">
      <c r="A18951" t="s">
        <v>24</v>
      </c>
      <c r="B18951" t="s">
        <v>10398</v>
      </c>
      <c r="C18951" t="str">
        <f>"6511N"</f>
        <v>6511N</v>
      </c>
      <c r="D18951" t="s">
        <v>10475</v>
      </c>
      <c r="E18951" t="s">
        <v>10476</v>
      </c>
      <c r="F18951" t="s">
        <v>1519</v>
      </c>
      <c r="G18951" t="s">
        <v>110</v>
      </c>
      <c r="H18951">
        <v>90045</v>
      </c>
      <c r="I18951" t="s">
        <v>30</v>
      </c>
      <c r="J18951" t="s">
        <v>171</v>
      </c>
      <c r="K18951" t="s">
        <v>973</v>
      </c>
      <c r="N18951" t="s">
        <v>10477</v>
      </c>
      <c r="Q18951">
        <v>0</v>
      </c>
      <c r="R18951">
        <v>179</v>
      </c>
      <c r="S18951">
        <v>0</v>
      </c>
      <c r="T18951" t="s">
        <v>10478</v>
      </c>
    </row>
    <row r="18952" spans="1:20" customFormat="1" ht="15" x14ac:dyDescent="0.25">
      <c r="A18952" t="s">
        <v>24</v>
      </c>
      <c r="B18952" t="s">
        <v>1577</v>
      </c>
      <c r="C18952" t="str">
        <f>"A0188700"</f>
        <v>A0188700</v>
      </c>
      <c r="D18952" t="s">
        <v>10479</v>
      </c>
      <c r="E18952" t="s">
        <v>10480</v>
      </c>
      <c r="F18952" t="s">
        <v>2516</v>
      </c>
      <c r="G18952" t="s">
        <v>1706</v>
      </c>
      <c r="H18952">
        <v>36535</v>
      </c>
      <c r="I18952" t="s">
        <v>30</v>
      </c>
      <c r="J18952" t="s">
        <v>171</v>
      </c>
      <c r="K18952" t="s">
        <v>315</v>
      </c>
      <c r="N18952" t="s">
        <v>10481</v>
      </c>
      <c r="Q18952">
        <v>0</v>
      </c>
      <c r="R18952">
        <v>58</v>
      </c>
      <c r="S18952">
        <v>0</v>
      </c>
      <c r="T18952" t="s">
        <v>10482</v>
      </c>
    </row>
    <row r="18953" spans="1:20" customFormat="1" ht="15" x14ac:dyDescent="0.25">
      <c r="A18953" t="s">
        <v>24</v>
      </c>
      <c r="B18953" t="s">
        <v>10690</v>
      </c>
      <c r="C18953" t="str">
        <f>"A0151445"</f>
        <v>A0151445</v>
      </c>
      <c r="D18953" t="s">
        <v>10699</v>
      </c>
      <c r="E18953" t="s">
        <v>10700</v>
      </c>
      <c r="F18953" t="s">
        <v>5905</v>
      </c>
      <c r="G18953" t="s">
        <v>58</v>
      </c>
      <c r="H18953">
        <v>29601</v>
      </c>
      <c r="I18953" t="s">
        <v>30</v>
      </c>
      <c r="J18953" t="s">
        <v>171</v>
      </c>
      <c r="K18953" t="s">
        <v>1023</v>
      </c>
      <c r="N18953" t="s">
        <v>10701</v>
      </c>
      <c r="O18953" t="s">
        <v>10702</v>
      </c>
      <c r="Q18953">
        <v>0</v>
      </c>
      <c r="R18953">
        <v>151</v>
      </c>
      <c r="S18953">
        <v>0</v>
      </c>
      <c r="T18953" t="s">
        <v>10703</v>
      </c>
    </row>
    <row r="18954" spans="1:20" customFormat="1" ht="15" x14ac:dyDescent="0.25">
      <c r="A18954" t="s">
        <v>24</v>
      </c>
      <c r="B18954" t="s">
        <v>10690</v>
      </c>
      <c r="C18954" t="str">
        <f>"A0100809"</f>
        <v>A0100809</v>
      </c>
      <c r="D18954" t="s">
        <v>10704</v>
      </c>
      <c r="E18954" t="s">
        <v>10705</v>
      </c>
      <c r="F18954" t="s">
        <v>6927</v>
      </c>
      <c r="G18954" t="s">
        <v>214</v>
      </c>
      <c r="H18954">
        <v>27518</v>
      </c>
      <c r="I18954" t="s">
        <v>30</v>
      </c>
      <c r="J18954" t="s">
        <v>171</v>
      </c>
      <c r="K18954" t="s">
        <v>1023</v>
      </c>
      <c r="N18954" t="s">
        <v>10706</v>
      </c>
      <c r="O18954" t="s">
        <v>10707</v>
      </c>
      <c r="Q18954">
        <v>0</v>
      </c>
      <c r="R18954">
        <v>108</v>
      </c>
      <c r="S18954">
        <v>0</v>
      </c>
      <c r="T18954" t="s">
        <v>10708</v>
      </c>
    </row>
    <row r="18955" spans="1:20" customFormat="1" ht="15" x14ac:dyDescent="0.25">
      <c r="A18955" t="s">
        <v>24</v>
      </c>
      <c r="B18955" t="s">
        <v>10690</v>
      </c>
      <c r="C18955" t="str">
        <f>"A0095207"</f>
        <v>A0095207</v>
      </c>
      <c r="D18955" t="s">
        <v>10719</v>
      </c>
      <c r="E18955" t="s">
        <v>10720</v>
      </c>
      <c r="F18955" t="s">
        <v>6927</v>
      </c>
      <c r="G18955" t="s">
        <v>214</v>
      </c>
      <c r="H18955">
        <v>27518</v>
      </c>
      <c r="I18955" t="s">
        <v>30</v>
      </c>
      <c r="J18955" t="s">
        <v>171</v>
      </c>
      <c r="K18955" t="s">
        <v>1331</v>
      </c>
      <c r="N18955" t="s">
        <v>10721</v>
      </c>
      <c r="O18955" t="s">
        <v>10722</v>
      </c>
      <c r="Q18955">
        <v>0</v>
      </c>
      <c r="R18955">
        <v>132</v>
      </c>
      <c r="S18955">
        <v>0</v>
      </c>
      <c r="T18955" t="s">
        <v>10723</v>
      </c>
    </row>
    <row r="18956" spans="1:20" customFormat="1" ht="15" x14ac:dyDescent="0.25">
      <c r="A18956" t="s">
        <v>24</v>
      </c>
      <c r="B18956" t="s">
        <v>10690</v>
      </c>
      <c r="C18956" t="str">
        <f>"A0094276"</f>
        <v>A0094276</v>
      </c>
      <c r="D18956" t="s">
        <v>10728</v>
      </c>
      <c r="E18956" t="s">
        <v>10729</v>
      </c>
      <c r="F18956" t="s">
        <v>10730</v>
      </c>
      <c r="G18956" t="s">
        <v>214</v>
      </c>
      <c r="H18956">
        <v>28801</v>
      </c>
      <c r="I18956" t="s">
        <v>30</v>
      </c>
      <c r="J18956" t="s">
        <v>171</v>
      </c>
      <c r="K18956" t="s">
        <v>1202</v>
      </c>
      <c r="N18956" t="s">
        <v>10731</v>
      </c>
      <c r="O18956" t="s">
        <v>10732</v>
      </c>
      <c r="Q18956">
        <v>0</v>
      </c>
      <c r="R18956">
        <v>140</v>
      </c>
      <c r="S18956">
        <v>0</v>
      </c>
      <c r="T18956" t="s">
        <v>10733</v>
      </c>
    </row>
    <row r="18957" spans="1:20" customFormat="1" ht="15" x14ac:dyDescent="0.25">
      <c r="A18957" t="s">
        <v>24</v>
      </c>
      <c r="B18957" t="s">
        <v>1561</v>
      </c>
      <c r="C18957" t="str">
        <f>"A0188514"</f>
        <v>A0188514</v>
      </c>
      <c r="D18957" t="s">
        <v>10777</v>
      </c>
      <c r="E18957" t="s">
        <v>10778</v>
      </c>
      <c r="F18957" t="s">
        <v>10779</v>
      </c>
      <c r="G18957" t="s">
        <v>52</v>
      </c>
      <c r="H18957">
        <v>75080</v>
      </c>
      <c r="I18957" t="s">
        <v>30</v>
      </c>
      <c r="J18957" t="s">
        <v>171</v>
      </c>
      <c r="K18957" t="s">
        <v>1331</v>
      </c>
      <c r="N18957" t="s">
        <v>10780</v>
      </c>
      <c r="Q18957">
        <v>0</v>
      </c>
      <c r="R18957">
        <v>125</v>
      </c>
      <c r="S18957">
        <v>0</v>
      </c>
      <c r="T18957" t="s">
        <v>10781</v>
      </c>
    </row>
    <row r="18958" spans="1:20" customFormat="1" ht="15" x14ac:dyDescent="0.25">
      <c r="A18958" t="s">
        <v>24</v>
      </c>
      <c r="B18958" t="s">
        <v>5843</v>
      </c>
      <c r="C18958" t="str">
        <f>"A0188459"</f>
        <v>A0188459</v>
      </c>
      <c r="D18958" t="s">
        <v>11001</v>
      </c>
      <c r="E18958" t="s">
        <v>11002</v>
      </c>
      <c r="F18958" t="s">
        <v>11003</v>
      </c>
      <c r="G18958" t="s">
        <v>110</v>
      </c>
      <c r="H18958">
        <v>92009</v>
      </c>
      <c r="I18958" t="s">
        <v>30</v>
      </c>
      <c r="J18958" t="s">
        <v>171</v>
      </c>
      <c r="K18958" t="s">
        <v>1147</v>
      </c>
      <c r="N18958" t="s">
        <v>11004</v>
      </c>
      <c r="O18958" t="s">
        <v>11005</v>
      </c>
      <c r="Q18958">
        <v>0</v>
      </c>
      <c r="R18958">
        <v>106</v>
      </c>
      <c r="S18958">
        <v>0</v>
      </c>
      <c r="T18958" t="s">
        <v>11006</v>
      </c>
    </row>
    <row r="18959" spans="1:20" customFormat="1" ht="15" x14ac:dyDescent="0.25">
      <c r="A18959" t="s">
        <v>24</v>
      </c>
      <c r="B18959" t="s">
        <v>2955</v>
      </c>
      <c r="C18959" t="str">
        <f>"A0056243"</f>
        <v>A0056243</v>
      </c>
      <c r="D18959" t="s">
        <v>11018</v>
      </c>
      <c r="E18959" t="s">
        <v>11019</v>
      </c>
      <c r="F18959" t="s">
        <v>4802</v>
      </c>
      <c r="G18959" t="s">
        <v>110</v>
      </c>
      <c r="H18959">
        <v>95112</v>
      </c>
      <c r="I18959" t="s">
        <v>30</v>
      </c>
      <c r="J18959" t="s">
        <v>171</v>
      </c>
      <c r="K18959" t="s">
        <v>653</v>
      </c>
      <c r="Q18959">
        <v>0</v>
      </c>
      <c r="R18959">
        <v>196</v>
      </c>
      <c r="S18959">
        <v>0</v>
      </c>
      <c r="T18959" t="s">
        <v>11020</v>
      </c>
    </row>
    <row r="18960" spans="1:20" customFormat="1" ht="15" x14ac:dyDescent="0.25">
      <c r="A18960" t="s">
        <v>24</v>
      </c>
      <c r="B18960" t="s">
        <v>11021</v>
      </c>
      <c r="C18960" t="str">
        <f>"A0167183"</f>
        <v>A0167183</v>
      </c>
      <c r="D18960" t="s">
        <v>11022</v>
      </c>
      <c r="E18960" t="s">
        <v>11023</v>
      </c>
      <c r="F18960" t="s">
        <v>11024</v>
      </c>
      <c r="G18960" t="s">
        <v>52</v>
      </c>
      <c r="H18960">
        <v>77565</v>
      </c>
      <c r="I18960" t="s">
        <v>30</v>
      </c>
      <c r="J18960" t="s">
        <v>171</v>
      </c>
      <c r="K18960" t="s">
        <v>973</v>
      </c>
      <c r="N18960" t="s">
        <v>11025</v>
      </c>
      <c r="Q18960">
        <v>0</v>
      </c>
      <c r="R18960">
        <v>128</v>
      </c>
      <c r="S18960">
        <v>0</v>
      </c>
      <c r="T18960" t="s">
        <v>11026</v>
      </c>
    </row>
    <row r="18961" spans="1:20" customFormat="1" ht="15" x14ac:dyDescent="0.25">
      <c r="A18961" t="s">
        <v>24</v>
      </c>
      <c r="B18961" t="s">
        <v>10986</v>
      </c>
      <c r="C18961" t="str">
        <f>"A0096254"</f>
        <v>A0096254</v>
      </c>
      <c r="D18961" t="s">
        <v>11105</v>
      </c>
      <c r="E18961" t="s">
        <v>11106</v>
      </c>
      <c r="F18961" t="s">
        <v>2978</v>
      </c>
      <c r="G18961" t="s">
        <v>110</v>
      </c>
      <c r="H18961">
        <v>92101</v>
      </c>
      <c r="I18961" t="s">
        <v>30</v>
      </c>
      <c r="J18961" t="s">
        <v>171</v>
      </c>
      <c r="K18961" t="s">
        <v>1331</v>
      </c>
      <c r="N18961" t="s">
        <v>11107</v>
      </c>
      <c r="Q18961">
        <v>0</v>
      </c>
      <c r="R18961">
        <v>204</v>
      </c>
      <c r="S18961">
        <v>0</v>
      </c>
      <c r="T18961" t="s">
        <v>11108</v>
      </c>
    </row>
    <row r="18962" spans="1:20" customFormat="1" ht="15" x14ac:dyDescent="0.25">
      <c r="A18962" t="s">
        <v>24</v>
      </c>
      <c r="B18962" t="s">
        <v>10986</v>
      </c>
      <c r="C18962" t="str">
        <f>"A0096253"</f>
        <v>A0096253</v>
      </c>
      <c r="D18962" t="s">
        <v>11109</v>
      </c>
      <c r="E18962" t="s">
        <v>11106</v>
      </c>
      <c r="F18962" t="s">
        <v>2978</v>
      </c>
      <c r="G18962" t="s">
        <v>110</v>
      </c>
      <c r="H18962">
        <v>92101</v>
      </c>
      <c r="I18962" t="s">
        <v>30</v>
      </c>
      <c r="J18962" t="s">
        <v>171</v>
      </c>
      <c r="K18962" t="s">
        <v>1023</v>
      </c>
      <c r="N18962" t="s">
        <v>11107</v>
      </c>
      <c r="Q18962">
        <v>0</v>
      </c>
      <c r="R18962">
        <v>160</v>
      </c>
      <c r="S18962">
        <v>0</v>
      </c>
      <c r="T18962" t="s">
        <v>11110</v>
      </c>
    </row>
    <row r="18963" spans="1:20" customFormat="1" ht="15" x14ac:dyDescent="0.25">
      <c r="A18963" t="s">
        <v>24</v>
      </c>
      <c r="B18963" t="s">
        <v>11122</v>
      </c>
      <c r="C18963" t="str">
        <f>"A0188464"</f>
        <v>A0188464</v>
      </c>
      <c r="D18963" t="s">
        <v>11123</v>
      </c>
      <c r="E18963" t="s">
        <v>11124</v>
      </c>
      <c r="F18963" t="s">
        <v>11125</v>
      </c>
      <c r="G18963" t="s">
        <v>52</v>
      </c>
      <c r="H18963">
        <v>75159</v>
      </c>
      <c r="I18963" t="s">
        <v>30</v>
      </c>
      <c r="J18963" t="s">
        <v>171</v>
      </c>
      <c r="K18963" t="s">
        <v>1259</v>
      </c>
      <c r="N18963" t="s">
        <v>11126</v>
      </c>
      <c r="Q18963">
        <v>0</v>
      </c>
      <c r="R18963">
        <v>70</v>
      </c>
      <c r="S18963">
        <v>0</v>
      </c>
      <c r="T18963" t="s">
        <v>11127</v>
      </c>
    </row>
    <row r="18964" spans="1:20" customFormat="1" ht="15" x14ac:dyDescent="0.25">
      <c r="A18964" t="s">
        <v>24</v>
      </c>
      <c r="B18964" t="s">
        <v>11170</v>
      </c>
      <c r="C18964" t="str">
        <f>"A0187113"</f>
        <v>A0187113</v>
      </c>
      <c r="D18964" t="s">
        <v>11171</v>
      </c>
      <c r="E18964" t="s">
        <v>11172</v>
      </c>
      <c r="F18964" t="s">
        <v>196</v>
      </c>
      <c r="G18964" t="s">
        <v>197</v>
      </c>
      <c r="H18964">
        <v>85003</v>
      </c>
      <c r="I18964" t="s">
        <v>30</v>
      </c>
      <c r="J18964" t="s">
        <v>171</v>
      </c>
      <c r="K18964" t="s">
        <v>1202</v>
      </c>
      <c r="N18964" t="s">
        <v>11173</v>
      </c>
      <c r="O18964" t="s">
        <v>11174</v>
      </c>
      <c r="Q18964">
        <v>0</v>
      </c>
      <c r="R18964">
        <v>238</v>
      </c>
      <c r="S18964">
        <v>0</v>
      </c>
      <c r="T18964" t="s">
        <v>11175</v>
      </c>
    </row>
    <row r="18965" spans="1:20" customFormat="1" ht="15" x14ac:dyDescent="0.25">
      <c r="A18965" t="s">
        <v>24</v>
      </c>
      <c r="B18965" t="s">
        <v>193</v>
      </c>
      <c r="C18965" t="str">
        <f>"SC086"</f>
        <v>SC086</v>
      </c>
      <c r="D18965" t="s">
        <v>11322</v>
      </c>
      <c r="E18965" t="s">
        <v>11323</v>
      </c>
      <c r="F18965" t="s">
        <v>4417</v>
      </c>
      <c r="G18965" t="s">
        <v>137</v>
      </c>
      <c r="H18965">
        <v>64057</v>
      </c>
      <c r="I18965" t="s">
        <v>30</v>
      </c>
      <c r="J18965" t="s">
        <v>171</v>
      </c>
      <c r="K18965" t="s">
        <v>1331</v>
      </c>
      <c r="N18965" t="s">
        <v>11324</v>
      </c>
      <c r="Q18965">
        <v>0</v>
      </c>
      <c r="R18965">
        <v>80</v>
      </c>
      <c r="S18965">
        <v>0</v>
      </c>
      <c r="T18965" t="s">
        <v>11325</v>
      </c>
    </row>
    <row r="18966" spans="1:20" customFormat="1" ht="15" x14ac:dyDescent="0.25">
      <c r="A18966" t="s">
        <v>24</v>
      </c>
      <c r="B18966" t="s">
        <v>1317</v>
      </c>
      <c r="C18966" t="str">
        <f>"A0057435"</f>
        <v>A0057435</v>
      </c>
      <c r="D18966" t="s">
        <v>11354</v>
      </c>
      <c r="E18966" t="s">
        <v>11355</v>
      </c>
      <c r="F18966" t="s">
        <v>2856</v>
      </c>
      <c r="G18966" t="s">
        <v>52</v>
      </c>
      <c r="H18966">
        <v>79925</v>
      </c>
      <c r="I18966" t="s">
        <v>30</v>
      </c>
      <c r="J18966" t="s">
        <v>171</v>
      </c>
      <c r="K18966" t="s">
        <v>315</v>
      </c>
      <c r="N18966" t="s">
        <v>11356</v>
      </c>
      <c r="Q18966">
        <v>0</v>
      </c>
      <c r="R18966">
        <v>100</v>
      </c>
      <c r="S18966">
        <v>0</v>
      </c>
      <c r="T18966" t="s">
        <v>11357</v>
      </c>
    </row>
    <row r="18967" spans="1:20" customFormat="1" ht="15" x14ac:dyDescent="0.25">
      <c r="A18967" t="s">
        <v>24</v>
      </c>
      <c r="B18967" t="s">
        <v>4990</v>
      </c>
      <c r="C18967" t="str">
        <f>"A0185465"</f>
        <v>A0185465</v>
      </c>
      <c r="D18967" t="s">
        <v>11373</v>
      </c>
      <c r="E18967" t="s">
        <v>11374</v>
      </c>
      <c r="F18967" t="s">
        <v>6404</v>
      </c>
      <c r="G18967" t="s">
        <v>161</v>
      </c>
      <c r="H18967">
        <v>55403</v>
      </c>
      <c r="I18967" t="s">
        <v>30</v>
      </c>
      <c r="J18967" t="s">
        <v>171</v>
      </c>
      <c r="K18967" t="s">
        <v>3456</v>
      </c>
      <c r="Q18967">
        <v>0</v>
      </c>
      <c r="R18967">
        <v>100</v>
      </c>
      <c r="S18967">
        <v>0</v>
      </c>
      <c r="T18967" t="s">
        <v>192</v>
      </c>
    </row>
    <row r="18968" spans="1:20" customFormat="1" ht="15" x14ac:dyDescent="0.25">
      <c r="A18968" t="s">
        <v>24</v>
      </c>
      <c r="B18968" t="s">
        <v>1609</v>
      </c>
      <c r="C18968" t="str">
        <f>"A0166914"</f>
        <v>A0166914</v>
      </c>
      <c r="D18968" t="s">
        <v>11375</v>
      </c>
      <c r="E18968" t="s">
        <v>11376</v>
      </c>
      <c r="F18968" t="s">
        <v>3802</v>
      </c>
      <c r="G18968" t="s">
        <v>47</v>
      </c>
      <c r="H18968">
        <v>97005</v>
      </c>
      <c r="I18968" t="s">
        <v>30</v>
      </c>
      <c r="J18968" t="s">
        <v>171</v>
      </c>
      <c r="K18968" t="s">
        <v>2972</v>
      </c>
      <c r="N18968" t="s">
        <v>11377</v>
      </c>
      <c r="Q18968">
        <v>0</v>
      </c>
      <c r="R18968">
        <v>125</v>
      </c>
      <c r="S18968">
        <v>0</v>
      </c>
      <c r="T18968" t="s">
        <v>192</v>
      </c>
    </row>
    <row r="18969" spans="1:20" customFormat="1" ht="15" x14ac:dyDescent="0.25">
      <c r="A18969" t="s">
        <v>24</v>
      </c>
      <c r="B18969" t="s">
        <v>11533</v>
      </c>
      <c r="C18969" t="str">
        <f>"A0158570"</f>
        <v>A0158570</v>
      </c>
      <c r="D18969" t="s">
        <v>11534</v>
      </c>
      <c r="E18969" t="s">
        <v>11535</v>
      </c>
      <c r="F18969" t="s">
        <v>11536</v>
      </c>
      <c r="G18969" t="s">
        <v>1898</v>
      </c>
      <c r="H18969">
        <v>52246</v>
      </c>
      <c r="I18969" t="s">
        <v>30</v>
      </c>
      <c r="J18969" t="s">
        <v>171</v>
      </c>
      <c r="K18969" t="s">
        <v>973</v>
      </c>
      <c r="N18969" t="s">
        <v>11537</v>
      </c>
      <c r="Q18969">
        <v>0</v>
      </c>
      <c r="R18969">
        <v>140</v>
      </c>
      <c r="S18969">
        <v>0</v>
      </c>
      <c r="T18969" t="s">
        <v>11538</v>
      </c>
    </row>
    <row r="18970" spans="1:20" customFormat="1" ht="15" x14ac:dyDescent="0.25">
      <c r="A18970" t="s">
        <v>24</v>
      </c>
      <c r="B18970" t="s">
        <v>649</v>
      </c>
      <c r="C18970" t="str">
        <f>"A0187117"</f>
        <v>A0187117</v>
      </c>
      <c r="D18970" t="s">
        <v>11640</v>
      </c>
      <c r="E18970" t="s">
        <v>11641</v>
      </c>
      <c r="F18970" t="s">
        <v>1525</v>
      </c>
      <c r="G18970" t="s">
        <v>65</v>
      </c>
      <c r="H18970">
        <v>43240</v>
      </c>
      <c r="I18970" t="s">
        <v>30</v>
      </c>
      <c r="J18970" t="s">
        <v>171</v>
      </c>
      <c r="K18970" t="s">
        <v>1202</v>
      </c>
      <c r="N18970" t="s">
        <v>11642</v>
      </c>
      <c r="O18970" t="s">
        <v>11643</v>
      </c>
      <c r="Q18970">
        <v>0</v>
      </c>
      <c r="R18970">
        <v>120</v>
      </c>
      <c r="S18970">
        <v>0</v>
      </c>
      <c r="T18970" t="s">
        <v>11644</v>
      </c>
    </row>
    <row r="18971" spans="1:20" customFormat="1" ht="15" x14ac:dyDescent="0.25">
      <c r="A18971" t="s">
        <v>24</v>
      </c>
      <c r="B18971" t="s">
        <v>4400</v>
      </c>
      <c r="C18971" t="str">
        <f>"A0188278"</f>
        <v>A0188278</v>
      </c>
      <c r="D18971" t="s">
        <v>11649</v>
      </c>
      <c r="E18971" t="s">
        <v>11650</v>
      </c>
      <c r="F18971" t="s">
        <v>11651</v>
      </c>
      <c r="G18971" t="s">
        <v>1706</v>
      </c>
      <c r="H18971">
        <v>35758</v>
      </c>
      <c r="I18971" t="s">
        <v>30</v>
      </c>
      <c r="J18971" t="s">
        <v>171</v>
      </c>
      <c r="K18971" t="s">
        <v>1331</v>
      </c>
      <c r="N18971" t="s">
        <v>11652</v>
      </c>
      <c r="Q18971">
        <v>0</v>
      </c>
      <c r="R18971">
        <v>102</v>
      </c>
      <c r="S18971">
        <v>0</v>
      </c>
      <c r="T18971" t="s">
        <v>11653</v>
      </c>
    </row>
    <row r="18972" spans="1:20" customFormat="1" ht="15" x14ac:dyDescent="0.25">
      <c r="A18972" t="s">
        <v>24</v>
      </c>
      <c r="B18972" t="s">
        <v>1561</v>
      </c>
      <c r="C18972" t="str">
        <f>"A0186958"</f>
        <v>A0186958</v>
      </c>
      <c r="D18972" t="s">
        <v>11672</v>
      </c>
      <c r="E18972" t="s">
        <v>11673</v>
      </c>
      <c r="F18972" t="s">
        <v>11674</v>
      </c>
      <c r="G18972" t="s">
        <v>840</v>
      </c>
      <c r="H18972">
        <v>40207</v>
      </c>
      <c r="I18972" t="s">
        <v>30</v>
      </c>
      <c r="J18972" t="s">
        <v>171</v>
      </c>
      <c r="K18972" t="s">
        <v>1331</v>
      </c>
      <c r="N18972" t="s">
        <v>11675</v>
      </c>
      <c r="Q18972">
        <v>0</v>
      </c>
      <c r="R18972">
        <v>150</v>
      </c>
      <c r="S18972">
        <v>0</v>
      </c>
      <c r="T18972" t="s">
        <v>11676</v>
      </c>
    </row>
    <row r="18973" spans="1:20" customFormat="1" ht="15" x14ac:dyDescent="0.25">
      <c r="A18973" t="s">
        <v>24</v>
      </c>
      <c r="B18973" t="s">
        <v>11697</v>
      </c>
      <c r="C18973" t="str">
        <f>"A0180315"</f>
        <v>A0180315</v>
      </c>
      <c r="D18973" t="s">
        <v>11698</v>
      </c>
      <c r="E18973" t="s">
        <v>11699</v>
      </c>
      <c r="F18973" t="s">
        <v>11700</v>
      </c>
      <c r="G18973" t="s">
        <v>880</v>
      </c>
      <c r="H18973">
        <v>38133</v>
      </c>
      <c r="I18973" t="s">
        <v>30</v>
      </c>
      <c r="J18973" t="s">
        <v>171</v>
      </c>
      <c r="K18973" t="s">
        <v>973</v>
      </c>
      <c r="N18973" t="s">
        <v>11701</v>
      </c>
      <c r="Q18973">
        <v>0</v>
      </c>
      <c r="R18973">
        <v>112</v>
      </c>
      <c r="S18973">
        <v>0</v>
      </c>
      <c r="T18973" t="s">
        <v>11702</v>
      </c>
    </row>
    <row r="18974" spans="1:20" customFormat="1" ht="15" x14ac:dyDescent="0.25">
      <c r="A18974" t="s">
        <v>24</v>
      </c>
      <c r="B18974" t="s">
        <v>11703</v>
      </c>
      <c r="C18974" t="str">
        <f>"A0085853"</f>
        <v>A0085853</v>
      </c>
      <c r="D18974" t="s">
        <v>11704</v>
      </c>
      <c r="E18974" t="s">
        <v>11705</v>
      </c>
      <c r="F18974" t="s">
        <v>11706</v>
      </c>
      <c r="G18974" t="s">
        <v>846</v>
      </c>
      <c r="H18974">
        <v>30344</v>
      </c>
      <c r="I18974" t="s">
        <v>30</v>
      </c>
      <c r="J18974" t="s">
        <v>171</v>
      </c>
      <c r="K18974" t="s">
        <v>973</v>
      </c>
      <c r="N18974" t="s">
        <v>11707</v>
      </c>
      <c r="Q18974">
        <v>0</v>
      </c>
      <c r="R18974">
        <v>128</v>
      </c>
      <c r="S18974">
        <v>0</v>
      </c>
      <c r="T18974" t="s">
        <v>11708</v>
      </c>
    </row>
    <row r="18975" spans="1:20" customFormat="1" ht="15" x14ac:dyDescent="0.25">
      <c r="A18975" t="s">
        <v>24</v>
      </c>
      <c r="B18975" t="s">
        <v>193</v>
      </c>
      <c r="C18975" t="str">
        <f>"A0072728"</f>
        <v>A0072728</v>
      </c>
      <c r="D18975" t="s">
        <v>12176</v>
      </c>
      <c r="E18975" t="s">
        <v>12177</v>
      </c>
      <c r="F18975" t="s">
        <v>4674</v>
      </c>
      <c r="G18975" t="s">
        <v>314</v>
      </c>
      <c r="H18975">
        <v>20036</v>
      </c>
      <c r="I18975" t="s">
        <v>30</v>
      </c>
      <c r="J18975" t="s">
        <v>171</v>
      </c>
      <c r="K18975" t="s">
        <v>7385</v>
      </c>
      <c r="N18975" t="s">
        <v>12178</v>
      </c>
      <c r="O18975" t="s">
        <v>12179</v>
      </c>
      <c r="Q18975">
        <v>0</v>
      </c>
      <c r="R18975">
        <v>99</v>
      </c>
      <c r="S18975">
        <v>0</v>
      </c>
      <c r="T18975" t="s">
        <v>12180</v>
      </c>
    </row>
    <row r="18976" spans="1:20" customFormat="1" ht="15" x14ac:dyDescent="0.25">
      <c r="A18976" t="s">
        <v>24</v>
      </c>
      <c r="B18976" t="s">
        <v>193</v>
      </c>
      <c r="C18976" t="str">
        <f>"A0060089"</f>
        <v>A0060089</v>
      </c>
      <c r="D18976" t="s">
        <v>12302</v>
      </c>
      <c r="E18976" t="s">
        <v>12303</v>
      </c>
      <c r="F18976" t="s">
        <v>12304</v>
      </c>
      <c r="G18976" t="s">
        <v>289</v>
      </c>
      <c r="H18976">
        <v>60007</v>
      </c>
      <c r="I18976" t="s">
        <v>30</v>
      </c>
      <c r="J18976" t="s">
        <v>171</v>
      </c>
      <c r="K18976" t="s">
        <v>5354</v>
      </c>
      <c r="N18976" t="s">
        <v>4005</v>
      </c>
      <c r="O18976" t="s">
        <v>12305</v>
      </c>
      <c r="Q18976">
        <v>0</v>
      </c>
      <c r="R18976">
        <v>115</v>
      </c>
      <c r="S18976">
        <v>0</v>
      </c>
      <c r="T18976" t="s">
        <v>12306</v>
      </c>
    </row>
    <row r="18977" spans="1:20" customFormat="1" ht="15" x14ac:dyDescent="0.25">
      <c r="A18977" t="s">
        <v>24</v>
      </c>
      <c r="B18977" t="s">
        <v>9391</v>
      </c>
      <c r="C18977" t="str">
        <f>"A0188263"</f>
        <v>A0188263</v>
      </c>
      <c r="D18977" t="s">
        <v>12307</v>
      </c>
      <c r="E18977" t="s">
        <v>12308</v>
      </c>
      <c r="F18977" t="s">
        <v>845</v>
      </c>
      <c r="G18977" t="s">
        <v>846</v>
      </c>
      <c r="H18977">
        <v>30346</v>
      </c>
      <c r="I18977" t="s">
        <v>30</v>
      </c>
      <c r="J18977" t="s">
        <v>171</v>
      </c>
      <c r="K18977" t="s">
        <v>2077</v>
      </c>
      <c r="N18977" t="s">
        <v>12309</v>
      </c>
      <c r="O18977" t="s">
        <v>12310</v>
      </c>
      <c r="Q18977">
        <v>0</v>
      </c>
      <c r="R18977">
        <v>156</v>
      </c>
      <c r="S18977">
        <v>0</v>
      </c>
      <c r="T18977" t="s">
        <v>12311</v>
      </c>
    </row>
    <row r="18978" spans="1:20" customFormat="1" ht="15" x14ac:dyDescent="0.25">
      <c r="A18978" t="s">
        <v>24</v>
      </c>
      <c r="B18978" t="s">
        <v>12345</v>
      </c>
      <c r="C18978" t="str">
        <f>"A0089317"</f>
        <v>A0089317</v>
      </c>
      <c r="D18978" t="s">
        <v>12346</v>
      </c>
      <c r="E18978" t="s">
        <v>12347</v>
      </c>
      <c r="F18978" t="s">
        <v>12348</v>
      </c>
      <c r="G18978" t="s">
        <v>880</v>
      </c>
      <c r="H18978">
        <v>37922</v>
      </c>
      <c r="I18978" t="s">
        <v>30</v>
      </c>
      <c r="J18978" t="s">
        <v>171</v>
      </c>
      <c r="K18978" t="s">
        <v>1331</v>
      </c>
      <c r="N18978" t="s">
        <v>12349</v>
      </c>
      <c r="O18978" t="s">
        <v>12350</v>
      </c>
      <c r="Q18978">
        <v>0</v>
      </c>
      <c r="R18978">
        <v>118</v>
      </c>
      <c r="S18978">
        <v>0</v>
      </c>
      <c r="T18978" t="s">
        <v>12351</v>
      </c>
    </row>
    <row r="18979" spans="1:20" customFormat="1" ht="15" hidden="1" x14ac:dyDescent="0.25">
      <c r="A18979" t="s">
        <v>24</v>
      </c>
      <c r="B18979" t="s">
        <v>1548</v>
      </c>
      <c r="C18979" t="str">
        <f>"A0072498"</f>
        <v>A0072498</v>
      </c>
      <c r="D18979" t="s">
        <v>69954</v>
      </c>
      <c r="E18979" t="s">
        <v>69955</v>
      </c>
      <c r="F18979" t="s">
        <v>62650</v>
      </c>
      <c r="G18979" t="s">
        <v>2270</v>
      </c>
      <c r="H18979" t="s">
        <v>69956</v>
      </c>
      <c r="I18979" t="s">
        <v>1459</v>
      </c>
      <c r="J18979" t="s">
        <v>162</v>
      </c>
      <c r="K18979" t="s">
        <v>4809</v>
      </c>
      <c r="N18979" t="s">
        <v>69957</v>
      </c>
      <c r="Q18979">
        <v>0</v>
      </c>
      <c r="R18979">
        <v>283</v>
      </c>
      <c r="S18979">
        <v>0</v>
      </c>
      <c r="T18979" t="s">
        <v>69958</v>
      </c>
    </row>
    <row r="18980" spans="1:20" customFormat="1" ht="15" x14ac:dyDescent="0.25">
      <c r="A18980" t="s">
        <v>24</v>
      </c>
      <c r="B18980" t="s">
        <v>7602</v>
      </c>
      <c r="C18980" t="str">
        <f>"A0095815"</f>
        <v>A0095815</v>
      </c>
      <c r="D18980" t="s">
        <v>12549</v>
      </c>
      <c r="E18980" t="s">
        <v>12550</v>
      </c>
      <c r="F18980" t="s">
        <v>1564</v>
      </c>
      <c r="G18980" t="s">
        <v>52</v>
      </c>
      <c r="H18980">
        <v>77057</v>
      </c>
      <c r="I18980" t="s">
        <v>30</v>
      </c>
      <c r="J18980" t="s">
        <v>171</v>
      </c>
      <c r="K18980" t="s">
        <v>1259</v>
      </c>
      <c r="N18980" t="s">
        <v>12551</v>
      </c>
      <c r="Q18980">
        <v>0</v>
      </c>
      <c r="R18980">
        <v>72</v>
      </c>
      <c r="S18980">
        <v>0</v>
      </c>
      <c r="T18980" t="s">
        <v>12552</v>
      </c>
    </row>
    <row r="18981" spans="1:20" customFormat="1" ht="15" x14ac:dyDescent="0.25">
      <c r="A18981" t="s">
        <v>24</v>
      </c>
      <c r="B18981" t="s">
        <v>2968</v>
      </c>
      <c r="C18981" t="str">
        <f>"SC020"</f>
        <v>SC020</v>
      </c>
      <c r="D18981" t="s">
        <v>12558</v>
      </c>
      <c r="E18981" t="s">
        <v>12559</v>
      </c>
      <c r="F18981" t="s">
        <v>7999</v>
      </c>
      <c r="G18981" t="s">
        <v>110</v>
      </c>
      <c r="H18981">
        <v>91364</v>
      </c>
      <c r="I18981" t="s">
        <v>30</v>
      </c>
      <c r="J18981" t="s">
        <v>171</v>
      </c>
      <c r="K18981" t="s">
        <v>973</v>
      </c>
      <c r="N18981" t="s">
        <v>12560</v>
      </c>
      <c r="O18981" t="s">
        <v>12561</v>
      </c>
      <c r="Q18981">
        <v>0</v>
      </c>
      <c r="R18981">
        <v>213</v>
      </c>
      <c r="S18981">
        <v>0</v>
      </c>
      <c r="T18981" t="s">
        <v>12562</v>
      </c>
    </row>
    <row r="18982" spans="1:20" customFormat="1" ht="15" x14ac:dyDescent="0.25">
      <c r="A18982" t="s">
        <v>24</v>
      </c>
      <c r="B18982" t="s">
        <v>140</v>
      </c>
      <c r="C18982" t="str">
        <f>"A0065583"</f>
        <v>A0065583</v>
      </c>
      <c r="D18982" t="s">
        <v>12578</v>
      </c>
      <c r="E18982" t="s">
        <v>12579</v>
      </c>
      <c r="F18982" t="s">
        <v>1858</v>
      </c>
      <c r="G18982" t="s">
        <v>190</v>
      </c>
      <c r="H18982">
        <v>80921</v>
      </c>
      <c r="I18982" t="s">
        <v>30</v>
      </c>
      <c r="J18982" t="s">
        <v>171</v>
      </c>
      <c r="K18982" t="s">
        <v>1450</v>
      </c>
      <c r="N18982" t="s">
        <v>12580</v>
      </c>
      <c r="Q18982">
        <v>0</v>
      </c>
      <c r="R18982">
        <v>113</v>
      </c>
      <c r="S18982">
        <v>0</v>
      </c>
      <c r="T18982" t="s">
        <v>12581</v>
      </c>
    </row>
    <row r="18983" spans="1:20" customFormat="1" ht="15" x14ac:dyDescent="0.25">
      <c r="A18983" t="s">
        <v>24</v>
      </c>
      <c r="B18983" t="s">
        <v>140</v>
      </c>
      <c r="C18983" t="str">
        <f>"56939"</f>
        <v>56939</v>
      </c>
      <c r="D18983" t="s">
        <v>12582</v>
      </c>
      <c r="E18983" t="s">
        <v>12583</v>
      </c>
      <c r="F18983" t="s">
        <v>1858</v>
      </c>
      <c r="G18983" t="s">
        <v>190</v>
      </c>
      <c r="H18983">
        <v>80906</v>
      </c>
      <c r="I18983" t="s">
        <v>30</v>
      </c>
      <c r="J18983" t="s">
        <v>171</v>
      </c>
      <c r="K18983" t="s">
        <v>1450</v>
      </c>
      <c r="N18983" t="s">
        <v>12584</v>
      </c>
      <c r="Q18983">
        <v>0</v>
      </c>
      <c r="R18983">
        <v>72</v>
      </c>
      <c r="S18983">
        <v>0</v>
      </c>
      <c r="T18983" t="s">
        <v>12585</v>
      </c>
    </row>
    <row r="18984" spans="1:20" customFormat="1" ht="15" hidden="1" x14ac:dyDescent="0.25">
      <c r="A18984" t="s">
        <v>24</v>
      </c>
      <c r="B18984" t="s">
        <v>10942</v>
      </c>
      <c r="C18984" t="str">
        <f>"A0147985"</f>
        <v>A0147985</v>
      </c>
      <c r="D18984" t="s">
        <v>69976</v>
      </c>
      <c r="E18984" t="s">
        <v>69977</v>
      </c>
      <c r="F18984" t="s">
        <v>8456</v>
      </c>
      <c r="G18984" t="s">
        <v>1457</v>
      </c>
      <c r="H18984" t="s">
        <v>69978</v>
      </c>
      <c r="I18984" t="s">
        <v>1459</v>
      </c>
      <c r="J18984" t="s">
        <v>162</v>
      </c>
      <c r="K18984" t="s">
        <v>854</v>
      </c>
      <c r="N18984" t="s">
        <v>69979</v>
      </c>
      <c r="Q18984">
        <v>0</v>
      </c>
      <c r="R18984">
        <v>153</v>
      </c>
      <c r="S18984">
        <v>0</v>
      </c>
      <c r="T18984" t="s">
        <v>69980</v>
      </c>
    </row>
    <row r="18985" spans="1:20" customFormat="1" ht="15" x14ac:dyDescent="0.25">
      <c r="A18985" t="s">
        <v>24</v>
      </c>
      <c r="B18985" t="s">
        <v>140</v>
      </c>
      <c r="C18985" t="str">
        <f>"6515R"</f>
        <v>6515R</v>
      </c>
      <c r="D18985" t="s">
        <v>12589</v>
      </c>
      <c r="E18985" t="s">
        <v>12590</v>
      </c>
      <c r="F18985" t="s">
        <v>1858</v>
      </c>
      <c r="G18985" t="s">
        <v>190</v>
      </c>
      <c r="H18985">
        <v>80906</v>
      </c>
      <c r="I18985" t="s">
        <v>30</v>
      </c>
      <c r="J18985" t="s">
        <v>171</v>
      </c>
      <c r="K18985" t="s">
        <v>973</v>
      </c>
      <c r="N18985" t="s">
        <v>12591</v>
      </c>
      <c r="Q18985">
        <v>0</v>
      </c>
      <c r="R18985">
        <v>90</v>
      </c>
      <c r="S18985">
        <v>0</v>
      </c>
      <c r="T18985" t="s">
        <v>12592</v>
      </c>
    </row>
    <row r="18986" spans="1:20" customFormat="1" ht="15" x14ac:dyDescent="0.25">
      <c r="A18986" t="s">
        <v>24</v>
      </c>
      <c r="B18986" t="s">
        <v>4410</v>
      </c>
      <c r="C18986" t="str">
        <f>"A0084177"</f>
        <v>A0084177</v>
      </c>
      <c r="D18986" t="s">
        <v>12617</v>
      </c>
      <c r="E18986" t="s">
        <v>12618</v>
      </c>
      <c r="F18986" t="s">
        <v>12619</v>
      </c>
      <c r="G18986" t="s">
        <v>190</v>
      </c>
      <c r="H18986">
        <v>80401</v>
      </c>
      <c r="I18986" t="s">
        <v>30</v>
      </c>
      <c r="J18986" t="s">
        <v>171</v>
      </c>
      <c r="K18986" t="s">
        <v>12620</v>
      </c>
      <c r="N18986" t="s">
        <v>12621</v>
      </c>
      <c r="Q18986">
        <v>0</v>
      </c>
      <c r="R18986">
        <v>62</v>
      </c>
      <c r="S18986">
        <v>0</v>
      </c>
      <c r="T18986" t="s">
        <v>12622</v>
      </c>
    </row>
    <row r="18987" spans="1:20" customFormat="1" ht="15" hidden="1" x14ac:dyDescent="0.25">
      <c r="A18987" t="s">
        <v>24</v>
      </c>
      <c r="B18987" t="s">
        <v>2202</v>
      </c>
      <c r="C18987" t="str">
        <f>"SF04811"</f>
        <v>SF04811</v>
      </c>
      <c r="D18987" t="s">
        <v>69989</v>
      </c>
      <c r="E18987" t="s">
        <v>69990</v>
      </c>
      <c r="F18987" t="s">
        <v>13233</v>
      </c>
      <c r="G18987" t="s">
        <v>2206</v>
      </c>
      <c r="H18987" t="s">
        <v>69991</v>
      </c>
      <c r="I18987" t="s">
        <v>1459</v>
      </c>
      <c r="J18987" t="s">
        <v>162</v>
      </c>
      <c r="K18987" t="s">
        <v>854</v>
      </c>
      <c r="N18987" t="s">
        <v>69992</v>
      </c>
      <c r="Q18987">
        <v>0</v>
      </c>
      <c r="R18987">
        <v>152</v>
      </c>
      <c r="S18987">
        <v>0</v>
      </c>
      <c r="T18987" t="s">
        <v>69993</v>
      </c>
    </row>
    <row r="18988" spans="1:20" customFormat="1" ht="15" x14ac:dyDescent="0.25">
      <c r="A18988" t="s">
        <v>24</v>
      </c>
      <c r="B18988" t="s">
        <v>2936</v>
      </c>
      <c r="C18988" t="str">
        <f>"A0187923"</f>
        <v>A0187923</v>
      </c>
      <c r="D18988" t="s">
        <v>12623</v>
      </c>
      <c r="E18988" t="s">
        <v>12624</v>
      </c>
      <c r="F18988" t="s">
        <v>7999</v>
      </c>
      <c r="G18988" t="s">
        <v>110</v>
      </c>
      <c r="H18988">
        <v>91364</v>
      </c>
      <c r="I18988" t="s">
        <v>30</v>
      </c>
      <c r="J18988" t="s">
        <v>171</v>
      </c>
      <c r="K18988" t="s">
        <v>12620</v>
      </c>
      <c r="N18988" t="s">
        <v>12625</v>
      </c>
      <c r="Q18988">
        <v>0</v>
      </c>
      <c r="R18988">
        <v>99</v>
      </c>
      <c r="S18988">
        <v>0</v>
      </c>
      <c r="T18988" t="s">
        <v>12626</v>
      </c>
    </row>
    <row r="18989" spans="1:20" customFormat="1" ht="15" x14ac:dyDescent="0.25">
      <c r="A18989" t="s">
        <v>24</v>
      </c>
      <c r="B18989" t="s">
        <v>11484</v>
      </c>
      <c r="C18989" t="str">
        <f>"A0185637"</f>
        <v>A0185637</v>
      </c>
      <c r="D18989" t="s">
        <v>12818</v>
      </c>
      <c r="E18989" t="s">
        <v>12819</v>
      </c>
      <c r="F18989" t="s">
        <v>372</v>
      </c>
      <c r="G18989" t="s">
        <v>52</v>
      </c>
      <c r="H18989">
        <v>78701</v>
      </c>
      <c r="I18989" t="s">
        <v>30</v>
      </c>
      <c r="J18989" t="s">
        <v>171</v>
      </c>
      <c r="K18989" t="s">
        <v>1331</v>
      </c>
      <c r="N18989" t="s">
        <v>12820</v>
      </c>
      <c r="O18989" t="s">
        <v>12821</v>
      </c>
      <c r="Q18989">
        <v>0</v>
      </c>
      <c r="R18989">
        <v>214</v>
      </c>
      <c r="S18989">
        <v>0</v>
      </c>
      <c r="T18989" t="s">
        <v>192</v>
      </c>
    </row>
    <row r="18990" spans="1:20" customFormat="1" ht="15" x14ac:dyDescent="0.25">
      <c r="A18990" t="s">
        <v>24</v>
      </c>
      <c r="B18990" t="s">
        <v>1138</v>
      </c>
      <c r="C18990" t="str">
        <f>"A0180335"</f>
        <v>A0180335</v>
      </c>
      <c r="D18990" t="s">
        <v>12827</v>
      </c>
      <c r="E18990" t="s">
        <v>12828</v>
      </c>
      <c r="F18990" t="s">
        <v>12829</v>
      </c>
      <c r="G18990" t="s">
        <v>110</v>
      </c>
      <c r="H18990">
        <v>92374</v>
      </c>
      <c r="I18990" t="s">
        <v>30</v>
      </c>
      <c r="J18990" t="s">
        <v>171</v>
      </c>
      <c r="K18990" t="s">
        <v>1450</v>
      </c>
      <c r="N18990" t="s">
        <v>12830</v>
      </c>
      <c r="Q18990">
        <v>0</v>
      </c>
      <c r="R18990">
        <v>104</v>
      </c>
      <c r="S18990">
        <v>0</v>
      </c>
      <c r="T18990" t="s">
        <v>12831</v>
      </c>
    </row>
    <row r="18991" spans="1:20" customFormat="1" ht="15" x14ac:dyDescent="0.25">
      <c r="A18991" t="s">
        <v>24</v>
      </c>
      <c r="B18991" t="s">
        <v>5830</v>
      </c>
      <c r="C18991" t="str">
        <f>"A0187885"</f>
        <v>A0187885</v>
      </c>
      <c r="D18991" t="s">
        <v>12835</v>
      </c>
      <c r="E18991" t="s">
        <v>12836</v>
      </c>
      <c r="F18991" t="s">
        <v>6708</v>
      </c>
      <c r="G18991" t="s">
        <v>99</v>
      </c>
      <c r="H18991">
        <v>11944</v>
      </c>
      <c r="I18991" t="s">
        <v>30</v>
      </c>
      <c r="J18991" t="s">
        <v>171</v>
      </c>
      <c r="K18991" t="s">
        <v>163</v>
      </c>
      <c r="Q18991">
        <v>0</v>
      </c>
      <c r="R18991">
        <v>16</v>
      </c>
      <c r="S18991">
        <v>0</v>
      </c>
      <c r="T18991" t="s">
        <v>12837</v>
      </c>
    </row>
    <row r="18992" spans="1:20" customFormat="1" ht="15" x14ac:dyDescent="0.25">
      <c r="A18992" t="s">
        <v>24</v>
      </c>
      <c r="B18992" t="s">
        <v>2583</v>
      </c>
      <c r="C18992" t="str">
        <f>"A0186540"</f>
        <v>A0186540</v>
      </c>
      <c r="D18992" t="s">
        <v>12838</v>
      </c>
      <c r="E18992" t="s">
        <v>12839</v>
      </c>
      <c r="F18992" t="s">
        <v>1525</v>
      </c>
      <c r="G18992" t="s">
        <v>65</v>
      </c>
      <c r="H18992">
        <v>43201</v>
      </c>
      <c r="I18992" t="s">
        <v>30</v>
      </c>
      <c r="J18992" t="s">
        <v>171</v>
      </c>
      <c r="K18992" t="s">
        <v>2972</v>
      </c>
      <c r="N18992" t="s">
        <v>12840</v>
      </c>
      <c r="Q18992">
        <v>0</v>
      </c>
      <c r="R18992">
        <v>152</v>
      </c>
      <c r="S18992">
        <v>0</v>
      </c>
      <c r="T18992" t="s">
        <v>12841</v>
      </c>
    </row>
    <row r="18993" spans="1:20" customFormat="1" ht="15" x14ac:dyDescent="0.25">
      <c r="A18993" t="s">
        <v>24</v>
      </c>
      <c r="B18993" t="s">
        <v>342</v>
      </c>
      <c r="C18993" t="str">
        <f>"A0091401"</f>
        <v>A0091401</v>
      </c>
      <c r="D18993" t="s">
        <v>12855</v>
      </c>
      <c r="E18993" t="s">
        <v>12856</v>
      </c>
      <c r="F18993" t="s">
        <v>12857</v>
      </c>
      <c r="G18993" t="s">
        <v>81</v>
      </c>
      <c r="H18993">
        <v>33578</v>
      </c>
      <c r="I18993" t="s">
        <v>30</v>
      </c>
      <c r="J18993" t="s">
        <v>171</v>
      </c>
      <c r="K18993" t="s">
        <v>1331</v>
      </c>
      <c r="N18993" t="s">
        <v>12858</v>
      </c>
      <c r="O18993" t="s">
        <v>12859</v>
      </c>
      <c r="Q18993">
        <v>0</v>
      </c>
      <c r="R18993">
        <v>119</v>
      </c>
      <c r="S18993">
        <v>0</v>
      </c>
      <c r="T18993" t="s">
        <v>12860</v>
      </c>
    </row>
    <row r="18994" spans="1:20" customFormat="1" ht="15" x14ac:dyDescent="0.25">
      <c r="A18994" t="s">
        <v>24</v>
      </c>
      <c r="B18994" t="s">
        <v>8815</v>
      </c>
      <c r="C18994" t="str">
        <f>"SF01705"</f>
        <v>SF01705</v>
      </c>
      <c r="D18994" t="s">
        <v>12869</v>
      </c>
      <c r="E18994" t="s">
        <v>12870</v>
      </c>
      <c r="F18994" t="s">
        <v>64</v>
      </c>
      <c r="G18994" t="s">
        <v>65</v>
      </c>
      <c r="H18994">
        <v>43228</v>
      </c>
      <c r="I18994" t="s">
        <v>30</v>
      </c>
      <c r="J18994" t="s">
        <v>171</v>
      </c>
      <c r="K18994" t="s">
        <v>973</v>
      </c>
      <c r="N18994" t="s">
        <v>12871</v>
      </c>
      <c r="Q18994">
        <v>0</v>
      </c>
      <c r="R18994">
        <v>150</v>
      </c>
      <c r="S18994">
        <v>0</v>
      </c>
      <c r="T18994" t="s">
        <v>12872</v>
      </c>
    </row>
    <row r="18995" spans="1:20" customFormat="1" ht="15" x14ac:dyDescent="0.25">
      <c r="A18995" t="s">
        <v>24</v>
      </c>
      <c r="B18995" t="s">
        <v>2528</v>
      </c>
      <c r="C18995" t="str">
        <f>"A0074202"</f>
        <v>A0074202</v>
      </c>
      <c r="D18995" t="s">
        <v>12886</v>
      </c>
      <c r="E18995" t="s">
        <v>12887</v>
      </c>
      <c r="F18995" t="s">
        <v>12888</v>
      </c>
      <c r="G18995" t="s">
        <v>29</v>
      </c>
      <c r="H18995">
        <v>20147</v>
      </c>
      <c r="I18995" t="s">
        <v>30</v>
      </c>
      <c r="J18995" t="s">
        <v>171</v>
      </c>
      <c r="K18995" t="s">
        <v>1023</v>
      </c>
      <c r="N18995" t="s">
        <v>12889</v>
      </c>
      <c r="Q18995">
        <v>0</v>
      </c>
      <c r="R18995">
        <v>90</v>
      </c>
      <c r="S18995">
        <v>0</v>
      </c>
      <c r="T18995" t="s">
        <v>12890</v>
      </c>
    </row>
    <row r="18996" spans="1:20" customFormat="1" ht="15" x14ac:dyDescent="0.25">
      <c r="A18996" t="s">
        <v>24</v>
      </c>
      <c r="B18996" t="s">
        <v>140</v>
      </c>
      <c r="C18996" t="str">
        <f>"A0058996"</f>
        <v>A0058996</v>
      </c>
      <c r="D18996" t="s">
        <v>13052</v>
      </c>
      <c r="E18996" t="s">
        <v>13053</v>
      </c>
      <c r="F18996" t="s">
        <v>1519</v>
      </c>
      <c r="G18996" t="s">
        <v>110</v>
      </c>
      <c r="H18996">
        <v>90045</v>
      </c>
      <c r="I18996" t="s">
        <v>30</v>
      </c>
      <c r="J18996" t="s">
        <v>171</v>
      </c>
      <c r="K18996" t="s">
        <v>653</v>
      </c>
      <c r="N18996" t="s">
        <v>13054</v>
      </c>
      <c r="Q18996">
        <v>0</v>
      </c>
      <c r="R18996">
        <v>566</v>
      </c>
      <c r="S18996">
        <v>0</v>
      </c>
      <c r="T18996" t="s">
        <v>13055</v>
      </c>
    </row>
    <row r="18997" spans="1:20" customFormat="1" ht="15" x14ac:dyDescent="0.25">
      <c r="A18997" t="s">
        <v>24</v>
      </c>
      <c r="B18997" t="s">
        <v>13135</v>
      </c>
      <c r="C18997" t="str">
        <f>"A0178644"</f>
        <v>A0178644</v>
      </c>
      <c r="D18997" t="s">
        <v>13136</v>
      </c>
      <c r="E18997" t="s">
        <v>13137</v>
      </c>
      <c r="F18997" t="s">
        <v>13138</v>
      </c>
      <c r="G18997" t="s">
        <v>103</v>
      </c>
      <c r="H18997">
        <v>18106</v>
      </c>
      <c r="I18997" t="s">
        <v>30</v>
      </c>
      <c r="J18997" t="s">
        <v>171</v>
      </c>
      <c r="K18997" t="s">
        <v>1202</v>
      </c>
      <c r="N18997" t="s">
        <v>13139</v>
      </c>
      <c r="O18997" t="s">
        <v>13140</v>
      </c>
      <c r="Q18997">
        <v>0</v>
      </c>
      <c r="R18997">
        <v>205</v>
      </c>
      <c r="S18997">
        <v>0</v>
      </c>
      <c r="T18997" t="s">
        <v>192</v>
      </c>
    </row>
    <row r="18998" spans="1:20" customFormat="1" ht="15" x14ac:dyDescent="0.25">
      <c r="A18998" t="s">
        <v>24</v>
      </c>
      <c r="B18998" t="s">
        <v>13150</v>
      </c>
      <c r="C18998" t="str">
        <f>"A0180489"</f>
        <v>A0180489</v>
      </c>
      <c r="D18998" t="s">
        <v>13151</v>
      </c>
      <c r="E18998" t="s">
        <v>13152</v>
      </c>
      <c r="F18998" t="s">
        <v>13153</v>
      </c>
      <c r="G18998" t="s">
        <v>381</v>
      </c>
      <c r="H18998">
        <v>46360</v>
      </c>
      <c r="I18998" t="s">
        <v>30</v>
      </c>
      <c r="J18998" t="s">
        <v>171</v>
      </c>
      <c r="K18998" t="s">
        <v>308</v>
      </c>
      <c r="N18998" t="s">
        <v>13154</v>
      </c>
      <c r="Q18998">
        <v>0</v>
      </c>
      <c r="R18998">
        <v>56</v>
      </c>
      <c r="S18998">
        <v>0</v>
      </c>
      <c r="T18998" t="s">
        <v>13155</v>
      </c>
    </row>
    <row r="18999" spans="1:20" customFormat="1" ht="15" x14ac:dyDescent="0.25">
      <c r="A18999" t="s">
        <v>24</v>
      </c>
      <c r="B18999" t="s">
        <v>13164</v>
      </c>
      <c r="C18999" t="str">
        <f>"A0187425"</f>
        <v>A0187425</v>
      </c>
      <c r="D18999" t="s">
        <v>13165</v>
      </c>
      <c r="E18999" t="s">
        <v>13166</v>
      </c>
      <c r="F18999" t="s">
        <v>13167</v>
      </c>
      <c r="G18999" t="s">
        <v>846</v>
      </c>
      <c r="H18999">
        <v>31088</v>
      </c>
      <c r="I18999" t="s">
        <v>30</v>
      </c>
      <c r="J18999" t="s">
        <v>171</v>
      </c>
      <c r="K18999" t="s">
        <v>315</v>
      </c>
      <c r="N18999" t="s">
        <v>13168</v>
      </c>
      <c r="Q18999">
        <v>0</v>
      </c>
      <c r="R18999">
        <v>62</v>
      </c>
      <c r="S18999">
        <v>0</v>
      </c>
      <c r="T18999" t="s">
        <v>13169</v>
      </c>
    </row>
    <row r="19000" spans="1:20" customFormat="1" ht="15" x14ac:dyDescent="0.25">
      <c r="A19000" t="s">
        <v>24</v>
      </c>
      <c r="B19000" t="s">
        <v>11506</v>
      </c>
      <c r="C19000" t="str">
        <f>"A0088632"</f>
        <v>A0088632</v>
      </c>
      <c r="D19000" t="s">
        <v>13286</v>
      </c>
      <c r="E19000" t="s">
        <v>13287</v>
      </c>
      <c r="F19000" t="s">
        <v>13288</v>
      </c>
      <c r="G19000" t="s">
        <v>289</v>
      </c>
      <c r="H19000">
        <v>60555</v>
      </c>
      <c r="I19000" t="s">
        <v>30</v>
      </c>
      <c r="J19000" t="s">
        <v>171</v>
      </c>
      <c r="K19000" t="s">
        <v>2972</v>
      </c>
      <c r="N19000" t="s">
        <v>13289</v>
      </c>
      <c r="Q19000">
        <v>0</v>
      </c>
      <c r="R19000">
        <v>123</v>
      </c>
      <c r="S19000">
        <v>0</v>
      </c>
      <c r="T19000" t="s">
        <v>13290</v>
      </c>
    </row>
    <row r="19001" spans="1:20" customFormat="1" ht="15" x14ac:dyDescent="0.25">
      <c r="A19001" t="s">
        <v>24</v>
      </c>
      <c r="B19001" t="s">
        <v>11506</v>
      </c>
      <c r="C19001" t="str">
        <f>"A0088633"</f>
        <v>A0088633</v>
      </c>
      <c r="D19001" t="s">
        <v>13291</v>
      </c>
      <c r="E19001" t="s">
        <v>13292</v>
      </c>
      <c r="F19001" t="s">
        <v>13288</v>
      </c>
      <c r="G19001" t="s">
        <v>289</v>
      </c>
      <c r="H19001">
        <v>60555</v>
      </c>
      <c r="I19001" t="s">
        <v>30</v>
      </c>
      <c r="J19001" t="s">
        <v>171</v>
      </c>
      <c r="K19001" t="s">
        <v>1202</v>
      </c>
      <c r="N19001" t="s">
        <v>13293</v>
      </c>
      <c r="Q19001">
        <v>0</v>
      </c>
      <c r="R19001">
        <v>123</v>
      </c>
      <c r="S19001">
        <v>0</v>
      </c>
      <c r="T19001" t="s">
        <v>13294</v>
      </c>
    </row>
    <row r="19002" spans="1:20" customFormat="1" ht="15" x14ac:dyDescent="0.25">
      <c r="A19002" t="s">
        <v>24</v>
      </c>
      <c r="B19002" t="s">
        <v>140</v>
      </c>
      <c r="C19002" t="str">
        <f>"A0084563"</f>
        <v>A0084563</v>
      </c>
      <c r="D19002" t="s">
        <v>13311</v>
      </c>
      <c r="E19002" t="s">
        <v>13312</v>
      </c>
      <c r="F19002" t="s">
        <v>5518</v>
      </c>
      <c r="G19002" t="s">
        <v>197</v>
      </c>
      <c r="H19002">
        <v>85305</v>
      </c>
      <c r="I19002" t="s">
        <v>30</v>
      </c>
      <c r="J19002" t="s">
        <v>171</v>
      </c>
      <c r="K19002" t="s">
        <v>1450</v>
      </c>
      <c r="N19002" t="s">
        <v>12364</v>
      </c>
      <c r="Q19002">
        <v>0</v>
      </c>
      <c r="R19002">
        <v>126</v>
      </c>
      <c r="S19002">
        <v>0</v>
      </c>
      <c r="T19002" t="s">
        <v>13313</v>
      </c>
    </row>
    <row r="19003" spans="1:20" customFormat="1" ht="15" x14ac:dyDescent="0.25">
      <c r="A19003" t="s">
        <v>24</v>
      </c>
      <c r="B19003" t="s">
        <v>140</v>
      </c>
      <c r="C19003" t="str">
        <f>"A0064924"</f>
        <v>A0064924</v>
      </c>
      <c r="D19003" t="s">
        <v>13314</v>
      </c>
      <c r="E19003" t="s">
        <v>13315</v>
      </c>
      <c r="F19003" t="s">
        <v>2014</v>
      </c>
      <c r="G19003" t="s">
        <v>197</v>
      </c>
      <c r="H19003">
        <v>85255</v>
      </c>
      <c r="I19003" t="s">
        <v>30</v>
      </c>
      <c r="J19003" t="s">
        <v>171</v>
      </c>
      <c r="K19003" t="s">
        <v>1450</v>
      </c>
      <c r="N19003" t="s">
        <v>13316</v>
      </c>
      <c r="Q19003">
        <v>0</v>
      </c>
      <c r="R19003">
        <v>120</v>
      </c>
      <c r="S19003">
        <v>0</v>
      </c>
      <c r="T19003" t="s">
        <v>13317</v>
      </c>
    </row>
    <row r="19004" spans="1:20" customFormat="1" ht="15" x14ac:dyDescent="0.25">
      <c r="A19004" t="s">
        <v>24</v>
      </c>
      <c r="B19004" t="s">
        <v>3159</v>
      </c>
      <c r="C19004" t="str">
        <f>"A0187430"</f>
        <v>A0187430</v>
      </c>
      <c r="D19004" t="s">
        <v>13318</v>
      </c>
      <c r="E19004" t="s">
        <v>13319</v>
      </c>
      <c r="F19004" t="s">
        <v>11700</v>
      </c>
      <c r="G19004" t="s">
        <v>880</v>
      </c>
      <c r="H19004">
        <v>38119</v>
      </c>
      <c r="I19004" t="s">
        <v>30</v>
      </c>
      <c r="J19004" t="s">
        <v>171</v>
      </c>
      <c r="K19004" t="s">
        <v>1023</v>
      </c>
      <c r="N19004" t="s">
        <v>13320</v>
      </c>
      <c r="Q19004">
        <v>0</v>
      </c>
      <c r="R19004">
        <v>144</v>
      </c>
      <c r="S19004">
        <v>0</v>
      </c>
      <c r="T19004" t="s">
        <v>13321</v>
      </c>
    </row>
    <row r="19005" spans="1:20" customFormat="1" ht="15" x14ac:dyDescent="0.25">
      <c r="A19005" t="s">
        <v>24</v>
      </c>
      <c r="B19005" t="s">
        <v>12356</v>
      </c>
      <c r="C19005" t="str">
        <f>"SF01683"</f>
        <v>SF01683</v>
      </c>
      <c r="D19005" t="s">
        <v>13338</v>
      </c>
      <c r="E19005" t="s">
        <v>13339</v>
      </c>
      <c r="F19005" t="s">
        <v>2307</v>
      </c>
      <c r="G19005" t="s">
        <v>65</v>
      </c>
      <c r="H19005">
        <v>44135</v>
      </c>
      <c r="I19005" t="s">
        <v>30</v>
      </c>
      <c r="J19005" t="s">
        <v>171</v>
      </c>
      <c r="K19005" t="s">
        <v>653</v>
      </c>
      <c r="N19005" t="s">
        <v>2798</v>
      </c>
      <c r="Q19005">
        <v>0</v>
      </c>
      <c r="R19005">
        <v>147</v>
      </c>
      <c r="S19005">
        <v>0</v>
      </c>
      <c r="T19005" t="s">
        <v>13340</v>
      </c>
    </row>
    <row r="19006" spans="1:20" customFormat="1" ht="15" x14ac:dyDescent="0.25">
      <c r="A19006" t="s">
        <v>24</v>
      </c>
      <c r="B19006" t="s">
        <v>13347</v>
      </c>
      <c r="C19006" t="str">
        <f>"A0187387"</f>
        <v>A0187387</v>
      </c>
      <c r="D19006" t="s">
        <v>13348</v>
      </c>
      <c r="E19006" t="s">
        <v>13349</v>
      </c>
      <c r="F19006" t="s">
        <v>13350</v>
      </c>
      <c r="G19006" t="s">
        <v>110</v>
      </c>
      <c r="H19006">
        <v>95005</v>
      </c>
      <c r="I19006" t="s">
        <v>30</v>
      </c>
      <c r="J19006" t="s">
        <v>171</v>
      </c>
      <c r="K19006" t="s">
        <v>315</v>
      </c>
      <c r="N19006" t="s">
        <v>13351</v>
      </c>
      <c r="Q19006">
        <v>0</v>
      </c>
      <c r="R19006">
        <v>25</v>
      </c>
      <c r="S19006">
        <v>0</v>
      </c>
      <c r="T19006" t="s">
        <v>13352</v>
      </c>
    </row>
    <row r="19007" spans="1:20" customFormat="1" ht="15" x14ac:dyDescent="0.25">
      <c r="A19007" t="s">
        <v>24</v>
      </c>
      <c r="B19007" t="s">
        <v>13422</v>
      </c>
      <c r="C19007" t="str">
        <f>"A0187398"</f>
        <v>A0187398</v>
      </c>
      <c r="D19007" t="s">
        <v>13423</v>
      </c>
      <c r="E19007" t="s">
        <v>13424</v>
      </c>
      <c r="F19007" t="s">
        <v>3961</v>
      </c>
      <c r="G19007" t="s">
        <v>3236</v>
      </c>
      <c r="H19007">
        <v>57783</v>
      </c>
      <c r="I19007" t="s">
        <v>30</v>
      </c>
      <c r="J19007" t="s">
        <v>171</v>
      </c>
      <c r="K19007" t="s">
        <v>315</v>
      </c>
      <c r="N19007" t="s">
        <v>13425</v>
      </c>
      <c r="Q19007">
        <v>0</v>
      </c>
      <c r="R19007">
        <v>40</v>
      </c>
      <c r="S19007">
        <v>0</v>
      </c>
      <c r="T19007" t="s">
        <v>13426</v>
      </c>
    </row>
    <row r="19008" spans="1:20" customFormat="1" ht="15" x14ac:dyDescent="0.25">
      <c r="A19008" t="s">
        <v>24</v>
      </c>
      <c r="B19008" t="s">
        <v>193</v>
      </c>
      <c r="C19008" t="str">
        <f>"A0087732"</f>
        <v>A0087732</v>
      </c>
      <c r="D19008" t="s">
        <v>13501</v>
      </c>
      <c r="E19008" t="s">
        <v>13502</v>
      </c>
      <c r="F19008" t="s">
        <v>3154</v>
      </c>
      <c r="G19008" t="s">
        <v>1170</v>
      </c>
      <c r="H19008">
        <v>70508</v>
      </c>
      <c r="I19008" t="s">
        <v>30</v>
      </c>
      <c r="J19008" t="s">
        <v>171</v>
      </c>
      <c r="K19008" t="s">
        <v>13503</v>
      </c>
      <c r="N19008" t="s">
        <v>13504</v>
      </c>
      <c r="Q19008">
        <v>0</v>
      </c>
      <c r="R19008">
        <v>295</v>
      </c>
      <c r="S19008">
        <v>0</v>
      </c>
      <c r="T19008" t="s">
        <v>13505</v>
      </c>
    </row>
    <row r="19009" spans="1:20" customFormat="1" ht="15" x14ac:dyDescent="0.25">
      <c r="A19009" t="s">
        <v>24</v>
      </c>
      <c r="B19009" t="s">
        <v>13631</v>
      </c>
      <c r="C19009" t="str">
        <f>"A0087127"</f>
        <v>A0087127</v>
      </c>
      <c r="D19009" t="s">
        <v>13632</v>
      </c>
      <c r="E19009" t="s">
        <v>13633</v>
      </c>
      <c r="F19009" t="s">
        <v>13634</v>
      </c>
      <c r="G19009" t="s">
        <v>190</v>
      </c>
      <c r="H19009">
        <v>80021</v>
      </c>
      <c r="I19009" t="s">
        <v>30</v>
      </c>
      <c r="J19009" t="s">
        <v>171</v>
      </c>
      <c r="K19009" t="s">
        <v>1202</v>
      </c>
      <c r="N19009" t="s">
        <v>13635</v>
      </c>
      <c r="Q19009">
        <v>0</v>
      </c>
      <c r="R19009">
        <v>137</v>
      </c>
      <c r="S19009">
        <v>0</v>
      </c>
      <c r="T19009" t="s">
        <v>13636</v>
      </c>
    </row>
    <row r="19010" spans="1:20" customFormat="1" ht="15" x14ac:dyDescent="0.25">
      <c r="A19010" t="s">
        <v>24</v>
      </c>
      <c r="B19010" t="s">
        <v>13684</v>
      </c>
      <c r="C19010" t="str">
        <f>"A0058926"</f>
        <v>A0058926</v>
      </c>
      <c r="D19010" t="s">
        <v>13694</v>
      </c>
      <c r="E19010" t="s">
        <v>13695</v>
      </c>
      <c r="F19010" t="s">
        <v>13696</v>
      </c>
      <c r="G19010" t="s">
        <v>110</v>
      </c>
      <c r="H19010">
        <v>96150</v>
      </c>
      <c r="I19010" t="s">
        <v>30</v>
      </c>
      <c r="J19010" t="s">
        <v>171</v>
      </c>
      <c r="K19010" t="s">
        <v>13697</v>
      </c>
      <c r="N19010" t="s">
        <v>13698</v>
      </c>
      <c r="O19010" t="s">
        <v>13699</v>
      </c>
      <c r="Q19010">
        <v>0</v>
      </c>
      <c r="R19010">
        <v>119</v>
      </c>
      <c r="S19010">
        <v>0</v>
      </c>
      <c r="T19010" t="s">
        <v>13700</v>
      </c>
    </row>
    <row r="19011" spans="1:20" customFormat="1" ht="15" hidden="1" x14ac:dyDescent="0.25">
      <c r="A19011" t="s">
        <v>24</v>
      </c>
      <c r="B19011" t="s">
        <v>70101</v>
      </c>
      <c r="C19011" t="str">
        <f>"A0153230"</f>
        <v>A0153230</v>
      </c>
      <c r="D19011" t="s">
        <v>70102</v>
      </c>
      <c r="E19011" t="s">
        <v>70103</v>
      </c>
      <c r="F19011" t="s">
        <v>59059</v>
      </c>
      <c r="G19011" t="s">
        <v>1457</v>
      </c>
      <c r="H19011" t="s">
        <v>70104</v>
      </c>
      <c r="I19011" t="s">
        <v>1459</v>
      </c>
      <c r="J19011" t="s">
        <v>162</v>
      </c>
      <c r="K19011" t="s">
        <v>854</v>
      </c>
      <c r="N19011" t="s">
        <v>70105</v>
      </c>
      <c r="Q19011">
        <v>0</v>
      </c>
      <c r="R19011">
        <v>126</v>
      </c>
      <c r="S19011">
        <v>0</v>
      </c>
      <c r="T19011" t="s">
        <v>70106</v>
      </c>
    </row>
    <row r="19012" spans="1:20" customFormat="1" ht="15" x14ac:dyDescent="0.25">
      <c r="A19012" t="s">
        <v>24</v>
      </c>
      <c r="B19012" t="s">
        <v>13720</v>
      </c>
      <c r="C19012" t="str">
        <f>"A0186922"</f>
        <v>A0186922</v>
      </c>
      <c r="D19012" t="s">
        <v>13721</v>
      </c>
      <c r="E19012" t="s">
        <v>13722</v>
      </c>
      <c r="F19012" t="s">
        <v>242</v>
      </c>
      <c r="G19012" t="s">
        <v>214</v>
      </c>
      <c r="H19012">
        <v>28277</v>
      </c>
      <c r="I19012" t="s">
        <v>30</v>
      </c>
      <c r="J19012" t="s">
        <v>171</v>
      </c>
      <c r="K19012" t="s">
        <v>2972</v>
      </c>
      <c r="N19012" t="s">
        <v>13723</v>
      </c>
      <c r="O19012" t="s">
        <v>13724</v>
      </c>
      <c r="Q19012">
        <v>0</v>
      </c>
      <c r="R19012">
        <v>135</v>
      </c>
      <c r="S19012">
        <v>0</v>
      </c>
      <c r="T19012" t="s">
        <v>13725</v>
      </c>
    </row>
    <row r="19013" spans="1:20" customFormat="1" ht="15" x14ac:dyDescent="0.25">
      <c r="A19013" t="s">
        <v>24</v>
      </c>
      <c r="B19013" t="s">
        <v>2340</v>
      </c>
      <c r="C19013" t="str">
        <f>"88HM107"</f>
        <v>88HM107</v>
      </c>
      <c r="D19013" t="s">
        <v>70112</v>
      </c>
      <c r="E19013" t="s">
        <v>70113</v>
      </c>
      <c r="F19013" t="s">
        <v>63107</v>
      </c>
      <c r="G19013" t="s">
        <v>899</v>
      </c>
      <c r="H19013">
        <v>1843</v>
      </c>
      <c r="I19013" t="s">
        <v>30</v>
      </c>
      <c r="J19013" t="s">
        <v>31</v>
      </c>
      <c r="K19013" t="s">
        <v>282</v>
      </c>
      <c r="N19013" t="s">
        <v>70114</v>
      </c>
      <c r="O19013" t="s">
        <v>68162</v>
      </c>
      <c r="Q19013">
        <v>0</v>
      </c>
      <c r="R19013">
        <v>126</v>
      </c>
      <c r="S19013">
        <v>0</v>
      </c>
      <c r="T19013" t="s">
        <v>70115</v>
      </c>
    </row>
    <row r="19014" spans="1:20" customFormat="1" ht="15" x14ac:dyDescent="0.25">
      <c r="A19014" t="s">
        <v>24</v>
      </c>
      <c r="B19014" t="s">
        <v>3221</v>
      </c>
      <c r="C19014" t="str">
        <f>"A0069745"</f>
        <v>A0069745</v>
      </c>
      <c r="D19014" t="s">
        <v>70116</v>
      </c>
      <c r="E19014" t="s">
        <v>70117</v>
      </c>
      <c r="F19014" t="s">
        <v>8542</v>
      </c>
      <c r="G19014" t="s">
        <v>1363</v>
      </c>
      <c r="H19014">
        <v>3103</v>
      </c>
      <c r="I19014" t="s">
        <v>30</v>
      </c>
      <c r="J19014" t="s">
        <v>31</v>
      </c>
      <c r="K19014" t="s">
        <v>282</v>
      </c>
      <c r="N19014" t="s">
        <v>70118</v>
      </c>
      <c r="Q19014">
        <v>0</v>
      </c>
      <c r="R19014">
        <v>108</v>
      </c>
      <c r="S19014">
        <v>0</v>
      </c>
      <c r="T19014" t="s">
        <v>70119</v>
      </c>
    </row>
    <row r="19015" spans="1:20" customFormat="1" ht="15" x14ac:dyDescent="0.25">
      <c r="A19015" t="s">
        <v>24</v>
      </c>
      <c r="B19015" t="s">
        <v>4990</v>
      </c>
      <c r="C19015" t="str">
        <f>"A0100336"</f>
        <v>A0100336</v>
      </c>
      <c r="D19015" t="s">
        <v>70120</v>
      </c>
      <c r="E19015" t="s">
        <v>70121</v>
      </c>
      <c r="F19015" t="s">
        <v>70122</v>
      </c>
      <c r="G19015" t="s">
        <v>1898</v>
      </c>
      <c r="H19015">
        <v>50158</v>
      </c>
      <c r="I19015" t="s">
        <v>30</v>
      </c>
      <c r="J19015" t="s">
        <v>31</v>
      </c>
      <c r="K19015" t="s">
        <v>282</v>
      </c>
      <c r="Q19015">
        <v>0</v>
      </c>
      <c r="R19015">
        <v>93</v>
      </c>
      <c r="S19015">
        <v>0</v>
      </c>
      <c r="T19015" t="s">
        <v>70123</v>
      </c>
    </row>
    <row r="19016" spans="1:20" customFormat="1" ht="15" x14ac:dyDescent="0.25">
      <c r="A19016" t="s">
        <v>24</v>
      </c>
      <c r="B19016" t="s">
        <v>5843</v>
      </c>
      <c r="C19016" t="str">
        <f>"SF07062"</f>
        <v>SF07062</v>
      </c>
      <c r="D19016" t="s">
        <v>70124</v>
      </c>
      <c r="E19016" t="s">
        <v>70125</v>
      </c>
      <c r="F19016" t="s">
        <v>36611</v>
      </c>
      <c r="G19016" t="s">
        <v>110</v>
      </c>
      <c r="H19016">
        <v>93955</v>
      </c>
      <c r="I19016" t="s">
        <v>30</v>
      </c>
      <c r="J19016" t="s">
        <v>31</v>
      </c>
      <c r="K19016" t="s">
        <v>282</v>
      </c>
      <c r="N19016" t="s">
        <v>70126</v>
      </c>
      <c r="Q19016">
        <v>0</v>
      </c>
      <c r="R19016">
        <v>143</v>
      </c>
      <c r="S19016">
        <v>0</v>
      </c>
      <c r="T19016" t="s">
        <v>70127</v>
      </c>
    </row>
    <row r="19017" spans="1:20" customFormat="1" ht="15" x14ac:dyDescent="0.25">
      <c r="A19017" t="s">
        <v>24</v>
      </c>
      <c r="B19017" t="s">
        <v>799</v>
      </c>
      <c r="C19017" t="str">
        <f>"A0093868"</f>
        <v>A0093868</v>
      </c>
      <c r="D19017" t="s">
        <v>70128</v>
      </c>
      <c r="E19017" t="s">
        <v>70129</v>
      </c>
      <c r="F19017" t="s">
        <v>34402</v>
      </c>
      <c r="G19017" t="s">
        <v>58</v>
      </c>
      <c r="H19017">
        <v>29464</v>
      </c>
      <c r="I19017" t="s">
        <v>30</v>
      </c>
      <c r="J19017" t="s">
        <v>31</v>
      </c>
      <c r="K19017" t="s">
        <v>282</v>
      </c>
      <c r="N19017" t="s">
        <v>70130</v>
      </c>
      <c r="Q19017">
        <v>0</v>
      </c>
      <c r="R19017">
        <v>116</v>
      </c>
      <c r="S19017">
        <v>0</v>
      </c>
      <c r="T19017" t="s">
        <v>70131</v>
      </c>
    </row>
    <row r="19018" spans="1:20" customFormat="1" ht="15" x14ac:dyDescent="0.25">
      <c r="A19018" t="s">
        <v>24</v>
      </c>
      <c r="B19018" t="s">
        <v>58694</v>
      </c>
      <c r="C19018" t="str">
        <f>"SF09089"</f>
        <v>SF09089</v>
      </c>
      <c r="D19018" t="s">
        <v>70132</v>
      </c>
      <c r="E19018" t="s">
        <v>70133</v>
      </c>
      <c r="F19018" t="s">
        <v>70134</v>
      </c>
      <c r="G19018" t="s">
        <v>85</v>
      </c>
      <c r="H19018">
        <v>72117</v>
      </c>
      <c r="I19018" t="s">
        <v>30</v>
      </c>
      <c r="J19018" t="s">
        <v>31</v>
      </c>
      <c r="K19018" t="s">
        <v>282</v>
      </c>
      <c r="N19018" t="s">
        <v>70135</v>
      </c>
      <c r="Q19018">
        <v>0</v>
      </c>
      <c r="R19018">
        <v>70</v>
      </c>
      <c r="S19018">
        <v>0</v>
      </c>
      <c r="T19018" t="s">
        <v>70136</v>
      </c>
    </row>
    <row r="19019" spans="1:20" customFormat="1" ht="15" x14ac:dyDescent="0.25">
      <c r="A19019" t="s">
        <v>24</v>
      </c>
      <c r="B19019" t="s">
        <v>56967</v>
      </c>
      <c r="C19019" t="str">
        <f>"A0155849"</f>
        <v>A0155849</v>
      </c>
      <c r="D19019" t="s">
        <v>70137</v>
      </c>
      <c r="E19019" t="s">
        <v>70138</v>
      </c>
      <c r="F19019" t="s">
        <v>70139</v>
      </c>
      <c r="G19019" t="s">
        <v>110</v>
      </c>
      <c r="H19019">
        <v>93933</v>
      </c>
      <c r="I19019" t="s">
        <v>30</v>
      </c>
      <c r="J19019" t="s">
        <v>31</v>
      </c>
      <c r="K19019" t="s">
        <v>282</v>
      </c>
      <c r="N19019" t="s">
        <v>70140</v>
      </c>
      <c r="Q19019">
        <v>0</v>
      </c>
      <c r="R19019">
        <v>80</v>
      </c>
      <c r="S19019">
        <v>0</v>
      </c>
      <c r="T19019" t="s">
        <v>70141</v>
      </c>
    </row>
    <row r="19020" spans="1:20" customFormat="1" ht="15" x14ac:dyDescent="0.25">
      <c r="A19020" t="s">
        <v>24</v>
      </c>
      <c r="B19020" t="s">
        <v>58694</v>
      </c>
      <c r="C19020" t="str">
        <f>"A0097004"</f>
        <v>A0097004</v>
      </c>
      <c r="D19020" t="s">
        <v>70142</v>
      </c>
      <c r="E19020" t="s">
        <v>70143</v>
      </c>
      <c r="F19020" t="s">
        <v>54022</v>
      </c>
      <c r="G19020" t="s">
        <v>85</v>
      </c>
      <c r="H19020">
        <v>72015</v>
      </c>
      <c r="I19020" t="s">
        <v>30</v>
      </c>
      <c r="J19020" t="s">
        <v>31</v>
      </c>
      <c r="K19020" t="s">
        <v>282</v>
      </c>
      <c r="N19020" t="s">
        <v>70144</v>
      </c>
      <c r="Q19020">
        <v>0</v>
      </c>
      <c r="R19020">
        <v>85</v>
      </c>
      <c r="S19020">
        <v>0</v>
      </c>
      <c r="T19020" t="s">
        <v>70145</v>
      </c>
    </row>
    <row r="19021" spans="1:20" customFormat="1" ht="15" x14ac:dyDescent="0.25">
      <c r="A19021" t="s">
        <v>24</v>
      </c>
      <c r="B19021" t="s">
        <v>2180</v>
      </c>
      <c r="C19021" t="str">
        <f>"A0098449"</f>
        <v>A0098449</v>
      </c>
      <c r="D19021" t="s">
        <v>70146</v>
      </c>
      <c r="E19021" t="s">
        <v>70147</v>
      </c>
      <c r="F19021" t="s">
        <v>70148</v>
      </c>
      <c r="G19021" t="s">
        <v>1369</v>
      </c>
      <c r="H19021">
        <v>38843</v>
      </c>
      <c r="I19021" t="s">
        <v>30</v>
      </c>
      <c r="J19021" t="s">
        <v>31</v>
      </c>
      <c r="K19021" t="s">
        <v>282</v>
      </c>
      <c r="N19021" t="s">
        <v>70149</v>
      </c>
      <c r="Q19021">
        <v>0</v>
      </c>
      <c r="R19021">
        <v>72</v>
      </c>
      <c r="S19021">
        <v>0</v>
      </c>
      <c r="T19021" t="s">
        <v>70150</v>
      </c>
    </row>
    <row r="19022" spans="1:20" customFormat="1" ht="15" x14ac:dyDescent="0.25">
      <c r="A19022" t="s">
        <v>24</v>
      </c>
      <c r="B19022" t="s">
        <v>2180</v>
      </c>
      <c r="C19022" t="str">
        <f>"A0068511"</f>
        <v>A0068511</v>
      </c>
      <c r="D19022" t="s">
        <v>70151</v>
      </c>
      <c r="E19022" t="s">
        <v>70152</v>
      </c>
      <c r="F19022" t="s">
        <v>65237</v>
      </c>
      <c r="G19022" t="s">
        <v>1369</v>
      </c>
      <c r="H19022">
        <v>38654</v>
      </c>
      <c r="I19022" t="s">
        <v>30</v>
      </c>
      <c r="J19022" t="s">
        <v>31</v>
      </c>
      <c r="K19022" t="s">
        <v>282</v>
      </c>
      <c r="N19022" t="s">
        <v>70153</v>
      </c>
      <c r="Q19022">
        <v>0</v>
      </c>
      <c r="R19022">
        <v>80</v>
      </c>
      <c r="S19022">
        <v>0</v>
      </c>
      <c r="T19022" t="s">
        <v>70154</v>
      </c>
    </row>
    <row r="19023" spans="1:20" customFormat="1" ht="15" hidden="1" x14ac:dyDescent="0.25">
      <c r="A19023" t="s">
        <v>24</v>
      </c>
      <c r="B19023" t="s">
        <v>70155</v>
      </c>
      <c r="C19023" t="str">
        <f>"A0148941"</f>
        <v>A0148941</v>
      </c>
      <c r="D19023" t="s">
        <v>70156</v>
      </c>
      <c r="E19023" t="s">
        <v>70157</v>
      </c>
      <c r="F19023" t="s">
        <v>70158</v>
      </c>
      <c r="G19023" t="s">
        <v>15270</v>
      </c>
      <c r="H19023" t="s">
        <v>70159</v>
      </c>
      <c r="I19023" t="s">
        <v>1459</v>
      </c>
      <c r="J19023" t="s">
        <v>31</v>
      </c>
      <c r="K19023" t="s">
        <v>282</v>
      </c>
      <c r="N19023" t="s">
        <v>70160</v>
      </c>
      <c r="Q19023">
        <v>0</v>
      </c>
      <c r="R19023">
        <v>94</v>
      </c>
      <c r="S19023">
        <v>0</v>
      </c>
      <c r="T19023" t="s">
        <v>70161</v>
      </c>
    </row>
    <row r="19024" spans="1:20" customFormat="1" ht="15" x14ac:dyDescent="0.25">
      <c r="A19024" t="s">
        <v>24</v>
      </c>
      <c r="B19024" t="s">
        <v>57081</v>
      </c>
      <c r="C19024" t="str">
        <f>"A0099981"</f>
        <v>A0099981</v>
      </c>
      <c r="D19024" t="s">
        <v>70162</v>
      </c>
      <c r="E19024" t="s">
        <v>70163</v>
      </c>
      <c r="F19024" t="s">
        <v>70164</v>
      </c>
      <c r="G19024" t="s">
        <v>161</v>
      </c>
      <c r="H19024">
        <v>56007</v>
      </c>
      <c r="I19024" t="s">
        <v>30</v>
      </c>
      <c r="J19024" t="s">
        <v>31</v>
      </c>
      <c r="K19024" t="s">
        <v>282</v>
      </c>
      <c r="N19024" t="s">
        <v>70165</v>
      </c>
      <c r="Q19024">
        <v>0</v>
      </c>
      <c r="R19024">
        <v>66</v>
      </c>
      <c r="S19024">
        <v>0</v>
      </c>
      <c r="T19024" t="s">
        <v>70166</v>
      </c>
    </row>
    <row r="19025" spans="1:20" customFormat="1" ht="15" x14ac:dyDescent="0.25">
      <c r="A19025" t="s">
        <v>24</v>
      </c>
      <c r="B19025" t="s">
        <v>34033</v>
      </c>
      <c r="C19025" t="str">
        <f>"A0101152"</f>
        <v>A0101152</v>
      </c>
      <c r="D19025" t="s">
        <v>70167</v>
      </c>
      <c r="E19025" t="s">
        <v>70168</v>
      </c>
      <c r="F19025" t="s">
        <v>1883</v>
      </c>
      <c r="G19025" t="s">
        <v>846</v>
      </c>
      <c r="H19025">
        <v>30004</v>
      </c>
      <c r="I19025" t="s">
        <v>30</v>
      </c>
      <c r="J19025" t="s">
        <v>31</v>
      </c>
      <c r="K19025" t="s">
        <v>282</v>
      </c>
      <c r="N19025" t="s">
        <v>68590</v>
      </c>
      <c r="O19025" t="s">
        <v>70169</v>
      </c>
      <c r="Q19025">
        <v>0</v>
      </c>
      <c r="R19025">
        <v>124</v>
      </c>
      <c r="S19025">
        <v>0</v>
      </c>
      <c r="T19025" t="s">
        <v>70170</v>
      </c>
    </row>
    <row r="19026" spans="1:20" customFormat="1" ht="15" x14ac:dyDescent="0.25">
      <c r="A19026" t="s">
        <v>24</v>
      </c>
      <c r="B19026" t="s">
        <v>1894</v>
      </c>
      <c r="C19026" t="str">
        <f>"SF05032"</f>
        <v>SF05032</v>
      </c>
      <c r="D19026" t="s">
        <v>70171</v>
      </c>
      <c r="E19026" t="s">
        <v>70172</v>
      </c>
      <c r="F19026" t="s">
        <v>12212</v>
      </c>
      <c r="G19026" t="s">
        <v>1898</v>
      </c>
      <c r="H19026">
        <v>50010</v>
      </c>
      <c r="I19026" t="s">
        <v>30</v>
      </c>
      <c r="J19026" t="s">
        <v>31</v>
      </c>
      <c r="K19026" t="s">
        <v>282</v>
      </c>
      <c r="N19026" t="s">
        <v>70173</v>
      </c>
      <c r="Q19026">
        <v>0</v>
      </c>
      <c r="R19026">
        <v>74</v>
      </c>
      <c r="S19026">
        <v>0</v>
      </c>
      <c r="T19026" t="s">
        <v>70174</v>
      </c>
    </row>
    <row r="19027" spans="1:20" customFormat="1" ht="15" x14ac:dyDescent="0.25">
      <c r="A19027" t="s">
        <v>24</v>
      </c>
      <c r="B19027" t="s">
        <v>2340</v>
      </c>
      <c r="C19027" t="str">
        <f>"A0072952"</f>
        <v>A0072952</v>
      </c>
      <c r="D19027" t="s">
        <v>70175</v>
      </c>
      <c r="E19027" t="s">
        <v>70176</v>
      </c>
      <c r="F19027" t="s">
        <v>2531</v>
      </c>
      <c r="G19027" t="s">
        <v>123</v>
      </c>
      <c r="H19027">
        <v>21090</v>
      </c>
      <c r="I19027" t="s">
        <v>30</v>
      </c>
      <c r="J19027" t="s">
        <v>31</v>
      </c>
      <c r="K19027" t="s">
        <v>282</v>
      </c>
      <c r="N19027" t="s">
        <v>70177</v>
      </c>
      <c r="O19027" t="s">
        <v>70178</v>
      </c>
      <c r="Q19027">
        <v>0</v>
      </c>
      <c r="R19027">
        <v>129</v>
      </c>
      <c r="S19027">
        <v>0</v>
      </c>
      <c r="T19027" t="s">
        <v>70179</v>
      </c>
    </row>
    <row r="19028" spans="1:20" customFormat="1" ht="15" x14ac:dyDescent="0.25">
      <c r="A19028" t="s">
        <v>24</v>
      </c>
      <c r="B19028" t="s">
        <v>32773</v>
      </c>
      <c r="C19028" t="str">
        <f>"A0151441"</f>
        <v>A0151441</v>
      </c>
      <c r="D19028" t="s">
        <v>70180</v>
      </c>
      <c r="E19028" t="s">
        <v>70181</v>
      </c>
      <c r="F19028" t="s">
        <v>70182</v>
      </c>
      <c r="G19028" t="s">
        <v>1170</v>
      </c>
      <c r="H19028">
        <v>70767</v>
      </c>
      <c r="I19028" t="s">
        <v>30</v>
      </c>
      <c r="J19028" t="s">
        <v>31</v>
      </c>
      <c r="K19028" t="s">
        <v>282</v>
      </c>
      <c r="N19028" t="s">
        <v>70183</v>
      </c>
      <c r="Q19028">
        <v>0</v>
      </c>
      <c r="R19028">
        <v>88</v>
      </c>
      <c r="S19028">
        <v>0</v>
      </c>
      <c r="T19028" t="s">
        <v>70184</v>
      </c>
    </row>
    <row r="19029" spans="1:20" customFormat="1" ht="15" x14ac:dyDescent="0.25">
      <c r="A19029" t="s">
        <v>24</v>
      </c>
      <c r="B19029" t="s">
        <v>60830</v>
      </c>
      <c r="C19029" t="str">
        <f>"A0095628"</f>
        <v>A0095628</v>
      </c>
      <c r="D19029" t="s">
        <v>70185</v>
      </c>
      <c r="E19029" t="s">
        <v>70186</v>
      </c>
      <c r="F19029" t="s">
        <v>59754</v>
      </c>
      <c r="G19029" t="s">
        <v>1170</v>
      </c>
      <c r="H19029">
        <v>71111</v>
      </c>
      <c r="I19029" t="s">
        <v>30</v>
      </c>
      <c r="J19029" t="s">
        <v>31</v>
      </c>
      <c r="K19029" t="s">
        <v>282</v>
      </c>
      <c r="N19029" t="s">
        <v>70187</v>
      </c>
      <c r="O19029" t="s">
        <v>70188</v>
      </c>
      <c r="Q19029">
        <v>0</v>
      </c>
      <c r="R19029">
        <v>87</v>
      </c>
      <c r="S19029">
        <v>0</v>
      </c>
      <c r="T19029" t="s">
        <v>70189</v>
      </c>
    </row>
    <row r="19030" spans="1:20" customFormat="1" ht="15" x14ac:dyDescent="0.25">
      <c r="A19030" t="s">
        <v>24</v>
      </c>
      <c r="B19030" t="s">
        <v>2812</v>
      </c>
      <c r="C19030" t="str">
        <f>"A0099269"</f>
        <v>A0099269</v>
      </c>
      <c r="D19030" t="s">
        <v>70190</v>
      </c>
      <c r="E19030" t="s">
        <v>70191</v>
      </c>
      <c r="F19030" t="s">
        <v>242</v>
      </c>
      <c r="G19030" t="s">
        <v>214</v>
      </c>
      <c r="H19030">
        <v>28277</v>
      </c>
      <c r="I19030" t="s">
        <v>30</v>
      </c>
      <c r="J19030" t="s">
        <v>31</v>
      </c>
      <c r="K19030" t="s">
        <v>282</v>
      </c>
      <c r="N19030" t="s">
        <v>70192</v>
      </c>
      <c r="O19030" t="s">
        <v>70193</v>
      </c>
      <c r="Q19030">
        <v>0</v>
      </c>
      <c r="R19030">
        <v>123</v>
      </c>
      <c r="S19030">
        <v>0</v>
      </c>
      <c r="T19030" t="s">
        <v>63689</v>
      </c>
    </row>
    <row r="19031" spans="1:20" customFormat="1" ht="15" x14ac:dyDescent="0.25">
      <c r="A19031" t="s">
        <v>24</v>
      </c>
      <c r="B19031" t="s">
        <v>2030</v>
      </c>
      <c r="C19031" t="str">
        <f>"A0095179"</f>
        <v>A0095179</v>
      </c>
      <c r="D19031" t="s">
        <v>70194</v>
      </c>
      <c r="E19031" t="s">
        <v>70195</v>
      </c>
      <c r="F19031" t="s">
        <v>242</v>
      </c>
      <c r="G19031" t="s">
        <v>214</v>
      </c>
      <c r="H19031">
        <v>28269</v>
      </c>
      <c r="I19031" t="s">
        <v>30</v>
      </c>
      <c r="J19031" t="s">
        <v>31</v>
      </c>
      <c r="K19031" t="s">
        <v>282</v>
      </c>
      <c r="N19031" t="s">
        <v>70196</v>
      </c>
      <c r="Q19031">
        <v>0</v>
      </c>
      <c r="R19031">
        <v>82</v>
      </c>
      <c r="S19031">
        <v>0</v>
      </c>
      <c r="T19031" t="s">
        <v>70197</v>
      </c>
    </row>
    <row r="19032" spans="1:20" customFormat="1" ht="15" x14ac:dyDescent="0.25">
      <c r="A19032" t="s">
        <v>24</v>
      </c>
      <c r="B19032" t="s">
        <v>63685</v>
      </c>
      <c r="C19032" t="str">
        <f>"A0099270"</f>
        <v>A0099270</v>
      </c>
      <c r="D19032" t="s">
        <v>70198</v>
      </c>
      <c r="E19032" t="s">
        <v>70199</v>
      </c>
      <c r="F19032" t="s">
        <v>60009</v>
      </c>
      <c r="G19032" t="s">
        <v>214</v>
      </c>
      <c r="H19032">
        <v>28105</v>
      </c>
      <c r="I19032" t="s">
        <v>30</v>
      </c>
      <c r="J19032" t="s">
        <v>31</v>
      </c>
      <c r="K19032" t="s">
        <v>282</v>
      </c>
      <c r="N19032" t="s">
        <v>70200</v>
      </c>
      <c r="Q19032">
        <v>0</v>
      </c>
      <c r="R19032">
        <v>89</v>
      </c>
      <c r="S19032">
        <v>0</v>
      </c>
      <c r="T19032" t="s">
        <v>70201</v>
      </c>
    </row>
    <row r="19033" spans="1:20" customFormat="1" ht="15" x14ac:dyDescent="0.25">
      <c r="A19033" t="s">
        <v>24</v>
      </c>
      <c r="B19033" t="s">
        <v>56373</v>
      </c>
      <c r="C19033" t="str">
        <f>"A0099917"</f>
        <v>A0099917</v>
      </c>
      <c r="D19033" t="s">
        <v>70202</v>
      </c>
      <c r="E19033" t="s">
        <v>70203</v>
      </c>
      <c r="F19033" t="s">
        <v>35106</v>
      </c>
      <c r="G19033" t="s">
        <v>110</v>
      </c>
      <c r="H19033">
        <v>91311</v>
      </c>
      <c r="I19033" t="s">
        <v>30</v>
      </c>
      <c r="J19033" t="s">
        <v>31</v>
      </c>
      <c r="K19033" t="s">
        <v>282</v>
      </c>
      <c r="N19033" t="s">
        <v>70204</v>
      </c>
      <c r="Q19033">
        <v>0</v>
      </c>
      <c r="R19033">
        <v>74</v>
      </c>
      <c r="S19033">
        <v>0</v>
      </c>
      <c r="T19033" t="s">
        <v>70205</v>
      </c>
    </row>
    <row r="19034" spans="1:20" customFormat="1" ht="15" x14ac:dyDescent="0.25">
      <c r="A19034" t="s">
        <v>24</v>
      </c>
      <c r="B19034" t="s">
        <v>9391</v>
      </c>
      <c r="C19034" t="str">
        <f>"A0087202"</f>
        <v>A0087202</v>
      </c>
      <c r="D19034" t="s">
        <v>70206</v>
      </c>
      <c r="E19034" t="s">
        <v>70207</v>
      </c>
      <c r="F19034" t="s">
        <v>1904</v>
      </c>
      <c r="G19034" t="s">
        <v>880</v>
      </c>
      <c r="H19034">
        <v>37402</v>
      </c>
      <c r="I19034" t="s">
        <v>30</v>
      </c>
      <c r="J19034" t="s">
        <v>31</v>
      </c>
      <c r="K19034" t="s">
        <v>282</v>
      </c>
      <c r="N19034" t="s">
        <v>70208</v>
      </c>
      <c r="O19034" t="s">
        <v>70209</v>
      </c>
      <c r="Q19034">
        <v>0</v>
      </c>
      <c r="R19034">
        <v>92</v>
      </c>
      <c r="S19034">
        <v>0</v>
      </c>
      <c r="T19034" t="s">
        <v>70210</v>
      </c>
    </row>
    <row r="19035" spans="1:20" customFormat="1" ht="15" x14ac:dyDescent="0.25">
      <c r="A19035" t="s">
        <v>24</v>
      </c>
      <c r="B19035" t="s">
        <v>5357</v>
      </c>
      <c r="C19035" t="str">
        <f>"A0087259"</f>
        <v>A0087259</v>
      </c>
      <c r="D19035" t="s">
        <v>70211</v>
      </c>
      <c r="E19035" t="s">
        <v>70212</v>
      </c>
      <c r="F19035" t="s">
        <v>64761</v>
      </c>
      <c r="G19035" t="s">
        <v>110</v>
      </c>
      <c r="H19035">
        <v>93612</v>
      </c>
      <c r="I19035" t="s">
        <v>30</v>
      </c>
      <c r="J19035" t="s">
        <v>31</v>
      </c>
      <c r="K19035" t="s">
        <v>282</v>
      </c>
      <c r="N19035" t="s">
        <v>70213</v>
      </c>
      <c r="Q19035">
        <v>0</v>
      </c>
      <c r="R19035">
        <v>91</v>
      </c>
      <c r="S19035">
        <v>0</v>
      </c>
      <c r="T19035" t="s">
        <v>70214</v>
      </c>
    </row>
    <row r="19036" spans="1:20" customFormat="1" ht="15" x14ac:dyDescent="0.25">
      <c r="A19036" t="s">
        <v>24</v>
      </c>
      <c r="B19036" t="s">
        <v>11523</v>
      </c>
      <c r="C19036" t="str">
        <f>"SF04829"</f>
        <v>SF04829</v>
      </c>
      <c r="D19036" t="s">
        <v>70215</v>
      </c>
      <c r="E19036" t="s">
        <v>70216</v>
      </c>
      <c r="F19036" t="s">
        <v>4909</v>
      </c>
      <c r="G19036" t="s">
        <v>58</v>
      </c>
      <c r="H19036">
        <v>29212</v>
      </c>
      <c r="I19036" t="s">
        <v>30</v>
      </c>
      <c r="J19036" t="s">
        <v>31</v>
      </c>
      <c r="K19036" t="s">
        <v>282</v>
      </c>
      <c r="N19036" t="s">
        <v>55754</v>
      </c>
      <c r="O19036" t="s">
        <v>70217</v>
      </c>
      <c r="Q19036">
        <v>0</v>
      </c>
      <c r="R19036">
        <v>82</v>
      </c>
      <c r="S19036">
        <v>0</v>
      </c>
      <c r="T19036" t="s">
        <v>70218</v>
      </c>
    </row>
    <row r="19037" spans="1:20" customFormat="1" ht="15" x14ac:dyDescent="0.25">
      <c r="A19037" t="s">
        <v>24</v>
      </c>
      <c r="B19037" t="s">
        <v>55128</v>
      </c>
      <c r="C19037" t="str">
        <f>"A0091965"</f>
        <v>A0091965</v>
      </c>
      <c r="D19037" t="s">
        <v>70219</v>
      </c>
      <c r="E19037" t="s">
        <v>70220</v>
      </c>
      <c r="F19037" t="s">
        <v>1525</v>
      </c>
      <c r="G19037" t="s">
        <v>65</v>
      </c>
      <c r="H19037">
        <v>43230</v>
      </c>
      <c r="I19037" t="s">
        <v>30</v>
      </c>
      <c r="J19037" t="s">
        <v>31</v>
      </c>
      <c r="K19037" t="s">
        <v>282</v>
      </c>
      <c r="N19037" t="s">
        <v>9347</v>
      </c>
      <c r="O19037" t="s">
        <v>70221</v>
      </c>
      <c r="Q19037">
        <v>0</v>
      </c>
      <c r="R19037">
        <v>100</v>
      </c>
      <c r="S19037">
        <v>0</v>
      </c>
      <c r="T19037" t="s">
        <v>70222</v>
      </c>
    </row>
    <row r="19038" spans="1:20" customFormat="1" ht="15" x14ac:dyDescent="0.25">
      <c r="A19038" t="s">
        <v>24</v>
      </c>
      <c r="B19038" t="s">
        <v>5564</v>
      </c>
      <c r="C19038" t="str">
        <f>"A0154207"</f>
        <v>A0154207</v>
      </c>
      <c r="D19038" t="s">
        <v>70223</v>
      </c>
      <c r="E19038" t="s">
        <v>70224</v>
      </c>
      <c r="F19038" t="s">
        <v>64810</v>
      </c>
      <c r="G19038" t="s">
        <v>846</v>
      </c>
      <c r="H19038">
        <v>31015</v>
      </c>
      <c r="I19038" t="s">
        <v>30</v>
      </c>
      <c r="J19038" t="s">
        <v>31</v>
      </c>
      <c r="K19038" t="s">
        <v>282</v>
      </c>
      <c r="N19038" t="s">
        <v>70225</v>
      </c>
      <c r="Q19038">
        <v>0</v>
      </c>
      <c r="R19038">
        <v>71</v>
      </c>
      <c r="S19038">
        <v>0</v>
      </c>
      <c r="T19038" t="s">
        <v>70226</v>
      </c>
    </row>
    <row r="19039" spans="1:20" customFormat="1" ht="15" x14ac:dyDescent="0.25">
      <c r="A19039" t="s">
        <v>24</v>
      </c>
      <c r="B19039" t="s">
        <v>64929</v>
      </c>
      <c r="C19039" t="str">
        <f>"A0075853"</f>
        <v>A0075853</v>
      </c>
      <c r="D19039" t="s">
        <v>70227</v>
      </c>
      <c r="E19039" t="s">
        <v>70228</v>
      </c>
      <c r="F19039" t="s">
        <v>5101</v>
      </c>
      <c r="G19039" t="s">
        <v>52</v>
      </c>
      <c r="H19039">
        <v>75052</v>
      </c>
      <c r="I19039" t="s">
        <v>30</v>
      </c>
      <c r="J19039" t="s">
        <v>31</v>
      </c>
      <c r="K19039" t="s">
        <v>282</v>
      </c>
      <c r="N19039" t="s">
        <v>1116</v>
      </c>
      <c r="Q19039">
        <v>0</v>
      </c>
      <c r="R19039">
        <v>70</v>
      </c>
      <c r="S19039">
        <v>0</v>
      </c>
      <c r="T19039" t="s">
        <v>1133</v>
      </c>
    </row>
    <row r="19040" spans="1:20" customFormat="1" ht="15" x14ac:dyDescent="0.25">
      <c r="A19040" t="s">
        <v>24</v>
      </c>
      <c r="B19040" t="s">
        <v>8366</v>
      </c>
      <c r="C19040" t="str">
        <f>"A0100523"</f>
        <v>A0100523</v>
      </c>
      <c r="D19040" t="s">
        <v>70229</v>
      </c>
      <c r="E19040" t="s">
        <v>70230</v>
      </c>
      <c r="F19040" t="s">
        <v>2094</v>
      </c>
      <c r="G19040" t="s">
        <v>52</v>
      </c>
      <c r="H19040">
        <v>75220</v>
      </c>
      <c r="I19040" t="s">
        <v>30</v>
      </c>
      <c r="J19040" t="s">
        <v>31</v>
      </c>
      <c r="K19040" t="s">
        <v>282</v>
      </c>
      <c r="N19040" t="s">
        <v>8369</v>
      </c>
      <c r="O19040" t="s">
        <v>70231</v>
      </c>
      <c r="Q19040">
        <v>0</v>
      </c>
      <c r="R19040">
        <v>104</v>
      </c>
      <c r="S19040">
        <v>0</v>
      </c>
      <c r="T19040" t="s">
        <v>70232</v>
      </c>
    </row>
    <row r="19041" spans="1:20" customFormat="1" ht="15" x14ac:dyDescent="0.25">
      <c r="A19041" t="s">
        <v>24</v>
      </c>
      <c r="B19041" t="s">
        <v>7427</v>
      </c>
      <c r="C19041" t="str">
        <f>"A0084667"</f>
        <v>A0084667</v>
      </c>
      <c r="D19041" t="s">
        <v>70233</v>
      </c>
      <c r="E19041" t="s">
        <v>70234</v>
      </c>
      <c r="F19041" t="s">
        <v>37184</v>
      </c>
      <c r="G19041" t="s">
        <v>52</v>
      </c>
      <c r="H19041">
        <v>75115</v>
      </c>
      <c r="I19041" t="s">
        <v>30</v>
      </c>
      <c r="J19041" t="s">
        <v>31</v>
      </c>
      <c r="K19041" t="s">
        <v>282</v>
      </c>
      <c r="N19041" t="s">
        <v>70235</v>
      </c>
      <c r="Q19041">
        <v>0</v>
      </c>
      <c r="R19041">
        <v>109</v>
      </c>
      <c r="S19041">
        <v>0</v>
      </c>
      <c r="T19041" t="s">
        <v>70236</v>
      </c>
    </row>
    <row r="19042" spans="1:20" customFormat="1" ht="15" x14ac:dyDescent="0.25">
      <c r="A19042" t="s">
        <v>24</v>
      </c>
      <c r="B19042" t="s">
        <v>56952</v>
      </c>
      <c r="C19042" t="str">
        <f>"A0094985"</f>
        <v>A0094985</v>
      </c>
      <c r="D19042" t="s">
        <v>70237</v>
      </c>
      <c r="E19042" t="s">
        <v>70238</v>
      </c>
      <c r="F19042" t="s">
        <v>56955</v>
      </c>
      <c r="G19042" t="s">
        <v>190</v>
      </c>
      <c r="H19042">
        <v>80109</v>
      </c>
      <c r="I19042" t="s">
        <v>30</v>
      </c>
      <c r="J19042" t="s">
        <v>31</v>
      </c>
      <c r="K19042" t="s">
        <v>282</v>
      </c>
      <c r="N19042" t="s">
        <v>56956</v>
      </c>
      <c r="Q19042">
        <v>0</v>
      </c>
      <c r="R19042">
        <v>84</v>
      </c>
      <c r="S19042">
        <v>0</v>
      </c>
      <c r="T19042" t="s">
        <v>70239</v>
      </c>
    </row>
    <row r="19043" spans="1:20" customFormat="1" ht="15" x14ac:dyDescent="0.25">
      <c r="A19043" t="s">
        <v>24</v>
      </c>
      <c r="B19043" t="s">
        <v>2583</v>
      </c>
      <c r="C19043" t="str">
        <f>"A0153105"</f>
        <v>A0153105</v>
      </c>
      <c r="D19043" t="s">
        <v>70240</v>
      </c>
      <c r="E19043" t="s">
        <v>70241</v>
      </c>
      <c r="F19043" t="s">
        <v>70242</v>
      </c>
      <c r="G19043" t="s">
        <v>71</v>
      </c>
      <c r="H19043">
        <v>53121</v>
      </c>
      <c r="I19043" t="s">
        <v>30</v>
      </c>
      <c r="J19043" t="s">
        <v>31</v>
      </c>
      <c r="K19043" t="s">
        <v>282</v>
      </c>
      <c r="N19043" t="s">
        <v>70243</v>
      </c>
      <c r="Q19043">
        <v>0</v>
      </c>
      <c r="R19043">
        <v>83</v>
      </c>
      <c r="S19043">
        <v>0</v>
      </c>
      <c r="T19043" t="s">
        <v>70244</v>
      </c>
    </row>
    <row r="19044" spans="1:20" customFormat="1" ht="15" x14ac:dyDescent="0.25">
      <c r="A19044" t="s">
        <v>24</v>
      </c>
      <c r="B19044" t="s">
        <v>57095</v>
      </c>
      <c r="C19044" t="str">
        <f>"A0151281"</f>
        <v>A0151281</v>
      </c>
      <c r="D19044" t="s">
        <v>70245</v>
      </c>
      <c r="E19044" t="s">
        <v>70246</v>
      </c>
      <c r="F19044" t="s">
        <v>70247</v>
      </c>
      <c r="G19044" t="s">
        <v>221</v>
      </c>
      <c r="H19044">
        <v>89801</v>
      </c>
      <c r="I19044" t="s">
        <v>30</v>
      </c>
      <c r="J19044" t="s">
        <v>31</v>
      </c>
      <c r="K19044" t="s">
        <v>282</v>
      </c>
      <c r="N19044" t="s">
        <v>70248</v>
      </c>
      <c r="Q19044">
        <v>0</v>
      </c>
      <c r="R19044">
        <v>98</v>
      </c>
      <c r="S19044">
        <v>0</v>
      </c>
      <c r="T19044" t="s">
        <v>70249</v>
      </c>
    </row>
    <row r="19045" spans="1:20" customFormat="1" ht="15" x14ac:dyDescent="0.25">
      <c r="A19045" t="s">
        <v>24</v>
      </c>
      <c r="B19045" t="s">
        <v>8523</v>
      </c>
      <c r="C19045" t="str">
        <f>"A0093642"</f>
        <v>A0093642</v>
      </c>
      <c r="D19045" t="s">
        <v>70250</v>
      </c>
      <c r="E19045" t="s">
        <v>70251</v>
      </c>
      <c r="F19045" t="s">
        <v>70252</v>
      </c>
      <c r="G19045" t="s">
        <v>85</v>
      </c>
      <c r="H19045">
        <v>72335</v>
      </c>
      <c r="I19045" t="s">
        <v>30</v>
      </c>
      <c r="J19045" t="s">
        <v>31</v>
      </c>
      <c r="K19045" t="s">
        <v>282</v>
      </c>
      <c r="N19045" t="s">
        <v>70253</v>
      </c>
      <c r="O19045" t="s">
        <v>70254</v>
      </c>
      <c r="Q19045">
        <v>0</v>
      </c>
      <c r="R19045">
        <v>82</v>
      </c>
      <c r="S19045">
        <v>0</v>
      </c>
      <c r="T19045" t="s">
        <v>70255</v>
      </c>
    </row>
    <row r="19046" spans="1:20" customFormat="1" ht="15" hidden="1" x14ac:dyDescent="0.25">
      <c r="A19046" t="s">
        <v>24</v>
      </c>
      <c r="B19046" t="s">
        <v>58099</v>
      </c>
      <c r="C19046" t="str">
        <f>"A0093904"</f>
        <v>A0093904</v>
      </c>
      <c r="D19046" t="s">
        <v>70256</v>
      </c>
      <c r="E19046" t="s">
        <v>70257</v>
      </c>
      <c r="F19046" t="s">
        <v>68115</v>
      </c>
      <c r="G19046" t="s">
        <v>1457</v>
      </c>
      <c r="H19046" t="s">
        <v>70258</v>
      </c>
      <c r="I19046" t="s">
        <v>1459</v>
      </c>
      <c r="J19046" t="s">
        <v>31</v>
      </c>
      <c r="K19046" t="s">
        <v>282</v>
      </c>
      <c r="N19046" t="s">
        <v>70259</v>
      </c>
      <c r="Q19046">
        <v>0</v>
      </c>
      <c r="R19046">
        <v>128</v>
      </c>
      <c r="S19046">
        <v>0</v>
      </c>
      <c r="T19046" t="s">
        <v>70260</v>
      </c>
    </row>
    <row r="19047" spans="1:20" customFormat="1" ht="15" x14ac:dyDescent="0.25">
      <c r="A19047" t="s">
        <v>24</v>
      </c>
      <c r="B19047" t="s">
        <v>34201</v>
      </c>
      <c r="C19047" t="str">
        <f>"A0096238"</f>
        <v>A0096238</v>
      </c>
      <c r="D19047" t="s">
        <v>70261</v>
      </c>
      <c r="E19047" t="s">
        <v>70262</v>
      </c>
      <c r="F19047" t="s">
        <v>70263</v>
      </c>
      <c r="G19047" t="s">
        <v>289</v>
      </c>
      <c r="H19047">
        <v>61401</v>
      </c>
      <c r="I19047" t="s">
        <v>30</v>
      </c>
      <c r="J19047" t="s">
        <v>31</v>
      </c>
      <c r="K19047" t="s">
        <v>282</v>
      </c>
      <c r="N19047" t="s">
        <v>70264</v>
      </c>
      <c r="Q19047">
        <v>0</v>
      </c>
      <c r="R19047">
        <v>81</v>
      </c>
      <c r="S19047">
        <v>0</v>
      </c>
      <c r="T19047" t="s">
        <v>70265</v>
      </c>
    </row>
    <row r="19048" spans="1:20" customFormat="1" ht="15" x14ac:dyDescent="0.25">
      <c r="A19048" t="s">
        <v>24</v>
      </c>
      <c r="B19048" t="s">
        <v>5830</v>
      </c>
      <c r="C19048" t="str">
        <f>"A0094963"</f>
        <v>A0094963</v>
      </c>
      <c r="D19048" t="s">
        <v>70266</v>
      </c>
      <c r="E19048" t="s">
        <v>70267</v>
      </c>
      <c r="F19048" t="s">
        <v>56993</v>
      </c>
      <c r="G19048" t="s">
        <v>214</v>
      </c>
      <c r="H19048">
        <v>27534</v>
      </c>
      <c r="I19048" t="s">
        <v>30</v>
      </c>
      <c r="J19048" t="s">
        <v>31</v>
      </c>
      <c r="K19048" t="s">
        <v>282</v>
      </c>
      <c r="N19048" t="s">
        <v>70268</v>
      </c>
      <c r="Q19048">
        <v>0</v>
      </c>
      <c r="R19048">
        <v>92</v>
      </c>
      <c r="S19048">
        <v>0</v>
      </c>
      <c r="T19048" t="s">
        <v>70269</v>
      </c>
    </row>
    <row r="19049" spans="1:20" customFormat="1" ht="15" x14ac:dyDescent="0.25">
      <c r="A19049" t="s">
        <v>24</v>
      </c>
      <c r="B19049" t="s">
        <v>1577</v>
      </c>
      <c r="C19049" t="str">
        <f>"A0098545"</f>
        <v>A0098545</v>
      </c>
      <c r="D19049" t="s">
        <v>70270</v>
      </c>
      <c r="E19049" t="s">
        <v>70271</v>
      </c>
      <c r="F19049" t="s">
        <v>56591</v>
      </c>
      <c r="G19049" t="s">
        <v>1706</v>
      </c>
      <c r="H19049">
        <v>36542</v>
      </c>
      <c r="I19049" t="s">
        <v>30</v>
      </c>
      <c r="J19049" t="s">
        <v>31</v>
      </c>
      <c r="K19049" t="s">
        <v>282</v>
      </c>
      <c r="N19049" t="s">
        <v>70272</v>
      </c>
      <c r="Q19049">
        <v>0</v>
      </c>
      <c r="R19049">
        <v>89</v>
      </c>
      <c r="S19049">
        <v>0</v>
      </c>
      <c r="T19049" t="s">
        <v>70273</v>
      </c>
    </row>
    <row r="19050" spans="1:20" customFormat="1" ht="15" x14ac:dyDescent="0.25">
      <c r="A19050" t="s">
        <v>24</v>
      </c>
      <c r="B19050" t="s">
        <v>1577</v>
      </c>
      <c r="C19050" t="str">
        <f>"A0098552"</f>
        <v>A0098552</v>
      </c>
      <c r="D19050" t="s">
        <v>70274</v>
      </c>
      <c r="E19050" t="s">
        <v>70275</v>
      </c>
      <c r="F19050" t="s">
        <v>53854</v>
      </c>
      <c r="G19050" t="s">
        <v>1369</v>
      </c>
      <c r="H19050">
        <v>39501</v>
      </c>
      <c r="I19050" t="s">
        <v>30</v>
      </c>
      <c r="J19050" t="s">
        <v>31</v>
      </c>
      <c r="K19050" t="s">
        <v>282</v>
      </c>
      <c r="N19050" t="s">
        <v>70276</v>
      </c>
      <c r="Q19050">
        <v>0</v>
      </c>
      <c r="R19050">
        <v>80</v>
      </c>
      <c r="S19050">
        <v>0</v>
      </c>
      <c r="T19050" t="s">
        <v>70277</v>
      </c>
    </row>
    <row r="19051" spans="1:20" customFormat="1" ht="15" x14ac:dyDescent="0.25">
      <c r="A19051" t="s">
        <v>24</v>
      </c>
      <c r="B19051" t="s">
        <v>59142</v>
      </c>
      <c r="C19051" t="str">
        <f>"A0097954"</f>
        <v>A0097954</v>
      </c>
      <c r="D19051" t="s">
        <v>70278</v>
      </c>
      <c r="E19051" t="s">
        <v>70279</v>
      </c>
      <c r="F19051" t="s">
        <v>70280</v>
      </c>
      <c r="G19051" t="s">
        <v>47</v>
      </c>
      <c r="H19051">
        <v>97838</v>
      </c>
      <c r="I19051" t="s">
        <v>30</v>
      </c>
      <c r="J19051" t="s">
        <v>31</v>
      </c>
      <c r="K19051" t="s">
        <v>282</v>
      </c>
      <c r="N19051" t="s">
        <v>70281</v>
      </c>
      <c r="Q19051">
        <v>0</v>
      </c>
      <c r="R19051">
        <v>94</v>
      </c>
      <c r="S19051">
        <v>0</v>
      </c>
      <c r="T19051" t="s">
        <v>70282</v>
      </c>
    </row>
    <row r="19052" spans="1:20" customFormat="1" ht="15" x14ac:dyDescent="0.25">
      <c r="A19052" t="s">
        <v>24</v>
      </c>
      <c r="B19052" t="s">
        <v>55987</v>
      </c>
      <c r="C19052" t="str">
        <f>"A0072153"</f>
        <v>A0072153</v>
      </c>
      <c r="D19052" t="s">
        <v>70283</v>
      </c>
      <c r="E19052" t="s">
        <v>70284</v>
      </c>
      <c r="F19052" t="s">
        <v>2433</v>
      </c>
      <c r="G19052" t="s">
        <v>137</v>
      </c>
      <c r="H19052">
        <v>64057</v>
      </c>
      <c r="I19052" t="s">
        <v>30</v>
      </c>
      <c r="J19052" t="s">
        <v>31</v>
      </c>
      <c r="K19052" t="s">
        <v>282</v>
      </c>
      <c r="N19052" t="s">
        <v>59189</v>
      </c>
      <c r="Q19052">
        <v>0</v>
      </c>
      <c r="R19052">
        <v>91</v>
      </c>
      <c r="S19052">
        <v>0</v>
      </c>
      <c r="T19052" t="s">
        <v>70285</v>
      </c>
    </row>
    <row r="19053" spans="1:20" customFormat="1" ht="15" x14ac:dyDescent="0.25">
      <c r="A19053" t="s">
        <v>24</v>
      </c>
      <c r="B19053" t="s">
        <v>706</v>
      </c>
      <c r="C19053" t="str">
        <f>"A0085614"</f>
        <v>A0085614</v>
      </c>
      <c r="D19053" t="s">
        <v>70286</v>
      </c>
      <c r="E19053" t="s">
        <v>70287</v>
      </c>
      <c r="F19053" t="s">
        <v>5249</v>
      </c>
      <c r="G19053" t="s">
        <v>81</v>
      </c>
      <c r="H19053">
        <v>34461</v>
      </c>
      <c r="I19053" t="s">
        <v>30</v>
      </c>
      <c r="J19053" t="s">
        <v>31</v>
      </c>
      <c r="K19053" t="s">
        <v>282</v>
      </c>
      <c r="N19053" t="s">
        <v>70288</v>
      </c>
      <c r="Q19053">
        <v>0</v>
      </c>
      <c r="R19053">
        <v>75</v>
      </c>
      <c r="S19053">
        <v>0</v>
      </c>
      <c r="T19053" t="s">
        <v>70289</v>
      </c>
    </row>
    <row r="19054" spans="1:20" customFormat="1" ht="15" x14ac:dyDescent="0.25">
      <c r="A19054" t="s">
        <v>24</v>
      </c>
      <c r="B19054" t="s">
        <v>2180</v>
      </c>
      <c r="C19054" t="str">
        <f>"A0099881"</f>
        <v>A0099881</v>
      </c>
      <c r="D19054" t="s">
        <v>70290</v>
      </c>
      <c r="E19054" t="s">
        <v>70291</v>
      </c>
      <c r="F19054" t="s">
        <v>5833</v>
      </c>
      <c r="G19054" t="s">
        <v>880</v>
      </c>
      <c r="H19054">
        <v>38305</v>
      </c>
      <c r="I19054" t="s">
        <v>30</v>
      </c>
      <c r="J19054" t="s">
        <v>31</v>
      </c>
      <c r="K19054" t="s">
        <v>282</v>
      </c>
      <c r="N19054" t="s">
        <v>56984</v>
      </c>
      <c r="Q19054">
        <v>0</v>
      </c>
      <c r="R19054">
        <v>92</v>
      </c>
      <c r="S19054">
        <v>0</v>
      </c>
      <c r="T19054" t="s">
        <v>70292</v>
      </c>
    </row>
    <row r="19055" spans="1:20" customFormat="1" ht="15" x14ac:dyDescent="0.25">
      <c r="A19055" t="s">
        <v>24</v>
      </c>
      <c r="B19055" t="s">
        <v>7421</v>
      </c>
      <c r="C19055" t="str">
        <f>"A0151255"</f>
        <v>A0151255</v>
      </c>
      <c r="D19055" t="s">
        <v>70293</v>
      </c>
      <c r="E19055" t="s">
        <v>70294</v>
      </c>
      <c r="F19055" t="s">
        <v>5833</v>
      </c>
      <c r="G19055" t="s">
        <v>1369</v>
      </c>
      <c r="H19055">
        <v>39208</v>
      </c>
      <c r="I19055" t="s">
        <v>30</v>
      </c>
      <c r="J19055" t="s">
        <v>31</v>
      </c>
      <c r="K19055" t="s">
        <v>282</v>
      </c>
      <c r="N19055" t="s">
        <v>70295</v>
      </c>
      <c r="Q19055">
        <v>0</v>
      </c>
      <c r="R19055">
        <v>80</v>
      </c>
      <c r="S19055">
        <v>0</v>
      </c>
      <c r="T19055" t="s">
        <v>70296</v>
      </c>
    </row>
    <row r="19056" spans="1:20" customFormat="1" ht="15" x14ac:dyDescent="0.25">
      <c r="A19056" t="s">
        <v>24</v>
      </c>
      <c r="B19056" t="s">
        <v>34154</v>
      </c>
      <c r="C19056" t="str">
        <f>"A0101033"</f>
        <v>A0101033</v>
      </c>
      <c r="D19056" t="s">
        <v>70297</v>
      </c>
      <c r="E19056" t="s">
        <v>70298</v>
      </c>
      <c r="F19056" t="s">
        <v>2443</v>
      </c>
      <c r="G19056" t="s">
        <v>81</v>
      </c>
      <c r="H19056">
        <v>32224</v>
      </c>
      <c r="I19056" t="s">
        <v>30</v>
      </c>
      <c r="J19056" t="s">
        <v>31</v>
      </c>
      <c r="K19056" t="s">
        <v>282</v>
      </c>
      <c r="N19056" t="s">
        <v>70299</v>
      </c>
      <c r="O19056" t="s">
        <v>70300</v>
      </c>
      <c r="Q19056">
        <v>0</v>
      </c>
      <c r="R19056">
        <v>104</v>
      </c>
      <c r="S19056">
        <v>0</v>
      </c>
      <c r="T19056" t="s">
        <v>70301</v>
      </c>
    </row>
    <row r="19057" spans="1:20" customFormat="1" ht="15" x14ac:dyDescent="0.25">
      <c r="A19057" t="s">
        <v>24</v>
      </c>
      <c r="B19057" t="s">
        <v>7373</v>
      </c>
      <c r="C19057" t="str">
        <f>"A0154541"</f>
        <v>A0154541</v>
      </c>
      <c r="D19057" t="s">
        <v>70302</v>
      </c>
      <c r="E19057" t="s">
        <v>70303</v>
      </c>
      <c r="F19057" t="s">
        <v>2224</v>
      </c>
      <c r="G19057" t="s">
        <v>52</v>
      </c>
      <c r="H19057">
        <v>78734</v>
      </c>
      <c r="I19057" t="s">
        <v>30</v>
      </c>
      <c r="J19057" t="s">
        <v>31</v>
      </c>
      <c r="K19057" t="s">
        <v>282</v>
      </c>
      <c r="N19057" t="s">
        <v>70304</v>
      </c>
      <c r="O19057" t="s">
        <v>70305</v>
      </c>
      <c r="Q19057">
        <v>0</v>
      </c>
      <c r="R19057">
        <v>88</v>
      </c>
      <c r="S19057">
        <v>0</v>
      </c>
      <c r="T19057" t="s">
        <v>70306</v>
      </c>
    </row>
    <row r="19058" spans="1:20" customFormat="1" ht="15" x14ac:dyDescent="0.25">
      <c r="A19058" t="s">
        <v>24</v>
      </c>
      <c r="B19058" t="s">
        <v>55987</v>
      </c>
      <c r="C19058" t="str">
        <f>"A0068594"</f>
        <v>A0068594</v>
      </c>
      <c r="D19058" t="s">
        <v>70307</v>
      </c>
      <c r="E19058" t="s">
        <v>70308</v>
      </c>
      <c r="F19058" t="s">
        <v>21299</v>
      </c>
      <c r="G19058" t="s">
        <v>925</v>
      </c>
      <c r="H19058">
        <v>66046</v>
      </c>
      <c r="I19058" t="s">
        <v>30</v>
      </c>
      <c r="J19058" t="s">
        <v>31</v>
      </c>
      <c r="K19058" t="s">
        <v>282</v>
      </c>
      <c r="N19058" t="s">
        <v>70309</v>
      </c>
      <c r="O19058" t="s">
        <v>70310</v>
      </c>
      <c r="Q19058">
        <v>0</v>
      </c>
      <c r="R19058">
        <v>78</v>
      </c>
      <c r="S19058">
        <v>0</v>
      </c>
      <c r="T19058" t="s">
        <v>70311</v>
      </c>
    </row>
    <row r="19059" spans="1:20" customFormat="1" ht="15" x14ac:dyDescent="0.25">
      <c r="A19059" t="s">
        <v>24</v>
      </c>
      <c r="B19059" t="s">
        <v>57614</v>
      </c>
      <c r="C19059" t="str">
        <f>"A0100298"</f>
        <v>A0100298</v>
      </c>
      <c r="D19059" t="s">
        <v>70312</v>
      </c>
      <c r="E19059" t="s">
        <v>70313</v>
      </c>
      <c r="F19059" t="s">
        <v>57617</v>
      </c>
      <c r="G19059" t="s">
        <v>925</v>
      </c>
      <c r="H19059">
        <v>66215</v>
      </c>
      <c r="I19059" t="s">
        <v>30</v>
      </c>
      <c r="J19059" t="s">
        <v>31</v>
      </c>
      <c r="K19059" t="s">
        <v>282</v>
      </c>
      <c r="Q19059">
        <v>0</v>
      </c>
      <c r="R19059">
        <v>96</v>
      </c>
      <c r="S19059">
        <v>0</v>
      </c>
      <c r="T19059" t="s">
        <v>70314</v>
      </c>
    </row>
    <row r="19060" spans="1:20" customFormat="1" ht="15" x14ac:dyDescent="0.25">
      <c r="A19060" t="s">
        <v>24</v>
      </c>
      <c r="B19060" t="s">
        <v>1473</v>
      </c>
      <c r="C19060" t="str">
        <f>"A0090387"</f>
        <v>A0090387</v>
      </c>
      <c r="D19060" t="s">
        <v>70315</v>
      </c>
      <c r="E19060" t="s">
        <v>70316</v>
      </c>
      <c r="F19060" t="s">
        <v>70317</v>
      </c>
      <c r="G19060" t="s">
        <v>899</v>
      </c>
      <c r="H19060">
        <v>2346</v>
      </c>
      <c r="I19060" t="s">
        <v>30</v>
      </c>
      <c r="J19060" t="s">
        <v>31</v>
      </c>
      <c r="K19060" t="s">
        <v>282</v>
      </c>
      <c r="N19060" t="s">
        <v>70318</v>
      </c>
      <c r="Q19060">
        <v>0</v>
      </c>
      <c r="R19060">
        <v>83</v>
      </c>
      <c r="S19060">
        <v>0</v>
      </c>
      <c r="T19060" t="s">
        <v>70319</v>
      </c>
    </row>
    <row r="19061" spans="1:20" customFormat="1" ht="15" x14ac:dyDescent="0.25">
      <c r="A19061" t="s">
        <v>24</v>
      </c>
      <c r="B19061" t="s">
        <v>11523</v>
      </c>
      <c r="C19061" t="str">
        <f>"SF08663"</f>
        <v>SF08663</v>
      </c>
      <c r="D19061" t="s">
        <v>70320</v>
      </c>
      <c r="E19061" t="s">
        <v>70321</v>
      </c>
      <c r="F19061" t="s">
        <v>54394</v>
      </c>
      <c r="G19061" t="s">
        <v>81</v>
      </c>
      <c r="H19061">
        <v>32583</v>
      </c>
      <c r="I19061" t="s">
        <v>30</v>
      </c>
      <c r="J19061" t="s">
        <v>31</v>
      </c>
      <c r="K19061" t="s">
        <v>282</v>
      </c>
      <c r="N19061" t="s">
        <v>70322</v>
      </c>
      <c r="Q19061">
        <v>0</v>
      </c>
      <c r="R19061">
        <v>64</v>
      </c>
      <c r="S19061">
        <v>0</v>
      </c>
      <c r="T19061" t="s">
        <v>70323</v>
      </c>
    </row>
    <row r="19062" spans="1:20" customFormat="1" ht="15" x14ac:dyDescent="0.25">
      <c r="A19062" t="s">
        <v>24</v>
      </c>
      <c r="B19062" t="s">
        <v>1577</v>
      </c>
      <c r="C19062" t="str">
        <f>"A0098548"</f>
        <v>A0098548</v>
      </c>
      <c r="D19062" t="s">
        <v>70324</v>
      </c>
      <c r="E19062" t="s">
        <v>70325</v>
      </c>
      <c r="F19062" t="s">
        <v>53883</v>
      </c>
      <c r="G19062" t="s">
        <v>1706</v>
      </c>
      <c r="H19062">
        <v>36606</v>
      </c>
      <c r="I19062" t="s">
        <v>30</v>
      </c>
      <c r="J19062" t="s">
        <v>31</v>
      </c>
      <c r="K19062" t="s">
        <v>282</v>
      </c>
      <c r="N19062" t="s">
        <v>70326</v>
      </c>
      <c r="Q19062">
        <v>0</v>
      </c>
      <c r="R19062">
        <v>60</v>
      </c>
      <c r="S19062">
        <v>0</v>
      </c>
      <c r="T19062" t="s">
        <v>70327</v>
      </c>
    </row>
    <row r="19063" spans="1:20" customFormat="1" ht="15" hidden="1" x14ac:dyDescent="0.25">
      <c r="A19063" t="s">
        <v>24</v>
      </c>
      <c r="B19063" t="s">
        <v>2202</v>
      </c>
      <c r="C19063" t="str">
        <f>"A0154018"</f>
        <v>A0154018</v>
      </c>
      <c r="D19063" t="s">
        <v>70328</v>
      </c>
      <c r="E19063" t="s">
        <v>70329</v>
      </c>
      <c r="F19063" t="s">
        <v>70330</v>
      </c>
      <c r="G19063" t="s">
        <v>2206</v>
      </c>
      <c r="H19063" t="s">
        <v>70331</v>
      </c>
      <c r="I19063" t="s">
        <v>1459</v>
      </c>
      <c r="J19063" t="s">
        <v>31</v>
      </c>
      <c r="K19063" t="s">
        <v>282</v>
      </c>
      <c r="N19063" t="s">
        <v>70332</v>
      </c>
      <c r="Q19063">
        <v>0</v>
      </c>
      <c r="R19063">
        <v>116</v>
      </c>
      <c r="S19063">
        <v>0</v>
      </c>
      <c r="T19063" t="s">
        <v>70333</v>
      </c>
    </row>
    <row r="19064" spans="1:20" customFormat="1" ht="15" x14ac:dyDescent="0.25">
      <c r="A19064" t="s">
        <v>24</v>
      </c>
      <c r="B19064" t="s">
        <v>59080</v>
      </c>
      <c r="C19064" t="str">
        <f>"A0072135"</f>
        <v>A0072135</v>
      </c>
      <c r="D19064" t="s">
        <v>70334</v>
      </c>
      <c r="E19064" t="s">
        <v>70335</v>
      </c>
      <c r="F19064" t="s">
        <v>70336</v>
      </c>
      <c r="G19064" t="s">
        <v>289</v>
      </c>
      <c r="H19064">
        <v>62269</v>
      </c>
      <c r="I19064" t="s">
        <v>30</v>
      </c>
      <c r="J19064" t="s">
        <v>31</v>
      </c>
      <c r="K19064" t="s">
        <v>282</v>
      </c>
      <c r="N19064" t="s">
        <v>70337</v>
      </c>
      <c r="O19064" t="s">
        <v>70338</v>
      </c>
      <c r="Q19064">
        <v>0</v>
      </c>
      <c r="R19064">
        <v>80</v>
      </c>
      <c r="S19064">
        <v>0</v>
      </c>
      <c r="T19064" t="s">
        <v>70339</v>
      </c>
    </row>
    <row r="19065" spans="1:20" customFormat="1" ht="15" x14ac:dyDescent="0.25">
      <c r="A19065" t="s">
        <v>24</v>
      </c>
      <c r="B19065" t="s">
        <v>33375</v>
      </c>
      <c r="C19065" t="str">
        <f>"A0151681"</f>
        <v>A0151681</v>
      </c>
      <c r="D19065" t="s">
        <v>70340</v>
      </c>
      <c r="E19065" t="s">
        <v>70341</v>
      </c>
      <c r="F19065" t="s">
        <v>9244</v>
      </c>
      <c r="G19065" t="s">
        <v>925</v>
      </c>
      <c r="H19065">
        <v>66061</v>
      </c>
      <c r="I19065" t="s">
        <v>30</v>
      </c>
      <c r="J19065" t="s">
        <v>31</v>
      </c>
      <c r="K19065" t="s">
        <v>282</v>
      </c>
      <c r="N19065" t="s">
        <v>70342</v>
      </c>
      <c r="Q19065">
        <v>0</v>
      </c>
      <c r="R19065">
        <v>100</v>
      </c>
      <c r="S19065">
        <v>0</v>
      </c>
      <c r="T19065" t="s">
        <v>70343</v>
      </c>
    </row>
    <row r="19066" spans="1:20" customFormat="1" ht="15" x14ac:dyDescent="0.25">
      <c r="A19066" t="s">
        <v>24</v>
      </c>
      <c r="B19066" t="s">
        <v>1543</v>
      </c>
      <c r="C19066" t="str">
        <f>"A0091990"</f>
        <v>A0091990</v>
      </c>
      <c r="D19066" t="s">
        <v>70344</v>
      </c>
      <c r="E19066" t="s">
        <v>70345</v>
      </c>
      <c r="F19066" t="s">
        <v>67633</v>
      </c>
      <c r="G19066" t="s">
        <v>81</v>
      </c>
      <c r="H19066">
        <v>32703</v>
      </c>
      <c r="I19066" t="s">
        <v>30</v>
      </c>
      <c r="J19066" t="s">
        <v>31</v>
      </c>
      <c r="K19066" t="s">
        <v>282</v>
      </c>
      <c r="N19066" t="s">
        <v>70346</v>
      </c>
      <c r="Q19066">
        <v>0</v>
      </c>
      <c r="R19066">
        <v>77</v>
      </c>
      <c r="S19066">
        <v>0</v>
      </c>
      <c r="T19066" t="s">
        <v>70347</v>
      </c>
    </row>
    <row r="19067" spans="1:20" customFormat="1" ht="15" x14ac:dyDescent="0.25">
      <c r="A19067" t="s">
        <v>24</v>
      </c>
      <c r="B19067" t="s">
        <v>34201</v>
      </c>
      <c r="C19067" t="str">
        <f>"A0095838"</f>
        <v>A0095838</v>
      </c>
      <c r="D19067" t="s">
        <v>70348</v>
      </c>
      <c r="E19067" t="s">
        <v>70349</v>
      </c>
      <c r="F19067" t="s">
        <v>70350</v>
      </c>
      <c r="G19067" t="s">
        <v>289</v>
      </c>
      <c r="H19067">
        <v>61354</v>
      </c>
      <c r="I19067" t="s">
        <v>30</v>
      </c>
      <c r="J19067" t="s">
        <v>31</v>
      </c>
      <c r="K19067" t="s">
        <v>282</v>
      </c>
      <c r="N19067" t="s">
        <v>70351</v>
      </c>
      <c r="Q19067">
        <v>0</v>
      </c>
      <c r="R19067">
        <v>79</v>
      </c>
      <c r="S19067">
        <v>0</v>
      </c>
      <c r="T19067" t="s">
        <v>70352</v>
      </c>
    </row>
    <row r="19068" spans="1:20" customFormat="1" ht="15" x14ac:dyDescent="0.25">
      <c r="A19068" t="s">
        <v>24</v>
      </c>
      <c r="B19068" t="s">
        <v>59080</v>
      </c>
      <c r="C19068" t="str">
        <f>"A0154642"</f>
        <v>A0154642</v>
      </c>
      <c r="D19068" t="s">
        <v>70353</v>
      </c>
      <c r="E19068" t="s">
        <v>70354</v>
      </c>
      <c r="F19068" t="s">
        <v>70355</v>
      </c>
      <c r="G19068" t="s">
        <v>925</v>
      </c>
      <c r="H19068">
        <v>66762</v>
      </c>
      <c r="I19068" t="s">
        <v>30</v>
      </c>
      <c r="J19068" t="s">
        <v>31</v>
      </c>
      <c r="K19068" t="s">
        <v>282</v>
      </c>
      <c r="N19068" t="s">
        <v>70356</v>
      </c>
      <c r="Q19068">
        <v>0</v>
      </c>
      <c r="R19068">
        <v>72</v>
      </c>
      <c r="S19068">
        <v>0</v>
      </c>
      <c r="T19068" t="s">
        <v>70357</v>
      </c>
    </row>
    <row r="19069" spans="1:20" customFormat="1" ht="15" x14ac:dyDescent="0.25">
      <c r="A19069" t="s">
        <v>24</v>
      </c>
      <c r="B19069" t="s">
        <v>58709</v>
      </c>
      <c r="C19069" t="str">
        <f>"A0145438"</f>
        <v>A0145438</v>
      </c>
      <c r="D19069" t="s">
        <v>70358</v>
      </c>
      <c r="E19069" t="s">
        <v>70359</v>
      </c>
      <c r="F19069" t="s">
        <v>70360</v>
      </c>
      <c r="G19069" t="s">
        <v>103</v>
      </c>
      <c r="H19069">
        <v>15317</v>
      </c>
      <c r="I19069" t="s">
        <v>30</v>
      </c>
      <c r="J19069" t="s">
        <v>31</v>
      </c>
      <c r="K19069" t="s">
        <v>282</v>
      </c>
      <c r="N19069" t="s">
        <v>70361</v>
      </c>
      <c r="Q19069">
        <v>0</v>
      </c>
      <c r="R19069">
        <v>90</v>
      </c>
      <c r="S19069">
        <v>0</v>
      </c>
      <c r="T19069" t="s">
        <v>70362</v>
      </c>
    </row>
    <row r="19070" spans="1:20" customFormat="1" ht="15" x14ac:dyDescent="0.25">
      <c r="A19070" t="s">
        <v>24</v>
      </c>
      <c r="B19070" t="s">
        <v>34154</v>
      </c>
      <c r="C19070" t="str">
        <f>"A0093649"</f>
        <v>A0093649</v>
      </c>
      <c r="D19070" t="s">
        <v>70363</v>
      </c>
      <c r="E19070" t="s">
        <v>70364</v>
      </c>
      <c r="F19070" t="s">
        <v>64914</v>
      </c>
      <c r="G19070" t="s">
        <v>81</v>
      </c>
      <c r="H19070">
        <v>34986</v>
      </c>
      <c r="I19070" t="s">
        <v>30</v>
      </c>
      <c r="J19070" t="s">
        <v>31</v>
      </c>
      <c r="K19070" t="s">
        <v>282</v>
      </c>
      <c r="N19070" t="s">
        <v>70365</v>
      </c>
      <c r="Q19070">
        <v>0</v>
      </c>
      <c r="R19070">
        <v>93</v>
      </c>
      <c r="S19070">
        <v>0</v>
      </c>
      <c r="T19070" t="s">
        <v>70366</v>
      </c>
    </row>
    <row r="19071" spans="1:20" customFormat="1" ht="15" x14ac:dyDescent="0.25">
      <c r="A19071" t="s">
        <v>24</v>
      </c>
      <c r="B19071" t="s">
        <v>70367</v>
      </c>
      <c r="C19071" t="str">
        <f>"A0084986"</f>
        <v>A0084986</v>
      </c>
      <c r="D19071" t="s">
        <v>70368</v>
      </c>
      <c r="E19071" t="s">
        <v>70369</v>
      </c>
      <c r="F19071" t="s">
        <v>11800</v>
      </c>
      <c r="G19071" t="s">
        <v>99</v>
      </c>
      <c r="H19071">
        <v>14580</v>
      </c>
      <c r="I19071" t="s">
        <v>30</v>
      </c>
      <c r="J19071" t="s">
        <v>31</v>
      </c>
      <c r="K19071" t="s">
        <v>282</v>
      </c>
      <c r="N19071" t="s">
        <v>70370</v>
      </c>
      <c r="Q19071">
        <v>0</v>
      </c>
      <c r="R19071">
        <v>104</v>
      </c>
      <c r="S19071">
        <v>0</v>
      </c>
      <c r="T19071" t="s">
        <v>70371</v>
      </c>
    </row>
    <row r="19072" spans="1:20" customFormat="1" ht="15" x14ac:dyDescent="0.25">
      <c r="A19072" t="s">
        <v>24</v>
      </c>
      <c r="B19072" t="s">
        <v>70372</v>
      </c>
      <c r="C19072" t="str">
        <f>"A0099865"</f>
        <v>A0099865</v>
      </c>
      <c r="D19072" t="s">
        <v>70373</v>
      </c>
      <c r="E19072" t="s">
        <v>70374</v>
      </c>
      <c r="F19072" t="s">
        <v>61607</v>
      </c>
      <c r="G19072" t="s">
        <v>29</v>
      </c>
      <c r="H19072">
        <v>24151</v>
      </c>
      <c r="I19072" t="s">
        <v>30</v>
      </c>
      <c r="J19072" t="s">
        <v>31</v>
      </c>
      <c r="K19072" t="s">
        <v>282</v>
      </c>
      <c r="N19072" t="s">
        <v>70375</v>
      </c>
      <c r="Q19072">
        <v>0</v>
      </c>
      <c r="R19072">
        <v>63</v>
      </c>
      <c r="S19072">
        <v>0</v>
      </c>
      <c r="T19072" t="s">
        <v>70376</v>
      </c>
    </row>
    <row r="19073" spans="1:20" customFormat="1" ht="15" x14ac:dyDescent="0.25">
      <c r="A19073" t="s">
        <v>24</v>
      </c>
      <c r="B19073" t="s">
        <v>60830</v>
      </c>
      <c r="C19073" t="str">
        <f>"A0053399"</f>
        <v>A0053399</v>
      </c>
      <c r="D19073" t="s">
        <v>70377</v>
      </c>
      <c r="E19073" t="s">
        <v>70378</v>
      </c>
      <c r="F19073" t="s">
        <v>61616</v>
      </c>
      <c r="G19073" t="s">
        <v>1170</v>
      </c>
      <c r="H19073">
        <v>71270</v>
      </c>
      <c r="I19073" t="s">
        <v>30</v>
      </c>
      <c r="J19073" t="s">
        <v>31</v>
      </c>
      <c r="K19073" t="s">
        <v>282</v>
      </c>
      <c r="N19073" t="s">
        <v>70379</v>
      </c>
      <c r="Q19073">
        <v>0</v>
      </c>
      <c r="R19073">
        <v>84</v>
      </c>
      <c r="S19073">
        <v>0</v>
      </c>
      <c r="T19073" t="s">
        <v>70380</v>
      </c>
    </row>
    <row r="19074" spans="1:20" customFormat="1" ht="15" x14ac:dyDescent="0.25">
      <c r="A19074" t="s">
        <v>24</v>
      </c>
      <c r="B19074" t="s">
        <v>2340</v>
      </c>
      <c r="C19074" t="str">
        <f>"A0145807"</f>
        <v>A0145807</v>
      </c>
      <c r="D19074" t="s">
        <v>70381</v>
      </c>
      <c r="E19074" t="s">
        <v>70382</v>
      </c>
      <c r="F19074" t="s">
        <v>356</v>
      </c>
      <c r="G19074" t="s">
        <v>52</v>
      </c>
      <c r="H19074">
        <v>78239</v>
      </c>
      <c r="I19074" t="s">
        <v>30</v>
      </c>
      <c r="J19074" t="s">
        <v>31</v>
      </c>
      <c r="K19074" t="s">
        <v>282</v>
      </c>
      <c r="N19074" t="s">
        <v>70383</v>
      </c>
      <c r="Q19074">
        <v>0</v>
      </c>
      <c r="R19074">
        <v>87</v>
      </c>
      <c r="S19074">
        <v>0</v>
      </c>
      <c r="T19074" t="s">
        <v>70384</v>
      </c>
    </row>
    <row r="19075" spans="1:20" customFormat="1" ht="15" x14ac:dyDescent="0.25">
      <c r="A19075" t="s">
        <v>24</v>
      </c>
      <c r="B19075" t="s">
        <v>58709</v>
      </c>
      <c r="C19075" t="str">
        <f>"A0100324"</f>
        <v>A0100324</v>
      </c>
      <c r="D19075" t="s">
        <v>70385</v>
      </c>
      <c r="E19075" t="s">
        <v>70386</v>
      </c>
      <c r="F19075" t="s">
        <v>68529</v>
      </c>
      <c r="G19075" t="s">
        <v>103</v>
      </c>
      <c r="H19075">
        <v>17870</v>
      </c>
      <c r="I19075" t="s">
        <v>30</v>
      </c>
      <c r="J19075" t="s">
        <v>31</v>
      </c>
      <c r="K19075" t="s">
        <v>282</v>
      </c>
      <c r="N19075" t="s">
        <v>70387</v>
      </c>
      <c r="Q19075">
        <v>0</v>
      </c>
      <c r="R19075">
        <v>74</v>
      </c>
      <c r="S19075">
        <v>0</v>
      </c>
      <c r="T19075" t="s">
        <v>70388</v>
      </c>
    </row>
    <row r="19076" spans="1:20" customFormat="1" ht="15" x14ac:dyDescent="0.25">
      <c r="A19076" t="s">
        <v>24</v>
      </c>
      <c r="B19076" t="s">
        <v>60830</v>
      </c>
      <c r="C19076" t="str">
        <f>"A0095627"</f>
        <v>A0095627</v>
      </c>
      <c r="D19076" t="s">
        <v>70389</v>
      </c>
      <c r="E19076" t="s">
        <v>70390</v>
      </c>
      <c r="F19076" t="s">
        <v>55295</v>
      </c>
      <c r="G19076" t="s">
        <v>1170</v>
      </c>
      <c r="H19076">
        <v>71109</v>
      </c>
      <c r="I19076" t="s">
        <v>30</v>
      </c>
      <c r="J19076" t="s">
        <v>31</v>
      </c>
      <c r="K19076" t="s">
        <v>282</v>
      </c>
      <c r="N19076" t="s">
        <v>70187</v>
      </c>
      <c r="Q19076">
        <v>0</v>
      </c>
      <c r="R19076">
        <v>85</v>
      </c>
      <c r="S19076">
        <v>0</v>
      </c>
      <c r="T19076" t="s">
        <v>70391</v>
      </c>
    </row>
    <row r="19077" spans="1:20" customFormat="1" ht="15" x14ac:dyDescent="0.25">
      <c r="A19077" t="s">
        <v>24</v>
      </c>
      <c r="B19077" t="s">
        <v>60830</v>
      </c>
      <c r="C19077" t="str">
        <f>"A0077476"</f>
        <v>A0077476</v>
      </c>
      <c r="D19077" t="s">
        <v>70392</v>
      </c>
      <c r="E19077" t="s">
        <v>70393</v>
      </c>
      <c r="F19077" t="s">
        <v>15185</v>
      </c>
      <c r="G19077" t="s">
        <v>1170</v>
      </c>
      <c r="H19077">
        <v>71105</v>
      </c>
      <c r="I19077" t="s">
        <v>30</v>
      </c>
      <c r="J19077" t="s">
        <v>31</v>
      </c>
      <c r="K19077" t="s">
        <v>282</v>
      </c>
      <c r="N19077" t="s">
        <v>70394</v>
      </c>
      <c r="Q19077">
        <v>0</v>
      </c>
      <c r="R19077">
        <v>69</v>
      </c>
      <c r="S19077">
        <v>0</v>
      </c>
      <c r="T19077" t="s">
        <v>70395</v>
      </c>
    </row>
    <row r="19078" spans="1:20" customFormat="1" ht="15" x14ac:dyDescent="0.25">
      <c r="A19078" t="s">
        <v>24</v>
      </c>
      <c r="B19078" t="s">
        <v>706</v>
      </c>
      <c r="C19078" t="str">
        <f>"A0096245"</f>
        <v>A0096245</v>
      </c>
      <c r="D19078" t="s">
        <v>70396</v>
      </c>
      <c r="E19078" t="s">
        <v>70397</v>
      </c>
      <c r="F19078" t="s">
        <v>70398</v>
      </c>
      <c r="G19078" t="s">
        <v>81</v>
      </c>
      <c r="H19078">
        <v>34488</v>
      </c>
      <c r="I19078" t="s">
        <v>30</v>
      </c>
      <c r="J19078" t="s">
        <v>31</v>
      </c>
      <c r="K19078" t="s">
        <v>282</v>
      </c>
      <c r="N19078" t="s">
        <v>70399</v>
      </c>
      <c r="Q19078">
        <v>0</v>
      </c>
      <c r="R19078">
        <v>75</v>
      </c>
      <c r="S19078">
        <v>0</v>
      </c>
      <c r="T19078" t="s">
        <v>70400</v>
      </c>
    </row>
    <row r="19079" spans="1:20" customFormat="1" ht="15" x14ac:dyDescent="0.25">
      <c r="A19079" t="s">
        <v>24</v>
      </c>
      <c r="B19079" t="s">
        <v>8405</v>
      </c>
      <c r="C19079" t="str">
        <f>"A0083337"</f>
        <v>A0083337</v>
      </c>
      <c r="D19079" t="s">
        <v>70401</v>
      </c>
      <c r="E19079" t="s">
        <v>70402</v>
      </c>
      <c r="F19079" t="s">
        <v>55882</v>
      </c>
      <c r="G19079" t="s">
        <v>381</v>
      </c>
      <c r="H19079">
        <v>46637</v>
      </c>
      <c r="I19079" t="s">
        <v>30</v>
      </c>
      <c r="J19079" t="s">
        <v>31</v>
      </c>
      <c r="K19079" t="s">
        <v>282</v>
      </c>
      <c r="N19079" t="s">
        <v>70403</v>
      </c>
      <c r="Q19079">
        <v>0</v>
      </c>
      <c r="R19079">
        <v>85</v>
      </c>
      <c r="S19079">
        <v>0</v>
      </c>
      <c r="T19079" t="s">
        <v>70404</v>
      </c>
    </row>
    <row r="19080" spans="1:20" customFormat="1" ht="15" x14ac:dyDescent="0.25">
      <c r="A19080" t="s">
        <v>24</v>
      </c>
      <c r="B19080" t="s">
        <v>8405</v>
      </c>
      <c r="C19080" t="str">
        <f>"A0165457"</f>
        <v>A0165457</v>
      </c>
      <c r="D19080" t="s">
        <v>70405</v>
      </c>
      <c r="E19080" t="s">
        <v>70406</v>
      </c>
      <c r="F19080" t="s">
        <v>55882</v>
      </c>
      <c r="G19080" t="s">
        <v>381</v>
      </c>
      <c r="H19080">
        <v>46614</v>
      </c>
      <c r="I19080" t="s">
        <v>30</v>
      </c>
      <c r="J19080" t="s">
        <v>31</v>
      </c>
      <c r="K19080" t="s">
        <v>282</v>
      </c>
      <c r="N19080" t="s">
        <v>70407</v>
      </c>
      <c r="Q19080">
        <v>0</v>
      </c>
      <c r="R19080">
        <v>82</v>
      </c>
      <c r="S19080">
        <v>0</v>
      </c>
      <c r="T19080" t="s">
        <v>70408</v>
      </c>
    </row>
    <row r="19081" spans="1:20" customFormat="1" ht="15" x14ac:dyDescent="0.25">
      <c r="A19081" t="s">
        <v>24</v>
      </c>
      <c r="B19081" t="s">
        <v>64997</v>
      </c>
      <c r="C19081" t="str">
        <f>"A0095105"</f>
        <v>A0095105</v>
      </c>
      <c r="D19081" t="s">
        <v>70409</v>
      </c>
      <c r="E19081" t="s">
        <v>70410</v>
      </c>
      <c r="F19081" t="s">
        <v>70411</v>
      </c>
      <c r="G19081" t="s">
        <v>214</v>
      </c>
      <c r="H19081">
        <v>28677</v>
      </c>
      <c r="I19081" t="s">
        <v>30</v>
      </c>
      <c r="J19081" t="s">
        <v>31</v>
      </c>
      <c r="K19081" t="s">
        <v>282</v>
      </c>
      <c r="N19081" t="s">
        <v>70412</v>
      </c>
      <c r="Q19081">
        <v>0</v>
      </c>
      <c r="R19081">
        <v>97</v>
      </c>
      <c r="S19081">
        <v>0</v>
      </c>
      <c r="T19081" t="s">
        <v>70413</v>
      </c>
    </row>
    <row r="19082" spans="1:20" customFormat="1" ht="15" x14ac:dyDescent="0.25">
      <c r="A19082" t="s">
        <v>24</v>
      </c>
      <c r="B19082" t="s">
        <v>706</v>
      </c>
      <c r="C19082" t="str">
        <f>"A0072163"</f>
        <v>A0072163</v>
      </c>
      <c r="D19082" t="s">
        <v>70414</v>
      </c>
      <c r="E19082" t="s">
        <v>70415</v>
      </c>
      <c r="F19082" t="s">
        <v>70416</v>
      </c>
      <c r="G19082" t="s">
        <v>81</v>
      </c>
      <c r="H19082">
        <v>32778</v>
      </c>
      <c r="I19082" t="s">
        <v>30</v>
      </c>
      <c r="J19082" t="s">
        <v>31</v>
      </c>
      <c r="K19082" t="s">
        <v>282</v>
      </c>
      <c r="N19082" t="s">
        <v>70417</v>
      </c>
      <c r="Q19082">
        <v>0</v>
      </c>
      <c r="R19082">
        <v>73</v>
      </c>
      <c r="S19082">
        <v>0</v>
      </c>
      <c r="T19082" t="s">
        <v>70418</v>
      </c>
    </row>
    <row r="19083" spans="1:20" customFormat="1" ht="15" x14ac:dyDescent="0.25">
      <c r="A19083" t="s">
        <v>24</v>
      </c>
      <c r="B19083" t="s">
        <v>4855</v>
      </c>
      <c r="C19083" t="str">
        <f>"A0074438"</f>
        <v>A0074438</v>
      </c>
      <c r="D19083" t="s">
        <v>70419</v>
      </c>
      <c r="E19083" t="s">
        <v>70420</v>
      </c>
      <c r="F19083" t="s">
        <v>1592</v>
      </c>
      <c r="G19083" t="s">
        <v>197</v>
      </c>
      <c r="H19083">
        <v>85283</v>
      </c>
      <c r="I19083" t="s">
        <v>30</v>
      </c>
      <c r="J19083" t="s">
        <v>31</v>
      </c>
      <c r="K19083" t="s">
        <v>282</v>
      </c>
      <c r="N19083" t="s">
        <v>70421</v>
      </c>
      <c r="Q19083">
        <v>0</v>
      </c>
      <c r="R19083">
        <v>128</v>
      </c>
      <c r="S19083">
        <v>0</v>
      </c>
      <c r="T19083" t="s">
        <v>70422</v>
      </c>
    </row>
    <row r="19084" spans="1:20" customFormat="1" ht="15" x14ac:dyDescent="0.25">
      <c r="A19084" t="s">
        <v>24</v>
      </c>
      <c r="B19084" t="s">
        <v>62071</v>
      </c>
      <c r="C19084" t="str">
        <f>"A0076387"</f>
        <v>A0076387</v>
      </c>
      <c r="D19084" t="s">
        <v>70423</v>
      </c>
      <c r="E19084" t="s">
        <v>70424</v>
      </c>
      <c r="F19084" t="s">
        <v>70425</v>
      </c>
      <c r="G19084" t="s">
        <v>40</v>
      </c>
      <c r="H19084">
        <v>74012</v>
      </c>
      <c r="I19084" t="s">
        <v>30</v>
      </c>
      <c r="J19084" t="s">
        <v>31</v>
      </c>
      <c r="K19084" t="s">
        <v>282</v>
      </c>
      <c r="N19084" t="s">
        <v>70426</v>
      </c>
      <c r="Q19084">
        <v>0</v>
      </c>
      <c r="R19084">
        <v>120</v>
      </c>
      <c r="S19084">
        <v>0</v>
      </c>
      <c r="T19084" t="s">
        <v>70427</v>
      </c>
    </row>
    <row r="19085" spans="1:20" customFormat="1" ht="15" x14ac:dyDescent="0.25">
      <c r="A19085" t="s">
        <v>24</v>
      </c>
      <c r="B19085" t="s">
        <v>2180</v>
      </c>
      <c r="C19085" t="str">
        <f>"A0072385"</f>
        <v>A0072385</v>
      </c>
      <c r="D19085" t="s">
        <v>70428</v>
      </c>
      <c r="E19085" t="s">
        <v>70429</v>
      </c>
      <c r="F19085" t="s">
        <v>2666</v>
      </c>
      <c r="G19085" t="s">
        <v>1369</v>
      </c>
      <c r="H19085">
        <v>38804</v>
      </c>
      <c r="I19085" t="s">
        <v>30</v>
      </c>
      <c r="J19085" t="s">
        <v>31</v>
      </c>
      <c r="K19085" t="s">
        <v>282</v>
      </c>
      <c r="N19085" t="s">
        <v>70430</v>
      </c>
      <c r="Q19085">
        <v>0</v>
      </c>
      <c r="R19085">
        <v>101</v>
      </c>
      <c r="S19085">
        <v>0</v>
      </c>
      <c r="T19085" t="s">
        <v>70431</v>
      </c>
    </row>
    <row r="19086" spans="1:20" customFormat="1" ht="15" x14ac:dyDescent="0.25">
      <c r="A19086" t="s">
        <v>24</v>
      </c>
      <c r="B19086" t="s">
        <v>60830</v>
      </c>
      <c r="C19086" t="str">
        <f>"A0095629"</f>
        <v>A0095629</v>
      </c>
      <c r="D19086" t="s">
        <v>70432</v>
      </c>
      <c r="E19086" t="s">
        <v>70433</v>
      </c>
      <c r="F19086" t="s">
        <v>69753</v>
      </c>
      <c r="G19086" t="s">
        <v>1170</v>
      </c>
      <c r="H19086">
        <v>71292</v>
      </c>
      <c r="I19086" t="s">
        <v>30</v>
      </c>
      <c r="J19086" t="s">
        <v>31</v>
      </c>
      <c r="K19086" t="s">
        <v>282</v>
      </c>
      <c r="N19086" t="s">
        <v>70434</v>
      </c>
      <c r="Q19086">
        <v>0</v>
      </c>
      <c r="R19086">
        <v>88</v>
      </c>
      <c r="S19086">
        <v>0</v>
      </c>
      <c r="T19086" t="s">
        <v>70435</v>
      </c>
    </row>
    <row r="19087" spans="1:20" customFormat="1" ht="15" x14ac:dyDescent="0.25">
      <c r="A19087" t="s">
        <v>24</v>
      </c>
      <c r="B19087" t="s">
        <v>4341</v>
      </c>
      <c r="C19087" t="str">
        <f>"SF07072"</f>
        <v>SF07072</v>
      </c>
      <c r="D19087" t="s">
        <v>70436</v>
      </c>
      <c r="E19087" t="s">
        <v>70437</v>
      </c>
      <c r="F19087" t="s">
        <v>70438</v>
      </c>
      <c r="G19087" t="s">
        <v>117</v>
      </c>
      <c r="H19087">
        <v>49610</v>
      </c>
      <c r="I19087" t="s">
        <v>30</v>
      </c>
      <c r="J19087" t="s">
        <v>31</v>
      </c>
      <c r="K19087" t="s">
        <v>282</v>
      </c>
      <c r="N19087" t="s">
        <v>70439</v>
      </c>
      <c r="Q19087">
        <v>0</v>
      </c>
      <c r="R19087">
        <v>81</v>
      </c>
      <c r="S19087">
        <v>0</v>
      </c>
      <c r="T19087" t="s">
        <v>70440</v>
      </c>
    </row>
    <row r="19088" spans="1:20" customFormat="1" ht="15" x14ac:dyDescent="0.25">
      <c r="A19088" t="s">
        <v>24</v>
      </c>
      <c r="B19088" t="s">
        <v>2340</v>
      </c>
      <c r="C19088" t="str">
        <f>"A0067680"</f>
        <v>A0067680</v>
      </c>
      <c r="D19088" t="s">
        <v>70441</v>
      </c>
      <c r="E19088" t="s">
        <v>70442</v>
      </c>
      <c r="F19088" t="s">
        <v>356</v>
      </c>
      <c r="G19088" t="s">
        <v>52</v>
      </c>
      <c r="H19088">
        <v>78205</v>
      </c>
      <c r="I19088" t="s">
        <v>30</v>
      </c>
      <c r="J19088" t="s">
        <v>31</v>
      </c>
      <c r="K19088" t="s">
        <v>282</v>
      </c>
      <c r="N19088" t="s">
        <v>70443</v>
      </c>
      <c r="Q19088">
        <v>0</v>
      </c>
      <c r="R19088">
        <v>82</v>
      </c>
      <c r="S19088">
        <v>0</v>
      </c>
      <c r="T19088" t="s">
        <v>70444</v>
      </c>
    </row>
    <row r="19089" spans="1:20" customFormat="1" ht="15" x14ac:dyDescent="0.25">
      <c r="A19089" t="s">
        <v>24</v>
      </c>
      <c r="B19089" t="s">
        <v>2005</v>
      </c>
      <c r="C19089" t="str">
        <f>"A0089324"</f>
        <v>A0089324</v>
      </c>
      <c r="D19089" t="s">
        <v>70445</v>
      </c>
      <c r="E19089" t="s">
        <v>70446</v>
      </c>
      <c r="F19089" t="s">
        <v>34051</v>
      </c>
      <c r="G19089" t="s">
        <v>880</v>
      </c>
      <c r="H19089">
        <v>37701</v>
      </c>
      <c r="I19089" t="s">
        <v>30</v>
      </c>
      <c r="J19089" t="s">
        <v>31</v>
      </c>
      <c r="K19089" t="s">
        <v>282</v>
      </c>
      <c r="N19089" t="s">
        <v>70447</v>
      </c>
      <c r="Q19089">
        <v>0</v>
      </c>
      <c r="R19089">
        <v>80</v>
      </c>
      <c r="S19089">
        <v>0</v>
      </c>
      <c r="T19089" t="s">
        <v>70448</v>
      </c>
    </row>
    <row r="19090" spans="1:20" customFormat="1" ht="15" x14ac:dyDescent="0.25">
      <c r="A19090" t="s">
        <v>24</v>
      </c>
      <c r="B19090" t="s">
        <v>70449</v>
      </c>
      <c r="C19090" t="str">
        <f>"A0091205"</f>
        <v>A0091205</v>
      </c>
      <c r="D19090" t="s">
        <v>70450</v>
      </c>
      <c r="E19090" t="s">
        <v>70451</v>
      </c>
      <c r="F19090" t="s">
        <v>13138</v>
      </c>
      <c r="G19090" t="s">
        <v>103</v>
      </c>
      <c r="H19090">
        <v>18104</v>
      </c>
      <c r="I19090" t="s">
        <v>30</v>
      </c>
      <c r="J19090" t="s">
        <v>31</v>
      </c>
      <c r="K19090" t="s">
        <v>282</v>
      </c>
      <c r="N19090" t="s">
        <v>70452</v>
      </c>
      <c r="O19090" t="s">
        <v>70453</v>
      </c>
      <c r="Q19090">
        <v>0</v>
      </c>
      <c r="R19090">
        <v>80</v>
      </c>
      <c r="S19090">
        <v>0</v>
      </c>
      <c r="T19090" t="s">
        <v>70454</v>
      </c>
    </row>
    <row r="19091" spans="1:20" customFormat="1" ht="15" x14ac:dyDescent="0.25">
      <c r="A19091" t="s">
        <v>24</v>
      </c>
      <c r="B19091" t="s">
        <v>2340</v>
      </c>
      <c r="C19091" t="str">
        <f>"A0096235"</f>
        <v>A0096235</v>
      </c>
      <c r="D19091" t="s">
        <v>70455</v>
      </c>
      <c r="E19091" t="s">
        <v>70456</v>
      </c>
      <c r="F19091" t="s">
        <v>70457</v>
      </c>
      <c r="G19091" t="s">
        <v>103</v>
      </c>
      <c r="H19091">
        <v>16635</v>
      </c>
      <c r="I19091" t="s">
        <v>30</v>
      </c>
      <c r="J19091" t="s">
        <v>31</v>
      </c>
      <c r="K19091" t="s">
        <v>282</v>
      </c>
      <c r="N19091" t="s">
        <v>70458</v>
      </c>
      <c r="Q19091">
        <v>0</v>
      </c>
      <c r="R19091">
        <v>98</v>
      </c>
      <c r="S19091">
        <v>0</v>
      </c>
      <c r="T19091" t="s">
        <v>70459</v>
      </c>
    </row>
    <row r="19092" spans="1:20" customFormat="1" ht="15" x14ac:dyDescent="0.25">
      <c r="A19092" t="s">
        <v>24</v>
      </c>
      <c r="B19092" t="s">
        <v>1020</v>
      </c>
      <c r="C19092" t="str">
        <f>"A0087173"</f>
        <v>A0087173</v>
      </c>
      <c r="D19092" t="s">
        <v>70460</v>
      </c>
      <c r="E19092" t="s">
        <v>70461</v>
      </c>
      <c r="F19092" t="s">
        <v>62466</v>
      </c>
      <c r="G19092" t="s">
        <v>40</v>
      </c>
      <c r="H19092">
        <v>73521</v>
      </c>
      <c r="I19092" t="s">
        <v>30</v>
      </c>
      <c r="J19092" t="s">
        <v>31</v>
      </c>
      <c r="K19092" t="s">
        <v>282</v>
      </c>
      <c r="N19092" t="s">
        <v>70462</v>
      </c>
      <c r="O19092" t="s">
        <v>70463</v>
      </c>
      <c r="Q19092">
        <v>0</v>
      </c>
      <c r="R19092">
        <v>68</v>
      </c>
      <c r="S19092">
        <v>0</v>
      </c>
      <c r="T19092" t="s">
        <v>70464</v>
      </c>
    </row>
    <row r="19093" spans="1:20" customFormat="1" ht="15" x14ac:dyDescent="0.25">
      <c r="A19093" t="s">
        <v>24</v>
      </c>
      <c r="B19093" t="s">
        <v>16448</v>
      </c>
      <c r="C19093" t="str">
        <f>"A0093853"</f>
        <v>A0093853</v>
      </c>
      <c r="D19093" t="s">
        <v>70465</v>
      </c>
      <c r="E19093" t="s">
        <v>70466</v>
      </c>
      <c r="F19093" t="s">
        <v>64410</v>
      </c>
      <c r="G19093" t="s">
        <v>58</v>
      </c>
      <c r="H19093">
        <v>29803</v>
      </c>
      <c r="I19093" t="s">
        <v>30</v>
      </c>
      <c r="J19093" t="s">
        <v>31</v>
      </c>
      <c r="K19093" t="s">
        <v>282</v>
      </c>
      <c r="N19093" t="s">
        <v>58501</v>
      </c>
      <c r="Q19093">
        <v>0</v>
      </c>
      <c r="R19093">
        <v>95</v>
      </c>
      <c r="S19093">
        <v>0</v>
      </c>
      <c r="T19093" t="s">
        <v>70467</v>
      </c>
    </row>
    <row r="19094" spans="1:20" customFormat="1" ht="15" x14ac:dyDescent="0.25">
      <c r="A19094" t="s">
        <v>24</v>
      </c>
      <c r="B19094" t="s">
        <v>34039</v>
      </c>
      <c r="C19094" t="str">
        <f>"A0089695"</f>
        <v>A0089695</v>
      </c>
      <c r="D19094" t="s">
        <v>70468</v>
      </c>
      <c r="E19094" t="s">
        <v>70469</v>
      </c>
      <c r="F19094" t="s">
        <v>7745</v>
      </c>
      <c r="G19094" t="s">
        <v>925</v>
      </c>
      <c r="H19094">
        <v>67601</v>
      </c>
      <c r="I19094" t="s">
        <v>30</v>
      </c>
      <c r="J19094" t="s">
        <v>31</v>
      </c>
      <c r="K19094" t="s">
        <v>282</v>
      </c>
      <c r="N19094" t="s">
        <v>70470</v>
      </c>
      <c r="O19094" t="s">
        <v>70471</v>
      </c>
      <c r="Q19094">
        <v>0</v>
      </c>
      <c r="R19094">
        <v>91</v>
      </c>
      <c r="S19094">
        <v>0</v>
      </c>
      <c r="T19094" t="s">
        <v>70472</v>
      </c>
    </row>
    <row r="19095" spans="1:20" customFormat="1" ht="15" x14ac:dyDescent="0.25">
      <c r="A19095" t="s">
        <v>24</v>
      </c>
      <c r="B19095" t="s">
        <v>11378</v>
      </c>
      <c r="C19095" t="str">
        <f>"A0165580"</f>
        <v>A0165580</v>
      </c>
      <c r="D19095" t="s">
        <v>70473</v>
      </c>
      <c r="E19095" t="s">
        <v>70474</v>
      </c>
      <c r="F19095" t="s">
        <v>11381</v>
      </c>
      <c r="G19095" t="s">
        <v>846</v>
      </c>
      <c r="H19095">
        <v>30087</v>
      </c>
      <c r="I19095" t="s">
        <v>30</v>
      </c>
      <c r="J19095" t="s">
        <v>31</v>
      </c>
      <c r="K19095" t="s">
        <v>282</v>
      </c>
      <c r="N19095" t="s">
        <v>70475</v>
      </c>
      <c r="Q19095">
        <v>0</v>
      </c>
      <c r="R19095">
        <v>60</v>
      </c>
      <c r="S19095">
        <v>0</v>
      </c>
      <c r="T19095" t="s">
        <v>59412</v>
      </c>
    </row>
    <row r="19096" spans="1:20" customFormat="1" ht="15" x14ac:dyDescent="0.25">
      <c r="A19096" t="s">
        <v>24</v>
      </c>
      <c r="B19096" t="s">
        <v>55997</v>
      </c>
      <c r="C19096" t="str">
        <f>"A0098370"</f>
        <v>A0098370</v>
      </c>
      <c r="D19096" t="s">
        <v>70476</v>
      </c>
      <c r="E19096" t="s">
        <v>70477</v>
      </c>
      <c r="F19096" t="s">
        <v>70478</v>
      </c>
      <c r="G19096" t="s">
        <v>338</v>
      </c>
      <c r="H19096">
        <v>8232</v>
      </c>
      <c r="I19096" t="s">
        <v>30</v>
      </c>
      <c r="J19096" t="s">
        <v>31</v>
      </c>
      <c r="K19096" t="s">
        <v>282</v>
      </c>
      <c r="N19096" t="s">
        <v>70479</v>
      </c>
      <c r="Q19096">
        <v>0</v>
      </c>
      <c r="R19096">
        <v>124</v>
      </c>
      <c r="S19096">
        <v>0</v>
      </c>
      <c r="T19096" t="s">
        <v>70480</v>
      </c>
    </row>
    <row r="19097" spans="1:20" customFormat="1" ht="15" x14ac:dyDescent="0.25">
      <c r="A19097" t="s">
        <v>24</v>
      </c>
      <c r="B19097" t="s">
        <v>9843</v>
      </c>
      <c r="C19097" t="str">
        <f>"A0088326"</f>
        <v>A0088326</v>
      </c>
      <c r="D19097" t="s">
        <v>70481</v>
      </c>
      <c r="E19097" t="s">
        <v>70482</v>
      </c>
      <c r="F19097" t="s">
        <v>64514</v>
      </c>
      <c r="G19097" t="s">
        <v>1706</v>
      </c>
      <c r="H19097">
        <v>36504</v>
      </c>
      <c r="I19097" t="s">
        <v>30</v>
      </c>
      <c r="J19097" t="s">
        <v>31</v>
      </c>
      <c r="K19097" t="s">
        <v>282</v>
      </c>
      <c r="N19097" t="s">
        <v>70483</v>
      </c>
      <c r="Q19097">
        <v>0</v>
      </c>
      <c r="R19097">
        <v>80</v>
      </c>
      <c r="S19097">
        <v>0</v>
      </c>
      <c r="T19097" t="s">
        <v>70484</v>
      </c>
    </row>
    <row r="19098" spans="1:20" customFormat="1" ht="15" x14ac:dyDescent="0.25">
      <c r="A19098" t="s">
        <v>24</v>
      </c>
      <c r="B19098" t="s">
        <v>8805</v>
      </c>
      <c r="C19098" t="str">
        <f>"A0085089"</f>
        <v>A0085089</v>
      </c>
      <c r="D19098" t="s">
        <v>70485</v>
      </c>
      <c r="E19098" t="s">
        <v>70486</v>
      </c>
      <c r="F19098" t="s">
        <v>5317</v>
      </c>
      <c r="G19098" t="s">
        <v>117</v>
      </c>
      <c r="H19098">
        <v>48326</v>
      </c>
      <c r="I19098" t="s">
        <v>30</v>
      </c>
      <c r="J19098" t="s">
        <v>31</v>
      </c>
      <c r="K19098" t="s">
        <v>282</v>
      </c>
      <c r="N19098" t="s">
        <v>70487</v>
      </c>
      <c r="O19098" t="s">
        <v>70488</v>
      </c>
      <c r="Q19098">
        <v>0</v>
      </c>
      <c r="R19098">
        <v>95</v>
      </c>
      <c r="S19098">
        <v>0</v>
      </c>
      <c r="T19098" t="s">
        <v>70489</v>
      </c>
    </row>
    <row r="19099" spans="1:20" customFormat="1" ht="15" x14ac:dyDescent="0.25">
      <c r="A19099" t="s">
        <v>24</v>
      </c>
      <c r="B19099" t="s">
        <v>8805</v>
      </c>
      <c r="C19099" t="str">
        <f>"A0096323"</f>
        <v>A0096323</v>
      </c>
      <c r="D19099" t="s">
        <v>70490</v>
      </c>
      <c r="E19099" t="s">
        <v>70491</v>
      </c>
      <c r="F19099" t="s">
        <v>63841</v>
      </c>
      <c r="G19099" t="s">
        <v>117</v>
      </c>
      <c r="H19099">
        <v>48326</v>
      </c>
      <c r="I19099" t="s">
        <v>30</v>
      </c>
      <c r="J19099" t="s">
        <v>31</v>
      </c>
      <c r="K19099" t="s">
        <v>282</v>
      </c>
      <c r="N19099" t="s">
        <v>70487</v>
      </c>
      <c r="O19099" t="s">
        <v>70488</v>
      </c>
      <c r="Q19099">
        <v>0</v>
      </c>
      <c r="R19099">
        <v>100</v>
      </c>
      <c r="S19099">
        <v>0</v>
      </c>
      <c r="T19099" t="s">
        <v>70492</v>
      </c>
    </row>
    <row r="19100" spans="1:20" customFormat="1" ht="15" x14ac:dyDescent="0.25">
      <c r="A19100" t="s">
        <v>24</v>
      </c>
      <c r="B19100" t="s">
        <v>54771</v>
      </c>
      <c r="C19100" t="str">
        <f>"A0099745"</f>
        <v>A0099745</v>
      </c>
      <c r="D19100" t="s">
        <v>70493</v>
      </c>
      <c r="E19100" t="s">
        <v>70494</v>
      </c>
      <c r="F19100" t="s">
        <v>372</v>
      </c>
      <c r="G19100" t="s">
        <v>52</v>
      </c>
      <c r="H19100">
        <v>78701</v>
      </c>
      <c r="I19100" t="s">
        <v>30</v>
      </c>
      <c r="J19100" t="s">
        <v>31</v>
      </c>
      <c r="K19100" t="s">
        <v>282</v>
      </c>
      <c r="N19100" t="s">
        <v>70495</v>
      </c>
      <c r="Q19100">
        <v>0</v>
      </c>
      <c r="R19100">
        <v>171</v>
      </c>
      <c r="S19100">
        <v>0</v>
      </c>
      <c r="T19100" t="s">
        <v>70496</v>
      </c>
    </row>
    <row r="19101" spans="1:20" customFormat="1" ht="15" x14ac:dyDescent="0.25">
      <c r="A19101" t="s">
        <v>24</v>
      </c>
      <c r="B19101" t="s">
        <v>70497</v>
      </c>
      <c r="C19101" t="str">
        <f>"A0073155"</f>
        <v>A0073155</v>
      </c>
      <c r="D19101" t="s">
        <v>70498</v>
      </c>
      <c r="E19101" t="s">
        <v>70499</v>
      </c>
      <c r="F19101" t="s">
        <v>3059</v>
      </c>
      <c r="G19101" t="s">
        <v>52</v>
      </c>
      <c r="H19101">
        <v>78681</v>
      </c>
      <c r="I19101" t="s">
        <v>30</v>
      </c>
      <c r="J19101" t="s">
        <v>31</v>
      </c>
      <c r="K19101" t="s">
        <v>282</v>
      </c>
      <c r="N19101" t="s">
        <v>70500</v>
      </c>
      <c r="O19101" t="s">
        <v>70501</v>
      </c>
      <c r="Q19101">
        <v>0</v>
      </c>
      <c r="R19101">
        <v>91</v>
      </c>
      <c r="S19101">
        <v>0</v>
      </c>
      <c r="T19101" t="s">
        <v>70502</v>
      </c>
    </row>
    <row r="19102" spans="1:20" customFormat="1" ht="15" x14ac:dyDescent="0.25">
      <c r="A19102" t="s">
        <v>24</v>
      </c>
      <c r="B19102" t="s">
        <v>5843</v>
      </c>
      <c r="C19102" t="str">
        <f>"A0086399"</f>
        <v>A0086399</v>
      </c>
      <c r="D19102" t="s">
        <v>70503</v>
      </c>
      <c r="E19102" t="s">
        <v>70504</v>
      </c>
      <c r="F19102" t="s">
        <v>14623</v>
      </c>
      <c r="G19102" t="s">
        <v>110</v>
      </c>
      <c r="H19102">
        <v>94002</v>
      </c>
      <c r="I19102" t="s">
        <v>30</v>
      </c>
      <c r="J19102" t="s">
        <v>31</v>
      </c>
      <c r="K19102" t="s">
        <v>282</v>
      </c>
      <c r="N19102" t="s">
        <v>70505</v>
      </c>
      <c r="Q19102">
        <v>0</v>
      </c>
      <c r="R19102">
        <v>84</v>
      </c>
      <c r="S19102">
        <v>0</v>
      </c>
      <c r="T19102" t="s">
        <v>70506</v>
      </c>
    </row>
    <row r="19103" spans="1:20" customFormat="1" ht="15" x14ac:dyDescent="0.25">
      <c r="A19103" t="s">
        <v>24</v>
      </c>
      <c r="B19103" t="s">
        <v>59142</v>
      </c>
      <c r="C19103" t="str">
        <f>"A0164614"</f>
        <v>A0164614</v>
      </c>
      <c r="D19103" t="s">
        <v>70507</v>
      </c>
      <c r="E19103" t="s">
        <v>70508</v>
      </c>
      <c r="F19103" t="s">
        <v>4189</v>
      </c>
      <c r="G19103" t="s">
        <v>47</v>
      </c>
      <c r="H19103">
        <v>97702</v>
      </c>
      <c r="I19103" t="s">
        <v>30</v>
      </c>
      <c r="J19103" t="s">
        <v>31</v>
      </c>
      <c r="K19103" t="s">
        <v>282</v>
      </c>
      <c r="N19103" t="s">
        <v>70509</v>
      </c>
      <c r="Q19103">
        <v>0</v>
      </c>
      <c r="R19103">
        <v>109</v>
      </c>
      <c r="S19103">
        <v>0</v>
      </c>
      <c r="T19103" t="s">
        <v>70510</v>
      </c>
    </row>
    <row r="19104" spans="1:20" customFormat="1" ht="15" x14ac:dyDescent="0.25">
      <c r="A19104" t="s">
        <v>24</v>
      </c>
      <c r="B19104" t="s">
        <v>4990</v>
      </c>
      <c r="C19104" t="str">
        <f>"A0147869"</f>
        <v>A0147869</v>
      </c>
      <c r="D19104" t="s">
        <v>70511</v>
      </c>
      <c r="E19104" t="s">
        <v>70512</v>
      </c>
      <c r="F19104" t="s">
        <v>3455</v>
      </c>
      <c r="G19104" t="s">
        <v>161</v>
      </c>
      <c r="H19104">
        <v>55425</v>
      </c>
      <c r="I19104" t="s">
        <v>30</v>
      </c>
      <c r="J19104" t="s">
        <v>31</v>
      </c>
      <c r="K19104" t="s">
        <v>282</v>
      </c>
      <c r="N19104" t="s">
        <v>70513</v>
      </c>
      <c r="O19104" t="s">
        <v>70514</v>
      </c>
      <c r="Q19104">
        <v>0</v>
      </c>
      <c r="R19104">
        <v>171</v>
      </c>
      <c r="S19104">
        <v>0</v>
      </c>
      <c r="T19104" t="s">
        <v>192</v>
      </c>
    </row>
    <row r="19105" spans="1:20" customFormat="1" ht="15" x14ac:dyDescent="0.25">
      <c r="A19105" t="s">
        <v>24</v>
      </c>
      <c r="B19105" t="s">
        <v>57095</v>
      </c>
      <c r="C19105" t="str">
        <f>"A0151280"</f>
        <v>A0151280</v>
      </c>
      <c r="D19105" t="s">
        <v>70515</v>
      </c>
      <c r="E19105" t="s">
        <v>70516</v>
      </c>
      <c r="F19105" t="s">
        <v>53770</v>
      </c>
      <c r="G19105" t="s">
        <v>433</v>
      </c>
      <c r="H19105">
        <v>83706</v>
      </c>
      <c r="I19105" t="s">
        <v>30</v>
      </c>
      <c r="J19105" t="s">
        <v>31</v>
      </c>
      <c r="K19105" t="s">
        <v>282</v>
      </c>
      <c r="N19105" t="s">
        <v>70517</v>
      </c>
      <c r="Q19105">
        <v>0</v>
      </c>
      <c r="R19105">
        <v>159</v>
      </c>
      <c r="S19105">
        <v>0</v>
      </c>
      <c r="T19105" t="s">
        <v>70518</v>
      </c>
    </row>
    <row r="19106" spans="1:20" customFormat="1" ht="15" x14ac:dyDescent="0.25">
      <c r="A19106" t="s">
        <v>24</v>
      </c>
      <c r="B19106" t="s">
        <v>8366</v>
      </c>
      <c r="C19106" t="str">
        <f>"88HX004"</f>
        <v>88HX004</v>
      </c>
      <c r="D19106" t="s">
        <v>70519</v>
      </c>
      <c r="E19106" t="s">
        <v>70520</v>
      </c>
      <c r="F19106" t="s">
        <v>1208</v>
      </c>
      <c r="G19106" t="s">
        <v>899</v>
      </c>
      <c r="H19106">
        <v>2125</v>
      </c>
      <c r="I19106" t="s">
        <v>30</v>
      </c>
      <c r="J19106" t="s">
        <v>31</v>
      </c>
      <c r="K19106" t="s">
        <v>282</v>
      </c>
      <c r="N19106" t="s">
        <v>70521</v>
      </c>
      <c r="Q19106">
        <v>0</v>
      </c>
      <c r="R19106">
        <v>118</v>
      </c>
      <c r="S19106">
        <v>0</v>
      </c>
      <c r="T19106" t="s">
        <v>70522</v>
      </c>
    </row>
    <row r="19107" spans="1:20" customFormat="1" ht="15" x14ac:dyDescent="0.25">
      <c r="A19107" t="s">
        <v>24</v>
      </c>
      <c r="B19107" t="s">
        <v>2387</v>
      </c>
      <c r="C19107" t="str">
        <f>"A0148956"</f>
        <v>A0148956</v>
      </c>
      <c r="D19107" t="s">
        <v>70523</v>
      </c>
      <c r="E19107" t="s">
        <v>70524</v>
      </c>
      <c r="F19107" t="s">
        <v>70525</v>
      </c>
      <c r="G19107" t="s">
        <v>899</v>
      </c>
      <c r="H19107">
        <v>2171</v>
      </c>
      <c r="I19107" t="s">
        <v>30</v>
      </c>
      <c r="J19107" t="s">
        <v>31</v>
      </c>
      <c r="K19107" t="s">
        <v>282</v>
      </c>
      <c r="N19107" t="s">
        <v>70526</v>
      </c>
      <c r="Q19107">
        <v>0</v>
      </c>
      <c r="R19107">
        <v>92</v>
      </c>
      <c r="S19107">
        <v>0</v>
      </c>
      <c r="T19107" t="s">
        <v>70527</v>
      </c>
    </row>
    <row r="19108" spans="1:20" customFormat="1" ht="15" x14ac:dyDescent="0.25">
      <c r="A19108" t="s">
        <v>24</v>
      </c>
      <c r="B19108" t="s">
        <v>33398</v>
      </c>
      <c r="C19108" t="str">
        <f>"A0058756"</f>
        <v>A0058756</v>
      </c>
      <c r="D19108" t="s">
        <v>70528</v>
      </c>
      <c r="E19108" t="s">
        <v>70529</v>
      </c>
      <c r="F19108" t="s">
        <v>16139</v>
      </c>
      <c r="G19108" t="s">
        <v>81</v>
      </c>
      <c r="H19108">
        <v>34210</v>
      </c>
      <c r="I19108" t="s">
        <v>30</v>
      </c>
      <c r="J19108" t="s">
        <v>31</v>
      </c>
      <c r="K19108" t="s">
        <v>282</v>
      </c>
      <c r="N19108" t="s">
        <v>70530</v>
      </c>
      <c r="Q19108">
        <v>0</v>
      </c>
      <c r="R19108">
        <v>129</v>
      </c>
      <c r="S19108">
        <v>0</v>
      </c>
      <c r="T19108" t="s">
        <v>70531</v>
      </c>
    </row>
    <row r="19109" spans="1:20" customFormat="1" ht="15" x14ac:dyDescent="0.25">
      <c r="A19109" t="s">
        <v>24</v>
      </c>
      <c r="B19109" t="s">
        <v>8366</v>
      </c>
      <c r="C19109" t="str">
        <f>"88HI033"</f>
        <v>88HI033</v>
      </c>
      <c r="D19109" t="s">
        <v>70532</v>
      </c>
      <c r="E19109" t="s">
        <v>70533</v>
      </c>
      <c r="F19109" t="s">
        <v>70534</v>
      </c>
      <c r="G19109" t="s">
        <v>899</v>
      </c>
      <c r="H19109">
        <v>2301</v>
      </c>
      <c r="I19109" t="s">
        <v>30</v>
      </c>
      <c r="J19109" t="s">
        <v>31</v>
      </c>
      <c r="K19109" t="s">
        <v>282</v>
      </c>
      <c r="N19109" t="s">
        <v>70535</v>
      </c>
      <c r="O19109" t="s">
        <v>70536</v>
      </c>
      <c r="Q19109">
        <v>0</v>
      </c>
      <c r="R19109">
        <v>189</v>
      </c>
      <c r="S19109">
        <v>0</v>
      </c>
      <c r="T19109" t="s">
        <v>70537</v>
      </c>
    </row>
    <row r="19110" spans="1:20" customFormat="1" ht="15" x14ac:dyDescent="0.25">
      <c r="A19110" t="s">
        <v>24</v>
      </c>
      <c r="B19110" t="s">
        <v>4990</v>
      </c>
      <c r="C19110" t="str">
        <f>"A0147868"</f>
        <v>A0147868</v>
      </c>
      <c r="D19110" t="s">
        <v>70538</v>
      </c>
      <c r="E19110" t="s">
        <v>70539</v>
      </c>
      <c r="F19110" t="s">
        <v>57381</v>
      </c>
      <c r="G19110" t="s">
        <v>71</v>
      </c>
      <c r="H19110">
        <v>53045</v>
      </c>
      <c r="I19110" t="s">
        <v>30</v>
      </c>
      <c r="J19110" t="s">
        <v>31</v>
      </c>
      <c r="K19110" t="s">
        <v>282</v>
      </c>
      <c r="N19110" t="s">
        <v>70540</v>
      </c>
      <c r="O19110" t="s">
        <v>70541</v>
      </c>
      <c r="Q19110">
        <v>0</v>
      </c>
      <c r="R19110">
        <v>132</v>
      </c>
      <c r="S19110">
        <v>0</v>
      </c>
      <c r="T19110" t="s">
        <v>70542</v>
      </c>
    </row>
    <row r="19111" spans="1:20" customFormat="1" ht="15" x14ac:dyDescent="0.25">
      <c r="A19111" t="s">
        <v>24</v>
      </c>
      <c r="B19111" t="s">
        <v>64635</v>
      </c>
      <c r="C19111" t="str">
        <f>"88HX027"</f>
        <v>88HX027</v>
      </c>
      <c r="D19111" t="s">
        <v>8556</v>
      </c>
      <c r="E19111" t="s">
        <v>70543</v>
      </c>
      <c r="F19111" t="s">
        <v>2390</v>
      </c>
      <c r="G19111" t="s">
        <v>1898</v>
      </c>
      <c r="H19111">
        <v>52601</v>
      </c>
      <c r="I19111" t="s">
        <v>30</v>
      </c>
      <c r="J19111" t="s">
        <v>31</v>
      </c>
      <c r="K19111" t="s">
        <v>282</v>
      </c>
      <c r="N19111" t="s">
        <v>70544</v>
      </c>
      <c r="Q19111">
        <v>0</v>
      </c>
      <c r="R19111">
        <v>76</v>
      </c>
      <c r="S19111">
        <v>0</v>
      </c>
      <c r="T19111" t="s">
        <v>70545</v>
      </c>
    </row>
    <row r="19112" spans="1:20" customFormat="1" ht="15" x14ac:dyDescent="0.25">
      <c r="A19112" t="s">
        <v>24</v>
      </c>
      <c r="B19112" t="s">
        <v>1020</v>
      </c>
      <c r="C19112" t="str">
        <f>"SC082"</f>
        <v>SC082</v>
      </c>
      <c r="D19112" t="s">
        <v>70546</v>
      </c>
      <c r="E19112" t="s">
        <v>70547</v>
      </c>
      <c r="F19112" t="s">
        <v>57308</v>
      </c>
      <c r="G19112" t="s">
        <v>899</v>
      </c>
      <c r="H19112">
        <v>2141</v>
      </c>
      <c r="I19112" t="s">
        <v>30</v>
      </c>
      <c r="J19112" t="s">
        <v>31</v>
      </c>
      <c r="K19112" t="s">
        <v>282</v>
      </c>
      <c r="N19112" t="s">
        <v>70548</v>
      </c>
      <c r="Q19112">
        <v>0</v>
      </c>
      <c r="R19112">
        <v>112</v>
      </c>
      <c r="S19112">
        <v>0</v>
      </c>
      <c r="T19112" t="s">
        <v>70549</v>
      </c>
    </row>
    <row r="19113" spans="1:20" customFormat="1" ht="15" x14ac:dyDescent="0.25">
      <c r="A19113" t="s">
        <v>24</v>
      </c>
      <c r="B19113" t="s">
        <v>3343</v>
      </c>
      <c r="C19113" t="str">
        <f>"SF04934"</f>
        <v>SF04934</v>
      </c>
      <c r="D19113" t="s">
        <v>70550</v>
      </c>
      <c r="E19113" t="s">
        <v>70551</v>
      </c>
      <c r="F19113" t="s">
        <v>11740</v>
      </c>
      <c r="G19113" t="s">
        <v>1898</v>
      </c>
      <c r="H19113">
        <v>52402</v>
      </c>
      <c r="I19113" t="s">
        <v>30</v>
      </c>
      <c r="J19113" t="s">
        <v>31</v>
      </c>
      <c r="K19113" t="s">
        <v>282</v>
      </c>
      <c r="N19113" t="s">
        <v>70552</v>
      </c>
      <c r="Q19113">
        <v>0</v>
      </c>
      <c r="R19113">
        <v>83</v>
      </c>
      <c r="S19113">
        <v>0</v>
      </c>
      <c r="T19113" t="s">
        <v>70553</v>
      </c>
    </row>
    <row r="19114" spans="1:20" customFormat="1" ht="15" x14ac:dyDescent="0.25">
      <c r="A19114" t="s">
        <v>24</v>
      </c>
      <c r="B19114" t="s">
        <v>59142</v>
      </c>
      <c r="C19114" t="str">
        <f>"A0078282"</f>
        <v>A0078282</v>
      </c>
      <c r="D19114" t="s">
        <v>70554</v>
      </c>
      <c r="E19114" t="s">
        <v>70555</v>
      </c>
      <c r="F19114" t="s">
        <v>70556</v>
      </c>
      <c r="G19114" t="s">
        <v>47</v>
      </c>
      <c r="H19114">
        <v>97502</v>
      </c>
      <c r="I19114" t="s">
        <v>30</v>
      </c>
      <c r="J19114" t="s">
        <v>31</v>
      </c>
      <c r="K19114" t="s">
        <v>282</v>
      </c>
      <c r="N19114" t="s">
        <v>70557</v>
      </c>
      <c r="Q19114">
        <v>0</v>
      </c>
      <c r="R19114">
        <v>84</v>
      </c>
      <c r="S19114">
        <v>0</v>
      </c>
      <c r="T19114" t="s">
        <v>70558</v>
      </c>
    </row>
    <row r="19115" spans="1:20" customFormat="1" ht="15" x14ac:dyDescent="0.25">
      <c r="A19115" t="s">
        <v>24</v>
      </c>
      <c r="B19115" t="s">
        <v>799</v>
      </c>
      <c r="C19115" t="str">
        <f>"A0064234"</f>
        <v>A0064234</v>
      </c>
      <c r="D19115" t="s">
        <v>70559</v>
      </c>
      <c r="E19115" t="s">
        <v>70560</v>
      </c>
      <c r="F19115" t="s">
        <v>5369</v>
      </c>
      <c r="G19115" t="s">
        <v>58</v>
      </c>
      <c r="H19115">
        <v>29407</v>
      </c>
      <c r="I19115" t="s">
        <v>30</v>
      </c>
      <c r="J19115" t="s">
        <v>31</v>
      </c>
      <c r="K19115" t="s">
        <v>282</v>
      </c>
      <c r="N19115" t="s">
        <v>70561</v>
      </c>
      <c r="O19115" t="s">
        <v>70562</v>
      </c>
      <c r="Q19115">
        <v>0</v>
      </c>
      <c r="R19115">
        <v>80</v>
      </c>
      <c r="S19115">
        <v>0</v>
      </c>
      <c r="T19115" t="s">
        <v>70563</v>
      </c>
    </row>
    <row r="19116" spans="1:20" customFormat="1" ht="15" x14ac:dyDescent="0.25">
      <c r="A19116" t="s">
        <v>24</v>
      </c>
      <c r="B19116" t="s">
        <v>1467</v>
      </c>
      <c r="C19116" t="str">
        <f>"A0151480"</f>
        <v>A0151480</v>
      </c>
      <c r="D19116" t="s">
        <v>70564</v>
      </c>
      <c r="E19116" t="s">
        <v>70565</v>
      </c>
      <c r="F19116" t="s">
        <v>70566</v>
      </c>
      <c r="G19116" t="s">
        <v>899</v>
      </c>
      <c r="H19116">
        <v>1824</v>
      </c>
      <c r="I19116" t="s">
        <v>30</v>
      </c>
      <c r="J19116" t="s">
        <v>31</v>
      </c>
      <c r="K19116" t="s">
        <v>282</v>
      </c>
      <c r="N19116" t="s">
        <v>70567</v>
      </c>
      <c r="Q19116">
        <v>0</v>
      </c>
      <c r="R19116">
        <v>131</v>
      </c>
      <c r="S19116">
        <v>0</v>
      </c>
      <c r="T19116" t="s">
        <v>70568</v>
      </c>
    </row>
    <row r="19117" spans="1:20" customFormat="1" ht="15" x14ac:dyDescent="0.25">
      <c r="A19117" t="s">
        <v>24</v>
      </c>
      <c r="B19117" t="s">
        <v>4855</v>
      </c>
      <c r="C19117" t="str">
        <f>"A0058634"</f>
        <v>A0058634</v>
      </c>
      <c r="D19117" t="s">
        <v>70569</v>
      </c>
      <c r="E19117" t="s">
        <v>70570</v>
      </c>
      <c r="F19117" t="s">
        <v>3818</v>
      </c>
      <c r="G19117" t="s">
        <v>289</v>
      </c>
      <c r="H19117">
        <v>60005</v>
      </c>
      <c r="I19117" t="s">
        <v>30</v>
      </c>
      <c r="J19117" t="s">
        <v>31</v>
      </c>
      <c r="K19117" t="s">
        <v>282</v>
      </c>
      <c r="N19117" t="s">
        <v>70571</v>
      </c>
      <c r="Q19117">
        <v>0</v>
      </c>
      <c r="R19117">
        <v>111</v>
      </c>
      <c r="S19117">
        <v>0</v>
      </c>
      <c r="T19117" t="s">
        <v>70572</v>
      </c>
    </row>
    <row r="19118" spans="1:20" customFormat="1" ht="15" x14ac:dyDescent="0.25">
      <c r="A19118" t="s">
        <v>24</v>
      </c>
      <c r="B19118" t="s">
        <v>1098</v>
      </c>
      <c r="C19118" t="str">
        <f>"SF01573"</f>
        <v>SF01573</v>
      </c>
      <c r="D19118" t="s">
        <v>70573</v>
      </c>
      <c r="E19118" t="s">
        <v>70574</v>
      </c>
      <c r="F19118" t="s">
        <v>5369</v>
      </c>
      <c r="G19118" t="s">
        <v>507</v>
      </c>
      <c r="H19118">
        <v>25301</v>
      </c>
      <c r="I19118" t="s">
        <v>30</v>
      </c>
      <c r="J19118" t="s">
        <v>31</v>
      </c>
      <c r="K19118" t="s">
        <v>282</v>
      </c>
      <c r="N19118" t="s">
        <v>70575</v>
      </c>
      <c r="Q19118">
        <v>0</v>
      </c>
      <c r="R19118">
        <v>196</v>
      </c>
      <c r="S19118">
        <v>0</v>
      </c>
      <c r="T19118" t="s">
        <v>70576</v>
      </c>
    </row>
    <row r="19119" spans="1:20" customFormat="1" ht="15" x14ac:dyDescent="0.25">
      <c r="A19119" t="s">
        <v>24</v>
      </c>
      <c r="B19119" t="s">
        <v>2340</v>
      </c>
      <c r="C19119" t="str">
        <f>"A0058747"</f>
        <v>A0058747</v>
      </c>
      <c r="D19119" t="s">
        <v>70577</v>
      </c>
      <c r="E19119" t="s">
        <v>70578</v>
      </c>
      <c r="F19119" t="s">
        <v>3024</v>
      </c>
      <c r="G19119" t="s">
        <v>123</v>
      </c>
      <c r="H19119">
        <v>20740</v>
      </c>
      <c r="I19119" t="s">
        <v>30</v>
      </c>
      <c r="J19119" t="s">
        <v>31</v>
      </c>
      <c r="K19119" t="s">
        <v>282</v>
      </c>
      <c r="N19119" t="s">
        <v>70579</v>
      </c>
      <c r="Q19119">
        <v>0</v>
      </c>
      <c r="R19119">
        <v>125</v>
      </c>
      <c r="S19119">
        <v>0</v>
      </c>
      <c r="T19119" t="s">
        <v>70580</v>
      </c>
    </row>
    <row r="19120" spans="1:20" customFormat="1" ht="15" x14ac:dyDescent="0.25">
      <c r="A19120" t="s">
        <v>24</v>
      </c>
      <c r="B19120" t="s">
        <v>1855</v>
      </c>
      <c r="C19120" t="str">
        <f>"A0091855"</f>
        <v>A0091855</v>
      </c>
      <c r="D19120" t="s">
        <v>70581</v>
      </c>
      <c r="E19120" t="s">
        <v>70582</v>
      </c>
      <c r="F19120" t="s">
        <v>70583</v>
      </c>
      <c r="G19120" t="s">
        <v>190</v>
      </c>
      <c r="H19120">
        <v>80922</v>
      </c>
      <c r="I19120" t="s">
        <v>30</v>
      </c>
      <c r="J19120" t="s">
        <v>31</v>
      </c>
      <c r="K19120" t="s">
        <v>282</v>
      </c>
      <c r="N19120" t="s">
        <v>70584</v>
      </c>
      <c r="Q19120">
        <v>0</v>
      </c>
      <c r="R19120">
        <v>82</v>
      </c>
      <c r="S19120">
        <v>0</v>
      </c>
      <c r="T19120" t="s">
        <v>70585</v>
      </c>
    </row>
    <row r="19121" spans="1:20" customFormat="1" ht="15" x14ac:dyDescent="0.25">
      <c r="A19121" t="s">
        <v>24</v>
      </c>
      <c r="B19121" t="s">
        <v>706</v>
      </c>
      <c r="C19121" t="str">
        <f>"A0157500"</f>
        <v>A0157500</v>
      </c>
      <c r="D19121" t="s">
        <v>70586</v>
      </c>
      <c r="E19121" t="s">
        <v>70587</v>
      </c>
      <c r="F19121" t="s">
        <v>70588</v>
      </c>
      <c r="G19121" t="s">
        <v>81</v>
      </c>
      <c r="H19121">
        <v>34429</v>
      </c>
      <c r="I19121" t="s">
        <v>30</v>
      </c>
      <c r="J19121" t="s">
        <v>31</v>
      </c>
      <c r="K19121" t="s">
        <v>282</v>
      </c>
      <c r="N19121" t="s">
        <v>70589</v>
      </c>
      <c r="O19121" t="s">
        <v>70590</v>
      </c>
      <c r="Q19121">
        <v>0</v>
      </c>
      <c r="R19121">
        <v>75</v>
      </c>
      <c r="S19121">
        <v>0</v>
      </c>
      <c r="T19121" t="s">
        <v>70591</v>
      </c>
    </row>
    <row r="19122" spans="1:20" customFormat="1" ht="15" x14ac:dyDescent="0.25">
      <c r="A19122" t="s">
        <v>24</v>
      </c>
      <c r="B19122" t="s">
        <v>2373</v>
      </c>
      <c r="C19122" t="str">
        <f>"A0058556"</f>
        <v>A0058556</v>
      </c>
      <c r="D19122" t="s">
        <v>70592</v>
      </c>
      <c r="E19122" t="s">
        <v>70593</v>
      </c>
      <c r="F19122" t="s">
        <v>972</v>
      </c>
      <c r="G19122" t="s">
        <v>190</v>
      </c>
      <c r="H19122">
        <v>80202</v>
      </c>
      <c r="I19122" t="s">
        <v>30</v>
      </c>
      <c r="J19122" t="s">
        <v>31</v>
      </c>
      <c r="K19122" t="s">
        <v>282</v>
      </c>
      <c r="N19122" t="s">
        <v>70594</v>
      </c>
      <c r="Q19122">
        <v>0</v>
      </c>
      <c r="R19122">
        <v>231</v>
      </c>
      <c r="S19122">
        <v>0</v>
      </c>
      <c r="T19122" t="s">
        <v>70595</v>
      </c>
    </row>
    <row r="19123" spans="1:20" customFormat="1" ht="15" x14ac:dyDescent="0.25">
      <c r="A19123" t="s">
        <v>24</v>
      </c>
      <c r="B19123" t="s">
        <v>59116</v>
      </c>
      <c r="C19123" t="str">
        <f>"SF01328"</f>
        <v>SF01328</v>
      </c>
      <c r="D19123" t="s">
        <v>70596</v>
      </c>
      <c r="E19123" t="s">
        <v>70597</v>
      </c>
      <c r="F19123" t="s">
        <v>12909</v>
      </c>
      <c r="G19123" t="s">
        <v>190</v>
      </c>
      <c r="H19123">
        <v>80127</v>
      </c>
      <c r="I19123" t="s">
        <v>30</v>
      </c>
      <c r="J19123" t="s">
        <v>31</v>
      </c>
      <c r="K19123" t="s">
        <v>282</v>
      </c>
      <c r="N19123" t="s">
        <v>70598</v>
      </c>
      <c r="O19123" t="s">
        <v>59121</v>
      </c>
      <c r="Q19123">
        <v>0</v>
      </c>
      <c r="R19123">
        <v>76</v>
      </c>
      <c r="S19123">
        <v>0</v>
      </c>
      <c r="T19123" t="s">
        <v>70599</v>
      </c>
    </row>
    <row r="19124" spans="1:20" customFormat="1" ht="15" x14ac:dyDescent="0.25">
      <c r="A19124" t="s">
        <v>24</v>
      </c>
      <c r="B19124" t="s">
        <v>8579</v>
      </c>
      <c r="C19124" t="str">
        <f>"A0089700"</f>
        <v>A0089700</v>
      </c>
      <c r="D19124" t="s">
        <v>70600</v>
      </c>
      <c r="E19124" t="s">
        <v>70601</v>
      </c>
      <c r="F19124" t="s">
        <v>972</v>
      </c>
      <c r="G19124" t="s">
        <v>190</v>
      </c>
      <c r="H19124">
        <v>80249</v>
      </c>
      <c r="I19124" t="s">
        <v>30</v>
      </c>
      <c r="J19124" t="s">
        <v>31</v>
      </c>
      <c r="K19124" t="s">
        <v>282</v>
      </c>
      <c r="N19124" t="s">
        <v>70602</v>
      </c>
      <c r="O19124" t="s">
        <v>70603</v>
      </c>
      <c r="Q19124">
        <v>0</v>
      </c>
      <c r="R19124">
        <v>139</v>
      </c>
      <c r="S19124">
        <v>0</v>
      </c>
      <c r="T19124" t="s">
        <v>70604</v>
      </c>
    </row>
    <row r="19125" spans="1:20" customFormat="1" ht="15" x14ac:dyDescent="0.25">
      <c r="A19125" t="s">
        <v>24</v>
      </c>
      <c r="B19125" t="s">
        <v>734</v>
      </c>
      <c r="C19125" t="str">
        <f>"A0068592"</f>
        <v>A0068592</v>
      </c>
      <c r="D19125" t="s">
        <v>70605</v>
      </c>
      <c r="E19125" t="s">
        <v>70606</v>
      </c>
      <c r="F19125" t="s">
        <v>24246</v>
      </c>
      <c r="G19125" t="s">
        <v>110</v>
      </c>
      <c r="H19125">
        <v>92243</v>
      </c>
      <c r="I19125" t="s">
        <v>30</v>
      </c>
      <c r="J19125" t="s">
        <v>31</v>
      </c>
      <c r="K19125" t="s">
        <v>282</v>
      </c>
      <c r="N19125" t="s">
        <v>70607</v>
      </c>
      <c r="O19125" t="s">
        <v>738</v>
      </c>
      <c r="Q19125">
        <v>0</v>
      </c>
      <c r="R19125">
        <v>100</v>
      </c>
      <c r="S19125">
        <v>0</v>
      </c>
      <c r="T19125" t="s">
        <v>70608</v>
      </c>
    </row>
    <row r="19126" spans="1:20" customFormat="1" ht="15" x14ac:dyDescent="0.25">
      <c r="A19126" t="s">
        <v>24</v>
      </c>
      <c r="B19126" t="s">
        <v>59142</v>
      </c>
      <c r="C19126" t="str">
        <f>"A0085273"</f>
        <v>A0085273</v>
      </c>
      <c r="D19126" t="s">
        <v>70609</v>
      </c>
      <c r="E19126" t="s">
        <v>70610</v>
      </c>
      <c r="F19126" t="s">
        <v>3837</v>
      </c>
      <c r="G19126" t="s">
        <v>47</v>
      </c>
      <c r="H19126">
        <v>97477</v>
      </c>
      <c r="I19126" t="s">
        <v>30</v>
      </c>
      <c r="J19126" t="s">
        <v>31</v>
      </c>
      <c r="K19126" t="s">
        <v>282</v>
      </c>
      <c r="N19126" t="s">
        <v>70611</v>
      </c>
      <c r="Q19126">
        <v>0</v>
      </c>
      <c r="R19126">
        <v>153</v>
      </c>
      <c r="S19126">
        <v>0</v>
      </c>
      <c r="T19126" t="s">
        <v>70612</v>
      </c>
    </row>
    <row r="19127" spans="1:20" customFormat="1" ht="15" x14ac:dyDescent="0.25">
      <c r="A19127" t="s">
        <v>24</v>
      </c>
      <c r="B19127" t="s">
        <v>1467</v>
      </c>
      <c r="C19127" t="str">
        <f>"A0157412"</f>
        <v>A0157412</v>
      </c>
      <c r="D19127" t="s">
        <v>70613</v>
      </c>
      <c r="E19127" t="s">
        <v>70614</v>
      </c>
      <c r="F19127" t="s">
        <v>70615</v>
      </c>
      <c r="G19127" t="s">
        <v>899</v>
      </c>
      <c r="H19127">
        <v>2720</v>
      </c>
      <c r="I19127" t="s">
        <v>30</v>
      </c>
      <c r="J19127" t="s">
        <v>31</v>
      </c>
      <c r="K19127" t="s">
        <v>282</v>
      </c>
      <c r="N19127" t="s">
        <v>70616</v>
      </c>
      <c r="O19127" t="s">
        <v>70617</v>
      </c>
      <c r="Q19127">
        <v>0</v>
      </c>
      <c r="R19127">
        <v>107</v>
      </c>
      <c r="S19127">
        <v>0</v>
      </c>
      <c r="T19127" t="s">
        <v>70618</v>
      </c>
    </row>
    <row r="19128" spans="1:20" customFormat="1" ht="15" x14ac:dyDescent="0.25">
      <c r="A19128" t="s">
        <v>24</v>
      </c>
      <c r="B19128" t="s">
        <v>9549</v>
      </c>
      <c r="C19128" t="str">
        <f>"A0154509"</f>
        <v>A0154509</v>
      </c>
      <c r="D19128" t="s">
        <v>70619</v>
      </c>
      <c r="E19128" t="s">
        <v>70620</v>
      </c>
      <c r="F19128" t="s">
        <v>33693</v>
      </c>
      <c r="G19128" t="s">
        <v>144</v>
      </c>
      <c r="H19128">
        <v>58103</v>
      </c>
      <c r="I19128" t="s">
        <v>30</v>
      </c>
      <c r="J19128" t="s">
        <v>31</v>
      </c>
      <c r="K19128" t="s">
        <v>282</v>
      </c>
      <c r="N19128" t="s">
        <v>70621</v>
      </c>
      <c r="Q19128">
        <v>0</v>
      </c>
      <c r="R19128">
        <v>110</v>
      </c>
      <c r="S19128">
        <v>0</v>
      </c>
      <c r="T19128" t="s">
        <v>70622</v>
      </c>
    </row>
    <row r="19129" spans="1:20" customFormat="1" ht="15" x14ac:dyDescent="0.25">
      <c r="A19129" t="s">
        <v>24</v>
      </c>
      <c r="B19129" t="s">
        <v>9549</v>
      </c>
      <c r="C19129" t="str">
        <f>"SF02622"</f>
        <v>SF02622</v>
      </c>
      <c r="D19129" t="s">
        <v>70623</v>
      </c>
      <c r="E19129" t="s">
        <v>70624</v>
      </c>
      <c r="F19129" t="s">
        <v>33693</v>
      </c>
      <c r="G19129" t="s">
        <v>144</v>
      </c>
      <c r="H19129">
        <v>58103</v>
      </c>
      <c r="I19129" t="s">
        <v>30</v>
      </c>
      <c r="J19129" t="s">
        <v>31</v>
      </c>
      <c r="K19129" t="s">
        <v>282</v>
      </c>
      <c r="N19129" t="s">
        <v>70625</v>
      </c>
      <c r="Q19129">
        <v>0</v>
      </c>
      <c r="R19129">
        <v>77</v>
      </c>
      <c r="S19129">
        <v>0</v>
      </c>
      <c r="T19129" t="s">
        <v>70626</v>
      </c>
    </row>
    <row r="19130" spans="1:20" customFormat="1" ht="15" x14ac:dyDescent="0.25">
      <c r="A19130" t="s">
        <v>24</v>
      </c>
      <c r="B19130" t="s">
        <v>4400</v>
      </c>
      <c r="C19130" t="str">
        <f>"SF09523"</f>
        <v>SF09523</v>
      </c>
      <c r="D19130" t="s">
        <v>70627</v>
      </c>
      <c r="E19130" t="s">
        <v>70628</v>
      </c>
      <c r="F19130" t="s">
        <v>11432</v>
      </c>
      <c r="G19130" t="s">
        <v>381</v>
      </c>
      <c r="H19130">
        <v>46038</v>
      </c>
      <c r="I19130" t="s">
        <v>30</v>
      </c>
      <c r="J19130" t="s">
        <v>31</v>
      </c>
      <c r="K19130" t="s">
        <v>282</v>
      </c>
      <c r="N19130" t="s">
        <v>70629</v>
      </c>
      <c r="Q19130">
        <v>0</v>
      </c>
      <c r="R19130">
        <v>115</v>
      </c>
      <c r="S19130">
        <v>0</v>
      </c>
      <c r="T19130" t="s">
        <v>70630</v>
      </c>
    </row>
    <row r="19131" spans="1:20" customFormat="1" ht="15" x14ac:dyDescent="0.25">
      <c r="A19131" t="s">
        <v>24</v>
      </c>
      <c r="B19131" t="s">
        <v>32773</v>
      </c>
      <c r="C19131" t="str">
        <f>"A0149408"</f>
        <v>A0149408</v>
      </c>
      <c r="D19131" t="s">
        <v>70631</v>
      </c>
      <c r="E19131" t="s">
        <v>70632</v>
      </c>
      <c r="F19131" t="s">
        <v>2352</v>
      </c>
      <c r="G19131" t="s">
        <v>840</v>
      </c>
      <c r="H19131">
        <v>41042</v>
      </c>
      <c r="I19131" t="s">
        <v>30</v>
      </c>
      <c r="J19131" t="s">
        <v>31</v>
      </c>
      <c r="K19131" t="s">
        <v>282</v>
      </c>
      <c r="N19131" t="s">
        <v>70633</v>
      </c>
      <c r="Q19131">
        <v>0</v>
      </c>
      <c r="R19131">
        <v>90</v>
      </c>
      <c r="S19131">
        <v>0</v>
      </c>
      <c r="T19131" t="s">
        <v>192</v>
      </c>
    </row>
    <row r="19132" spans="1:20" customFormat="1" ht="15" x14ac:dyDescent="0.25">
      <c r="A19132" t="s">
        <v>24</v>
      </c>
      <c r="B19132" t="s">
        <v>850</v>
      </c>
      <c r="C19132" t="str">
        <f>"A0151434"</f>
        <v>A0151434</v>
      </c>
      <c r="D19132" t="s">
        <v>70634</v>
      </c>
      <c r="E19132" t="s">
        <v>70635</v>
      </c>
      <c r="F19132" t="s">
        <v>70636</v>
      </c>
      <c r="G19132" t="s">
        <v>880</v>
      </c>
      <c r="H19132">
        <v>37738</v>
      </c>
      <c r="I19132" t="s">
        <v>30</v>
      </c>
      <c r="J19132" t="s">
        <v>31</v>
      </c>
      <c r="K19132" t="s">
        <v>282</v>
      </c>
      <c r="N19132" t="s">
        <v>70637</v>
      </c>
      <c r="O19132" t="s">
        <v>70638</v>
      </c>
      <c r="Q19132">
        <v>0</v>
      </c>
      <c r="R19132">
        <v>113</v>
      </c>
      <c r="S19132">
        <v>0</v>
      </c>
      <c r="T19132" t="s">
        <v>70639</v>
      </c>
    </row>
    <row r="19133" spans="1:20" customFormat="1" ht="15" x14ac:dyDescent="0.25">
      <c r="A19133" t="s">
        <v>24</v>
      </c>
      <c r="B19133" t="s">
        <v>54573</v>
      </c>
      <c r="C19133" t="str">
        <f>"SF07666"</f>
        <v>SF07666</v>
      </c>
      <c r="D19133" t="s">
        <v>70640</v>
      </c>
      <c r="E19133" t="s">
        <v>70641</v>
      </c>
      <c r="F19133" t="s">
        <v>4970</v>
      </c>
      <c r="G19133" t="s">
        <v>71</v>
      </c>
      <c r="H19133">
        <v>53022</v>
      </c>
      <c r="I19133" t="s">
        <v>30</v>
      </c>
      <c r="J19133" t="s">
        <v>31</v>
      </c>
      <c r="K19133" t="s">
        <v>282</v>
      </c>
      <c r="N19133" t="s">
        <v>70642</v>
      </c>
      <c r="Q19133">
        <v>0</v>
      </c>
      <c r="R19133">
        <v>74</v>
      </c>
      <c r="S19133">
        <v>0</v>
      </c>
      <c r="T19133" t="s">
        <v>70643</v>
      </c>
    </row>
    <row r="19134" spans="1:20" customFormat="1" ht="15" x14ac:dyDescent="0.25">
      <c r="A19134" t="s">
        <v>24</v>
      </c>
      <c r="B19134" t="s">
        <v>1473</v>
      </c>
      <c r="C19134" t="str">
        <f>"A0068553"</f>
        <v>A0068553</v>
      </c>
      <c r="D19134" t="s">
        <v>70644</v>
      </c>
      <c r="E19134" t="s">
        <v>70645</v>
      </c>
      <c r="F19134" t="s">
        <v>56789</v>
      </c>
      <c r="G19134" t="s">
        <v>65</v>
      </c>
      <c r="H19134">
        <v>43123</v>
      </c>
      <c r="I19134" t="s">
        <v>30</v>
      </c>
      <c r="J19134" t="s">
        <v>31</v>
      </c>
      <c r="K19134" t="s">
        <v>282</v>
      </c>
      <c r="N19134" t="s">
        <v>70646</v>
      </c>
      <c r="Q19134">
        <v>0</v>
      </c>
      <c r="R19134">
        <v>76</v>
      </c>
      <c r="S19134">
        <v>0</v>
      </c>
      <c r="T19134" t="s">
        <v>70647</v>
      </c>
    </row>
    <row r="19135" spans="1:20" customFormat="1" ht="15" x14ac:dyDescent="0.25">
      <c r="A19135" t="s">
        <v>24</v>
      </c>
      <c r="B19135" t="s">
        <v>8742</v>
      </c>
      <c r="C19135" t="str">
        <f>"A0100107"</f>
        <v>A0100107</v>
      </c>
      <c r="D19135" t="s">
        <v>70648</v>
      </c>
      <c r="E19135" t="s">
        <v>70649</v>
      </c>
      <c r="F19135" t="s">
        <v>70650</v>
      </c>
      <c r="G19135" t="s">
        <v>381</v>
      </c>
      <c r="H19135">
        <v>46323</v>
      </c>
      <c r="I19135" t="s">
        <v>30</v>
      </c>
      <c r="J19135" t="s">
        <v>31</v>
      </c>
      <c r="K19135" t="s">
        <v>282</v>
      </c>
      <c r="N19135" t="s">
        <v>70651</v>
      </c>
      <c r="Q19135">
        <v>0</v>
      </c>
      <c r="R19135">
        <v>113</v>
      </c>
      <c r="S19135">
        <v>0</v>
      </c>
      <c r="T19135" t="s">
        <v>70652</v>
      </c>
    </row>
    <row r="19136" spans="1:20" customFormat="1" ht="15" x14ac:dyDescent="0.25">
      <c r="A19136" t="s">
        <v>24</v>
      </c>
      <c r="B19136" t="s">
        <v>58709</v>
      </c>
      <c r="C19136" t="str">
        <f>"SF03189"</f>
        <v>SF03189</v>
      </c>
      <c r="D19136" t="s">
        <v>70653</v>
      </c>
      <c r="E19136" t="s">
        <v>70654</v>
      </c>
      <c r="F19136" t="s">
        <v>18901</v>
      </c>
      <c r="G19136" t="s">
        <v>103</v>
      </c>
      <c r="H19136">
        <v>17050</v>
      </c>
      <c r="I19136" t="s">
        <v>30</v>
      </c>
      <c r="J19136" t="s">
        <v>31</v>
      </c>
      <c r="K19136" t="s">
        <v>282</v>
      </c>
      <c r="N19136" t="s">
        <v>70655</v>
      </c>
      <c r="Q19136">
        <v>0</v>
      </c>
      <c r="R19136">
        <v>109</v>
      </c>
      <c r="S19136">
        <v>0</v>
      </c>
      <c r="T19136" t="s">
        <v>70656</v>
      </c>
    </row>
    <row r="19137" spans="1:20" customFormat="1" ht="15" x14ac:dyDescent="0.25">
      <c r="A19137" t="s">
        <v>24</v>
      </c>
      <c r="B19137" t="s">
        <v>63672</v>
      </c>
      <c r="C19137" t="str">
        <f>"A0099795"</f>
        <v>A0099795</v>
      </c>
      <c r="D19137" t="s">
        <v>70657</v>
      </c>
      <c r="E19137" t="s">
        <v>70658</v>
      </c>
      <c r="F19137" t="s">
        <v>60643</v>
      </c>
      <c r="G19137" t="s">
        <v>85</v>
      </c>
      <c r="H19137">
        <v>71913</v>
      </c>
      <c r="I19137" t="s">
        <v>30</v>
      </c>
      <c r="J19137" t="s">
        <v>31</v>
      </c>
      <c r="K19137" t="s">
        <v>282</v>
      </c>
      <c r="N19137" t="s">
        <v>70659</v>
      </c>
      <c r="Q19137">
        <v>0</v>
      </c>
      <c r="R19137">
        <v>94</v>
      </c>
      <c r="S19137">
        <v>0</v>
      </c>
      <c r="T19137" t="s">
        <v>70660</v>
      </c>
    </row>
    <row r="19138" spans="1:20" customFormat="1" ht="15" x14ac:dyDescent="0.25">
      <c r="A19138" t="s">
        <v>24</v>
      </c>
      <c r="B19138" t="s">
        <v>2340</v>
      </c>
      <c r="C19138" t="str">
        <f>"A0089119"</f>
        <v>A0089119</v>
      </c>
      <c r="D19138" t="s">
        <v>70661</v>
      </c>
      <c r="E19138" t="s">
        <v>70662</v>
      </c>
      <c r="F19138" t="s">
        <v>70663</v>
      </c>
      <c r="G19138" t="s">
        <v>29</v>
      </c>
      <c r="H19138">
        <v>22303</v>
      </c>
      <c r="I19138" t="s">
        <v>30</v>
      </c>
      <c r="J19138" t="s">
        <v>31</v>
      </c>
      <c r="K19138" t="s">
        <v>282</v>
      </c>
      <c r="N19138" t="s">
        <v>70664</v>
      </c>
      <c r="O19138" t="s">
        <v>70665</v>
      </c>
      <c r="Q19138">
        <v>0</v>
      </c>
      <c r="R19138">
        <v>85</v>
      </c>
      <c r="S19138">
        <v>0</v>
      </c>
      <c r="T19138" t="s">
        <v>70666</v>
      </c>
    </row>
    <row r="19139" spans="1:20" customFormat="1" ht="15" x14ac:dyDescent="0.25">
      <c r="A19139" t="s">
        <v>24</v>
      </c>
      <c r="B19139" t="s">
        <v>56867</v>
      </c>
      <c r="C19139" t="str">
        <f>"A0069448"</f>
        <v>A0069448</v>
      </c>
      <c r="D19139" t="s">
        <v>70667</v>
      </c>
      <c r="E19139" t="s">
        <v>70668</v>
      </c>
      <c r="F19139" t="s">
        <v>6014</v>
      </c>
      <c r="G19139" t="s">
        <v>137</v>
      </c>
      <c r="H19139">
        <v>63640</v>
      </c>
      <c r="I19139" t="s">
        <v>30</v>
      </c>
      <c r="J19139" t="s">
        <v>31</v>
      </c>
      <c r="K19139" t="s">
        <v>282</v>
      </c>
      <c r="N19139" t="s">
        <v>70669</v>
      </c>
      <c r="Q19139">
        <v>0</v>
      </c>
      <c r="R19139">
        <v>60</v>
      </c>
      <c r="S19139">
        <v>0</v>
      </c>
      <c r="T19139" t="s">
        <v>70670</v>
      </c>
    </row>
    <row r="19140" spans="1:20" customFormat="1" ht="15" x14ac:dyDescent="0.25">
      <c r="A19140" t="s">
        <v>24</v>
      </c>
      <c r="B19140" t="s">
        <v>13267</v>
      </c>
      <c r="C19140" t="str">
        <f>"A0072081"</f>
        <v>A0072081</v>
      </c>
      <c r="D19140" t="s">
        <v>70671</v>
      </c>
      <c r="E19140" t="s">
        <v>70672</v>
      </c>
      <c r="F19140" t="s">
        <v>11057</v>
      </c>
      <c r="G19140" t="s">
        <v>197</v>
      </c>
      <c r="H19140">
        <v>86401</v>
      </c>
      <c r="I19140" t="s">
        <v>30</v>
      </c>
      <c r="J19140" t="s">
        <v>31</v>
      </c>
      <c r="K19140" t="s">
        <v>282</v>
      </c>
      <c r="N19140" t="s">
        <v>70673</v>
      </c>
      <c r="O19140" t="s">
        <v>62109</v>
      </c>
      <c r="Q19140">
        <v>0</v>
      </c>
      <c r="R19140">
        <v>75</v>
      </c>
      <c r="S19140">
        <v>0</v>
      </c>
      <c r="T19140" t="s">
        <v>70674</v>
      </c>
    </row>
    <row r="19141" spans="1:20" customFormat="1" ht="15" x14ac:dyDescent="0.25">
      <c r="A19141" t="s">
        <v>24</v>
      </c>
      <c r="B19141" t="s">
        <v>70675</v>
      </c>
      <c r="C19141" t="str">
        <f>"A0067718"</f>
        <v>A0067718</v>
      </c>
      <c r="D19141" t="s">
        <v>70676</v>
      </c>
      <c r="E19141" t="s">
        <v>70677</v>
      </c>
      <c r="F19141" t="s">
        <v>3955</v>
      </c>
      <c r="G19141" t="s">
        <v>81</v>
      </c>
      <c r="H19141">
        <v>33647</v>
      </c>
      <c r="I19141" t="s">
        <v>30</v>
      </c>
      <c r="J19141" t="s">
        <v>31</v>
      </c>
      <c r="K19141" t="s">
        <v>282</v>
      </c>
      <c r="N19141" t="s">
        <v>70678</v>
      </c>
      <c r="O19141" t="s">
        <v>70679</v>
      </c>
      <c r="Q19141">
        <v>0</v>
      </c>
      <c r="R19141">
        <v>100</v>
      </c>
      <c r="S19141">
        <v>0</v>
      </c>
      <c r="T19141" t="s">
        <v>70680</v>
      </c>
    </row>
    <row r="19142" spans="1:20" customFormat="1" ht="15" x14ac:dyDescent="0.25">
      <c r="A19142" t="s">
        <v>24</v>
      </c>
      <c r="B19142" t="s">
        <v>1543</v>
      </c>
      <c r="C19142" t="str">
        <f>"A0072152"</f>
        <v>A0072152</v>
      </c>
      <c r="D19142" t="s">
        <v>70681</v>
      </c>
      <c r="E19142" t="s">
        <v>70682</v>
      </c>
      <c r="F19142" t="s">
        <v>70683</v>
      </c>
      <c r="G19142" t="s">
        <v>52</v>
      </c>
      <c r="H19142">
        <v>78596</v>
      </c>
      <c r="I19142" t="s">
        <v>30</v>
      </c>
      <c r="J19142" t="s">
        <v>31</v>
      </c>
      <c r="K19142" t="s">
        <v>282</v>
      </c>
      <c r="N19142" t="s">
        <v>70684</v>
      </c>
      <c r="Q19142">
        <v>0</v>
      </c>
      <c r="R19142">
        <v>100</v>
      </c>
      <c r="S19142">
        <v>0</v>
      </c>
      <c r="T19142" t="s">
        <v>70685</v>
      </c>
    </row>
    <row r="19143" spans="1:20" customFormat="1" ht="15" x14ac:dyDescent="0.25">
      <c r="A19143" t="s">
        <v>24</v>
      </c>
      <c r="B19143" t="s">
        <v>34033</v>
      </c>
      <c r="C19143" t="str">
        <f>"A0064288"</f>
        <v>A0064288</v>
      </c>
      <c r="D19143" t="s">
        <v>70686</v>
      </c>
      <c r="E19143" t="s">
        <v>70687</v>
      </c>
      <c r="F19143" t="s">
        <v>1809</v>
      </c>
      <c r="G19143" t="s">
        <v>58</v>
      </c>
      <c r="H19143">
        <v>29910</v>
      </c>
      <c r="I19143" t="s">
        <v>30</v>
      </c>
      <c r="J19143" t="s">
        <v>31</v>
      </c>
      <c r="K19143" t="s">
        <v>282</v>
      </c>
      <c r="N19143" t="s">
        <v>70688</v>
      </c>
      <c r="Q19143">
        <v>0</v>
      </c>
      <c r="R19143">
        <v>112</v>
      </c>
      <c r="S19143">
        <v>0</v>
      </c>
      <c r="T19143" t="s">
        <v>70689</v>
      </c>
    </row>
    <row r="19144" spans="1:20" customFormat="1" ht="15" x14ac:dyDescent="0.25">
      <c r="A19144" t="s">
        <v>24</v>
      </c>
      <c r="B19144" t="s">
        <v>58856</v>
      </c>
      <c r="C19144" t="str">
        <f>"A0091841"</f>
        <v>A0091841</v>
      </c>
      <c r="D19144" t="s">
        <v>70690</v>
      </c>
      <c r="E19144" t="s">
        <v>70691</v>
      </c>
      <c r="F19144" t="s">
        <v>65761</v>
      </c>
      <c r="G19144" t="s">
        <v>52</v>
      </c>
      <c r="H19144">
        <v>77598</v>
      </c>
      <c r="I19144" t="s">
        <v>30</v>
      </c>
      <c r="J19144" t="s">
        <v>31</v>
      </c>
      <c r="K19144" t="s">
        <v>282</v>
      </c>
      <c r="N19144" t="s">
        <v>70692</v>
      </c>
      <c r="O19144" t="s">
        <v>70693</v>
      </c>
      <c r="Q19144">
        <v>0</v>
      </c>
      <c r="R19144">
        <v>101</v>
      </c>
      <c r="S19144">
        <v>0</v>
      </c>
      <c r="T19144" t="s">
        <v>70694</v>
      </c>
    </row>
    <row r="19145" spans="1:20" customFormat="1" ht="15" x14ac:dyDescent="0.25">
      <c r="A19145" t="s">
        <v>24</v>
      </c>
      <c r="B19145" t="s">
        <v>1020</v>
      </c>
      <c r="C19145" t="str">
        <f>"A0091000"</f>
        <v>A0091000</v>
      </c>
      <c r="D19145" t="s">
        <v>70695</v>
      </c>
      <c r="E19145" t="s">
        <v>70696</v>
      </c>
      <c r="F19145" t="s">
        <v>3545</v>
      </c>
      <c r="G19145" t="s">
        <v>52</v>
      </c>
      <c r="H19145">
        <v>77340</v>
      </c>
      <c r="I19145" t="s">
        <v>30</v>
      </c>
      <c r="J19145" t="s">
        <v>31</v>
      </c>
      <c r="K19145" t="s">
        <v>282</v>
      </c>
      <c r="N19145" t="s">
        <v>70697</v>
      </c>
      <c r="Q19145">
        <v>0</v>
      </c>
      <c r="R19145">
        <v>87</v>
      </c>
      <c r="S19145">
        <v>0</v>
      </c>
      <c r="T19145" t="s">
        <v>70698</v>
      </c>
    </row>
    <row r="19146" spans="1:20" customFormat="1" ht="15" x14ac:dyDescent="0.25">
      <c r="A19146" t="s">
        <v>24</v>
      </c>
      <c r="B19146" t="s">
        <v>59714</v>
      </c>
      <c r="C19146" t="str">
        <f>"A0165642"</f>
        <v>A0165642</v>
      </c>
      <c r="D19146" t="s">
        <v>70699</v>
      </c>
      <c r="E19146" t="s">
        <v>70700</v>
      </c>
      <c r="F19146" t="s">
        <v>70701</v>
      </c>
      <c r="G19146" t="s">
        <v>99</v>
      </c>
      <c r="H19146">
        <v>14850</v>
      </c>
      <c r="I19146" t="s">
        <v>30</v>
      </c>
      <c r="J19146" t="s">
        <v>31</v>
      </c>
      <c r="K19146" t="s">
        <v>282</v>
      </c>
      <c r="N19146" t="s">
        <v>70702</v>
      </c>
      <c r="Q19146">
        <v>0</v>
      </c>
      <c r="R19146">
        <v>79</v>
      </c>
      <c r="S19146">
        <v>0</v>
      </c>
      <c r="T19146" t="s">
        <v>70703</v>
      </c>
    </row>
    <row r="19147" spans="1:20" customFormat="1" ht="15" x14ac:dyDescent="0.25">
      <c r="A19147" t="s">
        <v>24</v>
      </c>
      <c r="B19147" t="s">
        <v>2340</v>
      </c>
      <c r="C19147" t="str">
        <f>"A0075866"</f>
        <v>A0075866</v>
      </c>
      <c r="D19147" t="s">
        <v>70704</v>
      </c>
      <c r="E19147" t="s">
        <v>70705</v>
      </c>
      <c r="F19147" t="s">
        <v>8703</v>
      </c>
      <c r="G19147" t="s">
        <v>925</v>
      </c>
      <c r="H19147">
        <v>66111</v>
      </c>
      <c r="I19147" t="s">
        <v>30</v>
      </c>
      <c r="J19147" t="s">
        <v>31</v>
      </c>
      <c r="K19147" t="s">
        <v>282</v>
      </c>
      <c r="N19147" t="s">
        <v>70706</v>
      </c>
      <c r="Q19147">
        <v>0</v>
      </c>
      <c r="R19147">
        <v>96</v>
      </c>
      <c r="S19147">
        <v>0</v>
      </c>
      <c r="T19147" t="s">
        <v>70707</v>
      </c>
    </row>
    <row r="19148" spans="1:20" customFormat="1" ht="15" x14ac:dyDescent="0.25">
      <c r="A19148" t="s">
        <v>24</v>
      </c>
      <c r="B19148" t="s">
        <v>1467</v>
      </c>
      <c r="C19148" t="str">
        <f>"A0057268"</f>
        <v>A0057268</v>
      </c>
      <c r="D19148" t="s">
        <v>70708</v>
      </c>
      <c r="E19148" t="s">
        <v>70709</v>
      </c>
      <c r="F19148" t="s">
        <v>15012</v>
      </c>
      <c r="G19148" t="s">
        <v>1363</v>
      </c>
      <c r="H19148">
        <v>3431</v>
      </c>
      <c r="I19148" t="s">
        <v>30</v>
      </c>
      <c r="J19148" t="s">
        <v>31</v>
      </c>
      <c r="K19148" t="s">
        <v>282</v>
      </c>
      <c r="N19148" t="s">
        <v>70710</v>
      </c>
      <c r="Q19148">
        <v>0</v>
      </c>
      <c r="R19148">
        <v>80</v>
      </c>
      <c r="S19148">
        <v>0</v>
      </c>
      <c r="T19148" t="s">
        <v>70711</v>
      </c>
    </row>
    <row r="19149" spans="1:20" customFormat="1" ht="15" x14ac:dyDescent="0.25">
      <c r="A19149" t="s">
        <v>24</v>
      </c>
      <c r="B19149" t="s">
        <v>56526</v>
      </c>
      <c r="C19149" t="str">
        <f>"A0074434"</f>
        <v>A0074434</v>
      </c>
      <c r="D19149" t="s">
        <v>70712</v>
      </c>
      <c r="E19149" t="s">
        <v>70713</v>
      </c>
      <c r="F19149" t="s">
        <v>1889</v>
      </c>
      <c r="G19149" t="s">
        <v>81</v>
      </c>
      <c r="H19149">
        <v>33176</v>
      </c>
      <c r="I19149" t="s">
        <v>30</v>
      </c>
      <c r="J19149" t="s">
        <v>31</v>
      </c>
      <c r="K19149" t="s">
        <v>282</v>
      </c>
      <c r="N19149" t="s">
        <v>70714</v>
      </c>
      <c r="Q19149">
        <v>0</v>
      </c>
      <c r="R19149">
        <v>66</v>
      </c>
      <c r="S19149">
        <v>0</v>
      </c>
      <c r="T19149" t="s">
        <v>70715</v>
      </c>
    </row>
    <row r="19150" spans="1:20" customFormat="1" ht="15" x14ac:dyDescent="0.25">
      <c r="A19150" t="s">
        <v>24</v>
      </c>
      <c r="B19150" t="s">
        <v>5843</v>
      </c>
      <c r="C19150" t="str">
        <f>"88HX023"</f>
        <v>88HX023</v>
      </c>
      <c r="D19150" t="s">
        <v>70716</v>
      </c>
      <c r="E19150" t="s">
        <v>70717</v>
      </c>
      <c r="F19150" t="s">
        <v>64361</v>
      </c>
      <c r="G19150" t="s">
        <v>110</v>
      </c>
      <c r="H19150">
        <v>92037</v>
      </c>
      <c r="I19150" t="s">
        <v>30</v>
      </c>
      <c r="J19150" t="s">
        <v>31</v>
      </c>
      <c r="K19150" t="s">
        <v>282</v>
      </c>
      <c r="N19150" t="s">
        <v>70718</v>
      </c>
      <c r="Q19150">
        <v>0</v>
      </c>
      <c r="R19150">
        <v>58</v>
      </c>
      <c r="S19150">
        <v>0</v>
      </c>
      <c r="T19150" t="s">
        <v>70719</v>
      </c>
    </row>
    <row r="19151" spans="1:20" customFormat="1" ht="15" x14ac:dyDescent="0.25">
      <c r="A19151" t="s">
        <v>24</v>
      </c>
      <c r="B19151" t="s">
        <v>68603</v>
      </c>
      <c r="C19151" t="str">
        <f>"A0089755"</f>
        <v>A0089755</v>
      </c>
      <c r="D19151" t="s">
        <v>70720</v>
      </c>
      <c r="E19151" t="s">
        <v>70721</v>
      </c>
      <c r="F19151" t="s">
        <v>70722</v>
      </c>
      <c r="G19151" t="s">
        <v>81</v>
      </c>
      <c r="H19151">
        <v>34211</v>
      </c>
      <c r="I19151" t="s">
        <v>30</v>
      </c>
      <c r="J19151" t="s">
        <v>31</v>
      </c>
      <c r="K19151" t="s">
        <v>282</v>
      </c>
      <c r="Q19151">
        <v>0</v>
      </c>
      <c r="R19151">
        <v>78</v>
      </c>
      <c r="S19151">
        <v>0</v>
      </c>
      <c r="T19151" t="s">
        <v>70723</v>
      </c>
    </row>
    <row r="19152" spans="1:20" customFormat="1" ht="15" x14ac:dyDescent="0.25">
      <c r="A19152" t="s">
        <v>24</v>
      </c>
      <c r="B19152" t="s">
        <v>2340</v>
      </c>
      <c r="C19152" t="str">
        <f>"A0073310"</f>
        <v>A0073310</v>
      </c>
      <c r="D19152" t="s">
        <v>70724</v>
      </c>
      <c r="E19152" t="s">
        <v>70725</v>
      </c>
      <c r="F19152" t="s">
        <v>70726</v>
      </c>
      <c r="G19152" t="s">
        <v>123</v>
      </c>
      <c r="H19152">
        <v>20784</v>
      </c>
      <c r="I19152" t="s">
        <v>30</v>
      </c>
      <c r="J19152" t="s">
        <v>31</v>
      </c>
      <c r="K19152" t="s">
        <v>282</v>
      </c>
      <c r="N19152" t="s">
        <v>70727</v>
      </c>
      <c r="Q19152">
        <v>0</v>
      </c>
      <c r="R19152">
        <v>89</v>
      </c>
      <c r="S19152">
        <v>0</v>
      </c>
      <c r="T19152" t="s">
        <v>70728</v>
      </c>
    </row>
    <row r="19153" spans="1:20" customFormat="1" ht="15" x14ac:dyDescent="0.25">
      <c r="A19153" t="s">
        <v>24</v>
      </c>
      <c r="B19153" t="s">
        <v>1138</v>
      </c>
      <c r="C19153" t="str">
        <f>"A0083770"</f>
        <v>A0083770</v>
      </c>
      <c r="D19153" t="s">
        <v>70729</v>
      </c>
      <c r="E19153" t="s">
        <v>70730</v>
      </c>
      <c r="F19153" t="s">
        <v>902</v>
      </c>
      <c r="G19153" t="s">
        <v>221</v>
      </c>
      <c r="H19153">
        <v>89118</v>
      </c>
      <c r="I19153" t="s">
        <v>30</v>
      </c>
      <c r="J19153" t="s">
        <v>31</v>
      </c>
      <c r="K19153" t="s">
        <v>282</v>
      </c>
      <c r="N19153" t="s">
        <v>70731</v>
      </c>
      <c r="Q19153">
        <v>0</v>
      </c>
      <c r="R19153">
        <v>108</v>
      </c>
      <c r="S19153">
        <v>0</v>
      </c>
      <c r="T19153" t="s">
        <v>70732</v>
      </c>
    </row>
    <row r="19154" spans="1:20" customFormat="1" ht="15" x14ac:dyDescent="0.25">
      <c r="A19154" t="s">
        <v>24</v>
      </c>
      <c r="B19154" t="s">
        <v>4341</v>
      </c>
      <c r="C19154" t="str">
        <f>"A0074392"</f>
        <v>A0074392</v>
      </c>
      <c r="D19154" t="s">
        <v>70733</v>
      </c>
      <c r="E19154" t="s">
        <v>70734</v>
      </c>
      <c r="F19154" t="s">
        <v>1689</v>
      </c>
      <c r="G19154" t="s">
        <v>840</v>
      </c>
      <c r="H19154">
        <v>40504</v>
      </c>
      <c r="I19154" t="s">
        <v>30</v>
      </c>
      <c r="J19154" t="s">
        <v>31</v>
      </c>
      <c r="K19154" t="s">
        <v>282</v>
      </c>
      <c r="N19154" t="s">
        <v>70735</v>
      </c>
      <c r="Q19154">
        <v>0</v>
      </c>
      <c r="R19154">
        <v>96</v>
      </c>
      <c r="S19154">
        <v>0</v>
      </c>
      <c r="T19154" t="s">
        <v>70736</v>
      </c>
    </row>
    <row r="19155" spans="1:20" customFormat="1" ht="15" x14ac:dyDescent="0.25">
      <c r="A19155" t="s">
        <v>24</v>
      </c>
      <c r="B19155" t="s">
        <v>63672</v>
      </c>
      <c r="C19155" t="str">
        <f>"SF02950"</f>
        <v>SF02950</v>
      </c>
      <c r="D19155" t="s">
        <v>70737</v>
      </c>
      <c r="E19155" t="s">
        <v>70738</v>
      </c>
      <c r="F19155" t="s">
        <v>10174</v>
      </c>
      <c r="G19155" t="s">
        <v>85</v>
      </c>
      <c r="H19155">
        <v>72206</v>
      </c>
      <c r="I19155" t="s">
        <v>30</v>
      </c>
      <c r="J19155" t="s">
        <v>31</v>
      </c>
      <c r="K19155" t="s">
        <v>282</v>
      </c>
      <c r="N19155" t="s">
        <v>70739</v>
      </c>
      <c r="Q19155">
        <v>0</v>
      </c>
      <c r="R19155">
        <v>190</v>
      </c>
      <c r="S19155">
        <v>0</v>
      </c>
      <c r="T19155" t="s">
        <v>70740</v>
      </c>
    </row>
    <row r="19156" spans="1:20" customFormat="1" ht="15" x14ac:dyDescent="0.25">
      <c r="A19156" t="s">
        <v>24</v>
      </c>
      <c r="B19156" t="s">
        <v>1020</v>
      </c>
      <c r="C19156" t="str">
        <f>"A0083239"</f>
        <v>A0083239</v>
      </c>
      <c r="D19156" t="s">
        <v>70741</v>
      </c>
      <c r="E19156" t="s">
        <v>70742</v>
      </c>
      <c r="F19156" t="s">
        <v>70743</v>
      </c>
      <c r="G19156" t="s">
        <v>103</v>
      </c>
      <c r="H19156">
        <v>19355</v>
      </c>
      <c r="I19156" t="s">
        <v>30</v>
      </c>
      <c r="J19156" t="s">
        <v>31</v>
      </c>
      <c r="K19156" t="s">
        <v>282</v>
      </c>
      <c r="N19156" t="s">
        <v>70744</v>
      </c>
      <c r="Q19156">
        <v>0</v>
      </c>
      <c r="R19156">
        <v>88</v>
      </c>
      <c r="S19156">
        <v>0</v>
      </c>
      <c r="T19156" t="s">
        <v>70745</v>
      </c>
    </row>
    <row r="19157" spans="1:20" customFormat="1" ht="15" x14ac:dyDescent="0.25">
      <c r="A19157" t="s">
        <v>24</v>
      </c>
      <c r="B19157" t="s">
        <v>2005</v>
      </c>
      <c r="C19157" t="str">
        <f>"A0089330"</f>
        <v>A0089330</v>
      </c>
      <c r="D19157" t="s">
        <v>70746</v>
      </c>
      <c r="E19157" t="s">
        <v>70747</v>
      </c>
      <c r="F19157" t="s">
        <v>8542</v>
      </c>
      <c r="G19157" t="s">
        <v>880</v>
      </c>
      <c r="H19157">
        <v>37355</v>
      </c>
      <c r="I19157" t="s">
        <v>30</v>
      </c>
      <c r="J19157" t="s">
        <v>31</v>
      </c>
      <c r="K19157" t="s">
        <v>282</v>
      </c>
      <c r="N19157" t="s">
        <v>70748</v>
      </c>
      <c r="O19157" t="s">
        <v>70749</v>
      </c>
      <c r="Q19157">
        <v>0</v>
      </c>
      <c r="R19157">
        <v>80</v>
      </c>
      <c r="S19157">
        <v>0</v>
      </c>
      <c r="T19157" t="s">
        <v>70750</v>
      </c>
    </row>
    <row r="19158" spans="1:20" customFormat="1" ht="15" x14ac:dyDescent="0.25">
      <c r="A19158" t="s">
        <v>24</v>
      </c>
      <c r="B19158" t="s">
        <v>1020</v>
      </c>
      <c r="C19158" t="str">
        <f>"A0083247"</f>
        <v>A0083247</v>
      </c>
      <c r="D19158" t="s">
        <v>70751</v>
      </c>
      <c r="E19158" t="s">
        <v>70752</v>
      </c>
      <c r="F19158" t="s">
        <v>997</v>
      </c>
      <c r="G19158" t="s">
        <v>99</v>
      </c>
      <c r="H19158">
        <v>10001</v>
      </c>
      <c r="I19158" t="s">
        <v>30</v>
      </c>
      <c r="J19158" t="s">
        <v>31</v>
      </c>
      <c r="K19158" t="s">
        <v>282</v>
      </c>
      <c r="N19158" t="s">
        <v>57546</v>
      </c>
      <c r="Q19158">
        <v>0</v>
      </c>
      <c r="R19158">
        <v>75</v>
      </c>
      <c r="S19158">
        <v>0</v>
      </c>
      <c r="T19158" t="s">
        <v>70753</v>
      </c>
    </row>
    <row r="19159" spans="1:20" customFormat="1" ht="15" x14ac:dyDescent="0.25">
      <c r="A19159" t="s">
        <v>24</v>
      </c>
      <c r="B19159" t="s">
        <v>59142</v>
      </c>
      <c r="C19159" t="str">
        <f>"A0147570"</f>
        <v>A0147570</v>
      </c>
      <c r="D19159" t="s">
        <v>70754</v>
      </c>
      <c r="E19159" t="s">
        <v>70755</v>
      </c>
      <c r="F19159" t="s">
        <v>6873</v>
      </c>
      <c r="G19159" t="s">
        <v>47</v>
      </c>
      <c r="H19159">
        <v>97501</v>
      </c>
      <c r="I19159" t="s">
        <v>30</v>
      </c>
      <c r="J19159" t="s">
        <v>31</v>
      </c>
      <c r="K19159" t="s">
        <v>282</v>
      </c>
      <c r="N19159" t="s">
        <v>70756</v>
      </c>
      <c r="Q19159">
        <v>0</v>
      </c>
      <c r="R19159">
        <v>91</v>
      </c>
      <c r="S19159">
        <v>0</v>
      </c>
      <c r="T19159" t="s">
        <v>70757</v>
      </c>
    </row>
    <row r="19160" spans="1:20" customFormat="1" ht="15" x14ac:dyDescent="0.25">
      <c r="A19160" t="s">
        <v>24</v>
      </c>
      <c r="B19160" t="s">
        <v>2180</v>
      </c>
      <c r="C19160" t="str">
        <f>"A0070041"</f>
        <v>A0070041</v>
      </c>
      <c r="D19160" t="s">
        <v>70758</v>
      </c>
      <c r="E19160" t="s">
        <v>70759</v>
      </c>
      <c r="F19160" t="s">
        <v>1501</v>
      </c>
      <c r="G19160" t="s">
        <v>880</v>
      </c>
      <c r="H19160">
        <v>38125</v>
      </c>
      <c r="I19160" t="s">
        <v>30</v>
      </c>
      <c r="J19160" t="s">
        <v>31</v>
      </c>
      <c r="K19160" t="s">
        <v>282</v>
      </c>
      <c r="N19160" t="s">
        <v>70760</v>
      </c>
      <c r="Q19160">
        <v>0</v>
      </c>
      <c r="R19160">
        <v>89</v>
      </c>
      <c r="S19160">
        <v>0</v>
      </c>
      <c r="T19160" t="s">
        <v>70761</v>
      </c>
    </row>
    <row r="19161" spans="1:20" customFormat="1" ht="15" x14ac:dyDescent="0.25">
      <c r="A19161" t="s">
        <v>24</v>
      </c>
      <c r="B19161" t="s">
        <v>4400</v>
      </c>
      <c r="C19161" t="str">
        <f>"A0074950"</f>
        <v>A0074950</v>
      </c>
      <c r="D19161" t="s">
        <v>70762</v>
      </c>
      <c r="E19161" t="s">
        <v>70763</v>
      </c>
      <c r="F19161" t="s">
        <v>1889</v>
      </c>
      <c r="G19161" t="s">
        <v>81</v>
      </c>
      <c r="H19161">
        <v>33166</v>
      </c>
      <c r="I19161" t="s">
        <v>30</v>
      </c>
      <c r="J19161" t="s">
        <v>31</v>
      </c>
      <c r="K19161" t="s">
        <v>282</v>
      </c>
      <c r="N19161" t="s">
        <v>70764</v>
      </c>
      <c r="Q19161">
        <v>0</v>
      </c>
      <c r="R19161">
        <v>103</v>
      </c>
      <c r="S19161">
        <v>0</v>
      </c>
      <c r="T19161" t="s">
        <v>70765</v>
      </c>
    </row>
    <row r="19162" spans="1:20" customFormat="1" ht="15" x14ac:dyDescent="0.25">
      <c r="A19162" t="s">
        <v>24</v>
      </c>
      <c r="B19162" t="s">
        <v>11697</v>
      </c>
      <c r="C19162" t="str">
        <f>"SF05092"</f>
        <v>SF05092</v>
      </c>
      <c r="D19162" t="s">
        <v>70766</v>
      </c>
      <c r="E19162" t="s">
        <v>70767</v>
      </c>
      <c r="F19162" t="s">
        <v>70768</v>
      </c>
      <c r="G19162" t="s">
        <v>81</v>
      </c>
      <c r="H19162">
        <v>33166</v>
      </c>
      <c r="I19162" t="s">
        <v>30</v>
      </c>
      <c r="J19162" t="s">
        <v>31</v>
      </c>
      <c r="K19162" t="s">
        <v>282</v>
      </c>
      <c r="N19162" t="s">
        <v>70769</v>
      </c>
      <c r="Q19162">
        <v>0</v>
      </c>
      <c r="R19162">
        <v>110</v>
      </c>
      <c r="S19162">
        <v>0</v>
      </c>
      <c r="T19162" t="s">
        <v>70770</v>
      </c>
    </row>
    <row r="19163" spans="1:20" customFormat="1" ht="15" x14ac:dyDescent="0.25">
      <c r="A19163" t="s">
        <v>24</v>
      </c>
      <c r="B19163" t="s">
        <v>12356</v>
      </c>
      <c r="C19163" t="str">
        <f>"SF03268"</f>
        <v>SF03268</v>
      </c>
      <c r="D19163" t="s">
        <v>70771</v>
      </c>
      <c r="E19163" t="s">
        <v>70772</v>
      </c>
      <c r="F19163" t="s">
        <v>70773</v>
      </c>
      <c r="G19163" t="s">
        <v>71</v>
      </c>
      <c r="H19163">
        <v>53226</v>
      </c>
      <c r="I19163" t="s">
        <v>30</v>
      </c>
      <c r="J19163" t="s">
        <v>31</v>
      </c>
      <c r="K19163" t="s">
        <v>282</v>
      </c>
      <c r="N19163" t="s">
        <v>70774</v>
      </c>
      <c r="O19163" t="s">
        <v>70090</v>
      </c>
      <c r="Q19163">
        <v>0</v>
      </c>
      <c r="R19163">
        <v>122</v>
      </c>
      <c r="S19163">
        <v>0</v>
      </c>
      <c r="T19163" t="s">
        <v>70775</v>
      </c>
    </row>
    <row r="19164" spans="1:20" customFormat="1" ht="15" x14ac:dyDescent="0.25">
      <c r="A19164" t="s">
        <v>24</v>
      </c>
      <c r="B19164" t="s">
        <v>4990</v>
      </c>
      <c r="C19164" t="str">
        <f>"A0165186"</f>
        <v>A0165186</v>
      </c>
      <c r="D19164" t="s">
        <v>70776</v>
      </c>
      <c r="E19164" t="s">
        <v>70777</v>
      </c>
      <c r="F19164" t="s">
        <v>5999</v>
      </c>
      <c r="G19164" t="s">
        <v>71</v>
      </c>
      <c r="H19164">
        <v>53202</v>
      </c>
      <c r="I19164" t="s">
        <v>30</v>
      </c>
      <c r="J19164" t="s">
        <v>31</v>
      </c>
      <c r="K19164" t="s">
        <v>282</v>
      </c>
      <c r="N19164" t="s">
        <v>70778</v>
      </c>
      <c r="Q19164">
        <v>0</v>
      </c>
      <c r="R19164">
        <v>115</v>
      </c>
      <c r="S19164">
        <v>0</v>
      </c>
      <c r="T19164" t="s">
        <v>70779</v>
      </c>
    </row>
    <row r="19165" spans="1:20" customFormat="1" ht="15" x14ac:dyDescent="0.25">
      <c r="A19165" t="s">
        <v>24</v>
      </c>
      <c r="B19165" t="s">
        <v>34201</v>
      </c>
      <c r="C19165" t="str">
        <f>"A0096239"</f>
        <v>A0096239</v>
      </c>
      <c r="D19165" t="s">
        <v>70780</v>
      </c>
      <c r="E19165" t="s">
        <v>70781</v>
      </c>
      <c r="F19165" t="s">
        <v>70782</v>
      </c>
      <c r="G19165" t="s">
        <v>289</v>
      </c>
      <c r="H19165">
        <v>60450</v>
      </c>
      <c r="I19165" t="s">
        <v>30</v>
      </c>
      <c r="J19165" t="s">
        <v>31</v>
      </c>
      <c r="K19165" t="s">
        <v>282</v>
      </c>
      <c r="N19165" t="s">
        <v>70783</v>
      </c>
      <c r="O19165" t="s">
        <v>70784</v>
      </c>
      <c r="Q19165">
        <v>0</v>
      </c>
      <c r="R19165">
        <v>92</v>
      </c>
      <c r="S19165">
        <v>0</v>
      </c>
      <c r="T19165" t="s">
        <v>70785</v>
      </c>
    </row>
    <row r="19166" spans="1:20" customFormat="1" ht="15" x14ac:dyDescent="0.25">
      <c r="A19166" t="s">
        <v>24</v>
      </c>
      <c r="B19166" t="s">
        <v>65770</v>
      </c>
      <c r="C19166" t="str">
        <f>"SF07711"</f>
        <v>SF07711</v>
      </c>
      <c r="D19166" t="s">
        <v>70786</v>
      </c>
      <c r="E19166" t="s">
        <v>70787</v>
      </c>
      <c r="F19166" t="s">
        <v>17093</v>
      </c>
      <c r="G19166" t="s">
        <v>381</v>
      </c>
      <c r="H19166">
        <v>47304</v>
      </c>
      <c r="I19166" t="s">
        <v>30</v>
      </c>
      <c r="J19166" t="s">
        <v>31</v>
      </c>
      <c r="K19166" t="s">
        <v>282</v>
      </c>
      <c r="N19166" t="s">
        <v>70788</v>
      </c>
      <c r="Q19166">
        <v>0</v>
      </c>
      <c r="R19166">
        <v>76</v>
      </c>
      <c r="S19166">
        <v>0</v>
      </c>
      <c r="T19166" t="s">
        <v>70789</v>
      </c>
    </row>
    <row r="19167" spans="1:20" customFormat="1" ht="15" x14ac:dyDescent="0.25">
      <c r="A19167" t="s">
        <v>24</v>
      </c>
      <c r="B19167" t="s">
        <v>4400</v>
      </c>
      <c r="C19167" t="str">
        <f>"A0099380"</f>
        <v>A0099380</v>
      </c>
      <c r="D19167" t="s">
        <v>70790</v>
      </c>
      <c r="E19167" t="s">
        <v>70791</v>
      </c>
      <c r="F19167" t="s">
        <v>2971</v>
      </c>
      <c r="G19167" t="s">
        <v>880</v>
      </c>
      <c r="H19167">
        <v>37214</v>
      </c>
      <c r="I19167" t="s">
        <v>30</v>
      </c>
      <c r="J19167" t="s">
        <v>31</v>
      </c>
      <c r="K19167" t="s">
        <v>282</v>
      </c>
      <c r="N19167" t="s">
        <v>70792</v>
      </c>
      <c r="Q19167">
        <v>0</v>
      </c>
      <c r="R19167">
        <v>207</v>
      </c>
      <c r="S19167">
        <v>0</v>
      </c>
      <c r="T19167" t="s">
        <v>70793</v>
      </c>
    </row>
    <row r="19168" spans="1:20" customFormat="1" ht="15" x14ac:dyDescent="0.25">
      <c r="A19168" t="s">
        <v>24</v>
      </c>
      <c r="B19168" t="s">
        <v>4341</v>
      </c>
      <c r="C19168" t="str">
        <f>"A0092147"</f>
        <v>A0092147</v>
      </c>
      <c r="D19168" t="s">
        <v>70794</v>
      </c>
      <c r="E19168" t="s">
        <v>70795</v>
      </c>
      <c r="F19168" t="s">
        <v>70796</v>
      </c>
      <c r="G19168" t="s">
        <v>117</v>
      </c>
      <c r="H19168">
        <v>49117</v>
      </c>
      <c r="I19168" t="s">
        <v>30</v>
      </c>
      <c r="J19168" t="s">
        <v>31</v>
      </c>
      <c r="K19168" t="s">
        <v>282</v>
      </c>
      <c r="N19168" t="s">
        <v>70797</v>
      </c>
      <c r="Q19168">
        <v>0</v>
      </c>
      <c r="R19168">
        <v>80</v>
      </c>
      <c r="S19168">
        <v>0</v>
      </c>
      <c r="T19168" t="s">
        <v>70798</v>
      </c>
    </row>
    <row r="19169" spans="1:20" customFormat="1" ht="15" x14ac:dyDescent="0.25">
      <c r="A19169" t="s">
        <v>24</v>
      </c>
      <c r="B19169" t="s">
        <v>70799</v>
      </c>
      <c r="C19169" t="str">
        <f>"A0077479"</f>
        <v>A0077479</v>
      </c>
      <c r="D19169" t="s">
        <v>70800</v>
      </c>
      <c r="E19169" t="s">
        <v>70801</v>
      </c>
      <c r="F19169" t="s">
        <v>70802</v>
      </c>
      <c r="G19169" t="s">
        <v>103</v>
      </c>
      <c r="H19169">
        <v>17856</v>
      </c>
      <c r="I19169" t="s">
        <v>30</v>
      </c>
      <c r="J19169" t="s">
        <v>31</v>
      </c>
      <c r="K19169" t="s">
        <v>282</v>
      </c>
      <c r="N19169" t="s">
        <v>70803</v>
      </c>
      <c r="Q19169">
        <v>0</v>
      </c>
      <c r="R19169">
        <v>101</v>
      </c>
      <c r="S19169">
        <v>0</v>
      </c>
      <c r="T19169" t="s">
        <v>70804</v>
      </c>
    </row>
    <row r="19170" spans="1:20" customFormat="1" ht="15" x14ac:dyDescent="0.25">
      <c r="A19170" t="s">
        <v>24</v>
      </c>
      <c r="B19170" t="s">
        <v>4990</v>
      </c>
      <c r="C19170" t="str">
        <f>"A0096844"</f>
        <v>A0096844</v>
      </c>
      <c r="D19170" t="s">
        <v>70805</v>
      </c>
      <c r="E19170" t="s">
        <v>70806</v>
      </c>
      <c r="F19170" t="s">
        <v>2069</v>
      </c>
      <c r="G19170" t="s">
        <v>1170</v>
      </c>
      <c r="H19170">
        <v>70130</v>
      </c>
      <c r="I19170" t="s">
        <v>30</v>
      </c>
      <c r="J19170" t="s">
        <v>31</v>
      </c>
      <c r="K19170" t="s">
        <v>282</v>
      </c>
      <c r="N19170" t="s">
        <v>70807</v>
      </c>
      <c r="O19170" t="s">
        <v>70808</v>
      </c>
      <c r="Q19170">
        <v>0</v>
      </c>
      <c r="R19170">
        <v>135</v>
      </c>
      <c r="S19170">
        <v>0</v>
      </c>
      <c r="T19170" t="s">
        <v>70809</v>
      </c>
    </row>
    <row r="19171" spans="1:20" customFormat="1" ht="15" x14ac:dyDescent="0.25">
      <c r="A19171" t="s">
        <v>24</v>
      </c>
      <c r="B19171" t="s">
        <v>11484</v>
      </c>
      <c r="C19171" t="str">
        <f>"A0154005"</f>
        <v>A0154005</v>
      </c>
      <c r="D19171" t="s">
        <v>70810</v>
      </c>
      <c r="E19171" t="s">
        <v>70811</v>
      </c>
      <c r="F19171" t="s">
        <v>2069</v>
      </c>
      <c r="G19171" t="s">
        <v>1170</v>
      </c>
      <c r="H19171">
        <v>70112</v>
      </c>
      <c r="I19171" t="s">
        <v>30</v>
      </c>
      <c r="J19171" t="s">
        <v>31</v>
      </c>
      <c r="K19171" t="s">
        <v>282</v>
      </c>
      <c r="N19171" t="s">
        <v>70812</v>
      </c>
      <c r="O19171" t="s">
        <v>70813</v>
      </c>
      <c r="Q19171">
        <v>0</v>
      </c>
      <c r="R19171">
        <v>129</v>
      </c>
      <c r="S19171">
        <v>0</v>
      </c>
      <c r="T19171" t="s">
        <v>70814</v>
      </c>
    </row>
    <row r="19172" spans="1:20" customFormat="1" ht="15" x14ac:dyDescent="0.25">
      <c r="A19172" t="s">
        <v>24</v>
      </c>
      <c r="B19172" t="s">
        <v>57441</v>
      </c>
      <c r="C19172" t="str">
        <f>"A0078419"</f>
        <v>A0078419</v>
      </c>
      <c r="D19172" t="s">
        <v>70815</v>
      </c>
      <c r="E19172" t="s">
        <v>70816</v>
      </c>
      <c r="F19172" t="s">
        <v>4269</v>
      </c>
      <c r="G19172" t="s">
        <v>99</v>
      </c>
      <c r="H19172">
        <v>11215</v>
      </c>
      <c r="I19172" t="s">
        <v>30</v>
      </c>
      <c r="J19172" t="s">
        <v>31</v>
      </c>
      <c r="K19172" t="s">
        <v>282</v>
      </c>
      <c r="N19172" t="s">
        <v>57444</v>
      </c>
      <c r="Q19172">
        <v>0</v>
      </c>
      <c r="R19172">
        <v>115</v>
      </c>
      <c r="S19172">
        <v>0</v>
      </c>
      <c r="T19172" t="s">
        <v>70817</v>
      </c>
    </row>
    <row r="19173" spans="1:20" customFormat="1" ht="15" x14ac:dyDescent="0.25">
      <c r="A19173" t="s">
        <v>24</v>
      </c>
      <c r="B19173" t="s">
        <v>1317</v>
      </c>
      <c r="C19173" t="str">
        <f>"A0088258"</f>
        <v>A0088258</v>
      </c>
      <c r="D19173" t="s">
        <v>70818</v>
      </c>
      <c r="E19173" t="s">
        <v>70819</v>
      </c>
      <c r="F19173" t="s">
        <v>33618</v>
      </c>
      <c r="G19173" t="s">
        <v>47</v>
      </c>
      <c r="H19173">
        <v>97635</v>
      </c>
      <c r="I19173" t="s">
        <v>30</v>
      </c>
      <c r="J19173" t="s">
        <v>31</v>
      </c>
      <c r="K19173" t="s">
        <v>282</v>
      </c>
      <c r="N19173" t="s">
        <v>70820</v>
      </c>
      <c r="O19173" t="s">
        <v>70821</v>
      </c>
      <c r="Q19173">
        <v>0</v>
      </c>
      <c r="R19173">
        <v>85</v>
      </c>
      <c r="S19173">
        <v>0</v>
      </c>
      <c r="T19173" t="s">
        <v>70822</v>
      </c>
    </row>
    <row r="19174" spans="1:20" customFormat="1" ht="15" x14ac:dyDescent="0.25">
      <c r="A19174" t="s">
        <v>24</v>
      </c>
      <c r="B19174" t="s">
        <v>1317</v>
      </c>
      <c r="C19174" t="str">
        <f>"A0097880"</f>
        <v>A0097880</v>
      </c>
      <c r="D19174" t="s">
        <v>70823</v>
      </c>
      <c r="E19174" t="s">
        <v>70824</v>
      </c>
      <c r="F19174" t="s">
        <v>70825</v>
      </c>
      <c r="G19174" t="s">
        <v>110</v>
      </c>
      <c r="H19174">
        <v>91601</v>
      </c>
      <c r="I19174" t="s">
        <v>30</v>
      </c>
      <c r="J19174" t="s">
        <v>31</v>
      </c>
      <c r="K19174" t="s">
        <v>282</v>
      </c>
      <c r="N19174" t="s">
        <v>70826</v>
      </c>
      <c r="Q19174">
        <v>0</v>
      </c>
      <c r="R19174">
        <v>79</v>
      </c>
      <c r="S19174">
        <v>0</v>
      </c>
      <c r="T19174" t="s">
        <v>70827</v>
      </c>
    </row>
    <row r="19175" spans="1:20" customFormat="1" ht="15" x14ac:dyDescent="0.25">
      <c r="A19175" t="s">
        <v>24</v>
      </c>
      <c r="B19175" t="s">
        <v>56959</v>
      </c>
      <c r="C19175" t="str">
        <f>"A0095016"</f>
        <v>A0095016</v>
      </c>
      <c r="D19175" t="s">
        <v>70828</v>
      </c>
      <c r="E19175" t="s">
        <v>70829</v>
      </c>
      <c r="F19175" t="s">
        <v>70830</v>
      </c>
      <c r="G19175" t="s">
        <v>65</v>
      </c>
      <c r="H19175">
        <v>43207</v>
      </c>
      <c r="I19175" t="s">
        <v>30</v>
      </c>
      <c r="J19175" t="s">
        <v>31</v>
      </c>
      <c r="K19175" t="s">
        <v>282</v>
      </c>
      <c r="N19175" t="s">
        <v>70831</v>
      </c>
      <c r="Q19175">
        <v>0</v>
      </c>
      <c r="R19175">
        <v>70</v>
      </c>
      <c r="S19175">
        <v>0</v>
      </c>
      <c r="T19175" t="s">
        <v>70832</v>
      </c>
    </row>
    <row r="19176" spans="1:20" customFormat="1" ht="15" x14ac:dyDescent="0.25">
      <c r="A19176" t="s">
        <v>24</v>
      </c>
      <c r="B19176" t="s">
        <v>4990</v>
      </c>
      <c r="C19176" t="str">
        <f>"A0165189"</f>
        <v>A0165189</v>
      </c>
      <c r="D19176" t="s">
        <v>70833</v>
      </c>
      <c r="E19176" t="s">
        <v>70834</v>
      </c>
      <c r="F19176" t="s">
        <v>56045</v>
      </c>
      <c r="G19176" t="s">
        <v>925</v>
      </c>
      <c r="H19176">
        <v>66067</v>
      </c>
      <c r="I19176" t="s">
        <v>30</v>
      </c>
      <c r="J19176" t="s">
        <v>31</v>
      </c>
      <c r="K19176" t="s">
        <v>282</v>
      </c>
      <c r="N19176" t="s">
        <v>70835</v>
      </c>
      <c r="O19176" t="s">
        <v>70836</v>
      </c>
      <c r="Q19176">
        <v>0</v>
      </c>
      <c r="R19176">
        <v>80</v>
      </c>
      <c r="S19176">
        <v>0</v>
      </c>
      <c r="T19176" t="s">
        <v>70837</v>
      </c>
    </row>
    <row r="19177" spans="1:20" customFormat="1" ht="15" x14ac:dyDescent="0.25">
      <c r="A19177" t="s">
        <v>24</v>
      </c>
      <c r="B19177" t="s">
        <v>4990</v>
      </c>
      <c r="C19177" t="str">
        <f>"A0100337"</f>
        <v>A0100337</v>
      </c>
      <c r="D19177" t="s">
        <v>70838</v>
      </c>
      <c r="E19177" t="s">
        <v>70839</v>
      </c>
      <c r="F19177" t="s">
        <v>70840</v>
      </c>
      <c r="G19177" t="s">
        <v>1898</v>
      </c>
      <c r="H19177">
        <v>52501</v>
      </c>
      <c r="I19177" t="s">
        <v>30</v>
      </c>
      <c r="J19177" t="s">
        <v>31</v>
      </c>
      <c r="K19177" t="s">
        <v>282</v>
      </c>
      <c r="N19177" t="s">
        <v>65814</v>
      </c>
      <c r="O19177" t="s">
        <v>70841</v>
      </c>
      <c r="Q19177">
        <v>0</v>
      </c>
      <c r="R19177">
        <v>93</v>
      </c>
      <c r="S19177">
        <v>0</v>
      </c>
      <c r="T19177" t="s">
        <v>70842</v>
      </c>
    </row>
    <row r="19178" spans="1:20" customFormat="1" ht="15" x14ac:dyDescent="0.25">
      <c r="A19178" t="s">
        <v>24</v>
      </c>
      <c r="B19178" t="s">
        <v>55987</v>
      </c>
      <c r="C19178" t="str">
        <f>"SF05207"</f>
        <v>SF05207</v>
      </c>
      <c r="D19178" t="s">
        <v>70843</v>
      </c>
      <c r="E19178" t="s">
        <v>70844</v>
      </c>
      <c r="F19178" t="s">
        <v>11919</v>
      </c>
      <c r="G19178" t="s">
        <v>1706</v>
      </c>
      <c r="H19178">
        <v>36203</v>
      </c>
      <c r="I19178" t="s">
        <v>30</v>
      </c>
      <c r="J19178" t="s">
        <v>31</v>
      </c>
      <c r="K19178" t="s">
        <v>282</v>
      </c>
      <c r="N19178" t="s">
        <v>70845</v>
      </c>
      <c r="Q19178">
        <v>0</v>
      </c>
      <c r="R19178">
        <v>80</v>
      </c>
      <c r="S19178">
        <v>0</v>
      </c>
      <c r="T19178" t="s">
        <v>70846</v>
      </c>
    </row>
    <row r="19179" spans="1:20" customFormat="1" ht="15" x14ac:dyDescent="0.25">
      <c r="A19179" t="s">
        <v>24</v>
      </c>
      <c r="B19179" t="s">
        <v>1020</v>
      </c>
      <c r="C19179" t="str">
        <f>"A0091008"</f>
        <v>A0091008</v>
      </c>
      <c r="D19179" t="s">
        <v>70847</v>
      </c>
      <c r="E19179" t="s">
        <v>70848</v>
      </c>
      <c r="F19179" t="s">
        <v>2198</v>
      </c>
      <c r="G19179" t="s">
        <v>52</v>
      </c>
      <c r="H19179">
        <v>75460</v>
      </c>
      <c r="I19179" t="s">
        <v>30</v>
      </c>
      <c r="J19179" t="s">
        <v>31</v>
      </c>
      <c r="K19179" t="s">
        <v>282</v>
      </c>
      <c r="N19179" t="s">
        <v>70849</v>
      </c>
      <c r="O19179" t="s">
        <v>59045</v>
      </c>
      <c r="Q19179">
        <v>0</v>
      </c>
      <c r="R19179">
        <v>84</v>
      </c>
      <c r="S19179">
        <v>0</v>
      </c>
      <c r="T19179" t="s">
        <v>70850</v>
      </c>
    </row>
    <row r="19180" spans="1:20" customFormat="1" ht="15" x14ac:dyDescent="0.25">
      <c r="A19180" t="s">
        <v>24</v>
      </c>
      <c r="B19180" t="s">
        <v>2005</v>
      </c>
      <c r="C19180" t="str">
        <f>"A0089329"</f>
        <v>A0089329</v>
      </c>
      <c r="D19180" t="s">
        <v>70851</v>
      </c>
      <c r="E19180" t="s">
        <v>70852</v>
      </c>
      <c r="F19180" t="s">
        <v>70853</v>
      </c>
      <c r="G19180" t="s">
        <v>880</v>
      </c>
      <c r="H19180">
        <v>37849</v>
      </c>
      <c r="I19180" t="s">
        <v>30</v>
      </c>
      <c r="J19180" t="s">
        <v>31</v>
      </c>
      <c r="K19180" t="s">
        <v>282</v>
      </c>
      <c r="N19180" t="s">
        <v>70854</v>
      </c>
      <c r="Q19180">
        <v>0</v>
      </c>
      <c r="R19180">
        <v>79</v>
      </c>
      <c r="S19180">
        <v>0</v>
      </c>
      <c r="T19180" t="s">
        <v>70855</v>
      </c>
    </row>
    <row r="19181" spans="1:20" customFormat="1" ht="15" x14ac:dyDescent="0.25">
      <c r="A19181" t="s">
        <v>24</v>
      </c>
      <c r="B19181" t="s">
        <v>257</v>
      </c>
      <c r="C19181" t="str">
        <f>"A0091453"</f>
        <v>A0091453</v>
      </c>
      <c r="D19181" t="s">
        <v>70856</v>
      </c>
      <c r="E19181" t="s">
        <v>70857</v>
      </c>
      <c r="F19181" t="s">
        <v>57744</v>
      </c>
      <c r="G19181" t="s">
        <v>1706</v>
      </c>
      <c r="H19181">
        <v>36066</v>
      </c>
      <c r="I19181" t="s">
        <v>30</v>
      </c>
      <c r="J19181" t="s">
        <v>31</v>
      </c>
      <c r="K19181" t="s">
        <v>282</v>
      </c>
      <c r="N19181" t="s">
        <v>70858</v>
      </c>
      <c r="O19181" t="s">
        <v>70859</v>
      </c>
      <c r="Q19181">
        <v>0</v>
      </c>
      <c r="R19181">
        <v>80</v>
      </c>
      <c r="S19181">
        <v>0</v>
      </c>
      <c r="T19181" t="s">
        <v>70860</v>
      </c>
    </row>
    <row r="19182" spans="1:20" customFormat="1" ht="15" x14ac:dyDescent="0.25">
      <c r="A19182" t="s">
        <v>24</v>
      </c>
      <c r="B19182" t="s">
        <v>35351</v>
      </c>
      <c r="C19182" t="str">
        <f>"A0067366"</f>
        <v>A0067366</v>
      </c>
      <c r="D19182" t="s">
        <v>70861</v>
      </c>
      <c r="E19182" t="s">
        <v>70862</v>
      </c>
      <c r="F19182" t="s">
        <v>2492</v>
      </c>
      <c r="G19182" t="s">
        <v>76</v>
      </c>
      <c r="H19182">
        <v>99163</v>
      </c>
      <c r="I19182" t="s">
        <v>30</v>
      </c>
      <c r="J19182" t="s">
        <v>31</v>
      </c>
      <c r="K19182" t="s">
        <v>282</v>
      </c>
      <c r="N19182" t="s">
        <v>70863</v>
      </c>
      <c r="Q19182">
        <v>0</v>
      </c>
      <c r="R19182">
        <v>130</v>
      </c>
      <c r="S19182">
        <v>0</v>
      </c>
      <c r="T19182" t="s">
        <v>70864</v>
      </c>
    </row>
    <row r="19183" spans="1:20" customFormat="1" ht="15" x14ac:dyDescent="0.25">
      <c r="A19183" t="s">
        <v>24</v>
      </c>
      <c r="B19183" t="s">
        <v>57114</v>
      </c>
      <c r="C19183" t="str">
        <f>"SF08654"</f>
        <v>SF08654</v>
      </c>
      <c r="D19183" t="s">
        <v>70865</v>
      </c>
      <c r="E19183" t="s">
        <v>70866</v>
      </c>
      <c r="F19183" t="s">
        <v>57117</v>
      </c>
      <c r="G19183" t="s">
        <v>76</v>
      </c>
      <c r="H19183">
        <v>98373</v>
      </c>
      <c r="I19183" t="s">
        <v>30</v>
      </c>
      <c r="J19183" t="s">
        <v>31</v>
      </c>
      <c r="K19183" t="s">
        <v>282</v>
      </c>
      <c r="N19183" t="s">
        <v>70867</v>
      </c>
      <c r="Q19183">
        <v>0</v>
      </c>
      <c r="R19183">
        <v>96</v>
      </c>
      <c r="S19183">
        <v>0</v>
      </c>
      <c r="T19183" t="s">
        <v>70868</v>
      </c>
    </row>
    <row r="19184" spans="1:20" customFormat="1" ht="15" x14ac:dyDescent="0.25">
      <c r="A19184" t="s">
        <v>24</v>
      </c>
      <c r="B19184" t="s">
        <v>2387</v>
      </c>
      <c r="C19184" t="str">
        <f>"A0152907"</f>
        <v>A0152907</v>
      </c>
      <c r="D19184" t="s">
        <v>70869</v>
      </c>
      <c r="E19184" t="s">
        <v>70870</v>
      </c>
      <c r="F19184" t="s">
        <v>7408</v>
      </c>
      <c r="G19184" t="s">
        <v>899</v>
      </c>
      <c r="H19184">
        <v>2151</v>
      </c>
      <c r="I19184" t="s">
        <v>30</v>
      </c>
      <c r="J19184" t="s">
        <v>31</v>
      </c>
      <c r="K19184" t="s">
        <v>282</v>
      </c>
      <c r="N19184" t="s">
        <v>70062</v>
      </c>
      <c r="Q19184">
        <v>0</v>
      </c>
      <c r="R19184">
        <v>80</v>
      </c>
      <c r="S19184">
        <v>0</v>
      </c>
      <c r="T19184" t="s">
        <v>192</v>
      </c>
    </row>
    <row r="19185" spans="1:20" customFormat="1" ht="15" x14ac:dyDescent="0.25">
      <c r="A19185" t="s">
        <v>24</v>
      </c>
      <c r="B19185" t="s">
        <v>56531</v>
      </c>
      <c r="C19185" t="str">
        <f>"A0084380"</f>
        <v>A0084380</v>
      </c>
      <c r="D19185" t="s">
        <v>70871</v>
      </c>
      <c r="E19185" t="s">
        <v>70872</v>
      </c>
      <c r="F19185" t="s">
        <v>1439</v>
      </c>
      <c r="G19185" t="s">
        <v>110</v>
      </c>
      <c r="H19185">
        <v>92101</v>
      </c>
      <c r="I19185" t="s">
        <v>30</v>
      </c>
      <c r="J19185" t="s">
        <v>31</v>
      </c>
      <c r="K19185" t="s">
        <v>282</v>
      </c>
      <c r="N19185" t="s">
        <v>70873</v>
      </c>
      <c r="Q19185">
        <v>0</v>
      </c>
      <c r="R19185">
        <v>136</v>
      </c>
      <c r="S19185">
        <v>0</v>
      </c>
      <c r="T19185" t="s">
        <v>70874</v>
      </c>
    </row>
    <row r="19186" spans="1:20" customFormat="1" ht="15" x14ac:dyDescent="0.25">
      <c r="A19186" t="s">
        <v>24</v>
      </c>
      <c r="B19186" t="s">
        <v>56967</v>
      </c>
      <c r="C19186" t="str">
        <f>"A0155847"</f>
        <v>A0155847</v>
      </c>
      <c r="D19186" t="s">
        <v>70875</v>
      </c>
      <c r="E19186" t="s">
        <v>70876</v>
      </c>
      <c r="F19186" t="s">
        <v>748</v>
      </c>
      <c r="G19186" t="s">
        <v>110</v>
      </c>
      <c r="H19186">
        <v>94102</v>
      </c>
      <c r="I19186" t="s">
        <v>30</v>
      </c>
      <c r="J19186" t="s">
        <v>31</v>
      </c>
      <c r="K19186" t="s">
        <v>282</v>
      </c>
      <c r="N19186" t="s">
        <v>70877</v>
      </c>
      <c r="Q19186">
        <v>0</v>
      </c>
      <c r="R19186">
        <v>59</v>
      </c>
      <c r="S19186">
        <v>0</v>
      </c>
      <c r="T19186" t="s">
        <v>70878</v>
      </c>
    </row>
    <row r="19187" spans="1:20" customFormat="1" ht="15" x14ac:dyDescent="0.25">
      <c r="A19187" t="s">
        <v>24</v>
      </c>
      <c r="B19187" t="s">
        <v>2340</v>
      </c>
      <c r="C19187" t="str">
        <f>"A0084201"</f>
        <v>A0084201</v>
      </c>
      <c r="D19187" t="s">
        <v>70879</v>
      </c>
      <c r="E19187" t="s">
        <v>70880</v>
      </c>
      <c r="F19187" t="s">
        <v>70881</v>
      </c>
      <c r="G19187" t="s">
        <v>899</v>
      </c>
      <c r="H19187">
        <v>1906</v>
      </c>
      <c r="I19187" t="s">
        <v>30</v>
      </c>
      <c r="J19187" t="s">
        <v>31</v>
      </c>
      <c r="K19187" t="s">
        <v>282</v>
      </c>
      <c r="N19187" t="s">
        <v>70882</v>
      </c>
      <c r="Q19187">
        <v>0</v>
      </c>
      <c r="R19187">
        <v>150</v>
      </c>
      <c r="S19187">
        <v>0</v>
      </c>
      <c r="T19187" t="s">
        <v>70883</v>
      </c>
    </row>
    <row r="19188" spans="1:20" customFormat="1" ht="15" x14ac:dyDescent="0.25">
      <c r="A19188" t="s">
        <v>24</v>
      </c>
      <c r="B19188" t="s">
        <v>2340</v>
      </c>
      <c r="C19188" t="str">
        <f>"A0074895"</f>
        <v>A0074895</v>
      </c>
      <c r="D19188" t="s">
        <v>70884</v>
      </c>
      <c r="E19188" t="s">
        <v>70885</v>
      </c>
      <c r="F19188" t="s">
        <v>356</v>
      </c>
      <c r="G19188" t="s">
        <v>52</v>
      </c>
      <c r="H19188">
        <v>78238</v>
      </c>
      <c r="I19188" t="s">
        <v>30</v>
      </c>
      <c r="J19188" t="s">
        <v>31</v>
      </c>
      <c r="K19188" t="s">
        <v>282</v>
      </c>
      <c r="N19188" t="s">
        <v>70886</v>
      </c>
      <c r="Q19188">
        <v>0</v>
      </c>
      <c r="R19188">
        <v>84</v>
      </c>
      <c r="S19188">
        <v>0</v>
      </c>
      <c r="T19188" t="s">
        <v>70887</v>
      </c>
    </row>
    <row r="19189" spans="1:20" customFormat="1" ht="15" x14ac:dyDescent="0.25">
      <c r="A19189" t="s">
        <v>24</v>
      </c>
      <c r="B19189" t="s">
        <v>734</v>
      </c>
      <c r="C19189" t="str">
        <f>"A0095531"</f>
        <v>A0095531</v>
      </c>
      <c r="D19189" t="s">
        <v>70888</v>
      </c>
      <c r="E19189" t="s">
        <v>70889</v>
      </c>
      <c r="F19189" t="s">
        <v>55295</v>
      </c>
      <c r="G19189" t="s">
        <v>1170</v>
      </c>
      <c r="H19189">
        <v>71101</v>
      </c>
      <c r="I19189" t="s">
        <v>30</v>
      </c>
      <c r="J19189" t="s">
        <v>31</v>
      </c>
      <c r="K19189" t="s">
        <v>282</v>
      </c>
      <c r="N19189" t="s">
        <v>70890</v>
      </c>
      <c r="O19189" t="s">
        <v>64380</v>
      </c>
      <c r="Q19189">
        <v>0</v>
      </c>
      <c r="R19189">
        <v>101</v>
      </c>
      <c r="S19189">
        <v>0</v>
      </c>
      <c r="T19189" t="s">
        <v>70891</v>
      </c>
    </row>
    <row r="19190" spans="1:20" customFormat="1" ht="15" x14ac:dyDescent="0.25">
      <c r="A19190" t="s">
        <v>24</v>
      </c>
      <c r="B19190" t="s">
        <v>59031</v>
      </c>
      <c r="C19190" t="str">
        <f>"A0084404"</f>
        <v>A0084404</v>
      </c>
      <c r="D19190" t="s">
        <v>70892</v>
      </c>
      <c r="E19190" t="s">
        <v>70893</v>
      </c>
      <c r="F19190" t="s">
        <v>17875</v>
      </c>
      <c r="G19190" t="s">
        <v>2391</v>
      </c>
      <c r="H19190">
        <v>5403</v>
      </c>
      <c r="I19190" t="s">
        <v>30</v>
      </c>
      <c r="J19190" t="s">
        <v>31</v>
      </c>
      <c r="K19190" t="s">
        <v>282</v>
      </c>
      <c r="N19190" t="s">
        <v>70894</v>
      </c>
      <c r="O19190" t="s">
        <v>70895</v>
      </c>
      <c r="Q19190">
        <v>0</v>
      </c>
      <c r="R19190">
        <v>121</v>
      </c>
      <c r="S19190">
        <v>0</v>
      </c>
      <c r="T19190" t="s">
        <v>70896</v>
      </c>
    </row>
    <row r="19191" spans="1:20" customFormat="1" ht="15" x14ac:dyDescent="0.25">
      <c r="A19191" t="s">
        <v>24</v>
      </c>
      <c r="B19191" t="s">
        <v>1467</v>
      </c>
      <c r="C19191" t="str">
        <f>"SF07926"</f>
        <v>SF07926</v>
      </c>
      <c r="D19191" t="s">
        <v>70897</v>
      </c>
      <c r="E19191" t="s">
        <v>70898</v>
      </c>
      <c r="F19191" t="s">
        <v>61912</v>
      </c>
      <c r="G19191" t="s">
        <v>615</v>
      </c>
      <c r="H19191">
        <v>6489</v>
      </c>
      <c r="I19191" t="s">
        <v>30</v>
      </c>
      <c r="J19191" t="s">
        <v>31</v>
      </c>
      <c r="K19191" t="s">
        <v>282</v>
      </c>
      <c r="N19191" t="s">
        <v>70899</v>
      </c>
      <c r="Q19191">
        <v>0</v>
      </c>
      <c r="R19191">
        <v>117</v>
      </c>
      <c r="S19191">
        <v>0</v>
      </c>
      <c r="T19191" t="s">
        <v>70900</v>
      </c>
    </row>
    <row r="19192" spans="1:20" customFormat="1" ht="15" x14ac:dyDescent="0.25">
      <c r="A19192" t="s">
        <v>24</v>
      </c>
      <c r="B19192" t="s">
        <v>54853</v>
      </c>
      <c r="C19192" t="str">
        <f>"A0165855"</f>
        <v>A0165855</v>
      </c>
      <c r="D19192" t="s">
        <v>70901</v>
      </c>
      <c r="E19192" t="s">
        <v>70902</v>
      </c>
      <c r="F19192" t="s">
        <v>54905</v>
      </c>
      <c r="G19192" t="s">
        <v>52</v>
      </c>
      <c r="H19192">
        <v>77388</v>
      </c>
      <c r="I19192" t="s">
        <v>30</v>
      </c>
      <c r="J19192" t="s">
        <v>31</v>
      </c>
      <c r="K19192" t="s">
        <v>282</v>
      </c>
      <c r="N19192" t="s">
        <v>70903</v>
      </c>
      <c r="Q19192">
        <v>0</v>
      </c>
      <c r="R19192">
        <v>109</v>
      </c>
      <c r="S19192">
        <v>0</v>
      </c>
      <c r="T19192" t="s">
        <v>70904</v>
      </c>
    </row>
    <row r="19193" spans="1:20" customFormat="1" ht="15" x14ac:dyDescent="0.25">
      <c r="A19193" t="s">
        <v>24</v>
      </c>
      <c r="B19193" t="s">
        <v>1098</v>
      </c>
      <c r="C19193" t="str">
        <f>"SF08413"</f>
        <v>SF08413</v>
      </c>
      <c r="D19193" t="s">
        <v>70905</v>
      </c>
      <c r="E19193" t="s">
        <v>70906</v>
      </c>
      <c r="F19193" t="s">
        <v>65592</v>
      </c>
      <c r="G19193" t="s">
        <v>103</v>
      </c>
      <c r="H19193">
        <v>16803</v>
      </c>
      <c r="I19193" t="s">
        <v>30</v>
      </c>
      <c r="J19193" t="s">
        <v>31</v>
      </c>
      <c r="K19193" t="s">
        <v>282</v>
      </c>
      <c r="N19193" t="s">
        <v>70907</v>
      </c>
      <c r="Q19193">
        <v>0</v>
      </c>
      <c r="R19193">
        <v>106</v>
      </c>
      <c r="S19193">
        <v>0</v>
      </c>
      <c r="T19193" t="s">
        <v>70908</v>
      </c>
    </row>
    <row r="19194" spans="1:20" customFormat="1" ht="15" hidden="1" x14ac:dyDescent="0.25">
      <c r="A19194" t="s">
        <v>24</v>
      </c>
      <c r="B19194" t="s">
        <v>4848</v>
      </c>
      <c r="C19194" t="str">
        <f>"A0093791"</f>
        <v>A0093791</v>
      </c>
      <c r="D19194" t="s">
        <v>70909</v>
      </c>
      <c r="E19194" t="s">
        <v>70910</v>
      </c>
      <c r="F19194" t="s">
        <v>70911</v>
      </c>
      <c r="G19194" t="s">
        <v>53283</v>
      </c>
      <c r="H19194" t="s">
        <v>70912</v>
      </c>
      <c r="I19194" t="s">
        <v>1459</v>
      </c>
      <c r="J19194" t="s">
        <v>31</v>
      </c>
      <c r="K19194" t="s">
        <v>282</v>
      </c>
      <c r="N19194" t="s">
        <v>70913</v>
      </c>
      <c r="Q19194">
        <v>0</v>
      </c>
      <c r="R19194">
        <v>100</v>
      </c>
      <c r="S19194">
        <v>0</v>
      </c>
      <c r="T19194" t="s">
        <v>70914</v>
      </c>
    </row>
    <row r="19195" spans="1:20" customFormat="1" ht="15" x14ac:dyDescent="0.25">
      <c r="A19195" t="s">
        <v>24</v>
      </c>
      <c r="B19195" t="s">
        <v>4855</v>
      </c>
      <c r="C19195" t="str">
        <f>"A0057885"</f>
        <v>A0057885</v>
      </c>
      <c r="D19195" t="s">
        <v>70915</v>
      </c>
      <c r="E19195" t="s">
        <v>70916</v>
      </c>
      <c r="F19195" t="s">
        <v>2564</v>
      </c>
      <c r="G19195" t="s">
        <v>81</v>
      </c>
      <c r="H19195">
        <v>32308</v>
      </c>
      <c r="I19195" t="s">
        <v>30</v>
      </c>
      <c r="J19195" t="s">
        <v>31</v>
      </c>
      <c r="K19195" t="s">
        <v>282</v>
      </c>
      <c r="N19195" t="s">
        <v>70917</v>
      </c>
      <c r="O19195" t="s">
        <v>70918</v>
      </c>
      <c r="Q19195">
        <v>0</v>
      </c>
      <c r="R19195">
        <v>135</v>
      </c>
      <c r="S19195">
        <v>0</v>
      </c>
      <c r="T19195" t="s">
        <v>70919</v>
      </c>
    </row>
    <row r="19196" spans="1:20" customFormat="1" ht="15" x14ac:dyDescent="0.25">
      <c r="A19196" t="s">
        <v>24</v>
      </c>
      <c r="B19196" t="s">
        <v>13267</v>
      </c>
      <c r="C19196" t="str">
        <f>"A0054139"</f>
        <v>A0054139</v>
      </c>
      <c r="D19196" t="s">
        <v>70920</v>
      </c>
      <c r="E19196" t="s">
        <v>70921</v>
      </c>
      <c r="F19196" t="s">
        <v>5284</v>
      </c>
      <c r="G19196" t="s">
        <v>110</v>
      </c>
      <c r="H19196">
        <v>92590</v>
      </c>
      <c r="I19196" t="s">
        <v>30</v>
      </c>
      <c r="J19196" t="s">
        <v>31</v>
      </c>
      <c r="K19196" t="s">
        <v>282</v>
      </c>
      <c r="N19196" t="s">
        <v>10984</v>
      </c>
      <c r="O19196" t="s">
        <v>70922</v>
      </c>
      <c r="Q19196">
        <v>0</v>
      </c>
      <c r="R19196">
        <v>90</v>
      </c>
      <c r="S19196">
        <v>0</v>
      </c>
      <c r="T19196" t="s">
        <v>70923</v>
      </c>
    </row>
    <row r="19197" spans="1:20" customFormat="1" ht="15" x14ac:dyDescent="0.25">
      <c r="A19197" t="s">
        <v>24</v>
      </c>
      <c r="B19197" t="s">
        <v>1020</v>
      </c>
      <c r="C19197" t="str">
        <f>"SF06598"</f>
        <v>SF06598</v>
      </c>
      <c r="D19197" t="s">
        <v>70924</v>
      </c>
      <c r="E19197" t="s">
        <v>70925</v>
      </c>
      <c r="F19197" t="s">
        <v>39577</v>
      </c>
      <c r="G19197" t="s">
        <v>52</v>
      </c>
      <c r="H19197">
        <v>75160</v>
      </c>
      <c r="I19197" t="s">
        <v>30</v>
      </c>
      <c r="J19197" t="s">
        <v>31</v>
      </c>
      <c r="K19197" t="s">
        <v>282</v>
      </c>
      <c r="N19197" t="s">
        <v>70926</v>
      </c>
      <c r="O19197" t="s">
        <v>70927</v>
      </c>
      <c r="Q19197">
        <v>0</v>
      </c>
      <c r="R19197">
        <v>68</v>
      </c>
      <c r="S19197">
        <v>0</v>
      </c>
      <c r="T19197" t="s">
        <v>70928</v>
      </c>
    </row>
    <row r="19198" spans="1:20" customFormat="1" ht="15" x14ac:dyDescent="0.25">
      <c r="A19198" t="s">
        <v>24</v>
      </c>
      <c r="B19198" t="s">
        <v>1020</v>
      </c>
      <c r="C19198" t="str">
        <f>"A0090997"</f>
        <v>A0090997</v>
      </c>
      <c r="D19198" t="s">
        <v>70929</v>
      </c>
      <c r="E19198" t="s">
        <v>70930</v>
      </c>
      <c r="F19198" t="s">
        <v>57641</v>
      </c>
      <c r="G19198" t="s">
        <v>85</v>
      </c>
      <c r="H19198">
        <v>71854</v>
      </c>
      <c r="I19198" t="s">
        <v>30</v>
      </c>
      <c r="J19198" t="s">
        <v>31</v>
      </c>
      <c r="K19198" t="s">
        <v>282</v>
      </c>
      <c r="N19198" t="s">
        <v>70931</v>
      </c>
      <c r="Q19198">
        <v>0</v>
      </c>
      <c r="R19198">
        <v>87</v>
      </c>
      <c r="S19198">
        <v>0</v>
      </c>
      <c r="T19198" t="s">
        <v>70932</v>
      </c>
    </row>
    <row r="19199" spans="1:20" customFormat="1" ht="15" x14ac:dyDescent="0.25">
      <c r="A19199" t="s">
        <v>24</v>
      </c>
      <c r="B19199" t="s">
        <v>1020</v>
      </c>
      <c r="C19199" t="str">
        <f>"A0088388"</f>
        <v>A0088388</v>
      </c>
      <c r="D19199" t="s">
        <v>70933</v>
      </c>
      <c r="E19199" t="s">
        <v>70934</v>
      </c>
      <c r="F19199" t="s">
        <v>997</v>
      </c>
      <c r="G19199" t="s">
        <v>99</v>
      </c>
      <c r="H19199">
        <v>10018</v>
      </c>
      <c r="I19199" t="s">
        <v>30</v>
      </c>
      <c r="J19199" t="s">
        <v>31</v>
      </c>
      <c r="K19199" t="s">
        <v>282</v>
      </c>
      <c r="N19199" t="s">
        <v>57546</v>
      </c>
      <c r="Q19199">
        <v>0</v>
      </c>
      <c r="R19199">
        <v>210</v>
      </c>
      <c r="S19199">
        <v>0</v>
      </c>
      <c r="T19199" t="s">
        <v>70935</v>
      </c>
    </row>
    <row r="19200" spans="1:20" customFormat="1" ht="15" hidden="1" x14ac:dyDescent="0.25">
      <c r="A19200" t="s">
        <v>24</v>
      </c>
      <c r="B19200" t="s">
        <v>2202</v>
      </c>
      <c r="C19200" t="str">
        <f>"A0068737"</f>
        <v>A0068737</v>
      </c>
      <c r="D19200" t="s">
        <v>70936</v>
      </c>
      <c r="E19200" t="s">
        <v>70937</v>
      </c>
      <c r="F19200" t="s">
        <v>13197</v>
      </c>
      <c r="G19200" t="s">
        <v>2206</v>
      </c>
      <c r="H19200" t="s">
        <v>70938</v>
      </c>
      <c r="I19200" t="s">
        <v>1459</v>
      </c>
      <c r="J19200" t="s">
        <v>31</v>
      </c>
      <c r="K19200" t="s">
        <v>282</v>
      </c>
      <c r="N19200" t="s">
        <v>70939</v>
      </c>
      <c r="O19200" t="s">
        <v>70940</v>
      </c>
      <c r="Q19200">
        <v>0</v>
      </c>
      <c r="R19200">
        <v>196</v>
      </c>
      <c r="S19200">
        <v>0</v>
      </c>
      <c r="T19200" t="s">
        <v>70941</v>
      </c>
    </row>
    <row r="19201" spans="1:20" customFormat="1" ht="15" x14ac:dyDescent="0.25">
      <c r="A19201" t="s">
        <v>24</v>
      </c>
      <c r="B19201" t="s">
        <v>34154</v>
      </c>
      <c r="C19201" t="str">
        <f>"A0100611"</f>
        <v>A0100611</v>
      </c>
      <c r="D19201" t="s">
        <v>70942</v>
      </c>
      <c r="E19201" t="s">
        <v>70943</v>
      </c>
      <c r="F19201" t="s">
        <v>70944</v>
      </c>
      <c r="G19201" t="s">
        <v>81</v>
      </c>
      <c r="H19201">
        <v>34655</v>
      </c>
      <c r="I19201" t="s">
        <v>30</v>
      </c>
      <c r="J19201" t="s">
        <v>31</v>
      </c>
      <c r="K19201" t="s">
        <v>282</v>
      </c>
      <c r="N19201" t="s">
        <v>70945</v>
      </c>
      <c r="Q19201">
        <v>0</v>
      </c>
      <c r="R19201">
        <v>87</v>
      </c>
      <c r="S19201">
        <v>0</v>
      </c>
      <c r="T19201" t="s">
        <v>70946</v>
      </c>
    </row>
    <row r="19202" spans="1:20" customFormat="1" ht="15" x14ac:dyDescent="0.25">
      <c r="A19202" t="s">
        <v>24</v>
      </c>
      <c r="B19202" t="s">
        <v>16701</v>
      </c>
      <c r="C19202" t="str">
        <f>"A0087411"</f>
        <v>A0087411</v>
      </c>
      <c r="D19202" t="s">
        <v>70947</v>
      </c>
      <c r="E19202" t="s">
        <v>70948</v>
      </c>
      <c r="F19202" t="s">
        <v>70949</v>
      </c>
      <c r="G19202" t="s">
        <v>29</v>
      </c>
      <c r="H19202">
        <v>24175</v>
      </c>
      <c r="I19202" t="s">
        <v>30</v>
      </c>
      <c r="J19202" t="s">
        <v>31</v>
      </c>
      <c r="K19202" t="s">
        <v>282</v>
      </c>
      <c r="N19202" t="s">
        <v>70950</v>
      </c>
      <c r="Q19202">
        <v>0</v>
      </c>
      <c r="R19202">
        <v>85</v>
      </c>
      <c r="S19202">
        <v>0</v>
      </c>
      <c r="T19202" t="s">
        <v>70951</v>
      </c>
    </row>
    <row r="19203" spans="1:20" customFormat="1" ht="15" x14ac:dyDescent="0.25">
      <c r="A19203" t="s">
        <v>24</v>
      </c>
      <c r="B19203" t="s">
        <v>9391</v>
      </c>
      <c r="C19203" t="str">
        <f>"A0092340"</f>
        <v>A0092340</v>
      </c>
      <c r="D19203" t="s">
        <v>70952</v>
      </c>
      <c r="E19203" t="s">
        <v>70953</v>
      </c>
      <c r="F19203" t="s">
        <v>70954</v>
      </c>
      <c r="G19203" t="s">
        <v>880</v>
      </c>
      <c r="H19203">
        <v>37388</v>
      </c>
      <c r="I19203" t="s">
        <v>30</v>
      </c>
      <c r="J19203" t="s">
        <v>31</v>
      </c>
      <c r="K19203" t="s">
        <v>282</v>
      </c>
      <c r="N19203" t="s">
        <v>33684</v>
      </c>
      <c r="Q19203">
        <v>0</v>
      </c>
      <c r="R19203">
        <v>80</v>
      </c>
      <c r="S19203">
        <v>0</v>
      </c>
      <c r="T19203" t="s">
        <v>70955</v>
      </c>
    </row>
    <row r="19204" spans="1:20" customFormat="1" ht="15" x14ac:dyDescent="0.25">
      <c r="A19204" t="s">
        <v>24</v>
      </c>
      <c r="B19204" t="s">
        <v>1020</v>
      </c>
      <c r="C19204" t="str">
        <f>"A0075962"</f>
        <v>A0075962</v>
      </c>
      <c r="D19204" t="s">
        <v>70956</v>
      </c>
      <c r="E19204" t="s">
        <v>70957</v>
      </c>
      <c r="F19204" t="s">
        <v>5217</v>
      </c>
      <c r="G19204" t="s">
        <v>52</v>
      </c>
      <c r="H19204">
        <v>75701</v>
      </c>
      <c r="I19204" t="s">
        <v>30</v>
      </c>
      <c r="J19204" t="s">
        <v>31</v>
      </c>
      <c r="K19204" t="s">
        <v>282</v>
      </c>
      <c r="N19204" t="s">
        <v>70958</v>
      </c>
      <c r="O19204" t="s">
        <v>70927</v>
      </c>
      <c r="Q19204">
        <v>0</v>
      </c>
      <c r="R19204">
        <v>88</v>
      </c>
      <c r="S19204">
        <v>0</v>
      </c>
      <c r="T19204" t="s">
        <v>70959</v>
      </c>
    </row>
    <row r="19205" spans="1:20" customFormat="1" ht="15" x14ac:dyDescent="0.25">
      <c r="A19205" t="s">
        <v>24</v>
      </c>
      <c r="B19205" t="s">
        <v>2340</v>
      </c>
      <c r="C19205" t="str">
        <f>"A0087600"</f>
        <v>A0087600</v>
      </c>
      <c r="D19205" t="s">
        <v>70960</v>
      </c>
      <c r="E19205" t="s">
        <v>70961</v>
      </c>
      <c r="F19205" t="s">
        <v>68600</v>
      </c>
      <c r="G19205" t="s">
        <v>52</v>
      </c>
      <c r="H19205">
        <v>78801</v>
      </c>
      <c r="I19205" t="s">
        <v>30</v>
      </c>
      <c r="J19205" t="s">
        <v>31</v>
      </c>
      <c r="K19205" t="s">
        <v>282</v>
      </c>
      <c r="N19205" t="s">
        <v>70962</v>
      </c>
      <c r="Q19205">
        <v>0</v>
      </c>
      <c r="R19205">
        <v>80</v>
      </c>
      <c r="S19205">
        <v>0</v>
      </c>
      <c r="T19205" t="s">
        <v>70963</v>
      </c>
    </row>
    <row r="19206" spans="1:20" customFormat="1" ht="15" x14ac:dyDescent="0.25">
      <c r="A19206" t="s">
        <v>24</v>
      </c>
      <c r="B19206" t="s">
        <v>1138</v>
      </c>
      <c r="C19206" t="str">
        <f>"A0068547"</f>
        <v>A0068547</v>
      </c>
      <c r="D19206" t="s">
        <v>70964</v>
      </c>
      <c r="E19206" t="s">
        <v>70965</v>
      </c>
      <c r="F19206" t="s">
        <v>15965</v>
      </c>
      <c r="G19206" t="s">
        <v>110</v>
      </c>
      <c r="H19206">
        <v>93277</v>
      </c>
      <c r="I19206" t="s">
        <v>30</v>
      </c>
      <c r="J19206" t="s">
        <v>31</v>
      </c>
      <c r="K19206" t="s">
        <v>282</v>
      </c>
      <c r="N19206" t="s">
        <v>70966</v>
      </c>
      <c r="O19206" t="s">
        <v>70967</v>
      </c>
      <c r="Q19206">
        <v>0</v>
      </c>
      <c r="R19206">
        <v>91</v>
      </c>
      <c r="S19206">
        <v>0</v>
      </c>
      <c r="T19206" t="s">
        <v>70968</v>
      </c>
    </row>
    <row r="19207" spans="1:20" customFormat="1" ht="15" x14ac:dyDescent="0.25">
      <c r="A19207" t="s">
        <v>24</v>
      </c>
      <c r="B19207" t="s">
        <v>55997</v>
      </c>
      <c r="C19207" t="str">
        <f>"A0072456"</f>
        <v>A0072456</v>
      </c>
      <c r="D19207" t="s">
        <v>70969</v>
      </c>
      <c r="E19207" t="s">
        <v>70970</v>
      </c>
      <c r="F19207" t="s">
        <v>70971</v>
      </c>
      <c r="G19207" t="s">
        <v>338</v>
      </c>
      <c r="H19207">
        <v>8043</v>
      </c>
      <c r="I19207" t="s">
        <v>30</v>
      </c>
      <c r="J19207" t="s">
        <v>31</v>
      </c>
      <c r="K19207" t="s">
        <v>282</v>
      </c>
      <c r="N19207" t="s">
        <v>70972</v>
      </c>
      <c r="O19207" t="s">
        <v>70973</v>
      </c>
      <c r="Q19207">
        <v>0</v>
      </c>
      <c r="R19207">
        <v>119</v>
      </c>
      <c r="S19207">
        <v>0</v>
      </c>
      <c r="T19207" t="s">
        <v>70974</v>
      </c>
    </row>
    <row r="19208" spans="1:20" customFormat="1" ht="15" x14ac:dyDescent="0.25">
      <c r="A19208" t="s">
        <v>24</v>
      </c>
      <c r="B19208" t="s">
        <v>25</v>
      </c>
      <c r="C19208" t="str">
        <f>"A0090797"</f>
        <v>A0090797</v>
      </c>
      <c r="D19208" t="s">
        <v>70975</v>
      </c>
      <c r="E19208" t="s">
        <v>70976</v>
      </c>
      <c r="F19208" t="s">
        <v>54919</v>
      </c>
      <c r="G19208" t="s">
        <v>123</v>
      </c>
      <c r="H19208">
        <v>20603</v>
      </c>
      <c r="I19208" t="s">
        <v>30</v>
      </c>
      <c r="J19208" t="s">
        <v>31</v>
      </c>
      <c r="K19208" t="s">
        <v>282</v>
      </c>
      <c r="N19208" t="s">
        <v>70977</v>
      </c>
      <c r="Q19208">
        <v>0</v>
      </c>
      <c r="R19208">
        <v>91</v>
      </c>
      <c r="S19208">
        <v>0</v>
      </c>
      <c r="T19208" t="s">
        <v>70978</v>
      </c>
    </row>
    <row r="19209" spans="1:20" customFormat="1" ht="15" x14ac:dyDescent="0.25">
      <c r="A19209" t="s">
        <v>24</v>
      </c>
      <c r="B19209" t="s">
        <v>1020</v>
      </c>
      <c r="C19209" t="str">
        <f>"A0089825"</f>
        <v>A0089825</v>
      </c>
      <c r="D19209" t="s">
        <v>70979</v>
      </c>
      <c r="E19209" t="s">
        <v>70980</v>
      </c>
      <c r="F19209" t="s">
        <v>3880</v>
      </c>
      <c r="G19209" t="s">
        <v>99</v>
      </c>
      <c r="H19209">
        <v>10005</v>
      </c>
      <c r="I19209" t="s">
        <v>30</v>
      </c>
      <c r="J19209" t="s">
        <v>31</v>
      </c>
      <c r="K19209" t="s">
        <v>282</v>
      </c>
      <c r="N19209" t="s">
        <v>70981</v>
      </c>
      <c r="Q19209">
        <v>0</v>
      </c>
      <c r="R19209">
        <v>112</v>
      </c>
      <c r="S19209">
        <v>0</v>
      </c>
      <c r="T19209" t="s">
        <v>70982</v>
      </c>
    </row>
    <row r="19210" spans="1:20" customFormat="1" ht="15" x14ac:dyDescent="0.25">
      <c r="A19210" t="s">
        <v>24</v>
      </c>
      <c r="B19210" t="s">
        <v>16448</v>
      </c>
      <c r="C19210" t="str">
        <f>"A0074830"</f>
        <v>A0074830</v>
      </c>
      <c r="D19210" t="s">
        <v>70983</v>
      </c>
      <c r="E19210" t="s">
        <v>70984</v>
      </c>
      <c r="F19210" t="s">
        <v>68614</v>
      </c>
      <c r="G19210" t="s">
        <v>58</v>
      </c>
      <c r="H19210">
        <v>29488</v>
      </c>
      <c r="I19210" t="s">
        <v>30</v>
      </c>
      <c r="J19210" t="s">
        <v>31</v>
      </c>
      <c r="K19210" t="s">
        <v>282</v>
      </c>
      <c r="N19210" t="s">
        <v>70985</v>
      </c>
      <c r="O19210" t="s">
        <v>70986</v>
      </c>
      <c r="Q19210">
        <v>0</v>
      </c>
      <c r="R19210">
        <v>81</v>
      </c>
      <c r="S19210">
        <v>0</v>
      </c>
      <c r="T19210" t="s">
        <v>70987</v>
      </c>
    </row>
    <row r="19211" spans="1:20" customFormat="1" ht="15" x14ac:dyDescent="0.25">
      <c r="A19211" t="s">
        <v>24</v>
      </c>
      <c r="B19211" t="s">
        <v>59626</v>
      </c>
      <c r="C19211" t="str">
        <f>"A0100752"</f>
        <v>A0100752</v>
      </c>
      <c r="D19211" t="s">
        <v>70988</v>
      </c>
      <c r="E19211" t="s">
        <v>70989</v>
      </c>
      <c r="F19211" t="s">
        <v>13167</v>
      </c>
      <c r="G19211" t="s">
        <v>846</v>
      </c>
      <c r="H19211">
        <v>31093</v>
      </c>
      <c r="I19211" t="s">
        <v>30</v>
      </c>
      <c r="J19211" t="s">
        <v>31</v>
      </c>
      <c r="K19211" t="s">
        <v>282</v>
      </c>
      <c r="N19211" t="s">
        <v>70990</v>
      </c>
      <c r="Q19211">
        <v>0</v>
      </c>
      <c r="R19211">
        <v>88</v>
      </c>
      <c r="S19211">
        <v>0</v>
      </c>
      <c r="T19211" t="s">
        <v>70991</v>
      </c>
    </row>
    <row r="19212" spans="1:20" customFormat="1" ht="15" hidden="1" x14ac:dyDescent="0.25">
      <c r="A19212" t="s">
        <v>24</v>
      </c>
      <c r="B19212" t="s">
        <v>10942</v>
      </c>
      <c r="C19212" t="str">
        <f>"A0117606"</f>
        <v>A0117606</v>
      </c>
      <c r="D19212" t="s">
        <v>70992</v>
      </c>
      <c r="E19212" t="s">
        <v>70993</v>
      </c>
      <c r="F19212" t="s">
        <v>59059</v>
      </c>
      <c r="G19212" t="s">
        <v>1457</v>
      </c>
      <c r="H19212" t="s">
        <v>70994</v>
      </c>
      <c r="I19212" t="s">
        <v>1459</v>
      </c>
      <c r="J19212" t="s">
        <v>31</v>
      </c>
      <c r="K19212" t="s">
        <v>282</v>
      </c>
      <c r="N19212" t="s">
        <v>70995</v>
      </c>
      <c r="Q19212">
        <v>0</v>
      </c>
      <c r="R19212">
        <v>137</v>
      </c>
      <c r="S19212">
        <v>0</v>
      </c>
      <c r="T19212" t="s">
        <v>70996</v>
      </c>
    </row>
    <row r="19213" spans="1:20" customFormat="1" ht="15" x14ac:dyDescent="0.25">
      <c r="A19213" t="s">
        <v>24</v>
      </c>
      <c r="B19213" t="s">
        <v>59031</v>
      </c>
      <c r="C19213" t="str">
        <f>"A0075433"</f>
        <v>A0075433</v>
      </c>
      <c r="D19213" t="s">
        <v>70997</v>
      </c>
      <c r="E19213" t="s">
        <v>70998</v>
      </c>
      <c r="F19213" t="s">
        <v>70999</v>
      </c>
      <c r="G19213" t="s">
        <v>2391</v>
      </c>
      <c r="H19213">
        <v>5001</v>
      </c>
      <c r="I19213" t="s">
        <v>30</v>
      </c>
      <c r="J19213" t="s">
        <v>31</v>
      </c>
      <c r="K19213" t="s">
        <v>282</v>
      </c>
      <c r="N19213" t="s">
        <v>58768</v>
      </c>
      <c r="O19213" t="s">
        <v>71000</v>
      </c>
      <c r="Q19213">
        <v>0</v>
      </c>
      <c r="R19213">
        <v>77</v>
      </c>
      <c r="S19213">
        <v>0</v>
      </c>
      <c r="T19213" t="s">
        <v>71001</v>
      </c>
    </row>
    <row r="19214" spans="1:20" customFormat="1" ht="15" x14ac:dyDescent="0.25">
      <c r="A19214" t="s">
        <v>24</v>
      </c>
      <c r="B19214" t="s">
        <v>5830</v>
      </c>
      <c r="C19214" t="str">
        <f>"SF03125"</f>
        <v>SF03125</v>
      </c>
      <c r="D19214" t="s">
        <v>71002</v>
      </c>
      <c r="E19214" t="s">
        <v>71003</v>
      </c>
      <c r="F19214" t="s">
        <v>1201</v>
      </c>
      <c r="G19214" t="s">
        <v>214</v>
      </c>
      <c r="H19214">
        <v>28403</v>
      </c>
      <c r="I19214" t="s">
        <v>30</v>
      </c>
      <c r="J19214" t="s">
        <v>31</v>
      </c>
      <c r="K19214" t="s">
        <v>282</v>
      </c>
      <c r="N19214" t="s">
        <v>71004</v>
      </c>
      <c r="O19214" t="s">
        <v>71005</v>
      </c>
      <c r="Q19214">
        <v>0</v>
      </c>
      <c r="R19214">
        <v>131</v>
      </c>
      <c r="S19214">
        <v>0</v>
      </c>
      <c r="T19214" t="s">
        <v>71006</v>
      </c>
    </row>
    <row r="19215" spans="1:20" customFormat="1" ht="15" x14ac:dyDescent="0.25">
      <c r="A19215" t="s">
        <v>24</v>
      </c>
      <c r="B19215" t="s">
        <v>2340</v>
      </c>
      <c r="C19215" t="str">
        <f>"88HM012"</f>
        <v>88HM012</v>
      </c>
      <c r="D19215" t="s">
        <v>71007</v>
      </c>
      <c r="E19215" t="s">
        <v>71008</v>
      </c>
      <c r="F19215" t="s">
        <v>53258</v>
      </c>
      <c r="G19215" t="s">
        <v>899</v>
      </c>
      <c r="H19215">
        <v>1801</v>
      </c>
      <c r="I19215" t="s">
        <v>30</v>
      </c>
      <c r="J19215" t="s">
        <v>31</v>
      </c>
      <c r="K19215" t="s">
        <v>282</v>
      </c>
      <c r="N19215" t="s">
        <v>71009</v>
      </c>
      <c r="O19215" t="s">
        <v>68162</v>
      </c>
      <c r="Q19215">
        <v>0</v>
      </c>
      <c r="R19215">
        <v>99</v>
      </c>
      <c r="S19215">
        <v>0</v>
      </c>
      <c r="T19215" t="s">
        <v>71010</v>
      </c>
    </row>
    <row r="19216" spans="1:20" customFormat="1" ht="15" x14ac:dyDescent="0.25">
      <c r="A19216" t="s">
        <v>24</v>
      </c>
      <c r="B19216" t="s">
        <v>3343</v>
      </c>
      <c r="C19216" t="str">
        <f>"A0086754"</f>
        <v>A0086754</v>
      </c>
      <c r="D19216" t="s">
        <v>71011</v>
      </c>
      <c r="E19216" t="s">
        <v>71012</v>
      </c>
      <c r="F19216" t="s">
        <v>8622</v>
      </c>
      <c r="G19216" t="s">
        <v>381</v>
      </c>
      <c r="H19216">
        <v>46203</v>
      </c>
      <c r="I19216" t="s">
        <v>30</v>
      </c>
      <c r="J19216" t="s">
        <v>31</v>
      </c>
      <c r="K19216" t="s">
        <v>282</v>
      </c>
      <c r="Q19216">
        <v>0</v>
      </c>
      <c r="R19216">
        <v>89</v>
      </c>
      <c r="S19216">
        <v>0</v>
      </c>
      <c r="T19216" t="s">
        <v>71013</v>
      </c>
    </row>
    <row r="19217" spans="1:20" customFormat="1" ht="15" x14ac:dyDescent="0.25">
      <c r="A19217" t="s">
        <v>24</v>
      </c>
      <c r="B19217" t="s">
        <v>193</v>
      </c>
      <c r="C19217" t="str">
        <f>"A0090868"</f>
        <v>A0090868</v>
      </c>
      <c r="D19217" t="s">
        <v>13756</v>
      </c>
      <c r="E19217" t="s">
        <v>13757</v>
      </c>
      <c r="F19217" t="s">
        <v>716</v>
      </c>
      <c r="G19217" t="s">
        <v>289</v>
      </c>
      <c r="H19217">
        <v>60654</v>
      </c>
      <c r="I19217" t="s">
        <v>30</v>
      </c>
      <c r="J19217" t="s">
        <v>171</v>
      </c>
      <c r="K19217" t="s">
        <v>163</v>
      </c>
      <c r="N19217" t="s">
        <v>13758</v>
      </c>
      <c r="O19217" t="s">
        <v>13759</v>
      </c>
      <c r="Q19217">
        <v>0</v>
      </c>
      <c r="R19217">
        <v>225</v>
      </c>
      <c r="S19217">
        <v>0</v>
      </c>
      <c r="T19217" t="s">
        <v>13760</v>
      </c>
    </row>
    <row r="19218" spans="1:20" customFormat="1" ht="15" x14ac:dyDescent="0.25">
      <c r="A19218" t="s">
        <v>24</v>
      </c>
      <c r="B19218" t="s">
        <v>13785</v>
      </c>
      <c r="C19218" t="str">
        <f>"A0186946"</f>
        <v>A0186946</v>
      </c>
      <c r="D19218" t="s">
        <v>13786</v>
      </c>
      <c r="E19218" t="s">
        <v>13787</v>
      </c>
      <c r="F19218" t="s">
        <v>13788</v>
      </c>
      <c r="G19218" t="s">
        <v>381</v>
      </c>
      <c r="H19218">
        <v>47421</v>
      </c>
      <c r="I19218" t="s">
        <v>30</v>
      </c>
      <c r="J19218" t="s">
        <v>171</v>
      </c>
      <c r="K19218" t="s">
        <v>315</v>
      </c>
      <c r="N19218" t="s">
        <v>4552</v>
      </c>
      <c r="Q19218">
        <v>0</v>
      </c>
      <c r="R19218">
        <v>40</v>
      </c>
      <c r="S19218">
        <v>0</v>
      </c>
      <c r="T19218" t="s">
        <v>13789</v>
      </c>
    </row>
    <row r="19219" spans="1:20" customFormat="1" ht="15" x14ac:dyDescent="0.25">
      <c r="A19219" t="s">
        <v>24</v>
      </c>
      <c r="B19219" t="s">
        <v>13807</v>
      </c>
      <c r="C19219" t="str">
        <f>"A0187061"</f>
        <v>A0187061</v>
      </c>
      <c r="D19219" t="s">
        <v>13808</v>
      </c>
      <c r="E19219" t="s">
        <v>13809</v>
      </c>
      <c r="F19219" t="s">
        <v>3880</v>
      </c>
      <c r="G19219" t="s">
        <v>925</v>
      </c>
      <c r="H19219">
        <v>66502</v>
      </c>
      <c r="I19219" t="s">
        <v>30</v>
      </c>
      <c r="J19219" t="s">
        <v>171</v>
      </c>
      <c r="K19219" t="s">
        <v>973</v>
      </c>
      <c r="N19219" t="s">
        <v>13810</v>
      </c>
      <c r="Q19219">
        <v>0</v>
      </c>
      <c r="R19219">
        <v>127</v>
      </c>
      <c r="S19219">
        <v>0</v>
      </c>
      <c r="T19219" t="s">
        <v>13811</v>
      </c>
    </row>
    <row r="19220" spans="1:20" customFormat="1" ht="15" x14ac:dyDescent="0.25">
      <c r="A19220" t="s">
        <v>24</v>
      </c>
      <c r="B19220" t="s">
        <v>2340</v>
      </c>
      <c r="C19220" t="str">
        <f>"A0180628"</f>
        <v>A0180628</v>
      </c>
      <c r="D19220" t="s">
        <v>13812</v>
      </c>
      <c r="E19220" t="s">
        <v>13813</v>
      </c>
      <c r="F19220" t="s">
        <v>2443</v>
      </c>
      <c r="G19220" t="s">
        <v>81</v>
      </c>
      <c r="H19220">
        <v>32204</v>
      </c>
      <c r="I19220" t="s">
        <v>30</v>
      </c>
      <c r="J19220" t="s">
        <v>171</v>
      </c>
      <c r="K19220" t="s">
        <v>1450</v>
      </c>
      <c r="N19220" t="s">
        <v>13814</v>
      </c>
      <c r="Q19220">
        <v>0</v>
      </c>
      <c r="R19220">
        <v>135</v>
      </c>
      <c r="S19220">
        <v>0</v>
      </c>
      <c r="T19220" t="s">
        <v>13815</v>
      </c>
    </row>
    <row r="19221" spans="1:20" customFormat="1" ht="15" x14ac:dyDescent="0.25">
      <c r="A19221" t="s">
        <v>24</v>
      </c>
      <c r="B19221" t="s">
        <v>2836</v>
      </c>
      <c r="C19221" t="str">
        <f>"A0186742"</f>
        <v>A0186742</v>
      </c>
      <c r="D19221" t="s">
        <v>13816</v>
      </c>
      <c r="E19221" t="s">
        <v>13817</v>
      </c>
      <c r="F19221" t="s">
        <v>13818</v>
      </c>
      <c r="G19221" t="s">
        <v>81</v>
      </c>
      <c r="H19221">
        <v>32082</v>
      </c>
      <c r="I19221" t="s">
        <v>30</v>
      </c>
      <c r="J19221" t="s">
        <v>171</v>
      </c>
      <c r="K19221" t="s">
        <v>1331</v>
      </c>
      <c r="N19221" t="s">
        <v>13819</v>
      </c>
      <c r="Q19221">
        <v>0</v>
      </c>
      <c r="R19221">
        <v>125</v>
      </c>
      <c r="S19221">
        <v>0</v>
      </c>
      <c r="T19221" t="s">
        <v>13820</v>
      </c>
    </row>
    <row r="19222" spans="1:20" customFormat="1" ht="15" x14ac:dyDescent="0.25">
      <c r="A19222" t="s">
        <v>24</v>
      </c>
      <c r="B19222" t="s">
        <v>13821</v>
      </c>
      <c r="C19222" t="str">
        <f>"A0091348"</f>
        <v>A0091348</v>
      </c>
      <c r="D19222" t="s">
        <v>13822</v>
      </c>
      <c r="E19222" t="s">
        <v>13823</v>
      </c>
      <c r="F19222" t="s">
        <v>13824</v>
      </c>
      <c r="G19222" t="s">
        <v>58</v>
      </c>
      <c r="H19222">
        <v>29420</v>
      </c>
      <c r="I19222" t="s">
        <v>30</v>
      </c>
      <c r="J19222" t="s">
        <v>171</v>
      </c>
      <c r="K19222" t="s">
        <v>1450</v>
      </c>
      <c r="N19222" t="s">
        <v>13825</v>
      </c>
      <c r="Q19222">
        <v>0</v>
      </c>
      <c r="R19222">
        <v>96</v>
      </c>
      <c r="S19222">
        <v>0</v>
      </c>
      <c r="T19222" t="s">
        <v>13826</v>
      </c>
    </row>
    <row r="19223" spans="1:20" customFormat="1" ht="15" x14ac:dyDescent="0.25">
      <c r="A19223" t="s">
        <v>24</v>
      </c>
      <c r="B19223" t="s">
        <v>3628</v>
      </c>
      <c r="C19223" t="str">
        <f>"A0087534"</f>
        <v>A0087534</v>
      </c>
      <c r="D19223" t="s">
        <v>14193</v>
      </c>
      <c r="E19223" t="s">
        <v>14194</v>
      </c>
      <c r="F19223" t="s">
        <v>2856</v>
      </c>
      <c r="G19223" t="s">
        <v>52</v>
      </c>
      <c r="H19223">
        <v>79912</v>
      </c>
      <c r="I19223" t="s">
        <v>30</v>
      </c>
      <c r="J19223" t="s">
        <v>171</v>
      </c>
      <c r="K19223" t="s">
        <v>255</v>
      </c>
      <c r="N19223" t="s">
        <v>14195</v>
      </c>
      <c r="Q19223">
        <v>0</v>
      </c>
      <c r="R19223">
        <v>103</v>
      </c>
      <c r="S19223">
        <v>0</v>
      </c>
      <c r="T19223" t="s">
        <v>14196</v>
      </c>
    </row>
    <row r="19224" spans="1:20" customFormat="1" ht="15" x14ac:dyDescent="0.25">
      <c r="A19224" t="s">
        <v>24</v>
      </c>
      <c r="B19224" t="s">
        <v>14197</v>
      </c>
      <c r="C19224" t="str">
        <f>"A0078634"</f>
        <v>A0078634</v>
      </c>
      <c r="D19224" t="s">
        <v>14198</v>
      </c>
      <c r="E19224" t="s">
        <v>14199</v>
      </c>
      <c r="F19224" t="s">
        <v>13387</v>
      </c>
      <c r="G19224" t="s">
        <v>40</v>
      </c>
      <c r="H19224">
        <v>73401</v>
      </c>
      <c r="I19224" t="s">
        <v>30</v>
      </c>
      <c r="J19224" t="s">
        <v>171</v>
      </c>
      <c r="K19224" t="s">
        <v>255</v>
      </c>
      <c r="N19224" t="s">
        <v>14200</v>
      </c>
      <c r="Q19224">
        <v>0</v>
      </c>
      <c r="R19224">
        <v>80</v>
      </c>
      <c r="S19224">
        <v>0</v>
      </c>
      <c r="T19224" t="s">
        <v>14201</v>
      </c>
    </row>
    <row r="19225" spans="1:20" customFormat="1" ht="15" x14ac:dyDescent="0.25">
      <c r="A19225" t="s">
        <v>24</v>
      </c>
      <c r="B19225" t="s">
        <v>3628</v>
      </c>
      <c r="C19225" t="str">
        <f>"A0087733"</f>
        <v>A0087733</v>
      </c>
      <c r="D19225" t="s">
        <v>14222</v>
      </c>
      <c r="E19225" t="s">
        <v>14223</v>
      </c>
      <c r="F19225" t="s">
        <v>356</v>
      </c>
      <c r="G19225" t="s">
        <v>52</v>
      </c>
      <c r="H19225">
        <v>78251</v>
      </c>
      <c r="I19225" t="s">
        <v>30</v>
      </c>
      <c r="J19225" t="s">
        <v>171</v>
      </c>
      <c r="K19225" t="s">
        <v>973</v>
      </c>
      <c r="N19225" t="s">
        <v>14224</v>
      </c>
      <c r="Q19225">
        <v>0</v>
      </c>
      <c r="R19225">
        <v>179</v>
      </c>
      <c r="S19225">
        <v>0</v>
      </c>
      <c r="T19225" t="s">
        <v>14225</v>
      </c>
    </row>
    <row r="19226" spans="1:20" customFormat="1" ht="15" x14ac:dyDescent="0.25">
      <c r="A19226" t="s">
        <v>24</v>
      </c>
      <c r="B19226" t="s">
        <v>6570</v>
      </c>
      <c r="C19226" t="str">
        <f>"A0090055"</f>
        <v>A0090055</v>
      </c>
      <c r="D19226" t="s">
        <v>14226</v>
      </c>
      <c r="E19226" t="s">
        <v>14227</v>
      </c>
      <c r="F19226" t="s">
        <v>14228</v>
      </c>
      <c r="G19226" t="s">
        <v>1170</v>
      </c>
      <c r="H19226">
        <v>70360</v>
      </c>
      <c r="I19226" t="s">
        <v>30</v>
      </c>
      <c r="J19226" t="s">
        <v>171</v>
      </c>
      <c r="K19226" t="s">
        <v>973</v>
      </c>
      <c r="N19226" t="s">
        <v>14229</v>
      </c>
      <c r="Q19226">
        <v>0</v>
      </c>
      <c r="R19226">
        <v>144</v>
      </c>
      <c r="S19226">
        <v>0</v>
      </c>
      <c r="T19226" t="s">
        <v>14230</v>
      </c>
    </row>
    <row r="19227" spans="1:20" customFormat="1" ht="15" x14ac:dyDescent="0.25">
      <c r="A19227" t="s">
        <v>24</v>
      </c>
      <c r="B19227" t="s">
        <v>3628</v>
      </c>
      <c r="C19227" t="str">
        <f>"A0089608"</f>
        <v>A0089608</v>
      </c>
      <c r="D19227" t="s">
        <v>14246</v>
      </c>
      <c r="E19227" t="s">
        <v>14247</v>
      </c>
      <c r="F19227" t="s">
        <v>170</v>
      </c>
      <c r="G19227" t="s">
        <v>110</v>
      </c>
      <c r="H19227">
        <v>93449</v>
      </c>
      <c r="I19227" t="s">
        <v>30</v>
      </c>
      <c r="J19227" t="s">
        <v>171</v>
      </c>
      <c r="K19227" t="s">
        <v>1331</v>
      </c>
      <c r="N19227" t="s">
        <v>14248</v>
      </c>
      <c r="O19227" t="s">
        <v>14249</v>
      </c>
      <c r="Q19227">
        <v>0</v>
      </c>
      <c r="R19227">
        <v>120</v>
      </c>
      <c r="S19227">
        <v>0</v>
      </c>
      <c r="T19227" t="s">
        <v>14250</v>
      </c>
    </row>
    <row r="19228" spans="1:20" customFormat="1" ht="15" x14ac:dyDescent="0.25">
      <c r="A19228" t="s">
        <v>24</v>
      </c>
      <c r="B19228" t="s">
        <v>3628</v>
      </c>
      <c r="C19228" t="str">
        <f>"A0086127"</f>
        <v>A0086127</v>
      </c>
      <c r="D19228" t="s">
        <v>14251</v>
      </c>
      <c r="E19228" t="s">
        <v>14252</v>
      </c>
      <c r="F19228" t="s">
        <v>3009</v>
      </c>
      <c r="G19228" t="s">
        <v>110</v>
      </c>
      <c r="H19228">
        <v>93536</v>
      </c>
      <c r="I19228" t="s">
        <v>30</v>
      </c>
      <c r="J19228" t="s">
        <v>171</v>
      </c>
      <c r="K19228" t="s">
        <v>1023</v>
      </c>
      <c r="N19228" t="s">
        <v>12706</v>
      </c>
      <c r="Q19228">
        <v>0</v>
      </c>
      <c r="R19228">
        <v>92</v>
      </c>
      <c r="S19228">
        <v>0</v>
      </c>
      <c r="T19228" t="s">
        <v>14253</v>
      </c>
    </row>
    <row r="19229" spans="1:20" customFormat="1" ht="15" hidden="1" x14ac:dyDescent="0.25">
      <c r="A19229" t="s">
        <v>24</v>
      </c>
      <c r="B19229" t="s">
        <v>56113</v>
      </c>
      <c r="C19229" t="str">
        <f>"A0085802"</f>
        <v>A0085802</v>
      </c>
      <c r="D19229" t="s">
        <v>71065</v>
      </c>
      <c r="E19229" t="s">
        <v>71066</v>
      </c>
      <c r="F19229" t="s">
        <v>71067</v>
      </c>
      <c r="G19229" t="s">
        <v>1457</v>
      </c>
      <c r="H19229" t="s">
        <v>71068</v>
      </c>
      <c r="I19229" t="s">
        <v>1459</v>
      </c>
      <c r="J19229" t="s">
        <v>162</v>
      </c>
      <c r="K19229" t="s">
        <v>854</v>
      </c>
      <c r="N19229" t="s">
        <v>71069</v>
      </c>
      <c r="Q19229">
        <v>0</v>
      </c>
      <c r="R19229">
        <v>146</v>
      </c>
      <c r="S19229">
        <v>0</v>
      </c>
      <c r="T19229" t="s">
        <v>71070</v>
      </c>
    </row>
    <row r="19230" spans="1:20" customFormat="1" ht="15" x14ac:dyDescent="0.25">
      <c r="A19230" t="s">
        <v>24</v>
      </c>
      <c r="B19230" t="s">
        <v>3628</v>
      </c>
      <c r="C19230" t="str">
        <f>"A0083502"</f>
        <v>A0083502</v>
      </c>
      <c r="D19230" t="s">
        <v>14254</v>
      </c>
      <c r="E19230" t="s">
        <v>14255</v>
      </c>
      <c r="F19230" t="s">
        <v>14256</v>
      </c>
      <c r="G19230" t="s">
        <v>52</v>
      </c>
      <c r="H19230">
        <v>78041</v>
      </c>
      <c r="I19230" t="s">
        <v>30</v>
      </c>
      <c r="J19230" t="s">
        <v>171</v>
      </c>
      <c r="K19230" t="s">
        <v>1147</v>
      </c>
      <c r="N19230" t="s">
        <v>14257</v>
      </c>
      <c r="Q19230">
        <v>0</v>
      </c>
      <c r="R19230">
        <v>111</v>
      </c>
      <c r="S19230">
        <v>0</v>
      </c>
      <c r="T19230" t="s">
        <v>14258</v>
      </c>
    </row>
    <row r="19231" spans="1:20" customFormat="1" ht="15" x14ac:dyDescent="0.25">
      <c r="A19231" t="s">
        <v>24</v>
      </c>
      <c r="B19231" t="s">
        <v>3628</v>
      </c>
      <c r="C19231" t="str">
        <f>"A0062543"</f>
        <v>A0062543</v>
      </c>
      <c r="D19231" t="s">
        <v>14259</v>
      </c>
      <c r="E19231" t="s">
        <v>14260</v>
      </c>
      <c r="F19231" t="s">
        <v>2120</v>
      </c>
      <c r="G19231" t="s">
        <v>52</v>
      </c>
      <c r="H19231">
        <v>79410</v>
      </c>
      <c r="I19231" t="s">
        <v>30</v>
      </c>
      <c r="J19231" t="s">
        <v>171</v>
      </c>
      <c r="K19231" t="s">
        <v>1147</v>
      </c>
      <c r="N19231" t="s">
        <v>14261</v>
      </c>
      <c r="Q19231">
        <v>0</v>
      </c>
      <c r="R19231">
        <v>82</v>
      </c>
      <c r="S19231">
        <v>0</v>
      </c>
      <c r="T19231" t="s">
        <v>14262</v>
      </c>
    </row>
    <row r="19232" spans="1:20" customFormat="1" ht="15" x14ac:dyDescent="0.25">
      <c r="A19232" t="s">
        <v>24</v>
      </c>
      <c r="B19232" t="s">
        <v>3628</v>
      </c>
      <c r="C19232" t="str">
        <f>"A0087162"</f>
        <v>A0087162</v>
      </c>
      <c r="D19232" t="s">
        <v>14263</v>
      </c>
      <c r="E19232" t="s">
        <v>14264</v>
      </c>
      <c r="F19232" t="s">
        <v>1271</v>
      </c>
      <c r="G19232" t="s">
        <v>52</v>
      </c>
      <c r="H19232">
        <v>76904</v>
      </c>
      <c r="I19232" t="s">
        <v>30</v>
      </c>
      <c r="J19232" t="s">
        <v>171</v>
      </c>
      <c r="K19232" t="s">
        <v>1147</v>
      </c>
      <c r="N19232" t="s">
        <v>14265</v>
      </c>
      <c r="Q19232">
        <v>0</v>
      </c>
      <c r="R19232">
        <v>80</v>
      </c>
      <c r="S19232">
        <v>0</v>
      </c>
      <c r="T19232" t="s">
        <v>14266</v>
      </c>
    </row>
    <row r="19233" spans="1:20" customFormat="1" ht="15" x14ac:dyDescent="0.25">
      <c r="A19233" t="s">
        <v>24</v>
      </c>
      <c r="B19233" t="s">
        <v>14267</v>
      </c>
      <c r="C19233" t="str">
        <f>"A0186914"</f>
        <v>A0186914</v>
      </c>
      <c r="D19233" t="s">
        <v>14268</v>
      </c>
      <c r="E19233" t="s">
        <v>14269</v>
      </c>
      <c r="F19233" t="s">
        <v>14270</v>
      </c>
      <c r="G19233" t="s">
        <v>99</v>
      </c>
      <c r="H19233">
        <v>13827</v>
      </c>
      <c r="I19233" t="s">
        <v>30</v>
      </c>
      <c r="J19233" t="s">
        <v>171</v>
      </c>
      <c r="K19233" t="s">
        <v>315</v>
      </c>
      <c r="N19233" t="s">
        <v>2599</v>
      </c>
      <c r="Q19233">
        <v>0</v>
      </c>
      <c r="R19233">
        <v>77</v>
      </c>
      <c r="S19233">
        <v>0</v>
      </c>
      <c r="T19233" t="s">
        <v>14271</v>
      </c>
    </row>
    <row r="19234" spans="1:20" customFormat="1" ht="15" hidden="1" x14ac:dyDescent="0.25">
      <c r="A19234" t="s">
        <v>24</v>
      </c>
      <c r="B19234" t="s">
        <v>2202</v>
      </c>
      <c r="C19234" t="str">
        <f>"A0154019"</f>
        <v>A0154019</v>
      </c>
      <c r="D19234" t="s">
        <v>71087</v>
      </c>
      <c r="E19234" t="s">
        <v>71088</v>
      </c>
      <c r="F19234" t="s">
        <v>58894</v>
      </c>
      <c r="G19234" t="s">
        <v>2206</v>
      </c>
      <c r="H19234" t="s">
        <v>71089</v>
      </c>
      <c r="I19234" t="s">
        <v>1459</v>
      </c>
      <c r="J19234" t="s">
        <v>162</v>
      </c>
      <c r="K19234" t="s">
        <v>854</v>
      </c>
      <c r="N19234" t="s">
        <v>71090</v>
      </c>
      <c r="Q19234">
        <v>0</v>
      </c>
      <c r="R19234">
        <v>197</v>
      </c>
      <c r="S19234">
        <v>0</v>
      </c>
      <c r="T19234" t="s">
        <v>71091</v>
      </c>
    </row>
    <row r="19235" spans="1:20" customFormat="1" ht="15" x14ac:dyDescent="0.25">
      <c r="A19235" t="s">
        <v>24</v>
      </c>
      <c r="B19235" t="s">
        <v>6660</v>
      </c>
      <c r="C19235" t="str">
        <f>"A0180332"</f>
        <v>A0180332</v>
      </c>
      <c r="D19235" t="s">
        <v>14281</v>
      </c>
      <c r="E19235" t="s">
        <v>14282</v>
      </c>
      <c r="F19235" t="s">
        <v>1858</v>
      </c>
      <c r="G19235" t="s">
        <v>190</v>
      </c>
      <c r="H19235">
        <v>80906</v>
      </c>
      <c r="I19235" t="s">
        <v>30</v>
      </c>
      <c r="J19235" t="s">
        <v>171</v>
      </c>
      <c r="K19235" t="s">
        <v>163</v>
      </c>
      <c r="N19235" t="s">
        <v>2045</v>
      </c>
      <c r="Q19235">
        <v>0</v>
      </c>
      <c r="R19235">
        <v>174</v>
      </c>
      <c r="S19235">
        <v>0</v>
      </c>
      <c r="T19235">
        <f>+(719)-430-5400</f>
        <v>-5111</v>
      </c>
    </row>
    <row r="19236" spans="1:20" customFormat="1" ht="15" x14ac:dyDescent="0.25">
      <c r="A19236" t="s">
        <v>24</v>
      </c>
      <c r="B19236" t="s">
        <v>14291</v>
      </c>
      <c r="C19236" t="str">
        <f>"A0074803"</f>
        <v>A0074803</v>
      </c>
      <c r="D19236" t="s">
        <v>14292</v>
      </c>
      <c r="E19236" t="s">
        <v>14293</v>
      </c>
      <c r="F19236" t="s">
        <v>6947</v>
      </c>
      <c r="G19236" t="s">
        <v>52</v>
      </c>
      <c r="H19236">
        <v>78041</v>
      </c>
      <c r="I19236" t="s">
        <v>30</v>
      </c>
      <c r="J19236" t="s">
        <v>171</v>
      </c>
      <c r="K19236" t="s">
        <v>1450</v>
      </c>
      <c r="N19236" t="s">
        <v>14294</v>
      </c>
      <c r="Q19236">
        <v>0</v>
      </c>
      <c r="R19236">
        <v>109</v>
      </c>
      <c r="S19236">
        <v>0</v>
      </c>
      <c r="T19236" t="s">
        <v>14295</v>
      </c>
    </row>
    <row r="19237" spans="1:20" customFormat="1" ht="15" hidden="1" x14ac:dyDescent="0.25">
      <c r="A19237" t="s">
        <v>24</v>
      </c>
      <c r="B19237" t="s">
        <v>2202</v>
      </c>
      <c r="C19237" t="str">
        <f>"A0068760"</f>
        <v>A0068760</v>
      </c>
      <c r="D19237" t="s">
        <v>71101</v>
      </c>
      <c r="E19237" t="s">
        <v>71102</v>
      </c>
      <c r="F19237" t="s">
        <v>58603</v>
      </c>
      <c r="G19237" t="s">
        <v>5439</v>
      </c>
      <c r="H19237" t="s">
        <v>71103</v>
      </c>
      <c r="I19237" t="s">
        <v>1459</v>
      </c>
      <c r="J19237" t="s">
        <v>162</v>
      </c>
      <c r="K19237" t="s">
        <v>854</v>
      </c>
      <c r="N19237" t="s">
        <v>71104</v>
      </c>
      <c r="Q19237">
        <v>0</v>
      </c>
      <c r="R19237">
        <v>175</v>
      </c>
      <c r="S19237">
        <v>0</v>
      </c>
      <c r="T19237" t="s">
        <v>71105</v>
      </c>
    </row>
    <row r="19238" spans="1:20" customFormat="1" ht="15" x14ac:dyDescent="0.25">
      <c r="A19238" t="s">
        <v>24</v>
      </c>
      <c r="B19238" t="s">
        <v>14291</v>
      </c>
      <c r="C19238" t="str">
        <f>"A0186720"</f>
        <v>A0186720</v>
      </c>
      <c r="D19238" t="s">
        <v>14296</v>
      </c>
      <c r="E19238" t="s">
        <v>14297</v>
      </c>
      <c r="F19238" t="s">
        <v>11548</v>
      </c>
      <c r="G19238" t="s">
        <v>52</v>
      </c>
      <c r="H19238">
        <v>78520</v>
      </c>
      <c r="I19238" t="s">
        <v>30</v>
      </c>
      <c r="J19238" t="s">
        <v>171</v>
      </c>
      <c r="K19238" t="s">
        <v>1023</v>
      </c>
      <c r="N19238" t="s">
        <v>14298</v>
      </c>
      <c r="Q19238">
        <v>0</v>
      </c>
      <c r="R19238">
        <v>86</v>
      </c>
      <c r="S19238">
        <v>0</v>
      </c>
      <c r="T19238" t="s">
        <v>14299</v>
      </c>
    </row>
    <row r="19239" spans="1:20" customFormat="1" ht="15" x14ac:dyDescent="0.25">
      <c r="A19239" t="s">
        <v>24</v>
      </c>
      <c r="B19239" t="s">
        <v>14313</v>
      </c>
      <c r="C19239" t="str">
        <f>"A0186865"</f>
        <v>A0186865</v>
      </c>
      <c r="D19239" t="s">
        <v>14314</v>
      </c>
      <c r="E19239" t="s">
        <v>14315</v>
      </c>
      <c r="F19239" t="s">
        <v>14316</v>
      </c>
      <c r="G19239" t="s">
        <v>1706</v>
      </c>
      <c r="H19239">
        <v>35967</v>
      </c>
      <c r="I19239" t="s">
        <v>30</v>
      </c>
      <c r="J19239" t="s">
        <v>171</v>
      </c>
      <c r="K19239" t="s">
        <v>315</v>
      </c>
      <c r="N19239" t="s">
        <v>14317</v>
      </c>
      <c r="Q19239">
        <v>0</v>
      </c>
      <c r="R19239">
        <v>41</v>
      </c>
      <c r="S19239">
        <v>0</v>
      </c>
      <c r="T19239" t="s">
        <v>14318</v>
      </c>
    </row>
    <row r="19240" spans="1:20" customFormat="1" ht="15" x14ac:dyDescent="0.25">
      <c r="A19240" t="s">
        <v>24</v>
      </c>
      <c r="B19240" t="s">
        <v>3628</v>
      </c>
      <c r="C19240" t="str">
        <f>"A0075823"</f>
        <v>A0075823</v>
      </c>
      <c r="D19240" t="s">
        <v>14449</v>
      </c>
      <c r="E19240" t="s">
        <v>14450</v>
      </c>
      <c r="F19240" t="s">
        <v>14451</v>
      </c>
      <c r="G19240" t="s">
        <v>81</v>
      </c>
      <c r="H19240">
        <v>32548</v>
      </c>
      <c r="I19240" t="s">
        <v>30</v>
      </c>
      <c r="J19240" t="s">
        <v>171</v>
      </c>
      <c r="K19240" t="s">
        <v>653</v>
      </c>
      <c r="N19240" t="s">
        <v>14452</v>
      </c>
      <c r="Q19240">
        <v>0</v>
      </c>
      <c r="R19240">
        <v>216</v>
      </c>
      <c r="S19240">
        <v>0</v>
      </c>
      <c r="T19240" t="s">
        <v>14453</v>
      </c>
    </row>
    <row r="19241" spans="1:20" customFormat="1" ht="15" x14ac:dyDescent="0.25">
      <c r="A19241" t="s">
        <v>24</v>
      </c>
      <c r="B19241" t="s">
        <v>3628</v>
      </c>
      <c r="C19241" t="str">
        <f>"56823"</f>
        <v>56823</v>
      </c>
      <c r="D19241" t="s">
        <v>14460</v>
      </c>
      <c r="E19241" t="s">
        <v>14461</v>
      </c>
      <c r="F19241" t="s">
        <v>6902</v>
      </c>
      <c r="G19241" t="s">
        <v>615</v>
      </c>
      <c r="H19241">
        <v>6095</v>
      </c>
      <c r="I19241" t="s">
        <v>30</v>
      </c>
      <c r="J19241" t="s">
        <v>171</v>
      </c>
      <c r="K19241" t="s">
        <v>1450</v>
      </c>
      <c r="N19241" t="s">
        <v>14462</v>
      </c>
      <c r="O19241" t="s">
        <v>14463</v>
      </c>
      <c r="Q19241">
        <v>0</v>
      </c>
      <c r="R19241">
        <v>96</v>
      </c>
      <c r="S19241">
        <v>0</v>
      </c>
      <c r="T19241" t="s">
        <v>14464</v>
      </c>
    </row>
    <row r="19242" spans="1:20" customFormat="1" ht="15" x14ac:dyDescent="0.25">
      <c r="A19242" t="s">
        <v>24</v>
      </c>
      <c r="B19242" t="s">
        <v>3628</v>
      </c>
      <c r="C19242" t="str">
        <f>"57141"</f>
        <v>57141</v>
      </c>
      <c r="D19242" t="s">
        <v>14465</v>
      </c>
      <c r="E19242" t="s">
        <v>14466</v>
      </c>
      <c r="F19242" t="s">
        <v>2401</v>
      </c>
      <c r="G19242" t="s">
        <v>123</v>
      </c>
      <c r="H19242">
        <v>20878</v>
      </c>
      <c r="I19242" t="s">
        <v>30</v>
      </c>
      <c r="J19242" t="s">
        <v>171</v>
      </c>
      <c r="K19242" t="s">
        <v>1450</v>
      </c>
      <c r="N19242" t="s">
        <v>14467</v>
      </c>
      <c r="O19242" t="s">
        <v>14468</v>
      </c>
      <c r="Q19242">
        <v>0</v>
      </c>
      <c r="R19242">
        <v>132</v>
      </c>
      <c r="S19242">
        <v>0</v>
      </c>
      <c r="T19242" t="s">
        <v>14469</v>
      </c>
    </row>
    <row r="19243" spans="1:20" customFormat="1" ht="15" x14ac:dyDescent="0.25">
      <c r="A19243" t="s">
        <v>24</v>
      </c>
      <c r="B19243" t="s">
        <v>3628</v>
      </c>
      <c r="C19243" t="str">
        <f>"56914"</f>
        <v>56914</v>
      </c>
      <c r="D19243" t="s">
        <v>14470</v>
      </c>
      <c r="E19243" t="s">
        <v>14471</v>
      </c>
      <c r="F19243" t="s">
        <v>14472</v>
      </c>
      <c r="G19243" t="s">
        <v>117</v>
      </c>
      <c r="H19243">
        <v>48071</v>
      </c>
      <c r="I19243" t="s">
        <v>30</v>
      </c>
      <c r="J19243" t="s">
        <v>171</v>
      </c>
      <c r="K19243" t="s">
        <v>1450</v>
      </c>
      <c r="N19243" t="s">
        <v>14473</v>
      </c>
      <c r="O19243" t="s">
        <v>14474</v>
      </c>
      <c r="Q19243">
        <v>0</v>
      </c>
      <c r="R19243">
        <v>96</v>
      </c>
      <c r="S19243">
        <v>0</v>
      </c>
      <c r="T19243" t="s">
        <v>14475</v>
      </c>
    </row>
    <row r="19244" spans="1:20" customFormat="1" ht="15" x14ac:dyDescent="0.25">
      <c r="A19244" t="s">
        <v>24</v>
      </c>
      <c r="B19244" t="s">
        <v>3628</v>
      </c>
      <c r="C19244" t="str">
        <f>"56855"</f>
        <v>56855</v>
      </c>
      <c r="D19244" t="s">
        <v>14476</v>
      </c>
      <c r="E19244" t="s">
        <v>14477</v>
      </c>
      <c r="F19244" t="s">
        <v>14478</v>
      </c>
      <c r="G19244" t="s">
        <v>615</v>
      </c>
      <c r="H19244">
        <v>6484</v>
      </c>
      <c r="I19244" t="s">
        <v>30</v>
      </c>
      <c r="J19244" t="s">
        <v>171</v>
      </c>
      <c r="K19244" t="s">
        <v>1450</v>
      </c>
      <c r="N19244" t="s">
        <v>14479</v>
      </c>
      <c r="Q19244">
        <v>0</v>
      </c>
      <c r="R19244">
        <v>96</v>
      </c>
      <c r="S19244">
        <v>0</v>
      </c>
      <c r="T19244" t="s">
        <v>14480</v>
      </c>
    </row>
    <row r="19245" spans="1:20" customFormat="1" ht="15" x14ac:dyDescent="0.25">
      <c r="A19245" t="s">
        <v>24</v>
      </c>
      <c r="B19245" t="s">
        <v>3628</v>
      </c>
      <c r="C19245" t="str">
        <f>"56854"</f>
        <v>56854</v>
      </c>
      <c r="D19245" t="s">
        <v>14481</v>
      </c>
      <c r="E19245" t="s">
        <v>14482</v>
      </c>
      <c r="F19245" t="s">
        <v>2900</v>
      </c>
      <c r="G19245" t="s">
        <v>76</v>
      </c>
      <c r="H19245">
        <v>98188</v>
      </c>
      <c r="I19245" t="s">
        <v>30</v>
      </c>
      <c r="J19245" t="s">
        <v>171</v>
      </c>
      <c r="K19245" t="s">
        <v>1450</v>
      </c>
      <c r="N19245" t="s">
        <v>14483</v>
      </c>
      <c r="Q19245">
        <v>0</v>
      </c>
      <c r="R19245">
        <v>144</v>
      </c>
      <c r="S19245">
        <v>0</v>
      </c>
      <c r="T19245" t="s">
        <v>14484</v>
      </c>
    </row>
    <row r="19246" spans="1:20" customFormat="1" ht="15" hidden="1" x14ac:dyDescent="0.25">
      <c r="A19246" t="s">
        <v>24</v>
      </c>
      <c r="B19246" t="s">
        <v>59461</v>
      </c>
      <c r="C19246" t="str">
        <f>"SF03253"</f>
        <v>SF03253</v>
      </c>
      <c r="D19246" t="s">
        <v>71138</v>
      </c>
      <c r="E19246" t="s">
        <v>71139</v>
      </c>
      <c r="F19246" t="s">
        <v>71140</v>
      </c>
      <c r="G19246" t="s">
        <v>2206</v>
      </c>
      <c r="H19246" t="s">
        <v>71141</v>
      </c>
      <c r="I19246" t="s">
        <v>1459</v>
      </c>
      <c r="J19246" t="s">
        <v>162</v>
      </c>
      <c r="K19246" t="s">
        <v>854</v>
      </c>
      <c r="N19246" t="s">
        <v>71142</v>
      </c>
      <c r="Q19246">
        <v>0</v>
      </c>
      <c r="R19246">
        <v>151</v>
      </c>
      <c r="S19246">
        <v>0</v>
      </c>
      <c r="T19246" t="s">
        <v>71143</v>
      </c>
    </row>
    <row r="19247" spans="1:20" customFormat="1" ht="15" x14ac:dyDescent="0.25">
      <c r="A19247" t="s">
        <v>24</v>
      </c>
      <c r="B19247" t="s">
        <v>3628</v>
      </c>
      <c r="C19247" t="str">
        <f>"56853"</f>
        <v>56853</v>
      </c>
      <c r="D19247" t="s">
        <v>14485</v>
      </c>
      <c r="E19247" t="s">
        <v>14486</v>
      </c>
      <c r="F19247" t="s">
        <v>14487</v>
      </c>
      <c r="G19247" t="s">
        <v>76</v>
      </c>
      <c r="H19247">
        <v>98037</v>
      </c>
      <c r="I19247" t="s">
        <v>30</v>
      </c>
      <c r="J19247" t="s">
        <v>171</v>
      </c>
      <c r="K19247" t="s">
        <v>1450</v>
      </c>
      <c r="N19247" t="s">
        <v>14488</v>
      </c>
      <c r="Q19247">
        <v>0</v>
      </c>
      <c r="R19247">
        <v>120</v>
      </c>
      <c r="S19247">
        <v>0</v>
      </c>
      <c r="T19247" t="s">
        <v>14489</v>
      </c>
    </row>
    <row r="19248" spans="1:20" customFormat="1" ht="15" x14ac:dyDescent="0.25">
      <c r="A19248" t="s">
        <v>24</v>
      </c>
      <c r="B19248" t="s">
        <v>3628</v>
      </c>
      <c r="C19248" t="str">
        <f>"56874"</f>
        <v>56874</v>
      </c>
      <c r="D19248" t="s">
        <v>14490</v>
      </c>
      <c r="E19248" t="s">
        <v>14491</v>
      </c>
      <c r="F19248" t="s">
        <v>14492</v>
      </c>
      <c r="G19248" t="s">
        <v>76</v>
      </c>
      <c r="H19248">
        <v>98011</v>
      </c>
      <c r="I19248" t="s">
        <v>30</v>
      </c>
      <c r="J19248" t="s">
        <v>171</v>
      </c>
      <c r="K19248" t="s">
        <v>1450</v>
      </c>
      <c r="N19248" t="s">
        <v>14493</v>
      </c>
      <c r="Q19248">
        <v>0</v>
      </c>
      <c r="R19248">
        <v>120</v>
      </c>
      <c r="S19248">
        <v>0</v>
      </c>
      <c r="T19248" t="s">
        <v>14494</v>
      </c>
    </row>
    <row r="19249" spans="1:20" customFormat="1" ht="15" x14ac:dyDescent="0.25">
      <c r="A19249" t="s">
        <v>24</v>
      </c>
      <c r="B19249" t="s">
        <v>3628</v>
      </c>
      <c r="C19249" t="str">
        <f>"56805"</f>
        <v>56805</v>
      </c>
      <c r="D19249" t="s">
        <v>14495</v>
      </c>
      <c r="E19249" t="s">
        <v>14496</v>
      </c>
      <c r="F19249" t="s">
        <v>14497</v>
      </c>
      <c r="G19249" t="s">
        <v>76</v>
      </c>
      <c r="H19249">
        <v>98007</v>
      </c>
      <c r="I19249" t="s">
        <v>30</v>
      </c>
      <c r="J19249" t="s">
        <v>171</v>
      </c>
      <c r="K19249" t="s">
        <v>1450</v>
      </c>
      <c r="N19249" t="s">
        <v>14498</v>
      </c>
      <c r="Q19249">
        <v>0</v>
      </c>
      <c r="R19249">
        <v>120</v>
      </c>
      <c r="S19249">
        <v>0</v>
      </c>
      <c r="T19249" t="s">
        <v>14499</v>
      </c>
    </row>
    <row r="19250" spans="1:20" customFormat="1" ht="15" x14ac:dyDescent="0.25">
      <c r="A19250" t="s">
        <v>24</v>
      </c>
      <c r="B19250" t="s">
        <v>3628</v>
      </c>
      <c r="C19250" t="str">
        <f>"57435"</f>
        <v>57435</v>
      </c>
      <c r="D19250" t="s">
        <v>14500</v>
      </c>
      <c r="E19250" t="s">
        <v>14501</v>
      </c>
      <c r="F19250" t="s">
        <v>4802</v>
      </c>
      <c r="G19250" t="s">
        <v>110</v>
      </c>
      <c r="H19250">
        <v>95119</v>
      </c>
      <c r="I19250" t="s">
        <v>30</v>
      </c>
      <c r="J19250" t="s">
        <v>171</v>
      </c>
      <c r="K19250" t="s">
        <v>1450</v>
      </c>
      <c r="N19250" t="s">
        <v>14502</v>
      </c>
      <c r="Q19250">
        <v>0</v>
      </c>
      <c r="R19250">
        <v>150</v>
      </c>
      <c r="S19250">
        <v>0</v>
      </c>
      <c r="T19250" t="s">
        <v>14503</v>
      </c>
    </row>
    <row r="19251" spans="1:20" customFormat="1" ht="15" x14ac:dyDescent="0.25">
      <c r="A19251" t="s">
        <v>24</v>
      </c>
      <c r="B19251" t="s">
        <v>3628</v>
      </c>
      <c r="C19251" t="str">
        <f>"56917"</f>
        <v>56917</v>
      </c>
      <c r="D19251" t="s">
        <v>14504</v>
      </c>
      <c r="E19251" t="s">
        <v>14505</v>
      </c>
      <c r="F19251" t="s">
        <v>14506</v>
      </c>
      <c r="G19251" t="s">
        <v>110</v>
      </c>
      <c r="H19251">
        <v>95008</v>
      </c>
      <c r="I19251" t="s">
        <v>30</v>
      </c>
      <c r="J19251" t="s">
        <v>171</v>
      </c>
      <c r="K19251" t="s">
        <v>1450</v>
      </c>
      <c r="N19251" t="s">
        <v>14507</v>
      </c>
      <c r="Q19251">
        <v>0</v>
      </c>
      <c r="R19251">
        <v>80</v>
      </c>
      <c r="S19251">
        <v>0</v>
      </c>
      <c r="T19251" t="s">
        <v>14508</v>
      </c>
    </row>
    <row r="19252" spans="1:20" customFormat="1" ht="15" hidden="1" x14ac:dyDescent="0.25">
      <c r="A19252" t="s">
        <v>24</v>
      </c>
      <c r="B19252" t="s">
        <v>62796</v>
      </c>
      <c r="C19252" t="str">
        <f>"SF08648"</f>
        <v>SF08648</v>
      </c>
      <c r="D19252" t="s">
        <v>71169</v>
      </c>
      <c r="E19252" t="s">
        <v>71170</v>
      </c>
      <c r="F19252" t="s">
        <v>17534</v>
      </c>
      <c r="G19252" t="s">
        <v>2206</v>
      </c>
      <c r="H19252" t="s">
        <v>71171</v>
      </c>
      <c r="I19252" t="s">
        <v>1459</v>
      </c>
      <c r="J19252" t="s">
        <v>162</v>
      </c>
      <c r="K19252" t="s">
        <v>854</v>
      </c>
      <c r="Q19252">
        <v>0</v>
      </c>
      <c r="R19252">
        <v>144</v>
      </c>
      <c r="S19252">
        <v>0</v>
      </c>
      <c r="T19252" t="s">
        <v>71172</v>
      </c>
    </row>
    <row r="19253" spans="1:20" customFormat="1" ht="15" hidden="1" x14ac:dyDescent="0.25">
      <c r="A19253" t="s">
        <v>24</v>
      </c>
      <c r="B19253" t="s">
        <v>66468</v>
      </c>
      <c r="C19253" t="str">
        <f>"SF05390"</f>
        <v>SF05390</v>
      </c>
      <c r="D19253" t="s">
        <v>71173</v>
      </c>
      <c r="E19253" t="s">
        <v>71174</v>
      </c>
      <c r="F19253" t="s">
        <v>17534</v>
      </c>
      <c r="G19253" t="s">
        <v>2206</v>
      </c>
      <c r="H19253" t="s">
        <v>71175</v>
      </c>
      <c r="I19253" t="s">
        <v>1459</v>
      </c>
      <c r="J19253" t="s">
        <v>162</v>
      </c>
      <c r="K19253" t="s">
        <v>854</v>
      </c>
      <c r="N19253" t="s">
        <v>71176</v>
      </c>
      <c r="Q19253">
        <v>0</v>
      </c>
      <c r="R19253">
        <v>147</v>
      </c>
      <c r="S19253">
        <v>0</v>
      </c>
      <c r="T19253" t="s">
        <v>71177</v>
      </c>
    </row>
    <row r="19254" spans="1:20" customFormat="1" ht="15" x14ac:dyDescent="0.25">
      <c r="A19254" t="s">
        <v>24</v>
      </c>
      <c r="B19254" t="s">
        <v>3628</v>
      </c>
      <c r="C19254" t="str">
        <f>"57153"</f>
        <v>57153</v>
      </c>
      <c r="D19254" t="s">
        <v>14509</v>
      </c>
      <c r="E19254" t="s">
        <v>14510</v>
      </c>
      <c r="F19254" t="s">
        <v>14511</v>
      </c>
      <c r="G19254" t="s">
        <v>338</v>
      </c>
      <c r="H19254">
        <v>7458</v>
      </c>
      <c r="I19254" t="s">
        <v>30</v>
      </c>
      <c r="J19254" t="s">
        <v>171</v>
      </c>
      <c r="K19254" t="s">
        <v>1450</v>
      </c>
      <c r="N19254" t="s">
        <v>14512</v>
      </c>
      <c r="Q19254">
        <v>0</v>
      </c>
      <c r="R19254">
        <v>174</v>
      </c>
      <c r="S19254">
        <v>0</v>
      </c>
      <c r="T19254" t="s">
        <v>14513</v>
      </c>
    </row>
    <row r="19255" spans="1:20" customFormat="1" ht="15" x14ac:dyDescent="0.25">
      <c r="A19255" t="s">
        <v>24</v>
      </c>
      <c r="B19255" t="s">
        <v>3628</v>
      </c>
      <c r="C19255" t="str">
        <f>"56847"</f>
        <v>56847</v>
      </c>
      <c r="D19255" t="s">
        <v>14514</v>
      </c>
      <c r="E19255" t="s">
        <v>14515</v>
      </c>
      <c r="F19255" t="s">
        <v>5620</v>
      </c>
      <c r="G19255" t="s">
        <v>29</v>
      </c>
      <c r="H19255">
        <v>23230</v>
      </c>
      <c r="I19255" t="s">
        <v>30</v>
      </c>
      <c r="J19255" t="s">
        <v>171</v>
      </c>
      <c r="K19255" t="s">
        <v>1450</v>
      </c>
      <c r="N19255" t="s">
        <v>14516</v>
      </c>
      <c r="O19255" t="s">
        <v>14517</v>
      </c>
      <c r="Q19255">
        <v>0</v>
      </c>
      <c r="R19255">
        <v>80</v>
      </c>
      <c r="S19255">
        <v>0</v>
      </c>
      <c r="T19255" t="s">
        <v>14518</v>
      </c>
    </row>
    <row r="19256" spans="1:20" customFormat="1" ht="15" x14ac:dyDescent="0.25">
      <c r="A19256" t="s">
        <v>24</v>
      </c>
      <c r="B19256" t="s">
        <v>3628</v>
      </c>
      <c r="C19256" t="str">
        <f>"57150"</f>
        <v>57150</v>
      </c>
      <c r="D19256" t="s">
        <v>14519</v>
      </c>
      <c r="E19256" t="s">
        <v>14520</v>
      </c>
      <c r="F19256" t="s">
        <v>5620</v>
      </c>
      <c r="G19256" t="s">
        <v>29</v>
      </c>
      <c r="H19256">
        <v>23230</v>
      </c>
      <c r="I19256" t="s">
        <v>30</v>
      </c>
      <c r="J19256" t="s">
        <v>171</v>
      </c>
      <c r="K19256" t="s">
        <v>1450</v>
      </c>
      <c r="N19256" t="s">
        <v>14521</v>
      </c>
      <c r="Q19256">
        <v>0</v>
      </c>
      <c r="R19256">
        <v>104</v>
      </c>
      <c r="S19256">
        <v>0</v>
      </c>
      <c r="T19256" t="s">
        <v>14522</v>
      </c>
    </row>
    <row r="19257" spans="1:20" customFormat="1" ht="15" x14ac:dyDescent="0.25">
      <c r="A19257" t="s">
        <v>24</v>
      </c>
      <c r="B19257" t="s">
        <v>3628</v>
      </c>
      <c r="C19257" t="str">
        <f>"57140"</f>
        <v>57140</v>
      </c>
      <c r="D19257" t="s">
        <v>14523</v>
      </c>
      <c r="E19257" t="s">
        <v>14524</v>
      </c>
      <c r="F19257" t="s">
        <v>14525</v>
      </c>
      <c r="G19257" t="s">
        <v>2450</v>
      </c>
      <c r="H19257">
        <v>4074</v>
      </c>
      <c r="I19257" t="s">
        <v>30</v>
      </c>
      <c r="J19257" t="s">
        <v>171</v>
      </c>
      <c r="K19257" t="s">
        <v>1450</v>
      </c>
      <c r="N19257" t="s">
        <v>14526</v>
      </c>
      <c r="Q19257">
        <v>0</v>
      </c>
      <c r="R19257">
        <v>80</v>
      </c>
      <c r="S19257">
        <v>0</v>
      </c>
      <c r="T19257" t="s">
        <v>14527</v>
      </c>
    </row>
    <row r="19258" spans="1:20" customFormat="1" ht="15" x14ac:dyDescent="0.25">
      <c r="A19258" t="s">
        <v>24</v>
      </c>
      <c r="B19258" t="s">
        <v>3628</v>
      </c>
      <c r="C19258" t="str">
        <f>"56559"</f>
        <v>56559</v>
      </c>
      <c r="D19258" t="s">
        <v>14528</v>
      </c>
      <c r="E19258" t="s">
        <v>14529</v>
      </c>
      <c r="F19258" t="s">
        <v>14530</v>
      </c>
      <c r="G19258" t="s">
        <v>81</v>
      </c>
      <c r="H19258">
        <v>32714</v>
      </c>
      <c r="I19258" t="s">
        <v>30</v>
      </c>
      <c r="J19258" t="s">
        <v>171</v>
      </c>
      <c r="K19258" t="s">
        <v>1450</v>
      </c>
      <c r="Q19258">
        <v>0</v>
      </c>
      <c r="R19258">
        <v>128</v>
      </c>
      <c r="S19258">
        <v>0</v>
      </c>
      <c r="T19258" t="s">
        <v>14531</v>
      </c>
    </row>
    <row r="19259" spans="1:20" customFormat="1" ht="15" x14ac:dyDescent="0.25">
      <c r="A19259" t="s">
        <v>24</v>
      </c>
      <c r="B19259" t="s">
        <v>3628</v>
      </c>
      <c r="C19259" t="str">
        <f>"57432"</f>
        <v>57432</v>
      </c>
      <c r="D19259" t="s">
        <v>14532</v>
      </c>
      <c r="E19259" t="s">
        <v>14533</v>
      </c>
      <c r="F19259" t="s">
        <v>686</v>
      </c>
      <c r="G19259" t="s">
        <v>110</v>
      </c>
      <c r="H19259">
        <v>91764</v>
      </c>
      <c r="I19259" t="s">
        <v>30</v>
      </c>
      <c r="J19259" t="s">
        <v>171</v>
      </c>
      <c r="K19259" t="s">
        <v>1450</v>
      </c>
      <c r="N19259" t="s">
        <v>14534</v>
      </c>
      <c r="Q19259">
        <v>0</v>
      </c>
      <c r="R19259">
        <v>200</v>
      </c>
      <c r="S19259">
        <v>0</v>
      </c>
      <c r="T19259" t="s">
        <v>14535</v>
      </c>
    </row>
    <row r="19260" spans="1:20" customFormat="1" ht="15" x14ac:dyDescent="0.25">
      <c r="A19260" t="s">
        <v>24</v>
      </c>
      <c r="B19260" t="s">
        <v>3628</v>
      </c>
      <c r="C19260" t="str">
        <f>"57211"</f>
        <v>57211</v>
      </c>
      <c r="D19260" t="s">
        <v>14536</v>
      </c>
      <c r="E19260" t="s">
        <v>14537</v>
      </c>
      <c r="F19260" t="s">
        <v>3466</v>
      </c>
      <c r="G19260" t="s">
        <v>840</v>
      </c>
      <c r="H19260">
        <v>40222</v>
      </c>
      <c r="I19260" t="s">
        <v>30</v>
      </c>
      <c r="J19260" t="s">
        <v>171</v>
      </c>
      <c r="K19260" t="s">
        <v>1450</v>
      </c>
      <c r="N19260" t="s">
        <v>14538</v>
      </c>
      <c r="Q19260">
        <v>0</v>
      </c>
      <c r="R19260">
        <v>96</v>
      </c>
      <c r="S19260">
        <v>0</v>
      </c>
      <c r="T19260" t="s">
        <v>14539</v>
      </c>
    </row>
    <row r="19261" spans="1:20" customFormat="1" ht="15" x14ac:dyDescent="0.25">
      <c r="A19261" t="s">
        <v>24</v>
      </c>
      <c r="B19261" t="s">
        <v>3628</v>
      </c>
      <c r="C19261" t="str">
        <f>"57210"</f>
        <v>57210</v>
      </c>
      <c r="D19261" t="s">
        <v>14540</v>
      </c>
      <c r="E19261" t="s">
        <v>14541</v>
      </c>
      <c r="F19261" t="s">
        <v>3041</v>
      </c>
      <c r="G19261" t="s">
        <v>840</v>
      </c>
      <c r="H19261">
        <v>40511</v>
      </c>
      <c r="I19261" t="s">
        <v>30</v>
      </c>
      <c r="J19261" t="s">
        <v>171</v>
      </c>
      <c r="K19261" t="s">
        <v>1450</v>
      </c>
      <c r="N19261" t="s">
        <v>14542</v>
      </c>
      <c r="O19261" t="s">
        <v>14543</v>
      </c>
      <c r="Q19261">
        <v>0</v>
      </c>
      <c r="R19261">
        <v>80</v>
      </c>
      <c r="S19261">
        <v>0</v>
      </c>
      <c r="T19261" t="s">
        <v>14544</v>
      </c>
    </row>
    <row r="19262" spans="1:20" customFormat="1" ht="15" x14ac:dyDescent="0.25">
      <c r="A19262" t="s">
        <v>24</v>
      </c>
      <c r="B19262" t="s">
        <v>3628</v>
      </c>
      <c r="C19262" t="str">
        <f>"56822"</f>
        <v>56822</v>
      </c>
      <c r="D19262" t="s">
        <v>14545</v>
      </c>
      <c r="E19262" t="s">
        <v>14546</v>
      </c>
      <c r="F19262" t="s">
        <v>8882</v>
      </c>
      <c r="G19262" t="s">
        <v>103</v>
      </c>
      <c r="H19262">
        <v>17111</v>
      </c>
      <c r="I19262" t="s">
        <v>30</v>
      </c>
      <c r="J19262" t="s">
        <v>171</v>
      </c>
      <c r="K19262" t="s">
        <v>1450</v>
      </c>
      <c r="N19262" t="s">
        <v>14547</v>
      </c>
      <c r="Q19262">
        <v>0</v>
      </c>
      <c r="R19262">
        <v>80</v>
      </c>
      <c r="S19262">
        <v>0</v>
      </c>
      <c r="T19262" t="s">
        <v>14548</v>
      </c>
    </row>
    <row r="19263" spans="1:20" customFormat="1" ht="15" x14ac:dyDescent="0.25">
      <c r="A19263" t="s">
        <v>24</v>
      </c>
      <c r="B19263" t="s">
        <v>3628</v>
      </c>
      <c r="C19263" t="str">
        <f>"56886"</f>
        <v>56886</v>
      </c>
      <c r="D19263" t="s">
        <v>14549</v>
      </c>
      <c r="E19263" t="s">
        <v>14550</v>
      </c>
      <c r="F19263" t="s">
        <v>5791</v>
      </c>
      <c r="G19263" t="s">
        <v>110</v>
      </c>
      <c r="H19263">
        <v>94536</v>
      </c>
      <c r="I19263" t="s">
        <v>30</v>
      </c>
      <c r="J19263" t="s">
        <v>171</v>
      </c>
      <c r="K19263" t="s">
        <v>1450</v>
      </c>
      <c r="N19263" t="s">
        <v>14551</v>
      </c>
      <c r="O19263" t="s">
        <v>14552</v>
      </c>
      <c r="Q19263">
        <v>0</v>
      </c>
      <c r="R19263">
        <v>80</v>
      </c>
      <c r="S19263">
        <v>0</v>
      </c>
      <c r="T19263" t="s">
        <v>14553</v>
      </c>
    </row>
    <row r="19264" spans="1:20" customFormat="1" ht="15" x14ac:dyDescent="0.25">
      <c r="A19264" t="s">
        <v>24</v>
      </c>
      <c r="B19264" t="s">
        <v>3628</v>
      </c>
      <c r="C19264" t="str">
        <f>"57149"</f>
        <v>57149</v>
      </c>
      <c r="D19264" t="s">
        <v>14554</v>
      </c>
      <c r="E19264" t="s">
        <v>14555</v>
      </c>
      <c r="F19264" t="s">
        <v>6348</v>
      </c>
      <c r="G19264" t="s">
        <v>117</v>
      </c>
      <c r="H19264">
        <v>48152</v>
      </c>
      <c r="I19264" t="s">
        <v>30</v>
      </c>
      <c r="J19264" t="s">
        <v>171</v>
      </c>
      <c r="K19264" t="s">
        <v>1450</v>
      </c>
      <c r="N19264" t="s">
        <v>14556</v>
      </c>
      <c r="Q19264">
        <v>0</v>
      </c>
      <c r="R19264">
        <v>112</v>
      </c>
      <c r="S19264">
        <v>0</v>
      </c>
      <c r="T19264" t="s">
        <v>14557</v>
      </c>
    </row>
    <row r="19265" spans="1:25" customFormat="1" ht="15" x14ac:dyDescent="0.25">
      <c r="A19265" t="s">
        <v>24</v>
      </c>
      <c r="B19265" t="s">
        <v>71224</v>
      </c>
      <c r="C19265" t="str">
        <f>"A0078307"</f>
        <v>A0078307</v>
      </c>
      <c r="D19265" t="s">
        <v>71225</v>
      </c>
      <c r="E19265" t="s">
        <v>71226</v>
      </c>
      <c r="F19265" t="s">
        <v>3932</v>
      </c>
      <c r="G19265" t="s">
        <v>117</v>
      </c>
      <c r="H19265">
        <v>49512</v>
      </c>
      <c r="I19265" t="s">
        <v>30</v>
      </c>
      <c r="J19265" t="s">
        <v>31</v>
      </c>
      <c r="K19265" t="s">
        <v>71227</v>
      </c>
      <c r="N19265" t="s">
        <v>71228</v>
      </c>
      <c r="Q19265">
        <v>0</v>
      </c>
      <c r="R19265">
        <v>148</v>
      </c>
      <c r="S19265">
        <v>0</v>
      </c>
      <c r="T19265" t="s">
        <v>71229</v>
      </c>
    </row>
    <row r="19266" spans="1:25" customFormat="1" ht="15" x14ac:dyDescent="0.25">
      <c r="A19266" t="s">
        <v>24</v>
      </c>
      <c r="B19266" t="s">
        <v>3628</v>
      </c>
      <c r="C19266" t="str">
        <f>"56915"</f>
        <v>56915</v>
      </c>
      <c r="D19266" t="s">
        <v>14558</v>
      </c>
      <c r="E19266" t="s">
        <v>14559</v>
      </c>
      <c r="F19266" t="s">
        <v>14560</v>
      </c>
      <c r="G19266" t="s">
        <v>190</v>
      </c>
      <c r="H19266">
        <v>80111</v>
      </c>
      <c r="I19266" t="s">
        <v>30</v>
      </c>
      <c r="J19266" t="s">
        <v>171</v>
      </c>
      <c r="K19266" t="s">
        <v>1450</v>
      </c>
      <c r="N19266" t="s">
        <v>14561</v>
      </c>
      <c r="O19266" t="s">
        <v>14562</v>
      </c>
      <c r="Q19266">
        <v>0</v>
      </c>
      <c r="R19266">
        <v>128</v>
      </c>
      <c r="S19266">
        <v>0</v>
      </c>
      <c r="T19266" t="s">
        <v>14563</v>
      </c>
    </row>
    <row r="19267" spans="1:25" customFormat="1" ht="15" x14ac:dyDescent="0.25">
      <c r="A19267" t="s">
        <v>24</v>
      </c>
      <c r="B19267" t="s">
        <v>3628</v>
      </c>
      <c r="C19267" t="str">
        <f>"57303"</f>
        <v>57303</v>
      </c>
      <c r="D19267" t="s">
        <v>14564</v>
      </c>
      <c r="E19267" t="s">
        <v>14565</v>
      </c>
      <c r="F19267" t="s">
        <v>972</v>
      </c>
      <c r="G19267" t="s">
        <v>190</v>
      </c>
      <c r="H19267">
        <v>80211</v>
      </c>
      <c r="I19267" t="s">
        <v>30</v>
      </c>
      <c r="J19267" t="s">
        <v>171</v>
      </c>
      <c r="K19267" t="s">
        <v>1450</v>
      </c>
      <c r="N19267" t="s">
        <v>14566</v>
      </c>
      <c r="Q19267">
        <v>0</v>
      </c>
      <c r="R19267">
        <v>156</v>
      </c>
      <c r="S19267">
        <v>0</v>
      </c>
      <c r="T19267" t="s">
        <v>14567</v>
      </c>
    </row>
    <row r="19268" spans="1:25" customFormat="1" ht="15" x14ac:dyDescent="0.25">
      <c r="A19268" t="s">
        <v>24</v>
      </c>
      <c r="B19268" t="s">
        <v>3628</v>
      </c>
      <c r="C19268" t="str">
        <f>"57321"</f>
        <v>57321</v>
      </c>
      <c r="D19268" t="s">
        <v>14568</v>
      </c>
      <c r="E19268" t="s">
        <v>14569</v>
      </c>
      <c r="F19268" t="s">
        <v>2094</v>
      </c>
      <c r="G19268" t="s">
        <v>52</v>
      </c>
      <c r="H19268">
        <v>75240</v>
      </c>
      <c r="I19268" t="s">
        <v>30</v>
      </c>
      <c r="J19268" t="s">
        <v>171</v>
      </c>
      <c r="K19268" t="s">
        <v>1450</v>
      </c>
      <c r="N19268" t="s">
        <v>14570</v>
      </c>
      <c r="Q19268">
        <v>0</v>
      </c>
      <c r="R19268">
        <v>150</v>
      </c>
      <c r="S19268">
        <v>0</v>
      </c>
      <c r="T19268" t="s">
        <v>14571</v>
      </c>
    </row>
    <row r="19269" spans="1:25" customFormat="1" ht="15" x14ac:dyDescent="0.25">
      <c r="A19269" t="s">
        <v>24</v>
      </c>
      <c r="B19269" t="s">
        <v>3628</v>
      </c>
      <c r="C19269" t="str">
        <f>"57146"</f>
        <v>57146</v>
      </c>
      <c r="D19269" t="s">
        <v>14572</v>
      </c>
      <c r="E19269" t="s">
        <v>14573</v>
      </c>
      <c r="F19269" t="s">
        <v>9068</v>
      </c>
      <c r="G19269" t="s">
        <v>289</v>
      </c>
      <c r="H19269">
        <v>60018</v>
      </c>
      <c r="I19269" t="s">
        <v>30</v>
      </c>
      <c r="J19269" t="s">
        <v>171</v>
      </c>
      <c r="K19269" t="s">
        <v>1450</v>
      </c>
      <c r="N19269" t="s">
        <v>14574</v>
      </c>
      <c r="Q19269">
        <v>0</v>
      </c>
      <c r="R19269">
        <v>192</v>
      </c>
      <c r="S19269">
        <v>0</v>
      </c>
      <c r="T19269" t="s">
        <v>14575</v>
      </c>
    </row>
    <row r="19270" spans="1:25" customFormat="1" ht="15" hidden="1" x14ac:dyDescent="0.25">
      <c r="A19270" t="s">
        <v>24</v>
      </c>
      <c r="B19270" t="s">
        <v>59461</v>
      </c>
      <c r="C19270" t="str">
        <f>"SF08540"</f>
        <v>SF08540</v>
      </c>
      <c r="D19270" t="s">
        <v>71247</v>
      </c>
      <c r="E19270" t="s">
        <v>71248</v>
      </c>
      <c r="F19270" t="s">
        <v>13227</v>
      </c>
      <c r="G19270" t="s">
        <v>2206</v>
      </c>
      <c r="H19270" t="s">
        <v>71249</v>
      </c>
      <c r="I19270" t="s">
        <v>1459</v>
      </c>
      <c r="J19270" t="s">
        <v>162</v>
      </c>
      <c r="K19270" t="s">
        <v>854</v>
      </c>
      <c r="N19270" t="s">
        <v>71250</v>
      </c>
      <c r="Q19270">
        <v>0</v>
      </c>
      <c r="R19270">
        <v>446</v>
      </c>
      <c r="S19270">
        <v>0</v>
      </c>
      <c r="T19270" t="s">
        <v>71251</v>
      </c>
    </row>
    <row r="19271" spans="1:25" customFormat="1" ht="15" x14ac:dyDescent="0.25">
      <c r="A19271" t="s">
        <v>24</v>
      </c>
      <c r="B19271" t="s">
        <v>3628</v>
      </c>
      <c r="C19271" t="str">
        <f>"56868"</f>
        <v>56868</v>
      </c>
      <c r="D19271" t="s">
        <v>14576</v>
      </c>
      <c r="E19271" t="s">
        <v>14577</v>
      </c>
      <c r="F19271" t="s">
        <v>14578</v>
      </c>
      <c r="G19271" t="s">
        <v>338</v>
      </c>
      <c r="H19271">
        <v>8034</v>
      </c>
      <c r="I19271" t="s">
        <v>30</v>
      </c>
      <c r="J19271" t="s">
        <v>171</v>
      </c>
      <c r="K19271" t="s">
        <v>1450</v>
      </c>
      <c r="N19271" t="s">
        <v>14579</v>
      </c>
      <c r="Q19271">
        <v>0</v>
      </c>
      <c r="R19271">
        <v>96</v>
      </c>
      <c r="S19271">
        <v>0</v>
      </c>
      <c r="T19271" t="s">
        <v>14580</v>
      </c>
    </row>
    <row r="19272" spans="1:25" customFormat="1" ht="15" x14ac:dyDescent="0.25">
      <c r="A19272" t="s">
        <v>24</v>
      </c>
      <c r="B19272" t="s">
        <v>3628</v>
      </c>
      <c r="C19272" t="str">
        <f>"56806"</f>
        <v>56806</v>
      </c>
      <c r="D19272" t="s">
        <v>14581</v>
      </c>
      <c r="E19272" t="s">
        <v>14582</v>
      </c>
      <c r="F19272" t="s">
        <v>14583</v>
      </c>
      <c r="G19272" t="s">
        <v>99</v>
      </c>
      <c r="H19272">
        <v>13850</v>
      </c>
      <c r="I19272" t="s">
        <v>30</v>
      </c>
      <c r="J19272" t="s">
        <v>171</v>
      </c>
      <c r="K19272" t="s">
        <v>1450</v>
      </c>
      <c r="N19272" t="s">
        <v>14584</v>
      </c>
      <c r="Q19272">
        <v>0</v>
      </c>
      <c r="R19272">
        <v>72</v>
      </c>
      <c r="S19272">
        <v>0</v>
      </c>
      <c r="T19272" t="s">
        <v>14585</v>
      </c>
    </row>
    <row r="19273" spans="1:25" customFormat="1" ht="15" x14ac:dyDescent="0.25">
      <c r="A19273" t="s">
        <v>24</v>
      </c>
      <c r="B19273" t="s">
        <v>3628</v>
      </c>
      <c r="C19273" t="str">
        <f>"57244"</f>
        <v>57244</v>
      </c>
      <c r="D19273" t="s">
        <v>14586</v>
      </c>
      <c r="E19273" t="s">
        <v>14587</v>
      </c>
      <c r="F19273" t="s">
        <v>845</v>
      </c>
      <c r="G19273" t="s">
        <v>846</v>
      </c>
      <c r="H19273">
        <v>30303</v>
      </c>
      <c r="I19273" t="s">
        <v>30</v>
      </c>
      <c r="J19273" t="s">
        <v>171</v>
      </c>
      <c r="K19273" t="s">
        <v>1450</v>
      </c>
      <c r="N19273" t="s">
        <v>14588</v>
      </c>
      <c r="Q19273">
        <v>0</v>
      </c>
      <c r="R19273">
        <v>160</v>
      </c>
      <c r="S19273">
        <v>0</v>
      </c>
      <c r="T19273" t="s">
        <v>14589</v>
      </c>
    </row>
    <row r="19274" spans="1:25" customFormat="1" ht="15" x14ac:dyDescent="0.25">
      <c r="A19274" t="s">
        <v>24</v>
      </c>
      <c r="B19274" t="s">
        <v>3628</v>
      </c>
      <c r="C19274" t="str">
        <f>"57245"</f>
        <v>57245</v>
      </c>
      <c r="D19274" t="s">
        <v>14590</v>
      </c>
      <c r="E19274" t="s">
        <v>14591</v>
      </c>
      <c r="F19274" t="s">
        <v>1223</v>
      </c>
      <c r="G19274" t="s">
        <v>846</v>
      </c>
      <c r="H19274">
        <v>30092</v>
      </c>
      <c r="I19274" t="s">
        <v>30</v>
      </c>
      <c r="J19274" t="s">
        <v>171</v>
      </c>
      <c r="K19274" t="s">
        <v>1450</v>
      </c>
      <c r="N19274" t="s">
        <v>5568</v>
      </c>
      <c r="Q19274">
        <v>0</v>
      </c>
      <c r="R19274">
        <v>120</v>
      </c>
      <c r="S19274">
        <v>0</v>
      </c>
      <c r="T19274" t="s">
        <v>14592</v>
      </c>
    </row>
    <row r="19275" spans="1:25" customFormat="1" ht="15" x14ac:dyDescent="0.25">
      <c r="A19275" t="s">
        <v>24</v>
      </c>
      <c r="B19275" t="s">
        <v>3628</v>
      </c>
      <c r="C19275" t="str">
        <f>"57318"</f>
        <v>57318</v>
      </c>
      <c r="D19275" t="s">
        <v>14593</v>
      </c>
      <c r="E19275" t="s">
        <v>14594</v>
      </c>
      <c r="F19275" t="s">
        <v>1131</v>
      </c>
      <c r="G19275" t="s">
        <v>52</v>
      </c>
      <c r="H19275">
        <v>76006</v>
      </c>
      <c r="I19275" t="s">
        <v>30</v>
      </c>
      <c r="J19275" t="s">
        <v>171</v>
      </c>
      <c r="K19275" t="s">
        <v>1450</v>
      </c>
      <c r="N19275" t="s">
        <v>14595</v>
      </c>
      <c r="O19275" t="s">
        <v>14596</v>
      </c>
      <c r="Q19275">
        <v>0</v>
      </c>
      <c r="R19275">
        <v>114</v>
      </c>
      <c r="S19275">
        <v>0</v>
      </c>
      <c r="T19275" t="s">
        <v>14597</v>
      </c>
    </row>
    <row r="19276" spans="1:25" x14ac:dyDescent="0.25">
      <c r="A19276" s="5" t="s">
        <v>24</v>
      </c>
      <c r="B19276" s="5" t="s">
        <v>3628</v>
      </c>
      <c r="C19276" s="5" t="str">
        <f>"A0059998"</f>
        <v>A0059998</v>
      </c>
      <c r="D19276" s="5" t="s">
        <v>14598</v>
      </c>
      <c r="E19276" s="5" t="s">
        <v>14599</v>
      </c>
      <c r="F19276" s="5" t="s">
        <v>14600</v>
      </c>
      <c r="G19276" s="5" t="s">
        <v>338</v>
      </c>
      <c r="H19276" s="5">
        <v>8054</v>
      </c>
      <c r="I19276" s="5" t="s">
        <v>30</v>
      </c>
      <c r="J19276" s="5" t="s">
        <v>171</v>
      </c>
      <c r="K19276" s="5" t="s">
        <v>2972</v>
      </c>
      <c r="L19276" s="5"/>
      <c r="M19276" s="5"/>
      <c r="N19276" s="5" t="s">
        <v>14601</v>
      </c>
      <c r="O19276" s="5"/>
      <c r="P19276" s="5"/>
      <c r="Q19276" s="5">
        <v>0</v>
      </c>
      <c r="R19276" s="5">
        <v>116</v>
      </c>
      <c r="S19276" s="5">
        <v>0</v>
      </c>
      <c r="T19276" s="5" t="s">
        <v>14602</v>
      </c>
      <c r="U19276" s="5"/>
      <c r="V19276" s="5"/>
      <c r="W19276" s="5"/>
      <c r="X19276" s="5"/>
      <c r="Y19276" s="5"/>
    </row>
    <row r="19277" spans="1:25" customFormat="1" ht="15" x14ac:dyDescent="0.25">
      <c r="A19277" t="s">
        <v>24</v>
      </c>
      <c r="B19277" t="s">
        <v>649</v>
      </c>
      <c r="C19277" t="str">
        <f>"A0094236"</f>
        <v>A0094236</v>
      </c>
      <c r="D19277" t="s">
        <v>71276</v>
      </c>
      <c r="E19277" t="s">
        <v>71277</v>
      </c>
      <c r="F19277" t="s">
        <v>3860</v>
      </c>
      <c r="G19277" t="s">
        <v>137</v>
      </c>
      <c r="H19277">
        <v>63110</v>
      </c>
      <c r="I19277" t="s">
        <v>30</v>
      </c>
      <c r="J19277" t="s">
        <v>31</v>
      </c>
      <c r="K19277" t="s">
        <v>261</v>
      </c>
      <c r="N19277" t="s">
        <v>59492</v>
      </c>
      <c r="O19277" t="s">
        <v>71278</v>
      </c>
      <c r="Q19277">
        <v>0</v>
      </c>
      <c r="R19277">
        <v>106</v>
      </c>
      <c r="S19277">
        <v>0</v>
      </c>
      <c r="T19277" t="s">
        <v>71279</v>
      </c>
    </row>
    <row r="19278" spans="1:25" customFormat="1" ht="15" x14ac:dyDescent="0.25">
      <c r="A19278" t="s">
        <v>24</v>
      </c>
      <c r="B19278" t="s">
        <v>33301</v>
      </c>
      <c r="C19278" t="str">
        <f>"A0154534"</f>
        <v>A0154534</v>
      </c>
      <c r="D19278" t="s">
        <v>71280</v>
      </c>
      <c r="E19278" t="s">
        <v>71281</v>
      </c>
      <c r="F19278" t="s">
        <v>59476</v>
      </c>
      <c r="G19278" t="s">
        <v>52</v>
      </c>
      <c r="H19278">
        <v>79601</v>
      </c>
      <c r="I19278" t="s">
        <v>30</v>
      </c>
      <c r="J19278" t="s">
        <v>31</v>
      </c>
      <c r="K19278" t="s">
        <v>261</v>
      </c>
      <c r="N19278" t="s">
        <v>59482</v>
      </c>
      <c r="O19278" t="s">
        <v>71282</v>
      </c>
      <c r="Q19278">
        <v>0</v>
      </c>
      <c r="R19278">
        <v>111</v>
      </c>
      <c r="S19278">
        <v>0</v>
      </c>
      <c r="T19278" t="s">
        <v>71283</v>
      </c>
    </row>
    <row r="19279" spans="1:25" customFormat="1" ht="15" x14ac:dyDescent="0.25">
      <c r="A19279" t="s">
        <v>24</v>
      </c>
      <c r="B19279" t="s">
        <v>8579</v>
      </c>
      <c r="C19279" t="str">
        <f>"A0100403"</f>
        <v>A0100403</v>
      </c>
      <c r="D19279" t="s">
        <v>71284</v>
      </c>
      <c r="E19279" t="s">
        <v>71285</v>
      </c>
      <c r="F19279" t="s">
        <v>3048</v>
      </c>
      <c r="G19279" t="s">
        <v>3049</v>
      </c>
      <c r="H19279">
        <v>99503</v>
      </c>
      <c r="I19279" t="s">
        <v>30</v>
      </c>
      <c r="J19279" t="s">
        <v>31</v>
      </c>
      <c r="K19279" t="s">
        <v>261</v>
      </c>
      <c r="N19279" t="s">
        <v>71286</v>
      </c>
      <c r="Q19279">
        <v>0</v>
      </c>
      <c r="R19279">
        <v>135</v>
      </c>
      <c r="S19279">
        <v>0</v>
      </c>
      <c r="T19279" t="s">
        <v>71287</v>
      </c>
    </row>
    <row r="19280" spans="1:25" customFormat="1" ht="15" x14ac:dyDescent="0.25">
      <c r="A19280" t="s">
        <v>24</v>
      </c>
      <c r="B19280" t="s">
        <v>1317</v>
      </c>
      <c r="C19280" t="str">
        <f>"A0153930"</f>
        <v>A0153930</v>
      </c>
      <c r="D19280" t="s">
        <v>71288</v>
      </c>
      <c r="E19280" t="s">
        <v>71289</v>
      </c>
      <c r="F19280" t="s">
        <v>71290</v>
      </c>
      <c r="G19280" t="s">
        <v>110</v>
      </c>
      <c r="H19280">
        <v>93422</v>
      </c>
      <c r="I19280" t="s">
        <v>30</v>
      </c>
      <c r="J19280" t="s">
        <v>31</v>
      </c>
      <c r="K19280" t="s">
        <v>261</v>
      </c>
      <c r="N19280" t="s">
        <v>71291</v>
      </c>
      <c r="Q19280">
        <v>0</v>
      </c>
      <c r="R19280">
        <v>120</v>
      </c>
      <c r="S19280">
        <v>0</v>
      </c>
      <c r="T19280" t="s">
        <v>71292</v>
      </c>
    </row>
    <row r="19281" spans="1:20" customFormat="1" ht="15" x14ac:dyDescent="0.25">
      <c r="A19281" t="s">
        <v>24</v>
      </c>
      <c r="B19281" t="s">
        <v>9391</v>
      </c>
      <c r="C19281" t="str">
        <f>"A0136993"</f>
        <v>A0136993</v>
      </c>
      <c r="D19281" t="s">
        <v>71293</v>
      </c>
      <c r="E19281" t="s">
        <v>71294</v>
      </c>
      <c r="F19281" t="s">
        <v>1248</v>
      </c>
      <c r="G19281" t="s">
        <v>846</v>
      </c>
      <c r="H19281">
        <v>30144</v>
      </c>
      <c r="I19281" t="s">
        <v>30</v>
      </c>
      <c r="J19281" t="s">
        <v>31</v>
      </c>
      <c r="K19281" t="s">
        <v>261</v>
      </c>
      <c r="N19281" t="s">
        <v>33999</v>
      </c>
      <c r="O19281" t="s">
        <v>71295</v>
      </c>
      <c r="Q19281">
        <v>0</v>
      </c>
      <c r="R19281">
        <v>83</v>
      </c>
      <c r="S19281">
        <v>0</v>
      </c>
      <c r="T19281" t="s">
        <v>71296</v>
      </c>
    </row>
    <row r="19282" spans="1:20" customFormat="1" ht="15" x14ac:dyDescent="0.25">
      <c r="A19282" t="s">
        <v>24</v>
      </c>
      <c r="B19282" t="s">
        <v>1323</v>
      </c>
      <c r="C19282" t="str">
        <f>"A0099874"</f>
        <v>A0099874</v>
      </c>
      <c r="D19282" t="s">
        <v>71297</v>
      </c>
      <c r="E19282" t="s">
        <v>69019</v>
      </c>
      <c r="F19282" t="s">
        <v>5706</v>
      </c>
      <c r="G19282" t="s">
        <v>1706</v>
      </c>
      <c r="H19282">
        <v>35233</v>
      </c>
      <c r="I19282" t="s">
        <v>30</v>
      </c>
      <c r="J19282" t="s">
        <v>31</v>
      </c>
      <c r="K19282" t="s">
        <v>261</v>
      </c>
      <c r="N19282" t="s">
        <v>69020</v>
      </c>
      <c r="Q19282">
        <v>0</v>
      </c>
      <c r="R19282">
        <v>106</v>
      </c>
      <c r="S19282">
        <v>0</v>
      </c>
      <c r="T19282" t="s">
        <v>71298</v>
      </c>
    </row>
    <row r="19283" spans="1:20" customFormat="1" ht="15" x14ac:dyDescent="0.25">
      <c r="A19283" t="s">
        <v>24</v>
      </c>
      <c r="B19283" t="s">
        <v>58814</v>
      </c>
      <c r="C19283" t="str">
        <f>"A0100901"</f>
        <v>A0100901</v>
      </c>
      <c r="D19283" t="s">
        <v>71299</v>
      </c>
      <c r="E19283" t="s">
        <v>71300</v>
      </c>
      <c r="F19283" t="s">
        <v>71301</v>
      </c>
      <c r="G19283" t="s">
        <v>381</v>
      </c>
      <c r="H19283">
        <v>47404</v>
      </c>
      <c r="I19283" t="s">
        <v>30</v>
      </c>
      <c r="J19283" t="s">
        <v>31</v>
      </c>
      <c r="K19283" t="s">
        <v>261</v>
      </c>
      <c r="N19283" t="s">
        <v>71302</v>
      </c>
      <c r="Q19283">
        <v>0</v>
      </c>
      <c r="R19283">
        <v>107</v>
      </c>
      <c r="S19283">
        <v>0</v>
      </c>
      <c r="T19283" t="s">
        <v>71303</v>
      </c>
    </row>
    <row r="19284" spans="1:20" customFormat="1" ht="15" x14ac:dyDescent="0.25">
      <c r="A19284" t="s">
        <v>24</v>
      </c>
      <c r="B19284" t="s">
        <v>8366</v>
      </c>
      <c r="C19284" t="str">
        <f>"A0158829"</f>
        <v>A0158829</v>
      </c>
      <c r="D19284" t="s">
        <v>71304</v>
      </c>
      <c r="E19284" t="s">
        <v>71305</v>
      </c>
      <c r="F19284" t="s">
        <v>1208</v>
      </c>
      <c r="G19284" t="s">
        <v>899</v>
      </c>
      <c r="H19284">
        <v>2125</v>
      </c>
      <c r="I19284" t="s">
        <v>30</v>
      </c>
      <c r="J19284" t="s">
        <v>31</v>
      </c>
      <c r="K19284" t="s">
        <v>261</v>
      </c>
      <c r="N19284" t="s">
        <v>61894</v>
      </c>
      <c r="Q19284">
        <v>0</v>
      </c>
      <c r="R19284">
        <v>130</v>
      </c>
      <c r="S19284">
        <v>0</v>
      </c>
      <c r="T19284" t="s">
        <v>71306</v>
      </c>
    </row>
    <row r="19285" spans="1:20" customFormat="1" ht="15" x14ac:dyDescent="0.25">
      <c r="A19285" t="s">
        <v>24</v>
      </c>
      <c r="B19285" t="s">
        <v>13679</v>
      </c>
      <c r="C19285" t="str">
        <f>"A0151444"</f>
        <v>A0151444</v>
      </c>
      <c r="D19285" t="s">
        <v>71307</v>
      </c>
      <c r="E19285" t="s">
        <v>71308</v>
      </c>
      <c r="F19285" t="s">
        <v>71309</v>
      </c>
      <c r="G19285" t="s">
        <v>99</v>
      </c>
      <c r="H19285">
        <v>11980</v>
      </c>
      <c r="I19285" t="s">
        <v>30</v>
      </c>
      <c r="J19285" t="s">
        <v>31</v>
      </c>
      <c r="K19285" t="s">
        <v>261</v>
      </c>
      <c r="N19285" t="s">
        <v>71310</v>
      </c>
      <c r="Q19285">
        <v>0</v>
      </c>
      <c r="R19285">
        <v>122</v>
      </c>
      <c r="S19285">
        <v>0</v>
      </c>
      <c r="T19285" t="s">
        <v>71311</v>
      </c>
    </row>
    <row r="19286" spans="1:20" customFormat="1" ht="15" x14ac:dyDescent="0.25">
      <c r="A19286" t="s">
        <v>24</v>
      </c>
      <c r="B19286" t="s">
        <v>9549</v>
      </c>
      <c r="C19286" t="str">
        <f>"A0156812"</f>
        <v>A0156812</v>
      </c>
      <c r="D19286" t="s">
        <v>71312</v>
      </c>
      <c r="E19286" t="s">
        <v>71313</v>
      </c>
      <c r="F19286" t="s">
        <v>71314</v>
      </c>
      <c r="G19286" t="s">
        <v>338</v>
      </c>
      <c r="H19286">
        <v>7936</v>
      </c>
      <c r="I19286" t="s">
        <v>30</v>
      </c>
      <c r="J19286" t="s">
        <v>31</v>
      </c>
      <c r="K19286" t="s">
        <v>261</v>
      </c>
      <c r="N19286" t="s">
        <v>71315</v>
      </c>
      <c r="O19286" t="s">
        <v>71316</v>
      </c>
      <c r="Q19286">
        <v>0</v>
      </c>
      <c r="R19286">
        <v>123</v>
      </c>
      <c r="S19286">
        <v>0</v>
      </c>
      <c r="T19286" t="s">
        <v>71317</v>
      </c>
    </row>
    <row r="19287" spans="1:20" customFormat="1" ht="15" x14ac:dyDescent="0.25">
      <c r="A19287" t="s">
        <v>24</v>
      </c>
      <c r="B19287" t="s">
        <v>342</v>
      </c>
      <c r="C19287" t="str">
        <f>"A0096151"</f>
        <v>A0096151</v>
      </c>
      <c r="D19287" t="s">
        <v>71318</v>
      </c>
      <c r="E19287" t="s">
        <v>71319</v>
      </c>
      <c r="F19287" t="s">
        <v>3587</v>
      </c>
      <c r="G19287" t="s">
        <v>846</v>
      </c>
      <c r="H19287">
        <v>30303</v>
      </c>
      <c r="I19287" t="s">
        <v>30</v>
      </c>
      <c r="J19287" t="s">
        <v>31</v>
      </c>
      <c r="K19287" t="s">
        <v>261</v>
      </c>
      <c r="N19287" t="s">
        <v>71320</v>
      </c>
      <c r="O19287" t="s">
        <v>71321</v>
      </c>
      <c r="Q19287">
        <v>0</v>
      </c>
      <c r="R19287">
        <v>128</v>
      </c>
      <c r="S19287">
        <v>0</v>
      </c>
      <c r="T19287" t="s">
        <v>71322</v>
      </c>
    </row>
    <row r="19288" spans="1:20" customFormat="1" ht="15" x14ac:dyDescent="0.25">
      <c r="A19288" t="s">
        <v>24</v>
      </c>
      <c r="B19288" t="s">
        <v>8405</v>
      </c>
      <c r="C19288" t="str">
        <f>"A0165460"</f>
        <v>A0165460</v>
      </c>
      <c r="D19288" t="s">
        <v>71323</v>
      </c>
      <c r="E19288" t="s">
        <v>71324</v>
      </c>
      <c r="F19288" t="s">
        <v>60397</v>
      </c>
      <c r="G19288" t="s">
        <v>381</v>
      </c>
      <c r="H19288">
        <v>46514</v>
      </c>
      <c r="I19288" t="s">
        <v>30</v>
      </c>
      <c r="J19288" t="s">
        <v>31</v>
      </c>
      <c r="K19288" t="s">
        <v>261</v>
      </c>
      <c r="N19288" t="s">
        <v>71325</v>
      </c>
      <c r="Q19288">
        <v>0</v>
      </c>
      <c r="R19288">
        <v>91</v>
      </c>
      <c r="S19288">
        <v>0</v>
      </c>
      <c r="T19288" t="s">
        <v>71326</v>
      </c>
    </row>
    <row r="19289" spans="1:20" customFormat="1" ht="15" x14ac:dyDescent="0.25">
      <c r="A19289" t="s">
        <v>24</v>
      </c>
      <c r="B19289" t="s">
        <v>54371</v>
      </c>
      <c r="C19289" t="str">
        <f>"A0098817"</f>
        <v>A0098817</v>
      </c>
      <c r="D19289" t="s">
        <v>71327</v>
      </c>
      <c r="E19289" t="s">
        <v>71328</v>
      </c>
      <c r="F19289" t="s">
        <v>54374</v>
      </c>
      <c r="G19289" t="s">
        <v>65</v>
      </c>
      <c r="H19289">
        <v>43537</v>
      </c>
      <c r="I19289" t="s">
        <v>30</v>
      </c>
      <c r="J19289" t="s">
        <v>31</v>
      </c>
      <c r="K19289" t="s">
        <v>261</v>
      </c>
      <c r="N19289" t="s">
        <v>71329</v>
      </c>
      <c r="Q19289">
        <v>0</v>
      </c>
      <c r="R19289">
        <v>107</v>
      </c>
      <c r="S19289">
        <v>0</v>
      </c>
      <c r="T19289" t="s">
        <v>71330</v>
      </c>
    </row>
    <row r="19290" spans="1:20" customFormat="1" ht="15" x14ac:dyDescent="0.25">
      <c r="A19290" t="s">
        <v>24</v>
      </c>
      <c r="B19290" t="s">
        <v>9391</v>
      </c>
      <c r="C19290" t="str">
        <f>"A0096605"</f>
        <v>A0096605</v>
      </c>
      <c r="D19290" t="s">
        <v>71331</v>
      </c>
      <c r="E19290" t="s">
        <v>71332</v>
      </c>
      <c r="F19290" t="s">
        <v>7921</v>
      </c>
      <c r="G19290" t="s">
        <v>880</v>
      </c>
      <c r="H19290">
        <v>37067</v>
      </c>
      <c r="I19290" t="s">
        <v>30</v>
      </c>
      <c r="J19290" t="s">
        <v>31</v>
      </c>
      <c r="K19290" t="s">
        <v>261</v>
      </c>
      <c r="N19290" t="s">
        <v>71333</v>
      </c>
      <c r="O19290" t="s">
        <v>71334</v>
      </c>
      <c r="Q19290">
        <v>0</v>
      </c>
      <c r="R19290">
        <v>105</v>
      </c>
      <c r="S19290">
        <v>0</v>
      </c>
      <c r="T19290" t="s">
        <v>71335</v>
      </c>
    </row>
    <row r="19291" spans="1:20" customFormat="1" ht="15" x14ac:dyDescent="0.25">
      <c r="A19291" t="s">
        <v>24</v>
      </c>
      <c r="B19291" t="s">
        <v>1849</v>
      </c>
      <c r="C19291" t="str">
        <f>"A0099810"</f>
        <v>A0099810</v>
      </c>
      <c r="D19291" t="s">
        <v>71336</v>
      </c>
      <c r="E19291" t="s">
        <v>71337</v>
      </c>
      <c r="F19291" t="s">
        <v>8510</v>
      </c>
      <c r="G19291" t="s">
        <v>58</v>
      </c>
      <c r="H19291">
        <v>29730</v>
      </c>
      <c r="I19291" t="s">
        <v>30</v>
      </c>
      <c r="J19291" t="s">
        <v>31</v>
      </c>
      <c r="K19291" t="s">
        <v>261</v>
      </c>
      <c r="N19291" t="s">
        <v>71338</v>
      </c>
      <c r="O19291" t="s">
        <v>71339</v>
      </c>
      <c r="Q19291">
        <v>0</v>
      </c>
      <c r="R19291">
        <v>105</v>
      </c>
      <c r="S19291">
        <v>0</v>
      </c>
      <c r="T19291" t="s">
        <v>71340</v>
      </c>
    </row>
    <row r="19292" spans="1:20" customFormat="1" ht="15" x14ac:dyDescent="0.25">
      <c r="A19292" t="s">
        <v>24</v>
      </c>
      <c r="B19292" t="s">
        <v>9549</v>
      </c>
      <c r="C19292" t="str">
        <f>"A0151492"</f>
        <v>A0151492</v>
      </c>
      <c r="D19292" t="s">
        <v>71341</v>
      </c>
      <c r="E19292" t="s">
        <v>71342</v>
      </c>
      <c r="F19292" t="s">
        <v>65531</v>
      </c>
      <c r="G19292" t="s">
        <v>3236</v>
      </c>
      <c r="H19292">
        <v>57105</v>
      </c>
      <c r="I19292" t="s">
        <v>30</v>
      </c>
      <c r="J19292" t="s">
        <v>31</v>
      </c>
      <c r="K19292" t="s">
        <v>261</v>
      </c>
      <c r="N19292" t="s">
        <v>71343</v>
      </c>
      <c r="Q19292">
        <v>0</v>
      </c>
      <c r="R19292">
        <v>80</v>
      </c>
      <c r="S19292">
        <v>0</v>
      </c>
      <c r="T19292" t="s">
        <v>71344</v>
      </c>
    </row>
    <row r="19293" spans="1:20" customFormat="1" ht="15" x14ac:dyDescent="0.25">
      <c r="A19293" t="s">
        <v>24</v>
      </c>
      <c r="B19293" t="s">
        <v>734</v>
      </c>
      <c r="C19293" t="str">
        <f>"A0166240"</f>
        <v>A0166240</v>
      </c>
      <c r="D19293" t="s">
        <v>71345</v>
      </c>
      <c r="E19293" t="s">
        <v>71346</v>
      </c>
      <c r="F19293" t="s">
        <v>7449</v>
      </c>
      <c r="G19293" t="s">
        <v>197</v>
      </c>
      <c r="H19293">
        <v>85346</v>
      </c>
      <c r="I19293" t="s">
        <v>30</v>
      </c>
      <c r="J19293" t="s">
        <v>31</v>
      </c>
      <c r="K19293" t="s">
        <v>261</v>
      </c>
      <c r="N19293" t="s">
        <v>69777</v>
      </c>
      <c r="Q19293">
        <v>0</v>
      </c>
      <c r="R19293">
        <v>114</v>
      </c>
      <c r="S19293">
        <v>0</v>
      </c>
      <c r="T19293" t="s">
        <v>71347</v>
      </c>
    </row>
    <row r="19294" spans="1:20" customFormat="1" ht="15" hidden="1" x14ac:dyDescent="0.25">
      <c r="A19294" t="s">
        <v>24</v>
      </c>
      <c r="B19294" t="s">
        <v>63140</v>
      </c>
      <c r="C19294" t="str">
        <f>"A0095157"</f>
        <v>A0095157</v>
      </c>
      <c r="D19294" t="s">
        <v>71348</v>
      </c>
      <c r="E19294" t="s">
        <v>71349</v>
      </c>
      <c r="F19294" t="s">
        <v>59059</v>
      </c>
      <c r="G19294" t="s">
        <v>1457</v>
      </c>
      <c r="H19294" t="s">
        <v>63159</v>
      </c>
      <c r="I19294" t="s">
        <v>1459</v>
      </c>
      <c r="J19294" t="s">
        <v>31</v>
      </c>
      <c r="K19294" t="s">
        <v>261</v>
      </c>
      <c r="N19294" t="s">
        <v>71350</v>
      </c>
      <c r="O19294" t="s">
        <v>71351</v>
      </c>
      <c r="Q19294">
        <v>0</v>
      </c>
      <c r="R19294">
        <v>127</v>
      </c>
      <c r="S19294">
        <v>0</v>
      </c>
      <c r="T19294" t="s">
        <v>71352</v>
      </c>
    </row>
    <row r="19295" spans="1:20" customFormat="1" ht="15" x14ac:dyDescent="0.25">
      <c r="A19295" t="s">
        <v>24</v>
      </c>
      <c r="B19295" t="s">
        <v>649</v>
      </c>
      <c r="C19295" t="str">
        <f>"A0147009"</f>
        <v>A0147009</v>
      </c>
      <c r="D19295" t="s">
        <v>71353</v>
      </c>
      <c r="E19295" t="s">
        <v>71354</v>
      </c>
      <c r="F19295" t="s">
        <v>56237</v>
      </c>
      <c r="G19295" t="s">
        <v>289</v>
      </c>
      <c r="H19295">
        <v>62901</v>
      </c>
      <c r="I19295" t="s">
        <v>30</v>
      </c>
      <c r="J19295" t="s">
        <v>31</v>
      </c>
      <c r="K19295" t="s">
        <v>261</v>
      </c>
      <c r="N19295" t="s">
        <v>59492</v>
      </c>
      <c r="O19295" t="s">
        <v>71355</v>
      </c>
      <c r="Q19295">
        <v>0</v>
      </c>
      <c r="R19295">
        <v>99</v>
      </c>
      <c r="S19295">
        <v>0</v>
      </c>
      <c r="T19295" t="s">
        <v>71356</v>
      </c>
    </row>
    <row r="19296" spans="1:20" customFormat="1" ht="15" x14ac:dyDescent="0.25">
      <c r="A19296" t="s">
        <v>24</v>
      </c>
      <c r="B19296" t="s">
        <v>1561</v>
      </c>
      <c r="C19296" t="str">
        <f>"A0100858"</f>
        <v>A0100858</v>
      </c>
      <c r="D19296" t="s">
        <v>71357</v>
      </c>
      <c r="E19296" t="s">
        <v>71358</v>
      </c>
      <c r="F19296" t="s">
        <v>10373</v>
      </c>
      <c r="G19296" t="s">
        <v>289</v>
      </c>
      <c r="H19296">
        <v>61820</v>
      </c>
      <c r="I19296" t="s">
        <v>30</v>
      </c>
      <c r="J19296" t="s">
        <v>31</v>
      </c>
      <c r="K19296" t="s">
        <v>261</v>
      </c>
      <c r="N19296" t="s">
        <v>71359</v>
      </c>
      <c r="Q19296">
        <v>0</v>
      </c>
      <c r="R19296">
        <v>104</v>
      </c>
      <c r="S19296">
        <v>0</v>
      </c>
      <c r="T19296" t="s">
        <v>71360</v>
      </c>
    </row>
    <row r="19297" spans="1:20" customFormat="1" ht="15" x14ac:dyDescent="0.25">
      <c r="A19297" t="s">
        <v>24</v>
      </c>
      <c r="B19297" t="s">
        <v>9843</v>
      </c>
      <c r="C19297" t="str">
        <f>"A0154615"</f>
        <v>A0154615</v>
      </c>
      <c r="D19297" t="s">
        <v>71361</v>
      </c>
      <c r="E19297" t="s">
        <v>71362</v>
      </c>
      <c r="F19297" t="s">
        <v>242</v>
      </c>
      <c r="G19297" t="s">
        <v>214</v>
      </c>
      <c r="H19297">
        <v>28202</v>
      </c>
      <c r="I19297" t="s">
        <v>30</v>
      </c>
      <c r="J19297" t="s">
        <v>31</v>
      </c>
      <c r="K19297" t="s">
        <v>261</v>
      </c>
      <c r="N19297" t="s">
        <v>53965</v>
      </c>
      <c r="Q19297">
        <v>0</v>
      </c>
      <c r="R19297">
        <v>181</v>
      </c>
      <c r="S19297">
        <v>0</v>
      </c>
      <c r="T19297" t="s">
        <v>71363</v>
      </c>
    </row>
    <row r="19298" spans="1:20" customFormat="1" ht="15" x14ac:dyDescent="0.25">
      <c r="A19298" t="s">
        <v>24</v>
      </c>
      <c r="B19298" t="s">
        <v>2340</v>
      </c>
      <c r="C19298" t="str">
        <f>"A0145875"</f>
        <v>A0145875</v>
      </c>
      <c r="D19298" t="s">
        <v>71364</v>
      </c>
      <c r="E19298" t="s">
        <v>71365</v>
      </c>
      <c r="F19298" t="s">
        <v>3401</v>
      </c>
      <c r="G19298" t="s">
        <v>29</v>
      </c>
      <c r="H19298">
        <v>22903</v>
      </c>
      <c r="I19298" t="s">
        <v>30</v>
      </c>
      <c r="J19298" t="s">
        <v>31</v>
      </c>
      <c r="K19298" t="s">
        <v>261</v>
      </c>
      <c r="N19298" t="s">
        <v>71366</v>
      </c>
      <c r="Q19298">
        <v>0</v>
      </c>
      <c r="R19298">
        <v>103</v>
      </c>
      <c r="S19298">
        <v>0</v>
      </c>
      <c r="T19298" t="s">
        <v>71367</v>
      </c>
    </row>
    <row r="19299" spans="1:20" customFormat="1" ht="15" x14ac:dyDescent="0.25">
      <c r="A19299" t="s">
        <v>24</v>
      </c>
      <c r="B19299" t="s">
        <v>9391</v>
      </c>
      <c r="C19299" t="str">
        <f>"A0101017"</f>
        <v>A0101017</v>
      </c>
      <c r="D19299" t="s">
        <v>71368</v>
      </c>
      <c r="E19299" t="s">
        <v>71369</v>
      </c>
      <c r="F19299" t="s">
        <v>1346</v>
      </c>
      <c r="G19299" t="s">
        <v>880</v>
      </c>
      <c r="H19299">
        <v>37421</v>
      </c>
      <c r="I19299" t="s">
        <v>30</v>
      </c>
      <c r="J19299" t="s">
        <v>31</v>
      </c>
      <c r="K19299" t="s">
        <v>261</v>
      </c>
      <c r="N19299" t="s">
        <v>71370</v>
      </c>
      <c r="Q19299">
        <v>0</v>
      </c>
      <c r="R19299">
        <v>50</v>
      </c>
      <c r="S19299">
        <v>0</v>
      </c>
      <c r="T19299" t="s">
        <v>71371</v>
      </c>
    </row>
    <row r="19300" spans="1:20" customFormat="1" ht="15" x14ac:dyDescent="0.25">
      <c r="A19300" t="s">
        <v>24</v>
      </c>
      <c r="B19300" t="s">
        <v>1020</v>
      </c>
      <c r="C19300" t="str">
        <f>"A0156159"</f>
        <v>A0156159</v>
      </c>
      <c r="D19300" t="s">
        <v>71372</v>
      </c>
      <c r="E19300" t="s">
        <v>71373</v>
      </c>
      <c r="F19300" t="s">
        <v>716</v>
      </c>
      <c r="G19300" t="s">
        <v>289</v>
      </c>
      <c r="H19300">
        <v>60654</v>
      </c>
      <c r="I19300" t="s">
        <v>30</v>
      </c>
      <c r="J19300" t="s">
        <v>31</v>
      </c>
      <c r="K19300" t="s">
        <v>261</v>
      </c>
      <c r="N19300" t="s">
        <v>71374</v>
      </c>
      <c r="O19300" t="s">
        <v>71375</v>
      </c>
      <c r="Q19300">
        <v>0</v>
      </c>
      <c r="R19300">
        <v>206</v>
      </c>
      <c r="S19300">
        <v>0</v>
      </c>
      <c r="T19300" t="s">
        <v>71376</v>
      </c>
    </row>
    <row r="19301" spans="1:20" customFormat="1" ht="15" x14ac:dyDescent="0.25">
      <c r="A19301" t="s">
        <v>24</v>
      </c>
      <c r="B19301" t="s">
        <v>2583</v>
      </c>
      <c r="C19301" t="str">
        <f>"A0101217"</f>
        <v>A0101217</v>
      </c>
      <c r="D19301" t="s">
        <v>71377</v>
      </c>
      <c r="E19301" t="s">
        <v>67961</v>
      </c>
      <c r="F19301" t="s">
        <v>716</v>
      </c>
      <c r="G19301" t="s">
        <v>289</v>
      </c>
      <c r="H19301">
        <v>60616</v>
      </c>
      <c r="I19301" t="s">
        <v>30</v>
      </c>
      <c r="J19301" t="s">
        <v>31</v>
      </c>
      <c r="K19301" t="s">
        <v>261</v>
      </c>
      <c r="N19301" t="s">
        <v>67962</v>
      </c>
      <c r="O19301" t="s">
        <v>67963</v>
      </c>
      <c r="Q19301">
        <v>0</v>
      </c>
      <c r="R19301">
        <v>95</v>
      </c>
      <c r="S19301">
        <v>0</v>
      </c>
      <c r="T19301" t="s">
        <v>71378</v>
      </c>
    </row>
    <row r="19302" spans="1:20" customFormat="1" ht="15" x14ac:dyDescent="0.25">
      <c r="A19302" t="s">
        <v>24</v>
      </c>
      <c r="B19302" t="s">
        <v>257</v>
      </c>
      <c r="C19302" t="str">
        <f>"A0149609"</f>
        <v>A0149609</v>
      </c>
      <c r="D19302" t="s">
        <v>71379</v>
      </c>
      <c r="E19302" t="s">
        <v>71380</v>
      </c>
      <c r="F19302" t="s">
        <v>71381</v>
      </c>
      <c r="G19302" t="s">
        <v>65</v>
      </c>
      <c r="H19302">
        <v>45069</v>
      </c>
      <c r="I19302" t="s">
        <v>30</v>
      </c>
      <c r="J19302" t="s">
        <v>31</v>
      </c>
      <c r="K19302" t="s">
        <v>261</v>
      </c>
      <c r="N19302" t="s">
        <v>71382</v>
      </c>
      <c r="Q19302">
        <v>0</v>
      </c>
      <c r="R19302">
        <v>92</v>
      </c>
      <c r="S19302">
        <v>0</v>
      </c>
      <c r="T19302" t="s">
        <v>71383</v>
      </c>
    </row>
    <row r="19303" spans="1:20" customFormat="1" ht="15" x14ac:dyDescent="0.25">
      <c r="A19303" t="s">
        <v>24</v>
      </c>
      <c r="B19303" t="s">
        <v>2340</v>
      </c>
      <c r="C19303" t="str">
        <f>"A0149406"</f>
        <v>A0149406</v>
      </c>
      <c r="D19303" t="s">
        <v>71384</v>
      </c>
      <c r="E19303" t="s">
        <v>71385</v>
      </c>
      <c r="F19303" t="s">
        <v>64761</v>
      </c>
      <c r="G19303" t="s">
        <v>110</v>
      </c>
      <c r="H19303">
        <v>93612</v>
      </c>
      <c r="I19303" t="s">
        <v>30</v>
      </c>
      <c r="J19303" t="s">
        <v>31</v>
      </c>
      <c r="K19303" t="s">
        <v>261</v>
      </c>
      <c r="N19303" t="s">
        <v>67321</v>
      </c>
      <c r="Q19303">
        <v>0</v>
      </c>
      <c r="R19303">
        <v>111</v>
      </c>
      <c r="S19303">
        <v>0</v>
      </c>
      <c r="T19303" t="s">
        <v>71386</v>
      </c>
    </row>
    <row r="19304" spans="1:20" customFormat="1" ht="15" x14ac:dyDescent="0.25">
      <c r="A19304" t="s">
        <v>24</v>
      </c>
      <c r="B19304" t="s">
        <v>6363</v>
      </c>
      <c r="C19304" t="str">
        <f>"A0154121"</f>
        <v>A0154121</v>
      </c>
      <c r="D19304" t="s">
        <v>71387</v>
      </c>
      <c r="E19304" t="s">
        <v>71388</v>
      </c>
      <c r="F19304" t="s">
        <v>1858</v>
      </c>
      <c r="G19304" t="s">
        <v>190</v>
      </c>
      <c r="H19304">
        <v>80906</v>
      </c>
      <c r="I19304" t="s">
        <v>30</v>
      </c>
      <c r="J19304" t="s">
        <v>31</v>
      </c>
      <c r="K19304" t="s">
        <v>261</v>
      </c>
      <c r="N19304" t="s">
        <v>71389</v>
      </c>
      <c r="Q19304">
        <v>0</v>
      </c>
      <c r="R19304">
        <v>119</v>
      </c>
      <c r="S19304">
        <v>0</v>
      </c>
      <c r="T19304" t="s">
        <v>71390</v>
      </c>
    </row>
    <row r="19305" spans="1:20" customFormat="1" ht="15" x14ac:dyDescent="0.25">
      <c r="A19305" t="s">
        <v>24</v>
      </c>
      <c r="B19305" t="s">
        <v>55128</v>
      </c>
      <c r="C19305" t="str">
        <f>"A0156068"</f>
        <v>A0156068</v>
      </c>
      <c r="D19305" t="s">
        <v>71391</v>
      </c>
      <c r="E19305" t="s">
        <v>71392</v>
      </c>
      <c r="F19305" t="s">
        <v>1525</v>
      </c>
      <c r="G19305" t="s">
        <v>65</v>
      </c>
      <c r="H19305">
        <v>43228</v>
      </c>
      <c r="I19305" t="s">
        <v>30</v>
      </c>
      <c r="J19305" t="s">
        <v>31</v>
      </c>
      <c r="K19305" t="s">
        <v>261</v>
      </c>
      <c r="N19305" t="s">
        <v>71393</v>
      </c>
      <c r="Q19305">
        <v>0</v>
      </c>
      <c r="R19305">
        <v>107</v>
      </c>
      <c r="S19305">
        <v>0</v>
      </c>
      <c r="T19305" t="s">
        <v>71394</v>
      </c>
    </row>
    <row r="19306" spans="1:20" customFormat="1" ht="15" x14ac:dyDescent="0.25">
      <c r="A19306" t="s">
        <v>24</v>
      </c>
      <c r="B19306" t="s">
        <v>1138</v>
      </c>
      <c r="C19306" t="str">
        <f>"A0165668"</f>
        <v>A0165668</v>
      </c>
      <c r="D19306" t="s">
        <v>71395</v>
      </c>
      <c r="E19306" t="s">
        <v>71396</v>
      </c>
      <c r="F19306" t="s">
        <v>71397</v>
      </c>
      <c r="G19306" t="s">
        <v>110</v>
      </c>
      <c r="H19306">
        <v>92883</v>
      </c>
      <c r="I19306" t="s">
        <v>30</v>
      </c>
      <c r="J19306" t="s">
        <v>31</v>
      </c>
      <c r="K19306" t="s">
        <v>261</v>
      </c>
      <c r="N19306" t="s">
        <v>71398</v>
      </c>
      <c r="Q19306">
        <v>0</v>
      </c>
      <c r="R19306">
        <v>100</v>
      </c>
      <c r="S19306">
        <v>0</v>
      </c>
      <c r="T19306" t="s">
        <v>71399</v>
      </c>
    </row>
    <row r="19307" spans="1:20" customFormat="1" ht="15" x14ac:dyDescent="0.25">
      <c r="A19307" t="s">
        <v>24</v>
      </c>
      <c r="B19307" t="s">
        <v>257</v>
      </c>
      <c r="C19307" t="str">
        <f>"A0154555"</f>
        <v>A0154555</v>
      </c>
      <c r="D19307" t="s">
        <v>71400</v>
      </c>
      <c r="E19307" t="s">
        <v>71401</v>
      </c>
      <c r="F19307" t="s">
        <v>2094</v>
      </c>
      <c r="G19307" t="s">
        <v>52</v>
      </c>
      <c r="H19307">
        <v>75246</v>
      </c>
      <c r="I19307" t="s">
        <v>30</v>
      </c>
      <c r="J19307" t="s">
        <v>31</v>
      </c>
      <c r="K19307" t="s">
        <v>261</v>
      </c>
      <c r="N19307" t="s">
        <v>71402</v>
      </c>
      <c r="Q19307">
        <v>0</v>
      </c>
      <c r="R19307">
        <v>132</v>
      </c>
      <c r="S19307">
        <v>0</v>
      </c>
      <c r="T19307" t="s">
        <v>71403</v>
      </c>
    </row>
    <row r="19308" spans="1:20" customFormat="1" ht="15" x14ac:dyDescent="0.25">
      <c r="A19308" t="s">
        <v>24</v>
      </c>
      <c r="B19308" t="s">
        <v>8579</v>
      </c>
      <c r="C19308" t="str">
        <f>"A0154330"</f>
        <v>A0154330</v>
      </c>
      <c r="D19308" t="s">
        <v>71404</v>
      </c>
      <c r="E19308" t="s">
        <v>71405</v>
      </c>
      <c r="F19308" t="s">
        <v>972</v>
      </c>
      <c r="G19308" t="s">
        <v>190</v>
      </c>
      <c r="H19308">
        <v>80202</v>
      </c>
      <c r="I19308" t="s">
        <v>30</v>
      </c>
      <c r="J19308" t="s">
        <v>31</v>
      </c>
      <c r="K19308" t="s">
        <v>261</v>
      </c>
      <c r="N19308" t="s">
        <v>60765</v>
      </c>
      <c r="O19308" t="s">
        <v>71406</v>
      </c>
      <c r="Q19308">
        <v>0</v>
      </c>
      <c r="R19308">
        <v>206</v>
      </c>
      <c r="S19308">
        <v>0</v>
      </c>
      <c r="T19308" t="s">
        <v>71407</v>
      </c>
    </row>
    <row r="19309" spans="1:20" customFormat="1" ht="15" x14ac:dyDescent="0.25">
      <c r="A19309" t="s">
        <v>24</v>
      </c>
      <c r="B19309" t="s">
        <v>2340</v>
      </c>
      <c r="C19309" t="str">
        <f>"A0096514"</f>
        <v>A0096514</v>
      </c>
      <c r="D19309" t="s">
        <v>71408</v>
      </c>
      <c r="E19309" t="s">
        <v>71409</v>
      </c>
      <c r="F19309" t="s">
        <v>972</v>
      </c>
      <c r="G19309" t="s">
        <v>190</v>
      </c>
      <c r="H19309">
        <v>80249</v>
      </c>
      <c r="I19309" t="s">
        <v>30</v>
      </c>
      <c r="J19309" t="s">
        <v>31</v>
      </c>
      <c r="K19309" t="s">
        <v>261</v>
      </c>
      <c r="N19309" t="s">
        <v>68312</v>
      </c>
      <c r="O19309" t="s">
        <v>71410</v>
      </c>
      <c r="Q19309">
        <v>0</v>
      </c>
      <c r="R19309">
        <v>111</v>
      </c>
      <c r="S19309">
        <v>0</v>
      </c>
      <c r="T19309" t="s">
        <v>71411</v>
      </c>
    </row>
    <row r="19310" spans="1:20" customFormat="1" ht="15" x14ac:dyDescent="0.25">
      <c r="A19310" t="s">
        <v>24</v>
      </c>
      <c r="B19310" t="s">
        <v>4341</v>
      </c>
      <c r="C19310" t="str">
        <f>"A0147993"</f>
        <v>A0147993</v>
      </c>
      <c r="D19310" t="s">
        <v>71412</v>
      </c>
      <c r="E19310" t="s">
        <v>71413</v>
      </c>
      <c r="F19310" t="s">
        <v>10390</v>
      </c>
      <c r="G19310" t="s">
        <v>190</v>
      </c>
      <c r="H19310">
        <v>80112</v>
      </c>
      <c r="I19310" t="s">
        <v>30</v>
      </c>
      <c r="J19310" t="s">
        <v>31</v>
      </c>
      <c r="K19310" t="s">
        <v>261</v>
      </c>
      <c r="N19310" t="s">
        <v>71414</v>
      </c>
      <c r="Q19310">
        <v>0</v>
      </c>
      <c r="R19310">
        <v>90</v>
      </c>
      <c r="S19310">
        <v>0</v>
      </c>
      <c r="T19310" t="s">
        <v>71415</v>
      </c>
    </row>
    <row r="19311" spans="1:20" customFormat="1" ht="15" x14ac:dyDescent="0.25">
      <c r="A19311" t="s">
        <v>24</v>
      </c>
      <c r="B19311" t="s">
        <v>2583</v>
      </c>
      <c r="C19311" t="str">
        <f>"A0157824"</f>
        <v>A0157824</v>
      </c>
      <c r="D19311" t="s">
        <v>71416</v>
      </c>
      <c r="E19311" t="s">
        <v>71417</v>
      </c>
      <c r="F19311" t="s">
        <v>5008</v>
      </c>
      <c r="G19311" t="s">
        <v>1898</v>
      </c>
      <c r="H19311">
        <v>50311</v>
      </c>
      <c r="I19311" t="s">
        <v>30</v>
      </c>
      <c r="J19311" t="s">
        <v>31</v>
      </c>
      <c r="K19311" t="s">
        <v>261</v>
      </c>
      <c r="N19311" t="s">
        <v>71418</v>
      </c>
      <c r="Q19311">
        <v>0</v>
      </c>
      <c r="R19311">
        <v>125</v>
      </c>
      <c r="S19311">
        <v>0</v>
      </c>
      <c r="T19311" t="s">
        <v>71419</v>
      </c>
    </row>
    <row r="19312" spans="1:20" customFormat="1" ht="15" x14ac:dyDescent="0.25">
      <c r="A19312" t="s">
        <v>24</v>
      </c>
      <c r="B19312" t="s">
        <v>13807</v>
      </c>
      <c r="C19312" t="str">
        <f>"A0096525"</f>
        <v>A0096525</v>
      </c>
      <c r="D19312" t="s">
        <v>71420</v>
      </c>
      <c r="E19312" t="s">
        <v>71421</v>
      </c>
      <c r="F19312" t="s">
        <v>4149</v>
      </c>
      <c r="G19312" t="s">
        <v>81</v>
      </c>
      <c r="H19312">
        <v>32541</v>
      </c>
      <c r="I19312" t="s">
        <v>30</v>
      </c>
      <c r="J19312" t="s">
        <v>31</v>
      </c>
      <c r="K19312" t="s">
        <v>261</v>
      </c>
      <c r="N19312" t="s">
        <v>71422</v>
      </c>
      <c r="O19312" t="s">
        <v>4150</v>
      </c>
      <c r="Q19312">
        <v>0</v>
      </c>
      <c r="R19312">
        <v>113</v>
      </c>
      <c r="S19312">
        <v>0</v>
      </c>
      <c r="T19312" t="s">
        <v>71423</v>
      </c>
    </row>
    <row r="19313" spans="1:20" customFormat="1" ht="15" x14ac:dyDescent="0.25">
      <c r="A19313" t="s">
        <v>24</v>
      </c>
      <c r="B19313" t="s">
        <v>1098</v>
      </c>
      <c r="C19313" t="str">
        <f>"A0098783"</f>
        <v>A0098783</v>
      </c>
      <c r="D19313" t="s">
        <v>71424</v>
      </c>
      <c r="E19313" t="s">
        <v>71425</v>
      </c>
      <c r="F19313" t="s">
        <v>8225</v>
      </c>
      <c r="G19313" t="s">
        <v>65</v>
      </c>
      <c r="H19313">
        <v>43017</v>
      </c>
      <c r="I19313" t="s">
        <v>30</v>
      </c>
      <c r="J19313" t="s">
        <v>31</v>
      </c>
      <c r="K19313" t="s">
        <v>261</v>
      </c>
      <c r="N19313" t="s">
        <v>71426</v>
      </c>
      <c r="Q19313">
        <v>0</v>
      </c>
      <c r="R19313">
        <v>125</v>
      </c>
      <c r="S19313">
        <v>0</v>
      </c>
      <c r="T19313" t="s">
        <v>71427</v>
      </c>
    </row>
    <row r="19314" spans="1:20" customFormat="1" ht="15" x14ac:dyDescent="0.25">
      <c r="A19314" t="s">
        <v>24</v>
      </c>
      <c r="B19314" t="s">
        <v>4990</v>
      </c>
      <c r="C19314" t="str">
        <f>"A0100334"</f>
        <v>A0100334</v>
      </c>
      <c r="D19314" t="s">
        <v>71428</v>
      </c>
      <c r="E19314" t="s">
        <v>71429</v>
      </c>
      <c r="F19314" t="s">
        <v>71430</v>
      </c>
      <c r="G19314" t="s">
        <v>161</v>
      </c>
      <c r="H19314">
        <v>55122</v>
      </c>
      <c r="I19314" t="s">
        <v>30</v>
      </c>
      <c r="J19314" t="s">
        <v>31</v>
      </c>
      <c r="K19314" t="s">
        <v>261</v>
      </c>
      <c r="N19314" t="s">
        <v>71431</v>
      </c>
      <c r="Q19314">
        <v>0</v>
      </c>
      <c r="R19314">
        <v>119</v>
      </c>
      <c r="S19314">
        <v>0</v>
      </c>
      <c r="T19314" t="s">
        <v>71432</v>
      </c>
    </row>
    <row r="19315" spans="1:20" customFormat="1" ht="15" x14ac:dyDescent="0.25">
      <c r="A19315" t="s">
        <v>24</v>
      </c>
      <c r="B19315" t="s">
        <v>257</v>
      </c>
      <c r="C19315" t="str">
        <f>"A0154557"</f>
        <v>A0154557</v>
      </c>
      <c r="D19315" t="s">
        <v>71433</v>
      </c>
      <c r="E19315" t="s">
        <v>71434</v>
      </c>
      <c r="F19315" t="s">
        <v>2856</v>
      </c>
      <c r="G19315" t="s">
        <v>52</v>
      </c>
      <c r="H19315">
        <v>79925</v>
      </c>
      <c r="I19315" t="s">
        <v>30</v>
      </c>
      <c r="J19315" t="s">
        <v>31</v>
      </c>
      <c r="K19315" t="s">
        <v>261</v>
      </c>
      <c r="N19315" t="s">
        <v>71435</v>
      </c>
      <c r="O19315" t="s">
        <v>71436</v>
      </c>
      <c r="Q19315">
        <v>0</v>
      </c>
      <c r="R19315">
        <v>111</v>
      </c>
      <c r="S19315">
        <v>0</v>
      </c>
      <c r="T19315" t="s">
        <v>71437</v>
      </c>
    </row>
    <row r="19316" spans="1:20" customFormat="1" ht="15" hidden="1" x14ac:dyDescent="0.25">
      <c r="A19316" t="s">
        <v>24</v>
      </c>
      <c r="B19316" t="s">
        <v>66383</v>
      </c>
      <c r="C19316" t="str">
        <f>"A0157926"</f>
        <v>A0157926</v>
      </c>
      <c r="D19316" t="s">
        <v>71438</v>
      </c>
      <c r="E19316" t="s">
        <v>71439</v>
      </c>
      <c r="F19316" t="s">
        <v>66246</v>
      </c>
      <c r="G19316" t="s">
        <v>2270</v>
      </c>
      <c r="H19316" t="s">
        <v>71440</v>
      </c>
      <c r="I19316" t="s">
        <v>1459</v>
      </c>
      <c r="J19316" t="s">
        <v>31</v>
      </c>
      <c r="K19316" t="s">
        <v>261</v>
      </c>
      <c r="N19316" t="s">
        <v>71441</v>
      </c>
      <c r="Q19316">
        <v>0</v>
      </c>
      <c r="R19316">
        <v>90</v>
      </c>
      <c r="S19316">
        <v>0</v>
      </c>
      <c r="T19316" t="s">
        <v>71442</v>
      </c>
    </row>
    <row r="19317" spans="1:20" customFormat="1" ht="15" x14ac:dyDescent="0.25">
      <c r="A19317" t="s">
        <v>24</v>
      </c>
      <c r="B19317" t="s">
        <v>60496</v>
      </c>
      <c r="C19317" t="str">
        <f>"A0158091"</f>
        <v>A0158091</v>
      </c>
      <c r="D19317" t="s">
        <v>71443</v>
      </c>
      <c r="E19317" t="s">
        <v>71444</v>
      </c>
      <c r="F19317" t="s">
        <v>60499</v>
      </c>
      <c r="G19317" t="s">
        <v>123</v>
      </c>
      <c r="H19317">
        <v>21703</v>
      </c>
      <c r="I19317" t="s">
        <v>30</v>
      </c>
      <c r="J19317" t="s">
        <v>31</v>
      </c>
      <c r="K19317" t="s">
        <v>261</v>
      </c>
      <c r="N19317" t="s">
        <v>71445</v>
      </c>
      <c r="O19317" t="s">
        <v>71446</v>
      </c>
      <c r="Q19317">
        <v>0</v>
      </c>
      <c r="R19317">
        <v>117</v>
      </c>
      <c r="S19317">
        <v>0</v>
      </c>
      <c r="T19317" t="s">
        <v>71447</v>
      </c>
    </row>
    <row r="19318" spans="1:20" customFormat="1" ht="15" x14ac:dyDescent="0.25">
      <c r="A19318" t="s">
        <v>24</v>
      </c>
      <c r="B19318" t="s">
        <v>57614</v>
      </c>
      <c r="C19318" t="str">
        <f>"A0100902"</f>
        <v>A0100902</v>
      </c>
      <c r="D19318" t="s">
        <v>71448</v>
      </c>
      <c r="E19318" t="s">
        <v>71449</v>
      </c>
      <c r="F19318" t="s">
        <v>71450</v>
      </c>
      <c r="G19318" t="s">
        <v>197</v>
      </c>
      <c r="H19318">
        <v>85297</v>
      </c>
      <c r="I19318" t="s">
        <v>30</v>
      </c>
      <c r="J19318" t="s">
        <v>31</v>
      </c>
      <c r="K19318" t="s">
        <v>261</v>
      </c>
      <c r="N19318" t="s">
        <v>71451</v>
      </c>
      <c r="Q19318">
        <v>0</v>
      </c>
      <c r="R19318">
        <v>107</v>
      </c>
      <c r="S19318">
        <v>0</v>
      </c>
      <c r="T19318" t="s">
        <v>71452</v>
      </c>
    </row>
    <row r="19319" spans="1:20" customFormat="1" ht="15" x14ac:dyDescent="0.25">
      <c r="A19319" t="s">
        <v>24</v>
      </c>
      <c r="B19319" t="s">
        <v>3159</v>
      </c>
      <c r="C19319" t="str">
        <f>"A0153938"</f>
        <v>A0153938</v>
      </c>
      <c r="D19319" t="s">
        <v>71453</v>
      </c>
      <c r="E19319" t="s">
        <v>71454</v>
      </c>
      <c r="F19319" t="s">
        <v>67267</v>
      </c>
      <c r="G19319" t="s">
        <v>103</v>
      </c>
      <c r="H19319">
        <v>19342</v>
      </c>
      <c r="I19319" t="s">
        <v>30</v>
      </c>
      <c r="J19319" t="s">
        <v>31</v>
      </c>
      <c r="K19319" t="s">
        <v>261</v>
      </c>
      <c r="N19319" t="s">
        <v>71455</v>
      </c>
      <c r="Q19319">
        <v>0</v>
      </c>
      <c r="R19319">
        <v>109</v>
      </c>
      <c r="S19319">
        <v>0</v>
      </c>
      <c r="T19319" t="s">
        <v>71456</v>
      </c>
    </row>
    <row r="19320" spans="1:20" customFormat="1" ht="15" x14ac:dyDescent="0.25">
      <c r="A19320" t="s">
        <v>24</v>
      </c>
      <c r="B19320" t="s">
        <v>11027</v>
      </c>
      <c r="C19320" t="str">
        <f>"A0093341"</f>
        <v>A0093341</v>
      </c>
      <c r="D19320" t="s">
        <v>71457</v>
      </c>
      <c r="E19320" t="s">
        <v>71458</v>
      </c>
      <c r="F19320" t="s">
        <v>9498</v>
      </c>
      <c r="G19320" t="s">
        <v>214</v>
      </c>
      <c r="H19320">
        <v>27409</v>
      </c>
      <c r="I19320" t="s">
        <v>30</v>
      </c>
      <c r="J19320" t="s">
        <v>31</v>
      </c>
      <c r="K19320" t="s">
        <v>261</v>
      </c>
      <c r="N19320" t="s">
        <v>71459</v>
      </c>
      <c r="Q19320">
        <v>0</v>
      </c>
      <c r="R19320">
        <v>82</v>
      </c>
      <c r="S19320">
        <v>0</v>
      </c>
      <c r="T19320" t="s">
        <v>71460</v>
      </c>
    </row>
    <row r="19321" spans="1:20" customFormat="1" ht="15" x14ac:dyDescent="0.25">
      <c r="A19321" t="s">
        <v>24</v>
      </c>
      <c r="B19321" t="s">
        <v>60496</v>
      </c>
      <c r="C19321" t="str">
        <f>"A0100451"</f>
        <v>A0100451</v>
      </c>
      <c r="D19321" t="s">
        <v>71461</v>
      </c>
      <c r="E19321" t="s">
        <v>71462</v>
      </c>
      <c r="F19321" t="s">
        <v>71463</v>
      </c>
      <c r="G19321" t="s">
        <v>846</v>
      </c>
      <c r="H19321">
        <v>30813</v>
      </c>
      <c r="I19321" t="s">
        <v>30</v>
      </c>
      <c r="J19321" t="s">
        <v>31</v>
      </c>
      <c r="K19321" t="s">
        <v>261</v>
      </c>
      <c r="N19321" t="s">
        <v>71464</v>
      </c>
      <c r="O19321" t="s">
        <v>71465</v>
      </c>
      <c r="Q19321">
        <v>0</v>
      </c>
      <c r="R19321">
        <v>118</v>
      </c>
      <c r="S19321">
        <v>0</v>
      </c>
      <c r="T19321" t="s">
        <v>71466</v>
      </c>
    </row>
    <row r="19322" spans="1:20" customFormat="1" ht="15" x14ac:dyDescent="0.25">
      <c r="A19322" t="s">
        <v>24</v>
      </c>
      <c r="B19322" t="s">
        <v>8742</v>
      </c>
      <c r="C19322" t="str">
        <f>"A0095991"</f>
        <v>A0095991</v>
      </c>
      <c r="D19322" t="s">
        <v>71467</v>
      </c>
      <c r="E19322" t="s">
        <v>71468</v>
      </c>
      <c r="F19322" t="s">
        <v>53854</v>
      </c>
      <c r="G19322" t="s">
        <v>1369</v>
      </c>
      <c r="H19322">
        <v>39503</v>
      </c>
      <c r="I19322" t="s">
        <v>30</v>
      </c>
      <c r="J19322" t="s">
        <v>31</v>
      </c>
      <c r="K19322" t="s">
        <v>261</v>
      </c>
      <c r="N19322" t="s">
        <v>71469</v>
      </c>
      <c r="Q19322">
        <v>0</v>
      </c>
      <c r="R19322">
        <v>107</v>
      </c>
      <c r="S19322">
        <v>0</v>
      </c>
      <c r="T19322" t="s">
        <v>71470</v>
      </c>
    </row>
    <row r="19323" spans="1:20" customFormat="1" ht="15" x14ac:dyDescent="0.25">
      <c r="A19323" t="s">
        <v>24</v>
      </c>
      <c r="B19323" t="s">
        <v>1317</v>
      </c>
      <c r="C19323" t="str">
        <f>"A0094616"</f>
        <v>A0094616</v>
      </c>
      <c r="D19323" t="s">
        <v>71471</v>
      </c>
      <c r="E19323" t="s">
        <v>71472</v>
      </c>
      <c r="F19323" t="s">
        <v>71473</v>
      </c>
      <c r="G19323" t="s">
        <v>190</v>
      </c>
      <c r="H19323">
        <v>80129</v>
      </c>
      <c r="I19323" t="s">
        <v>30</v>
      </c>
      <c r="J19323" t="s">
        <v>31</v>
      </c>
      <c r="K19323" t="s">
        <v>261</v>
      </c>
      <c r="N19323" t="s">
        <v>71474</v>
      </c>
      <c r="Q19323">
        <v>0</v>
      </c>
      <c r="R19323">
        <v>115</v>
      </c>
      <c r="S19323">
        <v>0</v>
      </c>
      <c r="T19323" t="s">
        <v>71475</v>
      </c>
    </row>
    <row r="19324" spans="1:20" customFormat="1" ht="15" x14ac:dyDescent="0.25">
      <c r="A19324" t="s">
        <v>24</v>
      </c>
      <c r="B19324" t="s">
        <v>55987</v>
      </c>
      <c r="C19324" t="str">
        <f>"A0091266"</f>
        <v>A0091266</v>
      </c>
      <c r="D19324" t="s">
        <v>71476</v>
      </c>
      <c r="E19324" t="s">
        <v>71477</v>
      </c>
      <c r="F19324" t="s">
        <v>61372</v>
      </c>
      <c r="G19324" t="s">
        <v>1706</v>
      </c>
      <c r="H19324">
        <v>36203</v>
      </c>
      <c r="I19324" t="s">
        <v>30</v>
      </c>
      <c r="J19324" t="s">
        <v>31</v>
      </c>
      <c r="K19324" t="s">
        <v>261</v>
      </c>
      <c r="N19324" t="s">
        <v>71478</v>
      </c>
      <c r="Q19324">
        <v>0</v>
      </c>
      <c r="R19324">
        <v>81</v>
      </c>
      <c r="S19324">
        <v>0</v>
      </c>
      <c r="T19324" t="s">
        <v>71479</v>
      </c>
    </row>
    <row r="19325" spans="1:20" customFormat="1" ht="15" x14ac:dyDescent="0.25">
      <c r="A19325" t="s">
        <v>24</v>
      </c>
      <c r="B19325" t="s">
        <v>34039</v>
      </c>
      <c r="C19325" t="str">
        <f>"A0099379"</f>
        <v>A0099379</v>
      </c>
      <c r="D19325" t="s">
        <v>71480</v>
      </c>
      <c r="E19325" t="s">
        <v>71481</v>
      </c>
      <c r="F19325" t="s">
        <v>5107</v>
      </c>
      <c r="G19325" t="s">
        <v>137</v>
      </c>
      <c r="H19325">
        <v>64108</v>
      </c>
      <c r="I19325" t="s">
        <v>30</v>
      </c>
      <c r="J19325" t="s">
        <v>31</v>
      </c>
      <c r="K19325" t="s">
        <v>261</v>
      </c>
      <c r="N19325" t="s">
        <v>71482</v>
      </c>
      <c r="Q19325">
        <v>0</v>
      </c>
      <c r="R19325">
        <v>114</v>
      </c>
      <c r="S19325">
        <v>0</v>
      </c>
      <c r="T19325" t="s">
        <v>71483</v>
      </c>
    </row>
    <row r="19326" spans="1:20" customFormat="1" ht="15" x14ac:dyDescent="0.25">
      <c r="A19326" t="s">
        <v>24</v>
      </c>
      <c r="B19326" t="s">
        <v>55997</v>
      </c>
      <c r="C19326" t="str">
        <f>"A0088869"</f>
        <v>A0088869</v>
      </c>
      <c r="D19326" t="s">
        <v>71484</v>
      </c>
      <c r="E19326" t="s">
        <v>71485</v>
      </c>
      <c r="F19326" t="s">
        <v>71486</v>
      </c>
      <c r="G19326" t="s">
        <v>103</v>
      </c>
      <c r="H19326">
        <v>19406</v>
      </c>
      <c r="I19326" t="s">
        <v>30</v>
      </c>
      <c r="J19326" t="s">
        <v>31</v>
      </c>
      <c r="K19326" t="s">
        <v>261</v>
      </c>
      <c r="N19326" t="s">
        <v>71487</v>
      </c>
      <c r="O19326" t="s">
        <v>71488</v>
      </c>
      <c r="Q19326">
        <v>0</v>
      </c>
      <c r="R19326">
        <v>121</v>
      </c>
      <c r="S19326">
        <v>0</v>
      </c>
      <c r="T19326" t="s">
        <v>71489</v>
      </c>
    </row>
    <row r="19327" spans="1:20" customFormat="1" ht="15" x14ac:dyDescent="0.25">
      <c r="A19327" t="s">
        <v>24</v>
      </c>
      <c r="B19327" t="s">
        <v>1323</v>
      </c>
      <c r="C19327" t="str">
        <f>"A0095396"</f>
        <v>A0095396</v>
      </c>
      <c r="D19327" t="s">
        <v>71490</v>
      </c>
      <c r="E19327" t="s">
        <v>71491</v>
      </c>
      <c r="F19327" t="s">
        <v>12348</v>
      </c>
      <c r="G19327" t="s">
        <v>880</v>
      </c>
      <c r="H19327">
        <v>37922</v>
      </c>
      <c r="I19327" t="s">
        <v>30</v>
      </c>
      <c r="J19327" t="s">
        <v>31</v>
      </c>
      <c r="K19327" t="s">
        <v>261</v>
      </c>
      <c r="N19327" t="s">
        <v>71492</v>
      </c>
      <c r="Q19327">
        <v>0</v>
      </c>
      <c r="R19327">
        <v>100</v>
      </c>
      <c r="S19327">
        <v>0</v>
      </c>
      <c r="T19327" t="s">
        <v>71493</v>
      </c>
    </row>
    <row r="19328" spans="1:20" customFormat="1" ht="15" x14ac:dyDescent="0.25">
      <c r="A19328" t="s">
        <v>24</v>
      </c>
      <c r="B19328" t="s">
        <v>13679</v>
      </c>
      <c r="C19328" t="str">
        <f>"A0095801"</f>
        <v>A0095801</v>
      </c>
      <c r="D19328" t="s">
        <v>53490</v>
      </c>
      <c r="E19328" t="s">
        <v>71494</v>
      </c>
      <c r="F19328" t="s">
        <v>3154</v>
      </c>
      <c r="G19328" t="s">
        <v>1170</v>
      </c>
      <c r="H19328">
        <v>70508</v>
      </c>
      <c r="I19328" t="s">
        <v>30</v>
      </c>
      <c r="J19328" t="s">
        <v>31</v>
      </c>
      <c r="K19328" t="s">
        <v>261</v>
      </c>
      <c r="N19328" t="s">
        <v>71495</v>
      </c>
      <c r="Q19328">
        <v>0</v>
      </c>
      <c r="R19328">
        <v>106</v>
      </c>
      <c r="S19328">
        <v>0</v>
      </c>
      <c r="T19328" t="s">
        <v>71496</v>
      </c>
    </row>
    <row r="19329" spans="1:20" customFormat="1" ht="15" x14ac:dyDescent="0.25">
      <c r="A19329" t="s">
        <v>24</v>
      </c>
      <c r="B19329" t="s">
        <v>2340</v>
      </c>
      <c r="C19329" t="str">
        <f>"A0117282"</f>
        <v>A0117282</v>
      </c>
      <c r="D19329" t="s">
        <v>71497</v>
      </c>
      <c r="E19329" t="s">
        <v>71498</v>
      </c>
      <c r="F19329" t="s">
        <v>55056</v>
      </c>
      <c r="G19329" t="s">
        <v>81</v>
      </c>
      <c r="H19329">
        <v>33803</v>
      </c>
      <c r="I19329" t="s">
        <v>30</v>
      </c>
      <c r="J19329" t="s">
        <v>31</v>
      </c>
      <c r="K19329" t="s">
        <v>261</v>
      </c>
      <c r="N19329" t="s">
        <v>71499</v>
      </c>
      <c r="O19329" t="s">
        <v>68251</v>
      </c>
      <c r="Q19329">
        <v>0</v>
      </c>
      <c r="R19329">
        <v>110</v>
      </c>
      <c r="S19329">
        <v>0</v>
      </c>
      <c r="T19329" t="s">
        <v>71500</v>
      </c>
    </row>
    <row r="19330" spans="1:20" customFormat="1" ht="15" x14ac:dyDescent="0.25">
      <c r="A19330" t="s">
        <v>24</v>
      </c>
      <c r="B19330" t="s">
        <v>1138</v>
      </c>
      <c r="C19330" t="str">
        <f>"A0117347"</f>
        <v>A0117347</v>
      </c>
      <c r="D19330" t="s">
        <v>71501</v>
      </c>
      <c r="E19330" t="s">
        <v>71502</v>
      </c>
      <c r="F19330" t="s">
        <v>220</v>
      </c>
      <c r="G19330" t="s">
        <v>221</v>
      </c>
      <c r="H19330">
        <v>89118</v>
      </c>
      <c r="I19330" t="s">
        <v>30</v>
      </c>
      <c r="J19330" t="s">
        <v>31</v>
      </c>
      <c r="K19330" t="s">
        <v>261</v>
      </c>
      <c r="N19330" t="s">
        <v>71503</v>
      </c>
      <c r="Q19330">
        <v>0</v>
      </c>
      <c r="R19330">
        <v>135</v>
      </c>
      <c r="S19330">
        <v>0</v>
      </c>
      <c r="T19330" t="s">
        <v>71504</v>
      </c>
    </row>
    <row r="19331" spans="1:20" customFormat="1" ht="15" x14ac:dyDescent="0.25">
      <c r="A19331" t="s">
        <v>24</v>
      </c>
      <c r="B19331" t="s">
        <v>257</v>
      </c>
      <c r="C19331" t="str">
        <f>"A0154325"</f>
        <v>A0154325</v>
      </c>
      <c r="D19331" t="s">
        <v>71505</v>
      </c>
      <c r="E19331" t="s">
        <v>71506</v>
      </c>
      <c r="F19331" t="s">
        <v>59179</v>
      </c>
      <c r="G19331" t="s">
        <v>846</v>
      </c>
      <c r="H19331">
        <v>30043</v>
      </c>
      <c r="I19331" t="s">
        <v>30</v>
      </c>
      <c r="J19331" t="s">
        <v>31</v>
      </c>
      <c r="K19331" t="s">
        <v>261</v>
      </c>
      <c r="N19331" t="s">
        <v>71507</v>
      </c>
      <c r="Q19331">
        <v>0</v>
      </c>
      <c r="R19331">
        <v>130</v>
      </c>
      <c r="S19331">
        <v>0</v>
      </c>
      <c r="T19331" t="s">
        <v>71508</v>
      </c>
    </row>
    <row r="19332" spans="1:20" customFormat="1" ht="15" x14ac:dyDescent="0.25">
      <c r="A19332" t="s">
        <v>24</v>
      </c>
      <c r="B19332" t="s">
        <v>2583</v>
      </c>
      <c r="C19332" t="str">
        <f>"A0096766"</f>
        <v>A0096766</v>
      </c>
      <c r="D19332" t="s">
        <v>71509</v>
      </c>
      <c r="E19332" t="s">
        <v>71510</v>
      </c>
      <c r="F19332" t="s">
        <v>3466</v>
      </c>
      <c r="G19332" t="s">
        <v>840</v>
      </c>
      <c r="H19332">
        <v>40202</v>
      </c>
      <c r="I19332" t="s">
        <v>30</v>
      </c>
      <c r="J19332" t="s">
        <v>31</v>
      </c>
      <c r="K19332" t="s">
        <v>261</v>
      </c>
      <c r="N19332" t="s">
        <v>71511</v>
      </c>
      <c r="O19332" t="s">
        <v>71512</v>
      </c>
      <c r="Q19332">
        <v>0</v>
      </c>
      <c r="R19332">
        <v>93</v>
      </c>
      <c r="S19332">
        <v>0</v>
      </c>
      <c r="T19332" t="s">
        <v>71513</v>
      </c>
    </row>
    <row r="19333" spans="1:20" customFormat="1" ht="15" x14ac:dyDescent="0.25">
      <c r="A19333" t="s">
        <v>24</v>
      </c>
      <c r="B19333" t="s">
        <v>3343</v>
      </c>
      <c r="C19333" t="str">
        <f>"A0100557"</f>
        <v>A0100557</v>
      </c>
      <c r="D19333" t="s">
        <v>71514</v>
      </c>
      <c r="E19333" t="s">
        <v>71515</v>
      </c>
      <c r="F19333" t="s">
        <v>2120</v>
      </c>
      <c r="G19333" t="s">
        <v>52</v>
      </c>
      <c r="H19333">
        <v>79407</v>
      </c>
      <c r="I19333" t="s">
        <v>30</v>
      </c>
      <c r="J19333" t="s">
        <v>31</v>
      </c>
      <c r="K19333" t="s">
        <v>261</v>
      </c>
      <c r="N19333" t="s">
        <v>65204</v>
      </c>
      <c r="O19333" t="s">
        <v>71516</v>
      </c>
      <c r="Q19333">
        <v>0</v>
      </c>
      <c r="R19333">
        <v>100</v>
      </c>
      <c r="S19333">
        <v>0</v>
      </c>
      <c r="T19333" t="s">
        <v>71517</v>
      </c>
    </row>
    <row r="19334" spans="1:20" customFormat="1" ht="15" x14ac:dyDescent="0.25">
      <c r="A19334" t="s">
        <v>24</v>
      </c>
      <c r="B19334" t="s">
        <v>2340</v>
      </c>
      <c r="C19334" t="str">
        <f>"A0165754"</f>
        <v>A0165754</v>
      </c>
      <c r="D19334" t="s">
        <v>71518</v>
      </c>
      <c r="E19334" t="s">
        <v>71519</v>
      </c>
      <c r="F19334" t="s">
        <v>1889</v>
      </c>
      <c r="G19334" t="s">
        <v>81</v>
      </c>
      <c r="H19334">
        <v>33172</v>
      </c>
      <c r="I19334" t="s">
        <v>30</v>
      </c>
      <c r="J19334" t="s">
        <v>31</v>
      </c>
      <c r="K19334" t="s">
        <v>261</v>
      </c>
      <c r="N19334" t="s">
        <v>71520</v>
      </c>
      <c r="O19334" t="s">
        <v>9818</v>
      </c>
      <c r="Q19334">
        <v>0</v>
      </c>
      <c r="R19334">
        <v>134</v>
      </c>
      <c r="S19334">
        <v>0</v>
      </c>
      <c r="T19334" t="s">
        <v>71521</v>
      </c>
    </row>
    <row r="19335" spans="1:20" customFormat="1" ht="15" x14ac:dyDescent="0.25">
      <c r="A19335" t="s">
        <v>24</v>
      </c>
      <c r="B19335" t="s">
        <v>4990</v>
      </c>
      <c r="C19335" t="str">
        <f>"A0165187"</f>
        <v>A0165187</v>
      </c>
      <c r="D19335" t="s">
        <v>71522</v>
      </c>
      <c r="E19335" t="s">
        <v>71523</v>
      </c>
      <c r="F19335" t="s">
        <v>5999</v>
      </c>
      <c r="G19335" t="s">
        <v>71</v>
      </c>
      <c r="H19335">
        <v>53202</v>
      </c>
      <c r="I19335" t="s">
        <v>30</v>
      </c>
      <c r="J19335" t="s">
        <v>31</v>
      </c>
      <c r="K19335" t="s">
        <v>261</v>
      </c>
      <c r="Q19335">
        <v>0</v>
      </c>
      <c r="R19335">
        <v>115</v>
      </c>
      <c r="S19335">
        <v>0</v>
      </c>
      <c r="T19335" t="s">
        <v>192</v>
      </c>
    </row>
    <row r="19336" spans="1:20" customFormat="1" ht="15" x14ac:dyDescent="0.25">
      <c r="A19336" t="s">
        <v>24</v>
      </c>
      <c r="B19336" t="s">
        <v>4990</v>
      </c>
      <c r="C19336" t="str">
        <f>"A0147877"</f>
        <v>A0147877</v>
      </c>
      <c r="D19336" t="s">
        <v>71524</v>
      </c>
      <c r="E19336" t="s">
        <v>71525</v>
      </c>
      <c r="F19336" t="s">
        <v>6404</v>
      </c>
      <c r="G19336" t="s">
        <v>161</v>
      </c>
      <c r="H19336">
        <v>55401</v>
      </c>
      <c r="I19336" t="s">
        <v>30</v>
      </c>
      <c r="J19336" t="s">
        <v>31</v>
      </c>
      <c r="K19336" t="s">
        <v>261</v>
      </c>
      <c r="N19336" t="s">
        <v>71526</v>
      </c>
      <c r="Q19336">
        <v>0</v>
      </c>
      <c r="R19336">
        <v>102</v>
      </c>
      <c r="S19336">
        <v>0</v>
      </c>
      <c r="T19336" t="s">
        <v>192</v>
      </c>
    </row>
    <row r="19337" spans="1:20" customFormat="1" ht="15" x14ac:dyDescent="0.25">
      <c r="A19337" t="s">
        <v>24</v>
      </c>
      <c r="B19337" t="s">
        <v>34154</v>
      </c>
      <c r="C19337" t="str">
        <f>"A0094970"</f>
        <v>A0094970</v>
      </c>
      <c r="D19337" t="s">
        <v>71527</v>
      </c>
      <c r="E19337" t="s">
        <v>71528</v>
      </c>
      <c r="F19337" t="s">
        <v>69461</v>
      </c>
      <c r="G19337" t="s">
        <v>81</v>
      </c>
      <c r="H19337">
        <v>33027</v>
      </c>
      <c r="I19337" t="s">
        <v>30</v>
      </c>
      <c r="J19337" t="s">
        <v>31</v>
      </c>
      <c r="K19337" t="s">
        <v>261</v>
      </c>
      <c r="N19337" t="s">
        <v>71529</v>
      </c>
      <c r="Q19337">
        <v>0</v>
      </c>
      <c r="R19337">
        <v>100</v>
      </c>
      <c r="S19337">
        <v>0</v>
      </c>
      <c r="T19337" t="s">
        <v>71530</v>
      </c>
    </row>
    <row r="19338" spans="1:20" customFormat="1" ht="15" x14ac:dyDescent="0.25">
      <c r="A19338" t="s">
        <v>24</v>
      </c>
      <c r="B19338" t="s">
        <v>1487</v>
      </c>
      <c r="C19338" t="str">
        <f>"A0099087"</f>
        <v>A0099087</v>
      </c>
      <c r="D19338" t="s">
        <v>71531</v>
      </c>
      <c r="E19338" t="s">
        <v>71532</v>
      </c>
      <c r="F19338" t="s">
        <v>61889</v>
      </c>
      <c r="G19338" t="s">
        <v>381</v>
      </c>
      <c r="H19338">
        <v>46545</v>
      </c>
      <c r="I19338" t="s">
        <v>30</v>
      </c>
      <c r="J19338" t="s">
        <v>31</v>
      </c>
      <c r="K19338" t="s">
        <v>261</v>
      </c>
      <c r="N19338" t="s">
        <v>71533</v>
      </c>
      <c r="Q19338">
        <v>0</v>
      </c>
      <c r="R19338">
        <v>126</v>
      </c>
      <c r="S19338">
        <v>0</v>
      </c>
      <c r="T19338" t="s">
        <v>71534</v>
      </c>
    </row>
    <row r="19339" spans="1:20" customFormat="1" ht="15" x14ac:dyDescent="0.25">
      <c r="A19339" t="s">
        <v>24</v>
      </c>
      <c r="B19339" t="s">
        <v>13807</v>
      </c>
      <c r="C19339" t="str">
        <f>"A0148469"</f>
        <v>A0148469</v>
      </c>
      <c r="D19339" t="s">
        <v>71535</v>
      </c>
      <c r="E19339" t="s">
        <v>71536</v>
      </c>
      <c r="F19339" t="s">
        <v>53883</v>
      </c>
      <c r="G19339" t="s">
        <v>1706</v>
      </c>
      <c r="H19339">
        <v>36606</v>
      </c>
      <c r="I19339" t="s">
        <v>30</v>
      </c>
      <c r="J19339" t="s">
        <v>31</v>
      </c>
      <c r="K19339" t="s">
        <v>261</v>
      </c>
      <c r="N19339" t="s">
        <v>71537</v>
      </c>
      <c r="O19339" t="s">
        <v>71538</v>
      </c>
      <c r="Q19339">
        <v>0</v>
      </c>
      <c r="R19339">
        <v>105</v>
      </c>
      <c r="S19339">
        <v>0</v>
      </c>
      <c r="T19339" t="s">
        <v>71539</v>
      </c>
    </row>
    <row r="19340" spans="1:20" customFormat="1" ht="15" x14ac:dyDescent="0.25">
      <c r="A19340" t="s">
        <v>24</v>
      </c>
      <c r="B19340" t="s">
        <v>1577</v>
      </c>
      <c r="C19340" t="str">
        <f>"A0145794"</f>
        <v>A0145794</v>
      </c>
      <c r="D19340" t="s">
        <v>71540</v>
      </c>
      <c r="E19340" t="s">
        <v>71541</v>
      </c>
      <c r="F19340" t="s">
        <v>53883</v>
      </c>
      <c r="G19340" t="s">
        <v>1706</v>
      </c>
      <c r="H19340">
        <v>36644</v>
      </c>
      <c r="I19340" t="s">
        <v>30</v>
      </c>
      <c r="J19340" t="s">
        <v>31</v>
      </c>
      <c r="K19340" t="s">
        <v>261</v>
      </c>
      <c r="N19340" t="s">
        <v>71469</v>
      </c>
      <c r="O19340" t="s">
        <v>71542</v>
      </c>
      <c r="Q19340">
        <v>0</v>
      </c>
      <c r="R19340">
        <v>97</v>
      </c>
      <c r="S19340">
        <v>0</v>
      </c>
      <c r="T19340" t="s">
        <v>71543</v>
      </c>
    </row>
    <row r="19341" spans="1:20" customFormat="1" ht="15" x14ac:dyDescent="0.25">
      <c r="A19341" t="s">
        <v>24</v>
      </c>
      <c r="B19341" t="s">
        <v>3343</v>
      </c>
      <c r="C19341" t="str">
        <f>"A0096532"</f>
        <v>A0096532</v>
      </c>
      <c r="D19341" t="s">
        <v>71544</v>
      </c>
      <c r="E19341" t="s">
        <v>71545</v>
      </c>
      <c r="F19341" t="s">
        <v>57744</v>
      </c>
      <c r="G19341" t="s">
        <v>1706</v>
      </c>
      <c r="H19341">
        <v>36066</v>
      </c>
      <c r="I19341" t="s">
        <v>30</v>
      </c>
      <c r="J19341" t="s">
        <v>31</v>
      </c>
      <c r="K19341" t="s">
        <v>261</v>
      </c>
      <c r="N19341" t="s">
        <v>71546</v>
      </c>
      <c r="Q19341">
        <v>0</v>
      </c>
      <c r="R19341">
        <v>90</v>
      </c>
      <c r="S19341">
        <v>0</v>
      </c>
      <c r="T19341" t="s">
        <v>71547</v>
      </c>
    </row>
    <row r="19342" spans="1:20" customFormat="1" ht="15" x14ac:dyDescent="0.25">
      <c r="A19342" t="s">
        <v>24</v>
      </c>
      <c r="B19342" t="s">
        <v>55128</v>
      </c>
      <c r="C19342" t="str">
        <f>"A0147549"</f>
        <v>A0147549</v>
      </c>
      <c r="D19342" t="s">
        <v>71548</v>
      </c>
      <c r="E19342" t="s">
        <v>71549</v>
      </c>
      <c r="F19342" t="s">
        <v>1833</v>
      </c>
      <c r="G19342" t="s">
        <v>65</v>
      </c>
      <c r="H19342">
        <v>43054</v>
      </c>
      <c r="I19342" t="s">
        <v>30</v>
      </c>
      <c r="J19342" t="s">
        <v>31</v>
      </c>
      <c r="K19342" t="s">
        <v>261</v>
      </c>
      <c r="N19342" t="s">
        <v>71550</v>
      </c>
      <c r="Q19342">
        <v>0</v>
      </c>
      <c r="R19342">
        <v>107</v>
      </c>
      <c r="S19342">
        <v>0</v>
      </c>
      <c r="T19342" t="s">
        <v>71551</v>
      </c>
    </row>
    <row r="19343" spans="1:20" customFormat="1" ht="15" x14ac:dyDescent="0.25">
      <c r="A19343" t="s">
        <v>24</v>
      </c>
      <c r="B19343" t="s">
        <v>55997</v>
      </c>
      <c r="C19343" t="str">
        <f>"A0146468"</f>
        <v>A0146468</v>
      </c>
      <c r="D19343" t="s">
        <v>71552</v>
      </c>
      <c r="E19343" t="s">
        <v>71553</v>
      </c>
      <c r="F19343" t="s">
        <v>1153</v>
      </c>
      <c r="G19343" t="s">
        <v>338</v>
      </c>
      <c r="H19343">
        <v>7114</v>
      </c>
      <c r="I19343" t="s">
        <v>30</v>
      </c>
      <c r="J19343" t="s">
        <v>31</v>
      </c>
      <c r="K19343" t="s">
        <v>261</v>
      </c>
      <c r="N19343" t="s">
        <v>71554</v>
      </c>
      <c r="O19343" t="s">
        <v>71555</v>
      </c>
      <c r="Q19343">
        <v>0</v>
      </c>
      <c r="R19343">
        <v>135</v>
      </c>
      <c r="S19343">
        <v>0</v>
      </c>
      <c r="T19343" t="s">
        <v>71556</v>
      </c>
    </row>
    <row r="19344" spans="1:20" customFormat="1" ht="15" x14ac:dyDescent="0.25">
      <c r="A19344" t="s">
        <v>24</v>
      </c>
      <c r="B19344" t="s">
        <v>1446</v>
      </c>
      <c r="C19344" t="str">
        <f>"A0099022"</f>
        <v>A0099022</v>
      </c>
      <c r="D19344" t="s">
        <v>71557</v>
      </c>
      <c r="E19344" t="s">
        <v>71558</v>
      </c>
      <c r="F19344" t="s">
        <v>54320</v>
      </c>
      <c r="G19344" t="s">
        <v>1369</v>
      </c>
      <c r="H19344">
        <v>38654</v>
      </c>
      <c r="I19344" t="s">
        <v>30</v>
      </c>
      <c r="J19344" t="s">
        <v>31</v>
      </c>
      <c r="K19344" t="s">
        <v>261</v>
      </c>
      <c r="N19344" t="s">
        <v>71559</v>
      </c>
      <c r="Q19344">
        <v>0</v>
      </c>
      <c r="R19344">
        <v>94</v>
      </c>
      <c r="S19344">
        <v>0</v>
      </c>
      <c r="T19344" t="s">
        <v>16108</v>
      </c>
    </row>
    <row r="19345" spans="1:20" customFormat="1" ht="15" x14ac:dyDescent="0.25">
      <c r="A19345" t="s">
        <v>24</v>
      </c>
      <c r="B19345" t="s">
        <v>57614</v>
      </c>
      <c r="C19345" t="str">
        <f>"A0149416"</f>
        <v>A0149416</v>
      </c>
      <c r="D19345" t="s">
        <v>71560</v>
      </c>
      <c r="E19345" t="s">
        <v>71561</v>
      </c>
      <c r="F19345" t="s">
        <v>13414</v>
      </c>
      <c r="G19345" t="s">
        <v>925</v>
      </c>
      <c r="H19345">
        <v>66223</v>
      </c>
      <c r="I19345" t="s">
        <v>30</v>
      </c>
      <c r="J19345" t="s">
        <v>31</v>
      </c>
      <c r="K19345" t="s">
        <v>261</v>
      </c>
      <c r="N19345" t="s">
        <v>71562</v>
      </c>
      <c r="Q19345">
        <v>0</v>
      </c>
      <c r="R19345">
        <v>123</v>
      </c>
      <c r="S19345">
        <v>0</v>
      </c>
      <c r="T19345" t="s">
        <v>71563</v>
      </c>
    </row>
    <row r="19346" spans="1:20" customFormat="1" ht="15" x14ac:dyDescent="0.25">
      <c r="A19346" t="s">
        <v>24</v>
      </c>
      <c r="B19346" t="s">
        <v>2340</v>
      </c>
      <c r="C19346" t="str">
        <f>"A0165597"</f>
        <v>A0165597</v>
      </c>
      <c r="D19346" t="s">
        <v>71564</v>
      </c>
      <c r="E19346" t="s">
        <v>71565</v>
      </c>
      <c r="F19346" t="s">
        <v>53949</v>
      </c>
      <c r="G19346" t="s">
        <v>123</v>
      </c>
      <c r="H19346">
        <v>21117</v>
      </c>
      <c r="I19346" t="s">
        <v>30</v>
      </c>
      <c r="J19346" t="s">
        <v>31</v>
      </c>
      <c r="K19346" t="s">
        <v>261</v>
      </c>
      <c r="N19346" t="s">
        <v>71566</v>
      </c>
      <c r="Q19346">
        <v>0</v>
      </c>
      <c r="R19346">
        <v>101</v>
      </c>
      <c r="S19346">
        <v>0</v>
      </c>
      <c r="T19346" t="s">
        <v>71567</v>
      </c>
    </row>
    <row r="19347" spans="1:20" customFormat="1" ht="15" x14ac:dyDescent="0.25">
      <c r="A19347" t="s">
        <v>24</v>
      </c>
      <c r="B19347" t="s">
        <v>2917</v>
      </c>
      <c r="C19347" t="str">
        <f>"A0098809"</f>
        <v>A0098809</v>
      </c>
      <c r="D19347" t="s">
        <v>71568</v>
      </c>
      <c r="E19347" t="s">
        <v>71569</v>
      </c>
      <c r="F19347" t="s">
        <v>1017</v>
      </c>
      <c r="G19347" t="s">
        <v>81</v>
      </c>
      <c r="H19347">
        <v>32514</v>
      </c>
      <c r="I19347" t="s">
        <v>30</v>
      </c>
      <c r="J19347" t="s">
        <v>31</v>
      </c>
      <c r="K19347" t="s">
        <v>261</v>
      </c>
      <c r="N19347" t="s">
        <v>71570</v>
      </c>
      <c r="Q19347">
        <v>0</v>
      </c>
      <c r="R19347">
        <v>106</v>
      </c>
      <c r="S19347">
        <v>0</v>
      </c>
      <c r="T19347" t="s">
        <v>71571</v>
      </c>
    </row>
    <row r="19348" spans="1:20" customFormat="1" ht="15" x14ac:dyDescent="0.25">
      <c r="A19348" t="s">
        <v>24</v>
      </c>
      <c r="B19348" t="s">
        <v>13299</v>
      </c>
      <c r="C19348" t="str">
        <f>"88CI100"</f>
        <v>88CI100</v>
      </c>
      <c r="D19348" t="s">
        <v>71572</v>
      </c>
      <c r="E19348" t="s">
        <v>71573</v>
      </c>
      <c r="F19348" t="s">
        <v>845</v>
      </c>
      <c r="G19348" t="s">
        <v>846</v>
      </c>
      <c r="H19348">
        <v>30328</v>
      </c>
      <c r="I19348" t="s">
        <v>30</v>
      </c>
      <c r="J19348" t="s">
        <v>31</v>
      </c>
      <c r="K19348" t="s">
        <v>261</v>
      </c>
      <c r="N19348" t="s">
        <v>71574</v>
      </c>
      <c r="Q19348">
        <v>0</v>
      </c>
      <c r="R19348">
        <v>121</v>
      </c>
      <c r="S19348">
        <v>0</v>
      </c>
      <c r="T19348" t="s">
        <v>71575</v>
      </c>
    </row>
    <row r="19349" spans="1:20" customFormat="1" ht="15" x14ac:dyDescent="0.25">
      <c r="A19349" t="s">
        <v>24</v>
      </c>
      <c r="B19349" t="s">
        <v>2340</v>
      </c>
      <c r="C19349" t="str">
        <f>"A0100625"</f>
        <v>A0100625</v>
      </c>
      <c r="D19349" t="s">
        <v>71576</v>
      </c>
      <c r="E19349" t="s">
        <v>71577</v>
      </c>
      <c r="F19349" t="s">
        <v>196</v>
      </c>
      <c r="G19349" t="s">
        <v>197</v>
      </c>
      <c r="H19349">
        <v>85040</v>
      </c>
      <c r="I19349" t="s">
        <v>30</v>
      </c>
      <c r="J19349" t="s">
        <v>31</v>
      </c>
      <c r="K19349" t="s">
        <v>261</v>
      </c>
      <c r="N19349" t="s">
        <v>71578</v>
      </c>
      <c r="Q19349">
        <v>0</v>
      </c>
      <c r="R19349">
        <v>103</v>
      </c>
      <c r="S19349">
        <v>0</v>
      </c>
      <c r="T19349" t="s">
        <v>71579</v>
      </c>
    </row>
    <row r="19350" spans="1:20" customFormat="1" ht="15" x14ac:dyDescent="0.25">
      <c r="A19350" t="s">
        <v>24</v>
      </c>
      <c r="B19350" t="s">
        <v>4400</v>
      </c>
      <c r="C19350" t="str">
        <f>"A0090247"</f>
        <v>A0090247</v>
      </c>
      <c r="D19350" t="s">
        <v>71580</v>
      </c>
      <c r="E19350" t="s">
        <v>71581</v>
      </c>
      <c r="F19350" t="s">
        <v>356</v>
      </c>
      <c r="G19350" t="s">
        <v>52</v>
      </c>
      <c r="H19350">
        <v>78205</v>
      </c>
      <c r="I19350" t="s">
        <v>30</v>
      </c>
      <c r="J19350" t="s">
        <v>31</v>
      </c>
      <c r="K19350" t="s">
        <v>261</v>
      </c>
      <c r="N19350" t="s">
        <v>33254</v>
      </c>
      <c r="Q19350">
        <v>0</v>
      </c>
      <c r="R19350">
        <v>128</v>
      </c>
      <c r="S19350">
        <v>0</v>
      </c>
      <c r="T19350" t="s">
        <v>71582</v>
      </c>
    </row>
    <row r="19351" spans="1:20" customFormat="1" ht="15" x14ac:dyDescent="0.25">
      <c r="A19351" t="s">
        <v>24</v>
      </c>
      <c r="B19351" t="s">
        <v>2340</v>
      </c>
      <c r="C19351" t="str">
        <f>"A0153413"</f>
        <v>A0153413</v>
      </c>
      <c r="D19351" t="s">
        <v>71583</v>
      </c>
      <c r="E19351" t="s">
        <v>71584</v>
      </c>
      <c r="F19351" t="s">
        <v>356</v>
      </c>
      <c r="G19351" t="s">
        <v>52</v>
      </c>
      <c r="H19351">
        <v>78245</v>
      </c>
      <c r="I19351" t="s">
        <v>30</v>
      </c>
      <c r="J19351" t="s">
        <v>31</v>
      </c>
      <c r="K19351" t="s">
        <v>261</v>
      </c>
      <c r="N19351" t="s">
        <v>71585</v>
      </c>
      <c r="Q19351">
        <v>0</v>
      </c>
      <c r="R19351">
        <v>88</v>
      </c>
      <c r="S19351">
        <v>0</v>
      </c>
      <c r="T19351" t="s">
        <v>71586</v>
      </c>
    </row>
    <row r="19352" spans="1:20" customFormat="1" ht="15" x14ac:dyDescent="0.25">
      <c r="A19352" t="s">
        <v>24</v>
      </c>
      <c r="B19352" t="s">
        <v>257</v>
      </c>
      <c r="C19352" t="str">
        <f>"A0101209"</f>
        <v>A0101209</v>
      </c>
      <c r="D19352" t="s">
        <v>71587</v>
      </c>
      <c r="E19352" t="s">
        <v>71588</v>
      </c>
      <c r="F19352" t="s">
        <v>356</v>
      </c>
      <c r="G19352" t="s">
        <v>52</v>
      </c>
      <c r="H19352">
        <v>78253</v>
      </c>
      <c r="I19352" t="s">
        <v>30</v>
      </c>
      <c r="J19352" t="s">
        <v>31</v>
      </c>
      <c r="K19352" t="s">
        <v>261</v>
      </c>
      <c r="N19352" t="s">
        <v>71589</v>
      </c>
      <c r="O19352" t="s">
        <v>71590</v>
      </c>
      <c r="Q19352">
        <v>0</v>
      </c>
      <c r="R19352">
        <v>106</v>
      </c>
      <c r="S19352">
        <v>0</v>
      </c>
      <c r="T19352" t="s">
        <v>71591</v>
      </c>
    </row>
    <row r="19353" spans="1:20" customFormat="1" ht="15" x14ac:dyDescent="0.25">
      <c r="A19353" t="s">
        <v>24</v>
      </c>
      <c r="B19353" t="s">
        <v>2528</v>
      </c>
      <c r="C19353" t="str">
        <f>"A0096961"</f>
        <v>A0096961</v>
      </c>
      <c r="D19353" t="s">
        <v>71592</v>
      </c>
      <c r="E19353" t="s">
        <v>71593</v>
      </c>
      <c r="F19353" t="s">
        <v>61833</v>
      </c>
      <c r="G19353" t="s">
        <v>76</v>
      </c>
      <c r="H19353">
        <v>98188</v>
      </c>
      <c r="I19353" t="s">
        <v>30</v>
      </c>
      <c r="J19353" t="s">
        <v>31</v>
      </c>
      <c r="K19353" t="s">
        <v>261</v>
      </c>
      <c r="N19353" t="s">
        <v>71594</v>
      </c>
      <c r="O19353" t="s">
        <v>71595</v>
      </c>
      <c r="Q19353">
        <v>0</v>
      </c>
      <c r="R19353">
        <v>139</v>
      </c>
      <c r="S19353">
        <v>0</v>
      </c>
      <c r="T19353" t="s">
        <v>71596</v>
      </c>
    </row>
    <row r="19354" spans="1:20" customFormat="1" ht="15" x14ac:dyDescent="0.25">
      <c r="A19354" t="s">
        <v>24</v>
      </c>
      <c r="B19354" t="s">
        <v>257</v>
      </c>
      <c r="C19354" t="str">
        <f>"A0154326"</f>
        <v>A0154326</v>
      </c>
      <c r="D19354" t="s">
        <v>71597</v>
      </c>
      <c r="E19354" t="s">
        <v>71598</v>
      </c>
      <c r="F19354" t="s">
        <v>33699</v>
      </c>
      <c r="G19354" t="s">
        <v>81</v>
      </c>
      <c r="H19354">
        <v>32084</v>
      </c>
      <c r="I19354" t="s">
        <v>30</v>
      </c>
      <c r="J19354" t="s">
        <v>31</v>
      </c>
      <c r="K19354" t="s">
        <v>261</v>
      </c>
      <c r="N19354" t="s">
        <v>71599</v>
      </c>
      <c r="O19354" t="s">
        <v>71600</v>
      </c>
      <c r="Q19354">
        <v>0</v>
      </c>
      <c r="R19354">
        <v>90</v>
      </c>
      <c r="S19354">
        <v>0</v>
      </c>
      <c r="T19354" t="s">
        <v>71601</v>
      </c>
    </row>
    <row r="19355" spans="1:20" customFormat="1" ht="15" x14ac:dyDescent="0.25">
      <c r="A19355" t="s">
        <v>24</v>
      </c>
      <c r="B19355" t="s">
        <v>1323</v>
      </c>
      <c r="C19355" t="str">
        <f>"A0100263"</f>
        <v>A0100263</v>
      </c>
      <c r="D19355" t="s">
        <v>71602</v>
      </c>
      <c r="E19355" t="s">
        <v>71603</v>
      </c>
      <c r="F19355" t="s">
        <v>68555</v>
      </c>
      <c r="G19355" t="s">
        <v>846</v>
      </c>
      <c r="H19355">
        <v>30458</v>
      </c>
      <c r="I19355" t="s">
        <v>30</v>
      </c>
      <c r="J19355" t="s">
        <v>31</v>
      </c>
      <c r="K19355" t="s">
        <v>261</v>
      </c>
      <c r="N19355" t="s">
        <v>68556</v>
      </c>
      <c r="Q19355">
        <v>0</v>
      </c>
      <c r="R19355">
        <v>96</v>
      </c>
      <c r="S19355">
        <v>0</v>
      </c>
      <c r="T19355" t="s">
        <v>71604</v>
      </c>
    </row>
    <row r="19356" spans="1:20" customFormat="1" ht="15" x14ac:dyDescent="0.25">
      <c r="A19356" t="s">
        <v>24</v>
      </c>
      <c r="B19356" t="s">
        <v>2836</v>
      </c>
      <c r="C19356" t="str">
        <f>"A0149614"</f>
        <v>A0149614</v>
      </c>
      <c r="D19356" t="s">
        <v>71605</v>
      </c>
      <c r="E19356" t="s">
        <v>68563</v>
      </c>
      <c r="F19356" t="s">
        <v>3955</v>
      </c>
      <c r="G19356" t="s">
        <v>81</v>
      </c>
      <c r="H19356">
        <v>33602</v>
      </c>
      <c r="I19356" t="s">
        <v>30</v>
      </c>
      <c r="J19356" t="s">
        <v>31</v>
      </c>
      <c r="K19356" t="s">
        <v>261</v>
      </c>
      <c r="N19356" t="s">
        <v>68564</v>
      </c>
      <c r="O19356" t="s">
        <v>69289</v>
      </c>
      <c r="Q19356">
        <v>0</v>
      </c>
      <c r="R19356">
        <v>97</v>
      </c>
      <c r="S19356">
        <v>0</v>
      </c>
      <c r="T19356" t="s">
        <v>68566</v>
      </c>
    </row>
    <row r="19357" spans="1:20" customFormat="1" ht="15" x14ac:dyDescent="0.25">
      <c r="A19357" t="s">
        <v>24</v>
      </c>
      <c r="B19357" t="s">
        <v>1092</v>
      </c>
      <c r="C19357" t="str">
        <f>"A0099873"</f>
        <v>A0099873</v>
      </c>
      <c r="D19357" t="s">
        <v>71606</v>
      </c>
      <c r="E19357" t="s">
        <v>71607</v>
      </c>
      <c r="F19357" t="s">
        <v>2230</v>
      </c>
      <c r="G19357" t="s">
        <v>81</v>
      </c>
      <c r="H19357">
        <v>33612</v>
      </c>
      <c r="I19357" t="s">
        <v>30</v>
      </c>
      <c r="J19357" t="s">
        <v>31</v>
      </c>
      <c r="K19357" t="s">
        <v>261</v>
      </c>
      <c r="N19357" t="s">
        <v>71608</v>
      </c>
      <c r="Q19357">
        <v>0</v>
      </c>
      <c r="R19357">
        <v>106</v>
      </c>
      <c r="S19357">
        <v>0</v>
      </c>
      <c r="T19357" t="s">
        <v>71609</v>
      </c>
    </row>
    <row r="19358" spans="1:20" customFormat="1" ht="15" x14ac:dyDescent="0.25">
      <c r="A19358" t="s">
        <v>24</v>
      </c>
      <c r="B19358" t="s">
        <v>2368</v>
      </c>
      <c r="C19358" t="str">
        <f>"A0147575"</f>
        <v>A0147575</v>
      </c>
      <c r="D19358" t="s">
        <v>71610</v>
      </c>
      <c r="E19358" t="s">
        <v>71611</v>
      </c>
      <c r="F19358" t="s">
        <v>71612</v>
      </c>
      <c r="G19358" t="s">
        <v>110</v>
      </c>
      <c r="H19358">
        <v>92590</v>
      </c>
      <c r="I19358" t="s">
        <v>30</v>
      </c>
      <c r="J19358" t="s">
        <v>31</v>
      </c>
      <c r="K19358" t="s">
        <v>261</v>
      </c>
      <c r="N19358" t="s">
        <v>71613</v>
      </c>
      <c r="O19358" t="s">
        <v>71614</v>
      </c>
      <c r="Q19358">
        <v>0</v>
      </c>
      <c r="R19358">
        <v>120</v>
      </c>
      <c r="S19358">
        <v>0</v>
      </c>
      <c r="T19358" t="s">
        <v>71615</v>
      </c>
    </row>
    <row r="19359" spans="1:20" customFormat="1" ht="15" x14ac:dyDescent="0.25">
      <c r="A19359" t="s">
        <v>24</v>
      </c>
      <c r="B19359" t="s">
        <v>13807</v>
      </c>
      <c r="C19359" t="str">
        <f>"A0096380"</f>
        <v>A0096380</v>
      </c>
      <c r="D19359" t="s">
        <v>71616</v>
      </c>
      <c r="E19359" t="s">
        <v>71617</v>
      </c>
      <c r="F19359" t="s">
        <v>6430</v>
      </c>
      <c r="G19359" t="s">
        <v>52</v>
      </c>
      <c r="H19359">
        <v>76706</v>
      </c>
      <c r="I19359" t="s">
        <v>30</v>
      </c>
      <c r="J19359" t="s">
        <v>31</v>
      </c>
      <c r="K19359" t="s">
        <v>261</v>
      </c>
      <c r="N19359" t="s">
        <v>71618</v>
      </c>
      <c r="O19359" t="s">
        <v>71619</v>
      </c>
      <c r="Q19359">
        <v>0</v>
      </c>
      <c r="R19359">
        <v>107</v>
      </c>
      <c r="S19359">
        <v>0</v>
      </c>
      <c r="T19359" t="s">
        <v>71620</v>
      </c>
    </row>
    <row r="19360" spans="1:20" customFormat="1" ht="15" x14ac:dyDescent="0.25">
      <c r="A19360" t="s">
        <v>24</v>
      </c>
      <c r="B19360" t="s">
        <v>8366</v>
      </c>
      <c r="C19360" t="str">
        <f>"A0100071"</f>
        <v>A0100071</v>
      </c>
      <c r="D19360" t="s">
        <v>71621</v>
      </c>
      <c r="E19360" t="s">
        <v>71622</v>
      </c>
      <c r="F19360" t="s">
        <v>71623</v>
      </c>
      <c r="G19360" t="s">
        <v>899</v>
      </c>
      <c r="H19360">
        <v>2081</v>
      </c>
      <c r="I19360" t="s">
        <v>30</v>
      </c>
      <c r="J19360" t="s">
        <v>31</v>
      </c>
      <c r="K19360" t="s">
        <v>261</v>
      </c>
      <c r="N19360" t="s">
        <v>71624</v>
      </c>
      <c r="Q19360">
        <v>0</v>
      </c>
      <c r="R19360">
        <v>118</v>
      </c>
      <c r="S19360">
        <v>0</v>
      </c>
      <c r="T19360" t="s">
        <v>71625</v>
      </c>
    </row>
    <row r="19361" spans="1:20" customFormat="1" ht="15" x14ac:dyDescent="0.25">
      <c r="A19361" t="s">
        <v>24</v>
      </c>
      <c r="B19361" t="s">
        <v>2340</v>
      </c>
      <c r="C19361" t="str">
        <f>"A0148949"</f>
        <v>A0148949</v>
      </c>
      <c r="D19361" t="s">
        <v>71626</v>
      </c>
      <c r="E19361" t="s">
        <v>71627</v>
      </c>
      <c r="F19361" t="s">
        <v>71628</v>
      </c>
      <c r="G19361" t="s">
        <v>123</v>
      </c>
      <c r="H19361">
        <v>21162</v>
      </c>
      <c r="I19361" t="s">
        <v>30</v>
      </c>
      <c r="J19361" t="s">
        <v>31</v>
      </c>
      <c r="K19361" t="s">
        <v>261</v>
      </c>
      <c r="N19361" t="s">
        <v>71629</v>
      </c>
      <c r="Q19361">
        <v>0</v>
      </c>
      <c r="R19361">
        <v>108</v>
      </c>
      <c r="S19361">
        <v>0</v>
      </c>
      <c r="T19361" t="s">
        <v>71630</v>
      </c>
    </row>
    <row r="19362" spans="1:20" customFormat="1" ht="15" x14ac:dyDescent="0.25">
      <c r="A19362" t="s">
        <v>24</v>
      </c>
      <c r="B19362" t="s">
        <v>13807</v>
      </c>
      <c r="C19362" t="str">
        <f>"A0136985"</f>
        <v>A0136985</v>
      </c>
      <c r="D19362" t="s">
        <v>71631</v>
      </c>
      <c r="E19362" t="s">
        <v>71632</v>
      </c>
      <c r="F19362" t="s">
        <v>659</v>
      </c>
      <c r="G19362" t="s">
        <v>81</v>
      </c>
      <c r="H19362">
        <v>32608</v>
      </c>
      <c r="I19362" t="s">
        <v>30</v>
      </c>
      <c r="J19362" t="s">
        <v>31</v>
      </c>
      <c r="K19362" t="s">
        <v>261</v>
      </c>
      <c r="N19362" t="s">
        <v>71633</v>
      </c>
      <c r="O19362" t="s">
        <v>71634</v>
      </c>
      <c r="Q19362">
        <v>0</v>
      </c>
      <c r="R19362">
        <v>95</v>
      </c>
      <c r="S19362">
        <v>0</v>
      </c>
      <c r="T19362" t="s">
        <v>71635</v>
      </c>
    </row>
    <row r="19363" spans="1:20" customFormat="1" ht="15" x14ac:dyDescent="0.25">
      <c r="A19363" t="s">
        <v>24</v>
      </c>
      <c r="B19363" t="s">
        <v>2528</v>
      </c>
      <c r="C19363" t="str">
        <f>"A0096962"</f>
        <v>A0096962</v>
      </c>
      <c r="D19363" t="s">
        <v>71636</v>
      </c>
      <c r="E19363" t="s">
        <v>71637</v>
      </c>
      <c r="F19363" t="s">
        <v>71638</v>
      </c>
      <c r="G19363" t="s">
        <v>153</v>
      </c>
      <c r="H19363">
        <v>84095</v>
      </c>
      <c r="I19363" t="s">
        <v>30</v>
      </c>
      <c r="J19363" t="s">
        <v>31</v>
      </c>
      <c r="K19363" t="s">
        <v>261</v>
      </c>
      <c r="N19363" t="s">
        <v>71639</v>
      </c>
      <c r="O19363" t="s">
        <v>71640</v>
      </c>
      <c r="Q19363">
        <v>0</v>
      </c>
      <c r="R19363">
        <v>125</v>
      </c>
      <c r="S19363">
        <v>0</v>
      </c>
      <c r="T19363" t="s">
        <v>71641</v>
      </c>
    </row>
    <row r="19364" spans="1:20" customFormat="1" ht="15" x14ac:dyDescent="0.25">
      <c r="A19364" t="s">
        <v>24</v>
      </c>
      <c r="B19364" t="s">
        <v>3628</v>
      </c>
      <c r="C19364" t="str">
        <f>"A0059880"</f>
        <v>A0059880</v>
      </c>
      <c r="D19364" t="s">
        <v>14603</v>
      </c>
      <c r="E19364" t="s">
        <v>14604</v>
      </c>
      <c r="F19364" t="s">
        <v>4829</v>
      </c>
      <c r="G19364" t="s">
        <v>52</v>
      </c>
      <c r="H19364">
        <v>75039</v>
      </c>
      <c r="I19364" t="s">
        <v>30</v>
      </c>
      <c r="J19364" t="s">
        <v>171</v>
      </c>
      <c r="K19364" t="s">
        <v>2972</v>
      </c>
      <c r="N19364" t="s">
        <v>14605</v>
      </c>
      <c r="Q19364">
        <v>0</v>
      </c>
      <c r="R19364">
        <v>148</v>
      </c>
      <c r="S19364">
        <v>0</v>
      </c>
      <c r="T19364" t="s">
        <v>14606</v>
      </c>
    </row>
    <row r="19365" spans="1:20" customFormat="1" ht="15" x14ac:dyDescent="0.25">
      <c r="A19365" t="s">
        <v>24</v>
      </c>
      <c r="B19365" t="s">
        <v>3628</v>
      </c>
      <c r="C19365" t="str">
        <f>"A0059747"</f>
        <v>A0059747</v>
      </c>
      <c r="D19365" t="s">
        <v>14607</v>
      </c>
      <c r="E19365" t="s">
        <v>14608</v>
      </c>
      <c r="F19365" t="s">
        <v>14609</v>
      </c>
      <c r="G19365" t="s">
        <v>110</v>
      </c>
      <c r="H19365">
        <v>90245</v>
      </c>
      <c r="I19365" t="s">
        <v>30</v>
      </c>
      <c r="J19365" t="s">
        <v>171</v>
      </c>
      <c r="K19365" t="s">
        <v>2972</v>
      </c>
      <c r="N19365" t="s">
        <v>14610</v>
      </c>
      <c r="Q19365">
        <v>0</v>
      </c>
      <c r="R19365">
        <v>122</v>
      </c>
      <c r="S19365">
        <v>0</v>
      </c>
      <c r="T19365" t="s">
        <v>14611</v>
      </c>
    </row>
    <row r="19366" spans="1:20" customFormat="1" ht="15" x14ac:dyDescent="0.25">
      <c r="A19366" t="s">
        <v>24</v>
      </c>
      <c r="B19366" t="s">
        <v>3628</v>
      </c>
      <c r="C19366" t="str">
        <f>"A0059889"</f>
        <v>A0059889</v>
      </c>
      <c r="D19366" t="s">
        <v>14617</v>
      </c>
      <c r="E19366" t="s">
        <v>14618</v>
      </c>
      <c r="F19366" t="s">
        <v>14619</v>
      </c>
      <c r="G19366" t="s">
        <v>52</v>
      </c>
      <c r="H19366">
        <v>75001</v>
      </c>
      <c r="I19366" t="s">
        <v>30</v>
      </c>
      <c r="J19366" t="s">
        <v>171</v>
      </c>
      <c r="K19366" t="s">
        <v>2972</v>
      </c>
      <c r="N19366" t="s">
        <v>13596</v>
      </c>
      <c r="Q19366">
        <v>0</v>
      </c>
      <c r="R19366">
        <v>132</v>
      </c>
      <c r="S19366">
        <v>0</v>
      </c>
      <c r="T19366" t="s">
        <v>14620</v>
      </c>
    </row>
    <row r="19367" spans="1:20" customFormat="1" ht="15" x14ac:dyDescent="0.25">
      <c r="A19367" t="s">
        <v>24</v>
      </c>
      <c r="B19367" t="s">
        <v>3628</v>
      </c>
      <c r="C19367" t="str">
        <f>"A0059742"</f>
        <v>A0059742</v>
      </c>
      <c r="D19367" t="s">
        <v>14621</v>
      </c>
      <c r="E19367" t="s">
        <v>14622</v>
      </c>
      <c r="F19367" t="s">
        <v>14623</v>
      </c>
      <c r="G19367" t="s">
        <v>110</v>
      </c>
      <c r="H19367">
        <v>94002</v>
      </c>
      <c r="I19367" t="s">
        <v>30</v>
      </c>
      <c r="J19367" t="s">
        <v>171</v>
      </c>
      <c r="K19367" t="s">
        <v>2972</v>
      </c>
      <c r="N19367" t="s">
        <v>14624</v>
      </c>
      <c r="Q19367">
        <v>0</v>
      </c>
      <c r="R19367">
        <v>132</v>
      </c>
      <c r="S19367">
        <v>0</v>
      </c>
      <c r="T19367" t="s">
        <v>14625</v>
      </c>
    </row>
    <row r="19368" spans="1:20" customFormat="1" ht="15" x14ac:dyDescent="0.25">
      <c r="A19368" t="s">
        <v>24</v>
      </c>
      <c r="B19368" t="s">
        <v>3628</v>
      </c>
      <c r="C19368" t="str">
        <f>"SF01447"</f>
        <v>SF01447</v>
      </c>
      <c r="D19368" t="s">
        <v>14638</v>
      </c>
      <c r="E19368" t="s">
        <v>14639</v>
      </c>
      <c r="F19368" t="s">
        <v>14640</v>
      </c>
      <c r="G19368" t="s">
        <v>338</v>
      </c>
      <c r="H19368">
        <v>7645</v>
      </c>
      <c r="I19368" t="s">
        <v>30</v>
      </c>
      <c r="J19368" t="s">
        <v>171</v>
      </c>
      <c r="K19368" t="s">
        <v>973</v>
      </c>
      <c r="N19368" t="s">
        <v>6445</v>
      </c>
      <c r="Q19368">
        <v>0</v>
      </c>
      <c r="R19368">
        <v>190</v>
      </c>
      <c r="S19368">
        <v>0</v>
      </c>
      <c r="T19368" t="s">
        <v>14641</v>
      </c>
    </row>
    <row r="19369" spans="1:20" customFormat="1" ht="15" x14ac:dyDescent="0.25">
      <c r="A19369" t="s">
        <v>24</v>
      </c>
      <c r="B19369" t="s">
        <v>3628</v>
      </c>
      <c r="C19369" t="str">
        <f>"6513V"</f>
        <v>6513V</v>
      </c>
      <c r="D19369" t="s">
        <v>14642</v>
      </c>
      <c r="E19369" t="s">
        <v>14643</v>
      </c>
      <c r="F19369" t="s">
        <v>1570</v>
      </c>
      <c r="G19369" t="s">
        <v>81</v>
      </c>
      <c r="H19369">
        <v>33309</v>
      </c>
      <c r="I19369" t="s">
        <v>30</v>
      </c>
      <c r="J19369" t="s">
        <v>171</v>
      </c>
      <c r="K19369" t="s">
        <v>973</v>
      </c>
      <c r="N19369" t="s">
        <v>14644</v>
      </c>
      <c r="Q19369">
        <v>0</v>
      </c>
      <c r="R19369">
        <v>136</v>
      </c>
      <c r="S19369">
        <v>0</v>
      </c>
      <c r="T19369" t="s">
        <v>14645</v>
      </c>
    </row>
    <row r="19370" spans="1:20" customFormat="1" ht="15" x14ac:dyDescent="0.25">
      <c r="A19370" t="s">
        <v>24</v>
      </c>
      <c r="B19370" t="s">
        <v>3628</v>
      </c>
      <c r="C19370" t="str">
        <f>"A0084627"</f>
        <v>A0084627</v>
      </c>
      <c r="D19370" t="s">
        <v>14646</v>
      </c>
      <c r="E19370" t="s">
        <v>14647</v>
      </c>
      <c r="F19370" t="s">
        <v>1935</v>
      </c>
      <c r="G19370" t="s">
        <v>338</v>
      </c>
      <c r="H19370">
        <v>8401</v>
      </c>
      <c r="I19370" t="s">
        <v>30</v>
      </c>
      <c r="J19370" t="s">
        <v>171</v>
      </c>
      <c r="K19370" t="s">
        <v>973</v>
      </c>
      <c r="N19370" t="s">
        <v>14648</v>
      </c>
      <c r="Q19370">
        <v>0</v>
      </c>
      <c r="R19370">
        <v>203</v>
      </c>
      <c r="S19370">
        <v>0</v>
      </c>
      <c r="T19370" t="s">
        <v>14649</v>
      </c>
    </row>
    <row r="19371" spans="1:20" customFormat="1" ht="15" x14ac:dyDescent="0.25">
      <c r="A19371" t="s">
        <v>24</v>
      </c>
      <c r="B19371" t="s">
        <v>8736</v>
      </c>
      <c r="C19371" t="str">
        <f>"A0098625"</f>
        <v>A0098625</v>
      </c>
      <c r="D19371" t="s">
        <v>14905</v>
      </c>
      <c r="E19371" t="s">
        <v>14906</v>
      </c>
      <c r="F19371" t="s">
        <v>14907</v>
      </c>
      <c r="G19371" t="s">
        <v>214</v>
      </c>
      <c r="H19371">
        <v>28134</v>
      </c>
      <c r="I19371" t="s">
        <v>30</v>
      </c>
      <c r="J19371" t="s">
        <v>171</v>
      </c>
      <c r="K19371" t="s">
        <v>653</v>
      </c>
      <c r="N19371" t="s">
        <v>14908</v>
      </c>
      <c r="Q19371">
        <v>0</v>
      </c>
      <c r="R19371">
        <v>85</v>
      </c>
      <c r="S19371">
        <v>0</v>
      </c>
      <c r="T19371" t="s">
        <v>14909</v>
      </c>
    </row>
    <row r="19372" spans="1:20" customFormat="1" ht="15" x14ac:dyDescent="0.25">
      <c r="A19372" t="s">
        <v>24</v>
      </c>
      <c r="B19372" t="s">
        <v>13684</v>
      </c>
      <c r="C19372" t="str">
        <f>"A0091103"</f>
        <v>A0091103</v>
      </c>
      <c r="D19372" t="s">
        <v>14943</v>
      </c>
      <c r="E19372" t="s">
        <v>14944</v>
      </c>
      <c r="F19372" t="s">
        <v>2539</v>
      </c>
      <c r="G19372" t="s">
        <v>190</v>
      </c>
      <c r="H19372">
        <v>81657</v>
      </c>
      <c r="I19372" t="s">
        <v>30</v>
      </c>
      <c r="J19372" t="s">
        <v>171</v>
      </c>
      <c r="K19372" t="s">
        <v>163</v>
      </c>
      <c r="N19372" t="s">
        <v>14945</v>
      </c>
      <c r="O19372" t="s">
        <v>14946</v>
      </c>
      <c r="Q19372">
        <v>0</v>
      </c>
      <c r="R19372">
        <v>66</v>
      </c>
      <c r="S19372">
        <v>0</v>
      </c>
      <c r="T19372" t="s">
        <v>14947</v>
      </c>
    </row>
    <row r="19373" spans="1:20" customFormat="1" ht="15" x14ac:dyDescent="0.25">
      <c r="A19373" t="s">
        <v>24</v>
      </c>
      <c r="B19373" t="s">
        <v>14948</v>
      </c>
      <c r="C19373" t="str">
        <f>"A0083634"</f>
        <v>A0083634</v>
      </c>
      <c r="D19373" t="s">
        <v>14949</v>
      </c>
      <c r="E19373" t="s">
        <v>14950</v>
      </c>
      <c r="F19373" t="s">
        <v>14951</v>
      </c>
      <c r="G19373" t="s">
        <v>1184</v>
      </c>
      <c r="H19373">
        <v>59102</v>
      </c>
      <c r="I19373" t="s">
        <v>30</v>
      </c>
      <c r="J19373" t="s">
        <v>171</v>
      </c>
      <c r="K19373" t="s">
        <v>1450</v>
      </c>
      <c r="N19373" t="s">
        <v>14952</v>
      </c>
      <c r="Q19373">
        <v>0</v>
      </c>
      <c r="R19373">
        <v>92</v>
      </c>
      <c r="S19373">
        <v>0</v>
      </c>
      <c r="T19373" t="s">
        <v>14953</v>
      </c>
    </row>
    <row r="19374" spans="1:20" customFormat="1" ht="15" x14ac:dyDescent="0.25">
      <c r="A19374" t="s">
        <v>24</v>
      </c>
      <c r="B19374" t="s">
        <v>14979</v>
      </c>
      <c r="C19374" t="str">
        <f>"A0185500"</f>
        <v>A0185500</v>
      </c>
      <c r="D19374" t="s">
        <v>14980</v>
      </c>
      <c r="E19374" t="s">
        <v>14981</v>
      </c>
      <c r="F19374" t="s">
        <v>14982</v>
      </c>
      <c r="G19374" t="s">
        <v>47</v>
      </c>
      <c r="H19374">
        <v>97132</v>
      </c>
      <c r="I19374" t="s">
        <v>30</v>
      </c>
      <c r="J19374" t="s">
        <v>171</v>
      </c>
      <c r="K19374" t="s">
        <v>163</v>
      </c>
      <c r="N19374" t="s">
        <v>14983</v>
      </c>
      <c r="O19374" t="s">
        <v>14984</v>
      </c>
      <c r="Q19374">
        <v>0</v>
      </c>
      <c r="R19374">
        <v>8</v>
      </c>
      <c r="S19374">
        <v>0</v>
      </c>
      <c r="T19374" t="s">
        <v>14985</v>
      </c>
    </row>
    <row r="19375" spans="1:20" customFormat="1" ht="15" x14ac:dyDescent="0.25">
      <c r="A19375" t="s">
        <v>24</v>
      </c>
      <c r="B19375" t="s">
        <v>3628</v>
      </c>
      <c r="C19375" t="str">
        <f>"A0076010"</f>
        <v>A0076010</v>
      </c>
      <c r="D19375" t="s">
        <v>14986</v>
      </c>
      <c r="E19375" t="s">
        <v>14987</v>
      </c>
      <c r="F19375" t="s">
        <v>14988</v>
      </c>
      <c r="G19375" t="s">
        <v>899</v>
      </c>
      <c r="H19375">
        <v>1605</v>
      </c>
      <c r="I19375" t="s">
        <v>30</v>
      </c>
      <c r="J19375" t="s">
        <v>171</v>
      </c>
      <c r="K19375" t="s">
        <v>1450</v>
      </c>
      <c r="N19375" t="s">
        <v>14989</v>
      </c>
      <c r="O19375" t="s">
        <v>14990</v>
      </c>
      <c r="Q19375">
        <v>0</v>
      </c>
      <c r="R19375">
        <v>122</v>
      </c>
      <c r="S19375">
        <v>0</v>
      </c>
      <c r="T19375" t="s">
        <v>14991</v>
      </c>
    </row>
    <row r="19376" spans="1:20" customFormat="1" ht="15" x14ac:dyDescent="0.25">
      <c r="A19376" t="s">
        <v>24</v>
      </c>
      <c r="B19376" t="s">
        <v>3628</v>
      </c>
      <c r="C19376" t="str">
        <f>"A0078255"</f>
        <v>A0078255</v>
      </c>
      <c r="D19376" t="s">
        <v>14992</v>
      </c>
      <c r="E19376" t="s">
        <v>14993</v>
      </c>
      <c r="F19376" t="s">
        <v>14994</v>
      </c>
      <c r="G19376" t="s">
        <v>1363</v>
      </c>
      <c r="H19376">
        <v>3801</v>
      </c>
      <c r="I19376" t="s">
        <v>30</v>
      </c>
      <c r="J19376" t="s">
        <v>171</v>
      </c>
      <c r="K19376" t="s">
        <v>1023</v>
      </c>
      <c r="N19376" t="s">
        <v>14995</v>
      </c>
      <c r="Q19376">
        <v>0</v>
      </c>
      <c r="R19376">
        <v>116</v>
      </c>
      <c r="S19376">
        <v>0</v>
      </c>
      <c r="T19376" t="s">
        <v>14996</v>
      </c>
    </row>
    <row r="19377" spans="1:20" customFormat="1" ht="15" x14ac:dyDescent="0.25">
      <c r="A19377" t="s">
        <v>24</v>
      </c>
      <c r="B19377" t="s">
        <v>3628</v>
      </c>
      <c r="C19377" t="str">
        <f>"A0076927"</f>
        <v>A0076927</v>
      </c>
      <c r="D19377" t="s">
        <v>15001</v>
      </c>
      <c r="E19377" t="s">
        <v>15002</v>
      </c>
      <c r="F19377" t="s">
        <v>8542</v>
      </c>
      <c r="G19377" t="s">
        <v>1363</v>
      </c>
      <c r="H19377">
        <v>3103</v>
      </c>
      <c r="I19377" t="s">
        <v>30</v>
      </c>
      <c r="J19377" t="s">
        <v>171</v>
      </c>
      <c r="K19377" t="s">
        <v>1023</v>
      </c>
      <c r="N19377" t="s">
        <v>15003</v>
      </c>
      <c r="O19377" t="s">
        <v>15004</v>
      </c>
      <c r="Q19377">
        <v>0</v>
      </c>
      <c r="R19377">
        <v>131</v>
      </c>
      <c r="S19377">
        <v>0</v>
      </c>
      <c r="T19377" t="s">
        <v>15005</v>
      </c>
    </row>
    <row r="19378" spans="1:20" customFormat="1" ht="15" x14ac:dyDescent="0.25">
      <c r="A19378" t="s">
        <v>24</v>
      </c>
      <c r="B19378" t="s">
        <v>3628</v>
      </c>
      <c r="C19378" t="str">
        <f>"651SW"</f>
        <v>651SW</v>
      </c>
      <c r="D19378" t="s">
        <v>15006</v>
      </c>
      <c r="E19378" t="s">
        <v>15007</v>
      </c>
      <c r="F19378" t="s">
        <v>8542</v>
      </c>
      <c r="G19378" t="s">
        <v>1363</v>
      </c>
      <c r="H19378">
        <v>3103</v>
      </c>
      <c r="I19378" t="s">
        <v>30</v>
      </c>
      <c r="J19378" t="s">
        <v>171</v>
      </c>
      <c r="K19378" t="s">
        <v>973</v>
      </c>
      <c r="N19378" t="s">
        <v>15008</v>
      </c>
      <c r="Q19378">
        <v>0</v>
      </c>
      <c r="R19378">
        <v>139</v>
      </c>
      <c r="S19378">
        <v>0</v>
      </c>
      <c r="T19378" t="s">
        <v>15009</v>
      </c>
    </row>
    <row r="19379" spans="1:20" customFormat="1" ht="15" x14ac:dyDescent="0.25">
      <c r="A19379" t="s">
        <v>24</v>
      </c>
      <c r="B19379" t="s">
        <v>3628</v>
      </c>
      <c r="C19379" t="str">
        <f>"A0089179"</f>
        <v>A0089179</v>
      </c>
      <c r="D19379" t="s">
        <v>15010</v>
      </c>
      <c r="E19379" t="s">
        <v>15011</v>
      </c>
      <c r="F19379" t="s">
        <v>15012</v>
      </c>
      <c r="G19379" t="s">
        <v>1363</v>
      </c>
      <c r="H19379">
        <v>3431</v>
      </c>
      <c r="I19379" t="s">
        <v>30</v>
      </c>
      <c r="J19379" t="s">
        <v>171</v>
      </c>
      <c r="K19379" t="s">
        <v>973</v>
      </c>
      <c r="N19379" t="s">
        <v>15013</v>
      </c>
      <c r="O19379" t="s">
        <v>15014</v>
      </c>
      <c r="Q19379">
        <v>0</v>
      </c>
      <c r="R19379">
        <v>100</v>
      </c>
      <c r="S19379">
        <v>0</v>
      </c>
      <c r="T19379" t="s">
        <v>15015</v>
      </c>
    </row>
    <row r="19380" spans="1:20" customFormat="1" ht="15" x14ac:dyDescent="0.25">
      <c r="A19380" t="s">
        <v>24</v>
      </c>
      <c r="B19380" t="s">
        <v>3628</v>
      </c>
      <c r="C19380" t="str">
        <f>"56510"</f>
        <v>56510</v>
      </c>
      <c r="D19380" t="s">
        <v>15016</v>
      </c>
      <c r="E19380" t="s">
        <v>15017</v>
      </c>
      <c r="F19380" t="s">
        <v>7921</v>
      </c>
      <c r="G19380" t="s">
        <v>899</v>
      </c>
      <c r="H19380">
        <v>2038</v>
      </c>
      <c r="I19380" t="s">
        <v>30</v>
      </c>
      <c r="J19380" t="s">
        <v>171</v>
      </c>
      <c r="K19380" t="s">
        <v>1450</v>
      </c>
      <c r="N19380" t="s">
        <v>15018</v>
      </c>
      <c r="Q19380">
        <v>0</v>
      </c>
      <c r="R19380">
        <v>108</v>
      </c>
      <c r="S19380">
        <v>0</v>
      </c>
      <c r="T19380" t="s">
        <v>15019</v>
      </c>
    </row>
    <row r="19381" spans="1:20" customFormat="1" ht="15" hidden="1" x14ac:dyDescent="0.25">
      <c r="A19381" t="s">
        <v>24</v>
      </c>
      <c r="B19381" t="s">
        <v>5435</v>
      </c>
      <c r="C19381" t="str">
        <f>"A0084914"</f>
        <v>A0084914</v>
      </c>
      <c r="D19381" t="s">
        <v>71711</v>
      </c>
      <c r="E19381" t="s">
        <v>71712</v>
      </c>
      <c r="F19381" t="s">
        <v>71713</v>
      </c>
      <c r="G19381" t="s">
        <v>5439</v>
      </c>
      <c r="H19381" t="s">
        <v>66166</v>
      </c>
      <c r="I19381" t="s">
        <v>1459</v>
      </c>
      <c r="J19381" t="s">
        <v>171</v>
      </c>
      <c r="K19381" t="s">
        <v>1023</v>
      </c>
      <c r="N19381" t="s">
        <v>71714</v>
      </c>
      <c r="Q19381">
        <v>0</v>
      </c>
      <c r="R19381">
        <v>104</v>
      </c>
      <c r="S19381">
        <v>0</v>
      </c>
      <c r="T19381" t="s">
        <v>71715</v>
      </c>
    </row>
    <row r="19382" spans="1:20" customFormat="1" ht="15" x14ac:dyDescent="0.25">
      <c r="A19382" t="s">
        <v>24</v>
      </c>
      <c r="B19382" t="s">
        <v>3628</v>
      </c>
      <c r="C19382" t="str">
        <f>"56982"</f>
        <v>56982</v>
      </c>
      <c r="D19382" t="s">
        <v>15020</v>
      </c>
      <c r="E19382" t="s">
        <v>15021</v>
      </c>
      <c r="F19382" t="s">
        <v>15022</v>
      </c>
      <c r="G19382" t="s">
        <v>899</v>
      </c>
      <c r="H19382">
        <v>2035</v>
      </c>
      <c r="I19382" t="s">
        <v>30</v>
      </c>
      <c r="J19382" t="s">
        <v>171</v>
      </c>
      <c r="K19382" t="s">
        <v>1450</v>
      </c>
      <c r="N19382" t="s">
        <v>15023</v>
      </c>
      <c r="O19382" t="s">
        <v>15024</v>
      </c>
      <c r="Q19382">
        <v>0</v>
      </c>
      <c r="R19382">
        <v>108</v>
      </c>
      <c r="S19382">
        <v>0</v>
      </c>
      <c r="T19382" t="s">
        <v>15025</v>
      </c>
    </row>
    <row r="19383" spans="1:20" customFormat="1" ht="15" x14ac:dyDescent="0.25">
      <c r="A19383" t="s">
        <v>24</v>
      </c>
      <c r="B19383" t="s">
        <v>1092</v>
      </c>
      <c r="C19383" t="str">
        <f>"A0180095"</f>
        <v>A0180095</v>
      </c>
      <c r="D19383" t="s">
        <v>15058</v>
      </c>
      <c r="E19383" t="s">
        <v>15059</v>
      </c>
      <c r="F19383" t="s">
        <v>1476</v>
      </c>
      <c r="G19383" t="s">
        <v>99</v>
      </c>
      <c r="H19383">
        <v>14607</v>
      </c>
      <c r="I19383" t="s">
        <v>30</v>
      </c>
      <c r="J19383" t="s">
        <v>171</v>
      </c>
      <c r="K19383" t="s">
        <v>973</v>
      </c>
      <c r="N19383" t="s">
        <v>15060</v>
      </c>
      <c r="Q19383">
        <v>0</v>
      </c>
      <c r="R19383">
        <v>125</v>
      </c>
      <c r="S19383">
        <v>0</v>
      </c>
      <c r="T19383" t="s">
        <v>192</v>
      </c>
    </row>
    <row r="19384" spans="1:20" customFormat="1" ht="15" x14ac:dyDescent="0.25">
      <c r="A19384" t="s">
        <v>24</v>
      </c>
      <c r="B19384" t="s">
        <v>13684</v>
      </c>
      <c r="C19384" t="str">
        <f>"A0091583"</f>
        <v>A0091583</v>
      </c>
      <c r="D19384" t="s">
        <v>15120</v>
      </c>
      <c r="E19384" t="s">
        <v>15121</v>
      </c>
      <c r="F19384" t="s">
        <v>716</v>
      </c>
      <c r="G19384" t="s">
        <v>289</v>
      </c>
      <c r="H19384">
        <v>60654</v>
      </c>
      <c r="I19384" t="s">
        <v>30</v>
      </c>
      <c r="J19384" t="s">
        <v>171</v>
      </c>
      <c r="K19384" t="s">
        <v>163</v>
      </c>
      <c r="N19384" t="s">
        <v>15122</v>
      </c>
      <c r="Q19384">
        <v>1</v>
      </c>
      <c r="R19384">
        <v>0</v>
      </c>
      <c r="S19384">
        <v>0</v>
      </c>
      <c r="T19384" t="s">
        <v>15123</v>
      </c>
    </row>
    <row r="19385" spans="1:20" customFormat="1" ht="15" x14ac:dyDescent="0.25">
      <c r="A19385" t="s">
        <v>24</v>
      </c>
      <c r="B19385" t="s">
        <v>13684</v>
      </c>
      <c r="C19385" t="str">
        <f>"A0093664"</f>
        <v>A0093664</v>
      </c>
      <c r="D19385" t="s">
        <v>15130</v>
      </c>
      <c r="E19385" t="s">
        <v>15131</v>
      </c>
      <c r="F19385" t="s">
        <v>15132</v>
      </c>
      <c r="G19385" t="s">
        <v>81</v>
      </c>
      <c r="H19385">
        <v>32693</v>
      </c>
      <c r="I19385" t="s">
        <v>30</v>
      </c>
      <c r="J19385" t="s">
        <v>171</v>
      </c>
      <c r="K19385" t="s">
        <v>163</v>
      </c>
      <c r="N19385" t="s">
        <v>15133</v>
      </c>
      <c r="Q19385">
        <v>0</v>
      </c>
      <c r="R19385">
        <v>24</v>
      </c>
      <c r="S19385">
        <v>0</v>
      </c>
      <c r="T19385" t="s">
        <v>15134</v>
      </c>
    </row>
    <row r="19386" spans="1:20" customFormat="1" ht="15" x14ac:dyDescent="0.25">
      <c r="A19386" t="s">
        <v>24</v>
      </c>
      <c r="B19386" t="s">
        <v>5104</v>
      </c>
      <c r="C19386" t="str">
        <f>"A0180491"</f>
        <v>A0180491</v>
      </c>
      <c r="D19386" t="s">
        <v>15157</v>
      </c>
      <c r="E19386" t="s">
        <v>15158</v>
      </c>
      <c r="F19386" t="s">
        <v>6458</v>
      </c>
      <c r="G19386" t="s">
        <v>99</v>
      </c>
      <c r="H19386">
        <v>10001</v>
      </c>
      <c r="I19386" t="s">
        <v>30</v>
      </c>
      <c r="J19386" t="s">
        <v>171</v>
      </c>
      <c r="K19386" t="s">
        <v>1202</v>
      </c>
      <c r="N19386" t="s">
        <v>15159</v>
      </c>
      <c r="O19386" t="s">
        <v>15160</v>
      </c>
      <c r="Q19386">
        <v>0</v>
      </c>
      <c r="R19386">
        <v>510</v>
      </c>
      <c r="S19386">
        <v>0</v>
      </c>
      <c r="T19386" t="s">
        <v>15161</v>
      </c>
    </row>
    <row r="19387" spans="1:20" customFormat="1" ht="15" hidden="1" x14ac:dyDescent="0.25">
      <c r="A19387" t="s">
        <v>24</v>
      </c>
      <c r="B19387" t="s">
        <v>2202</v>
      </c>
      <c r="C19387" t="str">
        <f>"A0154020"</f>
        <v>A0154020</v>
      </c>
      <c r="D19387" t="s">
        <v>71737</v>
      </c>
      <c r="E19387" t="s">
        <v>71738</v>
      </c>
      <c r="F19387" t="s">
        <v>2390</v>
      </c>
      <c r="G19387" t="s">
        <v>2206</v>
      </c>
      <c r="H19387" t="s">
        <v>69705</v>
      </c>
      <c r="I19387" t="s">
        <v>1459</v>
      </c>
      <c r="J19387" t="s">
        <v>171</v>
      </c>
      <c r="K19387" t="s">
        <v>1023</v>
      </c>
      <c r="N19387" t="s">
        <v>69706</v>
      </c>
      <c r="O19387" t="s">
        <v>71739</v>
      </c>
      <c r="Q19387">
        <v>0</v>
      </c>
      <c r="R19387">
        <v>83</v>
      </c>
      <c r="S19387">
        <v>0</v>
      </c>
      <c r="T19387" t="s">
        <v>71740</v>
      </c>
    </row>
    <row r="19388" spans="1:20" customFormat="1" ht="15" hidden="1" x14ac:dyDescent="0.25">
      <c r="A19388" t="s">
        <v>24</v>
      </c>
      <c r="B19388" t="s">
        <v>62565</v>
      </c>
      <c r="C19388" t="str">
        <f>"A0090344"</f>
        <v>A0090344</v>
      </c>
      <c r="D19388" t="s">
        <v>71741</v>
      </c>
      <c r="E19388" t="s">
        <v>71742</v>
      </c>
      <c r="F19388" t="s">
        <v>57308</v>
      </c>
      <c r="G19388" t="s">
        <v>2206</v>
      </c>
      <c r="H19388" t="s">
        <v>71743</v>
      </c>
      <c r="I19388" t="s">
        <v>1459</v>
      </c>
      <c r="J19388" t="s">
        <v>171</v>
      </c>
      <c r="K19388" t="s">
        <v>1023</v>
      </c>
      <c r="N19388" t="s">
        <v>71744</v>
      </c>
      <c r="Q19388">
        <v>0</v>
      </c>
      <c r="R19388">
        <v>108</v>
      </c>
      <c r="S19388">
        <v>0</v>
      </c>
      <c r="T19388" t="s">
        <v>71745</v>
      </c>
    </row>
    <row r="19389" spans="1:20" customFormat="1" ht="15" x14ac:dyDescent="0.25">
      <c r="A19389" t="s">
        <v>24</v>
      </c>
      <c r="B19389" t="s">
        <v>193</v>
      </c>
      <c r="C19389" t="str">
        <f>"57138"</f>
        <v>57138</v>
      </c>
      <c r="D19389" t="s">
        <v>15286</v>
      </c>
      <c r="E19389" t="s">
        <v>15287</v>
      </c>
      <c r="F19389" t="s">
        <v>9812</v>
      </c>
      <c r="G19389" t="s">
        <v>103</v>
      </c>
      <c r="H19389">
        <v>19153</v>
      </c>
      <c r="I19389" t="s">
        <v>30</v>
      </c>
      <c r="J19389" t="s">
        <v>171</v>
      </c>
      <c r="K19389" t="s">
        <v>15288</v>
      </c>
      <c r="N19389" t="s">
        <v>15289</v>
      </c>
      <c r="Q19389">
        <v>0</v>
      </c>
      <c r="R19389">
        <v>102</v>
      </c>
      <c r="S19389">
        <v>0</v>
      </c>
      <c r="T19389" t="s">
        <v>15290</v>
      </c>
    </row>
    <row r="19390" spans="1:20" customFormat="1" ht="15" x14ac:dyDescent="0.25">
      <c r="A19390" t="s">
        <v>24</v>
      </c>
      <c r="B19390" t="s">
        <v>1288</v>
      </c>
      <c r="C19390" t="str">
        <f>"A0058648"</f>
        <v>A0058648</v>
      </c>
      <c r="D19390" t="s">
        <v>15373</v>
      </c>
      <c r="E19390" t="s">
        <v>15374</v>
      </c>
      <c r="F19390" t="s">
        <v>6888</v>
      </c>
      <c r="G19390" t="s">
        <v>338</v>
      </c>
      <c r="H19390">
        <v>8540</v>
      </c>
      <c r="I19390" t="s">
        <v>30</v>
      </c>
      <c r="J19390" t="s">
        <v>171</v>
      </c>
      <c r="K19390" t="s">
        <v>1202</v>
      </c>
      <c r="N19390" t="s">
        <v>2609</v>
      </c>
      <c r="Q19390">
        <v>0</v>
      </c>
      <c r="R19390">
        <v>122</v>
      </c>
      <c r="S19390">
        <v>0</v>
      </c>
      <c r="T19390" t="s">
        <v>15375</v>
      </c>
    </row>
    <row r="19391" spans="1:20" customFormat="1" ht="15" x14ac:dyDescent="0.25">
      <c r="A19391" t="s">
        <v>24</v>
      </c>
      <c r="B19391" t="s">
        <v>2812</v>
      </c>
      <c r="C19391" t="str">
        <f>"A0180087"</f>
        <v>A0180087</v>
      </c>
      <c r="D19391" t="s">
        <v>15398</v>
      </c>
      <c r="E19391" t="s">
        <v>15399</v>
      </c>
      <c r="F19391" t="s">
        <v>1570</v>
      </c>
      <c r="G19391" t="s">
        <v>81</v>
      </c>
      <c r="H19391">
        <v>33304</v>
      </c>
      <c r="I19391" t="s">
        <v>30</v>
      </c>
      <c r="J19391" t="s">
        <v>171</v>
      </c>
      <c r="K19391" t="s">
        <v>2077</v>
      </c>
      <c r="N19391" t="s">
        <v>15400</v>
      </c>
      <c r="Q19391">
        <v>0</v>
      </c>
      <c r="R19391">
        <v>171</v>
      </c>
      <c r="S19391">
        <v>0</v>
      </c>
      <c r="T19391" t="s">
        <v>15401</v>
      </c>
    </row>
    <row r="19392" spans="1:20" customFormat="1" ht="15" x14ac:dyDescent="0.25">
      <c r="A19392" t="s">
        <v>24</v>
      </c>
      <c r="B19392" t="s">
        <v>15744</v>
      </c>
      <c r="C19392" t="str">
        <f>"56684"</f>
        <v>56684</v>
      </c>
      <c r="D19392" t="s">
        <v>15745</v>
      </c>
      <c r="E19392" t="s">
        <v>15746</v>
      </c>
      <c r="F19392" t="s">
        <v>15747</v>
      </c>
      <c r="G19392" t="s">
        <v>81</v>
      </c>
      <c r="H19392">
        <v>33331</v>
      </c>
      <c r="I19392" t="s">
        <v>30</v>
      </c>
      <c r="J19392" t="s">
        <v>171</v>
      </c>
      <c r="K19392" t="s">
        <v>1450</v>
      </c>
      <c r="N19392" t="s">
        <v>15748</v>
      </c>
      <c r="Q19392">
        <v>0</v>
      </c>
      <c r="R19392">
        <v>100</v>
      </c>
      <c r="S19392">
        <v>0</v>
      </c>
      <c r="T19392" t="s">
        <v>15749</v>
      </c>
    </row>
    <row r="19393" spans="1:20" customFormat="1" ht="15" x14ac:dyDescent="0.25">
      <c r="A19393" t="s">
        <v>24</v>
      </c>
      <c r="B19393" t="s">
        <v>15769</v>
      </c>
      <c r="C19393" t="str">
        <f>"651SB"</f>
        <v>651SB</v>
      </c>
      <c r="D19393" t="s">
        <v>15770</v>
      </c>
      <c r="E19393" t="s">
        <v>15771</v>
      </c>
      <c r="F19393" t="s">
        <v>11700</v>
      </c>
      <c r="G19393" t="s">
        <v>880</v>
      </c>
      <c r="H19393">
        <v>38115</v>
      </c>
      <c r="I19393" t="s">
        <v>30</v>
      </c>
      <c r="J19393" t="s">
        <v>171</v>
      </c>
      <c r="K19393" t="s">
        <v>973</v>
      </c>
      <c r="N19393" t="s">
        <v>15772</v>
      </c>
      <c r="O19393" t="s">
        <v>15773</v>
      </c>
      <c r="Q19393">
        <v>0</v>
      </c>
      <c r="R19393">
        <v>96</v>
      </c>
      <c r="S19393">
        <v>0</v>
      </c>
      <c r="T19393" t="s">
        <v>15774</v>
      </c>
    </row>
    <row r="19394" spans="1:20" customFormat="1" ht="15" x14ac:dyDescent="0.25">
      <c r="A19394" t="s">
        <v>24</v>
      </c>
      <c r="B19394" t="s">
        <v>1598</v>
      </c>
      <c r="C19394" t="str">
        <f>"A0166551"</f>
        <v>A0166551</v>
      </c>
      <c r="D19394" t="s">
        <v>15793</v>
      </c>
      <c r="E19394" t="s">
        <v>15794</v>
      </c>
      <c r="F19394" t="s">
        <v>1601</v>
      </c>
      <c r="G19394" t="s">
        <v>846</v>
      </c>
      <c r="H19394">
        <v>31527</v>
      </c>
      <c r="I19394" t="s">
        <v>30</v>
      </c>
      <c r="J19394" t="s">
        <v>171</v>
      </c>
      <c r="K19394" t="s">
        <v>973</v>
      </c>
      <c r="N19394" t="s">
        <v>15795</v>
      </c>
      <c r="Q19394">
        <v>0</v>
      </c>
      <c r="R19394">
        <v>118</v>
      </c>
      <c r="S19394">
        <v>0</v>
      </c>
      <c r="T19394" t="s">
        <v>15796</v>
      </c>
    </row>
    <row r="19395" spans="1:20" customFormat="1" ht="15" x14ac:dyDescent="0.25">
      <c r="A19395" t="s">
        <v>24</v>
      </c>
      <c r="B19395" t="s">
        <v>15855</v>
      </c>
      <c r="C19395" t="str">
        <f>"A0185532"</f>
        <v>A0185532</v>
      </c>
      <c r="D19395" t="s">
        <v>15856</v>
      </c>
      <c r="E19395" t="s">
        <v>15857</v>
      </c>
      <c r="F19395" t="s">
        <v>15858</v>
      </c>
      <c r="G19395" t="s">
        <v>880</v>
      </c>
      <c r="H19395">
        <v>37122</v>
      </c>
      <c r="I19395" t="s">
        <v>30</v>
      </c>
      <c r="J19395" t="s">
        <v>171</v>
      </c>
      <c r="K19395" t="s">
        <v>1331</v>
      </c>
      <c r="N19395" t="s">
        <v>15859</v>
      </c>
      <c r="Q19395">
        <v>0</v>
      </c>
      <c r="R19395">
        <v>172</v>
      </c>
      <c r="S19395">
        <v>0</v>
      </c>
      <c r="T19395" t="s">
        <v>15860</v>
      </c>
    </row>
    <row r="19396" spans="1:20" customFormat="1" ht="15" x14ac:dyDescent="0.25">
      <c r="A19396" t="s">
        <v>24</v>
      </c>
      <c r="B19396" t="s">
        <v>6570</v>
      </c>
      <c r="C19396" t="str">
        <f>"A0056613"</f>
        <v>A0056613</v>
      </c>
      <c r="D19396" t="s">
        <v>15861</v>
      </c>
      <c r="E19396" t="s">
        <v>15862</v>
      </c>
      <c r="F19396" t="s">
        <v>15863</v>
      </c>
      <c r="G19396" t="s">
        <v>289</v>
      </c>
      <c r="H19396">
        <v>62208</v>
      </c>
      <c r="I19396" t="s">
        <v>30</v>
      </c>
      <c r="J19396" t="s">
        <v>171</v>
      </c>
      <c r="K19396" t="s">
        <v>653</v>
      </c>
      <c r="N19396" t="s">
        <v>15864</v>
      </c>
      <c r="O19396" t="s">
        <v>15865</v>
      </c>
      <c r="Q19396">
        <v>0</v>
      </c>
      <c r="R19396">
        <v>120</v>
      </c>
      <c r="S19396">
        <v>0</v>
      </c>
      <c r="T19396" t="s">
        <v>15866</v>
      </c>
    </row>
    <row r="19397" spans="1:20" customFormat="1" ht="15" x14ac:dyDescent="0.25">
      <c r="A19397" t="s">
        <v>24</v>
      </c>
      <c r="B19397" t="s">
        <v>7040</v>
      </c>
      <c r="C19397" t="str">
        <f>"A0185582"</f>
        <v>A0185582</v>
      </c>
      <c r="D19397" t="s">
        <v>15892</v>
      </c>
      <c r="E19397" t="s">
        <v>15893</v>
      </c>
      <c r="F19397" t="s">
        <v>15894</v>
      </c>
      <c r="G19397" t="s">
        <v>103</v>
      </c>
      <c r="H19397">
        <v>19610</v>
      </c>
      <c r="I19397" t="s">
        <v>30</v>
      </c>
      <c r="J19397" t="s">
        <v>171</v>
      </c>
      <c r="K19397" t="s">
        <v>1450</v>
      </c>
      <c r="N19397" t="s">
        <v>15895</v>
      </c>
      <c r="Q19397">
        <v>0</v>
      </c>
      <c r="R19397">
        <v>123</v>
      </c>
      <c r="S19397">
        <v>0</v>
      </c>
      <c r="T19397" t="s">
        <v>15896</v>
      </c>
    </row>
    <row r="19398" spans="1:20" customFormat="1" ht="15" x14ac:dyDescent="0.25">
      <c r="A19398" t="s">
        <v>24</v>
      </c>
      <c r="B19398" t="s">
        <v>257</v>
      </c>
      <c r="C19398" t="str">
        <f>"A0185648"</f>
        <v>A0185648</v>
      </c>
      <c r="D19398" t="s">
        <v>15921</v>
      </c>
      <c r="E19398" t="s">
        <v>15922</v>
      </c>
      <c r="F19398" t="s">
        <v>985</v>
      </c>
      <c r="G19398" t="s">
        <v>81</v>
      </c>
      <c r="H19398">
        <v>32809</v>
      </c>
      <c r="I19398" t="s">
        <v>30</v>
      </c>
      <c r="J19398" t="s">
        <v>171</v>
      </c>
      <c r="K19398" t="s">
        <v>1331</v>
      </c>
      <c r="N19398" t="s">
        <v>15923</v>
      </c>
      <c r="O19398" t="s">
        <v>15924</v>
      </c>
      <c r="Q19398">
        <v>0</v>
      </c>
      <c r="R19398">
        <v>224</v>
      </c>
      <c r="S19398">
        <v>0</v>
      </c>
      <c r="T19398" t="s">
        <v>15925</v>
      </c>
    </row>
    <row r="19399" spans="1:20" customFormat="1" ht="15" x14ac:dyDescent="0.25">
      <c r="A19399" t="s">
        <v>24</v>
      </c>
      <c r="B19399" t="s">
        <v>4341</v>
      </c>
      <c r="C19399" t="str">
        <f>"A0167169"</f>
        <v>A0167169</v>
      </c>
      <c r="D19399" t="s">
        <v>16113</v>
      </c>
      <c r="E19399" t="s">
        <v>16114</v>
      </c>
      <c r="F19399" t="s">
        <v>1564</v>
      </c>
      <c r="G19399" t="s">
        <v>52</v>
      </c>
      <c r="H19399">
        <v>77044</v>
      </c>
      <c r="I19399" t="s">
        <v>30</v>
      </c>
      <c r="J19399" t="s">
        <v>171</v>
      </c>
      <c r="K19399" t="s">
        <v>973</v>
      </c>
      <c r="N19399" t="s">
        <v>16115</v>
      </c>
      <c r="O19399" t="s">
        <v>16116</v>
      </c>
      <c r="Q19399">
        <v>0</v>
      </c>
      <c r="R19399">
        <v>144</v>
      </c>
      <c r="S19399">
        <v>0</v>
      </c>
      <c r="T19399" t="s">
        <v>16117</v>
      </c>
    </row>
    <row r="19400" spans="1:20" customFormat="1" ht="15" hidden="1" x14ac:dyDescent="0.25">
      <c r="A19400" t="s">
        <v>24</v>
      </c>
      <c r="B19400" t="s">
        <v>62565</v>
      </c>
      <c r="C19400" t="str">
        <f>"A0090345"</f>
        <v>A0090345</v>
      </c>
      <c r="D19400" t="s">
        <v>71797</v>
      </c>
      <c r="E19400" t="s">
        <v>71798</v>
      </c>
      <c r="F19400" t="s">
        <v>2879</v>
      </c>
      <c r="G19400" t="s">
        <v>2206</v>
      </c>
      <c r="H19400" t="s">
        <v>71799</v>
      </c>
      <c r="I19400" t="s">
        <v>1459</v>
      </c>
      <c r="J19400" t="s">
        <v>171</v>
      </c>
      <c r="K19400" t="s">
        <v>1023</v>
      </c>
      <c r="N19400" t="s">
        <v>69684</v>
      </c>
      <c r="O19400" t="s">
        <v>71800</v>
      </c>
      <c r="Q19400">
        <v>0</v>
      </c>
      <c r="R19400">
        <v>108</v>
      </c>
      <c r="S19400">
        <v>0</v>
      </c>
      <c r="T19400" t="s">
        <v>71801</v>
      </c>
    </row>
    <row r="19401" spans="1:20" customFormat="1" ht="15" x14ac:dyDescent="0.25">
      <c r="A19401" t="s">
        <v>24</v>
      </c>
      <c r="B19401" t="s">
        <v>1849</v>
      </c>
      <c r="C19401" t="str">
        <f>"A0154337"</f>
        <v>A0154337</v>
      </c>
      <c r="D19401" t="s">
        <v>16122</v>
      </c>
      <c r="E19401" t="s">
        <v>16123</v>
      </c>
      <c r="F19401" t="s">
        <v>16124</v>
      </c>
      <c r="G19401" t="s">
        <v>110</v>
      </c>
      <c r="H19401">
        <v>94704</v>
      </c>
      <c r="I19401" t="s">
        <v>30</v>
      </c>
      <c r="J19401" t="s">
        <v>171</v>
      </c>
      <c r="K19401" t="s">
        <v>1450</v>
      </c>
      <c r="N19401" t="s">
        <v>16125</v>
      </c>
      <c r="O19401" t="s">
        <v>16126</v>
      </c>
      <c r="Q19401">
        <v>0</v>
      </c>
      <c r="R19401">
        <v>329</v>
      </c>
      <c r="S19401">
        <v>0</v>
      </c>
      <c r="T19401" t="s">
        <v>16127</v>
      </c>
    </row>
    <row r="19402" spans="1:20" customFormat="1" ht="15" x14ac:dyDescent="0.25">
      <c r="A19402" t="s">
        <v>24</v>
      </c>
      <c r="B19402" t="s">
        <v>1548</v>
      </c>
      <c r="C19402" t="str">
        <f>"A0064366"</f>
        <v>A0064366</v>
      </c>
      <c r="D19402" t="s">
        <v>16132</v>
      </c>
      <c r="E19402" t="s">
        <v>16133</v>
      </c>
      <c r="F19402" t="s">
        <v>1889</v>
      </c>
      <c r="G19402" t="s">
        <v>81</v>
      </c>
      <c r="H19402">
        <v>33140</v>
      </c>
      <c r="I19402" t="s">
        <v>30</v>
      </c>
      <c r="J19402" t="s">
        <v>171</v>
      </c>
      <c r="K19402" t="s">
        <v>7385</v>
      </c>
      <c r="N19402" t="s">
        <v>16134</v>
      </c>
      <c r="Q19402">
        <v>0</v>
      </c>
      <c r="R19402">
        <v>143</v>
      </c>
      <c r="S19402">
        <v>0</v>
      </c>
      <c r="T19402" t="s">
        <v>16135</v>
      </c>
    </row>
    <row r="19403" spans="1:20" customFormat="1" ht="15" hidden="1" x14ac:dyDescent="0.25">
      <c r="A19403" t="s">
        <v>24</v>
      </c>
      <c r="B19403" t="s">
        <v>62565</v>
      </c>
      <c r="C19403" t="str">
        <f>"A0090346"</f>
        <v>A0090346</v>
      </c>
      <c r="D19403" t="s">
        <v>71814</v>
      </c>
      <c r="E19403" t="s">
        <v>71815</v>
      </c>
      <c r="F19403" t="s">
        <v>71816</v>
      </c>
      <c r="G19403" t="s">
        <v>2206</v>
      </c>
      <c r="H19403" t="s">
        <v>71817</v>
      </c>
      <c r="I19403" t="s">
        <v>1459</v>
      </c>
      <c r="J19403" t="s">
        <v>171</v>
      </c>
      <c r="K19403" t="s">
        <v>1023</v>
      </c>
      <c r="N19403" t="s">
        <v>71818</v>
      </c>
      <c r="O19403" t="s">
        <v>71800</v>
      </c>
      <c r="Q19403">
        <v>0</v>
      </c>
      <c r="R19403">
        <v>108</v>
      </c>
      <c r="S19403">
        <v>0</v>
      </c>
      <c r="T19403" t="s">
        <v>71819</v>
      </c>
    </row>
    <row r="19404" spans="1:20" customFormat="1" ht="15" x14ac:dyDescent="0.25">
      <c r="A19404" t="s">
        <v>24</v>
      </c>
      <c r="B19404" t="s">
        <v>13135</v>
      </c>
      <c r="C19404" t="str">
        <f>"A0178642"</f>
        <v>A0178642</v>
      </c>
      <c r="D19404" t="s">
        <v>16149</v>
      </c>
      <c r="E19404" t="s">
        <v>16150</v>
      </c>
      <c r="F19404" t="s">
        <v>16151</v>
      </c>
      <c r="G19404" t="s">
        <v>528</v>
      </c>
      <c r="H19404">
        <v>19958</v>
      </c>
      <c r="I19404" t="s">
        <v>30</v>
      </c>
      <c r="J19404" t="s">
        <v>171</v>
      </c>
      <c r="K19404" t="s">
        <v>2972</v>
      </c>
      <c r="N19404" t="s">
        <v>16152</v>
      </c>
      <c r="O19404" t="s">
        <v>16153</v>
      </c>
      <c r="Q19404">
        <v>0</v>
      </c>
      <c r="R19404">
        <v>96</v>
      </c>
      <c r="S19404">
        <v>0</v>
      </c>
      <c r="T19404" t="s">
        <v>16154</v>
      </c>
    </row>
    <row r="19405" spans="1:20" customFormat="1" ht="15" x14ac:dyDescent="0.25">
      <c r="A19405" t="s">
        <v>24</v>
      </c>
      <c r="B19405" t="s">
        <v>16155</v>
      </c>
      <c r="C19405" t="str">
        <f>"A0099656"</f>
        <v>A0099656</v>
      </c>
      <c r="D19405" t="s">
        <v>16227</v>
      </c>
      <c r="E19405" t="s">
        <v>16228</v>
      </c>
      <c r="F19405" t="s">
        <v>4385</v>
      </c>
      <c r="G19405" t="s">
        <v>99</v>
      </c>
      <c r="H19405">
        <v>11220</v>
      </c>
      <c r="I19405" t="s">
        <v>30</v>
      </c>
      <c r="J19405" t="s">
        <v>171</v>
      </c>
      <c r="K19405" t="s">
        <v>12620</v>
      </c>
      <c r="N19405" t="s">
        <v>16229</v>
      </c>
      <c r="Q19405">
        <v>0</v>
      </c>
      <c r="R19405">
        <v>87</v>
      </c>
      <c r="S19405">
        <v>0</v>
      </c>
      <c r="T19405" t="s">
        <v>16230</v>
      </c>
    </row>
    <row r="19406" spans="1:20" customFormat="1" ht="15" x14ac:dyDescent="0.25">
      <c r="A19406" t="s">
        <v>24</v>
      </c>
      <c r="B19406" t="s">
        <v>16155</v>
      </c>
      <c r="C19406" t="str">
        <f>"A0099251"</f>
        <v>A0099251</v>
      </c>
      <c r="D19406" t="s">
        <v>16231</v>
      </c>
      <c r="E19406" t="s">
        <v>16232</v>
      </c>
      <c r="F19406" t="s">
        <v>16233</v>
      </c>
      <c r="G19406" t="s">
        <v>99</v>
      </c>
      <c r="H19406">
        <v>11901</v>
      </c>
      <c r="I19406" t="s">
        <v>30</v>
      </c>
      <c r="J19406" t="s">
        <v>171</v>
      </c>
      <c r="K19406" t="s">
        <v>1450</v>
      </c>
      <c r="N19406" t="s">
        <v>16234</v>
      </c>
      <c r="Q19406">
        <v>0</v>
      </c>
      <c r="R19406">
        <v>131</v>
      </c>
      <c r="S19406">
        <v>0</v>
      </c>
      <c r="T19406" t="s">
        <v>16235</v>
      </c>
    </row>
    <row r="19407" spans="1:20" customFormat="1" ht="15" hidden="1" x14ac:dyDescent="0.25">
      <c r="A19407" t="s">
        <v>24</v>
      </c>
      <c r="B19407" t="s">
        <v>57067</v>
      </c>
      <c r="C19407" t="str">
        <f>"A0093915"</f>
        <v>A0093915</v>
      </c>
      <c r="D19407" t="s">
        <v>71831</v>
      </c>
      <c r="E19407" t="s">
        <v>71832</v>
      </c>
      <c r="F19407" t="s">
        <v>69698</v>
      </c>
      <c r="G19407" t="s">
        <v>2206</v>
      </c>
      <c r="H19407" t="s">
        <v>69699</v>
      </c>
      <c r="I19407" t="s">
        <v>1459</v>
      </c>
      <c r="J19407" t="s">
        <v>171</v>
      </c>
      <c r="K19407" t="s">
        <v>1023</v>
      </c>
      <c r="N19407" t="s">
        <v>69700</v>
      </c>
      <c r="O19407" t="s">
        <v>69701</v>
      </c>
      <c r="Q19407">
        <v>0</v>
      </c>
      <c r="R19407">
        <v>104</v>
      </c>
      <c r="S19407">
        <v>0</v>
      </c>
      <c r="T19407" t="s">
        <v>69702</v>
      </c>
    </row>
    <row r="19408" spans="1:20" customFormat="1" ht="15" x14ac:dyDescent="0.25">
      <c r="A19408" t="s">
        <v>24</v>
      </c>
      <c r="B19408" t="s">
        <v>16155</v>
      </c>
      <c r="C19408" t="str">
        <f>"A0098142"</f>
        <v>A0098142</v>
      </c>
      <c r="D19408" t="s">
        <v>16241</v>
      </c>
      <c r="E19408" t="s">
        <v>16242</v>
      </c>
      <c r="F19408" t="s">
        <v>16243</v>
      </c>
      <c r="G19408" t="s">
        <v>99</v>
      </c>
      <c r="H19408">
        <v>11374</v>
      </c>
      <c r="I19408" t="s">
        <v>30</v>
      </c>
      <c r="J19408" t="s">
        <v>171</v>
      </c>
      <c r="K19408" t="s">
        <v>13503</v>
      </c>
      <c r="N19408" t="s">
        <v>16244</v>
      </c>
      <c r="Q19408">
        <v>0</v>
      </c>
      <c r="R19408">
        <v>50</v>
      </c>
      <c r="S19408">
        <v>0</v>
      </c>
      <c r="T19408" t="s">
        <v>16245</v>
      </c>
    </row>
    <row r="19409" spans="1:20" customFormat="1" ht="15" x14ac:dyDescent="0.25">
      <c r="A19409" t="s">
        <v>24</v>
      </c>
      <c r="B19409" t="s">
        <v>16155</v>
      </c>
      <c r="C19409" t="str">
        <f>"A0095484"</f>
        <v>A0095484</v>
      </c>
      <c r="D19409" t="s">
        <v>16260</v>
      </c>
      <c r="E19409" t="s">
        <v>16261</v>
      </c>
      <c r="F19409" t="s">
        <v>16262</v>
      </c>
      <c r="G19409" t="s">
        <v>103</v>
      </c>
      <c r="H19409">
        <v>19468</v>
      </c>
      <c r="I19409" t="s">
        <v>30</v>
      </c>
      <c r="J19409" t="s">
        <v>171</v>
      </c>
      <c r="K19409" t="s">
        <v>1147</v>
      </c>
      <c r="N19409" t="s">
        <v>16263</v>
      </c>
      <c r="Q19409">
        <v>0</v>
      </c>
      <c r="R19409">
        <v>105</v>
      </c>
      <c r="S19409">
        <v>0</v>
      </c>
      <c r="T19409" t="s">
        <v>16264</v>
      </c>
    </row>
    <row r="19410" spans="1:20" customFormat="1" ht="15" x14ac:dyDescent="0.25">
      <c r="A19410" t="s">
        <v>24</v>
      </c>
      <c r="B19410" t="s">
        <v>16155</v>
      </c>
      <c r="C19410" t="str">
        <f>"A0086997"</f>
        <v>A0086997</v>
      </c>
      <c r="D19410" t="s">
        <v>16284</v>
      </c>
      <c r="E19410" t="s">
        <v>16285</v>
      </c>
      <c r="F19410" t="s">
        <v>16286</v>
      </c>
      <c r="G19410" t="s">
        <v>29</v>
      </c>
      <c r="H19410">
        <v>23320</v>
      </c>
      <c r="I19410" t="s">
        <v>30</v>
      </c>
      <c r="J19410" t="s">
        <v>171</v>
      </c>
      <c r="K19410" t="s">
        <v>1202</v>
      </c>
      <c r="N19410" t="s">
        <v>16287</v>
      </c>
      <c r="Q19410">
        <v>0</v>
      </c>
      <c r="R19410">
        <v>119</v>
      </c>
      <c r="S19410">
        <v>0</v>
      </c>
      <c r="T19410" t="s">
        <v>16288</v>
      </c>
    </row>
    <row r="19411" spans="1:20" customFormat="1" ht="15" x14ac:dyDescent="0.25">
      <c r="A19411" t="s">
        <v>24</v>
      </c>
      <c r="B19411" t="s">
        <v>16155</v>
      </c>
      <c r="C19411" t="str">
        <f>"A0086098"</f>
        <v>A0086098</v>
      </c>
      <c r="D19411" t="s">
        <v>16289</v>
      </c>
      <c r="E19411" t="s">
        <v>16290</v>
      </c>
      <c r="F19411" t="s">
        <v>16233</v>
      </c>
      <c r="G19411" t="s">
        <v>99</v>
      </c>
      <c r="H19411">
        <v>11901</v>
      </c>
      <c r="I19411" t="s">
        <v>30</v>
      </c>
      <c r="J19411" t="s">
        <v>171</v>
      </c>
      <c r="K19411" t="s">
        <v>1331</v>
      </c>
      <c r="N19411" t="s">
        <v>16291</v>
      </c>
      <c r="Q19411">
        <v>0</v>
      </c>
      <c r="R19411">
        <v>114</v>
      </c>
      <c r="S19411">
        <v>0</v>
      </c>
      <c r="T19411" t="s">
        <v>16292</v>
      </c>
    </row>
    <row r="19412" spans="1:20" customFormat="1" ht="15" x14ac:dyDescent="0.25">
      <c r="A19412" t="s">
        <v>24</v>
      </c>
      <c r="B19412" t="s">
        <v>16155</v>
      </c>
      <c r="C19412" t="str">
        <f>"A0058611"</f>
        <v>A0058611</v>
      </c>
      <c r="D19412" t="s">
        <v>16323</v>
      </c>
      <c r="E19412" t="s">
        <v>16324</v>
      </c>
      <c r="F19412" t="s">
        <v>16325</v>
      </c>
      <c r="G19412" t="s">
        <v>123</v>
      </c>
      <c r="H19412">
        <v>21090</v>
      </c>
      <c r="I19412" t="s">
        <v>30</v>
      </c>
      <c r="J19412" t="s">
        <v>171</v>
      </c>
      <c r="K19412" t="s">
        <v>1202</v>
      </c>
      <c r="N19412" t="s">
        <v>16326</v>
      </c>
      <c r="Q19412">
        <v>0</v>
      </c>
      <c r="R19412">
        <v>126</v>
      </c>
      <c r="S19412">
        <v>0</v>
      </c>
      <c r="T19412" t="s">
        <v>16327</v>
      </c>
    </row>
    <row r="19413" spans="1:20" customFormat="1" ht="15" x14ac:dyDescent="0.25">
      <c r="A19413" t="s">
        <v>24</v>
      </c>
      <c r="B19413" t="s">
        <v>16155</v>
      </c>
      <c r="C19413" t="str">
        <f>"SC055"</f>
        <v>SC055</v>
      </c>
      <c r="D19413" t="s">
        <v>16338</v>
      </c>
      <c r="E19413" t="s">
        <v>16339</v>
      </c>
      <c r="F19413" t="s">
        <v>1215</v>
      </c>
      <c r="G19413" t="s">
        <v>846</v>
      </c>
      <c r="H19413">
        <v>30067</v>
      </c>
      <c r="I19413" t="s">
        <v>30</v>
      </c>
      <c r="J19413" t="s">
        <v>171</v>
      </c>
      <c r="K19413" t="s">
        <v>13503</v>
      </c>
      <c r="N19413" t="s">
        <v>16340</v>
      </c>
      <c r="O19413" t="s">
        <v>16341</v>
      </c>
      <c r="Q19413">
        <v>0</v>
      </c>
      <c r="R19413">
        <v>139</v>
      </c>
      <c r="S19413">
        <v>0</v>
      </c>
      <c r="T19413" t="s">
        <v>16342</v>
      </c>
    </row>
    <row r="19414" spans="1:20" customFormat="1" ht="15" x14ac:dyDescent="0.25">
      <c r="A19414" t="s">
        <v>24</v>
      </c>
      <c r="B19414" t="s">
        <v>3159</v>
      </c>
      <c r="C19414" t="str">
        <f>"A0185580"</f>
        <v>A0185580</v>
      </c>
      <c r="D19414" t="s">
        <v>16429</v>
      </c>
      <c r="E19414" t="s">
        <v>16430</v>
      </c>
      <c r="F19414" t="s">
        <v>16431</v>
      </c>
      <c r="G19414" t="s">
        <v>846</v>
      </c>
      <c r="H19414">
        <v>31525</v>
      </c>
      <c r="I19414" t="s">
        <v>30</v>
      </c>
      <c r="J19414" t="s">
        <v>171</v>
      </c>
      <c r="K19414" t="s">
        <v>1331</v>
      </c>
      <c r="N19414" t="s">
        <v>16432</v>
      </c>
      <c r="Q19414">
        <v>0</v>
      </c>
      <c r="R19414">
        <v>175</v>
      </c>
      <c r="S19414">
        <v>0</v>
      </c>
      <c r="T19414" t="s">
        <v>16433</v>
      </c>
    </row>
    <row r="19415" spans="1:20" customFormat="1" ht="15" x14ac:dyDescent="0.25">
      <c r="A19415" t="s">
        <v>24</v>
      </c>
      <c r="B19415" t="s">
        <v>1323</v>
      </c>
      <c r="C19415" t="str">
        <f>"A0180094"</f>
        <v>A0180094</v>
      </c>
      <c r="D19415" t="s">
        <v>16440</v>
      </c>
      <c r="E19415" t="s">
        <v>16441</v>
      </c>
      <c r="F19415" t="s">
        <v>2051</v>
      </c>
      <c r="G19415" t="s">
        <v>846</v>
      </c>
      <c r="H19415">
        <v>30096</v>
      </c>
      <c r="I19415" t="s">
        <v>30</v>
      </c>
      <c r="J19415" t="s">
        <v>171</v>
      </c>
      <c r="K19415" t="s">
        <v>973</v>
      </c>
      <c r="N19415" t="s">
        <v>16442</v>
      </c>
      <c r="Q19415">
        <v>0</v>
      </c>
      <c r="R19415">
        <v>100</v>
      </c>
      <c r="S19415">
        <v>0</v>
      </c>
      <c r="T19415" t="s">
        <v>16443</v>
      </c>
    </row>
    <row r="19416" spans="1:20" customFormat="1" ht="15" x14ac:dyDescent="0.25">
      <c r="A19416" t="s">
        <v>24</v>
      </c>
      <c r="B19416" t="s">
        <v>61358</v>
      </c>
      <c r="C19416" t="str">
        <f>"A0076602"</f>
        <v>A0076602</v>
      </c>
      <c r="D19416" t="s">
        <v>8233</v>
      </c>
      <c r="E19416" t="s">
        <v>71864</v>
      </c>
      <c r="F19416" t="s">
        <v>4909</v>
      </c>
      <c r="G19416" t="s">
        <v>123</v>
      </c>
      <c r="H19416">
        <v>21045</v>
      </c>
      <c r="I19416" t="s">
        <v>30</v>
      </c>
      <c r="J19416" t="s">
        <v>145</v>
      </c>
      <c r="K19416" t="s">
        <v>1023</v>
      </c>
      <c r="N19416" t="s">
        <v>71865</v>
      </c>
      <c r="Q19416">
        <v>0</v>
      </c>
      <c r="R19416">
        <v>150</v>
      </c>
      <c r="S19416">
        <v>0</v>
      </c>
      <c r="T19416" t="s">
        <v>71866</v>
      </c>
    </row>
    <row r="19417" spans="1:20" customFormat="1" ht="15" x14ac:dyDescent="0.25">
      <c r="A19417" t="s">
        <v>24</v>
      </c>
      <c r="B19417" t="s">
        <v>1323</v>
      </c>
      <c r="C19417" t="str">
        <f>"A0162057"</f>
        <v>A0162057</v>
      </c>
      <c r="D19417" t="s">
        <v>16444</v>
      </c>
      <c r="E19417" t="s">
        <v>16445</v>
      </c>
      <c r="F19417" t="s">
        <v>16431</v>
      </c>
      <c r="G19417" t="s">
        <v>846</v>
      </c>
      <c r="H19417">
        <v>31525</v>
      </c>
      <c r="I19417" t="s">
        <v>30</v>
      </c>
      <c r="J19417" t="s">
        <v>171</v>
      </c>
      <c r="K19417" t="s">
        <v>1450</v>
      </c>
      <c r="N19417" t="s">
        <v>16446</v>
      </c>
      <c r="Q19417">
        <v>0</v>
      </c>
      <c r="R19417">
        <v>112</v>
      </c>
      <c r="S19417">
        <v>0</v>
      </c>
      <c r="T19417" t="s">
        <v>16447</v>
      </c>
    </row>
    <row r="19418" spans="1:20" customFormat="1" ht="15" x14ac:dyDescent="0.25">
      <c r="A19418" t="s">
        <v>24</v>
      </c>
      <c r="B19418" t="s">
        <v>16448</v>
      </c>
      <c r="C19418" t="str">
        <f>"A0185578"</f>
        <v>A0185578</v>
      </c>
      <c r="D19418" t="s">
        <v>16449</v>
      </c>
      <c r="E19418" t="s">
        <v>16450</v>
      </c>
      <c r="F19418" t="s">
        <v>16451</v>
      </c>
      <c r="G19418" t="s">
        <v>58</v>
      </c>
      <c r="H19418">
        <v>29169</v>
      </c>
      <c r="I19418" t="s">
        <v>30</v>
      </c>
      <c r="J19418" t="s">
        <v>171</v>
      </c>
      <c r="K19418" t="s">
        <v>1331</v>
      </c>
      <c r="N19418" t="s">
        <v>16452</v>
      </c>
      <c r="Q19418">
        <v>0</v>
      </c>
      <c r="R19418">
        <v>122</v>
      </c>
      <c r="S19418">
        <v>0</v>
      </c>
      <c r="T19418" t="s">
        <v>16453</v>
      </c>
    </row>
    <row r="19419" spans="1:20" customFormat="1" ht="15" x14ac:dyDescent="0.25">
      <c r="A19419" t="s">
        <v>24</v>
      </c>
      <c r="B19419" t="s">
        <v>16540</v>
      </c>
      <c r="C19419" t="str">
        <f>"A0185492"</f>
        <v>A0185492</v>
      </c>
      <c r="D19419" t="s">
        <v>16546</v>
      </c>
      <c r="E19419" t="s">
        <v>16547</v>
      </c>
      <c r="F19419" t="s">
        <v>16548</v>
      </c>
      <c r="G19419" t="s">
        <v>110</v>
      </c>
      <c r="H19419">
        <v>94954</v>
      </c>
      <c r="I19419" t="s">
        <v>30</v>
      </c>
      <c r="J19419" t="s">
        <v>171</v>
      </c>
      <c r="K19419" t="s">
        <v>315</v>
      </c>
      <c r="Q19419">
        <v>0</v>
      </c>
      <c r="R19419">
        <v>109</v>
      </c>
      <c r="S19419">
        <v>0</v>
      </c>
      <c r="T19419" t="s">
        <v>16549</v>
      </c>
    </row>
    <row r="19420" spans="1:20" customFormat="1" ht="15" x14ac:dyDescent="0.25">
      <c r="A19420" t="s">
        <v>24</v>
      </c>
      <c r="B19420" t="s">
        <v>16540</v>
      </c>
      <c r="C19420" t="str">
        <f>"A0185491"</f>
        <v>A0185491</v>
      </c>
      <c r="D19420" t="s">
        <v>16550</v>
      </c>
      <c r="E19420" t="s">
        <v>16551</v>
      </c>
      <c r="F19420" t="s">
        <v>16552</v>
      </c>
      <c r="G19420" t="s">
        <v>197</v>
      </c>
      <c r="H19420">
        <v>85621</v>
      </c>
      <c r="I19420" t="s">
        <v>30</v>
      </c>
      <c r="J19420" t="s">
        <v>171</v>
      </c>
      <c r="K19420" t="s">
        <v>315</v>
      </c>
      <c r="N19420" t="s">
        <v>16553</v>
      </c>
      <c r="Q19420">
        <v>0</v>
      </c>
      <c r="R19420">
        <v>97</v>
      </c>
      <c r="S19420">
        <v>0</v>
      </c>
      <c r="T19420" t="s">
        <v>16554</v>
      </c>
    </row>
    <row r="19421" spans="1:20" customFormat="1" ht="15" x14ac:dyDescent="0.25">
      <c r="A19421" t="s">
        <v>24</v>
      </c>
      <c r="B19421" t="s">
        <v>10054</v>
      </c>
      <c r="C19421" t="str">
        <f>"SF01282"</f>
        <v>SF01282</v>
      </c>
      <c r="D19421" t="s">
        <v>16555</v>
      </c>
      <c r="E19421" t="s">
        <v>16556</v>
      </c>
      <c r="F19421" t="s">
        <v>678</v>
      </c>
      <c r="G19421" t="s">
        <v>123</v>
      </c>
      <c r="H19421">
        <v>20815</v>
      </c>
      <c r="I19421" t="s">
        <v>30</v>
      </c>
      <c r="J19421" t="s">
        <v>171</v>
      </c>
      <c r="K19421" t="s">
        <v>973</v>
      </c>
      <c r="N19421" t="s">
        <v>16557</v>
      </c>
      <c r="Q19421">
        <v>0</v>
      </c>
      <c r="R19421">
        <v>226</v>
      </c>
      <c r="S19421">
        <v>0</v>
      </c>
      <c r="T19421" t="s">
        <v>16558</v>
      </c>
    </row>
    <row r="19422" spans="1:20" customFormat="1" ht="15" x14ac:dyDescent="0.25">
      <c r="A19422" t="s">
        <v>24</v>
      </c>
      <c r="B19422" t="s">
        <v>16648</v>
      </c>
      <c r="C19422" t="str">
        <f>"A0074466"</f>
        <v>A0074466</v>
      </c>
      <c r="D19422" t="s">
        <v>16649</v>
      </c>
      <c r="E19422" t="s">
        <v>16650</v>
      </c>
      <c r="F19422" t="s">
        <v>356</v>
      </c>
      <c r="G19422" t="s">
        <v>52</v>
      </c>
      <c r="H19422">
        <v>78230</v>
      </c>
      <c r="I19422" t="s">
        <v>30</v>
      </c>
      <c r="J19422" t="s">
        <v>171</v>
      </c>
      <c r="K19422" t="s">
        <v>1202</v>
      </c>
      <c r="N19422" t="s">
        <v>16651</v>
      </c>
      <c r="O19422" t="s">
        <v>16652</v>
      </c>
      <c r="Q19422">
        <v>0</v>
      </c>
      <c r="R19422">
        <v>128</v>
      </c>
      <c r="S19422">
        <v>0</v>
      </c>
      <c r="T19422" t="s">
        <v>16653</v>
      </c>
    </row>
    <row r="19423" spans="1:20" customFormat="1" ht="15" x14ac:dyDescent="0.25">
      <c r="A19423" t="s">
        <v>24</v>
      </c>
      <c r="B19423" t="s">
        <v>2340</v>
      </c>
      <c r="C19423" t="str">
        <f>"A0165862"</f>
        <v>A0165862</v>
      </c>
      <c r="D19423" t="s">
        <v>16740</v>
      </c>
      <c r="E19423" t="s">
        <v>16741</v>
      </c>
      <c r="F19423" t="s">
        <v>16742</v>
      </c>
      <c r="G19423" t="s">
        <v>81</v>
      </c>
      <c r="H19423">
        <v>33172</v>
      </c>
      <c r="I19423" t="s">
        <v>30</v>
      </c>
      <c r="J19423" t="s">
        <v>171</v>
      </c>
      <c r="K19423" t="s">
        <v>1450</v>
      </c>
      <c r="Q19423">
        <v>0</v>
      </c>
      <c r="R19423">
        <v>135</v>
      </c>
      <c r="S19423">
        <v>0</v>
      </c>
      <c r="T19423" t="s">
        <v>16743</v>
      </c>
    </row>
    <row r="19424" spans="1:20" customFormat="1" ht="15" x14ac:dyDescent="0.25">
      <c r="A19424" t="s">
        <v>24</v>
      </c>
      <c r="B19424" t="s">
        <v>32773</v>
      </c>
      <c r="C19424" t="str">
        <f>"A0180625"</f>
        <v>A0180625</v>
      </c>
      <c r="D19424" t="s">
        <v>32774</v>
      </c>
      <c r="E19424" t="s">
        <v>32775</v>
      </c>
      <c r="F19424" t="s">
        <v>2971</v>
      </c>
      <c r="G19424" t="s">
        <v>880</v>
      </c>
      <c r="H19424">
        <v>37214</v>
      </c>
      <c r="I19424" t="s">
        <v>30</v>
      </c>
      <c r="J19424" t="s">
        <v>171</v>
      </c>
      <c r="K19424" t="s">
        <v>3456</v>
      </c>
      <c r="N19424" t="s">
        <v>32776</v>
      </c>
      <c r="Q19424">
        <v>0</v>
      </c>
      <c r="R19424">
        <v>130</v>
      </c>
      <c r="S19424">
        <v>0</v>
      </c>
      <c r="T19424" t="s">
        <v>32777</v>
      </c>
    </row>
    <row r="19425" spans="1:20" customFormat="1" ht="15" x14ac:dyDescent="0.25">
      <c r="A19425" t="s">
        <v>24</v>
      </c>
      <c r="B19425" t="s">
        <v>1288</v>
      </c>
      <c r="C19425" t="str">
        <f>"651XM"</f>
        <v>651XM</v>
      </c>
      <c r="D19425" t="s">
        <v>32812</v>
      </c>
      <c r="E19425" t="s">
        <v>32813</v>
      </c>
      <c r="F19425" t="s">
        <v>1564</v>
      </c>
      <c r="G19425" t="s">
        <v>52</v>
      </c>
      <c r="H19425">
        <v>77092</v>
      </c>
      <c r="I19425" t="s">
        <v>30</v>
      </c>
      <c r="J19425" t="s">
        <v>171</v>
      </c>
      <c r="K19425" t="s">
        <v>973</v>
      </c>
      <c r="N19425" t="s">
        <v>32814</v>
      </c>
      <c r="O19425" t="s">
        <v>32815</v>
      </c>
      <c r="Q19425">
        <v>0</v>
      </c>
      <c r="R19425">
        <v>197</v>
      </c>
      <c r="S19425">
        <v>0</v>
      </c>
      <c r="T19425" t="s">
        <v>32816</v>
      </c>
    </row>
    <row r="19426" spans="1:20" customFormat="1" ht="15" x14ac:dyDescent="0.25">
      <c r="A19426" t="s">
        <v>24</v>
      </c>
      <c r="B19426" t="s">
        <v>675</v>
      </c>
      <c r="C19426" t="str">
        <f>"A0166491"</f>
        <v>A0166491</v>
      </c>
      <c r="D19426" t="s">
        <v>32834</v>
      </c>
      <c r="E19426" t="s">
        <v>32835</v>
      </c>
      <c r="F19426" t="s">
        <v>2564</v>
      </c>
      <c r="G19426" t="s">
        <v>81</v>
      </c>
      <c r="H19426">
        <v>32301</v>
      </c>
      <c r="I19426" t="s">
        <v>30</v>
      </c>
      <c r="J19426" t="s">
        <v>171</v>
      </c>
      <c r="K19426" t="s">
        <v>2077</v>
      </c>
      <c r="N19426" t="s">
        <v>32836</v>
      </c>
      <c r="Q19426">
        <v>0</v>
      </c>
      <c r="R19426">
        <v>140</v>
      </c>
      <c r="S19426">
        <v>0</v>
      </c>
      <c r="T19426" t="s">
        <v>32837</v>
      </c>
    </row>
    <row r="19427" spans="1:20" customFormat="1" ht="15" x14ac:dyDescent="0.25">
      <c r="A19427" t="s">
        <v>24</v>
      </c>
      <c r="B19427" t="s">
        <v>32877</v>
      </c>
      <c r="C19427" t="str">
        <f>"A0100771"</f>
        <v>A0100771</v>
      </c>
      <c r="D19427" t="s">
        <v>32878</v>
      </c>
      <c r="E19427" t="s">
        <v>32879</v>
      </c>
      <c r="F19427" t="s">
        <v>32880</v>
      </c>
      <c r="G19427" t="s">
        <v>110</v>
      </c>
      <c r="H19427">
        <v>94087</v>
      </c>
      <c r="I19427" t="s">
        <v>30</v>
      </c>
      <c r="J19427" t="s">
        <v>171</v>
      </c>
      <c r="K19427" t="s">
        <v>2077</v>
      </c>
      <c r="N19427" t="s">
        <v>32881</v>
      </c>
      <c r="Q19427">
        <v>0</v>
      </c>
      <c r="R19427">
        <v>183</v>
      </c>
      <c r="S19427">
        <v>0</v>
      </c>
      <c r="T19427" t="s">
        <v>32882</v>
      </c>
    </row>
    <row r="19428" spans="1:20" customFormat="1" ht="15" x14ac:dyDescent="0.25">
      <c r="A19428" t="s">
        <v>24</v>
      </c>
      <c r="B19428" t="s">
        <v>32883</v>
      </c>
      <c r="C19428" t="str">
        <f>"A0146924"</f>
        <v>A0146924</v>
      </c>
      <c r="D19428" t="s">
        <v>32884</v>
      </c>
      <c r="E19428" t="s">
        <v>32885</v>
      </c>
      <c r="F19428" t="s">
        <v>5123</v>
      </c>
      <c r="G19428" t="s">
        <v>110</v>
      </c>
      <c r="H19428">
        <v>95054</v>
      </c>
      <c r="I19428" t="s">
        <v>30</v>
      </c>
      <c r="J19428" t="s">
        <v>171</v>
      </c>
      <c r="K19428" t="s">
        <v>2077</v>
      </c>
      <c r="N19428" t="s">
        <v>32886</v>
      </c>
      <c r="O19428" t="s">
        <v>32887</v>
      </c>
      <c r="Q19428">
        <v>0</v>
      </c>
      <c r="R19428">
        <v>188</v>
      </c>
      <c r="S19428">
        <v>0</v>
      </c>
      <c r="T19428" t="s">
        <v>32888</v>
      </c>
    </row>
    <row r="19429" spans="1:20" customFormat="1" ht="15" x14ac:dyDescent="0.25">
      <c r="A19429" t="s">
        <v>24</v>
      </c>
      <c r="B19429" t="s">
        <v>32932</v>
      </c>
      <c r="C19429" t="str">
        <f>"A0154245"</f>
        <v>A0154245</v>
      </c>
      <c r="D19429" t="s">
        <v>32933</v>
      </c>
      <c r="E19429" t="s">
        <v>32934</v>
      </c>
      <c r="F19429" t="s">
        <v>32935</v>
      </c>
      <c r="G19429" t="s">
        <v>846</v>
      </c>
      <c r="H19429">
        <v>31522</v>
      </c>
      <c r="I19429" t="s">
        <v>30</v>
      </c>
      <c r="J19429" t="s">
        <v>171</v>
      </c>
      <c r="K19429" t="s">
        <v>163</v>
      </c>
      <c r="N19429" t="s">
        <v>32936</v>
      </c>
      <c r="O19429" t="s">
        <v>32937</v>
      </c>
      <c r="Q19429">
        <v>0</v>
      </c>
      <c r="R19429">
        <v>24</v>
      </c>
      <c r="S19429">
        <v>0</v>
      </c>
      <c r="T19429" t="s">
        <v>32938</v>
      </c>
    </row>
    <row r="19430" spans="1:20" customFormat="1" ht="15" x14ac:dyDescent="0.25">
      <c r="A19430" t="s">
        <v>24</v>
      </c>
      <c r="B19430" t="s">
        <v>5104</v>
      </c>
      <c r="C19430" t="str">
        <f>"A0096740"</f>
        <v>A0096740</v>
      </c>
      <c r="D19430" t="s">
        <v>32967</v>
      </c>
      <c r="E19430" t="s">
        <v>32968</v>
      </c>
      <c r="F19430" t="s">
        <v>997</v>
      </c>
      <c r="G19430" t="s">
        <v>99</v>
      </c>
      <c r="H19430">
        <v>10001</v>
      </c>
      <c r="I19430" t="s">
        <v>30</v>
      </c>
      <c r="J19430" t="s">
        <v>171</v>
      </c>
      <c r="K19430" t="s">
        <v>2925</v>
      </c>
      <c r="N19430" t="s">
        <v>32969</v>
      </c>
      <c r="Q19430">
        <v>0</v>
      </c>
      <c r="R19430">
        <v>348</v>
      </c>
      <c r="S19430">
        <v>0</v>
      </c>
      <c r="T19430" t="s">
        <v>32970</v>
      </c>
    </row>
    <row r="19431" spans="1:20" customFormat="1" ht="15" x14ac:dyDescent="0.25">
      <c r="A19431" t="s">
        <v>24</v>
      </c>
      <c r="B19431" t="s">
        <v>5104</v>
      </c>
      <c r="C19431" t="str">
        <f>"A0096739"</f>
        <v>A0096739</v>
      </c>
      <c r="D19431" t="s">
        <v>32971</v>
      </c>
      <c r="E19431" t="s">
        <v>32972</v>
      </c>
      <c r="F19431" t="s">
        <v>997</v>
      </c>
      <c r="G19431" t="s">
        <v>99</v>
      </c>
      <c r="H19431">
        <v>10003</v>
      </c>
      <c r="I19431" t="s">
        <v>30</v>
      </c>
      <c r="J19431" t="s">
        <v>171</v>
      </c>
      <c r="K19431" t="s">
        <v>2925</v>
      </c>
      <c r="N19431" t="s">
        <v>32973</v>
      </c>
      <c r="O19431" t="s">
        <v>32974</v>
      </c>
      <c r="Q19431">
        <v>0</v>
      </c>
      <c r="R19431">
        <v>286</v>
      </c>
      <c r="S19431">
        <v>0</v>
      </c>
      <c r="T19431" t="s">
        <v>32975</v>
      </c>
    </row>
    <row r="19432" spans="1:20" customFormat="1" ht="15" x14ac:dyDescent="0.25">
      <c r="A19432" t="s">
        <v>24</v>
      </c>
      <c r="B19432" t="s">
        <v>5104</v>
      </c>
      <c r="C19432" t="str">
        <f>"A0096743"</f>
        <v>A0096743</v>
      </c>
      <c r="D19432" t="s">
        <v>32976</v>
      </c>
      <c r="E19432" t="s">
        <v>32977</v>
      </c>
      <c r="F19432" t="s">
        <v>6458</v>
      </c>
      <c r="G19432" t="s">
        <v>99</v>
      </c>
      <c r="H19432">
        <v>10018</v>
      </c>
      <c r="I19432" t="s">
        <v>30</v>
      </c>
      <c r="J19432" t="s">
        <v>171</v>
      </c>
      <c r="K19432" t="s">
        <v>2925</v>
      </c>
      <c r="N19432" t="s">
        <v>32978</v>
      </c>
      <c r="Q19432">
        <v>0</v>
      </c>
      <c r="R19432">
        <v>614</v>
      </c>
      <c r="S19432">
        <v>0</v>
      </c>
      <c r="T19432" t="s">
        <v>32979</v>
      </c>
    </row>
    <row r="19433" spans="1:20" customFormat="1" ht="15" x14ac:dyDescent="0.25">
      <c r="A19433" t="s">
        <v>24</v>
      </c>
      <c r="B19433" t="s">
        <v>976</v>
      </c>
      <c r="C19433" t="str">
        <f>"A0088681"</f>
        <v>A0088681</v>
      </c>
      <c r="D19433" t="s">
        <v>33068</v>
      </c>
      <c r="E19433" t="s">
        <v>33069</v>
      </c>
      <c r="F19433" t="s">
        <v>33070</v>
      </c>
      <c r="G19433" t="s">
        <v>47</v>
      </c>
      <c r="H19433">
        <v>97035</v>
      </c>
      <c r="I19433" t="s">
        <v>30</v>
      </c>
      <c r="J19433" t="s">
        <v>171</v>
      </c>
      <c r="K19433" t="s">
        <v>1331</v>
      </c>
      <c r="N19433" t="s">
        <v>33071</v>
      </c>
      <c r="O19433" t="s">
        <v>33072</v>
      </c>
      <c r="Q19433">
        <v>0</v>
      </c>
      <c r="R19433">
        <v>179</v>
      </c>
      <c r="S19433">
        <v>0</v>
      </c>
      <c r="T19433" t="s">
        <v>33073</v>
      </c>
    </row>
    <row r="19434" spans="1:20" customFormat="1" ht="15" x14ac:dyDescent="0.25">
      <c r="A19434" t="s">
        <v>24</v>
      </c>
      <c r="B19434" t="s">
        <v>762</v>
      </c>
      <c r="C19434" t="str">
        <f>"A0180039"</f>
        <v>A0180039</v>
      </c>
      <c r="D19434" t="s">
        <v>33098</v>
      </c>
      <c r="E19434" t="s">
        <v>33099</v>
      </c>
      <c r="F19434" t="s">
        <v>1519</v>
      </c>
      <c r="G19434" t="s">
        <v>110</v>
      </c>
      <c r="H19434">
        <v>90025</v>
      </c>
      <c r="I19434" t="s">
        <v>30</v>
      </c>
      <c r="J19434" t="s">
        <v>171</v>
      </c>
      <c r="K19434" t="s">
        <v>1202</v>
      </c>
      <c r="N19434" t="s">
        <v>33100</v>
      </c>
      <c r="O19434" t="s">
        <v>33101</v>
      </c>
      <c r="Q19434">
        <v>0</v>
      </c>
      <c r="R19434">
        <v>272</v>
      </c>
      <c r="S19434">
        <v>0</v>
      </c>
      <c r="T19434" t="s">
        <v>33102</v>
      </c>
    </row>
    <row r="19435" spans="1:20" customFormat="1" ht="15" x14ac:dyDescent="0.25">
      <c r="A19435" t="s">
        <v>24</v>
      </c>
      <c r="B19435" t="s">
        <v>762</v>
      </c>
      <c r="C19435" t="str">
        <f>"A0180038"</f>
        <v>A0180038</v>
      </c>
      <c r="D19435" t="s">
        <v>33103</v>
      </c>
      <c r="E19435" t="s">
        <v>33099</v>
      </c>
      <c r="F19435" t="s">
        <v>1519</v>
      </c>
      <c r="G19435" t="s">
        <v>110</v>
      </c>
      <c r="H19435">
        <v>90025</v>
      </c>
      <c r="I19435" t="s">
        <v>30</v>
      </c>
      <c r="J19435" t="s">
        <v>171</v>
      </c>
      <c r="K19435" t="s">
        <v>2972</v>
      </c>
      <c r="N19435" t="s">
        <v>33100</v>
      </c>
      <c r="Q19435">
        <v>0</v>
      </c>
      <c r="R19435">
        <v>129</v>
      </c>
      <c r="S19435">
        <v>0</v>
      </c>
      <c r="T19435" t="s">
        <v>33102</v>
      </c>
    </row>
    <row r="19436" spans="1:20" customFormat="1" ht="15" x14ac:dyDescent="0.25">
      <c r="A19436" t="s">
        <v>24</v>
      </c>
      <c r="B19436" t="s">
        <v>33168</v>
      </c>
      <c r="C19436" t="str">
        <f>"A0180370"</f>
        <v>A0180370</v>
      </c>
      <c r="D19436" t="s">
        <v>33174</v>
      </c>
      <c r="E19436" t="s">
        <v>33175</v>
      </c>
      <c r="F19436" t="s">
        <v>13657</v>
      </c>
      <c r="G19436" t="s">
        <v>1587</v>
      </c>
      <c r="H19436">
        <v>88435</v>
      </c>
      <c r="I19436" t="s">
        <v>30</v>
      </c>
      <c r="J19436" t="s">
        <v>171</v>
      </c>
      <c r="K19436" t="s">
        <v>1259</v>
      </c>
      <c r="N19436" t="s">
        <v>33176</v>
      </c>
      <c r="Q19436">
        <v>0</v>
      </c>
      <c r="R19436">
        <v>44</v>
      </c>
      <c r="S19436">
        <v>0</v>
      </c>
      <c r="T19436" t="s">
        <v>33177</v>
      </c>
    </row>
    <row r="19437" spans="1:20" customFormat="1" ht="15" x14ac:dyDescent="0.25">
      <c r="A19437" t="s">
        <v>24</v>
      </c>
      <c r="B19437" t="s">
        <v>33168</v>
      </c>
      <c r="C19437" t="str">
        <f>"A0180367"</f>
        <v>A0180367</v>
      </c>
      <c r="D19437" t="s">
        <v>33178</v>
      </c>
      <c r="E19437" t="s">
        <v>33179</v>
      </c>
      <c r="F19437" t="s">
        <v>33180</v>
      </c>
      <c r="G19437" t="s">
        <v>52</v>
      </c>
      <c r="H19437">
        <v>79830</v>
      </c>
      <c r="I19437" t="s">
        <v>30</v>
      </c>
      <c r="J19437" t="s">
        <v>171</v>
      </c>
      <c r="K19437" t="s">
        <v>315</v>
      </c>
      <c r="N19437" t="s">
        <v>33181</v>
      </c>
      <c r="Q19437">
        <v>0</v>
      </c>
      <c r="R19437">
        <v>63</v>
      </c>
      <c r="S19437">
        <v>0</v>
      </c>
      <c r="T19437" t="s">
        <v>33182</v>
      </c>
    </row>
    <row r="19438" spans="1:20" customFormat="1" ht="15" x14ac:dyDescent="0.25">
      <c r="A19438" t="s">
        <v>24</v>
      </c>
      <c r="B19438" t="s">
        <v>33168</v>
      </c>
      <c r="C19438" t="str">
        <f>"A0180366"</f>
        <v>A0180366</v>
      </c>
      <c r="D19438" t="s">
        <v>33201</v>
      </c>
      <c r="E19438" t="s">
        <v>33202</v>
      </c>
      <c r="F19438" t="s">
        <v>33171</v>
      </c>
      <c r="G19438" t="s">
        <v>52</v>
      </c>
      <c r="H19438">
        <v>79735</v>
      </c>
      <c r="I19438" t="s">
        <v>30</v>
      </c>
      <c r="J19438" t="s">
        <v>171</v>
      </c>
      <c r="K19438" t="s">
        <v>315</v>
      </c>
      <c r="N19438" t="s">
        <v>33185</v>
      </c>
      <c r="Q19438">
        <v>0</v>
      </c>
      <c r="R19438">
        <v>44</v>
      </c>
      <c r="S19438">
        <v>0</v>
      </c>
      <c r="T19438" t="s">
        <v>33203</v>
      </c>
    </row>
    <row r="19439" spans="1:20" customFormat="1" ht="15" x14ac:dyDescent="0.25">
      <c r="A19439" t="s">
        <v>24</v>
      </c>
      <c r="B19439" t="s">
        <v>2248</v>
      </c>
      <c r="C19439" t="str">
        <f>"A0180530"</f>
        <v>A0180530</v>
      </c>
      <c r="D19439" t="s">
        <v>33204</v>
      </c>
      <c r="E19439" t="s">
        <v>33205</v>
      </c>
      <c r="F19439" t="s">
        <v>33206</v>
      </c>
      <c r="G19439" t="s">
        <v>197</v>
      </c>
      <c r="H19439">
        <v>86336</v>
      </c>
      <c r="I19439" t="s">
        <v>30</v>
      </c>
      <c r="J19439" t="s">
        <v>171</v>
      </c>
      <c r="K19439" t="s">
        <v>1259</v>
      </c>
      <c r="N19439" t="s">
        <v>33207</v>
      </c>
      <c r="Q19439">
        <v>0</v>
      </c>
      <c r="R19439">
        <v>66</v>
      </c>
      <c r="S19439">
        <v>0</v>
      </c>
      <c r="T19439" t="s">
        <v>33208</v>
      </c>
    </row>
    <row r="19440" spans="1:20" customFormat="1" ht="15" x14ac:dyDescent="0.25">
      <c r="A19440" t="s">
        <v>24</v>
      </c>
      <c r="B19440" t="s">
        <v>9391</v>
      </c>
      <c r="C19440" t="str">
        <f>"A0180531"</f>
        <v>A0180531</v>
      </c>
      <c r="D19440" t="s">
        <v>33209</v>
      </c>
      <c r="E19440" t="s">
        <v>33210</v>
      </c>
      <c r="F19440" t="s">
        <v>33094</v>
      </c>
      <c r="G19440" t="s">
        <v>190</v>
      </c>
      <c r="H19440">
        <v>80011</v>
      </c>
      <c r="I19440" t="s">
        <v>30</v>
      </c>
      <c r="J19440" t="s">
        <v>171</v>
      </c>
      <c r="K19440" t="s">
        <v>2972</v>
      </c>
      <c r="N19440" t="s">
        <v>33211</v>
      </c>
      <c r="O19440" t="s">
        <v>33212</v>
      </c>
      <c r="Q19440">
        <v>0</v>
      </c>
      <c r="R19440">
        <v>140</v>
      </c>
      <c r="S19440">
        <v>0</v>
      </c>
      <c r="T19440" t="s">
        <v>33213</v>
      </c>
    </row>
    <row r="19441" spans="1:20" customFormat="1" ht="15" x14ac:dyDescent="0.25">
      <c r="A19441" t="s">
        <v>24</v>
      </c>
      <c r="B19441" t="s">
        <v>13150</v>
      </c>
      <c r="C19441" t="str">
        <f>"A0180490"</f>
        <v>A0180490</v>
      </c>
      <c r="D19441" t="s">
        <v>33236</v>
      </c>
      <c r="E19441" t="s">
        <v>33237</v>
      </c>
      <c r="F19441" t="s">
        <v>13153</v>
      </c>
      <c r="G19441" t="s">
        <v>381</v>
      </c>
      <c r="H19441">
        <v>46360</v>
      </c>
      <c r="I19441" t="s">
        <v>30</v>
      </c>
      <c r="J19441" t="s">
        <v>171</v>
      </c>
      <c r="K19441" t="s">
        <v>315</v>
      </c>
      <c r="N19441" t="s">
        <v>13154</v>
      </c>
      <c r="Q19441">
        <v>0</v>
      </c>
      <c r="R19441">
        <v>50</v>
      </c>
      <c r="S19441">
        <v>0</v>
      </c>
      <c r="T19441" t="s">
        <v>33238</v>
      </c>
    </row>
    <row r="19442" spans="1:20" customFormat="1" ht="15" x14ac:dyDescent="0.25">
      <c r="A19442" t="s">
        <v>24</v>
      </c>
      <c r="B19442" t="s">
        <v>5435</v>
      </c>
      <c r="C19442" t="str">
        <f>"A0166791"</f>
        <v>A0166791</v>
      </c>
      <c r="D19442" t="s">
        <v>33359</v>
      </c>
      <c r="E19442" t="s">
        <v>33360</v>
      </c>
      <c r="F19442" t="s">
        <v>1003</v>
      </c>
      <c r="G19442" t="s">
        <v>81</v>
      </c>
      <c r="H19442">
        <v>33139</v>
      </c>
      <c r="I19442" t="s">
        <v>30</v>
      </c>
      <c r="J19442" t="s">
        <v>171</v>
      </c>
      <c r="K19442" t="s">
        <v>2925</v>
      </c>
      <c r="N19442" t="s">
        <v>33361</v>
      </c>
      <c r="Q19442">
        <v>0</v>
      </c>
      <c r="R19442">
        <v>202</v>
      </c>
      <c r="S19442">
        <v>0</v>
      </c>
      <c r="T19442" t="s">
        <v>33362</v>
      </c>
    </row>
    <row r="19443" spans="1:20" customFormat="1" ht="15" x14ac:dyDescent="0.25">
      <c r="A19443" t="s">
        <v>24</v>
      </c>
      <c r="B19443" t="s">
        <v>33369</v>
      </c>
      <c r="C19443" t="str">
        <f>"A0166390"</f>
        <v>A0166390</v>
      </c>
      <c r="D19443" t="s">
        <v>33370</v>
      </c>
      <c r="E19443" t="s">
        <v>33371</v>
      </c>
      <c r="F19443" t="s">
        <v>356</v>
      </c>
      <c r="G19443" t="s">
        <v>52</v>
      </c>
      <c r="H19443">
        <v>78205</v>
      </c>
      <c r="I19443" t="s">
        <v>30</v>
      </c>
      <c r="J19443" t="s">
        <v>171</v>
      </c>
      <c r="K19443" t="s">
        <v>2077</v>
      </c>
      <c r="N19443" t="s">
        <v>33372</v>
      </c>
      <c r="O19443" t="s">
        <v>33373</v>
      </c>
      <c r="Q19443">
        <v>0</v>
      </c>
      <c r="R19443">
        <v>181</v>
      </c>
      <c r="S19443">
        <v>0</v>
      </c>
      <c r="T19443" t="s">
        <v>33374</v>
      </c>
    </row>
    <row r="19444" spans="1:20" customFormat="1" ht="15" x14ac:dyDescent="0.25">
      <c r="A19444" t="s">
        <v>24</v>
      </c>
      <c r="B19444" t="s">
        <v>33375</v>
      </c>
      <c r="C19444" t="str">
        <f>"A0166497"</f>
        <v>A0166497</v>
      </c>
      <c r="D19444" t="s">
        <v>33376</v>
      </c>
      <c r="E19444" t="s">
        <v>33377</v>
      </c>
      <c r="F19444" t="s">
        <v>9244</v>
      </c>
      <c r="G19444" t="s">
        <v>925</v>
      </c>
      <c r="H19444">
        <v>66061</v>
      </c>
      <c r="I19444" t="s">
        <v>30</v>
      </c>
      <c r="J19444" t="s">
        <v>171</v>
      </c>
      <c r="K19444" t="s">
        <v>653</v>
      </c>
      <c r="N19444" t="s">
        <v>33378</v>
      </c>
      <c r="Q19444">
        <v>0</v>
      </c>
      <c r="R19444">
        <v>96</v>
      </c>
      <c r="S19444">
        <v>0</v>
      </c>
      <c r="T19444" t="s">
        <v>33379</v>
      </c>
    </row>
    <row r="19445" spans="1:20" customFormat="1" ht="15" x14ac:dyDescent="0.25">
      <c r="A19445" t="s">
        <v>24</v>
      </c>
      <c r="B19445" t="s">
        <v>4410</v>
      </c>
      <c r="C19445" t="str">
        <f>"A0089212"</f>
        <v>A0089212</v>
      </c>
      <c r="D19445" t="s">
        <v>33656</v>
      </c>
      <c r="E19445" t="s">
        <v>33657</v>
      </c>
      <c r="F19445" t="s">
        <v>5597</v>
      </c>
      <c r="G19445" t="s">
        <v>190</v>
      </c>
      <c r="H19445">
        <v>80021</v>
      </c>
      <c r="I19445" t="s">
        <v>30</v>
      </c>
      <c r="J19445" t="s">
        <v>171</v>
      </c>
      <c r="K19445" t="s">
        <v>1450</v>
      </c>
      <c r="N19445" t="s">
        <v>33658</v>
      </c>
      <c r="O19445" t="s">
        <v>33659</v>
      </c>
      <c r="Q19445">
        <v>0</v>
      </c>
      <c r="R19445">
        <v>122</v>
      </c>
      <c r="S19445">
        <v>0</v>
      </c>
      <c r="T19445" t="s">
        <v>33660</v>
      </c>
    </row>
    <row r="19446" spans="1:20" customFormat="1" ht="15" x14ac:dyDescent="0.25">
      <c r="A19446" t="s">
        <v>24</v>
      </c>
      <c r="B19446" t="s">
        <v>1317</v>
      </c>
      <c r="C19446" t="str">
        <f>"A0180314"</f>
        <v>A0180314</v>
      </c>
      <c r="D19446" t="s">
        <v>33661</v>
      </c>
      <c r="E19446" t="s">
        <v>33662</v>
      </c>
      <c r="F19446" t="s">
        <v>33663</v>
      </c>
      <c r="G19446" t="s">
        <v>110</v>
      </c>
      <c r="H19446">
        <v>90068</v>
      </c>
      <c r="I19446" t="s">
        <v>30</v>
      </c>
      <c r="J19446" t="s">
        <v>171</v>
      </c>
      <c r="K19446" t="s">
        <v>163</v>
      </c>
      <c r="Q19446">
        <v>0</v>
      </c>
      <c r="R19446">
        <v>62</v>
      </c>
      <c r="S19446">
        <v>0</v>
      </c>
      <c r="T19446" t="s">
        <v>33664</v>
      </c>
    </row>
    <row r="19447" spans="1:20" customFormat="1" ht="15" x14ac:dyDescent="0.25">
      <c r="A19447" t="s">
        <v>24</v>
      </c>
      <c r="B19447" t="s">
        <v>33681</v>
      </c>
      <c r="C19447" t="str">
        <f>"A0180268"</f>
        <v>A0180268</v>
      </c>
      <c r="D19447" t="s">
        <v>33682</v>
      </c>
      <c r="E19447" t="s">
        <v>33683</v>
      </c>
      <c r="F19447" t="s">
        <v>12806</v>
      </c>
      <c r="G19447" t="s">
        <v>880</v>
      </c>
      <c r="H19447">
        <v>37129</v>
      </c>
      <c r="I19447" t="s">
        <v>30</v>
      </c>
      <c r="J19447" t="s">
        <v>171</v>
      </c>
      <c r="K19447" t="s">
        <v>1202</v>
      </c>
      <c r="N19447" t="s">
        <v>33684</v>
      </c>
      <c r="Q19447">
        <v>0</v>
      </c>
      <c r="R19447">
        <v>116</v>
      </c>
      <c r="S19447">
        <v>0</v>
      </c>
      <c r="T19447" t="s">
        <v>33685</v>
      </c>
    </row>
    <row r="19448" spans="1:20" customFormat="1" ht="15" x14ac:dyDescent="0.25">
      <c r="A19448" t="s">
        <v>24</v>
      </c>
      <c r="B19448" t="s">
        <v>16658</v>
      </c>
      <c r="C19448" t="str">
        <f>"A0098235"</f>
        <v>A0098235</v>
      </c>
      <c r="D19448" t="s">
        <v>33719</v>
      </c>
      <c r="E19448" t="s">
        <v>33720</v>
      </c>
      <c r="F19448" t="s">
        <v>14951</v>
      </c>
      <c r="G19448" t="s">
        <v>1184</v>
      </c>
      <c r="H19448">
        <v>59102</v>
      </c>
      <c r="I19448" t="s">
        <v>30</v>
      </c>
      <c r="J19448" t="s">
        <v>171</v>
      </c>
      <c r="K19448" t="s">
        <v>1331</v>
      </c>
      <c r="N19448" t="s">
        <v>33721</v>
      </c>
      <c r="Q19448">
        <v>0</v>
      </c>
      <c r="R19448">
        <v>128</v>
      </c>
      <c r="S19448">
        <v>0</v>
      </c>
      <c r="T19448" t="s">
        <v>33722</v>
      </c>
    </row>
    <row r="19449" spans="1:20" customFormat="1" ht="15" x14ac:dyDescent="0.25">
      <c r="A19449" t="s">
        <v>24</v>
      </c>
      <c r="B19449" t="s">
        <v>16658</v>
      </c>
      <c r="C19449" t="str">
        <f>"A0098234"</f>
        <v>A0098234</v>
      </c>
      <c r="D19449" t="s">
        <v>33723</v>
      </c>
      <c r="E19449" t="s">
        <v>33724</v>
      </c>
      <c r="F19449" t="s">
        <v>33725</v>
      </c>
      <c r="G19449" t="s">
        <v>1184</v>
      </c>
      <c r="H19449">
        <v>59715</v>
      </c>
      <c r="I19449" t="s">
        <v>30</v>
      </c>
      <c r="J19449" t="s">
        <v>171</v>
      </c>
      <c r="K19449" t="s">
        <v>1331</v>
      </c>
      <c r="N19449" t="s">
        <v>33726</v>
      </c>
      <c r="Q19449">
        <v>0</v>
      </c>
      <c r="R19449">
        <v>123</v>
      </c>
      <c r="S19449">
        <v>0</v>
      </c>
      <c r="T19449" t="s">
        <v>33727</v>
      </c>
    </row>
    <row r="19450" spans="1:20" customFormat="1" ht="15" x14ac:dyDescent="0.25">
      <c r="A19450" t="s">
        <v>24</v>
      </c>
      <c r="B19450" t="s">
        <v>2812</v>
      </c>
      <c r="C19450" t="str">
        <f>"A0179936"</f>
        <v>A0179936</v>
      </c>
      <c r="D19450" t="s">
        <v>33736</v>
      </c>
      <c r="E19450" t="s">
        <v>33737</v>
      </c>
      <c r="F19450" t="s">
        <v>8935</v>
      </c>
      <c r="G19450" t="s">
        <v>214</v>
      </c>
      <c r="H19450">
        <v>27705</v>
      </c>
      <c r="I19450" t="s">
        <v>30</v>
      </c>
      <c r="J19450" t="s">
        <v>171</v>
      </c>
      <c r="K19450" t="s">
        <v>2077</v>
      </c>
      <c r="N19450" t="s">
        <v>33738</v>
      </c>
      <c r="O19450" t="s">
        <v>33739</v>
      </c>
      <c r="Q19450">
        <v>0</v>
      </c>
      <c r="R19450">
        <v>143</v>
      </c>
      <c r="S19450">
        <v>0</v>
      </c>
      <c r="T19450" t="s">
        <v>33740</v>
      </c>
    </row>
    <row r="19451" spans="1:20" customFormat="1" ht="15" x14ac:dyDescent="0.25">
      <c r="A19451" t="s">
        <v>24</v>
      </c>
      <c r="B19451" t="s">
        <v>11378</v>
      </c>
      <c r="C19451" t="str">
        <f>"A0165582"</f>
        <v>A0165582</v>
      </c>
      <c r="D19451" t="s">
        <v>33741</v>
      </c>
      <c r="E19451" t="s">
        <v>33742</v>
      </c>
      <c r="F19451" t="s">
        <v>2178</v>
      </c>
      <c r="G19451" t="s">
        <v>846</v>
      </c>
      <c r="H19451">
        <v>30041</v>
      </c>
      <c r="I19451" t="s">
        <v>30</v>
      </c>
      <c r="J19451" t="s">
        <v>171</v>
      </c>
      <c r="K19451" t="s">
        <v>308</v>
      </c>
      <c r="N19451" t="s">
        <v>33743</v>
      </c>
      <c r="Q19451">
        <v>0</v>
      </c>
      <c r="R19451">
        <v>0</v>
      </c>
      <c r="S19451">
        <v>0</v>
      </c>
      <c r="T19451" t="s">
        <v>11383</v>
      </c>
    </row>
    <row r="19452" spans="1:20" customFormat="1" ht="15" x14ac:dyDescent="0.25">
      <c r="A19452" t="s">
        <v>24</v>
      </c>
      <c r="B19452" t="s">
        <v>257</v>
      </c>
      <c r="C19452" t="str">
        <f>"A0162103"</f>
        <v>A0162103</v>
      </c>
      <c r="D19452" t="s">
        <v>33748</v>
      </c>
      <c r="E19452" t="s">
        <v>33749</v>
      </c>
      <c r="F19452" t="s">
        <v>372</v>
      </c>
      <c r="G19452" t="s">
        <v>52</v>
      </c>
      <c r="H19452">
        <v>78735</v>
      </c>
      <c r="I19452" t="s">
        <v>30</v>
      </c>
      <c r="J19452" t="s">
        <v>171</v>
      </c>
      <c r="K19452" t="s">
        <v>2077</v>
      </c>
      <c r="N19452" t="s">
        <v>33750</v>
      </c>
      <c r="O19452" t="s">
        <v>33751</v>
      </c>
      <c r="Q19452">
        <v>0</v>
      </c>
      <c r="R19452">
        <v>150</v>
      </c>
      <c r="S19452">
        <v>0</v>
      </c>
      <c r="T19452" t="s">
        <v>33752</v>
      </c>
    </row>
    <row r="19453" spans="1:20" customFormat="1" ht="15" x14ac:dyDescent="0.25">
      <c r="A19453" t="s">
        <v>24</v>
      </c>
      <c r="B19453" t="s">
        <v>11027</v>
      </c>
      <c r="C19453" t="str">
        <f>"A0098777"</f>
        <v>A0098777</v>
      </c>
      <c r="D19453" t="s">
        <v>72008</v>
      </c>
      <c r="E19453" t="s">
        <v>72009</v>
      </c>
      <c r="F19453" t="s">
        <v>3560</v>
      </c>
      <c r="G19453" t="s">
        <v>846</v>
      </c>
      <c r="H19453">
        <v>31210</v>
      </c>
      <c r="I19453" t="s">
        <v>30</v>
      </c>
      <c r="J19453" t="s">
        <v>145</v>
      </c>
      <c r="K19453" t="s">
        <v>72010</v>
      </c>
      <c r="N19453" t="s">
        <v>72011</v>
      </c>
      <c r="Q19453">
        <v>0</v>
      </c>
      <c r="R19453">
        <v>99</v>
      </c>
      <c r="S19453">
        <v>0</v>
      </c>
      <c r="T19453" t="s">
        <v>72012</v>
      </c>
    </row>
    <row r="19454" spans="1:20" customFormat="1" ht="15" x14ac:dyDescent="0.25">
      <c r="A19454" t="s">
        <v>24</v>
      </c>
      <c r="B19454" t="s">
        <v>1561</v>
      </c>
      <c r="C19454" t="str">
        <f>"A0180265"</f>
        <v>A0180265</v>
      </c>
      <c r="D19454" t="s">
        <v>33753</v>
      </c>
      <c r="E19454" t="s">
        <v>33754</v>
      </c>
      <c r="F19454" t="s">
        <v>6404</v>
      </c>
      <c r="G19454" t="s">
        <v>161</v>
      </c>
      <c r="H19454">
        <v>55414</v>
      </c>
      <c r="I19454" t="s">
        <v>30</v>
      </c>
      <c r="J19454" t="s">
        <v>171</v>
      </c>
      <c r="K19454" t="s">
        <v>1331</v>
      </c>
      <c r="N19454" t="s">
        <v>33755</v>
      </c>
      <c r="Q19454">
        <v>0</v>
      </c>
      <c r="R19454">
        <v>141</v>
      </c>
      <c r="S19454">
        <v>0</v>
      </c>
      <c r="T19454" t="s">
        <v>33756</v>
      </c>
    </row>
    <row r="19455" spans="1:20" customFormat="1" ht="15" x14ac:dyDescent="0.25">
      <c r="A19455" t="s">
        <v>24</v>
      </c>
      <c r="B19455" t="s">
        <v>1288</v>
      </c>
      <c r="C19455" t="str">
        <f>"A0068110"</f>
        <v>A0068110</v>
      </c>
      <c r="D19455" t="s">
        <v>33757</v>
      </c>
      <c r="E19455" t="s">
        <v>33758</v>
      </c>
      <c r="F19455" t="s">
        <v>8362</v>
      </c>
      <c r="G19455" t="s">
        <v>925</v>
      </c>
      <c r="H19455">
        <v>66217</v>
      </c>
      <c r="I19455" t="s">
        <v>30</v>
      </c>
      <c r="J19455" t="s">
        <v>171</v>
      </c>
      <c r="K19455" t="s">
        <v>973</v>
      </c>
      <c r="N19455" t="s">
        <v>1860</v>
      </c>
      <c r="Q19455">
        <v>0</v>
      </c>
      <c r="R19455">
        <v>90</v>
      </c>
      <c r="S19455">
        <v>0</v>
      </c>
      <c r="T19455" t="s">
        <v>33759</v>
      </c>
    </row>
    <row r="19456" spans="1:20" customFormat="1" ht="15" x14ac:dyDescent="0.25">
      <c r="A19456" t="s">
        <v>24</v>
      </c>
      <c r="B19456" t="s">
        <v>1528</v>
      </c>
      <c r="C19456" t="str">
        <f>"A0180330"</f>
        <v>A0180330</v>
      </c>
      <c r="D19456" t="s">
        <v>33846</v>
      </c>
      <c r="E19456" t="s">
        <v>33847</v>
      </c>
      <c r="F19456" t="s">
        <v>33842</v>
      </c>
      <c r="G19456" t="s">
        <v>76</v>
      </c>
      <c r="H19456">
        <v>98926</v>
      </c>
      <c r="I19456" t="s">
        <v>30</v>
      </c>
      <c r="J19456" t="s">
        <v>171</v>
      </c>
      <c r="K19456" t="s">
        <v>163</v>
      </c>
      <c r="N19456" t="s">
        <v>33844</v>
      </c>
      <c r="Q19456">
        <v>0</v>
      </c>
      <c r="R19456">
        <v>59</v>
      </c>
      <c r="S19456">
        <v>0</v>
      </c>
      <c r="T19456" t="s">
        <v>33848</v>
      </c>
    </row>
    <row r="19457" spans="1:20" customFormat="1" ht="15" x14ac:dyDescent="0.25">
      <c r="A19457" t="s">
        <v>24</v>
      </c>
      <c r="B19457" t="s">
        <v>210</v>
      </c>
      <c r="C19457" t="str">
        <f>"A0180247"</f>
        <v>A0180247</v>
      </c>
      <c r="D19457" t="s">
        <v>33867</v>
      </c>
      <c r="E19457" t="s">
        <v>33868</v>
      </c>
      <c r="F19457" t="s">
        <v>213</v>
      </c>
      <c r="G19457" t="s">
        <v>214</v>
      </c>
      <c r="H19457">
        <v>28786</v>
      </c>
      <c r="I19457" t="s">
        <v>30</v>
      </c>
      <c r="J19457" t="s">
        <v>171</v>
      </c>
      <c r="K19457" t="s">
        <v>1259</v>
      </c>
      <c r="N19457" t="s">
        <v>13026</v>
      </c>
      <c r="Q19457">
        <v>0</v>
      </c>
      <c r="R19457">
        <v>57</v>
      </c>
      <c r="S19457">
        <v>0</v>
      </c>
      <c r="T19457" t="s">
        <v>13027</v>
      </c>
    </row>
    <row r="19458" spans="1:20" customFormat="1" ht="15" x14ac:dyDescent="0.25">
      <c r="A19458" t="s">
        <v>24</v>
      </c>
      <c r="B19458" t="s">
        <v>193</v>
      </c>
      <c r="C19458" t="str">
        <f>"A0158616"</f>
        <v>A0158616</v>
      </c>
      <c r="D19458" t="s">
        <v>33897</v>
      </c>
      <c r="E19458" t="s">
        <v>33898</v>
      </c>
      <c r="F19458" t="s">
        <v>1858</v>
      </c>
      <c r="G19458" t="s">
        <v>190</v>
      </c>
      <c r="H19458">
        <v>80907</v>
      </c>
      <c r="I19458" t="s">
        <v>30</v>
      </c>
      <c r="J19458" t="s">
        <v>171</v>
      </c>
      <c r="K19458" t="s">
        <v>315</v>
      </c>
      <c r="N19458" t="s">
        <v>33899</v>
      </c>
      <c r="Q19458">
        <v>0</v>
      </c>
      <c r="R19458">
        <v>124</v>
      </c>
      <c r="S19458">
        <v>0</v>
      </c>
      <c r="T19458" t="s">
        <v>33900</v>
      </c>
    </row>
    <row r="19459" spans="1:20" customFormat="1" ht="15" x14ac:dyDescent="0.25">
      <c r="A19459" t="s">
        <v>24</v>
      </c>
      <c r="B19459" t="s">
        <v>13679</v>
      </c>
      <c r="C19459" t="str">
        <f>"A0066157"</f>
        <v>A0066157</v>
      </c>
      <c r="D19459" t="s">
        <v>72029</v>
      </c>
      <c r="E19459" t="s">
        <v>72033</v>
      </c>
      <c r="F19459" t="s">
        <v>1889</v>
      </c>
      <c r="G19459" t="s">
        <v>81</v>
      </c>
      <c r="H19459">
        <v>33126</v>
      </c>
      <c r="I19459" t="s">
        <v>30</v>
      </c>
      <c r="J19459" t="s">
        <v>31</v>
      </c>
      <c r="K19459" t="s">
        <v>1023</v>
      </c>
      <c r="N19459" t="s">
        <v>72034</v>
      </c>
      <c r="O19459" t="s">
        <v>72035</v>
      </c>
      <c r="Q19459">
        <v>0</v>
      </c>
      <c r="R19459">
        <v>159</v>
      </c>
      <c r="S19459">
        <v>0</v>
      </c>
      <c r="T19459" t="s">
        <v>72036</v>
      </c>
    </row>
    <row r="19460" spans="1:20" customFormat="1" ht="15" x14ac:dyDescent="0.25">
      <c r="A19460" t="s">
        <v>24</v>
      </c>
      <c r="B19460" t="s">
        <v>1288</v>
      </c>
      <c r="C19460" t="str">
        <f>"A0059853"</f>
        <v>A0059853</v>
      </c>
      <c r="D19460" t="s">
        <v>33964</v>
      </c>
      <c r="E19460" t="s">
        <v>33965</v>
      </c>
      <c r="F19460" t="s">
        <v>10100</v>
      </c>
      <c r="G19460" t="s">
        <v>214</v>
      </c>
      <c r="H19460">
        <v>27612</v>
      </c>
      <c r="I19460" t="s">
        <v>30</v>
      </c>
      <c r="J19460" t="s">
        <v>171</v>
      </c>
      <c r="K19460" t="s">
        <v>1023</v>
      </c>
      <c r="N19460" t="s">
        <v>33966</v>
      </c>
      <c r="O19460" t="s">
        <v>33967</v>
      </c>
      <c r="Q19460">
        <v>0</v>
      </c>
      <c r="R19460">
        <v>137</v>
      </c>
      <c r="S19460">
        <v>0</v>
      </c>
      <c r="T19460" t="s">
        <v>33968</v>
      </c>
    </row>
    <row r="19461" spans="1:20" customFormat="1" ht="15" x14ac:dyDescent="0.25">
      <c r="A19461" t="s">
        <v>24</v>
      </c>
      <c r="B19461" t="s">
        <v>1288</v>
      </c>
      <c r="C19461" t="str">
        <f>"A0056808"</f>
        <v>A0056808</v>
      </c>
      <c r="D19461" t="s">
        <v>33969</v>
      </c>
      <c r="E19461" t="s">
        <v>33970</v>
      </c>
      <c r="F19461" t="s">
        <v>196</v>
      </c>
      <c r="G19461" t="s">
        <v>197</v>
      </c>
      <c r="H19461">
        <v>85021</v>
      </c>
      <c r="I19461" t="s">
        <v>30</v>
      </c>
      <c r="J19461" t="s">
        <v>171</v>
      </c>
      <c r="K19461" t="s">
        <v>1023</v>
      </c>
      <c r="N19461" t="s">
        <v>33971</v>
      </c>
      <c r="O19461" t="s">
        <v>33972</v>
      </c>
      <c r="Q19461">
        <v>0</v>
      </c>
      <c r="R19461">
        <v>126</v>
      </c>
      <c r="S19461">
        <v>0</v>
      </c>
      <c r="T19461" t="s">
        <v>33973</v>
      </c>
    </row>
    <row r="19462" spans="1:20" customFormat="1" ht="15" x14ac:dyDescent="0.25">
      <c r="A19462" t="s">
        <v>24</v>
      </c>
      <c r="B19462" t="s">
        <v>1288</v>
      </c>
      <c r="C19462" t="str">
        <f>"A0067681"</f>
        <v>A0067681</v>
      </c>
      <c r="D19462" t="s">
        <v>33979</v>
      </c>
      <c r="E19462" t="s">
        <v>33980</v>
      </c>
      <c r="F19462" t="s">
        <v>356</v>
      </c>
      <c r="G19462" t="s">
        <v>52</v>
      </c>
      <c r="H19462">
        <v>78216</v>
      </c>
      <c r="I19462" t="s">
        <v>30</v>
      </c>
      <c r="J19462" t="s">
        <v>171</v>
      </c>
      <c r="K19462" t="s">
        <v>1331</v>
      </c>
      <c r="N19462" t="s">
        <v>33981</v>
      </c>
      <c r="O19462" t="s">
        <v>33982</v>
      </c>
      <c r="Q19462">
        <v>0</v>
      </c>
      <c r="R19462">
        <v>117</v>
      </c>
      <c r="S19462">
        <v>0</v>
      </c>
      <c r="T19462" t="s">
        <v>33983</v>
      </c>
    </row>
    <row r="19463" spans="1:20" customFormat="1" ht="15" x14ac:dyDescent="0.25">
      <c r="A19463" t="s">
        <v>24</v>
      </c>
      <c r="B19463" t="s">
        <v>1288</v>
      </c>
      <c r="C19463" t="str">
        <f>"A0059829"</f>
        <v>A0059829</v>
      </c>
      <c r="D19463" t="s">
        <v>33993</v>
      </c>
      <c r="E19463" t="s">
        <v>33994</v>
      </c>
      <c r="F19463" t="s">
        <v>1564</v>
      </c>
      <c r="G19463" t="s">
        <v>52</v>
      </c>
      <c r="H19463">
        <v>77058</v>
      </c>
      <c r="I19463" t="s">
        <v>30</v>
      </c>
      <c r="J19463" t="s">
        <v>171</v>
      </c>
      <c r="K19463" t="s">
        <v>1023</v>
      </c>
      <c r="N19463" t="s">
        <v>32814</v>
      </c>
      <c r="O19463" t="s">
        <v>33995</v>
      </c>
      <c r="Q19463">
        <v>0</v>
      </c>
      <c r="R19463">
        <v>92</v>
      </c>
      <c r="S19463">
        <v>0</v>
      </c>
      <c r="T19463" t="s">
        <v>33996</v>
      </c>
    </row>
    <row r="19464" spans="1:20" customFormat="1" ht="15" x14ac:dyDescent="0.25">
      <c r="A19464" t="s">
        <v>24</v>
      </c>
      <c r="B19464" t="s">
        <v>1288</v>
      </c>
      <c r="C19464" t="str">
        <f>"A0056827"</f>
        <v>A0056827</v>
      </c>
      <c r="D19464" t="s">
        <v>34002</v>
      </c>
      <c r="E19464" t="s">
        <v>34003</v>
      </c>
      <c r="F19464" t="s">
        <v>1883</v>
      </c>
      <c r="G19464" t="s">
        <v>846</v>
      </c>
      <c r="H19464">
        <v>30005</v>
      </c>
      <c r="I19464" t="s">
        <v>30</v>
      </c>
      <c r="J19464" t="s">
        <v>171</v>
      </c>
      <c r="K19464" t="s">
        <v>1331</v>
      </c>
      <c r="N19464" t="s">
        <v>34004</v>
      </c>
      <c r="O19464" t="s">
        <v>34005</v>
      </c>
      <c r="Q19464">
        <v>0</v>
      </c>
      <c r="R19464">
        <v>164</v>
      </c>
      <c r="S19464">
        <v>0</v>
      </c>
      <c r="T19464" t="s">
        <v>34006</v>
      </c>
    </row>
    <row r="19465" spans="1:20" customFormat="1" ht="15" x14ac:dyDescent="0.25">
      <c r="A19465" t="s">
        <v>24</v>
      </c>
      <c r="B19465" t="s">
        <v>1288</v>
      </c>
      <c r="C19465" t="str">
        <f>"311TZ"</f>
        <v>311TZ</v>
      </c>
      <c r="D19465" t="s">
        <v>34020</v>
      </c>
      <c r="E19465" t="s">
        <v>34021</v>
      </c>
      <c r="F19465" t="s">
        <v>34022</v>
      </c>
      <c r="G19465" t="s">
        <v>289</v>
      </c>
      <c r="H19465">
        <v>60174</v>
      </c>
      <c r="I19465" t="s">
        <v>30</v>
      </c>
      <c r="J19465" t="s">
        <v>171</v>
      </c>
      <c r="K19465" t="s">
        <v>973</v>
      </c>
      <c r="N19465" t="s">
        <v>34023</v>
      </c>
      <c r="Q19465">
        <v>0</v>
      </c>
      <c r="R19465">
        <v>119</v>
      </c>
      <c r="S19465">
        <v>0</v>
      </c>
      <c r="T19465" t="s">
        <v>34024</v>
      </c>
    </row>
    <row r="19466" spans="1:20" customFormat="1" ht="15" x14ac:dyDescent="0.25">
      <c r="A19466" t="s">
        <v>24</v>
      </c>
      <c r="B19466" t="s">
        <v>34039</v>
      </c>
      <c r="C19466" t="str">
        <f>"A0166924"</f>
        <v>A0166924</v>
      </c>
      <c r="D19466" t="s">
        <v>34040</v>
      </c>
      <c r="E19466" t="s">
        <v>34041</v>
      </c>
      <c r="F19466" t="s">
        <v>34042</v>
      </c>
      <c r="G19466" t="s">
        <v>1706</v>
      </c>
      <c r="H19466">
        <v>35401</v>
      </c>
      <c r="I19466" t="s">
        <v>30</v>
      </c>
      <c r="J19466" t="s">
        <v>171</v>
      </c>
      <c r="K19466" t="s">
        <v>2077</v>
      </c>
      <c r="N19466" t="s">
        <v>34043</v>
      </c>
      <c r="Q19466">
        <v>0</v>
      </c>
      <c r="R19466">
        <v>120</v>
      </c>
      <c r="S19466">
        <v>0</v>
      </c>
      <c r="T19466" t="s">
        <v>34044</v>
      </c>
    </row>
    <row r="19467" spans="1:20" customFormat="1" ht="15" x14ac:dyDescent="0.25">
      <c r="A19467" t="s">
        <v>24</v>
      </c>
      <c r="B19467" t="s">
        <v>7953</v>
      </c>
      <c r="C19467" t="str">
        <f>"A0076932"</f>
        <v>A0076932</v>
      </c>
      <c r="D19467" t="s">
        <v>34181</v>
      </c>
      <c r="E19467" t="s">
        <v>34182</v>
      </c>
      <c r="F19467" t="s">
        <v>34183</v>
      </c>
      <c r="G19467" t="s">
        <v>110</v>
      </c>
      <c r="H19467">
        <v>95030</v>
      </c>
      <c r="I19467" t="s">
        <v>30</v>
      </c>
      <c r="J19467" t="s">
        <v>171</v>
      </c>
      <c r="K19467" t="s">
        <v>163</v>
      </c>
      <c r="N19467" t="s">
        <v>34184</v>
      </c>
      <c r="Q19467">
        <v>0</v>
      </c>
      <c r="R19467">
        <v>72</v>
      </c>
      <c r="S19467">
        <v>0</v>
      </c>
      <c r="T19467" t="s">
        <v>34185</v>
      </c>
    </row>
    <row r="19468" spans="1:20" customFormat="1" ht="15" x14ac:dyDescent="0.25">
      <c r="A19468" t="s">
        <v>24</v>
      </c>
      <c r="B19468" t="s">
        <v>34201</v>
      </c>
      <c r="C19468" t="str">
        <f>"A0180030"</f>
        <v>A0180030</v>
      </c>
      <c r="D19468" t="s">
        <v>34207</v>
      </c>
      <c r="E19468" t="s">
        <v>34208</v>
      </c>
      <c r="F19468" t="s">
        <v>34209</v>
      </c>
      <c r="G19468" t="s">
        <v>289</v>
      </c>
      <c r="H19468">
        <v>60045</v>
      </c>
      <c r="I19468" t="s">
        <v>30</v>
      </c>
      <c r="J19468" t="s">
        <v>171</v>
      </c>
      <c r="K19468" t="s">
        <v>1202</v>
      </c>
      <c r="N19468" t="s">
        <v>34210</v>
      </c>
      <c r="Q19468">
        <v>0</v>
      </c>
      <c r="R19468">
        <v>156</v>
      </c>
      <c r="S19468">
        <v>0</v>
      </c>
      <c r="T19468" t="s">
        <v>34211</v>
      </c>
    </row>
    <row r="19469" spans="1:20" customFormat="1" ht="15" x14ac:dyDescent="0.25">
      <c r="A19469" t="s">
        <v>24</v>
      </c>
      <c r="B19469" t="s">
        <v>34212</v>
      </c>
      <c r="C19469" t="str">
        <f>"A0097779"</f>
        <v>A0097779</v>
      </c>
      <c r="D19469" t="s">
        <v>34223</v>
      </c>
      <c r="E19469" t="s">
        <v>34224</v>
      </c>
      <c r="F19469" t="s">
        <v>3401</v>
      </c>
      <c r="G19469" t="s">
        <v>29</v>
      </c>
      <c r="H19469">
        <v>22901</v>
      </c>
      <c r="I19469" t="s">
        <v>30</v>
      </c>
      <c r="J19469" t="s">
        <v>171</v>
      </c>
      <c r="K19469" t="s">
        <v>308</v>
      </c>
      <c r="N19469" t="s">
        <v>34225</v>
      </c>
      <c r="O19469" t="s">
        <v>34226</v>
      </c>
      <c r="Q19469">
        <v>0</v>
      </c>
      <c r="R19469">
        <v>87</v>
      </c>
      <c r="S19469">
        <v>0</v>
      </c>
      <c r="T19469" t="s">
        <v>34227</v>
      </c>
    </row>
    <row r="19470" spans="1:20" customFormat="1" ht="15" x14ac:dyDescent="0.25">
      <c r="A19470" t="s">
        <v>24</v>
      </c>
      <c r="B19470" t="s">
        <v>11587</v>
      </c>
      <c r="C19470" t="str">
        <f>"A0167507"</f>
        <v>A0167507</v>
      </c>
      <c r="D19470" t="s">
        <v>34400</v>
      </c>
      <c r="E19470" t="s">
        <v>34401</v>
      </c>
      <c r="F19470" t="s">
        <v>34402</v>
      </c>
      <c r="G19470" t="s">
        <v>58</v>
      </c>
      <c r="H19470">
        <v>29464</v>
      </c>
      <c r="I19470" t="s">
        <v>30</v>
      </c>
      <c r="J19470" t="s">
        <v>171</v>
      </c>
      <c r="K19470" t="s">
        <v>3456</v>
      </c>
      <c r="N19470" t="s">
        <v>34403</v>
      </c>
      <c r="Q19470">
        <v>0</v>
      </c>
      <c r="R19470">
        <v>112</v>
      </c>
      <c r="S19470">
        <v>0</v>
      </c>
      <c r="T19470" t="s">
        <v>34404</v>
      </c>
    </row>
    <row r="19471" spans="1:20" customFormat="1" ht="15" x14ac:dyDescent="0.25">
      <c r="A19471" t="s">
        <v>24</v>
      </c>
      <c r="B19471" t="s">
        <v>13267</v>
      </c>
      <c r="C19471" t="str">
        <f>"A0180155"</f>
        <v>A0180155</v>
      </c>
      <c r="D19471" t="s">
        <v>34447</v>
      </c>
      <c r="E19471" t="s">
        <v>34448</v>
      </c>
      <c r="F19471" t="s">
        <v>196</v>
      </c>
      <c r="G19471" t="s">
        <v>197</v>
      </c>
      <c r="H19471">
        <v>85013</v>
      </c>
      <c r="I19471" t="s">
        <v>30</v>
      </c>
      <c r="J19471" t="s">
        <v>171</v>
      </c>
      <c r="K19471" t="s">
        <v>248</v>
      </c>
      <c r="N19471" t="s">
        <v>34449</v>
      </c>
      <c r="Q19471">
        <v>0</v>
      </c>
      <c r="R19471">
        <v>136</v>
      </c>
      <c r="S19471">
        <v>0</v>
      </c>
      <c r="T19471" t="s">
        <v>34450</v>
      </c>
    </row>
    <row r="19472" spans="1:20" customFormat="1" ht="15" x14ac:dyDescent="0.25">
      <c r="A19472" t="s">
        <v>24</v>
      </c>
      <c r="B19472" t="s">
        <v>13267</v>
      </c>
      <c r="C19472" t="str">
        <f>"A0062637"</f>
        <v>A0062637</v>
      </c>
      <c r="D19472" t="s">
        <v>34456</v>
      </c>
      <c r="E19472" t="s">
        <v>34457</v>
      </c>
      <c r="F19472" t="s">
        <v>34458</v>
      </c>
      <c r="G19472" t="s">
        <v>197</v>
      </c>
      <c r="H19472">
        <v>85226</v>
      </c>
      <c r="I19472" t="s">
        <v>30</v>
      </c>
      <c r="J19472" t="s">
        <v>171</v>
      </c>
      <c r="K19472" t="s">
        <v>15288</v>
      </c>
      <c r="N19472" t="s">
        <v>34459</v>
      </c>
      <c r="Q19472">
        <v>0</v>
      </c>
      <c r="R19472">
        <v>100</v>
      </c>
      <c r="S19472">
        <v>0</v>
      </c>
      <c r="T19472" t="s">
        <v>34460</v>
      </c>
    </row>
    <row r="19473" spans="1:20" customFormat="1" ht="15" x14ac:dyDescent="0.25">
      <c r="A19473" t="s">
        <v>24</v>
      </c>
      <c r="B19473" t="s">
        <v>7230</v>
      </c>
      <c r="C19473" t="str">
        <f>"A0065439"</f>
        <v>A0065439</v>
      </c>
      <c r="D19473" t="s">
        <v>34506</v>
      </c>
      <c r="E19473" t="s">
        <v>34507</v>
      </c>
      <c r="F19473" t="s">
        <v>34508</v>
      </c>
      <c r="G19473" t="s">
        <v>110</v>
      </c>
      <c r="H19473">
        <v>94005</v>
      </c>
      <c r="I19473" t="s">
        <v>30</v>
      </c>
      <c r="J19473" t="s">
        <v>171</v>
      </c>
      <c r="K19473" t="s">
        <v>1023</v>
      </c>
      <c r="N19473" t="s">
        <v>34509</v>
      </c>
      <c r="Q19473">
        <v>0</v>
      </c>
      <c r="R19473">
        <v>177</v>
      </c>
      <c r="S19473">
        <v>0</v>
      </c>
      <c r="T19473" t="s">
        <v>34510</v>
      </c>
    </row>
    <row r="19474" spans="1:20" customFormat="1" ht="15" x14ac:dyDescent="0.25">
      <c r="A19474" t="s">
        <v>24</v>
      </c>
      <c r="B19474" t="s">
        <v>5166</v>
      </c>
      <c r="C19474" t="str">
        <f>"651IM"</f>
        <v>651IM</v>
      </c>
      <c r="D19474" t="s">
        <v>34511</v>
      </c>
      <c r="E19474" t="s">
        <v>34512</v>
      </c>
      <c r="F19474" t="s">
        <v>972</v>
      </c>
      <c r="G19474" t="s">
        <v>190</v>
      </c>
      <c r="H19474">
        <v>80202</v>
      </c>
      <c r="I19474" t="s">
        <v>30</v>
      </c>
      <c r="J19474" t="s">
        <v>171</v>
      </c>
      <c r="K19474" t="s">
        <v>973</v>
      </c>
      <c r="N19474" t="s">
        <v>34513</v>
      </c>
      <c r="O19474" t="s">
        <v>34514</v>
      </c>
      <c r="Q19474">
        <v>0</v>
      </c>
      <c r="R19474">
        <v>177</v>
      </c>
      <c r="S19474">
        <v>0</v>
      </c>
      <c r="T19474" t="s">
        <v>34515</v>
      </c>
    </row>
    <row r="19475" spans="1:20" customFormat="1" ht="15" x14ac:dyDescent="0.25">
      <c r="A19475" t="s">
        <v>24</v>
      </c>
      <c r="B19475" t="s">
        <v>11587</v>
      </c>
      <c r="C19475" t="str">
        <f>"A0147493"</f>
        <v>A0147493</v>
      </c>
      <c r="D19475" t="s">
        <v>34521</v>
      </c>
      <c r="E19475" t="s">
        <v>34522</v>
      </c>
      <c r="F19475" t="s">
        <v>2352</v>
      </c>
      <c r="G19475" t="s">
        <v>58</v>
      </c>
      <c r="H19475">
        <v>29501</v>
      </c>
      <c r="I19475" t="s">
        <v>30</v>
      </c>
      <c r="J19475" t="s">
        <v>171</v>
      </c>
      <c r="K19475" t="s">
        <v>1202</v>
      </c>
      <c r="N19475" t="s">
        <v>34523</v>
      </c>
      <c r="Q19475">
        <v>0</v>
      </c>
      <c r="R19475">
        <v>103</v>
      </c>
      <c r="S19475">
        <v>0</v>
      </c>
      <c r="T19475" t="s">
        <v>34524</v>
      </c>
    </row>
    <row r="19476" spans="1:20" customFormat="1" ht="15" x14ac:dyDescent="0.25">
      <c r="A19476" t="s">
        <v>24</v>
      </c>
      <c r="B19476" t="s">
        <v>11587</v>
      </c>
      <c r="C19476" t="str">
        <f>"A0147061"</f>
        <v>A0147061</v>
      </c>
      <c r="D19476" t="s">
        <v>34525</v>
      </c>
      <c r="E19476" t="s">
        <v>34526</v>
      </c>
      <c r="F19476" t="s">
        <v>34402</v>
      </c>
      <c r="G19476" t="s">
        <v>58</v>
      </c>
      <c r="H19476">
        <v>29464</v>
      </c>
      <c r="I19476" t="s">
        <v>30</v>
      </c>
      <c r="J19476" t="s">
        <v>171</v>
      </c>
      <c r="K19476" t="s">
        <v>1202</v>
      </c>
      <c r="N19476" t="s">
        <v>34527</v>
      </c>
      <c r="O19476" t="s">
        <v>34528</v>
      </c>
      <c r="Q19476">
        <v>0</v>
      </c>
      <c r="R19476">
        <v>92</v>
      </c>
      <c r="S19476">
        <v>0</v>
      </c>
      <c r="T19476" t="s">
        <v>34529</v>
      </c>
    </row>
    <row r="19477" spans="1:20" customFormat="1" ht="15" x14ac:dyDescent="0.25">
      <c r="A19477" t="s">
        <v>24</v>
      </c>
      <c r="B19477" t="s">
        <v>11587</v>
      </c>
      <c r="C19477" t="str">
        <f>"A0098173"</f>
        <v>A0098173</v>
      </c>
      <c r="D19477" t="s">
        <v>34530</v>
      </c>
      <c r="E19477" t="s">
        <v>34531</v>
      </c>
      <c r="F19477" t="s">
        <v>34532</v>
      </c>
      <c r="G19477" t="s">
        <v>58</v>
      </c>
      <c r="H19477">
        <v>29033</v>
      </c>
      <c r="I19477" t="s">
        <v>30</v>
      </c>
      <c r="J19477" t="s">
        <v>171</v>
      </c>
      <c r="K19477" t="s">
        <v>973</v>
      </c>
      <c r="N19477" t="s">
        <v>34533</v>
      </c>
      <c r="Q19477">
        <v>0</v>
      </c>
      <c r="R19477">
        <v>100</v>
      </c>
      <c r="S19477">
        <v>0</v>
      </c>
      <c r="T19477" t="s">
        <v>34534</v>
      </c>
    </row>
    <row r="19478" spans="1:20" customFormat="1" ht="15" x14ac:dyDescent="0.25">
      <c r="A19478" t="s">
        <v>24</v>
      </c>
      <c r="B19478" t="s">
        <v>11587</v>
      </c>
      <c r="C19478" t="str">
        <f>"A0167509"</f>
        <v>A0167509</v>
      </c>
      <c r="D19478" t="s">
        <v>34549</v>
      </c>
      <c r="E19478" t="s">
        <v>34550</v>
      </c>
      <c r="F19478" t="s">
        <v>2352</v>
      </c>
      <c r="G19478" t="s">
        <v>58</v>
      </c>
      <c r="H19478">
        <v>29501</v>
      </c>
      <c r="I19478" t="s">
        <v>30</v>
      </c>
      <c r="J19478" t="s">
        <v>171</v>
      </c>
      <c r="K19478" t="s">
        <v>12620</v>
      </c>
      <c r="N19478" t="s">
        <v>34551</v>
      </c>
      <c r="Q19478">
        <v>0</v>
      </c>
      <c r="R19478">
        <v>64</v>
      </c>
      <c r="S19478">
        <v>0</v>
      </c>
      <c r="T19478" t="s">
        <v>34552</v>
      </c>
    </row>
    <row r="19479" spans="1:20" customFormat="1" ht="15" x14ac:dyDescent="0.25">
      <c r="A19479" t="s">
        <v>24</v>
      </c>
      <c r="B19479" t="s">
        <v>11587</v>
      </c>
      <c r="C19479" t="str">
        <f>"A0167506"</f>
        <v>A0167506</v>
      </c>
      <c r="D19479" t="s">
        <v>34557</v>
      </c>
      <c r="E19479" t="s">
        <v>34558</v>
      </c>
      <c r="F19479" t="s">
        <v>3029</v>
      </c>
      <c r="G19479" t="s">
        <v>58</v>
      </c>
      <c r="H19479">
        <v>29483</v>
      </c>
      <c r="I19479" t="s">
        <v>30</v>
      </c>
      <c r="J19479" t="s">
        <v>171</v>
      </c>
      <c r="K19479" t="s">
        <v>3456</v>
      </c>
      <c r="N19479" t="s">
        <v>34559</v>
      </c>
      <c r="Q19479">
        <v>0</v>
      </c>
      <c r="R19479">
        <v>95</v>
      </c>
      <c r="S19479">
        <v>0</v>
      </c>
      <c r="T19479" t="s">
        <v>34560</v>
      </c>
    </row>
    <row r="19480" spans="1:20" customFormat="1" ht="15" hidden="1" x14ac:dyDescent="0.25">
      <c r="A19480" t="s">
        <v>24</v>
      </c>
      <c r="B19480" t="s">
        <v>62565</v>
      </c>
      <c r="C19480" t="str">
        <f>"A0100268"</f>
        <v>A0100268</v>
      </c>
      <c r="D19480" t="s">
        <v>72126</v>
      </c>
      <c r="E19480" t="s">
        <v>72127</v>
      </c>
      <c r="F19480" t="s">
        <v>13233</v>
      </c>
      <c r="G19480" t="s">
        <v>2206</v>
      </c>
      <c r="H19480" t="s">
        <v>72128</v>
      </c>
      <c r="I19480" t="s">
        <v>1459</v>
      </c>
      <c r="J19480" t="s">
        <v>171</v>
      </c>
      <c r="K19480" t="s">
        <v>1023</v>
      </c>
      <c r="N19480" t="s">
        <v>72129</v>
      </c>
      <c r="O19480" t="s">
        <v>72130</v>
      </c>
      <c r="Q19480">
        <v>0</v>
      </c>
      <c r="R19480">
        <v>101</v>
      </c>
      <c r="S19480">
        <v>0</v>
      </c>
      <c r="T19480" t="s">
        <v>72131</v>
      </c>
    </row>
    <row r="19481" spans="1:20" customFormat="1" ht="15" x14ac:dyDescent="0.25">
      <c r="A19481" t="s">
        <v>24</v>
      </c>
      <c r="B19481" t="s">
        <v>11587</v>
      </c>
      <c r="C19481" t="str">
        <f>"A0167505"</f>
        <v>A0167505</v>
      </c>
      <c r="D19481" t="s">
        <v>34561</v>
      </c>
      <c r="E19481" t="s">
        <v>34562</v>
      </c>
      <c r="F19481" t="s">
        <v>5905</v>
      </c>
      <c r="G19481" t="s">
        <v>58</v>
      </c>
      <c r="H19481">
        <v>29607</v>
      </c>
      <c r="I19481" t="s">
        <v>30</v>
      </c>
      <c r="J19481" t="s">
        <v>171</v>
      </c>
      <c r="K19481" t="s">
        <v>3456</v>
      </c>
      <c r="N19481" t="s">
        <v>34563</v>
      </c>
      <c r="Q19481">
        <v>0</v>
      </c>
      <c r="R19481">
        <v>126</v>
      </c>
      <c r="S19481">
        <v>0</v>
      </c>
      <c r="T19481" t="s">
        <v>34564</v>
      </c>
    </row>
    <row r="19482" spans="1:20" customFormat="1" ht="15" x14ac:dyDescent="0.25">
      <c r="A19482" t="s">
        <v>24</v>
      </c>
      <c r="B19482" t="s">
        <v>11587</v>
      </c>
      <c r="C19482" t="str">
        <f>"A0095084"</f>
        <v>A0095084</v>
      </c>
      <c r="D19482" t="s">
        <v>34569</v>
      </c>
      <c r="E19482" t="s">
        <v>34570</v>
      </c>
      <c r="F19482" t="s">
        <v>9854</v>
      </c>
      <c r="G19482" t="s">
        <v>846</v>
      </c>
      <c r="H19482">
        <v>30901</v>
      </c>
      <c r="I19482" t="s">
        <v>30</v>
      </c>
      <c r="J19482" t="s">
        <v>171</v>
      </c>
      <c r="K19482" t="s">
        <v>1202</v>
      </c>
      <c r="N19482" t="s">
        <v>34571</v>
      </c>
      <c r="Q19482">
        <v>0</v>
      </c>
      <c r="R19482">
        <v>120</v>
      </c>
      <c r="S19482">
        <v>0</v>
      </c>
      <c r="T19482" t="s">
        <v>34572</v>
      </c>
    </row>
    <row r="19483" spans="1:20" customFormat="1" ht="15" x14ac:dyDescent="0.25">
      <c r="A19483" t="s">
        <v>24</v>
      </c>
      <c r="B19483" t="s">
        <v>34583</v>
      </c>
      <c r="C19483" t="str">
        <f>"56651"</f>
        <v>56651</v>
      </c>
      <c r="D19483" t="s">
        <v>34593</v>
      </c>
      <c r="E19483" t="s">
        <v>34594</v>
      </c>
      <c r="F19483" t="s">
        <v>13414</v>
      </c>
      <c r="G19483" t="s">
        <v>925</v>
      </c>
      <c r="H19483">
        <v>66213</v>
      </c>
      <c r="I19483" t="s">
        <v>30</v>
      </c>
      <c r="J19483" t="s">
        <v>171</v>
      </c>
      <c r="K19483" t="s">
        <v>1450</v>
      </c>
      <c r="N19483" t="s">
        <v>34595</v>
      </c>
      <c r="O19483" t="s">
        <v>34596</v>
      </c>
      <c r="Q19483">
        <v>0</v>
      </c>
      <c r="R19483">
        <v>120</v>
      </c>
      <c r="S19483">
        <v>0</v>
      </c>
      <c r="T19483" t="s">
        <v>34597</v>
      </c>
    </row>
    <row r="19484" spans="1:20" customFormat="1" ht="15" x14ac:dyDescent="0.25">
      <c r="A19484" t="s">
        <v>24</v>
      </c>
      <c r="B19484" t="s">
        <v>34583</v>
      </c>
      <c r="C19484" t="str">
        <f>"56685"</f>
        <v>56685</v>
      </c>
      <c r="D19484" t="s">
        <v>34598</v>
      </c>
      <c r="E19484" t="s">
        <v>34599</v>
      </c>
      <c r="F19484" t="s">
        <v>5107</v>
      </c>
      <c r="G19484" t="s">
        <v>137</v>
      </c>
      <c r="H19484">
        <v>64112</v>
      </c>
      <c r="I19484" t="s">
        <v>30</v>
      </c>
      <c r="J19484" t="s">
        <v>171</v>
      </c>
      <c r="K19484" t="s">
        <v>1450</v>
      </c>
      <c r="N19484" t="s">
        <v>34600</v>
      </c>
      <c r="O19484" t="s">
        <v>34601</v>
      </c>
      <c r="Q19484">
        <v>0</v>
      </c>
      <c r="R19484">
        <v>104</v>
      </c>
      <c r="S19484">
        <v>0</v>
      </c>
      <c r="T19484" t="s">
        <v>34602</v>
      </c>
    </row>
    <row r="19485" spans="1:20" customFormat="1" ht="15" x14ac:dyDescent="0.25">
      <c r="A19485" t="s">
        <v>24</v>
      </c>
      <c r="B19485" t="s">
        <v>11587</v>
      </c>
      <c r="C19485" t="str">
        <f>"A0088021"</f>
        <v>A0088021</v>
      </c>
      <c r="D19485" t="s">
        <v>34608</v>
      </c>
      <c r="E19485" t="s">
        <v>34609</v>
      </c>
      <c r="F19485" t="s">
        <v>19101</v>
      </c>
      <c r="G19485" t="s">
        <v>58</v>
      </c>
      <c r="H19485">
        <v>29501</v>
      </c>
      <c r="I19485" t="s">
        <v>30</v>
      </c>
      <c r="J19485" t="s">
        <v>171</v>
      </c>
      <c r="K19485" t="s">
        <v>1450</v>
      </c>
      <c r="N19485" t="s">
        <v>34610</v>
      </c>
      <c r="O19485" t="s">
        <v>34611</v>
      </c>
      <c r="Q19485">
        <v>0</v>
      </c>
      <c r="R19485">
        <v>94</v>
      </c>
      <c r="S19485">
        <v>0</v>
      </c>
      <c r="T19485" t="s">
        <v>34612</v>
      </c>
    </row>
    <row r="19486" spans="1:20" customFormat="1" ht="15" x14ac:dyDescent="0.25">
      <c r="A19486" t="s">
        <v>24</v>
      </c>
      <c r="B19486" t="s">
        <v>11587</v>
      </c>
      <c r="C19486" t="str">
        <f>"651SM"</f>
        <v>651SM</v>
      </c>
      <c r="D19486" t="s">
        <v>34617</v>
      </c>
      <c r="E19486" t="s">
        <v>34618</v>
      </c>
      <c r="F19486" t="s">
        <v>2352</v>
      </c>
      <c r="G19486" t="s">
        <v>58</v>
      </c>
      <c r="H19486">
        <v>29501</v>
      </c>
      <c r="I19486" t="s">
        <v>30</v>
      </c>
      <c r="J19486" t="s">
        <v>171</v>
      </c>
      <c r="K19486" t="s">
        <v>973</v>
      </c>
      <c r="N19486" t="s">
        <v>34615</v>
      </c>
      <c r="Q19486">
        <v>0</v>
      </c>
      <c r="R19486">
        <v>90</v>
      </c>
      <c r="S19486">
        <v>0</v>
      </c>
      <c r="T19486" t="s">
        <v>34619</v>
      </c>
    </row>
    <row r="19487" spans="1:20" customFormat="1" ht="15" x14ac:dyDescent="0.25">
      <c r="A19487" t="s">
        <v>24</v>
      </c>
      <c r="B19487" t="s">
        <v>11587</v>
      </c>
      <c r="C19487" t="str">
        <f>"A0167482"</f>
        <v>A0167482</v>
      </c>
      <c r="D19487" t="s">
        <v>34620</v>
      </c>
      <c r="E19487" t="s">
        <v>34621</v>
      </c>
      <c r="F19487" t="s">
        <v>34402</v>
      </c>
      <c r="G19487" t="s">
        <v>58</v>
      </c>
      <c r="H19487">
        <v>29464</v>
      </c>
      <c r="I19487" t="s">
        <v>30</v>
      </c>
      <c r="J19487" t="s">
        <v>171</v>
      </c>
      <c r="K19487" t="s">
        <v>1259</v>
      </c>
      <c r="N19487" t="s">
        <v>34622</v>
      </c>
      <c r="Q19487">
        <v>0</v>
      </c>
      <c r="R19487">
        <v>70</v>
      </c>
      <c r="S19487">
        <v>0</v>
      </c>
      <c r="T19487" t="s">
        <v>34623</v>
      </c>
    </row>
    <row r="19488" spans="1:20" customFormat="1" ht="15" x14ac:dyDescent="0.25">
      <c r="A19488" t="s">
        <v>24</v>
      </c>
      <c r="B19488" t="s">
        <v>1138</v>
      </c>
      <c r="C19488" t="str">
        <f>"A0179599"</f>
        <v>A0179599</v>
      </c>
      <c r="D19488" t="s">
        <v>34687</v>
      </c>
      <c r="E19488" t="s">
        <v>34688</v>
      </c>
      <c r="F19488" t="s">
        <v>13270</v>
      </c>
      <c r="G19488" t="s">
        <v>110</v>
      </c>
      <c r="H19488">
        <v>92590</v>
      </c>
      <c r="I19488" t="s">
        <v>30</v>
      </c>
      <c r="J19488" t="s">
        <v>171</v>
      </c>
      <c r="K19488" t="s">
        <v>1147</v>
      </c>
      <c r="N19488" t="s">
        <v>34689</v>
      </c>
      <c r="Q19488">
        <v>0</v>
      </c>
      <c r="R19488">
        <v>124</v>
      </c>
      <c r="S19488">
        <v>0</v>
      </c>
      <c r="T19488" t="s">
        <v>34690</v>
      </c>
    </row>
    <row r="19489" spans="1:20" customFormat="1" ht="15" x14ac:dyDescent="0.25">
      <c r="A19489" t="s">
        <v>24</v>
      </c>
      <c r="B19489" t="s">
        <v>34691</v>
      </c>
      <c r="C19489" t="str">
        <f>"A0166096"</f>
        <v>A0166096</v>
      </c>
      <c r="D19489" t="s">
        <v>34692</v>
      </c>
      <c r="E19489" t="s">
        <v>34693</v>
      </c>
      <c r="F19489" t="s">
        <v>1525</v>
      </c>
      <c r="G19489" t="s">
        <v>846</v>
      </c>
      <c r="H19489">
        <v>31901</v>
      </c>
      <c r="I19489" t="s">
        <v>30</v>
      </c>
      <c r="J19489" t="s">
        <v>171</v>
      </c>
      <c r="K19489" t="s">
        <v>2077</v>
      </c>
      <c r="N19489" t="s">
        <v>34694</v>
      </c>
      <c r="Q19489">
        <v>0</v>
      </c>
      <c r="R19489">
        <v>124</v>
      </c>
      <c r="S19489">
        <v>0</v>
      </c>
      <c r="T19489" t="s">
        <v>34695</v>
      </c>
    </row>
    <row r="19490" spans="1:20" customFormat="1" ht="15" x14ac:dyDescent="0.25">
      <c r="A19490" t="s">
        <v>24</v>
      </c>
      <c r="B19490" t="s">
        <v>8405</v>
      </c>
      <c r="C19490" t="str">
        <f>"A0180088"</f>
        <v>A0180088</v>
      </c>
      <c r="D19490" t="s">
        <v>34735</v>
      </c>
      <c r="E19490" t="s">
        <v>34736</v>
      </c>
      <c r="F19490" t="s">
        <v>8408</v>
      </c>
      <c r="G19490" t="s">
        <v>381</v>
      </c>
      <c r="H19490">
        <v>46323</v>
      </c>
      <c r="I19490" t="s">
        <v>30</v>
      </c>
      <c r="J19490" t="s">
        <v>171</v>
      </c>
      <c r="K19490" t="s">
        <v>315</v>
      </c>
      <c r="N19490" t="s">
        <v>1127</v>
      </c>
      <c r="Q19490">
        <v>0</v>
      </c>
      <c r="R19490">
        <v>79</v>
      </c>
      <c r="S19490">
        <v>0</v>
      </c>
      <c r="T19490" t="s">
        <v>34737</v>
      </c>
    </row>
    <row r="19491" spans="1:20" customFormat="1" ht="15" x14ac:dyDescent="0.25">
      <c r="A19491" t="s">
        <v>24</v>
      </c>
      <c r="B19491" t="s">
        <v>34738</v>
      </c>
      <c r="C19491" t="str">
        <f>"A0157486"</f>
        <v>A0157486</v>
      </c>
      <c r="D19491" t="s">
        <v>34739</v>
      </c>
      <c r="E19491" t="s">
        <v>34740</v>
      </c>
      <c r="F19491" t="s">
        <v>13716</v>
      </c>
      <c r="G19491" t="s">
        <v>65</v>
      </c>
      <c r="H19491">
        <v>45202</v>
      </c>
      <c r="I19491" t="s">
        <v>30</v>
      </c>
      <c r="J19491" t="s">
        <v>171</v>
      </c>
      <c r="K19491" t="s">
        <v>973</v>
      </c>
      <c r="N19491" t="s">
        <v>34741</v>
      </c>
      <c r="Q19491">
        <v>0</v>
      </c>
      <c r="R19491">
        <v>120</v>
      </c>
      <c r="S19491">
        <v>0</v>
      </c>
      <c r="T19491" t="s">
        <v>34742</v>
      </c>
    </row>
    <row r="19492" spans="1:20" customFormat="1" ht="15" x14ac:dyDescent="0.25">
      <c r="A19492" t="s">
        <v>24</v>
      </c>
      <c r="B19492" t="s">
        <v>34743</v>
      </c>
      <c r="C19492" t="str">
        <f>"A0162050"</f>
        <v>A0162050</v>
      </c>
      <c r="D19492" t="s">
        <v>34744</v>
      </c>
      <c r="E19492" t="s">
        <v>34745</v>
      </c>
      <c r="F19492" t="s">
        <v>16431</v>
      </c>
      <c r="G19492" t="s">
        <v>846</v>
      </c>
      <c r="H19492">
        <v>31523</v>
      </c>
      <c r="I19492" t="s">
        <v>30</v>
      </c>
      <c r="J19492" t="s">
        <v>171</v>
      </c>
      <c r="K19492" t="s">
        <v>653</v>
      </c>
      <c r="N19492" t="s">
        <v>34746</v>
      </c>
      <c r="Q19492">
        <v>0</v>
      </c>
      <c r="R19492">
        <v>115</v>
      </c>
      <c r="S19492">
        <v>0</v>
      </c>
      <c r="T19492" t="s">
        <v>34747</v>
      </c>
    </row>
    <row r="19493" spans="1:20" customFormat="1" ht="15" x14ac:dyDescent="0.25">
      <c r="A19493" t="s">
        <v>24</v>
      </c>
      <c r="B19493" t="s">
        <v>10054</v>
      </c>
      <c r="C19493" t="str">
        <f>"A0094279"</f>
        <v>A0094279</v>
      </c>
      <c r="D19493" t="s">
        <v>34950</v>
      </c>
      <c r="E19493" t="s">
        <v>34951</v>
      </c>
      <c r="F19493" t="s">
        <v>313</v>
      </c>
      <c r="G19493" t="s">
        <v>314</v>
      </c>
      <c r="H19493">
        <v>20024</v>
      </c>
      <c r="I19493" t="s">
        <v>30</v>
      </c>
      <c r="J19493" t="s">
        <v>171</v>
      </c>
      <c r="K19493" t="s">
        <v>1202</v>
      </c>
      <c r="N19493" t="s">
        <v>34952</v>
      </c>
      <c r="O19493" t="s">
        <v>34953</v>
      </c>
      <c r="Q19493">
        <v>0</v>
      </c>
      <c r="R19493">
        <v>210</v>
      </c>
      <c r="S19493">
        <v>0</v>
      </c>
      <c r="T19493" t="s">
        <v>34954</v>
      </c>
    </row>
    <row r="19494" spans="1:20" customFormat="1" ht="15" x14ac:dyDescent="0.25">
      <c r="A19494" t="s">
        <v>24</v>
      </c>
      <c r="B19494" t="s">
        <v>675</v>
      </c>
      <c r="C19494" t="str">
        <f>"A0180053"</f>
        <v>A0180053</v>
      </c>
      <c r="D19494" t="s">
        <v>35266</v>
      </c>
      <c r="E19494" t="s">
        <v>35267</v>
      </c>
      <c r="F19494" t="s">
        <v>35268</v>
      </c>
      <c r="G19494" t="s">
        <v>4815</v>
      </c>
      <c r="H19494">
        <v>96753</v>
      </c>
      <c r="I19494" t="s">
        <v>30</v>
      </c>
      <c r="J19494" t="s">
        <v>171</v>
      </c>
      <c r="K19494" t="s">
        <v>2077</v>
      </c>
      <c r="N19494" t="s">
        <v>35269</v>
      </c>
      <c r="Q19494">
        <v>0</v>
      </c>
      <c r="R19494">
        <v>110</v>
      </c>
      <c r="S19494">
        <v>0</v>
      </c>
      <c r="T19494" t="s">
        <v>35270</v>
      </c>
    </row>
    <row r="19495" spans="1:20" customFormat="1" ht="15" x14ac:dyDescent="0.25">
      <c r="A19495" t="s">
        <v>24</v>
      </c>
      <c r="B19495" t="s">
        <v>193</v>
      </c>
      <c r="C19495" t="str">
        <f>"A0095667"</f>
        <v>A0095667</v>
      </c>
      <c r="D19495" t="s">
        <v>35283</v>
      </c>
      <c r="E19495" t="s">
        <v>35284</v>
      </c>
      <c r="F19495" t="s">
        <v>3014</v>
      </c>
      <c r="G19495" t="s">
        <v>846</v>
      </c>
      <c r="H19495">
        <v>30265</v>
      </c>
      <c r="I19495" t="s">
        <v>30</v>
      </c>
      <c r="J19495" t="s">
        <v>171</v>
      </c>
      <c r="K19495" t="s">
        <v>308</v>
      </c>
      <c r="N19495" t="s">
        <v>13794</v>
      </c>
      <c r="Q19495">
        <v>0</v>
      </c>
      <c r="R19495">
        <v>64</v>
      </c>
      <c r="S19495">
        <v>0</v>
      </c>
      <c r="T19495" t="s">
        <v>35285</v>
      </c>
    </row>
    <row r="19496" spans="1:20" customFormat="1" ht="15" x14ac:dyDescent="0.25">
      <c r="A19496" t="s">
        <v>24</v>
      </c>
      <c r="B19496" t="s">
        <v>11304</v>
      </c>
      <c r="C19496" t="str">
        <f>"A0180028"</f>
        <v>A0180028</v>
      </c>
      <c r="D19496" t="s">
        <v>35286</v>
      </c>
      <c r="E19496" t="s">
        <v>35287</v>
      </c>
      <c r="F19496" t="s">
        <v>729</v>
      </c>
      <c r="G19496" t="s">
        <v>110</v>
      </c>
      <c r="H19496">
        <v>93105</v>
      </c>
      <c r="I19496" t="s">
        <v>30</v>
      </c>
      <c r="J19496" t="s">
        <v>171</v>
      </c>
      <c r="K19496" t="s">
        <v>1259</v>
      </c>
      <c r="N19496" t="s">
        <v>35288</v>
      </c>
      <c r="Q19496">
        <v>0</v>
      </c>
      <c r="R19496">
        <v>68</v>
      </c>
      <c r="S19496">
        <v>0</v>
      </c>
      <c r="T19496" t="s">
        <v>35289</v>
      </c>
    </row>
    <row r="19497" spans="1:20" customFormat="1" ht="15" x14ac:dyDescent="0.25">
      <c r="A19497" t="s">
        <v>24</v>
      </c>
      <c r="B19497" t="s">
        <v>35290</v>
      </c>
      <c r="C19497" t="str">
        <f>"A0091539"</f>
        <v>A0091539</v>
      </c>
      <c r="D19497" t="s">
        <v>35296</v>
      </c>
      <c r="E19497" t="s">
        <v>35297</v>
      </c>
      <c r="F19497" t="s">
        <v>16728</v>
      </c>
      <c r="G19497" t="s">
        <v>52</v>
      </c>
      <c r="H19497">
        <v>77554</v>
      </c>
      <c r="I19497" t="s">
        <v>30</v>
      </c>
      <c r="J19497" t="s">
        <v>171</v>
      </c>
      <c r="K19497" t="s">
        <v>973</v>
      </c>
      <c r="N19497" t="s">
        <v>35298</v>
      </c>
      <c r="O19497" t="s">
        <v>35294</v>
      </c>
      <c r="Q19497">
        <v>0</v>
      </c>
      <c r="R19497">
        <v>85</v>
      </c>
      <c r="S19497">
        <v>0</v>
      </c>
      <c r="T19497" t="s">
        <v>35299</v>
      </c>
    </row>
    <row r="19498" spans="1:20" customFormat="1" ht="15" x14ac:dyDescent="0.25">
      <c r="A19498" t="s">
        <v>24</v>
      </c>
      <c r="B19498" t="s">
        <v>35351</v>
      </c>
      <c r="C19498" t="str">
        <f>"A0166094"</f>
        <v>A0166094</v>
      </c>
      <c r="D19498" t="s">
        <v>35352</v>
      </c>
      <c r="E19498" t="s">
        <v>35353</v>
      </c>
      <c r="F19498" t="s">
        <v>35354</v>
      </c>
      <c r="G19498" t="s">
        <v>76</v>
      </c>
      <c r="H19498">
        <v>98801</v>
      </c>
      <c r="I19498" t="s">
        <v>30</v>
      </c>
      <c r="J19498" t="s">
        <v>171</v>
      </c>
      <c r="K19498" t="s">
        <v>1450</v>
      </c>
      <c r="N19498" t="s">
        <v>35355</v>
      </c>
      <c r="O19498" t="s">
        <v>35356</v>
      </c>
      <c r="Q19498">
        <v>0</v>
      </c>
      <c r="R19498">
        <v>125</v>
      </c>
      <c r="S19498">
        <v>0</v>
      </c>
      <c r="T19498" t="s">
        <v>35357</v>
      </c>
    </row>
    <row r="19499" spans="1:20" customFormat="1" ht="15" x14ac:dyDescent="0.25">
      <c r="A19499" t="s">
        <v>24</v>
      </c>
      <c r="B19499" t="s">
        <v>5435</v>
      </c>
      <c r="C19499" t="str">
        <f>"311H7"</f>
        <v>311H7</v>
      </c>
      <c r="D19499" t="s">
        <v>35418</v>
      </c>
      <c r="E19499" t="s">
        <v>35419</v>
      </c>
      <c r="F19499" t="s">
        <v>8230</v>
      </c>
      <c r="G19499" t="s">
        <v>65</v>
      </c>
      <c r="H19499">
        <v>45342</v>
      </c>
      <c r="I19499" t="s">
        <v>30</v>
      </c>
      <c r="J19499" t="s">
        <v>171</v>
      </c>
      <c r="K19499" t="s">
        <v>973</v>
      </c>
      <c r="N19499" t="s">
        <v>35420</v>
      </c>
      <c r="Q19499">
        <v>0</v>
      </c>
      <c r="R19499">
        <v>146</v>
      </c>
      <c r="S19499">
        <v>0</v>
      </c>
      <c r="T19499" t="s">
        <v>35421</v>
      </c>
    </row>
    <row r="19500" spans="1:20" customFormat="1" ht="15" x14ac:dyDescent="0.25">
      <c r="A19500" t="s">
        <v>24</v>
      </c>
      <c r="B19500" t="s">
        <v>5435</v>
      </c>
      <c r="C19500" t="str">
        <f>"311T5"</f>
        <v>311T5</v>
      </c>
      <c r="D19500" t="s">
        <v>35422</v>
      </c>
      <c r="E19500" t="s">
        <v>35423</v>
      </c>
      <c r="F19500" t="s">
        <v>35424</v>
      </c>
      <c r="G19500" t="s">
        <v>65</v>
      </c>
      <c r="H19500">
        <v>43528</v>
      </c>
      <c r="I19500" t="s">
        <v>30</v>
      </c>
      <c r="J19500" t="s">
        <v>171</v>
      </c>
      <c r="K19500" t="s">
        <v>973</v>
      </c>
      <c r="N19500" t="s">
        <v>35425</v>
      </c>
      <c r="Q19500">
        <v>0</v>
      </c>
      <c r="R19500">
        <v>149</v>
      </c>
      <c r="S19500">
        <v>0</v>
      </c>
      <c r="T19500" t="s">
        <v>35426</v>
      </c>
    </row>
    <row r="19501" spans="1:20" customFormat="1" ht="15" x14ac:dyDescent="0.25">
      <c r="A19501" t="s">
        <v>24</v>
      </c>
      <c r="B19501" t="s">
        <v>1323</v>
      </c>
      <c r="C19501" t="str">
        <f>"A0179986"</f>
        <v>A0179986</v>
      </c>
      <c r="D19501" t="s">
        <v>35439</v>
      </c>
      <c r="E19501" t="s">
        <v>35440</v>
      </c>
      <c r="F19501" t="s">
        <v>33699</v>
      </c>
      <c r="G19501" t="s">
        <v>81</v>
      </c>
      <c r="H19501">
        <v>32084</v>
      </c>
      <c r="I19501" t="s">
        <v>30</v>
      </c>
      <c r="J19501" t="s">
        <v>171</v>
      </c>
      <c r="K19501" t="s">
        <v>1023</v>
      </c>
      <c r="N19501" t="s">
        <v>35441</v>
      </c>
      <c r="Q19501">
        <v>0</v>
      </c>
      <c r="R19501">
        <v>110</v>
      </c>
      <c r="S19501">
        <v>0</v>
      </c>
      <c r="T19501" t="s">
        <v>35442</v>
      </c>
    </row>
    <row r="19502" spans="1:20" customFormat="1" ht="15" x14ac:dyDescent="0.25">
      <c r="A19502" t="s">
        <v>24</v>
      </c>
      <c r="B19502" t="s">
        <v>1609</v>
      </c>
      <c r="C19502" t="str">
        <f>"A0076231"</f>
        <v>A0076231</v>
      </c>
      <c r="D19502" t="s">
        <v>35721</v>
      </c>
      <c r="E19502" t="s">
        <v>35722</v>
      </c>
      <c r="F19502" t="s">
        <v>5101</v>
      </c>
      <c r="G19502" t="s">
        <v>52</v>
      </c>
      <c r="H19502">
        <v>75050</v>
      </c>
      <c r="I19502" t="s">
        <v>30</v>
      </c>
      <c r="J19502" t="s">
        <v>171</v>
      </c>
      <c r="K19502" t="s">
        <v>1202</v>
      </c>
      <c r="N19502" t="s">
        <v>35723</v>
      </c>
      <c r="Q19502">
        <v>0</v>
      </c>
      <c r="R19502">
        <v>135</v>
      </c>
      <c r="S19502">
        <v>0</v>
      </c>
      <c r="T19502" t="s">
        <v>35724</v>
      </c>
    </row>
    <row r="19503" spans="1:20" customFormat="1" ht="15" x14ac:dyDescent="0.25">
      <c r="A19503" t="s">
        <v>24</v>
      </c>
      <c r="B19503" t="s">
        <v>11484</v>
      </c>
      <c r="C19503" t="str">
        <f>"A0167083"</f>
        <v>A0167083</v>
      </c>
      <c r="D19503" t="s">
        <v>35760</v>
      </c>
      <c r="E19503" t="s">
        <v>35761</v>
      </c>
      <c r="F19503" t="s">
        <v>3955</v>
      </c>
      <c r="G19503" t="s">
        <v>81</v>
      </c>
      <c r="H19503">
        <v>33602</v>
      </c>
      <c r="I19503" t="s">
        <v>30</v>
      </c>
      <c r="J19503" t="s">
        <v>171</v>
      </c>
      <c r="K19503" t="s">
        <v>1202</v>
      </c>
      <c r="N19503" t="s">
        <v>35762</v>
      </c>
      <c r="O19503" t="s">
        <v>35763</v>
      </c>
      <c r="Q19503">
        <v>0</v>
      </c>
      <c r="R19503">
        <v>345</v>
      </c>
      <c r="S19503">
        <v>0</v>
      </c>
      <c r="T19503" t="s">
        <v>35764</v>
      </c>
    </row>
    <row r="19504" spans="1:20" customFormat="1" ht="15" hidden="1" x14ac:dyDescent="0.25">
      <c r="A19504" t="s">
        <v>24</v>
      </c>
      <c r="B19504" t="s">
        <v>62565</v>
      </c>
      <c r="C19504" t="str">
        <f>"A0090347"</f>
        <v>A0090347</v>
      </c>
      <c r="D19504" t="s">
        <v>72229</v>
      </c>
      <c r="E19504" t="s">
        <v>72230</v>
      </c>
      <c r="F19504" t="s">
        <v>13197</v>
      </c>
      <c r="G19504" t="s">
        <v>2206</v>
      </c>
      <c r="H19504" t="s">
        <v>72231</v>
      </c>
      <c r="I19504" t="s">
        <v>1459</v>
      </c>
      <c r="J19504" t="s">
        <v>171</v>
      </c>
      <c r="K19504" t="s">
        <v>1023</v>
      </c>
      <c r="N19504" t="s">
        <v>72232</v>
      </c>
      <c r="O19504" t="s">
        <v>71800</v>
      </c>
      <c r="Q19504">
        <v>0</v>
      </c>
      <c r="R19504">
        <v>128</v>
      </c>
      <c r="S19504">
        <v>0</v>
      </c>
      <c r="T19504" t="s">
        <v>72233</v>
      </c>
    </row>
    <row r="19505" spans="1:20" customFormat="1" ht="15" hidden="1" x14ac:dyDescent="0.25">
      <c r="A19505" t="s">
        <v>24</v>
      </c>
      <c r="B19505" t="s">
        <v>59461</v>
      </c>
      <c r="C19505" t="str">
        <f>"A0098028"</f>
        <v>A0098028</v>
      </c>
      <c r="D19505" t="s">
        <v>72234</v>
      </c>
      <c r="E19505" t="s">
        <v>72235</v>
      </c>
      <c r="F19505" t="s">
        <v>13262</v>
      </c>
      <c r="G19505" t="s">
        <v>2206</v>
      </c>
      <c r="H19505" t="s">
        <v>72236</v>
      </c>
      <c r="I19505" t="s">
        <v>1459</v>
      </c>
      <c r="J19505" t="s">
        <v>171</v>
      </c>
      <c r="K19505" t="s">
        <v>1023</v>
      </c>
      <c r="N19505" t="s">
        <v>72237</v>
      </c>
      <c r="Q19505">
        <v>0</v>
      </c>
      <c r="R19505">
        <v>140</v>
      </c>
      <c r="S19505">
        <v>0</v>
      </c>
      <c r="T19505" t="s">
        <v>72238</v>
      </c>
    </row>
    <row r="19506" spans="1:20" customFormat="1" ht="15" x14ac:dyDescent="0.25">
      <c r="A19506" t="s">
        <v>24</v>
      </c>
      <c r="B19506" t="s">
        <v>2368</v>
      </c>
      <c r="C19506" t="str">
        <f>"A0167413"</f>
        <v>A0167413</v>
      </c>
      <c r="D19506" t="s">
        <v>35778</v>
      </c>
      <c r="E19506" t="s">
        <v>35779</v>
      </c>
      <c r="F19506" t="s">
        <v>32880</v>
      </c>
      <c r="G19506" t="s">
        <v>110</v>
      </c>
      <c r="H19506">
        <v>94087</v>
      </c>
      <c r="I19506" t="s">
        <v>30</v>
      </c>
      <c r="J19506" t="s">
        <v>171</v>
      </c>
      <c r="K19506" t="s">
        <v>1023</v>
      </c>
      <c r="N19506" t="s">
        <v>35780</v>
      </c>
      <c r="Q19506">
        <v>0</v>
      </c>
      <c r="R19506">
        <v>130</v>
      </c>
      <c r="S19506">
        <v>0</v>
      </c>
      <c r="T19506" t="s">
        <v>192</v>
      </c>
    </row>
    <row r="19507" spans="1:20" customFormat="1" ht="15" x14ac:dyDescent="0.25">
      <c r="A19507" t="s">
        <v>24</v>
      </c>
      <c r="B19507" t="s">
        <v>10054</v>
      </c>
      <c r="C19507" t="str">
        <f>"A0166859"</f>
        <v>A0166859</v>
      </c>
      <c r="D19507" t="s">
        <v>35813</v>
      </c>
      <c r="E19507" t="s">
        <v>35814</v>
      </c>
      <c r="F19507" t="s">
        <v>313</v>
      </c>
      <c r="G19507" t="s">
        <v>314</v>
      </c>
      <c r="H19507">
        <v>20024</v>
      </c>
      <c r="I19507" t="s">
        <v>30</v>
      </c>
      <c r="J19507" t="s">
        <v>171</v>
      </c>
      <c r="K19507" t="s">
        <v>3456</v>
      </c>
      <c r="N19507" t="s">
        <v>35815</v>
      </c>
      <c r="Q19507">
        <v>0</v>
      </c>
      <c r="R19507">
        <v>154</v>
      </c>
      <c r="S19507">
        <v>0</v>
      </c>
      <c r="T19507" t="s">
        <v>35816</v>
      </c>
    </row>
    <row r="19508" spans="1:20" customFormat="1" ht="15" x14ac:dyDescent="0.25">
      <c r="A19508" t="s">
        <v>24</v>
      </c>
      <c r="B19508" t="s">
        <v>9412</v>
      </c>
      <c r="C19508" t="str">
        <f>"A0091208"</f>
        <v>A0091208</v>
      </c>
      <c r="D19508" t="s">
        <v>35842</v>
      </c>
      <c r="E19508" t="s">
        <v>35843</v>
      </c>
      <c r="F19508" t="s">
        <v>11991</v>
      </c>
      <c r="G19508" t="s">
        <v>71</v>
      </c>
      <c r="H19508">
        <v>53719</v>
      </c>
      <c r="I19508" t="s">
        <v>30</v>
      </c>
      <c r="J19508" t="s">
        <v>171</v>
      </c>
      <c r="K19508" t="s">
        <v>3456</v>
      </c>
      <c r="N19508" t="s">
        <v>35844</v>
      </c>
      <c r="Q19508">
        <v>0</v>
      </c>
      <c r="R19508">
        <v>121</v>
      </c>
      <c r="S19508">
        <v>0</v>
      </c>
      <c r="T19508" t="s">
        <v>35845</v>
      </c>
    </row>
    <row r="19509" spans="1:20" customFormat="1" ht="15" x14ac:dyDescent="0.25">
      <c r="A19509" t="s">
        <v>24</v>
      </c>
      <c r="B19509" t="s">
        <v>35850</v>
      </c>
      <c r="C19509" t="str">
        <f>"A0087698"</f>
        <v>A0087698</v>
      </c>
      <c r="D19509" t="s">
        <v>35851</v>
      </c>
      <c r="E19509" t="s">
        <v>35852</v>
      </c>
      <c r="F19509" t="s">
        <v>3174</v>
      </c>
      <c r="G19509" t="s">
        <v>99</v>
      </c>
      <c r="H19509">
        <v>10014</v>
      </c>
      <c r="I19509" t="s">
        <v>30</v>
      </c>
      <c r="J19509" t="s">
        <v>171</v>
      </c>
      <c r="K19509" t="s">
        <v>973</v>
      </c>
      <c r="N19509" t="s">
        <v>35853</v>
      </c>
      <c r="Q19509">
        <v>0</v>
      </c>
      <c r="R19509">
        <v>122</v>
      </c>
      <c r="S19509">
        <v>0</v>
      </c>
      <c r="T19509" t="s">
        <v>35854</v>
      </c>
    </row>
    <row r="19510" spans="1:20" customFormat="1" ht="15" x14ac:dyDescent="0.25">
      <c r="A19510" t="s">
        <v>24</v>
      </c>
      <c r="B19510" t="s">
        <v>193</v>
      </c>
      <c r="C19510" t="str">
        <f>"A0056617"</f>
        <v>A0056617</v>
      </c>
      <c r="D19510" t="s">
        <v>35868</v>
      </c>
      <c r="E19510" t="s">
        <v>35869</v>
      </c>
      <c r="F19510" t="s">
        <v>35870</v>
      </c>
      <c r="G19510" t="s">
        <v>137</v>
      </c>
      <c r="H19510">
        <v>63366</v>
      </c>
      <c r="I19510" t="s">
        <v>30</v>
      </c>
      <c r="J19510" t="s">
        <v>171</v>
      </c>
      <c r="K19510" t="s">
        <v>1331</v>
      </c>
      <c r="Q19510">
        <v>0</v>
      </c>
      <c r="R19510">
        <v>122</v>
      </c>
      <c r="S19510">
        <v>0</v>
      </c>
      <c r="T19510" t="s">
        <v>35871</v>
      </c>
    </row>
    <row r="19511" spans="1:20" customFormat="1" ht="15" x14ac:dyDescent="0.25">
      <c r="A19511" t="s">
        <v>24</v>
      </c>
      <c r="B19511" t="s">
        <v>13422</v>
      </c>
      <c r="C19511" t="str">
        <f>"A0179510"</f>
        <v>A0179510</v>
      </c>
      <c r="D19511" t="s">
        <v>35896</v>
      </c>
      <c r="E19511" t="s">
        <v>35897</v>
      </c>
      <c r="F19511" t="s">
        <v>1183</v>
      </c>
      <c r="G19511" t="s">
        <v>1184</v>
      </c>
      <c r="H19511">
        <v>59601</v>
      </c>
      <c r="I19511" t="s">
        <v>30</v>
      </c>
      <c r="J19511" t="s">
        <v>171</v>
      </c>
      <c r="K19511" t="s">
        <v>315</v>
      </c>
      <c r="N19511" t="s">
        <v>35898</v>
      </c>
      <c r="Q19511">
        <v>0</v>
      </c>
      <c r="R19511">
        <v>48</v>
      </c>
      <c r="S19511">
        <v>0</v>
      </c>
      <c r="T19511" t="s">
        <v>35899</v>
      </c>
    </row>
    <row r="19512" spans="1:20" customFormat="1" ht="15" x14ac:dyDescent="0.25">
      <c r="A19512" t="s">
        <v>24</v>
      </c>
      <c r="B19512" t="s">
        <v>342</v>
      </c>
      <c r="C19512" t="str">
        <f>"A0077197"</f>
        <v>A0077197</v>
      </c>
      <c r="D19512" t="s">
        <v>36035</v>
      </c>
      <c r="E19512" t="s">
        <v>36036</v>
      </c>
      <c r="F19512" t="s">
        <v>36037</v>
      </c>
      <c r="G19512" t="s">
        <v>81</v>
      </c>
      <c r="H19512">
        <v>32550</v>
      </c>
      <c r="I19512" t="s">
        <v>30</v>
      </c>
      <c r="J19512" t="s">
        <v>171</v>
      </c>
      <c r="K19512" t="s">
        <v>973</v>
      </c>
      <c r="N19512" t="s">
        <v>36038</v>
      </c>
      <c r="Q19512">
        <v>0</v>
      </c>
      <c r="R19512">
        <v>173</v>
      </c>
      <c r="S19512">
        <v>0</v>
      </c>
      <c r="T19512" t="s">
        <v>36039</v>
      </c>
    </row>
    <row r="19513" spans="1:20" customFormat="1" ht="15" x14ac:dyDescent="0.25">
      <c r="A19513" t="s">
        <v>24</v>
      </c>
      <c r="B19513" t="s">
        <v>342</v>
      </c>
      <c r="C19513" t="str">
        <f>"A0147060"</f>
        <v>A0147060</v>
      </c>
      <c r="D19513" t="s">
        <v>36040</v>
      </c>
      <c r="E19513" t="s">
        <v>36041</v>
      </c>
      <c r="F19513" t="s">
        <v>36037</v>
      </c>
      <c r="G19513" t="s">
        <v>81</v>
      </c>
      <c r="H19513">
        <v>32550</v>
      </c>
      <c r="I19513" t="s">
        <v>30</v>
      </c>
      <c r="J19513" t="s">
        <v>171</v>
      </c>
      <c r="K19513" t="s">
        <v>1202</v>
      </c>
      <c r="N19513" t="s">
        <v>36042</v>
      </c>
      <c r="Q19513">
        <v>0</v>
      </c>
      <c r="R19513">
        <v>84</v>
      </c>
      <c r="S19513">
        <v>0</v>
      </c>
      <c r="T19513" t="s">
        <v>36043</v>
      </c>
    </row>
    <row r="19514" spans="1:20" customFormat="1" ht="15" x14ac:dyDescent="0.25">
      <c r="A19514" t="s">
        <v>24</v>
      </c>
      <c r="B19514" t="s">
        <v>342</v>
      </c>
      <c r="C19514" t="str">
        <f>"A0077991"</f>
        <v>A0077991</v>
      </c>
      <c r="D19514" t="s">
        <v>36044</v>
      </c>
      <c r="E19514" t="s">
        <v>36045</v>
      </c>
      <c r="F19514" t="s">
        <v>36037</v>
      </c>
      <c r="G19514" t="s">
        <v>81</v>
      </c>
      <c r="H19514">
        <v>32550</v>
      </c>
      <c r="I19514" t="s">
        <v>30</v>
      </c>
      <c r="J19514" t="s">
        <v>171</v>
      </c>
      <c r="K19514" t="s">
        <v>1450</v>
      </c>
      <c r="N19514" t="s">
        <v>36038</v>
      </c>
      <c r="O19514" t="s">
        <v>36046</v>
      </c>
      <c r="Q19514">
        <v>0</v>
      </c>
      <c r="R19514">
        <v>119</v>
      </c>
      <c r="S19514">
        <v>0</v>
      </c>
      <c r="T19514" t="s">
        <v>36047</v>
      </c>
    </row>
    <row r="19515" spans="1:20" customFormat="1" ht="15" x14ac:dyDescent="0.25">
      <c r="A19515" t="s">
        <v>24</v>
      </c>
      <c r="B19515" t="s">
        <v>193</v>
      </c>
      <c r="C19515" t="str">
        <f>"A0091627"</f>
        <v>A0091627</v>
      </c>
      <c r="D19515" t="s">
        <v>36048</v>
      </c>
      <c r="E19515" t="s">
        <v>36049</v>
      </c>
      <c r="F19515" t="s">
        <v>3880</v>
      </c>
      <c r="G19515" t="s">
        <v>99</v>
      </c>
      <c r="H19515">
        <v>10001</v>
      </c>
      <c r="I19515" t="s">
        <v>30</v>
      </c>
      <c r="J19515" t="s">
        <v>171</v>
      </c>
      <c r="K19515" t="s">
        <v>163</v>
      </c>
      <c r="N19515" t="s">
        <v>36050</v>
      </c>
      <c r="Q19515">
        <v>0</v>
      </c>
      <c r="R19515">
        <v>167</v>
      </c>
      <c r="S19515">
        <v>0</v>
      </c>
      <c r="T19515" t="s">
        <v>36051</v>
      </c>
    </row>
    <row r="19516" spans="1:20" customFormat="1" ht="15" x14ac:dyDescent="0.25">
      <c r="A19516" t="s">
        <v>24</v>
      </c>
      <c r="B19516" t="s">
        <v>140</v>
      </c>
      <c r="C19516" t="str">
        <f>"56676"</f>
        <v>56676</v>
      </c>
      <c r="D19516" t="s">
        <v>53272</v>
      </c>
      <c r="E19516" t="s">
        <v>53273</v>
      </c>
      <c r="F19516" t="s">
        <v>10530</v>
      </c>
      <c r="G19516" t="s">
        <v>81</v>
      </c>
      <c r="H19516">
        <v>32836</v>
      </c>
      <c r="I19516" t="s">
        <v>30</v>
      </c>
      <c r="J19516" t="s">
        <v>171</v>
      </c>
      <c r="K19516" t="s">
        <v>1450</v>
      </c>
      <c r="N19516" t="s">
        <v>53274</v>
      </c>
      <c r="O19516" t="s">
        <v>3486</v>
      </c>
      <c r="Q19516">
        <v>0</v>
      </c>
      <c r="R19516">
        <v>210</v>
      </c>
      <c r="S19516">
        <v>0</v>
      </c>
      <c r="T19516" t="s">
        <v>53275</v>
      </c>
    </row>
    <row r="19517" spans="1:20" customFormat="1" ht="15" x14ac:dyDescent="0.25">
      <c r="A19517" t="s">
        <v>24</v>
      </c>
      <c r="B19517" t="s">
        <v>4855</v>
      </c>
      <c r="C19517" t="str">
        <f>"A0089162"</f>
        <v>A0089162</v>
      </c>
      <c r="D19517" t="s">
        <v>72287</v>
      </c>
      <c r="E19517" t="s">
        <v>72288</v>
      </c>
      <c r="F19517" t="s">
        <v>4003</v>
      </c>
      <c r="G19517" t="s">
        <v>289</v>
      </c>
      <c r="H19517">
        <v>60173</v>
      </c>
      <c r="I19517" t="s">
        <v>30</v>
      </c>
      <c r="J19517" t="s">
        <v>191</v>
      </c>
      <c r="K19517" t="s">
        <v>6809</v>
      </c>
      <c r="N19517" t="s">
        <v>72289</v>
      </c>
      <c r="Q19517">
        <v>0</v>
      </c>
      <c r="R19517">
        <v>0</v>
      </c>
      <c r="S19517">
        <v>0</v>
      </c>
      <c r="T19517" t="s">
        <v>72290</v>
      </c>
    </row>
    <row r="19518" spans="1:20" customFormat="1" ht="15" x14ac:dyDescent="0.25">
      <c r="A19518" t="s">
        <v>24</v>
      </c>
      <c r="B19518" t="s">
        <v>4855</v>
      </c>
      <c r="C19518" t="str">
        <f>"A0165606"</f>
        <v>A0165606</v>
      </c>
      <c r="D19518" t="s">
        <v>72291</v>
      </c>
      <c r="E19518" t="s">
        <v>72292</v>
      </c>
      <c r="F19518" t="s">
        <v>2978</v>
      </c>
      <c r="G19518" t="s">
        <v>110</v>
      </c>
      <c r="H19518">
        <v>92110</v>
      </c>
      <c r="I19518" t="s">
        <v>30</v>
      </c>
      <c r="J19518" t="s">
        <v>191</v>
      </c>
      <c r="K19518" t="s">
        <v>11889</v>
      </c>
      <c r="N19518" t="s">
        <v>72293</v>
      </c>
      <c r="Q19518">
        <v>0</v>
      </c>
      <c r="R19518">
        <v>0</v>
      </c>
      <c r="S19518">
        <v>0</v>
      </c>
      <c r="T19518" t="s">
        <v>72294</v>
      </c>
    </row>
    <row r="19519" spans="1:20" customFormat="1" ht="15" x14ac:dyDescent="0.25">
      <c r="A19519" t="s">
        <v>24</v>
      </c>
      <c r="B19519" t="s">
        <v>140</v>
      </c>
      <c r="C19519" t="str">
        <f>"6516W"</f>
        <v>6516W</v>
      </c>
      <c r="D19519" t="s">
        <v>53276</v>
      </c>
      <c r="E19519" t="s">
        <v>53277</v>
      </c>
      <c r="F19519" t="s">
        <v>3466</v>
      </c>
      <c r="G19519" t="s">
        <v>840</v>
      </c>
      <c r="H19519">
        <v>40209</v>
      </c>
      <c r="I19519" t="s">
        <v>30</v>
      </c>
      <c r="J19519" t="s">
        <v>171</v>
      </c>
      <c r="K19519" t="s">
        <v>973</v>
      </c>
      <c r="N19519" t="s">
        <v>53278</v>
      </c>
      <c r="Q19519">
        <v>0</v>
      </c>
      <c r="R19519">
        <v>150</v>
      </c>
      <c r="S19519">
        <v>0</v>
      </c>
      <c r="T19519" t="s">
        <v>53279</v>
      </c>
    </row>
    <row r="19520" spans="1:20" customFormat="1" ht="15" x14ac:dyDescent="0.25">
      <c r="A19520" t="s">
        <v>24</v>
      </c>
      <c r="B19520" t="s">
        <v>2368</v>
      </c>
      <c r="C19520" t="str">
        <f>"A0167412"</f>
        <v>A0167412</v>
      </c>
      <c r="D19520" t="s">
        <v>53316</v>
      </c>
      <c r="E19520" t="s">
        <v>53317</v>
      </c>
      <c r="F19520" t="s">
        <v>53318</v>
      </c>
      <c r="G19520" t="s">
        <v>153</v>
      </c>
      <c r="H19520">
        <v>84121</v>
      </c>
      <c r="I19520" t="s">
        <v>30</v>
      </c>
      <c r="J19520" t="s">
        <v>171</v>
      </c>
      <c r="K19520" t="s">
        <v>973</v>
      </c>
      <c r="N19520" t="s">
        <v>53319</v>
      </c>
      <c r="O19520" t="s">
        <v>53320</v>
      </c>
      <c r="Q19520">
        <v>0</v>
      </c>
      <c r="R19520">
        <v>152</v>
      </c>
      <c r="S19520">
        <v>0</v>
      </c>
      <c r="T19520" t="s">
        <v>53321</v>
      </c>
    </row>
    <row r="19521" spans="1:25" customFormat="1" ht="15" x14ac:dyDescent="0.25">
      <c r="A19521" t="s">
        <v>24</v>
      </c>
      <c r="B19521" t="s">
        <v>1020</v>
      </c>
      <c r="C19521" t="str">
        <f>"A0090146"</f>
        <v>A0090146</v>
      </c>
      <c r="D19521" t="s">
        <v>72304</v>
      </c>
      <c r="E19521" t="s">
        <v>72305</v>
      </c>
      <c r="F19521" t="s">
        <v>997</v>
      </c>
      <c r="G19521" t="s">
        <v>99</v>
      </c>
      <c r="H19521">
        <v>10017</v>
      </c>
      <c r="I19521" t="s">
        <v>30</v>
      </c>
      <c r="J19521" t="s">
        <v>31</v>
      </c>
      <c r="K19521" t="s">
        <v>163</v>
      </c>
      <c r="N19521" t="s">
        <v>72306</v>
      </c>
      <c r="O19521" t="s">
        <v>72307</v>
      </c>
      <c r="Q19521">
        <v>0</v>
      </c>
      <c r="R19521">
        <v>116</v>
      </c>
      <c r="S19521">
        <v>0</v>
      </c>
      <c r="T19521" t="s">
        <v>72308</v>
      </c>
    </row>
    <row r="19522" spans="1:25" customFormat="1" ht="15" x14ac:dyDescent="0.25">
      <c r="A19522" t="s">
        <v>24</v>
      </c>
      <c r="B19522" t="s">
        <v>5843</v>
      </c>
      <c r="C19522" t="str">
        <f>"A0088220"</f>
        <v>A0088220</v>
      </c>
      <c r="D19522" t="s">
        <v>72309</v>
      </c>
      <c r="E19522" t="s">
        <v>72310</v>
      </c>
      <c r="F19522" t="s">
        <v>2376</v>
      </c>
      <c r="G19522" t="s">
        <v>110</v>
      </c>
      <c r="H19522">
        <v>93940</v>
      </c>
      <c r="I19522" t="s">
        <v>30</v>
      </c>
      <c r="J19522" t="s">
        <v>31</v>
      </c>
      <c r="K19522" t="s">
        <v>163</v>
      </c>
      <c r="N19522" t="s">
        <v>72311</v>
      </c>
      <c r="O19522" t="s">
        <v>72312</v>
      </c>
      <c r="Q19522">
        <v>0</v>
      </c>
      <c r="R19522">
        <v>93</v>
      </c>
      <c r="S19522">
        <v>0</v>
      </c>
      <c r="T19522" t="s">
        <v>72313</v>
      </c>
    </row>
    <row r="19523" spans="1:25" customFormat="1" ht="15" x14ac:dyDescent="0.25">
      <c r="A19523" t="s">
        <v>24</v>
      </c>
      <c r="B19523" t="s">
        <v>53380</v>
      </c>
      <c r="C19523" t="str">
        <f>"651IE"</f>
        <v>651IE</v>
      </c>
      <c r="D19523" t="s">
        <v>53381</v>
      </c>
      <c r="E19523" t="s">
        <v>53382</v>
      </c>
      <c r="F19523" t="s">
        <v>53383</v>
      </c>
      <c r="G19523" t="s">
        <v>52</v>
      </c>
      <c r="H19523">
        <v>77705</v>
      </c>
      <c r="I19523" t="s">
        <v>30</v>
      </c>
      <c r="J19523" t="s">
        <v>171</v>
      </c>
      <c r="K19523" t="s">
        <v>973</v>
      </c>
      <c r="N19523" t="s">
        <v>53384</v>
      </c>
      <c r="Q19523">
        <v>0</v>
      </c>
      <c r="R19523">
        <v>78</v>
      </c>
      <c r="S19523">
        <v>0</v>
      </c>
      <c r="T19523" t="s">
        <v>53385</v>
      </c>
    </row>
    <row r="19524" spans="1:25" customFormat="1" ht="15" x14ac:dyDescent="0.25">
      <c r="A19524" t="s">
        <v>24</v>
      </c>
      <c r="B19524" t="s">
        <v>257</v>
      </c>
      <c r="C19524" t="str">
        <f>"A0166498"</f>
        <v>A0166498</v>
      </c>
      <c r="D19524" t="s">
        <v>53386</v>
      </c>
      <c r="E19524" t="s">
        <v>53387</v>
      </c>
      <c r="F19524" t="s">
        <v>53388</v>
      </c>
      <c r="G19524" t="s">
        <v>381</v>
      </c>
      <c r="H19524">
        <v>46168</v>
      </c>
      <c r="I19524" t="s">
        <v>30</v>
      </c>
      <c r="J19524" t="s">
        <v>171</v>
      </c>
      <c r="K19524" t="s">
        <v>973</v>
      </c>
      <c r="N19524" t="s">
        <v>53389</v>
      </c>
      <c r="O19524" t="s">
        <v>53390</v>
      </c>
      <c r="Q19524">
        <v>0</v>
      </c>
      <c r="R19524">
        <v>125</v>
      </c>
      <c r="S19524">
        <v>0</v>
      </c>
      <c r="T19524" t="s">
        <v>53391</v>
      </c>
    </row>
    <row r="19525" spans="1:25" customFormat="1" ht="15" x14ac:dyDescent="0.25">
      <c r="A19525" t="s">
        <v>24</v>
      </c>
      <c r="B19525" t="s">
        <v>2373</v>
      </c>
      <c r="C19525" t="str">
        <f>"A0178636"</f>
        <v>A0178636</v>
      </c>
      <c r="D19525" t="s">
        <v>53404</v>
      </c>
      <c r="E19525" t="s">
        <v>53405</v>
      </c>
      <c r="F19525" t="s">
        <v>9812</v>
      </c>
      <c r="G19525" t="s">
        <v>103</v>
      </c>
      <c r="H19525">
        <v>19107</v>
      </c>
      <c r="I19525" t="s">
        <v>30</v>
      </c>
      <c r="J19525" t="s">
        <v>171</v>
      </c>
      <c r="K19525" t="s">
        <v>3456</v>
      </c>
      <c r="N19525" t="s">
        <v>53406</v>
      </c>
      <c r="Q19525">
        <v>0</v>
      </c>
      <c r="R19525">
        <v>223</v>
      </c>
      <c r="S19525">
        <v>0</v>
      </c>
      <c r="T19525" t="s">
        <v>53407</v>
      </c>
    </row>
    <row r="19526" spans="1:25" customFormat="1" ht="15" x14ac:dyDescent="0.25">
      <c r="A19526" t="s">
        <v>24</v>
      </c>
      <c r="B19526" t="s">
        <v>649</v>
      </c>
      <c r="C19526" t="str">
        <f>"A0093380"</f>
        <v>A0093380</v>
      </c>
      <c r="D19526" t="s">
        <v>53422</v>
      </c>
      <c r="E19526" t="s">
        <v>53423</v>
      </c>
      <c r="F19526" t="s">
        <v>53424</v>
      </c>
      <c r="G19526" t="s">
        <v>65</v>
      </c>
      <c r="H19526">
        <v>44312</v>
      </c>
      <c r="I19526" t="s">
        <v>30</v>
      </c>
      <c r="J19526" t="s">
        <v>171</v>
      </c>
      <c r="K19526" t="s">
        <v>1450</v>
      </c>
      <c r="N19526" t="s">
        <v>53425</v>
      </c>
      <c r="O19526" t="s">
        <v>10754</v>
      </c>
      <c r="Q19526">
        <v>0</v>
      </c>
      <c r="R19526">
        <v>80</v>
      </c>
      <c r="S19526">
        <v>0</v>
      </c>
      <c r="T19526" t="s">
        <v>53426</v>
      </c>
    </row>
    <row r="19527" spans="1:25" customFormat="1" ht="15" x14ac:dyDescent="0.25">
      <c r="A19527" t="s">
        <v>24</v>
      </c>
      <c r="B19527" t="s">
        <v>649</v>
      </c>
      <c r="C19527" t="str">
        <f>"A0086838"</f>
        <v>A0086838</v>
      </c>
      <c r="D19527" t="s">
        <v>53427</v>
      </c>
      <c r="E19527" t="s">
        <v>53428</v>
      </c>
      <c r="F19527" t="s">
        <v>3272</v>
      </c>
      <c r="G19527" t="s">
        <v>65</v>
      </c>
      <c r="H19527">
        <v>44130</v>
      </c>
      <c r="I19527" t="s">
        <v>30</v>
      </c>
      <c r="J19527" t="s">
        <v>171</v>
      </c>
      <c r="K19527" t="s">
        <v>1450</v>
      </c>
      <c r="N19527" t="s">
        <v>53429</v>
      </c>
      <c r="O19527" t="s">
        <v>53430</v>
      </c>
      <c r="Q19527">
        <v>0</v>
      </c>
      <c r="R19527">
        <v>116</v>
      </c>
      <c r="S19527">
        <v>0</v>
      </c>
      <c r="T19527" t="s">
        <v>53431</v>
      </c>
    </row>
    <row r="19528" spans="1:25" customFormat="1" ht="15" x14ac:dyDescent="0.25">
      <c r="A19528" t="s">
        <v>24</v>
      </c>
      <c r="B19528" t="s">
        <v>649</v>
      </c>
      <c r="C19528" t="str">
        <f>"A0096006"</f>
        <v>A0096006</v>
      </c>
      <c r="D19528" t="s">
        <v>53432</v>
      </c>
      <c r="E19528" t="s">
        <v>53433</v>
      </c>
      <c r="F19528" t="s">
        <v>1525</v>
      </c>
      <c r="G19528" t="s">
        <v>65</v>
      </c>
      <c r="H19528">
        <v>43240</v>
      </c>
      <c r="I19528" t="s">
        <v>30</v>
      </c>
      <c r="J19528" t="s">
        <v>171</v>
      </c>
      <c r="K19528" t="s">
        <v>1023</v>
      </c>
      <c r="N19528" t="s">
        <v>53434</v>
      </c>
      <c r="O19528" t="s">
        <v>53435</v>
      </c>
      <c r="Q19528">
        <v>0</v>
      </c>
      <c r="R19528">
        <v>92</v>
      </c>
      <c r="S19528">
        <v>0</v>
      </c>
      <c r="T19528" t="s">
        <v>53436</v>
      </c>
    </row>
    <row r="19529" spans="1:25" customFormat="1" ht="15" x14ac:dyDescent="0.25">
      <c r="A19529" t="s">
        <v>24</v>
      </c>
      <c r="B19529" t="s">
        <v>72338</v>
      </c>
      <c r="C19529" t="str">
        <f>"A0149481"</f>
        <v>A0149481</v>
      </c>
      <c r="D19529" t="s">
        <v>72339</v>
      </c>
      <c r="E19529" t="s">
        <v>72340</v>
      </c>
      <c r="F19529" t="s">
        <v>35101</v>
      </c>
      <c r="G19529" t="s">
        <v>110</v>
      </c>
      <c r="H19529">
        <v>94066</v>
      </c>
      <c r="I19529" t="s">
        <v>30</v>
      </c>
      <c r="J19529" t="s">
        <v>31</v>
      </c>
      <c r="K19529" t="s">
        <v>163</v>
      </c>
      <c r="N19529" t="s">
        <v>72341</v>
      </c>
      <c r="Q19529">
        <v>0</v>
      </c>
      <c r="R19529">
        <v>49</v>
      </c>
      <c r="S19529">
        <v>0</v>
      </c>
      <c r="T19529" t="s">
        <v>72342</v>
      </c>
    </row>
    <row r="19530" spans="1:25" customFormat="1" ht="15" x14ac:dyDescent="0.25">
      <c r="A19530" t="s">
        <v>24</v>
      </c>
      <c r="B19530" t="s">
        <v>649</v>
      </c>
      <c r="C19530" t="str">
        <f>"A0069528"</f>
        <v>A0069528</v>
      </c>
      <c r="D19530" t="s">
        <v>53447</v>
      </c>
      <c r="E19530" t="s">
        <v>53448</v>
      </c>
      <c r="F19530" t="s">
        <v>1131</v>
      </c>
      <c r="G19530" t="s">
        <v>29</v>
      </c>
      <c r="H19530">
        <v>22209</v>
      </c>
      <c r="I19530" t="s">
        <v>30</v>
      </c>
      <c r="J19530" t="s">
        <v>171</v>
      </c>
      <c r="K19530" t="s">
        <v>7385</v>
      </c>
      <c r="N19530" t="s">
        <v>53449</v>
      </c>
      <c r="O19530" t="s">
        <v>53450</v>
      </c>
      <c r="Q19530">
        <v>0</v>
      </c>
      <c r="R19530">
        <v>134</v>
      </c>
      <c r="S19530">
        <v>0</v>
      </c>
      <c r="T19530" t="s">
        <v>53451</v>
      </c>
    </row>
    <row r="19531" spans="1:25" hidden="1" x14ac:dyDescent="0.25">
      <c r="A19531" s="3" t="s">
        <v>24</v>
      </c>
      <c r="B19531" s="3" t="s">
        <v>72347</v>
      </c>
      <c r="C19531" s="3" t="str">
        <f>"A0089710"</f>
        <v>A0089710</v>
      </c>
      <c r="D19531" s="3" t="s">
        <v>72348</v>
      </c>
      <c r="E19531" s="3" t="s">
        <v>72349</v>
      </c>
      <c r="F19531" s="3" t="s">
        <v>72350</v>
      </c>
      <c r="G19531" s="3" t="s">
        <v>32743</v>
      </c>
      <c r="H19531" s="3">
        <v>39907</v>
      </c>
      <c r="I19531" s="3" t="s">
        <v>2408</v>
      </c>
      <c r="J19531" s="3" t="s">
        <v>206</v>
      </c>
      <c r="K19531" s="3" t="s">
        <v>56440</v>
      </c>
      <c r="N19531" s="3" t="s">
        <v>72351</v>
      </c>
      <c r="Q19531" s="3">
        <v>0</v>
      </c>
      <c r="R19531" s="3">
        <v>45</v>
      </c>
      <c r="S19531" s="3">
        <v>0</v>
      </c>
      <c r="T19531" s="3" t="s">
        <v>72352</v>
      </c>
    </row>
    <row r="19532" spans="1:25" customFormat="1" ht="15" x14ac:dyDescent="0.25">
      <c r="A19532" t="s">
        <v>24</v>
      </c>
      <c r="B19532" t="s">
        <v>649</v>
      </c>
      <c r="C19532" t="str">
        <f>"A0095026"</f>
        <v>A0095026</v>
      </c>
      <c r="D19532" t="s">
        <v>53452</v>
      </c>
      <c r="E19532" t="s">
        <v>53453</v>
      </c>
      <c r="F19532" t="s">
        <v>1824</v>
      </c>
      <c r="G19532" t="s">
        <v>65</v>
      </c>
      <c r="H19532">
        <v>45069</v>
      </c>
      <c r="I19532" t="s">
        <v>30</v>
      </c>
      <c r="J19532" t="s">
        <v>171</v>
      </c>
      <c r="K19532" t="s">
        <v>1331</v>
      </c>
      <c r="N19532" t="s">
        <v>53454</v>
      </c>
      <c r="O19532" t="s">
        <v>53455</v>
      </c>
      <c r="Q19532">
        <v>0</v>
      </c>
      <c r="R19532">
        <v>125</v>
      </c>
      <c r="S19532">
        <v>0</v>
      </c>
      <c r="T19532" t="s">
        <v>53456</v>
      </c>
    </row>
    <row r="19533" spans="1:25" customFormat="1" ht="15" x14ac:dyDescent="0.25">
      <c r="A19533" t="s">
        <v>24</v>
      </c>
      <c r="B19533" t="s">
        <v>649</v>
      </c>
      <c r="C19533" t="str">
        <f>"A0099767"</f>
        <v>A0099767</v>
      </c>
      <c r="D19533" t="s">
        <v>53475</v>
      </c>
      <c r="E19533" t="s">
        <v>53476</v>
      </c>
      <c r="F19533" t="s">
        <v>3154</v>
      </c>
      <c r="G19533" t="s">
        <v>381</v>
      </c>
      <c r="H19533">
        <v>47905</v>
      </c>
      <c r="I19533" t="s">
        <v>30</v>
      </c>
      <c r="J19533" t="s">
        <v>171</v>
      </c>
      <c r="K19533" t="s">
        <v>1450</v>
      </c>
      <c r="N19533" t="s">
        <v>53477</v>
      </c>
      <c r="O19533" t="s">
        <v>53478</v>
      </c>
      <c r="Q19533">
        <v>0</v>
      </c>
      <c r="R19533">
        <v>108</v>
      </c>
      <c r="S19533">
        <v>0</v>
      </c>
      <c r="T19533" t="s">
        <v>53479</v>
      </c>
    </row>
    <row r="19534" spans="1:25" x14ac:dyDescent="0.25">
      <c r="A19534" s="5" t="s">
        <v>24</v>
      </c>
      <c r="B19534" s="5" t="s">
        <v>649</v>
      </c>
      <c r="C19534" s="5" t="str">
        <f>"651I8"</f>
        <v>651I8</v>
      </c>
      <c r="D19534" s="5" t="s">
        <v>53498</v>
      </c>
      <c r="E19534" s="5" t="s">
        <v>53499</v>
      </c>
      <c r="F19534" s="5" t="s">
        <v>53500</v>
      </c>
      <c r="G19534" s="5" t="s">
        <v>381</v>
      </c>
      <c r="H19534" s="5">
        <v>46902</v>
      </c>
      <c r="I19534" s="5" t="s">
        <v>30</v>
      </c>
      <c r="J19534" s="5" t="s">
        <v>171</v>
      </c>
      <c r="K19534" s="5" t="s">
        <v>973</v>
      </c>
      <c r="L19534" s="5"/>
      <c r="M19534" s="5"/>
      <c r="N19534" s="5" t="s">
        <v>53501</v>
      </c>
      <c r="O19534" s="5" t="s">
        <v>53502</v>
      </c>
      <c r="P19534" s="5"/>
      <c r="Q19534" s="5">
        <v>0</v>
      </c>
      <c r="R19534" s="5">
        <v>90</v>
      </c>
      <c r="S19534" s="5">
        <v>0</v>
      </c>
      <c r="T19534" s="5" t="s">
        <v>53503</v>
      </c>
      <c r="U19534" s="5"/>
      <c r="V19534" s="5"/>
      <c r="W19534" s="5"/>
      <c r="X19534" s="5"/>
      <c r="Y19534" s="5"/>
    </row>
    <row r="19535" spans="1:25" customFormat="1" ht="15" x14ac:dyDescent="0.25">
      <c r="A19535" t="s">
        <v>24</v>
      </c>
      <c r="B19535" t="s">
        <v>649</v>
      </c>
      <c r="C19535" t="str">
        <f>"A0096010"</f>
        <v>A0096010</v>
      </c>
      <c r="D19535" t="s">
        <v>53537</v>
      </c>
      <c r="E19535" t="s">
        <v>53538</v>
      </c>
      <c r="F19535" t="s">
        <v>53528</v>
      </c>
      <c r="G19535" t="s">
        <v>65</v>
      </c>
      <c r="H19535">
        <v>44663</v>
      </c>
      <c r="I19535" t="s">
        <v>30</v>
      </c>
      <c r="J19535" t="s">
        <v>171</v>
      </c>
      <c r="K19535" t="s">
        <v>5354</v>
      </c>
      <c r="N19535" t="s">
        <v>53529</v>
      </c>
      <c r="Q19535">
        <v>0</v>
      </c>
      <c r="R19535">
        <v>66</v>
      </c>
      <c r="S19535">
        <v>0</v>
      </c>
      <c r="T19535" t="s">
        <v>53531</v>
      </c>
    </row>
    <row r="19536" spans="1:25" x14ac:dyDescent="0.25">
      <c r="A19536" s="5" t="s">
        <v>24</v>
      </c>
      <c r="B19536" s="5" t="s">
        <v>53545</v>
      </c>
      <c r="C19536" s="5" t="str">
        <f>"A0158382"</f>
        <v>A0158382</v>
      </c>
      <c r="D19536" s="5" t="s">
        <v>53546</v>
      </c>
      <c r="E19536" s="5" t="s">
        <v>53547</v>
      </c>
      <c r="F19536" s="5" t="s">
        <v>53548</v>
      </c>
      <c r="G19536" s="5" t="s">
        <v>103</v>
      </c>
      <c r="H19536" s="5">
        <v>19004</v>
      </c>
      <c r="I19536" s="5" t="s">
        <v>30</v>
      </c>
      <c r="J19536" s="5" t="s">
        <v>171</v>
      </c>
      <c r="K19536" s="5" t="s">
        <v>1450</v>
      </c>
      <c r="L19536" s="5"/>
      <c r="M19536" s="5"/>
      <c r="N19536" s="5" t="s">
        <v>53549</v>
      </c>
      <c r="O19536" s="5" t="s">
        <v>53550</v>
      </c>
      <c r="P19536" s="5"/>
      <c r="Q19536" s="5">
        <v>0</v>
      </c>
      <c r="R19536" s="5">
        <v>124</v>
      </c>
      <c r="S19536" s="5">
        <v>0</v>
      </c>
      <c r="T19536" s="5" t="s">
        <v>53551</v>
      </c>
      <c r="U19536" s="5"/>
      <c r="V19536" s="5"/>
      <c r="W19536" s="5"/>
      <c r="X19536" s="5"/>
      <c r="Y19536" s="5"/>
    </row>
    <row r="19537" spans="1:25" customFormat="1" ht="15" x14ac:dyDescent="0.25">
      <c r="A19537" t="s">
        <v>24</v>
      </c>
      <c r="B19537" t="s">
        <v>65770</v>
      </c>
      <c r="C19537" t="str">
        <f>"A0096474"</f>
        <v>A0096474</v>
      </c>
      <c r="D19537" t="s">
        <v>72372</v>
      </c>
      <c r="E19537" t="s">
        <v>72373</v>
      </c>
      <c r="F19537" t="s">
        <v>716</v>
      </c>
      <c r="G19537" t="s">
        <v>289</v>
      </c>
      <c r="H19537">
        <v>60612</v>
      </c>
      <c r="I19537" t="s">
        <v>30</v>
      </c>
      <c r="J19537" t="s">
        <v>31</v>
      </c>
      <c r="K19537" t="s">
        <v>163</v>
      </c>
      <c r="N19537" t="s">
        <v>72374</v>
      </c>
      <c r="Q19537">
        <v>0</v>
      </c>
      <c r="R19537">
        <v>117</v>
      </c>
      <c r="S19537">
        <v>0</v>
      </c>
      <c r="T19537" t="s">
        <v>72375</v>
      </c>
    </row>
    <row r="19538" spans="1:25" customFormat="1" ht="15" x14ac:dyDescent="0.25">
      <c r="A19538" t="s">
        <v>24</v>
      </c>
      <c r="B19538" t="s">
        <v>1609</v>
      </c>
      <c r="C19538" t="str">
        <f>"A0166355"</f>
        <v>A0166355</v>
      </c>
      <c r="D19538" t="s">
        <v>53614</v>
      </c>
      <c r="E19538" t="s">
        <v>53615</v>
      </c>
      <c r="F19538" t="s">
        <v>4802</v>
      </c>
      <c r="G19538" t="s">
        <v>110</v>
      </c>
      <c r="H19538">
        <v>95112</v>
      </c>
      <c r="I19538" t="s">
        <v>30</v>
      </c>
      <c r="J19538" t="s">
        <v>171</v>
      </c>
      <c r="K19538" t="s">
        <v>1331</v>
      </c>
      <c r="N19538" t="s">
        <v>53616</v>
      </c>
      <c r="Q19538">
        <v>0</v>
      </c>
      <c r="R19538">
        <v>150</v>
      </c>
      <c r="S19538">
        <v>0</v>
      </c>
      <c r="T19538" t="s">
        <v>53617</v>
      </c>
    </row>
    <row r="19539" spans="1:25" x14ac:dyDescent="0.25">
      <c r="A19539" s="5" t="s">
        <v>24</v>
      </c>
      <c r="B19539" s="5" t="s">
        <v>3628</v>
      </c>
      <c r="C19539" s="5" t="str">
        <f>"A0151766"</f>
        <v>A0151766</v>
      </c>
      <c r="D19539" s="5" t="s">
        <v>53627</v>
      </c>
      <c r="E19539" s="5" t="s">
        <v>53628</v>
      </c>
      <c r="F19539" s="5" t="s">
        <v>6593</v>
      </c>
      <c r="G19539" s="5" t="s">
        <v>47</v>
      </c>
      <c r="H19539" s="5">
        <v>97230</v>
      </c>
      <c r="I19539" s="5" t="s">
        <v>30</v>
      </c>
      <c r="J19539" s="5" t="s">
        <v>171</v>
      </c>
      <c r="K19539" s="5" t="s">
        <v>973</v>
      </c>
      <c r="L19539" s="5"/>
      <c r="M19539" s="5"/>
      <c r="N19539" s="5" t="s">
        <v>53629</v>
      </c>
      <c r="O19539" s="5" t="s">
        <v>53630</v>
      </c>
      <c r="P19539" s="5"/>
      <c r="Q19539" s="5">
        <v>0</v>
      </c>
      <c r="R19539" s="5">
        <v>100</v>
      </c>
      <c r="S19539" s="5">
        <v>0</v>
      </c>
      <c r="T19539" s="5" t="s">
        <v>53631</v>
      </c>
      <c r="U19539" s="5"/>
      <c r="V19539" s="5"/>
      <c r="W19539" s="5"/>
      <c r="X19539" s="5"/>
      <c r="Y19539" s="5"/>
    </row>
    <row r="19540" spans="1:25" customFormat="1" ht="15" x14ac:dyDescent="0.25">
      <c r="A19540" t="s">
        <v>24</v>
      </c>
      <c r="B19540" t="s">
        <v>1609</v>
      </c>
      <c r="C19540" t="str">
        <f>"A0117350"</f>
        <v>A0117350</v>
      </c>
      <c r="D19540" t="s">
        <v>53641</v>
      </c>
      <c r="E19540" t="s">
        <v>53642</v>
      </c>
      <c r="F19540" t="s">
        <v>14487</v>
      </c>
      <c r="G19540" t="s">
        <v>76</v>
      </c>
      <c r="H19540">
        <v>98037</v>
      </c>
      <c r="I19540" t="s">
        <v>30</v>
      </c>
      <c r="J19540" t="s">
        <v>171</v>
      </c>
      <c r="K19540" t="s">
        <v>1023</v>
      </c>
      <c r="N19540" t="s">
        <v>53643</v>
      </c>
      <c r="O19540" t="s">
        <v>53644</v>
      </c>
      <c r="Q19540">
        <v>0</v>
      </c>
      <c r="R19540">
        <v>170</v>
      </c>
      <c r="S19540">
        <v>0</v>
      </c>
      <c r="T19540" t="s">
        <v>53645</v>
      </c>
    </row>
    <row r="19541" spans="1:25" customFormat="1" ht="15" x14ac:dyDescent="0.25">
      <c r="A19541" t="s">
        <v>24</v>
      </c>
      <c r="B19541" t="s">
        <v>3628</v>
      </c>
      <c r="C19541" t="str">
        <f>"A0100614"</f>
        <v>A0100614</v>
      </c>
      <c r="D19541" t="s">
        <v>53646</v>
      </c>
      <c r="E19541" t="s">
        <v>53647</v>
      </c>
      <c r="F19541" t="s">
        <v>4189</v>
      </c>
      <c r="G19541" t="s">
        <v>47</v>
      </c>
      <c r="H19541">
        <v>97702</v>
      </c>
      <c r="I19541" t="s">
        <v>30</v>
      </c>
      <c r="J19541" t="s">
        <v>171</v>
      </c>
      <c r="K19541" t="s">
        <v>1450</v>
      </c>
      <c r="N19541" t="s">
        <v>53648</v>
      </c>
      <c r="Q19541">
        <v>0</v>
      </c>
      <c r="R19541">
        <v>105</v>
      </c>
      <c r="S19541">
        <v>0</v>
      </c>
      <c r="T19541" t="s">
        <v>53649</v>
      </c>
    </row>
    <row r="19542" spans="1:25" customFormat="1" ht="15" x14ac:dyDescent="0.25">
      <c r="A19542" t="s">
        <v>24</v>
      </c>
      <c r="B19542" t="s">
        <v>3628</v>
      </c>
      <c r="C19542" t="str">
        <f>"A0096595"</f>
        <v>A0096595</v>
      </c>
      <c r="D19542" t="s">
        <v>53665</v>
      </c>
      <c r="E19542" t="s">
        <v>53666</v>
      </c>
      <c r="F19542" t="s">
        <v>53667</v>
      </c>
      <c r="G19542" t="s">
        <v>76</v>
      </c>
      <c r="H19542">
        <v>98201</v>
      </c>
      <c r="I19542" t="s">
        <v>30</v>
      </c>
      <c r="J19542" t="s">
        <v>171</v>
      </c>
      <c r="K19542" t="s">
        <v>973</v>
      </c>
      <c r="N19542" t="s">
        <v>53668</v>
      </c>
      <c r="Q19542">
        <v>0</v>
      </c>
      <c r="R19542">
        <v>156</v>
      </c>
      <c r="S19542">
        <v>0</v>
      </c>
      <c r="T19542" t="s">
        <v>53669</v>
      </c>
    </row>
    <row r="19543" spans="1:25" customFormat="1" ht="15" hidden="1" x14ac:dyDescent="0.25">
      <c r="A19543" t="s">
        <v>24</v>
      </c>
      <c r="B19543" t="s">
        <v>4799</v>
      </c>
      <c r="C19543" t="str">
        <f>"A0157903"</f>
        <v>A0157903</v>
      </c>
      <c r="D19543" t="s">
        <v>72398</v>
      </c>
      <c r="E19543" t="s">
        <v>72399</v>
      </c>
      <c r="F19543" t="s">
        <v>72400</v>
      </c>
      <c r="G19543" t="s">
        <v>5862</v>
      </c>
      <c r="H19543">
        <v>63727</v>
      </c>
      <c r="I19543" t="s">
        <v>2408</v>
      </c>
      <c r="J19543" t="s">
        <v>162</v>
      </c>
      <c r="K19543" t="s">
        <v>4839</v>
      </c>
      <c r="N19543" t="s">
        <v>62607</v>
      </c>
      <c r="O19543" t="s">
        <v>62608</v>
      </c>
      <c r="Q19543">
        <v>0</v>
      </c>
      <c r="R19543">
        <v>240</v>
      </c>
      <c r="S19543">
        <v>0</v>
      </c>
      <c r="T19543" t="s">
        <v>62609</v>
      </c>
    </row>
    <row r="19544" spans="1:25" customFormat="1" ht="15" hidden="1" x14ac:dyDescent="0.25">
      <c r="A19544" t="s">
        <v>24</v>
      </c>
      <c r="B19544" t="s">
        <v>1548</v>
      </c>
      <c r="C19544" t="str">
        <f>"A0078532"</f>
        <v>A0078532</v>
      </c>
      <c r="D19544" t="s">
        <v>72401</v>
      </c>
      <c r="E19544" t="s">
        <v>72402</v>
      </c>
      <c r="F19544" t="s">
        <v>72403</v>
      </c>
      <c r="G19544" t="s">
        <v>1457</v>
      </c>
      <c r="H19544" t="s">
        <v>72404</v>
      </c>
      <c r="I19544" t="s">
        <v>1459</v>
      </c>
      <c r="J19544" t="s">
        <v>171</v>
      </c>
      <c r="K19544" t="s">
        <v>163</v>
      </c>
      <c r="N19544" t="s">
        <v>72405</v>
      </c>
      <c r="Q19544">
        <v>0</v>
      </c>
      <c r="R19544">
        <v>122</v>
      </c>
      <c r="S19544">
        <v>0</v>
      </c>
      <c r="T19544" t="s">
        <v>72406</v>
      </c>
    </row>
    <row r="19545" spans="1:25" x14ac:dyDescent="0.25">
      <c r="A19545" s="5" t="s">
        <v>24</v>
      </c>
      <c r="B19545" s="5" t="s">
        <v>3628</v>
      </c>
      <c r="C19545" s="5" t="str">
        <f>"A0084482"</f>
        <v>A0084482</v>
      </c>
      <c r="D19545" s="5" t="s">
        <v>53688</v>
      </c>
      <c r="E19545" s="5" t="s">
        <v>53689</v>
      </c>
      <c r="F19545" s="5" t="s">
        <v>53690</v>
      </c>
      <c r="G19545" s="5" t="s">
        <v>110</v>
      </c>
      <c r="H19545" s="5">
        <v>93405</v>
      </c>
      <c r="I19545" s="5" t="s">
        <v>30</v>
      </c>
      <c r="J19545" s="5" t="s">
        <v>171</v>
      </c>
      <c r="K19545" s="5" t="s">
        <v>973</v>
      </c>
      <c r="L19545" s="5"/>
      <c r="M19545" s="5"/>
      <c r="N19545" s="5" t="s">
        <v>53691</v>
      </c>
      <c r="O19545" s="5" t="s">
        <v>53692</v>
      </c>
      <c r="P19545" s="5"/>
      <c r="Q19545" s="5">
        <v>0</v>
      </c>
      <c r="R19545" s="5">
        <v>139</v>
      </c>
      <c r="S19545" s="5">
        <v>0</v>
      </c>
      <c r="T19545" s="5" t="s">
        <v>53693</v>
      </c>
      <c r="U19545" s="5"/>
      <c r="V19545" s="5"/>
      <c r="W19545" s="5"/>
      <c r="X19545" s="5"/>
      <c r="Y19545" s="5"/>
    </row>
    <row r="19546" spans="1:25" customFormat="1" ht="15" x14ac:dyDescent="0.25">
      <c r="A19546" t="s">
        <v>24</v>
      </c>
      <c r="B19546" t="s">
        <v>1609</v>
      </c>
      <c r="C19546" t="str">
        <f>"A0084003"</f>
        <v>A0084003</v>
      </c>
      <c r="D19546" t="s">
        <v>53698</v>
      </c>
      <c r="E19546" t="s">
        <v>53699</v>
      </c>
      <c r="F19546" t="s">
        <v>1439</v>
      </c>
      <c r="G19546" t="s">
        <v>110</v>
      </c>
      <c r="H19546">
        <v>92128</v>
      </c>
      <c r="I19546" t="s">
        <v>30</v>
      </c>
      <c r="J19546" t="s">
        <v>171</v>
      </c>
      <c r="K19546" t="s">
        <v>1331</v>
      </c>
      <c r="N19546" t="s">
        <v>53700</v>
      </c>
      <c r="O19546" t="s">
        <v>53701</v>
      </c>
      <c r="Q19546">
        <v>0</v>
      </c>
      <c r="R19546">
        <v>200</v>
      </c>
      <c r="S19546">
        <v>0</v>
      </c>
      <c r="T19546" t="s">
        <v>53702</v>
      </c>
    </row>
    <row r="19547" spans="1:25" customFormat="1" ht="15" x14ac:dyDescent="0.25">
      <c r="A19547" t="s">
        <v>24</v>
      </c>
      <c r="B19547" t="s">
        <v>3628</v>
      </c>
      <c r="C19547" t="str">
        <f>"A0083301"</f>
        <v>A0083301</v>
      </c>
      <c r="D19547" t="s">
        <v>53703</v>
      </c>
      <c r="E19547" t="s">
        <v>53704</v>
      </c>
      <c r="F19547" t="s">
        <v>53705</v>
      </c>
      <c r="G19547" t="s">
        <v>110</v>
      </c>
      <c r="H19547">
        <v>91320</v>
      </c>
      <c r="I19547" t="s">
        <v>30</v>
      </c>
      <c r="J19547" t="s">
        <v>171</v>
      </c>
      <c r="K19547" t="s">
        <v>973</v>
      </c>
      <c r="N19547" t="s">
        <v>53706</v>
      </c>
      <c r="O19547" t="s">
        <v>53707</v>
      </c>
      <c r="Q19547">
        <v>0</v>
      </c>
      <c r="R19547">
        <v>120</v>
      </c>
      <c r="S19547">
        <v>0</v>
      </c>
      <c r="T19547" t="s">
        <v>53708</v>
      </c>
    </row>
    <row r="19548" spans="1:25" x14ac:dyDescent="0.25">
      <c r="A19548" s="5" t="s">
        <v>24</v>
      </c>
      <c r="B19548" s="5" t="s">
        <v>1609</v>
      </c>
      <c r="C19548" s="5" t="str">
        <f>"A0078198"</f>
        <v>A0078198</v>
      </c>
      <c r="D19548" s="5" t="s">
        <v>53713</v>
      </c>
      <c r="E19548" s="5" t="s">
        <v>53714</v>
      </c>
      <c r="F19548" s="5" t="s">
        <v>16661</v>
      </c>
      <c r="G19548" s="5" t="s">
        <v>153</v>
      </c>
      <c r="H19548" s="5">
        <v>84020</v>
      </c>
      <c r="I19548" s="5" t="s">
        <v>30</v>
      </c>
      <c r="J19548" s="5" t="s">
        <v>171</v>
      </c>
      <c r="K19548" s="5" t="s">
        <v>1023</v>
      </c>
      <c r="L19548" s="5"/>
      <c r="M19548" s="5"/>
      <c r="N19548" s="5" t="s">
        <v>53715</v>
      </c>
      <c r="O19548" s="5"/>
      <c r="P19548" s="5"/>
      <c r="Q19548" s="5">
        <v>0</v>
      </c>
      <c r="R19548" s="5">
        <v>121</v>
      </c>
      <c r="S19548" s="5">
        <v>0</v>
      </c>
      <c r="T19548" s="5" t="s">
        <v>53716</v>
      </c>
      <c r="U19548" s="5"/>
      <c r="V19548" s="5"/>
      <c r="W19548" s="5"/>
      <c r="X19548" s="5"/>
      <c r="Y19548" s="5"/>
    </row>
    <row r="19549" spans="1:25" customFormat="1" ht="15" x14ac:dyDescent="0.25">
      <c r="A19549" t="s">
        <v>24</v>
      </c>
      <c r="B19549" t="s">
        <v>72425</v>
      </c>
      <c r="C19549" t="str">
        <f>"A0148787"</f>
        <v>A0148787</v>
      </c>
      <c r="D19549" t="s">
        <v>72426</v>
      </c>
      <c r="E19549" t="s">
        <v>72427</v>
      </c>
      <c r="F19549" t="s">
        <v>13657</v>
      </c>
      <c r="G19549" t="s">
        <v>110</v>
      </c>
      <c r="H19549">
        <v>95404</v>
      </c>
      <c r="I19549" t="s">
        <v>30</v>
      </c>
      <c r="J19549" t="s">
        <v>31</v>
      </c>
      <c r="K19549" t="s">
        <v>163</v>
      </c>
      <c r="N19549" t="s">
        <v>72428</v>
      </c>
      <c r="Q19549">
        <v>0</v>
      </c>
      <c r="R19549">
        <v>39</v>
      </c>
      <c r="S19549">
        <v>0</v>
      </c>
      <c r="T19549" t="s">
        <v>72429</v>
      </c>
    </row>
    <row r="19550" spans="1:25" customFormat="1" ht="15" hidden="1" x14ac:dyDescent="0.25">
      <c r="A19550" t="s">
        <v>24</v>
      </c>
      <c r="B19550" t="s">
        <v>66383</v>
      </c>
      <c r="C19550" t="str">
        <f>"A0157927"</f>
        <v>A0157927</v>
      </c>
      <c r="D19550" t="s">
        <v>72430</v>
      </c>
      <c r="E19550" t="s">
        <v>72431</v>
      </c>
      <c r="F19550" t="s">
        <v>57016</v>
      </c>
      <c r="G19550" t="s">
        <v>2270</v>
      </c>
      <c r="H19550" t="s">
        <v>72432</v>
      </c>
      <c r="I19550" t="s">
        <v>1459</v>
      </c>
      <c r="J19550" t="s">
        <v>162</v>
      </c>
      <c r="K19550" t="s">
        <v>163</v>
      </c>
      <c r="N19550" t="s">
        <v>72433</v>
      </c>
      <c r="Q19550">
        <v>0</v>
      </c>
      <c r="R19550">
        <v>53</v>
      </c>
      <c r="S19550">
        <v>0</v>
      </c>
      <c r="T19550" t="s">
        <v>72434</v>
      </c>
    </row>
    <row r="19551" spans="1:25" customFormat="1" ht="15" x14ac:dyDescent="0.25">
      <c r="A19551" t="s">
        <v>24</v>
      </c>
      <c r="B19551" t="s">
        <v>1609</v>
      </c>
      <c r="C19551" t="str">
        <f>"A0077956"</f>
        <v>A0077956</v>
      </c>
      <c r="D19551" t="s">
        <v>53717</v>
      </c>
      <c r="E19551" t="s">
        <v>53718</v>
      </c>
      <c r="F19551" t="s">
        <v>1431</v>
      </c>
      <c r="G19551" t="s">
        <v>47</v>
      </c>
      <c r="H19551">
        <v>97217</v>
      </c>
      <c r="I19551" t="s">
        <v>30</v>
      </c>
      <c r="J19551" t="s">
        <v>171</v>
      </c>
      <c r="K19551" t="s">
        <v>1450</v>
      </c>
      <c r="N19551" t="s">
        <v>53719</v>
      </c>
      <c r="Q19551">
        <v>0</v>
      </c>
      <c r="R19551">
        <v>102</v>
      </c>
      <c r="S19551">
        <v>0</v>
      </c>
      <c r="T19551" t="s">
        <v>53720</v>
      </c>
    </row>
    <row r="19552" spans="1:25" customFormat="1" ht="15" x14ac:dyDescent="0.25">
      <c r="A19552" t="s">
        <v>24</v>
      </c>
      <c r="B19552" t="s">
        <v>3628</v>
      </c>
      <c r="C19552" t="str">
        <f>"A0077355"</f>
        <v>A0077355</v>
      </c>
      <c r="D19552" t="s">
        <v>53721</v>
      </c>
      <c r="E19552" t="s">
        <v>53722</v>
      </c>
      <c r="F19552" t="s">
        <v>53723</v>
      </c>
      <c r="G19552" t="s">
        <v>76</v>
      </c>
      <c r="H19552">
        <v>98034</v>
      </c>
      <c r="I19552" t="s">
        <v>30</v>
      </c>
      <c r="J19552" t="s">
        <v>171</v>
      </c>
      <c r="K19552" t="s">
        <v>973</v>
      </c>
      <c r="N19552" t="s">
        <v>53724</v>
      </c>
      <c r="Q19552">
        <v>0</v>
      </c>
      <c r="R19552">
        <v>150</v>
      </c>
      <c r="S19552">
        <v>0</v>
      </c>
      <c r="T19552" t="s">
        <v>53725</v>
      </c>
    </row>
    <row r="19553" spans="1:25" x14ac:dyDescent="0.25">
      <c r="A19553" s="5" t="s">
        <v>24</v>
      </c>
      <c r="B19553" s="5" t="s">
        <v>3628</v>
      </c>
      <c r="C19553" s="5" t="str">
        <f>"A0075787"</f>
        <v>A0075787</v>
      </c>
      <c r="D19553" s="5" t="s">
        <v>53726</v>
      </c>
      <c r="E19553" s="5" t="s">
        <v>53727</v>
      </c>
      <c r="F19553" s="5" t="s">
        <v>3472</v>
      </c>
      <c r="G19553" s="5" t="s">
        <v>110</v>
      </c>
      <c r="H19553" s="5">
        <v>92408</v>
      </c>
      <c r="I19553" s="5" t="s">
        <v>30</v>
      </c>
      <c r="J19553" s="5" t="s">
        <v>171</v>
      </c>
      <c r="K19553" s="5" t="s">
        <v>1450</v>
      </c>
      <c r="L19553" s="5"/>
      <c r="M19553" s="5"/>
      <c r="N19553" s="5" t="s">
        <v>53728</v>
      </c>
      <c r="O19553" s="5" t="s">
        <v>53729</v>
      </c>
      <c r="P19553" s="5"/>
      <c r="Q19553" s="5">
        <v>0</v>
      </c>
      <c r="R19553" s="5">
        <v>95</v>
      </c>
      <c r="S19553" s="5">
        <v>0</v>
      </c>
      <c r="T19553" s="5" t="s">
        <v>53730</v>
      </c>
      <c r="U19553" s="5"/>
      <c r="V19553" s="5"/>
      <c r="W19553" s="5"/>
      <c r="X19553" s="5"/>
      <c r="Y19553" s="5"/>
    </row>
    <row r="19554" spans="1:25" customFormat="1" ht="15" x14ac:dyDescent="0.25">
      <c r="A19554" t="s">
        <v>24</v>
      </c>
      <c r="B19554" t="s">
        <v>3628</v>
      </c>
      <c r="C19554" t="str">
        <f>"A0074864"</f>
        <v>A0074864</v>
      </c>
      <c r="D19554" t="s">
        <v>53731</v>
      </c>
      <c r="E19554" t="s">
        <v>53732</v>
      </c>
      <c r="F19554" t="s">
        <v>53733</v>
      </c>
      <c r="G19554" t="s">
        <v>110</v>
      </c>
      <c r="H19554">
        <v>92128</v>
      </c>
      <c r="I19554" t="s">
        <v>30</v>
      </c>
      <c r="J19554" t="s">
        <v>171</v>
      </c>
      <c r="K19554" t="s">
        <v>973</v>
      </c>
      <c r="N19554" t="s">
        <v>53734</v>
      </c>
      <c r="O19554" t="s">
        <v>53735</v>
      </c>
      <c r="Q19554">
        <v>0</v>
      </c>
      <c r="R19554">
        <v>210</v>
      </c>
      <c r="S19554">
        <v>0</v>
      </c>
      <c r="T19554" t="s">
        <v>53736</v>
      </c>
    </row>
    <row r="19555" spans="1:25" customFormat="1" ht="15" x14ac:dyDescent="0.25">
      <c r="A19555" t="s">
        <v>24</v>
      </c>
      <c r="B19555" t="s">
        <v>55640</v>
      </c>
      <c r="C19555" t="str">
        <f>"A0095450"</f>
        <v>A0095450</v>
      </c>
      <c r="D19555" t="s">
        <v>72454</v>
      </c>
      <c r="E19555" t="s">
        <v>72455</v>
      </c>
      <c r="F19555" t="s">
        <v>748</v>
      </c>
      <c r="G19555" t="s">
        <v>110</v>
      </c>
      <c r="H19555">
        <v>94102</v>
      </c>
      <c r="I19555" t="s">
        <v>30</v>
      </c>
      <c r="J19555" t="s">
        <v>31</v>
      </c>
      <c r="K19555" t="s">
        <v>163</v>
      </c>
      <c r="N19555" t="s">
        <v>72456</v>
      </c>
      <c r="Q19555">
        <v>0</v>
      </c>
      <c r="R19555">
        <v>124</v>
      </c>
      <c r="S19555">
        <v>0</v>
      </c>
      <c r="T19555" t="s">
        <v>72457</v>
      </c>
    </row>
    <row r="19556" spans="1:25" customFormat="1" ht="15" hidden="1" x14ac:dyDescent="0.25">
      <c r="A19556" t="s">
        <v>24</v>
      </c>
      <c r="B19556" t="s">
        <v>63140</v>
      </c>
      <c r="C19556" t="str">
        <f>"15249"</f>
        <v>15249</v>
      </c>
      <c r="D19556" t="s">
        <v>72458</v>
      </c>
      <c r="E19556" t="s">
        <v>72459</v>
      </c>
      <c r="F19556" t="s">
        <v>54611</v>
      </c>
      <c r="G19556" t="s">
        <v>53283</v>
      </c>
      <c r="H19556" t="s">
        <v>72460</v>
      </c>
      <c r="I19556" t="s">
        <v>1459</v>
      </c>
      <c r="J19556" t="s">
        <v>162</v>
      </c>
      <c r="K19556" t="s">
        <v>163</v>
      </c>
      <c r="N19556" t="s">
        <v>72461</v>
      </c>
      <c r="O19556" t="s">
        <v>72462</v>
      </c>
      <c r="Q19556">
        <v>0</v>
      </c>
      <c r="R19556">
        <v>300</v>
      </c>
      <c r="S19556">
        <v>0</v>
      </c>
      <c r="T19556" t="s">
        <v>72463</v>
      </c>
    </row>
    <row r="19557" spans="1:25" customFormat="1" ht="15" x14ac:dyDescent="0.25">
      <c r="A19557" t="s">
        <v>24</v>
      </c>
      <c r="B19557" t="s">
        <v>3628</v>
      </c>
      <c r="C19557" t="str">
        <f>"651SD"</f>
        <v>651SD</v>
      </c>
      <c r="D19557" t="s">
        <v>53740</v>
      </c>
      <c r="E19557" t="s">
        <v>53741</v>
      </c>
      <c r="F19557" t="s">
        <v>6593</v>
      </c>
      <c r="G19557" t="s">
        <v>47</v>
      </c>
      <c r="H19557">
        <v>97217</v>
      </c>
      <c r="I19557" t="s">
        <v>30</v>
      </c>
      <c r="J19557" t="s">
        <v>171</v>
      </c>
      <c r="K19557" t="s">
        <v>973</v>
      </c>
      <c r="N19557" t="s">
        <v>53742</v>
      </c>
      <c r="O19557" t="s">
        <v>53743</v>
      </c>
      <c r="Q19557">
        <v>0</v>
      </c>
      <c r="R19557">
        <v>132</v>
      </c>
      <c r="S19557">
        <v>0</v>
      </c>
      <c r="T19557" t="s">
        <v>53744</v>
      </c>
    </row>
    <row r="19558" spans="1:25" customFormat="1" ht="15" x14ac:dyDescent="0.25">
      <c r="A19558" t="s">
        <v>24</v>
      </c>
      <c r="B19558" t="s">
        <v>3628</v>
      </c>
      <c r="C19558" t="str">
        <f>"56526"</f>
        <v>56526</v>
      </c>
      <c r="D19558" t="s">
        <v>53745</v>
      </c>
      <c r="E19558" t="s">
        <v>53746</v>
      </c>
      <c r="F19558" t="s">
        <v>53747</v>
      </c>
      <c r="G19558" t="s">
        <v>110</v>
      </c>
      <c r="H19558">
        <v>94022</v>
      </c>
      <c r="I19558" t="s">
        <v>30</v>
      </c>
      <c r="J19558" t="s">
        <v>171</v>
      </c>
      <c r="K19558" t="s">
        <v>1450</v>
      </c>
      <c r="N19558" t="s">
        <v>14624</v>
      </c>
      <c r="O19558" t="s">
        <v>53748</v>
      </c>
      <c r="Q19558">
        <v>0</v>
      </c>
      <c r="R19558">
        <v>156</v>
      </c>
      <c r="S19558">
        <v>0</v>
      </c>
      <c r="T19558" t="s">
        <v>53749</v>
      </c>
    </row>
    <row r="19559" spans="1:25" customFormat="1" ht="15" x14ac:dyDescent="0.25">
      <c r="A19559" t="s">
        <v>24</v>
      </c>
      <c r="B19559" t="s">
        <v>72472</v>
      </c>
      <c r="C19559" t="str">
        <f>"A0098172"</f>
        <v>A0098172</v>
      </c>
      <c r="D19559" t="s">
        <v>72473</v>
      </c>
      <c r="E19559" t="s">
        <v>72474</v>
      </c>
      <c r="F19559" t="s">
        <v>313</v>
      </c>
      <c r="G19559" t="s">
        <v>314</v>
      </c>
      <c r="H19559">
        <v>20037</v>
      </c>
      <c r="I19559" t="s">
        <v>30</v>
      </c>
      <c r="J19559" t="s">
        <v>145</v>
      </c>
      <c r="K19559" t="s">
        <v>163</v>
      </c>
      <c r="N19559" t="s">
        <v>72475</v>
      </c>
      <c r="Q19559">
        <v>0</v>
      </c>
      <c r="R19559">
        <v>83</v>
      </c>
      <c r="S19559">
        <v>0</v>
      </c>
      <c r="T19559" t="s">
        <v>72476</v>
      </c>
    </row>
    <row r="19560" spans="1:25" x14ac:dyDescent="0.25">
      <c r="A19560" s="5" t="s">
        <v>24</v>
      </c>
      <c r="B19560" s="5" t="s">
        <v>3628</v>
      </c>
      <c r="C19560" s="5" t="str">
        <f>"56875"</f>
        <v>56875</v>
      </c>
      <c r="D19560" s="5" t="s">
        <v>53750</v>
      </c>
      <c r="E19560" s="5" t="s">
        <v>53751</v>
      </c>
      <c r="F19560" s="5" t="s">
        <v>2900</v>
      </c>
      <c r="G19560" s="5" t="s">
        <v>76</v>
      </c>
      <c r="H19560" s="5">
        <v>98109</v>
      </c>
      <c r="I19560" s="5" t="s">
        <v>30</v>
      </c>
      <c r="J19560" s="5" t="s">
        <v>171</v>
      </c>
      <c r="K19560" s="5" t="s">
        <v>1450</v>
      </c>
      <c r="L19560" s="5"/>
      <c r="M19560" s="5"/>
      <c r="N19560" s="5" t="s">
        <v>53752</v>
      </c>
      <c r="O19560" s="5"/>
      <c r="P19560" s="5"/>
      <c r="Q19560" s="5">
        <v>0</v>
      </c>
      <c r="R19560" s="5">
        <v>234</v>
      </c>
      <c r="S19560" s="5">
        <v>0</v>
      </c>
      <c r="T19560" s="5" t="s">
        <v>53753</v>
      </c>
      <c r="U19560" s="5"/>
      <c r="V19560" s="5"/>
      <c r="W19560" s="5"/>
      <c r="X19560" s="5"/>
      <c r="Y19560" s="5"/>
    </row>
    <row r="19561" spans="1:25" customFormat="1" ht="15" x14ac:dyDescent="0.25">
      <c r="A19561" t="s">
        <v>24</v>
      </c>
      <c r="B19561" t="s">
        <v>3628</v>
      </c>
      <c r="C19561" t="str">
        <f>"651Z9"</f>
        <v>651Z9</v>
      </c>
      <c r="D19561" t="s">
        <v>53754</v>
      </c>
      <c r="E19561" t="s">
        <v>53755</v>
      </c>
      <c r="F19561" t="s">
        <v>53756</v>
      </c>
      <c r="G19561" t="s">
        <v>47</v>
      </c>
      <c r="H19561">
        <v>97224</v>
      </c>
      <c r="I19561" t="s">
        <v>30</v>
      </c>
      <c r="J19561" t="s">
        <v>171</v>
      </c>
      <c r="K19561" t="s">
        <v>973</v>
      </c>
      <c r="N19561" t="s">
        <v>53757</v>
      </c>
      <c r="Q19561">
        <v>0</v>
      </c>
      <c r="R19561">
        <v>149</v>
      </c>
      <c r="S19561">
        <v>0</v>
      </c>
      <c r="T19561" t="s">
        <v>53758</v>
      </c>
    </row>
    <row r="19562" spans="1:25" customFormat="1" ht="15" x14ac:dyDescent="0.25">
      <c r="A19562" t="s">
        <v>24</v>
      </c>
      <c r="B19562" t="s">
        <v>3628</v>
      </c>
      <c r="C19562" t="str">
        <f>"651ZX"</f>
        <v>651ZX</v>
      </c>
      <c r="D19562" t="s">
        <v>53759</v>
      </c>
      <c r="E19562" t="s">
        <v>53760</v>
      </c>
      <c r="F19562" t="s">
        <v>276</v>
      </c>
      <c r="G19562" t="s">
        <v>47</v>
      </c>
      <c r="H19562">
        <v>97124</v>
      </c>
      <c r="I19562" t="s">
        <v>30</v>
      </c>
      <c r="J19562" t="s">
        <v>171</v>
      </c>
      <c r="K19562" t="s">
        <v>973</v>
      </c>
      <c r="N19562" t="s">
        <v>53761</v>
      </c>
      <c r="O19562" t="s">
        <v>53762</v>
      </c>
      <c r="Q19562">
        <v>0</v>
      </c>
      <c r="R19562">
        <v>155</v>
      </c>
      <c r="S19562">
        <v>0</v>
      </c>
      <c r="T19562" t="s">
        <v>53763</v>
      </c>
    </row>
    <row r="19563" spans="1:25" customFormat="1" ht="15" x14ac:dyDescent="0.25">
      <c r="A19563" t="s">
        <v>24</v>
      </c>
      <c r="B19563" t="s">
        <v>3628</v>
      </c>
      <c r="C19563" t="str">
        <f>"A0061174"</f>
        <v>A0061174</v>
      </c>
      <c r="D19563" t="s">
        <v>53764</v>
      </c>
      <c r="E19563" t="s">
        <v>53765</v>
      </c>
      <c r="F19563" t="s">
        <v>4334</v>
      </c>
      <c r="G19563" t="s">
        <v>85</v>
      </c>
      <c r="H19563">
        <v>72204</v>
      </c>
      <c r="I19563" t="s">
        <v>30</v>
      </c>
      <c r="J19563" t="s">
        <v>171</v>
      </c>
      <c r="K19563" t="s">
        <v>653</v>
      </c>
      <c r="N19563" t="s">
        <v>53766</v>
      </c>
      <c r="Q19563">
        <v>0</v>
      </c>
      <c r="R19563">
        <v>263</v>
      </c>
      <c r="S19563">
        <v>0</v>
      </c>
      <c r="T19563" t="s">
        <v>53767</v>
      </c>
    </row>
    <row r="19564" spans="1:25" customFormat="1" ht="15" x14ac:dyDescent="0.25">
      <c r="A19564" t="s">
        <v>24</v>
      </c>
      <c r="B19564" t="s">
        <v>1609</v>
      </c>
      <c r="C19564" t="str">
        <f>"A0056924"</f>
        <v>A0056924</v>
      </c>
      <c r="D19564" t="s">
        <v>53774</v>
      </c>
      <c r="E19564" t="s">
        <v>53775</v>
      </c>
      <c r="F19564" t="s">
        <v>53776</v>
      </c>
      <c r="G19564" t="s">
        <v>76</v>
      </c>
      <c r="H19564">
        <v>98057</v>
      </c>
      <c r="I19564" t="s">
        <v>30</v>
      </c>
      <c r="J19564" t="s">
        <v>171</v>
      </c>
      <c r="K19564" t="s">
        <v>1331</v>
      </c>
      <c r="N19564" t="s">
        <v>53777</v>
      </c>
      <c r="O19564" t="s">
        <v>53778</v>
      </c>
      <c r="Q19564">
        <v>0</v>
      </c>
      <c r="R19564">
        <v>150</v>
      </c>
      <c r="S19564">
        <v>0</v>
      </c>
      <c r="T19564" t="s">
        <v>53779</v>
      </c>
    </row>
    <row r="19565" spans="1:25" customFormat="1" ht="15" x14ac:dyDescent="0.25">
      <c r="A19565" t="s">
        <v>24</v>
      </c>
      <c r="B19565" t="s">
        <v>3628</v>
      </c>
      <c r="C19565" t="str">
        <f>"56808"</f>
        <v>56808</v>
      </c>
      <c r="D19565" t="s">
        <v>53795</v>
      </c>
      <c r="E19565" t="s">
        <v>53796</v>
      </c>
      <c r="F19565" t="s">
        <v>53770</v>
      </c>
      <c r="G19565" t="s">
        <v>433</v>
      </c>
      <c r="H19565">
        <v>83706</v>
      </c>
      <c r="I19565" t="s">
        <v>30</v>
      </c>
      <c r="J19565" t="s">
        <v>171</v>
      </c>
      <c r="K19565" t="s">
        <v>1450</v>
      </c>
      <c r="N19565" t="s">
        <v>53797</v>
      </c>
      <c r="Q19565">
        <v>0</v>
      </c>
      <c r="R19565">
        <v>104</v>
      </c>
      <c r="S19565">
        <v>0</v>
      </c>
      <c r="T19565" t="s">
        <v>53798</v>
      </c>
    </row>
    <row r="19566" spans="1:25" customFormat="1" ht="15" x14ac:dyDescent="0.25">
      <c r="A19566" t="s">
        <v>24</v>
      </c>
      <c r="B19566" t="s">
        <v>193</v>
      </c>
      <c r="C19566" t="str">
        <f>"A0075152"</f>
        <v>A0075152</v>
      </c>
      <c r="D19566" t="s">
        <v>53812</v>
      </c>
      <c r="E19566" t="s">
        <v>53813</v>
      </c>
      <c r="F19566" t="s">
        <v>2069</v>
      </c>
      <c r="G19566" t="s">
        <v>1170</v>
      </c>
      <c r="H19566">
        <v>70130</v>
      </c>
      <c r="I19566" t="s">
        <v>30</v>
      </c>
      <c r="J19566" t="s">
        <v>171</v>
      </c>
      <c r="K19566" t="s">
        <v>163</v>
      </c>
      <c r="N19566" t="s">
        <v>53814</v>
      </c>
      <c r="O19566" t="s">
        <v>53815</v>
      </c>
      <c r="Q19566">
        <v>0</v>
      </c>
      <c r="R19566">
        <v>143</v>
      </c>
      <c r="S19566">
        <v>0</v>
      </c>
      <c r="T19566" t="s">
        <v>53816</v>
      </c>
    </row>
    <row r="19567" spans="1:25" customFormat="1" ht="15" x14ac:dyDescent="0.25">
      <c r="A19567" t="s">
        <v>24</v>
      </c>
      <c r="B19567" t="s">
        <v>53817</v>
      </c>
      <c r="C19567" t="str">
        <f>"A0167497"</f>
        <v>A0167497</v>
      </c>
      <c r="D19567" t="s">
        <v>53818</v>
      </c>
      <c r="E19567" t="s">
        <v>53819</v>
      </c>
      <c r="F19567" t="s">
        <v>4128</v>
      </c>
      <c r="G19567" t="s">
        <v>85</v>
      </c>
      <c r="H19567">
        <v>71923</v>
      </c>
      <c r="I19567" t="s">
        <v>30</v>
      </c>
      <c r="J19567" t="s">
        <v>171</v>
      </c>
      <c r="K19567" t="s">
        <v>315</v>
      </c>
      <c r="N19567" t="s">
        <v>53820</v>
      </c>
      <c r="Q19567">
        <v>0</v>
      </c>
      <c r="R19567">
        <v>56</v>
      </c>
      <c r="S19567">
        <v>0</v>
      </c>
      <c r="T19567" t="s">
        <v>53821</v>
      </c>
    </row>
    <row r="19568" spans="1:25" customFormat="1" ht="15" x14ac:dyDescent="0.25">
      <c r="A19568" t="s">
        <v>24</v>
      </c>
      <c r="B19568" t="s">
        <v>13679</v>
      </c>
      <c r="C19568" t="str">
        <f>"A0085580"</f>
        <v>A0085580</v>
      </c>
      <c r="D19568" t="s">
        <v>53822</v>
      </c>
      <c r="E19568" t="s">
        <v>53823</v>
      </c>
      <c r="F19568" t="s">
        <v>372</v>
      </c>
      <c r="G19568" t="s">
        <v>52</v>
      </c>
      <c r="H19568">
        <v>78759</v>
      </c>
      <c r="I19568" t="s">
        <v>30</v>
      </c>
      <c r="J19568" t="s">
        <v>171</v>
      </c>
      <c r="K19568" t="s">
        <v>1023</v>
      </c>
      <c r="N19568" t="s">
        <v>53824</v>
      </c>
      <c r="O19568" t="s">
        <v>53825</v>
      </c>
      <c r="Q19568">
        <v>0</v>
      </c>
      <c r="R19568">
        <v>97</v>
      </c>
      <c r="S19568">
        <v>0</v>
      </c>
      <c r="T19568" t="s">
        <v>53826</v>
      </c>
    </row>
    <row r="19569" spans="1:25" customFormat="1" ht="15" x14ac:dyDescent="0.25">
      <c r="A19569" t="s">
        <v>24</v>
      </c>
      <c r="B19569" t="s">
        <v>53837</v>
      </c>
      <c r="C19569" t="str">
        <f>"A0101039"</f>
        <v>A0101039</v>
      </c>
      <c r="D19569" t="s">
        <v>53838</v>
      </c>
      <c r="E19569" t="s">
        <v>53839</v>
      </c>
      <c r="F19569" t="s">
        <v>53840</v>
      </c>
      <c r="G19569" t="s">
        <v>1170</v>
      </c>
      <c r="H19569">
        <v>70433</v>
      </c>
      <c r="I19569" t="s">
        <v>30</v>
      </c>
      <c r="J19569" t="s">
        <v>171</v>
      </c>
      <c r="K19569" t="s">
        <v>1023</v>
      </c>
      <c r="N19569" t="s">
        <v>53841</v>
      </c>
      <c r="O19569" t="s">
        <v>53842</v>
      </c>
      <c r="Q19569">
        <v>0</v>
      </c>
      <c r="R19569">
        <v>86</v>
      </c>
      <c r="S19569">
        <v>0</v>
      </c>
      <c r="T19569" t="s">
        <v>53843</v>
      </c>
    </row>
    <row r="19570" spans="1:25" customFormat="1" ht="15" x14ac:dyDescent="0.25">
      <c r="A19570" t="s">
        <v>24</v>
      </c>
      <c r="B19570" t="s">
        <v>5830</v>
      </c>
      <c r="C19570" t="str">
        <f>"A0167177"</f>
        <v>A0167177</v>
      </c>
      <c r="D19570" t="s">
        <v>53844</v>
      </c>
      <c r="E19570" t="s">
        <v>53845</v>
      </c>
      <c r="F19570" t="s">
        <v>1570</v>
      </c>
      <c r="G19570" t="s">
        <v>81</v>
      </c>
      <c r="H19570">
        <v>33301</v>
      </c>
      <c r="I19570" t="s">
        <v>30</v>
      </c>
      <c r="J19570" t="s">
        <v>171</v>
      </c>
      <c r="K19570" t="s">
        <v>3456</v>
      </c>
      <c r="N19570" t="s">
        <v>53846</v>
      </c>
      <c r="Q19570">
        <v>0</v>
      </c>
      <c r="R19570">
        <v>97</v>
      </c>
      <c r="S19570">
        <v>0</v>
      </c>
      <c r="T19570" t="s">
        <v>53847</v>
      </c>
    </row>
    <row r="19571" spans="1:25" customFormat="1" ht="15" x14ac:dyDescent="0.25">
      <c r="A19571" t="s">
        <v>24</v>
      </c>
      <c r="B19571" t="s">
        <v>9549</v>
      </c>
      <c r="C19571" t="str">
        <f>"A0156813"</f>
        <v>A0156813</v>
      </c>
      <c r="D19571" t="s">
        <v>53900</v>
      </c>
      <c r="E19571" t="s">
        <v>53901</v>
      </c>
      <c r="F19571" t="s">
        <v>53902</v>
      </c>
      <c r="G19571" t="s">
        <v>47</v>
      </c>
      <c r="H19571">
        <v>97086</v>
      </c>
      <c r="I19571" t="s">
        <v>30</v>
      </c>
      <c r="J19571" t="s">
        <v>171</v>
      </c>
      <c r="K19571" t="s">
        <v>1450</v>
      </c>
      <c r="Q19571">
        <v>0</v>
      </c>
      <c r="R19571">
        <v>117</v>
      </c>
      <c r="S19571">
        <v>0</v>
      </c>
      <c r="T19571" t="s">
        <v>4521</v>
      </c>
    </row>
    <row r="19572" spans="1:25" customFormat="1" ht="15" x14ac:dyDescent="0.25">
      <c r="A19572" t="s">
        <v>24</v>
      </c>
      <c r="B19572" t="s">
        <v>13679</v>
      </c>
      <c r="C19572" t="str">
        <f>"A0095690"</f>
        <v>A0095690</v>
      </c>
      <c r="D19572" t="s">
        <v>53911</v>
      </c>
      <c r="E19572" t="s">
        <v>53912</v>
      </c>
      <c r="F19572" t="s">
        <v>3059</v>
      </c>
      <c r="G19572" t="s">
        <v>52</v>
      </c>
      <c r="H19572">
        <v>78664</v>
      </c>
      <c r="I19572" t="s">
        <v>30</v>
      </c>
      <c r="J19572" t="s">
        <v>171</v>
      </c>
      <c r="K19572" t="s">
        <v>1023</v>
      </c>
      <c r="N19572" t="s">
        <v>53913</v>
      </c>
      <c r="O19572" t="s">
        <v>53825</v>
      </c>
      <c r="Q19572">
        <v>0</v>
      </c>
      <c r="R19572">
        <v>115</v>
      </c>
      <c r="S19572">
        <v>0</v>
      </c>
      <c r="T19572" t="s">
        <v>53914</v>
      </c>
    </row>
    <row r="19573" spans="1:25" customFormat="1" ht="15" x14ac:dyDescent="0.25">
      <c r="A19573" t="s">
        <v>24</v>
      </c>
      <c r="B19573" t="s">
        <v>13679</v>
      </c>
      <c r="C19573" t="str">
        <f>"A0091792"</f>
        <v>A0091792</v>
      </c>
      <c r="D19573" t="s">
        <v>53915</v>
      </c>
      <c r="E19573" t="s">
        <v>53916</v>
      </c>
      <c r="F19573" t="s">
        <v>2971</v>
      </c>
      <c r="G19573" t="s">
        <v>880</v>
      </c>
      <c r="H19573">
        <v>37203</v>
      </c>
      <c r="I19573" t="s">
        <v>30</v>
      </c>
      <c r="J19573" t="s">
        <v>171</v>
      </c>
      <c r="K19573" t="s">
        <v>1331</v>
      </c>
      <c r="N19573" t="s">
        <v>53909</v>
      </c>
      <c r="O19573" t="s">
        <v>53917</v>
      </c>
      <c r="Q19573">
        <v>0</v>
      </c>
      <c r="R19573">
        <v>194</v>
      </c>
      <c r="S19573">
        <v>0</v>
      </c>
      <c r="T19573" t="s">
        <v>53918</v>
      </c>
    </row>
    <row r="19574" spans="1:25" customFormat="1" ht="15" x14ac:dyDescent="0.25">
      <c r="A19574" t="s">
        <v>24</v>
      </c>
      <c r="B19574" t="s">
        <v>1317</v>
      </c>
      <c r="C19574" t="str">
        <f>"A0093352"</f>
        <v>A0093352</v>
      </c>
      <c r="D19574" t="s">
        <v>53929</v>
      </c>
      <c r="E19574" t="s">
        <v>53930</v>
      </c>
      <c r="F19574" t="s">
        <v>1541</v>
      </c>
      <c r="G19574" t="s">
        <v>427</v>
      </c>
      <c r="H19574">
        <v>68114</v>
      </c>
      <c r="I19574" t="s">
        <v>30</v>
      </c>
      <c r="J19574" t="s">
        <v>171</v>
      </c>
      <c r="K19574" t="s">
        <v>1147</v>
      </c>
      <c r="N19574" t="s">
        <v>53931</v>
      </c>
      <c r="Q19574">
        <v>0</v>
      </c>
      <c r="R19574">
        <v>102</v>
      </c>
      <c r="S19574">
        <v>0</v>
      </c>
      <c r="T19574" t="s">
        <v>53932</v>
      </c>
    </row>
    <row r="19575" spans="1:25" customFormat="1" ht="15" x14ac:dyDescent="0.25">
      <c r="A19575" t="s">
        <v>24</v>
      </c>
      <c r="B19575" t="s">
        <v>140</v>
      </c>
      <c r="C19575" t="str">
        <f>"A0094917"</f>
        <v>A0094917</v>
      </c>
      <c r="D19575" t="s">
        <v>53933</v>
      </c>
      <c r="E19575" t="s">
        <v>53934</v>
      </c>
      <c r="F19575" t="s">
        <v>53935</v>
      </c>
      <c r="G19575" t="s">
        <v>103</v>
      </c>
      <c r="H19575">
        <v>17257</v>
      </c>
      <c r="I19575" t="s">
        <v>30</v>
      </c>
      <c r="J19575" t="s">
        <v>171</v>
      </c>
      <c r="K19575" t="s">
        <v>973</v>
      </c>
      <c r="N19575" t="s">
        <v>53936</v>
      </c>
      <c r="Q19575">
        <v>0</v>
      </c>
      <c r="R19575">
        <v>100</v>
      </c>
      <c r="S19575">
        <v>0</v>
      </c>
      <c r="T19575" t="s">
        <v>53937</v>
      </c>
    </row>
    <row r="19576" spans="1:25" customFormat="1" ht="15" x14ac:dyDescent="0.25">
      <c r="A19576" t="s">
        <v>24</v>
      </c>
      <c r="B19576" t="s">
        <v>1487</v>
      </c>
      <c r="C19576" t="str">
        <f>"A0166795"</f>
        <v>A0166795</v>
      </c>
      <c r="D19576" t="s">
        <v>53938</v>
      </c>
      <c r="E19576" t="s">
        <v>53939</v>
      </c>
      <c r="F19576" t="s">
        <v>372</v>
      </c>
      <c r="G19576" t="s">
        <v>52</v>
      </c>
      <c r="H19576">
        <v>78705</v>
      </c>
      <c r="I19576" t="s">
        <v>30</v>
      </c>
      <c r="J19576" t="s">
        <v>171</v>
      </c>
      <c r="K19576" t="s">
        <v>2925</v>
      </c>
      <c r="N19576" t="s">
        <v>53940</v>
      </c>
      <c r="O19576" t="s">
        <v>53941</v>
      </c>
      <c r="Q19576">
        <v>0</v>
      </c>
      <c r="R19576">
        <v>158</v>
      </c>
      <c r="S19576">
        <v>0</v>
      </c>
      <c r="T19576" t="s">
        <v>53942</v>
      </c>
    </row>
    <row r="19577" spans="1:25" customFormat="1" ht="15" x14ac:dyDescent="0.25">
      <c r="A19577" t="s">
        <v>24</v>
      </c>
      <c r="B19577" t="s">
        <v>6363</v>
      </c>
      <c r="C19577" t="str">
        <f>"A0156666"</f>
        <v>A0156666</v>
      </c>
      <c r="D19577" t="s">
        <v>53943</v>
      </c>
      <c r="E19577" t="s">
        <v>53944</v>
      </c>
      <c r="F19577" t="s">
        <v>1308</v>
      </c>
      <c r="G19577" t="s">
        <v>99</v>
      </c>
      <c r="H19577">
        <v>11436</v>
      </c>
      <c r="I19577" t="s">
        <v>30</v>
      </c>
      <c r="J19577" t="s">
        <v>171</v>
      </c>
      <c r="K19577" t="s">
        <v>1450</v>
      </c>
      <c r="N19577" t="s">
        <v>53945</v>
      </c>
      <c r="Q19577">
        <v>0</v>
      </c>
      <c r="R19577">
        <v>182</v>
      </c>
      <c r="S19577">
        <v>0</v>
      </c>
      <c r="T19577" t="s">
        <v>53946</v>
      </c>
    </row>
    <row r="19578" spans="1:25" customFormat="1" ht="15" x14ac:dyDescent="0.25">
      <c r="A19578" t="s">
        <v>24</v>
      </c>
      <c r="B19578" t="s">
        <v>9843</v>
      </c>
      <c r="C19578" t="str">
        <f>"A0167473"</f>
        <v>A0167473</v>
      </c>
      <c r="D19578" t="s">
        <v>53962</v>
      </c>
      <c r="E19578" t="s">
        <v>53963</v>
      </c>
      <c r="F19578" t="s">
        <v>53964</v>
      </c>
      <c r="G19578" t="s">
        <v>81</v>
      </c>
      <c r="H19578">
        <v>34787</v>
      </c>
      <c r="I19578" t="s">
        <v>30</v>
      </c>
      <c r="J19578" t="s">
        <v>171</v>
      </c>
      <c r="K19578" t="s">
        <v>1023</v>
      </c>
      <c r="N19578" t="s">
        <v>53965</v>
      </c>
      <c r="Q19578">
        <v>0</v>
      </c>
      <c r="R19578">
        <v>229</v>
      </c>
      <c r="S19578">
        <v>0</v>
      </c>
      <c r="T19578" t="s">
        <v>53966</v>
      </c>
    </row>
    <row r="19579" spans="1:25" customFormat="1" ht="15" x14ac:dyDescent="0.25">
      <c r="A19579" t="s">
        <v>24</v>
      </c>
      <c r="B19579" t="s">
        <v>9843</v>
      </c>
      <c r="C19579" t="str">
        <f>"A0162065"</f>
        <v>A0162065</v>
      </c>
      <c r="D19579" t="s">
        <v>53974</v>
      </c>
      <c r="E19579" t="s">
        <v>53975</v>
      </c>
      <c r="F19579" t="s">
        <v>53964</v>
      </c>
      <c r="G19579" t="s">
        <v>81</v>
      </c>
      <c r="H19579">
        <v>34787</v>
      </c>
      <c r="I19579" t="s">
        <v>30</v>
      </c>
      <c r="J19579" t="s">
        <v>171</v>
      </c>
      <c r="K19579" t="s">
        <v>1450</v>
      </c>
      <c r="N19579" t="s">
        <v>53972</v>
      </c>
      <c r="Q19579">
        <v>0</v>
      </c>
      <c r="R19579">
        <v>250</v>
      </c>
      <c r="S19579">
        <v>0</v>
      </c>
      <c r="T19579" t="s">
        <v>53976</v>
      </c>
    </row>
    <row r="19580" spans="1:25" customFormat="1" ht="15" x14ac:dyDescent="0.25">
      <c r="A19580" t="s">
        <v>24</v>
      </c>
      <c r="B19580" t="s">
        <v>193</v>
      </c>
      <c r="C19580" t="str">
        <f>"A0065842"</f>
        <v>A0065842</v>
      </c>
      <c r="D19580" t="s">
        <v>53981</v>
      </c>
      <c r="E19580" t="s">
        <v>53982</v>
      </c>
      <c r="F19580" t="s">
        <v>53983</v>
      </c>
      <c r="G19580" t="s">
        <v>144</v>
      </c>
      <c r="H19580" t="s">
        <v>53984</v>
      </c>
      <c r="I19580" t="s">
        <v>30</v>
      </c>
      <c r="J19580" t="s">
        <v>171</v>
      </c>
      <c r="K19580" t="s">
        <v>248</v>
      </c>
      <c r="N19580" t="s">
        <v>53985</v>
      </c>
      <c r="Q19580">
        <v>0</v>
      </c>
      <c r="R19580">
        <v>149</v>
      </c>
      <c r="S19580">
        <v>0</v>
      </c>
      <c r="T19580" t="s">
        <v>53986</v>
      </c>
    </row>
    <row r="19581" spans="1:25" x14ac:dyDescent="0.25">
      <c r="A19581" s="5" t="s">
        <v>24</v>
      </c>
      <c r="B19581" s="5" t="s">
        <v>53992</v>
      </c>
      <c r="C19581" s="5" t="str">
        <f>"A0167195"</f>
        <v>A0167195</v>
      </c>
      <c r="D19581" s="5" t="s">
        <v>53998</v>
      </c>
      <c r="E19581" s="5" t="s">
        <v>53999</v>
      </c>
      <c r="F19581" s="5" t="s">
        <v>53995</v>
      </c>
      <c r="G19581" s="5" t="s">
        <v>214</v>
      </c>
      <c r="H19581" s="5">
        <v>28779</v>
      </c>
      <c r="I19581" s="5" t="s">
        <v>30</v>
      </c>
      <c r="J19581" s="5" t="s">
        <v>171</v>
      </c>
      <c r="K19581" s="5" t="s">
        <v>315</v>
      </c>
      <c r="L19581" s="5"/>
      <c r="M19581" s="5"/>
      <c r="N19581" s="5" t="s">
        <v>54000</v>
      </c>
      <c r="O19581" s="5"/>
      <c r="P19581" s="5"/>
      <c r="Q19581" s="5">
        <v>0</v>
      </c>
      <c r="R19581" s="5">
        <v>69</v>
      </c>
      <c r="S19581" s="5">
        <v>0</v>
      </c>
      <c r="T19581" s="5" t="s">
        <v>54001</v>
      </c>
      <c r="U19581" s="5"/>
      <c r="V19581" s="5"/>
      <c r="W19581" s="5"/>
      <c r="X19581" s="5"/>
      <c r="Y19581" s="5"/>
    </row>
    <row r="19582" spans="1:25" customFormat="1" ht="15" x14ac:dyDescent="0.25">
      <c r="A19582" t="s">
        <v>24</v>
      </c>
      <c r="B19582" t="s">
        <v>54091</v>
      </c>
      <c r="C19582" t="str">
        <f>"A0166929"</f>
        <v>A0166929</v>
      </c>
      <c r="D19582" t="s">
        <v>54092</v>
      </c>
      <c r="E19582" t="s">
        <v>54093</v>
      </c>
      <c r="F19582" t="s">
        <v>243</v>
      </c>
      <c r="G19582" t="s">
        <v>103</v>
      </c>
      <c r="H19582">
        <v>16214</v>
      </c>
      <c r="I19582" t="s">
        <v>30</v>
      </c>
      <c r="J19582" t="s">
        <v>171</v>
      </c>
      <c r="K19582" t="s">
        <v>248</v>
      </c>
      <c r="N19582" t="s">
        <v>54094</v>
      </c>
      <c r="Q19582">
        <v>0</v>
      </c>
      <c r="R19582">
        <v>98</v>
      </c>
      <c r="S19582">
        <v>0</v>
      </c>
      <c r="T19582" t="s">
        <v>54095</v>
      </c>
    </row>
    <row r="19583" spans="1:25" x14ac:dyDescent="0.25">
      <c r="A19583" s="5" t="s">
        <v>24</v>
      </c>
      <c r="B19583" s="5" t="s">
        <v>54091</v>
      </c>
      <c r="C19583" s="5" t="str">
        <f>"A0166928"</f>
        <v>A0166928</v>
      </c>
      <c r="D19583" s="5" t="s">
        <v>54096</v>
      </c>
      <c r="E19583" s="5" t="s">
        <v>54097</v>
      </c>
      <c r="F19583" s="5" t="s">
        <v>54098</v>
      </c>
      <c r="G19583" s="5" t="s">
        <v>103</v>
      </c>
      <c r="H19583" s="5">
        <v>15701</v>
      </c>
      <c r="I19583" s="5" t="s">
        <v>30</v>
      </c>
      <c r="J19583" s="5" t="s">
        <v>171</v>
      </c>
      <c r="K19583" s="5" t="s">
        <v>248</v>
      </c>
      <c r="L19583" s="5"/>
      <c r="M19583" s="5"/>
      <c r="N19583" s="5" t="s">
        <v>54099</v>
      </c>
      <c r="O19583" s="5"/>
      <c r="P19583" s="5"/>
      <c r="Q19583" s="5">
        <v>0</v>
      </c>
      <c r="R19583" s="5">
        <v>152</v>
      </c>
      <c r="S19583" s="5">
        <v>0</v>
      </c>
      <c r="T19583" s="5" t="s">
        <v>54100</v>
      </c>
      <c r="U19583" s="5"/>
      <c r="V19583" s="5"/>
      <c r="W19583" s="5"/>
      <c r="X19583" s="5"/>
      <c r="Y19583" s="5"/>
    </row>
    <row r="19584" spans="1:25" customFormat="1" ht="15" x14ac:dyDescent="0.25">
      <c r="A19584" t="s">
        <v>24</v>
      </c>
      <c r="B19584" t="s">
        <v>54091</v>
      </c>
      <c r="C19584" t="str">
        <f>"AE121927"</f>
        <v>AE121927</v>
      </c>
      <c r="D19584" t="s">
        <v>54105</v>
      </c>
      <c r="E19584" t="s">
        <v>54106</v>
      </c>
      <c r="F19584" t="s">
        <v>54107</v>
      </c>
      <c r="G19584" t="s">
        <v>507</v>
      </c>
      <c r="H19584">
        <v>26508</v>
      </c>
      <c r="I19584" t="s">
        <v>30</v>
      </c>
      <c r="J19584" t="s">
        <v>171</v>
      </c>
      <c r="K19584" t="s">
        <v>5979</v>
      </c>
      <c r="Q19584">
        <v>0</v>
      </c>
      <c r="R19584">
        <v>187</v>
      </c>
      <c r="S19584">
        <v>0</v>
      </c>
      <c r="T19584" t="s">
        <v>54108</v>
      </c>
    </row>
    <row r="19585" spans="1:25" customFormat="1" ht="15" x14ac:dyDescent="0.25">
      <c r="A19585" t="s">
        <v>24</v>
      </c>
      <c r="B19585" t="s">
        <v>54091</v>
      </c>
      <c r="C19585" t="str">
        <f>"A0166927"</f>
        <v>A0166927</v>
      </c>
      <c r="D19585" t="s">
        <v>54113</v>
      </c>
      <c r="E19585" t="s">
        <v>54114</v>
      </c>
      <c r="F19585" t="s">
        <v>54115</v>
      </c>
      <c r="G19585" t="s">
        <v>103</v>
      </c>
      <c r="H19585">
        <v>15010</v>
      </c>
      <c r="I19585" t="s">
        <v>30</v>
      </c>
      <c r="J19585" t="s">
        <v>171</v>
      </c>
      <c r="K19585" t="s">
        <v>248</v>
      </c>
      <c r="N19585" t="s">
        <v>54116</v>
      </c>
      <c r="Q19585">
        <v>0</v>
      </c>
      <c r="R19585">
        <v>141</v>
      </c>
      <c r="S19585">
        <v>0</v>
      </c>
      <c r="T19585" t="s">
        <v>54117</v>
      </c>
    </row>
    <row r="19586" spans="1:25" customFormat="1" ht="15" x14ac:dyDescent="0.25">
      <c r="A19586" t="s">
        <v>24</v>
      </c>
      <c r="B19586" t="s">
        <v>54091</v>
      </c>
      <c r="C19586" t="str">
        <f>"A0166926"</f>
        <v>A0166926</v>
      </c>
      <c r="D19586" t="s">
        <v>54118</v>
      </c>
      <c r="E19586" t="s">
        <v>54119</v>
      </c>
      <c r="F19586" t="s">
        <v>54120</v>
      </c>
      <c r="G19586" t="s">
        <v>123</v>
      </c>
      <c r="H19586">
        <v>20674</v>
      </c>
      <c r="I19586" t="s">
        <v>30</v>
      </c>
      <c r="J19586" t="s">
        <v>171</v>
      </c>
      <c r="K19586" t="s">
        <v>12620</v>
      </c>
      <c r="N19586" t="s">
        <v>54121</v>
      </c>
      <c r="Q19586">
        <v>0</v>
      </c>
      <c r="R19586">
        <v>28</v>
      </c>
      <c r="S19586">
        <v>0</v>
      </c>
      <c r="T19586" t="s">
        <v>54122</v>
      </c>
    </row>
    <row r="19587" spans="1:25" customFormat="1" ht="15" x14ac:dyDescent="0.25">
      <c r="A19587" t="s">
        <v>24</v>
      </c>
      <c r="B19587" t="s">
        <v>53262</v>
      </c>
      <c r="C19587" t="str">
        <f>"A0088894"</f>
        <v>A0088894</v>
      </c>
      <c r="D19587" t="s">
        <v>54193</v>
      </c>
      <c r="E19587" t="s">
        <v>54194</v>
      </c>
      <c r="F19587" t="s">
        <v>16277</v>
      </c>
      <c r="G19587" t="s">
        <v>214</v>
      </c>
      <c r="H19587">
        <v>27103</v>
      </c>
      <c r="I19587" t="s">
        <v>30</v>
      </c>
      <c r="J19587" t="s">
        <v>171</v>
      </c>
      <c r="K19587" t="s">
        <v>1331</v>
      </c>
      <c r="N19587" t="s">
        <v>54195</v>
      </c>
      <c r="O19587" t="s">
        <v>54196</v>
      </c>
      <c r="Q19587">
        <v>0</v>
      </c>
      <c r="R19587">
        <v>112</v>
      </c>
      <c r="S19587">
        <v>0</v>
      </c>
      <c r="T19587" t="s">
        <v>54197</v>
      </c>
    </row>
    <row r="19588" spans="1:25" x14ac:dyDescent="0.25">
      <c r="A19588" s="5" t="s">
        <v>24</v>
      </c>
      <c r="B19588" s="5" t="s">
        <v>54208</v>
      </c>
      <c r="C19588" s="5" t="str">
        <f>"A0153945"</f>
        <v>A0153945</v>
      </c>
      <c r="D19588" s="5" t="s">
        <v>54213</v>
      </c>
      <c r="E19588" s="5" t="s">
        <v>54214</v>
      </c>
      <c r="F19588" s="5" t="s">
        <v>652</v>
      </c>
      <c r="G19588" s="5" t="s">
        <v>110</v>
      </c>
      <c r="H19588" s="5">
        <v>93309</v>
      </c>
      <c r="I19588" s="5" t="s">
        <v>30</v>
      </c>
      <c r="J19588" s="5" t="s">
        <v>171</v>
      </c>
      <c r="K19588" s="5" t="s">
        <v>1202</v>
      </c>
      <c r="L19588" s="5"/>
      <c r="M19588" s="5"/>
      <c r="N19588" s="5" t="s">
        <v>54215</v>
      </c>
      <c r="O19588" s="5" t="s">
        <v>54216</v>
      </c>
      <c r="P19588" s="5"/>
      <c r="Q19588" s="5">
        <v>0</v>
      </c>
      <c r="R19588" s="5">
        <v>120</v>
      </c>
      <c r="S19588" s="5">
        <v>0</v>
      </c>
      <c r="T19588" s="5" t="s">
        <v>54217</v>
      </c>
      <c r="U19588" s="5"/>
      <c r="V19588" s="5"/>
      <c r="W19588" s="5"/>
      <c r="X19588" s="5"/>
      <c r="Y19588" s="5"/>
    </row>
    <row r="19589" spans="1:25" customFormat="1" ht="15" x14ac:dyDescent="0.25">
      <c r="A19589" t="s">
        <v>24</v>
      </c>
      <c r="B19589" t="s">
        <v>56702</v>
      </c>
      <c r="C19589" t="str">
        <f>"A0094872"</f>
        <v>A0094872</v>
      </c>
      <c r="D19589" t="s">
        <v>72602</v>
      </c>
      <c r="E19589" t="s">
        <v>72603</v>
      </c>
      <c r="F19589" t="s">
        <v>8169</v>
      </c>
      <c r="G19589" t="s">
        <v>110</v>
      </c>
      <c r="H19589">
        <v>94025</v>
      </c>
      <c r="I19589" t="s">
        <v>30</v>
      </c>
      <c r="J19589" t="s">
        <v>31</v>
      </c>
      <c r="K19589" t="s">
        <v>163</v>
      </c>
      <c r="N19589" t="s">
        <v>72591</v>
      </c>
      <c r="Q19589">
        <v>0</v>
      </c>
      <c r="R19589">
        <v>47</v>
      </c>
      <c r="S19589">
        <v>0</v>
      </c>
      <c r="T19589" t="s">
        <v>72604</v>
      </c>
    </row>
    <row r="19590" spans="1:25" customFormat="1" ht="15" x14ac:dyDescent="0.25">
      <c r="A19590" t="s">
        <v>24</v>
      </c>
      <c r="B19590" t="s">
        <v>54208</v>
      </c>
      <c r="C19590" t="str">
        <f>"A0097767"</f>
        <v>A0097767</v>
      </c>
      <c r="D19590" t="s">
        <v>54234</v>
      </c>
      <c r="E19590" t="s">
        <v>54235</v>
      </c>
      <c r="F19590" t="s">
        <v>9515</v>
      </c>
      <c r="G19590" t="s">
        <v>110</v>
      </c>
      <c r="H19590">
        <v>92020</v>
      </c>
      <c r="I19590" t="s">
        <v>30</v>
      </c>
      <c r="J19590" t="s">
        <v>171</v>
      </c>
      <c r="K19590" t="s">
        <v>973</v>
      </c>
      <c r="N19590" t="s">
        <v>54236</v>
      </c>
      <c r="O19590" t="s">
        <v>54237</v>
      </c>
      <c r="Q19590">
        <v>0</v>
      </c>
      <c r="R19590">
        <v>120</v>
      </c>
      <c r="S19590">
        <v>0</v>
      </c>
      <c r="T19590" t="s">
        <v>54238</v>
      </c>
    </row>
    <row r="19591" spans="1:25" x14ac:dyDescent="0.25">
      <c r="A19591" s="5" t="s">
        <v>24</v>
      </c>
      <c r="B19591" s="5" t="s">
        <v>54208</v>
      </c>
      <c r="C19591" s="5" t="str">
        <f>"A0096218"</f>
        <v>A0096218</v>
      </c>
      <c r="D19591" s="5" t="s">
        <v>54239</v>
      </c>
      <c r="E19591" s="5" t="s">
        <v>54240</v>
      </c>
      <c r="F19591" s="5" t="s">
        <v>2978</v>
      </c>
      <c r="G19591" s="5" t="s">
        <v>110</v>
      </c>
      <c r="H19591" s="5">
        <v>92131</v>
      </c>
      <c r="I19591" s="5" t="s">
        <v>30</v>
      </c>
      <c r="J19591" s="5" t="s">
        <v>171</v>
      </c>
      <c r="K19591" s="5" t="s">
        <v>1023</v>
      </c>
      <c r="L19591" s="5"/>
      <c r="M19591" s="5"/>
      <c r="N19591" s="5" t="s">
        <v>54241</v>
      </c>
      <c r="O19591" s="5"/>
      <c r="P19591" s="5"/>
      <c r="Q19591" s="5">
        <v>0</v>
      </c>
      <c r="R19591" s="5">
        <v>135</v>
      </c>
      <c r="S19591" s="5">
        <v>0</v>
      </c>
      <c r="T19591" s="5" t="s">
        <v>54242</v>
      </c>
      <c r="U19591" s="5"/>
      <c r="V19591" s="5"/>
      <c r="W19591" s="5"/>
      <c r="X19591" s="5"/>
      <c r="Y19591" s="5"/>
    </row>
    <row r="19592" spans="1:25" customFormat="1" ht="15" x14ac:dyDescent="0.25">
      <c r="A19592" t="s">
        <v>24</v>
      </c>
      <c r="B19592" t="s">
        <v>54208</v>
      </c>
      <c r="C19592" t="str">
        <f>"A0057507"</f>
        <v>A0057507</v>
      </c>
      <c r="D19592" t="s">
        <v>54285</v>
      </c>
      <c r="E19592" t="s">
        <v>54286</v>
      </c>
      <c r="F19592" t="s">
        <v>2978</v>
      </c>
      <c r="G19592" t="s">
        <v>110</v>
      </c>
      <c r="H19592">
        <v>92126</v>
      </c>
      <c r="I19592" t="s">
        <v>30</v>
      </c>
      <c r="J19592" t="s">
        <v>171</v>
      </c>
      <c r="K19592" t="s">
        <v>5354</v>
      </c>
      <c r="N19592" t="s">
        <v>54287</v>
      </c>
      <c r="Q19592">
        <v>0</v>
      </c>
      <c r="R19592">
        <v>104</v>
      </c>
      <c r="S19592">
        <v>0</v>
      </c>
      <c r="T19592" t="s">
        <v>54288</v>
      </c>
    </row>
    <row r="19593" spans="1:25" customFormat="1" ht="15" x14ac:dyDescent="0.25">
      <c r="A19593" t="s">
        <v>24</v>
      </c>
      <c r="B19593" t="s">
        <v>54208</v>
      </c>
      <c r="C19593" t="str">
        <f>"88HX022"</f>
        <v>88HX022</v>
      </c>
      <c r="D19593" t="s">
        <v>54293</v>
      </c>
      <c r="E19593" t="s">
        <v>54294</v>
      </c>
      <c r="F19593" t="s">
        <v>54256</v>
      </c>
      <c r="G19593" t="s">
        <v>110</v>
      </c>
      <c r="H19593">
        <v>91911</v>
      </c>
      <c r="I19593" t="s">
        <v>30</v>
      </c>
      <c r="J19593" t="s">
        <v>171</v>
      </c>
      <c r="K19593" t="s">
        <v>5354</v>
      </c>
      <c r="N19593" t="s">
        <v>54295</v>
      </c>
      <c r="Q19593">
        <v>0</v>
      </c>
      <c r="R19593">
        <v>118</v>
      </c>
      <c r="S19593">
        <v>0</v>
      </c>
      <c r="T19593" t="s">
        <v>54296</v>
      </c>
    </row>
    <row r="19594" spans="1:25" customFormat="1" ht="15" x14ac:dyDescent="0.25">
      <c r="A19594" t="s">
        <v>24</v>
      </c>
      <c r="B19594" t="s">
        <v>5558</v>
      </c>
      <c r="C19594" t="str">
        <f>"A0165861"</f>
        <v>A0165861</v>
      </c>
      <c r="D19594" t="s">
        <v>54313</v>
      </c>
      <c r="E19594" t="s">
        <v>54314</v>
      </c>
      <c r="F19594" t="s">
        <v>33206</v>
      </c>
      <c r="G19594" t="s">
        <v>197</v>
      </c>
      <c r="H19594">
        <v>86336</v>
      </c>
      <c r="I19594" t="s">
        <v>30</v>
      </c>
      <c r="J19594" t="s">
        <v>171</v>
      </c>
      <c r="K19594" t="s">
        <v>1450</v>
      </c>
      <c r="N19594" t="s">
        <v>54315</v>
      </c>
      <c r="O19594" t="s">
        <v>54316</v>
      </c>
      <c r="Q19594">
        <v>0</v>
      </c>
      <c r="R19594">
        <v>108</v>
      </c>
      <c r="S19594">
        <v>0</v>
      </c>
      <c r="T19594" t="s">
        <v>54317</v>
      </c>
    </row>
    <row r="19595" spans="1:25" x14ac:dyDescent="0.25">
      <c r="A19595" s="5" t="s">
        <v>24</v>
      </c>
      <c r="B19595" s="5" t="s">
        <v>257</v>
      </c>
      <c r="C19595" s="5" t="str">
        <f>"A0101214"</f>
        <v>A0101214</v>
      </c>
      <c r="D19595" s="5" t="s">
        <v>54323</v>
      </c>
      <c r="E19595" s="5" t="s">
        <v>54324</v>
      </c>
      <c r="F19595" s="5" t="s">
        <v>5107</v>
      </c>
      <c r="G19595" s="5" t="s">
        <v>925</v>
      </c>
      <c r="H19595" s="5">
        <v>66101</v>
      </c>
      <c r="I19595" s="5" t="s">
        <v>30</v>
      </c>
      <c r="J19595" s="5" t="s">
        <v>171</v>
      </c>
      <c r="K19595" s="5" t="s">
        <v>1331</v>
      </c>
      <c r="L19595" s="5"/>
      <c r="M19595" s="5"/>
      <c r="N19595" s="5" t="s">
        <v>54325</v>
      </c>
      <c r="O19595" s="5" t="s">
        <v>54326</v>
      </c>
      <c r="P19595" s="5"/>
      <c r="Q19595" s="5">
        <v>0</v>
      </c>
      <c r="R19595" s="5">
        <v>148</v>
      </c>
      <c r="S19595" s="5">
        <v>0</v>
      </c>
      <c r="T19595" s="5" t="s">
        <v>54327</v>
      </c>
      <c r="U19595" s="5"/>
      <c r="V19595" s="5"/>
      <c r="W19595" s="5"/>
      <c r="X19595" s="5"/>
      <c r="Y19595" s="5"/>
    </row>
    <row r="19596" spans="1:25" customFormat="1" ht="15" x14ac:dyDescent="0.25">
      <c r="A19596" t="s">
        <v>24</v>
      </c>
      <c r="B19596" t="s">
        <v>54332</v>
      </c>
      <c r="C19596" t="str">
        <f>"A0167121"</f>
        <v>A0167121</v>
      </c>
      <c r="D19596" t="s">
        <v>54333</v>
      </c>
      <c r="E19596" t="s">
        <v>54334</v>
      </c>
      <c r="F19596" t="s">
        <v>5101</v>
      </c>
      <c r="G19596" t="s">
        <v>52</v>
      </c>
      <c r="H19596">
        <v>75052</v>
      </c>
      <c r="I19596" t="s">
        <v>30</v>
      </c>
      <c r="J19596" t="s">
        <v>171</v>
      </c>
      <c r="K19596" t="s">
        <v>973</v>
      </c>
      <c r="N19596" t="s">
        <v>54335</v>
      </c>
      <c r="Q19596">
        <v>0</v>
      </c>
      <c r="R19596">
        <v>120</v>
      </c>
      <c r="S19596">
        <v>0</v>
      </c>
      <c r="T19596" t="s">
        <v>54336</v>
      </c>
    </row>
    <row r="19597" spans="1:25" customFormat="1" ht="15" x14ac:dyDescent="0.25">
      <c r="A19597" t="s">
        <v>24</v>
      </c>
      <c r="B19597" t="s">
        <v>2387</v>
      </c>
      <c r="C19597" t="str">
        <f>"A0167173"</f>
        <v>A0167173</v>
      </c>
      <c r="D19597" t="s">
        <v>54337</v>
      </c>
      <c r="E19597" t="s">
        <v>54338</v>
      </c>
      <c r="F19597" t="s">
        <v>54339</v>
      </c>
      <c r="G19597" t="s">
        <v>1363</v>
      </c>
      <c r="H19597">
        <v>3062</v>
      </c>
      <c r="I19597" t="s">
        <v>30</v>
      </c>
      <c r="J19597" t="s">
        <v>171</v>
      </c>
      <c r="K19597" t="s">
        <v>1023</v>
      </c>
      <c r="N19597" t="s">
        <v>54340</v>
      </c>
      <c r="O19597" t="s">
        <v>54341</v>
      </c>
      <c r="Q19597">
        <v>0</v>
      </c>
      <c r="R19597">
        <v>105</v>
      </c>
      <c r="S19597">
        <v>0</v>
      </c>
      <c r="T19597" t="s">
        <v>54342</v>
      </c>
    </row>
    <row r="19598" spans="1:25" customFormat="1" ht="15" x14ac:dyDescent="0.25">
      <c r="A19598" t="s">
        <v>24</v>
      </c>
      <c r="B19598" t="s">
        <v>72639</v>
      </c>
      <c r="C19598" t="str">
        <f>"A0158303"</f>
        <v>A0158303</v>
      </c>
      <c r="D19598" t="s">
        <v>72640</v>
      </c>
      <c r="E19598" t="s">
        <v>72641</v>
      </c>
      <c r="F19598" t="s">
        <v>3880</v>
      </c>
      <c r="G19598" t="s">
        <v>99</v>
      </c>
      <c r="H19598">
        <v>10016</v>
      </c>
      <c r="I19598" t="s">
        <v>30</v>
      </c>
      <c r="J19598" t="s">
        <v>31</v>
      </c>
      <c r="K19598" t="s">
        <v>163</v>
      </c>
      <c r="N19598" t="s">
        <v>72642</v>
      </c>
      <c r="Q19598">
        <v>0</v>
      </c>
      <c r="R19598">
        <v>281</v>
      </c>
      <c r="S19598">
        <v>0</v>
      </c>
      <c r="T19598" t="s">
        <v>72643</v>
      </c>
    </row>
    <row r="19599" spans="1:25" x14ac:dyDescent="0.25">
      <c r="A19599" s="5" t="s">
        <v>24</v>
      </c>
      <c r="B19599" s="5" t="s">
        <v>193</v>
      </c>
      <c r="C19599" s="5" t="str">
        <f>"A0094919"</f>
        <v>A0094919</v>
      </c>
      <c r="D19599" s="5" t="s">
        <v>54402</v>
      </c>
      <c r="E19599" s="5" t="s">
        <v>54403</v>
      </c>
      <c r="F19599" s="5" t="s">
        <v>1519</v>
      </c>
      <c r="G19599" s="5" t="s">
        <v>110</v>
      </c>
      <c r="H19599" s="5">
        <v>90017</v>
      </c>
      <c r="I19599" s="5" t="s">
        <v>30</v>
      </c>
      <c r="J19599" s="5" t="s">
        <v>171</v>
      </c>
      <c r="K19599" s="5" t="s">
        <v>163</v>
      </c>
      <c r="L19599" s="5"/>
      <c r="M19599" s="5"/>
      <c r="N19599" s="5" t="s">
        <v>54404</v>
      </c>
      <c r="O19599" s="5" t="s">
        <v>54405</v>
      </c>
      <c r="P19599" s="5"/>
      <c r="Q19599" s="5">
        <v>0</v>
      </c>
      <c r="R19599" s="5">
        <v>295</v>
      </c>
      <c r="S19599" s="5">
        <v>0</v>
      </c>
      <c r="T19599" s="5" t="s">
        <v>54406</v>
      </c>
      <c r="U19599" s="5"/>
      <c r="V19599" s="5"/>
      <c r="W19599" s="5"/>
      <c r="X19599" s="5"/>
      <c r="Y19599" s="5"/>
    </row>
    <row r="19600" spans="1:25" x14ac:dyDescent="0.25">
      <c r="A19600" s="5" t="s">
        <v>24</v>
      </c>
      <c r="B19600" s="5" t="s">
        <v>2968</v>
      </c>
      <c r="C19600" s="5" t="str">
        <f>"A0100546"</f>
        <v>A0100546</v>
      </c>
      <c r="D19600" s="5" t="s">
        <v>54425</v>
      </c>
      <c r="E19600" s="5" t="s">
        <v>54426</v>
      </c>
      <c r="F19600" s="5" t="s">
        <v>54427</v>
      </c>
      <c r="G19600" s="5" t="s">
        <v>81</v>
      </c>
      <c r="H19600" s="5">
        <v>32819</v>
      </c>
      <c r="I19600" s="5" t="s">
        <v>30</v>
      </c>
      <c r="J19600" s="5" t="s">
        <v>171</v>
      </c>
      <c r="K19600" s="5" t="s">
        <v>2972</v>
      </c>
      <c r="L19600" s="5"/>
      <c r="M19600" s="5"/>
      <c r="N19600" s="5" t="s">
        <v>54428</v>
      </c>
      <c r="O19600" s="5" t="s">
        <v>54429</v>
      </c>
      <c r="P19600" s="5"/>
      <c r="Q19600" s="5">
        <v>0</v>
      </c>
      <c r="R19600" s="5">
        <v>168</v>
      </c>
      <c r="S19600" s="5">
        <v>0</v>
      </c>
      <c r="T19600" s="5" t="s">
        <v>54430</v>
      </c>
      <c r="U19600" s="5"/>
      <c r="V19600" s="5"/>
      <c r="W19600" s="5"/>
      <c r="X19600" s="5"/>
      <c r="Y19600" s="5"/>
    </row>
    <row r="19601" spans="1:25" customFormat="1" ht="15" x14ac:dyDescent="0.25">
      <c r="A19601" t="s">
        <v>24</v>
      </c>
      <c r="B19601" t="s">
        <v>5843</v>
      </c>
      <c r="C19601" t="str">
        <f>"A0061178"</f>
        <v>A0061178</v>
      </c>
      <c r="D19601" t="s">
        <v>72651</v>
      </c>
      <c r="E19601" t="s">
        <v>72652</v>
      </c>
      <c r="F19601" t="s">
        <v>30779</v>
      </c>
      <c r="G19601" t="s">
        <v>110</v>
      </c>
      <c r="H19601">
        <v>93940</v>
      </c>
      <c r="I19601" t="s">
        <v>30</v>
      </c>
      <c r="J19601" t="s">
        <v>31</v>
      </c>
      <c r="K19601" t="s">
        <v>163</v>
      </c>
      <c r="N19601" t="s">
        <v>72311</v>
      </c>
      <c r="Q19601">
        <v>0</v>
      </c>
      <c r="R19601">
        <v>105</v>
      </c>
      <c r="S19601">
        <v>0</v>
      </c>
      <c r="T19601" t="s">
        <v>72653</v>
      </c>
    </row>
    <row r="19602" spans="1:25" x14ac:dyDescent="0.25">
      <c r="A19602" s="5" t="s">
        <v>24</v>
      </c>
      <c r="B19602" s="5" t="s">
        <v>2968</v>
      </c>
      <c r="C19602" s="5" t="str">
        <f>"A0074460"</f>
        <v>A0074460</v>
      </c>
      <c r="D19602" s="5" t="s">
        <v>54431</v>
      </c>
      <c r="E19602" s="5" t="s">
        <v>54432</v>
      </c>
      <c r="F19602" s="5" t="s">
        <v>985</v>
      </c>
      <c r="G19602" s="5" t="s">
        <v>81</v>
      </c>
      <c r="H19602" s="5">
        <v>32819</v>
      </c>
      <c r="I19602" s="5" t="s">
        <v>30</v>
      </c>
      <c r="J19602" s="5" t="s">
        <v>171</v>
      </c>
      <c r="K19602" s="5" t="s">
        <v>1202</v>
      </c>
      <c r="L19602" s="5"/>
      <c r="M19602" s="5"/>
      <c r="N19602" s="5" t="s">
        <v>54433</v>
      </c>
      <c r="O19602" s="5" t="s">
        <v>54428</v>
      </c>
      <c r="P19602" s="5"/>
      <c r="Q19602" s="5">
        <v>0</v>
      </c>
      <c r="R19602" s="5">
        <v>151</v>
      </c>
      <c r="S19602" s="5">
        <v>0</v>
      </c>
      <c r="T19602" s="5" t="s">
        <v>54434</v>
      </c>
      <c r="U19602" s="5"/>
      <c r="V19602" s="5"/>
      <c r="W19602" s="5"/>
      <c r="X19602" s="5"/>
      <c r="Y19602" s="5"/>
    </row>
    <row r="19603" spans="1:25" x14ac:dyDescent="0.25">
      <c r="A19603" s="5" t="s">
        <v>24</v>
      </c>
      <c r="B19603" s="5" t="s">
        <v>2968</v>
      </c>
      <c r="C19603" s="5" t="str">
        <f>"A0074459"</f>
        <v>A0074459</v>
      </c>
      <c r="D19603" s="5" t="s">
        <v>54435</v>
      </c>
      <c r="E19603" s="5" t="s">
        <v>54436</v>
      </c>
      <c r="F19603" s="5" t="s">
        <v>985</v>
      </c>
      <c r="G19603" s="5" t="s">
        <v>81</v>
      </c>
      <c r="H19603" s="5">
        <v>32819</v>
      </c>
      <c r="I19603" s="5" t="s">
        <v>30</v>
      </c>
      <c r="J19603" s="5" t="s">
        <v>171</v>
      </c>
      <c r="K19603" s="5" t="s">
        <v>1202</v>
      </c>
      <c r="L19603" s="5"/>
      <c r="M19603" s="5"/>
      <c r="N19603" s="5" t="s">
        <v>54437</v>
      </c>
      <c r="O19603" s="5" t="s">
        <v>54438</v>
      </c>
      <c r="P19603" s="5"/>
      <c r="Q19603" s="5">
        <v>0</v>
      </c>
      <c r="R19603" s="5">
        <v>152</v>
      </c>
      <c r="S19603" s="5">
        <v>0</v>
      </c>
      <c r="T19603" s="5" t="s">
        <v>54439</v>
      </c>
      <c r="U19603" s="5"/>
      <c r="V19603" s="5"/>
      <c r="W19603" s="5"/>
      <c r="X19603" s="5"/>
      <c r="Y19603" s="5"/>
    </row>
    <row r="19604" spans="1:25" customFormat="1" ht="15" x14ac:dyDescent="0.25">
      <c r="A19604" t="s">
        <v>24</v>
      </c>
      <c r="B19604" t="s">
        <v>140</v>
      </c>
      <c r="C19604" t="str">
        <f>"A0074467"</f>
        <v>A0074467</v>
      </c>
      <c r="D19604" t="s">
        <v>54440</v>
      </c>
      <c r="E19604" t="s">
        <v>54441</v>
      </c>
      <c r="F19604" t="s">
        <v>2014</v>
      </c>
      <c r="G19604" t="s">
        <v>197</v>
      </c>
      <c r="H19604">
        <v>85251</v>
      </c>
      <c r="I19604" t="s">
        <v>30</v>
      </c>
      <c r="J19604" t="s">
        <v>171</v>
      </c>
      <c r="K19604" t="s">
        <v>1202</v>
      </c>
      <c r="N19604" t="s">
        <v>54442</v>
      </c>
      <c r="O19604" t="s">
        <v>54443</v>
      </c>
      <c r="Q19604">
        <v>0</v>
      </c>
      <c r="R19604">
        <v>128</v>
      </c>
      <c r="S19604">
        <v>0</v>
      </c>
      <c r="T19604" t="s">
        <v>54444</v>
      </c>
    </row>
    <row r="19605" spans="1:25" hidden="1" x14ac:dyDescent="0.25">
      <c r="A19605" s="3" t="s">
        <v>24</v>
      </c>
      <c r="B19605" s="3" t="s">
        <v>1548</v>
      </c>
      <c r="C19605" s="3" t="str">
        <f>"SF04001"</f>
        <v>SF04001</v>
      </c>
      <c r="D19605" s="3" t="s">
        <v>72668</v>
      </c>
      <c r="E19605" s="3" t="s">
        <v>72669</v>
      </c>
      <c r="F19605" s="3" t="s">
        <v>61554</v>
      </c>
      <c r="G19605" s="3" t="s">
        <v>5439</v>
      </c>
      <c r="H19605" s="3" t="s">
        <v>72670</v>
      </c>
      <c r="I19605" s="3" t="s">
        <v>1459</v>
      </c>
      <c r="J19605" s="3" t="s">
        <v>206</v>
      </c>
      <c r="K19605" s="3" t="s">
        <v>3447</v>
      </c>
      <c r="N19605" s="3" t="s">
        <v>72671</v>
      </c>
      <c r="Q19605" s="3">
        <v>0</v>
      </c>
      <c r="R19605" s="3">
        <v>242</v>
      </c>
      <c r="S19605" s="3">
        <v>0</v>
      </c>
      <c r="T19605" s="3" t="s">
        <v>72672</v>
      </c>
    </row>
    <row r="19606" spans="1:25" customFormat="1" ht="15" hidden="1" x14ac:dyDescent="0.25">
      <c r="A19606" t="s">
        <v>24</v>
      </c>
      <c r="B19606" t="s">
        <v>72673</v>
      </c>
      <c r="C19606" t="str">
        <f>"A0089933"</f>
        <v>A0089933</v>
      </c>
      <c r="D19606" t="s">
        <v>72674</v>
      </c>
      <c r="E19606" t="s">
        <v>72675</v>
      </c>
      <c r="F19606" t="s">
        <v>72676</v>
      </c>
      <c r="G19606" t="s">
        <v>4580</v>
      </c>
      <c r="H19606">
        <v>97407</v>
      </c>
      <c r="I19606" t="s">
        <v>2408</v>
      </c>
      <c r="J19606" t="s">
        <v>162</v>
      </c>
      <c r="K19606" t="s">
        <v>163</v>
      </c>
      <c r="N19606" t="s">
        <v>72677</v>
      </c>
      <c r="Q19606">
        <v>0</v>
      </c>
      <c r="R19606">
        <v>147</v>
      </c>
      <c r="S19606">
        <v>0</v>
      </c>
      <c r="T19606" t="s">
        <v>72678</v>
      </c>
    </row>
    <row r="19607" spans="1:25" x14ac:dyDescent="0.25">
      <c r="A19607" s="5" t="s">
        <v>24</v>
      </c>
      <c r="B19607" s="5" t="s">
        <v>140</v>
      </c>
      <c r="C19607" s="5" t="str">
        <f>"A0091470"</f>
        <v>A0091470</v>
      </c>
      <c r="D19607" s="5" t="s">
        <v>54445</v>
      </c>
      <c r="E19607" s="5" t="s">
        <v>54446</v>
      </c>
      <c r="F19607" s="5" t="s">
        <v>6404</v>
      </c>
      <c r="G19607" s="5" t="s">
        <v>161</v>
      </c>
      <c r="H19607" s="5">
        <v>55415</v>
      </c>
      <c r="I19607" s="5" t="s">
        <v>30</v>
      </c>
      <c r="J19607" s="5" t="s">
        <v>171</v>
      </c>
      <c r="K19607" s="5" t="s">
        <v>1202</v>
      </c>
      <c r="L19607" s="5"/>
      <c r="M19607" s="5"/>
      <c r="N19607" s="5" t="s">
        <v>54447</v>
      </c>
      <c r="O19607" s="5" t="s">
        <v>54448</v>
      </c>
      <c r="P19607" s="5"/>
      <c r="Q19607" s="5">
        <v>0</v>
      </c>
      <c r="R19607" s="5">
        <v>213</v>
      </c>
      <c r="S19607" s="5">
        <v>0</v>
      </c>
      <c r="T19607" s="5" t="s">
        <v>54449</v>
      </c>
      <c r="U19607" s="5"/>
      <c r="V19607" s="5"/>
      <c r="W19607" s="5"/>
      <c r="X19607" s="5"/>
      <c r="Y19607" s="5"/>
    </row>
    <row r="19608" spans="1:25" customFormat="1" ht="15" x14ac:dyDescent="0.25">
      <c r="A19608" t="s">
        <v>24</v>
      </c>
      <c r="B19608" t="s">
        <v>54455</v>
      </c>
      <c r="C19608" t="str">
        <f>"A0166727"</f>
        <v>A0166727</v>
      </c>
      <c r="D19608" t="s">
        <v>54471</v>
      </c>
      <c r="E19608" t="s">
        <v>54472</v>
      </c>
      <c r="F19608" t="s">
        <v>356</v>
      </c>
      <c r="G19608" t="s">
        <v>52</v>
      </c>
      <c r="H19608">
        <v>78257</v>
      </c>
      <c r="I19608" t="s">
        <v>30</v>
      </c>
      <c r="J19608" t="s">
        <v>171</v>
      </c>
      <c r="K19608" t="s">
        <v>1331</v>
      </c>
      <c r="N19608" t="s">
        <v>54473</v>
      </c>
      <c r="Q19608">
        <v>0</v>
      </c>
      <c r="R19608">
        <v>137</v>
      </c>
      <c r="S19608">
        <v>0</v>
      </c>
      <c r="T19608" t="s">
        <v>54474</v>
      </c>
    </row>
    <row r="19609" spans="1:25" customFormat="1" ht="15" x14ac:dyDescent="0.25">
      <c r="A19609" t="s">
        <v>24</v>
      </c>
      <c r="B19609" t="s">
        <v>54505</v>
      </c>
      <c r="C19609" t="str">
        <f>"A0166323"</f>
        <v>A0166323</v>
      </c>
      <c r="D19609" t="s">
        <v>54512</v>
      </c>
      <c r="E19609" t="s">
        <v>54513</v>
      </c>
      <c r="F19609" t="s">
        <v>3029</v>
      </c>
      <c r="G19609" t="s">
        <v>58</v>
      </c>
      <c r="H19609">
        <v>29483</v>
      </c>
      <c r="I19609" t="s">
        <v>30</v>
      </c>
      <c r="J19609" t="s">
        <v>171</v>
      </c>
      <c r="K19609" t="s">
        <v>13503</v>
      </c>
      <c r="N19609" t="s">
        <v>54514</v>
      </c>
      <c r="Q19609">
        <v>0</v>
      </c>
      <c r="R19609">
        <v>123</v>
      </c>
      <c r="S19609">
        <v>0</v>
      </c>
      <c r="T19609" t="s">
        <v>54515</v>
      </c>
    </row>
    <row r="19610" spans="1:25" customFormat="1" ht="15" x14ac:dyDescent="0.25">
      <c r="A19610" t="s">
        <v>24</v>
      </c>
      <c r="B19610" t="s">
        <v>649</v>
      </c>
      <c r="C19610" t="str">
        <f>"A0162101"</f>
        <v>A0162101</v>
      </c>
      <c r="D19610" t="s">
        <v>54552</v>
      </c>
      <c r="E19610" t="s">
        <v>54553</v>
      </c>
      <c r="F19610" t="s">
        <v>242</v>
      </c>
      <c r="G19610" t="s">
        <v>214</v>
      </c>
      <c r="H19610">
        <v>28277</v>
      </c>
      <c r="I19610" t="s">
        <v>30</v>
      </c>
      <c r="J19610" t="s">
        <v>171</v>
      </c>
      <c r="K19610" t="s">
        <v>973</v>
      </c>
      <c r="N19610" t="s">
        <v>54554</v>
      </c>
      <c r="O19610" t="s">
        <v>54555</v>
      </c>
      <c r="Q19610">
        <v>0</v>
      </c>
      <c r="R19610">
        <v>129</v>
      </c>
      <c r="S19610">
        <v>0</v>
      </c>
      <c r="T19610" t="s">
        <v>54556</v>
      </c>
    </row>
    <row r="19611" spans="1:25" x14ac:dyDescent="0.25">
      <c r="A19611" s="5" t="s">
        <v>24</v>
      </c>
      <c r="B19611" s="5" t="s">
        <v>976</v>
      </c>
      <c r="C19611" s="5" t="str">
        <f>"A0166712"</f>
        <v>A0166712</v>
      </c>
      <c r="D19611" s="5" t="s">
        <v>54557</v>
      </c>
      <c r="E19611" s="5" t="s">
        <v>54558</v>
      </c>
      <c r="F19611" s="5" t="s">
        <v>5791</v>
      </c>
      <c r="G19611" s="5" t="s">
        <v>110</v>
      </c>
      <c r="H19611" s="5">
        <v>94539</v>
      </c>
      <c r="I19611" s="5" t="s">
        <v>30</v>
      </c>
      <c r="J19611" s="5" t="s">
        <v>171</v>
      </c>
      <c r="K19611" s="5" t="s">
        <v>1331</v>
      </c>
      <c r="L19611" s="5"/>
      <c r="M19611" s="5"/>
      <c r="N19611" s="5" t="s">
        <v>54559</v>
      </c>
      <c r="O19611" s="5" t="s">
        <v>54560</v>
      </c>
      <c r="P19611" s="5"/>
      <c r="Q19611" s="5">
        <v>0</v>
      </c>
      <c r="R19611" s="5">
        <v>145</v>
      </c>
      <c r="S19611" s="5">
        <v>0</v>
      </c>
      <c r="T19611" s="5" t="s">
        <v>54561</v>
      </c>
      <c r="U19611" s="5"/>
      <c r="V19611" s="5"/>
      <c r="W19611" s="5"/>
      <c r="X19611" s="5"/>
      <c r="Y19611" s="5"/>
    </row>
    <row r="19612" spans="1:25" customFormat="1" ht="15" x14ac:dyDescent="0.25">
      <c r="A19612" t="s">
        <v>24</v>
      </c>
      <c r="B19612" t="s">
        <v>1138</v>
      </c>
      <c r="C19612" t="str">
        <f>"A0165667"</f>
        <v>A0165667</v>
      </c>
      <c r="D19612" t="s">
        <v>54567</v>
      </c>
      <c r="E19612" t="s">
        <v>54568</v>
      </c>
      <c r="F19612" t="s">
        <v>2971</v>
      </c>
      <c r="G19612" t="s">
        <v>880</v>
      </c>
      <c r="H19612">
        <v>37203</v>
      </c>
      <c r="I19612" t="s">
        <v>30</v>
      </c>
      <c r="J19612" t="s">
        <v>171</v>
      </c>
      <c r="K19612" t="s">
        <v>1147</v>
      </c>
      <c r="N19612" t="s">
        <v>54569</v>
      </c>
      <c r="Q19612">
        <v>0</v>
      </c>
      <c r="R19612">
        <v>164</v>
      </c>
      <c r="S19612">
        <v>0</v>
      </c>
      <c r="T19612" t="s">
        <v>192</v>
      </c>
    </row>
    <row r="19613" spans="1:25" x14ac:dyDescent="0.25">
      <c r="A19613" s="5" t="s">
        <v>24</v>
      </c>
      <c r="B19613" s="5" t="s">
        <v>1598</v>
      </c>
      <c r="C19613" s="5" t="str">
        <f>"A0057757"</f>
        <v>A0057757</v>
      </c>
      <c r="D19613" s="5" t="s">
        <v>54635</v>
      </c>
      <c r="E19613" s="5" t="s">
        <v>54636</v>
      </c>
      <c r="F19613" s="5" t="s">
        <v>54637</v>
      </c>
      <c r="G19613" s="5" t="s">
        <v>2450</v>
      </c>
      <c r="H19613" s="5">
        <v>4401</v>
      </c>
      <c r="I19613" s="5" t="s">
        <v>30</v>
      </c>
      <c r="J19613" s="5" t="s">
        <v>171</v>
      </c>
      <c r="K19613" s="5" t="s">
        <v>653</v>
      </c>
      <c r="L19613" s="5"/>
      <c r="M19613" s="5"/>
      <c r="N19613" s="5" t="s">
        <v>54638</v>
      </c>
      <c r="O19613" s="5" t="s">
        <v>54639</v>
      </c>
      <c r="P19613" s="5"/>
      <c r="Q19613" s="5">
        <v>0</v>
      </c>
      <c r="R19613" s="5">
        <v>111</v>
      </c>
      <c r="S19613" s="5">
        <v>0</v>
      </c>
      <c r="T19613" s="5" t="s">
        <v>54640</v>
      </c>
      <c r="U19613" s="5"/>
      <c r="V19613" s="5"/>
      <c r="W19613" s="5"/>
      <c r="X19613" s="5"/>
      <c r="Y19613" s="5"/>
    </row>
    <row r="19614" spans="1:25" customFormat="1" ht="15" x14ac:dyDescent="0.25">
      <c r="A19614" t="s">
        <v>24</v>
      </c>
      <c r="B19614" t="s">
        <v>7953</v>
      </c>
      <c r="C19614" t="str">
        <f>"A0153934"</f>
        <v>A0153934</v>
      </c>
      <c r="D19614" t="s">
        <v>72710</v>
      </c>
      <c r="E19614" t="s">
        <v>72711</v>
      </c>
      <c r="F19614" t="s">
        <v>748</v>
      </c>
      <c r="G19614" t="s">
        <v>110</v>
      </c>
      <c r="H19614">
        <v>94109</v>
      </c>
      <c r="I19614" t="s">
        <v>30</v>
      </c>
      <c r="J19614" t="s">
        <v>31</v>
      </c>
      <c r="K19614" t="s">
        <v>163</v>
      </c>
      <c r="N19614" t="s">
        <v>72712</v>
      </c>
      <c r="Q19614">
        <v>0</v>
      </c>
      <c r="R19614">
        <v>110</v>
      </c>
      <c r="S19614">
        <v>0</v>
      </c>
      <c r="T19614" t="s">
        <v>72713</v>
      </c>
    </row>
    <row r="19615" spans="1:25" customFormat="1" ht="15" x14ac:dyDescent="0.25">
      <c r="A19615" t="s">
        <v>24</v>
      </c>
      <c r="B19615" t="s">
        <v>1598</v>
      </c>
      <c r="C19615" t="str">
        <f>"A0166194"</f>
        <v>A0166194</v>
      </c>
      <c r="D19615" t="s">
        <v>54653</v>
      </c>
      <c r="E19615" t="s">
        <v>54654</v>
      </c>
      <c r="F19615" t="s">
        <v>5369</v>
      </c>
      <c r="G19615" t="s">
        <v>58</v>
      </c>
      <c r="H19615">
        <v>29407</v>
      </c>
      <c r="I19615" t="s">
        <v>30</v>
      </c>
      <c r="J19615" t="s">
        <v>171</v>
      </c>
      <c r="K19615" t="s">
        <v>3456</v>
      </c>
      <c r="N19615" t="s">
        <v>54655</v>
      </c>
      <c r="Q19615">
        <v>0</v>
      </c>
      <c r="R19615">
        <v>126</v>
      </c>
      <c r="S19615">
        <v>0</v>
      </c>
      <c r="T19615" t="s">
        <v>54656</v>
      </c>
    </row>
    <row r="19616" spans="1:25" x14ac:dyDescent="0.25">
      <c r="A19616" s="5" t="s">
        <v>24</v>
      </c>
      <c r="B19616" s="5" t="s">
        <v>54657</v>
      </c>
      <c r="C19616" s="5" t="str">
        <f>"A0166399"</f>
        <v>A0166399</v>
      </c>
      <c r="D19616" s="5" t="s">
        <v>54658</v>
      </c>
      <c r="E19616" s="5" t="s">
        <v>54659</v>
      </c>
      <c r="F19616" s="5" t="s">
        <v>14951</v>
      </c>
      <c r="G19616" s="5" t="s">
        <v>1184</v>
      </c>
      <c r="H19616" s="5">
        <v>59102</v>
      </c>
      <c r="I19616" s="5" t="s">
        <v>30</v>
      </c>
      <c r="J19616" s="5" t="s">
        <v>171</v>
      </c>
      <c r="K19616" s="5" t="s">
        <v>315</v>
      </c>
      <c r="L19616" s="5"/>
      <c r="M19616" s="5"/>
      <c r="N19616" s="5" t="s">
        <v>54660</v>
      </c>
      <c r="O19616" s="5"/>
      <c r="P19616" s="5"/>
      <c r="Q19616" s="5">
        <v>0</v>
      </c>
      <c r="R19616" s="5">
        <v>118</v>
      </c>
      <c r="S19616" s="5">
        <v>0</v>
      </c>
      <c r="T19616" s="5" t="s">
        <v>54661</v>
      </c>
      <c r="U19616" s="5"/>
      <c r="V19616" s="5"/>
      <c r="W19616" s="5"/>
      <c r="X19616" s="5"/>
      <c r="Y19616" s="5"/>
    </row>
    <row r="19617" spans="1:25" customFormat="1" ht="15" x14ac:dyDescent="0.25">
      <c r="A19617" t="s">
        <v>24</v>
      </c>
      <c r="B19617" t="s">
        <v>54657</v>
      </c>
      <c r="C19617" t="str">
        <f>"A0166409"</f>
        <v>A0166409</v>
      </c>
      <c r="D19617" t="s">
        <v>54689</v>
      </c>
      <c r="E19617" t="s">
        <v>54690</v>
      </c>
      <c r="F19617" t="s">
        <v>765</v>
      </c>
      <c r="G19617" t="s">
        <v>144</v>
      </c>
      <c r="H19617">
        <v>58801</v>
      </c>
      <c r="I19617" t="s">
        <v>30</v>
      </c>
      <c r="J19617" t="s">
        <v>171</v>
      </c>
      <c r="K19617" t="s">
        <v>15288</v>
      </c>
      <c r="N19617" t="s">
        <v>54691</v>
      </c>
      <c r="Q19617">
        <v>0</v>
      </c>
      <c r="R19617">
        <v>79</v>
      </c>
      <c r="S19617">
        <v>0</v>
      </c>
      <c r="T19617" t="s">
        <v>54692</v>
      </c>
    </row>
    <row r="19618" spans="1:25" customFormat="1" ht="15" x14ac:dyDescent="0.25">
      <c r="A19618" t="s">
        <v>24</v>
      </c>
      <c r="B19618" t="s">
        <v>54657</v>
      </c>
      <c r="C19618" t="str">
        <f>"A0166403"</f>
        <v>A0166403</v>
      </c>
      <c r="D19618" t="s">
        <v>54702</v>
      </c>
      <c r="E19618" t="s">
        <v>54703</v>
      </c>
      <c r="F19618" t="s">
        <v>53983</v>
      </c>
      <c r="G19618" t="s">
        <v>144</v>
      </c>
      <c r="H19618">
        <v>58601</v>
      </c>
      <c r="I19618" t="s">
        <v>30</v>
      </c>
      <c r="J19618" t="s">
        <v>171</v>
      </c>
      <c r="K19618" t="s">
        <v>15288</v>
      </c>
      <c r="N19618" t="s">
        <v>54704</v>
      </c>
      <c r="Q19618">
        <v>0</v>
      </c>
      <c r="R19618">
        <v>83</v>
      </c>
      <c r="S19618">
        <v>0</v>
      </c>
      <c r="T19618" t="s">
        <v>54705</v>
      </c>
    </row>
    <row r="19619" spans="1:25" customFormat="1" ht="15" x14ac:dyDescent="0.25">
      <c r="A19619" t="s">
        <v>24</v>
      </c>
      <c r="B19619" t="s">
        <v>54723</v>
      </c>
      <c r="C19619" t="str">
        <f>"A0058509"</f>
        <v>A0058509</v>
      </c>
      <c r="D19619" t="s">
        <v>54724</v>
      </c>
      <c r="E19619" t="s">
        <v>54725</v>
      </c>
      <c r="F19619" t="s">
        <v>3505</v>
      </c>
      <c r="G19619" t="s">
        <v>52</v>
      </c>
      <c r="H19619">
        <v>76132</v>
      </c>
      <c r="I19619" t="s">
        <v>30</v>
      </c>
      <c r="J19619" t="s">
        <v>171</v>
      </c>
      <c r="K19619" t="s">
        <v>1202</v>
      </c>
      <c r="N19619" t="s">
        <v>54726</v>
      </c>
      <c r="Q19619">
        <v>0</v>
      </c>
      <c r="R19619">
        <v>127</v>
      </c>
      <c r="S19619">
        <v>0</v>
      </c>
      <c r="T19619" t="s">
        <v>54727</v>
      </c>
    </row>
    <row r="19620" spans="1:25" customFormat="1" ht="15" x14ac:dyDescent="0.25">
      <c r="A19620" t="s">
        <v>24</v>
      </c>
      <c r="B19620" t="s">
        <v>54723</v>
      </c>
      <c r="C19620" t="str">
        <f>"A0058493"</f>
        <v>A0058493</v>
      </c>
      <c r="D19620" t="s">
        <v>54728</v>
      </c>
      <c r="E19620" t="s">
        <v>54729</v>
      </c>
      <c r="F19620" t="s">
        <v>10993</v>
      </c>
      <c r="G19620" t="s">
        <v>52</v>
      </c>
      <c r="H19620">
        <v>76054</v>
      </c>
      <c r="I19620" t="s">
        <v>30</v>
      </c>
      <c r="J19620" t="s">
        <v>171</v>
      </c>
      <c r="K19620" t="s">
        <v>1202</v>
      </c>
      <c r="Q19620">
        <v>0</v>
      </c>
      <c r="R19620">
        <v>127</v>
      </c>
      <c r="S19620">
        <v>0</v>
      </c>
      <c r="T19620" t="s">
        <v>54730</v>
      </c>
    </row>
    <row r="19621" spans="1:25" customFormat="1" ht="15" x14ac:dyDescent="0.25">
      <c r="A19621" t="s">
        <v>24</v>
      </c>
      <c r="B19621" t="s">
        <v>12991</v>
      </c>
      <c r="C19621" t="str">
        <f>"A0148950"</f>
        <v>A0148950</v>
      </c>
      <c r="D19621" t="s">
        <v>72740</v>
      </c>
      <c r="E19621" t="s">
        <v>72741</v>
      </c>
      <c r="F19621" t="s">
        <v>57102</v>
      </c>
      <c r="G19621" t="s">
        <v>76</v>
      </c>
      <c r="H19621">
        <v>98901</v>
      </c>
      <c r="I19621" t="s">
        <v>30</v>
      </c>
      <c r="J19621" t="s">
        <v>145</v>
      </c>
      <c r="K19621" t="s">
        <v>163</v>
      </c>
      <c r="N19621" t="s">
        <v>72742</v>
      </c>
      <c r="Q19621">
        <v>0</v>
      </c>
      <c r="R19621">
        <v>71</v>
      </c>
      <c r="S19621">
        <v>0</v>
      </c>
      <c r="T19621" t="s">
        <v>72743</v>
      </c>
    </row>
    <row r="19622" spans="1:25" x14ac:dyDescent="0.25">
      <c r="A19622" s="5" t="s">
        <v>24</v>
      </c>
      <c r="B19622" s="5" t="s">
        <v>54776</v>
      </c>
      <c r="C19622" s="5" t="str">
        <f>"A0166561"</f>
        <v>A0166561</v>
      </c>
      <c r="D19622" s="5" t="s">
        <v>54777</v>
      </c>
      <c r="E19622" s="5" t="s">
        <v>54778</v>
      </c>
      <c r="F19622" s="5" t="s">
        <v>1519</v>
      </c>
      <c r="G19622" s="5" t="s">
        <v>110</v>
      </c>
      <c r="H19622" s="5">
        <v>90033</v>
      </c>
      <c r="I19622" s="5" t="s">
        <v>30</v>
      </c>
      <c r="J19622" s="5" t="s">
        <v>171</v>
      </c>
      <c r="K19622" s="5" t="s">
        <v>2972</v>
      </c>
      <c r="L19622" s="5"/>
      <c r="M19622" s="5"/>
      <c r="N19622" s="5" t="s">
        <v>54779</v>
      </c>
      <c r="O19622" s="5"/>
      <c r="P19622" s="5"/>
      <c r="Q19622" s="5">
        <v>0</v>
      </c>
      <c r="R19622" s="5">
        <v>200</v>
      </c>
      <c r="S19622" s="5">
        <v>0</v>
      </c>
      <c r="T19622" s="5" t="s">
        <v>54780</v>
      </c>
      <c r="U19622" s="5"/>
      <c r="V19622" s="5"/>
      <c r="W19622" s="5"/>
      <c r="X19622" s="5"/>
      <c r="Y19622" s="5"/>
    </row>
    <row r="19623" spans="1:25" x14ac:dyDescent="0.25">
      <c r="A19623" s="5" t="s">
        <v>24</v>
      </c>
      <c r="B19623" s="5" t="s">
        <v>342</v>
      </c>
      <c r="C19623" s="5" t="str">
        <f>"A0166511"</f>
        <v>A0166511</v>
      </c>
      <c r="D19623" s="5" t="s">
        <v>54781</v>
      </c>
      <c r="E19623" s="5" t="s">
        <v>54782</v>
      </c>
      <c r="F19623" s="5" t="s">
        <v>3955</v>
      </c>
      <c r="G19623" s="5" t="s">
        <v>81</v>
      </c>
      <c r="H19623" s="5">
        <v>33607</v>
      </c>
      <c r="I19623" s="5" t="s">
        <v>30</v>
      </c>
      <c r="J19623" s="5" t="s">
        <v>171</v>
      </c>
      <c r="K19623" s="5" t="s">
        <v>2972</v>
      </c>
      <c r="L19623" s="5"/>
      <c r="M19623" s="5"/>
      <c r="N19623" s="5" t="s">
        <v>54783</v>
      </c>
      <c r="O19623" s="5" t="s">
        <v>54784</v>
      </c>
      <c r="P19623" s="5"/>
      <c r="Q19623" s="5">
        <v>0</v>
      </c>
      <c r="R19623" s="5">
        <v>145</v>
      </c>
      <c r="S19623" s="5">
        <v>0</v>
      </c>
      <c r="T19623" s="5" t="s">
        <v>192</v>
      </c>
      <c r="U19623" s="5"/>
      <c r="V19623" s="5"/>
      <c r="W19623" s="5"/>
      <c r="X19623" s="5"/>
      <c r="Y19623" s="5"/>
    </row>
    <row r="19624" spans="1:25" customFormat="1" ht="15" x14ac:dyDescent="0.25">
      <c r="A19624" t="s">
        <v>24</v>
      </c>
      <c r="B19624" t="s">
        <v>1098</v>
      </c>
      <c r="C19624" t="str">
        <f>"A0165806"</f>
        <v>A0165806</v>
      </c>
      <c r="D19624" t="s">
        <v>54841</v>
      </c>
      <c r="E19624" t="s">
        <v>54842</v>
      </c>
      <c r="F19624" t="s">
        <v>1570</v>
      </c>
      <c r="G19624" t="s">
        <v>81</v>
      </c>
      <c r="H19624">
        <v>33304</v>
      </c>
      <c r="I19624" t="s">
        <v>30</v>
      </c>
      <c r="J19624" t="s">
        <v>171</v>
      </c>
      <c r="K19624" t="s">
        <v>973</v>
      </c>
      <c r="N19624" t="s">
        <v>54843</v>
      </c>
      <c r="O19624" t="s">
        <v>54844</v>
      </c>
      <c r="Q19624">
        <v>0</v>
      </c>
      <c r="R19624">
        <v>137</v>
      </c>
      <c r="S19624">
        <v>0</v>
      </c>
      <c r="T19624" t="s">
        <v>54845</v>
      </c>
    </row>
    <row r="19625" spans="1:25" customFormat="1" ht="15" x14ac:dyDescent="0.25">
      <c r="A19625" t="s">
        <v>24</v>
      </c>
      <c r="B19625" t="s">
        <v>193</v>
      </c>
      <c r="C19625" t="str">
        <f>"A0074618"</f>
        <v>A0074618</v>
      </c>
      <c r="D19625" t="s">
        <v>54874</v>
      </c>
      <c r="E19625" t="s">
        <v>54875</v>
      </c>
      <c r="F19625" t="s">
        <v>10430</v>
      </c>
      <c r="G19625" t="s">
        <v>1369</v>
      </c>
      <c r="H19625">
        <v>39157</v>
      </c>
      <c r="I19625" t="s">
        <v>30</v>
      </c>
      <c r="J19625" t="s">
        <v>171</v>
      </c>
      <c r="K19625" t="s">
        <v>1147</v>
      </c>
      <c r="N19625" t="s">
        <v>54876</v>
      </c>
      <c r="Q19625">
        <v>0</v>
      </c>
      <c r="R19625">
        <v>92</v>
      </c>
      <c r="S19625">
        <v>0</v>
      </c>
      <c r="T19625" t="s">
        <v>54877</v>
      </c>
    </row>
    <row r="19626" spans="1:25" customFormat="1" ht="15" x14ac:dyDescent="0.25">
      <c r="A19626" t="s">
        <v>24</v>
      </c>
      <c r="B19626" t="s">
        <v>54878</v>
      </c>
      <c r="C19626" t="str">
        <f>"651XZ"</f>
        <v>651XZ</v>
      </c>
      <c r="D19626" t="s">
        <v>54879</v>
      </c>
      <c r="E19626" t="s">
        <v>54880</v>
      </c>
      <c r="F19626" t="s">
        <v>5833</v>
      </c>
      <c r="G19626" t="s">
        <v>1369</v>
      </c>
      <c r="H19626">
        <v>39211</v>
      </c>
      <c r="I19626" t="s">
        <v>30</v>
      </c>
      <c r="J19626" t="s">
        <v>171</v>
      </c>
      <c r="K19626" t="s">
        <v>973</v>
      </c>
      <c r="Q19626">
        <v>0</v>
      </c>
      <c r="R19626">
        <v>117</v>
      </c>
      <c r="S19626">
        <v>0</v>
      </c>
      <c r="T19626" t="s">
        <v>54881</v>
      </c>
    </row>
    <row r="19627" spans="1:25" customFormat="1" ht="15" x14ac:dyDescent="0.25">
      <c r="A19627" t="s">
        <v>24</v>
      </c>
      <c r="B19627" t="s">
        <v>33079</v>
      </c>
      <c r="C19627" t="str">
        <f>"A0094580"</f>
        <v>A0094580</v>
      </c>
      <c r="D19627" t="s">
        <v>54891</v>
      </c>
      <c r="E19627" t="s">
        <v>54892</v>
      </c>
      <c r="F19627" t="s">
        <v>35860</v>
      </c>
      <c r="G19627" t="s">
        <v>615</v>
      </c>
      <c r="H19627">
        <v>6901</v>
      </c>
      <c r="I19627" t="s">
        <v>30</v>
      </c>
      <c r="J19627" t="s">
        <v>171</v>
      </c>
      <c r="K19627" t="s">
        <v>1450</v>
      </c>
      <c r="N19627" t="s">
        <v>54893</v>
      </c>
      <c r="Q19627">
        <v>0</v>
      </c>
      <c r="R19627">
        <v>156</v>
      </c>
      <c r="S19627">
        <v>0</v>
      </c>
      <c r="T19627" t="s">
        <v>54894</v>
      </c>
    </row>
    <row r="19628" spans="1:25" customFormat="1" ht="15" x14ac:dyDescent="0.25">
      <c r="A19628" t="s">
        <v>24</v>
      </c>
      <c r="B19628" t="s">
        <v>33079</v>
      </c>
      <c r="C19628" t="str">
        <f>"A0069031"</f>
        <v>A0069031</v>
      </c>
      <c r="D19628" t="s">
        <v>54895</v>
      </c>
      <c r="E19628" t="s">
        <v>54896</v>
      </c>
      <c r="F19628" t="s">
        <v>35860</v>
      </c>
      <c r="G19628" t="s">
        <v>615</v>
      </c>
      <c r="H19628">
        <v>6901</v>
      </c>
      <c r="I19628" t="s">
        <v>30</v>
      </c>
      <c r="J19628" t="s">
        <v>171</v>
      </c>
      <c r="K19628" t="s">
        <v>973</v>
      </c>
      <c r="N19628" t="s">
        <v>54893</v>
      </c>
      <c r="Q19628">
        <v>0</v>
      </c>
      <c r="R19628">
        <v>115</v>
      </c>
      <c r="S19628">
        <v>0</v>
      </c>
      <c r="T19628" t="s">
        <v>54897</v>
      </c>
    </row>
    <row r="19629" spans="1:25" customFormat="1" ht="15" x14ac:dyDescent="0.25">
      <c r="A19629" t="s">
        <v>24</v>
      </c>
      <c r="B19629" t="s">
        <v>55909</v>
      </c>
      <c r="C19629" t="str">
        <f>"A0094538"</f>
        <v>A0094538</v>
      </c>
      <c r="D19629" t="s">
        <v>72773</v>
      </c>
      <c r="E19629" t="s">
        <v>72774</v>
      </c>
      <c r="F19629" t="s">
        <v>72775</v>
      </c>
      <c r="G19629" t="s">
        <v>110</v>
      </c>
      <c r="H19629">
        <v>94040</v>
      </c>
      <c r="I19629" t="s">
        <v>30</v>
      </c>
      <c r="J19629" t="s">
        <v>31</v>
      </c>
      <c r="K19629" t="s">
        <v>163</v>
      </c>
      <c r="N19629" t="s">
        <v>72776</v>
      </c>
      <c r="Q19629">
        <v>0</v>
      </c>
      <c r="R19629">
        <v>59</v>
      </c>
      <c r="S19629">
        <v>0</v>
      </c>
      <c r="T19629" t="s">
        <v>72777</v>
      </c>
    </row>
    <row r="19630" spans="1:25" customFormat="1" ht="15" x14ac:dyDescent="0.25">
      <c r="A19630" t="s">
        <v>24</v>
      </c>
      <c r="B19630" t="s">
        <v>72778</v>
      </c>
      <c r="C19630" t="str">
        <f>"A0154025"</f>
        <v>A0154025</v>
      </c>
      <c r="D19630" t="s">
        <v>72779</v>
      </c>
      <c r="E19630" t="s">
        <v>72780</v>
      </c>
      <c r="F19630" t="s">
        <v>2808</v>
      </c>
      <c r="G19630" t="s">
        <v>338</v>
      </c>
      <c r="H19630">
        <v>7004</v>
      </c>
      <c r="I19630" t="s">
        <v>30</v>
      </c>
      <c r="J19630" t="s">
        <v>3881</v>
      </c>
      <c r="K19630" t="s">
        <v>163</v>
      </c>
      <c r="N19630" t="s">
        <v>72781</v>
      </c>
      <c r="O19630" t="s">
        <v>72782</v>
      </c>
      <c r="Q19630">
        <v>0</v>
      </c>
      <c r="R19630">
        <v>0</v>
      </c>
      <c r="S19630">
        <v>0</v>
      </c>
      <c r="T19630" t="s">
        <v>72783</v>
      </c>
    </row>
    <row r="19631" spans="1:25" customFormat="1" ht="15" x14ac:dyDescent="0.25">
      <c r="A19631" t="s">
        <v>24</v>
      </c>
      <c r="B19631" t="s">
        <v>2360</v>
      </c>
      <c r="C19631" t="str">
        <f>"CL0186"</f>
        <v>CL0186</v>
      </c>
      <c r="D19631" t="s">
        <v>72784</v>
      </c>
      <c r="E19631" t="s">
        <v>72785</v>
      </c>
      <c r="F19631" t="s">
        <v>1564</v>
      </c>
      <c r="G19631" t="s">
        <v>52</v>
      </c>
      <c r="H19631">
        <v>77002</v>
      </c>
      <c r="I19631" t="s">
        <v>30</v>
      </c>
      <c r="J19631" t="s">
        <v>2558</v>
      </c>
      <c r="K19631" t="s">
        <v>56092</v>
      </c>
      <c r="N19631" t="s">
        <v>72786</v>
      </c>
      <c r="O19631" t="s">
        <v>72787</v>
      </c>
      <c r="Q19631">
        <v>0</v>
      </c>
      <c r="R19631">
        <v>0</v>
      </c>
      <c r="S19631">
        <v>0</v>
      </c>
      <c r="T19631" t="s">
        <v>72788</v>
      </c>
    </row>
    <row r="19632" spans="1:25" customFormat="1" ht="15" x14ac:dyDescent="0.25">
      <c r="A19632" t="s">
        <v>24</v>
      </c>
      <c r="B19632" t="s">
        <v>140</v>
      </c>
      <c r="C19632" t="str">
        <f>"A0088031"</f>
        <v>A0088031</v>
      </c>
      <c r="D19632" t="s">
        <v>54917</v>
      </c>
      <c r="E19632" t="s">
        <v>54918</v>
      </c>
      <c r="F19632" t="s">
        <v>54919</v>
      </c>
      <c r="G19632" t="s">
        <v>123</v>
      </c>
      <c r="H19632">
        <v>20601</v>
      </c>
      <c r="I19632" t="s">
        <v>30</v>
      </c>
      <c r="J19632" t="s">
        <v>171</v>
      </c>
      <c r="K19632" t="s">
        <v>1450</v>
      </c>
      <c r="N19632" t="s">
        <v>54920</v>
      </c>
      <c r="Q19632">
        <v>0</v>
      </c>
      <c r="R19632">
        <v>98</v>
      </c>
      <c r="S19632">
        <v>0</v>
      </c>
      <c r="T19632" t="s">
        <v>54921</v>
      </c>
    </row>
    <row r="19633" spans="1:20" customFormat="1" ht="15" x14ac:dyDescent="0.25">
      <c r="A19633" t="s">
        <v>24</v>
      </c>
      <c r="B19633" t="s">
        <v>193</v>
      </c>
      <c r="C19633" t="str">
        <f>"A0062121"</f>
        <v>A0062121</v>
      </c>
      <c r="D19633" t="s">
        <v>54937</v>
      </c>
      <c r="E19633" t="s">
        <v>54938</v>
      </c>
      <c r="F19633" t="s">
        <v>972</v>
      </c>
      <c r="G19633" t="s">
        <v>190</v>
      </c>
      <c r="H19633">
        <v>80112</v>
      </c>
      <c r="I19633" t="s">
        <v>30</v>
      </c>
      <c r="J19633" t="s">
        <v>171</v>
      </c>
      <c r="K19633" t="s">
        <v>4386</v>
      </c>
      <c r="N19633" t="s">
        <v>54939</v>
      </c>
      <c r="Q19633">
        <v>0</v>
      </c>
      <c r="R19633">
        <v>92</v>
      </c>
      <c r="S19633">
        <v>0</v>
      </c>
      <c r="T19633" t="s">
        <v>54940</v>
      </c>
    </row>
    <row r="19634" spans="1:20" customFormat="1" ht="15" x14ac:dyDescent="0.25">
      <c r="A19634" t="s">
        <v>24</v>
      </c>
      <c r="B19634" t="s">
        <v>8787</v>
      </c>
      <c r="C19634" t="str">
        <f>"A0100380"</f>
        <v>A0100380</v>
      </c>
      <c r="D19634" t="s">
        <v>54941</v>
      </c>
      <c r="E19634" t="s">
        <v>54942</v>
      </c>
      <c r="F19634" t="s">
        <v>10126</v>
      </c>
      <c r="G19634" t="s">
        <v>1898</v>
      </c>
      <c r="H19634">
        <v>52240</v>
      </c>
      <c r="I19634" t="s">
        <v>30</v>
      </c>
      <c r="J19634" t="s">
        <v>171</v>
      </c>
      <c r="K19634" t="s">
        <v>1202</v>
      </c>
      <c r="N19634" t="s">
        <v>54943</v>
      </c>
      <c r="O19634" t="s">
        <v>54944</v>
      </c>
      <c r="Q19634">
        <v>0</v>
      </c>
      <c r="R19634">
        <v>151</v>
      </c>
      <c r="S19634">
        <v>0</v>
      </c>
      <c r="T19634" t="s">
        <v>54945</v>
      </c>
    </row>
    <row r="19635" spans="1:20" customFormat="1" ht="15" x14ac:dyDescent="0.25">
      <c r="A19635" t="s">
        <v>24</v>
      </c>
      <c r="B19635" t="s">
        <v>140</v>
      </c>
      <c r="C19635" t="str">
        <f>"A0087087"</f>
        <v>A0087087</v>
      </c>
      <c r="D19635" t="s">
        <v>54952</v>
      </c>
      <c r="E19635" t="s">
        <v>54953</v>
      </c>
      <c r="F19635" t="s">
        <v>54954</v>
      </c>
      <c r="G19635" t="s">
        <v>110</v>
      </c>
      <c r="H19635">
        <v>95616</v>
      </c>
      <c r="I19635" t="s">
        <v>30</v>
      </c>
      <c r="J19635" t="s">
        <v>171</v>
      </c>
      <c r="K19635" t="s">
        <v>1202</v>
      </c>
      <c r="N19635" t="s">
        <v>54955</v>
      </c>
      <c r="Q19635">
        <v>0</v>
      </c>
      <c r="R19635">
        <v>75</v>
      </c>
      <c r="S19635">
        <v>0</v>
      </c>
      <c r="T19635" t="s">
        <v>54956</v>
      </c>
    </row>
    <row r="19636" spans="1:20" customFormat="1" ht="15" x14ac:dyDescent="0.25">
      <c r="A19636" t="s">
        <v>24</v>
      </c>
      <c r="B19636" t="s">
        <v>54970</v>
      </c>
      <c r="C19636" t="str">
        <f>"A0164853"</f>
        <v>A0164853</v>
      </c>
      <c r="D19636" t="s">
        <v>54971</v>
      </c>
      <c r="E19636" t="s">
        <v>54972</v>
      </c>
      <c r="F19636" t="s">
        <v>985</v>
      </c>
      <c r="G19636" t="s">
        <v>81</v>
      </c>
      <c r="H19636">
        <v>32801</v>
      </c>
      <c r="I19636" t="s">
        <v>30</v>
      </c>
      <c r="J19636" t="s">
        <v>171</v>
      </c>
      <c r="K19636" t="s">
        <v>2077</v>
      </c>
      <c r="N19636" t="s">
        <v>54973</v>
      </c>
      <c r="Q19636">
        <v>0</v>
      </c>
      <c r="R19636">
        <v>180</v>
      </c>
      <c r="S19636">
        <v>0</v>
      </c>
      <c r="T19636" t="s">
        <v>54974</v>
      </c>
    </row>
    <row r="19637" spans="1:20" customFormat="1" ht="15" x14ac:dyDescent="0.25">
      <c r="A19637" t="s">
        <v>24</v>
      </c>
      <c r="B19637" t="s">
        <v>706</v>
      </c>
      <c r="C19637" t="str">
        <f>"A0096244"</f>
        <v>A0096244</v>
      </c>
      <c r="D19637" t="s">
        <v>72811</v>
      </c>
      <c r="E19637" t="s">
        <v>72812</v>
      </c>
      <c r="F19637" t="s">
        <v>1326</v>
      </c>
      <c r="G19637" t="s">
        <v>81</v>
      </c>
      <c r="H19637">
        <v>34482</v>
      </c>
      <c r="I19637" t="s">
        <v>30</v>
      </c>
      <c r="J19637" t="s">
        <v>31</v>
      </c>
      <c r="K19637" t="s">
        <v>14304</v>
      </c>
      <c r="N19637" t="s">
        <v>72813</v>
      </c>
      <c r="Q19637">
        <v>0</v>
      </c>
      <c r="R19637">
        <v>125</v>
      </c>
      <c r="S19637">
        <v>0</v>
      </c>
      <c r="T19637" t="s">
        <v>72814</v>
      </c>
    </row>
    <row r="19638" spans="1:20" customFormat="1" ht="15" x14ac:dyDescent="0.25">
      <c r="A19638" t="s">
        <v>24</v>
      </c>
      <c r="B19638" t="s">
        <v>54975</v>
      </c>
      <c r="C19638" t="str">
        <f>"A0166570"</f>
        <v>A0166570</v>
      </c>
      <c r="D19638" t="s">
        <v>54976</v>
      </c>
      <c r="E19638" t="s">
        <v>54977</v>
      </c>
      <c r="F19638" t="s">
        <v>2051</v>
      </c>
      <c r="G19638" t="s">
        <v>846</v>
      </c>
      <c r="H19638">
        <v>30096</v>
      </c>
      <c r="I19638" t="s">
        <v>30</v>
      </c>
      <c r="J19638" t="s">
        <v>171</v>
      </c>
      <c r="K19638" t="s">
        <v>1147</v>
      </c>
      <c r="N19638" t="s">
        <v>54978</v>
      </c>
      <c r="Q19638">
        <v>0</v>
      </c>
      <c r="R19638">
        <v>99</v>
      </c>
      <c r="S19638">
        <v>0</v>
      </c>
      <c r="T19638" t="s">
        <v>54979</v>
      </c>
    </row>
    <row r="19639" spans="1:20" customFormat="1" ht="15" x14ac:dyDescent="0.25">
      <c r="A19639" t="s">
        <v>24</v>
      </c>
      <c r="B19639" t="s">
        <v>6667</v>
      </c>
      <c r="C19639" t="str">
        <f>"A0053207"</f>
        <v>A0053207</v>
      </c>
      <c r="D19639" t="s">
        <v>72820</v>
      </c>
      <c r="E19639" t="s">
        <v>72821</v>
      </c>
      <c r="F19639" t="s">
        <v>196</v>
      </c>
      <c r="G19639" t="s">
        <v>123</v>
      </c>
      <c r="H19639">
        <v>21131</v>
      </c>
      <c r="I19639" t="s">
        <v>30</v>
      </c>
      <c r="J19639" t="s">
        <v>178</v>
      </c>
      <c r="K19639" t="s">
        <v>6667</v>
      </c>
      <c r="N19639" t="s">
        <v>72822</v>
      </c>
      <c r="Q19639">
        <v>0</v>
      </c>
      <c r="R19639">
        <v>0</v>
      </c>
      <c r="S19639">
        <v>0</v>
      </c>
      <c r="T19639" t="s">
        <v>72823</v>
      </c>
    </row>
    <row r="19640" spans="1:20" customFormat="1" ht="15" x14ac:dyDescent="0.25">
      <c r="A19640" t="s">
        <v>24</v>
      </c>
      <c r="B19640" t="s">
        <v>2360</v>
      </c>
      <c r="C19640" t="str">
        <f>"CL1063"</f>
        <v>CL1063</v>
      </c>
      <c r="D19640" t="s">
        <v>72824</v>
      </c>
      <c r="E19640" t="s">
        <v>72825</v>
      </c>
      <c r="F19640" t="s">
        <v>3955</v>
      </c>
      <c r="G19640" t="s">
        <v>81</v>
      </c>
      <c r="H19640">
        <v>33647</v>
      </c>
      <c r="I19640" t="s">
        <v>30</v>
      </c>
      <c r="J19640" t="s">
        <v>178</v>
      </c>
      <c r="K19640" t="s">
        <v>56676</v>
      </c>
      <c r="N19640" t="s">
        <v>72826</v>
      </c>
      <c r="O19640" t="s">
        <v>72827</v>
      </c>
      <c r="P19640" t="s">
        <v>992</v>
      </c>
      <c r="Q19640">
        <v>1</v>
      </c>
      <c r="R19640">
        <v>0</v>
      </c>
      <c r="S19640">
        <v>0</v>
      </c>
      <c r="T19640" t="s">
        <v>72828</v>
      </c>
    </row>
    <row r="19641" spans="1:20" customFormat="1" ht="15" x14ac:dyDescent="0.25">
      <c r="A19641" t="s">
        <v>24</v>
      </c>
      <c r="B19641" t="s">
        <v>72829</v>
      </c>
      <c r="C19641" t="str">
        <f>"A0051649"</f>
        <v>A0051649</v>
      </c>
      <c r="D19641" t="s">
        <v>72830</v>
      </c>
      <c r="E19641" t="s">
        <v>72831</v>
      </c>
      <c r="F19641" t="s">
        <v>72832</v>
      </c>
      <c r="G19641" t="s">
        <v>103</v>
      </c>
      <c r="H19641">
        <v>19006</v>
      </c>
      <c r="I19641" t="s">
        <v>30</v>
      </c>
      <c r="J19641" t="s">
        <v>178</v>
      </c>
      <c r="K19641" t="s">
        <v>179</v>
      </c>
      <c r="N19641" t="s">
        <v>72833</v>
      </c>
      <c r="O19641" t="s">
        <v>72834</v>
      </c>
      <c r="Q19641">
        <v>1</v>
      </c>
      <c r="R19641">
        <v>0</v>
      </c>
      <c r="S19641">
        <v>0</v>
      </c>
      <c r="T19641" t="s">
        <v>72835</v>
      </c>
    </row>
    <row r="19642" spans="1:20" customFormat="1" ht="15" x14ac:dyDescent="0.25">
      <c r="A19642" t="s">
        <v>24</v>
      </c>
      <c r="B19642" t="s">
        <v>2340</v>
      </c>
      <c r="C19642" t="str">
        <f>"A0158373"</f>
        <v>A0158373</v>
      </c>
      <c r="D19642" t="s">
        <v>54997</v>
      </c>
      <c r="E19642" t="s">
        <v>54998</v>
      </c>
      <c r="F19642" t="s">
        <v>2120</v>
      </c>
      <c r="G19642" t="s">
        <v>52</v>
      </c>
      <c r="H19642">
        <v>79415</v>
      </c>
      <c r="I19642" t="s">
        <v>30</v>
      </c>
      <c r="J19642" t="s">
        <v>171</v>
      </c>
      <c r="K19642" t="s">
        <v>1450</v>
      </c>
      <c r="N19642" t="s">
        <v>54999</v>
      </c>
      <c r="Q19642">
        <v>0</v>
      </c>
      <c r="R19642">
        <v>104</v>
      </c>
      <c r="S19642">
        <v>0</v>
      </c>
      <c r="T19642" t="s">
        <v>55000</v>
      </c>
    </row>
    <row r="19643" spans="1:20" customFormat="1" ht="15" x14ac:dyDescent="0.25">
      <c r="A19643" t="s">
        <v>24</v>
      </c>
      <c r="B19643" t="s">
        <v>140</v>
      </c>
      <c r="C19643" t="str">
        <f>"651ZR"</f>
        <v>651ZR</v>
      </c>
      <c r="D19643" t="s">
        <v>55001</v>
      </c>
      <c r="E19643" t="s">
        <v>55002</v>
      </c>
      <c r="F19643" t="s">
        <v>242</v>
      </c>
      <c r="G19643" t="s">
        <v>214</v>
      </c>
      <c r="H19643">
        <v>28214</v>
      </c>
      <c r="I19643" t="s">
        <v>30</v>
      </c>
      <c r="J19643" t="s">
        <v>171</v>
      </c>
      <c r="K19643" t="s">
        <v>973</v>
      </c>
      <c r="N19643" t="s">
        <v>55003</v>
      </c>
      <c r="Q19643">
        <v>0</v>
      </c>
      <c r="R19643">
        <v>148</v>
      </c>
      <c r="S19643">
        <v>0</v>
      </c>
      <c r="T19643" t="s">
        <v>55004</v>
      </c>
    </row>
    <row r="19644" spans="1:20" customFormat="1" ht="15" x14ac:dyDescent="0.25">
      <c r="A19644" t="s">
        <v>24</v>
      </c>
      <c r="B19644" t="s">
        <v>1583</v>
      </c>
      <c r="C19644" t="str">
        <f>"HY05259"</f>
        <v>HY05259</v>
      </c>
      <c r="D19644" t="s">
        <v>72845</v>
      </c>
      <c r="E19644" t="s">
        <v>72846</v>
      </c>
      <c r="F19644" t="s">
        <v>1084</v>
      </c>
      <c r="G19644" t="s">
        <v>81</v>
      </c>
      <c r="H19644">
        <v>33040</v>
      </c>
      <c r="I19644" t="s">
        <v>30</v>
      </c>
      <c r="J19644" t="s">
        <v>2544</v>
      </c>
      <c r="K19644" t="s">
        <v>72841</v>
      </c>
      <c r="N19644" t="s">
        <v>72847</v>
      </c>
      <c r="P19644" t="s">
        <v>6426</v>
      </c>
      <c r="Q19644">
        <v>0</v>
      </c>
      <c r="R19644">
        <v>74</v>
      </c>
      <c r="S19644">
        <v>0</v>
      </c>
      <c r="T19644" t="s">
        <v>72848</v>
      </c>
    </row>
    <row r="19645" spans="1:20" customFormat="1" ht="15" x14ac:dyDescent="0.25">
      <c r="A19645" t="s">
        <v>24</v>
      </c>
      <c r="B19645" t="s">
        <v>1583</v>
      </c>
      <c r="C19645" t="str">
        <f>"HY09825"</f>
        <v>HY09825</v>
      </c>
      <c r="D19645" t="s">
        <v>72849</v>
      </c>
      <c r="E19645" t="s">
        <v>72850</v>
      </c>
      <c r="F19645" t="s">
        <v>13589</v>
      </c>
      <c r="G19645" t="s">
        <v>110</v>
      </c>
      <c r="H19645">
        <v>93923</v>
      </c>
      <c r="I19645" t="s">
        <v>30</v>
      </c>
      <c r="J19645" t="s">
        <v>2544</v>
      </c>
      <c r="K19645" t="s">
        <v>72841</v>
      </c>
      <c r="Q19645">
        <v>0</v>
      </c>
      <c r="R19645">
        <v>48</v>
      </c>
      <c r="S19645">
        <v>0</v>
      </c>
      <c r="T19645" t="s">
        <v>72851</v>
      </c>
    </row>
    <row r="19646" spans="1:20" customFormat="1" ht="15" x14ac:dyDescent="0.25">
      <c r="A19646" t="s">
        <v>24</v>
      </c>
      <c r="B19646" t="s">
        <v>5558</v>
      </c>
      <c r="C19646" t="str">
        <f>"A0165576"</f>
        <v>A0165576</v>
      </c>
      <c r="D19646" t="s">
        <v>55049</v>
      </c>
      <c r="E19646" t="s">
        <v>55050</v>
      </c>
      <c r="F19646" t="s">
        <v>321</v>
      </c>
      <c r="G19646" t="s">
        <v>110</v>
      </c>
      <c r="H19646">
        <v>92253</v>
      </c>
      <c r="I19646" t="s">
        <v>30</v>
      </c>
      <c r="J19646" t="s">
        <v>171</v>
      </c>
      <c r="K19646" t="s">
        <v>1450</v>
      </c>
      <c r="N19646" t="s">
        <v>55051</v>
      </c>
      <c r="O19646" t="s">
        <v>55052</v>
      </c>
      <c r="Q19646">
        <v>0</v>
      </c>
      <c r="R19646">
        <v>108</v>
      </c>
      <c r="S19646">
        <v>0</v>
      </c>
      <c r="T19646" t="s">
        <v>55053</v>
      </c>
    </row>
    <row r="19647" spans="1:20" customFormat="1" ht="15" x14ac:dyDescent="0.25">
      <c r="A19647" t="s">
        <v>24</v>
      </c>
      <c r="B19647" t="s">
        <v>13771</v>
      </c>
      <c r="C19647" t="str">
        <f>"A0166311"</f>
        <v>A0166311</v>
      </c>
      <c r="D19647" t="s">
        <v>55078</v>
      </c>
      <c r="E19647" t="s">
        <v>55079</v>
      </c>
      <c r="F19647" t="s">
        <v>10461</v>
      </c>
      <c r="G19647" t="s">
        <v>110</v>
      </c>
      <c r="H19647">
        <v>95448</v>
      </c>
      <c r="I19647" t="s">
        <v>30</v>
      </c>
      <c r="J19647" t="s">
        <v>171</v>
      </c>
      <c r="K19647" t="s">
        <v>163</v>
      </c>
      <c r="N19647" t="s">
        <v>55080</v>
      </c>
      <c r="Q19647">
        <v>0</v>
      </c>
      <c r="R19647">
        <v>39</v>
      </c>
      <c r="S19647">
        <v>0</v>
      </c>
      <c r="T19647" t="s">
        <v>55081</v>
      </c>
    </row>
    <row r="19648" spans="1:20" customFormat="1" ht="15" x14ac:dyDescent="0.25">
      <c r="A19648" t="s">
        <v>24</v>
      </c>
      <c r="B19648" t="s">
        <v>13771</v>
      </c>
      <c r="C19648" t="str">
        <f>"A0166310"</f>
        <v>A0166310</v>
      </c>
      <c r="D19648" t="s">
        <v>55082</v>
      </c>
      <c r="E19648" t="s">
        <v>55083</v>
      </c>
      <c r="F19648" t="s">
        <v>10461</v>
      </c>
      <c r="G19648" t="s">
        <v>110</v>
      </c>
      <c r="H19648">
        <v>95448</v>
      </c>
      <c r="I19648" t="s">
        <v>30</v>
      </c>
      <c r="J19648" t="s">
        <v>171</v>
      </c>
      <c r="K19648" t="s">
        <v>163</v>
      </c>
      <c r="N19648" t="s">
        <v>55080</v>
      </c>
      <c r="O19648" t="s">
        <v>55084</v>
      </c>
      <c r="Q19648">
        <v>0</v>
      </c>
      <c r="R19648">
        <v>36</v>
      </c>
      <c r="S19648">
        <v>0</v>
      </c>
      <c r="T19648" t="s">
        <v>55085</v>
      </c>
    </row>
    <row r="19649" spans="1:20" customFormat="1" ht="15" x14ac:dyDescent="0.25">
      <c r="A19649" t="s">
        <v>24</v>
      </c>
      <c r="B19649" t="s">
        <v>13299</v>
      </c>
      <c r="C19649" t="str">
        <f>"A0156669"</f>
        <v>A0156669</v>
      </c>
      <c r="D19649" t="s">
        <v>55089</v>
      </c>
      <c r="E19649" t="s">
        <v>55090</v>
      </c>
      <c r="F19649" t="s">
        <v>5905</v>
      </c>
      <c r="G19649" t="s">
        <v>58</v>
      </c>
      <c r="H19649">
        <v>29601</v>
      </c>
      <c r="I19649" t="s">
        <v>30</v>
      </c>
      <c r="J19649" t="s">
        <v>171</v>
      </c>
      <c r="K19649" t="s">
        <v>2077</v>
      </c>
      <c r="N19649" t="s">
        <v>55091</v>
      </c>
      <c r="O19649" t="s">
        <v>55092</v>
      </c>
      <c r="Q19649">
        <v>0</v>
      </c>
      <c r="R19649">
        <v>196</v>
      </c>
      <c r="S19649">
        <v>0</v>
      </c>
      <c r="T19649" t="s">
        <v>55093</v>
      </c>
    </row>
    <row r="19650" spans="1:20" customFormat="1" ht="15" x14ac:dyDescent="0.25">
      <c r="A19650" t="s">
        <v>24</v>
      </c>
      <c r="B19650" t="s">
        <v>257</v>
      </c>
      <c r="C19650" t="str">
        <f>"A0076299"</f>
        <v>A0076299</v>
      </c>
      <c r="D19650" t="s">
        <v>55156</v>
      </c>
      <c r="E19650" t="s">
        <v>55157</v>
      </c>
      <c r="F19650" t="s">
        <v>1564</v>
      </c>
      <c r="G19650" t="s">
        <v>52</v>
      </c>
      <c r="H19650">
        <v>77064</v>
      </c>
      <c r="I19650" t="s">
        <v>30</v>
      </c>
      <c r="J19650" t="s">
        <v>171</v>
      </c>
      <c r="K19650" t="s">
        <v>1147</v>
      </c>
      <c r="N19650" t="s">
        <v>55158</v>
      </c>
      <c r="O19650" t="s">
        <v>55159</v>
      </c>
      <c r="Q19650">
        <v>0</v>
      </c>
      <c r="R19650">
        <v>114</v>
      </c>
      <c r="S19650">
        <v>0</v>
      </c>
      <c r="T19650" t="s">
        <v>55160</v>
      </c>
    </row>
    <row r="19651" spans="1:20" customFormat="1" ht="15" x14ac:dyDescent="0.25">
      <c r="A19651" t="s">
        <v>24</v>
      </c>
      <c r="B19651" t="s">
        <v>55197</v>
      </c>
      <c r="C19651" t="str">
        <f>"A0166319"</f>
        <v>A0166319</v>
      </c>
      <c r="D19651" t="s">
        <v>55221</v>
      </c>
      <c r="E19651" t="s">
        <v>55222</v>
      </c>
      <c r="F19651" t="s">
        <v>55223</v>
      </c>
      <c r="G19651" t="s">
        <v>110</v>
      </c>
      <c r="H19651">
        <v>90292</v>
      </c>
      <c r="I19651" t="s">
        <v>30</v>
      </c>
      <c r="J19651" t="s">
        <v>171</v>
      </c>
      <c r="K19651" t="s">
        <v>973</v>
      </c>
      <c r="N19651" t="s">
        <v>55224</v>
      </c>
      <c r="O19651" t="s">
        <v>55225</v>
      </c>
      <c r="Q19651">
        <v>0</v>
      </c>
      <c r="R19651">
        <v>159</v>
      </c>
      <c r="S19651">
        <v>0</v>
      </c>
      <c r="T19651" t="s">
        <v>55226</v>
      </c>
    </row>
    <row r="19652" spans="1:20" customFormat="1" ht="15" x14ac:dyDescent="0.25">
      <c r="A19652" t="s">
        <v>24</v>
      </c>
      <c r="B19652" t="s">
        <v>55197</v>
      </c>
      <c r="C19652" t="str">
        <f>"A0166318"</f>
        <v>A0166318</v>
      </c>
      <c r="D19652" t="s">
        <v>55227</v>
      </c>
      <c r="E19652" t="s">
        <v>55222</v>
      </c>
      <c r="F19652" t="s">
        <v>55223</v>
      </c>
      <c r="G19652" t="s">
        <v>110</v>
      </c>
      <c r="H19652">
        <v>90292</v>
      </c>
      <c r="I19652" t="s">
        <v>30</v>
      </c>
      <c r="J19652" t="s">
        <v>171</v>
      </c>
      <c r="K19652" t="s">
        <v>1450</v>
      </c>
      <c r="N19652" t="s">
        <v>55225</v>
      </c>
      <c r="Q19652">
        <v>0</v>
      </c>
      <c r="R19652">
        <v>288</v>
      </c>
      <c r="S19652">
        <v>0</v>
      </c>
      <c r="T19652" t="s">
        <v>55226</v>
      </c>
    </row>
    <row r="19653" spans="1:20" customFormat="1" ht="15" x14ac:dyDescent="0.25">
      <c r="A19653" t="s">
        <v>24</v>
      </c>
      <c r="B19653" t="s">
        <v>2910</v>
      </c>
      <c r="C19653" t="str">
        <f>"A0075770"</f>
        <v>A0075770</v>
      </c>
      <c r="D19653" t="s">
        <v>55238</v>
      </c>
      <c r="E19653" t="s">
        <v>55239</v>
      </c>
      <c r="F19653" t="s">
        <v>55240</v>
      </c>
      <c r="G19653" t="s">
        <v>103</v>
      </c>
      <c r="H19653">
        <v>17325</v>
      </c>
      <c r="I19653" t="s">
        <v>30</v>
      </c>
      <c r="J19653" t="s">
        <v>171</v>
      </c>
      <c r="K19653" t="s">
        <v>973</v>
      </c>
      <c r="N19653" t="s">
        <v>55241</v>
      </c>
      <c r="O19653" t="s">
        <v>55242</v>
      </c>
      <c r="Q19653">
        <v>0</v>
      </c>
      <c r="R19653">
        <v>152</v>
      </c>
      <c r="S19653">
        <v>0</v>
      </c>
      <c r="T19653" t="s">
        <v>55243</v>
      </c>
    </row>
    <row r="19654" spans="1:20" customFormat="1" ht="15" x14ac:dyDescent="0.25">
      <c r="A19654" t="s">
        <v>24</v>
      </c>
      <c r="B19654" t="s">
        <v>3052</v>
      </c>
      <c r="C19654" t="str">
        <f>"A0166072"</f>
        <v>A0166072</v>
      </c>
      <c r="D19654" t="s">
        <v>55253</v>
      </c>
      <c r="E19654" t="s">
        <v>55254</v>
      </c>
      <c r="F19654" t="s">
        <v>372</v>
      </c>
      <c r="G19654" t="s">
        <v>52</v>
      </c>
      <c r="H19654">
        <v>78726</v>
      </c>
      <c r="I19654" t="s">
        <v>30</v>
      </c>
      <c r="J19654" t="s">
        <v>171</v>
      </c>
      <c r="K19654" t="s">
        <v>1202</v>
      </c>
      <c r="N19654" t="s">
        <v>3055</v>
      </c>
      <c r="O19654" t="s">
        <v>55255</v>
      </c>
      <c r="Q19654">
        <v>0</v>
      </c>
      <c r="R19654">
        <v>97</v>
      </c>
      <c r="S19654">
        <v>0</v>
      </c>
      <c r="T19654" t="s">
        <v>55256</v>
      </c>
    </row>
    <row r="19655" spans="1:20" customFormat="1" ht="15" x14ac:dyDescent="0.25">
      <c r="A19655" t="s">
        <v>24</v>
      </c>
      <c r="B19655" t="s">
        <v>1138</v>
      </c>
      <c r="C19655" t="str">
        <f>"A0158010"</f>
        <v>A0158010</v>
      </c>
      <c r="D19655" t="s">
        <v>55263</v>
      </c>
      <c r="E19655" t="s">
        <v>55264</v>
      </c>
      <c r="F19655" t="s">
        <v>3932</v>
      </c>
      <c r="G19655" t="s">
        <v>117</v>
      </c>
      <c r="H19655">
        <v>49503</v>
      </c>
      <c r="I19655" t="s">
        <v>30</v>
      </c>
      <c r="J19655" t="s">
        <v>171</v>
      </c>
      <c r="K19655" t="s">
        <v>1450</v>
      </c>
      <c r="N19655" t="s">
        <v>55265</v>
      </c>
      <c r="Q19655">
        <v>0</v>
      </c>
      <c r="R19655">
        <v>147</v>
      </c>
      <c r="S19655">
        <v>0</v>
      </c>
      <c r="T19655" t="s">
        <v>3073</v>
      </c>
    </row>
    <row r="19656" spans="1:20" customFormat="1" ht="15" x14ac:dyDescent="0.25">
      <c r="A19656" t="s">
        <v>24</v>
      </c>
      <c r="B19656" t="s">
        <v>12356</v>
      </c>
      <c r="C19656" t="str">
        <f>"A0086196"</f>
        <v>A0086196</v>
      </c>
      <c r="D19656" t="s">
        <v>55266</v>
      </c>
      <c r="E19656" t="s">
        <v>55267</v>
      </c>
      <c r="F19656" t="s">
        <v>5095</v>
      </c>
      <c r="G19656" t="s">
        <v>289</v>
      </c>
      <c r="H19656">
        <v>60056</v>
      </c>
      <c r="I19656" t="s">
        <v>30</v>
      </c>
      <c r="J19656" t="s">
        <v>171</v>
      </c>
      <c r="K19656" t="s">
        <v>653</v>
      </c>
      <c r="N19656" t="s">
        <v>55268</v>
      </c>
      <c r="Q19656">
        <v>0</v>
      </c>
      <c r="R19656">
        <v>93</v>
      </c>
      <c r="S19656">
        <v>0</v>
      </c>
      <c r="T19656" t="s">
        <v>55269</v>
      </c>
    </row>
    <row r="19657" spans="1:20" customFormat="1" ht="15" x14ac:dyDescent="0.25">
      <c r="A19657" t="s">
        <v>24</v>
      </c>
      <c r="B19657" t="s">
        <v>55274</v>
      </c>
      <c r="C19657" t="str">
        <f>"A0096702"</f>
        <v>A0096702</v>
      </c>
      <c r="D19657" t="s">
        <v>55275</v>
      </c>
      <c r="E19657" t="s">
        <v>55276</v>
      </c>
      <c r="F19657" t="s">
        <v>1564</v>
      </c>
      <c r="G19657" t="s">
        <v>52</v>
      </c>
      <c r="H19657">
        <v>77041</v>
      </c>
      <c r="I19657" t="s">
        <v>30</v>
      </c>
      <c r="J19657" t="s">
        <v>171</v>
      </c>
      <c r="K19657" t="s">
        <v>653</v>
      </c>
      <c r="N19657" t="s">
        <v>55277</v>
      </c>
      <c r="Q19657">
        <v>0</v>
      </c>
      <c r="R19657">
        <v>158</v>
      </c>
      <c r="S19657">
        <v>0</v>
      </c>
      <c r="T19657" t="s">
        <v>55278</v>
      </c>
    </row>
    <row r="19658" spans="1:20" customFormat="1" ht="15" x14ac:dyDescent="0.25">
      <c r="A19658" t="s">
        <v>24</v>
      </c>
      <c r="B19658" t="s">
        <v>1288</v>
      </c>
      <c r="C19658" t="str">
        <f>"A0095665"</f>
        <v>A0095665</v>
      </c>
      <c r="D19658" t="s">
        <v>55293</v>
      </c>
      <c r="E19658" t="s">
        <v>55294</v>
      </c>
      <c r="F19658" t="s">
        <v>55295</v>
      </c>
      <c r="G19658" t="s">
        <v>1170</v>
      </c>
      <c r="H19658">
        <v>71129</v>
      </c>
      <c r="I19658" t="s">
        <v>30</v>
      </c>
      <c r="J19658" t="s">
        <v>171</v>
      </c>
      <c r="K19658" t="s">
        <v>1331</v>
      </c>
      <c r="N19658" t="s">
        <v>55296</v>
      </c>
      <c r="O19658" t="s">
        <v>55297</v>
      </c>
      <c r="Q19658">
        <v>0</v>
      </c>
      <c r="R19658">
        <v>142</v>
      </c>
      <c r="S19658">
        <v>0</v>
      </c>
      <c r="T19658" t="s">
        <v>55298</v>
      </c>
    </row>
    <row r="19659" spans="1:20" customFormat="1" ht="15" x14ac:dyDescent="0.25">
      <c r="A19659" t="s">
        <v>24</v>
      </c>
      <c r="B19659" t="s">
        <v>1583</v>
      </c>
      <c r="C19659" t="str">
        <f>"A0066598"</f>
        <v>A0066598</v>
      </c>
      <c r="D19659" t="s">
        <v>72907</v>
      </c>
      <c r="E19659" t="s">
        <v>72908</v>
      </c>
      <c r="F19659" t="s">
        <v>62476</v>
      </c>
      <c r="G19659" t="s">
        <v>81</v>
      </c>
      <c r="H19659">
        <v>34134</v>
      </c>
      <c r="I19659" t="s">
        <v>30</v>
      </c>
      <c r="J19659" t="s">
        <v>2544</v>
      </c>
      <c r="K19659" t="s">
        <v>72841</v>
      </c>
      <c r="N19659" t="s">
        <v>72909</v>
      </c>
      <c r="Q19659">
        <v>0</v>
      </c>
      <c r="R19659">
        <v>339</v>
      </c>
      <c r="S19659">
        <v>0</v>
      </c>
      <c r="T19659" t="s">
        <v>72910</v>
      </c>
    </row>
    <row r="19660" spans="1:20" customFormat="1" ht="15" x14ac:dyDescent="0.25">
      <c r="A19660" t="s">
        <v>24</v>
      </c>
      <c r="B19660" t="s">
        <v>342</v>
      </c>
      <c r="C19660" t="str">
        <f>"A0096384"</f>
        <v>A0096384</v>
      </c>
      <c r="D19660" t="s">
        <v>55411</v>
      </c>
      <c r="E19660" t="s">
        <v>55412</v>
      </c>
      <c r="F19660" t="s">
        <v>10730</v>
      </c>
      <c r="G19660" t="s">
        <v>214</v>
      </c>
      <c r="H19660">
        <v>28801</v>
      </c>
      <c r="I19660" t="s">
        <v>30</v>
      </c>
      <c r="J19660" t="s">
        <v>171</v>
      </c>
      <c r="K19660" t="s">
        <v>2077</v>
      </c>
      <c r="N19660" t="s">
        <v>55413</v>
      </c>
      <c r="Q19660">
        <v>0</v>
      </c>
      <c r="R19660">
        <v>137</v>
      </c>
      <c r="S19660">
        <v>0</v>
      </c>
      <c r="T19660" t="s">
        <v>55414</v>
      </c>
    </row>
    <row r="19661" spans="1:20" customFormat="1" ht="15" hidden="1" x14ac:dyDescent="0.25">
      <c r="A19661" t="s">
        <v>24</v>
      </c>
      <c r="B19661" t="s">
        <v>1583</v>
      </c>
      <c r="C19661" t="str">
        <f>"AC102007"</f>
        <v>AC102007</v>
      </c>
      <c r="D19661" t="s">
        <v>72916</v>
      </c>
      <c r="E19661" t="s">
        <v>72917</v>
      </c>
      <c r="F19661" t="s">
        <v>62987</v>
      </c>
      <c r="G19661" t="s">
        <v>9901</v>
      </c>
      <c r="H19661">
        <v>646</v>
      </c>
      <c r="I19661" t="s">
        <v>9902</v>
      </c>
      <c r="J19661" t="s">
        <v>2544</v>
      </c>
      <c r="K19661" t="s">
        <v>72841</v>
      </c>
      <c r="Q19661">
        <v>0</v>
      </c>
      <c r="R19661">
        <v>82</v>
      </c>
      <c r="S19661">
        <v>0</v>
      </c>
      <c r="T19661" t="s">
        <v>72918</v>
      </c>
    </row>
    <row r="19662" spans="1:20" customFormat="1" ht="15" x14ac:dyDescent="0.25">
      <c r="A19662" t="s">
        <v>24</v>
      </c>
      <c r="B19662" t="s">
        <v>675</v>
      </c>
      <c r="C19662" t="str">
        <f>"A0151769"</f>
        <v>A0151769</v>
      </c>
      <c r="D19662" t="s">
        <v>55415</v>
      </c>
      <c r="E19662" t="s">
        <v>55416</v>
      </c>
      <c r="F19662" t="s">
        <v>845</v>
      </c>
      <c r="G19662" t="s">
        <v>846</v>
      </c>
      <c r="H19662">
        <v>30337</v>
      </c>
      <c r="I19662" t="s">
        <v>30</v>
      </c>
      <c r="J19662" t="s">
        <v>171</v>
      </c>
      <c r="K19662" t="s">
        <v>2077</v>
      </c>
      <c r="N19662" t="s">
        <v>55417</v>
      </c>
      <c r="O19662" t="s">
        <v>55418</v>
      </c>
      <c r="Q19662">
        <v>0</v>
      </c>
      <c r="R19662">
        <v>222</v>
      </c>
      <c r="S19662">
        <v>0</v>
      </c>
      <c r="T19662" t="s">
        <v>55419</v>
      </c>
    </row>
    <row r="19663" spans="1:20" customFormat="1" ht="15" x14ac:dyDescent="0.25">
      <c r="A19663" t="s">
        <v>24</v>
      </c>
      <c r="B19663" t="s">
        <v>1583</v>
      </c>
      <c r="C19663" t="str">
        <f>"HY05198"</f>
        <v>HY05198</v>
      </c>
      <c r="D19663" t="s">
        <v>72924</v>
      </c>
      <c r="E19663" t="s">
        <v>72925</v>
      </c>
      <c r="F19663" t="s">
        <v>72926</v>
      </c>
      <c r="G19663" t="s">
        <v>221</v>
      </c>
      <c r="H19663">
        <v>89451</v>
      </c>
      <c r="I19663" t="s">
        <v>30</v>
      </c>
      <c r="J19663" t="s">
        <v>2544</v>
      </c>
      <c r="K19663" t="s">
        <v>72841</v>
      </c>
      <c r="N19663" t="s">
        <v>72927</v>
      </c>
      <c r="O19663" t="s">
        <v>72928</v>
      </c>
      <c r="Q19663">
        <v>0</v>
      </c>
      <c r="R19663">
        <v>60</v>
      </c>
      <c r="S19663">
        <v>0</v>
      </c>
      <c r="T19663" t="s">
        <v>72929</v>
      </c>
    </row>
    <row r="19664" spans="1:20" customFormat="1" ht="15" x14ac:dyDescent="0.25">
      <c r="A19664" t="s">
        <v>24</v>
      </c>
      <c r="B19664" t="s">
        <v>72930</v>
      </c>
      <c r="C19664" t="str">
        <f>"HYCORP"</f>
        <v>HYCORP</v>
      </c>
      <c r="D19664" t="s">
        <v>72931</v>
      </c>
      <c r="E19664" t="s">
        <v>72932</v>
      </c>
      <c r="F19664" t="s">
        <v>288</v>
      </c>
      <c r="G19664" t="s">
        <v>289</v>
      </c>
      <c r="H19664">
        <v>60606</v>
      </c>
      <c r="I19664" t="s">
        <v>30</v>
      </c>
      <c r="J19664" t="s">
        <v>191</v>
      </c>
      <c r="K19664" t="s">
        <v>72841</v>
      </c>
      <c r="Q19664">
        <v>0</v>
      </c>
      <c r="R19664">
        <v>0</v>
      </c>
      <c r="S19664">
        <v>0</v>
      </c>
      <c r="T19664" t="s">
        <v>72933</v>
      </c>
    </row>
    <row r="19665" spans="1:20" customFormat="1" ht="15" x14ac:dyDescent="0.25">
      <c r="A19665" t="s">
        <v>24</v>
      </c>
      <c r="B19665" t="s">
        <v>4400</v>
      </c>
      <c r="C19665" t="str">
        <f>"A0100211"</f>
        <v>A0100211</v>
      </c>
      <c r="D19665" t="s">
        <v>55420</v>
      </c>
      <c r="E19665" t="s">
        <v>55421</v>
      </c>
      <c r="F19665" t="s">
        <v>845</v>
      </c>
      <c r="G19665" t="s">
        <v>846</v>
      </c>
      <c r="H19665">
        <v>30309</v>
      </c>
      <c r="I19665" t="s">
        <v>30</v>
      </c>
      <c r="J19665" t="s">
        <v>171</v>
      </c>
      <c r="K19665" t="s">
        <v>2077</v>
      </c>
      <c r="N19665" t="s">
        <v>55422</v>
      </c>
      <c r="Q19665">
        <v>0</v>
      </c>
      <c r="R19665">
        <v>133</v>
      </c>
      <c r="S19665">
        <v>0</v>
      </c>
      <c r="T19665" t="s">
        <v>55423</v>
      </c>
    </row>
    <row r="19666" spans="1:20" customFormat="1" ht="15" x14ac:dyDescent="0.25">
      <c r="A19666" t="s">
        <v>24</v>
      </c>
      <c r="B19666" t="s">
        <v>1487</v>
      </c>
      <c r="C19666" t="str">
        <f>"A0145351"</f>
        <v>A0145351</v>
      </c>
      <c r="D19666" t="s">
        <v>55424</v>
      </c>
      <c r="E19666" t="s">
        <v>55425</v>
      </c>
      <c r="F19666" t="s">
        <v>372</v>
      </c>
      <c r="G19666" t="s">
        <v>52</v>
      </c>
      <c r="H19666">
        <v>78701</v>
      </c>
      <c r="I19666" t="s">
        <v>30</v>
      </c>
      <c r="J19666" t="s">
        <v>171</v>
      </c>
      <c r="K19666" t="s">
        <v>2077</v>
      </c>
      <c r="N19666" t="s">
        <v>55426</v>
      </c>
      <c r="O19666" t="s">
        <v>55427</v>
      </c>
      <c r="Q19666">
        <v>0</v>
      </c>
      <c r="R19666">
        <v>156</v>
      </c>
      <c r="S19666">
        <v>0</v>
      </c>
      <c r="T19666" t="s">
        <v>55428</v>
      </c>
    </row>
    <row r="19667" spans="1:20" customFormat="1" ht="15" x14ac:dyDescent="0.25">
      <c r="A19667" t="s">
        <v>24</v>
      </c>
      <c r="B19667" t="s">
        <v>2387</v>
      </c>
      <c r="C19667" t="str">
        <f>"A0100187"</f>
        <v>A0100187</v>
      </c>
      <c r="D19667" t="s">
        <v>55429</v>
      </c>
      <c r="E19667" t="s">
        <v>55430</v>
      </c>
      <c r="F19667" t="s">
        <v>1208</v>
      </c>
      <c r="G19667" t="s">
        <v>899</v>
      </c>
      <c r="H19667">
        <v>2135</v>
      </c>
      <c r="I19667" t="s">
        <v>30</v>
      </c>
      <c r="J19667" t="s">
        <v>171</v>
      </c>
      <c r="K19667" t="s">
        <v>2077</v>
      </c>
      <c r="N19667" t="s">
        <v>55431</v>
      </c>
      <c r="O19667" t="s">
        <v>55432</v>
      </c>
      <c r="Q19667">
        <v>0</v>
      </c>
      <c r="R19667">
        <v>162</v>
      </c>
      <c r="S19667">
        <v>0</v>
      </c>
      <c r="T19667" t="s">
        <v>55433</v>
      </c>
    </row>
    <row r="19668" spans="1:20" customFormat="1" ht="15" x14ac:dyDescent="0.25">
      <c r="A19668" t="s">
        <v>24</v>
      </c>
      <c r="B19668" t="s">
        <v>2387</v>
      </c>
      <c r="C19668" t="str">
        <f>"A0095039"</f>
        <v>A0095039</v>
      </c>
      <c r="D19668" t="s">
        <v>55434</v>
      </c>
      <c r="E19668" t="s">
        <v>55435</v>
      </c>
      <c r="F19668" t="s">
        <v>55436</v>
      </c>
      <c r="G19668" t="s">
        <v>899</v>
      </c>
      <c r="H19668">
        <v>2140</v>
      </c>
      <c r="I19668" t="s">
        <v>30</v>
      </c>
      <c r="J19668" t="s">
        <v>171</v>
      </c>
      <c r="K19668" t="s">
        <v>2077</v>
      </c>
      <c r="N19668" t="s">
        <v>55437</v>
      </c>
      <c r="Q19668">
        <v>0</v>
      </c>
      <c r="R19668">
        <v>150</v>
      </c>
      <c r="S19668">
        <v>0</v>
      </c>
      <c r="T19668" t="s">
        <v>55438</v>
      </c>
    </row>
    <row r="19669" spans="1:20" customFormat="1" ht="15" x14ac:dyDescent="0.25">
      <c r="A19669" t="s">
        <v>24</v>
      </c>
      <c r="B19669" t="s">
        <v>2387</v>
      </c>
      <c r="C19669" t="str">
        <f>"A0100118"</f>
        <v>A0100118</v>
      </c>
      <c r="D19669" t="s">
        <v>55439</v>
      </c>
      <c r="E19669" t="s">
        <v>55440</v>
      </c>
      <c r="F19669" t="s">
        <v>1208</v>
      </c>
      <c r="G19669" t="s">
        <v>899</v>
      </c>
      <c r="H19669">
        <v>2118</v>
      </c>
      <c r="I19669" t="s">
        <v>30</v>
      </c>
      <c r="J19669" t="s">
        <v>171</v>
      </c>
      <c r="K19669" t="s">
        <v>2077</v>
      </c>
      <c r="N19669" t="s">
        <v>55441</v>
      </c>
      <c r="Q19669">
        <v>0</v>
      </c>
      <c r="R19669">
        <v>205</v>
      </c>
      <c r="S19669">
        <v>0</v>
      </c>
      <c r="T19669" t="s">
        <v>55442</v>
      </c>
    </row>
    <row r="19670" spans="1:20" customFormat="1" ht="15" x14ac:dyDescent="0.25">
      <c r="A19670" t="s">
        <v>24</v>
      </c>
      <c r="B19670" t="s">
        <v>2387</v>
      </c>
      <c r="C19670" t="str">
        <f>"A0095668"</f>
        <v>A0095668</v>
      </c>
      <c r="D19670" t="s">
        <v>55443</v>
      </c>
      <c r="E19670" t="s">
        <v>55444</v>
      </c>
      <c r="F19670" t="s">
        <v>6873</v>
      </c>
      <c r="G19670" t="s">
        <v>899</v>
      </c>
      <c r="H19670">
        <v>2155</v>
      </c>
      <c r="I19670" t="s">
        <v>30</v>
      </c>
      <c r="J19670" t="s">
        <v>171</v>
      </c>
      <c r="K19670" t="s">
        <v>2077</v>
      </c>
      <c r="N19670" t="s">
        <v>14968</v>
      </c>
      <c r="Q19670">
        <v>0</v>
      </c>
      <c r="R19670">
        <v>152</v>
      </c>
      <c r="S19670">
        <v>0</v>
      </c>
      <c r="T19670" t="s">
        <v>55445</v>
      </c>
    </row>
    <row r="19671" spans="1:20" customFormat="1" ht="15" x14ac:dyDescent="0.25">
      <c r="A19671" t="s">
        <v>24</v>
      </c>
      <c r="B19671" t="s">
        <v>342</v>
      </c>
      <c r="C19671" t="str">
        <f>"A0099845"</f>
        <v>A0099845</v>
      </c>
      <c r="D19671" t="s">
        <v>55446</v>
      </c>
      <c r="E19671" t="s">
        <v>55447</v>
      </c>
      <c r="F19671" t="s">
        <v>242</v>
      </c>
      <c r="G19671" t="s">
        <v>214</v>
      </c>
      <c r="H19671">
        <v>28202</v>
      </c>
      <c r="I19671" t="s">
        <v>30</v>
      </c>
      <c r="J19671" t="s">
        <v>171</v>
      </c>
      <c r="K19671" t="s">
        <v>2077</v>
      </c>
      <c r="N19671" t="s">
        <v>55448</v>
      </c>
      <c r="O19671" t="s">
        <v>346</v>
      </c>
      <c r="Q19671">
        <v>0</v>
      </c>
      <c r="R19671">
        <v>184</v>
      </c>
      <c r="S19671">
        <v>0</v>
      </c>
      <c r="T19671" t="s">
        <v>55449</v>
      </c>
    </row>
    <row r="19672" spans="1:20" customFormat="1" ht="15" x14ac:dyDescent="0.25">
      <c r="A19672" t="s">
        <v>24</v>
      </c>
      <c r="B19672" t="s">
        <v>675</v>
      </c>
      <c r="C19672" t="str">
        <f>"A0145445"</f>
        <v>A0145445</v>
      </c>
      <c r="D19672" t="s">
        <v>55450</v>
      </c>
      <c r="E19672" t="s">
        <v>55451</v>
      </c>
      <c r="F19672" t="s">
        <v>242</v>
      </c>
      <c r="G19672" t="s">
        <v>214</v>
      </c>
      <c r="H19672">
        <v>28211</v>
      </c>
      <c r="I19672" t="s">
        <v>30</v>
      </c>
      <c r="J19672" t="s">
        <v>171</v>
      </c>
      <c r="K19672" t="s">
        <v>2077</v>
      </c>
      <c r="N19672" t="s">
        <v>55452</v>
      </c>
      <c r="O19672" t="s">
        <v>55453</v>
      </c>
      <c r="Q19672">
        <v>0</v>
      </c>
      <c r="R19672">
        <v>162</v>
      </c>
      <c r="S19672">
        <v>0</v>
      </c>
      <c r="T19672" t="s">
        <v>55454</v>
      </c>
    </row>
    <row r="19673" spans="1:20" customFormat="1" ht="15" x14ac:dyDescent="0.25">
      <c r="A19673" t="s">
        <v>24</v>
      </c>
      <c r="B19673" t="s">
        <v>3367</v>
      </c>
      <c r="C19673" t="str">
        <f>"A0087220"</f>
        <v>A0087220</v>
      </c>
      <c r="D19673" t="s">
        <v>55455</v>
      </c>
      <c r="E19673" t="s">
        <v>55456</v>
      </c>
      <c r="F19673" t="s">
        <v>716</v>
      </c>
      <c r="G19673" t="s">
        <v>289</v>
      </c>
      <c r="H19673">
        <v>60611</v>
      </c>
      <c r="I19673" t="s">
        <v>30</v>
      </c>
      <c r="J19673" t="s">
        <v>171</v>
      </c>
      <c r="K19673" t="s">
        <v>2077</v>
      </c>
      <c r="N19673" t="s">
        <v>55457</v>
      </c>
      <c r="Q19673">
        <v>0</v>
      </c>
      <c r="R19673">
        <v>226</v>
      </c>
      <c r="S19673">
        <v>0</v>
      </c>
      <c r="T19673" t="s">
        <v>55458</v>
      </c>
    </row>
    <row r="19674" spans="1:20" customFormat="1" ht="15" x14ac:dyDescent="0.25">
      <c r="A19674" t="s">
        <v>24</v>
      </c>
      <c r="B19674" t="s">
        <v>1849</v>
      </c>
      <c r="C19674" t="str">
        <f>"A0096541"</f>
        <v>A0096541</v>
      </c>
      <c r="D19674" t="s">
        <v>55459</v>
      </c>
      <c r="E19674" t="s">
        <v>55460</v>
      </c>
      <c r="F19674" t="s">
        <v>13716</v>
      </c>
      <c r="G19674" t="s">
        <v>65</v>
      </c>
      <c r="H19674">
        <v>45202</v>
      </c>
      <c r="I19674" t="s">
        <v>30</v>
      </c>
      <c r="J19674" t="s">
        <v>171</v>
      </c>
      <c r="K19674" t="s">
        <v>2077</v>
      </c>
      <c r="N19674" t="s">
        <v>55461</v>
      </c>
      <c r="O19674" t="s">
        <v>55462</v>
      </c>
      <c r="Q19674">
        <v>0</v>
      </c>
      <c r="R19674">
        <v>171</v>
      </c>
      <c r="S19674">
        <v>0</v>
      </c>
      <c r="T19674" t="s">
        <v>55463</v>
      </c>
    </row>
    <row r="19675" spans="1:20" customFormat="1" ht="15" x14ac:dyDescent="0.25">
      <c r="A19675" t="s">
        <v>24</v>
      </c>
      <c r="B19675" t="s">
        <v>5079</v>
      </c>
      <c r="C19675" t="str">
        <f>"A0098004"</f>
        <v>A0098004</v>
      </c>
      <c r="D19675" t="s">
        <v>55464</v>
      </c>
      <c r="E19675" t="s">
        <v>55465</v>
      </c>
      <c r="F19675" t="s">
        <v>3887</v>
      </c>
      <c r="G19675" t="s">
        <v>65</v>
      </c>
      <c r="H19675">
        <v>44122</v>
      </c>
      <c r="I19675" t="s">
        <v>30</v>
      </c>
      <c r="J19675" t="s">
        <v>171</v>
      </c>
      <c r="K19675" t="s">
        <v>2077</v>
      </c>
      <c r="N19675" t="s">
        <v>55466</v>
      </c>
      <c r="Q19675">
        <v>0</v>
      </c>
      <c r="R19675">
        <v>145</v>
      </c>
      <c r="S19675">
        <v>0</v>
      </c>
      <c r="T19675" t="s">
        <v>55467</v>
      </c>
    </row>
    <row r="19676" spans="1:20" customFormat="1" ht="15" x14ac:dyDescent="0.25">
      <c r="A19676" t="s">
        <v>24</v>
      </c>
      <c r="B19676" t="s">
        <v>1098</v>
      </c>
      <c r="C19676" t="str">
        <f>"A0098805"</f>
        <v>A0098805</v>
      </c>
      <c r="D19676" t="s">
        <v>55468</v>
      </c>
      <c r="E19676" t="s">
        <v>55469</v>
      </c>
      <c r="F19676" t="s">
        <v>8225</v>
      </c>
      <c r="G19676" t="s">
        <v>65</v>
      </c>
      <c r="H19676">
        <v>43017</v>
      </c>
      <c r="I19676" t="s">
        <v>30</v>
      </c>
      <c r="J19676" t="s">
        <v>171</v>
      </c>
      <c r="K19676" t="s">
        <v>2077</v>
      </c>
      <c r="N19676" t="s">
        <v>55470</v>
      </c>
      <c r="O19676" t="s">
        <v>55471</v>
      </c>
      <c r="Q19676">
        <v>0</v>
      </c>
      <c r="R19676">
        <v>150</v>
      </c>
      <c r="S19676">
        <v>0</v>
      </c>
      <c r="T19676" t="s">
        <v>55472</v>
      </c>
    </row>
    <row r="19677" spans="1:20" customFormat="1" ht="15" x14ac:dyDescent="0.25">
      <c r="A19677" t="s">
        <v>24</v>
      </c>
      <c r="B19677" t="s">
        <v>1487</v>
      </c>
      <c r="C19677" t="str">
        <f>"A0099194"</f>
        <v>A0099194</v>
      </c>
      <c r="D19677" t="s">
        <v>55473</v>
      </c>
      <c r="E19677" t="s">
        <v>55474</v>
      </c>
      <c r="F19677" t="s">
        <v>972</v>
      </c>
      <c r="G19677" t="s">
        <v>190</v>
      </c>
      <c r="H19677">
        <v>80202</v>
      </c>
      <c r="I19677" t="s">
        <v>30</v>
      </c>
      <c r="J19677" t="s">
        <v>171</v>
      </c>
      <c r="K19677" t="s">
        <v>2077</v>
      </c>
      <c r="N19677" t="s">
        <v>55475</v>
      </c>
      <c r="Q19677">
        <v>0</v>
      </c>
      <c r="R19677">
        <v>272</v>
      </c>
      <c r="S19677">
        <v>0</v>
      </c>
      <c r="T19677" t="s">
        <v>55476</v>
      </c>
    </row>
    <row r="19678" spans="1:20" customFormat="1" ht="15" x14ac:dyDescent="0.25">
      <c r="A19678" t="s">
        <v>24</v>
      </c>
      <c r="B19678" t="s">
        <v>1548</v>
      </c>
      <c r="C19678" t="str">
        <f>"A0162053"</f>
        <v>A0162053</v>
      </c>
      <c r="D19678" t="s">
        <v>55482</v>
      </c>
      <c r="E19678" t="s">
        <v>55483</v>
      </c>
      <c r="F19678" t="s">
        <v>3505</v>
      </c>
      <c r="G19678" t="s">
        <v>52</v>
      </c>
      <c r="H19678">
        <v>76102</v>
      </c>
      <c r="I19678" t="s">
        <v>30</v>
      </c>
      <c r="J19678" t="s">
        <v>171</v>
      </c>
      <c r="K19678" t="s">
        <v>2077</v>
      </c>
      <c r="N19678" t="s">
        <v>55484</v>
      </c>
      <c r="Q19678">
        <v>0</v>
      </c>
      <c r="R19678">
        <v>252</v>
      </c>
      <c r="S19678">
        <v>0</v>
      </c>
      <c r="T19678" t="s">
        <v>55485</v>
      </c>
    </row>
    <row r="19679" spans="1:20" customFormat="1" ht="15" x14ac:dyDescent="0.25">
      <c r="A19679" t="s">
        <v>24</v>
      </c>
      <c r="B19679" t="s">
        <v>8843</v>
      </c>
      <c r="C19679" t="str">
        <f>"A0148803"</f>
        <v>A0148803</v>
      </c>
      <c r="D19679" t="s">
        <v>55486</v>
      </c>
      <c r="E19679" t="s">
        <v>55487</v>
      </c>
      <c r="F19679" t="s">
        <v>3932</v>
      </c>
      <c r="G19679" t="s">
        <v>117</v>
      </c>
      <c r="H19679">
        <v>49503</v>
      </c>
      <c r="I19679" t="s">
        <v>30</v>
      </c>
      <c r="J19679" t="s">
        <v>171</v>
      </c>
      <c r="K19679" t="s">
        <v>2077</v>
      </c>
      <c r="N19679" t="s">
        <v>55488</v>
      </c>
      <c r="O19679" t="s">
        <v>55489</v>
      </c>
      <c r="Q19679">
        <v>0</v>
      </c>
      <c r="R19679">
        <v>130</v>
      </c>
      <c r="S19679">
        <v>0</v>
      </c>
      <c r="T19679" t="s">
        <v>55490</v>
      </c>
    </row>
    <row r="19680" spans="1:20" customFormat="1" ht="15" x14ac:dyDescent="0.25">
      <c r="A19680" t="s">
        <v>24</v>
      </c>
      <c r="B19680" t="s">
        <v>9843</v>
      </c>
      <c r="C19680" t="str">
        <f>"A0145444"</f>
        <v>A0145444</v>
      </c>
      <c r="D19680" t="s">
        <v>55495</v>
      </c>
      <c r="E19680" t="s">
        <v>55496</v>
      </c>
      <c r="F19680" t="s">
        <v>3545</v>
      </c>
      <c r="G19680" t="s">
        <v>1706</v>
      </c>
      <c r="H19680">
        <v>35802</v>
      </c>
      <c r="I19680" t="s">
        <v>30</v>
      </c>
      <c r="J19680" t="s">
        <v>171</v>
      </c>
      <c r="K19680" t="s">
        <v>2077</v>
      </c>
      <c r="N19680" t="s">
        <v>55497</v>
      </c>
      <c r="Q19680">
        <v>0</v>
      </c>
      <c r="R19680">
        <v>120</v>
      </c>
      <c r="S19680">
        <v>0</v>
      </c>
      <c r="T19680" t="s">
        <v>55498</v>
      </c>
    </row>
    <row r="19681" spans="1:20" customFormat="1" ht="15" x14ac:dyDescent="0.25">
      <c r="A19681" t="s">
        <v>24</v>
      </c>
      <c r="B19681" t="s">
        <v>1020</v>
      </c>
      <c r="C19681" t="str">
        <f>"A0054343"</f>
        <v>A0054343</v>
      </c>
      <c r="D19681" t="s">
        <v>55499</v>
      </c>
      <c r="E19681" t="s">
        <v>55500</v>
      </c>
      <c r="F19681" t="s">
        <v>8703</v>
      </c>
      <c r="G19681" t="s">
        <v>137</v>
      </c>
      <c r="H19681">
        <v>64111</v>
      </c>
      <c r="I19681" t="s">
        <v>30</v>
      </c>
      <c r="J19681" t="s">
        <v>171</v>
      </c>
      <c r="K19681" t="s">
        <v>2077</v>
      </c>
      <c r="Q19681">
        <v>0</v>
      </c>
      <c r="R19681">
        <v>123</v>
      </c>
      <c r="S19681">
        <v>0</v>
      </c>
      <c r="T19681" t="s">
        <v>55501</v>
      </c>
    </row>
    <row r="19682" spans="1:20" customFormat="1" ht="15" x14ac:dyDescent="0.25">
      <c r="A19682" t="s">
        <v>24</v>
      </c>
      <c r="B19682" t="s">
        <v>4400</v>
      </c>
      <c r="C19682" t="str">
        <f>"A0154110"</f>
        <v>A0154110</v>
      </c>
      <c r="D19682" t="s">
        <v>55502</v>
      </c>
      <c r="E19682" t="s">
        <v>55503</v>
      </c>
      <c r="F19682" t="s">
        <v>4334</v>
      </c>
      <c r="G19682" t="s">
        <v>85</v>
      </c>
      <c r="H19682">
        <v>72201</v>
      </c>
      <c r="I19682" t="s">
        <v>30</v>
      </c>
      <c r="J19682" t="s">
        <v>171</v>
      </c>
      <c r="K19682" t="s">
        <v>2077</v>
      </c>
      <c r="N19682" t="s">
        <v>55504</v>
      </c>
      <c r="Q19682">
        <v>0</v>
      </c>
      <c r="R19682">
        <v>114</v>
      </c>
      <c r="S19682">
        <v>0</v>
      </c>
      <c r="T19682" t="s">
        <v>55505</v>
      </c>
    </row>
    <row r="19683" spans="1:20" customFormat="1" ht="15" x14ac:dyDescent="0.25">
      <c r="A19683" t="s">
        <v>24</v>
      </c>
      <c r="B19683" t="s">
        <v>55506</v>
      </c>
      <c r="C19683" t="str">
        <f>"A0151473"</f>
        <v>A0151473</v>
      </c>
      <c r="D19683" t="s">
        <v>55507</v>
      </c>
      <c r="E19683" t="s">
        <v>55508</v>
      </c>
      <c r="F19683" t="s">
        <v>14609</v>
      </c>
      <c r="G19683" t="s">
        <v>110</v>
      </c>
      <c r="H19683">
        <v>90245</v>
      </c>
      <c r="I19683" t="s">
        <v>30</v>
      </c>
      <c r="J19683" t="s">
        <v>171</v>
      </c>
      <c r="K19683" t="s">
        <v>2077</v>
      </c>
      <c r="N19683" t="s">
        <v>55509</v>
      </c>
      <c r="O19683" t="s">
        <v>13794</v>
      </c>
      <c r="Q19683">
        <v>0</v>
      </c>
      <c r="R19683">
        <v>180</v>
      </c>
      <c r="S19683">
        <v>0</v>
      </c>
      <c r="T19683" t="s">
        <v>55510</v>
      </c>
    </row>
    <row r="19684" spans="1:20" customFormat="1" ht="15" x14ac:dyDescent="0.25">
      <c r="A19684" t="s">
        <v>24</v>
      </c>
      <c r="B19684" t="s">
        <v>675</v>
      </c>
      <c r="C19684" t="str">
        <f>"A0094034"</f>
        <v>A0094034</v>
      </c>
      <c r="D19684" t="s">
        <v>55511</v>
      </c>
      <c r="E19684" t="s">
        <v>55512</v>
      </c>
      <c r="F19684" t="s">
        <v>1003</v>
      </c>
      <c r="G19684" t="s">
        <v>81</v>
      </c>
      <c r="H19684">
        <v>33140</v>
      </c>
      <c r="I19684" t="s">
        <v>30</v>
      </c>
      <c r="J19684" t="s">
        <v>171</v>
      </c>
      <c r="K19684" t="s">
        <v>2077</v>
      </c>
      <c r="N19684" t="s">
        <v>55513</v>
      </c>
      <c r="O19684" t="s">
        <v>55514</v>
      </c>
      <c r="Q19684">
        <v>0</v>
      </c>
      <c r="R19684">
        <v>150</v>
      </c>
      <c r="S19684">
        <v>0</v>
      </c>
      <c r="T19684" t="s">
        <v>55515</v>
      </c>
    </row>
    <row r="19685" spans="1:20" customFormat="1" ht="15" x14ac:dyDescent="0.25">
      <c r="A19685" t="s">
        <v>24</v>
      </c>
      <c r="B19685" t="s">
        <v>2340</v>
      </c>
      <c r="C19685" t="str">
        <f>"A0101154"</f>
        <v>A0101154</v>
      </c>
      <c r="D19685" t="s">
        <v>55516</v>
      </c>
      <c r="E19685" t="s">
        <v>55517</v>
      </c>
      <c r="F19685" t="s">
        <v>55518</v>
      </c>
      <c r="G19685" t="s">
        <v>81</v>
      </c>
      <c r="H19685">
        <v>33166</v>
      </c>
      <c r="I19685" t="s">
        <v>30</v>
      </c>
      <c r="J19685" t="s">
        <v>171</v>
      </c>
      <c r="K19685" t="s">
        <v>2077</v>
      </c>
      <c r="N19685" t="s">
        <v>55519</v>
      </c>
      <c r="Q19685">
        <v>0</v>
      </c>
      <c r="R19685">
        <v>110</v>
      </c>
      <c r="S19685">
        <v>0</v>
      </c>
      <c r="T19685" t="s">
        <v>55520</v>
      </c>
    </row>
    <row r="19686" spans="1:20" customFormat="1" ht="15" x14ac:dyDescent="0.25">
      <c r="A19686" t="s">
        <v>24</v>
      </c>
      <c r="B19686" t="s">
        <v>1020</v>
      </c>
      <c r="C19686" t="str">
        <f>"A0147512"</f>
        <v>A0147512</v>
      </c>
      <c r="D19686" t="s">
        <v>55521</v>
      </c>
      <c r="E19686" t="s">
        <v>55522</v>
      </c>
      <c r="F19686" t="s">
        <v>1889</v>
      </c>
      <c r="G19686" t="s">
        <v>81</v>
      </c>
      <c r="H19686">
        <v>33137</v>
      </c>
      <c r="I19686" t="s">
        <v>30</v>
      </c>
      <c r="J19686" t="s">
        <v>171</v>
      </c>
      <c r="K19686" t="s">
        <v>2077</v>
      </c>
      <c r="N19686" t="s">
        <v>11168</v>
      </c>
      <c r="Q19686">
        <v>0</v>
      </c>
      <c r="R19686">
        <v>153</v>
      </c>
      <c r="S19686">
        <v>0</v>
      </c>
      <c r="T19686" t="s">
        <v>55523</v>
      </c>
    </row>
    <row r="19687" spans="1:20" customFormat="1" ht="15" x14ac:dyDescent="0.25">
      <c r="A19687" t="s">
        <v>24</v>
      </c>
      <c r="B19687" t="s">
        <v>5166</v>
      </c>
      <c r="C19687" t="str">
        <f>"A0096027"</f>
        <v>A0096027</v>
      </c>
      <c r="D19687" t="s">
        <v>55524</v>
      </c>
      <c r="E19687" t="s">
        <v>55525</v>
      </c>
      <c r="F19687" t="s">
        <v>6404</v>
      </c>
      <c r="G19687" t="s">
        <v>161</v>
      </c>
      <c r="H19687">
        <v>55401</v>
      </c>
      <c r="I19687" t="s">
        <v>30</v>
      </c>
      <c r="J19687" t="s">
        <v>171</v>
      </c>
      <c r="K19687" t="s">
        <v>2077</v>
      </c>
      <c r="N19687" t="s">
        <v>55526</v>
      </c>
      <c r="Q19687">
        <v>0</v>
      </c>
      <c r="R19687">
        <v>245</v>
      </c>
      <c r="S19687">
        <v>0</v>
      </c>
      <c r="T19687" t="s">
        <v>55527</v>
      </c>
    </row>
    <row r="19688" spans="1:20" customFormat="1" ht="15" x14ac:dyDescent="0.25">
      <c r="A19688" t="s">
        <v>24</v>
      </c>
      <c r="B19688" t="s">
        <v>55528</v>
      </c>
      <c r="C19688" t="str">
        <f>"A0060061"</f>
        <v>A0060061</v>
      </c>
      <c r="D19688" t="s">
        <v>55529</v>
      </c>
      <c r="E19688" t="s">
        <v>55530</v>
      </c>
      <c r="F19688" t="s">
        <v>3455</v>
      </c>
      <c r="G19688" t="s">
        <v>161</v>
      </c>
      <c r="H19688">
        <v>55425</v>
      </c>
      <c r="I19688" t="s">
        <v>30</v>
      </c>
      <c r="J19688" t="s">
        <v>171</v>
      </c>
      <c r="K19688" t="s">
        <v>2077</v>
      </c>
      <c r="N19688" t="s">
        <v>55531</v>
      </c>
      <c r="Q19688">
        <v>0</v>
      </c>
      <c r="R19688">
        <v>148</v>
      </c>
      <c r="S19688">
        <v>0</v>
      </c>
      <c r="T19688" t="s">
        <v>55532</v>
      </c>
    </row>
    <row r="19689" spans="1:20" customFormat="1" ht="15" x14ac:dyDescent="0.25">
      <c r="A19689" t="s">
        <v>24</v>
      </c>
      <c r="B19689" t="s">
        <v>10398</v>
      </c>
      <c r="C19689" t="str">
        <f>"A0136976"</f>
        <v>A0136976</v>
      </c>
      <c r="D19689" t="s">
        <v>55539</v>
      </c>
      <c r="E19689" t="s">
        <v>55540</v>
      </c>
      <c r="F19689" t="s">
        <v>196</v>
      </c>
      <c r="G19689" t="s">
        <v>197</v>
      </c>
      <c r="H19689">
        <v>85016</v>
      </c>
      <c r="I19689" t="s">
        <v>30</v>
      </c>
      <c r="J19689" t="s">
        <v>171</v>
      </c>
      <c r="K19689" t="s">
        <v>2077</v>
      </c>
      <c r="N19689" t="s">
        <v>7491</v>
      </c>
      <c r="O19689" t="s">
        <v>55541</v>
      </c>
      <c r="Q19689">
        <v>0</v>
      </c>
      <c r="R19689">
        <v>160</v>
      </c>
      <c r="S19689">
        <v>0</v>
      </c>
      <c r="T19689" t="s">
        <v>55542</v>
      </c>
    </row>
    <row r="19690" spans="1:20" customFormat="1" ht="15" x14ac:dyDescent="0.25">
      <c r="A19690" t="s">
        <v>24</v>
      </c>
      <c r="B19690" t="s">
        <v>11170</v>
      </c>
      <c r="C19690" t="str">
        <f>"A0096206"</f>
        <v>A0096206</v>
      </c>
      <c r="D19690" t="s">
        <v>55543</v>
      </c>
      <c r="E19690" t="s">
        <v>55544</v>
      </c>
      <c r="F19690" t="s">
        <v>1592</v>
      </c>
      <c r="G19690" t="s">
        <v>197</v>
      </c>
      <c r="H19690">
        <v>85281</v>
      </c>
      <c r="I19690" t="s">
        <v>30</v>
      </c>
      <c r="J19690" t="s">
        <v>171</v>
      </c>
      <c r="K19690" t="s">
        <v>2077</v>
      </c>
      <c r="N19690" t="s">
        <v>55545</v>
      </c>
      <c r="O19690" t="s">
        <v>11174</v>
      </c>
      <c r="Q19690">
        <v>0</v>
      </c>
      <c r="R19690">
        <v>159</v>
      </c>
      <c r="S19690">
        <v>0</v>
      </c>
      <c r="T19690" t="s">
        <v>55546</v>
      </c>
    </row>
    <row r="19691" spans="1:20" customFormat="1" ht="15" x14ac:dyDescent="0.25">
      <c r="A19691" t="s">
        <v>24</v>
      </c>
      <c r="B19691" t="s">
        <v>1020</v>
      </c>
      <c r="C19691" t="str">
        <f>"A0059752"</f>
        <v>A0059752</v>
      </c>
      <c r="D19691" t="s">
        <v>55547</v>
      </c>
      <c r="E19691" t="s">
        <v>55548</v>
      </c>
      <c r="F19691" t="s">
        <v>7495</v>
      </c>
      <c r="G19691" t="s">
        <v>110</v>
      </c>
      <c r="H19691">
        <v>94588</v>
      </c>
      <c r="I19691" t="s">
        <v>30</v>
      </c>
      <c r="J19691" t="s">
        <v>171</v>
      </c>
      <c r="K19691" t="s">
        <v>2077</v>
      </c>
      <c r="N19691" t="s">
        <v>55549</v>
      </c>
      <c r="Q19691">
        <v>0</v>
      </c>
      <c r="R19691">
        <v>171</v>
      </c>
      <c r="S19691">
        <v>0</v>
      </c>
      <c r="T19691" t="s">
        <v>55550</v>
      </c>
    </row>
    <row r="19692" spans="1:20" customFormat="1" ht="15" x14ac:dyDescent="0.25">
      <c r="A19692" t="s">
        <v>24</v>
      </c>
      <c r="B19692" t="s">
        <v>9549</v>
      </c>
      <c r="C19692" t="str">
        <f>"A0156805"</f>
        <v>A0156805</v>
      </c>
      <c r="D19692" t="s">
        <v>55551</v>
      </c>
      <c r="E19692" t="s">
        <v>55552</v>
      </c>
      <c r="F19692" t="s">
        <v>3802</v>
      </c>
      <c r="G19692" t="s">
        <v>47</v>
      </c>
      <c r="H19692">
        <v>97006</v>
      </c>
      <c r="I19692" t="s">
        <v>30</v>
      </c>
      <c r="J19692" t="s">
        <v>171</v>
      </c>
      <c r="K19692" t="s">
        <v>2077</v>
      </c>
      <c r="N19692" t="s">
        <v>55553</v>
      </c>
      <c r="Q19692">
        <v>0</v>
      </c>
      <c r="R19692">
        <v>117</v>
      </c>
      <c r="S19692">
        <v>0</v>
      </c>
      <c r="T19692" t="s">
        <v>4521</v>
      </c>
    </row>
    <row r="19693" spans="1:20" customFormat="1" ht="15" x14ac:dyDescent="0.25">
      <c r="A19693" t="s">
        <v>24</v>
      </c>
      <c r="B19693" t="s">
        <v>2955</v>
      </c>
      <c r="C19693" t="str">
        <f>"A0097799"</f>
        <v>A0097799</v>
      </c>
      <c r="D19693" t="s">
        <v>55554</v>
      </c>
      <c r="E19693" t="s">
        <v>55555</v>
      </c>
      <c r="F19693" t="s">
        <v>6593</v>
      </c>
      <c r="G19693" t="s">
        <v>2450</v>
      </c>
      <c r="H19693">
        <v>4101</v>
      </c>
      <c r="I19693" t="s">
        <v>30</v>
      </c>
      <c r="J19693" t="s">
        <v>171</v>
      </c>
      <c r="K19693" t="s">
        <v>2077</v>
      </c>
      <c r="N19693" t="s">
        <v>55556</v>
      </c>
      <c r="Q19693">
        <v>0</v>
      </c>
      <c r="R19693">
        <v>178</v>
      </c>
      <c r="S19693">
        <v>0</v>
      </c>
      <c r="T19693" t="s">
        <v>55557</v>
      </c>
    </row>
    <row r="19694" spans="1:20" customFormat="1" ht="15" x14ac:dyDescent="0.25">
      <c r="A19694" t="s">
        <v>24</v>
      </c>
      <c r="B19694" t="s">
        <v>2387</v>
      </c>
      <c r="C19694" t="str">
        <f>"A0151706"</f>
        <v>A0151706</v>
      </c>
      <c r="D19694" t="s">
        <v>55558</v>
      </c>
      <c r="E19694" t="s">
        <v>55559</v>
      </c>
      <c r="F19694" t="s">
        <v>14994</v>
      </c>
      <c r="G19694" t="s">
        <v>1363</v>
      </c>
      <c r="H19694">
        <v>3801</v>
      </c>
      <c r="I19694" t="s">
        <v>30</v>
      </c>
      <c r="J19694" t="s">
        <v>171</v>
      </c>
      <c r="K19694" t="s">
        <v>2077</v>
      </c>
      <c r="N19694" t="s">
        <v>55560</v>
      </c>
      <c r="Q19694">
        <v>0</v>
      </c>
      <c r="R19694">
        <v>156</v>
      </c>
      <c r="S19694">
        <v>0</v>
      </c>
      <c r="T19694" t="s">
        <v>55561</v>
      </c>
    </row>
    <row r="19695" spans="1:20" customFormat="1" ht="15" x14ac:dyDescent="0.25">
      <c r="A19695" t="s">
        <v>24</v>
      </c>
      <c r="B19695" t="s">
        <v>11170</v>
      </c>
      <c r="C19695" t="str">
        <f>"A0096972"</f>
        <v>A0096972</v>
      </c>
      <c r="D19695" t="s">
        <v>55567</v>
      </c>
      <c r="E19695" t="s">
        <v>55568</v>
      </c>
      <c r="F19695" t="s">
        <v>808</v>
      </c>
      <c r="G19695" t="s">
        <v>110</v>
      </c>
      <c r="H19695">
        <v>92612</v>
      </c>
      <c r="I19695" t="s">
        <v>30</v>
      </c>
      <c r="J19695" t="s">
        <v>171</v>
      </c>
      <c r="K19695" t="s">
        <v>2077</v>
      </c>
      <c r="N19695" t="s">
        <v>55569</v>
      </c>
      <c r="O19695" t="s">
        <v>55570</v>
      </c>
      <c r="Q19695">
        <v>0</v>
      </c>
      <c r="R19695">
        <v>176</v>
      </c>
      <c r="S19695">
        <v>0</v>
      </c>
      <c r="T19695" t="s">
        <v>55571</v>
      </c>
    </row>
    <row r="19696" spans="1:20" customFormat="1" ht="15" x14ac:dyDescent="0.25">
      <c r="A19696" t="s">
        <v>24</v>
      </c>
      <c r="B19696" t="s">
        <v>10986</v>
      </c>
      <c r="C19696" t="str">
        <f>"A0096842"</f>
        <v>A0096842</v>
      </c>
      <c r="D19696" t="s">
        <v>55578</v>
      </c>
      <c r="E19696" t="s">
        <v>55579</v>
      </c>
      <c r="F19696" t="s">
        <v>14497</v>
      </c>
      <c r="G19696" t="s">
        <v>76</v>
      </c>
      <c r="H19696">
        <v>98004</v>
      </c>
      <c r="I19696" t="s">
        <v>30</v>
      </c>
      <c r="J19696" t="s">
        <v>171</v>
      </c>
      <c r="K19696" t="s">
        <v>2077</v>
      </c>
      <c r="N19696" t="s">
        <v>55580</v>
      </c>
      <c r="Q19696">
        <v>0</v>
      </c>
      <c r="R19696">
        <v>234</v>
      </c>
      <c r="S19696">
        <v>0</v>
      </c>
      <c r="T19696" t="s">
        <v>55581</v>
      </c>
    </row>
    <row r="19697" spans="1:20" customFormat="1" ht="15" x14ac:dyDescent="0.25">
      <c r="A19697" t="s">
        <v>24</v>
      </c>
      <c r="B19697" t="s">
        <v>675</v>
      </c>
      <c r="C19697" t="str">
        <f>"A0099828"</f>
        <v>A0099828</v>
      </c>
      <c r="D19697" t="s">
        <v>55582</v>
      </c>
      <c r="E19697" t="s">
        <v>55583</v>
      </c>
      <c r="F19697" t="s">
        <v>3955</v>
      </c>
      <c r="G19697" t="s">
        <v>81</v>
      </c>
      <c r="H19697">
        <v>33607</v>
      </c>
      <c r="I19697" t="s">
        <v>30</v>
      </c>
      <c r="J19697" t="s">
        <v>171</v>
      </c>
      <c r="K19697" t="s">
        <v>2077</v>
      </c>
      <c r="N19697" t="s">
        <v>55584</v>
      </c>
      <c r="O19697" t="s">
        <v>55452</v>
      </c>
      <c r="Q19697">
        <v>0</v>
      </c>
      <c r="R19697">
        <v>175</v>
      </c>
      <c r="S19697">
        <v>0</v>
      </c>
      <c r="T19697" t="s">
        <v>192</v>
      </c>
    </row>
    <row r="19698" spans="1:20" customFormat="1" ht="15" x14ac:dyDescent="0.25">
      <c r="A19698" t="s">
        <v>24</v>
      </c>
      <c r="B19698" t="s">
        <v>55585</v>
      </c>
      <c r="C19698" t="str">
        <f>"A0098792"</f>
        <v>A0098792</v>
      </c>
      <c r="D19698" t="s">
        <v>55586</v>
      </c>
      <c r="E19698" t="s">
        <v>55587</v>
      </c>
      <c r="F19698" t="s">
        <v>796</v>
      </c>
      <c r="G19698" t="s">
        <v>197</v>
      </c>
      <c r="H19698">
        <v>85701</v>
      </c>
      <c r="I19698" t="s">
        <v>30</v>
      </c>
      <c r="J19698" t="s">
        <v>171</v>
      </c>
      <c r="K19698" t="s">
        <v>2077</v>
      </c>
      <c r="N19698" t="s">
        <v>55588</v>
      </c>
      <c r="O19698" t="s">
        <v>55589</v>
      </c>
      <c r="Q19698">
        <v>0</v>
      </c>
      <c r="R19698">
        <v>136</v>
      </c>
      <c r="S19698">
        <v>0</v>
      </c>
      <c r="T19698" t="s">
        <v>55590</v>
      </c>
    </row>
    <row r="19699" spans="1:20" customFormat="1" ht="15" x14ac:dyDescent="0.25">
      <c r="A19699" t="s">
        <v>24</v>
      </c>
      <c r="B19699" t="s">
        <v>675</v>
      </c>
      <c r="C19699" t="str">
        <f>"A0094145"</f>
        <v>A0094145</v>
      </c>
      <c r="D19699" t="s">
        <v>55596</v>
      </c>
      <c r="E19699" t="s">
        <v>55597</v>
      </c>
      <c r="F19699" t="s">
        <v>55598</v>
      </c>
      <c r="G19699" t="s">
        <v>123</v>
      </c>
      <c r="H19699">
        <v>20745</v>
      </c>
      <c r="I19699" t="s">
        <v>30</v>
      </c>
      <c r="J19699" t="s">
        <v>171</v>
      </c>
      <c r="K19699" t="s">
        <v>2077</v>
      </c>
      <c r="N19699" t="s">
        <v>55599</v>
      </c>
      <c r="O19699" t="s">
        <v>55600</v>
      </c>
      <c r="Q19699">
        <v>0</v>
      </c>
      <c r="R19699">
        <v>192</v>
      </c>
      <c r="S19699">
        <v>0</v>
      </c>
      <c r="T19699" t="s">
        <v>55601</v>
      </c>
    </row>
    <row r="19700" spans="1:20" customFormat="1" ht="15" x14ac:dyDescent="0.25">
      <c r="A19700" t="s">
        <v>24</v>
      </c>
      <c r="B19700" t="s">
        <v>2387</v>
      </c>
      <c r="C19700" t="str">
        <f>"A0100121"</f>
        <v>A0100121</v>
      </c>
      <c r="D19700" t="s">
        <v>55602</v>
      </c>
      <c r="E19700" t="s">
        <v>55603</v>
      </c>
      <c r="F19700" t="s">
        <v>14988</v>
      </c>
      <c r="G19700" t="s">
        <v>899</v>
      </c>
      <c r="H19700">
        <v>1608</v>
      </c>
      <c r="I19700" t="s">
        <v>30</v>
      </c>
      <c r="J19700" t="s">
        <v>171</v>
      </c>
      <c r="K19700" t="s">
        <v>2077</v>
      </c>
      <c r="N19700" t="s">
        <v>55604</v>
      </c>
      <c r="Q19700">
        <v>0</v>
      </c>
      <c r="R19700">
        <v>170</v>
      </c>
      <c r="S19700">
        <v>0</v>
      </c>
      <c r="T19700" t="s">
        <v>55605</v>
      </c>
    </row>
    <row r="19701" spans="1:20" customFormat="1" ht="15" x14ac:dyDescent="0.25">
      <c r="A19701" t="s">
        <v>24</v>
      </c>
      <c r="B19701" t="s">
        <v>11170</v>
      </c>
      <c r="C19701" t="str">
        <f>"A0098688"</f>
        <v>A0098688</v>
      </c>
      <c r="D19701" t="s">
        <v>55606</v>
      </c>
      <c r="E19701" t="s">
        <v>55607</v>
      </c>
      <c r="F19701" t="s">
        <v>2094</v>
      </c>
      <c r="G19701" t="s">
        <v>52</v>
      </c>
      <c r="H19701">
        <v>75240</v>
      </c>
      <c r="I19701" t="s">
        <v>30</v>
      </c>
      <c r="J19701" t="s">
        <v>171</v>
      </c>
      <c r="K19701" t="s">
        <v>2077</v>
      </c>
      <c r="N19701" t="s">
        <v>55608</v>
      </c>
      <c r="O19701" t="s">
        <v>55609</v>
      </c>
      <c r="Q19701">
        <v>0</v>
      </c>
      <c r="R19701">
        <v>140</v>
      </c>
      <c r="S19701">
        <v>0</v>
      </c>
      <c r="T19701" t="s">
        <v>55610</v>
      </c>
    </row>
    <row r="19702" spans="1:20" customFormat="1" ht="15" x14ac:dyDescent="0.25">
      <c r="A19702" t="s">
        <v>24</v>
      </c>
      <c r="B19702" t="s">
        <v>11170</v>
      </c>
      <c r="C19702" t="str">
        <f>"A0068526"</f>
        <v>A0068526</v>
      </c>
      <c r="D19702" t="s">
        <v>55618</v>
      </c>
      <c r="E19702" t="s">
        <v>55619</v>
      </c>
      <c r="F19702" t="s">
        <v>2069</v>
      </c>
      <c r="G19702" t="s">
        <v>1170</v>
      </c>
      <c r="H19702">
        <v>70130</v>
      </c>
      <c r="I19702" t="s">
        <v>30</v>
      </c>
      <c r="J19702" t="s">
        <v>171</v>
      </c>
      <c r="K19702" t="s">
        <v>2077</v>
      </c>
      <c r="N19702" t="s">
        <v>55620</v>
      </c>
      <c r="O19702" t="s">
        <v>55621</v>
      </c>
      <c r="Q19702">
        <v>0</v>
      </c>
      <c r="R19702">
        <v>223</v>
      </c>
      <c r="S19702">
        <v>0</v>
      </c>
      <c r="T19702" t="s">
        <v>55622</v>
      </c>
    </row>
    <row r="19703" spans="1:20" customFormat="1" ht="15" x14ac:dyDescent="0.25">
      <c r="A19703" t="s">
        <v>24</v>
      </c>
      <c r="B19703" t="s">
        <v>5166</v>
      </c>
      <c r="C19703" t="str">
        <f>"A0094246"</f>
        <v>A0094246</v>
      </c>
      <c r="D19703" t="s">
        <v>55623</v>
      </c>
      <c r="E19703" t="s">
        <v>55624</v>
      </c>
      <c r="F19703" t="s">
        <v>6593</v>
      </c>
      <c r="G19703" t="s">
        <v>47</v>
      </c>
      <c r="H19703">
        <v>97204</v>
      </c>
      <c r="I19703" t="s">
        <v>30</v>
      </c>
      <c r="J19703" t="s">
        <v>171</v>
      </c>
      <c r="K19703" t="s">
        <v>2077</v>
      </c>
      <c r="N19703" t="s">
        <v>55625</v>
      </c>
      <c r="O19703" t="s">
        <v>55626</v>
      </c>
      <c r="Q19703">
        <v>0</v>
      </c>
      <c r="R19703">
        <v>204</v>
      </c>
      <c r="S19703">
        <v>0</v>
      </c>
      <c r="T19703" t="s">
        <v>55627</v>
      </c>
    </row>
    <row r="19704" spans="1:20" customFormat="1" ht="15" x14ac:dyDescent="0.25">
      <c r="A19704" t="s">
        <v>24</v>
      </c>
      <c r="B19704" t="s">
        <v>56074</v>
      </c>
      <c r="C19704" t="str">
        <f>"A0093197"</f>
        <v>A0093197</v>
      </c>
      <c r="D19704" t="s">
        <v>56075</v>
      </c>
      <c r="E19704" t="s">
        <v>56076</v>
      </c>
      <c r="F19704" t="s">
        <v>56077</v>
      </c>
      <c r="G19704" t="s">
        <v>58</v>
      </c>
      <c r="H19704">
        <v>29455</v>
      </c>
      <c r="I19704" t="s">
        <v>30</v>
      </c>
      <c r="J19704" t="s">
        <v>171</v>
      </c>
      <c r="K19704" t="s">
        <v>1450</v>
      </c>
      <c r="N19704" t="s">
        <v>56078</v>
      </c>
      <c r="O19704" t="s">
        <v>56079</v>
      </c>
      <c r="Q19704">
        <v>0</v>
      </c>
      <c r="R19704">
        <v>100</v>
      </c>
      <c r="S19704">
        <v>0</v>
      </c>
      <c r="T19704" t="s">
        <v>56080</v>
      </c>
    </row>
    <row r="19705" spans="1:20" customFormat="1" ht="15" x14ac:dyDescent="0.25">
      <c r="A19705" t="s">
        <v>24</v>
      </c>
      <c r="B19705" t="s">
        <v>35790</v>
      </c>
      <c r="C19705" t="str">
        <f>"A0099738"</f>
        <v>A0099738</v>
      </c>
      <c r="D19705" t="s">
        <v>56130</v>
      </c>
      <c r="E19705" t="s">
        <v>56131</v>
      </c>
      <c r="F19705" t="s">
        <v>2390</v>
      </c>
      <c r="G19705" t="s">
        <v>899</v>
      </c>
      <c r="H19705">
        <v>1803</v>
      </c>
      <c r="I19705" t="s">
        <v>30</v>
      </c>
      <c r="J19705" t="s">
        <v>171</v>
      </c>
      <c r="K19705" t="s">
        <v>163</v>
      </c>
      <c r="N19705" t="s">
        <v>56132</v>
      </c>
      <c r="Q19705">
        <v>0</v>
      </c>
      <c r="R19705">
        <v>147</v>
      </c>
      <c r="S19705">
        <v>0</v>
      </c>
      <c r="T19705" t="s">
        <v>56133</v>
      </c>
    </row>
    <row r="19706" spans="1:20" customFormat="1" ht="15" x14ac:dyDescent="0.25">
      <c r="A19706" t="s">
        <v>24</v>
      </c>
      <c r="B19706" t="s">
        <v>1583</v>
      </c>
      <c r="C19706" t="str">
        <f>"A0093896"</f>
        <v>A0093896</v>
      </c>
      <c r="D19706" t="s">
        <v>73121</v>
      </c>
      <c r="E19706" t="s">
        <v>73122</v>
      </c>
      <c r="F19706" t="s">
        <v>35740</v>
      </c>
      <c r="G19706" t="s">
        <v>4815</v>
      </c>
      <c r="H19706">
        <v>96761</v>
      </c>
      <c r="I19706" t="s">
        <v>30</v>
      </c>
      <c r="J19706" t="s">
        <v>2544</v>
      </c>
      <c r="K19706" t="s">
        <v>72841</v>
      </c>
      <c r="N19706" t="s">
        <v>73123</v>
      </c>
      <c r="O19706" t="s">
        <v>73124</v>
      </c>
      <c r="Q19706">
        <v>0</v>
      </c>
      <c r="R19706">
        <v>87</v>
      </c>
      <c r="S19706">
        <v>0</v>
      </c>
      <c r="T19706" t="s">
        <v>73125</v>
      </c>
    </row>
    <row r="19707" spans="1:20" customFormat="1" ht="15" x14ac:dyDescent="0.25">
      <c r="A19707" t="s">
        <v>24</v>
      </c>
      <c r="B19707" t="s">
        <v>35790</v>
      </c>
      <c r="C19707" t="str">
        <f>"A0095121"</f>
        <v>A0095121</v>
      </c>
      <c r="D19707" t="s">
        <v>56139</v>
      </c>
      <c r="E19707" t="s">
        <v>56140</v>
      </c>
      <c r="F19707" t="s">
        <v>372</v>
      </c>
      <c r="G19707" t="s">
        <v>52</v>
      </c>
      <c r="H19707">
        <v>78758</v>
      </c>
      <c r="I19707" t="s">
        <v>30</v>
      </c>
      <c r="J19707" t="s">
        <v>171</v>
      </c>
      <c r="K19707" t="s">
        <v>163</v>
      </c>
      <c r="N19707" t="s">
        <v>56141</v>
      </c>
      <c r="O19707" t="s">
        <v>56142</v>
      </c>
      <c r="Q19707">
        <v>0</v>
      </c>
      <c r="R19707">
        <v>171</v>
      </c>
      <c r="S19707">
        <v>0</v>
      </c>
      <c r="T19707" t="s">
        <v>56143</v>
      </c>
    </row>
    <row r="19708" spans="1:20" customFormat="1" ht="15" x14ac:dyDescent="0.25">
      <c r="A19708" t="s">
        <v>24</v>
      </c>
      <c r="B19708" t="s">
        <v>1583</v>
      </c>
      <c r="C19708" t="str">
        <f>"HY01111"</f>
        <v>HY01111</v>
      </c>
      <c r="D19708" t="s">
        <v>73130</v>
      </c>
      <c r="E19708" t="s">
        <v>73131</v>
      </c>
      <c r="F19708" t="s">
        <v>2543</v>
      </c>
      <c r="G19708" t="s">
        <v>190</v>
      </c>
      <c r="H19708">
        <v>80424</v>
      </c>
      <c r="I19708" t="s">
        <v>30</v>
      </c>
      <c r="J19708" t="s">
        <v>2544</v>
      </c>
      <c r="K19708" t="s">
        <v>72841</v>
      </c>
      <c r="N19708" t="s">
        <v>72928</v>
      </c>
      <c r="O19708" t="s">
        <v>73132</v>
      </c>
      <c r="Q19708">
        <v>0</v>
      </c>
      <c r="R19708">
        <v>42</v>
      </c>
      <c r="S19708">
        <v>0</v>
      </c>
      <c r="T19708" t="s">
        <v>73133</v>
      </c>
    </row>
    <row r="19709" spans="1:20" customFormat="1" ht="15" x14ac:dyDescent="0.25">
      <c r="A19709" t="s">
        <v>24</v>
      </c>
      <c r="B19709" t="s">
        <v>1583</v>
      </c>
      <c r="C19709" t="str">
        <f>"HY09132"</f>
        <v>HY09132</v>
      </c>
      <c r="D19709" t="s">
        <v>73134</v>
      </c>
      <c r="E19709" t="s">
        <v>73135</v>
      </c>
      <c r="F19709" t="s">
        <v>8595</v>
      </c>
      <c r="G19709" t="s">
        <v>190</v>
      </c>
      <c r="H19709">
        <v>81620</v>
      </c>
      <c r="I19709" t="s">
        <v>30</v>
      </c>
      <c r="J19709" t="s">
        <v>2544</v>
      </c>
      <c r="K19709" t="s">
        <v>72841</v>
      </c>
      <c r="N19709" t="s">
        <v>73136</v>
      </c>
      <c r="O19709" t="s">
        <v>73137</v>
      </c>
      <c r="Q19709">
        <v>0</v>
      </c>
      <c r="R19709">
        <v>50</v>
      </c>
      <c r="S19709">
        <v>0</v>
      </c>
      <c r="T19709" t="s">
        <v>73138</v>
      </c>
    </row>
    <row r="19710" spans="1:20" customFormat="1" ht="15" x14ac:dyDescent="0.25">
      <c r="A19710" t="s">
        <v>24</v>
      </c>
      <c r="B19710" t="s">
        <v>35790</v>
      </c>
      <c r="C19710" t="str">
        <f>"A0095122"</f>
        <v>A0095122</v>
      </c>
      <c r="D19710" t="s">
        <v>56148</v>
      </c>
      <c r="E19710" t="s">
        <v>56149</v>
      </c>
      <c r="F19710" t="s">
        <v>2241</v>
      </c>
      <c r="G19710" t="s">
        <v>110</v>
      </c>
      <c r="H19710">
        <v>94559</v>
      </c>
      <c r="I19710" t="s">
        <v>30</v>
      </c>
      <c r="J19710" t="s">
        <v>171</v>
      </c>
      <c r="K19710" t="s">
        <v>163</v>
      </c>
      <c r="N19710" t="s">
        <v>56150</v>
      </c>
      <c r="O19710" t="s">
        <v>56151</v>
      </c>
      <c r="Q19710">
        <v>0</v>
      </c>
      <c r="R19710">
        <v>183</v>
      </c>
      <c r="S19710">
        <v>0</v>
      </c>
      <c r="T19710" t="s">
        <v>56152</v>
      </c>
    </row>
    <row r="19711" spans="1:20" customFormat="1" ht="15" x14ac:dyDescent="0.25">
      <c r="A19711" t="s">
        <v>24</v>
      </c>
      <c r="B19711" t="s">
        <v>1583</v>
      </c>
      <c r="C19711" t="str">
        <f>"A0067035"</f>
        <v>A0067035</v>
      </c>
      <c r="D19711" t="s">
        <v>73144</v>
      </c>
      <c r="E19711" t="s">
        <v>73145</v>
      </c>
      <c r="F19711" t="s">
        <v>33206</v>
      </c>
      <c r="G19711" t="s">
        <v>197</v>
      </c>
      <c r="H19711">
        <v>86336</v>
      </c>
      <c r="I19711" t="s">
        <v>30</v>
      </c>
      <c r="J19711" t="s">
        <v>2544</v>
      </c>
      <c r="K19711" t="s">
        <v>72841</v>
      </c>
      <c r="N19711" t="s">
        <v>73146</v>
      </c>
      <c r="O19711" t="s">
        <v>73147</v>
      </c>
      <c r="Q19711">
        <v>0</v>
      </c>
      <c r="R19711">
        <v>207</v>
      </c>
      <c r="S19711">
        <v>0</v>
      </c>
      <c r="T19711" t="s">
        <v>73148</v>
      </c>
    </row>
    <row r="19712" spans="1:20" customFormat="1" ht="15" x14ac:dyDescent="0.25">
      <c r="A19712" t="s">
        <v>24</v>
      </c>
      <c r="B19712" t="s">
        <v>35790</v>
      </c>
      <c r="C19712" t="str">
        <f>"A0099761"</f>
        <v>A0099761</v>
      </c>
      <c r="D19712" t="s">
        <v>56153</v>
      </c>
      <c r="E19712" t="s">
        <v>56154</v>
      </c>
      <c r="F19712" t="s">
        <v>13036</v>
      </c>
      <c r="G19712" t="s">
        <v>76</v>
      </c>
      <c r="H19712">
        <v>98052</v>
      </c>
      <c r="I19712" t="s">
        <v>30</v>
      </c>
      <c r="J19712" t="s">
        <v>171</v>
      </c>
      <c r="K19712" t="s">
        <v>163</v>
      </c>
      <c r="N19712" t="s">
        <v>56155</v>
      </c>
      <c r="O19712" t="s">
        <v>56156</v>
      </c>
      <c r="Q19712">
        <v>0</v>
      </c>
      <c r="R19712">
        <v>160</v>
      </c>
      <c r="S19712">
        <v>0</v>
      </c>
      <c r="T19712" t="s">
        <v>56157</v>
      </c>
    </row>
    <row r="19713" spans="1:20" customFormat="1" ht="15" x14ac:dyDescent="0.25">
      <c r="A19713" t="s">
        <v>24</v>
      </c>
      <c r="B19713" t="s">
        <v>814</v>
      </c>
      <c r="C19713" t="str">
        <f>"A0078371"</f>
        <v>A0078371</v>
      </c>
      <c r="D19713" t="s">
        <v>56172</v>
      </c>
      <c r="E19713" t="s">
        <v>56173</v>
      </c>
      <c r="F19713" t="s">
        <v>1131</v>
      </c>
      <c r="G19713" t="s">
        <v>29</v>
      </c>
      <c r="H19713">
        <v>22201</v>
      </c>
      <c r="I19713" t="s">
        <v>30</v>
      </c>
      <c r="J19713" t="s">
        <v>171</v>
      </c>
      <c r="K19713" t="s">
        <v>1331</v>
      </c>
      <c r="N19713" t="s">
        <v>56174</v>
      </c>
      <c r="Q19713">
        <v>0</v>
      </c>
      <c r="R19713">
        <v>189</v>
      </c>
      <c r="S19713">
        <v>0</v>
      </c>
      <c r="T19713" t="s">
        <v>56175</v>
      </c>
    </row>
    <row r="19714" spans="1:20" customFormat="1" ht="15" x14ac:dyDescent="0.25">
      <c r="A19714" t="s">
        <v>24</v>
      </c>
      <c r="B19714" t="s">
        <v>56373</v>
      </c>
      <c r="C19714" t="str">
        <f>"A0099399"</f>
        <v>A0099399</v>
      </c>
      <c r="D19714" t="s">
        <v>56374</v>
      </c>
      <c r="E19714" t="s">
        <v>56375</v>
      </c>
      <c r="F19714" t="s">
        <v>1519</v>
      </c>
      <c r="G19714" t="s">
        <v>110</v>
      </c>
      <c r="H19714">
        <v>90004</v>
      </c>
      <c r="I19714" t="s">
        <v>30</v>
      </c>
      <c r="J19714" t="s">
        <v>171</v>
      </c>
      <c r="K19714" t="s">
        <v>163</v>
      </c>
      <c r="N19714" t="s">
        <v>56376</v>
      </c>
      <c r="Q19714">
        <v>0</v>
      </c>
      <c r="R19714">
        <v>68</v>
      </c>
      <c r="S19714">
        <v>0</v>
      </c>
      <c r="T19714" t="s">
        <v>56377</v>
      </c>
    </row>
    <row r="19715" spans="1:20" customFormat="1" ht="15" x14ac:dyDescent="0.25">
      <c r="A19715" t="s">
        <v>24</v>
      </c>
      <c r="B19715" t="s">
        <v>5843</v>
      </c>
      <c r="C19715" t="str">
        <f>"A0098974"</f>
        <v>A0098974</v>
      </c>
      <c r="D19715" t="s">
        <v>56580</v>
      </c>
      <c r="E19715" t="s">
        <v>56581</v>
      </c>
      <c r="F19715" t="s">
        <v>56582</v>
      </c>
      <c r="G19715" t="s">
        <v>47</v>
      </c>
      <c r="H19715">
        <v>97415</v>
      </c>
      <c r="I19715" t="s">
        <v>30</v>
      </c>
      <c r="J19715" t="s">
        <v>171</v>
      </c>
      <c r="K19715" t="s">
        <v>163</v>
      </c>
      <c r="N19715" t="s">
        <v>7237</v>
      </c>
      <c r="O19715" t="s">
        <v>34463</v>
      </c>
      <c r="Q19715">
        <v>0</v>
      </c>
      <c r="R19715">
        <v>102</v>
      </c>
      <c r="S19715">
        <v>0</v>
      </c>
      <c r="T19715" t="s">
        <v>56583</v>
      </c>
    </row>
    <row r="19716" spans="1:20" customFormat="1" ht="15" x14ac:dyDescent="0.25">
      <c r="A19716" t="s">
        <v>24</v>
      </c>
      <c r="B19716" t="s">
        <v>56594</v>
      </c>
      <c r="C19716" t="str">
        <f>"A0100550"</f>
        <v>A0100550</v>
      </c>
      <c r="D19716" t="s">
        <v>56595</v>
      </c>
      <c r="E19716" t="s">
        <v>56596</v>
      </c>
      <c r="F19716" t="s">
        <v>1208</v>
      </c>
      <c r="G19716" t="s">
        <v>899</v>
      </c>
      <c r="H19716">
        <v>2114</v>
      </c>
      <c r="I19716" t="s">
        <v>30</v>
      </c>
      <c r="J19716" t="s">
        <v>171</v>
      </c>
      <c r="K19716" t="s">
        <v>163</v>
      </c>
      <c r="N19716" t="s">
        <v>56597</v>
      </c>
      <c r="Q19716">
        <v>0</v>
      </c>
      <c r="R19716">
        <v>13</v>
      </c>
      <c r="S19716">
        <v>0</v>
      </c>
      <c r="T19716" t="s">
        <v>56598</v>
      </c>
    </row>
    <row r="19717" spans="1:20" customFormat="1" ht="15" x14ac:dyDescent="0.25">
      <c r="A19717" t="s">
        <v>24</v>
      </c>
      <c r="B19717" t="s">
        <v>2340</v>
      </c>
      <c r="C19717" t="str">
        <f>"A0067671"</f>
        <v>A0067671</v>
      </c>
      <c r="D19717" t="s">
        <v>56698</v>
      </c>
      <c r="E19717" t="s">
        <v>56699</v>
      </c>
      <c r="F19717" t="s">
        <v>356</v>
      </c>
      <c r="G19717" t="s">
        <v>52</v>
      </c>
      <c r="H19717">
        <v>78204</v>
      </c>
      <c r="I19717" t="s">
        <v>30</v>
      </c>
      <c r="J19717" t="s">
        <v>171</v>
      </c>
      <c r="K19717" t="s">
        <v>5354</v>
      </c>
      <c r="N19717" t="s">
        <v>56700</v>
      </c>
      <c r="Q19717">
        <v>0</v>
      </c>
      <c r="R19717">
        <v>72</v>
      </c>
      <c r="S19717">
        <v>0</v>
      </c>
      <c r="T19717" t="s">
        <v>56701</v>
      </c>
    </row>
    <row r="19718" spans="1:20" customFormat="1" ht="15" hidden="1" x14ac:dyDescent="0.25">
      <c r="A19718" t="s">
        <v>24</v>
      </c>
      <c r="B19718" t="s">
        <v>72975</v>
      </c>
      <c r="C19718" t="str">
        <f>"A0100460"</f>
        <v>A0100460</v>
      </c>
      <c r="D19718" t="s">
        <v>73176</v>
      </c>
      <c r="E19718" t="s">
        <v>73177</v>
      </c>
      <c r="F19718" t="s">
        <v>56215</v>
      </c>
      <c r="G19718" t="s">
        <v>56201</v>
      </c>
      <c r="H19718" t="s">
        <v>37163</v>
      </c>
      <c r="I19718" t="s">
        <v>56202</v>
      </c>
      <c r="J19718" t="s">
        <v>171</v>
      </c>
      <c r="K19718" t="s">
        <v>1202</v>
      </c>
      <c r="N19718" t="s">
        <v>73178</v>
      </c>
      <c r="O19718" t="s">
        <v>73179</v>
      </c>
      <c r="Q19718">
        <v>0</v>
      </c>
      <c r="R19718">
        <v>116</v>
      </c>
      <c r="S19718">
        <v>0</v>
      </c>
      <c r="T19718" t="s">
        <v>73180</v>
      </c>
    </row>
    <row r="19719" spans="1:20" customFormat="1" ht="15" x14ac:dyDescent="0.25">
      <c r="A19719" t="s">
        <v>24</v>
      </c>
      <c r="B19719" t="s">
        <v>56702</v>
      </c>
      <c r="C19719" t="str">
        <f>"A0093188"</f>
        <v>A0093188</v>
      </c>
      <c r="D19719" t="s">
        <v>56703</v>
      </c>
      <c r="E19719" t="s">
        <v>56704</v>
      </c>
      <c r="F19719" t="s">
        <v>2039</v>
      </c>
      <c r="G19719" t="s">
        <v>110</v>
      </c>
      <c r="H19719">
        <v>95060</v>
      </c>
      <c r="I19719" t="s">
        <v>30</v>
      </c>
      <c r="J19719" t="s">
        <v>171</v>
      </c>
      <c r="K19719" t="s">
        <v>5354</v>
      </c>
      <c r="N19719" t="s">
        <v>56705</v>
      </c>
      <c r="Q19719">
        <v>0</v>
      </c>
      <c r="R19719">
        <v>77</v>
      </c>
      <c r="S19719">
        <v>0</v>
      </c>
      <c r="T19719" t="s">
        <v>56706</v>
      </c>
    </row>
    <row r="19720" spans="1:20" customFormat="1" ht="15" x14ac:dyDescent="0.25">
      <c r="A19720" t="s">
        <v>24</v>
      </c>
      <c r="B19720" t="s">
        <v>2340</v>
      </c>
      <c r="C19720" t="str">
        <f>"88BW011"</f>
        <v>88BW011</v>
      </c>
      <c r="D19720" t="s">
        <v>56707</v>
      </c>
      <c r="E19720" t="s">
        <v>56708</v>
      </c>
      <c r="F19720" t="s">
        <v>281</v>
      </c>
      <c r="G19720" t="s">
        <v>123</v>
      </c>
      <c r="H19720">
        <v>21401</v>
      </c>
      <c r="I19720" t="s">
        <v>30</v>
      </c>
      <c r="J19720" t="s">
        <v>171</v>
      </c>
      <c r="K19720" t="s">
        <v>5354</v>
      </c>
      <c r="N19720" t="s">
        <v>56709</v>
      </c>
      <c r="Q19720">
        <v>0</v>
      </c>
      <c r="R19720">
        <v>95</v>
      </c>
      <c r="S19720">
        <v>0</v>
      </c>
      <c r="T19720" t="s">
        <v>56710</v>
      </c>
    </row>
    <row r="19721" spans="1:20" customFormat="1" ht="15" x14ac:dyDescent="0.25">
      <c r="A19721" t="s">
        <v>24</v>
      </c>
      <c r="B19721" t="s">
        <v>2340</v>
      </c>
      <c r="C19721" t="str">
        <f>"A0100300"</f>
        <v>A0100300</v>
      </c>
      <c r="D19721" t="s">
        <v>56711</v>
      </c>
      <c r="E19721" t="s">
        <v>56712</v>
      </c>
      <c r="F19721" t="s">
        <v>56713</v>
      </c>
      <c r="G19721" t="s">
        <v>29</v>
      </c>
      <c r="H19721">
        <v>22554</v>
      </c>
      <c r="I19721" t="s">
        <v>30</v>
      </c>
      <c r="J19721" t="s">
        <v>171</v>
      </c>
      <c r="K19721" t="s">
        <v>5354</v>
      </c>
      <c r="N19721" t="s">
        <v>56714</v>
      </c>
      <c r="Q19721">
        <v>0</v>
      </c>
      <c r="R19721">
        <v>118</v>
      </c>
      <c r="S19721">
        <v>0</v>
      </c>
      <c r="T19721" t="s">
        <v>56715</v>
      </c>
    </row>
    <row r="19722" spans="1:20" customFormat="1" ht="15" x14ac:dyDescent="0.25">
      <c r="A19722" t="s">
        <v>24</v>
      </c>
      <c r="B19722" t="s">
        <v>12991</v>
      </c>
      <c r="C19722" t="str">
        <f>"A0156492"</f>
        <v>A0156492</v>
      </c>
      <c r="D19722" t="s">
        <v>56716</v>
      </c>
      <c r="E19722" t="s">
        <v>56717</v>
      </c>
      <c r="F19722" t="s">
        <v>56718</v>
      </c>
      <c r="G19722" t="s">
        <v>110</v>
      </c>
      <c r="H19722">
        <v>95521</v>
      </c>
      <c r="I19722" t="s">
        <v>30</v>
      </c>
      <c r="J19722" t="s">
        <v>171</v>
      </c>
      <c r="K19722" t="s">
        <v>1259</v>
      </c>
      <c r="N19722" t="s">
        <v>12994</v>
      </c>
      <c r="O19722" t="s">
        <v>56719</v>
      </c>
      <c r="Q19722">
        <v>0</v>
      </c>
      <c r="R19722">
        <v>61</v>
      </c>
      <c r="S19722">
        <v>0</v>
      </c>
      <c r="T19722" t="s">
        <v>56720</v>
      </c>
    </row>
    <row r="19723" spans="1:20" customFormat="1" ht="15" x14ac:dyDescent="0.25">
      <c r="A19723" t="s">
        <v>24</v>
      </c>
      <c r="B19723" t="s">
        <v>1467</v>
      </c>
      <c r="C19723" t="str">
        <f>"A0151476"</f>
        <v>A0151476</v>
      </c>
      <c r="D19723" t="s">
        <v>56721</v>
      </c>
      <c r="E19723" t="s">
        <v>56722</v>
      </c>
      <c r="F19723" t="s">
        <v>56723</v>
      </c>
      <c r="G19723" t="s">
        <v>899</v>
      </c>
      <c r="H19723">
        <v>1742</v>
      </c>
      <c r="I19723" t="s">
        <v>30</v>
      </c>
      <c r="J19723" t="s">
        <v>171</v>
      </c>
      <c r="K19723" t="s">
        <v>1259</v>
      </c>
      <c r="N19723" t="s">
        <v>56724</v>
      </c>
      <c r="Q19723">
        <v>0</v>
      </c>
      <c r="R19723">
        <v>105</v>
      </c>
      <c r="S19723">
        <v>0</v>
      </c>
      <c r="T19723" t="s">
        <v>56725</v>
      </c>
    </row>
    <row r="19724" spans="1:20" customFormat="1" ht="15" x14ac:dyDescent="0.25">
      <c r="A19724" t="s">
        <v>24</v>
      </c>
      <c r="B19724" t="s">
        <v>6811</v>
      </c>
      <c r="C19724" t="str">
        <f>"A0100551"</f>
        <v>A0100551</v>
      </c>
      <c r="D19724" t="s">
        <v>56726</v>
      </c>
      <c r="E19724" t="s">
        <v>56727</v>
      </c>
      <c r="F19724" t="s">
        <v>56728</v>
      </c>
      <c r="G19724" t="s">
        <v>52</v>
      </c>
      <c r="H19724">
        <v>78597</v>
      </c>
      <c r="I19724" t="s">
        <v>30</v>
      </c>
      <c r="J19724" t="s">
        <v>171</v>
      </c>
      <c r="K19724" t="s">
        <v>5354</v>
      </c>
      <c r="N19724" t="s">
        <v>56729</v>
      </c>
      <c r="O19724" t="s">
        <v>56730</v>
      </c>
      <c r="Q19724">
        <v>0</v>
      </c>
      <c r="R19724">
        <v>63</v>
      </c>
      <c r="S19724">
        <v>0</v>
      </c>
      <c r="T19724" t="s">
        <v>56731</v>
      </c>
    </row>
    <row r="19725" spans="1:20" customFormat="1" ht="15" x14ac:dyDescent="0.25">
      <c r="A19725" t="s">
        <v>24</v>
      </c>
      <c r="B19725" t="s">
        <v>55987</v>
      </c>
      <c r="C19725" t="str">
        <f>"A0059918"</f>
        <v>A0059918</v>
      </c>
      <c r="D19725" t="s">
        <v>56732</v>
      </c>
      <c r="E19725" t="s">
        <v>56733</v>
      </c>
      <c r="F19725" t="s">
        <v>7223</v>
      </c>
      <c r="G19725" t="s">
        <v>71</v>
      </c>
      <c r="H19725">
        <v>54880</v>
      </c>
      <c r="I19725" t="s">
        <v>30</v>
      </c>
      <c r="J19725" t="s">
        <v>171</v>
      </c>
      <c r="K19725" t="s">
        <v>5354</v>
      </c>
      <c r="Q19725">
        <v>0</v>
      </c>
      <c r="R19725">
        <v>94</v>
      </c>
      <c r="S19725">
        <v>0</v>
      </c>
      <c r="T19725" t="s">
        <v>56734</v>
      </c>
    </row>
    <row r="19726" spans="1:20" customFormat="1" ht="15" x14ac:dyDescent="0.25">
      <c r="A19726" t="s">
        <v>24</v>
      </c>
      <c r="B19726" t="s">
        <v>56735</v>
      </c>
      <c r="C19726" t="str">
        <f>"A0098938"</f>
        <v>A0098938</v>
      </c>
      <c r="D19726" t="s">
        <v>56736</v>
      </c>
      <c r="E19726" t="s">
        <v>56737</v>
      </c>
      <c r="F19726" t="s">
        <v>56738</v>
      </c>
      <c r="G19726" t="s">
        <v>190</v>
      </c>
      <c r="H19726">
        <v>80601</v>
      </c>
      <c r="I19726" t="s">
        <v>30</v>
      </c>
      <c r="J19726" t="s">
        <v>171</v>
      </c>
      <c r="K19726" t="s">
        <v>5354</v>
      </c>
      <c r="N19726" t="s">
        <v>56739</v>
      </c>
      <c r="O19726" t="s">
        <v>56740</v>
      </c>
      <c r="Q19726">
        <v>0</v>
      </c>
      <c r="R19726">
        <v>58</v>
      </c>
      <c r="S19726">
        <v>0</v>
      </c>
      <c r="T19726" t="s">
        <v>56741</v>
      </c>
    </row>
    <row r="19727" spans="1:20" customFormat="1" ht="15" x14ac:dyDescent="0.25">
      <c r="A19727" t="s">
        <v>24</v>
      </c>
      <c r="B19727" t="s">
        <v>56742</v>
      </c>
      <c r="C19727" t="str">
        <f>"A0094342"</f>
        <v>A0094342</v>
      </c>
      <c r="D19727" t="s">
        <v>56743</v>
      </c>
      <c r="E19727" t="s">
        <v>56744</v>
      </c>
      <c r="F19727" t="s">
        <v>56745</v>
      </c>
      <c r="G19727" t="s">
        <v>110</v>
      </c>
      <c r="H19727">
        <v>95222</v>
      </c>
      <c r="I19727" t="s">
        <v>30</v>
      </c>
      <c r="J19727" t="s">
        <v>171</v>
      </c>
      <c r="K19727" t="s">
        <v>5354</v>
      </c>
      <c r="N19727" t="s">
        <v>56746</v>
      </c>
      <c r="Q19727">
        <v>0</v>
      </c>
      <c r="R19727">
        <v>41</v>
      </c>
      <c r="S19727">
        <v>0</v>
      </c>
      <c r="T19727" t="s">
        <v>56747</v>
      </c>
    </row>
    <row r="19728" spans="1:20" customFormat="1" ht="15" x14ac:dyDescent="0.25">
      <c r="A19728" t="s">
        <v>24</v>
      </c>
      <c r="B19728" t="s">
        <v>56748</v>
      </c>
      <c r="C19728" t="str">
        <f>"A0157357"</f>
        <v>A0157357</v>
      </c>
      <c r="D19728" t="s">
        <v>56749</v>
      </c>
      <c r="E19728" t="s">
        <v>56750</v>
      </c>
      <c r="F19728" t="s">
        <v>16267</v>
      </c>
      <c r="G19728" t="s">
        <v>29</v>
      </c>
      <c r="H19728">
        <v>23455</v>
      </c>
      <c r="I19728" t="s">
        <v>30</v>
      </c>
      <c r="J19728" t="s">
        <v>171</v>
      </c>
      <c r="K19728" t="s">
        <v>1259</v>
      </c>
      <c r="N19728" t="s">
        <v>56751</v>
      </c>
      <c r="O19728" t="s">
        <v>56752</v>
      </c>
      <c r="Q19728">
        <v>0</v>
      </c>
      <c r="R19728">
        <v>59</v>
      </c>
      <c r="S19728">
        <v>0</v>
      </c>
      <c r="T19728" t="s">
        <v>56753</v>
      </c>
    </row>
    <row r="19729" spans="1:20" customFormat="1" ht="15" x14ac:dyDescent="0.25">
      <c r="A19729" t="s">
        <v>24</v>
      </c>
      <c r="B19729" t="s">
        <v>4990</v>
      </c>
      <c r="C19729" t="str">
        <f>"A0092149"</f>
        <v>A0092149</v>
      </c>
      <c r="D19729" t="s">
        <v>56754</v>
      </c>
      <c r="E19729" t="s">
        <v>56755</v>
      </c>
      <c r="F19729" t="s">
        <v>56756</v>
      </c>
      <c r="G19729" t="s">
        <v>289</v>
      </c>
      <c r="H19729">
        <v>60525</v>
      </c>
      <c r="I19729" t="s">
        <v>30</v>
      </c>
      <c r="J19729" t="s">
        <v>171</v>
      </c>
      <c r="K19729" t="s">
        <v>5354</v>
      </c>
      <c r="N19729" t="s">
        <v>56757</v>
      </c>
      <c r="Q19729">
        <v>0</v>
      </c>
      <c r="R19729">
        <v>90</v>
      </c>
      <c r="S19729">
        <v>0</v>
      </c>
      <c r="T19729" t="s">
        <v>56758</v>
      </c>
    </row>
    <row r="19730" spans="1:20" customFormat="1" ht="15" x14ac:dyDescent="0.25">
      <c r="A19730" t="s">
        <v>24</v>
      </c>
      <c r="B19730" t="s">
        <v>12991</v>
      </c>
      <c r="C19730" t="str">
        <f>"A0158247"</f>
        <v>A0158247</v>
      </c>
      <c r="D19730" t="s">
        <v>56759</v>
      </c>
      <c r="E19730" t="s">
        <v>56760</v>
      </c>
      <c r="F19730" t="s">
        <v>56761</v>
      </c>
      <c r="G19730" t="s">
        <v>110</v>
      </c>
      <c r="H19730">
        <v>95540</v>
      </c>
      <c r="I19730" t="s">
        <v>30</v>
      </c>
      <c r="J19730" t="s">
        <v>171</v>
      </c>
      <c r="K19730" t="s">
        <v>1259</v>
      </c>
      <c r="N19730" t="s">
        <v>56762</v>
      </c>
      <c r="Q19730">
        <v>0</v>
      </c>
      <c r="R19730">
        <v>67</v>
      </c>
      <c r="S19730">
        <v>0</v>
      </c>
      <c r="T19730" t="s">
        <v>56763</v>
      </c>
    </row>
    <row r="19731" spans="1:20" customFormat="1" ht="15" x14ac:dyDescent="0.25">
      <c r="A19731" t="s">
        <v>24</v>
      </c>
      <c r="B19731" t="s">
        <v>56553</v>
      </c>
      <c r="C19731" t="str">
        <f>"A0089381"</f>
        <v>A0089381</v>
      </c>
      <c r="D19731" t="s">
        <v>56764</v>
      </c>
      <c r="E19731" t="s">
        <v>56765</v>
      </c>
      <c r="F19731" t="s">
        <v>4998</v>
      </c>
      <c r="G19731" t="s">
        <v>110</v>
      </c>
      <c r="H19731">
        <v>93561</v>
      </c>
      <c r="I19731" t="s">
        <v>30</v>
      </c>
      <c r="J19731" t="s">
        <v>171</v>
      </c>
      <c r="K19731" t="s">
        <v>5354</v>
      </c>
      <c r="N19731" t="s">
        <v>56556</v>
      </c>
      <c r="Q19731">
        <v>0</v>
      </c>
      <c r="R19731">
        <v>59</v>
      </c>
      <c r="S19731">
        <v>0</v>
      </c>
      <c r="T19731" t="s">
        <v>56766</v>
      </c>
    </row>
    <row r="19732" spans="1:20" customFormat="1" ht="15" x14ac:dyDescent="0.25">
      <c r="A19732" t="s">
        <v>24</v>
      </c>
      <c r="B19732" t="s">
        <v>12991</v>
      </c>
      <c r="C19732" t="str">
        <f>"A0099625"</f>
        <v>A0099625</v>
      </c>
      <c r="D19732" t="s">
        <v>56767</v>
      </c>
      <c r="E19732" t="s">
        <v>56768</v>
      </c>
      <c r="F19732" t="s">
        <v>2094</v>
      </c>
      <c r="G19732" t="s">
        <v>47</v>
      </c>
      <c r="H19732">
        <v>97338</v>
      </c>
      <c r="I19732" t="s">
        <v>30</v>
      </c>
      <c r="J19732" t="s">
        <v>171</v>
      </c>
      <c r="K19732" t="s">
        <v>5354</v>
      </c>
      <c r="N19732" t="s">
        <v>56769</v>
      </c>
      <c r="O19732" t="s">
        <v>56770</v>
      </c>
      <c r="Q19732">
        <v>0</v>
      </c>
      <c r="R19732">
        <v>43</v>
      </c>
      <c r="S19732">
        <v>0</v>
      </c>
      <c r="T19732" t="s">
        <v>56771</v>
      </c>
    </row>
    <row r="19733" spans="1:20" customFormat="1" ht="15" x14ac:dyDescent="0.25">
      <c r="A19733" t="s">
        <v>24</v>
      </c>
      <c r="B19733" t="s">
        <v>56772</v>
      </c>
      <c r="C19733" t="str">
        <f>"A0136995"</f>
        <v>A0136995</v>
      </c>
      <c r="D19733" t="s">
        <v>56773</v>
      </c>
      <c r="E19733" t="s">
        <v>56774</v>
      </c>
      <c r="F19733" t="s">
        <v>2376</v>
      </c>
      <c r="G19733" t="s">
        <v>110</v>
      </c>
      <c r="H19733">
        <v>93940</v>
      </c>
      <c r="I19733" t="s">
        <v>30</v>
      </c>
      <c r="J19733" t="s">
        <v>171</v>
      </c>
      <c r="K19733" t="s">
        <v>5354</v>
      </c>
      <c r="N19733" t="s">
        <v>56775</v>
      </c>
      <c r="Q19733">
        <v>0</v>
      </c>
      <c r="R19733">
        <v>41</v>
      </c>
      <c r="S19733">
        <v>0</v>
      </c>
      <c r="T19733" t="s">
        <v>56776</v>
      </c>
    </row>
    <row r="19734" spans="1:20" customFormat="1" ht="15" x14ac:dyDescent="0.25">
      <c r="A19734" t="s">
        <v>24</v>
      </c>
      <c r="B19734" t="s">
        <v>56777</v>
      </c>
      <c r="C19734" t="str">
        <f>"A0095377"</f>
        <v>A0095377</v>
      </c>
      <c r="D19734" t="s">
        <v>56778</v>
      </c>
      <c r="E19734" t="s">
        <v>56779</v>
      </c>
      <c r="F19734" t="s">
        <v>56780</v>
      </c>
      <c r="G19734" t="s">
        <v>110</v>
      </c>
      <c r="H19734">
        <v>92311</v>
      </c>
      <c r="I19734" t="s">
        <v>30</v>
      </c>
      <c r="J19734" t="s">
        <v>171</v>
      </c>
      <c r="K19734" t="s">
        <v>5354</v>
      </c>
      <c r="N19734" t="s">
        <v>56781</v>
      </c>
      <c r="Q19734">
        <v>0</v>
      </c>
      <c r="R19734">
        <v>95</v>
      </c>
      <c r="S19734">
        <v>0</v>
      </c>
      <c r="T19734" t="s">
        <v>56782</v>
      </c>
    </row>
    <row r="19735" spans="1:20" customFormat="1" ht="15" x14ac:dyDescent="0.25">
      <c r="A19735" t="s">
        <v>24</v>
      </c>
      <c r="B19735" t="s">
        <v>8742</v>
      </c>
      <c r="C19735" t="str">
        <f>"A0092553"</f>
        <v>A0092553</v>
      </c>
      <c r="D19735" t="s">
        <v>56783</v>
      </c>
      <c r="E19735" t="s">
        <v>56784</v>
      </c>
      <c r="F19735" t="s">
        <v>3593</v>
      </c>
      <c r="G19735" t="s">
        <v>1706</v>
      </c>
      <c r="H19735">
        <v>36303</v>
      </c>
      <c r="I19735" t="s">
        <v>30</v>
      </c>
      <c r="J19735" t="s">
        <v>171</v>
      </c>
      <c r="K19735" t="s">
        <v>1259</v>
      </c>
      <c r="N19735" t="s">
        <v>56785</v>
      </c>
      <c r="Q19735">
        <v>0</v>
      </c>
      <c r="R19735">
        <v>75</v>
      </c>
      <c r="S19735">
        <v>0</v>
      </c>
      <c r="T19735" t="s">
        <v>56786</v>
      </c>
    </row>
    <row r="19736" spans="1:20" customFormat="1" ht="15" x14ac:dyDescent="0.25">
      <c r="A19736" t="s">
        <v>24</v>
      </c>
      <c r="B19736" t="s">
        <v>56787</v>
      </c>
      <c r="C19736" t="str">
        <f>"A0094079"</f>
        <v>A0094079</v>
      </c>
      <c r="D19736" t="s">
        <v>11123</v>
      </c>
      <c r="E19736" t="s">
        <v>56788</v>
      </c>
      <c r="F19736" t="s">
        <v>56789</v>
      </c>
      <c r="G19736" t="s">
        <v>65</v>
      </c>
      <c r="H19736">
        <v>43123</v>
      </c>
      <c r="I19736" t="s">
        <v>30</v>
      </c>
      <c r="J19736" t="s">
        <v>171</v>
      </c>
      <c r="K19736" t="s">
        <v>5354</v>
      </c>
      <c r="N19736" t="s">
        <v>14311</v>
      </c>
      <c r="Q19736">
        <v>0</v>
      </c>
      <c r="R19736">
        <v>50</v>
      </c>
      <c r="S19736">
        <v>0</v>
      </c>
      <c r="T19736" t="s">
        <v>56790</v>
      </c>
    </row>
    <row r="19737" spans="1:20" customFormat="1" ht="15" x14ac:dyDescent="0.25">
      <c r="A19737" t="s">
        <v>24</v>
      </c>
      <c r="B19737" t="s">
        <v>1473</v>
      </c>
      <c r="C19737" t="str">
        <f>"A0090378"</f>
        <v>A0090378</v>
      </c>
      <c r="D19737" t="s">
        <v>56791</v>
      </c>
      <c r="E19737" t="s">
        <v>56792</v>
      </c>
      <c r="F19737" t="s">
        <v>3932</v>
      </c>
      <c r="G19737" t="s">
        <v>117</v>
      </c>
      <c r="H19737">
        <v>49548</v>
      </c>
      <c r="I19737" t="s">
        <v>30</v>
      </c>
      <c r="J19737" t="s">
        <v>171</v>
      </c>
      <c r="K19737" t="s">
        <v>5354</v>
      </c>
      <c r="N19737" t="s">
        <v>56793</v>
      </c>
      <c r="Q19737">
        <v>0</v>
      </c>
      <c r="R19737">
        <v>70</v>
      </c>
      <c r="S19737">
        <v>0</v>
      </c>
      <c r="T19737" t="s">
        <v>56794</v>
      </c>
    </row>
    <row r="19738" spans="1:20" customFormat="1" ht="15" hidden="1" x14ac:dyDescent="0.25">
      <c r="A19738" t="s">
        <v>24</v>
      </c>
      <c r="B19738" t="s">
        <v>73265</v>
      </c>
      <c r="C19738" t="str">
        <f>"A0147063"</f>
        <v>A0147063</v>
      </c>
      <c r="D19738" t="s">
        <v>73266</v>
      </c>
      <c r="E19738" t="s">
        <v>73267</v>
      </c>
      <c r="F19738" t="s">
        <v>8456</v>
      </c>
      <c r="G19738" t="s">
        <v>1457</v>
      </c>
      <c r="H19738" t="s">
        <v>73268</v>
      </c>
      <c r="I19738" t="s">
        <v>1459</v>
      </c>
      <c r="J19738" t="s">
        <v>171</v>
      </c>
      <c r="K19738" t="s">
        <v>1202</v>
      </c>
      <c r="N19738" t="s">
        <v>73269</v>
      </c>
      <c r="Q19738">
        <v>0</v>
      </c>
      <c r="R19738">
        <v>127</v>
      </c>
      <c r="S19738">
        <v>0</v>
      </c>
      <c r="T19738" t="s">
        <v>73270</v>
      </c>
    </row>
    <row r="19739" spans="1:20" customFormat="1" ht="15" x14ac:dyDescent="0.25">
      <c r="A19739" t="s">
        <v>24</v>
      </c>
      <c r="B19739" t="s">
        <v>56702</v>
      </c>
      <c r="C19739" t="str">
        <f>"A0093186"</f>
        <v>A0093186</v>
      </c>
      <c r="D19739" t="s">
        <v>56795</v>
      </c>
      <c r="E19739" t="s">
        <v>56796</v>
      </c>
      <c r="F19739" t="s">
        <v>15046</v>
      </c>
      <c r="G19739" t="s">
        <v>110</v>
      </c>
      <c r="H19739">
        <v>94063</v>
      </c>
      <c r="I19739" t="s">
        <v>30</v>
      </c>
      <c r="J19739" t="s">
        <v>171</v>
      </c>
      <c r="K19739" t="s">
        <v>5354</v>
      </c>
      <c r="N19739" t="s">
        <v>56797</v>
      </c>
      <c r="Q19739">
        <v>0</v>
      </c>
      <c r="R19739">
        <v>29</v>
      </c>
      <c r="S19739">
        <v>0</v>
      </c>
      <c r="T19739" t="s">
        <v>56798</v>
      </c>
    </row>
    <row r="19740" spans="1:20" customFormat="1" ht="15" hidden="1" x14ac:dyDescent="0.25">
      <c r="A19740" t="s">
        <v>24</v>
      </c>
      <c r="B19740" t="s">
        <v>72975</v>
      </c>
      <c r="C19740" t="str">
        <f>"A0096956"</f>
        <v>A0096956</v>
      </c>
      <c r="D19740" t="s">
        <v>73277</v>
      </c>
      <c r="E19740" t="s">
        <v>73278</v>
      </c>
      <c r="F19740" t="s">
        <v>55735</v>
      </c>
      <c r="G19740" t="s">
        <v>4528</v>
      </c>
      <c r="H19740">
        <v>38088</v>
      </c>
      <c r="I19740" t="s">
        <v>2408</v>
      </c>
      <c r="J19740" t="s">
        <v>171</v>
      </c>
      <c r="K19740" t="s">
        <v>1202</v>
      </c>
      <c r="N19740" t="s">
        <v>73279</v>
      </c>
      <c r="Q19740">
        <v>0</v>
      </c>
      <c r="R19740">
        <v>145</v>
      </c>
      <c r="S19740">
        <v>0</v>
      </c>
      <c r="T19740" t="s">
        <v>73280</v>
      </c>
    </row>
    <row r="19741" spans="1:20" customFormat="1" ht="15" x14ac:dyDescent="0.25">
      <c r="A19741" t="s">
        <v>24</v>
      </c>
      <c r="B19741" t="s">
        <v>32773</v>
      </c>
      <c r="C19741" t="str">
        <f>"A0117290"</f>
        <v>A0117290</v>
      </c>
      <c r="D19741" t="s">
        <v>56799</v>
      </c>
      <c r="E19741" t="s">
        <v>56800</v>
      </c>
      <c r="F19741" t="s">
        <v>56801</v>
      </c>
      <c r="G19741" t="s">
        <v>1170</v>
      </c>
      <c r="H19741">
        <v>70760</v>
      </c>
      <c r="I19741" t="s">
        <v>30</v>
      </c>
      <c r="J19741" t="s">
        <v>171</v>
      </c>
      <c r="K19741" t="s">
        <v>5354</v>
      </c>
      <c r="N19741" t="s">
        <v>56802</v>
      </c>
      <c r="Q19741">
        <v>0</v>
      </c>
      <c r="R19741">
        <v>62</v>
      </c>
      <c r="S19741">
        <v>0</v>
      </c>
      <c r="T19741" t="s">
        <v>56803</v>
      </c>
    </row>
    <row r="19742" spans="1:20" customFormat="1" ht="15" x14ac:dyDescent="0.25">
      <c r="A19742" t="s">
        <v>24</v>
      </c>
      <c r="B19742" t="s">
        <v>8850</v>
      </c>
      <c r="C19742" t="str">
        <f>"A0062945"</f>
        <v>A0062945</v>
      </c>
      <c r="D19742" t="s">
        <v>56804</v>
      </c>
      <c r="E19742" t="s">
        <v>56805</v>
      </c>
      <c r="F19742" t="s">
        <v>659</v>
      </c>
      <c r="G19742" t="s">
        <v>81</v>
      </c>
      <c r="H19742">
        <v>32606</v>
      </c>
      <c r="I19742" t="s">
        <v>30</v>
      </c>
      <c r="J19742" t="s">
        <v>171</v>
      </c>
      <c r="K19742" t="s">
        <v>5354</v>
      </c>
      <c r="N19742" t="s">
        <v>56806</v>
      </c>
      <c r="Q19742">
        <v>0</v>
      </c>
      <c r="R19742">
        <v>152</v>
      </c>
      <c r="S19742">
        <v>0</v>
      </c>
      <c r="T19742" t="s">
        <v>56807</v>
      </c>
    </row>
    <row r="19743" spans="1:20" customFormat="1" ht="15" x14ac:dyDescent="0.25">
      <c r="A19743" t="s">
        <v>24</v>
      </c>
      <c r="B19743" t="s">
        <v>12901</v>
      </c>
      <c r="C19743" t="str">
        <f>"A0092534"</f>
        <v>A0092534</v>
      </c>
      <c r="D19743" t="s">
        <v>56808</v>
      </c>
      <c r="E19743" t="s">
        <v>56809</v>
      </c>
      <c r="F19743" t="s">
        <v>1195</v>
      </c>
      <c r="G19743" t="s">
        <v>840</v>
      </c>
      <c r="H19743">
        <v>40324</v>
      </c>
      <c r="I19743" t="s">
        <v>30</v>
      </c>
      <c r="J19743" t="s">
        <v>171</v>
      </c>
      <c r="K19743" t="s">
        <v>5354</v>
      </c>
      <c r="N19743" t="s">
        <v>56810</v>
      </c>
      <c r="Q19743">
        <v>0</v>
      </c>
      <c r="R19743">
        <v>125</v>
      </c>
      <c r="S19743">
        <v>0</v>
      </c>
      <c r="T19743" t="s">
        <v>56811</v>
      </c>
    </row>
    <row r="19744" spans="1:20" customFormat="1" ht="15" x14ac:dyDescent="0.25">
      <c r="A19744" t="s">
        <v>24</v>
      </c>
      <c r="B19744" t="s">
        <v>8523</v>
      </c>
      <c r="C19744" t="str">
        <f>"A0092441"</f>
        <v>A0092441</v>
      </c>
      <c r="D19744" t="s">
        <v>56812</v>
      </c>
      <c r="E19744" t="s">
        <v>56813</v>
      </c>
      <c r="F19744" t="s">
        <v>56814</v>
      </c>
      <c r="G19744" t="s">
        <v>52</v>
      </c>
      <c r="H19744">
        <v>76048</v>
      </c>
      <c r="I19744" t="s">
        <v>30</v>
      </c>
      <c r="J19744" t="s">
        <v>171</v>
      </c>
      <c r="K19744" t="s">
        <v>5354</v>
      </c>
      <c r="N19744" t="s">
        <v>15383</v>
      </c>
      <c r="Q19744">
        <v>0</v>
      </c>
      <c r="R19744">
        <v>56</v>
      </c>
      <c r="S19744">
        <v>0</v>
      </c>
      <c r="T19744" t="s">
        <v>56815</v>
      </c>
    </row>
    <row r="19745" spans="1:20" customFormat="1" ht="15" x14ac:dyDescent="0.25">
      <c r="A19745" t="s">
        <v>24</v>
      </c>
      <c r="B19745" t="s">
        <v>56166</v>
      </c>
      <c r="C19745" t="str">
        <f>"A0059664"</f>
        <v>A0059664</v>
      </c>
      <c r="D19745" t="s">
        <v>56821</v>
      </c>
      <c r="E19745" t="s">
        <v>56822</v>
      </c>
      <c r="F19745" t="s">
        <v>4385</v>
      </c>
      <c r="G19745" t="s">
        <v>99</v>
      </c>
      <c r="H19745">
        <v>11209</v>
      </c>
      <c r="I19745" t="s">
        <v>30</v>
      </c>
      <c r="J19745" t="s">
        <v>171</v>
      </c>
      <c r="K19745" t="s">
        <v>5354</v>
      </c>
      <c r="N19745" t="s">
        <v>56823</v>
      </c>
      <c r="O19745" t="s">
        <v>56824</v>
      </c>
      <c r="Q19745">
        <v>0</v>
      </c>
      <c r="R19745">
        <v>70</v>
      </c>
      <c r="S19745">
        <v>0</v>
      </c>
      <c r="T19745" t="s">
        <v>56825</v>
      </c>
    </row>
    <row r="19746" spans="1:20" customFormat="1" ht="15" x14ac:dyDescent="0.25">
      <c r="A19746" t="s">
        <v>24</v>
      </c>
      <c r="B19746" t="s">
        <v>56826</v>
      </c>
      <c r="C19746" t="str">
        <f>"A0157355"</f>
        <v>A0157355</v>
      </c>
      <c r="D19746" t="s">
        <v>56827</v>
      </c>
      <c r="E19746" t="s">
        <v>56828</v>
      </c>
      <c r="F19746" t="s">
        <v>56829</v>
      </c>
      <c r="G19746" t="s">
        <v>1363</v>
      </c>
      <c r="H19746">
        <v>3874</v>
      </c>
      <c r="I19746" t="s">
        <v>30</v>
      </c>
      <c r="J19746" t="s">
        <v>171</v>
      </c>
      <c r="K19746" t="s">
        <v>1259</v>
      </c>
      <c r="N19746" t="s">
        <v>56830</v>
      </c>
      <c r="Q19746">
        <v>0</v>
      </c>
      <c r="R19746">
        <v>46</v>
      </c>
      <c r="S19746">
        <v>0</v>
      </c>
      <c r="T19746" t="s">
        <v>56831</v>
      </c>
    </row>
    <row r="19747" spans="1:20" customFormat="1" ht="15" x14ac:dyDescent="0.25">
      <c r="A19747" t="s">
        <v>24</v>
      </c>
      <c r="B19747" t="s">
        <v>56826</v>
      </c>
      <c r="C19747" t="str">
        <f>"15308"</f>
        <v>15308</v>
      </c>
      <c r="D19747" t="s">
        <v>56832</v>
      </c>
      <c r="E19747" t="s">
        <v>56833</v>
      </c>
      <c r="F19747" t="s">
        <v>56834</v>
      </c>
      <c r="G19747" t="s">
        <v>615</v>
      </c>
      <c r="H19747">
        <v>6114</v>
      </c>
      <c r="I19747" t="s">
        <v>30</v>
      </c>
      <c r="J19747" t="s">
        <v>171</v>
      </c>
      <c r="K19747" t="s">
        <v>5354</v>
      </c>
      <c r="N19747" t="s">
        <v>56835</v>
      </c>
      <c r="Q19747">
        <v>0</v>
      </c>
      <c r="R19747">
        <v>129</v>
      </c>
      <c r="S19747">
        <v>0</v>
      </c>
      <c r="T19747" t="s">
        <v>56836</v>
      </c>
    </row>
    <row r="19748" spans="1:20" customFormat="1" ht="15" x14ac:dyDescent="0.25">
      <c r="A19748" t="s">
        <v>24</v>
      </c>
      <c r="B19748" t="s">
        <v>56837</v>
      </c>
      <c r="C19748" t="str">
        <f>"A0095457"</f>
        <v>A0095457</v>
      </c>
      <c r="D19748" t="s">
        <v>56838</v>
      </c>
      <c r="E19748" t="s">
        <v>56839</v>
      </c>
      <c r="F19748" t="s">
        <v>1531</v>
      </c>
      <c r="G19748" t="s">
        <v>76</v>
      </c>
      <c r="H19748">
        <v>98226</v>
      </c>
      <c r="I19748" t="s">
        <v>30</v>
      </c>
      <c r="J19748" t="s">
        <v>171</v>
      </c>
      <c r="K19748" t="s">
        <v>5354</v>
      </c>
      <c r="N19748" t="s">
        <v>56840</v>
      </c>
      <c r="Q19748">
        <v>0</v>
      </c>
      <c r="R19748">
        <v>90</v>
      </c>
      <c r="S19748">
        <v>0</v>
      </c>
      <c r="T19748" t="s">
        <v>56841</v>
      </c>
    </row>
    <row r="19749" spans="1:20" customFormat="1" ht="15" x14ac:dyDescent="0.25">
      <c r="A19749" t="s">
        <v>24</v>
      </c>
      <c r="B19749" t="s">
        <v>56842</v>
      </c>
      <c r="C19749" t="str">
        <f>"88CI074"</f>
        <v>88CI074</v>
      </c>
      <c r="D19749" t="s">
        <v>56843</v>
      </c>
      <c r="E19749" t="s">
        <v>56844</v>
      </c>
      <c r="F19749" t="s">
        <v>56845</v>
      </c>
      <c r="G19749" t="s">
        <v>65</v>
      </c>
      <c r="H19749">
        <v>43026</v>
      </c>
      <c r="I19749" t="s">
        <v>30</v>
      </c>
      <c r="J19749" t="s">
        <v>171</v>
      </c>
      <c r="K19749" t="s">
        <v>5354</v>
      </c>
      <c r="N19749" t="s">
        <v>56846</v>
      </c>
      <c r="Q19749">
        <v>0</v>
      </c>
      <c r="R19749">
        <v>60</v>
      </c>
      <c r="S19749">
        <v>0</v>
      </c>
      <c r="T19749" t="s">
        <v>56847</v>
      </c>
    </row>
    <row r="19750" spans="1:20" customFormat="1" ht="15" x14ac:dyDescent="0.25">
      <c r="A19750" t="s">
        <v>24</v>
      </c>
      <c r="B19750" t="s">
        <v>56848</v>
      </c>
      <c r="C19750" t="str">
        <f>"A0099965"</f>
        <v>A0099965</v>
      </c>
      <c r="D19750" t="s">
        <v>56849</v>
      </c>
      <c r="E19750" t="s">
        <v>56850</v>
      </c>
      <c r="F19750" t="s">
        <v>8751</v>
      </c>
      <c r="G19750" t="s">
        <v>85</v>
      </c>
      <c r="H19750">
        <v>72031</v>
      </c>
      <c r="I19750" t="s">
        <v>30</v>
      </c>
      <c r="J19750" t="s">
        <v>171</v>
      </c>
      <c r="K19750" t="s">
        <v>5354</v>
      </c>
      <c r="N19750" t="s">
        <v>56851</v>
      </c>
      <c r="Q19750">
        <v>0</v>
      </c>
      <c r="R19750">
        <v>36</v>
      </c>
      <c r="S19750">
        <v>0</v>
      </c>
      <c r="T19750" t="s">
        <v>56852</v>
      </c>
    </row>
    <row r="19751" spans="1:20" customFormat="1" ht="15" hidden="1" x14ac:dyDescent="0.25">
      <c r="A19751" t="s">
        <v>24</v>
      </c>
      <c r="B19751" t="s">
        <v>72975</v>
      </c>
      <c r="C19751" t="str">
        <f>"A0093680"</f>
        <v>A0093680</v>
      </c>
      <c r="D19751" t="s">
        <v>73328</v>
      </c>
      <c r="E19751" t="s">
        <v>73329</v>
      </c>
      <c r="F19751" t="s">
        <v>73330</v>
      </c>
      <c r="G19751" t="s">
        <v>55169</v>
      </c>
      <c r="H19751">
        <v>24154</v>
      </c>
      <c r="I19751" t="s">
        <v>2408</v>
      </c>
      <c r="J19751" t="s">
        <v>171</v>
      </c>
      <c r="K19751" t="s">
        <v>1202</v>
      </c>
      <c r="N19751" t="s">
        <v>73331</v>
      </c>
      <c r="Q19751">
        <v>0</v>
      </c>
      <c r="R19751">
        <v>140</v>
      </c>
      <c r="S19751">
        <v>0</v>
      </c>
      <c r="T19751" t="s">
        <v>73332</v>
      </c>
    </row>
    <row r="19752" spans="1:20" customFormat="1" ht="15" x14ac:dyDescent="0.25">
      <c r="A19752" t="s">
        <v>24</v>
      </c>
      <c r="B19752" t="s">
        <v>3221</v>
      </c>
      <c r="C19752" t="str">
        <f>"A0057272"</f>
        <v>A0057272</v>
      </c>
      <c r="D19752" t="s">
        <v>56853</v>
      </c>
      <c r="E19752" t="s">
        <v>56854</v>
      </c>
      <c r="F19752" t="s">
        <v>56855</v>
      </c>
      <c r="G19752" t="s">
        <v>2391</v>
      </c>
      <c r="H19752">
        <v>5701</v>
      </c>
      <c r="I19752" t="s">
        <v>30</v>
      </c>
      <c r="J19752" t="s">
        <v>171</v>
      </c>
      <c r="K19752" t="s">
        <v>5354</v>
      </c>
      <c r="N19752" t="s">
        <v>56856</v>
      </c>
      <c r="Q19752">
        <v>0</v>
      </c>
      <c r="R19752">
        <v>112</v>
      </c>
      <c r="S19752">
        <v>0</v>
      </c>
      <c r="T19752" t="s">
        <v>56857</v>
      </c>
    </row>
    <row r="19753" spans="1:20" customFormat="1" ht="15" x14ac:dyDescent="0.25">
      <c r="A19753" t="s">
        <v>24</v>
      </c>
      <c r="B19753" t="s">
        <v>56842</v>
      </c>
      <c r="C19753" t="str">
        <f>"SF07786"</f>
        <v>SF07786</v>
      </c>
      <c r="D19753" t="s">
        <v>56858</v>
      </c>
      <c r="E19753" t="s">
        <v>56859</v>
      </c>
      <c r="F19753" t="s">
        <v>56860</v>
      </c>
      <c r="G19753" t="s">
        <v>65</v>
      </c>
      <c r="H19753">
        <v>43950</v>
      </c>
      <c r="I19753" t="s">
        <v>30</v>
      </c>
      <c r="J19753" t="s">
        <v>171</v>
      </c>
      <c r="K19753" t="s">
        <v>1259</v>
      </c>
      <c r="N19753" t="s">
        <v>56861</v>
      </c>
      <c r="Q19753">
        <v>0</v>
      </c>
      <c r="R19753">
        <v>65</v>
      </c>
      <c r="S19753">
        <v>0</v>
      </c>
      <c r="T19753" t="s">
        <v>56862</v>
      </c>
    </row>
    <row r="19754" spans="1:20" customFormat="1" ht="15" x14ac:dyDescent="0.25">
      <c r="A19754" t="s">
        <v>24</v>
      </c>
      <c r="B19754" t="s">
        <v>32773</v>
      </c>
      <c r="C19754" t="str">
        <f>"A0067220"</f>
        <v>A0067220</v>
      </c>
      <c r="D19754" t="s">
        <v>56863</v>
      </c>
      <c r="E19754" t="s">
        <v>56864</v>
      </c>
      <c r="F19754" t="s">
        <v>2352</v>
      </c>
      <c r="G19754" t="s">
        <v>840</v>
      </c>
      <c r="H19754">
        <v>41042</v>
      </c>
      <c r="I19754" t="s">
        <v>30</v>
      </c>
      <c r="J19754" t="s">
        <v>171</v>
      </c>
      <c r="K19754" t="s">
        <v>1259</v>
      </c>
      <c r="N19754" t="s">
        <v>56865</v>
      </c>
      <c r="Q19754">
        <v>0</v>
      </c>
      <c r="R19754">
        <v>51</v>
      </c>
      <c r="S19754">
        <v>0</v>
      </c>
      <c r="T19754" t="s">
        <v>56866</v>
      </c>
    </row>
    <row r="19755" spans="1:20" customFormat="1" ht="15" x14ac:dyDescent="0.25">
      <c r="A19755" t="s">
        <v>24</v>
      </c>
      <c r="B19755" t="s">
        <v>56777</v>
      </c>
      <c r="C19755" t="str">
        <f>"A0095378"</f>
        <v>A0095378</v>
      </c>
      <c r="D19755" t="s">
        <v>56873</v>
      </c>
      <c r="E19755" t="s">
        <v>56874</v>
      </c>
      <c r="F19755" t="s">
        <v>220</v>
      </c>
      <c r="G19755" t="s">
        <v>221</v>
      </c>
      <c r="H19755">
        <v>89119</v>
      </c>
      <c r="I19755" t="s">
        <v>30</v>
      </c>
      <c r="J19755" t="s">
        <v>171</v>
      </c>
      <c r="K19755" t="s">
        <v>5354</v>
      </c>
      <c r="N19755" t="s">
        <v>56875</v>
      </c>
      <c r="Q19755">
        <v>0</v>
      </c>
      <c r="R19755">
        <v>100</v>
      </c>
      <c r="S19755">
        <v>0</v>
      </c>
      <c r="T19755" t="s">
        <v>56876</v>
      </c>
    </row>
    <row r="19756" spans="1:20" customFormat="1" ht="15" x14ac:dyDescent="0.25">
      <c r="A19756" t="s">
        <v>24</v>
      </c>
      <c r="B19756" t="s">
        <v>56553</v>
      </c>
      <c r="C19756" t="str">
        <f>"A0089382"</f>
        <v>A0089382</v>
      </c>
      <c r="D19756" t="s">
        <v>56877</v>
      </c>
      <c r="E19756" t="s">
        <v>56878</v>
      </c>
      <c r="F19756" t="s">
        <v>4998</v>
      </c>
      <c r="G19756" t="s">
        <v>110</v>
      </c>
      <c r="H19756">
        <v>93561</v>
      </c>
      <c r="I19756" t="s">
        <v>30</v>
      </c>
      <c r="J19756" t="s">
        <v>171</v>
      </c>
      <c r="K19756" t="s">
        <v>5354</v>
      </c>
      <c r="N19756" t="s">
        <v>56556</v>
      </c>
      <c r="Q19756">
        <v>0</v>
      </c>
      <c r="R19756">
        <v>72</v>
      </c>
      <c r="S19756">
        <v>0</v>
      </c>
      <c r="T19756" t="s">
        <v>56879</v>
      </c>
    </row>
    <row r="19757" spans="1:20" customFormat="1" ht="15" x14ac:dyDescent="0.25">
      <c r="A19757" t="s">
        <v>24</v>
      </c>
      <c r="B19757" t="s">
        <v>56702</v>
      </c>
      <c r="C19757" t="str">
        <f>"A0093187"</f>
        <v>A0093187</v>
      </c>
      <c r="D19757" t="s">
        <v>56880</v>
      </c>
      <c r="E19757" t="s">
        <v>56881</v>
      </c>
      <c r="F19757" t="s">
        <v>11631</v>
      </c>
      <c r="G19757" t="s">
        <v>110</v>
      </c>
      <c r="H19757">
        <v>94040</v>
      </c>
      <c r="I19757" t="s">
        <v>30</v>
      </c>
      <c r="J19757" t="s">
        <v>171</v>
      </c>
      <c r="K19757" t="s">
        <v>5354</v>
      </c>
      <c r="N19757" t="s">
        <v>56882</v>
      </c>
      <c r="Q19757">
        <v>0</v>
      </c>
      <c r="R19757">
        <v>72</v>
      </c>
      <c r="S19757">
        <v>0</v>
      </c>
      <c r="T19757" t="s">
        <v>56883</v>
      </c>
    </row>
    <row r="19758" spans="1:20" customFormat="1" ht="15" x14ac:dyDescent="0.25">
      <c r="A19758" t="s">
        <v>24</v>
      </c>
      <c r="B19758" t="s">
        <v>34154</v>
      </c>
      <c r="C19758" t="str">
        <f>"A0156798"</f>
        <v>A0156798</v>
      </c>
      <c r="D19758" t="s">
        <v>56884</v>
      </c>
      <c r="E19758" t="s">
        <v>56885</v>
      </c>
      <c r="F19758" t="s">
        <v>10379</v>
      </c>
      <c r="G19758" t="s">
        <v>81</v>
      </c>
      <c r="H19758">
        <v>34103</v>
      </c>
      <c r="I19758" t="s">
        <v>30</v>
      </c>
      <c r="J19758" t="s">
        <v>171</v>
      </c>
      <c r="K19758" t="s">
        <v>1259</v>
      </c>
      <c r="Q19758">
        <v>0</v>
      </c>
      <c r="R19758">
        <v>110</v>
      </c>
      <c r="S19758">
        <v>0</v>
      </c>
      <c r="T19758" t="s">
        <v>56886</v>
      </c>
    </row>
    <row r="19759" spans="1:20" customFormat="1" ht="15" x14ac:dyDescent="0.25">
      <c r="A19759" t="s">
        <v>24</v>
      </c>
      <c r="B19759" t="s">
        <v>2180</v>
      </c>
      <c r="C19759" t="str">
        <f>"A0099880"</f>
        <v>A0099880</v>
      </c>
      <c r="D19759" t="s">
        <v>56887</v>
      </c>
      <c r="E19759" t="s">
        <v>56888</v>
      </c>
      <c r="F19759" t="s">
        <v>1833</v>
      </c>
      <c r="G19759" t="s">
        <v>1369</v>
      </c>
      <c r="H19759">
        <v>38652</v>
      </c>
      <c r="I19759" t="s">
        <v>30</v>
      </c>
      <c r="J19759" t="s">
        <v>171</v>
      </c>
      <c r="K19759" t="s">
        <v>5354</v>
      </c>
      <c r="N19759" t="s">
        <v>56889</v>
      </c>
      <c r="Q19759">
        <v>0</v>
      </c>
      <c r="R19759">
        <v>60</v>
      </c>
      <c r="S19759">
        <v>0</v>
      </c>
      <c r="T19759" t="s">
        <v>56890</v>
      </c>
    </row>
    <row r="19760" spans="1:20" customFormat="1" ht="15" x14ac:dyDescent="0.25">
      <c r="A19760" t="s">
        <v>24</v>
      </c>
      <c r="B19760" t="s">
        <v>10129</v>
      </c>
      <c r="C19760" t="str">
        <f>"A0074873"</f>
        <v>A0074873</v>
      </c>
      <c r="D19760" t="s">
        <v>56891</v>
      </c>
      <c r="E19760" t="s">
        <v>56892</v>
      </c>
      <c r="F19760" t="s">
        <v>19668</v>
      </c>
      <c r="G19760" t="s">
        <v>289</v>
      </c>
      <c r="H19760">
        <v>60431</v>
      </c>
      <c r="I19760" t="s">
        <v>30</v>
      </c>
      <c r="J19760" t="s">
        <v>171</v>
      </c>
      <c r="K19760" t="s">
        <v>5354</v>
      </c>
      <c r="N19760" t="s">
        <v>56893</v>
      </c>
      <c r="O19760" t="s">
        <v>56894</v>
      </c>
      <c r="Q19760">
        <v>0</v>
      </c>
      <c r="R19760">
        <v>63</v>
      </c>
      <c r="S19760">
        <v>0</v>
      </c>
      <c r="T19760" t="s">
        <v>56895</v>
      </c>
    </row>
    <row r="19761" spans="1:20" customFormat="1" ht="15" x14ac:dyDescent="0.25">
      <c r="A19761" t="s">
        <v>24</v>
      </c>
      <c r="B19761" t="s">
        <v>6811</v>
      </c>
      <c r="C19761" t="str">
        <f>"A0100102"</f>
        <v>A0100102</v>
      </c>
      <c r="D19761" t="s">
        <v>56901</v>
      </c>
      <c r="E19761" t="s">
        <v>56902</v>
      </c>
      <c r="F19761" t="s">
        <v>56903</v>
      </c>
      <c r="G19761" t="s">
        <v>81</v>
      </c>
      <c r="H19761">
        <v>32250</v>
      </c>
      <c r="I19761" t="s">
        <v>30</v>
      </c>
      <c r="J19761" t="s">
        <v>171</v>
      </c>
      <c r="K19761" t="s">
        <v>5354</v>
      </c>
      <c r="N19761" t="s">
        <v>56904</v>
      </c>
      <c r="Q19761">
        <v>0</v>
      </c>
      <c r="R19761">
        <v>51</v>
      </c>
      <c r="S19761">
        <v>0</v>
      </c>
      <c r="T19761" t="s">
        <v>56905</v>
      </c>
    </row>
    <row r="19762" spans="1:20" customFormat="1" ht="15" x14ac:dyDescent="0.25">
      <c r="A19762" t="s">
        <v>24</v>
      </c>
      <c r="B19762" t="s">
        <v>5558</v>
      </c>
      <c r="C19762" t="str">
        <f>"SF08418"</f>
        <v>SF08418</v>
      </c>
      <c r="D19762" t="s">
        <v>56906</v>
      </c>
      <c r="E19762" t="s">
        <v>56907</v>
      </c>
      <c r="F19762" t="s">
        <v>196</v>
      </c>
      <c r="G19762" t="s">
        <v>197</v>
      </c>
      <c r="H19762">
        <v>85004</v>
      </c>
      <c r="I19762" t="s">
        <v>30</v>
      </c>
      <c r="J19762" t="s">
        <v>171</v>
      </c>
      <c r="K19762" t="s">
        <v>1259</v>
      </c>
      <c r="N19762" t="s">
        <v>56908</v>
      </c>
      <c r="O19762" t="s">
        <v>56909</v>
      </c>
      <c r="Q19762">
        <v>0</v>
      </c>
      <c r="R19762">
        <v>90</v>
      </c>
      <c r="S19762">
        <v>0</v>
      </c>
      <c r="T19762" t="s">
        <v>56910</v>
      </c>
    </row>
    <row r="19763" spans="1:20" customFormat="1" ht="15" x14ac:dyDescent="0.25">
      <c r="A19763" t="s">
        <v>24</v>
      </c>
      <c r="B19763" t="s">
        <v>32773</v>
      </c>
      <c r="C19763" t="str">
        <f>"A0117291"</f>
        <v>A0117291</v>
      </c>
      <c r="D19763" t="s">
        <v>56911</v>
      </c>
      <c r="E19763" t="s">
        <v>56912</v>
      </c>
      <c r="F19763" t="s">
        <v>56913</v>
      </c>
      <c r="G19763" t="s">
        <v>1170</v>
      </c>
      <c r="H19763">
        <v>70764</v>
      </c>
      <c r="I19763" t="s">
        <v>30</v>
      </c>
      <c r="J19763" t="s">
        <v>171</v>
      </c>
      <c r="K19763" t="s">
        <v>1259</v>
      </c>
      <c r="N19763" t="s">
        <v>56914</v>
      </c>
      <c r="Q19763">
        <v>0</v>
      </c>
      <c r="R19763">
        <v>61</v>
      </c>
      <c r="S19763">
        <v>0</v>
      </c>
      <c r="T19763" t="s">
        <v>56915</v>
      </c>
    </row>
    <row r="19764" spans="1:20" customFormat="1" ht="15" x14ac:dyDescent="0.25">
      <c r="A19764" t="s">
        <v>24</v>
      </c>
      <c r="B19764" t="s">
        <v>1467</v>
      </c>
      <c r="C19764" t="str">
        <f>"A0151477"</f>
        <v>A0151477</v>
      </c>
      <c r="D19764" t="s">
        <v>56932</v>
      </c>
      <c r="E19764" t="s">
        <v>56933</v>
      </c>
      <c r="F19764" t="s">
        <v>1208</v>
      </c>
      <c r="G19764" t="s">
        <v>899</v>
      </c>
      <c r="H19764">
        <v>2118</v>
      </c>
      <c r="I19764" t="s">
        <v>30</v>
      </c>
      <c r="J19764" t="s">
        <v>171</v>
      </c>
      <c r="K19764" t="s">
        <v>1259</v>
      </c>
      <c r="N19764" t="s">
        <v>56934</v>
      </c>
      <c r="Q19764">
        <v>0</v>
      </c>
      <c r="R19764">
        <v>92</v>
      </c>
      <c r="S19764">
        <v>0</v>
      </c>
      <c r="T19764" t="s">
        <v>56935</v>
      </c>
    </row>
    <row r="19765" spans="1:20" customFormat="1" ht="15" x14ac:dyDescent="0.25">
      <c r="A19765" t="s">
        <v>24</v>
      </c>
      <c r="B19765" t="s">
        <v>57000</v>
      </c>
      <c r="C19765" t="str">
        <f>"A0154210"</f>
        <v>A0154210</v>
      </c>
      <c r="D19765" t="s">
        <v>57001</v>
      </c>
      <c r="E19765" t="s">
        <v>57002</v>
      </c>
      <c r="F19765" t="s">
        <v>3353</v>
      </c>
      <c r="G19765" t="s">
        <v>221</v>
      </c>
      <c r="H19765">
        <v>89011</v>
      </c>
      <c r="I19765" t="s">
        <v>30</v>
      </c>
      <c r="J19765" t="s">
        <v>171</v>
      </c>
      <c r="K19765" t="s">
        <v>2524</v>
      </c>
      <c r="N19765" t="s">
        <v>57003</v>
      </c>
      <c r="Q19765">
        <v>0</v>
      </c>
      <c r="R19765">
        <v>114</v>
      </c>
      <c r="S19765">
        <v>0</v>
      </c>
      <c r="T19765" t="s">
        <v>57004</v>
      </c>
    </row>
    <row r="19766" spans="1:20" customFormat="1" ht="15" x14ac:dyDescent="0.25">
      <c r="A19766" t="s">
        <v>24</v>
      </c>
      <c r="B19766" t="s">
        <v>1467</v>
      </c>
      <c r="C19766" t="str">
        <f>"A0084198"</f>
        <v>A0084198</v>
      </c>
      <c r="D19766" t="s">
        <v>57052</v>
      </c>
      <c r="E19766" t="s">
        <v>57053</v>
      </c>
      <c r="F19766" t="s">
        <v>53258</v>
      </c>
      <c r="G19766" t="s">
        <v>899</v>
      </c>
      <c r="H19766">
        <v>1801</v>
      </c>
      <c r="I19766" t="s">
        <v>30</v>
      </c>
      <c r="J19766" t="s">
        <v>171</v>
      </c>
      <c r="K19766" t="s">
        <v>5354</v>
      </c>
      <c r="N19766" t="s">
        <v>57054</v>
      </c>
      <c r="Q19766">
        <v>0</v>
      </c>
      <c r="R19766">
        <v>99</v>
      </c>
      <c r="S19766">
        <v>0</v>
      </c>
      <c r="T19766" t="s">
        <v>57055</v>
      </c>
    </row>
    <row r="19767" spans="1:20" customFormat="1" ht="15" x14ac:dyDescent="0.25">
      <c r="A19767" t="s">
        <v>24</v>
      </c>
      <c r="B19767" t="s">
        <v>3789</v>
      </c>
      <c r="C19767" t="str">
        <f>"A0095657"</f>
        <v>A0095657</v>
      </c>
      <c r="D19767" t="s">
        <v>57110</v>
      </c>
      <c r="E19767" t="s">
        <v>57111</v>
      </c>
      <c r="F19767" t="s">
        <v>2026</v>
      </c>
      <c r="G19767" t="s">
        <v>52</v>
      </c>
      <c r="H19767">
        <v>77802</v>
      </c>
      <c r="I19767" t="s">
        <v>30</v>
      </c>
      <c r="J19767" t="s">
        <v>171</v>
      </c>
      <c r="K19767" t="s">
        <v>5354</v>
      </c>
      <c r="N19767" t="s">
        <v>57112</v>
      </c>
      <c r="Q19767">
        <v>0</v>
      </c>
      <c r="R19767">
        <v>100</v>
      </c>
      <c r="S19767">
        <v>0</v>
      </c>
      <c r="T19767" t="s">
        <v>57113</v>
      </c>
    </row>
    <row r="19768" spans="1:20" customFormat="1" ht="15" x14ac:dyDescent="0.25">
      <c r="A19768" t="s">
        <v>24</v>
      </c>
      <c r="B19768" t="s">
        <v>57114</v>
      </c>
      <c r="C19768" t="str">
        <f>"A0165000"</f>
        <v>A0165000</v>
      </c>
      <c r="D19768" t="s">
        <v>57115</v>
      </c>
      <c r="E19768" t="s">
        <v>57116</v>
      </c>
      <c r="F19768" t="s">
        <v>57117</v>
      </c>
      <c r="G19768" t="s">
        <v>76</v>
      </c>
      <c r="H19768">
        <v>98373</v>
      </c>
      <c r="I19768" t="s">
        <v>30</v>
      </c>
      <c r="J19768" t="s">
        <v>171</v>
      </c>
      <c r="K19768" t="s">
        <v>5354</v>
      </c>
      <c r="N19768" t="s">
        <v>57118</v>
      </c>
      <c r="Q19768">
        <v>0</v>
      </c>
      <c r="R19768">
        <v>99</v>
      </c>
      <c r="S19768">
        <v>0</v>
      </c>
      <c r="T19768" t="s">
        <v>57119</v>
      </c>
    </row>
    <row r="19769" spans="1:20" customFormat="1" ht="15" x14ac:dyDescent="0.25">
      <c r="A19769" t="s">
        <v>24</v>
      </c>
      <c r="B19769" t="s">
        <v>33398</v>
      </c>
      <c r="C19769" t="str">
        <f>"SF02729"</f>
        <v>SF02729</v>
      </c>
      <c r="D19769" t="s">
        <v>57120</v>
      </c>
      <c r="E19769" t="s">
        <v>57121</v>
      </c>
      <c r="F19769" t="s">
        <v>8703</v>
      </c>
      <c r="G19769" t="s">
        <v>137</v>
      </c>
      <c r="H19769">
        <v>64133</v>
      </c>
      <c r="I19769" t="s">
        <v>30</v>
      </c>
      <c r="J19769" t="s">
        <v>171</v>
      </c>
      <c r="K19769" t="s">
        <v>5354</v>
      </c>
      <c r="N19769" t="s">
        <v>57122</v>
      </c>
      <c r="O19769" t="s">
        <v>57123</v>
      </c>
      <c r="Q19769">
        <v>0</v>
      </c>
      <c r="R19769">
        <v>168</v>
      </c>
      <c r="S19769">
        <v>0</v>
      </c>
      <c r="T19769" t="s">
        <v>57124</v>
      </c>
    </row>
    <row r="19770" spans="1:20" customFormat="1" ht="15" x14ac:dyDescent="0.25">
      <c r="A19770" t="s">
        <v>24</v>
      </c>
      <c r="B19770" t="s">
        <v>56702</v>
      </c>
      <c r="C19770" t="str">
        <f>"A0093185"</f>
        <v>A0093185</v>
      </c>
      <c r="D19770" t="s">
        <v>57125</v>
      </c>
      <c r="E19770" t="s">
        <v>57126</v>
      </c>
      <c r="F19770" t="s">
        <v>55259</v>
      </c>
      <c r="G19770" t="s">
        <v>110</v>
      </c>
      <c r="H19770">
        <v>94025</v>
      </c>
      <c r="I19770" t="s">
        <v>30</v>
      </c>
      <c r="J19770" t="s">
        <v>171</v>
      </c>
      <c r="K19770" t="s">
        <v>5354</v>
      </c>
      <c r="N19770" t="s">
        <v>57127</v>
      </c>
      <c r="Q19770">
        <v>0</v>
      </c>
      <c r="R19770">
        <v>36</v>
      </c>
      <c r="S19770">
        <v>0</v>
      </c>
      <c r="T19770" t="s">
        <v>57128</v>
      </c>
    </row>
    <row r="19771" spans="1:20" customFormat="1" ht="15" hidden="1" x14ac:dyDescent="0.25">
      <c r="A19771" t="s">
        <v>24</v>
      </c>
      <c r="B19771" t="s">
        <v>73420</v>
      </c>
      <c r="C19771" t="str">
        <f>"A0094121"</f>
        <v>A0094121</v>
      </c>
      <c r="D19771" t="s">
        <v>73421</v>
      </c>
      <c r="E19771" t="s">
        <v>73422</v>
      </c>
      <c r="F19771" t="s">
        <v>59059</v>
      </c>
      <c r="G19771" t="s">
        <v>1457</v>
      </c>
      <c r="H19771" t="s">
        <v>73423</v>
      </c>
      <c r="I19771" t="s">
        <v>1459</v>
      </c>
      <c r="J19771" t="s">
        <v>171</v>
      </c>
      <c r="K19771" t="s">
        <v>1202</v>
      </c>
      <c r="Q19771">
        <v>0</v>
      </c>
      <c r="R19771">
        <v>161</v>
      </c>
      <c r="S19771">
        <v>0</v>
      </c>
      <c r="T19771" t="s">
        <v>73424</v>
      </c>
    </row>
    <row r="19772" spans="1:20" customFormat="1" ht="15" x14ac:dyDescent="0.25">
      <c r="A19772" t="s">
        <v>24</v>
      </c>
      <c r="B19772" t="s">
        <v>8366</v>
      </c>
      <c r="C19772" t="str">
        <f>"SF02803"</f>
        <v>SF02803</v>
      </c>
      <c r="D19772" t="s">
        <v>57129</v>
      </c>
      <c r="E19772" t="s">
        <v>57130</v>
      </c>
      <c r="F19772" t="s">
        <v>57131</v>
      </c>
      <c r="G19772" t="s">
        <v>899</v>
      </c>
      <c r="H19772">
        <v>2370</v>
      </c>
      <c r="I19772" t="s">
        <v>30</v>
      </c>
      <c r="J19772" t="s">
        <v>171</v>
      </c>
      <c r="K19772" t="s">
        <v>5354</v>
      </c>
      <c r="N19772" t="s">
        <v>57132</v>
      </c>
      <c r="Q19772">
        <v>0</v>
      </c>
      <c r="R19772">
        <v>76</v>
      </c>
      <c r="S19772">
        <v>0</v>
      </c>
      <c r="T19772" t="s">
        <v>57133</v>
      </c>
    </row>
    <row r="19773" spans="1:20" customFormat="1" ht="15" x14ac:dyDescent="0.25">
      <c r="A19773" t="s">
        <v>24</v>
      </c>
      <c r="B19773" t="s">
        <v>57134</v>
      </c>
      <c r="C19773" t="str">
        <f>"A0069486"</f>
        <v>A0069486</v>
      </c>
      <c r="D19773" t="s">
        <v>57135</v>
      </c>
      <c r="E19773" t="s">
        <v>57136</v>
      </c>
      <c r="F19773" t="s">
        <v>3014</v>
      </c>
      <c r="G19773" t="s">
        <v>846</v>
      </c>
      <c r="H19773">
        <v>30265</v>
      </c>
      <c r="I19773" t="s">
        <v>30</v>
      </c>
      <c r="J19773" t="s">
        <v>171</v>
      </c>
      <c r="K19773" t="s">
        <v>5354</v>
      </c>
      <c r="N19773" t="s">
        <v>57137</v>
      </c>
      <c r="Q19773">
        <v>0</v>
      </c>
      <c r="R19773">
        <v>42</v>
      </c>
      <c r="S19773">
        <v>0</v>
      </c>
      <c r="T19773" t="s">
        <v>57138</v>
      </c>
    </row>
    <row r="19774" spans="1:20" customFormat="1" ht="15" x14ac:dyDescent="0.25">
      <c r="A19774" t="s">
        <v>24</v>
      </c>
      <c r="B19774" t="s">
        <v>55987</v>
      </c>
      <c r="C19774" t="str">
        <f>"A0101118"</f>
        <v>A0101118</v>
      </c>
      <c r="D19774" t="s">
        <v>57139</v>
      </c>
      <c r="E19774" t="s">
        <v>57140</v>
      </c>
      <c r="F19774" t="s">
        <v>57141</v>
      </c>
      <c r="G19774" t="s">
        <v>71</v>
      </c>
      <c r="H19774">
        <v>54801</v>
      </c>
      <c r="I19774" t="s">
        <v>30</v>
      </c>
      <c r="J19774" t="s">
        <v>171</v>
      </c>
      <c r="K19774" t="s">
        <v>5354</v>
      </c>
      <c r="N19774" t="s">
        <v>57142</v>
      </c>
      <c r="Q19774">
        <v>0</v>
      </c>
      <c r="R19774">
        <v>45</v>
      </c>
      <c r="S19774">
        <v>0</v>
      </c>
      <c r="T19774" t="s">
        <v>57143</v>
      </c>
    </row>
    <row r="19775" spans="1:20" customFormat="1" ht="15" x14ac:dyDescent="0.25">
      <c r="A19775" t="s">
        <v>24</v>
      </c>
      <c r="B19775" t="s">
        <v>3221</v>
      </c>
      <c r="C19775" t="str">
        <f>"SF03903"</f>
        <v>SF03903</v>
      </c>
      <c r="D19775" t="s">
        <v>57144</v>
      </c>
      <c r="E19775" t="s">
        <v>57145</v>
      </c>
      <c r="F19775" t="s">
        <v>3837</v>
      </c>
      <c r="G19775" t="s">
        <v>2391</v>
      </c>
      <c r="H19775">
        <v>5156</v>
      </c>
      <c r="I19775" t="s">
        <v>30</v>
      </c>
      <c r="J19775" t="s">
        <v>171</v>
      </c>
      <c r="K19775" t="s">
        <v>1259</v>
      </c>
      <c r="N19775" t="s">
        <v>57146</v>
      </c>
      <c r="Q19775">
        <v>0</v>
      </c>
      <c r="R19775">
        <v>88</v>
      </c>
      <c r="S19775">
        <v>0</v>
      </c>
      <c r="T19775" t="s">
        <v>57147</v>
      </c>
    </row>
    <row r="19776" spans="1:20" customFormat="1" ht="15" x14ac:dyDescent="0.25">
      <c r="A19776" t="s">
        <v>24</v>
      </c>
      <c r="B19776" t="s">
        <v>32773</v>
      </c>
      <c r="C19776" t="str">
        <f>"A0067381"</f>
        <v>A0067381</v>
      </c>
      <c r="D19776" t="s">
        <v>57148</v>
      </c>
      <c r="E19776" t="s">
        <v>57149</v>
      </c>
      <c r="F19776" t="s">
        <v>57150</v>
      </c>
      <c r="G19776" t="s">
        <v>1170</v>
      </c>
      <c r="H19776">
        <v>70775</v>
      </c>
      <c r="I19776" t="s">
        <v>30</v>
      </c>
      <c r="J19776" t="s">
        <v>171</v>
      </c>
      <c r="K19776" t="s">
        <v>5354</v>
      </c>
      <c r="N19776" t="s">
        <v>56802</v>
      </c>
      <c r="Q19776">
        <v>0</v>
      </c>
      <c r="R19776">
        <v>63</v>
      </c>
      <c r="S19776">
        <v>0</v>
      </c>
      <c r="T19776" t="s">
        <v>57151</v>
      </c>
    </row>
    <row r="19777" spans="1:20" customFormat="1" ht="15" x14ac:dyDescent="0.25">
      <c r="A19777" t="s">
        <v>24</v>
      </c>
      <c r="B19777" t="s">
        <v>799</v>
      </c>
      <c r="C19777" t="str">
        <f>"A0064228"</f>
        <v>A0064228</v>
      </c>
      <c r="D19777" t="s">
        <v>57152</v>
      </c>
      <c r="E19777" t="s">
        <v>57153</v>
      </c>
      <c r="F19777" t="s">
        <v>5369</v>
      </c>
      <c r="G19777" t="s">
        <v>58</v>
      </c>
      <c r="H19777">
        <v>29407</v>
      </c>
      <c r="I19777" t="s">
        <v>30</v>
      </c>
      <c r="J19777" t="s">
        <v>171</v>
      </c>
      <c r="K19777" t="s">
        <v>5354</v>
      </c>
      <c r="N19777" t="s">
        <v>57154</v>
      </c>
      <c r="O19777" t="s">
        <v>57155</v>
      </c>
      <c r="Q19777">
        <v>0</v>
      </c>
      <c r="R19777">
        <v>87</v>
      </c>
      <c r="S19777">
        <v>0</v>
      </c>
      <c r="T19777" t="s">
        <v>57156</v>
      </c>
    </row>
    <row r="19778" spans="1:20" customFormat="1" ht="15" x14ac:dyDescent="0.25">
      <c r="A19778" t="s">
        <v>24</v>
      </c>
      <c r="B19778" t="s">
        <v>12991</v>
      </c>
      <c r="C19778" t="str">
        <f>"A0097853"</f>
        <v>A0097853</v>
      </c>
      <c r="D19778" t="s">
        <v>57160</v>
      </c>
      <c r="E19778" t="s">
        <v>57161</v>
      </c>
      <c r="F19778" t="s">
        <v>57162</v>
      </c>
      <c r="G19778" t="s">
        <v>47</v>
      </c>
      <c r="H19778">
        <v>97116</v>
      </c>
      <c r="I19778" t="s">
        <v>30</v>
      </c>
      <c r="J19778" t="s">
        <v>171</v>
      </c>
      <c r="K19778" t="s">
        <v>5354</v>
      </c>
      <c r="N19778" t="s">
        <v>57163</v>
      </c>
      <c r="Q19778">
        <v>0</v>
      </c>
      <c r="R19778">
        <v>54</v>
      </c>
      <c r="S19778">
        <v>0</v>
      </c>
      <c r="T19778" t="s">
        <v>57164</v>
      </c>
    </row>
    <row r="19779" spans="1:20" customFormat="1" ht="15" x14ac:dyDescent="0.25">
      <c r="A19779" t="s">
        <v>24</v>
      </c>
      <c r="B19779" t="s">
        <v>57165</v>
      </c>
      <c r="C19779" t="str">
        <f>"A0155606"</f>
        <v>A0155606</v>
      </c>
      <c r="D19779" t="s">
        <v>57166</v>
      </c>
      <c r="E19779" t="s">
        <v>57167</v>
      </c>
      <c r="F19779" t="s">
        <v>34579</v>
      </c>
      <c r="G19779" t="s">
        <v>71</v>
      </c>
      <c r="H19779">
        <v>53094</v>
      </c>
      <c r="I19779" t="s">
        <v>30</v>
      </c>
      <c r="J19779" t="s">
        <v>171</v>
      </c>
      <c r="K19779" t="s">
        <v>1259</v>
      </c>
      <c r="N19779" t="s">
        <v>57168</v>
      </c>
      <c r="O19779" t="s">
        <v>57169</v>
      </c>
      <c r="Q19779">
        <v>0</v>
      </c>
      <c r="R19779">
        <v>79</v>
      </c>
      <c r="S19779">
        <v>0</v>
      </c>
      <c r="T19779" t="s">
        <v>57170</v>
      </c>
    </row>
    <row r="19780" spans="1:20" customFormat="1" ht="15" x14ac:dyDescent="0.25">
      <c r="A19780" t="s">
        <v>24</v>
      </c>
      <c r="B19780" t="s">
        <v>56826</v>
      </c>
      <c r="C19780" t="str">
        <f>"A0096731"</f>
        <v>A0096731</v>
      </c>
      <c r="D19780" t="s">
        <v>57171</v>
      </c>
      <c r="E19780" t="s">
        <v>57172</v>
      </c>
      <c r="F19780" t="s">
        <v>5013</v>
      </c>
      <c r="G19780" t="s">
        <v>2450</v>
      </c>
      <c r="H19780">
        <v>3909</v>
      </c>
      <c r="I19780" t="s">
        <v>30</v>
      </c>
      <c r="J19780" t="s">
        <v>171</v>
      </c>
      <c r="K19780" t="s">
        <v>5354</v>
      </c>
      <c r="N19780" t="s">
        <v>54679</v>
      </c>
      <c r="O19780" t="s">
        <v>57173</v>
      </c>
      <c r="Q19780">
        <v>0</v>
      </c>
      <c r="R19780">
        <v>90</v>
      </c>
      <c r="S19780">
        <v>0</v>
      </c>
      <c r="T19780" t="s">
        <v>57174</v>
      </c>
    </row>
    <row r="19781" spans="1:20" customFormat="1" ht="15" x14ac:dyDescent="0.25">
      <c r="A19781" t="s">
        <v>24</v>
      </c>
      <c r="B19781" t="s">
        <v>57195</v>
      </c>
      <c r="C19781" t="str">
        <f>"A0099709"</f>
        <v>A0099709</v>
      </c>
      <c r="D19781" t="s">
        <v>57196</v>
      </c>
      <c r="E19781" t="s">
        <v>57197</v>
      </c>
      <c r="F19781" t="s">
        <v>14951</v>
      </c>
      <c r="G19781" t="s">
        <v>1184</v>
      </c>
      <c r="H19781">
        <v>59102</v>
      </c>
      <c r="I19781" t="s">
        <v>30</v>
      </c>
      <c r="J19781" t="s">
        <v>171</v>
      </c>
      <c r="K19781" t="s">
        <v>12620</v>
      </c>
      <c r="N19781" t="s">
        <v>57198</v>
      </c>
      <c r="O19781" t="s">
        <v>57199</v>
      </c>
      <c r="Q19781">
        <v>0</v>
      </c>
      <c r="R19781">
        <v>108</v>
      </c>
      <c r="S19781">
        <v>0</v>
      </c>
      <c r="T19781" t="s">
        <v>57200</v>
      </c>
    </row>
    <row r="19782" spans="1:20" customFormat="1" ht="15" x14ac:dyDescent="0.25">
      <c r="A19782" t="s">
        <v>24</v>
      </c>
      <c r="B19782" t="s">
        <v>2221</v>
      </c>
      <c r="C19782" t="str">
        <f>"651ZD"</f>
        <v>651ZD</v>
      </c>
      <c r="D19782" t="s">
        <v>57215</v>
      </c>
      <c r="E19782" t="s">
        <v>57216</v>
      </c>
      <c r="F19782" t="s">
        <v>3455</v>
      </c>
      <c r="G19782" t="s">
        <v>381</v>
      </c>
      <c r="H19782">
        <v>47403</v>
      </c>
      <c r="I19782" t="s">
        <v>30</v>
      </c>
      <c r="J19782" t="s">
        <v>171</v>
      </c>
      <c r="K19782" t="s">
        <v>973</v>
      </c>
      <c r="N19782" t="s">
        <v>57217</v>
      </c>
      <c r="O19782" t="s">
        <v>57218</v>
      </c>
      <c r="Q19782">
        <v>0</v>
      </c>
      <c r="R19782">
        <v>117</v>
      </c>
      <c r="S19782">
        <v>0</v>
      </c>
      <c r="T19782" t="s">
        <v>57219</v>
      </c>
    </row>
    <row r="19783" spans="1:20" customFormat="1" ht="15" x14ac:dyDescent="0.25">
      <c r="A19783" t="s">
        <v>24</v>
      </c>
      <c r="B19783" t="s">
        <v>5830</v>
      </c>
      <c r="C19783" t="str">
        <f>"A0095696"</f>
        <v>A0095696</v>
      </c>
      <c r="D19783" t="s">
        <v>57480</v>
      </c>
      <c r="E19783" t="s">
        <v>57481</v>
      </c>
      <c r="F19783" t="s">
        <v>271</v>
      </c>
      <c r="G19783" t="s">
        <v>103</v>
      </c>
      <c r="H19783">
        <v>15219</v>
      </c>
      <c r="I19783" t="s">
        <v>30</v>
      </c>
      <c r="J19783" t="s">
        <v>171</v>
      </c>
      <c r="K19783" t="s">
        <v>3456</v>
      </c>
      <c r="N19783" t="s">
        <v>57482</v>
      </c>
      <c r="Q19783">
        <v>0</v>
      </c>
      <c r="R19783">
        <v>142</v>
      </c>
      <c r="S19783">
        <v>0</v>
      </c>
      <c r="T19783" t="s">
        <v>57483</v>
      </c>
    </row>
    <row r="19784" spans="1:20" customFormat="1" ht="15" x14ac:dyDescent="0.25">
      <c r="A19784" t="s">
        <v>24</v>
      </c>
      <c r="B19784" t="s">
        <v>5830</v>
      </c>
      <c r="C19784" t="str">
        <f>"A0148792"</f>
        <v>A0148792</v>
      </c>
      <c r="D19784" t="s">
        <v>57484</v>
      </c>
      <c r="E19784" t="s">
        <v>57485</v>
      </c>
      <c r="F19784" t="s">
        <v>1208</v>
      </c>
      <c r="G19784" t="s">
        <v>899</v>
      </c>
      <c r="H19784">
        <v>2127</v>
      </c>
      <c r="I19784" t="s">
        <v>30</v>
      </c>
      <c r="J19784" t="s">
        <v>171</v>
      </c>
      <c r="K19784" t="s">
        <v>3456</v>
      </c>
      <c r="N19784" t="s">
        <v>57486</v>
      </c>
      <c r="O19784" t="s">
        <v>57487</v>
      </c>
      <c r="Q19784">
        <v>0</v>
      </c>
      <c r="R19784">
        <v>159</v>
      </c>
      <c r="S19784">
        <v>0</v>
      </c>
      <c r="T19784" t="s">
        <v>57488</v>
      </c>
    </row>
    <row r="19785" spans="1:20" customFormat="1" ht="15" x14ac:dyDescent="0.25">
      <c r="A19785" t="s">
        <v>24</v>
      </c>
      <c r="B19785" t="s">
        <v>10398</v>
      </c>
      <c r="C19785" t="str">
        <f>"A0155865"</f>
        <v>A0155865</v>
      </c>
      <c r="D19785" t="s">
        <v>57489</v>
      </c>
      <c r="E19785" t="s">
        <v>57490</v>
      </c>
      <c r="F19785" t="s">
        <v>2241</v>
      </c>
      <c r="G19785" t="s">
        <v>110</v>
      </c>
      <c r="H19785">
        <v>94559</v>
      </c>
      <c r="I19785" t="s">
        <v>30</v>
      </c>
      <c r="J19785" t="s">
        <v>171</v>
      </c>
      <c r="K19785" t="s">
        <v>3456</v>
      </c>
      <c r="N19785" t="s">
        <v>57491</v>
      </c>
      <c r="Q19785">
        <v>0</v>
      </c>
      <c r="R19785">
        <v>90</v>
      </c>
      <c r="S19785">
        <v>0</v>
      </c>
      <c r="T19785" t="s">
        <v>57492</v>
      </c>
    </row>
    <row r="19786" spans="1:20" customFormat="1" ht="15" x14ac:dyDescent="0.25">
      <c r="A19786" t="s">
        <v>24</v>
      </c>
      <c r="B19786" t="s">
        <v>257</v>
      </c>
      <c r="C19786" t="str">
        <f>"A0094116"</f>
        <v>A0094116</v>
      </c>
      <c r="D19786" t="s">
        <v>57493</v>
      </c>
      <c r="E19786" t="s">
        <v>57494</v>
      </c>
      <c r="F19786" t="s">
        <v>4397</v>
      </c>
      <c r="G19786" t="s">
        <v>123</v>
      </c>
      <c r="H19786">
        <v>20850</v>
      </c>
      <c r="I19786" t="s">
        <v>30</v>
      </c>
      <c r="J19786" t="s">
        <v>171</v>
      </c>
      <c r="K19786" t="s">
        <v>3456</v>
      </c>
      <c r="N19786" t="s">
        <v>57495</v>
      </c>
      <c r="O19786" t="s">
        <v>57496</v>
      </c>
      <c r="Q19786">
        <v>0</v>
      </c>
      <c r="R19786">
        <v>140</v>
      </c>
      <c r="S19786">
        <v>0</v>
      </c>
      <c r="T19786" t="s">
        <v>57497</v>
      </c>
    </row>
    <row r="19787" spans="1:20" customFormat="1" ht="15" x14ac:dyDescent="0.25">
      <c r="A19787" t="s">
        <v>24</v>
      </c>
      <c r="B19787" t="s">
        <v>5166</v>
      </c>
      <c r="C19787" t="str">
        <f>"A0099623"</f>
        <v>A0099623</v>
      </c>
      <c r="D19787" t="s">
        <v>57498</v>
      </c>
      <c r="E19787" t="s">
        <v>57499</v>
      </c>
      <c r="F19787" t="s">
        <v>2069</v>
      </c>
      <c r="G19787" t="s">
        <v>1170</v>
      </c>
      <c r="H19787">
        <v>70130</v>
      </c>
      <c r="I19787" t="s">
        <v>30</v>
      </c>
      <c r="J19787" t="s">
        <v>171</v>
      </c>
      <c r="K19787" t="s">
        <v>3456</v>
      </c>
      <c r="N19787" t="s">
        <v>57500</v>
      </c>
      <c r="Q19787">
        <v>0</v>
      </c>
      <c r="R19787">
        <v>162</v>
      </c>
      <c r="S19787">
        <v>0</v>
      </c>
      <c r="T19787" t="s">
        <v>57501</v>
      </c>
    </row>
    <row r="19788" spans="1:20" customFormat="1" ht="15" x14ac:dyDescent="0.25">
      <c r="A19788" t="s">
        <v>24</v>
      </c>
      <c r="B19788" t="s">
        <v>10398</v>
      </c>
      <c r="C19788" t="str">
        <f>"A0155864"</f>
        <v>A0155864</v>
      </c>
      <c r="D19788" t="s">
        <v>57502</v>
      </c>
      <c r="E19788" t="s">
        <v>57503</v>
      </c>
      <c r="F19788" t="s">
        <v>57504</v>
      </c>
      <c r="G19788" t="s">
        <v>110</v>
      </c>
      <c r="H19788">
        <v>94928</v>
      </c>
      <c r="I19788" t="s">
        <v>30</v>
      </c>
      <c r="J19788" t="s">
        <v>171</v>
      </c>
      <c r="K19788" t="s">
        <v>3456</v>
      </c>
      <c r="N19788" t="s">
        <v>57505</v>
      </c>
      <c r="Q19788">
        <v>0</v>
      </c>
      <c r="R19788">
        <v>135</v>
      </c>
      <c r="S19788">
        <v>0</v>
      </c>
      <c r="T19788" t="s">
        <v>57506</v>
      </c>
    </row>
    <row r="19789" spans="1:20" customFormat="1" ht="15" x14ac:dyDescent="0.25">
      <c r="A19789" t="s">
        <v>24</v>
      </c>
      <c r="B19789" t="s">
        <v>5830</v>
      </c>
      <c r="C19789" t="str">
        <f>"A0095697"</f>
        <v>A0095697</v>
      </c>
      <c r="D19789" t="s">
        <v>57507</v>
      </c>
      <c r="E19789" t="s">
        <v>57508</v>
      </c>
      <c r="F19789" t="s">
        <v>35175</v>
      </c>
      <c r="G19789" t="s">
        <v>99</v>
      </c>
      <c r="H19789">
        <v>10601</v>
      </c>
      <c r="I19789" t="s">
        <v>30</v>
      </c>
      <c r="J19789" t="s">
        <v>171</v>
      </c>
      <c r="K19789" t="s">
        <v>3456</v>
      </c>
      <c r="N19789" t="s">
        <v>57509</v>
      </c>
      <c r="O19789" t="s">
        <v>57510</v>
      </c>
      <c r="Q19789">
        <v>0</v>
      </c>
      <c r="R19789">
        <v>130</v>
      </c>
      <c r="S19789">
        <v>0</v>
      </c>
      <c r="T19789" t="s">
        <v>57511</v>
      </c>
    </row>
    <row r="19790" spans="1:20" customFormat="1" ht="15" x14ac:dyDescent="0.25">
      <c r="A19790" t="s">
        <v>24</v>
      </c>
      <c r="B19790" t="s">
        <v>13267</v>
      </c>
      <c r="C19790" t="str">
        <f>"A0087044"</f>
        <v>A0087044</v>
      </c>
      <c r="D19790" t="s">
        <v>57781</v>
      </c>
      <c r="E19790" t="s">
        <v>57782</v>
      </c>
      <c r="F19790" t="s">
        <v>11003</v>
      </c>
      <c r="G19790" t="s">
        <v>110</v>
      </c>
      <c r="H19790">
        <v>92008</v>
      </c>
      <c r="I19790" t="s">
        <v>30</v>
      </c>
      <c r="J19790" t="s">
        <v>171</v>
      </c>
      <c r="K19790" t="s">
        <v>163</v>
      </c>
      <c r="N19790" t="s">
        <v>57783</v>
      </c>
      <c r="O19790" t="s">
        <v>57784</v>
      </c>
      <c r="Q19790">
        <v>0</v>
      </c>
      <c r="R19790">
        <v>97</v>
      </c>
      <c r="S19790">
        <v>0</v>
      </c>
      <c r="T19790" t="s">
        <v>57785</v>
      </c>
    </row>
    <row r="19791" spans="1:20" customFormat="1" ht="15" hidden="1" x14ac:dyDescent="0.25">
      <c r="A19791" t="s">
        <v>24</v>
      </c>
      <c r="B19791" t="s">
        <v>73507</v>
      </c>
      <c r="C19791" t="str">
        <f>"A0154542"</f>
        <v>A0154542</v>
      </c>
      <c r="D19791" t="s">
        <v>73508</v>
      </c>
      <c r="E19791" t="s">
        <v>73509</v>
      </c>
      <c r="F19791" t="s">
        <v>57016</v>
      </c>
      <c r="G19791" t="s">
        <v>2270</v>
      </c>
      <c r="H19791" t="s">
        <v>73510</v>
      </c>
      <c r="I19791" t="s">
        <v>1459</v>
      </c>
      <c r="J19791" t="s">
        <v>171</v>
      </c>
      <c r="K19791" t="s">
        <v>1202</v>
      </c>
      <c r="Q19791">
        <v>0</v>
      </c>
      <c r="R19791">
        <v>161</v>
      </c>
      <c r="S19791">
        <v>0</v>
      </c>
      <c r="T19791" t="s">
        <v>73511</v>
      </c>
    </row>
    <row r="19792" spans="1:20" customFormat="1" ht="15" x14ac:dyDescent="0.25">
      <c r="A19792" t="s">
        <v>24</v>
      </c>
      <c r="B19792" t="s">
        <v>814</v>
      </c>
      <c r="C19792" t="str">
        <f>"A0101161"</f>
        <v>A0101161</v>
      </c>
      <c r="D19792" t="s">
        <v>57926</v>
      </c>
      <c r="E19792" t="s">
        <v>57927</v>
      </c>
      <c r="F19792" t="s">
        <v>5369</v>
      </c>
      <c r="G19792" t="s">
        <v>58</v>
      </c>
      <c r="H19792">
        <v>29401</v>
      </c>
      <c r="I19792" t="s">
        <v>30</v>
      </c>
      <c r="J19792" t="s">
        <v>171</v>
      </c>
      <c r="K19792" t="s">
        <v>1450</v>
      </c>
      <c r="N19792" t="s">
        <v>57928</v>
      </c>
      <c r="Q19792">
        <v>0</v>
      </c>
      <c r="R19792">
        <v>50</v>
      </c>
      <c r="S19792">
        <v>0</v>
      </c>
      <c r="T19792" t="s">
        <v>57929</v>
      </c>
    </row>
    <row r="19793" spans="1:20" customFormat="1" ht="15" hidden="1" x14ac:dyDescent="0.25">
      <c r="A19793" t="s">
        <v>24</v>
      </c>
      <c r="B19793" t="s">
        <v>72975</v>
      </c>
      <c r="C19793" t="str">
        <f>"A0093432"</f>
        <v>A0093432</v>
      </c>
      <c r="D19793" t="s">
        <v>73516</v>
      </c>
      <c r="E19793" t="s">
        <v>73517</v>
      </c>
      <c r="F19793" t="s">
        <v>73518</v>
      </c>
      <c r="G19793" t="s">
        <v>2407</v>
      </c>
      <c r="H19793">
        <v>23010</v>
      </c>
      <c r="I19793" t="s">
        <v>2408</v>
      </c>
      <c r="J19793" t="s">
        <v>171</v>
      </c>
      <c r="K19793" t="s">
        <v>1202</v>
      </c>
      <c r="N19793" t="s">
        <v>73519</v>
      </c>
      <c r="O19793" t="s">
        <v>73520</v>
      </c>
      <c r="Q19793">
        <v>0</v>
      </c>
      <c r="R19793">
        <v>151</v>
      </c>
      <c r="S19793">
        <v>0</v>
      </c>
      <c r="T19793" t="s">
        <v>73521</v>
      </c>
    </row>
    <row r="19794" spans="1:20" customFormat="1" ht="15" x14ac:dyDescent="0.25">
      <c r="A19794" t="s">
        <v>24</v>
      </c>
      <c r="B19794" t="s">
        <v>2387</v>
      </c>
      <c r="C19794" t="str">
        <f>"A0096925"</f>
        <v>A0096925</v>
      </c>
      <c r="D19794" t="s">
        <v>57967</v>
      </c>
      <c r="E19794" t="s">
        <v>57968</v>
      </c>
      <c r="F19794" t="s">
        <v>57969</v>
      </c>
      <c r="G19794" t="s">
        <v>899</v>
      </c>
      <c r="H19794">
        <v>2150</v>
      </c>
      <c r="I19794" t="s">
        <v>30</v>
      </c>
      <c r="J19794" t="s">
        <v>171</v>
      </c>
      <c r="K19794" t="s">
        <v>1023</v>
      </c>
      <c r="N19794" t="s">
        <v>57970</v>
      </c>
      <c r="O19794" t="s">
        <v>57971</v>
      </c>
      <c r="Q19794">
        <v>0</v>
      </c>
      <c r="R19794">
        <v>152</v>
      </c>
      <c r="S19794">
        <v>0</v>
      </c>
      <c r="T19794" t="s">
        <v>57972</v>
      </c>
    </row>
    <row r="19795" spans="1:20" customFormat="1" ht="15" x14ac:dyDescent="0.25">
      <c r="A19795" t="s">
        <v>24</v>
      </c>
      <c r="B19795" t="s">
        <v>58065</v>
      </c>
      <c r="C19795" t="str">
        <f>"A0156963"</f>
        <v>A0156963</v>
      </c>
      <c r="D19795" t="s">
        <v>58066</v>
      </c>
      <c r="E19795" t="s">
        <v>58067</v>
      </c>
      <c r="F19795" t="s">
        <v>3932</v>
      </c>
      <c r="G19795" t="s">
        <v>117</v>
      </c>
      <c r="H19795">
        <v>49503</v>
      </c>
      <c r="I19795" t="s">
        <v>30</v>
      </c>
      <c r="J19795" t="s">
        <v>171</v>
      </c>
      <c r="K19795" t="s">
        <v>163</v>
      </c>
      <c r="N19795" t="s">
        <v>58068</v>
      </c>
      <c r="O19795" t="s">
        <v>58069</v>
      </c>
      <c r="Q19795">
        <v>0</v>
      </c>
      <c r="R19795">
        <v>48</v>
      </c>
      <c r="S19795">
        <v>0</v>
      </c>
      <c r="T19795" t="s">
        <v>58070</v>
      </c>
    </row>
    <row r="19796" spans="1:20" customFormat="1" ht="15" x14ac:dyDescent="0.25">
      <c r="A19796" t="s">
        <v>24</v>
      </c>
      <c r="B19796" t="s">
        <v>9490</v>
      </c>
      <c r="C19796" t="str">
        <f>"SF02501"</f>
        <v>SF02501</v>
      </c>
      <c r="D19796" t="s">
        <v>58119</v>
      </c>
      <c r="E19796" t="s">
        <v>58120</v>
      </c>
      <c r="F19796" t="s">
        <v>58121</v>
      </c>
      <c r="G19796" t="s">
        <v>840</v>
      </c>
      <c r="H19796">
        <v>42240</v>
      </c>
      <c r="I19796" t="s">
        <v>30</v>
      </c>
      <c r="J19796" t="s">
        <v>171</v>
      </c>
      <c r="K19796" t="s">
        <v>9499</v>
      </c>
      <c r="N19796" t="s">
        <v>58122</v>
      </c>
      <c r="O19796" t="s">
        <v>58123</v>
      </c>
      <c r="Q19796">
        <v>0</v>
      </c>
      <c r="R19796">
        <v>101</v>
      </c>
      <c r="S19796">
        <v>0</v>
      </c>
      <c r="T19796" t="s">
        <v>58124</v>
      </c>
    </row>
    <row r="19797" spans="1:20" customFormat="1" ht="15" x14ac:dyDescent="0.25">
      <c r="A19797" t="s">
        <v>24</v>
      </c>
      <c r="B19797" t="s">
        <v>16448</v>
      </c>
      <c r="C19797" t="str">
        <f>"A0088014"</f>
        <v>A0088014</v>
      </c>
      <c r="D19797" t="s">
        <v>58499</v>
      </c>
      <c r="E19797" t="s">
        <v>58500</v>
      </c>
      <c r="F19797" t="s">
        <v>4909</v>
      </c>
      <c r="G19797" t="s">
        <v>58</v>
      </c>
      <c r="H19797">
        <v>29201</v>
      </c>
      <c r="I19797" t="s">
        <v>30</v>
      </c>
      <c r="J19797" t="s">
        <v>171</v>
      </c>
      <c r="K19797" t="s">
        <v>1147</v>
      </c>
      <c r="N19797" t="s">
        <v>58501</v>
      </c>
      <c r="Q19797">
        <v>0</v>
      </c>
      <c r="R19797">
        <v>93</v>
      </c>
      <c r="S19797">
        <v>0</v>
      </c>
      <c r="T19797" t="s">
        <v>58502</v>
      </c>
    </row>
    <row r="19798" spans="1:20" customFormat="1" ht="15" x14ac:dyDescent="0.25">
      <c r="A19798" t="s">
        <v>24</v>
      </c>
      <c r="B19798" t="s">
        <v>59273</v>
      </c>
      <c r="C19798" t="str">
        <f>"A0147907"</f>
        <v>A0147907</v>
      </c>
      <c r="D19798" t="s">
        <v>59274</v>
      </c>
      <c r="E19798" t="s">
        <v>59275</v>
      </c>
      <c r="F19798" t="s">
        <v>59276</v>
      </c>
      <c r="G19798" t="s">
        <v>81</v>
      </c>
      <c r="H19798">
        <v>32320</v>
      </c>
      <c r="I19798" t="s">
        <v>30</v>
      </c>
      <c r="J19798" t="s">
        <v>171</v>
      </c>
      <c r="K19798" t="s">
        <v>12620</v>
      </c>
      <c r="N19798" t="s">
        <v>59277</v>
      </c>
      <c r="Q19798">
        <v>0</v>
      </c>
      <c r="R19798">
        <v>23</v>
      </c>
      <c r="S19798">
        <v>0</v>
      </c>
      <c r="T19798" t="s">
        <v>59278</v>
      </c>
    </row>
    <row r="19799" spans="1:20" customFormat="1" ht="15" x14ac:dyDescent="0.25">
      <c r="A19799" t="s">
        <v>24</v>
      </c>
      <c r="B19799" t="s">
        <v>11304</v>
      </c>
      <c r="C19799" t="str">
        <f>"A0054721"</f>
        <v>A0054721</v>
      </c>
      <c r="D19799" t="s">
        <v>59279</v>
      </c>
      <c r="E19799" t="s">
        <v>59280</v>
      </c>
      <c r="F19799" t="s">
        <v>26129</v>
      </c>
      <c r="G19799" t="s">
        <v>899</v>
      </c>
      <c r="H19799">
        <v>2116</v>
      </c>
      <c r="I19799" t="s">
        <v>30</v>
      </c>
      <c r="J19799" t="s">
        <v>171</v>
      </c>
      <c r="K19799" t="s">
        <v>163</v>
      </c>
      <c r="N19799" t="s">
        <v>59281</v>
      </c>
      <c r="Q19799">
        <v>0</v>
      </c>
      <c r="R19799">
        <v>143</v>
      </c>
      <c r="S19799">
        <v>0</v>
      </c>
      <c r="T19799" t="s">
        <v>59282</v>
      </c>
    </row>
    <row r="19800" spans="1:20" customFormat="1" ht="15" x14ac:dyDescent="0.25">
      <c r="A19800" t="s">
        <v>24</v>
      </c>
      <c r="B19800" t="s">
        <v>15916</v>
      </c>
      <c r="C19800" t="str">
        <f>"A0084718"</f>
        <v>A0084718</v>
      </c>
      <c r="D19800" t="s">
        <v>308</v>
      </c>
      <c r="E19800" t="s">
        <v>59327</v>
      </c>
      <c r="F19800" t="s">
        <v>54388</v>
      </c>
      <c r="G19800" t="s">
        <v>1898</v>
      </c>
      <c r="H19800">
        <v>50459</v>
      </c>
      <c r="I19800" t="s">
        <v>30</v>
      </c>
      <c r="J19800" t="s">
        <v>171</v>
      </c>
      <c r="K19800" t="s">
        <v>308</v>
      </c>
      <c r="N19800" t="s">
        <v>59328</v>
      </c>
      <c r="Q19800">
        <v>0</v>
      </c>
      <c r="R19800">
        <v>102</v>
      </c>
      <c r="S19800">
        <v>0</v>
      </c>
      <c r="T19800" t="s">
        <v>59329</v>
      </c>
    </row>
    <row r="19801" spans="1:20" customFormat="1" ht="15" x14ac:dyDescent="0.25">
      <c r="A19801" t="s">
        <v>24</v>
      </c>
      <c r="B19801" t="s">
        <v>59330</v>
      </c>
      <c r="C19801" t="str">
        <f>"432XC"</f>
        <v>432XC</v>
      </c>
      <c r="D19801" t="s">
        <v>59331</v>
      </c>
      <c r="E19801" t="s">
        <v>59332</v>
      </c>
      <c r="F19801" t="s">
        <v>56582</v>
      </c>
      <c r="G19801" t="s">
        <v>3236</v>
      </c>
      <c r="H19801">
        <v>57006</v>
      </c>
      <c r="I19801" t="s">
        <v>30</v>
      </c>
      <c r="J19801" t="s">
        <v>171</v>
      </c>
      <c r="K19801" t="s">
        <v>308</v>
      </c>
      <c r="N19801" t="s">
        <v>59333</v>
      </c>
      <c r="O19801" t="s">
        <v>59334</v>
      </c>
      <c r="Q19801">
        <v>0</v>
      </c>
      <c r="R19801">
        <v>76</v>
      </c>
      <c r="S19801">
        <v>0</v>
      </c>
      <c r="T19801" t="s">
        <v>59335</v>
      </c>
    </row>
    <row r="19802" spans="1:20" customFormat="1" ht="15" x14ac:dyDescent="0.25">
      <c r="A19802" t="s">
        <v>24</v>
      </c>
      <c r="B19802" t="s">
        <v>59336</v>
      </c>
      <c r="C19802" t="str">
        <f>"A0099944"</f>
        <v>A0099944</v>
      </c>
      <c r="D19802" t="s">
        <v>59337</v>
      </c>
      <c r="E19802" t="s">
        <v>59338</v>
      </c>
      <c r="F19802" t="s">
        <v>59339</v>
      </c>
      <c r="G19802" t="s">
        <v>123</v>
      </c>
      <c r="H19802">
        <v>20746</v>
      </c>
      <c r="I19802" t="s">
        <v>30</v>
      </c>
      <c r="J19802" t="s">
        <v>171</v>
      </c>
      <c r="K19802" t="s">
        <v>308</v>
      </c>
      <c r="N19802" t="s">
        <v>59340</v>
      </c>
      <c r="Q19802">
        <v>0</v>
      </c>
      <c r="R19802">
        <v>117</v>
      </c>
      <c r="S19802">
        <v>0</v>
      </c>
      <c r="T19802" t="s">
        <v>59341</v>
      </c>
    </row>
    <row r="19803" spans="1:20" customFormat="1" ht="15" x14ac:dyDescent="0.25">
      <c r="A19803" t="s">
        <v>24</v>
      </c>
      <c r="B19803" t="s">
        <v>59342</v>
      </c>
      <c r="C19803" t="str">
        <f>"A0074184"</f>
        <v>A0074184</v>
      </c>
      <c r="D19803" t="s">
        <v>59343</v>
      </c>
      <c r="E19803" t="s">
        <v>59344</v>
      </c>
      <c r="F19803" t="s">
        <v>372</v>
      </c>
      <c r="G19803" t="s">
        <v>52</v>
      </c>
      <c r="H19803">
        <v>78728</v>
      </c>
      <c r="I19803" t="s">
        <v>30</v>
      </c>
      <c r="J19803" t="s">
        <v>171</v>
      </c>
      <c r="K19803" t="s">
        <v>308</v>
      </c>
      <c r="N19803" t="s">
        <v>59345</v>
      </c>
      <c r="Q19803">
        <v>0</v>
      </c>
      <c r="R19803">
        <v>84</v>
      </c>
      <c r="S19803">
        <v>0</v>
      </c>
      <c r="T19803" t="s">
        <v>59346</v>
      </c>
    </row>
    <row r="19804" spans="1:20" customFormat="1" ht="15" x14ac:dyDescent="0.25">
      <c r="A19804" t="s">
        <v>24</v>
      </c>
      <c r="B19804" t="s">
        <v>59347</v>
      </c>
      <c r="C19804" t="str">
        <f>"A0099756"</f>
        <v>A0099756</v>
      </c>
      <c r="D19804" t="s">
        <v>59348</v>
      </c>
      <c r="E19804" t="s">
        <v>59349</v>
      </c>
      <c r="F19804" t="s">
        <v>10730</v>
      </c>
      <c r="G19804" t="s">
        <v>214</v>
      </c>
      <c r="H19804">
        <v>28805</v>
      </c>
      <c r="I19804" t="s">
        <v>30</v>
      </c>
      <c r="J19804" t="s">
        <v>171</v>
      </c>
      <c r="K19804" t="s">
        <v>308</v>
      </c>
      <c r="N19804" t="s">
        <v>59350</v>
      </c>
      <c r="Q19804">
        <v>0</v>
      </c>
      <c r="R19804">
        <v>74</v>
      </c>
      <c r="S19804">
        <v>0</v>
      </c>
      <c r="T19804" t="s">
        <v>59351</v>
      </c>
    </row>
    <row r="19805" spans="1:20" customFormat="1" ht="15" x14ac:dyDescent="0.25">
      <c r="A19805" t="s">
        <v>24</v>
      </c>
      <c r="B19805" t="s">
        <v>56443</v>
      </c>
      <c r="C19805" t="str">
        <f>"A0098239"</f>
        <v>A0098239</v>
      </c>
      <c r="D19805" t="s">
        <v>59352</v>
      </c>
      <c r="E19805" t="s">
        <v>59353</v>
      </c>
      <c r="F19805" t="s">
        <v>845</v>
      </c>
      <c r="G19805" t="s">
        <v>846</v>
      </c>
      <c r="H19805">
        <v>30315</v>
      </c>
      <c r="I19805" t="s">
        <v>30</v>
      </c>
      <c r="J19805" t="s">
        <v>171</v>
      </c>
      <c r="K19805" t="s">
        <v>308</v>
      </c>
      <c r="N19805" t="s">
        <v>13798</v>
      </c>
      <c r="Q19805">
        <v>0</v>
      </c>
      <c r="R19805">
        <v>94</v>
      </c>
      <c r="S19805">
        <v>0</v>
      </c>
      <c r="T19805" t="s">
        <v>59354</v>
      </c>
    </row>
    <row r="19806" spans="1:20" customFormat="1" ht="15" hidden="1" x14ac:dyDescent="0.25">
      <c r="A19806" t="s">
        <v>24</v>
      </c>
      <c r="B19806" t="s">
        <v>72975</v>
      </c>
      <c r="C19806" t="str">
        <f>"A0147497"</f>
        <v>A0147497</v>
      </c>
      <c r="D19806" t="s">
        <v>73577</v>
      </c>
      <c r="E19806" t="s">
        <v>73578</v>
      </c>
      <c r="F19806" t="s">
        <v>2879</v>
      </c>
      <c r="G19806" t="s">
        <v>2206</v>
      </c>
      <c r="H19806" t="s">
        <v>69683</v>
      </c>
      <c r="I19806" t="s">
        <v>1459</v>
      </c>
      <c r="J19806" t="s">
        <v>171</v>
      </c>
      <c r="K19806" t="s">
        <v>1202</v>
      </c>
      <c r="N19806" t="s">
        <v>73579</v>
      </c>
      <c r="Q19806">
        <v>0</v>
      </c>
      <c r="R19806">
        <v>123</v>
      </c>
      <c r="S19806">
        <v>0</v>
      </c>
      <c r="T19806" t="s">
        <v>73580</v>
      </c>
    </row>
    <row r="19807" spans="1:20" customFormat="1" ht="15" hidden="1" x14ac:dyDescent="0.25">
      <c r="A19807" t="s">
        <v>24</v>
      </c>
      <c r="B19807" t="s">
        <v>57810</v>
      </c>
      <c r="C19807" t="str">
        <f>"A0101065"</f>
        <v>A0101065</v>
      </c>
      <c r="D19807" t="s">
        <v>73581</v>
      </c>
      <c r="E19807" t="s">
        <v>57812</v>
      </c>
      <c r="F19807" t="s">
        <v>15269</v>
      </c>
      <c r="G19807" t="s">
        <v>15270</v>
      </c>
      <c r="H19807" t="s">
        <v>73582</v>
      </c>
      <c r="I19807" t="s">
        <v>1459</v>
      </c>
      <c r="J19807" t="s">
        <v>171</v>
      </c>
      <c r="K19807" t="s">
        <v>1202</v>
      </c>
      <c r="N19807" t="s">
        <v>73583</v>
      </c>
      <c r="Q19807">
        <v>0</v>
      </c>
      <c r="R19807">
        <v>120</v>
      </c>
      <c r="S19807">
        <v>0</v>
      </c>
      <c r="T19807" t="s">
        <v>73584</v>
      </c>
    </row>
    <row r="19808" spans="1:20" customFormat="1" ht="15" x14ac:dyDescent="0.25">
      <c r="A19808" t="s">
        <v>24</v>
      </c>
      <c r="B19808" t="s">
        <v>59364</v>
      </c>
      <c r="C19808" t="str">
        <f>"A0154012"</f>
        <v>A0154012</v>
      </c>
      <c r="D19808" t="s">
        <v>59365</v>
      </c>
      <c r="E19808" t="s">
        <v>59366</v>
      </c>
      <c r="F19808" t="s">
        <v>59367</v>
      </c>
      <c r="G19808" t="s">
        <v>846</v>
      </c>
      <c r="H19808">
        <v>31313</v>
      </c>
      <c r="I19808" t="s">
        <v>30</v>
      </c>
      <c r="J19808" t="s">
        <v>171</v>
      </c>
      <c r="K19808" t="s">
        <v>308</v>
      </c>
      <c r="N19808" t="s">
        <v>59368</v>
      </c>
      <c r="Q19808">
        <v>0</v>
      </c>
      <c r="R19808">
        <v>65</v>
      </c>
      <c r="S19808">
        <v>0</v>
      </c>
      <c r="T19808" t="s">
        <v>59369</v>
      </c>
    </row>
    <row r="19809" spans="1:20" customFormat="1" ht="15" x14ac:dyDescent="0.25">
      <c r="A19809" t="s">
        <v>24</v>
      </c>
      <c r="B19809" t="s">
        <v>55987</v>
      </c>
      <c r="C19809" t="str">
        <f>"A0101126"</f>
        <v>A0101126</v>
      </c>
      <c r="D19809" t="s">
        <v>59370</v>
      </c>
      <c r="E19809" t="s">
        <v>59371</v>
      </c>
      <c r="F19809" t="s">
        <v>59372</v>
      </c>
      <c r="G19809" t="s">
        <v>117</v>
      </c>
      <c r="H19809">
        <v>49931</v>
      </c>
      <c r="I19809" t="s">
        <v>30</v>
      </c>
      <c r="J19809" t="s">
        <v>171</v>
      </c>
      <c r="K19809" t="s">
        <v>308</v>
      </c>
      <c r="N19809" t="s">
        <v>59373</v>
      </c>
      <c r="Q19809">
        <v>0</v>
      </c>
      <c r="R19809">
        <v>75</v>
      </c>
      <c r="S19809">
        <v>0</v>
      </c>
      <c r="T19809" t="s">
        <v>59374</v>
      </c>
    </row>
    <row r="19810" spans="1:20" customFormat="1" ht="15" x14ac:dyDescent="0.25">
      <c r="A19810" t="s">
        <v>24</v>
      </c>
      <c r="B19810" t="s">
        <v>2349</v>
      </c>
      <c r="C19810" t="str">
        <f>"A0088801"</f>
        <v>A0088801</v>
      </c>
      <c r="D19810" t="s">
        <v>59375</v>
      </c>
      <c r="E19810" t="s">
        <v>59376</v>
      </c>
      <c r="F19810" t="s">
        <v>59377</v>
      </c>
      <c r="G19810" t="s">
        <v>840</v>
      </c>
      <c r="H19810">
        <v>41048</v>
      </c>
      <c r="I19810" t="s">
        <v>30</v>
      </c>
      <c r="J19810" t="s">
        <v>171</v>
      </c>
      <c r="K19810" t="s">
        <v>308</v>
      </c>
      <c r="N19810" t="s">
        <v>59378</v>
      </c>
      <c r="O19810" t="s">
        <v>59379</v>
      </c>
      <c r="Q19810">
        <v>0</v>
      </c>
      <c r="R19810">
        <v>86</v>
      </c>
      <c r="S19810">
        <v>0</v>
      </c>
      <c r="T19810" t="s">
        <v>59380</v>
      </c>
    </row>
    <row r="19811" spans="1:20" customFormat="1" ht="15" x14ac:dyDescent="0.25">
      <c r="A19811" t="s">
        <v>24</v>
      </c>
      <c r="B19811" t="s">
        <v>9412</v>
      </c>
      <c r="C19811" t="str">
        <f>"A0095568"</f>
        <v>A0095568</v>
      </c>
      <c r="D19811" t="s">
        <v>59381</v>
      </c>
      <c r="E19811" t="s">
        <v>59382</v>
      </c>
      <c r="F19811" t="s">
        <v>59383</v>
      </c>
      <c r="G19811" t="s">
        <v>71</v>
      </c>
      <c r="H19811">
        <v>54937</v>
      </c>
      <c r="I19811" t="s">
        <v>30</v>
      </c>
      <c r="J19811" t="s">
        <v>171</v>
      </c>
      <c r="K19811" t="s">
        <v>308</v>
      </c>
      <c r="N19811" t="s">
        <v>58223</v>
      </c>
      <c r="Q19811">
        <v>0</v>
      </c>
      <c r="R19811">
        <v>65</v>
      </c>
      <c r="S19811">
        <v>0</v>
      </c>
      <c r="T19811" t="s">
        <v>59384</v>
      </c>
    </row>
    <row r="19812" spans="1:20" customFormat="1" ht="15" x14ac:dyDescent="0.25">
      <c r="A19812" t="s">
        <v>24</v>
      </c>
      <c r="B19812" t="s">
        <v>15916</v>
      </c>
      <c r="C19812" t="str">
        <f>"A0083346"</f>
        <v>A0083346</v>
      </c>
      <c r="D19812" t="s">
        <v>59385</v>
      </c>
      <c r="E19812" t="s">
        <v>59386</v>
      </c>
      <c r="F19812" t="s">
        <v>59387</v>
      </c>
      <c r="G19812" t="s">
        <v>71</v>
      </c>
      <c r="H19812">
        <v>54304</v>
      </c>
      <c r="I19812" t="s">
        <v>30</v>
      </c>
      <c r="J19812" t="s">
        <v>171</v>
      </c>
      <c r="K19812" t="s">
        <v>308</v>
      </c>
      <c r="N19812" t="s">
        <v>59388</v>
      </c>
      <c r="Q19812">
        <v>0</v>
      </c>
      <c r="R19812">
        <v>75</v>
      </c>
      <c r="S19812">
        <v>0</v>
      </c>
      <c r="T19812" t="s">
        <v>59389</v>
      </c>
    </row>
    <row r="19813" spans="1:20" customFormat="1" ht="15" x14ac:dyDescent="0.25">
      <c r="A19813" t="s">
        <v>24</v>
      </c>
      <c r="B19813" t="s">
        <v>1020</v>
      </c>
      <c r="C19813" t="str">
        <f>"A0091014"</f>
        <v>A0091014</v>
      </c>
      <c r="D19813" t="s">
        <v>59390</v>
      </c>
      <c r="E19813" t="s">
        <v>59391</v>
      </c>
      <c r="F19813" t="s">
        <v>59184</v>
      </c>
      <c r="G19813" t="s">
        <v>52</v>
      </c>
      <c r="H19813">
        <v>77338</v>
      </c>
      <c r="I19813" t="s">
        <v>30</v>
      </c>
      <c r="J19813" t="s">
        <v>171</v>
      </c>
      <c r="K19813" t="s">
        <v>308</v>
      </c>
      <c r="N19813" t="s">
        <v>59392</v>
      </c>
      <c r="Q19813">
        <v>0</v>
      </c>
      <c r="R19813">
        <v>62</v>
      </c>
      <c r="S19813">
        <v>0</v>
      </c>
      <c r="T19813" t="s">
        <v>59393</v>
      </c>
    </row>
    <row r="19814" spans="1:20" customFormat="1" ht="15" x14ac:dyDescent="0.25">
      <c r="A19814" t="s">
        <v>24</v>
      </c>
      <c r="B19814" t="s">
        <v>58744</v>
      </c>
      <c r="C19814" t="str">
        <f>"A0097825"</f>
        <v>A0097825</v>
      </c>
      <c r="D19814" t="s">
        <v>59394</v>
      </c>
      <c r="E19814" t="s">
        <v>59395</v>
      </c>
      <c r="F19814" t="s">
        <v>59396</v>
      </c>
      <c r="G19814" t="s">
        <v>58</v>
      </c>
      <c r="H19814">
        <v>29118</v>
      </c>
      <c r="I19814" t="s">
        <v>30</v>
      </c>
      <c r="J19814" t="s">
        <v>171</v>
      </c>
      <c r="K19814" t="s">
        <v>308</v>
      </c>
      <c r="N19814" t="s">
        <v>59397</v>
      </c>
      <c r="O19814" t="s">
        <v>59398</v>
      </c>
      <c r="Q19814">
        <v>0</v>
      </c>
      <c r="R19814">
        <v>81</v>
      </c>
      <c r="S19814">
        <v>0</v>
      </c>
      <c r="T19814" t="s">
        <v>59399</v>
      </c>
    </row>
    <row r="19815" spans="1:20" customFormat="1" ht="15" x14ac:dyDescent="0.25">
      <c r="A19815" t="s">
        <v>24</v>
      </c>
      <c r="B19815" t="s">
        <v>59330</v>
      </c>
      <c r="C19815" t="str">
        <f>"A0149414"</f>
        <v>A0149414</v>
      </c>
      <c r="D19815" t="s">
        <v>59400</v>
      </c>
      <c r="E19815" t="s">
        <v>59401</v>
      </c>
      <c r="F19815" t="s">
        <v>59402</v>
      </c>
      <c r="G19815" t="s">
        <v>1898</v>
      </c>
      <c r="H19815">
        <v>50219</v>
      </c>
      <c r="I19815" t="s">
        <v>30</v>
      </c>
      <c r="J19815" t="s">
        <v>171</v>
      </c>
      <c r="K19815" t="s">
        <v>308</v>
      </c>
      <c r="N19815" t="s">
        <v>59403</v>
      </c>
      <c r="Q19815">
        <v>0</v>
      </c>
      <c r="R19815">
        <v>0</v>
      </c>
      <c r="S19815">
        <v>0</v>
      </c>
      <c r="T19815" t="s">
        <v>59404</v>
      </c>
    </row>
    <row r="19816" spans="1:20" customFormat="1" ht="15" x14ac:dyDescent="0.25">
      <c r="A19816" t="s">
        <v>24</v>
      </c>
      <c r="B19816" t="s">
        <v>59405</v>
      </c>
      <c r="C19816" t="str">
        <f>"432ZG"</f>
        <v>432ZG</v>
      </c>
      <c r="D19816" t="s">
        <v>59406</v>
      </c>
      <c r="E19816" t="s">
        <v>59407</v>
      </c>
      <c r="F19816" t="s">
        <v>34458</v>
      </c>
      <c r="G19816" t="s">
        <v>197</v>
      </c>
      <c r="H19816">
        <v>85226</v>
      </c>
      <c r="I19816" t="s">
        <v>30</v>
      </c>
      <c r="J19816" t="s">
        <v>171</v>
      </c>
      <c r="K19816" t="s">
        <v>308</v>
      </c>
      <c r="N19816" t="s">
        <v>59408</v>
      </c>
      <c r="Q19816">
        <v>0</v>
      </c>
      <c r="R19816">
        <v>66</v>
      </c>
      <c r="S19816">
        <v>0</v>
      </c>
      <c r="T19816" t="s">
        <v>59409</v>
      </c>
    </row>
    <row r="19817" spans="1:20" customFormat="1" ht="15" x14ac:dyDescent="0.25">
      <c r="A19817" t="s">
        <v>24</v>
      </c>
      <c r="B19817" t="s">
        <v>11378</v>
      </c>
      <c r="C19817" t="str">
        <f>"A0165579"</f>
        <v>A0165579</v>
      </c>
      <c r="D19817" t="s">
        <v>59410</v>
      </c>
      <c r="E19817" t="s">
        <v>59411</v>
      </c>
      <c r="F19817" t="s">
        <v>11381</v>
      </c>
      <c r="G19817" t="s">
        <v>846</v>
      </c>
      <c r="H19817">
        <v>30087</v>
      </c>
      <c r="I19817" t="s">
        <v>30</v>
      </c>
      <c r="J19817" t="s">
        <v>171</v>
      </c>
      <c r="K19817" t="s">
        <v>308</v>
      </c>
      <c r="N19817" t="s">
        <v>33743</v>
      </c>
      <c r="Q19817">
        <v>0</v>
      </c>
      <c r="R19817">
        <v>72</v>
      </c>
      <c r="S19817">
        <v>0</v>
      </c>
      <c r="T19817" t="s">
        <v>59412</v>
      </c>
    </row>
    <row r="19818" spans="1:20" customFormat="1" ht="15" x14ac:dyDescent="0.25">
      <c r="A19818" t="s">
        <v>24</v>
      </c>
      <c r="B19818" t="s">
        <v>58744</v>
      </c>
      <c r="C19818" t="str">
        <f>"A0097824"</f>
        <v>A0097824</v>
      </c>
      <c r="D19818" t="s">
        <v>59413</v>
      </c>
      <c r="E19818" t="s">
        <v>59414</v>
      </c>
      <c r="F19818" t="s">
        <v>3029</v>
      </c>
      <c r="G19818" t="s">
        <v>58</v>
      </c>
      <c r="H19818">
        <v>29483</v>
      </c>
      <c r="I19818" t="s">
        <v>30</v>
      </c>
      <c r="J19818" t="s">
        <v>171</v>
      </c>
      <c r="K19818" t="s">
        <v>308</v>
      </c>
      <c r="N19818" t="s">
        <v>59415</v>
      </c>
      <c r="Q19818">
        <v>0</v>
      </c>
      <c r="R19818">
        <v>85</v>
      </c>
      <c r="S19818">
        <v>0</v>
      </c>
      <c r="T19818" t="s">
        <v>59416</v>
      </c>
    </row>
    <row r="19819" spans="1:20" customFormat="1" ht="15" x14ac:dyDescent="0.25">
      <c r="A19819" t="s">
        <v>24</v>
      </c>
      <c r="B19819" t="s">
        <v>4990</v>
      </c>
      <c r="C19819" t="str">
        <f>"A0099274"</f>
        <v>A0099274</v>
      </c>
      <c r="D19819" t="s">
        <v>59417</v>
      </c>
      <c r="E19819" t="s">
        <v>59418</v>
      </c>
      <c r="F19819" t="s">
        <v>59419</v>
      </c>
      <c r="G19819" t="s">
        <v>289</v>
      </c>
      <c r="H19819">
        <v>60487</v>
      </c>
      <c r="I19819" t="s">
        <v>30</v>
      </c>
      <c r="J19819" t="s">
        <v>171</v>
      </c>
      <c r="K19819" t="s">
        <v>308</v>
      </c>
      <c r="N19819" t="s">
        <v>59420</v>
      </c>
      <c r="O19819" t="s">
        <v>59421</v>
      </c>
      <c r="Q19819">
        <v>0</v>
      </c>
      <c r="R19819">
        <v>99</v>
      </c>
      <c r="S19819">
        <v>0</v>
      </c>
      <c r="T19819" t="s">
        <v>59422</v>
      </c>
    </row>
    <row r="19820" spans="1:20" customFormat="1" ht="15" hidden="1" x14ac:dyDescent="0.25">
      <c r="A19820" t="s">
        <v>24</v>
      </c>
      <c r="B19820" t="s">
        <v>72975</v>
      </c>
      <c r="C19820" t="str">
        <f>"A0092535"</f>
        <v>A0092535</v>
      </c>
      <c r="D19820" t="s">
        <v>73635</v>
      </c>
      <c r="E19820" t="s">
        <v>73636</v>
      </c>
      <c r="F19820" t="s">
        <v>3147</v>
      </c>
      <c r="G19820" t="s">
        <v>8864</v>
      </c>
      <c r="I19820" t="s">
        <v>3147</v>
      </c>
      <c r="J19820" t="s">
        <v>171</v>
      </c>
      <c r="K19820" t="s">
        <v>1202</v>
      </c>
      <c r="N19820" t="s">
        <v>73637</v>
      </c>
      <c r="Q19820">
        <v>0</v>
      </c>
      <c r="R19820">
        <v>168</v>
      </c>
      <c r="S19820">
        <v>0</v>
      </c>
      <c r="T19820" t="s">
        <v>73638</v>
      </c>
    </row>
    <row r="19821" spans="1:20" customFormat="1" ht="15" x14ac:dyDescent="0.25">
      <c r="A19821" t="s">
        <v>24</v>
      </c>
      <c r="B19821" t="s">
        <v>59423</v>
      </c>
      <c r="C19821" t="str">
        <f>"432Z5"</f>
        <v>432Z5</v>
      </c>
      <c r="D19821" t="s">
        <v>59424</v>
      </c>
      <c r="E19821" t="s">
        <v>59425</v>
      </c>
      <c r="F19821" t="s">
        <v>1871</v>
      </c>
      <c r="G19821" t="s">
        <v>925</v>
      </c>
      <c r="H19821">
        <v>67207</v>
      </c>
      <c r="I19821" t="s">
        <v>30</v>
      </c>
      <c r="J19821" t="s">
        <v>171</v>
      </c>
      <c r="K19821" t="s">
        <v>308</v>
      </c>
      <c r="N19821" t="s">
        <v>59426</v>
      </c>
      <c r="O19821" t="s">
        <v>59427</v>
      </c>
      <c r="Q19821">
        <v>0</v>
      </c>
      <c r="R19821">
        <v>104</v>
      </c>
      <c r="S19821">
        <v>0</v>
      </c>
      <c r="T19821" t="s">
        <v>59428</v>
      </c>
    </row>
    <row r="19822" spans="1:20" customFormat="1" ht="15" x14ac:dyDescent="0.25">
      <c r="A19822" t="s">
        <v>24</v>
      </c>
      <c r="B19822" t="s">
        <v>8579</v>
      </c>
      <c r="C19822" t="str">
        <f>"A0088485"</f>
        <v>A0088485</v>
      </c>
      <c r="D19822" t="s">
        <v>59438</v>
      </c>
      <c r="E19822" t="s">
        <v>59439</v>
      </c>
      <c r="F19822" t="s">
        <v>59440</v>
      </c>
      <c r="G19822" t="s">
        <v>190</v>
      </c>
      <c r="H19822">
        <v>81601</v>
      </c>
      <c r="I19822" t="s">
        <v>30</v>
      </c>
      <c r="J19822" t="s">
        <v>171</v>
      </c>
      <c r="K19822" t="s">
        <v>973</v>
      </c>
      <c r="N19822" t="s">
        <v>59441</v>
      </c>
      <c r="Q19822">
        <v>0</v>
      </c>
      <c r="R19822">
        <v>101</v>
      </c>
      <c r="S19822">
        <v>0</v>
      </c>
      <c r="T19822" t="s">
        <v>59442</v>
      </c>
    </row>
    <row r="19823" spans="1:20" customFormat="1" ht="15" x14ac:dyDescent="0.25">
      <c r="A19823" t="s">
        <v>24</v>
      </c>
      <c r="B19823" t="s">
        <v>2955</v>
      </c>
      <c r="C19823" t="str">
        <f>"651XF"</f>
        <v>651XF</v>
      </c>
      <c r="D19823" t="s">
        <v>59447</v>
      </c>
      <c r="E19823" t="s">
        <v>59448</v>
      </c>
      <c r="F19823" t="s">
        <v>2094</v>
      </c>
      <c r="G19823" t="s">
        <v>52</v>
      </c>
      <c r="H19823">
        <v>75207</v>
      </c>
      <c r="I19823" t="s">
        <v>30</v>
      </c>
      <c r="J19823" t="s">
        <v>171</v>
      </c>
      <c r="K19823" t="s">
        <v>973</v>
      </c>
      <c r="N19823" t="s">
        <v>59449</v>
      </c>
      <c r="O19823" t="s">
        <v>14570</v>
      </c>
      <c r="Q19823">
        <v>0</v>
      </c>
      <c r="R19823">
        <v>180</v>
      </c>
      <c r="S19823">
        <v>0</v>
      </c>
      <c r="T19823" t="s">
        <v>59450</v>
      </c>
    </row>
    <row r="19824" spans="1:20" customFormat="1" ht="15" x14ac:dyDescent="0.25">
      <c r="A19824" t="s">
        <v>24</v>
      </c>
      <c r="B19824" t="s">
        <v>675</v>
      </c>
      <c r="C19824" t="str">
        <f>"A0093274"</f>
        <v>A0093274</v>
      </c>
      <c r="D19824" t="s">
        <v>59451</v>
      </c>
      <c r="E19824" t="s">
        <v>59452</v>
      </c>
      <c r="F19824" t="s">
        <v>1519</v>
      </c>
      <c r="G19824" t="s">
        <v>110</v>
      </c>
      <c r="H19824">
        <v>90015</v>
      </c>
      <c r="I19824" t="s">
        <v>30</v>
      </c>
      <c r="J19824" t="s">
        <v>171</v>
      </c>
      <c r="K19824" t="s">
        <v>973</v>
      </c>
      <c r="N19824" t="s">
        <v>59453</v>
      </c>
      <c r="O19824" t="s">
        <v>59454</v>
      </c>
      <c r="Q19824">
        <v>0</v>
      </c>
      <c r="R19824">
        <v>174</v>
      </c>
      <c r="S19824">
        <v>0</v>
      </c>
      <c r="T19824" t="s">
        <v>59455</v>
      </c>
    </row>
    <row r="19825" spans="1:20" customFormat="1" ht="15" x14ac:dyDescent="0.25">
      <c r="A19825" t="s">
        <v>24</v>
      </c>
      <c r="B19825" t="s">
        <v>2955</v>
      </c>
      <c r="C19825" t="str">
        <f>"A0100764"</f>
        <v>A0100764</v>
      </c>
      <c r="D19825" t="s">
        <v>59456</v>
      </c>
      <c r="E19825" t="s">
        <v>59457</v>
      </c>
      <c r="F19825" t="s">
        <v>313</v>
      </c>
      <c r="G19825" t="s">
        <v>314</v>
      </c>
      <c r="H19825">
        <v>20001</v>
      </c>
      <c r="I19825" t="s">
        <v>30</v>
      </c>
      <c r="J19825" t="s">
        <v>171</v>
      </c>
      <c r="K19825" t="s">
        <v>973</v>
      </c>
      <c r="N19825" t="s">
        <v>59458</v>
      </c>
      <c r="O19825" t="s">
        <v>59459</v>
      </c>
      <c r="Q19825">
        <v>0</v>
      </c>
      <c r="R19825">
        <v>357</v>
      </c>
      <c r="S19825">
        <v>0</v>
      </c>
      <c r="T19825" t="s">
        <v>59460</v>
      </c>
    </row>
    <row r="19826" spans="1:20" customFormat="1" ht="15" x14ac:dyDescent="0.25">
      <c r="A19826" t="s">
        <v>24</v>
      </c>
      <c r="B19826" t="s">
        <v>2955</v>
      </c>
      <c r="C19826" t="str">
        <f>"A0083388"</f>
        <v>A0083388</v>
      </c>
      <c r="D19826" t="s">
        <v>59469</v>
      </c>
      <c r="E19826" t="s">
        <v>59470</v>
      </c>
      <c r="F19826" t="s">
        <v>7825</v>
      </c>
      <c r="G19826" t="s">
        <v>123</v>
      </c>
      <c r="H19826">
        <v>21001</v>
      </c>
      <c r="I19826" t="s">
        <v>30</v>
      </c>
      <c r="J19826" t="s">
        <v>171</v>
      </c>
      <c r="K19826" t="s">
        <v>973</v>
      </c>
      <c r="N19826" t="s">
        <v>59471</v>
      </c>
      <c r="O19826" t="s">
        <v>59472</v>
      </c>
      <c r="Q19826">
        <v>0</v>
      </c>
      <c r="R19826">
        <v>120</v>
      </c>
      <c r="S19826">
        <v>0</v>
      </c>
      <c r="T19826" t="s">
        <v>59473</v>
      </c>
    </row>
    <row r="19827" spans="1:20" customFormat="1" ht="15" x14ac:dyDescent="0.25">
      <c r="A19827" t="s">
        <v>24</v>
      </c>
      <c r="B19827" t="s">
        <v>1561</v>
      </c>
      <c r="C19827" t="str">
        <f>"651ZH"</f>
        <v>651ZH</v>
      </c>
      <c r="D19827" t="s">
        <v>59474</v>
      </c>
      <c r="E19827" t="s">
        <v>59475</v>
      </c>
      <c r="F19827" t="s">
        <v>59476</v>
      </c>
      <c r="G19827" t="s">
        <v>52</v>
      </c>
      <c r="H19827">
        <v>79606</v>
      </c>
      <c r="I19827" t="s">
        <v>30</v>
      </c>
      <c r="J19827" t="s">
        <v>171</v>
      </c>
      <c r="K19827" t="s">
        <v>973</v>
      </c>
      <c r="N19827" t="s">
        <v>59477</v>
      </c>
      <c r="Q19827">
        <v>0</v>
      </c>
      <c r="R19827">
        <v>100</v>
      </c>
      <c r="S19827">
        <v>0</v>
      </c>
      <c r="T19827" t="s">
        <v>59478</v>
      </c>
    </row>
    <row r="19828" spans="1:20" customFormat="1" ht="15" x14ac:dyDescent="0.25">
      <c r="A19828" t="s">
        <v>24</v>
      </c>
      <c r="B19828" t="s">
        <v>33301</v>
      </c>
      <c r="C19828" t="str">
        <f>"A0094399"</f>
        <v>A0094399</v>
      </c>
      <c r="D19828" t="s">
        <v>59479</v>
      </c>
      <c r="E19828" t="s">
        <v>59480</v>
      </c>
      <c r="F19828" t="s">
        <v>59476</v>
      </c>
      <c r="G19828" t="s">
        <v>52</v>
      </c>
      <c r="H19828">
        <v>79601</v>
      </c>
      <c r="I19828" t="s">
        <v>30</v>
      </c>
      <c r="J19828" t="s">
        <v>171</v>
      </c>
      <c r="K19828" t="s">
        <v>973</v>
      </c>
      <c r="N19828" t="s">
        <v>59481</v>
      </c>
      <c r="O19828" t="s">
        <v>59482</v>
      </c>
      <c r="Q19828">
        <v>0</v>
      </c>
      <c r="R19828">
        <v>76</v>
      </c>
      <c r="S19828">
        <v>0</v>
      </c>
      <c r="T19828" t="s">
        <v>59483</v>
      </c>
    </row>
    <row r="19829" spans="1:20" customFormat="1" ht="15" x14ac:dyDescent="0.25">
      <c r="A19829" t="s">
        <v>24</v>
      </c>
      <c r="B19829" t="s">
        <v>649</v>
      </c>
      <c r="C19829" t="str">
        <f>"311Q9"</f>
        <v>311Q9</v>
      </c>
      <c r="D19829" t="s">
        <v>59490</v>
      </c>
      <c r="E19829" t="s">
        <v>59491</v>
      </c>
      <c r="F19829" t="s">
        <v>56870</v>
      </c>
      <c r="G19829" t="s">
        <v>137</v>
      </c>
      <c r="H19829">
        <v>63044</v>
      </c>
      <c r="I19829" t="s">
        <v>30</v>
      </c>
      <c r="J19829" t="s">
        <v>171</v>
      </c>
      <c r="K19829" t="s">
        <v>973</v>
      </c>
      <c r="N19829" t="s">
        <v>59492</v>
      </c>
      <c r="Q19829">
        <v>0</v>
      </c>
      <c r="R19829">
        <v>121</v>
      </c>
      <c r="S19829">
        <v>0</v>
      </c>
      <c r="T19829" t="s">
        <v>59493</v>
      </c>
    </row>
    <row r="19830" spans="1:20" customFormat="1" ht="15" x14ac:dyDescent="0.25">
      <c r="A19830" t="s">
        <v>24</v>
      </c>
      <c r="B19830" t="s">
        <v>5079</v>
      </c>
      <c r="C19830" t="str">
        <f>"651IF"</f>
        <v>651IF</v>
      </c>
      <c r="D19830" t="s">
        <v>59494</v>
      </c>
      <c r="E19830" t="s">
        <v>59495</v>
      </c>
      <c r="F19830" t="s">
        <v>6897</v>
      </c>
      <c r="G19830" t="s">
        <v>99</v>
      </c>
      <c r="H19830">
        <v>12206</v>
      </c>
      <c r="I19830" t="s">
        <v>30</v>
      </c>
      <c r="J19830" t="s">
        <v>171</v>
      </c>
      <c r="K19830" t="s">
        <v>973</v>
      </c>
      <c r="N19830" t="s">
        <v>59496</v>
      </c>
      <c r="O19830" t="s">
        <v>3486</v>
      </c>
      <c r="Q19830">
        <v>0</v>
      </c>
      <c r="R19830">
        <v>78</v>
      </c>
      <c r="S19830">
        <v>0</v>
      </c>
      <c r="T19830" t="s">
        <v>59497</v>
      </c>
    </row>
    <row r="19831" spans="1:20" customFormat="1" ht="15" x14ac:dyDescent="0.25">
      <c r="A19831" t="s">
        <v>24</v>
      </c>
      <c r="B19831" t="s">
        <v>5079</v>
      </c>
      <c r="C19831" t="str">
        <f>"A0100217"</f>
        <v>A0100217</v>
      </c>
      <c r="D19831" t="s">
        <v>59498</v>
      </c>
      <c r="E19831" t="s">
        <v>59499</v>
      </c>
      <c r="F19831" t="s">
        <v>6314</v>
      </c>
      <c r="G19831" t="s">
        <v>99</v>
      </c>
      <c r="H19831">
        <v>12180</v>
      </c>
      <c r="I19831" t="s">
        <v>30</v>
      </c>
      <c r="J19831" t="s">
        <v>171</v>
      </c>
      <c r="K19831" t="s">
        <v>973</v>
      </c>
      <c r="N19831" t="s">
        <v>59500</v>
      </c>
      <c r="O19831" t="s">
        <v>3486</v>
      </c>
      <c r="Q19831">
        <v>0</v>
      </c>
      <c r="R19831">
        <v>124</v>
      </c>
      <c r="S19831">
        <v>0</v>
      </c>
      <c r="T19831" t="s">
        <v>59501</v>
      </c>
    </row>
    <row r="19832" spans="1:20" customFormat="1" ht="15" hidden="1" x14ac:dyDescent="0.25">
      <c r="A19832" t="s">
        <v>24</v>
      </c>
      <c r="B19832" t="s">
        <v>72975</v>
      </c>
      <c r="C19832" t="str">
        <f>"A0091812"</f>
        <v>A0091812</v>
      </c>
      <c r="D19832" t="s">
        <v>73686</v>
      </c>
      <c r="E19832" t="s">
        <v>73687</v>
      </c>
      <c r="F19832" t="s">
        <v>4802</v>
      </c>
      <c r="G19832" t="s">
        <v>6356</v>
      </c>
      <c r="H19832">
        <v>11803</v>
      </c>
      <c r="I19832" t="s">
        <v>4803</v>
      </c>
      <c r="J19832" t="s">
        <v>171</v>
      </c>
      <c r="K19832" t="s">
        <v>1202</v>
      </c>
      <c r="N19832" t="s">
        <v>73178</v>
      </c>
      <c r="O19832" t="s">
        <v>73688</v>
      </c>
      <c r="Q19832">
        <v>0</v>
      </c>
      <c r="R19832">
        <v>120</v>
      </c>
      <c r="S19832">
        <v>0</v>
      </c>
      <c r="T19832" t="s">
        <v>73689</v>
      </c>
    </row>
    <row r="19833" spans="1:20" customFormat="1" ht="15" x14ac:dyDescent="0.25">
      <c r="A19833" t="s">
        <v>24</v>
      </c>
      <c r="B19833" t="s">
        <v>5079</v>
      </c>
      <c r="C19833" t="str">
        <f>"A0149479"</f>
        <v>A0149479</v>
      </c>
      <c r="D19833" t="s">
        <v>59502</v>
      </c>
      <c r="E19833" t="s">
        <v>59503</v>
      </c>
      <c r="F19833" t="s">
        <v>59504</v>
      </c>
      <c r="G19833" t="s">
        <v>99</v>
      </c>
      <c r="H19833">
        <v>12205</v>
      </c>
      <c r="I19833" t="s">
        <v>30</v>
      </c>
      <c r="J19833" t="s">
        <v>171</v>
      </c>
      <c r="K19833" t="s">
        <v>973</v>
      </c>
      <c r="N19833" t="s">
        <v>59505</v>
      </c>
      <c r="O19833" t="s">
        <v>59506</v>
      </c>
      <c r="Q19833">
        <v>0</v>
      </c>
      <c r="R19833">
        <v>130</v>
      </c>
      <c r="S19833">
        <v>0</v>
      </c>
      <c r="T19833" t="s">
        <v>59507</v>
      </c>
    </row>
    <row r="19834" spans="1:20" customFormat="1" ht="15" hidden="1" x14ac:dyDescent="0.25">
      <c r="A19834" t="s">
        <v>24</v>
      </c>
      <c r="B19834" t="s">
        <v>72975</v>
      </c>
      <c r="C19834" t="str">
        <f>"A0092556"</f>
        <v>A0092556</v>
      </c>
      <c r="D19834" t="s">
        <v>73693</v>
      </c>
      <c r="E19834" t="s">
        <v>73694</v>
      </c>
      <c r="F19834" t="s">
        <v>73695</v>
      </c>
      <c r="G19834" t="s">
        <v>2407</v>
      </c>
      <c r="H19834">
        <v>23406</v>
      </c>
      <c r="I19834" t="s">
        <v>2408</v>
      </c>
      <c r="J19834" t="s">
        <v>171</v>
      </c>
      <c r="K19834" t="s">
        <v>1202</v>
      </c>
      <c r="N19834" t="s">
        <v>73696</v>
      </c>
      <c r="Q19834">
        <v>0</v>
      </c>
      <c r="R19834">
        <v>157</v>
      </c>
      <c r="S19834">
        <v>0</v>
      </c>
      <c r="T19834" t="s">
        <v>73697</v>
      </c>
    </row>
    <row r="19835" spans="1:20" customFormat="1" ht="15" hidden="1" x14ac:dyDescent="0.25">
      <c r="A19835" t="s">
        <v>24</v>
      </c>
      <c r="B19835" t="s">
        <v>73698</v>
      </c>
      <c r="C19835" t="str">
        <f>"A0156677"</f>
        <v>A0156677</v>
      </c>
      <c r="D19835" t="s">
        <v>73699</v>
      </c>
      <c r="E19835" t="s">
        <v>73700</v>
      </c>
      <c r="F19835" t="s">
        <v>73701</v>
      </c>
      <c r="G19835" t="s">
        <v>53957</v>
      </c>
      <c r="I19835" t="s">
        <v>53958</v>
      </c>
      <c r="J19835" t="s">
        <v>171</v>
      </c>
      <c r="K19835" t="s">
        <v>1202</v>
      </c>
      <c r="N19835" t="s">
        <v>73702</v>
      </c>
      <c r="Q19835">
        <v>0</v>
      </c>
      <c r="R19835">
        <v>138</v>
      </c>
      <c r="S19835">
        <v>0</v>
      </c>
      <c r="T19835" t="s">
        <v>73703</v>
      </c>
    </row>
    <row r="19836" spans="1:20" customFormat="1" ht="15" x14ac:dyDescent="0.25">
      <c r="A19836" t="s">
        <v>24</v>
      </c>
      <c r="B19836" t="s">
        <v>1317</v>
      </c>
      <c r="C19836" t="str">
        <f>"651Y4"</f>
        <v>651Y4</v>
      </c>
      <c r="D19836" t="s">
        <v>59508</v>
      </c>
      <c r="E19836" t="s">
        <v>59509</v>
      </c>
      <c r="F19836" t="s">
        <v>34900</v>
      </c>
      <c r="G19836" t="s">
        <v>1587</v>
      </c>
      <c r="H19836">
        <v>87109</v>
      </c>
      <c r="I19836" t="s">
        <v>30</v>
      </c>
      <c r="J19836" t="s">
        <v>171</v>
      </c>
      <c r="K19836" t="s">
        <v>973</v>
      </c>
      <c r="N19836" t="s">
        <v>59510</v>
      </c>
      <c r="Q19836">
        <v>0</v>
      </c>
      <c r="R19836">
        <v>150</v>
      </c>
      <c r="S19836">
        <v>0</v>
      </c>
      <c r="T19836" t="s">
        <v>59511</v>
      </c>
    </row>
    <row r="19837" spans="1:20" customFormat="1" ht="15" x14ac:dyDescent="0.25">
      <c r="A19837" t="s">
        <v>24</v>
      </c>
      <c r="B19837" t="s">
        <v>675</v>
      </c>
      <c r="C19837" t="str">
        <f>"311L7"</f>
        <v>311L7</v>
      </c>
      <c r="D19837" t="s">
        <v>59512</v>
      </c>
      <c r="E19837" t="s">
        <v>59513</v>
      </c>
      <c r="F19837" t="s">
        <v>34900</v>
      </c>
      <c r="G19837" t="s">
        <v>1587</v>
      </c>
      <c r="H19837">
        <v>87106</v>
      </c>
      <c r="I19837" t="s">
        <v>30</v>
      </c>
      <c r="J19837" t="s">
        <v>171</v>
      </c>
      <c r="K19837" t="s">
        <v>973</v>
      </c>
      <c r="N19837" t="s">
        <v>59514</v>
      </c>
      <c r="O19837" t="s">
        <v>59515</v>
      </c>
      <c r="Q19837">
        <v>0</v>
      </c>
      <c r="R19837">
        <v>150</v>
      </c>
      <c r="S19837">
        <v>0</v>
      </c>
      <c r="T19837" t="s">
        <v>59516</v>
      </c>
    </row>
    <row r="19838" spans="1:20" customFormat="1" ht="15" x14ac:dyDescent="0.25">
      <c r="A19838" t="s">
        <v>24</v>
      </c>
      <c r="B19838" t="s">
        <v>675</v>
      </c>
      <c r="C19838" t="str">
        <f>"311DX"</f>
        <v>311DX</v>
      </c>
      <c r="D19838" t="s">
        <v>59517</v>
      </c>
      <c r="E19838" t="s">
        <v>59518</v>
      </c>
      <c r="F19838" t="s">
        <v>1622</v>
      </c>
      <c r="G19838" t="s">
        <v>29</v>
      </c>
      <c r="H19838">
        <v>22314</v>
      </c>
      <c r="I19838" t="s">
        <v>30</v>
      </c>
      <c r="J19838" t="s">
        <v>171</v>
      </c>
      <c r="K19838" t="s">
        <v>973</v>
      </c>
      <c r="N19838" t="s">
        <v>59519</v>
      </c>
      <c r="O19838" t="s">
        <v>3486</v>
      </c>
      <c r="Q19838">
        <v>0</v>
      </c>
      <c r="R19838">
        <v>176</v>
      </c>
      <c r="S19838">
        <v>0</v>
      </c>
      <c r="T19838" t="s">
        <v>59520</v>
      </c>
    </row>
    <row r="19839" spans="1:20" customFormat="1" ht="15" x14ac:dyDescent="0.25">
      <c r="A19839" t="s">
        <v>24</v>
      </c>
      <c r="B19839" t="s">
        <v>1561</v>
      </c>
      <c r="C19839" t="str">
        <f>"A0089378"</f>
        <v>A0089378</v>
      </c>
      <c r="D19839" t="s">
        <v>59521</v>
      </c>
      <c r="E19839" t="s">
        <v>59522</v>
      </c>
      <c r="F19839" t="s">
        <v>1622</v>
      </c>
      <c r="G19839" t="s">
        <v>1170</v>
      </c>
      <c r="H19839">
        <v>71301</v>
      </c>
      <c r="I19839" t="s">
        <v>30</v>
      </c>
      <c r="J19839" t="s">
        <v>171</v>
      </c>
      <c r="K19839" t="s">
        <v>973</v>
      </c>
      <c r="N19839" t="s">
        <v>59523</v>
      </c>
      <c r="Q19839">
        <v>0</v>
      </c>
      <c r="R19839">
        <v>96</v>
      </c>
      <c r="S19839">
        <v>0</v>
      </c>
      <c r="T19839" t="s">
        <v>59524</v>
      </c>
    </row>
    <row r="19840" spans="1:20" customFormat="1" ht="15" x14ac:dyDescent="0.25">
      <c r="A19840" t="s">
        <v>24</v>
      </c>
      <c r="B19840" t="s">
        <v>675</v>
      </c>
      <c r="C19840" t="str">
        <f>"311AN"</f>
        <v>311AN</v>
      </c>
      <c r="D19840" t="s">
        <v>59525</v>
      </c>
      <c r="E19840" t="s">
        <v>59526</v>
      </c>
      <c r="F19840" t="s">
        <v>1883</v>
      </c>
      <c r="G19840" t="s">
        <v>846</v>
      </c>
      <c r="H19840">
        <v>30004</v>
      </c>
      <c r="I19840" t="s">
        <v>30</v>
      </c>
      <c r="J19840" t="s">
        <v>171</v>
      </c>
      <c r="K19840" t="s">
        <v>973</v>
      </c>
      <c r="N19840" t="s">
        <v>59527</v>
      </c>
      <c r="O19840" t="s">
        <v>59528</v>
      </c>
      <c r="Q19840">
        <v>0</v>
      </c>
      <c r="R19840">
        <v>154</v>
      </c>
      <c r="S19840">
        <v>0</v>
      </c>
      <c r="T19840" t="s">
        <v>59529</v>
      </c>
    </row>
    <row r="19841" spans="1:20" customFormat="1" ht="15" x14ac:dyDescent="0.25">
      <c r="A19841" t="s">
        <v>24</v>
      </c>
      <c r="B19841" t="s">
        <v>56848</v>
      </c>
      <c r="C19841" t="str">
        <f>"A0158012"</f>
        <v>A0158012</v>
      </c>
      <c r="D19841" t="s">
        <v>59530</v>
      </c>
      <c r="E19841" t="s">
        <v>59531</v>
      </c>
      <c r="F19841" t="s">
        <v>1897</v>
      </c>
      <c r="G19841" t="s">
        <v>1898</v>
      </c>
      <c r="H19841">
        <v>50010</v>
      </c>
      <c r="I19841" t="s">
        <v>30</v>
      </c>
      <c r="J19841" t="s">
        <v>171</v>
      </c>
      <c r="K19841" t="s">
        <v>973</v>
      </c>
      <c r="N19841" t="s">
        <v>59532</v>
      </c>
      <c r="Q19841">
        <v>0</v>
      </c>
      <c r="R19841">
        <v>119</v>
      </c>
      <c r="S19841">
        <v>0</v>
      </c>
      <c r="T19841" t="s">
        <v>59533</v>
      </c>
    </row>
    <row r="19842" spans="1:20" customFormat="1" ht="15" x14ac:dyDescent="0.25">
      <c r="A19842" t="s">
        <v>24</v>
      </c>
      <c r="B19842" t="s">
        <v>59534</v>
      </c>
      <c r="C19842" t="str">
        <f>"A0094735"</f>
        <v>A0094735</v>
      </c>
      <c r="D19842" t="s">
        <v>59535</v>
      </c>
      <c r="E19842" t="s">
        <v>59536</v>
      </c>
      <c r="F19842" t="s">
        <v>59537</v>
      </c>
      <c r="G19842" t="s">
        <v>110</v>
      </c>
      <c r="H19842">
        <v>92802</v>
      </c>
      <c r="I19842" t="s">
        <v>30</v>
      </c>
      <c r="J19842" t="s">
        <v>171</v>
      </c>
      <c r="K19842" t="s">
        <v>973</v>
      </c>
      <c r="N19842" t="s">
        <v>59538</v>
      </c>
      <c r="O19842" t="s">
        <v>59539</v>
      </c>
      <c r="Q19842">
        <v>0</v>
      </c>
      <c r="R19842">
        <v>221</v>
      </c>
      <c r="S19842">
        <v>0</v>
      </c>
      <c r="T19842" t="s">
        <v>59540</v>
      </c>
    </row>
    <row r="19843" spans="1:20" customFormat="1" ht="15" x14ac:dyDescent="0.25">
      <c r="A19843" t="s">
        <v>24</v>
      </c>
      <c r="B19843" t="s">
        <v>3045</v>
      </c>
      <c r="C19843" t="str">
        <f>"651S1"</f>
        <v>651S1</v>
      </c>
      <c r="D19843" t="s">
        <v>59541</v>
      </c>
      <c r="E19843" t="s">
        <v>59542</v>
      </c>
      <c r="F19843" t="s">
        <v>3048</v>
      </c>
      <c r="G19843" t="s">
        <v>3049</v>
      </c>
      <c r="H19843">
        <v>99517</v>
      </c>
      <c r="I19843" t="s">
        <v>30</v>
      </c>
      <c r="J19843" t="s">
        <v>171</v>
      </c>
      <c r="K19843" t="s">
        <v>973</v>
      </c>
      <c r="N19843" t="s">
        <v>59543</v>
      </c>
      <c r="Q19843">
        <v>0</v>
      </c>
      <c r="R19843">
        <v>154</v>
      </c>
      <c r="S19843">
        <v>0</v>
      </c>
      <c r="T19843" t="s">
        <v>59544</v>
      </c>
    </row>
    <row r="19844" spans="1:20" customFormat="1" ht="15" x14ac:dyDescent="0.25">
      <c r="A19844" t="s">
        <v>24</v>
      </c>
      <c r="B19844" t="s">
        <v>675</v>
      </c>
      <c r="C19844" t="str">
        <f>"311E9"</f>
        <v>311E9</v>
      </c>
      <c r="D19844" t="s">
        <v>59545</v>
      </c>
      <c r="E19844" t="s">
        <v>59546</v>
      </c>
      <c r="F19844" t="s">
        <v>9566</v>
      </c>
      <c r="G19844" t="s">
        <v>899</v>
      </c>
      <c r="H19844">
        <v>1810</v>
      </c>
      <c r="I19844" t="s">
        <v>30</v>
      </c>
      <c r="J19844" t="s">
        <v>171</v>
      </c>
      <c r="K19844" t="s">
        <v>973</v>
      </c>
      <c r="N19844" t="s">
        <v>59547</v>
      </c>
      <c r="Q19844">
        <v>0</v>
      </c>
      <c r="R19844">
        <v>146</v>
      </c>
      <c r="S19844">
        <v>0</v>
      </c>
      <c r="T19844" t="s">
        <v>59548</v>
      </c>
    </row>
    <row r="19845" spans="1:20" customFormat="1" ht="15" hidden="1" x14ac:dyDescent="0.25">
      <c r="A19845" t="s">
        <v>24</v>
      </c>
      <c r="B19845" t="s">
        <v>72975</v>
      </c>
      <c r="C19845" t="str">
        <f>"A0093990"</f>
        <v>A0093990</v>
      </c>
      <c r="D19845" t="s">
        <v>73742</v>
      </c>
      <c r="E19845" t="s">
        <v>73743</v>
      </c>
      <c r="F19845" t="s">
        <v>65623</v>
      </c>
      <c r="G19845" t="s">
        <v>3071</v>
      </c>
      <c r="H19845">
        <v>22014</v>
      </c>
      <c r="I19845" t="s">
        <v>2408</v>
      </c>
      <c r="J19845" t="s">
        <v>171</v>
      </c>
      <c r="K19845" t="s">
        <v>1202</v>
      </c>
      <c r="N19845" t="s">
        <v>73744</v>
      </c>
      <c r="Q19845">
        <v>0</v>
      </c>
      <c r="R19845">
        <v>145</v>
      </c>
      <c r="S19845">
        <v>0</v>
      </c>
      <c r="T19845" t="s">
        <v>73745</v>
      </c>
    </row>
    <row r="19846" spans="1:20" customFormat="1" ht="15" x14ac:dyDescent="0.25">
      <c r="A19846" t="s">
        <v>24</v>
      </c>
      <c r="B19846" t="s">
        <v>675</v>
      </c>
      <c r="C19846" t="str">
        <f>"311F4"</f>
        <v>311F4</v>
      </c>
      <c r="D19846" t="s">
        <v>59549</v>
      </c>
      <c r="E19846" t="s">
        <v>59550</v>
      </c>
      <c r="F19846" t="s">
        <v>281</v>
      </c>
      <c r="G19846" t="s">
        <v>123</v>
      </c>
      <c r="H19846">
        <v>21401</v>
      </c>
      <c r="I19846" t="s">
        <v>30</v>
      </c>
      <c r="J19846" t="s">
        <v>171</v>
      </c>
      <c r="K19846" t="s">
        <v>973</v>
      </c>
      <c r="N19846" t="s">
        <v>59551</v>
      </c>
      <c r="O19846" t="s">
        <v>59552</v>
      </c>
      <c r="Q19846">
        <v>0</v>
      </c>
      <c r="R19846">
        <v>149</v>
      </c>
      <c r="S19846">
        <v>0</v>
      </c>
      <c r="T19846" t="s">
        <v>59553</v>
      </c>
    </row>
    <row r="19847" spans="1:20" customFormat="1" ht="15" x14ac:dyDescent="0.25">
      <c r="A19847" t="s">
        <v>24</v>
      </c>
      <c r="B19847" t="s">
        <v>1323</v>
      </c>
      <c r="C19847" t="str">
        <f>"A0084407"</f>
        <v>A0084407</v>
      </c>
      <c r="D19847" t="s">
        <v>59554</v>
      </c>
      <c r="E19847" t="s">
        <v>59555</v>
      </c>
      <c r="F19847" t="s">
        <v>11919</v>
      </c>
      <c r="G19847" t="s">
        <v>1706</v>
      </c>
      <c r="H19847">
        <v>36203</v>
      </c>
      <c r="I19847" t="s">
        <v>30</v>
      </c>
      <c r="J19847" t="s">
        <v>171</v>
      </c>
      <c r="K19847" t="s">
        <v>973</v>
      </c>
      <c r="N19847" t="s">
        <v>59556</v>
      </c>
      <c r="Q19847">
        <v>0</v>
      </c>
      <c r="R19847">
        <v>92</v>
      </c>
      <c r="S19847">
        <v>0</v>
      </c>
      <c r="T19847" t="s">
        <v>59557</v>
      </c>
    </row>
    <row r="19848" spans="1:20" customFormat="1" ht="15" x14ac:dyDescent="0.25">
      <c r="A19848" t="s">
        <v>24</v>
      </c>
      <c r="B19848" t="s">
        <v>4125</v>
      </c>
      <c r="C19848" t="str">
        <f>"A0098690"</f>
        <v>A0098690</v>
      </c>
      <c r="D19848" t="s">
        <v>59558</v>
      </c>
      <c r="E19848" t="s">
        <v>59559</v>
      </c>
      <c r="F19848" t="s">
        <v>59560</v>
      </c>
      <c r="G19848" t="s">
        <v>40</v>
      </c>
      <c r="H19848">
        <v>73401</v>
      </c>
      <c r="I19848" t="s">
        <v>30</v>
      </c>
      <c r="J19848" t="s">
        <v>171</v>
      </c>
      <c r="K19848" t="s">
        <v>973</v>
      </c>
      <c r="N19848" t="s">
        <v>59561</v>
      </c>
      <c r="O19848" t="s">
        <v>59562</v>
      </c>
      <c r="Q19848">
        <v>0</v>
      </c>
      <c r="R19848">
        <v>127</v>
      </c>
      <c r="S19848">
        <v>0</v>
      </c>
      <c r="T19848" t="s">
        <v>59563</v>
      </c>
    </row>
    <row r="19849" spans="1:20" customFormat="1" ht="15" x14ac:dyDescent="0.25">
      <c r="A19849" t="s">
        <v>24</v>
      </c>
      <c r="B19849" t="s">
        <v>675</v>
      </c>
      <c r="C19849" t="str">
        <f>"311M1"</f>
        <v>311M1</v>
      </c>
      <c r="D19849" t="s">
        <v>59564</v>
      </c>
      <c r="E19849" t="s">
        <v>59565</v>
      </c>
      <c r="F19849" t="s">
        <v>1131</v>
      </c>
      <c r="G19849" t="s">
        <v>52</v>
      </c>
      <c r="H19849">
        <v>76011</v>
      </c>
      <c r="I19849" t="s">
        <v>30</v>
      </c>
      <c r="J19849" t="s">
        <v>171</v>
      </c>
      <c r="K19849" t="s">
        <v>973</v>
      </c>
      <c r="N19849" t="s">
        <v>59566</v>
      </c>
      <c r="O19849" t="s">
        <v>59567</v>
      </c>
      <c r="Q19849">
        <v>0</v>
      </c>
      <c r="R19849">
        <v>147</v>
      </c>
      <c r="S19849">
        <v>0</v>
      </c>
      <c r="T19849" t="s">
        <v>59568</v>
      </c>
    </row>
    <row r="19850" spans="1:20" customFormat="1" ht="15" x14ac:dyDescent="0.25">
      <c r="A19850" t="s">
        <v>24</v>
      </c>
      <c r="B19850" t="s">
        <v>2955</v>
      </c>
      <c r="C19850" t="str">
        <f>"651ZM"</f>
        <v>651ZM</v>
      </c>
      <c r="D19850" t="s">
        <v>59575</v>
      </c>
      <c r="E19850" t="s">
        <v>59576</v>
      </c>
      <c r="F19850" t="s">
        <v>10730</v>
      </c>
      <c r="G19850" t="s">
        <v>214</v>
      </c>
      <c r="H19850">
        <v>28805</v>
      </c>
      <c r="I19850" t="s">
        <v>30</v>
      </c>
      <c r="J19850" t="s">
        <v>171</v>
      </c>
      <c r="K19850" t="s">
        <v>973</v>
      </c>
      <c r="N19850" t="s">
        <v>59577</v>
      </c>
      <c r="O19850" t="s">
        <v>59578</v>
      </c>
      <c r="Q19850">
        <v>0</v>
      </c>
      <c r="R19850">
        <v>78</v>
      </c>
      <c r="S19850">
        <v>0</v>
      </c>
      <c r="T19850" t="s">
        <v>59579</v>
      </c>
    </row>
    <row r="19851" spans="1:20" customFormat="1" ht="15" x14ac:dyDescent="0.25">
      <c r="A19851" t="s">
        <v>24</v>
      </c>
      <c r="B19851" t="s">
        <v>59347</v>
      </c>
      <c r="C19851" t="str">
        <f>"A0153173"</f>
        <v>A0153173</v>
      </c>
      <c r="D19851" t="s">
        <v>59580</v>
      </c>
      <c r="E19851" t="s">
        <v>59581</v>
      </c>
      <c r="F19851" t="s">
        <v>10730</v>
      </c>
      <c r="G19851" t="s">
        <v>214</v>
      </c>
      <c r="H19851">
        <v>28803</v>
      </c>
      <c r="I19851" t="s">
        <v>30</v>
      </c>
      <c r="J19851" t="s">
        <v>171</v>
      </c>
      <c r="K19851" t="s">
        <v>973</v>
      </c>
      <c r="N19851" t="s">
        <v>59582</v>
      </c>
      <c r="Q19851">
        <v>0</v>
      </c>
      <c r="R19851">
        <v>112</v>
      </c>
      <c r="S19851">
        <v>0</v>
      </c>
      <c r="T19851" t="s">
        <v>59583</v>
      </c>
    </row>
    <row r="19852" spans="1:20" customFormat="1" ht="15" x14ac:dyDescent="0.25">
      <c r="A19852" t="s">
        <v>24</v>
      </c>
      <c r="B19852" t="s">
        <v>675</v>
      </c>
      <c r="C19852" t="str">
        <f>"311A9"</f>
        <v>311A9</v>
      </c>
      <c r="D19852" t="s">
        <v>59584</v>
      </c>
      <c r="E19852" t="s">
        <v>59585</v>
      </c>
      <c r="F19852" t="s">
        <v>3024</v>
      </c>
      <c r="G19852" t="s">
        <v>846</v>
      </c>
      <c r="H19852">
        <v>30337</v>
      </c>
      <c r="I19852" t="s">
        <v>30</v>
      </c>
      <c r="J19852" t="s">
        <v>171</v>
      </c>
      <c r="K19852" t="s">
        <v>973</v>
      </c>
      <c r="N19852" t="s">
        <v>59586</v>
      </c>
      <c r="O19852" t="s">
        <v>59587</v>
      </c>
      <c r="Q19852">
        <v>0</v>
      </c>
      <c r="R19852">
        <v>144</v>
      </c>
      <c r="S19852">
        <v>0</v>
      </c>
      <c r="T19852" t="s">
        <v>59588</v>
      </c>
    </row>
    <row r="19853" spans="1:20" customFormat="1" ht="15" hidden="1" x14ac:dyDescent="0.25">
      <c r="A19853" t="s">
        <v>24</v>
      </c>
      <c r="B19853" t="s">
        <v>2011</v>
      </c>
      <c r="C19853" t="str">
        <f>"A0096720"</f>
        <v>A0096720</v>
      </c>
      <c r="D19853" t="s">
        <v>73777</v>
      </c>
      <c r="E19853" t="s">
        <v>73778</v>
      </c>
      <c r="F19853" t="s">
        <v>10769</v>
      </c>
      <c r="G19853" t="s">
        <v>4481</v>
      </c>
      <c r="H19853">
        <v>45116</v>
      </c>
      <c r="I19853" t="s">
        <v>2408</v>
      </c>
      <c r="J19853" t="s">
        <v>162</v>
      </c>
      <c r="K19853" t="s">
        <v>7598</v>
      </c>
      <c r="N19853" t="s">
        <v>73779</v>
      </c>
      <c r="O19853" t="s">
        <v>73780</v>
      </c>
      <c r="Q19853">
        <v>0</v>
      </c>
      <c r="R19853">
        <v>255</v>
      </c>
      <c r="S19853">
        <v>0</v>
      </c>
      <c r="T19853" t="s">
        <v>73781</v>
      </c>
    </row>
    <row r="19854" spans="1:20" customFormat="1" ht="15" hidden="1" x14ac:dyDescent="0.25">
      <c r="A19854" t="s">
        <v>24</v>
      </c>
      <c r="B19854" t="s">
        <v>2011</v>
      </c>
      <c r="C19854" t="str">
        <f>"HY09599"</f>
        <v>HY09599</v>
      </c>
      <c r="D19854" t="s">
        <v>73782</v>
      </c>
      <c r="E19854" t="s">
        <v>73783</v>
      </c>
      <c r="F19854" t="s">
        <v>56212</v>
      </c>
      <c r="G19854" t="s">
        <v>56201</v>
      </c>
      <c r="I19854" t="s">
        <v>56202</v>
      </c>
      <c r="J19854" t="s">
        <v>162</v>
      </c>
      <c r="K19854" t="s">
        <v>7598</v>
      </c>
      <c r="N19854" t="s">
        <v>73784</v>
      </c>
      <c r="O19854" t="s">
        <v>73785</v>
      </c>
      <c r="Q19854">
        <v>0</v>
      </c>
      <c r="R19854">
        <v>360</v>
      </c>
      <c r="S19854">
        <v>0</v>
      </c>
      <c r="T19854" t="s">
        <v>73786</v>
      </c>
    </row>
    <row r="19855" spans="1:20" customFormat="1" ht="15" x14ac:dyDescent="0.25">
      <c r="A19855" t="s">
        <v>24</v>
      </c>
      <c r="B19855" t="s">
        <v>675</v>
      </c>
      <c r="C19855" t="str">
        <f>"A0089976"</f>
        <v>A0089976</v>
      </c>
      <c r="D19855" t="s">
        <v>59589</v>
      </c>
      <c r="E19855" t="s">
        <v>59590</v>
      </c>
      <c r="F19855" t="s">
        <v>3587</v>
      </c>
      <c r="G19855" t="s">
        <v>846</v>
      </c>
      <c r="H19855">
        <v>30303</v>
      </c>
      <c r="I19855" t="s">
        <v>30</v>
      </c>
      <c r="J19855" t="s">
        <v>171</v>
      </c>
      <c r="K19855" t="s">
        <v>973</v>
      </c>
      <c r="N19855" t="s">
        <v>59591</v>
      </c>
      <c r="O19855" t="s">
        <v>59592</v>
      </c>
      <c r="Q19855">
        <v>0</v>
      </c>
      <c r="R19855">
        <v>150</v>
      </c>
      <c r="S19855">
        <v>0</v>
      </c>
      <c r="T19855" t="s">
        <v>59593</v>
      </c>
    </row>
    <row r="19856" spans="1:20" customFormat="1" ht="15" x14ac:dyDescent="0.25">
      <c r="A19856" t="s">
        <v>24</v>
      </c>
      <c r="B19856" t="s">
        <v>675</v>
      </c>
      <c r="C19856" t="str">
        <f>"311C1"</f>
        <v>311C1</v>
      </c>
      <c r="D19856" t="s">
        <v>59594</v>
      </c>
      <c r="E19856" t="s">
        <v>59595</v>
      </c>
      <c r="F19856" t="s">
        <v>2051</v>
      </c>
      <c r="G19856" t="s">
        <v>846</v>
      </c>
      <c r="H19856">
        <v>30096</v>
      </c>
      <c r="I19856" t="s">
        <v>30</v>
      </c>
      <c r="J19856" t="s">
        <v>171</v>
      </c>
      <c r="K19856" t="s">
        <v>973</v>
      </c>
      <c r="N19856" t="s">
        <v>59596</v>
      </c>
      <c r="Q19856">
        <v>0</v>
      </c>
      <c r="R19856">
        <v>146</v>
      </c>
      <c r="S19856">
        <v>0</v>
      </c>
      <c r="T19856" t="s">
        <v>59597</v>
      </c>
    </row>
    <row r="19857" spans="1:20" customFormat="1" ht="15" x14ac:dyDescent="0.25">
      <c r="A19857" t="s">
        <v>24</v>
      </c>
      <c r="B19857" t="s">
        <v>675</v>
      </c>
      <c r="C19857" t="str">
        <f>"311B5"</f>
        <v>311B5</v>
      </c>
      <c r="D19857" t="s">
        <v>59598</v>
      </c>
      <c r="E19857" t="s">
        <v>59599</v>
      </c>
      <c r="F19857" t="s">
        <v>845</v>
      </c>
      <c r="G19857" t="s">
        <v>846</v>
      </c>
      <c r="H19857">
        <v>30329</v>
      </c>
      <c r="I19857" t="s">
        <v>30</v>
      </c>
      <c r="J19857" t="s">
        <v>171</v>
      </c>
      <c r="K19857" t="s">
        <v>973</v>
      </c>
      <c r="N19857" t="s">
        <v>59600</v>
      </c>
      <c r="O19857" t="s">
        <v>59601</v>
      </c>
      <c r="Q19857">
        <v>0</v>
      </c>
      <c r="R19857">
        <v>145</v>
      </c>
      <c r="S19857">
        <v>0</v>
      </c>
      <c r="T19857" t="s">
        <v>59602</v>
      </c>
    </row>
    <row r="19858" spans="1:20" customFormat="1" ht="15" x14ac:dyDescent="0.25">
      <c r="A19858" t="s">
        <v>24</v>
      </c>
      <c r="B19858" t="s">
        <v>257</v>
      </c>
      <c r="C19858" t="str">
        <f>"A0099291"</f>
        <v>A0099291</v>
      </c>
      <c r="D19858" t="s">
        <v>59603</v>
      </c>
      <c r="E19858" t="s">
        <v>59604</v>
      </c>
      <c r="F19858" t="s">
        <v>59605</v>
      </c>
      <c r="G19858" t="s">
        <v>846</v>
      </c>
      <c r="H19858">
        <v>30144</v>
      </c>
      <c r="I19858" t="s">
        <v>30</v>
      </c>
      <c r="J19858" t="s">
        <v>171</v>
      </c>
      <c r="K19858" t="s">
        <v>973</v>
      </c>
      <c r="N19858" t="s">
        <v>59606</v>
      </c>
      <c r="O19858" t="s">
        <v>59607</v>
      </c>
      <c r="Q19858">
        <v>0</v>
      </c>
      <c r="R19858">
        <v>100</v>
      </c>
      <c r="S19858">
        <v>0</v>
      </c>
      <c r="T19858" t="s">
        <v>59608</v>
      </c>
    </row>
    <row r="19859" spans="1:20" customFormat="1" ht="15" x14ac:dyDescent="0.25">
      <c r="A19859" t="s">
        <v>24</v>
      </c>
      <c r="B19859" t="s">
        <v>5564</v>
      </c>
      <c r="C19859" t="str">
        <f>"A0099771"</f>
        <v>A0099771</v>
      </c>
      <c r="D19859" t="s">
        <v>59609</v>
      </c>
      <c r="E19859" t="s">
        <v>59610</v>
      </c>
      <c r="F19859" t="s">
        <v>59611</v>
      </c>
      <c r="G19859" t="s">
        <v>846</v>
      </c>
      <c r="H19859">
        <v>30122</v>
      </c>
      <c r="I19859" t="s">
        <v>30</v>
      </c>
      <c r="J19859" t="s">
        <v>171</v>
      </c>
      <c r="K19859" t="s">
        <v>973</v>
      </c>
      <c r="Q19859">
        <v>0</v>
      </c>
      <c r="R19859">
        <v>80</v>
      </c>
      <c r="S19859">
        <v>0</v>
      </c>
      <c r="T19859" t="s">
        <v>59612</v>
      </c>
    </row>
    <row r="19860" spans="1:20" customFormat="1" ht="15" x14ac:dyDescent="0.25">
      <c r="A19860" t="s">
        <v>24</v>
      </c>
      <c r="B19860" t="s">
        <v>9391</v>
      </c>
      <c r="C19860" t="str">
        <f>"A0095981"</f>
        <v>A0095981</v>
      </c>
      <c r="D19860" t="s">
        <v>59613</v>
      </c>
      <c r="E19860" t="s">
        <v>59614</v>
      </c>
      <c r="F19860" t="s">
        <v>2051</v>
      </c>
      <c r="G19860" t="s">
        <v>846</v>
      </c>
      <c r="H19860">
        <v>30097</v>
      </c>
      <c r="I19860" t="s">
        <v>30</v>
      </c>
      <c r="J19860" t="s">
        <v>171</v>
      </c>
      <c r="K19860" t="s">
        <v>973</v>
      </c>
      <c r="N19860" t="s">
        <v>59615</v>
      </c>
      <c r="Q19860">
        <v>0</v>
      </c>
      <c r="R19860">
        <v>115</v>
      </c>
      <c r="S19860">
        <v>0</v>
      </c>
      <c r="T19860" t="s">
        <v>59616</v>
      </c>
    </row>
    <row r="19861" spans="1:20" customFormat="1" ht="15" x14ac:dyDescent="0.25">
      <c r="A19861" t="s">
        <v>24</v>
      </c>
      <c r="B19861" t="s">
        <v>2812</v>
      </c>
      <c r="C19861" t="str">
        <f>"311A6"</f>
        <v>311A6</v>
      </c>
      <c r="D19861" t="s">
        <v>59617</v>
      </c>
      <c r="E19861" t="s">
        <v>59618</v>
      </c>
      <c r="F19861" t="s">
        <v>1223</v>
      </c>
      <c r="G19861" t="s">
        <v>846</v>
      </c>
      <c r="H19861">
        <v>30092</v>
      </c>
      <c r="I19861" t="s">
        <v>30</v>
      </c>
      <c r="J19861" t="s">
        <v>171</v>
      </c>
      <c r="K19861" t="s">
        <v>973</v>
      </c>
      <c r="N19861" t="s">
        <v>59619</v>
      </c>
      <c r="Q19861">
        <v>0</v>
      </c>
      <c r="R19861">
        <v>131</v>
      </c>
      <c r="S19861">
        <v>0</v>
      </c>
      <c r="T19861" t="s">
        <v>59620</v>
      </c>
    </row>
    <row r="19862" spans="1:20" customFormat="1" ht="15" x14ac:dyDescent="0.25">
      <c r="A19862" t="s">
        <v>24</v>
      </c>
      <c r="B19862" t="s">
        <v>675</v>
      </c>
      <c r="C19862" t="str">
        <f>"311C8"</f>
        <v>311C8</v>
      </c>
      <c r="D19862" t="s">
        <v>59621</v>
      </c>
      <c r="E19862" t="s">
        <v>59622</v>
      </c>
      <c r="F19862" t="s">
        <v>845</v>
      </c>
      <c r="G19862" t="s">
        <v>846</v>
      </c>
      <c r="H19862">
        <v>30328</v>
      </c>
      <c r="I19862" t="s">
        <v>30</v>
      </c>
      <c r="J19862" t="s">
        <v>171</v>
      </c>
      <c r="K19862" t="s">
        <v>973</v>
      </c>
      <c r="N19862" t="s">
        <v>59623</v>
      </c>
      <c r="O19862" t="s">
        <v>59624</v>
      </c>
      <c r="Q19862">
        <v>0</v>
      </c>
      <c r="R19862">
        <v>145</v>
      </c>
      <c r="S19862">
        <v>0</v>
      </c>
      <c r="T19862" t="s">
        <v>59625</v>
      </c>
    </row>
    <row r="19863" spans="1:20" customFormat="1" ht="15" hidden="1" x14ac:dyDescent="0.25">
      <c r="A19863" t="s">
        <v>24</v>
      </c>
      <c r="B19863" t="s">
        <v>2011</v>
      </c>
      <c r="C19863" t="str">
        <f>"HY09575"</f>
        <v>HY09575</v>
      </c>
      <c r="D19863" t="s">
        <v>73820</v>
      </c>
      <c r="E19863" t="s">
        <v>73821</v>
      </c>
      <c r="F19863" t="s">
        <v>73822</v>
      </c>
      <c r="G19863" t="s">
        <v>1457</v>
      </c>
      <c r="H19863" t="s">
        <v>73823</v>
      </c>
      <c r="I19863" t="s">
        <v>1459</v>
      </c>
      <c r="J19863" t="s">
        <v>162</v>
      </c>
      <c r="K19863" t="s">
        <v>7598</v>
      </c>
      <c r="N19863" t="s">
        <v>73824</v>
      </c>
      <c r="O19863" t="s">
        <v>73825</v>
      </c>
      <c r="Q19863">
        <v>0</v>
      </c>
      <c r="R19863">
        <v>305</v>
      </c>
      <c r="S19863">
        <v>0</v>
      </c>
      <c r="T19863" t="s">
        <v>73826</v>
      </c>
    </row>
    <row r="19864" spans="1:20" customFormat="1" ht="15" x14ac:dyDescent="0.25">
      <c r="A19864" t="s">
        <v>24</v>
      </c>
      <c r="B19864" t="s">
        <v>59626</v>
      </c>
      <c r="C19864" t="str">
        <f>"6511G"</f>
        <v>6511G</v>
      </c>
      <c r="D19864" t="s">
        <v>59627</v>
      </c>
      <c r="E19864" t="s">
        <v>59628</v>
      </c>
      <c r="F19864" t="s">
        <v>59629</v>
      </c>
      <c r="G19864" t="s">
        <v>846</v>
      </c>
      <c r="H19864">
        <v>30024</v>
      </c>
      <c r="I19864" t="s">
        <v>30</v>
      </c>
      <c r="J19864" t="s">
        <v>171</v>
      </c>
      <c r="K19864" t="s">
        <v>973</v>
      </c>
      <c r="N19864" t="s">
        <v>59630</v>
      </c>
      <c r="Q19864">
        <v>0</v>
      </c>
      <c r="R19864">
        <v>78</v>
      </c>
      <c r="S19864">
        <v>0</v>
      </c>
      <c r="T19864" t="s">
        <v>59631</v>
      </c>
    </row>
    <row r="19865" spans="1:20" customFormat="1" ht="15" x14ac:dyDescent="0.25">
      <c r="A19865" t="s">
        <v>24</v>
      </c>
      <c r="B19865" t="s">
        <v>5149</v>
      </c>
      <c r="C19865" t="str">
        <f>"A0146959"</f>
        <v>A0146959</v>
      </c>
      <c r="D19865" t="s">
        <v>59632</v>
      </c>
      <c r="E19865" t="s">
        <v>59633</v>
      </c>
      <c r="F19865" t="s">
        <v>845</v>
      </c>
      <c r="G19865" t="s">
        <v>846</v>
      </c>
      <c r="H19865">
        <v>30339</v>
      </c>
      <c r="I19865" t="s">
        <v>30</v>
      </c>
      <c r="J19865" t="s">
        <v>171</v>
      </c>
      <c r="K19865" t="s">
        <v>973</v>
      </c>
      <c r="N19865" t="s">
        <v>59634</v>
      </c>
      <c r="Q19865">
        <v>0</v>
      </c>
      <c r="R19865">
        <v>159</v>
      </c>
      <c r="S19865">
        <v>0</v>
      </c>
      <c r="T19865" t="s">
        <v>59635</v>
      </c>
    </row>
    <row r="19866" spans="1:20" customFormat="1" ht="15" x14ac:dyDescent="0.25">
      <c r="A19866" t="s">
        <v>24</v>
      </c>
      <c r="B19866" t="s">
        <v>2812</v>
      </c>
      <c r="C19866" t="str">
        <f>"311A1"</f>
        <v>311A1</v>
      </c>
      <c r="D19866" t="s">
        <v>59636</v>
      </c>
      <c r="E19866" t="s">
        <v>59637</v>
      </c>
      <c r="F19866" t="s">
        <v>845</v>
      </c>
      <c r="G19866" t="s">
        <v>846</v>
      </c>
      <c r="H19866">
        <v>30339</v>
      </c>
      <c r="I19866" t="s">
        <v>30</v>
      </c>
      <c r="J19866" t="s">
        <v>171</v>
      </c>
      <c r="K19866" t="s">
        <v>973</v>
      </c>
      <c r="N19866" t="s">
        <v>59638</v>
      </c>
      <c r="O19866" t="s">
        <v>59639</v>
      </c>
      <c r="Q19866">
        <v>0</v>
      </c>
      <c r="R19866">
        <v>127</v>
      </c>
      <c r="S19866">
        <v>0</v>
      </c>
      <c r="T19866" t="s">
        <v>59640</v>
      </c>
    </row>
    <row r="19867" spans="1:20" customFormat="1" ht="15" x14ac:dyDescent="0.25">
      <c r="A19867" t="s">
        <v>24</v>
      </c>
      <c r="B19867" t="s">
        <v>34691</v>
      </c>
      <c r="C19867" t="str">
        <f>"A0094407"</f>
        <v>A0094407</v>
      </c>
      <c r="D19867" t="s">
        <v>59641</v>
      </c>
      <c r="E19867" t="s">
        <v>59642</v>
      </c>
      <c r="F19867" t="s">
        <v>59643</v>
      </c>
      <c r="G19867" t="s">
        <v>1706</v>
      </c>
      <c r="H19867">
        <v>36830</v>
      </c>
      <c r="I19867" t="s">
        <v>30</v>
      </c>
      <c r="J19867" t="s">
        <v>171</v>
      </c>
      <c r="K19867" t="s">
        <v>973</v>
      </c>
      <c r="N19867" t="s">
        <v>34694</v>
      </c>
      <c r="Q19867">
        <v>0</v>
      </c>
      <c r="R19867">
        <v>111</v>
      </c>
      <c r="S19867">
        <v>0</v>
      </c>
      <c r="T19867" t="s">
        <v>59644</v>
      </c>
    </row>
    <row r="19868" spans="1:20" customFormat="1" ht="15" x14ac:dyDescent="0.25">
      <c r="A19868" t="s">
        <v>24</v>
      </c>
      <c r="B19868" t="s">
        <v>675</v>
      </c>
      <c r="C19868" t="str">
        <f>"311A4"</f>
        <v>311A4</v>
      </c>
      <c r="D19868" t="s">
        <v>59645</v>
      </c>
      <c r="E19868" t="s">
        <v>59646</v>
      </c>
      <c r="F19868" t="s">
        <v>9854</v>
      </c>
      <c r="G19868" t="s">
        <v>846</v>
      </c>
      <c r="H19868">
        <v>30907</v>
      </c>
      <c r="I19868" t="s">
        <v>30</v>
      </c>
      <c r="J19868" t="s">
        <v>171</v>
      </c>
      <c r="K19868" t="s">
        <v>973</v>
      </c>
      <c r="N19868" t="s">
        <v>59647</v>
      </c>
      <c r="O19868" t="s">
        <v>59648</v>
      </c>
      <c r="Q19868">
        <v>0</v>
      </c>
      <c r="R19868">
        <v>130</v>
      </c>
      <c r="S19868">
        <v>0</v>
      </c>
      <c r="T19868" t="s">
        <v>59649</v>
      </c>
    </row>
    <row r="19869" spans="1:20" customFormat="1" ht="15" x14ac:dyDescent="0.25">
      <c r="A19869" t="s">
        <v>24</v>
      </c>
      <c r="B19869" t="s">
        <v>59650</v>
      </c>
      <c r="C19869" t="str">
        <f>"651ZB"</f>
        <v>651ZB</v>
      </c>
      <c r="D19869" t="s">
        <v>59651</v>
      </c>
      <c r="E19869" t="s">
        <v>59652</v>
      </c>
      <c r="F19869" t="s">
        <v>372</v>
      </c>
      <c r="G19869" t="s">
        <v>52</v>
      </c>
      <c r="H19869">
        <v>78759</v>
      </c>
      <c r="I19869" t="s">
        <v>30</v>
      </c>
      <c r="J19869" t="s">
        <v>171</v>
      </c>
      <c r="K19869" t="s">
        <v>973</v>
      </c>
      <c r="N19869" t="s">
        <v>59653</v>
      </c>
      <c r="Q19869">
        <v>0</v>
      </c>
      <c r="R19869">
        <v>102</v>
      </c>
      <c r="S19869">
        <v>0</v>
      </c>
      <c r="T19869" t="s">
        <v>59654</v>
      </c>
    </row>
    <row r="19870" spans="1:20" customFormat="1" ht="15" x14ac:dyDescent="0.25">
      <c r="A19870" t="s">
        <v>24</v>
      </c>
      <c r="B19870" t="s">
        <v>1020</v>
      </c>
      <c r="C19870" t="str">
        <f>"A0087705"</f>
        <v>A0087705</v>
      </c>
      <c r="D19870" t="s">
        <v>59655</v>
      </c>
      <c r="E19870" t="s">
        <v>59656</v>
      </c>
      <c r="F19870" t="s">
        <v>372</v>
      </c>
      <c r="G19870" t="s">
        <v>52</v>
      </c>
      <c r="H19870" t="s">
        <v>59657</v>
      </c>
      <c r="I19870" t="s">
        <v>30</v>
      </c>
      <c r="J19870" t="s">
        <v>171</v>
      </c>
      <c r="K19870" t="s">
        <v>973</v>
      </c>
      <c r="N19870" t="s">
        <v>59658</v>
      </c>
      <c r="Q19870">
        <v>0</v>
      </c>
      <c r="R19870">
        <v>145</v>
      </c>
      <c r="S19870">
        <v>0</v>
      </c>
      <c r="T19870" t="s">
        <v>59659</v>
      </c>
    </row>
    <row r="19871" spans="1:20" customFormat="1" ht="15" x14ac:dyDescent="0.25">
      <c r="A19871" t="s">
        <v>24</v>
      </c>
      <c r="B19871" t="s">
        <v>3343</v>
      </c>
      <c r="C19871" t="str">
        <f>"6511B"</f>
        <v>6511B</v>
      </c>
      <c r="D19871" t="s">
        <v>59660</v>
      </c>
      <c r="E19871" t="s">
        <v>59661</v>
      </c>
      <c r="F19871" t="s">
        <v>3059</v>
      </c>
      <c r="G19871" t="s">
        <v>52</v>
      </c>
      <c r="H19871">
        <v>78681</v>
      </c>
      <c r="I19871" t="s">
        <v>30</v>
      </c>
      <c r="J19871" t="s">
        <v>171</v>
      </c>
      <c r="K19871" t="s">
        <v>973</v>
      </c>
      <c r="N19871" t="s">
        <v>59662</v>
      </c>
      <c r="Q19871">
        <v>0</v>
      </c>
      <c r="R19871">
        <v>113</v>
      </c>
      <c r="S19871">
        <v>0</v>
      </c>
      <c r="T19871" t="s">
        <v>59663</v>
      </c>
    </row>
    <row r="19872" spans="1:20" customFormat="1" ht="15" x14ac:dyDescent="0.25">
      <c r="A19872" t="s">
        <v>24</v>
      </c>
      <c r="B19872" t="s">
        <v>2812</v>
      </c>
      <c r="C19872" t="str">
        <f>"651XU"</f>
        <v>651XU</v>
      </c>
      <c r="D19872" t="s">
        <v>59664</v>
      </c>
      <c r="E19872" t="s">
        <v>59665</v>
      </c>
      <c r="F19872" t="s">
        <v>372</v>
      </c>
      <c r="G19872" t="s">
        <v>52</v>
      </c>
      <c r="H19872">
        <v>78751</v>
      </c>
      <c r="I19872" t="s">
        <v>30</v>
      </c>
      <c r="J19872" t="s">
        <v>171</v>
      </c>
      <c r="K19872" t="s">
        <v>973</v>
      </c>
      <c r="N19872" t="s">
        <v>59666</v>
      </c>
      <c r="Q19872">
        <v>0</v>
      </c>
      <c r="R19872">
        <v>198</v>
      </c>
      <c r="S19872">
        <v>0</v>
      </c>
      <c r="T19872" t="s">
        <v>59667</v>
      </c>
    </row>
    <row r="19873" spans="1:20" customFormat="1" ht="15" x14ac:dyDescent="0.25">
      <c r="A19873" t="s">
        <v>24</v>
      </c>
      <c r="B19873" t="s">
        <v>675</v>
      </c>
      <c r="C19873" t="str">
        <f>"311K2"</f>
        <v>311K2</v>
      </c>
      <c r="D19873" t="s">
        <v>59668</v>
      </c>
      <c r="E19873" t="s">
        <v>59669</v>
      </c>
      <c r="F19873" t="s">
        <v>652</v>
      </c>
      <c r="G19873" t="s">
        <v>110</v>
      </c>
      <c r="H19873">
        <v>93308</v>
      </c>
      <c r="I19873" t="s">
        <v>30</v>
      </c>
      <c r="J19873" t="s">
        <v>171</v>
      </c>
      <c r="K19873" t="s">
        <v>973</v>
      </c>
      <c r="N19873" t="s">
        <v>59670</v>
      </c>
      <c r="O19873" t="s">
        <v>59671</v>
      </c>
      <c r="Q19873">
        <v>0</v>
      </c>
      <c r="R19873">
        <v>146</v>
      </c>
      <c r="S19873">
        <v>0</v>
      </c>
      <c r="T19873" t="s">
        <v>59672</v>
      </c>
    </row>
    <row r="19874" spans="1:20" customFormat="1" ht="15" x14ac:dyDescent="0.25">
      <c r="A19874" t="s">
        <v>24</v>
      </c>
      <c r="B19874" t="s">
        <v>675</v>
      </c>
      <c r="C19874" t="str">
        <f>"311F8"</f>
        <v>311F8</v>
      </c>
      <c r="D19874" t="s">
        <v>59673</v>
      </c>
      <c r="E19874" t="s">
        <v>59674</v>
      </c>
      <c r="F19874" t="s">
        <v>2531</v>
      </c>
      <c r="G19874" t="s">
        <v>123</v>
      </c>
      <c r="H19874">
        <v>21090</v>
      </c>
      <c r="I19874" t="s">
        <v>30</v>
      </c>
      <c r="J19874" t="s">
        <v>171</v>
      </c>
      <c r="K19874" t="s">
        <v>973</v>
      </c>
      <c r="N19874" t="s">
        <v>59675</v>
      </c>
      <c r="O19874" t="s">
        <v>59676</v>
      </c>
      <c r="Q19874">
        <v>0</v>
      </c>
      <c r="R19874">
        <v>149</v>
      </c>
      <c r="S19874">
        <v>0</v>
      </c>
      <c r="T19874" t="s">
        <v>59677</v>
      </c>
    </row>
    <row r="19875" spans="1:20" customFormat="1" ht="15" x14ac:dyDescent="0.25">
      <c r="A19875" t="s">
        <v>24</v>
      </c>
      <c r="B19875" t="s">
        <v>675</v>
      </c>
      <c r="C19875" t="str">
        <f>"311D8"</f>
        <v>311D8</v>
      </c>
      <c r="D19875" t="s">
        <v>59678</v>
      </c>
      <c r="E19875" t="s">
        <v>59679</v>
      </c>
      <c r="F19875" t="s">
        <v>59680</v>
      </c>
      <c r="G19875" t="s">
        <v>123</v>
      </c>
      <c r="H19875">
        <v>21030</v>
      </c>
      <c r="I19875" t="s">
        <v>30</v>
      </c>
      <c r="J19875" t="s">
        <v>171</v>
      </c>
      <c r="K19875" t="s">
        <v>973</v>
      </c>
      <c r="N19875" t="s">
        <v>59681</v>
      </c>
      <c r="O19875" t="s">
        <v>59682</v>
      </c>
      <c r="Q19875">
        <v>0</v>
      </c>
      <c r="R19875">
        <v>146</v>
      </c>
      <c r="S19875">
        <v>0</v>
      </c>
      <c r="T19875" t="s">
        <v>59683</v>
      </c>
    </row>
    <row r="19876" spans="1:20" customFormat="1" ht="15" x14ac:dyDescent="0.25">
      <c r="A19876" t="s">
        <v>24</v>
      </c>
      <c r="B19876" t="s">
        <v>2955</v>
      </c>
      <c r="C19876" t="str">
        <f>"6514W"</f>
        <v>6514W</v>
      </c>
      <c r="D19876" t="s">
        <v>59684</v>
      </c>
      <c r="E19876" t="s">
        <v>59685</v>
      </c>
      <c r="F19876" t="s">
        <v>7455</v>
      </c>
      <c r="G19876" t="s">
        <v>123</v>
      </c>
      <c r="H19876">
        <v>21202</v>
      </c>
      <c r="I19876" t="s">
        <v>30</v>
      </c>
      <c r="J19876" t="s">
        <v>171</v>
      </c>
      <c r="K19876" t="s">
        <v>973</v>
      </c>
      <c r="N19876" t="s">
        <v>59686</v>
      </c>
      <c r="O19876" t="s">
        <v>59687</v>
      </c>
      <c r="Q19876">
        <v>0</v>
      </c>
      <c r="R19876">
        <v>205</v>
      </c>
      <c r="S19876">
        <v>0</v>
      </c>
      <c r="T19876" t="s">
        <v>59688</v>
      </c>
    </row>
    <row r="19877" spans="1:20" customFormat="1" ht="15" x14ac:dyDescent="0.25">
      <c r="A19877" t="s">
        <v>24</v>
      </c>
      <c r="B19877" t="s">
        <v>675</v>
      </c>
      <c r="C19877" t="str">
        <f>"311DW"</f>
        <v>311DW</v>
      </c>
      <c r="D19877" t="s">
        <v>59689</v>
      </c>
      <c r="E19877" t="s">
        <v>59690</v>
      </c>
      <c r="F19877" t="s">
        <v>826</v>
      </c>
      <c r="G19877" t="s">
        <v>338</v>
      </c>
      <c r="H19877">
        <v>7920</v>
      </c>
      <c r="I19877" t="s">
        <v>30</v>
      </c>
      <c r="J19877" t="s">
        <v>171</v>
      </c>
      <c r="K19877" t="s">
        <v>973</v>
      </c>
      <c r="N19877" t="s">
        <v>59691</v>
      </c>
      <c r="O19877" t="s">
        <v>59692</v>
      </c>
      <c r="Q19877">
        <v>0</v>
      </c>
      <c r="R19877">
        <v>235</v>
      </c>
      <c r="S19877">
        <v>0</v>
      </c>
      <c r="T19877" t="s">
        <v>59693</v>
      </c>
    </row>
    <row r="19878" spans="1:20" customFormat="1" ht="15" x14ac:dyDescent="0.25">
      <c r="A19878" t="s">
        <v>24</v>
      </c>
      <c r="B19878" t="s">
        <v>675</v>
      </c>
      <c r="C19878" t="str">
        <f>"311R1"</f>
        <v>311R1</v>
      </c>
      <c r="D19878" t="s">
        <v>59694</v>
      </c>
      <c r="E19878" t="s">
        <v>59695</v>
      </c>
      <c r="F19878" t="s">
        <v>34979</v>
      </c>
      <c r="G19878" t="s">
        <v>1170</v>
      </c>
      <c r="H19878">
        <v>70808</v>
      </c>
      <c r="I19878" t="s">
        <v>30</v>
      </c>
      <c r="J19878" t="s">
        <v>171</v>
      </c>
      <c r="K19878" t="s">
        <v>973</v>
      </c>
      <c r="N19878" t="s">
        <v>59696</v>
      </c>
      <c r="O19878" t="s">
        <v>59697</v>
      </c>
      <c r="Q19878">
        <v>0</v>
      </c>
      <c r="R19878">
        <v>149</v>
      </c>
      <c r="S19878">
        <v>0</v>
      </c>
      <c r="T19878" t="s">
        <v>59698</v>
      </c>
    </row>
    <row r="19879" spans="1:20" customFormat="1" ht="15" x14ac:dyDescent="0.25">
      <c r="A19879" t="s">
        <v>24</v>
      </c>
      <c r="B19879" t="s">
        <v>59699</v>
      </c>
      <c r="C19879" t="str">
        <f>"651UJ"</f>
        <v>651UJ</v>
      </c>
      <c r="D19879" t="s">
        <v>59700</v>
      </c>
      <c r="E19879" t="s">
        <v>59701</v>
      </c>
      <c r="F19879" t="s">
        <v>55362</v>
      </c>
      <c r="G19879" t="s">
        <v>85</v>
      </c>
      <c r="H19879">
        <v>72712</v>
      </c>
      <c r="I19879" t="s">
        <v>30</v>
      </c>
      <c r="J19879" t="s">
        <v>171</v>
      </c>
      <c r="K19879" t="s">
        <v>973</v>
      </c>
      <c r="N19879" t="s">
        <v>59702</v>
      </c>
      <c r="Q19879">
        <v>0</v>
      </c>
      <c r="R19879">
        <v>90</v>
      </c>
      <c r="S19879">
        <v>0</v>
      </c>
      <c r="T19879" t="s">
        <v>59703</v>
      </c>
    </row>
    <row r="19880" spans="1:20" customFormat="1" ht="15" x14ac:dyDescent="0.25">
      <c r="A19880" t="s">
        <v>24</v>
      </c>
      <c r="B19880" t="s">
        <v>5830</v>
      </c>
      <c r="C19880" t="str">
        <f>"A0086307"</f>
        <v>A0086307</v>
      </c>
      <c r="D19880" t="s">
        <v>59704</v>
      </c>
      <c r="E19880" t="s">
        <v>59705</v>
      </c>
      <c r="F19880" t="s">
        <v>54989</v>
      </c>
      <c r="G19880" t="s">
        <v>103</v>
      </c>
      <c r="H19880">
        <v>18020</v>
      </c>
      <c r="I19880" t="s">
        <v>30</v>
      </c>
      <c r="J19880" t="s">
        <v>171</v>
      </c>
      <c r="K19880" t="s">
        <v>973</v>
      </c>
      <c r="N19880" t="s">
        <v>59706</v>
      </c>
      <c r="O19880" t="s">
        <v>59707</v>
      </c>
      <c r="Q19880">
        <v>0</v>
      </c>
      <c r="R19880">
        <v>138</v>
      </c>
      <c r="S19880">
        <v>0</v>
      </c>
      <c r="T19880" t="s">
        <v>59708</v>
      </c>
    </row>
    <row r="19881" spans="1:20" customFormat="1" ht="15" x14ac:dyDescent="0.25">
      <c r="A19881" t="s">
        <v>24</v>
      </c>
      <c r="B19881" t="s">
        <v>2917</v>
      </c>
      <c r="C19881" t="str">
        <f>"A0089116"</f>
        <v>A0089116</v>
      </c>
      <c r="D19881" t="s">
        <v>59709</v>
      </c>
      <c r="E19881" t="s">
        <v>59710</v>
      </c>
      <c r="F19881" t="s">
        <v>59711</v>
      </c>
      <c r="G19881" t="s">
        <v>1369</v>
      </c>
      <c r="H19881">
        <v>39540</v>
      </c>
      <c r="I19881" t="s">
        <v>30</v>
      </c>
      <c r="J19881" t="s">
        <v>171</v>
      </c>
      <c r="K19881" t="s">
        <v>973</v>
      </c>
      <c r="N19881" t="s">
        <v>59712</v>
      </c>
      <c r="Q19881">
        <v>0</v>
      </c>
      <c r="R19881">
        <v>101</v>
      </c>
      <c r="S19881">
        <v>0</v>
      </c>
      <c r="T19881" t="s">
        <v>59713</v>
      </c>
    </row>
    <row r="19882" spans="1:20" customFormat="1" ht="15" x14ac:dyDescent="0.25">
      <c r="A19882" t="s">
        <v>24</v>
      </c>
      <c r="B19882" t="s">
        <v>59714</v>
      </c>
      <c r="C19882" t="str">
        <f>"6514E"</f>
        <v>6514E</v>
      </c>
      <c r="D19882" t="s">
        <v>59715</v>
      </c>
      <c r="E19882" t="s">
        <v>59716</v>
      </c>
      <c r="F19882" t="s">
        <v>14583</v>
      </c>
      <c r="G19882" t="s">
        <v>99</v>
      </c>
      <c r="H19882">
        <v>13850</v>
      </c>
      <c r="I19882" t="s">
        <v>30</v>
      </c>
      <c r="J19882" t="s">
        <v>171</v>
      </c>
      <c r="K19882" t="s">
        <v>973</v>
      </c>
      <c r="N19882" t="s">
        <v>59717</v>
      </c>
      <c r="Q19882">
        <v>0</v>
      </c>
      <c r="R19882">
        <v>70</v>
      </c>
      <c r="S19882">
        <v>0</v>
      </c>
      <c r="T19882" t="s">
        <v>59718</v>
      </c>
    </row>
    <row r="19883" spans="1:20" customFormat="1" ht="15" x14ac:dyDescent="0.25">
      <c r="A19883" t="s">
        <v>24</v>
      </c>
      <c r="B19883" t="s">
        <v>1849</v>
      </c>
      <c r="C19883" t="str">
        <f>"A0075233"</f>
        <v>A0075233</v>
      </c>
      <c r="D19883" t="s">
        <v>59719</v>
      </c>
      <c r="E19883" t="s">
        <v>59720</v>
      </c>
      <c r="F19883" t="s">
        <v>5706</v>
      </c>
      <c r="G19883" t="s">
        <v>1706</v>
      </c>
      <c r="H19883">
        <v>35233</v>
      </c>
      <c r="I19883" t="s">
        <v>30</v>
      </c>
      <c r="J19883" t="s">
        <v>171</v>
      </c>
      <c r="K19883" t="s">
        <v>973</v>
      </c>
      <c r="N19883" t="s">
        <v>59721</v>
      </c>
      <c r="O19883" t="s">
        <v>59722</v>
      </c>
      <c r="Q19883">
        <v>0</v>
      </c>
      <c r="R19883">
        <v>122</v>
      </c>
      <c r="S19883">
        <v>0</v>
      </c>
      <c r="T19883" t="s">
        <v>59723</v>
      </c>
    </row>
    <row r="19884" spans="1:20" customFormat="1" ht="15" x14ac:dyDescent="0.25">
      <c r="A19884" t="s">
        <v>24</v>
      </c>
      <c r="B19884" t="s">
        <v>675</v>
      </c>
      <c r="C19884" t="str">
        <f>"311A7"</f>
        <v>311A7</v>
      </c>
      <c r="D19884" t="s">
        <v>59724</v>
      </c>
      <c r="E19884" t="s">
        <v>59725</v>
      </c>
      <c r="F19884" t="s">
        <v>802</v>
      </c>
      <c r="G19884" t="s">
        <v>1706</v>
      </c>
      <c r="H19884">
        <v>35209</v>
      </c>
      <c r="I19884" t="s">
        <v>30</v>
      </c>
      <c r="J19884" t="s">
        <v>171</v>
      </c>
      <c r="K19884" t="s">
        <v>973</v>
      </c>
      <c r="N19884" t="s">
        <v>59726</v>
      </c>
      <c r="O19884" t="s">
        <v>59727</v>
      </c>
      <c r="Q19884">
        <v>0</v>
      </c>
      <c r="R19884">
        <v>140</v>
      </c>
      <c r="S19884">
        <v>0</v>
      </c>
      <c r="T19884" t="s">
        <v>59728</v>
      </c>
    </row>
    <row r="19885" spans="1:20" customFormat="1" ht="15" x14ac:dyDescent="0.25">
      <c r="A19885" t="s">
        <v>24</v>
      </c>
      <c r="B19885" t="s">
        <v>675</v>
      </c>
      <c r="C19885" t="str">
        <f>"311G9"</f>
        <v>311G9</v>
      </c>
      <c r="D19885" t="s">
        <v>59729</v>
      </c>
      <c r="E19885" t="s">
        <v>59730</v>
      </c>
      <c r="F19885" t="s">
        <v>59731</v>
      </c>
      <c r="G19885" t="s">
        <v>65</v>
      </c>
      <c r="H19885">
        <v>45242</v>
      </c>
      <c r="I19885" t="s">
        <v>30</v>
      </c>
      <c r="J19885" t="s">
        <v>171</v>
      </c>
      <c r="K19885" t="s">
        <v>973</v>
      </c>
      <c r="N19885" t="s">
        <v>59732</v>
      </c>
      <c r="O19885" t="s">
        <v>59733</v>
      </c>
      <c r="Q19885">
        <v>0</v>
      </c>
      <c r="R19885">
        <v>149</v>
      </c>
      <c r="S19885">
        <v>0</v>
      </c>
      <c r="T19885" t="s">
        <v>59734</v>
      </c>
    </row>
    <row r="19886" spans="1:20" customFormat="1" ht="15" x14ac:dyDescent="0.25">
      <c r="A19886" t="s">
        <v>24</v>
      </c>
      <c r="B19886" t="s">
        <v>55633</v>
      </c>
      <c r="C19886" t="str">
        <f>"6514L"</f>
        <v>6514L</v>
      </c>
      <c r="D19886" t="s">
        <v>59735</v>
      </c>
      <c r="E19886" t="s">
        <v>59736</v>
      </c>
      <c r="F19886" t="s">
        <v>55636</v>
      </c>
      <c r="G19886" t="s">
        <v>137</v>
      </c>
      <c r="H19886">
        <v>64014</v>
      </c>
      <c r="I19886" t="s">
        <v>30</v>
      </c>
      <c r="J19886" t="s">
        <v>171</v>
      </c>
      <c r="K19886" t="s">
        <v>973</v>
      </c>
      <c r="N19886" t="s">
        <v>59737</v>
      </c>
      <c r="O19886" t="s">
        <v>59738</v>
      </c>
      <c r="Q19886">
        <v>0</v>
      </c>
      <c r="R19886">
        <v>121</v>
      </c>
      <c r="S19886">
        <v>0</v>
      </c>
      <c r="T19886" t="s">
        <v>59739</v>
      </c>
    </row>
    <row r="19887" spans="1:20" customFormat="1" ht="15" x14ac:dyDescent="0.25">
      <c r="A19887" t="s">
        <v>24</v>
      </c>
      <c r="B19887" t="s">
        <v>12638</v>
      </c>
      <c r="C19887" t="str">
        <f>"A0090656"</f>
        <v>A0090656</v>
      </c>
      <c r="D19887" t="s">
        <v>59747</v>
      </c>
      <c r="E19887" t="s">
        <v>59748</v>
      </c>
      <c r="F19887" t="s">
        <v>59749</v>
      </c>
      <c r="G19887" t="s">
        <v>214</v>
      </c>
      <c r="H19887">
        <v>28607</v>
      </c>
      <c r="I19887" t="s">
        <v>30</v>
      </c>
      <c r="J19887" t="s">
        <v>171</v>
      </c>
      <c r="K19887" t="s">
        <v>973</v>
      </c>
      <c r="N19887" t="s">
        <v>59750</v>
      </c>
      <c r="Q19887">
        <v>0</v>
      </c>
      <c r="R19887">
        <v>100</v>
      </c>
      <c r="S19887">
        <v>0</v>
      </c>
      <c r="T19887" t="s">
        <v>59751</v>
      </c>
    </row>
    <row r="19888" spans="1:20" customFormat="1" ht="15" x14ac:dyDescent="0.25">
      <c r="A19888" t="s">
        <v>24</v>
      </c>
      <c r="B19888" t="s">
        <v>13679</v>
      </c>
      <c r="C19888" t="str">
        <f>"A0088929"</f>
        <v>A0088929</v>
      </c>
      <c r="D19888" t="s">
        <v>59752</v>
      </c>
      <c r="E19888" t="s">
        <v>59753</v>
      </c>
      <c r="F19888" t="s">
        <v>59754</v>
      </c>
      <c r="G19888" t="s">
        <v>1170</v>
      </c>
      <c r="H19888">
        <v>71111</v>
      </c>
      <c r="I19888" t="s">
        <v>30</v>
      </c>
      <c r="J19888" t="s">
        <v>171</v>
      </c>
      <c r="K19888" t="s">
        <v>973</v>
      </c>
      <c r="N19888" t="s">
        <v>59755</v>
      </c>
      <c r="O19888" t="s">
        <v>59756</v>
      </c>
      <c r="Q19888">
        <v>0</v>
      </c>
      <c r="R19888">
        <v>128</v>
      </c>
      <c r="S19888">
        <v>0</v>
      </c>
      <c r="T19888" t="s">
        <v>59757</v>
      </c>
    </row>
    <row r="19889" spans="1:20" customFormat="1" ht="15" x14ac:dyDescent="0.25">
      <c r="A19889" t="s">
        <v>24</v>
      </c>
      <c r="B19889" t="s">
        <v>1548</v>
      </c>
      <c r="C19889" t="str">
        <f>"A0060018"</f>
        <v>A0060018</v>
      </c>
      <c r="D19889" t="s">
        <v>59758</v>
      </c>
      <c r="E19889" t="s">
        <v>59759</v>
      </c>
      <c r="F19889" t="s">
        <v>59760</v>
      </c>
      <c r="G19889" t="s">
        <v>899</v>
      </c>
      <c r="H19889">
        <v>1821</v>
      </c>
      <c r="I19889" t="s">
        <v>30</v>
      </c>
      <c r="J19889" t="s">
        <v>171</v>
      </c>
      <c r="K19889" t="s">
        <v>973</v>
      </c>
      <c r="N19889" t="s">
        <v>59761</v>
      </c>
      <c r="Q19889">
        <v>0</v>
      </c>
      <c r="R19889">
        <v>210</v>
      </c>
      <c r="S19889">
        <v>0</v>
      </c>
      <c r="T19889" t="s">
        <v>59762</v>
      </c>
    </row>
    <row r="19890" spans="1:20" customFormat="1" ht="15" x14ac:dyDescent="0.25">
      <c r="A19890" t="s">
        <v>24</v>
      </c>
      <c r="B19890" t="s">
        <v>5830</v>
      </c>
      <c r="C19890" t="str">
        <f>"A0069001"</f>
        <v>A0069001</v>
      </c>
      <c r="D19890" t="s">
        <v>59763</v>
      </c>
      <c r="E19890" t="s">
        <v>59764</v>
      </c>
      <c r="F19890" t="s">
        <v>1208</v>
      </c>
      <c r="G19890" t="s">
        <v>899</v>
      </c>
      <c r="H19890">
        <v>2116</v>
      </c>
      <c r="I19890" t="s">
        <v>30</v>
      </c>
      <c r="J19890" t="s">
        <v>171</v>
      </c>
      <c r="K19890" t="s">
        <v>973</v>
      </c>
      <c r="N19890" t="s">
        <v>5834</v>
      </c>
      <c r="Q19890">
        <v>0</v>
      </c>
      <c r="R19890">
        <v>81</v>
      </c>
      <c r="S19890">
        <v>0</v>
      </c>
      <c r="T19890" t="s">
        <v>59765</v>
      </c>
    </row>
    <row r="19891" spans="1:20" customFormat="1" ht="15" x14ac:dyDescent="0.25">
      <c r="A19891" t="s">
        <v>24</v>
      </c>
      <c r="B19891" t="s">
        <v>4400</v>
      </c>
      <c r="C19891" t="str">
        <f>"A0099438"</f>
        <v>A0099438</v>
      </c>
      <c r="D19891" t="s">
        <v>59766</v>
      </c>
      <c r="E19891" t="s">
        <v>59767</v>
      </c>
      <c r="F19891" t="s">
        <v>59768</v>
      </c>
      <c r="G19891" t="s">
        <v>899</v>
      </c>
      <c r="H19891">
        <v>2090</v>
      </c>
      <c r="I19891" t="s">
        <v>30</v>
      </c>
      <c r="J19891" t="s">
        <v>171</v>
      </c>
      <c r="K19891" t="s">
        <v>973</v>
      </c>
      <c r="N19891" t="s">
        <v>59769</v>
      </c>
      <c r="Q19891">
        <v>0</v>
      </c>
      <c r="R19891">
        <v>130</v>
      </c>
      <c r="S19891">
        <v>0</v>
      </c>
      <c r="T19891" t="s">
        <v>59770</v>
      </c>
    </row>
    <row r="19892" spans="1:20" customFormat="1" ht="15" x14ac:dyDescent="0.25">
      <c r="A19892" t="s">
        <v>24</v>
      </c>
      <c r="B19892" t="s">
        <v>675</v>
      </c>
      <c r="C19892" t="str">
        <f>"311DA"</f>
        <v>311DA</v>
      </c>
      <c r="D19892" t="s">
        <v>59771</v>
      </c>
      <c r="E19892" t="s">
        <v>59772</v>
      </c>
      <c r="F19892" t="s">
        <v>59773</v>
      </c>
      <c r="G19892" t="s">
        <v>899</v>
      </c>
      <c r="H19892">
        <v>2062</v>
      </c>
      <c r="I19892" t="s">
        <v>30</v>
      </c>
      <c r="J19892" t="s">
        <v>171</v>
      </c>
      <c r="K19892" t="s">
        <v>973</v>
      </c>
      <c r="N19892" t="s">
        <v>59774</v>
      </c>
      <c r="O19892" t="s">
        <v>59775</v>
      </c>
      <c r="Q19892">
        <v>0</v>
      </c>
      <c r="R19892">
        <v>148</v>
      </c>
      <c r="S19892">
        <v>0</v>
      </c>
      <c r="T19892" t="s">
        <v>59776</v>
      </c>
    </row>
    <row r="19893" spans="1:20" customFormat="1" ht="15" x14ac:dyDescent="0.25">
      <c r="A19893" t="s">
        <v>24</v>
      </c>
      <c r="B19893" t="s">
        <v>8366</v>
      </c>
      <c r="C19893" t="str">
        <f>"6514Q"</f>
        <v>6514Q</v>
      </c>
      <c r="D19893" t="s">
        <v>59777</v>
      </c>
      <c r="E19893" t="s">
        <v>59778</v>
      </c>
      <c r="F19893" t="s">
        <v>59779</v>
      </c>
      <c r="G19893" t="s">
        <v>899</v>
      </c>
      <c r="H19893">
        <v>2767</v>
      </c>
      <c r="I19893" t="s">
        <v>30</v>
      </c>
      <c r="J19893" t="s">
        <v>171</v>
      </c>
      <c r="K19893" t="s">
        <v>973</v>
      </c>
      <c r="N19893" t="s">
        <v>59780</v>
      </c>
      <c r="O19893" t="s">
        <v>59781</v>
      </c>
      <c r="Q19893">
        <v>0</v>
      </c>
      <c r="R19893">
        <v>120</v>
      </c>
      <c r="S19893">
        <v>0</v>
      </c>
      <c r="T19893" t="s">
        <v>59782</v>
      </c>
    </row>
    <row r="19894" spans="1:20" customFormat="1" ht="15" x14ac:dyDescent="0.25">
      <c r="A19894" t="s">
        <v>24</v>
      </c>
      <c r="B19894" t="s">
        <v>1467</v>
      </c>
      <c r="C19894" t="str">
        <f>"651IJ"</f>
        <v>651IJ</v>
      </c>
      <c r="D19894" t="s">
        <v>59783</v>
      </c>
      <c r="E19894" t="s">
        <v>59784</v>
      </c>
      <c r="F19894" t="s">
        <v>59785</v>
      </c>
      <c r="G19894" t="s">
        <v>899</v>
      </c>
      <c r="H19894">
        <v>1581</v>
      </c>
      <c r="I19894" t="s">
        <v>30</v>
      </c>
      <c r="J19894" t="s">
        <v>171</v>
      </c>
      <c r="K19894" t="s">
        <v>973</v>
      </c>
      <c r="N19894" t="s">
        <v>59786</v>
      </c>
      <c r="Q19894">
        <v>0</v>
      </c>
      <c r="R19894">
        <v>98</v>
      </c>
      <c r="S19894">
        <v>0</v>
      </c>
      <c r="T19894" t="s">
        <v>59787</v>
      </c>
    </row>
    <row r="19895" spans="1:20" customFormat="1" ht="15" x14ac:dyDescent="0.25">
      <c r="A19895" t="s">
        <v>24</v>
      </c>
      <c r="B19895" t="s">
        <v>675</v>
      </c>
      <c r="C19895" t="str">
        <f>"311N6"</f>
        <v>311N6</v>
      </c>
      <c r="D19895" t="s">
        <v>59788</v>
      </c>
      <c r="E19895" t="s">
        <v>59789</v>
      </c>
      <c r="F19895" t="s">
        <v>3891</v>
      </c>
      <c r="G19895" t="s">
        <v>190</v>
      </c>
      <c r="H19895">
        <v>80301</v>
      </c>
      <c r="I19895" t="s">
        <v>30</v>
      </c>
      <c r="J19895" t="s">
        <v>171</v>
      </c>
      <c r="K19895" t="s">
        <v>973</v>
      </c>
      <c r="N19895" t="s">
        <v>59790</v>
      </c>
      <c r="O19895" t="s">
        <v>59791</v>
      </c>
      <c r="Q19895">
        <v>0</v>
      </c>
      <c r="R19895">
        <v>149</v>
      </c>
      <c r="S19895">
        <v>0</v>
      </c>
      <c r="T19895" t="s">
        <v>59792</v>
      </c>
    </row>
    <row r="19896" spans="1:20" customFormat="1" ht="15" x14ac:dyDescent="0.25">
      <c r="A19896" t="s">
        <v>24</v>
      </c>
      <c r="B19896" t="s">
        <v>59793</v>
      </c>
      <c r="C19896" t="str">
        <f>"651ZJ"</f>
        <v>651ZJ</v>
      </c>
      <c r="D19896" t="s">
        <v>59794</v>
      </c>
      <c r="E19896" t="s">
        <v>59795</v>
      </c>
      <c r="F19896" t="s">
        <v>3466</v>
      </c>
      <c r="G19896" t="s">
        <v>190</v>
      </c>
      <c r="H19896">
        <v>80027</v>
      </c>
      <c r="I19896" t="s">
        <v>30</v>
      </c>
      <c r="J19896" t="s">
        <v>171</v>
      </c>
      <c r="K19896" t="s">
        <v>973</v>
      </c>
      <c r="N19896" t="s">
        <v>59796</v>
      </c>
      <c r="Q19896">
        <v>0</v>
      </c>
      <c r="R19896">
        <v>154</v>
      </c>
      <c r="S19896">
        <v>0</v>
      </c>
      <c r="T19896" t="s">
        <v>59797</v>
      </c>
    </row>
    <row r="19897" spans="1:20" customFormat="1" ht="15" x14ac:dyDescent="0.25">
      <c r="A19897" t="s">
        <v>24</v>
      </c>
      <c r="B19897" t="s">
        <v>59798</v>
      </c>
      <c r="C19897" t="str">
        <f>"A0101211"</f>
        <v>A0101211</v>
      </c>
      <c r="D19897" t="s">
        <v>59799</v>
      </c>
      <c r="E19897" t="s">
        <v>59800</v>
      </c>
      <c r="F19897" t="s">
        <v>59801</v>
      </c>
      <c r="G19897" t="s">
        <v>123</v>
      </c>
      <c r="H19897">
        <v>20715</v>
      </c>
      <c r="I19897" t="s">
        <v>30</v>
      </c>
      <c r="J19897" t="s">
        <v>171</v>
      </c>
      <c r="K19897" t="s">
        <v>973</v>
      </c>
      <c r="N19897" t="s">
        <v>59802</v>
      </c>
      <c r="Q19897">
        <v>0</v>
      </c>
      <c r="R19897">
        <v>139</v>
      </c>
      <c r="S19897">
        <v>0</v>
      </c>
      <c r="T19897" t="s">
        <v>59803</v>
      </c>
    </row>
    <row r="19898" spans="1:20" customFormat="1" ht="15" x14ac:dyDescent="0.25">
      <c r="A19898" t="s">
        <v>24</v>
      </c>
      <c r="B19898" t="s">
        <v>5149</v>
      </c>
      <c r="C19898" t="str">
        <f>"651U9"</f>
        <v>651U9</v>
      </c>
      <c r="D19898" t="s">
        <v>59804</v>
      </c>
      <c r="E19898" t="s">
        <v>59805</v>
      </c>
      <c r="F19898" t="s">
        <v>5152</v>
      </c>
      <c r="G19898" t="s">
        <v>840</v>
      </c>
      <c r="H19898">
        <v>42104</v>
      </c>
      <c r="I19898" t="s">
        <v>30</v>
      </c>
      <c r="J19898" t="s">
        <v>171</v>
      </c>
      <c r="K19898" t="s">
        <v>973</v>
      </c>
      <c r="N19898" t="s">
        <v>59806</v>
      </c>
      <c r="O19898" t="s">
        <v>59807</v>
      </c>
      <c r="Q19898">
        <v>0</v>
      </c>
      <c r="R19898">
        <v>93</v>
      </c>
      <c r="S19898">
        <v>0</v>
      </c>
      <c r="T19898" t="s">
        <v>59808</v>
      </c>
    </row>
    <row r="19899" spans="1:20" customFormat="1" ht="15" x14ac:dyDescent="0.25">
      <c r="A19899" t="s">
        <v>24</v>
      </c>
      <c r="B19899" t="s">
        <v>59809</v>
      </c>
      <c r="C19899" t="str">
        <f>"A0091183"</f>
        <v>A0091183</v>
      </c>
      <c r="D19899" t="s">
        <v>59810</v>
      </c>
      <c r="E19899" t="s">
        <v>59811</v>
      </c>
      <c r="F19899" t="s">
        <v>5107</v>
      </c>
      <c r="G19899" t="s">
        <v>137</v>
      </c>
      <c r="H19899">
        <v>64116</v>
      </c>
      <c r="I19899" t="s">
        <v>30</v>
      </c>
      <c r="J19899" t="s">
        <v>171</v>
      </c>
      <c r="K19899" t="s">
        <v>973</v>
      </c>
      <c r="N19899" t="s">
        <v>59812</v>
      </c>
      <c r="Q19899">
        <v>0</v>
      </c>
      <c r="R19899">
        <v>123</v>
      </c>
      <c r="S19899">
        <v>0</v>
      </c>
      <c r="T19899" t="s">
        <v>59813</v>
      </c>
    </row>
    <row r="19900" spans="1:20" customFormat="1" ht="15" hidden="1" x14ac:dyDescent="0.25">
      <c r="A19900" t="s">
        <v>24</v>
      </c>
      <c r="B19900" t="s">
        <v>2011</v>
      </c>
      <c r="C19900" t="str">
        <f>"A0077515"</f>
        <v>A0077515</v>
      </c>
      <c r="D19900" t="s">
        <v>73992</v>
      </c>
      <c r="E19900" t="s">
        <v>73993</v>
      </c>
      <c r="F19900" t="s">
        <v>4579</v>
      </c>
      <c r="G19900" t="s">
        <v>4580</v>
      </c>
      <c r="H19900">
        <v>97000</v>
      </c>
      <c r="I19900" t="s">
        <v>2408</v>
      </c>
      <c r="J19900" t="s">
        <v>162</v>
      </c>
      <c r="K19900" t="s">
        <v>7598</v>
      </c>
      <c r="N19900" t="s">
        <v>73994</v>
      </c>
      <c r="Q19900">
        <v>0</v>
      </c>
      <c r="R19900">
        <v>298</v>
      </c>
      <c r="S19900">
        <v>0</v>
      </c>
      <c r="T19900" t="s">
        <v>73995</v>
      </c>
    </row>
    <row r="19901" spans="1:20" customFormat="1" ht="15" hidden="1" x14ac:dyDescent="0.25">
      <c r="A19901" t="s">
        <v>24</v>
      </c>
      <c r="B19901" t="s">
        <v>2011</v>
      </c>
      <c r="C19901" t="str">
        <f>"A0089736"</f>
        <v>A0089736</v>
      </c>
      <c r="D19901" t="s">
        <v>73996</v>
      </c>
      <c r="E19901" t="s">
        <v>73997</v>
      </c>
      <c r="F19901" t="s">
        <v>2408</v>
      </c>
      <c r="G19901" t="s">
        <v>3843</v>
      </c>
      <c r="H19901">
        <v>11560</v>
      </c>
      <c r="I19901" t="s">
        <v>2408</v>
      </c>
      <c r="J19901" t="s">
        <v>162</v>
      </c>
      <c r="K19901" t="s">
        <v>7598</v>
      </c>
      <c r="N19901" t="s">
        <v>73998</v>
      </c>
      <c r="O19901" t="s">
        <v>73999</v>
      </c>
      <c r="Q19901">
        <v>0</v>
      </c>
      <c r="R19901">
        <v>756</v>
      </c>
      <c r="S19901">
        <v>0</v>
      </c>
      <c r="T19901" t="s">
        <v>74000</v>
      </c>
    </row>
    <row r="19902" spans="1:20" customFormat="1" ht="15" x14ac:dyDescent="0.25">
      <c r="A19902" t="s">
        <v>24</v>
      </c>
      <c r="B19902" t="s">
        <v>59814</v>
      </c>
      <c r="C19902" t="str">
        <f>"A0092569"</f>
        <v>A0092569</v>
      </c>
      <c r="D19902" t="s">
        <v>59815</v>
      </c>
      <c r="E19902" t="s">
        <v>59816</v>
      </c>
      <c r="F19902" t="s">
        <v>58331</v>
      </c>
      <c r="G19902" t="s">
        <v>507</v>
      </c>
      <c r="H19902">
        <v>26330</v>
      </c>
      <c r="I19902" t="s">
        <v>30</v>
      </c>
      <c r="J19902" t="s">
        <v>171</v>
      </c>
      <c r="K19902" t="s">
        <v>973</v>
      </c>
      <c r="N19902" t="s">
        <v>59817</v>
      </c>
      <c r="Q19902">
        <v>0</v>
      </c>
      <c r="R19902">
        <v>105</v>
      </c>
      <c r="S19902">
        <v>0</v>
      </c>
      <c r="T19902" t="s">
        <v>59818</v>
      </c>
    </row>
    <row r="19903" spans="1:20" customFormat="1" ht="15" x14ac:dyDescent="0.25">
      <c r="A19903" t="s">
        <v>24</v>
      </c>
      <c r="B19903" t="s">
        <v>675</v>
      </c>
      <c r="C19903" t="str">
        <f>"311MN"</f>
        <v>311MN</v>
      </c>
      <c r="D19903" t="s">
        <v>59819</v>
      </c>
      <c r="E19903" t="s">
        <v>59820</v>
      </c>
      <c r="F19903" t="s">
        <v>1159</v>
      </c>
      <c r="G19903" t="s">
        <v>58</v>
      </c>
      <c r="H19903">
        <v>29577</v>
      </c>
      <c r="I19903" t="s">
        <v>30</v>
      </c>
      <c r="J19903" t="s">
        <v>171</v>
      </c>
      <c r="K19903" t="s">
        <v>973</v>
      </c>
      <c r="N19903" t="s">
        <v>59821</v>
      </c>
      <c r="Q19903">
        <v>0</v>
      </c>
      <c r="R19903">
        <v>135</v>
      </c>
      <c r="S19903">
        <v>0</v>
      </c>
      <c r="T19903" t="s">
        <v>59822</v>
      </c>
    </row>
    <row r="19904" spans="1:20" customFormat="1" ht="15" x14ac:dyDescent="0.25">
      <c r="A19904" t="s">
        <v>24</v>
      </c>
      <c r="B19904" t="s">
        <v>1561</v>
      </c>
      <c r="C19904" t="str">
        <f>"15320"</f>
        <v>15320</v>
      </c>
      <c r="D19904" t="s">
        <v>59828</v>
      </c>
      <c r="E19904" t="s">
        <v>59829</v>
      </c>
      <c r="F19904" t="s">
        <v>59830</v>
      </c>
      <c r="G19904" t="s">
        <v>52</v>
      </c>
      <c r="H19904">
        <v>78520</v>
      </c>
      <c r="I19904" t="s">
        <v>30</v>
      </c>
      <c r="J19904" t="s">
        <v>171</v>
      </c>
      <c r="K19904" t="s">
        <v>973</v>
      </c>
      <c r="N19904" t="s">
        <v>59831</v>
      </c>
      <c r="Q19904">
        <v>0</v>
      </c>
      <c r="R19904">
        <v>90</v>
      </c>
      <c r="S19904">
        <v>0</v>
      </c>
      <c r="T19904" t="s">
        <v>59832</v>
      </c>
    </row>
    <row r="19905" spans="1:20" customFormat="1" ht="15" x14ac:dyDescent="0.25">
      <c r="A19905" t="s">
        <v>24</v>
      </c>
      <c r="B19905" t="s">
        <v>34743</v>
      </c>
      <c r="C19905" t="str">
        <f>"A0077202"</f>
        <v>A0077202</v>
      </c>
      <c r="D19905" t="s">
        <v>59833</v>
      </c>
      <c r="E19905" t="s">
        <v>59834</v>
      </c>
      <c r="F19905" t="s">
        <v>29438</v>
      </c>
      <c r="G19905" t="s">
        <v>846</v>
      </c>
      <c r="H19905">
        <v>31525</v>
      </c>
      <c r="I19905" t="s">
        <v>30</v>
      </c>
      <c r="J19905" t="s">
        <v>171</v>
      </c>
      <c r="K19905" t="s">
        <v>973</v>
      </c>
      <c r="N19905" t="s">
        <v>34746</v>
      </c>
      <c r="O19905" t="s">
        <v>59835</v>
      </c>
      <c r="Q19905">
        <v>0</v>
      </c>
      <c r="R19905">
        <v>93</v>
      </c>
      <c r="S19905">
        <v>0</v>
      </c>
      <c r="T19905" t="s">
        <v>59836</v>
      </c>
    </row>
    <row r="19906" spans="1:20" customFormat="1" ht="15" x14ac:dyDescent="0.25">
      <c r="A19906" t="s">
        <v>24</v>
      </c>
      <c r="B19906" t="s">
        <v>675</v>
      </c>
      <c r="C19906" t="str">
        <f>"311J8"</f>
        <v>311J8</v>
      </c>
      <c r="D19906" t="s">
        <v>59837</v>
      </c>
      <c r="E19906" t="s">
        <v>59838</v>
      </c>
      <c r="F19906" t="s">
        <v>59839</v>
      </c>
      <c r="G19906" t="s">
        <v>110</v>
      </c>
      <c r="H19906">
        <v>90620</v>
      </c>
      <c r="I19906" t="s">
        <v>30</v>
      </c>
      <c r="J19906" t="s">
        <v>171</v>
      </c>
      <c r="K19906" t="s">
        <v>973</v>
      </c>
      <c r="N19906" t="s">
        <v>59840</v>
      </c>
      <c r="O19906" t="s">
        <v>59841</v>
      </c>
      <c r="Q19906">
        <v>0</v>
      </c>
      <c r="R19906">
        <v>145</v>
      </c>
      <c r="S19906">
        <v>0</v>
      </c>
      <c r="T19906" t="s">
        <v>59842</v>
      </c>
    </row>
    <row r="19907" spans="1:20" customFormat="1" ht="15" x14ac:dyDescent="0.25">
      <c r="A19907" t="s">
        <v>24</v>
      </c>
      <c r="B19907" t="s">
        <v>59714</v>
      </c>
      <c r="C19907" t="str">
        <f>"6513A"</f>
        <v>6513A</v>
      </c>
      <c r="D19907" t="s">
        <v>59843</v>
      </c>
      <c r="E19907" t="s">
        <v>59844</v>
      </c>
      <c r="F19907" t="s">
        <v>10801</v>
      </c>
      <c r="G19907" t="s">
        <v>99</v>
      </c>
      <c r="H19907">
        <v>14221</v>
      </c>
      <c r="I19907" t="s">
        <v>30</v>
      </c>
      <c r="J19907" t="s">
        <v>171</v>
      </c>
      <c r="K19907" t="s">
        <v>973</v>
      </c>
      <c r="N19907" t="s">
        <v>59845</v>
      </c>
      <c r="Q19907">
        <v>0</v>
      </c>
      <c r="R19907">
        <v>101</v>
      </c>
      <c r="S19907">
        <v>0</v>
      </c>
      <c r="T19907" t="s">
        <v>59846</v>
      </c>
    </row>
    <row r="19908" spans="1:20" customFormat="1" ht="15" x14ac:dyDescent="0.25">
      <c r="A19908" t="s">
        <v>24</v>
      </c>
      <c r="B19908" t="s">
        <v>649</v>
      </c>
      <c r="C19908" t="str">
        <f>"A0088119"</f>
        <v>A0088119</v>
      </c>
      <c r="D19908" t="s">
        <v>59847</v>
      </c>
      <c r="E19908" t="s">
        <v>59848</v>
      </c>
      <c r="F19908" t="s">
        <v>59849</v>
      </c>
      <c r="G19908" t="s">
        <v>846</v>
      </c>
      <c r="H19908">
        <v>30519</v>
      </c>
      <c r="I19908" t="s">
        <v>30</v>
      </c>
      <c r="J19908" t="s">
        <v>171</v>
      </c>
      <c r="K19908" t="s">
        <v>973</v>
      </c>
      <c r="N19908" t="s">
        <v>59850</v>
      </c>
      <c r="Q19908">
        <v>0</v>
      </c>
      <c r="R19908">
        <v>110</v>
      </c>
      <c r="S19908">
        <v>0</v>
      </c>
      <c r="T19908" t="s">
        <v>59851</v>
      </c>
    </row>
    <row r="19909" spans="1:20" customFormat="1" ht="15" x14ac:dyDescent="0.25">
      <c r="A19909" t="s">
        <v>24</v>
      </c>
      <c r="B19909" t="s">
        <v>2368</v>
      </c>
      <c r="C19909" t="str">
        <f>"6518D"</f>
        <v>6518D</v>
      </c>
      <c r="D19909" t="s">
        <v>59852</v>
      </c>
      <c r="E19909" t="s">
        <v>59853</v>
      </c>
      <c r="F19909" t="s">
        <v>1790</v>
      </c>
      <c r="G19909" t="s">
        <v>110</v>
      </c>
      <c r="H19909">
        <v>91504</v>
      </c>
      <c r="I19909" t="s">
        <v>30</v>
      </c>
      <c r="J19909" t="s">
        <v>171</v>
      </c>
      <c r="K19909" t="s">
        <v>973</v>
      </c>
      <c r="N19909" t="s">
        <v>59854</v>
      </c>
      <c r="O19909" t="s">
        <v>59855</v>
      </c>
      <c r="Q19909">
        <v>0</v>
      </c>
      <c r="R19909">
        <v>190</v>
      </c>
      <c r="S19909">
        <v>0</v>
      </c>
      <c r="T19909" t="s">
        <v>59856</v>
      </c>
    </row>
    <row r="19910" spans="1:20" customFormat="1" ht="15" x14ac:dyDescent="0.25">
      <c r="A19910" t="s">
        <v>24</v>
      </c>
      <c r="B19910" t="s">
        <v>1288</v>
      </c>
      <c r="C19910" t="str">
        <f>"6515B"</f>
        <v>6515B</v>
      </c>
      <c r="D19910" t="s">
        <v>59857</v>
      </c>
      <c r="E19910" t="s">
        <v>59858</v>
      </c>
      <c r="F19910" t="s">
        <v>765</v>
      </c>
      <c r="G19910" t="s">
        <v>2391</v>
      </c>
      <c r="H19910">
        <v>5495</v>
      </c>
      <c r="I19910" t="s">
        <v>30</v>
      </c>
      <c r="J19910" t="s">
        <v>171</v>
      </c>
      <c r="K19910" t="s">
        <v>973</v>
      </c>
      <c r="N19910" t="s">
        <v>59859</v>
      </c>
      <c r="Q19910">
        <v>0</v>
      </c>
      <c r="R19910">
        <v>90</v>
      </c>
      <c r="S19910">
        <v>0</v>
      </c>
      <c r="T19910" t="s">
        <v>59860</v>
      </c>
    </row>
    <row r="19911" spans="1:20" customFormat="1" ht="15" x14ac:dyDescent="0.25">
      <c r="A19911" t="s">
        <v>24</v>
      </c>
      <c r="B19911" t="s">
        <v>2955</v>
      </c>
      <c r="C19911" t="str">
        <f>"6519K"</f>
        <v>6519K</v>
      </c>
      <c r="D19911" t="s">
        <v>59868</v>
      </c>
      <c r="E19911" t="s">
        <v>59869</v>
      </c>
      <c r="F19911" t="s">
        <v>1564</v>
      </c>
      <c r="G19911" t="s">
        <v>52</v>
      </c>
      <c r="H19911">
        <v>77079</v>
      </c>
      <c r="I19911" t="s">
        <v>30</v>
      </c>
      <c r="J19911" t="s">
        <v>171</v>
      </c>
      <c r="K19911" t="s">
        <v>973</v>
      </c>
      <c r="N19911" t="s">
        <v>59870</v>
      </c>
      <c r="Q19911">
        <v>0</v>
      </c>
      <c r="R19911">
        <v>176</v>
      </c>
      <c r="S19911">
        <v>0</v>
      </c>
      <c r="T19911" t="s">
        <v>59871</v>
      </c>
    </row>
    <row r="19912" spans="1:20" customFormat="1" ht="15" x14ac:dyDescent="0.25">
      <c r="A19912" t="s">
        <v>24</v>
      </c>
      <c r="B19912" t="s">
        <v>675</v>
      </c>
      <c r="C19912" t="str">
        <f>"A0092256"</f>
        <v>A0092256</v>
      </c>
      <c r="D19912" t="s">
        <v>59872</v>
      </c>
      <c r="E19912" t="s">
        <v>59873</v>
      </c>
      <c r="F19912" t="s">
        <v>3880</v>
      </c>
      <c r="G19912" t="s">
        <v>99</v>
      </c>
      <c r="H19912">
        <v>10001</v>
      </c>
      <c r="I19912" t="s">
        <v>30</v>
      </c>
      <c r="J19912" t="s">
        <v>171</v>
      </c>
      <c r="K19912" t="s">
        <v>973</v>
      </c>
      <c r="N19912" t="s">
        <v>59874</v>
      </c>
      <c r="O19912" t="s">
        <v>59875</v>
      </c>
      <c r="Q19912">
        <v>0</v>
      </c>
      <c r="R19912">
        <v>273</v>
      </c>
      <c r="S19912">
        <v>0</v>
      </c>
      <c r="T19912" t="s">
        <v>59876</v>
      </c>
    </row>
    <row r="19913" spans="1:20" customFormat="1" ht="15" x14ac:dyDescent="0.25">
      <c r="A19913" t="s">
        <v>24</v>
      </c>
      <c r="B19913" t="s">
        <v>675</v>
      </c>
      <c r="C19913" t="str">
        <f>"A0091202"</f>
        <v>A0091202</v>
      </c>
      <c r="D19913" t="s">
        <v>59877</v>
      </c>
      <c r="E19913" t="s">
        <v>59878</v>
      </c>
      <c r="F19913" t="s">
        <v>59879</v>
      </c>
      <c r="G19913" t="s">
        <v>4815</v>
      </c>
      <c r="H19913">
        <v>96753</v>
      </c>
      <c r="I19913" t="s">
        <v>30</v>
      </c>
      <c r="J19913" t="s">
        <v>171</v>
      </c>
      <c r="K19913" t="s">
        <v>973</v>
      </c>
      <c r="Q19913">
        <v>0</v>
      </c>
      <c r="R19913">
        <v>128</v>
      </c>
      <c r="S19913">
        <v>0</v>
      </c>
      <c r="T19913" t="s">
        <v>59880</v>
      </c>
    </row>
    <row r="19914" spans="1:20" customFormat="1" ht="15" x14ac:dyDescent="0.25">
      <c r="A19914" t="s">
        <v>24</v>
      </c>
      <c r="B19914" t="s">
        <v>1098</v>
      </c>
      <c r="C19914" t="str">
        <f>"A0083179"</f>
        <v>A0083179</v>
      </c>
      <c r="D19914" t="s">
        <v>59881</v>
      </c>
      <c r="E19914" t="s">
        <v>59882</v>
      </c>
      <c r="F19914" t="s">
        <v>54673</v>
      </c>
      <c r="G19914" t="s">
        <v>103</v>
      </c>
      <c r="H19914">
        <v>17055</v>
      </c>
      <c r="I19914" t="s">
        <v>30</v>
      </c>
      <c r="J19914" t="s">
        <v>171</v>
      </c>
      <c r="K19914" t="s">
        <v>973</v>
      </c>
      <c r="Q19914">
        <v>0</v>
      </c>
      <c r="R19914">
        <v>93</v>
      </c>
      <c r="S19914">
        <v>0</v>
      </c>
      <c r="T19914" t="s">
        <v>59883</v>
      </c>
    </row>
    <row r="19915" spans="1:20" customFormat="1" ht="15" x14ac:dyDescent="0.25">
      <c r="A19915" t="s">
        <v>24</v>
      </c>
      <c r="B19915" t="s">
        <v>675</v>
      </c>
      <c r="C19915" t="str">
        <f>"311MK"</f>
        <v>311MK</v>
      </c>
      <c r="D19915" t="s">
        <v>59884</v>
      </c>
      <c r="E19915" t="s">
        <v>59885</v>
      </c>
      <c r="F19915" t="s">
        <v>2069</v>
      </c>
      <c r="G19915" t="s">
        <v>1170</v>
      </c>
      <c r="H19915">
        <v>70130</v>
      </c>
      <c r="I19915" t="s">
        <v>30</v>
      </c>
      <c r="J19915" t="s">
        <v>171</v>
      </c>
      <c r="K19915" t="s">
        <v>973</v>
      </c>
      <c r="N19915" t="s">
        <v>59886</v>
      </c>
      <c r="Q19915">
        <v>0</v>
      </c>
      <c r="R19915">
        <v>202</v>
      </c>
      <c r="S19915">
        <v>0</v>
      </c>
      <c r="T19915" t="s">
        <v>59887</v>
      </c>
    </row>
    <row r="19916" spans="1:20" customFormat="1" ht="15" x14ac:dyDescent="0.25">
      <c r="A19916" t="s">
        <v>24</v>
      </c>
      <c r="B19916" t="s">
        <v>675</v>
      </c>
      <c r="C19916" t="str">
        <f>"311MB"</f>
        <v>311MB</v>
      </c>
      <c r="D19916" t="s">
        <v>59888</v>
      </c>
      <c r="E19916" t="s">
        <v>59889</v>
      </c>
      <c r="F19916" t="s">
        <v>2069</v>
      </c>
      <c r="G19916" t="s">
        <v>1170</v>
      </c>
      <c r="H19916">
        <v>70130</v>
      </c>
      <c r="I19916" t="s">
        <v>30</v>
      </c>
      <c r="J19916" t="s">
        <v>171</v>
      </c>
      <c r="K19916" t="s">
        <v>973</v>
      </c>
      <c r="N19916" t="s">
        <v>59890</v>
      </c>
      <c r="O19916" t="s">
        <v>59891</v>
      </c>
      <c r="Q19916">
        <v>0</v>
      </c>
      <c r="R19916">
        <v>140</v>
      </c>
      <c r="S19916">
        <v>0</v>
      </c>
      <c r="T19916" t="s">
        <v>59892</v>
      </c>
    </row>
    <row r="19917" spans="1:20" customFormat="1" ht="15" x14ac:dyDescent="0.25">
      <c r="A19917" t="s">
        <v>24</v>
      </c>
      <c r="B19917" t="s">
        <v>55128</v>
      </c>
      <c r="C19917" t="str">
        <f>"A0089169"</f>
        <v>A0089169</v>
      </c>
      <c r="D19917" t="s">
        <v>59893</v>
      </c>
      <c r="E19917" t="s">
        <v>59894</v>
      </c>
      <c r="F19917" t="s">
        <v>57432</v>
      </c>
      <c r="G19917" t="s">
        <v>840</v>
      </c>
      <c r="H19917">
        <v>42303</v>
      </c>
      <c r="I19917" t="s">
        <v>30</v>
      </c>
      <c r="J19917" t="s">
        <v>171</v>
      </c>
      <c r="K19917" t="s">
        <v>973</v>
      </c>
      <c r="N19917" t="s">
        <v>59895</v>
      </c>
      <c r="Q19917">
        <v>0</v>
      </c>
      <c r="R19917">
        <v>109</v>
      </c>
      <c r="S19917">
        <v>0</v>
      </c>
      <c r="T19917" t="s">
        <v>59896</v>
      </c>
    </row>
    <row r="19918" spans="1:20" customFormat="1" ht="15" x14ac:dyDescent="0.25">
      <c r="A19918" t="s">
        <v>24</v>
      </c>
      <c r="B19918" t="s">
        <v>1317</v>
      </c>
      <c r="C19918" t="str">
        <f>"651SP"</f>
        <v>651SP</v>
      </c>
      <c r="D19918" t="s">
        <v>59897</v>
      </c>
      <c r="E19918" t="s">
        <v>59898</v>
      </c>
      <c r="F19918" t="s">
        <v>59899</v>
      </c>
      <c r="G19918" t="s">
        <v>47</v>
      </c>
      <c r="H19918">
        <v>97015</v>
      </c>
      <c r="I19918" t="s">
        <v>30</v>
      </c>
      <c r="J19918" t="s">
        <v>171</v>
      </c>
      <c r="K19918" t="s">
        <v>973</v>
      </c>
      <c r="N19918" t="s">
        <v>59900</v>
      </c>
      <c r="Q19918">
        <v>0</v>
      </c>
      <c r="R19918">
        <v>136</v>
      </c>
      <c r="S19918">
        <v>0</v>
      </c>
      <c r="T19918" t="s">
        <v>59901</v>
      </c>
    </row>
    <row r="19919" spans="1:20" customFormat="1" ht="15" x14ac:dyDescent="0.25">
      <c r="A19919" t="s">
        <v>24</v>
      </c>
      <c r="B19919" t="s">
        <v>6363</v>
      </c>
      <c r="C19919" t="str">
        <f>"A0078613"</f>
        <v>A0078613</v>
      </c>
      <c r="D19919" t="s">
        <v>59914</v>
      </c>
      <c r="E19919" t="s">
        <v>59915</v>
      </c>
      <c r="F19919" t="s">
        <v>59916</v>
      </c>
      <c r="G19919" t="s">
        <v>1369</v>
      </c>
      <c r="H19919">
        <v>38671</v>
      </c>
      <c r="I19919" t="s">
        <v>30</v>
      </c>
      <c r="J19919" t="s">
        <v>171</v>
      </c>
      <c r="K19919" t="s">
        <v>973</v>
      </c>
      <c r="N19919" t="s">
        <v>59917</v>
      </c>
      <c r="Q19919">
        <v>0</v>
      </c>
      <c r="R19919">
        <v>85</v>
      </c>
      <c r="S19919">
        <v>0</v>
      </c>
      <c r="T19919" t="s">
        <v>59918</v>
      </c>
    </row>
    <row r="19920" spans="1:20" customFormat="1" ht="15" x14ac:dyDescent="0.25">
      <c r="A19920" t="s">
        <v>24</v>
      </c>
      <c r="B19920" t="s">
        <v>59919</v>
      </c>
      <c r="C19920" t="str">
        <f>"A0094883"</f>
        <v>A0094883</v>
      </c>
      <c r="D19920" t="s">
        <v>59920</v>
      </c>
      <c r="E19920" t="s">
        <v>59921</v>
      </c>
      <c r="F19920" t="s">
        <v>3860</v>
      </c>
      <c r="G19920" t="s">
        <v>137</v>
      </c>
      <c r="H19920">
        <v>63101</v>
      </c>
      <c r="I19920" t="s">
        <v>30</v>
      </c>
      <c r="J19920" t="s">
        <v>171</v>
      </c>
      <c r="K19920" t="s">
        <v>973</v>
      </c>
      <c r="N19920" t="s">
        <v>59922</v>
      </c>
      <c r="O19920" t="s">
        <v>59923</v>
      </c>
      <c r="Q19920">
        <v>0</v>
      </c>
      <c r="R19920">
        <v>165</v>
      </c>
      <c r="S19920">
        <v>0</v>
      </c>
      <c r="T19920" t="s">
        <v>59924</v>
      </c>
    </row>
    <row r="19921" spans="1:20" customFormat="1" ht="15" x14ac:dyDescent="0.25">
      <c r="A19921" t="s">
        <v>24</v>
      </c>
      <c r="B19921" t="s">
        <v>1020</v>
      </c>
      <c r="C19921" t="str">
        <f>"A0089352"</f>
        <v>A0089352</v>
      </c>
      <c r="D19921" t="s">
        <v>59938</v>
      </c>
      <c r="E19921" t="s">
        <v>59939</v>
      </c>
      <c r="F19921" t="s">
        <v>1877</v>
      </c>
      <c r="G19921" t="s">
        <v>52</v>
      </c>
      <c r="H19921">
        <v>75703</v>
      </c>
      <c r="I19921" t="s">
        <v>30</v>
      </c>
      <c r="J19921" t="s">
        <v>171</v>
      </c>
      <c r="K19921" t="s">
        <v>973</v>
      </c>
      <c r="N19921" t="s">
        <v>59940</v>
      </c>
      <c r="O19921" t="s">
        <v>59941</v>
      </c>
      <c r="Q19921">
        <v>0</v>
      </c>
      <c r="R19921">
        <v>121</v>
      </c>
      <c r="S19921">
        <v>0</v>
      </c>
      <c r="T19921" t="s">
        <v>59942</v>
      </c>
    </row>
    <row r="19922" spans="1:20" customFormat="1" ht="15" x14ac:dyDescent="0.25">
      <c r="A19922" t="s">
        <v>24</v>
      </c>
      <c r="B19922" t="s">
        <v>2368</v>
      </c>
      <c r="C19922" t="str">
        <f>"A0088494"</f>
        <v>A0088494</v>
      </c>
      <c r="D19922" t="s">
        <v>59955</v>
      </c>
      <c r="E19922" t="s">
        <v>59956</v>
      </c>
      <c r="F19922" t="s">
        <v>14506</v>
      </c>
      <c r="G19922" t="s">
        <v>110</v>
      </c>
      <c r="H19922">
        <v>95008</v>
      </c>
      <c r="I19922" t="s">
        <v>30</v>
      </c>
      <c r="J19922" t="s">
        <v>171</v>
      </c>
      <c r="K19922" t="s">
        <v>973</v>
      </c>
      <c r="N19922" t="s">
        <v>59957</v>
      </c>
      <c r="O19922" t="s">
        <v>59958</v>
      </c>
      <c r="Q19922">
        <v>0</v>
      </c>
      <c r="R19922">
        <v>162</v>
      </c>
      <c r="S19922">
        <v>0</v>
      </c>
      <c r="T19922" t="s">
        <v>59959</v>
      </c>
    </row>
    <row r="19923" spans="1:20" customFormat="1" ht="15" x14ac:dyDescent="0.25">
      <c r="A19923" t="s">
        <v>24</v>
      </c>
      <c r="B19923" t="s">
        <v>5830</v>
      </c>
      <c r="C19923" t="str">
        <f>"A0057793"</f>
        <v>A0057793</v>
      </c>
      <c r="D19923" t="s">
        <v>59960</v>
      </c>
      <c r="E19923" t="s">
        <v>59961</v>
      </c>
      <c r="F19923" t="s">
        <v>2033</v>
      </c>
      <c r="G19923" t="s">
        <v>65</v>
      </c>
      <c r="H19923">
        <v>44720</v>
      </c>
      <c r="I19923" t="s">
        <v>30</v>
      </c>
      <c r="J19923" t="s">
        <v>171</v>
      </c>
      <c r="K19923" t="s">
        <v>973</v>
      </c>
      <c r="N19923" t="s">
        <v>59962</v>
      </c>
      <c r="Q19923">
        <v>0</v>
      </c>
      <c r="R19923">
        <v>150</v>
      </c>
      <c r="S19923">
        <v>0</v>
      </c>
      <c r="T19923" t="s">
        <v>59963</v>
      </c>
    </row>
    <row r="19924" spans="1:20" customFormat="1" ht="15" x14ac:dyDescent="0.25">
      <c r="A19924" t="s">
        <v>24</v>
      </c>
      <c r="B19924" t="s">
        <v>56867</v>
      </c>
      <c r="C19924" t="str">
        <f>"A0099909"</f>
        <v>A0099909</v>
      </c>
      <c r="D19924" t="s">
        <v>59964</v>
      </c>
      <c r="E19924" t="s">
        <v>59965</v>
      </c>
      <c r="F19924" t="s">
        <v>57572</v>
      </c>
      <c r="G19924" t="s">
        <v>137</v>
      </c>
      <c r="H19924">
        <v>63703</v>
      </c>
      <c r="I19924" t="s">
        <v>30</v>
      </c>
      <c r="J19924" t="s">
        <v>171</v>
      </c>
      <c r="K19924" t="s">
        <v>973</v>
      </c>
      <c r="N19924" t="s">
        <v>59966</v>
      </c>
      <c r="Q19924">
        <v>0</v>
      </c>
      <c r="R19924">
        <v>94</v>
      </c>
      <c r="S19924">
        <v>0</v>
      </c>
      <c r="T19924" t="s">
        <v>59967</v>
      </c>
    </row>
    <row r="19925" spans="1:20" customFormat="1" ht="15" x14ac:dyDescent="0.25">
      <c r="A19925" t="s">
        <v>24</v>
      </c>
      <c r="B19925" t="s">
        <v>2955</v>
      </c>
      <c r="C19925" t="str">
        <f>"A0075948"</f>
        <v>A0075948</v>
      </c>
      <c r="D19925" t="s">
        <v>59968</v>
      </c>
      <c r="E19925" t="s">
        <v>59969</v>
      </c>
      <c r="F19925" t="s">
        <v>313</v>
      </c>
      <c r="G19925" t="s">
        <v>314</v>
      </c>
      <c r="H19925">
        <v>20003</v>
      </c>
      <c r="I19925" t="s">
        <v>30</v>
      </c>
      <c r="J19925" t="s">
        <v>171</v>
      </c>
      <c r="K19925" t="s">
        <v>973</v>
      </c>
      <c r="N19925" t="s">
        <v>59970</v>
      </c>
      <c r="Q19925">
        <v>0</v>
      </c>
      <c r="R19925">
        <v>204</v>
      </c>
      <c r="S19925">
        <v>0</v>
      </c>
      <c r="T19925" t="s">
        <v>59971</v>
      </c>
    </row>
    <row r="19926" spans="1:20" customFormat="1" ht="15" x14ac:dyDescent="0.25">
      <c r="A19926" t="s">
        <v>24</v>
      </c>
      <c r="B19926" t="s">
        <v>2955</v>
      </c>
      <c r="C19926" t="str">
        <f>"6511D"</f>
        <v>6511D</v>
      </c>
      <c r="D19926" t="s">
        <v>59972</v>
      </c>
      <c r="E19926" t="s">
        <v>59973</v>
      </c>
      <c r="F19926" t="s">
        <v>11003</v>
      </c>
      <c r="G19926" t="s">
        <v>110</v>
      </c>
      <c r="H19926">
        <v>92008</v>
      </c>
      <c r="I19926" t="s">
        <v>30</v>
      </c>
      <c r="J19926" t="s">
        <v>171</v>
      </c>
      <c r="K19926" t="s">
        <v>973</v>
      </c>
      <c r="N19926" t="s">
        <v>59974</v>
      </c>
      <c r="Q19926">
        <v>0</v>
      </c>
      <c r="R19926">
        <v>145</v>
      </c>
      <c r="S19926">
        <v>0</v>
      </c>
      <c r="T19926" t="s">
        <v>59975</v>
      </c>
    </row>
    <row r="19927" spans="1:20" customFormat="1" ht="15" x14ac:dyDescent="0.25">
      <c r="A19927" t="s">
        <v>24</v>
      </c>
      <c r="B19927" t="s">
        <v>2955</v>
      </c>
      <c r="C19927" t="str">
        <f>"A0065311"</f>
        <v>A0065311</v>
      </c>
      <c r="D19927" t="s">
        <v>59976</v>
      </c>
      <c r="E19927" t="s">
        <v>59977</v>
      </c>
      <c r="F19927" t="s">
        <v>3613</v>
      </c>
      <c r="G19927" t="s">
        <v>214</v>
      </c>
      <c r="H19927">
        <v>28428</v>
      </c>
      <c r="I19927" t="s">
        <v>30</v>
      </c>
      <c r="J19927" t="s">
        <v>171</v>
      </c>
      <c r="K19927" t="s">
        <v>973</v>
      </c>
      <c r="N19927" t="s">
        <v>59978</v>
      </c>
      <c r="Q19927">
        <v>0</v>
      </c>
      <c r="R19927">
        <v>144</v>
      </c>
      <c r="S19927">
        <v>0</v>
      </c>
      <c r="T19927" t="s">
        <v>59979</v>
      </c>
    </row>
    <row r="19928" spans="1:20" customFormat="1" ht="15" x14ac:dyDescent="0.25">
      <c r="A19928" t="s">
        <v>24</v>
      </c>
      <c r="B19928" t="s">
        <v>1317</v>
      </c>
      <c r="C19928" t="str">
        <f>"A0085811"</f>
        <v>A0085811</v>
      </c>
      <c r="D19928" t="s">
        <v>59980</v>
      </c>
      <c r="E19928" t="s">
        <v>59981</v>
      </c>
      <c r="F19928" t="s">
        <v>8480</v>
      </c>
      <c r="G19928" t="s">
        <v>221</v>
      </c>
      <c r="H19928">
        <v>89701</v>
      </c>
      <c r="I19928" t="s">
        <v>30</v>
      </c>
      <c r="J19928" t="s">
        <v>171</v>
      </c>
      <c r="K19928" t="s">
        <v>973</v>
      </c>
      <c r="N19928" t="s">
        <v>59982</v>
      </c>
      <c r="Q19928">
        <v>0</v>
      </c>
      <c r="R19928">
        <v>90</v>
      </c>
      <c r="S19928">
        <v>0</v>
      </c>
      <c r="T19928" t="s">
        <v>59983</v>
      </c>
    </row>
    <row r="19929" spans="1:20" customFormat="1" ht="15" x14ac:dyDescent="0.25">
      <c r="A19929" t="s">
        <v>24</v>
      </c>
      <c r="B19929" t="s">
        <v>5843</v>
      </c>
      <c r="C19929" t="str">
        <f>"651XH"</f>
        <v>651XH</v>
      </c>
      <c r="D19929" t="s">
        <v>59984</v>
      </c>
      <c r="E19929" t="s">
        <v>59985</v>
      </c>
      <c r="F19929" t="s">
        <v>1519</v>
      </c>
      <c r="G19929" t="s">
        <v>110</v>
      </c>
      <c r="H19929">
        <v>90064</v>
      </c>
      <c r="I19929" t="s">
        <v>30</v>
      </c>
      <c r="J19929" t="s">
        <v>171</v>
      </c>
      <c r="K19929" t="s">
        <v>973</v>
      </c>
      <c r="N19929" t="s">
        <v>59986</v>
      </c>
      <c r="O19929" t="s">
        <v>59987</v>
      </c>
      <c r="Q19929">
        <v>0</v>
      </c>
      <c r="R19929">
        <v>132</v>
      </c>
      <c r="S19929">
        <v>0</v>
      </c>
      <c r="T19929" t="s">
        <v>59988</v>
      </c>
    </row>
    <row r="19930" spans="1:20" customFormat="1" ht="15" hidden="1" x14ac:dyDescent="0.25">
      <c r="A19930" t="s">
        <v>24</v>
      </c>
      <c r="B19930" t="s">
        <v>2011</v>
      </c>
      <c r="C19930" t="str">
        <f>"SF04756"</f>
        <v>SF04756</v>
      </c>
      <c r="D19930" t="s">
        <v>74129</v>
      </c>
      <c r="E19930" t="s">
        <v>74130</v>
      </c>
      <c r="F19930" t="s">
        <v>13227</v>
      </c>
      <c r="G19930" t="s">
        <v>2206</v>
      </c>
      <c r="H19930" t="s">
        <v>74131</v>
      </c>
      <c r="I19930" t="s">
        <v>1459</v>
      </c>
      <c r="J19930" t="s">
        <v>162</v>
      </c>
      <c r="K19930" t="s">
        <v>7598</v>
      </c>
      <c r="N19930" t="s">
        <v>74132</v>
      </c>
      <c r="Q19930">
        <v>0</v>
      </c>
      <c r="R19930">
        <v>394</v>
      </c>
      <c r="S19930">
        <v>0</v>
      </c>
      <c r="T19930" t="s">
        <v>74133</v>
      </c>
    </row>
    <row r="19931" spans="1:20" customFormat="1" ht="15" hidden="1" x14ac:dyDescent="0.25">
      <c r="A19931" t="s">
        <v>24</v>
      </c>
      <c r="B19931" t="s">
        <v>2011</v>
      </c>
      <c r="C19931" t="str">
        <f>"A0083145"</f>
        <v>A0083145</v>
      </c>
      <c r="D19931" t="s">
        <v>74134</v>
      </c>
      <c r="E19931" t="s">
        <v>74135</v>
      </c>
      <c r="F19931" t="s">
        <v>60731</v>
      </c>
      <c r="G19931" t="s">
        <v>6820</v>
      </c>
      <c r="I19931" t="s">
        <v>6821</v>
      </c>
      <c r="J19931" t="s">
        <v>162</v>
      </c>
      <c r="K19931" t="s">
        <v>7598</v>
      </c>
      <c r="N19931" t="s">
        <v>74136</v>
      </c>
      <c r="O19931" t="s">
        <v>74137</v>
      </c>
      <c r="Q19931">
        <v>0</v>
      </c>
      <c r="R19931">
        <v>428</v>
      </c>
      <c r="S19931">
        <v>0</v>
      </c>
      <c r="T19931" t="s">
        <v>74138</v>
      </c>
    </row>
    <row r="19932" spans="1:20" customFormat="1" ht="15" x14ac:dyDescent="0.25">
      <c r="A19932" t="s">
        <v>24</v>
      </c>
      <c r="B19932" t="s">
        <v>675</v>
      </c>
      <c r="C19932" t="str">
        <f>"311QH"</f>
        <v>311QH</v>
      </c>
      <c r="D19932" t="s">
        <v>59989</v>
      </c>
      <c r="E19932" t="s">
        <v>59990</v>
      </c>
      <c r="F19932" t="s">
        <v>13824</v>
      </c>
      <c r="G19932" t="s">
        <v>58</v>
      </c>
      <c r="H19932">
        <v>29406</v>
      </c>
      <c r="I19932" t="s">
        <v>30</v>
      </c>
      <c r="J19932" t="s">
        <v>171</v>
      </c>
      <c r="K19932" t="s">
        <v>973</v>
      </c>
      <c r="N19932" t="s">
        <v>59991</v>
      </c>
      <c r="Q19932">
        <v>0</v>
      </c>
      <c r="R19932">
        <v>123</v>
      </c>
      <c r="S19932">
        <v>0</v>
      </c>
      <c r="T19932" t="s">
        <v>59992</v>
      </c>
    </row>
    <row r="19933" spans="1:20" customFormat="1" ht="15" x14ac:dyDescent="0.25">
      <c r="A19933" t="s">
        <v>24</v>
      </c>
      <c r="B19933" t="s">
        <v>13299</v>
      </c>
      <c r="C19933" t="str">
        <f>"311MH"</f>
        <v>311MH</v>
      </c>
      <c r="D19933" t="s">
        <v>59993</v>
      </c>
      <c r="E19933" t="s">
        <v>59994</v>
      </c>
      <c r="F19933" t="s">
        <v>5369</v>
      </c>
      <c r="G19933" t="s">
        <v>58</v>
      </c>
      <c r="H19933">
        <v>29401</v>
      </c>
      <c r="I19933" t="s">
        <v>30</v>
      </c>
      <c r="J19933" t="s">
        <v>171</v>
      </c>
      <c r="K19933" t="s">
        <v>973</v>
      </c>
      <c r="N19933" t="s">
        <v>59995</v>
      </c>
      <c r="Q19933">
        <v>0</v>
      </c>
      <c r="R19933">
        <v>178</v>
      </c>
      <c r="S19933">
        <v>0</v>
      </c>
      <c r="T19933" t="s">
        <v>59996</v>
      </c>
    </row>
    <row r="19934" spans="1:20" customFormat="1" ht="15" hidden="1" x14ac:dyDescent="0.25">
      <c r="A19934" t="s">
        <v>24</v>
      </c>
      <c r="B19934" t="s">
        <v>2011</v>
      </c>
      <c r="C19934" t="str">
        <f>"HY09757"</f>
        <v>HY09757</v>
      </c>
      <c r="D19934" t="s">
        <v>74150</v>
      </c>
      <c r="E19934" t="s">
        <v>74151</v>
      </c>
      <c r="F19934" t="s">
        <v>2269</v>
      </c>
      <c r="G19934" t="s">
        <v>2270</v>
      </c>
      <c r="H19934" t="s">
        <v>74152</v>
      </c>
      <c r="I19934" t="s">
        <v>1459</v>
      </c>
      <c r="J19934" t="s">
        <v>162</v>
      </c>
      <c r="K19934" t="s">
        <v>7598</v>
      </c>
      <c r="N19934" t="s">
        <v>74153</v>
      </c>
      <c r="O19934" t="s">
        <v>74154</v>
      </c>
      <c r="Q19934">
        <v>0</v>
      </c>
      <c r="R19934">
        <v>644</v>
      </c>
      <c r="S19934">
        <v>0</v>
      </c>
      <c r="T19934" t="s">
        <v>74155</v>
      </c>
    </row>
    <row r="19935" spans="1:20" customFormat="1" ht="15" x14ac:dyDescent="0.25">
      <c r="A19935" t="s">
        <v>24</v>
      </c>
      <c r="B19935" t="s">
        <v>2528</v>
      </c>
      <c r="C19935" t="str">
        <f>"A0093582"</f>
        <v>A0093582</v>
      </c>
      <c r="D19935" t="s">
        <v>59997</v>
      </c>
      <c r="E19935" t="s">
        <v>59998</v>
      </c>
      <c r="F19935" t="s">
        <v>3029</v>
      </c>
      <c r="G19935" t="s">
        <v>58</v>
      </c>
      <c r="H19935">
        <v>29483</v>
      </c>
      <c r="I19935" t="s">
        <v>30</v>
      </c>
      <c r="J19935" t="s">
        <v>171</v>
      </c>
      <c r="K19935" t="s">
        <v>973</v>
      </c>
      <c r="N19935" t="s">
        <v>59999</v>
      </c>
      <c r="O19935" t="s">
        <v>60000</v>
      </c>
      <c r="Q19935">
        <v>0</v>
      </c>
      <c r="R19935">
        <v>96</v>
      </c>
      <c r="S19935">
        <v>0</v>
      </c>
      <c r="T19935" t="s">
        <v>60001</v>
      </c>
    </row>
    <row r="19936" spans="1:20" customFormat="1" ht="15" hidden="1" x14ac:dyDescent="0.25">
      <c r="A19936" t="s">
        <v>24</v>
      </c>
      <c r="B19936" t="s">
        <v>2011</v>
      </c>
      <c r="C19936" t="str">
        <f>"A0091132"</f>
        <v>A0091132</v>
      </c>
      <c r="D19936" t="s">
        <v>74161</v>
      </c>
      <c r="E19936" t="s">
        <v>74162</v>
      </c>
      <c r="F19936" t="s">
        <v>62114</v>
      </c>
      <c r="G19936" t="s">
        <v>62115</v>
      </c>
      <c r="H19936">
        <v>86050</v>
      </c>
      <c r="I19936" t="s">
        <v>2408</v>
      </c>
      <c r="J19936" t="s">
        <v>162</v>
      </c>
      <c r="K19936" t="s">
        <v>7598</v>
      </c>
      <c r="N19936" t="s">
        <v>74163</v>
      </c>
      <c r="Q19936">
        <v>0</v>
      </c>
      <c r="R19936">
        <v>207</v>
      </c>
      <c r="S19936">
        <v>0</v>
      </c>
      <c r="T19936" t="s">
        <v>74164</v>
      </c>
    </row>
    <row r="19937" spans="1:20" customFormat="1" ht="15" x14ac:dyDescent="0.25">
      <c r="A19937" t="s">
        <v>24</v>
      </c>
      <c r="B19937" t="s">
        <v>675</v>
      </c>
      <c r="C19937" t="str">
        <f>"311C2"</f>
        <v>311C2</v>
      </c>
      <c r="D19937" t="s">
        <v>60002</v>
      </c>
      <c r="E19937" t="s">
        <v>60003</v>
      </c>
      <c r="F19937" t="s">
        <v>242</v>
      </c>
      <c r="G19937" t="s">
        <v>214</v>
      </c>
      <c r="H19937">
        <v>28217</v>
      </c>
      <c r="I19937" t="s">
        <v>30</v>
      </c>
      <c r="J19937" t="s">
        <v>171</v>
      </c>
      <c r="K19937" t="s">
        <v>973</v>
      </c>
      <c r="N19937" t="s">
        <v>60004</v>
      </c>
      <c r="O19937" t="s">
        <v>60005</v>
      </c>
      <c r="Q19937">
        <v>0</v>
      </c>
      <c r="R19937">
        <v>146</v>
      </c>
      <c r="S19937">
        <v>0</v>
      </c>
      <c r="T19937" t="s">
        <v>60006</v>
      </c>
    </row>
    <row r="19938" spans="1:20" customFormat="1" ht="15" x14ac:dyDescent="0.25">
      <c r="A19938" t="s">
        <v>24</v>
      </c>
      <c r="B19938" t="s">
        <v>34738</v>
      </c>
      <c r="C19938" t="str">
        <f>"651YK"</f>
        <v>651YK</v>
      </c>
      <c r="D19938" t="s">
        <v>60007</v>
      </c>
      <c r="E19938" t="s">
        <v>60008</v>
      </c>
      <c r="F19938" t="s">
        <v>60009</v>
      </c>
      <c r="G19938" t="s">
        <v>214</v>
      </c>
      <c r="H19938">
        <v>28106</v>
      </c>
      <c r="I19938" t="s">
        <v>30</v>
      </c>
      <c r="J19938" t="s">
        <v>171</v>
      </c>
      <c r="K19938" t="s">
        <v>973</v>
      </c>
      <c r="N19938" t="s">
        <v>60010</v>
      </c>
      <c r="Q19938">
        <v>0</v>
      </c>
      <c r="R19938">
        <v>121</v>
      </c>
      <c r="S19938">
        <v>0</v>
      </c>
      <c r="T19938" t="s">
        <v>60011</v>
      </c>
    </row>
    <row r="19939" spans="1:20" customFormat="1" ht="15" x14ac:dyDescent="0.25">
      <c r="A19939" t="s">
        <v>24</v>
      </c>
      <c r="B19939" t="s">
        <v>675</v>
      </c>
      <c r="C19939" t="str">
        <f>"311P7"</f>
        <v>311P7</v>
      </c>
      <c r="D19939" t="s">
        <v>60012</v>
      </c>
      <c r="E19939" t="s">
        <v>60013</v>
      </c>
      <c r="F19939" t="s">
        <v>242</v>
      </c>
      <c r="G19939" t="s">
        <v>214</v>
      </c>
      <c r="H19939">
        <v>28210</v>
      </c>
      <c r="I19939" t="s">
        <v>30</v>
      </c>
      <c r="J19939" t="s">
        <v>171</v>
      </c>
      <c r="K19939" t="s">
        <v>973</v>
      </c>
      <c r="N19939" t="s">
        <v>60014</v>
      </c>
      <c r="Q19939">
        <v>0</v>
      </c>
      <c r="R19939">
        <v>149</v>
      </c>
      <c r="S19939">
        <v>0</v>
      </c>
      <c r="T19939" t="s">
        <v>60015</v>
      </c>
    </row>
    <row r="19940" spans="1:20" customFormat="1" ht="15" x14ac:dyDescent="0.25">
      <c r="A19940" t="s">
        <v>24</v>
      </c>
      <c r="B19940" t="s">
        <v>2955</v>
      </c>
      <c r="C19940" t="str">
        <f>"6514U"</f>
        <v>6514U</v>
      </c>
      <c r="D19940" t="s">
        <v>60016</v>
      </c>
      <c r="E19940" t="s">
        <v>60017</v>
      </c>
      <c r="F19940" t="s">
        <v>3401</v>
      </c>
      <c r="G19940" t="s">
        <v>29</v>
      </c>
      <c r="H19940">
        <v>22903</v>
      </c>
      <c r="I19940" t="s">
        <v>30</v>
      </c>
      <c r="J19940" t="s">
        <v>171</v>
      </c>
      <c r="K19940" t="s">
        <v>973</v>
      </c>
      <c r="N19940" t="s">
        <v>60018</v>
      </c>
      <c r="O19940" t="s">
        <v>60019</v>
      </c>
      <c r="Q19940">
        <v>0</v>
      </c>
      <c r="R19940">
        <v>137</v>
      </c>
      <c r="S19940">
        <v>0</v>
      </c>
      <c r="T19940" t="s">
        <v>60020</v>
      </c>
    </row>
    <row r="19941" spans="1:20" customFormat="1" ht="15" x14ac:dyDescent="0.25">
      <c r="A19941" t="s">
        <v>24</v>
      </c>
      <c r="B19941" t="s">
        <v>1583</v>
      </c>
      <c r="C19941" t="str">
        <f>"A0087881"</f>
        <v>A0087881</v>
      </c>
      <c r="D19941" t="s">
        <v>74183</v>
      </c>
      <c r="E19941" t="s">
        <v>74184</v>
      </c>
      <c r="F19941" t="s">
        <v>709</v>
      </c>
      <c r="G19941" t="s">
        <v>81</v>
      </c>
      <c r="H19941">
        <v>34242</v>
      </c>
      <c r="I19941" t="s">
        <v>30</v>
      </c>
      <c r="J19941" t="s">
        <v>2544</v>
      </c>
      <c r="K19941" t="s">
        <v>72841</v>
      </c>
      <c r="N19941" t="s">
        <v>74185</v>
      </c>
      <c r="Q19941">
        <v>0</v>
      </c>
      <c r="R19941">
        <v>44</v>
      </c>
      <c r="S19941">
        <v>0</v>
      </c>
      <c r="T19941" t="s">
        <v>74186</v>
      </c>
    </row>
    <row r="19942" spans="1:20" customFormat="1" ht="15" x14ac:dyDescent="0.25">
      <c r="A19942" t="s">
        <v>24</v>
      </c>
      <c r="B19942" t="s">
        <v>1583</v>
      </c>
      <c r="C19942" t="str">
        <f>"14011"</f>
        <v>14011</v>
      </c>
      <c r="D19942" t="s">
        <v>74187</v>
      </c>
      <c r="E19942" t="s">
        <v>74188</v>
      </c>
      <c r="F19942" t="s">
        <v>1084</v>
      </c>
      <c r="G19942" t="s">
        <v>81</v>
      </c>
      <c r="H19942">
        <v>33040</v>
      </c>
      <c r="I19942" t="s">
        <v>30</v>
      </c>
      <c r="J19942" t="s">
        <v>2544</v>
      </c>
      <c r="K19942" t="s">
        <v>72841</v>
      </c>
      <c r="N19942" t="s">
        <v>74189</v>
      </c>
      <c r="Q19942">
        <v>0</v>
      </c>
      <c r="R19942">
        <v>40</v>
      </c>
      <c r="S19942">
        <v>0</v>
      </c>
      <c r="T19942" t="s">
        <v>74190</v>
      </c>
    </row>
    <row r="19943" spans="1:20" customFormat="1" ht="15" x14ac:dyDescent="0.25">
      <c r="A19943" t="s">
        <v>24</v>
      </c>
      <c r="B19943" t="s">
        <v>675</v>
      </c>
      <c r="C19943" t="str">
        <f>"311E5"</f>
        <v>311E5</v>
      </c>
      <c r="D19943" t="s">
        <v>60021</v>
      </c>
      <c r="E19943" t="s">
        <v>60022</v>
      </c>
      <c r="F19943" t="s">
        <v>3401</v>
      </c>
      <c r="G19943" t="s">
        <v>29</v>
      </c>
      <c r="H19943">
        <v>22901</v>
      </c>
      <c r="I19943" t="s">
        <v>30</v>
      </c>
      <c r="J19943" t="s">
        <v>171</v>
      </c>
      <c r="K19943" t="s">
        <v>973</v>
      </c>
      <c r="N19943" t="s">
        <v>60023</v>
      </c>
      <c r="Q19943">
        <v>0</v>
      </c>
      <c r="R19943">
        <v>150</v>
      </c>
      <c r="S19943">
        <v>0</v>
      </c>
      <c r="T19943" t="s">
        <v>60024</v>
      </c>
    </row>
    <row r="19944" spans="1:20" customFormat="1" ht="15" x14ac:dyDescent="0.25">
      <c r="A19944" t="s">
        <v>24</v>
      </c>
      <c r="B19944" t="s">
        <v>342</v>
      </c>
      <c r="C19944" t="str">
        <f>"6515T"</f>
        <v>6515T</v>
      </c>
      <c r="D19944" t="s">
        <v>60025</v>
      </c>
      <c r="E19944" t="s">
        <v>60026</v>
      </c>
      <c r="F19944" t="s">
        <v>1346</v>
      </c>
      <c r="G19944" t="s">
        <v>880</v>
      </c>
      <c r="H19944">
        <v>37402</v>
      </c>
      <c r="I19944" t="s">
        <v>30</v>
      </c>
      <c r="J19944" t="s">
        <v>171</v>
      </c>
      <c r="K19944" t="s">
        <v>973</v>
      </c>
      <c r="N19944" t="s">
        <v>60027</v>
      </c>
      <c r="O19944" t="s">
        <v>60028</v>
      </c>
      <c r="Q19944">
        <v>0</v>
      </c>
      <c r="R19944">
        <v>116</v>
      </c>
      <c r="S19944">
        <v>0</v>
      </c>
      <c r="T19944" t="s">
        <v>60029</v>
      </c>
    </row>
    <row r="19945" spans="1:20" customFormat="1" ht="15" x14ac:dyDescent="0.25">
      <c r="A19945" t="s">
        <v>24</v>
      </c>
      <c r="B19945" t="s">
        <v>1583</v>
      </c>
      <c r="C19945" t="str">
        <f>"A0072690"</f>
        <v>A0072690</v>
      </c>
      <c r="D19945" t="s">
        <v>74198</v>
      </c>
      <c r="E19945" t="s">
        <v>74199</v>
      </c>
      <c r="F19945" t="s">
        <v>356</v>
      </c>
      <c r="G19945" t="s">
        <v>52</v>
      </c>
      <c r="H19945">
        <v>78251</v>
      </c>
      <c r="I19945" t="s">
        <v>30</v>
      </c>
      <c r="J19945" t="s">
        <v>2544</v>
      </c>
      <c r="K19945" t="s">
        <v>72841</v>
      </c>
      <c r="Q19945">
        <v>0</v>
      </c>
      <c r="R19945">
        <v>195</v>
      </c>
      <c r="S19945">
        <v>0</v>
      </c>
      <c r="T19945" t="s">
        <v>74200</v>
      </c>
    </row>
    <row r="19946" spans="1:20" customFormat="1" ht="15" x14ac:dyDescent="0.25">
      <c r="A19946" t="s">
        <v>24</v>
      </c>
      <c r="B19946" t="s">
        <v>1583</v>
      </c>
      <c r="C19946" t="str">
        <f>"HY00030"</f>
        <v>HY00030</v>
      </c>
      <c r="D19946" t="s">
        <v>74201</v>
      </c>
      <c r="E19946" t="s">
        <v>74202</v>
      </c>
      <c r="F19946" t="s">
        <v>1084</v>
      </c>
      <c r="G19946" t="s">
        <v>81</v>
      </c>
      <c r="H19946">
        <v>33040</v>
      </c>
      <c r="I19946" t="s">
        <v>30</v>
      </c>
      <c r="J19946" t="s">
        <v>2544</v>
      </c>
      <c r="K19946" t="s">
        <v>72841</v>
      </c>
      <c r="N19946" t="s">
        <v>74203</v>
      </c>
      <c r="Q19946">
        <v>0</v>
      </c>
      <c r="R19946">
        <v>92</v>
      </c>
      <c r="S19946">
        <v>0</v>
      </c>
      <c r="T19946" t="s">
        <v>74204</v>
      </c>
    </row>
    <row r="19947" spans="1:20" customFormat="1" ht="15" hidden="1" x14ac:dyDescent="0.25">
      <c r="A19947" t="s">
        <v>24</v>
      </c>
      <c r="B19947" t="s">
        <v>8771</v>
      </c>
      <c r="C19947" t="str">
        <f>"A0100024"</f>
        <v>A0100024</v>
      </c>
      <c r="D19947" t="s">
        <v>74205</v>
      </c>
      <c r="E19947" t="s">
        <v>74206</v>
      </c>
      <c r="F19947" t="s">
        <v>4514</v>
      </c>
      <c r="G19947" t="s">
        <v>4515</v>
      </c>
      <c r="H19947">
        <v>20123</v>
      </c>
      <c r="I19947" t="s">
        <v>2408</v>
      </c>
      <c r="J19947" t="s">
        <v>31</v>
      </c>
      <c r="K19947" t="s">
        <v>34173</v>
      </c>
      <c r="N19947" t="s">
        <v>74207</v>
      </c>
      <c r="Q19947">
        <v>0</v>
      </c>
      <c r="R19947">
        <v>120</v>
      </c>
      <c r="S19947">
        <v>0</v>
      </c>
      <c r="T19947" t="s">
        <v>74208</v>
      </c>
    </row>
    <row r="19948" spans="1:20" customFormat="1" ht="15" hidden="1" x14ac:dyDescent="0.25">
      <c r="A19948" t="s">
        <v>24</v>
      </c>
      <c r="B19948" t="s">
        <v>8771</v>
      </c>
      <c r="C19948" t="str">
        <f>"A0100021"</f>
        <v>A0100021</v>
      </c>
      <c r="D19948" t="s">
        <v>74209</v>
      </c>
      <c r="E19948" t="s">
        <v>74210</v>
      </c>
      <c r="F19948" t="s">
        <v>5423</v>
      </c>
      <c r="G19948" t="s">
        <v>5424</v>
      </c>
      <c r="H19948">
        <v>77504</v>
      </c>
      <c r="I19948" t="s">
        <v>2408</v>
      </c>
      <c r="J19948" t="s">
        <v>31</v>
      </c>
      <c r="K19948" t="s">
        <v>34173</v>
      </c>
      <c r="N19948" t="s">
        <v>74207</v>
      </c>
      <c r="Q19948">
        <v>0</v>
      </c>
      <c r="R19948">
        <v>190</v>
      </c>
      <c r="S19948">
        <v>0</v>
      </c>
      <c r="T19948" t="s">
        <v>74211</v>
      </c>
    </row>
    <row r="19949" spans="1:20" customFormat="1" ht="15" hidden="1" x14ac:dyDescent="0.25">
      <c r="A19949" t="s">
        <v>24</v>
      </c>
      <c r="B19949" t="s">
        <v>8771</v>
      </c>
      <c r="C19949" t="str">
        <f>"A0100027"</f>
        <v>A0100027</v>
      </c>
      <c r="D19949" t="s">
        <v>74212</v>
      </c>
      <c r="E19949" t="s">
        <v>74213</v>
      </c>
      <c r="F19949" t="s">
        <v>74214</v>
      </c>
      <c r="G19949" t="s">
        <v>74215</v>
      </c>
      <c r="H19949">
        <v>31000</v>
      </c>
      <c r="I19949" t="s">
        <v>2408</v>
      </c>
      <c r="J19949" t="s">
        <v>31</v>
      </c>
      <c r="K19949" t="s">
        <v>34173</v>
      </c>
      <c r="N19949" t="s">
        <v>74207</v>
      </c>
      <c r="Q19949">
        <v>0</v>
      </c>
      <c r="R19949">
        <v>126</v>
      </c>
      <c r="S19949">
        <v>0</v>
      </c>
      <c r="T19949" t="s">
        <v>74216</v>
      </c>
    </row>
    <row r="19950" spans="1:20" customFormat="1" ht="15" hidden="1" x14ac:dyDescent="0.25">
      <c r="A19950" t="s">
        <v>24</v>
      </c>
      <c r="B19950" t="s">
        <v>8771</v>
      </c>
      <c r="C19950" t="str">
        <f>"A0100030"</f>
        <v>A0100030</v>
      </c>
      <c r="D19950" t="s">
        <v>74217</v>
      </c>
      <c r="E19950" t="s">
        <v>74218</v>
      </c>
      <c r="F19950" t="s">
        <v>74219</v>
      </c>
      <c r="G19950" t="s">
        <v>35361</v>
      </c>
      <c r="H19950">
        <v>80155</v>
      </c>
      <c r="I19950" t="s">
        <v>2408</v>
      </c>
      <c r="J19950" t="s">
        <v>31</v>
      </c>
      <c r="K19950" t="s">
        <v>34173</v>
      </c>
      <c r="N19950" t="s">
        <v>74207</v>
      </c>
      <c r="Q19950">
        <v>0</v>
      </c>
      <c r="R19950">
        <v>125</v>
      </c>
      <c r="S19950">
        <v>0</v>
      </c>
      <c r="T19950" t="s">
        <v>74220</v>
      </c>
    </row>
    <row r="19951" spans="1:20" customFormat="1" ht="15" hidden="1" x14ac:dyDescent="0.25">
      <c r="A19951" t="s">
        <v>24</v>
      </c>
      <c r="B19951" t="s">
        <v>8771</v>
      </c>
      <c r="C19951" t="str">
        <f>"A0100023"</f>
        <v>A0100023</v>
      </c>
      <c r="D19951" t="s">
        <v>74221</v>
      </c>
      <c r="E19951" t="s">
        <v>74222</v>
      </c>
      <c r="F19951" t="s">
        <v>10769</v>
      </c>
      <c r="G19951" t="s">
        <v>4481</v>
      </c>
      <c r="H19951">
        <v>44520</v>
      </c>
      <c r="I19951" t="s">
        <v>2408</v>
      </c>
      <c r="J19951" t="s">
        <v>31</v>
      </c>
      <c r="K19951" t="s">
        <v>34173</v>
      </c>
      <c r="N19951" t="s">
        <v>74207</v>
      </c>
      <c r="Q19951">
        <v>0</v>
      </c>
      <c r="R19951">
        <v>159</v>
      </c>
      <c r="S19951">
        <v>0</v>
      </c>
      <c r="T19951" t="s">
        <v>74223</v>
      </c>
    </row>
    <row r="19952" spans="1:20" customFormat="1" ht="15" hidden="1" x14ac:dyDescent="0.25">
      <c r="A19952" t="s">
        <v>24</v>
      </c>
      <c r="B19952" t="s">
        <v>8771</v>
      </c>
      <c r="C19952" t="str">
        <f>"A0100025"</f>
        <v>A0100025</v>
      </c>
      <c r="D19952" t="s">
        <v>74224</v>
      </c>
      <c r="E19952" t="s">
        <v>74225</v>
      </c>
      <c r="F19952" t="s">
        <v>74226</v>
      </c>
      <c r="G19952" t="s">
        <v>60619</v>
      </c>
      <c r="H19952">
        <v>83720</v>
      </c>
      <c r="I19952" t="s">
        <v>2408</v>
      </c>
      <c r="J19952" t="s">
        <v>31</v>
      </c>
      <c r="K19952" t="s">
        <v>34173</v>
      </c>
      <c r="N19952" t="s">
        <v>74207</v>
      </c>
      <c r="Q19952">
        <v>0</v>
      </c>
      <c r="R19952">
        <v>144</v>
      </c>
      <c r="S19952">
        <v>0</v>
      </c>
      <c r="T19952" t="s">
        <v>74227</v>
      </c>
    </row>
    <row r="19953" spans="1:20" customFormat="1" ht="15" hidden="1" x14ac:dyDescent="0.25">
      <c r="A19953" t="s">
        <v>24</v>
      </c>
      <c r="B19953" t="s">
        <v>8771</v>
      </c>
      <c r="C19953" t="str">
        <f>"A0100026"</f>
        <v>A0100026</v>
      </c>
      <c r="D19953" t="s">
        <v>74228</v>
      </c>
      <c r="E19953" t="s">
        <v>74229</v>
      </c>
      <c r="F19953" t="s">
        <v>74230</v>
      </c>
      <c r="G19953" t="s">
        <v>74215</v>
      </c>
      <c r="H19953">
        <v>32500</v>
      </c>
      <c r="I19953" t="s">
        <v>2408</v>
      </c>
      <c r="J19953" t="s">
        <v>31</v>
      </c>
      <c r="K19953" t="s">
        <v>34173</v>
      </c>
      <c r="N19953" t="s">
        <v>74207</v>
      </c>
      <c r="Q19953">
        <v>0</v>
      </c>
      <c r="R19953">
        <v>140</v>
      </c>
      <c r="S19953">
        <v>0</v>
      </c>
      <c r="T19953" t="s">
        <v>74231</v>
      </c>
    </row>
    <row r="19954" spans="1:20" customFormat="1" ht="15" hidden="1" x14ac:dyDescent="0.25">
      <c r="A19954" t="s">
        <v>24</v>
      </c>
      <c r="B19954" t="s">
        <v>8771</v>
      </c>
      <c r="C19954" t="str">
        <f>"A0100029"</f>
        <v>A0100029</v>
      </c>
      <c r="D19954" t="s">
        <v>74232</v>
      </c>
      <c r="E19954" t="s">
        <v>74233</v>
      </c>
      <c r="F19954" t="s">
        <v>74234</v>
      </c>
      <c r="G19954" t="s">
        <v>35361</v>
      </c>
      <c r="H19954">
        <v>81220</v>
      </c>
      <c r="I19954" t="s">
        <v>2408</v>
      </c>
      <c r="J19954" t="s">
        <v>31</v>
      </c>
      <c r="K19954" t="s">
        <v>34173</v>
      </c>
      <c r="N19954" t="s">
        <v>74207</v>
      </c>
      <c r="Q19954">
        <v>0</v>
      </c>
      <c r="R19954">
        <v>106</v>
      </c>
      <c r="S19954">
        <v>0</v>
      </c>
      <c r="T19954" t="s">
        <v>74235</v>
      </c>
    </row>
    <row r="19955" spans="1:20" customFormat="1" ht="15" hidden="1" x14ac:dyDescent="0.25">
      <c r="A19955" t="s">
        <v>24</v>
      </c>
      <c r="B19955" t="s">
        <v>8771</v>
      </c>
      <c r="C19955" t="str">
        <f>"A0100022"</f>
        <v>A0100022</v>
      </c>
      <c r="D19955" t="s">
        <v>74236</v>
      </c>
      <c r="E19955" t="s">
        <v>74237</v>
      </c>
      <c r="F19955" t="s">
        <v>4579</v>
      </c>
      <c r="G19955" t="s">
        <v>4580</v>
      </c>
      <c r="H19955">
        <v>97000</v>
      </c>
      <c r="I19955" t="s">
        <v>2408</v>
      </c>
      <c r="J19955" t="s">
        <v>31</v>
      </c>
      <c r="K19955" t="s">
        <v>34173</v>
      </c>
      <c r="N19955" t="s">
        <v>74238</v>
      </c>
      <c r="O19955" t="s">
        <v>74207</v>
      </c>
      <c r="Q19955">
        <v>0</v>
      </c>
      <c r="R19955">
        <v>120</v>
      </c>
      <c r="S19955">
        <v>0</v>
      </c>
      <c r="T19955" t="s">
        <v>74239</v>
      </c>
    </row>
    <row r="19956" spans="1:20" customFormat="1" ht="15" hidden="1" x14ac:dyDescent="0.25">
      <c r="A19956" t="s">
        <v>24</v>
      </c>
      <c r="B19956" t="s">
        <v>8771</v>
      </c>
      <c r="C19956" t="str">
        <f>"A0100032"</f>
        <v>A0100032</v>
      </c>
      <c r="D19956" t="s">
        <v>74240</v>
      </c>
      <c r="E19956" t="s">
        <v>74241</v>
      </c>
      <c r="F19956" t="s">
        <v>2408</v>
      </c>
      <c r="G19956" t="s">
        <v>3843</v>
      </c>
      <c r="H19956">
        <v>6050</v>
      </c>
      <c r="I19956" t="s">
        <v>2408</v>
      </c>
      <c r="J19956" t="s">
        <v>31</v>
      </c>
      <c r="K19956" t="s">
        <v>34173</v>
      </c>
      <c r="N19956" t="s">
        <v>74207</v>
      </c>
      <c r="Q19956">
        <v>0</v>
      </c>
      <c r="R19956">
        <v>79</v>
      </c>
      <c r="S19956">
        <v>0</v>
      </c>
      <c r="T19956" t="s">
        <v>74242</v>
      </c>
    </row>
    <row r="19957" spans="1:20" customFormat="1" ht="15" hidden="1" x14ac:dyDescent="0.25">
      <c r="A19957" t="s">
        <v>24</v>
      </c>
      <c r="B19957" t="s">
        <v>8771</v>
      </c>
      <c r="C19957" t="str">
        <f>"A0100018"</f>
        <v>A0100018</v>
      </c>
      <c r="D19957" t="s">
        <v>74243</v>
      </c>
      <c r="E19957" t="s">
        <v>74244</v>
      </c>
      <c r="F19957" t="s">
        <v>74245</v>
      </c>
      <c r="G19957" t="s">
        <v>13345</v>
      </c>
      <c r="H19957">
        <v>54769</v>
      </c>
      <c r="I19957" t="s">
        <v>2408</v>
      </c>
      <c r="J19957" t="s">
        <v>31</v>
      </c>
      <c r="K19957" t="s">
        <v>34173</v>
      </c>
      <c r="N19957" t="s">
        <v>74207</v>
      </c>
      <c r="Q19957">
        <v>0</v>
      </c>
      <c r="R19957">
        <v>124</v>
      </c>
      <c r="S19957">
        <v>0</v>
      </c>
      <c r="T19957" t="s">
        <v>74246</v>
      </c>
    </row>
    <row r="19958" spans="1:20" customFormat="1" ht="15" hidden="1" x14ac:dyDescent="0.25">
      <c r="A19958" t="s">
        <v>24</v>
      </c>
      <c r="B19958" t="s">
        <v>8771</v>
      </c>
      <c r="C19958" t="str">
        <f>"A0146591"</f>
        <v>A0146591</v>
      </c>
      <c r="D19958" t="s">
        <v>74247</v>
      </c>
      <c r="E19958" t="s">
        <v>74248</v>
      </c>
      <c r="F19958" t="s">
        <v>74249</v>
      </c>
      <c r="G19958" t="s">
        <v>13345</v>
      </c>
      <c r="H19958">
        <v>54000</v>
      </c>
      <c r="I19958" t="s">
        <v>2408</v>
      </c>
      <c r="J19958" t="s">
        <v>31</v>
      </c>
      <c r="K19958" t="s">
        <v>34173</v>
      </c>
      <c r="N19958" t="s">
        <v>74250</v>
      </c>
      <c r="O19958" t="s">
        <v>74207</v>
      </c>
      <c r="Q19958">
        <v>0</v>
      </c>
      <c r="R19958">
        <v>147</v>
      </c>
      <c r="S19958">
        <v>0</v>
      </c>
      <c r="T19958" t="s">
        <v>74251</v>
      </c>
    </row>
    <row r="19959" spans="1:20" customFormat="1" ht="15" hidden="1" x14ac:dyDescent="0.25">
      <c r="A19959" t="s">
        <v>24</v>
      </c>
      <c r="B19959" t="s">
        <v>8771</v>
      </c>
      <c r="C19959" t="str">
        <f>"A0100020"</f>
        <v>A0100020</v>
      </c>
      <c r="D19959" t="s">
        <v>74252</v>
      </c>
      <c r="E19959" t="s">
        <v>74253</v>
      </c>
      <c r="F19959" t="s">
        <v>4504</v>
      </c>
      <c r="G19959" t="s">
        <v>4505</v>
      </c>
      <c r="H19959">
        <v>66600</v>
      </c>
      <c r="I19959" t="s">
        <v>2408</v>
      </c>
      <c r="J19959" t="s">
        <v>31</v>
      </c>
      <c r="K19959" t="s">
        <v>34173</v>
      </c>
      <c r="Q19959">
        <v>0</v>
      </c>
      <c r="R19959">
        <v>127</v>
      </c>
      <c r="S19959">
        <v>0</v>
      </c>
      <c r="T19959" t="s">
        <v>74254</v>
      </c>
    </row>
    <row r="19960" spans="1:20" customFormat="1" ht="15" hidden="1" x14ac:dyDescent="0.25">
      <c r="A19960" t="s">
        <v>24</v>
      </c>
      <c r="B19960" t="s">
        <v>8771</v>
      </c>
      <c r="C19960" t="str">
        <f>"A0100019"</f>
        <v>A0100019</v>
      </c>
      <c r="D19960" t="s">
        <v>74255</v>
      </c>
      <c r="E19960" t="s">
        <v>74256</v>
      </c>
      <c r="F19960" t="s">
        <v>74257</v>
      </c>
      <c r="G19960" t="s">
        <v>4505</v>
      </c>
      <c r="H19960">
        <v>66269</v>
      </c>
      <c r="I19960" t="s">
        <v>2408</v>
      </c>
      <c r="J19960" t="s">
        <v>31</v>
      </c>
      <c r="K19960" t="s">
        <v>34173</v>
      </c>
      <c r="Q19960">
        <v>0</v>
      </c>
      <c r="R19960">
        <v>105</v>
      </c>
      <c r="S19960">
        <v>0</v>
      </c>
      <c r="T19960" t="s">
        <v>74258</v>
      </c>
    </row>
    <row r="19961" spans="1:20" customFormat="1" ht="15" hidden="1" x14ac:dyDescent="0.25">
      <c r="A19961" t="s">
        <v>24</v>
      </c>
      <c r="B19961" t="s">
        <v>8771</v>
      </c>
      <c r="C19961" t="str">
        <f>"A0100033"</f>
        <v>A0100033</v>
      </c>
      <c r="D19961" t="s">
        <v>74259</v>
      </c>
      <c r="E19961" t="s">
        <v>74260</v>
      </c>
      <c r="F19961" t="s">
        <v>59904</v>
      </c>
      <c r="G19961" t="s">
        <v>4493</v>
      </c>
      <c r="H19961">
        <v>76090</v>
      </c>
      <c r="I19961" t="s">
        <v>2408</v>
      </c>
      <c r="J19961" t="s">
        <v>31</v>
      </c>
      <c r="K19961" t="s">
        <v>34173</v>
      </c>
      <c r="N19961" t="s">
        <v>74261</v>
      </c>
      <c r="O19961" t="s">
        <v>74207</v>
      </c>
      <c r="Q19961">
        <v>0</v>
      </c>
      <c r="R19961">
        <v>160</v>
      </c>
      <c r="S19961">
        <v>0</v>
      </c>
      <c r="T19961" t="s">
        <v>74262</v>
      </c>
    </row>
    <row r="19962" spans="1:20" customFormat="1" ht="15" hidden="1" x14ac:dyDescent="0.25">
      <c r="A19962" t="s">
        <v>24</v>
      </c>
      <c r="B19962" t="s">
        <v>8771</v>
      </c>
      <c r="C19962" t="str">
        <f>"A0100028"</f>
        <v>A0100028</v>
      </c>
      <c r="D19962" t="s">
        <v>74263</v>
      </c>
      <c r="E19962" t="s">
        <v>74264</v>
      </c>
      <c r="F19962" t="s">
        <v>4486</v>
      </c>
      <c r="G19962" t="s">
        <v>4487</v>
      </c>
      <c r="H19962">
        <v>78395</v>
      </c>
      <c r="I19962" t="s">
        <v>2408</v>
      </c>
      <c r="J19962" t="s">
        <v>31</v>
      </c>
      <c r="K19962" t="s">
        <v>34173</v>
      </c>
      <c r="N19962" t="s">
        <v>74207</v>
      </c>
      <c r="Q19962">
        <v>0</v>
      </c>
      <c r="R19962">
        <v>120</v>
      </c>
      <c r="S19962">
        <v>0</v>
      </c>
      <c r="T19962" t="s">
        <v>74265</v>
      </c>
    </row>
    <row r="19963" spans="1:20" customFormat="1" ht="15" hidden="1" x14ac:dyDescent="0.25">
      <c r="A19963" t="s">
        <v>24</v>
      </c>
      <c r="B19963" t="s">
        <v>8771</v>
      </c>
      <c r="C19963" t="str">
        <f>"A0100031"</f>
        <v>A0100031</v>
      </c>
      <c r="D19963" t="s">
        <v>74266</v>
      </c>
      <c r="E19963" t="s">
        <v>74267</v>
      </c>
      <c r="F19963" t="s">
        <v>2408</v>
      </c>
      <c r="G19963" t="s">
        <v>3843</v>
      </c>
      <c r="H19963">
        <v>6600</v>
      </c>
      <c r="I19963" t="s">
        <v>2408</v>
      </c>
      <c r="J19963" t="s">
        <v>31</v>
      </c>
      <c r="K19963" t="s">
        <v>35347</v>
      </c>
      <c r="N19963" t="s">
        <v>74207</v>
      </c>
      <c r="Q19963">
        <v>0</v>
      </c>
      <c r="R19963">
        <v>79</v>
      </c>
      <c r="S19963">
        <v>0</v>
      </c>
      <c r="T19963" t="s">
        <v>74268</v>
      </c>
    </row>
    <row r="19964" spans="1:20" customFormat="1" ht="15" hidden="1" x14ac:dyDescent="0.25">
      <c r="A19964" t="s">
        <v>24</v>
      </c>
      <c r="B19964" t="s">
        <v>8771</v>
      </c>
      <c r="C19964" t="str">
        <f>"A0154214"</f>
        <v>A0154214</v>
      </c>
      <c r="D19964" t="s">
        <v>74269</v>
      </c>
      <c r="E19964" t="s">
        <v>74270</v>
      </c>
      <c r="F19964" t="s">
        <v>74271</v>
      </c>
      <c r="G19964" t="s">
        <v>54483</v>
      </c>
      <c r="H19964">
        <v>27420</v>
      </c>
      <c r="I19964" t="s">
        <v>2408</v>
      </c>
      <c r="J19964" t="s">
        <v>31</v>
      </c>
      <c r="K19964" t="s">
        <v>34173</v>
      </c>
      <c r="N19964" t="s">
        <v>74272</v>
      </c>
      <c r="O19964" t="s">
        <v>74273</v>
      </c>
      <c r="Q19964">
        <v>0</v>
      </c>
      <c r="R19964">
        <v>117</v>
      </c>
      <c r="S19964">
        <v>0</v>
      </c>
      <c r="T19964" t="s">
        <v>74274</v>
      </c>
    </row>
    <row r="19965" spans="1:20" customFormat="1" ht="15" x14ac:dyDescent="0.25">
      <c r="A19965" t="s">
        <v>24</v>
      </c>
      <c r="B19965" t="s">
        <v>8579</v>
      </c>
      <c r="C19965" t="str">
        <f>"A0074623"</f>
        <v>A0074623</v>
      </c>
      <c r="D19965" t="s">
        <v>60030</v>
      </c>
      <c r="E19965" t="s">
        <v>60031</v>
      </c>
      <c r="F19965" t="s">
        <v>972</v>
      </c>
      <c r="G19965" t="s">
        <v>190</v>
      </c>
      <c r="H19965">
        <v>80222</v>
      </c>
      <c r="I19965" t="s">
        <v>30</v>
      </c>
      <c r="J19965" t="s">
        <v>171</v>
      </c>
      <c r="K19965" t="s">
        <v>973</v>
      </c>
      <c r="N19965" t="s">
        <v>60032</v>
      </c>
      <c r="O19965" t="s">
        <v>60033</v>
      </c>
      <c r="Q19965">
        <v>0</v>
      </c>
      <c r="R19965">
        <v>240</v>
      </c>
      <c r="S19965">
        <v>0</v>
      </c>
      <c r="T19965" t="s">
        <v>60034</v>
      </c>
    </row>
    <row r="19966" spans="1:20" customFormat="1" ht="15" x14ac:dyDescent="0.25">
      <c r="A19966" t="s">
        <v>24</v>
      </c>
      <c r="B19966" t="s">
        <v>74279</v>
      </c>
      <c r="C19966" t="str">
        <f>"A0092068"</f>
        <v>A0092068</v>
      </c>
      <c r="D19966" t="s">
        <v>74280</v>
      </c>
      <c r="E19966" t="s">
        <v>74281</v>
      </c>
      <c r="F19966" t="s">
        <v>10373</v>
      </c>
      <c r="G19966" t="s">
        <v>289</v>
      </c>
      <c r="H19966">
        <v>61820</v>
      </c>
      <c r="I19966" t="s">
        <v>30</v>
      </c>
      <c r="J19966" t="s">
        <v>3359</v>
      </c>
      <c r="K19966" t="s">
        <v>163</v>
      </c>
      <c r="N19966" t="s">
        <v>74282</v>
      </c>
      <c r="O19966" t="s">
        <v>74283</v>
      </c>
      <c r="Q19966">
        <v>0</v>
      </c>
      <c r="R19966">
        <v>207</v>
      </c>
      <c r="S19966">
        <v>0</v>
      </c>
      <c r="T19966" t="s">
        <v>74284</v>
      </c>
    </row>
    <row r="19967" spans="1:20" customFormat="1" ht="15" x14ac:dyDescent="0.25">
      <c r="A19967" t="s">
        <v>24</v>
      </c>
      <c r="B19967" t="s">
        <v>1583</v>
      </c>
      <c r="C19967" t="str">
        <f>"38A38"</f>
        <v>38A38</v>
      </c>
      <c r="D19967" t="s">
        <v>74285</v>
      </c>
      <c r="E19967" t="s">
        <v>74286</v>
      </c>
      <c r="F19967" t="s">
        <v>10530</v>
      </c>
      <c r="G19967" t="s">
        <v>81</v>
      </c>
      <c r="H19967">
        <v>32821</v>
      </c>
      <c r="I19967" t="s">
        <v>30</v>
      </c>
      <c r="J19967" t="s">
        <v>2544</v>
      </c>
      <c r="K19967" t="s">
        <v>36059</v>
      </c>
      <c r="N19967" t="s">
        <v>74287</v>
      </c>
      <c r="O19967" t="s">
        <v>74288</v>
      </c>
      <c r="Q19967">
        <v>0</v>
      </c>
      <c r="R19967">
        <v>46</v>
      </c>
      <c r="S19967">
        <v>0</v>
      </c>
      <c r="T19967" t="s">
        <v>74289</v>
      </c>
    </row>
    <row r="19968" spans="1:20" customFormat="1" ht="15" x14ac:dyDescent="0.25">
      <c r="A19968" t="s">
        <v>24</v>
      </c>
      <c r="B19968" t="s">
        <v>74290</v>
      </c>
      <c r="C19968" t="str">
        <f>"A0051646"</f>
        <v>A0051646</v>
      </c>
      <c r="D19968" t="s">
        <v>74291</v>
      </c>
      <c r="E19968" t="s">
        <v>74292</v>
      </c>
      <c r="F19968" t="s">
        <v>74293</v>
      </c>
      <c r="G19968" t="s">
        <v>103</v>
      </c>
      <c r="H19968">
        <v>18969</v>
      </c>
      <c r="I19968" t="s">
        <v>30</v>
      </c>
      <c r="J19968" t="s">
        <v>178</v>
      </c>
      <c r="K19968" t="s">
        <v>179</v>
      </c>
      <c r="N19968" t="s">
        <v>74294</v>
      </c>
      <c r="O19968" t="s">
        <v>74295</v>
      </c>
      <c r="P19968" t="s">
        <v>992</v>
      </c>
      <c r="Q19968">
        <v>1</v>
      </c>
      <c r="R19968">
        <v>18</v>
      </c>
      <c r="S19968">
        <v>0</v>
      </c>
      <c r="T19968" t="s">
        <v>74296</v>
      </c>
    </row>
    <row r="19969" spans="1:25" customFormat="1" ht="15" x14ac:dyDescent="0.25">
      <c r="A19969" t="s">
        <v>24</v>
      </c>
      <c r="B19969" t="s">
        <v>2360</v>
      </c>
      <c r="C19969" t="str">
        <f>"CL1054"</f>
        <v>CL1054</v>
      </c>
      <c r="D19969" t="s">
        <v>74297</v>
      </c>
      <c r="E19969" t="s">
        <v>74298</v>
      </c>
      <c r="F19969" t="s">
        <v>6583</v>
      </c>
      <c r="G19969" t="s">
        <v>110</v>
      </c>
      <c r="H19969">
        <v>92210</v>
      </c>
      <c r="I19969" t="s">
        <v>30</v>
      </c>
      <c r="J19969" t="s">
        <v>178</v>
      </c>
      <c r="K19969" t="s">
        <v>55688</v>
      </c>
      <c r="N19969" t="s">
        <v>74299</v>
      </c>
      <c r="O19969" t="s">
        <v>73029</v>
      </c>
      <c r="P19969" t="s">
        <v>992</v>
      </c>
      <c r="Q19969">
        <v>2</v>
      </c>
      <c r="R19969">
        <v>0</v>
      </c>
      <c r="S19969">
        <v>0</v>
      </c>
      <c r="T19969" t="s">
        <v>74300</v>
      </c>
    </row>
    <row r="19970" spans="1:25" x14ac:dyDescent="0.25">
      <c r="A19970" s="5" t="s">
        <v>24</v>
      </c>
      <c r="B19970" s="5" t="s">
        <v>675</v>
      </c>
      <c r="C19970" s="5" t="str">
        <f>"311GE"</f>
        <v>311GE</v>
      </c>
      <c r="D19970" s="5" t="s">
        <v>60035</v>
      </c>
      <c r="E19970" s="5" t="s">
        <v>60036</v>
      </c>
      <c r="F19970" s="5" t="s">
        <v>716</v>
      </c>
      <c r="G19970" s="5" t="s">
        <v>289</v>
      </c>
      <c r="H19970" s="5">
        <v>60611</v>
      </c>
      <c r="I19970" s="5" t="s">
        <v>30</v>
      </c>
      <c r="J19970" s="5" t="s">
        <v>171</v>
      </c>
      <c r="K19970" s="5" t="s">
        <v>973</v>
      </c>
      <c r="L19970" s="5"/>
      <c r="M19970" s="5"/>
      <c r="N19970" s="5" t="s">
        <v>60037</v>
      </c>
      <c r="O19970" s="5" t="s">
        <v>60038</v>
      </c>
      <c r="P19970" s="5"/>
      <c r="Q19970" s="5">
        <v>0</v>
      </c>
      <c r="R19970" s="5">
        <v>337</v>
      </c>
      <c r="S19970" s="5">
        <v>0</v>
      </c>
      <c r="T19970" s="5" t="s">
        <v>60039</v>
      </c>
      <c r="U19970" s="5"/>
      <c r="V19970" s="5"/>
      <c r="W19970" s="5"/>
      <c r="X19970" s="5"/>
      <c r="Y19970" s="5"/>
    </row>
    <row r="19971" spans="1:25" customFormat="1" ht="15" hidden="1" x14ac:dyDescent="0.25">
      <c r="A19971" t="s">
        <v>24</v>
      </c>
      <c r="B19971" t="s">
        <v>74305</v>
      </c>
      <c r="C19971" t="str">
        <f>"A0090759"</f>
        <v>A0090759</v>
      </c>
      <c r="D19971" t="s">
        <v>74306</v>
      </c>
      <c r="E19971" t="s">
        <v>74307</v>
      </c>
      <c r="F19971" t="s">
        <v>74308</v>
      </c>
      <c r="G19971" t="s">
        <v>53957</v>
      </c>
      <c r="I19971" t="s">
        <v>53958</v>
      </c>
      <c r="J19971" t="s">
        <v>162</v>
      </c>
      <c r="K19971" t="s">
        <v>163</v>
      </c>
      <c r="N19971" t="s">
        <v>74309</v>
      </c>
      <c r="Q19971">
        <v>0</v>
      </c>
      <c r="R19971">
        <v>147</v>
      </c>
      <c r="S19971">
        <v>0</v>
      </c>
      <c r="T19971" t="s">
        <v>74310</v>
      </c>
    </row>
    <row r="19972" spans="1:25" x14ac:dyDescent="0.25">
      <c r="A19972" s="5" t="s">
        <v>24</v>
      </c>
      <c r="B19972" s="5" t="s">
        <v>10487</v>
      </c>
      <c r="C19972" s="5" t="str">
        <f>"651XP"</f>
        <v>651XP</v>
      </c>
      <c r="D19972" s="5" t="s">
        <v>60040</v>
      </c>
      <c r="E19972" s="5" t="s">
        <v>60041</v>
      </c>
      <c r="F19972" s="5" t="s">
        <v>60042</v>
      </c>
      <c r="G19972" s="5" t="s">
        <v>289</v>
      </c>
      <c r="H19972" s="5">
        <v>60126</v>
      </c>
      <c r="I19972" s="5" t="s">
        <v>30</v>
      </c>
      <c r="J19972" s="5" t="s">
        <v>171</v>
      </c>
      <c r="K19972" s="5" t="s">
        <v>973</v>
      </c>
      <c r="L19972" s="5"/>
      <c r="M19972" s="5"/>
      <c r="N19972" s="5" t="s">
        <v>60043</v>
      </c>
      <c r="O19972" s="5" t="s">
        <v>60044</v>
      </c>
      <c r="P19972" s="5"/>
      <c r="Q19972" s="5">
        <v>0</v>
      </c>
      <c r="R19972" s="5">
        <v>149</v>
      </c>
      <c r="S19972" s="5">
        <v>0</v>
      </c>
      <c r="T19972" s="5" t="s">
        <v>60045</v>
      </c>
      <c r="U19972" s="5"/>
      <c r="V19972" s="5"/>
      <c r="W19972" s="5"/>
      <c r="X19972" s="5"/>
      <c r="Y19972" s="5"/>
    </row>
    <row r="19973" spans="1:25" customFormat="1" ht="15" x14ac:dyDescent="0.25">
      <c r="A19973" t="s">
        <v>24</v>
      </c>
      <c r="B19973" t="s">
        <v>1528</v>
      </c>
      <c r="C19973" t="str">
        <f>"A0147528"</f>
        <v>A0147528</v>
      </c>
      <c r="D19973" t="s">
        <v>74316</v>
      </c>
      <c r="E19973" t="s">
        <v>74317</v>
      </c>
      <c r="F19973" t="s">
        <v>74318</v>
      </c>
      <c r="G19973" t="s">
        <v>76</v>
      </c>
      <c r="H19973">
        <v>99362</v>
      </c>
      <c r="I19973" t="s">
        <v>30</v>
      </c>
      <c r="J19973" t="s">
        <v>31</v>
      </c>
      <c r="K19973" t="s">
        <v>163</v>
      </c>
      <c r="N19973" t="s">
        <v>74319</v>
      </c>
      <c r="O19973" t="s">
        <v>74320</v>
      </c>
      <c r="Q19973">
        <v>0</v>
      </c>
      <c r="R19973">
        <v>11</v>
      </c>
      <c r="S19973">
        <v>0</v>
      </c>
      <c r="T19973" t="s">
        <v>74321</v>
      </c>
    </row>
    <row r="19974" spans="1:25" customFormat="1" ht="15" x14ac:dyDescent="0.25">
      <c r="A19974" t="s">
        <v>24</v>
      </c>
      <c r="B19974" t="s">
        <v>2583</v>
      </c>
      <c r="C19974" t="str">
        <f>"311V3"</f>
        <v>311V3</v>
      </c>
      <c r="D19974" t="s">
        <v>60046</v>
      </c>
      <c r="E19974" t="s">
        <v>60047</v>
      </c>
      <c r="F19974" t="s">
        <v>60048</v>
      </c>
      <c r="G19974" t="s">
        <v>289</v>
      </c>
      <c r="H19974">
        <v>60025</v>
      </c>
      <c r="I19974" t="s">
        <v>30</v>
      </c>
      <c r="J19974" t="s">
        <v>171</v>
      </c>
      <c r="K19974" t="s">
        <v>973</v>
      </c>
      <c r="N19974" t="s">
        <v>60049</v>
      </c>
      <c r="O19974" t="s">
        <v>60050</v>
      </c>
      <c r="Q19974">
        <v>0</v>
      </c>
      <c r="R19974">
        <v>149</v>
      </c>
      <c r="S19974">
        <v>0</v>
      </c>
      <c r="T19974" t="s">
        <v>60051</v>
      </c>
    </row>
    <row r="19975" spans="1:25" customFormat="1" ht="15" x14ac:dyDescent="0.25">
      <c r="A19975" t="s">
        <v>24</v>
      </c>
      <c r="B19975" t="s">
        <v>675</v>
      </c>
      <c r="C19975" t="str">
        <f>"311T3"</f>
        <v>311T3</v>
      </c>
      <c r="D19975" t="s">
        <v>60052</v>
      </c>
      <c r="E19975" t="s">
        <v>60053</v>
      </c>
      <c r="F19975" t="s">
        <v>60054</v>
      </c>
      <c r="G19975" t="s">
        <v>289</v>
      </c>
      <c r="H19975">
        <v>60035</v>
      </c>
      <c r="I19975" t="s">
        <v>30</v>
      </c>
      <c r="J19975" t="s">
        <v>171</v>
      </c>
      <c r="K19975" t="s">
        <v>973</v>
      </c>
      <c r="N19975" t="s">
        <v>60055</v>
      </c>
      <c r="O19975" t="s">
        <v>60056</v>
      </c>
      <c r="Q19975">
        <v>0</v>
      </c>
      <c r="R19975">
        <v>149</v>
      </c>
      <c r="S19975">
        <v>0</v>
      </c>
      <c r="T19975" t="s">
        <v>60057</v>
      </c>
    </row>
    <row r="19976" spans="1:25" customFormat="1" ht="15" x14ac:dyDescent="0.25">
      <c r="A19976" t="s">
        <v>24</v>
      </c>
      <c r="B19976" t="s">
        <v>675</v>
      </c>
      <c r="C19976" t="str">
        <f>"311H3"</f>
        <v>311H3</v>
      </c>
      <c r="D19976" t="s">
        <v>60058</v>
      </c>
      <c r="E19976" t="s">
        <v>60059</v>
      </c>
      <c r="F19976" t="s">
        <v>60060</v>
      </c>
      <c r="G19976" t="s">
        <v>289</v>
      </c>
      <c r="H19976">
        <v>60069</v>
      </c>
      <c r="I19976" t="s">
        <v>30</v>
      </c>
      <c r="J19976" t="s">
        <v>171</v>
      </c>
      <c r="K19976" t="s">
        <v>973</v>
      </c>
      <c r="N19976" t="s">
        <v>60061</v>
      </c>
      <c r="Q19976">
        <v>0</v>
      </c>
      <c r="R19976">
        <v>146</v>
      </c>
      <c r="S19976">
        <v>0</v>
      </c>
      <c r="T19976" t="s">
        <v>60062</v>
      </c>
    </row>
    <row r="19977" spans="1:25" customFormat="1" ht="15" x14ac:dyDescent="0.25">
      <c r="A19977" t="s">
        <v>24</v>
      </c>
      <c r="B19977" t="s">
        <v>675</v>
      </c>
      <c r="C19977" t="str">
        <f>"311H2"</f>
        <v>311H2</v>
      </c>
      <c r="D19977" t="s">
        <v>60063</v>
      </c>
      <c r="E19977" t="s">
        <v>60064</v>
      </c>
      <c r="F19977" t="s">
        <v>60065</v>
      </c>
      <c r="G19977" t="s">
        <v>289</v>
      </c>
      <c r="H19977">
        <v>60563</v>
      </c>
      <c r="I19977" t="s">
        <v>30</v>
      </c>
      <c r="J19977" t="s">
        <v>171</v>
      </c>
      <c r="K19977" t="s">
        <v>973</v>
      </c>
      <c r="N19977" t="s">
        <v>60066</v>
      </c>
      <c r="Q19977">
        <v>0</v>
      </c>
      <c r="R19977">
        <v>147</v>
      </c>
      <c r="S19977">
        <v>0</v>
      </c>
      <c r="T19977" t="s">
        <v>60067</v>
      </c>
    </row>
    <row r="19978" spans="1:25" customFormat="1" ht="15" x14ac:dyDescent="0.25">
      <c r="A19978" t="s">
        <v>24</v>
      </c>
      <c r="B19978" t="s">
        <v>675</v>
      </c>
      <c r="C19978" t="str">
        <f>"311G6"</f>
        <v>311G6</v>
      </c>
      <c r="D19978" t="s">
        <v>60068</v>
      </c>
      <c r="E19978" t="s">
        <v>60069</v>
      </c>
      <c r="F19978" t="s">
        <v>60070</v>
      </c>
      <c r="G19978" t="s">
        <v>289</v>
      </c>
      <c r="H19978">
        <v>60181</v>
      </c>
      <c r="I19978" t="s">
        <v>30</v>
      </c>
      <c r="J19978" t="s">
        <v>171</v>
      </c>
      <c r="K19978" t="s">
        <v>973</v>
      </c>
      <c r="N19978" t="s">
        <v>60071</v>
      </c>
      <c r="Q19978">
        <v>0</v>
      </c>
      <c r="R19978">
        <v>147</v>
      </c>
      <c r="S19978">
        <v>0</v>
      </c>
      <c r="T19978" t="s">
        <v>60072</v>
      </c>
    </row>
    <row r="19979" spans="1:25" x14ac:dyDescent="0.25">
      <c r="A19979" s="5" t="s">
        <v>24</v>
      </c>
      <c r="B19979" s="5" t="s">
        <v>675</v>
      </c>
      <c r="C19979" s="5" t="str">
        <f>"311V5"</f>
        <v>311V5</v>
      </c>
      <c r="D19979" s="5" t="s">
        <v>60073</v>
      </c>
      <c r="E19979" s="5" t="s">
        <v>60074</v>
      </c>
      <c r="F19979" s="5" t="s">
        <v>1551</v>
      </c>
      <c r="G19979" s="5" t="s">
        <v>289</v>
      </c>
      <c r="H19979" s="5">
        <v>60018</v>
      </c>
      <c r="I19979" s="5" t="s">
        <v>30</v>
      </c>
      <c r="J19979" s="5" t="s">
        <v>171</v>
      </c>
      <c r="K19979" s="5" t="s">
        <v>973</v>
      </c>
      <c r="L19979" s="5"/>
      <c r="M19979" s="5"/>
      <c r="N19979" s="5" t="s">
        <v>60075</v>
      </c>
      <c r="O19979" s="5"/>
      <c r="P19979" s="5"/>
      <c r="Q19979" s="5">
        <v>0</v>
      </c>
      <c r="R19979" s="5">
        <v>180</v>
      </c>
      <c r="S19979" s="5">
        <v>0</v>
      </c>
      <c r="T19979" s="5" t="s">
        <v>60076</v>
      </c>
      <c r="U19979" s="5"/>
      <c r="V19979" s="5"/>
      <c r="W19979" s="5"/>
      <c r="X19979" s="5"/>
      <c r="Y19979" s="5"/>
    </row>
    <row r="19980" spans="1:25" customFormat="1" ht="15" x14ac:dyDescent="0.25">
      <c r="A19980" t="s">
        <v>24</v>
      </c>
      <c r="B19980" t="s">
        <v>60077</v>
      </c>
      <c r="C19980" t="str">
        <f>"A0075946"</f>
        <v>A0075946</v>
      </c>
      <c r="D19980" t="s">
        <v>60078</v>
      </c>
      <c r="E19980" t="s">
        <v>60079</v>
      </c>
      <c r="F19980" t="s">
        <v>4003</v>
      </c>
      <c r="G19980" t="s">
        <v>289</v>
      </c>
      <c r="H19980">
        <v>60173</v>
      </c>
      <c r="I19980" t="s">
        <v>30</v>
      </c>
      <c r="J19980" t="s">
        <v>171</v>
      </c>
      <c r="K19980" t="s">
        <v>973</v>
      </c>
      <c r="N19980" t="s">
        <v>60080</v>
      </c>
      <c r="Q19980">
        <v>0</v>
      </c>
      <c r="R19980">
        <v>162</v>
      </c>
      <c r="S19980">
        <v>0</v>
      </c>
      <c r="T19980" t="s">
        <v>60081</v>
      </c>
    </row>
    <row r="19981" spans="1:25" customFormat="1" ht="15" x14ac:dyDescent="0.25">
      <c r="A19981" t="s">
        <v>24</v>
      </c>
      <c r="B19981" t="s">
        <v>675</v>
      </c>
      <c r="C19981" t="str">
        <f>"311T4"</f>
        <v>311T4</v>
      </c>
      <c r="D19981" t="s">
        <v>60082</v>
      </c>
      <c r="E19981" t="s">
        <v>60083</v>
      </c>
      <c r="F19981" t="s">
        <v>35010</v>
      </c>
      <c r="G19981" t="s">
        <v>289</v>
      </c>
      <c r="H19981">
        <v>60085</v>
      </c>
      <c r="I19981" t="s">
        <v>30</v>
      </c>
      <c r="J19981" t="s">
        <v>171</v>
      </c>
      <c r="K19981" t="s">
        <v>973</v>
      </c>
      <c r="N19981" t="s">
        <v>60084</v>
      </c>
      <c r="O19981" t="s">
        <v>60085</v>
      </c>
      <c r="Q19981">
        <v>0</v>
      </c>
      <c r="R19981">
        <v>149</v>
      </c>
      <c r="S19981">
        <v>0</v>
      </c>
      <c r="T19981" t="s">
        <v>60086</v>
      </c>
    </row>
    <row r="19982" spans="1:25" customFormat="1" ht="15" x14ac:dyDescent="0.25">
      <c r="A19982" t="s">
        <v>24</v>
      </c>
      <c r="B19982" t="s">
        <v>1487</v>
      </c>
      <c r="C19982" t="str">
        <f>"A0067982"</f>
        <v>A0067982</v>
      </c>
      <c r="D19982" t="s">
        <v>60087</v>
      </c>
      <c r="E19982" t="s">
        <v>60088</v>
      </c>
      <c r="F19982" t="s">
        <v>716</v>
      </c>
      <c r="G19982" t="s">
        <v>289</v>
      </c>
      <c r="H19982">
        <v>60611</v>
      </c>
      <c r="I19982" t="s">
        <v>30</v>
      </c>
      <c r="J19982" t="s">
        <v>171</v>
      </c>
      <c r="K19982" t="s">
        <v>973</v>
      </c>
      <c r="N19982" t="s">
        <v>60089</v>
      </c>
      <c r="O19982" t="s">
        <v>60090</v>
      </c>
      <c r="Q19982">
        <v>0</v>
      </c>
      <c r="R19982">
        <v>306</v>
      </c>
      <c r="S19982">
        <v>0</v>
      </c>
      <c r="T19982" t="s">
        <v>60091</v>
      </c>
    </row>
    <row r="19983" spans="1:25" customFormat="1" ht="15" x14ac:dyDescent="0.25">
      <c r="A19983" t="s">
        <v>24</v>
      </c>
      <c r="B19983" t="s">
        <v>55987</v>
      </c>
      <c r="C19983" t="str">
        <f>"A0059908"</f>
        <v>A0059908</v>
      </c>
      <c r="D19983" t="s">
        <v>74362</v>
      </c>
      <c r="E19983" t="s">
        <v>74363</v>
      </c>
      <c r="F19983" t="s">
        <v>2051</v>
      </c>
      <c r="G19983" t="s">
        <v>161</v>
      </c>
      <c r="H19983">
        <v>55802</v>
      </c>
      <c r="I19983" t="s">
        <v>30</v>
      </c>
      <c r="J19983" t="s">
        <v>31</v>
      </c>
      <c r="K19983" t="s">
        <v>163</v>
      </c>
      <c r="N19983" t="s">
        <v>74364</v>
      </c>
      <c r="O19983" t="s">
        <v>63638</v>
      </c>
      <c r="Q19983">
        <v>0</v>
      </c>
      <c r="R19983">
        <v>174</v>
      </c>
      <c r="S19983">
        <v>0</v>
      </c>
      <c r="T19983" t="s">
        <v>74365</v>
      </c>
    </row>
    <row r="19984" spans="1:25" customFormat="1" ht="15" x14ac:dyDescent="0.25">
      <c r="A19984" t="s">
        <v>24</v>
      </c>
      <c r="B19984" t="s">
        <v>1020</v>
      </c>
      <c r="C19984" t="str">
        <f>"A0074454"</f>
        <v>A0074454</v>
      </c>
      <c r="D19984" t="s">
        <v>60092</v>
      </c>
      <c r="E19984" t="s">
        <v>60093</v>
      </c>
      <c r="F19984" t="s">
        <v>4919</v>
      </c>
      <c r="G19984" t="s">
        <v>110</v>
      </c>
      <c r="H19984">
        <v>95928</v>
      </c>
      <c r="I19984" t="s">
        <v>30</v>
      </c>
      <c r="J19984" t="s">
        <v>171</v>
      </c>
      <c r="K19984" t="s">
        <v>973</v>
      </c>
      <c r="N19984" t="s">
        <v>60094</v>
      </c>
      <c r="Q19984">
        <v>0</v>
      </c>
      <c r="R19984">
        <v>100</v>
      </c>
      <c r="S19984">
        <v>0</v>
      </c>
      <c r="T19984" t="s">
        <v>60095</v>
      </c>
    </row>
    <row r="19985" spans="1:25" customFormat="1" ht="15" hidden="1" x14ac:dyDescent="0.25">
      <c r="A19985" t="s">
        <v>24</v>
      </c>
      <c r="B19985" t="s">
        <v>2202</v>
      </c>
      <c r="C19985" t="str">
        <f>"A0146936"</f>
        <v>A0146936</v>
      </c>
      <c r="D19985" t="s">
        <v>74372</v>
      </c>
      <c r="E19985" t="s">
        <v>74373</v>
      </c>
      <c r="F19985" t="s">
        <v>13197</v>
      </c>
      <c r="G19985" t="s">
        <v>2206</v>
      </c>
      <c r="H19985" t="s">
        <v>74374</v>
      </c>
      <c r="I19985" t="s">
        <v>1459</v>
      </c>
      <c r="J19985" t="s">
        <v>191</v>
      </c>
      <c r="K19985" t="s">
        <v>11889</v>
      </c>
      <c r="N19985" t="s">
        <v>74375</v>
      </c>
      <c r="Q19985">
        <v>0</v>
      </c>
      <c r="R19985">
        <v>0</v>
      </c>
      <c r="S19985">
        <v>0</v>
      </c>
      <c r="T19985" t="s">
        <v>74376</v>
      </c>
    </row>
    <row r="19986" spans="1:25" x14ac:dyDescent="0.25">
      <c r="A19986" s="5" t="s">
        <v>24</v>
      </c>
      <c r="B19986" s="5" t="s">
        <v>675</v>
      </c>
      <c r="C19986" s="5" t="str">
        <f>"311GJ"</f>
        <v>311GJ</v>
      </c>
      <c r="D19986" s="5" t="s">
        <v>60096</v>
      </c>
      <c r="E19986" s="5" t="s">
        <v>60097</v>
      </c>
      <c r="F19986" s="5" t="s">
        <v>53840</v>
      </c>
      <c r="G19986" s="5" t="s">
        <v>840</v>
      </c>
      <c r="H19986" s="5">
        <v>41011</v>
      </c>
      <c r="I19986" s="5" t="s">
        <v>30</v>
      </c>
      <c r="J19986" s="5" t="s">
        <v>171</v>
      </c>
      <c r="K19986" s="5" t="s">
        <v>973</v>
      </c>
      <c r="L19986" s="5"/>
      <c r="M19986" s="5"/>
      <c r="N19986" s="5" t="s">
        <v>60098</v>
      </c>
      <c r="O19986" s="5" t="s">
        <v>60099</v>
      </c>
      <c r="P19986" s="5"/>
      <c r="Q19986" s="5">
        <v>0</v>
      </c>
      <c r="R19986" s="5">
        <v>194</v>
      </c>
      <c r="S19986" s="5">
        <v>0</v>
      </c>
      <c r="T19986" s="5" t="s">
        <v>60100</v>
      </c>
      <c r="U19986" s="5"/>
      <c r="V19986" s="5"/>
      <c r="W19986" s="5"/>
      <c r="X19986" s="5"/>
      <c r="Y19986" s="5"/>
    </row>
    <row r="19987" spans="1:25" customFormat="1" ht="15" x14ac:dyDescent="0.25">
      <c r="A19987" t="s">
        <v>24</v>
      </c>
      <c r="B19987" t="s">
        <v>2360</v>
      </c>
      <c r="C19987" t="str">
        <f>"CL0375"</f>
        <v>CL0375</v>
      </c>
      <c r="D19987" t="s">
        <v>74383</v>
      </c>
      <c r="E19987" t="s">
        <v>74384</v>
      </c>
      <c r="F19987" t="s">
        <v>74385</v>
      </c>
      <c r="G19987" t="s">
        <v>899</v>
      </c>
      <c r="H19987">
        <v>1938</v>
      </c>
      <c r="I19987" t="s">
        <v>30</v>
      </c>
      <c r="J19987" t="s">
        <v>178</v>
      </c>
      <c r="K19987" t="s">
        <v>56092</v>
      </c>
      <c r="N19987" t="s">
        <v>74386</v>
      </c>
      <c r="O19987" t="s">
        <v>74387</v>
      </c>
      <c r="P19987" t="s">
        <v>992</v>
      </c>
      <c r="Q19987">
        <v>1</v>
      </c>
      <c r="R19987">
        <v>0</v>
      </c>
      <c r="S19987">
        <v>0</v>
      </c>
      <c r="T19987" t="s">
        <v>74388</v>
      </c>
    </row>
    <row r="19988" spans="1:25" customFormat="1" ht="15" x14ac:dyDescent="0.25">
      <c r="A19988" t="s">
        <v>24</v>
      </c>
      <c r="B19988" t="s">
        <v>6667</v>
      </c>
      <c r="C19988" t="str">
        <f>"A0069299"</f>
        <v>A0069299</v>
      </c>
      <c r="D19988" t="s">
        <v>74389</v>
      </c>
      <c r="E19988" t="s">
        <v>74390</v>
      </c>
      <c r="F19988" t="s">
        <v>74391</v>
      </c>
      <c r="G19988" t="s">
        <v>52</v>
      </c>
      <c r="H19988">
        <v>76180</v>
      </c>
      <c r="I19988" t="s">
        <v>30</v>
      </c>
      <c r="J19988" t="s">
        <v>178</v>
      </c>
      <c r="K19988" t="s">
        <v>6667</v>
      </c>
      <c r="N19988" t="s">
        <v>74392</v>
      </c>
      <c r="O19988" t="s">
        <v>74393</v>
      </c>
      <c r="P19988" t="s">
        <v>6426</v>
      </c>
      <c r="Q19988">
        <v>1</v>
      </c>
      <c r="R19988">
        <v>0</v>
      </c>
      <c r="S19988">
        <v>0</v>
      </c>
      <c r="T19988" t="s">
        <v>74394</v>
      </c>
    </row>
    <row r="19989" spans="1:25" customFormat="1" ht="15" x14ac:dyDescent="0.25">
      <c r="A19989" t="s">
        <v>24</v>
      </c>
      <c r="B19989" t="s">
        <v>4341</v>
      </c>
      <c r="C19989" t="str">
        <f>"A0155389"</f>
        <v>A0155389</v>
      </c>
      <c r="D19989" t="s">
        <v>60101</v>
      </c>
      <c r="E19989" t="s">
        <v>60102</v>
      </c>
      <c r="F19989" t="s">
        <v>10669</v>
      </c>
      <c r="G19989" t="s">
        <v>65</v>
      </c>
      <c r="H19989">
        <v>45040</v>
      </c>
      <c r="I19989" t="s">
        <v>30</v>
      </c>
      <c r="J19989" t="s">
        <v>171</v>
      </c>
      <c r="K19989" t="s">
        <v>973</v>
      </c>
      <c r="N19989" t="s">
        <v>60103</v>
      </c>
      <c r="O19989" t="s">
        <v>60104</v>
      </c>
      <c r="Q19989">
        <v>0</v>
      </c>
      <c r="R19989">
        <v>97</v>
      </c>
      <c r="S19989">
        <v>0</v>
      </c>
      <c r="T19989" t="s">
        <v>60105</v>
      </c>
    </row>
    <row r="19990" spans="1:25" customFormat="1" ht="15" x14ac:dyDescent="0.25">
      <c r="A19990" t="s">
        <v>24</v>
      </c>
      <c r="B19990" t="s">
        <v>60106</v>
      </c>
      <c r="C19990" t="str">
        <f>"A0061063"</f>
        <v>A0061063</v>
      </c>
      <c r="D19990" t="s">
        <v>60107</v>
      </c>
      <c r="E19990" t="s">
        <v>60108</v>
      </c>
      <c r="F19990" t="s">
        <v>13716</v>
      </c>
      <c r="G19990" t="s">
        <v>65</v>
      </c>
      <c r="H19990">
        <v>45209</v>
      </c>
      <c r="I19990" t="s">
        <v>30</v>
      </c>
      <c r="J19990" t="s">
        <v>171</v>
      </c>
      <c r="K19990" t="s">
        <v>973</v>
      </c>
      <c r="N19990" t="s">
        <v>60109</v>
      </c>
      <c r="O19990" t="s">
        <v>60110</v>
      </c>
      <c r="Q19990">
        <v>0</v>
      </c>
      <c r="R19990">
        <v>123</v>
      </c>
      <c r="S19990">
        <v>0</v>
      </c>
      <c r="T19990" t="s">
        <v>60111</v>
      </c>
    </row>
    <row r="19991" spans="1:25" customFormat="1" ht="15" x14ac:dyDescent="0.25">
      <c r="A19991" t="s">
        <v>24</v>
      </c>
      <c r="B19991" t="s">
        <v>6915</v>
      </c>
      <c r="C19991" t="str">
        <f>"A0083709"</f>
        <v>A0083709</v>
      </c>
      <c r="D19991" t="s">
        <v>60112</v>
      </c>
      <c r="E19991" t="s">
        <v>60113</v>
      </c>
      <c r="F19991" t="s">
        <v>9690</v>
      </c>
      <c r="G19991" t="s">
        <v>65</v>
      </c>
      <c r="H19991">
        <v>45069</v>
      </c>
      <c r="I19991" t="s">
        <v>30</v>
      </c>
      <c r="J19991" t="s">
        <v>171</v>
      </c>
      <c r="K19991" t="s">
        <v>973</v>
      </c>
      <c r="N19991" t="s">
        <v>60114</v>
      </c>
      <c r="O19991" t="s">
        <v>60115</v>
      </c>
      <c r="Q19991">
        <v>0</v>
      </c>
      <c r="R19991">
        <v>126</v>
      </c>
      <c r="S19991">
        <v>0</v>
      </c>
      <c r="T19991" t="s">
        <v>60116</v>
      </c>
    </row>
    <row r="19992" spans="1:25" customFormat="1" ht="15" hidden="1" x14ac:dyDescent="0.25">
      <c r="A19992" t="s">
        <v>24</v>
      </c>
      <c r="B19992" t="s">
        <v>675</v>
      </c>
      <c r="C19992" t="str">
        <f>"A0088679"</f>
        <v>A0088679</v>
      </c>
      <c r="D19992" t="s">
        <v>74407</v>
      </c>
      <c r="E19992" t="s">
        <v>74408</v>
      </c>
      <c r="F19992" t="s">
        <v>74409</v>
      </c>
      <c r="G19992" t="s">
        <v>13345</v>
      </c>
      <c r="H19992">
        <v>51900</v>
      </c>
      <c r="I19992" t="s">
        <v>2408</v>
      </c>
      <c r="J19992" t="s">
        <v>162</v>
      </c>
      <c r="K19992" t="s">
        <v>1490</v>
      </c>
      <c r="N19992" t="s">
        <v>74410</v>
      </c>
      <c r="O19992" t="s">
        <v>74411</v>
      </c>
      <c r="Q19992">
        <v>0</v>
      </c>
      <c r="R19992">
        <v>189</v>
      </c>
      <c r="S19992">
        <v>0</v>
      </c>
      <c r="T19992" t="s">
        <v>74412</v>
      </c>
    </row>
    <row r="19993" spans="1:25" customFormat="1" ht="15" x14ac:dyDescent="0.25">
      <c r="A19993" t="s">
        <v>24</v>
      </c>
      <c r="B19993" t="s">
        <v>675</v>
      </c>
      <c r="C19993" t="str">
        <f>"311MZ"</f>
        <v>311MZ</v>
      </c>
      <c r="D19993" t="s">
        <v>60117</v>
      </c>
      <c r="E19993" t="s">
        <v>60118</v>
      </c>
      <c r="F19993" t="s">
        <v>60119</v>
      </c>
      <c r="G19993" t="s">
        <v>65</v>
      </c>
      <c r="H19993">
        <v>44070</v>
      </c>
      <c r="I19993" t="s">
        <v>30</v>
      </c>
      <c r="J19993" t="s">
        <v>171</v>
      </c>
      <c r="K19993" t="s">
        <v>973</v>
      </c>
      <c r="N19993" t="s">
        <v>60120</v>
      </c>
      <c r="O19993" t="s">
        <v>60121</v>
      </c>
      <c r="Q19993">
        <v>0</v>
      </c>
      <c r="R19993">
        <v>120</v>
      </c>
      <c r="S19993">
        <v>0</v>
      </c>
      <c r="T19993" t="s">
        <v>60122</v>
      </c>
    </row>
    <row r="19994" spans="1:25" customFormat="1" ht="15" x14ac:dyDescent="0.25">
      <c r="A19994" t="s">
        <v>24</v>
      </c>
      <c r="B19994" t="s">
        <v>2812</v>
      </c>
      <c r="C19994" t="str">
        <f>"651XK"</f>
        <v>651XK</v>
      </c>
      <c r="D19994" t="s">
        <v>60123</v>
      </c>
      <c r="E19994" t="s">
        <v>60124</v>
      </c>
      <c r="F19994" t="s">
        <v>3887</v>
      </c>
      <c r="G19994" t="s">
        <v>65</v>
      </c>
      <c r="H19994">
        <v>44122</v>
      </c>
      <c r="I19994" t="s">
        <v>30</v>
      </c>
      <c r="J19994" t="s">
        <v>171</v>
      </c>
      <c r="K19994" t="s">
        <v>973</v>
      </c>
      <c r="N19994" t="s">
        <v>60125</v>
      </c>
      <c r="O19994" t="s">
        <v>60126</v>
      </c>
      <c r="Q19994">
        <v>0</v>
      </c>
      <c r="R19994">
        <v>113</v>
      </c>
      <c r="S19994">
        <v>0</v>
      </c>
      <c r="T19994" t="s">
        <v>60127</v>
      </c>
    </row>
    <row r="19995" spans="1:25" customFormat="1" ht="15" x14ac:dyDescent="0.25">
      <c r="A19995" t="s">
        <v>24</v>
      </c>
      <c r="B19995" t="s">
        <v>675</v>
      </c>
      <c r="C19995" t="str">
        <f>"311GK"</f>
        <v>311GK</v>
      </c>
      <c r="D19995" t="s">
        <v>60128</v>
      </c>
      <c r="E19995" t="s">
        <v>60129</v>
      </c>
      <c r="F19995" t="s">
        <v>4417</v>
      </c>
      <c r="G19995" t="s">
        <v>65</v>
      </c>
      <c r="H19995">
        <v>44131</v>
      </c>
      <c r="I19995" t="s">
        <v>30</v>
      </c>
      <c r="J19995" t="s">
        <v>171</v>
      </c>
      <c r="K19995" t="s">
        <v>973</v>
      </c>
      <c r="N19995" t="s">
        <v>60130</v>
      </c>
      <c r="Q19995">
        <v>0</v>
      </c>
      <c r="R19995">
        <v>154</v>
      </c>
      <c r="S19995">
        <v>0</v>
      </c>
      <c r="T19995" t="s">
        <v>60131</v>
      </c>
    </row>
    <row r="19996" spans="1:25" customFormat="1" ht="15" x14ac:dyDescent="0.25">
      <c r="A19996" t="s">
        <v>24</v>
      </c>
      <c r="B19996" t="s">
        <v>74426</v>
      </c>
      <c r="C19996" t="str">
        <f>"A0100980"</f>
        <v>A0100980</v>
      </c>
      <c r="D19996" t="s">
        <v>74427</v>
      </c>
      <c r="E19996" t="s">
        <v>74428</v>
      </c>
      <c r="F19996" t="s">
        <v>74429</v>
      </c>
      <c r="G19996" t="s">
        <v>110</v>
      </c>
      <c r="H19996">
        <v>91935</v>
      </c>
      <c r="I19996" t="s">
        <v>30</v>
      </c>
      <c r="J19996" t="s">
        <v>5805</v>
      </c>
      <c r="K19996" t="s">
        <v>163</v>
      </c>
      <c r="N19996" t="s">
        <v>74430</v>
      </c>
      <c r="O19996" t="s">
        <v>74431</v>
      </c>
      <c r="Q19996">
        <v>0</v>
      </c>
      <c r="R19996">
        <v>0</v>
      </c>
      <c r="S19996">
        <v>0</v>
      </c>
      <c r="T19996" t="s">
        <v>74432</v>
      </c>
    </row>
    <row r="19997" spans="1:25" customFormat="1" ht="15" x14ac:dyDescent="0.25">
      <c r="A19997" t="s">
        <v>24</v>
      </c>
      <c r="B19997" t="s">
        <v>4400</v>
      </c>
      <c r="C19997" t="str">
        <f>"311GM"</f>
        <v>311GM</v>
      </c>
      <c r="D19997" t="s">
        <v>60132</v>
      </c>
      <c r="E19997" t="s">
        <v>60133</v>
      </c>
      <c r="F19997" t="s">
        <v>12691</v>
      </c>
      <c r="G19997" t="s">
        <v>65</v>
      </c>
      <c r="H19997">
        <v>44145</v>
      </c>
      <c r="I19997" t="s">
        <v>30</v>
      </c>
      <c r="J19997" t="s">
        <v>171</v>
      </c>
      <c r="K19997" t="s">
        <v>973</v>
      </c>
      <c r="N19997" t="s">
        <v>60134</v>
      </c>
      <c r="O19997" t="s">
        <v>60135</v>
      </c>
      <c r="Q19997">
        <v>0</v>
      </c>
      <c r="R19997">
        <v>122</v>
      </c>
      <c r="S19997">
        <v>0</v>
      </c>
      <c r="T19997" t="s">
        <v>60136</v>
      </c>
    </row>
    <row r="19998" spans="1:25" customFormat="1" ht="15" x14ac:dyDescent="0.25">
      <c r="A19998" t="s">
        <v>24</v>
      </c>
      <c r="B19998" t="s">
        <v>74438</v>
      </c>
      <c r="C19998" t="str">
        <f>"A0050896"</f>
        <v>A0050896</v>
      </c>
      <c r="D19998" t="s">
        <v>74439</v>
      </c>
      <c r="E19998" t="s">
        <v>74440</v>
      </c>
      <c r="F19998" t="s">
        <v>5620</v>
      </c>
      <c r="G19998" t="s">
        <v>29</v>
      </c>
      <c r="H19998">
        <v>23228</v>
      </c>
      <c r="I19998" t="s">
        <v>30</v>
      </c>
      <c r="J19998" t="s">
        <v>178</v>
      </c>
      <c r="K19998" t="s">
        <v>179</v>
      </c>
      <c r="N19998" t="s">
        <v>74441</v>
      </c>
      <c r="O19998" t="s">
        <v>74442</v>
      </c>
      <c r="Q19998">
        <v>1</v>
      </c>
      <c r="R19998">
        <v>0</v>
      </c>
      <c r="S19998">
        <v>0</v>
      </c>
      <c r="T19998" t="s">
        <v>74443</v>
      </c>
    </row>
    <row r="19999" spans="1:25" customFormat="1" ht="15" x14ac:dyDescent="0.25">
      <c r="A19999" t="s">
        <v>24</v>
      </c>
      <c r="B19999" t="s">
        <v>55633</v>
      </c>
      <c r="C19999" t="str">
        <f>"A0075869"</f>
        <v>A0075869</v>
      </c>
      <c r="D19999" t="s">
        <v>60137</v>
      </c>
      <c r="E19999" t="s">
        <v>60138</v>
      </c>
      <c r="F19999" t="s">
        <v>28911</v>
      </c>
      <c r="G19999" t="s">
        <v>99</v>
      </c>
      <c r="H19999">
        <v>12065</v>
      </c>
      <c r="I19999" t="s">
        <v>30</v>
      </c>
      <c r="J19999" t="s">
        <v>171</v>
      </c>
      <c r="K19999" t="s">
        <v>973</v>
      </c>
      <c r="N19999" t="s">
        <v>60139</v>
      </c>
      <c r="O19999" t="s">
        <v>60140</v>
      </c>
      <c r="Q19999">
        <v>0</v>
      </c>
      <c r="R19999">
        <v>130</v>
      </c>
      <c r="S19999">
        <v>0</v>
      </c>
      <c r="T19999" t="s">
        <v>60141</v>
      </c>
    </row>
    <row r="20000" spans="1:25" customFormat="1" ht="15" x14ac:dyDescent="0.25">
      <c r="A20000" t="s">
        <v>24</v>
      </c>
      <c r="B20000" t="s">
        <v>34738</v>
      </c>
      <c r="C20000" t="str">
        <f>"SF01707"</f>
        <v>SF01707</v>
      </c>
      <c r="D20000" t="s">
        <v>60142</v>
      </c>
      <c r="E20000" t="s">
        <v>60143</v>
      </c>
      <c r="F20000" t="s">
        <v>1298</v>
      </c>
      <c r="G20000" t="s">
        <v>58</v>
      </c>
      <c r="H20000">
        <v>29201</v>
      </c>
      <c r="I20000" t="s">
        <v>30</v>
      </c>
      <c r="J20000" t="s">
        <v>171</v>
      </c>
      <c r="K20000" t="s">
        <v>973</v>
      </c>
      <c r="N20000" t="s">
        <v>60144</v>
      </c>
      <c r="O20000" t="s">
        <v>60145</v>
      </c>
      <c r="Q20000">
        <v>0</v>
      </c>
      <c r="R20000">
        <v>189</v>
      </c>
      <c r="S20000">
        <v>0</v>
      </c>
      <c r="T20000" t="s">
        <v>60146</v>
      </c>
    </row>
    <row r="20001" spans="1:25" customFormat="1" ht="15" x14ac:dyDescent="0.25">
      <c r="A20001" t="s">
        <v>24</v>
      </c>
      <c r="B20001" t="s">
        <v>4341</v>
      </c>
      <c r="C20001" t="str">
        <f>"A0091929"</f>
        <v>A0091929</v>
      </c>
      <c r="D20001" t="s">
        <v>60147</v>
      </c>
      <c r="E20001" t="s">
        <v>60148</v>
      </c>
      <c r="F20001" t="s">
        <v>1833</v>
      </c>
      <c r="G20001" t="s">
        <v>65</v>
      </c>
      <c r="H20001">
        <v>43054</v>
      </c>
      <c r="I20001" t="s">
        <v>30</v>
      </c>
      <c r="J20001" t="s">
        <v>171</v>
      </c>
      <c r="K20001" t="s">
        <v>973</v>
      </c>
      <c r="N20001" t="s">
        <v>60149</v>
      </c>
      <c r="O20001" t="s">
        <v>60150</v>
      </c>
      <c r="Q20001">
        <v>0</v>
      </c>
      <c r="R20001">
        <v>122</v>
      </c>
      <c r="S20001">
        <v>0</v>
      </c>
      <c r="T20001" t="s">
        <v>60151</v>
      </c>
    </row>
    <row r="20002" spans="1:25" customFormat="1" ht="15" x14ac:dyDescent="0.25">
      <c r="A20002" t="s">
        <v>24</v>
      </c>
      <c r="B20002" t="s">
        <v>59252</v>
      </c>
      <c r="C20002" t="str">
        <f>"A0052411"</f>
        <v>A0052411</v>
      </c>
      <c r="D20002" t="s">
        <v>74457</v>
      </c>
      <c r="E20002" t="s">
        <v>74458</v>
      </c>
      <c r="F20002" t="s">
        <v>68391</v>
      </c>
      <c r="G20002" t="s">
        <v>338</v>
      </c>
      <c r="H20002">
        <v>7753</v>
      </c>
      <c r="I20002" t="s">
        <v>30</v>
      </c>
      <c r="J20002" t="s">
        <v>178</v>
      </c>
      <c r="K20002" t="s">
        <v>179</v>
      </c>
      <c r="N20002" t="s">
        <v>74459</v>
      </c>
      <c r="O20002" t="s">
        <v>74460</v>
      </c>
      <c r="P20002" t="s">
        <v>992</v>
      </c>
      <c r="Q20002">
        <v>1</v>
      </c>
      <c r="R20002">
        <v>0</v>
      </c>
      <c r="S20002">
        <v>0</v>
      </c>
      <c r="T20002" t="s">
        <v>74461</v>
      </c>
    </row>
    <row r="20003" spans="1:25" customFormat="1" ht="15" x14ac:dyDescent="0.25">
      <c r="A20003" t="s">
        <v>24</v>
      </c>
      <c r="B20003" t="s">
        <v>2360</v>
      </c>
      <c r="C20003" t="str">
        <f>"A0153642"</f>
        <v>A0153642</v>
      </c>
      <c r="D20003" t="s">
        <v>74462</v>
      </c>
      <c r="E20003" t="s">
        <v>74463</v>
      </c>
      <c r="F20003" t="s">
        <v>60784</v>
      </c>
      <c r="G20003" t="s">
        <v>81</v>
      </c>
      <c r="H20003">
        <v>33478</v>
      </c>
      <c r="I20003" t="s">
        <v>30</v>
      </c>
      <c r="J20003" t="s">
        <v>178</v>
      </c>
      <c r="K20003" t="s">
        <v>56092</v>
      </c>
      <c r="N20003" t="s">
        <v>74464</v>
      </c>
      <c r="O20003" t="s">
        <v>74465</v>
      </c>
      <c r="Q20003">
        <v>0</v>
      </c>
      <c r="R20003">
        <v>0</v>
      </c>
      <c r="S20003">
        <v>0</v>
      </c>
      <c r="T20003" t="s">
        <v>74466</v>
      </c>
    </row>
    <row r="20004" spans="1:25" customFormat="1" ht="15" x14ac:dyDescent="0.25">
      <c r="A20004" t="s">
        <v>24</v>
      </c>
      <c r="B20004" t="s">
        <v>257</v>
      </c>
      <c r="C20004" t="str">
        <f>"A0093182"</f>
        <v>A0093182</v>
      </c>
      <c r="D20004" t="s">
        <v>60152</v>
      </c>
      <c r="E20004" t="s">
        <v>60153</v>
      </c>
      <c r="F20004" t="s">
        <v>1525</v>
      </c>
      <c r="G20004" t="s">
        <v>1369</v>
      </c>
      <c r="H20004">
        <v>39701</v>
      </c>
      <c r="I20004" t="s">
        <v>30</v>
      </c>
      <c r="J20004" t="s">
        <v>171</v>
      </c>
      <c r="K20004" t="s">
        <v>973</v>
      </c>
      <c r="N20004" t="s">
        <v>60154</v>
      </c>
      <c r="Q20004">
        <v>0</v>
      </c>
      <c r="R20004">
        <v>110</v>
      </c>
      <c r="S20004">
        <v>0</v>
      </c>
      <c r="T20004" t="s">
        <v>60155</v>
      </c>
    </row>
    <row r="20005" spans="1:25" customFormat="1" ht="15" hidden="1" x14ac:dyDescent="0.25">
      <c r="A20005" t="s">
        <v>24</v>
      </c>
      <c r="B20005" t="s">
        <v>675</v>
      </c>
      <c r="C20005" t="str">
        <f>"39063"</f>
        <v>39063</v>
      </c>
      <c r="D20005" t="s">
        <v>74472</v>
      </c>
      <c r="E20005" t="s">
        <v>74473</v>
      </c>
      <c r="F20005" t="s">
        <v>5423</v>
      </c>
      <c r="G20005" t="s">
        <v>5424</v>
      </c>
      <c r="H20005">
        <v>77500</v>
      </c>
      <c r="I20005" t="s">
        <v>2408</v>
      </c>
      <c r="J20005" t="s">
        <v>162</v>
      </c>
      <c r="K20005" t="s">
        <v>10770</v>
      </c>
      <c r="N20005" t="s">
        <v>74474</v>
      </c>
      <c r="O20005" t="s">
        <v>74475</v>
      </c>
      <c r="Q20005">
        <v>0</v>
      </c>
      <c r="R20005">
        <v>449</v>
      </c>
      <c r="S20005">
        <v>0</v>
      </c>
      <c r="T20005" t="s">
        <v>74476</v>
      </c>
    </row>
    <row r="20006" spans="1:25" customFormat="1" ht="15" x14ac:dyDescent="0.25">
      <c r="A20006" t="s">
        <v>24</v>
      </c>
      <c r="B20006" t="s">
        <v>2955</v>
      </c>
      <c r="C20006" t="str">
        <f>"651XY"</f>
        <v>651XY</v>
      </c>
      <c r="D20006" t="s">
        <v>60156</v>
      </c>
      <c r="E20006" t="s">
        <v>60157</v>
      </c>
      <c r="F20006" t="s">
        <v>1525</v>
      </c>
      <c r="G20006" t="s">
        <v>65</v>
      </c>
      <c r="H20006">
        <v>43215</v>
      </c>
      <c r="I20006" t="s">
        <v>30</v>
      </c>
      <c r="J20006" t="s">
        <v>171</v>
      </c>
      <c r="K20006" t="s">
        <v>973</v>
      </c>
      <c r="N20006" t="s">
        <v>60158</v>
      </c>
      <c r="O20006" t="s">
        <v>60159</v>
      </c>
      <c r="Q20006">
        <v>0</v>
      </c>
      <c r="R20006">
        <v>149</v>
      </c>
      <c r="S20006">
        <v>0</v>
      </c>
      <c r="T20006" t="s">
        <v>60160</v>
      </c>
    </row>
    <row r="20007" spans="1:25" customFormat="1" ht="15" x14ac:dyDescent="0.25">
      <c r="A20007" t="s">
        <v>24</v>
      </c>
      <c r="B20007" t="s">
        <v>34691</v>
      </c>
      <c r="C20007" t="str">
        <f>"A0093435"</f>
        <v>A0093435</v>
      </c>
      <c r="D20007" t="s">
        <v>60161</v>
      </c>
      <c r="E20007" t="s">
        <v>60162</v>
      </c>
      <c r="F20007" t="s">
        <v>60163</v>
      </c>
      <c r="G20007" t="s">
        <v>1706</v>
      </c>
      <c r="H20007">
        <v>36867</v>
      </c>
      <c r="I20007" t="s">
        <v>30</v>
      </c>
      <c r="J20007" t="s">
        <v>171</v>
      </c>
      <c r="K20007" t="s">
        <v>973</v>
      </c>
      <c r="Q20007">
        <v>0</v>
      </c>
      <c r="R20007">
        <v>99</v>
      </c>
      <c r="S20007">
        <v>0</v>
      </c>
      <c r="T20007" t="s">
        <v>60164</v>
      </c>
    </row>
    <row r="20008" spans="1:25" customFormat="1" ht="15" x14ac:dyDescent="0.25">
      <c r="A20008" t="s">
        <v>24</v>
      </c>
      <c r="B20008" t="s">
        <v>2221</v>
      </c>
      <c r="C20008" t="str">
        <f>"651I2"</f>
        <v>651I2</v>
      </c>
      <c r="D20008" t="s">
        <v>60165</v>
      </c>
      <c r="E20008" t="s">
        <v>60166</v>
      </c>
      <c r="F20008" t="s">
        <v>1525</v>
      </c>
      <c r="G20008" t="s">
        <v>381</v>
      </c>
      <c r="H20008">
        <v>47201</v>
      </c>
      <c r="I20008" t="s">
        <v>30</v>
      </c>
      <c r="J20008" t="s">
        <v>171</v>
      </c>
      <c r="K20008" t="s">
        <v>973</v>
      </c>
      <c r="N20008" t="s">
        <v>60167</v>
      </c>
      <c r="O20008" t="s">
        <v>60168</v>
      </c>
      <c r="Q20008">
        <v>0</v>
      </c>
      <c r="R20008">
        <v>90</v>
      </c>
      <c r="S20008">
        <v>0</v>
      </c>
      <c r="T20008" t="s">
        <v>60169</v>
      </c>
    </row>
    <row r="20009" spans="1:25" customFormat="1" ht="15" x14ac:dyDescent="0.25">
      <c r="A20009" t="s">
        <v>24</v>
      </c>
      <c r="B20009" t="s">
        <v>1205</v>
      </c>
      <c r="C20009" t="str">
        <f>"A0065307"</f>
        <v>A0065307</v>
      </c>
      <c r="D20009" t="s">
        <v>60170</v>
      </c>
      <c r="E20009" t="s">
        <v>60171</v>
      </c>
      <c r="F20009" t="s">
        <v>1525</v>
      </c>
      <c r="G20009" t="s">
        <v>65</v>
      </c>
      <c r="H20009">
        <v>43219</v>
      </c>
      <c r="I20009" t="s">
        <v>30</v>
      </c>
      <c r="J20009" t="s">
        <v>171</v>
      </c>
      <c r="K20009" t="s">
        <v>973</v>
      </c>
      <c r="N20009" t="s">
        <v>60172</v>
      </c>
      <c r="O20009" t="s">
        <v>60173</v>
      </c>
      <c r="Q20009">
        <v>0</v>
      </c>
      <c r="R20009">
        <v>126</v>
      </c>
      <c r="S20009">
        <v>0</v>
      </c>
      <c r="T20009" t="s">
        <v>60174</v>
      </c>
    </row>
    <row r="20010" spans="1:25" customFormat="1" ht="15" hidden="1" x14ac:dyDescent="0.25">
      <c r="A20010" t="s">
        <v>24</v>
      </c>
      <c r="B20010" t="s">
        <v>675</v>
      </c>
      <c r="C20010" t="str">
        <f>"A0145907"</f>
        <v>A0145907</v>
      </c>
      <c r="D20010" t="s">
        <v>74495</v>
      </c>
      <c r="E20010" t="s">
        <v>74496</v>
      </c>
      <c r="F20010" t="s">
        <v>59059</v>
      </c>
      <c r="G20010" t="s">
        <v>1457</v>
      </c>
      <c r="H20010" t="s">
        <v>74497</v>
      </c>
      <c r="I20010" t="s">
        <v>1459</v>
      </c>
      <c r="J20010" t="s">
        <v>162</v>
      </c>
      <c r="K20010" t="s">
        <v>10770</v>
      </c>
      <c r="N20010" t="s">
        <v>74498</v>
      </c>
      <c r="O20010" t="s">
        <v>74499</v>
      </c>
      <c r="Q20010">
        <v>0</v>
      </c>
      <c r="R20010">
        <v>346</v>
      </c>
      <c r="S20010">
        <v>0</v>
      </c>
      <c r="T20010" t="s">
        <v>74500</v>
      </c>
    </row>
    <row r="20011" spans="1:25" x14ac:dyDescent="0.25">
      <c r="A20011" s="5" t="s">
        <v>24</v>
      </c>
      <c r="B20011" s="5" t="s">
        <v>34738</v>
      </c>
      <c r="C20011" s="5" t="str">
        <f>"A0087676"</f>
        <v>A0087676</v>
      </c>
      <c r="D20011" s="5" t="s">
        <v>60175</v>
      </c>
      <c r="E20011" s="5" t="s">
        <v>60176</v>
      </c>
      <c r="F20011" s="5" t="s">
        <v>56723</v>
      </c>
      <c r="G20011" s="5" t="s">
        <v>214</v>
      </c>
      <c r="H20011" s="5">
        <v>28027</v>
      </c>
      <c r="I20011" s="5" t="s">
        <v>30</v>
      </c>
      <c r="J20011" s="5" t="s">
        <v>171</v>
      </c>
      <c r="K20011" s="5" t="s">
        <v>973</v>
      </c>
      <c r="L20011" s="5"/>
      <c r="M20011" s="5"/>
      <c r="N20011" s="5" t="s">
        <v>60177</v>
      </c>
      <c r="O20011" s="5"/>
      <c r="P20011" s="5"/>
      <c r="Q20011" s="5">
        <v>0</v>
      </c>
      <c r="R20011" s="5">
        <v>123</v>
      </c>
      <c r="S20011" s="5">
        <v>0</v>
      </c>
      <c r="T20011" s="5" t="s">
        <v>60178</v>
      </c>
      <c r="U20011" s="5"/>
      <c r="V20011" s="5"/>
      <c r="W20011" s="5"/>
      <c r="X20011" s="5"/>
      <c r="Y20011" s="5"/>
    </row>
    <row r="20012" spans="1:25" customFormat="1" ht="15" x14ac:dyDescent="0.25">
      <c r="A20012" t="s">
        <v>24</v>
      </c>
      <c r="B20012" t="s">
        <v>33920</v>
      </c>
      <c r="C20012" t="str">
        <f>"A0092600"</f>
        <v>A0092600</v>
      </c>
      <c r="D20012" t="s">
        <v>60179</v>
      </c>
      <c r="E20012" t="s">
        <v>60180</v>
      </c>
      <c r="F20012" t="s">
        <v>60181</v>
      </c>
      <c r="G20012" t="s">
        <v>846</v>
      </c>
      <c r="H20012">
        <v>30013</v>
      </c>
      <c r="I20012" t="s">
        <v>30</v>
      </c>
      <c r="J20012" t="s">
        <v>171</v>
      </c>
      <c r="K20012" t="s">
        <v>973</v>
      </c>
      <c r="N20012" t="s">
        <v>60182</v>
      </c>
      <c r="O20012" t="s">
        <v>60183</v>
      </c>
      <c r="Q20012">
        <v>0</v>
      </c>
      <c r="R20012">
        <v>78</v>
      </c>
      <c r="S20012">
        <v>0</v>
      </c>
      <c r="T20012" t="s">
        <v>60184</v>
      </c>
    </row>
    <row r="20013" spans="1:25" customFormat="1" ht="15" x14ac:dyDescent="0.25">
      <c r="A20013" t="s">
        <v>24</v>
      </c>
      <c r="B20013" t="s">
        <v>1561</v>
      </c>
      <c r="C20013" t="str">
        <f>"A0075142"</f>
        <v>A0075142</v>
      </c>
      <c r="D20013" t="s">
        <v>60185</v>
      </c>
      <c r="E20013" t="s">
        <v>60186</v>
      </c>
      <c r="F20013" t="s">
        <v>60187</v>
      </c>
      <c r="G20013" t="s">
        <v>52</v>
      </c>
      <c r="H20013">
        <v>78411</v>
      </c>
      <c r="I20013" t="s">
        <v>30</v>
      </c>
      <c r="J20013" t="s">
        <v>171</v>
      </c>
      <c r="K20013" t="s">
        <v>973</v>
      </c>
      <c r="N20013" t="s">
        <v>60188</v>
      </c>
      <c r="Q20013">
        <v>0</v>
      </c>
      <c r="R20013">
        <v>105</v>
      </c>
      <c r="S20013">
        <v>0</v>
      </c>
      <c r="T20013" t="s">
        <v>60189</v>
      </c>
    </row>
    <row r="20014" spans="1:25" customFormat="1" ht="15" x14ac:dyDescent="0.25">
      <c r="A20014" t="s">
        <v>24</v>
      </c>
      <c r="B20014" t="s">
        <v>10097</v>
      </c>
      <c r="C20014" t="str">
        <f>"88IN033"</f>
        <v>88IN033</v>
      </c>
      <c r="D20014" t="s">
        <v>60190</v>
      </c>
      <c r="E20014" t="s">
        <v>60191</v>
      </c>
      <c r="F20014" t="s">
        <v>472</v>
      </c>
      <c r="G20014" t="s">
        <v>214</v>
      </c>
      <c r="H20014">
        <v>27612</v>
      </c>
      <c r="I20014" t="s">
        <v>30</v>
      </c>
      <c r="J20014" t="s">
        <v>171</v>
      </c>
      <c r="K20014" t="s">
        <v>973</v>
      </c>
      <c r="N20014" t="s">
        <v>60192</v>
      </c>
      <c r="Q20014">
        <v>0</v>
      </c>
      <c r="R20014">
        <v>84</v>
      </c>
      <c r="S20014">
        <v>0</v>
      </c>
      <c r="T20014" t="s">
        <v>60193</v>
      </c>
    </row>
    <row r="20015" spans="1:25" customFormat="1" ht="15" x14ac:dyDescent="0.25">
      <c r="A20015" t="s">
        <v>24</v>
      </c>
      <c r="B20015" t="s">
        <v>675</v>
      </c>
      <c r="C20015" t="str">
        <f>"651XC"</f>
        <v>651XC</v>
      </c>
      <c r="D20015" t="s">
        <v>60194</v>
      </c>
      <c r="E20015" t="s">
        <v>60195</v>
      </c>
      <c r="F20015" t="s">
        <v>1131</v>
      </c>
      <c r="G20015" t="s">
        <v>29</v>
      </c>
      <c r="H20015">
        <v>22202</v>
      </c>
      <c r="I20015" t="s">
        <v>30</v>
      </c>
      <c r="J20015" t="s">
        <v>171</v>
      </c>
      <c r="K20015" t="s">
        <v>973</v>
      </c>
      <c r="N20015" t="s">
        <v>60196</v>
      </c>
      <c r="O20015" t="s">
        <v>60197</v>
      </c>
      <c r="Q20015">
        <v>0</v>
      </c>
      <c r="R20015">
        <v>272</v>
      </c>
      <c r="S20015">
        <v>0</v>
      </c>
      <c r="T20015" t="s">
        <v>60198</v>
      </c>
    </row>
    <row r="20016" spans="1:25" customFormat="1" ht="15" hidden="1" x14ac:dyDescent="0.25">
      <c r="A20016" t="s">
        <v>24</v>
      </c>
      <c r="B20016" t="s">
        <v>675</v>
      </c>
      <c r="C20016" t="str">
        <f>"39043"</f>
        <v>39043</v>
      </c>
      <c r="D20016" t="s">
        <v>74523</v>
      </c>
      <c r="E20016" t="s">
        <v>74524</v>
      </c>
      <c r="F20016" t="s">
        <v>5874</v>
      </c>
      <c r="G20016" t="s">
        <v>3843</v>
      </c>
      <c r="H20016">
        <v>11560</v>
      </c>
      <c r="I20016" t="s">
        <v>2408</v>
      </c>
      <c r="J20016" t="s">
        <v>162</v>
      </c>
      <c r="K20016" t="s">
        <v>10770</v>
      </c>
      <c r="N20016" t="s">
        <v>74525</v>
      </c>
      <c r="Q20016">
        <v>0</v>
      </c>
      <c r="R20016">
        <v>311</v>
      </c>
      <c r="S20016">
        <v>0</v>
      </c>
      <c r="T20016" t="s">
        <v>74526</v>
      </c>
    </row>
    <row r="20017" spans="1:20" customFormat="1" ht="15" x14ac:dyDescent="0.25">
      <c r="A20017" t="s">
        <v>24</v>
      </c>
      <c r="B20017" t="s">
        <v>675</v>
      </c>
      <c r="C20017" t="str">
        <f>"311K6"</f>
        <v>311K6</v>
      </c>
      <c r="D20017" t="s">
        <v>60199</v>
      </c>
      <c r="E20017" t="s">
        <v>60200</v>
      </c>
      <c r="F20017" t="s">
        <v>55758</v>
      </c>
      <c r="G20017" t="s">
        <v>110</v>
      </c>
      <c r="H20017">
        <v>95014</v>
      </c>
      <c r="I20017" t="s">
        <v>30</v>
      </c>
      <c r="J20017" t="s">
        <v>171</v>
      </c>
      <c r="K20017" t="s">
        <v>973</v>
      </c>
      <c r="N20017" t="s">
        <v>60201</v>
      </c>
      <c r="O20017" t="s">
        <v>60202</v>
      </c>
      <c r="Q20017">
        <v>0</v>
      </c>
      <c r="R20017">
        <v>149</v>
      </c>
      <c r="S20017">
        <v>0</v>
      </c>
      <c r="T20017" t="s">
        <v>60203</v>
      </c>
    </row>
    <row r="20018" spans="1:20" customFormat="1" ht="15" x14ac:dyDescent="0.25">
      <c r="A20018" t="s">
        <v>24</v>
      </c>
      <c r="B20018" t="s">
        <v>13679</v>
      </c>
      <c r="C20018" t="str">
        <f>"651SZ"</f>
        <v>651SZ</v>
      </c>
      <c r="D20018" t="s">
        <v>60204</v>
      </c>
      <c r="E20018" t="s">
        <v>60205</v>
      </c>
      <c r="F20018" t="s">
        <v>54934</v>
      </c>
      <c r="G20018" t="s">
        <v>110</v>
      </c>
      <c r="H20018">
        <v>90630</v>
      </c>
      <c r="I20018" t="s">
        <v>30</v>
      </c>
      <c r="J20018" t="s">
        <v>171</v>
      </c>
      <c r="K20018" t="s">
        <v>973</v>
      </c>
      <c r="N20018" t="s">
        <v>60206</v>
      </c>
      <c r="O20018" t="s">
        <v>60207</v>
      </c>
      <c r="Q20018">
        <v>0</v>
      </c>
      <c r="R20018">
        <v>180</v>
      </c>
      <c r="S20018">
        <v>0</v>
      </c>
      <c r="T20018" t="s">
        <v>60208</v>
      </c>
    </row>
    <row r="20019" spans="1:20" customFormat="1" ht="15" x14ac:dyDescent="0.25">
      <c r="A20019" t="s">
        <v>24</v>
      </c>
      <c r="B20019" t="s">
        <v>2812</v>
      </c>
      <c r="C20019" t="str">
        <f>"311M3"</f>
        <v>311M3</v>
      </c>
      <c r="D20019" t="s">
        <v>60209</v>
      </c>
      <c r="E20019" t="s">
        <v>60210</v>
      </c>
      <c r="F20019" t="s">
        <v>14619</v>
      </c>
      <c r="G20019" t="s">
        <v>52</v>
      </c>
      <c r="H20019">
        <v>75001</v>
      </c>
      <c r="I20019" t="s">
        <v>30</v>
      </c>
      <c r="J20019" t="s">
        <v>171</v>
      </c>
      <c r="K20019" t="s">
        <v>973</v>
      </c>
      <c r="N20019" t="s">
        <v>60211</v>
      </c>
      <c r="Q20019">
        <v>0</v>
      </c>
      <c r="R20019">
        <v>145</v>
      </c>
      <c r="S20019">
        <v>0</v>
      </c>
      <c r="T20019" t="s">
        <v>60212</v>
      </c>
    </row>
    <row r="20020" spans="1:20" customFormat="1" ht="15" x14ac:dyDescent="0.25">
      <c r="A20020" t="s">
        <v>24</v>
      </c>
      <c r="B20020" t="s">
        <v>2528</v>
      </c>
      <c r="C20020" t="str">
        <f>"311NB"</f>
        <v>311NB</v>
      </c>
      <c r="D20020" t="s">
        <v>60213</v>
      </c>
      <c r="E20020" t="s">
        <v>60214</v>
      </c>
      <c r="F20020" t="s">
        <v>14619</v>
      </c>
      <c r="G20020" t="s">
        <v>52</v>
      </c>
      <c r="H20020">
        <v>75001</v>
      </c>
      <c r="I20020" t="s">
        <v>30</v>
      </c>
      <c r="J20020" t="s">
        <v>171</v>
      </c>
      <c r="K20020" t="s">
        <v>973</v>
      </c>
      <c r="Q20020">
        <v>0</v>
      </c>
      <c r="R20020">
        <v>176</v>
      </c>
      <c r="S20020">
        <v>0</v>
      </c>
      <c r="T20020" t="s">
        <v>60215</v>
      </c>
    </row>
    <row r="20021" spans="1:20" customFormat="1" ht="15" hidden="1" x14ac:dyDescent="0.25">
      <c r="A20021" t="s">
        <v>24</v>
      </c>
      <c r="B20021" t="s">
        <v>675</v>
      </c>
      <c r="C20021" t="str">
        <f>"A0091979"</f>
        <v>A0091979</v>
      </c>
      <c r="D20021" t="s">
        <v>74545</v>
      </c>
      <c r="E20021" t="s">
        <v>74546</v>
      </c>
      <c r="F20021" t="s">
        <v>3145</v>
      </c>
      <c r="G20021" t="s">
        <v>8864</v>
      </c>
      <c r="H20021" t="s">
        <v>74547</v>
      </c>
      <c r="I20021" t="s">
        <v>3147</v>
      </c>
      <c r="J20021" t="s">
        <v>162</v>
      </c>
      <c r="K20021" t="s">
        <v>10770</v>
      </c>
      <c r="N20021" t="s">
        <v>74548</v>
      </c>
      <c r="O20021" t="s">
        <v>74549</v>
      </c>
      <c r="Q20021">
        <v>0</v>
      </c>
      <c r="R20021">
        <v>369</v>
      </c>
      <c r="S20021">
        <v>0</v>
      </c>
      <c r="T20021" t="s">
        <v>74550</v>
      </c>
    </row>
    <row r="20022" spans="1:20" customFormat="1" ht="15" hidden="1" x14ac:dyDescent="0.25">
      <c r="A20022" t="s">
        <v>24</v>
      </c>
      <c r="B20022" t="s">
        <v>675</v>
      </c>
      <c r="C20022" t="str">
        <f>"A0098770"</f>
        <v>A0098770</v>
      </c>
      <c r="D20022" t="s">
        <v>74551</v>
      </c>
      <c r="E20022" t="s">
        <v>74552</v>
      </c>
      <c r="F20022" t="s">
        <v>2269</v>
      </c>
      <c r="G20022" t="s">
        <v>2270</v>
      </c>
      <c r="H20022" t="s">
        <v>74553</v>
      </c>
      <c r="I20022" t="s">
        <v>1459</v>
      </c>
      <c r="J20022" t="s">
        <v>162</v>
      </c>
      <c r="K20022" t="s">
        <v>10770</v>
      </c>
      <c r="N20022" t="s">
        <v>74554</v>
      </c>
      <c r="O20022" t="s">
        <v>74555</v>
      </c>
      <c r="Q20022">
        <v>0</v>
      </c>
      <c r="R20022">
        <v>569</v>
      </c>
      <c r="S20022">
        <v>0</v>
      </c>
      <c r="T20022" t="s">
        <v>74556</v>
      </c>
    </row>
    <row r="20023" spans="1:20" customFormat="1" ht="15" x14ac:dyDescent="0.25">
      <c r="A20023" t="s">
        <v>24</v>
      </c>
      <c r="B20023" t="s">
        <v>56277</v>
      </c>
      <c r="C20023" t="str">
        <f>"A0090054"</f>
        <v>A0090054</v>
      </c>
      <c r="D20023" t="s">
        <v>60216</v>
      </c>
      <c r="E20023" t="s">
        <v>60217</v>
      </c>
      <c r="F20023" t="s">
        <v>10447</v>
      </c>
      <c r="G20023" t="s">
        <v>52</v>
      </c>
      <c r="H20023">
        <v>75002</v>
      </c>
      <c r="I20023" t="s">
        <v>30</v>
      </c>
      <c r="J20023" t="s">
        <v>171</v>
      </c>
      <c r="K20023" t="s">
        <v>973</v>
      </c>
      <c r="N20023" t="s">
        <v>60218</v>
      </c>
      <c r="Q20023">
        <v>0</v>
      </c>
      <c r="R20023">
        <v>228</v>
      </c>
      <c r="S20023">
        <v>0</v>
      </c>
      <c r="T20023" t="s">
        <v>60219</v>
      </c>
    </row>
    <row r="20024" spans="1:20" customFormat="1" ht="15" x14ac:dyDescent="0.25">
      <c r="A20024" t="s">
        <v>24</v>
      </c>
      <c r="B20024" t="s">
        <v>60220</v>
      </c>
      <c r="C20024" t="str">
        <f>"A0095926"</f>
        <v>A0095926</v>
      </c>
      <c r="D20024" t="s">
        <v>60221</v>
      </c>
      <c r="E20024" t="s">
        <v>60222</v>
      </c>
      <c r="F20024" t="s">
        <v>60223</v>
      </c>
      <c r="G20024" t="s">
        <v>52</v>
      </c>
      <c r="H20024">
        <v>75007</v>
      </c>
      <c r="I20024" t="s">
        <v>30</v>
      </c>
      <c r="J20024" t="s">
        <v>171</v>
      </c>
      <c r="K20024" t="s">
        <v>973</v>
      </c>
      <c r="N20024" t="s">
        <v>60224</v>
      </c>
      <c r="Q20024">
        <v>0</v>
      </c>
      <c r="R20024">
        <v>145</v>
      </c>
      <c r="S20024">
        <v>0</v>
      </c>
      <c r="T20024" t="s">
        <v>60225</v>
      </c>
    </row>
    <row r="20025" spans="1:20" customFormat="1" ht="15" hidden="1" x14ac:dyDescent="0.25">
      <c r="A20025" t="s">
        <v>24</v>
      </c>
      <c r="B20025" t="s">
        <v>675</v>
      </c>
      <c r="C20025" t="str">
        <f>"A0093982"</f>
        <v>A0093982</v>
      </c>
      <c r="D20025" t="s">
        <v>74568</v>
      </c>
      <c r="E20025" t="s">
        <v>74569</v>
      </c>
      <c r="F20025" t="s">
        <v>74570</v>
      </c>
      <c r="G20025" t="s">
        <v>1176</v>
      </c>
      <c r="H20025">
        <v>10501</v>
      </c>
      <c r="I20025" t="s">
        <v>1177</v>
      </c>
      <c r="J20025" t="s">
        <v>162</v>
      </c>
      <c r="K20025" t="s">
        <v>10770</v>
      </c>
      <c r="N20025" t="s">
        <v>74571</v>
      </c>
      <c r="Q20025">
        <v>0</v>
      </c>
      <c r="R20025">
        <v>150</v>
      </c>
      <c r="S20025">
        <v>0</v>
      </c>
      <c r="T20025" t="s">
        <v>74572</v>
      </c>
    </row>
    <row r="20026" spans="1:20" customFormat="1" ht="15" x14ac:dyDescent="0.25">
      <c r="A20026" t="s">
        <v>24</v>
      </c>
      <c r="B20026" t="s">
        <v>2528</v>
      </c>
      <c r="C20026" t="str">
        <f>"A0100244"</f>
        <v>A0100244</v>
      </c>
      <c r="D20026" t="s">
        <v>60226</v>
      </c>
      <c r="E20026" t="s">
        <v>60227</v>
      </c>
      <c r="F20026" t="s">
        <v>2094</v>
      </c>
      <c r="G20026" t="s">
        <v>52</v>
      </c>
      <c r="H20026">
        <v>75202</v>
      </c>
      <c r="I20026" t="s">
        <v>30</v>
      </c>
      <c r="J20026" t="s">
        <v>171</v>
      </c>
      <c r="K20026" t="s">
        <v>973</v>
      </c>
      <c r="N20026" t="s">
        <v>3267</v>
      </c>
      <c r="Q20026">
        <v>0</v>
      </c>
      <c r="R20026">
        <v>167</v>
      </c>
      <c r="S20026">
        <v>0</v>
      </c>
      <c r="T20026" t="s">
        <v>60228</v>
      </c>
    </row>
    <row r="20027" spans="1:20" customFormat="1" ht="15" x14ac:dyDescent="0.25">
      <c r="A20027" t="s">
        <v>24</v>
      </c>
      <c r="B20027" t="s">
        <v>675</v>
      </c>
      <c r="C20027" t="str">
        <f>"311N4"</f>
        <v>311N4</v>
      </c>
      <c r="D20027" t="s">
        <v>60229</v>
      </c>
      <c r="E20027" t="s">
        <v>60230</v>
      </c>
      <c r="F20027" t="s">
        <v>2128</v>
      </c>
      <c r="G20027" t="s">
        <v>52</v>
      </c>
      <c r="H20027">
        <v>75093</v>
      </c>
      <c r="I20027" t="s">
        <v>30</v>
      </c>
      <c r="J20027" t="s">
        <v>171</v>
      </c>
      <c r="K20027" t="s">
        <v>973</v>
      </c>
      <c r="N20027" t="s">
        <v>60231</v>
      </c>
      <c r="Q20027">
        <v>0</v>
      </c>
      <c r="R20027">
        <v>149</v>
      </c>
      <c r="S20027">
        <v>0</v>
      </c>
      <c r="T20027" t="s">
        <v>60232</v>
      </c>
    </row>
    <row r="20028" spans="1:20" customFormat="1" ht="15" x14ac:dyDescent="0.25">
      <c r="A20028" t="s">
        <v>24</v>
      </c>
      <c r="B20028" t="s">
        <v>675</v>
      </c>
      <c r="C20028" t="str">
        <f>"311ND"</f>
        <v>311ND</v>
      </c>
      <c r="D20028" t="s">
        <v>60233</v>
      </c>
      <c r="E20028" t="s">
        <v>60234</v>
      </c>
      <c r="F20028" t="s">
        <v>2128</v>
      </c>
      <c r="G20028" t="s">
        <v>52</v>
      </c>
      <c r="H20028">
        <v>75024</v>
      </c>
      <c r="I20028" t="s">
        <v>30</v>
      </c>
      <c r="J20028" t="s">
        <v>171</v>
      </c>
      <c r="K20028" t="s">
        <v>973</v>
      </c>
      <c r="N20028" t="s">
        <v>60235</v>
      </c>
      <c r="Q20028">
        <v>0</v>
      </c>
      <c r="R20028">
        <v>153</v>
      </c>
      <c r="S20028">
        <v>0</v>
      </c>
      <c r="T20028" t="s">
        <v>60236</v>
      </c>
    </row>
    <row r="20029" spans="1:20" customFormat="1" ht="15" hidden="1" x14ac:dyDescent="0.25">
      <c r="A20029" t="s">
        <v>24</v>
      </c>
      <c r="B20029" t="s">
        <v>74586</v>
      </c>
      <c r="C20029" t="str">
        <f>"A0085384"</f>
        <v>A0085384</v>
      </c>
      <c r="D20029" t="s">
        <v>74587</v>
      </c>
      <c r="E20029" t="s">
        <v>74588</v>
      </c>
      <c r="F20029" t="s">
        <v>74589</v>
      </c>
      <c r="G20029" t="s">
        <v>2206</v>
      </c>
      <c r="H20029" t="s">
        <v>74590</v>
      </c>
      <c r="I20029" t="s">
        <v>1459</v>
      </c>
      <c r="J20029" t="s">
        <v>162</v>
      </c>
      <c r="K20029" t="s">
        <v>10770</v>
      </c>
      <c r="N20029" t="s">
        <v>74591</v>
      </c>
      <c r="P20029" t="s">
        <v>3998</v>
      </c>
      <c r="Q20029">
        <v>0</v>
      </c>
      <c r="R20029">
        <v>221</v>
      </c>
      <c r="S20029">
        <v>0</v>
      </c>
      <c r="T20029" t="s">
        <v>74592</v>
      </c>
    </row>
    <row r="20030" spans="1:20" customFormat="1" ht="15" x14ac:dyDescent="0.25">
      <c r="A20030" t="s">
        <v>24</v>
      </c>
      <c r="B20030" t="s">
        <v>1561</v>
      </c>
      <c r="C20030" t="str">
        <f>"A0097829"</f>
        <v>A0097829</v>
      </c>
      <c r="D20030" t="s">
        <v>60237</v>
      </c>
      <c r="E20030" t="s">
        <v>60238</v>
      </c>
      <c r="F20030" t="s">
        <v>2128</v>
      </c>
      <c r="G20030" t="s">
        <v>52</v>
      </c>
      <c r="H20030">
        <v>75074</v>
      </c>
      <c r="I20030" t="s">
        <v>30</v>
      </c>
      <c r="J20030" t="s">
        <v>171</v>
      </c>
      <c r="K20030" t="s">
        <v>973</v>
      </c>
      <c r="N20030" t="s">
        <v>60239</v>
      </c>
      <c r="O20030" t="s">
        <v>60240</v>
      </c>
      <c r="Q20030">
        <v>0</v>
      </c>
      <c r="R20030">
        <v>132</v>
      </c>
      <c r="S20030">
        <v>0</v>
      </c>
      <c r="T20030" t="s">
        <v>60241</v>
      </c>
    </row>
    <row r="20031" spans="1:20" hidden="1" x14ac:dyDescent="0.25">
      <c r="A20031" s="3" t="s">
        <v>24</v>
      </c>
      <c r="B20031" s="3" t="s">
        <v>1453</v>
      </c>
      <c r="C20031" s="3" t="str">
        <f>"15231"</f>
        <v>15231</v>
      </c>
      <c r="D20031" s="3" t="s">
        <v>74597</v>
      </c>
      <c r="E20031" s="3" t="s">
        <v>74598</v>
      </c>
      <c r="F20031" s="3" t="s">
        <v>74599</v>
      </c>
      <c r="G20031" s="3" t="s">
        <v>1457</v>
      </c>
      <c r="H20031" s="3" t="s">
        <v>74600</v>
      </c>
      <c r="I20031" s="3" t="s">
        <v>1459</v>
      </c>
      <c r="J20031" s="3" t="s">
        <v>206</v>
      </c>
      <c r="K20031" s="3" t="s">
        <v>6459</v>
      </c>
      <c r="N20031" s="3" t="s">
        <v>74601</v>
      </c>
      <c r="O20031" s="3" t="s">
        <v>74602</v>
      </c>
      <c r="Q20031" s="3">
        <v>0</v>
      </c>
      <c r="R20031" s="3">
        <v>408</v>
      </c>
      <c r="S20031" s="3">
        <v>0</v>
      </c>
      <c r="T20031" s="3" t="s">
        <v>74603</v>
      </c>
    </row>
    <row r="20032" spans="1:20" customFormat="1" ht="15" x14ac:dyDescent="0.25">
      <c r="A20032" t="s">
        <v>24</v>
      </c>
      <c r="B20032" t="s">
        <v>675</v>
      </c>
      <c r="C20032" t="str">
        <f>"311N2"</f>
        <v>311N2</v>
      </c>
      <c r="D20032" t="s">
        <v>60242</v>
      </c>
      <c r="E20032" t="s">
        <v>60243</v>
      </c>
      <c r="F20032" t="s">
        <v>10779</v>
      </c>
      <c r="G20032" t="s">
        <v>52</v>
      </c>
      <c r="H20032">
        <v>75081</v>
      </c>
      <c r="I20032" t="s">
        <v>30</v>
      </c>
      <c r="J20032" t="s">
        <v>171</v>
      </c>
      <c r="K20032" t="s">
        <v>973</v>
      </c>
      <c r="Q20032">
        <v>0</v>
      </c>
      <c r="R20032">
        <v>149</v>
      </c>
      <c r="S20032">
        <v>0</v>
      </c>
      <c r="T20032" t="s">
        <v>60244</v>
      </c>
    </row>
    <row r="20033" spans="1:25" customFormat="1" ht="15" x14ac:dyDescent="0.25">
      <c r="A20033" t="s">
        <v>24</v>
      </c>
      <c r="B20033" t="s">
        <v>1583</v>
      </c>
      <c r="C20033" t="str">
        <f>"A0100715"</f>
        <v>A0100715</v>
      </c>
      <c r="D20033" t="s">
        <v>74609</v>
      </c>
      <c r="E20033" t="s">
        <v>74610</v>
      </c>
      <c r="F20033" t="s">
        <v>12897</v>
      </c>
      <c r="G20033" t="s">
        <v>4815</v>
      </c>
      <c r="H20033">
        <v>96766</v>
      </c>
      <c r="I20033" t="s">
        <v>30</v>
      </c>
      <c r="J20033" t="s">
        <v>191</v>
      </c>
      <c r="K20033" t="s">
        <v>6809</v>
      </c>
      <c r="N20033" t="s">
        <v>74611</v>
      </c>
      <c r="Q20033">
        <v>0</v>
      </c>
      <c r="R20033">
        <v>0</v>
      </c>
      <c r="S20033">
        <v>0</v>
      </c>
      <c r="T20033" t="s">
        <v>74612</v>
      </c>
    </row>
    <row r="20034" spans="1:25" customFormat="1" ht="15" x14ac:dyDescent="0.25">
      <c r="A20034" t="s">
        <v>24</v>
      </c>
      <c r="B20034" t="s">
        <v>2180</v>
      </c>
      <c r="C20034" t="str">
        <f>"A0099907"</f>
        <v>A0099907</v>
      </c>
      <c r="D20034" t="s">
        <v>74613</v>
      </c>
      <c r="E20034" t="s">
        <v>71063</v>
      </c>
      <c r="F20034" t="s">
        <v>11700</v>
      </c>
      <c r="G20034" t="s">
        <v>880</v>
      </c>
      <c r="H20034">
        <v>38133</v>
      </c>
      <c r="I20034" t="s">
        <v>30</v>
      </c>
      <c r="J20034" t="s">
        <v>1004</v>
      </c>
      <c r="K20034" t="s">
        <v>163</v>
      </c>
      <c r="N20034" t="s">
        <v>67354</v>
      </c>
      <c r="Q20034">
        <v>0</v>
      </c>
      <c r="R20034">
        <v>0</v>
      </c>
      <c r="S20034">
        <v>0</v>
      </c>
      <c r="T20034" t="s">
        <v>71064</v>
      </c>
    </row>
    <row r="20035" spans="1:25" customFormat="1" ht="15" x14ac:dyDescent="0.25">
      <c r="A20035" t="s">
        <v>24</v>
      </c>
      <c r="B20035" t="s">
        <v>186</v>
      </c>
      <c r="C20035" t="str">
        <f>"A0146662"</f>
        <v>A0146662</v>
      </c>
      <c r="D20035" t="s">
        <v>74614</v>
      </c>
      <c r="E20035" t="s">
        <v>74615</v>
      </c>
      <c r="F20035" t="s">
        <v>34169</v>
      </c>
      <c r="G20035" t="s">
        <v>190</v>
      </c>
      <c r="H20035">
        <v>81615</v>
      </c>
      <c r="I20035" t="s">
        <v>30</v>
      </c>
      <c r="J20035" t="s">
        <v>31</v>
      </c>
      <c r="K20035" t="s">
        <v>163</v>
      </c>
      <c r="N20035" t="s">
        <v>55669</v>
      </c>
      <c r="Q20035">
        <v>0</v>
      </c>
      <c r="R20035">
        <v>0</v>
      </c>
      <c r="S20035">
        <v>0</v>
      </c>
      <c r="T20035" t="s">
        <v>55670</v>
      </c>
    </row>
    <row r="20036" spans="1:25" customFormat="1" ht="15" x14ac:dyDescent="0.25">
      <c r="A20036" t="s">
        <v>24</v>
      </c>
      <c r="B20036" t="s">
        <v>2955</v>
      </c>
      <c r="C20036" t="str">
        <f>"6514D"</f>
        <v>6514D</v>
      </c>
      <c r="D20036" t="s">
        <v>60245</v>
      </c>
      <c r="E20036" t="s">
        <v>60246</v>
      </c>
      <c r="F20036" t="s">
        <v>8745</v>
      </c>
      <c r="G20036" t="s">
        <v>846</v>
      </c>
      <c r="H20036">
        <v>30720</v>
      </c>
      <c r="I20036" t="s">
        <v>30</v>
      </c>
      <c r="J20036" t="s">
        <v>171</v>
      </c>
      <c r="K20036" t="s">
        <v>973</v>
      </c>
      <c r="N20036" t="s">
        <v>60247</v>
      </c>
      <c r="Q20036">
        <v>0</v>
      </c>
      <c r="R20036">
        <v>93</v>
      </c>
      <c r="S20036">
        <v>0</v>
      </c>
      <c r="T20036" t="s">
        <v>60248</v>
      </c>
    </row>
    <row r="20037" spans="1:25" x14ac:dyDescent="0.25">
      <c r="A20037" s="5" t="s">
        <v>24</v>
      </c>
      <c r="B20037" s="5" t="s">
        <v>9843</v>
      </c>
      <c r="C20037" s="5" t="str">
        <f>"6516F"</f>
        <v>6516F</v>
      </c>
      <c r="D20037" s="5" t="s">
        <v>60249</v>
      </c>
      <c r="E20037" s="5" t="s">
        <v>60250</v>
      </c>
      <c r="F20037" s="5" t="s">
        <v>5567</v>
      </c>
      <c r="G20037" s="5" t="s">
        <v>1706</v>
      </c>
      <c r="H20037" s="5">
        <v>35603</v>
      </c>
      <c r="I20037" s="5" t="s">
        <v>30</v>
      </c>
      <c r="J20037" s="5" t="s">
        <v>171</v>
      </c>
      <c r="K20037" s="5" t="s">
        <v>973</v>
      </c>
      <c r="L20037" s="5"/>
      <c r="M20037" s="5"/>
      <c r="N20037" s="5" t="s">
        <v>60251</v>
      </c>
      <c r="O20037" s="5" t="s">
        <v>60252</v>
      </c>
      <c r="P20037" s="5"/>
      <c r="Q20037" s="5">
        <v>0</v>
      </c>
      <c r="R20037" s="5">
        <v>113</v>
      </c>
      <c r="S20037" s="5">
        <v>0</v>
      </c>
      <c r="T20037" s="5" t="s">
        <v>60253</v>
      </c>
      <c r="U20037" s="5"/>
      <c r="V20037" s="5"/>
      <c r="W20037" s="5"/>
      <c r="X20037" s="5"/>
      <c r="Y20037" s="5"/>
    </row>
    <row r="20038" spans="1:25" x14ac:dyDescent="0.25">
      <c r="A20038" s="5" t="s">
        <v>24</v>
      </c>
      <c r="B20038" s="5" t="s">
        <v>54970</v>
      </c>
      <c r="C20038" s="5" t="str">
        <f>"A0153195"</f>
        <v>A0153195</v>
      </c>
      <c r="D20038" s="5" t="s">
        <v>60254</v>
      </c>
      <c r="E20038" s="5" t="s">
        <v>60255</v>
      </c>
      <c r="F20038" s="5" t="s">
        <v>60256</v>
      </c>
      <c r="G20038" s="5" t="s">
        <v>81</v>
      </c>
      <c r="H20038" s="5">
        <v>33483</v>
      </c>
      <c r="I20038" s="5" t="s">
        <v>30</v>
      </c>
      <c r="J20038" s="5" t="s">
        <v>171</v>
      </c>
      <c r="K20038" s="5" t="s">
        <v>973</v>
      </c>
      <c r="L20038" s="5"/>
      <c r="M20038" s="5"/>
      <c r="N20038" s="5" t="s">
        <v>60257</v>
      </c>
      <c r="O20038" s="5"/>
      <c r="P20038" s="5"/>
      <c r="Q20038" s="5">
        <v>0</v>
      </c>
      <c r="R20038" s="5">
        <v>150</v>
      </c>
      <c r="S20038" s="5">
        <v>0</v>
      </c>
      <c r="T20038" s="5" t="s">
        <v>60258</v>
      </c>
      <c r="U20038" s="5"/>
      <c r="V20038" s="5"/>
      <c r="W20038" s="5"/>
      <c r="X20038" s="5"/>
      <c r="Y20038" s="5"/>
    </row>
    <row r="20039" spans="1:25" x14ac:dyDescent="0.25">
      <c r="A20039" s="5" t="s">
        <v>24</v>
      </c>
      <c r="B20039" s="5" t="s">
        <v>8579</v>
      </c>
      <c r="C20039" s="5" t="str">
        <f>"A0078548"</f>
        <v>A0078548</v>
      </c>
      <c r="D20039" s="5" t="s">
        <v>60259</v>
      </c>
      <c r="E20039" s="5" t="s">
        <v>60260</v>
      </c>
      <c r="F20039" s="5" t="s">
        <v>2719</v>
      </c>
      <c r="G20039" s="5" t="s">
        <v>190</v>
      </c>
      <c r="H20039" s="5">
        <v>80239</v>
      </c>
      <c r="I20039" s="5" t="s">
        <v>30</v>
      </c>
      <c r="J20039" s="5" t="s">
        <v>171</v>
      </c>
      <c r="K20039" s="5" t="s">
        <v>973</v>
      </c>
      <c r="L20039" s="5"/>
      <c r="M20039" s="5"/>
      <c r="N20039" s="5" t="s">
        <v>60261</v>
      </c>
      <c r="O20039" s="5"/>
      <c r="P20039" s="5"/>
      <c r="Q20039" s="5">
        <v>0</v>
      </c>
      <c r="R20039" s="5">
        <v>193</v>
      </c>
      <c r="S20039" s="5">
        <v>0</v>
      </c>
      <c r="T20039" s="5" t="s">
        <v>60262</v>
      </c>
      <c r="U20039" s="5"/>
      <c r="V20039" s="5"/>
      <c r="W20039" s="5"/>
      <c r="X20039" s="5"/>
      <c r="Y20039" s="5"/>
    </row>
    <row r="20040" spans="1:25" x14ac:dyDescent="0.25">
      <c r="A20040" s="5" t="s">
        <v>24</v>
      </c>
      <c r="B20040" s="5" t="s">
        <v>3343</v>
      </c>
      <c r="C20040" s="5" t="str">
        <f>"A0155378"</f>
        <v>A0155378</v>
      </c>
      <c r="D20040" s="5" t="s">
        <v>60263</v>
      </c>
      <c r="E20040" s="5" t="s">
        <v>60264</v>
      </c>
      <c r="F20040" s="5" t="s">
        <v>33094</v>
      </c>
      <c r="G20040" s="5" t="s">
        <v>190</v>
      </c>
      <c r="H20040" s="5">
        <v>80011</v>
      </c>
      <c r="I20040" s="5" t="s">
        <v>30</v>
      </c>
      <c r="J20040" s="5" t="s">
        <v>171</v>
      </c>
      <c r="K20040" s="5" t="s">
        <v>973</v>
      </c>
      <c r="L20040" s="5"/>
      <c r="M20040" s="5"/>
      <c r="N20040" s="5" t="s">
        <v>60265</v>
      </c>
      <c r="O20040" s="5"/>
      <c r="P20040" s="5"/>
      <c r="Q20040" s="5">
        <v>0</v>
      </c>
      <c r="R20040" s="5">
        <v>141</v>
      </c>
      <c r="S20040" s="5">
        <v>0</v>
      </c>
      <c r="T20040" s="5" t="s">
        <v>60266</v>
      </c>
      <c r="U20040" s="5"/>
      <c r="V20040" s="5"/>
      <c r="W20040" s="5"/>
      <c r="X20040" s="5"/>
      <c r="Y20040" s="5"/>
    </row>
    <row r="20041" spans="1:25" x14ac:dyDescent="0.25">
      <c r="A20041" s="5" t="s">
        <v>24</v>
      </c>
      <c r="B20041" s="5" t="s">
        <v>675</v>
      </c>
      <c r="C20041" s="5" t="str">
        <f>"311MJ"</f>
        <v>311MJ</v>
      </c>
      <c r="D20041" s="5" t="s">
        <v>60267</v>
      </c>
      <c r="E20041" s="5" t="s">
        <v>60268</v>
      </c>
      <c r="F20041" s="5" t="s">
        <v>972</v>
      </c>
      <c r="G20041" s="5" t="s">
        <v>190</v>
      </c>
      <c r="H20041" s="5">
        <v>80249</v>
      </c>
      <c r="I20041" s="5" t="s">
        <v>30</v>
      </c>
      <c r="J20041" s="5" t="s">
        <v>171</v>
      </c>
      <c r="K20041" s="5" t="s">
        <v>973</v>
      </c>
      <c r="L20041" s="5"/>
      <c r="M20041" s="5"/>
      <c r="N20041" s="5" t="s">
        <v>60269</v>
      </c>
      <c r="O20041" s="5"/>
      <c r="P20041" s="5"/>
      <c r="Q20041" s="5">
        <v>0</v>
      </c>
      <c r="R20041" s="5">
        <v>202</v>
      </c>
      <c r="S20041" s="5">
        <v>0</v>
      </c>
      <c r="T20041" s="5" t="s">
        <v>60270</v>
      </c>
      <c r="U20041" s="5"/>
      <c r="V20041" s="5"/>
      <c r="W20041" s="5"/>
      <c r="X20041" s="5"/>
      <c r="Y20041" s="5"/>
    </row>
    <row r="20042" spans="1:25" customFormat="1" ht="15" hidden="1" x14ac:dyDescent="0.25">
      <c r="A20042" t="s">
        <v>24</v>
      </c>
      <c r="B20042" t="s">
        <v>74641</v>
      </c>
      <c r="C20042" t="str">
        <f>"A0075225"</f>
        <v>A0075225</v>
      </c>
      <c r="D20042" t="s">
        <v>74642</v>
      </c>
      <c r="E20042" t="s">
        <v>74643</v>
      </c>
      <c r="F20042" t="s">
        <v>74644</v>
      </c>
      <c r="G20042" t="s">
        <v>2206</v>
      </c>
      <c r="H20042" t="s">
        <v>74645</v>
      </c>
      <c r="I20042" t="s">
        <v>1459</v>
      </c>
      <c r="J20042" t="s">
        <v>162</v>
      </c>
      <c r="K20042" t="s">
        <v>6809</v>
      </c>
      <c r="N20042" t="s">
        <v>74646</v>
      </c>
      <c r="Q20042">
        <v>0</v>
      </c>
      <c r="R20042">
        <v>124</v>
      </c>
      <c r="S20042">
        <v>0</v>
      </c>
      <c r="T20042" t="s">
        <v>74647</v>
      </c>
    </row>
    <row r="20043" spans="1:25" customFormat="1" ht="15" x14ac:dyDescent="0.25">
      <c r="A20043" t="s">
        <v>24</v>
      </c>
      <c r="B20043" t="s">
        <v>2360</v>
      </c>
      <c r="C20043" t="str">
        <f>"CL0112"</f>
        <v>CL0112</v>
      </c>
      <c r="D20043" t="s">
        <v>74648</v>
      </c>
      <c r="E20043" t="s">
        <v>74649</v>
      </c>
      <c r="F20043" t="s">
        <v>62619</v>
      </c>
      <c r="G20043" t="s">
        <v>52</v>
      </c>
      <c r="H20043">
        <v>77339</v>
      </c>
      <c r="I20043" t="s">
        <v>30</v>
      </c>
      <c r="J20043" t="s">
        <v>178</v>
      </c>
      <c r="K20043" t="s">
        <v>55688</v>
      </c>
      <c r="N20043" t="s">
        <v>74650</v>
      </c>
      <c r="O20043" t="s">
        <v>74651</v>
      </c>
      <c r="P20043" t="s">
        <v>992</v>
      </c>
      <c r="Q20043">
        <v>5</v>
      </c>
      <c r="R20043">
        <v>0</v>
      </c>
      <c r="S20043">
        <v>0</v>
      </c>
      <c r="T20043" t="s">
        <v>74652</v>
      </c>
    </row>
    <row r="20044" spans="1:25" x14ac:dyDescent="0.25">
      <c r="A20044" s="5" t="s">
        <v>24</v>
      </c>
      <c r="B20044" s="5" t="s">
        <v>5558</v>
      </c>
      <c r="C20044" s="5" t="str">
        <f>"A0096549"</f>
        <v>A0096549</v>
      </c>
      <c r="D20044" s="5" t="s">
        <v>60271</v>
      </c>
      <c r="E20044" s="5" t="s">
        <v>60272</v>
      </c>
      <c r="F20044" s="5" t="s">
        <v>13634</v>
      </c>
      <c r="G20044" s="5" t="s">
        <v>190</v>
      </c>
      <c r="H20044" s="5">
        <v>80023</v>
      </c>
      <c r="I20044" s="5" t="s">
        <v>30</v>
      </c>
      <c r="J20044" s="5" t="s">
        <v>171</v>
      </c>
      <c r="K20044" s="5" t="s">
        <v>973</v>
      </c>
      <c r="L20044" s="5"/>
      <c r="M20044" s="5"/>
      <c r="N20044" s="5" t="s">
        <v>60273</v>
      </c>
      <c r="O20044" s="5"/>
      <c r="P20044" s="5"/>
      <c r="Q20044" s="5">
        <v>0</v>
      </c>
      <c r="R20044" s="5">
        <v>97</v>
      </c>
      <c r="S20044" s="5">
        <v>0</v>
      </c>
      <c r="T20044" s="5" t="s">
        <v>60274</v>
      </c>
      <c r="U20044" s="5"/>
      <c r="V20044" s="5"/>
      <c r="W20044" s="5"/>
      <c r="X20044" s="5"/>
      <c r="Y20044" s="5"/>
    </row>
    <row r="20045" spans="1:25" customFormat="1" ht="15" x14ac:dyDescent="0.25">
      <c r="A20045" t="s">
        <v>24</v>
      </c>
      <c r="B20045" t="s">
        <v>1528</v>
      </c>
      <c r="C20045" t="str">
        <f>"A0091937"</f>
        <v>A0091937</v>
      </c>
      <c r="D20045" t="s">
        <v>74658</v>
      </c>
      <c r="E20045" t="s">
        <v>74659</v>
      </c>
      <c r="F20045" t="s">
        <v>66769</v>
      </c>
      <c r="G20045" t="s">
        <v>76</v>
      </c>
      <c r="H20045">
        <v>98337</v>
      </c>
      <c r="I20045" t="s">
        <v>30</v>
      </c>
      <c r="J20045" t="s">
        <v>7657</v>
      </c>
      <c r="K20045" t="s">
        <v>163</v>
      </c>
      <c r="N20045" t="s">
        <v>74660</v>
      </c>
      <c r="O20045" t="s">
        <v>74661</v>
      </c>
      <c r="Q20045">
        <v>0</v>
      </c>
      <c r="R20045">
        <v>0</v>
      </c>
      <c r="S20045">
        <v>0</v>
      </c>
      <c r="T20045" t="s">
        <v>74662</v>
      </c>
    </row>
    <row r="20046" spans="1:25" customFormat="1" ht="15" x14ac:dyDescent="0.25">
      <c r="A20046" t="s">
        <v>24</v>
      </c>
      <c r="B20046" t="s">
        <v>7373</v>
      </c>
      <c r="C20046" t="str">
        <f>"A0095458"</f>
        <v>A0095458</v>
      </c>
      <c r="D20046" t="s">
        <v>74663</v>
      </c>
      <c r="E20046" t="s">
        <v>74664</v>
      </c>
      <c r="F20046" t="s">
        <v>59476</v>
      </c>
      <c r="G20046" t="s">
        <v>52</v>
      </c>
      <c r="H20046">
        <v>79605</v>
      </c>
      <c r="I20046" t="s">
        <v>30</v>
      </c>
      <c r="J20046" t="s">
        <v>31</v>
      </c>
      <c r="K20046" t="s">
        <v>163</v>
      </c>
      <c r="N20046" t="s">
        <v>74665</v>
      </c>
      <c r="Q20046">
        <v>0</v>
      </c>
      <c r="R20046">
        <v>106</v>
      </c>
      <c r="S20046">
        <v>0</v>
      </c>
      <c r="T20046" t="s">
        <v>74666</v>
      </c>
    </row>
    <row r="20047" spans="1:25" customFormat="1" ht="15" x14ac:dyDescent="0.25">
      <c r="A20047" t="s">
        <v>24</v>
      </c>
      <c r="B20047" t="s">
        <v>2368</v>
      </c>
      <c r="C20047" t="str">
        <f>"A0094486"</f>
        <v>A0094486</v>
      </c>
      <c r="D20047" t="s">
        <v>74667</v>
      </c>
      <c r="E20047" t="s">
        <v>74668</v>
      </c>
      <c r="F20047" t="s">
        <v>4829</v>
      </c>
      <c r="G20047" t="s">
        <v>52</v>
      </c>
      <c r="H20047">
        <v>75062</v>
      </c>
      <c r="I20047" t="s">
        <v>30</v>
      </c>
      <c r="J20047" t="s">
        <v>191</v>
      </c>
      <c r="K20047" t="s">
        <v>163</v>
      </c>
      <c r="N20047" t="s">
        <v>74669</v>
      </c>
      <c r="Q20047">
        <v>0</v>
      </c>
      <c r="R20047">
        <v>0</v>
      </c>
      <c r="S20047">
        <v>0</v>
      </c>
      <c r="T20047" t="s">
        <v>74670</v>
      </c>
    </row>
    <row r="20048" spans="1:25" customFormat="1" ht="15" x14ac:dyDescent="0.25">
      <c r="A20048" t="s">
        <v>24</v>
      </c>
      <c r="B20048" t="s">
        <v>74671</v>
      </c>
      <c r="C20048" t="str">
        <f>"A0052410"</f>
        <v>A0052410</v>
      </c>
      <c r="D20048" t="s">
        <v>74672</v>
      </c>
      <c r="E20048" t="s">
        <v>74673</v>
      </c>
      <c r="F20048" t="s">
        <v>74674</v>
      </c>
      <c r="G20048" t="s">
        <v>338</v>
      </c>
      <c r="H20048">
        <v>7670</v>
      </c>
      <c r="I20048" t="s">
        <v>30</v>
      </c>
      <c r="J20048" t="s">
        <v>178</v>
      </c>
      <c r="K20048" t="s">
        <v>179</v>
      </c>
      <c r="N20048" t="s">
        <v>74675</v>
      </c>
      <c r="O20048" t="s">
        <v>74676</v>
      </c>
      <c r="Q20048">
        <v>1</v>
      </c>
      <c r="R20048">
        <v>18</v>
      </c>
      <c r="S20048">
        <v>0</v>
      </c>
      <c r="T20048" t="s">
        <v>74677</v>
      </c>
    </row>
    <row r="20049" spans="1:25" customFormat="1" ht="15" x14ac:dyDescent="0.25">
      <c r="A20049" t="s">
        <v>24</v>
      </c>
      <c r="B20049" t="s">
        <v>4410</v>
      </c>
      <c r="C20049" t="str">
        <f>"A0059139"</f>
        <v>A0059139</v>
      </c>
      <c r="D20049" t="s">
        <v>60275</v>
      </c>
      <c r="E20049" t="s">
        <v>60276</v>
      </c>
      <c r="F20049" t="s">
        <v>15239</v>
      </c>
      <c r="G20049" t="s">
        <v>190</v>
      </c>
      <c r="H20049">
        <v>80227</v>
      </c>
      <c r="I20049" t="s">
        <v>30</v>
      </c>
      <c r="J20049" t="s">
        <v>171</v>
      </c>
      <c r="K20049" t="s">
        <v>973</v>
      </c>
      <c r="N20049" t="s">
        <v>60277</v>
      </c>
      <c r="Q20049">
        <v>0</v>
      </c>
      <c r="R20049">
        <v>90</v>
      </c>
      <c r="S20049">
        <v>0</v>
      </c>
      <c r="T20049" t="s">
        <v>60278</v>
      </c>
    </row>
    <row r="20050" spans="1:25" customFormat="1" ht="15" x14ac:dyDescent="0.25">
      <c r="A20050" t="s">
        <v>24</v>
      </c>
      <c r="B20050" t="s">
        <v>6515</v>
      </c>
      <c r="C20050" t="str">
        <f>"A0055073"</f>
        <v>A0055073</v>
      </c>
      <c r="D20050" t="s">
        <v>74684</v>
      </c>
      <c r="E20050" t="s">
        <v>74685</v>
      </c>
      <c r="F20050" t="s">
        <v>13138</v>
      </c>
      <c r="G20050" t="s">
        <v>103</v>
      </c>
      <c r="H20050">
        <v>18103</v>
      </c>
      <c r="I20050" t="s">
        <v>30</v>
      </c>
      <c r="J20050" t="s">
        <v>145</v>
      </c>
      <c r="K20050" t="s">
        <v>74686</v>
      </c>
      <c r="N20050" t="s">
        <v>74687</v>
      </c>
      <c r="Q20050">
        <v>0</v>
      </c>
      <c r="R20050">
        <v>103</v>
      </c>
      <c r="S20050">
        <v>0</v>
      </c>
      <c r="T20050" t="s">
        <v>74688</v>
      </c>
    </row>
    <row r="20051" spans="1:25" customFormat="1" ht="15" x14ac:dyDescent="0.25">
      <c r="A20051" t="s">
        <v>24</v>
      </c>
      <c r="B20051" t="s">
        <v>4990</v>
      </c>
      <c r="C20051" t="str">
        <f>"A0066951"</f>
        <v>A0066951</v>
      </c>
      <c r="D20051" t="s">
        <v>74689</v>
      </c>
      <c r="E20051" t="s">
        <v>74690</v>
      </c>
      <c r="F20051" t="s">
        <v>74691</v>
      </c>
      <c r="G20051" t="s">
        <v>381</v>
      </c>
      <c r="H20051">
        <v>47933</v>
      </c>
      <c r="I20051" t="s">
        <v>30</v>
      </c>
      <c r="J20051" t="s">
        <v>145</v>
      </c>
      <c r="K20051" t="s">
        <v>74686</v>
      </c>
      <c r="N20051" t="s">
        <v>74692</v>
      </c>
      <c r="Q20051">
        <v>0</v>
      </c>
      <c r="R20051">
        <v>107</v>
      </c>
      <c r="S20051">
        <v>0</v>
      </c>
      <c r="T20051" t="s">
        <v>74693</v>
      </c>
    </row>
    <row r="20052" spans="1:25" customFormat="1" ht="15" x14ac:dyDescent="0.25">
      <c r="A20052" t="s">
        <v>24</v>
      </c>
      <c r="B20052" t="s">
        <v>13267</v>
      </c>
      <c r="C20052" t="str">
        <f>"A0090078"</f>
        <v>A0090078</v>
      </c>
      <c r="D20052" t="s">
        <v>74694</v>
      </c>
      <c r="E20052" t="s">
        <v>74695</v>
      </c>
      <c r="F20052" t="s">
        <v>74696</v>
      </c>
      <c r="G20052" t="s">
        <v>197</v>
      </c>
      <c r="H20052">
        <v>86401</v>
      </c>
      <c r="I20052" t="s">
        <v>30</v>
      </c>
      <c r="J20052" t="s">
        <v>145</v>
      </c>
      <c r="K20052" t="s">
        <v>74686</v>
      </c>
      <c r="N20052" t="s">
        <v>74697</v>
      </c>
      <c r="O20052" t="s">
        <v>62109</v>
      </c>
      <c r="Q20052">
        <v>0</v>
      </c>
      <c r="R20052">
        <v>147</v>
      </c>
      <c r="S20052">
        <v>0</v>
      </c>
      <c r="T20052" t="s">
        <v>74698</v>
      </c>
    </row>
    <row r="20053" spans="1:25" customFormat="1" ht="15" x14ac:dyDescent="0.25">
      <c r="A20053" t="s">
        <v>24</v>
      </c>
      <c r="B20053" t="s">
        <v>13267</v>
      </c>
      <c r="C20053" t="str">
        <f>"A0090163"</f>
        <v>A0090163</v>
      </c>
      <c r="D20053" t="s">
        <v>74699</v>
      </c>
      <c r="E20053" t="s">
        <v>74700</v>
      </c>
      <c r="F20053" t="s">
        <v>2978</v>
      </c>
      <c r="G20053" t="s">
        <v>110</v>
      </c>
      <c r="H20053">
        <v>92173</v>
      </c>
      <c r="I20053" t="s">
        <v>30</v>
      </c>
      <c r="J20053" t="s">
        <v>145</v>
      </c>
      <c r="K20053" t="s">
        <v>74686</v>
      </c>
      <c r="N20053" t="s">
        <v>74701</v>
      </c>
      <c r="O20053" t="s">
        <v>62109</v>
      </c>
      <c r="Q20053">
        <v>0</v>
      </c>
      <c r="R20053">
        <v>119</v>
      </c>
      <c r="S20053">
        <v>0</v>
      </c>
      <c r="T20053" t="s">
        <v>74702</v>
      </c>
    </row>
    <row r="20054" spans="1:25" customFormat="1" ht="15" x14ac:dyDescent="0.25">
      <c r="A20054" t="s">
        <v>24</v>
      </c>
      <c r="B20054" t="s">
        <v>1528</v>
      </c>
      <c r="C20054" t="str">
        <f>"A0091936"</f>
        <v>A0091936</v>
      </c>
      <c r="D20054" t="s">
        <v>74703</v>
      </c>
      <c r="E20054" t="s">
        <v>74704</v>
      </c>
      <c r="F20054" t="s">
        <v>74705</v>
      </c>
      <c r="G20054" t="s">
        <v>433</v>
      </c>
      <c r="H20054">
        <v>83340</v>
      </c>
      <c r="I20054" t="s">
        <v>30</v>
      </c>
      <c r="J20054" t="s">
        <v>31</v>
      </c>
      <c r="K20054" t="s">
        <v>163</v>
      </c>
      <c r="N20054" t="s">
        <v>74706</v>
      </c>
      <c r="O20054" t="s">
        <v>74707</v>
      </c>
      <c r="Q20054">
        <v>0</v>
      </c>
      <c r="R20054">
        <v>29</v>
      </c>
      <c r="S20054">
        <v>0</v>
      </c>
      <c r="T20054" t="s">
        <v>74708</v>
      </c>
    </row>
    <row r="20055" spans="1:25" customFormat="1" ht="15" x14ac:dyDescent="0.25">
      <c r="A20055" t="s">
        <v>24</v>
      </c>
      <c r="B20055" t="s">
        <v>2360</v>
      </c>
      <c r="C20055" t="str">
        <f>"CL0685"</f>
        <v>CL0685</v>
      </c>
      <c r="D20055" t="s">
        <v>16009</v>
      </c>
      <c r="E20055" t="s">
        <v>74709</v>
      </c>
      <c r="F20055" t="s">
        <v>74710</v>
      </c>
      <c r="G20055" t="s">
        <v>381</v>
      </c>
      <c r="H20055">
        <v>46530</v>
      </c>
      <c r="I20055" t="s">
        <v>30</v>
      </c>
      <c r="J20055" t="s">
        <v>178</v>
      </c>
      <c r="K20055" t="s">
        <v>55688</v>
      </c>
      <c r="N20055" t="s">
        <v>74711</v>
      </c>
      <c r="P20055" t="s">
        <v>992</v>
      </c>
      <c r="Q20055">
        <v>2</v>
      </c>
      <c r="R20055">
        <v>0</v>
      </c>
      <c r="S20055">
        <v>0</v>
      </c>
      <c r="T20055" t="s">
        <v>74712</v>
      </c>
    </row>
    <row r="20056" spans="1:25" customFormat="1" ht="15" x14ac:dyDescent="0.25">
      <c r="A20056" t="s">
        <v>24</v>
      </c>
      <c r="B20056" t="s">
        <v>1583</v>
      </c>
      <c r="C20056" t="str">
        <f>"38A73"</f>
        <v>38A73</v>
      </c>
      <c r="D20056" t="s">
        <v>74713</v>
      </c>
      <c r="E20056" t="s">
        <v>74714</v>
      </c>
      <c r="F20056" t="s">
        <v>74715</v>
      </c>
      <c r="G20056" t="s">
        <v>4815</v>
      </c>
      <c r="H20056">
        <v>96707</v>
      </c>
      <c r="I20056" t="s">
        <v>30</v>
      </c>
      <c r="J20056" t="s">
        <v>2544</v>
      </c>
      <c r="K20056" t="s">
        <v>36059</v>
      </c>
      <c r="N20056" t="s">
        <v>74716</v>
      </c>
      <c r="O20056" t="s">
        <v>74717</v>
      </c>
      <c r="Q20056">
        <v>0</v>
      </c>
      <c r="R20056">
        <v>414</v>
      </c>
      <c r="S20056">
        <v>0</v>
      </c>
      <c r="T20056" t="s">
        <v>74718</v>
      </c>
    </row>
    <row r="20057" spans="1:25" customFormat="1" ht="15" x14ac:dyDescent="0.25">
      <c r="A20057" t="s">
        <v>24</v>
      </c>
      <c r="B20057" t="s">
        <v>1583</v>
      </c>
      <c r="C20057" t="str">
        <f>"A0100716"</f>
        <v>A0100716</v>
      </c>
      <c r="D20057" t="s">
        <v>74719</v>
      </c>
      <c r="E20057" t="s">
        <v>74720</v>
      </c>
      <c r="F20057" t="s">
        <v>68419</v>
      </c>
      <c r="G20057" t="s">
        <v>4815</v>
      </c>
      <c r="H20057">
        <v>96707</v>
      </c>
      <c r="I20057" t="s">
        <v>30</v>
      </c>
      <c r="J20057" t="s">
        <v>191</v>
      </c>
      <c r="K20057" t="s">
        <v>6809</v>
      </c>
      <c r="N20057" t="s">
        <v>74721</v>
      </c>
      <c r="Q20057">
        <v>0</v>
      </c>
      <c r="R20057">
        <v>0</v>
      </c>
      <c r="S20057">
        <v>0</v>
      </c>
      <c r="T20057" t="s">
        <v>74722</v>
      </c>
    </row>
    <row r="20058" spans="1:25" x14ac:dyDescent="0.25">
      <c r="A20058" s="5" t="s">
        <v>24</v>
      </c>
      <c r="B20058" s="5" t="s">
        <v>57614</v>
      </c>
      <c r="C20058" s="5" t="str">
        <f>"A0095930"</f>
        <v>A0095930</v>
      </c>
      <c r="D20058" s="5" t="s">
        <v>60279</v>
      </c>
      <c r="E20058" s="5" t="s">
        <v>60280</v>
      </c>
      <c r="F20058" s="5" t="s">
        <v>60281</v>
      </c>
      <c r="G20058" s="5" t="s">
        <v>190</v>
      </c>
      <c r="H20058" s="5">
        <v>80129</v>
      </c>
      <c r="I20058" s="5" t="s">
        <v>30</v>
      </c>
      <c r="J20058" s="5" t="s">
        <v>171</v>
      </c>
      <c r="K20058" s="5" t="s">
        <v>973</v>
      </c>
      <c r="L20058" s="5"/>
      <c r="M20058" s="5"/>
      <c r="N20058" s="5" t="s">
        <v>60282</v>
      </c>
      <c r="O20058" s="5"/>
      <c r="P20058" s="5"/>
      <c r="Q20058" s="5">
        <v>0</v>
      </c>
      <c r="R20058" s="5">
        <v>125</v>
      </c>
      <c r="S20058" s="5">
        <v>0</v>
      </c>
      <c r="T20058" s="5" t="s">
        <v>60283</v>
      </c>
      <c r="U20058" s="5"/>
      <c r="V20058" s="5"/>
      <c r="W20058" s="5"/>
      <c r="X20058" s="5"/>
      <c r="Y20058" s="5"/>
    </row>
    <row r="20059" spans="1:25" customFormat="1" ht="15" x14ac:dyDescent="0.25">
      <c r="A20059" t="s">
        <v>24</v>
      </c>
      <c r="B20059" t="s">
        <v>6667</v>
      </c>
      <c r="C20059" t="str">
        <f>"A0049961"</f>
        <v>A0049961</v>
      </c>
      <c r="D20059" t="s">
        <v>74726</v>
      </c>
      <c r="E20059" t="s">
        <v>74727</v>
      </c>
      <c r="F20059" t="s">
        <v>71450</v>
      </c>
      <c r="G20059" t="s">
        <v>197</v>
      </c>
      <c r="H20059">
        <v>85233</v>
      </c>
      <c r="I20059" t="s">
        <v>30</v>
      </c>
      <c r="J20059" t="s">
        <v>178</v>
      </c>
      <c r="K20059" t="s">
        <v>6667</v>
      </c>
      <c r="N20059" t="s">
        <v>74728</v>
      </c>
      <c r="Q20059">
        <v>0</v>
      </c>
      <c r="R20059">
        <v>0</v>
      </c>
      <c r="S20059">
        <v>0</v>
      </c>
      <c r="T20059" t="s">
        <v>74729</v>
      </c>
    </row>
    <row r="20060" spans="1:25" x14ac:dyDescent="0.25">
      <c r="A20060" s="5" t="s">
        <v>24</v>
      </c>
      <c r="B20060" s="5" t="s">
        <v>675</v>
      </c>
      <c r="C20060" s="5" t="str">
        <f>"311M8"</f>
        <v>311M8</v>
      </c>
      <c r="D20060" s="5" t="s">
        <v>60284</v>
      </c>
      <c r="E20060" s="5" t="s">
        <v>60285</v>
      </c>
      <c r="F20060" s="5" t="s">
        <v>10390</v>
      </c>
      <c r="G20060" s="5" t="s">
        <v>190</v>
      </c>
      <c r="H20060" s="5">
        <v>80111</v>
      </c>
      <c r="I20060" s="5" t="s">
        <v>30</v>
      </c>
      <c r="J20060" s="5" t="s">
        <v>171</v>
      </c>
      <c r="K20060" s="5" t="s">
        <v>973</v>
      </c>
      <c r="L20060" s="5"/>
      <c r="M20060" s="5"/>
      <c r="N20060" s="5" t="s">
        <v>60286</v>
      </c>
      <c r="O20060" s="5" t="s">
        <v>60287</v>
      </c>
      <c r="P20060" s="5"/>
      <c r="Q20060" s="5">
        <v>0</v>
      </c>
      <c r="R20060" s="5">
        <v>155</v>
      </c>
      <c r="S20060" s="5">
        <v>0</v>
      </c>
      <c r="T20060" s="5" t="s">
        <v>60288</v>
      </c>
      <c r="U20060" s="5"/>
      <c r="V20060" s="5"/>
      <c r="W20060" s="5"/>
      <c r="X20060" s="5"/>
      <c r="Y20060" s="5"/>
    </row>
    <row r="20061" spans="1:25" customFormat="1" ht="15" x14ac:dyDescent="0.25">
      <c r="A20061" t="s">
        <v>24</v>
      </c>
      <c r="B20061" t="s">
        <v>60289</v>
      </c>
      <c r="C20061" t="str">
        <f>"651ZF"</f>
        <v>651ZF</v>
      </c>
      <c r="D20061" t="s">
        <v>60290</v>
      </c>
      <c r="E20061" t="s">
        <v>60291</v>
      </c>
      <c r="F20061" t="s">
        <v>4783</v>
      </c>
      <c r="G20061" t="s">
        <v>190</v>
      </c>
      <c r="H20061">
        <v>80401</v>
      </c>
      <c r="I20061" t="s">
        <v>30</v>
      </c>
      <c r="J20061" t="s">
        <v>171</v>
      </c>
      <c r="K20061" t="s">
        <v>973</v>
      </c>
      <c r="N20061" t="s">
        <v>60292</v>
      </c>
      <c r="O20061" t="s">
        <v>60293</v>
      </c>
      <c r="Q20061">
        <v>0</v>
      </c>
      <c r="R20061">
        <v>110</v>
      </c>
      <c r="S20061">
        <v>0</v>
      </c>
      <c r="T20061" t="s">
        <v>60294</v>
      </c>
    </row>
    <row r="20062" spans="1:25" customFormat="1" ht="15" x14ac:dyDescent="0.25">
      <c r="A20062" t="s">
        <v>24</v>
      </c>
      <c r="B20062" t="s">
        <v>3171</v>
      </c>
      <c r="C20062" t="str">
        <f>"A0099443"</f>
        <v>A0099443</v>
      </c>
      <c r="D20062" t="s">
        <v>74740</v>
      </c>
      <c r="E20062" t="s">
        <v>74741</v>
      </c>
      <c r="F20062" t="s">
        <v>1519</v>
      </c>
      <c r="G20062" t="s">
        <v>110</v>
      </c>
      <c r="H20062">
        <v>90095</v>
      </c>
      <c r="I20062" t="s">
        <v>30</v>
      </c>
      <c r="J20062" t="s">
        <v>3175</v>
      </c>
      <c r="K20062" t="s">
        <v>163</v>
      </c>
      <c r="N20062" t="s">
        <v>74742</v>
      </c>
      <c r="Q20062">
        <v>0</v>
      </c>
      <c r="R20062">
        <v>0</v>
      </c>
      <c r="S20062">
        <v>0</v>
      </c>
      <c r="T20062" t="s">
        <v>74743</v>
      </c>
    </row>
    <row r="20063" spans="1:25" customFormat="1" ht="15" x14ac:dyDescent="0.25">
      <c r="A20063" t="s">
        <v>24</v>
      </c>
      <c r="B20063" t="s">
        <v>7040</v>
      </c>
      <c r="C20063" t="str">
        <f>"A0098689"</f>
        <v>A0098689</v>
      </c>
      <c r="D20063" t="s">
        <v>60295</v>
      </c>
      <c r="E20063" t="s">
        <v>60296</v>
      </c>
      <c r="F20063" t="s">
        <v>60297</v>
      </c>
      <c r="G20063" t="s">
        <v>338</v>
      </c>
      <c r="H20063">
        <v>8096</v>
      </c>
      <c r="I20063" t="s">
        <v>30</v>
      </c>
      <c r="J20063" t="s">
        <v>171</v>
      </c>
      <c r="K20063" t="s">
        <v>973</v>
      </c>
      <c r="N20063" t="s">
        <v>60298</v>
      </c>
      <c r="Q20063">
        <v>0</v>
      </c>
      <c r="R20063">
        <v>108</v>
      </c>
      <c r="S20063">
        <v>0</v>
      </c>
      <c r="T20063" t="s">
        <v>60299</v>
      </c>
    </row>
    <row r="20064" spans="1:25" customFormat="1" ht="15" x14ac:dyDescent="0.25">
      <c r="A20064" t="s">
        <v>24</v>
      </c>
      <c r="B20064" t="s">
        <v>2360</v>
      </c>
      <c r="C20064" t="str">
        <f>"CL0430"</f>
        <v>CL0430</v>
      </c>
      <c r="D20064" t="s">
        <v>74749</v>
      </c>
      <c r="E20064" t="s">
        <v>74750</v>
      </c>
      <c r="F20064" t="s">
        <v>4829</v>
      </c>
      <c r="G20064" t="s">
        <v>52</v>
      </c>
      <c r="H20064">
        <v>75039</v>
      </c>
      <c r="I20064" t="s">
        <v>30</v>
      </c>
      <c r="J20064" t="s">
        <v>2558</v>
      </c>
      <c r="K20064" t="s">
        <v>56092</v>
      </c>
      <c r="N20064" t="s">
        <v>74751</v>
      </c>
      <c r="Q20064">
        <v>0</v>
      </c>
      <c r="R20064">
        <v>0</v>
      </c>
      <c r="S20064">
        <v>0</v>
      </c>
      <c r="T20064" t="s">
        <v>74752</v>
      </c>
    </row>
    <row r="20065" spans="1:25" customFormat="1" ht="15" x14ac:dyDescent="0.25">
      <c r="A20065" t="s">
        <v>24</v>
      </c>
      <c r="B20065" t="s">
        <v>675</v>
      </c>
      <c r="C20065" t="str">
        <f>"311GC"</f>
        <v>311GC</v>
      </c>
      <c r="D20065" t="s">
        <v>60300</v>
      </c>
      <c r="E20065" t="s">
        <v>60301</v>
      </c>
      <c r="F20065" t="s">
        <v>60302</v>
      </c>
      <c r="G20065" t="s">
        <v>1898</v>
      </c>
      <c r="H20065">
        <v>50325</v>
      </c>
      <c r="I20065" t="s">
        <v>30</v>
      </c>
      <c r="J20065" t="s">
        <v>171</v>
      </c>
      <c r="K20065" t="s">
        <v>973</v>
      </c>
      <c r="N20065" t="s">
        <v>60303</v>
      </c>
      <c r="O20065" t="s">
        <v>60304</v>
      </c>
      <c r="Q20065">
        <v>0</v>
      </c>
      <c r="R20065">
        <v>108</v>
      </c>
      <c r="S20065">
        <v>0</v>
      </c>
      <c r="T20065" t="s">
        <v>60305</v>
      </c>
    </row>
    <row r="20066" spans="1:25" customFormat="1" ht="15" x14ac:dyDescent="0.25">
      <c r="A20066" t="s">
        <v>24</v>
      </c>
      <c r="B20066" t="s">
        <v>55640</v>
      </c>
      <c r="C20066" t="str">
        <f>"A0095451"</f>
        <v>A0095451</v>
      </c>
      <c r="D20066" t="s">
        <v>74757</v>
      </c>
      <c r="E20066" t="s">
        <v>74758</v>
      </c>
      <c r="F20066" t="s">
        <v>748</v>
      </c>
      <c r="G20066" t="s">
        <v>110</v>
      </c>
      <c r="H20066">
        <v>94123</v>
      </c>
      <c r="I20066" t="s">
        <v>30</v>
      </c>
      <c r="J20066" t="s">
        <v>31</v>
      </c>
      <c r="K20066" t="s">
        <v>163</v>
      </c>
      <c r="N20066" t="s">
        <v>74759</v>
      </c>
      <c r="Q20066">
        <v>0</v>
      </c>
      <c r="R20066">
        <v>62</v>
      </c>
      <c r="S20066">
        <v>0</v>
      </c>
      <c r="T20066" t="s">
        <v>74760</v>
      </c>
    </row>
    <row r="20067" spans="1:25" x14ac:dyDescent="0.25">
      <c r="A20067" s="5" t="s">
        <v>24</v>
      </c>
      <c r="B20067" s="5" t="s">
        <v>675</v>
      </c>
      <c r="C20067" s="5" t="str">
        <f>"311H8"</f>
        <v>311H8</v>
      </c>
      <c r="D20067" s="5" t="s">
        <v>60306</v>
      </c>
      <c r="E20067" s="5" t="s">
        <v>60307</v>
      </c>
      <c r="F20067" s="5" t="s">
        <v>5615</v>
      </c>
      <c r="G20067" s="5" t="s">
        <v>117</v>
      </c>
      <c r="H20067" s="5">
        <v>48174</v>
      </c>
      <c r="I20067" s="5" t="s">
        <v>30</v>
      </c>
      <c r="J20067" s="5" t="s">
        <v>171</v>
      </c>
      <c r="K20067" s="5" t="s">
        <v>973</v>
      </c>
      <c r="L20067" s="5"/>
      <c r="M20067" s="5"/>
      <c r="N20067" s="5" t="s">
        <v>60308</v>
      </c>
      <c r="O20067" s="5" t="s">
        <v>60309</v>
      </c>
      <c r="P20067" s="5"/>
      <c r="Q20067" s="5">
        <v>0</v>
      </c>
      <c r="R20067" s="5">
        <v>146</v>
      </c>
      <c r="S20067" s="5">
        <v>0</v>
      </c>
      <c r="T20067" s="5" t="s">
        <v>60310</v>
      </c>
      <c r="U20067" s="5"/>
      <c r="V20067" s="5"/>
      <c r="W20067" s="5"/>
      <c r="X20067" s="5"/>
      <c r="Y20067" s="5"/>
    </row>
    <row r="20068" spans="1:25" customFormat="1" ht="15" x14ac:dyDescent="0.25">
      <c r="A20068" t="s">
        <v>24</v>
      </c>
      <c r="B20068" t="s">
        <v>13299</v>
      </c>
      <c r="C20068" t="str">
        <f>"A0090341"</f>
        <v>A0090341</v>
      </c>
      <c r="D20068" t="s">
        <v>74765</v>
      </c>
      <c r="E20068" t="s">
        <v>74766</v>
      </c>
      <c r="F20068" t="s">
        <v>845</v>
      </c>
      <c r="G20068" t="s">
        <v>846</v>
      </c>
      <c r="H20068">
        <v>30344</v>
      </c>
      <c r="I20068" t="s">
        <v>30</v>
      </c>
      <c r="J20068" t="s">
        <v>31</v>
      </c>
      <c r="K20068" t="s">
        <v>321</v>
      </c>
      <c r="N20068" t="s">
        <v>73205</v>
      </c>
      <c r="Q20068">
        <v>0</v>
      </c>
      <c r="R20068">
        <v>191</v>
      </c>
      <c r="S20068">
        <v>0</v>
      </c>
      <c r="T20068" t="s">
        <v>74767</v>
      </c>
    </row>
    <row r="20069" spans="1:25" customFormat="1" ht="15" x14ac:dyDescent="0.25">
      <c r="A20069" t="s">
        <v>24</v>
      </c>
      <c r="B20069" t="s">
        <v>7373</v>
      </c>
      <c r="C20069" t="str">
        <f>"A0147577"</f>
        <v>A0147577</v>
      </c>
      <c r="D20069" t="s">
        <v>74768</v>
      </c>
      <c r="E20069" t="s">
        <v>74769</v>
      </c>
      <c r="F20069" t="s">
        <v>7940</v>
      </c>
      <c r="G20069" t="s">
        <v>52</v>
      </c>
      <c r="H20069">
        <v>77845</v>
      </c>
      <c r="I20069" t="s">
        <v>30</v>
      </c>
      <c r="J20069" t="s">
        <v>31</v>
      </c>
      <c r="K20069" t="s">
        <v>321</v>
      </c>
      <c r="N20069" t="s">
        <v>74770</v>
      </c>
      <c r="O20069" t="s">
        <v>74665</v>
      </c>
      <c r="Q20069">
        <v>0</v>
      </c>
      <c r="R20069">
        <v>88</v>
      </c>
      <c r="S20069">
        <v>0</v>
      </c>
      <c r="T20069" t="s">
        <v>74771</v>
      </c>
    </row>
    <row r="20070" spans="1:25" customFormat="1" ht="15" x14ac:dyDescent="0.25">
      <c r="A20070" t="s">
        <v>24</v>
      </c>
      <c r="B20070" t="s">
        <v>15291</v>
      </c>
      <c r="C20070" t="str">
        <f>"A0158573"</f>
        <v>A0158573</v>
      </c>
      <c r="D20070" t="s">
        <v>74772</v>
      </c>
      <c r="E20070" t="s">
        <v>74773</v>
      </c>
      <c r="F20070" t="s">
        <v>62518</v>
      </c>
      <c r="G20070" t="s">
        <v>52</v>
      </c>
      <c r="H20070">
        <v>79022</v>
      </c>
      <c r="I20070" t="s">
        <v>30</v>
      </c>
      <c r="J20070" t="s">
        <v>31</v>
      </c>
      <c r="K20070" t="s">
        <v>321</v>
      </c>
      <c r="N20070" t="s">
        <v>74774</v>
      </c>
      <c r="Q20070">
        <v>0</v>
      </c>
      <c r="R20070">
        <v>54</v>
      </c>
      <c r="S20070">
        <v>0</v>
      </c>
      <c r="T20070" t="s">
        <v>74775</v>
      </c>
    </row>
    <row r="20071" spans="1:25" customFormat="1" ht="15" x14ac:dyDescent="0.25">
      <c r="A20071" t="s">
        <v>24</v>
      </c>
      <c r="B20071" t="s">
        <v>7373</v>
      </c>
      <c r="C20071" t="str">
        <f>"A0164727"</f>
        <v>A0164727</v>
      </c>
      <c r="D20071" t="s">
        <v>74776</v>
      </c>
      <c r="E20071" t="s">
        <v>74777</v>
      </c>
      <c r="F20071" t="s">
        <v>2083</v>
      </c>
      <c r="G20071" t="s">
        <v>52</v>
      </c>
      <c r="H20071">
        <v>75033</v>
      </c>
      <c r="I20071" t="s">
        <v>30</v>
      </c>
      <c r="J20071" t="s">
        <v>31</v>
      </c>
      <c r="K20071" t="s">
        <v>321</v>
      </c>
      <c r="N20071" t="s">
        <v>74778</v>
      </c>
      <c r="Q20071">
        <v>0</v>
      </c>
      <c r="R20071">
        <v>100</v>
      </c>
      <c r="S20071">
        <v>0</v>
      </c>
      <c r="T20071" t="s">
        <v>74779</v>
      </c>
    </row>
    <row r="20072" spans="1:25" customFormat="1" ht="15" x14ac:dyDescent="0.25">
      <c r="A20072" t="s">
        <v>24</v>
      </c>
      <c r="B20072" t="s">
        <v>1473</v>
      </c>
      <c r="C20072" t="str">
        <f>"A0086077"</f>
        <v>A0086077</v>
      </c>
      <c r="D20072" t="s">
        <v>74780</v>
      </c>
      <c r="E20072" t="s">
        <v>74781</v>
      </c>
      <c r="F20072" t="s">
        <v>74782</v>
      </c>
      <c r="G20072" t="s">
        <v>99</v>
      </c>
      <c r="H20072">
        <v>12110</v>
      </c>
      <c r="I20072" t="s">
        <v>30</v>
      </c>
      <c r="J20072" t="s">
        <v>31</v>
      </c>
      <c r="K20072" t="s">
        <v>321</v>
      </c>
      <c r="N20072" t="s">
        <v>74783</v>
      </c>
      <c r="Q20072">
        <v>0</v>
      </c>
      <c r="R20072">
        <v>78</v>
      </c>
      <c r="S20072">
        <v>0</v>
      </c>
      <c r="T20072" t="s">
        <v>74784</v>
      </c>
    </row>
    <row r="20073" spans="1:25" customFormat="1" ht="15" x14ac:dyDescent="0.25">
      <c r="A20073" t="s">
        <v>24</v>
      </c>
      <c r="B20073" t="s">
        <v>74785</v>
      </c>
      <c r="C20073" t="str">
        <f>"A0095554"</f>
        <v>A0095554</v>
      </c>
      <c r="D20073" t="s">
        <v>74786</v>
      </c>
      <c r="E20073" t="s">
        <v>74787</v>
      </c>
      <c r="F20073" t="s">
        <v>74788</v>
      </c>
      <c r="G20073" t="s">
        <v>81</v>
      </c>
      <c r="H20073">
        <v>33870</v>
      </c>
      <c r="I20073" t="s">
        <v>30</v>
      </c>
      <c r="J20073" t="s">
        <v>31</v>
      </c>
      <c r="K20073" t="s">
        <v>321</v>
      </c>
      <c r="N20073" t="s">
        <v>74789</v>
      </c>
      <c r="Q20073">
        <v>0</v>
      </c>
      <c r="R20073">
        <v>77</v>
      </c>
      <c r="S20073">
        <v>0</v>
      </c>
      <c r="T20073" t="s">
        <v>74790</v>
      </c>
    </row>
    <row r="20074" spans="1:25" customFormat="1" ht="15" x14ac:dyDescent="0.25">
      <c r="A20074" t="s">
        <v>24</v>
      </c>
      <c r="B20074" t="s">
        <v>1317</v>
      </c>
      <c r="C20074" t="str">
        <f>"A0093703"</f>
        <v>A0093703</v>
      </c>
      <c r="D20074" t="s">
        <v>74791</v>
      </c>
      <c r="E20074" t="s">
        <v>74792</v>
      </c>
      <c r="F20074" t="s">
        <v>11003</v>
      </c>
      <c r="G20074" t="s">
        <v>1587</v>
      </c>
      <c r="H20074">
        <v>88220</v>
      </c>
      <c r="I20074" t="s">
        <v>30</v>
      </c>
      <c r="J20074" t="s">
        <v>31</v>
      </c>
      <c r="K20074" t="s">
        <v>321</v>
      </c>
      <c r="N20074" t="s">
        <v>74793</v>
      </c>
      <c r="O20074" t="s">
        <v>74794</v>
      </c>
      <c r="Q20074">
        <v>0</v>
      </c>
      <c r="R20074">
        <v>96</v>
      </c>
      <c r="S20074">
        <v>0</v>
      </c>
      <c r="T20074" t="s">
        <v>74795</v>
      </c>
    </row>
    <row r="20075" spans="1:25" customFormat="1" ht="15" x14ac:dyDescent="0.25">
      <c r="A20075" t="s">
        <v>24</v>
      </c>
      <c r="B20075" t="s">
        <v>5843</v>
      </c>
      <c r="C20075" t="str">
        <f>"A0088594"</f>
        <v>A0088594</v>
      </c>
      <c r="D20075" t="s">
        <v>74796</v>
      </c>
      <c r="E20075" t="s">
        <v>74797</v>
      </c>
      <c r="F20075" t="s">
        <v>74798</v>
      </c>
      <c r="G20075" t="s">
        <v>81</v>
      </c>
      <c r="H20075">
        <v>32931</v>
      </c>
      <c r="I20075" t="s">
        <v>30</v>
      </c>
      <c r="J20075" t="s">
        <v>31</v>
      </c>
      <c r="K20075" t="s">
        <v>321</v>
      </c>
      <c r="N20075" t="s">
        <v>74799</v>
      </c>
      <c r="Q20075">
        <v>0</v>
      </c>
      <c r="R20075">
        <v>78</v>
      </c>
      <c r="S20075">
        <v>0</v>
      </c>
      <c r="T20075" t="s">
        <v>74800</v>
      </c>
    </row>
    <row r="20076" spans="1:25" customFormat="1" ht="15" x14ac:dyDescent="0.25">
      <c r="A20076" t="s">
        <v>24</v>
      </c>
      <c r="B20076" t="s">
        <v>8742</v>
      </c>
      <c r="C20076" t="str">
        <f>"A0071909"</f>
        <v>A0071909</v>
      </c>
      <c r="D20076" t="s">
        <v>74801</v>
      </c>
      <c r="E20076" t="s">
        <v>74802</v>
      </c>
      <c r="F20076" t="s">
        <v>64</v>
      </c>
      <c r="G20076" t="s">
        <v>1369</v>
      </c>
      <c r="H20076">
        <v>39705</v>
      </c>
      <c r="I20076" t="s">
        <v>30</v>
      </c>
      <c r="J20076" t="s">
        <v>31</v>
      </c>
      <c r="K20076" t="s">
        <v>321</v>
      </c>
      <c r="N20076" t="s">
        <v>74803</v>
      </c>
      <c r="O20076" t="s">
        <v>3486</v>
      </c>
      <c r="Q20076">
        <v>0</v>
      </c>
      <c r="R20076">
        <v>103</v>
      </c>
      <c r="S20076">
        <v>0</v>
      </c>
      <c r="T20076" t="s">
        <v>74804</v>
      </c>
    </row>
    <row r="20077" spans="1:25" customFormat="1" ht="15" x14ac:dyDescent="0.25">
      <c r="A20077" t="s">
        <v>24</v>
      </c>
      <c r="B20077" t="s">
        <v>8742</v>
      </c>
      <c r="C20077" t="str">
        <f>"A0087582"</f>
        <v>A0087582</v>
      </c>
      <c r="D20077" t="s">
        <v>74805</v>
      </c>
      <c r="E20077" t="s">
        <v>74806</v>
      </c>
      <c r="F20077" t="s">
        <v>8745</v>
      </c>
      <c r="G20077" t="s">
        <v>846</v>
      </c>
      <c r="H20077">
        <v>30720</v>
      </c>
      <c r="I20077" t="s">
        <v>30</v>
      </c>
      <c r="J20077" t="s">
        <v>31</v>
      </c>
      <c r="K20077" t="s">
        <v>321</v>
      </c>
      <c r="N20077" t="s">
        <v>74807</v>
      </c>
      <c r="O20077" t="s">
        <v>74808</v>
      </c>
      <c r="Q20077">
        <v>0</v>
      </c>
      <c r="R20077">
        <v>88</v>
      </c>
      <c r="S20077">
        <v>0</v>
      </c>
      <c r="T20077" t="s">
        <v>74809</v>
      </c>
    </row>
    <row r="20078" spans="1:25" customFormat="1" ht="15" x14ac:dyDescent="0.25">
      <c r="A20078" t="s">
        <v>24</v>
      </c>
      <c r="B20078" t="s">
        <v>1473</v>
      </c>
      <c r="C20078" t="str">
        <f>"A0090390"</f>
        <v>A0090390</v>
      </c>
      <c r="D20078" t="s">
        <v>74810</v>
      </c>
      <c r="E20078" t="s">
        <v>74811</v>
      </c>
      <c r="F20078" t="s">
        <v>55186</v>
      </c>
      <c r="G20078" t="s">
        <v>123</v>
      </c>
      <c r="H20078">
        <v>21040</v>
      </c>
      <c r="I20078" t="s">
        <v>30</v>
      </c>
      <c r="J20078" t="s">
        <v>31</v>
      </c>
      <c r="K20078" t="s">
        <v>321</v>
      </c>
      <c r="N20078" t="s">
        <v>74812</v>
      </c>
      <c r="Q20078">
        <v>0</v>
      </c>
      <c r="R20078">
        <v>66</v>
      </c>
      <c r="S20078">
        <v>0</v>
      </c>
      <c r="T20078" t="s">
        <v>74813</v>
      </c>
    </row>
    <row r="20079" spans="1:25" customFormat="1" ht="15" x14ac:dyDescent="0.25">
      <c r="A20079" t="s">
        <v>24</v>
      </c>
      <c r="B20079" t="s">
        <v>58694</v>
      </c>
      <c r="C20079" t="str">
        <f>"432XR"</f>
        <v>432XR</v>
      </c>
      <c r="D20079" t="s">
        <v>74814</v>
      </c>
      <c r="E20079" t="s">
        <v>74815</v>
      </c>
      <c r="F20079" t="s">
        <v>3540</v>
      </c>
      <c r="G20079" t="s">
        <v>85</v>
      </c>
      <c r="H20079" t="s">
        <v>74816</v>
      </c>
      <c r="I20079" t="s">
        <v>30</v>
      </c>
      <c r="J20079" t="s">
        <v>31</v>
      </c>
      <c r="K20079" t="s">
        <v>321</v>
      </c>
      <c r="N20079" t="s">
        <v>65838</v>
      </c>
      <c r="Q20079">
        <v>0</v>
      </c>
      <c r="R20079">
        <v>58</v>
      </c>
      <c r="S20079">
        <v>0</v>
      </c>
      <c r="T20079" t="s">
        <v>74817</v>
      </c>
    </row>
    <row r="20080" spans="1:25" customFormat="1" ht="15" x14ac:dyDescent="0.25">
      <c r="A20080" t="s">
        <v>24</v>
      </c>
      <c r="B20080" t="s">
        <v>74818</v>
      </c>
      <c r="C20080" t="str">
        <f>"A0061253"</f>
        <v>A0061253</v>
      </c>
      <c r="D20080" t="s">
        <v>74819</v>
      </c>
      <c r="E20080" t="s">
        <v>74820</v>
      </c>
      <c r="F20080" t="s">
        <v>220</v>
      </c>
      <c r="G20080" t="s">
        <v>221</v>
      </c>
      <c r="H20080">
        <v>89115</v>
      </c>
      <c r="I20080" t="s">
        <v>30</v>
      </c>
      <c r="J20080" t="s">
        <v>31</v>
      </c>
      <c r="K20080" t="s">
        <v>321</v>
      </c>
      <c r="N20080" t="s">
        <v>74821</v>
      </c>
      <c r="Q20080">
        <v>0</v>
      </c>
      <c r="R20080">
        <v>59</v>
      </c>
      <c r="S20080">
        <v>0</v>
      </c>
      <c r="T20080" t="s">
        <v>74822</v>
      </c>
    </row>
    <row r="20081" spans="1:20" customFormat="1" ht="15" x14ac:dyDescent="0.25">
      <c r="A20081" t="s">
        <v>24</v>
      </c>
      <c r="B20081" t="s">
        <v>68712</v>
      </c>
      <c r="C20081" t="str">
        <f>"A0094760"</f>
        <v>A0094760</v>
      </c>
      <c r="D20081" t="s">
        <v>74823</v>
      </c>
      <c r="E20081" t="s">
        <v>74824</v>
      </c>
      <c r="F20081" t="s">
        <v>2120</v>
      </c>
      <c r="G20081" t="s">
        <v>52</v>
      </c>
      <c r="H20081">
        <v>79416</v>
      </c>
      <c r="I20081" t="s">
        <v>30</v>
      </c>
      <c r="J20081" t="s">
        <v>31</v>
      </c>
      <c r="K20081" t="s">
        <v>321</v>
      </c>
      <c r="N20081" t="s">
        <v>3975</v>
      </c>
      <c r="Q20081">
        <v>0</v>
      </c>
      <c r="R20081">
        <v>109</v>
      </c>
      <c r="S20081">
        <v>0</v>
      </c>
      <c r="T20081" t="s">
        <v>74825</v>
      </c>
    </row>
    <row r="20082" spans="1:20" customFormat="1" ht="15" x14ac:dyDescent="0.25">
      <c r="A20082" t="s">
        <v>24</v>
      </c>
      <c r="B20082" t="s">
        <v>56842</v>
      </c>
      <c r="C20082" t="str">
        <f>"A0166186"</f>
        <v>A0166186</v>
      </c>
      <c r="D20082" t="s">
        <v>74826</v>
      </c>
      <c r="E20082" t="s">
        <v>74827</v>
      </c>
      <c r="F20082" t="s">
        <v>74828</v>
      </c>
      <c r="G20082" t="s">
        <v>507</v>
      </c>
      <c r="H20082">
        <v>26501</v>
      </c>
      <c r="I20082" t="s">
        <v>30</v>
      </c>
      <c r="J20082" t="s">
        <v>31</v>
      </c>
      <c r="K20082" t="s">
        <v>321</v>
      </c>
      <c r="N20082" t="s">
        <v>74829</v>
      </c>
      <c r="Q20082">
        <v>0</v>
      </c>
      <c r="R20082">
        <v>95</v>
      </c>
      <c r="S20082">
        <v>0</v>
      </c>
      <c r="T20082" t="s">
        <v>74830</v>
      </c>
    </row>
    <row r="20083" spans="1:20" customFormat="1" ht="15" x14ac:dyDescent="0.25">
      <c r="A20083" t="s">
        <v>24</v>
      </c>
      <c r="B20083" t="s">
        <v>65444</v>
      </c>
      <c r="C20083" t="str">
        <f>"A0100885"</f>
        <v>A0100885</v>
      </c>
      <c r="D20083" t="s">
        <v>74831</v>
      </c>
      <c r="E20083" t="s">
        <v>74832</v>
      </c>
      <c r="F20083" t="s">
        <v>65447</v>
      </c>
      <c r="G20083" t="s">
        <v>52</v>
      </c>
      <c r="H20083">
        <v>78382</v>
      </c>
      <c r="I20083" t="s">
        <v>30</v>
      </c>
      <c r="J20083" t="s">
        <v>31</v>
      </c>
      <c r="K20083" t="s">
        <v>321</v>
      </c>
      <c r="N20083" t="s">
        <v>74833</v>
      </c>
      <c r="O20083" t="s">
        <v>65449</v>
      </c>
      <c r="Q20083">
        <v>0</v>
      </c>
      <c r="R20083">
        <v>72</v>
      </c>
      <c r="S20083">
        <v>0</v>
      </c>
      <c r="T20083" t="s">
        <v>74834</v>
      </c>
    </row>
    <row r="20084" spans="1:20" customFormat="1" ht="15" x14ac:dyDescent="0.25">
      <c r="A20084" t="s">
        <v>24</v>
      </c>
      <c r="B20084" t="s">
        <v>1473</v>
      </c>
      <c r="C20084" t="str">
        <f>"A0070019"</f>
        <v>A0070019</v>
      </c>
      <c r="D20084" t="s">
        <v>74835</v>
      </c>
      <c r="E20084" t="s">
        <v>74836</v>
      </c>
      <c r="F20084" t="s">
        <v>74837</v>
      </c>
      <c r="G20084" t="s">
        <v>899</v>
      </c>
      <c r="H20084">
        <v>1518</v>
      </c>
      <c r="I20084" t="s">
        <v>30</v>
      </c>
      <c r="J20084" t="s">
        <v>31</v>
      </c>
      <c r="K20084" t="s">
        <v>321</v>
      </c>
      <c r="N20084" t="s">
        <v>74838</v>
      </c>
      <c r="Q20084">
        <v>0</v>
      </c>
      <c r="R20084">
        <v>63</v>
      </c>
      <c r="S20084">
        <v>0</v>
      </c>
      <c r="T20084" t="s">
        <v>74839</v>
      </c>
    </row>
    <row r="20085" spans="1:20" customFormat="1" ht="15" x14ac:dyDescent="0.25">
      <c r="A20085" t="s">
        <v>24</v>
      </c>
      <c r="B20085" t="s">
        <v>762</v>
      </c>
      <c r="C20085" t="str">
        <f>"A0095610"</f>
        <v>A0095610</v>
      </c>
      <c r="D20085" t="s">
        <v>74840</v>
      </c>
      <c r="E20085" t="s">
        <v>74841</v>
      </c>
      <c r="F20085" t="s">
        <v>796</v>
      </c>
      <c r="G20085" t="s">
        <v>197</v>
      </c>
      <c r="H20085">
        <v>85711</v>
      </c>
      <c r="I20085" t="s">
        <v>30</v>
      </c>
      <c r="J20085" t="s">
        <v>31</v>
      </c>
      <c r="K20085" t="s">
        <v>321</v>
      </c>
      <c r="N20085" t="s">
        <v>74842</v>
      </c>
      <c r="O20085" t="s">
        <v>64306</v>
      </c>
      <c r="Q20085">
        <v>0</v>
      </c>
      <c r="R20085">
        <v>148</v>
      </c>
      <c r="S20085">
        <v>0</v>
      </c>
      <c r="T20085" t="s">
        <v>74843</v>
      </c>
    </row>
    <row r="20086" spans="1:20" customFormat="1" ht="15" x14ac:dyDescent="0.25">
      <c r="A20086" t="s">
        <v>24</v>
      </c>
      <c r="B20086" t="s">
        <v>5830</v>
      </c>
      <c r="C20086" t="str">
        <f>"A0095701"</f>
        <v>A0095701</v>
      </c>
      <c r="D20086" t="s">
        <v>74844</v>
      </c>
      <c r="E20086" t="s">
        <v>74845</v>
      </c>
      <c r="F20086" t="s">
        <v>74846</v>
      </c>
      <c r="G20086" t="s">
        <v>615</v>
      </c>
      <c r="H20086">
        <v>6810</v>
      </c>
      <c r="I20086" t="s">
        <v>30</v>
      </c>
      <c r="J20086" t="s">
        <v>31</v>
      </c>
      <c r="K20086" t="s">
        <v>321</v>
      </c>
      <c r="N20086" t="s">
        <v>754</v>
      </c>
      <c r="Q20086">
        <v>0</v>
      </c>
      <c r="R20086">
        <v>133</v>
      </c>
      <c r="S20086">
        <v>0</v>
      </c>
      <c r="T20086" t="s">
        <v>74847</v>
      </c>
    </row>
    <row r="20087" spans="1:20" customFormat="1" ht="15" x14ac:dyDescent="0.25">
      <c r="A20087" t="s">
        <v>24</v>
      </c>
      <c r="B20087" t="s">
        <v>1473</v>
      </c>
      <c r="C20087" t="str">
        <f>"A0090389"</f>
        <v>A0090389</v>
      </c>
      <c r="D20087" t="s">
        <v>74848</v>
      </c>
      <c r="E20087" t="s">
        <v>74849</v>
      </c>
      <c r="F20087" t="s">
        <v>56789</v>
      </c>
      <c r="G20087" t="s">
        <v>65</v>
      </c>
      <c r="H20087">
        <v>43123</v>
      </c>
      <c r="I20087" t="s">
        <v>30</v>
      </c>
      <c r="J20087" t="s">
        <v>31</v>
      </c>
      <c r="K20087" t="s">
        <v>321</v>
      </c>
      <c r="N20087" t="s">
        <v>74850</v>
      </c>
      <c r="Q20087">
        <v>0</v>
      </c>
      <c r="R20087">
        <v>60</v>
      </c>
      <c r="S20087">
        <v>0</v>
      </c>
      <c r="T20087" t="s">
        <v>74851</v>
      </c>
    </row>
    <row r="20088" spans="1:20" customFormat="1" ht="15" x14ac:dyDescent="0.25">
      <c r="A20088" t="s">
        <v>24</v>
      </c>
      <c r="B20088" t="s">
        <v>58755</v>
      </c>
      <c r="C20088" t="str">
        <f>"A0151760"</f>
        <v>A0151760</v>
      </c>
      <c r="D20088" t="s">
        <v>74852</v>
      </c>
      <c r="E20088" t="s">
        <v>74853</v>
      </c>
      <c r="F20088" t="s">
        <v>2839</v>
      </c>
      <c r="G20088" t="s">
        <v>846</v>
      </c>
      <c r="H20088">
        <v>31405</v>
      </c>
      <c r="I20088" t="s">
        <v>30</v>
      </c>
      <c r="J20088" t="s">
        <v>31</v>
      </c>
      <c r="K20088" t="s">
        <v>321</v>
      </c>
      <c r="N20088" t="s">
        <v>74854</v>
      </c>
      <c r="O20088" t="s">
        <v>74855</v>
      </c>
      <c r="Q20088">
        <v>0</v>
      </c>
      <c r="R20088">
        <v>154</v>
      </c>
      <c r="S20088">
        <v>0</v>
      </c>
      <c r="T20088" t="s">
        <v>74856</v>
      </c>
    </row>
    <row r="20089" spans="1:20" customFormat="1" ht="15" x14ac:dyDescent="0.25">
      <c r="A20089" t="s">
        <v>24</v>
      </c>
      <c r="B20089" t="s">
        <v>58755</v>
      </c>
      <c r="C20089" t="str">
        <f>"A0151759"</f>
        <v>A0151759</v>
      </c>
      <c r="D20089" t="s">
        <v>74857</v>
      </c>
      <c r="E20089" t="s">
        <v>74858</v>
      </c>
      <c r="F20089" t="s">
        <v>74859</v>
      </c>
      <c r="G20089" t="s">
        <v>846</v>
      </c>
      <c r="H20089">
        <v>31419</v>
      </c>
      <c r="I20089" t="s">
        <v>30</v>
      </c>
      <c r="J20089" t="s">
        <v>31</v>
      </c>
      <c r="K20089" t="s">
        <v>321</v>
      </c>
      <c r="N20089" t="s">
        <v>74860</v>
      </c>
      <c r="Q20089">
        <v>0</v>
      </c>
      <c r="R20089">
        <v>119</v>
      </c>
      <c r="S20089">
        <v>0</v>
      </c>
      <c r="T20089" t="s">
        <v>74861</v>
      </c>
    </row>
    <row r="20090" spans="1:20" customFormat="1" ht="15" x14ac:dyDescent="0.25">
      <c r="A20090" t="s">
        <v>24</v>
      </c>
      <c r="B20090" t="s">
        <v>2520</v>
      </c>
      <c r="C20090" t="str">
        <f>"A0057509"</f>
        <v>A0057509</v>
      </c>
      <c r="D20090" t="s">
        <v>74862</v>
      </c>
      <c r="E20090" t="s">
        <v>74863</v>
      </c>
      <c r="F20090" t="s">
        <v>2978</v>
      </c>
      <c r="G20090" t="s">
        <v>110</v>
      </c>
      <c r="H20090">
        <v>92108</v>
      </c>
      <c r="I20090" t="s">
        <v>30</v>
      </c>
      <c r="J20090" t="s">
        <v>31</v>
      </c>
      <c r="K20090" t="s">
        <v>321</v>
      </c>
      <c r="Q20090">
        <v>0</v>
      </c>
      <c r="R20090">
        <v>166</v>
      </c>
      <c r="S20090">
        <v>0</v>
      </c>
      <c r="T20090" t="s">
        <v>74864</v>
      </c>
    </row>
    <row r="20091" spans="1:20" customFormat="1" ht="15" x14ac:dyDescent="0.25">
      <c r="A20091" t="s">
        <v>24</v>
      </c>
      <c r="B20091" t="s">
        <v>2340</v>
      </c>
      <c r="C20091" t="str">
        <f>"A0056040"</f>
        <v>A0056040</v>
      </c>
      <c r="D20091" t="s">
        <v>74865</v>
      </c>
      <c r="E20091" t="s">
        <v>74866</v>
      </c>
      <c r="F20091" t="s">
        <v>74867</v>
      </c>
      <c r="G20091" t="s">
        <v>81</v>
      </c>
      <c r="H20091">
        <v>33781</v>
      </c>
      <c r="I20091" t="s">
        <v>30</v>
      </c>
      <c r="J20091" t="s">
        <v>31</v>
      </c>
      <c r="K20091" t="s">
        <v>321</v>
      </c>
      <c r="N20091" t="s">
        <v>74868</v>
      </c>
      <c r="Q20091">
        <v>0</v>
      </c>
      <c r="R20091">
        <v>118</v>
      </c>
      <c r="S20091">
        <v>0</v>
      </c>
      <c r="T20091" t="s">
        <v>74869</v>
      </c>
    </row>
    <row r="20092" spans="1:20" customFormat="1" ht="15" x14ac:dyDescent="0.25">
      <c r="A20092" t="s">
        <v>24</v>
      </c>
      <c r="B20092" t="s">
        <v>15291</v>
      </c>
      <c r="C20092" t="str">
        <f>"A0158577"</f>
        <v>A0158577</v>
      </c>
      <c r="D20092" t="s">
        <v>74870</v>
      </c>
      <c r="E20092" t="s">
        <v>74871</v>
      </c>
      <c r="F20092" t="s">
        <v>59184</v>
      </c>
      <c r="G20092" t="s">
        <v>52</v>
      </c>
      <c r="H20092">
        <v>77339</v>
      </c>
      <c r="I20092" t="s">
        <v>30</v>
      </c>
      <c r="J20092" t="s">
        <v>31</v>
      </c>
      <c r="K20092" t="s">
        <v>321</v>
      </c>
      <c r="N20092" t="s">
        <v>74872</v>
      </c>
      <c r="Q20092">
        <v>0</v>
      </c>
      <c r="R20092">
        <v>74</v>
      </c>
      <c r="S20092">
        <v>0</v>
      </c>
      <c r="T20092" t="s">
        <v>74873</v>
      </c>
    </row>
    <row r="20093" spans="1:20" customFormat="1" ht="15" x14ac:dyDescent="0.25">
      <c r="A20093" t="s">
        <v>24</v>
      </c>
      <c r="B20093" t="s">
        <v>15291</v>
      </c>
      <c r="C20093" t="str">
        <f>"A0158575"</f>
        <v>A0158575</v>
      </c>
      <c r="D20093" t="s">
        <v>74874</v>
      </c>
      <c r="E20093" t="s">
        <v>74875</v>
      </c>
      <c r="F20093" t="s">
        <v>2224</v>
      </c>
      <c r="G20093" t="s">
        <v>52</v>
      </c>
      <c r="H20093">
        <v>78734</v>
      </c>
      <c r="I20093" t="s">
        <v>30</v>
      </c>
      <c r="J20093" t="s">
        <v>31</v>
      </c>
      <c r="K20093" t="s">
        <v>321</v>
      </c>
      <c r="N20093" t="s">
        <v>74876</v>
      </c>
      <c r="Q20093">
        <v>0</v>
      </c>
      <c r="R20093">
        <v>108</v>
      </c>
      <c r="S20093">
        <v>0</v>
      </c>
      <c r="T20093" t="s">
        <v>74877</v>
      </c>
    </row>
    <row r="20094" spans="1:20" customFormat="1" ht="15" x14ac:dyDescent="0.25">
      <c r="A20094" t="s">
        <v>24</v>
      </c>
      <c r="B20094" t="s">
        <v>9412</v>
      </c>
      <c r="C20094" t="str">
        <f>"A0165473"</f>
        <v>A0165473</v>
      </c>
      <c r="D20094" t="s">
        <v>74878</v>
      </c>
      <c r="E20094" t="s">
        <v>74879</v>
      </c>
      <c r="F20094" t="s">
        <v>33439</v>
      </c>
      <c r="G20094" t="s">
        <v>71</v>
      </c>
      <c r="H20094">
        <v>54902</v>
      </c>
      <c r="I20094" t="s">
        <v>30</v>
      </c>
      <c r="J20094" t="s">
        <v>31</v>
      </c>
      <c r="K20094" t="s">
        <v>321</v>
      </c>
      <c r="N20094" t="s">
        <v>58223</v>
      </c>
      <c r="Q20094">
        <v>0</v>
      </c>
      <c r="R20094">
        <v>96</v>
      </c>
      <c r="S20094">
        <v>0</v>
      </c>
      <c r="T20094" t="s">
        <v>74880</v>
      </c>
    </row>
    <row r="20095" spans="1:20" customFormat="1" ht="15" x14ac:dyDescent="0.25">
      <c r="A20095" t="s">
        <v>24</v>
      </c>
      <c r="B20095" t="s">
        <v>15291</v>
      </c>
      <c r="C20095" t="str">
        <f>"A0158587"</f>
        <v>A0158587</v>
      </c>
      <c r="D20095" t="s">
        <v>74881</v>
      </c>
      <c r="E20095" t="s">
        <v>74882</v>
      </c>
      <c r="F20095" t="s">
        <v>5620</v>
      </c>
      <c r="G20095" t="s">
        <v>52</v>
      </c>
      <c r="H20095">
        <v>77469</v>
      </c>
      <c r="I20095" t="s">
        <v>30</v>
      </c>
      <c r="J20095" t="s">
        <v>31</v>
      </c>
      <c r="K20095" t="s">
        <v>321</v>
      </c>
      <c r="N20095" t="s">
        <v>74883</v>
      </c>
      <c r="Q20095">
        <v>0</v>
      </c>
      <c r="R20095">
        <v>83</v>
      </c>
      <c r="S20095">
        <v>0</v>
      </c>
      <c r="T20095" t="s">
        <v>74884</v>
      </c>
    </row>
    <row r="20096" spans="1:20" customFormat="1" ht="15" x14ac:dyDescent="0.25">
      <c r="A20096" t="s">
        <v>24</v>
      </c>
      <c r="B20096" t="s">
        <v>15291</v>
      </c>
      <c r="C20096" t="str">
        <f>"A0158586"</f>
        <v>A0158586</v>
      </c>
      <c r="D20096" t="s">
        <v>3831</v>
      </c>
      <c r="E20096" t="s">
        <v>74885</v>
      </c>
      <c r="F20096" t="s">
        <v>1564</v>
      </c>
      <c r="G20096" t="s">
        <v>52</v>
      </c>
      <c r="H20096">
        <v>77070</v>
      </c>
      <c r="I20096" t="s">
        <v>30</v>
      </c>
      <c r="J20096" t="s">
        <v>31</v>
      </c>
      <c r="K20096" t="s">
        <v>321</v>
      </c>
      <c r="N20096" t="s">
        <v>63731</v>
      </c>
      <c r="Q20096">
        <v>0</v>
      </c>
      <c r="R20096">
        <v>74</v>
      </c>
      <c r="S20096">
        <v>0</v>
      </c>
      <c r="T20096" t="s">
        <v>74886</v>
      </c>
    </row>
    <row r="20097" spans="1:25" customFormat="1" ht="15" x14ac:dyDescent="0.25">
      <c r="A20097" t="s">
        <v>24</v>
      </c>
      <c r="B20097" t="s">
        <v>4990</v>
      </c>
      <c r="C20097" t="str">
        <f>"A0088824"</f>
        <v>A0088824</v>
      </c>
      <c r="D20097" t="s">
        <v>74887</v>
      </c>
      <c r="E20097" t="s">
        <v>74888</v>
      </c>
      <c r="F20097" t="s">
        <v>16182</v>
      </c>
      <c r="G20097" t="s">
        <v>29</v>
      </c>
      <c r="H20097">
        <v>22602</v>
      </c>
      <c r="I20097" t="s">
        <v>30</v>
      </c>
      <c r="J20097" t="s">
        <v>31</v>
      </c>
      <c r="K20097" t="s">
        <v>321</v>
      </c>
      <c r="N20097" t="s">
        <v>57653</v>
      </c>
      <c r="O20097" t="s">
        <v>74889</v>
      </c>
      <c r="Q20097">
        <v>0</v>
      </c>
      <c r="R20097">
        <v>97</v>
      </c>
      <c r="S20097">
        <v>0</v>
      </c>
      <c r="T20097" t="s">
        <v>74890</v>
      </c>
    </row>
    <row r="20098" spans="1:25" customFormat="1" ht="15" x14ac:dyDescent="0.25">
      <c r="A20098" t="s">
        <v>24</v>
      </c>
      <c r="B20098" t="s">
        <v>15291</v>
      </c>
      <c r="C20098" t="str">
        <f>"A0158590"</f>
        <v>A0158590</v>
      </c>
      <c r="D20098" t="s">
        <v>74891</v>
      </c>
      <c r="E20098" t="s">
        <v>74892</v>
      </c>
      <c r="F20098" t="s">
        <v>74893</v>
      </c>
      <c r="G20098" t="s">
        <v>52</v>
      </c>
      <c r="H20098">
        <v>77381</v>
      </c>
      <c r="I20098" t="s">
        <v>30</v>
      </c>
      <c r="J20098" t="s">
        <v>31</v>
      </c>
      <c r="K20098" t="s">
        <v>321</v>
      </c>
      <c r="N20098" t="s">
        <v>74894</v>
      </c>
      <c r="Q20098">
        <v>0</v>
      </c>
      <c r="R20098">
        <v>117</v>
      </c>
      <c r="S20098">
        <v>0</v>
      </c>
      <c r="T20098" t="s">
        <v>74895</v>
      </c>
    </row>
    <row r="20099" spans="1:25" customFormat="1" ht="15" x14ac:dyDescent="0.25">
      <c r="A20099" t="s">
        <v>24</v>
      </c>
      <c r="B20099" t="s">
        <v>74896</v>
      </c>
      <c r="C20099" t="str">
        <f>"A0051619"</f>
        <v>A0051619</v>
      </c>
      <c r="D20099" t="s">
        <v>74896</v>
      </c>
      <c r="E20099" t="s">
        <v>74897</v>
      </c>
      <c r="F20099" t="s">
        <v>34183</v>
      </c>
      <c r="G20099" t="s">
        <v>110</v>
      </c>
      <c r="H20099">
        <v>95032</v>
      </c>
      <c r="I20099" t="s">
        <v>30</v>
      </c>
      <c r="J20099" t="s">
        <v>178</v>
      </c>
      <c r="K20099" t="s">
        <v>179</v>
      </c>
      <c r="N20099" t="s">
        <v>74898</v>
      </c>
      <c r="O20099" t="s">
        <v>74899</v>
      </c>
      <c r="P20099" t="s">
        <v>992</v>
      </c>
      <c r="Q20099">
        <v>1</v>
      </c>
      <c r="R20099">
        <v>0</v>
      </c>
      <c r="S20099">
        <v>0</v>
      </c>
      <c r="T20099" t="s">
        <v>74900</v>
      </c>
    </row>
    <row r="20100" spans="1:25" x14ac:dyDescent="0.25">
      <c r="A20100" s="5" t="s">
        <v>24</v>
      </c>
      <c r="B20100" s="5" t="s">
        <v>675</v>
      </c>
      <c r="C20100" s="5" t="str">
        <f>"311H1"</f>
        <v>311H1</v>
      </c>
      <c r="D20100" s="5" t="s">
        <v>60311</v>
      </c>
      <c r="E20100" s="5" t="s">
        <v>60312</v>
      </c>
      <c r="F20100" s="5" t="s">
        <v>60313</v>
      </c>
      <c r="G20100" s="5" t="s">
        <v>117</v>
      </c>
      <c r="H20100" s="5">
        <v>48126</v>
      </c>
      <c r="I20100" s="5" t="s">
        <v>30</v>
      </c>
      <c r="J20100" s="5" t="s">
        <v>171</v>
      </c>
      <c r="K20100" s="5" t="s">
        <v>973</v>
      </c>
      <c r="L20100" s="5"/>
      <c r="M20100" s="5"/>
      <c r="N20100" s="5" t="s">
        <v>60314</v>
      </c>
      <c r="O20100" s="5" t="s">
        <v>3486</v>
      </c>
      <c r="P20100" s="5"/>
      <c r="Q20100" s="5">
        <v>0</v>
      </c>
      <c r="R20100" s="5">
        <v>147</v>
      </c>
      <c r="S20100" s="5">
        <v>0</v>
      </c>
      <c r="T20100" s="5" t="s">
        <v>60315</v>
      </c>
      <c r="U20100" s="5"/>
      <c r="V20100" s="5"/>
      <c r="W20100" s="5"/>
      <c r="X20100" s="5"/>
      <c r="Y20100" s="5"/>
    </row>
    <row r="20101" spans="1:25" customFormat="1" ht="15" x14ac:dyDescent="0.25">
      <c r="A20101" t="s">
        <v>24</v>
      </c>
      <c r="B20101" t="s">
        <v>4990</v>
      </c>
      <c r="C20101" t="str">
        <f>"A0166078"</f>
        <v>A0166078</v>
      </c>
      <c r="D20101" t="s">
        <v>74906</v>
      </c>
      <c r="E20101" t="s">
        <v>74907</v>
      </c>
      <c r="F20101" t="s">
        <v>16619</v>
      </c>
      <c r="G20101" t="s">
        <v>1898</v>
      </c>
      <c r="H20101">
        <v>52241</v>
      </c>
      <c r="I20101" t="s">
        <v>30</v>
      </c>
      <c r="J20101" t="s">
        <v>687</v>
      </c>
      <c r="K20101" t="s">
        <v>163</v>
      </c>
      <c r="N20101" t="s">
        <v>58152</v>
      </c>
      <c r="O20101" t="s">
        <v>74908</v>
      </c>
      <c r="Q20101">
        <v>0</v>
      </c>
      <c r="R20101">
        <v>0</v>
      </c>
      <c r="S20101">
        <v>0</v>
      </c>
      <c r="T20101" t="s">
        <v>58153</v>
      </c>
    </row>
    <row r="20102" spans="1:25" customFormat="1" ht="15" x14ac:dyDescent="0.25">
      <c r="A20102" t="s">
        <v>24</v>
      </c>
      <c r="B20102" t="s">
        <v>675</v>
      </c>
      <c r="C20102" t="str">
        <f>"311GW"</f>
        <v>311GW</v>
      </c>
      <c r="D20102" t="s">
        <v>60316</v>
      </c>
      <c r="E20102" t="s">
        <v>60317</v>
      </c>
      <c r="F20102" t="s">
        <v>7153</v>
      </c>
      <c r="G20102" t="s">
        <v>117</v>
      </c>
      <c r="H20102">
        <v>48226</v>
      </c>
      <c r="I20102" t="s">
        <v>30</v>
      </c>
      <c r="J20102" t="s">
        <v>171</v>
      </c>
      <c r="K20102" t="s">
        <v>973</v>
      </c>
      <c r="N20102" t="s">
        <v>60318</v>
      </c>
      <c r="Q20102">
        <v>0</v>
      </c>
      <c r="R20102">
        <v>250</v>
      </c>
      <c r="S20102">
        <v>0</v>
      </c>
      <c r="T20102" t="s">
        <v>60319</v>
      </c>
    </row>
    <row r="20103" spans="1:25" customFormat="1" ht="15" x14ac:dyDescent="0.25">
      <c r="A20103" t="s">
        <v>24</v>
      </c>
      <c r="B20103" t="s">
        <v>675</v>
      </c>
      <c r="C20103" t="str">
        <f>"311T2"</f>
        <v>311T2</v>
      </c>
      <c r="D20103" t="s">
        <v>60320</v>
      </c>
      <c r="E20103" t="s">
        <v>60321</v>
      </c>
      <c r="F20103" t="s">
        <v>6348</v>
      </c>
      <c r="G20103" t="s">
        <v>117</v>
      </c>
      <c r="H20103">
        <v>48152</v>
      </c>
      <c r="I20103" t="s">
        <v>30</v>
      </c>
      <c r="J20103" t="s">
        <v>171</v>
      </c>
      <c r="K20103" t="s">
        <v>973</v>
      </c>
      <c r="N20103" t="s">
        <v>60322</v>
      </c>
      <c r="O20103" t="s">
        <v>60323</v>
      </c>
      <c r="Q20103">
        <v>0</v>
      </c>
      <c r="R20103">
        <v>149</v>
      </c>
      <c r="S20103">
        <v>0</v>
      </c>
      <c r="T20103" t="s">
        <v>60324</v>
      </c>
    </row>
    <row r="20104" spans="1:25" customFormat="1" ht="15" x14ac:dyDescent="0.25">
      <c r="A20104" t="s">
        <v>24</v>
      </c>
      <c r="B20104" t="s">
        <v>6667</v>
      </c>
      <c r="C20104" t="str">
        <f>"A0069311"</f>
        <v>A0069311</v>
      </c>
      <c r="D20104" t="s">
        <v>74919</v>
      </c>
      <c r="E20104" t="s">
        <v>74920</v>
      </c>
      <c r="F20104" t="s">
        <v>57918</v>
      </c>
      <c r="G20104" t="s">
        <v>52</v>
      </c>
      <c r="H20104">
        <v>75057</v>
      </c>
      <c r="I20104" t="s">
        <v>30</v>
      </c>
      <c r="J20104" t="s">
        <v>178</v>
      </c>
      <c r="K20104" t="s">
        <v>6667</v>
      </c>
      <c r="N20104" t="s">
        <v>74921</v>
      </c>
      <c r="P20104" t="s">
        <v>6426</v>
      </c>
      <c r="Q20104">
        <v>1</v>
      </c>
      <c r="R20104">
        <v>0</v>
      </c>
      <c r="S20104">
        <v>0</v>
      </c>
      <c r="T20104" t="s">
        <v>74922</v>
      </c>
    </row>
    <row r="20105" spans="1:25" customFormat="1" ht="15" x14ac:dyDescent="0.25">
      <c r="A20105" t="s">
        <v>24</v>
      </c>
      <c r="B20105" t="s">
        <v>6667</v>
      </c>
      <c r="C20105" t="str">
        <f>"A0069312"</f>
        <v>A0069312</v>
      </c>
      <c r="D20105" t="s">
        <v>74923</v>
      </c>
      <c r="E20105" t="s">
        <v>74924</v>
      </c>
      <c r="F20105" t="s">
        <v>57918</v>
      </c>
      <c r="G20105" t="s">
        <v>52</v>
      </c>
      <c r="H20105">
        <v>75057</v>
      </c>
      <c r="I20105" t="s">
        <v>30</v>
      </c>
      <c r="J20105" t="s">
        <v>178</v>
      </c>
      <c r="K20105" t="s">
        <v>6667</v>
      </c>
      <c r="N20105" t="s">
        <v>74921</v>
      </c>
      <c r="P20105" t="s">
        <v>6426</v>
      </c>
      <c r="Q20105">
        <v>1</v>
      </c>
      <c r="R20105">
        <v>0</v>
      </c>
      <c r="S20105">
        <v>0</v>
      </c>
      <c r="T20105" t="s">
        <v>74925</v>
      </c>
    </row>
    <row r="20106" spans="1:25" customFormat="1" ht="15" x14ac:dyDescent="0.25">
      <c r="A20106" t="s">
        <v>24</v>
      </c>
      <c r="B20106" t="s">
        <v>2360</v>
      </c>
      <c r="C20106" t="str">
        <f>"A0050989"</f>
        <v>A0050989</v>
      </c>
      <c r="D20106" t="s">
        <v>74926</v>
      </c>
      <c r="E20106" t="s">
        <v>74927</v>
      </c>
      <c r="F20106" t="s">
        <v>74928</v>
      </c>
      <c r="G20106" t="s">
        <v>52</v>
      </c>
      <c r="H20106">
        <v>77354</v>
      </c>
      <c r="I20106" t="s">
        <v>30</v>
      </c>
      <c r="J20106" t="s">
        <v>178</v>
      </c>
      <c r="K20106" t="s">
        <v>8013</v>
      </c>
      <c r="N20106" t="s">
        <v>66790</v>
      </c>
      <c r="Q20106">
        <v>1</v>
      </c>
      <c r="R20106">
        <v>0</v>
      </c>
      <c r="S20106">
        <v>0</v>
      </c>
      <c r="T20106" t="s">
        <v>74929</v>
      </c>
    </row>
    <row r="20107" spans="1:25" customFormat="1" ht="15" x14ac:dyDescent="0.25">
      <c r="A20107" t="s">
        <v>24</v>
      </c>
      <c r="B20107" t="s">
        <v>6667</v>
      </c>
      <c r="C20107" t="str">
        <f>"A0051132"</f>
        <v>A0051132</v>
      </c>
      <c r="D20107" t="s">
        <v>74930</v>
      </c>
      <c r="E20107" t="s">
        <v>74931</v>
      </c>
      <c r="F20107" t="s">
        <v>2120</v>
      </c>
      <c r="G20107" t="s">
        <v>52</v>
      </c>
      <c r="H20107">
        <v>79424</v>
      </c>
      <c r="I20107" t="s">
        <v>30</v>
      </c>
      <c r="J20107" t="s">
        <v>178</v>
      </c>
      <c r="K20107" t="s">
        <v>6667</v>
      </c>
      <c r="N20107" t="s">
        <v>74932</v>
      </c>
      <c r="P20107" t="s">
        <v>992</v>
      </c>
      <c r="Q20107">
        <v>1</v>
      </c>
      <c r="R20107">
        <v>0</v>
      </c>
      <c r="S20107">
        <v>0</v>
      </c>
      <c r="T20107" t="s">
        <v>74933</v>
      </c>
    </row>
    <row r="20108" spans="1:25" customFormat="1" ht="15" x14ac:dyDescent="0.25">
      <c r="A20108" t="s">
        <v>24</v>
      </c>
      <c r="B20108" t="s">
        <v>1583</v>
      </c>
      <c r="C20108" t="str">
        <f>"A0089154"</f>
        <v>A0089154</v>
      </c>
      <c r="D20108" t="s">
        <v>74934</v>
      </c>
      <c r="E20108" t="s">
        <v>74935</v>
      </c>
      <c r="F20108" t="s">
        <v>985</v>
      </c>
      <c r="G20108" t="s">
        <v>81</v>
      </c>
      <c r="H20108">
        <v>32837</v>
      </c>
      <c r="I20108" t="s">
        <v>30</v>
      </c>
      <c r="J20108" t="s">
        <v>2544</v>
      </c>
      <c r="K20108" t="s">
        <v>36059</v>
      </c>
      <c r="N20108" t="s">
        <v>74936</v>
      </c>
      <c r="O20108" t="s">
        <v>74937</v>
      </c>
      <c r="Q20108">
        <v>0</v>
      </c>
      <c r="R20108">
        <v>541</v>
      </c>
      <c r="S20108">
        <v>0</v>
      </c>
      <c r="T20108" t="s">
        <v>74938</v>
      </c>
    </row>
    <row r="20109" spans="1:25" customFormat="1" ht="15" x14ac:dyDescent="0.25">
      <c r="A20109" t="s">
        <v>24</v>
      </c>
      <c r="B20109" t="s">
        <v>60077</v>
      </c>
      <c r="C20109" t="str">
        <f>"651I4"</f>
        <v>651I4</v>
      </c>
      <c r="D20109" t="s">
        <v>60325</v>
      </c>
      <c r="E20109" t="s">
        <v>60326</v>
      </c>
      <c r="F20109" t="s">
        <v>60327</v>
      </c>
      <c r="G20109" t="s">
        <v>117</v>
      </c>
      <c r="H20109">
        <v>48341</v>
      </c>
      <c r="I20109" t="s">
        <v>30</v>
      </c>
      <c r="J20109" t="s">
        <v>171</v>
      </c>
      <c r="K20109" t="s">
        <v>973</v>
      </c>
      <c r="N20109" t="s">
        <v>60328</v>
      </c>
      <c r="Q20109">
        <v>0</v>
      </c>
      <c r="R20109">
        <v>110</v>
      </c>
      <c r="S20109">
        <v>0</v>
      </c>
      <c r="T20109" t="s">
        <v>60329</v>
      </c>
    </row>
    <row r="20110" spans="1:25" customFormat="1" ht="15" x14ac:dyDescent="0.25">
      <c r="A20110" t="s">
        <v>24</v>
      </c>
      <c r="B20110" t="s">
        <v>74943</v>
      </c>
      <c r="C20110" t="str">
        <f>"A0098832"</f>
        <v>A0098832</v>
      </c>
      <c r="D20110" t="s">
        <v>74944</v>
      </c>
      <c r="E20110" t="s">
        <v>74945</v>
      </c>
      <c r="F20110" t="s">
        <v>74946</v>
      </c>
      <c r="G20110" t="s">
        <v>2450</v>
      </c>
      <c r="H20110">
        <v>4064</v>
      </c>
      <c r="I20110" t="s">
        <v>30</v>
      </c>
      <c r="J20110" t="s">
        <v>31</v>
      </c>
      <c r="K20110" t="s">
        <v>163</v>
      </c>
      <c r="N20110" t="s">
        <v>74947</v>
      </c>
      <c r="Q20110">
        <v>0</v>
      </c>
      <c r="R20110">
        <v>15</v>
      </c>
      <c r="S20110">
        <v>0</v>
      </c>
      <c r="T20110" t="s">
        <v>74948</v>
      </c>
    </row>
    <row r="20111" spans="1:25" customFormat="1" ht="15" x14ac:dyDescent="0.25">
      <c r="A20111" t="s">
        <v>24</v>
      </c>
      <c r="B20111" t="s">
        <v>2812</v>
      </c>
      <c r="C20111" t="str">
        <f>"311G7"</f>
        <v>311G7</v>
      </c>
      <c r="D20111" t="s">
        <v>60330</v>
      </c>
      <c r="E20111" t="s">
        <v>60331</v>
      </c>
      <c r="F20111" t="s">
        <v>34957</v>
      </c>
      <c r="G20111" t="s">
        <v>117</v>
      </c>
      <c r="H20111">
        <v>48034</v>
      </c>
      <c r="I20111" t="s">
        <v>30</v>
      </c>
      <c r="J20111" t="s">
        <v>171</v>
      </c>
      <c r="K20111" t="s">
        <v>973</v>
      </c>
      <c r="N20111" t="s">
        <v>60332</v>
      </c>
      <c r="Q20111">
        <v>0</v>
      </c>
      <c r="R20111">
        <v>147</v>
      </c>
      <c r="S20111">
        <v>0</v>
      </c>
      <c r="T20111" t="s">
        <v>60333</v>
      </c>
    </row>
    <row r="20112" spans="1:25" customFormat="1" ht="15" x14ac:dyDescent="0.25">
      <c r="A20112" t="s">
        <v>24</v>
      </c>
      <c r="B20112" t="s">
        <v>6667</v>
      </c>
      <c r="C20112" t="str">
        <f>"A0096178"</f>
        <v>A0096178</v>
      </c>
      <c r="D20112" t="s">
        <v>74953</v>
      </c>
      <c r="E20112" t="s">
        <v>74954</v>
      </c>
      <c r="F20112" t="s">
        <v>74955</v>
      </c>
      <c r="G20112" t="s">
        <v>52</v>
      </c>
      <c r="H20112">
        <v>76226</v>
      </c>
      <c r="I20112" t="s">
        <v>30</v>
      </c>
      <c r="J20112" t="s">
        <v>178</v>
      </c>
      <c r="K20112" t="s">
        <v>179</v>
      </c>
      <c r="N20112" t="s">
        <v>74956</v>
      </c>
      <c r="Q20112">
        <v>0</v>
      </c>
      <c r="R20112">
        <v>0</v>
      </c>
      <c r="S20112">
        <v>0</v>
      </c>
      <c r="T20112" t="s">
        <v>74957</v>
      </c>
    </row>
    <row r="20113" spans="1:20" customFormat="1" ht="15" x14ac:dyDescent="0.25">
      <c r="A20113" t="s">
        <v>24</v>
      </c>
      <c r="B20113" t="s">
        <v>3502</v>
      </c>
      <c r="C20113" t="str">
        <f>"A0100257"</f>
        <v>A0100257</v>
      </c>
      <c r="D20113" t="s">
        <v>74958</v>
      </c>
      <c r="E20113" t="s">
        <v>74959</v>
      </c>
      <c r="F20113" t="s">
        <v>54149</v>
      </c>
      <c r="G20113" t="s">
        <v>52</v>
      </c>
      <c r="H20113">
        <v>76108</v>
      </c>
      <c r="I20113" t="s">
        <v>30</v>
      </c>
      <c r="J20113" t="s">
        <v>31</v>
      </c>
      <c r="K20113" t="s">
        <v>321</v>
      </c>
      <c r="N20113" t="s">
        <v>7917</v>
      </c>
      <c r="O20113" t="s">
        <v>74960</v>
      </c>
      <c r="Q20113">
        <v>0</v>
      </c>
      <c r="R20113">
        <v>89</v>
      </c>
      <c r="S20113">
        <v>0</v>
      </c>
      <c r="T20113" t="s">
        <v>74961</v>
      </c>
    </row>
    <row r="20114" spans="1:20" customFormat="1" ht="15" x14ac:dyDescent="0.25">
      <c r="A20114" t="s">
        <v>24</v>
      </c>
      <c r="B20114" t="s">
        <v>3502</v>
      </c>
      <c r="C20114" t="str">
        <f>"A0076656"</f>
        <v>A0076656</v>
      </c>
      <c r="D20114" t="s">
        <v>74962</v>
      </c>
      <c r="E20114" t="s">
        <v>74963</v>
      </c>
      <c r="F20114" t="s">
        <v>2094</v>
      </c>
      <c r="G20114" t="s">
        <v>52</v>
      </c>
      <c r="H20114">
        <v>75202</v>
      </c>
      <c r="I20114" t="s">
        <v>30</v>
      </c>
      <c r="J20114" t="s">
        <v>31</v>
      </c>
      <c r="K20114" t="s">
        <v>321</v>
      </c>
      <c r="N20114" t="s">
        <v>70616</v>
      </c>
      <c r="O20114" t="s">
        <v>3506</v>
      </c>
      <c r="Q20114">
        <v>0</v>
      </c>
      <c r="R20114">
        <v>118</v>
      </c>
      <c r="S20114">
        <v>0</v>
      </c>
      <c r="T20114" t="s">
        <v>74964</v>
      </c>
    </row>
    <row r="20115" spans="1:20" customFormat="1" ht="15" x14ac:dyDescent="0.25">
      <c r="A20115" t="s">
        <v>24</v>
      </c>
      <c r="B20115" t="s">
        <v>56526</v>
      </c>
      <c r="C20115" t="str">
        <f>"A0089468"</f>
        <v>A0089468</v>
      </c>
      <c r="D20115" t="s">
        <v>74965</v>
      </c>
      <c r="E20115" t="s">
        <v>74966</v>
      </c>
      <c r="F20115" t="s">
        <v>177</v>
      </c>
      <c r="G20115" t="s">
        <v>81</v>
      </c>
      <c r="H20115">
        <v>33912</v>
      </c>
      <c r="I20115" t="s">
        <v>30</v>
      </c>
      <c r="J20115" t="s">
        <v>31</v>
      </c>
      <c r="K20115" t="s">
        <v>321</v>
      </c>
      <c r="N20115" t="s">
        <v>74967</v>
      </c>
      <c r="Q20115">
        <v>0</v>
      </c>
      <c r="R20115">
        <v>73</v>
      </c>
      <c r="S20115">
        <v>0</v>
      </c>
      <c r="T20115" t="s">
        <v>74968</v>
      </c>
    </row>
    <row r="20116" spans="1:20" customFormat="1" ht="15" x14ac:dyDescent="0.25">
      <c r="A20116" t="s">
        <v>24</v>
      </c>
      <c r="B20116" t="s">
        <v>59142</v>
      </c>
      <c r="C20116" t="str">
        <f>"88HX030"</f>
        <v>88HX030</v>
      </c>
      <c r="D20116" t="s">
        <v>74969</v>
      </c>
      <c r="E20116" t="s">
        <v>74970</v>
      </c>
      <c r="F20116" t="s">
        <v>3837</v>
      </c>
      <c r="G20116" t="s">
        <v>47</v>
      </c>
      <c r="H20116">
        <v>97477</v>
      </c>
      <c r="I20116" t="s">
        <v>30</v>
      </c>
      <c r="J20116" t="s">
        <v>31</v>
      </c>
      <c r="K20116" t="s">
        <v>321</v>
      </c>
      <c r="N20116" t="s">
        <v>74971</v>
      </c>
      <c r="Q20116">
        <v>0</v>
      </c>
      <c r="R20116">
        <v>58</v>
      </c>
      <c r="S20116">
        <v>0</v>
      </c>
      <c r="T20116" t="s">
        <v>74972</v>
      </c>
    </row>
    <row r="20117" spans="1:20" customFormat="1" ht="15" x14ac:dyDescent="0.25">
      <c r="A20117" t="s">
        <v>24</v>
      </c>
      <c r="B20117" t="s">
        <v>74973</v>
      </c>
      <c r="C20117" t="str">
        <f>"A0056987"</f>
        <v>A0056987</v>
      </c>
      <c r="D20117" t="s">
        <v>74974</v>
      </c>
      <c r="E20117" t="s">
        <v>74975</v>
      </c>
      <c r="F20117" t="s">
        <v>57918</v>
      </c>
      <c r="G20117" t="s">
        <v>52</v>
      </c>
      <c r="H20117">
        <v>75067</v>
      </c>
      <c r="I20117" t="s">
        <v>30</v>
      </c>
      <c r="J20117" t="s">
        <v>31</v>
      </c>
      <c r="K20117" t="s">
        <v>321</v>
      </c>
      <c r="N20117" t="s">
        <v>74976</v>
      </c>
      <c r="Q20117">
        <v>0</v>
      </c>
      <c r="R20117">
        <v>129</v>
      </c>
      <c r="S20117">
        <v>0</v>
      </c>
      <c r="T20117" t="s">
        <v>74977</v>
      </c>
    </row>
    <row r="20118" spans="1:20" customFormat="1" ht="15" x14ac:dyDescent="0.25">
      <c r="A20118" t="s">
        <v>24</v>
      </c>
      <c r="B20118" t="s">
        <v>1577</v>
      </c>
      <c r="C20118" t="str">
        <f>"A0145883"</f>
        <v>A0145883</v>
      </c>
      <c r="D20118" t="s">
        <v>74978</v>
      </c>
      <c r="E20118" t="s">
        <v>74979</v>
      </c>
      <c r="F20118" t="s">
        <v>53883</v>
      </c>
      <c r="G20118" t="s">
        <v>1706</v>
      </c>
      <c r="H20118">
        <v>36608</v>
      </c>
      <c r="I20118" t="s">
        <v>30</v>
      </c>
      <c r="J20118" t="s">
        <v>31</v>
      </c>
      <c r="K20118" t="s">
        <v>321</v>
      </c>
      <c r="N20118" t="s">
        <v>2518</v>
      </c>
      <c r="O20118" t="s">
        <v>74980</v>
      </c>
      <c r="Q20118">
        <v>0</v>
      </c>
      <c r="R20118">
        <v>80</v>
      </c>
      <c r="S20118">
        <v>0</v>
      </c>
      <c r="T20118" t="s">
        <v>74981</v>
      </c>
    </row>
    <row r="20119" spans="1:20" customFormat="1" ht="15" x14ac:dyDescent="0.25">
      <c r="A20119" t="s">
        <v>24</v>
      </c>
      <c r="B20119" t="s">
        <v>1020</v>
      </c>
      <c r="C20119" t="str">
        <f>"A0092523"</f>
        <v>A0092523</v>
      </c>
      <c r="D20119" t="s">
        <v>74982</v>
      </c>
      <c r="E20119" t="s">
        <v>74983</v>
      </c>
      <c r="F20119" t="s">
        <v>14497</v>
      </c>
      <c r="G20119" t="s">
        <v>76</v>
      </c>
      <c r="H20119">
        <v>98006</v>
      </c>
      <c r="I20119" t="s">
        <v>30</v>
      </c>
      <c r="J20119" t="s">
        <v>31</v>
      </c>
      <c r="K20119" t="s">
        <v>163</v>
      </c>
      <c r="N20119" t="s">
        <v>74984</v>
      </c>
      <c r="Q20119">
        <v>0</v>
      </c>
      <c r="R20119">
        <v>126</v>
      </c>
      <c r="S20119">
        <v>0</v>
      </c>
      <c r="T20119" t="s">
        <v>74985</v>
      </c>
    </row>
    <row r="20120" spans="1:20" customFormat="1" ht="15" x14ac:dyDescent="0.25">
      <c r="A20120" t="s">
        <v>24</v>
      </c>
      <c r="B20120" t="s">
        <v>1020</v>
      </c>
      <c r="C20120" t="str">
        <f>"A0092524"</f>
        <v>A0092524</v>
      </c>
      <c r="D20120" t="s">
        <v>74986</v>
      </c>
      <c r="E20120" t="s">
        <v>74987</v>
      </c>
      <c r="F20120" t="s">
        <v>14506</v>
      </c>
      <c r="G20120" t="s">
        <v>110</v>
      </c>
      <c r="H20120">
        <v>95008</v>
      </c>
      <c r="I20120" t="s">
        <v>30</v>
      </c>
      <c r="J20120" t="s">
        <v>31</v>
      </c>
      <c r="K20120" t="s">
        <v>163</v>
      </c>
      <c r="N20120" t="s">
        <v>74988</v>
      </c>
      <c r="Q20120">
        <v>0</v>
      </c>
      <c r="R20120">
        <v>117</v>
      </c>
      <c r="S20120">
        <v>0</v>
      </c>
      <c r="T20120" t="s">
        <v>74989</v>
      </c>
    </row>
    <row r="20121" spans="1:20" customFormat="1" ht="15" x14ac:dyDescent="0.25">
      <c r="A20121" t="s">
        <v>24</v>
      </c>
      <c r="B20121" t="s">
        <v>1020</v>
      </c>
      <c r="C20121" t="str">
        <f>"A0056963"</f>
        <v>A0056963</v>
      </c>
      <c r="D20121" t="s">
        <v>74990</v>
      </c>
      <c r="E20121" t="s">
        <v>74991</v>
      </c>
      <c r="F20121" t="s">
        <v>64326</v>
      </c>
      <c r="G20121" t="s">
        <v>110</v>
      </c>
      <c r="H20121">
        <v>95630</v>
      </c>
      <c r="I20121" t="s">
        <v>30</v>
      </c>
      <c r="J20121" t="s">
        <v>31</v>
      </c>
      <c r="K20121" t="s">
        <v>163</v>
      </c>
      <c r="N20121" t="s">
        <v>74992</v>
      </c>
      <c r="Q20121">
        <v>0</v>
      </c>
      <c r="R20121">
        <v>84</v>
      </c>
      <c r="S20121">
        <v>0</v>
      </c>
      <c r="T20121" t="s">
        <v>74993</v>
      </c>
    </row>
    <row r="20122" spans="1:20" customFormat="1" ht="15" x14ac:dyDescent="0.25">
      <c r="A20122" t="s">
        <v>24</v>
      </c>
      <c r="B20122" t="s">
        <v>1020</v>
      </c>
      <c r="C20122" t="str">
        <f>"A0056961"</f>
        <v>A0056961</v>
      </c>
      <c r="D20122" t="s">
        <v>74994</v>
      </c>
      <c r="E20122" t="s">
        <v>74995</v>
      </c>
      <c r="F20122" t="s">
        <v>276</v>
      </c>
      <c r="G20122" t="s">
        <v>47</v>
      </c>
      <c r="H20122">
        <v>97124</v>
      </c>
      <c r="I20122" t="s">
        <v>30</v>
      </c>
      <c r="J20122" t="s">
        <v>31</v>
      </c>
      <c r="K20122" t="s">
        <v>163</v>
      </c>
      <c r="N20122" t="s">
        <v>74996</v>
      </c>
      <c r="O20122" t="s">
        <v>74997</v>
      </c>
      <c r="Q20122">
        <v>0</v>
      </c>
      <c r="R20122">
        <v>124</v>
      </c>
      <c r="S20122">
        <v>0</v>
      </c>
      <c r="T20122" t="s">
        <v>74998</v>
      </c>
    </row>
    <row r="20123" spans="1:20" customFormat="1" ht="15" x14ac:dyDescent="0.25">
      <c r="A20123" t="s">
        <v>24</v>
      </c>
      <c r="B20123" t="s">
        <v>1020</v>
      </c>
      <c r="C20123" t="str">
        <f>"A0056964"</f>
        <v>A0056964</v>
      </c>
      <c r="D20123" t="s">
        <v>74999</v>
      </c>
      <c r="E20123" t="s">
        <v>75000</v>
      </c>
      <c r="F20123" t="s">
        <v>35211</v>
      </c>
      <c r="G20123" t="s">
        <v>110</v>
      </c>
      <c r="H20123">
        <v>95035</v>
      </c>
      <c r="I20123" t="s">
        <v>30</v>
      </c>
      <c r="J20123" t="s">
        <v>31</v>
      </c>
      <c r="K20123" t="s">
        <v>163</v>
      </c>
      <c r="N20123" t="s">
        <v>75001</v>
      </c>
      <c r="O20123" t="s">
        <v>75002</v>
      </c>
      <c r="Q20123">
        <v>0</v>
      </c>
      <c r="R20123">
        <v>124</v>
      </c>
      <c r="S20123">
        <v>0</v>
      </c>
      <c r="T20123" t="s">
        <v>75003</v>
      </c>
    </row>
    <row r="20124" spans="1:20" customFormat="1" ht="15" x14ac:dyDescent="0.25">
      <c r="A20124" t="s">
        <v>24</v>
      </c>
      <c r="B20124" t="s">
        <v>1020</v>
      </c>
      <c r="C20124" t="str">
        <f>"A0056966"</f>
        <v>A0056966</v>
      </c>
      <c r="D20124" t="s">
        <v>75004</v>
      </c>
      <c r="E20124" t="s">
        <v>75005</v>
      </c>
      <c r="F20124" t="s">
        <v>7495</v>
      </c>
      <c r="G20124" t="s">
        <v>110</v>
      </c>
      <c r="H20124">
        <v>94588</v>
      </c>
      <c r="I20124" t="s">
        <v>30</v>
      </c>
      <c r="J20124" t="s">
        <v>31</v>
      </c>
      <c r="K20124" t="s">
        <v>163</v>
      </c>
      <c r="N20124" t="s">
        <v>75006</v>
      </c>
      <c r="O20124" t="s">
        <v>75007</v>
      </c>
      <c r="Q20124">
        <v>0</v>
      </c>
      <c r="R20124">
        <v>124</v>
      </c>
      <c r="S20124">
        <v>0</v>
      </c>
      <c r="T20124" t="s">
        <v>75008</v>
      </c>
    </row>
    <row r="20125" spans="1:20" customFormat="1" ht="15" x14ac:dyDescent="0.25">
      <c r="A20125" t="s">
        <v>24</v>
      </c>
      <c r="B20125" t="s">
        <v>1020</v>
      </c>
      <c r="C20125" t="str">
        <f>"A0056925"</f>
        <v>A0056925</v>
      </c>
      <c r="D20125" t="s">
        <v>75009</v>
      </c>
      <c r="E20125" t="s">
        <v>75010</v>
      </c>
      <c r="F20125" t="s">
        <v>53776</v>
      </c>
      <c r="G20125" t="s">
        <v>76</v>
      </c>
      <c r="H20125">
        <v>98057</v>
      </c>
      <c r="I20125" t="s">
        <v>30</v>
      </c>
      <c r="J20125" t="s">
        <v>31</v>
      </c>
      <c r="K20125" t="s">
        <v>163</v>
      </c>
      <c r="N20125" t="s">
        <v>75011</v>
      </c>
      <c r="O20125" t="s">
        <v>74984</v>
      </c>
      <c r="Q20125">
        <v>0</v>
      </c>
      <c r="R20125">
        <v>127</v>
      </c>
      <c r="S20125">
        <v>0</v>
      </c>
      <c r="T20125" t="s">
        <v>75012</v>
      </c>
    </row>
    <row r="20126" spans="1:20" customFormat="1" ht="15" x14ac:dyDescent="0.25">
      <c r="A20126" t="s">
        <v>24</v>
      </c>
      <c r="B20126" t="s">
        <v>1020</v>
      </c>
      <c r="C20126" t="str">
        <f>"A0056968"</f>
        <v>A0056968</v>
      </c>
      <c r="D20126" t="s">
        <v>75013</v>
      </c>
      <c r="E20126" t="s">
        <v>75014</v>
      </c>
      <c r="F20126" t="s">
        <v>67686</v>
      </c>
      <c r="G20126" t="s">
        <v>110</v>
      </c>
      <c r="H20126">
        <v>95661</v>
      </c>
      <c r="I20126" t="s">
        <v>30</v>
      </c>
      <c r="J20126" t="s">
        <v>31</v>
      </c>
      <c r="K20126" t="s">
        <v>163</v>
      </c>
      <c r="N20126" t="s">
        <v>75015</v>
      </c>
      <c r="Q20126">
        <v>0</v>
      </c>
      <c r="R20126">
        <v>90</v>
      </c>
      <c r="S20126">
        <v>0</v>
      </c>
      <c r="T20126" t="s">
        <v>75016</v>
      </c>
    </row>
    <row r="20127" spans="1:20" customFormat="1" ht="15" x14ac:dyDescent="0.25">
      <c r="A20127" t="s">
        <v>24</v>
      </c>
      <c r="B20127" t="s">
        <v>1020</v>
      </c>
      <c r="C20127" t="str">
        <f>"A0056969"</f>
        <v>A0056969</v>
      </c>
      <c r="D20127" t="s">
        <v>75017</v>
      </c>
      <c r="E20127" t="s">
        <v>75018</v>
      </c>
      <c r="F20127" t="s">
        <v>3517</v>
      </c>
      <c r="G20127" t="s">
        <v>110</v>
      </c>
      <c r="H20127">
        <v>95825</v>
      </c>
      <c r="I20127" t="s">
        <v>30</v>
      </c>
      <c r="J20127" t="s">
        <v>31</v>
      </c>
      <c r="K20127" t="s">
        <v>163</v>
      </c>
      <c r="N20127" t="s">
        <v>10144</v>
      </c>
      <c r="Q20127">
        <v>0</v>
      </c>
      <c r="R20127">
        <v>124</v>
      </c>
      <c r="S20127">
        <v>0</v>
      </c>
      <c r="T20127" t="s">
        <v>75019</v>
      </c>
    </row>
    <row r="20128" spans="1:20" customFormat="1" ht="15" x14ac:dyDescent="0.25">
      <c r="A20128" t="s">
        <v>24</v>
      </c>
      <c r="B20128" t="s">
        <v>1020</v>
      </c>
      <c r="C20128" t="str">
        <f>"A0056971"</f>
        <v>A0056971</v>
      </c>
      <c r="D20128" t="s">
        <v>75020</v>
      </c>
      <c r="E20128" t="s">
        <v>75021</v>
      </c>
      <c r="F20128" t="s">
        <v>69650</v>
      </c>
      <c r="G20128" t="s">
        <v>110</v>
      </c>
      <c r="H20128">
        <v>94080</v>
      </c>
      <c r="I20128" t="s">
        <v>30</v>
      </c>
      <c r="J20128" t="s">
        <v>31</v>
      </c>
      <c r="K20128" t="s">
        <v>163</v>
      </c>
      <c r="N20128" t="s">
        <v>75022</v>
      </c>
      <c r="Q20128">
        <v>0</v>
      </c>
      <c r="R20128">
        <v>109</v>
      </c>
      <c r="S20128">
        <v>0</v>
      </c>
      <c r="T20128" t="s">
        <v>75023</v>
      </c>
    </row>
    <row r="20129" spans="1:20" customFormat="1" ht="15" x14ac:dyDescent="0.25">
      <c r="A20129" t="s">
        <v>24</v>
      </c>
      <c r="B20129" t="s">
        <v>1020</v>
      </c>
      <c r="C20129" t="str">
        <f>"A0056936"</f>
        <v>A0056936</v>
      </c>
      <c r="D20129" t="s">
        <v>75024</v>
      </c>
      <c r="E20129" t="s">
        <v>75025</v>
      </c>
      <c r="F20129" t="s">
        <v>32880</v>
      </c>
      <c r="G20129" t="s">
        <v>110</v>
      </c>
      <c r="H20129">
        <v>94085</v>
      </c>
      <c r="I20129" t="s">
        <v>30</v>
      </c>
      <c r="J20129" t="s">
        <v>31</v>
      </c>
      <c r="K20129" t="s">
        <v>163</v>
      </c>
      <c r="N20129" t="s">
        <v>75026</v>
      </c>
      <c r="Q20129">
        <v>0</v>
      </c>
      <c r="R20129">
        <v>126</v>
      </c>
      <c r="S20129">
        <v>0</v>
      </c>
      <c r="T20129" t="s">
        <v>75027</v>
      </c>
    </row>
    <row r="20130" spans="1:20" hidden="1" x14ac:dyDescent="0.25">
      <c r="A20130" s="3" t="s">
        <v>24</v>
      </c>
      <c r="B20130" s="3" t="s">
        <v>75028</v>
      </c>
      <c r="C20130" s="3" t="str">
        <f>"A0100705"</f>
        <v>A0100705</v>
      </c>
      <c r="D20130" s="3" t="s">
        <v>75029</v>
      </c>
      <c r="E20130" s="3" t="s">
        <v>75030</v>
      </c>
      <c r="F20130" s="3" t="s">
        <v>5874</v>
      </c>
      <c r="G20130" s="3" t="s">
        <v>3843</v>
      </c>
      <c r="H20130" s="3">
        <v>11560</v>
      </c>
      <c r="I20130" s="3" t="s">
        <v>2408</v>
      </c>
      <c r="J20130" s="3" t="s">
        <v>206</v>
      </c>
      <c r="K20130" s="3" t="s">
        <v>55170</v>
      </c>
      <c r="N20130" s="3" t="s">
        <v>75031</v>
      </c>
      <c r="O20130" s="3" t="s">
        <v>75032</v>
      </c>
      <c r="Q20130" s="3">
        <v>0</v>
      </c>
      <c r="R20130" s="3">
        <v>35</v>
      </c>
      <c r="S20130" s="3">
        <v>0</v>
      </c>
      <c r="T20130" s="3" t="s">
        <v>75033</v>
      </c>
    </row>
    <row r="20131" spans="1:20" customFormat="1" ht="15" x14ac:dyDescent="0.25">
      <c r="A20131" t="s">
        <v>24</v>
      </c>
      <c r="B20131" t="s">
        <v>2360</v>
      </c>
      <c r="C20131" t="str">
        <f>"CL0002"</f>
        <v>CL0002</v>
      </c>
      <c r="D20131" t="s">
        <v>75034</v>
      </c>
      <c r="E20131" t="s">
        <v>75035</v>
      </c>
      <c r="F20131" t="s">
        <v>4829</v>
      </c>
      <c r="G20131" t="s">
        <v>52</v>
      </c>
      <c r="H20131">
        <v>75062</v>
      </c>
      <c r="I20131" t="s">
        <v>30</v>
      </c>
      <c r="J20131" t="s">
        <v>178</v>
      </c>
      <c r="K20131" t="s">
        <v>56092</v>
      </c>
      <c r="N20131" t="s">
        <v>75036</v>
      </c>
      <c r="O20131" t="s">
        <v>75037</v>
      </c>
      <c r="P20131" t="s">
        <v>992</v>
      </c>
      <c r="Q20131">
        <v>1</v>
      </c>
      <c r="R20131">
        <v>0</v>
      </c>
      <c r="S20131">
        <v>0</v>
      </c>
      <c r="T20131" t="s">
        <v>75038</v>
      </c>
    </row>
    <row r="20132" spans="1:20" customFormat="1" ht="15" x14ac:dyDescent="0.25">
      <c r="A20132" t="s">
        <v>24</v>
      </c>
      <c r="B20132" t="s">
        <v>675</v>
      </c>
      <c r="C20132" t="str">
        <f>"311G4"</f>
        <v>311G4</v>
      </c>
      <c r="D20132" t="s">
        <v>60334</v>
      </c>
      <c r="E20132" t="s">
        <v>60335</v>
      </c>
      <c r="F20132" t="s">
        <v>6314</v>
      </c>
      <c r="G20132" t="s">
        <v>117</v>
      </c>
      <c r="H20132">
        <v>48083</v>
      </c>
      <c r="I20132" t="s">
        <v>30</v>
      </c>
      <c r="J20132" t="s">
        <v>171</v>
      </c>
      <c r="K20132" t="s">
        <v>973</v>
      </c>
      <c r="N20132" t="s">
        <v>60336</v>
      </c>
      <c r="Q20132">
        <v>0</v>
      </c>
      <c r="R20132">
        <v>147</v>
      </c>
      <c r="S20132">
        <v>0</v>
      </c>
      <c r="T20132" t="s">
        <v>60337</v>
      </c>
    </row>
    <row r="20133" spans="1:20" customFormat="1" ht="15" x14ac:dyDescent="0.25">
      <c r="A20133" t="s">
        <v>24</v>
      </c>
      <c r="B20133" t="s">
        <v>6667</v>
      </c>
      <c r="C20133" t="str">
        <f>"A0096661"</f>
        <v>A0096661</v>
      </c>
      <c r="D20133" t="s">
        <v>75044</v>
      </c>
      <c r="E20133" t="s">
        <v>75045</v>
      </c>
      <c r="F20133" t="s">
        <v>220</v>
      </c>
      <c r="G20133" t="s">
        <v>221</v>
      </c>
      <c r="H20133">
        <v>89107</v>
      </c>
      <c r="I20133" t="s">
        <v>30</v>
      </c>
      <c r="J20133" t="s">
        <v>178</v>
      </c>
      <c r="K20133" t="s">
        <v>6667</v>
      </c>
      <c r="N20133" t="s">
        <v>75046</v>
      </c>
      <c r="Q20133">
        <v>0</v>
      </c>
      <c r="R20133">
        <v>0</v>
      </c>
      <c r="S20133">
        <v>0</v>
      </c>
      <c r="T20133" t="s">
        <v>75047</v>
      </c>
    </row>
    <row r="20134" spans="1:20" customFormat="1" ht="15" x14ac:dyDescent="0.25">
      <c r="A20134" t="s">
        <v>24</v>
      </c>
      <c r="B20134" t="s">
        <v>1583</v>
      </c>
      <c r="C20134" t="str">
        <f>"A0100720"</f>
        <v>A0100720</v>
      </c>
      <c r="D20134" t="s">
        <v>75048</v>
      </c>
      <c r="E20134" t="s">
        <v>66929</v>
      </c>
      <c r="F20134" t="s">
        <v>220</v>
      </c>
      <c r="G20134" t="s">
        <v>221</v>
      </c>
      <c r="H20134">
        <v>89109</v>
      </c>
      <c r="I20134" t="s">
        <v>30</v>
      </c>
      <c r="J20134" t="s">
        <v>191</v>
      </c>
      <c r="K20134" t="s">
        <v>6809</v>
      </c>
      <c r="N20134" t="s">
        <v>75049</v>
      </c>
      <c r="Q20134">
        <v>0</v>
      </c>
      <c r="R20134">
        <v>0</v>
      </c>
      <c r="S20134">
        <v>0</v>
      </c>
      <c r="T20134" t="s">
        <v>75050</v>
      </c>
    </row>
    <row r="20135" spans="1:20" hidden="1" x14ac:dyDescent="0.25">
      <c r="A20135" s="3" t="s">
        <v>24</v>
      </c>
      <c r="B20135" s="3" t="s">
        <v>6635</v>
      </c>
      <c r="C20135" s="3" t="str">
        <f>"A0100863"</f>
        <v>A0100863</v>
      </c>
      <c r="D20135" s="3" t="s">
        <v>75051</v>
      </c>
      <c r="E20135" s="3" t="s">
        <v>75052</v>
      </c>
      <c r="F20135" s="3" t="s">
        <v>5332</v>
      </c>
      <c r="G20135" s="3" t="s">
        <v>2407</v>
      </c>
      <c r="H20135" s="3">
        <v>23400</v>
      </c>
      <c r="I20135" s="3" t="s">
        <v>2408</v>
      </c>
      <c r="J20135" s="3" t="s">
        <v>206</v>
      </c>
      <c r="K20135" s="3" t="s">
        <v>163</v>
      </c>
      <c r="N20135" s="3" t="s">
        <v>75053</v>
      </c>
      <c r="Q20135" s="3">
        <v>0</v>
      </c>
      <c r="R20135" s="3">
        <v>104</v>
      </c>
      <c r="S20135" s="3">
        <v>0</v>
      </c>
      <c r="T20135" s="3" t="s">
        <v>75054</v>
      </c>
    </row>
    <row r="20136" spans="1:20" customFormat="1" ht="15" x14ac:dyDescent="0.25">
      <c r="A20136" t="s">
        <v>24</v>
      </c>
      <c r="B20136" t="s">
        <v>1583</v>
      </c>
      <c r="C20136" t="str">
        <f>"A0083319"</f>
        <v>A0083319</v>
      </c>
      <c r="D20136" t="s">
        <v>75055</v>
      </c>
      <c r="E20136" t="s">
        <v>67036</v>
      </c>
      <c r="F20136" t="s">
        <v>985</v>
      </c>
      <c r="G20136" t="s">
        <v>81</v>
      </c>
      <c r="H20136">
        <v>32821</v>
      </c>
      <c r="I20136" t="s">
        <v>30</v>
      </c>
      <c r="J20136" t="s">
        <v>2544</v>
      </c>
      <c r="K20136" t="s">
        <v>36059</v>
      </c>
      <c r="N20136" t="s">
        <v>75056</v>
      </c>
      <c r="Q20136">
        <v>0</v>
      </c>
      <c r="R20136">
        <v>0</v>
      </c>
      <c r="S20136">
        <v>0</v>
      </c>
      <c r="T20136" t="s">
        <v>67038</v>
      </c>
    </row>
    <row r="20137" spans="1:20" customFormat="1" ht="15" x14ac:dyDescent="0.25">
      <c r="A20137" t="s">
        <v>24</v>
      </c>
      <c r="B20137" t="s">
        <v>2360</v>
      </c>
      <c r="C20137" t="str">
        <f>"CL1668"</f>
        <v>CL1668</v>
      </c>
      <c r="D20137" t="s">
        <v>75057</v>
      </c>
      <c r="E20137" t="s">
        <v>75058</v>
      </c>
      <c r="F20137" t="s">
        <v>59629</v>
      </c>
      <c r="G20137" t="s">
        <v>846</v>
      </c>
      <c r="H20137">
        <v>30024</v>
      </c>
      <c r="I20137" t="s">
        <v>30</v>
      </c>
      <c r="J20137" t="s">
        <v>178</v>
      </c>
      <c r="K20137" t="s">
        <v>56676</v>
      </c>
      <c r="N20137" t="s">
        <v>75059</v>
      </c>
      <c r="O20137" t="s">
        <v>75060</v>
      </c>
      <c r="P20137" t="s">
        <v>992</v>
      </c>
      <c r="Q20137">
        <v>1</v>
      </c>
      <c r="R20137">
        <v>0</v>
      </c>
      <c r="S20137">
        <v>0</v>
      </c>
      <c r="T20137" t="s">
        <v>75061</v>
      </c>
    </row>
    <row r="20138" spans="1:20" customFormat="1" ht="15" hidden="1" x14ac:dyDescent="0.25">
      <c r="A20138" t="s">
        <v>24</v>
      </c>
      <c r="B20138" t="s">
        <v>675</v>
      </c>
      <c r="C20138" t="str">
        <f>"A0096642"</f>
        <v>A0096642</v>
      </c>
      <c r="D20138" t="s">
        <v>75062</v>
      </c>
      <c r="E20138" t="s">
        <v>75063</v>
      </c>
      <c r="F20138" t="s">
        <v>5438</v>
      </c>
      <c r="G20138" t="s">
        <v>5439</v>
      </c>
      <c r="H20138" t="s">
        <v>75064</v>
      </c>
      <c r="I20138" t="s">
        <v>1459</v>
      </c>
      <c r="J20138" t="s">
        <v>162</v>
      </c>
      <c r="K20138" t="s">
        <v>1502</v>
      </c>
      <c r="N20138" t="s">
        <v>75065</v>
      </c>
      <c r="Q20138">
        <v>0</v>
      </c>
      <c r="R20138">
        <v>825</v>
      </c>
      <c r="S20138">
        <v>0</v>
      </c>
      <c r="T20138" t="s">
        <v>75066</v>
      </c>
    </row>
    <row r="20139" spans="1:20" customFormat="1" ht="15" hidden="1" x14ac:dyDescent="0.25">
      <c r="A20139" t="s">
        <v>24</v>
      </c>
      <c r="B20139" t="s">
        <v>14300</v>
      </c>
      <c r="C20139" t="str">
        <f>"A0086407"</f>
        <v>A0086407</v>
      </c>
      <c r="D20139" t="s">
        <v>75067</v>
      </c>
      <c r="E20139" t="s">
        <v>75068</v>
      </c>
      <c r="F20139" t="s">
        <v>75069</v>
      </c>
      <c r="G20139" t="s">
        <v>9901</v>
      </c>
      <c r="H20139">
        <v>907</v>
      </c>
      <c r="I20139" t="s">
        <v>9902</v>
      </c>
      <c r="J20139" t="s">
        <v>171</v>
      </c>
      <c r="K20139" t="s">
        <v>13697</v>
      </c>
      <c r="N20139" t="s">
        <v>75070</v>
      </c>
      <c r="Q20139">
        <v>0</v>
      </c>
      <c r="R20139">
        <v>20</v>
      </c>
      <c r="S20139">
        <v>0</v>
      </c>
      <c r="T20139" t="s">
        <v>75071</v>
      </c>
    </row>
    <row r="20140" spans="1:20" customFormat="1" ht="15" x14ac:dyDescent="0.25">
      <c r="A20140" t="s">
        <v>24</v>
      </c>
      <c r="B20140" t="s">
        <v>675</v>
      </c>
      <c r="C20140" t="str">
        <f>"311G3"</f>
        <v>311G3</v>
      </c>
      <c r="D20140" t="s">
        <v>60338</v>
      </c>
      <c r="E20140" t="s">
        <v>60339</v>
      </c>
      <c r="F20140" t="s">
        <v>34946</v>
      </c>
      <c r="G20140" t="s">
        <v>117</v>
      </c>
      <c r="H20140">
        <v>48093</v>
      </c>
      <c r="I20140" t="s">
        <v>30</v>
      </c>
      <c r="J20140" t="s">
        <v>171</v>
      </c>
      <c r="K20140" t="s">
        <v>973</v>
      </c>
      <c r="N20140" t="s">
        <v>60340</v>
      </c>
      <c r="O20140" t="s">
        <v>60341</v>
      </c>
      <c r="Q20140">
        <v>0</v>
      </c>
      <c r="R20140">
        <v>147</v>
      </c>
      <c r="S20140">
        <v>0</v>
      </c>
      <c r="T20140" t="s">
        <v>60342</v>
      </c>
    </row>
    <row r="20141" spans="1:20" customFormat="1" ht="15" x14ac:dyDescent="0.25">
      <c r="A20141" t="s">
        <v>24</v>
      </c>
      <c r="B20141" t="s">
        <v>60343</v>
      </c>
      <c r="C20141" t="str">
        <f>"651SV"</f>
        <v>651SV</v>
      </c>
      <c r="D20141" t="s">
        <v>60344</v>
      </c>
      <c r="E20141" t="s">
        <v>60345</v>
      </c>
      <c r="F20141" t="s">
        <v>4829</v>
      </c>
      <c r="G20141" t="s">
        <v>52</v>
      </c>
      <c r="H20141">
        <v>75063</v>
      </c>
      <c r="I20141" t="s">
        <v>30</v>
      </c>
      <c r="J20141" t="s">
        <v>171</v>
      </c>
      <c r="K20141" t="s">
        <v>973</v>
      </c>
      <c r="N20141" t="s">
        <v>60346</v>
      </c>
      <c r="Q20141">
        <v>0</v>
      </c>
      <c r="R20141">
        <v>153</v>
      </c>
      <c r="S20141">
        <v>0</v>
      </c>
      <c r="T20141" t="s">
        <v>60347</v>
      </c>
    </row>
    <row r="20142" spans="1:20" customFormat="1" ht="15" x14ac:dyDescent="0.25">
      <c r="A20142" t="s">
        <v>24</v>
      </c>
      <c r="B20142" t="s">
        <v>1323</v>
      </c>
      <c r="C20142" t="str">
        <f>"651UH"</f>
        <v>651UH</v>
      </c>
      <c r="D20142" t="s">
        <v>60348</v>
      </c>
      <c r="E20142" t="s">
        <v>60349</v>
      </c>
      <c r="F20142" t="s">
        <v>3593</v>
      </c>
      <c r="G20142" t="s">
        <v>1706</v>
      </c>
      <c r="H20142">
        <v>36301</v>
      </c>
      <c r="I20142" t="s">
        <v>30</v>
      </c>
      <c r="J20142" t="s">
        <v>171</v>
      </c>
      <c r="K20142" t="s">
        <v>973</v>
      </c>
      <c r="N20142" t="s">
        <v>60350</v>
      </c>
      <c r="Q20142">
        <v>0</v>
      </c>
      <c r="R20142">
        <v>78</v>
      </c>
      <c r="S20142">
        <v>0</v>
      </c>
      <c r="T20142" t="s">
        <v>60351</v>
      </c>
    </row>
    <row r="20143" spans="1:20" customFormat="1" ht="15" x14ac:dyDescent="0.25">
      <c r="A20143" t="s">
        <v>24</v>
      </c>
      <c r="B20143" t="s">
        <v>60352</v>
      </c>
      <c r="C20143" t="str">
        <f>"A0083964"</f>
        <v>A0083964</v>
      </c>
      <c r="D20143" t="s">
        <v>60353</v>
      </c>
      <c r="E20143" t="s">
        <v>60354</v>
      </c>
      <c r="F20143" t="s">
        <v>1017</v>
      </c>
      <c r="G20143" t="s">
        <v>81</v>
      </c>
      <c r="H20143">
        <v>32502</v>
      </c>
      <c r="I20143" t="s">
        <v>30</v>
      </c>
      <c r="J20143" t="s">
        <v>171</v>
      </c>
      <c r="K20143" t="s">
        <v>973</v>
      </c>
      <c r="N20143" t="s">
        <v>60355</v>
      </c>
      <c r="O20143" t="s">
        <v>60356</v>
      </c>
      <c r="Q20143">
        <v>0</v>
      </c>
      <c r="R20143">
        <v>120</v>
      </c>
      <c r="S20143">
        <v>0</v>
      </c>
      <c r="T20143" t="s">
        <v>60357</v>
      </c>
    </row>
    <row r="20144" spans="1:20" customFormat="1" ht="15" x14ac:dyDescent="0.25">
      <c r="A20144" t="s">
        <v>24</v>
      </c>
      <c r="B20144" t="s">
        <v>675</v>
      </c>
      <c r="C20144" t="str">
        <f>"311W2"</f>
        <v>311W2</v>
      </c>
      <c r="D20144" t="s">
        <v>60358</v>
      </c>
      <c r="E20144" t="s">
        <v>60359</v>
      </c>
      <c r="F20144" t="s">
        <v>28</v>
      </c>
      <c r="G20144" t="s">
        <v>29</v>
      </c>
      <c r="H20144">
        <v>20151</v>
      </c>
      <c r="I20144" t="s">
        <v>30</v>
      </c>
      <c r="J20144" t="s">
        <v>171</v>
      </c>
      <c r="K20144" t="s">
        <v>973</v>
      </c>
      <c r="N20144" t="s">
        <v>60360</v>
      </c>
      <c r="O20144" t="s">
        <v>60361</v>
      </c>
      <c r="Q20144">
        <v>0</v>
      </c>
      <c r="R20144">
        <v>149</v>
      </c>
      <c r="S20144">
        <v>0</v>
      </c>
      <c r="T20144" t="s">
        <v>60362</v>
      </c>
    </row>
    <row r="20145" spans="1:20" customFormat="1" ht="15" x14ac:dyDescent="0.25">
      <c r="A20145" t="s">
        <v>24</v>
      </c>
      <c r="B20145" t="s">
        <v>1561</v>
      </c>
      <c r="C20145" t="str">
        <f>"A0087358"</f>
        <v>A0087358</v>
      </c>
      <c r="D20145" t="s">
        <v>60363</v>
      </c>
      <c r="E20145" t="s">
        <v>60364</v>
      </c>
      <c r="F20145" t="s">
        <v>34764</v>
      </c>
      <c r="G20145" t="s">
        <v>29</v>
      </c>
      <c r="H20145">
        <v>20171</v>
      </c>
      <c r="I20145" t="s">
        <v>30</v>
      </c>
      <c r="J20145" t="s">
        <v>171</v>
      </c>
      <c r="K20145" t="s">
        <v>973</v>
      </c>
      <c r="N20145" t="s">
        <v>60365</v>
      </c>
      <c r="O20145" t="s">
        <v>60366</v>
      </c>
      <c r="Q20145">
        <v>0</v>
      </c>
      <c r="R20145">
        <v>179</v>
      </c>
      <c r="S20145">
        <v>0</v>
      </c>
      <c r="T20145" t="s">
        <v>60367</v>
      </c>
    </row>
    <row r="20146" spans="1:20" customFormat="1" ht="15" x14ac:dyDescent="0.25">
      <c r="A20146" t="s">
        <v>24</v>
      </c>
      <c r="B20146" t="s">
        <v>675</v>
      </c>
      <c r="C20146" t="str">
        <f>"311DT"</f>
        <v>311DT</v>
      </c>
      <c r="D20146" t="s">
        <v>60368</v>
      </c>
      <c r="E20146" t="s">
        <v>60369</v>
      </c>
      <c r="F20146" t="s">
        <v>12883</v>
      </c>
      <c r="G20146" t="s">
        <v>29</v>
      </c>
      <c r="H20146">
        <v>20166</v>
      </c>
      <c r="I20146" t="s">
        <v>30</v>
      </c>
      <c r="J20146" t="s">
        <v>171</v>
      </c>
      <c r="K20146" t="s">
        <v>973</v>
      </c>
      <c r="N20146" t="s">
        <v>60370</v>
      </c>
      <c r="Q20146">
        <v>0</v>
      </c>
      <c r="R20146">
        <v>157</v>
      </c>
      <c r="S20146">
        <v>0</v>
      </c>
      <c r="T20146" t="s">
        <v>60371</v>
      </c>
    </row>
    <row r="20147" spans="1:20" customFormat="1" ht="15" x14ac:dyDescent="0.25">
      <c r="A20147" t="s">
        <v>24</v>
      </c>
      <c r="B20147" t="s">
        <v>675</v>
      </c>
      <c r="C20147" t="str">
        <f>"311DV"</f>
        <v>311DV</v>
      </c>
      <c r="D20147" t="s">
        <v>60372</v>
      </c>
      <c r="E20147" t="s">
        <v>60373</v>
      </c>
      <c r="F20147" t="s">
        <v>60374</v>
      </c>
      <c r="G20147" t="s">
        <v>29</v>
      </c>
      <c r="H20147">
        <v>22180</v>
      </c>
      <c r="I20147" t="s">
        <v>30</v>
      </c>
      <c r="J20147" t="s">
        <v>171</v>
      </c>
      <c r="K20147" t="s">
        <v>973</v>
      </c>
      <c r="N20147" t="s">
        <v>60375</v>
      </c>
      <c r="Q20147">
        <v>0</v>
      </c>
      <c r="R20147">
        <v>206</v>
      </c>
      <c r="S20147">
        <v>0</v>
      </c>
      <c r="T20147" t="s">
        <v>60376</v>
      </c>
    </row>
    <row r="20148" spans="1:20" customFormat="1" ht="15" x14ac:dyDescent="0.25">
      <c r="A20148" t="s">
        <v>24</v>
      </c>
      <c r="B20148" t="s">
        <v>2528</v>
      </c>
      <c r="C20148" t="str">
        <f>"651ZL"</f>
        <v>651ZL</v>
      </c>
      <c r="D20148" t="s">
        <v>60377</v>
      </c>
      <c r="E20148" t="s">
        <v>60378</v>
      </c>
      <c r="F20148" t="s">
        <v>8935</v>
      </c>
      <c r="G20148" t="s">
        <v>214</v>
      </c>
      <c r="H20148">
        <v>27705</v>
      </c>
      <c r="I20148" t="s">
        <v>30</v>
      </c>
      <c r="J20148" t="s">
        <v>171</v>
      </c>
      <c r="K20148" t="s">
        <v>973</v>
      </c>
      <c r="N20148" t="s">
        <v>60379</v>
      </c>
      <c r="Q20148">
        <v>0</v>
      </c>
      <c r="R20148">
        <v>146</v>
      </c>
      <c r="S20148">
        <v>0</v>
      </c>
      <c r="T20148" t="s">
        <v>60380</v>
      </c>
    </row>
    <row r="20149" spans="1:20" customFormat="1" ht="15" hidden="1" x14ac:dyDescent="0.25">
      <c r="A20149" t="s">
        <v>24</v>
      </c>
      <c r="B20149" t="s">
        <v>675</v>
      </c>
      <c r="C20149" t="str">
        <f>"A0096865"</f>
        <v>A0096865</v>
      </c>
      <c r="D20149" t="s">
        <v>75109</v>
      </c>
      <c r="E20149" t="s">
        <v>75110</v>
      </c>
      <c r="F20149" t="s">
        <v>5874</v>
      </c>
      <c r="G20149" t="s">
        <v>3843</v>
      </c>
      <c r="H20149">
        <v>6030</v>
      </c>
      <c r="I20149" t="s">
        <v>2408</v>
      </c>
      <c r="J20149" t="s">
        <v>162</v>
      </c>
      <c r="K20149" t="s">
        <v>847</v>
      </c>
      <c r="Q20149">
        <v>0</v>
      </c>
      <c r="R20149">
        <v>160</v>
      </c>
      <c r="S20149">
        <v>0</v>
      </c>
      <c r="T20149" t="s">
        <v>75111</v>
      </c>
    </row>
    <row r="20150" spans="1:20" customFormat="1" ht="15" x14ac:dyDescent="0.25">
      <c r="A20150" t="s">
        <v>24</v>
      </c>
      <c r="B20150" t="s">
        <v>55506</v>
      </c>
      <c r="C20150" t="str">
        <f>"A0095782"</f>
        <v>A0095782</v>
      </c>
      <c r="D20150" t="s">
        <v>60381</v>
      </c>
      <c r="E20150" t="s">
        <v>60382</v>
      </c>
      <c r="F20150" t="s">
        <v>33422</v>
      </c>
      <c r="G20150" t="s">
        <v>338</v>
      </c>
      <c r="H20150">
        <v>7020</v>
      </c>
      <c r="I20150" t="s">
        <v>30</v>
      </c>
      <c r="J20150" t="s">
        <v>171</v>
      </c>
      <c r="K20150" t="s">
        <v>973</v>
      </c>
      <c r="N20150" t="s">
        <v>60383</v>
      </c>
      <c r="Q20150">
        <v>0</v>
      </c>
      <c r="R20150">
        <v>156</v>
      </c>
      <c r="S20150">
        <v>0</v>
      </c>
      <c r="T20150" t="s">
        <v>60384</v>
      </c>
    </row>
    <row r="20151" spans="1:20" customFormat="1" ht="15" x14ac:dyDescent="0.25">
      <c r="A20151" t="s">
        <v>24</v>
      </c>
      <c r="B20151" t="s">
        <v>3367</v>
      </c>
      <c r="C20151" t="str">
        <f>"A0099980"</f>
        <v>A0099980</v>
      </c>
      <c r="D20151" t="s">
        <v>60385</v>
      </c>
      <c r="E20151" t="s">
        <v>60386</v>
      </c>
      <c r="F20151" t="s">
        <v>2856</v>
      </c>
      <c r="G20151" t="s">
        <v>52</v>
      </c>
      <c r="H20151">
        <v>79901</v>
      </c>
      <c r="I20151" t="s">
        <v>30</v>
      </c>
      <c r="J20151" t="s">
        <v>171</v>
      </c>
      <c r="K20151" t="s">
        <v>973</v>
      </c>
      <c r="N20151" t="s">
        <v>60387</v>
      </c>
      <c r="Q20151">
        <v>0</v>
      </c>
      <c r="R20151">
        <v>152</v>
      </c>
      <c r="S20151">
        <v>0</v>
      </c>
      <c r="T20151" t="s">
        <v>60388</v>
      </c>
    </row>
    <row r="20152" spans="1:20" customFormat="1" ht="15" x14ac:dyDescent="0.25">
      <c r="A20152" t="s">
        <v>24</v>
      </c>
      <c r="B20152" t="s">
        <v>675</v>
      </c>
      <c r="C20152" t="str">
        <f>"311EC"</f>
        <v>311EC</v>
      </c>
      <c r="D20152" t="s">
        <v>60389</v>
      </c>
      <c r="E20152" t="s">
        <v>60390</v>
      </c>
      <c r="F20152" t="s">
        <v>60391</v>
      </c>
      <c r="G20152" t="s">
        <v>338</v>
      </c>
      <c r="H20152">
        <v>7201</v>
      </c>
      <c r="I20152" t="s">
        <v>30</v>
      </c>
      <c r="J20152" t="s">
        <v>171</v>
      </c>
      <c r="K20152" t="s">
        <v>973</v>
      </c>
      <c r="N20152" t="s">
        <v>60392</v>
      </c>
      <c r="O20152" t="s">
        <v>60393</v>
      </c>
      <c r="Q20152">
        <v>0</v>
      </c>
      <c r="R20152">
        <v>203</v>
      </c>
      <c r="S20152">
        <v>0</v>
      </c>
      <c r="T20152" t="s">
        <v>60394</v>
      </c>
    </row>
    <row r="20153" spans="1:20" customFormat="1" ht="15" x14ac:dyDescent="0.25">
      <c r="A20153" t="s">
        <v>24</v>
      </c>
      <c r="B20153" t="s">
        <v>10734</v>
      </c>
      <c r="C20153" t="str">
        <f>"A0057610"</f>
        <v>A0057610</v>
      </c>
      <c r="D20153" t="s">
        <v>75123</v>
      </c>
      <c r="E20153" t="s">
        <v>75124</v>
      </c>
      <c r="F20153" t="s">
        <v>10401</v>
      </c>
      <c r="G20153" t="s">
        <v>110</v>
      </c>
      <c r="H20153">
        <v>90069</v>
      </c>
      <c r="I20153" t="s">
        <v>30</v>
      </c>
      <c r="J20153" t="s">
        <v>31</v>
      </c>
      <c r="K20153" t="s">
        <v>163</v>
      </c>
      <c r="N20153" t="s">
        <v>75125</v>
      </c>
      <c r="O20153" t="s">
        <v>75126</v>
      </c>
      <c r="Q20153">
        <v>0</v>
      </c>
      <c r="R20153">
        <v>154</v>
      </c>
      <c r="S20153">
        <v>0</v>
      </c>
      <c r="T20153" t="s">
        <v>75127</v>
      </c>
    </row>
    <row r="20154" spans="1:20" customFormat="1" ht="15" x14ac:dyDescent="0.25">
      <c r="A20154" t="s">
        <v>24</v>
      </c>
      <c r="B20154" t="s">
        <v>8405</v>
      </c>
      <c r="C20154" t="str">
        <f>"A0100048"</f>
        <v>A0100048</v>
      </c>
      <c r="D20154" t="s">
        <v>60395</v>
      </c>
      <c r="E20154" t="s">
        <v>60396</v>
      </c>
      <c r="F20154" t="s">
        <v>60397</v>
      </c>
      <c r="G20154" t="s">
        <v>381</v>
      </c>
      <c r="H20154">
        <v>46514</v>
      </c>
      <c r="I20154" t="s">
        <v>30</v>
      </c>
      <c r="J20154" t="s">
        <v>171</v>
      </c>
      <c r="K20154" t="s">
        <v>973</v>
      </c>
      <c r="N20154" t="s">
        <v>60398</v>
      </c>
      <c r="Q20154">
        <v>0</v>
      </c>
      <c r="R20154">
        <v>99</v>
      </c>
      <c r="S20154">
        <v>0</v>
      </c>
      <c r="T20154" t="s">
        <v>60399</v>
      </c>
    </row>
    <row r="20155" spans="1:20" customFormat="1" ht="15" x14ac:dyDescent="0.25">
      <c r="A20155" t="s">
        <v>24</v>
      </c>
      <c r="B20155" t="s">
        <v>57457</v>
      </c>
      <c r="C20155" t="str">
        <f>"A0098258"</f>
        <v>A0098258</v>
      </c>
      <c r="D20155" t="s">
        <v>75132</v>
      </c>
      <c r="E20155" t="s">
        <v>75133</v>
      </c>
      <c r="F20155" t="s">
        <v>1889</v>
      </c>
      <c r="G20155" t="s">
        <v>81</v>
      </c>
      <c r="H20155">
        <v>33132</v>
      </c>
      <c r="I20155" t="s">
        <v>30</v>
      </c>
      <c r="J20155" t="s">
        <v>31</v>
      </c>
      <c r="K20155" t="s">
        <v>163</v>
      </c>
      <c r="N20155" t="s">
        <v>75134</v>
      </c>
      <c r="Q20155">
        <v>0</v>
      </c>
      <c r="R20155">
        <v>85</v>
      </c>
      <c r="S20155">
        <v>0</v>
      </c>
      <c r="T20155" t="s">
        <v>75135</v>
      </c>
    </row>
    <row r="20156" spans="1:20" customFormat="1" ht="15" x14ac:dyDescent="0.25">
      <c r="A20156" t="s">
        <v>24</v>
      </c>
      <c r="B20156" t="s">
        <v>1487</v>
      </c>
      <c r="C20156" t="str">
        <f>"A0096051"</f>
        <v>A0096051</v>
      </c>
      <c r="D20156" t="s">
        <v>60400</v>
      </c>
      <c r="E20156" t="s">
        <v>60401</v>
      </c>
      <c r="F20156" t="s">
        <v>5915</v>
      </c>
      <c r="G20156" t="s">
        <v>103</v>
      </c>
      <c r="H20156">
        <v>16507</v>
      </c>
      <c r="I20156" t="s">
        <v>30</v>
      </c>
      <c r="J20156" t="s">
        <v>171</v>
      </c>
      <c r="K20156" t="s">
        <v>973</v>
      </c>
      <c r="N20156" t="s">
        <v>60402</v>
      </c>
      <c r="Q20156">
        <v>0</v>
      </c>
      <c r="R20156">
        <v>192</v>
      </c>
      <c r="S20156">
        <v>0</v>
      </c>
      <c r="T20156" t="s">
        <v>60403</v>
      </c>
    </row>
    <row r="20157" spans="1:20" customFormat="1" ht="15" x14ac:dyDescent="0.25">
      <c r="A20157" t="s">
        <v>24</v>
      </c>
      <c r="B20157" t="s">
        <v>67072</v>
      </c>
      <c r="C20157" t="str">
        <f>"A0092700"</f>
        <v>A0092700</v>
      </c>
      <c r="D20157" t="s">
        <v>75139</v>
      </c>
      <c r="E20157" t="s">
        <v>75140</v>
      </c>
      <c r="F20157" t="s">
        <v>75141</v>
      </c>
      <c r="G20157" t="s">
        <v>1706</v>
      </c>
      <c r="H20157">
        <v>35242</v>
      </c>
      <c r="I20157" t="s">
        <v>30</v>
      </c>
      <c r="J20157" t="s">
        <v>178</v>
      </c>
      <c r="K20157" t="s">
        <v>163</v>
      </c>
      <c r="Q20157">
        <v>1</v>
      </c>
      <c r="R20157">
        <v>0</v>
      </c>
      <c r="S20157">
        <v>0</v>
      </c>
      <c r="T20157" t="s">
        <v>75142</v>
      </c>
    </row>
    <row r="20158" spans="1:20" customFormat="1" ht="15" x14ac:dyDescent="0.25">
      <c r="A20158" t="s">
        <v>24</v>
      </c>
      <c r="B20158" t="s">
        <v>1583</v>
      </c>
      <c r="C20158" t="str">
        <f>"38A59"</f>
        <v>38A59</v>
      </c>
      <c r="D20158" t="s">
        <v>75143</v>
      </c>
      <c r="E20158" t="s">
        <v>75144</v>
      </c>
      <c r="F20158" t="s">
        <v>75145</v>
      </c>
      <c r="G20158" t="s">
        <v>81</v>
      </c>
      <c r="H20158">
        <v>32408</v>
      </c>
      <c r="I20158" t="s">
        <v>30</v>
      </c>
      <c r="J20158" t="s">
        <v>2544</v>
      </c>
      <c r="K20158" t="s">
        <v>36059</v>
      </c>
      <c r="N20158" t="s">
        <v>75146</v>
      </c>
      <c r="O20158" t="s">
        <v>75147</v>
      </c>
      <c r="Q20158">
        <v>0</v>
      </c>
      <c r="R20158">
        <v>35</v>
      </c>
      <c r="S20158">
        <v>0</v>
      </c>
      <c r="T20158" t="s">
        <v>75148</v>
      </c>
    </row>
    <row r="20159" spans="1:20" customFormat="1" ht="15" x14ac:dyDescent="0.25">
      <c r="A20159" t="s">
        <v>24</v>
      </c>
      <c r="B20159" t="s">
        <v>1583</v>
      </c>
      <c r="C20159" t="str">
        <f>"A0136979"</f>
        <v>A0136979</v>
      </c>
      <c r="D20159" t="s">
        <v>75149</v>
      </c>
      <c r="E20159" t="s">
        <v>75144</v>
      </c>
      <c r="F20159" t="s">
        <v>75150</v>
      </c>
      <c r="G20159" t="s">
        <v>81</v>
      </c>
      <c r="H20159">
        <v>32408</v>
      </c>
      <c r="I20159" t="s">
        <v>30</v>
      </c>
      <c r="J20159" t="s">
        <v>191</v>
      </c>
      <c r="K20159" t="s">
        <v>6809</v>
      </c>
      <c r="N20159" t="s">
        <v>57296</v>
      </c>
      <c r="Q20159">
        <v>0</v>
      </c>
      <c r="R20159">
        <v>0</v>
      </c>
      <c r="S20159">
        <v>0</v>
      </c>
      <c r="T20159" t="s">
        <v>57297</v>
      </c>
    </row>
    <row r="20160" spans="1:20" customFormat="1" ht="15" x14ac:dyDescent="0.25">
      <c r="A20160" t="s">
        <v>24</v>
      </c>
      <c r="B20160" t="s">
        <v>59142</v>
      </c>
      <c r="C20160" t="str">
        <f>"651UZ"</f>
        <v>651UZ</v>
      </c>
      <c r="D20160" t="s">
        <v>60404</v>
      </c>
      <c r="E20160" t="s">
        <v>60405</v>
      </c>
      <c r="F20160" t="s">
        <v>3837</v>
      </c>
      <c r="G20160" t="s">
        <v>47</v>
      </c>
      <c r="H20160">
        <v>97477</v>
      </c>
      <c r="I20160" t="s">
        <v>30</v>
      </c>
      <c r="J20160" t="s">
        <v>171</v>
      </c>
      <c r="K20160" t="s">
        <v>973</v>
      </c>
      <c r="N20160" t="s">
        <v>60406</v>
      </c>
      <c r="O20160" t="s">
        <v>60407</v>
      </c>
      <c r="Q20160">
        <v>0</v>
      </c>
      <c r="R20160">
        <v>116</v>
      </c>
      <c r="S20160">
        <v>0</v>
      </c>
      <c r="T20160" t="s">
        <v>60408</v>
      </c>
    </row>
    <row r="20161" spans="1:25" customFormat="1" ht="15" x14ac:dyDescent="0.25">
      <c r="A20161" t="s">
        <v>24</v>
      </c>
      <c r="B20161" t="s">
        <v>55909</v>
      </c>
      <c r="C20161" t="str">
        <f>"A0094546"</f>
        <v>A0094546</v>
      </c>
      <c r="D20161" t="s">
        <v>75157</v>
      </c>
      <c r="E20161" t="s">
        <v>75158</v>
      </c>
      <c r="F20161" t="s">
        <v>13465</v>
      </c>
      <c r="G20161" t="s">
        <v>110</v>
      </c>
      <c r="H20161">
        <v>94070</v>
      </c>
      <c r="I20161" t="s">
        <v>30</v>
      </c>
      <c r="J20161" t="s">
        <v>31</v>
      </c>
      <c r="K20161" t="s">
        <v>163</v>
      </c>
      <c r="N20161" t="s">
        <v>75159</v>
      </c>
      <c r="Q20161">
        <v>0</v>
      </c>
      <c r="R20161">
        <v>35</v>
      </c>
      <c r="S20161">
        <v>0</v>
      </c>
      <c r="T20161" t="s">
        <v>75160</v>
      </c>
    </row>
    <row r="20162" spans="1:25" x14ac:dyDescent="0.25">
      <c r="A20162" s="5" t="s">
        <v>24</v>
      </c>
      <c r="B20162" s="5" t="s">
        <v>6976</v>
      </c>
      <c r="C20162" s="5" t="str">
        <f>"A0092273"</f>
        <v>A0092273</v>
      </c>
      <c r="D20162" s="5" t="s">
        <v>60409</v>
      </c>
      <c r="E20162" s="5" t="s">
        <v>60410</v>
      </c>
      <c r="F20162" s="5" t="s">
        <v>13829</v>
      </c>
      <c r="G20162" s="5" t="s">
        <v>381</v>
      </c>
      <c r="H20162" s="5">
        <v>47715</v>
      </c>
      <c r="I20162" s="5" t="s">
        <v>30</v>
      </c>
      <c r="J20162" s="5" t="s">
        <v>171</v>
      </c>
      <c r="K20162" s="5" t="s">
        <v>973</v>
      </c>
      <c r="L20162" s="5"/>
      <c r="M20162" s="5"/>
      <c r="N20162" s="5" t="s">
        <v>60411</v>
      </c>
      <c r="O20162" s="5" t="s">
        <v>60412</v>
      </c>
      <c r="P20162" s="5"/>
      <c r="Q20162" s="5">
        <v>0</v>
      </c>
      <c r="R20162" s="5">
        <v>119</v>
      </c>
      <c r="S20162" s="5">
        <v>0</v>
      </c>
      <c r="T20162" s="5" t="s">
        <v>60413</v>
      </c>
      <c r="U20162" s="5"/>
      <c r="V20162" s="5"/>
      <c r="W20162" s="5"/>
      <c r="X20162" s="5"/>
      <c r="Y20162" s="5"/>
    </row>
    <row r="20163" spans="1:25" customFormat="1" ht="15" x14ac:dyDescent="0.25">
      <c r="A20163" t="s">
        <v>24</v>
      </c>
      <c r="B20163" t="s">
        <v>74943</v>
      </c>
      <c r="C20163" t="str">
        <f>"A0098831"</f>
        <v>A0098831</v>
      </c>
      <c r="D20163" t="s">
        <v>75166</v>
      </c>
      <c r="E20163" t="s">
        <v>75167</v>
      </c>
      <c r="F20163" t="s">
        <v>74946</v>
      </c>
      <c r="G20163" t="s">
        <v>2450</v>
      </c>
      <c r="H20163">
        <v>4064</v>
      </c>
      <c r="I20163" t="s">
        <v>30</v>
      </c>
      <c r="J20163" t="s">
        <v>31</v>
      </c>
      <c r="K20163" t="s">
        <v>163</v>
      </c>
      <c r="N20163" t="s">
        <v>74947</v>
      </c>
      <c r="Q20163">
        <v>0</v>
      </c>
      <c r="R20163">
        <v>15</v>
      </c>
      <c r="S20163">
        <v>0</v>
      </c>
      <c r="T20163" t="s">
        <v>74948</v>
      </c>
    </row>
    <row r="20164" spans="1:25" customFormat="1" ht="15" x14ac:dyDescent="0.25">
      <c r="A20164" t="s">
        <v>24</v>
      </c>
      <c r="B20164" t="s">
        <v>5843</v>
      </c>
      <c r="C20164" t="str">
        <f>"A0092376"</f>
        <v>A0092376</v>
      </c>
      <c r="D20164" t="s">
        <v>75168</v>
      </c>
      <c r="E20164" t="s">
        <v>75169</v>
      </c>
      <c r="F20164" t="s">
        <v>75170</v>
      </c>
      <c r="G20164" t="s">
        <v>110</v>
      </c>
      <c r="H20164">
        <v>93950</v>
      </c>
      <c r="I20164" t="s">
        <v>30</v>
      </c>
      <c r="J20164" t="s">
        <v>31</v>
      </c>
      <c r="K20164" t="s">
        <v>163</v>
      </c>
      <c r="N20164" t="s">
        <v>72311</v>
      </c>
      <c r="Q20164">
        <v>0</v>
      </c>
      <c r="R20164">
        <v>96</v>
      </c>
      <c r="S20164">
        <v>0</v>
      </c>
      <c r="T20164" t="s">
        <v>75171</v>
      </c>
    </row>
    <row r="20165" spans="1:25" x14ac:dyDescent="0.25">
      <c r="A20165" s="5" t="s">
        <v>24</v>
      </c>
      <c r="B20165" s="5" t="s">
        <v>60414</v>
      </c>
      <c r="C20165" s="5" t="str">
        <f>"A0068103"</f>
        <v>A0068103</v>
      </c>
      <c r="D20165" s="5" t="s">
        <v>60415</v>
      </c>
      <c r="E20165" s="5" t="s">
        <v>60416</v>
      </c>
      <c r="F20165" s="5" t="s">
        <v>60417</v>
      </c>
      <c r="G20165" s="5" t="s">
        <v>338</v>
      </c>
      <c r="H20165" s="5">
        <v>8628</v>
      </c>
      <c r="I20165" s="5" t="s">
        <v>30</v>
      </c>
      <c r="J20165" s="5" t="s">
        <v>171</v>
      </c>
      <c r="K20165" s="5" t="s">
        <v>973</v>
      </c>
      <c r="L20165" s="5"/>
      <c r="M20165" s="5"/>
      <c r="N20165" s="5" t="s">
        <v>60418</v>
      </c>
      <c r="O20165" s="5" t="s">
        <v>60419</v>
      </c>
      <c r="P20165" s="5"/>
      <c r="Q20165" s="5">
        <v>0</v>
      </c>
      <c r="R20165" s="5">
        <v>130</v>
      </c>
      <c r="S20165" s="5">
        <v>0</v>
      </c>
      <c r="T20165" s="5" t="s">
        <v>60420</v>
      </c>
      <c r="U20165" s="5"/>
      <c r="V20165" s="5"/>
      <c r="W20165" s="5"/>
      <c r="X20165" s="5"/>
      <c r="Y20165" s="5"/>
    </row>
    <row r="20166" spans="1:25" x14ac:dyDescent="0.25">
      <c r="A20166" s="5" t="s">
        <v>24</v>
      </c>
      <c r="B20166" s="5" t="s">
        <v>675</v>
      </c>
      <c r="C20166" s="5" t="str">
        <f>"311D3"</f>
        <v>311D3</v>
      </c>
      <c r="D20166" s="5" t="s">
        <v>60421</v>
      </c>
      <c r="E20166" s="5" t="s">
        <v>60422</v>
      </c>
      <c r="F20166" s="5" t="s">
        <v>12811</v>
      </c>
      <c r="G20166" s="5" t="s">
        <v>29</v>
      </c>
      <c r="H20166" s="5">
        <v>22030</v>
      </c>
      <c r="I20166" s="5" t="s">
        <v>30</v>
      </c>
      <c r="J20166" s="5" t="s">
        <v>171</v>
      </c>
      <c r="K20166" s="5" t="s">
        <v>973</v>
      </c>
      <c r="L20166" s="5"/>
      <c r="M20166" s="5"/>
      <c r="N20166" s="5" t="s">
        <v>60423</v>
      </c>
      <c r="O20166" s="5" t="s">
        <v>60424</v>
      </c>
      <c r="P20166" s="5"/>
      <c r="Q20166" s="5">
        <v>0</v>
      </c>
      <c r="R20166" s="5">
        <v>144</v>
      </c>
      <c r="S20166" s="5">
        <v>0</v>
      </c>
      <c r="T20166" s="5" t="s">
        <v>60425</v>
      </c>
      <c r="U20166" s="5"/>
      <c r="V20166" s="5"/>
      <c r="W20166" s="5"/>
      <c r="X20166" s="5"/>
      <c r="Y20166" s="5"/>
    </row>
    <row r="20167" spans="1:25" customFormat="1" ht="15" x14ac:dyDescent="0.25">
      <c r="A20167" t="s">
        <v>24</v>
      </c>
      <c r="B20167" t="s">
        <v>3221</v>
      </c>
      <c r="C20167" t="str">
        <f>"A0087446"</f>
        <v>A0087446</v>
      </c>
      <c r="D20167" t="s">
        <v>75181</v>
      </c>
      <c r="E20167" t="s">
        <v>75182</v>
      </c>
      <c r="F20167" t="s">
        <v>58975</v>
      </c>
      <c r="G20167" t="s">
        <v>899</v>
      </c>
      <c r="H20167">
        <v>2360</v>
      </c>
      <c r="I20167" t="s">
        <v>30</v>
      </c>
      <c r="J20167" t="s">
        <v>191</v>
      </c>
      <c r="K20167" t="s">
        <v>11889</v>
      </c>
      <c r="Q20167">
        <v>0</v>
      </c>
      <c r="R20167">
        <v>0</v>
      </c>
      <c r="S20167">
        <v>0</v>
      </c>
      <c r="T20167" t="s">
        <v>75183</v>
      </c>
    </row>
    <row r="20168" spans="1:25" customFormat="1" ht="15" x14ac:dyDescent="0.25">
      <c r="A20168" t="s">
        <v>24</v>
      </c>
      <c r="B20168" t="s">
        <v>9549</v>
      </c>
      <c r="C20168" t="str">
        <f>"A0117460"</f>
        <v>A0117460</v>
      </c>
      <c r="D20168" t="s">
        <v>60426</v>
      </c>
      <c r="E20168" t="s">
        <v>60427</v>
      </c>
      <c r="F20168" t="s">
        <v>33693</v>
      </c>
      <c r="G20168" t="s">
        <v>144</v>
      </c>
      <c r="H20168">
        <v>58104</v>
      </c>
      <c r="I20168" t="s">
        <v>30</v>
      </c>
      <c r="J20168" t="s">
        <v>171</v>
      </c>
      <c r="K20168" t="s">
        <v>973</v>
      </c>
      <c r="N20168" t="s">
        <v>60428</v>
      </c>
      <c r="Q20168">
        <v>0</v>
      </c>
      <c r="R20168">
        <v>110</v>
      </c>
      <c r="S20168">
        <v>0</v>
      </c>
      <c r="T20168" t="s">
        <v>60429</v>
      </c>
    </row>
    <row r="20169" spans="1:25" customFormat="1" ht="15" x14ac:dyDescent="0.25">
      <c r="A20169" t="s">
        <v>24</v>
      </c>
      <c r="B20169" t="s">
        <v>675</v>
      </c>
      <c r="C20169" t="str">
        <f>"311AG"</f>
        <v>311AG</v>
      </c>
      <c r="D20169" t="s">
        <v>60430</v>
      </c>
      <c r="E20169" t="s">
        <v>60431</v>
      </c>
      <c r="F20169" t="s">
        <v>3540</v>
      </c>
      <c r="G20169" t="s">
        <v>214</v>
      </c>
      <c r="H20169">
        <v>28303</v>
      </c>
      <c r="I20169" t="s">
        <v>30</v>
      </c>
      <c r="J20169" t="s">
        <v>171</v>
      </c>
      <c r="K20169" t="s">
        <v>973</v>
      </c>
      <c r="N20169" t="s">
        <v>60432</v>
      </c>
      <c r="O20169" t="s">
        <v>60433</v>
      </c>
      <c r="Q20169">
        <v>0</v>
      </c>
      <c r="R20169">
        <v>108</v>
      </c>
      <c r="S20169">
        <v>0</v>
      </c>
      <c r="T20169" t="s">
        <v>60434</v>
      </c>
    </row>
    <row r="20170" spans="1:25" customFormat="1" ht="15" x14ac:dyDescent="0.25">
      <c r="A20170" t="s">
        <v>24</v>
      </c>
      <c r="B20170" t="s">
        <v>675</v>
      </c>
      <c r="C20170" t="str">
        <f>"311DM"</f>
        <v>311DM</v>
      </c>
      <c r="D20170" t="s">
        <v>60435</v>
      </c>
      <c r="E20170" t="s">
        <v>60436</v>
      </c>
      <c r="F20170" t="s">
        <v>60437</v>
      </c>
      <c r="G20170" t="s">
        <v>99</v>
      </c>
      <c r="H20170">
        <v>12524</v>
      </c>
      <c r="I20170" t="s">
        <v>30</v>
      </c>
      <c r="J20170" t="s">
        <v>171</v>
      </c>
      <c r="K20170" t="s">
        <v>973</v>
      </c>
      <c r="N20170" t="s">
        <v>60438</v>
      </c>
      <c r="Q20170">
        <v>0</v>
      </c>
      <c r="R20170">
        <v>152</v>
      </c>
      <c r="S20170">
        <v>0</v>
      </c>
      <c r="T20170" t="s">
        <v>60439</v>
      </c>
    </row>
    <row r="20171" spans="1:25" x14ac:dyDescent="0.25">
      <c r="A20171" s="5" t="s">
        <v>24</v>
      </c>
      <c r="B20171" s="5" t="s">
        <v>2955</v>
      </c>
      <c r="C20171" s="5" t="str">
        <f>"A0087975"</f>
        <v>A0087975</v>
      </c>
      <c r="D20171" s="5" t="s">
        <v>60440</v>
      </c>
      <c r="E20171" s="5" t="s">
        <v>60441</v>
      </c>
      <c r="F20171" s="5" t="s">
        <v>1513</v>
      </c>
      <c r="G20171" s="5" t="s">
        <v>197</v>
      </c>
      <c r="H20171" s="5">
        <v>86001</v>
      </c>
      <c r="I20171" s="5" t="s">
        <v>30</v>
      </c>
      <c r="J20171" s="5" t="s">
        <v>171</v>
      </c>
      <c r="K20171" s="5" t="s">
        <v>973</v>
      </c>
      <c r="L20171" s="5"/>
      <c r="M20171" s="5"/>
      <c r="N20171" s="5" t="s">
        <v>60442</v>
      </c>
      <c r="O20171" s="5" t="s">
        <v>60443</v>
      </c>
      <c r="P20171" s="5"/>
      <c r="Q20171" s="5">
        <v>0</v>
      </c>
      <c r="R20171" s="5">
        <v>164</v>
      </c>
      <c r="S20171" s="5">
        <v>0</v>
      </c>
      <c r="T20171" s="5" t="s">
        <v>60444</v>
      </c>
      <c r="U20171" s="5"/>
      <c r="V20171" s="5"/>
      <c r="W20171" s="5"/>
      <c r="X20171" s="5"/>
      <c r="Y20171" s="5"/>
    </row>
    <row r="20172" spans="1:25" customFormat="1" ht="15" x14ac:dyDescent="0.25">
      <c r="A20172" t="s">
        <v>24</v>
      </c>
      <c r="B20172" t="s">
        <v>675</v>
      </c>
      <c r="C20172" t="str">
        <f>"A0091842"</f>
        <v>A0091842</v>
      </c>
      <c r="D20172" t="s">
        <v>60445</v>
      </c>
      <c r="E20172" t="s">
        <v>60446</v>
      </c>
      <c r="F20172" t="s">
        <v>313</v>
      </c>
      <c r="G20172" t="s">
        <v>314</v>
      </c>
      <c r="H20172">
        <v>20052</v>
      </c>
      <c r="I20172" t="s">
        <v>30</v>
      </c>
      <c r="J20172" t="s">
        <v>171</v>
      </c>
      <c r="K20172" t="s">
        <v>973</v>
      </c>
      <c r="N20172" t="s">
        <v>60196</v>
      </c>
      <c r="Q20172">
        <v>0</v>
      </c>
      <c r="R20172">
        <v>144</v>
      </c>
      <c r="S20172">
        <v>0</v>
      </c>
      <c r="T20172" t="s">
        <v>60447</v>
      </c>
    </row>
    <row r="20173" spans="1:25" x14ac:dyDescent="0.25">
      <c r="A20173" s="5" t="s">
        <v>24</v>
      </c>
      <c r="B20173" s="5" t="s">
        <v>675</v>
      </c>
      <c r="C20173" s="5" t="str">
        <f>"A0068109"</f>
        <v>A0068109</v>
      </c>
      <c r="D20173" s="5" t="s">
        <v>60448</v>
      </c>
      <c r="E20173" s="5" t="s">
        <v>60449</v>
      </c>
      <c r="F20173" s="5" t="s">
        <v>34209</v>
      </c>
      <c r="G20173" s="5" t="s">
        <v>110</v>
      </c>
      <c r="H20173" s="5">
        <v>92610</v>
      </c>
      <c r="I20173" s="5" t="s">
        <v>30</v>
      </c>
      <c r="J20173" s="5" t="s">
        <v>171</v>
      </c>
      <c r="K20173" s="5" t="s">
        <v>973</v>
      </c>
      <c r="L20173" s="5"/>
      <c r="M20173" s="5"/>
      <c r="N20173" s="5" t="s">
        <v>60450</v>
      </c>
      <c r="O20173" s="5"/>
      <c r="P20173" s="5"/>
      <c r="Q20173" s="5">
        <v>0</v>
      </c>
      <c r="R20173" s="5">
        <v>156</v>
      </c>
      <c r="S20173" s="5">
        <v>0</v>
      </c>
      <c r="T20173" s="5" t="s">
        <v>60451</v>
      </c>
      <c r="U20173" s="5"/>
      <c r="V20173" s="5"/>
      <c r="W20173" s="5"/>
      <c r="X20173" s="5"/>
      <c r="Y20173" s="5"/>
    </row>
    <row r="20174" spans="1:25" customFormat="1" ht="15" x14ac:dyDescent="0.25">
      <c r="A20174" t="s">
        <v>24</v>
      </c>
      <c r="B20174" t="s">
        <v>2360</v>
      </c>
      <c r="C20174" t="str">
        <f>"CL1580"</f>
        <v>CL1580</v>
      </c>
      <c r="D20174" t="s">
        <v>75215</v>
      </c>
      <c r="E20174" t="s">
        <v>75216</v>
      </c>
      <c r="F20174" t="s">
        <v>372</v>
      </c>
      <c r="G20174" t="s">
        <v>52</v>
      </c>
      <c r="H20174">
        <v>78734</v>
      </c>
      <c r="I20174" t="s">
        <v>30</v>
      </c>
      <c r="J20174" t="s">
        <v>178</v>
      </c>
      <c r="K20174" t="s">
        <v>55688</v>
      </c>
      <c r="N20174" t="s">
        <v>68815</v>
      </c>
      <c r="P20174" t="s">
        <v>992</v>
      </c>
      <c r="Q20174">
        <v>1</v>
      </c>
      <c r="R20174">
        <v>0</v>
      </c>
      <c r="S20174">
        <v>0</v>
      </c>
      <c r="T20174" t="s">
        <v>75217</v>
      </c>
    </row>
    <row r="20175" spans="1:25" customFormat="1" ht="15" x14ac:dyDescent="0.25">
      <c r="A20175" t="s">
        <v>24</v>
      </c>
      <c r="B20175" t="s">
        <v>4855</v>
      </c>
      <c r="C20175" t="str">
        <f>"311MG"</f>
        <v>311MG</v>
      </c>
      <c r="D20175" t="s">
        <v>60452</v>
      </c>
      <c r="E20175" t="s">
        <v>60453</v>
      </c>
      <c r="F20175" t="s">
        <v>60454</v>
      </c>
      <c r="G20175" t="s">
        <v>190</v>
      </c>
      <c r="H20175">
        <v>80525</v>
      </c>
      <c r="I20175" t="s">
        <v>30</v>
      </c>
      <c r="J20175" t="s">
        <v>171</v>
      </c>
      <c r="K20175" t="s">
        <v>973</v>
      </c>
      <c r="N20175" t="s">
        <v>60455</v>
      </c>
      <c r="Q20175">
        <v>0</v>
      </c>
      <c r="R20175">
        <v>113</v>
      </c>
      <c r="S20175">
        <v>0</v>
      </c>
      <c r="T20175" t="s">
        <v>60456</v>
      </c>
    </row>
    <row r="20176" spans="1:25" customFormat="1" ht="15" x14ac:dyDescent="0.25">
      <c r="A20176" t="s">
        <v>24</v>
      </c>
      <c r="B20176" t="s">
        <v>675</v>
      </c>
      <c r="C20176" t="str">
        <f>"311AR"</f>
        <v>311AR</v>
      </c>
      <c r="D20176" t="s">
        <v>60457</v>
      </c>
      <c r="E20176" t="s">
        <v>60458</v>
      </c>
      <c r="F20176" t="s">
        <v>1570</v>
      </c>
      <c r="G20176" t="s">
        <v>81</v>
      </c>
      <c r="H20176">
        <v>33326</v>
      </c>
      <c r="I20176" t="s">
        <v>30</v>
      </c>
      <c r="J20176" t="s">
        <v>171</v>
      </c>
      <c r="K20176" t="s">
        <v>973</v>
      </c>
      <c r="N20176" t="s">
        <v>60459</v>
      </c>
      <c r="O20176" t="s">
        <v>60460</v>
      </c>
      <c r="Q20176">
        <v>0</v>
      </c>
      <c r="R20176">
        <v>174</v>
      </c>
      <c r="S20176">
        <v>0</v>
      </c>
      <c r="T20176" t="s">
        <v>60461</v>
      </c>
    </row>
    <row r="20177" spans="1:20" customFormat="1" ht="15" x14ac:dyDescent="0.25">
      <c r="A20177" t="s">
        <v>24</v>
      </c>
      <c r="B20177" t="s">
        <v>2360</v>
      </c>
      <c r="C20177" t="str">
        <f>"CL1595"</f>
        <v>CL1595</v>
      </c>
      <c r="D20177" t="s">
        <v>75227</v>
      </c>
      <c r="E20177" t="s">
        <v>75228</v>
      </c>
      <c r="F20177" t="s">
        <v>6927</v>
      </c>
      <c r="G20177" t="s">
        <v>214</v>
      </c>
      <c r="H20177">
        <v>27511</v>
      </c>
      <c r="I20177" t="s">
        <v>30</v>
      </c>
      <c r="J20177" t="s">
        <v>178</v>
      </c>
      <c r="K20177" t="s">
        <v>8013</v>
      </c>
      <c r="N20177" t="s">
        <v>62954</v>
      </c>
      <c r="O20177" t="s">
        <v>75229</v>
      </c>
      <c r="P20177" t="s">
        <v>992</v>
      </c>
      <c r="Q20177">
        <v>1</v>
      </c>
      <c r="R20177">
        <v>0</v>
      </c>
      <c r="S20177">
        <v>0</v>
      </c>
      <c r="T20177" t="s">
        <v>75230</v>
      </c>
    </row>
    <row r="20178" spans="1:20" customFormat="1" ht="15" x14ac:dyDescent="0.25">
      <c r="A20178" t="s">
        <v>24</v>
      </c>
      <c r="B20178" t="s">
        <v>675</v>
      </c>
      <c r="C20178" t="str">
        <f>"A0068106"</f>
        <v>A0068106</v>
      </c>
      <c r="D20178" t="s">
        <v>60462</v>
      </c>
      <c r="E20178" t="s">
        <v>60463</v>
      </c>
      <c r="F20178" t="s">
        <v>60464</v>
      </c>
      <c r="G20178" t="s">
        <v>123</v>
      </c>
      <c r="H20178">
        <v>20701</v>
      </c>
      <c r="I20178" t="s">
        <v>30</v>
      </c>
      <c r="J20178" t="s">
        <v>171</v>
      </c>
      <c r="K20178" t="s">
        <v>973</v>
      </c>
      <c r="N20178" t="s">
        <v>60465</v>
      </c>
      <c r="O20178" t="s">
        <v>60466</v>
      </c>
      <c r="Q20178">
        <v>0</v>
      </c>
      <c r="R20178">
        <v>140</v>
      </c>
      <c r="S20178">
        <v>0</v>
      </c>
      <c r="T20178" t="s">
        <v>60467</v>
      </c>
    </row>
    <row r="20179" spans="1:20" customFormat="1" ht="15" x14ac:dyDescent="0.25">
      <c r="A20179" t="s">
        <v>24</v>
      </c>
      <c r="B20179" t="s">
        <v>6647</v>
      </c>
      <c r="C20179" t="str">
        <f>"A0091933"</f>
        <v>A0091933</v>
      </c>
      <c r="D20179" t="s">
        <v>75236</v>
      </c>
      <c r="E20179" t="s">
        <v>75237</v>
      </c>
      <c r="F20179" t="s">
        <v>985</v>
      </c>
      <c r="G20179" t="s">
        <v>81</v>
      </c>
      <c r="H20179">
        <v>32819</v>
      </c>
      <c r="I20179" t="s">
        <v>30</v>
      </c>
      <c r="J20179" t="s">
        <v>191</v>
      </c>
      <c r="K20179" t="s">
        <v>11889</v>
      </c>
      <c r="N20179" t="s">
        <v>6652</v>
      </c>
      <c r="Q20179">
        <v>0</v>
      </c>
      <c r="R20179">
        <v>0</v>
      </c>
      <c r="S20179">
        <v>0</v>
      </c>
      <c r="T20179" t="s">
        <v>75238</v>
      </c>
    </row>
    <row r="20180" spans="1:20" customFormat="1" ht="15" x14ac:dyDescent="0.25">
      <c r="A20180" t="s">
        <v>24</v>
      </c>
      <c r="B20180" t="s">
        <v>342</v>
      </c>
      <c r="C20180" t="str">
        <f>"A0088229"</f>
        <v>A0088229</v>
      </c>
      <c r="D20180" t="s">
        <v>60468</v>
      </c>
      <c r="E20180" t="s">
        <v>60469</v>
      </c>
      <c r="F20180" t="s">
        <v>177</v>
      </c>
      <c r="G20180" t="s">
        <v>81</v>
      </c>
      <c r="H20180">
        <v>33913</v>
      </c>
      <c r="I20180" t="s">
        <v>30</v>
      </c>
      <c r="J20180" t="s">
        <v>171</v>
      </c>
      <c r="K20180" t="s">
        <v>973</v>
      </c>
      <c r="N20180" t="s">
        <v>60470</v>
      </c>
      <c r="Q20180">
        <v>0</v>
      </c>
      <c r="R20180">
        <v>134</v>
      </c>
      <c r="S20180">
        <v>0</v>
      </c>
      <c r="T20180" t="s">
        <v>60471</v>
      </c>
    </row>
    <row r="20181" spans="1:20" customFormat="1" ht="15" x14ac:dyDescent="0.25">
      <c r="A20181" t="s">
        <v>24</v>
      </c>
      <c r="B20181" t="s">
        <v>56277</v>
      </c>
      <c r="C20181" t="str">
        <f>"A0078662"</f>
        <v>A0078662</v>
      </c>
      <c r="D20181" t="s">
        <v>60472</v>
      </c>
      <c r="E20181" t="s">
        <v>60473</v>
      </c>
      <c r="F20181" t="s">
        <v>58702</v>
      </c>
      <c r="G20181" t="s">
        <v>85</v>
      </c>
      <c r="H20181">
        <v>72901</v>
      </c>
      <c r="I20181" t="s">
        <v>30</v>
      </c>
      <c r="J20181" t="s">
        <v>171</v>
      </c>
      <c r="K20181" t="s">
        <v>973</v>
      </c>
      <c r="N20181" t="s">
        <v>60474</v>
      </c>
      <c r="O20181" t="s">
        <v>60475</v>
      </c>
      <c r="Q20181">
        <v>0</v>
      </c>
      <c r="R20181">
        <v>138</v>
      </c>
      <c r="S20181">
        <v>0</v>
      </c>
      <c r="T20181" t="s">
        <v>60476</v>
      </c>
    </row>
    <row r="20182" spans="1:20" customFormat="1" ht="15" x14ac:dyDescent="0.25">
      <c r="A20182" t="s">
        <v>24</v>
      </c>
      <c r="B20182" t="s">
        <v>1487</v>
      </c>
      <c r="C20182" t="str">
        <f>"A0088655"</f>
        <v>A0088655</v>
      </c>
      <c r="D20182" t="s">
        <v>60477</v>
      </c>
      <c r="E20182" t="s">
        <v>60478</v>
      </c>
      <c r="F20182" t="s">
        <v>60479</v>
      </c>
      <c r="G20182" t="s">
        <v>381</v>
      </c>
      <c r="H20182">
        <v>46802</v>
      </c>
      <c r="I20182" t="s">
        <v>30</v>
      </c>
      <c r="J20182" t="s">
        <v>171</v>
      </c>
      <c r="K20182" t="s">
        <v>973</v>
      </c>
      <c r="N20182" t="s">
        <v>60480</v>
      </c>
      <c r="O20182" t="s">
        <v>60481</v>
      </c>
      <c r="Q20182">
        <v>0</v>
      </c>
      <c r="R20182">
        <v>251</v>
      </c>
      <c r="S20182">
        <v>0</v>
      </c>
      <c r="T20182" t="s">
        <v>60482</v>
      </c>
    </row>
    <row r="20183" spans="1:20" customFormat="1" ht="15" x14ac:dyDescent="0.25">
      <c r="A20183" t="s">
        <v>24</v>
      </c>
      <c r="B20183" t="s">
        <v>1323</v>
      </c>
      <c r="C20183" t="str">
        <f>"A0095227"</f>
        <v>A0095227</v>
      </c>
      <c r="D20183" t="s">
        <v>60483</v>
      </c>
      <c r="E20183" t="s">
        <v>60484</v>
      </c>
      <c r="F20183" t="s">
        <v>3505</v>
      </c>
      <c r="G20183" t="s">
        <v>52</v>
      </c>
      <c r="H20183">
        <v>76164</v>
      </c>
      <c r="I20183" t="s">
        <v>30</v>
      </c>
      <c r="J20183" t="s">
        <v>171</v>
      </c>
      <c r="K20183" t="s">
        <v>973</v>
      </c>
      <c r="N20183" t="s">
        <v>60485</v>
      </c>
      <c r="Q20183">
        <v>0</v>
      </c>
      <c r="R20183">
        <v>124</v>
      </c>
      <c r="S20183">
        <v>0</v>
      </c>
      <c r="T20183" t="s">
        <v>60486</v>
      </c>
    </row>
    <row r="20184" spans="1:20" customFormat="1" ht="15" x14ac:dyDescent="0.25">
      <c r="A20184" t="s">
        <v>24</v>
      </c>
      <c r="B20184" t="s">
        <v>1020</v>
      </c>
      <c r="C20184" t="str">
        <f>"A0054863"</f>
        <v>A0054863</v>
      </c>
      <c r="D20184" t="s">
        <v>60487</v>
      </c>
      <c r="E20184" t="s">
        <v>60488</v>
      </c>
      <c r="F20184" t="s">
        <v>3505</v>
      </c>
      <c r="G20184" t="s">
        <v>52</v>
      </c>
      <c r="H20184">
        <v>76116</v>
      </c>
      <c r="I20184" t="s">
        <v>30</v>
      </c>
      <c r="J20184" t="s">
        <v>171</v>
      </c>
      <c r="K20184" t="s">
        <v>973</v>
      </c>
      <c r="N20184" t="s">
        <v>60489</v>
      </c>
      <c r="Q20184">
        <v>0</v>
      </c>
      <c r="R20184">
        <v>92</v>
      </c>
      <c r="S20184">
        <v>0</v>
      </c>
      <c r="T20184" t="s">
        <v>60490</v>
      </c>
    </row>
    <row r="20185" spans="1:20" customFormat="1" ht="15" x14ac:dyDescent="0.25">
      <c r="A20185" t="s">
        <v>24</v>
      </c>
      <c r="B20185" t="s">
        <v>6363</v>
      </c>
      <c r="C20185" t="str">
        <f>"A0086932"</f>
        <v>A0086932</v>
      </c>
      <c r="D20185" t="s">
        <v>60491</v>
      </c>
      <c r="E20185" t="s">
        <v>60492</v>
      </c>
      <c r="F20185" t="s">
        <v>7921</v>
      </c>
      <c r="G20185" t="s">
        <v>880</v>
      </c>
      <c r="H20185">
        <v>37067</v>
      </c>
      <c r="I20185" t="s">
        <v>30</v>
      </c>
      <c r="J20185" t="s">
        <v>171</v>
      </c>
      <c r="K20185" t="s">
        <v>973</v>
      </c>
      <c r="N20185" t="s">
        <v>60493</v>
      </c>
      <c r="O20185" t="s">
        <v>60494</v>
      </c>
      <c r="Q20185">
        <v>0</v>
      </c>
      <c r="R20185">
        <v>129</v>
      </c>
      <c r="S20185">
        <v>0</v>
      </c>
      <c r="T20185" t="s">
        <v>60495</v>
      </c>
    </row>
    <row r="20186" spans="1:20" customFormat="1" ht="15" x14ac:dyDescent="0.25">
      <c r="A20186" t="s">
        <v>24</v>
      </c>
      <c r="B20186" t="s">
        <v>60496</v>
      </c>
      <c r="C20186" t="str">
        <f>"6513P"</f>
        <v>6513P</v>
      </c>
      <c r="D20186" t="s">
        <v>60497</v>
      </c>
      <c r="E20186" t="s">
        <v>60498</v>
      </c>
      <c r="F20186" t="s">
        <v>60499</v>
      </c>
      <c r="G20186" t="s">
        <v>123</v>
      </c>
      <c r="H20186">
        <v>21703</v>
      </c>
      <c r="I20186" t="s">
        <v>30</v>
      </c>
      <c r="J20186" t="s">
        <v>171</v>
      </c>
      <c r="K20186" t="s">
        <v>973</v>
      </c>
      <c r="N20186" t="s">
        <v>60500</v>
      </c>
      <c r="O20186" t="s">
        <v>60501</v>
      </c>
      <c r="Q20186">
        <v>0</v>
      </c>
      <c r="R20186">
        <v>90</v>
      </c>
      <c r="S20186">
        <v>0</v>
      </c>
      <c r="T20186" t="s">
        <v>60502</v>
      </c>
    </row>
    <row r="20187" spans="1:20" customFormat="1" ht="15" x14ac:dyDescent="0.25">
      <c r="A20187" t="s">
        <v>24</v>
      </c>
      <c r="B20187" t="s">
        <v>60503</v>
      </c>
      <c r="C20187" t="str">
        <f>"A0087892"</f>
        <v>A0087892</v>
      </c>
      <c r="D20187" t="s">
        <v>60504</v>
      </c>
      <c r="E20187" t="s">
        <v>60505</v>
      </c>
      <c r="F20187" t="s">
        <v>60506</v>
      </c>
      <c r="G20187" t="s">
        <v>29</v>
      </c>
      <c r="H20187">
        <v>22401</v>
      </c>
      <c r="I20187" t="s">
        <v>30</v>
      </c>
      <c r="J20187" t="s">
        <v>171</v>
      </c>
      <c r="K20187" t="s">
        <v>973</v>
      </c>
      <c r="N20187" t="s">
        <v>60507</v>
      </c>
      <c r="Q20187">
        <v>0</v>
      </c>
      <c r="R20187">
        <v>98</v>
      </c>
      <c r="S20187">
        <v>0</v>
      </c>
      <c r="T20187" t="s">
        <v>60508</v>
      </c>
    </row>
    <row r="20188" spans="1:20" customFormat="1" ht="15" x14ac:dyDescent="0.25">
      <c r="A20188" t="s">
        <v>24</v>
      </c>
      <c r="B20188" t="s">
        <v>675</v>
      </c>
      <c r="C20188" t="str">
        <f>"311J7"</f>
        <v>311J7</v>
      </c>
      <c r="D20188" t="s">
        <v>60509</v>
      </c>
      <c r="E20188" t="s">
        <v>60510</v>
      </c>
      <c r="F20188" t="s">
        <v>5791</v>
      </c>
      <c r="G20188" t="s">
        <v>110</v>
      </c>
      <c r="H20188">
        <v>94538</v>
      </c>
      <c r="I20188" t="s">
        <v>30</v>
      </c>
      <c r="J20188" t="s">
        <v>171</v>
      </c>
      <c r="K20188" t="s">
        <v>973</v>
      </c>
      <c r="N20188" t="s">
        <v>60511</v>
      </c>
      <c r="Q20188">
        <v>0</v>
      </c>
      <c r="R20188">
        <v>146</v>
      </c>
      <c r="S20188">
        <v>0</v>
      </c>
      <c r="T20188" t="s">
        <v>60512</v>
      </c>
    </row>
    <row r="20189" spans="1:20" customFormat="1" ht="15" x14ac:dyDescent="0.25">
      <c r="A20189" t="s">
        <v>24</v>
      </c>
      <c r="B20189" t="s">
        <v>675</v>
      </c>
      <c r="C20189" t="str">
        <f>"311J2"</f>
        <v>311J2</v>
      </c>
      <c r="D20189" t="s">
        <v>60513</v>
      </c>
      <c r="E20189" t="s">
        <v>60514</v>
      </c>
      <c r="F20189" t="s">
        <v>14614</v>
      </c>
      <c r="G20189" t="s">
        <v>110</v>
      </c>
      <c r="H20189">
        <v>93710</v>
      </c>
      <c r="I20189" t="s">
        <v>30</v>
      </c>
      <c r="J20189" t="s">
        <v>171</v>
      </c>
      <c r="K20189" t="s">
        <v>973</v>
      </c>
      <c r="N20189" t="s">
        <v>60515</v>
      </c>
      <c r="Q20189">
        <v>0</v>
      </c>
      <c r="R20189">
        <v>146</v>
      </c>
      <c r="S20189">
        <v>0</v>
      </c>
      <c r="T20189" t="s">
        <v>60516</v>
      </c>
    </row>
    <row r="20190" spans="1:20" customFormat="1" ht="15" x14ac:dyDescent="0.25">
      <c r="A20190" t="s">
        <v>24</v>
      </c>
      <c r="B20190" t="s">
        <v>59534</v>
      </c>
      <c r="C20190" t="str">
        <f>"651Z1"</f>
        <v>651Z1</v>
      </c>
      <c r="D20190" t="s">
        <v>60517</v>
      </c>
      <c r="E20190" t="s">
        <v>60518</v>
      </c>
      <c r="F20190" t="s">
        <v>1570</v>
      </c>
      <c r="G20190" t="s">
        <v>81</v>
      </c>
      <c r="H20190">
        <v>33308</v>
      </c>
      <c r="I20190" t="s">
        <v>30</v>
      </c>
      <c r="J20190" t="s">
        <v>171</v>
      </c>
      <c r="K20190" t="s">
        <v>973</v>
      </c>
      <c r="N20190" t="s">
        <v>60519</v>
      </c>
      <c r="Q20190">
        <v>0</v>
      </c>
      <c r="R20190">
        <v>104</v>
      </c>
      <c r="S20190">
        <v>0</v>
      </c>
      <c r="T20190" t="s">
        <v>60520</v>
      </c>
    </row>
    <row r="20191" spans="1:20" customFormat="1" ht="15" x14ac:dyDescent="0.25">
      <c r="A20191" t="s">
        <v>24</v>
      </c>
      <c r="B20191" t="s">
        <v>675</v>
      </c>
      <c r="C20191" t="str">
        <f>"311NA"</f>
        <v>311NA</v>
      </c>
      <c r="D20191" t="s">
        <v>60521</v>
      </c>
      <c r="E20191" t="s">
        <v>60522</v>
      </c>
      <c r="F20191" t="s">
        <v>3505</v>
      </c>
      <c r="G20191" t="s">
        <v>52</v>
      </c>
      <c r="H20191">
        <v>76102</v>
      </c>
      <c r="I20191" t="s">
        <v>30</v>
      </c>
      <c r="J20191" t="s">
        <v>171</v>
      </c>
      <c r="K20191" t="s">
        <v>973</v>
      </c>
      <c r="N20191" t="s">
        <v>60523</v>
      </c>
      <c r="O20191" t="s">
        <v>60524</v>
      </c>
      <c r="Q20191">
        <v>0</v>
      </c>
      <c r="R20191">
        <v>203</v>
      </c>
      <c r="S20191">
        <v>0</v>
      </c>
      <c r="T20191" t="s">
        <v>60525</v>
      </c>
    </row>
    <row r="20192" spans="1:20" customFormat="1" ht="15" x14ac:dyDescent="0.25">
      <c r="A20192" t="s">
        <v>24</v>
      </c>
      <c r="B20192" t="s">
        <v>675</v>
      </c>
      <c r="C20192" t="str">
        <f>"A0067839"</f>
        <v>A0067839</v>
      </c>
      <c r="D20192" t="s">
        <v>60526</v>
      </c>
      <c r="E20192" t="s">
        <v>60527</v>
      </c>
      <c r="F20192" t="s">
        <v>10306</v>
      </c>
      <c r="G20192" t="s">
        <v>81</v>
      </c>
      <c r="H20192">
        <v>33004</v>
      </c>
      <c r="I20192" t="s">
        <v>30</v>
      </c>
      <c r="J20192" t="s">
        <v>171</v>
      </c>
      <c r="K20192" t="s">
        <v>973</v>
      </c>
      <c r="N20192" t="s">
        <v>60528</v>
      </c>
      <c r="O20192" t="s">
        <v>60529</v>
      </c>
      <c r="Q20192">
        <v>0</v>
      </c>
      <c r="R20192">
        <v>174</v>
      </c>
      <c r="S20192">
        <v>0</v>
      </c>
      <c r="T20192" t="s">
        <v>60530</v>
      </c>
    </row>
    <row r="20193" spans="1:25" customFormat="1" ht="15" x14ac:dyDescent="0.25">
      <c r="A20193" t="s">
        <v>24</v>
      </c>
      <c r="B20193" t="s">
        <v>675</v>
      </c>
      <c r="C20193" t="str">
        <f>"A0076411"</f>
        <v>A0076411</v>
      </c>
      <c r="D20193" t="s">
        <v>60531</v>
      </c>
      <c r="E20193" t="s">
        <v>60532</v>
      </c>
      <c r="F20193" t="s">
        <v>2401</v>
      </c>
      <c r="G20193" t="s">
        <v>123</v>
      </c>
      <c r="H20193">
        <v>20878</v>
      </c>
      <c r="I20193" t="s">
        <v>30</v>
      </c>
      <c r="J20193" t="s">
        <v>171</v>
      </c>
      <c r="K20193" t="s">
        <v>973</v>
      </c>
      <c r="N20193" t="s">
        <v>60533</v>
      </c>
      <c r="O20193" t="s">
        <v>60534</v>
      </c>
      <c r="Q20193">
        <v>0</v>
      </c>
      <c r="R20193">
        <v>210</v>
      </c>
      <c r="S20193">
        <v>0</v>
      </c>
      <c r="T20193" t="s">
        <v>60535</v>
      </c>
    </row>
    <row r="20194" spans="1:25" customFormat="1" ht="15" x14ac:dyDescent="0.25">
      <c r="A20194" t="s">
        <v>24</v>
      </c>
      <c r="B20194" t="s">
        <v>1098</v>
      </c>
      <c r="C20194" t="str">
        <f>"A0092215"</f>
        <v>A0092215</v>
      </c>
      <c r="D20194" t="s">
        <v>60536</v>
      </c>
      <c r="E20194" t="s">
        <v>60537</v>
      </c>
      <c r="F20194" t="s">
        <v>60538</v>
      </c>
      <c r="G20194" t="s">
        <v>338</v>
      </c>
      <c r="H20194">
        <v>8028</v>
      </c>
      <c r="I20194" t="s">
        <v>30</v>
      </c>
      <c r="J20194" t="s">
        <v>171</v>
      </c>
      <c r="K20194" t="s">
        <v>973</v>
      </c>
      <c r="N20194" t="s">
        <v>60539</v>
      </c>
      <c r="Q20194">
        <v>0</v>
      </c>
      <c r="R20194">
        <v>129</v>
      </c>
      <c r="S20194">
        <v>0</v>
      </c>
      <c r="T20194" t="s">
        <v>60540</v>
      </c>
    </row>
    <row r="20195" spans="1:25" customFormat="1" ht="15" x14ac:dyDescent="0.25">
      <c r="A20195" t="s">
        <v>24</v>
      </c>
      <c r="B20195" t="s">
        <v>60077</v>
      </c>
      <c r="C20195" t="str">
        <f>"A0083260"</f>
        <v>A0083260</v>
      </c>
      <c r="D20195" t="s">
        <v>60541</v>
      </c>
      <c r="E20195" t="s">
        <v>60542</v>
      </c>
      <c r="F20195" t="s">
        <v>9346</v>
      </c>
      <c r="G20195" t="s">
        <v>190</v>
      </c>
      <c r="H20195">
        <v>81506</v>
      </c>
      <c r="I20195" t="s">
        <v>30</v>
      </c>
      <c r="J20195" t="s">
        <v>171</v>
      </c>
      <c r="K20195" t="s">
        <v>973</v>
      </c>
      <c r="N20195" t="s">
        <v>60543</v>
      </c>
      <c r="Q20195">
        <v>0</v>
      </c>
      <c r="R20195">
        <v>136</v>
      </c>
      <c r="S20195">
        <v>0</v>
      </c>
      <c r="T20195" t="s">
        <v>60544</v>
      </c>
    </row>
    <row r="20196" spans="1:25" customFormat="1" ht="15" x14ac:dyDescent="0.25">
      <c r="A20196" t="s">
        <v>24</v>
      </c>
      <c r="B20196" t="s">
        <v>2812</v>
      </c>
      <c r="C20196" t="str">
        <f>"651UL"</f>
        <v>651UL</v>
      </c>
      <c r="D20196" t="s">
        <v>60545</v>
      </c>
      <c r="E20196" t="s">
        <v>60546</v>
      </c>
      <c r="F20196" t="s">
        <v>3932</v>
      </c>
      <c r="G20196" t="s">
        <v>117</v>
      </c>
      <c r="H20196">
        <v>49512</v>
      </c>
      <c r="I20196" t="s">
        <v>30</v>
      </c>
      <c r="J20196" t="s">
        <v>171</v>
      </c>
      <c r="K20196" t="s">
        <v>973</v>
      </c>
      <c r="N20196" t="s">
        <v>60547</v>
      </c>
      <c r="O20196" t="s">
        <v>60548</v>
      </c>
      <c r="Q20196">
        <v>0</v>
      </c>
      <c r="R20196">
        <v>84</v>
      </c>
      <c r="S20196">
        <v>0</v>
      </c>
      <c r="T20196" t="s">
        <v>60549</v>
      </c>
    </row>
    <row r="20197" spans="1:25" x14ac:dyDescent="0.25">
      <c r="A20197" s="5" t="s">
        <v>24</v>
      </c>
      <c r="B20197" s="5" t="s">
        <v>8843</v>
      </c>
      <c r="C20197" s="5" t="str">
        <f>"651I5"</f>
        <v>651I5</v>
      </c>
      <c r="D20197" s="5" t="s">
        <v>60550</v>
      </c>
      <c r="E20197" s="5" t="s">
        <v>60551</v>
      </c>
      <c r="F20197" s="5" t="s">
        <v>3932</v>
      </c>
      <c r="G20197" s="5" t="s">
        <v>117</v>
      </c>
      <c r="H20197" s="5">
        <v>49503</v>
      </c>
      <c r="I20197" s="5" t="s">
        <v>30</v>
      </c>
      <c r="J20197" s="5" t="s">
        <v>171</v>
      </c>
      <c r="K20197" s="5" t="s">
        <v>973</v>
      </c>
      <c r="L20197" s="5"/>
      <c r="M20197" s="5"/>
      <c r="N20197" s="5" t="s">
        <v>3486</v>
      </c>
      <c r="O20197" s="5" t="s">
        <v>60552</v>
      </c>
      <c r="P20197" s="5"/>
      <c r="Q20197" s="5">
        <v>0</v>
      </c>
      <c r="R20197" s="5">
        <v>214</v>
      </c>
      <c r="S20197" s="5">
        <v>0</v>
      </c>
      <c r="T20197" s="5" t="s">
        <v>60553</v>
      </c>
      <c r="U20197" s="5"/>
      <c r="V20197" s="5"/>
      <c r="W20197" s="5"/>
      <c r="X20197" s="5"/>
      <c r="Y20197" s="5"/>
    </row>
    <row r="20198" spans="1:25" customFormat="1" ht="15" x14ac:dyDescent="0.25">
      <c r="A20198" t="s">
        <v>24</v>
      </c>
      <c r="B20198" t="s">
        <v>1138</v>
      </c>
      <c r="C20198" t="str">
        <f>"A0153086"</f>
        <v>A0153086</v>
      </c>
      <c r="D20198" t="s">
        <v>75308</v>
      </c>
      <c r="E20198" t="s">
        <v>75309</v>
      </c>
      <c r="F20198" t="s">
        <v>35075</v>
      </c>
      <c r="G20198" t="s">
        <v>190</v>
      </c>
      <c r="H20198">
        <v>80124</v>
      </c>
      <c r="I20198" t="s">
        <v>30</v>
      </c>
      <c r="J20198" t="s">
        <v>31</v>
      </c>
      <c r="K20198" t="s">
        <v>1196</v>
      </c>
      <c r="N20198" t="s">
        <v>75310</v>
      </c>
      <c r="Q20198">
        <v>0</v>
      </c>
      <c r="R20198">
        <v>114</v>
      </c>
      <c r="S20198">
        <v>0</v>
      </c>
      <c r="T20198" t="s">
        <v>75311</v>
      </c>
    </row>
    <row r="20199" spans="1:25" customFormat="1" ht="15" x14ac:dyDescent="0.25">
      <c r="A20199" t="s">
        <v>24</v>
      </c>
      <c r="B20199" t="s">
        <v>675</v>
      </c>
      <c r="C20199" t="str">
        <f>"311R3"</f>
        <v>311R3</v>
      </c>
      <c r="D20199" t="s">
        <v>60554</v>
      </c>
      <c r="E20199" t="s">
        <v>60555</v>
      </c>
      <c r="F20199" t="s">
        <v>9498</v>
      </c>
      <c r="G20199" t="s">
        <v>214</v>
      </c>
      <c r="H20199">
        <v>27407</v>
      </c>
      <c r="I20199" t="s">
        <v>30</v>
      </c>
      <c r="J20199" t="s">
        <v>171</v>
      </c>
      <c r="K20199" t="s">
        <v>973</v>
      </c>
      <c r="N20199" t="s">
        <v>60556</v>
      </c>
      <c r="Q20199">
        <v>0</v>
      </c>
      <c r="R20199">
        <v>149</v>
      </c>
      <c r="S20199">
        <v>0</v>
      </c>
      <c r="T20199" t="s">
        <v>60557</v>
      </c>
    </row>
    <row r="20200" spans="1:25" customFormat="1" ht="15" x14ac:dyDescent="0.25">
      <c r="A20200" t="s">
        <v>24</v>
      </c>
      <c r="B20200" t="s">
        <v>75316</v>
      </c>
      <c r="C20200" t="str">
        <f>"A0051408"</f>
        <v>A0051408</v>
      </c>
      <c r="D20200" t="s">
        <v>75316</v>
      </c>
      <c r="E20200" t="s">
        <v>75317</v>
      </c>
      <c r="F20200" t="s">
        <v>53747</v>
      </c>
      <c r="G20200" t="s">
        <v>110</v>
      </c>
      <c r="H20200">
        <v>94024</v>
      </c>
      <c r="I20200" t="s">
        <v>30</v>
      </c>
      <c r="J20200" t="s">
        <v>178</v>
      </c>
      <c r="K20200" t="s">
        <v>179</v>
      </c>
      <c r="N20200" t="s">
        <v>75318</v>
      </c>
      <c r="O20200" t="s">
        <v>75319</v>
      </c>
      <c r="P20200" t="s">
        <v>992</v>
      </c>
      <c r="Q20200">
        <v>1</v>
      </c>
      <c r="R20200">
        <v>0</v>
      </c>
      <c r="S20200">
        <v>0</v>
      </c>
      <c r="T20200" t="s">
        <v>75320</v>
      </c>
    </row>
    <row r="20201" spans="1:25" customFormat="1" ht="15" x14ac:dyDescent="0.25">
      <c r="A20201" t="s">
        <v>24</v>
      </c>
      <c r="B20201" t="s">
        <v>6667</v>
      </c>
      <c r="C20201" t="str">
        <f>"A0085889"</f>
        <v>A0085889</v>
      </c>
      <c r="D20201" t="s">
        <v>75321</v>
      </c>
      <c r="E20201" t="s">
        <v>75322</v>
      </c>
      <c r="F20201" t="s">
        <v>53705</v>
      </c>
      <c r="G20201" t="s">
        <v>110</v>
      </c>
      <c r="H20201">
        <v>91361</v>
      </c>
      <c r="I20201" t="s">
        <v>30</v>
      </c>
      <c r="J20201" t="s">
        <v>178</v>
      </c>
      <c r="K20201" t="s">
        <v>6667</v>
      </c>
      <c r="N20201" t="s">
        <v>75323</v>
      </c>
      <c r="Q20201">
        <v>0</v>
      </c>
      <c r="R20201">
        <v>0</v>
      </c>
      <c r="S20201">
        <v>0</v>
      </c>
      <c r="T20201" t="s">
        <v>75324</v>
      </c>
    </row>
    <row r="20202" spans="1:25" customFormat="1" ht="15" hidden="1" x14ac:dyDescent="0.25">
      <c r="A20202" t="s">
        <v>24</v>
      </c>
      <c r="B20202" t="s">
        <v>57844</v>
      </c>
      <c r="C20202" t="str">
        <f>"39046"</f>
        <v>39046</v>
      </c>
      <c r="D20202" t="s">
        <v>75325</v>
      </c>
      <c r="E20202" t="s">
        <v>75326</v>
      </c>
      <c r="F20202" t="s">
        <v>75327</v>
      </c>
      <c r="G20202" t="s">
        <v>6356</v>
      </c>
      <c r="H20202">
        <v>60101</v>
      </c>
      <c r="I20202" t="s">
        <v>4803</v>
      </c>
      <c r="J20202" t="s">
        <v>162</v>
      </c>
      <c r="K20202" t="s">
        <v>1490</v>
      </c>
      <c r="N20202" t="s">
        <v>75328</v>
      </c>
      <c r="O20202" t="s">
        <v>75329</v>
      </c>
      <c r="P20202" t="s">
        <v>3998</v>
      </c>
      <c r="Q20202">
        <v>1</v>
      </c>
      <c r="R20202">
        <v>211</v>
      </c>
      <c r="S20202">
        <v>0</v>
      </c>
      <c r="T20202" t="s">
        <v>75330</v>
      </c>
    </row>
    <row r="20203" spans="1:25" customFormat="1" ht="15" x14ac:dyDescent="0.25">
      <c r="A20203" t="s">
        <v>24</v>
      </c>
      <c r="B20203" t="s">
        <v>2360</v>
      </c>
      <c r="C20203" t="str">
        <f>"CL0114"</f>
        <v>CL0114</v>
      </c>
      <c r="D20203" t="s">
        <v>75331</v>
      </c>
      <c r="E20203" t="s">
        <v>75332</v>
      </c>
      <c r="F20203" t="s">
        <v>372</v>
      </c>
      <c r="G20203" t="s">
        <v>52</v>
      </c>
      <c r="H20203">
        <v>78746</v>
      </c>
      <c r="I20203" t="s">
        <v>30</v>
      </c>
      <c r="J20203" t="s">
        <v>178</v>
      </c>
      <c r="K20203" t="s">
        <v>55688</v>
      </c>
      <c r="N20203" t="s">
        <v>75333</v>
      </c>
      <c r="P20203" t="s">
        <v>992</v>
      </c>
      <c r="Q20203">
        <v>1</v>
      </c>
      <c r="R20203">
        <v>0</v>
      </c>
      <c r="S20203">
        <v>0</v>
      </c>
      <c r="T20203" t="s">
        <v>75334</v>
      </c>
    </row>
    <row r="20204" spans="1:25" customFormat="1" ht="15" x14ac:dyDescent="0.25">
      <c r="A20204" t="s">
        <v>24</v>
      </c>
      <c r="B20204" t="s">
        <v>75335</v>
      </c>
      <c r="C20204" t="str">
        <f>"A0087853"</f>
        <v>A0087853</v>
      </c>
      <c r="D20204" t="s">
        <v>75336</v>
      </c>
      <c r="E20204" t="s">
        <v>75337</v>
      </c>
      <c r="F20204" t="s">
        <v>13767</v>
      </c>
      <c r="G20204" t="s">
        <v>4815</v>
      </c>
      <c r="H20204">
        <v>96815</v>
      </c>
      <c r="I20204" t="s">
        <v>30</v>
      </c>
      <c r="J20204" t="s">
        <v>31</v>
      </c>
      <c r="K20204" t="s">
        <v>163</v>
      </c>
      <c r="Q20204">
        <v>0</v>
      </c>
      <c r="R20204">
        <v>51</v>
      </c>
      <c r="S20204">
        <v>0</v>
      </c>
      <c r="T20204" t="s">
        <v>75338</v>
      </c>
    </row>
    <row r="20205" spans="1:25" customFormat="1" ht="15" x14ac:dyDescent="0.25">
      <c r="A20205" t="s">
        <v>24</v>
      </c>
      <c r="B20205" t="s">
        <v>1583</v>
      </c>
      <c r="C20205" t="str">
        <f>"A0093999"</f>
        <v>A0093999</v>
      </c>
      <c r="D20205" t="s">
        <v>75339</v>
      </c>
      <c r="E20205" t="s">
        <v>75340</v>
      </c>
      <c r="F20205" t="s">
        <v>13767</v>
      </c>
      <c r="G20205" t="s">
        <v>4815</v>
      </c>
      <c r="H20205">
        <v>96815</v>
      </c>
      <c r="I20205" t="s">
        <v>30</v>
      </c>
      <c r="J20205" t="s">
        <v>31</v>
      </c>
      <c r="K20205" t="s">
        <v>163</v>
      </c>
      <c r="N20205" t="s">
        <v>75341</v>
      </c>
      <c r="Q20205">
        <v>0</v>
      </c>
      <c r="R20205">
        <v>223</v>
      </c>
      <c r="S20205">
        <v>0</v>
      </c>
      <c r="T20205" t="s">
        <v>75342</v>
      </c>
    </row>
    <row r="20206" spans="1:25" customFormat="1" ht="15" hidden="1" x14ac:dyDescent="0.25">
      <c r="A20206" t="s">
        <v>24</v>
      </c>
      <c r="B20206" t="s">
        <v>1453</v>
      </c>
      <c r="C20206" t="str">
        <f>"A0096953"</f>
        <v>A0096953</v>
      </c>
      <c r="D20206" t="s">
        <v>75343</v>
      </c>
      <c r="E20206" t="s">
        <v>75344</v>
      </c>
      <c r="F20206" t="s">
        <v>75345</v>
      </c>
      <c r="G20206" t="s">
        <v>2270</v>
      </c>
      <c r="H20206" t="s">
        <v>75346</v>
      </c>
      <c r="I20206" t="s">
        <v>1459</v>
      </c>
      <c r="J20206" t="s">
        <v>66248</v>
      </c>
      <c r="K20206" t="s">
        <v>163</v>
      </c>
      <c r="N20206" t="s">
        <v>75347</v>
      </c>
      <c r="O20206" t="s">
        <v>75348</v>
      </c>
      <c r="Q20206">
        <v>0</v>
      </c>
      <c r="R20206">
        <v>0</v>
      </c>
      <c r="S20206">
        <v>0</v>
      </c>
      <c r="T20206" t="s">
        <v>75349</v>
      </c>
    </row>
    <row r="20207" spans="1:25" customFormat="1" ht="15" x14ac:dyDescent="0.25">
      <c r="A20207" t="s">
        <v>24</v>
      </c>
      <c r="B20207" t="s">
        <v>11027</v>
      </c>
      <c r="C20207" t="str">
        <f>"A0087286"</f>
        <v>A0087286</v>
      </c>
      <c r="D20207" t="s">
        <v>60558</v>
      </c>
      <c r="E20207" t="s">
        <v>60559</v>
      </c>
      <c r="F20207" t="s">
        <v>9498</v>
      </c>
      <c r="G20207" t="s">
        <v>214</v>
      </c>
      <c r="H20207">
        <v>27409</v>
      </c>
      <c r="I20207" t="s">
        <v>30</v>
      </c>
      <c r="J20207" t="s">
        <v>171</v>
      </c>
      <c r="K20207" t="s">
        <v>973</v>
      </c>
      <c r="N20207" t="s">
        <v>60560</v>
      </c>
      <c r="Q20207">
        <v>0</v>
      </c>
      <c r="R20207">
        <v>120</v>
      </c>
      <c r="S20207">
        <v>0</v>
      </c>
      <c r="T20207" t="s">
        <v>60561</v>
      </c>
    </row>
    <row r="20208" spans="1:25" customFormat="1" ht="15" x14ac:dyDescent="0.25">
      <c r="A20208" t="s">
        <v>24</v>
      </c>
      <c r="B20208" t="s">
        <v>675</v>
      </c>
      <c r="C20208" t="str">
        <f>"311C5"</f>
        <v>311C5</v>
      </c>
      <c r="D20208" t="s">
        <v>60562</v>
      </c>
      <c r="E20208" t="s">
        <v>60563</v>
      </c>
      <c r="F20208" t="s">
        <v>5905</v>
      </c>
      <c r="G20208" t="s">
        <v>58</v>
      </c>
      <c r="H20208">
        <v>29615</v>
      </c>
      <c r="I20208" t="s">
        <v>30</v>
      </c>
      <c r="J20208" t="s">
        <v>171</v>
      </c>
      <c r="K20208" t="s">
        <v>973</v>
      </c>
      <c r="N20208" t="s">
        <v>60564</v>
      </c>
      <c r="Q20208">
        <v>0</v>
      </c>
      <c r="R20208">
        <v>146</v>
      </c>
      <c r="S20208">
        <v>0</v>
      </c>
      <c r="T20208" t="s">
        <v>60565</v>
      </c>
    </row>
    <row r="20209" spans="1:25" customFormat="1" ht="15" x14ac:dyDescent="0.25">
      <c r="A20209" t="s">
        <v>24</v>
      </c>
      <c r="B20209" t="s">
        <v>186</v>
      </c>
      <c r="C20209" t="str">
        <f>"A0146654"</f>
        <v>A0146654</v>
      </c>
      <c r="D20209" t="s">
        <v>75358</v>
      </c>
      <c r="E20209" t="s">
        <v>63785</v>
      </c>
      <c r="F20209" t="s">
        <v>34169</v>
      </c>
      <c r="G20209" t="s">
        <v>190</v>
      </c>
      <c r="H20209">
        <v>81615</v>
      </c>
      <c r="I20209" t="s">
        <v>30</v>
      </c>
      <c r="J20209" t="s">
        <v>1004</v>
      </c>
      <c r="K20209" t="s">
        <v>163</v>
      </c>
      <c r="N20209" t="s">
        <v>55669</v>
      </c>
      <c r="Q20209">
        <v>0</v>
      </c>
      <c r="R20209">
        <v>0</v>
      </c>
      <c r="S20209">
        <v>0</v>
      </c>
      <c r="T20209" t="s">
        <v>55670</v>
      </c>
    </row>
    <row r="20210" spans="1:25" customFormat="1" ht="15" x14ac:dyDescent="0.25">
      <c r="A20210" t="s">
        <v>24</v>
      </c>
      <c r="B20210" t="s">
        <v>2812</v>
      </c>
      <c r="C20210" t="str">
        <f>"A0086769"</f>
        <v>A0086769</v>
      </c>
      <c r="D20210" t="s">
        <v>75359</v>
      </c>
      <c r="E20210" t="s">
        <v>75360</v>
      </c>
      <c r="F20210" t="s">
        <v>16277</v>
      </c>
      <c r="G20210" t="s">
        <v>214</v>
      </c>
      <c r="H20210">
        <v>27101</v>
      </c>
      <c r="I20210" t="s">
        <v>30</v>
      </c>
      <c r="J20210" t="s">
        <v>7657</v>
      </c>
      <c r="K20210" t="s">
        <v>163</v>
      </c>
      <c r="N20210" t="s">
        <v>75361</v>
      </c>
      <c r="O20210" t="s">
        <v>75362</v>
      </c>
      <c r="Q20210">
        <v>0</v>
      </c>
      <c r="R20210">
        <v>0</v>
      </c>
      <c r="S20210">
        <v>0</v>
      </c>
      <c r="T20210" t="s">
        <v>75363</v>
      </c>
    </row>
    <row r="20211" spans="1:25" customFormat="1" ht="15" x14ac:dyDescent="0.25">
      <c r="A20211" t="s">
        <v>24</v>
      </c>
      <c r="B20211" t="s">
        <v>12638</v>
      </c>
      <c r="C20211" t="str">
        <f>"651IV"</f>
        <v>651IV</v>
      </c>
      <c r="D20211" t="s">
        <v>60562</v>
      </c>
      <c r="E20211" t="s">
        <v>60566</v>
      </c>
      <c r="F20211" t="s">
        <v>93</v>
      </c>
      <c r="G20211" t="s">
        <v>214</v>
      </c>
      <c r="H20211">
        <v>27834</v>
      </c>
      <c r="I20211" t="s">
        <v>30</v>
      </c>
      <c r="J20211" t="s">
        <v>171</v>
      </c>
      <c r="K20211" t="s">
        <v>973</v>
      </c>
      <c r="N20211" t="s">
        <v>60567</v>
      </c>
      <c r="Q20211">
        <v>0</v>
      </c>
      <c r="R20211">
        <v>84</v>
      </c>
      <c r="S20211">
        <v>0</v>
      </c>
      <c r="T20211" t="s">
        <v>60568</v>
      </c>
    </row>
    <row r="20212" spans="1:25" customFormat="1" ht="15" x14ac:dyDescent="0.25">
      <c r="A20212" t="s">
        <v>24</v>
      </c>
      <c r="B20212" t="s">
        <v>649</v>
      </c>
      <c r="C20212" t="str">
        <f>"6515Y"</f>
        <v>6515Y</v>
      </c>
      <c r="D20212" t="s">
        <v>60569</v>
      </c>
      <c r="E20212" t="s">
        <v>60570</v>
      </c>
      <c r="F20212" t="s">
        <v>5905</v>
      </c>
      <c r="G20212" t="s">
        <v>58</v>
      </c>
      <c r="H20212">
        <v>29615</v>
      </c>
      <c r="I20212" t="s">
        <v>30</v>
      </c>
      <c r="J20212" t="s">
        <v>171</v>
      </c>
      <c r="K20212" t="s">
        <v>973</v>
      </c>
      <c r="N20212" t="s">
        <v>60571</v>
      </c>
      <c r="O20212" t="s">
        <v>60572</v>
      </c>
      <c r="Q20212">
        <v>0</v>
      </c>
      <c r="R20212">
        <v>136</v>
      </c>
      <c r="S20212">
        <v>0</v>
      </c>
      <c r="T20212" t="s">
        <v>60573</v>
      </c>
    </row>
    <row r="20213" spans="1:25" customFormat="1" ht="15" x14ac:dyDescent="0.25">
      <c r="A20213" t="s">
        <v>24</v>
      </c>
      <c r="B20213" t="s">
        <v>2360</v>
      </c>
      <c r="C20213" t="str">
        <f>"A0093772"</f>
        <v>A0093772</v>
      </c>
      <c r="D20213" t="s">
        <v>75373</v>
      </c>
      <c r="E20213" t="s">
        <v>75374</v>
      </c>
      <c r="F20213" t="s">
        <v>65041</v>
      </c>
      <c r="G20213" t="s">
        <v>52</v>
      </c>
      <c r="H20213">
        <v>77573</v>
      </c>
      <c r="I20213" t="s">
        <v>30</v>
      </c>
      <c r="J20213" t="s">
        <v>178</v>
      </c>
      <c r="K20213" t="s">
        <v>8013</v>
      </c>
      <c r="N20213" t="s">
        <v>75375</v>
      </c>
      <c r="Q20213">
        <v>1</v>
      </c>
      <c r="R20213">
        <v>0</v>
      </c>
      <c r="S20213">
        <v>0</v>
      </c>
      <c r="T20213" t="s">
        <v>75376</v>
      </c>
    </row>
    <row r="20214" spans="1:25" customFormat="1" ht="15" x14ac:dyDescent="0.25">
      <c r="A20214" t="s">
        <v>24</v>
      </c>
      <c r="B20214" t="s">
        <v>57512</v>
      </c>
      <c r="C20214" t="str">
        <f>"A0075628"</f>
        <v>A0075628</v>
      </c>
      <c r="D20214" t="s">
        <v>75377</v>
      </c>
      <c r="E20214" t="s">
        <v>75378</v>
      </c>
      <c r="F20214" t="s">
        <v>53883</v>
      </c>
      <c r="G20214" t="s">
        <v>1706</v>
      </c>
      <c r="H20214">
        <v>36618</v>
      </c>
      <c r="I20214" t="s">
        <v>30</v>
      </c>
      <c r="J20214" t="s">
        <v>2415</v>
      </c>
      <c r="K20214" t="s">
        <v>179</v>
      </c>
      <c r="N20214" t="s">
        <v>75379</v>
      </c>
      <c r="P20214" t="s">
        <v>3998</v>
      </c>
      <c r="Q20214">
        <v>3</v>
      </c>
      <c r="R20214">
        <v>0</v>
      </c>
      <c r="S20214">
        <v>0</v>
      </c>
      <c r="T20214" t="s">
        <v>75380</v>
      </c>
    </row>
    <row r="20215" spans="1:25" customFormat="1" ht="15" x14ac:dyDescent="0.25">
      <c r="A20215" t="s">
        <v>24</v>
      </c>
      <c r="B20215" t="s">
        <v>4990</v>
      </c>
      <c r="C20215" t="str">
        <f>"A0092000"</f>
        <v>A0092000</v>
      </c>
      <c r="D20215" t="s">
        <v>60574</v>
      </c>
      <c r="E20215" t="s">
        <v>60575</v>
      </c>
      <c r="F20215" t="s">
        <v>56789</v>
      </c>
      <c r="G20215" t="s">
        <v>65</v>
      </c>
      <c r="H20215">
        <v>43123</v>
      </c>
      <c r="I20215" t="s">
        <v>30</v>
      </c>
      <c r="J20215" t="s">
        <v>171</v>
      </c>
      <c r="K20215" t="s">
        <v>973</v>
      </c>
      <c r="N20215" t="s">
        <v>60576</v>
      </c>
      <c r="O20215" t="s">
        <v>56376</v>
      </c>
      <c r="Q20215">
        <v>0</v>
      </c>
      <c r="R20215">
        <v>104</v>
      </c>
      <c r="S20215">
        <v>0</v>
      </c>
      <c r="T20215" t="s">
        <v>60577</v>
      </c>
    </row>
    <row r="20216" spans="1:25" customFormat="1" ht="15" x14ac:dyDescent="0.25">
      <c r="A20216" t="s">
        <v>24</v>
      </c>
      <c r="B20216" t="s">
        <v>57575</v>
      </c>
      <c r="C20216" t="str">
        <f>"A0146575"</f>
        <v>A0146575</v>
      </c>
      <c r="D20216" t="s">
        <v>75386</v>
      </c>
      <c r="E20216" t="s">
        <v>75387</v>
      </c>
      <c r="F20216" t="s">
        <v>16267</v>
      </c>
      <c r="G20216" t="s">
        <v>29</v>
      </c>
      <c r="H20216">
        <v>23451</v>
      </c>
      <c r="I20216" t="s">
        <v>30</v>
      </c>
      <c r="J20216" t="s">
        <v>1004</v>
      </c>
      <c r="K20216" t="s">
        <v>163</v>
      </c>
      <c r="Q20216">
        <v>0</v>
      </c>
      <c r="R20216">
        <v>0</v>
      </c>
      <c r="S20216">
        <v>0</v>
      </c>
      <c r="T20216" t="s">
        <v>63477</v>
      </c>
    </row>
    <row r="20217" spans="1:25" customFormat="1" ht="15" x14ac:dyDescent="0.25">
      <c r="A20217" t="s">
        <v>24</v>
      </c>
      <c r="B20217" t="s">
        <v>6667</v>
      </c>
      <c r="C20217" t="str">
        <f>"A0085890"</f>
        <v>A0085890</v>
      </c>
      <c r="D20217" t="s">
        <v>75388</v>
      </c>
      <c r="E20217" t="s">
        <v>75389</v>
      </c>
      <c r="F20217" t="s">
        <v>75390</v>
      </c>
      <c r="G20217" t="s">
        <v>161</v>
      </c>
      <c r="H20217">
        <v>55304</v>
      </c>
      <c r="I20217" t="s">
        <v>30</v>
      </c>
      <c r="J20217" t="s">
        <v>178</v>
      </c>
      <c r="K20217" t="s">
        <v>6667</v>
      </c>
      <c r="N20217" t="s">
        <v>75391</v>
      </c>
      <c r="Q20217">
        <v>0</v>
      </c>
      <c r="R20217">
        <v>0</v>
      </c>
      <c r="S20217">
        <v>0</v>
      </c>
      <c r="T20217" t="s">
        <v>75392</v>
      </c>
    </row>
    <row r="20218" spans="1:25" x14ac:dyDescent="0.25">
      <c r="A20218" s="5" t="s">
        <v>24</v>
      </c>
      <c r="B20218" s="5" t="s">
        <v>1577</v>
      </c>
      <c r="C20218" s="5" t="str">
        <f>"651S6"</f>
        <v>651S6</v>
      </c>
      <c r="D20218" s="5" t="s">
        <v>60578</v>
      </c>
      <c r="E20218" s="5" t="s">
        <v>60579</v>
      </c>
      <c r="F20218" s="5" t="s">
        <v>56591</v>
      </c>
      <c r="G20218" s="5" t="s">
        <v>1706</v>
      </c>
      <c r="H20218" s="5">
        <v>36542</v>
      </c>
      <c r="I20218" s="5" t="s">
        <v>30</v>
      </c>
      <c r="J20218" s="5" t="s">
        <v>171</v>
      </c>
      <c r="K20218" s="5" t="s">
        <v>973</v>
      </c>
      <c r="L20218" s="5"/>
      <c r="M20218" s="5"/>
      <c r="N20218" s="5" t="s">
        <v>60580</v>
      </c>
      <c r="O20218" s="5"/>
      <c r="P20218" s="5"/>
      <c r="Q20218" s="5">
        <v>0</v>
      </c>
      <c r="R20218" s="5">
        <v>90</v>
      </c>
      <c r="S20218" s="5">
        <v>0</v>
      </c>
      <c r="T20218" s="5" t="s">
        <v>60581</v>
      </c>
      <c r="U20218" s="5"/>
      <c r="V20218" s="5"/>
      <c r="W20218" s="5"/>
      <c r="X20218" s="5"/>
      <c r="Y20218" s="5"/>
    </row>
    <row r="20219" spans="1:25" customFormat="1" ht="15" x14ac:dyDescent="0.25">
      <c r="A20219" t="s">
        <v>24</v>
      </c>
      <c r="B20219" t="s">
        <v>4400</v>
      </c>
      <c r="C20219" t="str">
        <f>"SF02372"</f>
        <v>SF02372</v>
      </c>
      <c r="D20219" t="s">
        <v>60582</v>
      </c>
      <c r="E20219" t="s">
        <v>60583</v>
      </c>
      <c r="F20219" t="s">
        <v>35580</v>
      </c>
      <c r="G20219" t="s">
        <v>1369</v>
      </c>
      <c r="H20219">
        <v>39501</v>
      </c>
      <c r="I20219" t="s">
        <v>30</v>
      </c>
      <c r="J20219" t="s">
        <v>171</v>
      </c>
      <c r="K20219" t="s">
        <v>973</v>
      </c>
      <c r="N20219" t="s">
        <v>60584</v>
      </c>
      <c r="Q20219">
        <v>0</v>
      </c>
      <c r="R20219">
        <v>149</v>
      </c>
      <c r="S20219">
        <v>0</v>
      </c>
      <c r="T20219" t="s">
        <v>60585</v>
      </c>
    </row>
    <row r="20220" spans="1:25" customFormat="1" ht="15" x14ac:dyDescent="0.25">
      <c r="A20220" t="s">
        <v>24</v>
      </c>
      <c r="B20220" t="s">
        <v>60496</v>
      </c>
      <c r="C20220" t="str">
        <f>"A0089115"</f>
        <v>A0089115</v>
      </c>
      <c r="D20220" t="s">
        <v>60586</v>
      </c>
      <c r="E20220" t="s">
        <v>60587</v>
      </c>
      <c r="F20220" t="s">
        <v>60588</v>
      </c>
      <c r="G20220" t="s">
        <v>123</v>
      </c>
      <c r="H20220">
        <v>21740</v>
      </c>
      <c r="I20220" t="s">
        <v>30</v>
      </c>
      <c r="J20220" t="s">
        <v>171</v>
      </c>
      <c r="K20220" t="s">
        <v>973</v>
      </c>
      <c r="Q20220">
        <v>0</v>
      </c>
      <c r="R20220">
        <v>96</v>
      </c>
      <c r="S20220">
        <v>0</v>
      </c>
      <c r="T20220" t="s">
        <v>60589</v>
      </c>
    </row>
    <row r="20221" spans="1:25" x14ac:dyDescent="0.25">
      <c r="A20221" s="5" t="s">
        <v>24</v>
      </c>
      <c r="B20221" s="5" t="s">
        <v>3159</v>
      </c>
      <c r="C20221" s="5" t="str">
        <f>"311E2"</f>
        <v>311E2</v>
      </c>
      <c r="D20221" s="5" t="s">
        <v>60590</v>
      </c>
      <c r="E20221" s="5" t="s">
        <v>60591</v>
      </c>
      <c r="F20221" s="5" t="s">
        <v>34770</v>
      </c>
      <c r="G20221" s="5" t="s">
        <v>29</v>
      </c>
      <c r="H20221" s="5">
        <v>23666</v>
      </c>
      <c r="I20221" s="5" t="s">
        <v>30</v>
      </c>
      <c r="J20221" s="5" t="s">
        <v>171</v>
      </c>
      <c r="K20221" s="5" t="s">
        <v>973</v>
      </c>
      <c r="L20221" s="5"/>
      <c r="M20221" s="5"/>
      <c r="N20221" s="5" t="s">
        <v>60592</v>
      </c>
      <c r="O20221" s="5"/>
      <c r="P20221" s="5"/>
      <c r="Q20221" s="5">
        <v>0</v>
      </c>
      <c r="R20221" s="5">
        <v>146</v>
      </c>
      <c r="S20221" s="5">
        <v>0</v>
      </c>
      <c r="T20221" s="5" t="s">
        <v>60593</v>
      </c>
      <c r="U20221" s="5"/>
      <c r="V20221" s="5"/>
      <c r="W20221" s="5"/>
      <c r="X20221" s="5"/>
      <c r="Y20221" s="5"/>
    </row>
    <row r="20222" spans="1:25" x14ac:dyDescent="0.25">
      <c r="A20222" s="5" t="s">
        <v>24</v>
      </c>
      <c r="B20222" s="5" t="s">
        <v>34039</v>
      </c>
      <c r="C20222" s="5" t="str">
        <f>"A0076894"</f>
        <v>A0076894</v>
      </c>
      <c r="D20222" s="5" t="s">
        <v>60594</v>
      </c>
      <c r="E20222" s="5" t="s">
        <v>60595</v>
      </c>
      <c r="F20222" s="5" t="s">
        <v>15731</v>
      </c>
      <c r="G20222" s="5" t="s">
        <v>1363</v>
      </c>
      <c r="H20222" s="5">
        <v>3766</v>
      </c>
      <c r="I20222" s="5" t="s">
        <v>30</v>
      </c>
      <c r="J20222" s="5" t="s">
        <v>171</v>
      </c>
      <c r="K20222" s="5" t="s">
        <v>973</v>
      </c>
      <c r="L20222" s="5"/>
      <c r="M20222" s="5"/>
      <c r="N20222" s="5" t="s">
        <v>60596</v>
      </c>
      <c r="O20222" s="5"/>
      <c r="P20222" s="5"/>
      <c r="Q20222" s="5">
        <v>0</v>
      </c>
      <c r="R20222" s="5">
        <v>124</v>
      </c>
      <c r="S20222" s="5">
        <v>0</v>
      </c>
      <c r="T20222" s="5" t="s">
        <v>60597</v>
      </c>
      <c r="U20222" s="5"/>
      <c r="V20222" s="5"/>
      <c r="W20222" s="5"/>
      <c r="X20222" s="5"/>
      <c r="Y20222" s="5"/>
    </row>
    <row r="20223" spans="1:25" x14ac:dyDescent="0.25">
      <c r="A20223" s="5" t="s">
        <v>24</v>
      </c>
      <c r="B20223" s="5" t="s">
        <v>1020</v>
      </c>
      <c r="C20223" s="5" t="str">
        <f>"651UF"</f>
        <v>651UF</v>
      </c>
      <c r="D20223" s="5" t="s">
        <v>60598</v>
      </c>
      <c r="E20223" s="5" t="s">
        <v>60599</v>
      </c>
      <c r="F20223" s="5" t="s">
        <v>60600</v>
      </c>
      <c r="G20223" s="5" t="s">
        <v>52</v>
      </c>
      <c r="H20223" s="5">
        <v>78550</v>
      </c>
      <c r="I20223" s="5" t="s">
        <v>30</v>
      </c>
      <c r="J20223" s="5" t="s">
        <v>171</v>
      </c>
      <c r="K20223" s="5" t="s">
        <v>973</v>
      </c>
      <c r="L20223" s="5"/>
      <c r="M20223" s="5"/>
      <c r="N20223" s="5" t="s">
        <v>60601</v>
      </c>
      <c r="O20223" s="5" t="s">
        <v>9395</v>
      </c>
      <c r="P20223" s="5"/>
      <c r="Q20223" s="5">
        <v>0</v>
      </c>
      <c r="R20223" s="5">
        <v>114</v>
      </c>
      <c r="S20223" s="5">
        <v>0</v>
      </c>
      <c r="T20223" s="5" t="s">
        <v>60602</v>
      </c>
      <c r="U20223" s="5"/>
      <c r="V20223" s="5"/>
      <c r="W20223" s="5"/>
      <c r="X20223" s="5"/>
      <c r="Y20223" s="5"/>
    </row>
    <row r="20224" spans="1:25" x14ac:dyDescent="0.25">
      <c r="A20224" s="5" t="s">
        <v>24</v>
      </c>
      <c r="B20224" s="5" t="s">
        <v>675</v>
      </c>
      <c r="C20224" s="5" t="str">
        <f>"311E1"</f>
        <v>311E1</v>
      </c>
      <c r="D20224" s="5" t="s">
        <v>60603</v>
      </c>
      <c r="E20224" s="5" t="s">
        <v>60604</v>
      </c>
      <c r="F20224" s="5" t="s">
        <v>6902</v>
      </c>
      <c r="G20224" s="5" t="s">
        <v>615</v>
      </c>
      <c r="H20224" s="5">
        <v>6095</v>
      </c>
      <c r="I20224" s="5" t="s">
        <v>30</v>
      </c>
      <c r="J20224" s="5" t="s">
        <v>171</v>
      </c>
      <c r="K20224" s="5" t="s">
        <v>973</v>
      </c>
      <c r="L20224" s="5"/>
      <c r="M20224" s="5"/>
      <c r="N20224" s="5" t="s">
        <v>60605</v>
      </c>
      <c r="O20224" s="5"/>
      <c r="P20224" s="5"/>
      <c r="Q20224" s="5">
        <v>0</v>
      </c>
      <c r="R20224" s="5">
        <v>149</v>
      </c>
      <c r="S20224" s="5">
        <v>0</v>
      </c>
      <c r="T20224" s="5" t="s">
        <v>60606</v>
      </c>
      <c r="U20224" s="5"/>
      <c r="V20224" s="5"/>
      <c r="W20224" s="5"/>
      <c r="X20224" s="5"/>
      <c r="Y20224" s="5"/>
    </row>
    <row r="20225" spans="1:25" customFormat="1" ht="15" hidden="1" x14ac:dyDescent="0.25">
      <c r="A20225" t="s">
        <v>24</v>
      </c>
      <c r="B20225" t="s">
        <v>55676</v>
      </c>
      <c r="C20225" t="str">
        <f>"A0100911"</f>
        <v>A0100911</v>
      </c>
      <c r="D20225" t="s">
        <v>75426</v>
      </c>
      <c r="E20225" t="s">
        <v>75427</v>
      </c>
      <c r="F20225" t="s">
        <v>59297</v>
      </c>
      <c r="G20225" t="s">
        <v>13345</v>
      </c>
      <c r="H20225">
        <v>52764</v>
      </c>
      <c r="I20225" t="s">
        <v>2408</v>
      </c>
      <c r="J20225" t="s">
        <v>2272</v>
      </c>
      <c r="K20225" t="s">
        <v>163</v>
      </c>
      <c r="N20225" t="s">
        <v>55679</v>
      </c>
      <c r="Q20225">
        <v>0</v>
      </c>
      <c r="R20225">
        <v>800</v>
      </c>
      <c r="S20225">
        <v>0</v>
      </c>
      <c r="T20225" t="s">
        <v>55680</v>
      </c>
    </row>
    <row r="20226" spans="1:25" customFormat="1" ht="15" x14ac:dyDescent="0.25">
      <c r="A20226" t="s">
        <v>24</v>
      </c>
      <c r="B20226" t="s">
        <v>1583</v>
      </c>
      <c r="C20226" t="str">
        <f>"38A32"</f>
        <v>38A32</v>
      </c>
      <c r="D20226" t="s">
        <v>75428</v>
      </c>
      <c r="E20226" t="s">
        <v>75429</v>
      </c>
      <c r="F20226" t="s">
        <v>11257</v>
      </c>
      <c r="G20226" t="s">
        <v>29</v>
      </c>
      <c r="H20226">
        <v>23188</v>
      </c>
      <c r="I20226" t="s">
        <v>30</v>
      </c>
      <c r="J20226" t="s">
        <v>2544</v>
      </c>
      <c r="K20226" t="s">
        <v>36059</v>
      </c>
      <c r="N20226" t="s">
        <v>75430</v>
      </c>
      <c r="Q20226">
        <v>0</v>
      </c>
      <c r="R20226">
        <v>276</v>
      </c>
      <c r="S20226">
        <v>0</v>
      </c>
      <c r="T20226" t="s">
        <v>75431</v>
      </c>
    </row>
    <row r="20227" spans="1:25" customFormat="1" ht="15" x14ac:dyDescent="0.25">
      <c r="A20227" t="s">
        <v>24</v>
      </c>
      <c r="B20227" t="s">
        <v>1583</v>
      </c>
      <c r="C20227" t="str">
        <f>"A0136980"</f>
        <v>A0136980</v>
      </c>
      <c r="D20227" t="s">
        <v>75432</v>
      </c>
      <c r="E20227" t="s">
        <v>75433</v>
      </c>
      <c r="F20227" t="s">
        <v>11257</v>
      </c>
      <c r="G20227" t="s">
        <v>29</v>
      </c>
      <c r="H20227">
        <v>23188</v>
      </c>
      <c r="I20227" t="s">
        <v>30</v>
      </c>
      <c r="J20227" t="s">
        <v>191</v>
      </c>
      <c r="K20227" t="s">
        <v>6809</v>
      </c>
      <c r="Q20227">
        <v>0</v>
      </c>
      <c r="R20227">
        <v>0</v>
      </c>
      <c r="S20227">
        <v>0</v>
      </c>
      <c r="T20227" t="s">
        <v>57297</v>
      </c>
    </row>
    <row r="20228" spans="1:25" customFormat="1" ht="15" x14ac:dyDescent="0.25">
      <c r="A20228" t="s">
        <v>24</v>
      </c>
      <c r="B20228" t="s">
        <v>2360</v>
      </c>
      <c r="C20228" t="str">
        <f>"A0093756"</f>
        <v>A0093756</v>
      </c>
      <c r="D20228" t="s">
        <v>75434</v>
      </c>
      <c r="E20228" t="s">
        <v>75435</v>
      </c>
      <c r="F20228" t="s">
        <v>75436</v>
      </c>
      <c r="G20228" t="s">
        <v>846</v>
      </c>
      <c r="H20228">
        <v>30004</v>
      </c>
      <c r="I20228" t="s">
        <v>30</v>
      </c>
      <c r="J20228" t="s">
        <v>178</v>
      </c>
      <c r="K20228" t="s">
        <v>56092</v>
      </c>
      <c r="Q20228">
        <v>1</v>
      </c>
      <c r="R20228">
        <v>0</v>
      </c>
      <c r="S20228">
        <v>0</v>
      </c>
      <c r="T20228" t="s">
        <v>75437</v>
      </c>
    </row>
    <row r="20229" spans="1:25" customFormat="1" ht="15" x14ac:dyDescent="0.25">
      <c r="A20229" t="s">
        <v>24</v>
      </c>
      <c r="B20229" t="s">
        <v>6667</v>
      </c>
      <c r="C20229" t="str">
        <f>"A0069313"</f>
        <v>A0069313</v>
      </c>
      <c r="D20229" t="s">
        <v>75438</v>
      </c>
      <c r="E20229" t="s">
        <v>75439</v>
      </c>
      <c r="F20229" t="s">
        <v>7376</v>
      </c>
      <c r="G20229" t="s">
        <v>52</v>
      </c>
      <c r="H20229" t="s">
        <v>75440</v>
      </c>
      <c r="I20229" t="s">
        <v>30</v>
      </c>
      <c r="J20229" t="s">
        <v>178</v>
      </c>
      <c r="K20229" t="s">
        <v>6667</v>
      </c>
      <c r="N20229" t="s">
        <v>64101</v>
      </c>
      <c r="P20229" t="s">
        <v>6426</v>
      </c>
      <c r="Q20229">
        <v>1</v>
      </c>
      <c r="R20229">
        <v>0</v>
      </c>
      <c r="S20229">
        <v>0</v>
      </c>
      <c r="T20229" t="s">
        <v>75441</v>
      </c>
    </row>
    <row r="20230" spans="1:25" customFormat="1" ht="15" hidden="1" x14ac:dyDescent="0.25">
      <c r="A20230" t="s">
        <v>24</v>
      </c>
      <c r="B20230" t="s">
        <v>66383</v>
      </c>
      <c r="C20230" t="str">
        <f>"A0157928"</f>
        <v>A0157928</v>
      </c>
      <c r="D20230" t="s">
        <v>75442</v>
      </c>
      <c r="E20230" t="s">
        <v>75443</v>
      </c>
      <c r="F20230" t="s">
        <v>57016</v>
      </c>
      <c r="G20230" t="s">
        <v>2270</v>
      </c>
      <c r="H20230" t="s">
        <v>75444</v>
      </c>
      <c r="I20230" t="s">
        <v>1459</v>
      </c>
      <c r="J20230" t="s">
        <v>162</v>
      </c>
      <c r="K20230" t="s">
        <v>163</v>
      </c>
      <c r="N20230" t="s">
        <v>72433</v>
      </c>
      <c r="Q20230">
        <v>0</v>
      </c>
      <c r="R20230">
        <v>102</v>
      </c>
      <c r="S20230">
        <v>0</v>
      </c>
      <c r="T20230" t="s">
        <v>75445</v>
      </c>
    </row>
    <row r="20231" spans="1:25" customFormat="1" ht="15" x14ac:dyDescent="0.25">
      <c r="A20231" t="s">
        <v>24</v>
      </c>
      <c r="B20231" t="s">
        <v>75446</v>
      </c>
      <c r="C20231" t="str">
        <f>"A0051615"</f>
        <v>A0051615</v>
      </c>
      <c r="D20231" t="s">
        <v>75447</v>
      </c>
      <c r="E20231" t="s">
        <v>75448</v>
      </c>
      <c r="F20231" t="s">
        <v>75449</v>
      </c>
      <c r="G20231" t="s">
        <v>103</v>
      </c>
      <c r="H20231">
        <v>19034</v>
      </c>
      <c r="I20231" t="s">
        <v>30</v>
      </c>
      <c r="J20231" t="s">
        <v>178</v>
      </c>
      <c r="K20231" t="s">
        <v>179</v>
      </c>
      <c r="N20231" t="s">
        <v>75450</v>
      </c>
      <c r="P20231" t="s">
        <v>992</v>
      </c>
      <c r="Q20231">
        <v>1</v>
      </c>
      <c r="R20231">
        <v>18</v>
      </c>
      <c r="S20231">
        <v>0</v>
      </c>
      <c r="T20231" t="s">
        <v>75451</v>
      </c>
    </row>
    <row r="20232" spans="1:25" x14ac:dyDescent="0.25">
      <c r="A20232" s="5" t="s">
        <v>24</v>
      </c>
      <c r="B20232" s="5" t="s">
        <v>1323</v>
      </c>
      <c r="C20232" s="5" t="str">
        <f>"A0078346"</f>
        <v>A0078346</v>
      </c>
      <c r="D20232" s="5" t="s">
        <v>60607</v>
      </c>
      <c r="E20232" s="5" t="s">
        <v>60608</v>
      </c>
      <c r="F20232" s="5" t="s">
        <v>57658</v>
      </c>
      <c r="G20232" s="5" t="s">
        <v>1369</v>
      </c>
      <c r="H20232" s="5">
        <v>39401</v>
      </c>
      <c r="I20232" s="5" t="s">
        <v>30</v>
      </c>
      <c r="J20232" s="5" t="s">
        <v>171</v>
      </c>
      <c r="K20232" s="5" t="s">
        <v>973</v>
      </c>
      <c r="L20232" s="5"/>
      <c r="M20232" s="5"/>
      <c r="N20232" s="5" t="s">
        <v>60609</v>
      </c>
      <c r="O20232" s="5"/>
      <c r="P20232" s="5"/>
      <c r="Q20232" s="5">
        <v>0</v>
      </c>
      <c r="R20232" s="5">
        <v>84</v>
      </c>
      <c r="S20232" s="5">
        <v>0</v>
      </c>
      <c r="T20232" s="5" t="s">
        <v>60610</v>
      </c>
      <c r="U20232" s="5"/>
      <c r="V20232" s="5"/>
      <c r="W20232" s="5"/>
      <c r="X20232" s="5"/>
      <c r="Y20232" s="5"/>
    </row>
    <row r="20233" spans="1:25" customFormat="1" ht="15" x14ac:dyDescent="0.25">
      <c r="A20233" t="s">
        <v>24</v>
      </c>
      <c r="B20233" t="s">
        <v>1583</v>
      </c>
      <c r="C20233" t="str">
        <f>"A0100713"</f>
        <v>A0100713</v>
      </c>
      <c r="D20233" t="s">
        <v>75456</v>
      </c>
      <c r="E20233" t="s">
        <v>62356</v>
      </c>
      <c r="F20233" t="s">
        <v>62357</v>
      </c>
      <c r="G20233" t="s">
        <v>81</v>
      </c>
      <c r="H20233">
        <v>34145</v>
      </c>
      <c r="I20233" t="s">
        <v>30</v>
      </c>
      <c r="J20233" t="s">
        <v>191</v>
      </c>
      <c r="K20233" t="s">
        <v>6809</v>
      </c>
      <c r="N20233" t="s">
        <v>75457</v>
      </c>
      <c r="Q20233">
        <v>0</v>
      </c>
      <c r="R20233">
        <v>0</v>
      </c>
      <c r="S20233">
        <v>0</v>
      </c>
      <c r="T20233" t="s">
        <v>75458</v>
      </c>
    </row>
    <row r="20234" spans="1:25" customFormat="1" ht="15" x14ac:dyDescent="0.25">
      <c r="A20234" t="s">
        <v>24</v>
      </c>
      <c r="B20234" t="s">
        <v>10986</v>
      </c>
      <c r="C20234" t="str">
        <f>"A0101000"</f>
        <v>A0101000</v>
      </c>
      <c r="D20234" t="s">
        <v>60611</v>
      </c>
      <c r="E20234" t="s">
        <v>60612</v>
      </c>
      <c r="F20234" t="s">
        <v>60613</v>
      </c>
      <c r="G20234" t="s">
        <v>110</v>
      </c>
      <c r="H20234">
        <v>90250</v>
      </c>
      <c r="I20234" t="s">
        <v>30</v>
      </c>
      <c r="J20234" t="s">
        <v>171</v>
      </c>
      <c r="K20234" t="s">
        <v>973</v>
      </c>
      <c r="N20234" t="s">
        <v>10989</v>
      </c>
      <c r="O20234" t="s">
        <v>60614</v>
      </c>
      <c r="Q20234">
        <v>0</v>
      </c>
      <c r="R20234">
        <v>133</v>
      </c>
      <c r="S20234">
        <v>0</v>
      </c>
      <c r="T20234" t="s">
        <v>60615</v>
      </c>
    </row>
    <row r="20235" spans="1:25" customFormat="1" ht="15" x14ac:dyDescent="0.25">
      <c r="A20235" t="s">
        <v>24</v>
      </c>
      <c r="B20235" t="s">
        <v>675</v>
      </c>
      <c r="C20235" t="str">
        <f>"311D5"</f>
        <v>311D5</v>
      </c>
      <c r="D20235" t="s">
        <v>60622</v>
      </c>
      <c r="E20235" t="s">
        <v>60623</v>
      </c>
      <c r="F20235" t="s">
        <v>34764</v>
      </c>
      <c r="G20235" t="s">
        <v>29</v>
      </c>
      <c r="H20235">
        <v>20170</v>
      </c>
      <c r="I20235" t="s">
        <v>30</v>
      </c>
      <c r="J20235" t="s">
        <v>171</v>
      </c>
      <c r="K20235" t="s">
        <v>973</v>
      </c>
      <c r="N20235" t="s">
        <v>34718</v>
      </c>
      <c r="O20235" t="s">
        <v>60624</v>
      </c>
      <c r="Q20235">
        <v>0</v>
      </c>
      <c r="R20235">
        <v>146</v>
      </c>
      <c r="S20235">
        <v>0</v>
      </c>
      <c r="T20235" t="s">
        <v>60625</v>
      </c>
    </row>
    <row r="20236" spans="1:25" customFormat="1" ht="15" x14ac:dyDescent="0.25">
      <c r="A20236" t="s">
        <v>24</v>
      </c>
      <c r="B20236" t="s">
        <v>12638</v>
      </c>
      <c r="C20236" t="str">
        <f>"A0065314"</f>
        <v>A0065314</v>
      </c>
      <c r="D20236" t="s">
        <v>60626</v>
      </c>
      <c r="E20236" t="s">
        <v>60627</v>
      </c>
      <c r="F20236" t="s">
        <v>60628</v>
      </c>
      <c r="G20236" t="s">
        <v>214</v>
      </c>
      <c r="H20236">
        <v>27262</v>
      </c>
      <c r="I20236" t="s">
        <v>30</v>
      </c>
      <c r="J20236" t="s">
        <v>171</v>
      </c>
      <c r="K20236" t="s">
        <v>973</v>
      </c>
      <c r="N20236" t="s">
        <v>60629</v>
      </c>
      <c r="Q20236">
        <v>0</v>
      </c>
      <c r="R20236">
        <v>107</v>
      </c>
      <c r="S20236">
        <v>0</v>
      </c>
      <c r="T20236" t="s">
        <v>60630</v>
      </c>
    </row>
    <row r="20237" spans="1:25" x14ac:dyDescent="0.25">
      <c r="A20237" s="5" t="s">
        <v>24</v>
      </c>
      <c r="B20237" s="5" t="s">
        <v>1323</v>
      </c>
      <c r="C20237" s="5" t="str">
        <f>"A0155464"</f>
        <v>A0155464</v>
      </c>
      <c r="D20237" s="5" t="s">
        <v>60631</v>
      </c>
      <c r="E20237" s="5" t="s">
        <v>60632</v>
      </c>
      <c r="F20237" s="5" t="s">
        <v>60633</v>
      </c>
      <c r="G20237" s="5" t="s">
        <v>58</v>
      </c>
      <c r="H20237" s="5">
        <v>29928</v>
      </c>
      <c r="I20237" s="5" t="s">
        <v>30</v>
      </c>
      <c r="J20237" s="5" t="s">
        <v>171</v>
      </c>
      <c r="K20237" s="5" t="s">
        <v>973</v>
      </c>
      <c r="L20237" s="5"/>
      <c r="M20237" s="5"/>
      <c r="N20237" s="5" t="s">
        <v>60634</v>
      </c>
      <c r="O20237" s="5"/>
      <c r="P20237" s="5"/>
      <c r="Q20237" s="5">
        <v>0</v>
      </c>
      <c r="R20237" s="5">
        <v>115</v>
      </c>
      <c r="S20237" s="5">
        <v>0</v>
      </c>
      <c r="T20237" s="5" t="s">
        <v>60635</v>
      </c>
      <c r="U20237" s="5"/>
      <c r="V20237" s="5"/>
      <c r="W20237" s="5"/>
      <c r="X20237" s="5"/>
      <c r="Y20237" s="5"/>
    </row>
    <row r="20238" spans="1:25" customFormat="1" ht="15" x14ac:dyDescent="0.25">
      <c r="A20238" t="s">
        <v>24</v>
      </c>
      <c r="B20238" t="s">
        <v>1098</v>
      </c>
      <c r="C20238" t="str">
        <f>"A0091168"</f>
        <v>A0091168</v>
      </c>
      <c r="D20238" t="s">
        <v>60636</v>
      </c>
      <c r="E20238" t="s">
        <v>60637</v>
      </c>
      <c r="F20238" t="s">
        <v>60638</v>
      </c>
      <c r="G20238" t="s">
        <v>81</v>
      </c>
      <c r="H20238">
        <v>33033</v>
      </c>
      <c r="I20238" t="s">
        <v>30</v>
      </c>
      <c r="J20238" t="s">
        <v>171</v>
      </c>
      <c r="K20238" t="s">
        <v>973</v>
      </c>
      <c r="N20238" t="s">
        <v>60639</v>
      </c>
      <c r="Q20238">
        <v>0</v>
      </c>
      <c r="R20238">
        <v>98</v>
      </c>
      <c r="S20238">
        <v>0</v>
      </c>
      <c r="T20238" t="s">
        <v>60640</v>
      </c>
    </row>
    <row r="20239" spans="1:25" customFormat="1" ht="15" x14ac:dyDescent="0.25">
      <c r="A20239" t="s">
        <v>24</v>
      </c>
      <c r="B20239" t="s">
        <v>75482</v>
      </c>
      <c r="C20239" t="str">
        <f>"A0158284"</f>
        <v>A0158284</v>
      </c>
      <c r="D20239" t="s">
        <v>75483</v>
      </c>
      <c r="E20239" t="s">
        <v>75484</v>
      </c>
      <c r="F20239" t="s">
        <v>75485</v>
      </c>
      <c r="G20239" t="s">
        <v>81</v>
      </c>
      <c r="H20239">
        <v>32448</v>
      </c>
      <c r="I20239" t="s">
        <v>30</v>
      </c>
      <c r="J20239" t="s">
        <v>31</v>
      </c>
      <c r="K20239" t="s">
        <v>163</v>
      </c>
      <c r="N20239" t="s">
        <v>75486</v>
      </c>
      <c r="Q20239">
        <v>0</v>
      </c>
      <c r="R20239">
        <v>59</v>
      </c>
      <c r="S20239">
        <v>0</v>
      </c>
      <c r="T20239" t="s">
        <v>75487</v>
      </c>
    </row>
    <row r="20240" spans="1:25" customFormat="1" ht="15" hidden="1" x14ac:dyDescent="0.25">
      <c r="A20240" t="s">
        <v>24</v>
      </c>
      <c r="B20240" t="s">
        <v>2360</v>
      </c>
      <c r="C20240" t="str">
        <f>"CL0541"</f>
        <v>CL0541</v>
      </c>
      <c r="D20240" t="s">
        <v>75488</v>
      </c>
      <c r="E20240" t="s">
        <v>75489</v>
      </c>
      <c r="F20240" t="s">
        <v>75490</v>
      </c>
      <c r="G20240" t="s">
        <v>4481</v>
      </c>
      <c r="H20240">
        <v>48354</v>
      </c>
      <c r="I20240" t="s">
        <v>2408</v>
      </c>
      <c r="J20240" t="s">
        <v>178</v>
      </c>
      <c r="K20240" t="s">
        <v>56676</v>
      </c>
      <c r="N20240" t="s">
        <v>5523</v>
      </c>
      <c r="O20240" t="s">
        <v>75491</v>
      </c>
      <c r="P20240" t="s">
        <v>3998</v>
      </c>
      <c r="Q20240">
        <v>1</v>
      </c>
      <c r="R20240">
        <v>0</v>
      </c>
      <c r="S20240">
        <v>0</v>
      </c>
      <c r="T20240" t="s">
        <v>75492</v>
      </c>
    </row>
    <row r="20241" spans="1:20" customFormat="1" ht="15" x14ac:dyDescent="0.25">
      <c r="A20241" t="s">
        <v>24</v>
      </c>
      <c r="B20241" t="s">
        <v>58694</v>
      </c>
      <c r="C20241" t="str">
        <f>"A0094048"</f>
        <v>A0094048</v>
      </c>
      <c r="D20241" t="s">
        <v>60641</v>
      </c>
      <c r="E20241" t="s">
        <v>60642</v>
      </c>
      <c r="F20241" t="s">
        <v>60643</v>
      </c>
      <c r="G20241" t="s">
        <v>85</v>
      </c>
      <c r="H20241">
        <v>71913</v>
      </c>
      <c r="I20241" t="s">
        <v>30</v>
      </c>
      <c r="J20241" t="s">
        <v>171</v>
      </c>
      <c r="K20241" t="s">
        <v>973</v>
      </c>
      <c r="N20241" t="s">
        <v>60644</v>
      </c>
      <c r="O20241" t="s">
        <v>60645</v>
      </c>
      <c r="Q20241">
        <v>0</v>
      </c>
      <c r="R20241">
        <v>98</v>
      </c>
      <c r="S20241">
        <v>0</v>
      </c>
      <c r="T20241" t="s">
        <v>60646</v>
      </c>
    </row>
    <row r="20242" spans="1:20" customFormat="1" ht="15" x14ac:dyDescent="0.25">
      <c r="A20242" t="s">
        <v>24</v>
      </c>
      <c r="B20242" t="s">
        <v>675</v>
      </c>
      <c r="C20242" t="str">
        <f>"311MD"</f>
        <v>311MD</v>
      </c>
      <c r="D20242" t="s">
        <v>60647</v>
      </c>
      <c r="E20242" t="s">
        <v>60648</v>
      </c>
      <c r="F20242" t="s">
        <v>1564</v>
      </c>
      <c r="G20242" t="s">
        <v>52</v>
      </c>
      <c r="H20242">
        <v>77017</v>
      </c>
      <c r="I20242" t="s">
        <v>30</v>
      </c>
      <c r="J20242" t="s">
        <v>171</v>
      </c>
      <c r="K20242" t="s">
        <v>973</v>
      </c>
      <c r="N20242" t="s">
        <v>60649</v>
      </c>
      <c r="O20242" t="s">
        <v>3486</v>
      </c>
      <c r="Q20242">
        <v>0</v>
      </c>
      <c r="R20242">
        <v>153</v>
      </c>
      <c r="S20242">
        <v>0</v>
      </c>
      <c r="T20242" t="s">
        <v>60650</v>
      </c>
    </row>
    <row r="20243" spans="1:20" customFormat="1" ht="15" x14ac:dyDescent="0.25">
      <c r="A20243" t="s">
        <v>24</v>
      </c>
      <c r="B20243" t="s">
        <v>1561</v>
      </c>
      <c r="C20243" t="str">
        <f>"A0095145"</f>
        <v>A0095145</v>
      </c>
      <c r="D20243" t="s">
        <v>60651</v>
      </c>
      <c r="E20243" t="s">
        <v>60652</v>
      </c>
      <c r="F20243" t="s">
        <v>1564</v>
      </c>
      <c r="G20243" t="s">
        <v>52</v>
      </c>
      <c r="H20243">
        <v>77084</v>
      </c>
      <c r="I20243" t="s">
        <v>30</v>
      </c>
      <c r="J20243" t="s">
        <v>171</v>
      </c>
      <c r="K20243" t="s">
        <v>973</v>
      </c>
      <c r="N20243" t="s">
        <v>60653</v>
      </c>
      <c r="O20243" t="s">
        <v>60654</v>
      </c>
      <c r="Q20243">
        <v>0</v>
      </c>
      <c r="R20243">
        <v>132</v>
      </c>
      <c r="S20243">
        <v>0</v>
      </c>
      <c r="T20243" t="s">
        <v>60655</v>
      </c>
    </row>
    <row r="20244" spans="1:20" customFormat="1" ht="15" x14ac:dyDescent="0.25">
      <c r="A20244" t="s">
        <v>24</v>
      </c>
      <c r="B20244" t="s">
        <v>2528</v>
      </c>
      <c r="C20244" t="str">
        <f>"A0062579"</f>
        <v>A0062579</v>
      </c>
      <c r="D20244" t="s">
        <v>60656</v>
      </c>
      <c r="E20244" t="s">
        <v>60657</v>
      </c>
      <c r="F20244" t="s">
        <v>1564</v>
      </c>
      <c r="G20244" t="s">
        <v>52</v>
      </c>
      <c r="H20244">
        <v>77030</v>
      </c>
      <c r="I20244" t="s">
        <v>30</v>
      </c>
      <c r="J20244" t="s">
        <v>171</v>
      </c>
      <c r="K20244" t="s">
        <v>973</v>
      </c>
      <c r="N20244" t="s">
        <v>60658</v>
      </c>
      <c r="O20244" t="s">
        <v>60659</v>
      </c>
      <c r="Q20244">
        <v>0</v>
      </c>
      <c r="R20244">
        <v>191</v>
      </c>
      <c r="S20244">
        <v>0</v>
      </c>
      <c r="T20244" t="s">
        <v>60660</v>
      </c>
    </row>
    <row r="20245" spans="1:20" customFormat="1" ht="15" x14ac:dyDescent="0.25">
      <c r="A20245" t="s">
        <v>24</v>
      </c>
      <c r="B20245" t="s">
        <v>1323</v>
      </c>
      <c r="C20245" t="str">
        <f>"A0093553"</f>
        <v>A0093553</v>
      </c>
      <c r="D20245" t="s">
        <v>60661</v>
      </c>
      <c r="E20245" t="s">
        <v>60662</v>
      </c>
      <c r="F20245" t="s">
        <v>60663</v>
      </c>
      <c r="G20245" t="s">
        <v>52</v>
      </c>
      <c r="H20245">
        <v>77385</v>
      </c>
      <c r="I20245" t="s">
        <v>30</v>
      </c>
      <c r="J20245" t="s">
        <v>171</v>
      </c>
      <c r="K20245" t="s">
        <v>973</v>
      </c>
      <c r="N20245" t="s">
        <v>60664</v>
      </c>
      <c r="Q20245">
        <v>0</v>
      </c>
      <c r="R20245">
        <v>124</v>
      </c>
      <c r="S20245">
        <v>0</v>
      </c>
      <c r="T20245" t="s">
        <v>60665</v>
      </c>
    </row>
    <row r="20246" spans="1:20" customFormat="1" ht="15" x14ac:dyDescent="0.25">
      <c r="A20246" t="s">
        <v>24</v>
      </c>
      <c r="B20246" t="s">
        <v>675</v>
      </c>
      <c r="C20246" t="str">
        <f>"311NG"</f>
        <v>311NG</v>
      </c>
      <c r="D20246" t="s">
        <v>60666</v>
      </c>
      <c r="E20246" t="s">
        <v>60667</v>
      </c>
      <c r="F20246" t="s">
        <v>1564</v>
      </c>
      <c r="G20246" t="s">
        <v>52</v>
      </c>
      <c r="H20246">
        <v>77070</v>
      </c>
      <c r="I20246" t="s">
        <v>30</v>
      </c>
      <c r="J20246" t="s">
        <v>171</v>
      </c>
      <c r="K20246" t="s">
        <v>973</v>
      </c>
      <c r="N20246" t="s">
        <v>60668</v>
      </c>
      <c r="Q20246">
        <v>0</v>
      </c>
      <c r="R20246">
        <v>126</v>
      </c>
      <c r="S20246">
        <v>0</v>
      </c>
      <c r="T20246" t="s">
        <v>60669</v>
      </c>
    </row>
    <row r="20247" spans="1:20" customFormat="1" ht="15" x14ac:dyDescent="0.25">
      <c r="A20247" t="s">
        <v>24</v>
      </c>
      <c r="B20247" t="s">
        <v>9391</v>
      </c>
      <c r="C20247" t="str">
        <f>"A0093278"</f>
        <v>A0093278</v>
      </c>
      <c r="D20247" t="s">
        <v>60670</v>
      </c>
      <c r="E20247" t="s">
        <v>60671</v>
      </c>
      <c r="F20247" t="s">
        <v>1564</v>
      </c>
      <c r="G20247" t="s">
        <v>52</v>
      </c>
      <c r="H20247">
        <v>77040</v>
      </c>
      <c r="I20247" t="s">
        <v>30</v>
      </c>
      <c r="J20247" t="s">
        <v>171</v>
      </c>
      <c r="K20247" t="s">
        <v>973</v>
      </c>
      <c r="N20247" t="s">
        <v>60672</v>
      </c>
      <c r="Q20247">
        <v>0</v>
      </c>
      <c r="R20247">
        <v>112</v>
      </c>
      <c r="S20247">
        <v>0</v>
      </c>
      <c r="T20247" t="s">
        <v>60673</v>
      </c>
    </row>
    <row r="20248" spans="1:20" customFormat="1" ht="15" x14ac:dyDescent="0.25">
      <c r="A20248" t="s">
        <v>24</v>
      </c>
      <c r="B20248" t="s">
        <v>34033</v>
      </c>
      <c r="C20248" t="str">
        <f>"A0085879"</f>
        <v>A0085879</v>
      </c>
      <c r="D20248" t="s">
        <v>60674</v>
      </c>
      <c r="E20248" t="s">
        <v>60675</v>
      </c>
      <c r="F20248" t="s">
        <v>60676</v>
      </c>
      <c r="G20248" t="s">
        <v>52</v>
      </c>
      <c r="H20248">
        <v>77584</v>
      </c>
      <c r="I20248" t="s">
        <v>30</v>
      </c>
      <c r="J20248" t="s">
        <v>171</v>
      </c>
      <c r="K20248" t="s">
        <v>973</v>
      </c>
      <c r="N20248" t="s">
        <v>32947</v>
      </c>
      <c r="O20248" t="s">
        <v>60677</v>
      </c>
      <c r="Q20248">
        <v>0</v>
      </c>
      <c r="R20248">
        <v>110</v>
      </c>
      <c r="S20248">
        <v>0</v>
      </c>
      <c r="T20248" t="s">
        <v>60678</v>
      </c>
    </row>
    <row r="20249" spans="1:20" customFormat="1" ht="15" x14ac:dyDescent="0.25">
      <c r="A20249" t="s">
        <v>24</v>
      </c>
      <c r="B20249" t="s">
        <v>1317</v>
      </c>
      <c r="C20249" t="str">
        <f>"A0096041"</f>
        <v>A0096041</v>
      </c>
      <c r="D20249" t="s">
        <v>60679</v>
      </c>
      <c r="E20249" t="s">
        <v>60680</v>
      </c>
      <c r="F20249" t="s">
        <v>54905</v>
      </c>
      <c r="G20249" t="s">
        <v>52</v>
      </c>
      <c r="H20249">
        <v>77389</v>
      </c>
      <c r="I20249" t="s">
        <v>30</v>
      </c>
      <c r="J20249" t="s">
        <v>171</v>
      </c>
      <c r="K20249" t="s">
        <v>973</v>
      </c>
      <c r="N20249" t="s">
        <v>60681</v>
      </c>
      <c r="O20249" t="s">
        <v>60682</v>
      </c>
      <c r="Q20249">
        <v>0</v>
      </c>
      <c r="R20249">
        <v>125</v>
      </c>
      <c r="S20249">
        <v>0</v>
      </c>
      <c r="T20249" t="s">
        <v>60683</v>
      </c>
    </row>
    <row r="20250" spans="1:20" customFormat="1" ht="15" x14ac:dyDescent="0.25">
      <c r="A20250" t="s">
        <v>24</v>
      </c>
      <c r="B20250" t="s">
        <v>1317</v>
      </c>
      <c r="C20250" t="str">
        <f>"A0099044"</f>
        <v>A0099044</v>
      </c>
      <c r="D20250" t="s">
        <v>60684</v>
      </c>
      <c r="E20250" t="s">
        <v>60685</v>
      </c>
      <c r="F20250" t="s">
        <v>60686</v>
      </c>
      <c r="G20250" t="s">
        <v>52</v>
      </c>
      <c r="H20250">
        <v>77478</v>
      </c>
      <c r="I20250" t="s">
        <v>30</v>
      </c>
      <c r="J20250" t="s">
        <v>171</v>
      </c>
      <c r="K20250" t="s">
        <v>973</v>
      </c>
      <c r="N20250" t="s">
        <v>60687</v>
      </c>
      <c r="Q20250">
        <v>0</v>
      </c>
      <c r="R20250">
        <v>137</v>
      </c>
      <c r="S20250">
        <v>0</v>
      </c>
      <c r="T20250" t="s">
        <v>60688</v>
      </c>
    </row>
    <row r="20251" spans="1:20" customFormat="1" ht="15" x14ac:dyDescent="0.25">
      <c r="A20251" t="s">
        <v>24</v>
      </c>
      <c r="B20251" t="s">
        <v>1323</v>
      </c>
      <c r="C20251" t="str">
        <f>"A0153130"</f>
        <v>A0153130</v>
      </c>
      <c r="D20251" t="s">
        <v>60689</v>
      </c>
      <c r="E20251" t="s">
        <v>60690</v>
      </c>
      <c r="F20251" t="s">
        <v>1564</v>
      </c>
      <c r="G20251" t="s">
        <v>52</v>
      </c>
      <c r="H20251">
        <v>77007</v>
      </c>
      <c r="I20251" t="s">
        <v>30</v>
      </c>
      <c r="J20251" t="s">
        <v>171</v>
      </c>
      <c r="K20251" t="s">
        <v>973</v>
      </c>
      <c r="N20251" t="s">
        <v>60691</v>
      </c>
      <c r="Q20251">
        <v>0</v>
      </c>
      <c r="R20251">
        <v>140</v>
      </c>
      <c r="S20251">
        <v>0</v>
      </c>
      <c r="T20251" t="s">
        <v>60692</v>
      </c>
    </row>
    <row r="20252" spans="1:20" customFormat="1" ht="15" x14ac:dyDescent="0.25">
      <c r="A20252" t="s">
        <v>24</v>
      </c>
      <c r="B20252" t="s">
        <v>1020</v>
      </c>
      <c r="C20252" t="str">
        <f>"651YF"</f>
        <v>651YF</v>
      </c>
      <c r="D20252" t="s">
        <v>60693</v>
      </c>
      <c r="E20252" t="s">
        <v>60694</v>
      </c>
      <c r="F20252" t="s">
        <v>1564</v>
      </c>
      <c r="G20252" t="s">
        <v>52</v>
      </c>
      <c r="H20252">
        <v>77042</v>
      </c>
      <c r="I20252" t="s">
        <v>30</v>
      </c>
      <c r="J20252" t="s">
        <v>171</v>
      </c>
      <c r="K20252" t="s">
        <v>973</v>
      </c>
      <c r="N20252" t="s">
        <v>60695</v>
      </c>
      <c r="Q20252">
        <v>0</v>
      </c>
      <c r="R20252">
        <v>153</v>
      </c>
      <c r="S20252">
        <v>0</v>
      </c>
      <c r="T20252" t="s">
        <v>60696</v>
      </c>
    </row>
    <row r="20253" spans="1:20" customFormat="1" ht="15" x14ac:dyDescent="0.25">
      <c r="A20253" t="s">
        <v>24</v>
      </c>
      <c r="B20253" t="s">
        <v>2528</v>
      </c>
      <c r="C20253" t="str">
        <f>"A0069006"</f>
        <v>A0069006</v>
      </c>
      <c r="D20253" t="s">
        <v>60697</v>
      </c>
      <c r="E20253" t="s">
        <v>60698</v>
      </c>
      <c r="F20253" t="s">
        <v>1564</v>
      </c>
      <c r="G20253" t="s">
        <v>52</v>
      </c>
      <c r="H20253">
        <v>77005</v>
      </c>
      <c r="I20253" t="s">
        <v>30</v>
      </c>
      <c r="J20253" t="s">
        <v>171</v>
      </c>
      <c r="K20253" t="s">
        <v>973</v>
      </c>
      <c r="N20253" t="s">
        <v>3486</v>
      </c>
      <c r="O20253" t="s">
        <v>60699</v>
      </c>
      <c r="Q20253">
        <v>0</v>
      </c>
      <c r="R20253">
        <v>100</v>
      </c>
      <c r="S20253">
        <v>0</v>
      </c>
      <c r="T20253" t="s">
        <v>60700</v>
      </c>
    </row>
    <row r="20254" spans="1:20" customFormat="1" ht="15" x14ac:dyDescent="0.25">
      <c r="A20254" t="s">
        <v>24</v>
      </c>
      <c r="B20254" t="s">
        <v>8366</v>
      </c>
      <c r="C20254" t="str">
        <f>"6513C"</f>
        <v>6513C</v>
      </c>
      <c r="D20254" t="s">
        <v>60701</v>
      </c>
      <c r="E20254" t="s">
        <v>60702</v>
      </c>
      <c r="F20254" t="s">
        <v>3224</v>
      </c>
      <c r="G20254" t="s">
        <v>899</v>
      </c>
      <c r="H20254">
        <v>2601</v>
      </c>
      <c r="I20254" t="s">
        <v>30</v>
      </c>
      <c r="J20254" t="s">
        <v>171</v>
      </c>
      <c r="K20254" t="s">
        <v>973</v>
      </c>
      <c r="N20254" t="s">
        <v>60703</v>
      </c>
      <c r="Q20254">
        <v>0</v>
      </c>
      <c r="R20254">
        <v>119</v>
      </c>
      <c r="S20254">
        <v>0</v>
      </c>
      <c r="T20254" t="s">
        <v>60704</v>
      </c>
    </row>
    <row r="20255" spans="1:20" customFormat="1" ht="15" x14ac:dyDescent="0.25">
      <c r="A20255" t="s">
        <v>24</v>
      </c>
      <c r="B20255" t="s">
        <v>675</v>
      </c>
      <c r="C20255" t="str">
        <f>"311V6"</f>
        <v>311V6</v>
      </c>
      <c r="D20255" t="s">
        <v>60705</v>
      </c>
      <c r="E20255" t="s">
        <v>60706</v>
      </c>
      <c r="F20255" t="s">
        <v>9431</v>
      </c>
      <c r="G20255" t="s">
        <v>381</v>
      </c>
      <c r="H20255">
        <v>46241</v>
      </c>
      <c r="I20255" t="s">
        <v>30</v>
      </c>
      <c r="J20255" t="s">
        <v>171</v>
      </c>
      <c r="K20255" t="s">
        <v>973</v>
      </c>
      <c r="N20255" t="s">
        <v>60707</v>
      </c>
      <c r="O20255" t="s">
        <v>60708</v>
      </c>
      <c r="Q20255">
        <v>0</v>
      </c>
      <c r="R20255">
        <v>152</v>
      </c>
      <c r="S20255">
        <v>0</v>
      </c>
      <c r="T20255" t="s">
        <v>60709</v>
      </c>
    </row>
    <row r="20256" spans="1:20" customFormat="1" ht="15" x14ac:dyDescent="0.25">
      <c r="A20256" t="s">
        <v>24</v>
      </c>
      <c r="B20256" t="s">
        <v>675</v>
      </c>
      <c r="C20256" t="str">
        <f>"311H9"</f>
        <v>311H9</v>
      </c>
      <c r="D20256" t="s">
        <v>60710</v>
      </c>
      <c r="E20256" t="s">
        <v>60711</v>
      </c>
      <c r="F20256" t="s">
        <v>9431</v>
      </c>
      <c r="G20256" t="s">
        <v>381</v>
      </c>
      <c r="H20256">
        <v>46250</v>
      </c>
      <c r="I20256" t="s">
        <v>30</v>
      </c>
      <c r="J20256" t="s">
        <v>171</v>
      </c>
      <c r="K20256" t="s">
        <v>973</v>
      </c>
      <c r="N20256" t="s">
        <v>60712</v>
      </c>
      <c r="O20256" t="s">
        <v>60713</v>
      </c>
      <c r="Q20256">
        <v>0</v>
      </c>
      <c r="R20256">
        <v>146</v>
      </c>
      <c r="S20256">
        <v>0</v>
      </c>
      <c r="T20256" t="s">
        <v>60714</v>
      </c>
    </row>
    <row r="20257" spans="1:20" customFormat="1" ht="15" hidden="1" x14ac:dyDescent="0.25">
      <c r="A20257" t="s">
        <v>24</v>
      </c>
      <c r="B20257" t="s">
        <v>675</v>
      </c>
      <c r="C20257" t="str">
        <f>"337U1"</f>
        <v>337U1</v>
      </c>
      <c r="D20257" t="s">
        <v>75565</v>
      </c>
      <c r="E20257" t="s">
        <v>75566</v>
      </c>
      <c r="F20257" t="s">
        <v>8456</v>
      </c>
      <c r="G20257" t="s">
        <v>1457</v>
      </c>
      <c r="H20257" t="s">
        <v>75567</v>
      </c>
      <c r="I20257" t="s">
        <v>1459</v>
      </c>
      <c r="J20257" t="s">
        <v>162</v>
      </c>
      <c r="K20257" t="s">
        <v>1490</v>
      </c>
      <c r="N20257" t="s">
        <v>75568</v>
      </c>
      <c r="Q20257">
        <v>0</v>
      </c>
      <c r="R20257">
        <v>388</v>
      </c>
      <c r="S20257">
        <v>0</v>
      </c>
      <c r="T20257" t="s">
        <v>75569</v>
      </c>
    </row>
    <row r="20258" spans="1:20" customFormat="1" ht="15" hidden="1" x14ac:dyDescent="0.25">
      <c r="A20258" t="s">
        <v>24</v>
      </c>
      <c r="B20258" t="s">
        <v>675</v>
      </c>
      <c r="C20258" t="str">
        <f>"A0096606"</f>
        <v>A0096606</v>
      </c>
      <c r="D20258" t="s">
        <v>75570</v>
      </c>
      <c r="E20258" t="s">
        <v>75571</v>
      </c>
      <c r="F20258" t="s">
        <v>8456</v>
      </c>
      <c r="G20258" t="s">
        <v>1457</v>
      </c>
      <c r="H20258" t="s">
        <v>75572</v>
      </c>
      <c r="I20258" t="s">
        <v>1459</v>
      </c>
      <c r="J20258" t="s">
        <v>162</v>
      </c>
      <c r="K20258" t="s">
        <v>1490</v>
      </c>
      <c r="N20258" t="s">
        <v>62658</v>
      </c>
      <c r="O20258" t="s">
        <v>75573</v>
      </c>
      <c r="Q20258">
        <v>0</v>
      </c>
      <c r="R20258">
        <v>318</v>
      </c>
      <c r="S20258">
        <v>0</v>
      </c>
      <c r="T20258" t="s">
        <v>75574</v>
      </c>
    </row>
    <row r="20259" spans="1:20" customFormat="1" ht="15" hidden="1" x14ac:dyDescent="0.25">
      <c r="A20259" t="s">
        <v>24</v>
      </c>
      <c r="B20259" t="s">
        <v>675</v>
      </c>
      <c r="C20259" t="str">
        <f>"397M7"</f>
        <v>397M7</v>
      </c>
      <c r="D20259" t="s">
        <v>75575</v>
      </c>
      <c r="E20259" t="s">
        <v>75576</v>
      </c>
      <c r="F20259" t="s">
        <v>5423</v>
      </c>
      <c r="G20259" t="s">
        <v>5424</v>
      </c>
      <c r="H20259">
        <v>77500</v>
      </c>
      <c r="I20259" t="s">
        <v>2408</v>
      </c>
      <c r="J20259" t="s">
        <v>162</v>
      </c>
      <c r="K20259" t="s">
        <v>1490</v>
      </c>
      <c r="N20259" t="s">
        <v>74474</v>
      </c>
      <c r="O20259" t="s">
        <v>75577</v>
      </c>
      <c r="Q20259">
        <v>0</v>
      </c>
      <c r="R20259">
        <v>452</v>
      </c>
      <c r="S20259">
        <v>0</v>
      </c>
      <c r="T20259" t="s">
        <v>75578</v>
      </c>
    </row>
    <row r="20260" spans="1:20" customFormat="1" ht="15" x14ac:dyDescent="0.25">
      <c r="A20260" t="s">
        <v>24</v>
      </c>
      <c r="B20260" t="s">
        <v>1487</v>
      </c>
      <c r="C20260" t="str">
        <f>"651XD"</f>
        <v>651XD</v>
      </c>
      <c r="D20260" t="s">
        <v>60715</v>
      </c>
      <c r="E20260" t="s">
        <v>60716</v>
      </c>
      <c r="F20260" t="s">
        <v>9431</v>
      </c>
      <c r="G20260" t="s">
        <v>381</v>
      </c>
      <c r="H20260">
        <v>46204</v>
      </c>
      <c r="I20260" t="s">
        <v>30</v>
      </c>
      <c r="J20260" t="s">
        <v>171</v>
      </c>
      <c r="K20260" t="s">
        <v>973</v>
      </c>
      <c r="N20260" t="s">
        <v>60717</v>
      </c>
      <c r="O20260" t="s">
        <v>60718</v>
      </c>
      <c r="Q20260">
        <v>0</v>
      </c>
      <c r="R20260">
        <v>297</v>
      </c>
      <c r="S20260">
        <v>0</v>
      </c>
      <c r="T20260" t="s">
        <v>60719</v>
      </c>
    </row>
    <row r="20261" spans="1:20" customFormat="1" ht="15" x14ac:dyDescent="0.25">
      <c r="A20261" t="s">
        <v>24</v>
      </c>
      <c r="B20261" t="s">
        <v>58814</v>
      </c>
      <c r="C20261" t="str">
        <f>"A0093583"</f>
        <v>A0093583</v>
      </c>
      <c r="D20261" t="s">
        <v>60720</v>
      </c>
      <c r="E20261" t="s">
        <v>60721</v>
      </c>
      <c r="F20261" t="s">
        <v>33082</v>
      </c>
      <c r="G20261" t="s">
        <v>381</v>
      </c>
      <c r="H20261">
        <v>46060</v>
      </c>
      <c r="I20261" t="s">
        <v>30</v>
      </c>
      <c r="J20261" t="s">
        <v>171</v>
      </c>
      <c r="K20261" t="s">
        <v>973</v>
      </c>
      <c r="N20261" t="s">
        <v>33083</v>
      </c>
      <c r="O20261" t="s">
        <v>60722</v>
      </c>
      <c r="Q20261">
        <v>0</v>
      </c>
      <c r="R20261">
        <v>92</v>
      </c>
      <c r="S20261">
        <v>0</v>
      </c>
      <c r="T20261" t="s">
        <v>60723</v>
      </c>
    </row>
    <row r="20262" spans="1:20" customFormat="1" ht="15" x14ac:dyDescent="0.25">
      <c r="A20262" t="s">
        <v>24</v>
      </c>
      <c r="B20262" t="s">
        <v>58814</v>
      </c>
      <c r="C20262" t="str">
        <f>"A0145447"</f>
        <v>A0145447</v>
      </c>
      <c r="D20262" t="s">
        <v>60724</v>
      </c>
      <c r="E20262" t="s">
        <v>60725</v>
      </c>
      <c r="F20262" t="s">
        <v>60726</v>
      </c>
      <c r="G20262" t="s">
        <v>381</v>
      </c>
      <c r="H20262">
        <v>46224</v>
      </c>
      <c r="I20262" t="s">
        <v>30</v>
      </c>
      <c r="J20262" t="s">
        <v>171</v>
      </c>
      <c r="K20262" t="s">
        <v>973</v>
      </c>
      <c r="N20262" t="s">
        <v>60727</v>
      </c>
      <c r="Q20262">
        <v>0</v>
      </c>
      <c r="R20262">
        <v>92</v>
      </c>
      <c r="S20262">
        <v>0</v>
      </c>
      <c r="T20262" t="s">
        <v>60728</v>
      </c>
    </row>
    <row r="20263" spans="1:20" customFormat="1" ht="15" x14ac:dyDescent="0.25">
      <c r="A20263" t="s">
        <v>24</v>
      </c>
      <c r="B20263" t="s">
        <v>675</v>
      </c>
      <c r="C20263" t="str">
        <f>"311L9"</f>
        <v>311L9</v>
      </c>
      <c r="D20263" t="s">
        <v>60735</v>
      </c>
      <c r="E20263" t="s">
        <v>60736</v>
      </c>
      <c r="F20263" t="s">
        <v>808</v>
      </c>
      <c r="G20263" t="s">
        <v>110</v>
      </c>
      <c r="H20263">
        <v>92614</v>
      </c>
      <c r="I20263" t="s">
        <v>30</v>
      </c>
      <c r="J20263" t="s">
        <v>171</v>
      </c>
      <c r="K20263" t="s">
        <v>973</v>
      </c>
      <c r="N20263" t="s">
        <v>60737</v>
      </c>
      <c r="Q20263">
        <v>0</v>
      </c>
      <c r="R20263">
        <v>153</v>
      </c>
      <c r="S20263">
        <v>0</v>
      </c>
      <c r="T20263" t="s">
        <v>60738</v>
      </c>
    </row>
    <row r="20264" spans="1:20" customFormat="1" ht="15" x14ac:dyDescent="0.25">
      <c r="A20264" t="s">
        <v>24</v>
      </c>
      <c r="B20264" t="s">
        <v>675</v>
      </c>
      <c r="C20264" t="str">
        <f>"A0093324"</f>
        <v>A0093324</v>
      </c>
      <c r="D20264" t="s">
        <v>60739</v>
      </c>
      <c r="E20264" t="s">
        <v>60740</v>
      </c>
      <c r="F20264" t="s">
        <v>808</v>
      </c>
      <c r="G20264" t="s">
        <v>110</v>
      </c>
      <c r="H20264">
        <v>92618</v>
      </c>
      <c r="I20264" t="s">
        <v>30</v>
      </c>
      <c r="J20264" t="s">
        <v>171</v>
      </c>
      <c r="K20264" t="s">
        <v>973</v>
      </c>
      <c r="N20264" t="s">
        <v>60741</v>
      </c>
      <c r="Q20264">
        <v>0</v>
      </c>
      <c r="R20264">
        <v>210</v>
      </c>
      <c r="S20264">
        <v>0</v>
      </c>
      <c r="T20264" t="s">
        <v>60742</v>
      </c>
    </row>
    <row r="20265" spans="1:20" customFormat="1" ht="15" x14ac:dyDescent="0.25">
      <c r="A20265" t="s">
        <v>24</v>
      </c>
      <c r="B20265" t="s">
        <v>5079</v>
      </c>
      <c r="C20265" t="str">
        <f>"A0062251"</f>
        <v>A0062251</v>
      </c>
      <c r="D20265" t="s">
        <v>60743</v>
      </c>
      <c r="E20265" t="s">
        <v>60744</v>
      </c>
      <c r="F20265" t="s">
        <v>10663</v>
      </c>
      <c r="G20265" t="s">
        <v>99</v>
      </c>
      <c r="H20265">
        <v>14850</v>
      </c>
      <c r="I20265" t="s">
        <v>30</v>
      </c>
      <c r="J20265" t="s">
        <v>171</v>
      </c>
      <c r="K20265" t="s">
        <v>973</v>
      </c>
      <c r="N20265" t="s">
        <v>3486</v>
      </c>
      <c r="O20265" t="s">
        <v>60745</v>
      </c>
      <c r="Q20265">
        <v>0</v>
      </c>
      <c r="R20265">
        <v>106</v>
      </c>
      <c r="S20265">
        <v>0</v>
      </c>
      <c r="T20265" t="s">
        <v>60746</v>
      </c>
    </row>
    <row r="20266" spans="1:20" customFormat="1" ht="15" x14ac:dyDescent="0.25">
      <c r="A20266" t="s">
        <v>24</v>
      </c>
      <c r="B20266" t="s">
        <v>1561</v>
      </c>
      <c r="C20266" t="str">
        <f>"A0086364"</f>
        <v>A0086364</v>
      </c>
      <c r="D20266" t="s">
        <v>60747</v>
      </c>
      <c r="E20266" t="s">
        <v>60748</v>
      </c>
      <c r="F20266" t="s">
        <v>12532</v>
      </c>
      <c r="G20266" t="s">
        <v>880</v>
      </c>
      <c r="H20266">
        <v>38305</v>
      </c>
      <c r="I20266" t="s">
        <v>30</v>
      </c>
      <c r="J20266" t="s">
        <v>171</v>
      </c>
      <c r="K20266" t="s">
        <v>973</v>
      </c>
      <c r="N20266" t="s">
        <v>60749</v>
      </c>
      <c r="Q20266">
        <v>0</v>
      </c>
      <c r="R20266">
        <v>94</v>
      </c>
      <c r="S20266">
        <v>0</v>
      </c>
      <c r="T20266" t="s">
        <v>60750</v>
      </c>
    </row>
    <row r="20267" spans="1:20" customFormat="1" ht="15" x14ac:dyDescent="0.25">
      <c r="A20267" t="s">
        <v>24</v>
      </c>
      <c r="B20267" t="s">
        <v>2955</v>
      </c>
      <c r="C20267" t="str">
        <f>"651U1"</f>
        <v>651U1</v>
      </c>
      <c r="D20267" t="s">
        <v>60751</v>
      </c>
      <c r="E20267" t="s">
        <v>60752</v>
      </c>
      <c r="F20267" t="s">
        <v>2443</v>
      </c>
      <c r="G20267" t="s">
        <v>81</v>
      </c>
      <c r="H20267">
        <v>32218</v>
      </c>
      <c r="I20267" t="s">
        <v>30</v>
      </c>
      <c r="J20267" t="s">
        <v>171</v>
      </c>
      <c r="K20267" t="s">
        <v>973</v>
      </c>
      <c r="N20267" t="s">
        <v>3486</v>
      </c>
      <c r="O20267" t="s">
        <v>2863</v>
      </c>
      <c r="Q20267">
        <v>0</v>
      </c>
      <c r="R20267">
        <v>81</v>
      </c>
      <c r="S20267">
        <v>0</v>
      </c>
      <c r="T20267" t="s">
        <v>60753</v>
      </c>
    </row>
    <row r="20268" spans="1:20" customFormat="1" ht="15" x14ac:dyDescent="0.25">
      <c r="A20268" t="s">
        <v>24</v>
      </c>
      <c r="B20268" t="s">
        <v>2955</v>
      </c>
      <c r="C20268" t="str">
        <f>"651ZN"</f>
        <v>651ZN</v>
      </c>
      <c r="D20268" t="s">
        <v>60754</v>
      </c>
      <c r="E20268" t="s">
        <v>60755</v>
      </c>
      <c r="F20268" t="s">
        <v>2443</v>
      </c>
      <c r="G20268" t="s">
        <v>81</v>
      </c>
      <c r="H20268">
        <v>32216</v>
      </c>
      <c r="I20268" t="s">
        <v>30</v>
      </c>
      <c r="J20268" t="s">
        <v>171</v>
      </c>
      <c r="K20268" t="s">
        <v>973</v>
      </c>
      <c r="N20268" t="s">
        <v>60756</v>
      </c>
      <c r="O20268" t="s">
        <v>60757</v>
      </c>
      <c r="Q20268">
        <v>0</v>
      </c>
      <c r="R20268">
        <v>137</v>
      </c>
      <c r="S20268">
        <v>0</v>
      </c>
      <c r="T20268" t="s">
        <v>60758</v>
      </c>
    </row>
    <row r="20269" spans="1:20" customFormat="1" ht="15" x14ac:dyDescent="0.25">
      <c r="A20269" t="s">
        <v>24</v>
      </c>
      <c r="B20269" t="s">
        <v>675</v>
      </c>
      <c r="C20269" t="str">
        <f>"311B3"</f>
        <v>311B3</v>
      </c>
      <c r="D20269" t="s">
        <v>60759</v>
      </c>
      <c r="E20269" t="s">
        <v>60760</v>
      </c>
      <c r="F20269" t="s">
        <v>2443</v>
      </c>
      <c r="G20269" t="s">
        <v>81</v>
      </c>
      <c r="H20269">
        <v>32224</v>
      </c>
      <c r="I20269" t="s">
        <v>30</v>
      </c>
      <c r="J20269" t="s">
        <v>171</v>
      </c>
      <c r="K20269" t="s">
        <v>973</v>
      </c>
      <c r="N20269" t="s">
        <v>60761</v>
      </c>
      <c r="Q20269">
        <v>0</v>
      </c>
      <c r="R20269">
        <v>146</v>
      </c>
      <c r="S20269">
        <v>0</v>
      </c>
      <c r="T20269" t="s">
        <v>60762</v>
      </c>
    </row>
    <row r="20270" spans="1:20" customFormat="1" ht="15" x14ac:dyDescent="0.25">
      <c r="A20270" t="s">
        <v>24</v>
      </c>
      <c r="B20270" t="s">
        <v>56867</v>
      </c>
      <c r="C20270" t="str">
        <f>"A0165472"</f>
        <v>A0165472</v>
      </c>
      <c r="D20270" t="s">
        <v>60763</v>
      </c>
      <c r="E20270" t="s">
        <v>60764</v>
      </c>
      <c r="F20270" t="s">
        <v>57752</v>
      </c>
      <c r="G20270" t="s">
        <v>137</v>
      </c>
      <c r="H20270">
        <v>65101</v>
      </c>
      <c r="I20270" t="s">
        <v>30</v>
      </c>
      <c r="J20270" t="s">
        <v>171</v>
      </c>
      <c r="K20270" t="s">
        <v>973</v>
      </c>
      <c r="N20270" t="s">
        <v>60765</v>
      </c>
      <c r="Q20270">
        <v>0</v>
      </c>
      <c r="R20270">
        <v>123</v>
      </c>
      <c r="S20270">
        <v>0</v>
      </c>
      <c r="T20270" t="s">
        <v>60766</v>
      </c>
    </row>
    <row r="20271" spans="1:20" customFormat="1" ht="15" x14ac:dyDescent="0.25">
      <c r="A20271" t="s">
        <v>24</v>
      </c>
      <c r="B20271" t="s">
        <v>675</v>
      </c>
      <c r="C20271" t="str">
        <f>"311DR"</f>
        <v>311DR</v>
      </c>
      <c r="D20271" t="s">
        <v>60767</v>
      </c>
      <c r="E20271" t="s">
        <v>60768</v>
      </c>
      <c r="F20271" t="s">
        <v>337</v>
      </c>
      <c r="G20271" t="s">
        <v>338</v>
      </c>
      <c r="H20271">
        <v>7310</v>
      </c>
      <c r="I20271" t="s">
        <v>30</v>
      </c>
      <c r="J20271" t="s">
        <v>171</v>
      </c>
      <c r="K20271" t="s">
        <v>973</v>
      </c>
      <c r="N20271" t="s">
        <v>60769</v>
      </c>
      <c r="O20271" t="s">
        <v>60770</v>
      </c>
      <c r="Q20271">
        <v>0</v>
      </c>
      <c r="R20271">
        <v>187</v>
      </c>
      <c r="S20271">
        <v>0</v>
      </c>
      <c r="T20271" t="s">
        <v>60771</v>
      </c>
    </row>
    <row r="20272" spans="1:20" customFormat="1" ht="15" x14ac:dyDescent="0.25">
      <c r="A20272" t="s">
        <v>24</v>
      </c>
      <c r="B20272" t="s">
        <v>1323</v>
      </c>
      <c r="C20272" t="str">
        <f>"A0088249"</f>
        <v>A0088249</v>
      </c>
      <c r="D20272" t="s">
        <v>60772</v>
      </c>
      <c r="E20272" t="s">
        <v>60773</v>
      </c>
      <c r="F20272" t="s">
        <v>60774</v>
      </c>
      <c r="G20272" t="s">
        <v>880</v>
      </c>
      <c r="H20272">
        <v>37604</v>
      </c>
      <c r="I20272" t="s">
        <v>30</v>
      </c>
      <c r="J20272" t="s">
        <v>171</v>
      </c>
      <c r="K20272" t="s">
        <v>973</v>
      </c>
      <c r="N20272" t="s">
        <v>60775</v>
      </c>
      <c r="Q20272">
        <v>0</v>
      </c>
      <c r="R20272">
        <v>90</v>
      </c>
      <c r="S20272">
        <v>0</v>
      </c>
      <c r="T20272" t="s">
        <v>60776</v>
      </c>
    </row>
    <row r="20273" spans="1:20" customFormat="1" ht="15" x14ac:dyDescent="0.25">
      <c r="A20273" t="s">
        <v>24</v>
      </c>
      <c r="B20273" t="s">
        <v>56277</v>
      </c>
      <c r="C20273" t="str">
        <f>"A0074369"</f>
        <v>A0074369</v>
      </c>
      <c r="D20273" t="s">
        <v>60777</v>
      </c>
      <c r="E20273" t="s">
        <v>60778</v>
      </c>
      <c r="F20273" t="s">
        <v>60779</v>
      </c>
      <c r="G20273" t="s">
        <v>925</v>
      </c>
      <c r="H20273">
        <v>66441</v>
      </c>
      <c r="I20273" t="s">
        <v>30</v>
      </c>
      <c r="J20273" t="s">
        <v>171</v>
      </c>
      <c r="K20273" t="s">
        <v>973</v>
      </c>
      <c r="N20273" t="s">
        <v>60780</v>
      </c>
      <c r="Q20273">
        <v>0</v>
      </c>
      <c r="R20273">
        <v>119</v>
      </c>
      <c r="S20273">
        <v>0</v>
      </c>
      <c r="T20273" t="s">
        <v>60781</v>
      </c>
    </row>
    <row r="20274" spans="1:20" customFormat="1" ht="15" x14ac:dyDescent="0.25">
      <c r="A20274" t="s">
        <v>24</v>
      </c>
      <c r="B20274" t="s">
        <v>1583</v>
      </c>
      <c r="C20274" t="str">
        <f>"38A27"</f>
        <v>38A27</v>
      </c>
      <c r="D20274" t="s">
        <v>75645</v>
      </c>
      <c r="E20274" t="s">
        <v>75646</v>
      </c>
      <c r="F20274" t="s">
        <v>6224</v>
      </c>
      <c r="G20274" t="s">
        <v>110</v>
      </c>
      <c r="H20274">
        <v>92260</v>
      </c>
      <c r="I20274" t="s">
        <v>30</v>
      </c>
      <c r="J20274" t="s">
        <v>2544</v>
      </c>
      <c r="K20274" t="s">
        <v>36059</v>
      </c>
      <c r="N20274" t="s">
        <v>75647</v>
      </c>
      <c r="O20274" t="s">
        <v>75648</v>
      </c>
      <c r="Q20274">
        <v>0</v>
      </c>
      <c r="R20274">
        <v>638</v>
      </c>
      <c r="S20274">
        <v>0</v>
      </c>
      <c r="T20274" t="s">
        <v>75649</v>
      </c>
    </row>
    <row r="20275" spans="1:20" customFormat="1" ht="15" x14ac:dyDescent="0.25">
      <c r="A20275" t="s">
        <v>24</v>
      </c>
      <c r="B20275" t="s">
        <v>675</v>
      </c>
      <c r="C20275" t="str">
        <f>"A0088580"</f>
        <v>A0088580</v>
      </c>
      <c r="D20275" t="s">
        <v>60782</v>
      </c>
      <c r="E20275" t="s">
        <v>60783</v>
      </c>
      <c r="F20275" t="s">
        <v>60784</v>
      </c>
      <c r="G20275" t="s">
        <v>81</v>
      </c>
      <c r="H20275">
        <v>33458</v>
      </c>
      <c r="I20275" t="s">
        <v>30</v>
      </c>
      <c r="J20275" t="s">
        <v>171</v>
      </c>
      <c r="K20275" t="s">
        <v>973</v>
      </c>
      <c r="N20275" t="s">
        <v>60785</v>
      </c>
      <c r="Q20275">
        <v>0</v>
      </c>
      <c r="R20275">
        <v>128</v>
      </c>
      <c r="S20275">
        <v>0</v>
      </c>
      <c r="T20275" t="s">
        <v>60786</v>
      </c>
    </row>
    <row r="20276" spans="1:20" customFormat="1" ht="15" x14ac:dyDescent="0.25">
      <c r="A20276" t="s">
        <v>24</v>
      </c>
      <c r="B20276" t="s">
        <v>6363</v>
      </c>
      <c r="C20276" t="str">
        <f>"A0096015"</f>
        <v>A0096015</v>
      </c>
      <c r="D20276" t="s">
        <v>60787</v>
      </c>
      <c r="E20276" t="s">
        <v>60788</v>
      </c>
      <c r="F20276" t="s">
        <v>5107</v>
      </c>
      <c r="G20276" t="s">
        <v>137</v>
      </c>
      <c r="H20276">
        <v>64108</v>
      </c>
      <c r="I20276" t="s">
        <v>30</v>
      </c>
      <c r="J20276" t="s">
        <v>171</v>
      </c>
      <c r="K20276" t="s">
        <v>973</v>
      </c>
      <c r="N20276" t="s">
        <v>60789</v>
      </c>
      <c r="O20276" t="s">
        <v>60790</v>
      </c>
      <c r="Q20276">
        <v>0</v>
      </c>
      <c r="R20276">
        <v>153</v>
      </c>
      <c r="S20276">
        <v>0</v>
      </c>
      <c r="T20276" t="s">
        <v>60791</v>
      </c>
    </row>
    <row r="20277" spans="1:20" customFormat="1" ht="15" x14ac:dyDescent="0.25">
      <c r="A20277" t="s">
        <v>24</v>
      </c>
      <c r="B20277" t="s">
        <v>675</v>
      </c>
      <c r="C20277" t="str">
        <f>"311VA"</f>
        <v>311VA</v>
      </c>
      <c r="D20277" t="s">
        <v>60792</v>
      </c>
      <c r="E20277" t="s">
        <v>60793</v>
      </c>
      <c r="F20277" t="s">
        <v>13414</v>
      </c>
      <c r="G20277" t="s">
        <v>925</v>
      </c>
      <c r="H20277">
        <v>66211</v>
      </c>
      <c r="I20277" t="s">
        <v>30</v>
      </c>
      <c r="J20277" t="s">
        <v>171</v>
      </c>
      <c r="K20277" t="s">
        <v>973</v>
      </c>
      <c r="N20277" t="s">
        <v>60794</v>
      </c>
      <c r="O20277" t="s">
        <v>60795</v>
      </c>
      <c r="Q20277">
        <v>0</v>
      </c>
      <c r="R20277">
        <v>168</v>
      </c>
      <c r="S20277">
        <v>0</v>
      </c>
      <c r="T20277" t="s">
        <v>60796</v>
      </c>
    </row>
    <row r="20278" spans="1:20" customFormat="1" ht="15" x14ac:dyDescent="0.25">
      <c r="A20278" t="s">
        <v>24</v>
      </c>
      <c r="B20278" t="s">
        <v>675</v>
      </c>
      <c r="C20278" t="str">
        <f>"311T7"</f>
        <v>311T7</v>
      </c>
      <c r="D20278" t="s">
        <v>60797</v>
      </c>
      <c r="E20278" t="s">
        <v>60798</v>
      </c>
      <c r="F20278" t="s">
        <v>13414</v>
      </c>
      <c r="G20278" t="s">
        <v>925</v>
      </c>
      <c r="H20278">
        <v>66210</v>
      </c>
      <c r="I20278" t="s">
        <v>30</v>
      </c>
      <c r="J20278" t="s">
        <v>171</v>
      </c>
      <c r="K20278" t="s">
        <v>973</v>
      </c>
      <c r="N20278" t="s">
        <v>60799</v>
      </c>
      <c r="O20278" t="s">
        <v>60800</v>
      </c>
      <c r="Q20278">
        <v>0</v>
      </c>
      <c r="R20278">
        <v>149</v>
      </c>
      <c r="S20278">
        <v>0</v>
      </c>
      <c r="T20278" t="s">
        <v>60801</v>
      </c>
    </row>
    <row r="20279" spans="1:20" customFormat="1" ht="15" x14ac:dyDescent="0.25">
      <c r="A20279" t="s">
        <v>24</v>
      </c>
      <c r="B20279" t="s">
        <v>1138</v>
      </c>
      <c r="C20279" t="str">
        <f>"A0069038"</f>
        <v>A0069038</v>
      </c>
      <c r="D20279" t="s">
        <v>60802</v>
      </c>
      <c r="E20279" t="s">
        <v>60803</v>
      </c>
      <c r="F20279" t="s">
        <v>58894</v>
      </c>
      <c r="G20279" t="s">
        <v>99</v>
      </c>
      <c r="H20279">
        <v>12401</v>
      </c>
      <c r="I20279" t="s">
        <v>30</v>
      </c>
      <c r="J20279" t="s">
        <v>171</v>
      </c>
      <c r="K20279" t="s">
        <v>973</v>
      </c>
      <c r="N20279" t="s">
        <v>60804</v>
      </c>
      <c r="Q20279">
        <v>0</v>
      </c>
      <c r="R20279">
        <v>90</v>
      </c>
      <c r="S20279">
        <v>0</v>
      </c>
      <c r="T20279" t="s">
        <v>60805</v>
      </c>
    </row>
    <row r="20280" spans="1:20" customFormat="1" ht="15" x14ac:dyDescent="0.25">
      <c r="A20280" t="s">
        <v>24</v>
      </c>
      <c r="B20280" t="s">
        <v>2005</v>
      </c>
      <c r="C20280" t="str">
        <f>"A0089316"</f>
        <v>A0089316</v>
      </c>
      <c r="D20280" t="s">
        <v>60810</v>
      </c>
      <c r="E20280" t="s">
        <v>60811</v>
      </c>
      <c r="F20280" t="s">
        <v>34051</v>
      </c>
      <c r="G20280" t="s">
        <v>880</v>
      </c>
      <c r="H20280">
        <v>37701</v>
      </c>
      <c r="I20280" t="s">
        <v>30</v>
      </c>
      <c r="J20280" t="s">
        <v>171</v>
      </c>
      <c r="K20280" t="s">
        <v>973</v>
      </c>
      <c r="N20280" t="s">
        <v>60812</v>
      </c>
      <c r="O20280" t="s">
        <v>60813</v>
      </c>
      <c r="Q20280">
        <v>0</v>
      </c>
      <c r="R20280">
        <v>95</v>
      </c>
      <c r="S20280">
        <v>0</v>
      </c>
      <c r="T20280" t="s">
        <v>60814</v>
      </c>
    </row>
    <row r="20281" spans="1:20" customFormat="1" ht="15" hidden="1" x14ac:dyDescent="0.25">
      <c r="A20281" t="s">
        <v>24</v>
      </c>
      <c r="B20281" t="s">
        <v>675</v>
      </c>
      <c r="C20281" t="str">
        <f>"337E6"</f>
        <v>337E6</v>
      </c>
      <c r="D20281" t="s">
        <v>75677</v>
      </c>
      <c r="E20281" t="s">
        <v>75678</v>
      </c>
      <c r="F20281" t="s">
        <v>13197</v>
      </c>
      <c r="G20281" t="s">
        <v>2206</v>
      </c>
      <c r="H20281" t="s">
        <v>75679</v>
      </c>
      <c r="I20281" t="s">
        <v>1459</v>
      </c>
      <c r="J20281" t="s">
        <v>162</v>
      </c>
      <c r="K20281" t="s">
        <v>1490</v>
      </c>
      <c r="Q20281">
        <v>0</v>
      </c>
      <c r="R20281">
        <v>459</v>
      </c>
      <c r="S20281">
        <v>0</v>
      </c>
      <c r="T20281" t="s">
        <v>75680</v>
      </c>
    </row>
    <row r="20282" spans="1:20" customFormat="1" ht="15" x14ac:dyDescent="0.25">
      <c r="A20282" t="s">
        <v>24</v>
      </c>
      <c r="B20282" t="s">
        <v>342</v>
      </c>
      <c r="C20282" t="str">
        <f>"651Y9"</f>
        <v>651Y9</v>
      </c>
      <c r="D20282" t="s">
        <v>60815</v>
      </c>
      <c r="E20282" t="s">
        <v>60816</v>
      </c>
      <c r="F20282" t="s">
        <v>12348</v>
      </c>
      <c r="G20282" t="s">
        <v>880</v>
      </c>
      <c r="H20282">
        <v>37922</v>
      </c>
      <c r="I20282" t="s">
        <v>30</v>
      </c>
      <c r="J20282" t="s">
        <v>171</v>
      </c>
      <c r="K20282" t="s">
        <v>973</v>
      </c>
      <c r="N20282" t="s">
        <v>60817</v>
      </c>
      <c r="O20282" t="s">
        <v>60818</v>
      </c>
      <c r="Q20282">
        <v>0</v>
      </c>
      <c r="R20282">
        <v>78</v>
      </c>
      <c r="S20282">
        <v>0</v>
      </c>
      <c r="T20282" t="s">
        <v>60819</v>
      </c>
    </row>
    <row r="20283" spans="1:20" customFormat="1" ht="15" hidden="1" x14ac:dyDescent="0.25">
      <c r="A20283" t="s">
        <v>24</v>
      </c>
      <c r="B20283" t="s">
        <v>675</v>
      </c>
      <c r="C20283" t="str">
        <f>"A0091071"</f>
        <v>A0091071</v>
      </c>
      <c r="D20283" t="s">
        <v>75686</v>
      </c>
      <c r="E20283" t="s">
        <v>75687</v>
      </c>
      <c r="F20283" t="s">
        <v>3145</v>
      </c>
      <c r="G20283" t="s">
        <v>8864</v>
      </c>
      <c r="I20283" t="s">
        <v>3147</v>
      </c>
      <c r="J20283" t="s">
        <v>162</v>
      </c>
      <c r="K20283" t="s">
        <v>1490</v>
      </c>
      <c r="N20283" t="s">
        <v>55536</v>
      </c>
      <c r="Q20283">
        <v>0</v>
      </c>
      <c r="R20283">
        <v>126</v>
      </c>
      <c r="S20283">
        <v>0</v>
      </c>
      <c r="T20283" t="s">
        <v>75688</v>
      </c>
    </row>
    <row r="20284" spans="1:20" customFormat="1" ht="15" x14ac:dyDescent="0.25">
      <c r="A20284" t="s">
        <v>24</v>
      </c>
      <c r="B20284" t="s">
        <v>7339</v>
      </c>
      <c r="C20284" t="str">
        <f>"A0090212"</f>
        <v>A0090212</v>
      </c>
      <c r="D20284" t="s">
        <v>60825</v>
      </c>
      <c r="E20284" t="s">
        <v>60826</v>
      </c>
      <c r="F20284" t="s">
        <v>3154</v>
      </c>
      <c r="G20284" t="s">
        <v>381</v>
      </c>
      <c r="H20284">
        <v>47905</v>
      </c>
      <c r="I20284" t="s">
        <v>30</v>
      </c>
      <c r="J20284" t="s">
        <v>171</v>
      </c>
      <c r="K20284" t="s">
        <v>973</v>
      </c>
      <c r="N20284" t="s">
        <v>60827</v>
      </c>
      <c r="O20284" t="s">
        <v>60828</v>
      </c>
      <c r="Q20284">
        <v>0</v>
      </c>
      <c r="R20284">
        <v>90</v>
      </c>
      <c r="S20284">
        <v>0</v>
      </c>
      <c r="T20284" t="s">
        <v>60829</v>
      </c>
    </row>
    <row r="20285" spans="1:20" customFormat="1" ht="15" x14ac:dyDescent="0.25">
      <c r="A20285" t="s">
        <v>24</v>
      </c>
      <c r="B20285" t="s">
        <v>60830</v>
      </c>
      <c r="C20285" t="str">
        <f>"A0147564"</f>
        <v>A0147564</v>
      </c>
      <c r="D20285" t="s">
        <v>60831</v>
      </c>
      <c r="E20285" t="s">
        <v>60832</v>
      </c>
      <c r="F20285" t="s">
        <v>3154</v>
      </c>
      <c r="G20285" t="s">
        <v>1170</v>
      </c>
      <c r="H20285">
        <v>70508</v>
      </c>
      <c r="I20285" t="s">
        <v>30</v>
      </c>
      <c r="J20285" t="s">
        <v>171</v>
      </c>
      <c r="K20285" t="s">
        <v>973</v>
      </c>
      <c r="N20285" t="s">
        <v>60833</v>
      </c>
      <c r="Q20285">
        <v>0</v>
      </c>
      <c r="R20285">
        <v>94</v>
      </c>
      <c r="S20285">
        <v>0</v>
      </c>
      <c r="T20285" t="s">
        <v>60834</v>
      </c>
    </row>
    <row r="20286" spans="1:20" customFormat="1" ht="15" x14ac:dyDescent="0.25">
      <c r="A20286" t="s">
        <v>24</v>
      </c>
      <c r="B20286" t="s">
        <v>1317</v>
      </c>
      <c r="C20286" t="str">
        <f>"A0094614"</f>
        <v>A0094614</v>
      </c>
      <c r="D20286" t="s">
        <v>60835</v>
      </c>
      <c r="E20286" t="s">
        <v>60836</v>
      </c>
      <c r="F20286" t="s">
        <v>60837</v>
      </c>
      <c r="G20286" t="s">
        <v>1170</v>
      </c>
      <c r="H20286">
        <v>70601</v>
      </c>
      <c r="I20286" t="s">
        <v>30</v>
      </c>
      <c r="J20286" t="s">
        <v>171</v>
      </c>
      <c r="K20286" t="s">
        <v>973</v>
      </c>
      <c r="N20286" t="s">
        <v>60838</v>
      </c>
      <c r="O20286" t="s">
        <v>60839</v>
      </c>
      <c r="Q20286">
        <v>0</v>
      </c>
      <c r="R20286">
        <v>110</v>
      </c>
      <c r="S20286">
        <v>0</v>
      </c>
      <c r="T20286" t="s">
        <v>60840</v>
      </c>
    </row>
    <row r="20287" spans="1:20" customFormat="1" ht="15" x14ac:dyDescent="0.25">
      <c r="A20287" t="s">
        <v>24</v>
      </c>
      <c r="B20287" t="s">
        <v>5435</v>
      </c>
      <c r="C20287" t="str">
        <f>"A0096452"</f>
        <v>A0096452</v>
      </c>
      <c r="D20287" t="s">
        <v>60841</v>
      </c>
      <c r="E20287" t="s">
        <v>60842</v>
      </c>
      <c r="F20287" t="s">
        <v>60843</v>
      </c>
      <c r="G20287" t="s">
        <v>99</v>
      </c>
      <c r="H20287">
        <v>12845</v>
      </c>
      <c r="I20287" t="s">
        <v>30</v>
      </c>
      <c r="J20287" t="s">
        <v>171</v>
      </c>
      <c r="K20287" t="s">
        <v>973</v>
      </c>
      <c r="N20287" t="s">
        <v>60844</v>
      </c>
      <c r="Q20287">
        <v>0</v>
      </c>
      <c r="R20287">
        <v>120</v>
      </c>
      <c r="S20287">
        <v>0</v>
      </c>
      <c r="T20287" t="s">
        <v>60845</v>
      </c>
    </row>
    <row r="20288" spans="1:20" customFormat="1" ht="15" x14ac:dyDescent="0.25">
      <c r="A20288" t="s">
        <v>24</v>
      </c>
      <c r="B20288" t="s">
        <v>34738</v>
      </c>
      <c r="C20288" t="str">
        <f>"A0099227"</f>
        <v>A0099227</v>
      </c>
      <c r="D20288" t="s">
        <v>60846</v>
      </c>
      <c r="E20288" t="s">
        <v>60847</v>
      </c>
      <c r="F20288" t="s">
        <v>60848</v>
      </c>
      <c r="G20288" t="s">
        <v>52</v>
      </c>
      <c r="H20288">
        <v>77566</v>
      </c>
      <c r="I20288" t="s">
        <v>30</v>
      </c>
      <c r="J20288" t="s">
        <v>171</v>
      </c>
      <c r="K20288" t="s">
        <v>973</v>
      </c>
      <c r="N20288" t="s">
        <v>60849</v>
      </c>
      <c r="Q20288">
        <v>0</v>
      </c>
      <c r="R20288">
        <v>116</v>
      </c>
      <c r="S20288">
        <v>0</v>
      </c>
      <c r="T20288" t="s">
        <v>60850</v>
      </c>
    </row>
    <row r="20289" spans="1:20" customFormat="1" ht="15" x14ac:dyDescent="0.25">
      <c r="A20289" t="s">
        <v>24</v>
      </c>
      <c r="B20289" t="s">
        <v>1583</v>
      </c>
      <c r="C20289" t="str">
        <f>"337G8"</f>
        <v>337G8</v>
      </c>
      <c r="D20289" t="s">
        <v>75713</v>
      </c>
      <c r="E20289" t="s">
        <v>75714</v>
      </c>
      <c r="F20289" t="s">
        <v>985</v>
      </c>
      <c r="G20289" t="s">
        <v>81</v>
      </c>
      <c r="H20289">
        <v>32821</v>
      </c>
      <c r="I20289" t="s">
        <v>30</v>
      </c>
      <c r="J20289" t="s">
        <v>2544</v>
      </c>
      <c r="K20289" t="s">
        <v>36059</v>
      </c>
      <c r="N20289" t="s">
        <v>75715</v>
      </c>
      <c r="P20289" t="s">
        <v>3998</v>
      </c>
      <c r="Q20289">
        <v>1</v>
      </c>
      <c r="R20289">
        <v>0</v>
      </c>
      <c r="S20289">
        <v>0</v>
      </c>
      <c r="T20289" t="s">
        <v>75716</v>
      </c>
    </row>
    <row r="20290" spans="1:20" customFormat="1" ht="15" x14ac:dyDescent="0.25">
      <c r="A20290" t="s">
        <v>24</v>
      </c>
      <c r="B20290" t="s">
        <v>34738</v>
      </c>
      <c r="C20290" t="str">
        <f>"651IW"</f>
        <v>651IW</v>
      </c>
      <c r="D20290" t="s">
        <v>60851</v>
      </c>
      <c r="E20290" t="s">
        <v>60852</v>
      </c>
      <c r="F20290" t="s">
        <v>9831</v>
      </c>
      <c r="G20290" t="s">
        <v>214</v>
      </c>
      <c r="H20290">
        <v>28078</v>
      </c>
      <c r="I20290" t="s">
        <v>30</v>
      </c>
      <c r="J20290" t="s">
        <v>171</v>
      </c>
      <c r="K20290" t="s">
        <v>973</v>
      </c>
      <c r="N20290" t="s">
        <v>60853</v>
      </c>
      <c r="Q20290">
        <v>0</v>
      </c>
      <c r="R20290">
        <v>90</v>
      </c>
      <c r="S20290">
        <v>0</v>
      </c>
      <c r="T20290" t="s">
        <v>60854</v>
      </c>
    </row>
    <row r="20291" spans="1:20" customFormat="1" ht="15" x14ac:dyDescent="0.25">
      <c r="A20291" t="s">
        <v>24</v>
      </c>
      <c r="B20291" t="s">
        <v>1323</v>
      </c>
      <c r="C20291" t="str">
        <f>"6515E"</f>
        <v>6515E</v>
      </c>
      <c r="D20291" t="s">
        <v>60855</v>
      </c>
      <c r="E20291" t="s">
        <v>60856</v>
      </c>
      <c r="F20291" t="s">
        <v>55056</v>
      </c>
      <c r="G20291" t="s">
        <v>81</v>
      </c>
      <c r="H20291">
        <v>33803</v>
      </c>
      <c r="I20291" t="s">
        <v>30</v>
      </c>
      <c r="J20291" t="s">
        <v>171</v>
      </c>
      <c r="K20291" t="s">
        <v>973</v>
      </c>
      <c r="N20291" t="s">
        <v>3598</v>
      </c>
      <c r="Q20291">
        <v>0</v>
      </c>
      <c r="R20291">
        <v>78</v>
      </c>
      <c r="S20291">
        <v>0</v>
      </c>
      <c r="T20291" t="s">
        <v>60857</v>
      </c>
    </row>
    <row r="20292" spans="1:20" customFormat="1" ht="15" x14ac:dyDescent="0.25">
      <c r="A20292" t="s">
        <v>24</v>
      </c>
      <c r="B20292" t="s">
        <v>60414</v>
      </c>
      <c r="C20292" t="str">
        <f>"A0074602"</f>
        <v>A0074602</v>
      </c>
      <c r="D20292" t="s">
        <v>60858</v>
      </c>
      <c r="E20292" t="s">
        <v>60859</v>
      </c>
      <c r="F20292" t="s">
        <v>1320</v>
      </c>
      <c r="G20292" t="s">
        <v>103</v>
      </c>
      <c r="H20292">
        <v>17601</v>
      </c>
      <c r="I20292" t="s">
        <v>30</v>
      </c>
      <c r="J20292" t="s">
        <v>171</v>
      </c>
      <c r="K20292" t="s">
        <v>973</v>
      </c>
      <c r="N20292" t="s">
        <v>60860</v>
      </c>
      <c r="Q20292">
        <v>0</v>
      </c>
      <c r="R20292">
        <v>133</v>
      </c>
      <c r="S20292">
        <v>0</v>
      </c>
      <c r="T20292" t="s">
        <v>60861</v>
      </c>
    </row>
    <row r="20293" spans="1:20" customFormat="1" ht="15" x14ac:dyDescent="0.25">
      <c r="A20293" t="s">
        <v>24</v>
      </c>
      <c r="B20293" t="s">
        <v>75733</v>
      </c>
      <c r="C20293" t="str">
        <f>"52966"</f>
        <v>52966</v>
      </c>
      <c r="D20293" t="s">
        <v>75734</v>
      </c>
      <c r="E20293" t="s">
        <v>75735</v>
      </c>
      <c r="F20293" t="s">
        <v>13562</v>
      </c>
      <c r="G20293" t="s">
        <v>123</v>
      </c>
      <c r="H20293">
        <v>20817</v>
      </c>
      <c r="I20293" t="s">
        <v>30</v>
      </c>
      <c r="J20293" t="s">
        <v>1004</v>
      </c>
      <c r="K20293" t="s">
        <v>75736</v>
      </c>
      <c r="Q20293">
        <v>0</v>
      </c>
      <c r="R20293">
        <v>0</v>
      </c>
      <c r="S20293">
        <v>0</v>
      </c>
      <c r="T20293" t="s">
        <v>75737</v>
      </c>
    </row>
    <row r="20294" spans="1:20" customFormat="1" ht="15" x14ac:dyDescent="0.25">
      <c r="A20294" t="s">
        <v>24</v>
      </c>
      <c r="B20294" t="s">
        <v>675</v>
      </c>
      <c r="C20294" t="str">
        <f>"311D2"</f>
        <v>311D2</v>
      </c>
      <c r="D20294" t="s">
        <v>60862</v>
      </c>
      <c r="E20294" t="s">
        <v>60863</v>
      </c>
      <c r="F20294" t="s">
        <v>7484</v>
      </c>
      <c r="G20294" t="s">
        <v>123</v>
      </c>
      <c r="H20294">
        <v>20785</v>
      </c>
      <c r="I20294" t="s">
        <v>30</v>
      </c>
      <c r="J20294" t="s">
        <v>171</v>
      </c>
      <c r="K20294" t="s">
        <v>973</v>
      </c>
      <c r="N20294" t="s">
        <v>60864</v>
      </c>
      <c r="O20294" t="s">
        <v>60865</v>
      </c>
      <c r="Q20294">
        <v>0</v>
      </c>
      <c r="R20294">
        <v>150</v>
      </c>
      <c r="S20294">
        <v>0</v>
      </c>
      <c r="T20294" t="s">
        <v>60866</v>
      </c>
    </row>
    <row r="20295" spans="1:20" customFormat="1" ht="15" x14ac:dyDescent="0.25">
      <c r="A20295" t="s">
        <v>24</v>
      </c>
      <c r="B20295" t="s">
        <v>34033</v>
      </c>
      <c r="C20295" t="str">
        <f>"6516M"</f>
        <v>6516M</v>
      </c>
      <c r="D20295" t="s">
        <v>60867</v>
      </c>
      <c r="E20295" t="s">
        <v>60868</v>
      </c>
      <c r="F20295" t="s">
        <v>5075</v>
      </c>
      <c r="G20295" t="s">
        <v>117</v>
      </c>
      <c r="H20295">
        <v>48912</v>
      </c>
      <c r="I20295" t="s">
        <v>30</v>
      </c>
      <c r="J20295" t="s">
        <v>171</v>
      </c>
      <c r="K20295" t="s">
        <v>973</v>
      </c>
      <c r="N20295" t="s">
        <v>60869</v>
      </c>
      <c r="O20295" t="s">
        <v>60870</v>
      </c>
      <c r="Q20295">
        <v>0</v>
      </c>
      <c r="R20295">
        <v>129</v>
      </c>
      <c r="S20295">
        <v>0</v>
      </c>
      <c r="T20295" t="s">
        <v>60871</v>
      </c>
    </row>
    <row r="20296" spans="1:20" customFormat="1" ht="15" x14ac:dyDescent="0.25">
      <c r="A20296" t="s">
        <v>24</v>
      </c>
      <c r="B20296" t="s">
        <v>4341</v>
      </c>
      <c r="C20296" t="str">
        <f>"A0153125"</f>
        <v>A0153125</v>
      </c>
      <c r="D20296" t="s">
        <v>60872</v>
      </c>
      <c r="E20296" t="s">
        <v>60873</v>
      </c>
      <c r="F20296" t="s">
        <v>60874</v>
      </c>
      <c r="G20296" t="s">
        <v>117</v>
      </c>
      <c r="H20296">
        <v>48864</v>
      </c>
      <c r="I20296" t="s">
        <v>30</v>
      </c>
      <c r="J20296" t="s">
        <v>171</v>
      </c>
      <c r="K20296" t="s">
        <v>973</v>
      </c>
      <c r="N20296" t="s">
        <v>60875</v>
      </c>
      <c r="Q20296">
        <v>0</v>
      </c>
      <c r="R20296">
        <v>105</v>
      </c>
      <c r="S20296">
        <v>0</v>
      </c>
      <c r="T20296" t="s">
        <v>60876</v>
      </c>
    </row>
    <row r="20297" spans="1:20" customFormat="1" ht="15" x14ac:dyDescent="0.25">
      <c r="A20297" t="s">
        <v>24</v>
      </c>
      <c r="B20297" t="s">
        <v>675</v>
      </c>
      <c r="C20297" t="str">
        <f>"311K1"</f>
        <v>311K1</v>
      </c>
      <c r="D20297" t="s">
        <v>60881</v>
      </c>
      <c r="E20297" t="s">
        <v>60882</v>
      </c>
      <c r="F20297" t="s">
        <v>60883</v>
      </c>
      <c r="G20297" t="s">
        <v>110</v>
      </c>
      <c r="H20297">
        <v>94939</v>
      </c>
      <c r="I20297" t="s">
        <v>30</v>
      </c>
      <c r="J20297" t="s">
        <v>171</v>
      </c>
      <c r="K20297" t="s">
        <v>973</v>
      </c>
      <c r="N20297" t="s">
        <v>60884</v>
      </c>
      <c r="Q20297">
        <v>0</v>
      </c>
      <c r="R20297">
        <v>146</v>
      </c>
      <c r="S20297">
        <v>0</v>
      </c>
      <c r="T20297" t="s">
        <v>60885</v>
      </c>
    </row>
    <row r="20298" spans="1:20" customFormat="1" ht="15" x14ac:dyDescent="0.25">
      <c r="A20298" t="s">
        <v>24</v>
      </c>
      <c r="B20298" t="s">
        <v>675</v>
      </c>
      <c r="C20298" t="str">
        <f>"311M2"</f>
        <v>311M2</v>
      </c>
      <c r="D20298" t="s">
        <v>60886</v>
      </c>
      <c r="E20298" t="s">
        <v>60887</v>
      </c>
      <c r="F20298" t="s">
        <v>4829</v>
      </c>
      <c r="G20298" t="s">
        <v>52</v>
      </c>
      <c r="H20298">
        <v>75038</v>
      </c>
      <c r="I20298" t="s">
        <v>30</v>
      </c>
      <c r="J20298" t="s">
        <v>171</v>
      </c>
      <c r="K20298" t="s">
        <v>973</v>
      </c>
      <c r="N20298" t="s">
        <v>60888</v>
      </c>
      <c r="O20298" t="s">
        <v>60889</v>
      </c>
      <c r="Q20298">
        <v>0</v>
      </c>
      <c r="R20298">
        <v>147</v>
      </c>
      <c r="S20298">
        <v>0</v>
      </c>
      <c r="T20298" t="s">
        <v>60890</v>
      </c>
    </row>
    <row r="20299" spans="1:20" customFormat="1" ht="15" x14ac:dyDescent="0.25">
      <c r="A20299" t="s">
        <v>24</v>
      </c>
      <c r="B20299" t="s">
        <v>675</v>
      </c>
      <c r="C20299" t="str">
        <f>"311L6"</f>
        <v>311L6</v>
      </c>
      <c r="D20299" t="s">
        <v>60891</v>
      </c>
      <c r="E20299" t="s">
        <v>60892</v>
      </c>
      <c r="F20299" t="s">
        <v>220</v>
      </c>
      <c r="G20299" t="s">
        <v>221</v>
      </c>
      <c r="H20299">
        <v>89109</v>
      </c>
      <c r="I20299" t="s">
        <v>30</v>
      </c>
      <c r="J20299" t="s">
        <v>171</v>
      </c>
      <c r="K20299" t="s">
        <v>973</v>
      </c>
      <c r="N20299" t="s">
        <v>60893</v>
      </c>
      <c r="O20299" t="s">
        <v>60894</v>
      </c>
      <c r="Q20299">
        <v>0</v>
      </c>
      <c r="R20299">
        <v>149</v>
      </c>
      <c r="S20299">
        <v>0</v>
      </c>
      <c r="T20299" t="s">
        <v>60895</v>
      </c>
    </row>
    <row r="20300" spans="1:20" customFormat="1" ht="15" x14ac:dyDescent="0.25">
      <c r="A20300" t="s">
        <v>24</v>
      </c>
      <c r="B20300" t="s">
        <v>5843</v>
      </c>
      <c r="C20300" t="str">
        <f>"311MT"</f>
        <v>311MT</v>
      </c>
      <c r="D20300" t="s">
        <v>60896</v>
      </c>
      <c r="E20300" t="s">
        <v>60897</v>
      </c>
      <c r="F20300" t="s">
        <v>3353</v>
      </c>
      <c r="G20300" t="s">
        <v>221</v>
      </c>
      <c r="H20300">
        <v>89014</v>
      </c>
      <c r="I20300" t="s">
        <v>30</v>
      </c>
      <c r="J20300" t="s">
        <v>171</v>
      </c>
      <c r="K20300" t="s">
        <v>973</v>
      </c>
      <c r="N20300" t="s">
        <v>60898</v>
      </c>
      <c r="O20300" t="s">
        <v>60899</v>
      </c>
      <c r="Q20300">
        <v>0</v>
      </c>
      <c r="R20300">
        <v>155</v>
      </c>
      <c r="S20300">
        <v>0</v>
      </c>
      <c r="T20300" t="s">
        <v>60900</v>
      </c>
    </row>
    <row r="20301" spans="1:20" customFormat="1" ht="15" x14ac:dyDescent="0.25">
      <c r="A20301" t="s">
        <v>24</v>
      </c>
      <c r="B20301" t="s">
        <v>675</v>
      </c>
      <c r="C20301" t="str">
        <f>"A0066789"</f>
        <v>A0066789</v>
      </c>
      <c r="D20301" t="s">
        <v>60901</v>
      </c>
      <c r="E20301" t="s">
        <v>60902</v>
      </c>
      <c r="F20301" t="s">
        <v>15731</v>
      </c>
      <c r="G20301" t="s">
        <v>338</v>
      </c>
      <c r="H20301">
        <v>8833</v>
      </c>
      <c r="I20301" t="s">
        <v>30</v>
      </c>
      <c r="J20301" t="s">
        <v>171</v>
      </c>
      <c r="K20301" t="s">
        <v>973</v>
      </c>
      <c r="N20301" t="s">
        <v>60903</v>
      </c>
      <c r="O20301" t="s">
        <v>60904</v>
      </c>
      <c r="Q20301">
        <v>0</v>
      </c>
      <c r="R20301">
        <v>125</v>
      </c>
      <c r="S20301">
        <v>0</v>
      </c>
      <c r="T20301" t="s">
        <v>60905</v>
      </c>
    </row>
    <row r="20302" spans="1:20" customFormat="1" ht="15" x14ac:dyDescent="0.25">
      <c r="A20302" t="s">
        <v>24</v>
      </c>
      <c r="B20302" t="s">
        <v>1561</v>
      </c>
      <c r="C20302" t="str">
        <f>"A0093449"</f>
        <v>A0093449</v>
      </c>
      <c r="D20302" t="s">
        <v>60906</v>
      </c>
      <c r="E20302" t="s">
        <v>60907</v>
      </c>
      <c r="F20302" t="s">
        <v>60908</v>
      </c>
      <c r="G20302" t="s">
        <v>153</v>
      </c>
      <c r="H20302">
        <v>84043</v>
      </c>
      <c r="I20302" t="s">
        <v>30</v>
      </c>
      <c r="J20302" t="s">
        <v>171</v>
      </c>
      <c r="K20302" t="s">
        <v>973</v>
      </c>
      <c r="N20302" t="s">
        <v>60909</v>
      </c>
      <c r="Q20302">
        <v>0</v>
      </c>
      <c r="R20302">
        <v>97</v>
      </c>
      <c r="S20302">
        <v>0</v>
      </c>
      <c r="T20302" t="s">
        <v>60910</v>
      </c>
    </row>
    <row r="20303" spans="1:20" customFormat="1" ht="15" x14ac:dyDescent="0.25">
      <c r="A20303" t="s">
        <v>24</v>
      </c>
      <c r="B20303" t="s">
        <v>1561</v>
      </c>
      <c r="C20303" t="str">
        <f>"A0087272"</f>
        <v>A0087272</v>
      </c>
      <c r="D20303" t="s">
        <v>60916</v>
      </c>
      <c r="E20303" t="s">
        <v>60917</v>
      </c>
      <c r="F20303" t="s">
        <v>58906</v>
      </c>
      <c r="G20303" t="s">
        <v>65</v>
      </c>
      <c r="H20303">
        <v>45804</v>
      </c>
      <c r="I20303" t="s">
        <v>30</v>
      </c>
      <c r="J20303" t="s">
        <v>171</v>
      </c>
      <c r="K20303" t="s">
        <v>973</v>
      </c>
      <c r="N20303" t="s">
        <v>60918</v>
      </c>
      <c r="O20303" t="s">
        <v>60919</v>
      </c>
      <c r="Q20303">
        <v>0</v>
      </c>
      <c r="R20303">
        <v>99</v>
      </c>
      <c r="S20303">
        <v>0</v>
      </c>
      <c r="T20303" t="s">
        <v>60920</v>
      </c>
    </row>
    <row r="20304" spans="1:20" customFormat="1" ht="15" x14ac:dyDescent="0.25">
      <c r="A20304" t="s">
        <v>24</v>
      </c>
      <c r="B20304" t="s">
        <v>675</v>
      </c>
      <c r="C20304" t="str">
        <f>"311D7"</f>
        <v>311D7</v>
      </c>
      <c r="D20304" t="s">
        <v>60921</v>
      </c>
      <c r="E20304" t="s">
        <v>60922</v>
      </c>
      <c r="F20304" t="s">
        <v>60923</v>
      </c>
      <c r="G20304" t="s">
        <v>338</v>
      </c>
      <c r="H20304">
        <v>7701</v>
      </c>
      <c r="I20304" t="s">
        <v>30</v>
      </c>
      <c r="J20304" t="s">
        <v>171</v>
      </c>
      <c r="K20304" t="s">
        <v>973</v>
      </c>
      <c r="N20304" t="s">
        <v>60924</v>
      </c>
      <c r="O20304" t="s">
        <v>60925</v>
      </c>
      <c r="Q20304">
        <v>0</v>
      </c>
      <c r="R20304">
        <v>146</v>
      </c>
      <c r="S20304">
        <v>0</v>
      </c>
      <c r="T20304" t="s">
        <v>60926</v>
      </c>
    </row>
    <row r="20305" spans="1:20" customFormat="1" ht="15" x14ac:dyDescent="0.25">
      <c r="A20305" t="s">
        <v>24</v>
      </c>
      <c r="B20305" t="s">
        <v>342</v>
      </c>
      <c r="C20305" t="str">
        <f>"A0073698"</f>
        <v>A0073698</v>
      </c>
      <c r="D20305" t="s">
        <v>60927</v>
      </c>
      <c r="E20305" t="s">
        <v>60928</v>
      </c>
      <c r="F20305" t="s">
        <v>10174</v>
      </c>
      <c r="G20305" t="s">
        <v>85</v>
      </c>
      <c r="H20305">
        <v>72201</v>
      </c>
      <c r="I20305" t="s">
        <v>30</v>
      </c>
      <c r="J20305" t="s">
        <v>171</v>
      </c>
      <c r="K20305" t="s">
        <v>973</v>
      </c>
      <c r="N20305" t="s">
        <v>60929</v>
      </c>
      <c r="O20305" t="s">
        <v>60930</v>
      </c>
      <c r="Q20305">
        <v>0</v>
      </c>
      <c r="R20305">
        <v>120</v>
      </c>
      <c r="S20305">
        <v>0</v>
      </c>
      <c r="T20305" t="s">
        <v>60931</v>
      </c>
    </row>
    <row r="20306" spans="1:20" customFormat="1" ht="15" x14ac:dyDescent="0.25">
      <c r="A20306" t="s">
        <v>24</v>
      </c>
      <c r="B20306" t="s">
        <v>675</v>
      </c>
      <c r="C20306" t="str">
        <f>"311MC"</f>
        <v>311MC</v>
      </c>
      <c r="D20306" t="s">
        <v>60932</v>
      </c>
      <c r="E20306" t="s">
        <v>60933</v>
      </c>
      <c r="F20306" t="s">
        <v>693</v>
      </c>
      <c r="G20306" t="s">
        <v>110</v>
      </c>
      <c r="H20306">
        <v>90802</v>
      </c>
      <c r="I20306" t="s">
        <v>30</v>
      </c>
      <c r="J20306" t="s">
        <v>171</v>
      </c>
      <c r="K20306" t="s">
        <v>973</v>
      </c>
      <c r="N20306" t="s">
        <v>60934</v>
      </c>
      <c r="Q20306">
        <v>0</v>
      </c>
      <c r="R20306">
        <v>216</v>
      </c>
      <c r="S20306">
        <v>0</v>
      </c>
      <c r="T20306" t="s">
        <v>60935</v>
      </c>
    </row>
    <row r="20307" spans="1:20" customFormat="1" ht="15" x14ac:dyDescent="0.25">
      <c r="A20307" t="s">
        <v>24</v>
      </c>
      <c r="B20307" t="s">
        <v>2528</v>
      </c>
      <c r="C20307" t="str">
        <f>"6519Q"</f>
        <v>6519Q</v>
      </c>
      <c r="D20307" t="s">
        <v>60936</v>
      </c>
      <c r="E20307" t="s">
        <v>60937</v>
      </c>
      <c r="F20307" t="s">
        <v>60938</v>
      </c>
      <c r="G20307" t="s">
        <v>99</v>
      </c>
      <c r="H20307">
        <v>11779</v>
      </c>
      <c r="I20307" t="s">
        <v>30</v>
      </c>
      <c r="J20307" t="s">
        <v>171</v>
      </c>
      <c r="K20307" t="s">
        <v>973</v>
      </c>
      <c r="N20307" t="s">
        <v>60939</v>
      </c>
      <c r="Q20307">
        <v>0</v>
      </c>
      <c r="R20307">
        <v>154</v>
      </c>
      <c r="S20307">
        <v>0</v>
      </c>
      <c r="T20307" t="s">
        <v>60940</v>
      </c>
    </row>
    <row r="20308" spans="1:20" customFormat="1" ht="15" x14ac:dyDescent="0.25">
      <c r="A20308" t="s">
        <v>24</v>
      </c>
      <c r="B20308" t="s">
        <v>675</v>
      </c>
      <c r="C20308" t="str">
        <f>"311L8"</f>
        <v>311L8</v>
      </c>
      <c r="D20308" t="s">
        <v>60941</v>
      </c>
      <c r="E20308" t="s">
        <v>60942</v>
      </c>
      <c r="F20308" t="s">
        <v>60943</v>
      </c>
      <c r="G20308" t="s">
        <v>110</v>
      </c>
      <c r="H20308">
        <v>91745</v>
      </c>
      <c r="I20308" t="s">
        <v>30</v>
      </c>
      <c r="J20308" t="s">
        <v>171</v>
      </c>
      <c r="K20308" t="s">
        <v>973</v>
      </c>
      <c r="N20308" t="s">
        <v>60944</v>
      </c>
      <c r="Q20308">
        <v>0</v>
      </c>
      <c r="R20308">
        <v>150</v>
      </c>
      <c r="S20308">
        <v>0</v>
      </c>
      <c r="T20308" t="s">
        <v>60945</v>
      </c>
    </row>
    <row r="20309" spans="1:20" customFormat="1" ht="15" x14ac:dyDescent="0.25">
      <c r="A20309" t="s">
        <v>24</v>
      </c>
      <c r="B20309" t="s">
        <v>675</v>
      </c>
      <c r="C20309" t="str">
        <f>"311V4"</f>
        <v>311V4</v>
      </c>
      <c r="D20309" t="s">
        <v>60946</v>
      </c>
      <c r="E20309" t="s">
        <v>60947</v>
      </c>
      <c r="F20309" t="s">
        <v>3466</v>
      </c>
      <c r="G20309" t="s">
        <v>840</v>
      </c>
      <c r="H20309">
        <v>40222</v>
      </c>
      <c r="I20309" t="s">
        <v>30</v>
      </c>
      <c r="J20309" t="s">
        <v>171</v>
      </c>
      <c r="K20309" t="s">
        <v>973</v>
      </c>
      <c r="N20309" t="s">
        <v>60948</v>
      </c>
      <c r="O20309" t="s">
        <v>60949</v>
      </c>
      <c r="Q20309">
        <v>0</v>
      </c>
      <c r="R20309">
        <v>151</v>
      </c>
      <c r="S20309">
        <v>0</v>
      </c>
      <c r="T20309" t="s">
        <v>60950</v>
      </c>
    </row>
    <row r="20310" spans="1:20" customFormat="1" ht="15" x14ac:dyDescent="0.25">
      <c r="A20310" t="s">
        <v>24</v>
      </c>
      <c r="B20310" t="s">
        <v>2955</v>
      </c>
      <c r="C20310" t="str">
        <f>"6512N"</f>
        <v>6512N</v>
      </c>
      <c r="D20310" t="s">
        <v>60951</v>
      </c>
      <c r="E20310" t="s">
        <v>60952</v>
      </c>
      <c r="F20310" t="s">
        <v>3466</v>
      </c>
      <c r="G20310" t="s">
        <v>840</v>
      </c>
      <c r="H20310">
        <v>40202</v>
      </c>
      <c r="I20310" t="s">
        <v>30</v>
      </c>
      <c r="J20310" t="s">
        <v>171</v>
      </c>
      <c r="K20310" t="s">
        <v>973</v>
      </c>
      <c r="N20310" t="s">
        <v>60953</v>
      </c>
      <c r="O20310" t="s">
        <v>60954</v>
      </c>
      <c r="Q20310">
        <v>0</v>
      </c>
      <c r="R20310">
        <v>140</v>
      </c>
      <c r="S20310">
        <v>0</v>
      </c>
      <c r="T20310" t="s">
        <v>60955</v>
      </c>
    </row>
    <row r="20311" spans="1:20" customFormat="1" ht="15" x14ac:dyDescent="0.25">
      <c r="A20311" t="s">
        <v>24</v>
      </c>
      <c r="B20311" t="s">
        <v>60956</v>
      </c>
      <c r="C20311" t="str">
        <f>"A0072880"</f>
        <v>A0072880</v>
      </c>
      <c r="D20311" t="s">
        <v>60957</v>
      </c>
      <c r="E20311" t="s">
        <v>60958</v>
      </c>
      <c r="F20311" t="s">
        <v>3466</v>
      </c>
      <c r="G20311" t="s">
        <v>840</v>
      </c>
      <c r="H20311">
        <v>40241</v>
      </c>
      <c r="I20311" t="s">
        <v>30</v>
      </c>
      <c r="J20311" t="s">
        <v>171</v>
      </c>
      <c r="K20311" t="s">
        <v>973</v>
      </c>
      <c r="N20311" t="s">
        <v>60959</v>
      </c>
      <c r="Q20311">
        <v>0</v>
      </c>
      <c r="R20311">
        <v>114</v>
      </c>
      <c r="S20311">
        <v>0</v>
      </c>
      <c r="T20311" t="s">
        <v>60960</v>
      </c>
    </row>
    <row r="20312" spans="1:20" customFormat="1" ht="15" x14ac:dyDescent="0.25">
      <c r="A20312" t="s">
        <v>24</v>
      </c>
      <c r="B20312" t="s">
        <v>8579</v>
      </c>
      <c r="C20312" t="str">
        <f>"A0094588"</f>
        <v>A0094588</v>
      </c>
      <c r="D20312" t="s">
        <v>60961</v>
      </c>
      <c r="E20312" t="s">
        <v>60962</v>
      </c>
      <c r="F20312" t="s">
        <v>60963</v>
      </c>
      <c r="G20312" t="s">
        <v>190</v>
      </c>
      <c r="H20312">
        <v>80538</v>
      </c>
      <c r="I20312" t="s">
        <v>30</v>
      </c>
      <c r="J20312" t="s">
        <v>171</v>
      </c>
      <c r="K20312" t="s">
        <v>973</v>
      </c>
      <c r="N20312" t="s">
        <v>60964</v>
      </c>
      <c r="Q20312">
        <v>0</v>
      </c>
      <c r="R20312">
        <v>102</v>
      </c>
      <c r="S20312">
        <v>0</v>
      </c>
      <c r="T20312" t="s">
        <v>60965</v>
      </c>
    </row>
    <row r="20313" spans="1:20" customFormat="1" ht="15" x14ac:dyDescent="0.25">
      <c r="A20313" t="s">
        <v>24</v>
      </c>
      <c r="B20313" t="s">
        <v>1020</v>
      </c>
      <c r="C20313" t="str">
        <f>"A0088334"</f>
        <v>A0088334</v>
      </c>
      <c r="D20313" t="s">
        <v>60966</v>
      </c>
      <c r="E20313" t="s">
        <v>60967</v>
      </c>
      <c r="F20313" t="s">
        <v>60968</v>
      </c>
      <c r="G20313" t="s">
        <v>52</v>
      </c>
      <c r="H20313">
        <v>75901</v>
      </c>
      <c r="I20313" t="s">
        <v>30</v>
      </c>
      <c r="J20313" t="s">
        <v>171</v>
      </c>
      <c r="K20313" t="s">
        <v>973</v>
      </c>
      <c r="N20313" t="s">
        <v>60969</v>
      </c>
      <c r="O20313" t="s">
        <v>60970</v>
      </c>
      <c r="Q20313">
        <v>0</v>
      </c>
      <c r="R20313">
        <v>101</v>
      </c>
      <c r="S20313">
        <v>0</v>
      </c>
      <c r="T20313" t="s">
        <v>60971</v>
      </c>
    </row>
    <row r="20314" spans="1:20" customFormat="1" ht="15" x14ac:dyDescent="0.25">
      <c r="A20314" t="s">
        <v>24</v>
      </c>
      <c r="B20314" t="s">
        <v>1092</v>
      </c>
      <c r="C20314" t="str">
        <f>"651IZ"</f>
        <v>651IZ</v>
      </c>
      <c r="D20314" t="s">
        <v>60972</v>
      </c>
      <c r="E20314" t="s">
        <v>60973</v>
      </c>
      <c r="F20314" t="s">
        <v>16213</v>
      </c>
      <c r="G20314" t="s">
        <v>29</v>
      </c>
      <c r="H20314">
        <v>24502</v>
      </c>
      <c r="I20314" t="s">
        <v>30</v>
      </c>
      <c r="J20314" t="s">
        <v>171</v>
      </c>
      <c r="K20314" t="s">
        <v>973</v>
      </c>
      <c r="N20314" t="s">
        <v>60974</v>
      </c>
      <c r="Q20314">
        <v>0</v>
      </c>
      <c r="R20314">
        <v>90</v>
      </c>
      <c r="S20314">
        <v>0</v>
      </c>
      <c r="T20314" t="s">
        <v>60975</v>
      </c>
    </row>
    <row r="20315" spans="1:20" customFormat="1" ht="15" x14ac:dyDescent="0.25">
      <c r="A20315" t="s">
        <v>24</v>
      </c>
      <c r="B20315" t="s">
        <v>675</v>
      </c>
      <c r="C20315" t="str">
        <f>"311AF"</f>
        <v>311AF</v>
      </c>
      <c r="D20315" t="s">
        <v>60976</v>
      </c>
      <c r="E20315" t="s">
        <v>60977</v>
      </c>
      <c r="F20315" t="s">
        <v>3560</v>
      </c>
      <c r="G20315" t="s">
        <v>846</v>
      </c>
      <c r="H20315">
        <v>31210</v>
      </c>
      <c r="I20315" t="s">
        <v>30</v>
      </c>
      <c r="J20315" t="s">
        <v>171</v>
      </c>
      <c r="K20315" t="s">
        <v>973</v>
      </c>
      <c r="N20315" t="s">
        <v>60978</v>
      </c>
      <c r="O20315" t="s">
        <v>60979</v>
      </c>
      <c r="Q20315">
        <v>0</v>
      </c>
      <c r="R20315">
        <v>108</v>
      </c>
      <c r="S20315">
        <v>0</v>
      </c>
      <c r="T20315" t="s">
        <v>60980</v>
      </c>
    </row>
    <row r="20316" spans="1:20" customFormat="1" ht="15" x14ac:dyDescent="0.25">
      <c r="A20316" t="s">
        <v>24</v>
      </c>
      <c r="B20316" t="s">
        <v>1317</v>
      </c>
      <c r="C20316" t="str">
        <f>"A0100303"</f>
        <v>A0100303</v>
      </c>
      <c r="D20316" t="s">
        <v>60981</v>
      </c>
      <c r="E20316" t="s">
        <v>60982</v>
      </c>
      <c r="F20316" t="s">
        <v>11991</v>
      </c>
      <c r="G20316" t="s">
        <v>1369</v>
      </c>
      <c r="H20316">
        <v>39110</v>
      </c>
      <c r="I20316" t="s">
        <v>30</v>
      </c>
      <c r="J20316" t="s">
        <v>171</v>
      </c>
      <c r="K20316" t="s">
        <v>973</v>
      </c>
      <c r="N20316" t="s">
        <v>60983</v>
      </c>
      <c r="O20316" t="s">
        <v>60984</v>
      </c>
      <c r="Q20316">
        <v>0</v>
      </c>
      <c r="R20316">
        <v>125</v>
      </c>
      <c r="S20316">
        <v>0</v>
      </c>
      <c r="T20316" t="s">
        <v>60985</v>
      </c>
    </row>
    <row r="20317" spans="1:20" customFormat="1" ht="15" x14ac:dyDescent="0.25">
      <c r="A20317" t="s">
        <v>24</v>
      </c>
      <c r="B20317" t="s">
        <v>34033</v>
      </c>
      <c r="C20317" t="str">
        <f>"A0064889"</f>
        <v>A0064889</v>
      </c>
      <c r="D20317" t="s">
        <v>60986</v>
      </c>
      <c r="E20317" t="s">
        <v>60987</v>
      </c>
      <c r="F20317" t="s">
        <v>11991</v>
      </c>
      <c r="G20317" t="s">
        <v>71</v>
      </c>
      <c r="H20317">
        <v>53718</v>
      </c>
      <c r="I20317" t="s">
        <v>30</v>
      </c>
      <c r="J20317" t="s">
        <v>171</v>
      </c>
      <c r="K20317" t="s">
        <v>973</v>
      </c>
      <c r="N20317" t="s">
        <v>60988</v>
      </c>
      <c r="O20317" t="s">
        <v>60989</v>
      </c>
      <c r="Q20317">
        <v>0</v>
      </c>
      <c r="R20317">
        <v>127</v>
      </c>
      <c r="S20317">
        <v>0</v>
      </c>
      <c r="T20317" t="s">
        <v>60990</v>
      </c>
    </row>
    <row r="20318" spans="1:20" customFormat="1" ht="15" x14ac:dyDescent="0.25">
      <c r="A20318" t="s">
        <v>24</v>
      </c>
      <c r="B20318" t="s">
        <v>3159</v>
      </c>
      <c r="C20318" t="str">
        <f>"A0084942"</f>
        <v>A0084942</v>
      </c>
      <c r="D20318" t="s">
        <v>60991</v>
      </c>
      <c r="E20318" t="s">
        <v>60992</v>
      </c>
      <c r="F20318" t="s">
        <v>37234</v>
      </c>
      <c r="G20318" t="s">
        <v>103</v>
      </c>
      <c r="H20318">
        <v>19355</v>
      </c>
      <c r="I20318" t="s">
        <v>30</v>
      </c>
      <c r="J20318" t="s">
        <v>171</v>
      </c>
      <c r="K20318" t="s">
        <v>973</v>
      </c>
      <c r="N20318" t="s">
        <v>60993</v>
      </c>
      <c r="Q20318">
        <v>0</v>
      </c>
      <c r="R20318">
        <v>125</v>
      </c>
      <c r="S20318">
        <v>0</v>
      </c>
      <c r="T20318" t="s">
        <v>60994</v>
      </c>
    </row>
    <row r="20319" spans="1:20" customFormat="1" ht="15" x14ac:dyDescent="0.25">
      <c r="A20319" t="s">
        <v>24</v>
      </c>
      <c r="B20319" t="s">
        <v>55528</v>
      </c>
      <c r="C20319" t="str">
        <f>"A0091530"</f>
        <v>A0091530</v>
      </c>
      <c r="D20319" t="s">
        <v>60995</v>
      </c>
      <c r="E20319" t="s">
        <v>60996</v>
      </c>
      <c r="F20319" t="s">
        <v>55960</v>
      </c>
      <c r="G20319" t="s">
        <v>161</v>
      </c>
      <c r="H20319">
        <v>56001</v>
      </c>
      <c r="I20319" t="s">
        <v>30</v>
      </c>
      <c r="J20319" t="s">
        <v>171</v>
      </c>
      <c r="K20319" t="s">
        <v>973</v>
      </c>
      <c r="N20319" t="s">
        <v>60997</v>
      </c>
      <c r="Q20319">
        <v>0</v>
      </c>
      <c r="R20319">
        <v>93</v>
      </c>
      <c r="S20319">
        <v>0</v>
      </c>
      <c r="T20319" t="s">
        <v>60998</v>
      </c>
    </row>
    <row r="20320" spans="1:20" customFormat="1" ht="15" x14ac:dyDescent="0.25">
      <c r="A20320" t="s">
        <v>24</v>
      </c>
      <c r="B20320" t="s">
        <v>1098</v>
      </c>
      <c r="C20320" t="str">
        <f>"A0094282"</f>
        <v>A0094282</v>
      </c>
      <c r="D20320" t="s">
        <v>60999</v>
      </c>
      <c r="E20320" t="s">
        <v>61000</v>
      </c>
      <c r="F20320" t="s">
        <v>61001</v>
      </c>
      <c r="G20320" t="s">
        <v>81</v>
      </c>
      <c r="H20320">
        <v>33050</v>
      </c>
      <c r="I20320" t="s">
        <v>30</v>
      </c>
      <c r="J20320" t="s">
        <v>171</v>
      </c>
      <c r="K20320" t="s">
        <v>973</v>
      </c>
      <c r="N20320" t="s">
        <v>61002</v>
      </c>
      <c r="Q20320">
        <v>0</v>
      </c>
      <c r="R20320">
        <v>119</v>
      </c>
      <c r="S20320">
        <v>0</v>
      </c>
      <c r="T20320" t="s">
        <v>61003</v>
      </c>
    </row>
    <row r="20321" spans="1:20" customFormat="1" ht="15" x14ac:dyDescent="0.25">
      <c r="A20321" t="s">
        <v>24</v>
      </c>
      <c r="B20321" t="s">
        <v>2812</v>
      </c>
      <c r="C20321" t="str">
        <f>"311B6"</f>
        <v>311B6</v>
      </c>
      <c r="D20321" t="s">
        <v>61004</v>
      </c>
      <c r="E20321" t="s">
        <v>61005</v>
      </c>
      <c r="F20321" t="s">
        <v>1215</v>
      </c>
      <c r="G20321" t="s">
        <v>846</v>
      </c>
      <c r="H20321">
        <v>30067</v>
      </c>
      <c r="I20321" t="s">
        <v>30</v>
      </c>
      <c r="J20321" t="s">
        <v>171</v>
      </c>
      <c r="K20321" t="s">
        <v>973</v>
      </c>
      <c r="N20321" t="s">
        <v>59639</v>
      </c>
      <c r="O20321" t="s">
        <v>61006</v>
      </c>
      <c r="Q20321">
        <v>0</v>
      </c>
      <c r="R20321">
        <v>146</v>
      </c>
      <c r="S20321">
        <v>0</v>
      </c>
      <c r="T20321" t="s">
        <v>61007</v>
      </c>
    </row>
    <row r="20322" spans="1:20" customFormat="1" ht="15" x14ac:dyDescent="0.25">
      <c r="A20322" t="s">
        <v>24</v>
      </c>
      <c r="B20322" t="s">
        <v>61008</v>
      </c>
      <c r="C20322" t="str">
        <f>"A0078514"</f>
        <v>A0078514</v>
      </c>
      <c r="D20322" t="s">
        <v>61009</v>
      </c>
      <c r="E20322" t="s">
        <v>61010</v>
      </c>
      <c r="F20322" t="s">
        <v>61011</v>
      </c>
      <c r="G20322" t="s">
        <v>899</v>
      </c>
      <c r="H20322">
        <v>1752</v>
      </c>
      <c r="I20322" t="s">
        <v>30</v>
      </c>
      <c r="J20322" t="s">
        <v>171</v>
      </c>
      <c r="K20322" t="s">
        <v>973</v>
      </c>
      <c r="N20322" t="s">
        <v>61012</v>
      </c>
      <c r="O20322" t="s">
        <v>61013</v>
      </c>
      <c r="Q20322">
        <v>0</v>
      </c>
      <c r="R20322">
        <v>202</v>
      </c>
      <c r="S20322">
        <v>0</v>
      </c>
      <c r="T20322" t="s">
        <v>61014</v>
      </c>
    </row>
    <row r="20323" spans="1:20" customFormat="1" ht="15" x14ac:dyDescent="0.25">
      <c r="A20323" t="s">
        <v>24</v>
      </c>
      <c r="B20323" t="s">
        <v>675</v>
      </c>
      <c r="C20323" t="str">
        <f>"311QU"</f>
        <v>311QU</v>
      </c>
      <c r="D20323" t="s">
        <v>61020</v>
      </c>
      <c r="E20323" t="s">
        <v>61021</v>
      </c>
      <c r="F20323" t="s">
        <v>985</v>
      </c>
      <c r="G20323" t="s">
        <v>81</v>
      </c>
      <c r="H20323">
        <v>32821</v>
      </c>
      <c r="I20323" t="s">
        <v>30</v>
      </c>
      <c r="J20323" t="s">
        <v>171</v>
      </c>
      <c r="K20323" t="s">
        <v>973</v>
      </c>
      <c r="N20323" t="s">
        <v>61022</v>
      </c>
      <c r="Q20323">
        <v>0</v>
      </c>
      <c r="R20323">
        <v>312</v>
      </c>
      <c r="S20323">
        <v>0</v>
      </c>
      <c r="T20323" t="s">
        <v>61023</v>
      </c>
    </row>
    <row r="20324" spans="1:20" customFormat="1" ht="15" x14ac:dyDescent="0.25">
      <c r="A20324" t="s">
        <v>24</v>
      </c>
      <c r="B20324" t="s">
        <v>61024</v>
      </c>
      <c r="C20324" t="str">
        <f>"651ZC"</f>
        <v>651ZC</v>
      </c>
      <c r="D20324" t="s">
        <v>61025</v>
      </c>
      <c r="E20324" t="s">
        <v>61026</v>
      </c>
      <c r="F20324" t="s">
        <v>11551</v>
      </c>
      <c r="G20324" t="s">
        <v>52</v>
      </c>
      <c r="H20324">
        <v>78503</v>
      </c>
      <c r="I20324" t="s">
        <v>30</v>
      </c>
      <c r="J20324" t="s">
        <v>171</v>
      </c>
      <c r="K20324" t="s">
        <v>973</v>
      </c>
      <c r="N20324" t="s">
        <v>61027</v>
      </c>
      <c r="O20324" t="s">
        <v>61028</v>
      </c>
      <c r="Q20324">
        <v>0</v>
      </c>
      <c r="R20324">
        <v>110</v>
      </c>
      <c r="S20324">
        <v>0</v>
      </c>
      <c r="T20324" t="s">
        <v>61029</v>
      </c>
    </row>
    <row r="20325" spans="1:20" customFormat="1" ht="15" x14ac:dyDescent="0.25">
      <c r="A20325" t="s">
        <v>24</v>
      </c>
      <c r="B20325" t="s">
        <v>649</v>
      </c>
      <c r="C20325" t="str">
        <f>"A0089580"</f>
        <v>A0089580</v>
      </c>
      <c r="D20325" t="s">
        <v>61030</v>
      </c>
      <c r="E20325" t="s">
        <v>61031</v>
      </c>
      <c r="F20325" t="s">
        <v>61032</v>
      </c>
      <c r="G20325" t="s">
        <v>846</v>
      </c>
      <c r="H20325">
        <v>30253</v>
      </c>
      <c r="I20325" t="s">
        <v>30</v>
      </c>
      <c r="J20325" t="s">
        <v>171</v>
      </c>
      <c r="K20325" t="s">
        <v>973</v>
      </c>
      <c r="N20325" t="s">
        <v>4350</v>
      </c>
      <c r="Q20325">
        <v>0</v>
      </c>
      <c r="R20325">
        <v>80</v>
      </c>
      <c r="S20325">
        <v>0</v>
      </c>
      <c r="T20325" t="s">
        <v>61033</v>
      </c>
    </row>
    <row r="20326" spans="1:20" customFormat="1" ht="15" x14ac:dyDescent="0.25">
      <c r="A20326" t="s">
        <v>24</v>
      </c>
      <c r="B20326" t="s">
        <v>1098</v>
      </c>
      <c r="C20326" t="str">
        <f>"A0153176"</f>
        <v>A0153176</v>
      </c>
      <c r="D20326" t="s">
        <v>61034</v>
      </c>
      <c r="E20326" t="s">
        <v>61035</v>
      </c>
      <c r="F20326" t="s">
        <v>7455</v>
      </c>
      <c r="G20326" t="s">
        <v>123</v>
      </c>
      <c r="H20326">
        <v>21230</v>
      </c>
      <c r="I20326" t="s">
        <v>30</v>
      </c>
      <c r="J20326" t="s">
        <v>171</v>
      </c>
      <c r="K20326" t="s">
        <v>973</v>
      </c>
      <c r="N20326" t="s">
        <v>61036</v>
      </c>
      <c r="Q20326">
        <v>0</v>
      </c>
      <c r="R20326">
        <v>126</v>
      </c>
      <c r="S20326">
        <v>0</v>
      </c>
      <c r="T20326" t="s">
        <v>61037</v>
      </c>
    </row>
    <row r="20327" spans="1:20" customFormat="1" ht="15" x14ac:dyDescent="0.25">
      <c r="A20327" t="s">
        <v>24</v>
      </c>
      <c r="B20327" t="s">
        <v>59142</v>
      </c>
      <c r="C20327" t="str">
        <f>"A0075394"</f>
        <v>A0075394</v>
      </c>
      <c r="D20327" t="s">
        <v>61038</v>
      </c>
      <c r="E20327" t="s">
        <v>61039</v>
      </c>
      <c r="F20327" t="s">
        <v>6873</v>
      </c>
      <c r="G20327" t="s">
        <v>47</v>
      </c>
      <c r="H20327">
        <v>97504</v>
      </c>
      <c r="I20327" t="s">
        <v>30</v>
      </c>
      <c r="J20327" t="s">
        <v>171</v>
      </c>
      <c r="K20327" t="s">
        <v>973</v>
      </c>
      <c r="N20327" t="s">
        <v>61040</v>
      </c>
      <c r="O20327" t="s">
        <v>61041</v>
      </c>
      <c r="Q20327">
        <v>0</v>
      </c>
      <c r="R20327">
        <v>100</v>
      </c>
      <c r="S20327">
        <v>0</v>
      </c>
      <c r="T20327" t="s">
        <v>61042</v>
      </c>
    </row>
    <row r="20328" spans="1:20" customFormat="1" ht="15" x14ac:dyDescent="0.25">
      <c r="A20328" t="s">
        <v>24</v>
      </c>
      <c r="B20328" t="s">
        <v>675</v>
      </c>
      <c r="C20328" t="str">
        <f>"311B9"</f>
        <v>311B9</v>
      </c>
      <c r="D20328" t="s">
        <v>61043</v>
      </c>
      <c r="E20328" t="s">
        <v>61044</v>
      </c>
      <c r="F20328" t="s">
        <v>61045</v>
      </c>
      <c r="G20328" t="s">
        <v>81</v>
      </c>
      <c r="H20328">
        <v>32904</v>
      </c>
      <c r="I20328" t="s">
        <v>30</v>
      </c>
      <c r="J20328" t="s">
        <v>171</v>
      </c>
      <c r="K20328" t="s">
        <v>973</v>
      </c>
      <c r="N20328" t="s">
        <v>61046</v>
      </c>
      <c r="O20328" t="s">
        <v>61047</v>
      </c>
      <c r="Q20328">
        <v>0</v>
      </c>
      <c r="R20328">
        <v>146</v>
      </c>
      <c r="S20328">
        <v>0</v>
      </c>
      <c r="T20328" t="s">
        <v>61048</v>
      </c>
    </row>
    <row r="20329" spans="1:20" customFormat="1" ht="15" x14ac:dyDescent="0.25">
      <c r="A20329" t="s">
        <v>24</v>
      </c>
      <c r="B20329" t="s">
        <v>675</v>
      </c>
      <c r="C20329" t="str">
        <f>"311C4"</f>
        <v>311C4</v>
      </c>
      <c r="D20329" t="s">
        <v>61049</v>
      </c>
      <c r="E20329" t="s">
        <v>61050</v>
      </c>
      <c r="F20329" t="s">
        <v>11700</v>
      </c>
      <c r="G20329" t="s">
        <v>880</v>
      </c>
      <c r="H20329">
        <v>38132</v>
      </c>
      <c r="I20329" t="s">
        <v>30</v>
      </c>
      <c r="J20329" t="s">
        <v>171</v>
      </c>
      <c r="K20329" t="s">
        <v>973</v>
      </c>
      <c r="N20329" t="s">
        <v>61051</v>
      </c>
      <c r="O20329" t="s">
        <v>61052</v>
      </c>
      <c r="Q20329">
        <v>0</v>
      </c>
      <c r="R20329">
        <v>145</v>
      </c>
      <c r="S20329">
        <v>0</v>
      </c>
      <c r="T20329" t="s">
        <v>61053</v>
      </c>
    </row>
    <row r="20330" spans="1:20" customFormat="1" ht="15" hidden="1" x14ac:dyDescent="0.25">
      <c r="A20330" t="s">
        <v>24</v>
      </c>
      <c r="B20330" t="s">
        <v>675</v>
      </c>
      <c r="C20330" t="str">
        <f>"A0093994"</f>
        <v>A0093994</v>
      </c>
      <c r="D20330" t="s">
        <v>75903</v>
      </c>
      <c r="E20330" t="s">
        <v>75904</v>
      </c>
      <c r="F20330" t="s">
        <v>75905</v>
      </c>
      <c r="G20330" t="s">
        <v>75906</v>
      </c>
      <c r="H20330">
        <v>6113</v>
      </c>
      <c r="I20330" t="s">
        <v>75907</v>
      </c>
      <c r="J20330" t="s">
        <v>162</v>
      </c>
      <c r="K20330" t="s">
        <v>1490</v>
      </c>
      <c r="N20330" t="s">
        <v>75908</v>
      </c>
      <c r="O20330" t="s">
        <v>75909</v>
      </c>
      <c r="Q20330">
        <v>0</v>
      </c>
      <c r="R20330">
        <v>174</v>
      </c>
      <c r="S20330">
        <v>0</v>
      </c>
      <c r="T20330" t="s">
        <v>75910</v>
      </c>
    </row>
    <row r="20331" spans="1:20" customFormat="1" ht="15" x14ac:dyDescent="0.25">
      <c r="A20331" t="s">
        <v>24</v>
      </c>
      <c r="B20331" t="s">
        <v>3894</v>
      </c>
      <c r="C20331" t="str">
        <f>"651ZS"</f>
        <v>651ZS</v>
      </c>
      <c r="D20331" t="s">
        <v>61054</v>
      </c>
      <c r="E20331" t="s">
        <v>61055</v>
      </c>
      <c r="F20331" t="s">
        <v>4970</v>
      </c>
      <c r="G20331" t="s">
        <v>880</v>
      </c>
      <c r="H20331">
        <v>38139</v>
      </c>
      <c r="I20331" t="s">
        <v>30</v>
      </c>
      <c r="J20331" t="s">
        <v>171</v>
      </c>
      <c r="K20331" t="s">
        <v>973</v>
      </c>
      <c r="N20331" t="s">
        <v>61056</v>
      </c>
      <c r="Q20331">
        <v>0</v>
      </c>
      <c r="R20331">
        <v>93</v>
      </c>
      <c r="S20331">
        <v>0</v>
      </c>
      <c r="T20331" t="s">
        <v>61057</v>
      </c>
    </row>
    <row r="20332" spans="1:20" customFormat="1" ht="15" hidden="1" x14ac:dyDescent="0.25">
      <c r="A20332" t="s">
        <v>24</v>
      </c>
      <c r="B20332" t="s">
        <v>675</v>
      </c>
      <c r="C20332" t="str">
        <f>"397M8"</f>
        <v>397M8</v>
      </c>
      <c r="D20332" t="s">
        <v>75915</v>
      </c>
      <c r="E20332" t="s">
        <v>75916</v>
      </c>
      <c r="F20332" t="s">
        <v>75917</v>
      </c>
      <c r="G20332" t="s">
        <v>4481</v>
      </c>
      <c r="H20332">
        <v>48354</v>
      </c>
      <c r="I20332" t="s">
        <v>2408</v>
      </c>
      <c r="J20332" t="s">
        <v>162</v>
      </c>
      <c r="K20332" t="s">
        <v>1490</v>
      </c>
      <c r="N20332" t="s">
        <v>75918</v>
      </c>
      <c r="O20332" t="s">
        <v>75919</v>
      </c>
      <c r="Q20332">
        <v>0</v>
      </c>
      <c r="R20332">
        <v>433</v>
      </c>
      <c r="S20332">
        <v>0</v>
      </c>
      <c r="T20332" t="s">
        <v>75920</v>
      </c>
    </row>
    <row r="20333" spans="1:20" customFormat="1" ht="15" x14ac:dyDescent="0.25">
      <c r="A20333" t="s">
        <v>24</v>
      </c>
      <c r="B20333" t="s">
        <v>675</v>
      </c>
      <c r="C20333" t="str">
        <f>"311B8"</f>
        <v>311B8</v>
      </c>
      <c r="D20333" t="s">
        <v>61058</v>
      </c>
      <c r="E20333" t="s">
        <v>61059</v>
      </c>
      <c r="F20333" t="s">
        <v>11700</v>
      </c>
      <c r="G20333" t="s">
        <v>880</v>
      </c>
      <c r="H20333">
        <v>38119</v>
      </c>
      <c r="I20333" t="s">
        <v>30</v>
      </c>
      <c r="J20333" t="s">
        <v>171</v>
      </c>
      <c r="K20333" t="s">
        <v>973</v>
      </c>
      <c r="N20333" t="s">
        <v>61060</v>
      </c>
      <c r="Q20333">
        <v>0</v>
      </c>
      <c r="R20333">
        <v>146</v>
      </c>
      <c r="S20333">
        <v>0</v>
      </c>
      <c r="T20333" t="s">
        <v>61061</v>
      </c>
    </row>
    <row r="20334" spans="1:20" customFormat="1" ht="15" x14ac:dyDescent="0.25">
      <c r="A20334" t="s">
        <v>24</v>
      </c>
      <c r="B20334" t="s">
        <v>675</v>
      </c>
      <c r="C20334" t="str">
        <f>"311H4"</f>
        <v>311H4</v>
      </c>
      <c r="D20334" t="s">
        <v>61062</v>
      </c>
      <c r="E20334" t="s">
        <v>61063</v>
      </c>
      <c r="F20334" t="s">
        <v>61064</v>
      </c>
      <c r="G20334" t="s">
        <v>161</v>
      </c>
      <c r="H20334">
        <v>55120</v>
      </c>
      <c r="I20334" t="s">
        <v>30</v>
      </c>
      <c r="J20334" t="s">
        <v>171</v>
      </c>
      <c r="K20334" t="s">
        <v>973</v>
      </c>
      <c r="N20334" t="s">
        <v>61065</v>
      </c>
      <c r="O20334" t="s">
        <v>61066</v>
      </c>
      <c r="Q20334">
        <v>0</v>
      </c>
      <c r="R20334">
        <v>146</v>
      </c>
      <c r="S20334">
        <v>0</v>
      </c>
      <c r="T20334" t="s">
        <v>61067</v>
      </c>
    </row>
    <row r="20335" spans="1:20" customFormat="1" ht="15" x14ac:dyDescent="0.25">
      <c r="A20335" t="s">
        <v>24</v>
      </c>
      <c r="B20335" t="s">
        <v>675</v>
      </c>
      <c r="C20335" t="str">
        <f>"311K5"</f>
        <v>311K5</v>
      </c>
      <c r="D20335" t="s">
        <v>61068</v>
      </c>
      <c r="E20335" t="s">
        <v>61069</v>
      </c>
      <c r="F20335" t="s">
        <v>7714</v>
      </c>
      <c r="G20335" t="s">
        <v>197</v>
      </c>
      <c r="H20335">
        <v>85210</v>
      </c>
      <c r="I20335" t="s">
        <v>30</v>
      </c>
      <c r="J20335" t="s">
        <v>171</v>
      </c>
      <c r="K20335" t="s">
        <v>973</v>
      </c>
      <c r="N20335" t="s">
        <v>61070</v>
      </c>
      <c r="Q20335">
        <v>0</v>
      </c>
      <c r="R20335">
        <v>149</v>
      </c>
      <c r="S20335">
        <v>0</v>
      </c>
      <c r="T20335" t="s">
        <v>61071</v>
      </c>
    </row>
    <row r="20336" spans="1:20" customFormat="1" ht="15" x14ac:dyDescent="0.25">
      <c r="A20336" t="s">
        <v>24</v>
      </c>
      <c r="B20336" t="s">
        <v>60077</v>
      </c>
      <c r="C20336" t="str">
        <f>"651ID"</f>
        <v>651ID</v>
      </c>
      <c r="D20336" t="s">
        <v>61072</v>
      </c>
      <c r="E20336" t="s">
        <v>61073</v>
      </c>
      <c r="F20336" t="s">
        <v>737</v>
      </c>
      <c r="G20336" t="s">
        <v>52</v>
      </c>
      <c r="H20336">
        <v>75150</v>
      </c>
      <c r="I20336" t="s">
        <v>30</v>
      </c>
      <c r="J20336" t="s">
        <v>171</v>
      </c>
      <c r="K20336" t="s">
        <v>973</v>
      </c>
      <c r="N20336" t="s">
        <v>61074</v>
      </c>
      <c r="Q20336">
        <v>0</v>
      </c>
      <c r="R20336">
        <v>101</v>
      </c>
      <c r="S20336">
        <v>0</v>
      </c>
      <c r="T20336" t="s">
        <v>61075</v>
      </c>
    </row>
    <row r="20337" spans="1:20" customFormat="1" ht="15" x14ac:dyDescent="0.25">
      <c r="A20337" t="s">
        <v>24</v>
      </c>
      <c r="B20337" t="s">
        <v>13679</v>
      </c>
      <c r="C20337" t="str">
        <f>"A0086790"</f>
        <v>A0086790</v>
      </c>
      <c r="D20337" t="s">
        <v>61087</v>
      </c>
      <c r="E20337" t="s">
        <v>61088</v>
      </c>
      <c r="F20337" t="s">
        <v>12194</v>
      </c>
      <c r="G20337" t="s">
        <v>81</v>
      </c>
      <c r="H20337">
        <v>33172</v>
      </c>
      <c r="I20337" t="s">
        <v>30</v>
      </c>
      <c r="J20337" t="s">
        <v>171</v>
      </c>
      <c r="K20337" t="s">
        <v>973</v>
      </c>
      <c r="N20337" t="s">
        <v>61089</v>
      </c>
      <c r="Q20337">
        <v>0</v>
      </c>
      <c r="R20337">
        <v>118</v>
      </c>
      <c r="S20337">
        <v>0</v>
      </c>
      <c r="T20337" t="s">
        <v>61090</v>
      </c>
    </row>
    <row r="20338" spans="1:20" customFormat="1" ht="15" x14ac:dyDescent="0.25">
      <c r="A20338" t="s">
        <v>24</v>
      </c>
      <c r="B20338" t="s">
        <v>675</v>
      </c>
      <c r="C20338" t="str">
        <f>"311ME"</f>
        <v>311ME</v>
      </c>
      <c r="D20338" t="s">
        <v>61091</v>
      </c>
      <c r="E20338" t="s">
        <v>61092</v>
      </c>
      <c r="F20338" t="s">
        <v>1889</v>
      </c>
      <c r="G20338" t="s">
        <v>81</v>
      </c>
      <c r="H20338">
        <v>33126</v>
      </c>
      <c r="I20338" t="s">
        <v>30</v>
      </c>
      <c r="J20338" t="s">
        <v>171</v>
      </c>
      <c r="K20338" t="s">
        <v>973</v>
      </c>
      <c r="N20338" t="s">
        <v>61093</v>
      </c>
      <c r="O20338" t="s">
        <v>34435</v>
      </c>
      <c r="Q20338">
        <v>0</v>
      </c>
      <c r="R20338">
        <v>125</v>
      </c>
      <c r="S20338">
        <v>0</v>
      </c>
      <c r="T20338" t="s">
        <v>61094</v>
      </c>
    </row>
    <row r="20339" spans="1:20" customFormat="1" ht="15" x14ac:dyDescent="0.25">
      <c r="A20339" t="s">
        <v>24</v>
      </c>
      <c r="B20339" t="s">
        <v>675</v>
      </c>
      <c r="C20339" t="str">
        <f>"311C7"</f>
        <v>311C7</v>
      </c>
      <c r="D20339" t="s">
        <v>61095</v>
      </c>
      <c r="E20339" t="s">
        <v>61096</v>
      </c>
      <c r="F20339" t="s">
        <v>1889</v>
      </c>
      <c r="G20339" t="s">
        <v>81</v>
      </c>
      <c r="H20339">
        <v>33166</v>
      </c>
      <c r="I20339" t="s">
        <v>30</v>
      </c>
      <c r="J20339" t="s">
        <v>171</v>
      </c>
      <c r="K20339" t="s">
        <v>973</v>
      </c>
      <c r="N20339" t="s">
        <v>61097</v>
      </c>
      <c r="O20339" t="s">
        <v>61098</v>
      </c>
      <c r="Q20339">
        <v>0</v>
      </c>
      <c r="R20339">
        <v>145</v>
      </c>
      <c r="S20339">
        <v>0</v>
      </c>
      <c r="T20339" t="s">
        <v>61099</v>
      </c>
    </row>
    <row r="20340" spans="1:20" customFormat="1" ht="15" x14ac:dyDescent="0.25">
      <c r="A20340" t="s">
        <v>24</v>
      </c>
      <c r="B20340" t="s">
        <v>675</v>
      </c>
      <c r="C20340" t="str">
        <f>"A0088526"</f>
        <v>A0088526</v>
      </c>
      <c r="D20340" t="s">
        <v>61100</v>
      </c>
      <c r="E20340" t="s">
        <v>61101</v>
      </c>
      <c r="F20340" t="s">
        <v>14430</v>
      </c>
      <c r="G20340" t="s">
        <v>81</v>
      </c>
      <c r="H20340">
        <v>33133</v>
      </c>
      <c r="I20340" t="s">
        <v>30</v>
      </c>
      <c r="J20340" t="s">
        <v>171</v>
      </c>
      <c r="K20340" t="s">
        <v>973</v>
      </c>
      <c r="N20340" t="s">
        <v>61102</v>
      </c>
      <c r="Q20340">
        <v>0</v>
      </c>
      <c r="R20340">
        <v>209</v>
      </c>
      <c r="S20340">
        <v>0</v>
      </c>
      <c r="T20340" t="s">
        <v>61103</v>
      </c>
    </row>
    <row r="20341" spans="1:20" customFormat="1" ht="15" x14ac:dyDescent="0.25">
      <c r="A20341" t="s">
        <v>24</v>
      </c>
      <c r="B20341" t="s">
        <v>13299</v>
      </c>
      <c r="C20341" t="str">
        <f>"A0087060"</f>
        <v>A0087060</v>
      </c>
      <c r="D20341" t="s">
        <v>61104</v>
      </c>
      <c r="E20341" t="s">
        <v>61105</v>
      </c>
      <c r="F20341" t="s">
        <v>61106</v>
      </c>
      <c r="G20341" t="s">
        <v>81</v>
      </c>
      <c r="H20341">
        <v>33134</v>
      </c>
      <c r="I20341" t="s">
        <v>30</v>
      </c>
      <c r="J20341" t="s">
        <v>171</v>
      </c>
      <c r="K20341" t="s">
        <v>973</v>
      </c>
      <c r="N20341" t="s">
        <v>61107</v>
      </c>
      <c r="Q20341">
        <v>0</v>
      </c>
      <c r="R20341">
        <v>165</v>
      </c>
      <c r="S20341">
        <v>0</v>
      </c>
      <c r="T20341" t="s">
        <v>61108</v>
      </c>
    </row>
    <row r="20342" spans="1:20" customFormat="1" ht="15" x14ac:dyDescent="0.25">
      <c r="A20342" t="s">
        <v>24</v>
      </c>
      <c r="B20342" t="s">
        <v>13679</v>
      </c>
      <c r="C20342" t="str">
        <f>"SF09313"</f>
        <v>SF09313</v>
      </c>
      <c r="D20342" t="s">
        <v>61109</v>
      </c>
      <c r="E20342" t="s">
        <v>61110</v>
      </c>
      <c r="F20342" t="s">
        <v>1889</v>
      </c>
      <c r="G20342" t="s">
        <v>81</v>
      </c>
      <c r="H20342">
        <v>33131</v>
      </c>
      <c r="I20342" t="s">
        <v>30</v>
      </c>
      <c r="J20342" t="s">
        <v>171</v>
      </c>
      <c r="K20342" t="s">
        <v>973</v>
      </c>
      <c r="N20342" t="s">
        <v>61111</v>
      </c>
      <c r="O20342" t="s">
        <v>61112</v>
      </c>
      <c r="Q20342">
        <v>0</v>
      </c>
      <c r="R20342">
        <v>231</v>
      </c>
      <c r="S20342">
        <v>0</v>
      </c>
      <c r="T20342" t="s">
        <v>61113</v>
      </c>
    </row>
    <row r="20343" spans="1:20" customFormat="1" ht="15" x14ac:dyDescent="0.25">
      <c r="A20343" t="s">
        <v>24</v>
      </c>
      <c r="B20343" t="s">
        <v>675</v>
      </c>
      <c r="C20343" t="str">
        <f>"311AT"</f>
        <v>311AT</v>
      </c>
      <c r="D20343" t="s">
        <v>61114</v>
      </c>
      <c r="E20343" t="s">
        <v>61115</v>
      </c>
      <c r="F20343" t="s">
        <v>1003</v>
      </c>
      <c r="G20343" t="s">
        <v>81</v>
      </c>
      <c r="H20343">
        <v>33139</v>
      </c>
      <c r="I20343" t="s">
        <v>30</v>
      </c>
      <c r="J20343" t="s">
        <v>171</v>
      </c>
      <c r="K20343" t="s">
        <v>973</v>
      </c>
      <c r="N20343" t="s">
        <v>61116</v>
      </c>
      <c r="O20343" t="s">
        <v>61117</v>
      </c>
      <c r="Q20343">
        <v>0</v>
      </c>
      <c r="R20343">
        <v>90</v>
      </c>
      <c r="S20343">
        <v>0</v>
      </c>
      <c r="T20343" t="s">
        <v>61118</v>
      </c>
    </row>
    <row r="20344" spans="1:20" customFormat="1" ht="15" x14ac:dyDescent="0.25">
      <c r="A20344" t="s">
        <v>24</v>
      </c>
      <c r="B20344" t="s">
        <v>60414</v>
      </c>
      <c r="C20344" t="str">
        <f>"A0065310"</f>
        <v>A0065310</v>
      </c>
      <c r="D20344" t="s">
        <v>61119</v>
      </c>
      <c r="E20344" t="s">
        <v>61120</v>
      </c>
      <c r="F20344" t="s">
        <v>9058</v>
      </c>
      <c r="G20344" t="s">
        <v>99</v>
      </c>
      <c r="H20344">
        <v>10941</v>
      </c>
      <c r="I20344" t="s">
        <v>30</v>
      </c>
      <c r="J20344" t="s">
        <v>171</v>
      </c>
      <c r="K20344" t="s">
        <v>973</v>
      </c>
      <c r="N20344" t="s">
        <v>60418</v>
      </c>
      <c r="Q20344">
        <v>0</v>
      </c>
      <c r="R20344">
        <v>134</v>
      </c>
      <c r="S20344">
        <v>0</v>
      </c>
      <c r="T20344" t="s">
        <v>61121</v>
      </c>
    </row>
    <row r="20345" spans="1:20" customFormat="1" ht="15" x14ac:dyDescent="0.25">
      <c r="A20345" t="s">
        <v>24</v>
      </c>
      <c r="B20345" t="s">
        <v>649</v>
      </c>
      <c r="C20345" t="str">
        <f>"A0095980"</f>
        <v>A0095980</v>
      </c>
      <c r="D20345" t="s">
        <v>61122</v>
      </c>
      <c r="E20345" t="s">
        <v>61123</v>
      </c>
      <c r="F20345" t="s">
        <v>34220</v>
      </c>
      <c r="G20345" t="s">
        <v>52</v>
      </c>
      <c r="H20345">
        <v>76065</v>
      </c>
      <c r="I20345" t="s">
        <v>30</v>
      </c>
      <c r="J20345" t="s">
        <v>171</v>
      </c>
      <c r="K20345" t="s">
        <v>973</v>
      </c>
      <c r="N20345" t="s">
        <v>60240</v>
      </c>
      <c r="Q20345">
        <v>0</v>
      </c>
      <c r="R20345">
        <v>102</v>
      </c>
      <c r="S20345">
        <v>0</v>
      </c>
      <c r="T20345" t="s">
        <v>61124</v>
      </c>
    </row>
    <row r="20346" spans="1:20" customFormat="1" ht="15" x14ac:dyDescent="0.25">
      <c r="A20346" t="s">
        <v>24</v>
      </c>
      <c r="B20346" t="s">
        <v>675</v>
      </c>
      <c r="C20346" t="str">
        <f>"311QG"</f>
        <v>311QG</v>
      </c>
      <c r="D20346" t="s">
        <v>61125</v>
      </c>
      <c r="E20346" t="s">
        <v>61126</v>
      </c>
      <c r="F20346" t="s">
        <v>35211</v>
      </c>
      <c r="G20346" t="s">
        <v>110</v>
      </c>
      <c r="H20346">
        <v>95035</v>
      </c>
      <c r="I20346" t="s">
        <v>30</v>
      </c>
      <c r="J20346" t="s">
        <v>171</v>
      </c>
      <c r="K20346" t="s">
        <v>973</v>
      </c>
      <c r="N20346" t="s">
        <v>61127</v>
      </c>
      <c r="O20346" t="s">
        <v>61128</v>
      </c>
      <c r="Q20346">
        <v>0</v>
      </c>
      <c r="R20346">
        <v>155</v>
      </c>
      <c r="S20346">
        <v>0</v>
      </c>
      <c r="T20346" t="s">
        <v>61129</v>
      </c>
    </row>
    <row r="20347" spans="1:20" customFormat="1" ht="15" hidden="1" x14ac:dyDescent="0.25">
      <c r="A20347" t="s">
        <v>24</v>
      </c>
      <c r="B20347" t="s">
        <v>75985</v>
      </c>
      <c r="C20347" t="str">
        <f>"A0065420"</f>
        <v>A0065420</v>
      </c>
      <c r="D20347" t="s">
        <v>75986</v>
      </c>
      <c r="E20347" t="s">
        <v>75987</v>
      </c>
      <c r="F20347" t="s">
        <v>75988</v>
      </c>
      <c r="G20347" t="s">
        <v>75989</v>
      </c>
      <c r="I20347" t="s">
        <v>75990</v>
      </c>
      <c r="J20347" t="s">
        <v>162</v>
      </c>
      <c r="K20347" t="s">
        <v>1490</v>
      </c>
      <c r="N20347" t="s">
        <v>75991</v>
      </c>
      <c r="O20347" t="s">
        <v>75992</v>
      </c>
      <c r="P20347" t="s">
        <v>3998</v>
      </c>
      <c r="Q20347">
        <v>1</v>
      </c>
      <c r="R20347">
        <v>392</v>
      </c>
      <c r="S20347">
        <v>0</v>
      </c>
      <c r="T20347" t="s">
        <v>75993</v>
      </c>
    </row>
    <row r="20348" spans="1:20" customFormat="1" ht="15" x14ac:dyDescent="0.25">
      <c r="A20348" t="s">
        <v>24</v>
      </c>
      <c r="B20348" t="s">
        <v>1561</v>
      </c>
      <c r="C20348" t="str">
        <f>"311GF"</f>
        <v>311GF</v>
      </c>
      <c r="D20348" t="s">
        <v>61130</v>
      </c>
      <c r="E20348" t="s">
        <v>61131</v>
      </c>
      <c r="F20348" t="s">
        <v>5999</v>
      </c>
      <c r="G20348" t="s">
        <v>71</v>
      </c>
      <c r="H20348">
        <v>53203</v>
      </c>
      <c r="I20348" t="s">
        <v>30</v>
      </c>
      <c r="J20348" t="s">
        <v>171</v>
      </c>
      <c r="K20348" t="s">
        <v>973</v>
      </c>
      <c r="N20348" t="s">
        <v>61132</v>
      </c>
      <c r="O20348" t="s">
        <v>61133</v>
      </c>
      <c r="Q20348">
        <v>0</v>
      </c>
      <c r="R20348">
        <v>169</v>
      </c>
      <c r="S20348">
        <v>0</v>
      </c>
      <c r="T20348" t="s">
        <v>61134</v>
      </c>
    </row>
    <row r="20349" spans="1:20" customFormat="1" ht="15" x14ac:dyDescent="0.25">
      <c r="A20349" t="s">
        <v>24</v>
      </c>
      <c r="B20349" t="s">
        <v>4990</v>
      </c>
      <c r="C20349" t="str">
        <f>"6515D"</f>
        <v>6515D</v>
      </c>
      <c r="D20349" t="s">
        <v>61135</v>
      </c>
      <c r="E20349" t="s">
        <v>61136</v>
      </c>
      <c r="F20349" t="s">
        <v>61137</v>
      </c>
      <c r="G20349" t="s">
        <v>71</v>
      </c>
      <c r="H20349">
        <v>53223</v>
      </c>
      <c r="I20349" t="s">
        <v>30</v>
      </c>
      <c r="J20349" t="s">
        <v>171</v>
      </c>
      <c r="K20349" t="s">
        <v>973</v>
      </c>
      <c r="N20349" t="s">
        <v>61138</v>
      </c>
      <c r="O20349" t="s">
        <v>61139</v>
      </c>
      <c r="Q20349">
        <v>0</v>
      </c>
      <c r="R20349">
        <v>122</v>
      </c>
      <c r="S20349">
        <v>0</v>
      </c>
      <c r="T20349" t="s">
        <v>61140</v>
      </c>
    </row>
    <row r="20350" spans="1:20" customFormat="1" ht="15" x14ac:dyDescent="0.25">
      <c r="A20350" t="s">
        <v>24</v>
      </c>
      <c r="B20350" t="s">
        <v>675</v>
      </c>
      <c r="C20350" t="str">
        <f>"61AB2"</f>
        <v>61AB2</v>
      </c>
      <c r="D20350" t="s">
        <v>76004</v>
      </c>
      <c r="E20350" t="s">
        <v>76005</v>
      </c>
      <c r="F20350" t="s">
        <v>11381</v>
      </c>
      <c r="G20350" t="s">
        <v>846</v>
      </c>
      <c r="H20350">
        <v>30083</v>
      </c>
      <c r="I20350" t="s">
        <v>30</v>
      </c>
      <c r="J20350" t="s">
        <v>7657</v>
      </c>
      <c r="K20350" t="s">
        <v>57369</v>
      </c>
      <c r="N20350" t="s">
        <v>54380</v>
      </c>
      <c r="O20350" t="s">
        <v>76006</v>
      </c>
      <c r="Q20350">
        <v>0</v>
      </c>
      <c r="R20350">
        <v>92</v>
      </c>
      <c r="S20350">
        <v>0</v>
      </c>
      <c r="T20350" t="s">
        <v>76007</v>
      </c>
    </row>
    <row r="20351" spans="1:20" customFormat="1" ht="15" x14ac:dyDescent="0.25">
      <c r="A20351" t="s">
        <v>24</v>
      </c>
      <c r="B20351" t="s">
        <v>4140</v>
      </c>
      <c r="C20351" t="str">
        <f>"SF03248"</f>
        <v>SF03248</v>
      </c>
      <c r="D20351" t="s">
        <v>61141</v>
      </c>
      <c r="E20351" t="s">
        <v>61142</v>
      </c>
      <c r="F20351" t="s">
        <v>61143</v>
      </c>
      <c r="G20351" t="s">
        <v>161</v>
      </c>
      <c r="H20351">
        <v>55454</v>
      </c>
      <c r="I20351" t="s">
        <v>30</v>
      </c>
      <c r="J20351" t="s">
        <v>171</v>
      </c>
      <c r="K20351" t="s">
        <v>973</v>
      </c>
      <c r="N20351" t="s">
        <v>61144</v>
      </c>
      <c r="O20351" t="s">
        <v>61145</v>
      </c>
      <c r="Q20351">
        <v>0</v>
      </c>
      <c r="R20351">
        <v>266</v>
      </c>
      <c r="S20351">
        <v>0</v>
      </c>
      <c r="T20351" t="s">
        <v>61146</v>
      </c>
    </row>
    <row r="20352" spans="1:20" customFormat="1" ht="15" x14ac:dyDescent="0.25">
      <c r="A20352" t="s">
        <v>24</v>
      </c>
      <c r="B20352" t="s">
        <v>649</v>
      </c>
      <c r="C20352" t="str">
        <f>"651X8"</f>
        <v>651X8</v>
      </c>
      <c r="D20352" t="s">
        <v>61147</v>
      </c>
      <c r="E20352" t="s">
        <v>61148</v>
      </c>
      <c r="F20352" t="s">
        <v>53883</v>
      </c>
      <c r="G20352" t="s">
        <v>1706</v>
      </c>
      <c r="H20352">
        <v>36609</v>
      </c>
      <c r="I20352" t="s">
        <v>30</v>
      </c>
      <c r="J20352" t="s">
        <v>171</v>
      </c>
      <c r="K20352" t="s">
        <v>973</v>
      </c>
      <c r="N20352" t="s">
        <v>34037</v>
      </c>
      <c r="O20352" t="s">
        <v>61149</v>
      </c>
      <c r="Q20352">
        <v>0</v>
      </c>
      <c r="R20352">
        <v>75</v>
      </c>
      <c r="S20352">
        <v>0</v>
      </c>
      <c r="T20352" t="s">
        <v>61150</v>
      </c>
    </row>
    <row r="20353" spans="1:20" customFormat="1" ht="15" x14ac:dyDescent="0.25">
      <c r="A20353" t="s">
        <v>24</v>
      </c>
      <c r="B20353" t="s">
        <v>4400</v>
      </c>
      <c r="C20353" t="str">
        <f>"6513Q"</f>
        <v>6513Q</v>
      </c>
      <c r="D20353" t="s">
        <v>61151</v>
      </c>
      <c r="E20353" t="s">
        <v>61152</v>
      </c>
      <c r="F20353" t="s">
        <v>5610</v>
      </c>
      <c r="G20353" t="s">
        <v>1170</v>
      </c>
      <c r="H20353">
        <v>71203</v>
      </c>
      <c r="I20353" t="s">
        <v>30</v>
      </c>
      <c r="J20353" t="s">
        <v>171</v>
      </c>
      <c r="K20353" t="s">
        <v>973</v>
      </c>
      <c r="N20353" t="s">
        <v>61153</v>
      </c>
      <c r="Q20353">
        <v>0</v>
      </c>
      <c r="R20353">
        <v>90</v>
      </c>
      <c r="S20353">
        <v>0</v>
      </c>
      <c r="T20353" t="s">
        <v>61154</v>
      </c>
    </row>
    <row r="20354" spans="1:20" customFormat="1" ht="15" x14ac:dyDescent="0.25">
      <c r="A20354" t="s">
        <v>24</v>
      </c>
      <c r="B20354" t="s">
        <v>675</v>
      </c>
      <c r="C20354" t="str">
        <f>"311W7"</f>
        <v>311W7</v>
      </c>
      <c r="D20354" t="s">
        <v>61167</v>
      </c>
      <c r="E20354" t="s">
        <v>61168</v>
      </c>
      <c r="F20354" t="s">
        <v>14600</v>
      </c>
      <c r="G20354" t="s">
        <v>338</v>
      </c>
      <c r="H20354">
        <v>8054</v>
      </c>
      <c r="I20354" t="s">
        <v>30</v>
      </c>
      <c r="J20354" t="s">
        <v>171</v>
      </c>
      <c r="K20354" t="s">
        <v>973</v>
      </c>
      <c r="N20354" t="s">
        <v>61169</v>
      </c>
      <c r="O20354" t="s">
        <v>61170</v>
      </c>
      <c r="Q20354">
        <v>0</v>
      </c>
      <c r="R20354">
        <v>151</v>
      </c>
      <c r="S20354">
        <v>0</v>
      </c>
      <c r="T20354" t="s">
        <v>61171</v>
      </c>
    </row>
    <row r="20355" spans="1:20" customFormat="1" ht="15" hidden="1" x14ac:dyDescent="0.25">
      <c r="A20355" t="s">
        <v>24</v>
      </c>
      <c r="B20355" t="s">
        <v>675</v>
      </c>
      <c r="C20355" t="str">
        <f>"337F3"</f>
        <v>337F3</v>
      </c>
      <c r="D20355" t="s">
        <v>76028</v>
      </c>
      <c r="E20355" t="s">
        <v>76029</v>
      </c>
      <c r="F20355" t="s">
        <v>13197</v>
      </c>
      <c r="G20355" t="s">
        <v>2206</v>
      </c>
      <c r="H20355" t="s">
        <v>76030</v>
      </c>
      <c r="I20355" t="s">
        <v>1459</v>
      </c>
      <c r="J20355" t="s">
        <v>162</v>
      </c>
      <c r="K20355" t="s">
        <v>1490</v>
      </c>
      <c r="N20355" t="s">
        <v>76031</v>
      </c>
      <c r="Q20355">
        <v>0</v>
      </c>
      <c r="R20355">
        <v>424</v>
      </c>
      <c r="S20355">
        <v>0</v>
      </c>
      <c r="T20355" t="s">
        <v>76032</v>
      </c>
    </row>
    <row r="20356" spans="1:20" customFormat="1" ht="15" x14ac:dyDescent="0.25">
      <c r="A20356" t="s">
        <v>24</v>
      </c>
      <c r="B20356" t="s">
        <v>675</v>
      </c>
      <c r="C20356" t="str">
        <f>"311B1"</f>
        <v>311B1</v>
      </c>
      <c r="D20356" t="s">
        <v>61172</v>
      </c>
      <c r="E20356" t="s">
        <v>61173</v>
      </c>
      <c r="F20356" t="s">
        <v>2971</v>
      </c>
      <c r="G20356" t="s">
        <v>880</v>
      </c>
      <c r="H20356">
        <v>37214</v>
      </c>
      <c r="I20356" t="s">
        <v>30</v>
      </c>
      <c r="J20356" t="s">
        <v>171</v>
      </c>
      <c r="K20356" t="s">
        <v>973</v>
      </c>
      <c r="N20356" t="s">
        <v>61174</v>
      </c>
      <c r="O20356" t="s">
        <v>61175</v>
      </c>
      <c r="Q20356">
        <v>0</v>
      </c>
      <c r="R20356">
        <v>145</v>
      </c>
      <c r="S20356">
        <v>0</v>
      </c>
      <c r="T20356" t="s">
        <v>61176</v>
      </c>
    </row>
    <row r="20357" spans="1:20" customFormat="1" ht="15" x14ac:dyDescent="0.25">
      <c r="A20357" t="s">
        <v>24</v>
      </c>
      <c r="B20357" t="s">
        <v>675</v>
      </c>
      <c r="C20357" t="str">
        <f>"311B7"</f>
        <v>311B7</v>
      </c>
      <c r="D20357" t="s">
        <v>61177</v>
      </c>
      <c r="E20357" t="s">
        <v>61178</v>
      </c>
      <c r="F20357" t="s">
        <v>9846</v>
      </c>
      <c r="G20357" t="s">
        <v>880</v>
      </c>
      <c r="H20357">
        <v>37027</v>
      </c>
      <c r="I20357" t="s">
        <v>30</v>
      </c>
      <c r="J20357" t="s">
        <v>171</v>
      </c>
      <c r="K20357" t="s">
        <v>973</v>
      </c>
      <c r="N20357" t="s">
        <v>61179</v>
      </c>
      <c r="O20357" t="s">
        <v>61180</v>
      </c>
      <c r="Q20357">
        <v>0</v>
      </c>
      <c r="R20357">
        <v>145</v>
      </c>
      <c r="S20357">
        <v>0</v>
      </c>
      <c r="T20357" t="s">
        <v>61181</v>
      </c>
    </row>
    <row r="20358" spans="1:20" customFormat="1" ht="15" x14ac:dyDescent="0.25">
      <c r="A20358" t="s">
        <v>24</v>
      </c>
      <c r="B20358" t="s">
        <v>675</v>
      </c>
      <c r="C20358" t="str">
        <f>"311MX"</f>
        <v>311MX</v>
      </c>
      <c r="D20358" t="s">
        <v>61182</v>
      </c>
      <c r="E20358" t="s">
        <v>61183</v>
      </c>
      <c r="F20358" t="s">
        <v>2971</v>
      </c>
      <c r="G20358" t="s">
        <v>880</v>
      </c>
      <c r="H20358">
        <v>37219</v>
      </c>
      <c r="I20358" t="s">
        <v>30</v>
      </c>
      <c r="J20358" t="s">
        <v>171</v>
      </c>
      <c r="K20358" t="s">
        <v>973</v>
      </c>
      <c r="N20358" t="s">
        <v>61184</v>
      </c>
      <c r="O20358" t="s">
        <v>61185</v>
      </c>
      <c r="Q20358">
        <v>0</v>
      </c>
      <c r="R20358">
        <v>190</v>
      </c>
      <c r="S20358">
        <v>0</v>
      </c>
      <c r="T20358" t="s">
        <v>61186</v>
      </c>
    </row>
    <row r="20359" spans="1:20" customFormat="1" ht="15" x14ac:dyDescent="0.25">
      <c r="A20359" t="s">
        <v>24</v>
      </c>
      <c r="B20359" t="s">
        <v>675</v>
      </c>
      <c r="C20359" t="str">
        <f>"A0087699"</f>
        <v>A0087699</v>
      </c>
      <c r="D20359" t="s">
        <v>61187</v>
      </c>
      <c r="E20359" t="s">
        <v>61188</v>
      </c>
      <c r="F20359" t="s">
        <v>61189</v>
      </c>
      <c r="G20359" t="s">
        <v>880</v>
      </c>
      <c r="H20359">
        <v>37072</v>
      </c>
      <c r="I20359" t="s">
        <v>30</v>
      </c>
      <c r="J20359" t="s">
        <v>171</v>
      </c>
      <c r="K20359" t="s">
        <v>973</v>
      </c>
      <c r="N20359" t="s">
        <v>61190</v>
      </c>
      <c r="O20359" t="s">
        <v>61191</v>
      </c>
      <c r="Q20359">
        <v>0</v>
      </c>
      <c r="R20359">
        <v>120</v>
      </c>
      <c r="S20359">
        <v>0</v>
      </c>
      <c r="T20359" t="s">
        <v>61192</v>
      </c>
    </row>
    <row r="20360" spans="1:20" customFormat="1" ht="15" x14ac:dyDescent="0.25">
      <c r="A20360" t="s">
        <v>24</v>
      </c>
      <c r="B20360" t="s">
        <v>13807</v>
      </c>
      <c r="C20360" t="str">
        <f>"A0093327"</f>
        <v>A0093327</v>
      </c>
      <c r="D20360" t="s">
        <v>61193</v>
      </c>
      <c r="E20360" t="s">
        <v>61194</v>
      </c>
      <c r="F20360" t="s">
        <v>2971</v>
      </c>
      <c r="G20360" t="s">
        <v>880</v>
      </c>
      <c r="H20360">
        <v>37215</v>
      </c>
      <c r="I20360" t="s">
        <v>30</v>
      </c>
      <c r="J20360" t="s">
        <v>171</v>
      </c>
      <c r="K20360" t="s">
        <v>973</v>
      </c>
      <c r="N20360" t="s">
        <v>61195</v>
      </c>
      <c r="O20360" t="s">
        <v>61196</v>
      </c>
      <c r="Q20360">
        <v>0</v>
      </c>
      <c r="R20360">
        <v>124</v>
      </c>
      <c r="S20360">
        <v>0</v>
      </c>
      <c r="T20360" t="s">
        <v>61197</v>
      </c>
    </row>
    <row r="20361" spans="1:20" customFormat="1" ht="15" x14ac:dyDescent="0.25">
      <c r="A20361" t="s">
        <v>24</v>
      </c>
      <c r="B20361" t="s">
        <v>1583</v>
      </c>
      <c r="C20361" t="str">
        <f>"A0098833"</f>
        <v>A0098833</v>
      </c>
      <c r="D20361" t="s">
        <v>76056</v>
      </c>
      <c r="E20361" t="s">
        <v>76057</v>
      </c>
      <c r="F20361" t="s">
        <v>76058</v>
      </c>
      <c r="G20361" t="s">
        <v>4815</v>
      </c>
      <c r="H20361">
        <v>96738</v>
      </c>
      <c r="I20361" t="s">
        <v>30</v>
      </c>
      <c r="J20361" t="s">
        <v>2544</v>
      </c>
      <c r="K20361" t="s">
        <v>76059</v>
      </c>
      <c r="N20361" t="s">
        <v>76060</v>
      </c>
      <c r="Q20361">
        <v>0</v>
      </c>
      <c r="R20361">
        <v>112</v>
      </c>
      <c r="S20361">
        <v>0</v>
      </c>
      <c r="T20361" t="s">
        <v>76061</v>
      </c>
    </row>
    <row r="20362" spans="1:20" customFormat="1" ht="15" x14ac:dyDescent="0.25">
      <c r="A20362" t="s">
        <v>24</v>
      </c>
      <c r="B20362" t="s">
        <v>1583</v>
      </c>
      <c r="C20362" t="str">
        <f>"A0149415"</f>
        <v>A0149415</v>
      </c>
      <c r="D20362" t="s">
        <v>76062</v>
      </c>
      <c r="E20362" t="s">
        <v>76063</v>
      </c>
      <c r="F20362" t="s">
        <v>748</v>
      </c>
      <c r="G20362" t="s">
        <v>110</v>
      </c>
      <c r="H20362">
        <v>94133</v>
      </c>
      <c r="I20362" t="s">
        <v>30</v>
      </c>
      <c r="J20362" t="s">
        <v>2544</v>
      </c>
      <c r="K20362" t="s">
        <v>36059</v>
      </c>
      <c r="N20362" t="s">
        <v>76064</v>
      </c>
      <c r="Q20362">
        <v>0</v>
      </c>
      <c r="R20362">
        <v>234</v>
      </c>
      <c r="S20362">
        <v>0</v>
      </c>
      <c r="T20362" t="s">
        <v>76065</v>
      </c>
    </row>
    <row r="20363" spans="1:20" customFormat="1" ht="15" x14ac:dyDescent="0.25">
      <c r="A20363" t="s">
        <v>24</v>
      </c>
      <c r="B20363" t="s">
        <v>1583</v>
      </c>
      <c r="C20363" t="str">
        <f>"A0076800"</f>
        <v>A0076800</v>
      </c>
      <c r="D20363" t="s">
        <v>76066</v>
      </c>
      <c r="E20363" t="s">
        <v>76067</v>
      </c>
      <c r="F20363" t="s">
        <v>2978</v>
      </c>
      <c r="G20363" t="s">
        <v>110</v>
      </c>
      <c r="H20363">
        <v>92101</v>
      </c>
      <c r="I20363" t="s">
        <v>30</v>
      </c>
      <c r="J20363" t="s">
        <v>2544</v>
      </c>
      <c r="K20363" t="s">
        <v>36059</v>
      </c>
      <c r="N20363" t="s">
        <v>76068</v>
      </c>
      <c r="O20363" t="s">
        <v>76069</v>
      </c>
      <c r="Q20363">
        <v>0</v>
      </c>
      <c r="R20363">
        <v>264</v>
      </c>
      <c r="S20363">
        <v>0</v>
      </c>
      <c r="T20363" t="s">
        <v>76070</v>
      </c>
    </row>
    <row r="20364" spans="1:20" customFormat="1" ht="15" x14ac:dyDescent="0.25">
      <c r="A20364" t="s">
        <v>24</v>
      </c>
      <c r="B20364" t="s">
        <v>1583</v>
      </c>
      <c r="C20364" t="str">
        <f>"A0096236"</f>
        <v>A0096236</v>
      </c>
      <c r="D20364" t="s">
        <v>76071</v>
      </c>
      <c r="E20364" t="s">
        <v>76072</v>
      </c>
      <c r="F20364" t="s">
        <v>1003</v>
      </c>
      <c r="G20364" t="s">
        <v>81</v>
      </c>
      <c r="H20364">
        <v>33139</v>
      </c>
      <c r="I20364" t="s">
        <v>30</v>
      </c>
      <c r="J20364" t="s">
        <v>2544</v>
      </c>
      <c r="K20364" t="s">
        <v>36059</v>
      </c>
      <c r="N20364" t="s">
        <v>76073</v>
      </c>
      <c r="O20364" t="s">
        <v>76074</v>
      </c>
      <c r="Q20364">
        <v>0</v>
      </c>
      <c r="R20364">
        <v>48</v>
      </c>
      <c r="S20364">
        <v>0</v>
      </c>
      <c r="T20364" t="s">
        <v>76075</v>
      </c>
    </row>
    <row r="20365" spans="1:20" customFormat="1" ht="15" x14ac:dyDescent="0.25">
      <c r="A20365" t="s">
        <v>24</v>
      </c>
      <c r="B20365" t="s">
        <v>1583</v>
      </c>
      <c r="C20365" t="str">
        <f>"A0096152"</f>
        <v>A0096152</v>
      </c>
      <c r="D20365" t="s">
        <v>76076</v>
      </c>
      <c r="E20365" t="s">
        <v>76077</v>
      </c>
      <c r="F20365" t="s">
        <v>3880</v>
      </c>
      <c r="G20365" t="s">
        <v>99</v>
      </c>
      <c r="H20365">
        <v>10018</v>
      </c>
      <c r="I20365" t="s">
        <v>30</v>
      </c>
      <c r="J20365" t="s">
        <v>2544</v>
      </c>
      <c r="K20365" t="s">
        <v>36059</v>
      </c>
      <c r="N20365" t="s">
        <v>76078</v>
      </c>
      <c r="O20365" t="s">
        <v>76079</v>
      </c>
      <c r="Q20365">
        <v>0</v>
      </c>
      <c r="R20365">
        <v>0</v>
      </c>
      <c r="S20365">
        <v>0</v>
      </c>
      <c r="T20365" t="s">
        <v>76080</v>
      </c>
    </row>
    <row r="20366" spans="1:20" customFormat="1" ht="15" x14ac:dyDescent="0.25">
      <c r="A20366" t="s">
        <v>24</v>
      </c>
      <c r="B20366" t="s">
        <v>15855</v>
      </c>
      <c r="C20366" t="str">
        <f>"A0096512"</f>
        <v>A0096512</v>
      </c>
      <c r="D20366" t="s">
        <v>61198</v>
      </c>
      <c r="E20366" t="s">
        <v>61199</v>
      </c>
      <c r="F20366" t="s">
        <v>15858</v>
      </c>
      <c r="G20366" t="s">
        <v>880</v>
      </c>
      <c r="H20366">
        <v>37122</v>
      </c>
      <c r="I20366" t="s">
        <v>30</v>
      </c>
      <c r="J20366" t="s">
        <v>171</v>
      </c>
      <c r="K20366" t="s">
        <v>973</v>
      </c>
      <c r="N20366" t="s">
        <v>61200</v>
      </c>
      <c r="Q20366">
        <v>0</v>
      </c>
      <c r="R20366">
        <v>96</v>
      </c>
      <c r="S20366">
        <v>0</v>
      </c>
      <c r="T20366" t="s">
        <v>61201</v>
      </c>
    </row>
    <row r="20367" spans="1:20" customFormat="1" ht="15" x14ac:dyDescent="0.25">
      <c r="A20367" t="s">
        <v>24</v>
      </c>
      <c r="B20367" t="s">
        <v>55128</v>
      </c>
      <c r="C20367" t="str">
        <f>"651UN"</f>
        <v>651UN</v>
      </c>
      <c r="D20367" t="s">
        <v>61202</v>
      </c>
      <c r="E20367" t="s">
        <v>61203</v>
      </c>
      <c r="F20367" t="s">
        <v>2971</v>
      </c>
      <c r="G20367" t="s">
        <v>880</v>
      </c>
      <c r="H20367">
        <v>37214</v>
      </c>
      <c r="I20367" t="s">
        <v>30</v>
      </c>
      <c r="J20367" t="s">
        <v>171</v>
      </c>
      <c r="K20367" t="s">
        <v>973</v>
      </c>
      <c r="Q20367">
        <v>0</v>
      </c>
      <c r="R20367">
        <v>94</v>
      </c>
      <c r="S20367">
        <v>0</v>
      </c>
      <c r="T20367" t="s">
        <v>61204</v>
      </c>
    </row>
    <row r="20368" spans="1:20" customFormat="1" ht="15" x14ac:dyDescent="0.25">
      <c r="A20368" t="s">
        <v>24</v>
      </c>
      <c r="B20368" t="s">
        <v>9391</v>
      </c>
      <c r="C20368" t="str">
        <f>"A0096379"</f>
        <v>A0096379</v>
      </c>
      <c r="D20368" t="s">
        <v>61205</v>
      </c>
      <c r="E20368" t="s">
        <v>61206</v>
      </c>
      <c r="F20368" t="s">
        <v>12806</v>
      </c>
      <c r="G20368" t="s">
        <v>880</v>
      </c>
      <c r="H20368">
        <v>37129</v>
      </c>
      <c r="I20368" t="s">
        <v>30</v>
      </c>
      <c r="J20368" t="s">
        <v>171</v>
      </c>
      <c r="K20368" t="s">
        <v>973</v>
      </c>
      <c r="N20368" t="s">
        <v>61207</v>
      </c>
      <c r="O20368" t="s">
        <v>61208</v>
      </c>
      <c r="Q20368">
        <v>0</v>
      </c>
      <c r="R20368">
        <v>113</v>
      </c>
      <c r="S20368">
        <v>0</v>
      </c>
      <c r="T20368" t="s">
        <v>61209</v>
      </c>
    </row>
    <row r="20369" spans="1:25" customFormat="1" ht="15" x14ac:dyDescent="0.25">
      <c r="A20369" t="s">
        <v>24</v>
      </c>
      <c r="B20369" t="s">
        <v>675</v>
      </c>
      <c r="C20369" t="str">
        <f>"337L0"</f>
        <v>337L0</v>
      </c>
      <c r="D20369" t="s">
        <v>76096</v>
      </c>
      <c r="E20369" t="s">
        <v>76097</v>
      </c>
      <c r="F20369" t="s">
        <v>28</v>
      </c>
      <c r="G20369" t="s">
        <v>29</v>
      </c>
      <c r="H20369">
        <v>20151</v>
      </c>
      <c r="I20369" t="s">
        <v>30</v>
      </c>
      <c r="J20369" t="s">
        <v>7657</v>
      </c>
      <c r="K20369" t="s">
        <v>57369</v>
      </c>
      <c r="N20369" t="s">
        <v>76098</v>
      </c>
      <c r="O20369" t="s">
        <v>76099</v>
      </c>
      <c r="Q20369">
        <v>1</v>
      </c>
      <c r="R20369">
        <v>335</v>
      </c>
      <c r="S20369">
        <v>0</v>
      </c>
      <c r="T20369" t="s">
        <v>76100</v>
      </c>
    </row>
    <row r="20370" spans="1:25" customFormat="1" ht="15" x14ac:dyDescent="0.25">
      <c r="A20370" t="s">
        <v>24</v>
      </c>
      <c r="B20370" t="s">
        <v>1323</v>
      </c>
      <c r="C20370" t="str">
        <f>"A0091261"</f>
        <v>A0091261</v>
      </c>
      <c r="D20370" t="s">
        <v>61210</v>
      </c>
      <c r="E20370" t="s">
        <v>61211</v>
      </c>
      <c r="F20370" t="s">
        <v>61212</v>
      </c>
      <c r="G20370" t="s">
        <v>52</v>
      </c>
      <c r="H20370">
        <v>77058</v>
      </c>
      <c r="I20370" t="s">
        <v>30</v>
      </c>
      <c r="J20370" t="s">
        <v>171</v>
      </c>
      <c r="K20370" t="s">
        <v>973</v>
      </c>
      <c r="N20370" t="s">
        <v>61213</v>
      </c>
      <c r="O20370" t="s">
        <v>61214</v>
      </c>
      <c r="Q20370">
        <v>0</v>
      </c>
      <c r="R20370">
        <v>124</v>
      </c>
      <c r="S20370">
        <v>0</v>
      </c>
      <c r="T20370" t="s">
        <v>61215</v>
      </c>
    </row>
    <row r="20371" spans="1:25" customFormat="1" ht="15" x14ac:dyDescent="0.25">
      <c r="A20371" t="s">
        <v>24</v>
      </c>
      <c r="B20371" t="s">
        <v>1583</v>
      </c>
      <c r="C20371" t="str">
        <f>"A0054035"</f>
        <v>A0054035</v>
      </c>
      <c r="D20371" t="s">
        <v>76106</v>
      </c>
      <c r="E20371" t="s">
        <v>76107</v>
      </c>
      <c r="F20371" t="s">
        <v>12897</v>
      </c>
      <c r="G20371" t="s">
        <v>4815</v>
      </c>
      <c r="H20371">
        <v>96766</v>
      </c>
      <c r="I20371" t="s">
        <v>30</v>
      </c>
      <c r="J20371" t="s">
        <v>2544</v>
      </c>
      <c r="K20371" t="s">
        <v>36059</v>
      </c>
      <c r="N20371" t="s">
        <v>76108</v>
      </c>
      <c r="Q20371">
        <v>2</v>
      </c>
      <c r="R20371">
        <v>3</v>
      </c>
      <c r="S20371">
        <v>0</v>
      </c>
      <c r="T20371" t="s">
        <v>76109</v>
      </c>
    </row>
    <row r="20372" spans="1:25" customFormat="1" ht="15" x14ac:dyDescent="0.25">
      <c r="A20372" t="s">
        <v>24</v>
      </c>
      <c r="B20372" t="s">
        <v>1583</v>
      </c>
      <c r="C20372" t="str">
        <f>"38A71"</f>
        <v>38A71</v>
      </c>
      <c r="D20372" t="s">
        <v>76110</v>
      </c>
      <c r="E20372" t="s">
        <v>57727</v>
      </c>
      <c r="F20372" t="s">
        <v>196</v>
      </c>
      <c r="G20372" t="s">
        <v>197</v>
      </c>
      <c r="H20372">
        <v>85054</v>
      </c>
      <c r="I20372" t="s">
        <v>30</v>
      </c>
      <c r="J20372" t="s">
        <v>2544</v>
      </c>
      <c r="K20372" t="s">
        <v>36059</v>
      </c>
      <c r="N20372" t="s">
        <v>76111</v>
      </c>
      <c r="O20372" t="s">
        <v>76112</v>
      </c>
      <c r="Q20372">
        <v>0</v>
      </c>
      <c r="R20372">
        <v>87</v>
      </c>
      <c r="S20372">
        <v>0</v>
      </c>
      <c r="T20372" t="s">
        <v>76113</v>
      </c>
    </row>
    <row r="20373" spans="1:25" customFormat="1" ht="15" x14ac:dyDescent="0.25">
      <c r="A20373" t="s">
        <v>24</v>
      </c>
      <c r="B20373" t="s">
        <v>1583</v>
      </c>
      <c r="C20373" t="str">
        <f>"38A46"</f>
        <v>38A46</v>
      </c>
      <c r="D20373" t="s">
        <v>76114</v>
      </c>
      <c r="E20373" t="s">
        <v>76115</v>
      </c>
      <c r="F20373" t="s">
        <v>1011</v>
      </c>
      <c r="G20373" t="s">
        <v>338</v>
      </c>
      <c r="H20373">
        <v>8205</v>
      </c>
      <c r="I20373" t="s">
        <v>30</v>
      </c>
      <c r="J20373" t="s">
        <v>2544</v>
      </c>
      <c r="K20373" t="s">
        <v>36059</v>
      </c>
      <c r="N20373" t="s">
        <v>76116</v>
      </c>
      <c r="O20373" t="s">
        <v>76117</v>
      </c>
      <c r="Q20373">
        <v>0</v>
      </c>
      <c r="R20373">
        <v>180</v>
      </c>
      <c r="S20373">
        <v>0</v>
      </c>
      <c r="T20373" t="s">
        <v>76118</v>
      </c>
    </row>
    <row r="20374" spans="1:25" customFormat="1" ht="15" x14ac:dyDescent="0.25">
      <c r="A20374" t="s">
        <v>24</v>
      </c>
      <c r="B20374" t="s">
        <v>1583</v>
      </c>
      <c r="C20374" t="str">
        <f>"38A41"</f>
        <v>38A41</v>
      </c>
      <c r="D20374" t="s">
        <v>76119</v>
      </c>
      <c r="E20374" t="s">
        <v>76120</v>
      </c>
      <c r="F20374" t="s">
        <v>985</v>
      </c>
      <c r="G20374" t="s">
        <v>81</v>
      </c>
      <c r="H20374">
        <v>32821</v>
      </c>
      <c r="I20374" t="s">
        <v>30</v>
      </c>
      <c r="J20374" t="s">
        <v>2544</v>
      </c>
      <c r="K20374" t="s">
        <v>36059</v>
      </c>
      <c r="N20374" t="s">
        <v>76121</v>
      </c>
      <c r="O20374" t="s">
        <v>76122</v>
      </c>
      <c r="Q20374">
        <v>1</v>
      </c>
      <c r="R20374">
        <v>724</v>
      </c>
      <c r="S20374">
        <v>0</v>
      </c>
      <c r="T20374" t="s">
        <v>76123</v>
      </c>
    </row>
    <row r="20375" spans="1:25" customFormat="1" ht="15" x14ac:dyDescent="0.25">
      <c r="A20375" t="s">
        <v>24</v>
      </c>
      <c r="B20375" t="s">
        <v>1583</v>
      </c>
      <c r="C20375" t="str">
        <f>"38M19"</f>
        <v>38M19</v>
      </c>
      <c r="D20375" t="s">
        <v>76124</v>
      </c>
      <c r="E20375" t="s">
        <v>76125</v>
      </c>
      <c r="F20375" t="s">
        <v>60633</v>
      </c>
      <c r="G20375" t="s">
        <v>58</v>
      </c>
      <c r="H20375">
        <v>29928</v>
      </c>
      <c r="I20375" t="s">
        <v>30</v>
      </c>
      <c r="J20375" t="s">
        <v>2544</v>
      </c>
      <c r="K20375" t="s">
        <v>36059</v>
      </c>
      <c r="N20375" t="s">
        <v>76126</v>
      </c>
      <c r="Q20375">
        <v>0</v>
      </c>
      <c r="R20375">
        <v>122</v>
      </c>
      <c r="S20375">
        <v>0</v>
      </c>
      <c r="T20375" t="s">
        <v>76127</v>
      </c>
    </row>
    <row r="20376" spans="1:25" customFormat="1" ht="15" x14ac:dyDescent="0.25">
      <c r="A20376" t="s">
        <v>24</v>
      </c>
      <c r="B20376" t="s">
        <v>1583</v>
      </c>
      <c r="C20376" t="str">
        <f>"38A43"</f>
        <v>38A43</v>
      </c>
      <c r="D20376" t="s">
        <v>76128</v>
      </c>
      <c r="E20376" t="s">
        <v>76129</v>
      </c>
      <c r="F20376" t="s">
        <v>76130</v>
      </c>
      <c r="G20376" t="s">
        <v>81</v>
      </c>
      <c r="H20376">
        <v>33404</v>
      </c>
      <c r="I20376" t="s">
        <v>30</v>
      </c>
      <c r="J20376" t="s">
        <v>2544</v>
      </c>
      <c r="K20376" t="s">
        <v>36059</v>
      </c>
      <c r="N20376" t="s">
        <v>76131</v>
      </c>
      <c r="O20376" t="s">
        <v>76132</v>
      </c>
      <c r="Q20376">
        <v>0</v>
      </c>
      <c r="R20376">
        <v>682</v>
      </c>
      <c r="S20376">
        <v>0</v>
      </c>
      <c r="T20376" t="s">
        <v>76133</v>
      </c>
    </row>
    <row r="20377" spans="1:25" customFormat="1" ht="15" x14ac:dyDescent="0.25">
      <c r="A20377" t="s">
        <v>24</v>
      </c>
      <c r="B20377" t="s">
        <v>2360</v>
      </c>
      <c r="C20377" t="str">
        <f>"A0050470"</f>
        <v>A0050470</v>
      </c>
      <c r="D20377" t="s">
        <v>76134</v>
      </c>
      <c r="E20377" t="s">
        <v>76135</v>
      </c>
      <c r="F20377" t="s">
        <v>33699</v>
      </c>
      <c r="G20377" t="s">
        <v>81</v>
      </c>
      <c r="H20377">
        <v>32080</v>
      </c>
      <c r="I20377" t="s">
        <v>30</v>
      </c>
      <c r="J20377" t="s">
        <v>178</v>
      </c>
      <c r="K20377" t="s">
        <v>55688</v>
      </c>
      <c r="N20377" t="s">
        <v>76136</v>
      </c>
      <c r="Q20377">
        <v>0</v>
      </c>
      <c r="R20377">
        <v>0</v>
      </c>
      <c r="S20377">
        <v>0</v>
      </c>
      <c r="T20377" t="s">
        <v>76137</v>
      </c>
    </row>
    <row r="20378" spans="1:25" customFormat="1" ht="15" x14ac:dyDescent="0.25">
      <c r="A20378" t="s">
        <v>24</v>
      </c>
      <c r="B20378" t="s">
        <v>76138</v>
      </c>
      <c r="C20378" t="str">
        <f>"A0153238"</f>
        <v>A0153238</v>
      </c>
      <c r="D20378" t="s">
        <v>76139</v>
      </c>
      <c r="E20378" t="s">
        <v>76140</v>
      </c>
      <c r="F20378" t="s">
        <v>7455</v>
      </c>
      <c r="G20378" t="s">
        <v>123</v>
      </c>
      <c r="H20378">
        <v>21202</v>
      </c>
      <c r="I20378" t="s">
        <v>30</v>
      </c>
      <c r="J20378" t="s">
        <v>2558</v>
      </c>
      <c r="K20378" t="s">
        <v>163</v>
      </c>
      <c r="N20378" t="s">
        <v>76141</v>
      </c>
      <c r="O20378" t="s">
        <v>76142</v>
      </c>
      <c r="Q20378">
        <v>0</v>
      </c>
      <c r="R20378">
        <v>0</v>
      </c>
      <c r="S20378">
        <v>0</v>
      </c>
      <c r="T20378" t="s">
        <v>76143</v>
      </c>
    </row>
    <row r="20379" spans="1:25" customFormat="1" ht="15" x14ac:dyDescent="0.25">
      <c r="A20379" t="s">
        <v>24</v>
      </c>
      <c r="B20379" t="s">
        <v>3367</v>
      </c>
      <c r="C20379" t="str">
        <f>"A0092372"</f>
        <v>A0092372</v>
      </c>
      <c r="D20379" t="s">
        <v>76144</v>
      </c>
      <c r="E20379" t="s">
        <v>76145</v>
      </c>
      <c r="F20379" t="s">
        <v>5999</v>
      </c>
      <c r="G20379" t="s">
        <v>71</v>
      </c>
      <c r="H20379">
        <v>53202</v>
      </c>
      <c r="I20379" t="s">
        <v>30</v>
      </c>
      <c r="J20379" t="s">
        <v>1004</v>
      </c>
      <c r="K20379" t="s">
        <v>163</v>
      </c>
      <c r="Q20379">
        <v>0</v>
      </c>
      <c r="R20379">
        <v>0</v>
      </c>
      <c r="S20379">
        <v>0</v>
      </c>
      <c r="T20379" t="s">
        <v>76146</v>
      </c>
    </row>
    <row r="20380" spans="1:25" customFormat="1" ht="15" x14ac:dyDescent="0.25">
      <c r="A20380" t="s">
        <v>24</v>
      </c>
      <c r="B20380" t="s">
        <v>1583</v>
      </c>
      <c r="C20380" t="str">
        <f>"38A58"</f>
        <v>38A58</v>
      </c>
      <c r="D20380" t="s">
        <v>76147</v>
      </c>
      <c r="E20380" t="s">
        <v>76148</v>
      </c>
      <c r="F20380" t="s">
        <v>76149</v>
      </c>
      <c r="G20380" t="s">
        <v>4815</v>
      </c>
      <c r="H20380">
        <v>96761</v>
      </c>
      <c r="I20380" t="s">
        <v>30</v>
      </c>
      <c r="J20380" t="s">
        <v>2544</v>
      </c>
      <c r="K20380" t="s">
        <v>36059</v>
      </c>
      <c r="N20380" t="s">
        <v>76150</v>
      </c>
      <c r="O20380" t="s">
        <v>76151</v>
      </c>
      <c r="Q20380">
        <v>0</v>
      </c>
      <c r="R20380">
        <v>459</v>
      </c>
      <c r="S20380">
        <v>0</v>
      </c>
      <c r="T20380" t="s">
        <v>76152</v>
      </c>
    </row>
    <row r="20381" spans="1:25" customFormat="1" ht="15" x14ac:dyDescent="0.25">
      <c r="A20381" t="s">
        <v>24</v>
      </c>
      <c r="B20381" t="s">
        <v>1583</v>
      </c>
      <c r="C20381" t="str">
        <f>"A0100717"</f>
        <v>A0100717</v>
      </c>
      <c r="D20381" t="s">
        <v>76153</v>
      </c>
      <c r="E20381" t="s">
        <v>76148</v>
      </c>
      <c r="F20381" t="s">
        <v>35740</v>
      </c>
      <c r="G20381" t="s">
        <v>4815</v>
      </c>
      <c r="H20381">
        <v>96761</v>
      </c>
      <c r="I20381" t="s">
        <v>30</v>
      </c>
      <c r="J20381" t="s">
        <v>191</v>
      </c>
      <c r="K20381" t="s">
        <v>6809</v>
      </c>
      <c r="N20381" t="s">
        <v>76154</v>
      </c>
      <c r="Q20381">
        <v>0</v>
      </c>
      <c r="R20381">
        <v>0</v>
      </c>
      <c r="S20381">
        <v>0</v>
      </c>
      <c r="T20381" t="s">
        <v>76155</v>
      </c>
    </row>
    <row r="20382" spans="1:25" x14ac:dyDescent="0.25">
      <c r="A20382" s="5" t="s">
        <v>24</v>
      </c>
      <c r="B20382" s="5" t="s">
        <v>12638</v>
      </c>
      <c r="C20382" s="5" t="str">
        <f>"A0067042"</f>
        <v>A0067042</v>
      </c>
      <c r="D20382" s="5" t="s">
        <v>61216</v>
      </c>
      <c r="E20382" s="5" t="s">
        <v>61217</v>
      </c>
      <c r="F20382" s="5" t="s">
        <v>57354</v>
      </c>
      <c r="G20382" s="5" t="s">
        <v>214</v>
      </c>
      <c r="H20382" s="5">
        <v>28560</v>
      </c>
      <c r="I20382" s="5" t="s">
        <v>30</v>
      </c>
      <c r="J20382" s="5" t="s">
        <v>171</v>
      </c>
      <c r="K20382" s="5" t="s">
        <v>973</v>
      </c>
      <c r="L20382" s="5"/>
      <c r="M20382" s="5"/>
      <c r="N20382" s="5" t="s">
        <v>61218</v>
      </c>
      <c r="O20382" s="5"/>
      <c r="P20382" s="5"/>
      <c r="Q20382" s="5">
        <v>0</v>
      </c>
      <c r="R20382" s="5">
        <v>100</v>
      </c>
      <c r="S20382" s="5">
        <v>0</v>
      </c>
      <c r="T20382" s="5" t="s">
        <v>61219</v>
      </c>
      <c r="U20382" s="5"/>
      <c r="V20382" s="5"/>
      <c r="W20382" s="5"/>
      <c r="X20382" s="5"/>
      <c r="Y20382" s="5"/>
    </row>
    <row r="20383" spans="1:25" x14ac:dyDescent="0.25">
      <c r="A20383" s="5" t="s">
        <v>24</v>
      </c>
      <c r="B20383" s="5" t="s">
        <v>675</v>
      </c>
      <c r="C20383" s="5" t="str">
        <f>"311MU"</f>
        <v>311MU</v>
      </c>
      <c r="D20383" s="5" t="s">
        <v>61220</v>
      </c>
      <c r="E20383" s="5" t="s">
        <v>61221</v>
      </c>
      <c r="F20383" s="5" t="s">
        <v>53840</v>
      </c>
      <c r="G20383" s="5" t="s">
        <v>1170</v>
      </c>
      <c r="H20383" s="5">
        <v>70433</v>
      </c>
      <c r="I20383" s="5" t="s">
        <v>30</v>
      </c>
      <c r="J20383" s="5" t="s">
        <v>171</v>
      </c>
      <c r="K20383" s="5" t="s">
        <v>973</v>
      </c>
      <c r="L20383" s="5"/>
      <c r="M20383" s="5"/>
      <c r="N20383" s="5" t="s">
        <v>61222</v>
      </c>
      <c r="O20383" s="5" t="s">
        <v>61223</v>
      </c>
      <c r="P20383" s="5"/>
      <c r="Q20383" s="5">
        <v>0</v>
      </c>
      <c r="R20383" s="5">
        <v>141</v>
      </c>
      <c r="S20383" s="5">
        <v>0</v>
      </c>
      <c r="T20383" s="5" t="s">
        <v>61224</v>
      </c>
      <c r="U20383" s="5"/>
      <c r="V20383" s="5"/>
      <c r="W20383" s="5"/>
      <c r="X20383" s="5"/>
      <c r="Y20383" s="5"/>
    </row>
    <row r="20384" spans="1:25" x14ac:dyDescent="0.25">
      <c r="A20384" s="5" t="s">
        <v>24</v>
      </c>
      <c r="B20384" s="5" t="s">
        <v>675</v>
      </c>
      <c r="C20384" s="5" t="str">
        <f>"73R47"</f>
        <v>73R47</v>
      </c>
      <c r="D20384" s="5" t="s">
        <v>61225</v>
      </c>
      <c r="E20384" s="5" t="s">
        <v>61226</v>
      </c>
      <c r="F20384" s="5" t="s">
        <v>7095</v>
      </c>
      <c r="G20384" s="5" t="s">
        <v>1170</v>
      </c>
      <c r="H20384" s="5">
        <v>70112</v>
      </c>
      <c r="I20384" s="5" t="s">
        <v>30</v>
      </c>
      <c r="J20384" s="5" t="s">
        <v>171</v>
      </c>
      <c r="K20384" s="5" t="s">
        <v>973</v>
      </c>
      <c r="L20384" s="5"/>
      <c r="M20384" s="5"/>
      <c r="N20384" s="5" t="s">
        <v>61227</v>
      </c>
      <c r="O20384" s="5"/>
      <c r="P20384" s="5"/>
      <c r="Q20384" s="5">
        <v>0</v>
      </c>
      <c r="R20384" s="5">
        <v>230</v>
      </c>
      <c r="S20384" s="5">
        <v>0</v>
      </c>
      <c r="T20384" s="5" t="s">
        <v>61228</v>
      </c>
      <c r="U20384" s="5"/>
      <c r="V20384" s="5"/>
      <c r="W20384" s="5"/>
      <c r="X20384" s="5"/>
      <c r="Y20384" s="5"/>
    </row>
    <row r="20385" spans="1:25" x14ac:dyDescent="0.25">
      <c r="A20385" s="5" t="s">
        <v>24</v>
      </c>
      <c r="B20385" s="5" t="s">
        <v>675</v>
      </c>
      <c r="C20385" s="5" t="str">
        <f>"311AM"</f>
        <v>311AM</v>
      </c>
      <c r="D20385" s="5" t="s">
        <v>61229</v>
      </c>
      <c r="E20385" s="5" t="s">
        <v>61230</v>
      </c>
      <c r="F20385" s="5" t="s">
        <v>1580</v>
      </c>
      <c r="G20385" s="5" t="s">
        <v>1170</v>
      </c>
      <c r="H20385" s="5">
        <v>70001</v>
      </c>
      <c r="I20385" s="5" t="s">
        <v>30</v>
      </c>
      <c r="J20385" s="5" t="s">
        <v>171</v>
      </c>
      <c r="K20385" s="5" t="s">
        <v>973</v>
      </c>
      <c r="L20385" s="5"/>
      <c r="M20385" s="5"/>
      <c r="N20385" s="5" t="s">
        <v>61231</v>
      </c>
      <c r="O20385" s="5" t="s">
        <v>61232</v>
      </c>
      <c r="P20385" s="5"/>
      <c r="Q20385" s="5">
        <v>0</v>
      </c>
      <c r="R20385" s="5">
        <v>153</v>
      </c>
      <c r="S20385" s="5">
        <v>0</v>
      </c>
      <c r="T20385" s="5" t="s">
        <v>61233</v>
      </c>
      <c r="U20385" s="5"/>
      <c r="V20385" s="5"/>
      <c r="W20385" s="5"/>
      <c r="X20385" s="5"/>
      <c r="Y20385" s="5"/>
    </row>
    <row r="20386" spans="1:25" customFormat="1" ht="15" x14ac:dyDescent="0.25">
      <c r="A20386" t="s">
        <v>24</v>
      </c>
      <c r="B20386" t="s">
        <v>1583</v>
      </c>
      <c r="C20386" t="str">
        <f>"A0100709"</f>
        <v>A0100709</v>
      </c>
      <c r="D20386" t="s">
        <v>76176</v>
      </c>
      <c r="E20386" t="s">
        <v>76177</v>
      </c>
      <c r="F20386" t="s">
        <v>313</v>
      </c>
      <c r="G20386" t="s">
        <v>314</v>
      </c>
      <c r="H20386">
        <v>20036</v>
      </c>
      <c r="I20386" t="s">
        <v>30</v>
      </c>
      <c r="J20386" t="s">
        <v>191</v>
      </c>
      <c r="K20386" t="s">
        <v>6809</v>
      </c>
      <c r="N20386" t="s">
        <v>57296</v>
      </c>
      <c r="Q20386">
        <v>0</v>
      </c>
      <c r="R20386">
        <v>0</v>
      </c>
      <c r="S20386">
        <v>0</v>
      </c>
      <c r="T20386" t="s">
        <v>57297</v>
      </c>
    </row>
    <row r="20387" spans="1:25" customFormat="1" ht="15" x14ac:dyDescent="0.25">
      <c r="A20387" t="s">
        <v>24</v>
      </c>
      <c r="B20387" t="s">
        <v>1528</v>
      </c>
      <c r="C20387" t="str">
        <f>"337GE"</f>
        <v>337GE</v>
      </c>
      <c r="D20387" t="s">
        <v>76178</v>
      </c>
      <c r="E20387" t="s">
        <v>76179</v>
      </c>
      <c r="F20387" t="s">
        <v>76180</v>
      </c>
      <c r="G20387" t="s">
        <v>76</v>
      </c>
      <c r="H20387">
        <v>98367</v>
      </c>
      <c r="I20387" t="s">
        <v>30</v>
      </c>
      <c r="J20387" t="s">
        <v>2415</v>
      </c>
      <c r="K20387" t="s">
        <v>163</v>
      </c>
      <c r="N20387" t="s">
        <v>76181</v>
      </c>
      <c r="P20387" t="s">
        <v>6426</v>
      </c>
      <c r="Q20387">
        <v>1</v>
      </c>
      <c r="R20387">
        <v>0</v>
      </c>
      <c r="S20387">
        <v>0</v>
      </c>
      <c r="T20387" t="s">
        <v>76182</v>
      </c>
    </row>
    <row r="20388" spans="1:25" customFormat="1" ht="15" x14ac:dyDescent="0.25">
      <c r="A20388" t="s">
        <v>24</v>
      </c>
      <c r="B20388" t="s">
        <v>342</v>
      </c>
      <c r="C20388" t="str">
        <f>"A0088287"</f>
        <v>A0088287</v>
      </c>
      <c r="D20388" t="s">
        <v>76183</v>
      </c>
      <c r="E20388" t="s">
        <v>76184</v>
      </c>
      <c r="F20388" t="s">
        <v>3955</v>
      </c>
      <c r="G20388" t="s">
        <v>81</v>
      </c>
      <c r="H20388">
        <v>33607</v>
      </c>
      <c r="I20388" t="s">
        <v>30</v>
      </c>
      <c r="J20388" t="s">
        <v>191</v>
      </c>
      <c r="K20388" t="s">
        <v>11889</v>
      </c>
      <c r="N20388" t="s">
        <v>76185</v>
      </c>
      <c r="O20388" t="s">
        <v>76186</v>
      </c>
      <c r="Q20388">
        <v>0</v>
      </c>
      <c r="R20388">
        <v>0</v>
      </c>
      <c r="S20388">
        <v>0</v>
      </c>
      <c r="T20388" t="s">
        <v>76187</v>
      </c>
    </row>
    <row r="20389" spans="1:25" customFormat="1" ht="15" x14ac:dyDescent="0.25">
      <c r="A20389" t="s">
        <v>24</v>
      </c>
      <c r="B20389" t="s">
        <v>6667</v>
      </c>
      <c r="C20389" t="str">
        <f>"A0067783"</f>
        <v>A0067783</v>
      </c>
      <c r="D20389" t="s">
        <v>76188</v>
      </c>
      <c r="E20389" t="s">
        <v>76189</v>
      </c>
      <c r="F20389" t="s">
        <v>2120</v>
      </c>
      <c r="G20389" t="s">
        <v>52</v>
      </c>
      <c r="H20389">
        <v>79403</v>
      </c>
      <c r="I20389" t="s">
        <v>30</v>
      </c>
      <c r="J20389" t="s">
        <v>178</v>
      </c>
      <c r="K20389" t="s">
        <v>6667</v>
      </c>
      <c r="N20389" t="s">
        <v>76190</v>
      </c>
      <c r="P20389" t="s">
        <v>6426</v>
      </c>
      <c r="Q20389">
        <v>2</v>
      </c>
      <c r="R20389">
        <v>0</v>
      </c>
      <c r="S20389">
        <v>0</v>
      </c>
      <c r="T20389" t="s">
        <v>76191</v>
      </c>
    </row>
    <row r="20390" spans="1:25" customFormat="1" ht="15" x14ac:dyDescent="0.25">
      <c r="A20390" t="s">
        <v>24</v>
      </c>
      <c r="B20390" t="s">
        <v>6667</v>
      </c>
      <c r="C20390" t="str">
        <f>"A0096662"</f>
        <v>A0096662</v>
      </c>
      <c r="D20390" t="s">
        <v>76192</v>
      </c>
      <c r="E20390" t="s">
        <v>76193</v>
      </c>
      <c r="F20390" t="s">
        <v>54230</v>
      </c>
      <c r="G20390" t="s">
        <v>110</v>
      </c>
      <c r="H20390">
        <v>92649</v>
      </c>
      <c r="I20390" t="s">
        <v>30</v>
      </c>
      <c r="J20390" t="s">
        <v>178</v>
      </c>
      <c r="K20390" t="s">
        <v>6667</v>
      </c>
      <c r="N20390" t="s">
        <v>76194</v>
      </c>
      <c r="O20390" t="s">
        <v>76195</v>
      </c>
      <c r="Q20390">
        <v>0</v>
      </c>
      <c r="R20390">
        <v>0</v>
      </c>
      <c r="S20390">
        <v>0</v>
      </c>
      <c r="T20390" t="s">
        <v>76196</v>
      </c>
    </row>
    <row r="20391" spans="1:25" customFormat="1" ht="15" x14ac:dyDescent="0.25">
      <c r="A20391" t="s">
        <v>24</v>
      </c>
      <c r="B20391" t="s">
        <v>2373</v>
      </c>
      <c r="C20391" t="str">
        <f>"311EA"</f>
        <v>311EA</v>
      </c>
      <c r="D20391" t="s">
        <v>61234</v>
      </c>
      <c r="E20391" t="s">
        <v>61235</v>
      </c>
      <c r="F20391" t="s">
        <v>997</v>
      </c>
      <c r="G20391" t="s">
        <v>99</v>
      </c>
      <c r="H20391">
        <v>10022</v>
      </c>
      <c r="I20391" t="s">
        <v>30</v>
      </c>
      <c r="J20391" t="s">
        <v>171</v>
      </c>
      <c r="K20391" t="s">
        <v>973</v>
      </c>
      <c r="N20391" t="s">
        <v>61236</v>
      </c>
      <c r="O20391" t="s">
        <v>61237</v>
      </c>
      <c r="Q20391">
        <v>0</v>
      </c>
      <c r="R20391">
        <v>308</v>
      </c>
      <c r="S20391">
        <v>0</v>
      </c>
      <c r="T20391" t="s">
        <v>61238</v>
      </c>
    </row>
    <row r="20392" spans="1:25" customFormat="1" ht="15" x14ac:dyDescent="0.25">
      <c r="A20392" t="s">
        <v>24</v>
      </c>
      <c r="B20392" t="s">
        <v>2360</v>
      </c>
      <c r="C20392" t="str">
        <f>"A0052922"</f>
        <v>A0052922</v>
      </c>
      <c r="D20392" t="s">
        <v>76201</v>
      </c>
      <c r="E20392" t="s">
        <v>76202</v>
      </c>
      <c r="F20392" t="s">
        <v>76203</v>
      </c>
      <c r="G20392" t="s">
        <v>161</v>
      </c>
      <c r="H20392">
        <v>55340</v>
      </c>
      <c r="I20392" t="s">
        <v>30</v>
      </c>
      <c r="J20392" t="s">
        <v>178</v>
      </c>
      <c r="K20392" t="s">
        <v>55688</v>
      </c>
      <c r="N20392" t="s">
        <v>76204</v>
      </c>
      <c r="Q20392">
        <v>1</v>
      </c>
      <c r="R20392">
        <v>0</v>
      </c>
      <c r="S20392">
        <v>0</v>
      </c>
      <c r="T20392" t="s">
        <v>76205</v>
      </c>
    </row>
    <row r="20393" spans="1:25" customFormat="1" ht="15" x14ac:dyDescent="0.25">
      <c r="A20393" t="s">
        <v>24</v>
      </c>
      <c r="B20393" t="s">
        <v>799</v>
      </c>
      <c r="C20393" t="str">
        <f>"A0165645"</f>
        <v>A0165645</v>
      </c>
      <c r="D20393" t="s">
        <v>76206</v>
      </c>
      <c r="E20393" t="s">
        <v>76207</v>
      </c>
      <c r="F20393" t="s">
        <v>5369</v>
      </c>
      <c r="G20393" t="s">
        <v>58</v>
      </c>
      <c r="H20393">
        <v>29401</v>
      </c>
      <c r="I20393" t="s">
        <v>30</v>
      </c>
      <c r="J20393" t="s">
        <v>145</v>
      </c>
      <c r="K20393" t="s">
        <v>163</v>
      </c>
      <c r="N20393" t="s">
        <v>76208</v>
      </c>
      <c r="Q20393">
        <v>0</v>
      </c>
      <c r="R20393">
        <v>56</v>
      </c>
      <c r="S20393">
        <v>0</v>
      </c>
      <c r="T20393" t="s">
        <v>76209</v>
      </c>
    </row>
    <row r="20394" spans="1:25" hidden="1" x14ac:dyDescent="0.25">
      <c r="A20394" s="3" t="s">
        <v>24</v>
      </c>
      <c r="B20394" s="3" t="s">
        <v>74366</v>
      </c>
      <c r="C20394" s="3" t="str">
        <f>"A0096202"</f>
        <v>A0096202</v>
      </c>
      <c r="D20394" s="3" t="s">
        <v>76210</v>
      </c>
      <c r="E20394" s="3" t="s">
        <v>76211</v>
      </c>
      <c r="F20394" s="3" t="s">
        <v>76212</v>
      </c>
      <c r="G20394" s="3" t="s">
        <v>10038</v>
      </c>
      <c r="I20394" s="3" t="s">
        <v>1308</v>
      </c>
      <c r="J20394" s="3" t="s">
        <v>206</v>
      </c>
      <c r="K20394" s="3" t="s">
        <v>5146</v>
      </c>
      <c r="N20394" s="3" t="s">
        <v>76213</v>
      </c>
      <c r="Q20394" s="3">
        <v>0</v>
      </c>
      <c r="R20394" s="3">
        <v>232</v>
      </c>
      <c r="S20394" s="3">
        <v>0</v>
      </c>
      <c r="T20394" s="3" t="s">
        <v>76214</v>
      </c>
    </row>
    <row r="20395" spans="1:25" customFormat="1" ht="15" x14ac:dyDescent="0.25">
      <c r="A20395" t="s">
        <v>24</v>
      </c>
      <c r="B20395" t="s">
        <v>61239</v>
      </c>
      <c r="C20395" t="str">
        <f>"A0148955"</f>
        <v>A0148955</v>
      </c>
      <c r="D20395" t="s">
        <v>61240</v>
      </c>
      <c r="E20395" t="s">
        <v>61241</v>
      </c>
      <c r="F20395" t="s">
        <v>3880</v>
      </c>
      <c r="G20395" t="s">
        <v>99</v>
      </c>
      <c r="H20395">
        <v>10001</v>
      </c>
      <c r="I20395" t="s">
        <v>30</v>
      </c>
      <c r="J20395" t="s">
        <v>171</v>
      </c>
      <c r="K20395" t="s">
        <v>973</v>
      </c>
      <c r="N20395" t="s">
        <v>61242</v>
      </c>
      <c r="O20395" t="s">
        <v>61243</v>
      </c>
      <c r="Q20395">
        <v>0</v>
      </c>
      <c r="R20395">
        <v>399</v>
      </c>
      <c r="S20395">
        <v>0</v>
      </c>
      <c r="T20395" t="s">
        <v>61244</v>
      </c>
    </row>
    <row r="20396" spans="1:25" x14ac:dyDescent="0.25">
      <c r="A20396" s="5" t="s">
        <v>24</v>
      </c>
      <c r="B20396" s="5" t="s">
        <v>675</v>
      </c>
      <c r="C20396" s="5" t="str">
        <f>"311F6"</f>
        <v>311F6</v>
      </c>
      <c r="D20396" s="5" t="s">
        <v>61245</v>
      </c>
      <c r="E20396" s="5" t="s">
        <v>61246</v>
      </c>
      <c r="F20396" s="5" t="s">
        <v>1153</v>
      </c>
      <c r="G20396" s="5" t="s">
        <v>338</v>
      </c>
      <c r="H20396" s="5">
        <v>7114</v>
      </c>
      <c r="I20396" s="5" t="s">
        <v>30</v>
      </c>
      <c r="J20396" s="5" t="s">
        <v>171</v>
      </c>
      <c r="K20396" s="5" t="s">
        <v>973</v>
      </c>
      <c r="L20396" s="5"/>
      <c r="M20396" s="5"/>
      <c r="N20396" s="5" t="s">
        <v>61247</v>
      </c>
      <c r="O20396" s="5"/>
      <c r="P20396" s="5"/>
      <c r="Q20396" s="5">
        <v>0</v>
      </c>
      <c r="R20396" s="5">
        <v>146</v>
      </c>
      <c r="S20396" s="5">
        <v>0</v>
      </c>
      <c r="T20396" s="5" t="s">
        <v>61248</v>
      </c>
      <c r="U20396" s="5"/>
      <c r="V20396" s="5"/>
      <c r="W20396" s="5"/>
      <c r="X20396" s="5"/>
      <c r="Y20396" s="5"/>
    </row>
    <row r="20397" spans="1:25" customFormat="1" ht="15" x14ac:dyDescent="0.25">
      <c r="A20397" t="s">
        <v>24</v>
      </c>
      <c r="B20397" t="s">
        <v>76223</v>
      </c>
      <c r="C20397" t="str">
        <f>"A0051302"</f>
        <v>A0051302</v>
      </c>
      <c r="D20397" t="s">
        <v>76224</v>
      </c>
      <c r="E20397" t="s">
        <v>76225</v>
      </c>
      <c r="F20397" t="s">
        <v>76226</v>
      </c>
      <c r="G20397" t="s">
        <v>880</v>
      </c>
      <c r="H20397">
        <v>38017</v>
      </c>
      <c r="I20397" t="s">
        <v>30</v>
      </c>
      <c r="J20397" t="s">
        <v>178</v>
      </c>
      <c r="K20397" t="s">
        <v>179</v>
      </c>
      <c r="N20397" t="s">
        <v>76227</v>
      </c>
      <c r="O20397" t="s">
        <v>76228</v>
      </c>
      <c r="Q20397">
        <v>2</v>
      </c>
      <c r="R20397">
        <v>0</v>
      </c>
      <c r="S20397">
        <v>0</v>
      </c>
      <c r="T20397" t="s">
        <v>76229</v>
      </c>
    </row>
    <row r="20398" spans="1:25" customFormat="1" ht="15" x14ac:dyDescent="0.25">
      <c r="A20398" t="s">
        <v>24</v>
      </c>
      <c r="B20398" t="s">
        <v>1561</v>
      </c>
      <c r="C20398" t="str">
        <f>"A0091259"</f>
        <v>A0091259</v>
      </c>
      <c r="D20398" t="s">
        <v>61249</v>
      </c>
      <c r="E20398" t="s">
        <v>61250</v>
      </c>
      <c r="F20398" t="s">
        <v>1153</v>
      </c>
      <c r="G20398" t="s">
        <v>338</v>
      </c>
      <c r="H20398">
        <v>7102</v>
      </c>
      <c r="I20398" t="s">
        <v>30</v>
      </c>
      <c r="J20398" t="s">
        <v>171</v>
      </c>
      <c r="K20398" t="s">
        <v>973</v>
      </c>
      <c r="N20398" t="s">
        <v>61251</v>
      </c>
      <c r="Q20398">
        <v>0</v>
      </c>
      <c r="R20398">
        <v>150</v>
      </c>
      <c r="S20398">
        <v>0</v>
      </c>
      <c r="T20398" t="s">
        <v>61252</v>
      </c>
    </row>
    <row r="20399" spans="1:25" customFormat="1" ht="15" x14ac:dyDescent="0.25">
      <c r="A20399" t="s">
        <v>24</v>
      </c>
      <c r="B20399" t="s">
        <v>55909</v>
      </c>
      <c r="C20399" t="str">
        <f>"A0094536"</f>
        <v>A0094536</v>
      </c>
      <c r="D20399" t="s">
        <v>76233</v>
      </c>
      <c r="E20399" t="s">
        <v>76234</v>
      </c>
      <c r="F20399" t="s">
        <v>55259</v>
      </c>
      <c r="G20399" t="s">
        <v>110</v>
      </c>
      <c r="H20399">
        <v>94025</v>
      </c>
      <c r="I20399" t="s">
        <v>30</v>
      </c>
      <c r="J20399" t="s">
        <v>31</v>
      </c>
      <c r="K20399" t="s">
        <v>163</v>
      </c>
      <c r="N20399" t="s">
        <v>76235</v>
      </c>
      <c r="Q20399">
        <v>0</v>
      </c>
      <c r="R20399">
        <v>30</v>
      </c>
      <c r="S20399">
        <v>0</v>
      </c>
      <c r="T20399" t="s">
        <v>76236</v>
      </c>
    </row>
    <row r="20400" spans="1:25" customFormat="1" ht="15" x14ac:dyDescent="0.25">
      <c r="A20400" t="s">
        <v>24</v>
      </c>
      <c r="B20400" t="s">
        <v>186</v>
      </c>
      <c r="C20400" t="str">
        <f>"A0146643"</f>
        <v>A0146643</v>
      </c>
      <c r="D20400" t="s">
        <v>76237</v>
      </c>
      <c r="E20400" t="s">
        <v>56243</v>
      </c>
      <c r="F20400" t="s">
        <v>189</v>
      </c>
      <c r="G20400" t="s">
        <v>190</v>
      </c>
      <c r="H20400">
        <v>81611</v>
      </c>
      <c r="I20400" t="s">
        <v>30</v>
      </c>
      <c r="J20400" t="s">
        <v>1004</v>
      </c>
      <c r="K20400" t="s">
        <v>163</v>
      </c>
      <c r="N20400" t="s">
        <v>55669</v>
      </c>
      <c r="Q20400">
        <v>0</v>
      </c>
      <c r="R20400">
        <v>0</v>
      </c>
      <c r="S20400">
        <v>0</v>
      </c>
      <c r="T20400" t="s">
        <v>55670</v>
      </c>
    </row>
    <row r="20401" spans="1:20" customFormat="1" ht="15" x14ac:dyDescent="0.25">
      <c r="A20401" t="s">
        <v>24</v>
      </c>
      <c r="B20401" t="s">
        <v>59714</v>
      </c>
      <c r="C20401" t="str">
        <f>"A0062252"</f>
        <v>A0062252</v>
      </c>
      <c r="D20401" t="s">
        <v>61253</v>
      </c>
      <c r="E20401" t="s">
        <v>61254</v>
      </c>
      <c r="F20401" t="s">
        <v>61255</v>
      </c>
      <c r="G20401" t="s">
        <v>99</v>
      </c>
      <c r="H20401">
        <v>12550</v>
      </c>
      <c r="I20401" t="s">
        <v>30</v>
      </c>
      <c r="J20401" t="s">
        <v>171</v>
      </c>
      <c r="K20401" t="s">
        <v>973</v>
      </c>
      <c r="N20401" t="s">
        <v>61256</v>
      </c>
      <c r="Q20401">
        <v>0</v>
      </c>
      <c r="R20401">
        <v>78</v>
      </c>
      <c r="S20401">
        <v>0</v>
      </c>
      <c r="T20401" t="s">
        <v>61257</v>
      </c>
    </row>
    <row r="20402" spans="1:20" customFormat="1" ht="15" x14ac:dyDescent="0.25">
      <c r="A20402" t="s">
        <v>24</v>
      </c>
      <c r="B20402" t="s">
        <v>11506</v>
      </c>
      <c r="C20402" t="str">
        <f>"A0088630"</f>
        <v>A0088630</v>
      </c>
      <c r="D20402" t="s">
        <v>76245</v>
      </c>
      <c r="E20402" t="s">
        <v>76246</v>
      </c>
      <c r="F20402" t="s">
        <v>53840</v>
      </c>
      <c r="G20402" t="s">
        <v>840</v>
      </c>
      <c r="H20402">
        <v>41011</v>
      </c>
      <c r="I20402" t="s">
        <v>30</v>
      </c>
      <c r="J20402" t="s">
        <v>2558</v>
      </c>
      <c r="K20402" t="s">
        <v>163</v>
      </c>
      <c r="N20402" t="s">
        <v>76247</v>
      </c>
      <c r="Q20402">
        <v>0</v>
      </c>
      <c r="R20402">
        <v>0</v>
      </c>
      <c r="S20402">
        <v>0</v>
      </c>
      <c r="T20402" t="s">
        <v>76248</v>
      </c>
    </row>
    <row r="20403" spans="1:20" customFormat="1" ht="15" x14ac:dyDescent="0.25">
      <c r="A20403" t="s">
        <v>24</v>
      </c>
      <c r="B20403" t="s">
        <v>2360</v>
      </c>
      <c r="C20403" t="str">
        <f>"CL0199"</f>
        <v>CL0199</v>
      </c>
      <c r="D20403" t="s">
        <v>76249</v>
      </c>
      <c r="E20403" t="s">
        <v>76250</v>
      </c>
      <c r="F20403" t="s">
        <v>716</v>
      </c>
      <c r="G20403" t="s">
        <v>289</v>
      </c>
      <c r="H20403">
        <v>60606</v>
      </c>
      <c r="I20403" t="s">
        <v>30</v>
      </c>
      <c r="J20403" t="s">
        <v>2558</v>
      </c>
      <c r="K20403" t="s">
        <v>56092</v>
      </c>
      <c r="N20403" t="s">
        <v>76251</v>
      </c>
      <c r="O20403" t="s">
        <v>76252</v>
      </c>
      <c r="Q20403">
        <v>0</v>
      </c>
      <c r="R20403">
        <v>0</v>
      </c>
      <c r="S20403">
        <v>0</v>
      </c>
      <c r="T20403" t="s">
        <v>76253</v>
      </c>
    </row>
    <row r="20404" spans="1:20" customFormat="1" ht="15" hidden="1" x14ac:dyDescent="0.25">
      <c r="A20404" t="s">
        <v>24</v>
      </c>
      <c r="B20404" t="s">
        <v>675</v>
      </c>
      <c r="C20404" t="str">
        <f>"A0147881"</f>
        <v>A0147881</v>
      </c>
      <c r="D20404" t="s">
        <v>76254</v>
      </c>
      <c r="E20404" t="s">
        <v>76255</v>
      </c>
      <c r="F20404" t="s">
        <v>2269</v>
      </c>
      <c r="G20404" t="s">
        <v>2270</v>
      </c>
      <c r="H20404" t="s">
        <v>76256</v>
      </c>
      <c r="I20404" t="s">
        <v>1459</v>
      </c>
      <c r="J20404" t="s">
        <v>162</v>
      </c>
      <c r="K20404" t="s">
        <v>8335</v>
      </c>
      <c r="N20404" t="s">
        <v>76257</v>
      </c>
      <c r="Q20404">
        <v>0</v>
      </c>
      <c r="R20404">
        <v>197</v>
      </c>
      <c r="S20404">
        <v>0</v>
      </c>
      <c r="T20404" t="s">
        <v>76258</v>
      </c>
    </row>
    <row r="20405" spans="1:20" customFormat="1" ht="15" hidden="1" x14ac:dyDescent="0.25">
      <c r="A20405" t="s">
        <v>24</v>
      </c>
      <c r="B20405" t="s">
        <v>1548</v>
      </c>
      <c r="C20405" t="str">
        <f>"A0099807"</f>
        <v>A0099807</v>
      </c>
      <c r="D20405" t="s">
        <v>76259</v>
      </c>
      <c r="E20405" t="s">
        <v>76260</v>
      </c>
      <c r="F20405" t="s">
        <v>59059</v>
      </c>
      <c r="G20405" t="s">
        <v>1457</v>
      </c>
      <c r="H20405" t="s">
        <v>76261</v>
      </c>
      <c r="I20405" t="s">
        <v>1459</v>
      </c>
      <c r="J20405" t="s">
        <v>171</v>
      </c>
      <c r="K20405" t="s">
        <v>163</v>
      </c>
      <c r="N20405" t="s">
        <v>76262</v>
      </c>
      <c r="Q20405">
        <v>0</v>
      </c>
      <c r="R20405">
        <v>98</v>
      </c>
      <c r="S20405">
        <v>0</v>
      </c>
      <c r="T20405" t="s">
        <v>76263</v>
      </c>
    </row>
    <row r="20406" spans="1:20" customFormat="1" ht="15" x14ac:dyDescent="0.25">
      <c r="A20406" t="s">
        <v>24</v>
      </c>
      <c r="B20406" t="s">
        <v>33426</v>
      </c>
      <c r="C20406" t="str">
        <f>"A0085952"</f>
        <v>A0085952</v>
      </c>
      <c r="D20406" t="s">
        <v>76264</v>
      </c>
      <c r="E20406" t="s">
        <v>76265</v>
      </c>
      <c r="F20406" t="s">
        <v>2094</v>
      </c>
      <c r="G20406" t="s">
        <v>52</v>
      </c>
      <c r="H20406">
        <v>75201</v>
      </c>
      <c r="I20406" t="s">
        <v>30</v>
      </c>
      <c r="J20406" t="s">
        <v>7657</v>
      </c>
      <c r="K20406" t="s">
        <v>163</v>
      </c>
      <c r="N20406" t="s">
        <v>76266</v>
      </c>
      <c r="Q20406">
        <v>0</v>
      </c>
      <c r="R20406">
        <v>0</v>
      </c>
      <c r="S20406">
        <v>0</v>
      </c>
      <c r="T20406" t="s">
        <v>76267</v>
      </c>
    </row>
    <row r="20407" spans="1:20" customFormat="1" ht="15" x14ac:dyDescent="0.25">
      <c r="A20407" t="s">
        <v>24</v>
      </c>
      <c r="B20407" t="s">
        <v>1561</v>
      </c>
      <c r="C20407" t="str">
        <f>"A0085678"</f>
        <v>A0085678</v>
      </c>
      <c r="D20407" t="s">
        <v>61258</v>
      </c>
      <c r="E20407" t="s">
        <v>61259</v>
      </c>
      <c r="F20407" t="s">
        <v>61260</v>
      </c>
      <c r="G20407" t="s">
        <v>29</v>
      </c>
      <c r="H20407">
        <v>23602</v>
      </c>
      <c r="I20407" t="s">
        <v>30</v>
      </c>
      <c r="J20407" t="s">
        <v>171</v>
      </c>
      <c r="K20407" t="s">
        <v>973</v>
      </c>
      <c r="N20407" t="s">
        <v>61261</v>
      </c>
      <c r="Q20407">
        <v>0</v>
      </c>
      <c r="R20407">
        <v>120</v>
      </c>
      <c r="S20407">
        <v>0</v>
      </c>
      <c r="T20407" t="s">
        <v>61262</v>
      </c>
    </row>
    <row r="20408" spans="1:20" customFormat="1" ht="15" x14ac:dyDescent="0.25">
      <c r="A20408" t="s">
        <v>24</v>
      </c>
      <c r="B20408" t="s">
        <v>3159</v>
      </c>
      <c r="C20408" t="str">
        <f>"6511C"</f>
        <v>6511C</v>
      </c>
      <c r="D20408" t="s">
        <v>61263</v>
      </c>
      <c r="E20408" t="s">
        <v>61264</v>
      </c>
      <c r="F20408" t="s">
        <v>34434</v>
      </c>
      <c r="G20408" t="s">
        <v>29</v>
      </c>
      <c r="H20408">
        <v>23693</v>
      </c>
      <c r="I20408" t="s">
        <v>30</v>
      </c>
      <c r="J20408" t="s">
        <v>171</v>
      </c>
      <c r="K20408" t="s">
        <v>973</v>
      </c>
      <c r="N20408" t="s">
        <v>61265</v>
      </c>
      <c r="Q20408">
        <v>0</v>
      </c>
      <c r="R20408">
        <v>90</v>
      </c>
      <c r="S20408">
        <v>0</v>
      </c>
      <c r="T20408" t="s">
        <v>61266</v>
      </c>
    </row>
    <row r="20409" spans="1:20" customFormat="1" ht="15" x14ac:dyDescent="0.25">
      <c r="A20409" t="s">
        <v>24</v>
      </c>
      <c r="B20409" t="s">
        <v>1583</v>
      </c>
      <c r="C20409" t="str">
        <f>"38B78"</f>
        <v>38B78</v>
      </c>
      <c r="D20409" t="s">
        <v>76278</v>
      </c>
      <c r="E20409" t="s">
        <v>76279</v>
      </c>
      <c r="F20409" t="s">
        <v>20524</v>
      </c>
      <c r="G20409" t="s">
        <v>81</v>
      </c>
      <c r="H20409">
        <v>33139</v>
      </c>
      <c r="I20409" t="s">
        <v>30</v>
      </c>
      <c r="J20409" t="s">
        <v>2544</v>
      </c>
      <c r="K20409" t="s">
        <v>36059</v>
      </c>
      <c r="Q20409">
        <v>0</v>
      </c>
      <c r="R20409">
        <v>0</v>
      </c>
      <c r="S20409">
        <v>0</v>
      </c>
      <c r="T20409" t="s">
        <v>76280</v>
      </c>
    </row>
    <row r="20410" spans="1:20" customFormat="1" ht="15" x14ac:dyDescent="0.25">
      <c r="A20410" t="s">
        <v>24</v>
      </c>
      <c r="B20410" t="s">
        <v>1577</v>
      </c>
      <c r="C20410" t="str">
        <f>"A0098544"</f>
        <v>A0098544</v>
      </c>
      <c r="D20410" t="s">
        <v>76281</v>
      </c>
      <c r="E20410" t="s">
        <v>76282</v>
      </c>
      <c r="F20410" t="s">
        <v>56591</v>
      </c>
      <c r="G20410" t="s">
        <v>1706</v>
      </c>
      <c r="H20410">
        <v>36542</v>
      </c>
      <c r="I20410" t="s">
        <v>30</v>
      </c>
      <c r="J20410" t="s">
        <v>145</v>
      </c>
      <c r="K20410" t="s">
        <v>4520</v>
      </c>
      <c r="N20410" t="s">
        <v>76283</v>
      </c>
      <c r="Q20410">
        <v>0</v>
      </c>
      <c r="R20410">
        <v>125</v>
      </c>
      <c r="S20410">
        <v>0</v>
      </c>
      <c r="T20410" t="s">
        <v>76284</v>
      </c>
    </row>
    <row r="20411" spans="1:20" customFormat="1" ht="15" x14ac:dyDescent="0.25">
      <c r="A20411" t="s">
        <v>24</v>
      </c>
      <c r="B20411" t="s">
        <v>7602</v>
      </c>
      <c r="C20411" t="str">
        <f>"A0095502"</f>
        <v>A0095502</v>
      </c>
      <c r="D20411" t="s">
        <v>76285</v>
      </c>
      <c r="E20411" t="s">
        <v>76286</v>
      </c>
      <c r="F20411" t="s">
        <v>2057</v>
      </c>
      <c r="G20411" t="s">
        <v>52</v>
      </c>
      <c r="H20411">
        <v>79701</v>
      </c>
      <c r="I20411" t="s">
        <v>30</v>
      </c>
      <c r="J20411" t="s">
        <v>145</v>
      </c>
      <c r="K20411" t="s">
        <v>4520</v>
      </c>
      <c r="N20411" t="s">
        <v>76287</v>
      </c>
      <c r="Q20411">
        <v>0</v>
      </c>
      <c r="R20411">
        <v>82</v>
      </c>
      <c r="S20411">
        <v>0</v>
      </c>
      <c r="T20411" t="s">
        <v>76288</v>
      </c>
    </row>
    <row r="20412" spans="1:20" customFormat="1" ht="15" x14ac:dyDescent="0.25">
      <c r="A20412" t="s">
        <v>24</v>
      </c>
      <c r="B20412" t="s">
        <v>8850</v>
      </c>
      <c r="C20412" t="str">
        <f>"A0158234"</f>
        <v>A0158234</v>
      </c>
      <c r="D20412" t="s">
        <v>76289</v>
      </c>
      <c r="E20412" t="s">
        <v>76290</v>
      </c>
      <c r="F20412" t="s">
        <v>76291</v>
      </c>
      <c r="G20412" t="s">
        <v>214</v>
      </c>
      <c r="H20412">
        <v>27278</v>
      </c>
      <c r="I20412" t="s">
        <v>30</v>
      </c>
      <c r="J20412" t="s">
        <v>145</v>
      </c>
      <c r="K20412" t="s">
        <v>4520</v>
      </c>
      <c r="N20412" t="s">
        <v>76292</v>
      </c>
      <c r="Q20412">
        <v>0</v>
      </c>
      <c r="R20412">
        <v>70</v>
      </c>
      <c r="S20412">
        <v>0</v>
      </c>
      <c r="T20412" t="s">
        <v>76293</v>
      </c>
    </row>
    <row r="20413" spans="1:20" customFormat="1" ht="15" x14ac:dyDescent="0.25">
      <c r="A20413" t="s">
        <v>24</v>
      </c>
      <c r="B20413" t="s">
        <v>1836</v>
      </c>
      <c r="C20413" t="str">
        <f>"A0147025"</f>
        <v>A0147025</v>
      </c>
      <c r="D20413" t="s">
        <v>76294</v>
      </c>
      <c r="E20413" t="s">
        <v>76295</v>
      </c>
      <c r="F20413" t="s">
        <v>1271</v>
      </c>
      <c r="G20413" t="s">
        <v>52</v>
      </c>
      <c r="H20413">
        <v>76905</v>
      </c>
      <c r="I20413" t="s">
        <v>30</v>
      </c>
      <c r="J20413" t="s">
        <v>145</v>
      </c>
      <c r="K20413" t="s">
        <v>4520</v>
      </c>
      <c r="N20413" t="s">
        <v>11296</v>
      </c>
      <c r="O20413" t="s">
        <v>58763</v>
      </c>
      <c r="Q20413">
        <v>0</v>
      </c>
      <c r="R20413">
        <v>83</v>
      </c>
      <c r="S20413">
        <v>0</v>
      </c>
      <c r="T20413" t="s">
        <v>76296</v>
      </c>
    </row>
    <row r="20414" spans="1:20" customFormat="1" ht="15" x14ac:dyDescent="0.25">
      <c r="A20414" t="s">
        <v>24</v>
      </c>
      <c r="B20414" t="s">
        <v>7602</v>
      </c>
      <c r="C20414" t="str">
        <f>"A0095504"</f>
        <v>A0095504</v>
      </c>
      <c r="D20414" t="s">
        <v>76297</v>
      </c>
      <c r="E20414" t="s">
        <v>76298</v>
      </c>
      <c r="F20414" t="s">
        <v>368</v>
      </c>
      <c r="G20414" t="s">
        <v>52</v>
      </c>
      <c r="H20414">
        <v>78119</v>
      </c>
      <c r="I20414" t="s">
        <v>30</v>
      </c>
      <c r="J20414" t="s">
        <v>145</v>
      </c>
      <c r="K20414" t="s">
        <v>4520</v>
      </c>
      <c r="N20414" t="s">
        <v>76299</v>
      </c>
      <c r="Q20414">
        <v>0</v>
      </c>
      <c r="R20414">
        <v>75</v>
      </c>
      <c r="S20414">
        <v>0</v>
      </c>
      <c r="T20414" t="s">
        <v>76300</v>
      </c>
    </row>
    <row r="20415" spans="1:20" customFormat="1" ht="15" x14ac:dyDescent="0.25">
      <c r="A20415" t="s">
        <v>24</v>
      </c>
      <c r="B20415" t="s">
        <v>2360</v>
      </c>
      <c r="C20415" t="str">
        <f>"A0065517"</f>
        <v>A0065517</v>
      </c>
      <c r="D20415" t="s">
        <v>76301</v>
      </c>
      <c r="E20415" t="s">
        <v>76302</v>
      </c>
      <c r="F20415" t="s">
        <v>716</v>
      </c>
      <c r="G20415" t="s">
        <v>289</v>
      </c>
      <c r="H20415">
        <v>60601</v>
      </c>
      <c r="I20415" t="s">
        <v>30</v>
      </c>
      <c r="J20415" t="s">
        <v>2558</v>
      </c>
      <c r="K20415" t="s">
        <v>56092</v>
      </c>
      <c r="N20415" t="s">
        <v>56163</v>
      </c>
      <c r="Q20415">
        <v>0</v>
      </c>
      <c r="R20415">
        <v>0</v>
      </c>
      <c r="S20415">
        <v>0</v>
      </c>
      <c r="T20415" t="s">
        <v>76303</v>
      </c>
    </row>
    <row r="20416" spans="1:20" customFormat="1" ht="15" x14ac:dyDescent="0.25">
      <c r="A20416" t="s">
        <v>24</v>
      </c>
      <c r="B20416" t="s">
        <v>2360</v>
      </c>
      <c r="C20416" t="str">
        <f>"A0053798"</f>
        <v>A0053798</v>
      </c>
      <c r="D20416" t="s">
        <v>76304</v>
      </c>
      <c r="E20416" t="s">
        <v>76305</v>
      </c>
      <c r="F20416" t="s">
        <v>34220</v>
      </c>
      <c r="G20416" t="s">
        <v>289</v>
      </c>
      <c r="H20416">
        <v>60445</v>
      </c>
      <c r="I20416" t="s">
        <v>30</v>
      </c>
      <c r="J20416" t="s">
        <v>178</v>
      </c>
      <c r="K20416" t="s">
        <v>179</v>
      </c>
      <c r="N20416" t="s">
        <v>76306</v>
      </c>
      <c r="Q20416">
        <v>0</v>
      </c>
      <c r="R20416">
        <v>0</v>
      </c>
      <c r="S20416">
        <v>0</v>
      </c>
      <c r="T20416" t="s">
        <v>76307</v>
      </c>
    </row>
    <row r="20417" spans="1:25" customFormat="1" ht="15" x14ac:dyDescent="0.25">
      <c r="A20417" t="s">
        <v>24</v>
      </c>
      <c r="B20417" t="s">
        <v>10097</v>
      </c>
      <c r="C20417" t="str">
        <f>"A0084834"</f>
        <v>A0084834</v>
      </c>
      <c r="D20417" t="s">
        <v>76308</v>
      </c>
      <c r="E20417" t="s">
        <v>76309</v>
      </c>
      <c r="F20417" t="s">
        <v>10100</v>
      </c>
      <c r="G20417" t="s">
        <v>214</v>
      </c>
      <c r="H20417">
        <v>27609</v>
      </c>
      <c r="I20417" t="s">
        <v>30</v>
      </c>
      <c r="J20417" t="s">
        <v>1004</v>
      </c>
      <c r="K20417" t="s">
        <v>163</v>
      </c>
      <c r="N20417" t="s">
        <v>76310</v>
      </c>
      <c r="Q20417">
        <v>0</v>
      </c>
      <c r="R20417">
        <v>0</v>
      </c>
      <c r="S20417">
        <v>0</v>
      </c>
      <c r="T20417" t="s">
        <v>76311</v>
      </c>
    </row>
    <row r="20418" spans="1:25" customFormat="1" ht="15" x14ac:dyDescent="0.25">
      <c r="A20418" t="s">
        <v>24</v>
      </c>
      <c r="B20418" t="s">
        <v>61267</v>
      </c>
      <c r="C20418" t="str">
        <f>"A0094434"</f>
        <v>A0094434</v>
      </c>
      <c r="D20418" t="s">
        <v>61268</v>
      </c>
      <c r="E20418" t="s">
        <v>61269</v>
      </c>
      <c r="F20418" t="s">
        <v>2598</v>
      </c>
      <c r="G20418" t="s">
        <v>99</v>
      </c>
      <c r="H20418">
        <v>14303</v>
      </c>
      <c r="I20418" t="s">
        <v>30</v>
      </c>
      <c r="J20418" t="s">
        <v>171</v>
      </c>
      <c r="K20418" t="s">
        <v>973</v>
      </c>
      <c r="N20418" t="s">
        <v>61270</v>
      </c>
      <c r="Q20418">
        <v>0</v>
      </c>
      <c r="R20418">
        <v>82</v>
      </c>
      <c r="S20418">
        <v>0</v>
      </c>
      <c r="T20418" t="s">
        <v>61271</v>
      </c>
    </row>
    <row r="20419" spans="1:25" customFormat="1" ht="15" x14ac:dyDescent="0.25">
      <c r="A20419" t="s">
        <v>24</v>
      </c>
      <c r="B20419" t="s">
        <v>76317</v>
      </c>
      <c r="C20419" t="str">
        <f>"A0092277"</f>
        <v>A0092277</v>
      </c>
      <c r="D20419" t="s">
        <v>76318</v>
      </c>
      <c r="E20419" t="s">
        <v>76319</v>
      </c>
      <c r="F20419" t="s">
        <v>76320</v>
      </c>
      <c r="G20419" t="s">
        <v>123</v>
      </c>
      <c r="H20419">
        <v>21663</v>
      </c>
      <c r="I20419" t="s">
        <v>30</v>
      </c>
      <c r="J20419" t="s">
        <v>178</v>
      </c>
      <c r="K20419" t="s">
        <v>163</v>
      </c>
      <c r="N20419" t="s">
        <v>76321</v>
      </c>
      <c r="O20419" t="s">
        <v>76322</v>
      </c>
      <c r="Q20419">
        <v>0</v>
      </c>
      <c r="R20419">
        <v>0</v>
      </c>
      <c r="S20419">
        <v>0</v>
      </c>
      <c r="T20419" t="s">
        <v>76323</v>
      </c>
    </row>
    <row r="20420" spans="1:25" customFormat="1" ht="15" hidden="1" x14ac:dyDescent="0.25">
      <c r="A20420" t="s">
        <v>24</v>
      </c>
      <c r="B20420" t="s">
        <v>76324</v>
      </c>
      <c r="C20420" t="str">
        <f>"A0074405"</f>
        <v>A0074405</v>
      </c>
      <c r="D20420" t="s">
        <v>76325</v>
      </c>
      <c r="E20420" t="s">
        <v>76326</v>
      </c>
      <c r="F20420" t="s">
        <v>76327</v>
      </c>
      <c r="G20420" t="s">
        <v>58523</v>
      </c>
      <c r="H20420" t="s">
        <v>76328</v>
      </c>
      <c r="I20420" t="s">
        <v>1459</v>
      </c>
      <c r="J20420" t="s">
        <v>162</v>
      </c>
      <c r="K20420" t="s">
        <v>163</v>
      </c>
      <c r="N20420" t="s">
        <v>76329</v>
      </c>
      <c r="P20420" t="s">
        <v>3998</v>
      </c>
      <c r="Q20420">
        <v>0</v>
      </c>
      <c r="R20420">
        <v>90</v>
      </c>
      <c r="S20420">
        <v>0</v>
      </c>
      <c r="T20420" t="s">
        <v>76330</v>
      </c>
    </row>
    <row r="20421" spans="1:25" customFormat="1" ht="15" x14ac:dyDescent="0.25">
      <c r="A20421" t="s">
        <v>24</v>
      </c>
      <c r="B20421" t="s">
        <v>3367</v>
      </c>
      <c r="C20421" t="str">
        <f>"A0095951"</f>
        <v>A0095951</v>
      </c>
      <c r="D20421" t="s">
        <v>76331</v>
      </c>
      <c r="E20421" t="s">
        <v>76332</v>
      </c>
      <c r="F20421" t="s">
        <v>5999</v>
      </c>
      <c r="G20421" t="s">
        <v>71</v>
      </c>
      <c r="H20421">
        <v>53202</v>
      </c>
      <c r="I20421" t="s">
        <v>30</v>
      </c>
      <c r="J20421" t="s">
        <v>1004</v>
      </c>
      <c r="K20421" t="s">
        <v>163</v>
      </c>
      <c r="Q20421">
        <v>0</v>
      </c>
      <c r="R20421">
        <v>0</v>
      </c>
      <c r="S20421">
        <v>0</v>
      </c>
      <c r="T20421" t="s">
        <v>76333</v>
      </c>
    </row>
    <row r="20422" spans="1:25" customFormat="1" ht="15" x14ac:dyDescent="0.25">
      <c r="A20422" t="s">
        <v>24</v>
      </c>
      <c r="B20422" t="s">
        <v>3367</v>
      </c>
      <c r="C20422" t="str">
        <f>"A0095952"</f>
        <v>A0095952</v>
      </c>
      <c r="D20422" t="s">
        <v>76334</v>
      </c>
      <c r="E20422" t="s">
        <v>76335</v>
      </c>
      <c r="F20422" t="s">
        <v>13473</v>
      </c>
      <c r="G20422" t="s">
        <v>427</v>
      </c>
      <c r="H20422">
        <v>68508</v>
      </c>
      <c r="I20422" t="s">
        <v>30</v>
      </c>
      <c r="J20422" t="s">
        <v>1004</v>
      </c>
      <c r="K20422" t="s">
        <v>163</v>
      </c>
      <c r="Q20422">
        <v>0</v>
      </c>
      <c r="R20422">
        <v>0</v>
      </c>
      <c r="S20422">
        <v>0</v>
      </c>
      <c r="T20422" t="s">
        <v>76336</v>
      </c>
    </row>
    <row r="20423" spans="1:25" customFormat="1" ht="15" x14ac:dyDescent="0.25">
      <c r="A20423" t="s">
        <v>24</v>
      </c>
      <c r="B20423" t="s">
        <v>1561</v>
      </c>
      <c r="C20423" t="str">
        <f>"6516R"</f>
        <v>6516R</v>
      </c>
      <c r="D20423" t="s">
        <v>61272</v>
      </c>
      <c r="E20423" t="s">
        <v>61273</v>
      </c>
      <c r="F20423" t="s">
        <v>61274</v>
      </c>
      <c r="G20423" t="s">
        <v>29</v>
      </c>
      <c r="H20423">
        <v>23510</v>
      </c>
      <c r="I20423" t="s">
        <v>30</v>
      </c>
      <c r="J20423" t="s">
        <v>171</v>
      </c>
      <c r="K20423" t="s">
        <v>973</v>
      </c>
      <c r="N20423" t="s">
        <v>61275</v>
      </c>
      <c r="O20423" t="s">
        <v>61276</v>
      </c>
      <c r="Q20423">
        <v>0</v>
      </c>
      <c r="R20423">
        <v>140</v>
      </c>
      <c r="S20423">
        <v>0</v>
      </c>
      <c r="T20423" t="s">
        <v>61277</v>
      </c>
    </row>
    <row r="20424" spans="1:25" customFormat="1" ht="15" x14ac:dyDescent="0.25">
      <c r="A20424" t="s">
        <v>24</v>
      </c>
      <c r="B20424" t="s">
        <v>56488</v>
      </c>
      <c r="C20424" t="str">
        <f>"A0069428"</f>
        <v>A0069428</v>
      </c>
      <c r="D20424" t="s">
        <v>76341</v>
      </c>
      <c r="E20424" t="s">
        <v>76342</v>
      </c>
      <c r="F20424" t="s">
        <v>76343</v>
      </c>
      <c r="G20424" t="s">
        <v>338</v>
      </c>
      <c r="H20424">
        <v>7840</v>
      </c>
      <c r="I20424" t="s">
        <v>30</v>
      </c>
      <c r="J20424" t="s">
        <v>2415</v>
      </c>
      <c r="K20424" t="s">
        <v>179</v>
      </c>
      <c r="N20424" t="s">
        <v>76344</v>
      </c>
      <c r="P20424" t="s">
        <v>6426</v>
      </c>
      <c r="Q20424">
        <v>1</v>
      </c>
      <c r="R20424">
        <v>0</v>
      </c>
      <c r="S20424">
        <v>0</v>
      </c>
      <c r="T20424" t="s">
        <v>76345</v>
      </c>
    </row>
    <row r="20425" spans="1:25" customFormat="1" ht="15" x14ac:dyDescent="0.25">
      <c r="A20425" t="s">
        <v>24</v>
      </c>
      <c r="B20425" t="s">
        <v>4400</v>
      </c>
      <c r="C20425" t="str">
        <f>"A0087380"</f>
        <v>A0087380</v>
      </c>
      <c r="D20425" t="s">
        <v>61278</v>
      </c>
      <c r="E20425" t="s">
        <v>61279</v>
      </c>
      <c r="F20425" t="s">
        <v>61280</v>
      </c>
      <c r="G20425" t="s">
        <v>40</v>
      </c>
      <c r="H20425">
        <v>73072</v>
      </c>
      <c r="I20425" t="s">
        <v>30</v>
      </c>
      <c r="J20425" t="s">
        <v>171</v>
      </c>
      <c r="K20425" t="s">
        <v>973</v>
      </c>
      <c r="N20425" t="s">
        <v>61281</v>
      </c>
      <c r="Q20425">
        <v>0</v>
      </c>
      <c r="R20425">
        <v>113</v>
      </c>
      <c r="S20425">
        <v>0</v>
      </c>
      <c r="T20425" t="s">
        <v>61282</v>
      </c>
    </row>
    <row r="20426" spans="1:25" customFormat="1" ht="15" x14ac:dyDescent="0.25">
      <c r="A20426" t="s">
        <v>24</v>
      </c>
      <c r="B20426" t="s">
        <v>2955</v>
      </c>
      <c r="C20426" t="str">
        <f>"A0064325"</f>
        <v>A0064325</v>
      </c>
      <c r="D20426" t="s">
        <v>61283</v>
      </c>
      <c r="E20426" t="s">
        <v>61284</v>
      </c>
      <c r="F20426" t="s">
        <v>16267</v>
      </c>
      <c r="G20426" t="s">
        <v>29</v>
      </c>
      <c r="H20426">
        <v>23451</v>
      </c>
      <c r="I20426" t="s">
        <v>30</v>
      </c>
      <c r="J20426" t="s">
        <v>171</v>
      </c>
      <c r="K20426" t="s">
        <v>973</v>
      </c>
      <c r="N20426" t="s">
        <v>61285</v>
      </c>
      <c r="Q20426">
        <v>0</v>
      </c>
      <c r="R20426">
        <v>160</v>
      </c>
      <c r="S20426">
        <v>0</v>
      </c>
      <c r="T20426" t="s">
        <v>61286</v>
      </c>
    </row>
    <row r="20427" spans="1:25" x14ac:dyDescent="0.25">
      <c r="A20427" s="5" t="s">
        <v>24</v>
      </c>
      <c r="B20427" s="5" t="s">
        <v>675</v>
      </c>
      <c r="C20427" s="5" t="str">
        <f>"311E7"</f>
        <v>311E7</v>
      </c>
      <c r="D20427" s="5" t="s">
        <v>61287</v>
      </c>
      <c r="E20427" s="5" t="s">
        <v>61288</v>
      </c>
      <c r="F20427" s="5" t="s">
        <v>4391</v>
      </c>
      <c r="G20427" s="5" t="s">
        <v>615</v>
      </c>
      <c r="H20427" s="5">
        <v>6851</v>
      </c>
      <c r="I20427" s="5" t="s">
        <v>30</v>
      </c>
      <c r="J20427" s="5" t="s">
        <v>171</v>
      </c>
      <c r="K20427" s="5" t="s">
        <v>973</v>
      </c>
      <c r="L20427" s="5"/>
      <c r="M20427" s="5"/>
      <c r="N20427" s="5" t="s">
        <v>61289</v>
      </c>
      <c r="O20427" s="5" t="s">
        <v>61290</v>
      </c>
      <c r="P20427" s="5"/>
      <c r="Q20427" s="5">
        <v>0</v>
      </c>
      <c r="R20427" s="5">
        <v>145</v>
      </c>
      <c r="S20427" s="5">
        <v>0</v>
      </c>
      <c r="T20427" s="5" t="s">
        <v>61291</v>
      </c>
      <c r="U20427" s="5"/>
      <c r="V20427" s="5"/>
      <c r="W20427" s="5"/>
      <c r="X20427" s="5"/>
      <c r="Y20427" s="5"/>
    </row>
    <row r="20428" spans="1:25" x14ac:dyDescent="0.25">
      <c r="A20428" s="5" t="s">
        <v>24</v>
      </c>
      <c r="B20428" s="5" t="s">
        <v>1467</v>
      </c>
      <c r="C20428" s="5" t="str">
        <f>"651SE"</f>
        <v>651SE</v>
      </c>
      <c r="D20428" s="5" t="s">
        <v>61292</v>
      </c>
      <c r="E20428" s="5" t="s">
        <v>61293</v>
      </c>
      <c r="F20428" s="5" t="s">
        <v>61294</v>
      </c>
      <c r="G20428" s="5" t="s">
        <v>615</v>
      </c>
      <c r="H20428" s="5">
        <v>6360</v>
      </c>
      <c r="I20428" s="5" t="s">
        <v>30</v>
      </c>
      <c r="J20428" s="5" t="s">
        <v>171</v>
      </c>
      <c r="K20428" s="5" t="s">
        <v>973</v>
      </c>
      <c r="L20428" s="5"/>
      <c r="M20428" s="5"/>
      <c r="N20428" s="5" t="s">
        <v>61295</v>
      </c>
      <c r="O20428" s="5"/>
      <c r="P20428" s="5"/>
      <c r="Q20428" s="5">
        <v>0</v>
      </c>
      <c r="R20428" s="5">
        <v>120</v>
      </c>
      <c r="S20428" s="5">
        <v>0</v>
      </c>
      <c r="T20428" s="5" t="s">
        <v>61296</v>
      </c>
      <c r="U20428" s="5"/>
      <c r="V20428" s="5"/>
      <c r="W20428" s="5"/>
      <c r="X20428" s="5"/>
      <c r="Y20428" s="5"/>
    </row>
    <row r="20429" spans="1:25" x14ac:dyDescent="0.25">
      <c r="A20429" s="5" t="s">
        <v>24</v>
      </c>
      <c r="B20429" s="5" t="s">
        <v>675</v>
      </c>
      <c r="C20429" s="5" t="str">
        <f>"311QF"</f>
        <v>311QF</v>
      </c>
      <c r="D20429" s="5" t="s">
        <v>61297</v>
      </c>
      <c r="E20429" s="5" t="s">
        <v>61298</v>
      </c>
      <c r="F20429" s="5" t="s">
        <v>61299</v>
      </c>
      <c r="G20429" s="5" t="s">
        <v>110</v>
      </c>
      <c r="H20429" s="5">
        <v>94949</v>
      </c>
      <c r="I20429" s="5" t="s">
        <v>30</v>
      </c>
      <c r="J20429" s="5" t="s">
        <v>171</v>
      </c>
      <c r="K20429" s="5" t="s">
        <v>973</v>
      </c>
      <c r="L20429" s="5"/>
      <c r="M20429" s="5"/>
      <c r="N20429" s="5" t="s">
        <v>61300</v>
      </c>
      <c r="O20429" s="5" t="s">
        <v>61301</v>
      </c>
      <c r="P20429" s="5"/>
      <c r="Q20429" s="5">
        <v>0</v>
      </c>
      <c r="R20429" s="5">
        <v>136</v>
      </c>
      <c r="S20429" s="5">
        <v>0</v>
      </c>
      <c r="T20429" s="5" t="s">
        <v>61302</v>
      </c>
      <c r="U20429" s="5"/>
      <c r="V20429" s="5"/>
      <c r="W20429" s="5"/>
      <c r="X20429" s="5"/>
      <c r="Y20429" s="5"/>
    </row>
    <row r="20430" spans="1:25" customFormat="1" ht="15" x14ac:dyDescent="0.25">
      <c r="A20430" t="s">
        <v>24</v>
      </c>
      <c r="B20430" t="s">
        <v>2360</v>
      </c>
      <c r="C20430" t="str">
        <f>"A0049571"</f>
        <v>A0049571</v>
      </c>
      <c r="D20430" t="s">
        <v>76370</v>
      </c>
      <c r="E20430" t="s">
        <v>76371</v>
      </c>
      <c r="F20430" t="s">
        <v>76372</v>
      </c>
      <c r="G20430" t="s">
        <v>846</v>
      </c>
      <c r="H20430">
        <v>30180</v>
      </c>
      <c r="I20430" t="s">
        <v>30</v>
      </c>
      <c r="J20430" t="s">
        <v>178</v>
      </c>
      <c r="K20430" t="s">
        <v>8013</v>
      </c>
      <c r="Q20430">
        <v>2</v>
      </c>
      <c r="R20430">
        <v>0</v>
      </c>
      <c r="S20430">
        <v>0</v>
      </c>
      <c r="T20430" t="s">
        <v>76373</v>
      </c>
    </row>
    <row r="20431" spans="1:25" customFormat="1" ht="15" x14ac:dyDescent="0.25">
      <c r="A20431" t="s">
        <v>24</v>
      </c>
      <c r="B20431" t="s">
        <v>2360</v>
      </c>
      <c r="C20431" t="str">
        <f>"CL0260"</f>
        <v>CL0260</v>
      </c>
      <c r="D20431" t="s">
        <v>76374</v>
      </c>
      <c r="E20431" t="s">
        <v>76375</v>
      </c>
      <c r="F20431" t="s">
        <v>3995</v>
      </c>
      <c r="G20431" t="s">
        <v>110</v>
      </c>
      <c r="H20431">
        <v>92270</v>
      </c>
      <c r="I20431" t="s">
        <v>30</v>
      </c>
      <c r="J20431" t="s">
        <v>178</v>
      </c>
      <c r="K20431" t="s">
        <v>56092</v>
      </c>
      <c r="N20431" t="s">
        <v>76376</v>
      </c>
      <c r="O20431" t="s">
        <v>76377</v>
      </c>
      <c r="P20431" t="s">
        <v>992</v>
      </c>
      <c r="Q20431">
        <v>3</v>
      </c>
      <c r="R20431">
        <v>0</v>
      </c>
      <c r="S20431">
        <v>0</v>
      </c>
      <c r="T20431" t="s">
        <v>76378</v>
      </c>
    </row>
    <row r="20432" spans="1:25" customFormat="1" ht="15" x14ac:dyDescent="0.25">
      <c r="A20432" t="s">
        <v>24</v>
      </c>
      <c r="B20432" t="s">
        <v>10986</v>
      </c>
      <c r="C20432" t="str">
        <f>"A0093890"</f>
        <v>A0093890</v>
      </c>
      <c r="D20432" t="s">
        <v>61303</v>
      </c>
      <c r="E20432" t="s">
        <v>61304</v>
      </c>
      <c r="F20432" t="s">
        <v>61305</v>
      </c>
      <c r="G20432" t="s">
        <v>4815</v>
      </c>
      <c r="H20432">
        <v>96762</v>
      </c>
      <c r="I20432" t="s">
        <v>30</v>
      </c>
      <c r="J20432" t="s">
        <v>171</v>
      </c>
      <c r="K20432" t="s">
        <v>973</v>
      </c>
      <c r="N20432" t="s">
        <v>61306</v>
      </c>
      <c r="Q20432">
        <v>0</v>
      </c>
      <c r="R20432">
        <v>144</v>
      </c>
      <c r="S20432">
        <v>0</v>
      </c>
      <c r="T20432" t="s">
        <v>61307</v>
      </c>
    </row>
    <row r="20433" spans="1:25" customFormat="1" ht="15" x14ac:dyDescent="0.25">
      <c r="A20433" t="s">
        <v>24</v>
      </c>
      <c r="B20433" t="s">
        <v>2221</v>
      </c>
      <c r="C20433" t="str">
        <f>"311JM"</f>
        <v>311JM</v>
      </c>
      <c r="D20433" t="s">
        <v>61308</v>
      </c>
      <c r="E20433" t="s">
        <v>61309</v>
      </c>
      <c r="F20433" t="s">
        <v>990</v>
      </c>
      <c r="G20433" t="s">
        <v>110</v>
      </c>
      <c r="H20433">
        <v>94621</v>
      </c>
      <c r="I20433" t="s">
        <v>30</v>
      </c>
      <c r="J20433" t="s">
        <v>171</v>
      </c>
      <c r="K20433" t="s">
        <v>973</v>
      </c>
      <c r="N20433" t="s">
        <v>61310</v>
      </c>
      <c r="Q20433">
        <v>0</v>
      </c>
      <c r="R20433">
        <v>156</v>
      </c>
      <c r="S20433">
        <v>0</v>
      </c>
      <c r="T20433" t="s">
        <v>61311</v>
      </c>
    </row>
    <row r="20434" spans="1:25" customFormat="1" ht="15" x14ac:dyDescent="0.25">
      <c r="A20434" t="s">
        <v>24</v>
      </c>
      <c r="B20434" t="s">
        <v>76387</v>
      </c>
      <c r="C20434" t="str">
        <f>"A0090602"</f>
        <v>A0090602</v>
      </c>
      <c r="D20434" t="s">
        <v>76388</v>
      </c>
      <c r="E20434" t="s">
        <v>76389</v>
      </c>
      <c r="F20434" t="s">
        <v>1564</v>
      </c>
      <c r="G20434" t="s">
        <v>52</v>
      </c>
      <c r="H20434">
        <v>77025</v>
      </c>
      <c r="I20434" t="s">
        <v>30</v>
      </c>
      <c r="J20434" t="s">
        <v>1004</v>
      </c>
      <c r="K20434" t="s">
        <v>163</v>
      </c>
      <c r="N20434" t="s">
        <v>76390</v>
      </c>
      <c r="Q20434">
        <v>0</v>
      </c>
      <c r="R20434">
        <v>0</v>
      </c>
      <c r="S20434">
        <v>0</v>
      </c>
      <c r="T20434" t="s">
        <v>76391</v>
      </c>
    </row>
    <row r="20435" spans="1:25" customFormat="1" ht="15" x14ac:dyDescent="0.25">
      <c r="A20435" t="s">
        <v>24</v>
      </c>
      <c r="B20435" t="s">
        <v>76387</v>
      </c>
      <c r="C20435" t="str">
        <f>"A0158366"</f>
        <v>A0158366</v>
      </c>
      <c r="D20435" t="s">
        <v>76392</v>
      </c>
      <c r="E20435" t="s">
        <v>76393</v>
      </c>
      <c r="F20435" t="s">
        <v>1546</v>
      </c>
      <c r="G20435" t="s">
        <v>52</v>
      </c>
      <c r="H20435">
        <v>77406</v>
      </c>
      <c r="I20435" t="s">
        <v>30</v>
      </c>
      <c r="J20435" t="s">
        <v>1004</v>
      </c>
      <c r="K20435" t="s">
        <v>163</v>
      </c>
      <c r="N20435" t="s">
        <v>76390</v>
      </c>
      <c r="Q20435">
        <v>0</v>
      </c>
      <c r="R20435">
        <v>0</v>
      </c>
      <c r="S20435">
        <v>0</v>
      </c>
      <c r="T20435" t="s">
        <v>76391</v>
      </c>
    </row>
    <row r="20436" spans="1:25" customFormat="1" ht="15" x14ac:dyDescent="0.25">
      <c r="A20436" t="s">
        <v>24</v>
      </c>
      <c r="B20436" t="s">
        <v>76387</v>
      </c>
      <c r="C20436" t="str">
        <f>"A0078266"</f>
        <v>A0078266</v>
      </c>
      <c r="D20436" t="s">
        <v>76394</v>
      </c>
      <c r="E20436" t="s">
        <v>76395</v>
      </c>
      <c r="F20436" t="s">
        <v>1564</v>
      </c>
      <c r="G20436" t="s">
        <v>52</v>
      </c>
      <c r="H20436">
        <v>77263</v>
      </c>
      <c r="I20436" t="s">
        <v>30</v>
      </c>
      <c r="J20436" t="s">
        <v>1004</v>
      </c>
      <c r="K20436" t="s">
        <v>163</v>
      </c>
      <c r="Q20436">
        <v>0</v>
      </c>
      <c r="R20436">
        <v>0</v>
      </c>
      <c r="S20436">
        <v>0</v>
      </c>
      <c r="T20436" t="s">
        <v>76391</v>
      </c>
    </row>
    <row r="20437" spans="1:25" customFormat="1" ht="15" x14ac:dyDescent="0.25">
      <c r="A20437" t="s">
        <v>24</v>
      </c>
      <c r="B20437" t="s">
        <v>76387</v>
      </c>
      <c r="C20437" t="str">
        <f>"A0078342"</f>
        <v>A0078342</v>
      </c>
      <c r="D20437" t="s">
        <v>76396</v>
      </c>
      <c r="E20437" t="s">
        <v>76397</v>
      </c>
      <c r="F20437" t="s">
        <v>1564</v>
      </c>
      <c r="G20437" t="s">
        <v>52</v>
      </c>
      <c r="H20437">
        <v>77007</v>
      </c>
      <c r="I20437" t="s">
        <v>30</v>
      </c>
      <c r="J20437" t="s">
        <v>1004</v>
      </c>
      <c r="K20437" t="s">
        <v>163</v>
      </c>
      <c r="N20437" t="s">
        <v>76390</v>
      </c>
      <c r="Q20437">
        <v>0</v>
      </c>
      <c r="R20437">
        <v>0</v>
      </c>
      <c r="S20437">
        <v>0</v>
      </c>
      <c r="T20437" t="s">
        <v>76391</v>
      </c>
    </row>
    <row r="20438" spans="1:25" customFormat="1" ht="15" x14ac:dyDescent="0.25">
      <c r="A20438" t="s">
        <v>24</v>
      </c>
      <c r="B20438" t="s">
        <v>2360</v>
      </c>
      <c r="C20438" t="str">
        <f>"CL0253"</f>
        <v>CL0253</v>
      </c>
      <c r="D20438" t="s">
        <v>76398</v>
      </c>
      <c r="E20438" t="s">
        <v>76399</v>
      </c>
      <c r="F20438" t="s">
        <v>76400</v>
      </c>
      <c r="G20438" t="s">
        <v>81</v>
      </c>
      <c r="H20438">
        <v>34990</v>
      </c>
      <c r="I20438" t="s">
        <v>30</v>
      </c>
      <c r="J20438" t="s">
        <v>178</v>
      </c>
      <c r="K20438" t="s">
        <v>56676</v>
      </c>
      <c r="N20438" t="s">
        <v>76401</v>
      </c>
      <c r="O20438" t="s">
        <v>76402</v>
      </c>
      <c r="P20438" t="s">
        <v>992</v>
      </c>
      <c r="Q20438">
        <v>1</v>
      </c>
      <c r="R20438">
        <v>0</v>
      </c>
      <c r="S20438">
        <v>0</v>
      </c>
      <c r="T20438" t="s">
        <v>76403</v>
      </c>
    </row>
    <row r="20439" spans="1:25" x14ac:dyDescent="0.25">
      <c r="A20439" s="5" t="s">
        <v>24</v>
      </c>
      <c r="B20439" s="5" t="s">
        <v>3159</v>
      </c>
      <c r="C20439" s="5" t="str">
        <f>"A0087612"</f>
        <v>A0087612</v>
      </c>
      <c r="D20439" s="5" t="s">
        <v>61312</v>
      </c>
      <c r="E20439" s="5" t="s">
        <v>61313</v>
      </c>
      <c r="F20439" s="5" t="s">
        <v>2235</v>
      </c>
      <c r="G20439" s="5" t="s">
        <v>123</v>
      </c>
      <c r="H20439" s="5">
        <v>21842</v>
      </c>
      <c r="I20439" s="5" t="s">
        <v>30</v>
      </c>
      <c r="J20439" s="5" t="s">
        <v>171</v>
      </c>
      <c r="K20439" s="5" t="s">
        <v>973</v>
      </c>
      <c r="L20439" s="5"/>
      <c r="M20439" s="5"/>
      <c r="N20439" s="5" t="s">
        <v>61314</v>
      </c>
      <c r="O20439" s="5"/>
      <c r="P20439" s="5"/>
      <c r="Q20439" s="5">
        <v>0</v>
      </c>
      <c r="R20439" s="5">
        <v>91</v>
      </c>
      <c r="S20439" s="5">
        <v>0</v>
      </c>
      <c r="T20439" s="5" t="s">
        <v>61315</v>
      </c>
      <c r="U20439" s="5"/>
      <c r="V20439" s="5"/>
      <c r="W20439" s="5"/>
      <c r="X20439" s="5"/>
      <c r="Y20439" s="5"/>
    </row>
    <row r="20440" spans="1:25" x14ac:dyDescent="0.25">
      <c r="A20440" s="5" t="s">
        <v>24</v>
      </c>
      <c r="B20440" s="5" t="s">
        <v>1561</v>
      </c>
      <c r="C20440" s="5" t="str">
        <f>"A0093454"</f>
        <v>A0093454</v>
      </c>
      <c r="D20440" s="5" t="s">
        <v>61316</v>
      </c>
      <c r="E20440" s="5" t="s">
        <v>61317</v>
      </c>
      <c r="F20440" s="5" t="s">
        <v>57635</v>
      </c>
      <c r="G20440" s="5" t="s">
        <v>52</v>
      </c>
      <c r="H20440" s="5">
        <v>79765</v>
      </c>
      <c r="I20440" s="5" t="s">
        <v>30</v>
      </c>
      <c r="J20440" s="5" t="s">
        <v>171</v>
      </c>
      <c r="K20440" s="5" t="s">
        <v>973</v>
      </c>
      <c r="L20440" s="5"/>
      <c r="M20440" s="5"/>
      <c r="N20440" s="5" t="s">
        <v>61318</v>
      </c>
      <c r="O20440" s="5"/>
      <c r="P20440" s="5"/>
      <c r="Q20440" s="5">
        <v>0</v>
      </c>
      <c r="R20440" s="5">
        <v>100</v>
      </c>
      <c r="S20440" s="5">
        <v>0</v>
      </c>
      <c r="T20440" s="5" t="s">
        <v>61319</v>
      </c>
      <c r="U20440" s="5"/>
      <c r="V20440" s="5"/>
      <c r="W20440" s="5"/>
      <c r="X20440" s="5"/>
      <c r="Y20440" s="5"/>
    </row>
    <row r="20441" spans="1:25" hidden="1" x14ac:dyDescent="0.25">
      <c r="A20441" s="3" t="s">
        <v>24</v>
      </c>
      <c r="B20441" s="3" t="s">
        <v>7674</v>
      </c>
      <c r="C20441" s="3" t="str">
        <f>"A0100838"</f>
        <v>A0100838</v>
      </c>
      <c r="D20441" s="3" t="s">
        <v>76414</v>
      </c>
      <c r="E20441" s="3" t="s">
        <v>76415</v>
      </c>
      <c r="F20441" s="3" t="s">
        <v>2406</v>
      </c>
      <c r="G20441" s="3" t="s">
        <v>2407</v>
      </c>
      <c r="H20441" s="3">
        <v>23450</v>
      </c>
      <c r="I20441" s="3" t="s">
        <v>2408</v>
      </c>
      <c r="J20441" s="3" t="s">
        <v>206</v>
      </c>
      <c r="K20441" s="3" t="s">
        <v>9098</v>
      </c>
      <c r="N20441" s="3" t="s">
        <v>76416</v>
      </c>
      <c r="O20441" s="3" t="s">
        <v>76417</v>
      </c>
      <c r="Q20441" s="3">
        <v>0</v>
      </c>
      <c r="R20441" s="3">
        <v>174</v>
      </c>
      <c r="S20441" s="3">
        <v>0</v>
      </c>
      <c r="T20441" s="3" t="s">
        <v>76418</v>
      </c>
    </row>
    <row r="20442" spans="1:25" x14ac:dyDescent="0.25">
      <c r="A20442" s="5" t="s">
        <v>24</v>
      </c>
      <c r="B20442" s="5" t="s">
        <v>675</v>
      </c>
      <c r="C20442" s="5" t="str">
        <f>"311QD"</f>
        <v>311QD</v>
      </c>
      <c r="D20442" s="5" t="s">
        <v>61320</v>
      </c>
      <c r="E20442" s="5" t="s">
        <v>61321</v>
      </c>
      <c r="F20442" s="5" t="s">
        <v>866</v>
      </c>
      <c r="G20442" s="5" t="s">
        <v>40</v>
      </c>
      <c r="H20442" s="5">
        <v>73118</v>
      </c>
      <c r="I20442" s="5" t="s">
        <v>30</v>
      </c>
      <c r="J20442" s="5" t="s">
        <v>171</v>
      </c>
      <c r="K20442" s="5" t="s">
        <v>973</v>
      </c>
      <c r="L20442" s="5"/>
      <c r="M20442" s="5"/>
      <c r="N20442" s="5" t="s">
        <v>2089</v>
      </c>
      <c r="O20442" s="5" t="s">
        <v>61322</v>
      </c>
      <c r="P20442" s="5"/>
      <c r="Q20442" s="5">
        <v>0</v>
      </c>
      <c r="R20442" s="5">
        <v>122</v>
      </c>
      <c r="S20442" s="5">
        <v>0</v>
      </c>
      <c r="T20442" s="5" t="s">
        <v>61323</v>
      </c>
      <c r="U20442" s="5"/>
      <c r="V20442" s="5"/>
      <c r="W20442" s="5"/>
      <c r="X20442" s="5"/>
      <c r="Y20442" s="5"/>
    </row>
    <row r="20443" spans="1:25" customFormat="1" ht="15" x14ac:dyDescent="0.25">
      <c r="A20443" t="s">
        <v>24</v>
      </c>
      <c r="B20443" t="s">
        <v>1567</v>
      </c>
      <c r="C20443" t="str">
        <f>"A0061179"</f>
        <v>A0061179</v>
      </c>
      <c r="D20443" t="s">
        <v>76425</v>
      </c>
      <c r="E20443" t="s">
        <v>76426</v>
      </c>
      <c r="F20443" t="s">
        <v>2376</v>
      </c>
      <c r="G20443" t="s">
        <v>110</v>
      </c>
      <c r="H20443">
        <v>93940</v>
      </c>
      <c r="I20443" t="s">
        <v>30</v>
      </c>
      <c r="J20443" t="s">
        <v>31</v>
      </c>
      <c r="K20443" t="s">
        <v>13697</v>
      </c>
      <c r="N20443" t="s">
        <v>76427</v>
      </c>
      <c r="O20443" t="s">
        <v>57824</v>
      </c>
      <c r="Q20443">
        <v>0</v>
      </c>
      <c r="R20443">
        <v>47</v>
      </c>
      <c r="S20443">
        <v>0</v>
      </c>
      <c r="T20443" t="s">
        <v>76428</v>
      </c>
    </row>
    <row r="20444" spans="1:25" customFormat="1" ht="15" x14ac:dyDescent="0.25">
      <c r="A20444" t="s">
        <v>24</v>
      </c>
      <c r="B20444" t="s">
        <v>56277</v>
      </c>
      <c r="C20444" t="str">
        <f>"A0068104"</f>
        <v>A0068104</v>
      </c>
      <c r="D20444" t="s">
        <v>61324</v>
      </c>
      <c r="E20444" t="s">
        <v>61325</v>
      </c>
      <c r="F20444" t="s">
        <v>866</v>
      </c>
      <c r="G20444" t="s">
        <v>40</v>
      </c>
      <c r="H20444">
        <v>73102</v>
      </c>
      <c r="I20444" t="s">
        <v>30</v>
      </c>
      <c r="J20444" t="s">
        <v>171</v>
      </c>
      <c r="K20444" t="s">
        <v>973</v>
      </c>
      <c r="N20444" t="s">
        <v>61326</v>
      </c>
      <c r="O20444" t="s">
        <v>61327</v>
      </c>
      <c r="Q20444">
        <v>0</v>
      </c>
      <c r="R20444">
        <v>225</v>
      </c>
      <c r="S20444">
        <v>0</v>
      </c>
      <c r="T20444" t="s">
        <v>61328</v>
      </c>
    </row>
    <row r="20445" spans="1:25" customFormat="1" ht="15" x14ac:dyDescent="0.25">
      <c r="A20445" t="s">
        <v>24</v>
      </c>
      <c r="B20445" t="s">
        <v>1855</v>
      </c>
      <c r="C20445" t="str">
        <f>"A0087240"</f>
        <v>A0087240</v>
      </c>
      <c r="D20445" t="s">
        <v>61329</v>
      </c>
      <c r="E20445" t="s">
        <v>61330</v>
      </c>
      <c r="F20445" t="s">
        <v>1541</v>
      </c>
      <c r="G20445" t="s">
        <v>427</v>
      </c>
      <c r="H20445">
        <v>68106</v>
      </c>
      <c r="I20445" t="s">
        <v>30</v>
      </c>
      <c r="J20445" t="s">
        <v>171</v>
      </c>
      <c r="K20445" t="s">
        <v>973</v>
      </c>
      <c r="N20445" t="s">
        <v>61331</v>
      </c>
      <c r="Q20445">
        <v>0</v>
      </c>
      <c r="R20445">
        <v>134</v>
      </c>
      <c r="S20445">
        <v>0</v>
      </c>
      <c r="T20445" t="s">
        <v>61332</v>
      </c>
    </row>
    <row r="20446" spans="1:25" customFormat="1" ht="15" x14ac:dyDescent="0.25">
      <c r="A20446" t="s">
        <v>24</v>
      </c>
      <c r="B20446" t="s">
        <v>6667</v>
      </c>
      <c r="C20446" t="str">
        <f>"A0053198"</f>
        <v>A0053198</v>
      </c>
      <c r="D20446" t="s">
        <v>76438</v>
      </c>
      <c r="E20446" t="s">
        <v>76439</v>
      </c>
      <c r="F20446" t="s">
        <v>76440</v>
      </c>
      <c r="G20446" t="s">
        <v>123</v>
      </c>
      <c r="H20446">
        <v>20882</v>
      </c>
      <c r="I20446" t="s">
        <v>30</v>
      </c>
      <c r="J20446" t="s">
        <v>178</v>
      </c>
      <c r="K20446" t="s">
        <v>6667</v>
      </c>
      <c r="N20446" t="s">
        <v>76441</v>
      </c>
      <c r="Q20446">
        <v>0</v>
      </c>
      <c r="R20446">
        <v>0</v>
      </c>
      <c r="S20446">
        <v>0</v>
      </c>
      <c r="T20446" t="s">
        <v>76442</v>
      </c>
    </row>
    <row r="20447" spans="1:25" customFormat="1" ht="15" hidden="1" x14ac:dyDescent="0.25">
      <c r="A20447" t="s">
        <v>24</v>
      </c>
      <c r="B20447" t="s">
        <v>675</v>
      </c>
      <c r="C20447" t="str">
        <f>"A0087694"</f>
        <v>A0087694</v>
      </c>
      <c r="D20447" t="s">
        <v>76443</v>
      </c>
      <c r="E20447" t="s">
        <v>76444</v>
      </c>
      <c r="F20447" t="s">
        <v>76445</v>
      </c>
      <c r="G20447" t="s">
        <v>5439</v>
      </c>
      <c r="H20447" t="s">
        <v>76446</v>
      </c>
      <c r="I20447" t="s">
        <v>1459</v>
      </c>
      <c r="J20447" t="s">
        <v>162</v>
      </c>
      <c r="K20447" t="s">
        <v>1490</v>
      </c>
      <c r="N20447" t="s">
        <v>76447</v>
      </c>
      <c r="O20447" t="s">
        <v>76448</v>
      </c>
      <c r="Q20447">
        <v>0</v>
      </c>
      <c r="R20447">
        <v>274</v>
      </c>
      <c r="S20447">
        <v>0</v>
      </c>
      <c r="T20447" t="s">
        <v>76449</v>
      </c>
    </row>
    <row r="20448" spans="1:25" customFormat="1" ht="15" x14ac:dyDescent="0.25">
      <c r="A20448" t="s">
        <v>24</v>
      </c>
      <c r="B20448" t="s">
        <v>10734</v>
      </c>
      <c r="C20448" t="str">
        <f>"A0057609"</f>
        <v>A0057609</v>
      </c>
      <c r="D20448" t="s">
        <v>76450</v>
      </c>
      <c r="E20448" t="s">
        <v>76451</v>
      </c>
      <c r="F20448" t="s">
        <v>10401</v>
      </c>
      <c r="G20448" t="s">
        <v>110</v>
      </c>
      <c r="H20448">
        <v>90069</v>
      </c>
      <c r="I20448" t="s">
        <v>30</v>
      </c>
      <c r="J20448" t="s">
        <v>31</v>
      </c>
      <c r="K20448" t="s">
        <v>163</v>
      </c>
      <c r="N20448" t="s">
        <v>57893</v>
      </c>
      <c r="O20448" t="s">
        <v>76452</v>
      </c>
      <c r="Q20448">
        <v>0</v>
      </c>
      <c r="R20448">
        <v>133</v>
      </c>
      <c r="S20448">
        <v>0</v>
      </c>
      <c r="T20448" t="s">
        <v>76453</v>
      </c>
    </row>
    <row r="20449" spans="1:25" customFormat="1" ht="15" x14ac:dyDescent="0.25">
      <c r="A20449" t="s">
        <v>24</v>
      </c>
      <c r="B20449" t="s">
        <v>675</v>
      </c>
      <c r="C20449" t="str">
        <f>"311MW"</f>
        <v>311MW</v>
      </c>
      <c r="D20449" t="s">
        <v>61333</v>
      </c>
      <c r="E20449" t="s">
        <v>61334</v>
      </c>
      <c r="F20449" t="s">
        <v>1541</v>
      </c>
      <c r="G20449" t="s">
        <v>427</v>
      </c>
      <c r="H20449">
        <v>68102</v>
      </c>
      <c r="I20449" t="s">
        <v>30</v>
      </c>
      <c r="J20449" t="s">
        <v>171</v>
      </c>
      <c r="K20449" t="s">
        <v>973</v>
      </c>
      <c r="N20449" t="s">
        <v>61335</v>
      </c>
      <c r="O20449" t="s">
        <v>61336</v>
      </c>
      <c r="Q20449">
        <v>0</v>
      </c>
      <c r="R20449">
        <v>181</v>
      </c>
      <c r="S20449">
        <v>0</v>
      </c>
      <c r="T20449" t="s">
        <v>61337</v>
      </c>
    </row>
    <row r="20450" spans="1:25" customFormat="1" ht="15" x14ac:dyDescent="0.25">
      <c r="A20450" t="s">
        <v>24</v>
      </c>
      <c r="B20450" t="s">
        <v>56488</v>
      </c>
      <c r="C20450" t="str">
        <f>"A0053142"</f>
        <v>A0053142</v>
      </c>
      <c r="D20450" t="s">
        <v>76459</v>
      </c>
      <c r="E20450" t="s">
        <v>76460</v>
      </c>
      <c r="F20450" t="s">
        <v>196</v>
      </c>
      <c r="G20450" t="s">
        <v>197</v>
      </c>
      <c r="H20450">
        <v>85023</v>
      </c>
      <c r="I20450" t="s">
        <v>30</v>
      </c>
      <c r="J20450" t="s">
        <v>178</v>
      </c>
      <c r="K20450" t="s">
        <v>179</v>
      </c>
      <c r="N20450" t="s">
        <v>76461</v>
      </c>
      <c r="O20450" t="s">
        <v>76462</v>
      </c>
      <c r="Q20450">
        <v>0</v>
      </c>
      <c r="R20450">
        <v>0</v>
      </c>
      <c r="S20450">
        <v>0</v>
      </c>
      <c r="T20450" t="s">
        <v>76463</v>
      </c>
    </row>
    <row r="20451" spans="1:25" customFormat="1" ht="15" x14ac:dyDescent="0.25">
      <c r="A20451" t="s">
        <v>24</v>
      </c>
      <c r="B20451" t="s">
        <v>2360</v>
      </c>
      <c r="C20451" t="str">
        <f>"CL1578"</f>
        <v>CL1578</v>
      </c>
      <c r="D20451" t="s">
        <v>76464</v>
      </c>
      <c r="E20451" t="s">
        <v>76465</v>
      </c>
      <c r="F20451" t="s">
        <v>76466</v>
      </c>
      <c r="G20451" t="s">
        <v>110</v>
      </c>
      <c r="H20451">
        <v>92091</v>
      </c>
      <c r="I20451" t="s">
        <v>30</v>
      </c>
      <c r="J20451" t="s">
        <v>178</v>
      </c>
      <c r="K20451" t="s">
        <v>56676</v>
      </c>
      <c r="N20451" t="s">
        <v>76467</v>
      </c>
      <c r="O20451" t="s">
        <v>76468</v>
      </c>
      <c r="P20451" t="s">
        <v>3998</v>
      </c>
      <c r="Q20451">
        <v>2</v>
      </c>
      <c r="R20451">
        <v>66</v>
      </c>
      <c r="S20451">
        <v>0</v>
      </c>
      <c r="T20451" t="s">
        <v>76469</v>
      </c>
    </row>
    <row r="20452" spans="1:25" customFormat="1" ht="15" x14ac:dyDescent="0.25">
      <c r="A20452" t="s">
        <v>24</v>
      </c>
      <c r="B20452" t="s">
        <v>61338</v>
      </c>
      <c r="C20452" t="str">
        <f>"A0117341"</f>
        <v>A0117341</v>
      </c>
      <c r="D20452" t="s">
        <v>61339</v>
      </c>
      <c r="E20452" t="s">
        <v>61340</v>
      </c>
      <c r="F20452" t="s">
        <v>61341</v>
      </c>
      <c r="G20452" t="s">
        <v>1898</v>
      </c>
      <c r="H20452">
        <v>51501</v>
      </c>
      <c r="I20452" t="s">
        <v>30</v>
      </c>
      <c r="J20452" t="s">
        <v>171</v>
      </c>
      <c r="K20452" t="s">
        <v>973</v>
      </c>
      <c r="N20452" t="s">
        <v>61342</v>
      </c>
      <c r="Q20452">
        <v>0</v>
      </c>
      <c r="R20452">
        <v>131</v>
      </c>
      <c r="S20452">
        <v>0</v>
      </c>
      <c r="T20452" t="s">
        <v>61343</v>
      </c>
    </row>
    <row r="20453" spans="1:25" x14ac:dyDescent="0.25">
      <c r="A20453" s="5" t="s">
        <v>24</v>
      </c>
      <c r="B20453" s="5" t="s">
        <v>56277</v>
      </c>
      <c r="C20453" s="5" t="str">
        <f>"A0087896"</f>
        <v>A0087896</v>
      </c>
      <c r="D20453" s="5" t="s">
        <v>61344</v>
      </c>
      <c r="E20453" s="5" t="s">
        <v>61345</v>
      </c>
      <c r="F20453" s="5" t="s">
        <v>61346</v>
      </c>
      <c r="G20453" s="5" t="s">
        <v>427</v>
      </c>
      <c r="H20453" s="5">
        <v>68128</v>
      </c>
      <c r="I20453" s="5" t="s">
        <v>30</v>
      </c>
      <c r="J20453" s="5" t="s">
        <v>171</v>
      </c>
      <c r="K20453" s="5" t="s">
        <v>973</v>
      </c>
      <c r="L20453" s="5"/>
      <c r="M20453" s="5"/>
      <c r="N20453" s="5" t="s">
        <v>61347</v>
      </c>
      <c r="O20453" s="5" t="s">
        <v>61348</v>
      </c>
      <c r="P20453" s="5"/>
      <c r="Q20453" s="5">
        <v>0</v>
      </c>
      <c r="R20453" s="5">
        <v>140</v>
      </c>
      <c r="S20453" s="5">
        <v>0</v>
      </c>
      <c r="T20453" s="5" t="s">
        <v>61349</v>
      </c>
      <c r="U20453" s="5"/>
      <c r="V20453" s="5"/>
      <c r="W20453" s="5"/>
      <c r="X20453" s="5"/>
      <c r="Y20453" s="5"/>
    </row>
    <row r="20454" spans="1:25" customFormat="1" ht="15" x14ac:dyDescent="0.25">
      <c r="A20454" t="s">
        <v>24</v>
      </c>
      <c r="B20454" t="s">
        <v>34039</v>
      </c>
      <c r="C20454" t="str">
        <f>"A0092128"</f>
        <v>A0092128</v>
      </c>
      <c r="D20454" t="s">
        <v>76479</v>
      </c>
      <c r="E20454" t="s">
        <v>76480</v>
      </c>
      <c r="F20454" t="s">
        <v>76481</v>
      </c>
      <c r="G20454" t="s">
        <v>433</v>
      </c>
      <c r="H20454">
        <v>83843</v>
      </c>
      <c r="I20454" t="s">
        <v>30</v>
      </c>
      <c r="J20454" t="s">
        <v>31</v>
      </c>
      <c r="K20454" t="s">
        <v>32</v>
      </c>
      <c r="N20454" t="s">
        <v>76482</v>
      </c>
      <c r="Q20454">
        <v>0</v>
      </c>
      <c r="R20454">
        <v>74</v>
      </c>
      <c r="S20454">
        <v>0</v>
      </c>
      <c r="T20454" t="s">
        <v>76483</v>
      </c>
    </row>
    <row r="20455" spans="1:25" customFormat="1" ht="15" x14ac:dyDescent="0.25">
      <c r="A20455" t="s">
        <v>24</v>
      </c>
      <c r="B20455" t="s">
        <v>76484</v>
      </c>
      <c r="C20455" t="str">
        <f>"A0051607"</f>
        <v>A0051607</v>
      </c>
      <c r="D20455" t="s">
        <v>76485</v>
      </c>
      <c r="E20455" t="s">
        <v>76486</v>
      </c>
      <c r="F20455" t="s">
        <v>76487</v>
      </c>
      <c r="G20455" t="s">
        <v>103</v>
      </c>
      <c r="H20455">
        <v>19522</v>
      </c>
      <c r="I20455" t="s">
        <v>30</v>
      </c>
      <c r="J20455" t="s">
        <v>178</v>
      </c>
      <c r="K20455" t="s">
        <v>179</v>
      </c>
      <c r="N20455" t="s">
        <v>76488</v>
      </c>
      <c r="O20455" t="s">
        <v>76489</v>
      </c>
      <c r="P20455" t="s">
        <v>992</v>
      </c>
      <c r="Q20455">
        <v>1</v>
      </c>
      <c r="R20455">
        <v>0</v>
      </c>
      <c r="S20455">
        <v>0</v>
      </c>
      <c r="T20455" t="s">
        <v>76490</v>
      </c>
    </row>
    <row r="20456" spans="1:25" customFormat="1" ht="15" x14ac:dyDescent="0.25">
      <c r="A20456" t="s">
        <v>24</v>
      </c>
      <c r="B20456" t="s">
        <v>2340</v>
      </c>
      <c r="C20456" t="str">
        <f>"A0078638"</f>
        <v>A0078638</v>
      </c>
      <c r="D20456" t="s">
        <v>76491</v>
      </c>
      <c r="E20456" t="s">
        <v>76492</v>
      </c>
      <c r="F20456" t="s">
        <v>76493</v>
      </c>
      <c r="G20456" t="s">
        <v>615</v>
      </c>
      <c r="H20456">
        <v>6405</v>
      </c>
      <c r="I20456" t="s">
        <v>30</v>
      </c>
      <c r="J20456" t="s">
        <v>145</v>
      </c>
      <c r="K20456" t="s">
        <v>154</v>
      </c>
      <c r="N20456" t="s">
        <v>76494</v>
      </c>
      <c r="Q20456">
        <v>0</v>
      </c>
      <c r="R20456">
        <v>100</v>
      </c>
      <c r="S20456">
        <v>0</v>
      </c>
      <c r="T20456" t="s">
        <v>76495</v>
      </c>
    </row>
    <row r="20457" spans="1:25" customFormat="1" ht="15" x14ac:dyDescent="0.25">
      <c r="A20457" t="s">
        <v>24</v>
      </c>
      <c r="B20457" t="s">
        <v>8366</v>
      </c>
      <c r="C20457" t="str">
        <f>"A0091456"</f>
        <v>A0091456</v>
      </c>
      <c r="D20457" t="s">
        <v>76496</v>
      </c>
      <c r="E20457" t="s">
        <v>76497</v>
      </c>
      <c r="F20457" t="s">
        <v>70534</v>
      </c>
      <c r="G20457" t="s">
        <v>899</v>
      </c>
      <c r="H20457">
        <v>2301</v>
      </c>
      <c r="I20457" t="s">
        <v>30</v>
      </c>
      <c r="J20457" t="s">
        <v>145</v>
      </c>
      <c r="K20457" t="s">
        <v>154</v>
      </c>
      <c r="N20457" t="s">
        <v>76498</v>
      </c>
      <c r="Q20457">
        <v>0</v>
      </c>
      <c r="R20457">
        <v>74</v>
      </c>
      <c r="S20457">
        <v>0</v>
      </c>
      <c r="T20457" t="s">
        <v>76499</v>
      </c>
    </row>
    <row r="20458" spans="1:25" customFormat="1" ht="15" x14ac:dyDescent="0.25">
      <c r="A20458" t="s">
        <v>24</v>
      </c>
      <c r="B20458" t="s">
        <v>4990</v>
      </c>
      <c r="C20458" t="str">
        <f>"A0066110"</f>
        <v>A0066110</v>
      </c>
      <c r="D20458" t="s">
        <v>76500</v>
      </c>
      <c r="E20458" t="s">
        <v>76501</v>
      </c>
      <c r="F20458" t="s">
        <v>74691</v>
      </c>
      <c r="G20458" t="s">
        <v>381</v>
      </c>
      <c r="H20458">
        <v>47933</v>
      </c>
      <c r="I20458" t="s">
        <v>30</v>
      </c>
      <c r="J20458" t="s">
        <v>145</v>
      </c>
      <c r="K20458" t="s">
        <v>154</v>
      </c>
      <c r="N20458" t="s">
        <v>74692</v>
      </c>
      <c r="Q20458">
        <v>0</v>
      </c>
      <c r="R20458">
        <v>60</v>
      </c>
      <c r="S20458">
        <v>0</v>
      </c>
      <c r="T20458" t="s">
        <v>76502</v>
      </c>
    </row>
    <row r="20459" spans="1:25" customFormat="1" ht="15" x14ac:dyDescent="0.25">
      <c r="A20459" t="s">
        <v>24</v>
      </c>
      <c r="B20459" t="s">
        <v>15039</v>
      </c>
      <c r="C20459" t="str">
        <f>"A0155560"</f>
        <v>A0155560</v>
      </c>
      <c r="D20459" t="s">
        <v>76503</v>
      </c>
      <c r="E20459" t="s">
        <v>76504</v>
      </c>
      <c r="F20459" t="s">
        <v>33693</v>
      </c>
      <c r="G20459" t="s">
        <v>144</v>
      </c>
      <c r="H20459">
        <v>58103</v>
      </c>
      <c r="I20459" t="s">
        <v>30</v>
      </c>
      <c r="J20459" t="s">
        <v>145</v>
      </c>
      <c r="K20459" t="s">
        <v>154</v>
      </c>
      <c r="N20459" t="s">
        <v>14317</v>
      </c>
      <c r="Q20459">
        <v>0</v>
      </c>
      <c r="R20459">
        <v>96</v>
      </c>
      <c r="S20459">
        <v>0</v>
      </c>
      <c r="T20459" t="s">
        <v>76505</v>
      </c>
    </row>
    <row r="20460" spans="1:25" customFormat="1" ht="15" x14ac:dyDescent="0.25">
      <c r="A20460" t="s">
        <v>24</v>
      </c>
      <c r="B20460" t="s">
        <v>15039</v>
      </c>
      <c r="C20460" t="str">
        <f>"A0155561"</f>
        <v>A0155561</v>
      </c>
      <c r="D20460" t="s">
        <v>76506</v>
      </c>
      <c r="E20460" t="s">
        <v>76507</v>
      </c>
      <c r="F20460" t="s">
        <v>9431</v>
      </c>
      <c r="G20460" t="s">
        <v>381</v>
      </c>
      <c r="H20460">
        <v>46217</v>
      </c>
      <c r="I20460" t="s">
        <v>30</v>
      </c>
      <c r="J20460" t="s">
        <v>145</v>
      </c>
      <c r="K20460" t="s">
        <v>154</v>
      </c>
      <c r="N20460" t="s">
        <v>76508</v>
      </c>
      <c r="Q20460">
        <v>0</v>
      </c>
      <c r="R20460">
        <v>73</v>
      </c>
      <c r="S20460">
        <v>0</v>
      </c>
      <c r="T20460" t="s">
        <v>76509</v>
      </c>
    </row>
    <row r="20461" spans="1:25" customFormat="1" ht="15" x14ac:dyDescent="0.25">
      <c r="A20461" t="s">
        <v>24</v>
      </c>
      <c r="B20461" t="s">
        <v>15039</v>
      </c>
      <c r="C20461" t="str">
        <f>"A0155562"</f>
        <v>A0155562</v>
      </c>
      <c r="D20461" t="s">
        <v>76510</v>
      </c>
      <c r="E20461" t="s">
        <v>76511</v>
      </c>
      <c r="F20461" t="s">
        <v>11700</v>
      </c>
      <c r="G20461" t="s">
        <v>880</v>
      </c>
      <c r="H20461">
        <v>38104</v>
      </c>
      <c r="I20461" t="s">
        <v>30</v>
      </c>
      <c r="J20461" t="s">
        <v>145</v>
      </c>
      <c r="K20461" t="s">
        <v>154</v>
      </c>
      <c r="N20461" t="s">
        <v>76512</v>
      </c>
      <c r="Q20461">
        <v>0</v>
      </c>
      <c r="R20461">
        <v>115</v>
      </c>
      <c r="S20461">
        <v>0</v>
      </c>
      <c r="T20461" t="s">
        <v>76513</v>
      </c>
    </row>
    <row r="20462" spans="1:25" customFormat="1" ht="15" x14ac:dyDescent="0.25">
      <c r="A20462" t="s">
        <v>24</v>
      </c>
      <c r="B20462" t="s">
        <v>15039</v>
      </c>
      <c r="C20462" t="str">
        <f>"A0155563"</f>
        <v>A0155563</v>
      </c>
      <c r="D20462" t="s">
        <v>76514</v>
      </c>
      <c r="E20462" t="s">
        <v>76515</v>
      </c>
      <c r="F20462" t="s">
        <v>65531</v>
      </c>
      <c r="G20462" t="s">
        <v>3236</v>
      </c>
      <c r="H20462">
        <v>57107</v>
      </c>
      <c r="I20462" t="s">
        <v>30</v>
      </c>
      <c r="J20462" t="s">
        <v>145</v>
      </c>
      <c r="K20462" t="s">
        <v>154</v>
      </c>
      <c r="N20462" t="s">
        <v>14317</v>
      </c>
      <c r="Q20462">
        <v>0</v>
      </c>
      <c r="R20462">
        <v>87</v>
      </c>
      <c r="S20462">
        <v>0</v>
      </c>
      <c r="T20462" t="s">
        <v>76516</v>
      </c>
    </row>
    <row r="20463" spans="1:25" x14ac:dyDescent="0.25">
      <c r="A20463" s="5" t="s">
        <v>24</v>
      </c>
      <c r="B20463" s="5" t="s">
        <v>675</v>
      </c>
      <c r="C20463" s="5" t="str">
        <f>"311R2"</f>
        <v>311R2</v>
      </c>
      <c r="D20463" s="5" t="s">
        <v>61350</v>
      </c>
      <c r="E20463" s="5" t="s">
        <v>61351</v>
      </c>
      <c r="F20463" s="5" t="s">
        <v>985</v>
      </c>
      <c r="G20463" s="5" t="s">
        <v>81</v>
      </c>
      <c r="H20463" s="5">
        <v>32812</v>
      </c>
      <c r="I20463" s="5" t="s">
        <v>30</v>
      </c>
      <c r="J20463" s="5" t="s">
        <v>171</v>
      </c>
      <c r="K20463" s="5" t="s">
        <v>973</v>
      </c>
      <c r="L20463" s="5"/>
      <c r="M20463" s="5"/>
      <c r="N20463" s="5" t="s">
        <v>61352</v>
      </c>
      <c r="O20463" s="5" t="s">
        <v>61353</v>
      </c>
      <c r="P20463" s="5"/>
      <c r="Q20463" s="5">
        <v>0</v>
      </c>
      <c r="R20463" s="5">
        <v>149</v>
      </c>
      <c r="S20463" s="5">
        <v>0</v>
      </c>
      <c r="T20463" s="5" t="s">
        <v>61354</v>
      </c>
      <c r="U20463" s="5"/>
      <c r="V20463" s="5"/>
      <c r="W20463" s="5"/>
      <c r="X20463" s="5"/>
      <c r="Y20463" s="5"/>
    </row>
    <row r="20464" spans="1:25" customFormat="1" ht="15" x14ac:dyDescent="0.25">
      <c r="A20464" t="s">
        <v>24</v>
      </c>
      <c r="B20464" t="s">
        <v>72472</v>
      </c>
      <c r="C20464" t="str">
        <f>"A0098255"</f>
        <v>A0098255</v>
      </c>
      <c r="D20464" t="s">
        <v>76522</v>
      </c>
      <c r="E20464" t="s">
        <v>76523</v>
      </c>
      <c r="F20464" t="s">
        <v>313</v>
      </c>
      <c r="G20464" t="s">
        <v>314</v>
      </c>
      <c r="H20464">
        <v>20001</v>
      </c>
      <c r="I20464" t="s">
        <v>30</v>
      </c>
      <c r="J20464" t="s">
        <v>31</v>
      </c>
      <c r="K20464" t="s">
        <v>12796</v>
      </c>
      <c r="N20464" t="s">
        <v>76524</v>
      </c>
      <c r="Q20464">
        <v>0</v>
      </c>
      <c r="R20464">
        <v>245</v>
      </c>
      <c r="S20464">
        <v>0</v>
      </c>
      <c r="T20464" t="s">
        <v>76525</v>
      </c>
    </row>
    <row r="20465" spans="1:25" customFormat="1" ht="15" x14ac:dyDescent="0.25">
      <c r="A20465" t="s">
        <v>24</v>
      </c>
      <c r="B20465" t="s">
        <v>76526</v>
      </c>
      <c r="C20465" t="str">
        <f>"A0087454"</f>
        <v>A0087454</v>
      </c>
      <c r="D20465" t="s">
        <v>76526</v>
      </c>
      <c r="E20465" t="s">
        <v>76527</v>
      </c>
      <c r="F20465" t="s">
        <v>76528</v>
      </c>
      <c r="G20465" t="s">
        <v>29</v>
      </c>
      <c r="H20465">
        <v>22121</v>
      </c>
      <c r="I20465" t="s">
        <v>30</v>
      </c>
      <c r="J20465" t="s">
        <v>1004</v>
      </c>
      <c r="K20465" t="s">
        <v>163</v>
      </c>
      <c r="N20465" t="s">
        <v>76529</v>
      </c>
      <c r="Q20465">
        <v>0</v>
      </c>
      <c r="R20465">
        <v>0</v>
      </c>
      <c r="S20465">
        <v>0</v>
      </c>
      <c r="T20465" t="s">
        <v>76530</v>
      </c>
    </row>
    <row r="20466" spans="1:25" customFormat="1" ht="15" x14ac:dyDescent="0.25">
      <c r="A20466" t="s">
        <v>24</v>
      </c>
      <c r="B20466" t="s">
        <v>13626</v>
      </c>
      <c r="C20466" t="str">
        <f>"A0165647"</f>
        <v>A0165647</v>
      </c>
      <c r="D20466" t="s">
        <v>76531</v>
      </c>
      <c r="E20466" t="s">
        <v>76532</v>
      </c>
      <c r="F20466" t="s">
        <v>5833</v>
      </c>
      <c r="G20466" t="s">
        <v>1508</v>
      </c>
      <c r="H20466">
        <v>83001</v>
      </c>
      <c r="I20466" t="s">
        <v>30</v>
      </c>
      <c r="J20466" t="s">
        <v>31</v>
      </c>
      <c r="K20466" t="s">
        <v>163</v>
      </c>
      <c r="N20466" t="s">
        <v>76533</v>
      </c>
      <c r="O20466" t="s">
        <v>76534</v>
      </c>
      <c r="Q20466">
        <v>0</v>
      </c>
      <c r="R20466">
        <v>135</v>
      </c>
      <c r="S20466">
        <v>0</v>
      </c>
      <c r="T20466" t="s">
        <v>76535</v>
      </c>
    </row>
    <row r="20467" spans="1:25" customFormat="1" ht="15" x14ac:dyDescent="0.25">
      <c r="A20467" t="s">
        <v>24</v>
      </c>
      <c r="B20467" t="s">
        <v>76536</v>
      </c>
      <c r="C20467" t="str">
        <f>"A0052387"</f>
        <v>A0052387</v>
      </c>
      <c r="D20467" t="s">
        <v>76537</v>
      </c>
      <c r="E20467" t="s">
        <v>76538</v>
      </c>
      <c r="F20467" t="s">
        <v>76539</v>
      </c>
      <c r="G20467" t="s">
        <v>338</v>
      </c>
      <c r="H20467">
        <v>7006</v>
      </c>
      <c r="I20467" t="s">
        <v>30</v>
      </c>
      <c r="J20467" t="s">
        <v>178</v>
      </c>
      <c r="K20467" t="s">
        <v>179</v>
      </c>
      <c r="N20467" t="s">
        <v>76540</v>
      </c>
      <c r="O20467" t="s">
        <v>76541</v>
      </c>
      <c r="Q20467">
        <v>0</v>
      </c>
      <c r="R20467">
        <v>0</v>
      </c>
      <c r="S20467">
        <v>0</v>
      </c>
      <c r="T20467" t="s">
        <v>76542</v>
      </c>
    </row>
    <row r="20468" spans="1:25" customFormat="1" ht="15" x14ac:dyDescent="0.25">
      <c r="A20468" t="s">
        <v>24</v>
      </c>
      <c r="B20468" t="s">
        <v>1583</v>
      </c>
      <c r="C20468" t="str">
        <f>"38A37"</f>
        <v>38A37</v>
      </c>
      <c r="D20468" t="s">
        <v>76543</v>
      </c>
      <c r="E20468" t="s">
        <v>76544</v>
      </c>
      <c r="F20468" t="s">
        <v>2543</v>
      </c>
      <c r="G20468" t="s">
        <v>190</v>
      </c>
      <c r="H20468">
        <v>80424</v>
      </c>
      <c r="I20468" t="s">
        <v>30</v>
      </c>
      <c r="J20468" t="s">
        <v>2544</v>
      </c>
      <c r="K20468" t="s">
        <v>36059</v>
      </c>
      <c r="N20468" t="s">
        <v>76545</v>
      </c>
      <c r="O20468" t="s">
        <v>76546</v>
      </c>
      <c r="Q20468">
        <v>0</v>
      </c>
      <c r="R20468">
        <v>111</v>
      </c>
      <c r="S20468">
        <v>0</v>
      </c>
      <c r="T20468" t="s">
        <v>76547</v>
      </c>
    </row>
    <row r="20469" spans="1:25" customFormat="1" ht="15" x14ac:dyDescent="0.25">
      <c r="A20469" t="s">
        <v>24</v>
      </c>
      <c r="B20469" t="s">
        <v>1583</v>
      </c>
      <c r="C20469" t="str">
        <f>"38K09"</f>
        <v>38K09</v>
      </c>
      <c r="D20469" t="s">
        <v>76548</v>
      </c>
      <c r="E20469" t="s">
        <v>76549</v>
      </c>
      <c r="F20469" t="s">
        <v>7677</v>
      </c>
      <c r="G20469" t="s">
        <v>153</v>
      </c>
      <c r="H20469">
        <v>84060</v>
      </c>
      <c r="I20469" t="s">
        <v>30</v>
      </c>
      <c r="J20469" t="s">
        <v>2544</v>
      </c>
      <c r="K20469" t="s">
        <v>36059</v>
      </c>
      <c r="N20469" t="s">
        <v>76550</v>
      </c>
      <c r="Q20469">
        <v>0</v>
      </c>
      <c r="R20469">
        <v>182</v>
      </c>
      <c r="S20469">
        <v>0</v>
      </c>
      <c r="T20469" t="s">
        <v>76551</v>
      </c>
    </row>
    <row r="20470" spans="1:25" customFormat="1" ht="15" x14ac:dyDescent="0.25">
      <c r="A20470" t="s">
        <v>24</v>
      </c>
      <c r="B20470" t="s">
        <v>2955</v>
      </c>
      <c r="C20470" t="str">
        <f>"6512C"</f>
        <v>6512C</v>
      </c>
      <c r="D20470" t="s">
        <v>61355</v>
      </c>
      <c r="E20470" t="s">
        <v>61356</v>
      </c>
      <c r="F20470" t="s">
        <v>985</v>
      </c>
      <c r="G20470" t="s">
        <v>81</v>
      </c>
      <c r="H20470">
        <v>32810</v>
      </c>
      <c r="I20470" t="s">
        <v>30</v>
      </c>
      <c r="J20470" t="s">
        <v>171</v>
      </c>
      <c r="K20470" t="s">
        <v>973</v>
      </c>
      <c r="N20470" t="s">
        <v>3360</v>
      </c>
      <c r="Q20470">
        <v>0</v>
      </c>
      <c r="R20470">
        <v>112</v>
      </c>
      <c r="S20470">
        <v>0</v>
      </c>
      <c r="T20470" t="s">
        <v>61357</v>
      </c>
    </row>
    <row r="20471" spans="1:25" customFormat="1" ht="15" x14ac:dyDescent="0.25">
      <c r="A20471" t="s">
        <v>24</v>
      </c>
      <c r="B20471" t="s">
        <v>61358</v>
      </c>
      <c r="C20471" t="str">
        <f>"651IT"</f>
        <v>651IT</v>
      </c>
      <c r="D20471" t="s">
        <v>61359</v>
      </c>
      <c r="E20471" t="s">
        <v>61360</v>
      </c>
      <c r="F20471" t="s">
        <v>985</v>
      </c>
      <c r="G20471" t="s">
        <v>81</v>
      </c>
      <c r="H20471">
        <v>32817</v>
      </c>
      <c r="I20471" t="s">
        <v>30</v>
      </c>
      <c r="J20471" t="s">
        <v>171</v>
      </c>
      <c r="K20471" t="s">
        <v>973</v>
      </c>
      <c r="Q20471">
        <v>0</v>
      </c>
      <c r="R20471">
        <v>123</v>
      </c>
      <c r="S20471">
        <v>0</v>
      </c>
      <c r="T20471" t="s">
        <v>61361</v>
      </c>
    </row>
    <row r="20472" spans="1:25" customFormat="1" ht="15" x14ac:dyDescent="0.25">
      <c r="A20472" t="s">
        <v>24</v>
      </c>
      <c r="B20472" t="s">
        <v>675</v>
      </c>
      <c r="C20472" t="str">
        <f>"311R8"</f>
        <v>311R8</v>
      </c>
      <c r="D20472" t="s">
        <v>61362</v>
      </c>
      <c r="E20472" t="s">
        <v>61363</v>
      </c>
      <c r="F20472" t="s">
        <v>985</v>
      </c>
      <c r="G20472" t="s">
        <v>81</v>
      </c>
      <c r="H20472">
        <v>32819</v>
      </c>
      <c r="I20472" t="s">
        <v>30</v>
      </c>
      <c r="J20472" t="s">
        <v>171</v>
      </c>
      <c r="K20472" t="s">
        <v>973</v>
      </c>
      <c r="N20472" t="s">
        <v>61364</v>
      </c>
      <c r="O20472" t="s">
        <v>61365</v>
      </c>
      <c r="Q20472">
        <v>0</v>
      </c>
      <c r="R20472">
        <v>151</v>
      </c>
      <c r="S20472">
        <v>0</v>
      </c>
      <c r="T20472" t="s">
        <v>61366</v>
      </c>
    </row>
    <row r="20473" spans="1:25" customFormat="1" ht="15" x14ac:dyDescent="0.25">
      <c r="A20473" t="s">
        <v>24</v>
      </c>
      <c r="B20473" t="s">
        <v>16534</v>
      </c>
      <c r="C20473" t="str">
        <f>"A0095169"</f>
        <v>A0095169</v>
      </c>
      <c r="D20473" t="s">
        <v>61367</v>
      </c>
      <c r="E20473" t="s">
        <v>61368</v>
      </c>
      <c r="F20473" t="s">
        <v>985</v>
      </c>
      <c r="G20473" t="s">
        <v>81</v>
      </c>
      <c r="H20473">
        <v>32827</v>
      </c>
      <c r="I20473" t="s">
        <v>30</v>
      </c>
      <c r="J20473" t="s">
        <v>171</v>
      </c>
      <c r="K20473" t="s">
        <v>973</v>
      </c>
      <c r="N20473" t="s">
        <v>16538</v>
      </c>
      <c r="Q20473">
        <v>0</v>
      </c>
      <c r="R20473">
        <v>102</v>
      </c>
      <c r="S20473">
        <v>0</v>
      </c>
      <c r="T20473" t="s">
        <v>61369</v>
      </c>
    </row>
    <row r="20474" spans="1:25" customFormat="1" ht="15" x14ac:dyDescent="0.25">
      <c r="A20474" t="s">
        <v>24</v>
      </c>
      <c r="B20474" t="s">
        <v>1561</v>
      </c>
      <c r="C20474" t="str">
        <f>"A0093383"</f>
        <v>A0093383</v>
      </c>
      <c r="D20474" t="s">
        <v>61370</v>
      </c>
      <c r="E20474" t="s">
        <v>61371</v>
      </c>
      <c r="F20474" t="s">
        <v>61372</v>
      </c>
      <c r="G20474" t="s">
        <v>1369</v>
      </c>
      <c r="H20474">
        <v>38655</v>
      </c>
      <c r="I20474" t="s">
        <v>30</v>
      </c>
      <c r="J20474" t="s">
        <v>171</v>
      </c>
      <c r="K20474" t="s">
        <v>973</v>
      </c>
      <c r="N20474" t="s">
        <v>61373</v>
      </c>
      <c r="O20474" t="s">
        <v>3031</v>
      </c>
      <c r="Q20474">
        <v>0</v>
      </c>
      <c r="R20474">
        <v>121</v>
      </c>
      <c r="S20474">
        <v>0</v>
      </c>
      <c r="T20474" t="s">
        <v>61374</v>
      </c>
    </row>
    <row r="20475" spans="1:25" customFormat="1" ht="15" x14ac:dyDescent="0.25">
      <c r="A20475" t="s">
        <v>24</v>
      </c>
      <c r="B20475" t="s">
        <v>61375</v>
      </c>
      <c r="C20475" t="str">
        <f>"651ZP"</f>
        <v>651ZP</v>
      </c>
      <c r="D20475" t="s">
        <v>61376</v>
      </c>
      <c r="E20475" t="s">
        <v>61377</v>
      </c>
      <c r="F20475" t="s">
        <v>61378</v>
      </c>
      <c r="G20475" t="s">
        <v>840</v>
      </c>
      <c r="H20475">
        <v>42001</v>
      </c>
      <c r="I20475" t="s">
        <v>30</v>
      </c>
      <c r="J20475" t="s">
        <v>171</v>
      </c>
      <c r="K20475" t="s">
        <v>973</v>
      </c>
      <c r="N20475" t="s">
        <v>61379</v>
      </c>
      <c r="Q20475">
        <v>0</v>
      </c>
      <c r="R20475">
        <v>100</v>
      </c>
      <c r="S20475">
        <v>0</v>
      </c>
      <c r="T20475" t="s">
        <v>61380</v>
      </c>
    </row>
    <row r="20476" spans="1:25" customFormat="1" ht="15" x14ac:dyDescent="0.25">
      <c r="A20476" t="s">
        <v>24</v>
      </c>
      <c r="B20476" t="s">
        <v>675</v>
      </c>
      <c r="C20476" t="str">
        <f>"311K8"</f>
        <v>311K8</v>
      </c>
      <c r="D20476" t="s">
        <v>61381</v>
      </c>
      <c r="E20476" t="s">
        <v>61382</v>
      </c>
      <c r="F20476" t="s">
        <v>7063</v>
      </c>
      <c r="G20476" t="s">
        <v>110</v>
      </c>
      <c r="H20476">
        <v>92262</v>
      </c>
      <c r="I20476" t="s">
        <v>30</v>
      </c>
      <c r="J20476" t="s">
        <v>171</v>
      </c>
      <c r="K20476" t="s">
        <v>973</v>
      </c>
      <c r="N20476" t="s">
        <v>61383</v>
      </c>
      <c r="O20476" t="s">
        <v>61384</v>
      </c>
      <c r="Q20476">
        <v>0</v>
      </c>
      <c r="R20476">
        <v>149</v>
      </c>
      <c r="S20476">
        <v>0</v>
      </c>
      <c r="T20476" t="s">
        <v>61385</v>
      </c>
    </row>
    <row r="20477" spans="1:25" customFormat="1" ht="15" x14ac:dyDescent="0.25">
      <c r="A20477" t="s">
        <v>24</v>
      </c>
      <c r="B20477" t="s">
        <v>4459</v>
      </c>
      <c r="C20477" t="str">
        <f>"6517B"</f>
        <v>6517B</v>
      </c>
      <c r="D20477" t="s">
        <v>61386</v>
      </c>
      <c r="E20477" t="s">
        <v>61387</v>
      </c>
      <c r="F20477" t="s">
        <v>53747</v>
      </c>
      <c r="G20477" t="s">
        <v>110</v>
      </c>
      <c r="H20477">
        <v>94022</v>
      </c>
      <c r="I20477" t="s">
        <v>30</v>
      </c>
      <c r="J20477" t="s">
        <v>171</v>
      </c>
      <c r="K20477" t="s">
        <v>973</v>
      </c>
      <c r="N20477" t="s">
        <v>61388</v>
      </c>
      <c r="O20477" t="s">
        <v>61389</v>
      </c>
      <c r="Q20477">
        <v>0</v>
      </c>
      <c r="R20477">
        <v>190</v>
      </c>
      <c r="S20477">
        <v>0</v>
      </c>
      <c r="T20477" t="s">
        <v>61390</v>
      </c>
    </row>
    <row r="20478" spans="1:25" customFormat="1" ht="15" x14ac:dyDescent="0.25">
      <c r="A20478" t="s">
        <v>24</v>
      </c>
      <c r="B20478" t="s">
        <v>1323</v>
      </c>
      <c r="C20478" t="str">
        <f>"A0075735"</f>
        <v>A0075735</v>
      </c>
      <c r="D20478" t="s">
        <v>61396</v>
      </c>
      <c r="E20478" t="s">
        <v>61397</v>
      </c>
      <c r="F20478" t="s">
        <v>3145</v>
      </c>
      <c r="G20478" t="s">
        <v>81</v>
      </c>
      <c r="H20478">
        <v>32405</v>
      </c>
      <c r="I20478" t="s">
        <v>30</v>
      </c>
      <c r="J20478" t="s">
        <v>171</v>
      </c>
      <c r="K20478" t="s">
        <v>973</v>
      </c>
      <c r="N20478" t="s">
        <v>61398</v>
      </c>
      <c r="O20478" t="s">
        <v>61399</v>
      </c>
      <c r="Q20478">
        <v>0</v>
      </c>
      <c r="R20478">
        <v>84</v>
      </c>
      <c r="S20478">
        <v>0</v>
      </c>
      <c r="T20478" t="s">
        <v>61400</v>
      </c>
    </row>
    <row r="20479" spans="1:25" customFormat="1" ht="15" x14ac:dyDescent="0.25">
      <c r="A20479" t="s">
        <v>24</v>
      </c>
      <c r="B20479" t="s">
        <v>675</v>
      </c>
      <c r="C20479" t="str">
        <f>"A0085381"</f>
        <v>A0085381</v>
      </c>
      <c r="D20479" t="s">
        <v>61401</v>
      </c>
      <c r="E20479" t="s">
        <v>61402</v>
      </c>
      <c r="F20479" t="s">
        <v>61403</v>
      </c>
      <c r="G20479" t="s">
        <v>338</v>
      </c>
      <c r="H20479">
        <v>7652</v>
      </c>
      <c r="I20479" t="s">
        <v>30</v>
      </c>
      <c r="J20479" t="s">
        <v>171</v>
      </c>
      <c r="K20479" t="s">
        <v>973</v>
      </c>
      <c r="N20479" t="s">
        <v>61404</v>
      </c>
      <c r="O20479" t="s">
        <v>61405</v>
      </c>
      <c r="Q20479">
        <v>0</v>
      </c>
      <c r="R20479">
        <v>154</v>
      </c>
      <c r="S20479">
        <v>0</v>
      </c>
      <c r="T20479" t="s">
        <v>61406</v>
      </c>
    </row>
    <row r="20480" spans="1:25" x14ac:dyDescent="0.25">
      <c r="A20480" s="5" t="s">
        <v>24</v>
      </c>
      <c r="B20480" s="5" t="s">
        <v>675</v>
      </c>
      <c r="C20480" s="5" t="str">
        <f>"311QY"</f>
        <v>311QY</v>
      </c>
      <c r="D20480" s="5" t="s">
        <v>61407</v>
      </c>
      <c r="E20480" s="5" t="s">
        <v>61408</v>
      </c>
      <c r="F20480" s="5" t="s">
        <v>2506</v>
      </c>
      <c r="G20480" s="5" t="s">
        <v>338</v>
      </c>
      <c r="H20480" s="5">
        <v>7054</v>
      </c>
      <c r="I20480" s="5" t="s">
        <v>30</v>
      </c>
      <c r="J20480" s="5" t="s">
        <v>171</v>
      </c>
      <c r="K20480" s="5" t="s">
        <v>973</v>
      </c>
      <c r="L20480" s="5"/>
      <c r="M20480" s="5"/>
      <c r="N20480" s="5" t="s">
        <v>61409</v>
      </c>
      <c r="O20480" s="5" t="s">
        <v>61410</v>
      </c>
      <c r="P20480" s="5"/>
      <c r="Q20480" s="5">
        <v>0</v>
      </c>
      <c r="R20480" s="5">
        <v>151</v>
      </c>
      <c r="S20480" s="5">
        <v>0</v>
      </c>
      <c r="T20480" s="5" t="s">
        <v>61411</v>
      </c>
      <c r="U20480" s="5"/>
      <c r="V20480" s="5"/>
      <c r="W20480" s="5"/>
      <c r="X20480" s="5"/>
      <c r="Y20480" s="5"/>
    </row>
    <row r="20481" spans="1:25" x14ac:dyDescent="0.25">
      <c r="A20481" s="5" t="s">
        <v>24</v>
      </c>
      <c r="B20481" s="5" t="s">
        <v>13679</v>
      </c>
      <c r="C20481" s="5" t="str">
        <f>"311LB"</f>
        <v>311LB</v>
      </c>
      <c r="D20481" s="5" t="s">
        <v>61412</v>
      </c>
      <c r="E20481" s="5" t="s">
        <v>61413</v>
      </c>
      <c r="F20481" s="5" t="s">
        <v>703</v>
      </c>
      <c r="G20481" s="5" t="s">
        <v>110</v>
      </c>
      <c r="H20481" s="5">
        <v>91103</v>
      </c>
      <c r="I20481" s="5" t="s">
        <v>30</v>
      </c>
      <c r="J20481" s="5" t="s">
        <v>171</v>
      </c>
      <c r="K20481" s="5" t="s">
        <v>973</v>
      </c>
      <c r="L20481" s="5"/>
      <c r="M20481" s="5"/>
      <c r="N20481" s="5" t="s">
        <v>61414</v>
      </c>
      <c r="O20481" s="5"/>
      <c r="P20481" s="5"/>
      <c r="Q20481" s="5">
        <v>0</v>
      </c>
      <c r="R20481" s="5">
        <v>314</v>
      </c>
      <c r="S20481" s="5">
        <v>0</v>
      </c>
      <c r="T20481" s="5" t="s">
        <v>61415</v>
      </c>
      <c r="U20481" s="5"/>
      <c r="V20481" s="5"/>
      <c r="W20481" s="5"/>
      <c r="X20481" s="5"/>
      <c r="Y20481" s="5"/>
    </row>
    <row r="20482" spans="1:25" x14ac:dyDescent="0.25">
      <c r="A20482" s="5" t="s">
        <v>24</v>
      </c>
      <c r="B20482" s="5" t="s">
        <v>2528</v>
      </c>
      <c r="C20482" s="5" t="str">
        <f>"A0084763"</f>
        <v>A0084763</v>
      </c>
      <c r="D20482" s="5" t="s">
        <v>61416</v>
      </c>
      <c r="E20482" s="5" t="s">
        <v>61417</v>
      </c>
      <c r="F20482" s="5" t="s">
        <v>61418</v>
      </c>
      <c r="G20482" s="5" t="s">
        <v>110</v>
      </c>
      <c r="H20482" s="5">
        <v>93446</v>
      </c>
      <c r="I20482" s="5" t="s">
        <v>30</v>
      </c>
      <c r="J20482" s="5" t="s">
        <v>171</v>
      </c>
      <c r="K20482" s="5" t="s">
        <v>973</v>
      </c>
      <c r="L20482" s="5"/>
      <c r="M20482" s="5"/>
      <c r="N20482" s="5" t="s">
        <v>61419</v>
      </c>
      <c r="O20482" s="5"/>
      <c r="P20482" s="5"/>
      <c r="Q20482" s="5">
        <v>0</v>
      </c>
      <c r="R20482" s="5">
        <v>130</v>
      </c>
      <c r="S20482" s="5">
        <v>0</v>
      </c>
      <c r="T20482" s="5" t="s">
        <v>61420</v>
      </c>
      <c r="U20482" s="5"/>
      <c r="V20482" s="5"/>
      <c r="W20482" s="5"/>
      <c r="X20482" s="5"/>
      <c r="Y20482" s="5"/>
    </row>
    <row r="20483" spans="1:25" customFormat="1" ht="15" hidden="1" x14ac:dyDescent="0.25">
      <c r="A20483" t="s">
        <v>24</v>
      </c>
      <c r="B20483" t="s">
        <v>1172</v>
      </c>
      <c r="C20483" t="str">
        <f>"A0148953"</f>
        <v>A0148953</v>
      </c>
      <c r="D20483" t="s">
        <v>76607</v>
      </c>
      <c r="E20483" t="s">
        <v>76608</v>
      </c>
      <c r="F20483" t="s">
        <v>1175</v>
      </c>
      <c r="G20483" t="s">
        <v>1176</v>
      </c>
      <c r="H20483">
        <v>23000</v>
      </c>
      <c r="I20483" t="s">
        <v>1177</v>
      </c>
      <c r="J20483" t="s">
        <v>191</v>
      </c>
      <c r="K20483" t="s">
        <v>163</v>
      </c>
      <c r="N20483" t="s">
        <v>1178</v>
      </c>
      <c r="Q20483">
        <v>0</v>
      </c>
      <c r="R20483">
        <v>0</v>
      </c>
      <c r="S20483">
        <v>0</v>
      </c>
      <c r="T20483" t="s">
        <v>76609</v>
      </c>
    </row>
    <row r="20484" spans="1:25" customFormat="1" ht="15" x14ac:dyDescent="0.25">
      <c r="A20484" t="s">
        <v>24</v>
      </c>
      <c r="B20484" t="s">
        <v>33426</v>
      </c>
      <c r="C20484" t="str">
        <f>"A0094803"</f>
        <v>A0094803</v>
      </c>
      <c r="D20484" t="s">
        <v>76610</v>
      </c>
      <c r="E20484" t="s">
        <v>76611</v>
      </c>
      <c r="F20484" t="s">
        <v>716</v>
      </c>
      <c r="G20484" t="s">
        <v>289</v>
      </c>
      <c r="H20484">
        <v>60611</v>
      </c>
      <c r="I20484" t="s">
        <v>30</v>
      </c>
      <c r="J20484" t="s">
        <v>1004</v>
      </c>
      <c r="K20484" t="s">
        <v>163</v>
      </c>
      <c r="Q20484">
        <v>0</v>
      </c>
      <c r="R20484">
        <v>0</v>
      </c>
      <c r="S20484">
        <v>0</v>
      </c>
      <c r="T20484" t="s">
        <v>76612</v>
      </c>
    </row>
    <row r="20485" spans="1:25" customFormat="1" ht="15" x14ac:dyDescent="0.25">
      <c r="A20485" t="s">
        <v>24</v>
      </c>
      <c r="B20485" t="s">
        <v>1323</v>
      </c>
      <c r="C20485" t="str">
        <f>"651I7"</f>
        <v>651I7</v>
      </c>
      <c r="D20485" t="s">
        <v>61421</v>
      </c>
      <c r="E20485" t="s">
        <v>61422</v>
      </c>
      <c r="F20485" t="s">
        <v>1017</v>
      </c>
      <c r="G20485" t="s">
        <v>81</v>
      </c>
      <c r="H20485">
        <v>32504</v>
      </c>
      <c r="I20485" t="s">
        <v>30</v>
      </c>
      <c r="J20485" t="s">
        <v>171</v>
      </c>
      <c r="K20485" t="s">
        <v>973</v>
      </c>
      <c r="N20485" t="s">
        <v>61423</v>
      </c>
      <c r="Q20485">
        <v>0</v>
      </c>
      <c r="R20485">
        <v>90</v>
      </c>
      <c r="S20485">
        <v>0</v>
      </c>
      <c r="T20485" t="s">
        <v>61424</v>
      </c>
    </row>
    <row r="20486" spans="1:25" customFormat="1" ht="15" hidden="1" x14ac:dyDescent="0.25">
      <c r="A20486" t="s">
        <v>24</v>
      </c>
      <c r="B20486" t="s">
        <v>76617</v>
      </c>
      <c r="C20486" t="str">
        <f>"A0157107"</f>
        <v>A0157107</v>
      </c>
      <c r="D20486" t="s">
        <v>76618</v>
      </c>
      <c r="E20486" t="s">
        <v>76619</v>
      </c>
      <c r="F20486" t="s">
        <v>3145</v>
      </c>
      <c r="G20486" t="s">
        <v>8864</v>
      </c>
      <c r="I20486" t="s">
        <v>3147</v>
      </c>
      <c r="J20486" t="s">
        <v>76620</v>
      </c>
      <c r="K20486" t="s">
        <v>163</v>
      </c>
      <c r="N20486" t="s">
        <v>76621</v>
      </c>
      <c r="O20486" t="s">
        <v>76622</v>
      </c>
      <c r="Q20486">
        <v>0</v>
      </c>
      <c r="R20486">
        <v>0</v>
      </c>
      <c r="S20486">
        <v>0</v>
      </c>
      <c r="T20486" t="s">
        <v>76623</v>
      </c>
    </row>
    <row r="20487" spans="1:25" customFormat="1" ht="15" x14ac:dyDescent="0.25">
      <c r="A20487" t="s">
        <v>24</v>
      </c>
      <c r="B20487" t="s">
        <v>15916</v>
      </c>
      <c r="C20487" t="str">
        <f>"A0094481"</f>
        <v>A0094481</v>
      </c>
      <c r="D20487" t="s">
        <v>76624</v>
      </c>
      <c r="E20487" t="s">
        <v>76625</v>
      </c>
      <c r="F20487" t="s">
        <v>56582</v>
      </c>
      <c r="G20487" t="s">
        <v>3236</v>
      </c>
      <c r="H20487">
        <v>57006</v>
      </c>
      <c r="I20487" t="s">
        <v>30</v>
      </c>
      <c r="J20487" t="s">
        <v>145</v>
      </c>
      <c r="K20487" t="s">
        <v>4462</v>
      </c>
      <c r="N20487" t="s">
        <v>76626</v>
      </c>
      <c r="O20487" t="s">
        <v>76627</v>
      </c>
      <c r="Q20487">
        <v>0</v>
      </c>
      <c r="R20487">
        <v>61</v>
      </c>
      <c r="S20487">
        <v>0</v>
      </c>
      <c r="T20487" t="s">
        <v>76628</v>
      </c>
    </row>
    <row r="20488" spans="1:25" customFormat="1" ht="15" x14ac:dyDescent="0.25">
      <c r="A20488" t="s">
        <v>24</v>
      </c>
      <c r="B20488" t="s">
        <v>15916</v>
      </c>
      <c r="C20488" t="str">
        <f>"A0147992"</f>
        <v>A0147992</v>
      </c>
      <c r="D20488" t="s">
        <v>76629</v>
      </c>
      <c r="E20488" t="s">
        <v>76630</v>
      </c>
      <c r="F20488" t="s">
        <v>76631</v>
      </c>
      <c r="G20488" t="s">
        <v>427</v>
      </c>
      <c r="H20488">
        <v>68901</v>
      </c>
      <c r="I20488" t="s">
        <v>30</v>
      </c>
      <c r="J20488" t="s">
        <v>145</v>
      </c>
      <c r="K20488" t="s">
        <v>4462</v>
      </c>
      <c r="N20488" t="s">
        <v>76632</v>
      </c>
      <c r="Q20488">
        <v>0</v>
      </c>
      <c r="R20488">
        <v>46</v>
      </c>
      <c r="S20488">
        <v>0</v>
      </c>
      <c r="T20488" t="s">
        <v>76633</v>
      </c>
    </row>
    <row r="20489" spans="1:25" customFormat="1" ht="15" x14ac:dyDescent="0.25">
      <c r="A20489" t="s">
        <v>24</v>
      </c>
      <c r="B20489" t="s">
        <v>15916</v>
      </c>
      <c r="C20489" t="str">
        <f>"A0157418"</f>
        <v>A0157418</v>
      </c>
      <c r="D20489" t="s">
        <v>76634</v>
      </c>
      <c r="E20489" t="s">
        <v>76635</v>
      </c>
      <c r="F20489" t="s">
        <v>76636</v>
      </c>
      <c r="G20489" t="s">
        <v>197</v>
      </c>
      <c r="H20489">
        <v>85323</v>
      </c>
      <c r="I20489" t="s">
        <v>30</v>
      </c>
      <c r="J20489" t="s">
        <v>145</v>
      </c>
      <c r="K20489" t="s">
        <v>4462</v>
      </c>
      <c r="N20489" t="s">
        <v>76637</v>
      </c>
      <c r="Q20489">
        <v>0</v>
      </c>
      <c r="R20489">
        <v>63</v>
      </c>
      <c r="S20489">
        <v>0</v>
      </c>
      <c r="T20489" t="s">
        <v>76638</v>
      </c>
    </row>
    <row r="20490" spans="1:25" customFormat="1" ht="15" x14ac:dyDescent="0.25">
      <c r="A20490" t="s">
        <v>24</v>
      </c>
      <c r="B20490" t="s">
        <v>15916</v>
      </c>
      <c r="C20490" t="str">
        <f>"A0166063"</f>
        <v>A0166063</v>
      </c>
      <c r="D20490" t="s">
        <v>76639</v>
      </c>
      <c r="E20490" t="s">
        <v>76640</v>
      </c>
      <c r="F20490" t="s">
        <v>9831</v>
      </c>
      <c r="G20490" t="s">
        <v>214</v>
      </c>
      <c r="H20490">
        <v>28078</v>
      </c>
      <c r="I20490" t="s">
        <v>30</v>
      </c>
      <c r="J20490" t="s">
        <v>145</v>
      </c>
      <c r="K20490" t="s">
        <v>4462</v>
      </c>
      <c r="N20490" t="s">
        <v>76641</v>
      </c>
      <c r="Q20490">
        <v>0</v>
      </c>
      <c r="R20490">
        <v>84</v>
      </c>
      <c r="S20490">
        <v>0</v>
      </c>
      <c r="T20490" t="s">
        <v>76642</v>
      </c>
    </row>
    <row r="20491" spans="1:25" customFormat="1" ht="15" x14ac:dyDescent="0.25">
      <c r="A20491" t="s">
        <v>24</v>
      </c>
      <c r="B20491" t="s">
        <v>15916</v>
      </c>
      <c r="C20491" t="str">
        <f>"A0099662"</f>
        <v>A0099662</v>
      </c>
      <c r="D20491" t="s">
        <v>76643</v>
      </c>
      <c r="E20491" t="s">
        <v>76644</v>
      </c>
      <c r="F20491" t="s">
        <v>2488</v>
      </c>
      <c r="G20491" t="s">
        <v>433</v>
      </c>
      <c r="H20491">
        <v>83301</v>
      </c>
      <c r="I20491" t="s">
        <v>30</v>
      </c>
      <c r="J20491" t="s">
        <v>145</v>
      </c>
      <c r="K20491" t="s">
        <v>4462</v>
      </c>
      <c r="N20491" t="s">
        <v>76645</v>
      </c>
      <c r="Q20491">
        <v>0</v>
      </c>
      <c r="R20491">
        <v>64</v>
      </c>
      <c r="S20491">
        <v>0</v>
      </c>
      <c r="T20491" t="s">
        <v>76646</v>
      </c>
    </row>
    <row r="20492" spans="1:25" customFormat="1" ht="15" x14ac:dyDescent="0.25">
      <c r="A20492" t="s">
        <v>24</v>
      </c>
      <c r="B20492" t="s">
        <v>15916</v>
      </c>
      <c r="C20492" t="str">
        <f>"A0153424"</f>
        <v>A0153424</v>
      </c>
      <c r="D20492" t="s">
        <v>76647</v>
      </c>
      <c r="E20492" t="s">
        <v>76648</v>
      </c>
      <c r="F20492" t="s">
        <v>34579</v>
      </c>
      <c r="G20492" t="s">
        <v>3236</v>
      </c>
      <c r="H20492">
        <v>57201</v>
      </c>
      <c r="I20492" t="s">
        <v>30</v>
      </c>
      <c r="J20492" t="s">
        <v>145</v>
      </c>
      <c r="K20492" t="s">
        <v>4462</v>
      </c>
      <c r="N20492" t="s">
        <v>76649</v>
      </c>
      <c r="Q20492">
        <v>0</v>
      </c>
      <c r="R20492">
        <v>63</v>
      </c>
      <c r="S20492">
        <v>0</v>
      </c>
      <c r="T20492" t="s">
        <v>76650</v>
      </c>
    </row>
    <row r="20493" spans="1:25" customFormat="1" ht="15" x14ac:dyDescent="0.25">
      <c r="A20493" t="s">
        <v>24</v>
      </c>
      <c r="B20493" t="s">
        <v>1317</v>
      </c>
      <c r="C20493" t="str">
        <f>"202EB"</f>
        <v>202EB</v>
      </c>
      <c r="D20493" t="s">
        <v>76651</v>
      </c>
      <c r="E20493" t="s">
        <v>76652</v>
      </c>
      <c r="F20493" t="s">
        <v>65166</v>
      </c>
      <c r="G20493" t="s">
        <v>40</v>
      </c>
      <c r="H20493">
        <v>73501</v>
      </c>
      <c r="I20493" t="s">
        <v>30</v>
      </c>
      <c r="J20493" t="s">
        <v>31</v>
      </c>
      <c r="K20493" t="s">
        <v>163</v>
      </c>
      <c r="N20493" t="s">
        <v>76653</v>
      </c>
      <c r="O20493" t="s">
        <v>76654</v>
      </c>
      <c r="Q20493">
        <v>0</v>
      </c>
      <c r="R20493">
        <v>80</v>
      </c>
      <c r="S20493">
        <v>0</v>
      </c>
      <c r="T20493" t="s">
        <v>76655</v>
      </c>
    </row>
    <row r="20494" spans="1:25" customFormat="1" ht="15" x14ac:dyDescent="0.25">
      <c r="A20494" t="s">
        <v>24</v>
      </c>
      <c r="B20494" t="s">
        <v>55909</v>
      </c>
      <c r="C20494" t="str">
        <f>"A0094544"</f>
        <v>A0094544</v>
      </c>
      <c r="D20494" t="s">
        <v>76656</v>
      </c>
      <c r="E20494" t="s">
        <v>76657</v>
      </c>
      <c r="F20494" t="s">
        <v>55912</v>
      </c>
      <c r="G20494" t="s">
        <v>110</v>
      </c>
      <c r="H20494">
        <v>94014</v>
      </c>
      <c r="I20494" t="s">
        <v>30</v>
      </c>
      <c r="J20494" t="s">
        <v>145</v>
      </c>
      <c r="K20494" t="s">
        <v>163</v>
      </c>
      <c r="N20494" t="s">
        <v>76658</v>
      </c>
      <c r="Q20494">
        <v>0</v>
      </c>
      <c r="R20494">
        <v>36</v>
      </c>
      <c r="S20494">
        <v>0</v>
      </c>
      <c r="T20494" t="s">
        <v>76659</v>
      </c>
    </row>
    <row r="20495" spans="1:25" customFormat="1" ht="15" x14ac:dyDescent="0.25">
      <c r="A20495" t="s">
        <v>24</v>
      </c>
      <c r="B20495" t="s">
        <v>1156</v>
      </c>
      <c r="C20495" t="str">
        <f>"A0091193"</f>
        <v>A0091193</v>
      </c>
      <c r="D20495" t="s">
        <v>76660</v>
      </c>
      <c r="E20495" t="s">
        <v>76661</v>
      </c>
      <c r="F20495" t="s">
        <v>1159</v>
      </c>
      <c r="G20495" t="s">
        <v>58</v>
      </c>
      <c r="H20495">
        <v>29577</v>
      </c>
      <c r="I20495" t="s">
        <v>30</v>
      </c>
      <c r="J20495" t="s">
        <v>2544</v>
      </c>
      <c r="K20495" t="s">
        <v>163</v>
      </c>
      <c r="N20495" t="s">
        <v>76662</v>
      </c>
      <c r="O20495" t="s">
        <v>75187</v>
      </c>
      <c r="Q20495">
        <v>0</v>
      </c>
      <c r="R20495">
        <v>330</v>
      </c>
      <c r="S20495">
        <v>0</v>
      </c>
      <c r="T20495" t="s">
        <v>76663</v>
      </c>
    </row>
    <row r="20496" spans="1:25" customFormat="1" ht="15" x14ac:dyDescent="0.25">
      <c r="A20496" t="s">
        <v>24</v>
      </c>
      <c r="B20496" t="s">
        <v>2360</v>
      </c>
      <c r="C20496" t="str">
        <f>"A0049510"</f>
        <v>A0049510</v>
      </c>
      <c r="D20496" t="s">
        <v>76664</v>
      </c>
      <c r="E20496" t="s">
        <v>76665</v>
      </c>
      <c r="F20496" t="s">
        <v>76666</v>
      </c>
      <c r="G20496" t="s">
        <v>81</v>
      </c>
      <c r="H20496">
        <v>34747</v>
      </c>
      <c r="I20496" t="s">
        <v>30</v>
      </c>
      <c r="J20496" t="s">
        <v>2544</v>
      </c>
      <c r="K20496" t="s">
        <v>179</v>
      </c>
      <c r="N20496" t="s">
        <v>76667</v>
      </c>
      <c r="O20496" t="s">
        <v>76668</v>
      </c>
      <c r="Q20496">
        <v>1</v>
      </c>
      <c r="R20496">
        <v>0</v>
      </c>
      <c r="S20496">
        <v>0</v>
      </c>
      <c r="T20496" t="s">
        <v>76669</v>
      </c>
    </row>
    <row r="20497" spans="1:20" customFormat="1" ht="15" x14ac:dyDescent="0.25">
      <c r="A20497" t="s">
        <v>24</v>
      </c>
      <c r="B20497" t="s">
        <v>814</v>
      </c>
      <c r="C20497" t="str">
        <f>"A0088587"</f>
        <v>A0088587</v>
      </c>
      <c r="D20497" t="s">
        <v>61425</v>
      </c>
      <c r="E20497" t="s">
        <v>61426</v>
      </c>
      <c r="F20497" t="s">
        <v>4467</v>
      </c>
      <c r="G20497" t="s">
        <v>289</v>
      </c>
      <c r="H20497">
        <v>61602</v>
      </c>
      <c r="I20497" t="s">
        <v>30</v>
      </c>
      <c r="J20497" t="s">
        <v>171</v>
      </c>
      <c r="K20497" t="s">
        <v>973</v>
      </c>
      <c r="N20497" t="s">
        <v>61427</v>
      </c>
      <c r="Q20497">
        <v>0</v>
      </c>
      <c r="R20497">
        <v>116</v>
      </c>
      <c r="S20497">
        <v>0</v>
      </c>
      <c r="T20497" t="s">
        <v>61428</v>
      </c>
    </row>
    <row r="20498" spans="1:20" customFormat="1" ht="15" x14ac:dyDescent="0.25">
      <c r="A20498" t="s">
        <v>24</v>
      </c>
      <c r="B20498" t="s">
        <v>2360</v>
      </c>
      <c r="C20498" t="str">
        <f>"CL1597"</f>
        <v>CL1597</v>
      </c>
      <c r="D20498" t="s">
        <v>76676</v>
      </c>
      <c r="E20498" t="s">
        <v>76677</v>
      </c>
      <c r="F20498" t="s">
        <v>76678</v>
      </c>
      <c r="G20498" t="s">
        <v>214</v>
      </c>
      <c r="H20498">
        <v>27959</v>
      </c>
      <c r="I20498" t="s">
        <v>30</v>
      </c>
      <c r="J20498" t="s">
        <v>178</v>
      </c>
      <c r="K20498" t="s">
        <v>56676</v>
      </c>
      <c r="N20498" t="s">
        <v>76679</v>
      </c>
      <c r="O20498" t="s">
        <v>76680</v>
      </c>
      <c r="P20498" t="s">
        <v>992</v>
      </c>
      <c r="Q20498">
        <v>1</v>
      </c>
      <c r="R20498">
        <v>0</v>
      </c>
      <c r="S20498">
        <v>0</v>
      </c>
      <c r="T20498" t="s">
        <v>76681</v>
      </c>
    </row>
    <row r="20499" spans="1:20" customFormat="1" ht="15" x14ac:dyDescent="0.25">
      <c r="A20499" t="s">
        <v>24</v>
      </c>
      <c r="B20499" t="s">
        <v>4341</v>
      </c>
      <c r="C20499" t="str">
        <f>"A0153198"</f>
        <v>A0153198</v>
      </c>
      <c r="D20499" t="s">
        <v>61429</v>
      </c>
      <c r="E20499" t="s">
        <v>61430</v>
      </c>
      <c r="F20499" t="s">
        <v>10051</v>
      </c>
      <c r="G20499" t="s">
        <v>117</v>
      </c>
      <c r="H20499">
        <v>49770</v>
      </c>
      <c r="I20499" t="s">
        <v>30</v>
      </c>
      <c r="J20499" t="s">
        <v>171</v>
      </c>
      <c r="K20499" t="s">
        <v>973</v>
      </c>
      <c r="N20499" t="s">
        <v>61431</v>
      </c>
      <c r="Q20499">
        <v>0</v>
      </c>
      <c r="R20499">
        <v>139</v>
      </c>
      <c r="S20499">
        <v>0</v>
      </c>
      <c r="T20499" t="s">
        <v>61432</v>
      </c>
    </row>
    <row r="20500" spans="1:20" customFormat="1" ht="15" x14ac:dyDescent="0.25">
      <c r="A20500" t="s">
        <v>24</v>
      </c>
      <c r="B20500" t="s">
        <v>10936</v>
      </c>
      <c r="C20500" t="str">
        <f>"A0096446"</f>
        <v>A0096446</v>
      </c>
      <c r="D20500" t="s">
        <v>61433</v>
      </c>
      <c r="E20500" t="s">
        <v>61434</v>
      </c>
      <c r="F20500" t="s">
        <v>61435</v>
      </c>
      <c r="G20500" t="s">
        <v>52</v>
      </c>
      <c r="H20500">
        <v>78691</v>
      </c>
      <c r="I20500" t="s">
        <v>30</v>
      </c>
      <c r="J20500" t="s">
        <v>171</v>
      </c>
      <c r="K20500" t="s">
        <v>973</v>
      </c>
      <c r="N20500" t="s">
        <v>61436</v>
      </c>
      <c r="O20500" t="s">
        <v>61437</v>
      </c>
      <c r="Q20500">
        <v>0</v>
      </c>
      <c r="R20500">
        <v>147</v>
      </c>
      <c r="S20500">
        <v>0</v>
      </c>
      <c r="T20500" t="s">
        <v>61438</v>
      </c>
    </row>
    <row r="20501" spans="1:20" customFormat="1" ht="15" x14ac:dyDescent="0.25">
      <c r="A20501" t="s">
        <v>24</v>
      </c>
      <c r="B20501" t="s">
        <v>3159</v>
      </c>
      <c r="C20501" t="str">
        <f>"A0076919"</f>
        <v>A0076919</v>
      </c>
      <c r="D20501" t="s">
        <v>61439</v>
      </c>
      <c r="E20501" t="s">
        <v>61440</v>
      </c>
      <c r="F20501" t="s">
        <v>61441</v>
      </c>
      <c r="G20501" t="s">
        <v>103</v>
      </c>
      <c r="H20501">
        <v>19426</v>
      </c>
      <c r="I20501" t="s">
        <v>30</v>
      </c>
      <c r="J20501" t="s">
        <v>171</v>
      </c>
      <c r="K20501" t="s">
        <v>973</v>
      </c>
      <c r="N20501" t="s">
        <v>61442</v>
      </c>
      <c r="Q20501">
        <v>0</v>
      </c>
      <c r="R20501">
        <v>132</v>
      </c>
      <c r="S20501">
        <v>0</v>
      </c>
      <c r="T20501" t="s">
        <v>61443</v>
      </c>
    </row>
    <row r="20502" spans="1:20" customFormat="1" ht="15" x14ac:dyDescent="0.25">
      <c r="A20502" t="s">
        <v>24</v>
      </c>
      <c r="B20502" t="s">
        <v>7040</v>
      </c>
      <c r="C20502" t="str">
        <f>"A0093523"</f>
        <v>A0093523</v>
      </c>
      <c r="D20502" t="s">
        <v>61444</v>
      </c>
      <c r="E20502" t="s">
        <v>61445</v>
      </c>
      <c r="F20502" t="s">
        <v>57563</v>
      </c>
      <c r="G20502" t="s">
        <v>103</v>
      </c>
      <c r="H20502">
        <v>19020</v>
      </c>
      <c r="I20502" t="s">
        <v>30</v>
      </c>
      <c r="J20502" t="s">
        <v>171</v>
      </c>
      <c r="K20502" t="s">
        <v>973</v>
      </c>
      <c r="N20502" t="s">
        <v>15853</v>
      </c>
      <c r="O20502" t="s">
        <v>61446</v>
      </c>
      <c r="Q20502">
        <v>0</v>
      </c>
      <c r="R20502">
        <v>124</v>
      </c>
      <c r="S20502">
        <v>0</v>
      </c>
      <c r="T20502" t="s">
        <v>61447</v>
      </c>
    </row>
    <row r="20503" spans="1:20" customFormat="1" ht="15" hidden="1" x14ac:dyDescent="0.25">
      <c r="A20503" t="s">
        <v>24</v>
      </c>
      <c r="B20503" t="s">
        <v>55676</v>
      </c>
      <c r="C20503" t="str">
        <f>"A0145466"</f>
        <v>A0145466</v>
      </c>
      <c r="D20503" t="s">
        <v>76700</v>
      </c>
      <c r="E20503" t="s">
        <v>76701</v>
      </c>
      <c r="F20503" t="s">
        <v>59297</v>
      </c>
      <c r="G20503" t="s">
        <v>13345</v>
      </c>
      <c r="H20503">
        <v>52764</v>
      </c>
      <c r="I20503" t="s">
        <v>2408</v>
      </c>
      <c r="J20503" t="s">
        <v>1004</v>
      </c>
      <c r="K20503" t="s">
        <v>6809</v>
      </c>
      <c r="N20503" t="s">
        <v>76702</v>
      </c>
      <c r="Q20503">
        <v>0</v>
      </c>
      <c r="R20503">
        <v>0</v>
      </c>
      <c r="S20503">
        <v>0</v>
      </c>
      <c r="T20503" t="s">
        <v>76703</v>
      </c>
    </row>
    <row r="20504" spans="1:20" customFormat="1" ht="15" x14ac:dyDescent="0.25">
      <c r="A20504" t="s">
        <v>24</v>
      </c>
      <c r="B20504" t="s">
        <v>675</v>
      </c>
      <c r="C20504" t="str">
        <f>"311E8"</f>
        <v>311E8</v>
      </c>
      <c r="D20504" t="s">
        <v>61448</v>
      </c>
      <c r="E20504" t="s">
        <v>61449</v>
      </c>
      <c r="F20504" t="s">
        <v>35874</v>
      </c>
      <c r="G20504" t="s">
        <v>103</v>
      </c>
      <c r="H20504">
        <v>19087</v>
      </c>
      <c r="I20504" t="s">
        <v>30</v>
      </c>
      <c r="J20504" t="s">
        <v>171</v>
      </c>
      <c r="K20504" t="s">
        <v>973</v>
      </c>
      <c r="N20504" t="s">
        <v>61450</v>
      </c>
      <c r="O20504" t="s">
        <v>61451</v>
      </c>
      <c r="Q20504">
        <v>0</v>
      </c>
      <c r="R20504">
        <v>149</v>
      </c>
      <c r="S20504">
        <v>0</v>
      </c>
      <c r="T20504" t="s">
        <v>61452</v>
      </c>
    </row>
    <row r="20505" spans="1:20" customFormat="1" ht="15" x14ac:dyDescent="0.25">
      <c r="A20505" t="s">
        <v>24</v>
      </c>
      <c r="B20505" t="s">
        <v>57165</v>
      </c>
      <c r="C20505" t="str">
        <f>"A0100090"</f>
        <v>A0100090</v>
      </c>
      <c r="D20505" t="s">
        <v>76708</v>
      </c>
      <c r="E20505" t="s">
        <v>76709</v>
      </c>
      <c r="F20505" t="s">
        <v>5999</v>
      </c>
      <c r="G20505" t="s">
        <v>71</v>
      </c>
      <c r="H20505">
        <v>53214</v>
      </c>
      <c r="I20505" t="s">
        <v>30</v>
      </c>
      <c r="J20505" t="s">
        <v>1004</v>
      </c>
      <c r="K20505" t="s">
        <v>163</v>
      </c>
      <c r="N20505" t="s">
        <v>76710</v>
      </c>
      <c r="Q20505">
        <v>0</v>
      </c>
      <c r="R20505">
        <v>0</v>
      </c>
      <c r="S20505">
        <v>0</v>
      </c>
      <c r="T20505" t="s">
        <v>76711</v>
      </c>
    </row>
    <row r="20506" spans="1:20" customFormat="1" ht="15" x14ac:dyDescent="0.25">
      <c r="A20506" t="s">
        <v>24</v>
      </c>
      <c r="B20506" t="s">
        <v>1020</v>
      </c>
      <c r="C20506" t="str">
        <f>"A0090558"</f>
        <v>A0090558</v>
      </c>
      <c r="D20506" t="s">
        <v>76712</v>
      </c>
      <c r="E20506" t="s">
        <v>76713</v>
      </c>
      <c r="F20506" t="s">
        <v>58095</v>
      </c>
      <c r="G20506" t="s">
        <v>528</v>
      </c>
      <c r="H20506">
        <v>19720</v>
      </c>
      <c r="I20506" t="s">
        <v>30</v>
      </c>
      <c r="J20506" t="s">
        <v>145</v>
      </c>
      <c r="K20506" t="s">
        <v>163</v>
      </c>
      <c r="N20506" t="s">
        <v>76714</v>
      </c>
      <c r="Q20506">
        <v>0</v>
      </c>
      <c r="R20506">
        <v>192</v>
      </c>
      <c r="S20506">
        <v>0</v>
      </c>
      <c r="T20506" t="s">
        <v>76715</v>
      </c>
    </row>
    <row r="20507" spans="1:20" customFormat="1" ht="15" x14ac:dyDescent="0.25">
      <c r="A20507" t="s">
        <v>24</v>
      </c>
      <c r="B20507" t="s">
        <v>2836</v>
      </c>
      <c r="C20507" t="str">
        <f>"A0156949"</f>
        <v>A0156949</v>
      </c>
      <c r="D20507" t="s">
        <v>76716</v>
      </c>
      <c r="E20507" t="s">
        <v>76717</v>
      </c>
      <c r="F20507" t="s">
        <v>6558</v>
      </c>
      <c r="G20507" t="s">
        <v>615</v>
      </c>
      <c r="H20507">
        <v>6150</v>
      </c>
      <c r="I20507" t="s">
        <v>30</v>
      </c>
      <c r="J20507" t="s">
        <v>31</v>
      </c>
      <c r="K20507" t="s">
        <v>163</v>
      </c>
      <c r="N20507" t="s">
        <v>76718</v>
      </c>
      <c r="O20507" t="s">
        <v>76719</v>
      </c>
      <c r="Q20507">
        <v>0</v>
      </c>
      <c r="R20507">
        <v>135</v>
      </c>
      <c r="S20507">
        <v>0</v>
      </c>
      <c r="T20507" t="s">
        <v>76720</v>
      </c>
    </row>
    <row r="20508" spans="1:20" customFormat="1" ht="15" x14ac:dyDescent="0.25">
      <c r="A20508" t="s">
        <v>24</v>
      </c>
      <c r="B20508" t="s">
        <v>33426</v>
      </c>
      <c r="C20508" t="str">
        <f>"A0090477"</f>
        <v>A0090477</v>
      </c>
      <c r="D20508" t="s">
        <v>76721</v>
      </c>
      <c r="E20508" t="s">
        <v>76722</v>
      </c>
      <c r="F20508" t="s">
        <v>63319</v>
      </c>
      <c r="G20508" t="s">
        <v>338</v>
      </c>
      <c r="H20508">
        <v>7102</v>
      </c>
      <c r="I20508" t="s">
        <v>30</v>
      </c>
      <c r="J20508" t="s">
        <v>7657</v>
      </c>
      <c r="K20508" t="s">
        <v>163</v>
      </c>
      <c r="N20508" t="s">
        <v>76723</v>
      </c>
      <c r="O20508" t="s">
        <v>76724</v>
      </c>
      <c r="Q20508">
        <v>0</v>
      </c>
      <c r="R20508">
        <v>0</v>
      </c>
      <c r="S20508">
        <v>0</v>
      </c>
      <c r="T20508" t="s">
        <v>76725</v>
      </c>
    </row>
    <row r="20509" spans="1:20" customFormat="1" ht="15" x14ac:dyDescent="0.25">
      <c r="A20509" t="s">
        <v>24</v>
      </c>
      <c r="B20509" t="s">
        <v>675</v>
      </c>
      <c r="C20509" t="str">
        <f>"A0093236"</f>
        <v>A0093236</v>
      </c>
      <c r="D20509" t="s">
        <v>61453</v>
      </c>
      <c r="E20509" t="s">
        <v>61454</v>
      </c>
      <c r="F20509" t="s">
        <v>61455</v>
      </c>
      <c r="G20509" t="s">
        <v>103</v>
      </c>
      <c r="H20509">
        <v>19446</v>
      </c>
      <c r="I20509" t="s">
        <v>30</v>
      </c>
      <c r="J20509" t="s">
        <v>171</v>
      </c>
      <c r="K20509" t="s">
        <v>973</v>
      </c>
      <c r="N20509" t="s">
        <v>61456</v>
      </c>
      <c r="Q20509">
        <v>0</v>
      </c>
      <c r="R20509">
        <v>135</v>
      </c>
      <c r="S20509">
        <v>0</v>
      </c>
      <c r="T20509" t="s">
        <v>61457</v>
      </c>
    </row>
    <row r="20510" spans="1:20" customFormat="1" ht="15" x14ac:dyDescent="0.25">
      <c r="A20510" t="s">
        <v>24</v>
      </c>
      <c r="B20510" t="s">
        <v>76731</v>
      </c>
      <c r="C20510" t="str">
        <f>"A0098950"</f>
        <v>A0098950</v>
      </c>
      <c r="D20510" t="s">
        <v>76732</v>
      </c>
      <c r="E20510" t="s">
        <v>76733</v>
      </c>
      <c r="F20510" t="s">
        <v>997</v>
      </c>
      <c r="G20510" t="s">
        <v>99</v>
      </c>
      <c r="H20510">
        <v>10019</v>
      </c>
      <c r="I20510" t="s">
        <v>30</v>
      </c>
      <c r="J20510" t="s">
        <v>56476</v>
      </c>
      <c r="K20510" t="s">
        <v>163</v>
      </c>
      <c r="N20510" t="s">
        <v>76734</v>
      </c>
      <c r="O20510" t="s">
        <v>76735</v>
      </c>
      <c r="Q20510">
        <v>0</v>
      </c>
      <c r="R20510">
        <v>188</v>
      </c>
      <c r="S20510">
        <v>0</v>
      </c>
      <c r="T20510" t="s">
        <v>76736</v>
      </c>
    </row>
    <row r="20511" spans="1:20" customFormat="1" ht="15" x14ac:dyDescent="0.25">
      <c r="A20511" t="s">
        <v>24</v>
      </c>
      <c r="B20511" t="s">
        <v>76731</v>
      </c>
      <c r="C20511" t="str">
        <f>"A0101219"</f>
        <v>A0101219</v>
      </c>
      <c r="D20511" t="s">
        <v>76737</v>
      </c>
      <c r="E20511" t="s">
        <v>76738</v>
      </c>
      <c r="F20511" t="s">
        <v>76739</v>
      </c>
      <c r="G20511" t="s">
        <v>99</v>
      </c>
      <c r="H20511">
        <v>10803</v>
      </c>
      <c r="I20511" t="s">
        <v>30</v>
      </c>
      <c r="J20511" t="s">
        <v>56476</v>
      </c>
      <c r="K20511" t="s">
        <v>163</v>
      </c>
      <c r="N20511" t="s">
        <v>76740</v>
      </c>
      <c r="O20511" t="s">
        <v>76741</v>
      </c>
      <c r="Q20511">
        <v>0</v>
      </c>
      <c r="R20511">
        <v>0</v>
      </c>
      <c r="S20511">
        <v>0</v>
      </c>
      <c r="T20511" t="s">
        <v>76742</v>
      </c>
    </row>
    <row r="20512" spans="1:20" customFormat="1" ht="15" x14ac:dyDescent="0.25">
      <c r="A20512" t="s">
        <v>24</v>
      </c>
      <c r="B20512" t="s">
        <v>1583</v>
      </c>
      <c r="C20512" t="str">
        <f>"A0100710"</f>
        <v>A0100710</v>
      </c>
      <c r="D20512" t="s">
        <v>76743</v>
      </c>
      <c r="E20512" t="s">
        <v>76744</v>
      </c>
      <c r="F20512" t="s">
        <v>3880</v>
      </c>
      <c r="G20512" t="s">
        <v>99</v>
      </c>
      <c r="H20512">
        <v>10018</v>
      </c>
      <c r="I20512" t="s">
        <v>30</v>
      </c>
      <c r="J20512" t="s">
        <v>191</v>
      </c>
      <c r="K20512" t="s">
        <v>6809</v>
      </c>
      <c r="N20512" t="s">
        <v>76745</v>
      </c>
      <c r="Q20512">
        <v>0</v>
      </c>
      <c r="R20512">
        <v>0</v>
      </c>
      <c r="S20512">
        <v>0</v>
      </c>
      <c r="T20512" t="s">
        <v>76746</v>
      </c>
    </row>
    <row r="20513" spans="1:20" customFormat="1" ht="15" x14ac:dyDescent="0.25">
      <c r="A20513" t="s">
        <v>24</v>
      </c>
      <c r="B20513" t="s">
        <v>675</v>
      </c>
      <c r="C20513" t="str">
        <f>"311QK"</f>
        <v>311QK</v>
      </c>
      <c r="D20513" t="s">
        <v>61458</v>
      </c>
      <c r="E20513" t="s">
        <v>61459</v>
      </c>
      <c r="F20513" t="s">
        <v>61460</v>
      </c>
      <c r="G20513" t="s">
        <v>103</v>
      </c>
      <c r="H20513">
        <v>19462</v>
      </c>
      <c r="I20513" t="s">
        <v>30</v>
      </c>
      <c r="J20513" t="s">
        <v>171</v>
      </c>
      <c r="K20513" t="s">
        <v>973</v>
      </c>
      <c r="N20513" t="s">
        <v>61461</v>
      </c>
      <c r="Q20513">
        <v>0</v>
      </c>
      <c r="R20513">
        <v>157</v>
      </c>
      <c r="S20513">
        <v>0</v>
      </c>
      <c r="T20513" t="s">
        <v>61462</v>
      </c>
    </row>
    <row r="20514" spans="1:20" customFormat="1" ht="15" x14ac:dyDescent="0.25">
      <c r="A20514" t="s">
        <v>24</v>
      </c>
      <c r="B20514" t="s">
        <v>675</v>
      </c>
      <c r="C20514" t="str">
        <f>"A0092542"</f>
        <v>A0092542</v>
      </c>
      <c r="D20514" t="s">
        <v>61463</v>
      </c>
      <c r="E20514" t="s">
        <v>61464</v>
      </c>
      <c r="F20514" t="s">
        <v>9812</v>
      </c>
      <c r="G20514" t="s">
        <v>103</v>
      </c>
      <c r="H20514">
        <v>19112</v>
      </c>
      <c r="I20514" t="s">
        <v>30</v>
      </c>
      <c r="J20514" t="s">
        <v>171</v>
      </c>
      <c r="K20514" t="s">
        <v>973</v>
      </c>
      <c r="N20514" t="s">
        <v>61465</v>
      </c>
      <c r="Q20514">
        <v>0</v>
      </c>
      <c r="R20514">
        <v>172</v>
      </c>
      <c r="S20514">
        <v>0</v>
      </c>
      <c r="T20514" t="s">
        <v>61466</v>
      </c>
    </row>
    <row r="20515" spans="1:20" customFormat="1" ht="15" x14ac:dyDescent="0.25">
      <c r="A20515" t="s">
        <v>24</v>
      </c>
      <c r="B20515" t="s">
        <v>675</v>
      </c>
      <c r="C20515" t="str">
        <f>"311E3"</f>
        <v>311E3</v>
      </c>
      <c r="D20515" t="s">
        <v>61467</v>
      </c>
      <c r="E20515" t="s">
        <v>61468</v>
      </c>
      <c r="F20515" t="s">
        <v>35874</v>
      </c>
      <c r="G20515" t="s">
        <v>103</v>
      </c>
      <c r="H20515">
        <v>19087</v>
      </c>
      <c r="I20515" t="s">
        <v>30</v>
      </c>
      <c r="J20515" t="s">
        <v>171</v>
      </c>
      <c r="K20515" t="s">
        <v>973</v>
      </c>
      <c r="N20515" t="s">
        <v>61469</v>
      </c>
      <c r="Q20515">
        <v>0</v>
      </c>
      <c r="R20515">
        <v>156</v>
      </c>
      <c r="S20515">
        <v>0</v>
      </c>
      <c r="T20515" t="s">
        <v>61470</v>
      </c>
    </row>
    <row r="20516" spans="1:20" customFormat="1" ht="15" x14ac:dyDescent="0.25">
      <c r="A20516" t="s">
        <v>24</v>
      </c>
      <c r="B20516" t="s">
        <v>61358</v>
      </c>
      <c r="C20516" t="str">
        <f>"A0094258"</f>
        <v>A0094258</v>
      </c>
      <c r="D20516" t="s">
        <v>61471</v>
      </c>
      <c r="E20516" t="s">
        <v>61472</v>
      </c>
      <c r="F20516" t="s">
        <v>9812</v>
      </c>
      <c r="G20516" t="s">
        <v>103</v>
      </c>
      <c r="H20516">
        <v>19131</v>
      </c>
      <c r="I20516" t="s">
        <v>30</v>
      </c>
      <c r="J20516" t="s">
        <v>171</v>
      </c>
      <c r="K20516" t="s">
        <v>973</v>
      </c>
      <c r="N20516" t="s">
        <v>61473</v>
      </c>
      <c r="Q20516">
        <v>0</v>
      </c>
      <c r="R20516">
        <v>335</v>
      </c>
      <c r="S20516">
        <v>0</v>
      </c>
      <c r="T20516" t="s">
        <v>61474</v>
      </c>
    </row>
    <row r="20517" spans="1:20" customFormat="1" ht="15" x14ac:dyDescent="0.25">
      <c r="A20517" t="s">
        <v>24</v>
      </c>
      <c r="B20517" t="s">
        <v>56419</v>
      </c>
      <c r="C20517" t="str">
        <f>"A0051708"</f>
        <v>A0051708</v>
      </c>
      <c r="D20517" t="s">
        <v>76768</v>
      </c>
      <c r="E20517" t="s">
        <v>76769</v>
      </c>
      <c r="F20517" t="s">
        <v>34412</v>
      </c>
      <c r="G20517" t="s">
        <v>110</v>
      </c>
      <c r="H20517">
        <v>92660</v>
      </c>
      <c r="I20517" t="s">
        <v>30</v>
      </c>
      <c r="J20517" t="s">
        <v>178</v>
      </c>
      <c r="K20517" t="s">
        <v>179</v>
      </c>
      <c r="N20517" t="s">
        <v>76770</v>
      </c>
      <c r="O20517" t="s">
        <v>76771</v>
      </c>
      <c r="P20517" t="s">
        <v>992</v>
      </c>
      <c r="Q20517">
        <v>1</v>
      </c>
      <c r="R20517">
        <v>18</v>
      </c>
      <c r="S20517">
        <v>0</v>
      </c>
      <c r="T20517" t="s">
        <v>76772</v>
      </c>
    </row>
    <row r="20518" spans="1:20" customFormat="1" ht="15" x14ac:dyDescent="0.25">
      <c r="A20518" t="s">
        <v>24</v>
      </c>
      <c r="B20518" t="s">
        <v>675</v>
      </c>
      <c r="C20518" t="str">
        <f>"311K3"</f>
        <v>311K3</v>
      </c>
      <c r="D20518" t="s">
        <v>61475</v>
      </c>
      <c r="E20518" t="s">
        <v>61476</v>
      </c>
      <c r="F20518" t="s">
        <v>196</v>
      </c>
      <c r="G20518" t="s">
        <v>197</v>
      </c>
      <c r="H20518">
        <v>85034</v>
      </c>
      <c r="I20518" t="s">
        <v>30</v>
      </c>
      <c r="J20518" t="s">
        <v>171</v>
      </c>
      <c r="K20518" t="s">
        <v>973</v>
      </c>
      <c r="N20518" t="s">
        <v>61477</v>
      </c>
      <c r="O20518" t="s">
        <v>61478</v>
      </c>
      <c r="Q20518">
        <v>0</v>
      </c>
      <c r="R20518">
        <v>145</v>
      </c>
      <c r="S20518">
        <v>0</v>
      </c>
      <c r="T20518" t="s">
        <v>61479</v>
      </c>
    </row>
    <row r="20519" spans="1:20" customFormat="1" ht="15" x14ac:dyDescent="0.25">
      <c r="A20519" t="s">
        <v>24</v>
      </c>
      <c r="B20519" t="s">
        <v>61480</v>
      </c>
      <c r="C20519" t="str">
        <f>"A0094529"</f>
        <v>A0094529</v>
      </c>
      <c r="D20519" t="s">
        <v>61481</v>
      </c>
      <c r="E20519" t="s">
        <v>61482</v>
      </c>
      <c r="F20519" t="s">
        <v>196</v>
      </c>
      <c r="G20519" t="s">
        <v>197</v>
      </c>
      <c r="H20519">
        <v>85003</v>
      </c>
      <c r="I20519" t="s">
        <v>30</v>
      </c>
      <c r="J20519" t="s">
        <v>171</v>
      </c>
      <c r="K20519" t="s">
        <v>973</v>
      </c>
      <c r="N20519" t="s">
        <v>61483</v>
      </c>
      <c r="O20519" t="s">
        <v>61484</v>
      </c>
      <c r="Q20519">
        <v>0</v>
      </c>
      <c r="R20519">
        <v>120</v>
      </c>
      <c r="S20519">
        <v>0</v>
      </c>
      <c r="T20519" t="s">
        <v>61485</v>
      </c>
    </row>
    <row r="20520" spans="1:20" customFormat="1" ht="15" x14ac:dyDescent="0.25">
      <c r="A20520" t="s">
        <v>24</v>
      </c>
      <c r="B20520" t="s">
        <v>1583</v>
      </c>
      <c r="C20520" t="str">
        <f>"38A49"</f>
        <v>38A49</v>
      </c>
      <c r="D20520" t="s">
        <v>76783</v>
      </c>
      <c r="E20520" t="s">
        <v>76784</v>
      </c>
      <c r="F20520" t="s">
        <v>76785</v>
      </c>
      <c r="G20520" t="s">
        <v>110</v>
      </c>
      <c r="H20520">
        <v>92657</v>
      </c>
      <c r="I20520" t="s">
        <v>30</v>
      </c>
      <c r="J20520" t="s">
        <v>2544</v>
      </c>
      <c r="K20520" t="s">
        <v>36059</v>
      </c>
      <c r="N20520" t="s">
        <v>76786</v>
      </c>
      <c r="Q20520">
        <v>0</v>
      </c>
      <c r="R20520">
        <v>456</v>
      </c>
      <c r="S20520">
        <v>0</v>
      </c>
      <c r="T20520" t="s">
        <v>76787</v>
      </c>
    </row>
    <row r="20521" spans="1:20" customFormat="1" ht="15" x14ac:dyDescent="0.25">
      <c r="A20521" t="s">
        <v>24</v>
      </c>
      <c r="B20521" t="s">
        <v>1583</v>
      </c>
      <c r="C20521" t="str">
        <f>"A0100721"</f>
        <v>A0100721</v>
      </c>
      <c r="D20521" t="s">
        <v>76788</v>
      </c>
      <c r="E20521" t="s">
        <v>76784</v>
      </c>
      <c r="F20521" t="s">
        <v>76789</v>
      </c>
      <c r="G20521" t="s">
        <v>110</v>
      </c>
      <c r="H20521">
        <v>92657</v>
      </c>
      <c r="I20521" t="s">
        <v>30</v>
      </c>
      <c r="J20521" t="s">
        <v>191</v>
      </c>
      <c r="K20521" t="s">
        <v>6809</v>
      </c>
      <c r="N20521" t="s">
        <v>76790</v>
      </c>
      <c r="Q20521">
        <v>0</v>
      </c>
      <c r="R20521">
        <v>0</v>
      </c>
      <c r="S20521">
        <v>0</v>
      </c>
      <c r="T20521" t="s">
        <v>76791</v>
      </c>
    </row>
    <row r="20522" spans="1:20" customFormat="1" ht="15" x14ac:dyDescent="0.25">
      <c r="A20522" t="s">
        <v>24</v>
      </c>
      <c r="B20522" t="s">
        <v>675</v>
      </c>
      <c r="C20522" t="str">
        <f>"311K4"</f>
        <v>311K4</v>
      </c>
      <c r="D20522" t="s">
        <v>61486</v>
      </c>
      <c r="E20522" t="s">
        <v>61487</v>
      </c>
      <c r="F20522" t="s">
        <v>196</v>
      </c>
      <c r="G20522" t="s">
        <v>197</v>
      </c>
      <c r="H20522">
        <v>85021</v>
      </c>
      <c r="I20522" t="s">
        <v>30</v>
      </c>
      <c r="J20522" t="s">
        <v>171</v>
      </c>
      <c r="K20522" t="s">
        <v>973</v>
      </c>
      <c r="N20522" t="s">
        <v>61488</v>
      </c>
      <c r="O20522" t="s">
        <v>61489</v>
      </c>
      <c r="Q20522">
        <v>0</v>
      </c>
      <c r="R20522">
        <v>146</v>
      </c>
      <c r="S20522">
        <v>0</v>
      </c>
      <c r="T20522" t="s">
        <v>61490</v>
      </c>
    </row>
    <row r="20523" spans="1:20" customFormat="1" ht="15" x14ac:dyDescent="0.25">
      <c r="A20523" t="s">
        <v>24</v>
      </c>
      <c r="B20523" t="s">
        <v>675</v>
      </c>
      <c r="C20523" t="str">
        <f>"311W4"</f>
        <v>311W4</v>
      </c>
      <c r="D20523" t="s">
        <v>61491</v>
      </c>
      <c r="E20523" t="s">
        <v>61492</v>
      </c>
      <c r="F20523" t="s">
        <v>61493</v>
      </c>
      <c r="G20523" t="s">
        <v>103</v>
      </c>
      <c r="H20523">
        <v>15108</v>
      </c>
      <c r="I20523" t="s">
        <v>30</v>
      </c>
      <c r="J20523" t="s">
        <v>171</v>
      </c>
      <c r="K20523" t="s">
        <v>973</v>
      </c>
      <c r="N20523" t="s">
        <v>61494</v>
      </c>
      <c r="Q20523">
        <v>0</v>
      </c>
      <c r="R20523">
        <v>148</v>
      </c>
      <c r="S20523">
        <v>0</v>
      </c>
      <c r="T20523" t="s">
        <v>61495</v>
      </c>
    </row>
    <row r="20524" spans="1:20" customFormat="1" ht="15" x14ac:dyDescent="0.25">
      <c r="A20524" t="s">
        <v>24</v>
      </c>
      <c r="B20524" t="s">
        <v>1849</v>
      </c>
      <c r="C20524" t="str">
        <f>"A0091880"</f>
        <v>A0091880</v>
      </c>
      <c r="D20524" t="s">
        <v>61496</v>
      </c>
      <c r="E20524" t="s">
        <v>61497</v>
      </c>
      <c r="F20524" t="s">
        <v>3167</v>
      </c>
      <c r="G20524" t="s">
        <v>103</v>
      </c>
      <c r="H20524">
        <v>16066</v>
      </c>
      <c r="I20524" t="s">
        <v>30</v>
      </c>
      <c r="J20524" t="s">
        <v>171</v>
      </c>
      <c r="K20524" t="s">
        <v>973</v>
      </c>
      <c r="N20524" t="s">
        <v>61498</v>
      </c>
      <c r="O20524" t="s">
        <v>61499</v>
      </c>
      <c r="Q20524">
        <v>0</v>
      </c>
      <c r="R20524">
        <v>125</v>
      </c>
      <c r="S20524">
        <v>0</v>
      </c>
      <c r="T20524" t="s">
        <v>61500</v>
      </c>
    </row>
    <row r="20525" spans="1:20" customFormat="1" ht="15" x14ac:dyDescent="0.25">
      <c r="A20525" t="s">
        <v>24</v>
      </c>
      <c r="B20525" t="s">
        <v>74678</v>
      </c>
      <c r="C20525" t="str">
        <f>"A0088401"</f>
        <v>A0088401</v>
      </c>
      <c r="D20525" t="s">
        <v>76804</v>
      </c>
      <c r="E20525" t="s">
        <v>76805</v>
      </c>
      <c r="F20525" t="s">
        <v>76806</v>
      </c>
      <c r="G20525" t="s">
        <v>81</v>
      </c>
      <c r="H20525">
        <v>34747</v>
      </c>
      <c r="I20525" t="s">
        <v>30</v>
      </c>
      <c r="J20525" t="s">
        <v>31</v>
      </c>
      <c r="K20525" t="s">
        <v>6809</v>
      </c>
      <c r="N20525" t="s">
        <v>76807</v>
      </c>
      <c r="O20525" t="s">
        <v>76808</v>
      </c>
      <c r="Q20525">
        <v>0</v>
      </c>
      <c r="R20525">
        <v>118</v>
      </c>
      <c r="S20525">
        <v>0</v>
      </c>
      <c r="T20525" t="s">
        <v>76809</v>
      </c>
    </row>
    <row r="20526" spans="1:20" customFormat="1" ht="15" x14ac:dyDescent="0.25">
      <c r="A20526" t="s">
        <v>24</v>
      </c>
      <c r="B20526" t="s">
        <v>675</v>
      </c>
      <c r="C20526" t="str">
        <f>"311P3"</f>
        <v>311P3</v>
      </c>
      <c r="D20526" t="s">
        <v>61501</v>
      </c>
      <c r="E20526" t="s">
        <v>61502</v>
      </c>
      <c r="F20526" t="s">
        <v>8801</v>
      </c>
      <c r="G20526" t="s">
        <v>81</v>
      </c>
      <c r="H20526">
        <v>33324</v>
      </c>
      <c r="I20526" t="s">
        <v>30</v>
      </c>
      <c r="J20526" t="s">
        <v>171</v>
      </c>
      <c r="K20526" t="s">
        <v>973</v>
      </c>
      <c r="N20526" t="s">
        <v>61503</v>
      </c>
      <c r="O20526" t="s">
        <v>61504</v>
      </c>
      <c r="Q20526">
        <v>0</v>
      </c>
      <c r="R20526">
        <v>149</v>
      </c>
      <c r="S20526">
        <v>0</v>
      </c>
      <c r="T20526" t="s">
        <v>61505</v>
      </c>
    </row>
    <row r="20527" spans="1:20" customFormat="1" ht="15" x14ac:dyDescent="0.25">
      <c r="A20527" t="s">
        <v>24</v>
      </c>
      <c r="B20527" t="s">
        <v>2360</v>
      </c>
      <c r="C20527" t="str">
        <f>"CL1644"</f>
        <v>CL1644</v>
      </c>
      <c r="D20527" t="s">
        <v>76815</v>
      </c>
      <c r="E20527" t="s">
        <v>76816</v>
      </c>
      <c r="F20527" t="s">
        <v>13414</v>
      </c>
      <c r="G20527" t="s">
        <v>925</v>
      </c>
      <c r="H20527">
        <v>66223</v>
      </c>
      <c r="I20527" t="s">
        <v>30</v>
      </c>
      <c r="J20527" t="s">
        <v>178</v>
      </c>
      <c r="K20527" t="s">
        <v>55688</v>
      </c>
      <c r="N20527" t="s">
        <v>76817</v>
      </c>
      <c r="P20527" t="s">
        <v>992</v>
      </c>
      <c r="Q20527">
        <v>1</v>
      </c>
      <c r="R20527">
        <v>0</v>
      </c>
      <c r="S20527">
        <v>0</v>
      </c>
      <c r="T20527" t="s">
        <v>76818</v>
      </c>
    </row>
    <row r="20528" spans="1:20" customFormat="1" ht="15" x14ac:dyDescent="0.25">
      <c r="A20528" t="s">
        <v>24</v>
      </c>
      <c r="B20528" t="s">
        <v>675</v>
      </c>
      <c r="C20528" t="str">
        <f>"311J1"</f>
        <v>311J1</v>
      </c>
      <c r="D20528" t="s">
        <v>61506</v>
      </c>
      <c r="E20528" t="s">
        <v>61507</v>
      </c>
      <c r="F20528" t="s">
        <v>7495</v>
      </c>
      <c r="G20528" t="s">
        <v>110</v>
      </c>
      <c r="H20528">
        <v>94588</v>
      </c>
      <c r="I20528" t="s">
        <v>30</v>
      </c>
      <c r="J20528" t="s">
        <v>171</v>
      </c>
      <c r="K20528" t="s">
        <v>973</v>
      </c>
      <c r="N20528" t="s">
        <v>61508</v>
      </c>
      <c r="O20528" t="s">
        <v>61509</v>
      </c>
      <c r="Q20528">
        <v>0</v>
      </c>
      <c r="R20528">
        <v>145</v>
      </c>
      <c r="S20528">
        <v>0</v>
      </c>
      <c r="T20528" t="s">
        <v>61510</v>
      </c>
    </row>
    <row r="20529" spans="1:25" customFormat="1" ht="15" x14ac:dyDescent="0.25">
      <c r="A20529" t="s">
        <v>24</v>
      </c>
      <c r="B20529" t="s">
        <v>675</v>
      </c>
      <c r="C20529" t="str">
        <f>"311L3"</f>
        <v>311L3</v>
      </c>
      <c r="D20529" t="s">
        <v>61511</v>
      </c>
      <c r="E20529" t="s">
        <v>61512</v>
      </c>
      <c r="F20529" t="s">
        <v>3802</v>
      </c>
      <c r="G20529" t="s">
        <v>47</v>
      </c>
      <c r="H20529">
        <v>97008</v>
      </c>
      <c r="I20529" t="s">
        <v>30</v>
      </c>
      <c r="J20529" t="s">
        <v>171</v>
      </c>
      <c r="K20529" t="s">
        <v>973</v>
      </c>
      <c r="N20529" t="s">
        <v>61513</v>
      </c>
      <c r="O20529" t="s">
        <v>61514</v>
      </c>
      <c r="Q20529">
        <v>0</v>
      </c>
      <c r="R20529">
        <v>149</v>
      </c>
      <c r="S20529">
        <v>0</v>
      </c>
      <c r="T20529" t="s">
        <v>61515</v>
      </c>
    </row>
    <row r="20530" spans="1:25" x14ac:dyDescent="0.25">
      <c r="A20530" s="5" t="s">
        <v>24</v>
      </c>
      <c r="B20530" s="5" t="s">
        <v>675</v>
      </c>
      <c r="C20530" s="5" t="str">
        <f>"311E6"</f>
        <v>311E6</v>
      </c>
      <c r="D20530" s="5" t="s">
        <v>61520</v>
      </c>
      <c r="E20530" s="5" t="s">
        <v>61521</v>
      </c>
      <c r="F20530" s="5" t="s">
        <v>11346</v>
      </c>
      <c r="G20530" s="5" t="s">
        <v>99</v>
      </c>
      <c r="H20530" s="5">
        <v>12601</v>
      </c>
      <c r="I20530" s="5" t="s">
        <v>30</v>
      </c>
      <c r="J20530" s="5" t="s">
        <v>171</v>
      </c>
      <c r="K20530" s="5" t="s">
        <v>973</v>
      </c>
      <c r="L20530" s="5"/>
      <c r="M20530" s="5"/>
      <c r="N20530" s="5" t="s">
        <v>61522</v>
      </c>
      <c r="O20530" s="5" t="s">
        <v>61523</v>
      </c>
      <c r="P20530" s="5"/>
      <c r="Q20530" s="5">
        <v>0</v>
      </c>
      <c r="R20530" s="5">
        <v>149</v>
      </c>
      <c r="S20530" s="5">
        <v>0</v>
      </c>
      <c r="T20530" s="5" t="s">
        <v>61524</v>
      </c>
      <c r="U20530" s="5"/>
      <c r="V20530" s="5"/>
      <c r="W20530" s="5"/>
      <c r="X20530" s="5"/>
      <c r="Y20530" s="5"/>
    </row>
    <row r="20531" spans="1:25" x14ac:dyDescent="0.25">
      <c r="A20531" s="5" t="s">
        <v>24</v>
      </c>
      <c r="B20531" s="5" t="s">
        <v>1323</v>
      </c>
      <c r="C20531" s="5" t="str">
        <f>"A0083650"</f>
        <v>A0083650</v>
      </c>
      <c r="D20531" s="5" t="s">
        <v>61525</v>
      </c>
      <c r="E20531" s="5" t="s">
        <v>61526</v>
      </c>
      <c r="F20531" s="5" t="s">
        <v>57744</v>
      </c>
      <c r="G20531" s="5" t="s">
        <v>1706</v>
      </c>
      <c r="H20531" s="5">
        <v>36066</v>
      </c>
      <c r="I20531" s="5" t="s">
        <v>30</v>
      </c>
      <c r="J20531" s="5" t="s">
        <v>171</v>
      </c>
      <c r="K20531" s="5" t="s">
        <v>973</v>
      </c>
      <c r="L20531" s="5"/>
      <c r="M20531" s="5"/>
      <c r="N20531" s="5" t="s">
        <v>61527</v>
      </c>
      <c r="O20531" s="5"/>
      <c r="P20531" s="5"/>
      <c r="Q20531" s="5">
        <v>0</v>
      </c>
      <c r="R20531" s="5">
        <v>84</v>
      </c>
      <c r="S20531" s="5">
        <v>0</v>
      </c>
      <c r="T20531" s="5" t="s">
        <v>61528</v>
      </c>
      <c r="U20531" s="5"/>
      <c r="V20531" s="5"/>
      <c r="W20531" s="5"/>
      <c r="X20531" s="5"/>
      <c r="Y20531" s="5"/>
    </row>
    <row r="20532" spans="1:25" customFormat="1" ht="15" x14ac:dyDescent="0.25">
      <c r="A20532" t="s">
        <v>24</v>
      </c>
      <c r="B20532" t="s">
        <v>2360</v>
      </c>
      <c r="C20532" t="str">
        <f>"A0053195"</f>
        <v>A0053195</v>
      </c>
      <c r="D20532" t="s">
        <v>76838</v>
      </c>
      <c r="E20532" t="s">
        <v>76839</v>
      </c>
      <c r="F20532" t="s">
        <v>4397</v>
      </c>
      <c r="G20532" t="s">
        <v>123</v>
      </c>
      <c r="H20532">
        <v>20853</v>
      </c>
      <c r="I20532" t="s">
        <v>30</v>
      </c>
      <c r="J20532" t="s">
        <v>178</v>
      </c>
      <c r="K20532" t="s">
        <v>55688</v>
      </c>
      <c r="N20532" t="s">
        <v>76840</v>
      </c>
      <c r="O20532" t="s">
        <v>76841</v>
      </c>
      <c r="Q20532">
        <v>1</v>
      </c>
      <c r="R20532">
        <v>0</v>
      </c>
      <c r="S20532">
        <v>0</v>
      </c>
      <c r="T20532" t="s">
        <v>76842</v>
      </c>
    </row>
    <row r="20533" spans="1:25" customFormat="1" ht="15" x14ac:dyDescent="0.25">
      <c r="A20533" t="s">
        <v>24</v>
      </c>
      <c r="B20533" t="s">
        <v>5104</v>
      </c>
      <c r="C20533" t="str">
        <f>"6512T"</f>
        <v>6512T</v>
      </c>
      <c r="D20533" t="s">
        <v>61529</v>
      </c>
      <c r="E20533" t="s">
        <v>61530</v>
      </c>
      <c r="F20533" t="s">
        <v>6888</v>
      </c>
      <c r="G20533" t="s">
        <v>338</v>
      </c>
      <c r="H20533">
        <v>8540</v>
      </c>
      <c r="I20533" t="s">
        <v>30</v>
      </c>
      <c r="J20533" t="s">
        <v>171</v>
      </c>
      <c r="K20533" t="s">
        <v>973</v>
      </c>
      <c r="N20533" t="s">
        <v>61531</v>
      </c>
      <c r="Q20533">
        <v>0</v>
      </c>
      <c r="R20533">
        <v>154</v>
      </c>
      <c r="S20533">
        <v>0</v>
      </c>
      <c r="T20533" t="s">
        <v>61532</v>
      </c>
    </row>
    <row r="20534" spans="1:25" customFormat="1" ht="15" x14ac:dyDescent="0.25">
      <c r="A20534" t="s">
        <v>24</v>
      </c>
      <c r="B20534" t="s">
        <v>2955</v>
      </c>
      <c r="C20534" t="str">
        <f>"6513T"</f>
        <v>6513T</v>
      </c>
      <c r="D20534" t="s">
        <v>61533</v>
      </c>
      <c r="E20534" t="s">
        <v>61534</v>
      </c>
      <c r="F20534" t="s">
        <v>6865</v>
      </c>
      <c r="G20534" t="s">
        <v>90</v>
      </c>
      <c r="H20534">
        <v>2903</v>
      </c>
      <c r="I20534" t="s">
        <v>30</v>
      </c>
      <c r="J20534" t="s">
        <v>171</v>
      </c>
      <c r="K20534" t="s">
        <v>973</v>
      </c>
      <c r="N20534" t="s">
        <v>61535</v>
      </c>
      <c r="O20534" t="s">
        <v>61536</v>
      </c>
      <c r="Q20534">
        <v>0</v>
      </c>
      <c r="R20534">
        <v>211</v>
      </c>
      <c r="S20534">
        <v>0</v>
      </c>
      <c r="T20534" t="s">
        <v>61537</v>
      </c>
    </row>
    <row r="20535" spans="1:25" customFormat="1" ht="15" x14ac:dyDescent="0.25">
      <c r="A20535" t="s">
        <v>24</v>
      </c>
      <c r="B20535" t="s">
        <v>4400</v>
      </c>
      <c r="C20535" t="str">
        <f>"A0065305"</f>
        <v>A0065305</v>
      </c>
      <c r="D20535" t="s">
        <v>61538</v>
      </c>
      <c r="E20535" t="s">
        <v>61539</v>
      </c>
      <c r="F20535" t="s">
        <v>61540</v>
      </c>
      <c r="G20535" t="s">
        <v>90</v>
      </c>
      <c r="H20535">
        <v>2888</v>
      </c>
      <c r="I20535" t="s">
        <v>30</v>
      </c>
      <c r="J20535" t="s">
        <v>171</v>
      </c>
      <c r="K20535" t="s">
        <v>973</v>
      </c>
      <c r="N20535" t="s">
        <v>61541</v>
      </c>
      <c r="Q20535">
        <v>0</v>
      </c>
      <c r="R20535">
        <v>92</v>
      </c>
      <c r="S20535">
        <v>0</v>
      </c>
      <c r="T20535" t="s">
        <v>61542</v>
      </c>
    </row>
    <row r="20536" spans="1:25" customFormat="1" ht="15" x14ac:dyDescent="0.25">
      <c r="A20536" t="s">
        <v>24</v>
      </c>
      <c r="B20536" t="s">
        <v>2360</v>
      </c>
      <c r="C20536" t="str">
        <f>"A0051595"</f>
        <v>A0051595</v>
      </c>
      <c r="D20536" t="s">
        <v>76858</v>
      </c>
      <c r="E20536" t="s">
        <v>76859</v>
      </c>
      <c r="F20536" t="s">
        <v>76860</v>
      </c>
      <c r="G20536" t="s">
        <v>103</v>
      </c>
      <c r="H20536">
        <v>19038</v>
      </c>
      <c r="I20536" t="s">
        <v>30</v>
      </c>
      <c r="J20536" t="s">
        <v>178</v>
      </c>
      <c r="K20536" t="s">
        <v>55688</v>
      </c>
      <c r="N20536" t="s">
        <v>76861</v>
      </c>
      <c r="Q20536">
        <v>1</v>
      </c>
      <c r="R20536">
        <v>0</v>
      </c>
      <c r="S20536">
        <v>0</v>
      </c>
      <c r="T20536" t="s">
        <v>76862</v>
      </c>
    </row>
    <row r="20537" spans="1:25" customFormat="1" ht="15" x14ac:dyDescent="0.25">
      <c r="A20537" t="s">
        <v>24</v>
      </c>
      <c r="B20537" t="s">
        <v>1138</v>
      </c>
      <c r="C20537" t="str">
        <f>"432QU"</f>
        <v>432QU</v>
      </c>
      <c r="D20537" t="s">
        <v>76863</v>
      </c>
      <c r="E20537" t="s">
        <v>76864</v>
      </c>
      <c r="F20537" t="s">
        <v>70134</v>
      </c>
      <c r="G20537" t="s">
        <v>85</v>
      </c>
      <c r="H20537">
        <v>72117</v>
      </c>
      <c r="I20537" t="s">
        <v>30</v>
      </c>
      <c r="J20537" t="s">
        <v>31</v>
      </c>
      <c r="K20537" t="s">
        <v>32</v>
      </c>
      <c r="N20537" t="s">
        <v>76865</v>
      </c>
      <c r="Q20537">
        <v>0</v>
      </c>
      <c r="R20537">
        <v>86</v>
      </c>
      <c r="S20537">
        <v>0</v>
      </c>
      <c r="T20537" t="s">
        <v>76866</v>
      </c>
    </row>
    <row r="20538" spans="1:25" customFormat="1" ht="15" x14ac:dyDescent="0.25">
      <c r="A20538" t="s">
        <v>24</v>
      </c>
      <c r="B20538" t="s">
        <v>8579</v>
      </c>
      <c r="C20538" t="str">
        <f>"A0097911"</f>
        <v>A0097911</v>
      </c>
      <c r="D20538" t="s">
        <v>61548</v>
      </c>
      <c r="E20538" t="s">
        <v>61549</v>
      </c>
      <c r="F20538" t="s">
        <v>2492</v>
      </c>
      <c r="G20538" t="s">
        <v>76</v>
      </c>
      <c r="H20538">
        <v>99163</v>
      </c>
      <c r="I20538" t="s">
        <v>30</v>
      </c>
      <c r="J20538" t="s">
        <v>171</v>
      </c>
      <c r="K20538" t="s">
        <v>973</v>
      </c>
      <c r="N20538" t="s">
        <v>61550</v>
      </c>
      <c r="Q20538">
        <v>0</v>
      </c>
      <c r="R20538">
        <v>120</v>
      </c>
      <c r="S20538">
        <v>0</v>
      </c>
      <c r="T20538" t="s">
        <v>61551</v>
      </c>
    </row>
    <row r="20539" spans="1:25" customFormat="1" ht="15" x14ac:dyDescent="0.25">
      <c r="A20539" t="s">
        <v>24</v>
      </c>
      <c r="B20539" t="s">
        <v>76872</v>
      </c>
      <c r="C20539" t="str">
        <f>"A0052607"</f>
        <v>A0052607</v>
      </c>
      <c r="D20539" t="s">
        <v>76872</v>
      </c>
      <c r="E20539" t="s">
        <v>76873</v>
      </c>
      <c r="F20539" t="s">
        <v>10100</v>
      </c>
      <c r="G20539" t="s">
        <v>214</v>
      </c>
      <c r="H20539">
        <v>27615</v>
      </c>
      <c r="I20539" t="s">
        <v>30</v>
      </c>
      <c r="J20539" t="s">
        <v>178</v>
      </c>
      <c r="K20539" t="s">
        <v>179</v>
      </c>
      <c r="N20539" t="s">
        <v>76874</v>
      </c>
      <c r="O20539" t="s">
        <v>76875</v>
      </c>
      <c r="P20539" t="s">
        <v>992</v>
      </c>
      <c r="Q20539">
        <v>2</v>
      </c>
      <c r="R20539">
        <v>0</v>
      </c>
      <c r="S20539">
        <v>0</v>
      </c>
      <c r="T20539" t="s">
        <v>76876</v>
      </c>
    </row>
    <row r="20540" spans="1:25" customFormat="1" ht="15" x14ac:dyDescent="0.25">
      <c r="A20540" t="s">
        <v>24</v>
      </c>
      <c r="B20540" t="s">
        <v>1528</v>
      </c>
      <c r="C20540" t="str">
        <f>"A0097996"</f>
        <v>A0097996</v>
      </c>
      <c r="D20540" t="s">
        <v>76877</v>
      </c>
      <c r="E20540" t="s">
        <v>76878</v>
      </c>
      <c r="F20540" t="s">
        <v>5804</v>
      </c>
      <c r="G20540" t="s">
        <v>76</v>
      </c>
      <c r="H20540">
        <v>98422</v>
      </c>
      <c r="I20540" t="s">
        <v>30</v>
      </c>
      <c r="J20540" t="s">
        <v>2415</v>
      </c>
      <c r="K20540" t="s">
        <v>179</v>
      </c>
      <c r="N20540" t="s">
        <v>76879</v>
      </c>
      <c r="Q20540">
        <v>1</v>
      </c>
      <c r="R20540">
        <v>0</v>
      </c>
      <c r="S20540">
        <v>0</v>
      </c>
      <c r="T20540" t="s">
        <v>76880</v>
      </c>
    </row>
    <row r="20541" spans="1:25" customFormat="1" ht="15" hidden="1" x14ac:dyDescent="0.25">
      <c r="A20541" t="s">
        <v>24</v>
      </c>
      <c r="B20541" t="s">
        <v>8771</v>
      </c>
      <c r="C20541" t="str">
        <f>"A0100015"</f>
        <v>A0100015</v>
      </c>
      <c r="D20541" t="s">
        <v>76881</v>
      </c>
      <c r="E20541" t="s">
        <v>76882</v>
      </c>
      <c r="F20541" t="s">
        <v>2408</v>
      </c>
      <c r="G20541" t="s">
        <v>3843</v>
      </c>
      <c r="H20541">
        <v>1210</v>
      </c>
      <c r="I20541" t="s">
        <v>2408</v>
      </c>
      <c r="J20541" t="s">
        <v>162</v>
      </c>
      <c r="K20541" t="s">
        <v>13257</v>
      </c>
      <c r="N20541" t="s">
        <v>76883</v>
      </c>
      <c r="O20541" t="s">
        <v>74207</v>
      </c>
      <c r="Q20541">
        <v>0</v>
      </c>
      <c r="R20541">
        <v>148</v>
      </c>
      <c r="S20541">
        <v>0</v>
      </c>
      <c r="T20541" t="s">
        <v>76884</v>
      </c>
    </row>
    <row r="20542" spans="1:25" customFormat="1" ht="15" x14ac:dyDescent="0.25">
      <c r="A20542" t="s">
        <v>24</v>
      </c>
      <c r="B20542" t="s">
        <v>675</v>
      </c>
      <c r="C20542" t="str">
        <f>"311P2"</f>
        <v>311P2</v>
      </c>
      <c r="D20542" t="s">
        <v>61558</v>
      </c>
      <c r="E20542" t="s">
        <v>61559</v>
      </c>
      <c r="F20542" t="s">
        <v>6927</v>
      </c>
      <c r="G20542" t="s">
        <v>214</v>
      </c>
      <c r="H20542">
        <v>27511</v>
      </c>
      <c r="I20542" t="s">
        <v>30</v>
      </c>
      <c r="J20542" t="s">
        <v>171</v>
      </c>
      <c r="K20542" t="s">
        <v>973</v>
      </c>
      <c r="N20542" t="s">
        <v>61560</v>
      </c>
      <c r="Q20542">
        <v>0</v>
      </c>
      <c r="R20542">
        <v>149</v>
      </c>
      <c r="S20542">
        <v>0</v>
      </c>
      <c r="T20542" t="s">
        <v>61561</v>
      </c>
    </row>
    <row r="20543" spans="1:25" customFormat="1" ht="15" hidden="1" x14ac:dyDescent="0.25">
      <c r="A20543" t="s">
        <v>24</v>
      </c>
      <c r="B20543" t="s">
        <v>8771</v>
      </c>
      <c r="C20543" t="str">
        <f>"A0100017"</f>
        <v>A0100017</v>
      </c>
      <c r="D20543" t="s">
        <v>76889</v>
      </c>
      <c r="E20543" t="s">
        <v>74256</v>
      </c>
      <c r="F20543" t="s">
        <v>74257</v>
      </c>
      <c r="G20543" t="s">
        <v>4505</v>
      </c>
      <c r="H20543">
        <v>66296</v>
      </c>
      <c r="I20543" t="s">
        <v>2408</v>
      </c>
      <c r="J20543" t="s">
        <v>162</v>
      </c>
      <c r="K20543" t="s">
        <v>13257</v>
      </c>
      <c r="N20543" t="s">
        <v>76890</v>
      </c>
      <c r="Q20543">
        <v>0</v>
      </c>
      <c r="R20543">
        <v>238</v>
      </c>
      <c r="S20543">
        <v>0</v>
      </c>
      <c r="T20543" t="s">
        <v>76891</v>
      </c>
    </row>
    <row r="20544" spans="1:25" customFormat="1" ht="15" hidden="1" x14ac:dyDescent="0.25">
      <c r="A20544" t="s">
        <v>24</v>
      </c>
      <c r="B20544" t="s">
        <v>62796</v>
      </c>
      <c r="C20544" t="str">
        <f>"A0074034"</f>
        <v>A0074034</v>
      </c>
      <c r="D20544" t="s">
        <v>76892</v>
      </c>
      <c r="E20544" t="s">
        <v>76893</v>
      </c>
      <c r="F20544" t="s">
        <v>76894</v>
      </c>
      <c r="G20544" t="s">
        <v>2206</v>
      </c>
      <c r="H20544" t="s">
        <v>76895</v>
      </c>
      <c r="I20544" t="s">
        <v>1459</v>
      </c>
      <c r="J20544" t="s">
        <v>162</v>
      </c>
      <c r="K20544" t="s">
        <v>13257</v>
      </c>
      <c r="N20544" t="s">
        <v>76896</v>
      </c>
      <c r="Q20544">
        <v>0</v>
      </c>
      <c r="R20544">
        <v>260</v>
      </c>
      <c r="S20544">
        <v>0</v>
      </c>
      <c r="T20544" t="s">
        <v>76897</v>
      </c>
    </row>
    <row r="20545" spans="1:20" customFormat="1" ht="15" hidden="1" x14ac:dyDescent="0.25">
      <c r="A20545" t="s">
        <v>24</v>
      </c>
      <c r="B20545" t="s">
        <v>62559</v>
      </c>
      <c r="C20545" t="str">
        <f>"A0094927"</f>
        <v>A0094927</v>
      </c>
      <c r="D20545" t="s">
        <v>76898</v>
      </c>
      <c r="E20545" t="s">
        <v>76899</v>
      </c>
      <c r="F20545" t="s">
        <v>56723</v>
      </c>
      <c r="G20545" t="s">
        <v>2206</v>
      </c>
      <c r="H20545" t="s">
        <v>76900</v>
      </c>
      <c r="I20545" t="s">
        <v>1459</v>
      </c>
      <c r="J20545" t="s">
        <v>162</v>
      </c>
      <c r="K20545" t="s">
        <v>13257</v>
      </c>
      <c r="Q20545">
        <v>0</v>
      </c>
      <c r="R20545">
        <v>149</v>
      </c>
      <c r="S20545">
        <v>0</v>
      </c>
      <c r="T20545" t="s">
        <v>76901</v>
      </c>
    </row>
    <row r="20546" spans="1:20" customFormat="1" ht="15" x14ac:dyDescent="0.25">
      <c r="A20546" t="s">
        <v>24</v>
      </c>
      <c r="B20546" t="s">
        <v>57457</v>
      </c>
      <c r="C20546" t="str">
        <f>"A0098260"</f>
        <v>A0098260</v>
      </c>
      <c r="D20546" t="s">
        <v>76902</v>
      </c>
      <c r="E20546" t="s">
        <v>76903</v>
      </c>
      <c r="F20546" t="s">
        <v>1084</v>
      </c>
      <c r="G20546" t="s">
        <v>81</v>
      </c>
      <c r="H20546">
        <v>33040</v>
      </c>
      <c r="I20546" t="s">
        <v>30</v>
      </c>
      <c r="J20546" t="s">
        <v>31</v>
      </c>
      <c r="K20546" t="s">
        <v>163</v>
      </c>
      <c r="N20546" t="s">
        <v>76904</v>
      </c>
      <c r="Q20546">
        <v>0</v>
      </c>
      <c r="R20546">
        <v>36</v>
      </c>
      <c r="S20546">
        <v>0</v>
      </c>
      <c r="T20546" t="s">
        <v>76905</v>
      </c>
    </row>
    <row r="20547" spans="1:20" customFormat="1" ht="15" x14ac:dyDescent="0.25">
      <c r="A20547" t="s">
        <v>24</v>
      </c>
      <c r="B20547" t="s">
        <v>34738</v>
      </c>
      <c r="C20547" t="str">
        <f>"A0093828"</f>
        <v>A0093828</v>
      </c>
      <c r="D20547" t="s">
        <v>61562</v>
      </c>
      <c r="E20547" t="s">
        <v>61563</v>
      </c>
      <c r="F20547" t="s">
        <v>10100</v>
      </c>
      <c r="G20547" t="s">
        <v>214</v>
      </c>
      <c r="H20547">
        <v>27617</v>
      </c>
      <c r="I20547" t="s">
        <v>30</v>
      </c>
      <c r="J20547" t="s">
        <v>171</v>
      </c>
      <c r="K20547" t="s">
        <v>973</v>
      </c>
      <c r="N20547" t="s">
        <v>61564</v>
      </c>
      <c r="Q20547">
        <v>0</v>
      </c>
      <c r="R20547">
        <v>128</v>
      </c>
      <c r="S20547">
        <v>0</v>
      </c>
      <c r="T20547" t="s">
        <v>61565</v>
      </c>
    </row>
    <row r="20548" spans="1:20" customFormat="1" ht="15" x14ac:dyDescent="0.25">
      <c r="A20548" t="s">
        <v>24</v>
      </c>
      <c r="B20548" t="s">
        <v>675</v>
      </c>
      <c r="C20548" t="str">
        <f>"311AB"</f>
        <v>311AB</v>
      </c>
      <c r="D20548" t="s">
        <v>61566</v>
      </c>
      <c r="E20548" t="s">
        <v>61567</v>
      </c>
      <c r="F20548" t="s">
        <v>10100</v>
      </c>
      <c r="G20548" t="s">
        <v>214</v>
      </c>
      <c r="H20548">
        <v>27609</v>
      </c>
      <c r="I20548" t="s">
        <v>30</v>
      </c>
      <c r="J20548" t="s">
        <v>171</v>
      </c>
      <c r="K20548" t="s">
        <v>973</v>
      </c>
      <c r="N20548" t="s">
        <v>61568</v>
      </c>
      <c r="Q20548">
        <v>0</v>
      </c>
      <c r="R20548">
        <v>153</v>
      </c>
      <c r="S20548">
        <v>0</v>
      </c>
      <c r="T20548" t="s">
        <v>61569</v>
      </c>
    </row>
    <row r="20549" spans="1:20" customFormat="1" ht="15" x14ac:dyDescent="0.25">
      <c r="A20549" t="s">
        <v>24</v>
      </c>
      <c r="B20549" t="s">
        <v>1138</v>
      </c>
      <c r="C20549" t="str">
        <f>"A0075788"</f>
        <v>A0075788</v>
      </c>
      <c r="D20549" t="s">
        <v>61570</v>
      </c>
      <c r="E20549" t="s">
        <v>61571</v>
      </c>
      <c r="F20549" t="s">
        <v>61572</v>
      </c>
      <c r="G20549" t="s">
        <v>110</v>
      </c>
      <c r="H20549">
        <v>91730</v>
      </c>
      <c r="I20549" t="s">
        <v>30</v>
      </c>
      <c r="J20549" t="s">
        <v>171</v>
      </c>
      <c r="K20549" t="s">
        <v>973</v>
      </c>
      <c r="N20549" t="s">
        <v>53728</v>
      </c>
      <c r="Q20549">
        <v>0</v>
      </c>
      <c r="R20549">
        <v>117</v>
      </c>
      <c r="S20549">
        <v>0</v>
      </c>
      <c r="T20549" t="s">
        <v>61573</v>
      </c>
    </row>
    <row r="20550" spans="1:20" customFormat="1" ht="15" x14ac:dyDescent="0.25">
      <c r="A20550" t="s">
        <v>24</v>
      </c>
      <c r="B20550" t="s">
        <v>66181</v>
      </c>
      <c r="C20550" t="str">
        <f>"A0149613"</f>
        <v>A0149613</v>
      </c>
      <c r="D20550" t="s">
        <v>76920</v>
      </c>
      <c r="E20550" t="s">
        <v>76921</v>
      </c>
      <c r="F20550" t="s">
        <v>808</v>
      </c>
      <c r="G20550" t="s">
        <v>110</v>
      </c>
      <c r="H20550">
        <v>92618</v>
      </c>
      <c r="I20550" t="s">
        <v>30</v>
      </c>
      <c r="J20550" t="s">
        <v>178</v>
      </c>
      <c r="K20550" t="s">
        <v>179</v>
      </c>
      <c r="N20550" t="s">
        <v>76922</v>
      </c>
      <c r="O20550" t="s">
        <v>76923</v>
      </c>
      <c r="Q20550">
        <v>0</v>
      </c>
      <c r="R20550">
        <v>0</v>
      </c>
      <c r="S20550">
        <v>0</v>
      </c>
      <c r="T20550" t="s">
        <v>76924</v>
      </c>
    </row>
    <row r="20551" spans="1:20" customFormat="1" ht="15" x14ac:dyDescent="0.25">
      <c r="A20551" t="s">
        <v>24</v>
      </c>
      <c r="B20551" t="s">
        <v>2360</v>
      </c>
      <c r="C20551" t="str">
        <f>"A0156557"</f>
        <v>A0156557</v>
      </c>
      <c r="D20551" t="s">
        <v>76920</v>
      </c>
      <c r="E20551" t="s">
        <v>76925</v>
      </c>
      <c r="F20551" t="s">
        <v>76926</v>
      </c>
      <c r="G20551" t="s">
        <v>123</v>
      </c>
      <c r="H20551">
        <v>20774</v>
      </c>
      <c r="I20551" t="s">
        <v>30</v>
      </c>
      <c r="J20551" t="s">
        <v>2415</v>
      </c>
      <c r="K20551" t="s">
        <v>8013</v>
      </c>
      <c r="Q20551">
        <v>0</v>
      </c>
      <c r="R20551">
        <v>0</v>
      </c>
      <c r="S20551">
        <v>0</v>
      </c>
      <c r="T20551" t="s">
        <v>76927</v>
      </c>
    </row>
    <row r="20552" spans="1:20" customFormat="1" ht="15" x14ac:dyDescent="0.25">
      <c r="A20552" t="s">
        <v>24</v>
      </c>
      <c r="B20552" t="s">
        <v>66938</v>
      </c>
      <c r="C20552" t="str">
        <f>"A0049752"</f>
        <v>A0049752</v>
      </c>
      <c r="D20552" t="s">
        <v>76928</v>
      </c>
      <c r="E20552" t="s">
        <v>76929</v>
      </c>
      <c r="F20552" t="s">
        <v>8970</v>
      </c>
      <c r="G20552" t="s">
        <v>81</v>
      </c>
      <c r="H20552">
        <v>32967</v>
      </c>
      <c r="I20552" t="s">
        <v>30</v>
      </c>
      <c r="J20552" t="s">
        <v>178</v>
      </c>
      <c r="K20552" t="s">
        <v>179</v>
      </c>
      <c r="P20552" t="s">
        <v>992</v>
      </c>
      <c r="Q20552">
        <v>1</v>
      </c>
      <c r="R20552">
        <v>0</v>
      </c>
      <c r="S20552">
        <v>0</v>
      </c>
      <c r="T20552" t="s">
        <v>76930</v>
      </c>
    </row>
    <row r="20553" spans="1:20" customFormat="1" ht="15" x14ac:dyDescent="0.25">
      <c r="A20553" t="s">
        <v>24</v>
      </c>
      <c r="B20553" t="s">
        <v>2360</v>
      </c>
      <c r="C20553" t="str">
        <f>"CL0561"</f>
        <v>CL0561</v>
      </c>
      <c r="D20553" t="s">
        <v>76931</v>
      </c>
      <c r="E20553" t="s">
        <v>76932</v>
      </c>
      <c r="F20553" t="s">
        <v>56738</v>
      </c>
      <c r="G20553" t="s">
        <v>117</v>
      </c>
      <c r="H20553">
        <v>48116</v>
      </c>
      <c r="I20553" t="s">
        <v>30</v>
      </c>
      <c r="J20553" t="s">
        <v>178</v>
      </c>
      <c r="K20553" t="s">
        <v>55688</v>
      </c>
      <c r="N20553" t="s">
        <v>76933</v>
      </c>
      <c r="O20553" t="s">
        <v>76934</v>
      </c>
      <c r="P20553" t="s">
        <v>992</v>
      </c>
      <c r="Q20553">
        <v>2</v>
      </c>
      <c r="R20553">
        <v>0</v>
      </c>
      <c r="S20553">
        <v>0</v>
      </c>
      <c r="T20553" t="s">
        <v>76935</v>
      </c>
    </row>
    <row r="20554" spans="1:20" customFormat="1" ht="15" x14ac:dyDescent="0.25">
      <c r="A20554" t="s">
        <v>24</v>
      </c>
      <c r="B20554" t="s">
        <v>2360</v>
      </c>
      <c r="C20554" t="str">
        <f>"A0051814"</f>
        <v>A0051814</v>
      </c>
      <c r="D20554" t="s">
        <v>76936</v>
      </c>
      <c r="E20554" t="s">
        <v>76937</v>
      </c>
      <c r="F20554" t="s">
        <v>76938</v>
      </c>
      <c r="G20554" t="s">
        <v>40</v>
      </c>
      <c r="H20554">
        <v>73003</v>
      </c>
      <c r="I20554" t="s">
        <v>30</v>
      </c>
      <c r="J20554" t="s">
        <v>178</v>
      </c>
      <c r="K20554" t="s">
        <v>55688</v>
      </c>
      <c r="N20554" t="s">
        <v>76939</v>
      </c>
      <c r="O20554" t="s">
        <v>76940</v>
      </c>
      <c r="P20554" t="s">
        <v>992</v>
      </c>
      <c r="Q20554">
        <v>2</v>
      </c>
      <c r="R20554">
        <v>0</v>
      </c>
      <c r="S20554">
        <v>0</v>
      </c>
      <c r="T20554" t="s">
        <v>76941</v>
      </c>
    </row>
    <row r="20555" spans="1:20" customFormat="1" ht="15" x14ac:dyDescent="0.25">
      <c r="A20555" t="s">
        <v>24</v>
      </c>
      <c r="B20555" t="s">
        <v>2360</v>
      </c>
      <c r="C20555" t="str">
        <f>"A0049666"</f>
        <v>A0049666</v>
      </c>
      <c r="D20555" t="s">
        <v>76942</v>
      </c>
      <c r="E20555" t="s">
        <v>76943</v>
      </c>
      <c r="F20555" t="s">
        <v>76944</v>
      </c>
      <c r="G20555" t="s">
        <v>117</v>
      </c>
      <c r="H20555">
        <v>48348</v>
      </c>
      <c r="I20555" t="s">
        <v>30</v>
      </c>
      <c r="J20555" t="s">
        <v>178</v>
      </c>
      <c r="K20555" t="s">
        <v>55688</v>
      </c>
      <c r="N20555" t="s">
        <v>76945</v>
      </c>
      <c r="O20555" t="s">
        <v>76946</v>
      </c>
      <c r="Q20555">
        <v>1</v>
      </c>
      <c r="R20555">
        <v>0</v>
      </c>
      <c r="S20555">
        <v>0</v>
      </c>
      <c r="T20555" t="s">
        <v>76947</v>
      </c>
    </row>
    <row r="20556" spans="1:20" customFormat="1" ht="15" x14ac:dyDescent="0.25">
      <c r="A20556" t="s">
        <v>24</v>
      </c>
      <c r="B20556" t="s">
        <v>56967</v>
      </c>
      <c r="C20556" t="str">
        <f>"651ZA"</f>
        <v>651ZA</v>
      </c>
      <c r="D20556" t="s">
        <v>61574</v>
      </c>
      <c r="E20556" t="s">
        <v>61575</v>
      </c>
      <c r="F20556" t="s">
        <v>5620</v>
      </c>
      <c r="G20556" t="s">
        <v>110</v>
      </c>
      <c r="H20556">
        <v>94806</v>
      </c>
      <c r="I20556" t="s">
        <v>30</v>
      </c>
      <c r="J20556" t="s">
        <v>171</v>
      </c>
      <c r="K20556" t="s">
        <v>973</v>
      </c>
      <c r="N20556" t="s">
        <v>61576</v>
      </c>
      <c r="Q20556">
        <v>0</v>
      </c>
      <c r="R20556">
        <v>149</v>
      </c>
      <c r="S20556">
        <v>0</v>
      </c>
      <c r="T20556" t="s">
        <v>61577</v>
      </c>
    </row>
    <row r="20557" spans="1:20" customFormat="1" ht="15" x14ac:dyDescent="0.25">
      <c r="A20557" t="s">
        <v>24</v>
      </c>
      <c r="B20557" t="s">
        <v>675</v>
      </c>
      <c r="C20557" t="str">
        <f>"A0148794"</f>
        <v>A0148794</v>
      </c>
      <c r="D20557" t="s">
        <v>76952</v>
      </c>
      <c r="E20557" t="s">
        <v>55069</v>
      </c>
      <c r="F20557" t="s">
        <v>990</v>
      </c>
      <c r="G20557" t="s">
        <v>110</v>
      </c>
      <c r="H20557">
        <v>94607</v>
      </c>
      <c r="I20557" t="s">
        <v>30</v>
      </c>
      <c r="J20557" t="s">
        <v>7657</v>
      </c>
      <c r="K20557" t="s">
        <v>57369</v>
      </c>
      <c r="N20557" t="s">
        <v>76953</v>
      </c>
      <c r="Q20557">
        <v>0</v>
      </c>
      <c r="R20557">
        <v>484</v>
      </c>
      <c r="S20557">
        <v>0</v>
      </c>
      <c r="T20557" t="s">
        <v>76951</v>
      </c>
    </row>
    <row r="20558" spans="1:20" customFormat="1" ht="15" x14ac:dyDescent="0.25">
      <c r="A20558" t="s">
        <v>24</v>
      </c>
      <c r="B20558" t="s">
        <v>2360</v>
      </c>
      <c r="C20558" t="str">
        <f>"CL0238"</f>
        <v>CL0238</v>
      </c>
      <c r="D20558" t="s">
        <v>76954</v>
      </c>
      <c r="E20558" t="s">
        <v>76955</v>
      </c>
      <c r="F20558" t="s">
        <v>1190</v>
      </c>
      <c r="G20558" t="s">
        <v>52</v>
      </c>
      <c r="H20558">
        <v>76210</v>
      </c>
      <c r="I20558" t="s">
        <v>30</v>
      </c>
      <c r="J20558" t="s">
        <v>178</v>
      </c>
      <c r="K20558" t="s">
        <v>8013</v>
      </c>
      <c r="N20558" t="s">
        <v>76956</v>
      </c>
      <c r="P20558" t="s">
        <v>992</v>
      </c>
      <c r="Q20558">
        <v>1</v>
      </c>
      <c r="R20558">
        <v>0</v>
      </c>
      <c r="S20558">
        <v>0</v>
      </c>
      <c r="T20558" t="s">
        <v>76957</v>
      </c>
    </row>
    <row r="20559" spans="1:20" customFormat="1" ht="15" x14ac:dyDescent="0.25">
      <c r="A20559" t="s">
        <v>24</v>
      </c>
      <c r="B20559" t="s">
        <v>1487</v>
      </c>
      <c r="C20559" t="str">
        <f>"A0093231"</f>
        <v>A0093231</v>
      </c>
      <c r="D20559" t="s">
        <v>61578</v>
      </c>
      <c r="E20559" t="s">
        <v>61579</v>
      </c>
      <c r="F20559" t="s">
        <v>5620</v>
      </c>
      <c r="G20559" t="s">
        <v>29</v>
      </c>
      <c r="H20559">
        <v>23219</v>
      </c>
      <c r="I20559" t="s">
        <v>30</v>
      </c>
      <c r="J20559" t="s">
        <v>171</v>
      </c>
      <c r="K20559" t="s">
        <v>973</v>
      </c>
      <c r="Q20559">
        <v>0</v>
      </c>
      <c r="R20559">
        <v>136</v>
      </c>
      <c r="S20559">
        <v>0</v>
      </c>
      <c r="T20559" t="s">
        <v>61580</v>
      </c>
    </row>
    <row r="20560" spans="1:20" customFormat="1" ht="15" x14ac:dyDescent="0.25">
      <c r="A20560" t="s">
        <v>24</v>
      </c>
      <c r="B20560" t="s">
        <v>1317</v>
      </c>
      <c r="C20560" t="str">
        <f>"A0148619"</f>
        <v>A0148619</v>
      </c>
      <c r="D20560" t="s">
        <v>61581</v>
      </c>
      <c r="E20560" t="s">
        <v>61582</v>
      </c>
      <c r="F20560" t="s">
        <v>61583</v>
      </c>
      <c r="G20560" t="s">
        <v>137</v>
      </c>
      <c r="H20560">
        <v>63117</v>
      </c>
      <c r="I20560" t="s">
        <v>30</v>
      </c>
      <c r="J20560" t="s">
        <v>171</v>
      </c>
      <c r="K20560" t="s">
        <v>973</v>
      </c>
      <c r="N20560" t="s">
        <v>61584</v>
      </c>
      <c r="Q20560">
        <v>0</v>
      </c>
      <c r="R20560">
        <v>142</v>
      </c>
      <c r="S20560">
        <v>0</v>
      </c>
      <c r="T20560" t="s">
        <v>61585</v>
      </c>
    </row>
    <row r="20561" spans="1:25" customFormat="1" ht="15" x14ac:dyDescent="0.25">
      <c r="A20561" t="s">
        <v>24</v>
      </c>
      <c r="B20561" t="s">
        <v>1583</v>
      </c>
      <c r="C20561" t="str">
        <f>"A0100714"</f>
        <v>A0100714</v>
      </c>
      <c r="D20561" t="s">
        <v>76968</v>
      </c>
      <c r="E20561" t="s">
        <v>76969</v>
      </c>
      <c r="F20561" t="s">
        <v>76970</v>
      </c>
      <c r="G20561" t="s">
        <v>81</v>
      </c>
      <c r="H20561">
        <v>33404</v>
      </c>
      <c r="I20561" t="s">
        <v>30</v>
      </c>
      <c r="J20561" t="s">
        <v>191</v>
      </c>
      <c r="K20561" t="s">
        <v>6809</v>
      </c>
      <c r="N20561" t="s">
        <v>76971</v>
      </c>
      <c r="Q20561">
        <v>0</v>
      </c>
      <c r="R20561">
        <v>0</v>
      </c>
      <c r="S20561">
        <v>0</v>
      </c>
      <c r="T20561" t="s">
        <v>76972</v>
      </c>
    </row>
    <row r="20562" spans="1:25" customFormat="1" ht="15" x14ac:dyDescent="0.25">
      <c r="A20562" t="s">
        <v>24</v>
      </c>
      <c r="B20562" t="s">
        <v>56826</v>
      </c>
      <c r="C20562" t="str">
        <f>"A0067733"</f>
        <v>A0067733</v>
      </c>
      <c r="D20562" t="s">
        <v>76973</v>
      </c>
      <c r="E20562" t="s">
        <v>76974</v>
      </c>
      <c r="F20562" t="s">
        <v>66525</v>
      </c>
      <c r="G20562" t="s">
        <v>899</v>
      </c>
      <c r="H20562">
        <v>2642</v>
      </c>
      <c r="I20562" t="s">
        <v>30</v>
      </c>
      <c r="J20562" t="s">
        <v>31</v>
      </c>
      <c r="K20562" t="s">
        <v>6809</v>
      </c>
      <c r="N20562" t="s">
        <v>66526</v>
      </c>
      <c r="Q20562">
        <v>0</v>
      </c>
      <c r="R20562">
        <v>55</v>
      </c>
      <c r="S20562">
        <v>0</v>
      </c>
      <c r="T20562" t="s">
        <v>76975</v>
      </c>
    </row>
    <row r="20563" spans="1:25" x14ac:dyDescent="0.25">
      <c r="A20563" s="5" t="s">
        <v>24</v>
      </c>
      <c r="B20563" s="5" t="s">
        <v>675</v>
      </c>
      <c r="C20563" s="5" t="str">
        <f>"311QC"</f>
        <v>311QC</v>
      </c>
      <c r="D20563" s="5" t="s">
        <v>61586</v>
      </c>
      <c r="E20563" s="5" t="s">
        <v>61587</v>
      </c>
      <c r="F20563" s="5" t="s">
        <v>5620</v>
      </c>
      <c r="G20563" s="5" t="s">
        <v>29</v>
      </c>
      <c r="H20563" s="5">
        <v>23233</v>
      </c>
      <c r="I20563" s="5" t="s">
        <v>30</v>
      </c>
      <c r="J20563" s="5" t="s">
        <v>171</v>
      </c>
      <c r="K20563" s="5" t="s">
        <v>973</v>
      </c>
      <c r="L20563" s="5"/>
      <c r="M20563" s="5"/>
      <c r="N20563" s="5" t="s">
        <v>61588</v>
      </c>
      <c r="O20563" s="5" t="s">
        <v>61589</v>
      </c>
      <c r="P20563" s="5"/>
      <c r="Q20563" s="5">
        <v>0</v>
      </c>
      <c r="R20563" s="5">
        <v>154</v>
      </c>
      <c r="S20563" s="5">
        <v>0</v>
      </c>
      <c r="T20563" s="5" t="s">
        <v>61590</v>
      </c>
      <c r="U20563" s="5"/>
      <c r="V20563" s="5"/>
      <c r="W20563" s="5"/>
      <c r="X20563" s="5"/>
      <c r="Y20563" s="5"/>
    </row>
    <row r="20564" spans="1:25" customFormat="1" ht="15" x14ac:dyDescent="0.25">
      <c r="A20564" t="s">
        <v>24</v>
      </c>
      <c r="B20564" t="s">
        <v>675</v>
      </c>
      <c r="C20564" t="str">
        <f>"311D9"</f>
        <v>311D9</v>
      </c>
      <c r="D20564" t="s">
        <v>61591</v>
      </c>
      <c r="E20564" t="s">
        <v>61592</v>
      </c>
      <c r="F20564" t="s">
        <v>5620</v>
      </c>
      <c r="G20564" t="s">
        <v>29</v>
      </c>
      <c r="H20564">
        <v>23230</v>
      </c>
      <c r="I20564" t="s">
        <v>30</v>
      </c>
      <c r="J20564" t="s">
        <v>171</v>
      </c>
      <c r="K20564" t="s">
        <v>973</v>
      </c>
      <c r="Q20564">
        <v>0</v>
      </c>
      <c r="R20564">
        <v>145</v>
      </c>
      <c r="S20564">
        <v>0</v>
      </c>
      <c r="T20564" t="s">
        <v>61593</v>
      </c>
    </row>
    <row r="20565" spans="1:25" x14ac:dyDescent="0.25">
      <c r="A20565" s="5" t="s">
        <v>24</v>
      </c>
      <c r="B20565" s="5" t="s">
        <v>5079</v>
      </c>
      <c r="C20565" s="5" t="str">
        <f>"651XL"</f>
        <v>651XL</v>
      </c>
      <c r="D20565" s="5" t="s">
        <v>61594</v>
      </c>
      <c r="E20565" s="5" t="s">
        <v>61595</v>
      </c>
      <c r="F20565" s="5" t="s">
        <v>1476</v>
      </c>
      <c r="G20565" s="5" t="s">
        <v>99</v>
      </c>
      <c r="H20565" s="5">
        <v>14623</v>
      </c>
      <c r="I20565" s="5" t="s">
        <v>30</v>
      </c>
      <c r="J20565" s="5" t="s">
        <v>171</v>
      </c>
      <c r="K20565" s="5" t="s">
        <v>973</v>
      </c>
      <c r="L20565" s="5"/>
      <c r="M20565" s="5"/>
      <c r="N20565" s="5" t="s">
        <v>61596</v>
      </c>
      <c r="O20565" s="5" t="s">
        <v>3486</v>
      </c>
      <c r="P20565" s="5"/>
      <c r="Q20565" s="5">
        <v>0</v>
      </c>
      <c r="R20565" s="5">
        <v>149</v>
      </c>
      <c r="S20565" s="5">
        <v>0</v>
      </c>
      <c r="T20565" s="5" t="s">
        <v>61597</v>
      </c>
      <c r="U20565" s="5"/>
      <c r="V20565" s="5"/>
      <c r="W20565" s="5"/>
      <c r="X20565" s="5"/>
      <c r="Y20565" s="5"/>
    </row>
    <row r="20566" spans="1:25" customFormat="1" ht="15" x14ac:dyDescent="0.25">
      <c r="A20566" t="s">
        <v>24</v>
      </c>
      <c r="B20566" t="s">
        <v>76992</v>
      </c>
      <c r="C20566" t="str">
        <f>"A0095561"</f>
        <v>A0095561</v>
      </c>
      <c r="D20566" t="s">
        <v>76993</v>
      </c>
      <c r="E20566" t="s">
        <v>76994</v>
      </c>
      <c r="F20566" t="s">
        <v>1865</v>
      </c>
      <c r="G20566" t="s">
        <v>110</v>
      </c>
      <c r="H20566">
        <v>90401</v>
      </c>
      <c r="I20566" t="s">
        <v>30</v>
      </c>
      <c r="J20566" t="s">
        <v>31</v>
      </c>
      <c r="K20566" t="s">
        <v>163</v>
      </c>
      <c r="N20566" t="s">
        <v>76995</v>
      </c>
      <c r="Q20566">
        <v>0</v>
      </c>
      <c r="R20566">
        <v>66</v>
      </c>
      <c r="S20566">
        <v>0</v>
      </c>
      <c r="T20566" t="s">
        <v>76996</v>
      </c>
    </row>
    <row r="20567" spans="1:25" customFormat="1" ht="15" x14ac:dyDescent="0.25">
      <c r="A20567" t="s">
        <v>24</v>
      </c>
      <c r="B20567" t="s">
        <v>1583</v>
      </c>
      <c r="C20567" t="str">
        <f>"A0100711"</f>
        <v>A0100711</v>
      </c>
      <c r="D20567" t="s">
        <v>76997</v>
      </c>
      <c r="E20567" t="s">
        <v>76998</v>
      </c>
      <c r="F20567" t="s">
        <v>1159</v>
      </c>
      <c r="G20567" t="s">
        <v>58</v>
      </c>
      <c r="H20567">
        <v>29572</v>
      </c>
      <c r="I20567" t="s">
        <v>30</v>
      </c>
      <c r="J20567" t="s">
        <v>191</v>
      </c>
      <c r="K20567" t="s">
        <v>6809</v>
      </c>
      <c r="N20567" t="s">
        <v>76999</v>
      </c>
      <c r="O20567" t="s">
        <v>77000</v>
      </c>
      <c r="Q20567">
        <v>0</v>
      </c>
      <c r="R20567">
        <v>0</v>
      </c>
      <c r="S20567">
        <v>0</v>
      </c>
      <c r="T20567" t="s">
        <v>77001</v>
      </c>
    </row>
    <row r="20568" spans="1:25" customFormat="1" ht="15" x14ac:dyDescent="0.25">
      <c r="A20568" t="s">
        <v>24</v>
      </c>
      <c r="B20568" t="s">
        <v>1583</v>
      </c>
      <c r="C20568" t="str">
        <f>"A0088591"</f>
        <v>A0088591</v>
      </c>
      <c r="D20568" t="s">
        <v>77002</v>
      </c>
      <c r="E20568" t="s">
        <v>77003</v>
      </c>
      <c r="F20568" t="s">
        <v>77004</v>
      </c>
      <c r="G20568" t="s">
        <v>81</v>
      </c>
      <c r="H20568">
        <v>33404</v>
      </c>
      <c r="I20568" t="s">
        <v>30</v>
      </c>
      <c r="J20568" t="s">
        <v>2544</v>
      </c>
      <c r="K20568" t="s">
        <v>36059</v>
      </c>
      <c r="N20568" t="s">
        <v>77005</v>
      </c>
      <c r="O20568" t="s">
        <v>77006</v>
      </c>
      <c r="Q20568">
        <v>0</v>
      </c>
      <c r="R20568">
        <v>169</v>
      </c>
      <c r="S20568">
        <v>0</v>
      </c>
      <c r="T20568" t="s">
        <v>77007</v>
      </c>
    </row>
    <row r="20569" spans="1:25" customFormat="1" ht="15" x14ac:dyDescent="0.25">
      <c r="A20569" t="s">
        <v>24</v>
      </c>
      <c r="B20569" t="s">
        <v>1583</v>
      </c>
      <c r="C20569" t="str">
        <f>"A0068270"</f>
        <v>A0068270</v>
      </c>
      <c r="D20569" t="s">
        <v>77008</v>
      </c>
      <c r="E20569" t="s">
        <v>76998</v>
      </c>
      <c r="F20569" t="s">
        <v>1159</v>
      </c>
      <c r="G20569" t="s">
        <v>58</v>
      </c>
      <c r="H20569">
        <v>29572</v>
      </c>
      <c r="I20569" t="s">
        <v>30</v>
      </c>
      <c r="J20569" t="s">
        <v>2544</v>
      </c>
      <c r="K20569" t="s">
        <v>36059</v>
      </c>
      <c r="N20569" t="s">
        <v>68660</v>
      </c>
      <c r="O20569" t="s">
        <v>77009</v>
      </c>
      <c r="Q20569">
        <v>0</v>
      </c>
      <c r="R20569">
        <v>286</v>
      </c>
      <c r="S20569">
        <v>0</v>
      </c>
      <c r="T20569" t="s">
        <v>77010</v>
      </c>
    </row>
    <row r="20570" spans="1:25" customFormat="1" ht="15" x14ac:dyDescent="0.25">
      <c r="A20570" t="s">
        <v>24</v>
      </c>
      <c r="B20570" t="s">
        <v>5079</v>
      </c>
      <c r="C20570" t="str">
        <f>"651X5"</f>
        <v>651X5</v>
      </c>
      <c r="D20570" t="s">
        <v>61598</v>
      </c>
      <c r="E20570" t="s">
        <v>61599</v>
      </c>
      <c r="F20570" t="s">
        <v>1476</v>
      </c>
      <c r="G20570" t="s">
        <v>99</v>
      </c>
      <c r="H20570">
        <v>14625</v>
      </c>
      <c r="I20570" t="s">
        <v>30</v>
      </c>
      <c r="J20570" t="s">
        <v>171</v>
      </c>
      <c r="K20570" t="s">
        <v>973</v>
      </c>
      <c r="N20570" t="s">
        <v>61600</v>
      </c>
      <c r="O20570" t="s">
        <v>3486</v>
      </c>
      <c r="Q20570">
        <v>0</v>
      </c>
      <c r="R20570">
        <v>95</v>
      </c>
      <c r="S20570">
        <v>0</v>
      </c>
      <c r="T20570" t="s">
        <v>61601</v>
      </c>
    </row>
    <row r="20571" spans="1:25" customFormat="1" ht="15" x14ac:dyDescent="0.25">
      <c r="A20571" t="s">
        <v>24</v>
      </c>
      <c r="B20571" t="s">
        <v>2360</v>
      </c>
      <c r="C20571" t="str">
        <f>"A0050953"</f>
        <v>A0050953</v>
      </c>
      <c r="D20571" t="s">
        <v>77014</v>
      </c>
      <c r="E20571" t="s">
        <v>77015</v>
      </c>
      <c r="F20571" t="s">
        <v>77016</v>
      </c>
      <c r="G20571" t="s">
        <v>110</v>
      </c>
      <c r="H20571">
        <v>90740</v>
      </c>
      <c r="I20571" t="s">
        <v>30</v>
      </c>
      <c r="J20571" t="s">
        <v>178</v>
      </c>
      <c r="K20571" t="s">
        <v>56092</v>
      </c>
      <c r="N20571" t="s">
        <v>77017</v>
      </c>
      <c r="P20571" t="s">
        <v>992</v>
      </c>
      <c r="Q20571">
        <v>1</v>
      </c>
      <c r="R20571">
        <v>0</v>
      </c>
      <c r="S20571">
        <v>0</v>
      </c>
      <c r="T20571" t="s">
        <v>77018</v>
      </c>
    </row>
    <row r="20572" spans="1:25" customFormat="1" ht="15" x14ac:dyDescent="0.25">
      <c r="A20572" t="s">
        <v>24</v>
      </c>
      <c r="B20572" t="s">
        <v>2360</v>
      </c>
      <c r="C20572" t="str">
        <f>"A0085528"</f>
        <v>A0085528</v>
      </c>
      <c r="D20572" t="s">
        <v>77019</v>
      </c>
      <c r="E20572" t="s">
        <v>77020</v>
      </c>
      <c r="F20572" t="s">
        <v>59629</v>
      </c>
      <c r="G20572" t="s">
        <v>846</v>
      </c>
      <c r="H20572">
        <v>30024</v>
      </c>
      <c r="I20572" t="s">
        <v>30</v>
      </c>
      <c r="J20572" t="s">
        <v>178</v>
      </c>
      <c r="K20572" t="s">
        <v>8013</v>
      </c>
      <c r="N20572" t="s">
        <v>77021</v>
      </c>
      <c r="Q20572">
        <v>1</v>
      </c>
      <c r="R20572">
        <v>0</v>
      </c>
      <c r="S20572">
        <v>0</v>
      </c>
      <c r="T20572" t="s">
        <v>77022</v>
      </c>
    </row>
    <row r="20573" spans="1:25" customFormat="1" ht="15" hidden="1" x14ac:dyDescent="0.25">
      <c r="A20573" t="s">
        <v>24</v>
      </c>
      <c r="B20573" t="s">
        <v>56404</v>
      </c>
      <c r="C20573" t="str">
        <f>"A0094113"</f>
        <v>A0094113</v>
      </c>
      <c r="D20573" t="s">
        <v>77023</v>
      </c>
      <c r="E20573" t="s">
        <v>56406</v>
      </c>
      <c r="F20573" t="s">
        <v>5142</v>
      </c>
      <c r="G20573" t="s">
        <v>5143</v>
      </c>
      <c r="I20573" t="s">
        <v>5145</v>
      </c>
      <c r="J20573" t="s">
        <v>1004</v>
      </c>
      <c r="K20573" t="s">
        <v>163</v>
      </c>
      <c r="Q20573">
        <v>0</v>
      </c>
      <c r="R20573">
        <v>0</v>
      </c>
      <c r="S20573">
        <v>0</v>
      </c>
      <c r="T20573" t="s">
        <v>56408</v>
      </c>
    </row>
    <row r="20574" spans="1:25" customFormat="1" ht="15" x14ac:dyDescent="0.25">
      <c r="A20574" t="s">
        <v>24</v>
      </c>
      <c r="B20574" t="s">
        <v>1205</v>
      </c>
      <c r="C20574" t="str">
        <f>"A0088944"</f>
        <v>A0088944</v>
      </c>
      <c r="D20574" t="s">
        <v>77024</v>
      </c>
      <c r="E20574" t="s">
        <v>77025</v>
      </c>
      <c r="F20574" t="s">
        <v>1833</v>
      </c>
      <c r="G20574" t="s">
        <v>65</v>
      </c>
      <c r="H20574">
        <v>43054</v>
      </c>
      <c r="I20574" t="s">
        <v>30</v>
      </c>
      <c r="J20574" t="s">
        <v>191</v>
      </c>
      <c r="K20574" t="s">
        <v>11889</v>
      </c>
      <c r="N20574" t="s">
        <v>77026</v>
      </c>
      <c r="O20574" t="s">
        <v>77027</v>
      </c>
      <c r="Q20574">
        <v>0</v>
      </c>
      <c r="R20574">
        <v>0</v>
      </c>
      <c r="S20574">
        <v>0</v>
      </c>
      <c r="T20574" t="s">
        <v>77028</v>
      </c>
    </row>
    <row r="20575" spans="1:25" customFormat="1" ht="15" x14ac:dyDescent="0.25">
      <c r="A20575" t="s">
        <v>24</v>
      </c>
      <c r="B20575" t="s">
        <v>675</v>
      </c>
      <c r="C20575" t="str">
        <f>"311D1"</f>
        <v>311D1</v>
      </c>
      <c r="D20575" t="s">
        <v>61602</v>
      </c>
      <c r="E20575" t="s">
        <v>61603</v>
      </c>
      <c r="F20575" t="s">
        <v>4397</v>
      </c>
      <c r="G20575" t="s">
        <v>123</v>
      </c>
      <c r="H20575">
        <v>20850</v>
      </c>
      <c r="I20575" t="s">
        <v>30</v>
      </c>
      <c r="J20575" t="s">
        <v>171</v>
      </c>
      <c r="K20575" t="s">
        <v>973</v>
      </c>
      <c r="Q20575">
        <v>0</v>
      </c>
      <c r="R20575">
        <v>147</v>
      </c>
      <c r="S20575">
        <v>0</v>
      </c>
      <c r="T20575" t="s">
        <v>61604</v>
      </c>
    </row>
    <row r="20576" spans="1:25" customFormat="1" ht="15" x14ac:dyDescent="0.25">
      <c r="A20576" t="s">
        <v>24</v>
      </c>
      <c r="B20576" t="s">
        <v>4400</v>
      </c>
      <c r="C20576" t="str">
        <f>"6514K"</f>
        <v>6514K</v>
      </c>
      <c r="D20576" t="s">
        <v>61605</v>
      </c>
      <c r="E20576" t="s">
        <v>61606</v>
      </c>
      <c r="F20576" t="s">
        <v>61607</v>
      </c>
      <c r="G20576" t="s">
        <v>214</v>
      </c>
      <c r="H20576">
        <v>27804</v>
      </c>
      <c r="I20576" t="s">
        <v>30</v>
      </c>
      <c r="J20576" t="s">
        <v>171</v>
      </c>
      <c r="K20576" t="s">
        <v>973</v>
      </c>
      <c r="N20576" t="s">
        <v>61608</v>
      </c>
      <c r="Q20576">
        <v>0</v>
      </c>
      <c r="R20576">
        <v>90</v>
      </c>
      <c r="S20576">
        <v>0</v>
      </c>
      <c r="T20576" t="s">
        <v>61609</v>
      </c>
    </row>
    <row r="20577" spans="1:25" customFormat="1" ht="15" hidden="1" x14ac:dyDescent="0.25">
      <c r="A20577" t="s">
        <v>24</v>
      </c>
      <c r="B20577" t="s">
        <v>77037</v>
      </c>
      <c r="C20577" t="str">
        <f>"A0090112"</f>
        <v>A0090112</v>
      </c>
      <c r="D20577" t="s">
        <v>77038</v>
      </c>
      <c r="E20577" t="s">
        <v>77039</v>
      </c>
      <c r="F20577" t="s">
        <v>13197</v>
      </c>
      <c r="G20577" t="s">
        <v>2206</v>
      </c>
      <c r="H20577" t="s">
        <v>77040</v>
      </c>
      <c r="I20577" t="s">
        <v>1459</v>
      </c>
      <c r="J20577" t="s">
        <v>162</v>
      </c>
      <c r="K20577" t="s">
        <v>163</v>
      </c>
      <c r="N20577" t="s">
        <v>77041</v>
      </c>
      <c r="Q20577">
        <v>0</v>
      </c>
      <c r="R20577">
        <v>355</v>
      </c>
      <c r="S20577">
        <v>0</v>
      </c>
      <c r="T20577" t="s">
        <v>77042</v>
      </c>
    </row>
    <row r="20578" spans="1:25" x14ac:dyDescent="0.25">
      <c r="A20578" s="5" t="s">
        <v>24</v>
      </c>
      <c r="B20578" s="5" t="s">
        <v>33920</v>
      </c>
      <c r="C20578" s="5" t="str">
        <f>"A0094568"</f>
        <v>A0094568</v>
      </c>
      <c r="D20578" s="5" t="s">
        <v>61610</v>
      </c>
      <c r="E20578" s="5" t="s">
        <v>61611</v>
      </c>
      <c r="F20578" s="5" t="s">
        <v>8587</v>
      </c>
      <c r="G20578" s="5" t="s">
        <v>846</v>
      </c>
      <c r="H20578" s="5">
        <v>30161</v>
      </c>
      <c r="I20578" s="5" t="s">
        <v>30</v>
      </c>
      <c r="J20578" s="5" t="s">
        <v>171</v>
      </c>
      <c r="K20578" s="5" t="s">
        <v>973</v>
      </c>
      <c r="L20578" s="5"/>
      <c r="M20578" s="5"/>
      <c r="N20578" s="5" t="s">
        <v>61612</v>
      </c>
      <c r="O20578" s="5"/>
      <c r="P20578" s="5"/>
      <c r="Q20578" s="5">
        <v>0</v>
      </c>
      <c r="R20578" s="5">
        <v>104</v>
      </c>
      <c r="S20578" s="5">
        <v>0</v>
      </c>
      <c r="T20578" s="5" t="s">
        <v>61613</v>
      </c>
      <c r="U20578" s="5"/>
      <c r="V20578" s="5"/>
      <c r="W20578" s="5"/>
      <c r="X20578" s="5"/>
      <c r="Y20578" s="5"/>
    </row>
    <row r="20579" spans="1:25" customFormat="1" ht="15" x14ac:dyDescent="0.25">
      <c r="A20579" t="s">
        <v>24</v>
      </c>
      <c r="B20579" t="s">
        <v>72472</v>
      </c>
      <c r="C20579" t="str">
        <f>"A0057524"</f>
        <v>A0057524</v>
      </c>
      <c r="D20579" t="s">
        <v>77047</v>
      </c>
      <c r="E20579" t="s">
        <v>77048</v>
      </c>
      <c r="F20579" t="s">
        <v>313</v>
      </c>
      <c r="G20579" t="s">
        <v>314</v>
      </c>
      <c r="H20579">
        <v>20037</v>
      </c>
      <c r="I20579" t="s">
        <v>30</v>
      </c>
      <c r="J20579" t="s">
        <v>31</v>
      </c>
      <c r="K20579" t="s">
        <v>163</v>
      </c>
      <c r="N20579" t="s">
        <v>77049</v>
      </c>
      <c r="Q20579">
        <v>0</v>
      </c>
      <c r="R20579">
        <v>151</v>
      </c>
      <c r="S20579">
        <v>0</v>
      </c>
      <c r="T20579" t="s">
        <v>77050</v>
      </c>
    </row>
    <row r="20580" spans="1:25" customFormat="1" ht="15" x14ac:dyDescent="0.25">
      <c r="A20580" t="s">
        <v>24</v>
      </c>
      <c r="B20580" t="s">
        <v>6667</v>
      </c>
      <c r="C20580" t="str">
        <f>"A0051082"</f>
        <v>A0051082</v>
      </c>
      <c r="D20580" t="s">
        <v>77051</v>
      </c>
      <c r="E20580" t="s">
        <v>77052</v>
      </c>
      <c r="F20580" t="s">
        <v>372</v>
      </c>
      <c r="G20580" t="s">
        <v>52</v>
      </c>
      <c r="H20580">
        <v>78747</v>
      </c>
      <c r="I20580" t="s">
        <v>30</v>
      </c>
      <c r="J20580" t="s">
        <v>178</v>
      </c>
      <c r="K20580" t="s">
        <v>179</v>
      </c>
      <c r="N20580" t="s">
        <v>77053</v>
      </c>
      <c r="Q20580">
        <v>0</v>
      </c>
      <c r="R20580">
        <v>0</v>
      </c>
      <c r="S20580">
        <v>0</v>
      </c>
      <c r="T20580" t="s">
        <v>77054</v>
      </c>
    </row>
    <row r="20581" spans="1:25" customFormat="1" ht="15" x14ac:dyDescent="0.25">
      <c r="A20581" t="s">
        <v>24</v>
      </c>
      <c r="B20581" t="s">
        <v>13679</v>
      </c>
      <c r="C20581" t="str">
        <f>"A0097869"</f>
        <v>A0097869</v>
      </c>
      <c r="D20581" t="s">
        <v>61614</v>
      </c>
      <c r="E20581" t="s">
        <v>61615</v>
      </c>
      <c r="F20581" t="s">
        <v>61616</v>
      </c>
      <c r="G20581" t="s">
        <v>1170</v>
      </c>
      <c r="H20581">
        <v>71270</v>
      </c>
      <c r="I20581" t="s">
        <v>30</v>
      </c>
      <c r="J20581" t="s">
        <v>171</v>
      </c>
      <c r="K20581" t="s">
        <v>973</v>
      </c>
      <c r="N20581" t="s">
        <v>61617</v>
      </c>
      <c r="O20581" t="s">
        <v>61618</v>
      </c>
      <c r="Q20581">
        <v>0</v>
      </c>
      <c r="R20581">
        <v>110</v>
      </c>
      <c r="S20581">
        <v>0</v>
      </c>
      <c r="T20581" t="s">
        <v>61619</v>
      </c>
    </row>
    <row r="20582" spans="1:25" customFormat="1" ht="15" x14ac:dyDescent="0.25">
      <c r="A20582" t="s">
        <v>24</v>
      </c>
      <c r="B20582" t="s">
        <v>675</v>
      </c>
      <c r="C20582" t="str">
        <f>"311E4"</f>
        <v>311E4</v>
      </c>
      <c r="D20582" t="s">
        <v>61620</v>
      </c>
      <c r="E20582" t="s">
        <v>61621</v>
      </c>
      <c r="F20582" t="s">
        <v>13009</v>
      </c>
      <c r="G20582" t="s">
        <v>99</v>
      </c>
      <c r="H20582">
        <v>10580</v>
      </c>
      <c r="I20582" t="s">
        <v>30</v>
      </c>
      <c r="J20582" t="s">
        <v>171</v>
      </c>
      <c r="K20582" t="s">
        <v>973</v>
      </c>
      <c r="N20582" t="s">
        <v>61622</v>
      </c>
      <c r="O20582" t="s">
        <v>61623</v>
      </c>
      <c r="Q20582">
        <v>0</v>
      </c>
      <c r="R20582">
        <v>145</v>
      </c>
      <c r="S20582">
        <v>0</v>
      </c>
      <c r="T20582" t="s">
        <v>61624</v>
      </c>
    </row>
    <row r="20583" spans="1:25" customFormat="1" ht="15" x14ac:dyDescent="0.25">
      <c r="A20583" t="s">
        <v>24</v>
      </c>
      <c r="B20583" t="s">
        <v>55506</v>
      </c>
      <c r="C20583" t="str">
        <f>"A0085230"</f>
        <v>A0085230</v>
      </c>
      <c r="D20583" t="s">
        <v>61625</v>
      </c>
      <c r="E20583" t="s">
        <v>61626</v>
      </c>
      <c r="F20583" t="s">
        <v>3517</v>
      </c>
      <c r="G20583" t="s">
        <v>110</v>
      </c>
      <c r="H20583">
        <v>95815</v>
      </c>
      <c r="I20583" t="s">
        <v>30</v>
      </c>
      <c r="J20583" t="s">
        <v>171</v>
      </c>
      <c r="K20583" t="s">
        <v>973</v>
      </c>
      <c r="N20583" t="s">
        <v>61627</v>
      </c>
      <c r="Q20583">
        <v>0</v>
      </c>
      <c r="R20583">
        <v>152</v>
      </c>
      <c r="S20583">
        <v>0</v>
      </c>
      <c r="T20583" t="s">
        <v>61628</v>
      </c>
    </row>
    <row r="20584" spans="1:25" customFormat="1" ht="15" x14ac:dyDescent="0.25">
      <c r="A20584" t="s">
        <v>24</v>
      </c>
      <c r="B20584" t="s">
        <v>10398</v>
      </c>
      <c r="C20584" t="str">
        <f>"651YL"</f>
        <v>651YL</v>
      </c>
      <c r="D20584" t="s">
        <v>61629</v>
      </c>
      <c r="E20584" t="s">
        <v>61630</v>
      </c>
      <c r="F20584" t="s">
        <v>3517</v>
      </c>
      <c r="G20584" t="s">
        <v>110</v>
      </c>
      <c r="H20584">
        <v>95817</v>
      </c>
      <c r="I20584" t="s">
        <v>30</v>
      </c>
      <c r="J20584" t="s">
        <v>171</v>
      </c>
      <c r="K20584" t="s">
        <v>973</v>
      </c>
      <c r="N20584" t="s">
        <v>61631</v>
      </c>
      <c r="Q20584">
        <v>0</v>
      </c>
      <c r="R20584">
        <v>139</v>
      </c>
      <c r="S20584">
        <v>0</v>
      </c>
      <c r="T20584" t="s">
        <v>61632</v>
      </c>
    </row>
    <row r="20585" spans="1:25" customFormat="1" ht="15" x14ac:dyDescent="0.25">
      <c r="A20585" t="s">
        <v>24</v>
      </c>
      <c r="B20585" t="s">
        <v>675</v>
      </c>
      <c r="C20585" t="str">
        <f>"311JA"</f>
        <v>311JA</v>
      </c>
      <c r="D20585" t="s">
        <v>61633</v>
      </c>
      <c r="E20585" t="s">
        <v>61634</v>
      </c>
      <c r="F20585" t="s">
        <v>3517</v>
      </c>
      <c r="G20585" t="s">
        <v>110</v>
      </c>
      <c r="H20585">
        <v>95833</v>
      </c>
      <c r="I20585" t="s">
        <v>30</v>
      </c>
      <c r="J20585" t="s">
        <v>171</v>
      </c>
      <c r="K20585" t="s">
        <v>973</v>
      </c>
      <c r="N20585" t="s">
        <v>61635</v>
      </c>
      <c r="Q20585">
        <v>0</v>
      </c>
      <c r="R20585">
        <v>151</v>
      </c>
      <c r="S20585">
        <v>0</v>
      </c>
      <c r="T20585" t="s">
        <v>61636</v>
      </c>
    </row>
    <row r="20586" spans="1:25" customFormat="1" ht="15" x14ac:dyDescent="0.25">
      <c r="A20586" t="s">
        <v>24</v>
      </c>
      <c r="B20586" t="s">
        <v>675</v>
      </c>
      <c r="C20586" t="str">
        <f>"311J3"</f>
        <v>311J3</v>
      </c>
      <c r="D20586" t="s">
        <v>61637</v>
      </c>
      <c r="E20586" t="s">
        <v>61638</v>
      </c>
      <c r="F20586" t="s">
        <v>61639</v>
      </c>
      <c r="G20586" t="s">
        <v>110</v>
      </c>
      <c r="H20586">
        <v>95670</v>
      </c>
      <c r="I20586" t="s">
        <v>30</v>
      </c>
      <c r="J20586" t="s">
        <v>171</v>
      </c>
      <c r="K20586" t="s">
        <v>973</v>
      </c>
      <c r="N20586" t="s">
        <v>61640</v>
      </c>
      <c r="O20586" t="s">
        <v>61641</v>
      </c>
      <c r="Q20586">
        <v>0</v>
      </c>
      <c r="R20586">
        <v>144</v>
      </c>
      <c r="S20586">
        <v>0</v>
      </c>
      <c r="T20586" t="s">
        <v>61642</v>
      </c>
    </row>
    <row r="20587" spans="1:25" customFormat="1" ht="15" x14ac:dyDescent="0.25">
      <c r="A20587" t="s">
        <v>24</v>
      </c>
      <c r="B20587" t="s">
        <v>1583</v>
      </c>
      <c r="C20587" t="str">
        <f>"A0100726"</f>
        <v>A0100726</v>
      </c>
      <c r="D20587" t="s">
        <v>77086</v>
      </c>
      <c r="E20587" t="s">
        <v>77087</v>
      </c>
      <c r="F20587" t="s">
        <v>985</v>
      </c>
      <c r="G20587" t="s">
        <v>81</v>
      </c>
      <c r="H20587">
        <v>32819</v>
      </c>
      <c r="I20587" t="s">
        <v>30</v>
      </c>
      <c r="J20587" t="s">
        <v>191</v>
      </c>
      <c r="K20587" t="s">
        <v>6809</v>
      </c>
      <c r="N20587" t="s">
        <v>77088</v>
      </c>
      <c r="Q20587">
        <v>0</v>
      </c>
      <c r="R20587">
        <v>0</v>
      </c>
      <c r="S20587">
        <v>0</v>
      </c>
      <c r="T20587" t="s">
        <v>77089</v>
      </c>
    </row>
    <row r="20588" spans="1:25" customFormat="1" ht="15" x14ac:dyDescent="0.25">
      <c r="A20588" t="s">
        <v>24</v>
      </c>
      <c r="B20588" t="s">
        <v>2360</v>
      </c>
      <c r="C20588" t="str">
        <f>"A0053109"</f>
        <v>A0053109</v>
      </c>
      <c r="D20588" t="s">
        <v>77090</v>
      </c>
      <c r="E20588" t="s">
        <v>77091</v>
      </c>
      <c r="F20588" t="s">
        <v>7355</v>
      </c>
      <c r="G20588" t="s">
        <v>197</v>
      </c>
      <c r="H20588">
        <v>85737</v>
      </c>
      <c r="I20588" t="s">
        <v>30</v>
      </c>
      <c r="J20588" t="s">
        <v>178</v>
      </c>
      <c r="K20588" t="s">
        <v>55688</v>
      </c>
      <c r="Q20588">
        <v>1</v>
      </c>
      <c r="R20588">
        <v>0</v>
      </c>
      <c r="S20588">
        <v>0</v>
      </c>
      <c r="T20588" t="s">
        <v>77092</v>
      </c>
    </row>
    <row r="20589" spans="1:25" customFormat="1" ht="15" x14ac:dyDescent="0.25">
      <c r="A20589" t="s">
        <v>24</v>
      </c>
      <c r="B20589" t="s">
        <v>56488</v>
      </c>
      <c r="C20589" t="str">
        <f>"A0049324"</f>
        <v>A0049324</v>
      </c>
      <c r="D20589" t="s">
        <v>77093</v>
      </c>
      <c r="E20589" t="s">
        <v>77094</v>
      </c>
      <c r="F20589" t="s">
        <v>72216</v>
      </c>
      <c r="G20589" t="s">
        <v>615</v>
      </c>
      <c r="H20589">
        <v>6614</v>
      </c>
      <c r="I20589" t="s">
        <v>30</v>
      </c>
      <c r="J20589" t="s">
        <v>178</v>
      </c>
      <c r="K20589" t="s">
        <v>179</v>
      </c>
      <c r="N20589" t="s">
        <v>9032</v>
      </c>
      <c r="O20589" t="s">
        <v>77095</v>
      </c>
      <c r="Q20589">
        <v>1</v>
      </c>
      <c r="R20589">
        <v>0</v>
      </c>
      <c r="S20589">
        <v>0</v>
      </c>
      <c r="T20589" t="s">
        <v>77096</v>
      </c>
    </row>
    <row r="20590" spans="1:25" customFormat="1" ht="15" x14ac:dyDescent="0.25">
      <c r="A20590" t="s">
        <v>24</v>
      </c>
      <c r="B20590" t="s">
        <v>77097</v>
      </c>
      <c r="C20590" t="str">
        <f>"A0156961"</f>
        <v>A0156961</v>
      </c>
      <c r="D20590" t="s">
        <v>77098</v>
      </c>
      <c r="E20590" t="s">
        <v>77099</v>
      </c>
      <c r="F20590" t="s">
        <v>997</v>
      </c>
      <c r="G20590" t="s">
        <v>99</v>
      </c>
      <c r="H20590">
        <v>10010</v>
      </c>
      <c r="I20590" t="s">
        <v>30</v>
      </c>
      <c r="J20590" t="s">
        <v>191</v>
      </c>
      <c r="K20590" t="s">
        <v>11889</v>
      </c>
      <c r="Q20590">
        <v>0</v>
      </c>
      <c r="R20590">
        <v>0</v>
      </c>
      <c r="S20590">
        <v>0</v>
      </c>
      <c r="T20590" t="s">
        <v>77100</v>
      </c>
    </row>
    <row r="20591" spans="1:25" customFormat="1" ht="15" hidden="1" x14ac:dyDescent="0.25">
      <c r="A20591" t="s">
        <v>24</v>
      </c>
      <c r="B20591" t="s">
        <v>2202</v>
      </c>
      <c r="C20591" t="str">
        <f>"34172"</f>
        <v>34172</v>
      </c>
      <c r="D20591" t="s">
        <v>77101</v>
      </c>
      <c r="E20591" t="s">
        <v>77102</v>
      </c>
      <c r="F20591" t="s">
        <v>56045</v>
      </c>
      <c r="G20591" t="s">
        <v>2206</v>
      </c>
      <c r="H20591" t="s">
        <v>77103</v>
      </c>
      <c r="I20591" t="s">
        <v>1459</v>
      </c>
      <c r="J20591" t="s">
        <v>162</v>
      </c>
      <c r="K20591" t="s">
        <v>1490</v>
      </c>
      <c r="N20591" t="s">
        <v>77104</v>
      </c>
      <c r="Q20591">
        <v>0</v>
      </c>
      <c r="R20591">
        <v>496</v>
      </c>
      <c r="S20591">
        <v>0</v>
      </c>
      <c r="T20591" t="s">
        <v>77105</v>
      </c>
    </row>
    <row r="20592" spans="1:25" customFormat="1" ht="15" x14ac:dyDescent="0.25">
      <c r="A20592" t="s">
        <v>24</v>
      </c>
      <c r="B20592" t="s">
        <v>55661</v>
      </c>
      <c r="C20592" t="str">
        <f>"A0098786"</f>
        <v>A0098786</v>
      </c>
      <c r="D20592" t="s">
        <v>77106</v>
      </c>
      <c r="E20592" t="s">
        <v>77107</v>
      </c>
      <c r="F20592" t="s">
        <v>13767</v>
      </c>
      <c r="G20592" t="s">
        <v>4815</v>
      </c>
      <c r="H20592">
        <v>96815</v>
      </c>
      <c r="I20592" t="s">
        <v>30</v>
      </c>
      <c r="J20592" t="s">
        <v>191</v>
      </c>
      <c r="K20592" t="s">
        <v>11889</v>
      </c>
      <c r="Q20592">
        <v>0</v>
      </c>
      <c r="R20592">
        <v>0</v>
      </c>
      <c r="S20592">
        <v>0</v>
      </c>
      <c r="T20592" t="s">
        <v>77108</v>
      </c>
    </row>
    <row r="20593" spans="1:25" customFormat="1" ht="15" x14ac:dyDescent="0.25">
      <c r="A20593" t="s">
        <v>24</v>
      </c>
      <c r="B20593" t="s">
        <v>675</v>
      </c>
      <c r="C20593" t="str">
        <f>"311H6"</f>
        <v>311H6</v>
      </c>
      <c r="D20593" t="s">
        <v>61643</v>
      </c>
      <c r="E20593" t="s">
        <v>61644</v>
      </c>
      <c r="F20593" t="s">
        <v>61645</v>
      </c>
      <c r="G20593" t="s">
        <v>137</v>
      </c>
      <c r="H20593">
        <v>63141</v>
      </c>
      <c r="I20593" t="s">
        <v>30</v>
      </c>
      <c r="J20593" t="s">
        <v>171</v>
      </c>
      <c r="K20593" t="s">
        <v>973</v>
      </c>
      <c r="N20593" t="s">
        <v>61646</v>
      </c>
      <c r="O20593" t="s">
        <v>61647</v>
      </c>
      <c r="Q20593">
        <v>0</v>
      </c>
      <c r="R20593">
        <v>154</v>
      </c>
      <c r="S20593">
        <v>0</v>
      </c>
      <c r="T20593" t="s">
        <v>61648</v>
      </c>
    </row>
    <row r="20594" spans="1:25" customFormat="1" ht="15" x14ac:dyDescent="0.25">
      <c r="A20594" t="s">
        <v>24</v>
      </c>
      <c r="B20594" t="s">
        <v>55661</v>
      </c>
      <c r="C20594" t="str">
        <f>"A0057333"</f>
        <v>A0057333</v>
      </c>
      <c r="D20594" t="s">
        <v>77114</v>
      </c>
      <c r="E20594" t="s">
        <v>77115</v>
      </c>
      <c r="F20594" t="s">
        <v>13767</v>
      </c>
      <c r="G20594" t="s">
        <v>4815</v>
      </c>
      <c r="H20594">
        <v>96815</v>
      </c>
      <c r="I20594" t="s">
        <v>30</v>
      </c>
      <c r="J20594" t="s">
        <v>31</v>
      </c>
      <c r="K20594" t="s">
        <v>55664</v>
      </c>
      <c r="Q20594">
        <v>0</v>
      </c>
      <c r="R20594">
        <v>635</v>
      </c>
      <c r="S20594">
        <v>0</v>
      </c>
      <c r="T20594" t="s">
        <v>77116</v>
      </c>
    </row>
    <row r="20595" spans="1:25" customFormat="1" ht="15" x14ac:dyDescent="0.25">
      <c r="A20595" t="s">
        <v>24</v>
      </c>
      <c r="B20595" t="s">
        <v>55661</v>
      </c>
      <c r="C20595" t="str">
        <f>"A0057334"</f>
        <v>A0057334</v>
      </c>
      <c r="D20595" t="s">
        <v>77117</v>
      </c>
      <c r="E20595" t="s">
        <v>77118</v>
      </c>
      <c r="F20595" t="s">
        <v>13767</v>
      </c>
      <c r="G20595" t="s">
        <v>4815</v>
      </c>
      <c r="H20595">
        <v>96815</v>
      </c>
      <c r="I20595" t="s">
        <v>30</v>
      </c>
      <c r="J20595" t="s">
        <v>145</v>
      </c>
      <c r="K20595" t="s">
        <v>55664</v>
      </c>
      <c r="N20595" t="s">
        <v>77119</v>
      </c>
      <c r="Q20595">
        <v>0</v>
      </c>
      <c r="R20595">
        <v>524</v>
      </c>
      <c r="S20595">
        <v>0</v>
      </c>
      <c r="T20595" t="s">
        <v>77120</v>
      </c>
    </row>
    <row r="20596" spans="1:25" x14ac:dyDescent="0.25">
      <c r="A20596" s="5" t="s">
        <v>24</v>
      </c>
      <c r="B20596" s="5" t="s">
        <v>675</v>
      </c>
      <c r="C20596" s="5" t="str">
        <f>"311GA"</f>
        <v>311GA</v>
      </c>
      <c r="D20596" s="5" t="s">
        <v>61649</v>
      </c>
      <c r="E20596" s="5" t="s">
        <v>61650</v>
      </c>
      <c r="F20596" s="5" t="s">
        <v>56870</v>
      </c>
      <c r="G20596" s="5" t="s">
        <v>137</v>
      </c>
      <c r="H20596" s="5">
        <v>63103</v>
      </c>
      <c r="I20596" s="5" t="s">
        <v>30</v>
      </c>
      <c r="J20596" s="5" t="s">
        <v>171</v>
      </c>
      <c r="K20596" s="5" t="s">
        <v>973</v>
      </c>
      <c r="L20596" s="5"/>
      <c r="M20596" s="5"/>
      <c r="N20596" s="5" t="s">
        <v>61651</v>
      </c>
      <c r="O20596" s="5"/>
      <c r="P20596" s="5"/>
      <c r="Q20596" s="5">
        <v>0</v>
      </c>
      <c r="R20596" s="5">
        <v>151</v>
      </c>
      <c r="S20596" s="5">
        <v>0</v>
      </c>
      <c r="T20596" s="5" t="s">
        <v>61652</v>
      </c>
      <c r="U20596" s="5"/>
      <c r="V20596" s="5"/>
      <c r="W20596" s="5"/>
      <c r="X20596" s="5"/>
      <c r="Y20596" s="5"/>
    </row>
    <row r="20597" spans="1:25" customFormat="1" ht="15" x14ac:dyDescent="0.25">
      <c r="A20597" t="s">
        <v>24</v>
      </c>
      <c r="B20597" t="s">
        <v>675</v>
      </c>
      <c r="C20597" t="str">
        <f>"311T6"</f>
        <v>311T6</v>
      </c>
      <c r="D20597" t="s">
        <v>61653</v>
      </c>
      <c r="E20597" t="s">
        <v>61654</v>
      </c>
      <c r="F20597" t="s">
        <v>56870</v>
      </c>
      <c r="G20597" t="s">
        <v>137</v>
      </c>
      <c r="H20597">
        <v>63146</v>
      </c>
      <c r="I20597" t="s">
        <v>30</v>
      </c>
      <c r="J20597" t="s">
        <v>171</v>
      </c>
      <c r="K20597" t="s">
        <v>973</v>
      </c>
      <c r="N20597" t="s">
        <v>61655</v>
      </c>
      <c r="O20597" t="s">
        <v>3486</v>
      </c>
      <c r="Q20597">
        <v>0</v>
      </c>
      <c r="R20597">
        <v>149</v>
      </c>
      <c r="S20597">
        <v>0</v>
      </c>
      <c r="T20597" t="s">
        <v>61656</v>
      </c>
    </row>
    <row r="20598" spans="1:25" customFormat="1" ht="15" x14ac:dyDescent="0.25">
      <c r="A20598" t="s">
        <v>24</v>
      </c>
      <c r="B20598" t="s">
        <v>675</v>
      </c>
      <c r="C20598" t="str">
        <f>"311R6"</f>
        <v>311R6</v>
      </c>
      <c r="D20598" t="s">
        <v>61657</v>
      </c>
      <c r="E20598" t="s">
        <v>61658</v>
      </c>
      <c r="F20598" t="s">
        <v>7699</v>
      </c>
      <c r="G20598" t="s">
        <v>81</v>
      </c>
      <c r="H20598">
        <v>33762</v>
      </c>
      <c r="I20598" t="s">
        <v>30</v>
      </c>
      <c r="J20598" t="s">
        <v>171</v>
      </c>
      <c r="K20598" t="s">
        <v>973</v>
      </c>
      <c r="N20598" t="s">
        <v>61659</v>
      </c>
      <c r="Q20598">
        <v>0</v>
      </c>
      <c r="R20598">
        <v>149</v>
      </c>
      <c r="S20598">
        <v>0</v>
      </c>
      <c r="T20598" t="s">
        <v>61660</v>
      </c>
    </row>
    <row r="20599" spans="1:25" customFormat="1" ht="15" x14ac:dyDescent="0.25">
      <c r="A20599" t="s">
        <v>24</v>
      </c>
      <c r="B20599" t="s">
        <v>57512</v>
      </c>
      <c r="C20599" t="str">
        <f>"A0075629"</f>
        <v>A0075629</v>
      </c>
      <c r="D20599" t="s">
        <v>77136</v>
      </c>
      <c r="E20599" t="s">
        <v>77137</v>
      </c>
      <c r="F20599" t="s">
        <v>5706</v>
      </c>
      <c r="G20599" t="s">
        <v>1706</v>
      </c>
      <c r="H20599">
        <v>35211</v>
      </c>
      <c r="I20599" t="s">
        <v>30</v>
      </c>
      <c r="J20599" t="s">
        <v>2415</v>
      </c>
      <c r="K20599" t="s">
        <v>179</v>
      </c>
      <c r="P20599" t="s">
        <v>6426</v>
      </c>
      <c r="Q20599">
        <v>3</v>
      </c>
      <c r="R20599">
        <v>0</v>
      </c>
      <c r="S20599">
        <v>0</v>
      </c>
      <c r="T20599" t="s">
        <v>77138</v>
      </c>
    </row>
    <row r="20600" spans="1:25" customFormat="1" ht="15" x14ac:dyDescent="0.25">
      <c r="A20600" t="s">
        <v>24</v>
      </c>
      <c r="B20600" t="s">
        <v>11170</v>
      </c>
      <c r="C20600" t="str">
        <f>"A0092483"</f>
        <v>A0092483</v>
      </c>
      <c r="D20600" t="s">
        <v>77139</v>
      </c>
      <c r="E20600" t="s">
        <v>77140</v>
      </c>
      <c r="F20600" t="s">
        <v>808</v>
      </c>
      <c r="G20600" t="s">
        <v>110</v>
      </c>
      <c r="H20600">
        <v>92612</v>
      </c>
      <c r="I20600" t="s">
        <v>30</v>
      </c>
      <c r="J20600" t="s">
        <v>191</v>
      </c>
      <c r="K20600" t="s">
        <v>11889</v>
      </c>
      <c r="N20600" t="s">
        <v>77141</v>
      </c>
      <c r="O20600" t="s">
        <v>77142</v>
      </c>
      <c r="Q20600">
        <v>0</v>
      </c>
      <c r="R20600">
        <v>0</v>
      </c>
      <c r="S20600">
        <v>0</v>
      </c>
      <c r="T20600" t="s">
        <v>77143</v>
      </c>
    </row>
    <row r="20601" spans="1:25" x14ac:dyDescent="0.25">
      <c r="A20601" s="5" t="s">
        <v>24</v>
      </c>
      <c r="B20601" s="5" t="s">
        <v>11027</v>
      </c>
      <c r="C20601" s="5" t="str">
        <f>"A0091906"</f>
        <v>A0091906</v>
      </c>
      <c r="D20601" s="5" t="s">
        <v>61661</v>
      </c>
      <c r="E20601" s="5" t="s">
        <v>61662</v>
      </c>
      <c r="F20601" s="5" t="s">
        <v>61663</v>
      </c>
      <c r="G20601" s="5" t="s">
        <v>214</v>
      </c>
      <c r="H20601" s="5">
        <v>28144</v>
      </c>
      <c r="I20601" s="5" t="s">
        <v>30</v>
      </c>
      <c r="J20601" s="5" t="s">
        <v>171</v>
      </c>
      <c r="K20601" s="5" t="s">
        <v>973</v>
      </c>
      <c r="L20601" s="5"/>
      <c r="M20601" s="5"/>
      <c r="N20601" s="5" t="s">
        <v>61664</v>
      </c>
      <c r="O20601" s="5"/>
      <c r="P20601" s="5"/>
      <c r="Q20601" s="5">
        <v>0</v>
      </c>
      <c r="R20601" s="5">
        <v>94</v>
      </c>
      <c r="S20601" s="5">
        <v>0</v>
      </c>
      <c r="T20601" s="5" t="s">
        <v>61665</v>
      </c>
      <c r="U20601" s="5"/>
      <c r="V20601" s="5"/>
      <c r="W20601" s="5"/>
      <c r="X20601" s="5"/>
      <c r="Y20601" s="5"/>
    </row>
    <row r="20602" spans="1:25" customFormat="1" ht="15" x14ac:dyDescent="0.25">
      <c r="A20602" t="s">
        <v>24</v>
      </c>
      <c r="B20602" t="s">
        <v>2520</v>
      </c>
      <c r="C20602" t="str">
        <f>"A0148742"</f>
        <v>A0148742</v>
      </c>
      <c r="D20602" t="s">
        <v>77151</v>
      </c>
      <c r="E20602" t="s">
        <v>77152</v>
      </c>
      <c r="F20602" t="s">
        <v>2978</v>
      </c>
      <c r="G20602" t="s">
        <v>110</v>
      </c>
      <c r="H20602">
        <v>92109</v>
      </c>
      <c r="I20602" t="s">
        <v>30</v>
      </c>
      <c r="J20602" t="s">
        <v>31</v>
      </c>
      <c r="K20602" t="s">
        <v>163</v>
      </c>
      <c r="N20602" t="s">
        <v>77153</v>
      </c>
      <c r="Q20602">
        <v>0</v>
      </c>
      <c r="R20602">
        <v>25</v>
      </c>
      <c r="S20602">
        <v>0</v>
      </c>
      <c r="T20602" t="s">
        <v>77154</v>
      </c>
    </row>
    <row r="20603" spans="1:25" customFormat="1" ht="15" x14ac:dyDescent="0.25">
      <c r="A20603" t="s">
        <v>24</v>
      </c>
      <c r="B20603" t="s">
        <v>6667</v>
      </c>
      <c r="C20603" t="str">
        <f>"A0052300"</f>
        <v>A0052300</v>
      </c>
      <c r="D20603" t="s">
        <v>77155</v>
      </c>
      <c r="E20603" t="s">
        <v>77156</v>
      </c>
      <c r="F20603" t="s">
        <v>220</v>
      </c>
      <c r="G20603" t="s">
        <v>221</v>
      </c>
      <c r="H20603">
        <v>89149</v>
      </c>
      <c r="I20603" t="s">
        <v>30</v>
      </c>
      <c r="J20603" t="s">
        <v>178</v>
      </c>
      <c r="K20603" t="s">
        <v>6667</v>
      </c>
      <c r="N20603" t="s">
        <v>77157</v>
      </c>
      <c r="Q20603">
        <v>0</v>
      </c>
      <c r="R20603">
        <v>0</v>
      </c>
      <c r="S20603">
        <v>0</v>
      </c>
      <c r="T20603" t="s">
        <v>77158</v>
      </c>
    </row>
    <row r="20604" spans="1:25" x14ac:dyDescent="0.25">
      <c r="A20604" s="5" t="s">
        <v>24</v>
      </c>
      <c r="B20604" s="5" t="s">
        <v>4400</v>
      </c>
      <c r="C20604" s="5" t="str">
        <f>"A0077214"</f>
        <v>A0077214</v>
      </c>
      <c r="D20604" s="5" t="s">
        <v>61661</v>
      </c>
      <c r="E20604" s="5" t="s">
        <v>61666</v>
      </c>
      <c r="F20604" s="5" t="s">
        <v>11868</v>
      </c>
      <c r="G20604" s="5" t="s">
        <v>123</v>
      </c>
      <c r="H20604" s="5">
        <v>21804</v>
      </c>
      <c r="I20604" s="5" t="s">
        <v>30</v>
      </c>
      <c r="J20604" s="5" t="s">
        <v>171</v>
      </c>
      <c r="K20604" s="5" t="s">
        <v>973</v>
      </c>
      <c r="L20604" s="5"/>
      <c r="M20604" s="5"/>
      <c r="N20604" s="5" t="s">
        <v>61667</v>
      </c>
      <c r="O20604" s="5"/>
      <c r="P20604" s="5"/>
      <c r="Q20604" s="5">
        <v>0</v>
      </c>
      <c r="R20604" s="5">
        <v>106</v>
      </c>
      <c r="S20604" s="5">
        <v>0</v>
      </c>
      <c r="T20604" s="5" t="s">
        <v>61668</v>
      </c>
      <c r="U20604" s="5"/>
      <c r="V20604" s="5"/>
      <c r="W20604" s="5"/>
      <c r="X20604" s="5"/>
      <c r="Y20604" s="5"/>
    </row>
    <row r="20605" spans="1:25" customFormat="1" ht="15" x14ac:dyDescent="0.25">
      <c r="A20605" t="s">
        <v>24</v>
      </c>
      <c r="B20605" t="s">
        <v>1317</v>
      </c>
      <c r="C20605" t="str">
        <f>"A0083632"</f>
        <v>A0083632</v>
      </c>
      <c r="D20605" t="s">
        <v>61669</v>
      </c>
      <c r="E20605" t="s">
        <v>61670</v>
      </c>
      <c r="F20605" t="s">
        <v>356</v>
      </c>
      <c r="G20605" t="s">
        <v>52</v>
      </c>
      <c r="H20605">
        <v>78259</v>
      </c>
      <c r="I20605" t="s">
        <v>30</v>
      </c>
      <c r="J20605" t="s">
        <v>171</v>
      </c>
      <c r="K20605" t="s">
        <v>973</v>
      </c>
      <c r="N20605" t="s">
        <v>61671</v>
      </c>
      <c r="Q20605">
        <v>0</v>
      </c>
      <c r="R20605">
        <v>107</v>
      </c>
      <c r="S20605">
        <v>0</v>
      </c>
      <c r="T20605" t="s">
        <v>61672</v>
      </c>
    </row>
    <row r="20606" spans="1:25" customFormat="1" ht="15" x14ac:dyDescent="0.25">
      <c r="A20606" t="s">
        <v>24</v>
      </c>
      <c r="B20606" t="s">
        <v>675</v>
      </c>
      <c r="C20606" t="str">
        <f>"311M7"</f>
        <v>311M7</v>
      </c>
      <c r="D20606" t="s">
        <v>61673</v>
      </c>
      <c r="E20606" t="s">
        <v>61674</v>
      </c>
      <c r="F20606" t="s">
        <v>356</v>
      </c>
      <c r="G20606" t="s">
        <v>52</v>
      </c>
      <c r="H20606">
        <v>78217</v>
      </c>
      <c r="I20606" t="s">
        <v>30</v>
      </c>
      <c r="J20606" t="s">
        <v>171</v>
      </c>
      <c r="K20606" t="s">
        <v>973</v>
      </c>
      <c r="N20606" t="s">
        <v>61675</v>
      </c>
      <c r="O20606" t="s">
        <v>61676</v>
      </c>
      <c r="Q20606">
        <v>0</v>
      </c>
      <c r="R20606">
        <v>145</v>
      </c>
      <c r="S20606">
        <v>0</v>
      </c>
      <c r="T20606" t="s">
        <v>61677</v>
      </c>
    </row>
    <row r="20607" spans="1:25" customFormat="1" ht="15" x14ac:dyDescent="0.25">
      <c r="A20607" t="s">
        <v>24</v>
      </c>
      <c r="B20607" t="s">
        <v>60077</v>
      </c>
      <c r="C20607" t="str">
        <f>"651YG"</f>
        <v>651YG</v>
      </c>
      <c r="D20607" t="s">
        <v>61678</v>
      </c>
      <c r="E20607" t="s">
        <v>61679</v>
      </c>
      <c r="F20607" t="s">
        <v>356</v>
      </c>
      <c r="G20607" t="s">
        <v>52</v>
      </c>
      <c r="H20607">
        <v>78216</v>
      </c>
      <c r="I20607" t="s">
        <v>30</v>
      </c>
      <c r="J20607" t="s">
        <v>171</v>
      </c>
      <c r="K20607" t="s">
        <v>973</v>
      </c>
      <c r="N20607" t="s">
        <v>61680</v>
      </c>
      <c r="Q20607">
        <v>0</v>
      </c>
      <c r="R20607">
        <v>78</v>
      </c>
      <c r="S20607">
        <v>0</v>
      </c>
      <c r="T20607" t="s">
        <v>61681</v>
      </c>
    </row>
    <row r="20608" spans="1:25" customFormat="1" ht="15" x14ac:dyDescent="0.25">
      <c r="A20608" t="s">
        <v>24</v>
      </c>
      <c r="B20608" t="s">
        <v>799</v>
      </c>
      <c r="C20608" t="str">
        <f>"SF09164"</f>
        <v>SF09164</v>
      </c>
      <c r="D20608" t="s">
        <v>77181</v>
      </c>
      <c r="E20608" t="s">
        <v>77182</v>
      </c>
      <c r="F20608" t="s">
        <v>77183</v>
      </c>
      <c r="G20608" t="s">
        <v>58</v>
      </c>
      <c r="H20608">
        <v>29451</v>
      </c>
      <c r="I20608" t="s">
        <v>30</v>
      </c>
      <c r="J20608" t="s">
        <v>31</v>
      </c>
      <c r="K20608" t="s">
        <v>163</v>
      </c>
      <c r="N20608" t="s">
        <v>77184</v>
      </c>
      <c r="Q20608">
        <v>0</v>
      </c>
      <c r="R20608">
        <v>68</v>
      </c>
      <c r="S20608">
        <v>0</v>
      </c>
      <c r="T20608" t="s">
        <v>77185</v>
      </c>
    </row>
    <row r="20609" spans="1:25" customFormat="1" ht="15" x14ac:dyDescent="0.25">
      <c r="A20609" t="s">
        <v>24</v>
      </c>
      <c r="B20609" t="s">
        <v>56564</v>
      </c>
      <c r="C20609" t="str">
        <f>"A0087533"</f>
        <v>A0087533</v>
      </c>
      <c r="D20609" t="s">
        <v>77186</v>
      </c>
      <c r="E20609" t="s">
        <v>77187</v>
      </c>
      <c r="F20609" t="s">
        <v>1159</v>
      </c>
      <c r="G20609" t="s">
        <v>58</v>
      </c>
      <c r="H20609">
        <v>29578</v>
      </c>
      <c r="I20609" t="s">
        <v>30</v>
      </c>
      <c r="J20609" t="s">
        <v>31</v>
      </c>
      <c r="K20609" t="s">
        <v>163</v>
      </c>
      <c r="N20609" t="s">
        <v>77188</v>
      </c>
      <c r="Q20609">
        <v>0</v>
      </c>
      <c r="R20609">
        <v>28</v>
      </c>
      <c r="S20609">
        <v>0</v>
      </c>
      <c r="T20609" t="s">
        <v>77189</v>
      </c>
    </row>
    <row r="20610" spans="1:25" customFormat="1" ht="15" x14ac:dyDescent="0.25">
      <c r="A20610" t="s">
        <v>24</v>
      </c>
      <c r="B20610" t="s">
        <v>2340</v>
      </c>
      <c r="C20610" t="str">
        <f>"A0098931"</f>
        <v>A0098931</v>
      </c>
      <c r="D20610" t="s">
        <v>77190</v>
      </c>
      <c r="E20610" t="s">
        <v>77191</v>
      </c>
      <c r="F20610" t="s">
        <v>77192</v>
      </c>
      <c r="G20610" t="s">
        <v>99</v>
      </c>
      <c r="H20610">
        <v>14522</v>
      </c>
      <c r="I20610" t="s">
        <v>30</v>
      </c>
      <c r="J20610" t="s">
        <v>31</v>
      </c>
      <c r="K20610" t="s">
        <v>163</v>
      </c>
      <c r="N20610" t="s">
        <v>77193</v>
      </c>
      <c r="Q20610">
        <v>0</v>
      </c>
      <c r="R20610">
        <v>60</v>
      </c>
      <c r="S20610">
        <v>0</v>
      </c>
      <c r="T20610" t="s">
        <v>77194</v>
      </c>
    </row>
    <row r="20611" spans="1:25" x14ac:dyDescent="0.25">
      <c r="A20611" s="5" t="s">
        <v>24</v>
      </c>
      <c r="B20611" s="5" t="s">
        <v>675</v>
      </c>
      <c r="C20611" s="5" t="str">
        <f>"311N7"</f>
        <v>311N7</v>
      </c>
      <c r="D20611" s="5" t="s">
        <v>61682</v>
      </c>
      <c r="E20611" s="5" t="s">
        <v>61683</v>
      </c>
      <c r="F20611" s="5" t="s">
        <v>356</v>
      </c>
      <c r="G20611" s="5" t="s">
        <v>52</v>
      </c>
      <c r="H20611" s="5">
        <v>78204</v>
      </c>
      <c r="I20611" s="5" t="s">
        <v>30</v>
      </c>
      <c r="J20611" s="5" t="s">
        <v>171</v>
      </c>
      <c r="K20611" s="5" t="s">
        <v>973</v>
      </c>
      <c r="L20611" s="5"/>
      <c r="M20611" s="5"/>
      <c r="N20611" s="5" t="s">
        <v>61684</v>
      </c>
      <c r="O20611" s="5" t="s">
        <v>61685</v>
      </c>
      <c r="P20611" s="5"/>
      <c r="Q20611" s="5">
        <v>0</v>
      </c>
      <c r="R20611" s="5">
        <v>149</v>
      </c>
      <c r="S20611" s="5">
        <v>0</v>
      </c>
      <c r="T20611" s="5" t="s">
        <v>61686</v>
      </c>
      <c r="U20611" s="5"/>
      <c r="V20611" s="5"/>
      <c r="W20611" s="5"/>
      <c r="X20611" s="5"/>
      <c r="Y20611" s="5"/>
    </row>
    <row r="20612" spans="1:25" customFormat="1" ht="15" hidden="1" x14ac:dyDescent="0.25">
      <c r="A20612" t="s">
        <v>24</v>
      </c>
      <c r="B20612" t="s">
        <v>193</v>
      </c>
      <c r="C20612" t="str">
        <f>"39028"</f>
        <v>39028</v>
      </c>
      <c r="D20612" t="s">
        <v>77201</v>
      </c>
      <c r="E20612" t="s">
        <v>77202</v>
      </c>
      <c r="F20612" t="s">
        <v>3145</v>
      </c>
      <c r="G20612" t="s">
        <v>8864</v>
      </c>
      <c r="I20612" t="s">
        <v>3147</v>
      </c>
      <c r="J20612" t="s">
        <v>162</v>
      </c>
      <c r="K20612" t="s">
        <v>163</v>
      </c>
      <c r="N20612" t="s">
        <v>77203</v>
      </c>
      <c r="Q20612">
        <v>0</v>
      </c>
      <c r="R20612">
        <v>296</v>
      </c>
      <c r="S20612">
        <v>0</v>
      </c>
      <c r="T20612" t="s">
        <v>77204</v>
      </c>
    </row>
    <row r="20613" spans="1:25" customFormat="1" ht="15" x14ac:dyDescent="0.25">
      <c r="A20613" t="s">
        <v>24</v>
      </c>
      <c r="B20613" t="s">
        <v>675</v>
      </c>
      <c r="C20613" t="str">
        <f>"311M6"</f>
        <v>311M6</v>
      </c>
      <c r="D20613" t="s">
        <v>61687</v>
      </c>
      <c r="E20613" t="s">
        <v>61688</v>
      </c>
      <c r="F20613" t="s">
        <v>356</v>
      </c>
      <c r="G20613" t="s">
        <v>52</v>
      </c>
      <c r="H20613">
        <v>78229</v>
      </c>
      <c r="I20613" t="s">
        <v>30</v>
      </c>
      <c r="J20613" t="s">
        <v>171</v>
      </c>
      <c r="K20613" t="s">
        <v>973</v>
      </c>
      <c r="N20613" t="s">
        <v>61689</v>
      </c>
      <c r="Q20613">
        <v>0</v>
      </c>
      <c r="R20613">
        <v>146</v>
      </c>
      <c r="S20613">
        <v>0</v>
      </c>
      <c r="T20613" t="s">
        <v>61690</v>
      </c>
    </row>
    <row r="20614" spans="1:25" customFormat="1" ht="15" x14ac:dyDescent="0.25">
      <c r="A20614" t="s">
        <v>24</v>
      </c>
      <c r="B20614" t="s">
        <v>675</v>
      </c>
      <c r="C20614" t="str">
        <f>"A0085973"</f>
        <v>A0085973</v>
      </c>
      <c r="D20614" t="s">
        <v>61691</v>
      </c>
      <c r="E20614" t="s">
        <v>61692</v>
      </c>
      <c r="F20614" t="s">
        <v>356</v>
      </c>
      <c r="G20614" t="s">
        <v>52</v>
      </c>
      <c r="H20614">
        <v>78205</v>
      </c>
      <c r="I20614" t="s">
        <v>30</v>
      </c>
      <c r="J20614" t="s">
        <v>171</v>
      </c>
      <c r="K20614" t="s">
        <v>973</v>
      </c>
      <c r="N20614" t="s">
        <v>61693</v>
      </c>
      <c r="Q20614">
        <v>0</v>
      </c>
      <c r="R20614">
        <v>220</v>
      </c>
      <c r="S20614">
        <v>0</v>
      </c>
      <c r="T20614" t="s">
        <v>61694</v>
      </c>
    </row>
    <row r="20615" spans="1:25" x14ac:dyDescent="0.25">
      <c r="A20615" s="5" t="s">
        <v>24</v>
      </c>
      <c r="B20615" s="5" t="s">
        <v>5104</v>
      </c>
      <c r="C20615" s="5" t="str">
        <f>"SF04355"</f>
        <v>SF04355</v>
      </c>
      <c r="D20615" s="5" t="s">
        <v>61695</v>
      </c>
      <c r="E20615" s="5" t="s">
        <v>61696</v>
      </c>
      <c r="F20615" s="5" t="s">
        <v>2978</v>
      </c>
      <c r="G20615" s="5" t="s">
        <v>110</v>
      </c>
      <c r="H20615" s="5">
        <v>92108</v>
      </c>
      <c r="I20615" s="5" t="s">
        <v>30</v>
      </c>
      <c r="J20615" s="5" t="s">
        <v>171</v>
      </c>
      <c r="K20615" s="5" t="s">
        <v>973</v>
      </c>
      <c r="L20615" s="5"/>
      <c r="M20615" s="5"/>
      <c r="N20615" s="5" t="s">
        <v>61697</v>
      </c>
      <c r="O20615" s="5"/>
      <c r="P20615" s="5"/>
      <c r="Q20615" s="5">
        <v>0</v>
      </c>
      <c r="R20615" s="5">
        <v>318</v>
      </c>
      <c r="S20615" s="5">
        <v>0</v>
      </c>
      <c r="T20615" s="5" t="s">
        <v>61698</v>
      </c>
      <c r="U20615" s="5"/>
      <c r="V20615" s="5"/>
      <c r="W20615" s="5"/>
      <c r="X20615" s="5"/>
      <c r="Y20615" s="5"/>
    </row>
    <row r="20616" spans="1:25" x14ac:dyDescent="0.25">
      <c r="A20616" s="5" t="s">
        <v>24</v>
      </c>
      <c r="B20616" s="5" t="s">
        <v>2368</v>
      </c>
      <c r="C20616" s="5" t="str">
        <f>"A0083649"</f>
        <v>A0083649</v>
      </c>
      <c r="D20616" s="5" t="s">
        <v>61699</v>
      </c>
      <c r="E20616" s="5" t="s">
        <v>61700</v>
      </c>
      <c r="F20616" s="5" t="s">
        <v>2978</v>
      </c>
      <c r="G20616" s="5" t="s">
        <v>110</v>
      </c>
      <c r="H20616" s="5">
        <v>92106</v>
      </c>
      <c r="I20616" s="5" t="s">
        <v>30</v>
      </c>
      <c r="J20616" s="5" t="s">
        <v>171</v>
      </c>
      <c r="K20616" s="5" t="s">
        <v>973</v>
      </c>
      <c r="L20616" s="5"/>
      <c r="M20616" s="5"/>
      <c r="N20616" s="5" t="s">
        <v>61701</v>
      </c>
      <c r="O20616" s="5"/>
      <c r="P20616" s="5"/>
      <c r="Q20616" s="5">
        <v>0</v>
      </c>
      <c r="R20616" s="5">
        <v>200</v>
      </c>
      <c r="S20616" s="5">
        <v>0</v>
      </c>
      <c r="T20616" s="5" t="s">
        <v>61702</v>
      </c>
      <c r="U20616" s="5"/>
      <c r="V20616" s="5"/>
      <c r="W20616" s="5"/>
      <c r="X20616" s="5"/>
      <c r="Y20616" s="5"/>
    </row>
    <row r="20617" spans="1:25" x14ac:dyDescent="0.25">
      <c r="A20617" s="5" t="s">
        <v>24</v>
      </c>
      <c r="B20617" s="5" t="s">
        <v>2368</v>
      </c>
      <c r="C20617" s="5" t="str">
        <f>"6516S"</f>
        <v>6516S</v>
      </c>
      <c r="D20617" s="5" t="s">
        <v>61703</v>
      </c>
      <c r="E20617" s="5" t="s">
        <v>61704</v>
      </c>
      <c r="F20617" s="5" t="s">
        <v>2978</v>
      </c>
      <c r="G20617" s="5" t="s">
        <v>110</v>
      </c>
      <c r="H20617" s="5">
        <v>92123</v>
      </c>
      <c r="I20617" s="5" t="s">
        <v>30</v>
      </c>
      <c r="J20617" s="5" t="s">
        <v>171</v>
      </c>
      <c r="K20617" s="5" t="s">
        <v>973</v>
      </c>
      <c r="L20617" s="5"/>
      <c r="M20617" s="5"/>
      <c r="N20617" s="5" t="s">
        <v>61705</v>
      </c>
      <c r="O20617" s="5"/>
      <c r="P20617" s="5"/>
      <c r="Q20617" s="5">
        <v>0</v>
      </c>
      <c r="R20617" s="5">
        <v>245</v>
      </c>
      <c r="S20617" s="5">
        <v>0</v>
      </c>
      <c r="T20617" s="5" t="s">
        <v>61706</v>
      </c>
      <c r="U20617" s="5"/>
      <c r="V20617" s="5"/>
      <c r="W20617" s="5"/>
      <c r="X20617" s="5"/>
      <c r="Y20617" s="5"/>
    </row>
    <row r="20618" spans="1:25" x14ac:dyDescent="0.25">
      <c r="A20618" s="5" t="s">
        <v>24</v>
      </c>
      <c r="B20618" s="5" t="s">
        <v>1020</v>
      </c>
      <c r="C20618" s="5" t="str">
        <f>"6511E"</f>
        <v>6511E</v>
      </c>
      <c r="D20618" s="5" t="s">
        <v>61707</v>
      </c>
      <c r="E20618" s="5" t="s">
        <v>61708</v>
      </c>
      <c r="F20618" s="5" t="s">
        <v>2978</v>
      </c>
      <c r="G20618" s="5" t="s">
        <v>110</v>
      </c>
      <c r="H20618" s="5">
        <v>92101</v>
      </c>
      <c r="I20618" s="5" t="s">
        <v>30</v>
      </c>
      <c r="J20618" s="5" t="s">
        <v>171</v>
      </c>
      <c r="K20618" s="5" t="s">
        <v>973</v>
      </c>
      <c r="L20618" s="5"/>
      <c r="M20618" s="5"/>
      <c r="N20618" s="5" t="s">
        <v>61709</v>
      </c>
      <c r="O20618" s="5" t="s">
        <v>61710</v>
      </c>
      <c r="P20618" s="5"/>
      <c r="Q20618" s="5">
        <v>0</v>
      </c>
      <c r="R20618" s="5">
        <v>245</v>
      </c>
      <c r="S20618" s="5">
        <v>0</v>
      </c>
      <c r="T20618" s="5" t="s">
        <v>61711</v>
      </c>
      <c r="U20618" s="5"/>
      <c r="V20618" s="5"/>
      <c r="W20618" s="5"/>
      <c r="X20618" s="5"/>
      <c r="Y20618" s="5"/>
    </row>
    <row r="20619" spans="1:25" hidden="1" x14ac:dyDescent="0.25">
      <c r="A20619" s="3" t="s">
        <v>24</v>
      </c>
      <c r="B20619" s="3" t="s">
        <v>2011</v>
      </c>
      <c r="C20619" s="3" t="str">
        <f>"A0098811"</f>
        <v>A0098811</v>
      </c>
      <c r="D20619" s="3" t="s">
        <v>77237</v>
      </c>
      <c r="E20619" s="3" t="s">
        <v>77238</v>
      </c>
      <c r="F20619" s="3" t="s">
        <v>77239</v>
      </c>
      <c r="G20619" s="3" t="s">
        <v>75989</v>
      </c>
      <c r="H20619" s="3">
        <v>265</v>
      </c>
      <c r="I20619" s="3" t="s">
        <v>75990</v>
      </c>
      <c r="J20619" s="3" t="s">
        <v>206</v>
      </c>
      <c r="K20619" s="3" t="s">
        <v>77217</v>
      </c>
      <c r="N20619" s="3" t="s">
        <v>77240</v>
      </c>
      <c r="Q20619" s="3">
        <v>0</v>
      </c>
      <c r="R20619" s="3">
        <v>126</v>
      </c>
      <c r="S20619" s="3">
        <v>0</v>
      </c>
      <c r="T20619" s="3" t="s">
        <v>77241</v>
      </c>
    </row>
    <row r="20620" spans="1:25" hidden="1" x14ac:dyDescent="0.25">
      <c r="A20620" s="3" t="s">
        <v>24</v>
      </c>
      <c r="B20620" s="3" t="s">
        <v>2011</v>
      </c>
      <c r="C20620" s="3" t="str">
        <f>"HY09858"</f>
        <v>HY09858</v>
      </c>
      <c r="D20620" s="3" t="s">
        <v>77242</v>
      </c>
      <c r="E20620" s="3" t="s">
        <v>77243</v>
      </c>
      <c r="F20620" s="3" t="s">
        <v>13197</v>
      </c>
      <c r="G20620" s="3" t="s">
        <v>2206</v>
      </c>
      <c r="H20620" s="3" t="s">
        <v>77244</v>
      </c>
      <c r="I20620" s="3" t="s">
        <v>1459</v>
      </c>
      <c r="J20620" s="3" t="s">
        <v>206</v>
      </c>
      <c r="K20620" s="3" t="s">
        <v>77217</v>
      </c>
      <c r="N20620" s="3" t="s">
        <v>77245</v>
      </c>
      <c r="Q20620" s="3">
        <v>0</v>
      </c>
      <c r="R20620" s="3">
        <v>346</v>
      </c>
      <c r="S20620" s="3">
        <v>0</v>
      </c>
      <c r="T20620" s="3" t="s">
        <v>77246</v>
      </c>
    </row>
    <row r="20621" spans="1:25" x14ac:dyDescent="0.25">
      <c r="A20621" s="5" t="s">
        <v>24</v>
      </c>
      <c r="B20621" s="5" t="s">
        <v>10398</v>
      </c>
      <c r="C20621" s="5" t="str">
        <f>"A0094046"</f>
        <v>A0094046</v>
      </c>
      <c r="D20621" s="5" t="s">
        <v>61712</v>
      </c>
      <c r="E20621" s="5" t="s">
        <v>61713</v>
      </c>
      <c r="F20621" s="5" t="s">
        <v>2978</v>
      </c>
      <c r="G20621" s="5" t="s">
        <v>110</v>
      </c>
      <c r="H20621" s="5">
        <v>92101</v>
      </c>
      <c r="I20621" s="5" t="s">
        <v>30</v>
      </c>
      <c r="J20621" s="5" t="s">
        <v>171</v>
      </c>
      <c r="K20621" s="5" t="s">
        <v>973</v>
      </c>
      <c r="L20621" s="5"/>
      <c r="M20621" s="5"/>
      <c r="N20621" s="5" t="s">
        <v>61714</v>
      </c>
      <c r="O20621" s="5" t="s">
        <v>61715</v>
      </c>
      <c r="P20621" s="5"/>
      <c r="Q20621" s="5">
        <v>0</v>
      </c>
      <c r="R20621" s="5">
        <v>90</v>
      </c>
      <c r="S20621" s="5">
        <v>0</v>
      </c>
      <c r="T20621" s="5" t="s">
        <v>61716</v>
      </c>
      <c r="U20621" s="5"/>
      <c r="V20621" s="5"/>
      <c r="W20621" s="5"/>
      <c r="X20621" s="5"/>
      <c r="Y20621" s="5"/>
    </row>
    <row r="20622" spans="1:25" customFormat="1" ht="15" x14ac:dyDescent="0.25">
      <c r="A20622" t="s">
        <v>24</v>
      </c>
      <c r="B20622" t="s">
        <v>675</v>
      </c>
      <c r="C20622" t="str">
        <f>"A0090190"</f>
        <v>A0090190</v>
      </c>
      <c r="D20622" t="s">
        <v>61717</v>
      </c>
      <c r="E20622" t="s">
        <v>61718</v>
      </c>
      <c r="F20622" t="s">
        <v>33388</v>
      </c>
      <c r="G20622" t="s">
        <v>110</v>
      </c>
      <c r="H20622">
        <v>92056</v>
      </c>
      <c r="I20622" t="s">
        <v>30</v>
      </c>
      <c r="J20622" t="s">
        <v>171</v>
      </c>
      <c r="K20622" t="s">
        <v>973</v>
      </c>
      <c r="N20622" t="s">
        <v>61719</v>
      </c>
      <c r="O20622" t="s">
        <v>61720</v>
      </c>
      <c r="Q20622">
        <v>0</v>
      </c>
      <c r="R20622">
        <v>142</v>
      </c>
      <c r="S20622">
        <v>0</v>
      </c>
      <c r="T20622" t="s">
        <v>61721</v>
      </c>
    </row>
    <row r="20623" spans="1:25" customFormat="1" ht="15" x14ac:dyDescent="0.25">
      <c r="A20623" t="s">
        <v>24</v>
      </c>
      <c r="B20623" t="s">
        <v>62772</v>
      </c>
      <c r="C20623" t="str">
        <f>"A0101138"</f>
        <v>A0101138</v>
      </c>
      <c r="D20623" t="s">
        <v>77256</v>
      </c>
      <c r="E20623" t="s">
        <v>77257</v>
      </c>
      <c r="F20623" t="s">
        <v>5651</v>
      </c>
      <c r="G20623" t="s">
        <v>110</v>
      </c>
      <c r="H20623">
        <v>92802</v>
      </c>
      <c r="I20623" t="s">
        <v>30</v>
      </c>
      <c r="J20623" t="s">
        <v>31</v>
      </c>
      <c r="K20623" t="s">
        <v>163</v>
      </c>
      <c r="N20623" t="s">
        <v>77258</v>
      </c>
      <c r="Q20623">
        <v>0</v>
      </c>
      <c r="R20623">
        <v>86</v>
      </c>
      <c r="S20623">
        <v>0</v>
      </c>
      <c r="T20623" t="s">
        <v>77259</v>
      </c>
    </row>
    <row r="20624" spans="1:25" customFormat="1" ht="15" x14ac:dyDescent="0.25">
      <c r="A20624" t="s">
        <v>24</v>
      </c>
      <c r="B20624" t="s">
        <v>11523</v>
      </c>
      <c r="C20624" t="str">
        <f>"A0158041"</f>
        <v>A0158041</v>
      </c>
      <c r="D20624" t="s">
        <v>77260</v>
      </c>
      <c r="E20624" t="s">
        <v>77261</v>
      </c>
      <c r="F20624" t="s">
        <v>77262</v>
      </c>
      <c r="G20624" t="s">
        <v>846</v>
      </c>
      <c r="H20624">
        <v>30642</v>
      </c>
      <c r="I20624" t="s">
        <v>30</v>
      </c>
      <c r="J20624" t="s">
        <v>3881</v>
      </c>
      <c r="K20624" t="s">
        <v>163</v>
      </c>
      <c r="N20624" t="s">
        <v>77263</v>
      </c>
      <c r="Q20624">
        <v>0</v>
      </c>
      <c r="R20624">
        <v>0</v>
      </c>
      <c r="S20624">
        <v>0</v>
      </c>
      <c r="T20624" t="s">
        <v>77264</v>
      </c>
    </row>
    <row r="20625" spans="1:25" customFormat="1" ht="15" hidden="1" x14ac:dyDescent="0.25">
      <c r="A20625" t="s">
        <v>24</v>
      </c>
      <c r="B20625" t="s">
        <v>55676</v>
      </c>
      <c r="C20625" t="str">
        <f>"A0100910"</f>
        <v>A0100910</v>
      </c>
      <c r="D20625" t="s">
        <v>77265</v>
      </c>
      <c r="E20625" t="s">
        <v>77266</v>
      </c>
      <c r="F20625" t="s">
        <v>59297</v>
      </c>
      <c r="G20625" t="s">
        <v>13345</v>
      </c>
      <c r="H20625">
        <v>52764</v>
      </c>
      <c r="I20625" t="s">
        <v>2408</v>
      </c>
      <c r="J20625" t="s">
        <v>2272</v>
      </c>
      <c r="K20625" t="s">
        <v>163</v>
      </c>
      <c r="N20625" t="s">
        <v>59291</v>
      </c>
      <c r="Q20625">
        <v>0</v>
      </c>
      <c r="R20625">
        <v>45</v>
      </c>
      <c r="S20625">
        <v>0</v>
      </c>
      <c r="T20625" t="s">
        <v>59292</v>
      </c>
    </row>
    <row r="20626" spans="1:25" hidden="1" x14ac:dyDescent="0.25">
      <c r="A20626" s="3" t="s">
        <v>24</v>
      </c>
      <c r="B20626" s="3" t="s">
        <v>77267</v>
      </c>
      <c r="C20626" s="3" t="str">
        <f>"A0092407"</f>
        <v>A0092407</v>
      </c>
      <c r="D20626" s="3" t="s">
        <v>77268</v>
      </c>
      <c r="E20626" s="3" t="s">
        <v>77269</v>
      </c>
      <c r="F20626" s="3" t="s">
        <v>77270</v>
      </c>
      <c r="G20626" s="3" t="s">
        <v>12786</v>
      </c>
      <c r="I20626" s="3" t="s">
        <v>12788</v>
      </c>
      <c r="J20626" s="3" t="s">
        <v>206</v>
      </c>
      <c r="K20626" s="3" t="s">
        <v>163</v>
      </c>
      <c r="N20626" s="3" t="s">
        <v>77271</v>
      </c>
      <c r="O20626" s="3" t="s">
        <v>77272</v>
      </c>
      <c r="Q20626" s="3">
        <v>0</v>
      </c>
      <c r="R20626" s="3">
        <v>75</v>
      </c>
      <c r="S20626" s="3">
        <v>0</v>
      </c>
      <c r="T20626" s="3" t="s">
        <v>77273</v>
      </c>
    </row>
    <row r="20627" spans="1:25" customFormat="1" ht="15" x14ac:dyDescent="0.25">
      <c r="A20627" t="s">
        <v>24</v>
      </c>
      <c r="B20627" t="s">
        <v>10398</v>
      </c>
      <c r="C20627" t="str">
        <f>"651IC"</f>
        <v>651IC</v>
      </c>
      <c r="D20627" t="s">
        <v>61722</v>
      </c>
      <c r="E20627" t="s">
        <v>61723</v>
      </c>
      <c r="F20627" t="s">
        <v>61724</v>
      </c>
      <c r="G20627" t="s">
        <v>110</v>
      </c>
      <c r="H20627">
        <v>92075</v>
      </c>
      <c r="I20627" t="s">
        <v>30</v>
      </c>
      <c r="J20627" t="s">
        <v>171</v>
      </c>
      <c r="K20627" t="s">
        <v>973</v>
      </c>
      <c r="N20627" t="s">
        <v>61725</v>
      </c>
      <c r="Q20627">
        <v>0</v>
      </c>
      <c r="R20627">
        <v>120</v>
      </c>
      <c r="S20627">
        <v>0</v>
      </c>
      <c r="T20627" t="s">
        <v>61726</v>
      </c>
    </row>
    <row r="20628" spans="1:25" customFormat="1" ht="15" x14ac:dyDescent="0.25">
      <c r="A20628" t="s">
        <v>24</v>
      </c>
      <c r="B20628" t="s">
        <v>675</v>
      </c>
      <c r="C20628" t="str">
        <f>"311J4"</f>
        <v>311J4</v>
      </c>
      <c r="D20628" t="s">
        <v>61727</v>
      </c>
      <c r="E20628" t="s">
        <v>61728</v>
      </c>
      <c r="F20628" t="s">
        <v>35101</v>
      </c>
      <c r="G20628" t="s">
        <v>110</v>
      </c>
      <c r="H20628">
        <v>94066</v>
      </c>
      <c r="I20628" t="s">
        <v>30</v>
      </c>
      <c r="J20628" t="s">
        <v>171</v>
      </c>
      <c r="K20628" t="s">
        <v>973</v>
      </c>
      <c r="N20628" t="s">
        <v>61729</v>
      </c>
      <c r="O20628" t="s">
        <v>61730</v>
      </c>
      <c r="Q20628">
        <v>0</v>
      </c>
      <c r="R20628">
        <v>147</v>
      </c>
      <c r="S20628">
        <v>0</v>
      </c>
      <c r="T20628" t="s">
        <v>61731</v>
      </c>
    </row>
    <row r="20629" spans="1:25" customFormat="1" ht="15" x14ac:dyDescent="0.25">
      <c r="A20629" t="s">
        <v>24</v>
      </c>
      <c r="B20629" t="s">
        <v>5843</v>
      </c>
      <c r="C20629" t="str">
        <f>"A0091357"</f>
        <v>A0091357</v>
      </c>
      <c r="D20629" t="s">
        <v>77285</v>
      </c>
      <c r="E20629" t="s">
        <v>77286</v>
      </c>
      <c r="F20629" t="s">
        <v>2978</v>
      </c>
      <c r="G20629" t="s">
        <v>110</v>
      </c>
      <c r="H20629">
        <v>92109</v>
      </c>
      <c r="I20629" t="s">
        <v>30</v>
      </c>
      <c r="J20629" t="s">
        <v>31</v>
      </c>
      <c r="K20629" t="s">
        <v>163</v>
      </c>
      <c r="N20629" t="s">
        <v>77287</v>
      </c>
      <c r="Q20629">
        <v>0</v>
      </c>
      <c r="R20629">
        <v>50</v>
      </c>
      <c r="S20629">
        <v>0</v>
      </c>
      <c r="T20629" t="s">
        <v>77288</v>
      </c>
    </row>
    <row r="20630" spans="1:25" customFormat="1" ht="15" hidden="1" x14ac:dyDescent="0.25">
      <c r="A20630" t="s">
        <v>24</v>
      </c>
      <c r="B20630" t="s">
        <v>3840</v>
      </c>
      <c r="C20630" t="str">
        <f>"A0145425"</f>
        <v>A0145425</v>
      </c>
      <c r="D20630" t="s">
        <v>77289</v>
      </c>
      <c r="E20630" t="s">
        <v>77290</v>
      </c>
      <c r="F20630" t="s">
        <v>59297</v>
      </c>
      <c r="G20630" t="s">
        <v>13345</v>
      </c>
      <c r="H20630">
        <v>52763</v>
      </c>
      <c r="I20630" t="s">
        <v>2408</v>
      </c>
      <c r="J20630" t="s">
        <v>1004</v>
      </c>
      <c r="K20630" t="s">
        <v>163</v>
      </c>
      <c r="N20630" t="s">
        <v>3844</v>
      </c>
      <c r="Q20630">
        <v>0</v>
      </c>
      <c r="R20630">
        <v>0</v>
      </c>
      <c r="S20630">
        <v>0</v>
      </c>
      <c r="T20630" t="s">
        <v>77291</v>
      </c>
    </row>
    <row r="20631" spans="1:25" customFormat="1" ht="15" x14ac:dyDescent="0.25">
      <c r="A20631" t="s">
        <v>24</v>
      </c>
      <c r="B20631" t="s">
        <v>2360</v>
      </c>
      <c r="C20631" t="str">
        <f>"A0093779"</f>
        <v>A0093779</v>
      </c>
      <c r="D20631" t="s">
        <v>77292</v>
      </c>
      <c r="E20631" t="s">
        <v>77293</v>
      </c>
      <c r="F20631" t="s">
        <v>57330</v>
      </c>
      <c r="G20631" t="s">
        <v>846</v>
      </c>
      <c r="H20631">
        <v>30269</v>
      </c>
      <c r="I20631" t="s">
        <v>30</v>
      </c>
      <c r="J20631" t="s">
        <v>2558</v>
      </c>
      <c r="K20631" t="s">
        <v>8013</v>
      </c>
      <c r="N20631" t="s">
        <v>77294</v>
      </c>
      <c r="Q20631">
        <v>0</v>
      </c>
      <c r="R20631">
        <v>0</v>
      </c>
      <c r="S20631">
        <v>0</v>
      </c>
      <c r="T20631" t="s">
        <v>77295</v>
      </c>
    </row>
    <row r="20632" spans="1:25" x14ac:dyDescent="0.25">
      <c r="A20632" s="5" t="s">
        <v>24</v>
      </c>
      <c r="B20632" s="5" t="s">
        <v>59534</v>
      </c>
      <c r="C20632" s="5" t="str">
        <f>"651SJ"</f>
        <v>651SJ</v>
      </c>
      <c r="D20632" s="5" t="s">
        <v>61732</v>
      </c>
      <c r="E20632" s="5" t="s">
        <v>61733</v>
      </c>
      <c r="F20632" s="5" t="s">
        <v>748</v>
      </c>
      <c r="G20632" s="5" t="s">
        <v>110</v>
      </c>
      <c r="H20632" s="5">
        <v>94133</v>
      </c>
      <c r="I20632" s="5" t="s">
        <v>30</v>
      </c>
      <c r="J20632" s="5" t="s">
        <v>171</v>
      </c>
      <c r="K20632" s="5" t="s">
        <v>973</v>
      </c>
      <c r="L20632" s="5"/>
      <c r="M20632" s="5"/>
      <c r="N20632" s="5" t="s">
        <v>61734</v>
      </c>
      <c r="O20632" s="5"/>
      <c r="P20632" s="5"/>
      <c r="Q20632" s="5">
        <v>0</v>
      </c>
      <c r="R20632" s="5">
        <v>127</v>
      </c>
      <c r="S20632" s="5">
        <v>0</v>
      </c>
      <c r="T20632" s="5" t="s">
        <v>61735</v>
      </c>
      <c r="U20632" s="5"/>
      <c r="V20632" s="5"/>
      <c r="W20632" s="5"/>
      <c r="X20632" s="5"/>
      <c r="Y20632" s="5"/>
    </row>
    <row r="20633" spans="1:25" customFormat="1" ht="15" x14ac:dyDescent="0.25">
      <c r="A20633" t="s">
        <v>24</v>
      </c>
      <c r="B20633" t="s">
        <v>56488</v>
      </c>
      <c r="C20633" t="str">
        <f>"A0051072"</f>
        <v>A0051072</v>
      </c>
      <c r="D20633" t="s">
        <v>77302</v>
      </c>
      <c r="E20633" t="s">
        <v>77303</v>
      </c>
      <c r="F20633" t="s">
        <v>5620</v>
      </c>
      <c r="G20633" t="s">
        <v>52</v>
      </c>
      <c r="H20633">
        <v>77406</v>
      </c>
      <c r="I20633" t="s">
        <v>30</v>
      </c>
      <c r="J20633" t="s">
        <v>178</v>
      </c>
      <c r="K20633" t="s">
        <v>179</v>
      </c>
      <c r="N20633" t="s">
        <v>77304</v>
      </c>
      <c r="O20633" t="s">
        <v>77305</v>
      </c>
      <c r="Q20633">
        <v>2</v>
      </c>
      <c r="R20633">
        <v>0</v>
      </c>
      <c r="S20633">
        <v>0</v>
      </c>
      <c r="T20633" t="s">
        <v>77306</v>
      </c>
    </row>
    <row r="20634" spans="1:25" customFormat="1" ht="15" x14ac:dyDescent="0.25">
      <c r="A20634" t="s">
        <v>24</v>
      </c>
      <c r="B20634" t="s">
        <v>77307</v>
      </c>
      <c r="C20634" t="str">
        <f>"A0051580"</f>
        <v>A0051580</v>
      </c>
      <c r="D20634" t="s">
        <v>77308</v>
      </c>
      <c r="E20634" t="s">
        <v>77309</v>
      </c>
      <c r="F20634" t="s">
        <v>77310</v>
      </c>
      <c r="G20634" t="s">
        <v>103</v>
      </c>
      <c r="H20634">
        <v>19082</v>
      </c>
      <c r="I20634" t="s">
        <v>30</v>
      </c>
      <c r="J20634" t="s">
        <v>178</v>
      </c>
      <c r="K20634" t="s">
        <v>179</v>
      </c>
      <c r="N20634" t="s">
        <v>77311</v>
      </c>
      <c r="O20634" t="s">
        <v>77312</v>
      </c>
      <c r="P20634" t="s">
        <v>992</v>
      </c>
      <c r="Q20634">
        <v>1</v>
      </c>
      <c r="R20634">
        <v>0</v>
      </c>
      <c r="S20634">
        <v>0</v>
      </c>
      <c r="T20634" t="s">
        <v>77313</v>
      </c>
    </row>
    <row r="20635" spans="1:25" customFormat="1" ht="15" x14ac:dyDescent="0.25">
      <c r="A20635" t="s">
        <v>24</v>
      </c>
      <c r="B20635" t="s">
        <v>77314</v>
      </c>
      <c r="C20635" t="str">
        <f>"A0090926"</f>
        <v>A0090926</v>
      </c>
      <c r="D20635" t="s">
        <v>77315</v>
      </c>
      <c r="E20635" t="s">
        <v>77316</v>
      </c>
      <c r="F20635" t="s">
        <v>57914</v>
      </c>
      <c r="G20635" t="s">
        <v>123</v>
      </c>
      <c r="H20635">
        <v>21617</v>
      </c>
      <c r="I20635" t="s">
        <v>30</v>
      </c>
      <c r="J20635" t="s">
        <v>7657</v>
      </c>
      <c r="K20635" t="s">
        <v>163</v>
      </c>
      <c r="N20635" t="s">
        <v>77317</v>
      </c>
      <c r="O20635" t="s">
        <v>77318</v>
      </c>
      <c r="Q20635">
        <v>0</v>
      </c>
      <c r="R20635">
        <v>203</v>
      </c>
      <c r="S20635">
        <v>0</v>
      </c>
      <c r="T20635" t="s">
        <v>77319</v>
      </c>
    </row>
    <row r="20636" spans="1:25" x14ac:dyDescent="0.25">
      <c r="A20636" s="5" t="s">
        <v>24</v>
      </c>
      <c r="B20636" s="5" t="s">
        <v>59907</v>
      </c>
      <c r="C20636" s="5" t="str">
        <f>"A0073601"</f>
        <v>A0073601</v>
      </c>
      <c r="D20636" s="5" t="s">
        <v>61736</v>
      </c>
      <c r="E20636" s="5" t="s">
        <v>61737</v>
      </c>
      <c r="F20636" s="5" t="s">
        <v>61738</v>
      </c>
      <c r="G20636" s="5" t="s">
        <v>110</v>
      </c>
      <c r="H20636" s="5">
        <v>94109</v>
      </c>
      <c r="I20636" s="5" t="s">
        <v>30</v>
      </c>
      <c r="J20636" s="5" t="s">
        <v>171</v>
      </c>
      <c r="K20636" s="5" t="s">
        <v>973</v>
      </c>
      <c r="L20636" s="5"/>
      <c r="M20636" s="5"/>
      <c r="N20636" s="5" t="s">
        <v>61739</v>
      </c>
      <c r="O20636" s="5"/>
      <c r="P20636" s="5"/>
      <c r="Q20636" s="5">
        <v>0</v>
      </c>
      <c r="R20636" s="5">
        <v>157</v>
      </c>
      <c r="S20636" s="5">
        <v>0</v>
      </c>
      <c r="T20636" s="5" t="s">
        <v>61740</v>
      </c>
      <c r="U20636" s="5"/>
      <c r="V20636" s="5"/>
      <c r="W20636" s="5"/>
      <c r="X20636" s="5"/>
      <c r="Y20636" s="5"/>
    </row>
    <row r="20637" spans="1:25" x14ac:dyDescent="0.25">
      <c r="A20637" s="5" t="s">
        <v>24</v>
      </c>
      <c r="B20637" s="5" t="s">
        <v>2975</v>
      </c>
      <c r="C20637" s="5" t="str">
        <f>"6517D"</f>
        <v>6517D</v>
      </c>
      <c r="D20637" s="5" t="s">
        <v>61751</v>
      </c>
      <c r="E20637" s="5" t="s">
        <v>61752</v>
      </c>
      <c r="F20637" s="5" t="s">
        <v>4802</v>
      </c>
      <c r="G20637" s="5" t="s">
        <v>110</v>
      </c>
      <c r="H20637" s="5">
        <v>95134</v>
      </c>
      <c r="I20637" s="5" t="s">
        <v>30</v>
      </c>
      <c r="J20637" s="5" t="s">
        <v>171</v>
      </c>
      <c r="K20637" s="5" t="s">
        <v>973</v>
      </c>
      <c r="L20637" s="5"/>
      <c r="M20637" s="5"/>
      <c r="N20637" s="5" t="s">
        <v>61753</v>
      </c>
      <c r="O20637" s="5"/>
      <c r="P20637" s="5"/>
      <c r="Q20637" s="5">
        <v>0</v>
      </c>
      <c r="R20637" s="5">
        <v>157</v>
      </c>
      <c r="S20637" s="5">
        <v>0</v>
      </c>
      <c r="T20637" s="5" t="s">
        <v>61754</v>
      </c>
      <c r="U20637" s="5"/>
      <c r="V20637" s="5"/>
      <c r="W20637" s="5"/>
      <c r="X20637" s="5"/>
      <c r="Y20637" s="5"/>
    </row>
    <row r="20638" spans="1:25" x14ac:dyDescent="0.25">
      <c r="A20638" s="5" t="s">
        <v>24</v>
      </c>
      <c r="B20638" s="5" t="s">
        <v>675</v>
      </c>
      <c r="C20638" s="5" t="str">
        <f>"311J5"</f>
        <v>311J5</v>
      </c>
      <c r="D20638" s="5" t="s">
        <v>61755</v>
      </c>
      <c r="E20638" s="5" t="s">
        <v>61756</v>
      </c>
      <c r="F20638" s="5" t="s">
        <v>61757</v>
      </c>
      <c r="G20638" s="5" t="s">
        <v>110</v>
      </c>
      <c r="H20638" s="5">
        <v>94404</v>
      </c>
      <c r="I20638" s="5" t="s">
        <v>30</v>
      </c>
      <c r="J20638" s="5" t="s">
        <v>171</v>
      </c>
      <c r="K20638" s="5" t="s">
        <v>973</v>
      </c>
      <c r="L20638" s="5"/>
      <c r="M20638" s="5"/>
      <c r="N20638" s="5" t="s">
        <v>61758</v>
      </c>
      <c r="O20638" s="5" t="s">
        <v>61759</v>
      </c>
      <c r="P20638" s="5"/>
      <c r="Q20638" s="5">
        <v>0</v>
      </c>
      <c r="R20638" s="5">
        <v>147</v>
      </c>
      <c r="S20638" s="5">
        <v>0</v>
      </c>
      <c r="T20638" s="5" t="s">
        <v>61760</v>
      </c>
      <c r="U20638" s="5"/>
      <c r="V20638" s="5"/>
      <c r="W20638" s="5"/>
      <c r="X20638" s="5"/>
      <c r="Y20638" s="5"/>
    </row>
    <row r="20639" spans="1:25" x14ac:dyDescent="0.25">
      <c r="A20639" s="5" t="s">
        <v>24</v>
      </c>
      <c r="B20639" s="5" t="s">
        <v>13679</v>
      </c>
      <c r="C20639" s="5" t="str">
        <f>"A0088573"</f>
        <v>A0088573</v>
      </c>
      <c r="D20639" s="5" t="s">
        <v>61761</v>
      </c>
      <c r="E20639" s="5" t="s">
        <v>61762</v>
      </c>
      <c r="F20639" s="5" t="s">
        <v>35086</v>
      </c>
      <c r="G20639" s="5" t="s">
        <v>110</v>
      </c>
      <c r="H20639" s="5">
        <v>92707</v>
      </c>
      <c r="I20639" s="5" t="s">
        <v>30</v>
      </c>
      <c r="J20639" s="5" t="s">
        <v>171</v>
      </c>
      <c r="K20639" s="5" t="s">
        <v>973</v>
      </c>
      <c r="L20639" s="5"/>
      <c r="M20639" s="5"/>
      <c r="N20639" s="5" t="s">
        <v>61763</v>
      </c>
      <c r="O20639" s="5"/>
      <c r="P20639" s="5"/>
      <c r="Q20639" s="5">
        <v>0</v>
      </c>
      <c r="R20639" s="5">
        <v>155</v>
      </c>
      <c r="S20639" s="5">
        <v>0</v>
      </c>
      <c r="T20639" s="5" t="s">
        <v>61764</v>
      </c>
      <c r="U20639" s="5"/>
      <c r="V20639" s="5"/>
      <c r="W20639" s="5"/>
      <c r="X20639" s="5"/>
      <c r="Y20639" s="5"/>
    </row>
    <row r="20640" spans="1:25" x14ac:dyDescent="0.25">
      <c r="A20640" s="5" t="s">
        <v>24</v>
      </c>
      <c r="B20640" s="5" t="s">
        <v>675</v>
      </c>
      <c r="C20640" s="5" t="str">
        <f>"A0091368"</f>
        <v>A0091368</v>
      </c>
      <c r="D20640" s="5" t="s">
        <v>61765</v>
      </c>
      <c r="E20640" s="5" t="s">
        <v>61766</v>
      </c>
      <c r="F20640" s="5" t="s">
        <v>979</v>
      </c>
      <c r="G20640" s="5" t="s">
        <v>110</v>
      </c>
      <c r="H20640" s="5">
        <v>93117</v>
      </c>
      <c r="I20640" s="5" t="s">
        <v>30</v>
      </c>
      <c r="J20640" s="5" t="s">
        <v>171</v>
      </c>
      <c r="K20640" s="5" t="s">
        <v>973</v>
      </c>
      <c r="L20640" s="5"/>
      <c r="M20640" s="5"/>
      <c r="N20640" s="5" t="s">
        <v>61767</v>
      </c>
      <c r="O20640" s="5" t="s">
        <v>61768</v>
      </c>
      <c r="P20640" s="5"/>
      <c r="Q20640" s="5">
        <v>0</v>
      </c>
      <c r="R20640" s="5">
        <v>91</v>
      </c>
      <c r="S20640" s="5">
        <v>0</v>
      </c>
      <c r="T20640" s="5" t="s">
        <v>61769</v>
      </c>
      <c r="U20640" s="5"/>
      <c r="V20640" s="5"/>
      <c r="W20640" s="5"/>
      <c r="X20640" s="5"/>
      <c r="Y20640" s="5"/>
    </row>
    <row r="20641" spans="1:25" x14ac:dyDescent="0.25">
      <c r="A20641" s="5" t="s">
        <v>24</v>
      </c>
      <c r="B20641" s="5" t="s">
        <v>5843</v>
      </c>
      <c r="C20641" s="5" t="str">
        <f>"6514P"</f>
        <v>6514P</v>
      </c>
      <c r="D20641" s="5" t="s">
        <v>61770</v>
      </c>
      <c r="E20641" s="5" t="s">
        <v>61771</v>
      </c>
      <c r="F20641" s="5" t="s">
        <v>13657</v>
      </c>
      <c r="G20641" s="5" t="s">
        <v>110</v>
      </c>
      <c r="H20641" s="5">
        <v>95401</v>
      </c>
      <c r="I20641" s="5" t="s">
        <v>30</v>
      </c>
      <c r="J20641" s="5" t="s">
        <v>171</v>
      </c>
      <c r="K20641" s="5" t="s">
        <v>973</v>
      </c>
      <c r="L20641" s="5"/>
      <c r="M20641" s="5"/>
      <c r="N20641" s="5" t="s">
        <v>61772</v>
      </c>
      <c r="O20641" s="5"/>
      <c r="P20641" s="5"/>
      <c r="Q20641" s="5">
        <v>0</v>
      </c>
      <c r="R20641" s="5">
        <v>138</v>
      </c>
      <c r="S20641" s="5">
        <v>0</v>
      </c>
      <c r="T20641" s="5" t="s">
        <v>61773</v>
      </c>
      <c r="U20641" s="5"/>
      <c r="V20641" s="5"/>
      <c r="W20641" s="5"/>
      <c r="X20641" s="5"/>
      <c r="Y20641" s="5"/>
    </row>
    <row r="20642" spans="1:25" customFormat="1" ht="15" x14ac:dyDescent="0.25">
      <c r="A20642" t="s">
        <v>24</v>
      </c>
      <c r="B20642" t="s">
        <v>342</v>
      </c>
      <c r="C20642" t="str">
        <f>"651YH"</f>
        <v>651YH</v>
      </c>
      <c r="D20642" t="s">
        <v>61774</v>
      </c>
      <c r="E20642" t="s">
        <v>61775</v>
      </c>
      <c r="F20642" t="s">
        <v>709</v>
      </c>
      <c r="G20642" t="s">
        <v>81</v>
      </c>
      <c r="H20642">
        <v>34234</v>
      </c>
      <c r="I20642" t="s">
        <v>30</v>
      </c>
      <c r="J20642" t="s">
        <v>171</v>
      </c>
      <c r="K20642" t="s">
        <v>973</v>
      </c>
      <c r="N20642" t="s">
        <v>12858</v>
      </c>
      <c r="O20642" t="s">
        <v>61776</v>
      </c>
      <c r="Q20642">
        <v>0</v>
      </c>
      <c r="R20642">
        <v>81</v>
      </c>
      <c r="S20642">
        <v>0</v>
      </c>
      <c r="T20642" t="s">
        <v>61777</v>
      </c>
    </row>
    <row r="20643" spans="1:25" x14ac:dyDescent="0.25">
      <c r="A20643" s="5" t="s">
        <v>24</v>
      </c>
      <c r="B20643" s="5" t="s">
        <v>675</v>
      </c>
      <c r="C20643" s="5" t="str">
        <f>"311A8"</f>
        <v>311A8</v>
      </c>
      <c r="D20643" s="5" t="s">
        <v>61778</v>
      </c>
      <c r="E20643" s="5" t="s">
        <v>61779</v>
      </c>
      <c r="F20643" s="5" t="s">
        <v>2839</v>
      </c>
      <c r="G20643" s="5" t="s">
        <v>846</v>
      </c>
      <c r="H20643" s="5">
        <v>31405</v>
      </c>
      <c r="I20643" s="5" t="s">
        <v>30</v>
      </c>
      <c r="J20643" s="5" t="s">
        <v>171</v>
      </c>
      <c r="K20643" s="5" t="s">
        <v>973</v>
      </c>
      <c r="L20643" s="5"/>
      <c r="M20643" s="5"/>
      <c r="N20643" s="5" t="s">
        <v>61780</v>
      </c>
      <c r="O20643" s="5"/>
      <c r="P20643" s="5"/>
      <c r="Q20643" s="5">
        <v>0</v>
      </c>
      <c r="R20643" s="5">
        <v>144</v>
      </c>
      <c r="S20643" s="5">
        <v>0</v>
      </c>
      <c r="T20643" s="5" t="s">
        <v>61781</v>
      </c>
      <c r="U20643" s="5"/>
      <c r="V20643" s="5"/>
      <c r="W20643" s="5"/>
      <c r="X20643" s="5"/>
      <c r="Y20643" s="5"/>
    </row>
    <row r="20644" spans="1:25" customFormat="1" ht="15" x14ac:dyDescent="0.25">
      <c r="A20644" t="s">
        <v>24</v>
      </c>
      <c r="B20644" t="s">
        <v>5843</v>
      </c>
      <c r="C20644" t="str">
        <f>"A0061586"</f>
        <v>A0061586</v>
      </c>
      <c r="D20644" t="s">
        <v>77353</v>
      </c>
      <c r="E20644" t="s">
        <v>77354</v>
      </c>
      <c r="F20644" t="s">
        <v>1258</v>
      </c>
      <c r="G20644" t="s">
        <v>81</v>
      </c>
      <c r="H20644">
        <v>32118</v>
      </c>
      <c r="I20644" t="s">
        <v>30</v>
      </c>
      <c r="J20644" t="s">
        <v>31</v>
      </c>
      <c r="K20644" t="s">
        <v>13697</v>
      </c>
      <c r="N20644" t="s">
        <v>77355</v>
      </c>
      <c r="Q20644">
        <v>0</v>
      </c>
      <c r="R20644">
        <v>205</v>
      </c>
      <c r="S20644">
        <v>0</v>
      </c>
      <c r="T20644" t="s">
        <v>77356</v>
      </c>
    </row>
    <row r="20645" spans="1:25" customFormat="1" ht="15" x14ac:dyDescent="0.25">
      <c r="A20645" t="s">
        <v>24</v>
      </c>
      <c r="B20645" t="s">
        <v>58755</v>
      </c>
      <c r="C20645" t="str">
        <f>"A0100247"</f>
        <v>A0100247</v>
      </c>
      <c r="D20645" t="s">
        <v>61782</v>
      </c>
      <c r="E20645" t="s">
        <v>61783</v>
      </c>
      <c r="F20645" t="s">
        <v>2839</v>
      </c>
      <c r="G20645" t="s">
        <v>846</v>
      </c>
      <c r="H20645">
        <v>31322</v>
      </c>
      <c r="I20645" t="s">
        <v>30</v>
      </c>
      <c r="J20645" t="s">
        <v>171</v>
      </c>
      <c r="K20645" t="s">
        <v>973</v>
      </c>
      <c r="N20645" t="s">
        <v>61784</v>
      </c>
      <c r="O20645" t="s">
        <v>61785</v>
      </c>
      <c r="Q20645">
        <v>0</v>
      </c>
      <c r="R20645">
        <v>120</v>
      </c>
      <c r="S20645">
        <v>0</v>
      </c>
      <c r="T20645" t="s">
        <v>61786</v>
      </c>
    </row>
    <row r="20646" spans="1:25" hidden="1" x14ac:dyDescent="0.25">
      <c r="A20646" s="3" t="s">
        <v>24</v>
      </c>
      <c r="B20646" s="3" t="s">
        <v>8843</v>
      </c>
      <c r="C20646" s="3" t="str">
        <f>"A0091073"</f>
        <v>A0091073</v>
      </c>
      <c r="D20646" s="3" t="s">
        <v>77361</v>
      </c>
      <c r="E20646" s="3" t="s">
        <v>77362</v>
      </c>
      <c r="F20646" s="3" t="s">
        <v>77363</v>
      </c>
      <c r="G20646" s="3" t="s">
        <v>77364</v>
      </c>
      <c r="H20646" s="3" t="s">
        <v>77365</v>
      </c>
      <c r="I20646" s="3" t="s">
        <v>4144</v>
      </c>
      <c r="J20646" s="3" t="s">
        <v>206</v>
      </c>
      <c r="K20646" s="3" t="s">
        <v>163</v>
      </c>
      <c r="N20646" s="3" t="s">
        <v>77366</v>
      </c>
      <c r="Q20646" s="3">
        <v>0</v>
      </c>
      <c r="R20646" s="3">
        <v>65</v>
      </c>
      <c r="S20646" s="3">
        <v>0</v>
      </c>
      <c r="T20646" s="3" t="s">
        <v>77367</v>
      </c>
    </row>
    <row r="20647" spans="1:25" customFormat="1" ht="15" x14ac:dyDescent="0.25">
      <c r="A20647" t="s">
        <v>24</v>
      </c>
      <c r="B20647" t="s">
        <v>257</v>
      </c>
      <c r="C20647" t="str">
        <f>"6515Q"</f>
        <v>6515Q</v>
      </c>
      <c r="D20647" t="s">
        <v>61787</v>
      </c>
      <c r="E20647" t="s">
        <v>61788</v>
      </c>
      <c r="F20647" t="s">
        <v>2839</v>
      </c>
      <c r="G20647" t="s">
        <v>846</v>
      </c>
      <c r="H20647">
        <v>31401</v>
      </c>
      <c r="I20647" t="s">
        <v>30</v>
      </c>
      <c r="J20647" t="s">
        <v>171</v>
      </c>
      <c r="K20647" t="s">
        <v>973</v>
      </c>
      <c r="N20647" t="s">
        <v>61789</v>
      </c>
      <c r="O20647" t="s">
        <v>61790</v>
      </c>
      <c r="Q20647">
        <v>0</v>
      </c>
      <c r="R20647">
        <v>156</v>
      </c>
      <c r="S20647">
        <v>0</v>
      </c>
      <c r="T20647" t="s">
        <v>61791</v>
      </c>
    </row>
    <row r="20648" spans="1:25" customFormat="1" ht="15" x14ac:dyDescent="0.25">
      <c r="A20648" t="s">
        <v>24</v>
      </c>
      <c r="B20648" t="s">
        <v>61792</v>
      </c>
      <c r="C20648" t="str">
        <f>"A0096473"</f>
        <v>A0096473</v>
      </c>
      <c r="D20648" t="s">
        <v>61793</v>
      </c>
      <c r="E20648" t="s">
        <v>61794</v>
      </c>
      <c r="F20648" t="s">
        <v>61795</v>
      </c>
      <c r="G20648" t="s">
        <v>99</v>
      </c>
      <c r="H20648">
        <v>12305</v>
      </c>
      <c r="I20648" t="s">
        <v>30</v>
      </c>
      <c r="J20648" t="s">
        <v>171</v>
      </c>
      <c r="K20648" t="s">
        <v>973</v>
      </c>
      <c r="N20648" t="s">
        <v>61796</v>
      </c>
      <c r="Q20648">
        <v>0</v>
      </c>
      <c r="R20648">
        <v>124</v>
      </c>
      <c r="S20648">
        <v>0</v>
      </c>
      <c r="T20648" t="s">
        <v>61797</v>
      </c>
    </row>
    <row r="20649" spans="1:25" customFormat="1" ht="15" x14ac:dyDescent="0.25">
      <c r="A20649" t="s">
        <v>24</v>
      </c>
      <c r="B20649" t="s">
        <v>77377</v>
      </c>
      <c r="C20649" t="str">
        <f>"A0051582"</f>
        <v>A0051582</v>
      </c>
      <c r="D20649" t="s">
        <v>77378</v>
      </c>
      <c r="E20649" t="s">
        <v>77379</v>
      </c>
      <c r="F20649" t="s">
        <v>9812</v>
      </c>
      <c r="G20649" t="s">
        <v>103</v>
      </c>
      <c r="H20649">
        <v>19118</v>
      </c>
      <c r="I20649" t="s">
        <v>30</v>
      </c>
      <c r="J20649" t="s">
        <v>178</v>
      </c>
      <c r="K20649" t="s">
        <v>179</v>
      </c>
      <c r="N20649" t="s">
        <v>77380</v>
      </c>
      <c r="O20649" t="s">
        <v>77381</v>
      </c>
      <c r="P20649" t="s">
        <v>992</v>
      </c>
      <c r="Q20649">
        <v>1</v>
      </c>
      <c r="R20649">
        <v>9</v>
      </c>
      <c r="S20649">
        <v>0</v>
      </c>
      <c r="T20649" t="s">
        <v>77382</v>
      </c>
    </row>
    <row r="20650" spans="1:25" customFormat="1" ht="15" x14ac:dyDescent="0.25">
      <c r="A20650" t="s">
        <v>24</v>
      </c>
      <c r="B20650" t="s">
        <v>77377</v>
      </c>
      <c r="C20650" t="str">
        <f>"A0051583"</f>
        <v>A0051583</v>
      </c>
      <c r="D20650" t="s">
        <v>77383</v>
      </c>
      <c r="E20650" t="s">
        <v>77384</v>
      </c>
      <c r="F20650" t="s">
        <v>77385</v>
      </c>
      <c r="G20650" t="s">
        <v>103</v>
      </c>
      <c r="H20650">
        <v>19031</v>
      </c>
      <c r="I20650" t="s">
        <v>30</v>
      </c>
      <c r="J20650" t="s">
        <v>178</v>
      </c>
      <c r="K20650" t="s">
        <v>179</v>
      </c>
      <c r="N20650" t="s">
        <v>77386</v>
      </c>
      <c r="P20650" t="s">
        <v>992</v>
      </c>
      <c r="Q20650">
        <v>2</v>
      </c>
      <c r="R20650">
        <v>18</v>
      </c>
      <c r="S20650">
        <v>0</v>
      </c>
      <c r="T20650" t="s">
        <v>77387</v>
      </c>
    </row>
    <row r="20651" spans="1:25" x14ac:dyDescent="0.25">
      <c r="A20651" s="5" t="s">
        <v>24</v>
      </c>
      <c r="B20651" s="5" t="s">
        <v>675</v>
      </c>
      <c r="C20651" s="5" t="str">
        <f>"311LA"</f>
        <v>311LA</v>
      </c>
      <c r="D20651" s="5" t="s">
        <v>61798</v>
      </c>
      <c r="E20651" s="5" t="s">
        <v>61799</v>
      </c>
      <c r="F20651" s="5" t="s">
        <v>2014</v>
      </c>
      <c r="G20651" s="5" t="s">
        <v>197</v>
      </c>
      <c r="H20651" s="5">
        <v>85251</v>
      </c>
      <c r="I20651" s="5" t="s">
        <v>30</v>
      </c>
      <c r="J20651" s="5" t="s">
        <v>171</v>
      </c>
      <c r="K20651" s="5" t="s">
        <v>973</v>
      </c>
      <c r="L20651" s="5"/>
      <c r="M20651" s="5"/>
      <c r="N20651" s="5" t="s">
        <v>61800</v>
      </c>
      <c r="O20651" s="5"/>
      <c r="P20651" s="5"/>
      <c r="Q20651" s="5">
        <v>0</v>
      </c>
      <c r="R20651" s="5">
        <v>180</v>
      </c>
      <c r="S20651" s="5">
        <v>0</v>
      </c>
      <c r="T20651" s="5" t="s">
        <v>61801</v>
      </c>
      <c r="U20651" s="5"/>
      <c r="V20651" s="5"/>
      <c r="W20651" s="5"/>
      <c r="X20651" s="5"/>
      <c r="Y20651" s="5"/>
    </row>
    <row r="20652" spans="1:25" customFormat="1" ht="15" x14ac:dyDescent="0.25">
      <c r="A20652" t="s">
        <v>24</v>
      </c>
      <c r="B20652" t="s">
        <v>186</v>
      </c>
      <c r="C20652" t="str">
        <f>"A0146655"</f>
        <v>A0146655</v>
      </c>
      <c r="D20652" t="s">
        <v>77393</v>
      </c>
      <c r="E20652" t="s">
        <v>63785</v>
      </c>
      <c r="F20652" t="s">
        <v>34169</v>
      </c>
      <c r="G20652" t="s">
        <v>190</v>
      </c>
      <c r="H20652">
        <v>81615</v>
      </c>
      <c r="I20652" t="s">
        <v>30</v>
      </c>
      <c r="J20652" t="s">
        <v>1004</v>
      </c>
      <c r="K20652" t="s">
        <v>163</v>
      </c>
      <c r="N20652" t="s">
        <v>77394</v>
      </c>
      <c r="O20652" t="s">
        <v>55669</v>
      </c>
      <c r="Q20652">
        <v>0</v>
      </c>
      <c r="R20652">
        <v>0</v>
      </c>
      <c r="S20652">
        <v>0</v>
      </c>
      <c r="T20652" t="s">
        <v>55670</v>
      </c>
    </row>
    <row r="20653" spans="1:25" customFormat="1" ht="15" hidden="1" x14ac:dyDescent="0.25">
      <c r="A20653" t="s">
        <v>24</v>
      </c>
      <c r="B20653" t="s">
        <v>77395</v>
      </c>
      <c r="C20653" t="str">
        <f>"A0101086"</f>
        <v>A0101086</v>
      </c>
      <c r="D20653" t="s">
        <v>77396</v>
      </c>
      <c r="E20653" t="s">
        <v>77397</v>
      </c>
      <c r="F20653" t="s">
        <v>77398</v>
      </c>
      <c r="G20653" t="s">
        <v>53283</v>
      </c>
      <c r="H20653" t="s">
        <v>77399</v>
      </c>
      <c r="I20653" t="s">
        <v>1459</v>
      </c>
      <c r="J20653" t="s">
        <v>162</v>
      </c>
      <c r="K20653" t="s">
        <v>163</v>
      </c>
      <c r="N20653" t="s">
        <v>77400</v>
      </c>
      <c r="O20653" t="s">
        <v>77401</v>
      </c>
      <c r="Q20653">
        <v>0</v>
      </c>
      <c r="R20653">
        <v>58</v>
      </c>
      <c r="S20653">
        <v>0</v>
      </c>
      <c r="T20653" t="s">
        <v>77402</v>
      </c>
    </row>
    <row r="20654" spans="1:25" customFormat="1" ht="15" x14ac:dyDescent="0.25">
      <c r="A20654" t="s">
        <v>24</v>
      </c>
      <c r="B20654" t="s">
        <v>2360</v>
      </c>
      <c r="C20654" t="str">
        <f>"CL1724"</f>
        <v>CL1724</v>
      </c>
      <c r="D20654" t="s">
        <v>77403</v>
      </c>
      <c r="E20654" t="s">
        <v>77404</v>
      </c>
      <c r="F20654" t="s">
        <v>62976</v>
      </c>
      <c r="G20654" t="s">
        <v>29</v>
      </c>
      <c r="H20654">
        <v>20169</v>
      </c>
      <c r="I20654" t="s">
        <v>30</v>
      </c>
      <c r="J20654" t="s">
        <v>178</v>
      </c>
      <c r="K20654" t="s">
        <v>55688</v>
      </c>
      <c r="N20654" t="s">
        <v>77405</v>
      </c>
      <c r="P20654" t="s">
        <v>992</v>
      </c>
      <c r="Q20654">
        <v>1</v>
      </c>
      <c r="R20654">
        <v>0</v>
      </c>
      <c r="S20654">
        <v>0</v>
      </c>
      <c r="T20654" t="s">
        <v>77406</v>
      </c>
    </row>
    <row r="20655" spans="1:25" customFormat="1" ht="15" x14ac:dyDescent="0.25">
      <c r="A20655" t="s">
        <v>24</v>
      </c>
      <c r="B20655" t="s">
        <v>675</v>
      </c>
      <c r="C20655" t="str">
        <f>"A0054984"</f>
        <v>A0054984</v>
      </c>
      <c r="D20655" t="s">
        <v>61802</v>
      </c>
      <c r="E20655" t="s">
        <v>61803</v>
      </c>
      <c r="F20655" t="s">
        <v>2014</v>
      </c>
      <c r="G20655" t="s">
        <v>197</v>
      </c>
      <c r="H20655">
        <v>85250</v>
      </c>
      <c r="I20655" t="s">
        <v>30</v>
      </c>
      <c r="J20655" t="s">
        <v>171</v>
      </c>
      <c r="K20655" t="s">
        <v>973</v>
      </c>
      <c r="N20655" t="s">
        <v>61804</v>
      </c>
      <c r="Q20655">
        <v>0</v>
      </c>
      <c r="R20655">
        <v>153</v>
      </c>
      <c r="S20655">
        <v>0</v>
      </c>
      <c r="T20655" t="s">
        <v>61805</v>
      </c>
    </row>
    <row r="20656" spans="1:25" customFormat="1" ht="15" x14ac:dyDescent="0.25">
      <c r="A20656" t="s">
        <v>24</v>
      </c>
      <c r="B20656" t="s">
        <v>4400</v>
      </c>
      <c r="C20656" t="str">
        <f>"651U4"</f>
        <v>651U4</v>
      </c>
      <c r="D20656" t="s">
        <v>61806</v>
      </c>
      <c r="E20656" t="s">
        <v>61807</v>
      </c>
      <c r="F20656" t="s">
        <v>9340</v>
      </c>
      <c r="G20656" t="s">
        <v>103</v>
      </c>
      <c r="H20656">
        <v>18507</v>
      </c>
      <c r="I20656" t="s">
        <v>30</v>
      </c>
      <c r="J20656" t="s">
        <v>171</v>
      </c>
      <c r="K20656" t="s">
        <v>973</v>
      </c>
      <c r="N20656" t="s">
        <v>61808</v>
      </c>
      <c r="O20656" t="s">
        <v>61809</v>
      </c>
      <c r="Q20656">
        <v>0</v>
      </c>
      <c r="R20656">
        <v>120</v>
      </c>
      <c r="S20656">
        <v>0</v>
      </c>
      <c r="T20656" t="s">
        <v>61810</v>
      </c>
    </row>
    <row r="20657" spans="1:25" customFormat="1" ht="15" x14ac:dyDescent="0.25">
      <c r="A20657" t="s">
        <v>24</v>
      </c>
      <c r="B20657" t="s">
        <v>61811</v>
      </c>
      <c r="C20657" t="str">
        <f>"A0074175"</f>
        <v>A0074175</v>
      </c>
      <c r="D20657" t="s">
        <v>61812</v>
      </c>
      <c r="E20657" t="s">
        <v>61813</v>
      </c>
      <c r="F20657" t="s">
        <v>5752</v>
      </c>
      <c r="G20657" t="s">
        <v>76</v>
      </c>
      <c r="H20657">
        <v>98004</v>
      </c>
      <c r="I20657" t="s">
        <v>30</v>
      </c>
      <c r="J20657" t="s">
        <v>171</v>
      </c>
      <c r="K20657" t="s">
        <v>973</v>
      </c>
      <c r="N20657" t="s">
        <v>61814</v>
      </c>
      <c r="O20657" t="s">
        <v>61815</v>
      </c>
      <c r="Q20657">
        <v>0</v>
      </c>
      <c r="R20657">
        <v>253</v>
      </c>
      <c r="S20657">
        <v>0</v>
      </c>
      <c r="T20657" t="s">
        <v>61816</v>
      </c>
    </row>
    <row r="20658" spans="1:25" customFormat="1" ht="15" x14ac:dyDescent="0.25">
      <c r="A20658" t="s">
        <v>24</v>
      </c>
      <c r="B20658" t="s">
        <v>77421</v>
      </c>
      <c r="C20658" t="str">
        <f>"A0091247"</f>
        <v>A0091247</v>
      </c>
      <c r="D20658" t="s">
        <v>77422</v>
      </c>
      <c r="E20658" t="s">
        <v>77423</v>
      </c>
      <c r="F20658" t="s">
        <v>1852</v>
      </c>
      <c r="G20658" t="s">
        <v>117</v>
      </c>
      <c r="H20658">
        <v>48309</v>
      </c>
      <c r="I20658" t="s">
        <v>30</v>
      </c>
      <c r="J20658" t="s">
        <v>178</v>
      </c>
      <c r="K20658" t="s">
        <v>179</v>
      </c>
      <c r="N20658" t="s">
        <v>77424</v>
      </c>
      <c r="O20658" t="s">
        <v>77425</v>
      </c>
      <c r="Q20658">
        <v>1</v>
      </c>
      <c r="R20658">
        <v>0</v>
      </c>
      <c r="S20658">
        <v>0</v>
      </c>
      <c r="T20658" t="s">
        <v>77426</v>
      </c>
    </row>
    <row r="20659" spans="1:25" customFormat="1" ht="15" x14ac:dyDescent="0.25">
      <c r="A20659" t="s">
        <v>24</v>
      </c>
      <c r="B20659" t="s">
        <v>77427</v>
      </c>
      <c r="C20659" t="str">
        <f>"CL0463"</f>
        <v>CL0463</v>
      </c>
      <c r="D20659" t="s">
        <v>77427</v>
      </c>
      <c r="E20659" t="s">
        <v>77428</v>
      </c>
      <c r="F20659" t="s">
        <v>72153</v>
      </c>
      <c r="G20659" t="s">
        <v>214</v>
      </c>
      <c r="H20659">
        <v>28374</v>
      </c>
      <c r="I20659" t="s">
        <v>30</v>
      </c>
      <c r="J20659" t="s">
        <v>178</v>
      </c>
      <c r="K20659" t="s">
        <v>163</v>
      </c>
      <c r="N20659" t="s">
        <v>77429</v>
      </c>
      <c r="O20659" t="s">
        <v>77430</v>
      </c>
      <c r="P20659" t="s">
        <v>3998</v>
      </c>
      <c r="Q20659">
        <v>8</v>
      </c>
      <c r="R20659">
        <v>439</v>
      </c>
      <c r="S20659">
        <v>0</v>
      </c>
      <c r="T20659" t="s">
        <v>77431</v>
      </c>
    </row>
    <row r="20660" spans="1:25" customFormat="1" ht="15" x14ac:dyDescent="0.25">
      <c r="A20660" t="s">
        <v>24</v>
      </c>
      <c r="B20660" t="s">
        <v>675</v>
      </c>
      <c r="C20660" t="str">
        <f>"311JK"</f>
        <v>311JK</v>
      </c>
      <c r="D20660" t="s">
        <v>61817</v>
      </c>
      <c r="E20660" t="s">
        <v>61818</v>
      </c>
      <c r="F20660" t="s">
        <v>2900</v>
      </c>
      <c r="G20660" t="s">
        <v>76</v>
      </c>
      <c r="H20660">
        <v>98109</v>
      </c>
      <c r="I20660" t="s">
        <v>30</v>
      </c>
      <c r="J20660" t="s">
        <v>171</v>
      </c>
      <c r="K20660" t="s">
        <v>973</v>
      </c>
      <c r="N20660" t="s">
        <v>61819</v>
      </c>
      <c r="O20660" t="s">
        <v>61820</v>
      </c>
      <c r="Q20660">
        <v>0</v>
      </c>
      <c r="R20660">
        <v>250</v>
      </c>
      <c r="S20660">
        <v>0</v>
      </c>
      <c r="T20660" t="s">
        <v>61821</v>
      </c>
    </row>
    <row r="20661" spans="1:25" customFormat="1" ht="15" x14ac:dyDescent="0.25">
      <c r="A20661" t="s">
        <v>24</v>
      </c>
      <c r="B20661" t="s">
        <v>77439</v>
      </c>
      <c r="C20661" t="str">
        <f>"A0050256"</f>
        <v>A0050256</v>
      </c>
      <c r="D20661" t="s">
        <v>77439</v>
      </c>
      <c r="E20661" t="s">
        <v>77440</v>
      </c>
      <c r="F20661" t="s">
        <v>8795</v>
      </c>
      <c r="G20661" t="s">
        <v>85</v>
      </c>
      <c r="H20661">
        <v>72758</v>
      </c>
      <c r="I20661" t="s">
        <v>30</v>
      </c>
      <c r="J20661" t="s">
        <v>178</v>
      </c>
      <c r="K20661" t="s">
        <v>179</v>
      </c>
      <c r="N20661" t="s">
        <v>77441</v>
      </c>
      <c r="O20661" t="s">
        <v>77442</v>
      </c>
      <c r="P20661" t="s">
        <v>992</v>
      </c>
      <c r="Q20661">
        <v>1</v>
      </c>
      <c r="R20661">
        <v>0</v>
      </c>
      <c r="S20661">
        <v>0</v>
      </c>
      <c r="T20661" t="s">
        <v>77443</v>
      </c>
    </row>
    <row r="20662" spans="1:25" customFormat="1" ht="15" x14ac:dyDescent="0.25">
      <c r="A20662" t="s">
        <v>24</v>
      </c>
      <c r="B20662" t="s">
        <v>2180</v>
      </c>
      <c r="C20662" t="str">
        <f>"A0099904"</f>
        <v>A0099904</v>
      </c>
      <c r="D20662" t="s">
        <v>77444</v>
      </c>
      <c r="E20662" t="s">
        <v>66398</v>
      </c>
      <c r="F20662" t="s">
        <v>11700</v>
      </c>
      <c r="G20662" t="s">
        <v>880</v>
      </c>
      <c r="H20662">
        <v>38125</v>
      </c>
      <c r="I20662" t="s">
        <v>30</v>
      </c>
      <c r="J20662" t="s">
        <v>1004</v>
      </c>
      <c r="K20662" t="s">
        <v>163</v>
      </c>
      <c r="N20662" t="s">
        <v>66399</v>
      </c>
      <c r="Q20662">
        <v>0</v>
      </c>
      <c r="R20662">
        <v>0</v>
      </c>
      <c r="S20662">
        <v>0</v>
      </c>
      <c r="T20662" t="s">
        <v>66400</v>
      </c>
    </row>
    <row r="20663" spans="1:25" customFormat="1" ht="15" x14ac:dyDescent="0.25">
      <c r="A20663" t="s">
        <v>24</v>
      </c>
      <c r="B20663" t="s">
        <v>675</v>
      </c>
      <c r="C20663" t="str">
        <f>"A0087695"</f>
        <v>A0087695</v>
      </c>
      <c r="D20663" t="s">
        <v>61822</v>
      </c>
      <c r="E20663" t="s">
        <v>61823</v>
      </c>
      <c r="F20663" t="s">
        <v>2900</v>
      </c>
      <c r="G20663" t="s">
        <v>76</v>
      </c>
      <c r="H20663">
        <v>98104</v>
      </c>
      <c r="I20663" t="s">
        <v>30</v>
      </c>
      <c r="J20663" t="s">
        <v>171</v>
      </c>
      <c r="K20663" t="s">
        <v>973</v>
      </c>
      <c r="N20663" t="s">
        <v>61824</v>
      </c>
      <c r="O20663" t="s">
        <v>61825</v>
      </c>
      <c r="Q20663">
        <v>0</v>
      </c>
      <c r="R20663">
        <v>262</v>
      </c>
      <c r="S20663">
        <v>0</v>
      </c>
      <c r="T20663" t="s">
        <v>61826</v>
      </c>
    </row>
    <row r="20664" spans="1:25" customFormat="1" ht="15" x14ac:dyDescent="0.25">
      <c r="A20664" t="s">
        <v>24</v>
      </c>
      <c r="B20664" t="s">
        <v>6667</v>
      </c>
      <c r="C20664" t="str">
        <f>"CL0038"</f>
        <v>CL0038</v>
      </c>
      <c r="D20664" t="s">
        <v>77448</v>
      </c>
      <c r="E20664" t="s">
        <v>77449</v>
      </c>
      <c r="F20664" t="s">
        <v>2083</v>
      </c>
      <c r="G20664" t="s">
        <v>52</v>
      </c>
      <c r="H20664">
        <v>75035</v>
      </c>
      <c r="I20664" t="s">
        <v>30</v>
      </c>
      <c r="J20664" t="s">
        <v>178</v>
      </c>
      <c r="K20664" t="s">
        <v>6667</v>
      </c>
      <c r="N20664" t="s">
        <v>77450</v>
      </c>
      <c r="Q20664">
        <v>0</v>
      </c>
      <c r="R20664">
        <v>0</v>
      </c>
      <c r="S20664">
        <v>0</v>
      </c>
      <c r="T20664" t="s">
        <v>77451</v>
      </c>
    </row>
    <row r="20665" spans="1:25" customFormat="1" ht="15" x14ac:dyDescent="0.25">
      <c r="A20665" t="s">
        <v>24</v>
      </c>
      <c r="B20665" t="s">
        <v>2360</v>
      </c>
      <c r="C20665" t="str">
        <f>"A0049916"</f>
        <v>A0049916</v>
      </c>
      <c r="D20665" t="s">
        <v>77452</v>
      </c>
      <c r="E20665" t="s">
        <v>77453</v>
      </c>
      <c r="F20665" t="s">
        <v>57330</v>
      </c>
      <c r="G20665" t="s">
        <v>846</v>
      </c>
      <c r="H20665">
        <v>30269</v>
      </c>
      <c r="I20665" t="s">
        <v>30</v>
      </c>
      <c r="J20665" t="s">
        <v>178</v>
      </c>
      <c r="K20665" t="s">
        <v>56676</v>
      </c>
      <c r="N20665" t="s">
        <v>77454</v>
      </c>
      <c r="Q20665">
        <v>1</v>
      </c>
      <c r="R20665">
        <v>0</v>
      </c>
      <c r="S20665">
        <v>0</v>
      </c>
      <c r="T20665" t="s">
        <v>77455</v>
      </c>
    </row>
    <row r="20666" spans="1:25" x14ac:dyDescent="0.25">
      <c r="A20666" s="5" t="s">
        <v>24</v>
      </c>
      <c r="B20666" s="5" t="s">
        <v>675</v>
      </c>
      <c r="C20666" s="5" t="str">
        <f>"311MF"</f>
        <v>311MF</v>
      </c>
      <c r="D20666" s="5" t="s">
        <v>61827</v>
      </c>
      <c r="E20666" s="5" t="s">
        <v>61828</v>
      </c>
      <c r="F20666" s="5" t="s">
        <v>53634</v>
      </c>
      <c r="G20666" s="5" t="s">
        <v>76</v>
      </c>
      <c r="H20666" s="5">
        <v>98003</v>
      </c>
      <c r="I20666" s="5" t="s">
        <v>30</v>
      </c>
      <c r="J20666" s="5" t="s">
        <v>171</v>
      </c>
      <c r="K20666" s="5" t="s">
        <v>973</v>
      </c>
      <c r="L20666" s="5"/>
      <c r="M20666" s="5"/>
      <c r="N20666" s="5" t="s">
        <v>61829</v>
      </c>
      <c r="O20666" s="5" t="s">
        <v>53783</v>
      </c>
      <c r="P20666" s="5"/>
      <c r="Q20666" s="5">
        <v>0</v>
      </c>
      <c r="R20666" s="5">
        <v>160</v>
      </c>
      <c r="S20666" s="5">
        <v>0</v>
      </c>
      <c r="T20666" s="5" t="s">
        <v>61830</v>
      </c>
      <c r="U20666" s="5"/>
      <c r="V20666" s="5"/>
      <c r="W20666" s="5"/>
      <c r="X20666" s="5"/>
      <c r="Y20666" s="5"/>
    </row>
    <row r="20667" spans="1:25" customFormat="1" ht="15" x14ac:dyDescent="0.25">
      <c r="A20667" t="s">
        <v>24</v>
      </c>
      <c r="B20667" t="s">
        <v>13496</v>
      </c>
      <c r="C20667" t="str">
        <f>"CL0195"</f>
        <v>CL0195</v>
      </c>
      <c r="D20667" t="s">
        <v>77460</v>
      </c>
      <c r="E20667" t="s">
        <v>77461</v>
      </c>
      <c r="F20667" t="s">
        <v>356</v>
      </c>
      <c r="G20667" t="s">
        <v>52</v>
      </c>
      <c r="H20667">
        <v>78205</v>
      </c>
      <c r="I20667" t="s">
        <v>30</v>
      </c>
      <c r="J20667" t="s">
        <v>2558</v>
      </c>
      <c r="K20667" t="s">
        <v>163</v>
      </c>
      <c r="N20667" t="s">
        <v>77462</v>
      </c>
      <c r="Q20667">
        <v>0</v>
      </c>
      <c r="R20667">
        <v>0</v>
      </c>
      <c r="S20667">
        <v>0</v>
      </c>
      <c r="T20667" t="s">
        <v>77463</v>
      </c>
    </row>
    <row r="20668" spans="1:25" customFormat="1" ht="15" x14ac:dyDescent="0.25">
      <c r="A20668" t="s">
        <v>24</v>
      </c>
      <c r="B20668" t="s">
        <v>675</v>
      </c>
      <c r="C20668" t="str">
        <f>"311L1"</f>
        <v>311L1</v>
      </c>
      <c r="D20668" t="s">
        <v>61831</v>
      </c>
      <c r="E20668" t="s">
        <v>61832</v>
      </c>
      <c r="F20668" t="s">
        <v>61833</v>
      </c>
      <c r="G20668" t="s">
        <v>76</v>
      </c>
      <c r="H20668">
        <v>98188</v>
      </c>
      <c r="I20668" t="s">
        <v>30</v>
      </c>
      <c r="J20668" t="s">
        <v>171</v>
      </c>
      <c r="K20668" t="s">
        <v>973</v>
      </c>
      <c r="N20668" t="s">
        <v>61834</v>
      </c>
      <c r="O20668" t="s">
        <v>61835</v>
      </c>
      <c r="Q20668">
        <v>0</v>
      </c>
      <c r="R20668">
        <v>149</v>
      </c>
      <c r="S20668">
        <v>0</v>
      </c>
      <c r="T20668" t="s">
        <v>61836</v>
      </c>
    </row>
    <row r="20669" spans="1:25" customFormat="1" ht="15" hidden="1" x14ac:dyDescent="0.25">
      <c r="A20669" t="s">
        <v>24</v>
      </c>
      <c r="B20669" t="s">
        <v>55676</v>
      </c>
      <c r="C20669" t="str">
        <f>"A0100909"</f>
        <v>A0100909</v>
      </c>
      <c r="D20669" t="s">
        <v>77468</v>
      </c>
      <c r="E20669" t="s">
        <v>77469</v>
      </c>
      <c r="F20669" t="s">
        <v>59297</v>
      </c>
      <c r="G20669" t="s">
        <v>13345</v>
      </c>
      <c r="H20669">
        <v>52764</v>
      </c>
      <c r="I20669" t="s">
        <v>2408</v>
      </c>
      <c r="J20669" t="s">
        <v>77470</v>
      </c>
      <c r="K20669" t="s">
        <v>163</v>
      </c>
      <c r="N20669" t="s">
        <v>59291</v>
      </c>
      <c r="Q20669">
        <v>0</v>
      </c>
      <c r="R20669">
        <v>36</v>
      </c>
      <c r="S20669">
        <v>0</v>
      </c>
      <c r="T20669" t="s">
        <v>77471</v>
      </c>
    </row>
    <row r="20670" spans="1:25" customFormat="1" ht="15" x14ac:dyDescent="0.25">
      <c r="A20670" t="s">
        <v>24</v>
      </c>
      <c r="B20670" t="s">
        <v>675</v>
      </c>
      <c r="C20670" t="str">
        <f>"651Y6"</f>
        <v>651Y6</v>
      </c>
      <c r="D20670" t="s">
        <v>61837</v>
      </c>
      <c r="E20670" t="s">
        <v>61838</v>
      </c>
      <c r="F20670" t="s">
        <v>2383</v>
      </c>
      <c r="G20670" t="s">
        <v>338</v>
      </c>
      <c r="H20670">
        <v>7094</v>
      </c>
      <c r="I20670" t="s">
        <v>30</v>
      </c>
      <c r="J20670" t="s">
        <v>171</v>
      </c>
      <c r="K20670" t="s">
        <v>973</v>
      </c>
      <c r="N20670" t="s">
        <v>61839</v>
      </c>
      <c r="O20670" t="s">
        <v>61840</v>
      </c>
      <c r="Q20670">
        <v>0</v>
      </c>
      <c r="R20670">
        <v>167</v>
      </c>
      <c r="S20670">
        <v>0</v>
      </c>
      <c r="T20670" t="s">
        <v>61841</v>
      </c>
    </row>
    <row r="20671" spans="1:25" customFormat="1" ht="15" x14ac:dyDescent="0.25">
      <c r="A20671" t="s">
        <v>24</v>
      </c>
      <c r="B20671" t="s">
        <v>5558</v>
      </c>
      <c r="C20671" t="str">
        <f>"A0096548"</f>
        <v>A0096548</v>
      </c>
      <c r="D20671" t="s">
        <v>61842</v>
      </c>
      <c r="E20671" t="s">
        <v>61843</v>
      </c>
      <c r="F20671" t="s">
        <v>33206</v>
      </c>
      <c r="G20671" t="s">
        <v>197</v>
      </c>
      <c r="H20671">
        <v>86336</v>
      </c>
      <c r="I20671" t="s">
        <v>30</v>
      </c>
      <c r="J20671" t="s">
        <v>171</v>
      </c>
      <c r="K20671" t="s">
        <v>973</v>
      </c>
      <c r="N20671" t="s">
        <v>54315</v>
      </c>
      <c r="Q20671">
        <v>0</v>
      </c>
      <c r="R20671">
        <v>121</v>
      </c>
      <c r="S20671">
        <v>0</v>
      </c>
      <c r="T20671" t="s">
        <v>61844</v>
      </c>
    </row>
    <row r="20672" spans="1:25" customFormat="1" ht="15" x14ac:dyDescent="0.25">
      <c r="A20672" t="s">
        <v>24</v>
      </c>
      <c r="B20672" t="s">
        <v>1317</v>
      </c>
      <c r="C20672" t="str">
        <f>"6513X"</f>
        <v>6513X</v>
      </c>
      <c r="D20672" t="s">
        <v>61845</v>
      </c>
      <c r="E20672" t="s">
        <v>61846</v>
      </c>
      <c r="F20672" t="s">
        <v>55295</v>
      </c>
      <c r="G20672" t="s">
        <v>1170</v>
      </c>
      <c r="H20672">
        <v>71129</v>
      </c>
      <c r="I20672" t="s">
        <v>30</v>
      </c>
      <c r="J20672" t="s">
        <v>171</v>
      </c>
      <c r="K20672" t="s">
        <v>973</v>
      </c>
      <c r="N20672" t="s">
        <v>61847</v>
      </c>
      <c r="Q20672">
        <v>0</v>
      </c>
      <c r="R20672">
        <v>90</v>
      </c>
      <c r="S20672">
        <v>0</v>
      </c>
      <c r="T20672" t="s">
        <v>61848</v>
      </c>
    </row>
    <row r="20673" spans="1:20" customFormat="1" ht="15" x14ac:dyDescent="0.25">
      <c r="A20673" t="s">
        <v>24</v>
      </c>
      <c r="B20673" t="s">
        <v>77488</v>
      </c>
      <c r="C20673" t="str">
        <f>"A0099485"</f>
        <v>A0099485</v>
      </c>
      <c r="D20673" t="s">
        <v>77489</v>
      </c>
      <c r="E20673" t="s">
        <v>77490</v>
      </c>
      <c r="F20673" t="s">
        <v>4385</v>
      </c>
      <c r="G20673" t="s">
        <v>99</v>
      </c>
      <c r="H20673">
        <v>11211</v>
      </c>
      <c r="I20673" t="s">
        <v>30</v>
      </c>
      <c r="J20673" t="s">
        <v>145</v>
      </c>
      <c r="K20673" t="s">
        <v>163</v>
      </c>
      <c r="N20673" t="s">
        <v>77491</v>
      </c>
      <c r="Q20673">
        <v>0</v>
      </c>
      <c r="R20673">
        <v>249</v>
      </c>
      <c r="S20673">
        <v>0</v>
      </c>
      <c r="T20673" t="s">
        <v>77492</v>
      </c>
    </row>
    <row r="20674" spans="1:20" customFormat="1" ht="15" x14ac:dyDescent="0.25">
      <c r="A20674" t="s">
        <v>24</v>
      </c>
      <c r="B20674" t="s">
        <v>77488</v>
      </c>
      <c r="C20674" t="str">
        <f>"A0100880"</f>
        <v>A0100880</v>
      </c>
      <c r="D20674" t="s">
        <v>77493</v>
      </c>
      <c r="E20674" t="s">
        <v>77494</v>
      </c>
      <c r="F20674" t="s">
        <v>997</v>
      </c>
      <c r="G20674" t="s">
        <v>99</v>
      </c>
      <c r="H20674">
        <v>10036</v>
      </c>
      <c r="I20674" t="s">
        <v>30</v>
      </c>
      <c r="J20674" t="s">
        <v>145</v>
      </c>
      <c r="K20674" t="s">
        <v>163</v>
      </c>
      <c r="N20674" t="s">
        <v>77495</v>
      </c>
      <c r="O20674" t="s">
        <v>77496</v>
      </c>
      <c r="Q20674">
        <v>0</v>
      </c>
      <c r="R20674">
        <v>515</v>
      </c>
      <c r="S20674">
        <v>0</v>
      </c>
      <c r="T20674" t="s">
        <v>77497</v>
      </c>
    </row>
    <row r="20675" spans="1:20" customFormat="1" ht="15" x14ac:dyDescent="0.25">
      <c r="A20675" t="s">
        <v>24</v>
      </c>
      <c r="B20675" t="s">
        <v>2360</v>
      </c>
      <c r="C20675" t="str">
        <f>"A0050490"</f>
        <v>A0050490</v>
      </c>
      <c r="D20675" t="s">
        <v>77498</v>
      </c>
      <c r="E20675" t="s">
        <v>77499</v>
      </c>
      <c r="F20675" t="s">
        <v>2178</v>
      </c>
      <c r="G20675" t="s">
        <v>846</v>
      </c>
      <c r="H20675" t="s">
        <v>77500</v>
      </c>
      <c r="I20675" t="s">
        <v>30</v>
      </c>
      <c r="J20675" t="s">
        <v>178</v>
      </c>
      <c r="K20675" t="s">
        <v>55688</v>
      </c>
      <c r="N20675" t="s">
        <v>77501</v>
      </c>
      <c r="P20675" t="s">
        <v>992</v>
      </c>
      <c r="Q20675">
        <v>1</v>
      </c>
      <c r="R20675">
        <v>18</v>
      </c>
      <c r="S20675">
        <v>0</v>
      </c>
      <c r="T20675" t="s">
        <v>77502</v>
      </c>
    </row>
    <row r="20676" spans="1:20" customFormat="1" ht="15" x14ac:dyDescent="0.25">
      <c r="A20676" t="s">
        <v>24</v>
      </c>
      <c r="B20676" t="s">
        <v>77503</v>
      </c>
      <c r="C20676" t="str">
        <f>"4983K99"</f>
        <v>4983K99</v>
      </c>
      <c r="D20676" t="s">
        <v>77503</v>
      </c>
      <c r="E20676" t="s">
        <v>77504</v>
      </c>
      <c r="F20676" t="s">
        <v>61305</v>
      </c>
      <c r="G20676" t="s">
        <v>4815</v>
      </c>
      <c r="H20676">
        <v>96762</v>
      </c>
      <c r="I20676" t="s">
        <v>30</v>
      </c>
      <c r="J20676" t="s">
        <v>7657</v>
      </c>
      <c r="K20676" t="s">
        <v>57369</v>
      </c>
      <c r="Q20676">
        <v>0</v>
      </c>
      <c r="R20676">
        <v>0</v>
      </c>
      <c r="S20676">
        <v>0</v>
      </c>
      <c r="T20676" t="s">
        <v>77505</v>
      </c>
    </row>
    <row r="20677" spans="1:20" customFormat="1" ht="15" hidden="1" x14ac:dyDescent="0.25">
      <c r="A20677" t="s">
        <v>24</v>
      </c>
      <c r="B20677" t="s">
        <v>1453</v>
      </c>
      <c r="C20677" t="str">
        <f>"A0148484"</f>
        <v>A0148484</v>
      </c>
      <c r="D20677" t="s">
        <v>77506</v>
      </c>
      <c r="E20677" t="s">
        <v>77507</v>
      </c>
      <c r="F20677" t="s">
        <v>77508</v>
      </c>
      <c r="G20677" t="s">
        <v>1457</v>
      </c>
      <c r="H20677" t="s">
        <v>77509</v>
      </c>
      <c r="I20677" t="s">
        <v>1459</v>
      </c>
      <c r="J20677" t="s">
        <v>162</v>
      </c>
      <c r="K20677" t="s">
        <v>163</v>
      </c>
      <c r="N20677" t="s">
        <v>77510</v>
      </c>
      <c r="O20677" t="s">
        <v>77511</v>
      </c>
      <c r="Q20677">
        <v>0</v>
      </c>
      <c r="R20677">
        <v>100</v>
      </c>
      <c r="S20677">
        <v>0</v>
      </c>
      <c r="T20677" t="s">
        <v>77512</v>
      </c>
    </row>
    <row r="20678" spans="1:20" customFormat="1" ht="15" hidden="1" x14ac:dyDescent="0.25">
      <c r="A20678" t="s">
        <v>24</v>
      </c>
      <c r="B20678" t="s">
        <v>1453</v>
      </c>
      <c r="C20678" t="str">
        <f>"A0086843"</f>
        <v>A0086843</v>
      </c>
      <c r="D20678" t="s">
        <v>77513</v>
      </c>
      <c r="E20678" t="s">
        <v>77514</v>
      </c>
      <c r="F20678" t="s">
        <v>9107</v>
      </c>
      <c r="G20678" t="s">
        <v>1457</v>
      </c>
      <c r="H20678" t="s">
        <v>77515</v>
      </c>
      <c r="I20678" t="s">
        <v>1459</v>
      </c>
      <c r="J20678" t="s">
        <v>162</v>
      </c>
      <c r="K20678" t="s">
        <v>163</v>
      </c>
      <c r="N20678" t="s">
        <v>77516</v>
      </c>
      <c r="O20678" t="s">
        <v>77517</v>
      </c>
      <c r="Q20678">
        <v>0</v>
      </c>
      <c r="R20678">
        <v>204</v>
      </c>
      <c r="S20678">
        <v>0</v>
      </c>
      <c r="T20678" t="s">
        <v>77518</v>
      </c>
    </row>
    <row r="20679" spans="1:20" customFormat="1" ht="15" hidden="1" x14ac:dyDescent="0.25">
      <c r="A20679" t="s">
        <v>24</v>
      </c>
      <c r="B20679" t="s">
        <v>1453</v>
      </c>
      <c r="C20679" t="str">
        <f>"A0095895"</f>
        <v>A0095895</v>
      </c>
      <c r="D20679" t="s">
        <v>77519</v>
      </c>
      <c r="E20679" t="s">
        <v>77520</v>
      </c>
      <c r="F20679" t="s">
        <v>77521</v>
      </c>
      <c r="G20679" t="s">
        <v>1457</v>
      </c>
      <c r="H20679" t="s">
        <v>77522</v>
      </c>
      <c r="I20679" t="s">
        <v>1459</v>
      </c>
      <c r="J20679" t="s">
        <v>162</v>
      </c>
      <c r="K20679" t="s">
        <v>163</v>
      </c>
      <c r="N20679" t="s">
        <v>77523</v>
      </c>
      <c r="Q20679">
        <v>0</v>
      </c>
      <c r="R20679">
        <v>82</v>
      </c>
      <c r="S20679">
        <v>0</v>
      </c>
      <c r="T20679" t="s">
        <v>77524</v>
      </c>
    </row>
    <row r="20680" spans="1:20" customFormat="1" ht="15" hidden="1" x14ac:dyDescent="0.25">
      <c r="A20680" t="s">
        <v>24</v>
      </c>
      <c r="B20680" t="s">
        <v>1453</v>
      </c>
      <c r="C20680" t="str">
        <f>"A0154134"</f>
        <v>A0154134</v>
      </c>
      <c r="D20680" t="s">
        <v>77525</v>
      </c>
      <c r="E20680" t="s">
        <v>77526</v>
      </c>
      <c r="F20680" t="s">
        <v>8456</v>
      </c>
      <c r="G20680" t="s">
        <v>1457</v>
      </c>
      <c r="H20680" t="s">
        <v>77527</v>
      </c>
      <c r="I20680" t="s">
        <v>1459</v>
      </c>
      <c r="J20680" t="s">
        <v>191</v>
      </c>
      <c r="K20680" t="s">
        <v>11889</v>
      </c>
      <c r="N20680" t="s">
        <v>77528</v>
      </c>
      <c r="Q20680">
        <v>0</v>
      </c>
      <c r="R20680">
        <v>0</v>
      </c>
      <c r="S20680">
        <v>0</v>
      </c>
      <c r="T20680" t="s">
        <v>77529</v>
      </c>
    </row>
    <row r="20681" spans="1:20" customFormat="1" ht="15" x14ac:dyDescent="0.25">
      <c r="A20681" t="s">
        <v>24</v>
      </c>
      <c r="B20681" t="s">
        <v>1098</v>
      </c>
      <c r="C20681" t="str">
        <f>"A0090444"</f>
        <v>A0090444</v>
      </c>
      <c r="D20681" t="s">
        <v>77530</v>
      </c>
      <c r="E20681" t="s">
        <v>77531</v>
      </c>
      <c r="F20681" t="s">
        <v>77532</v>
      </c>
      <c r="G20681" t="s">
        <v>81</v>
      </c>
      <c r="H20681">
        <v>33980</v>
      </c>
      <c r="I20681" t="s">
        <v>30</v>
      </c>
      <c r="J20681" t="s">
        <v>145</v>
      </c>
      <c r="K20681" t="s">
        <v>302</v>
      </c>
      <c r="N20681" t="s">
        <v>77533</v>
      </c>
      <c r="O20681" t="s">
        <v>77534</v>
      </c>
      <c r="Q20681">
        <v>0</v>
      </c>
      <c r="R20681">
        <v>78</v>
      </c>
      <c r="S20681">
        <v>0</v>
      </c>
      <c r="T20681" t="s">
        <v>77535</v>
      </c>
    </row>
    <row r="20682" spans="1:20" customFormat="1" ht="15" x14ac:dyDescent="0.25">
      <c r="A20682" t="s">
        <v>24</v>
      </c>
      <c r="B20682" t="s">
        <v>2360</v>
      </c>
      <c r="C20682" t="str">
        <f>"CL0107"</f>
        <v>CL0107</v>
      </c>
      <c r="D20682" t="s">
        <v>77536</v>
      </c>
      <c r="E20682" t="s">
        <v>77537</v>
      </c>
      <c r="F20682" t="s">
        <v>53463</v>
      </c>
      <c r="G20682" t="s">
        <v>110</v>
      </c>
      <c r="H20682">
        <v>91326</v>
      </c>
      <c r="I20682" t="s">
        <v>30</v>
      </c>
      <c r="J20682" t="s">
        <v>178</v>
      </c>
      <c r="K20682" t="s">
        <v>56676</v>
      </c>
      <c r="N20682" t="s">
        <v>77538</v>
      </c>
      <c r="O20682" t="s">
        <v>77539</v>
      </c>
      <c r="P20682" t="s">
        <v>992</v>
      </c>
      <c r="Q20682">
        <v>1</v>
      </c>
      <c r="R20682">
        <v>0</v>
      </c>
      <c r="S20682">
        <v>0</v>
      </c>
      <c r="T20682" t="s">
        <v>77540</v>
      </c>
    </row>
    <row r="20683" spans="1:20" customFormat="1" ht="15" x14ac:dyDescent="0.25">
      <c r="A20683" t="s">
        <v>24</v>
      </c>
      <c r="B20683" t="s">
        <v>2221</v>
      </c>
      <c r="C20683" t="str">
        <f>"311JR"</f>
        <v>311JR</v>
      </c>
      <c r="D20683" t="s">
        <v>61849</v>
      </c>
      <c r="E20683" t="s">
        <v>61850</v>
      </c>
      <c r="F20683" t="s">
        <v>4615</v>
      </c>
      <c r="G20683" t="s">
        <v>110</v>
      </c>
      <c r="H20683">
        <v>94560</v>
      </c>
      <c r="I20683" t="s">
        <v>30</v>
      </c>
      <c r="J20683" t="s">
        <v>171</v>
      </c>
      <c r="K20683" t="s">
        <v>973</v>
      </c>
      <c r="N20683" t="s">
        <v>61851</v>
      </c>
      <c r="Q20683">
        <v>0</v>
      </c>
      <c r="R20683">
        <v>181</v>
      </c>
      <c r="S20683">
        <v>0</v>
      </c>
      <c r="T20683" t="s">
        <v>61852</v>
      </c>
    </row>
    <row r="20684" spans="1:20" customFormat="1" ht="15" x14ac:dyDescent="0.25">
      <c r="A20684" t="s">
        <v>24</v>
      </c>
      <c r="B20684" t="s">
        <v>675</v>
      </c>
      <c r="C20684" t="str">
        <f>"311F1"</f>
        <v>311F1</v>
      </c>
      <c r="D20684" t="s">
        <v>61853</v>
      </c>
      <c r="E20684" t="s">
        <v>61854</v>
      </c>
      <c r="F20684" t="s">
        <v>61855</v>
      </c>
      <c r="G20684" t="s">
        <v>123</v>
      </c>
      <c r="H20684">
        <v>20904</v>
      </c>
      <c r="I20684" t="s">
        <v>30</v>
      </c>
      <c r="J20684" t="s">
        <v>171</v>
      </c>
      <c r="K20684" t="s">
        <v>973</v>
      </c>
      <c r="N20684" t="s">
        <v>61856</v>
      </c>
      <c r="Q20684">
        <v>0</v>
      </c>
      <c r="R20684">
        <v>146</v>
      </c>
      <c r="S20684">
        <v>0</v>
      </c>
      <c r="T20684" t="s">
        <v>61857</v>
      </c>
    </row>
    <row r="20685" spans="1:20" customFormat="1" ht="15" x14ac:dyDescent="0.25">
      <c r="A20685" t="s">
        <v>24</v>
      </c>
      <c r="B20685" t="s">
        <v>186</v>
      </c>
      <c r="C20685" t="str">
        <f>"A0146648"</f>
        <v>A0146648</v>
      </c>
      <c r="D20685" t="s">
        <v>77552</v>
      </c>
      <c r="E20685" t="s">
        <v>77553</v>
      </c>
      <c r="F20685" t="s">
        <v>189</v>
      </c>
      <c r="G20685" t="s">
        <v>190</v>
      </c>
      <c r="H20685">
        <v>81611</v>
      </c>
      <c r="I20685" t="s">
        <v>30</v>
      </c>
      <c r="J20685" t="s">
        <v>31</v>
      </c>
      <c r="K20685" t="s">
        <v>163</v>
      </c>
      <c r="N20685" t="s">
        <v>55669</v>
      </c>
      <c r="Q20685">
        <v>0</v>
      </c>
      <c r="R20685">
        <v>0</v>
      </c>
      <c r="S20685">
        <v>0</v>
      </c>
      <c r="T20685" t="s">
        <v>55670</v>
      </c>
    </row>
    <row r="20686" spans="1:20" customFormat="1" ht="15" x14ac:dyDescent="0.25">
      <c r="A20686" t="s">
        <v>24</v>
      </c>
      <c r="B20686" t="s">
        <v>2360</v>
      </c>
      <c r="C20686" t="str">
        <f>"A0093370"</f>
        <v>A0093370</v>
      </c>
      <c r="D20686" t="s">
        <v>77554</v>
      </c>
      <c r="E20686" t="s">
        <v>77555</v>
      </c>
      <c r="F20686" t="s">
        <v>2094</v>
      </c>
      <c r="G20686" t="s">
        <v>52</v>
      </c>
      <c r="H20686">
        <v>75240</v>
      </c>
      <c r="I20686" t="s">
        <v>30</v>
      </c>
      <c r="J20686" t="s">
        <v>178</v>
      </c>
      <c r="K20686" t="s">
        <v>56092</v>
      </c>
      <c r="N20686" t="s">
        <v>77556</v>
      </c>
      <c r="Q20686">
        <v>1</v>
      </c>
      <c r="R20686">
        <v>0</v>
      </c>
      <c r="S20686">
        <v>0</v>
      </c>
      <c r="T20686" t="s">
        <v>77557</v>
      </c>
    </row>
    <row r="20687" spans="1:20" customFormat="1" ht="15" x14ac:dyDescent="0.25">
      <c r="A20687" t="s">
        <v>24</v>
      </c>
      <c r="B20687" t="s">
        <v>2360</v>
      </c>
      <c r="C20687" t="str">
        <f>"A0093369"</f>
        <v>A0093369</v>
      </c>
      <c r="D20687" t="s">
        <v>77558</v>
      </c>
      <c r="E20687" t="s">
        <v>77559</v>
      </c>
      <c r="F20687" t="s">
        <v>2128</v>
      </c>
      <c r="G20687" t="s">
        <v>52</v>
      </c>
      <c r="H20687">
        <v>75093</v>
      </c>
      <c r="I20687" t="s">
        <v>30</v>
      </c>
      <c r="J20687" t="s">
        <v>178</v>
      </c>
      <c r="K20687" t="s">
        <v>55688</v>
      </c>
      <c r="N20687" t="s">
        <v>77560</v>
      </c>
      <c r="Q20687">
        <v>1</v>
      </c>
      <c r="R20687">
        <v>0</v>
      </c>
      <c r="S20687">
        <v>0</v>
      </c>
      <c r="T20687" t="s">
        <v>77561</v>
      </c>
    </row>
    <row r="20688" spans="1:20" customFormat="1" ht="15" x14ac:dyDescent="0.25">
      <c r="A20688" t="s">
        <v>24</v>
      </c>
      <c r="B20688" t="s">
        <v>55335</v>
      </c>
      <c r="C20688" t="str">
        <f>"A0154539"</f>
        <v>A0154539</v>
      </c>
      <c r="D20688" t="s">
        <v>77562</v>
      </c>
      <c r="E20688" t="s">
        <v>77563</v>
      </c>
      <c r="F20688" t="s">
        <v>69759</v>
      </c>
      <c r="G20688" t="s">
        <v>81</v>
      </c>
      <c r="H20688">
        <v>33406</v>
      </c>
      <c r="I20688" t="s">
        <v>30</v>
      </c>
      <c r="J20688" t="s">
        <v>55338</v>
      </c>
      <c r="K20688" t="s">
        <v>55339</v>
      </c>
      <c r="Q20688">
        <v>0</v>
      </c>
      <c r="R20688">
        <v>0</v>
      </c>
      <c r="S20688">
        <v>0</v>
      </c>
      <c r="T20688" t="s">
        <v>11146</v>
      </c>
    </row>
    <row r="20689" spans="1:25" customFormat="1" ht="15" x14ac:dyDescent="0.25">
      <c r="A20689" t="s">
        <v>24</v>
      </c>
      <c r="B20689" t="s">
        <v>2368</v>
      </c>
      <c r="C20689" t="str">
        <f>"A0074975"</f>
        <v>A0074975</v>
      </c>
      <c r="D20689" t="s">
        <v>61858</v>
      </c>
      <c r="E20689" t="s">
        <v>61859</v>
      </c>
      <c r="F20689" t="s">
        <v>61855</v>
      </c>
      <c r="G20689" t="s">
        <v>123</v>
      </c>
      <c r="H20689">
        <v>20910</v>
      </c>
      <c r="I20689" t="s">
        <v>30</v>
      </c>
      <c r="J20689" t="s">
        <v>171</v>
      </c>
      <c r="K20689" t="s">
        <v>973</v>
      </c>
      <c r="N20689" t="s">
        <v>61860</v>
      </c>
      <c r="O20689" t="s">
        <v>61861</v>
      </c>
      <c r="Q20689">
        <v>0</v>
      </c>
      <c r="R20689">
        <v>179</v>
      </c>
      <c r="S20689">
        <v>0</v>
      </c>
      <c r="T20689" t="s">
        <v>61862</v>
      </c>
    </row>
    <row r="20690" spans="1:25" x14ac:dyDescent="0.25">
      <c r="A20690" s="5" t="s">
        <v>24</v>
      </c>
      <c r="B20690" s="5" t="s">
        <v>3159</v>
      </c>
      <c r="C20690" s="5" t="str">
        <f>"6516X"</f>
        <v>6516X</v>
      </c>
      <c r="D20690" s="5" t="s">
        <v>61863</v>
      </c>
      <c r="E20690" s="5" t="s">
        <v>61864</v>
      </c>
      <c r="F20690" s="5" t="s">
        <v>16314</v>
      </c>
      <c r="G20690" s="5" t="s">
        <v>338</v>
      </c>
      <c r="H20690" s="5">
        <v>8873</v>
      </c>
      <c r="I20690" s="5" t="s">
        <v>30</v>
      </c>
      <c r="J20690" s="5" t="s">
        <v>171</v>
      </c>
      <c r="K20690" s="5" t="s">
        <v>973</v>
      </c>
      <c r="L20690" s="5"/>
      <c r="M20690" s="5"/>
      <c r="N20690" s="5" t="s">
        <v>61865</v>
      </c>
      <c r="O20690" s="5" t="s">
        <v>61866</v>
      </c>
      <c r="P20690" s="5"/>
      <c r="Q20690" s="5">
        <v>0</v>
      </c>
      <c r="R20690" s="5">
        <v>162</v>
      </c>
      <c r="S20690" s="5">
        <v>0</v>
      </c>
      <c r="T20690" s="5" t="s">
        <v>61867</v>
      </c>
      <c r="U20690" s="5"/>
      <c r="V20690" s="5"/>
      <c r="W20690" s="5"/>
      <c r="X20690" s="5"/>
      <c r="Y20690" s="5"/>
    </row>
    <row r="20691" spans="1:25" x14ac:dyDescent="0.25">
      <c r="A20691" s="5" t="s">
        <v>24</v>
      </c>
      <c r="B20691" s="5" t="s">
        <v>55128</v>
      </c>
      <c r="C20691" s="5" t="str">
        <f>"A0053504"</f>
        <v>A0053504</v>
      </c>
      <c r="D20691" s="5" t="s">
        <v>61863</v>
      </c>
      <c r="E20691" s="5" t="s">
        <v>61868</v>
      </c>
      <c r="F20691" s="5" t="s">
        <v>16314</v>
      </c>
      <c r="G20691" s="5" t="s">
        <v>840</v>
      </c>
      <c r="H20691" s="5">
        <v>42501</v>
      </c>
      <c r="I20691" s="5" t="s">
        <v>30</v>
      </c>
      <c r="J20691" s="5" t="s">
        <v>171</v>
      </c>
      <c r="K20691" s="5" t="s">
        <v>973</v>
      </c>
      <c r="L20691" s="5"/>
      <c r="M20691" s="5"/>
      <c r="N20691" s="5" t="s">
        <v>61869</v>
      </c>
      <c r="O20691" s="5" t="s">
        <v>61870</v>
      </c>
      <c r="P20691" s="5"/>
      <c r="Q20691" s="5">
        <v>0</v>
      </c>
      <c r="R20691" s="5">
        <v>105</v>
      </c>
      <c r="S20691" s="5">
        <v>0</v>
      </c>
      <c r="T20691" s="5" t="s">
        <v>61871</v>
      </c>
      <c r="U20691" s="5"/>
      <c r="V20691" s="5"/>
      <c r="W20691" s="5"/>
      <c r="X20691" s="5"/>
      <c r="Y20691" s="5"/>
    </row>
    <row r="20692" spans="1:25" customFormat="1" ht="15" x14ac:dyDescent="0.25">
      <c r="A20692" t="s">
        <v>24</v>
      </c>
      <c r="B20692" t="s">
        <v>675</v>
      </c>
      <c r="C20692" t="str">
        <f>"311L5"</f>
        <v>311L5</v>
      </c>
      <c r="D20692" t="s">
        <v>61872</v>
      </c>
      <c r="E20692" t="s">
        <v>61873</v>
      </c>
      <c r="F20692" t="s">
        <v>2978</v>
      </c>
      <c r="G20692" t="s">
        <v>110</v>
      </c>
      <c r="H20692">
        <v>92121</v>
      </c>
      <c r="I20692" t="s">
        <v>30</v>
      </c>
      <c r="J20692" t="s">
        <v>171</v>
      </c>
      <c r="K20692" t="s">
        <v>973</v>
      </c>
      <c r="N20692" t="s">
        <v>61874</v>
      </c>
      <c r="O20692" t="s">
        <v>61875</v>
      </c>
      <c r="Q20692">
        <v>0</v>
      </c>
      <c r="R20692">
        <v>149</v>
      </c>
      <c r="S20692">
        <v>0</v>
      </c>
      <c r="T20692" t="s">
        <v>61876</v>
      </c>
    </row>
    <row r="20693" spans="1:25" customFormat="1" ht="15" x14ac:dyDescent="0.25">
      <c r="A20693" t="s">
        <v>24</v>
      </c>
      <c r="B20693" t="s">
        <v>2955</v>
      </c>
      <c r="C20693" t="str">
        <f>"6513M"</f>
        <v>6513M</v>
      </c>
      <c r="D20693" t="s">
        <v>61877</v>
      </c>
      <c r="E20693" t="s">
        <v>61878</v>
      </c>
      <c r="F20693" t="s">
        <v>16267</v>
      </c>
      <c r="G20693" t="s">
        <v>29</v>
      </c>
      <c r="H20693">
        <v>23451</v>
      </c>
      <c r="I20693" t="s">
        <v>30</v>
      </c>
      <c r="J20693" t="s">
        <v>171</v>
      </c>
      <c r="K20693" t="s">
        <v>973</v>
      </c>
      <c r="N20693" t="s">
        <v>61879</v>
      </c>
      <c r="O20693" t="s">
        <v>61880</v>
      </c>
      <c r="Q20693">
        <v>0</v>
      </c>
      <c r="R20693">
        <v>141</v>
      </c>
      <c r="S20693">
        <v>0</v>
      </c>
      <c r="T20693" t="s">
        <v>61881</v>
      </c>
    </row>
    <row r="20694" spans="1:25" customFormat="1" ht="15" x14ac:dyDescent="0.25">
      <c r="A20694" t="s">
        <v>24</v>
      </c>
      <c r="B20694" t="s">
        <v>1528</v>
      </c>
      <c r="C20694" t="str">
        <f>"A0157411"</f>
        <v>A0157411</v>
      </c>
      <c r="D20694" t="s">
        <v>77591</v>
      </c>
      <c r="E20694" t="s">
        <v>77592</v>
      </c>
      <c r="F20694" t="s">
        <v>77593</v>
      </c>
      <c r="G20694" t="s">
        <v>47</v>
      </c>
      <c r="H20694">
        <v>97110</v>
      </c>
      <c r="I20694" t="s">
        <v>30</v>
      </c>
      <c r="J20694" t="s">
        <v>1004</v>
      </c>
      <c r="K20694" t="s">
        <v>163</v>
      </c>
      <c r="N20694" t="s">
        <v>77594</v>
      </c>
      <c r="Q20694">
        <v>0</v>
      </c>
      <c r="R20694">
        <v>0</v>
      </c>
      <c r="S20694">
        <v>0</v>
      </c>
      <c r="T20694" t="s">
        <v>77595</v>
      </c>
    </row>
    <row r="20695" spans="1:25" customFormat="1" ht="15" hidden="1" x14ac:dyDescent="0.25">
      <c r="A20695" t="s">
        <v>24</v>
      </c>
      <c r="B20695" t="s">
        <v>14300</v>
      </c>
      <c r="C20695" t="str">
        <f>"A0086405"</f>
        <v>A0086405</v>
      </c>
      <c r="D20695" t="s">
        <v>77596</v>
      </c>
      <c r="E20695" t="s">
        <v>77597</v>
      </c>
      <c r="F20695" t="s">
        <v>59486</v>
      </c>
      <c r="G20695" t="s">
        <v>9901</v>
      </c>
      <c r="H20695">
        <v>603</v>
      </c>
      <c r="I20695" t="s">
        <v>9902</v>
      </c>
      <c r="J20695" t="s">
        <v>171</v>
      </c>
      <c r="K20695" t="s">
        <v>163</v>
      </c>
      <c r="N20695" t="s">
        <v>75070</v>
      </c>
      <c r="O20695" t="s">
        <v>77598</v>
      </c>
      <c r="Q20695">
        <v>0</v>
      </c>
      <c r="R20695">
        <v>69</v>
      </c>
      <c r="S20695">
        <v>0</v>
      </c>
      <c r="T20695" t="s">
        <v>77599</v>
      </c>
    </row>
    <row r="20696" spans="1:25" customFormat="1" ht="15" x14ac:dyDescent="0.25">
      <c r="A20696" t="s">
        <v>24</v>
      </c>
      <c r="B20696" t="s">
        <v>1849</v>
      </c>
      <c r="C20696" t="str">
        <f>"A0078673"</f>
        <v>A0078673</v>
      </c>
      <c r="D20696" t="s">
        <v>77600</v>
      </c>
      <c r="E20696" t="s">
        <v>77601</v>
      </c>
      <c r="F20696" t="s">
        <v>1208</v>
      </c>
      <c r="G20696" t="s">
        <v>899</v>
      </c>
      <c r="H20696">
        <v>2110</v>
      </c>
      <c r="I20696" t="s">
        <v>30</v>
      </c>
      <c r="J20696" t="s">
        <v>191</v>
      </c>
      <c r="K20696" t="s">
        <v>11889</v>
      </c>
      <c r="Q20696">
        <v>0</v>
      </c>
      <c r="R20696">
        <v>0</v>
      </c>
      <c r="S20696">
        <v>0</v>
      </c>
      <c r="T20696" t="s">
        <v>77602</v>
      </c>
    </row>
    <row r="20697" spans="1:25" customFormat="1" ht="15" x14ac:dyDescent="0.25">
      <c r="A20697" t="s">
        <v>24</v>
      </c>
      <c r="B20697" t="s">
        <v>2360</v>
      </c>
      <c r="C20697" t="str">
        <f>"CL0507"</f>
        <v>CL0507</v>
      </c>
      <c r="D20697" t="s">
        <v>77603</v>
      </c>
      <c r="E20697" t="s">
        <v>77604</v>
      </c>
      <c r="F20697" t="s">
        <v>9812</v>
      </c>
      <c r="G20697" t="s">
        <v>103</v>
      </c>
      <c r="H20697">
        <v>19103</v>
      </c>
      <c r="I20697" t="s">
        <v>30</v>
      </c>
      <c r="J20697" t="s">
        <v>2558</v>
      </c>
      <c r="K20697" t="s">
        <v>56092</v>
      </c>
      <c r="N20697" t="s">
        <v>77605</v>
      </c>
      <c r="Q20697">
        <v>0</v>
      </c>
      <c r="R20697">
        <v>0</v>
      </c>
      <c r="S20697">
        <v>0</v>
      </c>
      <c r="T20697" t="s">
        <v>77606</v>
      </c>
    </row>
    <row r="20698" spans="1:25" customFormat="1" ht="15" x14ac:dyDescent="0.25">
      <c r="A20698" t="s">
        <v>24</v>
      </c>
      <c r="B20698" t="s">
        <v>1849</v>
      </c>
      <c r="C20698" t="str">
        <f>"A0093355"</f>
        <v>A0093355</v>
      </c>
      <c r="D20698" t="s">
        <v>77607</v>
      </c>
      <c r="E20698" t="s">
        <v>77608</v>
      </c>
      <c r="F20698" t="s">
        <v>13716</v>
      </c>
      <c r="G20698" t="s">
        <v>65</v>
      </c>
      <c r="H20698">
        <v>45236</v>
      </c>
      <c r="I20698" t="s">
        <v>30</v>
      </c>
      <c r="J20698" t="s">
        <v>191</v>
      </c>
      <c r="K20698" t="s">
        <v>11889</v>
      </c>
      <c r="Q20698">
        <v>0</v>
      </c>
      <c r="R20698">
        <v>0</v>
      </c>
      <c r="S20698">
        <v>0</v>
      </c>
      <c r="T20698" t="s">
        <v>15245</v>
      </c>
    </row>
    <row r="20699" spans="1:25" x14ac:dyDescent="0.25">
      <c r="A20699" s="5" t="s">
        <v>24</v>
      </c>
      <c r="B20699" s="5" t="s">
        <v>8405</v>
      </c>
      <c r="C20699" s="5" t="str">
        <f>"A0100330"</f>
        <v>A0100330</v>
      </c>
      <c r="D20699" s="5" t="s">
        <v>61882</v>
      </c>
      <c r="E20699" s="5" t="s">
        <v>61883</v>
      </c>
      <c r="F20699" s="5" t="s">
        <v>55882</v>
      </c>
      <c r="G20699" s="5" t="s">
        <v>381</v>
      </c>
      <c r="H20699" s="5">
        <v>46601</v>
      </c>
      <c r="I20699" s="5" t="s">
        <v>30</v>
      </c>
      <c r="J20699" s="5" t="s">
        <v>171</v>
      </c>
      <c r="K20699" s="5" t="s">
        <v>973</v>
      </c>
      <c r="L20699" s="5"/>
      <c r="M20699" s="5"/>
      <c r="N20699" s="5" t="s">
        <v>61884</v>
      </c>
      <c r="O20699" s="5"/>
      <c r="P20699" s="5"/>
      <c r="Q20699" s="5">
        <v>0</v>
      </c>
      <c r="R20699" s="5">
        <v>140</v>
      </c>
      <c r="S20699" s="5">
        <v>0</v>
      </c>
      <c r="T20699" s="5" t="s">
        <v>61885</v>
      </c>
      <c r="U20699" s="5"/>
      <c r="V20699" s="5"/>
      <c r="W20699" s="5"/>
      <c r="X20699" s="5"/>
      <c r="Y20699" s="5"/>
    </row>
    <row r="20700" spans="1:25" customFormat="1" ht="15" x14ac:dyDescent="0.25">
      <c r="A20700" t="s">
        <v>24</v>
      </c>
      <c r="B20700" t="s">
        <v>2360</v>
      </c>
      <c r="C20700" t="str">
        <f>"CL1430"</f>
        <v>CL1430</v>
      </c>
      <c r="D20700" t="s">
        <v>77613</v>
      </c>
      <c r="E20700" t="s">
        <v>77614</v>
      </c>
      <c r="F20700" t="s">
        <v>11267</v>
      </c>
      <c r="G20700" t="s">
        <v>65</v>
      </c>
      <c r="H20700">
        <v>44077</v>
      </c>
      <c r="I20700" t="s">
        <v>30</v>
      </c>
      <c r="J20700" t="s">
        <v>178</v>
      </c>
      <c r="K20700" t="s">
        <v>8013</v>
      </c>
      <c r="N20700" t="s">
        <v>77615</v>
      </c>
      <c r="O20700" t="s">
        <v>77616</v>
      </c>
      <c r="P20700" t="s">
        <v>992</v>
      </c>
      <c r="Q20700">
        <v>2</v>
      </c>
      <c r="R20700">
        <v>0</v>
      </c>
      <c r="S20700">
        <v>0</v>
      </c>
      <c r="T20700" t="s">
        <v>77617</v>
      </c>
    </row>
    <row r="20701" spans="1:25" x14ac:dyDescent="0.25">
      <c r="A20701" s="5" t="s">
        <v>24</v>
      </c>
      <c r="B20701" s="5" t="s">
        <v>61886</v>
      </c>
      <c r="C20701" s="5" t="str">
        <f>"651Z2"</f>
        <v>651Z2</v>
      </c>
      <c r="D20701" s="5" t="s">
        <v>61887</v>
      </c>
      <c r="E20701" s="5" t="s">
        <v>61888</v>
      </c>
      <c r="F20701" s="5" t="s">
        <v>61889</v>
      </c>
      <c r="G20701" s="5" t="s">
        <v>381</v>
      </c>
      <c r="H20701" s="5">
        <v>46545</v>
      </c>
      <c r="I20701" s="5" t="s">
        <v>30</v>
      </c>
      <c r="J20701" s="5" t="s">
        <v>171</v>
      </c>
      <c r="K20701" s="5" t="s">
        <v>973</v>
      </c>
      <c r="L20701" s="5"/>
      <c r="M20701" s="5"/>
      <c r="N20701" s="5" t="s">
        <v>61890</v>
      </c>
      <c r="O20701" s="5"/>
      <c r="P20701" s="5"/>
      <c r="Q20701" s="5">
        <v>0</v>
      </c>
      <c r="R20701" s="5">
        <v>78</v>
      </c>
      <c r="S20701" s="5">
        <v>0</v>
      </c>
      <c r="T20701" s="5" t="s">
        <v>61891</v>
      </c>
      <c r="U20701" s="5"/>
      <c r="V20701" s="5"/>
      <c r="W20701" s="5"/>
      <c r="X20701" s="5"/>
      <c r="Y20701" s="5"/>
    </row>
    <row r="20702" spans="1:25" customFormat="1" ht="15" x14ac:dyDescent="0.25">
      <c r="A20702" t="s">
        <v>24</v>
      </c>
      <c r="B20702" t="s">
        <v>2340</v>
      </c>
      <c r="C20702" t="str">
        <f>"A0088611"</f>
        <v>A0088611</v>
      </c>
      <c r="D20702" t="s">
        <v>77623</v>
      </c>
      <c r="E20702" t="s">
        <v>77624</v>
      </c>
      <c r="F20702" t="s">
        <v>63615</v>
      </c>
      <c r="G20702" t="s">
        <v>103</v>
      </c>
      <c r="H20702">
        <v>19029</v>
      </c>
      <c r="I20702" t="s">
        <v>30</v>
      </c>
      <c r="J20702" t="s">
        <v>31</v>
      </c>
      <c r="K20702" t="s">
        <v>315</v>
      </c>
      <c r="N20702" t="s">
        <v>63616</v>
      </c>
      <c r="Q20702">
        <v>0</v>
      </c>
      <c r="R20702">
        <v>82</v>
      </c>
      <c r="S20702">
        <v>0</v>
      </c>
      <c r="T20702" t="s">
        <v>77625</v>
      </c>
    </row>
    <row r="20703" spans="1:25" customFormat="1" ht="15" x14ac:dyDescent="0.25">
      <c r="A20703" t="s">
        <v>24</v>
      </c>
      <c r="B20703" t="s">
        <v>8366</v>
      </c>
      <c r="C20703" t="str">
        <f>"A0074601"</f>
        <v>A0074601</v>
      </c>
      <c r="D20703" t="s">
        <v>61892</v>
      </c>
      <c r="E20703" t="s">
        <v>61893</v>
      </c>
      <c r="F20703" t="s">
        <v>26129</v>
      </c>
      <c r="G20703" t="s">
        <v>899</v>
      </c>
      <c r="H20703">
        <v>2125</v>
      </c>
      <c r="I20703" t="s">
        <v>30</v>
      </c>
      <c r="J20703" t="s">
        <v>171</v>
      </c>
      <c r="K20703" t="s">
        <v>973</v>
      </c>
      <c r="N20703" t="s">
        <v>61894</v>
      </c>
      <c r="Q20703">
        <v>0</v>
      </c>
      <c r="R20703">
        <v>164</v>
      </c>
      <c r="S20703">
        <v>0</v>
      </c>
      <c r="T20703" t="s">
        <v>61895</v>
      </c>
    </row>
    <row r="20704" spans="1:25" customFormat="1" ht="15" x14ac:dyDescent="0.25">
      <c r="A20704" t="s">
        <v>24</v>
      </c>
      <c r="B20704" t="s">
        <v>59336</v>
      </c>
      <c r="C20704" t="str">
        <f>"A0099954"</f>
        <v>A0099954</v>
      </c>
      <c r="D20704" t="s">
        <v>77631</v>
      </c>
      <c r="E20704" t="s">
        <v>77632</v>
      </c>
      <c r="F20704" t="s">
        <v>1195</v>
      </c>
      <c r="G20704" t="s">
        <v>528</v>
      </c>
      <c r="H20704">
        <v>19947</v>
      </c>
      <c r="I20704" t="s">
        <v>30</v>
      </c>
      <c r="J20704" t="s">
        <v>31</v>
      </c>
      <c r="K20704" t="s">
        <v>315</v>
      </c>
      <c r="N20704" t="s">
        <v>77633</v>
      </c>
      <c r="Q20704">
        <v>0</v>
      </c>
      <c r="R20704">
        <v>71</v>
      </c>
      <c r="S20704">
        <v>0</v>
      </c>
      <c r="T20704" t="s">
        <v>77634</v>
      </c>
    </row>
    <row r="20705" spans="1:20" customFormat="1" ht="15" x14ac:dyDescent="0.25">
      <c r="A20705" t="s">
        <v>24</v>
      </c>
      <c r="B20705" t="s">
        <v>1467</v>
      </c>
      <c r="C20705" t="str">
        <f>"88HI001"</f>
        <v>88HI001</v>
      </c>
      <c r="D20705" t="s">
        <v>77635</v>
      </c>
      <c r="E20705" t="s">
        <v>77636</v>
      </c>
      <c r="F20705" t="s">
        <v>3041</v>
      </c>
      <c r="G20705" t="s">
        <v>899</v>
      </c>
      <c r="H20705">
        <v>2420</v>
      </c>
      <c r="I20705" t="s">
        <v>30</v>
      </c>
      <c r="J20705" t="s">
        <v>31</v>
      </c>
      <c r="K20705" t="s">
        <v>315</v>
      </c>
      <c r="N20705" t="s">
        <v>77637</v>
      </c>
      <c r="Q20705">
        <v>0</v>
      </c>
      <c r="R20705">
        <v>198</v>
      </c>
      <c r="S20705">
        <v>0</v>
      </c>
      <c r="T20705" t="s">
        <v>77638</v>
      </c>
    </row>
    <row r="20706" spans="1:20" customFormat="1" ht="15" x14ac:dyDescent="0.25">
      <c r="A20706" t="s">
        <v>24</v>
      </c>
      <c r="B20706" t="s">
        <v>61896</v>
      </c>
      <c r="C20706" t="str">
        <f>"6511K"</f>
        <v>6511K</v>
      </c>
      <c r="D20706" t="s">
        <v>61897</v>
      </c>
      <c r="E20706" t="s">
        <v>61898</v>
      </c>
      <c r="F20706" t="s">
        <v>61899</v>
      </c>
      <c r="G20706" t="s">
        <v>338</v>
      </c>
      <c r="H20706">
        <v>8512</v>
      </c>
      <c r="I20706" t="s">
        <v>30</v>
      </c>
      <c r="J20706" t="s">
        <v>171</v>
      </c>
      <c r="K20706" t="s">
        <v>973</v>
      </c>
      <c r="N20706" t="s">
        <v>61900</v>
      </c>
      <c r="Q20706">
        <v>0</v>
      </c>
      <c r="R20706">
        <v>144</v>
      </c>
      <c r="S20706">
        <v>0</v>
      </c>
      <c r="T20706" t="s">
        <v>61901</v>
      </c>
    </row>
    <row r="20707" spans="1:20" customFormat="1" ht="15" x14ac:dyDescent="0.25">
      <c r="A20707" t="s">
        <v>24</v>
      </c>
      <c r="B20707" t="s">
        <v>675</v>
      </c>
      <c r="C20707" t="str">
        <f>"311J9"</f>
        <v>311J9</v>
      </c>
      <c r="D20707" t="s">
        <v>61902</v>
      </c>
      <c r="E20707" t="s">
        <v>61903</v>
      </c>
      <c r="F20707" t="s">
        <v>35086</v>
      </c>
      <c r="G20707" t="s">
        <v>110</v>
      </c>
      <c r="H20707">
        <v>92704</v>
      </c>
      <c r="I20707" t="s">
        <v>30</v>
      </c>
      <c r="J20707" t="s">
        <v>171</v>
      </c>
      <c r="K20707" t="s">
        <v>973</v>
      </c>
      <c r="N20707" t="s">
        <v>61904</v>
      </c>
      <c r="Q20707">
        <v>0</v>
      </c>
      <c r="R20707">
        <v>145</v>
      </c>
      <c r="S20707">
        <v>0</v>
      </c>
      <c r="T20707" t="s">
        <v>61905</v>
      </c>
    </row>
    <row r="20708" spans="1:20" customFormat="1" ht="15" hidden="1" x14ac:dyDescent="0.25">
      <c r="A20708" t="s">
        <v>24</v>
      </c>
      <c r="B20708" t="s">
        <v>77647</v>
      </c>
      <c r="C20708" t="str">
        <f>"A0083549"</f>
        <v>A0083549</v>
      </c>
      <c r="D20708" t="s">
        <v>77648</v>
      </c>
      <c r="E20708" t="s">
        <v>77649</v>
      </c>
      <c r="F20708" t="s">
        <v>77650</v>
      </c>
      <c r="G20708" t="s">
        <v>2206</v>
      </c>
      <c r="H20708" t="s">
        <v>77651</v>
      </c>
      <c r="I20708" t="s">
        <v>1459</v>
      </c>
      <c r="J20708" t="s">
        <v>171</v>
      </c>
      <c r="K20708" t="s">
        <v>315</v>
      </c>
      <c r="N20708" t="s">
        <v>77652</v>
      </c>
      <c r="Q20708">
        <v>0</v>
      </c>
      <c r="R20708">
        <v>140</v>
      </c>
      <c r="S20708">
        <v>0</v>
      </c>
      <c r="T20708" t="s">
        <v>77653</v>
      </c>
    </row>
    <row r="20709" spans="1:20" customFormat="1" ht="15" x14ac:dyDescent="0.25">
      <c r="A20709" t="s">
        <v>24</v>
      </c>
      <c r="B20709" t="s">
        <v>77654</v>
      </c>
      <c r="C20709" t="str">
        <f>"A0094108"</f>
        <v>A0094108</v>
      </c>
      <c r="D20709" t="s">
        <v>77655</v>
      </c>
      <c r="E20709" t="s">
        <v>77656</v>
      </c>
      <c r="F20709" t="s">
        <v>63361</v>
      </c>
      <c r="G20709" t="s">
        <v>1898</v>
      </c>
      <c r="H20709">
        <v>52806</v>
      </c>
      <c r="I20709" t="s">
        <v>30</v>
      </c>
      <c r="J20709" t="s">
        <v>31</v>
      </c>
      <c r="K20709" t="s">
        <v>315</v>
      </c>
      <c r="N20709" t="s">
        <v>77657</v>
      </c>
      <c r="Q20709">
        <v>0</v>
      </c>
      <c r="R20709">
        <v>80</v>
      </c>
      <c r="S20709">
        <v>0</v>
      </c>
      <c r="T20709" t="s">
        <v>77658</v>
      </c>
    </row>
    <row r="20710" spans="1:20" customFormat="1" ht="15" x14ac:dyDescent="0.25">
      <c r="A20710" t="s">
        <v>24</v>
      </c>
      <c r="B20710" t="s">
        <v>63593</v>
      </c>
      <c r="C20710" t="str">
        <f>"SF05612"</f>
        <v>SF05612</v>
      </c>
      <c r="D20710" t="s">
        <v>77659</v>
      </c>
      <c r="E20710" t="s">
        <v>77660</v>
      </c>
      <c r="F20710" t="s">
        <v>9255</v>
      </c>
      <c r="G20710" t="s">
        <v>846</v>
      </c>
      <c r="H20710">
        <v>30035</v>
      </c>
      <c r="I20710" t="s">
        <v>30</v>
      </c>
      <c r="J20710" t="s">
        <v>31</v>
      </c>
      <c r="K20710" t="s">
        <v>315</v>
      </c>
      <c r="N20710" t="s">
        <v>77661</v>
      </c>
      <c r="O20710" t="s">
        <v>77662</v>
      </c>
      <c r="Q20710">
        <v>0</v>
      </c>
      <c r="R20710">
        <v>63</v>
      </c>
      <c r="S20710">
        <v>0</v>
      </c>
      <c r="T20710" t="s">
        <v>77663</v>
      </c>
    </row>
    <row r="20711" spans="1:20" customFormat="1" ht="15" x14ac:dyDescent="0.25">
      <c r="A20711" t="s">
        <v>24</v>
      </c>
      <c r="B20711" t="s">
        <v>68697</v>
      </c>
      <c r="C20711" t="str">
        <f>"A0093894"</f>
        <v>A0093894</v>
      </c>
      <c r="D20711" t="s">
        <v>77664</v>
      </c>
      <c r="E20711" t="s">
        <v>77665</v>
      </c>
      <c r="F20711" t="s">
        <v>77666</v>
      </c>
      <c r="G20711" t="s">
        <v>221</v>
      </c>
      <c r="H20711">
        <v>89801</v>
      </c>
      <c r="I20711" t="s">
        <v>30</v>
      </c>
      <c r="J20711" t="s">
        <v>31</v>
      </c>
      <c r="K20711" t="s">
        <v>315</v>
      </c>
      <c r="N20711" t="s">
        <v>77667</v>
      </c>
      <c r="Q20711">
        <v>0</v>
      </c>
      <c r="R20711">
        <v>60</v>
      </c>
      <c r="S20711">
        <v>0</v>
      </c>
      <c r="T20711" t="s">
        <v>77668</v>
      </c>
    </row>
    <row r="20712" spans="1:20" customFormat="1" ht="15" x14ac:dyDescent="0.25">
      <c r="A20712" t="s">
        <v>24</v>
      </c>
      <c r="B20712" t="s">
        <v>32773</v>
      </c>
      <c r="C20712" t="str">
        <f>"A0065426"</f>
        <v>A0065426</v>
      </c>
      <c r="D20712" t="s">
        <v>77669</v>
      </c>
      <c r="E20712" t="s">
        <v>77670</v>
      </c>
      <c r="F20712" t="s">
        <v>7921</v>
      </c>
      <c r="G20712" t="s">
        <v>880</v>
      </c>
      <c r="H20712">
        <v>37064</v>
      </c>
      <c r="I20712" t="s">
        <v>30</v>
      </c>
      <c r="J20712" t="s">
        <v>31</v>
      </c>
      <c r="K20712" t="s">
        <v>315</v>
      </c>
      <c r="N20712" t="s">
        <v>58707</v>
      </c>
      <c r="Q20712">
        <v>0</v>
      </c>
      <c r="R20712">
        <v>89</v>
      </c>
      <c r="S20712">
        <v>0</v>
      </c>
      <c r="T20712" t="s">
        <v>77671</v>
      </c>
    </row>
    <row r="20713" spans="1:20" customFormat="1" ht="15" hidden="1" x14ac:dyDescent="0.25">
      <c r="A20713" t="s">
        <v>24</v>
      </c>
      <c r="B20713" t="s">
        <v>56113</v>
      </c>
      <c r="C20713" t="str">
        <f>"A0093792"</f>
        <v>A0093792</v>
      </c>
      <c r="D20713" t="s">
        <v>77672</v>
      </c>
      <c r="E20713" t="s">
        <v>77673</v>
      </c>
      <c r="F20713" t="s">
        <v>9107</v>
      </c>
      <c r="G20713" t="s">
        <v>1457</v>
      </c>
      <c r="H20713" t="s">
        <v>77674</v>
      </c>
      <c r="I20713" t="s">
        <v>1459</v>
      </c>
      <c r="J20713" t="s">
        <v>31</v>
      </c>
      <c r="K20713" t="s">
        <v>315</v>
      </c>
      <c r="N20713" t="s">
        <v>77675</v>
      </c>
      <c r="Q20713">
        <v>0</v>
      </c>
      <c r="R20713">
        <v>152</v>
      </c>
      <c r="S20713">
        <v>0</v>
      </c>
      <c r="T20713" t="s">
        <v>77676</v>
      </c>
    </row>
    <row r="20714" spans="1:20" customFormat="1" ht="15" x14ac:dyDescent="0.25">
      <c r="A20714" t="s">
        <v>24</v>
      </c>
      <c r="B20714" t="s">
        <v>1577</v>
      </c>
      <c r="C20714" t="str">
        <f>"A0098546"</f>
        <v>A0098546</v>
      </c>
      <c r="D20714" t="s">
        <v>77677</v>
      </c>
      <c r="E20714" t="s">
        <v>77678</v>
      </c>
      <c r="F20714" t="s">
        <v>56591</v>
      </c>
      <c r="G20714" t="s">
        <v>1706</v>
      </c>
      <c r="H20714">
        <v>36542</v>
      </c>
      <c r="I20714" t="s">
        <v>30</v>
      </c>
      <c r="J20714" t="s">
        <v>31</v>
      </c>
      <c r="K20714" t="s">
        <v>315</v>
      </c>
      <c r="N20714" t="s">
        <v>77679</v>
      </c>
      <c r="Q20714">
        <v>0</v>
      </c>
      <c r="R20714">
        <v>54</v>
      </c>
      <c r="S20714">
        <v>0</v>
      </c>
      <c r="T20714" t="s">
        <v>77680</v>
      </c>
    </row>
    <row r="20715" spans="1:20" customFormat="1" ht="15" x14ac:dyDescent="0.25">
      <c r="A20715" t="s">
        <v>24</v>
      </c>
      <c r="B20715" t="s">
        <v>63672</v>
      </c>
      <c r="C20715" t="str">
        <f>"A0098530"</f>
        <v>A0098530</v>
      </c>
      <c r="D20715" t="s">
        <v>77681</v>
      </c>
      <c r="E20715" t="s">
        <v>77682</v>
      </c>
      <c r="F20715" t="s">
        <v>77683</v>
      </c>
      <c r="G20715" t="s">
        <v>85</v>
      </c>
      <c r="H20715">
        <v>72160</v>
      </c>
      <c r="I20715" t="s">
        <v>30</v>
      </c>
      <c r="J20715" t="s">
        <v>31</v>
      </c>
      <c r="K20715" t="s">
        <v>315</v>
      </c>
      <c r="N20715" t="s">
        <v>77684</v>
      </c>
      <c r="Q20715">
        <v>0</v>
      </c>
      <c r="R20715">
        <v>70</v>
      </c>
      <c r="S20715">
        <v>0</v>
      </c>
      <c r="T20715" t="s">
        <v>77685</v>
      </c>
    </row>
    <row r="20716" spans="1:20" customFormat="1" ht="15" x14ac:dyDescent="0.25">
      <c r="A20716" t="s">
        <v>24</v>
      </c>
      <c r="B20716" t="s">
        <v>63685</v>
      </c>
      <c r="C20716" t="str">
        <f>"A0099271"</f>
        <v>A0099271</v>
      </c>
      <c r="D20716" t="s">
        <v>77686</v>
      </c>
      <c r="E20716" t="s">
        <v>77687</v>
      </c>
      <c r="F20716" t="s">
        <v>60009</v>
      </c>
      <c r="G20716" t="s">
        <v>214</v>
      </c>
      <c r="H20716">
        <v>28105</v>
      </c>
      <c r="I20716" t="s">
        <v>30</v>
      </c>
      <c r="J20716" t="s">
        <v>31</v>
      </c>
      <c r="K20716" t="s">
        <v>315</v>
      </c>
      <c r="N20716" t="s">
        <v>77688</v>
      </c>
      <c r="Q20716">
        <v>0</v>
      </c>
      <c r="R20716">
        <v>118</v>
      </c>
      <c r="S20716">
        <v>0</v>
      </c>
      <c r="T20716" t="s">
        <v>77689</v>
      </c>
    </row>
    <row r="20717" spans="1:20" customFormat="1" ht="15" x14ac:dyDescent="0.25">
      <c r="A20717" t="s">
        <v>24</v>
      </c>
      <c r="B20717" t="s">
        <v>675</v>
      </c>
      <c r="C20717" t="str">
        <f>"311N8"</f>
        <v>311N8</v>
      </c>
      <c r="D20717" t="s">
        <v>61906</v>
      </c>
      <c r="E20717" t="s">
        <v>61907</v>
      </c>
      <c r="F20717" t="s">
        <v>3505</v>
      </c>
      <c r="G20717" t="s">
        <v>52</v>
      </c>
      <c r="H20717">
        <v>76107</v>
      </c>
      <c r="I20717" t="s">
        <v>30</v>
      </c>
      <c r="J20717" t="s">
        <v>171</v>
      </c>
      <c r="K20717" t="s">
        <v>973</v>
      </c>
      <c r="N20717" t="s">
        <v>61908</v>
      </c>
      <c r="O20717" t="s">
        <v>3486</v>
      </c>
      <c r="Q20717">
        <v>0</v>
      </c>
      <c r="R20717">
        <v>130</v>
      </c>
      <c r="S20717">
        <v>0</v>
      </c>
      <c r="T20717" t="s">
        <v>61909</v>
      </c>
    </row>
    <row r="20718" spans="1:20" customFormat="1" ht="15" x14ac:dyDescent="0.25">
      <c r="A20718" t="s">
        <v>24</v>
      </c>
      <c r="B20718" t="s">
        <v>56959</v>
      </c>
      <c r="C20718" t="str">
        <f>"A0061750"</f>
        <v>A0061750</v>
      </c>
      <c r="D20718" t="s">
        <v>77694</v>
      </c>
      <c r="E20718" t="s">
        <v>77695</v>
      </c>
      <c r="F20718" t="s">
        <v>1525</v>
      </c>
      <c r="G20718" t="s">
        <v>65</v>
      </c>
      <c r="H20718">
        <v>43235</v>
      </c>
      <c r="I20718" t="s">
        <v>30</v>
      </c>
      <c r="J20718" t="s">
        <v>31</v>
      </c>
      <c r="K20718" t="s">
        <v>315</v>
      </c>
      <c r="N20718" t="s">
        <v>77696</v>
      </c>
      <c r="Q20718">
        <v>0</v>
      </c>
      <c r="R20718">
        <v>82</v>
      </c>
      <c r="S20718">
        <v>0</v>
      </c>
      <c r="T20718" t="s">
        <v>77697</v>
      </c>
    </row>
    <row r="20719" spans="1:20" customFormat="1" ht="15" x14ac:dyDescent="0.25">
      <c r="A20719" t="s">
        <v>24</v>
      </c>
      <c r="B20719" t="s">
        <v>57575</v>
      </c>
      <c r="C20719" t="str">
        <f>"A0094990"</f>
        <v>A0094990</v>
      </c>
      <c r="D20719" t="s">
        <v>77698</v>
      </c>
      <c r="E20719" t="s">
        <v>77699</v>
      </c>
      <c r="F20719" t="s">
        <v>16267</v>
      </c>
      <c r="G20719" t="s">
        <v>29</v>
      </c>
      <c r="H20719">
        <v>23451</v>
      </c>
      <c r="I20719" t="s">
        <v>30</v>
      </c>
      <c r="J20719" t="s">
        <v>31</v>
      </c>
      <c r="K20719" t="s">
        <v>315</v>
      </c>
      <c r="N20719" t="s">
        <v>77700</v>
      </c>
      <c r="O20719" t="s">
        <v>57579</v>
      </c>
      <c r="Q20719">
        <v>0</v>
      </c>
      <c r="R20719">
        <v>120</v>
      </c>
      <c r="S20719">
        <v>0</v>
      </c>
      <c r="T20719" t="s">
        <v>77701</v>
      </c>
    </row>
    <row r="20720" spans="1:20" customFormat="1" ht="15" x14ac:dyDescent="0.25">
      <c r="A20720" t="s">
        <v>24</v>
      </c>
      <c r="B20720" t="s">
        <v>3502</v>
      </c>
      <c r="C20720" t="str">
        <f>"SF01252"</f>
        <v>SF01252</v>
      </c>
      <c r="D20720" t="s">
        <v>77702</v>
      </c>
      <c r="E20720" t="s">
        <v>77703</v>
      </c>
      <c r="F20720" t="s">
        <v>77704</v>
      </c>
      <c r="G20720" t="s">
        <v>1170</v>
      </c>
      <c r="H20720">
        <v>70767</v>
      </c>
      <c r="I20720" t="s">
        <v>30</v>
      </c>
      <c r="J20720" t="s">
        <v>31</v>
      </c>
      <c r="K20720" t="s">
        <v>315</v>
      </c>
      <c r="N20720" t="s">
        <v>77705</v>
      </c>
      <c r="O20720" t="s">
        <v>6489</v>
      </c>
      <c r="Q20720">
        <v>0</v>
      </c>
      <c r="R20720">
        <v>140</v>
      </c>
      <c r="S20720">
        <v>0</v>
      </c>
      <c r="T20720" t="s">
        <v>77706</v>
      </c>
    </row>
    <row r="20721" spans="1:20" customFormat="1" ht="15" x14ac:dyDescent="0.25">
      <c r="A20721" t="s">
        <v>24</v>
      </c>
      <c r="B20721" t="s">
        <v>56959</v>
      </c>
      <c r="C20721" t="str">
        <f>"A0095018"</f>
        <v>A0095018</v>
      </c>
      <c r="D20721" t="s">
        <v>77707</v>
      </c>
      <c r="E20721" t="s">
        <v>77708</v>
      </c>
      <c r="F20721" t="s">
        <v>70830</v>
      </c>
      <c r="G20721" t="s">
        <v>65</v>
      </c>
      <c r="H20721">
        <v>43207</v>
      </c>
      <c r="I20721" t="s">
        <v>30</v>
      </c>
      <c r="J20721" t="s">
        <v>31</v>
      </c>
      <c r="K20721" t="s">
        <v>315</v>
      </c>
      <c r="N20721" t="s">
        <v>77709</v>
      </c>
      <c r="O20721" t="s">
        <v>77710</v>
      </c>
      <c r="Q20721">
        <v>0</v>
      </c>
      <c r="R20721">
        <v>59</v>
      </c>
      <c r="S20721">
        <v>0</v>
      </c>
      <c r="T20721" t="s">
        <v>77711</v>
      </c>
    </row>
    <row r="20722" spans="1:20" customFormat="1" ht="15" x14ac:dyDescent="0.25">
      <c r="A20722" t="s">
        <v>24</v>
      </c>
      <c r="B20722" t="s">
        <v>10129</v>
      </c>
      <c r="C20722" t="str">
        <f>"88CI054"</f>
        <v>88CI054</v>
      </c>
      <c r="D20722" t="s">
        <v>77712</v>
      </c>
      <c r="E20722" t="s">
        <v>77713</v>
      </c>
      <c r="F20722" t="s">
        <v>57031</v>
      </c>
      <c r="G20722" t="s">
        <v>289</v>
      </c>
      <c r="H20722">
        <v>60436</v>
      </c>
      <c r="I20722" t="s">
        <v>30</v>
      </c>
      <c r="J20722" t="s">
        <v>31</v>
      </c>
      <c r="K20722" t="s">
        <v>315</v>
      </c>
      <c r="N20722" t="s">
        <v>77714</v>
      </c>
      <c r="Q20722">
        <v>0</v>
      </c>
      <c r="R20722">
        <v>65</v>
      </c>
      <c r="S20722">
        <v>0</v>
      </c>
      <c r="T20722" t="s">
        <v>77715</v>
      </c>
    </row>
    <row r="20723" spans="1:20" customFormat="1" ht="15" x14ac:dyDescent="0.25">
      <c r="A20723" t="s">
        <v>24</v>
      </c>
      <c r="B20723" t="s">
        <v>3502</v>
      </c>
      <c r="C20723" t="str">
        <f>"A0094069"</f>
        <v>A0094069</v>
      </c>
      <c r="D20723" t="s">
        <v>77716</v>
      </c>
      <c r="E20723" t="s">
        <v>77717</v>
      </c>
      <c r="F20723" t="s">
        <v>77718</v>
      </c>
      <c r="G20723" t="s">
        <v>52</v>
      </c>
      <c r="H20723">
        <v>76705</v>
      </c>
      <c r="I20723" t="s">
        <v>30</v>
      </c>
      <c r="J20723" t="s">
        <v>31</v>
      </c>
      <c r="K20723" t="s">
        <v>315</v>
      </c>
      <c r="N20723" t="s">
        <v>77719</v>
      </c>
      <c r="Q20723">
        <v>0</v>
      </c>
      <c r="R20723">
        <v>71</v>
      </c>
      <c r="S20723">
        <v>0</v>
      </c>
      <c r="T20723" t="s">
        <v>77720</v>
      </c>
    </row>
    <row r="20724" spans="1:20" customFormat="1" ht="15" hidden="1" x14ac:dyDescent="0.25">
      <c r="A20724" t="s">
        <v>24</v>
      </c>
      <c r="B20724" t="s">
        <v>56113</v>
      </c>
      <c r="C20724" t="str">
        <f>"A0069053"</f>
        <v>A0069053</v>
      </c>
      <c r="D20724" t="s">
        <v>77721</v>
      </c>
      <c r="E20724" t="s">
        <v>77722</v>
      </c>
      <c r="F20724" t="s">
        <v>77723</v>
      </c>
      <c r="G20724" t="s">
        <v>77724</v>
      </c>
      <c r="H20724" t="s">
        <v>77725</v>
      </c>
      <c r="I20724" t="s">
        <v>1459</v>
      </c>
      <c r="J20724" t="s">
        <v>31</v>
      </c>
      <c r="K20724" t="s">
        <v>315</v>
      </c>
      <c r="N20724" t="s">
        <v>77726</v>
      </c>
      <c r="Q20724">
        <v>0</v>
      </c>
      <c r="R20724">
        <v>120</v>
      </c>
      <c r="S20724">
        <v>0</v>
      </c>
      <c r="T20724" t="s">
        <v>77727</v>
      </c>
    </row>
    <row r="20725" spans="1:20" customFormat="1" ht="15" hidden="1" x14ac:dyDescent="0.25">
      <c r="A20725" t="s">
        <v>24</v>
      </c>
      <c r="B20725" t="s">
        <v>56113</v>
      </c>
      <c r="C20725" t="str">
        <f>"A0093789"</f>
        <v>A0093789</v>
      </c>
      <c r="D20725" t="s">
        <v>77728</v>
      </c>
      <c r="E20725" t="s">
        <v>77729</v>
      </c>
      <c r="F20725" t="s">
        <v>77730</v>
      </c>
      <c r="G20725" t="s">
        <v>1457</v>
      </c>
      <c r="H20725" t="s">
        <v>77731</v>
      </c>
      <c r="I20725" t="s">
        <v>1459</v>
      </c>
      <c r="J20725" t="s">
        <v>171</v>
      </c>
      <c r="K20725" t="s">
        <v>315</v>
      </c>
      <c r="N20725" t="s">
        <v>77732</v>
      </c>
      <c r="Q20725">
        <v>0</v>
      </c>
      <c r="R20725">
        <v>79</v>
      </c>
      <c r="S20725">
        <v>0</v>
      </c>
      <c r="T20725" t="s">
        <v>77733</v>
      </c>
    </row>
    <row r="20726" spans="1:20" customFormat="1" ht="15" x14ac:dyDescent="0.25">
      <c r="A20726" t="s">
        <v>24</v>
      </c>
      <c r="B20726" t="s">
        <v>59347</v>
      </c>
      <c r="C20726" t="str">
        <f>"A0099758"</f>
        <v>A0099758</v>
      </c>
      <c r="D20726" t="s">
        <v>77734</v>
      </c>
      <c r="E20726" t="s">
        <v>77735</v>
      </c>
      <c r="F20726" t="s">
        <v>10730</v>
      </c>
      <c r="G20726" t="s">
        <v>214</v>
      </c>
      <c r="H20726">
        <v>28805</v>
      </c>
      <c r="I20726" t="s">
        <v>30</v>
      </c>
      <c r="J20726" t="s">
        <v>31</v>
      </c>
      <c r="K20726" t="s">
        <v>315</v>
      </c>
      <c r="N20726" t="s">
        <v>77736</v>
      </c>
      <c r="Q20726">
        <v>0</v>
      </c>
      <c r="R20726">
        <v>57</v>
      </c>
      <c r="S20726">
        <v>0</v>
      </c>
      <c r="T20726" t="s">
        <v>77737</v>
      </c>
    </row>
    <row r="20727" spans="1:20" customFormat="1" ht="15" x14ac:dyDescent="0.25">
      <c r="A20727" t="s">
        <v>24</v>
      </c>
      <c r="B20727" t="s">
        <v>2340</v>
      </c>
      <c r="C20727" t="str">
        <f>"SF01498"</f>
        <v>SF01498</v>
      </c>
      <c r="D20727" t="s">
        <v>77738</v>
      </c>
      <c r="E20727" t="s">
        <v>77739</v>
      </c>
      <c r="F20727" t="s">
        <v>77740</v>
      </c>
      <c r="G20727" t="s">
        <v>123</v>
      </c>
      <c r="H20727">
        <v>20746</v>
      </c>
      <c r="I20727" t="s">
        <v>30</v>
      </c>
      <c r="J20727" t="s">
        <v>31</v>
      </c>
      <c r="K20727" t="s">
        <v>315</v>
      </c>
      <c r="N20727" t="s">
        <v>332</v>
      </c>
      <c r="Q20727">
        <v>0</v>
      </c>
      <c r="R20727">
        <v>150</v>
      </c>
      <c r="S20727">
        <v>0</v>
      </c>
      <c r="T20727" t="s">
        <v>77741</v>
      </c>
    </row>
    <row r="20728" spans="1:20" customFormat="1" ht="15" x14ac:dyDescent="0.25">
      <c r="A20728" t="s">
        <v>24</v>
      </c>
      <c r="B20728" t="s">
        <v>57575</v>
      </c>
      <c r="C20728" t="str">
        <f>"A0094989"</f>
        <v>A0094989</v>
      </c>
      <c r="D20728" t="s">
        <v>77742</v>
      </c>
      <c r="E20728" t="s">
        <v>77743</v>
      </c>
      <c r="F20728" t="s">
        <v>77744</v>
      </c>
      <c r="G20728" t="s">
        <v>214</v>
      </c>
      <c r="H20728">
        <v>27948</v>
      </c>
      <c r="I20728" t="s">
        <v>30</v>
      </c>
      <c r="J20728" t="s">
        <v>31</v>
      </c>
      <c r="K20728" t="s">
        <v>315</v>
      </c>
      <c r="N20728" t="s">
        <v>77745</v>
      </c>
      <c r="O20728" t="s">
        <v>57579</v>
      </c>
      <c r="Q20728">
        <v>0</v>
      </c>
      <c r="R20728">
        <v>120</v>
      </c>
      <c r="S20728">
        <v>0</v>
      </c>
      <c r="T20728" t="s">
        <v>77746</v>
      </c>
    </row>
    <row r="20729" spans="1:20" customFormat="1" ht="15" x14ac:dyDescent="0.25">
      <c r="A20729" t="s">
        <v>24</v>
      </c>
      <c r="B20729" t="s">
        <v>77747</v>
      </c>
      <c r="C20729" t="str">
        <f>"A0065503"</f>
        <v>A0065503</v>
      </c>
      <c r="D20729" t="s">
        <v>77748</v>
      </c>
      <c r="E20729" t="s">
        <v>77749</v>
      </c>
      <c r="F20729" t="s">
        <v>11777</v>
      </c>
      <c r="G20729" t="s">
        <v>880</v>
      </c>
      <c r="H20729">
        <v>37040</v>
      </c>
      <c r="I20729" t="s">
        <v>30</v>
      </c>
      <c r="J20729" t="s">
        <v>31</v>
      </c>
      <c r="K20729" t="s">
        <v>315</v>
      </c>
      <c r="N20729" t="s">
        <v>77750</v>
      </c>
      <c r="Q20729">
        <v>0</v>
      </c>
      <c r="R20729">
        <v>143</v>
      </c>
      <c r="S20729">
        <v>0</v>
      </c>
      <c r="T20729" t="s">
        <v>77751</v>
      </c>
    </row>
    <row r="20730" spans="1:20" customFormat="1" ht="15" x14ac:dyDescent="0.25">
      <c r="A20730" t="s">
        <v>24</v>
      </c>
      <c r="B20730" t="s">
        <v>2340</v>
      </c>
      <c r="C20730" t="str">
        <f>"432SD"</f>
        <v>432SD</v>
      </c>
      <c r="D20730" t="s">
        <v>77752</v>
      </c>
      <c r="E20730" t="s">
        <v>77753</v>
      </c>
      <c r="F20730" t="s">
        <v>77754</v>
      </c>
      <c r="G20730" t="s">
        <v>2391</v>
      </c>
      <c r="H20730">
        <v>5446</v>
      </c>
      <c r="I20730" t="s">
        <v>30</v>
      </c>
      <c r="J20730" t="s">
        <v>31</v>
      </c>
      <c r="K20730" t="s">
        <v>315</v>
      </c>
      <c r="N20730" t="s">
        <v>77755</v>
      </c>
      <c r="Q20730">
        <v>0</v>
      </c>
      <c r="R20730">
        <v>113</v>
      </c>
      <c r="S20730">
        <v>0</v>
      </c>
      <c r="T20730" t="s">
        <v>77756</v>
      </c>
    </row>
    <row r="20731" spans="1:20" customFormat="1" ht="15" x14ac:dyDescent="0.25">
      <c r="A20731" t="s">
        <v>24</v>
      </c>
      <c r="B20731" t="s">
        <v>1473</v>
      </c>
      <c r="C20731" t="str">
        <f>"SF01733"</f>
        <v>SF01733</v>
      </c>
      <c r="D20731" t="s">
        <v>77757</v>
      </c>
      <c r="E20731" t="s">
        <v>77758</v>
      </c>
      <c r="F20731" t="s">
        <v>13665</v>
      </c>
      <c r="G20731" t="s">
        <v>880</v>
      </c>
      <c r="H20731">
        <v>38501</v>
      </c>
      <c r="I20731" t="s">
        <v>30</v>
      </c>
      <c r="J20731" t="s">
        <v>31</v>
      </c>
      <c r="K20731" t="s">
        <v>315</v>
      </c>
      <c r="N20731" t="s">
        <v>77759</v>
      </c>
      <c r="Q20731">
        <v>0</v>
      </c>
      <c r="R20731">
        <v>65</v>
      </c>
      <c r="S20731">
        <v>0</v>
      </c>
      <c r="T20731" t="s">
        <v>77760</v>
      </c>
    </row>
    <row r="20732" spans="1:20" customFormat="1" ht="15" x14ac:dyDescent="0.25">
      <c r="A20732" t="s">
        <v>24</v>
      </c>
      <c r="B20732" t="s">
        <v>1446</v>
      </c>
      <c r="C20732" t="str">
        <f>"A0095923"</f>
        <v>A0095923</v>
      </c>
      <c r="D20732" t="s">
        <v>77761</v>
      </c>
      <c r="E20732" t="s">
        <v>77762</v>
      </c>
      <c r="F20732" t="s">
        <v>11700</v>
      </c>
      <c r="G20732" t="s">
        <v>880</v>
      </c>
      <c r="H20732">
        <v>38116</v>
      </c>
      <c r="I20732" t="s">
        <v>30</v>
      </c>
      <c r="J20732" t="s">
        <v>31</v>
      </c>
      <c r="K20732" t="s">
        <v>315</v>
      </c>
      <c r="N20732" t="s">
        <v>1451</v>
      </c>
      <c r="O20732" t="s">
        <v>16107</v>
      </c>
      <c r="Q20732">
        <v>0</v>
      </c>
      <c r="R20732">
        <v>57</v>
      </c>
      <c r="S20732">
        <v>0</v>
      </c>
      <c r="T20732" t="s">
        <v>77763</v>
      </c>
    </row>
    <row r="20733" spans="1:20" customFormat="1" ht="15" x14ac:dyDescent="0.25">
      <c r="A20733" t="s">
        <v>24</v>
      </c>
      <c r="B20733" t="s">
        <v>1473</v>
      </c>
      <c r="C20733" t="str">
        <f>"A0094854"</f>
        <v>A0094854</v>
      </c>
      <c r="D20733" t="s">
        <v>77764</v>
      </c>
      <c r="E20733" t="s">
        <v>77765</v>
      </c>
      <c r="F20733" t="s">
        <v>56789</v>
      </c>
      <c r="G20733" t="s">
        <v>65</v>
      </c>
      <c r="H20733">
        <v>43123</v>
      </c>
      <c r="I20733" t="s">
        <v>30</v>
      </c>
      <c r="J20733" t="s">
        <v>31</v>
      </c>
      <c r="K20733" t="s">
        <v>315</v>
      </c>
      <c r="N20733" t="s">
        <v>73296</v>
      </c>
      <c r="Q20733">
        <v>0</v>
      </c>
      <c r="R20733">
        <v>68</v>
      </c>
      <c r="S20733">
        <v>0</v>
      </c>
      <c r="T20733" t="s">
        <v>77766</v>
      </c>
    </row>
    <row r="20734" spans="1:20" customFormat="1" ht="15" x14ac:dyDescent="0.25">
      <c r="A20734" t="s">
        <v>24</v>
      </c>
      <c r="B20734" t="s">
        <v>706</v>
      </c>
      <c r="C20734" t="str">
        <f>"A0091830"</f>
        <v>A0091830</v>
      </c>
      <c r="D20734" t="s">
        <v>77767</v>
      </c>
      <c r="E20734" t="s">
        <v>77768</v>
      </c>
      <c r="F20734" t="s">
        <v>53568</v>
      </c>
      <c r="G20734" t="s">
        <v>81</v>
      </c>
      <c r="H20734">
        <v>34442</v>
      </c>
      <c r="I20734" t="s">
        <v>30</v>
      </c>
      <c r="J20734" t="s">
        <v>31</v>
      </c>
      <c r="K20734" t="s">
        <v>315</v>
      </c>
      <c r="N20734" t="s">
        <v>77769</v>
      </c>
      <c r="Q20734">
        <v>0</v>
      </c>
      <c r="R20734">
        <v>50</v>
      </c>
      <c r="S20734">
        <v>0</v>
      </c>
      <c r="T20734" t="s">
        <v>77770</v>
      </c>
    </row>
    <row r="20735" spans="1:20" customFormat="1" ht="15" x14ac:dyDescent="0.25">
      <c r="A20735" t="s">
        <v>24</v>
      </c>
      <c r="B20735" t="s">
        <v>1577</v>
      </c>
      <c r="C20735" t="str">
        <f>"A0098549"</f>
        <v>A0098549</v>
      </c>
      <c r="D20735" t="s">
        <v>77771</v>
      </c>
      <c r="E20735" t="s">
        <v>77772</v>
      </c>
      <c r="F20735" t="s">
        <v>53883</v>
      </c>
      <c r="G20735" t="s">
        <v>1706</v>
      </c>
      <c r="H20735">
        <v>36602</v>
      </c>
      <c r="I20735" t="s">
        <v>30</v>
      </c>
      <c r="J20735" t="s">
        <v>31</v>
      </c>
      <c r="K20735" t="s">
        <v>315</v>
      </c>
      <c r="N20735" t="s">
        <v>77773</v>
      </c>
      <c r="Q20735">
        <v>0</v>
      </c>
      <c r="R20735">
        <v>125</v>
      </c>
      <c r="S20735">
        <v>0</v>
      </c>
      <c r="T20735" t="s">
        <v>77774</v>
      </c>
    </row>
    <row r="20736" spans="1:20" customFormat="1" ht="15" x14ac:dyDescent="0.25">
      <c r="A20736" t="s">
        <v>24</v>
      </c>
      <c r="B20736" t="s">
        <v>58814</v>
      </c>
      <c r="C20736" t="str">
        <f>"A0076356"</f>
        <v>A0076356</v>
      </c>
      <c r="D20736" t="s">
        <v>77775</v>
      </c>
      <c r="E20736" t="s">
        <v>77776</v>
      </c>
      <c r="F20736" t="s">
        <v>9431</v>
      </c>
      <c r="G20736" t="s">
        <v>381</v>
      </c>
      <c r="H20736">
        <v>46217</v>
      </c>
      <c r="I20736" t="s">
        <v>30</v>
      </c>
      <c r="J20736" t="s">
        <v>31</v>
      </c>
      <c r="K20736" t="s">
        <v>315</v>
      </c>
      <c r="N20736" t="s">
        <v>3486</v>
      </c>
      <c r="O20736" t="s">
        <v>77777</v>
      </c>
      <c r="Q20736">
        <v>0</v>
      </c>
      <c r="R20736">
        <v>69</v>
      </c>
      <c r="S20736">
        <v>0</v>
      </c>
      <c r="T20736" t="s">
        <v>77778</v>
      </c>
    </row>
    <row r="20737" spans="1:20" customFormat="1" ht="15" x14ac:dyDescent="0.25">
      <c r="A20737" t="s">
        <v>24</v>
      </c>
      <c r="B20737" t="s">
        <v>7040</v>
      </c>
      <c r="C20737" t="str">
        <f>"A0117361"</f>
        <v>A0117361</v>
      </c>
      <c r="D20737" t="s">
        <v>61910</v>
      </c>
      <c r="E20737" t="s">
        <v>61911</v>
      </c>
      <c r="F20737" t="s">
        <v>61912</v>
      </c>
      <c r="G20737" t="s">
        <v>615</v>
      </c>
      <c r="H20737">
        <v>6489</v>
      </c>
      <c r="I20737" t="s">
        <v>30</v>
      </c>
      <c r="J20737" t="s">
        <v>171</v>
      </c>
      <c r="K20737" t="s">
        <v>973</v>
      </c>
      <c r="N20737" t="s">
        <v>61913</v>
      </c>
      <c r="Q20737">
        <v>0</v>
      </c>
      <c r="R20737">
        <v>124</v>
      </c>
      <c r="S20737">
        <v>0</v>
      </c>
      <c r="T20737" t="s">
        <v>61914</v>
      </c>
    </row>
    <row r="20738" spans="1:20" customFormat="1" ht="15" x14ac:dyDescent="0.25">
      <c r="A20738" t="s">
        <v>24</v>
      </c>
      <c r="B20738" t="s">
        <v>8366</v>
      </c>
      <c r="C20738" t="str">
        <f>"A0098186"</f>
        <v>A0098186</v>
      </c>
      <c r="D20738" t="s">
        <v>77785</v>
      </c>
      <c r="E20738" t="s">
        <v>77786</v>
      </c>
      <c r="F20738" t="s">
        <v>58598</v>
      </c>
      <c r="G20738" t="s">
        <v>81</v>
      </c>
      <c r="H20738">
        <v>34744</v>
      </c>
      <c r="I20738" t="s">
        <v>30</v>
      </c>
      <c r="J20738" t="s">
        <v>31</v>
      </c>
      <c r="K20738" t="s">
        <v>315</v>
      </c>
      <c r="N20738" t="s">
        <v>77787</v>
      </c>
      <c r="O20738" t="s">
        <v>11382</v>
      </c>
      <c r="Q20738">
        <v>0</v>
      </c>
      <c r="R20738">
        <v>112</v>
      </c>
      <c r="S20738">
        <v>0</v>
      </c>
      <c r="T20738" t="s">
        <v>77788</v>
      </c>
    </row>
    <row r="20739" spans="1:20" customFormat="1" ht="15" x14ac:dyDescent="0.25">
      <c r="A20739" t="s">
        <v>24</v>
      </c>
      <c r="B20739" t="s">
        <v>675</v>
      </c>
      <c r="C20739" t="str">
        <f>"311L4"</f>
        <v>311L4</v>
      </c>
      <c r="D20739" t="s">
        <v>61915</v>
      </c>
      <c r="E20739" t="s">
        <v>61916</v>
      </c>
      <c r="F20739" t="s">
        <v>57876</v>
      </c>
      <c r="G20739" t="s">
        <v>76</v>
      </c>
      <c r="H20739">
        <v>99202</v>
      </c>
      <c r="I20739" t="s">
        <v>30</v>
      </c>
      <c r="J20739" t="s">
        <v>171</v>
      </c>
      <c r="K20739" t="s">
        <v>973</v>
      </c>
      <c r="N20739" t="s">
        <v>61917</v>
      </c>
      <c r="O20739" t="s">
        <v>61918</v>
      </c>
      <c r="Q20739">
        <v>0</v>
      </c>
      <c r="R20739">
        <v>149</v>
      </c>
      <c r="S20739">
        <v>0</v>
      </c>
      <c r="T20739" t="s">
        <v>61919</v>
      </c>
    </row>
    <row r="20740" spans="1:20" customFormat="1" ht="15" x14ac:dyDescent="0.25">
      <c r="A20740" t="s">
        <v>24</v>
      </c>
      <c r="B20740" t="s">
        <v>2340</v>
      </c>
      <c r="C20740" t="str">
        <f>"A0058358"</f>
        <v>A0058358</v>
      </c>
      <c r="D20740" t="s">
        <v>77793</v>
      </c>
      <c r="E20740" t="s">
        <v>77794</v>
      </c>
      <c r="F20740" t="s">
        <v>8217</v>
      </c>
      <c r="G20740" t="s">
        <v>29</v>
      </c>
      <c r="H20740">
        <v>20109</v>
      </c>
      <c r="I20740" t="s">
        <v>30</v>
      </c>
      <c r="J20740" t="s">
        <v>31</v>
      </c>
      <c r="K20740" t="s">
        <v>315</v>
      </c>
      <c r="N20740" t="s">
        <v>77795</v>
      </c>
      <c r="O20740" t="s">
        <v>77796</v>
      </c>
      <c r="Q20740">
        <v>0</v>
      </c>
      <c r="R20740">
        <v>120</v>
      </c>
      <c r="S20740">
        <v>0</v>
      </c>
      <c r="T20740" t="s">
        <v>77797</v>
      </c>
    </row>
    <row r="20741" spans="1:20" customFormat="1" ht="15" x14ac:dyDescent="0.25">
      <c r="A20741" t="s">
        <v>24</v>
      </c>
      <c r="B20741" t="s">
        <v>61920</v>
      </c>
      <c r="C20741" t="str">
        <f>"A0092437"</f>
        <v>A0092437</v>
      </c>
      <c r="D20741" t="s">
        <v>61921</v>
      </c>
      <c r="E20741" t="s">
        <v>61922</v>
      </c>
      <c r="F20741" t="s">
        <v>3837</v>
      </c>
      <c r="G20741" t="s">
        <v>103</v>
      </c>
      <c r="H20741">
        <v>19064</v>
      </c>
      <c r="I20741" t="s">
        <v>30</v>
      </c>
      <c r="J20741" t="s">
        <v>171</v>
      </c>
      <c r="K20741" t="s">
        <v>973</v>
      </c>
      <c r="N20741" t="s">
        <v>61923</v>
      </c>
      <c r="O20741" t="s">
        <v>61924</v>
      </c>
      <c r="Q20741">
        <v>0</v>
      </c>
      <c r="R20741">
        <v>101</v>
      </c>
      <c r="S20741">
        <v>0</v>
      </c>
      <c r="T20741" t="s">
        <v>61925</v>
      </c>
    </row>
    <row r="20742" spans="1:20" customFormat="1" ht="15" x14ac:dyDescent="0.25">
      <c r="A20742" t="s">
        <v>24</v>
      </c>
      <c r="B20742" t="s">
        <v>77802</v>
      </c>
      <c r="C20742" t="str">
        <f>"432F3"</f>
        <v>432F3</v>
      </c>
      <c r="D20742" t="s">
        <v>77803</v>
      </c>
      <c r="E20742" t="s">
        <v>77804</v>
      </c>
      <c r="F20742" t="s">
        <v>1889</v>
      </c>
      <c r="G20742" t="s">
        <v>81</v>
      </c>
      <c r="H20742">
        <v>33166</v>
      </c>
      <c r="I20742" t="s">
        <v>30</v>
      </c>
      <c r="J20742" t="s">
        <v>31</v>
      </c>
      <c r="K20742" t="s">
        <v>315</v>
      </c>
      <c r="N20742" t="s">
        <v>77805</v>
      </c>
      <c r="Q20742">
        <v>0</v>
      </c>
      <c r="R20742">
        <v>129</v>
      </c>
      <c r="S20742">
        <v>0</v>
      </c>
      <c r="T20742" t="s">
        <v>77806</v>
      </c>
    </row>
    <row r="20743" spans="1:20" customFormat="1" ht="15" x14ac:dyDescent="0.25">
      <c r="A20743" t="s">
        <v>24</v>
      </c>
      <c r="B20743" t="s">
        <v>77807</v>
      </c>
      <c r="C20743" t="str">
        <f>"A0057734"</f>
        <v>A0057734</v>
      </c>
      <c r="D20743" t="s">
        <v>77808</v>
      </c>
      <c r="E20743" t="s">
        <v>77809</v>
      </c>
      <c r="F20743" t="s">
        <v>77810</v>
      </c>
      <c r="G20743" t="s">
        <v>1363</v>
      </c>
      <c r="H20743">
        <v>3054</v>
      </c>
      <c r="I20743" t="s">
        <v>30</v>
      </c>
      <c r="J20743" t="s">
        <v>31</v>
      </c>
      <c r="K20743" t="s">
        <v>315</v>
      </c>
      <c r="N20743" t="s">
        <v>77811</v>
      </c>
      <c r="Q20743">
        <v>0</v>
      </c>
      <c r="R20743">
        <v>67</v>
      </c>
      <c r="S20743">
        <v>0</v>
      </c>
      <c r="T20743" t="s">
        <v>77812</v>
      </c>
    </row>
    <row r="20744" spans="1:20" customFormat="1" ht="15" x14ac:dyDescent="0.25">
      <c r="A20744" t="s">
        <v>24</v>
      </c>
      <c r="B20744" t="s">
        <v>2528</v>
      </c>
      <c r="C20744" t="str">
        <f>"6515V"</f>
        <v>6515V</v>
      </c>
      <c r="D20744" t="s">
        <v>61921</v>
      </c>
      <c r="E20744" t="s">
        <v>61926</v>
      </c>
      <c r="F20744" t="s">
        <v>3837</v>
      </c>
      <c r="G20744" t="s">
        <v>29</v>
      </c>
      <c r="H20744">
        <v>22150</v>
      </c>
      <c r="I20744" t="s">
        <v>30</v>
      </c>
      <c r="J20744" t="s">
        <v>171</v>
      </c>
      <c r="K20744" t="s">
        <v>973</v>
      </c>
      <c r="N20744" t="s">
        <v>61927</v>
      </c>
      <c r="Q20744">
        <v>0</v>
      </c>
      <c r="R20744">
        <v>191</v>
      </c>
      <c r="S20744">
        <v>0</v>
      </c>
      <c r="T20744" t="s">
        <v>61928</v>
      </c>
    </row>
    <row r="20745" spans="1:20" customFormat="1" ht="15" x14ac:dyDescent="0.25">
      <c r="A20745" t="s">
        <v>24</v>
      </c>
      <c r="B20745" t="s">
        <v>706</v>
      </c>
      <c r="C20745" t="str">
        <f>"A0091776"</f>
        <v>A0091776</v>
      </c>
      <c r="D20745" t="s">
        <v>77816</v>
      </c>
      <c r="E20745" t="s">
        <v>77817</v>
      </c>
      <c r="F20745" t="s">
        <v>54914</v>
      </c>
      <c r="G20745" t="s">
        <v>81</v>
      </c>
      <c r="H20745">
        <v>34652</v>
      </c>
      <c r="I20745" t="s">
        <v>30</v>
      </c>
      <c r="J20745" t="s">
        <v>31</v>
      </c>
      <c r="K20745" t="s">
        <v>315</v>
      </c>
      <c r="N20745" t="s">
        <v>77818</v>
      </c>
      <c r="O20745" t="s">
        <v>77819</v>
      </c>
      <c r="Q20745">
        <v>0</v>
      </c>
      <c r="R20745">
        <v>150</v>
      </c>
      <c r="S20745">
        <v>0</v>
      </c>
      <c r="T20745" t="s">
        <v>77820</v>
      </c>
    </row>
    <row r="20746" spans="1:20" customFormat="1" ht="15" x14ac:dyDescent="0.25">
      <c r="A20746" t="s">
        <v>24</v>
      </c>
      <c r="B20746" t="s">
        <v>56277</v>
      </c>
      <c r="C20746" t="str">
        <f>"6516D"</f>
        <v>6516D</v>
      </c>
      <c r="D20746" t="s">
        <v>61929</v>
      </c>
      <c r="E20746" t="s">
        <v>61930</v>
      </c>
      <c r="F20746" t="s">
        <v>1755</v>
      </c>
      <c r="G20746" t="s">
        <v>137</v>
      </c>
      <c r="H20746">
        <v>65803</v>
      </c>
      <c r="I20746" t="s">
        <v>30</v>
      </c>
      <c r="J20746" t="s">
        <v>171</v>
      </c>
      <c r="K20746" t="s">
        <v>973</v>
      </c>
      <c r="N20746" t="s">
        <v>61931</v>
      </c>
      <c r="Q20746">
        <v>0</v>
      </c>
      <c r="R20746">
        <v>142</v>
      </c>
      <c r="S20746">
        <v>0</v>
      </c>
      <c r="T20746" t="s">
        <v>61932</v>
      </c>
    </row>
    <row r="20747" spans="1:20" customFormat="1" ht="15" hidden="1" x14ac:dyDescent="0.25">
      <c r="A20747" t="s">
        <v>24</v>
      </c>
      <c r="B20747" t="s">
        <v>8397</v>
      </c>
      <c r="C20747" t="str">
        <f>"A0068843"</f>
        <v>A0068843</v>
      </c>
      <c r="D20747" t="s">
        <v>77826</v>
      </c>
      <c r="E20747" t="s">
        <v>77827</v>
      </c>
      <c r="F20747" t="s">
        <v>70330</v>
      </c>
      <c r="G20747" t="s">
        <v>2206</v>
      </c>
      <c r="H20747" t="s">
        <v>77828</v>
      </c>
      <c r="I20747" t="s">
        <v>1459</v>
      </c>
      <c r="J20747" t="s">
        <v>145</v>
      </c>
      <c r="K20747" t="s">
        <v>55040</v>
      </c>
      <c r="N20747" t="s">
        <v>77829</v>
      </c>
      <c r="Q20747">
        <v>0</v>
      </c>
      <c r="R20747">
        <v>100</v>
      </c>
      <c r="S20747">
        <v>0</v>
      </c>
      <c r="T20747" t="s">
        <v>77830</v>
      </c>
    </row>
    <row r="20748" spans="1:20" customFormat="1" ht="15" x14ac:dyDescent="0.25">
      <c r="A20748" t="s">
        <v>24</v>
      </c>
      <c r="B20748" t="s">
        <v>2583</v>
      </c>
      <c r="C20748" t="str">
        <f>"A0069113"</f>
        <v>A0069113</v>
      </c>
      <c r="D20748" t="s">
        <v>61933</v>
      </c>
      <c r="E20748" t="s">
        <v>61934</v>
      </c>
      <c r="F20748" t="s">
        <v>3837</v>
      </c>
      <c r="G20748" t="s">
        <v>65</v>
      </c>
      <c r="H20748">
        <v>45502</v>
      </c>
      <c r="I20748" t="s">
        <v>30</v>
      </c>
      <c r="J20748" t="s">
        <v>171</v>
      </c>
      <c r="K20748" t="s">
        <v>973</v>
      </c>
      <c r="N20748" t="s">
        <v>61935</v>
      </c>
      <c r="Q20748">
        <v>0</v>
      </c>
      <c r="R20748">
        <v>120</v>
      </c>
      <c r="S20748">
        <v>0</v>
      </c>
      <c r="T20748" t="s">
        <v>61936</v>
      </c>
    </row>
    <row r="20749" spans="1:20" customFormat="1" ht="15" x14ac:dyDescent="0.25">
      <c r="A20749" t="s">
        <v>24</v>
      </c>
      <c r="B20749" t="s">
        <v>1098</v>
      </c>
      <c r="C20749" t="str">
        <f>"A0087680"</f>
        <v>A0087680</v>
      </c>
      <c r="D20749" t="s">
        <v>61937</v>
      </c>
      <c r="E20749" t="s">
        <v>61938</v>
      </c>
      <c r="F20749" t="s">
        <v>61939</v>
      </c>
      <c r="G20749" t="s">
        <v>81</v>
      </c>
      <c r="H20749">
        <v>32084</v>
      </c>
      <c r="I20749" t="s">
        <v>30</v>
      </c>
      <c r="J20749" t="s">
        <v>171</v>
      </c>
      <c r="K20749" t="s">
        <v>973</v>
      </c>
      <c r="N20749" t="s">
        <v>61940</v>
      </c>
      <c r="Q20749">
        <v>0</v>
      </c>
      <c r="R20749">
        <v>98</v>
      </c>
      <c r="S20749">
        <v>0</v>
      </c>
      <c r="T20749" t="s">
        <v>61941</v>
      </c>
    </row>
    <row r="20750" spans="1:20" customFormat="1" ht="15" x14ac:dyDescent="0.25">
      <c r="A20750" t="s">
        <v>24</v>
      </c>
      <c r="B20750" t="s">
        <v>1098</v>
      </c>
      <c r="C20750" t="str">
        <f>"A0093552"</f>
        <v>A0093552</v>
      </c>
      <c r="D20750" t="s">
        <v>61942</v>
      </c>
      <c r="E20750" t="s">
        <v>61943</v>
      </c>
      <c r="F20750" t="s">
        <v>61944</v>
      </c>
      <c r="G20750" t="s">
        <v>81</v>
      </c>
      <c r="H20750">
        <v>33708</v>
      </c>
      <c r="I20750" t="s">
        <v>30</v>
      </c>
      <c r="J20750" t="s">
        <v>171</v>
      </c>
      <c r="K20750" t="s">
        <v>973</v>
      </c>
      <c r="N20750" t="s">
        <v>61945</v>
      </c>
      <c r="O20750" t="s">
        <v>61946</v>
      </c>
      <c r="Q20750">
        <v>0</v>
      </c>
      <c r="R20750">
        <v>91</v>
      </c>
      <c r="S20750">
        <v>0</v>
      </c>
      <c r="T20750" t="s">
        <v>61947</v>
      </c>
    </row>
    <row r="20751" spans="1:20" customFormat="1" ht="15" x14ac:dyDescent="0.25">
      <c r="A20751" t="s">
        <v>24</v>
      </c>
      <c r="B20751" t="s">
        <v>8366</v>
      </c>
      <c r="C20751" t="str">
        <f>"6513K"</f>
        <v>6513K</v>
      </c>
      <c r="D20751" t="s">
        <v>77845</v>
      </c>
      <c r="E20751" t="s">
        <v>77846</v>
      </c>
      <c r="F20751" t="s">
        <v>77847</v>
      </c>
      <c r="G20751" t="s">
        <v>899</v>
      </c>
      <c r="H20751">
        <v>2151</v>
      </c>
      <c r="I20751" t="s">
        <v>30</v>
      </c>
      <c r="J20751" t="s">
        <v>31</v>
      </c>
      <c r="K20751" t="s">
        <v>315</v>
      </c>
      <c r="N20751" t="s">
        <v>59761</v>
      </c>
      <c r="Q20751">
        <v>0</v>
      </c>
      <c r="R20751">
        <v>154</v>
      </c>
      <c r="S20751">
        <v>0</v>
      </c>
      <c r="T20751" t="s">
        <v>77848</v>
      </c>
    </row>
    <row r="20752" spans="1:20" customFormat="1" ht="15" x14ac:dyDescent="0.25">
      <c r="A20752" t="s">
        <v>24</v>
      </c>
      <c r="B20752" t="s">
        <v>68697</v>
      </c>
      <c r="C20752" t="str">
        <f>"A0093895"</f>
        <v>A0093895</v>
      </c>
      <c r="D20752" t="s">
        <v>77849</v>
      </c>
      <c r="E20752" t="s">
        <v>77850</v>
      </c>
      <c r="F20752" t="s">
        <v>2978</v>
      </c>
      <c r="G20752" t="s">
        <v>110</v>
      </c>
      <c r="H20752">
        <v>92113</v>
      </c>
      <c r="I20752" t="s">
        <v>30</v>
      </c>
      <c r="J20752" t="s">
        <v>31</v>
      </c>
      <c r="K20752" t="s">
        <v>315</v>
      </c>
      <c r="N20752" t="s">
        <v>77851</v>
      </c>
      <c r="Q20752">
        <v>0</v>
      </c>
      <c r="R20752">
        <v>64</v>
      </c>
      <c r="S20752">
        <v>0</v>
      </c>
      <c r="T20752" t="s">
        <v>77852</v>
      </c>
    </row>
    <row r="20753" spans="1:20" customFormat="1" ht="15" x14ac:dyDescent="0.25">
      <c r="A20753" t="s">
        <v>24</v>
      </c>
      <c r="B20753" t="s">
        <v>257</v>
      </c>
      <c r="C20753" t="str">
        <f>"A0094916"</f>
        <v>A0094916</v>
      </c>
      <c r="D20753" t="s">
        <v>61948</v>
      </c>
      <c r="E20753" t="s">
        <v>61949</v>
      </c>
      <c r="F20753" t="s">
        <v>59227</v>
      </c>
      <c r="G20753" t="s">
        <v>1369</v>
      </c>
      <c r="H20753">
        <v>39759</v>
      </c>
      <c r="I20753" t="s">
        <v>30</v>
      </c>
      <c r="J20753" t="s">
        <v>171</v>
      </c>
      <c r="K20753" t="s">
        <v>973</v>
      </c>
      <c r="N20753" t="s">
        <v>61950</v>
      </c>
      <c r="Q20753">
        <v>0</v>
      </c>
      <c r="R20753">
        <v>104</v>
      </c>
      <c r="S20753">
        <v>0</v>
      </c>
      <c r="T20753" t="s">
        <v>61951</v>
      </c>
    </row>
    <row r="20754" spans="1:20" customFormat="1" ht="15" x14ac:dyDescent="0.25">
      <c r="A20754" t="s">
        <v>24</v>
      </c>
      <c r="B20754" t="s">
        <v>36062</v>
      </c>
      <c r="C20754" t="str">
        <f>"A0117408"</f>
        <v>A0117408</v>
      </c>
      <c r="D20754" t="s">
        <v>77858</v>
      </c>
      <c r="E20754" t="s">
        <v>77859</v>
      </c>
      <c r="F20754" t="s">
        <v>36065</v>
      </c>
      <c r="G20754" t="s">
        <v>137</v>
      </c>
      <c r="H20754">
        <v>65584</v>
      </c>
      <c r="I20754" t="s">
        <v>30</v>
      </c>
      <c r="J20754" t="s">
        <v>31</v>
      </c>
      <c r="K20754" t="s">
        <v>315</v>
      </c>
      <c r="N20754" t="s">
        <v>36066</v>
      </c>
      <c r="Q20754">
        <v>0</v>
      </c>
      <c r="R20754">
        <v>52</v>
      </c>
      <c r="S20754">
        <v>0</v>
      </c>
      <c r="T20754" t="s">
        <v>56548</v>
      </c>
    </row>
    <row r="20755" spans="1:20" customFormat="1" ht="15" x14ac:dyDescent="0.25">
      <c r="A20755" t="s">
        <v>24</v>
      </c>
      <c r="B20755" t="s">
        <v>2340</v>
      </c>
      <c r="C20755" t="str">
        <f>"A0074689"</f>
        <v>A0074689</v>
      </c>
      <c r="D20755" t="s">
        <v>77860</v>
      </c>
      <c r="E20755" t="s">
        <v>77861</v>
      </c>
      <c r="F20755" t="s">
        <v>77862</v>
      </c>
      <c r="G20755" t="s">
        <v>123</v>
      </c>
      <c r="H20755">
        <v>20912</v>
      </c>
      <c r="I20755" t="s">
        <v>30</v>
      </c>
      <c r="J20755" t="s">
        <v>31</v>
      </c>
      <c r="K20755" t="s">
        <v>315</v>
      </c>
      <c r="N20755" t="s">
        <v>13168</v>
      </c>
      <c r="O20755" t="s">
        <v>77863</v>
      </c>
      <c r="Q20755">
        <v>0</v>
      </c>
      <c r="R20755">
        <v>164</v>
      </c>
      <c r="S20755">
        <v>0</v>
      </c>
      <c r="T20755" t="s">
        <v>77864</v>
      </c>
    </row>
    <row r="20756" spans="1:20" customFormat="1" ht="15" x14ac:dyDescent="0.25">
      <c r="A20756" t="s">
        <v>24</v>
      </c>
      <c r="B20756" t="s">
        <v>56166</v>
      </c>
      <c r="C20756" t="str">
        <f>"A0059537"</f>
        <v>A0059537</v>
      </c>
      <c r="D20756" t="s">
        <v>77865</v>
      </c>
      <c r="E20756" t="s">
        <v>77866</v>
      </c>
      <c r="F20756" t="s">
        <v>60374</v>
      </c>
      <c r="G20756" t="s">
        <v>29</v>
      </c>
      <c r="H20756">
        <v>22182</v>
      </c>
      <c r="I20756" t="s">
        <v>30</v>
      </c>
      <c r="J20756" t="s">
        <v>31</v>
      </c>
      <c r="K20756" t="s">
        <v>315</v>
      </c>
      <c r="N20756" t="s">
        <v>77867</v>
      </c>
      <c r="O20756" t="s">
        <v>77868</v>
      </c>
      <c r="Q20756">
        <v>0</v>
      </c>
      <c r="R20756">
        <v>251</v>
      </c>
      <c r="S20756">
        <v>0</v>
      </c>
      <c r="T20756" t="s">
        <v>77869</v>
      </c>
    </row>
    <row r="20757" spans="1:20" customFormat="1" ht="15" x14ac:dyDescent="0.25">
      <c r="A20757" t="s">
        <v>24</v>
      </c>
      <c r="B20757" t="s">
        <v>15916</v>
      </c>
      <c r="C20757" t="str">
        <f>"A0068476"</f>
        <v>A0068476</v>
      </c>
      <c r="D20757" t="s">
        <v>77870</v>
      </c>
      <c r="E20757" t="s">
        <v>77871</v>
      </c>
      <c r="F20757" t="s">
        <v>34579</v>
      </c>
      <c r="G20757" t="s">
        <v>3236</v>
      </c>
      <c r="H20757">
        <v>57201</v>
      </c>
      <c r="I20757" t="s">
        <v>30</v>
      </c>
      <c r="J20757" t="s">
        <v>145</v>
      </c>
      <c r="K20757" t="s">
        <v>315</v>
      </c>
      <c r="N20757" t="s">
        <v>76649</v>
      </c>
      <c r="Q20757">
        <v>0</v>
      </c>
      <c r="R20757">
        <v>60</v>
      </c>
      <c r="S20757">
        <v>0</v>
      </c>
      <c r="T20757" t="s">
        <v>77872</v>
      </c>
    </row>
    <row r="20758" spans="1:20" customFormat="1" ht="15" x14ac:dyDescent="0.25">
      <c r="A20758" t="s">
        <v>24</v>
      </c>
      <c r="B20758" t="s">
        <v>1849</v>
      </c>
      <c r="C20758" t="str">
        <f>"A0059168"</f>
        <v>A0059168</v>
      </c>
      <c r="D20758" t="s">
        <v>77873</v>
      </c>
      <c r="E20758" t="s">
        <v>77874</v>
      </c>
      <c r="F20758" t="s">
        <v>53690</v>
      </c>
      <c r="G20758" t="s">
        <v>110</v>
      </c>
      <c r="H20758">
        <v>93401</v>
      </c>
      <c r="I20758" t="s">
        <v>30</v>
      </c>
      <c r="J20758" t="s">
        <v>31</v>
      </c>
      <c r="K20758" t="s">
        <v>315</v>
      </c>
      <c r="N20758" t="s">
        <v>77875</v>
      </c>
      <c r="O20758" t="s">
        <v>77876</v>
      </c>
      <c r="Q20758">
        <v>0</v>
      </c>
      <c r="R20758">
        <v>138</v>
      </c>
      <c r="S20758">
        <v>0</v>
      </c>
      <c r="T20758" t="s">
        <v>77877</v>
      </c>
    </row>
    <row r="20759" spans="1:20" customFormat="1" ht="15" hidden="1" x14ac:dyDescent="0.25">
      <c r="A20759" t="s">
        <v>24</v>
      </c>
      <c r="B20759" t="s">
        <v>5435</v>
      </c>
      <c r="C20759" t="str">
        <f>"A0066888"</f>
        <v>A0066888</v>
      </c>
      <c r="D20759" t="s">
        <v>77878</v>
      </c>
      <c r="E20759" t="s">
        <v>77879</v>
      </c>
      <c r="F20759" t="s">
        <v>62829</v>
      </c>
      <c r="G20759" t="s">
        <v>5439</v>
      </c>
      <c r="H20759" t="s">
        <v>77880</v>
      </c>
      <c r="I20759" t="s">
        <v>1459</v>
      </c>
      <c r="J20759" t="s">
        <v>162</v>
      </c>
      <c r="K20759" t="s">
        <v>1490</v>
      </c>
      <c r="N20759" t="s">
        <v>77881</v>
      </c>
      <c r="Q20759">
        <v>0</v>
      </c>
      <c r="R20759">
        <v>111</v>
      </c>
      <c r="S20759">
        <v>0</v>
      </c>
      <c r="T20759" t="s">
        <v>77882</v>
      </c>
    </row>
    <row r="20760" spans="1:20" customFormat="1" ht="15" x14ac:dyDescent="0.25">
      <c r="A20760" t="s">
        <v>24</v>
      </c>
      <c r="B20760" t="s">
        <v>2360</v>
      </c>
      <c r="C20760" t="str">
        <f>"CL0745"</f>
        <v>CL0745</v>
      </c>
      <c r="D20760" t="s">
        <v>77883</v>
      </c>
      <c r="E20760" t="s">
        <v>77884</v>
      </c>
      <c r="F20760" t="s">
        <v>2443</v>
      </c>
      <c r="G20760" t="s">
        <v>81</v>
      </c>
      <c r="H20760">
        <v>32225</v>
      </c>
      <c r="I20760" t="s">
        <v>30</v>
      </c>
      <c r="J20760" t="s">
        <v>178</v>
      </c>
      <c r="K20760" t="s">
        <v>56676</v>
      </c>
      <c r="N20760" t="s">
        <v>77885</v>
      </c>
      <c r="P20760" t="s">
        <v>992</v>
      </c>
      <c r="Q20760">
        <v>1</v>
      </c>
      <c r="R20760">
        <v>0</v>
      </c>
      <c r="S20760">
        <v>0</v>
      </c>
      <c r="T20760" t="s">
        <v>77886</v>
      </c>
    </row>
    <row r="20761" spans="1:20" customFormat="1" ht="15" x14ac:dyDescent="0.25">
      <c r="A20761" t="s">
        <v>24</v>
      </c>
      <c r="B20761" t="s">
        <v>5843</v>
      </c>
      <c r="C20761" t="str">
        <f>"651I6"</f>
        <v>651I6</v>
      </c>
      <c r="D20761" t="s">
        <v>61952</v>
      </c>
      <c r="E20761" t="s">
        <v>61953</v>
      </c>
      <c r="F20761" t="s">
        <v>61954</v>
      </c>
      <c r="G20761" t="s">
        <v>110</v>
      </c>
      <c r="H20761">
        <v>95219</v>
      </c>
      <c r="I20761" t="s">
        <v>30</v>
      </c>
      <c r="J20761" t="s">
        <v>171</v>
      </c>
      <c r="K20761" t="s">
        <v>973</v>
      </c>
      <c r="N20761" t="s">
        <v>61955</v>
      </c>
      <c r="Q20761">
        <v>0</v>
      </c>
      <c r="R20761">
        <v>89</v>
      </c>
      <c r="S20761">
        <v>0</v>
      </c>
      <c r="T20761" t="s">
        <v>61956</v>
      </c>
    </row>
    <row r="20762" spans="1:20" customFormat="1" ht="15" x14ac:dyDescent="0.25">
      <c r="A20762" t="s">
        <v>24</v>
      </c>
      <c r="B20762" t="s">
        <v>4400</v>
      </c>
      <c r="C20762" t="str">
        <f>"A0077198"</f>
        <v>A0077198</v>
      </c>
      <c r="D20762" t="s">
        <v>61957</v>
      </c>
      <c r="E20762" t="s">
        <v>61958</v>
      </c>
      <c r="F20762" t="s">
        <v>4761</v>
      </c>
      <c r="G20762" t="s">
        <v>65</v>
      </c>
      <c r="H20762">
        <v>44224</v>
      </c>
      <c r="I20762" t="s">
        <v>30</v>
      </c>
      <c r="J20762" t="s">
        <v>171</v>
      </c>
      <c r="K20762" t="s">
        <v>973</v>
      </c>
      <c r="N20762" t="s">
        <v>61959</v>
      </c>
      <c r="Q20762">
        <v>0</v>
      </c>
      <c r="R20762">
        <v>101</v>
      </c>
      <c r="S20762">
        <v>0</v>
      </c>
      <c r="T20762" t="s">
        <v>61960</v>
      </c>
    </row>
    <row r="20763" spans="1:20" customFormat="1" ht="15" x14ac:dyDescent="0.25">
      <c r="A20763" t="s">
        <v>24</v>
      </c>
      <c r="B20763" t="s">
        <v>2955</v>
      </c>
      <c r="C20763" t="str">
        <f>"A0083937"</f>
        <v>A0083937</v>
      </c>
      <c r="D20763" t="s">
        <v>61961</v>
      </c>
      <c r="E20763" t="s">
        <v>61962</v>
      </c>
      <c r="F20763" t="s">
        <v>61963</v>
      </c>
      <c r="G20763" t="s">
        <v>29</v>
      </c>
      <c r="H20763">
        <v>23435</v>
      </c>
      <c r="I20763" t="s">
        <v>30</v>
      </c>
      <c r="J20763" t="s">
        <v>171</v>
      </c>
      <c r="K20763" t="s">
        <v>973</v>
      </c>
      <c r="N20763" t="s">
        <v>61880</v>
      </c>
      <c r="Q20763">
        <v>0</v>
      </c>
      <c r="R20763">
        <v>92</v>
      </c>
      <c r="S20763">
        <v>0</v>
      </c>
      <c r="T20763" t="s">
        <v>61964</v>
      </c>
    </row>
    <row r="20764" spans="1:20" customFormat="1" ht="15" x14ac:dyDescent="0.25">
      <c r="A20764" t="s">
        <v>24</v>
      </c>
      <c r="B20764" t="s">
        <v>1020</v>
      </c>
      <c r="C20764" t="str">
        <f>"A0093539"</f>
        <v>A0093539</v>
      </c>
      <c r="D20764" t="s">
        <v>61965</v>
      </c>
      <c r="E20764" t="s">
        <v>61966</v>
      </c>
      <c r="F20764" t="s">
        <v>32880</v>
      </c>
      <c r="G20764" t="s">
        <v>110</v>
      </c>
      <c r="H20764">
        <v>94087</v>
      </c>
      <c r="I20764" t="s">
        <v>30</v>
      </c>
      <c r="J20764" t="s">
        <v>171</v>
      </c>
      <c r="K20764" t="s">
        <v>973</v>
      </c>
      <c r="N20764" t="s">
        <v>61967</v>
      </c>
      <c r="O20764" t="s">
        <v>61968</v>
      </c>
      <c r="Q20764">
        <v>0</v>
      </c>
      <c r="R20764">
        <v>145</v>
      </c>
      <c r="S20764">
        <v>0</v>
      </c>
      <c r="T20764" t="s">
        <v>61969</v>
      </c>
    </row>
    <row r="20765" spans="1:20" customFormat="1" ht="15" hidden="1" x14ac:dyDescent="0.25">
      <c r="A20765" t="s">
        <v>24</v>
      </c>
      <c r="B20765" t="s">
        <v>59861</v>
      </c>
      <c r="C20765" t="str">
        <f>"A0098466"</f>
        <v>A0098466</v>
      </c>
      <c r="D20765" t="s">
        <v>77901</v>
      </c>
      <c r="E20765" t="s">
        <v>77902</v>
      </c>
      <c r="F20765" t="s">
        <v>59864</v>
      </c>
      <c r="G20765" t="s">
        <v>55614</v>
      </c>
      <c r="I20765" t="s">
        <v>55613</v>
      </c>
      <c r="J20765" t="s">
        <v>162</v>
      </c>
      <c r="K20765" t="s">
        <v>251</v>
      </c>
      <c r="N20765" t="s">
        <v>77903</v>
      </c>
      <c r="Q20765">
        <v>0</v>
      </c>
      <c r="R20765">
        <v>146</v>
      </c>
      <c r="S20765">
        <v>0</v>
      </c>
      <c r="T20765" t="s">
        <v>59867</v>
      </c>
    </row>
    <row r="20766" spans="1:20" customFormat="1" ht="15" x14ac:dyDescent="0.25">
      <c r="A20766" t="s">
        <v>24</v>
      </c>
      <c r="B20766" t="s">
        <v>675</v>
      </c>
      <c r="C20766" t="str">
        <f>"311F3"</f>
        <v>311F3</v>
      </c>
      <c r="D20766" t="s">
        <v>61970</v>
      </c>
      <c r="E20766" t="s">
        <v>61971</v>
      </c>
      <c r="F20766" t="s">
        <v>61972</v>
      </c>
      <c r="G20766" t="s">
        <v>99</v>
      </c>
      <c r="H20766">
        <v>13057</v>
      </c>
      <c r="I20766" t="s">
        <v>30</v>
      </c>
      <c r="J20766" t="s">
        <v>171</v>
      </c>
      <c r="K20766" t="s">
        <v>973</v>
      </c>
      <c r="N20766" t="s">
        <v>61973</v>
      </c>
      <c r="O20766" t="s">
        <v>61974</v>
      </c>
      <c r="Q20766">
        <v>0</v>
      </c>
      <c r="R20766">
        <v>149</v>
      </c>
      <c r="S20766">
        <v>0</v>
      </c>
      <c r="T20766" t="s">
        <v>61975</v>
      </c>
    </row>
    <row r="20767" spans="1:20" customFormat="1" ht="15" x14ac:dyDescent="0.25">
      <c r="A20767" t="s">
        <v>24</v>
      </c>
      <c r="B20767" t="s">
        <v>2955</v>
      </c>
      <c r="C20767" t="str">
        <f>"A0096351"</f>
        <v>A0096351</v>
      </c>
      <c r="D20767" t="s">
        <v>61976</v>
      </c>
      <c r="E20767" t="s">
        <v>61977</v>
      </c>
      <c r="F20767" t="s">
        <v>14426</v>
      </c>
      <c r="G20767" t="s">
        <v>99</v>
      </c>
      <c r="H20767">
        <v>13202</v>
      </c>
      <c r="I20767" t="s">
        <v>30</v>
      </c>
      <c r="J20767" t="s">
        <v>171</v>
      </c>
      <c r="K20767" t="s">
        <v>973</v>
      </c>
      <c r="N20767" t="s">
        <v>61978</v>
      </c>
      <c r="O20767" t="s">
        <v>61979</v>
      </c>
      <c r="Q20767">
        <v>0</v>
      </c>
      <c r="R20767">
        <v>102</v>
      </c>
      <c r="S20767">
        <v>0</v>
      </c>
      <c r="T20767" t="s">
        <v>61980</v>
      </c>
    </row>
    <row r="20768" spans="1:20" customFormat="1" ht="15" x14ac:dyDescent="0.25">
      <c r="A20768" t="s">
        <v>24</v>
      </c>
      <c r="B20768" t="s">
        <v>57114</v>
      </c>
      <c r="C20768" t="str">
        <f>"A0068498"</f>
        <v>A0068498</v>
      </c>
      <c r="D20768" t="s">
        <v>61981</v>
      </c>
      <c r="E20768" t="s">
        <v>61982</v>
      </c>
      <c r="F20768" t="s">
        <v>1039</v>
      </c>
      <c r="G20768" t="s">
        <v>76</v>
      </c>
      <c r="H20768">
        <v>98402</v>
      </c>
      <c r="I20768" t="s">
        <v>30</v>
      </c>
      <c r="J20768" t="s">
        <v>171</v>
      </c>
      <c r="K20768" t="s">
        <v>973</v>
      </c>
      <c r="N20768" t="s">
        <v>61983</v>
      </c>
      <c r="Q20768">
        <v>0</v>
      </c>
      <c r="R20768">
        <v>162</v>
      </c>
      <c r="S20768">
        <v>0</v>
      </c>
      <c r="T20768" t="s">
        <v>61984</v>
      </c>
    </row>
    <row r="20769" spans="1:25" customFormat="1" ht="15" x14ac:dyDescent="0.25">
      <c r="A20769" t="s">
        <v>24</v>
      </c>
      <c r="B20769" t="s">
        <v>675</v>
      </c>
      <c r="C20769" t="str">
        <f>"311C3"</f>
        <v>311C3</v>
      </c>
      <c r="D20769" t="s">
        <v>61985</v>
      </c>
      <c r="E20769" t="s">
        <v>61986</v>
      </c>
      <c r="F20769" t="s">
        <v>2564</v>
      </c>
      <c r="G20769" t="s">
        <v>81</v>
      </c>
      <c r="H20769">
        <v>32301</v>
      </c>
      <c r="I20769" t="s">
        <v>30</v>
      </c>
      <c r="J20769" t="s">
        <v>171</v>
      </c>
      <c r="K20769" t="s">
        <v>973</v>
      </c>
      <c r="N20769" t="s">
        <v>32836</v>
      </c>
      <c r="O20769" t="s">
        <v>61987</v>
      </c>
      <c r="Q20769">
        <v>0</v>
      </c>
      <c r="R20769">
        <v>154</v>
      </c>
      <c r="S20769">
        <v>0</v>
      </c>
      <c r="T20769" t="s">
        <v>61988</v>
      </c>
    </row>
    <row r="20770" spans="1:25" customFormat="1" ht="15" x14ac:dyDescent="0.25">
      <c r="A20770" t="s">
        <v>24</v>
      </c>
      <c r="B20770" t="s">
        <v>342</v>
      </c>
      <c r="C20770" t="str">
        <f>"6515M"</f>
        <v>6515M</v>
      </c>
      <c r="D20770" t="s">
        <v>61989</v>
      </c>
      <c r="E20770" t="s">
        <v>61990</v>
      </c>
      <c r="F20770" t="s">
        <v>2564</v>
      </c>
      <c r="G20770" t="s">
        <v>81</v>
      </c>
      <c r="H20770">
        <v>32308</v>
      </c>
      <c r="I20770" t="s">
        <v>30</v>
      </c>
      <c r="J20770" t="s">
        <v>171</v>
      </c>
      <c r="K20770" t="s">
        <v>973</v>
      </c>
      <c r="N20770" t="s">
        <v>61991</v>
      </c>
      <c r="O20770" t="s">
        <v>61992</v>
      </c>
      <c r="Q20770">
        <v>0</v>
      </c>
      <c r="R20770">
        <v>93</v>
      </c>
      <c r="S20770">
        <v>0</v>
      </c>
      <c r="T20770" t="s">
        <v>61993</v>
      </c>
    </row>
    <row r="20771" spans="1:25" customFormat="1" ht="15" x14ac:dyDescent="0.25">
      <c r="A20771" t="s">
        <v>24</v>
      </c>
      <c r="B20771" t="s">
        <v>77924</v>
      </c>
      <c r="C20771" t="str">
        <f>"A0051526"</f>
        <v>A0051526</v>
      </c>
      <c r="D20771" t="s">
        <v>77925</v>
      </c>
      <c r="E20771" t="s">
        <v>77926</v>
      </c>
      <c r="F20771" t="s">
        <v>1824</v>
      </c>
      <c r="G20771" t="s">
        <v>103</v>
      </c>
      <c r="H20771">
        <v>19382</v>
      </c>
      <c r="I20771" t="s">
        <v>30</v>
      </c>
      <c r="J20771" t="s">
        <v>178</v>
      </c>
      <c r="K20771" t="s">
        <v>179</v>
      </c>
      <c r="N20771" t="s">
        <v>77381</v>
      </c>
      <c r="Q20771">
        <v>1</v>
      </c>
      <c r="R20771">
        <v>0</v>
      </c>
      <c r="S20771">
        <v>0</v>
      </c>
      <c r="T20771" t="s">
        <v>77927</v>
      </c>
    </row>
    <row r="20772" spans="1:25" customFormat="1" ht="15" x14ac:dyDescent="0.25">
      <c r="A20772" t="s">
        <v>24</v>
      </c>
      <c r="B20772" t="s">
        <v>77928</v>
      </c>
      <c r="C20772" t="str">
        <f>"A0075942"</f>
        <v>A0075942</v>
      </c>
      <c r="D20772" t="s">
        <v>77929</v>
      </c>
      <c r="E20772" t="s">
        <v>77930</v>
      </c>
      <c r="F20772" t="s">
        <v>77931</v>
      </c>
      <c r="G20772" t="s">
        <v>103</v>
      </c>
      <c r="H20772">
        <v>19085</v>
      </c>
      <c r="I20772" t="s">
        <v>30</v>
      </c>
      <c r="J20772" t="s">
        <v>178</v>
      </c>
      <c r="K20772" t="s">
        <v>179</v>
      </c>
      <c r="N20772" t="s">
        <v>77932</v>
      </c>
      <c r="O20772" t="s">
        <v>77933</v>
      </c>
      <c r="P20772" t="s">
        <v>992</v>
      </c>
      <c r="Q20772">
        <v>1</v>
      </c>
      <c r="R20772">
        <v>0</v>
      </c>
      <c r="S20772">
        <v>0</v>
      </c>
      <c r="T20772" t="s">
        <v>77934</v>
      </c>
    </row>
    <row r="20773" spans="1:25" customFormat="1" ht="15" hidden="1" x14ac:dyDescent="0.25">
      <c r="A20773" t="s">
        <v>24</v>
      </c>
      <c r="B20773" t="s">
        <v>55676</v>
      </c>
      <c r="C20773" t="str">
        <f>"A0100924"</f>
        <v>A0100924</v>
      </c>
      <c r="D20773" t="s">
        <v>77935</v>
      </c>
      <c r="E20773" t="s">
        <v>77936</v>
      </c>
      <c r="F20773" t="s">
        <v>59297</v>
      </c>
      <c r="G20773" t="s">
        <v>13345</v>
      </c>
      <c r="H20773">
        <v>52779</v>
      </c>
      <c r="I20773" t="s">
        <v>2408</v>
      </c>
      <c r="J20773" t="s">
        <v>2272</v>
      </c>
      <c r="K20773" t="s">
        <v>163</v>
      </c>
      <c r="N20773" t="s">
        <v>55679</v>
      </c>
      <c r="Q20773">
        <v>0</v>
      </c>
      <c r="R20773">
        <v>32</v>
      </c>
      <c r="S20773">
        <v>0</v>
      </c>
      <c r="T20773" t="s">
        <v>55680</v>
      </c>
    </row>
    <row r="20774" spans="1:25" customFormat="1" ht="15" x14ac:dyDescent="0.25">
      <c r="A20774" t="s">
        <v>24</v>
      </c>
      <c r="B20774" t="s">
        <v>60077</v>
      </c>
      <c r="C20774" t="str">
        <f>"651UR"</f>
        <v>651UR</v>
      </c>
      <c r="D20774" t="s">
        <v>61994</v>
      </c>
      <c r="E20774" t="s">
        <v>61995</v>
      </c>
      <c r="F20774" t="s">
        <v>3955</v>
      </c>
      <c r="G20774" t="s">
        <v>81</v>
      </c>
      <c r="H20774">
        <v>33619</v>
      </c>
      <c r="I20774" t="s">
        <v>30</v>
      </c>
      <c r="J20774" t="s">
        <v>171</v>
      </c>
      <c r="K20774" t="s">
        <v>973</v>
      </c>
      <c r="N20774" t="s">
        <v>61996</v>
      </c>
      <c r="O20774" t="s">
        <v>61997</v>
      </c>
      <c r="Q20774">
        <v>0</v>
      </c>
      <c r="R20774">
        <v>90</v>
      </c>
      <c r="S20774">
        <v>0</v>
      </c>
      <c r="T20774" t="s">
        <v>61998</v>
      </c>
    </row>
    <row r="20775" spans="1:25" customFormat="1" ht="15" x14ac:dyDescent="0.25">
      <c r="A20775" t="s">
        <v>24</v>
      </c>
      <c r="B20775" t="s">
        <v>342</v>
      </c>
      <c r="C20775" t="str">
        <f>"6512S"</f>
        <v>6512S</v>
      </c>
      <c r="D20775" t="s">
        <v>61999</v>
      </c>
      <c r="E20775" t="s">
        <v>62000</v>
      </c>
      <c r="F20775" t="s">
        <v>3955</v>
      </c>
      <c r="G20775" t="s">
        <v>81</v>
      </c>
      <c r="H20775">
        <v>33602</v>
      </c>
      <c r="I20775" t="s">
        <v>30</v>
      </c>
      <c r="J20775" t="s">
        <v>171</v>
      </c>
      <c r="K20775" t="s">
        <v>973</v>
      </c>
      <c r="Q20775">
        <v>0</v>
      </c>
      <c r="R20775">
        <v>141</v>
      </c>
      <c r="S20775">
        <v>0</v>
      </c>
      <c r="T20775" t="s">
        <v>62001</v>
      </c>
    </row>
    <row r="20776" spans="1:25" customFormat="1" ht="15" hidden="1" x14ac:dyDescent="0.25">
      <c r="A20776" t="s">
        <v>24</v>
      </c>
      <c r="B20776" t="s">
        <v>8397</v>
      </c>
      <c r="C20776" t="str">
        <f>"A0095129"</f>
        <v>A0095129</v>
      </c>
      <c r="D20776" t="s">
        <v>77946</v>
      </c>
      <c r="E20776" t="s">
        <v>77947</v>
      </c>
      <c r="F20776" t="s">
        <v>77948</v>
      </c>
      <c r="G20776" t="s">
        <v>2206</v>
      </c>
      <c r="H20776" t="s">
        <v>77949</v>
      </c>
      <c r="I20776" t="s">
        <v>1459</v>
      </c>
      <c r="J20776" t="s">
        <v>171</v>
      </c>
      <c r="K20776" t="s">
        <v>248</v>
      </c>
      <c r="N20776" t="s">
        <v>8403</v>
      </c>
      <c r="Q20776">
        <v>0</v>
      </c>
      <c r="R20776">
        <v>52</v>
      </c>
      <c r="S20776">
        <v>0</v>
      </c>
      <c r="T20776" t="s">
        <v>77950</v>
      </c>
    </row>
    <row r="20777" spans="1:25" customFormat="1" ht="15" x14ac:dyDescent="0.25">
      <c r="A20777" t="s">
        <v>24</v>
      </c>
      <c r="B20777" t="s">
        <v>649</v>
      </c>
      <c r="C20777" t="str">
        <f>"A0100877"</f>
        <v>A0100877</v>
      </c>
      <c r="D20777" t="s">
        <v>62002</v>
      </c>
      <c r="E20777" t="s">
        <v>62003</v>
      </c>
      <c r="F20777" t="s">
        <v>62004</v>
      </c>
      <c r="G20777" t="s">
        <v>81</v>
      </c>
      <c r="H20777">
        <v>33625</v>
      </c>
      <c r="I20777" t="s">
        <v>30</v>
      </c>
      <c r="J20777" t="s">
        <v>171</v>
      </c>
      <c r="K20777" t="s">
        <v>973</v>
      </c>
      <c r="N20777" t="s">
        <v>62005</v>
      </c>
      <c r="Q20777">
        <v>0</v>
      </c>
      <c r="R20777">
        <v>128</v>
      </c>
      <c r="S20777">
        <v>0</v>
      </c>
      <c r="T20777" t="s">
        <v>62006</v>
      </c>
    </row>
    <row r="20778" spans="1:25" customFormat="1" ht="15" x14ac:dyDescent="0.25">
      <c r="A20778" t="s">
        <v>24</v>
      </c>
      <c r="B20778" t="s">
        <v>675</v>
      </c>
      <c r="C20778" t="str">
        <f>"311B4"</f>
        <v>311B4</v>
      </c>
      <c r="D20778" t="s">
        <v>62007</v>
      </c>
      <c r="E20778" t="s">
        <v>62008</v>
      </c>
      <c r="F20778" t="s">
        <v>3955</v>
      </c>
      <c r="G20778" t="s">
        <v>81</v>
      </c>
      <c r="H20778">
        <v>33607</v>
      </c>
      <c r="I20778" t="s">
        <v>30</v>
      </c>
      <c r="J20778" t="s">
        <v>171</v>
      </c>
      <c r="K20778" t="s">
        <v>973</v>
      </c>
      <c r="N20778" t="s">
        <v>62009</v>
      </c>
      <c r="O20778" t="s">
        <v>62010</v>
      </c>
      <c r="Q20778">
        <v>0</v>
      </c>
      <c r="R20778">
        <v>145</v>
      </c>
      <c r="S20778">
        <v>0</v>
      </c>
      <c r="T20778" t="s">
        <v>62011</v>
      </c>
    </row>
    <row r="20779" spans="1:25" customFormat="1" ht="15" hidden="1" x14ac:dyDescent="0.25">
      <c r="A20779" t="s">
        <v>24</v>
      </c>
      <c r="B20779" t="s">
        <v>8397</v>
      </c>
      <c r="C20779" t="str">
        <f>"A0069045"</f>
        <v>A0069045</v>
      </c>
      <c r="D20779" t="s">
        <v>77960</v>
      </c>
      <c r="E20779" t="s">
        <v>77961</v>
      </c>
      <c r="F20779" t="s">
        <v>15132</v>
      </c>
      <c r="G20779" t="s">
        <v>2206</v>
      </c>
      <c r="H20779" t="s">
        <v>77962</v>
      </c>
      <c r="I20779" t="s">
        <v>1459</v>
      </c>
      <c r="J20779" t="s">
        <v>171</v>
      </c>
      <c r="K20779" t="s">
        <v>248</v>
      </c>
      <c r="N20779" t="s">
        <v>8403</v>
      </c>
      <c r="Q20779">
        <v>0</v>
      </c>
      <c r="R20779">
        <v>110</v>
      </c>
      <c r="S20779">
        <v>0</v>
      </c>
      <c r="T20779" t="s">
        <v>77963</v>
      </c>
    </row>
    <row r="20780" spans="1:25" customFormat="1" ht="15" x14ac:dyDescent="0.25">
      <c r="A20780" t="s">
        <v>24</v>
      </c>
      <c r="B20780" t="s">
        <v>77964</v>
      </c>
      <c r="C20780" t="str">
        <f>"A0050664"</f>
        <v>A0050664</v>
      </c>
      <c r="D20780" t="s">
        <v>77965</v>
      </c>
      <c r="E20780" t="s">
        <v>77966</v>
      </c>
      <c r="F20780" t="s">
        <v>76466</v>
      </c>
      <c r="G20780" t="s">
        <v>110</v>
      </c>
      <c r="H20780">
        <v>92067</v>
      </c>
      <c r="I20780" t="s">
        <v>30</v>
      </c>
      <c r="J20780" t="s">
        <v>178</v>
      </c>
      <c r="K20780" t="s">
        <v>179</v>
      </c>
      <c r="P20780" t="s">
        <v>992</v>
      </c>
      <c r="Q20780">
        <v>1</v>
      </c>
      <c r="R20780">
        <v>0</v>
      </c>
      <c r="S20780">
        <v>0</v>
      </c>
      <c r="T20780" t="s">
        <v>77967</v>
      </c>
    </row>
    <row r="20781" spans="1:25" x14ac:dyDescent="0.25">
      <c r="A20781" s="5" t="s">
        <v>24</v>
      </c>
      <c r="B20781" s="5" t="s">
        <v>675</v>
      </c>
      <c r="C20781" s="5" t="str">
        <f>"311D4"</f>
        <v>311D4</v>
      </c>
      <c r="D20781" s="5" t="s">
        <v>62012</v>
      </c>
      <c r="E20781" s="5" t="s">
        <v>62013</v>
      </c>
      <c r="F20781" s="5" t="s">
        <v>12569</v>
      </c>
      <c r="G20781" s="5" t="s">
        <v>99</v>
      </c>
      <c r="H20781" s="5">
        <v>10591</v>
      </c>
      <c r="I20781" s="5" t="s">
        <v>30</v>
      </c>
      <c r="J20781" s="5" t="s">
        <v>171</v>
      </c>
      <c r="K20781" s="5" t="s">
        <v>973</v>
      </c>
      <c r="L20781" s="5"/>
      <c r="M20781" s="5"/>
      <c r="N20781" s="5" t="s">
        <v>62014</v>
      </c>
      <c r="O20781" s="5"/>
      <c r="P20781" s="5"/>
      <c r="Q20781" s="5">
        <v>0</v>
      </c>
      <c r="R20781" s="5">
        <v>149</v>
      </c>
      <c r="S20781" s="5">
        <v>0</v>
      </c>
      <c r="T20781" s="5" t="s">
        <v>62015</v>
      </c>
      <c r="U20781" s="5"/>
      <c r="V20781" s="5"/>
      <c r="W20781" s="5"/>
      <c r="X20781" s="5"/>
      <c r="Y20781" s="5"/>
    </row>
    <row r="20782" spans="1:25" customFormat="1" ht="15" x14ac:dyDescent="0.25">
      <c r="A20782" t="s">
        <v>24</v>
      </c>
      <c r="B20782" t="s">
        <v>6667</v>
      </c>
      <c r="C20782" t="str">
        <f>"A0069418"</f>
        <v>A0069418</v>
      </c>
      <c r="D20782" t="s">
        <v>77975</v>
      </c>
      <c r="E20782" t="s">
        <v>77976</v>
      </c>
      <c r="F20782" t="s">
        <v>196</v>
      </c>
      <c r="G20782" t="s">
        <v>197</v>
      </c>
      <c r="H20782" t="s">
        <v>77977</v>
      </c>
      <c r="I20782" t="s">
        <v>30</v>
      </c>
      <c r="J20782" t="s">
        <v>178</v>
      </c>
      <c r="K20782" t="s">
        <v>6667</v>
      </c>
      <c r="N20782" t="s">
        <v>77978</v>
      </c>
      <c r="O20782" t="s">
        <v>77979</v>
      </c>
      <c r="P20782" t="s">
        <v>6426</v>
      </c>
      <c r="Q20782">
        <v>1</v>
      </c>
      <c r="R20782">
        <v>0</v>
      </c>
      <c r="S20782">
        <v>0</v>
      </c>
      <c r="T20782" t="s">
        <v>77980</v>
      </c>
    </row>
    <row r="20783" spans="1:25" customFormat="1" ht="15" x14ac:dyDescent="0.25">
      <c r="A20783" t="s">
        <v>24</v>
      </c>
      <c r="B20783" t="s">
        <v>2360</v>
      </c>
      <c r="C20783" t="str">
        <f>"A0053766"</f>
        <v>A0053766</v>
      </c>
      <c r="D20783" t="s">
        <v>77981</v>
      </c>
      <c r="E20783" t="s">
        <v>77982</v>
      </c>
      <c r="F20783" t="s">
        <v>77983</v>
      </c>
      <c r="G20783" t="s">
        <v>289</v>
      </c>
      <c r="H20783">
        <v>60015</v>
      </c>
      <c r="I20783" t="s">
        <v>30</v>
      </c>
      <c r="J20783" t="s">
        <v>178</v>
      </c>
      <c r="K20783" t="s">
        <v>56092</v>
      </c>
      <c r="N20783" t="s">
        <v>77984</v>
      </c>
      <c r="O20783" t="s">
        <v>77985</v>
      </c>
      <c r="Q20783">
        <v>1</v>
      </c>
      <c r="R20783">
        <v>0</v>
      </c>
      <c r="S20783">
        <v>0</v>
      </c>
      <c r="T20783" t="s">
        <v>77986</v>
      </c>
    </row>
    <row r="20784" spans="1:25" customFormat="1" ht="15" x14ac:dyDescent="0.25">
      <c r="A20784" t="s">
        <v>24</v>
      </c>
      <c r="B20784" t="s">
        <v>13267</v>
      </c>
      <c r="C20784" t="str">
        <f>"A0097765"</f>
        <v>A0097765</v>
      </c>
      <c r="D20784" t="s">
        <v>62016</v>
      </c>
      <c r="E20784" t="s">
        <v>62017</v>
      </c>
      <c r="F20784" t="s">
        <v>62018</v>
      </c>
      <c r="G20784" t="s">
        <v>110</v>
      </c>
      <c r="H20784">
        <v>92562</v>
      </c>
      <c r="I20784" t="s">
        <v>30</v>
      </c>
      <c r="J20784" t="s">
        <v>171</v>
      </c>
      <c r="K20784" t="s">
        <v>973</v>
      </c>
      <c r="N20784" t="s">
        <v>62019</v>
      </c>
      <c r="Q20784">
        <v>0</v>
      </c>
      <c r="R20784">
        <v>183</v>
      </c>
      <c r="S20784">
        <v>0</v>
      </c>
      <c r="T20784" t="s">
        <v>62020</v>
      </c>
    </row>
    <row r="20785" spans="1:20" customFormat="1" ht="15" x14ac:dyDescent="0.25">
      <c r="A20785" t="s">
        <v>24</v>
      </c>
      <c r="B20785" t="s">
        <v>2368</v>
      </c>
      <c r="C20785" t="str">
        <f>"A0148811"</f>
        <v>A0148811</v>
      </c>
      <c r="D20785" t="s">
        <v>62021</v>
      </c>
      <c r="E20785" t="s">
        <v>62022</v>
      </c>
      <c r="F20785" t="s">
        <v>62023</v>
      </c>
      <c r="G20785" t="s">
        <v>110</v>
      </c>
      <c r="H20785">
        <v>91301</v>
      </c>
      <c r="I20785" t="s">
        <v>30</v>
      </c>
      <c r="J20785" t="s">
        <v>171</v>
      </c>
      <c r="K20785" t="s">
        <v>973</v>
      </c>
      <c r="N20785" t="s">
        <v>62024</v>
      </c>
      <c r="O20785" t="s">
        <v>62025</v>
      </c>
      <c r="Q20785">
        <v>0</v>
      </c>
      <c r="R20785">
        <v>129</v>
      </c>
      <c r="S20785">
        <v>0</v>
      </c>
      <c r="T20785" t="s">
        <v>62026</v>
      </c>
    </row>
    <row r="20786" spans="1:20" customFormat="1" ht="15" x14ac:dyDescent="0.25">
      <c r="A20786" t="s">
        <v>24</v>
      </c>
      <c r="B20786" t="s">
        <v>55997</v>
      </c>
      <c r="C20786" t="str">
        <f>"A0096261"</f>
        <v>A0096261</v>
      </c>
      <c r="D20786" t="s">
        <v>77995</v>
      </c>
      <c r="E20786" t="s">
        <v>77996</v>
      </c>
      <c r="F20786" t="s">
        <v>77997</v>
      </c>
      <c r="G20786" t="s">
        <v>103</v>
      </c>
      <c r="H20786">
        <v>17702</v>
      </c>
      <c r="I20786" t="s">
        <v>30</v>
      </c>
      <c r="J20786" t="s">
        <v>145</v>
      </c>
      <c r="K20786" t="s">
        <v>1234</v>
      </c>
      <c r="N20786" t="s">
        <v>77998</v>
      </c>
      <c r="O20786" t="s">
        <v>77999</v>
      </c>
      <c r="Q20786">
        <v>0</v>
      </c>
      <c r="R20786">
        <v>117</v>
      </c>
      <c r="S20786">
        <v>0</v>
      </c>
      <c r="T20786" t="s">
        <v>78000</v>
      </c>
    </row>
    <row r="20787" spans="1:20" customFormat="1" ht="15" x14ac:dyDescent="0.25">
      <c r="A20787" t="s">
        <v>24</v>
      </c>
      <c r="B20787" t="s">
        <v>1473</v>
      </c>
      <c r="C20787" t="str">
        <f>"SF02841"</f>
        <v>SF02841</v>
      </c>
      <c r="D20787" t="s">
        <v>78001</v>
      </c>
      <c r="E20787" t="s">
        <v>78002</v>
      </c>
      <c r="F20787" t="s">
        <v>64</v>
      </c>
      <c r="G20787" t="s">
        <v>65</v>
      </c>
      <c r="H20787">
        <v>43228</v>
      </c>
      <c r="I20787" t="s">
        <v>30</v>
      </c>
      <c r="J20787" t="s">
        <v>145</v>
      </c>
      <c r="K20787" t="s">
        <v>1234</v>
      </c>
      <c r="N20787" t="s">
        <v>13596</v>
      </c>
      <c r="O20787" t="s">
        <v>12325</v>
      </c>
      <c r="Q20787">
        <v>0</v>
      </c>
      <c r="R20787">
        <v>49</v>
      </c>
      <c r="S20787">
        <v>0</v>
      </c>
      <c r="T20787" t="s">
        <v>78003</v>
      </c>
    </row>
    <row r="20788" spans="1:20" customFormat="1" ht="15" x14ac:dyDescent="0.25">
      <c r="A20788" t="s">
        <v>24</v>
      </c>
      <c r="B20788" t="s">
        <v>78004</v>
      </c>
      <c r="C20788" t="str">
        <f>"A0154116"</f>
        <v>A0154116</v>
      </c>
      <c r="D20788" t="s">
        <v>78005</v>
      </c>
      <c r="E20788" t="s">
        <v>78006</v>
      </c>
      <c r="F20788" t="s">
        <v>59367</v>
      </c>
      <c r="G20788" t="s">
        <v>846</v>
      </c>
      <c r="H20788">
        <v>31313</v>
      </c>
      <c r="I20788" t="s">
        <v>30</v>
      </c>
      <c r="J20788" t="s">
        <v>145</v>
      </c>
      <c r="K20788" t="s">
        <v>1234</v>
      </c>
      <c r="N20788" t="s">
        <v>59368</v>
      </c>
      <c r="Q20788">
        <v>0</v>
      </c>
      <c r="R20788">
        <v>65</v>
      </c>
      <c r="S20788">
        <v>0</v>
      </c>
      <c r="T20788" t="s">
        <v>78007</v>
      </c>
    </row>
    <row r="20789" spans="1:20" customFormat="1" ht="15" x14ac:dyDescent="0.25">
      <c r="A20789" t="s">
        <v>24</v>
      </c>
      <c r="B20789" t="s">
        <v>55997</v>
      </c>
      <c r="C20789" t="str">
        <f>"A0088870"</f>
        <v>A0088870</v>
      </c>
      <c r="D20789" t="s">
        <v>78008</v>
      </c>
      <c r="E20789" t="s">
        <v>78009</v>
      </c>
      <c r="F20789" t="s">
        <v>1153</v>
      </c>
      <c r="G20789" t="s">
        <v>528</v>
      </c>
      <c r="H20789">
        <v>19713</v>
      </c>
      <c r="I20789" t="s">
        <v>30</v>
      </c>
      <c r="J20789" t="s">
        <v>145</v>
      </c>
      <c r="K20789" t="s">
        <v>1234</v>
      </c>
      <c r="N20789" t="s">
        <v>78010</v>
      </c>
      <c r="Q20789">
        <v>0</v>
      </c>
      <c r="R20789">
        <v>134</v>
      </c>
      <c r="S20789">
        <v>0</v>
      </c>
      <c r="T20789" t="s">
        <v>78011</v>
      </c>
    </row>
    <row r="20790" spans="1:20" customFormat="1" ht="15" x14ac:dyDescent="0.25">
      <c r="A20790" t="s">
        <v>24</v>
      </c>
      <c r="B20790" t="s">
        <v>1894</v>
      </c>
      <c r="C20790" t="str">
        <f>"A0095315"</f>
        <v>A0095315</v>
      </c>
      <c r="D20790" t="s">
        <v>78012</v>
      </c>
      <c r="E20790" t="s">
        <v>78013</v>
      </c>
      <c r="F20790" t="s">
        <v>1897</v>
      </c>
      <c r="G20790" t="s">
        <v>1898</v>
      </c>
      <c r="H20790">
        <v>50010</v>
      </c>
      <c r="I20790" t="s">
        <v>30</v>
      </c>
      <c r="J20790" t="s">
        <v>145</v>
      </c>
      <c r="K20790" t="s">
        <v>1234</v>
      </c>
      <c r="N20790" t="s">
        <v>78014</v>
      </c>
      <c r="Q20790">
        <v>0</v>
      </c>
      <c r="R20790">
        <v>78</v>
      </c>
      <c r="S20790">
        <v>0</v>
      </c>
      <c r="T20790" t="s">
        <v>78015</v>
      </c>
    </row>
    <row r="20791" spans="1:20" customFormat="1" ht="15" x14ac:dyDescent="0.25">
      <c r="A20791" t="s">
        <v>24</v>
      </c>
      <c r="B20791" t="s">
        <v>13299</v>
      </c>
      <c r="C20791" t="str">
        <f>"A0154324"</f>
        <v>A0154324</v>
      </c>
      <c r="D20791" t="s">
        <v>78016</v>
      </c>
      <c r="E20791" t="s">
        <v>78017</v>
      </c>
      <c r="F20791" t="s">
        <v>845</v>
      </c>
      <c r="G20791" t="s">
        <v>846</v>
      </c>
      <c r="H20791">
        <v>30329</v>
      </c>
      <c r="I20791" t="s">
        <v>30</v>
      </c>
      <c r="J20791" t="s">
        <v>145</v>
      </c>
      <c r="K20791" t="s">
        <v>1234</v>
      </c>
      <c r="N20791" t="s">
        <v>71529</v>
      </c>
      <c r="Q20791">
        <v>0</v>
      </c>
      <c r="R20791">
        <v>115</v>
      </c>
      <c r="S20791">
        <v>0</v>
      </c>
      <c r="T20791" t="s">
        <v>78018</v>
      </c>
    </row>
    <row r="20792" spans="1:20" customFormat="1" ht="15" x14ac:dyDescent="0.25">
      <c r="A20792" t="s">
        <v>24</v>
      </c>
      <c r="B20792" t="s">
        <v>63593</v>
      </c>
      <c r="C20792" t="str">
        <f>"A0056171"</f>
        <v>A0056171</v>
      </c>
      <c r="D20792" t="s">
        <v>78019</v>
      </c>
      <c r="E20792" t="s">
        <v>78020</v>
      </c>
      <c r="F20792" t="s">
        <v>78021</v>
      </c>
      <c r="G20792" t="s">
        <v>1706</v>
      </c>
      <c r="H20792">
        <v>35216</v>
      </c>
      <c r="I20792" t="s">
        <v>30</v>
      </c>
      <c r="J20792" t="s">
        <v>145</v>
      </c>
      <c r="K20792" t="s">
        <v>1234</v>
      </c>
      <c r="N20792" t="s">
        <v>78022</v>
      </c>
      <c r="Q20792">
        <v>0</v>
      </c>
      <c r="R20792">
        <v>116</v>
      </c>
      <c r="S20792">
        <v>0</v>
      </c>
      <c r="T20792" t="s">
        <v>78023</v>
      </c>
    </row>
    <row r="20793" spans="1:20" customFormat="1" ht="15" x14ac:dyDescent="0.25">
      <c r="A20793" t="s">
        <v>24</v>
      </c>
      <c r="B20793" t="s">
        <v>2340</v>
      </c>
      <c r="C20793" t="str">
        <f>"SF01527"</f>
        <v>SF01527</v>
      </c>
      <c r="D20793" t="s">
        <v>78024</v>
      </c>
      <c r="E20793" t="s">
        <v>8530</v>
      </c>
      <c r="F20793" t="s">
        <v>78025</v>
      </c>
      <c r="G20793" t="s">
        <v>338</v>
      </c>
      <c r="H20793">
        <v>7008</v>
      </c>
      <c r="I20793" t="s">
        <v>30</v>
      </c>
      <c r="J20793" t="s">
        <v>145</v>
      </c>
      <c r="K20793" t="s">
        <v>1234</v>
      </c>
      <c r="N20793" t="s">
        <v>76494</v>
      </c>
      <c r="O20793" t="s">
        <v>78026</v>
      </c>
      <c r="Q20793">
        <v>0</v>
      </c>
      <c r="R20793">
        <v>118</v>
      </c>
      <c r="S20793">
        <v>0</v>
      </c>
      <c r="T20793" t="s">
        <v>78027</v>
      </c>
    </row>
    <row r="20794" spans="1:20" customFormat="1" ht="15" x14ac:dyDescent="0.25">
      <c r="A20794" t="s">
        <v>24</v>
      </c>
      <c r="B20794" t="s">
        <v>56520</v>
      </c>
      <c r="C20794" t="str">
        <f>"A0095190"</f>
        <v>A0095190</v>
      </c>
      <c r="D20794" t="s">
        <v>78028</v>
      </c>
      <c r="E20794" t="s">
        <v>78029</v>
      </c>
      <c r="F20794" t="s">
        <v>5075</v>
      </c>
      <c r="G20794" t="s">
        <v>289</v>
      </c>
      <c r="H20794">
        <v>60438</v>
      </c>
      <c r="I20794" t="s">
        <v>30</v>
      </c>
      <c r="J20794" t="s">
        <v>145</v>
      </c>
      <c r="K20794" t="s">
        <v>1234</v>
      </c>
      <c r="N20794" t="s">
        <v>78030</v>
      </c>
      <c r="Q20794">
        <v>0</v>
      </c>
      <c r="R20794">
        <v>109</v>
      </c>
      <c r="S20794">
        <v>0</v>
      </c>
      <c r="T20794" t="s">
        <v>78031</v>
      </c>
    </row>
    <row r="20795" spans="1:20" customFormat="1" ht="15" x14ac:dyDescent="0.25">
      <c r="A20795" t="s">
        <v>24</v>
      </c>
      <c r="B20795" t="s">
        <v>2340</v>
      </c>
      <c r="C20795" t="str">
        <f>"A0073309"</f>
        <v>A0073309</v>
      </c>
      <c r="D20795" t="s">
        <v>78032</v>
      </c>
      <c r="E20795" t="s">
        <v>78033</v>
      </c>
      <c r="F20795" t="s">
        <v>3024</v>
      </c>
      <c r="G20795" t="s">
        <v>123</v>
      </c>
      <c r="H20795">
        <v>20740</v>
      </c>
      <c r="I20795" t="s">
        <v>30</v>
      </c>
      <c r="J20795" t="s">
        <v>145</v>
      </c>
      <c r="K20795" t="s">
        <v>1234</v>
      </c>
      <c r="N20795" t="s">
        <v>78034</v>
      </c>
      <c r="O20795" t="s">
        <v>2214</v>
      </c>
      <c r="Q20795">
        <v>0</v>
      </c>
      <c r="R20795">
        <v>68</v>
      </c>
      <c r="S20795">
        <v>0</v>
      </c>
      <c r="T20795" t="s">
        <v>78035</v>
      </c>
    </row>
    <row r="20796" spans="1:20" customFormat="1" ht="15" x14ac:dyDescent="0.25">
      <c r="A20796" t="s">
        <v>24</v>
      </c>
      <c r="B20796" t="s">
        <v>56959</v>
      </c>
      <c r="C20796" t="str">
        <f>"A0084822"</f>
        <v>A0084822</v>
      </c>
      <c r="D20796" t="s">
        <v>78036</v>
      </c>
      <c r="E20796" t="s">
        <v>78037</v>
      </c>
      <c r="F20796" t="s">
        <v>1969</v>
      </c>
      <c r="G20796" t="s">
        <v>65</v>
      </c>
      <c r="H20796">
        <v>43017</v>
      </c>
      <c r="I20796" t="s">
        <v>30</v>
      </c>
      <c r="J20796" t="s">
        <v>145</v>
      </c>
      <c r="K20796" t="s">
        <v>1234</v>
      </c>
      <c r="N20796" t="s">
        <v>78038</v>
      </c>
      <c r="Q20796">
        <v>0</v>
      </c>
      <c r="R20796">
        <v>106</v>
      </c>
      <c r="S20796">
        <v>0</v>
      </c>
      <c r="T20796" t="s">
        <v>78039</v>
      </c>
    </row>
    <row r="20797" spans="1:20" customFormat="1" ht="15" x14ac:dyDescent="0.25">
      <c r="A20797" t="s">
        <v>24</v>
      </c>
      <c r="B20797" t="s">
        <v>2340</v>
      </c>
      <c r="C20797" t="str">
        <f>"A0093564"</f>
        <v>A0093564</v>
      </c>
      <c r="D20797" t="s">
        <v>78040</v>
      </c>
      <c r="E20797" t="s">
        <v>78041</v>
      </c>
      <c r="F20797" t="s">
        <v>10137</v>
      </c>
      <c r="G20797" t="s">
        <v>338</v>
      </c>
      <c r="H20797">
        <v>8817</v>
      </c>
      <c r="I20797" t="s">
        <v>30</v>
      </c>
      <c r="J20797" t="s">
        <v>145</v>
      </c>
      <c r="K20797" t="s">
        <v>1234</v>
      </c>
      <c r="N20797" t="s">
        <v>78042</v>
      </c>
      <c r="Q20797">
        <v>0</v>
      </c>
      <c r="R20797">
        <v>132</v>
      </c>
      <c r="S20797">
        <v>0</v>
      </c>
      <c r="T20797" t="s">
        <v>78043</v>
      </c>
    </row>
    <row r="20798" spans="1:20" customFormat="1" ht="15" x14ac:dyDescent="0.25">
      <c r="A20798" t="s">
        <v>24</v>
      </c>
      <c r="B20798" t="s">
        <v>1577</v>
      </c>
      <c r="C20798" t="str">
        <f>"A0098547"</f>
        <v>A0098547</v>
      </c>
      <c r="D20798" t="s">
        <v>78044</v>
      </c>
      <c r="E20798" t="s">
        <v>78045</v>
      </c>
      <c r="F20798" t="s">
        <v>56591</v>
      </c>
      <c r="G20798" t="s">
        <v>1706</v>
      </c>
      <c r="H20798">
        <v>36542</v>
      </c>
      <c r="I20798" t="s">
        <v>30</v>
      </c>
      <c r="J20798" t="s">
        <v>145</v>
      </c>
      <c r="K20798" t="s">
        <v>1234</v>
      </c>
      <c r="N20798" t="s">
        <v>1559</v>
      </c>
      <c r="Q20798">
        <v>0</v>
      </c>
      <c r="R20798">
        <v>49</v>
      </c>
      <c r="S20798">
        <v>0</v>
      </c>
      <c r="T20798" t="s">
        <v>78046</v>
      </c>
    </row>
    <row r="20799" spans="1:20" customFormat="1" ht="15" x14ac:dyDescent="0.25">
      <c r="A20799" t="s">
        <v>24</v>
      </c>
      <c r="B20799" t="s">
        <v>58092</v>
      </c>
      <c r="C20799" t="str">
        <f>"A0145866"</f>
        <v>A0145866</v>
      </c>
      <c r="D20799" t="s">
        <v>78047</v>
      </c>
      <c r="E20799" t="s">
        <v>78048</v>
      </c>
      <c r="F20799" t="s">
        <v>1320</v>
      </c>
      <c r="G20799" t="s">
        <v>103</v>
      </c>
      <c r="H20799">
        <v>17602</v>
      </c>
      <c r="I20799" t="s">
        <v>30</v>
      </c>
      <c r="J20799" t="s">
        <v>145</v>
      </c>
      <c r="K20799" t="s">
        <v>1234</v>
      </c>
      <c r="N20799" t="s">
        <v>78049</v>
      </c>
      <c r="Q20799">
        <v>0</v>
      </c>
      <c r="R20799">
        <v>53</v>
      </c>
      <c r="S20799">
        <v>0</v>
      </c>
      <c r="T20799" t="s">
        <v>78050</v>
      </c>
    </row>
    <row r="20800" spans="1:20" customFormat="1" ht="15" x14ac:dyDescent="0.25">
      <c r="A20800" t="s">
        <v>24</v>
      </c>
      <c r="B20800" t="s">
        <v>63593</v>
      </c>
      <c r="C20800" t="str">
        <f>"A0096613"</f>
        <v>A0096613</v>
      </c>
      <c r="D20800" t="s">
        <v>78051</v>
      </c>
      <c r="E20800" t="s">
        <v>78052</v>
      </c>
      <c r="F20800" t="s">
        <v>78053</v>
      </c>
      <c r="G20800" t="s">
        <v>846</v>
      </c>
      <c r="H20800">
        <v>30248</v>
      </c>
      <c r="I20800" t="s">
        <v>30</v>
      </c>
      <c r="J20800" t="s">
        <v>145</v>
      </c>
      <c r="K20800" t="s">
        <v>1234</v>
      </c>
      <c r="N20800" t="s">
        <v>78054</v>
      </c>
      <c r="Q20800">
        <v>0</v>
      </c>
      <c r="R20800">
        <v>64</v>
      </c>
      <c r="S20800">
        <v>0</v>
      </c>
      <c r="T20800" t="s">
        <v>78055</v>
      </c>
    </row>
    <row r="20801" spans="1:25" customFormat="1" ht="15" x14ac:dyDescent="0.25">
      <c r="A20801" t="s">
        <v>24</v>
      </c>
      <c r="B20801" t="s">
        <v>1473</v>
      </c>
      <c r="C20801" t="str">
        <f>"A0090371"</f>
        <v>A0090371</v>
      </c>
      <c r="D20801" t="s">
        <v>78056</v>
      </c>
      <c r="E20801" t="s">
        <v>78057</v>
      </c>
      <c r="F20801" t="s">
        <v>2971</v>
      </c>
      <c r="G20801" t="s">
        <v>880</v>
      </c>
      <c r="H20801">
        <v>37207</v>
      </c>
      <c r="I20801" t="s">
        <v>30</v>
      </c>
      <c r="J20801" t="s">
        <v>145</v>
      </c>
      <c r="K20801" t="s">
        <v>1234</v>
      </c>
      <c r="N20801" t="s">
        <v>78058</v>
      </c>
      <c r="Q20801">
        <v>0</v>
      </c>
      <c r="R20801">
        <v>118</v>
      </c>
      <c r="S20801">
        <v>0</v>
      </c>
      <c r="T20801" t="s">
        <v>78059</v>
      </c>
    </row>
    <row r="20802" spans="1:25" customFormat="1" ht="15" x14ac:dyDescent="0.25">
      <c r="A20802" t="s">
        <v>24</v>
      </c>
      <c r="B20802" t="s">
        <v>2340</v>
      </c>
      <c r="C20802" t="str">
        <f>"A0072697"</f>
        <v>A0072697</v>
      </c>
      <c r="D20802" t="s">
        <v>78060</v>
      </c>
      <c r="E20802" t="s">
        <v>78061</v>
      </c>
      <c r="F20802" t="s">
        <v>78062</v>
      </c>
      <c r="G20802" t="s">
        <v>615</v>
      </c>
      <c r="H20802">
        <v>6051</v>
      </c>
      <c r="I20802" t="s">
        <v>30</v>
      </c>
      <c r="J20802" t="s">
        <v>145</v>
      </c>
      <c r="K20802" t="s">
        <v>1234</v>
      </c>
      <c r="N20802" t="s">
        <v>76494</v>
      </c>
      <c r="Q20802">
        <v>0</v>
      </c>
      <c r="R20802">
        <v>135</v>
      </c>
      <c r="S20802">
        <v>0</v>
      </c>
      <c r="T20802" t="s">
        <v>78063</v>
      </c>
    </row>
    <row r="20803" spans="1:25" customFormat="1" ht="15" x14ac:dyDescent="0.25">
      <c r="A20803" t="s">
        <v>24</v>
      </c>
      <c r="B20803" t="s">
        <v>2340</v>
      </c>
      <c r="C20803" t="str">
        <f>"A0056567"</f>
        <v>A0056567</v>
      </c>
      <c r="D20803" t="s">
        <v>78064</v>
      </c>
      <c r="E20803" t="s">
        <v>78065</v>
      </c>
      <c r="F20803" t="s">
        <v>5620</v>
      </c>
      <c r="G20803" t="s">
        <v>29</v>
      </c>
      <c r="H20803">
        <v>23234</v>
      </c>
      <c r="I20803" t="s">
        <v>30</v>
      </c>
      <c r="J20803" t="s">
        <v>145</v>
      </c>
      <c r="K20803" t="s">
        <v>1234</v>
      </c>
      <c r="N20803" t="s">
        <v>56700</v>
      </c>
      <c r="Q20803">
        <v>0</v>
      </c>
      <c r="R20803">
        <v>102</v>
      </c>
      <c r="S20803">
        <v>0</v>
      </c>
      <c r="T20803" t="s">
        <v>78066</v>
      </c>
    </row>
    <row r="20804" spans="1:25" customFormat="1" ht="15" x14ac:dyDescent="0.25">
      <c r="A20804" t="s">
        <v>24</v>
      </c>
      <c r="B20804" t="s">
        <v>2340</v>
      </c>
      <c r="C20804" t="str">
        <f>"A0072183"</f>
        <v>A0072183</v>
      </c>
      <c r="D20804" t="s">
        <v>78067</v>
      </c>
      <c r="E20804" t="s">
        <v>78068</v>
      </c>
      <c r="F20804" t="s">
        <v>1889</v>
      </c>
      <c r="G20804" t="s">
        <v>81</v>
      </c>
      <c r="H20804">
        <v>33142</v>
      </c>
      <c r="I20804" t="s">
        <v>30</v>
      </c>
      <c r="J20804" t="s">
        <v>145</v>
      </c>
      <c r="K20804" t="s">
        <v>1234</v>
      </c>
      <c r="N20804" t="s">
        <v>78069</v>
      </c>
      <c r="O20804" t="s">
        <v>78070</v>
      </c>
      <c r="Q20804">
        <v>0</v>
      </c>
      <c r="R20804">
        <v>200</v>
      </c>
      <c r="S20804">
        <v>0</v>
      </c>
      <c r="T20804" t="s">
        <v>78071</v>
      </c>
    </row>
    <row r="20805" spans="1:25" customFormat="1" ht="15" x14ac:dyDescent="0.25">
      <c r="A20805" t="s">
        <v>24</v>
      </c>
      <c r="B20805" t="s">
        <v>8579</v>
      </c>
      <c r="C20805" t="str">
        <f>"A0091891"</f>
        <v>A0091891</v>
      </c>
      <c r="D20805" t="s">
        <v>62027</v>
      </c>
      <c r="E20805" t="s">
        <v>62028</v>
      </c>
      <c r="F20805" t="s">
        <v>3880</v>
      </c>
      <c r="G20805" t="s">
        <v>99</v>
      </c>
      <c r="H20805">
        <v>10018</v>
      </c>
      <c r="I20805" t="s">
        <v>30</v>
      </c>
      <c r="J20805" t="s">
        <v>171</v>
      </c>
      <c r="K20805" t="s">
        <v>973</v>
      </c>
      <c r="N20805" t="s">
        <v>62029</v>
      </c>
      <c r="O20805" t="s">
        <v>62030</v>
      </c>
      <c r="Q20805">
        <v>0</v>
      </c>
      <c r="R20805">
        <v>224</v>
      </c>
      <c r="S20805">
        <v>0</v>
      </c>
      <c r="T20805" t="s">
        <v>62031</v>
      </c>
    </row>
    <row r="20806" spans="1:25" customFormat="1" ht="15" x14ac:dyDescent="0.25">
      <c r="A20806" t="s">
        <v>24</v>
      </c>
      <c r="B20806" t="s">
        <v>78077</v>
      </c>
      <c r="C20806" t="str">
        <f>"A0049277"</f>
        <v>A0049277</v>
      </c>
      <c r="D20806" t="s">
        <v>78078</v>
      </c>
      <c r="E20806" t="s">
        <v>78079</v>
      </c>
      <c r="F20806" t="s">
        <v>78080</v>
      </c>
      <c r="G20806" t="s">
        <v>528</v>
      </c>
      <c r="H20806">
        <v>19971</v>
      </c>
      <c r="I20806" t="s">
        <v>30</v>
      </c>
      <c r="J20806" t="s">
        <v>178</v>
      </c>
      <c r="K20806" t="s">
        <v>163</v>
      </c>
      <c r="N20806" t="s">
        <v>78081</v>
      </c>
      <c r="O20806" t="s">
        <v>78082</v>
      </c>
      <c r="P20806" t="s">
        <v>992</v>
      </c>
      <c r="Q20806">
        <v>1</v>
      </c>
      <c r="R20806">
        <v>18</v>
      </c>
      <c r="S20806">
        <v>0</v>
      </c>
      <c r="T20806" t="s">
        <v>78083</v>
      </c>
    </row>
    <row r="20807" spans="1:25" x14ac:dyDescent="0.25">
      <c r="A20807" s="5" t="s">
        <v>24</v>
      </c>
      <c r="B20807" s="5" t="s">
        <v>675</v>
      </c>
      <c r="C20807" s="5" t="str">
        <f>"311GN"</f>
        <v>311GN</v>
      </c>
      <c r="D20807" s="5" t="s">
        <v>62032</v>
      </c>
      <c r="E20807" s="5" t="s">
        <v>62033</v>
      </c>
      <c r="F20807" s="5" t="s">
        <v>54374</v>
      </c>
      <c r="G20807" s="5" t="s">
        <v>65</v>
      </c>
      <c r="H20807" s="5">
        <v>43537</v>
      </c>
      <c r="I20807" s="5" t="s">
        <v>30</v>
      </c>
      <c r="J20807" s="5" t="s">
        <v>171</v>
      </c>
      <c r="K20807" s="5" t="s">
        <v>973</v>
      </c>
      <c r="L20807" s="5"/>
      <c r="M20807" s="5"/>
      <c r="N20807" s="5" t="s">
        <v>62034</v>
      </c>
      <c r="O20807" s="5" t="s">
        <v>62035</v>
      </c>
      <c r="P20807" s="5"/>
      <c r="Q20807" s="5">
        <v>0</v>
      </c>
      <c r="R20807" s="5">
        <v>90</v>
      </c>
      <c r="S20807" s="5">
        <v>0</v>
      </c>
      <c r="T20807" s="5" t="s">
        <v>62036</v>
      </c>
      <c r="U20807" s="5"/>
      <c r="V20807" s="5"/>
      <c r="W20807" s="5"/>
      <c r="X20807" s="5"/>
      <c r="Y20807" s="5"/>
    </row>
    <row r="20808" spans="1:25" customFormat="1" ht="15" x14ac:dyDescent="0.25">
      <c r="A20808" t="s">
        <v>24</v>
      </c>
      <c r="B20808" t="s">
        <v>675</v>
      </c>
      <c r="C20808" t="str">
        <f>"311MY"</f>
        <v>311MY</v>
      </c>
      <c r="D20808" t="s">
        <v>62037</v>
      </c>
      <c r="E20808" t="s">
        <v>62038</v>
      </c>
      <c r="F20808" t="s">
        <v>62039</v>
      </c>
      <c r="G20808" t="s">
        <v>65</v>
      </c>
      <c r="H20808">
        <v>43460</v>
      </c>
      <c r="I20808" t="s">
        <v>30</v>
      </c>
      <c r="J20808" t="s">
        <v>171</v>
      </c>
      <c r="K20808" t="s">
        <v>973</v>
      </c>
      <c r="N20808" t="s">
        <v>62040</v>
      </c>
      <c r="O20808" t="s">
        <v>62041</v>
      </c>
      <c r="Q20808">
        <v>0</v>
      </c>
      <c r="R20808">
        <v>121</v>
      </c>
      <c r="S20808">
        <v>0</v>
      </c>
      <c r="T20808" t="s">
        <v>62042</v>
      </c>
    </row>
    <row r="20809" spans="1:25" customFormat="1" ht="15" x14ac:dyDescent="0.25">
      <c r="A20809" t="s">
        <v>24</v>
      </c>
      <c r="B20809" t="s">
        <v>675</v>
      </c>
      <c r="C20809" t="str">
        <f>"311K9"</f>
        <v>311K9</v>
      </c>
      <c r="D20809" t="s">
        <v>62054</v>
      </c>
      <c r="E20809" t="s">
        <v>62055</v>
      </c>
      <c r="F20809" t="s">
        <v>5946</v>
      </c>
      <c r="G20809" t="s">
        <v>110</v>
      </c>
      <c r="H20809">
        <v>90505</v>
      </c>
      <c r="I20809" t="s">
        <v>30</v>
      </c>
      <c r="J20809" t="s">
        <v>171</v>
      </c>
      <c r="K20809" t="s">
        <v>973</v>
      </c>
      <c r="N20809" t="s">
        <v>62056</v>
      </c>
      <c r="Q20809">
        <v>0</v>
      </c>
      <c r="R20809">
        <v>149</v>
      </c>
      <c r="S20809">
        <v>0</v>
      </c>
      <c r="T20809" t="s">
        <v>62057</v>
      </c>
    </row>
    <row r="20810" spans="1:25" hidden="1" x14ac:dyDescent="0.25">
      <c r="A20810" s="3" t="s">
        <v>24</v>
      </c>
      <c r="B20810" s="3" t="s">
        <v>78099</v>
      </c>
      <c r="C20810" s="3" t="str">
        <f>"A0058385"</f>
        <v>A0058385</v>
      </c>
      <c r="D20810" s="3" t="s">
        <v>78100</v>
      </c>
      <c r="E20810" s="3" t="s">
        <v>78101</v>
      </c>
      <c r="F20810" s="3" t="s">
        <v>78102</v>
      </c>
      <c r="G20810" s="3" t="s">
        <v>56201</v>
      </c>
      <c r="I20810" s="3" t="s">
        <v>56202</v>
      </c>
      <c r="J20810" s="3" t="s">
        <v>206</v>
      </c>
      <c r="K20810" s="3" t="s">
        <v>8335</v>
      </c>
      <c r="N20810" s="3" t="s">
        <v>78103</v>
      </c>
      <c r="O20810" s="3" t="s">
        <v>78104</v>
      </c>
      <c r="Q20810" s="3">
        <v>0</v>
      </c>
      <c r="R20810" s="3">
        <v>556</v>
      </c>
      <c r="S20810" s="3">
        <v>0</v>
      </c>
      <c r="T20810" s="3" t="s">
        <v>78105</v>
      </c>
    </row>
    <row r="20811" spans="1:25" customFormat="1" ht="15" x14ac:dyDescent="0.25">
      <c r="A20811" t="s">
        <v>24</v>
      </c>
      <c r="B20811" t="s">
        <v>1561</v>
      </c>
      <c r="C20811" t="str">
        <f>"A0087957"</f>
        <v>A0087957</v>
      </c>
      <c r="D20811" t="s">
        <v>62058</v>
      </c>
      <c r="E20811" t="s">
        <v>62059</v>
      </c>
      <c r="F20811" t="s">
        <v>6314</v>
      </c>
      <c r="G20811" t="s">
        <v>1706</v>
      </c>
      <c r="H20811">
        <v>36081</v>
      </c>
      <c r="I20811" t="s">
        <v>30</v>
      </c>
      <c r="J20811" t="s">
        <v>171</v>
      </c>
      <c r="K20811" t="s">
        <v>973</v>
      </c>
      <c r="N20811" t="s">
        <v>62060</v>
      </c>
      <c r="O20811" t="s">
        <v>62061</v>
      </c>
      <c r="Q20811">
        <v>0</v>
      </c>
      <c r="R20811">
        <v>90</v>
      </c>
      <c r="S20811">
        <v>0</v>
      </c>
      <c r="T20811" t="s">
        <v>62062</v>
      </c>
    </row>
    <row r="20812" spans="1:25" customFormat="1" ht="15" x14ac:dyDescent="0.25">
      <c r="A20812" t="s">
        <v>24</v>
      </c>
      <c r="B20812" t="s">
        <v>1323</v>
      </c>
      <c r="C20812" t="str">
        <f>"A0084392"</f>
        <v>A0084392</v>
      </c>
      <c r="D20812" t="s">
        <v>62063</v>
      </c>
      <c r="E20812" t="s">
        <v>62064</v>
      </c>
      <c r="F20812" t="s">
        <v>5706</v>
      </c>
      <c r="G20812" t="s">
        <v>1706</v>
      </c>
      <c r="H20812">
        <v>35235</v>
      </c>
      <c r="I20812" t="s">
        <v>30</v>
      </c>
      <c r="J20812" t="s">
        <v>171</v>
      </c>
      <c r="K20812" t="s">
        <v>973</v>
      </c>
      <c r="N20812" t="s">
        <v>62065</v>
      </c>
      <c r="Q20812">
        <v>0</v>
      </c>
      <c r="R20812">
        <v>84</v>
      </c>
      <c r="S20812">
        <v>0</v>
      </c>
      <c r="T20812" t="s">
        <v>62066</v>
      </c>
    </row>
    <row r="20813" spans="1:25" customFormat="1" ht="15" x14ac:dyDescent="0.25">
      <c r="A20813" t="s">
        <v>24</v>
      </c>
      <c r="B20813" t="s">
        <v>4400</v>
      </c>
      <c r="C20813" t="str">
        <f>"311ML"</f>
        <v>311ML</v>
      </c>
      <c r="D20813" t="s">
        <v>62067</v>
      </c>
      <c r="E20813" t="s">
        <v>62068</v>
      </c>
      <c r="F20813" t="s">
        <v>796</v>
      </c>
      <c r="G20813" t="s">
        <v>197</v>
      </c>
      <c r="H20813">
        <v>85711</v>
      </c>
      <c r="I20813" t="s">
        <v>30</v>
      </c>
      <c r="J20813" t="s">
        <v>171</v>
      </c>
      <c r="K20813" t="s">
        <v>973</v>
      </c>
      <c r="N20813" t="s">
        <v>62069</v>
      </c>
      <c r="Q20813">
        <v>0</v>
      </c>
      <c r="R20813">
        <v>153</v>
      </c>
      <c r="S20813">
        <v>0</v>
      </c>
      <c r="T20813" t="s">
        <v>62070</v>
      </c>
    </row>
    <row r="20814" spans="1:25" customFormat="1" ht="15" x14ac:dyDescent="0.25">
      <c r="A20814" t="s">
        <v>24</v>
      </c>
      <c r="B20814" t="s">
        <v>62071</v>
      </c>
      <c r="C20814" t="str">
        <f>"A0089353"</f>
        <v>A0089353</v>
      </c>
      <c r="D20814" t="s">
        <v>62072</v>
      </c>
      <c r="E20814" t="s">
        <v>62073</v>
      </c>
      <c r="F20814" t="s">
        <v>7579</v>
      </c>
      <c r="G20814" t="s">
        <v>40</v>
      </c>
      <c r="H20814">
        <v>74103</v>
      </c>
      <c r="I20814" t="s">
        <v>30</v>
      </c>
      <c r="J20814" t="s">
        <v>171</v>
      </c>
      <c r="K20814" t="s">
        <v>973</v>
      </c>
      <c r="N20814" t="s">
        <v>62074</v>
      </c>
      <c r="Q20814">
        <v>0</v>
      </c>
      <c r="R20814">
        <v>119</v>
      </c>
      <c r="S20814">
        <v>0</v>
      </c>
      <c r="T20814" t="s">
        <v>62075</v>
      </c>
    </row>
    <row r="20815" spans="1:25" customFormat="1" ht="15" x14ac:dyDescent="0.25">
      <c r="A20815" t="s">
        <v>24</v>
      </c>
      <c r="B20815" t="s">
        <v>55987</v>
      </c>
      <c r="C20815" t="str">
        <f>"651Z6"</f>
        <v>651Z6</v>
      </c>
      <c r="D20815" t="s">
        <v>62076</v>
      </c>
      <c r="E20815" t="s">
        <v>62077</v>
      </c>
      <c r="F20815" t="s">
        <v>4894</v>
      </c>
      <c r="G20815" t="s">
        <v>1369</v>
      </c>
      <c r="H20815">
        <v>38804</v>
      </c>
      <c r="I20815" t="s">
        <v>30</v>
      </c>
      <c r="J20815" t="s">
        <v>171</v>
      </c>
      <c r="K20815" t="s">
        <v>973</v>
      </c>
      <c r="N20815" t="s">
        <v>62078</v>
      </c>
      <c r="Q20815">
        <v>0</v>
      </c>
      <c r="R20815">
        <v>93</v>
      </c>
      <c r="S20815">
        <v>0</v>
      </c>
      <c r="T20815" t="s">
        <v>62079</v>
      </c>
    </row>
    <row r="20816" spans="1:25" customFormat="1" ht="15" x14ac:dyDescent="0.25">
      <c r="A20816" t="s">
        <v>24</v>
      </c>
      <c r="B20816" t="s">
        <v>649</v>
      </c>
      <c r="C20816" t="str">
        <f>"651U6"</f>
        <v>651U6</v>
      </c>
      <c r="D20816" t="s">
        <v>62080</v>
      </c>
      <c r="E20816" t="s">
        <v>62081</v>
      </c>
      <c r="F20816" t="s">
        <v>34042</v>
      </c>
      <c r="G20816" t="s">
        <v>1706</v>
      </c>
      <c r="H20816">
        <v>35405</v>
      </c>
      <c r="I20816" t="s">
        <v>30</v>
      </c>
      <c r="J20816" t="s">
        <v>171</v>
      </c>
      <c r="K20816" t="s">
        <v>973</v>
      </c>
      <c r="N20816" t="s">
        <v>62082</v>
      </c>
      <c r="O20816" t="s">
        <v>62083</v>
      </c>
      <c r="Q20816">
        <v>0</v>
      </c>
      <c r="R20816">
        <v>78</v>
      </c>
      <c r="S20816">
        <v>0</v>
      </c>
      <c r="T20816" t="s">
        <v>62084</v>
      </c>
    </row>
    <row r="20817" spans="1:20" customFormat="1" ht="15" x14ac:dyDescent="0.25">
      <c r="A20817" t="s">
        <v>24</v>
      </c>
      <c r="B20817" t="s">
        <v>3159</v>
      </c>
      <c r="C20817" t="str">
        <f>"311D6"</f>
        <v>311D6</v>
      </c>
      <c r="D20817" t="s">
        <v>62085</v>
      </c>
      <c r="E20817" t="s">
        <v>62086</v>
      </c>
      <c r="F20817" t="s">
        <v>16267</v>
      </c>
      <c r="G20817" t="s">
        <v>29</v>
      </c>
      <c r="H20817">
        <v>23462</v>
      </c>
      <c r="I20817" t="s">
        <v>30</v>
      </c>
      <c r="J20817" t="s">
        <v>171</v>
      </c>
      <c r="K20817" t="s">
        <v>973</v>
      </c>
      <c r="N20817" t="s">
        <v>62087</v>
      </c>
      <c r="Q20817">
        <v>0</v>
      </c>
      <c r="R20817">
        <v>146</v>
      </c>
      <c r="S20817">
        <v>0</v>
      </c>
      <c r="T20817" t="s">
        <v>62088</v>
      </c>
    </row>
    <row r="20818" spans="1:20" customFormat="1" ht="15" x14ac:dyDescent="0.25">
      <c r="A20818" t="s">
        <v>24</v>
      </c>
      <c r="B20818" t="s">
        <v>13679</v>
      </c>
      <c r="C20818" t="str">
        <f>"A0083914"</f>
        <v>A0083914</v>
      </c>
      <c r="D20818" t="s">
        <v>62089</v>
      </c>
      <c r="E20818" t="s">
        <v>62090</v>
      </c>
      <c r="F20818" t="s">
        <v>62091</v>
      </c>
      <c r="G20818" t="s">
        <v>110</v>
      </c>
      <c r="H20818">
        <v>91355</v>
      </c>
      <c r="I20818" t="s">
        <v>30</v>
      </c>
      <c r="J20818" t="s">
        <v>171</v>
      </c>
      <c r="K20818" t="s">
        <v>973</v>
      </c>
      <c r="Q20818">
        <v>0</v>
      </c>
      <c r="R20818">
        <v>140</v>
      </c>
      <c r="S20818">
        <v>0</v>
      </c>
      <c r="T20818" t="s">
        <v>62092</v>
      </c>
    </row>
    <row r="20819" spans="1:20" customFormat="1" ht="15" x14ac:dyDescent="0.25">
      <c r="A20819" t="s">
        <v>24</v>
      </c>
      <c r="B20819" t="s">
        <v>2520</v>
      </c>
      <c r="C20819" t="str">
        <f>"A0088480"</f>
        <v>A0088480</v>
      </c>
      <c r="D20819" t="s">
        <v>62093</v>
      </c>
      <c r="E20819" t="s">
        <v>62094</v>
      </c>
      <c r="F20819" t="s">
        <v>62095</v>
      </c>
      <c r="G20819" t="s">
        <v>110</v>
      </c>
      <c r="H20819">
        <v>94589</v>
      </c>
      <c r="I20819" t="s">
        <v>30</v>
      </c>
      <c r="J20819" t="s">
        <v>171</v>
      </c>
      <c r="K20819" t="s">
        <v>973</v>
      </c>
      <c r="N20819" t="s">
        <v>62096</v>
      </c>
      <c r="O20819" t="s">
        <v>62097</v>
      </c>
      <c r="Q20819">
        <v>0</v>
      </c>
      <c r="R20819">
        <v>172</v>
      </c>
      <c r="S20819">
        <v>0</v>
      </c>
      <c r="T20819" t="s">
        <v>62098</v>
      </c>
    </row>
    <row r="20820" spans="1:20" customFormat="1" ht="15" x14ac:dyDescent="0.25">
      <c r="A20820" t="s">
        <v>24</v>
      </c>
      <c r="B20820" t="s">
        <v>62099</v>
      </c>
      <c r="C20820" t="str">
        <f>"A0073960"</f>
        <v>A0073960</v>
      </c>
      <c r="D20820" t="s">
        <v>62100</v>
      </c>
      <c r="E20820" t="s">
        <v>62101</v>
      </c>
      <c r="F20820" t="s">
        <v>62102</v>
      </c>
      <c r="G20820" t="s">
        <v>110</v>
      </c>
      <c r="H20820">
        <v>93065</v>
      </c>
      <c r="I20820" t="s">
        <v>30</v>
      </c>
      <c r="J20820" t="s">
        <v>171</v>
      </c>
      <c r="K20820" t="s">
        <v>973</v>
      </c>
      <c r="N20820" t="s">
        <v>62103</v>
      </c>
      <c r="O20820" t="s">
        <v>62104</v>
      </c>
      <c r="Q20820">
        <v>0</v>
      </c>
      <c r="R20820">
        <v>97</v>
      </c>
      <c r="S20820">
        <v>0</v>
      </c>
      <c r="T20820" t="s">
        <v>62105</v>
      </c>
    </row>
    <row r="20821" spans="1:20" customFormat="1" ht="15" x14ac:dyDescent="0.25">
      <c r="A20821" t="s">
        <v>24</v>
      </c>
      <c r="B20821" t="s">
        <v>13267</v>
      </c>
      <c r="C20821" t="str">
        <f>"A0087291"</f>
        <v>A0087291</v>
      </c>
      <c r="D20821" t="s">
        <v>62106</v>
      </c>
      <c r="E20821" t="s">
        <v>62107</v>
      </c>
      <c r="F20821" t="s">
        <v>62108</v>
      </c>
      <c r="G20821" t="s">
        <v>110</v>
      </c>
      <c r="H20821">
        <v>92345</v>
      </c>
      <c r="I20821" t="s">
        <v>30</v>
      </c>
      <c r="J20821" t="s">
        <v>171</v>
      </c>
      <c r="K20821" t="s">
        <v>973</v>
      </c>
      <c r="N20821" t="s">
        <v>62109</v>
      </c>
      <c r="O20821" t="s">
        <v>10984</v>
      </c>
      <c r="Q20821">
        <v>0</v>
      </c>
      <c r="R20821">
        <v>131</v>
      </c>
      <c r="S20821">
        <v>0</v>
      </c>
      <c r="T20821" t="s">
        <v>62110</v>
      </c>
    </row>
    <row r="20822" spans="1:20" hidden="1" x14ac:dyDescent="0.25">
      <c r="A20822" s="3" t="s">
        <v>24</v>
      </c>
      <c r="B20822" s="3" t="s">
        <v>78156</v>
      </c>
      <c r="C20822" s="3" t="str">
        <f>"A0087139"</f>
        <v>A0087139</v>
      </c>
      <c r="D20822" s="3" t="s">
        <v>78157</v>
      </c>
      <c r="E20822" s="3" t="s">
        <v>78158</v>
      </c>
      <c r="F20822" s="3" t="s">
        <v>62379</v>
      </c>
      <c r="G20822" s="3" t="s">
        <v>62380</v>
      </c>
      <c r="I20822" s="3" t="s">
        <v>62379</v>
      </c>
      <c r="J20822" s="3" t="s">
        <v>206</v>
      </c>
      <c r="K20822" s="3" t="s">
        <v>8335</v>
      </c>
      <c r="N20822" s="3" t="s">
        <v>78159</v>
      </c>
      <c r="Q20822" s="3">
        <v>0</v>
      </c>
      <c r="R20822" s="3">
        <v>237</v>
      </c>
      <c r="S20822" s="3">
        <v>0</v>
      </c>
      <c r="T20822" s="3" t="s">
        <v>78160</v>
      </c>
    </row>
    <row r="20823" spans="1:20" customFormat="1" ht="15" x14ac:dyDescent="0.25">
      <c r="A20823" t="s">
        <v>24</v>
      </c>
      <c r="B20823" t="s">
        <v>33301</v>
      </c>
      <c r="C20823" t="str">
        <f>"651UP"</f>
        <v>651UP</v>
      </c>
      <c r="D20823" t="s">
        <v>62118</v>
      </c>
      <c r="E20823" t="s">
        <v>62119</v>
      </c>
      <c r="F20823" t="s">
        <v>6430</v>
      </c>
      <c r="G20823" t="s">
        <v>52</v>
      </c>
      <c r="H20823">
        <v>76701</v>
      </c>
      <c r="I20823" t="s">
        <v>30</v>
      </c>
      <c r="J20823" t="s">
        <v>171</v>
      </c>
      <c r="K20823" t="s">
        <v>973</v>
      </c>
      <c r="N20823" t="s">
        <v>62120</v>
      </c>
      <c r="O20823" t="s">
        <v>62121</v>
      </c>
      <c r="Q20823">
        <v>0</v>
      </c>
      <c r="R20823">
        <v>153</v>
      </c>
      <c r="S20823">
        <v>0</v>
      </c>
      <c r="T20823" t="s">
        <v>62122</v>
      </c>
    </row>
    <row r="20824" spans="1:20" customFormat="1" ht="15" x14ac:dyDescent="0.25">
      <c r="A20824" t="s">
        <v>24</v>
      </c>
      <c r="B20824" t="s">
        <v>5564</v>
      </c>
      <c r="C20824" t="str">
        <f>"A0089819"</f>
        <v>A0089819</v>
      </c>
      <c r="D20824" t="s">
        <v>62123</v>
      </c>
      <c r="E20824" t="s">
        <v>62124</v>
      </c>
      <c r="F20824" t="s">
        <v>13167</v>
      </c>
      <c r="G20824" t="s">
        <v>846</v>
      </c>
      <c r="H20824">
        <v>31088</v>
      </c>
      <c r="I20824" t="s">
        <v>30</v>
      </c>
      <c r="J20824" t="s">
        <v>171</v>
      </c>
      <c r="K20824" t="s">
        <v>973</v>
      </c>
      <c r="N20824" t="s">
        <v>62125</v>
      </c>
      <c r="O20824" t="s">
        <v>62126</v>
      </c>
      <c r="Q20824">
        <v>0</v>
      </c>
      <c r="R20824">
        <v>106</v>
      </c>
      <c r="S20824">
        <v>0</v>
      </c>
      <c r="T20824" t="s">
        <v>62127</v>
      </c>
    </row>
    <row r="20825" spans="1:20" customFormat="1" ht="15" x14ac:dyDescent="0.25">
      <c r="A20825" t="s">
        <v>24</v>
      </c>
      <c r="B20825" t="s">
        <v>5104</v>
      </c>
      <c r="C20825" t="str">
        <f>"A0086939"</f>
        <v>A0086939</v>
      </c>
      <c r="D20825" t="s">
        <v>62128</v>
      </c>
      <c r="E20825" t="s">
        <v>62129</v>
      </c>
      <c r="F20825" t="s">
        <v>313</v>
      </c>
      <c r="G20825" t="s">
        <v>314</v>
      </c>
      <c r="H20825">
        <v>20002</v>
      </c>
      <c r="I20825" t="s">
        <v>30</v>
      </c>
      <c r="J20825" t="s">
        <v>171</v>
      </c>
      <c r="K20825" t="s">
        <v>973</v>
      </c>
      <c r="N20825" t="s">
        <v>62130</v>
      </c>
      <c r="Q20825">
        <v>0</v>
      </c>
      <c r="R20825">
        <v>218</v>
      </c>
      <c r="S20825">
        <v>0</v>
      </c>
      <c r="T20825" t="s">
        <v>62131</v>
      </c>
    </row>
    <row r="20826" spans="1:20" customFormat="1" ht="15" x14ac:dyDescent="0.25">
      <c r="A20826" t="s">
        <v>24</v>
      </c>
      <c r="B20826" t="s">
        <v>62132</v>
      </c>
      <c r="C20826" t="str">
        <f>"651S9"</f>
        <v>651S9</v>
      </c>
      <c r="D20826" t="s">
        <v>62133</v>
      </c>
      <c r="E20826" t="s">
        <v>62134</v>
      </c>
      <c r="F20826" t="s">
        <v>784</v>
      </c>
      <c r="G20826" t="s">
        <v>71</v>
      </c>
      <c r="H20826">
        <v>54401</v>
      </c>
      <c r="I20826" t="s">
        <v>30</v>
      </c>
      <c r="J20826" t="s">
        <v>171</v>
      </c>
      <c r="K20826" t="s">
        <v>973</v>
      </c>
      <c r="N20826" t="s">
        <v>62135</v>
      </c>
      <c r="Q20826">
        <v>0</v>
      </c>
      <c r="R20826">
        <v>84</v>
      </c>
      <c r="S20826">
        <v>0</v>
      </c>
      <c r="T20826" t="s">
        <v>62136</v>
      </c>
    </row>
    <row r="20827" spans="1:20" customFormat="1" ht="15" x14ac:dyDescent="0.25">
      <c r="A20827" t="s">
        <v>24</v>
      </c>
      <c r="B20827" t="s">
        <v>3159</v>
      </c>
      <c r="C20827" t="str">
        <f>"311DU"</f>
        <v>311DU</v>
      </c>
      <c r="D20827" t="s">
        <v>62137</v>
      </c>
      <c r="E20827" t="s">
        <v>62138</v>
      </c>
      <c r="F20827" t="s">
        <v>19528</v>
      </c>
      <c r="G20827" t="s">
        <v>338</v>
      </c>
      <c r="H20827">
        <v>7052</v>
      </c>
      <c r="I20827" t="s">
        <v>30</v>
      </c>
      <c r="J20827" t="s">
        <v>171</v>
      </c>
      <c r="K20827" t="s">
        <v>973</v>
      </c>
      <c r="N20827" t="s">
        <v>62139</v>
      </c>
      <c r="Q20827">
        <v>0</v>
      </c>
      <c r="R20827">
        <v>131</v>
      </c>
      <c r="S20827">
        <v>0</v>
      </c>
      <c r="T20827" t="s">
        <v>62140</v>
      </c>
    </row>
    <row r="20828" spans="1:20" customFormat="1" ht="15" hidden="1" x14ac:dyDescent="0.25">
      <c r="A20828" t="s">
        <v>24</v>
      </c>
      <c r="B20828" t="s">
        <v>78185</v>
      </c>
      <c r="C20828" t="str">
        <f>"A0090607"</f>
        <v>A0090607</v>
      </c>
      <c r="D20828" t="s">
        <v>78186</v>
      </c>
      <c r="E20828" t="s">
        <v>78187</v>
      </c>
      <c r="F20828" t="s">
        <v>78188</v>
      </c>
      <c r="G20828" t="s">
        <v>1457</v>
      </c>
      <c r="H20828" t="s">
        <v>78189</v>
      </c>
      <c r="I20828" t="s">
        <v>1459</v>
      </c>
      <c r="J20828" t="s">
        <v>162</v>
      </c>
      <c r="K20828" t="s">
        <v>8335</v>
      </c>
      <c r="N20828" t="s">
        <v>78190</v>
      </c>
      <c r="O20828" t="s">
        <v>78191</v>
      </c>
      <c r="Q20828">
        <v>0</v>
      </c>
      <c r="R20828">
        <v>213</v>
      </c>
      <c r="S20828">
        <v>0</v>
      </c>
      <c r="T20828" t="s">
        <v>78192</v>
      </c>
    </row>
    <row r="20829" spans="1:20" customFormat="1" ht="15" x14ac:dyDescent="0.25">
      <c r="A20829" t="s">
        <v>24</v>
      </c>
      <c r="B20829" t="s">
        <v>675</v>
      </c>
      <c r="C20829" t="str">
        <f>"311P6"</f>
        <v>311P6</v>
      </c>
      <c r="D20829" t="s">
        <v>62141</v>
      </c>
      <c r="E20829" t="s">
        <v>62142</v>
      </c>
      <c r="F20829" t="s">
        <v>6859</v>
      </c>
      <c r="G20829" t="s">
        <v>81</v>
      </c>
      <c r="H20829">
        <v>33407</v>
      </c>
      <c r="I20829" t="s">
        <v>30</v>
      </c>
      <c r="J20829" t="s">
        <v>171</v>
      </c>
      <c r="K20829" t="s">
        <v>973</v>
      </c>
      <c r="N20829" t="s">
        <v>62143</v>
      </c>
      <c r="O20829" t="s">
        <v>62144</v>
      </c>
      <c r="Q20829">
        <v>0</v>
      </c>
      <c r="R20829">
        <v>149</v>
      </c>
      <c r="S20829">
        <v>0</v>
      </c>
      <c r="T20829" t="s">
        <v>62145</v>
      </c>
    </row>
    <row r="20830" spans="1:20" customFormat="1" ht="15" x14ac:dyDescent="0.25">
      <c r="A20830" t="s">
        <v>24</v>
      </c>
      <c r="B20830" t="s">
        <v>6363</v>
      </c>
      <c r="C20830" t="str">
        <f>"A0096017"</f>
        <v>A0096017</v>
      </c>
      <c r="D20830" t="s">
        <v>62146</v>
      </c>
      <c r="E20830" t="s">
        <v>62147</v>
      </c>
      <c r="F20830" t="s">
        <v>2793</v>
      </c>
      <c r="G20830" t="s">
        <v>99</v>
      </c>
      <c r="H20830">
        <v>11590</v>
      </c>
      <c r="I20830" t="s">
        <v>30</v>
      </c>
      <c r="J20830" t="s">
        <v>171</v>
      </c>
      <c r="K20830" t="s">
        <v>973</v>
      </c>
      <c r="N20830" t="s">
        <v>62148</v>
      </c>
      <c r="Q20830">
        <v>0</v>
      </c>
      <c r="R20830">
        <v>145</v>
      </c>
      <c r="S20830">
        <v>0</v>
      </c>
      <c r="T20830" t="s">
        <v>62149</v>
      </c>
    </row>
    <row r="20831" spans="1:20" customFormat="1" ht="15" x14ac:dyDescent="0.25">
      <c r="A20831" t="s">
        <v>24</v>
      </c>
      <c r="B20831" t="s">
        <v>1548</v>
      </c>
      <c r="C20831" t="str">
        <f>"A0076549"</f>
        <v>A0076549</v>
      </c>
      <c r="D20831" t="s">
        <v>62150</v>
      </c>
      <c r="E20831" t="s">
        <v>62151</v>
      </c>
      <c r="F20831" t="s">
        <v>1871</v>
      </c>
      <c r="G20831" t="s">
        <v>925</v>
      </c>
      <c r="H20831">
        <v>67202</v>
      </c>
      <c r="I20831" t="s">
        <v>30</v>
      </c>
      <c r="J20831" t="s">
        <v>171</v>
      </c>
      <c r="K20831" t="s">
        <v>973</v>
      </c>
      <c r="N20831" t="s">
        <v>62152</v>
      </c>
      <c r="Q20831">
        <v>0</v>
      </c>
      <c r="R20831">
        <v>129</v>
      </c>
      <c r="S20831">
        <v>0</v>
      </c>
      <c r="T20831" t="s">
        <v>62153</v>
      </c>
    </row>
    <row r="20832" spans="1:20" customFormat="1" ht="15" x14ac:dyDescent="0.25">
      <c r="A20832" t="s">
        <v>24</v>
      </c>
      <c r="B20832" t="s">
        <v>1020</v>
      </c>
      <c r="C20832" t="str">
        <f>"A0088156"</f>
        <v>A0088156</v>
      </c>
      <c r="D20832" t="s">
        <v>62154</v>
      </c>
      <c r="E20832" t="s">
        <v>62155</v>
      </c>
      <c r="F20832" t="s">
        <v>62156</v>
      </c>
      <c r="G20832" t="s">
        <v>52</v>
      </c>
      <c r="H20832">
        <v>76308</v>
      </c>
      <c r="I20832" t="s">
        <v>30</v>
      </c>
      <c r="J20832" t="s">
        <v>171</v>
      </c>
      <c r="K20832" t="s">
        <v>973</v>
      </c>
      <c r="N20832" t="s">
        <v>62157</v>
      </c>
      <c r="O20832" t="s">
        <v>62158</v>
      </c>
      <c r="Q20832">
        <v>0</v>
      </c>
      <c r="R20832">
        <v>93</v>
      </c>
      <c r="S20832">
        <v>0</v>
      </c>
      <c r="T20832" t="s">
        <v>62159</v>
      </c>
    </row>
    <row r="20833" spans="1:20" customFormat="1" ht="15" x14ac:dyDescent="0.25">
      <c r="A20833" t="s">
        <v>24</v>
      </c>
      <c r="B20833" t="s">
        <v>675</v>
      </c>
      <c r="C20833" t="str">
        <f>"311W3"</f>
        <v>311W3</v>
      </c>
      <c r="D20833" t="s">
        <v>62160</v>
      </c>
      <c r="E20833" t="s">
        <v>62161</v>
      </c>
      <c r="F20833" t="s">
        <v>11257</v>
      </c>
      <c r="G20833" t="s">
        <v>29</v>
      </c>
      <c r="H20833">
        <v>23185</v>
      </c>
      <c r="I20833" t="s">
        <v>30</v>
      </c>
      <c r="J20833" t="s">
        <v>171</v>
      </c>
      <c r="K20833" t="s">
        <v>973</v>
      </c>
      <c r="N20833" t="s">
        <v>62162</v>
      </c>
      <c r="O20833" t="s">
        <v>3486</v>
      </c>
      <c r="Q20833">
        <v>0</v>
      </c>
      <c r="R20833">
        <v>151</v>
      </c>
      <c r="S20833">
        <v>0</v>
      </c>
      <c r="T20833" t="s">
        <v>62163</v>
      </c>
    </row>
    <row r="20834" spans="1:20" customFormat="1" ht="15" x14ac:dyDescent="0.25">
      <c r="A20834" t="s">
        <v>24</v>
      </c>
      <c r="B20834" t="s">
        <v>675</v>
      </c>
      <c r="C20834" t="str">
        <f>"311F9"</f>
        <v>311F9</v>
      </c>
      <c r="D20834" t="s">
        <v>62164</v>
      </c>
      <c r="E20834" t="s">
        <v>62165</v>
      </c>
      <c r="F20834" t="s">
        <v>15852</v>
      </c>
      <c r="G20834" t="s">
        <v>103</v>
      </c>
      <c r="H20834">
        <v>19090</v>
      </c>
      <c r="I20834" t="s">
        <v>30</v>
      </c>
      <c r="J20834" t="s">
        <v>171</v>
      </c>
      <c r="K20834" t="s">
        <v>973</v>
      </c>
      <c r="N20834" t="s">
        <v>62166</v>
      </c>
      <c r="Q20834">
        <v>0</v>
      </c>
      <c r="R20834">
        <v>149</v>
      </c>
      <c r="S20834">
        <v>0</v>
      </c>
      <c r="T20834" t="s">
        <v>62167</v>
      </c>
    </row>
    <row r="20835" spans="1:20" customFormat="1" ht="15" x14ac:dyDescent="0.25">
      <c r="A20835" t="s">
        <v>24</v>
      </c>
      <c r="B20835" t="s">
        <v>675</v>
      </c>
      <c r="C20835" t="str">
        <f>"311DP"</f>
        <v>311DP</v>
      </c>
      <c r="D20835" t="s">
        <v>62168</v>
      </c>
      <c r="E20835" t="s">
        <v>62169</v>
      </c>
      <c r="F20835" t="s">
        <v>1201</v>
      </c>
      <c r="G20835" t="s">
        <v>528</v>
      </c>
      <c r="H20835">
        <v>19801</v>
      </c>
      <c r="I20835" t="s">
        <v>30</v>
      </c>
      <c r="J20835" t="s">
        <v>171</v>
      </c>
      <c r="K20835" t="s">
        <v>973</v>
      </c>
      <c r="N20835" t="s">
        <v>62170</v>
      </c>
      <c r="O20835" t="s">
        <v>62171</v>
      </c>
      <c r="Q20835">
        <v>0</v>
      </c>
      <c r="R20835">
        <v>125</v>
      </c>
      <c r="S20835">
        <v>0</v>
      </c>
      <c r="T20835" t="s">
        <v>62172</v>
      </c>
    </row>
    <row r="20836" spans="1:20" customFormat="1" ht="15" x14ac:dyDescent="0.25">
      <c r="A20836" t="s">
        <v>24</v>
      </c>
      <c r="B20836" t="s">
        <v>62173</v>
      </c>
      <c r="C20836" t="str">
        <f>"A0083824"</f>
        <v>A0083824</v>
      </c>
      <c r="D20836" t="s">
        <v>62174</v>
      </c>
      <c r="E20836" t="s">
        <v>62175</v>
      </c>
      <c r="F20836" t="s">
        <v>4310</v>
      </c>
      <c r="G20836" t="s">
        <v>29</v>
      </c>
      <c r="H20836">
        <v>22603</v>
      </c>
      <c r="I20836" t="s">
        <v>30</v>
      </c>
      <c r="J20836" t="s">
        <v>171</v>
      </c>
      <c r="K20836" t="s">
        <v>973</v>
      </c>
      <c r="N20836" t="s">
        <v>62176</v>
      </c>
      <c r="Q20836">
        <v>0</v>
      </c>
      <c r="R20836">
        <v>136</v>
      </c>
      <c r="S20836">
        <v>0</v>
      </c>
      <c r="T20836" t="s">
        <v>62177</v>
      </c>
    </row>
    <row r="20837" spans="1:20" customFormat="1" ht="15" x14ac:dyDescent="0.25">
      <c r="A20837" t="s">
        <v>24</v>
      </c>
      <c r="B20837" t="s">
        <v>649</v>
      </c>
      <c r="C20837" t="str">
        <f>"A0154109"</f>
        <v>A0154109</v>
      </c>
      <c r="D20837" t="s">
        <v>62178</v>
      </c>
      <c r="E20837" t="s">
        <v>62179</v>
      </c>
      <c r="F20837" t="s">
        <v>16277</v>
      </c>
      <c r="G20837" t="s">
        <v>214</v>
      </c>
      <c r="H20837">
        <v>27103</v>
      </c>
      <c r="I20837" t="s">
        <v>30</v>
      </c>
      <c r="J20837" t="s">
        <v>171</v>
      </c>
      <c r="K20837" t="s">
        <v>973</v>
      </c>
      <c r="N20837" t="s">
        <v>62180</v>
      </c>
      <c r="Q20837">
        <v>0</v>
      </c>
      <c r="R20837">
        <v>126</v>
      </c>
      <c r="S20837">
        <v>0</v>
      </c>
      <c r="T20837" t="s">
        <v>62181</v>
      </c>
    </row>
    <row r="20838" spans="1:20" customFormat="1" ht="15" x14ac:dyDescent="0.25">
      <c r="A20838" t="s">
        <v>24</v>
      </c>
      <c r="B20838" t="s">
        <v>5537</v>
      </c>
      <c r="C20838" t="str">
        <f>"A0094578"</f>
        <v>A0094578</v>
      </c>
      <c r="D20838" t="s">
        <v>62182</v>
      </c>
      <c r="E20838" t="s">
        <v>62183</v>
      </c>
      <c r="F20838" t="s">
        <v>62184</v>
      </c>
      <c r="G20838" t="s">
        <v>99</v>
      </c>
      <c r="H20838">
        <v>10701</v>
      </c>
      <c r="I20838" t="s">
        <v>30</v>
      </c>
      <c r="J20838" t="s">
        <v>171</v>
      </c>
      <c r="K20838" t="s">
        <v>973</v>
      </c>
      <c r="N20838" t="s">
        <v>62185</v>
      </c>
      <c r="O20838" t="s">
        <v>62186</v>
      </c>
      <c r="Q20838">
        <v>0</v>
      </c>
      <c r="R20838">
        <v>154</v>
      </c>
      <c r="S20838">
        <v>0</v>
      </c>
      <c r="T20838" t="s">
        <v>62187</v>
      </c>
    </row>
    <row r="20839" spans="1:20" customFormat="1" ht="15" hidden="1" x14ac:dyDescent="0.25">
      <c r="A20839" t="s">
        <v>24</v>
      </c>
      <c r="B20839" t="s">
        <v>5435</v>
      </c>
      <c r="C20839" t="str">
        <f>"A0095073"</f>
        <v>A0095073</v>
      </c>
      <c r="D20839" t="s">
        <v>78239</v>
      </c>
      <c r="E20839" t="s">
        <v>78240</v>
      </c>
      <c r="F20839" t="s">
        <v>5438</v>
      </c>
      <c r="G20839" t="s">
        <v>5439</v>
      </c>
      <c r="H20839" t="s">
        <v>78241</v>
      </c>
      <c r="I20839" t="s">
        <v>1459</v>
      </c>
      <c r="J20839" t="s">
        <v>162</v>
      </c>
      <c r="K20839" t="s">
        <v>8335</v>
      </c>
      <c r="N20839" t="s">
        <v>5441</v>
      </c>
      <c r="Q20839">
        <v>0</v>
      </c>
      <c r="R20839">
        <v>142</v>
      </c>
      <c r="S20839">
        <v>0</v>
      </c>
      <c r="T20839" t="s">
        <v>78242</v>
      </c>
    </row>
    <row r="20840" spans="1:20" customFormat="1" ht="15" x14ac:dyDescent="0.25">
      <c r="A20840" t="s">
        <v>24</v>
      </c>
      <c r="B20840" t="s">
        <v>7040</v>
      </c>
      <c r="C20840" t="str">
        <f>"A0091850"</f>
        <v>A0091850</v>
      </c>
      <c r="D20840" t="s">
        <v>62188</v>
      </c>
      <c r="E20840" t="s">
        <v>62189</v>
      </c>
      <c r="F20840" t="s">
        <v>5013</v>
      </c>
      <c r="G20840" t="s">
        <v>103</v>
      </c>
      <c r="H20840">
        <v>17402</v>
      </c>
      <c r="I20840" t="s">
        <v>30</v>
      </c>
      <c r="J20840" t="s">
        <v>171</v>
      </c>
      <c r="K20840" t="s">
        <v>973</v>
      </c>
      <c r="N20840" t="s">
        <v>62190</v>
      </c>
      <c r="Q20840">
        <v>0</v>
      </c>
      <c r="R20840">
        <v>103</v>
      </c>
      <c r="S20840">
        <v>0</v>
      </c>
      <c r="T20840" t="s">
        <v>62191</v>
      </c>
    </row>
    <row r="20841" spans="1:20" customFormat="1" ht="15" x14ac:dyDescent="0.25">
      <c r="A20841" t="s">
        <v>24</v>
      </c>
      <c r="B20841" t="s">
        <v>675</v>
      </c>
      <c r="C20841" t="str">
        <f>"311AS"</f>
        <v>311AS</v>
      </c>
      <c r="D20841" t="s">
        <v>62599</v>
      </c>
      <c r="E20841" t="s">
        <v>62600</v>
      </c>
      <c r="F20841" t="s">
        <v>5693</v>
      </c>
      <c r="G20841" t="s">
        <v>81</v>
      </c>
      <c r="H20841">
        <v>32114</v>
      </c>
      <c r="I20841" t="s">
        <v>30</v>
      </c>
      <c r="J20841" t="s">
        <v>171</v>
      </c>
      <c r="K20841" t="s">
        <v>973</v>
      </c>
      <c r="N20841" t="s">
        <v>62601</v>
      </c>
      <c r="O20841" t="s">
        <v>62602</v>
      </c>
      <c r="Q20841">
        <v>0</v>
      </c>
      <c r="R20841">
        <v>122</v>
      </c>
      <c r="S20841">
        <v>0</v>
      </c>
      <c r="T20841" t="s">
        <v>62603</v>
      </c>
    </row>
    <row r="20842" spans="1:20" customFormat="1" ht="15" x14ac:dyDescent="0.25">
      <c r="A20842" t="s">
        <v>24</v>
      </c>
      <c r="B20842" t="s">
        <v>675</v>
      </c>
      <c r="C20842" t="str">
        <f>"311M9"</f>
        <v>311M9</v>
      </c>
      <c r="D20842" t="s">
        <v>62914</v>
      </c>
      <c r="E20842" t="s">
        <v>62915</v>
      </c>
      <c r="F20842" t="s">
        <v>972</v>
      </c>
      <c r="G20842" t="s">
        <v>190</v>
      </c>
      <c r="H20842">
        <v>80216</v>
      </c>
      <c r="I20842" t="s">
        <v>30</v>
      </c>
      <c r="J20842" t="s">
        <v>171</v>
      </c>
      <c r="K20842" t="s">
        <v>973</v>
      </c>
      <c r="N20842" t="s">
        <v>62916</v>
      </c>
      <c r="Q20842">
        <v>0</v>
      </c>
      <c r="R20842">
        <v>146</v>
      </c>
      <c r="S20842">
        <v>0</v>
      </c>
      <c r="T20842" t="s">
        <v>62917</v>
      </c>
    </row>
    <row r="20843" spans="1:20" customFormat="1" ht="15" x14ac:dyDescent="0.25">
      <c r="A20843" t="s">
        <v>24</v>
      </c>
      <c r="B20843" t="s">
        <v>2520</v>
      </c>
      <c r="C20843" t="str">
        <f>"A0084275"</f>
        <v>A0084275</v>
      </c>
      <c r="D20843" t="s">
        <v>63645</v>
      </c>
      <c r="E20843" t="s">
        <v>63646</v>
      </c>
      <c r="F20843" t="s">
        <v>1519</v>
      </c>
      <c r="G20843" t="s">
        <v>110</v>
      </c>
      <c r="H20843">
        <v>90048</v>
      </c>
      <c r="I20843" t="s">
        <v>30</v>
      </c>
      <c r="J20843" t="s">
        <v>171</v>
      </c>
      <c r="K20843" t="s">
        <v>6809</v>
      </c>
      <c r="N20843" t="s">
        <v>63647</v>
      </c>
      <c r="Q20843">
        <v>0</v>
      </c>
      <c r="R20843">
        <v>49</v>
      </c>
      <c r="S20843">
        <v>0</v>
      </c>
      <c r="T20843" t="s">
        <v>63648</v>
      </c>
    </row>
    <row r="20844" spans="1:20" customFormat="1" ht="15" x14ac:dyDescent="0.25">
      <c r="A20844" t="s">
        <v>24</v>
      </c>
      <c r="B20844" t="s">
        <v>64373</v>
      </c>
      <c r="C20844" t="str">
        <f>"SF05595"</f>
        <v>SF05595</v>
      </c>
      <c r="D20844" t="s">
        <v>64374</v>
      </c>
      <c r="E20844" t="s">
        <v>64375</v>
      </c>
      <c r="F20844" t="s">
        <v>709</v>
      </c>
      <c r="G20844" t="s">
        <v>81</v>
      </c>
      <c r="H20844">
        <v>34240</v>
      </c>
      <c r="I20844" t="s">
        <v>30</v>
      </c>
      <c r="J20844" t="s">
        <v>171</v>
      </c>
      <c r="K20844" t="s">
        <v>4386</v>
      </c>
      <c r="N20844" t="s">
        <v>64376</v>
      </c>
      <c r="Q20844">
        <v>0</v>
      </c>
      <c r="R20844">
        <v>128</v>
      </c>
      <c r="S20844">
        <v>0</v>
      </c>
      <c r="T20844" t="s">
        <v>64377</v>
      </c>
    </row>
    <row r="20845" spans="1:20" customFormat="1" ht="15" x14ac:dyDescent="0.25">
      <c r="A20845" t="s">
        <v>24</v>
      </c>
      <c r="B20845" t="s">
        <v>57556</v>
      </c>
      <c r="C20845" t="str">
        <f>"A0149413"</f>
        <v>A0149413</v>
      </c>
      <c r="D20845" t="s">
        <v>66298</v>
      </c>
      <c r="E20845" t="s">
        <v>66299</v>
      </c>
      <c r="F20845" t="s">
        <v>9415</v>
      </c>
      <c r="G20845" t="s">
        <v>71</v>
      </c>
      <c r="H20845">
        <v>54913</v>
      </c>
      <c r="I20845" t="s">
        <v>30</v>
      </c>
      <c r="J20845" t="s">
        <v>171</v>
      </c>
      <c r="K20845" t="s">
        <v>653</v>
      </c>
      <c r="N20845" t="s">
        <v>66300</v>
      </c>
      <c r="Q20845">
        <v>0</v>
      </c>
      <c r="R20845">
        <v>80</v>
      </c>
      <c r="S20845">
        <v>0</v>
      </c>
      <c r="T20845" t="s">
        <v>66301</v>
      </c>
    </row>
    <row r="20846" spans="1:20" customFormat="1" ht="15" x14ac:dyDescent="0.25">
      <c r="A20846" t="s">
        <v>24</v>
      </c>
      <c r="B20846" t="s">
        <v>66302</v>
      </c>
      <c r="C20846" t="str">
        <f>"SF01073"</f>
        <v>SF01073</v>
      </c>
      <c r="D20846" t="s">
        <v>66303</v>
      </c>
      <c r="E20846" t="s">
        <v>66304</v>
      </c>
      <c r="F20846" t="s">
        <v>5651</v>
      </c>
      <c r="G20846" t="s">
        <v>110</v>
      </c>
      <c r="H20846">
        <v>92805</v>
      </c>
      <c r="I20846" t="s">
        <v>30</v>
      </c>
      <c r="J20846" t="s">
        <v>171</v>
      </c>
      <c r="K20846" t="s">
        <v>653</v>
      </c>
      <c r="N20846" t="s">
        <v>66305</v>
      </c>
      <c r="Q20846">
        <v>0</v>
      </c>
      <c r="R20846">
        <v>246</v>
      </c>
      <c r="S20846">
        <v>0</v>
      </c>
      <c r="T20846" t="s">
        <v>66306</v>
      </c>
    </row>
    <row r="20847" spans="1:20" customFormat="1" ht="15" x14ac:dyDescent="0.25">
      <c r="A20847" t="s">
        <v>24</v>
      </c>
      <c r="B20847" t="s">
        <v>33398</v>
      </c>
      <c r="C20847" t="str">
        <f>"A0098623"</f>
        <v>A0098623</v>
      </c>
      <c r="D20847" t="s">
        <v>66307</v>
      </c>
      <c r="E20847" t="s">
        <v>66308</v>
      </c>
      <c r="F20847" t="s">
        <v>10730</v>
      </c>
      <c r="G20847" t="s">
        <v>214</v>
      </c>
      <c r="H20847">
        <v>28801</v>
      </c>
      <c r="I20847" t="s">
        <v>30</v>
      </c>
      <c r="J20847" t="s">
        <v>171</v>
      </c>
      <c r="K20847" t="s">
        <v>653</v>
      </c>
      <c r="N20847" t="s">
        <v>66309</v>
      </c>
      <c r="O20847" t="s">
        <v>66310</v>
      </c>
      <c r="Q20847">
        <v>0</v>
      </c>
      <c r="R20847">
        <v>150</v>
      </c>
      <c r="S20847">
        <v>0</v>
      </c>
      <c r="T20847" t="s">
        <v>66311</v>
      </c>
    </row>
    <row r="20848" spans="1:20" customFormat="1" ht="15" x14ac:dyDescent="0.25">
      <c r="A20848" t="s">
        <v>24</v>
      </c>
      <c r="B20848" t="s">
        <v>675</v>
      </c>
      <c r="C20848" t="str">
        <f>"A0096687"</f>
        <v>A0096687</v>
      </c>
      <c r="D20848" t="s">
        <v>66312</v>
      </c>
      <c r="E20848" t="s">
        <v>66313</v>
      </c>
      <c r="F20848" t="s">
        <v>7714</v>
      </c>
      <c r="G20848" t="s">
        <v>197</v>
      </c>
      <c r="H20848">
        <v>85212</v>
      </c>
      <c r="I20848" t="s">
        <v>30</v>
      </c>
      <c r="J20848" t="s">
        <v>171</v>
      </c>
      <c r="K20848" t="s">
        <v>653</v>
      </c>
      <c r="N20848" t="s">
        <v>66314</v>
      </c>
      <c r="O20848" t="s">
        <v>61478</v>
      </c>
      <c r="Q20848">
        <v>0</v>
      </c>
      <c r="R20848">
        <v>120</v>
      </c>
      <c r="S20848">
        <v>0</v>
      </c>
      <c r="T20848" t="s">
        <v>66315</v>
      </c>
    </row>
    <row r="20849" spans="1:20" customFormat="1" ht="15" x14ac:dyDescent="0.25">
      <c r="A20849" t="s">
        <v>24</v>
      </c>
      <c r="B20849" t="s">
        <v>649</v>
      </c>
      <c r="C20849" t="str">
        <f>"A0065076"</f>
        <v>A0065076</v>
      </c>
      <c r="D20849" t="s">
        <v>66316</v>
      </c>
      <c r="E20849" t="s">
        <v>66317</v>
      </c>
      <c r="F20849" t="s">
        <v>9831</v>
      </c>
      <c r="G20849" t="s">
        <v>214</v>
      </c>
      <c r="H20849">
        <v>28078</v>
      </c>
      <c r="I20849" t="s">
        <v>30</v>
      </c>
      <c r="J20849" t="s">
        <v>171</v>
      </c>
      <c r="K20849" t="s">
        <v>653</v>
      </c>
      <c r="N20849" t="s">
        <v>66318</v>
      </c>
      <c r="O20849" t="s">
        <v>256</v>
      </c>
      <c r="Q20849">
        <v>0</v>
      </c>
      <c r="R20849">
        <v>101</v>
      </c>
      <c r="S20849">
        <v>0</v>
      </c>
      <c r="T20849" t="s">
        <v>66319</v>
      </c>
    </row>
    <row r="20850" spans="1:20" customFormat="1" ht="15" x14ac:dyDescent="0.25">
      <c r="A20850" t="s">
        <v>24</v>
      </c>
      <c r="B20850" t="s">
        <v>56526</v>
      </c>
      <c r="C20850" t="str">
        <f>"A0098615"</f>
        <v>A0098615</v>
      </c>
      <c r="D20850" t="s">
        <v>66326</v>
      </c>
      <c r="E20850" t="s">
        <v>66327</v>
      </c>
      <c r="F20850" t="s">
        <v>6650</v>
      </c>
      <c r="G20850" t="s">
        <v>81</v>
      </c>
      <c r="H20850">
        <v>33146</v>
      </c>
      <c r="I20850" t="s">
        <v>30</v>
      </c>
      <c r="J20850" t="s">
        <v>171</v>
      </c>
      <c r="K20850" t="s">
        <v>653</v>
      </c>
      <c r="N20850" t="s">
        <v>57049</v>
      </c>
      <c r="Q20850">
        <v>0</v>
      </c>
      <c r="R20850">
        <v>103</v>
      </c>
      <c r="S20850">
        <v>0</v>
      </c>
      <c r="T20850" t="s">
        <v>66328</v>
      </c>
    </row>
    <row r="20851" spans="1:20" customFormat="1" ht="15" x14ac:dyDescent="0.25">
      <c r="A20851" t="s">
        <v>24</v>
      </c>
      <c r="B20851" t="s">
        <v>61811</v>
      </c>
      <c r="C20851" t="str">
        <f>"A0095694"</f>
        <v>A0095694</v>
      </c>
      <c r="D20851" t="s">
        <v>66329</v>
      </c>
      <c r="E20851" t="s">
        <v>66330</v>
      </c>
      <c r="F20851" t="s">
        <v>2900</v>
      </c>
      <c r="G20851" t="s">
        <v>76</v>
      </c>
      <c r="H20851">
        <v>98109</v>
      </c>
      <c r="I20851" t="s">
        <v>30</v>
      </c>
      <c r="J20851" t="s">
        <v>171</v>
      </c>
      <c r="K20851" t="s">
        <v>653</v>
      </c>
      <c r="N20851" t="s">
        <v>66331</v>
      </c>
      <c r="Q20851">
        <v>0</v>
      </c>
      <c r="R20851">
        <v>158</v>
      </c>
      <c r="S20851">
        <v>0</v>
      </c>
      <c r="T20851" t="s">
        <v>66332</v>
      </c>
    </row>
    <row r="20852" spans="1:20" customFormat="1" ht="15" x14ac:dyDescent="0.25">
      <c r="A20852" t="s">
        <v>24</v>
      </c>
      <c r="B20852" t="s">
        <v>56526</v>
      </c>
      <c r="C20852" t="str">
        <f>"A0098909"</f>
        <v>A0098909</v>
      </c>
      <c r="D20852" t="s">
        <v>66343</v>
      </c>
      <c r="E20852" t="s">
        <v>66344</v>
      </c>
      <c r="F20852" t="s">
        <v>66345</v>
      </c>
      <c r="G20852" t="s">
        <v>81</v>
      </c>
      <c r="H20852">
        <v>33004</v>
      </c>
      <c r="I20852" t="s">
        <v>30</v>
      </c>
      <c r="J20852" t="s">
        <v>171</v>
      </c>
      <c r="K20852" t="s">
        <v>653</v>
      </c>
      <c r="N20852" t="s">
        <v>66346</v>
      </c>
      <c r="Q20852">
        <v>0</v>
      </c>
      <c r="R20852">
        <v>155</v>
      </c>
      <c r="S20852">
        <v>0</v>
      </c>
      <c r="T20852" t="s">
        <v>66347</v>
      </c>
    </row>
    <row r="20853" spans="1:20" customFormat="1" ht="15" x14ac:dyDescent="0.25">
      <c r="A20853" t="s">
        <v>24</v>
      </c>
      <c r="B20853" t="s">
        <v>66348</v>
      </c>
      <c r="C20853" t="str">
        <f>"A0098619"</f>
        <v>A0098619</v>
      </c>
      <c r="D20853" t="s">
        <v>66349</v>
      </c>
      <c r="E20853" t="s">
        <v>66350</v>
      </c>
      <c r="F20853" t="s">
        <v>2069</v>
      </c>
      <c r="G20853" t="s">
        <v>1170</v>
      </c>
      <c r="H20853">
        <v>70130</v>
      </c>
      <c r="I20853" t="s">
        <v>30</v>
      </c>
      <c r="J20853" t="s">
        <v>171</v>
      </c>
      <c r="K20853" t="s">
        <v>653</v>
      </c>
      <c r="N20853" t="s">
        <v>66351</v>
      </c>
      <c r="O20853" t="s">
        <v>66352</v>
      </c>
      <c r="Q20853">
        <v>0</v>
      </c>
      <c r="R20853">
        <v>186</v>
      </c>
      <c r="S20853">
        <v>0</v>
      </c>
      <c r="T20853" t="s">
        <v>66353</v>
      </c>
    </row>
    <row r="20854" spans="1:20" customFormat="1" ht="15" x14ac:dyDescent="0.25">
      <c r="A20854" t="s">
        <v>24</v>
      </c>
      <c r="B20854" t="s">
        <v>342</v>
      </c>
      <c r="C20854" t="str">
        <f>"A0056523"</f>
        <v>A0056523</v>
      </c>
      <c r="D20854" t="s">
        <v>66366</v>
      </c>
      <c r="E20854" t="s">
        <v>66367</v>
      </c>
      <c r="F20854" t="s">
        <v>3545</v>
      </c>
      <c r="G20854" t="s">
        <v>1706</v>
      </c>
      <c r="H20854">
        <v>35824</v>
      </c>
      <c r="I20854" t="s">
        <v>30</v>
      </c>
      <c r="J20854" t="s">
        <v>171</v>
      </c>
      <c r="K20854" t="s">
        <v>653</v>
      </c>
      <c r="N20854" t="s">
        <v>66368</v>
      </c>
      <c r="O20854" t="s">
        <v>66369</v>
      </c>
      <c r="Q20854">
        <v>0</v>
      </c>
      <c r="R20854">
        <v>146</v>
      </c>
      <c r="S20854">
        <v>0</v>
      </c>
      <c r="T20854" t="s">
        <v>66370</v>
      </c>
    </row>
    <row r="20855" spans="1:20" customFormat="1" ht="15" x14ac:dyDescent="0.25">
      <c r="A20855" t="s">
        <v>24</v>
      </c>
      <c r="B20855" t="s">
        <v>1543</v>
      </c>
      <c r="C20855" t="str">
        <f>"A0098617"</f>
        <v>A0098617</v>
      </c>
      <c r="D20855" t="s">
        <v>66371</v>
      </c>
      <c r="E20855" t="s">
        <v>66372</v>
      </c>
      <c r="F20855" t="s">
        <v>2443</v>
      </c>
      <c r="G20855" t="s">
        <v>81</v>
      </c>
      <c r="H20855">
        <v>32256</v>
      </c>
      <c r="I20855" t="s">
        <v>30</v>
      </c>
      <c r="J20855" t="s">
        <v>171</v>
      </c>
      <c r="K20855" t="s">
        <v>653</v>
      </c>
      <c r="N20855" t="s">
        <v>66373</v>
      </c>
      <c r="Q20855">
        <v>0</v>
      </c>
      <c r="R20855">
        <v>80</v>
      </c>
      <c r="S20855">
        <v>0</v>
      </c>
      <c r="T20855" t="s">
        <v>66374</v>
      </c>
    </row>
    <row r="20856" spans="1:20" customFormat="1" ht="15" hidden="1" x14ac:dyDescent="0.25">
      <c r="A20856" t="s">
        <v>24</v>
      </c>
      <c r="B20856" t="s">
        <v>675</v>
      </c>
      <c r="C20856" t="str">
        <f>"9782G"</f>
        <v>9782G</v>
      </c>
      <c r="D20856" t="s">
        <v>78317</v>
      </c>
      <c r="E20856" t="s">
        <v>78318</v>
      </c>
      <c r="F20856" t="s">
        <v>78319</v>
      </c>
      <c r="G20856" t="s">
        <v>1176</v>
      </c>
      <c r="I20856" t="s">
        <v>1177</v>
      </c>
      <c r="J20856" t="s">
        <v>162</v>
      </c>
      <c r="K20856" t="s">
        <v>8335</v>
      </c>
      <c r="N20856" t="s">
        <v>78320</v>
      </c>
      <c r="O20856" t="s">
        <v>78321</v>
      </c>
      <c r="Q20856">
        <v>0</v>
      </c>
      <c r="R20856">
        <v>300</v>
      </c>
      <c r="S20856">
        <v>0</v>
      </c>
      <c r="T20856" t="s">
        <v>78322</v>
      </c>
    </row>
    <row r="20857" spans="1:20" customFormat="1" ht="15" x14ac:dyDescent="0.25">
      <c r="A20857" t="s">
        <v>24</v>
      </c>
      <c r="B20857" t="s">
        <v>6811</v>
      </c>
      <c r="C20857" t="str">
        <f>"A0098596"</f>
        <v>A0098596</v>
      </c>
      <c r="D20857" t="s">
        <v>66375</v>
      </c>
      <c r="E20857" t="s">
        <v>66376</v>
      </c>
      <c r="F20857" t="s">
        <v>56903</v>
      </c>
      <c r="G20857" t="s">
        <v>81</v>
      </c>
      <c r="H20857">
        <v>32250</v>
      </c>
      <c r="I20857" t="s">
        <v>30</v>
      </c>
      <c r="J20857" t="s">
        <v>171</v>
      </c>
      <c r="K20857" t="s">
        <v>653</v>
      </c>
      <c r="N20857" t="s">
        <v>33623</v>
      </c>
      <c r="Q20857">
        <v>0</v>
      </c>
      <c r="R20857">
        <v>80</v>
      </c>
      <c r="S20857">
        <v>0</v>
      </c>
      <c r="T20857" t="s">
        <v>66377</v>
      </c>
    </row>
    <row r="20858" spans="1:20" customFormat="1" ht="15" x14ac:dyDescent="0.25">
      <c r="A20858" t="s">
        <v>24</v>
      </c>
      <c r="B20858" t="s">
        <v>33398</v>
      </c>
      <c r="C20858" t="str">
        <f>"SF02721"</f>
        <v>SF02721</v>
      </c>
      <c r="D20858" t="s">
        <v>66378</v>
      </c>
      <c r="E20858" t="s">
        <v>66379</v>
      </c>
      <c r="F20858" t="s">
        <v>8703</v>
      </c>
      <c r="G20858" t="s">
        <v>137</v>
      </c>
      <c r="H20858">
        <v>64153</v>
      </c>
      <c r="I20858" t="s">
        <v>30</v>
      </c>
      <c r="J20858" t="s">
        <v>171</v>
      </c>
      <c r="K20858" t="s">
        <v>653</v>
      </c>
      <c r="N20858" t="s">
        <v>66380</v>
      </c>
      <c r="O20858" t="s">
        <v>66381</v>
      </c>
      <c r="Q20858">
        <v>0</v>
      </c>
      <c r="R20858">
        <v>200</v>
      </c>
      <c r="S20858">
        <v>0</v>
      </c>
      <c r="T20858" t="s">
        <v>66382</v>
      </c>
    </row>
    <row r="20859" spans="1:20" customFormat="1" ht="15" x14ac:dyDescent="0.25">
      <c r="A20859" t="s">
        <v>24</v>
      </c>
      <c r="B20859" t="s">
        <v>2910</v>
      </c>
      <c r="C20859" t="str">
        <f>"A0095927"</f>
        <v>A0095927</v>
      </c>
      <c r="D20859" t="s">
        <v>66389</v>
      </c>
      <c r="E20859" t="s">
        <v>66390</v>
      </c>
      <c r="F20859" t="s">
        <v>3466</v>
      </c>
      <c r="G20859" t="s">
        <v>840</v>
      </c>
      <c r="H20859">
        <v>40209</v>
      </c>
      <c r="I20859" t="s">
        <v>30</v>
      </c>
      <c r="J20859" t="s">
        <v>171</v>
      </c>
      <c r="K20859" t="s">
        <v>653</v>
      </c>
      <c r="N20859" t="s">
        <v>66391</v>
      </c>
      <c r="Q20859">
        <v>0</v>
      </c>
      <c r="R20859">
        <v>117</v>
      </c>
      <c r="S20859">
        <v>0</v>
      </c>
      <c r="T20859" t="s">
        <v>66392</v>
      </c>
    </row>
    <row r="20860" spans="1:20" customFormat="1" ht="15" x14ac:dyDescent="0.25">
      <c r="A20860" t="s">
        <v>24</v>
      </c>
      <c r="B20860" t="s">
        <v>33398</v>
      </c>
      <c r="C20860" t="str">
        <f>"SF03126"</f>
        <v>SF03126</v>
      </c>
      <c r="D20860" t="s">
        <v>66393</v>
      </c>
      <c r="E20860" t="s">
        <v>66394</v>
      </c>
      <c r="F20860" t="s">
        <v>21186</v>
      </c>
      <c r="G20860" t="s">
        <v>925</v>
      </c>
      <c r="H20860">
        <v>66502</v>
      </c>
      <c r="I20860" t="s">
        <v>30</v>
      </c>
      <c r="J20860" t="s">
        <v>171</v>
      </c>
      <c r="K20860" t="s">
        <v>653</v>
      </c>
      <c r="N20860" t="s">
        <v>66395</v>
      </c>
      <c r="Q20860">
        <v>0</v>
      </c>
      <c r="R20860">
        <v>197</v>
      </c>
      <c r="S20860">
        <v>0</v>
      </c>
      <c r="T20860" t="s">
        <v>66396</v>
      </c>
    </row>
    <row r="20861" spans="1:20" customFormat="1" ht="15" x14ac:dyDescent="0.25">
      <c r="A20861" t="s">
        <v>24</v>
      </c>
      <c r="B20861" t="s">
        <v>2180</v>
      </c>
      <c r="C20861" t="str">
        <f>"A0098457"</f>
        <v>A0098457</v>
      </c>
      <c r="D20861" t="s">
        <v>66397</v>
      </c>
      <c r="E20861" t="s">
        <v>66398</v>
      </c>
      <c r="F20861" t="s">
        <v>11700</v>
      </c>
      <c r="G20861" t="s">
        <v>880</v>
      </c>
      <c r="H20861">
        <v>38125</v>
      </c>
      <c r="I20861" t="s">
        <v>30</v>
      </c>
      <c r="J20861" t="s">
        <v>171</v>
      </c>
      <c r="K20861" t="s">
        <v>653</v>
      </c>
      <c r="N20861" t="s">
        <v>66399</v>
      </c>
      <c r="Q20861">
        <v>0</v>
      </c>
      <c r="R20861">
        <v>93</v>
      </c>
      <c r="S20861">
        <v>0</v>
      </c>
      <c r="T20861" t="s">
        <v>66400</v>
      </c>
    </row>
    <row r="20862" spans="1:20" customFormat="1" ht="15" x14ac:dyDescent="0.25">
      <c r="A20862" t="s">
        <v>24</v>
      </c>
      <c r="B20862" t="s">
        <v>59200</v>
      </c>
      <c r="C20862" t="str">
        <f>"A0071700"</f>
        <v>A0071700</v>
      </c>
      <c r="D20862" t="s">
        <v>66401</v>
      </c>
      <c r="E20862" t="s">
        <v>66402</v>
      </c>
      <c r="F20862" t="s">
        <v>5999</v>
      </c>
      <c r="G20862" t="s">
        <v>71</v>
      </c>
      <c r="H20862">
        <v>53209</v>
      </c>
      <c r="I20862" t="s">
        <v>30</v>
      </c>
      <c r="J20862" t="s">
        <v>171</v>
      </c>
      <c r="K20862" t="s">
        <v>653</v>
      </c>
      <c r="N20862" t="s">
        <v>66403</v>
      </c>
      <c r="O20862" t="s">
        <v>66404</v>
      </c>
      <c r="Q20862">
        <v>0</v>
      </c>
      <c r="R20862">
        <v>149</v>
      </c>
      <c r="S20862">
        <v>0</v>
      </c>
      <c r="T20862" t="s">
        <v>66405</v>
      </c>
    </row>
    <row r="20863" spans="1:20" customFormat="1" ht="15" x14ac:dyDescent="0.25">
      <c r="A20863" t="s">
        <v>24</v>
      </c>
      <c r="B20863" t="s">
        <v>35340</v>
      </c>
      <c r="C20863" t="str">
        <f>"A0064374"</f>
        <v>A0064374</v>
      </c>
      <c r="D20863" t="s">
        <v>66409</v>
      </c>
      <c r="E20863" t="s">
        <v>66410</v>
      </c>
      <c r="F20863" t="s">
        <v>9846</v>
      </c>
      <c r="G20863" t="s">
        <v>880</v>
      </c>
      <c r="H20863">
        <v>37027</v>
      </c>
      <c r="I20863" t="s">
        <v>30</v>
      </c>
      <c r="J20863" t="s">
        <v>171</v>
      </c>
      <c r="K20863" t="s">
        <v>653</v>
      </c>
      <c r="N20863" t="s">
        <v>7142</v>
      </c>
      <c r="Q20863">
        <v>0</v>
      </c>
      <c r="R20863">
        <v>212</v>
      </c>
      <c r="S20863">
        <v>0</v>
      </c>
      <c r="T20863" t="s">
        <v>66411</v>
      </c>
    </row>
    <row r="20864" spans="1:20" customFormat="1" ht="15" x14ac:dyDescent="0.25">
      <c r="A20864" t="s">
        <v>24</v>
      </c>
      <c r="B20864" t="s">
        <v>55997</v>
      </c>
      <c r="C20864" t="str">
        <f>"A0074302"</f>
        <v>A0074302</v>
      </c>
      <c r="D20864" t="s">
        <v>66412</v>
      </c>
      <c r="E20864" t="s">
        <v>66413</v>
      </c>
      <c r="F20864" t="s">
        <v>1153</v>
      </c>
      <c r="G20864" t="s">
        <v>528</v>
      </c>
      <c r="H20864">
        <v>19702</v>
      </c>
      <c r="I20864" t="s">
        <v>30</v>
      </c>
      <c r="J20864" t="s">
        <v>171</v>
      </c>
      <c r="K20864" t="s">
        <v>653</v>
      </c>
      <c r="N20864" t="s">
        <v>66414</v>
      </c>
      <c r="Q20864">
        <v>0</v>
      </c>
      <c r="R20864">
        <v>66</v>
      </c>
      <c r="S20864">
        <v>0</v>
      </c>
      <c r="T20864" t="s">
        <v>66415</v>
      </c>
    </row>
    <row r="20865" spans="1:20" customFormat="1" ht="15" x14ac:dyDescent="0.25">
      <c r="A20865" t="s">
        <v>24</v>
      </c>
      <c r="B20865" t="s">
        <v>66416</v>
      </c>
      <c r="C20865" t="str">
        <f>"A0098631"</f>
        <v>A0098631</v>
      </c>
      <c r="D20865" t="s">
        <v>66417</v>
      </c>
      <c r="E20865" t="s">
        <v>66418</v>
      </c>
      <c r="F20865" t="s">
        <v>61255</v>
      </c>
      <c r="G20865" t="s">
        <v>99</v>
      </c>
      <c r="H20865">
        <v>12550</v>
      </c>
      <c r="I20865" t="s">
        <v>30</v>
      </c>
      <c r="J20865" t="s">
        <v>171</v>
      </c>
      <c r="K20865" t="s">
        <v>653</v>
      </c>
      <c r="N20865" t="s">
        <v>66419</v>
      </c>
      <c r="O20865" t="s">
        <v>66420</v>
      </c>
      <c r="Q20865">
        <v>0</v>
      </c>
      <c r="R20865">
        <v>124</v>
      </c>
      <c r="S20865">
        <v>0</v>
      </c>
      <c r="T20865" t="s">
        <v>66421</v>
      </c>
    </row>
    <row r="20866" spans="1:20" customFormat="1" ht="15" x14ac:dyDescent="0.25">
      <c r="A20866" t="s">
        <v>24</v>
      </c>
      <c r="B20866" t="s">
        <v>12356</v>
      </c>
      <c r="C20866" t="str">
        <f>"A0100778"</f>
        <v>A0100778</v>
      </c>
      <c r="D20866" t="s">
        <v>66422</v>
      </c>
      <c r="E20866" t="s">
        <v>66423</v>
      </c>
      <c r="F20866" t="s">
        <v>1541</v>
      </c>
      <c r="G20866" t="s">
        <v>427</v>
      </c>
      <c r="H20866">
        <v>68131</v>
      </c>
      <c r="I20866" t="s">
        <v>30</v>
      </c>
      <c r="J20866" t="s">
        <v>171</v>
      </c>
      <c r="K20866" t="s">
        <v>653</v>
      </c>
      <c r="N20866" t="s">
        <v>66424</v>
      </c>
      <c r="Q20866">
        <v>0</v>
      </c>
      <c r="R20866">
        <v>120</v>
      </c>
      <c r="S20866">
        <v>0</v>
      </c>
      <c r="T20866" t="s">
        <v>66425</v>
      </c>
    </row>
    <row r="20867" spans="1:20" customFormat="1" ht="15" x14ac:dyDescent="0.25">
      <c r="A20867" t="s">
        <v>24</v>
      </c>
      <c r="B20867" t="s">
        <v>2528</v>
      </c>
      <c r="C20867" t="str">
        <f>"A0094133"</f>
        <v>A0094133</v>
      </c>
      <c r="D20867" t="s">
        <v>66426</v>
      </c>
      <c r="E20867" t="s">
        <v>66427</v>
      </c>
      <c r="F20867" t="s">
        <v>55840</v>
      </c>
      <c r="G20867" t="s">
        <v>103</v>
      </c>
      <c r="H20867">
        <v>19153</v>
      </c>
      <c r="I20867" t="s">
        <v>30</v>
      </c>
      <c r="J20867" t="s">
        <v>171</v>
      </c>
      <c r="K20867" t="s">
        <v>653</v>
      </c>
      <c r="N20867" t="s">
        <v>14601</v>
      </c>
      <c r="O20867" t="s">
        <v>55841</v>
      </c>
      <c r="Q20867">
        <v>0</v>
      </c>
      <c r="R20867">
        <v>177</v>
      </c>
      <c r="S20867">
        <v>0</v>
      </c>
      <c r="T20867" t="s">
        <v>66428</v>
      </c>
    </row>
    <row r="20868" spans="1:20" customFormat="1" ht="15" x14ac:dyDescent="0.25">
      <c r="A20868" t="s">
        <v>24</v>
      </c>
      <c r="B20868" t="s">
        <v>7928</v>
      </c>
      <c r="C20868" t="str">
        <f>"A0057167"</f>
        <v>A0057167</v>
      </c>
      <c r="D20868" t="s">
        <v>66429</v>
      </c>
      <c r="E20868" t="s">
        <v>66430</v>
      </c>
      <c r="F20868" t="s">
        <v>9812</v>
      </c>
      <c r="G20868" t="s">
        <v>103</v>
      </c>
      <c r="H20868">
        <v>19114</v>
      </c>
      <c r="I20868" t="s">
        <v>30</v>
      </c>
      <c r="J20868" t="s">
        <v>171</v>
      </c>
      <c r="K20868" t="s">
        <v>653</v>
      </c>
      <c r="N20868" t="s">
        <v>66431</v>
      </c>
      <c r="Q20868">
        <v>0</v>
      </c>
      <c r="R20868">
        <v>190</v>
      </c>
      <c r="S20868">
        <v>0</v>
      </c>
      <c r="T20868" t="s">
        <v>66432</v>
      </c>
    </row>
    <row r="20869" spans="1:20" customFormat="1" ht="15" x14ac:dyDescent="0.25">
      <c r="A20869" t="s">
        <v>24</v>
      </c>
      <c r="B20869" t="s">
        <v>66433</v>
      </c>
      <c r="C20869" t="str">
        <f>"A0098632"</f>
        <v>A0098632</v>
      </c>
      <c r="D20869" t="s">
        <v>66434</v>
      </c>
      <c r="E20869" t="s">
        <v>66435</v>
      </c>
      <c r="F20869" t="s">
        <v>66436</v>
      </c>
      <c r="G20869" t="s">
        <v>99</v>
      </c>
      <c r="H20869">
        <v>11803</v>
      </c>
      <c r="I20869" t="s">
        <v>30</v>
      </c>
      <c r="J20869" t="s">
        <v>171</v>
      </c>
      <c r="K20869" t="s">
        <v>653</v>
      </c>
      <c r="N20869" t="s">
        <v>66437</v>
      </c>
      <c r="Q20869">
        <v>0</v>
      </c>
      <c r="R20869">
        <v>103</v>
      </c>
      <c r="S20869">
        <v>0</v>
      </c>
      <c r="T20869" t="s">
        <v>66438</v>
      </c>
    </row>
    <row r="20870" spans="1:20" customFormat="1" ht="15" hidden="1" x14ac:dyDescent="0.25">
      <c r="A20870" t="s">
        <v>24</v>
      </c>
      <c r="B20870" t="s">
        <v>5435</v>
      </c>
      <c r="C20870" t="str">
        <f>"A0078420"</f>
        <v>A0078420</v>
      </c>
      <c r="D20870" t="s">
        <v>78379</v>
      </c>
      <c r="E20870" t="s">
        <v>78380</v>
      </c>
      <c r="F20870" t="s">
        <v>5438</v>
      </c>
      <c r="G20870" t="s">
        <v>5439</v>
      </c>
      <c r="H20870" t="s">
        <v>61158</v>
      </c>
      <c r="I20870" t="s">
        <v>1459</v>
      </c>
      <c r="J20870" t="s">
        <v>171</v>
      </c>
      <c r="K20870" t="s">
        <v>1450</v>
      </c>
      <c r="N20870" t="s">
        <v>61159</v>
      </c>
      <c r="Q20870">
        <v>0</v>
      </c>
      <c r="R20870">
        <v>169</v>
      </c>
      <c r="S20870">
        <v>0</v>
      </c>
      <c r="T20870" t="s">
        <v>78381</v>
      </c>
    </row>
    <row r="20871" spans="1:20" customFormat="1" ht="15" x14ac:dyDescent="0.25">
      <c r="A20871" t="s">
        <v>24</v>
      </c>
      <c r="B20871" t="s">
        <v>63685</v>
      </c>
      <c r="C20871" t="str">
        <f>"A0098624"</f>
        <v>A0098624</v>
      </c>
      <c r="D20871" t="s">
        <v>66444</v>
      </c>
      <c r="E20871" t="s">
        <v>66445</v>
      </c>
      <c r="F20871" t="s">
        <v>6941</v>
      </c>
      <c r="G20871" t="s">
        <v>214</v>
      </c>
      <c r="H20871">
        <v>27560</v>
      </c>
      <c r="I20871" t="s">
        <v>30</v>
      </c>
      <c r="J20871" t="s">
        <v>171</v>
      </c>
      <c r="K20871" t="s">
        <v>653</v>
      </c>
      <c r="N20871" t="s">
        <v>66446</v>
      </c>
      <c r="O20871" t="s">
        <v>63688</v>
      </c>
      <c r="Q20871">
        <v>0</v>
      </c>
      <c r="R20871">
        <v>105</v>
      </c>
      <c r="S20871">
        <v>0</v>
      </c>
      <c r="T20871" t="s">
        <v>66447</v>
      </c>
    </row>
    <row r="20872" spans="1:20" customFormat="1" ht="15" x14ac:dyDescent="0.25">
      <c r="A20872" t="s">
        <v>24</v>
      </c>
      <c r="B20872" t="s">
        <v>4855</v>
      </c>
      <c r="C20872" t="str">
        <f>"A0049735"</f>
        <v>A0049735</v>
      </c>
      <c r="D20872" t="s">
        <v>66448</v>
      </c>
      <c r="E20872" t="s">
        <v>66449</v>
      </c>
      <c r="F20872" t="s">
        <v>2978</v>
      </c>
      <c r="G20872" t="s">
        <v>110</v>
      </c>
      <c r="H20872">
        <v>92123</v>
      </c>
      <c r="I20872" t="s">
        <v>30</v>
      </c>
      <c r="J20872" t="s">
        <v>171</v>
      </c>
      <c r="K20872" t="s">
        <v>653</v>
      </c>
      <c r="N20872" t="s">
        <v>66450</v>
      </c>
      <c r="Q20872">
        <v>0</v>
      </c>
      <c r="R20872">
        <v>225</v>
      </c>
      <c r="S20872">
        <v>0</v>
      </c>
      <c r="T20872" t="s">
        <v>66451</v>
      </c>
    </row>
    <row r="20873" spans="1:20" customFormat="1" ht="15" x14ac:dyDescent="0.25">
      <c r="A20873" t="s">
        <v>24</v>
      </c>
      <c r="B20873" t="s">
        <v>3159</v>
      </c>
      <c r="C20873" t="str">
        <f>"A0098636"</f>
        <v>A0098636</v>
      </c>
      <c r="D20873" t="s">
        <v>66452</v>
      </c>
      <c r="E20873" t="s">
        <v>66453</v>
      </c>
      <c r="F20873" t="s">
        <v>66454</v>
      </c>
      <c r="G20873" t="s">
        <v>103</v>
      </c>
      <c r="H20873">
        <v>18505</v>
      </c>
      <c r="I20873" t="s">
        <v>30</v>
      </c>
      <c r="J20873" t="s">
        <v>171</v>
      </c>
      <c r="K20873" t="s">
        <v>653</v>
      </c>
      <c r="N20873" t="s">
        <v>66455</v>
      </c>
      <c r="O20873" t="s">
        <v>66456</v>
      </c>
      <c r="Q20873">
        <v>0</v>
      </c>
      <c r="R20873">
        <v>135</v>
      </c>
      <c r="S20873">
        <v>0</v>
      </c>
      <c r="T20873" t="s">
        <v>66457</v>
      </c>
    </row>
    <row r="20874" spans="1:20" customFormat="1" ht="15" x14ac:dyDescent="0.25">
      <c r="A20874" t="s">
        <v>24</v>
      </c>
      <c r="B20874" t="s">
        <v>35340</v>
      </c>
      <c r="C20874" t="str">
        <f>"A0059149"</f>
        <v>A0059149</v>
      </c>
      <c r="D20874" t="s">
        <v>66462</v>
      </c>
      <c r="E20874" t="s">
        <v>66463</v>
      </c>
      <c r="F20874" t="s">
        <v>66464</v>
      </c>
      <c r="G20874" t="s">
        <v>58</v>
      </c>
      <c r="H20874">
        <v>29301</v>
      </c>
      <c r="I20874" t="s">
        <v>30</v>
      </c>
      <c r="J20874" t="s">
        <v>171</v>
      </c>
      <c r="K20874" t="s">
        <v>653</v>
      </c>
      <c r="N20874" t="s">
        <v>66465</v>
      </c>
      <c r="O20874" t="s">
        <v>66466</v>
      </c>
      <c r="Q20874">
        <v>0</v>
      </c>
      <c r="R20874">
        <v>200</v>
      </c>
      <c r="S20874">
        <v>0</v>
      </c>
      <c r="T20874" t="s">
        <v>66467</v>
      </c>
    </row>
    <row r="20875" spans="1:20" customFormat="1" ht="15" x14ac:dyDescent="0.25">
      <c r="A20875" t="s">
        <v>24</v>
      </c>
      <c r="B20875" t="s">
        <v>66475</v>
      </c>
      <c r="C20875" t="str">
        <f>"SF04701"</f>
        <v>SF04701</v>
      </c>
      <c r="D20875" t="s">
        <v>66476</v>
      </c>
      <c r="E20875" t="s">
        <v>66477</v>
      </c>
      <c r="F20875" t="s">
        <v>3555</v>
      </c>
      <c r="G20875" t="s">
        <v>81</v>
      </c>
      <c r="H20875">
        <v>32301</v>
      </c>
      <c r="I20875" t="s">
        <v>30</v>
      </c>
      <c r="J20875" t="s">
        <v>171</v>
      </c>
      <c r="K20875" t="s">
        <v>653</v>
      </c>
      <c r="N20875" t="s">
        <v>66478</v>
      </c>
      <c r="O20875" t="s">
        <v>66479</v>
      </c>
      <c r="Q20875">
        <v>0</v>
      </c>
      <c r="R20875">
        <v>164</v>
      </c>
      <c r="S20875">
        <v>0</v>
      </c>
      <c r="T20875" t="s">
        <v>66480</v>
      </c>
    </row>
    <row r="20876" spans="1:20" customFormat="1" ht="15" x14ac:dyDescent="0.25">
      <c r="A20876" t="s">
        <v>24</v>
      </c>
      <c r="B20876" t="s">
        <v>1467</v>
      </c>
      <c r="C20876" t="str">
        <f>"A0053347"</f>
        <v>A0053347</v>
      </c>
      <c r="D20876" t="s">
        <v>66494</v>
      </c>
      <c r="E20876" t="s">
        <v>66495</v>
      </c>
      <c r="F20876" t="s">
        <v>66496</v>
      </c>
      <c r="G20876" t="s">
        <v>899</v>
      </c>
      <c r="H20876">
        <v>1880</v>
      </c>
      <c r="I20876" t="s">
        <v>30</v>
      </c>
      <c r="J20876" t="s">
        <v>171</v>
      </c>
      <c r="K20876" t="s">
        <v>653</v>
      </c>
      <c r="N20876" t="s">
        <v>66497</v>
      </c>
      <c r="O20876" t="s">
        <v>66498</v>
      </c>
      <c r="Q20876">
        <v>0</v>
      </c>
      <c r="R20876">
        <v>280</v>
      </c>
      <c r="S20876">
        <v>0</v>
      </c>
      <c r="T20876" t="s">
        <v>66499</v>
      </c>
    </row>
    <row r="20877" spans="1:20" customFormat="1" ht="15" x14ac:dyDescent="0.25">
      <c r="A20877" t="s">
        <v>24</v>
      </c>
      <c r="B20877" t="s">
        <v>3159</v>
      </c>
      <c r="C20877" t="str">
        <f>"A0071648"</f>
        <v>A0071648</v>
      </c>
      <c r="D20877" t="s">
        <v>66500</v>
      </c>
      <c r="E20877" t="s">
        <v>66501</v>
      </c>
      <c r="F20877" t="s">
        <v>5013</v>
      </c>
      <c r="G20877" t="s">
        <v>103</v>
      </c>
      <c r="H20877">
        <v>17402</v>
      </c>
      <c r="I20877" t="s">
        <v>30</v>
      </c>
      <c r="J20877" t="s">
        <v>171</v>
      </c>
      <c r="K20877" t="s">
        <v>653</v>
      </c>
      <c r="N20877" t="s">
        <v>62885</v>
      </c>
      <c r="Q20877">
        <v>0</v>
      </c>
      <c r="R20877">
        <v>129</v>
      </c>
      <c r="S20877">
        <v>0</v>
      </c>
      <c r="T20877" t="s">
        <v>66502</v>
      </c>
    </row>
    <row r="20878" spans="1:20" customFormat="1" ht="15" x14ac:dyDescent="0.25">
      <c r="A20878" t="s">
        <v>24</v>
      </c>
      <c r="B20878" t="s">
        <v>4400</v>
      </c>
      <c r="C20878" t="str">
        <f>"A0093978"</f>
        <v>A0093978</v>
      </c>
      <c r="D20878" t="s">
        <v>66503</v>
      </c>
      <c r="E20878" t="s">
        <v>66504</v>
      </c>
      <c r="F20878" t="s">
        <v>1564</v>
      </c>
      <c r="G20878" t="s">
        <v>52</v>
      </c>
      <c r="H20878">
        <v>77098</v>
      </c>
      <c r="I20878" t="s">
        <v>30</v>
      </c>
      <c r="J20878" t="s">
        <v>171</v>
      </c>
      <c r="K20878" t="s">
        <v>653</v>
      </c>
      <c r="N20878" t="s">
        <v>66505</v>
      </c>
      <c r="Q20878">
        <v>0</v>
      </c>
      <c r="R20878">
        <v>216</v>
      </c>
      <c r="S20878">
        <v>0</v>
      </c>
      <c r="T20878" t="s">
        <v>66506</v>
      </c>
    </row>
    <row r="20879" spans="1:20" customFormat="1" ht="15" x14ac:dyDescent="0.25">
      <c r="A20879" t="s">
        <v>24</v>
      </c>
      <c r="B20879" t="s">
        <v>4000</v>
      </c>
      <c r="C20879" t="str">
        <f>"A0154532"</f>
        <v>A0154532</v>
      </c>
      <c r="D20879" t="s">
        <v>66511</v>
      </c>
      <c r="E20879" t="s">
        <v>66512</v>
      </c>
      <c r="F20879" t="s">
        <v>4003</v>
      </c>
      <c r="G20879" t="s">
        <v>289</v>
      </c>
      <c r="H20879">
        <v>60173</v>
      </c>
      <c r="I20879" t="s">
        <v>30</v>
      </c>
      <c r="J20879" t="s">
        <v>171</v>
      </c>
      <c r="K20879" t="s">
        <v>653</v>
      </c>
      <c r="N20879" t="s">
        <v>66513</v>
      </c>
      <c r="Q20879">
        <v>0</v>
      </c>
      <c r="R20879">
        <v>96</v>
      </c>
      <c r="S20879">
        <v>0</v>
      </c>
      <c r="T20879" t="s">
        <v>66514</v>
      </c>
    </row>
    <row r="20880" spans="1:20" customFormat="1" ht="15" x14ac:dyDescent="0.25">
      <c r="A20880" t="s">
        <v>24</v>
      </c>
      <c r="B20880" t="s">
        <v>10398</v>
      </c>
      <c r="C20880" t="str">
        <f>"SF08700"</f>
        <v>SF08700</v>
      </c>
      <c r="D20880" t="s">
        <v>66515</v>
      </c>
      <c r="E20880" t="s">
        <v>66516</v>
      </c>
      <c r="F20880" t="s">
        <v>1439</v>
      </c>
      <c r="G20880" t="s">
        <v>110</v>
      </c>
      <c r="H20880">
        <v>92101</v>
      </c>
      <c r="I20880" t="s">
        <v>30</v>
      </c>
      <c r="J20880" t="s">
        <v>171</v>
      </c>
      <c r="K20880" t="s">
        <v>653</v>
      </c>
      <c r="N20880" t="s">
        <v>66517</v>
      </c>
      <c r="Q20880">
        <v>0</v>
      </c>
      <c r="R20880">
        <v>220</v>
      </c>
      <c r="S20880">
        <v>0</v>
      </c>
      <c r="T20880" t="s">
        <v>66518</v>
      </c>
    </row>
    <row r="20881" spans="1:20" customFormat="1" ht="15" x14ac:dyDescent="0.25">
      <c r="A20881" t="s">
        <v>24</v>
      </c>
      <c r="B20881" t="s">
        <v>64997</v>
      </c>
      <c r="C20881" t="str">
        <f>"A0067041"</f>
        <v>A0067041</v>
      </c>
      <c r="D20881" t="s">
        <v>66519</v>
      </c>
      <c r="E20881" t="s">
        <v>66520</v>
      </c>
      <c r="F20881" t="s">
        <v>9498</v>
      </c>
      <c r="G20881" t="s">
        <v>214</v>
      </c>
      <c r="H20881">
        <v>27409</v>
      </c>
      <c r="I20881" t="s">
        <v>30</v>
      </c>
      <c r="J20881" t="s">
        <v>171</v>
      </c>
      <c r="K20881" t="s">
        <v>653</v>
      </c>
      <c r="N20881" t="s">
        <v>66521</v>
      </c>
      <c r="Q20881">
        <v>0</v>
      </c>
      <c r="R20881">
        <v>113</v>
      </c>
      <c r="S20881">
        <v>0</v>
      </c>
      <c r="T20881" t="s">
        <v>66522</v>
      </c>
    </row>
    <row r="20882" spans="1:20" customFormat="1" ht="15" x14ac:dyDescent="0.25">
      <c r="A20882" t="s">
        <v>24</v>
      </c>
      <c r="B20882" t="s">
        <v>56826</v>
      </c>
      <c r="C20882" t="str">
        <f>"A0057256"</f>
        <v>A0057256</v>
      </c>
      <c r="D20882" t="s">
        <v>66523</v>
      </c>
      <c r="E20882" t="s">
        <v>66524</v>
      </c>
      <c r="F20882" t="s">
        <v>66525</v>
      </c>
      <c r="G20882" t="s">
        <v>899</v>
      </c>
      <c r="H20882">
        <v>2642</v>
      </c>
      <c r="I20882" t="s">
        <v>30</v>
      </c>
      <c r="J20882" t="s">
        <v>171</v>
      </c>
      <c r="K20882" t="s">
        <v>653</v>
      </c>
      <c r="N20882" t="s">
        <v>66526</v>
      </c>
      <c r="O20882" t="s">
        <v>66527</v>
      </c>
      <c r="Q20882">
        <v>0</v>
      </c>
      <c r="R20882">
        <v>107</v>
      </c>
      <c r="S20882">
        <v>0</v>
      </c>
      <c r="T20882" t="s">
        <v>66528</v>
      </c>
    </row>
    <row r="20883" spans="1:20" customFormat="1" ht="15" x14ac:dyDescent="0.25">
      <c r="A20883" t="s">
        <v>24</v>
      </c>
      <c r="B20883" t="s">
        <v>4990</v>
      </c>
      <c r="C20883" t="str">
        <f>"SF09397"</f>
        <v>SF09397</v>
      </c>
      <c r="D20883" t="s">
        <v>66529</v>
      </c>
      <c r="E20883" t="s">
        <v>62211</v>
      </c>
      <c r="F20883" t="s">
        <v>4467</v>
      </c>
      <c r="G20883" t="s">
        <v>289</v>
      </c>
      <c r="H20883">
        <v>61602</v>
      </c>
      <c r="I20883" t="s">
        <v>30</v>
      </c>
      <c r="J20883" t="s">
        <v>171</v>
      </c>
      <c r="K20883" t="s">
        <v>653</v>
      </c>
      <c r="N20883" t="s">
        <v>66530</v>
      </c>
      <c r="O20883" t="s">
        <v>66531</v>
      </c>
      <c r="Q20883">
        <v>0</v>
      </c>
      <c r="R20883">
        <v>323</v>
      </c>
      <c r="S20883">
        <v>0</v>
      </c>
      <c r="T20883" t="s">
        <v>66532</v>
      </c>
    </row>
    <row r="20884" spans="1:20" customFormat="1" ht="15" x14ac:dyDescent="0.25">
      <c r="A20884" t="s">
        <v>24</v>
      </c>
      <c r="B20884" t="s">
        <v>8579</v>
      </c>
      <c r="C20884" t="str">
        <f>"A0089270"</f>
        <v>A0089270</v>
      </c>
      <c r="D20884" t="s">
        <v>66533</v>
      </c>
      <c r="E20884" t="s">
        <v>66534</v>
      </c>
      <c r="F20884" t="s">
        <v>64273</v>
      </c>
      <c r="G20884" t="s">
        <v>110</v>
      </c>
      <c r="H20884">
        <v>94080</v>
      </c>
      <c r="I20884" t="s">
        <v>30</v>
      </c>
      <c r="J20884" t="s">
        <v>171</v>
      </c>
      <c r="K20884" t="s">
        <v>653</v>
      </c>
      <c r="N20884" t="s">
        <v>66535</v>
      </c>
      <c r="O20884" t="s">
        <v>66536</v>
      </c>
      <c r="Q20884">
        <v>0</v>
      </c>
      <c r="R20884">
        <v>91</v>
      </c>
      <c r="S20884">
        <v>0</v>
      </c>
      <c r="T20884" t="s">
        <v>66537</v>
      </c>
    </row>
    <row r="20885" spans="1:20" customFormat="1" ht="15" x14ac:dyDescent="0.25">
      <c r="A20885" t="s">
        <v>24</v>
      </c>
      <c r="B20885" t="s">
        <v>6515</v>
      </c>
      <c r="C20885" t="str">
        <f>"A0092409"</f>
        <v>A0092409</v>
      </c>
      <c r="D20885" t="s">
        <v>66538</v>
      </c>
      <c r="E20885" t="s">
        <v>66539</v>
      </c>
      <c r="F20885" t="s">
        <v>13138</v>
      </c>
      <c r="G20885" t="s">
        <v>103</v>
      </c>
      <c r="H20885">
        <v>18103</v>
      </c>
      <c r="I20885" t="s">
        <v>30</v>
      </c>
      <c r="J20885" t="s">
        <v>171</v>
      </c>
      <c r="K20885" t="s">
        <v>653</v>
      </c>
      <c r="N20885" t="s">
        <v>66540</v>
      </c>
      <c r="Q20885">
        <v>0</v>
      </c>
      <c r="R20885">
        <v>120</v>
      </c>
      <c r="S20885">
        <v>0</v>
      </c>
      <c r="T20885" t="s">
        <v>66541</v>
      </c>
    </row>
    <row r="20886" spans="1:20" customFormat="1" ht="15" x14ac:dyDescent="0.25">
      <c r="A20886" t="s">
        <v>24</v>
      </c>
      <c r="B20886" t="s">
        <v>66542</v>
      </c>
      <c r="C20886" t="str">
        <f>"88SH006"</f>
        <v>88SH006</v>
      </c>
      <c r="D20886" t="s">
        <v>66543</v>
      </c>
      <c r="E20886" t="s">
        <v>66544</v>
      </c>
      <c r="F20886" t="s">
        <v>66545</v>
      </c>
      <c r="G20886" t="s">
        <v>110</v>
      </c>
      <c r="H20886">
        <v>94608</v>
      </c>
      <c r="I20886" t="s">
        <v>30</v>
      </c>
      <c r="J20886" t="s">
        <v>171</v>
      </c>
      <c r="K20886" t="s">
        <v>653</v>
      </c>
      <c r="N20886" t="s">
        <v>66546</v>
      </c>
      <c r="O20886" t="s">
        <v>66547</v>
      </c>
      <c r="Q20886">
        <v>0</v>
      </c>
      <c r="R20886">
        <v>153</v>
      </c>
      <c r="S20886">
        <v>0</v>
      </c>
      <c r="T20886" t="s">
        <v>66548</v>
      </c>
    </row>
    <row r="20887" spans="1:20" customFormat="1" ht="15" x14ac:dyDescent="0.25">
      <c r="A20887" t="s">
        <v>24</v>
      </c>
      <c r="B20887" t="s">
        <v>66549</v>
      </c>
      <c r="C20887" t="str">
        <f>"A0086160"</f>
        <v>A0086160</v>
      </c>
      <c r="D20887" t="s">
        <v>66550</v>
      </c>
      <c r="E20887" t="s">
        <v>66551</v>
      </c>
      <c r="F20887" t="s">
        <v>3955</v>
      </c>
      <c r="G20887" t="s">
        <v>81</v>
      </c>
      <c r="H20887">
        <v>33607</v>
      </c>
      <c r="I20887" t="s">
        <v>30</v>
      </c>
      <c r="J20887" t="s">
        <v>171</v>
      </c>
      <c r="K20887" t="s">
        <v>653</v>
      </c>
      <c r="N20887" t="s">
        <v>5974</v>
      </c>
      <c r="Q20887">
        <v>0</v>
      </c>
      <c r="R20887">
        <v>261</v>
      </c>
      <c r="S20887">
        <v>0</v>
      </c>
      <c r="T20887" t="s">
        <v>66552</v>
      </c>
    </row>
    <row r="20888" spans="1:20" customFormat="1" ht="15" x14ac:dyDescent="0.25">
      <c r="A20888" t="s">
        <v>24</v>
      </c>
      <c r="B20888" t="s">
        <v>1138</v>
      </c>
      <c r="C20888" t="str">
        <f>"A0084861"</f>
        <v>A0084861</v>
      </c>
      <c r="D20888" t="s">
        <v>66595</v>
      </c>
      <c r="E20888" t="s">
        <v>66596</v>
      </c>
      <c r="F20888" t="s">
        <v>60506</v>
      </c>
      <c r="G20888" t="s">
        <v>29</v>
      </c>
      <c r="H20888">
        <v>22407</v>
      </c>
      <c r="I20888" t="s">
        <v>30</v>
      </c>
      <c r="J20888" t="s">
        <v>171</v>
      </c>
      <c r="K20888" t="s">
        <v>1450</v>
      </c>
      <c r="N20888" t="s">
        <v>66597</v>
      </c>
      <c r="Q20888">
        <v>0</v>
      </c>
      <c r="R20888">
        <v>124</v>
      </c>
      <c r="S20888">
        <v>0</v>
      </c>
      <c r="T20888" t="s">
        <v>66598</v>
      </c>
    </row>
    <row r="20889" spans="1:20" customFormat="1" ht="15" x14ac:dyDescent="0.25">
      <c r="A20889" t="s">
        <v>24</v>
      </c>
      <c r="B20889" t="s">
        <v>1020</v>
      </c>
      <c r="C20889" t="str">
        <f>"A0096233"</f>
        <v>A0096233</v>
      </c>
      <c r="D20889" t="s">
        <v>66617</v>
      </c>
      <c r="E20889" t="s">
        <v>66618</v>
      </c>
      <c r="F20889" t="s">
        <v>57308</v>
      </c>
      <c r="G20889" t="s">
        <v>899</v>
      </c>
      <c r="H20889">
        <v>2138</v>
      </c>
      <c r="I20889" t="s">
        <v>30</v>
      </c>
      <c r="J20889" t="s">
        <v>171</v>
      </c>
      <c r="K20889" t="s">
        <v>163</v>
      </c>
      <c r="N20889" t="s">
        <v>66619</v>
      </c>
      <c r="O20889" t="s">
        <v>66620</v>
      </c>
      <c r="Q20889">
        <v>0</v>
      </c>
      <c r="R20889">
        <v>128</v>
      </c>
      <c r="S20889">
        <v>0</v>
      </c>
      <c r="T20889" t="s">
        <v>66621</v>
      </c>
    </row>
    <row r="20890" spans="1:20" customFormat="1" ht="15" x14ac:dyDescent="0.25">
      <c r="A20890" t="s">
        <v>24</v>
      </c>
      <c r="B20890" t="s">
        <v>56826</v>
      </c>
      <c r="C20890" t="str">
        <f>"A0148614"</f>
        <v>A0148614</v>
      </c>
      <c r="D20890" t="s">
        <v>66622</v>
      </c>
      <c r="E20890" t="s">
        <v>66623</v>
      </c>
      <c r="F20890" t="s">
        <v>5540</v>
      </c>
      <c r="G20890" t="s">
        <v>2450</v>
      </c>
      <c r="H20890">
        <v>4032</v>
      </c>
      <c r="I20890" t="s">
        <v>30</v>
      </c>
      <c r="J20890" t="s">
        <v>171</v>
      </c>
      <c r="K20890" t="s">
        <v>12620</v>
      </c>
      <c r="N20890" t="s">
        <v>66624</v>
      </c>
      <c r="Q20890">
        <v>0</v>
      </c>
      <c r="R20890">
        <v>68</v>
      </c>
      <c r="S20890">
        <v>0</v>
      </c>
      <c r="T20890" t="s">
        <v>66625</v>
      </c>
    </row>
    <row r="20891" spans="1:20" customFormat="1" ht="15" x14ac:dyDescent="0.25">
      <c r="A20891" t="s">
        <v>24</v>
      </c>
      <c r="B20891" t="s">
        <v>66599</v>
      </c>
      <c r="C20891" t="str">
        <f>"651XT"</f>
        <v>651XT</v>
      </c>
      <c r="D20891" t="s">
        <v>66723</v>
      </c>
      <c r="E20891" t="s">
        <v>66724</v>
      </c>
      <c r="F20891" t="s">
        <v>313</v>
      </c>
      <c r="G20891" t="s">
        <v>314</v>
      </c>
      <c r="H20891">
        <v>20009</v>
      </c>
      <c r="I20891" t="s">
        <v>30</v>
      </c>
      <c r="J20891" t="s">
        <v>171</v>
      </c>
      <c r="K20891" t="s">
        <v>163</v>
      </c>
      <c r="N20891" t="s">
        <v>66725</v>
      </c>
      <c r="O20891" t="s">
        <v>66726</v>
      </c>
      <c r="Q20891">
        <v>0</v>
      </c>
      <c r="R20891">
        <v>146</v>
      </c>
      <c r="S20891">
        <v>0</v>
      </c>
      <c r="T20891" t="s">
        <v>66727</v>
      </c>
    </row>
    <row r="20892" spans="1:20" customFormat="1" ht="15" x14ac:dyDescent="0.25">
      <c r="A20892" t="s">
        <v>24</v>
      </c>
      <c r="B20892" t="s">
        <v>1567</v>
      </c>
      <c r="C20892" t="str">
        <f>"A0073271"</f>
        <v>A0073271</v>
      </c>
      <c r="D20892" t="s">
        <v>66749</v>
      </c>
      <c r="E20892" t="s">
        <v>66750</v>
      </c>
      <c r="F20892" t="s">
        <v>6883</v>
      </c>
      <c r="G20892" t="s">
        <v>65</v>
      </c>
      <c r="H20892">
        <v>44106</v>
      </c>
      <c r="I20892" t="s">
        <v>30</v>
      </c>
      <c r="J20892" t="s">
        <v>171</v>
      </c>
      <c r="K20892" t="s">
        <v>163</v>
      </c>
      <c r="N20892" t="s">
        <v>66751</v>
      </c>
      <c r="O20892" t="s">
        <v>66752</v>
      </c>
      <c r="Q20892">
        <v>0</v>
      </c>
      <c r="R20892">
        <v>60</v>
      </c>
      <c r="S20892">
        <v>0</v>
      </c>
      <c r="T20892" t="s">
        <v>66753</v>
      </c>
    </row>
    <row r="20893" spans="1:20" customFormat="1" ht="15" x14ac:dyDescent="0.25">
      <c r="A20893" t="s">
        <v>24</v>
      </c>
      <c r="B20893" t="s">
        <v>2520</v>
      </c>
      <c r="C20893" t="str">
        <f>"A0054624"</f>
        <v>A0054624</v>
      </c>
      <c r="D20893" t="s">
        <v>66754</v>
      </c>
      <c r="E20893" t="s">
        <v>66755</v>
      </c>
      <c r="F20893" t="s">
        <v>39848</v>
      </c>
      <c r="G20893" t="s">
        <v>110</v>
      </c>
      <c r="H20893">
        <v>92118</v>
      </c>
      <c r="I20893" t="s">
        <v>30</v>
      </c>
      <c r="J20893" t="s">
        <v>171</v>
      </c>
      <c r="K20893" t="s">
        <v>163</v>
      </c>
      <c r="N20893" t="s">
        <v>66756</v>
      </c>
      <c r="O20893" t="s">
        <v>66757</v>
      </c>
      <c r="Q20893">
        <v>0</v>
      </c>
      <c r="R20893">
        <v>100</v>
      </c>
      <c r="S20893">
        <v>0</v>
      </c>
      <c r="T20893" t="s">
        <v>66758</v>
      </c>
    </row>
    <row r="20894" spans="1:20" customFormat="1" ht="15" x14ac:dyDescent="0.25">
      <c r="A20894" t="s">
        <v>24</v>
      </c>
      <c r="B20894" t="s">
        <v>799</v>
      </c>
      <c r="C20894" t="str">
        <f>"A0054605"</f>
        <v>A0054605</v>
      </c>
      <c r="D20894" t="s">
        <v>68662</v>
      </c>
      <c r="E20894" t="s">
        <v>68663</v>
      </c>
      <c r="F20894" t="s">
        <v>510</v>
      </c>
      <c r="G20894" t="s">
        <v>58</v>
      </c>
      <c r="H20894">
        <v>29401</v>
      </c>
      <c r="I20894" t="s">
        <v>30</v>
      </c>
      <c r="J20894" t="s">
        <v>171</v>
      </c>
      <c r="K20894" t="s">
        <v>163</v>
      </c>
      <c r="N20894" t="s">
        <v>68664</v>
      </c>
      <c r="O20894" t="s">
        <v>68665</v>
      </c>
      <c r="Q20894">
        <v>0</v>
      </c>
      <c r="R20894">
        <v>52</v>
      </c>
      <c r="S20894">
        <v>0</v>
      </c>
      <c r="T20894" t="s">
        <v>68666</v>
      </c>
    </row>
    <row r="20895" spans="1:20" customFormat="1" ht="15" x14ac:dyDescent="0.25">
      <c r="A20895" t="s">
        <v>24</v>
      </c>
      <c r="B20895" t="s">
        <v>68697</v>
      </c>
      <c r="C20895" t="str">
        <f>"56593"</f>
        <v>56593</v>
      </c>
      <c r="D20895" t="s">
        <v>68698</v>
      </c>
      <c r="E20895" t="s">
        <v>68699</v>
      </c>
      <c r="F20895" t="s">
        <v>56870</v>
      </c>
      <c r="G20895" t="s">
        <v>137</v>
      </c>
      <c r="H20895">
        <v>63146</v>
      </c>
      <c r="I20895" t="s">
        <v>30</v>
      </c>
      <c r="J20895" t="s">
        <v>171</v>
      </c>
      <c r="K20895" t="s">
        <v>15288</v>
      </c>
      <c r="N20895" t="s">
        <v>68700</v>
      </c>
      <c r="O20895" t="s">
        <v>68701</v>
      </c>
      <c r="Q20895">
        <v>0</v>
      </c>
      <c r="R20895">
        <v>127</v>
      </c>
      <c r="S20895">
        <v>0</v>
      </c>
      <c r="T20895" t="s">
        <v>68702</v>
      </c>
    </row>
    <row r="20896" spans="1:20" customFormat="1" ht="15" x14ac:dyDescent="0.25">
      <c r="A20896" t="s">
        <v>24</v>
      </c>
      <c r="B20896" t="s">
        <v>68697</v>
      </c>
      <c r="C20896" t="str">
        <f>"A0062551"</f>
        <v>A0062551</v>
      </c>
      <c r="D20896" t="s">
        <v>68703</v>
      </c>
      <c r="E20896" t="s">
        <v>68704</v>
      </c>
      <c r="F20896" t="s">
        <v>1131</v>
      </c>
      <c r="G20896" t="s">
        <v>52</v>
      </c>
      <c r="H20896">
        <v>76006</v>
      </c>
      <c r="I20896" t="s">
        <v>30</v>
      </c>
      <c r="J20896" t="s">
        <v>171</v>
      </c>
      <c r="K20896" t="s">
        <v>15288</v>
      </c>
      <c r="N20896" t="s">
        <v>68705</v>
      </c>
      <c r="Q20896">
        <v>0</v>
      </c>
      <c r="R20896">
        <v>129</v>
      </c>
      <c r="S20896">
        <v>0</v>
      </c>
      <c r="T20896" t="s">
        <v>68706</v>
      </c>
    </row>
    <row r="20897" spans="1:20" customFormat="1" ht="15" x14ac:dyDescent="0.25">
      <c r="A20897" t="s">
        <v>24</v>
      </c>
      <c r="B20897" t="s">
        <v>3789</v>
      </c>
      <c r="C20897" t="str">
        <f>"A0095659"</f>
        <v>A0095659</v>
      </c>
      <c r="D20897" t="s">
        <v>68707</v>
      </c>
      <c r="E20897" t="s">
        <v>68708</v>
      </c>
      <c r="F20897" t="s">
        <v>7940</v>
      </c>
      <c r="G20897" t="s">
        <v>52</v>
      </c>
      <c r="H20897">
        <v>77840</v>
      </c>
      <c r="I20897" t="s">
        <v>30</v>
      </c>
      <c r="J20897" t="s">
        <v>171</v>
      </c>
      <c r="K20897" t="s">
        <v>15288</v>
      </c>
      <c r="N20897" t="s">
        <v>68709</v>
      </c>
      <c r="O20897" t="s">
        <v>68710</v>
      </c>
      <c r="Q20897">
        <v>0</v>
      </c>
      <c r="R20897">
        <v>81</v>
      </c>
      <c r="S20897">
        <v>0</v>
      </c>
      <c r="T20897" t="s">
        <v>68711</v>
      </c>
    </row>
    <row r="20898" spans="1:20" customFormat="1" ht="15" x14ac:dyDescent="0.25">
      <c r="A20898" t="s">
        <v>24</v>
      </c>
      <c r="B20898" t="s">
        <v>68712</v>
      </c>
      <c r="C20898" t="str">
        <f>"A0094759"</f>
        <v>A0094759</v>
      </c>
      <c r="D20898" t="s">
        <v>68713</v>
      </c>
      <c r="E20898" t="s">
        <v>68714</v>
      </c>
      <c r="F20898" t="s">
        <v>2120</v>
      </c>
      <c r="G20898" t="s">
        <v>52</v>
      </c>
      <c r="H20898">
        <v>79407</v>
      </c>
      <c r="I20898" t="s">
        <v>30</v>
      </c>
      <c r="J20898" t="s">
        <v>171</v>
      </c>
      <c r="K20898" t="s">
        <v>15288</v>
      </c>
      <c r="N20898" t="s">
        <v>68715</v>
      </c>
      <c r="O20898" t="s">
        <v>3975</v>
      </c>
      <c r="Q20898">
        <v>0</v>
      </c>
      <c r="R20898">
        <v>132</v>
      </c>
      <c r="S20898">
        <v>0</v>
      </c>
      <c r="T20898" t="s">
        <v>68716</v>
      </c>
    </row>
    <row r="20899" spans="1:20" customFormat="1" ht="15" x14ac:dyDescent="0.25">
      <c r="A20899" t="s">
        <v>24</v>
      </c>
      <c r="B20899" t="s">
        <v>68717</v>
      </c>
      <c r="C20899" t="str">
        <f>"A0092131"</f>
        <v>A0092131</v>
      </c>
      <c r="D20899" t="s">
        <v>68718</v>
      </c>
      <c r="E20899" t="s">
        <v>68719</v>
      </c>
      <c r="F20899" t="s">
        <v>10379</v>
      </c>
      <c r="G20899" t="s">
        <v>81</v>
      </c>
      <c r="H20899">
        <v>34109</v>
      </c>
      <c r="I20899" t="s">
        <v>30</v>
      </c>
      <c r="J20899" t="s">
        <v>171</v>
      </c>
      <c r="K20899" t="s">
        <v>15288</v>
      </c>
      <c r="N20899" t="s">
        <v>68720</v>
      </c>
      <c r="O20899" t="s">
        <v>68721</v>
      </c>
      <c r="Q20899">
        <v>0</v>
      </c>
      <c r="R20899">
        <v>84</v>
      </c>
      <c r="S20899">
        <v>0</v>
      </c>
      <c r="T20899" t="s">
        <v>68722</v>
      </c>
    </row>
    <row r="20900" spans="1:20" customFormat="1" ht="15" x14ac:dyDescent="0.25">
      <c r="A20900" t="s">
        <v>24</v>
      </c>
      <c r="B20900" t="s">
        <v>1098</v>
      </c>
      <c r="C20900" t="str">
        <f>"A0098706"</f>
        <v>A0098706</v>
      </c>
      <c r="D20900" t="s">
        <v>68755</v>
      </c>
      <c r="E20900" t="s">
        <v>68756</v>
      </c>
      <c r="F20900" t="s">
        <v>14922</v>
      </c>
      <c r="G20900" t="s">
        <v>103</v>
      </c>
      <c r="H20900">
        <v>17033</v>
      </c>
      <c r="I20900" t="s">
        <v>30</v>
      </c>
      <c r="J20900" t="s">
        <v>171</v>
      </c>
      <c r="K20900" t="s">
        <v>973</v>
      </c>
      <c r="N20900" t="s">
        <v>68757</v>
      </c>
      <c r="Q20900">
        <v>0</v>
      </c>
      <c r="R20900">
        <v>120</v>
      </c>
      <c r="S20900">
        <v>0</v>
      </c>
      <c r="T20900" t="s">
        <v>68758</v>
      </c>
    </row>
    <row r="20901" spans="1:20" customFormat="1" ht="15" x14ac:dyDescent="0.25">
      <c r="A20901" t="s">
        <v>24</v>
      </c>
      <c r="B20901" t="s">
        <v>10097</v>
      </c>
      <c r="C20901" t="str">
        <f>"A0085105"</f>
        <v>A0085105</v>
      </c>
      <c r="D20901" t="s">
        <v>1331</v>
      </c>
      <c r="E20901" t="s">
        <v>68899</v>
      </c>
      <c r="F20901" t="s">
        <v>8935</v>
      </c>
      <c r="G20901" t="s">
        <v>214</v>
      </c>
      <c r="H20901">
        <v>27713</v>
      </c>
      <c r="I20901" t="s">
        <v>30</v>
      </c>
      <c r="J20901" t="s">
        <v>171</v>
      </c>
      <c r="K20901" t="s">
        <v>1331</v>
      </c>
      <c r="N20901" t="s">
        <v>68900</v>
      </c>
      <c r="Q20901">
        <v>0</v>
      </c>
      <c r="R20901">
        <v>150</v>
      </c>
      <c r="S20901">
        <v>0</v>
      </c>
      <c r="T20901" t="s">
        <v>68901</v>
      </c>
    </row>
    <row r="20902" spans="1:20" customFormat="1" ht="15" x14ac:dyDescent="0.25">
      <c r="A20902" t="s">
        <v>24</v>
      </c>
      <c r="B20902" t="s">
        <v>2955</v>
      </c>
      <c r="C20902" t="str">
        <f>"A0088212"</f>
        <v>A0088212</v>
      </c>
      <c r="D20902" t="s">
        <v>68907</v>
      </c>
      <c r="E20902" t="s">
        <v>68908</v>
      </c>
      <c r="F20902" t="s">
        <v>2958</v>
      </c>
      <c r="G20902" t="s">
        <v>29</v>
      </c>
      <c r="H20902">
        <v>24061</v>
      </c>
      <c r="I20902" t="s">
        <v>30</v>
      </c>
      <c r="J20902" t="s">
        <v>171</v>
      </c>
      <c r="K20902" t="s">
        <v>1331</v>
      </c>
      <c r="N20902" t="s">
        <v>68909</v>
      </c>
      <c r="O20902" t="s">
        <v>68910</v>
      </c>
      <c r="Q20902">
        <v>0</v>
      </c>
      <c r="R20902">
        <v>137</v>
      </c>
      <c r="S20902">
        <v>0</v>
      </c>
      <c r="T20902" t="s">
        <v>68911</v>
      </c>
    </row>
    <row r="20903" spans="1:20" customFormat="1" ht="15" x14ac:dyDescent="0.25">
      <c r="A20903" t="s">
        <v>24</v>
      </c>
      <c r="B20903" t="s">
        <v>13679</v>
      </c>
      <c r="C20903" t="str">
        <f>"A0091835"</f>
        <v>A0091835</v>
      </c>
      <c r="D20903" t="s">
        <v>68912</v>
      </c>
      <c r="E20903" t="s">
        <v>68913</v>
      </c>
      <c r="F20903" t="s">
        <v>59754</v>
      </c>
      <c r="G20903" t="s">
        <v>1170</v>
      </c>
      <c r="H20903">
        <v>71111</v>
      </c>
      <c r="I20903" t="s">
        <v>30</v>
      </c>
      <c r="J20903" t="s">
        <v>171</v>
      </c>
      <c r="K20903" t="s">
        <v>1331</v>
      </c>
      <c r="N20903" t="s">
        <v>68914</v>
      </c>
      <c r="O20903" t="s">
        <v>68915</v>
      </c>
      <c r="Q20903">
        <v>0</v>
      </c>
      <c r="R20903">
        <v>177</v>
      </c>
      <c r="S20903">
        <v>0</v>
      </c>
      <c r="T20903" t="s">
        <v>68916</v>
      </c>
    </row>
    <row r="20904" spans="1:20" customFormat="1" ht="15" x14ac:dyDescent="0.25">
      <c r="A20904" t="s">
        <v>24</v>
      </c>
      <c r="B20904" t="s">
        <v>8579</v>
      </c>
      <c r="C20904" t="str">
        <f>"A0084441"</f>
        <v>A0084441</v>
      </c>
      <c r="D20904" t="s">
        <v>68917</v>
      </c>
      <c r="E20904" t="s">
        <v>68918</v>
      </c>
      <c r="F20904" t="s">
        <v>972</v>
      </c>
      <c r="G20904" t="s">
        <v>190</v>
      </c>
      <c r="H20904">
        <v>80246</v>
      </c>
      <c r="I20904" t="s">
        <v>30</v>
      </c>
      <c r="J20904" t="s">
        <v>171</v>
      </c>
      <c r="K20904" t="s">
        <v>1331</v>
      </c>
      <c r="N20904" t="s">
        <v>68919</v>
      </c>
      <c r="Q20904">
        <v>0</v>
      </c>
      <c r="R20904">
        <v>210</v>
      </c>
      <c r="S20904">
        <v>0</v>
      </c>
      <c r="T20904" t="s">
        <v>68920</v>
      </c>
    </row>
    <row r="20905" spans="1:20" customFormat="1" ht="15" x14ac:dyDescent="0.25">
      <c r="A20905" t="s">
        <v>24</v>
      </c>
      <c r="B20905" t="s">
        <v>8579</v>
      </c>
      <c r="C20905" t="str">
        <f>"A0084444"</f>
        <v>A0084444</v>
      </c>
      <c r="D20905" t="s">
        <v>68921</v>
      </c>
      <c r="E20905" t="s">
        <v>68922</v>
      </c>
      <c r="F20905" t="s">
        <v>972</v>
      </c>
      <c r="G20905" t="s">
        <v>190</v>
      </c>
      <c r="H20905">
        <v>80202</v>
      </c>
      <c r="I20905" t="s">
        <v>30</v>
      </c>
      <c r="J20905" t="s">
        <v>171</v>
      </c>
      <c r="K20905" t="s">
        <v>1331</v>
      </c>
      <c r="N20905" t="s">
        <v>60032</v>
      </c>
      <c r="O20905" t="s">
        <v>68923</v>
      </c>
      <c r="Q20905">
        <v>0</v>
      </c>
      <c r="R20905">
        <v>221</v>
      </c>
      <c r="S20905">
        <v>0</v>
      </c>
      <c r="T20905" t="s">
        <v>68924</v>
      </c>
    </row>
    <row r="20906" spans="1:20" customFormat="1" ht="15" x14ac:dyDescent="0.25">
      <c r="A20906" t="s">
        <v>24</v>
      </c>
      <c r="B20906" t="s">
        <v>34039</v>
      </c>
      <c r="C20906" t="str">
        <f>"A0090483"</f>
        <v>A0090483</v>
      </c>
      <c r="D20906" t="s">
        <v>68925</v>
      </c>
      <c r="E20906" t="s">
        <v>68926</v>
      </c>
      <c r="F20906" t="s">
        <v>68927</v>
      </c>
      <c r="G20906" t="s">
        <v>899</v>
      </c>
      <c r="H20906">
        <v>1434</v>
      </c>
      <c r="I20906" t="s">
        <v>30</v>
      </c>
      <c r="J20906" t="s">
        <v>171</v>
      </c>
      <c r="K20906" t="s">
        <v>1331</v>
      </c>
      <c r="N20906" t="s">
        <v>68928</v>
      </c>
      <c r="Q20906">
        <v>0</v>
      </c>
      <c r="R20906">
        <v>118</v>
      </c>
      <c r="S20906">
        <v>0</v>
      </c>
      <c r="T20906" t="s">
        <v>68929</v>
      </c>
    </row>
    <row r="20907" spans="1:20" customFormat="1" ht="15" x14ac:dyDescent="0.25">
      <c r="A20907" t="s">
        <v>24</v>
      </c>
      <c r="B20907" t="s">
        <v>2528</v>
      </c>
      <c r="C20907" t="str">
        <f>"A0090584"</f>
        <v>A0090584</v>
      </c>
      <c r="D20907" t="s">
        <v>68930</v>
      </c>
      <c r="E20907" t="s">
        <v>68931</v>
      </c>
      <c r="F20907" t="s">
        <v>2443</v>
      </c>
      <c r="G20907" t="s">
        <v>81</v>
      </c>
      <c r="H20907">
        <v>32207</v>
      </c>
      <c r="I20907" t="s">
        <v>30</v>
      </c>
      <c r="J20907" t="s">
        <v>171</v>
      </c>
      <c r="K20907" t="s">
        <v>1331</v>
      </c>
      <c r="N20907" t="s">
        <v>68932</v>
      </c>
      <c r="O20907" t="s">
        <v>6445</v>
      </c>
      <c r="Q20907">
        <v>0</v>
      </c>
      <c r="R20907">
        <v>123</v>
      </c>
      <c r="S20907">
        <v>0</v>
      </c>
      <c r="T20907" t="s">
        <v>68933</v>
      </c>
    </row>
    <row r="20908" spans="1:20" customFormat="1" ht="15" x14ac:dyDescent="0.25">
      <c r="A20908" t="s">
        <v>24</v>
      </c>
      <c r="B20908" t="s">
        <v>7405</v>
      </c>
      <c r="C20908" t="str">
        <f>"A0057957"</f>
        <v>A0057957</v>
      </c>
      <c r="D20908" t="s">
        <v>68934</v>
      </c>
      <c r="E20908" t="s">
        <v>68935</v>
      </c>
      <c r="F20908" t="s">
        <v>4391</v>
      </c>
      <c r="G20908" t="s">
        <v>615</v>
      </c>
      <c r="H20908">
        <v>6851</v>
      </c>
      <c r="I20908" t="s">
        <v>30</v>
      </c>
      <c r="J20908" t="s">
        <v>171</v>
      </c>
      <c r="K20908" t="s">
        <v>1331</v>
      </c>
      <c r="N20908" t="s">
        <v>68936</v>
      </c>
      <c r="O20908" t="s">
        <v>68937</v>
      </c>
      <c r="Q20908">
        <v>0</v>
      </c>
      <c r="R20908">
        <v>170</v>
      </c>
      <c r="S20908">
        <v>0</v>
      </c>
      <c r="T20908" t="s">
        <v>68938</v>
      </c>
    </row>
    <row r="20909" spans="1:20" customFormat="1" ht="15" x14ac:dyDescent="0.25">
      <c r="A20909" t="s">
        <v>24</v>
      </c>
      <c r="B20909" t="s">
        <v>7405</v>
      </c>
      <c r="C20909" t="str">
        <f>"A0057958"</f>
        <v>A0057958</v>
      </c>
      <c r="D20909" t="s">
        <v>68939</v>
      </c>
      <c r="E20909" t="s">
        <v>68940</v>
      </c>
      <c r="F20909" t="s">
        <v>14478</v>
      </c>
      <c r="G20909" t="s">
        <v>615</v>
      </c>
      <c r="H20909">
        <v>6484</v>
      </c>
      <c r="I20909" t="s">
        <v>30</v>
      </c>
      <c r="J20909" t="s">
        <v>171</v>
      </c>
      <c r="K20909" t="s">
        <v>1331</v>
      </c>
      <c r="N20909" t="s">
        <v>68941</v>
      </c>
      <c r="Q20909">
        <v>0</v>
      </c>
      <c r="R20909">
        <v>142</v>
      </c>
      <c r="S20909">
        <v>0</v>
      </c>
      <c r="T20909" t="s">
        <v>68942</v>
      </c>
    </row>
    <row r="20910" spans="1:20" customFormat="1" ht="15" x14ac:dyDescent="0.25">
      <c r="A20910" t="s">
        <v>24</v>
      </c>
      <c r="B20910" t="s">
        <v>2955</v>
      </c>
      <c r="C20910" t="str">
        <f>"A0166306"</f>
        <v>A0166306</v>
      </c>
      <c r="D20910" t="s">
        <v>68948</v>
      </c>
      <c r="E20910" t="s">
        <v>68949</v>
      </c>
      <c r="F20910" t="s">
        <v>53424</v>
      </c>
      <c r="G20910" t="s">
        <v>65</v>
      </c>
      <c r="H20910">
        <v>44305</v>
      </c>
      <c r="I20910" t="s">
        <v>30</v>
      </c>
      <c r="J20910" t="s">
        <v>171</v>
      </c>
      <c r="K20910" t="s">
        <v>1331</v>
      </c>
      <c r="N20910" t="s">
        <v>68950</v>
      </c>
      <c r="Q20910">
        <v>0</v>
      </c>
      <c r="R20910">
        <v>139</v>
      </c>
      <c r="S20910">
        <v>0</v>
      </c>
      <c r="T20910" t="s">
        <v>68951</v>
      </c>
    </row>
    <row r="20911" spans="1:20" customFormat="1" ht="15" x14ac:dyDescent="0.25">
      <c r="A20911" t="s">
        <v>24</v>
      </c>
      <c r="B20911" t="s">
        <v>10054</v>
      </c>
      <c r="C20911" t="str">
        <f>"A0157189"</f>
        <v>A0157189</v>
      </c>
      <c r="D20911" t="s">
        <v>68952</v>
      </c>
      <c r="E20911" t="s">
        <v>68953</v>
      </c>
      <c r="F20911" t="s">
        <v>1622</v>
      </c>
      <c r="G20911" t="s">
        <v>29</v>
      </c>
      <c r="H20911">
        <v>22314</v>
      </c>
      <c r="I20911" t="s">
        <v>30</v>
      </c>
      <c r="J20911" t="s">
        <v>171</v>
      </c>
      <c r="K20911" t="s">
        <v>1331</v>
      </c>
      <c r="N20911" t="s">
        <v>68954</v>
      </c>
      <c r="Q20911">
        <v>0</v>
      </c>
      <c r="R20911">
        <v>109</v>
      </c>
      <c r="S20911">
        <v>0</v>
      </c>
      <c r="T20911" t="s">
        <v>68955</v>
      </c>
    </row>
    <row r="20912" spans="1:20" customFormat="1" ht="15" x14ac:dyDescent="0.25">
      <c r="A20912" t="s">
        <v>24</v>
      </c>
      <c r="B20912" t="s">
        <v>6515</v>
      </c>
      <c r="C20912" t="str">
        <f>"A0090917"</f>
        <v>A0090917</v>
      </c>
      <c r="D20912" t="s">
        <v>68956</v>
      </c>
      <c r="E20912" t="s">
        <v>68957</v>
      </c>
      <c r="F20912" t="s">
        <v>13138</v>
      </c>
      <c r="G20912" t="s">
        <v>103</v>
      </c>
      <c r="H20912">
        <v>18109</v>
      </c>
      <c r="I20912" t="s">
        <v>30</v>
      </c>
      <c r="J20912" t="s">
        <v>171</v>
      </c>
      <c r="K20912" t="s">
        <v>1331</v>
      </c>
      <c r="N20912" t="s">
        <v>68958</v>
      </c>
      <c r="O20912" t="s">
        <v>68959</v>
      </c>
      <c r="Q20912">
        <v>0</v>
      </c>
      <c r="R20912">
        <v>106</v>
      </c>
      <c r="S20912">
        <v>0</v>
      </c>
      <c r="T20912" t="s">
        <v>68960</v>
      </c>
    </row>
    <row r="20913" spans="1:20" customFormat="1" ht="15" x14ac:dyDescent="0.25">
      <c r="A20913" t="s">
        <v>24</v>
      </c>
      <c r="B20913" t="s">
        <v>1561</v>
      </c>
      <c r="C20913" t="str">
        <f>"A0091414"</f>
        <v>A0091414</v>
      </c>
      <c r="D20913" t="s">
        <v>68961</v>
      </c>
      <c r="E20913" t="s">
        <v>68962</v>
      </c>
      <c r="F20913" t="s">
        <v>68963</v>
      </c>
      <c r="G20913" t="s">
        <v>103</v>
      </c>
      <c r="H20913">
        <v>18031</v>
      </c>
      <c r="I20913" t="s">
        <v>30</v>
      </c>
      <c r="J20913" t="s">
        <v>171</v>
      </c>
      <c r="K20913" t="s">
        <v>1331</v>
      </c>
      <c r="N20913" t="s">
        <v>68964</v>
      </c>
      <c r="Q20913">
        <v>0</v>
      </c>
      <c r="R20913">
        <v>111</v>
      </c>
      <c r="S20913">
        <v>0</v>
      </c>
      <c r="T20913" t="s">
        <v>68965</v>
      </c>
    </row>
    <row r="20914" spans="1:20" customFormat="1" ht="15" x14ac:dyDescent="0.25">
      <c r="A20914" t="s">
        <v>24</v>
      </c>
      <c r="B20914" t="s">
        <v>8579</v>
      </c>
      <c r="C20914" t="str">
        <f>"88HL014"</f>
        <v>88HL014</v>
      </c>
      <c r="D20914" t="s">
        <v>68966</v>
      </c>
      <c r="E20914" t="s">
        <v>68967</v>
      </c>
      <c r="F20914" t="s">
        <v>8319</v>
      </c>
      <c r="G20914" t="s">
        <v>110</v>
      </c>
      <c r="H20914">
        <v>92840</v>
      </c>
      <c r="I20914" t="s">
        <v>30</v>
      </c>
      <c r="J20914" t="s">
        <v>171</v>
      </c>
      <c r="K20914" t="s">
        <v>1331</v>
      </c>
      <c r="N20914" t="s">
        <v>68968</v>
      </c>
      <c r="O20914" t="s">
        <v>68969</v>
      </c>
      <c r="Q20914">
        <v>0</v>
      </c>
      <c r="R20914">
        <v>169</v>
      </c>
      <c r="S20914">
        <v>0</v>
      </c>
      <c r="T20914" t="s">
        <v>68970</v>
      </c>
    </row>
    <row r="20915" spans="1:20" customFormat="1" ht="15" x14ac:dyDescent="0.25">
      <c r="A20915" t="s">
        <v>24</v>
      </c>
      <c r="B20915" t="s">
        <v>2955</v>
      </c>
      <c r="C20915" t="str">
        <f>"A0083537"</f>
        <v>A0083537</v>
      </c>
      <c r="D20915" t="s">
        <v>68971</v>
      </c>
      <c r="E20915" t="s">
        <v>68972</v>
      </c>
      <c r="F20915" t="s">
        <v>281</v>
      </c>
      <c r="G20915" t="s">
        <v>123</v>
      </c>
      <c r="H20915">
        <v>21401</v>
      </c>
      <c r="I20915" t="s">
        <v>30</v>
      </c>
      <c r="J20915" t="s">
        <v>171</v>
      </c>
      <c r="K20915" t="s">
        <v>1331</v>
      </c>
      <c r="N20915" t="s">
        <v>68973</v>
      </c>
      <c r="Q20915">
        <v>0</v>
      </c>
      <c r="R20915">
        <v>126</v>
      </c>
      <c r="S20915">
        <v>0</v>
      </c>
      <c r="T20915" t="s">
        <v>68974</v>
      </c>
    </row>
    <row r="20916" spans="1:20" customFormat="1" ht="15" x14ac:dyDescent="0.25">
      <c r="A20916" t="s">
        <v>24</v>
      </c>
      <c r="B20916" t="s">
        <v>60220</v>
      </c>
      <c r="C20916" t="str">
        <f>"A0083734"</f>
        <v>A0083734</v>
      </c>
      <c r="D20916" t="s">
        <v>68975</v>
      </c>
      <c r="E20916" t="s">
        <v>68976</v>
      </c>
      <c r="F20916" t="s">
        <v>1131</v>
      </c>
      <c r="G20916" t="s">
        <v>52</v>
      </c>
      <c r="H20916">
        <v>76018</v>
      </c>
      <c r="I20916" t="s">
        <v>30</v>
      </c>
      <c r="J20916" t="s">
        <v>171</v>
      </c>
      <c r="K20916" t="s">
        <v>1331</v>
      </c>
      <c r="N20916" t="s">
        <v>68977</v>
      </c>
      <c r="Q20916">
        <v>0</v>
      </c>
      <c r="R20916">
        <v>135</v>
      </c>
      <c r="S20916">
        <v>0</v>
      </c>
      <c r="T20916" t="s">
        <v>68978</v>
      </c>
    </row>
    <row r="20917" spans="1:20" customFormat="1" ht="15" x14ac:dyDescent="0.25">
      <c r="A20917" t="s">
        <v>24</v>
      </c>
      <c r="B20917" t="s">
        <v>2368</v>
      </c>
      <c r="C20917" t="str">
        <f>"A0088851"</f>
        <v>A0088851</v>
      </c>
      <c r="D20917" t="s">
        <v>68979</v>
      </c>
      <c r="E20917" t="s">
        <v>68980</v>
      </c>
      <c r="F20917" t="s">
        <v>1131</v>
      </c>
      <c r="G20917" t="s">
        <v>29</v>
      </c>
      <c r="H20917">
        <v>22206</v>
      </c>
      <c r="I20917" t="s">
        <v>30</v>
      </c>
      <c r="J20917" t="s">
        <v>171</v>
      </c>
      <c r="K20917" t="s">
        <v>1331</v>
      </c>
      <c r="N20917" t="s">
        <v>68981</v>
      </c>
      <c r="O20917" t="s">
        <v>68982</v>
      </c>
      <c r="Q20917">
        <v>0</v>
      </c>
      <c r="R20917">
        <v>142</v>
      </c>
      <c r="S20917">
        <v>0</v>
      </c>
      <c r="T20917" t="s">
        <v>68983</v>
      </c>
    </row>
    <row r="20918" spans="1:20" customFormat="1" ht="15" x14ac:dyDescent="0.25">
      <c r="A20918" t="s">
        <v>24</v>
      </c>
      <c r="B20918" t="s">
        <v>2836</v>
      </c>
      <c r="C20918" t="str">
        <f>"A0062321"</f>
        <v>A0062321</v>
      </c>
      <c r="D20918" t="s">
        <v>68984</v>
      </c>
      <c r="E20918" t="s">
        <v>68985</v>
      </c>
      <c r="F20918" t="s">
        <v>845</v>
      </c>
      <c r="G20918" t="s">
        <v>846</v>
      </c>
      <c r="H20918">
        <v>30319</v>
      </c>
      <c r="I20918" t="s">
        <v>30</v>
      </c>
      <c r="J20918" t="s">
        <v>171</v>
      </c>
      <c r="K20918" t="s">
        <v>1331</v>
      </c>
      <c r="N20918" t="s">
        <v>68986</v>
      </c>
      <c r="O20918" t="s">
        <v>3947</v>
      </c>
      <c r="Q20918">
        <v>0</v>
      </c>
      <c r="R20918">
        <v>193</v>
      </c>
      <c r="S20918">
        <v>0</v>
      </c>
      <c r="T20918" t="s">
        <v>68987</v>
      </c>
    </row>
    <row r="20919" spans="1:20" customFormat="1" ht="15" x14ac:dyDescent="0.25">
      <c r="A20919" t="s">
        <v>24</v>
      </c>
      <c r="B20919" t="s">
        <v>13299</v>
      </c>
      <c r="C20919" t="str">
        <f>"A0055789"</f>
        <v>A0055789</v>
      </c>
      <c r="D20919" t="s">
        <v>68988</v>
      </c>
      <c r="E20919" t="s">
        <v>68989</v>
      </c>
      <c r="F20919" t="s">
        <v>845</v>
      </c>
      <c r="G20919" t="s">
        <v>846</v>
      </c>
      <c r="H20919">
        <v>30337</v>
      </c>
      <c r="I20919" t="s">
        <v>30</v>
      </c>
      <c r="J20919" t="s">
        <v>171</v>
      </c>
      <c r="K20919" t="s">
        <v>1331</v>
      </c>
      <c r="N20919" t="s">
        <v>68990</v>
      </c>
      <c r="Q20919">
        <v>0</v>
      </c>
      <c r="R20919">
        <v>200</v>
      </c>
      <c r="S20919">
        <v>0</v>
      </c>
      <c r="T20919" t="s">
        <v>68991</v>
      </c>
    </row>
    <row r="20920" spans="1:20" customFormat="1" ht="15" x14ac:dyDescent="0.25">
      <c r="A20920" t="s">
        <v>24</v>
      </c>
      <c r="B20920" t="s">
        <v>9391</v>
      </c>
      <c r="C20920" t="str">
        <f>"A0077438"</f>
        <v>A0077438</v>
      </c>
      <c r="D20920" t="s">
        <v>68992</v>
      </c>
      <c r="E20920" t="s">
        <v>68993</v>
      </c>
      <c r="F20920" t="s">
        <v>1391</v>
      </c>
      <c r="G20920" t="s">
        <v>846</v>
      </c>
      <c r="H20920">
        <v>30144</v>
      </c>
      <c r="I20920" t="s">
        <v>30</v>
      </c>
      <c r="J20920" t="s">
        <v>171</v>
      </c>
      <c r="K20920" t="s">
        <v>1331</v>
      </c>
      <c r="N20920" t="s">
        <v>68994</v>
      </c>
      <c r="Q20920">
        <v>0</v>
      </c>
      <c r="R20920">
        <v>114</v>
      </c>
      <c r="S20920">
        <v>0</v>
      </c>
      <c r="T20920" t="s">
        <v>68995</v>
      </c>
    </row>
    <row r="20921" spans="1:20" customFormat="1" ht="15" x14ac:dyDescent="0.25">
      <c r="A20921" t="s">
        <v>24</v>
      </c>
      <c r="B20921" t="s">
        <v>1323</v>
      </c>
      <c r="C20921" t="str">
        <f>"A0078365"</f>
        <v>A0078365</v>
      </c>
      <c r="D20921" t="s">
        <v>68996</v>
      </c>
      <c r="E20921" t="s">
        <v>68997</v>
      </c>
      <c r="F20921" t="s">
        <v>59643</v>
      </c>
      <c r="G20921" t="s">
        <v>1706</v>
      </c>
      <c r="H20921">
        <v>36830</v>
      </c>
      <c r="I20921" t="s">
        <v>30</v>
      </c>
      <c r="J20921" t="s">
        <v>171</v>
      </c>
      <c r="K20921" t="s">
        <v>1331</v>
      </c>
      <c r="N20921" t="s">
        <v>68998</v>
      </c>
      <c r="Q20921">
        <v>0</v>
      </c>
      <c r="R20921">
        <v>101</v>
      </c>
      <c r="S20921">
        <v>0</v>
      </c>
      <c r="T20921" t="s">
        <v>68999</v>
      </c>
    </row>
    <row r="20922" spans="1:20" customFormat="1" ht="15" x14ac:dyDescent="0.25">
      <c r="A20922" t="s">
        <v>24</v>
      </c>
      <c r="B20922" t="s">
        <v>1020</v>
      </c>
      <c r="C20922" t="str">
        <f>"A0085210"</f>
        <v>A0085210</v>
      </c>
      <c r="D20922" t="s">
        <v>69003</v>
      </c>
      <c r="E20922" t="s">
        <v>69004</v>
      </c>
      <c r="F20922" t="s">
        <v>372</v>
      </c>
      <c r="G20922" t="s">
        <v>52</v>
      </c>
      <c r="H20922">
        <v>78701</v>
      </c>
      <c r="I20922" t="s">
        <v>30</v>
      </c>
      <c r="J20922" t="s">
        <v>171</v>
      </c>
      <c r="K20922" t="s">
        <v>1331</v>
      </c>
      <c r="N20922" t="s">
        <v>59658</v>
      </c>
      <c r="Q20922">
        <v>0</v>
      </c>
      <c r="R20922">
        <v>117</v>
      </c>
      <c r="S20922">
        <v>0</v>
      </c>
      <c r="T20922" t="s">
        <v>69005</v>
      </c>
    </row>
    <row r="20923" spans="1:20" customFormat="1" ht="15" x14ac:dyDescent="0.25">
      <c r="A20923" t="s">
        <v>24</v>
      </c>
      <c r="B20923" t="s">
        <v>4990</v>
      </c>
      <c r="C20923" t="str">
        <f>"A0098250"</f>
        <v>A0098250</v>
      </c>
      <c r="D20923" t="s">
        <v>69006</v>
      </c>
      <c r="E20923" t="s">
        <v>69007</v>
      </c>
      <c r="F20923" t="s">
        <v>34979</v>
      </c>
      <c r="G20923" t="s">
        <v>1170</v>
      </c>
      <c r="H20923">
        <v>70807</v>
      </c>
      <c r="I20923" t="s">
        <v>30</v>
      </c>
      <c r="J20923" t="s">
        <v>171</v>
      </c>
      <c r="K20923" t="s">
        <v>1331</v>
      </c>
      <c r="N20923" t="s">
        <v>69008</v>
      </c>
      <c r="Q20923">
        <v>0</v>
      </c>
      <c r="R20923">
        <v>131</v>
      </c>
      <c r="S20923">
        <v>0</v>
      </c>
      <c r="T20923" t="s">
        <v>69009</v>
      </c>
    </row>
    <row r="20924" spans="1:20" customFormat="1" ht="15" x14ac:dyDescent="0.25">
      <c r="A20924" t="s">
        <v>24</v>
      </c>
      <c r="B20924" t="s">
        <v>1561</v>
      </c>
      <c r="C20924" t="str">
        <f>"A0091091"</f>
        <v>A0091091</v>
      </c>
      <c r="D20924" t="s">
        <v>69010</v>
      </c>
      <c r="E20924" t="s">
        <v>69011</v>
      </c>
      <c r="F20924" t="s">
        <v>69012</v>
      </c>
      <c r="G20924" t="s">
        <v>58</v>
      </c>
      <c r="H20924">
        <v>29902</v>
      </c>
      <c r="I20924" t="s">
        <v>30</v>
      </c>
      <c r="J20924" t="s">
        <v>171</v>
      </c>
      <c r="K20924" t="s">
        <v>1331</v>
      </c>
      <c r="N20924" t="s">
        <v>69013</v>
      </c>
      <c r="Q20924">
        <v>0</v>
      </c>
      <c r="R20924">
        <v>115</v>
      </c>
      <c r="S20924">
        <v>0</v>
      </c>
      <c r="T20924" t="s">
        <v>69014</v>
      </c>
    </row>
    <row r="20925" spans="1:20" customFormat="1" ht="15" hidden="1" x14ac:dyDescent="0.25">
      <c r="A20925" t="s">
        <v>24</v>
      </c>
      <c r="B20925" t="s">
        <v>675</v>
      </c>
      <c r="C20925" t="str">
        <f>"A0088539"</f>
        <v>A0088539</v>
      </c>
      <c r="D20925" t="s">
        <v>78608</v>
      </c>
      <c r="E20925" t="s">
        <v>78609</v>
      </c>
      <c r="F20925" t="s">
        <v>8456</v>
      </c>
      <c r="G20925" t="s">
        <v>1457</v>
      </c>
      <c r="H20925" t="s">
        <v>59951</v>
      </c>
      <c r="I20925" t="s">
        <v>1459</v>
      </c>
      <c r="J20925" t="s">
        <v>171</v>
      </c>
      <c r="K20925" t="s">
        <v>1450</v>
      </c>
      <c r="N20925" t="s">
        <v>59952</v>
      </c>
      <c r="Q20925">
        <v>0</v>
      </c>
      <c r="R20925">
        <v>157</v>
      </c>
      <c r="S20925">
        <v>0</v>
      </c>
      <c r="T20925">
        <f>+ (403)-278-1000</f>
        <v>-875</v>
      </c>
    </row>
    <row r="20926" spans="1:20" customFormat="1" ht="15" x14ac:dyDescent="0.25">
      <c r="A20926" t="s">
        <v>24</v>
      </c>
      <c r="B20926" t="s">
        <v>10054</v>
      </c>
      <c r="C20926" t="str">
        <f>"A0098118"</f>
        <v>A0098118</v>
      </c>
      <c r="D20926" t="s">
        <v>69015</v>
      </c>
      <c r="E20926" t="s">
        <v>69016</v>
      </c>
      <c r="F20926" t="s">
        <v>6609</v>
      </c>
      <c r="G20926" t="s">
        <v>123</v>
      </c>
      <c r="H20926">
        <v>20814</v>
      </c>
      <c r="I20926" t="s">
        <v>30</v>
      </c>
      <c r="J20926" t="s">
        <v>171</v>
      </c>
      <c r="K20926" t="s">
        <v>1331</v>
      </c>
      <c r="N20926" t="s">
        <v>68954</v>
      </c>
      <c r="Q20926">
        <v>0</v>
      </c>
      <c r="R20926">
        <v>216</v>
      </c>
      <c r="S20926">
        <v>0</v>
      </c>
      <c r="T20926" t="s">
        <v>69017</v>
      </c>
    </row>
    <row r="20927" spans="1:20" customFormat="1" ht="15" x14ac:dyDescent="0.25">
      <c r="A20927" t="s">
        <v>24</v>
      </c>
      <c r="B20927" t="s">
        <v>1323</v>
      </c>
      <c r="C20927" t="str">
        <f>"A0099039"</f>
        <v>A0099039</v>
      </c>
      <c r="D20927" t="s">
        <v>69018</v>
      </c>
      <c r="E20927" t="s">
        <v>69019</v>
      </c>
      <c r="F20927" t="s">
        <v>5706</v>
      </c>
      <c r="G20927" t="s">
        <v>1706</v>
      </c>
      <c r="H20927">
        <v>35233</v>
      </c>
      <c r="I20927" t="s">
        <v>30</v>
      </c>
      <c r="J20927" t="s">
        <v>171</v>
      </c>
      <c r="K20927" t="s">
        <v>1331</v>
      </c>
      <c r="N20927" t="s">
        <v>69020</v>
      </c>
      <c r="Q20927">
        <v>0</v>
      </c>
      <c r="R20927">
        <v>104</v>
      </c>
      <c r="S20927">
        <v>0</v>
      </c>
      <c r="T20927" t="s">
        <v>69021</v>
      </c>
    </row>
    <row r="20928" spans="1:20" customFormat="1" ht="15" x14ac:dyDescent="0.25">
      <c r="A20928" t="s">
        <v>24</v>
      </c>
      <c r="B20928" t="s">
        <v>1020</v>
      </c>
      <c r="C20928" t="str">
        <f>"A0078329"</f>
        <v>A0078329</v>
      </c>
      <c r="D20928" t="s">
        <v>69022</v>
      </c>
      <c r="E20928" t="s">
        <v>69023</v>
      </c>
      <c r="F20928" t="s">
        <v>3455</v>
      </c>
      <c r="G20928" t="s">
        <v>381</v>
      </c>
      <c r="H20928">
        <v>47403</v>
      </c>
      <c r="I20928" t="s">
        <v>30</v>
      </c>
      <c r="J20928" t="s">
        <v>171</v>
      </c>
      <c r="K20928" t="s">
        <v>1331</v>
      </c>
      <c r="N20928" t="s">
        <v>69024</v>
      </c>
      <c r="Q20928">
        <v>0</v>
      </c>
      <c r="R20928">
        <v>168</v>
      </c>
      <c r="S20928">
        <v>0</v>
      </c>
      <c r="T20928" t="s">
        <v>69025</v>
      </c>
    </row>
    <row r="20929" spans="1:20" customFormat="1" ht="15" x14ac:dyDescent="0.25">
      <c r="A20929" t="s">
        <v>24</v>
      </c>
      <c r="B20929" t="s">
        <v>13679</v>
      </c>
      <c r="C20929" t="str">
        <f>"A0090488"</f>
        <v>A0090488</v>
      </c>
      <c r="D20929" t="s">
        <v>69026</v>
      </c>
      <c r="E20929" t="s">
        <v>69027</v>
      </c>
      <c r="F20929" t="s">
        <v>6972</v>
      </c>
      <c r="G20929" t="s">
        <v>81</v>
      </c>
      <c r="H20929">
        <v>33487</v>
      </c>
      <c r="I20929" t="s">
        <v>30</v>
      </c>
      <c r="J20929" t="s">
        <v>171</v>
      </c>
      <c r="K20929" t="s">
        <v>1331</v>
      </c>
      <c r="N20929" t="s">
        <v>69028</v>
      </c>
      <c r="O20929" t="s">
        <v>69029</v>
      </c>
      <c r="Q20929">
        <v>0</v>
      </c>
      <c r="R20929">
        <v>149</v>
      </c>
      <c r="S20929">
        <v>0</v>
      </c>
      <c r="T20929" t="s">
        <v>69030</v>
      </c>
    </row>
    <row r="20930" spans="1:20" customFormat="1" ht="15" x14ac:dyDescent="0.25">
      <c r="A20930" t="s">
        <v>24</v>
      </c>
      <c r="B20930" t="s">
        <v>2528</v>
      </c>
      <c r="C20930" t="str">
        <f>"A0076652"</f>
        <v>A0076652</v>
      </c>
      <c r="D20930" t="s">
        <v>69031</v>
      </c>
      <c r="E20930" t="s">
        <v>69032</v>
      </c>
      <c r="F20930" t="s">
        <v>2390</v>
      </c>
      <c r="G20930" t="s">
        <v>899</v>
      </c>
      <c r="H20930">
        <v>1803</v>
      </c>
      <c r="I20930" t="s">
        <v>30</v>
      </c>
      <c r="J20930" t="s">
        <v>171</v>
      </c>
      <c r="K20930" t="s">
        <v>1331</v>
      </c>
      <c r="N20930" t="s">
        <v>69033</v>
      </c>
      <c r="O20930" t="s">
        <v>69034</v>
      </c>
      <c r="Q20930">
        <v>0</v>
      </c>
      <c r="R20930">
        <v>179</v>
      </c>
      <c r="S20930">
        <v>0</v>
      </c>
      <c r="T20930" t="s">
        <v>69035</v>
      </c>
    </row>
    <row r="20931" spans="1:20" customFormat="1" ht="15" x14ac:dyDescent="0.25">
      <c r="A20931" t="s">
        <v>24</v>
      </c>
      <c r="B20931" t="s">
        <v>5166</v>
      </c>
      <c r="C20931" t="str">
        <f>"A0098108"</f>
        <v>A0098108</v>
      </c>
      <c r="D20931" t="s">
        <v>69036</v>
      </c>
      <c r="E20931" t="s">
        <v>69037</v>
      </c>
      <c r="F20931" t="s">
        <v>3891</v>
      </c>
      <c r="G20931" t="s">
        <v>190</v>
      </c>
      <c r="H20931">
        <v>80302</v>
      </c>
      <c r="I20931" t="s">
        <v>30</v>
      </c>
      <c r="J20931" t="s">
        <v>171</v>
      </c>
      <c r="K20931" t="s">
        <v>1331</v>
      </c>
      <c r="N20931" t="s">
        <v>34513</v>
      </c>
      <c r="O20931" t="s">
        <v>69038</v>
      </c>
      <c r="Q20931">
        <v>0</v>
      </c>
      <c r="R20931">
        <v>172</v>
      </c>
      <c r="S20931">
        <v>0</v>
      </c>
      <c r="T20931" t="s">
        <v>69039</v>
      </c>
    </row>
    <row r="20932" spans="1:20" customFormat="1" ht="15" x14ac:dyDescent="0.25">
      <c r="A20932" t="s">
        <v>24</v>
      </c>
      <c r="B20932" t="s">
        <v>5149</v>
      </c>
      <c r="C20932" t="str">
        <f>"A0092449"</f>
        <v>A0092449</v>
      </c>
      <c r="D20932" t="s">
        <v>69040</v>
      </c>
      <c r="E20932" t="s">
        <v>69041</v>
      </c>
      <c r="F20932" t="s">
        <v>5152</v>
      </c>
      <c r="G20932" t="s">
        <v>840</v>
      </c>
      <c r="H20932">
        <v>42103</v>
      </c>
      <c r="I20932" t="s">
        <v>30</v>
      </c>
      <c r="J20932" t="s">
        <v>171</v>
      </c>
      <c r="K20932" t="s">
        <v>1331</v>
      </c>
      <c r="N20932" t="s">
        <v>69042</v>
      </c>
      <c r="O20932" t="s">
        <v>69043</v>
      </c>
      <c r="Q20932">
        <v>0</v>
      </c>
      <c r="R20932">
        <v>133</v>
      </c>
      <c r="S20932">
        <v>0</v>
      </c>
      <c r="T20932" t="s">
        <v>69044</v>
      </c>
    </row>
    <row r="20933" spans="1:20" customFormat="1" ht="15" x14ac:dyDescent="0.25">
      <c r="A20933" t="s">
        <v>24</v>
      </c>
      <c r="B20933" t="s">
        <v>6363</v>
      </c>
      <c r="C20933" t="str">
        <f>"A0096014"</f>
        <v>A0096014</v>
      </c>
      <c r="D20933" t="s">
        <v>69045</v>
      </c>
      <c r="E20933" t="s">
        <v>69046</v>
      </c>
      <c r="F20933" t="s">
        <v>9846</v>
      </c>
      <c r="G20933" t="s">
        <v>880</v>
      </c>
      <c r="H20933">
        <v>37024</v>
      </c>
      <c r="I20933" t="s">
        <v>30</v>
      </c>
      <c r="J20933" t="s">
        <v>171</v>
      </c>
      <c r="K20933" t="s">
        <v>1331</v>
      </c>
      <c r="N20933" t="s">
        <v>69047</v>
      </c>
      <c r="O20933" t="s">
        <v>69048</v>
      </c>
      <c r="Q20933">
        <v>0</v>
      </c>
      <c r="R20933">
        <v>126</v>
      </c>
      <c r="S20933">
        <v>0</v>
      </c>
      <c r="T20933" t="s">
        <v>69049</v>
      </c>
    </row>
    <row r="20934" spans="1:20" customFormat="1" ht="15" x14ac:dyDescent="0.25">
      <c r="A20934" t="s">
        <v>24</v>
      </c>
      <c r="B20934" t="s">
        <v>2340</v>
      </c>
      <c r="C20934" t="str">
        <f>"A0088635"</f>
        <v>A0088635</v>
      </c>
      <c r="D20934" t="s">
        <v>69050</v>
      </c>
      <c r="E20934" t="s">
        <v>69051</v>
      </c>
      <c r="F20934" t="s">
        <v>1889</v>
      </c>
      <c r="G20934" t="s">
        <v>81</v>
      </c>
      <c r="H20934">
        <v>33129</v>
      </c>
      <c r="I20934" t="s">
        <v>30</v>
      </c>
      <c r="J20934" t="s">
        <v>171</v>
      </c>
      <c r="K20934" t="s">
        <v>1331</v>
      </c>
      <c r="N20934" t="s">
        <v>69052</v>
      </c>
      <c r="Q20934">
        <v>0</v>
      </c>
      <c r="R20934">
        <v>58</v>
      </c>
      <c r="S20934">
        <v>0</v>
      </c>
      <c r="T20934" t="s">
        <v>69053</v>
      </c>
    </row>
    <row r="20935" spans="1:20" customFormat="1" ht="15" x14ac:dyDescent="0.25">
      <c r="A20935" t="s">
        <v>24</v>
      </c>
      <c r="B20935" t="s">
        <v>5104</v>
      </c>
      <c r="C20935" t="str">
        <f>"88DT003"</f>
        <v>88DT003</v>
      </c>
      <c r="D20935" t="s">
        <v>69054</v>
      </c>
      <c r="E20935" t="s">
        <v>69055</v>
      </c>
      <c r="F20935" t="s">
        <v>845</v>
      </c>
      <c r="G20935" t="s">
        <v>846</v>
      </c>
      <c r="H20935">
        <v>30326</v>
      </c>
      <c r="I20935" t="s">
        <v>30</v>
      </c>
      <c r="J20935" t="s">
        <v>171</v>
      </c>
      <c r="K20935" t="s">
        <v>1331</v>
      </c>
      <c r="Q20935">
        <v>0</v>
      </c>
      <c r="R20935">
        <v>236</v>
      </c>
      <c r="S20935">
        <v>0</v>
      </c>
      <c r="T20935" t="s">
        <v>69056</v>
      </c>
    </row>
    <row r="20936" spans="1:20" customFormat="1" ht="15" x14ac:dyDescent="0.25">
      <c r="A20936" t="s">
        <v>24</v>
      </c>
      <c r="B20936" t="s">
        <v>6976</v>
      </c>
      <c r="C20936" t="str">
        <f>"A0095728"</f>
        <v>A0095728</v>
      </c>
      <c r="D20936" t="s">
        <v>69057</v>
      </c>
      <c r="E20936" t="s">
        <v>69058</v>
      </c>
      <c r="F20936" t="s">
        <v>54075</v>
      </c>
      <c r="G20936" t="s">
        <v>99</v>
      </c>
      <c r="H20936">
        <v>14203</v>
      </c>
      <c r="I20936" t="s">
        <v>30</v>
      </c>
      <c r="J20936" t="s">
        <v>171</v>
      </c>
      <c r="K20936" t="s">
        <v>1331</v>
      </c>
      <c r="N20936" t="s">
        <v>69059</v>
      </c>
      <c r="O20936" t="s">
        <v>69060</v>
      </c>
      <c r="Q20936">
        <v>0</v>
      </c>
      <c r="R20936">
        <v>124</v>
      </c>
      <c r="S20936">
        <v>0</v>
      </c>
      <c r="T20936" t="s">
        <v>69061</v>
      </c>
    </row>
    <row r="20937" spans="1:20" customFormat="1" ht="15" x14ac:dyDescent="0.25">
      <c r="A20937" t="s">
        <v>24</v>
      </c>
      <c r="B20937" t="s">
        <v>2221</v>
      </c>
      <c r="C20937" t="str">
        <f>"A0056656"</f>
        <v>A0056656</v>
      </c>
      <c r="D20937" t="s">
        <v>69062</v>
      </c>
      <c r="E20937" t="s">
        <v>69063</v>
      </c>
      <c r="F20937" t="s">
        <v>2531</v>
      </c>
      <c r="G20937" t="s">
        <v>123</v>
      </c>
      <c r="H20937">
        <v>21090</v>
      </c>
      <c r="I20937" t="s">
        <v>30</v>
      </c>
      <c r="J20937" t="s">
        <v>171</v>
      </c>
      <c r="K20937" t="s">
        <v>1331</v>
      </c>
      <c r="N20937" t="s">
        <v>69064</v>
      </c>
      <c r="O20937" t="s">
        <v>69065</v>
      </c>
      <c r="Q20937">
        <v>0</v>
      </c>
      <c r="R20937">
        <v>158</v>
      </c>
      <c r="S20937">
        <v>0</v>
      </c>
      <c r="T20937" t="s">
        <v>69066</v>
      </c>
    </row>
    <row r="20938" spans="1:20" customFormat="1" ht="15" x14ac:dyDescent="0.25">
      <c r="A20938" t="s">
        <v>24</v>
      </c>
      <c r="B20938" t="s">
        <v>814</v>
      </c>
      <c r="C20938" t="str">
        <f>"A0056814"</f>
        <v>A0056814</v>
      </c>
      <c r="D20938" t="s">
        <v>69067</v>
      </c>
      <c r="E20938" t="s">
        <v>69068</v>
      </c>
      <c r="F20938" t="s">
        <v>11003</v>
      </c>
      <c r="G20938" t="s">
        <v>110</v>
      </c>
      <c r="H20938">
        <v>92009</v>
      </c>
      <c r="I20938" t="s">
        <v>30</v>
      </c>
      <c r="J20938" t="s">
        <v>171</v>
      </c>
      <c r="K20938" t="s">
        <v>1331</v>
      </c>
      <c r="N20938" t="s">
        <v>69069</v>
      </c>
      <c r="Q20938">
        <v>0</v>
      </c>
      <c r="R20938">
        <v>161</v>
      </c>
      <c r="S20938">
        <v>0</v>
      </c>
      <c r="T20938" t="s">
        <v>69070</v>
      </c>
    </row>
    <row r="20939" spans="1:20" customFormat="1" ht="15" x14ac:dyDescent="0.25">
      <c r="A20939" t="s">
        <v>24</v>
      </c>
      <c r="B20939" t="s">
        <v>1138</v>
      </c>
      <c r="C20939" t="str">
        <f>"A0153144"</f>
        <v>A0153144</v>
      </c>
      <c r="D20939" t="s">
        <v>69071</v>
      </c>
      <c r="E20939" t="s">
        <v>69072</v>
      </c>
      <c r="F20939" t="s">
        <v>372</v>
      </c>
      <c r="G20939" t="s">
        <v>52</v>
      </c>
      <c r="H20939">
        <v>78729</v>
      </c>
      <c r="I20939" t="s">
        <v>30</v>
      </c>
      <c r="J20939" t="s">
        <v>171</v>
      </c>
      <c r="K20939" t="s">
        <v>1331</v>
      </c>
      <c r="N20939" t="s">
        <v>69073</v>
      </c>
      <c r="Q20939">
        <v>0</v>
      </c>
      <c r="R20939">
        <v>109</v>
      </c>
      <c r="S20939">
        <v>0</v>
      </c>
      <c r="T20939" t="s">
        <v>69074</v>
      </c>
    </row>
    <row r="20940" spans="1:20" customFormat="1" ht="15" x14ac:dyDescent="0.25">
      <c r="A20940" t="s">
        <v>24</v>
      </c>
      <c r="B20940" t="s">
        <v>1561</v>
      </c>
      <c r="C20940" t="str">
        <f>"A0100856"</f>
        <v>A0100856</v>
      </c>
      <c r="D20940" t="s">
        <v>69075</v>
      </c>
      <c r="E20940" t="s">
        <v>69076</v>
      </c>
      <c r="F20940" t="s">
        <v>10373</v>
      </c>
      <c r="G20940" t="s">
        <v>289</v>
      </c>
      <c r="H20940">
        <v>61820</v>
      </c>
      <c r="I20940" t="s">
        <v>30</v>
      </c>
      <c r="J20940" t="s">
        <v>171</v>
      </c>
      <c r="K20940" t="s">
        <v>1331</v>
      </c>
      <c r="N20940" t="s">
        <v>69077</v>
      </c>
      <c r="Q20940">
        <v>0</v>
      </c>
      <c r="R20940">
        <v>99</v>
      </c>
      <c r="S20940">
        <v>0</v>
      </c>
      <c r="T20940" t="s">
        <v>69078</v>
      </c>
    </row>
    <row r="20941" spans="1:20" customFormat="1" ht="15" x14ac:dyDescent="0.25">
      <c r="A20941" t="s">
        <v>24</v>
      </c>
      <c r="B20941" t="s">
        <v>2836</v>
      </c>
      <c r="C20941" t="str">
        <f>"A0062856"</f>
        <v>A0062856</v>
      </c>
      <c r="D20941" t="s">
        <v>69079</v>
      </c>
      <c r="E20941" t="s">
        <v>69080</v>
      </c>
      <c r="F20941" t="s">
        <v>34402</v>
      </c>
      <c r="G20941" t="s">
        <v>58</v>
      </c>
      <c r="H20941">
        <v>29464</v>
      </c>
      <c r="I20941" t="s">
        <v>30</v>
      </c>
      <c r="J20941" t="s">
        <v>171</v>
      </c>
      <c r="K20941" t="s">
        <v>1331</v>
      </c>
      <c r="N20941" t="s">
        <v>69081</v>
      </c>
      <c r="Q20941">
        <v>0</v>
      </c>
      <c r="R20941">
        <v>133</v>
      </c>
      <c r="S20941">
        <v>0</v>
      </c>
      <c r="T20941" t="s">
        <v>69082</v>
      </c>
    </row>
    <row r="20942" spans="1:20" customFormat="1" ht="15" x14ac:dyDescent="0.25">
      <c r="A20942" t="s">
        <v>24</v>
      </c>
      <c r="B20942" t="s">
        <v>1323</v>
      </c>
      <c r="C20942" t="str">
        <f>"A0093387"</f>
        <v>A0093387</v>
      </c>
      <c r="D20942" t="s">
        <v>69083</v>
      </c>
      <c r="E20942" t="s">
        <v>69084</v>
      </c>
      <c r="F20942" t="s">
        <v>5369</v>
      </c>
      <c r="G20942" t="s">
        <v>58</v>
      </c>
      <c r="H20942">
        <v>29401</v>
      </c>
      <c r="I20942" t="s">
        <v>30</v>
      </c>
      <c r="J20942" t="s">
        <v>171</v>
      </c>
      <c r="K20942" t="s">
        <v>1331</v>
      </c>
      <c r="N20942" t="s">
        <v>69085</v>
      </c>
      <c r="O20942" t="s">
        <v>69086</v>
      </c>
      <c r="Q20942">
        <v>0</v>
      </c>
      <c r="R20942">
        <v>141</v>
      </c>
      <c r="S20942">
        <v>0</v>
      </c>
      <c r="T20942" t="s">
        <v>69087</v>
      </c>
    </row>
    <row r="20943" spans="1:20" customFormat="1" ht="15" x14ac:dyDescent="0.25">
      <c r="A20943" t="s">
        <v>24</v>
      </c>
      <c r="B20943" t="s">
        <v>6363</v>
      </c>
      <c r="C20943" t="str">
        <f>"A0097834"</f>
        <v>A0097834</v>
      </c>
      <c r="D20943" t="s">
        <v>69088</v>
      </c>
      <c r="E20943" t="s">
        <v>69089</v>
      </c>
      <c r="F20943" t="s">
        <v>242</v>
      </c>
      <c r="G20943" t="s">
        <v>214</v>
      </c>
      <c r="H20943">
        <v>28210</v>
      </c>
      <c r="I20943" t="s">
        <v>30</v>
      </c>
      <c r="J20943" t="s">
        <v>171</v>
      </c>
      <c r="K20943" t="s">
        <v>1331</v>
      </c>
      <c r="N20943" t="s">
        <v>69090</v>
      </c>
      <c r="O20943" t="s">
        <v>69091</v>
      </c>
      <c r="Q20943">
        <v>0</v>
      </c>
      <c r="R20943">
        <v>150</v>
      </c>
      <c r="S20943">
        <v>0</v>
      </c>
      <c r="T20943" t="s">
        <v>69092</v>
      </c>
    </row>
    <row r="20944" spans="1:20" customFormat="1" ht="15" x14ac:dyDescent="0.25">
      <c r="A20944" t="s">
        <v>24</v>
      </c>
      <c r="B20944" t="s">
        <v>16448</v>
      </c>
      <c r="C20944" t="str">
        <f>"A0092416"</f>
        <v>A0092416</v>
      </c>
      <c r="D20944" t="s">
        <v>69093</v>
      </c>
      <c r="E20944" t="s">
        <v>69094</v>
      </c>
      <c r="F20944" t="s">
        <v>242</v>
      </c>
      <c r="G20944" t="s">
        <v>214</v>
      </c>
      <c r="H20944">
        <v>28208</v>
      </c>
      <c r="I20944" t="s">
        <v>30</v>
      </c>
      <c r="J20944" t="s">
        <v>171</v>
      </c>
      <c r="K20944" t="s">
        <v>1331</v>
      </c>
      <c r="N20944" t="s">
        <v>69095</v>
      </c>
      <c r="Q20944">
        <v>0</v>
      </c>
      <c r="R20944">
        <v>117</v>
      </c>
      <c r="S20944">
        <v>0</v>
      </c>
      <c r="T20944" t="s">
        <v>69096</v>
      </c>
    </row>
    <row r="20945" spans="1:20" customFormat="1" ht="15" x14ac:dyDescent="0.25">
      <c r="A20945" t="s">
        <v>24</v>
      </c>
      <c r="B20945" t="s">
        <v>16448</v>
      </c>
      <c r="C20945" t="str">
        <f>"A0100078"</f>
        <v>A0100078</v>
      </c>
      <c r="D20945" t="s">
        <v>69097</v>
      </c>
      <c r="E20945" t="s">
        <v>69098</v>
      </c>
      <c r="F20945" t="s">
        <v>242</v>
      </c>
      <c r="G20945" t="s">
        <v>214</v>
      </c>
      <c r="H20945">
        <v>28277</v>
      </c>
      <c r="I20945" t="s">
        <v>30</v>
      </c>
      <c r="J20945" t="s">
        <v>171</v>
      </c>
      <c r="K20945" t="s">
        <v>1331</v>
      </c>
      <c r="N20945" t="s">
        <v>69099</v>
      </c>
      <c r="Q20945">
        <v>0</v>
      </c>
      <c r="R20945">
        <v>141</v>
      </c>
      <c r="S20945">
        <v>0</v>
      </c>
      <c r="T20945" t="s">
        <v>69100</v>
      </c>
    </row>
    <row r="20946" spans="1:20" customFormat="1" ht="15" x14ac:dyDescent="0.25">
      <c r="A20946" t="s">
        <v>24</v>
      </c>
      <c r="B20946" t="s">
        <v>9391</v>
      </c>
      <c r="C20946" t="str">
        <f>"A0095674"</f>
        <v>A0095674</v>
      </c>
      <c r="D20946" t="s">
        <v>69101</v>
      </c>
      <c r="E20946" t="s">
        <v>69102</v>
      </c>
      <c r="F20946" t="s">
        <v>1346</v>
      </c>
      <c r="G20946" t="s">
        <v>880</v>
      </c>
      <c r="H20946">
        <v>37402</v>
      </c>
      <c r="I20946" t="s">
        <v>30</v>
      </c>
      <c r="J20946" t="s">
        <v>171</v>
      </c>
      <c r="K20946" t="s">
        <v>1331</v>
      </c>
      <c r="N20946" t="s">
        <v>69103</v>
      </c>
      <c r="O20946" t="s">
        <v>69104</v>
      </c>
      <c r="Q20946">
        <v>0</v>
      </c>
      <c r="R20946">
        <v>94</v>
      </c>
      <c r="S20946">
        <v>0</v>
      </c>
      <c r="T20946" t="s">
        <v>69105</v>
      </c>
    </row>
    <row r="20947" spans="1:20" customFormat="1" ht="15" x14ac:dyDescent="0.25">
      <c r="A20947" t="s">
        <v>24</v>
      </c>
      <c r="B20947" t="s">
        <v>9391</v>
      </c>
      <c r="C20947" t="str">
        <f>"A0095675"</f>
        <v>A0095675</v>
      </c>
      <c r="D20947" t="s">
        <v>69106</v>
      </c>
      <c r="E20947" t="s">
        <v>69107</v>
      </c>
      <c r="F20947" t="s">
        <v>1346</v>
      </c>
      <c r="G20947" t="s">
        <v>880</v>
      </c>
      <c r="H20947">
        <v>37421</v>
      </c>
      <c r="I20947" t="s">
        <v>30</v>
      </c>
      <c r="J20947" t="s">
        <v>171</v>
      </c>
      <c r="K20947" t="s">
        <v>1331</v>
      </c>
      <c r="N20947" t="s">
        <v>63496</v>
      </c>
      <c r="O20947" t="s">
        <v>63169</v>
      </c>
      <c r="Q20947">
        <v>0</v>
      </c>
      <c r="R20947">
        <v>112</v>
      </c>
      <c r="S20947">
        <v>0</v>
      </c>
      <c r="T20947" t="s">
        <v>69108</v>
      </c>
    </row>
    <row r="20948" spans="1:20" customFormat="1" ht="15" x14ac:dyDescent="0.25">
      <c r="A20948" t="s">
        <v>24</v>
      </c>
      <c r="B20948" t="s">
        <v>57575</v>
      </c>
      <c r="C20948" t="str">
        <f>"A0094543"</f>
        <v>A0094543</v>
      </c>
      <c r="D20948" t="s">
        <v>69109</v>
      </c>
      <c r="E20948" t="s">
        <v>69110</v>
      </c>
      <c r="F20948" t="s">
        <v>61963</v>
      </c>
      <c r="G20948" t="s">
        <v>29</v>
      </c>
      <c r="H20948">
        <v>23435</v>
      </c>
      <c r="I20948" t="s">
        <v>30</v>
      </c>
      <c r="J20948" t="s">
        <v>171</v>
      </c>
      <c r="K20948" t="s">
        <v>1331</v>
      </c>
      <c r="N20948" t="s">
        <v>57579</v>
      </c>
      <c r="O20948" t="s">
        <v>69111</v>
      </c>
      <c r="Q20948">
        <v>0</v>
      </c>
      <c r="R20948">
        <v>135</v>
      </c>
      <c r="S20948">
        <v>0</v>
      </c>
      <c r="T20948" t="s">
        <v>69112</v>
      </c>
    </row>
    <row r="20949" spans="1:20" customFormat="1" ht="15" x14ac:dyDescent="0.25">
      <c r="A20949" t="s">
        <v>24</v>
      </c>
      <c r="B20949" t="s">
        <v>4400</v>
      </c>
      <c r="C20949" t="str">
        <f>"A0148762"</f>
        <v>A0148762</v>
      </c>
      <c r="D20949" t="s">
        <v>69113</v>
      </c>
      <c r="E20949" t="s">
        <v>69114</v>
      </c>
      <c r="F20949" t="s">
        <v>69115</v>
      </c>
      <c r="G20949" t="s">
        <v>381</v>
      </c>
      <c r="H20949">
        <v>46304</v>
      </c>
      <c r="I20949" t="s">
        <v>30</v>
      </c>
      <c r="J20949" t="s">
        <v>171</v>
      </c>
      <c r="K20949" t="s">
        <v>1331</v>
      </c>
      <c r="N20949" t="s">
        <v>69116</v>
      </c>
      <c r="Q20949">
        <v>0</v>
      </c>
      <c r="R20949">
        <v>120</v>
      </c>
      <c r="S20949">
        <v>0</v>
      </c>
      <c r="T20949" t="s">
        <v>69117</v>
      </c>
    </row>
    <row r="20950" spans="1:20" customFormat="1" ht="15" x14ac:dyDescent="0.25">
      <c r="A20950" t="s">
        <v>24</v>
      </c>
      <c r="B20950" t="s">
        <v>2955</v>
      </c>
      <c r="C20950" t="str">
        <f>"A0075636"</f>
        <v>A0075636</v>
      </c>
      <c r="D20950" t="s">
        <v>69118</v>
      </c>
      <c r="E20950" t="s">
        <v>69119</v>
      </c>
      <c r="F20950" t="s">
        <v>716</v>
      </c>
      <c r="G20950" t="s">
        <v>289</v>
      </c>
      <c r="H20950">
        <v>60611</v>
      </c>
      <c r="I20950" t="s">
        <v>30</v>
      </c>
      <c r="J20950" t="s">
        <v>171</v>
      </c>
      <c r="K20950" t="s">
        <v>1331</v>
      </c>
      <c r="N20950" t="s">
        <v>63954</v>
      </c>
      <c r="O20950" t="s">
        <v>63955</v>
      </c>
      <c r="Q20950">
        <v>0</v>
      </c>
      <c r="R20950">
        <v>357</v>
      </c>
      <c r="S20950">
        <v>0</v>
      </c>
      <c r="T20950" t="s">
        <v>69120</v>
      </c>
    </row>
    <row r="20951" spans="1:20" customFormat="1" ht="15" x14ac:dyDescent="0.25">
      <c r="A20951" t="s">
        <v>24</v>
      </c>
      <c r="B20951" t="s">
        <v>2583</v>
      </c>
      <c r="C20951" t="str">
        <f>"A0101216"</f>
        <v>A0101216</v>
      </c>
      <c r="D20951" t="s">
        <v>69121</v>
      </c>
      <c r="E20951" t="s">
        <v>69122</v>
      </c>
      <c r="F20951" t="s">
        <v>716</v>
      </c>
      <c r="G20951" t="s">
        <v>289</v>
      </c>
      <c r="H20951">
        <v>60616</v>
      </c>
      <c r="I20951" t="s">
        <v>30</v>
      </c>
      <c r="J20951" t="s">
        <v>171</v>
      </c>
      <c r="K20951" t="s">
        <v>1331</v>
      </c>
      <c r="N20951" t="s">
        <v>67962</v>
      </c>
      <c r="O20951" t="s">
        <v>67963</v>
      </c>
      <c r="Q20951">
        <v>0</v>
      </c>
      <c r="R20951">
        <v>184</v>
      </c>
      <c r="S20951">
        <v>0</v>
      </c>
      <c r="T20951" t="s">
        <v>67964</v>
      </c>
    </row>
    <row r="20952" spans="1:20" customFormat="1" ht="15" x14ac:dyDescent="0.25">
      <c r="A20952" t="s">
        <v>24</v>
      </c>
      <c r="B20952" t="s">
        <v>3343</v>
      </c>
      <c r="C20952" t="str">
        <f>"A0100539"</f>
        <v>A0100539</v>
      </c>
      <c r="D20952" t="s">
        <v>69123</v>
      </c>
      <c r="E20952" t="s">
        <v>69124</v>
      </c>
      <c r="F20952" t="s">
        <v>59419</v>
      </c>
      <c r="G20952" t="s">
        <v>289</v>
      </c>
      <c r="H20952">
        <v>60487</v>
      </c>
      <c r="I20952" t="s">
        <v>30</v>
      </c>
      <c r="J20952" t="s">
        <v>171</v>
      </c>
      <c r="K20952" t="s">
        <v>1331</v>
      </c>
      <c r="N20952" t="s">
        <v>69125</v>
      </c>
      <c r="Q20952">
        <v>0</v>
      </c>
      <c r="R20952">
        <v>117</v>
      </c>
      <c r="S20952">
        <v>0</v>
      </c>
      <c r="T20952" t="s">
        <v>69126</v>
      </c>
    </row>
    <row r="20953" spans="1:20" customFormat="1" ht="15" x14ac:dyDescent="0.25">
      <c r="A20953" t="s">
        <v>24</v>
      </c>
      <c r="B20953" t="s">
        <v>6915</v>
      </c>
      <c r="C20953" t="str">
        <f>"A0145403"</f>
        <v>A0145403</v>
      </c>
      <c r="D20953" t="s">
        <v>69127</v>
      </c>
      <c r="E20953" t="s">
        <v>69128</v>
      </c>
      <c r="F20953" t="s">
        <v>13716</v>
      </c>
      <c r="G20953" t="s">
        <v>65</v>
      </c>
      <c r="H20953">
        <v>45207</v>
      </c>
      <c r="I20953" t="s">
        <v>30</v>
      </c>
      <c r="J20953" t="s">
        <v>171</v>
      </c>
      <c r="K20953" t="s">
        <v>1331</v>
      </c>
      <c r="N20953" t="s">
        <v>69129</v>
      </c>
      <c r="O20953" t="s">
        <v>69130</v>
      </c>
      <c r="Q20953">
        <v>0</v>
      </c>
      <c r="R20953">
        <v>120</v>
      </c>
      <c r="S20953">
        <v>0</v>
      </c>
      <c r="T20953" t="s">
        <v>69131</v>
      </c>
    </row>
    <row r="20954" spans="1:20" customFormat="1" ht="15" x14ac:dyDescent="0.25">
      <c r="A20954" t="s">
        <v>24</v>
      </c>
      <c r="B20954" t="s">
        <v>1561</v>
      </c>
      <c r="C20954" t="str">
        <f>"A0100859"</f>
        <v>A0100859</v>
      </c>
      <c r="D20954" t="s">
        <v>69132</v>
      </c>
      <c r="E20954" t="s">
        <v>69133</v>
      </c>
      <c r="F20954" t="s">
        <v>69134</v>
      </c>
      <c r="G20954" t="s">
        <v>65</v>
      </c>
      <c r="H20954">
        <v>45140</v>
      </c>
      <c r="I20954" t="s">
        <v>30</v>
      </c>
      <c r="J20954" t="s">
        <v>171</v>
      </c>
      <c r="K20954" t="s">
        <v>1331</v>
      </c>
      <c r="N20954" t="s">
        <v>69135</v>
      </c>
      <c r="O20954" t="s">
        <v>69136</v>
      </c>
      <c r="Q20954">
        <v>0</v>
      </c>
      <c r="R20954">
        <v>84</v>
      </c>
      <c r="S20954">
        <v>0</v>
      </c>
      <c r="T20954" t="s">
        <v>69137</v>
      </c>
    </row>
    <row r="20955" spans="1:20" customFormat="1" ht="15" x14ac:dyDescent="0.25">
      <c r="A20955" t="s">
        <v>24</v>
      </c>
      <c r="B20955" t="s">
        <v>64821</v>
      </c>
      <c r="C20955" t="str">
        <f>"A0095455"</f>
        <v>A0095455</v>
      </c>
      <c r="D20955" t="s">
        <v>69138</v>
      </c>
      <c r="E20955" t="s">
        <v>69139</v>
      </c>
      <c r="F20955" t="s">
        <v>6883</v>
      </c>
      <c r="G20955" t="s">
        <v>65</v>
      </c>
      <c r="H20955">
        <v>44135</v>
      </c>
      <c r="I20955" t="s">
        <v>30</v>
      </c>
      <c r="J20955" t="s">
        <v>171</v>
      </c>
      <c r="K20955" t="s">
        <v>1331</v>
      </c>
      <c r="N20955" t="s">
        <v>69140</v>
      </c>
      <c r="Q20955">
        <v>0</v>
      </c>
      <c r="R20955">
        <v>168</v>
      </c>
      <c r="S20955">
        <v>0</v>
      </c>
      <c r="T20955" t="s">
        <v>69141</v>
      </c>
    </row>
    <row r="20956" spans="1:20" customFormat="1" ht="15" x14ac:dyDescent="0.25">
      <c r="A20956" t="s">
        <v>24</v>
      </c>
      <c r="B20956" t="s">
        <v>1561</v>
      </c>
      <c r="C20956" t="str">
        <f>"A0148736"</f>
        <v>A0148736</v>
      </c>
      <c r="D20956" t="s">
        <v>69142</v>
      </c>
      <c r="E20956" t="s">
        <v>69143</v>
      </c>
      <c r="F20956" t="s">
        <v>6883</v>
      </c>
      <c r="G20956" t="s">
        <v>65</v>
      </c>
      <c r="H20956">
        <v>44115</v>
      </c>
      <c r="I20956" t="s">
        <v>30</v>
      </c>
      <c r="J20956" t="s">
        <v>171</v>
      </c>
      <c r="K20956" t="s">
        <v>1331</v>
      </c>
      <c r="N20956" t="s">
        <v>69144</v>
      </c>
      <c r="O20956" t="s">
        <v>69145</v>
      </c>
      <c r="Q20956">
        <v>0</v>
      </c>
      <c r="R20956">
        <v>240</v>
      </c>
      <c r="S20956">
        <v>0</v>
      </c>
      <c r="T20956" t="s">
        <v>69146</v>
      </c>
    </row>
    <row r="20957" spans="1:20" customFormat="1" ht="15" x14ac:dyDescent="0.25">
      <c r="A20957" t="s">
        <v>24</v>
      </c>
      <c r="B20957" t="s">
        <v>5357</v>
      </c>
      <c r="C20957" t="str">
        <f>"A0095094"</f>
        <v>A0095094</v>
      </c>
      <c r="D20957" t="s">
        <v>69147</v>
      </c>
      <c r="E20957" t="s">
        <v>69148</v>
      </c>
      <c r="F20957" t="s">
        <v>64761</v>
      </c>
      <c r="G20957" t="s">
        <v>110</v>
      </c>
      <c r="H20957">
        <v>93612</v>
      </c>
      <c r="I20957" t="s">
        <v>30</v>
      </c>
      <c r="J20957" t="s">
        <v>171</v>
      </c>
      <c r="K20957" t="s">
        <v>1331</v>
      </c>
      <c r="N20957" t="s">
        <v>69149</v>
      </c>
      <c r="O20957" t="s">
        <v>69150</v>
      </c>
      <c r="Q20957">
        <v>0</v>
      </c>
      <c r="R20957">
        <v>99</v>
      </c>
      <c r="S20957">
        <v>0</v>
      </c>
      <c r="T20957" t="s">
        <v>69151</v>
      </c>
    </row>
    <row r="20958" spans="1:20" customFormat="1" ht="15" x14ac:dyDescent="0.25">
      <c r="A20958" t="s">
        <v>24</v>
      </c>
      <c r="B20958" t="s">
        <v>3159</v>
      </c>
      <c r="C20958" t="str">
        <f>"A0091158"</f>
        <v>A0091158</v>
      </c>
      <c r="D20958" t="s">
        <v>69152</v>
      </c>
      <c r="E20958" t="s">
        <v>69153</v>
      </c>
      <c r="F20958" t="s">
        <v>4909</v>
      </c>
      <c r="G20958" t="s">
        <v>58</v>
      </c>
      <c r="H20958">
        <v>29212</v>
      </c>
      <c r="I20958" t="s">
        <v>30</v>
      </c>
      <c r="J20958" t="s">
        <v>171</v>
      </c>
      <c r="K20958" t="s">
        <v>1331</v>
      </c>
      <c r="N20958" t="s">
        <v>69154</v>
      </c>
      <c r="O20958" t="s">
        <v>69155</v>
      </c>
      <c r="Q20958">
        <v>0</v>
      </c>
      <c r="R20958">
        <v>143</v>
      </c>
      <c r="S20958">
        <v>0</v>
      </c>
      <c r="T20958" t="s">
        <v>69156</v>
      </c>
    </row>
    <row r="20959" spans="1:20" customFormat="1" ht="15" x14ac:dyDescent="0.25">
      <c r="A20959" t="s">
        <v>24</v>
      </c>
      <c r="B20959" t="s">
        <v>34033</v>
      </c>
      <c r="C20959" t="str">
        <f>"A0072890"</f>
        <v>A0072890</v>
      </c>
      <c r="D20959" t="s">
        <v>69157</v>
      </c>
      <c r="E20959" t="s">
        <v>69158</v>
      </c>
      <c r="F20959" t="s">
        <v>1525</v>
      </c>
      <c r="G20959" t="s">
        <v>846</v>
      </c>
      <c r="H20959">
        <v>31904</v>
      </c>
      <c r="I20959" t="s">
        <v>30</v>
      </c>
      <c r="J20959" t="s">
        <v>171</v>
      </c>
      <c r="K20959" t="s">
        <v>1331</v>
      </c>
      <c r="N20959" t="s">
        <v>69159</v>
      </c>
      <c r="O20959" t="s">
        <v>69160</v>
      </c>
      <c r="Q20959">
        <v>0</v>
      </c>
      <c r="R20959">
        <v>120</v>
      </c>
      <c r="S20959">
        <v>0</v>
      </c>
      <c r="T20959" t="s">
        <v>69161</v>
      </c>
    </row>
    <row r="20960" spans="1:20" customFormat="1" ht="15" x14ac:dyDescent="0.25">
      <c r="A20960" t="s">
        <v>24</v>
      </c>
      <c r="B20960" t="s">
        <v>1561</v>
      </c>
      <c r="C20960" t="str">
        <f>"A0057511"</f>
        <v>A0057511</v>
      </c>
      <c r="D20960" t="s">
        <v>69162</v>
      </c>
      <c r="E20960" t="s">
        <v>69163</v>
      </c>
      <c r="F20960" t="s">
        <v>8225</v>
      </c>
      <c r="G20960" t="s">
        <v>65</v>
      </c>
      <c r="H20960">
        <v>43017</v>
      </c>
      <c r="I20960" t="s">
        <v>30</v>
      </c>
      <c r="J20960" t="s">
        <v>171</v>
      </c>
      <c r="K20960" t="s">
        <v>1331</v>
      </c>
      <c r="N20960" t="s">
        <v>69164</v>
      </c>
      <c r="O20960" t="s">
        <v>69165</v>
      </c>
      <c r="Q20960">
        <v>0</v>
      </c>
      <c r="R20960">
        <v>100</v>
      </c>
      <c r="S20960">
        <v>0</v>
      </c>
      <c r="T20960" t="s">
        <v>69166</v>
      </c>
    </row>
    <row r="20961" spans="1:20" customFormat="1" ht="15" x14ac:dyDescent="0.25">
      <c r="A20961" t="s">
        <v>24</v>
      </c>
      <c r="B20961" t="s">
        <v>1473</v>
      </c>
      <c r="C20961" t="str">
        <f>"A0090386"</f>
        <v>A0090386</v>
      </c>
      <c r="D20961" t="s">
        <v>69167</v>
      </c>
      <c r="E20961" t="s">
        <v>69168</v>
      </c>
      <c r="F20961" t="s">
        <v>56789</v>
      </c>
      <c r="G20961" t="s">
        <v>65</v>
      </c>
      <c r="H20961">
        <v>43123</v>
      </c>
      <c r="I20961" t="s">
        <v>30</v>
      </c>
      <c r="J20961" t="s">
        <v>171</v>
      </c>
      <c r="K20961" t="s">
        <v>1331</v>
      </c>
      <c r="N20961" t="s">
        <v>69169</v>
      </c>
      <c r="Q20961">
        <v>0</v>
      </c>
      <c r="R20961">
        <v>87</v>
      </c>
      <c r="S20961">
        <v>0</v>
      </c>
      <c r="T20961" t="s">
        <v>69170</v>
      </c>
    </row>
    <row r="20962" spans="1:20" customFormat="1" ht="15" x14ac:dyDescent="0.25">
      <c r="A20962" t="s">
        <v>24</v>
      </c>
      <c r="B20962" t="s">
        <v>1092</v>
      </c>
      <c r="C20962" t="str">
        <f>"A0099103"</f>
        <v>A0099103</v>
      </c>
      <c r="D20962" t="s">
        <v>69171</v>
      </c>
      <c r="E20962" t="s">
        <v>69172</v>
      </c>
      <c r="F20962" t="s">
        <v>69173</v>
      </c>
      <c r="G20962" t="s">
        <v>99</v>
      </c>
      <c r="H20962">
        <v>14830</v>
      </c>
      <c r="I20962" t="s">
        <v>30</v>
      </c>
      <c r="J20962" t="s">
        <v>171</v>
      </c>
      <c r="K20962" t="s">
        <v>1331</v>
      </c>
      <c r="N20962" t="s">
        <v>69174</v>
      </c>
      <c r="O20962" t="s">
        <v>69175</v>
      </c>
      <c r="Q20962">
        <v>0</v>
      </c>
      <c r="R20962">
        <v>125</v>
      </c>
      <c r="S20962">
        <v>0</v>
      </c>
      <c r="T20962" t="s">
        <v>69176</v>
      </c>
    </row>
    <row r="20963" spans="1:20" customFormat="1" ht="15" x14ac:dyDescent="0.25">
      <c r="A20963" t="s">
        <v>24</v>
      </c>
      <c r="B20963" t="s">
        <v>1561</v>
      </c>
      <c r="C20963" t="str">
        <f>"A0084340"</f>
        <v>A0084340</v>
      </c>
      <c r="D20963" t="s">
        <v>69177</v>
      </c>
      <c r="E20963" t="s">
        <v>69178</v>
      </c>
      <c r="F20963" t="s">
        <v>23230</v>
      </c>
      <c r="G20963" t="s">
        <v>52</v>
      </c>
      <c r="H20963">
        <v>78412</v>
      </c>
      <c r="I20963" t="s">
        <v>30</v>
      </c>
      <c r="J20963" t="s">
        <v>171</v>
      </c>
      <c r="K20963" t="s">
        <v>1331</v>
      </c>
      <c r="N20963" t="s">
        <v>69179</v>
      </c>
      <c r="Q20963">
        <v>0</v>
      </c>
      <c r="R20963">
        <v>119</v>
      </c>
      <c r="S20963">
        <v>0</v>
      </c>
      <c r="T20963" t="s">
        <v>69180</v>
      </c>
    </row>
    <row r="20964" spans="1:20" customFormat="1" ht="15" x14ac:dyDescent="0.25">
      <c r="A20964" t="s">
        <v>24</v>
      </c>
      <c r="B20964" t="s">
        <v>1317</v>
      </c>
      <c r="C20964" t="str">
        <f>"A0085005"</f>
        <v>A0085005</v>
      </c>
      <c r="D20964" t="s">
        <v>69181</v>
      </c>
      <c r="E20964" t="s">
        <v>69182</v>
      </c>
      <c r="F20964" t="s">
        <v>28744</v>
      </c>
      <c r="G20964" t="s">
        <v>110</v>
      </c>
      <c r="H20964">
        <v>95014</v>
      </c>
      <c r="I20964" t="s">
        <v>30</v>
      </c>
      <c r="J20964" t="s">
        <v>171</v>
      </c>
      <c r="K20964" t="s">
        <v>1331</v>
      </c>
      <c r="N20964" t="s">
        <v>69183</v>
      </c>
      <c r="Q20964">
        <v>0</v>
      </c>
      <c r="R20964">
        <v>163</v>
      </c>
      <c r="S20964">
        <v>0</v>
      </c>
      <c r="T20964" t="s">
        <v>69184</v>
      </c>
    </row>
    <row r="20965" spans="1:20" customFormat="1" ht="15" x14ac:dyDescent="0.25">
      <c r="A20965" t="s">
        <v>24</v>
      </c>
      <c r="B20965" t="s">
        <v>8787</v>
      </c>
      <c r="C20965" t="str">
        <f>"A0157398"</f>
        <v>A0157398</v>
      </c>
      <c r="D20965" t="s">
        <v>69185</v>
      </c>
      <c r="E20965" t="s">
        <v>69186</v>
      </c>
      <c r="F20965" t="s">
        <v>11661</v>
      </c>
      <c r="G20965" t="s">
        <v>52</v>
      </c>
      <c r="H20965">
        <v>75020</v>
      </c>
      <c r="I20965" t="s">
        <v>30</v>
      </c>
      <c r="J20965" t="s">
        <v>171</v>
      </c>
      <c r="K20965" t="s">
        <v>1331</v>
      </c>
      <c r="N20965" t="s">
        <v>69187</v>
      </c>
      <c r="O20965" t="s">
        <v>69188</v>
      </c>
      <c r="Q20965">
        <v>0</v>
      </c>
      <c r="R20965">
        <v>130</v>
      </c>
      <c r="S20965">
        <v>0</v>
      </c>
      <c r="T20965" t="s">
        <v>69189</v>
      </c>
    </row>
    <row r="20966" spans="1:20" customFormat="1" ht="15" x14ac:dyDescent="0.25">
      <c r="A20966" t="s">
        <v>24</v>
      </c>
      <c r="B20966" t="s">
        <v>1561</v>
      </c>
      <c r="C20966" t="str">
        <f>"A0058283"</f>
        <v>A0058283</v>
      </c>
      <c r="D20966" t="s">
        <v>69190</v>
      </c>
      <c r="E20966" t="s">
        <v>69191</v>
      </c>
      <c r="F20966" t="s">
        <v>14560</v>
      </c>
      <c r="G20966" t="s">
        <v>190</v>
      </c>
      <c r="H20966">
        <v>80112</v>
      </c>
      <c r="I20966" t="s">
        <v>30</v>
      </c>
      <c r="J20966" t="s">
        <v>171</v>
      </c>
      <c r="K20966" t="s">
        <v>1331</v>
      </c>
      <c r="N20966" t="s">
        <v>69192</v>
      </c>
      <c r="O20966" t="s">
        <v>69193</v>
      </c>
      <c r="Q20966">
        <v>0</v>
      </c>
      <c r="R20966">
        <v>157</v>
      </c>
      <c r="S20966">
        <v>0</v>
      </c>
      <c r="T20966" t="s">
        <v>69194</v>
      </c>
    </row>
    <row r="20967" spans="1:20" customFormat="1" ht="15" x14ac:dyDescent="0.25">
      <c r="A20967" t="s">
        <v>24</v>
      </c>
      <c r="B20967" t="s">
        <v>814</v>
      </c>
      <c r="C20967" t="str">
        <f>"A0145905"</f>
        <v>A0145905</v>
      </c>
      <c r="D20967" t="s">
        <v>69200</v>
      </c>
      <c r="E20967" t="s">
        <v>69201</v>
      </c>
      <c r="F20967" t="s">
        <v>972</v>
      </c>
      <c r="G20967" t="s">
        <v>190</v>
      </c>
      <c r="H20967">
        <v>80202</v>
      </c>
      <c r="I20967" t="s">
        <v>30</v>
      </c>
      <c r="J20967" t="s">
        <v>171</v>
      </c>
      <c r="K20967" t="s">
        <v>1331</v>
      </c>
      <c r="N20967" t="s">
        <v>69202</v>
      </c>
      <c r="O20967" t="s">
        <v>69203</v>
      </c>
      <c r="Q20967">
        <v>0</v>
      </c>
      <c r="R20967">
        <v>233</v>
      </c>
      <c r="S20967">
        <v>0</v>
      </c>
      <c r="T20967" t="s">
        <v>69204</v>
      </c>
    </row>
    <row r="20968" spans="1:20" customFormat="1" ht="15" x14ac:dyDescent="0.25">
      <c r="A20968" t="s">
        <v>24</v>
      </c>
      <c r="B20968" t="s">
        <v>1317</v>
      </c>
      <c r="C20968" t="str">
        <f>"A0154127"</f>
        <v>A0154127</v>
      </c>
      <c r="D20968" t="s">
        <v>69205</v>
      </c>
      <c r="E20968" t="s">
        <v>69206</v>
      </c>
      <c r="F20968" t="s">
        <v>66115</v>
      </c>
      <c r="G20968" t="s">
        <v>81</v>
      </c>
      <c r="H20968">
        <v>32550</v>
      </c>
      <c r="I20968" t="s">
        <v>30</v>
      </c>
      <c r="J20968" t="s">
        <v>171</v>
      </c>
      <c r="K20968" t="s">
        <v>1331</v>
      </c>
      <c r="N20968" t="s">
        <v>69207</v>
      </c>
      <c r="Q20968">
        <v>0</v>
      </c>
      <c r="R20968">
        <v>111</v>
      </c>
      <c r="S20968">
        <v>0</v>
      </c>
      <c r="T20968" t="s">
        <v>69208</v>
      </c>
    </row>
    <row r="20969" spans="1:20" customFormat="1" ht="15" x14ac:dyDescent="0.25">
      <c r="A20969" t="s">
        <v>24</v>
      </c>
      <c r="B20969" t="s">
        <v>33301</v>
      </c>
      <c r="C20969" t="str">
        <f>"A0086505"</f>
        <v>A0086505</v>
      </c>
      <c r="D20969" t="s">
        <v>69209</v>
      </c>
      <c r="E20969" t="s">
        <v>69210</v>
      </c>
      <c r="F20969" t="s">
        <v>2110</v>
      </c>
      <c r="G20969" t="s">
        <v>52</v>
      </c>
      <c r="H20969">
        <v>76051</v>
      </c>
      <c r="I20969" t="s">
        <v>30</v>
      </c>
      <c r="J20969" t="s">
        <v>171</v>
      </c>
      <c r="K20969" t="s">
        <v>1331</v>
      </c>
      <c r="N20969" t="s">
        <v>69211</v>
      </c>
      <c r="Q20969">
        <v>0</v>
      </c>
      <c r="R20969">
        <v>110</v>
      </c>
      <c r="S20969">
        <v>0</v>
      </c>
      <c r="T20969" t="s">
        <v>69212</v>
      </c>
    </row>
    <row r="20970" spans="1:20" customFormat="1" ht="15" x14ac:dyDescent="0.25">
      <c r="A20970" t="s">
        <v>24</v>
      </c>
      <c r="B20970" t="s">
        <v>60220</v>
      </c>
      <c r="C20970" t="str">
        <f>"A0095557"</f>
        <v>A0095557</v>
      </c>
      <c r="D20970" t="s">
        <v>69213</v>
      </c>
      <c r="E20970" t="s">
        <v>69214</v>
      </c>
      <c r="F20970" t="s">
        <v>4829</v>
      </c>
      <c r="G20970" t="s">
        <v>52</v>
      </c>
      <c r="H20970">
        <v>75061</v>
      </c>
      <c r="I20970" t="s">
        <v>30</v>
      </c>
      <c r="J20970" t="s">
        <v>171</v>
      </c>
      <c r="K20970" t="s">
        <v>1331</v>
      </c>
      <c r="N20970" t="s">
        <v>69215</v>
      </c>
      <c r="Q20970">
        <v>0</v>
      </c>
      <c r="R20970">
        <v>151</v>
      </c>
      <c r="S20970">
        <v>0</v>
      </c>
      <c r="T20970" t="s">
        <v>69216</v>
      </c>
    </row>
    <row r="20971" spans="1:20" customFormat="1" ht="15" x14ac:dyDescent="0.25">
      <c r="A20971" t="s">
        <v>24</v>
      </c>
      <c r="B20971" t="s">
        <v>11484</v>
      </c>
      <c r="C20971" t="str">
        <f>"A0100581"</f>
        <v>A0100581</v>
      </c>
      <c r="D20971" t="s">
        <v>69217</v>
      </c>
      <c r="E20971" t="s">
        <v>69218</v>
      </c>
      <c r="F20971" t="s">
        <v>2094</v>
      </c>
      <c r="G20971" t="s">
        <v>52</v>
      </c>
      <c r="H20971">
        <v>75201</v>
      </c>
      <c r="I20971" t="s">
        <v>30</v>
      </c>
      <c r="J20971" t="s">
        <v>171</v>
      </c>
      <c r="K20971" t="s">
        <v>1331</v>
      </c>
      <c r="N20971" t="s">
        <v>69219</v>
      </c>
      <c r="O20971" t="s">
        <v>69220</v>
      </c>
      <c r="Q20971">
        <v>0</v>
      </c>
      <c r="R20971">
        <v>171</v>
      </c>
      <c r="S20971">
        <v>0</v>
      </c>
      <c r="T20971" t="s">
        <v>69221</v>
      </c>
    </row>
    <row r="20972" spans="1:20" customFormat="1" ht="15" x14ac:dyDescent="0.25">
      <c r="A20972" t="s">
        <v>24</v>
      </c>
      <c r="B20972" t="s">
        <v>2583</v>
      </c>
      <c r="C20972" t="str">
        <f>"A0093818"</f>
        <v>A0093818</v>
      </c>
      <c r="D20972" t="s">
        <v>69222</v>
      </c>
      <c r="E20972" t="s">
        <v>69223</v>
      </c>
      <c r="F20972" t="s">
        <v>3466</v>
      </c>
      <c r="G20972" t="s">
        <v>840</v>
      </c>
      <c r="H20972">
        <v>40202</v>
      </c>
      <c r="I20972" t="s">
        <v>30</v>
      </c>
      <c r="J20972" t="s">
        <v>171</v>
      </c>
      <c r="K20972" t="s">
        <v>1331</v>
      </c>
      <c r="N20972" t="s">
        <v>69224</v>
      </c>
      <c r="O20972" t="s">
        <v>69225</v>
      </c>
      <c r="Q20972">
        <v>0</v>
      </c>
      <c r="R20972">
        <v>162</v>
      </c>
      <c r="S20972">
        <v>0</v>
      </c>
      <c r="T20972" t="s">
        <v>69226</v>
      </c>
    </row>
    <row r="20973" spans="1:20" customFormat="1" ht="15" x14ac:dyDescent="0.25">
      <c r="A20973" t="s">
        <v>24</v>
      </c>
      <c r="B20973" t="s">
        <v>33301</v>
      </c>
      <c r="C20973" t="str">
        <f>"A0095738"</f>
        <v>A0095738</v>
      </c>
      <c r="D20973" t="s">
        <v>69233</v>
      </c>
      <c r="E20973" t="s">
        <v>69234</v>
      </c>
      <c r="F20973" t="s">
        <v>2856</v>
      </c>
      <c r="G20973" t="s">
        <v>52</v>
      </c>
      <c r="H20973">
        <v>79915</v>
      </c>
      <c r="I20973" t="s">
        <v>30</v>
      </c>
      <c r="J20973" t="s">
        <v>171</v>
      </c>
      <c r="K20973" t="s">
        <v>1331</v>
      </c>
      <c r="N20973" t="s">
        <v>69235</v>
      </c>
      <c r="O20973" t="s">
        <v>69236</v>
      </c>
      <c r="Q20973">
        <v>0</v>
      </c>
      <c r="R20973">
        <v>145</v>
      </c>
      <c r="S20973">
        <v>0</v>
      </c>
      <c r="T20973" t="s">
        <v>69237</v>
      </c>
    </row>
    <row r="20974" spans="1:20" customFormat="1" ht="15" x14ac:dyDescent="0.25">
      <c r="A20974" t="s">
        <v>24</v>
      </c>
      <c r="B20974" t="s">
        <v>8405</v>
      </c>
      <c r="C20974" t="str">
        <f>"A0088017"</f>
        <v>A0088017</v>
      </c>
      <c r="D20974" t="s">
        <v>69238</v>
      </c>
      <c r="E20974" t="s">
        <v>69239</v>
      </c>
      <c r="F20974" t="s">
        <v>60397</v>
      </c>
      <c r="G20974" t="s">
        <v>381</v>
      </c>
      <c r="H20974">
        <v>46514</v>
      </c>
      <c r="I20974" t="s">
        <v>30</v>
      </c>
      <c r="J20974" t="s">
        <v>171</v>
      </c>
      <c r="K20974" t="s">
        <v>1331</v>
      </c>
      <c r="N20974" t="s">
        <v>69240</v>
      </c>
      <c r="Q20974">
        <v>0</v>
      </c>
      <c r="R20974">
        <v>85</v>
      </c>
      <c r="S20974">
        <v>0</v>
      </c>
      <c r="T20974" t="s">
        <v>69241</v>
      </c>
    </row>
    <row r="20975" spans="1:20" customFormat="1" ht="15" x14ac:dyDescent="0.25">
      <c r="A20975" t="s">
        <v>24</v>
      </c>
      <c r="B20975" t="s">
        <v>5104</v>
      </c>
      <c r="C20975" t="str">
        <f>"A0059787"</f>
        <v>A0059787</v>
      </c>
      <c r="D20975" t="s">
        <v>69247</v>
      </c>
      <c r="E20975" t="s">
        <v>69248</v>
      </c>
      <c r="F20975" t="s">
        <v>68101</v>
      </c>
      <c r="G20975" t="s">
        <v>289</v>
      </c>
      <c r="H20975">
        <v>60201</v>
      </c>
      <c r="I20975" t="s">
        <v>30</v>
      </c>
      <c r="J20975" t="s">
        <v>171</v>
      </c>
      <c r="K20975" t="s">
        <v>1331</v>
      </c>
      <c r="N20975" t="s">
        <v>69249</v>
      </c>
      <c r="Q20975">
        <v>0</v>
      </c>
      <c r="R20975">
        <v>178</v>
      </c>
      <c r="S20975">
        <v>0</v>
      </c>
      <c r="T20975" t="s">
        <v>69250</v>
      </c>
    </row>
    <row r="20976" spans="1:20" customFormat="1" ht="15" x14ac:dyDescent="0.25">
      <c r="A20976" t="s">
        <v>24</v>
      </c>
      <c r="B20976" t="s">
        <v>6976</v>
      </c>
      <c r="C20976" t="str">
        <f>"A0099019"</f>
        <v>A0099019</v>
      </c>
      <c r="D20976" t="s">
        <v>69251</v>
      </c>
      <c r="E20976" t="s">
        <v>69252</v>
      </c>
      <c r="F20976" t="s">
        <v>13829</v>
      </c>
      <c r="G20976" t="s">
        <v>381</v>
      </c>
      <c r="H20976">
        <v>47715</v>
      </c>
      <c r="I20976" t="s">
        <v>30</v>
      </c>
      <c r="J20976" t="s">
        <v>171</v>
      </c>
      <c r="K20976" t="s">
        <v>1331</v>
      </c>
      <c r="N20976" t="s">
        <v>69253</v>
      </c>
      <c r="O20976" t="s">
        <v>69254</v>
      </c>
      <c r="Q20976">
        <v>0</v>
      </c>
      <c r="R20976">
        <v>112</v>
      </c>
      <c r="S20976">
        <v>0</v>
      </c>
      <c r="T20976" t="s">
        <v>69255</v>
      </c>
    </row>
    <row r="20977" spans="1:20" customFormat="1" ht="15" x14ac:dyDescent="0.25">
      <c r="A20977" t="s">
        <v>24</v>
      </c>
      <c r="B20977" t="s">
        <v>5104</v>
      </c>
      <c r="C20977" t="str">
        <f>"A0098766"</f>
        <v>A0098766</v>
      </c>
      <c r="D20977" t="s">
        <v>69256</v>
      </c>
      <c r="E20977" t="s">
        <v>69257</v>
      </c>
      <c r="F20977" t="s">
        <v>997</v>
      </c>
      <c r="G20977" t="s">
        <v>99</v>
      </c>
      <c r="H20977">
        <v>10004</v>
      </c>
      <c r="I20977" t="s">
        <v>30</v>
      </c>
      <c r="J20977" t="s">
        <v>171</v>
      </c>
      <c r="K20977" t="s">
        <v>1331</v>
      </c>
      <c r="N20977" t="s">
        <v>69258</v>
      </c>
      <c r="Q20977">
        <v>0</v>
      </c>
      <c r="R20977">
        <v>150</v>
      </c>
      <c r="S20977">
        <v>0</v>
      </c>
      <c r="T20977" t="s">
        <v>69259</v>
      </c>
    </row>
    <row r="20978" spans="1:20" customFormat="1" ht="15" x14ac:dyDescent="0.25">
      <c r="A20978" t="s">
        <v>24</v>
      </c>
      <c r="B20978" t="s">
        <v>1548</v>
      </c>
      <c r="C20978" t="str">
        <f>"A0157222"</f>
        <v>A0157222</v>
      </c>
      <c r="D20978" t="s">
        <v>69260</v>
      </c>
      <c r="E20978" t="s">
        <v>69261</v>
      </c>
      <c r="F20978" t="s">
        <v>69262</v>
      </c>
      <c r="G20978" t="s">
        <v>117</v>
      </c>
      <c r="H20978">
        <v>48502</v>
      </c>
      <c r="I20978" t="s">
        <v>30</v>
      </c>
      <c r="J20978" t="s">
        <v>171</v>
      </c>
      <c r="K20978" t="s">
        <v>1331</v>
      </c>
      <c r="N20978" t="s">
        <v>69263</v>
      </c>
      <c r="O20978" t="s">
        <v>69264</v>
      </c>
      <c r="Q20978">
        <v>0</v>
      </c>
      <c r="R20978">
        <v>101</v>
      </c>
      <c r="S20978">
        <v>0</v>
      </c>
      <c r="T20978" t="s">
        <v>69265</v>
      </c>
    </row>
    <row r="20979" spans="1:20" customFormat="1" ht="15" x14ac:dyDescent="0.25">
      <c r="A20979" t="s">
        <v>24</v>
      </c>
      <c r="B20979" t="s">
        <v>2955</v>
      </c>
      <c r="C20979" t="str">
        <f>"A0084532"</f>
        <v>A0084532</v>
      </c>
      <c r="D20979" t="s">
        <v>69266</v>
      </c>
      <c r="E20979" t="s">
        <v>69267</v>
      </c>
      <c r="F20979" t="s">
        <v>60454</v>
      </c>
      <c r="G20979" t="s">
        <v>190</v>
      </c>
      <c r="H20979">
        <v>80528</v>
      </c>
      <c r="I20979" t="s">
        <v>30</v>
      </c>
      <c r="J20979" t="s">
        <v>171</v>
      </c>
      <c r="K20979" t="s">
        <v>1331</v>
      </c>
      <c r="N20979" t="s">
        <v>69268</v>
      </c>
      <c r="Q20979">
        <v>0</v>
      </c>
      <c r="R20979">
        <v>120</v>
      </c>
      <c r="S20979">
        <v>0</v>
      </c>
      <c r="T20979" t="s">
        <v>69269</v>
      </c>
    </row>
    <row r="20980" spans="1:20" customFormat="1" ht="15" x14ac:dyDescent="0.25">
      <c r="A20980" t="s">
        <v>24</v>
      </c>
      <c r="B20980" t="s">
        <v>762</v>
      </c>
      <c r="C20980" t="str">
        <f>"A0099446"</f>
        <v>A0099446</v>
      </c>
      <c r="D20980" t="s">
        <v>69270</v>
      </c>
      <c r="E20980" t="s">
        <v>69271</v>
      </c>
      <c r="F20980" t="s">
        <v>3505</v>
      </c>
      <c r="G20980" t="s">
        <v>52</v>
      </c>
      <c r="H20980">
        <v>76177</v>
      </c>
      <c r="I20980" t="s">
        <v>30</v>
      </c>
      <c r="J20980" t="s">
        <v>171</v>
      </c>
      <c r="K20980" t="s">
        <v>1331</v>
      </c>
      <c r="N20980" t="s">
        <v>68843</v>
      </c>
      <c r="O20980" t="s">
        <v>69272</v>
      </c>
      <c r="Q20980">
        <v>0</v>
      </c>
      <c r="R20980">
        <v>127</v>
      </c>
      <c r="S20980">
        <v>0</v>
      </c>
      <c r="T20980" t="s">
        <v>69273</v>
      </c>
    </row>
    <row r="20981" spans="1:20" customFormat="1" ht="15" x14ac:dyDescent="0.25">
      <c r="A20981" t="s">
        <v>24</v>
      </c>
      <c r="B20981" t="s">
        <v>2387</v>
      </c>
      <c r="C20981" t="str">
        <f>"A0096467"</f>
        <v>A0096467</v>
      </c>
      <c r="D20981" t="s">
        <v>69274</v>
      </c>
      <c r="E20981" t="s">
        <v>69275</v>
      </c>
      <c r="F20981" t="s">
        <v>69276</v>
      </c>
      <c r="G20981" t="s">
        <v>899</v>
      </c>
      <c r="H20981">
        <v>2035</v>
      </c>
      <c r="I20981" t="s">
        <v>30</v>
      </c>
      <c r="J20981" t="s">
        <v>171</v>
      </c>
      <c r="K20981" t="s">
        <v>1331</v>
      </c>
      <c r="N20981" t="s">
        <v>69277</v>
      </c>
      <c r="Q20981">
        <v>0</v>
      </c>
      <c r="R20981">
        <v>136</v>
      </c>
      <c r="S20981">
        <v>0</v>
      </c>
      <c r="T20981" t="s">
        <v>69278</v>
      </c>
    </row>
    <row r="20982" spans="1:20" customFormat="1" ht="15" x14ac:dyDescent="0.25">
      <c r="A20982" t="s">
        <v>24</v>
      </c>
      <c r="B20982" t="s">
        <v>2528</v>
      </c>
      <c r="C20982" t="str">
        <f>"A0083785"</f>
        <v>A0083785</v>
      </c>
      <c r="D20982" t="s">
        <v>69279</v>
      </c>
      <c r="E20982" t="s">
        <v>69280</v>
      </c>
      <c r="F20982" t="s">
        <v>4094</v>
      </c>
      <c r="G20982" t="s">
        <v>29</v>
      </c>
      <c r="H20982">
        <v>22401</v>
      </c>
      <c r="I20982" t="s">
        <v>30</v>
      </c>
      <c r="J20982" t="s">
        <v>171</v>
      </c>
      <c r="K20982" t="s">
        <v>1331</v>
      </c>
      <c r="N20982" t="s">
        <v>69281</v>
      </c>
      <c r="Q20982">
        <v>0</v>
      </c>
      <c r="R20982">
        <v>148</v>
      </c>
      <c r="S20982">
        <v>0</v>
      </c>
      <c r="T20982" t="s">
        <v>69282</v>
      </c>
    </row>
    <row r="20983" spans="1:20" customFormat="1" ht="15" x14ac:dyDescent="0.25">
      <c r="A20983" t="s">
        <v>24</v>
      </c>
      <c r="B20983" t="s">
        <v>33301</v>
      </c>
      <c r="C20983" t="str">
        <f>"A0095651"</f>
        <v>A0095651</v>
      </c>
      <c r="D20983" t="s">
        <v>69283</v>
      </c>
      <c r="E20983" t="s">
        <v>69284</v>
      </c>
      <c r="F20983" t="s">
        <v>2083</v>
      </c>
      <c r="G20983" t="s">
        <v>52</v>
      </c>
      <c r="H20983">
        <v>75034</v>
      </c>
      <c r="I20983" t="s">
        <v>30</v>
      </c>
      <c r="J20983" t="s">
        <v>171</v>
      </c>
      <c r="K20983" t="s">
        <v>1331</v>
      </c>
      <c r="N20983" t="s">
        <v>69285</v>
      </c>
      <c r="Q20983">
        <v>0</v>
      </c>
      <c r="R20983">
        <v>102</v>
      </c>
      <c r="S20983">
        <v>0</v>
      </c>
      <c r="T20983" t="s">
        <v>69286</v>
      </c>
    </row>
    <row r="20984" spans="1:20" customFormat="1" ht="15" x14ac:dyDescent="0.25">
      <c r="A20984" t="s">
        <v>24</v>
      </c>
      <c r="B20984" t="s">
        <v>342</v>
      </c>
      <c r="C20984" t="str">
        <f>"A0083944"</f>
        <v>A0083944</v>
      </c>
      <c r="D20984" t="s">
        <v>69287</v>
      </c>
      <c r="E20984" t="s">
        <v>69288</v>
      </c>
      <c r="F20984" t="s">
        <v>6290</v>
      </c>
      <c r="G20984" t="s">
        <v>81</v>
      </c>
      <c r="H20984">
        <v>32608</v>
      </c>
      <c r="I20984" t="s">
        <v>30</v>
      </c>
      <c r="J20984" t="s">
        <v>171</v>
      </c>
      <c r="K20984" t="s">
        <v>1331</v>
      </c>
      <c r="N20984" t="s">
        <v>69289</v>
      </c>
      <c r="O20984" t="s">
        <v>69290</v>
      </c>
      <c r="Q20984">
        <v>0</v>
      </c>
      <c r="R20984">
        <v>104</v>
      </c>
      <c r="S20984">
        <v>0</v>
      </c>
      <c r="T20984" t="s">
        <v>69291</v>
      </c>
    </row>
    <row r="20985" spans="1:20" customFormat="1" ht="15" x14ac:dyDescent="0.25">
      <c r="A20985" t="s">
        <v>24</v>
      </c>
      <c r="B20985" t="s">
        <v>257</v>
      </c>
      <c r="C20985" t="str">
        <f>"A0095660"</f>
        <v>A0095660</v>
      </c>
      <c r="D20985" t="s">
        <v>69298</v>
      </c>
      <c r="E20985" t="s">
        <v>69299</v>
      </c>
      <c r="F20985" t="s">
        <v>56814</v>
      </c>
      <c r="G20985" t="s">
        <v>52</v>
      </c>
      <c r="H20985">
        <v>76048</v>
      </c>
      <c r="I20985" t="s">
        <v>30</v>
      </c>
      <c r="J20985" t="s">
        <v>171</v>
      </c>
      <c r="K20985" t="s">
        <v>1331</v>
      </c>
      <c r="N20985" t="s">
        <v>69300</v>
      </c>
      <c r="O20985" t="s">
        <v>69301</v>
      </c>
      <c r="Q20985">
        <v>0</v>
      </c>
      <c r="R20985">
        <v>106</v>
      </c>
      <c r="S20985">
        <v>0</v>
      </c>
      <c r="T20985" t="s">
        <v>69302</v>
      </c>
    </row>
    <row r="20986" spans="1:20" customFormat="1" ht="15" x14ac:dyDescent="0.25">
      <c r="A20986" t="s">
        <v>24</v>
      </c>
      <c r="B20986" t="s">
        <v>1561</v>
      </c>
      <c r="C20986" t="str">
        <f>"A0084639"</f>
        <v>A0084639</v>
      </c>
      <c r="D20986" t="s">
        <v>69303</v>
      </c>
      <c r="E20986" t="s">
        <v>69304</v>
      </c>
      <c r="F20986" t="s">
        <v>34770</v>
      </c>
      <c r="G20986" t="s">
        <v>29</v>
      </c>
      <c r="H20986">
        <v>23666</v>
      </c>
      <c r="I20986" t="s">
        <v>30</v>
      </c>
      <c r="J20986" t="s">
        <v>171</v>
      </c>
      <c r="K20986" t="s">
        <v>1331</v>
      </c>
      <c r="N20986" t="s">
        <v>69305</v>
      </c>
      <c r="Q20986">
        <v>0</v>
      </c>
      <c r="R20986">
        <v>149</v>
      </c>
      <c r="S20986">
        <v>0</v>
      </c>
      <c r="T20986" t="s">
        <v>69306</v>
      </c>
    </row>
    <row r="20987" spans="1:20" customFormat="1" ht="15" x14ac:dyDescent="0.25">
      <c r="A20987" t="s">
        <v>24</v>
      </c>
      <c r="B20987" t="s">
        <v>2387</v>
      </c>
      <c r="C20987" t="str">
        <f>"A0100123"</f>
        <v>A0100123</v>
      </c>
      <c r="D20987" t="s">
        <v>69307</v>
      </c>
      <c r="E20987" t="s">
        <v>69308</v>
      </c>
      <c r="F20987" t="s">
        <v>15731</v>
      </c>
      <c r="G20987" t="s">
        <v>1363</v>
      </c>
      <c r="H20987">
        <v>3766</v>
      </c>
      <c r="I20987" t="s">
        <v>30</v>
      </c>
      <c r="J20987" t="s">
        <v>171</v>
      </c>
      <c r="K20987" t="s">
        <v>1331</v>
      </c>
      <c r="N20987" t="s">
        <v>69309</v>
      </c>
      <c r="Q20987">
        <v>0</v>
      </c>
      <c r="R20987">
        <v>100</v>
      </c>
      <c r="S20987">
        <v>0</v>
      </c>
      <c r="T20987" t="s">
        <v>69310</v>
      </c>
    </row>
    <row r="20988" spans="1:20" customFormat="1" ht="15" x14ac:dyDescent="0.25">
      <c r="A20988" t="s">
        <v>24</v>
      </c>
      <c r="B20988" t="s">
        <v>1138</v>
      </c>
      <c r="C20988" t="str">
        <f>"A0095589"</f>
        <v>A0095589</v>
      </c>
      <c r="D20988" t="s">
        <v>69311</v>
      </c>
      <c r="E20988" t="s">
        <v>69312</v>
      </c>
      <c r="F20988" t="s">
        <v>33592</v>
      </c>
      <c r="G20988" t="s">
        <v>123</v>
      </c>
      <c r="H20988">
        <v>21076</v>
      </c>
      <c r="I20988" t="s">
        <v>30</v>
      </c>
      <c r="J20988" t="s">
        <v>171</v>
      </c>
      <c r="K20988" t="s">
        <v>1331</v>
      </c>
      <c r="N20988" t="s">
        <v>69313</v>
      </c>
      <c r="O20988" t="s">
        <v>69314</v>
      </c>
      <c r="Q20988">
        <v>0</v>
      </c>
      <c r="R20988">
        <v>250</v>
      </c>
      <c r="S20988">
        <v>0</v>
      </c>
      <c r="T20988" t="s">
        <v>69315</v>
      </c>
    </row>
    <row r="20989" spans="1:20" customFormat="1" ht="15" x14ac:dyDescent="0.25">
      <c r="A20989" t="s">
        <v>24</v>
      </c>
      <c r="B20989" t="s">
        <v>1020</v>
      </c>
      <c r="C20989" t="str">
        <f>"A0068226"</f>
        <v>A0068226</v>
      </c>
      <c r="D20989" t="s">
        <v>69316</v>
      </c>
      <c r="E20989" t="s">
        <v>69317</v>
      </c>
      <c r="F20989" t="s">
        <v>69318</v>
      </c>
      <c r="G20989" t="s">
        <v>103</v>
      </c>
      <c r="H20989">
        <v>17036</v>
      </c>
      <c r="I20989" t="s">
        <v>30</v>
      </c>
      <c r="J20989" t="s">
        <v>171</v>
      </c>
      <c r="K20989" t="s">
        <v>1331</v>
      </c>
      <c r="N20989" t="s">
        <v>69319</v>
      </c>
      <c r="O20989" t="s">
        <v>69320</v>
      </c>
      <c r="Q20989">
        <v>0</v>
      </c>
      <c r="R20989">
        <v>112</v>
      </c>
      <c r="S20989">
        <v>0</v>
      </c>
      <c r="T20989" t="s">
        <v>69321</v>
      </c>
    </row>
    <row r="20990" spans="1:20" customFormat="1" ht="15" x14ac:dyDescent="0.25">
      <c r="A20990" t="s">
        <v>24</v>
      </c>
      <c r="B20990" t="s">
        <v>13679</v>
      </c>
      <c r="C20990" t="str">
        <f>"A0083436"</f>
        <v>A0083436</v>
      </c>
      <c r="D20990" t="s">
        <v>69322</v>
      </c>
      <c r="E20990" t="s">
        <v>69323</v>
      </c>
      <c r="F20990" t="s">
        <v>16482</v>
      </c>
      <c r="G20990" t="s">
        <v>190</v>
      </c>
      <c r="H20990">
        <v>80126</v>
      </c>
      <c r="I20990" t="s">
        <v>30</v>
      </c>
      <c r="J20990" t="s">
        <v>171</v>
      </c>
      <c r="K20990" t="s">
        <v>1331</v>
      </c>
      <c r="N20990" t="s">
        <v>69324</v>
      </c>
      <c r="Q20990">
        <v>0</v>
      </c>
      <c r="R20990">
        <v>128</v>
      </c>
      <c r="S20990">
        <v>0</v>
      </c>
      <c r="T20990" t="s">
        <v>69325</v>
      </c>
    </row>
    <row r="20991" spans="1:20" customFormat="1" ht="15" x14ac:dyDescent="0.25">
      <c r="A20991" t="s">
        <v>24</v>
      </c>
      <c r="B20991" t="s">
        <v>342</v>
      </c>
      <c r="C20991" t="str">
        <f>"A0088226"</f>
        <v>A0088226</v>
      </c>
      <c r="D20991" t="s">
        <v>69326</v>
      </c>
      <c r="E20991" t="s">
        <v>69327</v>
      </c>
      <c r="F20991" t="s">
        <v>69328</v>
      </c>
      <c r="G20991" t="s">
        <v>58</v>
      </c>
      <c r="H20991">
        <v>29926</v>
      </c>
      <c r="I20991" t="s">
        <v>30</v>
      </c>
      <c r="J20991" t="s">
        <v>171</v>
      </c>
      <c r="K20991" t="s">
        <v>1331</v>
      </c>
      <c r="N20991" t="s">
        <v>69329</v>
      </c>
      <c r="Q20991">
        <v>0</v>
      </c>
      <c r="R20991">
        <v>104</v>
      </c>
      <c r="S20991">
        <v>0</v>
      </c>
      <c r="T20991" t="s">
        <v>69330</v>
      </c>
    </row>
    <row r="20992" spans="1:20" customFormat="1" ht="15" x14ac:dyDescent="0.25">
      <c r="A20992" t="s">
        <v>24</v>
      </c>
      <c r="B20992" t="s">
        <v>1020</v>
      </c>
      <c r="C20992" t="str">
        <f>"A0058245"</f>
        <v>A0058245</v>
      </c>
      <c r="D20992" t="s">
        <v>69331</v>
      </c>
      <c r="E20992" t="s">
        <v>69332</v>
      </c>
      <c r="F20992" t="s">
        <v>53329</v>
      </c>
      <c r="G20992" t="s">
        <v>289</v>
      </c>
      <c r="H20992">
        <v>60192</v>
      </c>
      <c r="I20992" t="s">
        <v>30</v>
      </c>
      <c r="J20992" t="s">
        <v>171</v>
      </c>
      <c r="K20992" t="s">
        <v>1331</v>
      </c>
      <c r="N20992" t="s">
        <v>66424</v>
      </c>
      <c r="Q20992">
        <v>0</v>
      </c>
      <c r="R20992">
        <v>184</v>
      </c>
      <c r="S20992">
        <v>0</v>
      </c>
      <c r="T20992" t="s">
        <v>69333</v>
      </c>
    </row>
    <row r="20993" spans="1:20" customFormat="1" ht="15" x14ac:dyDescent="0.25">
      <c r="A20993" t="s">
        <v>24</v>
      </c>
      <c r="B20993" t="s">
        <v>3151</v>
      </c>
      <c r="C20993" t="str">
        <f>"A0158613"</f>
        <v>A0158613</v>
      </c>
      <c r="D20993" t="s">
        <v>69334</v>
      </c>
      <c r="E20993" t="s">
        <v>69335</v>
      </c>
      <c r="F20993" t="s">
        <v>5663</v>
      </c>
      <c r="G20993" t="s">
        <v>52</v>
      </c>
      <c r="H20993">
        <v>77521</v>
      </c>
      <c r="I20993" t="s">
        <v>30</v>
      </c>
      <c r="J20993" t="s">
        <v>171</v>
      </c>
      <c r="K20993" t="s">
        <v>1331</v>
      </c>
      <c r="N20993" t="s">
        <v>69336</v>
      </c>
      <c r="Q20993">
        <v>0</v>
      </c>
      <c r="R20993">
        <v>125</v>
      </c>
      <c r="S20993">
        <v>0</v>
      </c>
      <c r="T20993" t="s">
        <v>69337</v>
      </c>
    </row>
    <row r="20994" spans="1:20" customFormat="1" ht="15" x14ac:dyDescent="0.25">
      <c r="A20994" t="s">
        <v>24</v>
      </c>
      <c r="B20994" t="s">
        <v>1323</v>
      </c>
      <c r="C20994" t="str">
        <f>"A0078366"</f>
        <v>A0078366</v>
      </c>
      <c r="D20994" t="s">
        <v>69338</v>
      </c>
      <c r="E20994" t="s">
        <v>69339</v>
      </c>
      <c r="F20994" t="s">
        <v>3545</v>
      </c>
      <c r="G20994" t="s">
        <v>1706</v>
      </c>
      <c r="H20994">
        <v>35805</v>
      </c>
      <c r="I20994" t="s">
        <v>30</v>
      </c>
      <c r="J20994" t="s">
        <v>171</v>
      </c>
      <c r="K20994" t="s">
        <v>1331</v>
      </c>
      <c r="N20994" t="s">
        <v>69340</v>
      </c>
      <c r="O20994" t="s">
        <v>69341</v>
      </c>
      <c r="Q20994">
        <v>0</v>
      </c>
      <c r="R20994">
        <v>101</v>
      </c>
      <c r="S20994">
        <v>0</v>
      </c>
      <c r="T20994" t="s">
        <v>69342</v>
      </c>
    </row>
    <row r="20995" spans="1:20" customFormat="1" ht="15" x14ac:dyDescent="0.25">
      <c r="A20995" t="s">
        <v>24</v>
      </c>
      <c r="B20995" t="s">
        <v>2583</v>
      </c>
      <c r="C20995" t="str">
        <f>"A0067578"</f>
        <v>A0067578</v>
      </c>
      <c r="D20995" t="s">
        <v>69343</v>
      </c>
      <c r="E20995" t="s">
        <v>69344</v>
      </c>
      <c r="F20995" t="s">
        <v>9431</v>
      </c>
      <c r="G20995" t="s">
        <v>381</v>
      </c>
      <c r="H20995">
        <v>46204</v>
      </c>
      <c r="I20995" t="s">
        <v>30</v>
      </c>
      <c r="J20995" t="s">
        <v>171</v>
      </c>
      <c r="K20995" t="s">
        <v>1331</v>
      </c>
      <c r="N20995" t="s">
        <v>69345</v>
      </c>
      <c r="Q20995">
        <v>0</v>
      </c>
      <c r="R20995">
        <v>180</v>
      </c>
      <c r="S20995">
        <v>0</v>
      </c>
      <c r="T20995" t="s">
        <v>69346</v>
      </c>
    </row>
    <row r="20996" spans="1:20" customFormat="1" ht="15" x14ac:dyDescent="0.25">
      <c r="A20996" t="s">
        <v>24</v>
      </c>
      <c r="B20996" t="s">
        <v>4400</v>
      </c>
      <c r="C20996" t="str">
        <f>"A0090437"</f>
        <v>A0090437</v>
      </c>
      <c r="D20996" t="s">
        <v>69347</v>
      </c>
      <c r="E20996" t="s">
        <v>69348</v>
      </c>
      <c r="F20996" t="s">
        <v>9431</v>
      </c>
      <c r="G20996" t="s">
        <v>381</v>
      </c>
      <c r="H20996">
        <v>46278</v>
      </c>
      <c r="I20996" t="s">
        <v>30</v>
      </c>
      <c r="J20996" t="s">
        <v>171</v>
      </c>
      <c r="K20996" t="s">
        <v>1331</v>
      </c>
      <c r="N20996" t="s">
        <v>69349</v>
      </c>
      <c r="O20996" t="s">
        <v>69350</v>
      </c>
      <c r="Q20996">
        <v>0</v>
      </c>
      <c r="R20996">
        <v>122</v>
      </c>
      <c r="S20996">
        <v>0</v>
      </c>
      <c r="T20996" t="s">
        <v>69351</v>
      </c>
    </row>
    <row r="20997" spans="1:20" customFormat="1" ht="15" x14ac:dyDescent="0.25">
      <c r="A20997" t="s">
        <v>24</v>
      </c>
      <c r="B20997" t="s">
        <v>257</v>
      </c>
      <c r="C20997" t="str">
        <f>"A0099292"</f>
        <v>A0099292</v>
      </c>
      <c r="D20997" t="s">
        <v>69352</v>
      </c>
      <c r="E20997" t="s">
        <v>69353</v>
      </c>
      <c r="F20997" t="s">
        <v>5833</v>
      </c>
      <c r="G20997" t="s">
        <v>880</v>
      </c>
      <c r="H20997">
        <v>38301</v>
      </c>
      <c r="I20997" t="s">
        <v>30</v>
      </c>
      <c r="J20997" t="s">
        <v>171</v>
      </c>
      <c r="K20997" t="s">
        <v>1331</v>
      </c>
      <c r="N20997" t="s">
        <v>69354</v>
      </c>
      <c r="Q20997">
        <v>0</v>
      </c>
      <c r="R20997">
        <v>98</v>
      </c>
      <c r="S20997">
        <v>0</v>
      </c>
      <c r="T20997" t="s">
        <v>69355</v>
      </c>
    </row>
    <row r="20998" spans="1:20" customFormat="1" ht="15" x14ac:dyDescent="0.25">
      <c r="A20998" t="s">
        <v>24</v>
      </c>
      <c r="B20998" t="s">
        <v>11484</v>
      </c>
      <c r="C20998" t="str">
        <f>"A0100583"</f>
        <v>A0100583</v>
      </c>
      <c r="D20998" t="s">
        <v>69356</v>
      </c>
      <c r="E20998" t="s">
        <v>69357</v>
      </c>
      <c r="F20998" t="s">
        <v>5833</v>
      </c>
      <c r="G20998" t="s">
        <v>1369</v>
      </c>
      <c r="H20998">
        <v>39201</v>
      </c>
      <c r="I20998" t="s">
        <v>30</v>
      </c>
      <c r="J20998" t="s">
        <v>171</v>
      </c>
      <c r="K20998" t="s">
        <v>1331</v>
      </c>
      <c r="N20998" t="s">
        <v>69358</v>
      </c>
      <c r="Q20998">
        <v>0</v>
      </c>
      <c r="R20998">
        <v>186</v>
      </c>
      <c r="S20998">
        <v>0</v>
      </c>
      <c r="T20998" t="s">
        <v>69359</v>
      </c>
    </row>
    <row r="20999" spans="1:20" customFormat="1" ht="15" x14ac:dyDescent="0.25">
      <c r="A20999" t="s">
        <v>24</v>
      </c>
      <c r="B20999" t="s">
        <v>7421</v>
      </c>
      <c r="C20999" t="str">
        <f>"A0084634"</f>
        <v>A0084634</v>
      </c>
      <c r="D20999" t="s">
        <v>69360</v>
      </c>
      <c r="E20999" t="s">
        <v>69361</v>
      </c>
      <c r="F20999" t="s">
        <v>7424</v>
      </c>
      <c r="G20999" t="s">
        <v>1369</v>
      </c>
      <c r="H20999">
        <v>39208</v>
      </c>
      <c r="I20999" t="s">
        <v>30</v>
      </c>
      <c r="J20999" t="s">
        <v>171</v>
      </c>
      <c r="K20999" t="s">
        <v>1331</v>
      </c>
      <c r="N20999" t="s">
        <v>69362</v>
      </c>
      <c r="Q20999">
        <v>0</v>
      </c>
      <c r="R20999">
        <v>90</v>
      </c>
      <c r="S20999">
        <v>0</v>
      </c>
      <c r="T20999" t="s">
        <v>69363</v>
      </c>
    </row>
    <row r="21000" spans="1:20" customFormat="1" ht="15" x14ac:dyDescent="0.25">
      <c r="A21000" t="s">
        <v>24</v>
      </c>
      <c r="B21000" t="s">
        <v>7421</v>
      </c>
      <c r="C21000" t="str">
        <f>"A0151254"</f>
        <v>A0151254</v>
      </c>
      <c r="D21000" t="s">
        <v>69364</v>
      </c>
      <c r="E21000" t="s">
        <v>69365</v>
      </c>
      <c r="F21000" t="s">
        <v>8751</v>
      </c>
      <c r="G21000" t="s">
        <v>1369</v>
      </c>
      <c r="H21000">
        <v>39056</v>
      </c>
      <c r="I21000" t="s">
        <v>30</v>
      </c>
      <c r="J21000" t="s">
        <v>171</v>
      </c>
      <c r="K21000" t="s">
        <v>1331</v>
      </c>
      <c r="N21000" t="s">
        <v>69366</v>
      </c>
      <c r="Q21000">
        <v>0</v>
      </c>
      <c r="R21000">
        <v>107</v>
      </c>
      <c r="S21000">
        <v>0</v>
      </c>
      <c r="T21000" t="s">
        <v>69367</v>
      </c>
    </row>
    <row r="21001" spans="1:20" customFormat="1" ht="15" x14ac:dyDescent="0.25">
      <c r="A21001" t="s">
        <v>24</v>
      </c>
      <c r="B21001" t="s">
        <v>1020</v>
      </c>
      <c r="C21001" t="str">
        <f>"A0076857"</f>
        <v>A0076857</v>
      </c>
      <c r="D21001" t="s">
        <v>69368</v>
      </c>
      <c r="E21001" t="s">
        <v>69369</v>
      </c>
      <c r="F21001" t="s">
        <v>1308</v>
      </c>
      <c r="G21001" t="s">
        <v>99</v>
      </c>
      <c r="H21001">
        <v>11430</v>
      </c>
      <c r="I21001" t="s">
        <v>30</v>
      </c>
      <c r="J21001" t="s">
        <v>171</v>
      </c>
      <c r="K21001" t="s">
        <v>1331</v>
      </c>
      <c r="N21001" t="s">
        <v>66683</v>
      </c>
      <c r="Q21001">
        <v>0</v>
      </c>
      <c r="R21001">
        <v>190</v>
      </c>
      <c r="S21001">
        <v>0</v>
      </c>
      <c r="T21001" t="s">
        <v>69370</v>
      </c>
    </row>
    <row r="21002" spans="1:20" customFormat="1" ht="15" x14ac:dyDescent="0.25">
      <c r="A21002" t="s">
        <v>24</v>
      </c>
      <c r="B21002" t="s">
        <v>1192</v>
      </c>
      <c r="C21002" t="str">
        <f>"A0093937"</f>
        <v>A0093937</v>
      </c>
      <c r="D21002" t="s">
        <v>69371</v>
      </c>
      <c r="E21002" t="s">
        <v>69372</v>
      </c>
      <c r="F21002" t="s">
        <v>69373</v>
      </c>
      <c r="G21002" t="s">
        <v>103</v>
      </c>
      <c r="H21002">
        <v>19348</v>
      </c>
      <c r="I21002" t="s">
        <v>30</v>
      </c>
      <c r="J21002" t="s">
        <v>171</v>
      </c>
      <c r="K21002" t="s">
        <v>1331</v>
      </c>
      <c r="N21002" t="s">
        <v>69374</v>
      </c>
      <c r="Q21002">
        <v>0</v>
      </c>
      <c r="R21002">
        <v>96</v>
      </c>
      <c r="S21002">
        <v>0</v>
      </c>
      <c r="T21002" t="s">
        <v>69375</v>
      </c>
    </row>
    <row r="21003" spans="1:20" customFormat="1" ht="15" x14ac:dyDescent="0.25">
      <c r="A21003" t="s">
        <v>24</v>
      </c>
      <c r="B21003" t="s">
        <v>2910</v>
      </c>
      <c r="C21003" t="str">
        <f>"A0085245"</f>
        <v>A0085245</v>
      </c>
      <c r="D21003" t="s">
        <v>69376</v>
      </c>
      <c r="E21003" t="s">
        <v>69377</v>
      </c>
      <c r="F21003" t="s">
        <v>69378</v>
      </c>
      <c r="G21003" t="s">
        <v>123</v>
      </c>
      <c r="H21003">
        <v>21638</v>
      </c>
      <c r="I21003" t="s">
        <v>30</v>
      </c>
      <c r="J21003" t="s">
        <v>171</v>
      </c>
      <c r="K21003" t="s">
        <v>1331</v>
      </c>
      <c r="N21003" t="s">
        <v>69379</v>
      </c>
      <c r="O21003" t="s">
        <v>69380</v>
      </c>
      <c r="Q21003">
        <v>0</v>
      </c>
      <c r="R21003">
        <v>90</v>
      </c>
      <c r="S21003">
        <v>0</v>
      </c>
      <c r="T21003" t="s">
        <v>69381</v>
      </c>
    </row>
    <row r="21004" spans="1:20" customFormat="1" ht="15" x14ac:dyDescent="0.25">
      <c r="A21004" t="s">
        <v>24</v>
      </c>
      <c r="B21004" t="s">
        <v>54771</v>
      </c>
      <c r="C21004" t="str">
        <f>"A0117310"</f>
        <v>A0117310</v>
      </c>
      <c r="D21004" t="s">
        <v>69382</v>
      </c>
      <c r="E21004" t="s">
        <v>69383</v>
      </c>
      <c r="F21004" t="s">
        <v>985</v>
      </c>
      <c r="G21004" t="s">
        <v>81</v>
      </c>
      <c r="H21004">
        <v>32836</v>
      </c>
      <c r="I21004" t="s">
        <v>30</v>
      </c>
      <c r="J21004" t="s">
        <v>171</v>
      </c>
      <c r="K21004" t="s">
        <v>1331</v>
      </c>
      <c r="N21004" t="s">
        <v>69384</v>
      </c>
      <c r="Q21004">
        <v>0</v>
      </c>
      <c r="R21004">
        <v>137</v>
      </c>
      <c r="S21004">
        <v>0</v>
      </c>
      <c r="T21004" t="s">
        <v>69385</v>
      </c>
    </row>
    <row r="21005" spans="1:20" customFormat="1" ht="15" x14ac:dyDescent="0.25">
      <c r="A21005" t="s">
        <v>24</v>
      </c>
      <c r="B21005" t="s">
        <v>13679</v>
      </c>
      <c r="C21005" t="str">
        <f>"A0062783"</f>
        <v>A0062783</v>
      </c>
      <c r="D21005" t="s">
        <v>69386</v>
      </c>
      <c r="E21005" t="s">
        <v>69387</v>
      </c>
      <c r="F21005" t="s">
        <v>4829</v>
      </c>
      <c r="G21005" t="s">
        <v>52</v>
      </c>
      <c r="H21005">
        <v>75063</v>
      </c>
      <c r="I21005" t="s">
        <v>30</v>
      </c>
      <c r="J21005" t="s">
        <v>171</v>
      </c>
      <c r="K21005" t="s">
        <v>1331</v>
      </c>
      <c r="N21005" t="s">
        <v>69388</v>
      </c>
      <c r="O21005" t="s">
        <v>69389</v>
      </c>
      <c r="Q21005">
        <v>0</v>
      </c>
      <c r="R21005">
        <v>174</v>
      </c>
      <c r="S21005">
        <v>0</v>
      </c>
      <c r="T21005" t="s">
        <v>69390</v>
      </c>
    </row>
    <row r="21006" spans="1:20" customFormat="1" ht="15" x14ac:dyDescent="0.25">
      <c r="A21006" t="s">
        <v>24</v>
      </c>
      <c r="B21006" t="s">
        <v>1561</v>
      </c>
      <c r="C21006" t="str">
        <f>"A0151256"</f>
        <v>A0151256</v>
      </c>
      <c r="D21006" t="s">
        <v>69391</v>
      </c>
      <c r="E21006" t="s">
        <v>69392</v>
      </c>
      <c r="F21006" t="s">
        <v>3353</v>
      </c>
      <c r="G21006" t="s">
        <v>221</v>
      </c>
      <c r="H21006">
        <v>89014</v>
      </c>
      <c r="I21006" t="s">
        <v>30</v>
      </c>
      <c r="J21006" t="s">
        <v>171</v>
      </c>
      <c r="K21006" t="s">
        <v>1331</v>
      </c>
      <c r="N21006" t="s">
        <v>69393</v>
      </c>
      <c r="O21006" t="s">
        <v>69394</v>
      </c>
      <c r="Q21006">
        <v>0</v>
      </c>
      <c r="R21006">
        <v>139</v>
      </c>
      <c r="S21006">
        <v>0</v>
      </c>
      <c r="T21006" t="s">
        <v>69395</v>
      </c>
    </row>
    <row r="21007" spans="1:20" customFormat="1" ht="15" x14ac:dyDescent="0.25">
      <c r="A21007" t="s">
        <v>24</v>
      </c>
      <c r="B21007" t="s">
        <v>1138</v>
      </c>
      <c r="C21007" t="str">
        <f>"A0098701"</f>
        <v>A0098701</v>
      </c>
      <c r="D21007" t="s">
        <v>69396</v>
      </c>
      <c r="E21007" t="s">
        <v>69397</v>
      </c>
      <c r="F21007" t="s">
        <v>220</v>
      </c>
      <c r="G21007" t="s">
        <v>221</v>
      </c>
      <c r="H21007">
        <v>89103</v>
      </c>
      <c r="I21007" t="s">
        <v>30</v>
      </c>
      <c r="J21007" t="s">
        <v>171</v>
      </c>
      <c r="K21007" t="s">
        <v>1331</v>
      </c>
      <c r="Q21007">
        <v>0</v>
      </c>
      <c r="R21007">
        <v>172</v>
      </c>
      <c r="S21007">
        <v>0</v>
      </c>
      <c r="T21007" t="s">
        <v>69398</v>
      </c>
    </row>
    <row r="21008" spans="1:20" customFormat="1" ht="15" x14ac:dyDescent="0.25">
      <c r="A21008" t="s">
        <v>24</v>
      </c>
      <c r="B21008" t="s">
        <v>8579</v>
      </c>
      <c r="C21008" t="str">
        <f>"A0094105"</f>
        <v>A0094105</v>
      </c>
      <c r="D21008" t="s">
        <v>69399</v>
      </c>
      <c r="E21008" t="s">
        <v>69400</v>
      </c>
      <c r="F21008" t="s">
        <v>5586</v>
      </c>
      <c r="G21008" t="s">
        <v>99</v>
      </c>
      <c r="H21008">
        <v>11101</v>
      </c>
      <c r="I21008" t="s">
        <v>30</v>
      </c>
      <c r="J21008" t="s">
        <v>171</v>
      </c>
      <c r="K21008" t="s">
        <v>1331</v>
      </c>
      <c r="N21008" t="s">
        <v>69401</v>
      </c>
      <c r="Q21008">
        <v>0</v>
      </c>
      <c r="R21008">
        <v>183</v>
      </c>
      <c r="S21008">
        <v>0</v>
      </c>
      <c r="T21008" t="s">
        <v>69402</v>
      </c>
    </row>
    <row r="21009" spans="1:20" customFormat="1" ht="15" x14ac:dyDescent="0.25">
      <c r="A21009" t="s">
        <v>24</v>
      </c>
      <c r="B21009" t="s">
        <v>12356</v>
      </c>
      <c r="C21009" t="str">
        <f>"A0165080"</f>
        <v>A0165080</v>
      </c>
      <c r="D21009" t="s">
        <v>69403</v>
      </c>
      <c r="E21009" t="s">
        <v>69404</v>
      </c>
      <c r="F21009" t="s">
        <v>3631</v>
      </c>
      <c r="G21009" t="s">
        <v>190</v>
      </c>
      <c r="H21009">
        <v>80501</v>
      </c>
      <c r="I21009" t="s">
        <v>30</v>
      </c>
      <c r="J21009" t="s">
        <v>171</v>
      </c>
      <c r="K21009" t="s">
        <v>1331</v>
      </c>
      <c r="N21009" t="s">
        <v>69405</v>
      </c>
      <c r="Q21009">
        <v>0</v>
      </c>
      <c r="R21009">
        <v>105</v>
      </c>
      <c r="S21009">
        <v>0</v>
      </c>
      <c r="T21009" t="s">
        <v>69406</v>
      </c>
    </row>
    <row r="21010" spans="1:20" customFormat="1" ht="15" x14ac:dyDescent="0.25">
      <c r="A21010" t="s">
        <v>24</v>
      </c>
      <c r="B21010" t="s">
        <v>2528</v>
      </c>
      <c r="C21010" t="str">
        <f>"A0063594"</f>
        <v>A0063594</v>
      </c>
      <c r="D21010" t="s">
        <v>69407</v>
      </c>
      <c r="E21010" t="s">
        <v>69408</v>
      </c>
      <c r="F21010" t="s">
        <v>69409</v>
      </c>
      <c r="G21010" t="s">
        <v>110</v>
      </c>
      <c r="H21010" t="s">
        <v>69410</v>
      </c>
      <c r="I21010" t="s">
        <v>30</v>
      </c>
      <c r="J21010" t="s">
        <v>171</v>
      </c>
      <c r="K21010" t="s">
        <v>1331</v>
      </c>
      <c r="N21010" t="s">
        <v>69411</v>
      </c>
      <c r="Q21010">
        <v>0</v>
      </c>
      <c r="R21010">
        <v>134</v>
      </c>
      <c r="S21010">
        <v>0</v>
      </c>
      <c r="T21010" t="s">
        <v>69412</v>
      </c>
    </row>
    <row r="21011" spans="1:20" customFormat="1" ht="15" x14ac:dyDescent="0.25">
      <c r="A21011" t="s">
        <v>24</v>
      </c>
      <c r="B21011" t="s">
        <v>2955</v>
      </c>
      <c r="C21011" t="str">
        <f>"A0067540"</f>
        <v>A0067540</v>
      </c>
      <c r="D21011" t="s">
        <v>69413</v>
      </c>
      <c r="E21011" t="s">
        <v>69414</v>
      </c>
      <c r="F21011" t="s">
        <v>3466</v>
      </c>
      <c r="G21011" t="s">
        <v>840</v>
      </c>
      <c r="H21011">
        <v>40299</v>
      </c>
      <c r="I21011" t="s">
        <v>30</v>
      </c>
      <c r="J21011" t="s">
        <v>171</v>
      </c>
      <c r="K21011" t="s">
        <v>1331</v>
      </c>
      <c r="N21011" t="s">
        <v>69415</v>
      </c>
      <c r="Q21011">
        <v>0</v>
      </c>
      <c r="R21011">
        <v>112</v>
      </c>
      <c r="S21011">
        <v>0</v>
      </c>
      <c r="T21011" t="s">
        <v>69416</v>
      </c>
    </row>
    <row r="21012" spans="1:20" customFormat="1" ht="15" x14ac:dyDescent="0.25">
      <c r="A21012" t="s">
        <v>24</v>
      </c>
      <c r="B21012" t="s">
        <v>13679</v>
      </c>
      <c r="C21012" t="str">
        <f>"A0096873"</f>
        <v>A0096873</v>
      </c>
      <c r="D21012" t="s">
        <v>69417</v>
      </c>
      <c r="E21012" t="s">
        <v>69418</v>
      </c>
      <c r="F21012" t="s">
        <v>2120</v>
      </c>
      <c r="G21012" t="s">
        <v>52</v>
      </c>
      <c r="H21012">
        <v>79407</v>
      </c>
      <c r="I21012" t="s">
        <v>30</v>
      </c>
      <c r="J21012" t="s">
        <v>171</v>
      </c>
      <c r="K21012" t="s">
        <v>1331</v>
      </c>
      <c r="N21012" t="s">
        <v>69419</v>
      </c>
      <c r="Q21012">
        <v>0</v>
      </c>
      <c r="R21012">
        <v>113</v>
      </c>
      <c r="S21012">
        <v>0</v>
      </c>
      <c r="T21012" t="s">
        <v>69420</v>
      </c>
    </row>
    <row r="21013" spans="1:20" customFormat="1" ht="15" x14ac:dyDescent="0.25">
      <c r="A21013" t="s">
        <v>24</v>
      </c>
      <c r="B21013" t="s">
        <v>1317</v>
      </c>
      <c r="C21013" t="str">
        <f>"A0096969"</f>
        <v>A0096969</v>
      </c>
      <c r="D21013" t="s">
        <v>69421</v>
      </c>
      <c r="E21013" t="s">
        <v>69422</v>
      </c>
      <c r="F21013" t="s">
        <v>6873</v>
      </c>
      <c r="G21013" t="s">
        <v>47</v>
      </c>
      <c r="H21013">
        <v>97504</v>
      </c>
      <c r="I21013" t="s">
        <v>30</v>
      </c>
      <c r="J21013" t="s">
        <v>171</v>
      </c>
      <c r="K21013" t="s">
        <v>1331</v>
      </c>
      <c r="N21013" t="s">
        <v>69423</v>
      </c>
      <c r="Q21013">
        <v>0</v>
      </c>
      <c r="R21013">
        <v>120</v>
      </c>
      <c r="S21013">
        <v>0</v>
      </c>
      <c r="T21013" t="s">
        <v>69424</v>
      </c>
    </row>
    <row r="21014" spans="1:20" customFormat="1" ht="15" x14ac:dyDescent="0.25">
      <c r="A21014" t="s">
        <v>24</v>
      </c>
      <c r="B21014" t="s">
        <v>2955</v>
      </c>
      <c r="C21014" t="str">
        <f>"A0146933"</f>
        <v>A0146933</v>
      </c>
      <c r="D21014" t="s">
        <v>69425</v>
      </c>
      <c r="E21014" t="s">
        <v>69426</v>
      </c>
      <c r="F21014" t="s">
        <v>11700</v>
      </c>
      <c r="G21014" t="s">
        <v>880</v>
      </c>
      <c r="H21014">
        <v>38103</v>
      </c>
      <c r="I21014" t="s">
        <v>30</v>
      </c>
      <c r="J21014" t="s">
        <v>171</v>
      </c>
      <c r="K21014" t="s">
        <v>1331</v>
      </c>
      <c r="N21014" t="s">
        <v>59035</v>
      </c>
      <c r="Q21014">
        <v>0</v>
      </c>
      <c r="R21014">
        <v>150</v>
      </c>
      <c r="S21014">
        <v>0</v>
      </c>
      <c r="T21014" t="s">
        <v>69427</v>
      </c>
    </row>
    <row r="21015" spans="1:20" customFormat="1" ht="15" x14ac:dyDescent="0.25">
      <c r="A21015" t="s">
        <v>24</v>
      </c>
      <c r="B21015" t="s">
        <v>1020</v>
      </c>
      <c r="C21015" t="str">
        <f>"A0090687"</f>
        <v>A0090687</v>
      </c>
      <c r="D21015" t="s">
        <v>69428</v>
      </c>
      <c r="E21015" t="s">
        <v>69429</v>
      </c>
      <c r="F21015" t="s">
        <v>65946</v>
      </c>
      <c r="G21015" t="s">
        <v>381</v>
      </c>
      <c r="H21015">
        <v>46410</v>
      </c>
      <c r="I21015" t="s">
        <v>30</v>
      </c>
      <c r="J21015" t="s">
        <v>171</v>
      </c>
      <c r="K21015" t="s">
        <v>1331</v>
      </c>
      <c r="N21015" t="s">
        <v>69430</v>
      </c>
      <c r="Q21015">
        <v>0</v>
      </c>
      <c r="R21015">
        <v>124</v>
      </c>
      <c r="S21015">
        <v>0</v>
      </c>
      <c r="T21015" t="s">
        <v>69431</v>
      </c>
    </row>
    <row r="21016" spans="1:20" customFormat="1" ht="15" x14ac:dyDescent="0.25">
      <c r="A21016" t="s">
        <v>24</v>
      </c>
      <c r="B21016" t="s">
        <v>1020</v>
      </c>
      <c r="C21016" t="str">
        <f>"A0085213"</f>
        <v>A0085213</v>
      </c>
      <c r="D21016" t="s">
        <v>69432</v>
      </c>
      <c r="E21016" t="s">
        <v>69433</v>
      </c>
      <c r="F21016" t="s">
        <v>69434</v>
      </c>
      <c r="G21016" t="s">
        <v>289</v>
      </c>
      <c r="H21016">
        <v>60045</v>
      </c>
      <c r="I21016" t="s">
        <v>30</v>
      </c>
      <c r="J21016" t="s">
        <v>171</v>
      </c>
      <c r="K21016" t="s">
        <v>1331</v>
      </c>
      <c r="N21016" t="s">
        <v>69435</v>
      </c>
      <c r="Q21016">
        <v>0</v>
      </c>
      <c r="R21016">
        <v>170</v>
      </c>
      <c r="S21016">
        <v>0</v>
      </c>
      <c r="T21016" t="s">
        <v>69436</v>
      </c>
    </row>
    <row r="21017" spans="1:20" customFormat="1" ht="15" x14ac:dyDescent="0.25">
      <c r="A21017" t="s">
        <v>24</v>
      </c>
      <c r="B21017" t="s">
        <v>2340</v>
      </c>
      <c r="C21017" t="str">
        <f>"A0095944"</f>
        <v>A0095944</v>
      </c>
      <c r="D21017" t="s">
        <v>69437</v>
      </c>
      <c r="E21017" t="s">
        <v>69438</v>
      </c>
      <c r="F21017" t="s">
        <v>1889</v>
      </c>
      <c r="G21017" t="s">
        <v>81</v>
      </c>
      <c r="H21017">
        <v>33140</v>
      </c>
      <c r="I21017" t="s">
        <v>30</v>
      </c>
      <c r="J21017" t="s">
        <v>171</v>
      </c>
      <c r="K21017" t="s">
        <v>1331</v>
      </c>
      <c r="N21017" t="s">
        <v>69439</v>
      </c>
      <c r="Q21017">
        <v>0</v>
      </c>
      <c r="R21017">
        <v>96</v>
      </c>
      <c r="S21017">
        <v>0</v>
      </c>
      <c r="T21017" t="s">
        <v>69440</v>
      </c>
    </row>
    <row r="21018" spans="1:20" customFormat="1" ht="15" x14ac:dyDescent="0.25">
      <c r="A21018" t="s">
        <v>24</v>
      </c>
      <c r="B21018" t="s">
        <v>1561</v>
      </c>
      <c r="C21018" t="str">
        <f>"A0092591"</f>
        <v>A0092591</v>
      </c>
      <c r="D21018" t="s">
        <v>69441</v>
      </c>
      <c r="E21018" t="s">
        <v>69442</v>
      </c>
      <c r="F21018" t="s">
        <v>2057</v>
      </c>
      <c r="G21018" t="s">
        <v>52</v>
      </c>
      <c r="H21018">
        <v>79706</v>
      </c>
      <c r="I21018" t="s">
        <v>30</v>
      </c>
      <c r="J21018" t="s">
        <v>171</v>
      </c>
      <c r="K21018" t="s">
        <v>1331</v>
      </c>
      <c r="N21018" t="s">
        <v>69443</v>
      </c>
      <c r="O21018" t="s">
        <v>69444</v>
      </c>
      <c r="Q21018">
        <v>0</v>
      </c>
      <c r="R21018">
        <v>157</v>
      </c>
      <c r="S21018">
        <v>0</v>
      </c>
      <c r="T21018" t="s">
        <v>69445</v>
      </c>
    </row>
    <row r="21019" spans="1:20" customFormat="1" ht="15" x14ac:dyDescent="0.25">
      <c r="A21019" t="s">
        <v>24</v>
      </c>
      <c r="B21019" t="s">
        <v>2583</v>
      </c>
      <c r="C21019" t="str">
        <f>"A0091556"</f>
        <v>A0091556</v>
      </c>
      <c r="D21019" t="s">
        <v>69446</v>
      </c>
      <c r="E21019" t="s">
        <v>69447</v>
      </c>
      <c r="F21019" t="s">
        <v>5999</v>
      </c>
      <c r="G21019" t="s">
        <v>71</v>
      </c>
      <c r="H21019">
        <v>53202</v>
      </c>
      <c r="I21019" t="s">
        <v>30</v>
      </c>
      <c r="J21019" t="s">
        <v>171</v>
      </c>
      <c r="K21019" t="s">
        <v>1331</v>
      </c>
      <c r="N21019" t="s">
        <v>69448</v>
      </c>
      <c r="Q21019">
        <v>0</v>
      </c>
      <c r="R21019">
        <v>127</v>
      </c>
      <c r="S21019">
        <v>0</v>
      </c>
      <c r="T21019" t="s">
        <v>69449</v>
      </c>
    </row>
    <row r="21020" spans="1:20" customFormat="1" ht="15" x14ac:dyDescent="0.25">
      <c r="A21020" t="s">
        <v>24</v>
      </c>
      <c r="B21020" t="s">
        <v>2583</v>
      </c>
      <c r="C21020" t="str">
        <f>"88HR001"</f>
        <v>88HR001</v>
      </c>
      <c r="D21020" t="s">
        <v>69450</v>
      </c>
      <c r="E21020" t="s">
        <v>69451</v>
      </c>
      <c r="F21020" t="s">
        <v>3455</v>
      </c>
      <c r="G21020" t="s">
        <v>161</v>
      </c>
      <c r="H21020">
        <v>55425</v>
      </c>
      <c r="I21020" t="s">
        <v>30</v>
      </c>
      <c r="J21020" t="s">
        <v>171</v>
      </c>
      <c r="K21020" t="s">
        <v>1331</v>
      </c>
      <c r="N21020" t="s">
        <v>69452</v>
      </c>
      <c r="O21020" t="s">
        <v>69453</v>
      </c>
      <c r="Q21020">
        <v>0</v>
      </c>
      <c r="R21020">
        <v>200</v>
      </c>
      <c r="S21020">
        <v>0</v>
      </c>
      <c r="T21020" t="s">
        <v>69454</v>
      </c>
    </row>
    <row r="21021" spans="1:20" customFormat="1" ht="15" x14ac:dyDescent="0.25">
      <c r="A21021" t="s">
        <v>24</v>
      </c>
      <c r="B21021" t="s">
        <v>2583</v>
      </c>
      <c r="C21021" t="str">
        <f>"A0087370"</f>
        <v>A0087370</v>
      </c>
      <c r="D21021" t="s">
        <v>69455</v>
      </c>
      <c r="E21021" t="s">
        <v>69456</v>
      </c>
      <c r="F21021" t="s">
        <v>6404</v>
      </c>
      <c r="G21021" t="s">
        <v>161</v>
      </c>
      <c r="H21021">
        <v>55404</v>
      </c>
      <c r="I21021" t="s">
        <v>30</v>
      </c>
      <c r="J21021" t="s">
        <v>171</v>
      </c>
      <c r="K21021" t="s">
        <v>1331</v>
      </c>
      <c r="N21021" t="s">
        <v>69457</v>
      </c>
      <c r="O21021" t="s">
        <v>69452</v>
      </c>
      <c r="Q21021">
        <v>0</v>
      </c>
      <c r="R21021">
        <v>210</v>
      </c>
      <c r="S21021">
        <v>0</v>
      </c>
      <c r="T21021" t="s">
        <v>69458</v>
      </c>
    </row>
    <row r="21022" spans="1:20" customFormat="1" ht="15" x14ac:dyDescent="0.25">
      <c r="A21022" t="s">
        <v>24</v>
      </c>
      <c r="B21022" t="s">
        <v>4400</v>
      </c>
      <c r="C21022" t="str">
        <f>"A0090425"</f>
        <v>A0090425</v>
      </c>
      <c r="D21022" t="s">
        <v>69459</v>
      </c>
      <c r="E21022" t="s">
        <v>69460</v>
      </c>
      <c r="F21022" t="s">
        <v>69461</v>
      </c>
      <c r="G21022" t="s">
        <v>81</v>
      </c>
      <c r="H21022">
        <v>33027</v>
      </c>
      <c r="I21022" t="s">
        <v>30</v>
      </c>
      <c r="J21022" t="s">
        <v>171</v>
      </c>
      <c r="K21022" t="s">
        <v>1331</v>
      </c>
      <c r="N21022" t="s">
        <v>69462</v>
      </c>
      <c r="O21022" t="s">
        <v>69463</v>
      </c>
      <c r="Q21022">
        <v>0</v>
      </c>
      <c r="R21022">
        <v>149</v>
      </c>
      <c r="S21022">
        <v>0</v>
      </c>
      <c r="T21022" t="s">
        <v>69464</v>
      </c>
    </row>
    <row r="21023" spans="1:20" customFormat="1" ht="15" x14ac:dyDescent="0.25">
      <c r="A21023" t="s">
        <v>24</v>
      </c>
      <c r="B21023" t="s">
        <v>58755</v>
      </c>
      <c r="C21023" t="str">
        <f>"A0095515"</f>
        <v>A0095515</v>
      </c>
      <c r="D21023" t="s">
        <v>69465</v>
      </c>
      <c r="E21023" t="s">
        <v>69466</v>
      </c>
      <c r="F21023" t="s">
        <v>53883</v>
      </c>
      <c r="G21023" t="s">
        <v>1706</v>
      </c>
      <c r="H21023">
        <v>36609</v>
      </c>
      <c r="I21023" t="s">
        <v>30</v>
      </c>
      <c r="J21023" t="s">
        <v>171</v>
      </c>
      <c r="K21023" t="s">
        <v>1331</v>
      </c>
      <c r="N21023" t="s">
        <v>69467</v>
      </c>
      <c r="Q21023">
        <v>0</v>
      </c>
      <c r="R21023">
        <v>101</v>
      </c>
      <c r="S21023">
        <v>0</v>
      </c>
      <c r="T21023" t="s">
        <v>69468</v>
      </c>
    </row>
    <row r="21024" spans="1:20" customFormat="1" ht="15" x14ac:dyDescent="0.25">
      <c r="A21024" t="s">
        <v>24</v>
      </c>
      <c r="B21024" t="s">
        <v>2955</v>
      </c>
      <c r="C21024" t="str">
        <f>"A0056784"</f>
        <v>A0056784</v>
      </c>
      <c r="D21024" t="s">
        <v>69469</v>
      </c>
      <c r="E21024" t="s">
        <v>69470</v>
      </c>
      <c r="F21024" t="s">
        <v>2376</v>
      </c>
      <c r="G21024" t="s">
        <v>110</v>
      </c>
      <c r="H21024">
        <v>93940</v>
      </c>
      <c r="I21024" t="s">
        <v>30</v>
      </c>
      <c r="J21024" t="s">
        <v>171</v>
      </c>
      <c r="K21024" t="s">
        <v>1331</v>
      </c>
      <c r="N21024" t="s">
        <v>69471</v>
      </c>
      <c r="O21024" t="s">
        <v>69472</v>
      </c>
      <c r="Q21024">
        <v>0</v>
      </c>
      <c r="R21024">
        <v>204</v>
      </c>
      <c r="S21024">
        <v>0</v>
      </c>
      <c r="T21024" t="s">
        <v>69473</v>
      </c>
    </row>
    <row r="21025" spans="1:20" customFormat="1" ht="15" x14ac:dyDescent="0.25">
      <c r="A21025" t="s">
        <v>24</v>
      </c>
      <c r="B21025" t="s">
        <v>1323</v>
      </c>
      <c r="C21025" t="str">
        <f>"A0078367"</f>
        <v>A0078367</v>
      </c>
      <c r="D21025" t="s">
        <v>69474</v>
      </c>
      <c r="E21025" t="s">
        <v>69475</v>
      </c>
      <c r="F21025" t="s">
        <v>8562</v>
      </c>
      <c r="G21025" t="s">
        <v>1706</v>
      </c>
      <c r="H21025">
        <v>36109</v>
      </c>
      <c r="I21025" t="s">
        <v>30</v>
      </c>
      <c r="J21025" t="s">
        <v>171</v>
      </c>
      <c r="K21025" t="s">
        <v>1331</v>
      </c>
      <c r="N21025" t="s">
        <v>69476</v>
      </c>
      <c r="Q21025">
        <v>0</v>
      </c>
      <c r="R21025">
        <v>97</v>
      </c>
      <c r="S21025">
        <v>0</v>
      </c>
      <c r="T21025" t="s">
        <v>69477</v>
      </c>
    </row>
    <row r="21026" spans="1:20" customFormat="1" ht="15" x14ac:dyDescent="0.25">
      <c r="A21026" t="s">
        <v>24</v>
      </c>
      <c r="B21026" t="s">
        <v>7405</v>
      </c>
      <c r="C21026" t="str">
        <f>"A0067806"</f>
        <v>A0067806</v>
      </c>
      <c r="D21026" t="s">
        <v>69478</v>
      </c>
      <c r="E21026" t="s">
        <v>69479</v>
      </c>
      <c r="F21026" t="s">
        <v>34894</v>
      </c>
      <c r="G21026" t="s">
        <v>99</v>
      </c>
      <c r="H21026">
        <v>10954</v>
      </c>
      <c r="I21026" t="s">
        <v>30</v>
      </c>
      <c r="J21026" t="s">
        <v>171</v>
      </c>
      <c r="K21026" t="s">
        <v>1331</v>
      </c>
      <c r="N21026" t="s">
        <v>69480</v>
      </c>
      <c r="Q21026">
        <v>0</v>
      </c>
      <c r="R21026">
        <v>88</v>
      </c>
      <c r="S21026">
        <v>0</v>
      </c>
      <c r="T21026" t="s">
        <v>69481</v>
      </c>
    </row>
    <row r="21027" spans="1:20" customFormat="1" ht="15" x14ac:dyDescent="0.25">
      <c r="A21027" t="s">
        <v>24</v>
      </c>
      <c r="B21027" t="s">
        <v>60496</v>
      </c>
      <c r="C21027" t="str">
        <f>"A0064901"</f>
        <v>A0064901</v>
      </c>
      <c r="D21027" t="s">
        <v>79021</v>
      </c>
      <c r="E21027" t="s">
        <v>79022</v>
      </c>
      <c r="F21027" t="s">
        <v>60499</v>
      </c>
      <c r="G21027" t="s">
        <v>123</v>
      </c>
      <c r="H21027">
        <v>21703</v>
      </c>
      <c r="I21027" t="s">
        <v>30</v>
      </c>
      <c r="J21027" t="s">
        <v>31</v>
      </c>
      <c r="K21027" t="s">
        <v>1450</v>
      </c>
      <c r="N21027" t="s">
        <v>79023</v>
      </c>
      <c r="Q21027">
        <v>0</v>
      </c>
      <c r="R21027">
        <v>90</v>
      </c>
      <c r="S21027">
        <v>0</v>
      </c>
      <c r="T21027" t="s">
        <v>79024</v>
      </c>
    </row>
    <row r="21028" spans="1:20" customFormat="1" ht="15" x14ac:dyDescent="0.25">
      <c r="A21028" t="s">
        <v>24</v>
      </c>
      <c r="B21028" t="s">
        <v>9391</v>
      </c>
      <c r="C21028" t="str">
        <f>"A0092304"</f>
        <v>A0092304</v>
      </c>
      <c r="D21028" t="s">
        <v>69482</v>
      </c>
      <c r="E21028" t="s">
        <v>69483</v>
      </c>
      <c r="F21028" t="s">
        <v>7921</v>
      </c>
      <c r="G21028" t="s">
        <v>880</v>
      </c>
      <c r="H21028">
        <v>37067</v>
      </c>
      <c r="I21028" t="s">
        <v>30</v>
      </c>
      <c r="J21028" t="s">
        <v>171</v>
      </c>
      <c r="K21028" t="s">
        <v>1331</v>
      </c>
      <c r="N21028" t="s">
        <v>69484</v>
      </c>
      <c r="Q21028">
        <v>0</v>
      </c>
      <c r="R21028">
        <v>131</v>
      </c>
      <c r="S21028">
        <v>0</v>
      </c>
      <c r="T21028" t="s">
        <v>69485</v>
      </c>
    </row>
    <row r="21029" spans="1:20" customFormat="1" ht="15" x14ac:dyDescent="0.25">
      <c r="A21029" t="s">
        <v>24</v>
      </c>
      <c r="B21029" t="s">
        <v>5104</v>
      </c>
      <c r="C21029" t="str">
        <f>"A0100582"</f>
        <v>A0100582</v>
      </c>
      <c r="D21029" t="s">
        <v>69486</v>
      </c>
      <c r="E21029" t="s">
        <v>69487</v>
      </c>
      <c r="F21029" t="s">
        <v>2069</v>
      </c>
      <c r="G21029" t="s">
        <v>1170</v>
      </c>
      <c r="H21029">
        <v>70112</v>
      </c>
      <c r="I21029" t="s">
        <v>30</v>
      </c>
      <c r="J21029" t="s">
        <v>171</v>
      </c>
      <c r="K21029" t="s">
        <v>1331</v>
      </c>
      <c r="N21029" t="s">
        <v>69488</v>
      </c>
      <c r="O21029" t="s">
        <v>69489</v>
      </c>
      <c r="Q21029">
        <v>0</v>
      </c>
      <c r="R21029">
        <v>155</v>
      </c>
      <c r="S21029">
        <v>0</v>
      </c>
      <c r="T21029" t="s">
        <v>69490</v>
      </c>
    </row>
    <row r="21030" spans="1:20" customFormat="1" ht="15" x14ac:dyDescent="0.25">
      <c r="A21030" t="s">
        <v>24</v>
      </c>
      <c r="B21030" t="s">
        <v>1020</v>
      </c>
      <c r="C21030" t="str">
        <f>"A0093252"</f>
        <v>A0093252</v>
      </c>
      <c r="D21030" t="s">
        <v>69491</v>
      </c>
      <c r="E21030" t="s">
        <v>69492</v>
      </c>
      <c r="F21030" t="s">
        <v>997</v>
      </c>
      <c r="G21030" t="s">
        <v>99</v>
      </c>
      <c r="H21030">
        <v>10022</v>
      </c>
      <c r="I21030" t="s">
        <v>30</v>
      </c>
      <c r="J21030" t="s">
        <v>171</v>
      </c>
      <c r="K21030" t="s">
        <v>1331</v>
      </c>
      <c r="N21030" t="s">
        <v>69493</v>
      </c>
      <c r="O21030" t="s">
        <v>69494</v>
      </c>
      <c r="Q21030">
        <v>0</v>
      </c>
      <c r="R21030">
        <v>206</v>
      </c>
      <c r="S21030">
        <v>0</v>
      </c>
      <c r="T21030" t="s">
        <v>69495</v>
      </c>
    </row>
    <row r="21031" spans="1:20" customFormat="1" ht="15" x14ac:dyDescent="0.25">
      <c r="A21031" t="s">
        <v>24</v>
      </c>
      <c r="B21031" t="s">
        <v>2373</v>
      </c>
      <c r="C21031" t="str">
        <f>"A0084578"</f>
        <v>A0084578</v>
      </c>
      <c r="D21031" t="s">
        <v>69496</v>
      </c>
      <c r="E21031" t="s">
        <v>69497</v>
      </c>
      <c r="F21031" t="s">
        <v>997</v>
      </c>
      <c r="G21031" t="s">
        <v>99</v>
      </c>
      <c r="H21031">
        <v>10001</v>
      </c>
      <c r="I21031" t="s">
        <v>30</v>
      </c>
      <c r="J21031" t="s">
        <v>171</v>
      </c>
      <c r="K21031" t="s">
        <v>1331</v>
      </c>
      <c r="N21031" t="s">
        <v>69498</v>
      </c>
      <c r="Q21031">
        <v>0</v>
      </c>
      <c r="R21031">
        <v>169</v>
      </c>
      <c r="S21031">
        <v>0</v>
      </c>
      <c r="T21031" t="s">
        <v>69499</v>
      </c>
    </row>
    <row r="21032" spans="1:20" customFormat="1" ht="15" x14ac:dyDescent="0.25">
      <c r="A21032" t="s">
        <v>24</v>
      </c>
      <c r="B21032" t="s">
        <v>1020</v>
      </c>
      <c r="C21032" t="str">
        <f>"A0092656"</f>
        <v>A0092656</v>
      </c>
      <c r="D21032" t="s">
        <v>69500</v>
      </c>
      <c r="E21032" t="s">
        <v>69501</v>
      </c>
      <c r="F21032" t="s">
        <v>997</v>
      </c>
      <c r="G21032" t="s">
        <v>99</v>
      </c>
      <c r="H21032">
        <v>10019</v>
      </c>
      <c r="I21032" t="s">
        <v>30</v>
      </c>
      <c r="J21032" t="s">
        <v>171</v>
      </c>
      <c r="K21032" t="s">
        <v>1331</v>
      </c>
      <c r="N21032" t="s">
        <v>69502</v>
      </c>
      <c r="Q21032">
        <v>0</v>
      </c>
      <c r="R21032">
        <v>401</v>
      </c>
      <c r="S21032">
        <v>0</v>
      </c>
      <c r="T21032" t="s">
        <v>69503</v>
      </c>
    </row>
    <row r="21033" spans="1:20" customFormat="1" ht="15" x14ac:dyDescent="0.25">
      <c r="A21033" t="s">
        <v>24</v>
      </c>
      <c r="B21033" t="s">
        <v>69504</v>
      </c>
      <c r="C21033" t="str">
        <f>"A0099066"</f>
        <v>A0099066</v>
      </c>
      <c r="D21033" t="s">
        <v>69505</v>
      </c>
      <c r="E21033" t="s">
        <v>69506</v>
      </c>
      <c r="F21033" t="s">
        <v>61260</v>
      </c>
      <c r="G21033" t="s">
        <v>29</v>
      </c>
      <c r="H21033">
        <v>23602</v>
      </c>
      <c r="I21033" t="s">
        <v>30</v>
      </c>
      <c r="J21033" t="s">
        <v>171</v>
      </c>
      <c r="K21033" t="s">
        <v>1331</v>
      </c>
      <c r="N21033" t="s">
        <v>12168</v>
      </c>
      <c r="Q21033">
        <v>0</v>
      </c>
      <c r="R21033">
        <v>122</v>
      </c>
      <c r="S21033">
        <v>0</v>
      </c>
      <c r="T21033" t="s">
        <v>69507</v>
      </c>
    </row>
    <row r="21034" spans="1:20" customFormat="1" ht="15" x14ac:dyDescent="0.25">
      <c r="A21034" t="s">
        <v>24</v>
      </c>
      <c r="B21034" t="s">
        <v>1020</v>
      </c>
      <c r="C21034" t="str">
        <f>"A0086380"</f>
        <v>A0086380</v>
      </c>
      <c r="D21034" t="s">
        <v>69514</v>
      </c>
      <c r="E21034" t="s">
        <v>69515</v>
      </c>
      <c r="F21034" t="s">
        <v>63325</v>
      </c>
      <c r="G21034" t="s">
        <v>117</v>
      </c>
      <c r="H21034">
        <v>48377</v>
      </c>
      <c r="I21034" t="s">
        <v>30</v>
      </c>
      <c r="J21034" t="s">
        <v>171</v>
      </c>
      <c r="K21034" t="s">
        <v>1331</v>
      </c>
      <c r="N21034" t="s">
        <v>69516</v>
      </c>
      <c r="Q21034">
        <v>0</v>
      </c>
      <c r="R21034">
        <v>148</v>
      </c>
      <c r="S21034">
        <v>0</v>
      </c>
      <c r="T21034" t="s">
        <v>69517</v>
      </c>
    </row>
    <row r="21035" spans="1:20" customFormat="1" ht="15" x14ac:dyDescent="0.25">
      <c r="A21035" t="s">
        <v>24</v>
      </c>
      <c r="B21035" t="s">
        <v>4400</v>
      </c>
      <c r="C21035" t="str">
        <f>"A0074287"</f>
        <v>A0074287</v>
      </c>
      <c r="D21035" t="s">
        <v>69518</v>
      </c>
      <c r="E21035" t="s">
        <v>69519</v>
      </c>
      <c r="F21035" t="s">
        <v>69520</v>
      </c>
      <c r="G21035" t="s">
        <v>161</v>
      </c>
      <c r="H21035">
        <v>55128</v>
      </c>
      <c r="I21035" t="s">
        <v>30</v>
      </c>
      <c r="J21035" t="s">
        <v>171</v>
      </c>
      <c r="K21035" t="s">
        <v>1331</v>
      </c>
      <c r="N21035" t="s">
        <v>69521</v>
      </c>
      <c r="O21035" t="s">
        <v>69522</v>
      </c>
      <c r="Q21035">
        <v>0</v>
      </c>
      <c r="R21035">
        <v>116</v>
      </c>
      <c r="S21035">
        <v>0</v>
      </c>
      <c r="T21035" t="s">
        <v>69523</v>
      </c>
    </row>
    <row r="21036" spans="1:20" customFormat="1" ht="15" x14ac:dyDescent="0.25">
      <c r="A21036" t="s">
        <v>24</v>
      </c>
      <c r="B21036" t="s">
        <v>2528</v>
      </c>
      <c r="C21036" t="str">
        <f>"A0061957"</f>
        <v>A0061957</v>
      </c>
      <c r="D21036" t="s">
        <v>69524</v>
      </c>
      <c r="E21036" t="s">
        <v>69525</v>
      </c>
      <c r="F21036" t="s">
        <v>860</v>
      </c>
      <c r="G21036" t="s">
        <v>289</v>
      </c>
      <c r="H21036">
        <v>62269</v>
      </c>
      <c r="I21036" t="s">
        <v>30</v>
      </c>
      <c r="J21036" t="s">
        <v>171</v>
      </c>
      <c r="K21036" t="s">
        <v>1331</v>
      </c>
      <c r="N21036" t="s">
        <v>69526</v>
      </c>
      <c r="Q21036">
        <v>0</v>
      </c>
      <c r="R21036">
        <v>128</v>
      </c>
      <c r="S21036">
        <v>0</v>
      </c>
      <c r="T21036" t="s">
        <v>69527</v>
      </c>
    </row>
    <row r="21037" spans="1:20" customFormat="1" ht="15" x14ac:dyDescent="0.25">
      <c r="A21037" t="s">
        <v>24</v>
      </c>
      <c r="B21037" t="s">
        <v>2812</v>
      </c>
      <c r="C21037" t="str">
        <f>"A0058251"</f>
        <v>A0058251</v>
      </c>
      <c r="D21037" t="s">
        <v>69528</v>
      </c>
      <c r="E21037" t="s">
        <v>69529</v>
      </c>
      <c r="F21037" t="s">
        <v>866</v>
      </c>
      <c r="G21037" t="s">
        <v>40</v>
      </c>
      <c r="H21037">
        <v>73108</v>
      </c>
      <c r="I21037" t="s">
        <v>30</v>
      </c>
      <c r="J21037" t="s">
        <v>171</v>
      </c>
      <c r="K21037" t="s">
        <v>1331</v>
      </c>
      <c r="N21037" t="s">
        <v>7048</v>
      </c>
      <c r="Q21037">
        <v>0</v>
      </c>
      <c r="R21037">
        <v>161</v>
      </c>
      <c r="S21037">
        <v>0</v>
      </c>
      <c r="T21037" t="s">
        <v>69530</v>
      </c>
    </row>
    <row r="21038" spans="1:20" customFormat="1" ht="15" x14ac:dyDescent="0.25">
      <c r="A21038" t="s">
        <v>24</v>
      </c>
      <c r="B21038" t="s">
        <v>2180</v>
      </c>
      <c r="C21038" t="str">
        <f>"A0156158"</f>
        <v>A0156158</v>
      </c>
      <c r="D21038" t="s">
        <v>69531</v>
      </c>
      <c r="E21038" t="s">
        <v>69532</v>
      </c>
      <c r="F21038" t="s">
        <v>69533</v>
      </c>
      <c r="G21038" t="s">
        <v>1369</v>
      </c>
      <c r="H21038">
        <v>38654</v>
      </c>
      <c r="I21038" t="s">
        <v>30</v>
      </c>
      <c r="J21038" t="s">
        <v>171</v>
      </c>
      <c r="K21038" t="s">
        <v>1331</v>
      </c>
      <c r="N21038" t="s">
        <v>2142</v>
      </c>
      <c r="O21038" t="s">
        <v>2185</v>
      </c>
      <c r="Q21038">
        <v>0</v>
      </c>
      <c r="R21038">
        <v>121</v>
      </c>
      <c r="S21038">
        <v>0</v>
      </c>
      <c r="T21038" t="s">
        <v>69534</v>
      </c>
    </row>
    <row r="21039" spans="1:20" customFormat="1" ht="15" x14ac:dyDescent="0.25">
      <c r="A21039" t="s">
        <v>24</v>
      </c>
      <c r="B21039" t="s">
        <v>1020</v>
      </c>
      <c r="C21039" t="str">
        <f>"A0090563"</f>
        <v>A0090563</v>
      </c>
      <c r="D21039" t="s">
        <v>69535</v>
      </c>
      <c r="E21039" t="s">
        <v>69536</v>
      </c>
      <c r="F21039" t="s">
        <v>1541</v>
      </c>
      <c r="G21039" t="s">
        <v>427</v>
      </c>
      <c r="H21039">
        <v>68102</v>
      </c>
      <c r="I21039" t="s">
        <v>30</v>
      </c>
      <c r="J21039" t="s">
        <v>171</v>
      </c>
      <c r="K21039" t="s">
        <v>1331</v>
      </c>
      <c r="N21039" t="s">
        <v>67611</v>
      </c>
      <c r="Q21039">
        <v>0</v>
      </c>
      <c r="R21039">
        <v>178</v>
      </c>
      <c r="S21039">
        <v>0</v>
      </c>
      <c r="T21039" t="s">
        <v>69537</v>
      </c>
    </row>
    <row r="21040" spans="1:20" customFormat="1" ht="15" x14ac:dyDescent="0.25">
      <c r="A21040" t="s">
        <v>24</v>
      </c>
      <c r="B21040" t="s">
        <v>13299</v>
      </c>
      <c r="C21040" t="str">
        <f>"88HL013"</f>
        <v>88HL013</v>
      </c>
      <c r="D21040" t="s">
        <v>69538</v>
      </c>
      <c r="E21040" t="s">
        <v>69539</v>
      </c>
      <c r="F21040" t="s">
        <v>985</v>
      </c>
      <c r="G21040" t="s">
        <v>81</v>
      </c>
      <c r="H21040">
        <v>32822</v>
      </c>
      <c r="I21040" t="s">
        <v>30</v>
      </c>
      <c r="J21040" t="s">
        <v>171</v>
      </c>
      <c r="K21040" t="s">
        <v>1331</v>
      </c>
      <c r="N21040" t="s">
        <v>69540</v>
      </c>
      <c r="O21040" t="s">
        <v>69541</v>
      </c>
      <c r="Q21040">
        <v>0</v>
      </c>
      <c r="R21040">
        <v>132</v>
      </c>
      <c r="S21040">
        <v>0</v>
      </c>
      <c r="T21040" t="s">
        <v>69542</v>
      </c>
    </row>
    <row r="21041" spans="1:20" customFormat="1" ht="15" x14ac:dyDescent="0.25">
      <c r="A21041" t="s">
        <v>24</v>
      </c>
      <c r="B21041" t="s">
        <v>1561</v>
      </c>
      <c r="C21041" t="str">
        <f>"A0058253"</f>
        <v>A0058253</v>
      </c>
      <c r="D21041" t="s">
        <v>69543</v>
      </c>
      <c r="E21041" t="s">
        <v>69544</v>
      </c>
      <c r="F21041" t="s">
        <v>985</v>
      </c>
      <c r="G21041" t="s">
        <v>81</v>
      </c>
      <c r="H21041">
        <v>32821</v>
      </c>
      <c r="I21041" t="s">
        <v>30</v>
      </c>
      <c r="J21041" t="s">
        <v>171</v>
      </c>
      <c r="K21041" t="s">
        <v>1331</v>
      </c>
      <c r="N21041" t="s">
        <v>3486</v>
      </c>
      <c r="O21041" t="s">
        <v>69545</v>
      </c>
      <c r="Q21041">
        <v>0</v>
      </c>
      <c r="R21041">
        <v>224</v>
      </c>
      <c r="S21041">
        <v>0</v>
      </c>
      <c r="T21041" t="s">
        <v>69546</v>
      </c>
    </row>
    <row r="21042" spans="1:20" customFormat="1" ht="15" x14ac:dyDescent="0.25">
      <c r="A21042" t="s">
        <v>24</v>
      </c>
      <c r="B21042" t="s">
        <v>55987</v>
      </c>
      <c r="C21042" t="str">
        <f>"A0088540"</f>
        <v>A0088540</v>
      </c>
      <c r="D21042" t="s">
        <v>69547</v>
      </c>
      <c r="E21042" t="s">
        <v>69548</v>
      </c>
      <c r="F21042" t="s">
        <v>61372</v>
      </c>
      <c r="G21042" t="s">
        <v>1706</v>
      </c>
      <c r="H21042">
        <v>36203</v>
      </c>
      <c r="I21042" t="s">
        <v>30</v>
      </c>
      <c r="J21042" t="s">
        <v>171</v>
      </c>
      <c r="K21042" t="s">
        <v>1331</v>
      </c>
      <c r="Q21042">
        <v>0</v>
      </c>
      <c r="R21042">
        <v>124</v>
      </c>
      <c r="S21042">
        <v>0</v>
      </c>
      <c r="T21042" t="s">
        <v>69549</v>
      </c>
    </row>
    <row r="21043" spans="1:20" customFormat="1" ht="15" x14ac:dyDescent="0.25">
      <c r="A21043" t="s">
        <v>24</v>
      </c>
      <c r="B21043" t="s">
        <v>54970</v>
      </c>
      <c r="C21043" t="str">
        <f>"A0087310"</f>
        <v>A0087310</v>
      </c>
      <c r="D21043" t="s">
        <v>69550</v>
      </c>
      <c r="E21043" t="s">
        <v>69551</v>
      </c>
      <c r="F21043" t="s">
        <v>6859</v>
      </c>
      <c r="G21043" t="s">
        <v>81</v>
      </c>
      <c r="H21043">
        <v>33410</v>
      </c>
      <c r="I21043" t="s">
        <v>30</v>
      </c>
      <c r="J21043" t="s">
        <v>171</v>
      </c>
      <c r="K21043" t="s">
        <v>1331</v>
      </c>
      <c r="N21043" t="s">
        <v>69552</v>
      </c>
      <c r="O21043" t="s">
        <v>69553</v>
      </c>
      <c r="Q21043">
        <v>0</v>
      </c>
      <c r="R21043">
        <v>180</v>
      </c>
      <c r="S21043">
        <v>0</v>
      </c>
      <c r="T21043" t="s">
        <v>69554</v>
      </c>
    </row>
    <row r="21044" spans="1:20" customFormat="1" ht="15" x14ac:dyDescent="0.25">
      <c r="A21044" t="s">
        <v>24</v>
      </c>
      <c r="B21044" t="s">
        <v>1849</v>
      </c>
      <c r="C21044" t="str">
        <f>"A0091826"</f>
        <v>A0091826</v>
      </c>
      <c r="D21044" t="s">
        <v>69555</v>
      </c>
      <c r="E21044" t="s">
        <v>69556</v>
      </c>
      <c r="F21044" t="s">
        <v>196</v>
      </c>
      <c r="G21044" t="s">
        <v>197</v>
      </c>
      <c r="H21044">
        <v>85008</v>
      </c>
      <c r="I21044" t="s">
        <v>30</v>
      </c>
      <c r="J21044" t="s">
        <v>171</v>
      </c>
      <c r="K21044" t="s">
        <v>1331</v>
      </c>
      <c r="N21044" t="s">
        <v>69557</v>
      </c>
      <c r="O21044" t="s">
        <v>69558</v>
      </c>
      <c r="Q21044">
        <v>0</v>
      </c>
      <c r="R21044">
        <v>192</v>
      </c>
      <c r="S21044">
        <v>0</v>
      </c>
      <c r="T21044" t="s">
        <v>69559</v>
      </c>
    </row>
    <row r="21045" spans="1:20" customFormat="1" ht="15" x14ac:dyDescent="0.25">
      <c r="A21045" t="s">
        <v>24</v>
      </c>
      <c r="B21045" t="s">
        <v>1561</v>
      </c>
      <c r="C21045" t="str">
        <f>"A0093699"</f>
        <v>A0093699</v>
      </c>
      <c r="D21045" t="s">
        <v>69560</v>
      </c>
      <c r="E21045" t="s">
        <v>69561</v>
      </c>
      <c r="F21045" t="s">
        <v>13036</v>
      </c>
      <c r="G21045" t="s">
        <v>197</v>
      </c>
      <c r="H21045">
        <v>85323</v>
      </c>
      <c r="I21045" t="s">
        <v>30</v>
      </c>
      <c r="J21045" t="s">
        <v>171</v>
      </c>
      <c r="K21045" t="s">
        <v>1331</v>
      </c>
      <c r="N21045" t="s">
        <v>69562</v>
      </c>
      <c r="O21045" t="s">
        <v>69563</v>
      </c>
      <c r="Q21045">
        <v>0</v>
      </c>
      <c r="R21045">
        <v>123</v>
      </c>
      <c r="S21045">
        <v>0</v>
      </c>
      <c r="T21045" t="s">
        <v>69564</v>
      </c>
    </row>
    <row r="21046" spans="1:20" customFormat="1" ht="15" x14ac:dyDescent="0.25">
      <c r="A21046" t="s">
        <v>24</v>
      </c>
      <c r="B21046" t="s">
        <v>1467</v>
      </c>
      <c r="C21046" t="str">
        <f>"A0076148"</f>
        <v>A0076148</v>
      </c>
      <c r="D21046" t="s">
        <v>69565</v>
      </c>
      <c r="E21046" t="s">
        <v>69566</v>
      </c>
      <c r="F21046" t="s">
        <v>58975</v>
      </c>
      <c r="G21046" t="s">
        <v>899</v>
      </c>
      <c r="H21046">
        <v>2360</v>
      </c>
      <c r="I21046" t="s">
        <v>30</v>
      </c>
      <c r="J21046" t="s">
        <v>171</v>
      </c>
      <c r="K21046" t="s">
        <v>1331</v>
      </c>
      <c r="N21046" t="s">
        <v>54968</v>
      </c>
      <c r="O21046" t="s">
        <v>69567</v>
      </c>
      <c r="Q21046">
        <v>0</v>
      </c>
      <c r="R21046">
        <v>130</v>
      </c>
      <c r="S21046">
        <v>0</v>
      </c>
      <c r="T21046" t="s">
        <v>69568</v>
      </c>
    </row>
    <row r="21047" spans="1:20" customFormat="1" ht="15" x14ac:dyDescent="0.25">
      <c r="A21047" t="s">
        <v>24</v>
      </c>
      <c r="B21047" t="s">
        <v>13807</v>
      </c>
      <c r="C21047" t="str">
        <f>"A0062053"</f>
        <v>A0062053</v>
      </c>
      <c r="D21047" t="s">
        <v>69569</v>
      </c>
      <c r="E21047" t="s">
        <v>69570</v>
      </c>
      <c r="F21047" t="s">
        <v>3802</v>
      </c>
      <c r="G21047" t="s">
        <v>47</v>
      </c>
      <c r="H21047">
        <v>97006</v>
      </c>
      <c r="I21047" t="s">
        <v>30</v>
      </c>
      <c r="J21047" t="s">
        <v>171</v>
      </c>
      <c r="K21047" t="s">
        <v>1331</v>
      </c>
      <c r="N21047" t="s">
        <v>69571</v>
      </c>
      <c r="O21047" t="s">
        <v>69572</v>
      </c>
      <c r="Q21047">
        <v>0</v>
      </c>
      <c r="R21047">
        <v>150</v>
      </c>
      <c r="S21047">
        <v>0</v>
      </c>
      <c r="T21047" t="s">
        <v>69573</v>
      </c>
    </row>
    <row r="21048" spans="1:20" customFormat="1" ht="15" x14ac:dyDescent="0.25">
      <c r="A21048" t="s">
        <v>24</v>
      </c>
      <c r="B21048" t="s">
        <v>2528</v>
      </c>
      <c r="C21048" t="str">
        <f>"A0092551"</f>
        <v>A0092551</v>
      </c>
      <c r="D21048" t="s">
        <v>69574</v>
      </c>
      <c r="E21048" t="s">
        <v>69575</v>
      </c>
      <c r="F21048" t="s">
        <v>14994</v>
      </c>
      <c r="G21048" t="s">
        <v>1363</v>
      </c>
      <c r="H21048">
        <v>3801</v>
      </c>
      <c r="I21048" t="s">
        <v>30</v>
      </c>
      <c r="J21048" t="s">
        <v>171</v>
      </c>
      <c r="K21048" t="s">
        <v>1331</v>
      </c>
      <c r="N21048" t="s">
        <v>69576</v>
      </c>
      <c r="O21048" t="s">
        <v>69577</v>
      </c>
      <c r="Q21048">
        <v>0</v>
      </c>
      <c r="R21048">
        <v>131</v>
      </c>
      <c r="S21048">
        <v>0</v>
      </c>
      <c r="T21048" t="s">
        <v>69578</v>
      </c>
    </row>
    <row r="21049" spans="1:20" customFormat="1" ht="15" x14ac:dyDescent="0.25">
      <c r="A21049" t="s">
        <v>24</v>
      </c>
      <c r="B21049" t="s">
        <v>1561</v>
      </c>
      <c r="C21049" t="str">
        <f>"A0101012"</f>
        <v>A0101012</v>
      </c>
      <c r="D21049" t="s">
        <v>69579</v>
      </c>
      <c r="E21049" t="s">
        <v>69580</v>
      </c>
      <c r="F21049" t="s">
        <v>61540</v>
      </c>
      <c r="G21049" t="s">
        <v>90</v>
      </c>
      <c r="H21049">
        <v>2886</v>
      </c>
      <c r="I21049" t="s">
        <v>30</v>
      </c>
      <c r="J21049" t="s">
        <v>171</v>
      </c>
      <c r="K21049" t="s">
        <v>1331</v>
      </c>
      <c r="N21049" t="s">
        <v>69581</v>
      </c>
      <c r="Q21049">
        <v>0</v>
      </c>
      <c r="R21049">
        <v>160</v>
      </c>
      <c r="S21049">
        <v>0</v>
      </c>
      <c r="T21049" t="s">
        <v>69582</v>
      </c>
    </row>
    <row r="21050" spans="1:20" customFormat="1" ht="15" x14ac:dyDescent="0.25">
      <c r="A21050" t="s">
        <v>24</v>
      </c>
      <c r="B21050" t="s">
        <v>1138</v>
      </c>
      <c r="C21050" t="str">
        <f>"A0075481"</f>
        <v>A0075481</v>
      </c>
      <c r="D21050" t="s">
        <v>69583</v>
      </c>
      <c r="E21050" t="s">
        <v>69584</v>
      </c>
      <c r="F21050" t="s">
        <v>61572</v>
      </c>
      <c r="G21050" t="s">
        <v>110</v>
      </c>
      <c r="H21050">
        <v>91730</v>
      </c>
      <c r="I21050" t="s">
        <v>30</v>
      </c>
      <c r="J21050" t="s">
        <v>171</v>
      </c>
      <c r="K21050" t="s">
        <v>1331</v>
      </c>
      <c r="N21050" t="s">
        <v>34463</v>
      </c>
      <c r="O21050" t="s">
        <v>69585</v>
      </c>
      <c r="Q21050">
        <v>0</v>
      </c>
      <c r="R21050">
        <v>122</v>
      </c>
      <c r="S21050">
        <v>0</v>
      </c>
      <c r="T21050" t="s">
        <v>69586</v>
      </c>
    </row>
    <row r="21051" spans="1:20" customFormat="1" ht="15" x14ac:dyDescent="0.25">
      <c r="A21051" t="s">
        <v>24</v>
      </c>
      <c r="B21051" t="s">
        <v>1561</v>
      </c>
      <c r="C21051" t="str">
        <f>"17513"</f>
        <v>17513</v>
      </c>
      <c r="D21051" t="s">
        <v>69587</v>
      </c>
      <c r="E21051" t="s">
        <v>69588</v>
      </c>
      <c r="F21051" t="s">
        <v>16350</v>
      </c>
      <c r="G21051" t="s">
        <v>29</v>
      </c>
      <c r="H21051">
        <v>23060</v>
      </c>
      <c r="I21051" t="s">
        <v>30</v>
      </c>
      <c r="J21051" t="s">
        <v>171</v>
      </c>
      <c r="K21051" t="s">
        <v>1331</v>
      </c>
      <c r="N21051" t="s">
        <v>69589</v>
      </c>
      <c r="O21051" t="s">
        <v>69590</v>
      </c>
      <c r="Q21051">
        <v>0</v>
      </c>
      <c r="R21051">
        <v>155</v>
      </c>
      <c r="S21051">
        <v>0</v>
      </c>
      <c r="T21051" t="s">
        <v>69591</v>
      </c>
    </row>
    <row r="21052" spans="1:20" customFormat="1" ht="15" x14ac:dyDescent="0.25">
      <c r="A21052" t="s">
        <v>24</v>
      </c>
      <c r="B21052" t="s">
        <v>2955</v>
      </c>
      <c r="C21052" t="str">
        <f>"A0067569"</f>
        <v>A0067569</v>
      </c>
      <c r="D21052" t="s">
        <v>69592</v>
      </c>
      <c r="E21052" t="s">
        <v>69593</v>
      </c>
      <c r="F21052" t="s">
        <v>69594</v>
      </c>
      <c r="G21052" t="s">
        <v>1587</v>
      </c>
      <c r="H21052">
        <v>87124</v>
      </c>
      <c r="I21052" t="s">
        <v>30</v>
      </c>
      <c r="J21052" t="s">
        <v>171</v>
      </c>
      <c r="K21052" t="s">
        <v>1331</v>
      </c>
      <c r="N21052" t="s">
        <v>69595</v>
      </c>
      <c r="O21052" t="s">
        <v>69596</v>
      </c>
      <c r="Q21052">
        <v>0</v>
      </c>
      <c r="R21052">
        <v>129</v>
      </c>
      <c r="S21052">
        <v>0</v>
      </c>
      <c r="T21052" t="s">
        <v>69597</v>
      </c>
    </row>
    <row r="21053" spans="1:20" customFormat="1" ht="15" x14ac:dyDescent="0.25">
      <c r="A21053" t="s">
        <v>24</v>
      </c>
      <c r="B21053" t="s">
        <v>5079</v>
      </c>
      <c r="C21053" t="str">
        <f>"A0094502"</f>
        <v>A0094502</v>
      </c>
      <c r="D21053" t="s">
        <v>69598</v>
      </c>
      <c r="E21053" t="s">
        <v>69599</v>
      </c>
      <c r="F21053" t="s">
        <v>69600</v>
      </c>
      <c r="G21053" t="s">
        <v>103</v>
      </c>
      <c r="H21053">
        <v>15205</v>
      </c>
      <c r="I21053" t="s">
        <v>30</v>
      </c>
      <c r="J21053" t="s">
        <v>171</v>
      </c>
      <c r="K21053" t="s">
        <v>1331</v>
      </c>
      <c r="N21053" t="s">
        <v>55466</v>
      </c>
      <c r="Q21053">
        <v>0</v>
      </c>
      <c r="R21053">
        <v>118</v>
      </c>
      <c r="S21053">
        <v>0</v>
      </c>
      <c r="T21053" t="s">
        <v>69601</v>
      </c>
    </row>
    <row r="21054" spans="1:20" customFormat="1" ht="15" x14ac:dyDescent="0.25">
      <c r="A21054" t="s">
        <v>24</v>
      </c>
      <c r="B21054" t="s">
        <v>5079</v>
      </c>
      <c r="C21054" t="str">
        <f>"A0094398"</f>
        <v>A0094398</v>
      </c>
      <c r="D21054" t="s">
        <v>69602</v>
      </c>
      <c r="E21054" t="s">
        <v>69603</v>
      </c>
      <c r="F21054" t="s">
        <v>1476</v>
      </c>
      <c r="G21054" t="s">
        <v>99</v>
      </c>
      <c r="H21054">
        <v>14620</v>
      </c>
      <c r="I21054" t="s">
        <v>30</v>
      </c>
      <c r="J21054" t="s">
        <v>171</v>
      </c>
      <c r="K21054" t="s">
        <v>1331</v>
      </c>
      <c r="N21054" t="s">
        <v>69604</v>
      </c>
      <c r="Q21054">
        <v>0</v>
      </c>
      <c r="R21054">
        <v>136</v>
      </c>
      <c r="S21054">
        <v>0</v>
      </c>
      <c r="T21054" t="s">
        <v>69605</v>
      </c>
    </row>
    <row r="21055" spans="1:20" customFormat="1" ht="15" x14ac:dyDescent="0.25">
      <c r="A21055" t="s">
        <v>24</v>
      </c>
      <c r="B21055" t="s">
        <v>2955</v>
      </c>
      <c r="C21055" t="str">
        <f>"A0067727"</f>
        <v>A0067727</v>
      </c>
      <c r="D21055" t="s">
        <v>69606</v>
      </c>
      <c r="E21055" t="s">
        <v>69607</v>
      </c>
      <c r="F21055" t="s">
        <v>60938</v>
      </c>
      <c r="G21055" t="s">
        <v>99</v>
      </c>
      <c r="H21055">
        <v>11779</v>
      </c>
      <c r="I21055" t="s">
        <v>30</v>
      </c>
      <c r="J21055" t="s">
        <v>171</v>
      </c>
      <c r="K21055" t="s">
        <v>1331</v>
      </c>
      <c r="N21055" t="s">
        <v>69608</v>
      </c>
      <c r="Q21055">
        <v>0</v>
      </c>
      <c r="R21055">
        <v>168</v>
      </c>
      <c r="S21055">
        <v>0</v>
      </c>
      <c r="T21055" t="s">
        <v>69609</v>
      </c>
    </row>
    <row r="21056" spans="1:20" customFormat="1" ht="15" x14ac:dyDescent="0.25">
      <c r="A21056" t="s">
        <v>24</v>
      </c>
      <c r="B21056" t="s">
        <v>2955</v>
      </c>
      <c r="C21056" t="str">
        <f>"SC155"</f>
        <v>SC155</v>
      </c>
      <c r="D21056" t="s">
        <v>69610</v>
      </c>
      <c r="E21056" t="s">
        <v>69611</v>
      </c>
      <c r="F21056" t="s">
        <v>3059</v>
      </c>
      <c r="G21056" t="s">
        <v>52</v>
      </c>
      <c r="H21056">
        <v>78681</v>
      </c>
      <c r="I21056" t="s">
        <v>30</v>
      </c>
      <c r="J21056" t="s">
        <v>171</v>
      </c>
      <c r="K21056" t="s">
        <v>1331</v>
      </c>
      <c r="N21056" t="s">
        <v>69612</v>
      </c>
      <c r="O21056" t="s">
        <v>69613</v>
      </c>
      <c r="Q21056">
        <v>0</v>
      </c>
      <c r="R21056">
        <v>122</v>
      </c>
      <c r="S21056">
        <v>0</v>
      </c>
      <c r="T21056" t="s">
        <v>69614</v>
      </c>
    </row>
    <row r="21057" spans="1:20" customFormat="1" ht="15" x14ac:dyDescent="0.25">
      <c r="A21057" t="s">
        <v>24</v>
      </c>
      <c r="B21057" t="s">
        <v>13679</v>
      </c>
      <c r="C21057" t="str">
        <f>"A0071830"</f>
        <v>A0071830</v>
      </c>
      <c r="D21057" t="s">
        <v>69615</v>
      </c>
      <c r="E21057" t="s">
        <v>69616</v>
      </c>
      <c r="F21057" t="s">
        <v>3517</v>
      </c>
      <c r="G21057" t="s">
        <v>110</v>
      </c>
      <c r="H21057">
        <v>95833</v>
      </c>
      <c r="I21057" t="s">
        <v>30</v>
      </c>
      <c r="J21057" t="s">
        <v>171</v>
      </c>
      <c r="K21057" t="s">
        <v>1331</v>
      </c>
      <c r="N21057" t="s">
        <v>69617</v>
      </c>
      <c r="Q21057">
        <v>0</v>
      </c>
      <c r="R21057">
        <v>154</v>
      </c>
      <c r="S21057">
        <v>0</v>
      </c>
      <c r="T21057" t="s">
        <v>69618</v>
      </c>
    </row>
    <row r="21058" spans="1:20" customFormat="1" ht="15" x14ac:dyDescent="0.25">
      <c r="A21058" t="s">
        <v>24</v>
      </c>
      <c r="B21058" t="s">
        <v>2340</v>
      </c>
      <c r="C21058" t="str">
        <f>"A0086925"</f>
        <v>A0086925</v>
      </c>
      <c r="D21058" t="s">
        <v>69619</v>
      </c>
      <c r="E21058" t="s">
        <v>69620</v>
      </c>
      <c r="F21058" t="s">
        <v>356</v>
      </c>
      <c r="G21058" t="s">
        <v>52</v>
      </c>
      <c r="H21058">
        <v>78217</v>
      </c>
      <c r="I21058" t="s">
        <v>30</v>
      </c>
      <c r="J21058" t="s">
        <v>171</v>
      </c>
      <c r="K21058" t="s">
        <v>1331</v>
      </c>
      <c r="N21058" t="s">
        <v>69621</v>
      </c>
      <c r="Q21058">
        <v>0</v>
      </c>
      <c r="R21058">
        <v>126</v>
      </c>
      <c r="S21058">
        <v>0</v>
      </c>
      <c r="T21058" t="s">
        <v>69622</v>
      </c>
    </row>
    <row r="21059" spans="1:20" customFormat="1" ht="15" x14ac:dyDescent="0.25">
      <c r="A21059" t="s">
        <v>24</v>
      </c>
      <c r="B21059" t="s">
        <v>1849</v>
      </c>
      <c r="C21059" t="str">
        <f>"A0145806"</f>
        <v>A0145806</v>
      </c>
      <c r="D21059" t="s">
        <v>69623</v>
      </c>
      <c r="E21059" t="s">
        <v>69624</v>
      </c>
      <c r="F21059" t="s">
        <v>356</v>
      </c>
      <c r="G21059" t="s">
        <v>52</v>
      </c>
      <c r="H21059">
        <v>78205</v>
      </c>
      <c r="I21059" t="s">
        <v>30</v>
      </c>
      <c r="J21059" t="s">
        <v>171</v>
      </c>
      <c r="K21059" t="s">
        <v>1331</v>
      </c>
      <c r="N21059" t="s">
        <v>69625</v>
      </c>
      <c r="O21059" t="s">
        <v>69626</v>
      </c>
      <c r="Q21059">
        <v>0</v>
      </c>
      <c r="R21059">
        <v>126</v>
      </c>
      <c r="S21059">
        <v>0</v>
      </c>
      <c r="T21059" t="s">
        <v>69627</v>
      </c>
    </row>
    <row r="21060" spans="1:20" customFormat="1" ht="15" x14ac:dyDescent="0.25">
      <c r="A21060" t="s">
        <v>24</v>
      </c>
      <c r="B21060" t="s">
        <v>55875</v>
      </c>
      <c r="C21060" t="str">
        <f>"A0083085"</f>
        <v>A0083085</v>
      </c>
      <c r="D21060" t="s">
        <v>69628</v>
      </c>
      <c r="E21060" t="s">
        <v>69629</v>
      </c>
      <c r="F21060" t="s">
        <v>2978</v>
      </c>
      <c r="G21060" t="s">
        <v>110</v>
      </c>
      <c r="H21060">
        <v>92123</v>
      </c>
      <c r="I21060" t="s">
        <v>30</v>
      </c>
      <c r="J21060" t="s">
        <v>171</v>
      </c>
      <c r="K21060" t="s">
        <v>1331</v>
      </c>
      <c r="N21060" t="s">
        <v>69630</v>
      </c>
      <c r="O21060" t="s">
        <v>69631</v>
      </c>
      <c r="Q21060">
        <v>0</v>
      </c>
      <c r="R21060">
        <v>178</v>
      </c>
      <c r="S21060">
        <v>0</v>
      </c>
      <c r="T21060" t="s">
        <v>69632</v>
      </c>
    </row>
    <row r="21061" spans="1:20" customFormat="1" ht="15" x14ac:dyDescent="0.25">
      <c r="A21061" t="s">
        <v>24</v>
      </c>
      <c r="B21061" t="s">
        <v>2368</v>
      </c>
      <c r="C21061" t="str">
        <f>"A0098402"</f>
        <v>A0098402</v>
      </c>
      <c r="D21061" t="s">
        <v>69633</v>
      </c>
      <c r="E21061" t="s">
        <v>69634</v>
      </c>
      <c r="F21061" t="s">
        <v>979</v>
      </c>
      <c r="G21061" t="s">
        <v>110</v>
      </c>
      <c r="H21061">
        <v>93117</v>
      </c>
      <c r="I21061" t="s">
        <v>30</v>
      </c>
      <c r="J21061" t="s">
        <v>171</v>
      </c>
      <c r="K21061" t="s">
        <v>1331</v>
      </c>
      <c r="N21061" t="s">
        <v>69635</v>
      </c>
      <c r="O21061" t="s">
        <v>69636</v>
      </c>
      <c r="Q21061">
        <v>0</v>
      </c>
      <c r="R21061">
        <v>138</v>
      </c>
      <c r="S21061">
        <v>0</v>
      </c>
      <c r="T21061" t="s">
        <v>69637</v>
      </c>
    </row>
    <row r="21062" spans="1:20" customFormat="1" ht="15" x14ac:dyDescent="0.25">
      <c r="A21062" t="s">
        <v>24</v>
      </c>
      <c r="B21062" t="s">
        <v>3159</v>
      </c>
      <c r="C21062" t="str">
        <f>"A0091160"</f>
        <v>A0091160</v>
      </c>
      <c r="D21062" t="s">
        <v>69638</v>
      </c>
      <c r="E21062" t="s">
        <v>69639</v>
      </c>
      <c r="F21062" t="s">
        <v>2839</v>
      </c>
      <c r="G21062" t="s">
        <v>846</v>
      </c>
      <c r="H21062">
        <v>31408</v>
      </c>
      <c r="I21062" t="s">
        <v>30</v>
      </c>
      <c r="J21062" t="s">
        <v>171</v>
      </c>
      <c r="K21062" t="s">
        <v>1331</v>
      </c>
      <c r="N21062" t="s">
        <v>69640</v>
      </c>
      <c r="O21062" t="s">
        <v>69641</v>
      </c>
      <c r="Q21062">
        <v>0</v>
      </c>
      <c r="R21062">
        <v>105</v>
      </c>
      <c r="S21062">
        <v>0</v>
      </c>
      <c r="T21062" t="s">
        <v>69642</v>
      </c>
    </row>
    <row r="21063" spans="1:20" customFormat="1" ht="15" x14ac:dyDescent="0.25">
      <c r="A21063" t="s">
        <v>24</v>
      </c>
      <c r="B21063" t="s">
        <v>1849</v>
      </c>
      <c r="C21063" t="str">
        <f>"A0095654"</f>
        <v>A0095654</v>
      </c>
      <c r="D21063" t="s">
        <v>69643</v>
      </c>
      <c r="E21063" t="s">
        <v>69644</v>
      </c>
      <c r="F21063" t="s">
        <v>2900</v>
      </c>
      <c r="G21063" t="s">
        <v>76</v>
      </c>
      <c r="H21063">
        <v>98101</v>
      </c>
      <c r="I21063" t="s">
        <v>30</v>
      </c>
      <c r="J21063" t="s">
        <v>171</v>
      </c>
      <c r="K21063" t="s">
        <v>1331</v>
      </c>
      <c r="N21063" t="s">
        <v>69645</v>
      </c>
      <c r="O21063" t="s">
        <v>69646</v>
      </c>
      <c r="Q21063">
        <v>0</v>
      </c>
      <c r="R21063">
        <v>222</v>
      </c>
      <c r="S21063">
        <v>0</v>
      </c>
      <c r="T21063" t="s">
        <v>69647</v>
      </c>
    </row>
    <row r="21064" spans="1:20" customFormat="1" ht="15" x14ac:dyDescent="0.25">
      <c r="A21064" t="s">
        <v>24</v>
      </c>
      <c r="B21064" t="s">
        <v>8579</v>
      </c>
      <c r="C21064" t="str">
        <f>"A0056970"</f>
        <v>A0056970</v>
      </c>
      <c r="D21064" t="s">
        <v>69648</v>
      </c>
      <c r="E21064" t="s">
        <v>69649</v>
      </c>
      <c r="F21064" t="s">
        <v>69650</v>
      </c>
      <c r="G21064" t="s">
        <v>110</v>
      </c>
      <c r="H21064">
        <v>94080</v>
      </c>
      <c r="I21064" t="s">
        <v>30</v>
      </c>
      <c r="J21064" t="s">
        <v>171</v>
      </c>
      <c r="K21064" t="s">
        <v>1331</v>
      </c>
      <c r="N21064" t="s">
        <v>69651</v>
      </c>
      <c r="O21064" t="s">
        <v>69652</v>
      </c>
      <c r="Q21064">
        <v>0</v>
      </c>
      <c r="R21064">
        <v>169</v>
      </c>
      <c r="S21064">
        <v>0</v>
      </c>
      <c r="T21064" t="s">
        <v>69653</v>
      </c>
    </row>
    <row r="21065" spans="1:20" customFormat="1" ht="15" x14ac:dyDescent="0.25">
      <c r="A21065" t="s">
        <v>24</v>
      </c>
      <c r="B21065" t="s">
        <v>2955</v>
      </c>
      <c r="C21065" t="str">
        <f>"A0089117"</f>
        <v>A0089117</v>
      </c>
      <c r="D21065" t="s">
        <v>69654</v>
      </c>
      <c r="E21065" t="s">
        <v>69655</v>
      </c>
      <c r="F21065" t="s">
        <v>61855</v>
      </c>
      <c r="G21065" t="s">
        <v>123</v>
      </c>
      <c r="H21065">
        <v>20904</v>
      </c>
      <c r="I21065" t="s">
        <v>30</v>
      </c>
      <c r="J21065" t="s">
        <v>171</v>
      </c>
      <c r="K21065" t="s">
        <v>1331</v>
      </c>
      <c r="N21065" t="s">
        <v>69656</v>
      </c>
      <c r="Q21065">
        <v>0</v>
      </c>
      <c r="R21065">
        <v>108</v>
      </c>
      <c r="S21065">
        <v>0</v>
      </c>
      <c r="T21065" t="s">
        <v>69657</v>
      </c>
    </row>
    <row r="21066" spans="1:20" customFormat="1" ht="15" x14ac:dyDescent="0.25">
      <c r="A21066" t="s">
        <v>24</v>
      </c>
      <c r="B21066" t="s">
        <v>4400</v>
      </c>
      <c r="C21066" t="str">
        <f>"SF08306"</f>
        <v>SF08306</v>
      </c>
      <c r="D21066" t="s">
        <v>69658</v>
      </c>
      <c r="E21066" t="s">
        <v>69659</v>
      </c>
      <c r="F21066" t="s">
        <v>1755</v>
      </c>
      <c r="G21066" t="s">
        <v>289</v>
      </c>
      <c r="H21066">
        <v>62703</v>
      </c>
      <c r="I21066" t="s">
        <v>30</v>
      </c>
      <c r="J21066" t="s">
        <v>171</v>
      </c>
      <c r="K21066" t="s">
        <v>1331</v>
      </c>
      <c r="N21066" t="s">
        <v>69660</v>
      </c>
      <c r="Q21066">
        <v>0</v>
      </c>
      <c r="R21066">
        <v>117</v>
      </c>
      <c r="S21066">
        <v>0</v>
      </c>
      <c r="T21066" t="s">
        <v>69661</v>
      </c>
    </row>
    <row r="21067" spans="1:20" customFormat="1" ht="15" x14ac:dyDescent="0.25">
      <c r="A21067" t="s">
        <v>24</v>
      </c>
      <c r="B21067" t="s">
        <v>1548</v>
      </c>
      <c r="C21067" t="str">
        <f>"A0091900"</f>
        <v>A0091900</v>
      </c>
      <c r="D21067" t="s">
        <v>69662</v>
      </c>
      <c r="E21067" t="s">
        <v>69663</v>
      </c>
      <c r="F21067" t="s">
        <v>69664</v>
      </c>
      <c r="G21067" t="s">
        <v>99</v>
      </c>
      <c r="H21067">
        <v>11790</v>
      </c>
      <c r="I21067" t="s">
        <v>30</v>
      </c>
      <c r="J21067" t="s">
        <v>171</v>
      </c>
      <c r="K21067" t="s">
        <v>1331</v>
      </c>
      <c r="N21067" t="s">
        <v>69665</v>
      </c>
      <c r="O21067" t="s">
        <v>69666</v>
      </c>
      <c r="Q21067">
        <v>0</v>
      </c>
      <c r="R21067">
        <v>135</v>
      </c>
      <c r="S21067">
        <v>0</v>
      </c>
      <c r="T21067" t="s">
        <v>69667</v>
      </c>
    </row>
    <row r="21068" spans="1:20" customFormat="1" ht="15" x14ac:dyDescent="0.25">
      <c r="A21068" t="s">
        <v>24</v>
      </c>
      <c r="B21068" t="s">
        <v>342</v>
      </c>
      <c r="C21068" t="str">
        <f>"A0088233"</f>
        <v>A0088233</v>
      </c>
      <c r="D21068" t="s">
        <v>69668</v>
      </c>
      <c r="E21068" t="s">
        <v>69669</v>
      </c>
      <c r="F21068" t="s">
        <v>3955</v>
      </c>
      <c r="G21068" t="s">
        <v>81</v>
      </c>
      <c r="H21068">
        <v>33607</v>
      </c>
      <c r="I21068" t="s">
        <v>30</v>
      </c>
      <c r="J21068" t="s">
        <v>171</v>
      </c>
      <c r="K21068" t="s">
        <v>1331</v>
      </c>
      <c r="N21068" t="s">
        <v>69670</v>
      </c>
      <c r="Q21068">
        <v>0</v>
      </c>
      <c r="R21068">
        <v>171</v>
      </c>
      <c r="S21068">
        <v>0</v>
      </c>
      <c r="T21068" t="s">
        <v>69671</v>
      </c>
    </row>
    <row r="21069" spans="1:20" customFormat="1" ht="15" x14ac:dyDescent="0.25">
      <c r="A21069" t="s">
        <v>24</v>
      </c>
      <c r="B21069" t="s">
        <v>1138</v>
      </c>
      <c r="C21069" t="str">
        <f>"A0098180"</f>
        <v>A0098180</v>
      </c>
      <c r="D21069" t="s">
        <v>69672</v>
      </c>
      <c r="E21069" t="s">
        <v>69673</v>
      </c>
      <c r="F21069" t="s">
        <v>1592</v>
      </c>
      <c r="G21069" t="s">
        <v>197</v>
      </c>
      <c r="H21069">
        <v>85281</v>
      </c>
      <c r="I21069" t="s">
        <v>30</v>
      </c>
      <c r="J21069" t="s">
        <v>171</v>
      </c>
      <c r="K21069" t="s">
        <v>1331</v>
      </c>
      <c r="N21069" t="s">
        <v>69674</v>
      </c>
      <c r="Q21069">
        <v>0</v>
      </c>
      <c r="R21069">
        <v>125</v>
      </c>
      <c r="S21069">
        <v>0</v>
      </c>
      <c r="T21069" t="s">
        <v>69675</v>
      </c>
    </row>
    <row r="21070" spans="1:20" customFormat="1" ht="15" x14ac:dyDescent="0.25">
      <c r="A21070" t="s">
        <v>24</v>
      </c>
      <c r="B21070" t="s">
        <v>68131</v>
      </c>
      <c r="C21070" t="str">
        <f>"A0086837"</f>
        <v>A0086837</v>
      </c>
      <c r="D21070" t="s">
        <v>69676</v>
      </c>
      <c r="E21070" t="s">
        <v>69677</v>
      </c>
      <c r="F21070" t="s">
        <v>5533</v>
      </c>
      <c r="G21070" t="s">
        <v>846</v>
      </c>
      <c r="H21070">
        <v>31793</v>
      </c>
      <c r="I21070" t="s">
        <v>30</v>
      </c>
      <c r="J21070" t="s">
        <v>171</v>
      </c>
      <c r="K21070" t="s">
        <v>1331</v>
      </c>
      <c r="N21070" t="s">
        <v>69678</v>
      </c>
      <c r="O21070" t="s">
        <v>69679</v>
      </c>
      <c r="Q21070">
        <v>0</v>
      </c>
      <c r="R21070">
        <v>105</v>
      </c>
      <c r="S21070">
        <v>0</v>
      </c>
      <c r="T21070" t="s">
        <v>69680</v>
      </c>
    </row>
    <row r="21071" spans="1:20" customFormat="1" ht="15" x14ac:dyDescent="0.25">
      <c r="A21071" t="s">
        <v>24</v>
      </c>
      <c r="B21071" t="s">
        <v>1020</v>
      </c>
      <c r="C21071" t="str">
        <f>"A0088197"</f>
        <v>A0088197</v>
      </c>
      <c r="D21071" t="s">
        <v>69708</v>
      </c>
      <c r="E21071" t="s">
        <v>69709</v>
      </c>
      <c r="F21071" t="s">
        <v>997</v>
      </c>
      <c r="G21071" t="s">
        <v>99</v>
      </c>
      <c r="H21071">
        <v>10013</v>
      </c>
      <c r="I21071" t="s">
        <v>30</v>
      </c>
      <c r="J21071" t="s">
        <v>171</v>
      </c>
      <c r="K21071" t="s">
        <v>1331</v>
      </c>
      <c r="N21071" t="s">
        <v>68520</v>
      </c>
      <c r="Q21071">
        <v>0</v>
      </c>
      <c r="R21071">
        <v>151</v>
      </c>
      <c r="S21071">
        <v>0</v>
      </c>
      <c r="T21071" t="s">
        <v>69710</v>
      </c>
    </row>
    <row r="21072" spans="1:20" customFormat="1" ht="15" x14ac:dyDescent="0.25">
      <c r="A21072" t="s">
        <v>24</v>
      </c>
      <c r="B21072" t="s">
        <v>33301</v>
      </c>
      <c r="C21072" t="str">
        <f>"A0095650"</f>
        <v>A0095650</v>
      </c>
      <c r="D21072" t="s">
        <v>69711</v>
      </c>
      <c r="E21072" t="s">
        <v>69712</v>
      </c>
      <c r="F21072" t="s">
        <v>796</v>
      </c>
      <c r="G21072" t="s">
        <v>197</v>
      </c>
      <c r="H21072">
        <v>85756</v>
      </c>
      <c r="I21072" t="s">
        <v>30</v>
      </c>
      <c r="J21072" t="s">
        <v>171</v>
      </c>
      <c r="K21072" t="s">
        <v>1331</v>
      </c>
      <c r="N21072" t="s">
        <v>69713</v>
      </c>
      <c r="Q21072">
        <v>0</v>
      </c>
      <c r="R21072">
        <v>125</v>
      </c>
      <c r="S21072">
        <v>0</v>
      </c>
      <c r="T21072" t="s">
        <v>69714</v>
      </c>
    </row>
    <row r="21073" spans="1:20" customFormat="1" ht="15" x14ac:dyDescent="0.25">
      <c r="A21073" t="s">
        <v>24</v>
      </c>
      <c r="B21073" t="s">
        <v>13807</v>
      </c>
      <c r="C21073" t="str">
        <f>"A0099478"</f>
        <v>A0099478</v>
      </c>
      <c r="D21073" t="s">
        <v>69715</v>
      </c>
      <c r="E21073" t="s">
        <v>69716</v>
      </c>
      <c r="F21073" t="s">
        <v>65639</v>
      </c>
      <c r="G21073" t="s">
        <v>433</v>
      </c>
      <c r="H21073">
        <v>83301</v>
      </c>
      <c r="I21073" t="s">
        <v>30</v>
      </c>
      <c r="J21073" t="s">
        <v>171</v>
      </c>
      <c r="K21073" t="s">
        <v>1331</v>
      </c>
      <c r="N21073" t="s">
        <v>69717</v>
      </c>
      <c r="O21073" t="s">
        <v>69718</v>
      </c>
      <c r="Q21073">
        <v>0</v>
      </c>
      <c r="R21073">
        <v>107</v>
      </c>
      <c r="S21073">
        <v>0</v>
      </c>
      <c r="T21073" t="s">
        <v>69719</v>
      </c>
    </row>
    <row r="21074" spans="1:20" customFormat="1" ht="15" x14ac:dyDescent="0.25">
      <c r="A21074" t="s">
        <v>24</v>
      </c>
      <c r="B21074" t="s">
        <v>3343</v>
      </c>
      <c r="C21074" t="str">
        <f>"A0145870"</f>
        <v>A0145870</v>
      </c>
      <c r="D21074" t="s">
        <v>69720</v>
      </c>
      <c r="E21074" t="s">
        <v>69721</v>
      </c>
      <c r="F21074" t="s">
        <v>1877</v>
      </c>
      <c r="G21074" t="s">
        <v>52</v>
      </c>
      <c r="H21074">
        <v>75703</v>
      </c>
      <c r="I21074" t="s">
        <v>30</v>
      </c>
      <c r="J21074" t="s">
        <v>171</v>
      </c>
      <c r="K21074" t="s">
        <v>1331</v>
      </c>
      <c r="N21074" t="s">
        <v>69722</v>
      </c>
      <c r="Q21074">
        <v>0</v>
      </c>
      <c r="R21074">
        <v>125</v>
      </c>
      <c r="S21074">
        <v>0</v>
      </c>
      <c r="T21074" t="s">
        <v>69723</v>
      </c>
    </row>
    <row r="21075" spans="1:20" customFormat="1" ht="15" x14ac:dyDescent="0.25">
      <c r="A21075" t="s">
        <v>24</v>
      </c>
      <c r="B21075" t="s">
        <v>5104</v>
      </c>
      <c r="C21075" t="str">
        <f>"A0097006"</f>
        <v>A0097006</v>
      </c>
      <c r="D21075" t="s">
        <v>69724</v>
      </c>
      <c r="E21075" t="s">
        <v>69725</v>
      </c>
      <c r="F21075" t="s">
        <v>60374</v>
      </c>
      <c r="G21075" t="s">
        <v>29</v>
      </c>
      <c r="H21075">
        <v>22182</v>
      </c>
      <c r="I21075" t="s">
        <v>30</v>
      </c>
      <c r="J21075" t="s">
        <v>171</v>
      </c>
      <c r="K21075" t="s">
        <v>1331</v>
      </c>
      <c r="N21075" t="s">
        <v>69726</v>
      </c>
      <c r="Q21075">
        <v>0</v>
      </c>
      <c r="R21075">
        <v>149</v>
      </c>
      <c r="S21075">
        <v>0</v>
      </c>
      <c r="T21075" t="s">
        <v>69727</v>
      </c>
    </row>
    <row r="21076" spans="1:20" customFormat="1" ht="15" x14ac:dyDescent="0.25">
      <c r="A21076" t="s">
        <v>24</v>
      </c>
      <c r="B21076" t="s">
        <v>69728</v>
      </c>
      <c r="C21076" t="str">
        <f>"A0083293"</f>
        <v>A0083293</v>
      </c>
      <c r="D21076" t="s">
        <v>69729</v>
      </c>
      <c r="E21076" t="s">
        <v>69730</v>
      </c>
      <c r="F21076" t="s">
        <v>69731</v>
      </c>
      <c r="G21076" t="s">
        <v>110</v>
      </c>
      <c r="H21076">
        <v>92395</v>
      </c>
      <c r="I21076" t="s">
        <v>30</v>
      </c>
      <c r="J21076" t="s">
        <v>171</v>
      </c>
      <c r="K21076" t="s">
        <v>1331</v>
      </c>
      <c r="N21076" t="s">
        <v>69732</v>
      </c>
      <c r="Q21076">
        <v>0</v>
      </c>
      <c r="R21076">
        <v>139</v>
      </c>
      <c r="S21076">
        <v>0</v>
      </c>
      <c r="T21076" t="s">
        <v>69733</v>
      </c>
    </row>
    <row r="21077" spans="1:20" customFormat="1" ht="15" x14ac:dyDescent="0.25">
      <c r="A21077" t="s">
        <v>24</v>
      </c>
      <c r="B21077" t="s">
        <v>2221</v>
      </c>
      <c r="C21077" t="str">
        <f>"A0067793"</f>
        <v>A0067793</v>
      </c>
      <c r="D21077" t="s">
        <v>69734</v>
      </c>
      <c r="E21077" t="s">
        <v>69735</v>
      </c>
      <c r="F21077" t="s">
        <v>16267</v>
      </c>
      <c r="G21077" t="s">
        <v>29</v>
      </c>
      <c r="H21077">
        <v>23462</v>
      </c>
      <c r="I21077" t="s">
        <v>30</v>
      </c>
      <c r="J21077" t="s">
        <v>171</v>
      </c>
      <c r="K21077" t="s">
        <v>1331</v>
      </c>
      <c r="N21077" t="s">
        <v>69736</v>
      </c>
      <c r="Q21077">
        <v>0</v>
      </c>
      <c r="R21077">
        <v>176</v>
      </c>
      <c r="S21077">
        <v>0</v>
      </c>
      <c r="T21077" t="s">
        <v>69737</v>
      </c>
    </row>
    <row r="21078" spans="1:20" customFormat="1" ht="15" x14ac:dyDescent="0.25">
      <c r="A21078" t="s">
        <v>24</v>
      </c>
      <c r="B21078" t="s">
        <v>1020</v>
      </c>
      <c r="C21078" t="str">
        <f>"A0086382"</f>
        <v>A0086382</v>
      </c>
      <c r="D21078" t="s">
        <v>69738</v>
      </c>
      <c r="E21078" t="s">
        <v>69739</v>
      </c>
      <c r="F21078" t="s">
        <v>13288</v>
      </c>
      <c r="G21078" t="s">
        <v>289</v>
      </c>
      <c r="H21078">
        <v>60555</v>
      </c>
      <c r="I21078" t="s">
        <v>30</v>
      </c>
      <c r="J21078" t="s">
        <v>171</v>
      </c>
      <c r="K21078" t="s">
        <v>1331</v>
      </c>
      <c r="N21078" t="s">
        <v>69740</v>
      </c>
      <c r="Q21078">
        <v>0</v>
      </c>
      <c r="R21078">
        <v>135</v>
      </c>
      <c r="S21078">
        <v>0</v>
      </c>
      <c r="T21078" t="s">
        <v>69741</v>
      </c>
    </row>
    <row r="21079" spans="1:20" customFormat="1" ht="15" x14ac:dyDescent="0.25">
      <c r="A21079" t="s">
        <v>24</v>
      </c>
      <c r="B21079" t="s">
        <v>5104</v>
      </c>
      <c r="C21079" t="str">
        <f>"A0093589"</f>
        <v>A0093589</v>
      </c>
      <c r="D21079" t="s">
        <v>69742</v>
      </c>
      <c r="E21079" t="s">
        <v>69743</v>
      </c>
      <c r="F21079" t="s">
        <v>313</v>
      </c>
      <c r="G21079" t="s">
        <v>314</v>
      </c>
      <c r="H21079">
        <v>20002</v>
      </c>
      <c r="I21079" t="s">
        <v>30</v>
      </c>
      <c r="J21079" t="s">
        <v>171</v>
      </c>
      <c r="K21079" t="s">
        <v>1331</v>
      </c>
      <c r="N21079" t="s">
        <v>69744</v>
      </c>
      <c r="Q21079">
        <v>0</v>
      </c>
      <c r="R21079">
        <v>204</v>
      </c>
      <c r="S21079">
        <v>0</v>
      </c>
      <c r="T21079" t="s">
        <v>69745</v>
      </c>
    </row>
    <row r="21080" spans="1:20" customFormat="1" ht="15" x14ac:dyDescent="0.25">
      <c r="A21080" t="s">
        <v>24</v>
      </c>
      <c r="B21080" t="s">
        <v>1138</v>
      </c>
      <c r="C21080" t="str">
        <f>"A0087712"</f>
        <v>A0087712</v>
      </c>
      <c r="D21080" t="s">
        <v>79239</v>
      </c>
      <c r="E21080" t="s">
        <v>79240</v>
      </c>
      <c r="F21080" t="s">
        <v>60879</v>
      </c>
      <c r="G21080" t="s">
        <v>123</v>
      </c>
      <c r="H21080">
        <v>20774</v>
      </c>
      <c r="I21080" t="s">
        <v>30</v>
      </c>
      <c r="J21080" t="s">
        <v>31</v>
      </c>
      <c r="K21080" t="s">
        <v>1450</v>
      </c>
      <c r="N21080" t="s">
        <v>60880</v>
      </c>
      <c r="Q21080">
        <v>0</v>
      </c>
      <c r="R21080">
        <v>101</v>
      </c>
      <c r="S21080">
        <v>0</v>
      </c>
      <c r="T21080" t="s">
        <v>79241</v>
      </c>
    </row>
    <row r="21081" spans="1:20" customFormat="1" ht="15" x14ac:dyDescent="0.25">
      <c r="A21081" t="s">
        <v>24</v>
      </c>
      <c r="B21081" t="s">
        <v>1020</v>
      </c>
      <c r="C21081" t="str">
        <f>"A0095583"</f>
        <v>A0095583</v>
      </c>
      <c r="D21081" t="s">
        <v>69746</v>
      </c>
      <c r="E21081" t="s">
        <v>69747</v>
      </c>
      <c r="F21081" t="s">
        <v>313</v>
      </c>
      <c r="G21081" t="s">
        <v>314</v>
      </c>
      <c r="H21081">
        <v>20037</v>
      </c>
      <c r="I21081" t="s">
        <v>30</v>
      </c>
      <c r="J21081" t="s">
        <v>171</v>
      </c>
      <c r="K21081" t="s">
        <v>1331</v>
      </c>
      <c r="N21081" t="s">
        <v>69748</v>
      </c>
      <c r="O21081" t="s">
        <v>69749</v>
      </c>
      <c r="Q21081">
        <v>0</v>
      </c>
      <c r="R21081">
        <v>238</v>
      </c>
      <c r="S21081">
        <v>0</v>
      </c>
      <c r="T21081" t="s">
        <v>69750</v>
      </c>
    </row>
    <row r="21082" spans="1:20" customFormat="1" ht="15" x14ac:dyDescent="0.25">
      <c r="A21082" t="s">
        <v>24</v>
      </c>
      <c r="B21082" t="s">
        <v>1561</v>
      </c>
      <c r="C21082" t="str">
        <f>"A0089626"</f>
        <v>A0089626</v>
      </c>
      <c r="D21082" t="s">
        <v>69751</v>
      </c>
      <c r="E21082" t="s">
        <v>69752</v>
      </c>
      <c r="F21082" t="s">
        <v>69753</v>
      </c>
      <c r="G21082" t="s">
        <v>1170</v>
      </c>
      <c r="H21082">
        <v>71292</v>
      </c>
      <c r="I21082" t="s">
        <v>30</v>
      </c>
      <c r="J21082" t="s">
        <v>171</v>
      </c>
      <c r="K21082" t="s">
        <v>1331</v>
      </c>
      <c r="N21082" t="s">
        <v>69754</v>
      </c>
      <c r="O21082" t="s">
        <v>69755</v>
      </c>
      <c r="Q21082">
        <v>0</v>
      </c>
      <c r="R21082">
        <v>134</v>
      </c>
      <c r="S21082">
        <v>0</v>
      </c>
      <c r="T21082" t="s">
        <v>69756</v>
      </c>
    </row>
    <row r="21083" spans="1:20" customFormat="1" ht="15" x14ac:dyDescent="0.25">
      <c r="A21083" t="s">
        <v>24</v>
      </c>
      <c r="B21083" t="s">
        <v>13730</v>
      </c>
      <c r="C21083" t="str">
        <f>"A0145475"</f>
        <v>A0145475</v>
      </c>
      <c r="D21083" t="s">
        <v>69757</v>
      </c>
      <c r="E21083" t="s">
        <v>69758</v>
      </c>
      <c r="F21083" t="s">
        <v>69759</v>
      </c>
      <c r="G21083" t="s">
        <v>81</v>
      </c>
      <c r="H21083">
        <v>33401</v>
      </c>
      <c r="I21083" t="s">
        <v>30</v>
      </c>
      <c r="J21083" t="s">
        <v>171</v>
      </c>
      <c r="K21083" t="s">
        <v>1331</v>
      </c>
      <c r="N21083" t="s">
        <v>69760</v>
      </c>
      <c r="O21083" t="s">
        <v>69761</v>
      </c>
      <c r="Q21083">
        <v>0</v>
      </c>
      <c r="R21083">
        <v>190</v>
      </c>
      <c r="S21083">
        <v>0</v>
      </c>
      <c r="T21083" t="s">
        <v>69762</v>
      </c>
    </row>
    <row r="21084" spans="1:20" customFormat="1" ht="15" x14ac:dyDescent="0.25">
      <c r="A21084" t="s">
        <v>24</v>
      </c>
      <c r="B21084" t="s">
        <v>2340</v>
      </c>
      <c r="C21084" t="str">
        <f>"A0100743"</f>
        <v>A0100743</v>
      </c>
      <c r="D21084" t="s">
        <v>69763</v>
      </c>
      <c r="E21084" t="s">
        <v>69764</v>
      </c>
      <c r="F21084" t="s">
        <v>69765</v>
      </c>
      <c r="G21084" t="s">
        <v>99</v>
      </c>
      <c r="H21084">
        <v>10522</v>
      </c>
      <c r="I21084" t="s">
        <v>30</v>
      </c>
      <c r="J21084" t="s">
        <v>171</v>
      </c>
      <c r="K21084" t="s">
        <v>1331</v>
      </c>
      <c r="N21084" t="s">
        <v>69766</v>
      </c>
      <c r="O21084" t="s">
        <v>69767</v>
      </c>
      <c r="Q21084">
        <v>0</v>
      </c>
      <c r="R21084">
        <v>143</v>
      </c>
      <c r="S21084">
        <v>0</v>
      </c>
      <c r="T21084" t="s">
        <v>69768</v>
      </c>
    </row>
    <row r="21085" spans="1:20" customFormat="1" ht="15" x14ac:dyDescent="0.25">
      <c r="A21085" t="s">
        <v>24</v>
      </c>
      <c r="B21085" t="s">
        <v>4400</v>
      </c>
      <c r="C21085" t="str">
        <f>"AC109081"</f>
        <v>AC109081</v>
      </c>
      <c r="D21085" t="s">
        <v>69769</v>
      </c>
      <c r="E21085" t="s">
        <v>69770</v>
      </c>
      <c r="F21085" t="s">
        <v>1871</v>
      </c>
      <c r="G21085" t="s">
        <v>925</v>
      </c>
      <c r="H21085">
        <v>67206</v>
      </c>
      <c r="I21085" t="s">
        <v>30</v>
      </c>
      <c r="J21085" t="s">
        <v>171</v>
      </c>
      <c r="K21085" t="s">
        <v>1331</v>
      </c>
      <c r="N21085" t="s">
        <v>69771</v>
      </c>
      <c r="O21085" t="s">
        <v>69772</v>
      </c>
      <c r="Q21085">
        <v>0</v>
      </c>
      <c r="R21085">
        <v>103</v>
      </c>
      <c r="S21085">
        <v>0</v>
      </c>
      <c r="T21085" t="s">
        <v>69773</v>
      </c>
    </row>
    <row r="21086" spans="1:20" customFormat="1" ht="15" x14ac:dyDescent="0.25">
      <c r="A21086" t="s">
        <v>24</v>
      </c>
      <c r="B21086" t="s">
        <v>734</v>
      </c>
      <c r="C21086" t="str">
        <f>"A0087105"</f>
        <v>A0087105</v>
      </c>
      <c r="D21086" t="s">
        <v>69774</v>
      </c>
      <c r="E21086" t="s">
        <v>69775</v>
      </c>
      <c r="F21086" t="s">
        <v>7449</v>
      </c>
      <c r="G21086" t="s">
        <v>197</v>
      </c>
      <c r="H21086">
        <v>85364</v>
      </c>
      <c r="I21086" t="s">
        <v>30</v>
      </c>
      <c r="J21086" t="s">
        <v>171</v>
      </c>
      <c r="K21086" t="s">
        <v>1331</v>
      </c>
      <c r="N21086" t="s">
        <v>69776</v>
      </c>
      <c r="O21086" t="s">
        <v>69777</v>
      </c>
      <c r="Q21086">
        <v>0</v>
      </c>
      <c r="R21086">
        <v>150</v>
      </c>
      <c r="S21086">
        <v>0</v>
      </c>
      <c r="T21086" t="s">
        <v>69778</v>
      </c>
    </row>
    <row r="21087" spans="1:20" customFormat="1" ht="15" x14ac:dyDescent="0.25">
      <c r="A21087" t="s">
        <v>24</v>
      </c>
      <c r="B21087" t="s">
        <v>2583</v>
      </c>
      <c r="C21087" t="str">
        <f>"88HI034"</f>
        <v>88HI034</v>
      </c>
      <c r="D21087" t="s">
        <v>70107</v>
      </c>
      <c r="E21087" t="s">
        <v>70108</v>
      </c>
      <c r="F21087" t="s">
        <v>7160</v>
      </c>
      <c r="G21087" t="s">
        <v>289</v>
      </c>
      <c r="H21087">
        <v>60007</v>
      </c>
      <c r="I21087" t="s">
        <v>30</v>
      </c>
      <c r="J21087" t="s">
        <v>171</v>
      </c>
      <c r="K21087" t="s">
        <v>854</v>
      </c>
      <c r="N21087" t="s">
        <v>70109</v>
      </c>
      <c r="O21087" t="s">
        <v>70110</v>
      </c>
      <c r="Q21087">
        <v>0</v>
      </c>
      <c r="R21087">
        <v>159</v>
      </c>
      <c r="S21087">
        <v>0</v>
      </c>
      <c r="T21087" t="s">
        <v>70111</v>
      </c>
    </row>
    <row r="21088" spans="1:20" customFormat="1" ht="15" x14ac:dyDescent="0.25">
      <c r="A21088" t="s">
        <v>24</v>
      </c>
      <c r="B21088" t="s">
        <v>2528</v>
      </c>
      <c r="C21088" t="str">
        <f>"A0090582"</f>
        <v>A0090582</v>
      </c>
      <c r="D21088" t="s">
        <v>71642</v>
      </c>
      <c r="E21088" t="s">
        <v>68931</v>
      </c>
      <c r="F21088" t="s">
        <v>2443</v>
      </c>
      <c r="G21088" t="s">
        <v>81</v>
      </c>
      <c r="H21088">
        <v>32207</v>
      </c>
      <c r="I21088" t="s">
        <v>30</v>
      </c>
      <c r="J21088" t="s">
        <v>171</v>
      </c>
      <c r="K21088" t="s">
        <v>1023</v>
      </c>
      <c r="N21088" t="s">
        <v>6445</v>
      </c>
      <c r="O21088" t="s">
        <v>68932</v>
      </c>
      <c r="Q21088">
        <v>0</v>
      </c>
      <c r="R21088">
        <v>123</v>
      </c>
      <c r="S21088">
        <v>0</v>
      </c>
      <c r="T21088" t="s">
        <v>71643</v>
      </c>
    </row>
    <row r="21089" spans="1:20" customFormat="1" ht="15" x14ac:dyDescent="0.25">
      <c r="A21089" t="s">
        <v>24</v>
      </c>
      <c r="B21089" t="s">
        <v>71644</v>
      </c>
      <c r="C21089" t="str">
        <f>"88HD011"</f>
        <v>88HD011</v>
      </c>
      <c r="D21089" t="s">
        <v>71645</v>
      </c>
      <c r="E21089" t="s">
        <v>71646</v>
      </c>
      <c r="F21089" t="s">
        <v>13414</v>
      </c>
      <c r="G21089" t="s">
        <v>925</v>
      </c>
      <c r="H21089">
        <v>66212</v>
      </c>
      <c r="I21089" t="s">
        <v>30</v>
      </c>
      <c r="J21089" t="s">
        <v>171</v>
      </c>
      <c r="K21089" t="s">
        <v>1023</v>
      </c>
      <c r="N21089" t="s">
        <v>71647</v>
      </c>
      <c r="Q21089">
        <v>0</v>
      </c>
      <c r="R21089">
        <v>92</v>
      </c>
      <c r="S21089">
        <v>0</v>
      </c>
      <c r="T21089" t="s">
        <v>71648</v>
      </c>
    </row>
    <row r="21090" spans="1:20" customFormat="1" ht="15" x14ac:dyDescent="0.25">
      <c r="A21090" t="s">
        <v>24</v>
      </c>
      <c r="B21090" t="s">
        <v>13679</v>
      </c>
      <c r="C21090" t="str">
        <f>"A0091051"</f>
        <v>A0091051</v>
      </c>
      <c r="D21090" t="s">
        <v>71649</v>
      </c>
      <c r="E21090" t="s">
        <v>71650</v>
      </c>
      <c r="F21090" t="s">
        <v>62023</v>
      </c>
      <c r="G21090" t="s">
        <v>110</v>
      </c>
      <c r="H21090">
        <v>91301</v>
      </c>
      <c r="I21090" t="s">
        <v>30</v>
      </c>
      <c r="J21090" t="s">
        <v>171</v>
      </c>
      <c r="K21090" t="s">
        <v>1023</v>
      </c>
      <c r="N21090" t="s">
        <v>71651</v>
      </c>
      <c r="Q21090">
        <v>0</v>
      </c>
      <c r="R21090">
        <v>125</v>
      </c>
      <c r="S21090">
        <v>0</v>
      </c>
      <c r="T21090" t="s">
        <v>71652</v>
      </c>
    </row>
    <row r="21091" spans="1:20" customFormat="1" ht="15" x14ac:dyDescent="0.25">
      <c r="A21091" t="s">
        <v>24</v>
      </c>
      <c r="B21091" t="s">
        <v>8579</v>
      </c>
      <c r="C21091" t="str">
        <f>"A0096084"</f>
        <v>A0096084</v>
      </c>
      <c r="D21091" t="s">
        <v>71653</v>
      </c>
      <c r="E21091" t="s">
        <v>71654</v>
      </c>
      <c r="F21091" t="s">
        <v>55687</v>
      </c>
      <c r="G21091" t="s">
        <v>110</v>
      </c>
      <c r="H21091">
        <v>92656</v>
      </c>
      <c r="I21091" t="s">
        <v>30</v>
      </c>
      <c r="J21091" t="s">
        <v>171</v>
      </c>
      <c r="K21091" t="s">
        <v>1023</v>
      </c>
      <c r="N21091" t="s">
        <v>4488</v>
      </c>
      <c r="Q21091">
        <v>0</v>
      </c>
      <c r="R21091">
        <v>129</v>
      </c>
      <c r="S21091">
        <v>0</v>
      </c>
      <c r="T21091" t="s">
        <v>71655</v>
      </c>
    </row>
    <row r="21092" spans="1:20" customFormat="1" ht="15" x14ac:dyDescent="0.25">
      <c r="A21092" t="s">
        <v>24</v>
      </c>
      <c r="B21092" t="s">
        <v>8579</v>
      </c>
      <c r="C21092" t="str">
        <f>"88HD008"</f>
        <v>88HD008</v>
      </c>
      <c r="D21092" t="s">
        <v>71656</v>
      </c>
      <c r="E21092" t="s">
        <v>71657</v>
      </c>
      <c r="F21092" t="s">
        <v>8319</v>
      </c>
      <c r="G21092" t="s">
        <v>110</v>
      </c>
      <c r="H21092">
        <v>92840</v>
      </c>
      <c r="I21092" t="s">
        <v>30</v>
      </c>
      <c r="J21092" t="s">
        <v>171</v>
      </c>
      <c r="K21092" t="s">
        <v>1023</v>
      </c>
      <c r="N21092" t="s">
        <v>67205</v>
      </c>
      <c r="O21092" t="s">
        <v>71658</v>
      </c>
      <c r="Q21092">
        <v>0</v>
      </c>
      <c r="R21092">
        <v>166</v>
      </c>
      <c r="S21092">
        <v>0</v>
      </c>
      <c r="T21092" t="s">
        <v>71659</v>
      </c>
    </row>
    <row r="21093" spans="1:20" customFormat="1" ht="15" x14ac:dyDescent="0.25">
      <c r="A21093" t="s">
        <v>24</v>
      </c>
      <c r="B21093" t="s">
        <v>13807</v>
      </c>
      <c r="C21093" t="str">
        <f>"A0117304"</f>
        <v>A0117304</v>
      </c>
      <c r="D21093" t="s">
        <v>71660</v>
      </c>
      <c r="E21093" t="s">
        <v>71661</v>
      </c>
      <c r="F21093" t="s">
        <v>3358</v>
      </c>
      <c r="G21093" t="s">
        <v>846</v>
      </c>
      <c r="H21093">
        <v>30601</v>
      </c>
      <c r="I21093" t="s">
        <v>30</v>
      </c>
      <c r="J21093" t="s">
        <v>171</v>
      </c>
      <c r="K21093" t="s">
        <v>1023</v>
      </c>
      <c r="N21093" t="s">
        <v>71662</v>
      </c>
      <c r="O21093" t="s">
        <v>67823</v>
      </c>
      <c r="Q21093">
        <v>0</v>
      </c>
      <c r="R21093">
        <v>130</v>
      </c>
      <c r="S21093">
        <v>0</v>
      </c>
      <c r="T21093" t="s">
        <v>71663</v>
      </c>
    </row>
    <row r="21094" spans="1:20" customFormat="1" ht="15" x14ac:dyDescent="0.25">
      <c r="A21094" t="s">
        <v>24</v>
      </c>
      <c r="B21094" t="s">
        <v>34033</v>
      </c>
      <c r="C21094" t="str">
        <f>"A0095677"</f>
        <v>A0095677</v>
      </c>
      <c r="D21094" t="s">
        <v>71664</v>
      </c>
      <c r="E21094" t="s">
        <v>71665</v>
      </c>
      <c r="F21094" t="s">
        <v>845</v>
      </c>
      <c r="G21094" t="s">
        <v>846</v>
      </c>
      <c r="H21094">
        <v>30328</v>
      </c>
      <c r="I21094" t="s">
        <v>30</v>
      </c>
      <c r="J21094" t="s">
        <v>171</v>
      </c>
      <c r="K21094" t="s">
        <v>1023</v>
      </c>
      <c r="N21094" t="s">
        <v>71666</v>
      </c>
      <c r="Q21094">
        <v>0</v>
      </c>
      <c r="R21094">
        <v>114</v>
      </c>
      <c r="S21094">
        <v>0</v>
      </c>
      <c r="T21094" t="s">
        <v>71667</v>
      </c>
    </row>
    <row r="21095" spans="1:20" customFormat="1" ht="15" x14ac:dyDescent="0.25">
      <c r="A21095" t="s">
        <v>24</v>
      </c>
      <c r="B21095" t="s">
        <v>2340</v>
      </c>
      <c r="C21095" t="str">
        <f>"A0145808"</f>
        <v>A0145808</v>
      </c>
      <c r="D21095" t="s">
        <v>71668</v>
      </c>
      <c r="E21095" t="s">
        <v>71669</v>
      </c>
      <c r="F21095" t="s">
        <v>372</v>
      </c>
      <c r="G21095" t="s">
        <v>52</v>
      </c>
      <c r="H21095">
        <v>78701</v>
      </c>
      <c r="I21095" t="s">
        <v>30</v>
      </c>
      <c r="J21095" t="s">
        <v>171</v>
      </c>
      <c r="K21095" t="s">
        <v>1023</v>
      </c>
      <c r="N21095" t="s">
        <v>71670</v>
      </c>
      <c r="Q21095">
        <v>0</v>
      </c>
      <c r="R21095">
        <v>150</v>
      </c>
      <c r="S21095">
        <v>0</v>
      </c>
      <c r="T21095" t="s">
        <v>71671</v>
      </c>
    </row>
    <row r="21096" spans="1:20" customFormat="1" ht="15" x14ac:dyDescent="0.25">
      <c r="A21096" t="s">
        <v>24</v>
      </c>
      <c r="B21096" t="s">
        <v>1561</v>
      </c>
      <c r="C21096" t="str">
        <f>"A0147499"</f>
        <v>A0147499</v>
      </c>
      <c r="D21096" t="s">
        <v>71672</v>
      </c>
      <c r="E21096" t="s">
        <v>71673</v>
      </c>
      <c r="F21096" t="s">
        <v>2531</v>
      </c>
      <c r="G21096" t="s">
        <v>123</v>
      </c>
      <c r="H21096">
        <v>21090</v>
      </c>
      <c r="I21096" t="s">
        <v>30</v>
      </c>
      <c r="J21096" t="s">
        <v>171</v>
      </c>
      <c r="K21096" t="s">
        <v>1023</v>
      </c>
      <c r="N21096" t="s">
        <v>71674</v>
      </c>
      <c r="O21096" t="s">
        <v>71675</v>
      </c>
      <c r="Q21096">
        <v>0</v>
      </c>
      <c r="R21096">
        <v>147</v>
      </c>
      <c r="S21096">
        <v>0</v>
      </c>
      <c r="T21096" t="s">
        <v>71676</v>
      </c>
    </row>
    <row r="21097" spans="1:20" customFormat="1" ht="15" x14ac:dyDescent="0.25">
      <c r="A21097" t="s">
        <v>24</v>
      </c>
      <c r="B21097" t="s">
        <v>4400</v>
      </c>
      <c r="C21097" t="str">
        <f>"A0093886"</f>
        <v>A0093886</v>
      </c>
      <c r="D21097" t="s">
        <v>71677</v>
      </c>
      <c r="E21097" t="s">
        <v>71678</v>
      </c>
      <c r="F21097" t="s">
        <v>34979</v>
      </c>
      <c r="G21097" t="s">
        <v>1170</v>
      </c>
      <c r="H21097">
        <v>70808</v>
      </c>
      <c r="I21097" t="s">
        <v>30</v>
      </c>
      <c r="J21097" t="s">
        <v>171</v>
      </c>
      <c r="K21097" t="s">
        <v>1023</v>
      </c>
      <c r="N21097" t="s">
        <v>71679</v>
      </c>
      <c r="Q21097">
        <v>0</v>
      </c>
      <c r="R21097">
        <v>115</v>
      </c>
      <c r="S21097">
        <v>0</v>
      </c>
      <c r="T21097" t="s">
        <v>71680</v>
      </c>
    </row>
    <row r="21098" spans="1:20" customFormat="1" ht="15" x14ac:dyDescent="0.25">
      <c r="A21098" t="s">
        <v>24</v>
      </c>
      <c r="B21098" t="s">
        <v>56702</v>
      </c>
      <c r="C21098" t="str">
        <f>"A0100613"</f>
        <v>A0100613</v>
      </c>
      <c r="D21098" t="s">
        <v>71681</v>
      </c>
      <c r="E21098" t="s">
        <v>71682</v>
      </c>
      <c r="F21098" t="s">
        <v>14623</v>
      </c>
      <c r="G21098" t="s">
        <v>110</v>
      </c>
      <c r="H21098">
        <v>94002</v>
      </c>
      <c r="I21098" t="s">
        <v>30</v>
      </c>
      <c r="J21098" t="s">
        <v>171</v>
      </c>
      <c r="K21098" t="s">
        <v>1023</v>
      </c>
      <c r="N21098" t="s">
        <v>71683</v>
      </c>
      <c r="Q21098">
        <v>0</v>
      </c>
      <c r="R21098">
        <v>96</v>
      </c>
      <c r="S21098">
        <v>0</v>
      </c>
      <c r="T21098" t="s">
        <v>71684</v>
      </c>
    </row>
    <row r="21099" spans="1:20" customFormat="1" ht="15" x14ac:dyDescent="0.25">
      <c r="A21099" t="s">
        <v>24</v>
      </c>
      <c r="B21099" t="s">
        <v>13807</v>
      </c>
      <c r="C21099" t="str">
        <f>"A0099479"</f>
        <v>A0099479</v>
      </c>
      <c r="D21099" t="s">
        <v>71685</v>
      </c>
      <c r="E21099" t="s">
        <v>71686</v>
      </c>
      <c r="F21099" t="s">
        <v>53770</v>
      </c>
      <c r="G21099" t="s">
        <v>433</v>
      </c>
      <c r="H21099">
        <v>83709</v>
      </c>
      <c r="I21099" t="s">
        <v>30</v>
      </c>
      <c r="J21099" t="s">
        <v>171</v>
      </c>
      <c r="K21099" t="s">
        <v>1023</v>
      </c>
      <c r="N21099" t="s">
        <v>71687</v>
      </c>
      <c r="O21099" t="s">
        <v>71688</v>
      </c>
      <c r="Q21099">
        <v>0</v>
      </c>
      <c r="R21099">
        <v>110</v>
      </c>
      <c r="S21099">
        <v>0</v>
      </c>
      <c r="T21099" t="s">
        <v>71689</v>
      </c>
    </row>
    <row r="21100" spans="1:20" customFormat="1" ht="15" x14ac:dyDescent="0.25">
      <c r="A21100" t="s">
        <v>24</v>
      </c>
      <c r="B21100" t="s">
        <v>342</v>
      </c>
      <c r="C21100" t="str">
        <f>"A0095182"</f>
        <v>A0095182</v>
      </c>
      <c r="D21100" t="s">
        <v>71690</v>
      </c>
      <c r="E21100" t="s">
        <v>71691</v>
      </c>
      <c r="F21100" t="s">
        <v>62476</v>
      </c>
      <c r="G21100" t="s">
        <v>81</v>
      </c>
      <c r="H21100">
        <v>34135</v>
      </c>
      <c r="I21100" t="s">
        <v>30</v>
      </c>
      <c r="J21100" t="s">
        <v>171</v>
      </c>
      <c r="K21100" t="s">
        <v>1023</v>
      </c>
      <c r="N21100" t="s">
        <v>33977</v>
      </c>
      <c r="O21100" t="s">
        <v>71692</v>
      </c>
      <c r="Q21100">
        <v>0</v>
      </c>
      <c r="R21100">
        <v>104</v>
      </c>
      <c r="S21100">
        <v>0</v>
      </c>
      <c r="T21100" t="s">
        <v>71693</v>
      </c>
    </row>
    <row r="21101" spans="1:20" customFormat="1" ht="15" x14ac:dyDescent="0.25">
      <c r="A21101" t="s">
        <v>24</v>
      </c>
      <c r="B21101" t="s">
        <v>2528</v>
      </c>
      <c r="C21101" t="str">
        <f>"A0091290"</f>
        <v>A0091290</v>
      </c>
      <c r="D21101" t="s">
        <v>71694</v>
      </c>
      <c r="E21101" t="s">
        <v>71695</v>
      </c>
      <c r="F21101" t="s">
        <v>59760</v>
      </c>
      <c r="G21101" t="s">
        <v>899</v>
      </c>
      <c r="H21101">
        <v>1821</v>
      </c>
      <c r="I21101" t="s">
        <v>30</v>
      </c>
      <c r="J21101" t="s">
        <v>171</v>
      </c>
      <c r="K21101" t="s">
        <v>1023</v>
      </c>
      <c r="N21101" t="s">
        <v>69033</v>
      </c>
      <c r="O21101" t="s">
        <v>14493</v>
      </c>
      <c r="Q21101">
        <v>0</v>
      </c>
      <c r="R21101">
        <v>132</v>
      </c>
      <c r="S21101">
        <v>0</v>
      </c>
      <c r="T21101" t="s">
        <v>71696</v>
      </c>
    </row>
    <row r="21102" spans="1:20" customFormat="1" ht="15" x14ac:dyDescent="0.25">
      <c r="A21102" t="s">
        <v>24</v>
      </c>
      <c r="B21102" t="s">
        <v>2955</v>
      </c>
      <c r="C21102" t="str">
        <f>"A0072951"</f>
        <v>A0072951</v>
      </c>
      <c r="D21102" t="s">
        <v>71694</v>
      </c>
      <c r="E21102" t="s">
        <v>71697</v>
      </c>
      <c r="F21102" t="s">
        <v>26172</v>
      </c>
      <c r="G21102" t="s">
        <v>899</v>
      </c>
      <c r="H21102">
        <v>1960</v>
      </c>
      <c r="I21102" t="s">
        <v>30</v>
      </c>
      <c r="J21102" t="s">
        <v>171</v>
      </c>
      <c r="K21102" t="s">
        <v>1023</v>
      </c>
      <c r="N21102" t="s">
        <v>71698</v>
      </c>
      <c r="O21102" t="s">
        <v>71699</v>
      </c>
      <c r="Q21102">
        <v>0</v>
      </c>
      <c r="R21102">
        <v>85</v>
      </c>
      <c r="S21102">
        <v>0</v>
      </c>
      <c r="T21102" t="s">
        <v>71700</v>
      </c>
    </row>
    <row r="21103" spans="1:20" customFormat="1" ht="15" x14ac:dyDescent="0.25">
      <c r="A21103" t="s">
        <v>24</v>
      </c>
      <c r="B21103" t="s">
        <v>5166</v>
      </c>
      <c r="C21103" t="str">
        <f>"A0072040"</f>
        <v>A0072040</v>
      </c>
      <c r="D21103" t="s">
        <v>71701</v>
      </c>
      <c r="E21103" t="s">
        <v>71702</v>
      </c>
      <c r="F21103" t="s">
        <v>3891</v>
      </c>
      <c r="G21103" t="s">
        <v>190</v>
      </c>
      <c r="H21103">
        <v>80303</v>
      </c>
      <c r="I21103" t="s">
        <v>30</v>
      </c>
      <c r="J21103" t="s">
        <v>171</v>
      </c>
      <c r="K21103" t="s">
        <v>1023</v>
      </c>
      <c r="N21103" t="s">
        <v>71703</v>
      </c>
      <c r="O21103" t="s">
        <v>71704</v>
      </c>
      <c r="Q21103">
        <v>0</v>
      </c>
      <c r="R21103">
        <v>112</v>
      </c>
      <c r="S21103">
        <v>0</v>
      </c>
      <c r="T21103" t="s">
        <v>71705</v>
      </c>
    </row>
    <row r="21104" spans="1:20" customFormat="1" ht="15" x14ac:dyDescent="0.25">
      <c r="A21104" t="s">
        <v>24</v>
      </c>
      <c r="B21104" t="s">
        <v>342</v>
      </c>
      <c r="C21104" t="str">
        <f>"A0074667"</f>
        <v>A0074667</v>
      </c>
      <c r="D21104" t="s">
        <v>71706</v>
      </c>
      <c r="E21104" t="s">
        <v>71707</v>
      </c>
      <c r="F21104" t="s">
        <v>1705</v>
      </c>
      <c r="G21104" t="s">
        <v>1706</v>
      </c>
      <c r="H21104">
        <v>35242</v>
      </c>
      <c r="I21104" t="s">
        <v>30</v>
      </c>
      <c r="J21104" t="s">
        <v>171</v>
      </c>
      <c r="K21104" t="s">
        <v>1023</v>
      </c>
      <c r="N21104" t="s">
        <v>71708</v>
      </c>
      <c r="O21104" t="s">
        <v>71709</v>
      </c>
      <c r="Q21104">
        <v>0</v>
      </c>
      <c r="R21104">
        <v>95</v>
      </c>
      <c r="S21104">
        <v>0</v>
      </c>
      <c r="T21104" t="s">
        <v>71710</v>
      </c>
    </row>
    <row r="21105" spans="1:20" customFormat="1" ht="15" x14ac:dyDescent="0.25">
      <c r="A21105" t="s">
        <v>24</v>
      </c>
      <c r="B21105" t="s">
        <v>13679</v>
      </c>
      <c r="C21105" t="str">
        <f>"SF01577"</f>
        <v>SF01577</v>
      </c>
      <c r="D21105" t="s">
        <v>71716</v>
      </c>
      <c r="E21105" t="s">
        <v>71717</v>
      </c>
      <c r="F21105" t="s">
        <v>15202</v>
      </c>
      <c r="G21105" t="s">
        <v>1170</v>
      </c>
      <c r="H21105">
        <v>71111</v>
      </c>
      <c r="I21105" t="s">
        <v>30</v>
      </c>
      <c r="J21105" t="s">
        <v>171</v>
      </c>
      <c r="K21105" t="s">
        <v>1023</v>
      </c>
      <c r="N21105" t="s">
        <v>68914</v>
      </c>
      <c r="O21105" t="s">
        <v>71718</v>
      </c>
      <c r="Q21105">
        <v>0</v>
      </c>
      <c r="R21105">
        <v>128</v>
      </c>
      <c r="S21105">
        <v>0</v>
      </c>
      <c r="T21105" t="s">
        <v>71719</v>
      </c>
    </row>
    <row r="21106" spans="1:20" customFormat="1" ht="15" x14ac:dyDescent="0.25">
      <c r="A21106" t="s">
        <v>24</v>
      </c>
      <c r="B21106" t="s">
        <v>13679</v>
      </c>
      <c r="C21106" t="str">
        <f>"A0091836"</f>
        <v>A0091836</v>
      </c>
      <c r="D21106" t="s">
        <v>71720</v>
      </c>
      <c r="E21106" t="s">
        <v>71721</v>
      </c>
      <c r="F21106" t="s">
        <v>71722</v>
      </c>
      <c r="G21106" t="s">
        <v>99</v>
      </c>
      <c r="H21106">
        <v>11514</v>
      </c>
      <c r="I21106" t="s">
        <v>30</v>
      </c>
      <c r="J21106" t="s">
        <v>171</v>
      </c>
      <c r="K21106" t="s">
        <v>1023</v>
      </c>
      <c r="N21106" t="s">
        <v>71723</v>
      </c>
      <c r="Q21106">
        <v>0</v>
      </c>
      <c r="R21106">
        <v>150</v>
      </c>
      <c r="S21106">
        <v>0</v>
      </c>
      <c r="T21106" t="s">
        <v>71724</v>
      </c>
    </row>
    <row r="21107" spans="1:20" customFormat="1" ht="15" x14ac:dyDescent="0.25">
      <c r="A21107" t="s">
        <v>24</v>
      </c>
      <c r="B21107" t="s">
        <v>257</v>
      </c>
      <c r="C21107" t="str">
        <f>"A0057389"</f>
        <v>A0057389</v>
      </c>
      <c r="D21107" t="s">
        <v>71725</v>
      </c>
      <c r="E21107" t="s">
        <v>71726</v>
      </c>
      <c r="F21107" t="s">
        <v>845</v>
      </c>
      <c r="G21107" t="s">
        <v>846</v>
      </c>
      <c r="H21107">
        <v>30305</v>
      </c>
      <c r="I21107" t="s">
        <v>30</v>
      </c>
      <c r="J21107" t="s">
        <v>171</v>
      </c>
      <c r="K21107" t="s">
        <v>1023</v>
      </c>
      <c r="N21107" t="s">
        <v>71727</v>
      </c>
      <c r="O21107" t="s">
        <v>71728</v>
      </c>
      <c r="Q21107">
        <v>0</v>
      </c>
      <c r="R21107">
        <v>92</v>
      </c>
      <c r="S21107">
        <v>0</v>
      </c>
      <c r="T21107" t="s">
        <v>71729</v>
      </c>
    </row>
    <row r="21108" spans="1:20" customFormat="1" ht="15" x14ac:dyDescent="0.25">
      <c r="A21108" t="s">
        <v>24</v>
      </c>
      <c r="B21108" t="s">
        <v>2955</v>
      </c>
      <c r="C21108" t="str">
        <f>"A0056216"</f>
        <v>A0056216</v>
      </c>
      <c r="D21108" t="s">
        <v>71730</v>
      </c>
      <c r="E21108" t="s">
        <v>71731</v>
      </c>
      <c r="F21108" t="s">
        <v>9854</v>
      </c>
      <c r="G21108" t="s">
        <v>846</v>
      </c>
      <c r="H21108">
        <v>30907</v>
      </c>
      <c r="I21108" t="s">
        <v>30</v>
      </c>
      <c r="J21108" t="s">
        <v>171</v>
      </c>
      <c r="K21108" t="s">
        <v>1023</v>
      </c>
      <c r="N21108" t="s">
        <v>71732</v>
      </c>
      <c r="Q21108">
        <v>0</v>
      </c>
      <c r="R21108">
        <v>65</v>
      </c>
      <c r="S21108">
        <v>0</v>
      </c>
      <c r="T21108" t="s">
        <v>71733</v>
      </c>
    </row>
    <row r="21109" spans="1:20" customFormat="1" ht="15" x14ac:dyDescent="0.25">
      <c r="A21109" t="s">
        <v>24</v>
      </c>
      <c r="B21109" t="s">
        <v>64587</v>
      </c>
      <c r="C21109" t="str">
        <f>"A0145463"</f>
        <v>A0145463</v>
      </c>
      <c r="D21109" t="s">
        <v>71734</v>
      </c>
      <c r="E21109" t="s">
        <v>71735</v>
      </c>
      <c r="F21109" t="s">
        <v>5706</v>
      </c>
      <c r="G21109" t="s">
        <v>1706</v>
      </c>
      <c r="H21109">
        <v>35205</v>
      </c>
      <c r="I21109" t="s">
        <v>30</v>
      </c>
      <c r="J21109" t="s">
        <v>171</v>
      </c>
      <c r="K21109" t="s">
        <v>1023</v>
      </c>
      <c r="N21109" t="s">
        <v>64592</v>
      </c>
      <c r="Q21109">
        <v>0</v>
      </c>
      <c r="R21109">
        <v>105</v>
      </c>
      <c r="S21109">
        <v>0</v>
      </c>
      <c r="T21109" t="s">
        <v>71736</v>
      </c>
    </row>
    <row r="21110" spans="1:20" customFormat="1" ht="15" x14ac:dyDescent="0.25">
      <c r="A21110" t="s">
        <v>24</v>
      </c>
      <c r="B21110" t="s">
        <v>57671</v>
      </c>
      <c r="C21110" t="str">
        <f>"A0117338"</f>
        <v>A0117338</v>
      </c>
      <c r="D21110" t="s">
        <v>71746</v>
      </c>
      <c r="E21110" t="s">
        <v>71747</v>
      </c>
      <c r="F21110" t="s">
        <v>5369</v>
      </c>
      <c r="G21110" t="s">
        <v>58</v>
      </c>
      <c r="H21110">
        <v>29403</v>
      </c>
      <c r="I21110" t="s">
        <v>30</v>
      </c>
      <c r="J21110" t="s">
        <v>171</v>
      </c>
      <c r="K21110" t="s">
        <v>1023</v>
      </c>
      <c r="N21110" t="s">
        <v>71748</v>
      </c>
      <c r="O21110" t="s">
        <v>71749</v>
      </c>
      <c r="Q21110">
        <v>0</v>
      </c>
      <c r="R21110">
        <v>139</v>
      </c>
      <c r="S21110">
        <v>0</v>
      </c>
      <c r="T21110" t="s">
        <v>71750</v>
      </c>
    </row>
    <row r="21111" spans="1:20" customFormat="1" ht="15" x14ac:dyDescent="0.25">
      <c r="A21111" t="s">
        <v>24</v>
      </c>
      <c r="B21111" t="s">
        <v>57671</v>
      </c>
      <c r="C21111" t="str">
        <f>"A0117336"</f>
        <v>A0117336</v>
      </c>
      <c r="D21111" t="s">
        <v>71751</v>
      </c>
      <c r="E21111" t="s">
        <v>71752</v>
      </c>
      <c r="F21111" t="s">
        <v>242</v>
      </c>
      <c r="G21111" t="s">
        <v>214</v>
      </c>
      <c r="H21111">
        <v>28277</v>
      </c>
      <c r="I21111" t="s">
        <v>30</v>
      </c>
      <c r="J21111" t="s">
        <v>171</v>
      </c>
      <c r="K21111" t="s">
        <v>1023</v>
      </c>
      <c r="N21111" t="s">
        <v>71753</v>
      </c>
      <c r="O21111" t="s">
        <v>71754</v>
      </c>
      <c r="Q21111">
        <v>0</v>
      </c>
      <c r="R21111">
        <v>117</v>
      </c>
      <c r="S21111">
        <v>0</v>
      </c>
      <c r="T21111" t="s">
        <v>71755</v>
      </c>
    </row>
    <row r="21112" spans="1:20" customFormat="1" ht="15" x14ac:dyDescent="0.25">
      <c r="A21112" t="s">
        <v>24</v>
      </c>
      <c r="B21112" t="s">
        <v>34033</v>
      </c>
      <c r="C21112" t="str">
        <f>"A0085852"</f>
        <v>A0085852</v>
      </c>
      <c r="D21112" t="s">
        <v>71756</v>
      </c>
      <c r="E21112" t="s">
        <v>71757</v>
      </c>
      <c r="F21112" t="s">
        <v>1525</v>
      </c>
      <c r="G21112" t="s">
        <v>846</v>
      </c>
      <c r="H21112">
        <v>31909</v>
      </c>
      <c r="I21112" t="s">
        <v>30</v>
      </c>
      <c r="J21112" t="s">
        <v>171</v>
      </c>
      <c r="K21112" t="s">
        <v>1023</v>
      </c>
      <c r="N21112" t="s">
        <v>71758</v>
      </c>
      <c r="O21112" t="s">
        <v>71759</v>
      </c>
      <c r="Q21112">
        <v>0</v>
      </c>
      <c r="R21112">
        <v>91</v>
      </c>
      <c r="S21112">
        <v>0</v>
      </c>
      <c r="T21112" t="s">
        <v>71760</v>
      </c>
    </row>
    <row r="21113" spans="1:20" customFormat="1" ht="15" x14ac:dyDescent="0.25">
      <c r="A21113" t="s">
        <v>24</v>
      </c>
      <c r="B21113" t="s">
        <v>7051</v>
      </c>
      <c r="C21113" t="str">
        <f>"A0085807"</f>
        <v>A0085807</v>
      </c>
      <c r="D21113" t="s">
        <v>71761</v>
      </c>
      <c r="E21113" t="s">
        <v>71762</v>
      </c>
      <c r="F21113" t="s">
        <v>71763</v>
      </c>
      <c r="G21113" t="s">
        <v>214</v>
      </c>
      <c r="H21113">
        <v>28036</v>
      </c>
      <c r="I21113" t="s">
        <v>30</v>
      </c>
      <c r="J21113" t="s">
        <v>171</v>
      </c>
      <c r="K21113" t="s">
        <v>1023</v>
      </c>
      <c r="N21113" t="s">
        <v>71764</v>
      </c>
      <c r="O21113" t="s">
        <v>7055</v>
      </c>
      <c r="Q21113">
        <v>0</v>
      </c>
      <c r="R21113">
        <v>128</v>
      </c>
      <c r="S21113">
        <v>0</v>
      </c>
      <c r="T21113" t="s">
        <v>71765</v>
      </c>
    </row>
    <row r="21114" spans="1:20" customFormat="1" ht="15" x14ac:dyDescent="0.25">
      <c r="A21114" t="s">
        <v>24</v>
      </c>
      <c r="B21114" t="s">
        <v>2528</v>
      </c>
      <c r="C21114" t="str">
        <f>"A0091540"</f>
        <v>A0091540</v>
      </c>
      <c r="D21114" t="s">
        <v>71766</v>
      </c>
      <c r="E21114" t="s">
        <v>71767</v>
      </c>
      <c r="F21114" t="s">
        <v>6014</v>
      </c>
      <c r="G21114" t="s">
        <v>615</v>
      </c>
      <c r="H21114">
        <v>6032</v>
      </c>
      <c r="I21114" t="s">
        <v>30</v>
      </c>
      <c r="J21114" t="s">
        <v>171</v>
      </c>
      <c r="K21114" t="s">
        <v>1023</v>
      </c>
      <c r="N21114" t="s">
        <v>71768</v>
      </c>
      <c r="O21114" t="s">
        <v>71769</v>
      </c>
      <c r="Q21114">
        <v>0</v>
      </c>
      <c r="R21114">
        <v>121</v>
      </c>
      <c r="S21114">
        <v>0</v>
      </c>
      <c r="T21114" t="s">
        <v>71770</v>
      </c>
    </row>
    <row r="21115" spans="1:20" customFormat="1" ht="15" x14ac:dyDescent="0.25">
      <c r="A21115" t="s">
        <v>24</v>
      </c>
      <c r="B21115" t="s">
        <v>1092</v>
      </c>
      <c r="C21115" t="str">
        <f>"A0099099"</f>
        <v>A0099099</v>
      </c>
      <c r="D21115" t="s">
        <v>71771</v>
      </c>
      <c r="E21115" t="s">
        <v>71772</v>
      </c>
      <c r="F21115" t="s">
        <v>60506</v>
      </c>
      <c r="G21115" t="s">
        <v>29</v>
      </c>
      <c r="H21115">
        <v>22401</v>
      </c>
      <c r="I21115" t="s">
        <v>30</v>
      </c>
      <c r="J21115" t="s">
        <v>171</v>
      </c>
      <c r="K21115" t="s">
        <v>1023</v>
      </c>
      <c r="N21115" t="s">
        <v>71773</v>
      </c>
      <c r="O21115" t="s">
        <v>71774</v>
      </c>
      <c r="Q21115">
        <v>0</v>
      </c>
      <c r="R21115">
        <v>122</v>
      </c>
      <c r="S21115">
        <v>0</v>
      </c>
      <c r="T21115" t="s">
        <v>71775</v>
      </c>
    </row>
    <row r="21116" spans="1:20" customFormat="1" ht="15" x14ac:dyDescent="0.25">
      <c r="A21116" t="s">
        <v>24</v>
      </c>
      <c r="B21116" t="s">
        <v>342</v>
      </c>
      <c r="C21116" t="str">
        <f>"A0074670"</f>
        <v>A0074670</v>
      </c>
      <c r="D21116" t="s">
        <v>71776</v>
      </c>
      <c r="E21116" t="s">
        <v>71777</v>
      </c>
      <c r="F21116" t="s">
        <v>6290</v>
      </c>
      <c r="G21116" t="s">
        <v>81</v>
      </c>
      <c r="H21116">
        <v>32608</v>
      </c>
      <c r="I21116" t="s">
        <v>30</v>
      </c>
      <c r="J21116" t="s">
        <v>171</v>
      </c>
      <c r="K21116" t="s">
        <v>1023</v>
      </c>
      <c r="N21116" t="s">
        <v>71778</v>
      </c>
      <c r="O21116" t="s">
        <v>71779</v>
      </c>
      <c r="Q21116">
        <v>0</v>
      </c>
      <c r="R21116">
        <v>103</v>
      </c>
      <c r="S21116">
        <v>0</v>
      </c>
      <c r="T21116" t="s">
        <v>71780</v>
      </c>
    </row>
    <row r="21117" spans="1:20" customFormat="1" ht="15" x14ac:dyDescent="0.25">
      <c r="A21117" t="s">
        <v>24</v>
      </c>
      <c r="B21117" t="s">
        <v>5104</v>
      </c>
      <c r="C21117" t="str">
        <f>"A0078303"</f>
        <v>A0078303</v>
      </c>
      <c r="D21117" t="s">
        <v>71781</v>
      </c>
      <c r="E21117" t="s">
        <v>71782</v>
      </c>
      <c r="F21117" t="s">
        <v>1564</v>
      </c>
      <c r="G21117" t="s">
        <v>52</v>
      </c>
      <c r="H21117">
        <v>77056</v>
      </c>
      <c r="I21117" t="s">
        <v>30</v>
      </c>
      <c r="J21117" t="s">
        <v>171</v>
      </c>
      <c r="K21117" t="s">
        <v>1023</v>
      </c>
      <c r="N21117" t="s">
        <v>71783</v>
      </c>
      <c r="Q21117">
        <v>0</v>
      </c>
      <c r="R21117">
        <v>162</v>
      </c>
      <c r="S21117">
        <v>0</v>
      </c>
      <c r="T21117" t="s">
        <v>71784</v>
      </c>
    </row>
    <row r="21118" spans="1:20" customFormat="1" ht="15" x14ac:dyDescent="0.25">
      <c r="A21118" t="s">
        <v>24</v>
      </c>
      <c r="B21118" t="s">
        <v>2180</v>
      </c>
      <c r="C21118" t="str">
        <f>"A0158468"</f>
        <v>A0158468</v>
      </c>
      <c r="D21118" t="s">
        <v>71785</v>
      </c>
      <c r="E21118" t="s">
        <v>71786</v>
      </c>
      <c r="F21118" t="s">
        <v>5833</v>
      </c>
      <c r="G21118" t="s">
        <v>1369</v>
      </c>
      <c r="H21118">
        <v>39216</v>
      </c>
      <c r="I21118" t="s">
        <v>30</v>
      </c>
      <c r="J21118" t="s">
        <v>171</v>
      </c>
      <c r="K21118" t="s">
        <v>1023</v>
      </c>
      <c r="N21118" t="s">
        <v>71787</v>
      </c>
      <c r="Q21118">
        <v>0</v>
      </c>
      <c r="R21118">
        <v>125</v>
      </c>
      <c r="S21118">
        <v>0</v>
      </c>
      <c r="T21118" t="s">
        <v>71788</v>
      </c>
    </row>
    <row r="21119" spans="1:20" customFormat="1" ht="15" hidden="1" x14ac:dyDescent="0.25">
      <c r="A21119" t="s">
        <v>24</v>
      </c>
      <c r="B21119" t="s">
        <v>5435</v>
      </c>
      <c r="C21119" t="str">
        <f>"56931"</f>
        <v>56931</v>
      </c>
      <c r="D21119" t="s">
        <v>79403</v>
      </c>
      <c r="E21119" t="s">
        <v>79404</v>
      </c>
      <c r="F21119" t="s">
        <v>71713</v>
      </c>
      <c r="G21119" t="s">
        <v>5439</v>
      </c>
      <c r="H21119" t="s">
        <v>79405</v>
      </c>
      <c r="I21119" t="s">
        <v>1459</v>
      </c>
      <c r="J21119" t="s">
        <v>171</v>
      </c>
      <c r="K21119" t="s">
        <v>1450</v>
      </c>
      <c r="N21119" t="s">
        <v>79406</v>
      </c>
      <c r="Q21119">
        <v>0</v>
      </c>
      <c r="R21119">
        <v>127</v>
      </c>
      <c r="S21119">
        <v>0</v>
      </c>
      <c r="T21119" t="s">
        <v>79407</v>
      </c>
    </row>
    <row r="21120" spans="1:20" customFormat="1" ht="15" hidden="1" x14ac:dyDescent="0.25">
      <c r="A21120" t="s">
        <v>24</v>
      </c>
      <c r="B21120" t="s">
        <v>675</v>
      </c>
      <c r="C21120" t="str">
        <f>"56927"</f>
        <v>56927</v>
      </c>
      <c r="D21120" t="s">
        <v>79408</v>
      </c>
      <c r="E21120" t="s">
        <v>79409</v>
      </c>
      <c r="F21120" t="s">
        <v>5438</v>
      </c>
      <c r="G21120" t="s">
        <v>5439</v>
      </c>
      <c r="H21120" t="s">
        <v>79410</v>
      </c>
      <c r="I21120" t="s">
        <v>1459</v>
      </c>
      <c r="J21120" t="s">
        <v>171</v>
      </c>
      <c r="K21120" t="s">
        <v>1450</v>
      </c>
      <c r="N21120" t="s">
        <v>79411</v>
      </c>
      <c r="O21120" t="s">
        <v>79412</v>
      </c>
      <c r="Q21120">
        <v>0</v>
      </c>
      <c r="R21120">
        <v>190</v>
      </c>
      <c r="S21120">
        <v>0</v>
      </c>
      <c r="T21120" t="s">
        <v>79413</v>
      </c>
    </row>
    <row r="21121" spans="1:20" customFormat="1" ht="15" x14ac:dyDescent="0.25">
      <c r="A21121" t="s">
        <v>24</v>
      </c>
      <c r="B21121" t="s">
        <v>342</v>
      </c>
      <c r="C21121" t="str">
        <f>"A0074669"</f>
        <v>A0074669</v>
      </c>
      <c r="D21121" t="s">
        <v>71789</v>
      </c>
      <c r="E21121" t="s">
        <v>71790</v>
      </c>
      <c r="F21121" t="s">
        <v>4645</v>
      </c>
      <c r="G21121" t="s">
        <v>81</v>
      </c>
      <c r="H21121">
        <v>32246</v>
      </c>
      <c r="I21121" t="s">
        <v>30</v>
      </c>
      <c r="J21121" t="s">
        <v>171</v>
      </c>
      <c r="K21121" t="s">
        <v>1023</v>
      </c>
      <c r="N21121" t="s">
        <v>71791</v>
      </c>
      <c r="O21121" t="s">
        <v>71792</v>
      </c>
      <c r="Q21121">
        <v>0</v>
      </c>
      <c r="R21121">
        <v>119</v>
      </c>
      <c r="S21121">
        <v>0</v>
      </c>
      <c r="T21121" t="s">
        <v>71793</v>
      </c>
    </row>
    <row r="21122" spans="1:20" customFormat="1" ht="15" x14ac:dyDescent="0.25">
      <c r="A21122" t="s">
        <v>24</v>
      </c>
      <c r="B21122" t="s">
        <v>1317</v>
      </c>
      <c r="C21122" t="str">
        <f>"A0086766"</f>
        <v>A0086766</v>
      </c>
      <c r="D21122" t="s">
        <v>71794</v>
      </c>
      <c r="E21122" t="s">
        <v>71795</v>
      </c>
      <c r="F21122" t="s">
        <v>6873</v>
      </c>
      <c r="G21122" t="s">
        <v>47</v>
      </c>
      <c r="H21122">
        <v>97504</v>
      </c>
      <c r="I21122" t="s">
        <v>30</v>
      </c>
      <c r="J21122" t="s">
        <v>171</v>
      </c>
      <c r="K21122" t="s">
        <v>1023</v>
      </c>
      <c r="N21122" t="s">
        <v>69423</v>
      </c>
      <c r="Q21122">
        <v>0</v>
      </c>
      <c r="R21122">
        <v>109</v>
      </c>
      <c r="S21122">
        <v>0</v>
      </c>
      <c r="T21122" t="s">
        <v>71796</v>
      </c>
    </row>
    <row r="21123" spans="1:20" customFormat="1" ht="15" hidden="1" x14ac:dyDescent="0.25">
      <c r="A21123" t="s">
        <v>24</v>
      </c>
      <c r="B21123" t="s">
        <v>675</v>
      </c>
      <c r="C21123" t="str">
        <f>"A0087663"</f>
        <v>A0087663</v>
      </c>
      <c r="D21123" t="s">
        <v>79423</v>
      </c>
      <c r="E21123" t="s">
        <v>79424</v>
      </c>
      <c r="F21123" t="s">
        <v>79425</v>
      </c>
      <c r="G21123" t="s">
        <v>2206</v>
      </c>
      <c r="H21123" t="s">
        <v>79426</v>
      </c>
      <c r="I21123" t="s">
        <v>1459</v>
      </c>
      <c r="J21123" t="s">
        <v>171</v>
      </c>
      <c r="K21123" t="s">
        <v>1450</v>
      </c>
      <c r="N21123" t="s">
        <v>79427</v>
      </c>
      <c r="O21123" t="s">
        <v>79428</v>
      </c>
      <c r="Q21123">
        <v>0</v>
      </c>
      <c r="R21123">
        <v>104</v>
      </c>
      <c r="S21123">
        <v>0</v>
      </c>
      <c r="T21123" t="s">
        <v>79429</v>
      </c>
    </row>
    <row r="21124" spans="1:20" customFormat="1" ht="15" x14ac:dyDescent="0.25">
      <c r="A21124" t="s">
        <v>24</v>
      </c>
      <c r="B21124" t="s">
        <v>11484</v>
      </c>
      <c r="C21124" t="str">
        <f>"A0100584"</f>
        <v>A0100584</v>
      </c>
      <c r="D21124" t="s">
        <v>71802</v>
      </c>
      <c r="E21124" t="s">
        <v>71803</v>
      </c>
      <c r="F21124" t="s">
        <v>2069</v>
      </c>
      <c r="G21124" t="s">
        <v>1170</v>
      </c>
      <c r="H21124">
        <v>70112</v>
      </c>
      <c r="I21124" t="s">
        <v>30</v>
      </c>
      <c r="J21124" t="s">
        <v>171</v>
      </c>
      <c r="K21124" t="s">
        <v>1023</v>
      </c>
      <c r="N21124" t="s">
        <v>71804</v>
      </c>
      <c r="O21124" t="s">
        <v>71805</v>
      </c>
      <c r="Q21124">
        <v>0</v>
      </c>
      <c r="R21124">
        <v>207</v>
      </c>
      <c r="S21124">
        <v>0</v>
      </c>
      <c r="T21124" t="s">
        <v>71806</v>
      </c>
    </row>
    <row r="21125" spans="1:20" customFormat="1" ht="15" x14ac:dyDescent="0.25">
      <c r="A21125" t="s">
        <v>24</v>
      </c>
      <c r="B21125" t="s">
        <v>71807</v>
      </c>
      <c r="C21125" t="str">
        <f>"A0093563"</f>
        <v>A0093563</v>
      </c>
      <c r="D21125" t="s">
        <v>71808</v>
      </c>
      <c r="E21125" t="s">
        <v>71809</v>
      </c>
      <c r="F21125" t="s">
        <v>71810</v>
      </c>
      <c r="G21125" t="s">
        <v>99</v>
      </c>
      <c r="H21125">
        <v>12553</v>
      </c>
      <c r="I21125" t="s">
        <v>30</v>
      </c>
      <c r="J21125" t="s">
        <v>171</v>
      </c>
      <c r="K21125" t="s">
        <v>1023</v>
      </c>
      <c r="N21125" t="s">
        <v>71811</v>
      </c>
      <c r="O21125" t="s">
        <v>71812</v>
      </c>
      <c r="Q21125">
        <v>0</v>
      </c>
      <c r="R21125">
        <v>125</v>
      </c>
      <c r="S21125">
        <v>0</v>
      </c>
      <c r="T21125" t="s">
        <v>71813</v>
      </c>
    </row>
    <row r="21126" spans="1:20" customFormat="1" ht="15" x14ac:dyDescent="0.25">
      <c r="A21126" t="s">
        <v>24</v>
      </c>
      <c r="B21126" t="s">
        <v>3159</v>
      </c>
      <c r="C21126" t="str">
        <f>"A0089259"</f>
        <v>A0089259</v>
      </c>
      <c r="D21126" t="s">
        <v>71820</v>
      </c>
      <c r="E21126" t="s">
        <v>71821</v>
      </c>
      <c r="F21126" t="s">
        <v>57993</v>
      </c>
      <c r="G21126" t="s">
        <v>103</v>
      </c>
      <c r="H21126">
        <v>19355</v>
      </c>
      <c r="I21126" t="s">
        <v>30</v>
      </c>
      <c r="J21126" t="s">
        <v>171</v>
      </c>
      <c r="K21126" t="s">
        <v>1023</v>
      </c>
      <c r="N21126" t="s">
        <v>71822</v>
      </c>
      <c r="Q21126">
        <v>0</v>
      </c>
      <c r="R21126">
        <v>123</v>
      </c>
      <c r="S21126">
        <v>0</v>
      </c>
      <c r="T21126" t="s">
        <v>71823</v>
      </c>
    </row>
    <row r="21127" spans="1:20" customFormat="1" ht="15" x14ac:dyDescent="0.25">
      <c r="A21127" t="s">
        <v>24</v>
      </c>
      <c r="B21127" t="s">
        <v>342</v>
      </c>
      <c r="C21127" t="str">
        <f>"A0059847"</f>
        <v>A0059847</v>
      </c>
      <c r="D21127" t="s">
        <v>71824</v>
      </c>
      <c r="E21127" t="s">
        <v>71825</v>
      </c>
      <c r="F21127" t="s">
        <v>8935</v>
      </c>
      <c r="G21127" t="s">
        <v>214</v>
      </c>
      <c r="H21127">
        <v>27703</v>
      </c>
      <c r="I21127" t="s">
        <v>30</v>
      </c>
      <c r="J21127" t="s">
        <v>171</v>
      </c>
      <c r="K21127" t="s">
        <v>1023</v>
      </c>
      <c r="N21127" t="s">
        <v>33967</v>
      </c>
      <c r="Q21127">
        <v>0</v>
      </c>
      <c r="R21127">
        <v>96</v>
      </c>
      <c r="S21127">
        <v>0</v>
      </c>
      <c r="T21127" t="s">
        <v>71826</v>
      </c>
    </row>
    <row r="21128" spans="1:20" customFormat="1" ht="15" x14ac:dyDescent="0.25">
      <c r="A21128" t="s">
        <v>24</v>
      </c>
      <c r="B21128" t="s">
        <v>342</v>
      </c>
      <c r="C21128" t="str">
        <f>"A0088234"</f>
        <v>A0088234</v>
      </c>
      <c r="D21128" t="s">
        <v>71827</v>
      </c>
      <c r="E21128" t="s">
        <v>71828</v>
      </c>
      <c r="F21128" t="s">
        <v>3955</v>
      </c>
      <c r="G21128" t="s">
        <v>81</v>
      </c>
      <c r="H21128">
        <v>33607</v>
      </c>
      <c r="I21128" t="s">
        <v>30</v>
      </c>
      <c r="J21128" t="s">
        <v>171</v>
      </c>
      <c r="K21128" t="s">
        <v>1023</v>
      </c>
      <c r="N21128" t="s">
        <v>69670</v>
      </c>
      <c r="O21128" t="s">
        <v>71829</v>
      </c>
      <c r="Q21128">
        <v>0</v>
      </c>
      <c r="R21128">
        <v>144</v>
      </c>
      <c r="S21128">
        <v>0</v>
      </c>
      <c r="T21128" t="s">
        <v>71830</v>
      </c>
    </row>
    <row r="21129" spans="1:20" customFormat="1" ht="15" x14ac:dyDescent="0.25">
      <c r="A21129" t="s">
        <v>24</v>
      </c>
      <c r="B21129" t="s">
        <v>13807</v>
      </c>
      <c r="C21129" t="str">
        <f>"A0056794"</f>
        <v>A0056794</v>
      </c>
      <c r="D21129" t="s">
        <v>71833</v>
      </c>
      <c r="E21129" t="s">
        <v>71834</v>
      </c>
      <c r="F21129" t="s">
        <v>13589</v>
      </c>
      <c r="G21129" t="s">
        <v>381</v>
      </c>
      <c r="H21129">
        <v>46032</v>
      </c>
      <c r="I21129" t="s">
        <v>30</v>
      </c>
      <c r="J21129" t="s">
        <v>171</v>
      </c>
      <c r="K21129" t="s">
        <v>1023</v>
      </c>
      <c r="N21129" t="s">
        <v>71835</v>
      </c>
      <c r="O21129" t="s">
        <v>71836</v>
      </c>
      <c r="Q21129">
        <v>0</v>
      </c>
      <c r="R21129">
        <v>137</v>
      </c>
      <c r="S21129">
        <v>0</v>
      </c>
      <c r="T21129" t="s">
        <v>71837</v>
      </c>
    </row>
    <row r="21130" spans="1:20" customFormat="1" ht="15" x14ac:dyDescent="0.25">
      <c r="A21130" t="s">
        <v>24</v>
      </c>
      <c r="B21130" t="s">
        <v>1561</v>
      </c>
      <c r="C21130" t="str">
        <f>"A0100857"</f>
        <v>A0100857</v>
      </c>
      <c r="D21130" t="s">
        <v>71838</v>
      </c>
      <c r="E21130" t="s">
        <v>71839</v>
      </c>
      <c r="F21130" t="s">
        <v>10373</v>
      </c>
      <c r="G21130" t="s">
        <v>289</v>
      </c>
      <c r="H21130">
        <v>61820</v>
      </c>
      <c r="I21130" t="s">
        <v>30</v>
      </c>
      <c r="J21130" t="s">
        <v>171</v>
      </c>
      <c r="K21130" t="s">
        <v>1023</v>
      </c>
      <c r="N21130" t="s">
        <v>71840</v>
      </c>
      <c r="Q21130">
        <v>0</v>
      </c>
      <c r="R21130">
        <v>98</v>
      </c>
      <c r="S21130">
        <v>0</v>
      </c>
      <c r="T21130" t="s">
        <v>71841</v>
      </c>
    </row>
    <row r="21131" spans="1:20" customFormat="1" ht="15" x14ac:dyDescent="0.25">
      <c r="A21131" t="s">
        <v>24</v>
      </c>
      <c r="B21131" t="s">
        <v>6363</v>
      </c>
      <c r="C21131" t="str">
        <f>"A0097833"</f>
        <v>A0097833</v>
      </c>
      <c r="D21131" t="s">
        <v>71842</v>
      </c>
      <c r="E21131" t="s">
        <v>69089</v>
      </c>
      <c r="F21131" t="s">
        <v>242</v>
      </c>
      <c r="G21131" t="s">
        <v>214</v>
      </c>
      <c r="H21131">
        <v>28210</v>
      </c>
      <c r="I21131" t="s">
        <v>30</v>
      </c>
      <c r="J21131" t="s">
        <v>171</v>
      </c>
      <c r="K21131" t="s">
        <v>1023</v>
      </c>
      <c r="N21131" t="s">
        <v>69090</v>
      </c>
      <c r="O21131" t="s">
        <v>69091</v>
      </c>
      <c r="Q21131">
        <v>0</v>
      </c>
      <c r="R21131">
        <v>120</v>
      </c>
      <c r="S21131">
        <v>0</v>
      </c>
      <c r="T21131" t="s">
        <v>71843</v>
      </c>
    </row>
    <row r="21132" spans="1:20" customFormat="1" ht="15" x14ac:dyDescent="0.25">
      <c r="A21132" t="s">
        <v>24</v>
      </c>
      <c r="B21132" t="s">
        <v>1323</v>
      </c>
      <c r="C21132" t="str">
        <f>"A0086831"</f>
        <v>A0086831</v>
      </c>
      <c r="D21132" t="s">
        <v>71844</v>
      </c>
      <c r="E21132" t="s">
        <v>71845</v>
      </c>
      <c r="F21132" t="s">
        <v>1346</v>
      </c>
      <c r="G21132" t="s">
        <v>880</v>
      </c>
      <c r="H21132">
        <v>37421</v>
      </c>
      <c r="I21132" t="s">
        <v>30</v>
      </c>
      <c r="J21132" t="s">
        <v>171</v>
      </c>
      <c r="K21132" t="s">
        <v>1023</v>
      </c>
      <c r="N21132" t="s">
        <v>64802</v>
      </c>
      <c r="O21132" t="s">
        <v>71846</v>
      </c>
      <c r="Q21132">
        <v>0</v>
      </c>
      <c r="R21132">
        <v>76</v>
      </c>
      <c r="S21132">
        <v>0</v>
      </c>
      <c r="T21132" t="s">
        <v>71847</v>
      </c>
    </row>
    <row r="21133" spans="1:20" customFormat="1" ht="15" x14ac:dyDescent="0.25">
      <c r="A21133" t="s">
        <v>24</v>
      </c>
      <c r="B21133" t="s">
        <v>2349</v>
      </c>
      <c r="C21133" t="str">
        <f>"A0094981"</f>
        <v>A0094981</v>
      </c>
      <c r="D21133" t="s">
        <v>71848</v>
      </c>
      <c r="E21133" t="s">
        <v>71849</v>
      </c>
      <c r="F21133" t="s">
        <v>71850</v>
      </c>
      <c r="G21133" t="s">
        <v>65</v>
      </c>
      <c r="H21133">
        <v>45069</v>
      </c>
      <c r="I21133" t="s">
        <v>30</v>
      </c>
      <c r="J21133" t="s">
        <v>171</v>
      </c>
      <c r="K21133" t="s">
        <v>1023</v>
      </c>
      <c r="N21133" t="s">
        <v>71851</v>
      </c>
      <c r="Q21133">
        <v>0</v>
      </c>
      <c r="R21133">
        <v>112</v>
      </c>
      <c r="S21133">
        <v>0</v>
      </c>
      <c r="T21133" t="s">
        <v>71852</v>
      </c>
    </row>
    <row r="21134" spans="1:20" customFormat="1" ht="15" x14ac:dyDescent="0.25">
      <c r="A21134" t="s">
        <v>24</v>
      </c>
      <c r="B21134" t="s">
        <v>1020</v>
      </c>
      <c r="C21134" t="str">
        <f>"A0155664"</f>
        <v>A0155664</v>
      </c>
      <c r="D21134" t="s">
        <v>71853</v>
      </c>
      <c r="E21134" t="s">
        <v>71854</v>
      </c>
      <c r="F21134" t="s">
        <v>7894</v>
      </c>
      <c r="G21134" t="s">
        <v>81</v>
      </c>
      <c r="H21134">
        <v>33756</v>
      </c>
      <c r="I21134" t="s">
        <v>30</v>
      </c>
      <c r="J21134" t="s">
        <v>171</v>
      </c>
      <c r="K21134" t="s">
        <v>1023</v>
      </c>
      <c r="N21134" t="s">
        <v>71855</v>
      </c>
      <c r="Q21134">
        <v>0</v>
      </c>
      <c r="R21134">
        <v>112</v>
      </c>
      <c r="S21134">
        <v>0</v>
      </c>
      <c r="T21134" t="s">
        <v>71856</v>
      </c>
    </row>
    <row r="21135" spans="1:20" customFormat="1" ht="15" x14ac:dyDescent="0.25">
      <c r="A21135" t="s">
        <v>24</v>
      </c>
      <c r="B21135" t="s">
        <v>13679</v>
      </c>
      <c r="C21135" t="str">
        <f>"A0091059"</f>
        <v>A0091059</v>
      </c>
      <c r="D21135" t="s">
        <v>71857</v>
      </c>
      <c r="E21135" t="s">
        <v>71858</v>
      </c>
      <c r="F21135" t="s">
        <v>64761</v>
      </c>
      <c r="G21135" t="s">
        <v>110</v>
      </c>
      <c r="H21135">
        <v>93612</v>
      </c>
      <c r="I21135" t="s">
        <v>30</v>
      </c>
      <c r="J21135" t="s">
        <v>171</v>
      </c>
      <c r="K21135" t="s">
        <v>1023</v>
      </c>
      <c r="N21135" t="s">
        <v>67321</v>
      </c>
      <c r="Q21135">
        <v>0</v>
      </c>
      <c r="R21135">
        <v>83</v>
      </c>
      <c r="S21135">
        <v>0</v>
      </c>
      <c r="T21135" t="s">
        <v>71859</v>
      </c>
    </row>
    <row r="21136" spans="1:20" customFormat="1" ht="15" x14ac:dyDescent="0.25">
      <c r="A21136" t="s">
        <v>24</v>
      </c>
      <c r="B21136" t="s">
        <v>1317</v>
      </c>
      <c r="C21136" t="str">
        <f>"A0074123"</f>
        <v>A0074123</v>
      </c>
      <c r="D21136" t="s">
        <v>71860</v>
      </c>
      <c r="E21136" t="s">
        <v>71861</v>
      </c>
      <c r="F21136" t="s">
        <v>7940</v>
      </c>
      <c r="G21136" t="s">
        <v>52</v>
      </c>
      <c r="H21136">
        <v>77840</v>
      </c>
      <c r="I21136" t="s">
        <v>30</v>
      </c>
      <c r="J21136" t="s">
        <v>171</v>
      </c>
      <c r="K21136" t="s">
        <v>1023</v>
      </c>
      <c r="N21136" t="s">
        <v>71862</v>
      </c>
      <c r="Q21136">
        <v>0</v>
      </c>
      <c r="R21136">
        <v>84</v>
      </c>
      <c r="S21136">
        <v>0</v>
      </c>
      <c r="T21136" t="s">
        <v>71863</v>
      </c>
    </row>
    <row r="21137" spans="1:20" customFormat="1" ht="15" x14ac:dyDescent="0.25">
      <c r="A21137" t="s">
        <v>24</v>
      </c>
      <c r="B21137" t="s">
        <v>1548</v>
      </c>
      <c r="C21137" t="str">
        <f>"A0093708"</f>
        <v>A0093708</v>
      </c>
      <c r="D21137" t="s">
        <v>71867</v>
      </c>
      <c r="E21137" t="s">
        <v>71868</v>
      </c>
      <c r="F21137" t="s">
        <v>1525</v>
      </c>
      <c r="G21137" t="s">
        <v>65</v>
      </c>
      <c r="H21137">
        <v>43221</v>
      </c>
      <c r="I21137" t="s">
        <v>30</v>
      </c>
      <c r="J21137" t="s">
        <v>171</v>
      </c>
      <c r="K21137" t="s">
        <v>1023</v>
      </c>
      <c r="N21137" t="s">
        <v>67344</v>
      </c>
      <c r="Q21137">
        <v>0</v>
      </c>
      <c r="R21137">
        <v>109</v>
      </c>
      <c r="S21137">
        <v>0</v>
      </c>
      <c r="T21137" t="s">
        <v>71869</v>
      </c>
    </row>
    <row r="21138" spans="1:20" customFormat="1" ht="15" x14ac:dyDescent="0.25">
      <c r="A21138" t="s">
        <v>24</v>
      </c>
      <c r="B21138" t="s">
        <v>16448</v>
      </c>
      <c r="C21138" t="str">
        <f>"A0098214"</f>
        <v>A0098214</v>
      </c>
      <c r="D21138" t="s">
        <v>71870</v>
      </c>
      <c r="E21138" t="s">
        <v>71871</v>
      </c>
      <c r="F21138" t="s">
        <v>56723</v>
      </c>
      <c r="G21138" t="s">
        <v>214</v>
      </c>
      <c r="H21138">
        <v>28027</v>
      </c>
      <c r="I21138" t="s">
        <v>30</v>
      </c>
      <c r="J21138" t="s">
        <v>171</v>
      </c>
      <c r="K21138" t="s">
        <v>1023</v>
      </c>
      <c r="N21138" t="s">
        <v>71872</v>
      </c>
      <c r="Q21138">
        <v>0</v>
      </c>
      <c r="R21138">
        <v>115</v>
      </c>
      <c r="S21138">
        <v>0</v>
      </c>
      <c r="T21138" t="s">
        <v>71873</v>
      </c>
    </row>
    <row r="21139" spans="1:20" customFormat="1" ht="15" x14ac:dyDescent="0.25">
      <c r="A21139" t="s">
        <v>24</v>
      </c>
      <c r="B21139" t="s">
        <v>13679</v>
      </c>
      <c r="C21139" t="str">
        <f>"A0066156"</f>
        <v>A0066156</v>
      </c>
      <c r="D21139" t="s">
        <v>71874</v>
      </c>
      <c r="E21139" t="s">
        <v>71875</v>
      </c>
      <c r="F21139" t="s">
        <v>71876</v>
      </c>
      <c r="G21139" t="s">
        <v>338</v>
      </c>
      <c r="H21139">
        <v>7016</v>
      </c>
      <c r="I21139" t="s">
        <v>30</v>
      </c>
      <c r="J21139" t="s">
        <v>171</v>
      </c>
      <c r="K21139" t="s">
        <v>1023</v>
      </c>
      <c r="N21139" t="s">
        <v>71877</v>
      </c>
      <c r="Q21139">
        <v>0</v>
      </c>
      <c r="R21139">
        <v>108</v>
      </c>
      <c r="S21139">
        <v>0</v>
      </c>
      <c r="T21139" t="s">
        <v>71878</v>
      </c>
    </row>
    <row r="21140" spans="1:20" customFormat="1" ht="15" x14ac:dyDescent="0.25">
      <c r="A21140" t="s">
        <v>24</v>
      </c>
      <c r="B21140" t="s">
        <v>2528</v>
      </c>
      <c r="C21140" t="str">
        <f>"A0091284"</f>
        <v>A0091284</v>
      </c>
      <c r="D21140" t="s">
        <v>71879</v>
      </c>
      <c r="E21140" t="s">
        <v>71880</v>
      </c>
      <c r="F21140" t="s">
        <v>2094</v>
      </c>
      <c r="G21140" t="s">
        <v>52</v>
      </c>
      <c r="H21140">
        <v>75207</v>
      </c>
      <c r="I21140" t="s">
        <v>30</v>
      </c>
      <c r="J21140" t="s">
        <v>171</v>
      </c>
      <c r="K21140" t="s">
        <v>1023</v>
      </c>
      <c r="N21140" t="s">
        <v>71881</v>
      </c>
      <c r="Q21140">
        <v>0</v>
      </c>
      <c r="R21140">
        <v>137</v>
      </c>
      <c r="S21140">
        <v>0</v>
      </c>
      <c r="T21140" t="s">
        <v>71882</v>
      </c>
    </row>
    <row r="21141" spans="1:20" customFormat="1" ht="15" x14ac:dyDescent="0.25">
      <c r="A21141" t="s">
        <v>24</v>
      </c>
      <c r="B21141" t="s">
        <v>1561</v>
      </c>
      <c r="C21141" t="str">
        <f>"A0157849"</f>
        <v>A0157849</v>
      </c>
      <c r="D21141" t="s">
        <v>71883</v>
      </c>
      <c r="E21141" t="s">
        <v>71884</v>
      </c>
      <c r="F21141" t="s">
        <v>10447</v>
      </c>
      <c r="G21141" t="s">
        <v>52</v>
      </c>
      <c r="H21141">
        <v>75013</v>
      </c>
      <c r="I21141" t="s">
        <v>30</v>
      </c>
      <c r="J21141" t="s">
        <v>171</v>
      </c>
      <c r="K21141" t="s">
        <v>1023</v>
      </c>
      <c r="N21141" t="s">
        <v>71885</v>
      </c>
      <c r="Q21141">
        <v>0</v>
      </c>
      <c r="R21141">
        <v>114</v>
      </c>
      <c r="S21141">
        <v>0</v>
      </c>
      <c r="T21141" t="s">
        <v>71886</v>
      </c>
    </row>
    <row r="21142" spans="1:20" customFormat="1" ht="15" x14ac:dyDescent="0.25">
      <c r="A21142" t="s">
        <v>24</v>
      </c>
      <c r="B21142" t="s">
        <v>33301</v>
      </c>
      <c r="C21142" t="str">
        <f>"A0095649"</f>
        <v>A0095649</v>
      </c>
      <c r="D21142" t="s">
        <v>71887</v>
      </c>
      <c r="E21142" t="s">
        <v>71888</v>
      </c>
      <c r="F21142" t="s">
        <v>2094</v>
      </c>
      <c r="G21142" t="s">
        <v>52</v>
      </c>
      <c r="H21142">
        <v>75202</v>
      </c>
      <c r="I21142" t="s">
        <v>30</v>
      </c>
      <c r="J21142" t="s">
        <v>171</v>
      </c>
      <c r="K21142" t="s">
        <v>1023</v>
      </c>
      <c r="N21142" t="s">
        <v>71889</v>
      </c>
      <c r="O21142" t="s">
        <v>71890</v>
      </c>
      <c r="Q21142">
        <v>0</v>
      </c>
      <c r="R21142">
        <v>130</v>
      </c>
      <c r="S21142">
        <v>0</v>
      </c>
      <c r="T21142" t="s">
        <v>71891</v>
      </c>
    </row>
    <row r="21143" spans="1:20" customFormat="1" ht="15" x14ac:dyDescent="0.25">
      <c r="A21143" t="s">
        <v>24</v>
      </c>
      <c r="B21143" t="s">
        <v>257</v>
      </c>
      <c r="C21143" t="str">
        <f>"A0076601"</f>
        <v>A0076601</v>
      </c>
      <c r="D21143" t="s">
        <v>71892</v>
      </c>
      <c r="E21143" t="s">
        <v>71893</v>
      </c>
      <c r="F21143" t="s">
        <v>1258</v>
      </c>
      <c r="G21143" t="s">
        <v>81</v>
      </c>
      <c r="H21143">
        <v>32114</v>
      </c>
      <c r="I21143" t="s">
        <v>30</v>
      </c>
      <c r="J21143" t="s">
        <v>171</v>
      </c>
      <c r="K21143" t="s">
        <v>1023</v>
      </c>
      <c r="N21143" t="s">
        <v>71894</v>
      </c>
      <c r="Q21143">
        <v>0</v>
      </c>
      <c r="R21143">
        <v>94</v>
      </c>
      <c r="S21143">
        <v>0</v>
      </c>
      <c r="T21143" t="s">
        <v>71895</v>
      </c>
    </row>
    <row r="21144" spans="1:20" customFormat="1" ht="15" x14ac:dyDescent="0.25">
      <c r="A21144" t="s">
        <v>24</v>
      </c>
      <c r="B21144" t="s">
        <v>2955</v>
      </c>
      <c r="C21144" t="str">
        <f>"A0083688"</f>
        <v>A0083688</v>
      </c>
      <c r="D21144" t="s">
        <v>71896</v>
      </c>
      <c r="E21144" t="s">
        <v>71897</v>
      </c>
      <c r="F21144" t="s">
        <v>313</v>
      </c>
      <c r="G21144" t="s">
        <v>314</v>
      </c>
      <c r="H21144">
        <v>20005</v>
      </c>
      <c r="I21144" t="s">
        <v>30</v>
      </c>
      <c r="J21144" t="s">
        <v>171</v>
      </c>
      <c r="K21144" t="s">
        <v>1023</v>
      </c>
      <c r="N21144" t="s">
        <v>71898</v>
      </c>
      <c r="O21144" t="s">
        <v>71899</v>
      </c>
      <c r="Q21144">
        <v>0</v>
      </c>
      <c r="R21144">
        <v>175</v>
      </c>
      <c r="S21144">
        <v>0</v>
      </c>
      <c r="T21144" t="s">
        <v>71900</v>
      </c>
    </row>
    <row r="21145" spans="1:20" customFormat="1" ht="15" x14ac:dyDescent="0.25">
      <c r="A21145" t="s">
        <v>24</v>
      </c>
      <c r="B21145" t="s">
        <v>6363</v>
      </c>
      <c r="C21145" t="str">
        <f>"A0088069"</f>
        <v>A0088069</v>
      </c>
      <c r="D21145" t="s">
        <v>71901</v>
      </c>
      <c r="E21145" t="s">
        <v>71902</v>
      </c>
      <c r="F21145" t="s">
        <v>62490</v>
      </c>
      <c r="G21145" t="s">
        <v>52</v>
      </c>
      <c r="H21145">
        <v>76210</v>
      </c>
      <c r="I21145" t="s">
        <v>30</v>
      </c>
      <c r="J21145" t="s">
        <v>171</v>
      </c>
      <c r="K21145" t="s">
        <v>1023</v>
      </c>
      <c r="N21145" t="s">
        <v>71903</v>
      </c>
      <c r="O21145" t="s">
        <v>71904</v>
      </c>
      <c r="Q21145">
        <v>0</v>
      </c>
      <c r="R21145">
        <v>107</v>
      </c>
      <c r="S21145">
        <v>0</v>
      </c>
      <c r="T21145" t="s">
        <v>71905</v>
      </c>
    </row>
    <row r="21146" spans="1:20" customFormat="1" ht="15" x14ac:dyDescent="0.25">
      <c r="A21146" t="s">
        <v>24</v>
      </c>
      <c r="B21146" t="s">
        <v>2836</v>
      </c>
      <c r="C21146" t="str">
        <f>"A0091977"</f>
        <v>A0091977</v>
      </c>
      <c r="D21146" t="s">
        <v>71906</v>
      </c>
      <c r="E21146" t="s">
        <v>68019</v>
      </c>
      <c r="F21146" t="s">
        <v>972</v>
      </c>
      <c r="G21146" t="s">
        <v>190</v>
      </c>
      <c r="H21146">
        <v>80202</v>
      </c>
      <c r="I21146" t="s">
        <v>30</v>
      </c>
      <c r="J21146" t="s">
        <v>171</v>
      </c>
      <c r="K21146" t="s">
        <v>1023</v>
      </c>
      <c r="N21146" t="s">
        <v>68020</v>
      </c>
      <c r="O21146" t="s">
        <v>68021</v>
      </c>
      <c r="Q21146">
        <v>0</v>
      </c>
      <c r="R21146">
        <v>182</v>
      </c>
      <c r="S21146">
        <v>0</v>
      </c>
      <c r="T21146" t="s">
        <v>71907</v>
      </c>
    </row>
    <row r="21147" spans="1:20" customFormat="1" ht="15" x14ac:dyDescent="0.25">
      <c r="A21147" t="s">
        <v>24</v>
      </c>
      <c r="B21147" t="s">
        <v>56952</v>
      </c>
      <c r="C21147" t="str">
        <f>"A0094986"</f>
        <v>A0094986</v>
      </c>
      <c r="D21147" t="s">
        <v>71908</v>
      </c>
      <c r="E21147" t="s">
        <v>71909</v>
      </c>
      <c r="F21147" t="s">
        <v>972</v>
      </c>
      <c r="G21147" t="s">
        <v>190</v>
      </c>
      <c r="H21147">
        <v>80239</v>
      </c>
      <c r="I21147" t="s">
        <v>30</v>
      </c>
      <c r="J21147" t="s">
        <v>171</v>
      </c>
      <c r="K21147" t="s">
        <v>1023</v>
      </c>
      <c r="N21147" t="s">
        <v>67371</v>
      </c>
      <c r="Q21147">
        <v>0</v>
      </c>
      <c r="R21147">
        <v>117</v>
      </c>
      <c r="S21147">
        <v>0</v>
      </c>
      <c r="T21147" t="s">
        <v>71910</v>
      </c>
    </row>
    <row r="21148" spans="1:20" customFormat="1" ht="15" x14ac:dyDescent="0.25">
      <c r="A21148" t="s">
        <v>24</v>
      </c>
      <c r="B21148" t="s">
        <v>2340</v>
      </c>
      <c r="C21148" t="str">
        <f>"A0100622"</f>
        <v>A0100622</v>
      </c>
      <c r="D21148" t="s">
        <v>71908</v>
      </c>
      <c r="E21148" t="s">
        <v>71911</v>
      </c>
      <c r="F21148" t="s">
        <v>972</v>
      </c>
      <c r="G21148" t="s">
        <v>190</v>
      </c>
      <c r="H21148">
        <v>80249</v>
      </c>
      <c r="I21148" t="s">
        <v>30</v>
      </c>
      <c r="J21148" t="s">
        <v>171</v>
      </c>
      <c r="K21148" t="s">
        <v>1023</v>
      </c>
      <c r="N21148" t="s">
        <v>71912</v>
      </c>
      <c r="Q21148">
        <v>0</v>
      </c>
      <c r="R21148">
        <v>90</v>
      </c>
      <c r="S21148">
        <v>0</v>
      </c>
      <c r="T21148" t="s">
        <v>71913</v>
      </c>
    </row>
    <row r="21149" spans="1:20" customFormat="1" ht="15" x14ac:dyDescent="0.25">
      <c r="A21149" t="s">
        <v>24</v>
      </c>
      <c r="B21149" t="s">
        <v>2955</v>
      </c>
      <c r="C21149" t="str">
        <f>"88HD013"</f>
        <v>88HD013</v>
      </c>
      <c r="D21149" t="s">
        <v>71914</v>
      </c>
      <c r="E21149" t="s">
        <v>71915</v>
      </c>
      <c r="F21149" t="s">
        <v>716</v>
      </c>
      <c r="G21149" t="s">
        <v>289</v>
      </c>
      <c r="H21149">
        <v>60611</v>
      </c>
      <c r="I21149" t="s">
        <v>30</v>
      </c>
      <c r="J21149" t="s">
        <v>171</v>
      </c>
      <c r="K21149" t="s">
        <v>1023</v>
      </c>
      <c r="N21149" t="s">
        <v>71916</v>
      </c>
      <c r="Q21149">
        <v>0</v>
      </c>
      <c r="R21149">
        <v>233</v>
      </c>
      <c r="S21149">
        <v>0</v>
      </c>
      <c r="T21149" t="s">
        <v>71917</v>
      </c>
    </row>
    <row r="21150" spans="1:20" customFormat="1" ht="15" x14ac:dyDescent="0.25">
      <c r="A21150" t="s">
        <v>24</v>
      </c>
      <c r="B21150" t="s">
        <v>4341</v>
      </c>
      <c r="C21150" t="str">
        <f>"A0099748"</f>
        <v>A0099748</v>
      </c>
      <c r="D21150" t="s">
        <v>71918</v>
      </c>
      <c r="E21150" t="s">
        <v>71919</v>
      </c>
      <c r="F21150" t="s">
        <v>5075</v>
      </c>
      <c r="G21150" t="s">
        <v>117</v>
      </c>
      <c r="H21150">
        <v>48912</v>
      </c>
      <c r="I21150" t="s">
        <v>30</v>
      </c>
      <c r="J21150" t="s">
        <v>171</v>
      </c>
      <c r="K21150" t="s">
        <v>1023</v>
      </c>
      <c r="N21150" t="s">
        <v>71920</v>
      </c>
      <c r="O21150" t="s">
        <v>71921</v>
      </c>
      <c r="Q21150">
        <v>0</v>
      </c>
      <c r="R21150">
        <v>123</v>
      </c>
      <c r="S21150">
        <v>0</v>
      </c>
      <c r="T21150" t="s">
        <v>71922</v>
      </c>
    </row>
    <row r="21151" spans="1:20" customFormat="1" ht="15" x14ac:dyDescent="0.25">
      <c r="A21151" t="s">
        <v>24</v>
      </c>
      <c r="B21151" t="s">
        <v>33301</v>
      </c>
      <c r="C21151" t="str">
        <f>"A0095648"</f>
        <v>A0095648</v>
      </c>
      <c r="D21151" t="s">
        <v>71923</v>
      </c>
      <c r="E21151" t="s">
        <v>71924</v>
      </c>
      <c r="F21151" t="s">
        <v>2856</v>
      </c>
      <c r="G21151" t="s">
        <v>52</v>
      </c>
      <c r="H21151">
        <v>79915</v>
      </c>
      <c r="I21151" t="s">
        <v>30</v>
      </c>
      <c r="J21151" t="s">
        <v>171</v>
      </c>
      <c r="K21151" t="s">
        <v>1023</v>
      </c>
      <c r="N21151" t="s">
        <v>71925</v>
      </c>
      <c r="Q21151">
        <v>0</v>
      </c>
      <c r="R21151">
        <v>114</v>
      </c>
      <c r="S21151">
        <v>0</v>
      </c>
      <c r="T21151" t="s">
        <v>71926</v>
      </c>
    </row>
    <row r="21152" spans="1:20" customFormat="1" ht="15" x14ac:dyDescent="0.25">
      <c r="A21152" t="s">
        <v>24</v>
      </c>
      <c r="B21152" t="s">
        <v>4400</v>
      </c>
      <c r="C21152" t="str">
        <f>"A0096447"</f>
        <v>A0096447</v>
      </c>
      <c r="D21152" t="s">
        <v>71927</v>
      </c>
      <c r="E21152" t="s">
        <v>71928</v>
      </c>
      <c r="F21152" t="s">
        <v>2808</v>
      </c>
      <c r="G21152" t="s">
        <v>110</v>
      </c>
      <c r="H21152">
        <v>94534</v>
      </c>
      <c r="I21152" t="s">
        <v>30</v>
      </c>
      <c r="J21152" t="s">
        <v>171</v>
      </c>
      <c r="K21152" t="s">
        <v>1023</v>
      </c>
      <c r="N21152" t="s">
        <v>71929</v>
      </c>
      <c r="Q21152">
        <v>0</v>
      </c>
      <c r="R21152">
        <v>85</v>
      </c>
      <c r="S21152">
        <v>0</v>
      </c>
      <c r="T21152" t="s">
        <v>71930</v>
      </c>
    </row>
    <row r="21153" spans="1:20" customFormat="1" ht="15" x14ac:dyDescent="0.25">
      <c r="A21153" t="s">
        <v>24</v>
      </c>
      <c r="B21153" t="s">
        <v>1317</v>
      </c>
      <c r="C21153" t="str">
        <f>"A0078499"</f>
        <v>A0078499</v>
      </c>
      <c r="D21153" t="s">
        <v>71931</v>
      </c>
      <c r="E21153" t="s">
        <v>71932</v>
      </c>
      <c r="F21153" t="s">
        <v>71933</v>
      </c>
      <c r="G21153" t="s">
        <v>190</v>
      </c>
      <c r="H21153">
        <v>80525</v>
      </c>
      <c r="I21153" t="s">
        <v>30</v>
      </c>
      <c r="J21153" t="s">
        <v>171</v>
      </c>
      <c r="K21153" t="s">
        <v>1023</v>
      </c>
      <c r="N21153" t="s">
        <v>71934</v>
      </c>
      <c r="O21153" t="s">
        <v>16130</v>
      </c>
      <c r="Q21153">
        <v>0</v>
      </c>
      <c r="R21153">
        <v>99</v>
      </c>
      <c r="S21153">
        <v>0</v>
      </c>
      <c r="T21153" t="s">
        <v>71935</v>
      </c>
    </row>
    <row r="21154" spans="1:20" customFormat="1" ht="15" x14ac:dyDescent="0.25">
      <c r="A21154" t="s">
        <v>24</v>
      </c>
      <c r="B21154" t="s">
        <v>60496</v>
      </c>
      <c r="C21154" t="str">
        <f>"A0158090"</f>
        <v>A0158090</v>
      </c>
      <c r="D21154" t="s">
        <v>71936</v>
      </c>
      <c r="E21154" t="s">
        <v>71937</v>
      </c>
      <c r="F21154" t="s">
        <v>60499</v>
      </c>
      <c r="G21154" t="s">
        <v>123</v>
      </c>
      <c r="H21154">
        <v>21703</v>
      </c>
      <c r="I21154" t="s">
        <v>30</v>
      </c>
      <c r="J21154" t="s">
        <v>171</v>
      </c>
      <c r="K21154" t="s">
        <v>1023</v>
      </c>
      <c r="N21154" t="s">
        <v>71446</v>
      </c>
      <c r="Q21154">
        <v>0</v>
      </c>
      <c r="R21154">
        <v>117</v>
      </c>
      <c r="S21154">
        <v>0</v>
      </c>
      <c r="T21154" t="s">
        <v>71938</v>
      </c>
    </row>
    <row r="21155" spans="1:20" customFormat="1" ht="15" hidden="1" x14ac:dyDescent="0.25">
      <c r="A21155" t="s">
        <v>24</v>
      </c>
      <c r="B21155" t="s">
        <v>675</v>
      </c>
      <c r="C21155" t="str">
        <f>"A0149043"</f>
        <v>A0149043</v>
      </c>
      <c r="D21155" t="s">
        <v>79565</v>
      </c>
      <c r="E21155" t="s">
        <v>79566</v>
      </c>
      <c r="F21155" t="s">
        <v>3145</v>
      </c>
      <c r="G21155" t="s">
        <v>8864</v>
      </c>
      <c r="I21155" t="s">
        <v>3147</v>
      </c>
      <c r="J21155" t="s">
        <v>171</v>
      </c>
      <c r="K21155" t="s">
        <v>1450</v>
      </c>
      <c r="N21155" t="s">
        <v>79567</v>
      </c>
      <c r="O21155" t="s">
        <v>79568</v>
      </c>
      <c r="Q21155">
        <v>0</v>
      </c>
      <c r="R21155">
        <v>144</v>
      </c>
      <c r="S21155">
        <v>0</v>
      </c>
      <c r="T21155" t="s">
        <v>79569</v>
      </c>
    </row>
    <row r="21156" spans="1:20" customFormat="1" ht="15" x14ac:dyDescent="0.25">
      <c r="A21156" t="s">
        <v>24</v>
      </c>
      <c r="B21156" t="s">
        <v>11027</v>
      </c>
      <c r="C21156" t="str">
        <f>"A0100265"</f>
        <v>A0100265</v>
      </c>
      <c r="D21156" t="s">
        <v>71939</v>
      </c>
      <c r="E21156" t="s">
        <v>71940</v>
      </c>
      <c r="F21156" t="s">
        <v>71941</v>
      </c>
      <c r="G21156" t="s">
        <v>214</v>
      </c>
      <c r="H21156">
        <v>27407</v>
      </c>
      <c r="I21156" t="s">
        <v>30</v>
      </c>
      <c r="J21156" t="s">
        <v>171</v>
      </c>
      <c r="K21156" t="s">
        <v>1023</v>
      </c>
      <c r="N21156" t="s">
        <v>71942</v>
      </c>
      <c r="Q21156">
        <v>0</v>
      </c>
      <c r="R21156">
        <v>106</v>
      </c>
      <c r="S21156">
        <v>0</v>
      </c>
      <c r="T21156" t="s">
        <v>71943</v>
      </c>
    </row>
    <row r="21157" spans="1:20" customFormat="1" ht="15" x14ac:dyDescent="0.25">
      <c r="A21157" t="s">
        <v>24</v>
      </c>
      <c r="B21157" t="s">
        <v>56277</v>
      </c>
      <c r="C21157" t="str">
        <f>"88HD012"</f>
        <v>88HD012</v>
      </c>
      <c r="D21157" t="s">
        <v>71939</v>
      </c>
      <c r="E21157" t="s">
        <v>71944</v>
      </c>
      <c r="F21157" t="s">
        <v>9498</v>
      </c>
      <c r="G21157" t="s">
        <v>214</v>
      </c>
      <c r="H21157">
        <v>27409</v>
      </c>
      <c r="I21157" t="s">
        <v>30</v>
      </c>
      <c r="J21157" t="s">
        <v>171</v>
      </c>
      <c r="K21157" t="s">
        <v>1023</v>
      </c>
      <c r="N21157" t="s">
        <v>58035</v>
      </c>
      <c r="O21157" t="s">
        <v>71945</v>
      </c>
      <c r="Q21157">
        <v>0</v>
      </c>
      <c r="R21157">
        <v>104</v>
      </c>
      <c r="S21157">
        <v>0</v>
      </c>
      <c r="T21157" t="s">
        <v>71946</v>
      </c>
    </row>
    <row r="21158" spans="1:20" customFormat="1" ht="15" x14ac:dyDescent="0.25">
      <c r="A21158" t="s">
        <v>24</v>
      </c>
      <c r="B21158" t="s">
        <v>33301</v>
      </c>
      <c r="C21158" t="str">
        <f>"A0075703"</f>
        <v>A0075703</v>
      </c>
      <c r="D21158" t="s">
        <v>71947</v>
      </c>
      <c r="E21158" t="s">
        <v>71948</v>
      </c>
      <c r="F21158" t="s">
        <v>56713</v>
      </c>
      <c r="G21158" t="s">
        <v>52</v>
      </c>
      <c r="H21158">
        <v>77477</v>
      </c>
      <c r="I21158" t="s">
        <v>30</v>
      </c>
      <c r="J21158" t="s">
        <v>171</v>
      </c>
      <c r="K21158" t="s">
        <v>1023</v>
      </c>
      <c r="N21158" t="s">
        <v>71949</v>
      </c>
      <c r="Q21158">
        <v>0</v>
      </c>
      <c r="R21158">
        <v>78</v>
      </c>
      <c r="S21158">
        <v>0</v>
      </c>
      <c r="T21158" t="s">
        <v>71950</v>
      </c>
    </row>
    <row r="21159" spans="1:20" customFormat="1" ht="15" x14ac:dyDescent="0.25">
      <c r="A21159" t="s">
        <v>24</v>
      </c>
      <c r="B21159" t="s">
        <v>9843</v>
      </c>
      <c r="C21159" t="str">
        <f>"A0096226"</f>
        <v>A0096226</v>
      </c>
      <c r="D21159" t="s">
        <v>71951</v>
      </c>
      <c r="E21159" t="s">
        <v>71952</v>
      </c>
      <c r="F21159" t="s">
        <v>3545</v>
      </c>
      <c r="G21159" t="s">
        <v>1706</v>
      </c>
      <c r="H21159">
        <v>35801</v>
      </c>
      <c r="I21159" t="s">
        <v>30</v>
      </c>
      <c r="J21159" t="s">
        <v>171</v>
      </c>
      <c r="K21159" t="s">
        <v>1023</v>
      </c>
      <c r="N21159" t="s">
        <v>11647</v>
      </c>
      <c r="Q21159">
        <v>0</v>
      </c>
      <c r="R21159">
        <v>101</v>
      </c>
      <c r="S21159">
        <v>0</v>
      </c>
      <c r="T21159" t="s">
        <v>71953</v>
      </c>
    </row>
    <row r="21160" spans="1:20" customFormat="1" ht="15" x14ac:dyDescent="0.25">
      <c r="A21160" t="s">
        <v>24</v>
      </c>
      <c r="B21160" t="s">
        <v>33301</v>
      </c>
      <c r="C21160" t="str">
        <f>"A0075556"</f>
        <v>A0075556</v>
      </c>
      <c r="D21160" t="s">
        <v>71954</v>
      </c>
      <c r="E21160" t="s">
        <v>71955</v>
      </c>
      <c r="F21160" t="s">
        <v>4829</v>
      </c>
      <c r="G21160" t="s">
        <v>52</v>
      </c>
      <c r="H21160">
        <v>75063</v>
      </c>
      <c r="I21160" t="s">
        <v>30</v>
      </c>
      <c r="J21160" t="s">
        <v>171</v>
      </c>
      <c r="K21160" t="s">
        <v>1023</v>
      </c>
      <c r="N21160" t="s">
        <v>71956</v>
      </c>
      <c r="Q21160">
        <v>0</v>
      </c>
      <c r="R21160">
        <v>77</v>
      </c>
      <c r="S21160">
        <v>0</v>
      </c>
      <c r="T21160" t="s">
        <v>71957</v>
      </c>
    </row>
    <row r="21161" spans="1:20" customFormat="1" ht="15" x14ac:dyDescent="0.25">
      <c r="A21161" t="s">
        <v>24</v>
      </c>
      <c r="B21161" t="s">
        <v>56277</v>
      </c>
      <c r="C21161" t="str">
        <f>"A0055777"</f>
        <v>A0055777</v>
      </c>
      <c r="D21161" t="s">
        <v>71958</v>
      </c>
      <c r="E21161" t="s">
        <v>71959</v>
      </c>
      <c r="F21161" t="s">
        <v>5107</v>
      </c>
      <c r="G21161" t="s">
        <v>137</v>
      </c>
      <c r="H21161">
        <v>64153</v>
      </c>
      <c r="I21161" t="s">
        <v>30</v>
      </c>
      <c r="J21161" t="s">
        <v>171</v>
      </c>
      <c r="K21161" t="s">
        <v>1023</v>
      </c>
      <c r="N21161" t="s">
        <v>71960</v>
      </c>
      <c r="O21161" t="s">
        <v>71961</v>
      </c>
      <c r="Q21161">
        <v>0</v>
      </c>
      <c r="R21161">
        <v>116</v>
      </c>
      <c r="S21161">
        <v>0</v>
      </c>
      <c r="T21161" t="s">
        <v>71962</v>
      </c>
    </row>
    <row r="21162" spans="1:20" customFormat="1" ht="15" x14ac:dyDescent="0.25">
      <c r="A21162" t="s">
        <v>24</v>
      </c>
      <c r="B21162" t="s">
        <v>2340</v>
      </c>
      <c r="C21162" t="str">
        <f>"A0099794"</f>
        <v>A0099794</v>
      </c>
      <c r="D21162" t="s">
        <v>71963</v>
      </c>
      <c r="E21162" t="s">
        <v>71964</v>
      </c>
      <c r="F21162" t="s">
        <v>5107</v>
      </c>
      <c r="G21162" t="s">
        <v>925</v>
      </c>
      <c r="H21162">
        <v>66109</v>
      </c>
      <c r="I21162" t="s">
        <v>30</v>
      </c>
      <c r="J21162" t="s">
        <v>171</v>
      </c>
      <c r="K21162" t="s">
        <v>1023</v>
      </c>
      <c r="N21162" t="s">
        <v>71965</v>
      </c>
      <c r="Q21162">
        <v>0</v>
      </c>
      <c r="R21162">
        <v>108</v>
      </c>
      <c r="S21162">
        <v>0</v>
      </c>
      <c r="T21162" t="s">
        <v>71966</v>
      </c>
    </row>
    <row r="21163" spans="1:20" customFormat="1" ht="15" x14ac:dyDescent="0.25">
      <c r="A21163" t="s">
        <v>24</v>
      </c>
      <c r="B21163" t="s">
        <v>9391</v>
      </c>
      <c r="C21163" t="str">
        <f>"A0095678"</f>
        <v>A0095678</v>
      </c>
      <c r="D21163" t="s">
        <v>71967</v>
      </c>
      <c r="E21163" t="s">
        <v>71968</v>
      </c>
      <c r="F21163" t="s">
        <v>1248</v>
      </c>
      <c r="G21163" t="s">
        <v>846</v>
      </c>
      <c r="H21163">
        <v>30144</v>
      </c>
      <c r="I21163" t="s">
        <v>30</v>
      </c>
      <c r="J21163" t="s">
        <v>171</v>
      </c>
      <c r="K21163" t="s">
        <v>1023</v>
      </c>
      <c r="N21163" t="s">
        <v>68994</v>
      </c>
      <c r="Q21163">
        <v>0</v>
      </c>
      <c r="R21163">
        <v>100</v>
      </c>
      <c r="S21163">
        <v>0</v>
      </c>
      <c r="T21163" t="s">
        <v>71969</v>
      </c>
    </row>
    <row r="21164" spans="1:20" customFormat="1" ht="15" x14ac:dyDescent="0.25">
      <c r="A21164" t="s">
        <v>24</v>
      </c>
      <c r="B21164" t="s">
        <v>13679</v>
      </c>
      <c r="C21164" t="str">
        <f>"A0091066"</f>
        <v>A0091066</v>
      </c>
      <c r="D21164" t="s">
        <v>71970</v>
      </c>
      <c r="E21164" t="s">
        <v>71971</v>
      </c>
      <c r="F21164" t="s">
        <v>3154</v>
      </c>
      <c r="G21164" t="s">
        <v>1170</v>
      </c>
      <c r="H21164">
        <v>70508</v>
      </c>
      <c r="I21164" t="s">
        <v>30</v>
      </c>
      <c r="J21164" t="s">
        <v>171</v>
      </c>
      <c r="K21164" t="s">
        <v>1023</v>
      </c>
      <c r="N21164" t="s">
        <v>71972</v>
      </c>
      <c r="Q21164">
        <v>0</v>
      </c>
      <c r="R21164">
        <v>129</v>
      </c>
      <c r="S21164">
        <v>0</v>
      </c>
      <c r="T21164" t="s">
        <v>71973</v>
      </c>
    </row>
    <row r="21165" spans="1:20" customFormat="1" ht="15" x14ac:dyDescent="0.25">
      <c r="A21165" t="s">
        <v>24</v>
      </c>
      <c r="B21165" t="s">
        <v>54771</v>
      </c>
      <c r="C21165" t="str">
        <f>"A0117309"</f>
        <v>A0117309</v>
      </c>
      <c r="D21165" t="s">
        <v>71974</v>
      </c>
      <c r="E21165" t="s">
        <v>71975</v>
      </c>
      <c r="F21165" t="s">
        <v>985</v>
      </c>
      <c r="G21165" t="s">
        <v>81</v>
      </c>
      <c r="H21165">
        <v>32836</v>
      </c>
      <c r="I21165" t="s">
        <v>30</v>
      </c>
      <c r="J21165" t="s">
        <v>171</v>
      </c>
      <c r="K21165" t="s">
        <v>1023</v>
      </c>
      <c r="N21165" t="s">
        <v>69384</v>
      </c>
      <c r="Q21165">
        <v>0</v>
      </c>
      <c r="R21165">
        <v>130</v>
      </c>
      <c r="S21165">
        <v>0</v>
      </c>
      <c r="T21165" t="s">
        <v>71976</v>
      </c>
    </row>
    <row r="21166" spans="1:20" customFormat="1" ht="15" x14ac:dyDescent="0.25">
      <c r="A21166" t="s">
        <v>24</v>
      </c>
      <c r="B21166" t="s">
        <v>1138</v>
      </c>
      <c r="C21166" t="str">
        <f>"A0098700"</f>
        <v>A0098700</v>
      </c>
      <c r="D21166" t="s">
        <v>71977</v>
      </c>
      <c r="E21166" t="s">
        <v>71978</v>
      </c>
      <c r="F21166" t="s">
        <v>220</v>
      </c>
      <c r="G21166" t="s">
        <v>221</v>
      </c>
      <c r="H21166">
        <v>89103</v>
      </c>
      <c r="I21166" t="s">
        <v>30</v>
      </c>
      <c r="J21166" t="s">
        <v>171</v>
      </c>
      <c r="K21166" t="s">
        <v>1023</v>
      </c>
      <c r="N21166" t="s">
        <v>71979</v>
      </c>
      <c r="O21166" t="s">
        <v>71980</v>
      </c>
      <c r="Q21166">
        <v>0</v>
      </c>
      <c r="R21166">
        <v>158</v>
      </c>
      <c r="S21166">
        <v>0</v>
      </c>
      <c r="T21166" t="s">
        <v>71981</v>
      </c>
    </row>
    <row r="21167" spans="1:20" customFormat="1" ht="15" x14ac:dyDescent="0.25">
      <c r="A21167" t="s">
        <v>24</v>
      </c>
      <c r="B21167" t="s">
        <v>4990</v>
      </c>
      <c r="C21167" t="str">
        <f>"A0076463"</f>
        <v>A0076463</v>
      </c>
      <c r="D21167" t="s">
        <v>71982</v>
      </c>
      <c r="E21167" t="s">
        <v>71983</v>
      </c>
      <c r="F21167" t="s">
        <v>57918</v>
      </c>
      <c r="G21167" t="s">
        <v>52</v>
      </c>
      <c r="H21167">
        <v>75057</v>
      </c>
      <c r="I21167" t="s">
        <v>30</v>
      </c>
      <c r="J21167" t="s">
        <v>171</v>
      </c>
      <c r="K21167" t="s">
        <v>1023</v>
      </c>
      <c r="N21167" t="s">
        <v>71984</v>
      </c>
      <c r="O21167" t="s">
        <v>71985</v>
      </c>
      <c r="Q21167">
        <v>0</v>
      </c>
      <c r="R21167">
        <v>96</v>
      </c>
      <c r="S21167">
        <v>0</v>
      </c>
      <c r="T21167" t="s">
        <v>71986</v>
      </c>
    </row>
    <row r="21168" spans="1:20" customFormat="1" ht="15" x14ac:dyDescent="0.25">
      <c r="A21168" t="s">
        <v>24</v>
      </c>
      <c r="B21168" t="s">
        <v>2368</v>
      </c>
      <c r="C21168" t="str">
        <f>"A0084488"</f>
        <v>A0084488</v>
      </c>
      <c r="D21168" t="s">
        <v>71987</v>
      </c>
      <c r="E21168" t="s">
        <v>71988</v>
      </c>
      <c r="F21168" t="s">
        <v>2978</v>
      </c>
      <c r="G21168" t="s">
        <v>110</v>
      </c>
      <c r="H21168">
        <v>92106</v>
      </c>
      <c r="I21168" t="s">
        <v>30</v>
      </c>
      <c r="J21168" t="s">
        <v>171</v>
      </c>
      <c r="K21168" t="s">
        <v>1023</v>
      </c>
      <c r="N21168" t="s">
        <v>61701</v>
      </c>
      <c r="Q21168">
        <v>0</v>
      </c>
      <c r="R21168">
        <v>150</v>
      </c>
      <c r="S21168">
        <v>0</v>
      </c>
      <c r="T21168" t="s">
        <v>71989</v>
      </c>
    </row>
    <row r="21169" spans="1:20" customFormat="1" ht="15" x14ac:dyDescent="0.25">
      <c r="A21169" t="s">
        <v>24</v>
      </c>
      <c r="B21169" t="s">
        <v>342</v>
      </c>
      <c r="C21169" t="str">
        <f>"A0094416"</f>
        <v>A0094416</v>
      </c>
      <c r="D21169" t="s">
        <v>71990</v>
      </c>
      <c r="E21169" t="s">
        <v>71991</v>
      </c>
      <c r="F21169" t="s">
        <v>4334</v>
      </c>
      <c r="G21169" t="s">
        <v>85</v>
      </c>
      <c r="H21169">
        <v>72201</v>
      </c>
      <c r="I21169" t="s">
        <v>30</v>
      </c>
      <c r="J21169" t="s">
        <v>171</v>
      </c>
      <c r="K21169" t="s">
        <v>1023</v>
      </c>
      <c r="N21169" t="s">
        <v>71992</v>
      </c>
      <c r="O21169" t="s">
        <v>71993</v>
      </c>
      <c r="Q21169">
        <v>0</v>
      </c>
      <c r="R21169">
        <v>116</v>
      </c>
      <c r="S21169">
        <v>0</v>
      </c>
      <c r="T21169" t="s">
        <v>71994</v>
      </c>
    </row>
    <row r="21170" spans="1:20" customFormat="1" ht="15" x14ac:dyDescent="0.25">
      <c r="A21170" t="s">
        <v>24</v>
      </c>
      <c r="B21170" t="s">
        <v>4400</v>
      </c>
      <c r="C21170" t="str">
        <f>"A0088549"</f>
        <v>A0088549</v>
      </c>
      <c r="D21170" t="s">
        <v>71995</v>
      </c>
      <c r="E21170" t="s">
        <v>71996</v>
      </c>
      <c r="F21170" t="s">
        <v>12772</v>
      </c>
      <c r="G21170" t="s">
        <v>190</v>
      </c>
      <c r="H21170">
        <v>80127</v>
      </c>
      <c r="I21170" t="s">
        <v>30</v>
      </c>
      <c r="J21170" t="s">
        <v>171</v>
      </c>
      <c r="K21170" t="s">
        <v>1023</v>
      </c>
      <c r="N21170" t="s">
        <v>71036</v>
      </c>
      <c r="Q21170">
        <v>0</v>
      </c>
      <c r="R21170">
        <v>84</v>
      </c>
      <c r="S21170">
        <v>0</v>
      </c>
      <c r="T21170" t="s">
        <v>71997</v>
      </c>
    </row>
    <row r="21171" spans="1:20" customFormat="1" ht="15" x14ac:dyDescent="0.25">
      <c r="A21171" t="s">
        <v>24</v>
      </c>
      <c r="B21171" t="s">
        <v>1138</v>
      </c>
      <c r="C21171" t="str">
        <f>"A0157219"</f>
        <v>A0157219</v>
      </c>
      <c r="D21171" t="s">
        <v>71998</v>
      </c>
      <c r="E21171" t="s">
        <v>71999</v>
      </c>
      <c r="F21171" t="s">
        <v>72000</v>
      </c>
      <c r="G21171" t="s">
        <v>110</v>
      </c>
      <c r="H21171">
        <v>94551</v>
      </c>
      <c r="I21171" t="s">
        <v>30</v>
      </c>
      <c r="J21171" t="s">
        <v>171</v>
      </c>
      <c r="K21171" t="s">
        <v>1023</v>
      </c>
      <c r="N21171" t="s">
        <v>72001</v>
      </c>
      <c r="Q21171">
        <v>0</v>
      </c>
      <c r="R21171">
        <v>104</v>
      </c>
      <c r="S21171">
        <v>0</v>
      </c>
      <c r="T21171" t="s">
        <v>57613</v>
      </c>
    </row>
    <row r="21172" spans="1:20" customFormat="1" ht="15" x14ac:dyDescent="0.25">
      <c r="A21172" t="s">
        <v>24</v>
      </c>
      <c r="B21172" t="s">
        <v>1487</v>
      </c>
      <c r="C21172" t="str">
        <f>"A0099879"</f>
        <v>A0099879</v>
      </c>
      <c r="D21172" t="s">
        <v>72002</v>
      </c>
      <c r="E21172" t="s">
        <v>72003</v>
      </c>
      <c r="F21172" t="s">
        <v>3466</v>
      </c>
      <c r="G21172" t="s">
        <v>840</v>
      </c>
      <c r="H21172">
        <v>40202</v>
      </c>
      <c r="I21172" t="s">
        <v>30</v>
      </c>
      <c r="J21172" t="s">
        <v>171</v>
      </c>
      <c r="K21172" t="s">
        <v>1023</v>
      </c>
      <c r="N21172" t="s">
        <v>72004</v>
      </c>
      <c r="Q21172">
        <v>0</v>
      </c>
      <c r="R21172">
        <v>133</v>
      </c>
      <c r="S21172">
        <v>0</v>
      </c>
      <c r="T21172" t="s">
        <v>192</v>
      </c>
    </row>
    <row r="21173" spans="1:20" customFormat="1" ht="15" x14ac:dyDescent="0.25">
      <c r="A21173" t="s">
        <v>24</v>
      </c>
      <c r="B21173" t="s">
        <v>13679</v>
      </c>
      <c r="C21173" t="str">
        <f>"A0093230"</f>
        <v>A0093230</v>
      </c>
      <c r="D21173" t="s">
        <v>72005</v>
      </c>
      <c r="E21173" t="s">
        <v>72006</v>
      </c>
      <c r="F21173" t="s">
        <v>2120</v>
      </c>
      <c r="G21173" t="s">
        <v>52</v>
      </c>
      <c r="H21173">
        <v>79424</v>
      </c>
      <c r="I21173" t="s">
        <v>30</v>
      </c>
      <c r="J21173" t="s">
        <v>171</v>
      </c>
      <c r="K21173" t="s">
        <v>1023</v>
      </c>
      <c r="N21173" t="s">
        <v>69419</v>
      </c>
      <c r="Q21173">
        <v>0</v>
      </c>
      <c r="R21173">
        <v>74</v>
      </c>
      <c r="S21173">
        <v>0</v>
      </c>
      <c r="T21173" t="s">
        <v>72007</v>
      </c>
    </row>
    <row r="21174" spans="1:20" customFormat="1" ht="15" x14ac:dyDescent="0.25">
      <c r="A21174" t="s">
        <v>24</v>
      </c>
      <c r="B21174" t="s">
        <v>13679</v>
      </c>
      <c r="C21174" t="str">
        <f>"A0066158"</f>
        <v>A0066158</v>
      </c>
      <c r="D21174" t="s">
        <v>72013</v>
      </c>
      <c r="E21174" t="s">
        <v>72014</v>
      </c>
      <c r="F21174" t="s">
        <v>63242</v>
      </c>
      <c r="G21174" t="s">
        <v>338</v>
      </c>
      <c r="H21174">
        <v>7430</v>
      </c>
      <c r="I21174" t="s">
        <v>30</v>
      </c>
      <c r="J21174" t="s">
        <v>171</v>
      </c>
      <c r="K21174" t="s">
        <v>1023</v>
      </c>
      <c r="N21174" t="s">
        <v>72015</v>
      </c>
      <c r="Q21174">
        <v>0</v>
      </c>
      <c r="R21174">
        <v>110</v>
      </c>
      <c r="S21174">
        <v>0</v>
      </c>
      <c r="T21174" t="s">
        <v>72016</v>
      </c>
    </row>
    <row r="21175" spans="1:20" customFormat="1" ht="15" x14ac:dyDescent="0.25">
      <c r="A21175" t="s">
        <v>24</v>
      </c>
      <c r="B21175" t="s">
        <v>56826</v>
      </c>
      <c r="C21175" t="str">
        <f>"A0099439"</f>
        <v>A0099439</v>
      </c>
      <c r="D21175" t="s">
        <v>72017</v>
      </c>
      <c r="E21175" t="s">
        <v>72018</v>
      </c>
      <c r="F21175" t="s">
        <v>8542</v>
      </c>
      <c r="G21175" t="s">
        <v>615</v>
      </c>
      <c r="H21175">
        <v>6042</v>
      </c>
      <c r="I21175" t="s">
        <v>30</v>
      </c>
      <c r="J21175" t="s">
        <v>171</v>
      </c>
      <c r="K21175" t="s">
        <v>1023</v>
      </c>
      <c r="N21175" t="s">
        <v>72019</v>
      </c>
      <c r="Q21175">
        <v>0</v>
      </c>
      <c r="R21175">
        <v>105</v>
      </c>
      <c r="S21175">
        <v>0</v>
      </c>
      <c r="T21175" t="s">
        <v>72020</v>
      </c>
    </row>
    <row r="21176" spans="1:20" customFormat="1" ht="15" x14ac:dyDescent="0.25">
      <c r="A21176" t="s">
        <v>24</v>
      </c>
      <c r="B21176" t="s">
        <v>61024</v>
      </c>
      <c r="C21176" t="str">
        <f>"A0085988"</f>
        <v>A0085988</v>
      </c>
      <c r="D21176" t="s">
        <v>72021</v>
      </c>
      <c r="E21176" t="s">
        <v>72022</v>
      </c>
      <c r="F21176" t="s">
        <v>30746</v>
      </c>
      <c r="G21176" t="s">
        <v>52</v>
      </c>
      <c r="H21176">
        <v>78503</v>
      </c>
      <c r="I21176" t="s">
        <v>30</v>
      </c>
      <c r="J21176" t="s">
        <v>171</v>
      </c>
      <c r="K21176" t="s">
        <v>1023</v>
      </c>
      <c r="N21176" t="s">
        <v>72023</v>
      </c>
      <c r="Q21176">
        <v>0</v>
      </c>
      <c r="R21176">
        <v>124</v>
      </c>
      <c r="S21176">
        <v>0</v>
      </c>
      <c r="T21176" t="s">
        <v>72024</v>
      </c>
    </row>
    <row r="21177" spans="1:20" customFormat="1" ht="15" x14ac:dyDescent="0.25">
      <c r="A21177" t="s">
        <v>24</v>
      </c>
      <c r="B21177" t="s">
        <v>2340</v>
      </c>
      <c r="C21177" t="str">
        <f>"A0098419"</f>
        <v>A0098419</v>
      </c>
      <c r="D21177" t="s">
        <v>72025</v>
      </c>
      <c r="E21177" t="s">
        <v>72026</v>
      </c>
      <c r="F21177" t="s">
        <v>1580</v>
      </c>
      <c r="G21177" t="s">
        <v>1170</v>
      </c>
      <c r="H21177">
        <v>70002</v>
      </c>
      <c r="I21177" t="s">
        <v>30</v>
      </c>
      <c r="J21177" t="s">
        <v>171</v>
      </c>
      <c r="K21177" t="s">
        <v>1023</v>
      </c>
      <c r="N21177" t="s">
        <v>72027</v>
      </c>
      <c r="Q21177">
        <v>0</v>
      </c>
      <c r="R21177">
        <v>115</v>
      </c>
      <c r="S21177">
        <v>0</v>
      </c>
      <c r="T21177" t="s">
        <v>72028</v>
      </c>
    </row>
    <row r="21178" spans="1:20" customFormat="1" ht="15" x14ac:dyDescent="0.25">
      <c r="A21178" t="s">
        <v>24</v>
      </c>
      <c r="B21178" t="s">
        <v>2340</v>
      </c>
      <c r="C21178" t="str">
        <f>"A0099362"</f>
        <v>A0099362</v>
      </c>
      <c r="D21178" t="s">
        <v>72029</v>
      </c>
      <c r="E21178" t="s">
        <v>72030</v>
      </c>
      <c r="F21178" t="s">
        <v>1889</v>
      </c>
      <c r="G21178" t="s">
        <v>81</v>
      </c>
      <c r="H21178">
        <v>33129</v>
      </c>
      <c r="I21178" t="s">
        <v>30</v>
      </c>
      <c r="J21178" t="s">
        <v>171</v>
      </c>
      <c r="K21178" t="s">
        <v>1023</v>
      </c>
      <c r="N21178" t="s">
        <v>72031</v>
      </c>
      <c r="Q21178">
        <v>0</v>
      </c>
      <c r="R21178">
        <v>102</v>
      </c>
      <c r="S21178">
        <v>0</v>
      </c>
      <c r="T21178" t="s">
        <v>72032</v>
      </c>
    </row>
    <row r="21179" spans="1:20" customFormat="1" ht="15" x14ac:dyDescent="0.25">
      <c r="A21179" t="s">
        <v>24</v>
      </c>
      <c r="B21179" t="s">
        <v>1561</v>
      </c>
      <c r="C21179" t="str">
        <f>"A0083099"</f>
        <v>A0083099</v>
      </c>
      <c r="D21179" t="s">
        <v>72037</v>
      </c>
      <c r="E21179" t="s">
        <v>72038</v>
      </c>
      <c r="F21179" t="s">
        <v>63065</v>
      </c>
      <c r="G21179" t="s">
        <v>65</v>
      </c>
      <c r="H21179">
        <v>45150</v>
      </c>
      <c r="I21179" t="s">
        <v>30</v>
      </c>
      <c r="J21179" t="s">
        <v>171</v>
      </c>
      <c r="K21179" t="s">
        <v>1023</v>
      </c>
      <c r="N21179" t="s">
        <v>72039</v>
      </c>
      <c r="O21179" t="s">
        <v>72040</v>
      </c>
      <c r="Q21179">
        <v>0</v>
      </c>
      <c r="R21179">
        <v>76</v>
      </c>
      <c r="S21179">
        <v>0</v>
      </c>
      <c r="T21179" t="s">
        <v>72041</v>
      </c>
    </row>
    <row r="21180" spans="1:20" customFormat="1" ht="15" x14ac:dyDescent="0.25">
      <c r="A21180" t="s">
        <v>24</v>
      </c>
      <c r="B21180" t="s">
        <v>2528</v>
      </c>
      <c r="C21180" t="str">
        <f>"A0091288"</f>
        <v>A0091288</v>
      </c>
      <c r="D21180" t="s">
        <v>72042</v>
      </c>
      <c r="E21180" t="s">
        <v>72043</v>
      </c>
      <c r="F21180" t="s">
        <v>3455</v>
      </c>
      <c r="G21180" t="s">
        <v>161</v>
      </c>
      <c r="H21180">
        <v>55425</v>
      </c>
      <c r="I21180" t="s">
        <v>30</v>
      </c>
      <c r="J21180" t="s">
        <v>171</v>
      </c>
      <c r="K21180" t="s">
        <v>1023</v>
      </c>
      <c r="N21180" t="s">
        <v>72044</v>
      </c>
      <c r="Q21180">
        <v>0</v>
      </c>
      <c r="R21180">
        <v>144</v>
      </c>
      <c r="S21180">
        <v>0</v>
      </c>
      <c r="T21180" t="s">
        <v>72045</v>
      </c>
    </row>
    <row r="21181" spans="1:20" customFormat="1" ht="15" x14ac:dyDescent="0.25">
      <c r="A21181" t="s">
        <v>24</v>
      </c>
      <c r="B21181" t="s">
        <v>2812</v>
      </c>
      <c r="C21181" t="str">
        <f>"A0101150"</f>
        <v>A0101150</v>
      </c>
      <c r="D21181" t="s">
        <v>72046</v>
      </c>
      <c r="E21181" t="s">
        <v>72047</v>
      </c>
      <c r="F21181" t="s">
        <v>53883</v>
      </c>
      <c r="G21181" t="s">
        <v>1706</v>
      </c>
      <c r="H21181">
        <v>36695</v>
      </c>
      <c r="I21181" t="s">
        <v>30</v>
      </c>
      <c r="J21181" t="s">
        <v>171</v>
      </c>
      <c r="K21181" t="s">
        <v>1023</v>
      </c>
      <c r="N21181" t="s">
        <v>72048</v>
      </c>
      <c r="O21181" t="s">
        <v>72049</v>
      </c>
      <c r="Q21181">
        <v>0</v>
      </c>
      <c r="R21181">
        <v>86</v>
      </c>
      <c r="S21181">
        <v>0</v>
      </c>
      <c r="T21181" t="s">
        <v>72050</v>
      </c>
    </row>
    <row r="21182" spans="1:20" customFormat="1" ht="15" x14ac:dyDescent="0.25">
      <c r="A21182" t="s">
        <v>24</v>
      </c>
      <c r="B21182" t="s">
        <v>1323</v>
      </c>
      <c r="C21182" t="str">
        <f>"A0078368"</f>
        <v>A0078368</v>
      </c>
      <c r="D21182" t="s">
        <v>72051</v>
      </c>
      <c r="E21182" t="s">
        <v>72052</v>
      </c>
      <c r="F21182" t="s">
        <v>8562</v>
      </c>
      <c r="G21182" t="s">
        <v>1706</v>
      </c>
      <c r="H21182">
        <v>36109</v>
      </c>
      <c r="I21182" t="s">
        <v>30</v>
      </c>
      <c r="J21182" t="s">
        <v>171</v>
      </c>
      <c r="K21182" t="s">
        <v>1023</v>
      </c>
      <c r="N21182" t="s">
        <v>72053</v>
      </c>
      <c r="Q21182">
        <v>0</v>
      </c>
      <c r="R21182">
        <v>91</v>
      </c>
      <c r="S21182">
        <v>0</v>
      </c>
      <c r="T21182" t="s">
        <v>72054</v>
      </c>
    </row>
    <row r="21183" spans="1:20" customFormat="1" ht="15" x14ac:dyDescent="0.25">
      <c r="A21183" t="s">
        <v>24</v>
      </c>
      <c r="B21183" t="s">
        <v>3159</v>
      </c>
      <c r="C21183" t="str">
        <f>"A0075790"</f>
        <v>A0075790</v>
      </c>
      <c r="D21183" t="s">
        <v>72055</v>
      </c>
      <c r="E21183" t="s">
        <v>72056</v>
      </c>
      <c r="F21183" t="s">
        <v>14600</v>
      </c>
      <c r="G21183" t="s">
        <v>338</v>
      </c>
      <c r="H21183">
        <v>8054</v>
      </c>
      <c r="I21183" t="s">
        <v>30</v>
      </c>
      <c r="J21183" t="s">
        <v>171</v>
      </c>
      <c r="K21183" t="s">
        <v>1023</v>
      </c>
      <c r="N21183" t="s">
        <v>72057</v>
      </c>
      <c r="O21183" t="s">
        <v>72058</v>
      </c>
      <c r="Q21183">
        <v>0</v>
      </c>
      <c r="R21183">
        <v>118</v>
      </c>
      <c r="S21183">
        <v>0</v>
      </c>
      <c r="T21183" t="s">
        <v>72059</v>
      </c>
    </row>
    <row r="21184" spans="1:20" customFormat="1" ht="15" x14ac:dyDescent="0.25">
      <c r="A21184" t="s">
        <v>24</v>
      </c>
      <c r="B21184" t="s">
        <v>1849</v>
      </c>
      <c r="C21184" t="str">
        <f>"A0094559"</f>
        <v>A0094559</v>
      </c>
      <c r="D21184" t="s">
        <v>72060</v>
      </c>
      <c r="E21184" t="s">
        <v>72061</v>
      </c>
      <c r="F21184" t="s">
        <v>34402</v>
      </c>
      <c r="G21184" t="s">
        <v>58</v>
      </c>
      <c r="H21184">
        <v>29464</v>
      </c>
      <c r="I21184" t="s">
        <v>30</v>
      </c>
      <c r="J21184" t="s">
        <v>171</v>
      </c>
      <c r="K21184" t="s">
        <v>1023</v>
      </c>
      <c r="N21184" t="s">
        <v>72062</v>
      </c>
      <c r="O21184" t="s">
        <v>72063</v>
      </c>
      <c r="Q21184">
        <v>0</v>
      </c>
      <c r="R21184">
        <v>107</v>
      </c>
      <c r="S21184">
        <v>0</v>
      </c>
      <c r="T21184" t="s">
        <v>72064</v>
      </c>
    </row>
    <row r="21185" spans="1:20" customFormat="1" ht="15" x14ac:dyDescent="0.25">
      <c r="A21185" t="s">
        <v>24</v>
      </c>
      <c r="B21185" t="s">
        <v>2005</v>
      </c>
      <c r="C21185" t="str">
        <f>"A0157908"</f>
        <v>A0157908</v>
      </c>
      <c r="D21185" t="s">
        <v>72065</v>
      </c>
      <c r="E21185" t="s">
        <v>72066</v>
      </c>
      <c r="F21185" t="s">
        <v>1159</v>
      </c>
      <c r="G21185" t="s">
        <v>58</v>
      </c>
      <c r="H21185">
        <v>29577</v>
      </c>
      <c r="I21185" t="s">
        <v>30</v>
      </c>
      <c r="J21185" t="s">
        <v>171</v>
      </c>
      <c r="K21185" t="s">
        <v>1023</v>
      </c>
      <c r="N21185" t="s">
        <v>72067</v>
      </c>
      <c r="O21185" t="s">
        <v>8752</v>
      </c>
      <c r="Q21185">
        <v>0</v>
      </c>
      <c r="R21185">
        <v>105</v>
      </c>
      <c r="S21185">
        <v>0</v>
      </c>
      <c r="T21185" t="s">
        <v>72068</v>
      </c>
    </row>
    <row r="21186" spans="1:20" customFormat="1" ht="15" x14ac:dyDescent="0.25">
      <c r="A21186" t="s">
        <v>24</v>
      </c>
      <c r="B21186" t="s">
        <v>13679</v>
      </c>
      <c r="C21186" t="str">
        <f>"A0087000"</f>
        <v>A0087000</v>
      </c>
      <c r="D21186" t="s">
        <v>72069</v>
      </c>
      <c r="E21186" t="s">
        <v>72070</v>
      </c>
      <c r="F21186" t="s">
        <v>2971</v>
      </c>
      <c r="G21186" t="s">
        <v>880</v>
      </c>
      <c r="H21186">
        <v>37203</v>
      </c>
      <c r="I21186" t="s">
        <v>30</v>
      </c>
      <c r="J21186" t="s">
        <v>171</v>
      </c>
      <c r="K21186" t="s">
        <v>1023</v>
      </c>
      <c r="N21186" t="s">
        <v>72071</v>
      </c>
      <c r="O21186" t="s">
        <v>72072</v>
      </c>
      <c r="Q21186">
        <v>0</v>
      </c>
      <c r="R21186">
        <v>113</v>
      </c>
      <c r="S21186">
        <v>0</v>
      </c>
      <c r="T21186" t="s">
        <v>72073</v>
      </c>
    </row>
    <row r="21187" spans="1:20" customFormat="1" ht="15" x14ac:dyDescent="0.25">
      <c r="A21187" t="s">
        <v>24</v>
      </c>
      <c r="B21187" t="s">
        <v>2528</v>
      </c>
      <c r="C21187" t="str">
        <f>"A0091423"</f>
        <v>A0091423</v>
      </c>
      <c r="D21187" t="s">
        <v>72074</v>
      </c>
      <c r="E21187" t="s">
        <v>72075</v>
      </c>
      <c r="F21187" t="s">
        <v>9846</v>
      </c>
      <c r="G21187" t="s">
        <v>880</v>
      </c>
      <c r="H21187">
        <v>37027</v>
      </c>
      <c r="I21187" t="s">
        <v>30</v>
      </c>
      <c r="J21187" t="s">
        <v>171</v>
      </c>
      <c r="K21187" t="s">
        <v>1023</v>
      </c>
      <c r="N21187" t="s">
        <v>72076</v>
      </c>
      <c r="O21187" t="s">
        <v>72077</v>
      </c>
      <c r="Q21187">
        <v>0</v>
      </c>
      <c r="R21187">
        <v>121</v>
      </c>
      <c r="S21187">
        <v>0</v>
      </c>
      <c r="T21187" t="s">
        <v>72078</v>
      </c>
    </row>
    <row r="21188" spans="1:20" customFormat="1" ht="15" x14ac:dyDescent="0.25">
      <c r="A21188" t="s">
        <v>24</v>
      </c>
      <c r="B21188" t="s">
        <v>13679</v>
      </c>
      <c r="C21188" t="str">
        <f>"A0066159"</f>
        <v>A0066159</v>
      </c>
      <c r="D21188" t="s">
        <v>72079</v>
      </c>
      <c r="E21188" t="s">
        <v>72080</v>
      </c>
      <c r="F21188" t="s">
        <v>2069</v>
      </c>
      <c r="G21188" t="s">
        <v>1170</v>
      </c>
      <c r="H21188">
        <v>70112</v>
      </c>
      <c r="I21188" t="s">
        <v>30</v>
      </c>
      <c r="J21188" t="s">
        <v>171</v>
      </c>
      <c r="K21188" t="s">
        <v>1023</v>
      </c>
      <c r="N21188" t="s">
        <v>72081</v>
      </c>
      <c r="O21188" t="s">
        <v>72082</v>
      </c>
      <c r="Q21188">
        <v>0</v>
      </c>
      <c r="R21188">
        <v>166</v>
      </c>
      <c r="S21188">
        <v>0</v>
      </c>
      <c r="T21188" t="s">
        <v>72083</v>
      </c>
    </row>
    <row r="21189" spans="1:20" customFormat="1" ht="15" x14ac:dyDescent="0.25">
      <c r="A21189" t="s">
        <v>24</v>
      </c>
      <c r="B21189" t="s">
        <v>66542</v>
      </c>
      <c r="C21189" t="str">
        <f>"88HW001"</f>
        <v>88HW001</v>
      </c>
      <c r="D21189" t="s">
        <v>72084</v>
      </c>
      <c r="E21189" t="s">
        <v>72085</v>
      </c>
      <c r="F21189" t="s">
        <v>1153</v>
      </c>
      <c r="G21189" t="s">
        <v>110</v>
      </c>
      <c r="H21189">
        <v>94560</v>
      </c>
      <c r="I21189" t="s">
        <v>30</v>
      </c>
      <c r="J21189" t="s">
        <v>171</v>
      </c>
      <c r="K21189" t="s">
        <v>1023</v>
      </c>
      <c r="N21189" t="s">
        <v>72086</v>
      </c>
      <c r="Q21189">
        <v>0</v>
      </c>
      <c r="R21189">
        <v>192</v>
      </c>
      <c r="S21189">
        <v>0</v>
      </c>
      <c r="T21189" t="s">
        <v>72087</v>
      </c>
    </row>
    <row r="21190" spans="1:20" customFormat="1" ht="15" x14ac:dyDescent="0.25">
      <c r="A21190" t="s">
        <v>24</v>
      </c>
      <c r="B21190" t="s">
        <v>57575</v>
      </c>
      <c r="C21190" t="str">
        <f>"A0087385"</f>
        <v>A0087385</v>
      </c>
      <c r="D21190" t="s">
        <v>72088</v>
      </c>
      <c r="E21190" t="s">
        <v>72089</v>
      </c>
      <c r="F21190" t="s">
        <v>34434</v>
      </c>
      <c r="G21190" t="s">
        <v>29</v>
      </c>
      <c r="H21190">
        <v>23693</v>
      </c>
      <c r="I21190" t="s">
        <v>30</v>
      </c>
      <c r="J21190" t="s">
        <v>171</v>
      </c>
      <c r="K21190" t="s">
        <v>1023</v>
      </c>
      <c r="N21190" t="s">
        <v>72090</v>
      </c>
      <c r="Q21190">
        <v>0</v>
      </c>
      <c r="R21190">
        <v>84</v>
      </c>
      <c r="S21190">
        <v>0</v>
      </c>
      <c r="T21190" t="s">
        <v>72091</v>
      </c>
    </row>
    <row r="21191" spans="1:20" customFormat="1" ht="15" x14ac:dyDescent="0.25">
      <c r="A21191" t="s">
        <v>24</v>
      </c>
      <c r="B21191" t="s">
        <v>2955</v>
      </c>
      <c r="C21191" t="str">
        <f>"A0056154"</f>
        <v>A0056154</v>
      </c>
      <c r="D21191" t="s">
        <v>72092</v>
      </c>
      <c r="E21191" t="s">
        <v>72093</v>
      </c>
      <c r="F21191" t="s">
        <v>356</v>
      </c>
      <c r="G21191" t="s">
        <v>52</v>
      </c>
      <c r="H21191">
        <v>78230</v>
      </c>
      <c r="I21191" t="s">
        <v>30</v>
      </c>
      <c r="J21191" t="s">
        <v>171</v>
      </c>
      <c r="K21191" t="s">
        <v>1023</v>
      </c>
      <c r="N21191" t="s">
        <v>72094</v>
      </c>
      <c r="Q21191">
        <v>0</v>
      </c>
      <c r="R21191">
        <v>123</v>
      </c>
      <c r="S21191">
        <v>0</v>
      </c>
      <c r="T21191" t="s">
        <v>72095</v>
      </c>
    </row>
    <row r="21192" spans="1:20" customFormat="1" ht="15" x14ac:dyDescent="0.25">
      <c r="A21192" t="s">
        <v>24</v>
      </c>
      <c r="B21192" t="s">
        <v>1561</v>
      </c>
      <c r="C21192" t="str">
        <f>"A0093453"</f>
        <v>A0093453</v>
      </c>
      <c r="D21192" t="s">
        <v>72096</v>
      </c>
      <c r="E21192" t="s">
        <v>72097</v>
      </c>
      <c r="F21192" t="s">
        <v>57635</v>
      </c>
      <c r="G21192" t="s">
        <v>52</v>
      </c>
      <c r="H21192">
        <v>79765</v>
      </c>
      <c r="I21192" t="s">
        <v>30</v>
      </c>
      <c r="J21192" t="s">
        <v>171</v>
      </c>
      <c r="K21192" t="s">
        <v>1023</v>
      </c>
      <c r="N21192" t="s">
        <v>72098</v>
      </c>
      <c r="Q21192">
        <v>0</v>
      </c>
      <c r="R21192">
        <v>121</v>
      </c>
      <c r="S21192">
        <v>0</v>
      </c>
      <c r="T21192" t="s">
        <v>72099</v>
      </c>
    </row>
    <row r="21193" spans="1:20" customFormat="1" ht="15" x14ac:dyDescent="0.25">
      <c r="A21193" t="s">
        <v>24</v>
      </c>
      <c r="B21193" t="s">
        <v>1020</v>
      </c>
      <c r="C21193" t="str">
        <f>"A0085011"</f>
        <v>A0085011</v>
      </c>
      <c r="D21193" t="s">
        <v>72100</v>
      </c>
      <c r="E21193" t="s">
        <v>72101</v>
      </c>
      <c r="F21193" t="s">
        <v>426</v>
      </c>
      <c r="G21193" t="s">
        <v>427</v>
      </c>
      <c r="H21193">
        <v>68102</v>
      </c>
      <c r="I21193" t="s">
        <v>30</v>
      </c>
      <c r="J21193" t="s">
        <v>171</v>
      </c>
      <c r="K21193" t="s">
        <v>1023</v>
      </c>
      <c r="N21193" t="s">
        <v>67611</v>
      </c>
      <c r="Q21193">
        <v>0</v>
      </c>
      <c r="R21193">
        <v>123</v>
      </c>
      <c r="S21193">
        <v>0</v>
      </c>
      <c r="T21193" t="s">
        <v>67612</v>
      </c>
    </row>
    <row r="21194" spans="1:20" customFormat="1" ht="15" x14ac:dyDescent="0.25">
      <c r="A21194" t="s">
        <v>24</v>
      </c>
      <c r="B21194" t="s">
        <v>1548</v>
      </c>
      <c r="C21194" t="str">
        <f>"A0083922"</f>
        <v>A0083922</v>
      </c>
      <c r="D21194" t="s">
        <v>79737</v>
      </c>
      <c r="E21194" t="s">
        <v>79738</v>
      </c>
      <c r="F21194" t="s">
        <v>5742</v>
      </c>
      <c r="G21194" t="s">
        <v>110</v>
      </c>
      <c r="H21194">
        <v>95814</v>
      </c>
      <c r="I21194" t="s">
        <v>30</v>
      </c>
      <c r="J21194" t="s">
        <v>31</v>
      </c>
      <c r="K21194" t="s">
        <v>1450</v>
      </c>
      <c r="N21194" t="s">
        <v>79739</v>
      </c>
      <c r="Q21194">
        <v>0</v>
      </c>
      <c r="R21194">
        <v>235</v>
      </c>
      <c r="S21194">
        <v>0</v>
      </c>
      <c r="T21194" t="s">
        <v>79740</v>
      </c>
    </row>
    <row r="21195" spans="1:20" customFormat="1" ht="15" x14ac:dyDescent="0.25">
      <c r="A21195" t="s">
        <v>24</v>
      </c>
      <c r="B21195" t="s">
        <v>2583</v>
      </c>
      <c r="C21195" t="str">
        <f>"A0154533"</f>
        <v>A0154533</v>
      </c>
      <c r="D21195" t="s">
        <v>72102</v>
      </c>
      <c r="E21195" t="s">
        <v>72103</v>
      </c>
      <c r="F21195" t="s">
        <v>68431</v>
      </c>
      <c r="G21195" t="s">
        <v>289</v>
      </c>
      <c r="H21195">
        <v>60467</v>
      </c>
      <c r="I21195" t="s">
        <v>30</v>
      </c>
      <c r="J21195" t="s">
        <v>171</v>
      </c>
      <c r="K21195" t="s">
        <v>1023</v>
      </c>
      <c r="N21195" t="s">
        <v>72104</v>
      </c>
      <c r="O21195" t="s">
        <v>72105</v>
      </c>
      <c r="Q21195">
        <v>0</v>
      </c>
      <c r="R21195">
        <v>81</v>
      </c>
      <c r="S21195">
        <v>0</v>
      </c>
      <c r="T21195" t="s">
        <v>72106</v>
      </c>
    </row>
    <row r="21196" spans="1:20" customFormat="1" ht="15" x14ac:dyDescent="0.25">
      <c r="A21196" t="s">
        <v>24</v>
      </c>
      <c r="B21196" t="s">
        <v>342</v>
      </c>
      <c r="C21196" t="str">
        <f>"A0091753"</f>
        <v>A0091753</v>
      </c>
      <c r="D21196" t="s">
        <v>72107</v>
      </c>
      <c r="E21196" t="s">
        <v>72108</v>
      </c>
      <c r="F21196" t="s">
        <v>985</v>
      </c>
      <c r="G21196" t="s">
        <v>81</v>
      </c>
      <c r="H21196">
        <v>32812</v>
      </c>
      <c r="I21196" t="s">
        <v>30</v>
      </c>
      <c r="J21196" t="s">
        <v>171</v>
      </c>
      <c r="K21196" t="s">
        <v>1023</v>
      </c>
      <c r="N21196" t="s">
        <v>72109</v>
      </c>
      <c r="O21196" t="s">
        <v>72110</v>
      </c>
      <c r="Q21196">
        <v>0</v>
      </c>
      <c r="R21196">
        <v>128</v>
      </c>
      <c r="S21196">
        <v>0</v>
      </c>
      <c r="T21196" t="s">
        <v>72111</v>
      </c>
    </row>
    <row r="21197" spans="1:20" customFormat="1" ht="15" x14ac:dyDescent="0.25">
      <c r="A21197" t="s">
        <v>24</v>
      </c>
      <c r="B21197" t="s">
        <v>54771</v>
      </c>
      <c r="C21197" t="str">
        <f>"A0117311"</f>
        <v>A0117311</v>
      </c>
      <c r="D21197" t="s">
        <v>72112</v>
      </c>
      <c r="E21197" t="s">
        <v>72113</v>
      </c>
      <c r="F21197" t="s">
        <v>985</v>
      </c>
      <c r="G21197" t="s">
        <v>81</v>
      </c>
      <c r="H21197">
        <v>32821</v>
      </c>
      <c r="I21197" t="s">
        <v>30</v>
      </c>
      <c r="J21197" t="s">
        <v>171</v>
      </c>
      <c r="K21197" t="s">
        <v>1023</v>
      </c>
      <c r="N21197" t="s">
        <v>69384</v>
      </c>
      <c r="O21197" t="s">
        <v>72114</v>
      </c>
      <c r="Q21197">
        <v>0</v>
      </c>
      <c r="R21197">
        <v>133</v>
      </c>
      <c r="S21197">
        <v>0</v>
      </c>
      <c r="T21197" t="s">
        <v>72115</v>
      </c>
    </row>
    <row r="21198" spans="1:20" customFormat="1" ht="15" x14ac:dyDescent="0.25">
      <c r="A21198" t="s">
        <v>24</v>
      </c>
      <c r="B21198" t="s">
        <v>2955</v>
      </c>
      <c r="C21198" t="str">
        <f>"A0056260"</f>
        <v>A0056260</v>
      </c>
      <c r="D21198" t="s">
        <v>72116</v>
      </c>
      <c r="E21198" t="s">
        <v>72117</v>
      </c>
      <c r="F21198" t="s">
        <v>985</v>
      </c>
      <c r="G21198" t="s">
        <v>81</v>
      </c>
      <c r="H21198">
        <v>32819</v>
      </c>
      <c r="I21198" t="s">
        <v>30</v>
      </c>
      <c r="J21198" t="s">
        <v>171</v>
      </c>
      <c r="K21198" t="s">
        <v>1023</v>
      </c>
      <c r="N21198" t="s">
        <v>72118</v>
      </c>
      <c r="O21198" t="s">
        <v>72119</v>
      </c>
      <c r="Q21198">
        <v>0</v>
      </c>
      <c r="R21198">
        <v>252</v>
      </c>
      <c r="S21198">
        <v>0</v>
      </c>
      <c r="T21198" t="s">
        <v>72120</v>
      </c>
    </row>
    <row r="21199" spans="1:20" customFormat="1" ht="15" x14ac:dyDescent="0.25">
      <c r="A21199" t="s">
        <v>24</v>
      </c>
      <c r="B21199" t="s">
        <v>2528</v>
      </c>
      <c r="C21199" t="str">
        <f>"A0091286"</f>
        <v>A0091286</v>
      </c>
      <c r="D21199" t="s">
        <v>72121</v>
      </c>
      <c r="E21199" t="s">
        <v>72122</v>
      </c>
      <c r="F21199" t="s">
        <v>72123</v>
      </c>
      <c r="G21199" t="s">
        <v>81</v>
      </c>
      <c r="H21199">
        <v>32751</v>
      </c>
      <c r="I21199" t="s">
        <v>30</v>
      </c>
      <c r="J21199" t="s">
        <v>171</v>
      </c>
      <c r="K21199" t="s">
        <v>1023</v>
      </c>
      <c r="N21199" t="s">
        <v>72124</v>
      </c>
      <c r="Q21199">
        <v>0</v>
      </c>
      <c r="R21199">
        <v>143</v>
      </c>
      <c r="S21199">
        <v>0</v>
      </c>
      <c r="T21199" t="s">
        <v>72125</v>
      </c>
    </row>
    <row r="21200" spans="1:20" customFormat="1" ht="15" x14ac:dyDescent="0.25">
      <c r="A21200" t="s">
        <v>24</v>
      </c>
      <c r="B21200" t="s">
        <v>1317</v>
      </c>
      <c r="C21200" t="str">
        <f>"A0085048"</f>
        <v>A0085048</v>
      </c>
      <c r="D21200" t="s">
        <v>72132</v>
      </c>
      <c r="E21200" t="s">
        <v>72133</v>
      </c>
      <c r="F21200" t="s">
        <v>10152</v>
      </c>
      <c r="G21200" t="s">
        <v>110</v>
      </c>
      <c r="H21200">
        <v>92211</v>
      </c>
      <c r="I21200" t="s">
        <v>30</v>
      </c>
      <c r="J21200" t="s">
        <v>171</v>
      </c>
      <c r="K21200" t="s">
        <v>1023</v>
      </c>
      <c r="N21200" t="s">
        <v>72134</v>
      </c>
      <c r="O21200" t="s">
        <v>72135</v>
      </c>
      <c r="Q21200">
        <v>0</v>
      </c>
      <c r="R21200">
        <v>128</v>
      </c>
      <c r="S21200">
        <v>0</v>
      </c>
      <c r="T21200" t="s">
        <v>72136</v>
      </c>
    </row>
    <row r="21201" spans="1:20" customFormat="1" ht="15" x14ac:dyDescent="0.25">
      <c r="A21201" t="s">
        <v>24</v>
      </c>
      <c r="B21201" t="s">
        <v>72137</v>
      </c>
      <c r="C21201" t="str">
        <f>"A0094619"</f>
        <v>A0094619</v>
      </c>
      <c r="D21201" t="s">
        <v>72138</v>
      </c>
      <c r="E21201" t="s">
        <v>72139</v>
      </c>
      <c r="F21201" t="s">
        <v>5374</v>
      </c>
      <c r="G21201" t="s">
        <v>110</v>
      </c>
      <c r="H21201">
        <v>94306</v>
      </c>
      <c r="I21201" t="s">
        <v>30</v>
      </c>
      <c r="J21201" t="s">
        <v>171</v>
      </c>
      <c r="K21201" t="s">
        <v>1023</v>
      </c>
      <c r="N21201" t="s">
        <v>72140</v>
      </c>
      <c r="O21201" t="s">
        <v>72141</v>
      </c>
      <c r="Q21201">
        <v>0</v>
      </c>
      <c r="R21201">
        <v>115</v>
      </c>
      <c r="S21201">
        <v>0</v>
      </c>
      <c r="T21201" t="s">
        <v>72142</v>
      </c>
    </row>
    <row r="21202" spans="1:20" customFormat="1" ht="15" x14ac:dyDescent="0.25">
      <c r="A21202" t="s">
        <v>24</v>
      </c>
      <c r="B21202" t="s">
        <v>1561</v>
      </c>
      <c r="C21202" t="str">
        <f>"A0093700"</f>
        <v>A0093700</v>
      </c>
      <c r="D21202" t="s">
        <v>72143</v>
      </c>
      <c r="E21202" t="s">
        <v>72144</v>
      </c>
      <c r="F21202" t="s">
        <v>13036</v>
      </c>
      <c r="G21202" t="s">
        <v>197</v>
      </c>
      <c r="H21202">
        <v>85323</v>
      </c>
      <c r="I21202" t="s">
        <v>30</v>
      </c>
      <c r="J21202" t="s">
        <v>171</v>
      </c>
      <c r="K21202" t="s">
        <v>1023</v>
      </c>
      <c r="N21202" t="s">
        <v>72145</v>
      </c>
      <c r="Q21202">
        <v>0</v>
      </c>
      <c r="R21202">
        <v>123</v>
      </c>
      <c r="S21202">
        <v>0</v>
      </c>
      <c r="T21202" t="s">
        <v>72146</v>
      </c>
    </row>
    <row r="21203" spans="1:20" customFormat="1" ht="15" x14ac:dyDescent="0.25">
      <c r="A21203" t="s">
        <v>24</v>
      </c>
      <c r="B21203" t="s">
        <v>2955</v>
      </c>
      <c r="C21203" t="str">
        <f>"A0059784"</f>
        <v>A0059784</v>
      </c>
      <c r="D21203" t="s">
        <v>72147</v>
      </c>
      <c r="E21203" t="s">
        <v>72148</v>
      </c>
      <c r="F21203" t="s">
        <v>196</v>
      </c>
      <c r="G21203" t="s">
        <v>197</v>
      </c>
      <c r="H21203">
        <v>85016</v>
      </c>
      <c r="I21203" t="s">
        <v>30</v>
      </c>
      <c r="J21203" t="s">
        <v>171</v>
      </c>
      <c r="K21203" t="s">
        <v>1023</v>
      </c>
      <c r="N21203" t="s">
        <v>72149</v>
      </c>
      <c r="Q21203">
        <v>0</v>
      </c>
      <c r="R21203">
        <v>124</v>
      </c>
      <c r="S21203">
        <v>0</v>
      </c>
      <c r="T21203" t="s">
        <v>72150</v>
      </c>
    </row>
    <row r="21204" spans="1:20" customFormat="1" ht="15" x14ac:dyDescent="0.25">
      <c r="A21204" t="s">
        <v>24</v>
      </c>
      <c r="B21204" t="s">
        <v>10097</v>
      </c>
      <c r="C21204" t="str">
        <f>"A0089852"</f>
        <v>A0089852</v>
      </c>
      <c r="D21204" t="s">
        <v>72151</v>
      </c>
      <c r="E21204" t="s">
        <v>72152</v>
      </c>
      <c r="F21204" t="s">
        <v>72153</v>
      </c>
      <c r="G21204" t="s">
        <v>214</v>
      </c>
      <c r="H21204">
        <v>28374</v>
      </c>
      <c r="I21204" t="s">
        <v>30</v>
      </c>
      <c r="J21204" t="s">
        <v>171</v>
      </c>
      <c r="K21204" t="s">
        <v>1023</v>
      </c>
      <c r="N21204" t="s">
        <v>72154</v>
      </c>
      <c r="Q21204">
        <v>0</v>
      </c>
      <c r="R21204">
        <v>100</v>
      </c>
      <c r="S21204">
        <v>0</v>
      </c>
      <c r="T21204" t="s">
        <v>72155</v>
      </c>
    </row>
    <row r="21205" spans="1:20" customFormat="1" ht="15" x14ac:dyDescent="0.25">
      <c r="A21205" t="s">
        <v>24</v>
      </c>
      <c r="B21205" t="s">
        <v>1548</v>
      </c>
      <c r="C21205" t="str">
        <f>"A0095006"</f>
        <v>A0095006</v>
      </c>
      <c r="D21205" t="s">
        <v>72156</v>
      </c>
      <c r="E21205" t="s">
        <v>72157</v>
      </c>
      <c r="F21205" t="s">
        <v>70360</v>
      </c>
      <c r="G21205" t="s">
        <v>103</v>
      </c>
      <c r="H21205">
        <v>15317</v>
      </c>
      <c r="I21205" t="s">
        <v>30</v>
      </c>
      <c r="J21205" t="s">
        <v>171</v>
      </c>
      <c r="K21205" t="s">
        <v>1023</v>
      </c>
      <c r="N21205" t="s">
        <v>67344</v>
      </c>
      <c r="Q21205">
        <v>0</v>
      </c>
      <c r="R21205">
        <v>148</v>
      </c>
      <c r="S21205">
        <v>0</v>
      </c>
      <c r="T21205" t="s">
        <v>72158</v>
      </c>
    </row>
    <row r="21206" spans="1:20" customFormat="1" ht="15" x14ac:dyDescent="0.25">
      <c r="A21206" t="s">
        <v>24</v>
      </c>
      <c r="B21206" t="s">
        <v>1138</v>
      </c>
      <c r="C21206" t="str">
        <f>"A0153146"</f>
        <v>A0153146</v>
      </c>
      <c r="D21206" t="s">
        <v>72159</v>
      </c>
      <c r="E21206" t="s">
        <v>72160</v>
      </c>
      <c r="F21206" t="s">
        <v>61639</v>
      </c>
      <c r="G21206" t="s">
        <v>110</v>
      </c>
      <c r="H21206">
        <v>95670</v>
      </c>
      <c r="I21206" t="s">
        <v>30</v>
      </c>
      <c r="J21206" t="s">
        <v>171</v>
      </c>
      <c r="K21206" t="s">
        <v>1023</v>
      </c>
      <c r="N21206" t="s">
        <v>72161</v>
      </c>
      <c r="Q21206">
        <v>0</v>
      </c>
      <c r="R21206">
        <v>105</v>
      </c>
      <c r="S21206">
        <v>0</v>
      </c>
      <c r="T21206" t="s">
        <v>72162</v>
      </c>
    </row>
    <row r="21207" spans="1:20" customFormat="1" ht="15" x14ac:dyDescent="0.25">
      <c r="A21207" t="s">
        <v>24</v>
      </c>
      <c r="B21207" t="s">
        <v>1138</v>
      </c>
      <c r="C21207" t="str">
        <f>"A0075485"</f>
        <v>A0075485</v>
      </c>
      <c r="D21207" t="s">
        <v>72163</v>
      </c>
      <c r="E21207" t="s">
        <v>72164</v>
      </c>
      <c r="F21207" t="s">
        <v>61572</v>
      </c>
      <c r="G21207" t="s">
        <v>110</v>
      </c>
      <c r="H21207">
        <v>91730</v>
      </c>
      <c r="I21207" t="s">
        <v>30</v>
      </c>
      <c r="J21207" t="s">
        <v>171</v>
      </c>
      <c r="K21207" t="s">
        <v>1023</v>
      </c>
      <c r="N21207" t="s">
        <v>72165</v>
      </c>
      <c r="Q21207">
        <v>0</v>
      </c>
      <c r="R21207">
        <v>103</v>
      </c>
      <c r="S21207">
        <v>0</v>
      </c>
      <c r="T21207" t="s">
        <v>72166</v>
      </c>
    </row>
    <row r="21208" spans="1:20" customFormat="1" ht="15" x14ac:dyDescent="0.25">
      <c r="A21208" t="s">
        <v>24</v>
      </c>
      <c r="B21208" t="s">
        <v>1317</v>
      </c>
      <c r="C21208" t="str">
        <f>"A0085041"</f>
        <v>A0085041</v>
      </c>
      <c r="D21208" t="s">
        <v>72167</v>
      </c>
      <c r="E21208" t="s">
        <v>72168</v>
      </c>
      <c r="F21208" t="s">
        <v>62969</v>
      </c>
      <c r="G21208" t="s">
        <v>221</v>
      </c>
      <c r="H21208">
        <v>89511</v>
      </c>
      <c r="I21208" t="s">
        <v>30</v>
      </c>
      <c r="J21208" t="s">
        <v>171</v>
      </c>
      <c r="K21208" t="s">
        <v>1023</v>
      </c>
      <c r="N21208" t="s">
        <v>72169</v>
      </c>
      <c r="O21208" t="s">
        <v>72170</v>
      </c>
      <c r="Q21208">
        <v>0</v>
      </c>
      <c r="R21208">
        <v>96</v>
      </c>
      <c r="S21208">
        <v>0</v>
      </c>
      <c r="T21208" t="s">
        <v>72171</v>
      </c>
    </row>
    <row r="21209" spans="1:20" customFormat="1" ht="15" hidden="1" x14ac:dyDescent="0.25">
      <c r="A21209" t="s">
        <v>24</v>
      </c>
      <c r="B21209" t="s">
        <v>675</v>
      </c>
      <c r="C21209" t="str">
        <f>"A0088516"</f>
        <v>A0088516</v>
      </c>
      <c r="D21209" t="s">
        <v>79805</v>
      </c>
      <c r="E21209" t="s">
        <v>79806</v>
      </c>
      <c r="F21209" t="s">
        <v>4802</v>
      </c>
      <c r="G21209" t="s">
        <v>6356</v>
      </c>
      <c r="H21209">
        <v>10203</v>
      </c>
      <c r="I21209" t="s">
        <v>4803</v>
      </c>
      <c r="J21209" t="s">
        <v>171</v>
      </c>
      <c r="K21209" t="s">
        <v>1450</v>
      </c>
      <c r="N21209" t="s">
        <v>79807</v>
      </c>
      <c r="Q21209">
        <v>0</v>
      </c>
      <c r="R21209">
        <v>109</v>
      </c>
      <c r="S21209">
        <v>0</v>
      </c>
      <c r="T21209" t="s">
        <v>79808</v>
      </c>
    </row>
    <row r="21210" spans="1:20" customFormat="1" ht="15" x14ac:dyDescent="0.25">
      <c r="A21210" t="s">
        <v>24</v>
      </c>
      <c r="B21210" t="s">
        <v>2528</v>
      </c>
      <c r="C21210" t="str">
        <f>"A0146935"</f>
        <v>A0146935</v>
      </c>
      <c r="D21210" t="s">
        <v>72172</v>
      </c>
      <c r="E21210" t="s">
        <v>72173</v>
      </c>
      <c r="F21210" t="s">
        <v>72174</v>
      </c>
      <c r="G21210" t="s">
        <v>99</v>
      </c>
      <c r="H21210">
        <v>11779</v>
      </c>
      <c r="I21210" t="s">
        <v>30</v>
      </c>
      <c r="J21210" t="s">
        <v>171</v>
      </c>
      <c r="K21210" t="s">
        <v>1023</v>
      </c>
      <c r="N21210" t="s">
        <v>60939</v>
      </c>
      <c r="Q21210">
        <v>0</v>
      </c>
      <c r="R21210">
        <v>122</v>
      </c>
      <c r="S21210">
        <v>0</v>
      </c>
      <c r="T21210" t="s">
        <v>72175</v>
      </c>
    </row>
    <row r="21211" spans="1:20" customFormat="1" ht="15" x14ac:dyDescent="0.25">
      <c r="A21211" t="s">
        <v>24</v>
      </c>
      <c r="B21211" t="s">
        <v>2528</v>
      </c>
      <c r="C21211" t="str">
        <f>"A0066154"</f>
        <v>A0066154</v>
      </c>
      <c r="D21211" t="s">
        <v>72176</v>
      </c>
      <c r="E21211" t="s">
        <v>72177</v>
      </c>
      <c r="F21211" t="s">
        <v>356</v>
      </c>
      <c r="G21211" t="s">
        <v>52</v>
      </c>
      <c r="H21211">
        <v>78205</v>
      </c>
      <c r="I21211" t="s">
        <v>30</v>
      </c>
      <c r="J21211" t="s">
        <v>171</v>
      </c>
      <c r="K21211" t="s">
        <v>1023</v>
      </c>
      <c r="N21211" t="s">
        <v>72178</v>
      </c>
      <c r="O21211" t="s">
        <v>72179</v>
      </c>
      <c r="Q21211">
        <v>0</v>
      </c>
      <c r="R21211">
        <v>146</v>
      </c>
      <c r="S21211">
        <v>0</v>
      </c>
      <c r="T21211" t="s">
        <v>72180</v>
      </c>
    </row>
    <row r="21212" spans="1:20" customFormat="1" ht="15" x14ac:dyDescent="0.25">
      <c r="A21212" t="s">
        <v>24</v>
      </c>
      <c r="B21212" t="s">
        <v>2340</v>
      </c>
      <c r="C21212" t="str">
        <f>"A0145809"</f>
        <v>A0145809</v>
      </c>
      <c r="D21212" t="s">
        <v>72181</v>
      </c>
      <c r="E21212" t="s">
        <v>72182</v>
      </c>
      <c r="F21212" t="s">
        <v>356</v>
      </c>
      <c r="G21212" t="s">
        <v>52</v>
      </c>
      <c r="H21212">
        <v>78217</v>
      </c>
      <c r="I21212" t="s">
        <v>30</v>
      </c>
      <c r="J21212" t="s">
        <v>171</v>
      </c>
      <c r="K21212" t="s">
        <v>1023</v>
      </c>
      <c r="N21212" t="s">
        <v>72183</v>
      </c>
      <c r="Q21212">
        <v>0</v>
      </c>
      <c r="R21212">
        <v>112</v>
      </c>
      <c r="S21212">
        <v>0</v>
      </c>
      <c r="T21212" t="s">
        <v>72184</v>
      </c>
    </row>
    <row r="21213" spans="1:20" customFormat="1" ht="15" x14ac:dyDescent="0.25">
      <c r="A21213" t="s">
        <v>24</v>
      </c>
      <c r="B21213" t="s">
        <v>4400</v>
      </c>
      <c r="C21213" t="str">
        <f>"A0092276"</f>
        <v>A0092276</v>
      </c>
      <c r="D21213" t="s">
        <v>72185</v>
      </c>
      <c r="E21213" t="s">
        <v>72186</v>
      </c>
      <c r="F21213" t="s">
        <v>3472</v>
      </c>
      <c r="G21213" t="s">
        <v>110</v>
      </c>
      <c r="H21213">
        <v>92408</v>
      </c>
      <c r="I21213" t="s">
        <v>30</v>
      </c>
      <c r="J21213" t="s">
        <v>171</v>
      </c>
      <c r="K21213" t="s">
        <v>1023</v>
      </c>
      <c r="N21213" t="s">
        <v>72187</v>
      </c>
      <c r="Q21213">
        <v>0</v>
      </c>
      <c r="R21213">
        <v>108</v>
      </c>
      <c r="S21213">
        <v>0</v>
      </c>
      <c r="T21213" t="s">
        <v>72188</v>
      </c>
    </row>
    <row r="21214" spans="1:20" customFormat="1" ht="15" x14ac:dyDescent="0.25">
      <c r="A21214" t="s">
        <v>24</v>
      </c>
      <c r="B21214" t="s">
        <v>13679</v>
      </c>
      <c r="C21214" t="str">
        <f>"A0066153"</f>
        <v>A0066153</v>
      </c>
      <c r="D21214" t="s">
        <v>72189</v>
      </c>
      <c r="E21214" t="s">
        <v>72190</v>
      </c>
      <c r="F21214" t="s">
        <v>4802</v>
      </c>
      <c r="G21214" t="s">
        <v>110</v>
      </c>
      <c r="H21214">
        <v>95131</v>
      </c>
      <c r="I21214" t="s">
        <v>30</v>
      </c>
      <c r="J21214" t="s">
        <v>171</v>
      </c>
      <c r="K21214" t="s">
        <v>1023</v>
      </c>
      <c r="N21214" t="s">
        <v>69617</v>
      </c>
      <c r="O21214" t="s">
        <v>7425</v>
      </c>
      <c r="Q21214">
        <v>0</v>
      </c>
      <c r="R21214">
        <v>140</v>
      </c>
      <c r="S21214">
        <v>0</v>
      </c>
      <c r="T21214" t="s">
        <v>72191</v>
      </c>
    </row>
    <row r="21215" spans="1:20" customFormat="1" ht="15" x14ac:dyDescent="0.25">
      <c r="A21215" t="s">
        <v>24</v>
      </c>
      <c r="B21215" t="s">
        <v>4000</v>
      </c>
      <c r="C21215" t="str">
        <f>"A0066155"</f>
        <v>A0066155</v>
      </c>
      <c r="D21215" t="s">
        <v>72192</v>
      </c>
      <c r="E21215" t="s">
        <v>72193</v>
      </c>
      <c r="F21215" t="s">
        <v>4003</v>
      </c>
      <c r="G21215" t="s">
        <v>289</v>
      </c>
      <c r="H21215">
        <v>60173</v>
      </c>
      <c r="I21215" t="s">
        <v>30</v>
      </c>
      <c r="J21215" t="s">
        <v>171</v>
      </c>
      <c r="K21215" t="s">
        <v>1023</v>
      </c>
      <c r="N21215" t="s">
        <v>72194</v>
      </c>
      <c r="O21215" t="s">
        <v>72195</v>
      </c>
      <c r="Q21215">
        <v>0</v>
      </c>
      <c r="R21215">
        <v>108</v>
      </c>
      <c r="S21215">
        <v>0</v>
      </c>
      <c r="T21215" t="s">
        <v>72196</v>
      </c>
    </row>
    <row r="21216" spans="1:20" customFormat="1" ht="15" x14ac:dyDescent="0.25">
      <c r="A21216" t="s">
        <v>24</v>
      </c>
      <c r="B21216" t="s">
        <v>2955</v>
      </c>
      <c r="C21216" t="str">
        <f>"A0056124"</f>
        <v>A0056124</v>
      </c>
      <c r="D21216" t="s">
        <v>72197</v>
      </c>
      <c r="E21216" t="s">
        <v>72198</v>
      </c>
      <c r="F21216" t="s">
        <v>2900</v>
      </c>
      <c r="G21216" t="s">
        <v>76</v>
      </c>
      <c r="H21216">
        <v>98119</v>
      </c>
      <c r="I21216" t="s">
        <v>30</v>
      </c>
      <c r="J21216" t="s">
        <v>171</v>
      </c>
      <c r="K21216" t="s">
        <v>1023</v>
      </c>
      <c r="Q21216">
        <v>0</v>
      </c>
      <c r="R21216">
        <v>162</v>
      </c>
      <c r="S21216">
        <v>0</v>
      </c>
      <c r="T21216" t="s">
        <v>72199</v>
      </c>
    </row>
    <row r="21217" spans="1:20" customFormat="1" ht="15" x14ac:dyDescent="0.25">
      <c r="A21217" t="s">
        <v>24</v>
      </c>
      <c r="B21217" t="s">
        <v>13679</v>
      </c>
      <c r="C21217" t="str">
        <f>"A0091075"</f>
        <v>A0091075</v>
      </c>
      <c r="D21217" t="s">
        <v>72200</v>
      </c>
      <c r="E21217" t="s">
        <v>72201</v>
      </c>
      <c r="F21217" t="s">
        <v>55295</v>
      </c>
      <c r="G21217" t="s">
        <v>1170</v>
      </c>
      <c r="H21217">
        <v>71129</v>
      </c>
      <c r="I21217" t="s">
        <v>30</v>
      </c>
      <c r="J21217" t="s">
        <v>171</v>
      </c>
      <c r="K21217" t="s">
        <v>1023</v>
      </c>
      <c r="N21217" t="s">
        <v>72202</v>
      </c>
      <c r="Q21217">
        <v>0</v>
      </c>
      <c r="R21217">
        <v>123</v>
      </c>
      <c r="S21217">
        <v>0</v>
      </c>
      <c r="T21217" t="s">
        <v>72203</v>
      </c>
    </row>
    <row r="21218" spans="1:20" customFormat="1" ht="15" x14ac:dyDescent="0.25">
      <c r="A21218" t="s">
        <v>24</v>
      </c>
      <c r="B21218" t="s">
        <v>11368</v>
      </c>
      <c r="C21218" t="str">
        <f>"A0088214"</f>
        <v>A0088214</v>
      </c>
      <c r="D21218" t="s">
        <v>72204</v>
      </c>
      <c r="E21218" t="s">
        <v>72205</v>
      </c>
      <c r="F21218" t="s">
        <v>61583</v>
      </c>
      <c r="G21218" t="s">
        <v>137</v>
      </c>
      <c r="H21218">
        <v>63117</v>
      </c>
      <c r="I21218" t="s">
        <v>30</v>
      </c>
      <c r="J21218" t="s">
        <v>171</v>
      </c>
      <c r="K21218" t="s">
        <v>1023</v>
      </c>
      <c r="N21218" t="s">
        <v>72206</v>
      </c>
      <c r="Q21218">
        <v>0</v>
      </c>
      <c r="R21218">
        <v>158</v>
      </c>
      <c r="S21218">
        <v>0</v>
      </c>
      <c r="T21218" t="s">
        <v>72207</v>
      </c>
    </row>
    <row r="21219" spans="1:20" customFormat="1" ht="15" x14ac:dyDescent="0.25">
      <c r="A21219" t="s">
        <v>24</v>
      </c>
      <c r="B21219" t="s">
        <v>4400</v>
      </c>
      <c r="C21219" t="str">
        <f>"A0084800"</f>
        <v>A0084800</v>
      </c>
      <c r="D21219" t="s">
        <v>72208</v>
      </c>
      <c r="E21219" t="s">
        <v>72209</v>
      </c>
      <c r="F21219" t="s">
        <v>72210</v>
      </c>
      <c r="G21219" t="s">
        <v>137</v>
      </c>
      <c r="H21219">
        <v>63043</v>
      </c>
      <c r="I21219" t="s">
        <v>30</v>
      </c>
      <c r="J21219" t="s">
        <v>171</v>
      </c>
      <c r="K21219" t="s">
        <v>1023</v>
      </c>
      <c r="N21219" t="s">
        <v>72211</v>
      </c>
      <c r="O21219" t="s">
        <v>72212</v>
      </c>
      <c r="Q21219">
        <v>0</v>
      </c>
      <c r="R21219">
        <v>104</v>
      </c>
      <c r="S21219">
        <v>0</v>
      </c>
      <c r="T21219" t="s">
        <v>72213</v>
      </c>
    </row>
    <row r="21220" spans="1:20" customFormat="1" ht="15" x14ac:dyDescent="0.25">
      <c r="A21220" t="s">
        <v>24</v>
      </c>
      <c r="B21220" t="s">
        <v>2955</v>
      </c>
      <c r="C21220" t="str">
        <f>"88IN109"</f>
        <v>88IN109</v>
      </c>
      <c r="D21220" t="s">
        <v>72214</v>
      </c>
      <c r="E21220" t="s">
        <v>72215</v>
      </c>
      <c r="F21220" t="s">
        <v>72216</v>
      </c>
      <c r="G21220" t="s">
        <v>615</v>
      </c>
      <c r="H21220">
        <v>6614</v>
      </c>
      <c r="I21220" t="s">
        <v>30</v>
      </c>
      <c r="J21220" t="s">
        <v>171</v>
      </c>
      <c r="K21220" t="s">
        <v>1023</v>
      </c>
      <c r="N21220" t="s">
        <v>72217</v>
      </c>
      <c r="O21220" t="s">
        <v>72218</v>
      </c>
      <c r="Q21220">
        <v>0</v>
      </c>
      <c r="R21220">
        <v>135</v>
      </c>
      <c r="S21220">
        <v>0</v>
      </c>
      <c r="T21220" t="s">
        <v>72219</v>
      </c>
    </row>
    <row r="21221" spans="1:20" customFormat="1" ht="15" x14ac:dyDescent="0.25">
      <c r="A21221" t="s">
        <v>24</v>
      </c>
      <c r="B21221" t="s">
        <v>68345</v>
      </c>
      <c r="C21221" t="str">
        <f>"A0078321"</f>
        <v>A0078321</v>
      </c>
      <c r="D21221" t="s">
        <v>72220</v>
      </c>
      <c r="E21221" t="s">
        <v>72221</v>
      </c>
      <c r="F21221" t="s">
        <v>3955</v>
      </c>
      <c r="G21221" t="s">
        <v>81</v>
      </c>
      <c r="H21221">
        <v>33619</v>
      </c>
      <c r="I21221" t="s">
        <v>30</v>
      </c>
      <c r="J21221" t="s">
        <v>171</v>
      </c>
      <c r="K21221" t="s">
        <v>1023</v>
      </c>
      <c r="N21221" t="s">
        <v>61996</v>
      </c>
      <c r="Q21221">
        <v>0</v>
      </c>
      <c r="R21221">
        <v>123</v>
      </c>
      <c r="S21221">
        <v>0</v>
      </c>
      <c r="T21221" t="s">
        <v>72222</v>
      </c>
    </row>
    <row r="21222" spans="1:20" customFormat="1" ht="15" x14ac:dyDescent="0.25">
      <c r="A21222" t="s">
        <v>24</v>
      </c>
      <c r="B21222" t="s">
        <v>1487</v>
      </c>
      <c r="C21222" t="str">
        <f>"A0100895"</f>
        <v>A0100895</v>
      </c>
      <c r="D21222" t="s">
        <v>72223</v>
      </c>
      <c r="E21222" t="s">
        <v>67763</v>
      </c>
      <c r="F21222" t="s">
        <v>67764</v>
      </c>
      <c r="G21222" t="s">
        <v>338</v>
      </c>
      <c r="H21222">
        <v>7666</v>
      </c>
      <c r="I21222" t="s">
        <v>30</v>
      </c>
      <c r="J21222" t="s">
        <v>171</v>
      </c>
      <c r="K21222" t="s">
        <v>1023</v>
      </c>
      <c r="N21222" t="s">
        <v>67766</v>
      </c>
      <c r="Q21222">
        <v>0</v>
      </c>
      <c r="R21222">
        <v>160</v>
      </c>
      <c r="S21222">
        <v>0</v>
      </c>
      <c r="T21222" t="s">
        <v>72224</v>
      </c>
    </row>
    <row r="21223" spans="1:20" customFormat="1" ht="15" x14ac:dyDescent="0.25">
      <c r="A21223" t="s">
        <v>24</v>
      </c>
      <c r="B21223" t="s">
        <v>1138</v>
      </c>
      <c r="C21223" t="str">
        <f>"A0097841"</f>
        <v>A0097841</v>
      </c>
      <c r="D21223" t="s">
        <v>72225</v>
      </c>
      <c r="E21223" t="s">
        <v>72226</v>
      </c>
      <c r="F21223" t="s">
        <v>1592</v>
      </c>
      <c r="G21223" t="s">
        <v>197</v>
      </c>
      <c r="H21223">
        <v>85281</v>
      </c>
      <c r="I21223" t="s">
        <v>30</v>
      </c>
      <c r="J21223" t="s">
        <v>171</v>
      </c>
      <c r="K21223" t="s">
        <v>1023</v>
      </c>
      <c r="N21223" t="s">
        <v>72227</v>
      </c>
      <c r="Q21223">
        <v>0</v>
      </c>
      <c r="R21223">
        <v>121</v>
      </c>
      <c r="S21223">
        <v>0</v>
      </c>
      <c r="T21223" t="s">
        <v>72228</v>
      </c>
    </row>
    <row r="21224" spans="1:20" customFormat="1" ht="15" x14ac:dyDescent="0.25">
      <c r="A21224" t="s">
        <v>24</v>
      </c>
      <c r="B21224" t="s">
        <v>13679</v>
      </c>
      <c r="C21224" t="str">
        <f>"A0066150"</f>
        <v>A0066150</v>
      </c>
      <c r="D21224" t="s">
        <v>72239</v>
      </c>
      <c r="E21224" t="s">
        <v>72240</v>
      </c>
      <c r="F21224" t="s">
        <v>61833</v>
      </c>
      <c r="G21224" t="s">
        <v>76</v>
      </c>
      <c r="H21224">
        <v>98188</v>
      </c>
      <c r="I21224" t="s">
        <v>30</v>
      </c>
      <c r="J21224" t="s">
        <v>171</v>
      </c>
      <c r="K21224" t="s">
        <v>1023</v>
      </c>
      <c r="N21224" t="s">
        <v>72241</v>
      </c>
      <c r="Q21224">
        <v>0</v>
      </c>
      <c r="R21224">
        <v>106</v>
      </c>
      <c r="S21224">
        <v>0</v>
      </c>
      <c r="T21224" t="s">
        <v>72242</v>
      </c>
    </row>
    <row r="21225" spans="1:20" customFormat="1" ht="15" x14ac:dyDescent="0.25">
      <c r="A21225" t="s">
        <v>24</v>
      </c>
      <c r="B21225" t="s">
        <v>3343</v>
      </c>
      <c r="C21225" t="str">
        <f>"A0145871"</f>
        <v>A0145871</v>
      </c>
      <c r="D21225" t="s">
        <v>72243</v>
      </c>
      <c r="E21225" t="s">
        <v>72244</v>
      </c>
      <c r="F21225" t="s">
        <v>1877</v>
      </c>
      <c r="G21225" t="s">
        <v>52</v>
      </c>
      <c r="H21225">
        <v>75701</v>
      </c>
      <c r="I21225" t="s">
        <v>30</v>
      </c>
      <c r="J21225" t="s">
        <v>171</v>
      </c>
      <c r="K21225" t="s">
        <v>1023</v>
      </c>
      <c r="N21225" t="s">
        <v>72245</v>
      </c>
      <c r="Q21225">
        <v>0</v>
      </c>
      <c r="R21225">
        <v>113</v>
      </c>
      <c r="S21225">
        <v>0</v>
      </c>
      <c r="T21225" t="s">
        <v>72246</v>
      </c>
    </row>
    <row r="21226" spans="1:20" customFormat="1" ht="15" x14ac:dyDescent="0.25">
      <c r="A21226" t="s">
        <v>24</v>
      </c>
      <c r="B21226" t="s">
        <v>1020</v>
      </c>
      <c r="C21226" t="str">
        <f>"A0091188"</f>
        <v>A0091188</v>
      </c>
      <c r="D21226" t="s">
        <v>72247</v>
      </c>
      <c r="E21226" t="s">
        <v>72248</v>
      </c>
      <c r="F21226" t="s">
        <v>9812</v>
      </c>
      <c r="G21226" t="s">
        <v>103</v>
      </c>
      <c r="H21226">
        <v>19104</v>
      </c>
      <c r="I21226" t="s">
        <v>30</v>
      </c>
      <c r="J21226" t="s">
        <v>171</v>
      </c>
      <c r="K21226" t="s">
        <v>1023</v>
      </c>
      <c r="N21226" t="s">
        <v>72249</v>
      </c>
      <c r="O21226" t="s">
        <v>72250</v>
      </c>
      <c r="Q21226">
        <v>0</v>
      </c>
      <c r="R21226">
        <v>136</v>
      </c>
      <c r="S21226">
        <v>0</v>
      </c>
      <c r="T21226" t="s">
        <v>72251</v>
      </c>
    </row>
    <row r="21227" spans="1:20" customFormat="1" ht="15" x14ac:dyDescent="0.25">
      <c r="A21227" t="s">
        <v>24</v>
      </c>
      <c r="B21227" t="s">
        <v>61024</v>
      </c>
      <c r="C21227" t="str">
        <f>"A0091957"</f>
        <v>A0091957</v>
      </c>
      <c r="D21227" t="s">
        <v>72252</v>
      </c>
      <c r="E21227" t="s">
        <v>72253</v>
      </c>
      <c r="F21227" t="s">
        <v>72254</v>
      </c>
      <c r="G21227" t="s">
        <v>52</v>
      </c>
      <c r="H21227">
        <v>77904</v>
      </c>
      <c r="I21227" t="s">
        <v>30</v>
      </c>
      <c r="J21227" t="s">
        <v>171</v>
      </c>
      <c r="K21227" t="s">
        <v>1023</v>
      </c>
      <c r="N21227" t="s">
        <v>72255</v>
      </c>
      <c r="Q21227">
        <v>0</v>
      </c>
      <c r="R21227">
        <v>109</v>
      </c>
      <c r="S21227">
        <v>0</v>
      </c>
      <c r="T21227" t="s">
        <v>72256</v>
      </c>
    </row>
    <row r="21228" spans="1:20" customFormat="1" ht="15" x14ac:dyDescent="0.25">
      <c r="A21228" t="s">
        <v>24</v>
      </c>
      <c r="B21228" t="s">
        <v>34738</v>
      </c>
      <c r="C21228" t="str">
        <f>"A0093827"</f>
        <v>A0093827</v>
      </c>
      <c r="D21228" t="s">
        <v>72257</v>
      </c>
      <c r="E21228" t="s">
        <v>67812</v>
      </c>
      <c r="F21228" t="s">
        <v>13716</v>
      </c>
      <c r="G21228" t="s">
        <v>65</v>
      </c>
      <c r="H21228">
        <v>45202</v>
      </c>
      <c r="I21228" t="s">
        <v>30</v>
      </c>
      <c r="J21228" t="s">
        <v>171</v>
      </c>
      <c r="K21228" t="s">
        <v>1023</v>
      </c>
      <c r="N21228" t="s">
        <v>72258</v>
      </c>
      <c r="Q21228">
        <v>0</v>
      </c>
      <c r="R21228">
        <v>105</v>
      </c>
      <c r="S21228">
        <v>0</v>
      </c>
      <c r="T21228" t="s">
        <v>72259</v>
      </c>
    </row>
    <row r="21229" spans="1:20" customFormat="1" ht="15" x14ac:dyDescent="0.25">
      <c r="A21229" t="s">
        <v>24</v>
      </c>
      <c r="B21229" t="s">
        <v>3343</v>
      </c>
      <c r="C21229" t="str">
        <f>"A0086521"</f>
        <v>A0086521</v>
      </c>
      <c r="D21229" t="s">
        <v>72260</v>
      </c>
      <c r="E21229" t="s">
        <v>72261</v>
      </c>
      <c r="F21229" t="s">
        <v>16267</v>
      </c>
      <c r="G21229" t="s">
        <v>29</v>
      </c>
      <c r="H21229">
        <v>23462</v>
      </c>
      <c r="I21229" t="s">
        <v>30</v>
      </c>
      <c r="J21229" t="s">
        <v>171</v>
      </c>
      <c r="K21229" t="s">
        <v>1023</v>
      </c>
      <c r="N21229" t="s">
        <v>72262</v>
      </c>
      <c r="Q21229">
        <v>0</v>
      </c>
      <c r="R21229">
        <v>122</v>
      </c>
      <c r="S21229">
        <v>0</v>
      </c>
      <c r="T21229" t="s">
        <v>72263</v>
      </c>
    </row>
    <row r="21230" spans="1:20" customFormat="1" ht="15" x14ac:dyDescent="0.25">
      <c r="A21230" t="s">
        <v>24</v>
      </c>
      <c r="B21230" t="s">
        <v>5166</v>
      </c>
      <c r="C21230" t="str">
        <f>"A0098709"</f>
        <v>A0098709</v>
      </c>
      <c r="D21230" t="s">
        <v>72264</v>
      </c>
      <c r="E21230" t="s">
        <v>72265</v>
      </c>
      <c r="F21230" t="s">
        <v>313</v>
      </c>
      <c r="G21230" t="s">
        <v>314</v>
      </c>
      <c r="H21230">
        <v>20003</v>
      </c>
      <c r="I21230" t="s">
        <v>30</v>
      </c>
      <c r="J21230" t="s">
        <v>171</v>
      </c>
      <c r="K21230" t="s">
        <v>1023</v>
      </c>
      <c r="N21230" t="s">
        <v>72266</v>
      </c>
      <c r="Q21230">
        <v>0</v>
      </c>
      <c r="R21230">
        <v>195</v>
      </c>
      <c r="S21230">
        <v>0</v>
      </c>
      <c r="T21230" t="s">
        <v>72267</v>
      </c>
    </row>
    <row r="21231" spans="1:20" customFormat="1" ht="15" x14ac:dyDescent="0.25">
      <c r="A21231" t="s">
        <v>24</v>
      </c>
      <c r="B21231" t="s">
        <v>1561</v>
      </c>
      <c r="C21231" t="str">
        <f>"A0092594"</f>
        <v>A0092594</v>
      </c>
      <c r="D21231" t="s">
        <v>72268</v>
      </c>
      <c r="E21231" t="s">
        <v>72269</v>
      </c>
      <c r="F21231" t="s">
        <v>7449</v>
      </c>
      <c r="G21231" t="s">
        <v>197</v>
      </c>
      <c r="H21231">
        <v>85365</v>
      </c>
      <c r="I21231" t="s">
        <v>30</v>
      </c>
      <c r="J21231" t="s">
        <v>171</v>
      </c>
      <c r="K21231" t="s">
        <v>1023</v>
      </c>
      <c r="N21231" t="s">
        <v>72270</v>
      </c>
      <c r="Q21231">
        <v>0</v>
      </c>
      <c r="R21231">
        <v>108</v>
      </c>
      <c r="S21231">
        <v>0</v>
      </c>
      <c r="T21231" t="s">
        <v>72271</v>
      </c>
    </row>
    <row r="21232" spans="1:20" customFormat="1" ht="15" x14ac:dyDescent="0.25">
      <c r="A21232" t="s">
        <v>24</v>
      </c>
      <c r="B21232" t="s">
        <v>342</v>
      </c>
      <c r="C21232" t="str">
        <f>"A0074668"</f>
        <v>A0074668</v>
      </c>
      <c r="D21232" t="s">
        <v>72272</v>
      </c>
      <c r="E21232" t="s">
        <v>72273</v>
      </c>
      <c r="F21232" t="s">
        <v>3657</v>
      </c>
      <c r="G21232" t="s">
        <v>880</v>
      </c>
      <c r="H21232">
        <v>37922</v>
      </c>
      <c r="I21232" t="s">
        <v>30</v>
      </c>
      <c r="J21232" t="s">
        <v>171</v>
      </c>
      <c r="K21232" t="s">
        <v>1023</v>
      </c>
      <c r="N21232" t="s">
        <v>72274</v>
      </c>
      <c r="O21232" t="s">
        <v>72275</v>
      </c>
      <c r="Q21232">
        <v>0</v>
      </c>
      <c r="R21232">
        <v>103</v>
      </c>
      <c r="S21232">
        <v>0</v>
      </c>
      <c r="T21232" t="s">
        <v>72276</v>
      </c>
    </row>
    <row r="21233" spans="1:20" customFormat="1" ht="15" x14ac:dyDescent="0.25">
      <c r="A21233" t="s">
        <v>24</v>
      </c>
      <c r="B21233" t="s">
        <v>6515</v>
      </c>
      <c r="C21233" t="str">
        <f>"A0073448"</f>
        <v>A0073448</v>
      </c>
      <c r="D21233" t="s">
        <v>72283</v>
      </c>
      <c r="E21233" t="s">
        <v>72284</v>
      </c>
      <c r="F21233" t="s">
        <v>65708</v>
      </c>
      <c r="G21233" t="s">
        <v>103</v>
      </c>
      <c r="H21233">
        <v>18702</v>
      </c>
      <c r="I21233" t="s">
        <v>30</v>
      </c>
      <c r="J21233" t="s">
        <v>171</v>
      </c>
      <c r="K21233" t="s">
        <v>163</v>
      </c>
      <c r="N21233" t="s">
        <v>72285</v>
      </c>
      <c r="Q21233">
        <v>0</v>
      </c>
      <c r="R21233">
        <v>66</v>
      </c>
      <c r="S21233">
        <v>0</v>
      </c>
      <c r="T21233" t="s">
        <v>72286</v>
      </c>
    </row>
    <row r="21234" spans="1:20" customFormat="1" ht="15" x14ac:dyDescent="0.25">
      <c r="A21234" t="s">
        <v>24</v>
      </c>
      <c r="B21234" t="s">
        <v>58106</v>
      </c>
      <c r="C21234" t="str">
        <f>"A0092250"</f>
        <v>A0092250</v>
      </c>
      <c r="D21234" t="s">
        <v>72318</v>
      </c>
      <c r="E21234" t="s">
        <v>72319</v>
      </c>
      <c r="F21234" t="s">
        <v>64410</v>
      </c>
      <c r="G21234" t="s">
        <v>58</v>
      </c>
      <c r="H21234">
        <v>29801</v>
      </c>
      <c r="I21234" t="s">
        <v>30</v>
      </c>
      <c r="J21234" t="s">
        <v>171</v>
      </c>
      <c r="K21234" t="s">
        <v>163</v>
      </c>
      <c r="N21234" t="s">
        <v>3486</v>
      </c>
      <c r="Q21234">
        <v>0</v>
      </c>
      <c r="R21234">
        <v>70</v>
      </c>
      <c r="S21234">
        <v>0</v>
      </c>
      <c r="T21234" t="s">
        <v>72320</v>
      </c>
    </row>
    <row r="21235" spans="1:20" customFormat="1" ht="15" x14ac:dyDescent="0.25">
      <c r="A21235" t="s">
        <v>24</v>
      </c>
      <c r="B21235" t="s">
        <v>54771</v>
      </c>
      <c r="C21235" t="str">
        <f>"A0063596"</f>
        <v>A0063596</v>
      </c>
      <c r="D21235" t="s">
        <v>72321</v>
      </c>
      <c r="E21235" t="s">
        <v>72322</v>
      </c>
      <c r="F21235" t="s">
        <v>72323</v>
      </c>
      <c r="G21235" t="s">
        <v>110</v>
      </c>
      <c r="H21235">
        <v>91505</v>
      </c>
      <c r="I21235" t="s">
        <v>30</v>
      </c>
      <c r="J21235" t="s">
        <v>171</v>
      </c>
      <c r="K21235" t="s">
        <v>163</v>
      </c>
      <c r="N21235" t="s">
        <v>54404</v>
      </c>
      <c r="Q21235">
        <v>0</v>
      </c>
      <c r="R21235">
        <v>132</v>
      </c>
      <c r="S21235">
        <v>0</v>
      </c>
      <c r="T21235" t="s">
        <v>72324</v>
      </c>
    </row>
    <row r="21236" spans="1:20" customFormat="1" ht="15" x14ac:dyDescent="0.25">
      <c r="A21236" t="s">
        <v>24</v>
      </c>
      <c r="B21236" t="s">
        <v>54986</v>
      </c>
      <c r="C21236" t="str">
        <f>"A0158104"</f>
        <v>A0158104</v>
      </c>
      <c r="D21236" t="s">
        <v>72330</v>
      </c>
      <c r="E21236" t="s">
        <v>72331</v>
      </c>
      <c r="F21236" t="s">
        <v>56237</v>
      </c>
      <c r="G21236" t="s">
        <v>103</v>
      </c>
      <c r="H21236">
        <v>18407</v>
      </c>
      <c r="I21236" t="s">
        <v>30</v>
      </c>
      <c r="J21236" t="s">
        <v>171</v>
      </c>
      <c r="K21236" t="s">
        <v>163</v>
      </c>
      <c r="N21236" t="s">
        <v>72332</v>
      </c>
      <c r="Q21236">
        <v>0</v>
      </c>
      <c r="R21236">
        <v>61</v>
      </c>
      <c r="S21236">
        <v>0</v>
      </c>
      <c r="T21236" t="s">
        <v>72333</v>
      </c>
    </row>
    <row r="21237" spans="1:20" customFormat="1" ht="15" x14ac:dyDescent="0.25">
      <c r="A21237" t="s">
        <v>24</v>
      </c>
      <c r="B21237" t="s">
        <v>7953</v>
      </c>
      <c r="C21237" t="str">
        <f>"A0059991"</f>
        <v>A0059991</v>
      </c>
      <c r="D21237" t="s">
        <v>72334</v>
      </c>
      <c r="E21237" t="s">
        <v>72335</v>
      </c>
      <c r="F21237" t="s">
        <v>716</v>
      </c>
      <c r="G21237" t="s">
        <v>289</v>
      </c>
      <c r="H21237">
        <v>60611</v>
      </c>
      <c r="I21237" t="s">
        <v>30</v>
      </c>
      <c r="J21237" t="s">
        <v>171</v>
      </c>
      <c r="K21237" t="s">
        <v>163</v>
      </c>
      <c r="N21237" t="s">
        <v>72336</v>
      </c>
      <c r="Q21237">
        <v>0</v>
      </c>
      <c r="R21237">
        <v>215</v>
      </c>
      <c r="S21237">
        <v>0</v>
      </c>
      <c r="T21237" t="s">
        <v>72337</v>
      </c>
    </row>
    <row r="21238" spans="1:20" customFormat="1" ht="15" x14ac:dyDescent="0.25">
      <c r="A21238" t="s">
        <v>24</v>
      </c>
      <c r="B21238" t="s">
        <v>54771</v>
      </c>
      <c r="C21238" t="str">
        <f>"A0073754"</f>
        <v>A0073754</v>
      </c>
      <c r="D21238" t="s">
        <v>72356</v>
      </c>
      <c r="E21238" t="s">
        <v>72357</v>
      </c>
      <c r="F21238" t="s">
        <v>56738</v>
      </c>
      <c r="G21238" t="s">
        <v>899</v>
      </c>
      <c r="H21238">
        <v>2135</v>
      </c>
      <c r="I21238" t="s">
        <v>30</v>
      </c>
      <c r="J21238" t="s">
        <v>171</v>
      </c>
      <c r="K21238" t="s">
        <v>163</v>
      </c>
      <c r="N21238" t="s">
        <v>72358</v>
      </c>
      <c r="Q21238">
        <v>0</v>
      </c>
      <c r="R21238">
        <v>74</v>
      </c>
      <c r="S21238">
        <v>0</v>
      </c>
      <c r="T21238" t="s">
        <v>72359</v>
      </c>
    </row>
    <row r="21239" spans="1:20" customFormat="1" ht="15" x14ac:dyDescent="0.25">
      <c r="A21239" t="s">
        <v>24</v>
      </c>
      <c r="B21239" t="s">
        <v>66079</v>
      </c>
      <c r="C21239" t="str">
        <f>"A0100198"</f>
        <v>A0100198</v>
      </c>
      <c r="D21239" t="s">
        <v>72376</v>
      </c>
      <c r="E21239" t="s">
        <v>72377</v>
      </c>
      <c r="F21239" t="s">
        <v>845</v>
      </c>
      <c r="G21239" t="s">
        <v>846</v>
      </c>
      <c r="H21239">
        <v>30306</v>
      </c>
      <c r="I21239" t="s">
        <v>30</v>
      </c>
      <c r="J21239" t="s">
        <v>171</v>
      </c>
      <c r="K21239" t="s">
        <v>163</v>
      </c>
      <c r="N21239" t="s">
        <v>72378</v>
      </c>
      <c r="Q21239">
        <v>0</v>
      </c>
      <c r="R21239">
        <v>81</v>
      </c>
      <c r="S21239">
        <v>0</v>
      </c>
      <c r="T21239" t="s">
        <v>72379</v>
      </c>
    </row>
    <row r="21240" spans="1:20" customFormat="1" ht="15" x14ac:dyDescent="0.25">
      <c r="A21240" t="s">
        <v>24</v>
      </c>
      <c r="B21240" t="s">
        <v>57258</v>
      </c>
      <c r="C21240" t="str">
        <f>"A0076946"</f>
        <v>A0076946</v>
      </c>
      <c r="D21240" t="s">
        <v>72416</v>
      </c>
      <c r="E21240" t="s">
        <v>72417</v>
      </c>
      <c r="F21240" t="s">
        <v>748</v>
      </c>
      <c r="G21240" t="s">
        <v>110</v>
      </c>
      <c r="H21240">
        <v>94115</v>
      </c>
      <c r="I21240" t="s">
        <v>30</v>
      </c>
      <c r="J21240" t="s">
        <v>171</v>
      </c>
      <c r="K21240" t="s">
        <v>163</v>
      </c>
      <c r="N21240" t="s">
        <v>72418</v>
      </c>
      <c r="O21240" t="s">
        <v>72419</v>
      </c>
      <c r="Q21240">
        <v>0</v>
      </c>
      <c r="R21240">
        <v>48</v>
      </c>
      <c r="S21240">
        <v>0</v>
      </c>
      <c r="T21240" t="s">
        <v>72420</v>
      </c>
    </row>
    <row r="21241" spans="1:20" customFormat="1" ht="15" x14ac:dyDescent="0.25">
      <c r="A21241" t="s">
        <v>24</v>
      </c>
      <c r="B21241" t="s">
        <v>56702</v>
      </c>
      <c r="C21241" t="str">
        <f>"A0093183"</f>
        <v>A0093183</v>
      </c>
      <c r="D21241" t="s">
        <v>72589</v>
      </c>
      <c r="E21241" t="s">
        <v>72590</v>
      </c>
      <c r="F21241" t="s">
        <v>5374</v>
      </c>
      <c r="G21241" t="s">
        <v>110</v>
      </c>
      <c r="H21241">
        <v>94301</v>
      </c>
      <c r="I21241" t="s">
        <v>30</v>
      </c>
      <c r="J21241" t="s">
        <v>171</v>
      </c>
      <c r="K21241" t="s">
        <v>163</v>
      </c>
      <c r="N21241" t="s">
        <v>72591</v>
      </c>
      <c r="Q21241">
        <v>0</v>
      </c>
      <c r="R21241">
        <v>42</v>
      </c>
      <c r="S21241">
        <v>0</v>
      </c>
      <c r="T21241" t="s">
        <v>72592</v>
      </c>
    </row>
    <row r="21242" spans="1:20" customFormat="1" ht="15" x14ac:dyDescent="0.25">
      <c r="A21242" t="s">
        <v>24</v>
      </c>
      <c r="B21242" t="s">
        <v>10398</v>
      </c>
      <c r="C21242" t="str">
        <f>"A0057266"</f>
        <v>A0057266</v>
      </c>
      <c r="D21242" t="s">
        <v>72605</v>
      </c>
      <c r="E21242" t="s">
        <v>72606</v>
      </c>
      <c r="F21242" t="s">
        <v>5651</v>
      </c>
      <c r="G21242" t="s">
        <v>110</v>
      </c>
      <c r="H21242">
        <v>92802</v>
      </c>
      <c r="I21242" t="s">
        <v>30</v>
      </c>
      <c r="J21242" t="s">
        <v>171</v>
      </c>
      <c r="K21242" t="s">
        <v>5354</v>
      </c>
      <c r="N21242" t="s">
        <v>72607</v>
      </c>
      <c r="Q21242">
        <v>0</v>
      </c>
      <c r="R21242">
        <v>308</v>
      </c>
      <c r="S21242">
        <v>0</v>
      </c>
      <c r="T21242" t="s">
        <v>72608</v>
      </c>
    </row>
    <row r="21243" spans="1:20" customFormat="1" ht="15" x14ac:dyDescent="0.25">
      <c r="A21243" t="s">
        <v>24</v>
      </c>
      <c r="B21243" t="s">
        <v>799</v>
      </c>
      <c r="C21243" t="str">
        <f>"A0165049"</f>
        <v>A0165049</v>
      </c>
      <c r="D21243" t="s">
        <v>72617</v>
      </c>
      <c r="E21243" t="s">
        <v>72618</v>
      </c>
      <c r="F21243" t="s">
        <v>9346</v>
      </c>
      <c r="G21243" t="s">
        <v>190</v>
      </c>
      <c r="H21243">
        <v>81501</v>
      </c>
      <c r="I21243" t="s">
        <v>30</v>
      </c>
      <c r="J21243" t="s">
        <v>171</v>
      </c>
      <c r="K21243" t="s">
        <v>163</v>
      </c>
      <c r="N21243" t="s">
        <v>72619</v>
      </c>
      <c r="Q21243">
        <v>0</v>
      </c>
      <c r="R21243">
        <v>60</v>
      </c>
      <c r="S21243">
        <v>0</v>
      </c>
      <c r="T21243" t="s">
        <v>72620</v>
      </c>
    </row>
    <row r="21244" spans="1:20" customFormat="1" ht="15" x14ac:dyDescent="0.25">
      <c r="A21244" t="s">
        <v>24</v>
      </c>
      <c r="B21244" t="s">
        <v>1020</v>
      </c>
      <c r="C21244" t="str">
        <f>"A0063583"</f>
        <v>A0063583</v>
      </c>
      <c r="D21244" t="s">
        <v>72630</v>
      </c>
      <c r="E21244" t="s">
        <v>72631</v>
      </c>
      <c r="F21244" t="s">
        <v>729</v>
      </c>
      <c r="G21244" t="s">
        <v>110</v>
      </c>
      <c r="H21244">
        <v>93101</v>
      </c>
      <c r="I21244" t="s">
        <v>30</v>
      </c>
      <c r="J21244" t="s">
        <v>171</v>
      </c>
      <c r="K21244" t="s">
        <v>163</v>
      </c>
      <c r="N21244" t="s">
        <v>72632</v>
      </c>
      <c r="O21244" t="s">
        <v>8320</v>
      </c>
      <c r="Q21244">
        <v>0</v>
      </c>
      <c r="R21244">
        <v>122</v>
      </c>
      <c r="S21244">
        <v>0</v>
      </c>
      <c r="T21244" t="s">
        <v>72633</v>
      </c>
    </row>
    <row r="21245" spans="1:20" customFormat="1" ht="15" x14ac:dyDescent="0.25">
      <c r="A21245" t="s">
        <v>24</v>
      </c>
      <c r="B21245" t="s">
        <v>56921</v>
      </c>
      <c r="C21245" t="str">
        <f>"A0094157"</f>
        <v>A0094157</v>
      </c>
      <c r="D21245" t="s">
        <v>72634</v>
      </c>
      <c r="E21245" t="s">
        <v>72635</v>
      </c>
      <c r="F21245" t="s">
        <v>72636</v>
      </c>
      <c r="G21245" t="s">
        <v>76</v>
      </c>
      <c r="H21245">
        <v>98133</v>
      </c>
      <c r="I21245" t="s">
        <v>30</v>
      </c>
      <c r="J21245" t="s">
        <v>171</v>
      </c>
      <c r="K21245" t="s">
        <v>1259</v>
      </c>
      <c r="N21245" t="s">
        <v>72637</v>
      </c>
      <c r="Q21245">
        <v>0</v>
      </c>
      <c r="R21245">
        <v>169</v>
      </c>
      <c r="S21245">
        <v>0</v>
      </c>
      <c r="T21245" t="s">
        <v>72638</v>
      </c>
    </row>
    <row r="21246" spans="1:20" customFormat="1" ht="15" x14ac:dyDescent="0.25">
      <c r="A21246" t="s">
        <v>24</v>
      </c>
      <c r="B21246" t="s">
        <v>57457</v>
      </c>
      <c r="C21246" t="str">
        <f>"A0099792"</f>
        <v>A0099792</v>
      </c>
      <c r="D21246" t="s">
        <v>72701</v>
      </c>
      <c r="E21246" t="s">
        <v>72702</v>
      </c>
      <c r="F21246" t="s">
        <v>1003</v>
      </c>
      <c r="G21246" t="s">
        <v>81</v>
      </c>
      <c r="H21246">
        <v>33139</v>
      </c>
      <c r="I21246" t="s">
        <v>30</v>
      </c>
      <c r="J21246" t="s">
        <v>171</v>
      </c>
      <c r="K21246" t="s">
        <v>163</v>
      </c>
      <c r="N21246" t="s">
        <v>72703</v>
      </c>
      <c r="Q21246">
        <v>0</v>
      </c>
      <c r="R21246">
        <v>32</v>
      </c>
      <c r="S21246">
        <v>0</v>
      </c>
      <c r="T21246" t="s">
        <v>72704</v>
      </c>
    </row>
    <row r="21247" spans="1:20" customFormat="1" ht="15" x14ac:dyDescent="0.25">
      <c r="A21247" t="s">
        <v>24</v>
      </c>
      <c r="B21247" t="s">
        <v>72934</v>
      </c>
      <c r="C21247" t="str">
        <f>"A0086517"</f>
        <v>A0086517</v>
      </c>
      <c r="D21247" t="s">
        <v>72935</v>
      </c>
      <c r="E21247" t="s">
        <v>72936</v>
      </c>
      <c r="F21247" t="s">
        <v>72937</v>
      </c>
      <c r="G21247" t="s">
        <v>153</v>
      </c>
      <c r="H21247">
        <v>84070</v>
      </c>
      <c r="I21247" t="s">
        <v>30</v>
      </c>
      <c r="J21247" t="s">
        <v>171</v>
      </c>
      <c r="K21247" t="s">
        <v>2972</v>
      </c>
      <c r="N21247" t="s">
        <v>72938</v>
      </c>
      <c r="Q21247">
        <v>0</v>
      </c>
      <c r="R21247">
        <v>137</v>
      </c>
      <c r="S21247">
        <v>0</v>
      </c>
      <c r="T21247" t="s">
        <v>72939</v>
      </c>
    </row>
    <row r="21248" spans="1:20" customFormat="1" ht="15" x14ac:dyDescent="0.25">
      <c r="A21248" t="s">
        <v>24</v>
      </c>
      <c r="B21248" t="s">
        <v>1849</v>
      </c>
      <c r="C21248" t="str">
        <f>"A0094257"</f>
        <v>A0094257</v>
      </c>
      <c r="D21248" t="s">
        <v>72940</v>
      </c>
      <c r="E21248" t="s">
        <v>72941</v>
      </c>
      <c r="F21248" t="s">
        <v>5369</v>
      </c>
      <c r="G21248" t="s">
        <v>58</v>
      </c>
      <c r="H21248">
        <v>29403</v>
      </c>
      <c r="I21248" t="s">
        <v>30</v>
      </c>
      <c r="J21248" t="s">
        <v>171</v>
      </c>
      <c r="K21248" t="s">
        <v>2972</v>
      </c>
      <c r="N21248" t="s">
        <v>72942</v>
      </c>
      <c r="O21248" t="s">
        <v>72943</v>
      </c>
      <c r="Q21248">
        <v>0</v>
      </c>
      <c r="R21248">
        <v>113</v>
      </c>
      <c r="S21248">
        <v>0</v>
      </c>
      <c r="T21248" t="s">
        <v>72944</v>
      </c>
    </row>
    <row r="21249" spans="1:20" customFormat="1" ht="15" x14ac:dyDescent="0.25">
      <c r="A21249" t="s">
        <v>24</v>
      </c>
      <c r="B21249" t="s">
        <v>1548</v>
      </c>
      <c r="C21249" t="str">
        <f>"A0145313"</f>
        <v>A0145313</v>
      </c>
      <c r="D21249" t="s">
        <v>72945</v>
      </c>
      <c r="E21249" t="s">
        <v>72946</v>
      </c>
      <c r="F21249" t="s">
        <v>72947</v>
      </c>
      <c r="G21249" t="s">
        <v>289</v>
      </c>
      <c r="H21249">
        <v>61244</v>
      </c>
      <c r="I21249" t="s">
        <v>30</v>
      </c>
      <c r="J21249" t="s">
        <v>171</v>
      </c>
      <c r="K21249" t="s">
        <v>2972</v>
      </c>
      <c r="N21249" t="s">
        <v>72948</v>
      </c>
      <c r="Q21249">
        <v>0</v>
      </c>
      <c r="R21249">
        <v>233</v>
      </c>
      <c r="S21249">
        <v>0</v>
      </c>
      <c r="T21249" t="s">
        <v>72949</v>
      </c>
    </row>
    <row r="21250" spans="1:20" customFormat="1" ht="15" x14ac:dyDescent="0.25">
      <c r="A21250" t="s">
        <v>24</v>
      </c>
      <c r="B21250" t="s">
        <v>2955</v>
      </c>
      <c r="C21250" t="str">
        <f>"A0091985"</f>
        <v>A0091985</v>
      </c>
      <c r="D21250" t="s">
        <v>72950</v>
      </c>
      <c r="E21250" t="s">
        <v>72951</v>
      </c>
      <c r="F21250" t="s">
        <v>3587</v>
      </c>
      <c r="G21250" t="s">
        <v>846</v>
      </c>
      <c r="H21250">
        <v>30339</v>
      </c>
      <c r="I21250" t="s">
        <v>30</v>
      </c>
      <c r="J21250" t="s">
        <v>171</v>
      </c>
      <c r="K21250" t="s">
        <v>2972</v>
      </c>
      <c r="N21250" t="s">
        <v>72952</v>
      </c>
      <c r="O21250" t="s">
        <v>72953</v>
      </c>
      <c r="Q21250">
        <v>0</v>
      </c>
      <c r="R21250">
        <v>145</v>
      </c>
      <c r="S21250">
        <v>0</v>
      </c>
      <c r="T21250" t="s">
        <v>72954</v>
      </c>
    </row>
    <row r="21251" spans="1:20" customFormat="1" ht="15" x14ac:dyDescent="0.25">
      <c r="A21251" t="s">
        <v>24</v>
      </c>
      <c r="B21251" t="s">
        <v>33681</v>
      </c>
      <c r="C21251" t="str">
        <f>"A0145816"</f>
        <v>A0145816</v>
      </c>
      <c r="D21251" t="s">
        <v>72955</v>
      </c>
      <c r="E21251" t="s">
        <v>72956</v>
      </c>
      <c r="F21251" t="s">
        <v>9854</v>
      </c>
      <c r="G21251" t="s">
        <v>846</v>
      </c>
      <c r="H21251">
        <v>30901</v>
      </c>
      <c r="I21251" t="s">
        <v>30</v>
      </c>
      <c r="J21251" t="s">
        <v>171</v>
      </c>
      <c r="K21251" t="s">
        <v>2972</v>
      </c>
      <c r="N21251" t="s">
        <v>72957</v>
      </c>
      <c r="Q21251">
        <v>0</v>
      </c>
      <c r="R21251">
        <v>100</v>
      </c>
      <c r="S21251">
        <v>0</v>
      </c>
      <c r="T21251" t="s">
        <v>34572</v>
      </c>
    </row>
    <row r="21252" spans="1:20" customFormat="1" ht="15" x14ac:dyDescent="0.25">
      <c r="A21252" t="s">
        <v>24</v>
      </c>
      <c r="B21252" t="s">
        <v>72958</v>
      </c>
      <c r="C21252" t="str">
        <f>"A0083095"</f>
        <v>A0083095</v>
      </c>
      <c r="D21252" t="s">
        <v>72959</v>
      </c>
      <c r="E21252" t="s">
        <v>72960</v>
      </c>
      <c r="F21252" t="s">
        <v>372</v>
      </c>
      <c r="G21252" t="s">
        <v>52</v>
      </c>
      <c r="H21252">
        <v>78759</v>
      </c>
      <c r="I21252" t="s">
        <v>30</v>
      </c>
      <c r="J21252" t="s">
        <v>171</v>
      </c>
      <c r="K21252" t="s">
        <v>2972</v>
      </c>
      <c r="N21252" t="s">
        <v>72961</v>
      </c>
      <c r="O21252" t="s">
        <v>53921</v>
      </c>
      <c r="Q21252">
        <v>0</v>
      </c>
      <c r="R21252">
        <v>135</v>
      </c>
      <c r="S21252">
        <v>0</v>
      </c>
      <c r="T21252" t="s">
        <v>72962</v>
      </c>
    </row>
    <row r="21253" spans="1:20" customFormat="1" ht="15" x14ac:dyDescent="0.25">
      <c r="A21253" t="s">
        <v>24</v>
      </c>
      <c r="B21253" t="s">
        <v>5104</v>
      </c>
      <c r="C21253" t="str">
        <f>"A0098804"</f>
        <v>A0098804</v>
      </c>
      <c r="D21253" t="s">
        <v>72963</v>
      </c>
      <c r="E21253" t="s">
        <v>72964</v>
      </c>
      <c r="F21253" t="s">
        <v>372</v>
      </c>
      <c r="G21253" t="s">
        <v>52</v>
      </c>
      <c r="H21253">
        <v>78701</v>
      </c>
      <c r="I21253" t="s">
        <v>30</v>
      </c>
      <c r="J21253" t="s">
        <v>171</v>
      </c>
      <c r="K21253" t="s">
        <v>2972</v>
      </c>
      <c r="N21253" t="s">
        <v>72965</v>
      </c>
      <c r="Q21253">
        <v>0</v>
      </c>
      <c r="R21253">
        <v>190</v>
      </c>
      <c r="S21253">
        <v>0</v>
      </c>
      <c r="T21253" t="s">
        <v>72966</v>
      </c>
    </row>
    <row r="21254" spans="1:20" customFormat="1" ht="15" x14ac:dyDescent="0.25">
      <c r="A21254" t="s">
        <v>24</v>
      </c>
      <c r="B21254" t="s">
        <v>35790</v>
      </c>
      <c r="C21254" t="str">
        <f>"A0084221"</f>
        <v>A0084221</v>
      </c>
      <c r="D21254" t="s">
        <v>72967</v>
      </c>
      <c r="E21254" t="s">
        <v>72968</v>
      </c>
      <c r="F21254" t="s">
        <v>14497</v>
      </c>
      <c r="G21254" t="s">
        <v>76</v>
      </c>
      <c r="H21254">
        <v>98005</v>
      </c>
      <c r="I21254" t="s">
        <v>30</v>
      </c>
      <c r="J21254" t="s">
        <v>171</v>
      </c>
      <c r="K21254" t="s">
        <v>2972</v>
      </c>
      <c r="N21254" t="s">
        <v>72969</v>
      </c>
      <c r="Q21254">
        <v>0</v>
      </c>
      <c r="R21254">
        <v>160</v>
      </c>
      <c r="S21254">
        <v>0</v>
      </c>
      <c r="T21254" t="s">
        <v>72970</v>
      </c>
    </row>
    <row r="21255" spans="1:20" customFormat="1" ht="15" x14ac:dyDescent="0.25">
      <c r="A21255" t="s">
        <v>24</v>
      </c>
      <c r="B21255" t="s">
        <v>1020</v>
      </c>
      <c r="C21255" t="str">
        <f>"A0059992"</f>
        <v>A0059992</v>
      </c>
      <c r="D21255" t="s">
        <v>72971</v>
      </c>
      <c r="E21255" t="s">
        <v>72972</v>
      </c>
      <c r="F21255" t="s">
        <v>242</v>
      </c>
      <c r="G21255" t="s">
        <v>214</v>
      </c>
      <c r="H21255">
        <v>28217</v>
      </c>
      <c r="I21255" t="s">
        <v>30</v>
      </c>
      <c r="J21255" t="s">
        <v>171</v>
      </c>
      <c r="K21255" t="s">
        <v>2972</v>
      </c>
      <c r="N21255" t="s">
        <v>72973</v>
      </c>
      <c r="Q21255">
        <v>0</v>
      </c>
      <c r="R21255">
        <v>135</v>
      </c>
      <c r="S21255">
        <v>0</v>
      </c>
      <c r="T21255" t="s">
        <v>72974</v>
      </c>
    </row>
    <row r="21256" spans="1:20" customFormat="1" ht="15" x14ac:dyDescent="0.25">
      <c r="A21256" t="s">
        <v>24</v>
      </c>
      <c r="B21256" t="s">
        <v>72975</v>
      </c>
      <c r="C21256" t="str">
        <f>"A0089689"</f>
        <v>A0089689</v>
      </c>
      <c r="D21256" t="s">
        <v>72976</v>
      </c>
      <c r="E21256" t="s">
        <v>72977</v>
      </c>
      <c r="F21256" t="s">
        <v>242</v>
      </c>
      <c r="G21256" t="s">
        <v>214</v>
      </c>
      <c r="H21256">
        <v>28202</v>
      </c>
      <c r="I21256" t="s">
        <v>30</v>
      </c>
      <c r="J21256" t="s">
        <v>171</v>
      </c>
      <c r="K21256" t="s">
        <v>2972</v>
      </c>
      <c r="N21256" t="s">
        <v>72978</v>
      </c>
      <c r="O21256" t="s">
        <v>72979</v>
      </c>
      <c r="Q21256">
        <v>0</v>
      </c>
      <c r="R21256">
        <v>163</v>
      </c>
      <c r="S21256">
        <v>0</v>
      </c>
      <c r="T21256" t="s">
        <v>72980</v>
      </c>
    </row>
    <row r="21257" spans="1:20" customFormat="1" ht="15" x14ac:dyDescent="0.25">
      <c r="A21257" t="s">
        <v>24</v>
      </c>
      <c r="B21257" t="s">
        <v>34201</v>
      </c>
      <c r="C21257" t="str">
        <f>"A0098761"</f>
        <v>A0098761</v>
      </c>
      <c r="D21257" t="s">
        <v>72981</v>
      </c>
      <c r="E21257" t="s">
        <v>72982</v>
      </c>
      <c r="F21257" t="s">
        <v>9072</v>
      </c>
      <c r="G21257" t="s">
        <v>289</v>
      </c>
      <c r="H21257">
        <v>60523</v>
      </c>
      <c r="I21257" t="s">
        <v>30</v>
      </c>
      <c r="J21257" t="s">
        <v>171</v>
      </c>
      <c r="K21257" t="s">
        <v>2972</v>
      </c>
      <c r="N21257" t="s">
        <v>72983</v>
      </c>
      <c r="O21257" t="s">
        <v>72984</v>
      </c>
      <c r="Q21257">
        <v>0</v>
      </c>
      <c r="R21257">
        <v>144</v>
      </c>
      <c r="S21257">
        <v>0</v>
      </c>
      <c r="T21257" t="s">
        <v>72985</v>
      </c>
    </row>
    <row r="21258" spans="1:20" customFormat="1" ht="15" x14ac:dyDescent="0.25">
      <c r="A21258" t="s">
        <v>24</v>
      </c>
      <c r="B21258" t="s">
        <v>34201</v>
      </c>
      <c r="C21258" t="str">
        <f>"A0095081"</f>
        <v>A0095081</v>
      </c>
      <c r="D21258" t="s">
        <v>72986</v>
      </c>
      <c r="E21258" t="s">
        <v>72987</v>
      </c>
      <c r="F21258" t="s">
        <v>68101</v>
      </c>
      <c r="G21258" t="s">
        <v>289</v>
      </c>
      <c r="H21258">
        <v>60201</v>
      </c>
      <c r="I21258" t="s">
        <v>30</v>
      </c>
      <c r="J21258" t="s">
        <v>171</v>
      </c>
      <c r="K21258" t="s">
        <v>2972</v>
      </c>
      <c r="N21258" t="s">
        <v>72988</v>
      </c>
      <c r="Q21258">
        <v>0</v>
      </c>
      <c r="R21258">
        <v>114</v>
      </c>
      <c r="S21258">
        <v>0</v>
      </c>
      <c r="T21258" t="s">
        <v>72989</v>
      </c>
    </row>
    <row r="21259" spans="1:20" customFormat="1" ht="15" x14ac:dyDescent="0.25">
      <c r="A21259" t="s">
        <v>24</v>
      </c>
      <c r="B21259" t="s">
        <v>10487</v>
      </c>
      <c r="C21259" t="str">
        <f>"A0062622"</f>
        <v>A0062622</v>
      </c>
      <c r="D21259" t="s">
        <v>72990</v>
      </c>
      <c r="E21259" t="s">
        <v>72991</v>
      </c>
      <c r="F21259" t="s">
        <v>4003</v>
      </c>
      <c r="G21259" t="s">
        <v>289</v>
      </c>
      <c r="H21259">
        <v>60173</v>
      </c>
      <c r="I21259" t="s">
        <v>30</v>
      </c>
      <c r="J21259" t="s">
        <v>171</v>
      </c>
      <c r="K21259" t="s">
        <v>2972</v>
      </c>
      <c r="N21259" t="s">
        <v>72992</v>
      </c>
      <c r="Q21259">
        <v>0</v>
      </c>
      <c r="R21259">
        <v>134</v>
      </c>
      <c r="S21259">
        <v>0</v>
      </c>
      <c r="T21259" t="s">
        <v>72993</v>
      </c>
    </row>
    <row r="21260" spans="1:20" customFormat="1" ht="15" x14ac:dyDescent="0.25">
      <c r="A21260" t="s">
        <v>24</v>
      </c>
      <c r="B21260" t="s">
        <v>342</v>
      </c>
      <c r="C21260" t="str">
        <f>"A0149489"</f>
        <v>A0149489</v>
      </c>
      <c r="D21260" t="s">
        <v>72994</v>
      </c>
      <c r="E21260" t="s">
        <v>72995</v>
      </c>
      <c r="F21260" t="s">
        <v>716</v>
      </c>
      <c r="G21260" t="s">
        <v>289</v>
      </c>
      <c r="H21260">
        <v>60607</v>
      </c>
      <c r="I21260" t="s">
        <v>30</v>
      </c>
      <c r="J21260" t="s">
        <v>171</v>
      </c>
      <c r="K21260" t="s">
        <v>2972</v>
      </c>
      <c r="N21260" t="s">
        <v>72996</v>
      </c>
      <c r="O21260" t="s">
        <v>72997</v>
      </c>
      <c r="Q21260">
        <v>0</v>
      </c>
      <c r="R21260">
        <v>200</v>
      </c>
      <c r="S21260">
        <v>0</v>
      </c>
      <c r="T21260" t="s">
        <v>72998</v>
      </c>
    </row>
    <row r="21261" spans="1:20" customFormat="1" ht="15" x14ac:dyDescent="0.25">
      <c r="A21261" t="s">
        <v>24</v>
      </c>
      <c r="B21261" t="s">
        <v>72975</v>
      </c>
      <c r="C21261" t="str">
        <f>"A0059833"</f>
        <v>A0059833</v>
      </c>
      <c r="D21261" t="s">
        <v>72999</v>
      </c>
      <c r="E21261" t="s">
        <v>73000</v>
      </c>
      <c r="F21261" t="s">
        <v>54934</v>
      </c>
      <c r="G21261" t="s">
        <v>110</v>
      </c>
      <c r="H21261">
        <v>90630</v>
      </c>
      <c r="I21261" t="s">
        <v>30</v>
      </c>
      <c r="J21261" t="s">
        <v>171</v>
      </c>
      <c r="K21261" t="s">
        <v>2972</v>
      </c>
      <c r="N21261" t="s">
        <v>73001</v>
      </c>
      <c r="O21261" t="s">
        <v>73002</v>
      </c>
      <c r="Q21261">
        <v>0</v>
      </c>
      <c r="R21261">
        <v>142</v>
      </c>
      <c r="S21261">
        <v>0</v>
      </c>
      <c r="T21261" t="s">
        <v>73003</v>
      </c>
    </row>
    <row r="21262" spans="1:20" customFormat="1" ht="15" x14ac:dyDescent="0.25">
      <c r="A21262" t="s">
        <v>24</v>
      </c>
      <c r="B21262" t="s">
        <v>1849</v>
      </c>
      <c r="C21262" t="str">
        <f>"A0094977"</f>
        <v>A0094977</v>
      </c>
      <c r="D21262" t="s">
        <v>73004</v>
      </c>
      <c r="E21262" t="s">
        <v>73005</v>
      </c>
      <c r="F21262" t="s">
        <v>2083</v>
      </c>
      <c r="G21262" t="s">
        <v>52</v>
      </c>
      <c r="H21262">
        <v>75034</v>
      </c>
      <c r="I21262" t="s">
        <v>30</v>
      </c>
      <c r="J21262" t="s">
        <v>171</v>
      </c>
      <c r="K21262" t="s">
        <v>2972</v>
      </c>
      <c r="N21262" t="s">
        <v>73006</v>
      </c>
      <c r="O21262" t="s">
        <v>73007</v>
      </c>
      <c r="Q21262">
        <v>0</v>
      </c>
      <c r="R21262">
        <v>132</v>
      </c>
      <c r="S21262">
        <v>0</v>
      </c>
      <c r="T21262" t="s">
        <v>73008</v>
      </c>
    </row>
    <row r="21263" spans="1:20" customFormat="1" ht="15" x14ac:dyDescent="0.25">
      <c r="A21263" t="s">
        <v>24</v>
      </c>
      <c r="B21263" t="s">
        <v>2812</v>
      </c>
      <c r="C21263" t="str">
        <f>"A0083093"</f>
        <v>A0083093</v>
      </c>
      <c r="D21263" t="s">
        <v>73009</v>
      </c>
      <c r="E21263" t="s">
        <v>73010</v>
      </c>
      <c r="F21263" t="s">
        <v>10779</v>
      </c>
      <c r="G21263" t="s">
        <v>52</v>
      </c>
      <c r="H21263">
        <v>75080</v>
      </c>
      <c r="I21263" t="s">
        <v>30</v>
      </c>
      <c r="J21263" t="s">
        <v>171</v>
      </c>
      <c r="K21263" t="s">
        <v>2972</v>
      </c>
      <c r="N21263" t="s">
        <v>73011</v>
      </c>
      <c r="Q21263">
        <v>0</v>
      </c>
      <c r="R21263">
        <v>130</v>
      </c>
      <c r="S21263">
        <v>0</v>
      </c>
      <c r="T21263" t="s">
        <v>73012</v>
      </c>
    </row>
    <row r="21264" spans="1:20" customFormat="1" ht="15" x14ac:dyDescent="0.25">
      <c r="A21264" t="s">
        <v>24</v>
      </c>
      <c r="B21264" t="s">
        <v>5166</v>
      </c>
      <c r="C21264" t="str">
        <f>"A0088634"</f>
        <v>A0088634</v>
      </c>
      <c r="D21264" t="s">
        <v>73013</v>
      </c>
      <c r="E21264" t="s">
        <v>73014</v>
      </c>
      <c r="F21264" t="s">
        <v>972</v>
      </c>
      <c r="G21264" t="s">
        <v>190</v>
      </c>
      <c r="H21264">
        <v>80249</v>
      </c>
      <c r="I21264" t="s">
        <v>30</v>
      </c>
      <c r="J21264" t="s">
        <v>171</v>
      </c>
      <c r="K21264" t="s">
        <v>2972</v>
      </c>
      <c r="N21264" t="s">
        <v>55017</v>
      </c>
      <c r="O21264" t="s">
        <v>73015</v>
      </c>
      <c r="Q21264">
        <v>0</v>
      </c>
      <c r="R21264">
        <v>123</v>
      </c>
      <c r="S21264">
        <v>0</v>
      </c>
      <c r="T21264" t="s">
        <v>73016</v>
      </c>
    </row>
    <row r="21265" spans="1:20" customFormat="1" ht="15" x14ac:dyDescent="0.25">
      <c r="A21265" t="s">
        <v>24</v>
      </c>
      <c r="B21265" t="s">
        <v>1487</v>
      </c>
      <c r="C21265" t="str">
        <f>"A0094838"</f>
        <v>A0094838</v>
      </c>
      <c r="D21265" t="s">
        <v>73017</v>
      </c>
      <c r="E21265" t="s">
        <v>73018</v>
      </c>
      <c r="F21265" t="s">
        <v>972</v>
      </c>
      <c r="G21265" t="s">
        <v>190</v>
      </c>
      <c r="H21265">
        <v>80202</v>
      </c>
      <c r="I21265" t="s">
        <v>30</v>
      </c>
      <c r="J21265" t="s">
        <v>171</v>
      </c>
      <c r="K21265" t="s">
        <v>2972</v>
      </c>
      <c r="N21265" t="s">
        <v>73019</v>
      </c>
      <c r="Q21265">
        <v>0</v>
      </c>
      <c r="R21265">
        <v>113</v>
      </c>
      <c r="S21265">
        <v>0</v>
      </c>
      <c r="T21265" t="s">
        <v>73020</v>
      </c>
    </row>
    <row r="21266" spans="1:20" customFormat="1" ht="15" hidden="1" x14ac:dyDescent="0.25">
      <c r="A21266" t="s">
        <v>24</v>
      </c>
      <c r="B21266" t="s">
        <v>59461</v>
      </c>
      <c r="C21266" t="str">
        <f>"A0083466"</f>
        <v>A0083466</v>
      </c>
      <c r="D21266" t="s">
        <v>80046</v>
      </c>
      <c r="E21266" t="s">
        <v>80047</v>
      </c>
      <c r="F21266" t="s">
        <v>13227</v>
      </c>
      <c r="G21266" t="s">
        <v>2206</v>
      </c>
      <c r="H21266" t="s">
        <v>80048</v>
      </c>
      <c r="I21266" t="s">
        <v>1459</v>
      </c>
      <c r="J21266" t="s">
        <v>171</v>
      </c>
      <c r="K21266" t="s">
        <v>1450</v>
      </c>
      <c r="Q21266">
        <v>0</v>
      </c>
      <c r="R21266">
        <v>256</v>
      </c>
      <c r="S21266">
        <v>0</v>
      </c>
      <c r="T21266" t="s">
        <v>80049</v>
      </c>
    </row>
    <row r="21267" spans="1:20" customFormat="1" ht="15" hidden="1" x14ac:dyDescent="0.25">
      <c r="A21267" t="s">
        <v>24</v>
      </c>
      <c r="B21267" t="s">
        <v>59461</v>
      </c>
      <c r="C21267" t="str">
        <f>"A0151263"</f>
        <v>A0151263</v>
      </c>
      <c r="D21267" t="s">
        <v>80050</v>
      </c>
      <c r="E21267" t="s">
        <v>80051</v>
      </c>
      <c r="F21267" t="s">
        <v>2879</v>
      </c>
      <c r="G21267" t="s">
        <v>2206</v>
      </c>
      <c r="H21267" t="s">
        <v>80052</v>
      </c>
      <c r="I21267" t="s">
        <v>1459</v>
      </c>
      <c r="J21267" t="s">
        <v>171</v>
      </c>
      <c r="K21267" t="s">
        <v>1450</v>
      </c>
      <c r="N21267" t="s">
        <v>80053</v>
      </c>
      <c r="Q21267">
        <v>0</v>
      </c>
      <c r="R21267">
        <v>127</v>
      </c>
      <c r="S21267">
        <v>0</v>
      </c>
      <c r="T21267" t="s">
        <v>80054</v>
      </c>
    </row>
    <row r="21268" spans="1:20" customFormat="1" ht="15" x14ac:dyDescent="0.25">
      <c r="A21268" t="s">
        <v>24</v>
      </c>
      <c r="B21268" t="s">
        <v>8579</v>
      </c>
      <c r="C21268" t="str">
        <f>"A0059969"</f>
        <v>A0059969</v>
      </c>
      <c r="D21268" t="s">
        <v>73021</v>
      </c>
      <c r="E21268" t="s">
        <v>73022</v>
      </c>
      <c r="F21268" t="s">
        <v>14560</v>
      </c>
      <c r="G21268" t="s">
        <v>190</v>
      </c>
      <c r="H21268">
        <v>80112</v>
      </c>
      <c r="I21268" t="s">
        <v>30</v>
      </c>
      <c r="J21268" t="s">
        <v>171</v>
      </c>
      <c r="K21268" t="s">
        <v>2972</v>
      </c>
      <c r="N21268" t="s">
        <v>73023</v>
      </c>
      <c r="O21268" t="s">
        <v>73024</v>
      </c>
      <c r="Q21268">
        <v>0</v>
      </c>
      <c r="R21268">
        <v>136</v>
      </c>
      <c r="S21268">
        <v>0</v>
      </c>
      <c r="T21268" t="s">
        <v>73025</v>
      </c>
    </row>
    <row r="21269" spans="1:20" customFormat="1" ht="15" x14ac:dyDescent="0.25">
      <c r="A21269" t="s">
        <v>24</v>
      </c>
      <c r="B21269" t="s">
        <v>72975</v>
      </c>
      <c r="C21269" t="str">
        <f>"A0059834"</f>
        <v>A0059834</v>
      </c>
      <c r="D21269" t="s">
        <v>73026</v>
      </c>
      <c r="E21269" t="s">
        <v>73027</v>
      </c>
      <c r="F21269" t="s">
        <v>66545</v>
      </c>
      <c r="G21269" t="s">
        <v>110</v>
      </c>
      <c r="H21269">
        <v>94608</v>
      </c>
      <c r="I21269" t="s">
        <v>30</v>
      </c>
      <c r="J21269" t="s">
        <v>171</v>
      </c>
      <c r="K21269" t="s">
        <v>2972</v>
      </c>
      <c r="N21269" t="s">
        <v>73028</v>
      </c>
      <c r="O21269" t="s">
        <v>73029</v>
      </c>
      <c r="Q21269">
        <v>0</v>
      </c>
      <c r="R21269">
        <v>234</v>
      </c>
      <c r="S21269">
        <v>0</v>
      </c>
      <c r="T21269" t="s">
        <v>73030</v>
      </c>
    </row>
    <row r="21270" spans="1:20" customFormat="1" ht="15" x14ac:dyDescent="0.25">
      <c r="A21270" t="s">
        <v>24</v>
      </c>
      <c r="B21270" t="s">
        <v>73031</v>
      </c>
      <c r="C21270" t="str">
        <f>"A0078230"</f>
        <v>A0078230</v>
      </c>
      <c r="D21270" t="s">
        <v>73032</v>
      </c>
      <c r="E21270" t="s">
        <v>73033</v>
      </c>
      <c r="F21270" t="s">
        <v>1564</v>
      </c>
      <c r="G21270" t="s">
        <v>52</v>
      </c>
      <c r="H21270">
        <v>77056</v>
      </c>
      <c r="I21270" t="s">
        <v>30</v>
      </c>
      <c r="J21270" t="s">
        <v>171</v>
      </c>
      <c r="K21270" t="s">
        <v>2972</v>
      </c>
      <c r="N21270" t="s">
        <v>73034</v>
      </c>
      <c r="Q21270">
        <v>0</v>
      </c>
      <c r="R21270">
        <v>150</v>
      </c>
      <c r="S21270">
        <v>0</v>
      </c>
      <c r="T21270" t="s">
        <v>73035</v>
      </c>
    </row>
    <row r="21271" spans="1:20" customFormat="1" ht="15" x14ac:dyDescent="0.25">
      <c r="A21271" t="s">
        <v>24</v>
      </c>
      <c r="B21271" t="s">
        <v>72975</v>
      </c>
      <c r="C21271" t="str">
        <f>"A0096996"</f>
        <v>A0096996</v>
      </c>
      <c r="D21271" t="s">
        <v>73036</v>
      </c>
      <c r="E21271" t="s">
        <v>73037</v>
      </c>
      <c r="F21271" t="s">
        <v>808</v>
      </c>
      <c r="G21271" t="s">
        <v>110</v>
      </c>
      <c r="H21271">
        <v>92614</v>
      </c>
      <c r="I21271" t="s">
        <v>30</v>
      </c>
      <c r="J21271" t="s">
        <v>171</v>
      </c>
      <c r="K21271" t="s">
        <v>2972</v>
      </c>
      <c r="N21271" t="s">
        <v>73038</v>
      </c>
      <c r="O21271" t="s">
        <v>73039</v>
      </c>
      <c r="Q21271">
        <v>0</v>
      </c>
      <c r="R21271">
        <v>149</v>
      </c>
      <c r="S21271">
        <v>0</v>
      </c>
      <c r="T21271" t="s">
        <v>73040</v>
      </c>
    </row>
    <row r="21272" spans="1:20" customFormat="1" ht="15" x14ac:dyDescent="0.25">
      <c r="A21272" t="s">
        <v>24</v>
      </c>
      <c r="B21272" t="s">
        <v>35790</v>
      </c>
      <c r="C21272" t="str">
        <f>"A0089687"</f>
        <v>A0089687</v>
      </c>
      <c r="D21272" t="s">
        <v>73041</v>
      </c>
      <c r="E21272" t="s">
        <v>73042</v>
      </c>
      <c r="F21272" t="s">
        <v>71486</v>
      </c>
      <c r="G21272" t="s">
        <v>103</v>
      </c>
      <c r="H21272">
        <v>19406</v>
      </c>
      <c r="I21272" t="s">
        <v>30</v>
      </c>
      <c r="J21272" t="s">
        <v>171</v>
      </c>
      <c r="K21272" t="s">
        <v>2972</v>
      </c>
      <c r="N21272" t="s">
        <v>73043</v>
      </c>
      <c r="Q21272">
        <v>0</v>
      </c>
      <c r="R21272">
        <v>147</v>
      </c>
      <c r="S21272">
        <v>0</v>
      </c>
      <c r="T21272" t="s">
        <v>73044</v>
      </c>
    </row>
    <row r="21273" spans="1:20" customFormat="1" ht="15" x14ac:dyDescent="0.25">
      <c r="A21273" t="s">
        <v>24</v>
      </c>
      <c r="B21273" t="s">
        <v>11506</v>
      </c>
      <c r="C21273" t="str">
        <f>"A0095757"</f>
        <v>A0095757</v>
      </c>
      <c r="D21273" t="s">
        <v>73045</v>
      </c>
      <c r="E21273" t="s">
        <v>73046</v>
      </c>
      <c r="F21273" t="s">
        <v>10379</v>
      </c>
      <c r="G21273" t="s">
        <v>81</v>
      </c>
      <c r="H21273">
        <v>34102</v>
      </c>
      <c r="I21273" t="s">
        <v>30</v>
      </c>
      <c r="J21273" t="s">
        <v>171</v>
      </c>
      <c r="K21273" t="s">
        <v>2972</v>
      </c>
      <c r="N21273" t="s">
        <v>73047</v>
      </c>
      <c r="O21273" t="s">
        <v>73048</v>
      </c>
      <c r="Q21273">
        <v>0</v>
      </c>
      <c r="R21273">
        <v>183</v>
      </c>
      <c r="S21273">
        <v>0</v>
      </c>
      <c r="T21273" t="s">
        <v>73049</v>
      </c>
    </row>
    <row r="21274" spans="1:20" customFormat="1" ht="15" x14ac:dyDescent="0.25">
      <c r="A21274" t="s">
        <v>24</v>
      </c>
      <c r="B21274" t="s">
        <v>1138</v>
      </c>
      <c r="C21274" t="str">
        <f>"A0148617"</f>
        <v>A0148617</v>
      </c>
      <c r="D21274" t="s">
        <v>73050</v>
      </c>
      <c r="E21274" t="s">
        <v>73051</v>
      </c>
      <c r="F21274" t="s">
        <v>7921</v>
      </c>
      <c r="G21274" t="s">
        <v>880</v>
      </c>
      <c r="H21274">
        <v>37067</v>
      </c>
      <c r="I21274" t="s">
        <v>30</v>
      </c>
      <c r="J21274" t="s">
        <v>171</v>
      </c>
      <c r="K21274" t="s">
        <v>2972</v>
      </c>
      <c r="N21274" t="s">
        <v>73052</v>
      </c>
      <c r="Q21274">
        <v>0</v>
      </c>
      <c r="R21274">
        <v>128</v>
      </c>
      <c r="S21274">
        <v>0</v>
      </c>
      <c r="T21274" t="s">
        <v>73053</v>
      </c>
    </row>
    <row r="21275" spans="1:20" customFormat="1" ht="15" x14ac:dyDescent="0.25">
      <c r="A21275" t="s">
        <v>24</v>
      </c>
      <c r="B21275" t="s">
        <v>1138</v>
      </c>
      <c r="C21275" t="str">
        <f>"A0164725"</f>
        <v>A0164725</v>
      </c>
      <c r="D21275" t="s">
        <v>73054</v>
      </c>
      <c r="E21275" t="s">
        <v>73055</v>
      </c>
      <c r="F21275" t="s">
        <v>2971</v>
      </c>
      <c r="G21275" t="s">
        <v>880</v>
      </c>
      <c r="H21275">
        <v>37214</v>
      </c>
      <c r="I21275" t="s">
        <v>30</v>
      </c>
      <c r="J21275" t="s">
        <v>171</v>
      </c>
      <c r="K21275" t="s">
        <v>2972</v>
      </c>
      <c r="N21275" t="s">
        <v>73056</v>
      </c>
      <c r="Q21275">
        <v>0</v>
      </c>
      <c r="R21275">
        <v>128</v>
      </c>
      <c r="S21275">
        <v>0</v>
      </c>
      <c r="T21275" t="s">
        <v>73057</v>
      </c>
    </row>
    <row r="21276" spans="1:20" customFormat="1" ht="15" hidden="1" x14ac:dyDescent="0.25">
      <c r="A21276" t="s">
        <v>24</v>
      </c>
      <c r="B21276" t="s">
        <v>63140</v>
      </c>
      <c r="C21276" t="str">
        <f>"56986"</f>
        <v>56986</v>
      </c>
      <c r="D21276" t="s">
        <v>80087</v>
      </c>
      <c r="E21276" t="s">
        <v>80088</v>
      </c>
      <c r="F21276" t="s">
        <v>2269</v>
      </c>
      <c r="G21276" t="s">
        <v>2270</v>
      </c>
      <c r="H21276" t="s">
        <v>80089</v>
      </c>
      <c r="I21276" t="s">
        <v>1459</v>
      </c>
      <c r="J21276" t="s">
        <v>171</v>
      </c>
      <c r="K21276" t="s">
        <v>1450</v>
      </c>
      <c r="N21276" t="s">
        <v>80090</v>
      </c>
      <c r="O21276" t="s">
        <v>80091</v>
      </c>
      <c r="Q21276">
        <v>0</v>
      </c>
      <c r="R21276">
        <v>201</v>
      </c>
      <c r="S21276">
        <v>0</v>
      </c>
      <c r="T21276" t="s">
        <v>80092</v>
      </c>
    </row>
    <row r="21277" spans="1:20" customFormat="1" ht="15" x14ac:dyDescent="0.25">
      <c r="A21277" t="s">
        <v>24</v>
      </c>
      <c r="B21277" t="s">
        <v>2836</v>
      </c>
      <c r="C21277" t="str">
        <f>"A0155968"</f>
        <v>A0155968</v>
      </c>
      <c r="D21277" t="s">
        <v>73058</v>
      </c>
      <c r="E21277" t="s">
        <v>73059</v>
      </c>
      <c r="F21277" t="s">
        <v>2971</v>
      </c>
      <c r="G21277" t="s">
        <v>880</v>
      </c>
      <c r="H21277">
        <v>37203</v>
      </c>
      <c r="I21277" t="s">
        <v>30</v>
      </c>
      <c r="J21277" t="s">
        <v>171</v>
      </c>
      <c r="K21277" t="s">
        <v>2972</v>
      </c>
      <c r="N21277" t="s">
        <v>73060</v>
      </c>
      <c r="O21277" t="s">
        <v>73061</v>
      </c>
      <c r="Q21277">
        <v>0</v>
      </c>
      <c r="R21277">
        <v>217</v>
      </c>
      <c r="S21277">
        <v>0</v>
      </c>
      <c r="T21277" t="s">
        <v>73062</v>
      </c>
    </row>
    <row r="21278" spans="1:20" customFormat="1" ht="15" x14ac:dyDescent="0.25">
      <c r="A21278" t="s">
        <v>24</v>
      </c>
      <c r="B21278" t="s">
        <v>72975</v>
      </c>
      <c r="C21278" t="str">
        <f>"A0094697"</f>
        <v>A0094697</v>
      </c>
      <c r="D21278" t="s">
        <v>73063</v>
      </c>
      <c r="E21278" t="s">
        <v>73064</v>
      </c>
      <c r="F21278" t="s">
        <v>2069</v>
      </c>
      <c r="G21278" t="s">
        <v>1170</v>
      </c>
      <c r="H21278">
        <v>70113</v>
      </c>
      <c r="I21278" t="s">
        <v>30</v>
      </c>
      <c r="J21278" t="s">
        <v>171</v>
      </c>
      <c r="K21278" t="s">
        <v>2972</v>
      </c>
      <c r="N21278" t="s">
        <v>73065</v>
      </c>
      <c r="Q21278">
        <v>0</v>
      </c>
      <c r="R21278">
        <v>194</v>
      </c>
      <c r="S21278">
        <v>0</v>
      </c>
      <c r="T21278" t="s">
        <v>73066</v>
      </c>
    </row>
    <row r="21279" spans="1:20" customFormat="1" ht="15" x14ac:dyDescent="0.25">
      <c r="A21279" t="s">
        <v>24</v>
      </c>
      <c r="B21279" t="s">
        <v>72975</v>
      </c>
      <c r="C21279" t="str">
        <f>"A0096451"</f>
        <v>A0096451</v>
      </c>
      <c r="D21279" t="s">
        <v>73067</v>
      </c>
      <c r="E21279" t="s">
        <v>73068</v>
      </c>
      <c r="F21279" t="s">
        <v>6593</v>
      </c>
      <c r="G21279" t="s">
        <v>47</v>
      </c>
      <c r="H21279">
        <v>97201</v>
      </c>
      <c r="I21279" t="s">
        <v>30</v>
      </c>
      <c r="J21279" t="s">
        <v>171</v>
      </c>
      <c r="K21279" t="s">
        <v>2972</v>
      </c>
      <c r="N21279" t="s">
        <v>73069</v>
      </c>
      <c r="O21279" t="s">
        <v>73070</v>
      </c>
      <c r="Q21279">
        <v>0</v>
      </c>
      <c r="R21279">
        <v>203</v>
      </c>
      <c r="S21279">
        <v>0</v>
      </c>
      <c r="T21279" t="s">
        <v>73071</v>
      </c>
    </row>
    <row r="21280" spans="1:20" customFormat="1" ht="15" x14ac:dyDescent="0.25">
      <c r="A21280" t="s">
        <v>24</v>
      </c>
      <c r="B21280" t="s">
        <v>72934</v>
      </c>
      <c r="C21280" t="str">
        <f>"A0145397"</f>
        <v>A0145397</v>
      </c>
      <c r="D21280" t="s">
        <v>73072</v>
      </c>
      <c r="E21280" t="s">
        <v>73073</v>
      </c>
      <c r="F21280" t="s">
        <v>73074</v>
      </c>
      <c r="G21280" t="s">
        <v>153</v>
      </c>
      <c r="H21280">
        <v>84062</v>
      </c>
      <c r="I21280" t="s">
        <v>30</v>
      </c>
      <c r="J21280" t="s">
        <v>171</v>
      </c>
      <c r="K21280" t="s">
        <v>2972</v>
      </c>
      <c r="N21280" t="s">
        <v>73075</v>
      </c>
      <c r="O21280" t="s">
        <v>73076</v>
      </c>
      <c r="Q21280">
        <v>0</v>
      </c>
      <c r="R21280">
        <v>125</v>
      </c>
      <c r="S21280">
        <v>0</v>
      </c>
      <c r="T21280" t="s">
        <v>73077</v>
      </c>
    </row>
    <row r="21281" spans="1:20" customFormat="1" ht="15" x14ac:dyDescent="0.25">
      <c r="A21281" t="s">
        <v>24</v>
      </c>
      <c r="B21281" t="s">
        <v>35790</v>
      </c>
      <c r="C21281" t="str">
        <f>"A0087875"</f>
        <v>A0087875</v>
      </c>
      <c r="D21281" t="s">
        <v>73078</v>
      </c>
      <c r="E21281" t="s">
        <v>73079</v>
      </c>
      <c r="F21281" t="s">
        <v>12824</v>
      </c>
      <c r="G21281" t="s">
        <v>76</v>
      </c>
      <c r="H21281">
        <v>98052</v>
      </c>
      <c r="I21281" t="s">
        <v>30</v>
      </c>
      <c r="J21281" t="s">
        <v>171</v>
      </c>
      <c r="K21281" t="s">
        <v>2972</v>
      </c>
      <c r="N21281" t="s">
        <v>73080</v>
      </c>
      <c r="Q21281">
        <v>0</v>
      </c>
      <c r="R21281">
        <v>144</v>
      </c>
      <c r="S21281">
        <v>0</v>
      </c>
      <c r="T21281" t="s">
        <v>73081</v>
      </c>
    </row>
    <row r="21282" spans="1:20" customFormat="1" ht="15" x14ac:dyDescent="0.25">
      <c r="A21282" t="s">
        <v>24</v>
      </c>
      <c r="B21282" t="s">
        <v>72975</v>
      </c>
      <c r="C21282" t="str">
        <f>"A0059837"</f>
        <v>A0059837</v>
      </c>
      <c r="D21282" t="s">
        <v>73082</v>
      </c>
      <c r="E21282" t="s">
        <v>73083</v>
      </c>
      <c r="F21282" t="s">
        <v>2978</v>
      </c>
      <c r="G21282" t="s">
        <v>110</v>
      </c>
      <c r="H21282">
        <v>92121</v>
      </c>
      <c r="I21282" t="s">
        <v>30</v>
      </c>
      <c r="J21282" t="s">
        <v>171</v>
      </c>
      <c r="K21282" t="s">
        <v>2972</v>
      </c>
      <c r="N21282" t="s">
        <v>73001</v>
      </c>
      <c r="Q21282">
        <v>0</v>
      </c>
      <c r="R21282">
        <v>194</v>
      </c>
      <c r="S21282">
        <v>0</v>
      </c>
      <c r="T21282" t="s">
        <v>73084</v>
      </c>
    </row>
    <row r="21283" spans="1:20" customFormat="1" ht="15" x14ac:dyDescent="0.25">
      <c r="A21283" t="s">
        <v>24</v>
      </c>
      <c r="B21283" t="s">
        <v>762</v>
      </c>
      <c r="C21283" t="str">
        <f>"A0145815"</f>
        <v>A0145815</v>
      </c>
      <c r="D21283" t="s">
        <v>73085</v>
      </c>
      <c r="E21283" t="s">
        <v>73086</v>
      </c>
      <c r="F21283" t="s">
        <v>55758</v>
      </c>
      <c r="G21283" t="s">
        <v>110</v>
      </c>
      <c r="H21283">
        <v>95014</v>
      </c>
      <c r="I21283" t="s">
        <v>30</v>
      </c>
      <c r="J21283" t="s">
        <v>171</v>
      </c>
      <c r="K21283" t="s">
        <v>2972</v>
      </c>
      <c r="N21283" t="s">
        <v>73087</v>
      </c>
      <c r="O21283" t="s">
        <v>73088</v>
      </c>
      <c r="Q21283">
        <v>0</v>
      </c>
      <c r="R21283">
        <v>148</v>
      </c>
      <c r="S21283">
        <v>0</v>
      </c>
      <c r="T21283" t="s">
        <v>73089</v>
      </c>
    </row>
    <row r="21284" spans="1:20" customFormat="1" ht="15" x14ac:dyDescent="0.25">
      <c r="A21284" t="s">
        <v>24</v>
      </c>
      <c r="B21284" t="s">
        <v>12732</v>
      </c>
      <c r="C21284" t="str">
        <f>"A0117564"</f>
        <v>A0117564</v>
      </c>
      <c r="D21284" t="s">
        <v>73090</v>
      </c>
      <c r="E21284" t="s">
        <v>73091</v>
      </c>
      <c r="F21284" t="s">
        <v>4802</v>
      </c>
      <c r="G21284" t="s">
        <v>110</v>
      </c>
      <c r="H21284">
        <v>95131</v>
      </c>
      <c r="I21284" t="s">
        <v>30</v>
      </c>
      <c r="J21284" t="s">
        <v>171</v>
      </c>
      <c r="K21284" t="s">
        <v>2972</v>
      </c>
      <c r="N21284" t="s">
        <v>73092</v>
      </c>
      <c r="Q21284">
        <v>0</v>
      </c>
      <c r="R21284">
        <v>165</v>
      </c>
      <c r="S21284">
        <v>0</v>
      </c>
      <c r="T21284" t="s">
        <v>73093</v>
      </c>
    </row>
    <row r="21285" spans="1:20" customFormat="1" ht="15" x14ac:dyDescent="0.25">
      <c r="A21285" t="s">
        <v>24</v>
      </c>
      <c r="B21285" t="s">
        <v>72975</v>
      </c>
      <c r="C21285" t="str">
        <f>"A0089691"</f>
        <v>A0089691</v>
      </c>
      <c r="D21285" t="s">
        <v>73094</v>
      </c>
      <c r="E21285" t="s">
        <v>73095</v>
      </c>
      <c r="F21285" t="s">
        <v>4802</v>
      </c>
      <c r="G21285" t="s">
        <v>110</v>
      </c>
      <c r="H21285">
        <v>95134</v>
      </c>
      <c r="I21285" t="s">
        <v>30</v>
      </c>
      <c r="J21285" t="s">
        <v>171</v>
      </c>
      <c r="K21285" t="s">
        <v>2972</v>
      </c>
      <c r="N21285" t="s">
        <v>73096</v>
      </c>
      <c r="O21285" t="s">
        <v>73097</v>
      </c>
      <c r="Q21285">
        <v>0</v>
      </c>
      <c r="R21285">
        <v>164</v>
      </c>
      <c r="S21285">
        <v>0</v>
      </c>
      <c r="T21285" t="s">
        <v>73098</v>
      </c>
    </row>
    <row r="21286" spans="1:20" customFormat="1" ht="15" x14ac:dyDescent="0.25">
      <c r="A21286" t="s">
        <v>24</v>
      </c>
      <c r="B21286" t="s">
        <v>72975</v>
      </c>
      <c r="C21286" t="str">
        <f>"A0083214"</f>
        <v>A0083214</v>
      </c>
      <c r="D21286" t="s">
        <v>73099</v>
      </c>
      <c r="E21286" t="s">
        <v>73100</v>
      </c>
      <c r="F21286" t="s">
        <v>73101</v>
      </c>
      <c r="G21286" t="s">
        <v>110</v>
      </c>
      <c r="H21286">
        <v>94583</v>
      </c>
      <c r="I21286" t="s">
        <v>30</v>
      </c>
      <c r="J21286" t="s">
        <v>171</v>
      </c>
      <c r="K21286" t="s">
        <v>2972</v>
      </c>
      <c r="N21286" t="s">
        <v>73102</v>
      </c>
      <c r="O21286" t="s">
        <v>73103</v>
      </c>
      <c r="Q21286">
        <v>0</v>
      </c>
      <c r="R21286">
        <v>142</v>
      </c>
      <c r="S21286">
        <v>0</v>
      </c>
      <c r="T21286" t="s">
        <v>73104</v>
      </c>
    </row>
    <row r="21287" spans="1:20" customFormat="1" ht="15" x14ac:dyDescent="0.25">
      <c r="A21287" t="s">
        <v>24</v>
      </c>
      <c r="B21287" t="s">
        <v>72975</v>
      </c>
      <c r="C21287" t="str">
        <f>"A0083217"</f>
        <v>A0083217</v>
      </c>
      <c r="D21287" t="s">
        <v>73105</v>
      </c>
      <c r="E21287" t="s">
        <v>73106</v>
      </c>
      <c r="F21287" t="s">
        <v>5123</v>
      </c>
      <c r="G21287" t="s">
        <v>110</v>
      </c>
      <c r="H21287">
        <v>95054</v>
      </c>
      <c r="I21287" t="s">
        <v>30</v>
      </c>
      <c r="J21287" t="s">
        <v>171</v>
      </c>
      <c r="K21287" t="s">
        <v>2972</v>
      </c>
      <c r="N21287" t="s">
        <v>73103</v>
      </c>
      <c r="O21287" t="s">
        <v>73107</v>
      </c>
      <c r="Q21287">
        <v>0</v>
      </c>
      <c r="R21287">
        <v>150</v>
      </c>
      <c r="S21287">
        <v>0</v>
      </c>
      <c r="T21287" t="s">
        <v>73108</v>
      </c>
    </row>
    <row r="21288" spans="1:20" customFormat="1" ht="15" x14ac:dyDescent="0.25">
      <c r="A21288" t="s">
        <v>24</v>
      </c>
      <c r="B21288" t="s">
        <v>762</v>
      </c>
      <c r="C21288" t="str">
        <f>"A0093987"</f>
        <v>A0093987</v>
      </c>
      <c r="D21288" t="s">
        <v>73109</v>
      </c>
      <c r="E21288" t="s">
        <v>73110</v>
      </c>
      <c r="F21288" t="s">
        <v>2900</v>
      </c>
      <c r="G21288" t="s">
        <v>76</v>
      </c>
      <c r="H21288">
        <v>98109</v>
      </c>
      <c r="I21288" t="s">
        <v>30</v>
      </c>
      <c r="J21288" t="s">
        <v>171</v>
      </c>
      <c r="K21288" t="s">
        <v>2972</v>
      </c>
      <c r="N21288" t="s">
        <v>73111</v>
      </c>
      <c r="O21288" t="s">
        <v>2130</v>
      </c>
      <c r="Q21288">
        <v>0</v>
      </c>
      <c r="R21288">
        <v>172</v>
      </c>
      <c r="S21288">
        <v>0</v>
      </c>
      <c r="T21288" t="s">
        <v>73112</v>
      </c>
    </row>
    <row r="21289" spans="1:20" customFormat="1" ht="15" x14ac:dyDescent="0.25">
      <c r="A21289" t="s">
        <v>24</v>
      </c>
      <c r="B21289" t="s">
        <v>2955</v>
      </c>
      <c r="C21289" t="str">
        <f>"A0098398"</f>
        <v>A0098398</v>
      </c>
      <c r="D21289" t="s">
        <v>73113</v>
      </c>
      <c r="E21289" t="s">
        <v>73114</v>
      </c>
      <c r="F21289" t="s">
        <v>16267</v>
      </c>
      <c r="G21289" t="s">
        <v>29</v>
      </c>
      <c r="H21289">
        <v>23451</v>
      </c>
      <c r="I21289" t="s">
        <v>30</v>
      </c>
      <c r="J21289" t="s">
        <v>171</v>
      </c>
      <c r="K21289" t="s">
        <v>2972</v>
      </c>
      <c r="N21289" t="s">
        <v>73115</v>
      </c>
      <c r="Q21289">
        <v>0</v>
      </c>
      <c r="R21289">
        <v>156</v>
      </c>
      <c r="S21289">
        <v>0</v>
      </c>
      <c r="T21289" t="s">
        <v>73116</v>
      </c>
    </row>
    <row r="21290" spans="1:20" customFormat="1" ht="15" x14ac:dyDescent="0.25">
      <c r="A21290" t="s">
        <v>24</v>
      </c>
      <c r="B21290" t="s">
        <v>1020</v>
      </c>
      <c r="C21290" t="str">
        <f>"A0059888"</f>
        <v>A0059888</v>
      </c>
      <c r="D21290" t="s">
        <v>73117</v>
      </c>
      <c r="E21290" t="s">
        <v>73118</v>
      </c>
      <c r="F21290" t="s">
        <v>35175</v>
      </c>
      <c r="G21290" t="s">
        <v>99</v>
      </c>
      <c r="H21290">
        <v>10604</v>
      </c>
      <c r="I21290" t="s">
        <v>30</v>
      </c>
      <c r="J21290" t="s">
        <v>171</v>
      </c>
      <c r="K21290" t="s">
        <v>2972</v>
      </c>
      <c r="N21290" t="s">
        <v>73119</v>
      </c>
      <c r="Q21290">
        <v>0</v>
      </c>
      <c r="R21290">
        <v>159</v>
      </c>
      <c r="S21290">
        <v>0</v>
      </c>
      <c r="T21290" t="s">
        <v>73120</v>
      </c>
    </row>
    <row r="21291" spans="1:20" customFormat="1" ht="15" x14ac:dyDescent="0.25">
      <c r="A21291" t="s">
        <v>24</v>
      </c>
      <c r="B21291" t="s">
        <v>11484</v>
      </c>
      <c r="C21291" t="str">
        <f>"A0147495"</f>
        <v>A0147495</v>
      </c>
      <c r="D21291" t="s">
        <v>73149</v>
      </c>
      <c r="E21291" t="s">
        <v>73150</v>
      </c>
      <c r="F21291" t="s">
        <v>9431</v>
      </c>
      <c r="G21291" t="s">
        <v>381</v>
      </c>
      <c r="H21291">
        <v>46204</v>
      </c>
      <c r="I21291" t="s">
        <v>30</v>
      </c>
      <c r="J21291" t="s">
        <v>171</v>
      </c>
      <c r="K21291" t="s">
        <v>1202</v>
      </c>
      <c r="N21291" t="s">
        <v>73151</v>
      </c>
      <c r="O21291" t="s">
        <v>55845</v>
      </c>
      <c r="Q21291">
        <v>0</v>
      </c>
      <c r="R21291">
        <v>186</v>
      </c>
      <c r="S21291">
        <v>0</v>
      </c>
      <c r="T21291" t="s">
        <v>73152</v>
      </c>
    </row>
    <row r="21292" spans="1:20" customFormat="1" ht="15" x14ac:dyDescent="0.25">
      <c r="A21292" t="s">
        <v>24</v>
      </c>
      <c r="B21292" t="s">
        <v>2955</v>
      </c>
      <c r="C21292" t="str">
        <f>"A0054885"</f>
        <v>A0054885</v>
      </c>
      <c r="D21292" t="s">
        <v>73153</v>
      </c>
      <c r="E21292" t="s">
        <v>73154</v>
      </c>
      <c r="F21292" t="s">
        <v>34900</v>
      </c>
      <c r="G21292" t="s">
        <v>1587</v>
      </c>
      <c r="H21292">
        <v>87110</v>
      </c>
      <c r="I21292" t="s">
        <v>30</v>
      </c>
      <c r="J21292" t="s">
        <v>171</v>
      </c>
      <c r="K21292" t="s">
        <v>1202</v>
      </c>
      <c r="N21292" t="s">
        <v>73155</v>
      </c>
      <c r="Q21292">
        <v>0</v>
      </c>
      <c r="R21292">
        <v>126</v>
      </c>
      <c r="S21292">
        <v>0</v>
      </c>
      <c r="T21292" t="s">
        <v>73156</v>
      </c>
    </row>
    <row r="21293" spans="1:20" customFormat="1" ht="15" hidden="1" x14ac:dyDescent="0.25">
      <c r="A21293" t="s">
        <v>24</v>
      </c>
      <c r="B21293" t="s">
        <v>675</v>
      </c>
      <c r="C21293" t="str">
        <f>"A0093438"</f>
        <v>A0093438</v>
      </c>
      <c r="D21293" t="s">
        <v>80164</v>
      </c>
      <c r="E21293" t="s">
        <v>80165</v>
      </c>
      <c r="F21293" t="s">
        <v>13197</v>
      </c>
      <c r="G21293" t="s">
        <v>2206</v>
      </c>
      <c r="H21293" t="s">
        <v>80166</v>
      </c>
      <c r="I21293" t="s">
        <v>1459</v>
      </c>
      <c r="J21293" t="s">
        <v>679</v>
      </c>
      <c r="K21293" t="s">
        <v>680</v>
      </c>
      <c r="Q21293">
        <v>0</v>
      </c>
      <c r="R21293">
        <v>159</v>
      </c>
      <c r="S21293">
        <v>0</v>
      </c>
      <c r="T21293" t="s">
        <v>80167</v>
      </c>
    </row>
    <row r="21294" spans="1:20" customFormat="1" ht="15" x14ac:dyDescent="0.25">
      <c r="A21294" t="s">
        <v>24</v>
      </c>
      <c r="B21294" t="s">
        <v>9587</v>
      </c>
      <c r="C21294" t="str">
        <f>"A0156062"</f>
        <v>A0156062</v>
      </c>
      <c r="D21294" t="s">
        <v>73157</v>
      </c>
      <c r="E21294" t="s">
        <v>73158</v>
      </c>
      <c r="F21294" t="s">
        <v>2063</v>
      </c>
      <c r="G21294" t="s">
        <v>52</v>
      </c>
      <c r="H21294">
        <v>79124</v>
      </c>
      <c r="I21294" t="s">
        <v>30</v>
      </c>
      <c r="J21294" t="s">
        <v>171</v>
      </c>
      <c r="K21294" t="s">
        <v>1202</v>
      </c>
      <c r="N21294" t="s">
        <v>73159</v>
      </c>
      <c r="Q21294">
        <v>0</v>
      </c>
      <c r="R21294">
        <v>129</v>
      </c>
      <c r="S21294">
        <v>0</v>
      </c>
      <c r="T21294" t="s">
        <v>73160</v>
      </c>
    </row>
    <row r="21295" spans="1:20" customFormat="1" ht="15" x14ac:dyDescent="0.25">
      <c r="A21295" t="s">
        <v>24</v>
      </c>
      <c r="B21295" t="s">
        <v>2955</v>
      </c>
      <c r="C21295" t="str">
        <f>"A0165064"</f>
        <v>A0165064</v>
      </c>
      <c r="D21295" t="s">
        <v>73161</v>
      </c>
      <c r="E21295" t="s">
        <v>73162</v>
      </c>
      <c r="F21295" t="s">
        <v>1592</v>
      </c>
      <c r="G21295" t="s">
        <v>197</v>
      </c>
      <c r="H21295">
        <v>85281</v>
      </c>
      <c r="I21295" t="s">
        <v>30</v>
      </c>
      <c r="J21295" t="s">
        <v>171</v>
      </c>
      <c r="K21295" t="s">
        <v>1202</v>
      </c>
      <c r="N21295" t="s">
        <v>73163</v>
      </c>
      <c r="O21295" t="s">
        <v>73164</v>
      </c>
      <c r="Q21295">
        <v>0</v>
      </c>
      <c r="R21295">
        <v>260</v>
      </c>
      <c r="S21295">
        <v>0</v>
      </c>
      <c r="T21295" t="s">
        <v>73165</v>
      </c>
    </row>
    <row r="21296" spans="1:20" customFormat="1" ht="15" hidden="1" x14ac:dyDescent="0.25">
      <c r="A21296" t="s">
        <v>24</v>
      </c>
      <c r="B21296" t="s">
        <v>3840</v>
      </c>
      <c r="C21296" t="str">
        <f>"A0145426"</f>
        <v>A0145426</v>
      </c>
      <c r="D21296" t="s">
        <v>80178</v>
      </c>
      <c r="E21296" t="s">
        <v>80179</v>
      </c>
      <c r="F21296" t="s">
        <v>59297</v>
      </c>
      <c r="G21296" t="s">
        <v>13345</v>
      </c>
      <c r="H21296">
        <v>53763</v>
      </c>
      <c r="I21296" t="s">
        <v>2408</v>
      </c>
      <c r="J21296" t="s">
        <v>1004</v>
      </c>
      <c r="K21296" t="s">
        <v>163</v>
      </c>
      <c r="N21296" t="s">
        <v>3844</v>
      </c>
      <c r="Q21296">
        <v>0</v>
      </c>
      <c r="R21296">
        <v>0</v>
      </c>
      <c r="S21296">
        <v>0</v>
      </c>
      <c r="T21296" t="s">
        <v>80180</v>
      </c>
    </row>
    <row r="21297" spans="1:25" customFormat="1" ht="15" x14ac:dyDescent="0.25">
      <c r="A21297" t="s">
        <v>24</v>
      </c>
      <c r="B21297" t="s">
        <v>649</v>
      </c>
      <c r="C21297" t="str">
        <f>"A0162084"</f>
        <v>A0162084</v>
      </c>
      <c r="D21297" t="s">
        <v>80181</v>
      </c>
      <c r="E21297" t="s">
        <v>80182</v>
      </c>
      <c r="F21297" t="s">
        <v>845</v>
      </c>
      <c r="G21297" t="s">
        <v>846</v>
      </c>
      <c r="H21297">
        <v>30313</v>
      </c>
      <c r="I21297" t="s">
        <v>30</v>
      </c>
      <c r="J21297" t="s">
        <v>31</v>
      </c>
      <c r="K21297" t="s">
        <v>163</v>
      </c>
      <c r="N21297" t="s">
        <v>66318</v>
      </c>
      <c r="O21297" t="s">
        <v>80183</v>
      </c>
      <c r="Q21297">
        <v>0</v>
      </c>
      <c r="R21297">
        <v>195</v>
      </c>
      <c r="S21297">
        <v>0</v>
      </c>
      <c r="T21297" t="s">
        <v>192</v>
      </c>
    </row>
    <row r="21298" spans="1:25" x14ac:dyDescent="0.25">
      <c r="A21298" s="5" t="s">
        <v>24</v>
      </c>
      <c r="B21298" s="5" t="s">
        <v>2583</v>
      </c>
      <c r="C21298" s="5" t="str">
        <f>"A0098930"</f>
        <v>A0098930</v>
      </c>
      <c r="D21298" s="5" t="s">
        <v>73166</v>
      </c>
      <c r="E21298" s="5" t="s">
        <v>73167</v>
      </c>
      <c r="F21298" s="5" t="s">
        <v>6840</v>
      </c>
      <c r="G21298" s="5" t="s">
        <v>117</v>
      </c>
      <c r="H21298" s="5">
        <v>48108</v>
      </c>
      <c r="I21298" s="5" t="s">
        <v>30</v>
      </c>
      <c r="J21298" s="5" t="s">
        <v>171</v>
      </c>
      <c r="K21298" s="5" t="s">
        <v>1202</v>
      </c>
      <c r="L21298" s="5"/>
      <c r="M21298" s="5"/>
      <c r="N21298" s="5" t="s">
        <v>73168</v>
      </c>
      <c r="O21298" s="5" t="s">
        <v>73169</v>
      </c>
      <c r="P21298" s="5"/>
      <c r="Q21298" s="5">
        <v>0</v>
      </c>
      <c r="R21298" s="5">
        <v>142</v>
      </c>
      <c r="S21298" s="5">
        <v>0</v>
      </c>
      <c r="T21298" s="5" t="s">
        <v>73170</v>
      </c>
      <c r="U21298" s="5"/>
      <c r="V21298" s="5"/>
      <c r="W21298" s="5"/>
      <c r="X21298" s="5"/>
      <c r="Y21298" s="5"/>
    </row>
    <row r="21299" spans="1:25" customFormat="1" ht="15" x14ac:dyDescent="0.25">
      <c r="A21299" t="s">
        <v>24</v>
      </c>
      <c r="B21299" t="s">
        <v>35790</v>
      </c>
      <c r="C21299" t="str">
        <f>"A0095123"</f>
        <v>A0095123</v>
      </c>
      <c r="D21299" t="s">
        <v>73171</v>
      </c>
      <c r="E21299" t="s">
        <v>73172</v>
      </c>
      <c r="F21299" t="s">
        <v>1131</v>
      </c>
      <c r="G21299" t="s">
        <v>29</v>
      </c>
      <c r="H21299">
        <v>22201</v>
      </c>
      <c r="I21299" t="s">
        <v>30</v>
      </c>
      <c r="J21299" t="s">
        <v>171</v>
      </c>
      <c r="K21299" t="s">
        <v>1202</v>
      </c>
      <c r="N21299" t="s">
        <v>73173</v>
      </c>
      <c r="O21299" t="s">
        <v>73174</v>
      </c>
      <c r="Q21299">
        <v>0</v>
      </c>
      <c r="R21299">
        <v>161</v>
      </c>
      <c r="S21299">
        <v>0</v>
      </c>
      <c r="T21299" t="s">
        <v>73175</v>
      </c>
    </row>
    <row r="21300" spans="1:25" customFormat="1" ht="15" x14ac:dyDescent="0.25">
      <c r="A21300" t="s">
        <v>24</v>
      </c>
      <c r="B21300" t="s">
        <v>2360</v>
      </c>
      <c r="C21300" t="str">
        <f>"A0085929"</f>
        <v>A0085929</v>
      </c>
      <c r="D21300" t="s">
        <v>80193</v>
      </c>
      <c r="E21300" t="s">
        <v>80194</v>
      </c>
      <c r="F21300" t="s">
        <v>80195</v>
      </c>
      <c r="G21300" t="s">
        <v>899</v>
      </c>
      <c r="H21300">
        <v>2563</v>
      </c>
      <c r="I21300" t="s">
        <v>30</v>
      </c>
      <c r="J21300" t="s">
        <v>178</v>
      </c>
      <c r="K21300" t="s">
        <v>56092</v>
      </c>
      <c r="N21300" t="s">
        <v>80196</v>
      </c>
      <c r="Q21300">
        <v>1</v>
      </c>
      <c r="R21300">
        <v>0</v>
      </c>
      <c r="S21300">
        <v>0</v>
      </c>
      <c r="T21300" t="s">
        <v>80197</v>
      </c>
    </row>
    <row r="21301" spans="1:25" customFormat="1" ht="15" x14ac:dyDescent="0.25">
      <c r="A21301" t="s">
        <v>24</v>
      </c>
      <c r="B21301" t="s">
        <v>56488</v>
      </c>
      <c r="C21301" t="str">
        <f>"A0077996"</f>
        <v>A0077996</v>
      </c>
      <c r="D21301" t="s">
        <v>80198</v>
      </c>
      <c r="E21301" t="s">
        <v>80199</v>
      </c>
      <c r="F21301" t="s">
        <v>20911</v>
      </c>
      <c r="G21301" t="s">
        <v>52</v>
      </c>
      <c r="H21301">
        <v>75025</v>
      </c>
      <c r="I21301" t="s">
        <v>30</v>
      </c>
      <c r="J21301" t="s">
        <v>2415</v>
      </c>
      <c r="K21301" t="s">
        <v>179</v>
      </c>
      <c r="N21301" t="s">
        <v>80200</v>
      </c>
      <c r="Q21301">
        <v>1</v>
      </c>
      <c r="R21301">
        <v>0</v>
      </c>
      <c r="S21301">
        <v>0</v>
      </c>
      <c r="T21301" t="s">
        <v>80201</v>
      </c>
    </row>
    <row r="21302" spans="1:25" customFormat="1" ht="15" x14ac:dyDescent="0.25">
      <c r="A21302" t="s">
        <v>24</v>
      </c>
      <c r="B21302" t="s">
        <v>80202</v>
      </c>
      <c r="C21302" t="str">
        <f>"A0092419"</f>
        <v>A0092419</v>
      </c>
      <c r="D21302" t="s">
        <v>80203</v>
      </c>
      <c r="E21302" t="s">
        <v>80204</v>
      </c>
      <c r="F21302" t="s">
        <v>80205</v>
      </c>
      <c r="G21302" t="s">
        <v>381</v>
      </c>
      <c r="H21302">
        <v>47040</v>
      </c>
      <c r="I21302" t="s">
        <v>30</v>
      </c>
      <c r="J21302" t="s">
        <v>66248</v>
      </c>
      <c r="K21302" t="s">
        <v>163</v>
      </c>
      <c r="N21302" t="s">
        <v>80206</v>
      </c>
      <c r="O21302" t="s">
        <v>80207</v>
      </c>
      <c r="Q21302">
        <v>1</v>
      </c>
      <c r="R21302">
        <v>294</v>
      </c>
      <c r="S21302">
        <v>0</v>
      </c>
      <c r="T21302" t="s">
        <v>80208</v>
      </c>
    </row>
    <row r="21303" spans="1:25" hidden="1" x14ac:dyDescent="0.25">
      <c r="A21303" s="3" t="s">
        <v>24</v>
      </c>
      <c r="B21303" s="3" t="s">
        <v>675</v>
      </c>
      <c r="C21303" s="3" t="str">
        <f>"A0092450"</f>
        <v>A0092450</v>
      </c>
      <c r="D21303" s="3" t="s">
        <v>80209</v>
      </c>
      <c r="E21303" s="3" t="s">
        <v>80210</v>
      </c>
      <c r="F21303" s="3" t="s">
        <v>56212</v>
      </c>
      <c r="G21303" s="3" t="s">
        <v>56201</v>
      </c>
      <c r="I21303" s="3" t="s">
        <v>56202</v>
      </c>
      <c r="J21303" s="3" t="s">
        <v>206</v>
      </c>
      <c r="K21303" s="3" t="s">
        <v>680</v>
      </c>
      <c r="N21303" s="3" t="s">
        <v>80211</v>
      </c>
      <c r="Q21303" s="3">
        <v>0</v>
      </c>
      <c r="R21303" s="3">
        <v>320</v>
      </c>
      <c r="S21303" s="3">
        <v>0</v>
      </c>
      <c r="T21303" s="3" t="s">
        <v>80212</v>
      </c>
    </row>
    <row r="21304" spans="1:25" hidden="1" x14ac:dyDescent="0.25">
      <c r="A21304" s="3" t="s">
        <v>24</v>
      </c>
      <c r="B21304" s="3" t="s">
        <v>80213</v>
      </c>
      <c r="C21304" s="3" t="str">
        <f>"73R39"</f>
        <v>73R39</v>
      </c>
      <c r="D21304" s="3" t="s">
        <v>80214</v>
      </c>
      <c r="E21304" s="3" t="s">
        <v>80215</v>
      </c>
      <c r="F21304" s="3" t="s">
        <v>5438</v>
      </c>
      <c r="G21304" s="3" t="s">
        <v>5439</v>
      </c>
      <c r="H21304" s="3" t="s">
        <v>80216</v>
      </c>
      <c r="I21304" s="3" t="s">
        <v>1459</v>
      </c>
      <c r="J21304" s="3" t="s">
        <v>206</v>
      </c>
      <c r="K21304" s="3" t="s">
        <v>680</v>
      </c>
      <c r="N21304" s="3" t="s">
        <v>80217</v>
      </c>
      <c r="O21304" s="3" t="s">
        <v>80218</v>
      </c>
      <c r="Q21304" s="3">
        <v>0</v>
      </c>
      <c r="R21304" s="3">
        <v>129</v>
      </c>
      <c r="S21304" s="3">
        <v>0</v>
      </c>
      <c r="T21304" s="3" t="s">
        <v>80219</v>
      </c>
    </row>
    <row r="21305" spans="1:25" customFormat="1" ht="15" x14ac:dyDescent="0.25">
      <c r="A21305" t="s">
        <v>24</v>
      </c>
      <c r="B21305" t="s">
        <v>2360</v>
      </c>
      <c r="C21305" t="str">
        <f>"CL1075"</f>
        <v>CL1075</v>
      </c>
      <c r="D21305" t="s">
        <v>80220</v>
      </c>
      <c r="E21305" t="s">
        <v>80221</v>
      </c>
      <c r="F21305" t="s">
        <v>34750</v>
      </c>
      <c r="G21305" t="s">
        <v>29</v>
      </c>
      <c r="H21305">
        <v>20176</v>
      </c>
      <c r="I21305" t="s">
        <v>30</v>
      </c>
      <c r="J21305" t="s">
        <v>178</v>
      </c>
      <c r="K21305" t="s">
        <v>56092</v>
      </c>
      <c r="N21305" t="s">
        <v>80222</v>
      </c>
      <c r="P21305" t="s">
        <v>992</v>
      </c>
      <c r="Q21305">
        <v>1</v>
      </c>
      <c r="R21305">
        <v>0</v>
      </c>
      <c r="S21305">
        <v>0</v>
      </c>
      <c r="T21305" t="s">
        <v>80223</v>
      </c>
    </row>
    <row r="21306" spans="1:25" customFormat="1" ht="15" x14ac:dyDescent="0.25">
      <c r="A21306" t="s">
        <v>24</v>
      </c>
      <c r="B21306" t="s">
        <v>2360</v>
      </c>
      <c r="C21306" t="str">
        <f>"A0085358"</f>
        <v>A0085358</v>
      </c>
      <c r="D21306" t="s">
        <v>80224</v>
      </c>
      <c r="E21306" t="s">
        <v>80225</v>
      </c>
      <c r="F21306" t="s">
        <v>78966</v>
      </c>
      <c r="G21306" t="s">
        <v>846</v>
      </c>
      <c r="H21306">
        <v>31029</v>
      </c>
      <c r="I21306" t="s">
        <v>30</v>
      </c>
      <c r="J21306" t="s">
        <v>178</v>
      </c>
      <c r="K21306" t="s">
        <v>8013</v>
      </c>
      <c r="N21306" t="s">
        <v>33880</v>
      </c>
      <c r="Q21306">
        <v>1</v>
      </c>
      <c r="R21306">
        <v>0</v>
      </c>
      <c r="S21306">
        <v>0</v>
      </c>
      <c r="T21306" t="s">
        <v>80226</v>
      </c>
    </row>
    <row r="21307" spans="1:25" customFormat="1" ht="15" x14ac:dyDescent="0.25">
      <c r="A21307" t="s">
        <v>24</v>
      </c>
      <c r="B21307" t="s">
        <v>1156</v>
      </c>
      <c r="C21307" t="str">
        <f>"A0155665"</f>
        <v>A0155665</v>
      </c>
      <c r="D21307" t="s">
        <v>80227</v>
      </c>
      <c r="E21307" t="s">
        <v>80228</v>
      </c>
      <c r="F21307" t="s">
        <v>1159</v>
      </c>
      <c r="G21307" t="s">
        <v>58</v>
      </c>
      <c r="H21307">
        <v>29579</v>
      </c>
      <c r="I21307" t="s">
        <v>30</v>
      </c>
      <c r="J21307" t="s">
        <v>2544</v>
      </c>
      <c r="K21307" t="s">
        <v>163</v>
      </c>
      <c r="N21307" t="s">
        <v>80229</v>
      </c>
      <c r="O21307" t="s">
        <v>80230</v>
      </c>
      <c r="Q21307">
        <v>0</v>
      </c>
      <c r="R21307">
        <v>246</v>
      </c>
      <c r="S21307">
        <v>0</v>
      </c>
      <c r="T21307" t="s">
        <v>80231</v>
      </c>
    </row>
    <row r="21308" spans="1:25" customFormat="1" ht="15" x14ac:dyDescent="0.25">
      <c r="A21308" t="s">
        <v>24</v>
      </c>
      <c r="B21308" t="s">
        <v>6667</v>
      </c>
      <c r="C21308" t="str">
        <f>"CL1560"</f>
        <v>CL1560</v>
      </c>
      <c r="D21308" t="s">
        <v>80232</v>
      </c>
      <c r="E21308" t="s">
        <v>80233</v>
      </c>
      <c r="F21308" t="s">
        <v>372</v>
      </c>
      <c r="G21308" t="s">
        <v>52</v>
      </c>
      <c r="H21308">
        <v>78730</v>
      </c>
      <c r="I21308" t="s">
        <v>30</v>
      </c>
      <c r="J21308" t="s">
        <v>178</v>
      </c>
      <c r="K21308" t="s">
        <v>179</v>
      </c>
      <c r="N21308" t="s">
        <v>80234</v>
      </c>
      <c r="P21308" t="s">
        <v>992</v>
      </c>
      <c r="Q21308">
        <v>1</v>
      </c>
      <c r="R21308">
        <v>0</v>
      </c>
      <c r="S21308">
        <v>0</v>
      </c>
      <c r="T21308" t="s">
        <v>80235</v>
      </c>
    </row>
    <row r="21309" spans="1:25" customFormat="1" ht="15" x14ac:dyDescent="0.25">
      <c r="A21309" t="s">
        <v>24</v>
      </c>
      <c r="B21309" t="s">
        <v>56488</v>
      </c>
      <c r="C21309" t="str">
        <f>"A0085862"</f>
        <v>A0085862</v>
      </c>
      <c r="D21309" t="s">
        <v>80236</v>
      </c>
      <c r="E21309" t="s">
        <v>80237</v>
      </c>
      <c r="F21309" t="s">
        <v>2920</v>
      </c>
      <c r="G21309" t="s">
        <v>52</v>
      </c>
      <c r="H21309">
        <v>75019</v>
      </c>
      <c r="I21309" t="s">
        <v>30</v>
      </c>
      <c r="J21309" t="s">
        <v>2415</v>
      </c>
      <c r="K21309" t="s">
        <v>179</v>
      </c>
      <c r="Q21309">
        <v>1</v>
      </c>
      <c r="R21309">
        <v>0</v>
      </c>
      <c r="S21309">
        <v>0</v>
      </c>
      <c r="T21309" t="s">
        <v>80238</v>
      </c>
    </row>
    <row r="21310" spans="1:25" customFormat="1" ht="15" x14ac:dyDescent="0.25">
      <c r="A21310" t="s">
        <v>24</v>
      </c>
      <c r="B21310" t="s">
        <v>2360</v>
      </c>
      <c r="C21310" t="str">
        <f>"CL0654"</f>
        <v>CL0654</v>
      </c>
      <c r="D21310" t="s">
        <v>80239</v>
      </c>
      <c r="E21310" t="s">
        <v>80240</v>
      </c>
      <c r="F21310" t="s">
        <v>271</v>
      </c>
      <c r="G21310" t="s">
        <v>103</v>
      </c>
      <c r="H21310">
        <v>15219</v>
      </c>
      <c r="I21310" t="s">
        <v>30</v>
      </c>
      <c r="J21310" t="s">
        <v>2558</v>
      </c>
      <c r="K21310" t="s">
        <v>56092</v>
      </c>
      <c r="N21310" t="s">
        <v>80241</v>
      </c>
      <c r="O21310" t="s">
        <v>80242</v>
      </c>
      <c r="Q21310">
        <v>0</v>
      </c>
      <c r="R21310">
        <v>0</v>
      </c>
      <c r="S21310">
        <v>0</v>
      </c>
      <c r="T21310" t="s">
        <v>80243</v>
      </c>
    </row>
    <row r="21311" spans="1:25" customFormat="1" ht="15" x14ac:dyDescent="0.25">
      <c r="A21311" t="s">
        <v>24</v>
      </c>
      <c r="B21311" t="s">
        <v>73181</v>
      </c>
      <c r="C21311" t="str">
        <f>"A0098945"</f>
        <v>A0098945</v>
      </c>
      <c r="D21311" t="s">
        <v>73182</v>
      </c>
      <c r="E21311" t="s">
        <v>73183</v>
      </c>
      <c r="F21311" t="s">
        <v>3358</v>
      </c>
      <c r="G21311" t="s">
        <v>846</v>
      </c>
      <c r="H21311">
        <v>30601</v>
      </c>
      <c r="I21311" t="s">
        <v>30</v>
      </c>
      <c r="J21311" t="s">
        <v>171</v>
      </c>
      <c r="K21311" t="s">
        <v>1202</v>
      </c>
      <c r="N21311" t="s">
        <v>73184</v>
      </c>
      <c r="Q21311">
        <v>0</v>
      </c>
      <c r="R21311">
        <v>190</v>
      </c>
      <c r="S21311">
        <v>0</v>
      </c>
      <c r="T21311" t="s">
        <v>73185</v>
      </c>
    </row>
    <row r="21312" spans="1:25" customFormat="1" ht="15" x14ac:dyDescent="0.25">
      <c r="A21312" t="s">
        <v>24</v>
      </c>
      <c r="B21312" t="s">
        <v>72975</v>
      </c>
      <c r="C21312" t="str">
        <f>"A0153408"</f>
        <v>A0153408</v>
      </c>
      <c r="D21312" t="s">
        <v>73186</v>
      </c>
      <c r="E21312" t="s">
        <v>73187</v>
      </c>
      <c r="F21312" t="s">
        <v>845</v>
      </c>
      <c r="G21312" t="s">
        <v>846</v>
      </c>
      <c r="H21312">
        <v>30313</v>
      </c>
      <c r="I21312" t="s">
        <v>30</v>
      </c>
      <c r="J21312" t="s">
        <v>171</v>
      </c>
      <c r="K21312" t="s">
        <v>1202</v>
      </c>
      <c r="N21312" t="s">
        <v>73188</v>
      </c>
      <c r="Q21312">
        <v>0</v>
      </c>
      <c r="R21312">
        <v>176</v>
      </c>
      <c r="S21312">
        <v>0</v>
      </c>
      <c r="T21312" t="s">
        <v>73189</v>
      </c>
    </row>
    <row r="21313" spans="1:20" customFormat="1" ht="15" x14ac:dyDescent="0.25">
      <c r="A21313" t="s">
        <v>24</v>
      </c>
      <c r="B21313" t="s">
        <v>72975</v>
      </c>
      <c r="C21313" t="str">
        <f>"A0058632"</f>
        <v>A0058632</v>
      </c>
      <c r="D21313" t="s">
        <v>73190</v>
      </c>
      <c r="E21313" t="s">
        <v>73191</v>
      </c>
      <c r="F21313" t="s">
        <v>1233</v>
      </c>
      <c r="G21313" t="s">
        <v>846</v>
      </c>
      <c r="H21313">
        <v>30080</v>
      </c>
      <c r="I21313" t="s">
        <v>30</v>
      </c>
      <c r="J21313" t="s">
        <v>171</v>
      </c>
      <c r="K21313" t="s">
        <v>1202</v>
      </c>
      <c r="N21313" t="s">
        <v>73192</v>
      </c>
      <c r="Q21313">
        <v>0</v>
      </c>
      <c r="R21313">
        <v>125</v>
      </c>
      <c r="S21313">
        <v>0</v>
      </c>
      <c r="T21313" t="s">
        <v>73193</v>
      </c>
    </row>
    <row r="21314" spans="1:20" customFormat="1" ht="15" x14ac:dyDescent="0.25">
      <c r="A21314" t="s">
        <v>24</v>
      </c>
      <c r="B21314" t="s">
        <v>73194</v>
      </c>
      <c r="C21314" t="str">
        <f>"A0074890"</f>
        <v>A0074890</v>
      </c>
      <c r="D21314" t="s">
        <v>73195</v>
      </c>
      <c r="E21314" t="s">
        <v>73196</v>
      </c>
      <c r="F21314" t="s">
        <v>845</v>
      </c>
      <c r="G21314" t="s">
        <v>846</v>
      </c>
      <c r="H21314">
        <v>30308</v>
      </c>
      <c r="I21314" t="s">
        <v>30</v>
      </c>
      <c r="J21314" t="s">
        <v>171</v>
      </c>
      <c r="K21314" t="s">
        <v>1202</v>
      </c>
      <c r="Q21314">
        <v>0</v>
      </c>
      <c r="R21314">
        <v>94</v>
      </c>
      <c r="S21314">
        <v>0</v>
      </c>
      <c r="T21314" t="s">
        <v>73197</v>
      </c>
    </row>
    <row r="21315" spans="1:20" customFormat="1" ht="15" hidden="1" x14ac:dyDescent="0.25">
      <c r="A21315" t="s">
        <v>24</v>
      </c>
      <c r="B21315" t="s">
        <v>80264</v>
      </c>
      <c r="C21315" t="str">
        <f>"A0074400"</f>
        <v>A0074400</v>
      </c>
      <c r="D21315" t="s">
        <v>80265</v>
      </c>
      <c r="E21315" t="s">
        <v>80266</v>
      </c>
      <c r="F21315" t="s">
        <v>80267</v>
      </c>
      <c r="G21315" t="s">
        <v>58523</v>
      </c>
      <c r="H21315" t="s">
        <v>80268</v>
      </c>
      <c r="I21315" t="s">
        <v>1459</v>
      </c>
      <c r="J21315" t="s">
        <v>162</v>
      </c>
      <c r="K21315" t="s">
        <v>163</v>
      </c>
      <c r="N21315" t="s">
        <v>80269</v>
      </c>
      <c r="P21315" t="s">
        <v>3998</v>
      </c>
      <c r="Q21315">
        <v>0</v>
      </c>
      <c r="R21315">
        <v>131</v>
      </c>
      <c r="S21315">
        <v>0</v>
      </c>
      <c r="T21315" t="s">
        <v>80270</v>
      </c>
    </row>
    <row r="21316" spans="1:20" customFormat="1" ht="15" hidden="1" x14ac:dyDescent="0.25">
      <c r="A21316" t="s">
        <v>24</v>
      </c>
      <c r="B21316" t="s">
        <v>80264</v>
      </c>
      <c r="C21316" t="str">
        <f>"A0074401"</f>
        <v>A0074401</v>
      </c>
      <c r="D21316" t="s">
        <v>80271</v>
      </c>
      <c r="E21316" t="s">
        <v>80272</v>
      </c>
      <c r="F21316" t="s">
        <v>58522</v>
      </c>
      <c r="G21316" t="s">
        <v>58523</v>
      </c>
      <c r="H21316" t="s">
        <v>80273</v>
      </c>
      <c r="I21316" t="s">
        <v>1459</v>
      </c>
      <c r="J21316" t="s">
        <v>162</v>
      </c>
      <c r="K21316" t="s">
        <v>163</v>
      </c>
      <c r="N21316" t="s">
        <v>80274</v>
      </c>
      <c r="O21316" t="s">
        <v>80275</v>
      </c>
      <c r="Q21316">
        <v>0</v>
      </c>
      <c r="R21316">
        <v>115</v>
      </c>
      <c r="S21316">
        <v>0</v>
      </c>
      <c r="T21316" t="s">
        <v>80276</v>
      </c>
    </row>
    <row r="21317" spans="1:20" customFormat="1" ht="15" hidden="1" x14ac:dyDescent="0.25">
      <c r="A21317" t="s">
        <v>24</v>
      </c>
      <c r="B21317" t="s">
        <v>80264</v>
      </c>
      <c r="C21317" t="str">
        <f>"A0074404"</f>
        <v>A0074404</v>
      </c>
      <c r="D21317" t="s">
        <v>80277</v>
      </c>
      <c r="E21317" t="s">
        <v>80278</v>
      </c>
      <c r="F21317" t="s">
        <v>80279</v>
      </c>
      <c r="G21317" t="s">
        <v>58523</v>
      </c>
      <c r="H21317" t="s">
        <v>80280</v>
      </c>
      <c r="I21317" t="s">
        <v>1459</v>
      </c>
      <c r="J21317" t="s">
        <v>162</v>
      </c>
      <c r="K21317" t="s">
        <v>163</v>
      </c>
      <c r="P21317" t="s">
        <v>3998</v>
      </c>
      <c r="Q21317">
        <v>0</v>
      </c>
      <c r="R21317">
        <v>81</v>
      </c>
      <c r="S21317">
        <v>0</v>
      </c>
      <c r="T21317" t="s">
        <v>80281</v>
      </c>
    </row>
    <row r="21318" spans="1:20" customFormat="1" ht="15" hidden="1" x14ac:dyDescent="0.25">
      <c r="A21318" t="s">
        <v>24</v>
      </c>
      <c r="B21318" t="s">
        <v>80264</v>
      </c>
      <c r="C21318" t="str">
        <f>"A0074411"</f>
        <v>A0074411</v>
      </c>
      <c r="D21318" t="s">
        <v>80282</v>
      </c>
      <c r="E21318" t="s">
        <v>80283</v>
      </c>
      <c r="F21318" t="s">
        <v>58690</v>
      </c>
      <c r="G21318" t="s">
        <v>53283</v>
      </c>
      <c r="H21318" t="s">
        <v>80284</v>
      </c>
      <c r="I21318" t="s">
        <v>1459</v>
      </c>
      <c r="J21318" t="s">
        <v>162</v>
      </c>
      <c r="K21318" t="s">
        <v>163</v>
      </c>
      <c r="N21318" t="s">
        <v>80285</v>
      </c>
      <c r="Q21318">
        <v>0</v>
      </c>
      <c r="R21318">
        <v>138</v>
      </c>
      <c r="S21318">
        <v>0</v>
      </c>
      <c r="T21318" t="s">
        <v>80286</v>
      </c>
    </row>
    <row r="21319" spans="1:20" customFormat="1" ht="15" hidden="1" x14ac:dyDescent="0.25">
      <c r="A21319" t="s">
        <v>24</v>
      </c>
      <c r="B21319" t="s">
        <v>80264</v>
      </c>
      <c r="C21319" t="str">
        <f>"A0074407"</f>
        <v>A0074407</v>
      </c>
      <c r="D21319" t="s">
        <v>80287</v>
      </c>
      <c r="E21319" t="s">
        <v>80288</v>
      </c>
      <c r="F21319" t="s">
        <v>80289</v>
      </c>
      <c r="G21319" t="s">
        <v>15270</v>
      </c>
      <c r="H21319" t="s">
        <v>80290</v>
      </c>
      <c r="I21319" t="s">
        <v>1459</v>
      </c>
      <c r="J21319" t="s">
        <v>162</v>
      </c>
      <c r="K21319" t="s">
        <v>163</v>
      </c>
      <c r="N21319" t="s">
        <v>80291</v>
      </c>
      <c r="Q21319">
        <v>0</v>
      </c>
      <c r="R21319">
        <v>80</v>
      </c>
      <c r="S21319">
        <v>0</v>
      </c>
      <c r="T21319" t="s">
        <v>80292</v>
      </c>
    </row>
    <row r="21320" spans="1:20" customFormat="1" ht="15" hidden="1" x14ac:dyDescent="0.25">
      <c r="A21320" t="s">
        <v>24</v>
      </c>
      <c r="B21320" t="s">
        <v>80264</v>
      </c>
      <c r="C21320" t="str">
        <f>"A0074408"</f>
        <v>A0074408</v>
      </c>
      <c r="D21320" t="s">
        <v>80293</v>
      </c>
      <c r="E21320" t="s">
        <v>80294</v>
      </c>
      <c r="F21320" t="s">
        <v>15269</v>
      </c>
      <c r="G21320" t="s">
        <v>15270</v>
      </c>
      <c r="H21320" t="s">
        <v>80295</v>
      </c>
      <c r="I21320" t="s">
        <v>1459</v>
      </c>
      <c r="J21320" t="s">
        <v>31</v>
      </c>
      <c r="K21320" t="s">
        <v>163</v>
      </c>
      <c r="N21320" t="s">
        <v>80296</v>
      </c>
      <c r="Q21320">
        <v>0</v>
      </c>
      <c r="R21320">
        <v>97</v>
      </c>
      <c r="S21320">
        <v>0</v>
      </c>
      <c r="T21320" t="s">
        <v>80297</v>
      </c>
    </row>
    <row r="21321" spans="1:20" customFormat="1" ht="15" hidden="1" x14ac:dyDescent="0.25">
      <c r="A21321" t="s">
        <v>24</v>
      </c>
      <c r="B21321" t="s">
        <v>80264</v>
      </c>
      <c r="C21321" t="str">
        <f>"A0074402"</f>
        <v>A0074402</v>
      </c>
      <c r="D21321" t="s">
        <v>80298</v>
      </c>
      <c r="E21321" t="s">
        <v>80299</v>
      </c>
      <c r="F21321" t="s">
        <v>58522</v>
      </c>
      <c r="G21321" t="s">
        <v>58523</v>
      </c>
      <c r="H21321" t="s">
        <v>80300</v>
      </c>
      <c r="I21321" t="s">
        <v>1459</v>
      </c>
      <c r="J21321" t="s">
        <v>162</v>
      </c>
      <c r="K21321" t="s">
        <v>163</v>
      </c>
      <c r="Q21321">
        <v>0</v>
      </c>
      <c r="R21321">
        <v>121</v>
      </c>
      <c r="S21321">
        <v>0</v>
      </c>
      <c r="T21321" t="s">
        <v>80301</v>
      </c>
    </row>
    <row r="21322" spans="1:20" customFormat="1" ht="15" x14ac:dyDescent="0.25">
      <c r="A21322" t="s">
        <v>24</v>
      </c>
      <c r="B21322" t="s">
        <v>68697</v>
      </c>
      <c r="C21322" t="str">
        <f>"A0098340"</f>
        <v>A0098340</v>
      </c>
      <c r="D21322" t="s">
        <v>80302</v>
      </c>
      <c r="E21322" t="s">
        <v>80303</v>
      </c>
      <c r="F21322" t="s">
        <v>80304</v>
      </c>
      <c r="G21322" t="s">
        <v>221</v>
      </c>
      <c r="H21322">
        <v>89406</v>
      </c>
      <c r="I21322" t="s">
        <v>30</v>
      </c>
      <c r="J21322" t="s">
        <v>145</v>
      </c>
      <c r="K21322" t="s">
        <v>80305</v>
      </c>
      <c r="N21322" t="s">
        <v>77851</v>
      </c>
      <c r="O21322" t="s">
        <v>80306</v>
      </c>
      <c r="Q21322">
        <v>0</v>
      </c>
      <c r="R21322">
        <v>59</v>
      </c>
      <c r="S21322">
        <v>0</v>
      </c>
      <c r="T21322" t="s">
        <v>80307</v>
      </c>
    </row>
    <row r="21323" spans="1:20" customFormat="1" ht="15" x14ac:dyDescent="0.25">
      <c r="A21323" t="s">
        <v>24</v>
      </c>
      <c r="B21323" t="s">
        <v>62540</v>
      </c>
      <c r="C21323" t="str">
        <f>"A0095098"</f>
        <v>A0095098</v>
      </c>
      <c r="D21323" t="s">
        <v>80308</v>
      </c>
      <c r="E21323" t="s">
        <v>80309</v>
      </c>
      <c r="F21323" t="s">
        <v>56845</v>
      </c>
      <c r="G21323" t="s">
        <v>65</v>
      </c>
      <c r="H21323">
        <v>43026</v>
      </c>
      <c r="I21323" t="s">
        <v>30</v>
      </c>
      <c r="J21323" t="s">
        <v>145</v>
      </c>
      <c r="K21323" t="s">
        <v>80305</v>
      </c>
      <c r="N21323" t="s">
        <v>70616</v>
      </c>
      <c r="Q21323">
        <v>0</v>
      </c>
      <c r="R21323">
        <v>100</v>
      </c>
      <c r="S21323">
        <v>0</v>
      </c>
      <c r="T21323" t="s">
        <v>80310</v>
      </c>
    </row>
    <row r="21324" spans="1:20" customFormat="1" ht="15" x14ac:dyDescent="0.25">
      <c r="A21324" t="s">
        <v>24</v>
      </c>
      <c r="B21324" t="s">
        <v>6811</v>
      </c>
      <c r="C21324" t="str">
        <f>"A0055313"</f>
        <v>A0055313</v>
      </c>
      <c r="D21324" t="s">
        <v>80311</v>
      </c>
      <c r="E21324" t="s">
        <v>80312</v>
      </c>
      <c r="F21324" t="s">
        <v>33699</v>
      </c>
      <c r="G21324" t="s">
        <v>81</v>
      </c>
      <c r="H21324">
        <v>32084</v>
      </c>
      <c r="I21324" t="s">
        <v>30</v>
      </c>
      <c r="J21324" t="s">
        <v>145</v>
      </c>
      <c r="K21324" t="s">
        <v>163</v>
      </c>
      <c r="N21324" t="s">
        <v>6814</v>
      </c>
      <c r="Q21324">
        <v>0</v>
      </c>
      <c r="R21324">
        <v>49</v>
      </c>
      <c r="S21324">
        <v>0</v>
      </c>
      <c r="T21324" t="s">
        <v>80313</v>
      </c>
    </row>
    <row r="21325" spans="1:20" customFormat="1" ht="15" x14ac:dyDescent="0.25">
      <c r="A21325" t="s">
        <v>24</v>
      </c>
      <c r="B21325" t="s">
        <v>2360</v>
      </c>
      <c r="C21325" t="str">
        <f>"A0053754"</f>
        <v>A0053754</v>
      </c>
      <c r="D21325" t="s">
        <v>80314</v>
      </c>
      <c r="E21325" t="s">
        <v>80315</v>
      </c>
      <c r="F21325" t="s">
        <v>3818</v>
      </c>
      <c r="G21325" t="s">
        <v>289</v>
      </c>
      <c r="H21325">
        <v>60004</v>
      </c>
      <c r="I21325" t="s">
        <v>30</v>
      </c>
      <c r="J21325" t="s">
        <v>178</v>
      </c>
      <c r="K21325" t="s">
        <v>56092</v>
      </c>
      <c r="N21325" t="s">
        <v>80316</v>
      </c>
      <c r="O21325" t="s">
        <v>80317</v>
      </c>
      <c r="Q21325">
        <v>1</v>
      </c>
      <c r="R21325">
        <v>0</v>
      </c>
      <c r="S21325">
        <v>0</v>
      </c>
      <c r="T21325" t="s">
        <v>80318</v>
      </c>
    </row>
    <row r="21326" spans="1:20" customFormat="1" ht="15" x14ac:dyDescent="0.25">
      <c r="A21326" t="s">
        <v>24</v>
      </c>
      <c r="B21326" t="s">
        <v>80319</v>
      </c>
      <c r="C21326" t="str">
        <f>"A0051563"</f>
        <v>A0051563</v>
      </c>
      <c r="D21326" t="s">
        <v>80320</v>
      </c>
      <c r="E21326" t="s">
        <v>80321</v>
      </c>
      <c r="F21326" t="s">
        <v>3837</v>
      </c>
      <c r="G21326" t="s">
        <v>103</v>
      </c>
      <c r="H21326">
        <v>19064</v>
      </c>
      <c r="I21326" t="s">
        <v>30</v>
      </c>
      <c r="J21326" t="s">
        <v>178</v>
      </c>
      <c r="K21326" t="s">
        <v>179</v>
      </c>
      <c r="N21326" t="s">
        <v>80322</v>
      </c>
      <c r="Q21326">
        <v>0</v>
      </c>
      <c r="R21326">
        <v>0</v>
      </c>
      <c r="S21326">
        <v>0</v>
      </c>
      <c r="T21326" t="s">
        <v>80323</v>
      </c>
    </row>
    <row r="21327" spans="1:20" customFormat="1" ht="15" x14ac:dyDescent="0.25">
      <c r="A21327" t="s">
        <v>24</v>
      </c>
      <c r="B21327" t="s">
        <v>1138</v>
      </c>
      <c r="C21327" t="str">
        <f>"A0148754"</f>
        <v>A0148754</v>
      </c>
      <c r="D21327" t="s">
        <v>80324</v>
      </c>
      <c r="E21327" t="s">
        <v>80325</v>
      </c>
      <c r="F21327" t="s">
        <v>67686</v>
      </c>
      <c r="G21327" t="s">
        <v>110</v>
      </c>
      <c r="H21327">
        <v>95678</v>
      </c>
      <c r="I21327" t="s">
        <v>30</v>
      </c>
      <c r="J21327" t="s">
        <v>31</v>
      </c>
      <c r="K21327" t="s">
        <v>261</v>
      </c>
      <c r="N21327" t="s">
        <v>80326</v>
      </c>
      <c r="O21327" t="s">
        <v>80327</v>
      </c>
      <c r="Q21327">
        <v>0</v>
      </c>
      <c r="R21327">
        <v>107</v>
      </c>
      <c r="S21327">
        <v>0</v>
      </c>
      <c r="T21327" t="s">
        <v>80328</v>
      </c>
    </row>
    <row r="21328" spans="1:20" hidden="1" x14ac:dyDescent="0.25">
      <c r="A21328" s="3" t="s">
        <v>24</v>
      </c>
      <c r="B21328" s="3" t="s">
        <v>6635</v>
      </c>
      <c r="C21328" s="3" t="str">
        <f>"397F9"</f>
        <v>397F9</v>
      </c>
      <c r="D21328" s="3" t="s">
        <v>80329</v>
      </c>
      <c r="E21328" s="3" t="s">
        <v>80330</v>
      </c>
      <c r="F21328" s="3" t="s">
        <v>80331</v>
      </c>
      <c r="G21328" s="3" t="s">
        <v>14186</v>
      </c>
      <c r="H21328" s="3" t="s">
        <v>80332</v>
      </c>
      <c r="I21328" s="3" t="s">
        <v>14187</v>
      </c>
      <c r="J21328" s="3" t="s">
        <v>206</v>
      </c>
      <c r="K21328" s="3" t="s">
        <v>6641</v>
      </c>
      <c r="N21328" s="3" t="s">
        <v>80333</v>
      </c>
      <c r="O21328" s="3" t="s">
        <v>80334</v>
      </c>
      <c r="Q21328" s="3">
        <v>0</v>
      </c>
      <c r="R21328" s="3">
        <v>88</v>
      </c>
      <c r="S21328" s="3">
        <v>0</v>
      </c>
      <c r="T21328" s="3" t="s">
        <v>80335</v>
      </c>
    </row>
    <row r="21329" spans="1:25" hidden="1" x14ac:dyDescent="0.25">
      <c r="A21329" s="3" t="s">
        <v>24</v>
      </c>
      <c r="B21329" s="3" t="s">
        <v>6635</v>
      </c>
      <c r="C21329" s="3" t="str">
        <f>"A0089610"</f>
        <v>A0089610</v>
      </c>
      <c r="D21329" s="3" t="s">
        <v>80336</v>
      </c>
      <c r="E21329" s="3" t="s">
        <v>80337</v>
      </c>
      <c r="F21329" s="3" t="s">
        <v>2269</v>
      </c>
      <c r="G21329" s="3" t="s">
        <v>2270</v>
      </c>
      <c r="H21329" s="3" t="s">
        <v>80338</v>
      </c>
      <c r="I21329" s="3" t="s">
        <v>1459</v>
      </c>
      <c r="J21329" s="3" t="s">
        <v>206</v>
      </c>
      <c r="K21329" s="3" t="s">
        <v>163</v>
      </c>
      <c r="N21329" s="3" t="s">
        <v>80339</v>
      </c>
      <c r="Q21329" s="3">
        <v>0</v>
      </c>
      <c r="R21329" s="3">
        <v>156</v>
      </c>
      <c r="S21329" s="3">
        <v>0</v>
      </c>
      <c r="T21329" s="3" t="s">
        <v>80340</v>
      </c>
    </row>
    <row r="21330" spans="1:25" x14ac:dyDescent="0.25">
      <c r="A21330" s="5" t="s">
        <v>24</v>
      </c>
      <c r="B21330" s="5" t="s">
        <v>72975</v>
      </c>
      <c r="C21330" s="5" t="str">
        <f>"A0055045"</f>
        <v>A0055045</v>
      </c>
      <c r="D21330" s="5" t="s">
        <v>73198</v>
      </c>
      <c r="E21330" s="5" t="s">
        <v>73199</v>
      </c>
      <c r="F21330" s="5" t="s">
        <v>3024</v>
      </c>
      <c r="G21330" s="5" t="s">
        <v>846</v>
      </c>
      <c r="H21330" s="5">
        <v>30337</v>
      </c>
      <c r="I21330" s="5" t="s">
        <v>30</v>
      </c>
      <c r="J21330" s="5" t="s">
        <v>171</v>
      </c>
      <c r="K21330" s="5" t="s">
        <v>1202</v>
      </c>
      <c r="L21330" s="5"/>
      <c r="M21330" s="5"/>
      <c r="N21330" s="5" t="s">
        <v>73200</v>
      </c>
      <c r="O21330" s="5"/>
      <c r="P21330" s="5"/>
      <c r="Q21330" s="5">
        <v>0</v>
      </c>
      <c r="R21330" s="5">
        <v>125</v>
      </c>
      <c r="S21330" s="5">
        <v>0</v>
      </c>
      <c r="T21330" s="5" t="s">
        <v>73201</v>
      </c>
      <c r="U21330" s="5"/>
      <c r="V21330" s="5"/>
      <c r="W21330" s="5"/>
      <c r="X21330" s="5"/>
      <c r="Y21330" s="5"/>
    </row>
    <row r="21331" spans="1:25" hidden="1" x14ac:dyDescent="0.25">
      <c r="A21331" s="3" t="s">
        <v>24</v>
      </c>
      <c r="B21331" s="3" t="s">
        <v>6635</v>
      </c>
      <c r="C21331" s="3" t="str">
        <f>"A0089612"</f>
        <v>A0089612</v>
      </c>
      <c r="D21331" s="3" t="s">
        <v>80346</v>
      </c>
      <c r="E21331" s="3" t="s">
        <v>80347</v>
      </c>
      <c r="F21331" s="3" t="s">
        <v>80348</v>
      </c>
      <c r="G21331" s="3" t="s">
        <v>77364</v>
      </c>
      <c r="H21331" s="3" t="s">
        <v>80349</v>
      </c>
      <c r="I21331" s="3" t="s">
        <v>4144</v>
      </c>
      <c r="J21331" s="3" t="s">
        <v>206</v>
      </c>
      <c r="K21331" s="3" t="s">
        <v>6641</v>
      </c>
      <c r="N21331" s="3" t="s">
        <v>74272</v>
      </c>
      <c r="Q21331" s="3">
        <v>0</v>
      </c>
      <c r="R21331" s="3">
        <v>106</v>
      </c>
      <c r="S21331" s="3">
        <v>0</v>
      </c>
      <c r="T21331" s="3" t="s">
        <v>80350</v>
      </c>
    </row>
    <row r="21332" spans="1:25" x14ac:dyDescent="0.25">
      <c r="A21332" s="5" t="s">
        <v>24</v>
      </c>
      <c r="B21332" s="5" t="s">
        <v>72975</v>
      </c>
      <c r="C21332" s="5" t="str">
        <f>"A0058623"</f>
        <v>A0058623</v>
      </c>
      <c r="D21332" s="5" t="s">
        <v>73202</v>
      </c>
      <c r="E21332" s="5" t="s">
        <v>73203</v>
      </c>
      <c r="F21332" s="5" t="s">
        <v>845</v>
      </c>
      <c r="G21332" s="5" t="s">
        <v>846</v>
      </c>
      <c r="H21332" s="5">
        <v>30305</v>
      </c>
      <c r="I21332" s="5" t="s">
        <v>30</v>
      </c>
      <c r="J21332" s="5" t="s">
        <v>171</v>
      </c>
      <c r="K21332" s="5" t="s">
        <v>1202</v>
      </c>
      <c r="L21332" s="5"/>
      <c r="M21332" s="5"/>
      <c r="N21332" s="5" t="s">
        <v>73204</v>
      </c>
      <c r="O21332" s="5" t="s">
        <v>73205</v>
      </c>
      <c r="P21332" s="5"/>
      <c r="Q21332" s="5">
        <v>0</v>
      </c>
      <c r="R21332" s="5">
        <v>172</v>
      </c>
      <c r="S21332" s="5">
        <v>0</v>
      </c>
      <c r="T21332" s="5" t="s">
        <v>73206</v>
      </c>
      <c r="U21332" s="5"/>
      <c r="V21332" s="5"/>
      <c r="W21332" s="5"/>
      <c r="X21332" s="5"/>
      <c r="Y21332" s="5"/>
    </row>
    <row r="21333" spans="1:25" hidden="1" x14ac:dyDescent="0.25">
      <c r="A21333" s="3" t="s">
        <v>24</v>
      </c>
      <c r="B21333" s="3" t="s">
        <v>6635</v>
      </c>
      <c r="C21333" s="3" t="str">
        <f>"A0089614"</f>
        <v>A0089614</v>
      </c>
      <c r="D21333" s="3" t="s">
        <v>80356</v>
      </c>
      <c r="E21333" s="3" t="s">
        <v>80357</v>
      </c>
      <c r="F21333" s="3" t="s">
        <v>56035</v>
      </c>
      <c r="G21333" s="3" t="s">
        <v>5424</v>
      </c>
      <c r="H21333" s="3">
        <v>77710</v>
      </c>
      <c r="I21333" s="3" t="s">
        <v>2408</v>
      </c>
      <c r="J21333" s="3" t="s">
        <v>206</v>
      </c>
      <c r="K21333" s="3" t="s">
        <v>6641</v>
      </c>
      <c r="N21333" s="3" t="s">
        <v>80358</v>
      </c>
      <c r="O21333" s="3" t="s">
        <v>80359</v>
      </c>
      <c r="Q21333" s="3">
        <v>0</v>
      </c>
      <c r="R21333" s="3">
        <v>129</v>
      </c>
      <c r="S21333" s="3">
        <v>0</v>
      </c>
      <c r="T21333" s="3" t="s">
        <v>80360</v>
      </c>
    </row>
    <row r="21334" spans="1:25" hidden="1" x14ac:dyDescent="0.25">
      <c r="A21334" s="3" t="s">
        <v>24</v>
      </c>
      <c r="B21334" s="3" t="s">
        <v>6635</v>
      </c>
      <c r="C21334" s="3" t="str">
        <f>"A0089615"</f>
        <v>A0089615</v>
      </c>
      <c r="D21334" s="3" t="s">
        <v>80361</v>
      </c>
      <c r="E21334" s="3" t="s">
        <v>80362</v>
      </c>
      <c r="F21334" s="3" t="s">
        <v>80363</v>
      </c>
      <c r="G21334" s="3" t="s">
        <v>4528</v>
      </c>
      <c r="H21334" s="3">
        <v>37700</v>
      </c>
      <c r="I21334" s="3" t="s">
        <v>2408</v>
      </c>
      <c r="J21334" s="3" t="s">
        <v>206</v>
      </c>
      <c r="K21334" s="3" t="s">
        <v>6641</v>
      </c>
      <c r="N21334" s="3" t="s">
        <v>80364</v>
      </c>
      <c r="O21334" s="3" t="s">
        <v>80365</v>
      </c>
      <c r="Q21334" s="3">
        <v>0</v>
      </c>
      <c r="R21334" s="3">
        <v>67</v>
      </c>
      <c r="S21334" s="3">
        <v>0</v>
      </c>
      <c r="T21334" s="3" t="s">
        <v>80366</v>
      </c>
    </row>
    <row r="21335" spans="1:25" x14ac:dyDescent="0.25">
      <c r="A21335" s="5" t="s">
        <v>24</v>
      </c>
      <c r="B21335" s="5" t="s">
        <v>3343</v>
      </c>
      <c r="C21335" s="5" t="str">
        <f>"A0098803"</f>
        <v>A0098803</v>
      </c>
      <c r="D21335" s="5" t="s">
        <v>73207</v>
      </c>
      <c r="E21335" s="5" t="s">
        <v>73208</v>
      </c>
      <c r="F21335" s="5" t="s">
        <v>372</v>
      </c>
      <c r="G21335" s="5" t="s">
        <v>52</v>
      </c>
      <c r="H21335" s="5">
        <v>78719</v>
      </c>
      <c r="I21335" s="5" t="s">
        <v>30</v>
      </c>
      <c r="J21335" s="5" t="s">
        <v>171</v>
      </c>
      <c r="K21335" s="5" t="s">
        <v>1202</v>
      </c>
      <c r="L21335" s="5"/>
      <c r="M21335" s="5"/>
      <c r="N21335" s="5" t="s">
        <v>73209</v>
      </c>
      <c r="O21335" s="5" t="s">
        <v>73210</v>
      </c>
      <c r="P21335" s="5"/>
      <c r="Q21335" s="5">
        <v>0</v>
      </c>
      <c r="R21335" s="5">
        <v>139</v>
      </c>
      <c r="S21335" s="5">
        <v>0</v>
      </c>
      <c r="T21335" s="5" t="s">
        <v>73211</v>
      </c>
      <c r="U21335" s="5"/>
      <c r="V21335" s="5"/>
      <c r="W21335" s="5"/>
      <c r="X21335" s="5"/>
      <c r="Y21335" s="5"/>
    </row>
    <row r="21336" spans="1:25" customFormat="1" ht="15" hidden="1" x14ac:dyDescent="0.25">
      <c r="A21336" t="s">
        <v>24</v>
      </c>
      <c r="B21336" t="s">
        <v>57940</v>
      </c>
      <c r="C21336" t="str">
        <f>"A0083152"</f>
        <v>A0083152</v>
      </c>
      <c r="D21336" t="s">
        <v>80372</v>
      </c>
      <c r="E21336" t="s">
        <v>80373</v>
      </c>
      <c r="F21336" t="s">
        <v>80374</v>
      </c>
      <c r="G21336" t="s">
        <v>1457</v>
      </c>
      <c r="H21336" t="s">
        <v>57943</v>
      </c>
      <c r="I21336" t="s">
        <v>1459</v>
      </c>
      <c r="J21336" t="s">
        <v>162</v>
      </c>
      <c r="K21336" t="s">
        <v>163</v>
      </c>
      <c r="N21336" t="s">
        <v>57945</v>
      </c>
      <c r="O21336" t="s">
        <v>57944</v>
      </c>
      <c r="Q21336">
        <v>0</v>
      </c>
      <c r="R21336">
        <v>99</v>
      </c>
      <c r="S21336">
        <v>0</v>
      </c>
      <c r="T21336" t="s">
        <v>80375</v>
      </c>
    </row>
    <row r="21337" spans="1:25" customFormat="1" ht="15" hidden="1" x14ac:dyDescent="0.25">
      <c r="A21337" t="s">
        <v>24</v>
      </c>
      <c r="B21337" t="s">
        <v>4799</v>
      </c>
      <c r="C21337" t="str">
        <f>"A0157904"</f>
        <v>A0157904</v>
      </c>
      <c r="D21337" t="s">
        <v>80376</v>
      </c>
      <c r="E21337" t="s">
        <v>80377</v>
      </c>
      <c r="F21337" t="s">
        <v>80378</v>
      </c>
      <c r="G21337" t="s">
        <v>5862</v>
      </c>
      <c r="H21337">
        <v>63732</v>
      </c>
      <c r="I21337" t="s">
        <v>2408</v>
      </c>
      <c r="J21337" t="s">
        <v>162</v>
      </c>
      <c r="K21337" t="s">
        <v>4839</v>
      </c>
      <c r="N21337" t="s">
        <v>80379</v>
      </c>
      <c r="Q21337">
        <v>0</v>
      </c>
      <c r="R21337">
        <v>620</v>
      </c>
      <c r="S21337">
        <v>0</v>
      </c>
      <c r="T21337" t="s">
        <v>80380</v>
      </c>
    </row>
    <row r="21338" spans="1:25" customFormat="1" ht="15" hidden="1" x14ac:dyDescent="0.25">
      <c r="A21338" t="s">
        <v>24</v>
      </c>
      <c r="B21338" t="s">
        <v>4799</v>
      </c>
      <c r="C21338" t="str">
        <f>"A0157902"</f>
        <v>A0157902</v>
      </c>
      <c r="D21338" t="s">
        <v>80381</v>
      </c>
      <c r="E21338" t="s">
        <v>80382</v>
      </c>
      <c r="F21338" t="s">
        <v>5332</v>
      </c>
      <c r="G21338" t="s">
        <v>2407</v>
      </c>
      <c r="H21338">
        <v>23400</v>
      </c>
      <c r="I21338" t="s">
        <v>2408</v>
      </c>
      <c r="J21338" t="s">
        <v>162</v>
      </c>
      <c r="K21338" t="s">
        <v>4839</v>
      </c>
      <c r="N21338" t="s">
        <v>80383</v>
      </c>
      <c r="Q21338">
        <v>0</v>
      </c>
      <c r="R21338">
        <v>153</v>
      </c>
      <c r="S21338">
        <v>0</v>
      </c>
      <c r="T21338" t="s">
        <v>80384</v>
      </c>
    </row>
    <row r="21339" spans="1:25" x14ac:dyDescent="0.25">
      <c r="A21339" s="5" t="s">
        <v>24</v>
      </c>
      <c r="B21339" s="5" t="s">
        <v>1849</v>
      </c>
      <c r="C21339" s="5" t="str">
        <f>"A0056909"</f>
        <v>A0056909</v>
      </c>
      <c r="D21339" s="5" t="s">
        <v>73212</v>
      </c>
      <c r="E21339" s="5" t="s">
        <v>73213</v>
      </c>
      <c r="F21339" s="5" t="s">
        <v>372</v>
      </c>
      <c r="G21339" s="5" t="s">
        <v>52</v>
      </c>
      <c r="H21339" s="5">
        <v>78759</v>
      </c>
      <c r="I21339" s="5" t="s">
        <v>30</v>
      </c>
      <c r="J21339" s="5" t="s">
        <v>171</v>
      </c>
      <c r="K21339" s="5" t="s">
        <v>1202</v>
      </c>
      <c r="L21339" s="5"/>
      <c r="M21339" s="5"/>
      <c r="N21339" s="5" t="s">
        <v>73214</v>
      </c>
      <c r="O21339" s="5" t="s">
        <v>73215</v>
      </c>
      <c r="P21339" s="5"/>
      <c r="Q21339" s="5">
        <v>0</v>
      </c>
      <c r="R21339" s="5">
        <v>127</v>
      </c>
      <c r="S21339" s="5">
        <v>0</v>
      </c>
      <c r="T21339" s="5" t="s">
        <v>73216</v>
      </c>
      <c r="U21339" s="5"/>
      <c r="V21339" s="5"/>
      <c r="W21339" s="5"/>
      <c r="X21339" s="5"/>
      <c r="Y21339" s="5"/>
    </row>
    <row r="21340" spans="1:25" customFormat="1" ht="15" x14ac:dyDescent="0.25">
      <c r="A21340" t="s">
        <v>24</v>
      </c>
      <c r="B21340" t="s">
        <v>1487</v>
      </c>
      <c r="C21340" t="str">
        <f>"A0089927"</f>
        <v>A0089927</v>
      </c>
      <c r="D21340" t="s">
        <v>73217</v>
      </c>
      <c r="E21340" t="s">
        <v>73218</v>
      </c>
      <c r="F21340" t="s">
        <v>372</v>
      </c>
      <c r="G21340" t="s">
        <v>52</v>
      </c>
      <c r="H21340">
        <v>78701</v>
      </c>
      <c r="I21340" t="s">
        <v>30</v>
      </c>
      <c r="J21340" t="s">
        <v>171</v>
      </c>
      <c r="K21340" t="s">
        <v>1202</v>
      </c>
      <c r="N21340" t="s">
        <v>73219</v>
      </c>
      <c r="O21340" t="s">
        <v>73220</v>
      </c>
      <c r="Q21340">
        <v>0</v>
      </c>
      <c r="R21340">
        <v>290</v>
      </c>
      <c r="S21340">
        <v>0</v>
      </c>
      <c r="T21340" t="s">
        <v>73221</v>
      </c>
    </row>
    <row r="21341" spans="1:25" customFormat="1" ht="15" x14ac:dyDescent="0.25">
      <c r="A21341" t="s">
        <v>24</v>
      </c>
      <c r="B21341" t="s">
        <v>5166</v>
      </c>
      <c r="C21341" t="str">
        <f>"A0088956"</f>
        <v>A0088956</v>
      </c>
      <c r="D21341" t="s">
        <v>73222</v>
      </c>
      <c r="E21341" t="s">
        <v>73223</v>
      </c>
      <c r="F21341" t="s">
        <v>7455</v>
      </c>
      <c r="G21341" t="s">
        <v>123</v>
      </c>
      <c r="H21341">
        <v>21201</v>
      </c>
      <c r="I21341" t="s">
        <v>30</v>
      </c>
      <c r="J21341" t="s">
        <v>171</v>
      </c>
      <c r="K21341" t="s">
        <v>1202</v>
      </c>
      <c r="N21341" t="s">
        <v>72266</v>
      </c>
      <c r="O21341" t="s">
        <v>73224</v>
      </c>
      <c r="Q21341">
        <v>0</v>
      </c>
      <c r="R21341">
        <v>208</v>
      </c>
      <c r="S21341">
        <v>0</v>
      </c>
      <c r="T21341" t="s">
        <v>73225</v>
      </c>
    </row>
    <row r="21342" spans="1:25" customFormat="1" ht="15" x14ac:dyDescent="0.25">
      <c r="A21342" t="s">
        <v>24</v>
      </c>
      <c r="B21342" t="s">
        <v>3502</v>
      </c>
      <c r="C21342" t="str">
        <f>"A0058609"</f>
        <v>A0058609</v>
      </c>
      <c r="D21342" t="s">
        <v>73226</v>
      </c>
      <c r="E21342" t="s">
        <v>73227</v>
      </c>
      <c r="F21342" t="s">
        <v>34979</v>
      </c>
      <c r="G21342" t="s">
        <v>1170</v>
      </c>
      <c r="H21342">
        <v>70809</v>
      </c>
      <c r="I21342" t="s">
        <v>30</v>
      </c>
      <c r="J21342" t="s">
        <v>171</v>
      </c>
      <c r="K21342" t="s">
        <v>1202</v>
      </c>
      <c r="N21342" t="s">
        <v>73228</v>
      </c>
      <c r="Q21342">
        <v>0</v>
      </c>
      <c r="R21342">
        <v>128</v>
      </c>
      <c r="S21342">
        <v>0</v>
      </c>
      <c r="T21342" t="s">
        <v>73229</v>
      </c>
    </row>
    <row r="21343" spans="1:25" customFormat="1" ht="15" x14ac:dyDescent="0.25">
      <c r="A21343" t="s">
        <v>24</v>
      </c>
      <c r="B21343" t="s">
        <v>5830</v>
      </c>
      <c r="C21343" t="str">
        <f>"A0087089"</f>
        <v>A0087089</v>
      </c>
      <c r="D21343" t="s">
        <v>73230</v>
      </c>
      <c r="E21343" t="s">
        <v>73231</v>
      </c>
      <c r="F21343" t="s">
        <v>54989</v>
      </c>
      <c r="G21343" t="s">
        <v>103</v>
      </c>
      <c r="H21343">
        <v>18018</v>
      </c>
      <c r="I21343" t="s">
        <v>30</v>
      </c>
      <c r="J21343" t="s">
        <v>171</v>
      </c>
      <c r="K21343" t="s">
        <v>1202</v>
      </c>
      <c r="N21343" t="s">
        <v>73232</v>
      </c>
      <c r="O21343" t="s">
        <v>73233</v>
      </c>
      <c r="Q21343">
        <v>0</v>
      </c>
      <c r="R21343">
        <v>124</v>
      </c>
      <c r="S21343">
        <v>0</v>
      </c>
      <c r="T21343" t="s">
        <v>73234</v>
      </c>
    </row>
    <row r="21344" spans="1:25" customFormat="1" ht="15" x14ac:dyDescent="0.25">
      <c r="A21344" t="s">
        <v>24</v>
      </c>
      <c r="B21344" t="s">
        <v>2180</v>
      </c>
      <c r="C21344" t="str">
        <f>"A0096982"</f>
        <v>A0096982</v>
      </c>
      <c r="D21344" t="s">
        <v>73235</v>
      </c>
      <c r="E21344" t="s">
        <v>73236</v>
      </c>
      <c r="F21344" t="s">
        <v>63025</v>
      </c>
      <c r="G21344" t="s">
        <v>1369</v>
      </c>
      <c r="H21344">
        <v>39530</v>
      </c>
      <c r="I21344" t="s">
        <v>30</v>
      </c>
      <c r="J21344" t="s">
        <v>171</v>
      </c>
      <c r="K21344" t="s">
        <v>1202</v>
      </c>
      <c r="N21344" t="s">
        <v>73237</v>
      </c>
      <c r="Q21344">
        <v>0</v>
      </c>
      <c r="R21344">
        <v>114</v>
      </c>
      <c r="S21344">
        <v>0</v>
      </c>
      <c r="T21344" t="s">
        <v>73238</v>
      </c>
    </row>
    <row r="21345" spans="1:25" customFormat="1" ht="15" x14ac:dyDescent="0.25">
      <c r="A21345" t="s">
        <v>24</v>
      </c>
      <c r="B21345" t="s">
        <v>3159</v>
      </c>
      <c r="C21345" t="str">
        <f>"A0099015"</f>
        <v>A0099015</v>
      </c>
      <c r="D21345" t="s">
        <v>73239</v>
      </c>
      <c r="E21345" t="s">
        <v>73240</v>
      </c>
      <c r="F21345" t="s">
        <v>2958</v>
      </c>
      <c r="G21345" t="s">
        <v>29</v>
      </c>
      <c r="H21345">
        <v>24060</v>
      </c>
      <c r="I21345" t="s">
        <v>30</v>
      </c>
      <c r="J21345" t="s">
        <v>171</v>
      </c>
      <c r="K21345" t="s">
        <v>1202</v>
      </c>
      <c r="N21345" t="s">
        <v>73241</v>
      </c>
      <c r="O21345" t="s">
        <v>73242</v>
      </c>
      <c r="Q21345">
        <v>0</v>
      </c>
      <c r="R21345">
        <v>123</v>
      </c>
      <c r="S21345">
        <v>0</v>
      </c>
      <c r="T21345" t="s">
        <v>73243</v>
      </c>
    </row>
    <row r="21346" spans="1:25" customFormat="1" ht="15" x14ac:dyDescent="0.25">
      <c r="A21346" t="s">
        <v>24</v>
      </c>
      <c r="B21346" t="s">
        <v>6667</v>
      </c>
      <c r="C21346" t="str">
        <f>"A0049806"</f>
        <v>A0049806</v>
      </c>
      <c r="D21346" t="s">
        <v>80417</v>
      </c>
      <c r="E21346" t="s">
        <v>80418</v>
      </c>
      <c r="F21346" t="s">
        <v>7495</v>
      </c>
      <c r="G21346" t="s">
        <v>110</v>
      </c>
      <c r="H21346">
        <v>94566</v>
      </c>
      <c r="I21346" t="s">
        <v>30</v>
      </c>
      <c r="J21346" t="s">
        <v>178</v>
      </c>
      <c r="K21346" t="s">
        <v>6667</v>
      </c>
      <c r="N21346" t="s">
        <v>80419</v>
      </c>
      <c r="Q21346">
        <v>1</v>
      </c>
      <c r="R21346">
        <v>0</v>
      </c>
      <c r="S21346">
        <v>0</v>
      </c>
      <c r="T21346" t="s">
        <v>80420</v>
      </c>
    </row>
    <row r="21347" spans="1:25" customFormat="1" ht="15" x14ac:dyDescent="0.25">
      <c r="A21347" t="s">
        <v>24</v>
      </c>
      <c r="B21347" t="s">
        <v>6667</v>
      </c>
      <c r="C21347" t="str">
        <f>"A0085894"</f>
        <v>A0085894</v>
      </c>
      <c r="D21347" t="s">
        <v>80421</v>
      </c>
      <c r="E21347" t="s">
        <v>80422</v>
      </c>
      <c r="F21347" t="s">
        <v>80423</v>
      </c>
      <c r="G21347" t="s">
        <v>289</v>
      </c>
      <c r="H21347">
        <v>60439</v>
      </c>
      <c r="I21347" t="s">
        <v>30</v>
      </c>
      <c r="J21347" t="s">
        <v>178</v>
      </c>
      <c r="K21347" t="s">
        <v>6667</v>
      </c>
      <c r="N21347" t="s">
        <v>80424</v>
      </c>
      <c r="Q21347">
        <v>0</v>
      </c>
      <c r="R21347">
        <v>0</v>
      </c>
      <c r="S21347">
        <v>0</v>
      </c>
      <c r="T21347" t="s">
        <v>80425</v>
      </c>
    </row>
    <row r="21348" spans="1:25" x14ac:dyDescent="0.25">
      <c r="A21348" s="5" t="s">
        <v>24</v>
      </c>
      <c r="B21348" s="5" t="s">
        <v>1487</v>
      </c>
      <c r="C21348" s="5" t="str">
        <f>"A0093229"</f>
        <v>A0093229</v>
      </c>
      <c r="D21348" s="5" t="s">
        <v>73244</v>
      </c>
      <c r="E21348" s="5" t="s">
        <v>73245</v>
      </c>
      <c r="F21348" s="5" t="s">
        <v>3455</v>
      </c>
      <c r="G21348" s="5" t="s">
        <v>381</v>
      </c>
      <c r="H21348" s="5">
        <v>47404</v>
      </c>
      <c r="I21348" s="5" t="s">
        <v>30</v>
      </c>
      <c r="J21348" s="5" t="s">
        <v>171</v>
      </c>
      <c r="K21348" s="5" t="s">
        <v>1202</v>
      </c>
      <c r="L21348" s="5"/>
      <c r="M21348" s="5"/>
      <c r="N21348" s="5" t="s">
        <v>73246</v>
      </c>
      <c r="O21348" s="5"/>
      <c r="P21348" s="5"/>
      <c r="Q21348" s="5">
        <v>0</v>
      </c>
      <c r="R21348" s="5">
        <v>172</v>
      </c>
      <c r="S21348" s="5">
        <v>0</v>
      </c>
      <c r="T21348" s="5" t="s">
        <v>73247</v>
      </c>
      <c r="U21348" s="5"/>
      <c r="V21348" s="5"/>
      <c r="W21348" s="5"/>
      <c r="X21348" s="5"/>
      <c r="Y21348" s="5"/>
    </row>
    <row r="21349" spans="1:25" customFormat="1" ht="15" x14ac:dyDescent="0.25">
      <c r="A21349" t="s">
        <v>24</v>
      </c>
      <c r="B21349" t="s">
        <v>76617</v>
      </c>
      <c r="C21349" t="str">
        <f>"A0100618"</f>
        <v>A0100618</v>
      </c>
      <c r="D21349" t="s">
        <v>80433</v>
      </c>
      <c r="E21349" t="s">
        <v>80434</v>
      </c>
      <c r="F21349" t="s">
        <v>2900</v>
      </c>
      <c r="G21349" t="s">
        <v>76</v>
      </c>
      <c r="H21349">
        <v>98119</v>
      </c>
      <c r="I21349" t="s">
        <v>30</v>
      </c>
      <c r="J21349" t="s">
        <v>76620</v>
      </c>
      <c r="K21349" t="s">
        <v>163</v>
      </c>
      <c r="N21349" t="s">
        <v>80435</v>
      </c>
      <c r="Q21349">
        <v>0</v>
      </c>
      <c r="R21349">
        <v>42</v>
      </c>
      <c r="S21349">
        <v>0</v>
      </c>
      <c r="T21349" t="s">
        <v>76623</v>
      </c>
    </row>
    <row r="21350" spans="1:25" customFormat="1" ht="15" x14ac:dyDescent="0.25">
      <c r="A21350" t="s">
        <v>24</v>
      </c>
      <c r="B21350" t="s">
        <v>76617</v>
      </c>
      <c r="C21350" t="str">
        <f>"A0100616"</f>
        <v>A0100616</v>
      </c>
      <c r="D21350" t="s">
        <v>80436</v>
      </c>
      <c r="E21350" t="s">
        <v>80434</v>
      </c>
      <c r="F21350" t="s">
        <v>2900</v>
      </c>
      <c r="G21350" t="s">
        <v>76</v>
      </c>
      <c r="H21350">
        <v>98119</v>
      </c>
      <c r="I21350" t="s">
        <v>30</v>
      </c>
      <c r="J21350" t="s">
        <v>76620</v>
      </c>
      <c r="K21350" t="s">
        <v>163</v>
      </c>
      <c r="N21350" t="s">
        <v>80435</v>
      </c>
      <c r="Q21350">
        <v>0</v>
      </c>
      <c r="R21350">
        <v>18</v>
      </c>
      <c r="S21350">
        <v>0</v>
      </c>
      <c r="T21350" t="s">
        <v>76623</v>
      </c>
    </row>
    <row r="21351" spans="1:25" customFormat="1" ht="15" x14ac:dyDescent="0.25">
      <c r="A21351" t="s">
        <v>24</v>
      </c>
      <c r="B21351" t="s">
        <v>76617</v>
      </c>
      <c r="C21351" t="str">
        <f>"A0100941"</f>
        <v>A0100941</v>
      </c>
      <c r="D21351" t="s">
        <v>80437</v>
      </c>
      <c r="E21351" t="s">
        <v>80434</v>
      </c>
      <c r="F21351" t="s">
        <v>2900</v>
      </c>
      <c r="G21351" t="s">
        <v>76</v>
      </c>
      <c r="H21351">
        <v>98119</v>
      </c>
      <c r="I21351" t="s">
        <v>30</v>
      </c>
      <c r="J21351" t="s">
        <v>76620</v>
      </c>
      <c r="K21351" t="s">
        <v>163</v>
      </c>
      <c r="N21351" t="s">
        <v>80435</v>
      </c>
      <c r="Q21351">
        <v>0</v>
      </c>
      <c r="R21351">
        <v>11</v>
      </c>
      <c r="S21351">
        <v>0</v>
      </c>
      <c r="T21351" t="s">
        <v>76623</v>
      </c>
    </row>
    <row r="21352" spans="1:25" customFormat="1" ht="15" x14ac:dyDescent="0.25">
      <c r="A21352" t="s">
        <v>24</v>
      </c>
      <c r="B21352" t="s">
        <v>5166</v>
      </c>
      <c r="C21352" t="str">
        <f>"88HQ012"</f>
        <v>88HQ012</v>
      </c>
      <c r="D21352" t="s">
        <v>80438</v>
      </c>
      <c r="E21352" t="s">
        <v>80439</v>
      </c>
      <c r="F21352" t="s">
        <v>972</v>
      </c>
      <c r="G21352" t="s">
        <v>190</v>
      </c>
      <c r="H21352">
        <v>80202</v>
      </c>
      <c r="I21352" t="s">
        <v>30</v>
      </c>
      <c r="J21352" t="s">
        <v>191</v>
      </c>
      <c r="K21352" t="s">
        <v>11889</v>
      </c>
      <c r="N21352" t="s">
        <v>80440</v>
      </c>
      <c r="Q21352">
        <v>0</v>
      </c>
      <c r="R21352">
        <v>0</v>
      </c>
      <c r="S21352">
        <v>0</v>
      </c>
      <c r="T21352" t="s">
        <v>80441</v>
      </c>
    </row>
    <row r="21353" spans="1:25" customFormat="1" ht="15" x14ac:dyDescent="0.25">
      <c r="A21353" t="s">
        <v>24</v>
      </c>
      <c r="B21353" t="s">
        <v>13807</v>
      </c>
      <c r="C21353" t="str">
        <f>"A0094278"</f>
        <v>A0094278</v>
      </c>
      <c r="D21353" t="s">
        <v>73248</v>
      </c>
      <c r="E21353" t="s">
        <v>73249</v>
      </c>
      <c r="F21353" t="s">
        <v>57222</v>
      </c>
      <c r="G21353" t="s">
        <v>289</v>
      </c>
      <c r="H21353">
        <v>61761</v>
      </c>
      <c r="I21353" t="s">
        <v>30</v>
      </c>
      <c r="J21353" t="s">
        <v>171</v>
      </c>
      <c r="K21353" t="s">
        <v>1202</v>
      </c>
      <c r="N21353" t="s">
        <v>73250</v>
      </c>
      <c r="Q21353">
        <v>0</v>
      </c>
      <c r="R21353">
        <v>114</v>
      </c>
      <c r="S21353">
        <v>0</v>
      </c>
      <c r="T21353" t="s">
        <v>73251</v>
      </c>
    </row>
    <row r="21354" spans="1:25" x14ac:dyDescent="0.25">
      <c r="A21354" s="5" t="s">
        <v>24</v>
      </c>
      <c r="B21354" s="5" t="s">
        <v>54970</v>
      </c>
      <c r="C21354" s="5" t="str">
        <f>"A0096895"</f>
        <v>A0096895</v>
      </c>
      <c r="D21354" s="5" t="s">
        <v>73252</v>
      </c>
      <c r="E21354" s="5" t="s">
        <v>73253</v>
      </c>
      <c r="F21354" s="5" t="s">
        <v>6972</v>
      </c>
      <c r="G21354" s="5" t="s">
        <v>81</v>
      </c>
      <c r="H21354" s="5">
        <v>33432</v>
      </c>
      <c r="I21354" s="5" t="s">
        <v>30</v>
      </c>
      <c r="J21354" s="5" t="s">
        <v>171</v>
      </c>
      <c r="K21354" s="5" t="s">
        <v>1202</v>
      </c>
      <c r="L21354" s="5"/>
      <c r="M21354" s="5"/>
      <c r="N21354" s="5" t="s">
        <v>73254</v>
      </c>
      <c r="O21354" s="5"/>
      <c r="P21354" s="5"/>
      <c r="Q21354" s="5">
        <v>0</v>
      </c>
      <c r="R21354" s="5">
        <v>200</v>
      </c>
      <c r="S21354" s="5">
        <v>0</v>
      </c>
      <c r="T21354" s="5" t="s">
        <v>73255</v>
      </c>
      <c r="U21354" s="5"/>
      <c r="V21354" s="5"/>
      <c r="W21354" s="5"/>
      <c r="X21354" s="5"/>
      <c r="Y21354" s="5"/>
    </row>
    <row r="21355" spans="1:25" customFormat="1" ht="15" x14ac:dyDescent="0.25">
      <c r="A21355" t="s">
        <v>24</v>
      </c>
      <c r="B21355" t="s">
        <v>72975</v>
      </c>
      <c r="C21355" t="str">
        <f>"A0155386"</f>
        <v>A0155386</v>
      </c>
      <c r="D21355" t="s">
        <v>73256</v>
      </c>
      <c r="E21355" t="s">
        <v>73257</v>
      </c>
      <c r="F21355" t="s">
        <v>1208</v>
      </c>
      <c r="G21355" t="s">
        <v>899</v>
      </c>
      <c r="H21355">
        <v>2210</v>
      </c>
      <c r="I21355" t="s">
        <v>30</v>
      </c>
      <c r="J21355" t="s">
        <v>171</v>
      </c>
      <c r="K21355" t="s">
        <v>1202</v>
      </c>
      <c r="N21355" t="s">
        <v>73258</v>
      </c>
      <c r="O21355" t="s">
        <v>73259</v>
      </c>
      <c r="Q21355">
        <v>0</v>
      </c>
      <c r="R21355">
        <v>294</v>
      </c>
      <c r="S21355">
        <v>0</v>
      </c>
      <c r="T21355" t="s">
        <v>73260</v>
      </c>
    </row>
    <row r="21356" spans="1:25" customFormat="1" ht="15" x14ac:dyDescent="0.25">
      <c r="A21356" t="s">
        <v>24</v>
      </c>
      <c r="B21356" t="s">
        <v>2373</v>
      </c>
      <c r="C21356" t="str">
        <f>"A0091452"</f>
        <v>A0091452</v>
      </c>
      <c r="D21356" t="s">
        <v>73261</v>
      </c>
      <c r="E21356" t="s">
        <v>73262</v>
      </c>
      <c r="F21356" t="s">
        <v>34968</v>
      </c>
      <c r="G21356" t="s">
        <v>899</v>
      </c>
      <c r="H21356">
        <v>2184</v>
      </c>
      <c r="I21356" t="s">
        <v>30</v>
      </c>
      <c r="J21356" t="s">
        <v>171</v>
      </c>
      <c r="K21356" t="s">
        <v>1202</v>
      </c>
      <c r="N21356" t="s">
        <v>73263</v>
      </c>
      <c r="Q21356">
        <v>0</v>
      </c>
      <c r="R21356">
        <v>204</v>
      </c>
      <c r="S21356">
        <v>0</v>
      </c>
      <c r="T21356" t="s">
        <v>73264</v>
      </c>
    </row>
    <row r="21357" spans="1:25" customFormat="1" ht="15" x14ac:dyDescent="0.25">
      <c r="A21357" t="s">
        <v>24</v>
      </c>
      <c r="B21357" t="s">
        <v>10936</v>
      </c>
      <c r="C21357" t="str">
        <f>"A0101101"</f>
        <v>A0101101</v>
      </c>
      <c r="D21357" t="s">
        <v>73271</v>
      </c>
      <c r="E21357" t="s">
        <v>73272</v>
      </c>
      <c r="F21357" t="s">
        <v>73273</v>
      </c>
      <c r="G21357" t="s">
        <v>52</v>
      </c>
      <c r="H21357">
        <v>78641</v>
      </c>
      <c r="I21357" t="s">
        <v>30</v>
      </c>
      <c r="J21357" t="s">
        <v>171</v>
      </c>
      <c r="K21357" t="s">
        <v>1202</v>
      </c>
      <c r="N21357" t="s">
        <v>73274</v>
      </c>
      <c r="O21357" t="s">
        <v>73275</v>
      </c>
      <c r="Q21357">
        <v>0</v>
      </c>
      <c r="R21357">
        <v>137</v>
      </c>
      <c r="S21357">
        <v>0</v>
      </c>
      <c r="T21357" t="s">
        <v>73276</v>
      </c>
    </row>
    <row r="21358" spans="1:25" customFormat="1" ht="15" x14ac:dyDescent="0.25">
      <c r="A21358" t="s">
        <v>24</v>
      </c>
      <c r="B21358" t="s">
        <v>186</v>
      </c>
      <c r="C21358" t="str">
        <f>"A0146656"</f>
        <v>A0146656</v>
      </c>
      <c r="D21358" t="s">
        <v>80467</v>
      </c>
      <c r="E21358" t="s">
        <v>63785</v>
      </c>
      <c r="F21358" t="s">
        <v>34169</v>
      </c>
      <c r="G21358" t="s">
        <v>190</v>
      </c>
      <c r="H21358">
        <v>81615</v>
      </c>
      <c r="I21358" t="s">
        <v>30</v>
      </c>
      <c r="J21358" t="s">
        <v>1004</v>
      </c>
      <c r="K21358" t="s">
        <v>163</v>
      </c>
      <c r="N21358" t="s">
        <v>55669</v>
      </c>
      <c r="Q21358">
        <v>0</v>
      </c>
      <c r="R21358">
        <v>0</v>
      </c>
      <c r="S21358">
        <v>0</v>
      </c>
      <c r="T21358" t="s">
        <v>55670</v>
      </c>
    </row>
    <row r="21359" spans="1:25" customFormat="1" ht="15" x14ac:dyDescent="0.25">
      <c r="A21359" t="s">
        <v>24</v>
      </c>
      <c r="B21359" t="s">
        <v>1138</v>
      </c>
      <c r="C21359" t="str">
        <f>"A0136791"</f>
        <v>A0136791</v>
      </c>
      <c r="D21359" t="s">
        <v>80468</v>
      </c>
      <c r="E21359" t="s">
        <v>80469</v>
      </c>
      <c r="F21359" t="s">
        <v>356</v>
      </c>
      <c r="G21359" t="s">
        <v>52</v>
      </c>
      <c r="H21359">
        <v>78257</v>
      </c>
      <c r="I21359" t="s">
        <v>30</v>
      </c>
      <c r="J21359" t="s">
        <v>31</v>
      </c>
      <c r="K21359" t="s">
        <v>261</v>
      </c>
      <c r="N21359" t="s">
        <v>80470</v>
      </c>
      <c r="O21359" t="s">
        <v>80471</v>
      </c>
      <c r="Q21359">
        <v>0</v>
      </c>
      <c r="R21359">
        <v>117</v>
      </c>
      <c r="S21359">
        <v>0</v>
      </c>
      <c r="T21359" t="s">
        <v>80472</v>
      </c>
    </row>
    <row r="21360" spans="1:25" customFormat="1" ht="15" x14ac:dyDescent="0.25">
      <c r="A21360" t="s">
        <v>24</v>
      </c>
      <c r="B21360" t="s">
        <v>1567</v>
      </c>
      <c r="C21360" t="str">
        <f>"A0092606"</f>
        <v>A0092606</v>
      </c>
      <c r="D21360" t="s">
        <v>73281</v>
      </c>
      <c r="E21360" t="s">
        <v>73282</v>
      </c>
      <c r="F21360" t="s">
        <v>10373</v>
      </c>
      <c r="G21360" t="s">
        <v>289</v>
      </c>
      <c r="H21360">
        <v>61820</v>
      </c>
      <c r="I21360" t="s">
        <v>30</v>
      </c>
      <c r="J21360" t="s">
        <v>171</v>
      </c>
      <c r="K21360" t="s">
        <v>1202</v>
      </c>
      <c r="N21360" t="s">
        <v>12840</v>
      </c>
      <c r="O21360" t="s">
        <v>73283</v>
      </c>
      <c r="Q21360">
        <v>0</v>
      </c>
      <c r="R21360">
        <v>145</v>
      </c>
      <c r="S21360">
        <v>0</v>
      </c>
      <c r="T21360" t="s">
        <v>73284</v>
      </c>
    </row>
    <row r="21361" spans="1:20" customFormat="1" ht="15" x14ac:dyDescent="0.25">
      <c r="A21361" t="s">
        <v>24</v>
      </c>
      <c r="B21361" t="s">
        <v>72975</v>
      </c>
      <c r="C21361" t="str">
        <f>"A0074426"</f>
        <v>A0074426</v>
      </c>
      <c r="D21361" t="s">
        <v>73285</v>
      </c>
      <c r="E21361" t="s">
        <v>73286</v>
      </c>
      <c r="F21361" t="s">
        <v>28</v>
      </c>
      <c r="G21361" t="s">
        <v>29</v>
      </c>
      <c r="H21361">
        <v>20151</v>
      </c>
      <c r="I21361" t="s">
        <v>30</v>
      </c>
      <c r="J21361" t="s">
        <v>171</v>
      </c>
      <c r="K21361" t="s">
        <v>1202</v>
      </c>
      <c r="N21361" t="s">
        <v>73287</v>
      </c>
      <c r="O21361" t="s">
        <v>73288</v>
      </c>
      <c r="Q21361">
        <v>0</v>
      </c>
      <c r="R21361">
        <v>124</v>
      </c>
      <c r="S21361">
        <v>0</v>
      </c>
      <c r="T21361" t="s">
        <v>73289</v>
      </c>
    </row>
    <row r="21362" spans="1:20" customFormat="1" ht="15" x14ac:dyDescent="0.25">
      <c r="A21362" t="s">
        <v>24</v>
      </c>
      <c r="B21362" t="s">
        <v>1583</v>
      </c>
      <c r="C21362" t="str">
        <f>"A0100722"</f>
        <v>A0100722</v>
      </c>
      <c r="D21362" t="s">
        <v>80481</v>
      </c>
      <c r="E21362" t="s">
        <v>76067</v>
      </c>
      <c r="F21362" t="s">
        <v>2978</v>
      </c>
      <c r="G21362" t="s">
        <v>110</v>
      </c>
      <c r="H21362">
        <v>92101</v>
      </c>
      <c r="I21362" t="s">
        <v>30</v>
      </c>
      <c r="J21362" t="s">
        <v>191</v>
      </c>
      <c r="K21362" t="s">
        <v>6809</v>
      </c>
      <c r="Q21362">
        <v>0</v>
      </c>
      <c r="R21362">
        <v>0</v>
      </c>
      <c r="S21362">
        <v>0</v>
      </c>
      <c r="T21362" t="s">
        <v>80482</v>
      </c>
    </row>
    <row r="21363" spans="1:20" customFormat="1" ht="15" x14ac:dyDescent="0.25">
      <c r="A21363" t="s">
        <v>24</v>
      </c>
      <c r="B21363" t="s">
        <v>7051</v>
      </c>
      <c r="C21363" t="str">
        <f>"A0092545"</f>
        <v>A0092545</v>
      </c>
      <c r="D21363" t="s">
        <v>73290</v>
      </c>
      <c r="E21363" t="s">
        <v>73291</v>
      </c>
      <c r="F21363" t="s">
        <v>6845</v>
      </c>
      <c r="G21363" t="s">
        <v>214</v>
      </c>
      <c r="H21363">
        <v>27517</v>
      </c>
      <c r="I21363" t="s">
        <v>30</v>
      </c>
      <c r="J21363" t="s">
        <v>171</v>
      </c>
      <c r="K21363" t="s">
        <v>1202</v>
      </c>
      <c r="N21363" t="s">
        <v>73292</v>
      </c>
      <c r="O21363" t="s">
        <v>7055</v>
      </c>
      <c r="Q21363">
        <v>0</v>
      </c>
      <c r="R21363">
        <v>110</v>
      </c>
      <c r="S21363">
        <v>0</v>
      </c>
      <c r="T21363" t="s">
        <v>73293</v>
      </c>
    </row>
    <row r="21364" spans="1:20" customFormat="1" ht="15" x14ac:dyDescent="0.25">
      <c r="A21364" t="s">
        <v>24</v>
      </c>
      <c r="B21364" t="s">
        <v>16448</v>
      </c>
      <c r="C21364" t="str">
        <f>"A0087081"</f>
        <v>A0087081</v>
      </c>
      <c r="D21364" t="s">
        <v>73294</v>
      </c>
      <c r="E21364" t="s">
        <v>73295</v>
      </c>
      <c r="F21364" t="s">
        <v>13824</v>
      </c>
      <c r="G21364" t="s">
        <v>58</v>
      </c>
      <c r="H21364">
        <v>29418</v>
      </c>
      <c r="I21364" t="s">
        <v>30</v>
      </c>
      <c r="J21364" t="s">
        <v>171</v>
      </c>
      <c r="K21364" t="s">
        <v>1202</v>
      </c>
      <c r="N21364" t="s">
        <v>73296</v>
      </c>
      <c r="O21364" t="s">
        <v>73297</v>
      </c>
      <c r="Q21364">
        <v>0</v>
      </c>
      <c r="R21364">
        <v>127</v>
      </c>
      <c r="S21364">
        <v>0</v>
      </c>
      <c r="T21364" t="s">
        <v>73298</v>
      </c>
    </row>
    <row r="21365" spans="1:20" customFormat="1" ht="15" x14ac:dyDescent="0.25">
      <c r="A21365" t="s">
        <v>24</v>
      </c>
      <c r="B21365" t="s">
        <v>80493</v>
      </c>
      <c r="C21365" t="str">
        <f>"A0153208"</f>
        <v>A0153208</v>
      </c>
      <c r="D21365" t="s">
        <v>80494</v>
      </c>
      <c r="E21365" t="s">
        <v>80495</v>
      </c>
      <c r="F21365" t="s">
        <v>4802</v>
      </c>
      <c r="G21365" t="s">
        <v>110</v>
      </c>
      <c r="H21365">
        <v>95113</v>
      </c>
      <c r="I21365" t="s">
        <v>30</v>
      </c>
      <c r="J21365" t="s">
        <v>7657</v>
      </c>
      <c r="K21365" t="s">
        <v>14957</v>
      </c>
      <c r="N21365" t="s">
        <v>80496</v>
      </c>
      <c r="Q21365">
        <v>0</v>
      </c>
      <c r="R21365">
        <v>0</v>
      </c>
      <c r="S21365">
        <v>0</v>
      </c>
      <c r="T21365" t="s">
        <v>80497</v>
      </c>
    </row>
    <row r="21366" spans="1:20" customFormat="1" ht="15" hidden="1" x14ac:dyDescent="0.25">
      <c r="A21366" t="s">
        <v>24</v>
      </c>
      <c r="B21366" t="s">
        <v>675</v>
      </c>
      <c r="C21366" t="str">
        <f>"39035"</f>
        <v>39035</v>
      </c>
      <c r="D21366" t="s">
        <v>80498</v>
      </c>
      <c r="E21366" t="s">
        <v>80499</v>
      </c>
      <c r="F21366" t="s">
        <v>14303</v>
      </c>
      <c r="G21366" t="s">
        <v>9901</v>
      </c>
      <c r="H21366">
        <v>907</v>
      </c>
      <c r="I21366" t="s">
        <v>9902</v>
      </c>
      <c r="J21366" t="s">
        <v>162</v>
      </c>
      <c r="K21366" t="s">
        <v>1490</v>
      </c>
      <c r="N21366" t="s">
        <v>80500</v>
      </c>
      <c r="O21366" t="s">
        <v>62994</v>
      </c>
      <c r="Q21366">
        <v>0</v>
      </c>
      <c r="R21366">
        <v>525</v>
      </c>
      <c r="S21366">
        <v>0</v>
      </c>
      <c r="T21366" t="s">
        <v>80501</v>
      </c>
    </row>
    <row r="21367" spans="1:20" customFormat="1" ht="15" x14ac:dyDescent="0.25">
      <c r="A21367" t="s">
        <v>24</v>
      </c>
      <c r="B21367" t="s">
        <v>80502</v>
      </c>
      <c r="C21367" t="str">
        <f>"A0051557"</f>
        <v>A0051557</v>
      </c>
      <c r="D21367" t="s">
        <v>80502</v>
      </c>
      <c r="E21367" t="s">
        <v>80503</v>
      </c>
      <c r="F21367" t="s">
        <v>80504</v>
      </c>
      <c r="G21367" t="s">
        <v>103</v>
      </c>
      <c r="H21367">
        <v>19075</v>
      </c>
      <c r="I21367" t="s">
        <v>30</v>
      </c>
      <c r="J21367" t="s">
        <v>178</v>
      </c>
      <c r="K21367" t="s">
        <v>179</v>
      </c>
      <c r="N21367" t="s">
        <v>80505</v>
      </c>
      <c r="O21367" t="s">
        <v>80506</v>
      </c>
      <c r="P21367" t="s">
        <v>992</v>
      </c>
      <c r="Q21367">
        <v>0</v>
      </c>
      <c r="R21367">
        <v>18</v>
      </c>
      <c r="S21367">
        <v>0</v>
      </c>
      <c r="T21367" t="s">
        <v>80507</v>
      </c>
    </row>
    <row r="21368" spans="1:20" customFormat="1" ht="15" x14ac:dyDescent="0.25">
      <c r="A21368" t="s">
        <v>24</v>
      </c>
      <c r="B21368" t="s">
        <v>7051</v>
      </c>
      <c r="C21368" t="str">
        <f>"A0092607"</f>
        <v>A0092607</v>
      </c>
      <c r="D21368" t="s">
        <v>73299</v>
      </c>
      <c r="E21368" t="s">
        <v>73300</v>
      </c>
      <c r="F21368" t="s">
        <v>242</v>
      </c>
      <c r="G21368" t="s">
        <v>214</v>
      </c>
      <c r="H21368">
        <v>28202</v>
      </c>
      <c r="I21368" t="s">
        <v>30</v>
      </c>
      <c r="J21368" t="s">
        <v>171</v>
      </c>
      <c r="K21368" t="s">
        <v>1202</v>
      </c>
      <c r="N21368" t="s">
        <v>73301</v>
      </c>
      <c r="O21368" t="s">
        <v>73302</v>
      </c>
      <c r="Q21368">
        <v>0</v>
      </c>
      <c r="R21368">
        <v>172</v>
      </c>
      <c r="S21368">
        <v>0</v>
      </c>
      <c r="T21368" t="s">
        <v>73303</v>
      </c>
    </row>
    <row r="21369" spans="1:20" customFormat="1" ht="15" x14ac:dyDescent="0.25">
      <c r="A21369" t="s">
        <v>24</v>
      </c>
      <c r="B21369" t="s">
        <v>72975</v>
      </c>
      <c r="C21369" t="str">
        <f>"A0054870"</f>
        <v>A0054870</v>
      </c>
      <c r="D21369" t="s">
        <v>73304</v>
      </c>
      <c r="E21369" t="s">
        <v>73305</v>
      </c>
      <c r="F21369" t="s">
        <v>242</v>
      </c>
      <c r="G21369" t="s">
        <v>214</v>
      </c>
      <c r="H21369">
        <v>28217</v>
      </c>
      <c r="I21369" t="s">
        <v>30</v>
      </c>
      <c r="J21369" t="s">
        <v>171</v>
      </c>
      <c r="K21369" t="s">
        <v>1202</v>
      </c>
      <c r="N21369" t="s">
        <v>73306</v>
      </c>
      <c r="O21369" t="s">
        <v>73307</v>
      </c>
      <c r="Q21369">
        <v>0</v>
      </c>
      <c r="R21369">
        <v>122</v>
      </c>
      <c r="S21369">
        <v>0</v>
      </c>
      <c r="T21369" t="s">
        <v>73308</v>
      </c>
    </row>
    <row r="21370" spans="1:20" customFormat="1" ht="15" x14ac:dyDescent="0.25">
      <c r="A21370" t="s">
        <v>24</v>
      </c>
      <c r="B21370" t="s">
        <v>12356</v>
      </c>
      <c r="C21370" t="str">
        <f>"A0154543"</f>
        <v>A0154543</v>
      </c>
      <c r="D21370" t="s">
        <v>73309</v>
      </c>
      <c r="E21370" t="s">
        <v>73310</v>
      </c>
      <c r="F21370" t="s">
        <v>73311</v>
      </c>
      <c r="G21370" t="s">
        <v>289</v>
      </c>
      <c r="H21370">
        <v>60622</v>
      </c>
      <c r="I21370" t="s">
        <v>30</v>
      </c>
      <c r="J21370" t="s">
        <v>171</v>
      </c>
      <c r="K21370" t="s">
        <v>1202</v>
      </c>
      <c r="N21370" t="s">
        <v>73312</v>
      </c>
      <c r="O21370" t="s">
        <v>73313</v>
      </c>
      <c r="Q21370">
        <v>0</v>
      </c>
      <c r="R21370">
        <v>99</v>
      </c>
      <c r="S21370">
        <v>0</v>
      </c>
      <c r="T21370" t="s">
        <v>73314</v>
      </c>
    </row>
    <row r="21371" spans="1:20" customFormat="1" ht="15" x14ac:dyDescent="0.25">
      <c r="A21371" t="s">
        <v>24</v>
      </c>
      <c r="B21371" t="s">
        <v>1487</v>
      </c>
      <c r="C21371" t="str">
        <f>"A0091803"</f>
        <v>A0091803</v>
      </c>
      <c r="D21371" t="s">
        <v>73315</v>
      </c>
      <c r="E21371" t="s">
        <v>73316</v>
      </c>
      <c r="F21371" t="s">
        <v>716</v>
      </c>
      <c r="G21371" t="s">
        <v>289</v>
      </c>
      <c r="H21371">
        <v>60654</v>
      </c>
      <c r="I21371" t="s">
        <v>30</v>
      </c>
      <c r="J21371" t="s">
        <v>171</v>
      </c>
      <c r="K21371" t="s">
        <v>1202</v>
      </c>
      <c r="N21371" t="s">
        <v>55788</v>
      </c>
      <c r="Q21371">
        <v>0</v>
      </c>
      <c r="R21371">
        <v>212</v>
      </c>
      <c r="S21371">
        <v>0</v>
      </c>
      <c r="T21371" t="s">
        <v>73317</v>
      </c>
    </row>
    <row r="21372" spans="1:20" customFormat="1" ht="15" x14ac:dyDescent="0.25">
      <c r="A21372" t="s">
        <v>24</v>
      </c>
      <c r="B21372" t="s">
        <v>76992</v>
      </c>
      <c r="C21372" t="str">
        <f>"A0057719"</f>
        <v>A0057719</v>
      </c>
      <c r="D21372" t="s">
        <v>80527</v>
      </c>
      <c r="E21372" t="s">
        <v>80528</v>
      </c>
      <c r="F21372" t="s">
        <v>1865</v>
      </c>
      <c r="G21372" t="s">
        <v>110</v>
      </c>
      <c r="H21372">
        <v>90405</v>
      </c>
      <c r="I21372" t="s">
        <v>30</v>
      </c>
      <c r="J21372" t="s">
        <v>145</v>
      </c>
      <c r="K21372" t="s">
        <v>163</v>
      </c>
      <c r="N21372" t="s">
        <v>80529</v>
      </c>
      <c r="Q21372">
        <v>0</v>
      </c>
      <c r="R21372">
        <v>30</v>
      </c>
      <c r="S21372">
        <v>0</v>
      </c>
      <c r="T21372" t="s">
        <v>80530</v>
      </c>
    </row>
    <row r="21373" spans="1:20" customFormat="1" ht="15" x14ac:dyDescent="0.25">
      <c r="A21373" t="s">
        <v>24</v>
      </c>
      <c r="B21373" t="s">
        <v>2360</v>
      </c>
      <c r="C21373" t="str">
        <f>"A0096305"</f>
        <v>A0096305</v>
      </c>
      <c r="D21373" t="s">
        <v>80531</v>
      </c>
      <c r="E21373" t="s">
        <v>80532</v>
      </c>
      <c r="F21373" t="s">
        <v>13657</v>
      </c>
      <c r="G21373" t="s">
        <v>110</v>
      </c>
      <c r="H21373">
        <v>95401</v>
      </c>
      <c r="I21373" t="s">
        <v>30</v>
      </c>
      <c r="J21373" t="s">
        <v>178</v>
      </c>
      <c r="K21373" t="s">
        <v>56676</v>
      </c>
      <c r="N21373" t="s">
        <v>80533</v>
      </c>
      <c r="Q21373">
        <v>1</v>
      </c>
      <c r="R21373">
        <v>0</v>
      </c>
      <c r="S21373">
        <v>0</v>
      </c>
      <c r="T21373" t="s">
        <v>80534</v>
      </c>
    </row>
    <row r="21374" spans="1:20" customFormat="1" ht="15" x14ac:dyDescent="0.25">
      <c r="A21374" t="s">
        <v>24</v>
      </c>
      <c r="B21374" t="s">
        <v>2360</v>
      </c>
      <c r="C21374" t="str">
        <f>"A0050364"</f>
        <v>A0050364</v>
      </c>
      <c r="D21374" t="s">
        <v>80535</v>
      </c>
      <c r="E21374" t="s">
        <v>80536</v>
      </c>
      <c r="F21374" t="s">
        <v>80537</v>
      </c>
      <c r="G21374" t="s">
        <v>81</v>
      </c>
      <c r="H21374">
        <v>32459</v>
      </c>
      <c r="I21374" t="s">
        <v>30</v>
      </c>
      <c r="J21374" t="s">
        <v>178</v>
      </c>
      <c r="K21374" t="s">
        <v>179</v>
      </c>
      <c r="N21374" t="s">
        <v>80538</v>
      </c>
      <c r="Q21374">
        <v>1</v>
      </c>
      <c r="R21374">
        <v>0</v>
      </c>
      <c r="S21374">
        <v>0</v>
      </c>
      <c r="T21374" t="s">
        <v>80539</v>
      </c>
    </row>
    <row r="21375" spans="1:20" customFormat="1" ht="15" x14ac:dyDescent="0.25">
      <c r="A21375" t="s">
        <v>24</v>
      </c>
      <c r="B21375" t="s">
        <v>1487</v>
      </c>
      <c r="C21375" t="str">
        <f>"A0094379"</f>
        <v>A0094379</v>
      </c>
      <c r="D21375" t="s">
        <v>73318</v>
      </c>
      <c r="E21375" t="s">
        <v>73319</v>
      </c>
      <c r="F21375" t="s">
        <v>63301</v>
      </c>
      <c r="G21375" t="s">
        <v>289</v>
      </c>
      <c r="H21375">
        <v>60638</v>
      </c>
      <c r="I21375" t="s">
        <v>30</v>
      </c>
      <c r="J21375" t="s">
        <v>171</v>
      </c>
      <c r="K21375" t="s">
        <v>1202</v>
      </c>
      <c r="N21375" t="s">
        <v>73320</v>
      </c>
      <c r="Q21375">
        <v>0</v>
      </c>
      <c r="R21375">
        <v>148</v>
      </c>
      <c r="S21375">
        <v>0</v>
      </c>
      <c r="T21375" t="s">
        <v>73321</v>
      </c>
    </row>
    <row r="21376" spans="1:20" customFormat="1" ht="15" x14ac:dyDescent="0.25">
      <c r="A21376" t="s">
        <v>24</v>
      </c>
      <c r="B21376" t="s">
        <v>80546</v>
      </c>
      <c r="C21376" t="str">
        <f>"A0084600"</f>
        <v>A0084600</v>
      </c>
      <c r="D21376" t="s">
        <v>80547</v>
      </c>
      <c r="E21376" t="s">
        <v>80548</v>
      </c>
      <c r="F21376" t="s">
        <v>6927</v>
      </c>
      <c r="G21376" t="s">
        <v>214</v>
      </c>
      <c r="H21376">
        <v>27513</v>
      </c>
      <c r="I21376" t="s">
        <v>30</v>
      </c>
      <c r="J21376" t="s">
        <v>3881</v>
      </c>
      <c r="K21376" t="s">
        <v>163</v>
      </c>
      <c r="N21376" t="s">
        <v>80549</v>
      </c>
      <c r="Q21376">
        <v>0</v>
      </c>
      <c r="R21376">
        <v>0</v>
      </c>
      <c r="S21376">
        <v>0</v>
      </c>
      <c r="T21376" t="s">
        <v>80550</v>
      </c>
    </row>
    <row r="21377" spans="1:25" customFormat="1" ht="15" x14ac:dyDescent="0.25">
      <c r="A21377" t="s">
        <v>24</v>
      </c>
      <c r="B21377" t="s">
        <v>73322</v>
      </c>
      <c r="C21377" t="str">
        <f>"A0060504"</f>
        <v>A0060504</v>
      </c>
      <c r="D21377" t="s">
        <v>73323</v>
      </c>
      <c r="E21377" t="s">
        <v>73324</v>
      </c>
      <c r="F21377" t="s">
        <v>9068</v>
      </c>
      <c r="G21377" t="s">
        <v>289</v>
      </c>
      <c r="H21377">
        <v>60018</v>
      </c>
      <c r="I21377" t="s">
        <v>30</v>
      </c>
      <c r="J21377" t="s">
        <v>171</v>
      </c>
      <c r="K21377" t="s">
        <v>1202</v>
      </c>
      <c r="N21377" t="s">
        <v>73325</v>
      </c>
      <c r="O21377" t="s">
        <v>73326</v>
      </c>
      <c r="Q21377">
        <v>0</v>
      </c>
      <c r="R21377">
        <v>200</v>
      </c>
      <c r="S21377">
        <v>0</v>
      </c>
      <c r="T21377" t="s">
        <v>73327</v>
      </c>
    </row>
    <row r="21378" spans="1:25" customFormat="1" ht="15" x14ac:dyDescent="0.25">
      <c r="A21378" t="s">
        <v>24</v>
      </c>
      <c r="B21378" t="s">
        <v>54970</v>
      </c>
      <c r="C21378" t="str">
        <f>"A0086955"</f>
        <v>A0086955</v>
      </c>
      <c r="D21378" t="s">
        <v>73333</v>
      </c>
      <c r="E21378" t="s">
        <v>73334</v>
      </c>
      <c r="F21378" t="s">
        <v>33976</v>
      </c>
      <c r="G21378" t="s">
        <v>81</v>
      </c>
      <c r="H21378">
        <v>33928</v>
      </c>
      <c r="I21378" t="s">
        <v>30</v>
      </c>
      <c r="J21378" t="s">
        <v>171</v>
      </c>
      <c r="K21378" t="s">
        <v>1202</v>
      </c>
      <c r="N21378" t="s">
        <v>73335</v>
      </c>
      <c r="Q21378">
        <v>0</v>
      </c>
      <c r="R21378">
        <v>108</v>
      </c>
      <c r="S21378">
        <v>0</v>
      </c>
      <c r="T21378" t="s">
        <v>73336</v>
      </c>
    </row>
    <row r="21379" spans="1:25" customFormat="1" ht="15" x14ac:dyDescent="0.25">
      <c r="A21379" t="s">
        <v>24</v>
      </c>
      <c r="B21379" t="s">
        <v>3789</v>
      </c>
      <c r="C21379" t="str">
        <f>"A0075565"</f>
        <v>A0075565</v>
      </c>
      <c r="D21379" t="s">
        <v>73337</v>
      </c>
      <c r="E21379" t="s">
        <v>73338</v>
      </c>
      <c r="F21379" t="s">
        <v>7940</v>
      </c>
      <c r="G21379" t="s">
        <v>52</v>
      </c>
      <c r="H21379">
        <v>77840</v>
      </c>
      <c r="I21379" t="s">
        <v>30</v>
      </c>
      <c r="J21379" t="s">
        <v>171</v>
      </c>
      <c r="K21379" t="s">
        <v>1202</v>
      </c>
      <c r="N21379" t="s">
        <v>73339</v>
      </c>
      <c r="O21379" t="s">
        <v>73340</v>
      </c>
      <c r="Q21379">
        <v>0</v>
      </c>
      <c r="R21379">
        <v>91</v>
      </c>
      <c r="S21379">
        <v>0</v>
      </c>
      <c r="T21379" t="s">
        <v>73341</v>
      </c>
    </row>
    <row r="21380" spans="1:25" customFormat="1" ht="15" hidden="1" x14ac:dyDescent="0.25">
      <c r="A21380" t="s">
        <v>24</v>
      </c>
      <c r="B21380" t="s">
        <v>1453</v>
      </c>
      <c r="C21380" t="str">
        <f>"A0145906"</f>
        <v>A0145906</v>
      </c>
      <c r="D21380" t="s">
        <v>80567</v>
      </c>
      <c r="E21380" t="s">
        <v>80568</v>
      </c>
      <c r="F21380" t="s">
        <v>80569</v>
      </c>
      <c r="G21380" t="s">
        <v>2270</v>
      </c>
      <c r="H21380" t="s">
        <v>80570</v>
      </c>
      <c r="I21380" t="s">
        <v>1459</v>
      </c>
      <c r="J21380" t="s">
        <v>162</v>
      </c>
      <c r="K21380" t="s">
        <v>163</v>
      </c>
      <c r="N21380" t="s">
        <v>80571</v>
      </c>
      <c r="Q21380">
        <v>0</v>
      </c>
      <c r="R21380">
        <v>126</v>
      </c>
      <c r="S21380">
        <v>0</v>
      </c>
      <c r="T21380" t="s">
        <v>80572</v>
      </c>
    </row>
    <row r="21381" spans="1:25" customFormat="1" ht="15" x14ac:dyDescent="0.25">
      <c r="A21381" t="s">
        <v>24</v>
      </c>
      <c r="B21381" t="s">
        <v>1156</v>
      </c>
      <c r="C21381" t="str">
        <f>"A0075278"</f>
        <v>A0075278</v>
      </c>
      <c r="D21381" t="s">
        <v>80573</v>
      </c>
      <c r="E21381" t="s">
        <v>80574</v>
      </c>
      <c r="F21381" t="s">
        <v>1159</v>
      </c>
      <c r="G21381" t="s">
        <v>58</v>
      </c>
      <c r="H21381">
        <v>29577</v>
      </c>
      <c r="I21381" t="s">
        <v>30</v>
      </c>
      <c r="J21381" t="s">
        <v>1004</v>
      </c>
      <c r="K21381" t="s">
        <v>6809</v>
      </c>
      <c r="N21381" t="s">
        <v>80575</v>
      </c>
      <c r="O21381" t="s">
        <v>80576</v>
      </c>
      <c r="Q21381">
        <v>0</v>
      </c>
      <c r="R21381">
        <v>0</v>
      </c>
      <c r="S21381">
        <v>0</v>
      </c>
      <c r="T21381" t="s">
        <v>80577</v>
      </c>
    </row>
    <row r="21382" spans="1:25" customFormat="1" ht="15" x14ac:dyDescent="0.25">
      <c r="A21382" t="s">
        <v>24</v>
      </c>
      <c r="B21382" t="s">
        <v>72975</v>
      </c>
      <c r="C21382" t="str">
        <f>"A0054968"</f>
        <v>A0054968</v>
      </c>
      <c r="D21382" t="s">
        <v>73342</v>
      </c>
      <c r="E21382" t="s">
        <v>73343</v>
      </c>
      <c r="F21382" t="s">
        <v>1858</v>
      </c>
      <c r="G21382" t="s">
        <v>190</v>
      </c>
      <c r="H21382">
        <v>80907</v>
      </c>
      <c r="I21382" t="s">
        <v>30</v>
      </c>
      <c r="J21382" t="s">
        <v>171</v>
      </c>
      <c r="K21382" t="s">
        <v>1202</v>
      </c>
      <c r="N21382" t="s">
        <v>73344</v>
      </c>
      <c r="O21382" t="s">
        <v>73345</v>
      </c>
      <c r="Q21382">
        <v>0</v>
      </c>
      <c r="R21382">
        <v>124</v>
      </c>
      <c r="S21382">
        <v>0</v>
      </c>
      <c r="T21382" t="s">
        <v>73346</v>
      </c>
    </row>
    <row r="21383" spans="1:25" customFormat="1" ht="15" x14ac:dyDescent="0.25">
      <c r="A21383" t="s">
        <v>24</v>
      </c>
      <c r="B21383" t="s">
        <v>167</v>
      </c>
      <c r="C21383" t="str">
        <f>"A0095452"</f>
        <v>A0095452</v>
      </c>
      <c r="D21383" t="s">
        <v>80584</v>
      </c>
      <c r="E21383" t="s">
        <v>80585</v>
      </c>
      <c r="F21383" t="s">
        <v>170</v>
      </c>
      <c r="G21383" t="s">
        <v>110</v>
      </c>
      <c r="H21383">
        <v>93449</v>
      </c>
      <c r="I21383" t="s">
        <v>30</v>
      </c>
      <c r="J21383" t="s">
        <v>31</v>
      </c>
      <c r="K21383" t="s">
        <v>163</v>
      </c>
      <c r="N21383" t="s">
        <v>80586</v>
      </c>
      <c r="O21383" t="s">
        <v>80587</v>
      </c>
      <c r="Q21383">
        <v>0</v>
      </c>
      <c r="R21383">
        <v>158</v>
      </c>
      <c r="S21383">
        <v>0</v>
      </c>
      <c r="T21383" t="s">
        <v>80588</v>
      </c>
    </row>
    <row r="21384" spans="1:25" x14ac:dyDescent="0.25">
      <c r="A21384" s="5" t="s">
        <v>24</v>
      </c>
      <c r="B21384" s="5" t="s">
        <v>11027</v>
      </c>
      <c r="C21384" s="5" t="str">
        <f>"A0058540"</f>
        <v>A0058540</v>
      </c>
      <c r="D21384" s="5" t="s">
        <v>73347</v>
      </c>
      <c r="E21384" s="5" t="s">
        <v>73348</v>
      </c>
      <c r="F21384" s="5" t="s">
        <v>73349</v>
      </c>
      <c r="G21384" s="5" t="s">
        <v>58</v>
      </c>
      <c r="H21384" s="5">
        <v>29063</v>
      </c>
      <c r="I21384" s="5" t="s">
        <v>30</v>
      </c>
      <c r="J21384" s="5" t="s">
        <v>171</v>
      </c>
      <c r="K21384" s="5" t="s">
        <v>1202</v>
      </c>
      <c r="L21384" s="5"/>
      <c r="M21384" s="5"/>
      <c r="N21384" s="5" t="s">
        <v>73350</v>
      </c>
      <c r="O21384" s="5" t="s">
        <v>73351</v>
      </c>
      <c r="P21384" s="5"/>
      <c r="Q21384" s="5">
        <v>0</v>
      </c>
      <c r="R21384" s="5">
        <v>127</v>
      </c>
      <c r="S21384" s="5">
        <v>0</v>
      </c>
      <c r="T21384" s="5" t="s">
        <v>73352</v>
      </c>
      <c r="U21384" s="5"/>
      <c r="V21384" s="5"/>
      <c r="W21384" s="5"/>
      <c r="X21384" s="5"/>
      <c r="Y21384" s="5"/>
    </row>
    <row r="21385" spans="1:25" customFormat="1" ht="15" x14ac:dyDescent="0.25">
      <c r="A21385" t="s">
        <v>24</v>
      </c>
      <c r="B21385" t="s">
        <v>72975</v>
      </c>
      <c r="C21385" t="str">
        <f>"A0058522"</f>
        <v>A0058522</v>
      </c>
      <c r="D21385" t="s">
        <v>73353</v>
      </c>
      <c r="E21385" t="s">
        <v>73354</v>
      </c>
      <c r="F21385" t="s">
        <v>1969</v>
      </c>
      <c r="G21385" t="s">
        <v>65</v>
      </c>
      <c r="H21385">
        <v>43017</v>
      </c>
      <c r="I21385" t="s">
        <v>30</v>
      </c>
      <c r="J21385" t="s">
        <v>171</v>
      </c>
      <c r="K21385" t="s">
        <v>1202</v>
      </c>
      <c r="N21385" t="s">
        <v>73355</v>
      </c>
      <c r="O21385" t="s">
        <v>73356</v>
      </c>
      <c r="Q21385">
        <v>0</v>
      </c>
      <c r="R21385">
        <v>124</v>
      </c>
      <c r="S21385">
        <v>0</v>
      </c>
      <c r="T21385" t="s">
        <v>73357</v>
      </c>
    </row>
    <row r="21386" spans="1:25" customFormat="1" ht="15" x14ac:dyDescent="0.25">
      <c r="A21386" t="s">
        <v>24</v>
      </c>
      <c r="B21386" t="s">
        <v>72975</v>
      </c>
      <c r="C21386" t="str">
        <f>"A0095082"</f>
        <v>A0095082</v>
      </c>
      <c r="D21386" t="s">
        <v>73358</v>
      </c>
      <c r="E21386" t="s">
        <v>73359</v>
      </c>
      <c r="F21386" t="s">
        <v>2094</v>
      </c>
      <c r="G21386" t="s">
        <v>52</v>
      </c>
      <c r="H21386">
        <v>75261</v>
      </c>
      <c r="I21386" t="s">
        <v>30</v>
      </c>
      <c r="J21386" t="s">
        <v>171</v>
      </c>
      <c r="K21386" t="s">
        <v>1202</v>
      </c>
      <c r="N21386" t="s">
        <v>73360</v>
      </c>
      <c r="O21386" t="s">
        <v>73361</v>
      </c>
      <c r="Q21386">
        <v>0</v>
      </c>
      <c r="R21386">
        <v>137</v>
      </c>
      <c r="S21386">
        <v>0</v>
      </c>
      <c r="T21386" t="s">
        <v>73362</v>
      </c>
    </row>
    <row r="21387" spans="1:25" customFormat="1" ht="15" x14ac:dyDescent="0.25">
      <c r="A21387" t="s">
        <v>24</v>
      </c>
      <c r="B21387" t="s">
        <v>56742</v>
      </c>
      <c r="C21387" t="str">
        <f>"A0090843"</f>
        <v>A0090843</v>
      </c>
      <c r="D21387" t="s">
        <v>80602</v>
      </c>
      <c r="E21387" t="s">
        <v>80603</v>
      </c>
      <c r="F21387" t="s">
        <v>2039</v>
      </c>
      <c r="G21387" t="s">
        <v>110</v>
      </c>
      <c r="H21387">
        <v>95060</v>
      </c>
      <c r="I21387" t="s">
        <v>30</v>
      </c>
      <c r="J21387" t="s">
        <v>145</v>
      </c>
      <c r="K21387" t="s">
        <v>163</v>
      </c>
      <c r="N21387" t="s">
        <v>80604</v>
      </c>
      <c r="Q21387">
        <v>0</v>
      </c>
      <c r="R21387">
        <v>24</v>
      </c>
      <c r="S21387">
        <v>0</v>
      </c>
      <c r="T21387" t="s">
        <v>80605</v>
      </c>
    </row>
    <row r="21388" spans="1:25" customFormat="1" ht="15" x14ac:dyDescent="0.25">
      <c r="A21388" t="s">
        <v>24</v>
      </c>
      <c r="B21388" t="s">
        <v>11010</v>
      </c>
      <c r="C21388" t="str">
        <f>"A0155674"</f>
        <v>A0155674</v>
      </c>
      <c r="D21388" t="s">
        <v>80606</v>
      </c>
      <c r="E21388" t="s">
        <v>80607</v>
      </c>
      <c r="F21388" t="s">
        <v>997</v>
      </c>
      <c r="G21388" t="s">
        <v>99</v>
      </c>
      <c r="H21388">
        <v>10013</v>
      </c>
      <c r="I21388" t="s">
        <v>30</v>
      </c>
      <c r="J21388" t="s">
        <v>31</v>
      </c>
      <c r="K21388" t="s">
        <v>163</v>
      </c>
      <c r="Q21388">
        <v>0</v>
      </c>
      <c r="R21388">
        <v>93</v>
      </c>
      <c r="S21388">
        <v>0</v>
      </c>
      <c r="T21388" t="s">
        <v>80608</v>
      </c>
    </row>
    <row r="21389" spans="1:25" customFormat="1" ht="15" hidden="1" x14ac:dyDescent="0.25">
      <c r="A21389" t="s">
        <v>24</v>
      </c>
      <c r="B21389" t="s">
        <v>11010</v>
      </c>
      <c r="C21389" t="str">
        <f>"A0145932"</f>
        <v>A0145932</v>
      </c>
      <c r="D21389" t="s">
        <v>80609</v>
      </c>
      <c r="E21389" t="s">
        <v>80610</v>
      </c>
      <c r="F21389" t="s">
        <v>5423</v>
      </c>
      <c r="G21389" t="s">
        <v>5424</v>
      </c>
      <c r="H21389">
        <v>77500</v>
      </c>
      <c r="I21389" t="s">
        <v>2408</v>
      </c>
      <c r="J21389" t="s">
        <v>162</v>
      </c>
      <c r="K21389" t="s">
        <v>11013</v>
      </c>
      <c r="N21389" t="s">
        <v>80611</v>
      </c>
      <c r="O21389" t="s">
        <v>80612</v>
      </c>
      <c r="Q21389">
        <v>0</v>
      </c>
      <c r="R21389">
        <v>51</v>
      </c>
      <c r="S21389">
        <v>0</v>
      </c>
      <c r="T21389" t="s">
        <v>80613</v>
      </c>
    </row>
    <row r="21390" spans="1:25" customFormat="1" ht="15" x14ac:dyDescent="0.25">
      <c r="A21390" t="s">
        <v>24</v>
      </c>
      <c r="B21390" t="s">
        <v>72975</v>
      </c>
      <c r="C21390" t="str">
        <f>"A0074425"</f>
        <v>A0074425</v>
      </c>
      <c r="D21390" t="s">
        <v>73363</v>
      </c>
      <c r="E21390" t="s">
        <v>73364</v>
      </c>
      <c r="F21390" t="s">
        <v>2094</v>
      </c>
      <c r="G21390" t="s">
        <v>52</v>
      </c>
      <c r="H21390">
        <v>75240</v>
      </c>
      <c r="I21390" t="s">
        <v>30</v>
      </c>
      <c r="J21390" t="s">
        <v>171</v>
      </c>
      <c r="K21390" t="s">
        <v>1202</v>
      </c>
      <c r="N21390" t="s">
        <v>73365</v>
      </c>
      <c r="O21390" t="s">
        <v>73366</v>
      </c>
      <c r="Q21390">
        <v>0</v>
      </c>
      <c r="R21390">
        <v>123</v>
      </c>
      <c r="S21390">
        <v>0</v>
      </c>
      <c r="T21390" t="s">
        <v>73367</v>
      </c>
    </row>
    <row r="21391" spans="1:25" customFormat="1" ht="15" hidden="1" x14ac:dyDescent="0.25">
      <c r="A21391" t="s">
        <v>24</v>
      </c>
      <c r="B21391" t="s">
        <v>11010</v>
      </c>
      <c r="C21391" t="str">
        <f>"A0145931"</f>
        <v>A0145931</v>
      </c>
      <c r="D21391" t="s">
        <v>80619</v>
      </c>
      <c r="E21391" t="s">
        <v>80620</v>
      </c>
      <c r="F21391" t="s">
        <v>5423</v>
      </c>
      <c r="G21391" t="s">
        <v>5424</v>
      </c>
      <c r="H21391">
        <v>77500</v>
      </c>
      <c r="I21391" t="s">
        <v>2408</v>
      </c>
      <c r="J21391" t="s">
        <v>162</v>
      </c>
      <c r="K21391" t="s">
        <v>11013</v>
      </c>
      <c r="N21391" t="s">
        <v>80611</v>
      </c>
      <c r="Q21391">
        <v>0</v>
      </c>
      <c r="R21391">
        <v>201</v>
      </c>
      <c r="S21391">
        <v>0</v>
      </c>
      <c r="T21391" t="s">
        <v>80621</v>
      </c>
    </row>
    <row r="21392" spans="1:25" customFormat="1" ht="15" hidden="1" x14ac:dyDescent="0.25">
      <c r="A21392" t="s">
        <v>24</v>
      </c>
      <c r="B21392" t="s">
        <v>11010</v>
      </c>
      <c r="C21392" t="str">
        <f>"A0145929"</f>
        <v>A0145929</v>
      </c>
      <c r="D21392" t="s">
        <v>80622</v>
      </c>
      <c r="E21392" t="s">
        <v>80623</v>
      </c>
      <c r="F21392" t="s">
        <v>5874</v>
      </c>
      <c r="G21392" t="s">
        <v>3843</v>
      </c>
      <c r="H21392">
        <v>9760</v>
      </c>
      <c r="I21392" t="s">
        <v>2408</v>
      </c>
      <c r="J21392" t="s">
        <v>162</v>
      </c>
      <c r="K21392" t="s">
        <v>11013</v>
      </c>
      <c r="N21392" t="s">
        <v>80624</v>
      </c>
      <c r="Q21392">
        <v>0</v>
      </c>
      <c r="R21392">
        <v>149</v>
      </c>
      <c r="S21392">
        <v>0</v>
      </c>
      <c r="T21392" t="s">
        <v>80625</v>
      </c>
    </row>
    <row r="21393" spans="1:20" customFormat="1" ht="15" x14ac:dyDescent="0.25">
      <c r="A21393" t="s">
        <v>24</v>
      </c>
      <c r="B21393" t="s">
        <v>11010</v>
      </c>
      <c r="C21393" t="str">
        <f>"A0145399"</f>
        <v>A0145399</v>
      </c>
      <c r="D21393" t="s">
        <v>80626</v>
      </c>
      <c r="E21393" t="s">
        <v>80627</v>
      </c>
      <c r="F21393" t="s">
        <v>1889</v>
      </c>
      <c r="G21393" t="s">
        <v>81</v>
      </c>
      <c r="H21393">
        <v>33135</v>
      </c>
      <c r="I21393" t="s">
        <v>30</v>
      </c>
      <c r="J21393" t="s">
        <v>31</v>
      </c>
      <c r="K21393" t="s">
        <v>163</v>
      </c>
      <c r="Q21393">
        <v>0</v>
      </c>
      <c r="R21393">
        <v>200</v>
      </c>
      <c r="S21393">
        <v>0</v>
      </c>
      <c r="T21393" t="s">
        <v>80628</v>
      </c>
    </row>
    <row r="21394" spans="1:20" customFormat="1" ht="15" hidden="1" x14ac:dyDescent="0.25">
      <c r="A21394" t="s">
        <v>24</v>
      </c>
      <c r="B21394" t="s">
        <v>11010</v>
      </c>
      <c r="C21394" t="str">
        <f>"A0145928"</f>
        <v>A0145928</v>
      </c>
      <c r="D21394" t="s">
        <v>80629</v>
      </c>
      <c r="E21394" t="s">
        <v>80630</v>
      </c>
      <c r="F21394" t="s">
        <v>56035</v>
      </c>
      <c r="G21394" t="s">
        <v>5424</v>
      </c>
      <c r="H21394">
        <v>77710</v>
      </c>
      <c r="I21394" t="s">
        <v>2408</v>
      </c>
      <c r="J21394" t="s">
        <v>162</v>
      </c>
      <c r="K21394" t="s">
        <v>11013</v>
      </c>
      <c r="N21394" t="s">
        <v>80631</v>
      </c>
      <c r="Q21394">
        <v>0</v>
      </c>
      <c r="R21394">
        <v>84</v>
      </c>
      <c r="S21394">
        <v>0</v>
      </c>
      <c r="T21394" t="s">
        <v>80632</v>
      </c>
    </row>
    <row r="21395" spans="1:20" customFormat="1" ht="15" hidden="1" x14ac:dyDescent="0.25">
      <c r="A21395" t="s">
        <v>24</v>
      </c>
      <c r="B21395" t="s">
        <v>11010</v>
      </c>
      <c r="C21395" t="str">
        <f>"A0145933"</f>
        <v>A0145933</v>
      </c>
      <c r="D21395" t="s">
        <v>80633</v>
      </c>
      <c r="E21395" t="s">
        <v>80634</v>
      </c>
      <c r="F21395" t="s">
        <v>80635</v>
      </c>
      <c r="G21395" t="s">
        <v>32767</v>
      </c>
      <c r="H21395">
        <v>71980</v>
      </c>
      <c r="I21395" t="s">
        <v>2408</v>
      </c>
      <c r="J21395" t="s">
        <v>162</v>
      </c>
      <c r="K21395" t="s">
        <v>11013</v>
      </c>
      <c r="N21395" t="s">
        <v>80636</v>
      </c>
      <c r="Q21395">
        <v>0</v>
      </c>
      <c r="R21395">
        <v>38</v>
      </c>
      <c r="S21395">
        <v>0</v>
      </c>
      <c r="T21395" t="s">
        <v>80637</v>
      </c>
    </row>
    <row r="21396" spans="1:20" customFormat="1" ht="15" x14ac:dyDescent="0.25">
      <c r="A21396" t="s">
        <v>24</v>
      </c>
      <c r="B21396" t="s">
        <v>11010</v>
      </c>
      <c r="C21396" t="str">
        <f>"A0155675"</f>
        <v>A0155675</v>
      </c>
      <c r="D21396" t="s">
        <v>80638</v>
      </c>
      <c r="E21396" t="s">
        <v>80639</v>
      </c>
      <c r="F21396" t="s">
        <v>1889</v>
      </c>
      <c r="G21396" t="s">
        <v>81</v>
      </c>
      <c r="H21396">
        <v>33130</v>
      </c>
      <c r="I21396" t="s">
        <v>30</v>
      </c>
      <c r="J21396" t="s">
        <v>31</v>
      </c>
      <c r="K21396" t="s">
        <v>163</v>
      </c>
      <c r="N21396" t="s">
        <v>80640</v>
      </c>
      <c r="Q21396">
        <v>0</v>
      </c>
      <c r="R21396">
        <v>90</v>
      </c>
      <c r="S21396">
        <v>0</v>
      </c>
      <c r="T21396" t="s">
        <v>80641</v>
      </c>
    </row>
    <row r="21397" spans="1:20" customFormat="1" ht="15" hidden="1" x14ac:dyDescent="0.25">
      <c r="A21397" t="s">
        <v>24</v>
      </c>
      <c r="B21397" t="s">
        <v>11010</v>
      </c>
      <c r="C21397" t="str">
        <f>"A0145930"</f>
        <v>A0145930</v>
      </c>
      <c r="D21397" t="s">
        <v>80642</v>
      </c>
      <c r="E21397" t="s">
        <v>80643</v>
      </c>
      <c r="F21397" t="s">
        <v>80363</v>
      </c>
      <c r="G21397" t="s">
        <v>4528</v>
      </c>
      <c r="H21397">
        <v>37700</v>
      </c>
      <c r="I21397" t="s">
        <v>2408</v>
      </c>
      <c r="J21397" t="s">
        <v>162</v>
      </c>
      <c r="K21397" t="s">
        <v>11013</v>
      </c>
      <c r="N21397" t="s">
        <v>80644</v>
      </c>
      <c r="Q21397">
        <v>0</v>
      </c>
      <c r="R21397">
        <v>34</v>
      </c>
      <c r="S21397">
        <v>0</v>
      </c>
      <c r="T21397" t="s">
        <v>80645</v>
      </c>
    </row>
    <row r="21398" spans="1:20" customFormat="1" ht="15" hidden="1" x14ac:dyDescent="0.25">
      <c r="A21398" t="s">
        <v>24</v>
      </c>
      <c r="B21398" t="s">
        <v>11010</v>
      </c>
      <c r="C21398" t="str">
        <f>"A0154625"</f>
        <v>A0154625</v>
      </c>
      <c r="D21398" t="s">
        <v>80646</v>
      </c>
      <c r="E21398" t="s">
        <v>80647</v>
      </c>
      <c r="F21398" t="s">
        <v>5423</v>
      </c>
      <c r="G21398" t="s">
        <v>5424</v>
      </c>
      <c r="H21398">
        <v>77500</v>
      </c>
      <c r="I21398" t="s">
        <v>2408</v>
      </c>
      <c r="J21398" t="s">
        <v>162</v>
      </c>
      <c r="K21398" t="s">
        <v>11013</v>
      </c>
      <c r="N21398" t="s">
        <v>80648</v>
      </c>
      <c r="Q21398">
        <v>0</v>
      </c>
      <c r="R21398">
        <v>90</v>
      </c>
      <c r="S21398">
        <v>0</v>
      </c>
      <c r="T21398" t="s">
        <v>192</v>
      </c>
    </row>
    <row r="21399" spans="1:20" customFormat="1" ht="15" x14ac:dyDescent="0.25">
      <c r="A21399" t="s">
        <v>24</v>
      </c>
      <c r="B21399" t="s">
        <v>11010</v>
      </c>
      <c r="C21399" t="str">
        <f>"A0155676"</f>
        <v>A0155676</v>
      </c>
      <c r="D21399" t="s">
        <v>80649</v>
      </c>
      <c r="E21399" t="s">
        <v>80650</v>
      </c>
      <c r="F21399" t="s">
        <v>63548</v>
      </c>
      <c r="G21399" t="s">
        <v>99</v>
      </c>
      <c r="H21399">
        <v>12498</v>
      </c>
      <c r="I21399" t="s">
        <v>30</v>
      </c>
      <c r="J21399" t="s">
        <v>31</v>
      </c>
      <c r="K21399" t="s">
        <v>163</v>
      </c>
      <c r="N21399" t="s">
        <v>80651</v>
      </c>
      <c r="Q21399">
        <v>0</v>
      </c>
      <c r="R21399">
        <v>76</v>
      </c>
      <c r="S21399">
        <v>0</v>
      </c>
      <c r="T21399" t="s">
        <v>80652</v>
      </c>
    </row>
    <row r="21400" spans="1:20" customFormat="1" ht="15" x14ac:dyDescent="0.25">
      <c r="A21400" t="s">
        <v>24</v>
      </c>
      <c r="B21400" t="s">
        <v>1528</v>
      </c>
      <c r="C21400" t="str">
        <f>"A0050528"</f>
        <v>A0050528</v>
      </c>
      <c r="D21400" t="s">
        <v>80653</v>
      </c>
      <c r="E21400" t="s">
        <v>80654</v>
      </c>
      <c r="F21400" t="s">
        <v>65262</v>
      </c>
      <c r="G21400" t="s">
        <v>76</v>
      </c>
      <c r="H21400">
        <v>98230</v>
      </c>
      <c r="I21400" t="s">
        <v>30</v>
      </c>
      <c r="J21400" t="s">
        <v>178</v>
      </c>
      <c r="K21400" t="s">
        <v>163</v>
      </c>
      <c r="N21400" t="s">
        <v>80655</v>
      </c>
      <c r="Q21400">
        <v>1</v>
      </c>
      <c r="R21400">
        <v>0</v>
      </c>
      <c r="S21400">
        <v>0</v>
      </c>
      <c r="T21400" t="s">
        <v>80656</v>
      </c>
    </row>
    <row r="21401" spans="1:20" customFormat="1" ht="15" x14ac:dyDescent="0.25">
      <c r="A21401" t="s">
        <v>24</v>
      </c>
      <c r="B21401" t="s">
        <v>54970</v>
      </c>
      <c r="C21401" t="str">
        <f>"A0091586"</f>
        <v>A0091586</v>
      </c>
      <c r="D21401" t="s">
        <v>73368</v>
      </c>
      <c r="E21401" t="s">
        <v>73369</v>
      </c>
      <c r="F21401" t="s">
        <v>55765</v>
      </c>
      <c r="G21401" t="s">
        <v>81</v>
      </c>
      <c r="H21401">
        <v>33444</v>
      </c>
      <c r="I21401" t="s">
        <v>30</v>
      </c>
      <c r="J21401" t="s">
        <v>171</v>
      </c>
      <c r="K21401" t="s">
        <v>1202</v>
      </c>
      <c r="N21401" t="s">
        <v>73370</v>
      </c>
      <c r="O21401" t="s">
        <v>73371</v>
      </c>
      <c r="Q21401">
        <v>0</v>
      </c>
      <c r="R21401">
        <v>134</v>
      </c>
      <c r="S21401">
        <v>0</v>
      </c>
      <c r="T21401" t="s">
        <v>73372</v>
      </c>
    </row>
    <row r="21402" spans="1:20" customFormat="1" ht="15" x14ac:dyDescent="0.25">
      <c r="A21402" t="s">
        <v>24</v>
      </c>
      <c r="B21402" t="s">
        <v>2528</v>
      </c>
      <c r="C21402" t="str">
        <f>"A0056581"</f>
        <v>A0056581</v>
      </c>
      <c r="D21402" t="s">
        <v>73373</v>
      </c>
      <c r="E21402" t="s">
        <v>73374</v>
      </c>
      <c r="F21402" t="s">
        <v>5518</v>
      </c>
      <c r="G21402" t="s">
        <v>190</v>
      </c>
      <c r="H21402">
        <v>80246</v>
      </c>
      <c r="I21402" t="s">
        <v>30</v>
      </c>
      <c r="J21402" t="s">
        <v>171</v>
      </c>
      <c r="K21402" t="s">
        <v>1202</v>
      </c>
      <c r="N21402" t="s">
        <v>14566</v>
      </c>
      <c r="Q21402">
        <v>0</v>
      </c>
      <c r="R21402">
        <v>194</v>
      </c>
      <c r="S21402">
        <v>0</v>
      </c>
      <c r="T21402" t="s">
        <v>73375</v>
      </c>
    </row>
    <row r="21403" spans="1:20" customFormat="1" ht="15" hidden="1" x14ac:dyDescent="0.25">
      <c r="A21403" t="s">
        <v>24</v>
      </c>
      <c r="B21403" t="s">
        <v>55676</v>
      </c>
      <c r="C21403" t="str">
        <f>"A0100925"</f>
        <v>A0100925</v>
      </c>
      <c r="D21403" t="s">
        <v>55676</v>
      </c>
      <c r="E21403" t="s">
        <v>80666</v>
      </c>
      <c r="F21403" t="s">
        <v>5874</v>
      </c>
      <c r="G21403" t="s">
        <v>3843</v>
      </c>
      <c r="H21403">
        <v>5348</v>
      </c>
      <c r="I21403" t="s">
        <v>2408</v>
      </c>
      <c r="J21403" t="s">
        <v>215</v>
      </c>
      <c r="K21403" t="s">
        <v>163</v>
      </c>
      <c r="N21403" t="s">
        <v>55679</v>
      </c>
      <c r="Q21403">
        <v>0</v>
      </c>
      <c r="R21403">
        <v>0</v>
      </c>
      <c r="S21403">
        <v>0</v>
      </c>
      <c r="T21403" t="s">
        <v>55680</v>
      </c>
    </row>
    <row r="21404" spans="1:20" customFormat="1" ht="15" x14ac:dyDescent="0.25">
      <c r="A21404" t="s">
        <v>24</v>
      </c>
      <c r="B21404" t="s">
        <v>1487</v>
      </c>
      <c r="C21404" t="str">
        <f>"A0094839"</f>
        <v>A0094839</v>
      </c>
      <c r="D21404" t="s">
        <v>73376</v>
      </c>
      <c r="E21404" t="s">
        <v>73018</v>
      </c>
      <c r="F21404" t="s">
        <v>972</v>
      </c>
      <c r="G21404" t="s">
        <v>190</v>
      </c>
      <c r="H21404">
        <v>80202</v>
      </c>
      <c r="I21404" t="s">
        <v>30</v>
      </c>
      <c r="J21404" t="s">
        <v>171</v>
      </c>
      <c r="K21404" t="s">
        <v>1202</v>
      </c>
      <c r="N21404" t="s">
        <v>73019</v>
      </c>
      <c r="Q21404">
        <v>0</v>
      </c>
      <c r="R21404">
        <v>248</v>
      </c>
      <c r="S21404">
        <v>0</v>
      </c>
      <c r="T21404" t="s">
        <v>73377</v>
      </c>
    </row>
    <row r="21405" spans="1:20" customFormat="1" ht="15" x14ac:dyDescent="0.25">
      <c r="A21405" t="s">
        <v>24</v>
      </c>
      <c r="B21405" t="s">
        <v>2360</v>
      </c>
      <c r="C21405" t="str">
        <f>"A0069441"</f>
        <v>A0069441</v>
      </c>
      <c r="D21405" t="s">
        <v>80671</v>
      </c>
      <c r="E21405" t="s">
        <v>80672</v>
      </c>
      <c r="F21405" t="s">
        <v>71450</v>
      </c>
      <c r="G21405" t="s">
        <v>197</v>
      </c>
      <c r="H21405" t="s">
        <v>80673</v>
      </c>
      <c r="I21405" t="s">
        <v>30</v>
      </c>
      <c r="J21405" t="s">
        <v>178</v>
      </c>
      <c r="K21405" t="s">
        <v>55688</v>
      </c>
      <c r="N21405" t="s">
        <v>80674</v>
      </c>
      <c r="O21405" t="s">
        <v>80675</v>
      </c>
      <c r="P21405" t="s">
        <v>992</v>
      </c>
      <c r="Q21405">
        <v>1</v>
      </c>
      <c r="R21405">
        <v>0</v>
      </c>
      <c r="S21405">
        <v>0</v>
      </c>
      <c r="T21405" t="s">
        <v>80676</v>
      </c>
    </row>
    <row r="21406" spans="1:20" customFormat="1" ht="15" x14ac:dyDescent="0.25">
      <c r="A21406" t="s">
        <v>24</v>
      </c>
      <c r="B21406" t="s">
        <v>174</v>
      </c>
      <c r="C21406" t="str">
        <f>"A0052355"</f>
        <v>A0052355</v>
      </c>
      <c r="D21406" t="s">
        <v>80677</v>
      </c>
      <c r="E21406" t="s">
        <v>80678</v>
      </c>
      <c r="F21406" t="s">
        <v>80679</v>
      </c>
      <c r="G21406" t="s">
        <v>338</v>
      </c>
      <c r="H21406">
        <v>7076</v>
      </c>
      <c r="I21406" t="s">
        <v>30</v>
      </c>
      <c r="J21406" t="s">
        <v>178</v>
      </c>
      <c r="K21406" t="s">
        <v>179</v>
      </c>
      <c r="N21406" t="s">
        <v>80680</v>
      </c>
      <c r="P21406" t="s">
        <v>992</v>
      </c>
      <c r="Q21406">
        <v>1</v>
      </c>
      <c r="R21406">
        <v>0</v>
      </c>
      <c r="S21406">
        <v>0</v>
      </c>
      <c r="T21406" t="s">
        <v>80681</v>
      </c>
    </row>
    <row r="21407" spans="1:20" customFormat="1" ht="15" x14ac:dyDescent="0.25">
      <c r="A21407" t="s">
        <v>24</v>
      </c>
      <c r="B21407" t="s">
        <v>1583</v>
      </c>
      <c r="C21407" t="str">
        <f>"38K50"</f>
        <v>38K50</v>
      </c>
      <c r="D21407" t="s">
        <v>80682</v>
      </c>
      <c r="E21407" t="s">
        <v>80683</v>
      </c>
      <c r="F21407" t="s">
        <v>10152</v>
      </c>
      <c r="G21407" t="s">
        <v>110</v>
      </c>
      <c r="H21407">
        <v>92211</v>
      </c>
      <c r="I21407" t="s">
        <v>30</v>
      </c>
      <c r="J21407" t="s">
        <v>2544</v>
      </c>
      <c r="K21407" t="s">
        <v>36059</v>
      </c>
      <c r="N21407" t="s">
        <v>80684</v>
      </c>
      <c r="O21407" t="s">
        <v>80685</v>
      </c>
      <c r="Q21407">
        <v>1</v>
      </c>
      <c r="R21407">
        <v>318</v>
      </c>
      <c r="S21407">
        <v>0</v>
      </c>
      <c r="T21407" t="s">
        <v>80686</v>
      </c>
    </row>
    <row r="21408" spans="1:20" customFormat="1" ht="15" x14ac:dyDescent="0.25">
      <c r="A21408" t="s">
        <v>24</v>
      </c>
      <c r="B21408" t="s">
        <v>1583</v>
      </c>
      <c r="C21408" t="str">
        <f>"A0100723"</f>
        <v>A0100723</v>
      </c>
      <c r="D21408" t="s">
        <v>80687</v>
      </c>
      <c r="E21408" t="s">
        <v>80688</v>
      </c>
      <c r="F21408" t="s">
        <v>10152</v>
      </c>
      <c r="G21408" t="s">
        <v>110</v>
      </c>
      <c r="H21408">
        <v>92211</v>
      </c>
      <c r="I21408" t="s">
        <v>30</v>
      </c>
      <c r="J21408" t="s">
        <v>191</v>
      </c>
      <c r="K21408" t="s">
        <v>6809</v>
      </c>
      <c r="N21408" t="s">
        <v>80689</v>
      </c>
      <c r="Q21408">
        <v>0</v>
      </c>
      <c r="R21408">
        <v>0</v>
      </c>
      <c r="S21408">
        <v>0</v>
      </c>
      <c r="T21408" t="s">
        <v>80690</v>
      </c>
    </row>
    <row r="21409" spans="1:20" customFormat="1" ht="15" x14ac:dyDescent="0.25">
      <c r="A21409" t="s">
        <v>24</v>
      </c>
      <c r="B21409" t="s">
        <v>2360</v>
      </c>
      <c r="C21409" t="str">
        <f>"CL0118"</f>
        <v>CL0118</v>
      </c>
      <c r="D21409" t="s">
        <v>80691</v>
      </c>
      <c r="E21409" t="s">
        <v>80692</v>
      </c>
      <c r="F21409" t="s">
        <v>80693</v>
      </c>
      <c r="G21409" t="s">
        <v>110</v>
      </c>
      <c r="H21409">
        <v>92083</v>
      </c>
      <c r="I21409" t="s">
        <v>30</v>
      </c>
      <c r="J21409" t="s">
        <v>178</v>
      </c>
      <c r="K21409" t="s">
        <v>56676</v>
      </c>
      <c r="N21409" t="s">
        <v>80694</v>
      </c>
      <c r="P21409" t="s">
        <v>992</v>
      </c>
      <c r="Q21409">
        <v>1</v>
      </c>
      <c r="R21409">
        <v>0</v>
      </c>
      <c r="S21409">
        <v>0</v>
      </c>
      <c r="T21409" t="s">
        <v>80695</v>
      </c>
    </row>
    <row r="21410" spans="1:20" customFormat="1" ht="15" x14ac:dyDescent="0.25">
      <c r="A21410" t="s">
        <v>24</v>
      </c>
      <c r="B21410" t="s">
        <v>8579</v>
      </c>
      <c r="C21410" t="str">
        <f>"A0074449"</f>
        <v>A0074449</v>
      </c>
      <c r="D21410" t="s">
        <v>73378</v>
      </c>
      <c r="E21410" t="s">
        <v>73379</v>
      </c>
      <c r="F21410" t="s">
        <v>14560</v>
      </c>
      <c r="G21410" t="s">
        <v>190</v>
      </c>
      <c r="H21410">
        <v>80111</v>
      </c>
      <c r="I21410" t="s">
        <v>30</v>
      </c>
      <c r="J21410" t="s">
        <v>171</v>
      </c>
      <c r="K21410" t="s">
        <v>1202</v>
      </c>
      <c r="N21410" t="s">
        <v>73380</v>
      </c>
      <c r="O21410" t="s">
        <v>73381</v>
      </c>
      <c r="Q21410">
        <v>0</v>
      </c>
      <c r="R21410">
        <v>126</v>
      </c>
      <c r="S21410">
        <v>0</v>
      </c>
      <c r="T21410" t="s">
        <v>73382</v>
      </c>
    </row>
    <row r="21411" spans="1:20" customFormat="1" ht="15" x14ac:dyDescent="0.25">
      <c r="A21411" t="s">
        <v>24</v>
      </c>
      <c r="B21411" t="s">
        <v>6667</v>
      </c>
      <c r="C21411" t="str">
        <f>"A0096665"</f>
        <v>A0096665</v>
      </c>
      <c r="D21411" t="s">
        <v>80702</v>
      </c>
      <c r="E21411" t="s">
        <v>80703</v>
      </c>
      <c r="F21411" t="s">
        <v>3472</v>
      </c>
      <c r="G21411" t="s">
        <v>110</v>
      </c>
      <c r="H21411">
        <v>92405</v>
      </c>
      <c r="I21411" t="s">
        <v>30</v>
      </c>
      <c r="J21411" t="s">
        <v>178</v>
      </c>
      <c r="K21411" t="s">
        <v>6667</v>
      </c>
      <c r="N21411" t="s">
        <v>80704</v>
      </c>
      <c r="Q21411">
        <v>0</v>
      </c>
      <c r="R21411">
        <v>0</v>
      </c>
      <c r="S21411">
        <v>0</v>
      </c>
      <c r="T21411" t="s">
        <v>80705</v>
      </c>
    </row>
    <row r="21412" spans="1:20" hidden="1" x14ac:dyDescent="0.25">
      <c r="A21412" s="3" t="s">
        <v>24</v>
      </c>
      <c r="B21412" s="3" t="s">
        <v>80706</v>
      </c>
      <c r="C21412" s="3" t="str">
        <f>"A0091405"</f>
        <v>A0091405</v>
      </c>
      <c r="D21412" s="3" t="s">
        <v>80707</v>
      </c>
      <c r="E21412" s="3" t="s">
        <v>80708</v>
      </c>
      <c r="F21412" s="3" t="s">
        <v>2269</v>
      </c>
      <c r="G21412" s="3" t="s">
        <v>2270</v>
      </c>
      <c r="H21412" s="3" t="s">
        <v>80709</v>
      </c>
      <c r="I21412" s="3" t="s">
        <v>1459</v>
      </c>
      <c r="J21412" s="3" t="s">
        <v>206</v>
      </c>
      <c r="K21412" s="3" t="s">
        <v>163</v>
      </c>
      <c r="N21412" s="3" t="s">
        <v>80710</v>
      </c>
      <c r="O21412" s="3" t="s">
        <v>80711</v>
      </c>
      <c r="Q21412" s="3">
        <v>0</v>
      </c>
      <c r="R21412" s="3">
        <v>119</v>
      </c>
      <c r="S21412" s="3">
        <v>0</v>
      </c>
      <c r="T21412" s="3" t="s">
        <v>80712</v>
      </c>
    </row>
    <row r="21413" spans="1:20" hidden="1" x14ac:dyDescent="0.25">
      <c r="A21413" s="3" t="s">
        <v>24</v>
      </c>
      <c r="B21413" s="3" t="s">
        <v>80706</v>
      </c>
      <c r="C21413" s="3" t="str">
        <f>"A0097013"</f>
        <v>A0097013</v>
      </c>
      <c r="D21413" s="3" t="s">
        <v>80713</v>
      </c>
      <c r="E21413" s="3" t="s">
        <v>80714</v>
      </c>
      <c r="F21413" s="3" t="s">
        <v>13197</v>
      </c>
      <c r="G21413" s="3" t="s">
        <v>2206</v>
      </c>
      <c r="H21413" s="3" t="s">
        <v>80715</v>
      </c>
      <c r="I21413" s="3" t="s">
        <v>1459</v>
      </c>
      <c r="J21413" s="3" t="s">
        <v>206</v>
      </c>
      <c r="K21413" s="3" t="s">
        <v>163</v>
      </c>
      <c r="N21413" s="3" t="s">
        <v>80716</v>
      </c>
      <c r="Q21413" s="3">
        <v>0</v>
      </c>
      <c r="R21413" s="3">
        <v>202</v>
      </c>
      <c r="S21413" s="3">
        <v>0</v>
      </c>
      <c r="T21413" s="3" t="s">
        <v>80717</v>
      </c>
    </row>
    <row r="21414" spans="1:20" customFormat="1" ht="15" x14ac:dyDescent="0.25">
      <c r="A21414" t="s">
        <v>24</v>
      </c>
      <c r="B21414" t="s">
        <v>799</v>
      </c>
      <c r="C21414" t="str">
        <f>"A0064240"</f>
        <v>A0064240</v>
      </c>
      <c r="D21414" t="s">
        <v>80718</v>
      </c>
      <c r="E21414" t="s">
        <v>80719</v>
      </c>
      <c r="F21414" t="s">
        <v>3973</v>
      </c>
      <c r="G21414" t="s">
        <v>58</v>
      </c>
      <c r="H21414">
        <v>29464</v>
      </c>
      <c r="I21414" t="s">
        <v>30</v>
      </c>
      <c r="J21414" t="s">
        <v>31</v>
      </c>
      <c r="K21414" t="s">
        <v>163</v>
      </c>
      <c r="N21414" t="s">
        <v>80720</v>
      </c>
      <c r="Q21414">
        <v>0</v>
      </c>
      <c r="R21414">
        <v>50</v>
      </c>
      <c r="S21414">
        <v>0</v>
      </c>
      <c r="T21414" t="s">
        <v>80721</v>
      </c>
    </row>
    <row r="21415" spans="1:20" customFormat="1" ht="15" x14ac:dyDescent="0.25">
      <c r="A21415" t="s">
        <v>24</v>
      </c>
      <c r="B21415" t="s">
        <v>80722</v>
      </c>
      <c r="C21415" t="str">
        <f>"A0091246"</f>
        <v>A0091246</v>
      </c>
      <c r="D21415" t="s">
        <v>80723</v>
      </c>
      <c r="E21415" t="s">
        <v>80724</v>
      </c>
      <c r="F21415" t="s">
        <v>76944</v>
      </c>
      <c r="G21415" t="s">
        <v>117</v>
      </c>
      <c r="H21415">
        <v>48348</v>
      </c>
      <c r="I21415" t="s">
        <v>30</v>
      </c>
      <c r="J21415" t="s">
        <v>178</v>
      </c>
      <c r="K21415" t="s">
        <v>179</v>
      </c>
      <c r="N21415" t="s">
        <v>77425</v>
      </c>
      <c r="O21415" t="s">
        <v>80725</v>
      </c>
      <c r="P21415" t="s">
        <v>992</v>
      </c>
      <c r="Q21415">
        <v>1</v>
      </c>
      <c r="R21415">
        <v>0</v>
      </c>
      <c r="S21415">
        <v>0</v>
      </c>
      <c r="T21415" t="s">
        <v>80726</v>
      </c>
    </row>
    <row r="21416" spans="1:20" customFormat="1" ht="15" hidden="1" x14ac:dyDescent="0.25">
      <c r="A21416" t="s">
        <v>24</v>
      </c>
      <c r="B21416" t="s">
        <v>675</v>
      </c>
      <c r="C21416" t="str">
        <f>"A0096850"</f>
        <v>A0096850</v>
      </c>
      <c r="D21416" t="s">
        <v>80727</v>
      </c>
      <c r="E21416" t="s">
        <v>80728</v>
      </c>
      <c r="F21416" t="s">
        <v>66357</v>
      </c>
      <c r="G21416" t="s">
        <v>4505</v>
      </c>
      <c r="H21416">
        <v>64000</v>
      </c>
      <c r="I21416" t="s">
        <v>2408</v>
      </c>
      <c r="J21416" t="s">
        <v>162</v>
      </c>
      <c r="K21416" t="s">
        <v>1502</v>
      </c>
      <c r="N21416" t="s">
        <v>80729</v>
      </c>
      <c r="O21416" t="s">
        <v>80730</v>
      </c>
      <c r="Q21416">
        <v>0</v>
      </c>
      <c r="R21416">
        <v>229</v>
      </c>
      <c r="S21416">
        <v>0</v>
      </c>
      <c r="T21416" t="s">
        <v>80731</v>
      </c>
    </row>
    <row r="21417" spans="1:20" customFormat="1" ht="15" x14ac:dyDescent="0.25">
      <c r="A21417" t="s">
        <v>24</v>
      </c>
      <c r="B21417" t="s">
        <v>8579</v>
      </c>
      <c r="C21417" t="str">
        <f>"A0074448"</f>
        <v>A0074448</v>
      </c>
      <c r="D21417" t="s">
        <v>73383</v>
      </c>
      <c r="E21417" t="s">
        <v>73384</v>
      </c>
      <c r="F21417" t="s">
        <v>35075</v>
      </c>
      <c r="G21417" t="s">
        <v>190</v>
      </c>
      <c r="H21417">
        <v>80124</v>
      </c>
      <c r="I21417" t="s">
        <v>30</v>
      </c>
      <c r="J21417" t="s">
        <v>171</v>
      </c>
      <c r="K21417" t="s">
        <v>1202</v>
      </c>
      <c r="N21417" t="s">
        <v>73385</v>
      </c>
      <c r="O21417" t="s">
        <v>73386</v>
      </c>
      <c r="Q21417">
        <v>0</v>
      </c>
      <c r="R21417">
        <v>127</v>
      </c>
      <c r="S21417">
        <v>0</v>
      </c>
      <c r="T21417" t="s">
        <v>73387</v>
      </c>
    </row>
    <row r="21418" spans="1:20" customFormat="1" ht="15" x14ac:dyDescent="0.25">
      <c r="A21418" t="s">
        <v>24</v>
      </c>
      <c r="B21418" t="s">
        <v>4400</v>
      </c>
      <c r="C21418" t="str">
        <f>"A0089808"</f>
        <v>A0089808</v>
      </c>
      <c r="D21418" t="s">
        <v>73388</v>
      </c>
      <c r="E21418" t="s">
        <v>73389</v>
      </c>
      <c r="F21418" t="s">
        <v>5008</v>
      </c>
      <c r="G21418" t="s">
        <v>1898</v>
      </c>
      <c r="H21418">
        <v>50309</v>
      </c>
      <c r="I21418" t="s">
        <v>30</v>
      </c>
      <c r="J21418" t="s">
        <v>171</v>
      </c>
      <c r="K21418" t="s">
        <v>1202</v>
      </c>
      <c r="N21418" t="s">
        <v>70792</v>
      </c>
      <c r="Q21418">
        <v>0</v>
      </c>
      <c r="R21418">
        <v>93</v>
      </c>
      <c r="S21418">
        <v>0</v>
      </c>
      <c r="T21418" t="s">
        <v>73390</v>
      </c>
    </row>
    <row r="21419" spans="1:20" customFormat="1" ht="15" x14ac:dyDescent="0.25">
      <c r="A21419" t="s">
        <v>24</v>
      </c>
      <c r="B21419" t="s">
        <v>72975</v>
      </c>
      <c r="C21419" t="str">
        <f>"A0074430"</f>
        <v>A0074430</v>
      </c>
      <c r="D21419" t="s">
        <v>73391</v>
      </c>
      <c r="E21419" t="s">
        <v>73392</v>
      </c>
      <c r="F21419" t="s">
        <v>73393</v>
      </c>
      <c r="G21419" t="s">
        <v>117</v>
      </c>
      <c r="H21419">
        <v>48315</v>
      </c>
      <c r="I21419" t="s">
        <v>30</v>
      </c>
      <c r="J21419" t="s">
        <v>171</v>
      </c>
      <c r="K21419" t="s">
        <v>1202</v>
      </c>
      <c r="N21419" t="s">
        <v>73394</v>
      </c>
      <c r="O21419" t="s">
        <v>73395</v>
      </c>
      <c r="Q21419">
        <v>0</v>
      </c>
      <c r="R21419">
        <v>124</v>
      </c>
      <c r="S21419">
        <v>0</v>
      </c>
      <c r="T21419" t="s">
        <v>73396</v>
      </c>
    </row>
    <row r="21420" spans="1:20" customFormat="1" ht="15" x14ac:dyDescent="0.25">
      <c r="A21420" t="s">
        <v>24</v>
      </c>
      <c r="B21420" t="s">
        <v>13135</v>
      </c>
      <c r="C21420" t="str">
        <f>"A0092305"</f>
        <v>A0092305</v>
      </c>
      <c r="D21420" t="s">
        <v>73397</v>
      </c>
      <c r="E21420" t="s">
        <v>73398</v>
      </c>
      <c r="F21420" t="s">
        <v>2438</v>
      </c>
      <c r="G21420" t="s">
        <v>528</v>
      </c>
      <c r="H21420">
        <v>19971</v>
      </c>
      <c r="I21420" t="s">
        <v>30</v>
      </c>
      <c r="J21420" t="s">
        <v>171</v>
      </c>
      <c r="K21420" t="s">
        <v>1202</v>
      </c>
      <c r="N21420" t="s">
        <v>73399</v>
      </c>
      <c r="O21420" t="s">
        <v>73400</v>
      </c>
      <c r="Q21420">
        <v>0</v>
      </c>
      <c r="R21420">
        <v>130</v>
      </c>
      <c r="S21420">
        <v>0</v>
      </c>
      <c r="T21420" t="s">
        <v>73401</v>
      </c>
    </row>
    <row r="21421" spans="1:20" customFormat="1" ht="15" x14ac:dyDescent="0.25">
      <c r="A21421" t="s">
        <v>24</v>
      </c>
      <c r="B21421" t="s">
        <v>2955</v>
      </c>
      <c r="C21421" t="str">
        <f>"A0117339"</f>
        <v>A0117339</v>
      </c>
      <c r="D21421" t="s">
        <v>73402</v>
      </c>
      <c r="E21421" t="s">
        <v>73403</v>
      </c>
      <c r="F21421" t="s">
        <v>5905</v>
      </c>
      <c r="G21421" t="s">
        <v>58</v>
      </c>
      <c r="H21421">
        <v>29601</v>
      </c>
      <c r="I21421" t="s">
        <v>30</v>
      </c>
      <c r="J21421" t="s">
        <v>171</v>
      </c>
      <c r="K21421" t="s">
        <v>1202</v>
      </c>
      <c r="N21421" t="s">
        <v>73404</v>
      </c>
      <c r="O21421" t="s">
        <v>73405</v>
      </c>
      <c r="Q21421">
        <v>0</v>
      </c>
      <c r="R21421">
        <v>130</v>
      </c>
      <c r="S21421">
        <v>0</v>
      </c>
      <c r="T21421" t="s">
        <v>73406</v>
      </c>
    </row>
    <row r="21422" spans="1:20" customFormat="1" ht="15" x14ac:dyDescent="0.25">
      <c r="A21422" t="s">
        <v>24</v>
      </c>
      <c r="B21422" t="s">
        <v>73407</v>
      </c>
      <c r="C21422" t="str">
        <f>"A0057558"</f>
        <v>A0057558</v>
      </c>
      <c r="D21422" t="s">
        <v>73408</v>
      </c>
      <c r="E21422" t="s">
        <v>73409</v>
      </c>
      <c r="F21422" t="s">
        <v>8225</v>
      </c>
      <c r="G21422" t="s">
        <v>110</v>
      </c>
      <c r="H21422">
        <v>94568</v>
      </c>
      <c r="I21422" t="s">
        <v>30</v>
      </c>
      <c r="J21422" t="s">
        <v>171</v>
      </c>
      <c r="K21422" t="s">
        <v>1202</v>
      </c>
      <c r="N21422" t="s">
        <v>73410</v>
      </c>
      <c r="Q21422">
        <v>0</v>
      </c>
      <c r="R21422">
        <v>128</v>
      </c>
      <c r="S21422">
        <v>0</v>
      </c>
      <c r="T21422" t="s">
        <v>73411</v>
      </c>
    </row>
    <row r="21423" spans="1:20" customFormat="1" ht="15" x14ac:dyDescent="0.25">
      <c r="A21423" t="s">
        <v>24</v>
      </c>
      <c r="B21423" t="s">
        <v>2528</v>
      </c>
      <c r="C21423" t="str">
        <f>"A0087357"</f>
        <v>A0087357</v>
      </c>
      <c r="D21423" t="s">
        <v>73412</v>
      </c>
      <c r="E21423" t="s">
        <v>73413</v>
      </c>
      <c r="F21423" t="s">
        <v>34764</v>
      </c>
      <c r="G21423" t="s">
        <v>29</v>
      </c>
      <c r="H21423">
        <v>20171</v>
      </c>
      <c r="I21423" t="s">
        <v>30</v>
      </c>
      <c r="J21423" t="s">
        <v>171</v>
      </c>
      <c r="K21423" t="s">
        <v>1202</v>
      </c>
      <c r="N21423" t="s">
        <v>73414</v>
      </c>
      <c r="Q21423">
        <v>0</v>
      </c>
      <c r="R21423">
        <v>151</v>
      </c>
      <c r="S21423">
        <v>0</v>
      </c>
      <c r="T21423" t="s">
        <v>73415</v>
      </c>
    </row>
    <row r="21424" spans="1:20" customFormat="1" ht="15" x14ac:dyDescent="0.25">
      <c r="A21424" t="s">
        <v>24</v>
      </c>
      <c r="B21424" t="s">
        <v>10097</v>
      </c>
      <c r="C21424" t="str">
        <f>"A0092439"</f>
        <v>A0092439</v>
      </c>
      <c r="D21424" t="s">
        <v>73416</v>
      </c>
      <c r="E21424" t="s">
        <v>73417</v>
      </c>
      <c r="F21424" t="s">
        <v>8935</v>
      </c>
      <c r="G21424" t="s">
        <v>214</v>
      </c>
      <c r="H21424">
        <v>27713</v>
      </c>
      <c r="I21424" t="s">
        <v>30</v>
      </c>
      <c r="J21424" t="s">
        <v>171</v>
      </c>
      <c r="K21424" t="s">
        <v>1202</v>
      </c>
      <c r="N21424" t="s">
        <v>73418</v>
      </c>
      <c r="Q21424">
        <v>0</v>
      </c>
      <c r="R21424">
        <v>164</v>
      </c>
      <c r="S21424">
        <v>0</v>
      </c>
      <c r="T21424" t="s">
        <v>73419</v>
      </c>
    </row>
    <row r="21425" spans="1:20" customFormat="1" ht="15" x14ac:dyDescent="0.25">
      <c r="A21425" t="s">
        <v>24</v>
      </c>
      <c r="B21425" t="s">
        <v>72975</v>
      </c>
      <c r="C21425" t="str">
        <f>"A0054862"</f>
        <v>A0054862</v>
      </c>
      <c r="D21425" t="s">
        <v>73425</v>
      </c>
      <c r="E21425" t="s">
        <v>73426</v>
      </c>
      <c r="F21425" t="s">
        <v>2856</v>
      </c>
      <c r="G21425" t="s">
        <v>52</v>
      </c>
      <c r="H21425">
        <v>79905</v>
      </c>
      <c r="I21425" t="s">
        <v>30</v>
      </c>
      <c r="J21425" t="s">
        <v>171</v>
      </c>
      <c r="K21425" t="s">
        <v>1202</v>
      </c>
      <c r="N21425" t="s">
        <v>73427</v>
      </c>
      <c r="Q21425">
        <v>0</v>
      </c>
      <c r="R21425">
        <v>113</v>
      </c>
      <c r="S21425">
        <v>0</v>
      </c>
      <c r="T21425" t="s">
        <v>73428</v>
      </c>
    </row>
    <row r="21426" spans="1:20" customFormat="1" ht="15" x14ac:dyDescent="0.25">
      <c r="A21426" t="s">
        <v>24</v>
      </c>
      <c r="B21426" t="s">
        <v>1583</v>
      </c>
      <c r="C21426" t="str">
        <f>"A0083939"</f>
        <v>A0083939</v>
      </c>
      <c r="D21426" t="s">
        <v>80772</v>
      </c>
      <c r="E21426" t="s">
        <v>80773</v>
      </c>
      <c r="F21426" t="s">
        <v>1701</v>
      </c>
      <c r="G21426" t="s">
        <v>58</v>
      </c>
      <c r="H21426">
        <v>29577</v>
      </c>
      <c r="I21426" t="s">
        <v>30</v>
      </c>
      <c r="J21426" t="s">
        <v>2544</v>
      </c>
      <c r="K21426" t="s">
        <v>80774</v>
      </c>
      <c r="N21426" t="s">
        <v>80775</v>
      </c>
      <c r="O21426" t="s">
        <v>80776</v>
      </c>
      <c r="Q21426">
        <v>0</v>
      </c>
      <c r="R21426">
        <v>460</v>
      </c>
      <c r="S21426">
        <v>0</v>
      </c>
      <c r="T21426" t="s">
        <v>80777</v>
      </c>
    </row>
    <row r="21427" spans="1:20" customFormat="1" ht="15" x14ac:dyDescent="0.25">
      <c r="A21427" t="s">
        <v>24</v>
      </c>
      <c r="B21427" t="s">
        <v>59142</v>
      </c>
      <c r="C21427" t="str">
        <f>"A0099317"</f>
        <v>A0099317</v>
      </c>
      <c r="D21427" t="s">
        <v>73429</v>
      </c>
      <c r="E21427" t="s">
        <v>73430</v>
      </c>
      <c r="F21427" t="s">
        <v>260</v>
      </c>
      <c r="G21427" t="s">
        <v>47</v>
      </c>
      <c r="H21427">
        <v>97401</v>
      </c>
      <c r="I21427" t="s">
        <v>30</v>
      </c>
      <c r="J21427" t="s">
        <v>171</v>
      </c>
      <c r="K21427" t="s">
        <v>1202</v>
      </c>
      <c r="N21427" t="s">
        <v>73431</v>
      </c>
      <c r="Q21427">
        <v>0</v>
      </c>
      <c r="R21427">
        <v>130</v>
      </c>
      <c r="S21427">
        <v>0</v>
      </c>
      <c r="T21427" t="s">
        <v>73432</v>
      </c>
    </row>
    <row r="21428" spans="1:20" customFormat="1" ht="15" hidden="1" x14ac:dyDescent="0.25">
      <c r="A21428" t="s">
        <v>24</v>
      </c>
      <c r="B21428" t="s">
        <v>80782</v>
      </c>
      <c r="C21428" t="str">
        <f>"A0099080"</f>
        <v>A0099080</v>
      </c>
      <c r="D21428" t="s">
        <v>80783</v>
      </c>
      <c r="E21428" t="s">
        <v>80784</v>
      </c>
      <c r="F21428" t="s">
        <v>75917</v>
      </c>
      <c r="G21428" t="s">
        <v>4481</v>
      </c>
      <c r="H21428">
        <v>48333</v>
      </c>
      <c r="I21428" t="s">
        <v>2408</v>
      </c>
      <c r="J21428" t="s">
        <v>162</v>
      </c>
      <c r="K21428" t="s">
        <v>1502</v>
      </c>
      <c r="N21428" t="s">
        <v>80785</v>
      </c>
      <c r="Q21428">
        <v>2</v>
      </c>
      <c r="R21428">
        <v>473</v>
      </c>
      <c r="S21428">
        <v>0</v>
      </c>
      <c r="T21428" t="s">
        <v>80786</v>
      </c>
    </row>
    <row r="21429" spans="1:20" customFormat="1" ht="15" x14ac:dyDescent="0.25">
      <c r="A21429" t="s">
        <v>24</v>
      </c>
      <c r="B21429" t="s">
        <v>5830</v>
      </c>
      <c r="C21429" t="str">
        <f>"A0093631"</f>
        <v>A0093631</v>
      </c>
      <c r="D21429" t="s">
        <v>73433</v>
      </c>
      <c r="E21429" t="s">
        <v>73434</v>
      </c>
      <c r="F21429" t="s">
        <v>8334</v>
      </c>
      <c r="G21429" t="s">
        <v>99</v>
      </c>
      <c r="H21429">
        <v>11354</v>
      </c>
      <c r="I21429" t="s">
        <v>30</v>
      </c>
      <c r="J21429" t="s">
        <v>171</v>
      </c>
      <c r="K21429" t="s">
        <v>1202</v>
      </c>
      <c r="N21429" t="s">
        <v>73435</v>
      </c>
      <c r="O21429" t="s">
        <v>73436</v>
      </c>
      <c r="Q21429">
        <v>0</v>
      </c>
      <c r="R21429">
        <v>168</v>
      </c>
      <c r="S21429">
        <v>0</v>
      </c>
      <c r="T21429" t="s">
        <v>73437</v>
      </c>
    </row>
    <row r="21430" spans="1:20" customFormat="1" ht="15" hidden="1" x14ac:dyDescent="0.25">
      <c r="A21430" t="s">
        <v>24</v>
      </c>
      <c r="B21430" t="s">
        <v>80793</v>
      </c>
      <c r="C21430" t="str">
        <f>"A0098703"</f>
        <v>A0098703</v>
      </c>
      <c r="D21430" t="s">
        <v>80794</v>
      </c>
      <c r="E21430" t="s">
        <v>80795</v>
      </c>
      <c r="F21430" t="s">
        <v>59004</v>
      </c>
      <c r="G21430" t="s">
        <v>38009</v>
      </c>
      <c r="H21430" t="s">
        <v>80796</v>
      </c>
      <c r="I21430" t="s">
        <v>1459</v>
      </c>
      <c r="J21430" t="s">
        <v>162</v>
      </c>
      <c r="K21430" t="s">
        <v>1502</v>
      </c>
      <c r="N21430" t="s">
        <v>80797</v>
      </c>
      <c r="Q21430">
        <v>0</v>
      </c>
      <c r="R21430">
        <v>237</v>
      </c>
      <c r="S21430">
        <v>0</v>
      </c>
      <c r="T21430" t="s">
        <v>80798</v>
      </c>
    </row>
    <row r="21431" spans="1:20" customFormat="1" ht="15" hidden="1" x14ac:dyDescent="0.25">
      <c r="A21431" t="s">
        <v>24</v>
      </c>
      <c r="B21431" t="s">
        <v>675</v>
      </c>
      <c r="C21431" t="str">
        <f>"A0090964"</f>
        <v>A0090964</v>
      </c>
      <c r="D21431" t="s">
        <v>80799</v>
      </c>
      <c r="E21431" t="s">
        <v>80800</v>
      </c>
      <c r="F21431" t="s">
        <v>13197</v>
      </c>
      <c r="G21431" t="s">
        <v>2206</v>
      </c>
      <c r="H21431" t="s">
        <v>80801</v>
      </c>
      <c r="I21431" t="s">
        <v>1459</v>
      </c>
      <c r="J21431" t="s">
        <v>162</v>
      </c>
      <c r="K21431" t="s">
        <v>1502</v>
      </c>
      <c r="N21431" t="s">
        <v>80802</v>
      </c>
      <c r="O21431" t="s">
        <v>80803</v>
      </c>
      <c r="Q21431">
        <v>0</v>
      </c>
      <c r="R21431">
        <v>1371</v>
      </c>
      <c r="S21431">
        <v>0</v>
      </c>
      <c r="T21431" t="s">
        <v>80804</v>
      </c>
    </row>
    <row r="21432" spans="1:20" customFormat="1" ht="15" x14ac:dyDescent="0.25">
      <c r="A21432" t="s">
        <v>24</v>
      </c>
      <c r="B21432" t="s">
        <v>8579</v>
      </c>
      <c r="C21432" t="str">
        <f>"A0152784"</f>
        <v>A0152784</v>
      </c>
      <c r="D21432" t="s">
        <v>73438</v>
      </c>
      <c r="E21432" t="s">
        <v>73439</v>
      </c>
      <c r="F21432" t="s">
        <v>73440</v>
      </c>
      <c r="G21432" t="s">
        <v>338</v>
      </c>
      <c r="H21432">
        <v>7024</v>
      </c>
      <c r="I21432" t="s">
        <v>30</v>
      </c>
      <c r="J21432" t="s">
        <v>171</v>
      </c>
      <c r="K21432" t="s">
        <v>1202</v>
      </c>
      <c r="N21432" t="s">
        <v>73441</v>
      </c>
      <c r="Q21432">
        <v>0</v>
      </c>
      <c r="R21432">
        <v>167</v>
      </c>
      <c r="S21432">
        <v>0</v>
      </c>
      <c r="T21432" t="s">
        <v>73442</v>
      </c>
    </row>
    <row r="21433" spans="1:20" customFormat="1" ht="15" x14ac:dyDescent="0.25">
      <c r="A21433" t="s">
        <v>24</v>
      </c>
      <c r="B21433" t="s">
        <v>762</v>
      </c>
      <c r="C21433" t="str">
        <f>"A0151423"</f>
        <v>A0151423</v>
      </c>
      <c r="D21433" t="s">
        <v>73443</v>
      </c>
      <c r="E21433" t="s">
        <v>73444</v>
      </c>
      <c r="F21433" t="s">
        <v>3505</v>
      </c>
      <c r="G21433" t="s">
        <v>52</v>
      </c>
      <c r="H21433">
        <v>76177</v>
      </c>
      <c r="I21433" t="s">
        <v>30</v>
      </c>
      <c r="J21433" t="s">
        <v>171</v>
      </c>
      <c r="K21433" t="s">
        <v>1202</v>
      </c>
      <c r="N21433" t="s">
        <v>73445</v>
      </c>
      <c r="Q21433">
        <v>0</v>
      </c>
      <c r="R21433">
        <v>130</v>
      </c>
      <c r="S21433">
        <v>0</v>
      </c>
      <c r="T21433" t="s">
        <v>73446</v>
      </c>
    </row>
    <row r="21434" spans="1:20" customFormat="1" ht="15" hidden="1" x14ac:dyDescent="0.25">
      <c r="A21434" t="s">
        <v>24</v>
      </c>
      <c r="B21434" t="s">
        <v>80814</v>
      </c>
      <c r="C21434" t="str">
        <f>"A0099210"</f>
        <v>A0099210</v>
      </c>
      <c r="D21434" t="s">
        <v>80815</v>
      </c>
      <c r="E21434" t="s">
        <v>80816</v>
      </c>
      <c r="F21434" t="s">
        <v>74214</v>
      </c>
      <c r="G21434" t="s">
        <v>74215</v>
      </c>
      <c r="H21434">
        <v>31125</v>
      </c>
      <c r="I21434" t="s">
        <v>2408</v>
      </c>
      <c r="J21434" t="s">
        <v>162</v>
      </c>
      <c r="K21434" t="s">
        <v>1502</v>
      </c>
      <c r="N21434" t="s">
        <v>80817</v>
      </c>
      <c r="Q21434">
        <v>0</v>
      </c>
      <c r="R21434">
        <v>204</v>
      </c>
      <c r="S21434">
        <v>0</v>
      </c>
      <c r="T21434" t="s">
        <v>80818</v>
      </c>
    </row>
    <row r="21435" spans="1:20" customFormat="1" ht="15" x14ac:dyDescent="0.25">
      <c r="A21435" t="s">
        <v>24</v>
      </c>
      <c r="B21435" t="s">
        <v>53301</v>
      </c>
      <c r="C21435" t="str">
        <f>"A0095661"</f>
        <v>A0095661</v>
      </c>
      <c r="D21435" t="s">
        <v>73447</v>
      </c>
      <c r="E21435" t="s">
        <v>73448</v>
      </c>
      <c r="F21435" t="s">
        <v>3505</v>
      </c>
      <c r="G21435" t="s">
        <v>52</v>
      </c>
      <c r="H21435">
        <v>76164</v>
      </c>
      <c r="I21435" t="s">
        <v>30</v>
      </c>
      <c r="J21435" t="s">
        <v>171</v>
      </c>
      <c r="K21435" t="s">
        <v>1202</v>
      </c>
      <c r="N21435" t="s">
        <v>73449</v>
      </c>
      <c r="Q21435">
        <v>0</v>
      </c>
      <c r="R21435">
        <v>150</v>
      </c>
      <c r="S21435">
        <v>0</v>
      </c>
      <c r="T21435" t="s">
        <v>73450</v>
      </c>
    </row>
    <row r="21436" spans="1:20" customFormat="1" ht="15" x14ac:dyDescent="0.25">
      <c r="A21436" t="s">
        <v>24</v>
      </c>
      <c r="B21436" t="s">
        <v>72975</v>
      </c>
      <c r="C21436" t="str">
        <f>"A0074451"</f>
        <v>A0074451</v>
      </c>
      <c r="D21436" t="s">
        <v>73451</v>
      </c>
      <c r="E21436" t="s">
        <v>73452</v>
      </c>
      <c r="F21436" t="s">
        <v>5791</v>
      </c>
      <c r="G21436" t="s">
        <v>110</v>
      </c>
      <c r="H21436">
        <v>94538</v>
      </c>
      <c r="I21436" t="s">
        <v>30</v>
      </c>
      <c r="J21436" t="s">
        <v>171</v>
      </c>
      <c r="K21436" t="s">
        <v>1202</v>
      </c>
      <c r="N21436" t="s">
        <v>73453</v>
      </c>
      <c r="O21436" t="s">
        <v>73096</v>
      </c>
      <c r="Q21436">
        <v>0</v>
      </c>
      <c r="R21436">
        <v>151</v>
      </c>
      <c r="S21436">
        <v>0</v>
      </c>
      <c r="T21436" t="s">
        <v>73454</v>
      </c>
    </row>
    <row r="21437" spans="1:20" customFormat="1" ht="15" x14ac:dyDescent="0.25">
      <c r="A21437" t="s">
        <v>24</v>
      </c>
      <c r="B21437" t="s">
        <v>54970</v>
      </c>
      <c r="C21437" t="str">
        <f>"A0057578"</f>
        <v>A0057578</v>
      </c>
      <c r="D21437" t="s">
        <v>73455</v>
      </c>
      <c r="E21437" t="s">
        <v>73456</v>
      </c>
      <c r="F21437" t="s">
        <v>1570</v>
      </c>
      <c r="G21437" t="s">
        <v>81</v>
      </c>
      <c r="H21437">
        <v>33316</v>
      </c>
      <c r="I21437" t="s">
        <v>30</v>
      </c>
      <c r="J21437" t="s">
        <v>171</v>
      </c>
      <c r="K21437" t="s">
        <v>1202</v>
      </c>
      <c r="N21437" t="s">
        <v>73457</v>
      </c>
      <c r="O21437" t="s">
        <v>73458</v>
      </c>
      <c r="Q21437">
        <v>0</v>
      </c>
      <c r="R21437">
        <v>126</v>
      </c>
      <c r="S21437">
        <v>0</v>
      </c>
      <c r="T21437" t="s">
        <v>73459</v>
      </c>
    </row>
    <row r="21438" spans="1:20" customFormat="1" ht="15" x14ac:dyDescent="0.25">
      <c r="A21438" t="s">
        <v>24</v>
      </c>
      <c r="B21438" t="s">
        <v>1020</v>
      </c>
      <c r="C21438" t="str">
        <f>"A0095093"</f>
        <v>A0095093</v>
      </c>
      <c r="D21438" t="s">
        <v>73460</v>
      </c>
      <c r="E21438" t="s">
        <v>73461</v>
      </c>
      <c r="F21438" t="s">
        <v>313</v>
      </c>
      <c r="G21438" t="s">
        <v>314</v>
      </c>
      <c r="H21438">
        <v>20037</v>
      </c>
      <c r="I21438" t="s">
        <v>30</v>
      </c>
      <c r="J21438" t="s">
        <v>171</v>
      </c>
      <c r="K21438" t="s">
        <v>1202</v>
      </c>
      <c r="N21438" t="s">
        <v>69748</v>
      </c>
      <c r="O21438" t="s">
        <v>73462</v>
      </c>
      <c r="Q21438">
        <v>0</v>
      </c>
      <c r="R21438">
        <v>168</v>
      </c>
      <c r="S21438">
        <v>0</v>
      </c>
      <c r="T21438" t="s">
        <v>73463</v>
      </c>
    </row>
    <row r="21439" spans="1:20" customFormat="1" ht="15" x14ac:dyDescent="0.25">
      <c r="A21439" t="s">
        <v>24</v>
      </c>
      <c r="B21439" t="s">
        <v>12732</v>
      </c>
      <c r="C21439" t="str">
        <f>"A0099826"</f>
        <v>A0099826</v>
      </c>
      <c r="D21439" t="s">
        <v>73464</v>
      </c>
      <c r="E21439" t="s">
        <v>73465</v>
      </c>
      <c r="F21439" t="s">
        <v>5518</v>
      </c>
      <c r="G21439" t="s">
        <v>110</v>
      </c>
      <c r="H21439">
        <v>91203</v>
      </c>
      <c r="I21439" t="s">
        <v>30</v>
      </c>
      <c r="J21439" t="s">
        <v>171</v>
      </c>
      <c r="K21439" t="s">
        <v>1202</v>
      </c>
      <c r="N21439" t="s">
        <v>73466</v>
      </c>
      <c r="Q21439">
        <v>0</v>
      </c>
      <c r="R21439">
        <v>179</v>
      </c>
      <c r="S21439">
        <v>0</v>
      </c>
      <c r="T21439" t="s">
        <v>73467</v>
      </c>
    </row>
    <row r="21440" spans="1:20" customFormat="1" ht="15" x14ac:dyDescent="0.25">
      <c r="A21440" t="s">
        <v>24</v>
      </c>
      <c r="B21440" t="s">
        <v>1583</v>
      </c>
      <c r="C21440" t="str">
        <f>"A0098348"</f>
        <v>A0098348</v>
      </c>
      <c r="D21440" t="s">
        <v>80845</v>
      </c>
      <c r="E21440" t="s">
        <v>80846</v>
      </c>
      <c r="F21440" t="s">
        <v>2014</v>
      </c>
      <c r="G21440" t="s">
        <v>197</v>
      </c>
      <c r="H21440">
        <v>85255</v>
      </c>
      <c r="I21440" t="s">
        <v>30</v>
      </c>
      <c r="J21440" t="s">
        <v>2544</v>
      </c>
      <c r="K21440" t="s">
        <v>80774</v>
      </c>
      <c r="N21440" t="s">
        <v>80847</v>
      </c>
      <c r="O21440" t="s">
        <v>80848</v>
      </c>
      <c r="Q21440">
        <v>0</v>
      </c>
      <c r="R21440">
        <v>300</v>
      </c>
      <c r="S21440">
        <v>0</v>
      </c>
      <c r="T21440" t="s">
        <v>80849</v>
      </c>
    </row>
    <row r="21441" spans="1:20" customFormat="1" ht="15" x14ac:dyDescent="0.25">
      <c r="A21441" t="s">
        <v>24</v>
      </c>
      <c r="B21441" t="s">
        <v>8843</v>
      </c>
      <c r="C21441" t="str">
        <f>"A0151697"</f>
        <v>A0151697</v>
      </c>
      <c r="D21441" t="s">
        <v>73468</v>
      </c>
      <c r="E21441" t="s">
        <v>73469</v>
      </c>
      <c r="F21441" t="s">
        <v>3932</v>
      </c>
      <c r="G21441" t="s">
        <v>117</v>
      </c>
      <c r="H21441">
        <v>49503</v>
      </c>
      <c r="I21441" t="s">
        <v>30</v>
      </c>
      <c r="J21441" t="s">
        <v>171</v>
      </c>
      <c r="K21441" t="s">
        <v>1202</v>
      </c>
      <c r="N21441" t="s">
        <v>73470</v>
      </c>
      <c r="O21441" t="s">
        <v>73471</v>
      </c>
      <c r="Q21441">
        <v>0</v>
      </c>
      <c r="R21441">
        <v>160</v>
      </c>
      <c r="S21441">
        <v>0</v>
      </c>
      <c r="T21441" t="s">
        <v>73472</v>
      </c>
    </row>
    <row r="21442" spans="1:20" customFormat="1" ht="15" x14ac:dyDescent="0.25">
      <c r="A21442" t="s">
        <v>24</v>
      </c>
      <c r="B21442" t="s">
        <v>11027</v>
      </c>
      <c r="C21442" t="str">
        <f>"A0058681"</f>
        <v>A0058681</v>
      </c>
      <c r="D21442" t="s">
        <v>73473</v>
      </c>
      <c r="E21442" t="s">
        <v>73474</v>
      </c>
      <c r="F21442" t="s">
        <v>9498</v>
      </c>
      <c r="G21442" t="s">
        <v>214</v>
      </c>
      <c r="H21442">
        <v>27407</v>
      </c>
      <c r="I21442" t="s">
        <v>30</v>
      </c>
      <c r="J21442" t="s">
        <v>171</v>
      </c>
      <c r="K21442" t="s">
        <v>1202</v>
      </c>
      <c r="N21442" t="s">
        <v>73475</v>
      </c>
      <c r="O21442" t="s">
        <v>73476</v>
      </c>
      <c r="Q21442">
        <v>0</v>
      </c>
      <c r="R21442">
        <v>124</v>
      </c>
      <c r="S21442">
        <v>0</v>
      </c>
      <c r="T21442" t="s">
        <v>73477</v>
      </c>
    </row>
    <row r="21443" spans="1:20" customFormat="1" ht="15" x14ac:dyDescent="0.25">
      <c r="A21443" t="s">
        <v>24</v>
      </c>
      <c r="B21443" t="s">
        <v>1020</v>
      </c>
      <c r="C21443" t="str">
        <f>"A0089360"</f>
        <v>A0089360</v>
      </c>
      <c r="D21443" t="s">
        <v>73478</v>
      </c>
      <c r="E21443" t="s">
        <v>73479</v>
      </c>
      <c r="F21443" t="s">
        <v>60686</v>
      </c>
      <c r="G21443" t="s">
        <v>52</v>
      </c>
      <c r="H21443">
        <v>77478</v>
      </c>
      <c r="I21443" t="s">
        <v>30</v>
      </c>
      <c r="J21443" t="s">
        <v>171</v>
      </c>
      <c r="K21443" t="s">
        <v>1202</v>
      </c>
      <c r="N21443" t="s">
        <v>14421</v>
      </c>
      <c r="O21443" t="s">
        <v>73480</v>
      </c>
      <c r="Q21443">
        <v>0</v>
      </c>
      <c r="R21443">
        <v>214</v>
      </c>
      <c r="S21443">
        <v>0</v>
      </c>
      <c r="T21443" t="s">
        <v>73481</v>
      </c>
    </row>
    <row r="21444" spans="1:20" customFormat="1" ht="15" x14ac:dyDescent="0.25">
      <c r="A21444" t="s">
        <v>24</v>
      </c>
      <c r="B21444" t="s">
        <v>13807</v>
      </c>
      <c r="C21444" t="str">
        <f>"A0153931"</f>
        <v>A0153931</v>
      </c>
      <c r="D21444" t="s">
        <v>73482</v>
      </c>
      <c r="E21444" t="s">
        <v>73483</v>
      </c>
      <c r="F21444" t="s">
        <v>3545</v>
      </c>
      <c r="G21444" t="s">
        <v>1706</v>
      </c>
      <c r="H21444">
        <v>35806</v>
      </c>
      <c r="I21444" t="s">
        <v>30</v>
      </c>
      <c r="J21444" t="s">
        <v>171</v>
      </c>
      <c r="K21444" t="s">
        <v>1202</v>
      </c>
      <c r="N21444" t="s">
        <v>73484</v>
      </c>
      <c r="O21444" t="s">
        <v>73485</v>
      </c>
      <c r="Q21444">
        <v>0</v>
      </c>
      <c r="R21444">
        <v>131</v>
      </c>
      <c r="S21444">
        <v>0</v>
      </c>
      <c r="T21444" t="s">
        <v>73486</v>
      </c>
    </row>
    <row r="21445" spans="1:20" customFormat="1" ht="15" hidden="1" x14ac:dyDescent="0.25">
      <c r="A21445" t="s">
        <v>24</v>
      </c>
      <c r="B21445" t="s">
        <v>675</v>
      </c>
      <c r="C21445" t="str">
        <f>"A0096643"</f>
        <v>A0096643</v>
      </c>
      <c r="D21445" t="s">
        <v>80866</v>
      </c>
      <c r="E21445" t="s">
        <v>80867</v>
      </c>
      <c r="F21445" t="s">
        <v>2879</v>
      </c>
      <c r="G21445" t="s">
        <v>2206</v>
      </c>
      <c r="H21445" t="s">
        <v>80868</v>
      </c>
      <c r="I21445" t="s">
        <v>1459</v>
      </c>
      <c r="J21445" t="s">
        <v>162</v>
      </c>
      <c r="K21445" t="s">
        <v>1502</v>
      </c>
      <c r="N21445" t="s">
        <v>80869</v>
      </c>
      <c r="Q21445">
        <v>0</v>
      </c>
      <c r="R21445">
        <v>474</v>
      </c>
      <c r="S21445">
        <v>0</v>
      </c>
      <c r="T21445" t="s">
        <v>80870</v>
      </c>
    </row>
    <row r="21446" spans="1:20" customFormat="1" ht="15" x14ac:dyDescent="0.25">
      <c r="A21446" t="s">
        <v>24</v>
      </c>
      <c r="B21446" t="s">
        <v>72975</v>
      </c>
      <c r="C21446" t="str">
        <f>"A0058596"</f>
        <v>A0058596</v>
      </c>
      <c r="D21446" t="s">
        <v>73487</v>
      </c>
      <c r="E21446" t="s">
        <v>73488</v>
      </c>
      <c r="F21446" t="s">
        <v>9431</v>
      </c>
      <c r="G21446" t="s">
        <v>381</v>
      </c>
      <c r="H21446">
        <v>46241</v>
      </c>
      <c r="I21446" t="s">
        <v>30</v>
      </c>
      <c r="J21446" t="s">
        <v>171</v>
      </c>
      <c r="K21446" t="s">
        <v>1202</v>
      </c>
      <c r="N21446" t="s">
        <v>73489</v>
      </c>
      <c r="O21446" t="s">
        <v>73490</v>
      </c>
      <c r="Q21446">
        <v>0</v>
      </c>
      <c r="R21446">
        <v>134</v>
      </c>
      <c r="S21446">
        <v>0</v>
      </c>
      <c r="T21446" t="s">
        <v>73491</v>
      </c>
    </row>
    <row r="21447" spans="1:20" customFormat="1" ht="15" x14ac:dyDescent="0.25">
      <c r="A21447" t="s">
        <v>24</v>
      </c>
      <c r="B21447" t="s">
        <v>1317</v>
      </c>
      <c r="C21447" t="str">
        <f>"A0085044"</f>
        <v>A0085044</v>
      </c>
      <c r="D21447" t="s">
        <v>73492</v>
      </c>
      <c r="E21447" t="s">
        <v>73493</v>
      </c>
      <c r="F21447" t="s">
        <v>10430</v>
      </c>
      <c r="G21447" t="s">
        <v>1369</v>
      </c>
      <c r="H21447">
        <v>39157</v>
      </c>
      <c r="I21447" t="s">
        <v>30</v>
      </c>
      <c r="J21447" t="s">
        <v>171</v>
      </c>
      <c r="K21447" t="s">
        <v>1202</v>
      </c>
      <c r="Q21447">
        <v>0</v>
      </c>
      <c r="R21447">
        <v>126</v>
      </c>
      <c r="S21447">
        <v>0</v>
      </c>
      <c r="T21447" t="s">
        <v>73494</v>
      </c>
    </row>
    <row r="21448" spans="1:20" customFormat="1" ht="15" x14ac:dyDescent="0.25">
      <c r="A21448" t="s">
        <v>24</v>
      </c>
      <c r="B21448" t="s">
        <v>2955</v>
      </c>
      <c r="C21448" t="str">
        <f>"A0087040"</f>
        <v>A0087040</v>
      </c>
      <c r="D21448" t="s">
        <v>73495</v>
      </c>
      <c r="E21448" t="s">
        <v>73496</v>
      </c>
      <c r="F21448" t="s">
        <v>2443</v>
      </c>
      <c r="G21448" t="s">
        <v>81</v>
      </c>
      <c r="H21448">
        <v>32218</v>
      </c>
      <c r="I21448" t="s">
        <v>30</v>
      </c>
      <c r="J21448" t="s">
        <v>171</v>
      </c>
      <c r="K21448" t="s">
        <v>1202</v>
      </c>
      <c r="N21448" t="s">
        <v>60442</v>
      </c>
      <c r="Q21448">
        <v>0</v>
      </c>
      <c r="R21448">
        <v>127</v>
      </c>
      <c r="S21448">
        <v>0</v>
      </c>
      <c r="T21448" t="s">
        <v>73497</v>
      </c>
    </row>
    <row r="21449" spans="1:20" customFormat="1" ht="15" x14ac:dyDescent="0.25">
      <c r="A21449" t="s">
        <v>24</v>
      </c>
      <c r="B21449" t="s">
        <v>1855</v>
      </c>
      <c r="C21449" t="str">
        <f>"A0094299"</f>
        <v>A0094299</v>
      </c>
      <c r="D21449" t="s">
        <v>73498</v>
      </c>
      <c r="E21449" t="s">
        <v>73499</v>
      </c>
      <c r="F21449" t="s">
        <v>57617</v>
      </c>
      <c r="G21449" t="s">
        <v>925</v>
      </c>
      <c r="H21449">
        <v>66219</v>
      </c>
      <c r="I21449" t="s">
        <v>30</v>
      </c>
      <c r="J21449" t="s">
        <v>171</v>
      </c>
      <c r="K21449" t="s">
        <v>1202</v>
      </c>
      <c r="N21449" t="s">
        <v>73500</v>
      </c>
      <c r="Q21449">
        <v>0</v>
      </c>
      <c r="R21449">
        <v>127</v>
      </c>
      <c r="S21449">
        <v>0</v>
      </c>
      <c r="T21449" t="s">
        <v>73501</v>
      </c>
    </row>
    <row r="21450" spans="1:20" customFormat="1" ht="15" x14ac:dyDescent="0.25">
      <c r="A21450" t="s">
        <v>24</v>
      </c>
      <c r="B21450" t="s">
        <v>72975</v>
      </c>
      <c r="C21450" t="str">
        <f>"A0058616"</f>
        <v>A0058616</v>
      </c>
      <c r="D21450" t="s">
        <v>73502</v>
      </c>
      <c r="E21450" t="s">
        <v>73503</v>
      </c>
      <c r="F21450" t="s">
        <v>13414</v>
      </c>
      <c r="G21450" t="s">
        <v>925</v>
      </c>
      <c r="H21450">
        <v>66211</v>
      </c>
      <c r="I21450" t="s">
        <v>30</v>
      </c>
      <c r="J21450" t="s">
        <v>171</v>
      </c>
      <c r="K21450" t="s">
        <v>1202</v>
      </c>
      <c r="N21450" t="s">
        <v>73504</v>
      </c>
      <c r="O21450" t="s">
        <v>73505</v>
      </c>
      <c r="Q21450">
        <v>0</v>
      </c>
      <c r="R21450">
        <v>134</v>
      </c>
      <c r="S21450">
        <v>0</v>
      </c>
      <c r="T21450" t="s">
        <v>73506</v>
      </c>
    </row>
    <row r="21451" spans="1:20" customFormat="1" ht="15" hidden="1" x14ac:dyDescent="0.25">
      <c r="A21451" t="s">
        <v>24</v>
      </c>
      <c r="B21451" t="s">
        <v>55832</v>
      </c>
      <c r="C21451" t="str">
        <f>"A0099329"</f>
        <v>A0099329</v>
      </c>
      <c r="D21451" t="s">
        <v>80894</v>
      </c>
      <c r="E21451" t="s">
        <v>80895</v>
      </c>
      <c r="F21451" t="s">
        <v>3145</v>
      </c>
      <c r="G21451" t="s">
        <v>8864</v>
      </c>
      <c r="I21451" t="s">
        <v>3147</v>
      </c>
      <c r="J21451" t="s">
        <v>162</v>
      </c>
      <c r="K21451" t="s">
        <v>1502</v>
      </c>
      <c r="N21451" t="s">
        <v>80896</v>
      </c>
      <c r="Q21451">
        <v>0</v>
      </c>
      <c r="R21451">
        <v>356</v>
      </c>
      <c r="S21451">
        <v>0</v>
      </c>
      <c r="T21451" t="s">
        <v>80897</v>
      </c>
    </row>
    <row r="21452" spans="1:20" customFormat="1" ht="15" x14ac:dyDescent="0.25">
      <c r="A21452" t="s">
        <v>24</v>
      </c>
      <c r="B21452" t="s">
        <v>1487</v>
      </c>
      <c r="C21452" t="str">
        <f>"A0099076"</f>
        <v>A0099076</v>
      </c>
      <c r="D21452" t="s">
        <v>73512</v>
      </c>
      <c r="E21452" t="s">
        <v>73513</v>
      </c>
      <c r="F21452" t="s">
        <v>12348</v>
      </c>
      <c r="G21452" t="s">
        <v>880</v>
      </c>
      <c r="H21452">
        <v>37902</v>
      </c>
      <c r="I21452" t="s">
        <v>30</v>
      </c>
      <c r="J21452" t="s">
        <v>171</v>
      </c>
      <c r="K21452" t="s">
        <v>1202</v>
      </c>
      <c r="N21452" t="s">
        <v>73514</v>
      </c>
      <c r="Q21452">
        <v>0</v>
      </c>
      <c r="R21452">
        <v>165</v>
      </c>
      <c r="S21452">
        <v>0</v>
      </c>
      <c r="T21452" t="s">
        <v>73515</v>
      </c>
    </row>
    <row r="21453" spans="1:20" customFormat="1" ht="15" x14ac:dyDescent="0.25">
      <c r="A21453" t="s">
        <v>24</v>
      </c>
      <c r="B21453" t="s">
        <v>2955</v>
      </c>
      <c r="C21453" t="str">
        <f>"A0058659"</f>
        <v>A0058659</v>
      </c>
      <c r="D21453" t="s">
        <v>73522</v>
      </c>
      <c r="E21453" t="s">
        <v>73523</v>
      </c>
      <c r="F21453" t="s">
        <v>220</v>
      </c>
      <c r="G21453" t="s">
        <v>221</v>
      </c>
      <c r="H21453">
        <v>89169</v>
      </c>
      <c r="I21453" t="s">
        <v>30</v>
      </c>
      <c r="J21453" t="s">
        <v>171</v>
      </c>
      <c r="K21453" t="s">
        <v>1202</v>
      </c>
      <c r="N21453" t="s">
        <v>73524</v>
      </c>
      <c r="O21453" t="s">
        <v>73525</v>
      </c>
      <c r="Q21453">
        <v>0</v>
      </c>
      <c r="R21453">
        <v>202</v>
      </c>
      <c r="S21453">
        <v>0</v>
      </c>
      <c r="T21453" t="s">
        <v>73526</v>
      </c>
    </row>
    <row r="21454" spans="1:20" customFormat="1" ht="15" x14ac:dyDescent="0.25">
      <c r="A21454" t="s">
        <v>24</v>
      </c>
      <c r="B21454" t="s">
        <v>72975</v>
      </c>
      <c r="C21454" t="str">
        <f>"A0087874"</f>
        <v>A0087874</v>
      </c>
      <c r="D21454" t="s">
        <v>73527</v>
      </c>
      <c r="E21454" t="s">
        <v>73528</v>
      </c>
      <c r="F21454" t="s">
        <v>11991</v>
      </c>
      <c r="G21454" t="s">
        <v>71</v>
      </c>
      <c r="H21454">
        <v>53703</v>
      </c>
      <c r="I21454" t="s">
        <v>30</v>
      </c>
      <c r="J21454" t="s">
        <v>171</v>
      </c>
      <c r="K21454" t="s">
        <v>1202</v>
      </c>
      <c r="N21454" t="s">
        <v>73529</v>
      </c>
      <c r="Q21454">
        <v>0</v>
      </c>
      <c r="R21454">
        <v>151</v>
      </c>
      <c r="S21454">
        <v>0</v>
      </c>
      <c r="T21454" t="s">
        <v>73530</v>
      </c>
    </row>
    <row r="21455" spans="1:20" customFormat="1" ht="15" hidden="1" x14ac:dyDescent="0.25">
      <c r="A21455" t="s">
        <v>24</v>
      </c>
      <c r="B21455" t="s">
        <v>80911</v>
      </c>
      <c r="C21455" t="str">
        <f>"A0085257"</f>
        <v>A0085257</v>
      </c>
      <c r="D21455" t="s">
        <v>80912</v>
      </c>
      <c r="E21455" t="s">
        <v>80913</v>
      </c>
      <c r="F21455" t="s">
        <v>23599</v>
      </c>
      <c r="G21455" t="s">
        <v>2206</v>
      </c>
      <c r="H21455" t="s">
        <v>80914</v>
      </c>
      <c r="I21455" t="s">
        <v>1459</v>
      </c>
      <c r="J21455" t="s">
        <v>162</v>
      </c>
      <c r="K21455" t="s">
        <v>1502</v>
      </c>
      <c r="N21455" t="s">
        <v>80915</v>
      </c>
      <c r="Q21455">
        <v>0</v>
      </c>
      <c r="R21455">
        <v>301</v>
      </c>
      <c r="S21455">
        <v>0</v>
      </c>
      <c r="T21455" t="s">
        <v>80916</v>
      </c>
    </row>
    <row r="21456" spans="1:20" customFormat="1" ht="15" x14ac:dyDescent="0.25">
      <c r="A21456" t="s">
        <v>24</v>
      </c>
      <c r="B21456" t="s">
        <v>34039</v>
      </c>
      <c r="C21456" t="str">
        <f>"A0098967"</f>
        <v>A0098967</v>
      </c>
      <c r="D21456" t="s">
        <v>73531</v>
      </c>
      <c r="E21456" t="s">
        <v>73532</v>
      </c>
      <c r="F21456" t="s">
        <v>64612</v>
      </c>
      <c r="G21456" t="s">
        <v>899</v>
      </c>
      <c r="H21456">
        <v>1752</v>
      </c>
      <c r="I21456" t="s">
        <v>30</v>
      </c>
      <c r="J21456" t="s">
        <v>171</v>
      </c>
      <c r="K21456" t="s">
        <v>1202</v>
      </c>
      <c r="N21456" t="s">
        <v>73533</v>
      </c>
      <c r="O21456" t="s">
        <v>73534</v>
      </c>
      <c r="Q21456">
        <v>0</v>
      </c>
      <c r="R21456">
        <v>137</v>
      </c>
      <c r="S21456">
        <v>0</v>
      </c>
      <c r="T21456" t="s">
        <v>73535</v>
      </c>
    </row>
    <row r="21457" spans="1:20" customFormat="1" ht="15" x14ac:dyDescent="0.25">
      <c r="A21457" t="s">
        <v>24</v>
      </c>
      <c r="B21457" t="s">
        <v>2955</v>
      </c>
      <c r="C21457" t="str">
        <f>"A0058495"</f>
        <v>A0058495</v>
      </c>
      <c r="D21457" t="s">
        <v>73536</v>
      </c>
      <c r="E21457" t="s">
        <v>73537</v>
      </c>
      <c r="F21457" t="s">
        <v>11700</v>
      </c>
      <c r="G21457" t="s">
        <v>880</v>
      </c>
      <c r="H21457">
        <v>38133</v>
      </c>
      <c r="I21457" t="s">
        <v>30</v>
      </c>
      <c r="J21457" t="s">
        <v>171</v>
      </c>
      <c r="K21457" t="s">
        <v>1202</v>
      </c>
      <c r="N21457" t="s">
        <v>73538</v>
      </c>
      <c r="Q21457">
        <v>0</v>
      </c>
      <c r="R21457">
        <v>126</v>
      </c>
      <c r="S21457">
        <v>0</v>
      </c>
      <c r="T21457" t="s">
        <v>73539</v>
      </c>
    </row>
    <row r="21458" spans="1:20" customFormat="1" ht="15" x14ac:dyDescent="0.25">
      <c r="A21458" t="s">
        <v>24</v>
      </c>
      <c r="B21458" t="s">
        <v>2955</v>
      </c>
      <c r="C21458" t="str">
        <f>"A0057536"</f>
        <v>A0057536</v>
      </c>
      <c r="D21458" t="s">
        <v>73540</v>
      </c>
      <c r="E21458" t="s">
        <v>73541</v>
      </c>
      <c r="F21458" t="s">
        <v>1889</v>
      </c>
      <c r="G21458" t="s">
        <v>81</v>
      </c>
      <c r="H21458">
        <v>33166</v>
      </c>
      <c r="I21458" t="s">
        <v>30</v>
      </c>
      <c r="J21458" t="s">
        <v>171</v>
      </c>
      <c r="K21458" t="s">
        <v>1202</v>
      </c>
      <c r="N21458" t="s">
        <v>73542</v>
      </c>
      <c r="O21458" t="s">
        <v>73543</v>
      </c>
      <c r="Q21458">
        <v>0</v>
      </c>
      <c r="R21458">
        <v>126</v>
      </c>
      <c r="S21458">
        <v>0</v>
      </c>
      <c r="T21458" t="s">
        <v>73544</v>
      </c>
    </row>
    <row r="21459" spans="1:20" customFormat="1" ht="15" x14ac:dyDescent="0.25">
      <c r="A21459" t="s">
        <v>24</v>
      </c>
      <c r="B21459" t="s">
        <v>1548</v>
      </c>
      <c r="C21459" t="str">
        <f>"A0091927"</f>
        <v>A0091927</v>
      </c>
      <c r="D21459" t="s">
        <v>73545</v>
      </c>
      <c r="E21459" t="s">
        <v>73546</v>
      </c>
      <c r="F21459" t="s">
        <v>997</v>
      </c>
      <c r="G21459" t="s">
        <v>99</v>
      </c>
      <c r="H21459">
        <v>10017</v>
      </c>
      <c r="I21459" t="s">
        <v>30</v>
      </c>
      <c r="J21459" t="s">
        <v>171</v>
      </c>
      <c r="K21459" t="s">
        <v>1202</v>
      </c>
      <c r="N21459" t="s">
        <v>72921</v>
      </c>
      <c r="O21459" t="s">
        <v>73547</v>
      </c>
      <c r="Q21459">
        <v>0</v>
      </c>
      <c r="R21459">
        <v>185</v>
      </c>
      <c r="S21459">
        <v>0</v>
      </c>
      <c r="T21459" t="s">
        <v>73548</v>
      </c>
    </row>
    <row r="21460" spans="1:20" customFormat="1" ht="15" x14ac:dyDescent="0.25">
      <c r="A21460" t="s">
        <v>24</v>
      </c>
      <c r="B21460" t="s">
        <v>73549</v>
      </c>
      <c r="C21460" t="str">
        <f>"A0083151"</f>
        <v>A0083151</v>
      </c>
      <c r="D21460" t="s">
        <v>73550</v>
      </c>
      <c r="E21460" t="s">
        <v>73551</v>
      </c>
      <c r="F21460" t="s">
        <v>63065</v>
      </c>
      <c r="G21460" t="s">
        <v>615</v>
      </c>
      <c r="H21460">
        <v>6460</v>
      </c>
      <c r="I21460" t="s">
        <v>30</v>
      </c>
      <c r="J21460" t="s">
        <v>171</v>
      </c>
      <c r="K21460" t="s">
        <v>1202</v>
      </c>
      <c r="N21460" t="s">
        <v>73552</v>
      </c>
      <c r="Q21460">
        <v>0</v>
      </c>
      <c r="R21460">
        <v>86</v>
      </c>
      <c r="S21460">
        <v>0</v>
      </c>
      <c r="T21460" t="s">
        <v>73553</v>
      </c>
    </row>
    <row r="21461" spans="1:20" customFormat="1" ht="15" x14ac:dyDescent="0.25">
      <c r="A21461" t="s">
        <v>24</v>
      </c>
      <c r="B21461" t="s">
        <v>73554</v>
      </c>
      <c r="C21461" t="str">
        <f>"A0074892"</f>
        <v>A0074892</v>
      </c>
      <c r="D21461" t="s">
        <v>73555</v>
      </c>
      <c r="E21461" t="s">
        <v>73556</v>
      </c>
      <c r="F21461" t="s">
        <v>5999</v>
      </c>
      <c r="G21461" t="s">
        <v>71</v>
      </c>
      <c r="H21461">
        <v>53207</v>
      </c>
      <c r="I21461" t="s">
        <v>30</v>
      </c>
      <c r="J21461" t="s">
        <v>171</v>
      </c>
      <c r="K21461" t="s">
        <v>1202</v>
      </c>
      <c r="N21461" t="s">
        <v>73557</v>
      </c>
      <c r="Q21461">
        <v>0</v>
      </c>
      <c r="R21461">
        <v>99</v>
      </c>
      <c r="S21461">
        <v>0</v>
      </c>
      <c r="T21461" t="s">
        <v>73558</v>
      </c>
    </row>
    <row r="21462" spans="1:20" customFormat="1" ht="15" x14ac:dyDescent="0.25">
      <c r="A21462" t="s">
        <v>24</v>
      </c>
      <c r="B21462" t="s">
        <v>34201</v>
      </c>
      <c r="C21462" t="str">
        <f>"A0100903"</f>
        <v>A0100903</v>
      </c>
      <c r="D21462" t="s">
        <v>73559</v>
      </c>
      <c r="E21462" t="s">
        <v>73560</v>
      </c>
      <c r="F21462" t="s">
        <v>5999</v>
      </c>
      <c r="G21462" t="s">
        <v>71</v>
      </c>
      <c r="H21462">
        <v>53233</v>
      </c>
      <c r="I21462" t="s">
        <v>30</v>
      </c>
      <c r="J21462" t="s">
        <v>171</v>
      </c>
      <c r="K21462" t="s">
        <v>1202</v>
      </c>
      <c r="N21462" t="s">
        <v>73561</v>
      </c>
      <c r="Q21462">
        <v>0</v>
      </c>
      <c r="R21462">
        <v>150</v>
      </c>
      <c r="S21462">
        <v>0</v>
      </c>
      <c r="T21462" t="s">
        <v>73562</v>
      </c>
    </row>
    <row r="21463" spans="1:20" customFormat="1" ht="15" x14ac:dyDescent="0.25">
      <c r="A21463" t="s">
        <v>24</v>
      </c>
      <c r="B21463" t="s">
        <v>73554</v>
      </c>
      <c r="C21463" t="str">
        <f>"A0074893"</f>
        <v>A0074893</v>
      </c>
      <c r="D21463" t="s">
        <v>73563</v>
      </c>
      <c r="E21463" t="s">
        <v>73564</v>
      </c>
      <c r="F21463" t="s">
        <v>5999</v>
      </c>
      <c r="G21463" t="s">
        <v>71</v>
      </c>
      <c r="H21463">
        <v>53225</v>
      </c>
      <c r="I21463" t="s">
        <v>30</v>
      </c>
      <c r="J21463" t="s">
        <v>171</v>
      </c>
      <c r="K21463" t="s">
        <v>1202</v>
      </c>
      <c r="N21463" t="s">
        <v>73565</v>
      </c>
      <c r="Q21463">
        <v>0</v>
      </c>
      <c r="R21463">
        <v>123</v>
      </c>
      <c r="S21463">
        <v>0</v>
      </c>
      <c r="T21463" t="s">
        <v>73566</v>
      </c>
    </row>
    <row r="21464" spans="1:20" customFormat="1" ht="15" x14ac:dyDescent="0.25">
      <c r="A21464" t="s">
        <v>24</v>
      </c>
      <c r="B21464" t="s">
        <v>2955</v>
      </c>
      <c r="C21464" t="str">
        <f>"A0074433"</f>
        <v>A0074433</v>
      </c>
      <c r="D21464" t="s">
        <v>73567</v>
      </c>
      <c r="E21464" t="s">
        <v>73568</v>
      </c>
      <c r="F21464" t="s">
        <v>3455</v>
      </c>
      <c r="G21464" t="s">
        <v>161</v>
      </c>
      <c r="H21464">
        <v>55425</v>
      </c>
      <c r="I21464" t="s">
        <v>30</v>
      </c>
      <c r="J21464" t="s">
        <v>171</v>
      </c>
      <c r="K21464" t="s">
        <v>1202</v>
      </c>
      <c r="N21464" t="s">
        <v>73569</v>
      </c>
      <c r="O21464" t="s">
        <v>73570</v>
      </c>
      <c r="Q21464">
        <v>0</v>
      </c>
      <c r="R21464">
        <v>126</v>
      </c>
      <c r="S21464">
        <v>0</v>
      </c>
      <c r="T21464" t="s">
        <v>73571</v>
      </c>
    </row>
    <row r="21465" spans="1:20" customFormat="1" ht="15" hidden="1" x14ac:dyDescent="0.25">
      <c r="A21465" t="s">
        <v>24</v>
      </c>
      <c r="B21465" t="s">
        <v>675</v>
      </c>
      <c r="C21465" t="str">
        <f>"A0096849"</f>
        <v>A0096849</v>
      </c>
      <c r="D21465" t="s">
        <v>80958</v>
      </c>
      <c r="E21465" t="s">
        <v>80959</v>
      </c>
      <c r="F21465" t="s">
        <v>5874</v>
      </c>
      <c r="G21465" t="s">
        <v>3843</v>
      </c>
      <c r="H21465">
        <v>6500</v>
      </c>
      <c r="I21465" t="s">
        <v>2408</v>
      </c>
      <c r="J21465" t="s">
        <v>162</v>
      </c>
      <c r="K21465" t="s">
        <v>1502</v>
      </c>
      <c r="N21465" t="s">
        <v>80960</v>
      </c>
      <c r="O21465" t="s">
        <v>80961</v>
      </c>
      <c r="Q21465">
        <v>0</v>
      </c>
      <c r="R21465">
        <v>756</v>
      </c>
      <c r="S21465">
        <v>0</v>
      </c>
      <c r="T21465" t="s">
        <v>80962</v>
      </c>
    </row>
    <row r="21466" spans="1:20" customFormat="1" ht="15" x14ac:dyDescent="0.25">
      <c r="A21466" t="s">
        <v>24</v>
      </c>
      <c r="B21466" t="s">
        <v>2583</v>
      </c>
      <c r="C21466" t="str">
        <f>"A0086430"</f>
        <v>A0086430</v>
      </c>
      <c r="D21466" t="s">
        <v>73572</v>
      </c>
      <c r="E21466" t="s">
        <v>73573</v>
      </c>
      <c r="F21466" t="s">
        <v>61889</v>
      </c>
      <c r="G21466" t="s">
        <v>381</v>
      </c>
      <c r="H21466">
        <v>46545</v>
      </c>
      <c r="I21466" t="s">
        <v>30</v>
      </c>
      <c r="J21466" t="s">
        <v>171</v>
      </c>
      <c r="K21466" t="s">
        <v>1202</v>
      </c>
      <c r="N21466" t="s">
        <v>73574</v>
      </c>
      <c r="O21466" t="s">
        <v>73575</v>
      </c>
      <c r="Q21466">
        <v>0</v>
      </c>
      <c r="R21466">
        <v>121</v>
      </c>
      <c r="S21466">
        <v>0</v>
      </c>
      <c r="T21466" t="s">
        <v>73576</v>
      </c>
    </row>
    <row r="21467" spans="1:20" customFormat="1" ht="15" x14ac:dyDescent="0.25">
      <c r="A21467" t="s">
        <v>24</v>
      </c>
      <c r="B21467" t="s">
        <v>16701</v>
      </c>
      <c r="C21467" t="str">
        <f>"A0084881"</f>
        <v>A0084881</v>
      </c>
      <c r="D21467" t="s">
        <v>73585</v>
      </c>
      <c r="E21467" t="s">
        <v>73586</v>
      </c>
      <c r="F21467" t="s">
        <v>6941</v>
      </c>
      <c r="G21467" t="s">
        <v>214</v>
      </c>
      <c r="H21467">
        <v>27560</v>
      </c>
      <c r="I21467" t="s">
        <v>30</v>
      </c>
      <c r="J21467" t="s">
        <v>171</v>
      </c>
      <c r="K21467" t="s">
        <v>1202</v>
      </c>
      <c r="N21467" t="s">
        <v>73587</v>
      </c>
      <c r="Q21467">
        <v>0</v>
      </c>
      <c r="R21467">
        <v>94</v>
      </c>
      <c r="S21467">
        <v>0</v>
      </c>
      <c r="T21467" t="s">
        <v>73588</v>
      </c>
    </row>
    <row r="21468" spans="1:20" customFormat="1" ht="15" x14ac:dyDescent="0.25">
      <c r="A21468" t="s">
        <v>24</v>
      </c>
      <c r="B21468" t="s">
        <v>72975</v>
      </c>
      <c r="C21468" t="str">
        <f>"A0074427"</f>
        <v>A0074427</v>
      </c>
      <c r="D21468" t="s">
        <v>73589</v>
      </c>
      <c r="E21468" t="s">
        <v>73590</v>
      </c>
      <c r="F21468" t="s">
        <v>14600</v>
      </c>
      <c r="G21468" t="s">
        <v>338</v>
      </c>
      <c r="H21468">
        <v>8054</v>
      </c>
      <c r="I21468" t="s">
        <v>30</v>
      </c>
      <c r="J21468" t="s">
        <v>171</v>
      </c>
      <c r="K21468" t="s">
        <v>1202</v>
      </c>
      <c r="N21468" t="s">
        <v>14601</v>
      </c>
      <c r="O21468" t="s">
        <v>73591</v>
      </c>
      <c r="Q21468">
        <v>0</v>
      </c>
      <c r="R21468">
        <v>124</v>
      </c>
      <c r="S21468">
        <v>0</v>
      </c>
      <c r="T21468" t="s">
        <v>73592</v>
      </c>
    </row>
    <row r="21469" spans="1:20" customFormat="1" ht="15" x14ac:dyDescent="0.25">
      <c r="A21469" t="s">
        <v>24</v>
      </c>
      <c r="B21469" t="s">
        <v>2955</v>
      </c>
      <c r="C21469" t="str">
        <f>"A0058528"</f>
        <v>A0058528</v>
      </c>
      <c r="D21469" t="s">
        <v>73593</v>
      </c>
      <c r="E21469" t="s">
        <v>73594</v>
      </c>
      <c r="F21469" t="s">
        <v>7921</v>
      </c>
      <c r="G21469" t="s">
        <v>880</v>
      </c>
      <c r="H21469">
        <v>37067</v>
      </c>
      <c r="I21469" t="s">
        <v>30</v>
      </c>
      <c r="J21469" t="s">
        <v>171</v>
      </c>
      <c r="K21469" t="s">
        <v>1202</v>
      </c>
      <c r="N21469" t="s">
        <v>73595</v>
      </c>
      <c r="Q21469">
        <v>0</v>
      </c>
      <c r="R21469">
        <v>126</v>
      </c>
      <c r="S21469">
        <v>0</v>
      </c>
      <c r="T21469" t="s">
        <v>73596</v>
      </c>
    </row>
    <row r="21470" spans="1:20" customFormat="1" ht="15" x14ac:dyDescent="0.25">
      <c r="A21470" t="s">
        <v>24</v>
      </c>
      <c r="B21470" t="s">
        <v>1583</v>
      </c>
      <c r="C21470" t="str">
        <f>"A0098349"</f>
        <v>A0098349</v>
      </c>
      <c r="D21470" t="s">
        <v>80981</v>
      </c>
      <c r="E21470" t="s">
        <v>80982</v>
      </c>
      <c r="F21470" t="s">
        <v>58817</v>
      </c>
      <c r="G21470" t="s">
        <v>190</v>
      </c>
      <c r="H21470">
        <v>81620</v>
      </c>
      <c r="I21470" t="s">
        <v>30</v>
      </c>
      <c r="J21470" t="s">
        <v>2544</v>
      </c>
      <c r="K21470" t="s">
        <v>80774</v>
      </c>
      <c r="N21470" t="s">
        <v>80983</v>
      </c>
      <c r="O21470" t="s">
        <v>80984</v>
      </c>
      <c r="Q21470">
        <v>0</v>
      </c>
      <c r="R21470">
        <v>158</v>
      </c>
      <c r="S21470">
        <v>0</v>
      </c>
      <c r="T21470" t="s">
        <v>80985</v>
      </c>
    </row>
    <row r="21471" spans="1:20" customFormat="1" ht="15" x14ac:dyDescent="0.25">
      <c r="A21471" t="s">
        <v>24</v>
      </c>
      <c r="B21471" t="s">
        <v>73597</v>
      </c>
      <c r="C21471" t="str">
        <f>"A0084548"</f>
        <v>A0084548</v>
      </c>
      <c r="D21471" t="s">
        <v>73598</v>
      </c>
      <c r="E21471" t="s">
        <v>73599</v>
      </c>
      <c r="F21471" t="s">
        <v>2971</v>
      </c>
      <c r="G21471" t="s">
        <v>880</v>
      </c>
      <c r="H21471">
        <v>37214</v>
      </c>
      <c r="I21471" t="s">
        <v>30</v>
      </c>
      <c r="J21471" t="s">
        <v>171</v>
      </c>
      <c r="K21471" t="s">
        <v>1202</v>
      </c>
      <c r="N21471" t="s">
        <v>73600</v>
      </c>
      <c r="Q21471">
        <v>0</v>
      </c>
      <c r="R21471">
        <v>83</v>
      </c>
      <c r="S21471">
        <v>0</v>
      </c>
      <c r="T21471" t="s">
        <v>73601</v>
      </c>
    </row>
    <row r="21472" spans="1:20" customFormat="1" ht="15" x14ac:dyDescent="0.25">
      <c r="A21472" t="s">
        <v>24</v>
      </c>
      <c r="B21472" t="s">
        <v>1487</v>
      </c>
      <c r="C21472" t="str">
        <f>"A0092301"</f>
        <v>A0092301</v>
      </c>
      <c r="D21472" t="s">
        <v>73602</v>
      </c>
      <c r="E21472" t="s">
        <v>73603</v>
      </c>
      <c r="F21472" t="s">
        <v>2971</v>
      </c>
      <c r="G21472" t="s">
        <v>880</v>
      </c>
      <c r="H21472">
        <v>37201</v>
      </c>
      <c r="I21472" t="s">
        <v>30</v>
      </c>
      <c r="J21472" t="s">
        <v>171</v>
      </c>
      <c r="K21472" t="s">
        <v>1202</v>
      </c>
      <c r="N21472" t="s">
        <v>73604</v>
      </c>
      <c r="O21472" t="s">
        <v>73605</v>
      </c>
      <c r="Q21472">
        <v>0</v>
      </c>
      <c r="R21472">
        <v>255</v>
      </c>
      <c r="S21472">
        <v>0</v>
      </c>
      <c r="T21472" t="s">
        <v>73606</v>
      </c>
    </row>
    <row r="21473" spans="1:20" customFormat="1" ht="15" x14ac:dyDescent="0.25">
      <c r="A21473" t="s">
        <v>24</v>
      </c>
      <c r="B21473" t="s">
        <v>72975</v>
      </c>
      <c r="C21473" t="str">
        <f>"A0054851"</f>
        <v>A0054851</v>
      </c>
      <c r="D21473" t="s">
        <v>73607</v>
      </c>
      <c r="E21473" t="s">
        <v>72570</v>
      </c>
      <c r="F21473" t="s">
        <v>15230</v>
      </c>
      <c r="G21473" t="s">
        <v>880</v>
      </c>
      <c r="H21473">
        <v>37075</v>
      </c>
      <c r="I21473" t="s">
        <v>30</v>
      </c>
      <c r="J21473" t="s">
        <v>171</v>
      </c>
      <c r="K21473" t="s">
        <v>1202</v>
      </c>
      <c r="N21473" t="s">
        <v>73608</v>
      </c>
      <c r="O21473" t="s">
        <v>2973</v>
      </c>
      <c r="Q21473">
        <v>0</v>
      </c>
      <c r="R21473">
        <v>100</v>
      </c>
      <c r="S21473">
        <v>0</v>
      </c>
      <c r="T21473" t="s">
        <v>73609</v>
      </c>
    </row>
    <row r="21474" spans="1:20" customFormat="1" ht="15" x14ac:dyDescent="0.25">
      <c r="A21474" t="s">
        <v>24</v>
      </c>
      <c r="B21474" t="s">
        <v>2528</v>
      </c>
      <c r="C21474" t="str">
        <f>"SF03456"</f>
        <v>SF03456</v>
      </c>
      <c r="D21474" t="s">
        <v>73610</v>
      </c>
      <c r="E21474" t="s">
        <v>73611</v>
      </c>
      <c r="F21474" t="s">
        <v>7095</v>
      </c>
      <c r="G21474" t="s">
        <v>1170</v>
      </c>
      <c r="H21474">
        <v>70130</v>
      </c>
      <c r="I21474" t="s">
        <v>30</v>
      </c>
      <c r="J21474" t="s">
        <v>171</v>
      </c>
      <c r="K21474" t="s">
        <v>1202</v>
      </c>
      <c r="N21474" t="s">
        <v>73612</v>
      </c>
      <c r="Q21474">
        <v>0</v>
      </c>
      <c r="R21474">
        <v>170</v>
      </c>
      <c r="S21474">
        <v>0</v>
      </c>
      <c r="T21474" t="s">
        <v>73613</v>
      </c>
    </row>
    <row r="21475" spans="1:20" customFormat="1" ht="15" x14ac:dyDescent="0.25">
      <c r="A21475" t="s">
        <v>24</v>
      </c>
      <c r="B21475" t="s">
        <v>5104</v>
      </c>
      <c r="C21475" t="str">
        <f>"A0151713"</f>
        <v>A0151713</v>
      </c>
      <c r="D21475" t="s">
        <v>73614</v>
      </c>
      <c r="E21475" t="s">
        <v>73615</v>
      </c>
      <c r="F21475" t="s">
        <v>997</v>
      </c>
      <c r="G21475" t="s">
        <v>99</v>
      </c>
      <c r="H21475">
        <v>10018</v>
      </c>
      <c r="I21475" t="s">
        <v>30</v>
      </c>
      <c r="J21475" t="s">
        <v>171</v>
      </c>
      <c r="K21475" t="s">
        <v>1202</v>
      </c>
      <c r="N21475" t="s">
        <v>73616</v>
      </c>
      <c r="Q21475">
        <v>0</v>
      </c>
      <c r="R21475">
        <v>520</v>
      </c>
      <c r="S21475">
        <v>0</v>
      </c>
      <c r="T21475" t="s">
        <v>73617</v>
      </c>
    </row>
    <row r="21476" spans="1:20" customFormat="1" ht="15" x14ac:dyDescent="0.25">
      <c r="A21476" t="s">
        <v>24</v>
      </c>
      <c r="B21476" t="s">
        <v>6976</v>
      </c>
      <c r="C21476" t="str">
        <f>"A0100130"</f>
        <v>A0100130</v>
      </c>
      <c r="D21476" t="s">
        <v>73618</v>
      </c>
      <c r="E21476" t="s">
        <v>12874</v>
      </c>
      <c r="F21476" t="s">
        <v>2598</v>
      </c>
      <c r="G21476" t="s">
        <v>99</v>
      </c>
      <c r="H21476">
        <v>14303</v>
      </c>
      <c r="I21476" t="s">
        <v>30</v>
      </c>
      <c r="J21476" t="s">
        <v>171</v>
      </c>
      <c r="K21476" t="s">
        <v>1202</v>
      </c>
      <c r="N21476" t="s">
        <v>73619</v>
      </c>
      <c r="Q21476">
        <v>0</v>
      </c>
      <c r="R21476">
        <v>128</v>
      </c>
      <c r="S21476">
        <v>0</v>
      </c>
      <c r="T21476" t="s">
        <v>73620</v>
      </c>
    </row>
    <row r="21477" spans="1:20" customFormat="1" ht="15" hidden="1" x14ac:dyDescent="0.25">
      <c r="A21477" t="s">
        <v>24</v>
      </c>
      <c r="B21477" t="s">
        <v>81012</v>
      </c>
      <c r="C21477" t="str">
        <f>"A0098471"</f>
        <v>A0098471</v>
      </c>
      <c r="D21477" t="s">
        <v>81013</v>
      </c>
      <c r="E21477" t="s">
        <v>81014</v>
      </c>
      <c r="F21477" t="s">
        <v>56045</v>
      </c>
      <c r="G21477" t="s">
        <v>2206</v>
      </c>
      <c r="H21477" t="s">
        <v>81015</v>
      </c>
      <c r="I21477" t="s">
        <v>1459</v>
      </c>
      <c r="J21477" t="s">
        <v>162</v>
      </c>
      <c r="K21477" t="s">
        <v>1502</v>
      </c>
      <c r="N21477" t="s">
        <v>81016</v>
      </c>
      <c r="Q21477">
        <v>0</v>
      </c>
      <c r="R21477">
        <v>236</v>
      </c>
      <c r="S21477">
        <v>0</v>
      </c>
      <c r="T21477" t="s">
        <v>81017</v>
      </c>
    </row>
    <row r="21478" spans="1:20" customFormat="1" ht="15" x14ac:dyDescent="0.25">
      <c r="A21478" t="s">
        <v>24</v>
      </c>
      <c r="B21478" t="s">
        <v>13135</v>
      </c>
      <c r="C21478" t="str">
        <f>"A0100378"</f>
        <v>A0100378</v>
      </c>
      <c r="D21478" t="s">
        <v>73621</v>
      </c>
      <c r="E21478" t="s">
        <v>73622</v>
      </c>
      <c r="F21478" t="s">
        <v>2235</v>
      </c>
      <c r="G21478" t="s">
        <v>123</v>
      </c>
      <c r="H21478">
        <v>21842</v>
      </c>
      <c r="I21478" t="s">
        <v>30</v>
      </c>
      <c r="J21478" t="s">
        <v>171</v>
      </c>
      <c r="K21478" t="s">
        <v>1202</v>
      </c>
      <c r="N21478" t="s">
        <v>73623</v>
      </c>
      <c r="Q21478">
        <v>0</v>
      </c>
      <c r="R21478">
        <v>105</v>
      </c>
      <c r="S21478">
        <v>0</v>
      </c>
      <c r="T21478" t="s">
        <v>73624</v>
      </c>
    </row>
    <row r="21479" spans="1:20" customFormat="1" ht="15" x14ac:dyDescent="0.25">
      <c r="A21479" t="s">
        <v>24</v>
      </c>
      <c r="B21479" t="s">
        <v>72975</v>
      </c>
      <c r="C21479" t="str">
        <f>"A0074428"</f>
        <v>A0074428</v>
      </c>
      <c r="D21479" t="s">
        <v>73625</v>
      </c>
      <c r="E21479" t="s">
        <v>73626</v>
      </c>
      <c r="F21479" t="s">
        <v>985</v>
      </c>
      <c r="G21479" t="s">
        <v>81</v>
      </c>
      <c r="H21479">
        <v>32812</v>
      </c>
      <c r="I21479" t="s">
        <v>30</v>
      </c>
      <c r="J21479" t="s">
        <v>171</v>
      </c>
      <c r="K21479" t="s">
        <v>1202</v>
      </c>
      <c r="N21479" t="s">
        <v>73627</v>
      </c>
      <c r="Q21479">
        <v>0</v>
      </c>
      <c r="R21479">
        <v>138</v>
      </c>
      <c r="S21479">
        <v>0</v>
      </c>
      <c r="T21479" t="s">
        <v>73628</v>
      </c>
    </row>
    <row r="21480" spans="1:20" customFormat="1" ht="15" x14ac:dyDescent="0.25">
      <c r="A21480" t="s">
        <v>24</v>
      </c>
      <c r="B21480" t="s">
        <v>1548</v>
      </c>
      <c r="C21480" t="str">
        <f>"A0099925"</f>
        <v>A0099925</v>
      </c>
      <c r="D21480" t="s">
        <v>73629</v>
      </c>
      <c r="E21480" t="s">
        <v>73630</v>
      </c>
      <c r="F21480" t="s">
        <v>73631</v>
      </c>
      <c r="G21480" t="s">
        <v>197</v>
      </c>
      <c r="H21480">
        <v>86040</v>
      </c>
      <c r="I21480" t="s">
        <v>30</v>
      </c>
      <c r="J21480" t="s">
        <v>171</v>
      </c>
      <c r="K21480" t="s">
        <v>1202</v>
      </c>
      <c r="N21480" t="s">
        <v>73632</v>
      </c>
      <c r="O21480" t="s">
        <v>73633</v>
      </c>
      <c r="Q21480">
        <v>0</v>
      </c>
      <c r="R21480">
        <v>102</v>
      </c>
      <c r="S21480">
        <v>0</v>
      </c>
      <c r="T21480" t="s">
        <v>73634</v>
      </c>
    </row>
    <row r="21481" spans="1:20" customFormat="1" ht="15" hidden="1" x14ac:dyDescent="0.25">
      <c r="A21481" t="s">
        <v>24</v>
      </c>
      <c r="B21481" t="s">
        <v>81031</v>
      </c>
      <c r="C21481" t="str">
        <f>"A0098555"</f>
        <v>A0098555</v>
      </c>
      <c r="D21481" t="s">
        <v>81032</v>
      </c>
      <c r="E21481" t="s">
        <v>81033</v>
      </c>
      <c r="F21481" t="s">
        <v>13782</v>
      </c>
      <c r="G21481" t="s">
        <v>2206</v>
      </c>
      <c r="H21481" t="s">
        <v>81034</v>
      </c>
      <c r="I21481" t="s">
        <v>1459</v>
      </c>
      <c r="J21481" t="s">
        <v>162</v>
      </c>
      <c r="K21481" t="s">
        <v>1502</v>
      </c>
      <c r="N21481" t="s">
        <v>81035</v>
      </c>
      <c r="O21481" t="s">
        <v>81036</v>
      </c>
      <c r="Q21481">
        <v>0</v>
      </c>
      <c r="R21481">
        <v>308</v>
      </c>
      <c r="S21481">
        <v>0</v>
      </c>
      <c r="T21481" t="s">
        <v>81037</v>
      </c>
    </row>
    <row r="21482" spans="1:20" customFormat="1" ht="15" x14ac:dyDescent="0.25">
      <c r="A21482" t="s">
        <v>24</v>
      </c>
      <c r="B21482" t="s">
        <v>5166</v>
      </c>
      <c r="C21482" t="str">
        <f>"A0151755"</f>
        <v>A0151755</v>
      </c>
      <c r="D21482" t="s">
        <v>73639</v>
      </c>
      <c r="E21482" t="s">
        <v>73640</v>
      </c>
      <c r="F21482" t="s">
        <v>972</v>
      </c>
      <c r="G21482" t="s">
        <v>190</v>
      </c>
      <c r="H21482">
        <v>80249</v>
      </c>
      <c r="I21482" t="s">
        <v>30</v>
      </c>
      <c r="J21482" t="s">
        <v>171</v>
      </c>
      <c r="K21482" t="s">
        <v>1202</v>
      </c>
      <c r="N21482" t="s">
        <v>55017</v>
      </c>
      <c r="Q21482">
        <v>0</v>
      </c>
      <c r="R21482">
        <v>226</v>
      </c>
      <c r="S21482">
        <v>0</v>
      </c>
      <c r="T21482" t="s">
        <v>73641</v>
      </c>
    </row>
    <row r="21483" spans="1:20" customFormat="1" ht="15" x14ac:dyDescent="0.25">
      <c r="A21483" t="s">
        <v>24</v>
      </c>
      <c r="B21483" t="s">
        <v>57614</v>
      </c>
      <c r="C21483" t="str">
        <f>"A0059145"</f>
        <v>A0059145</v>
      </c>
      <c r="D21483" t="s">
        <v>73642</v>
      </c>
      <c r="E21483" t="s">
        <v>73643</v>
      </c>
      <c r="F21483" t="s">
        <v>34458</v>
      </c>
      <c r="G21483" t="s">
        <v>197</v>
      </c>
      <c r="H21483">
        <v>85226</v>
      </c>
      <c r="I21483" t="s">
        <v>30</v>
      </c>
      <c r="J21483" t="s">
        <v>171</v>
      </c>
      <c r="K21483" t="s">
        <v>1202</v>
      </c>
      <c r="N21483" t="s">
        <v>73644</v>
      </c>
      <c r="Q21483">
        <v>0</v>
      </c>
      <c r="R21483">
        <v>129</v>
      </c>
      <c r="S21483">
        <v>0</v>
      </c>
      <c r="T21483" t="s">
        <v>73645</v>
      </c>
    </row>
    <row r="21484" spans="1:20" customFormat="1" ht="15" x14ac:dyDescent="0.25">
      <c r="A21484" t="s">
        <v>24</v>
      </c>
      <c r="B21484" t="s">
        <v>1583</v>
      </c>
      <c r="C21484" t="str">
        <f>"A0098347"</f>
        <v>A0098347</v>
      </c>
      <c r="D21484" t="s">
        <v>81047</v>
      </c>
      <c r="E21484" t="s">
        <v>81048</v>
      </c>
      <c r="F21484" t="s">
        <v>81049</v>
      </c>
      <c r="G21484" t="s">
        <v>81</v>
      </c>
      <c r="H21484">
        <v>34986</v>
      </c>
      <c r="I21484" t="s">
        <v>30</v>
      </c>
      <c r="J21484" t="s">
        <v>2544</v>
      </c>
      <c r="K21484" t="s">
        <v>80774</v>
      </c>
      <c r="Q21484">
        <v>0</v>
      </c>
      <c r="R21484">
        <v>42</v>
      </c>
      <c r="S21484">
        <v>0</v>
      </c>
      <c r="T21484" t="s">
        <v>81050</v>
      </c>
    </row>
    <row r="21485" spans="1:20" customFormat="1" ht="15" x14ac:dyDescent="0.25">
      <c r="A21485" t="s">
        <v>24</v>
      </c>
      <c r="B21485" t="s">
        <v>2528</v>
      </c>
      <c r="C21485" t="str">
        <f>"A0087045"</f>
        <v>A0087045</v>
      </c>
      <c r="D21485" t="s">
        <v>73646</v>
      </c>
      <c r="E21485" t="s">
        <v>73647</v>
      </c>
      <c r="F21485" t="s">
        <v>57795</v>
      </c>
      <c r="G21485" t="s">
        <v>103</v>
      </c>
      <c r="H21485">
        <v>15212</v>
      </c>
      <c r="I21485" t="s">
        <v>30</v>
      </c>
      <c r="J21485" t="s">
        <v>171</v>
      </c>
      <c r="K21485" t="s">
        <v>1202</v>
      </c>
      <c r="N21485" t="s">
        <v>73648</v>
      </c>
      <c r="Q21485">
        <v>0</v>
      </c>
      <c r="R21485">
        <v>178</v>
      </c>
      <c r="S21485">
        <v>0</v>
      </c>
      <c r="T21485" t="s">
        <v>73649</v>
      </c>
    </row>
    <row r="21486" spans="1:20" customFormat="1" ht="15" x14ac:dyDescent="0.25">
      <c r="A21486" t="s">
        <v>24</v>
      </c>
      <c r="B21486" t="s">
        <v>1317</v>
      </c>
      <c r="C21486" t="str">
        <f>"A0087111"</f>
        <v>A0087111</v>
      </c>
      <c r="D21486" t="s">
        <v>73650</v>
      </c>
      <c r="E21486" t="s">
        <v>73651</v>
      </c>
      <c r="F21486" t="s">
        <v>62969</v>
      </c>
      <c r="G21486" t="s">
        <v>221</v>
      </c>
      <c r="H21486">
        <v>89501</v>
      </c>
      <c r="I21486" t="s">
        <v>30</v>
      </c>
      <c r="J21486" t="s">
        <v>171</v>
      </c>
      <c r="K21486" t="s">
        <v>1202</v>
      </c>
      <c r="N21486" t="s">
        <v>73652</v>
      </c>
      <c r="Q21486">
        <v>0</v>
      </c>
      <c r="R21486">
        <v>126</v>
      </c>
      <c r="S21486">
        <v>0</v>
      </c>
      <c r="T21486" t="s">
        <v>73653</v>
      </c>
    </row>
    <row r="21487" spans="1:20" customFormat="1" ht="15" x14ac:dyDescent="0.25">
      <c r="A21487" t="s">
        <v>24</v>
      </c>
      <c r="B21487" t="s">
        <v>35790</v>
      </c>
      <c r="C21487" t="str">
        <f>"A0088089"</f>
        <v>A0088089</v>
      </c>
      <c r="D21487" t="s">
        <v>73654</v>
      </c>
      <c r="E21487" t="s">
        <v>73655</v>
      </c>
      <c r="F21487" t="s">
        <v>73656</v>
      </c>
      <c r="G21487" t="s">
        <v>153</v>
      </c>
      <c r="H21487">
        <v>84101</v>
      </c>
      <c r="I21487" t="s">
        <v>30</v>
      </c>
      <c r="J21487" t="s">
        <v>171</v>
      </c>
      <c r="K21487" t="s">
        <v>1202</v>
      </c>
      <c r="N21487" t="s">
        <v>73657</v>
      </c>
      <c r="Q21487">
        <v>0</v>
      </c>
      <c r="R21487">
        <v>126</v>
      </c>
      <c r="S21487">
        <v>0</v>
      </c>
      <c r="T21487" t="s">
        <v>73658</v>
      </c>
    </row>
    <row r="21488" spans="1:20" customFormat="1" ht="15" hidden="1" x14ac:dyDescent="0.25">
      <c r="A21488" t="s">
        <v>24</v>
      </c>
      <c r="B21488" t="s">
        <v>675</v>
      </c>
      <c r="C21488" t="str">
        <f>"A0096861"</f>
        <v>A0096861</v>
      </c>
      <c r="D21488" t="s">
        <v>81063</v>
      </c>
      <c r="E21488" t="s">
        <v>81064</v>
      </c>
      <c r="F21488" t="s">
        <v>75069</v>
      </c>
      <c r="G21488" t="s">
        <v>9901</v>
      </c>
      <c r="H21488">
        <v>907</v>
      </c>
      <c r="I21488" t="s">
        <v>9902</v>
      </c>
      <c r="J21488" t="s">
        <v>162</v>
      </c>
      <c r="K21488" t="s">
        <v>1502</v>
      </c>
      <c r="N21488" t="s">
        <v>62994</v>
      </c>
      <c r="O21488" t="s">
        <v>81065</v>
      </c>
      <c r="Q21488">
        <v>0</v>
      </c>
      <c r="R21488">
        <v>503</v>
      </c>
      <c r="S21488">
        <v>0</v>
      </c>
      <c r="T21488" t="s">
        <v>81066</v>
      </c>
    </row>
    <row r="21489" spans="1:25" customFormat="1" ht="15" x14ac:dyDescent="0.25">
      <c r="A21489" t="s">
        <v>24</v>
      </c>
      <c r="B21489" t="s">
        <v>72934</v>
      </c>
      <c r="C21489" t="str">
        <f>"A0092017"</f>
        <v>A0092017</v>
      </c>
      <c r="D21489" t="s">
        <v>73659</v>
      </c>
      <c r="E21489" t="s">
        <v>73660</v>
      </c>
      <c r="F21489" t="s">
        <v>53318</v>
      </c>
      <c r="G21489" t="s">
        <v>153</v>
      </c>
      <c r="H21489">
        <v>84121</v>
      </c>
      <c r="I21489" t="s">
        <v>30</v>
      </c>
      <c r="J21489" t="s">
        <v>171</v>
      </c>
      <c r="K21489" t="s">
        <v>1202</v>
      </c>
      <c r="N21489" t="s">
        <v>73661</v>
      </c>
      <c r="O21489" t="s">
        <v>73662</v>
      </c>
      <c r="Q21489">
        <v>0</v>
      </c>
      <c r="R21489">
        <v>137</v>
      </c>
      <c r="S21489">
        <v>0</v>
      </c>
      <c r="T21489" t="s">
        <v>73663</v>
      </c>
    </row>
    <row r="21490" spans="1:25" customFormat="1" ht="15" hidden="1" x14ac:dyDescent="0.25">
      <c r="A21490" t="s">
        <v>24</v>
      </c>
      <c r="B21490" t="s">
        <v>81071</v>
      </c>
      <c r="C21490" t="str">
        <f>"A0101002"</f>
        <v>A0101002</v>
      </c>
      <c r="D21490" t="s">
        <v>81072</v>
      </c>
      <c r="E21490" t="s">
        <v>81073</v>
      </c>
      <c r="F21490" t="s">
        <v>81074</v>
      </c>
      <c r="G21490" t="s">
        <v>5439</v>
      </c>
      <c r="H21490" t="s">
        <v>81075</v>
      </c>
      <c r="I21490" t="s">
        <v>1459</v>
      </c>
      <c r="J21490" t="s">
        <v>162</v>
      </c>
      <c r="K21490" t="s">
        <v>1502</v>
      </c>
      <c r="N21490" t="s">
        <v>81076</v>
      </c>
      <c r="O21490" t="s">
        <v>81077</v>
      </c>
      <c r="Q21490">
        <v>0</v>
      </c>
      <c r="R21490">
        <v>223</v>
      </c>
      <c r="S21490">
        <v>0</v>
      </c>
      <c r="T21490" t="s">
        <v>81078</v>
      </c>
    </row>
    <row r="21491" spans="1:25" customFormat="1" ht="15" x14ac:dyDescent="0.25">
      <c r="A21491" t="s">
        <v>24</v>
      </c>
      <c r="B21491" t="s">
        <v>1548</v>
      </c>
      <c r="C21491" t="str">
        <f>"A0096228"</f>
        <v>A0096228</v>
      </c>
      <c r="D21491" t="s">
        <v>73664</v>
      </c>
      <c r="E21491" t="s">
        <v>73665</v>
      </c>
      <c r="F21491" t="s">
        <v>6014</v>
      </c>
      <c r="G21491" t="s">
        <v>153</v>
      </c>
      <c r="H21491">
        <v>84025</v>
      </c>
      <c r="I21491" t="s">
        <v>30</v>
      </c>
      <c r="J21491" t="s">
        <v>171</v>
      </c>
      <c r="K21491" t="s">
        <v>1202</v>
      </c>
      <c r="N21491" t="s">
        <v>73666</v>
      </c>
      <c r="O21491" t="s">
        <v>73667</v>
      </c>
      <c r="Q21491">
        <v>0</v>
      </c>
      <c r="R21491">
        <v>108</v>
      </c>
      <c r="S21491">
        <v>0</v>
      </c>
      <c r="T21491" t="s">
        <v>73668</v>
      </c>
    </row>
    <row r="21492" spans="1:25" x14ac:dyDescent="0.25">
      <c r="A21492" s="5" t="s">
        <v>24</v>
      </c>
      <c r="B21492" s="5" t="s">
        <v>3128</v>
      </c>
      <c r="C21492" s="5" t="str">
        <f>"A0058573"</f>
        <v>A0058573</v>
      </c>
      <c r="D21492" s="5" t="s">
        <v>73669</v>
      </c>
      <c r="E21492" s="5" t="s">
        <v>73670</v>
      </c>
      <c r="F21492" s="5" t="s">
        <v>356</v>
      </c>
      <c r="G21492" s="5" t="s">
        <v>52</v>
      </c>
      <c r="H21492" s="5">
        <v>78216</v>
      </c>
      <c r="I21492" s="5" t="s">
        <v>30</v>
      </c>
      <c r="J21492" s="5" t="s">
        <v>171</v>
      </c>
      <c r="K21492" s="5" t="s">
        <v>1202</v>
      </c>
      <c r="L21492" s="5"/>
      <c r="M21492" s="5"/>
      <c r="N21492" s="5" t="s">
        <v>73671</v>
      </c>
      <c r="O21492" s="5"/>
      <c r="P21492" s="5"/>
      <c r="Q21492" s="5">
        <v>0</v>
      </c>
      <c r="R21492" s="5">
        <v>126</v>
      </c>
      <c r="S21492" s="5">
        <v>0</v>
      </c>
      <c r="T21492" s="5" t="s">
        <v>73672</v>
      </c>
      <c r="U21492" s="5"/>
      <c r="V21492" s="5"/>
      <c r="W21492" s="5"/>
      <c r="X21492" s="5"/>
      <c r="Y21492" s="5"/>
    </row>
    <row r="21493" spans="1:25" customFormat="1" ht="15" x14ac:dyDescent="0.25">
      <c r="A21493" t="s">
        <v>24</v>
      </c>
      <c r="B21493" t="s">
        <v>1317</v>
      </c>
      <c r="C21493" t="str">
        <f>"A0088829"</f>
        <v>A0088829</v>
      </c>
      <c r="D21493" t="s">
        <v>73673</v>
      </c>
      <c r="E21493" t="s">
        <v>73674</v>
      </c>
      <c r="F21493" t="s">
        <v>356</v>
      </c>
      <c r="G21493" t="s">
        <v>52</v>
      </c>
      <c r="H21493">
        <v>78258</v>
      </c>
      <c r="I21493" t="s">
        <v>30</v>
      </c>
      <c r="J21493" t="s">
        <v>171</v>
      </c>
      <c r="K21493" t="s">
        <v>1202</v>
      </c>
      <c r="N21493" t="s">
        <v>73675</v>
      </c>
      <c r="Q21493">
        <v>0</v>
      </c>
      <c r="R21493">
        <v>126</v>
      </c>
      <c r="S21493">
        <v>0</v>
      </c>
      <c r="T21493" t="s">
        <v>73676</v>
      </c>
    </row>
    <row r="21494" spans="1:25" customFormat="1" ht="15" x14ac:dyDescent="0.25">
      <c r="A21494" t="s">
        <v>24</v>
      </c>
      <c r="B21494" t="s">
        <v>72975</v>
      </c>
      <c r="C21494" t="str">
        <f>"A0074429"</f>
        <v>A0074429</v>
      </c>
      <c r="D21494" t="s">
        <v>73677</v>
      </c>
      <c r="E21494" t="s">
        <v>73678</v>
      </c>
      <c r="F21494" t="s">
        <v>356</v>
      </c>
      <c r="G21494" t="s">
        <v>52</v>
      </c>
      <c r="H21494">
        <v>78205</v>
      </c>
      <c r="I21494" t="s">
        <v>30</v>
      </c>
      <c r="J21494" t="s">
        <v>171</v>
      </c>
      <c r="K21494" t="s">
        <v>1202</v>
      </c>
      <c r="N21494" t="s">
        <v>73679</v>
      </c>
      <c r="O21494" t="s">
        <v>73680</v>
      </c>
      <c r="Q21494">
        <v>0</v>
      </c>
      <c r="R21494">
        <v>132</v>
      </c>
      <c r="S21494">
        <v>0</v>
      </c>
      <c r="T21494" t="s">
        <v>73681</v>
      </c>
    </row>
    <row r="21495" spans="1:25" customFormat="1" ht="15" x14ac:dyDescent="0.25">
      <c r="A21495" t="s">
        <v>24</v>
      </c>
      <c r="B21495" t="s">
        <v>8579</v>
      </c>
      <c r="C21495" t="str">
        <f>"A0101188"</f>
        <v>A0101188</v>
      </c>
      <c r="D21495" t="s">
        <v>73682</v>
      </c>
      <c r="E21495" t="s">
        <v>73683</v>
      </c>
      <c r="F21495" t="s">
        <v>748</v>
      </c>
      <c r="G21495" t="s">
        <v>110</v>
      </c>
      <c r="H21495">
        <v>94107</v>
      </c>
      <c r="I21495" t="s">
        <v>30</v>
      </c>
      <c r="J21495" t="s">
        <v>171</v>
      </c>
      <c r="K21495" t="s">
        <v>1202</v>
      </c>
      <c r="N21495" t="s">
        <v>73684</v>
      </c>
      <c r="Q21495">
        <v>0</v>
      </c>
      <c r="R21495">
        <v>230</v>
      </c>
      <c r="S21495">
        <v>0</v>
      </c>
      <c r="T21495" t="s">
        <v>73685</v>
      </c>
    </row>
    <row r="21496" spans="1:25" customFormat="1" ht="15" x14ac:dyDescent="0.25">
      <c r="A21496" t="s">
        <v>24</v>
      </c>
      <c r="B21496" t="s">
        <v>12732</v>
      </c>
      <c r="C21496" t="str">
        <f>"A0117565"</f>
        <v>A0117565</v>
      </c>
      <c r="D21496" t="s">
        <v>73690</v>
      </c>
      <c r="E21496" t="s">
        <v>73691</v>
      </c>
      <c r="F21496" t="s">
        <v>4802</v>
      </c>
      <c r="G21496" t="s">
        <v>110</v>
      </c>
      <c r="H21496">
        <v>95131</v>
      </c>
      <c r="I21496" t="s">
        <v>30</v>
      </c>
      <c r="J21496" t="s">
        <v>171</v>
      </c>
      <c r="K21496" t="s">
        <v>1202</v>
      </c>
      <c r="N21496" t="s">
        <v>73092</v>
      </c>
      <c r="Q21496">
        <v>0</v>
      </c>
      <c r="R21496">
        <v>190</v>
      </c>
      <c r="S21496">
        <v>0</v>
      </c>
      <c r="T21496" t="s">
        <v>73692</v>
      </c>
    </row>
    <row r="21497" spans="1:25" customFormat="1" ht="15" x14ac:dyDescent="0.25">
      <c r="A21497" t="s">
        <v>24</v>
      </c>
      <c r="B21497" t="s">
        <v>15754</v>
      </c>
      <c r="C21497" t="str">
        <f>"A0058603"</f>
        <v>A0058603</v>
      </c>
      <c r="D21497" t="s">
        <v>73704</v>
      </c>
      <c r="E21497" t="s">
        <v>73705</v>
      </c>
      <c r="F21497" t="s">
        <v>4003</v>
      </c>
      <c r="G21497" t="s">
        <v>289</v>
      </c>
      <c r="H21497">
        <v>60173</v>
      </c>
      <c r="I21497" t="s">
        <v>30</v>
      </c>
      <c r="J21497" t="s">
        <v>171</v>
      </c>
      <c r="K21497" t="s">
        <v>1202</v>
      </c>
      <c r="N21497" t="s">
        <v>73706</v>
      </c>
      <c r="Q21497">
        <v>0</v>
      </c>
      <c r="R21497">
        <v>128</v>
      </c>
      <c r="S21497">
        <v>0</v>
      </c>
      <c r="T21497" t="s">
        <v>73707</v>
      </c>
    </row>
    <row r="21498" spans="1:25" customFormat="1" ht="15" x14ac:dyDescent="0.25">
      <c r="A21498" t="s">
        <v>24</v>
      </c>
      <c r="B21498" t="s">
        <v>762</v>
      </c>
      <c r="C21498" t="str">
        <f>"A0089102"</f>
        <v>A0089102</v>
      </c>
      <c r="D21498" t="s">
        <v>73708</v>
      </c>
      <c r="E21498" t="s">
        <v>73709</v>
      </c>
      <c r="F21498" t="s">
        <v>2900</v>
      </c>
      <c r="G21498" t="s">
        <v>76</v>
      </c>
      <c r="H21498">
        <v>98109</v>
      </c>
      <c r="I21498" t="s">
        <v>30</v>
      </c>
      <c r="J21498" t="s">
        <v>171</v>
      </c>
      <c r="K21498" t="s">
        <v>1202</v>
      </c>
      <c r="N21498" t="s">
        <v>73111</v>
      </c>
      <c r="Q21498">
        <v>0</v>
      </c>
      <c r="R21498">
        <v>160</v>
      </c>
      <c r="S21498">
        <v>0</v>
      </c>
      <c r="T21498" t="s">
        <v>73710</v>
      </c>
    </row>
    <row r="21499" spans="1:25" customFormat="1" ht="15" x14ac:dyDescent="0.25">
      <c r="A21499" t="s">
        <v>24</v>
      </c>
      <c r="B21499" t="s">
        <v>33615</v>
      </c>
      <c r="C21499" t="str">
        <f>"A0098802"</f>
        <v>A0098802</v>
      </c>
      <c r="D21499" t="s">
        <v>73711</v>
      </c>
      <c r="E21499" t="s">
        <v>73712</v>
      </c>
      <c r="F21499" t="s">
        <v>13716</v>
      </c>
      <c r="G21499" t="s">
        <v>65</v>
      </c>
      <c r="H21499">
        <v>45246</v>
      </c>
      <c r="I21499" t="s">
        <v>30</v>
      </c>
      <c r="J21499" t="s">
        <v>171</v>
      </c>
      <c r="K21499" t="s">
        <v>1202</v>
      </c>
      <c r="N21499" t="s">
        <v>73713</v>
      </c>
      <c r="O21499" t="s">
        <v>73714</v>
      </c>
      <c r="Q21499">
        <v>0</v>
      </c>
      <c r="R21499">
        <v>125</v>
      </c>
      <c r="S21499">
        <v>0</v>
      </c>
      <c r="T21499" t="s">
        <v>73715</v>
      </c>
    </row>
    <row r="21500" spans="1:25" customFormat="1" ht="15" hidden="1" x14ac:dyDescent="0.25">
      <c r="A21500" t="s">
        <v>24</v>
      </c>
      <c r="B21500" t="s">
        <v>66103</v>
      </c>
      <c r="C21500" t="str">
        <f>"A0068959"</f>
        <v>A0068959</v>
      </c>
      <c r="D21500" t="s">
        <v>81122</v>
      </c>
      <c r="E21500" t="s">
        <v>81123</v>
      </c>
      <c r="F21500" t="s">
        <v>8456</v>
      </c>
      <c r="G21500" t="s">
        <v>1457</v>
      </c>
      <c r="H21500" t="s">
        <v>81124</v>
      </c>
      <c r="I21500" t="s">
        <v>1459</v>
      </c>
      <c r="J21500" t="s">
        <v>162</v>
      </c>
      <c r="K21500" t="s">
        <v>80774</v>
      </c>
      <c r="N21500" t="s">
        <v>81125</v>
      </c>
      <c r="O21500" t="s">
        <v>81126</v>
      </c>
      <c r="Q21500">
        <v>0</v>
      </c>
      <c r="R21500">
        <v>323</v>
      </c>
      <c r="S21500">
        <v>0</v>
      </c>
      <c r="T21500" t="s">
        <v>81127</v>
      </c>
    </row>
    <row r="21501" spans="1:25" customFormat="1" ht="15" x14ac:dyDescent="0.25">
      <c r="A21501" t="s">
        <v>24</v>
      </c>
      <c r="B21501" t="s">
        <v>53301</v>
      </c>
      <c r="C21501" t="str">
        <f>"A0149174"</f>
        <v>A0149174</v>
      </c>
      <c r="D21501" t="s">
        <v>73716</v>
      </c>
      <c r="E21501" t="s">
        <v>73717</v>
      </c>
      <c r="F21501" t="s">
        <v>220</v>
      </c>
      <c r="G21501" t="s">
        <v>221</v>
      </c>
      <c r="H21501">
        <v>89139</v>
      </c>
      <c r="I21501" t="s">
        <v>30</v>
      </c>
      <c r="J21501" t="s">
        <v>171</v>
      </c>
      <c r="K21501" t="s">
        <v>1202</v>
      </c>
      <c r="N21501" t="s">
        <v>73718</v>
      </c>
      <c r="O21501" t="s">
        <v>73719</v>
      </c>
      <c r="Q21501">
        <v>0</v>
      </c>
      <c r="R21501">
        <v>150</v>
      </c>
      <c r="S21501">
        <v>0</v>
      </c>
      <c r="T21501" t="s">
        <v>73720</v>
      </c>
    </row>
    <row r="21502" spans="1:25" customFormat="1" ht="15" x14ac:dyDescent="0.25">
      <c r="A21502" t="s">
        <v>24</v>
      </c>
      <c r="B21502" t="s">
        <v>35790</v>
      </c>
      <c r="C21502" t="str">
        <f>"A0096388"</f>
        <v>A0096388</v>
      </c>
      <c r="D21502" t="s">
        <v>73721</v>
      </c>
      <c r="E21502" t="s">
        <v>73722</v>
      </c>
      <c r="F21502" t="s">
        <v>71430</v>
      </c>
      <c r="G21502" t="s">
        <v>161</v>
      </c>
      <c r="H21502">
        <v>55101</v>
      </c>
      <c r="I21502" t="s">
        <v>30</v>
      </c>
      <c r="J21502" t="s">
        <v>171</v>
      </c>
      <c r="K21502" t="s">
        <v>1202</v>
      </c>
      <c r="N21502" t="s">
        <v>73723</v>
      </c>
      <c r="O21502" t="s">
        <v>73724</v>
      </c>
      <c r="Q21502">
        <v>0</v>
      </c>
      <c r="R21502">
        <v>149</v>
      </c>
      <c r="S21502">
        <v>0</v>
      </c>
      <c r="T21502" t="s">
        <v>73725</v>
      </c>
    </row>
    <row r="21503" spans="1:25" customFormat="1" ht="15" x14ac:dyDescent="0.25">
      <c r="A21503" t="s">
        <v>24</v>
      </c>
      <c r="B21503" t="s">
        <v>54970</v>
      </c>
      <c r="C21503" t="str">
        <f>"A0099228"</f>
        <v>A0099228</v>
      </c>
      <c r="D21503" t="s">
        <v>73726</v>
      </c>
      <c r="E21503" t="s">
        <v>73727</v>
      </c>
      <c r="F21503" t="s">
        <v>54994</v>
      </c>
      <c r="G21503" t="s">
        <v>81</v>
      </c>
      <c r="H21503">
        <v>33701</v>
      </c>
      <c r="I21503" t="s">
        <v>30</v>
      </c>
      <c r="J21503" t="s">
        <v>171</v>
      </c>
      <c r="K21503" t="s">
        <v>1202</v>
      </c>
      <c r="N21503" t="s">
        <v>73728</v>
      </c>
      <c r="Q21503">
        <v>0</v>
      </c>
      <c r="R21503">
        <v>175</v>
      </c>
      <c r="S21503">
        <v>0</v>
      </c>
      <c r="T21503" t="s">
        <v>73729</v>
      </c>
    </row>
    <row r="21504" spans="1:25" customFormat="1" ht="15" x14ac:dyDescent="0.25">
      <c r="A21504" t="s">
        <v>24</v>
      </c>
      <c r="B21504" t="s">
        <v>72975</v>
      </c>
      <c r="C21504" t="str">
        <f>"A0058586"</f>
        <v>A0058586</v>
      </c>
      <c r="D21504" t="s">
        <v>73730</v>
      </c>
      <c r="E21504" t="s">
        <v>73731</v>
      </c>
      <c r="F21504" t="s">
        <v>63480</v>
      </c>
      <c r="G21504" t="s">
        <v>29</v>
      </c>
      <c r="H21504">
        <v>20166</v>
      </c>
      <c r="I21504" t="s">
        <v>30</v>
      </c>
      <c r="J21504" t="s">
        <v>171</v>
      </c>
      <c r="K21504" t="s">
        <v>1202</v>
      </c>
      <c r="N21504" t="s">
        <v>73732</v>
      </c>
      <c r="Q21504">
        <v>0</v>
      </c>
      <c r="R21504">
        <v>135</v>
      </c>
      <c r="S21504">
        <v>0</v>
      </c>
      <c r="T21504" t="s">
        <v>73733</v>
      </c>
    </row>
    <row r="21505" spans="1:20" customFormat="1" ht="15" x14ac:dyDescent="0.25">
      <c r="A21505" t="s">
        <v>24</v>
      </c>
      <c r="B21505" t="s">
        <v>2955</v>
      </c>
      <c r="C21505" t="str">
        <f>"A0074437"</f>
        <v>A0074437</v>
      </c>
      <c r="D21505" t="s">
        <v>73734</v>
      </c>
      <c r="E21505" t="s">
        <v>73735</v>
      </c>
      <c r="F21505" t="s">
        <v>3955</v>
      </c>
      <c r="G21505" t="s">
        <v>81</v>
      </c>
      <c r="H21505">
        <v>33607</v>
      </c>
      <c r="I21505" t="s">
        <v>30</v>
      </c>
      <c r="J21505" t="s">
        <v>171</v>
      </c>
      <c r="K21505" t="s">
        <v>1202</v>
      </c>
      <c r="N21505" t="s">
        <v>73736</v>
      </c>
      <c r="Q21505">
        <v>0</v>
      </c>
      <c r="R21505">
        <v>126</v>
      </c>
      <c r="S21505">
        <v>0</v>
      </c>
      <c r="T21505" t="s">
        <v>73737</v>
      </c>
    </row>
    <row r="21506" spans="1:20" customFormat="1" ht="15" x14ac:dyDescent="0.25">
      <c r="A21506" t="s">
        <v>24</v>
      </c>
      <c r="B21506" t="s">
        <v>72975</v>
      </c>
      <c r="C21506" t="str">
        <f>"A0057580"</f>
        <v>A0057580</v>
      </c>
      <c r="D21506" t="s">
        <v>73738</v>
      </c>
      <c r="E21506" t="s">
        <v>73739</v>
      </c>
      <c r="F21506" t="s">
        <v>1592</v>
      </c>
      <c r="G21506" t="s">
        <v>197</v>
      </c>
      <c r="H21506">
        <v>85281</v>
      </c>
      <c r="I21506" t="s">
        <v>30</v>
      </c>
      <c r="J21506" t="s">
        <v>171</v>
      </c>
      <c r="K21506" t="s">
        <v>1202</v>
      </c>
      <c r="N21506" t="s">
        <v>73740</v>
      </c>
      <c r="Q21506">
        <v>0</v>
      </c>
      <c r="R21506">
        <v>123</v>
      </c>
      <c r="S21506">
        <v>0</v>
      </c>
      <c r="T21506" t="s">
        <v>73741</v>
      </c>
    </row>
    <row r="21507" spans="1:20" customFormat="1" ht="15" x14ac:dyDescent="0.25">
      <c r="A21507" t="s">
        <v>24</v>
      </c>
      <c r="B21507" t="s">
        <v>55987</v>
      </c>
      <c r="C21507" t="str">
        <f>"A0059935"</f>
        <v>A0059935</v>
      </c>
      <c r="D21507" t="s">
        <v>73746</v>
      </c>
      <c r="E21507" t="s">
        <v>73747</v>
      </c>
      <c r="F21507" t="s">
        <v>796</v>
      </c>
      <c r="G21507" t="s">
        <v>197</v>
      </c>
      <c r="H21507">
        <v>85745</v>
      </c>
      <c r="I21507" t="s">
        <v>30</v>
      </c>
      <c r="J21507" t="s">
        <v>171</v>
      </c>
      <c r="K21507" t="s">
        <v>1202</v>
      </c>
      <c r="N21507" t="s">
        <v>73748</v>
      </c>
      <c r="Q21507">
        <v>0</v>
      </c>
      <c r="R21507">
        <v>91</v>
      </c>
      <c r="S21507">
        <v>0</v>
      </c>
      <c r="T21507" t="s">
        <v>73749</v>
      </c>
    </row>
    <row r="21508" spans="1:20" customFormat="1" ht="15" x14ac:dyDescent="0.25">
      <c r="A21508" t="s">
        <v>24</v>
      </c>
      <c r="B21508" t="s">
        <v>73750</v>
      </c>
      <c r="C21508" t="str">
        <f>"A0148616"</f>
        <v>A0148616</v>
      </c>
      <c r="D21508" t="s">
        <v>73751</v>
      </c>
      <c r="E21508" t="s">
        <v>73752</v>
      </c>
      <c r="F21508" t="s">
        <v>7579</v>
      </c>
      <c r="G21508" t="s">
        <v>40</v>
      </c>
      <c r="H21508">
        <v>74103</v>
      </c>
      <c r="I21508" t="s">
        <v>30</v>
      </c>
      <c r="J21508" t="s">
        <v>171</v>
      </c>
      <c r="K21508" t="s">
        <v>1202</v>
      </c>
      <c r="N21508" t="s">
        <v>73753</v>
      </c>
      <c r="Q21508">
        <v>0</v>
      </c>
      <c r="R21508">
        <v>103</v>
      </c>
      <c r="S21508">
        <v>0</v>
      </c>
      <c r="T21508" t="s">
        <v>73754</v>
      </c>
    </row>
    <row r="21509" spans="1:20" customFormat="1" ht="15" x14ac:dyDescent="0.25">
      <c r="A21509" t="s">
        <v>24</v>
      </c>
      <c r="B21509" t="s">
        <v>7373</v>
      </c>
      <c r="C21509" t="str">
        <f>"A0146725"</f>
        <v>A0146725</v>
      </c>
      <c r="D21509" t="s">
        <v>73755</v>
      </c>
      <c r="E21509" t="s">
        <v>73756</v>
      </c>
      <c r="F21509" t="s">
        <v>6430</v>
      </c>
      <c r="G21509" t="s">
        <v>52</v>
      </c>
      <c r="H21509">
        <v>76711</v>
      </c>
      <c r="I21509" t="s">
        <v>30</v>
      </c>
      <c r="J21509" t="s">
        <v>171</v>
      </c>
      <c r="K21509" t="s">
        <v>1202</v>
      </c>
      <c r="N21509" t="s">
        <v>73757</v>
      </c>
      <c r="O21509" t="s">
        <v>73758</v>
      </c>
      <c r="Q21509">
        <v>0</v>
      </c>
      <c r="R21509">
        <v>96</v>
      </c>
      <c r="S21509">
        <v>0</v>
      </c>
      <c r="T21509" t="s">
        <v>73759</v>
      </c>
    </row>
    <row r="21510" spans="1:20" customFormat="1" ht="15" x14ac:dyDescent="0.25">
      <c r="A21510" t="s">
        <v>24</v>
      </c>
      <c r="B21510" t="s">
        <v>149</v>
      </c>
      <c r="C21510" t="str">
        <f>"A0087855"</f>
        <v>A0087855</v>
      </c>
      <c r="D21510" t="s">
        <v>73760</v>
      </c>
      <c r="E21510" t="s">
        <v>73761</v>
      </c>
      <c r="F21510" t="s">
        <v>13767</v>
      </c>
      <c r="G21510" t="s">
        <v>4815</v>
      </c>
      <c r="H21510">
        <v>96815</v>
      </c>
      <c r="I21510" t="s">
        <v>30</v>
      </c>
      <c r="J21510" t="s">
        <v>171</v>
      </c>
      <c r="K21510" t="s">
        <v>1202</v>
      </c>
      <c r="N21510" t="s">
        <v>73762</v>
      </c>
      <c r="Q21510">
        <v>0</v>
      </c>
      <c r="R21510">
        <v>426</v>
      </c>
      <c r="S21510">
        <v>0</v>
      </c>
      <c r="T21510" t="s">
        <v>73763</v>
      </c>
    </row>
    <row r="21511" spans="1:20" customFormat="1" ht="15" x14ac:dyDescent="0.25">
      <c r="A21511" t="s">
        <v>24</v>
      </c>
      <c r="B21511" t="s">
        <v>1020</v>
      </c>
      <c r="C21511" t="str">
        <f>"A0093389"</f>
        <v>A0093389</v>
      </c>
      <c r="D21511" t="s">
        <v>73764</v>
      </c>
      <c r="E21511" t="s">
        <v>73765</v>
      </c>
      <c r="F21511" t="s">
        <v>313</v>
      </c>
      <c r="G21511" t="s">
        <v>314</v>
      </c>
      <c r="H21511">
        <v>20002</v>
      </c>
      <c r="I21511" t="s">
        <v>30</v>
      </c>
      <c r="J21511" t="s">
        <v>171</v>
      </c>
      <c r="K21511" t="s">
        <v>1202</v>
      </c>
      <c r="N21511" t="s">
        <v>7506</v>
      </c>
      <c r="O21511" t="s">
        <v>73766</v>
      </c>
      <c r="Q21511">
        <v>0</v>
      </c>
      <c r="R21511">
        <v>200</v>
      </c>
      <c r="S21511">
        <v>0</v>
      </c>
      <c r="T21511" t="s">
        <v>73767</v>
      </c>
    </row>
    <row r="21512" spans="1:20" customFormat="1" ht="15" x14ac:dyDescent="0.25">
      <c r="A21512" t="s">
        <v>24</v>
      </c>
      <c r="B21512" t="s">
        <v>54970</v>
      </c>
      <c r="C21512" t="str">
        <f>"A0087309"</f>
        <v>A0087309</v>
      </c>
      <c r="D21512" t="s">
        <v>73768</v>
      </c>
      <c r="E21512" t="s">
        <v>73769</v>
      </c>
      <c r="F21512" t="s">
        <v>6859</v>
      </c>
      <c r="G21512" t="s">
        <v>81</v>
      </c>
      <c r="H21512">
        <v>33401</v>
      </c>
      <c r="I21512" t="s">
        <v>30</v>
      </c>
      <c r="J21512" t="s">
        <v>171</v>
      </c>
      <c r="K21512" t="s">
        <v>1202</v>
      </c>
      <c r="N21512" t="s">
        <v>73770</v>
      </c>
      <c r="Q21512">
        <v>0</v>
      </c>
      <c r="R21512">
        <v>165</v>
      </c>
      <c r="S21512">
        <v>0</v>
      </c>
      <c r="T21512" t="s">
        <v>73771</v>
      </c>
    </row>
    <row r="21513" spans="1:20" customFormat="1" ht="15" x14ac:dyDescent="0.25">
      <c r="A21513" t="s">
        <v>24</v>
      </c>
      <c r="B21513" t="s">
        <v>1583</v>
      </c>
      <c r="C21513" t="str">
        <f>"A0098345"</f>
        <v>A0098345</v>
      </c>
      <c r="D21513" t="s">
        <v>81190</v>
      </c>
      <c r="E21513" t="s">
        <v>81191</v>
      </c>
      <c r="F21513" t="s">
        <v>985</v>
      </c>
      <c r="G21513" t="s">
        <v>81</v>
      </c>
      <c r="H21513">
        <v>32821</v>
      </c>
      <c r="I21513" t="s">
        <v>30</v>
      </c>
      <c r="J21513" t="s">
        <v>2544</v>
      </c>
      <c r="K21513" t="s">
        <v>80774</v>
      </c>
      <c r="N21513" t="s">
        <v>81192</v>
      </c>
      <c r="O21513" t="s">
        <v>81193</v>
      </c>
      <c r="Q21513">
        <v>0</v>
      </c>
      <c r="R21513">
        <v>1682</v>
      </c>
      <c r="S21513">
        <v>0</v>
      </c>
      <c r="T21513" t="s">
        <v>81194</v>
      </c>
    </row>
    <row r="21514" spans="1:20" customFormat="1" ht="15" x14ac:dyDescent="0.25">
      <c r="A21514" t="s">
        <v>24</v>
      </c>
      <c r="B21514" t="s">
        <v>1583</v>
      </c>
      <c r="C21514" t="str">
        <f>"A0098346"</f>
        <v>A0098346</v>
      </c>
      <c r="D21514" t="s">
        <v>81195</v>
      </c>
      <c r="E21514" t="s">
        <v>81196</v>
      </c>
      <c r="F21514" t="s">
        <v>985</v>
      </c>
      <c r="G21514" t="s">
        <v>81</v>
      </c>
      <c r="H21514">
        <v>32821</v>
      </c>
      <c r="I21514" t="s">
        <v>30</v>
      </c>
      <c r="J21514" t="s">
        <v>2544</v>
      </c>
      <c r="K21514" t="s">
        <v>80774</v>
      </c>
      <c r="N21514" t="s">
        <v>81197</v>
      </c>
      <c r="O21514" t="s">
        <v>81198</v>
      </c>
      <c r="Q21514">
        <v>0</v>
      </c>
      <c r="R21514">
        <v>1156</v>
      </c>
      <c r="S21514">
        <v>0</v>
      </c>
      <c r="T21514" t="s">
        <v>81199</v>
      </c>
    </row>
    <row r="21515" spans="1:20" customFormat="1" ht="15" x14ac:dyDescent="0.25">
      <c r="A21515" t="s">
        <v>24</v>
      </c>
      <c r="B21515" t="s">
        <v>35790</v>
      </c>
      <c r="C21515" t="str">
        <f>"A0093360"</f>
        <v>A0093360</v>
      </c>
      <c r="D21515" t="s">
        <v>73772</v>
      </c>
      <c r="E21515" t="s">
        <v>73773</v>
      </c>
      <c r="F21515" t="s">
        <v>62184</v>
      </c>
      <c r="G21515" t="s">
        <v>99</v>
      </c>
      <c r="H21515">
        <v>10704</v>
      </c>
      <c r="I21515" t="s">
        <v>30</v>
      </c>
      <c r="J21515" t="s">
        <v>171</v>
      </c>
      <c r="K21515" t="s">
        <v>1202</v>
      </c>
      <c r="N21515" t="s">
        <v>73774</v>
      </c>
      <c r="O21515" t="s">
        <v>73775</v>
      </c>
      <c r="Q21515">
        <v>0</v>
      </c>
      <c r="R21515">
        <v>155</v>
      </c>
      <c r="S21515">
        <v>0</v>
      </c>
      <c r="T21515" t="s">
        <v>73776</v>
      </c>
    </row>
    <row r="21516" spans="1:20" customFormat="1" ht="15" x14ac:dyDescent="0.25">
      <c r="A21516" t="s">
        <v>24</v>
      </c>
      <c r="B21516" t="s">
        <v>1528</v>
      </c>
      <c r="C21516" t="str">
        <f>"A0154143"</f>
        <v>A0154143</v>
      </c>
      <c r="D21516" t="s">
        <v>74275</v>
      </c>
      <c r="E21516" t="s">
        <v>74276</v>
      </c>
      <c r="F21516" t="s">
        <v>4173</v>
      </c>
      <c r="G21516" t="s">
        <v>76</v>
      </c>
      <c r="H21516">
        <v>98826</v>
      </c>
      <c r="I21516" t="s">
        <v>30</v>
      </c>
      <c r="J21516" t="s">
        <v>171</v>
      </c>
      <c r="K21516" t="s">
        <v>163</v>
      </c>
      <c r="N21516" t="s">
        <v>74277</v>
      </c>
      <c r="Q21516">
        <v>0</v>
      </c>
      <c r="R21516">
        <v>133</v>
      </c>
      <c r="S21516">
        <v>0</v>
      </c>
      <c r="T21516" t="s">
        <v>74278</v>
      </c>
    </row>
    <row r="21517" spans="1:20" customFormat="1" ht="15" x14ac:dyDescent="0.25">
      <c r="A21517" t="s">
        <v>24</v>
      </c>
      <c r="B21517" t="s">
        <v>55997</v>
      </c>
      <c r="C21517" t="str">
        <f>"A0154548"</f>
        <v>A0154548</v>
      </c>
      <c r="D21517" t="s">
        <v>74327</v>
      </c>
      <c r="E21517" t="s">
        <v>74328</v>
      </c>
      <c r="F21517" t="s">
        <v>14922</v>
      </c>
      <c r="G21517" t="s">
        <v>103</v>
      </c>
      <c r="H21517">
        <v>17033</v>
      </c>
      <c r="I21517" t="s">
        <v>30</v>
      </c>
      <c r="J21517" t="s">
        <v>171</v>
      </c>
      <c r="K21517" t="s">
        <v>163</v>
      </c>
      <c r="N21517" t="s">
        <v>74329</v>
      </c>
      <c r="O21517" t="s">
        <v>15778</v>
      </c>
      <c r="Q21517">
        <v>0</v>
      </c>
      <c r="R21517">
        <v>122</v>
      </c>
      <c r="S21517">
        <v>0</v>
      </c>
      <c r="T21517" t="s">
        <v>74330</v>
      </c>
    </row>
    <row r="21518" spans="1:20" customFormat="1" ht="15" x14ac:dyDescent="0.25">
      <c r="A21518" t="s">
        <v>24</v>
      </c>
      <c r="B21518" t="s">
        <v>81212</v>
      </c>
      <c r="C21518" t="str">
        <f>"CL0879"</f>
        <v>CL0879</v>
      </c>
      <c r="D21518" t="s">
        <v>81213</v>
      </c>
      <c r="E21518" t="s">
        <v>81214</v>
      </c>
      <c r="F21518" t="s">
        <v>81215</v>
      </c>
      <c r="G21518" t="s">
        <v>65</v>
      </c>
      <c r="H21518">
        <v>44108</v>
      </c>
      <c r="I21518" t="s">
        <v>30</v>
      </c>
      <c r="J21518" t="s">
        <v>2558</v>
      </c>
      <c r="K21518" t="s">
        <v>163</v>
      </c>
      <c r="N21518" t="s">
        <v>81216</v>
      </c>
      <c r="Q21518">
        <v>0</v>
      </c>
      <c r="R21518">
        <v>5</v>
      </c>
      <c r="S21518">
        <v>0</v>
      </c>
      <c r="T21518" t="s">
        <v>81217</v>
      </c>
    </row>
    <row r="21519" spans="1:20" customFormat="1" ht="15" x14ac:dyDescent="0.25">
      <c r="A21519" t="s">
        <v>24</v>
      </c>
      <c r="B21519" t="s">
        <v>81218</v>
      </c>
      <c r="C21519" t="str">
        <f>"A0095034"</f>
        <v>A0095034</v>
      </c>
      <c r="D21519" t="s">
        <v>81219</v>
      </c>
      <c r="E21519" t="s">
        <v>81220</v>
      </c>
      <c r="F21519" t="s">
        <v>13767</v>
      </c>
      <c r="G21519" t="s">
        <v>4815</v>
      </c>
      <c r="H21519">
        <v>96815</v>
      </c>
      <c r="I21519" t="s">
        <v>30</v>
      </c>
      <c r="J21519" t="s">
        <v>31</v>
      </c>
      <c r="K21519" t="s">
        <v>163</v>
      </c>
      <c r="Q21519">
        <v>0</v>
      </c>
      <c r="R21519">
        <v>135</v>
      </c>
      <c r="S21519">
        <v>0</v>
      </c>
      <c r="T21519" t="s">
        <v>81221</v>
      </c>
    </row>
    <row r="21520" spans="1:20" customFormat="1" ht="15" x14ac:dyDescent="0.25">
      <c r="A21520" t="s">
        <v>24</v>
      </c>
      <c r="B21520" t="s">
        <v>3343</v>
      </c>
      <c r="C21520" t="str">
        <f>"A0100561"</f>
        <v>A0100561</v>
      </c>
      <c r="D21520" t="s">
        <v>81222</v>
      </c>
      <c r="E21520" t="s">
        <v>81223</v>
      </c>
      <c r="F21520" t="s">
        <v>33693</v>
      </c>
      <c r="G21520" t="s">
        <v>144</v>
      </c>
      <c r="H21520">
        <v>58103</v>
      </c>
      <c r="I21520" t="s">
        <v>30</v>
      </c>
      <c r="J21520" t="s">
        <v>1004</v>
      </c>
      <c r="K21520" t="s">
        <v>163</v>
      </c>
      <c r="N21520" t="s">
        <v>81224</v>
      </c>
      <c r="O21520" t="s">
        <v>81225</v>
      </c>
      <c r="Q21520">
        <v>0</v>
      </c>
      <c r="R21520">
        <v>0</v>
      </c>
      <c r="S21520">
        <v>0</v>
      </c>
      <c r="T21520" t="s">
        <v>81226</v>
      </c>
    </row>
    <row r="21521" spans="1:25" customFormat="1" ht="15" x14ac:dyDescent="0.25">
      <c r="A21521" t="s">
        <v>24</v>
      </c>
      <c r="B21521" t="s">
        <v>167</v>
      </c>
      <c r="C21521" t="str">
        <f>"A0068177"</f>
        <v>A0068177</v>
      </c>
      <c r="D21521" t="s">
        <v>74339</v>
      </c>
      <c r="E21521" t="s">
        <v>74340</v>
      </c>
      <c r="F21521" t="s">
        <v>170</v>
      </c>
      <c r="G21521" t="s">
        <v>110</v>
      </c>
      <c r="H21521">
        <v>93449</v>
      </c>
      <c r="I21521" t="s">
        <v>30</v>
      </c>
      <c r="J21521" t="s">
        <v>171</v>
      </c>
      <c r="K21521" t="s">
        <v>163</v>
      </c>
      <c r="N21521" t="s">
        <v>74341</v>
      </c>
      <c r="Q21521">
        <v>0</v>
      </c>
      <c r="R21521">
        <v>52</v>
      </c>
      <c r="S21521">
        <v>0</v>
      </c>
      <c r="T21521" t="s">
        <v>74342</v>
      </c>
    </row>
    <row r="21522" spans="1:25" customFormat="1" ht="15" x14ac:dyDescent="0.25">
      <c r="A21522" t="s">
        <v>24</v>
      </c>
      <c r="B21522" t="s">
        <v>6667</v>
      </c>
      <c r="C21522" t="str">
        <f>"A0069774"</f>
        <v>A0069774</v>
      </c>
      <c r="D21522" t="s">
        <v>81232</v>
      </c>
      <c r="E21522" t="s">
        <v>81233</v>
      </c>
      <c r="F21522" t="s">
        <v>81234</v>
      </c>
      <c r="G21522" t="s">
        <v>65</v>
      </c>
      <c r="H21522">
        <v>44139</v>
      </c>
      <c r="I21522" t="s">
        <v>30</v>
      </c>
      <c r="J21522" t="s">
        <v>178</v>
      </c>
      <c r="K21522" t="s">
        <v>6667</v>
      </c>
      <c r="N21522" t="s">
        <v>81235</v>
      </c>
      <c r="Q21522">
        <v>0</v>
      </c>
      <c r="R21522">
        <v>0</v>
      </c>
      <c r="S21522">
        <v>0</v>
      </c>
      <c r="T21522" t="s">
        <v>81236</v>
      </c>
    </row>
    <row r="21523" spans="1:25" customFormat="1" ht="15" x14ac:dyDescent="0.25">
      <c r="A21523" t="s">
        <v>24</v>
      </c>
      <c r="B21523" t="s">
        <v>2360</v>
      </c>
      <c r="C21523" t="str">
        <f>"CL1349"</f>
        <v>CL1349</v>
      </c>
      <c r="D21523" t="s">
        <v>81237</v>
      </c>
      <c r="E21523" t="s">
        <v>81238</v>
      </c>
      <c r="F21523" t="s">
        <v>4802</v>
      </c>
      <c r="G21523" t="s">
        <v>110</v>
      </c>
      <c r="H21523">
        <v>95113</v>
      </c>
      <c r="I21523" t="s">
        <v>30</v>
      </c>
      <c r="J21523" t="s">
        <v>2558</v>
      </c>
      <c r="K21523" t="s">
        <v>56092</v>
      </c>
      <c r="Q21523">
        <v>0</v>
      </c>
      <c r="R21523">
        <v>0</v>
      </c>
      <c r="S21523">
        <v>0</v>
      </c>
      <c r="T21523" t="s">
        <v>81239</v>
      </c>
    </row>
    <row r="21524" spans="1:25" customFormat="1" ht="15" x14ac:dyDescent="0.25">
      <c r="A21524" t="s">
        <v>24</v>
      </c>
      <c r="B21524" t="s">
        <v>1528</v>
      </c>
      <c r="C21524" t="str">
        <f>"A0095945"</f>
        <v>A0095945</v>
      </c>
      <c r="D21524" t="s">
        <v>74352</v>
      </c>
      <c r="E21524" t="s">
        <v>74353</v>
      </c>
      <c r="F21524" t="s">
        <v>2900</v>
      </c>
      <c r="G21524" t="s">
        <v>76</v>
      </c>
      <c r="H21524">
        <v>98104</v>
      </c>
      <c r="I21524" t="s">
        <v>30</v>
      </c>
      <c r="J21524" t="s">
        <v>171</v>
      </c>
      <c r="K21524" t="s">
        <v>163</v>
      </c>
      <c r="N21524" t="s">
        <v>74354</v>
      </c>
      <c r="O21524" t="s">
        <v>74355</v>
      </c>
      <c r="Q21524">
        <v>0</v>
      </c>
      <c r="R21524">
        <v>79</v>
      </c>
      <c r="S21524">
        <v>0</v>
      </c>
      <c r="T21524" t="s">
        <v>74356</v>
      </c>
    </row>
    <row r="21525" spans="1:25" customFormat="1" ht="15" x14ac:dyDescent="0.25">
      <c r="A21525" t="s">
        <v>24</v>
      </c>
      <c r="B21525" t="s">
        <v>2360</v>
      </c>
      <c r="C21525" t="str">
        <f>"CL0913"</f>
        <v>CL0913</v>
      </c>
      <c r="D21525" t="s">
        <v>81244</v>
      </c>
      <c r="E21525" t="s">
        <v>81245</v>
      </c>
      <c r="F21525" t="s">
        <v>81246</v>
      </c>
      <c r="G21525" t="s">
        <v>65</v>
      </c>
      <c r="H21525">
        <v>44224</v>
      </c>
      <c r="I21525" t="s">
        <v>30</v>
      </c>
      <c r="J21525" t="s">
        <v>178</v>
      </c>
      <c r="K21525" t="s">
        <v>56676</v>
      </c>
      <c r="N21525" t="s">
        <v>81247</v>
      </c>
      <c r="P21525" t="s">
        <v>992</v>
      </c>
      <c r="Q21525">
        <v>1</v>
      </c>
      <c r="R21525">
        <v>0</v>
      </c>
      <c r="S21525">
        <v>0</v>
      </c>
      <c r="T21525" t="s">
        <v>81248</v>
      </c>
    </row>
    <row r="21526" spans="1:25" customFormat="1" ht="15" x14ac:dyDescent="0.25">
      <c r="A21526" t="s">
        <v>24</v>
      </c>
      <c r="B21526" t="s">
        <v>57512</v>
      </c>
      <c r="C21526" t="str">
        <f>"A0075631"</f>
        <v>A0075631</v>
      </c>
      <c r="D21526" t="s">
        <v>81249</v>
      </c>
      <c r="E21526" t="s">
        <v>81250</v>
      </c>
      <c r="F21526" t="s">
        <v>81251</v>
      </c>
      <c r="G21526" t="s">
        <v>1706</v>
      </c>
      <c r="H21526">
        <v>35905</v>
      </c>
      <c r="I21526" t="s">
        <v>30</v>
      </c>
      <c r="J21526" t="s">
        <v>2415</v>
      </c>
      <c r="K21526" t="s">
        <v>179</v>
      </c>
      <c r="P21526" t="s">
        <v>6426</v>
      </c>
      <c r="Q21526">
        <v>2</v>
      </c>
      <c r="R21526">
        <v>0</v>
      </c>
      <c r="S21526">
        <v>0</v>
      </c>
      <c r="T21526" t="s">
        <v>81252</v>
      </c>
    </row>
    <row r="21527" spans="1:25" customFormat="1" ht="15" x14ac:dyDescent="0.25">
      <c r="A21527" t="s">
        <v>24</v>
      </c>
      <c r="B21527" t="s">
        <v>80202</v>
      </c>
      <c r="C21527" t="str">
        <f>"A0092420"</f>
        <v>A0092420</v>
      </c>
      <c r="D21527" t="s">
        <v>81253</v>
      </c>
      <c r="E21527" t="s">
        <v>81254</v>
      </c>
      <c r="F21527" t="s">
        <v>81255</v>
      </c>
      <c r="G21527" t="s">
        <v>1369</v>
      </c>
      <c r="H21527">
        <v>39520</v>
      </c>
      <c r="I21527" t="s">
        <v>30</v>
      </c>
      <c r="J21527" t="s">
        <v>66248</v>
      </c>
      <c r="K21527" t="s">
        <v>163</v>
      </c>
      <c r="N21527" t="s">
        <v>81256</v>
      </c>
      <c r="Q21527">
        <v>0</v>
      </c>
      <c r="R21527">
        <v>129</v>
      </c>
      <c r="S21527">
        <v>0</v>
      </c>
      <c r="T21527" t="s">
        <v>81257</v>
      </c>
    </row>
    <row r="21528" spans="1:25" customFormat="1" ht="15" x14ac:dyDescent="0.25">
      <c r="A21528" t="s">
        <v>24</v>
      </c>
      <c r="B21528" t="s">
        <v>799</v>
      </c>
      <c r="C21528" t="str">
        <f>"A0137003"</f>
        <v>A0137003</v>
      </c>
      <c r="D21528" t="s">
        <v>74404</v>
      </c>
      <c r="E21528" t="s">
        <v>74405</v>
      </c>
      <c r="F21528" t="s">
        <v>716</v>
      </c>
      <c r="G21528" t="s">
        <v>289</v>
      </c>
      <c r="H21528">
        <v>60611</v>
      </c>
      <c r="I21528" t="s">
        <v>30</v>
      </c>
      <c r="J21528" t="s">
        <v>171</v>
      </c>
      <c r="K21528" t="s">
        <v>163</v>
      </c>
      <c r="N21528" t="s">
        <v>58063</v>
      </c>
      <c r="Q21528">
        <v>0</v>
      </c>
      <c r="R21528">
        <v>63</v>
      </c>
      <c r="S21528">
        <v>0</v>
      </c>
      <c r="T21528" t="s">
        <v>74406</v>
      </c>
    </row>
    <row r="21529" spans="1:25" customFormat="1" ht="15" x14ac:dyDescent="0.25">
      <c r="A21529" t="s">
        <v>24</v>
      </c>
      <c r="B21529" t="s">
        <v>56488</v>
      </c>
      <c r="C21529" t="str">
        <f>"A0085864"</f>
        <v>A0085864</v>
      </c>
      <c r="D21529" t="s">
        <v>81263</v>
      </c>
      <c r="E21529" t="s">
        <v>81264</v>
      </c>
      <c r="F21529" t="s">
        <v>356</v>
      </c>
      <c r="G21529" t="s">
        <v>52</v>
      </c>
      <c r="H21529">
        <v>78216</v>
      </c>
      <c r="I21529" t="s">
        <v>30</v>
      </c>
      <c r="J21529" t="s">
        <v>2415</v>
      </c>
      <c r="K21529" t="s">
        <v>179</v>
      </c>
      <c r="N21529" t="s">
        <v>81265</v>
      </c>
      <c r="Q21529">
        <v>1</v>
      </c>
      <c r="R21529">
        <v>0</v>
      </c>
      <c r="S21529">
        <v>0</v>
      </c>
      <c r="T21529" t="s">
        <v>81266</v>
      </c>
    </row>
    <row r="21530" spans="1:25" hidden="1" x14ac:dyDescent="0.25">
      <c r="A21530" s="3" t="s">
        <v>24</v>
      </c>
      <c r="B21530" s="3" t="s">
        <v>81267</v>
      </c>
      <c r="C21530" s="3" t="str">
        <f>"A0156142"</f>
        <v>A0156142</v>
      </c>
      <c r="D21530" s="3" t="s">
        <v>81268</v>
      </c>
      <c r="E21530" s="3" t="s">
        <v>81269</v>
      </c>
      <c r="F21530" s="3" t="s">
        <v>81270</v>
      </c>
      <c r="G21530" s="3" t="s">
        <v>81271</v>
      </c>
      <c r="I21530" s="3" t="s">
        <v>81272</v>
      </c>
      <c r="J21530" s="3" t="s">
        <v>206</v>
      </c>
      <c r="K21530" s="3" t="s">
        <v>163</v>
      </c>
      <c r="N21530" s="3" t="s">
        <v>81273</v>
      </c>
      <c r="O21530" s="3" t="s">
        <v>81274</v>
      </c>
      <c r="Q21530" s="3">
        <v>0</v>
      </c>
      <c r="R21530" s="3">
        <v>84</v>
      </c>
      <c r="S21530" s="3">
        <v>0</v>
      </c>
      <c r="T21530" s="3" t="s">
        <v>81275</v>
      </c>
    </row>
    <row r="21531" spans="1:25" x14ac:dyDescent="0.25">
      <c r="A21531" s="5" t="s">
        <v>24</v>
      </c>
      <c r="B21531" s="5" t="s">
        <v>1098</v>
      </c>
      <c r="C21531" s="5" t="str">
        <f>"SF02605"</f>
        <v>SF02605</v>
      </c>
      <c r="D21531" s="5" t="s">
        <v>74413</v>
      </c>
      <c r="E21531" s="5" t="s">
        <v>74414</v>
      </c>
      <c r="F21531" s="5" t="s">
        <v>56903</v>
      </c>
      <c r="G21531" s="5" t="s">
        <v>81</v>
      </c>
      <c r="H21531" s="5">
        <v>32250</v>
      </c>
      <c r="I21531" s="5" t="s">
        <v>30</v>
      </c>
      <c r="J21531" s="5" t="s">
        <v>171</v>
      </c>
      <c r="K21531" s="5" t="s">
        <v>973</v>
      </c>
      <c r="L21531" s="5"/>
      <c r="M21531" s="5"/>
      <c r="N21531" s="5" t="s">
        <v>65077</v>
      </c>
      <c r="O21531" s="5" t="s">
        <v>74415</v>
      </c>
      <c r="P21531" s="5"/>
      <c r="Q21531" s="5">
        <v>0</v>
      </c>
      <c r="R21531" s="5">
        <v>143</v>
      </c>
      <c r="S21531" s="5">
        <v>0</v>
      </c>
      <c r="T21531" s="5" t="s">
        <v>74416</v>
      </c>
      <c r="U21531" s="5"/>
      <c r="V21531" s="5"/>
      <c r="W21531" s="5"/>
      <c r="X21531" s="5"/>
      <c r="Y21531" s="5"/>
    </row>
    <row r="21532" spans="1:25" customFormat="1" ht="15" x14ac:dyDescent="0.25">
      <c r="A21532" t="s">
        <v>24</v>
      </c>
      <c r="B21532" t="s">
        <v>1098</v>
      </c>
      <c r="C21532" t="str">
        <f>"A0087678"</f>
        <v>A0087678</v>
      </c>
      <c r="D21532" t="s">
        <v>74417</v>
      </c>
      <c r="E21532" t="s">
        <v>74418</v>
      </c>
      <c r="F21532" t="s">
        <v>2443</v>
      </c>
      <c r="G21532" t="s">
        <v>81</v>
      </c>
      <c r="H21532">
        <v>32225</v>
      </c>
      <c r="I21532" t="s">
        <v>30</v>
      </c>
      <c r="J21532" t="s">
        <v>171</v>
      </c>
      <c r="K21532" t="s">
        <v>973</v>
      </c>
      <c r="N21532" t="s">
        <v>74419</v>
      </c>
      <c r="O21532" t="s">
        <v>74420</v>
      </c>
      <c r="Q21532">
        <v>0</v>
      </c>
      <c r="R21532">
        <v>97</v>
      </c>
      <c r="S21532">
        <v>0</v>
      </c>
      <c r="T21532" t="s">
        <v>74421</v>
      </c>
    </row>
    <row r="21533" spans="1:25" customFormat="1" ht="15" x14ac:dyDescent="0.25">
      <c r="A21533" t="s">
        <v>24</v>
      </c>
      <c r="B21533" t="s">
        <v>186</v>
      </c>
      <c r="C21533" t="str">
        <f>"A0146657"</f>
        <v>A0146657</v>
      </c>
      <c r="D21533" t="s">
        <v>81288</v>
      </c>
      <c r="E21533" t="s">
        <v>63785</v>
      </c>
      <c r="F21533" t="s">
        <v>34169</v>
      </c>
      <c r="G21533" t="s">
        <v>190</v>
      </c>
      <c r="H21533">
        <v>81615</v>
      </c>
      <c r="I21533" t="s">
        <v>30</v>
      </c>
      <c r="J21533" t="s">
        <v>31</v>
      </c>
      <c r="K21533" t="s">
        <v>163</v>
      </c>
      <c r="N21533" t="s">
        <v>55669</v>
      </c>
      <c r="Q21533">
        <v>0</v>
      </c>
      <c r="R21533">
        <v>0</v>
      </c>
      <c r="S21533">
        <v>0</v>
      </c>
      <c r="T21533" t="s">
        <v>55670</v>
      </c>
    </row>
    <row r="21534" spans="1:25" customFormat="1" ht="15" x14ac:dyDescent="0.25">
      <c r="A21534" t="s">
        <v>24</v>
      </c>
      <c r="B21534" t="s">
        <v>2360</v>
      </c>
      <c r="C21534" t="str">
        <f>"CL0646"</f>
        <v>CL0646</v>
      </c>
      <c r="D21534" t="s">
        <v>81289</v>
      </c>
      <c r="E21534" t="s">
        <v>81290</v>
      </c>
      <c r="F21534" t="s">
        <v>9431</v>
      </c>
      <c r="G21534" t="s">
        <v>381</v>
      </c>
      <c r="H21534">
        <v>46282</v>
      </c>
      <c r="I21534" t="s">
        <v>30</v>
      </c>
      <c r="J21534" t="s">
        <v>2558</v>
      </c>
      <c r="K21534" t="s">
        <v>55688</v>
      </c>
      <c r="N21534" t="s">
        <v>81291</v>
      </c>
      <c r="Q21534">
        <v>0</v>
      </c>
      <c r="R21534">
        <v>0</v>
      </c>
      <c r="S21534">
        <v>0</v>
      </c>
      <c r="T21534" t="s">
        <v>81292</v>
      </c>
    </row>
    <row r="21535" spans="1:25" customFormat="1" ht="15" x14ac:dyDescent="0.25">
      <c r="A21535" t="s">
        <v>24</v>
      </c>
      <c r="B21535" t="s">
        <v>2360</v>
      </c>
      <c r="C21535" t="str">
        <f>"CL0716"</f>
        <v>CL0716</v>
      </c>
      <c r="D21535" t="s">
        <v>81293</v>
      </c>
      <c r="E21535" t="s">
        <v>81294</v>
      </c>
      <c r="F21535" t="s">
        <v>34957</v>
      </c>
      <c r="G21535" t="s">
        <v>117</v>
      </c>
      <c r="H21535">
        <v>48075</v>
      </c>
      <c r="I21535" t="s">
        <v>30</v>
      </c>
      <c r="J21535" t="s">
        <v>2558</v>
      </c>
      <c r="K21535" t="s">
        <v>56092</v>
      </c>
      <c r="N21535" t="s">
        <v>81295</v>
      </c>
      <c r="Q21535">
        <v>0</v>
      </c>
      <c r="R21535">
        <v>0</v>
      </c>
      <c r="S21535">
        <v>0</v>
      </c>
      <c r="T21535" t="s">
        <v>81296</v>
      </c>
    </row>
    <row r="21536" spans="1:25" x14ac:dyDescent="0.25">
      <c r="A21536" s="5" t="s">
        <v>24</v>
      </c>
      <c r="B21536" s="5" t="s">
        <v>2221</v>
      </c>
      <c r="C21536" s="5" t="str">
        <f>"A0057385"</f>
        <v>A0057385</v>
      </c>
      <c r="D21536" s="5" t="s">
        <v>74422</v>
      </c>
      <c r="E21536" s="5" t="s">
        <v>74423</v>
      </c>
      <c r="F21536" s="5" t="s">
        <v>2443</v>
      </c>
      <c r="G21536" s="5" t="s">
        <v>81</v>
      </c>
      <c r="H21536" s="5">
        <v>32246</v>
      </c>
      <c r="I21536" s="5" t="s">
        <v>30</v>
      </c>
      <c r="J21536" s="5" t="s">
        <v>171</v>
      </c>
      <c r="K21536" s="5" t="s">
        <v>1331</v>
      </c>
      <c r="L21536" s="5"/>
      <c r="M21536" s="5"/>
      <c r="N21536" s="5" t="s">
        <v>74424</v>
      </c>
      <c r="O21536" s="5"/>
      <c r="P21536" s="5"/>
      <c r="Q21536" s="5">
        <v>0</v>
      </c>
      <c r="R21536" s="5">
        <v>119</v>
      </c>
      <c r="S21536" s="5">
        <v>0</v>
      </c>
      <c r="T21536" s="5" t="s">
        <v>74425</v>
      </c>
      <c r="U21536" s="5"/>
      <c r="V21536" s="5"/>
      <c r="W21536" s="5"/>
      <c r="X21536" s="5"/>
      <c r="Y21536" s="5"/>
    </row>
    <row r="21537" spans="1:20" customFormat="1" ht="15" x14ac:dyDescent="0.25">
      <c r="A21537" t="s">
        <v>24</v>
      </c>
      <c r="B21537" t="s">
        <v>59167</v>
      </c>
      <c r="C21537" t="str">
        <f>"A0055091"</f>
        <v>A0055091</v>
      </c>
      <c r="D21537" t="s">
        <v>81303</v>
      </c>
      <c r="E21537" t="s">
        <v>81304</v>
      </c>
      <c r="F21537" t="s">
        <v>242</v>
      </c>
      <c r="G21537" t="s">
        <v>214</v>
      </c>
      <c r="H21537">
        <v>28217</v>
      </c>
      <c r="I21537" t="s">
        <v>30</v>
      </c>
      <c r="J21537" t="s">
        <v>145</v>
      </c>
      <c r="K21537" t="s">
        <v>302</v>
      </c>
      <c r="N21537" t="s">
        <v>81305</v>
      </c>
      <c r="Q21537">
        <v>0</v>
      </c>
      <c r="R21537">
        <v>79</v>
      </c>
      <c r="S21537">
        <v>0</v>
      </c>
      <c r="T21537" t="s">
        <v>81306</v>
      </c>
    </row>
    <row r="21538" spans="1:20" customFormat="1" ht="15" x14ac:dyDescent="0.25">
      <c r="A21538" t="s">
        <v>24</v>
      </c>
      <c r="B21538" t="s">
        <v>81307</v>
      </c>
      <c r="C21538" t="str">
        <f>"A0061501"</f>
        <v>A0061501</v>
      </c>
      <c r="D21538" t="s">
        <v>81308</v>
      </c>
      <c r="E21538" t="s">
        <v>81309</v>
      </c>
      <c r="F21538" t="s">
        <v>4149</v>
      </c>
      <c r="G21538" t="s">
        <v>81</v>
      </c>
      <c r="H21538">
        <v>32550</v>
      </c>
      <c r="I21538" t="s">
        <v>30</v>
      </c>
      <c r="J21538" t="s">
        <v>145</v>
      </c>
      <c r="K21538" t="s">
        <v>302</v>
      </c>
      <c r="N21538" t="s">
        <v>81310</v>
      </c>
      <c r="Q21538">
        <v>0</v>
      </c>
      <c r="R21538">
        <v>77</v>
      </c>
      <c r="S21538">
        <v>0</v>
      </c>
      <c r="T21538" t="s">
        <v>81311</v>
      </c>
    </row>
    <row r="21539" spans="1:20" customFormat="1" ht="15" x14ac:dyDescent="0.25">
      <c r="A21539" t="s">
        <v>24</v>
      </c>
      <c r="B21539" t="s">
        <v>58694</v>
      </c>
      <c r="C21539" t="str">
        <f>"88SL008"</f>
        <v>88SL008</v>
      </c>
      <c r="D21539" t="s">
        <v>81312</v>
      </c>
      <c r="E21539" t="s">
        <v>81313</v>
      </c>
      <c r="F21539" t="s">
        <v>3540</v>
      </c>
      <c r="G21539" t="s">
        <v>85</v>
      </c>
      <c r="H21539" t="s">
        <v>74816</v>
      </c>
      <c r="I21539" t="s">
        <v>30</v>
      </c>
      <c r="J21539" t="s">
        <v>145</v>
      </c>
      <c r="K21539" t="s">
        <v>302</v>
      </c>
      <c r="N21539" t="s">
        <v>65838</v>
      </c>
      <c r="Q21539">
        <v>0</v>
      </c>
      <c r="R21539">
        <v>61</v>
      </c>
      <c r="S21539">
        <v>0</v>
      </c>
      <c r="T21539" t="s">
        <v>81314</v>
      </c>
    </row>
    <row r="21540" spans="1:20" customFormat="1" ht="15" x14ac:dyDescent="0.25">
      <c r="A21540" t="s">
        <v>24</v>
      </c>
      <c r="B21540" t="s">
        <v>7958</v>
      </c>
      <c r="C21540" t="str">
        <f>"A0156648"</f>
        <v>A0156648</v>
      </c>
      <c r="D21540" t="s">
        <v>81315</v>
      </c>
      <c r="E21540" t="s">
        <v>81316</v>
      </c>
      <c r="F21540" t="s">
        <v>5818</v>
      </c>
      <c r="G21540" t="s">
        <v>65</v>
      </c>
      <c r="H21540">
        <v>43452</v>
      </c>
      <c r="I21540" t="s">
        <v>30</v>
      </c>
      <c r="J21540" t="s">
        <v>145</v>
      </c>
      <c r="K21540" t="s">
        <v>302</v>
      </c>
      <c r="N21540" t="s">
        <v>81317</v>
      </c>
      <c r="Q21540">
        <v>0</v>
      </c>
      <c r="R21540">
        <v>71</v>
      </c>
      <c r="S21540">
        <v>0</v>
      </c>
      <c r="T21540" t="s">
        <v>81318</v>
      </c>
    </row>
    <row r="21541" spans="1:20" customFormat="1" ht="15" x14ac:dyDescent="0.25">
      <c r="A21541" t="s">
        <v>24</v>
      </c>
      <c r="B21541" t="s">
        <v>81319</v>
      </c>
      <c r="C21541" t="str">
        <f>"A0095888"</f>
        <v>A0095888</v>
      </c>
      <c r="D21541" t="s">
        <v>81320</v>
      </c>
      <c r="E21541" t="s">
        <v>81321</v>
      </c>
      <c r="F21541" t="s">
        <v>61972</v>
      </c>
      <c r="G21541" t="s">
        <v>99</v>
      </c>
      <c r="H21541">
        <v>13057</v>
      </c>
      <c r="I21541" t="s">
        <v>30</v>
      </c>
      <c r="J21541" t="s">
        <v>145</v>
      </c>
      <c r="K21541" t="s">
        <v>302</v>
      </c>
      <c r="N21541" t="s">
        <v>81322</v>
      </c>
      <c r="Q21541">
        <v>0</v>
      </c>
      <c r="R21541">
        <v>54</v>
      </c>
      <c r="S21541">
        <v>0</v>
      </c>
      <c r="T21541" t="s">
        <v>81323</v>
      </c>
    </row>
    <row r="21542" spans="1:20" customFormat="1" ht="15" x14ac:dyDescent="0.25">
      <c r="A21542" t="s">
        <v>24</v>
      </c>
      <c r="B21542" t="s">
        <v>3502</v>
      </c>
      <c r="C21542" t="str">
        <f>"A0094072"</f>
        <v>A0094072</v>
      </c>
      <c r="D21542" t="s">
        <v>81324</v>
      </c>
      <c r="E21542" t="s">
        <v>81325</v>
      </c>
      <c r="F21542" t="s">
        <v>55295</v>
      </c>
      <c r="G21542" t="s">
        <v>1170</v>
      </c>
      <c r="H21542">
        <v>71129</v>
      </c>
      <c r="I21542" t="s">
        <v>30</v>
      </c>
      <c r="J21542" t="s">
        <v>145</v>
      </c>
      <c r="K21542" t="s">
        <v>302</v>
      </c>
      <c r="N21542" t="s">
        <v>81326</v>
      </c>
      <c r="Q21542">
        <v>0</v>
      </c>
      <c r="R21542">
        <v>79</v>
      </c>
      <c r="S21542">
        <v>0</v>
      </c>
      <c r="T21542" t="s">
        <v>81327</v>
      </c>
    </row>
    <row r="21543" spans="1:20" customFormat="1" ht="15" x14ac:dyDescent="0.25">
      <c r="A21543" t="s">
        <v>24</v>
      </c>
      <c r="B21543" t="s">
        <v>81328</v>
      </c>
      <c r="C21543" t="str">
        <f>"A0095320"</f>
        <v>A0095320</v>
      </c>
      <c r="D21543" t="s">
        <v>81329</v>
      </c>
      <c r="E21543" t="s">
        <v>81330</v>
      </c>
      <c r="F21543" t="s">
        <v>81331</v>
      </c>
      <c r="G21543" t="s">
        <v>65</v>
      </c>
      <c r="H21543">
        <v>44010</v>
      </c>
      <c r="I21543" t="s">
        <v>30</v>
      </c>
      <c r="J21543" t="s">
        <v>145</v>
      </c>
      <c r="K21543" t="s">
        <v>302</v>
      </c>
      <c r="N21543" t="s">
        <v>81332</v>
      </c>
      <c r="Q21543">
        <v>0</v>
      </c>
      <c r="R21543">
        <v>64</v>
      </c>
      <c r="S21543">
        <v>0</v>
      </c>
      <c r="T21543" t="s">
        <v>81333</v>
      </c>
    </row>
    <row r="21544" spans="1:20" customFormat="1" ht="15" x14ac:dyDescent="0.25">
      <c r="A21544" t="s">
        <v>24</v>
      </c>
      <c r="B21544" t="s">
        <v>706</v>
      </c>
      <c r="C21544" t="str">
        <f>"A0091479"</f>
        <v>A0091479</v>
      </c>
      <c r="D21544" t="s">
        <v>81334</v>
      </c>
      <c r="E21544" t="s">
        <v>81335</v>
      </c>
      <c r="F21544" t="s">
        <v>1326</v>
      </c>
      <c r="G21544" t="s">
        <v>81</v>
      </c>
      <c r="H21544">
        <v>34473</v>
      </c>
      <c r="I21544" t="s">
        <v>30</v>
      </c>
      <c r="J21544" t="s">
        <v>145</v>
      </c>
      <c r="K21544" t="s">
        <v>302</v>
      </c>
      <c r="N21544" t="s">
        <v>81336</v>
      </c>
      <c r="O21544" t="s">
        <v>81337</v>
      </c>
      <c r="Q21544">
        <v>0</v>
      </c>
      <c r="R21544">
        <v>74</v>
      </c>
      <c r="S21544">
        <v>0</v>
      </c>
      <c r="T21544" t="s">
        <v>81338</v>
      </c>
    </row>
    <row r="21545" spans="1:20" customFormat="1" ht="15" x14ac:dyDescent="0.25">
      <c r="A21545" t="s">
        <v>24</v>
      </c>
      <c r="B21545" t="s">
        <v>9412</v>
      </c>
      <c r="C21545" t="str">
        <f>"A0084722"</f>
        <v>A0084722</v>
      </c>
      <c r="D21545" t="s">
        <v>81339</v>
      </c>
      <c r="E21545" t="s">
        <v>81340</v>
      </c>
      <c r="F21545" t="s">
        <v>7883</v>
      </c>
      <c r="G21545" t="s">
        <v>1898</v>
      </c>
      <c r="H21545">
        <v>50327</v>
      </c>
      <c r="I21545" t="s">
        <v>30</v>
      </c>
      <c r="J21545" t="s">
        <v>145</v>
      </c>
      <c r="K21545" t="s">
        <v>302</v>
      </c>
      <c r="N21545" t="s">
        <v>81341</v>
      </c>
      <c r="Q21545">
        <v>0</v>
      </c>
      <c r="R21545">
        <v>77</v>
      </c>
      <c r="S21545">
        <v>0</v>
      </c>
      <c r="T21545" t="s">
        <v>81342</v>
      </c>
    </row>
    <row r="21546" spans="1:20" customFormat="1" ht="15" x14ac:dyDescent="0.25">
      <c r="A21546" t="s">
        <v>24</v>
      </c>
      <c r="B21546" t="s">
        <v>81343</v>
      </c>
      <c r="C21546" t="str">
        <f>"A0091478"</f>
        <v>A0091478</v>
      </c>
      <c r="D21546" t="s">
        <v>81344</v>
      </c>
      <c r="E21546" t="s">
        <v>81345</v>
      </c>
      <c r="F21546" t="s">
        <v>61616</v>
      </c>
      <c r="G21546" t="s">
        <v>1170</v>
      </c>
      <c r="H21546">
        <v>71270</v>
      </c>
      <c r="I21546" t="s">
        <v>30</v>
      </c>
      <c r="J21546" t="s">
        <v>145</v>
      </c>
      <c r="K21546" t="s">
        <v>302</v>
      </c>
      <c r="N21546" t="s">
        <v>81346</v>
      </c>
      <c r="O21546" t="s">
        <v>81347</v>
      </c>
      <c r="Q21546">
        <v>0</v>
      </c>
      <c r="R21546">
        <v>77</v>
      </c>
      <c r="S21546">
        <v>0</v>
      </c>
      <c r="T21546" t="s">
        <v>81348</v>
      </c>
    </row>
    <row r="21547" spans="1:20" customFormat="1" ht="15" x14ac:dyDescent="0.25">
      <c r="A21547" t="s">
        <v>24</v>
      </c>
      <c r="B21547" t="s">
        <v>59052</v>
      </c>
      <c r="C21547" t="str">
        <f>"A0099961"</f>
        <v>A0099961</v>
      </c>
      <c r="D21547" t="s">
        <v>81349</v>
      </c>
      <c r="E21547" t="s">
        <v>81350</v>
      </c>
      <c r="F21547" t="s">
        <v>659</v>
      </c>
      <c r="G21547" t="s">
        <v>81</v>
      </c>
      <c r="H21547">
        <v>32608</v>
      </c>
      <c r="I21547" t="s">
        <v>30</v>
      </c>
      <c r="J21547" t="s">
        <v>145</v>
      </c>
      <c r="K21547" t="s">
        <v>302</v>
      </c>
      <c r="N21547" t="s">
        <v>59055</v>
      </c>
      <c r="Q21547">
        <v>0</v>
      </c>
      <c r="R21547">
        <v>74</v>
      </c>
      <c r="S21547">
        <v>0</v>
      </c>
      <c r="T21547" t="s">
        <v>59056</v>
      </c>
    </row>
    <row r="21548" spans="1:20" customFormat="1" ht="15" x14ac:dyDescent="0.25">
      <c r="A21548" t="s">
        <v>24</v>
      </c>
      <c r="B21548" t="s">
        <v>55987</v>
      </c>
      <c r="C21548" t="str">
        <f>"A0059934"</f>
        <v>A0059934</v>
      </c>
      <c r="D21548" t="s">
        <v>81351</v>
      </c>
      <c r="E21548" t="s">
        <v>81352</v>
      </c>
      <c r="F21548" t="s">
        <v>2014</v>
      </c>
      <c r="G21548" t="s">
        <v>197</v>
      </c>
      <c r="H21548">
        <v>85254</v>
      </c>
      <c r="I21548" t="s">
        <v>30</v>
      </c>
      <c r="J21548" t="s">
        <v>145</v>
      </c>
      <c r="K21548" t="s">
        <v>302</v>
      </c>
      <c r="N21548" t="s">
        <v>81353</v>
      </c>
      <c r="Q21548">
        <v>0</v>
      </c>
      <c r="R21548">
        <v>107</v>
      </c>
      <c r="S21548">
        <v>0</v>
      </c>
      <c r="T21548" t="s">
        <v>81354</v>
      </c>
    </row>
    <row r="21549" spans="1:20" customFormat="1" ht="15" x14ac:dyDescent="0.25">
      <c r="A21549" t="s">
        <v>24</v>
      </c>
      <c r="B21549" t="s">
        <v>799</v>
      </c>
      <c r="C21549" t="str">
        <f>"A0064241"</f>
        <v>A0064241</v>
      </c>
      <c r="D21549" t="s">
        <v>81355</v>
      </c>
      <c r="E21549" t="s">
        <v>81356</v>
      </c>
      <c r="F21549" t="s">
        <v>5369</v>
      </c>
      <c r="G21549" t="s">
        <v>58</v>
      </c>
      <c r="H21549">
        <v>29407</v>
      </c>
      <c r="I21549" t="s">
        <v>30</v>
      </c>
      <c r="J21549" t="s">
        <v>145</v>
      </c>
      <c r="K21549" t="s">
        <v>302</v>
      </c>
      <c r="N21549" t="s">
        <v>57154</v>
      </c>
      <c r="O21549" t="s">
        <v>81357</v>
      </c>
      <c r="Q21549">
        <v>0</v>
      </c>
      <c r="R21549">
        <v>74</v>
      </c>
      <c r="S21549">
        <v>0</v>
      </c>
      <c r="T21549" t="s">
        <v>81358</v>
      </c>
    </row>
    <row r="21550" spans="1:20" customFormat="1" ht="15" x14ac:dyDescent="0.25">
      <c r="A21550" t="s">
        <v>24</v>
      </c>
      <c r="B21550" t="s">
        <v>81359</v>
      </c>
      <c r="C21550" t="str">
        <f>"A0094758"</f>
        <v>A0094758</v>
      </c>
      <c r="D21550" t="s">
        <v>81360</v>
      </c>
      <c r="E21550" t="s">
        <v>81361</v>
      </c>
      <c r="F21550" t="s">
        <v>81362</v>
      </c>
      <c r="G21550" t="s">
        <v>1369</v>
      </c>
      <c r="H21550">
        <v>39232</v>
      </c>
      <c r="I21550" t="s">
        <v>30</v>
      </c>
      <c r="J21550" t="s">
        <v>145</v>
      </c>
      <c r="K21550" t="s">
        <v>302</v>
      </c>
      <c r="N21550" t="s">
        <v>81363</v>
      </c>
      <c r="Q21550">
        <v>0</v>
      </c>
      <c r="R21550">
        <v>90</v>
      </c>
      <c r="S21550">
        <v>0</v>
      </c>
      <c r="T21550" t="s">
        <v>81364</v>
      </c>
    </row>
    <row r="21551" spans="1:20" customFormat="1" ht="15" x14ac:dyDescent="0.25">
      <c r="A21551" t="s">
        <v>24</v>
      </c>
      <c r="B21551" t="s">
        <v>8366</v>
      </c>
      <c r="C21551" t="str">
        <f>"88SL016"</f>
        <v>88SL016</v>
      </c>
      <c r="D21551" t="s">
        <v>81365</v>
      </c>
      <c r="E21551" t="s">
        <v>81366</v>
      </c>
      <c r="F21551" t="s">
        <v>81367</v>
      </c>
      <c r="G21551" t="s">
        <v>1363</v>
      </c>
      <c r="H21551">
        <v>3053</v>
      </c>
      <c r="I21551" t="s">
        <v>30</v>
      </c>
      <c r="J21551" t="s">
        <v>145</v>
      </c>
      <c r="K21551" t="s">
        <v>302</v>
      </c>
      <c r="N21551" t="s">
        <v>81368</v>
      </c>
      <c r="Q21551">
        <v>0</v>
      </c>
      <c r="R21551">
        <v>100</v>
      </c>
      <c r="S21551">
        <v>0</v>
      </c>
      <c r="T21551" t="s">
        <v>81369</v>
      </c>
    </row>
    <row r="21552" spans="1:20" customFormat="1" ht="15" x14ac:dyDescent="0.25">
      <c r="A21552" t="s">
        <v>24</v>
      </c>
      <c r="B21552" t="s">
        <v>3502</v>
      </c>
      <c r="C21552" t="str">
        <f>"A0059692"</f>
        <v>A0059692</v>
      </c>
      <c r="D21552" t="s">
        <v>81370</v>
      </c>
      <c r="E21552" t="s">
        <v>81371</v>
      </c>
      <c r="F21552" t="s">
        <v>34979</v>
      </c>
      <c r="G21552" t="s">
        <v>1170</v>
      </c>
      <c r="H21552">
        <v>70816</v>
      </c>
      <c r="I21552" t="s">
        <v>30</v>
      </c>
      <c r="J21552" t="s">
        <v>145</v>
      </c>
      <c r="K21552" t="s">
        <v>302</v>
      </c>
      <c r="N21552" t="s">
        <v>6489</v>
      </c>
      <c r="Q21552">
        <v>0</v>
      </c>
      <c r="R21552">
        <v>101</v>
      </c>
      <c r="S21552">
        <v>0</v>
      </c>
      <c r="T21552" t="s">
        <v>81372</v>
      </c>
    </row>
    <row r="21553" spans="1:25" customFormat="1" ht="15" x14ac:dyDescent="0.25">
      <c r="A21553" t="s">
        <v>24</v>
      </c>
      <c r="B21553" t="s">
        <v>2340</v>
      </c>
      <c r="C21553" t="str">
        <f>"A0093547"</f>
        <v>A0093547</v>
      </c>
      <c r="D21553" t="s">
        <v>81373</v>
      </c>
      <c r="E21553" t="s">
        <v>81374</v>
      </c>
      <c r="F21553" t="s">
        <v>76926</v>
      </c>
      <c r="G21553" t="s">
        <v>123</v>
      </c>
      <c r="H21553">
        <v>20772</v>
      </c>
      <c r="I21553" t="s">
        <v>30</v>
      </c>
      <c r="J21553" t="s">
        <v>145</v>
      </c>
      <c r="K21553" t="s">
        <v>302</v>
      </c>
      <c r="N21553" t="s">
        <v>81375</v>
      </c>
      <c r="O21553" t="s">
        <v>81376</v>
      </c>
      <c r="Q21553">
        <v>0</v>
      </c>
      <c r="R21553">
        <v>67</v>
      </c>
      <c r="S21553">
        <v>0</v>
      </c>
      <c r="T21553" t="s">
        <v>81377</v>
      </c>
    </row>
    <row r="21554" spans="1:25" x14ac:dyDescent="0.25">
      <c r="A21554" s="5" t="s">
        <v>24</v>
      </c>
      <c r="B21554" s="5" t="s">
        <v>1561</v>
      </c>
      <c r="C21554" s="5" t="str">
        <f>"A0100784"</f>
        <v>A0100784</v>
      </c>
      <c r="D21554" s="5" t="s">
        <v>74616</v>
      </c>
      <c r="E21554" s="5" t="s">
        <v>74617</v>
      </c>
      <c r="F21554" s="5" t="s">
        <v>74618</v>
      </c>
      <c r="G21554" s="5" t="s">
        <v>2391</v>
      </c>
      <c r="H21554" s="5">
        <v>5751</v>
      </c>
      <c r="I21554" s="5" t="s">
        <v>30</v>
      </c>
      <c r="J21554" s="5" t="s">
        <v>171</v>
      </c>
      <c r="K21554" s="5" t="s">
        <v>163</v>
      </c>
      <c r="L21554" s="5"/>
      <c r="M21554" s="5"/>
      <c r="N21554" s="5" t="s">
        <v>74619</v>
      </c>
      <c r="O21554" s="5"/>
      <c r="P21554" s="5"/>
      <c r="Q21554" s="5">
        <v>0</v>
      </c>
      <c r="R21554" s="5">
        <v>102</v>
      </c>
      <c r="S21554" s="5">
        <v>0</v>
      </c>
      <c r="T21554" s="5" t="s">
        <v>74620</v>
      </c>
      <c r="U21554" s="5"/>
      <c r="V21554" s="5"/>
      <c r="W21554" s="5"/>
      <c r="X21554" s="5"/>
      <c r="Y21554" s="5"/>
    </row>
    <row r="21555" spans="1:25" customFormat="1" ht="15" x14ac:dyDescent="0.25">
      <c r="A21555" t="s">
        <v>24</v>
      </c>
      <c r="B21555" t="s">
        <v>59031</v>
      </c>
      <c r="C21555" t="str">
        <f>"A0093334"</f>
        <v>A0093334</v>
      </c>
      <c r="D21555" t="s">
        <v>81382</v>
      </c>
      <c r="E21555" t="s">
        <v>81383</v>
      </c>
      <c r="F21555" t="s">
        <v>59034</v>
      </c>
      <c r="G21555" t="s">
        <v>2391</v>
      </c>
      <c r="H21555">
        <v>5403</v>
      </c>
      <c r="I21555" t="s">
        <v>30</v>
      </c>
      <c r="J21555" t="s">
        <v>31</v>
      </c>
      <c r="K21555" t="s">
        <v>163</v>
      </c>
      <c r="N21555" t="s">
        <v>81384</v>
      </c>
      <c r="O21555" t="s">
        <v>81385</v>
      </c>
      <c r="Q21555">
        <v>0</v>
      </c>
      <c r="R21555">
        <v>82</v>
      </c>
      <c r="S21555">
        <v>0</v>
      </c>
      <c r="T21555" t="s">
        <v>81386</v>
      </c>
    </row>
    <row r="21556" spans="1:25" customFormat="1" ht="15" x14ac:dyDescent="0.25">
      <c r="A21556" t="s">
        <v>24</v>
      </c>
      <c r="B21556" t="s">
        <v>1528</v>
      </c>
      <c r="C21556" t="str">
        <f>"A0096934"</f>
        <v>A0096934</v>
      </c>
      <c r="D21556" t="s">
        <v>81387</v>
      </c>
      <c r="E21556" t="s">
        <v>81388</v>
      </c>
      <c r="F21556" t="s">
        <v>2900</v>
      </c>
      <c r="G21556" t="s">
        <v>76</v>
      </c>
      <c r="H21556">
        <v>98104</v>
      </c>
      <c r="I21556" t="s">
        <v>30</v>
      </c>
      <c r="J21556" t="s">
        <v>1004</v>
      </c>
      <c r="K21556" t="s">
        <v>163</v>
      </c>
      <c r="N21556" t="s">
        <v>81389</v>
      </c>
      <c r="O21556" t="s">
        <v>81390</v>
      </c>
      <c r="Q21556">
        <v>0</v>
      </c>
      <c r="R21556">
        <v>0</v>
      </c>
      <c r="S21556">
        <v>0</v>
      </c>
      <c r="T21556" t="s">
        <v>81391</v>
      </c>
    </row>
    <row r="21557" spans="1:25" customFormat="1" ht="15" x14ac:dyDescent="0.25">
      <c r="A21557" t="s">
        <v>24</v>
      </c>
      <c r="B21557" t="s">
        <v>74678</v>
      </c>
      <c r="C21557" t="str">
        <f>"A0096975"</f>
        <v>A0096975</v>
      </c>
      <c r="D21557" t="s">
        <v>74679</v>
      </c>
      <c r="E21557" t="s">
        <v>74680</v>
      </c>
      <c r="F21557" t="s">
        <v>74681</v>
      </c>
      <c r="G21557" t="s">
        <v>99</v>
      </c>
      <c r="H21557">
        <v>11050</v>
      </c>
      <c r="I21557" t="s">
        <v>30</v>
      </c>
      <c r="J21557" t="s">
        <v>171</v>
      </c>
      <c r="K21557" t="s">
        <v>163</v>
      </c>
      <c r="N21557" t="s">
        <v>74682</v>
      </c>
      <c r="Q21557">
        <v>0</v>
      </c>
      <c r="R21557">
        <v>6</v>
      </c>
      <c r="S21557">
        <v>0</v>
      </c>
      <c r="T21557" t="s">
        <v>74683</v>
      </c>
    </row>
    <row r="21558" spans="1:25" customFormat="1" ht="15" x14ac:dyDescent="0.25">
      <c r="A21558" t="s">
        <v>24</v>
      </c>
      <c r="B21558" t="s">
        <v>54986</v>
      </c>
      <c r="C21558" t="str">
        <f>"A0158102"</f>
        <v>A0158102</v>
      </c>
      <c r="D21558" t="s">
        <v>75136</v>
      </c>
      <c r="E21558" t="s">
        <v>75137</v>
      </c>
      <c r="F21558" t="s">
        <v>58467</v>
      </c>
      <c r="G21558" t="s">
        <v>103</v>
      </c>
      <c r="H21558">
        <v>18428</v>
      </c>
      <c r="I21558" t="s">
        <v>30</v>
      </c>
      <c r="J21558" t="s">
        <v>171</v>
      </c>
      <c r="K21558" t="s">
        <v>163</v>
      </c>
      <c r="N21558" t="s">
        <v>75138</v>
      </c>
      <c r="O21558" t="s">
        <v>58469</v>
      </c>
      <c r="Q21558">
        <v>0</v>
      </c>
      <c r="R21558">
        <v>20</v>
      </c>
      <c r="S21558">
        <v>0</v>
      </c>
      <c r="T21558" t="s">
        <v>58470</v>
      </c>
    </row>
    <row r="21559" spans="1:25" customFormat="1" ht="15" x14ac:dyDescent="0.25">
      <c r="A21559" t="s">
        <v>24</v>
      </c>
      <c r="B21559" t="s">
        <v>1528</v>
      </c>
      <c r="C21559" t="str">
        <f>"A0054442"</f>
        <v>A0054442</v>
      </c>
      <c r="D21559" t="s">
        <v>75497</v>
      </c>
      <c r="E21559" t="s">
        <v>75498</v>
      </c>
      <c r="F21559" t="s">
        <v>2900</v>
      </c>
      <c r="G21559" t="s">
        <v>76</v>
      </c>
      <c r="H21559">
        <v>98109</v>
      </c>
      <c r="I21559" t="s">
        <v>30</v>
      </c>
      <c r="J21559" t="s">
        <v>171</v>
      </c>
      <c r="K21559" t="s">
        <v>163</v>
      </c>
      <c r="N21559" t="s">
        <v>75499</v>
      </c>
      <c r="Q21559">
        <v>0</v>
      </c>
      <c r="R21559">
        <v>59</v>
      </c>
      <c r="S21559">
        <v>0</v>
      </c>
      <c r="T21559" t="s">
        <v>75500</v>
      </c>
    </row>
    <row r="21560" spans="1:25" customFormat="1" ht="15" x14ac:dyDescent="0.25">
      <c r="A21560" t="s">
        <v>24</v>
      </c>
      <c r="B21560" t="s">
        <v>675</v>
      </c>
      <c r="C21560" t="str">
        <f>"A0060019"</f>
        <v>A0060019</v>
      </c>
      <c r="D21560" t="s">
        <v>75602</v>
      </c>
      <c r="E21560" t="s">
        <v>75603</v>
      </c>
      <c r="F21560" t="s">
        <v>1208</v>
      </c>
      <c r="G21560" t="s">
        <v>899</v>
      </c>
      <c r="H21560">
        <v>2116</v>
      </c>
      <c r="I21560" t="s">
        <v>30</v>
      </c>
      <c r="J21560" t="s">
        <v>171</v>
      </c>
      <c r="K21560" t="s">
        <v>973</v>
      </c>
      <c r="N21560" t="s">
        <v>75604</v>
      </c>
      <c r="O21560" t="s">
        <v>75605</v>
      </c>
      <c r="Q21560">
        <v>0</v>
      </c>
      <c r="R21560">
        <v>315</v>
      </c>
      <c r="S21560">
        <v>0</v>
      </c>
      <c r="T21560" t="s">
        <v>75606</v>
      </c>
    </row>
    <row r="21561" spans="1:25" customFormat="1" ht="15" x14ac:dyDescent="0.25">
      <c r="A21561" t="s">
        <v>24</v>
      </c>
      <c r="B21561" t="s">
        <v>5843</v>
      </c>
      <c r="C21561" t="str">
        <f>"A0095946"</f>
        <v>A0095946</v>
      </c>
      <c r="D21561" t="s">
        <v>76552</v>
      </c>
      <c r="E21561" t="s">
        <v>76553</v>
      </c>
      <c r="F21561" t="s">
        <v>7063</v>
      </c>
      <c r="G21561" t="s">
        <v>110</v>
      </c>
      <c r="H21561">
        <v>92262</v>
      </c>
      <c r="I21561" t="s">
        <v>30</v>
      </c>
      <c r="J21561" t="s">
        <v>171</v>
      </c>
      <c r="K21561" t="s">
        <v>163</v>
      </c>
      <c r="N21561" t="s">
        <v>76554</v>
      </c>
      <c r="Q21561">
        <v>0</v>
      </c>
      <c r="R21561">
        <v>16</v>
      </c>
      <c r="S21561">
        <v>0</v>
      </c>
      <c r="T21561" t="s">
        <v>76555</v>
      </c>
    </row>
    <row r="21562" spans="1:25" customFormat="1" ht="15" hidden="1" x14ac:dyDescent="0.25">
      <c r="A21562" t="s">
        <v>24</v>
      </c>
      <c r="B21562" t="s">
        <v>8771</v>
      </c>
      <c r="C21562" t="str">
        <f>"A0151293"</f>
        <v>A0151293</v>
      </c>
      <c r="D21562" t="s">
        <v>81417</v>
      </c>
      <c r="E21562" t="s">
        <v>81418</v>
      </c>
      <c r="F21562" t="s">
        <v>2408</v>
      </c>
      <c r="G21562" t="s">
        <v>3843</v>
      </c>
      <c r="H21562">
        <v>6500</v>
      </c>
      <c r="I21562" t="s">
        <v>2408</v>
      </c>
      <c r="J21562" t="s">
        <v>162</v>
      </c>
      <c r="K21562" t="s">
        <v>81410</v>
      </c>
      <c r="N21562" t="s">
        <v>81419</v>
      </c>
      <c r="O21562" t="s">
        <v>81420</v>
      </c>
      <c r="Q21562">
        <v>0</v>
      </c>
      <c r="R21562">
        <v>275</v>
      </c>
      <c r="S21562">
        <v>0</v>
      </c>
      <c r="T21562" t="s">
        <v>81421</v>
      </c>
    </row>
    <row r="21563" spans="1:25" customFormat="1" ht="15" hidden="1" x14ac:dyDescent="0.25">
      <c r="A21563" t="s">
        <v>24</v>
      </c>
      <c r="B21563" t="s">
        <v>8771</v>
      </c>
      <c r="C21563" t="str">
        <f>"A0074030"</f>
        <v>A0074030</v>
      </c>
      <c r="D21563" t="s">
        <v>81422</v>
      </c>
      <c r="E21563" t="s">
        <v>81423</v>
      </c>
      <c r="F21563" t="s">
        <v>5438</v>
      </c>
      <c r="G21563" t="s">
        <v>5439</v>
      </c>
      <c r="H21563" t="s">
        <v>81424</v>
      </c>
      <c r="I21563" t="s">
        <v>1459</v>
      </c>
      <c r="J21563" t="s">
        <v>162</v>
      </c>
      <c r="K21563" t="s">
        <v>81410</v>
      </c>
      <c r="N21563" t="s">
        <v>81425</v>
      </c>
      <c r="Q21563">
        <v>0</v>
      </c>
      <c r="R21563">
        <v>258</v>
      </c>
      <c r="S21563">
        <v>0</v>
      </c>
      <c r="T21563" t="s">
        <v>81426</v>
      </c>
    </row>
    <row r="21564" spans="1:25" customFormat="1" ht="15" x14ac:dyDescent="0.25">
      <c r="A21564" t="s">
        <v>24</v>
      </c>
      <c r="B21564" t="s">
        <v>4400</v>
      </c>
      <c r="C21564" t="str">
        <f>"A0096733"</f>
        <v>A0096733</v>
      </c>
      <c r="D21564" t="s">
        <v>76556</v>
      </c>
      <c r="E21564" t="s">
        <v>76557</v>
      </c>
      <c r="F21564" t="s">
        <v>845</v>
      </c>
      <c r="G21564" t="s">
        <v>846</v>
      </c>
      <c r="H21564">
        <v>30309</v>
      </c>
      <c r="I21564" t="s">
        <v>30</v>
      </c>
      <c r="J21564" t="s">
        <v>171</v>
      </c>
      <c r="K21564" t="s">
        <v>2925</v>
      </c>
      <c r="N21564" t="s">
        <v>55422</v>
      </c>
      <c r="Q21564">
        <v>0</v>
      </c>
      <c r="R21564">
        <v>155</v>
      </c>
      <c r="S21564">
        <v>0</v>
      </c>
      <c r="T21564" t="s">
        <v>76558</v>
      </c>
    </row>
    <row r="21565" spans="1:25" customFormat="1" ht="15" x14ac:dyDescent="0.25">
      <c r="A21565" t="s">
        <v>24</v>
      </c>
      <c r="B21565" t="s">
        <v>1323</v>
      </c>
      <c r="C21565" t="str">
        <f>"A0099436"</f>
        <v>A0099436</v>
      </c>
      <c r="D21565" t="s">
        <v>76559</v>
      </c>
      <c r="E21565" t="s">
        <v>76560</v>
      </c>
      <c r="F21565" t="s">
        <v>1346</v>
      </c>
      <c r="G21565" t="s">
        <v>880</v>
      </c>
      <c r="H21565">
        <v>37402</v>
      </c>
      <c r="I21565" t="s">
        <v>30</v>
      </c>
      <c r="J21565" t="s">
        <v>171</v>
      </c>
      <c r="K21565" t="s">
        <v>2925</v>
      </c>
      <c r="N21565" t="s">
        <v>76561</v>
      </c>
      <c r="Q21565">
        <v>0</v>
      </c>
      <c r="R21565">
        <v>102</v>
      </c>
      <c r="S21565">
        <v>0</v>
      </c>
      <c r="T21565" t="s">
        <v>76562</v>
      </c>
    </row>
    <row r="21566" spans="1:25" customFormat="1" ht="15" x14ac:dyDescent="0.25">
      <c r="A21566" t="s">
        <v>24</v>
      </c>
      <c r="B21566" t="s">
        <v>1487</v>
      </c>
      <c r="C21566" t="str">
        <f>"A0096745"</f>
        <v>A0096745</v>
      </c>
      <c r="D21566" t="s">
        <v>76563</v>
      </c>
      <c r="E21566" t="s">
        <v>76564</v>
      </c>
      <c r="F21566" t="s">
        <v>716</v>
      </c>
      <c r="G21566" t="s">
        <v>289</v>
      </c>
      <c r="H21566">
        <v>60654</v>
      </c>
      <c r="I21566" t="s">
        <v>30</v>
      </c>
      <c r="J21566" t="s">
        <v>171</v>
      </c>
      <c r="K21566" t="s">
        <v>2925</v>
      </c>
      <c r="N21566" t="s">
        <v>76565</v>
      </c>
      <c r="O21566" t="s">
        <v>76566</v>
      </c>
      <c r="Q21566">
        <v>0</v>
      </c>
      <c r="R21566">
        <v>156</v>
      </c>
      <c r="S21566">
        <v>0</v>
      </c>
      <c r="T21566" t="s">
        <v>76567</v>
      </c>
    </row>
    <row r="21567" spans="1:25" x14ac:dyDescent="0.25">
      <c r="A21567" s="5" t="s">
        <v>24</v>
      </c>
      <c r="B21567" s="5" t="s">
        <v>1098</v>
      </c>
      <c r="C21567" s="5" t="str">
        <f>"A0148496"</f>
        <v>A0148496</v>
      </c>
      <c r="D21567" s="5" t="s">
        <v>76568</v>
      </c>
      <c r="E21567" s="5" t="s">
        <v>76569</v>
      </c>
      <c r="F21567" s="5" t="s">
        <v>1525</v>
      </c>
      <c r="G21567" s="5" t="s">
        <v>65</v>
      </c>
      <c r="H21567" s="5">
        <v>43215</v>
      </c>
      <c r="I21567" s="5" t="s">
        <v>30</v>
      </c>
      <c r="J21567" s="5" t="s">
        <v>171</v>
      </c>
      <c r="K21567" s="5" t="s">
        <v>2925</v>
      </c>
      <c r="L21567" s="5"/>
      <c r="M21567" s="5"/>
      <c r="N21567" s="5" t="s">
        <v>76570</v>
      </c>
      <c r="O21567" s="5"/>
      <c r="P21567" s="5"/>
      <c r="Q21567" s="5">
        <v>0</v>
      </c>
      <c r="R21567" s="5">
        <v>116</v>
      </c>
      <c r="S21567" s="5">
        <v>0</v>
      </c>
      <c r="T21567" s="5" t="s">
        <v>76571</v>
      </c>
      <c r="U21567" s="5"/>
      <c r="V21567" s="5"/>
      <c r="W21567" s="5"/>
      <c r="X21567" s="5"/>
      <c r="Y21567" s="5"/>
    </row>
    <row r="21568" spans="1:25" hidden="1" x14ac:dyDescent="0.25">
      <c r="A21568" s="3" t="s">
        <v>24</v>
      </c>
      <c r="B21568" s="3" t="s">
        <v>675</v>
      </c>
      <c r="C21568" s="3" t="str">
        <f>"A0098071"</f>
        <v>A0098071</v>
      </c>
      <c r="D21568" s="3" t="s">
        <v>81444</v>
      </c>
      <c r="E21568" s="3" t="s">
        <v>81445</v>
      </c>
      <c r="F21568" s="3" t="s">
        <v>73695</v>
      </c>
      <c r="G21568" s="3" t="s">
        <v>2407</v>
      </c>
      <c r="H21568" s="3">
        <v>23405</v>
      </c>
      <c r="I21568" s="3" t="s">
        <v>2408</v>
      </c>
      <c r="J21568" s="3" t="s">
        <v>206</v>
      </c>
      <c r="K21568" s="3" t="s">
        <v>55170</v>
      </c>
      <c r="N21568" s="3" t="s">
        <v>81446</v>
      </c>
      <c r="Q21568" s="3">
        <v>0</v>
      </c>
      <c r="R21568" s="3">
        <v>131</v>
      </c>
      <c r="S21568" s="3">
        <v>0</v>
      </c>
      <c r="T21568" s="3" t="s">
        <v>81447</v>
      </c>
    </row>
    <row r="21569" spans="1:20" customFormat="1" ht="15" x14ac:dyDescent="0.25">
      <c r="A21569" t="s">
        <v>24</v>
      </c>
      <c r="B21569" t="s">
        <v>5166</v>
      </c>
      <c r="C21569" t="str">
        <f>"A0096746"</f>
        <v>A0096746</v>
      </c>
      <c r="D21569" t="s">
        <v>76572</v>
      </c>
      <c r="E21569" t="s">
        <v>76573</v>
      </c>
      <c r="F21569" t="s">
        <v>972</v>
      </c>
      <c r="G21569" t="s">
        <v>190</v>
      </c>
      <c r="H21569">
        <v>80206</v>
      </c>
      <c r="I21569" t="s">
        <v>30</v>
      </c>
      <c r="J21569" t="s">
        <v>171</v>
      </c>
      <c r="K21569" t="s">
        <v>2925</v>
      </c>
      <c r="N21569" t="s">
        <v>76574</v>
      </c>
      <c r="O21569" t="s">
        <v>76575</v>
      </c>
      <c r="Q21569">
        <v>0</v>
      </c>
      <c r="R21569">
        <v>170</v>
      </c>
      <c r="S21569">
        <v>0</v>
      </c>
      <c r="T21569" t="s">
        <v>76576</v>
      </c>
    </row>
    <row r="21570" spans="1:20" customFormat="1" ht="15" x14ac:dyDescent="0.25">
      <c r="A21570" t="s">
        <v>24</v>
      </c>
      <c r="B21570" t="s">
        <v>66938</v>
      </c>
      <c r="C21570" t="str">
        <f>"A0086825"</f>
        <v>A0086825</v>
      </c>
      <c r="D21570" t="s">
        <v>81454</v>
      </c>
      <c r="E21570" t="s">
        <v>81455</v>
      </c>
      <c r="F21570" t="s">
        <v>8970</v>
      </c>
      <c r="G21570" t="s">
        <v>81</v>
      </c>
      <c r="H21570">
        <v>32967</v>
      </c>
      <c r="I21570" t="s">
        <v>30</v>
      </c>
      <c r="J21570" t="s">
        <v>57907</v>
      </c>
      <c r="K21570" t="s">
        <v>163</v>
      </c>
      <c r="N21570" t="s">
        <v>81456</v>
      </c>
      <c r="Q21570">
        <v>0</v>
      </c>
      <c r="R21570">
        <v>0</v>
      </c>
      <c r="S21570">
        <v>0</v>
      </c>
      <c r="T21570" t="s">
        <v>81457</v>
      </c>
    </row>
    <row r="21571" spans="1:20" customFormat="1" ht="15" x14ac:dyDescent="0.25">
      <c r="A21571" t="s">
        <v>24</v>
      </c>
      <c r="B21571" t="s">
        <v>1487</v>
      </c>
      <c r="C21571" t="str">
        <f>"A0145349"</f>
        <v>A0145349</v>
      </c>
      <c r="D21571" t="s">
        <v>76577</v>
      </c>
      <c r="E21571" t="s">
        <v>72408</v>
      </c>
      <c r="F21571" t="s">
        <v>3466</v>
      </c>
      <c r="G21571" t="s">
        <v>840</v>
      </c>
      <c r="H21571">
        <v>40202</v>
      </c>
      <c r="I21571" t="s">
        <v>30</v>
      </c>
      <c r="J21571" t="s">
        <v>171</v>
      </c>
      <c r="K21571" t="s">
        <v>2925</v>
      </c>
      <c r="N21571" t="s">
        <v>76578</v>
      </c>
      <c r="Q21571">
        <v>0</v>
      </c>
      <c r="R21571">
        <v>110</v>
      </c>
      <c r="S21571">
        <v>0</v>
      </c>
      <c r="T21571" t="s">
        <v>76579</v>
      </c>
    </row>
    <row r="21572" spans="1:20" customFormat="1" ht="15" x14ac:dyDescent="0.25">
      <c r="A21572" t="s">
        <v>24</v>
      </c>
      <c r="B21572" t="s">
        <v>4990</v>
      </c>
      <c r="C21572" t="str">
        <f>"A0147870"</f>
        <v>A0147870</v>
      </c>
      <c r="D21572" t="s">
        <v>76580</v>
      </c>
      <c r="E21572" t="s">
        <v>76581</v>
      </c>
      <c r="F21572" t="s">
        <v>1541</v>
      </c>
      <c r="G21572" t="s">
        <v>427</v>
      </c>
      <c r="H21572">
        <v>68102</v>
      </c>
      <c r="I21572" t="s">
        <v>30</v>
      </c>
      <c r="J21572" t="s">
        <v>171</v>
      </c>
      <c r="K21572" t="s">
        <v>2925</v>
      </c>
      <c r="Q21572">
        <v>0</v>
      </c>
      <c r="R21572">
        <v>105</v>
      </c>
      <c r="S21572">
        <v>0</v>
      </c>
      <c r="T21572" t="s">
        <v>192</v>
      </c>
    </row>
    <row r="21573" spans="1:20" customFormat="1" ht="15" x14ac:dyDescent="0.25">
      <c r="A21573" t="s">
        <v>24</v>
      </c>
      <c r="B21573" t="s">
        <v>10398</v>
      </c>
      <c r="C21573" t="str">
        <f>"A0096750"</f>
        <v>A0096750</v>
      </c>
      <c r="D21573" t="s">
        <v>76582</v>
      </c>
      <c r="E21573" t="s">
        <v>76583</v>
      </c>
      <c r="F21573" t="s">
        <v>2978</v>
      </c>
      <c r="G21573" t="s">
        <v>110</v>
      </c>
      <c r="H21573">
        <v>92101</v>
      </c>
      <c r="I21573" t="s">
        <v>30</v>
      </c>
      <c r="J21573" t="s">
        <v>171</v>
      </c>
      <c r="K21573" t="s">
        <v>2925</v>
      </c>
      <c r="N21573" t="s">
        <v>76584</v>
      </c>
      <c r="O21573" t="s">
        <v>76585</v>
      </c>
      <c r="Q21573">
        <v>0</v>
      </c>
      <c r="R21573">
        <v>126</v>
      </c>
      <c r="S21573">
        <v>0</v>
      </c>
      <c r="T21573" t="s">
        <v>76586</v>
      </c>
    </row>
    <row r="21574" spans="1:20" customFormat="1" ht="15" x14ac:dyDescent="0.25">
      <c r="A21574" t="s">
        <v>24</v>
      </c>
      <c r="B21574" t="s">
        <v>805</v>
      </c>
      <c r="C21574" t="str">
        <f>"57316"</f>
        <v>57316</v>
      </c>
      <c r="D21574" t="s">
        <v>81473</v>
      </c>
      <c r="E21574" t="s">
        <v>81474</v>
      </c>
      <c r="F21574" t="s">
        <v>34900</v>
      </c>
      <c r="G21574" t="s">
        <v>1587</v>
      </c>
      <c r="H21574">
        <v>87107</v>
      </c>
      <c r="I21574" t="s">
        <v>30</v>
      </c>
      <c r="J21574" t="s">
        <v>31</v>
      </c>
      <c r="K21574" t="s">
        <v>34626</v>
      </c>
      <c r="N21574" t="s">
        <v>81475</v>
      </c>
      <c r="Q21574">
        <v>0</v>
      </c>
      <c r="R21574">
        <v>112</v>
      </c>
      <c r="S21574">
        <v>0</v>
      </c>
      <c r="T21574" t="s">
        <v>81476</v>
      </c>
    </row>
    <row r="21575" spans="1:20" customFormat="1" ht="15" x14ac:dyDescent="0.25">
      <c r="A21575" t="s">
        <v>24</v>
      </c>
      <c r="B21575" t="s">
        <v>805</v>
      </c>
      <c r="C21575" t="str">
        <f>"57142"</f>
        <v>57142</v>
      </c>
      <c r="D21575" t="s">
        <v>81477</v>
      </c>
      <c r="E21575" t="s">
        <v>81478</v>
      </c>
      <c r="F21575" t="s">
        <v>54989</v>
      </c>
      <c r="G21575" t="s">
        <v>103</v>
      </c>
      <c r="H21575">
        <v>18018</v>
      </c>
      <c r="I21575" t="s">
        <v>30</v>
      </c>
      <c r="J21575" t="s">
        <v>31</v>
      </c>
      <c r="K21575" t="s">
        <v>34626</v>
      </c>
      <c r="N21575" t="s">
        <v>81479</v>
      </c>
      <c r="Q21575">
        <v>0</v>
      </c>
      <c r="R21575">
        <v>120</v>
      </c>
      <c r="S21575">
        <v>0</v>
      </c>
      <c r="T21575" t="s">
        <v>81480</v>
      </c>
    </row>
    <row r="21576" spans="1:20" customFormat="1" ht="15" x14ac:dyDescent="0.25">
      <c r="A21576" t="s">
        <v>24</v>
      </c>
      <c r="B21576" t="s">
        <v>805</v>
      </c>
      <c r="C21576" t="str">
        <f>"SC079"</f>
        <v>SC079</v>
      </c>
      <c r="D21576" t="s">
        <v>81481</v>
      </c>
      <c r="E21576" t="s">
        <v>81482</v>
      </c>
      <c r="F21576" t="s">
        <v>9566</v>
      </c>
      <c r="G21576" t="s">
        <v>899</v>
      </c>
      <c r="H21576">
        <v>1810</v>
      </c>
      <c r="I21576" t="s">
        <v>30</v>
      </c>
      <c r="J21576" t="s">
        <v>31</v>
      </c>
      <c r="K21576" t="s">
        <v>34626</v>
      </c>
      <c r="N21576" t="s">
        <v>81483</v>
      </c>
      <c r="Q21576">
        <v>0</v>
      </c>
      <c r="R21576">
        <v>133</v>
      </c>
      <c r="S21576">
        <v>0</v>
      </c>
      <c r="T21576" t="s">
        <v>81484</v>
      </c>
    </row>
    <row r="21577" spans="1:20" customFormat="1" ht="15" x14ac:dyDescent="0.25">
      <c r="A21577" t="s">
        <v>24</v>
      </c>
      <c r="B21577" t="s">
        <v>805</v>
      </c>
      <c r="C21577" t="str">
        <f>"56902"</f>
        <v>56902</v>
      </c>
      <c r="D21577" t="s">
        <v>81485</v>
      </c>
      <c r="E21577" t="s">
        <v>81486</v>
      </c>
      <c r="F21577" t="s">
        <v>6840</v>
      </c>
      <c r="G21577" t="s">
        <v>117</v>
      </c>
      <c r="H21577">
        <v>48108</v>
      </c>
      <c r="I21577" t="s">
        <v>30</v>
      </c>
      <c r="J21577" t="s">
        <v>31</v>
      </c>
      <c r="K21577" t="s">
        <v>34626</v>
      </c>
      <c r="N21577" t="s">
        <v>81487</v>
      </c>
      <c r="O21577" t="s">
        <v>81488</v>
      </c>
      <c r="Q21577">
        <v>0</v>
      </c>
      <c r="R21577">
        <v>114</v>
      </c>
      <c r="S21577">
        <v>0</v>
      </c>
      <c r="T21577" t="s">
        <v>81489</v>
      </c>
    </row>
    <row r="21578" spans="1:20" customFormat="1" ht="15" x14ac:dyDescent="0.25">
      <c r="A21578" t="s">
        <v>24</v>
      </c>
      <c r="B21578" t="s">
        <v>805</v>
      </c>
      <c r="C21578" t="str">
        <f>"57129"</f>
        <v>57129</v>
      </c>
      <c r="D21578" t="s">
        <v>81490</v>
      </c>
      <c r="E21578" t="s">
        <v>81491</v>
      </c>
      <c r="F21578" t="s">
        <v>281</v>
      </c>
      <c r="G21578" t="s">
        <v>123</v>
      </c>
      <c r="H21578">
        <v>21401</v>
      </c>
      <c r="I21578" t="s">
        <v>30</v>
      </c>
      <c r="J21578" t="s">
        <v>31</v>
      </c>
      <c r="K21578" t="s">
        <v>34626</v>
      </c>
      <c r="N21578" t="s">
        <v>81492</v>
      </c>
      <c r="O21578" t="s">
        <v>81493</v>
      </c>
      <c r="Q21578">
        <v>0</v>
      </c>
      <c r="R21578">
        <v>102</v>
      </c>
      <c r="S21578">
        <v>0</v>
      </c>
      <c r="T21578" t="s">
        <v>81494</v>
      </c>
    </row>
    <row r="21579" spans="1:20" customFormat="1" ht="15" x14ac:dyDescent="0.25">
      <c r="A21579" t="s">
        <v>24</v>
      </c>
      <c r="B21579" t="s">
        <v>805</v>
      </c>
      <c r="C21579" t="str">
        <f>"57233"</f>
        <v>57233</v>
      </c>
      <c r="D21579" t="s">
        <v>81495</v>
      </c>
      <c r="E21579" t="s">
        <v>81496</v>
      </c>
      <c r="F21579" t="s">
        <v>1883</v>
      </c>
      <c r="G21579" t="s">
        <v>846</v>
      </c>
      <c r="H21579">
        <v>30004</v>
      </c>
      <c r="I21579" t="s">
        <v>30</v>
      </c>
      <c r="J21579" t="s">
        <v>31</v>
      </c>
      <c r="K21579" t="s">
        <v>34626</v>
      </c>
      <c r="N21579" t="s">
        <v>81497</v>
      </c>
      <c r="Q21579">
        <v>0</v>
      </c>
      <c r="R21579">
        <v>103</v>
      </c>
      <c r="S21579">
        <v>0</v>
      </c>
      <c r="T21579" t="s">
        <v>81498</v>
      </c>
    </row>
    <row r="21580" spans="1:20" customFormat="1" ht="15" x14ac:dyDescent="0.25">
      <c r="A21580" t="s">
        <v>24</v>
      </c>
      <c r="B21580" t="s">
        <v>805</v>
      </c>
      <c r="C21580" t="str">
        <f>"A0059949"</f>
        <v>A0059949</v>
      </c>
      <c r="D21580" t="s">
        <v>81499</v>
      </c>
      <c r="E21580" t="s">
        <v>81500</v>
      </c>
      <c r="F21580" t="s">
        <v>81501</v>
      </c>
      <c r="G21580" t="s">
        <v>846</v>
      </c>
      <c r="H21580">
        <v>30328</v>
      </c>
      <c r="I21580" t="s">
        <v>30</v>
      </c>
      <c r="J21580" t="s">
        <v>31</v>
      </c>
      <c r="K21580" t="s">
        <v>34626</v>
      </c>
      <c r="N21580" t="s">
        <v>81502</v>
      </c>
      <c r="O21580" t="s">
        <v>81503</v>
      </c>
      <c r="Q21580">
        <v>0</v>
      </c>
      <c r="R21580">
        <v>122</v>
      </c>
      <c r="S21580">
        <v>0</v>
      </c>
      <c r="T21580" t="s">
        <v>81504</v>
      </c>
    </row>
    <row r="21581" spans="1:20" customFormat="1" ht="15" x14ac:dyDescent="0.25">
      <c r="A21581" t="s">
        <v>24</v>
      </c>
      <c r="B21581" t="s">
        <v>805</v>
      </c>
      <c r="C21581" t="str">
        <f>"57239"</f>
        <v>57239</v>
      </c>
      <c r="D21581" t="s">
        <v>81505</v>
      </c>
      <c r="E21581" t="s">
        <v>81506</v>
      </c>
      <c r="F21581" t="s">
        <v>1248</v>
      </c>
      <c r="G21581" t="s">
        <v>846</v>
      </c>
      <c r="H21581">
        <v>30144</v>
      </c>
      <c r="I21581" t="s">
        <v>30</v>
      </c>
      <c r="J21581" t="s">
        <v>31</v>
      </c>
      <c r="K21581" t="s">
        <v>34626</v>
      </c>
      <c r="N21581" t="s">
        <v>81507</v>
      </c>
      <c r="O21581" t="s">
        <v>81508</v>
      </c>
      <c r="Q21581">
        <v>0</v>
      </c>
      <c r="R21581">
        <v>120</v>
      </c>
      <c r="S21581">
        <v>0</v>
      </c>
      <c r="T21581" t="s">
        <v>81509</v>
      </c>
    </row>
    <row r="21582" spans="1:20" customFormat="1" ht="15" x14ac:dyDescent="0.25">
      <c r="A21582" t="s">
        <v>24</v>
      </c>
      <c r="B21582" t="s">
        <v>805</v>
      </c>
      <c r="C21582" t="str">
        <f>"57251"</f>
        <v>57251</v>
      </c>
      <c r="D21582" t="s">
        <v>81510</v>
      </c>
      <c r="E21582" t="s">
        <v>81511</v>
      </c>
      <c r="F21582" t="s">
        <v>1883</v>
      </c>
      <c r="G21582" t="s">
        <v>846</v>
      </c>
      <c r="H21582">
        <v>30022</v>
      </c>
      <c r="I21582" t="s">
        <v>30</v>
      </c>
      <c r="J21582" t="s">
        <v>31</v>
      </c>
      <c r="K21582" t="s">
        <v>34626</v>
      </c>
      <c r="N21582" t="s">
        <v>81512</v>
      </c>
      <c r="O21582" t="s">
        <v>81513</v>
      </c>
      <c r="Q21582">
        <v>0</v>
      </c>
      <c r="R21582">
        <v>120</v>
      </c>
      <c r="S21582">
        <v>0</v>
      </c>
      <c r="T21582" t="s">
        <v>81514</v>
      </c>
    </row>
    <row r="21583" spans="1:20" customFormat="1" ht="15" x14ac:dyDescent="0.25">
      <c r="A21583" t="s">
        <v>24</v>
      </c>
      <c r="B21583" t="s">
        <v>805</v>
      </c>
      <c r="C21583" t="str">
        <f>"57213"</f>
        <v>57213</v>
      </c>
      <c r="D21583" t="s">
        <v>81515</v>
      </c>
      <c r="E21583" t="s">
        <v>81516</v>
      </c>
      <c r="F21583" t="s">
        <v>81517</v>
      </c>
      <c r="G21583" t="s">
        <v>846</v>
      </c>
      <c r="H21583">
        <v>30341</v>
      </c>
      <c r="I21583" t="s">
        <v>30</v>
      </c>
      <c r="J21583" t="s">
        <v>31</v>
      </c>
      <c r="K21583" t="s">
        <v>34626</v>
      </c>
      <c r="N21583" t="s">
        <v>81518</v>
      </c>
      <c r="O21583" t="s">
        <v>81502</v>
      </c>
      <c r="Q21583">
        <v>0</v>
      </c>
      <c r="R21583">
        <v>144</v>
      </c>
      <c r="S21583">
        <v>0</v>
      </c>
      <c r="T21583" t="s">
        <v>81519</v>
      </c>
    </row>
    <row r="21584" spans="1:20" customFormat="1" ht="15" x14ac:dyDescent="0.25">
      <c r="A21584" t="s">
        <v>24</v>
      </c>
      <c r="B21584" t="s">
        <v>805</v>
      </c>
      <c r="C21584" t="str">
        <f>"SC085"</f>
        <v>SC085</v>
      </c>
      <c r="D21584" t="s">
        <v>81520</v>
      </c>
      <c r="E21584" t="s">
        <v>81521</v>
      </c>
      <c r="F21584" t="s">
        <v>63841</v>
      </c>
      <c r="G21584" t="s">
        <v>117</v>
      </c>
      <c r="H21584">
        <v>48326</v>
      </c>
      <c r="I21584" t="s">
        <v>30</v>
      </c>
      <c r="J21584" t="s">
        <v>31</v>
      </c>
      <c r="K21584" t="s">
        <v>34626</v>
      </c>
      <c r="N21584" t="s">
        <v>81522</v>
      </c>
      <c r="O21584" t="s">
        <v>81523</v>
      </c>
      <c r="Q21584">
        <v>0</v>
      </c>
      <c r="R21584">
        <v>118</v>
      </c>
      <c r="S21584">
        <v>0</v>
      </c>
      <c r="T21584" t="s">
        <v>81524</v>
      </c>
    </row>
    <row r="21585" spans="1:20" customFormat="1" ht="15" x14ac:dyDescent="0.25">
      <c r="A21585" t="s">
        <v>24</v>
      </c>
      <c r="B21585" t="s">
        <v>805</v>
      </c>
      <c r="C21585" t="str">
        <f>"57147"</f>
        <v>57147</v>
      </c>
      <c r="D21585" t="s">
        <v>81525</v>
      </c>
      <c r="E21585" t="s">
        <v>81526</v>
      </c>
      <c r="F21585" t="s">
        <v>2531</v>
      </c>
      <c r="G21585" t="s">
        <v>123</v>
      </c>
      <c r="H21585">
        <v>21090</v>
      </c>
      <c r="I21585" t="s">
        <v>30</v>
      </c>
      <c r="J21585" t="s">
        <v>31</v>
      </c>
      <c r="K21585" t="s">
        <v>34626</v>
      </c>
      <c r="N21585" t="s">
        <v>59675</v>
      </c>
      <c r="O21585" t="s">
        <v>81527</v>
      </c>
      <c r="Q21585">
        <v>0</v>
      </c>
      <c r="R21585">
        <v>136</v>
      </c>
      <c r="S21585">
        <v>0</v>
      </c>
      <c r="T21585" t="s">
        <v>81528</v>
      </c>
    </row>
    <row r="21586" spans="1:20" customFormat="1" ht="15" x14ac:dyDescent="0.25">
      <c r="A21586" t="s">
        <v>24</v>
      </c>
      <c r="B21586" t="s">
        <v>805</v>
      </c>
      <c r="C21586" t="str">
        <f>"57242"</f>
        <v>57242</v>
      </c>
      <c r="D21586" t="s">
        <v>81529</v>
      </c>
      <c r="E21586" t="s">
        <v>81530</v>
      </c>
      <c r="F21586" t="s">
        <v>5706</v>
      </c>
      <c r="G21586" t="s">
        <v>1706</v>
      </c>
      <c r="H21586">
        <v>35209</v>
      </c>
      <c r="I21586" t="s">
        <v>30</v>
      </c>
      <c r="J21586" t="s">
        <v>31</v>
      </c>
      <c r="K21586" t="s">
        <v>34626</v>
      </c>
      <c r="N21586" t="s">
        <v>81531</v>
      </c>
      <c r="O21586" t="s">
        <v>81532</v>
      </c>
      <c r="Q21586">
        <v>0</v>
      </c>
      <c r="R21586">
        <v>120</v>
      </c>
      <c r="S21586">
        <v>0</v>
      </c>
      <c r="T21586" t="s">
        <v>81533</v>
      </c>
    </row>
    <row r="21587" spans="1:20" customFormat="1" ht="15" x14ac:dyDescent="0.25">
      <c r="A21587" t="s">
        <v>24</v>
      </c>
      <c r="B21587" t="s">
        <v>805</v>
      </c>
      <c r="C21587" t="str">
        <f>"57224"</f>
        <v>57224</v>
      </c>
      <c r="D21587" t="s">
        <v>81534</v>
      </c>
      <c r="E21587" t="s">
        <v>81535</v>
      </c>
      <c r="F21587" t="s">
        <v>5706</v>
      </c>
      <c r="G21587" t="s">
        <v>1706</v>
      </c>
      <c r="H21587">
        <v>35242</v>
      </c>
      <c r="I21587" t="s">
        <v>30</v>
      </c>
      <c r="J21587" t="s">
        <v>31</v>
      </c>
      <c r="K21587" t="s">
        <v>34626</v>
      </c>
      <c r="N21587" t="s">
        <v>34862</v>
      </c>
      <c r="O21587" t="s">
        <v>81536</v>
      </c>
      <c r="Q21587">
        <v>0</v>
      </c>
      <c r="R21587">
        <v>128</v>
      </c>
      <c r="S21587">
        <v>0</v>
      </c>
      <c r="T21587" t="s">
        <v>81537</v>
      </c>
    </row>
    <row r="21588" spans="1:20" customFormat="1" ht="15" x14ac:dyDescent="0.25">
      <c r="A21588" t="s">
        <v>24</v>
      </c>
      <c r="B21588" t="s">
        <v>805</v>
      </c>
      <c r="C21588" t="str">
        <f>"57126"</f>
        <v>57126</v>
      </c>
      <c r="D21588" t="s">
        <v>81538</v>
      </c>
      <c r="E21588" t="s">
        <v>81539</v>
      </c>
      <c r="F21588" t="s">
        <v>59785</v>
      </c>
      <c r="G21588" t="s">
        <v>899</v>
      </c>
      <c r="H21588">
        <v>1581</v>
      </c>
      <c r="I21588" t="s">
        <v>30</v>
      </c>
      <c r="J21588" t="s">
        <v>31</v>
      </c>
      <c r="K21588" t="s">
        <v>34626</v>
      </c>
      <c r="N21588" t="s">
        <v>81540</v>
      </c>
      <c r="O21588" t="s">
        <v>81541</v>
      </c>
      <c r="Q21588">
        <v>0</v>
      </c>
      <c r="R21588">
        <v>109</v>
      </c>
      <c r="S21588">
        <v>0</v>
      </c>
      <c r="T21588" t="s">
        <v>81542</v>
      </c>
    </row>
    <row r="21589" spans="1:20" customFormat="1" ht="15" x14ac:dyDescent="0.25">
      <c r="A21589" t="s">
        <v>24</v>
      </c>
      <c r="B21589" t="s">
        <v>805</v>
      </c>
      <c r="C21589" t="str">
        <f>"SC081"</f>
        <v>SC081</v>
      </c>
      <c r="D21589" t="s">
        <v>81543</v>
      </c>
      <c r="E21589" t="s">
        <v>81544</v>
      </c>
      <c r="F21589" t="s">
        <v>2390</v>
      </c>
      <c r="G21589" t="s">
        <v>899</v>
      </c>
      <c r="H21589">
        <v>1803</v>
      </c>
      <c r="I21589" t="s">
        <v>30</v>
      </c>
      <c r="J21589" t="s">
        <v>31</v>
      </c>
      <c r="K21589" t="s">
        <v>34626</v>
      </c>
      <c r="N21589" t="s">
        <v>81545</v>
      </c>
      <c r="O21589" t="s">
        <v>81546</v>
      </c>
      <c r="Q21589">
        <v>0</v>
      </c>
      <c r="R21589">
        <v>141</v>
      </c>
      <c r="S21589">
        <v>0</v>
      </c>
      <c r="T21589" t="s">
        <v>81547</v>
      </c>
    </row>
    <row r="21590" spans="1:20" customFormat="1" ht="15" x14ac:dyDescent="0.25">
      <c r="A21590" t="s">
        <v>24</v>
      </c>
      <c r="B21590" t="s">
        <v>805</v>
      </c>
      <c r="C21590" t="str">
        <f>"56810"</f>
        <v>56810</v>
      </c>
      <c r="D21590" t="s">
        <v>81548</v>
      </c>
      <c r="E21590" t="s">
        <v>81549</v>
      </c>
      <c r="F21590" t="s">
        <v>765</v>
      </c>
      <c r="G21590" t="s">
        <v>2391</v>
      </c>
      <c r="H21590">
        <v>5495</v>
      </c>
      <c r="I21590" t="s">
        <v>30</v>
      </c>
      <c r="J21590" t="s">
        <v>31</v>
      </c>
      <c r="K21590" t="s">
        <v>34626</v>
      </c>
      <c r="N21590" t="s">
        <v>81550</v>
      </c>
      <c r="O21590" t="s">
        <v>81551</v>
      </c>
      <c r="Q21590">
        <v>0</v>
      </c>
      <c r="R21590">
        <v>96</v>
      </c>
      <c r="S21590">
        <v>0</v>
      </c>
      <c r="T21590" t="s">
        <v>81552</v>
      </c>
    </row>
    <row r="21591" spans="1:20" customFormat="1" ht="15" x14ac:dyDescent="0.25">
      <c r="A21591" t="s">
        <v>24</v>
      </c>
      <c r="B21591" t="s">
        <v>805</v>
      </c>
      <c r="C21591" t="str">
        <f>"57424"</f>
        <v>57424</v>
      </c>
      <c r="D21591" t="s">
        <v>81553</v>
      </c>
      <c r="E21591" t="s">
        <v>81554</v>
      </c>
      <c r="F21591" t="s">
        <v>2978</v>
      </c>
      <c r="G21591" t="s">
        <v>110</v>
      </c>
      <c r="H21591">
        <v>92128</v>
      </c>
      <c r="I21591" t="s">
        <v>30</v>
      </c>
      <c r="J21591" t="s">
        <v>31</v>
      </c>
      <c r="K21591" t="s">
        <v>34626</v>
      </c>
      <c r="N21591" t="s">
        <v>57085</v>
      </c>
      <c r="O21591" t="s">
        <v>81555</v>
      </c>
      <c r="Q21591">
        <v>0</v>
      </c>
      <c r="R21591">
        <v>123</v>
      </c>
      <c r="S21591">
        <v>0</v>
      </c>
      <c r="T21591" t="s">
        <v>81556</v>
      </c>
    </row>
    <row r="21592" spans="1:20" customFormat="1" ht="15" x14ac:dyDescent="0.25">
      <c r="A21592" t="s">
        <v>24</v>
      </c>
      <c r="B21592" t="s">
        <v>805</v>
      </c>
      <c r="C21592" t="str">
        <f>"57155"</f>
        <v>57155</v>
      </c>
      <c r="D21592" t="s">
        <v>81557</v>
      </c>
      <c r="E21592" t="s">
        <v>81558</v>
      </c>
      <c r="F21592" t="s">
        <v>5369</v>
      </c>
      <c r="G21592" t="s">
        <v>507</v>
      </c>
      <c r="H21592">
        <v>25311</v>
      </c>
      <c r="I21592" t="s">
        <v>30</v>
      </c>
      <c r="J21592" t="s">
        <v>31</v>
      </c>
      <c r="K21592" t="s">
        <v>34626</v>
      </c>
      <c r="N21592" t="s">
        <v>81559</v>
      </c>
      <c r="O21592" t="s">
        <v>81560</v>
      </c>
      <c r="Q21592">
        <v>0</v>
      </c>
      <c r="R21592">
        <v>108</v>
      </c>
      <c r="S21592">
        <v>0</v>
      </c>
      <c r="T21592" t="s">
        <v>81561</v>
      </c>
    </row>
    <row r="21593" spans="1:20" customFormat="1" ht="15" x14ac:dyDescent="0.25">
      <c r="A21593" t="s">
        <v>24</v>
      </c>
      <c r="B21593" t="s">
        <v>805</v>
      </c>
      <c r="C21593" t="str">
        <f>"SC093"</f>
        <v>SC093</v>
      </c>
      <c r="D21593" t="s">
        <v>81562</v>
      </c>
      <c r="E21593" t="s">
        <v>81563</v>
      </c>
      <c r="F21593" t="s">
        <v>242</v>
      </c>
      <c r="G21593" t="s">
        <v>214</v>
      </c>
      <c r="H21593">
        <v>28273</v>
      </c>
      <c r="I21593" t="s">
        <v>30</v>
      </c>
      <c r="J21593" t="s">
        <v>31</v>
      </c>
      <c r="K21593" t="s">
        <v>34626</v>
      </c>
      <c r="N21593" t="s">
        <v>34926</v>
      </c>
      <c r="O21593" t="s">
        <v>81564</v>
      </c>
      <c r="Q21593">
        <v>0</v>
      </c>
      <c r="R21593">
        <v>119</v>
      </c>
      <c r="S21593">
        <v>0</v>
      </c>
      <c r="T21593" t="s">
        <v>81565</v>
      </c>
    </row>
    <row r="21594" spans="1:20" customFormat="1" ht="15" x14ac:dyDescent="0.25">
      <c r="A21594" t="s">
        <v>24</v>
      </c>
      <c r="B21594" t="s">
        <v>805</v>
      </c>
      <c r="C21594" t="str">
        <f>"57145"</f>
        <v>57145</v>
      </c>
      <c r="D21594" t="s">
        <v>81566</v>
      </c>
      <c r="E21594" t="s">
        <v>81567</v>
      </c>
      <c r="F21594" t="s">
        <v>3401</v>
      </c>
      <c r="G21594" t="s">
        <v>29</v>
      </c>
      <c r="H21594">
        <v>22903</v>
      </c>
      <c r="I21594" t="s">
        <v>30</v>
      </c>
      <c r="J21594" t="s">
        <v>31</v>
      </c>
      <c r="K21594" t="s">
        <v>34626</v>
      </c>
      <c r="N21594" t="s">
        <v>81568</v>
      </c>
      <c r="Q21594">
        <v>0</v>
      </c>
      <c r="R21594">
        <v>108</v>
      </c>
      <c r="S21594">
        <v>0</v>
      </c>
      <c r="T21594" t="s">
        <v>81569</v>
      </c>
    </row>
    <row r="21595" spans="1:20" customFormat="1" ht="15" x14ac:dyDescent="0.25">
      <c r="A21595" t="s">
        <v>24</v>
      </c>
      <c r="B21595" t="s">
        <v>805</v>
      </c>
      <c r="C21595" t="str">
        <f>"57135"</f>
        <v>57135</v>
      </c>
      <c r="D21595" t="s">
        <v>81570</v>
      </c>
      <c r="E21595" t="s">
        <v>81571</v>
      </c>
      <c r="F21595" t="s">
        <v>716</v>
      </c>
      <c r="G21595" t="s">
        <v>289</v>
      </c>
      <c r="H21595">
        <v>60611</v>
      </c>
      <c r="I21595" t="s">
        <v>30</v>
      </c>
      <c r="J21595" t="s">
        <v>31</v>
      </c>
      <c r="K21595" t="s">
        <v>34626</v>
      </c>
      <c r="N21595" t="s">
        <v>81572</v>
      </c>
      <c r="O21595" t="s">
        <v>3486</v>
      </c>
      <c r="Q21595">
        <v>0</v>
      </c>
      <c r="R21595">
        <v>221</v>
      </c>
      <c r="S21595">
        <v>0</v>
      </c>
      <c r="T21595" t="s">
        <v>81573</v>
      </c>
    </row>
    <row r="21596" spans="1:20" customFormat="1" ht="15" x14ac:dyDescent="0.25">
      <c r="A21596" t="s">
        <v>24</v>
      </c>
      <c r="B21596" t="s">
        <v>805</v>
      </c>
      <c r="C21596" t="str">
        <f>"57102"</f>
        <v>57102</v>
      </c>
      <c r="D21596" t="s">
        <v>81574</v>
      </c>
      <c r="E21596" t="s">
        <v>81575</v>
      </c>
      <c r="F21596" t="s">
        <v>6698</v>
      </c>
      <c r="G21596" t="s">
        <v>289</v>
      </c>
      <c r="H21596">
        <v>60148</v>
      </c>
      <c r="I21596" t="s">
        <v>30</v>
      </c>
      <c r="J21596" t="s">
        <v>31</v>
      </c>
      <c r="K21596" t="s">
        <v>34626</v>
      </c>
      <c r="N21596" t="s">
        <v>81576</v>
      </c>
      <c r="O21596" t="s">
        <v>81577</v>
      </c>
      <c r="Q21596">
        <v>0</v>
      </c>
      <c r="R21596">
        <v>144</v>
      </c>
      <c r="S21596">
        <v>0</v>
      </c>
      <c r="T21596" t="s">
        <v>81578</v>
      </c>
    </row>
    <row r="21597" spans="1:20" customFormat="1" ht="15" x14ac:dyDescent="0.25">
      <c r="A21597" t="s">
        <v>24</v>
      </c>
      <c r="B21597" t="s">
        <v>805</v>
      </c>
      <c r="C21597" t="str">
        <f>"57152"</f>
        <v>57152</v>
      </c>
      <c r="D21597" t="s">
        <v>81579</v>
      </c>
      <c r="E21597" t="s">
        <v>81580</v>
      </c>
      <c r="F21597" t="s">
        <v>35010</v>
      </c>
      <c r="G21597" t="s">
        <v>289</v>
      </c>
      <c r="H21597">
        <v>60085</v>
      </c>
      <c r="I21597" t="s">
        <v>30</v>
      </c>
      <c r="J21597" t="s">
        <v>31</v>
      </c>
      <c r="K21597" t="s">
        <v>34626</v>
      </c>
      <c r="N21597" t="s">
        <v>81581</v>
      </c>
      <c r="O21597" t="s">
        <v>81582</v>
      </c>
      <c r="Q21597">
        <v>0</v>
      </c>
      <c r="R21597">
        <v>126</v>
      </c>
      <c r="S21597">
        <v>0</v>
      </c>
      <c r="T21597" t="s">
        <v>81583</v>
      </c>
    </row>
    <row r="21598" spans="1:20" customFormat="1" ht="15" x14ac:dyDescent="0.25">
      <c r="A21598" t="s">
        <v>24</v>
      </c>
      <c r="B21598" t="s">
        <v>805</v>
      </c>
      <c r="C21598" t="str">
        <f>"A0056068"</f>
        <v>A0056068</v>
      </c>
      <c r="D21598" t="s">
        <v>81584</v>
      </c>
      <c r="E21598" t="s">
        <v>81585</v>
      </c>
      <c r="F21598" t="s">
        <v>13716</v>
      </c>
      <c r="G21598" t="s">
        <v>65</v>
      </c>
      <c r="H21598">
        <v>45241</v>
      </c>
      <c r="I21598" t="s">
        <v>30</v>
      </c>
      <c r="J21598" t="s">
        <v>31</v>
      </c>
      <c r="K21598" t="s">
        <v>34626</v>
      </c>
      <c r="N21598" t="s">
        <v>81586</v>
      </c>
      <c r="O21598" t="s">
        <v>81587</v>
      </c>
      <c r="Q21598">
        <v>0</v>
      </c>
      <c r="R21598">
        <v>111</v>
      </c>
      <c r="S21598">
        <v>0</v>
      </c>
      <c r="T21598" t="s">
        <v>81588</v>
      </c>
    </row>
    <row r="21599" spans="1:20" customFormat="1" ht="15" x14ac:dyDescent="0.25">
      <c r="A21599" t="s">
        <v>24</v>
      </c>
      <c r="B21599" t="s">
        <v>805</v>
      </c>
      <c r="C21599" t="str">
        <f>"57232"</f>
        <v>57232</v>
      </c>
      <c r="D21599" t="s">
        <v>81589</v>
      </c>
      <c r="E21599" t="s">
        <v>81590</v>
      </c>
      <c r="F21599" t="s">
        <v>59731</v>
      </c>
      <c r="G21599" t="s">
        <v>65</v>
      </c>
      <c r="H21599">
        <v>45241</v>
      </c>
      <c r="I21599" t="s">
        <v>30</v>
      </c>
      <c r="J21599" t="s">
        <v>31</v>
      </c>
      <c r="K21599" t="s">
        <v>34626</v>
      </c>
      <c r="N21599" t="s">
        <v>81591</v>
      </c>
      <c r="O21599" t="s">
        <v>81577</v>
      </c>
      <c r="Q21599">
        <v>0</v>
      </c>
      <c r="R21599">
        <v>118</v>
      </c>
      <c r="S21599">
        <v>0</v>
      </c>
      <c r="T21599" t="s">
        <v>81592</v>
      </c>
    </row>
    <row r="21600" spans="1:20" customFormat="1" ht="15" x14ac:dyDescent="0.25">
      <c r="A21600" t="s">
        <v>24</v>
      </c>
      <c r="B21600" t="s">
        <v>805</v>
      </c>
      <c r="C21600" t="str">
        <f>"57204"</f>
        <v>57204</v>
      </c>
      <c r="D21600" t="s">
        <v>81593</v>
      </c>
      <c r="E21600" t="s">
        <v>81594</v>
      </c>
      <c r="F21600" t="s">
        <v>13716</v>
      </c>
      <c r="G21600" t="s">
        <v>65</v>
      </c>
      <c r="H21600">
        <v>45246</v>
      </c>
      <c r="I21600" t="s">
        <v>30</v>
      </c>
      <c r="J21600" t="s">
        <v>31</v>
      </c>
      <c r="K21600" t="s">
        <v>34626</v>
      </c>
      <c r="N21600" t="s">
        <v>81595</v>
      </c>
      <c r="O21600" t="s">
        <v>81596</v>
      </c>
      <c r="Q21600">
        <v>0</v>
      </c>
      <c r="R21600">
        <v>144</v>
      </c>
      <c r="S21600">
        <v>0</v>
      </c>
      <c r="T21600" t="s">
        <v>81597</v>
      </c>
    </row>
    <row r="21601" spans="1:20" customFormat="1" ht="15" x14ac:dyDescent="0.25">
      <c r="A21601" t="s">
        <v>24</v>
      </c>
      <c r="B21601" t="s">
        <v>805</v>
      </c>
      <c r="C21601" t="str">
        <f>"A0092315"</f>
        <v>A0092315</v>
      </c>
      <c r="D21601" t="s">
        <v>81598</v>
      </c>
      <c r="E21601" t="s">
        <v>81599</v>
      </c>
      <c r="F21601" t="s">
        <v>3272</v>
      </c>
      <c r="G21601" t="s">
        <v>65</v>
      </c>
      <c r="H21601">
        <v>44130</v>
      </c>
      <c r="I21601" t="s">
        <v>30</v>
      </c>
      <c r="J21601" t="s">
        <v>31</v>
      </c>
      <c r="K21601" t="s">
        <v>34626</v>
      </c>
      <c r="N21601" t="s">
        <v>81600</v>
      </c>
      <c r="Q21601">
        <v>0</v>
      </c>
      <c r="R21601">
        <v>158</v>
      </c>
      <c r="S21601">
        <v>0</v>
      </c>
      <c r="T21601" t="s">
        <v>81601</v>
      </c>
    </row>
    <row r="21602" spans="1:20" customFormat="1" ht="15" x14ac:dyDescent="0.25">
      <c r="A21602" t="s">
        <v>24</v>
      </c>
      <c r="B21602" t="s">
        <v>805</v>
      </c>
      <c r="C21602" t="str">
        <f>"56814"</f>
        <v>56814</v>
      </c>
      <c r="D21602" t="s">
        <v>81602</v>
      </c>
      <c r="E21602" t="s">
        <v>81603</v>
      </c>
      <c r="F21602" t="s">
        <v>6883</v>
      </c>
      <c r="G21602" t="s">
        <v>65</v>
      </c>
      <c r="H21602">
        <v>44145</v>
      </c>
      <c r="I21602" t="s">
        <v>30</v>
      </c>
      <c r="J21602" t="s">
        <v>31</v>
      </c>
      <c r="K21602" t="s">
        <v>34626</v>
      </c>
      <c r="N21602" t="s">
        <v>81604</v>
      </c>
      <c r="O21602" t="s">
        <v>81605</v>
      </c>
      <c r="Q21602">
        <v>0</v>
      </c>
      <c r="R21602">
        <v>104</v>
      </c>
      <c r="S21602">
        <v>0</v>
      </c>
      <c r="T21602" t="s">
        <v>81606</v>
      </c>
    </row>
    <row r="21603" spans="1:20" customFormat="1" ht="15" x14ac:dyDescent="0.25">
      <c r="A21603" t="s">
        <v>24</v>
      </c>
      <c r="B21603" t="s">
        <v>805</v>
      </c>
      <c r="C21603" t="str">
        <f>"56949"</f>
        <v>56949</v>
      </c>
      <c r="D21603" t="s">
        <v>81607</v>
      </c>
      <c r="E21603" t="s">
        <v>81608</v>
      </c>
      <c r="F21603" t="s">
        <v>1858</v>
      </c>
      <c r="G21603" t="s">
        <v>190</v>
      </c>
      <c r="H21603">
        <v>80917</v>
      </c>
      <c r="I21603" t="s">
        <v>30</v>
      </c>
      <c r="J21603" t="s">
        <v>31</v>
      </c>
      <c r="K21603" t="s">
        <v>34626</v>
      </c>
      <c r="N21603" t="s">
        <v>81609</v>
      </c>
      <c r="Q21603">
        <v>0</v>
      </c>
      <c r="R21603">
        <v>96</v>
      </c>
      <c r="S21603">
        <v>0</v>
      </c>
      <c r="T21603" t="s">
        <v>81610</v>
      </c>
    </row>
    <row r="21604" spans="1:20" customFormat="1" ht="15" x14ac:dyDescent="0.25">
      <c r="A21604" t="s">
        <v>24</v>
      </c>
      <c r="B21604" t="s">
        <v>805</v>
      </c>
      <c r="C21604" t="str">
        <f>"SC084"</f>
        <v>SC084</v>
      </c>
      <c r="D21604" t="s">
        <v>81611</v>
      </c>
      <c r="E21604" t="s">
        <v>81612</v>
      </c>
      <c r="F21604" t="s">
        <v>4909</v>
      </c>
      <c r="G21604" t="s">
        <v>123</v>
      </c>
      <c r="H21604">
        <v>21045</v>
      </c>
      <c r="I21604" t="s">
        <v>30</v>
      </c>
      <c r="J21604" t="s">
        <v>31</v>
      </c>
      <c r="K21604" t="s">
        <v>34626</v>
      </c>
      <c r="N21604" t="s">
        <v>81613</v>
      </c>
      <c r="Q21604">
        <v>0</v>
      </c>
      <c r="R21604">
        <v>118</v>
      </c>
      <c r="S21604">
        <v>0</v>
      </c>
      <c r="T21604" t="s">
        <v>81614</v>
      </c>
    </row>
    <row r="21605" spans="1:20" customFormat="1" ht="15" x14ac:dyDescent="0.25">
      <c r="A21605" t="s">
        <v>24</v>
      </c>
      <c r="B21605" t="s">
        <v>805</v>
      </c>
      <c r="C21605" t="str">
        <f>"57315"</f>
        <v>57315</v>
      </c>
      <c r="D21605" t="s">
        <v>81615</v>
      </c>
      <c r="E21605" t="s">
        <v>81616</v>
      </c>
      <c r="F21605" t="s">
        <v>2094</v>
      </c>
      <c r="G21605" t="s">
        <v>52</v>
      </c>
      <c r="H21605">
        <v>75231</v>
      </c>
      <c r="I21605" t="s">
        <v>30</v>
      </c>
      <c r="J21605" t="s">
        <v>31</v>
      </c>
      <c r="K21605" t="s">
        <v>34626</v>
      </c>
      <c r="N21605" t="s">
        <v>81617</v>
      </c>
      <c r="O21605" t="s">
        <v>81618</v>
      </c>
      <c r="Q21605">
        <v>0</v>
      </c>
      <c r="R21605">
        <v>103</v>
      </c>
      <c r="S21605">
        <v>0</v>
      </c>
      <c r="T21605" t="s">
        <v>81619</v>
      </c>
    </row>
    <row r="21606" spans="1:20" customFormat="1" ht="15" x14ac:dyDescent="0.25">
      <c r="A21606" t="s">
        <v>24</v>
      </c>
      <c r="B21606" t="s">
        <v>805</v>
      </c>
      <c r="C21606" t="str">
        <f>"57312"</f>
        <v>57312</v>
      </c>
      <c r="D21606" t="s">
        <v>81620</v>
      </c>
      <c r="E21606" t="s">
        <v>81621</v>
      </c>
      <c r="F21606" t="s">
        <v>2094</v>
      </c>
      <c r="G21606" t="s">
        <v>52</v>
      </c>
      <c r="H21606">
        <v>75247</v>
      </c>
      <c r="I21606" t="s">
        <v>30</v>
      </c>
      <c r="J21606" t="s">
        <v>31</v>
      </c>
      <c r="K21606" t="s">
        <v>34626</v>
      </c>
      <c r="N21606" t="s">
        <v>81622</v>
      </c>
      <c r="O21606" t="s">
        <v>59567</v>
      </c>
      <c r="Q21606">
        <v>0</v>
      </c>
      <c r="R21606">
        <v>142</v>
      </c>
      <c r="S21606">
        <v>0</v>
      </c>
      <c r="T21606" t="s">
        <v>81623</v>
      </c>
    </row>
    <row r="21607" spans="1:20" customFormat="1" ht="15" x14ac:dyDescent="0.25">
      <c r="A21607" t="s">
        <v>24</v>
      </c>
      <c r="B21607" t="s">
        <v>805</v>
      </c>
      <c r="C21607" t="str">
        <f>"57322"</f>
        <v>57322</v>
      </c>
      <c r="D21607" t="s">
        <v>81624</v>
      </c>
      <c r="E21607" t="s">
        <v>81625</v>
      </c>
      <c r="F21607" t="s">
        <v>10779</v>
      </c>
      <c r="G21607" t="s">
        <v>52</v>
      </c>
      <c r="H21607">
        <v>75082</v>
      </c>
      <c r="I21607" t="s">
        <v>30</v>
      </c>
      <c r="J21607" t="s">
        <v>31</v>
      </c>
      <c r="K21607" t="s">
        <v>34626</v>
      </c>
      <c r="N21607" t="s">
        <v>81626</v>
      </c>
      <c r="O21607" t="s">
        <v>81627</v>
      </c>
      <c r="Q21607">
        <v>0</v>
      </c>
      <c r="R21607">
        <v>120</v>
      </c>
      <c r="S21607">
        <v>0</v>
      </c>
      <c r="T21607" t="s">
        <v>81628</v>
      </c>
    </row>
    <row r="21608" spans="1:20" customFormat="1" ht="15" x14ac:dyDescent="0.25">
      <c r="A21608" t="s">
        <v>24</v>
      </c>
      <c r="B21608" t="s">
        <v>805</v>
      </c>
      <c r="C21608" t="str">
        <f>"57128"</f>
        <v>57128</v>
      </c>
      <c r="D21608" t="s">
        <v>81629</v>
      </c>
      <c r="E21608" t="s">
        <v>81630</v>
      </c>
      <c r="F21608" t="s">
        <v>34946</v>
      </c>
      <c r="G21608" t="s">
        <v>117</v>
      </c>
      <c r="H21608">
        <v>48093</v>
      </c>
      <c r="I21608" t="s">
        <v>30</v>
      </c>
      <c r="J21608" t="s">
        <v>31</v>
      </c>
      <c r="K21608" t="s">
        <v>34626</v>
      </c>
      <c r="N21608" t="s">
        <v>81631</v>
      </c>
      <c r="O21608" t="s">
        <v>81632</v>
      </c>
      <c r="Q21608">
        <v>0</v>
      </c>
      <c r="R21608">
        <v>133</v>
      </c>
      <c r="S21608">
        <v>0</v>
      </c>
      <c r="T21608" t="s">
        <v>81633</v>
      </c>
    </row>
    <row r="21609" spans="1:20" customFormat="1" ht="15" x14ac:dyDescent="0.25">
      <c r="A21609" t="s">
        <v>24</v>
      </c>
      <c r="B21609" t="s">
        <v>805</v>
      </c>
      <c r="C21609" t="str">
        <f>"57237"</f>
        <v>57237</v>
      </c>
      <c r="D21609" t="s">
        <v>81634</v>
      </c>
      <c r="E21609" t="s">
        <v>81635</v>
      </c>
      <c r="F21609" t="s">
        <v>8225</v>
      </c>
      <c r="G21609" t="s">
        <v>65</v>
      </c>
      <c r="H21609">
        <v>43017</v>
      </c>
      <c r="I21609" t="s">
        <v>30</v>
      </c>
      <c r="J21609" t="s">
        <v>31</v>
      </c>
      <c r="K21609" t="s">
        <v>34626</v>
      </c>
      <c r="N21609" t="s">
        <v>81636</v>
      </c>
      <c r="Q21609">
        <v>0</v>
      </c>
      <c r="R21609">
        <v>106</v>
      </c>
      <c r="S21609">
        <v>0</v>
      </c>
      <c r="T21609" t="s">
        <v>81637</v>
      </c>
    </row>
    <row r="21610" spans="1:20" customFormat="1" ht="15" x14ac:dyDescent="0.25">
      <c r="A21610" t="s">
        <v>24</v>
      </c>
      <c r="B21610" t="s">
        <v>805</v>
      </c>
      <c r="C21610" t="str">
        <f>"57144"</f>
        <v>57144</v>
      </c>
      <c r="D21610" t="s">
        <v>81638</v>
      </c>
      <c r="E21610" t="s">
        <v>81639</v>
      </c>
      <c r="F21610" t="s">
        <v>12811</v>
      </c>
      <c r="G21610" t="s">
        <v>29</v>
      </c>
      <c r="H21610">
        <v>22033</v>
      </c>
      <c r="I21610" t="s">
        <v>30</v>
      </c>
      <c r="J21610" t="s">
        <v>31</v>
      </c>
      <c r="K21610" t="s">
        <v>34626</v>
      </c>
      <c r="N21610" t="s">
        <v>81640</v>
      </c>
      <c r="O21610" t="s">
        <v>81641</v>
      </c>
      <c r="Q21610">
        <v>0</v>
      </c>
      <c r="R21610">
        <v>114</v>
      </c>
      <c r="S21610">
        <v>0</v>
      </c>
      <c r="T21610" t="s">
        <v>81642</v>
      </c>
    </row>
    <row r="21611" spans="1:20" customFormat="1" ht="15" x14ac:dyDescent="0.25">
      <c r="A21611" t="s">
        <v>24</v>
      </c>
      <c r="B21611" t="s">
        <v>805</v>
      </c>
      <c r="C21611" t="str">
        <f>"57429"</f>
        <v>57429</v>
      </c>
      <c r="D21611" t="s">
        <v>81643</v>
      </c>
      <c r="E21611" t="s">
        <v>81644</v>
      </c>
      <c r="F21611" t="s">
        <v>1513</v>
      </c>
      <c r="G21611" t="s">
        <v>197</v>
      </c>
      <c r="H21611">
        <v>86004</v>
      </c>
      <c r="I21611" t="s">
        <v>30</v>
      </c>
      <c r="J21611" t="s">
        <v>31</v>
      </c>
      <c r="K21611" t="s">
        <v>34626</v>
      </c>
      <c r="N21611" t="s">
        <v>81645</v>
      </c>
      <c r="Q21611">
        <v>0</v>
      </c>
      <c r="R21611">
        <v>102</v>
      </c>
      <c r="S21611">
        <v>0</v>
      </c>
      <c r="T21611" t="s">
        <v>81646</v>
      </c>
    </row>
    <row r="21612" spans="1:20" customFormat="1" ht="15" x14ac:dyDescent="0.25">
      <c r="A21612" t="s">
        <v>24</v>
      </c>
      <c r="B21612" t="s">
        <v>805</v>
      </c>
      <c r="C21612" t="str">
        <f>"57319"</f>
        <v>57319</v>
      </c>
      <c r="D21612" t="s">
        <v>81647</v>
      </c>
      <c r="E21612" t="s">
        <v>81648</v>
      </c>
      <c r="F21612" t="s">
        <v>3505</v>
      </c>
      <c r="G21612" t="s">
        <v>52</v>
      </c>
      <c r="H21612">
        <v>76137</v>
      </c>
      <c r="I21612" t="s">
        <v>30</v>
      </c>
      <c r="J21612" t="s">
        <v>31</v>
      </c>
      <c r="K21612" t="s">
        <v>34626</v>
      </c>
      <c r="N21612" t="s">
        <v>81649</v>
      </c>
      <c r="O21612" t="s">
        <v>3486</v>
      </c>
      <c r="Q21612">
        <v>0</v>
      </c>
      <c r="R21612">
        <v>114</v>
      </c>
      <c r="S21612">
        <v>0</v>
      </c>
      <c r="T21612" t="s">
        <v>81650</v>
      </c>
    </row>
    <row r="21613" spans="1:20" customFormat="1" ht="15" x14ac:dyDescent="0.25">
      <c r="A21613" t="s">
        <v>24</v>
      </c>
      <c r="B21613" t="s">
        <v>805</v>
      </c>
      <c r="C21613" t="str">
        <f>"57430"</f>
        <v>57430</v>
      </c>
      <c r="D21613" t="s">
        <v>81651</v>
      </c>
      <c r="E21613" t="s">
        <v>81652</v>
      </c>
      <c r="F21613" t="s">
        <v>14614</v>
      </c>
      <c r="G21613" t="s">
        <v>110</v>
      </c>
      <c r="H21613">
        <v>93710</v>
      </c>
      <c r="I21613" t="s">
        <v>30</v>
      </c>
      <c r="J21613" t="s">
        <v>31</v>
      </c>
      <c r="K21613" t="s">
        <v>34626</v>
      </c>
      <c r="N21613" t="s">
        <v>81653</v>
      </c>
      <c r="Q21613">
        <v>0</v>
      </c>
      <c r="R21613">
        <v>120</v>
      </c>
      <c r="S21613">
        <v>0</v>
      </c>
      <c r="T21613" t="s">
        <v>81654</v>
      </c>
    </row>
    <row r="21614" spans="1:20" customFormat="1" ht="15" x14ac:dyDescent="0.25">
      <c r="A21614" t="s">
        <v>24</v>
      </c>
      <c r="B21614" t="s">
        <v>805</v>
      </c>
      <c r="C21614" t="str">
        <f>"SC146"</f>
        <v>SC146</v>
      </c>
      <c r="D21614" t="s">
        <v>81655</v>
      </c>
      <c r="E21614" t="s">
        <v>81656</v>
      </c>
      <c r="F21614" t="s">
        <v>1564</v>
      </c>
      <c r="G21614" t="s">
        <v>52</v>
      </c>
      <c r="H21614">
        <v>77056</v>
      </c>
      <c r="I21614" t="s">
        <v>30</v>
      </c>
      <c r="J21614" t="s">
        <v>31</v>
      </c>
      <c r="K21614" t="s">
        <v>34626</v>
      </c>
      <c r="N21614" t="s">
        <v>81657</v>
      </c>
      <c r="O21614" t="s">
        <v>81658</v>
      </c>
      <c r="Q21614">
        <v>0</v>
      </c>
      <c r="R21614">
        <v>93</v>
      </c>
      <c r="S21614">
        <v>0</v>
      </c>
      <c r="T21614" t="s">
        <v>81659</v>
      </c>
    </row>
    <row r="21615" spans="1:20" customFormat="1" ht="15" x14ac:dyDescent="0.25">
      <c r="A21615" t="s">
        <v>24</v>
      </c>
      <c r="B21615" t="s">
        <v>805</v>
      </c>
      <c r="C21615" t="str">
        <f>"57313"</f>
        <v>57313</v>
      </c>
      <c r="D21615" t="s">
        <v>81660</v>
      </c>
      <c r="E21615" t="s">
        <v>81661</v>
      </c>
      <c r="F21615" t="s">
        <v>1564</v>
      </c>
      <c r="G21615" t="s">
        <v>52</v>
      </c>
      <c r="H21615">
        <v>77058</v>
      </c>
      <c r="I21615" t="s">
        <v>30</v>
      </c>
      <c r="J21615" t="s">
        <v>31</v>
      </c>
      <c r="K21615" t="s">
        <v>34626</v>
      </c>
      <c r="N21615" t="s">
        <v>81662</v>
      </c>
      <c r="O21615" t="s">
        <v>81663</v>
      </c>
      <c r="Q21615">
        <v>0</v>
      </c>
      <c r="R21615">
        <v>110</v>
      </c>
      <c r="S21615">
        <v>0</v>
      </c>
      <c r="T21615" t="s">
        <v>81664</v>
      </c>
    </row>
    <row r="21616" spans="1:20" customFormat="1" ht="15" x14ac:dyDescent="0.25">
      <c r="A21616" t="s">
        <v>24</v>
      </c>
      <c r="B21616" t="s">
        <v>805</v>
      </c>
      <c r="C21616" t="str">
        <f>"57421"</f>
        <v>57421</v>
      </c>
      <c r="D21616" t="s">
        <v>81665</v>
      </c>
      <c r="E21616" t="s">
        <v>81666</v>
      </c>
      <c r="F21616" t="s">
        <v>62429</v>
      </c>
      <c r="G21616" t="s">
        <v>110</v>
      </c>
      <c r="H21616">
        <v>92708</v>
      </c>
      <c r="I21616" t="s">
        <v>30</v>
      </c>
      <c r="J21616" t="s">
        <v>31</v>
      </c>
      <c r="K21616" t="s">
        <v>34626</v>
      </c>
      <c r="N21616" t="s">
        <v>81667</v>
      </c>
      <c r="Q21616">
        <v>0</v>
      </c>
      <c r="R21616">
        <v>122</v>
      </c>
      <c r="S21616">
        <v>0</v>
      </c>
      <c r="T21616" t="s">
        <v>81668</v>
      </c>
    </row>
    <row r="21617" spans="1:20" customFormat="1" ht="15" x14ac:dyDescent="0.25">
      <c r="A21617" t="s">
        <v>24</v>
      </c>
      <c r="B21617" t="s">
        <v>805</v>
      </c>
      <c r="C21617" t="str">
        <f>"57217"</f>
        <v>57217</v>
      </c>
      <c r="D21617" t="s">
        <v>81669</v>
      </c>
      <c r="E21617" t="s">
        <v>81670</v>
      </c>
      <c r="F21617" t="s">
        <v>2443</v>
      </c>
      <c r="G21617" t="s">
        <v>81</v>
      </c>
      <c r="H21617">
        <v>32256</v>
      </c>
      <c r="I21617" t="s">
        <v>30</v>
      </c>
      <c r="J21617" t="s">
        <v>31</v>
      </c>
      <c r="K21617" t="s">
        <v>34626</v>
      </c>
      <c r="N21617" t="s">
        <v>81671</v>
      </c>
      <c r="O21617" t="s">
        <v>81577</v>
      </c>
      <c r="Q21617">
        <v>0</v>
      </c>
      <c r="R21617">
        <v>112</v>
      </c>
      <c r="S21617">
        <v>0</v>
      </c>
      <c r="T21617" t="s">
        <v>81672</v>
      </c>
    </row>
    <row r="21618" spans="1:20" customFormat="1" ht="15" x14ac:dyDescent="0.25">
      <c r="A21618" t="s">
        <v>24</v>
      </c>
      <c r="B21618" t="s">
        <v>805</v>
      </c>
      <c r="C21618" t="str">
        <f>"A0059894"</f>
        <v>A0059894</v>
      </c>
      <c r="D21618" t="s">
        <v>81673</v>
      </c>
      <c r="E21618" t="s">
        <v>81674</v>
      </c>
      <c r="F21618" t="s">
        <v>57993</v>
      </c>
      <c r="G21618" t="s">
        <v>103</v>
      </c>
      <c r="H21618">
        <v>19355</v>
      </c>
      <c r="I21618" t="s">
        <v>30</v>
      </c>
      <c r="J21618" t="s">
        <v>31</v>
      </c>
      <c r="K21618" t="s">
        <v>34626</v>
      </c>
      <c r="N21618" t="s">
        <v>81675</v>
      </c>
      <c r="Q21618">
        <v>0</v>
      </c>
      <c r="R21618">
        <v>120</v>
      </c>
      <c r="S21618">
        <v>0</v>
      </c>
      <c r="T21618" t="s">
        <v>81676</v>
      </c>
    </row>
    <row r="21619" spans="1:20" customFormat="1" ht="15" x14ac:dyDescent="0.25">
      <c r="A21619" t="s">
        <v>24</v>
      </c>
      <c r="B21619" t="s">
        <v>805</v>
      </c>
      <c r="C21619" t="str">
        <f>"57227"</f>
        <v>57227</v>
      </c>
      <c r="D21619" t="s">
        <v>81677</v>
      </c>
      <c r="E21619" t="s">
        <v>81678</v>
      </c>
      <c r="F21619" t="s">
        <v>11700</v>
      </c>
      <c r="G21619" t="s">
        <v>880</v>
      </c>
      <c r="H21619">
        <v>38119</v>
      </c>
      <c r="I21619" t="s">
        <v>30</v>
      </c>
      <c r="J21619" t="s">
        <v>31</v>
      </c>
      <c r="K21619" t="s">
        <v>34626</v>
      </c>
      <c r="N21619" t="s">
        <v>81679</v>
      </c>
      <c r="O21619" t="s">
        <v>81577</v>
      </c>
      <c r="Q21619">
        <v>0</v>
      </c>
      <c r="R21619">
        <v>105</v>
      </c>
      <c r="S21619">
        <v>0</v>
      </c>
      <c r="T21619" t="s">
        <v>81680</v>
      </c>
    </row>
    <row r="21620" spans="1:20" customFormat="1" ht="15" x14ac:dyDescent="0.25">
      <c r="A21620" t="s">
        <v>24</v>
      </c>
      <c r="B21620" t="s">
        <v>805</v>
      </c>
      <c r="C21620" t="str">
        <f>"56833"</f>
        <v>56833</v>
      </c>
      <c r="D21620" t="s">
        <v>81681</v>
      </c>
      <c r="E21620" t="s">
        <v>81682</v>
      </c>
      <c r="F21620" t="s">
        <v>53394</v>
      </c>
      <c r="G21620" t="s">
        <v>161</v>
      </c>
      <c r="H21620">
        <v>55121</v>
      </c>
      <c r="I21620" t="s">
        <v>30</v>
      </c>
      <c r="J21620" t="s">
        <v>31</v>
      </c>
      <c r="K21620" t="s">
        <v>34626</v>
      </c>
      <c r="N21620" t="s">
        <v>81683</v>
      </c>
      <c r="O21620" t="s">
        <v>81684</v>
      </c>
      <c r="Q21620">
        <v>0</v>
      </c>
      <c r="R21620">
        <v>120</v>
      </c>
      <c r="S21620">
        <v>0</v>
      </c>
      <c r="T21620" t="s">
        <v>81685</v>
      </c>
    </row>
    <row r="21621" spans="1:20" customFormat="1" ht="15" x14ac:dyDescent="0.25">
      <c r="A21621" t="s">
        <v>24</v>
      </c>
      <c r="B21621" t="s">
        <v>805</v>
      </c>
      <c r="C21621" t="str">
        <f>"57234"</f>
        <v>57234</v>
      </c>
      <c r="D21621" t="s">
        <v>81686</v>
      </c>
      <c r="E21621" t="s">
        <v>81687</v>
      </c>
      <c r="F21621" t="s">
        <v>8562</v>
      </c>
      <c r="G21621" t="s">
        <v>1706</v>
      </c>
      <c r="H21621">
        <v>36117</v>
      </c>
      <c r="I21621" t="s">
        <v>30</v>
      </c>
      <c r="J21621" t="s">
        <v>31</v>
      </c>
      <c r="K21621" t="s">
        <v>34626</v>
      </c>
      <c r="N21621" t="s">
        <v>81688</v>
      </c>
      <c r="O21621" t="s">
        <v>81689</v>
      </c>
      <c r="Q21621">
        <v>0</v>
      </c>
      <c r="R21621">
        <v>94</v>
      </c>
      <c r="S21621">
        <v>0</v>
      </c>
      <c r="T21621" t="s">
        <v>81690</v>
      </c>
    </row>
    <row r="21622" spans="1:20" customFormat="1" ht="15" x14ac:dyDescent="0.25">
      <c r="A21622" t="s">
        <v>24</v>
      </c>
      <c r="B21622" t="s">
        <v>805</v>
      </c>
      <c r="C21622" t="str">
        <f>"57235"</f>
        <v>57235</v>
      </c>
      <c r="D21622" t="s">
        <v>81691</v>
      </c>
      <c r="E21622" t="s">
        <v>81692</v>
      </c>
      <c r="F21622" t="s">
        <v>9846</v>
      </c>
      <c r="G21622" t="s">
        <v>880</v>
      </c>
      <c r="H21622">
        <v>37027</v>
      </c>
      <c r="I21622" t="s">
        <v>30</v>
      </c>
      <c r="J21622" t="s">
        <v>31</v>
      </c>
      <c r="K21622" t="s">
        <v>34626</v>
      </c>
      <c r="Q21622">
        <v>0</v>
      </c>
      <c r="R21622">
        <v>110</v>
      </c>
      <c r="S21622">
        <v>0</v>
      </c>
      <c r="T21622" t="s">
        <v>81693</v>
      </c>
    </row>
    <row r="21623" spans="1:20" customFormat="1" ht="15" x14ac:dyDescent="0.25">
      <c r="A21623" t="s">
        <v>24</v>
      </c>
      <c r="B21623" t="s">
        <v>805</v>
      </c>
      <c r="C21623" t="str">
        <f>"A0157199"</f>
        <v>A0157199</v>
      </c>
      <c r="D21623" t="s">
        <v>81694</v>
      </c>
      <c r="E21623" t="s">
        <v>81695</v>
      </c>
      <c r="F21623" t="s">
        <v>2069</v>
      </c>
      <c r="G21623" t="s">
        <v>1170</v>
      </c>
      <c r="H21623">
        <v>70112</v>
      </c>
      <c r="I21623" t="s">
        <v>30</v>
      </c>
      <c r="J21623" t="s">
        <v>31</v>
      </c>
      <c r="K21623" t="s">
        <v>34626</v>
      </c>
      <c r="Q21623">
        <v>0</v>
      </c>
      <c r="R21623">
        <v>190</v>
      </c>
      <c r="S21623">
        <v>0</v>
      </c>
      <c r="T21623" t="s">
        <v>81696</v>
      </c>
    </row>
    <row r="21624" spans="1:20" customFormat="1" ht="15" x14ac:dyDescent="0.25">
      <c r="A21624" t="s">
        <v>24</v>
      </c>
      <c r="B21624" t="s">
        <v>805</v>
      </c>
      <c r="C21624" t="str">
        <f>"57243"</f>
        <v>57243</v>
      </c>
      <c r="D21624" t="s">
        <v>81697</v>
      </c>
      <c r="E21624" t="s">
        <v>81698</v>
      </c>
      <c r="F21624" t="s">
        <v>2069</v>
      </c>
      <c r="G21624" t="s">
        <v>1170</v>
      </c>
      <c r="H21624">
        <v>70130</v>
      </c>
      <c r="I21624" t="s">
        <v>30</v>
      </c>
      <c r="J21624" t="s">
        <v>31</v>
      </c>
      <c r="K21624" t="s">
        <v>34626</v>
      </c>
      <c r="N21624" t="s">
        <v>81699</v>
      </c>
      <c r="Q21624">
        <v>0</v>
      </c>
      <c r="R21624">
        <v>231</v>
      </c>
      <c r="S21624">
        <v>0</v>
      </c>
      <c r="T21624" t="s">
        <v>81700</v>
      </c>
    </row>
    <row r="21625" spans="1:20" customFormat="1" ht="15" x14ac:dyDescent="0.25">
      <c r="A21625" t="s">
        <v>24</v>
      </c>
      <c r="B21625" t="s">
        <v>805</v>
      </c>
      <c r="C21625" t="str">
        <f>"56950"</f>
        <v>56950</v>
      </c>
      <c r="D21625" t="s">
        <v>81701</v>
      </c>
      <c r="E21625" t="s">
        <v>81702</v>
      </c>
      <c r="F21625" t="s">
        <v>866</v>
      </c>
      <c r="G21625" t="s">
        <v>40</v>
      </c>
      <c r="H21625">
        <v>73107</v>
      </c>
      <c r="I21625" t="s">
        <v>30</v>
      </c>
      <c r="J21625" t="s">
        <v>31</v>
      </c>
      <c r="K21625" t="s">
        <v>34626</v>
      </c>
      <c r="N21625" t="s">
        <v>81703</v>
      </c>
      <c r="O21625" t="s">
        <v>59088</v>
      </c>
      <c r="Q21625">
        <v>0</v>
      </c>
      <c r="R21625">
        <v>136</v>
      </c>
      <c r="S21625">
        <v>0</v>
      </c>
      <c r="T21625" t="s">
        <v>81704</v>
      </c>
    </row>
    <row r="21626" spans="1:20" customFormat="1" ht="15" x14ac:dyDescent="0.25">
      <c r="A21626" t="s">
        <v>24</v>
      </c>
      <c r="B21626" t="s">
        <v>805</v>
      </c>
      <c r="C21626" t="str">
        <f>"56921"</f>
        <v>56921</v>
      </c>
      <c r="D21626" t="s">
        <v>81705</v>
      </c>
      <c r="E21626" t="s">
        <v>81706</v>
      </c>
      <c r="F21626" t="s">
        <v>1541</v>
      </c>
      <c r="G21626" t="s">
        <v>427</v>
      </c>
      <c r="H21626">
        <v>68132</v>
      </c>
      <c r="I21626" t="s">
        <v>30</v>
      </c>
      <c r="J21626" t="s">
        <v>31</v>
      </c>
      <c r="K21626" t="s">
        <v>34626</v>
      </c>
      <c r="N21626" t="s">
        <v>81707</v>
      </c>
      <c r="Q21626">
        <v>0</v>
      </c>
      <c r="R21626">
        <v>80</v>
      </c>
      <c r="S21626">
        <v>0</v>
      </c>
      <c r="T21626" t="s">
        <v>81708</v>
      </c>
    </row>
    <row r="21627" spans="1:20" customFormat="1" ht="15" x14ac:dyDescent="0.25">
      <c r="A21627" t="s">
        <v>24</v>
      </c>
      <c r="B21627" t="s">
        <v>805</v>
      </c>
      <c r="C21627" t="str">
        <f>"A0059945"</f>
        <v>A0059945</v>
      </c>
      <c r="D21627" t="s">
        <v>81709</v>
      </c>
      <c r="E21627" t="s">
        <v>81710</v>
      </c>
      <c r="F21627" t="s">
        <v>985</v>
      </c>
      <c r="G21627" t="s">
        <v>81</v>
      </c>
      <c r="H21627">
        <v>32819</v>
      </c>
      <c r="I21627" t="s">
        <v>30</v>
      </c>
      <c r="J21627" t="s">
        <v>31</v>
      </c>
      <c r="K21627" t="s">
        <v>34626</v>
      </c>
      <c r="N21627" t="s">
        <v>81711</v>
      </c>
      <c r="O21627" t="s">
        <v>81712</v>
      </c>
      <c r="Q21627">
        <v>0</v>
      </c>
      <c r="R21627">
        <v>146</v>
      </c>
      <c r="S21627">
        <v>0</v>
      </c>
      <c r="T21627" t="s">
        <v>81713</v>
      </c>
    </row>
    <row r="21628" spans="1:20" customFormat="1" ht="15" x14ac:dyDescent="0.25">
      <c r="A21628" t="s">
        <v>24</v>
      </c>
      <c r="B21628" t="s">
        <v>805</v>
      </c>
      <c r="C21628" t="str">
        <f>"A0076412"</f>
        <v>A0076412</v>
      </c>
      <c r="D21628" t="s">
        <v>81714</v>
      </c>
      <c r="E21628" t="s">
        <v>81715</v>
      </c>
      <c r="F21628" t="s">
        <v>2506</v>
      </c>
      <c r="G21628" t="s">
        <v>338</v>
      </c>
      <c r="H21628">
        <v>7054</v>
      </c>
      <c r="I21628" t="s">
        <v>30</v>
      </c>
      <c r="J21628" t="s">
        <v>31</v>
      </c>
      <c r="K21628" t="s">
        <v>34626</v>
      </c>
      <c r="N21628" t="s">
        <v>81716</v>
      </c>
      <c r="O21628" t="s">
        <v>81717</v>
      </c>
      <c r="Q21628">
        <v>0</v>
      </c>
      <c r="R21628">
        <v>150</v>
      </c>
      <c r="S21628">
        <v>0</v>
      </c>
      <c r="T21628" t="s">
        <v>81718</v>
      </c>
    </row>
    <row r="21629" spans="1:20" customFormat="1" ht="15" x14ac:dyDescent="0.25">
      <c r="A21629" t="s">
        <v>24</v>
      </c>
      <c r="B21629" t="s">
        <v>805</v>
      </c>
      <c r="C21629" t="str">
        <f>"57143"</f>
        <v>57143</v>
      </c>
      <c r="D21629" t="s">
        <v>81719</v>
      </c>
      <c r="E21629" t="s">
        <v>81720</v>
      </c>
      <c r="F21629" t="s">
        <v>2506</v>
      </c>
      <c r="G21629" t="s">
        <v>338</v>
      </c>
      <c r="H21629">
        <v>7054</v>
      </c>
      <c r="I21629" t="s">
        <v>30</v>
      </c>
      <c r="J21629" t="s">
        <v>31</v>
      </c>
      <c r="K21629" t="s">
        <v>34626</v>
      </c>
      <c r="N21629" t="s">
        <v>81721</v>
      </c>
      <c r="O21629" t="s">
        <v>81722</v>
      </c>
      <c r="Q21629">
        <v>0</v>
      </c>
      <c r="R21629">
        <v>156</v>
      </c>
      <c r="S21629">
        <v>0</v>
      </c>
      <c r="T21629" t="s">
        <v>81723</v>
      </c>
    </row>
    <row r="21630" spans="1:20" customFormat="1" ht="15" x14ac:dyDescent="0.25">
      <c r="A21630" t="s">
        <v>24</v>
      </c>
      <c r="B21630" t="s">
        <v>805</v>
      </c>
      <c r="C21630" t="str">
        <f>"56861"</f>
        <v>56861</v>
      </c>
      <c r="D21630" t="s">
        <v>81724</v>
      </c>
      <c r="E21630" t="s">
        <v>81725</v>
      </c>
      <c r="F21630" t="s">
        <v>2269</v>
      </c>
      <c r="G21630" t="s">
        <v>76</v>
      </c>
      <c r="H21630">
        <v>98662</v>
      </c>
      <c r="I21630" t="s">
        <v>30</v>
      </c>
      <c r="J21630" t="s">
        <v>31</v>
      </c>
      <c r="K21630" t="s">
        <v>34626</v>
      </c>
      <c r="N21630" t="s">
        <v>34760</v>
      </c>
      <c r="O21630" t="s">
        <v>81726</v>
      </c>
      <c r="Q21630">
        <v>0</v>
      </c>
      <c r="R21630">
        <v>120</v>
      </c>
      <c r="S21630">
        <v>0</v>
      </c>
      <c r="T21630" t="s">
        <v>81727</v>
      </c>
    </row>
    <row r="21631" spans="1:20" customFormat="1" ht="15" x14ac:dyDescent="0.25">
      <c r="A21631" t="s">
        <v>24</v>
      </c>
      <c r="B21631" t="s">
        <v>805</v>
      </c>
      <c r="C21631" t="str">
        <f>"A0059922"</f>
        <v>A0059922</v>
      </c>
      <c r="D21631" t="s">
        <v>81728</v>
      </c>
      <c r="E21631" t="s">
        <v>81729</v>
      </c>
      <c r="F21631" t="s">
        <v>6888</v>
      </c>
      <c r="G21631" t="s">
        <v>338</v>
      </c>
      <c r="H21631">
        <v>8543</v>
      </c>
      <c r="I21631" t="s">
        <v>30</v>
      </c>
      <c r="J21631" t="s">
        <v>31</v>
      </c>
      <c r="K21631" t="s">
        <v>34626</v>
      </c>
      <c r="N21631" t="s">
        <v>81730</v>
      </c>
      <c r="O21631" t="s">
        <v>81731</v>
      </c>
      <c r="Q21631">
        <v>0</v>
      </c>
      <c r="R21631">
        <v>124</v>
      </c>
      <c r="S21631">
        <v>0</v>
      </c>
      <c r="T21631" t="s">
        <v>81732</v>
      </c>
    </row>
    <row r="21632" spans="1:20" customFormat="1" ht="15" x14ac:dyDescent="0.25">
      <c r="A21632" t="s">
        <v>24</v>
      </c>
      <c r="B21632" t="s">
        <v>805</v>
      </c>
      <c r="C21632" t="str">
        <f>"56870"</f>
        <v>56870</v>
      </c>
      <c r="D21632" t="s">
        <v>81733</v>
      </c>
      <c r="E21632" t="s">
        <v>81734</v>
      </c>
      <c r="F21632" t="s">
        <v>61540</v>
      </c>
      <c r="G21632" t="s">
        <v>90</v>
      </c>
      <c r="H21632">
        <v>2886</v>
      </c>
      <c r="I21632" t="s">
        <v>30</v>
      </c>
      <c r="J21632" t="s">
        <v>31</v>
      </c>
      <c r="K21632" t="s">
        <v>34626</v>
      </c>
      <c r="N21632" t="s">
        <v>81577</v>
      </c>
      <c r="O21632" t="s">
        <v>81735</v>
      </c>
      <c r="Q21632">
        <v>0</v>
      </c>
      <c r="R21632">
        <v>96</v>
      </c>
      <c r="S21632">
        <v>0</v>
      </c>
      <c r="T21632" t="s">
        <v>81736</v>
      </c>
    </row>
    <row r="21633" spans="1:20" customFormat="1" ht="15" x14ac:dyDescent="0.25">
      <c r="A21633" t="s">
        <v>24</v>
      </c>
      <c r="B21633" t="s">
        <v>805</v>
      </c>
      <c r="C21633" t="str">
        <f>"57248"</f>
        <v>57248</v>
      </c>
      <c r="D21633" t="s">
        <v>81737</v>
      </c>
      <c r="E21633" t="s">
        <v>81738</v>
      </c>
      <c r="F21633" t="s">
        <v>6927</v>
      </c>
      <c r="G21633" t="s">
        <v>214</v>
      </c>
      <c r="H21633">
        <v>27518</v>
      </c>
      <c r="I21633" t="s">
        <v>30</v>
      </c>
      <c r="J21633" t="s">
        <v>31</v>
      </c>
      <c r="K21633" t="s">
        <v>34626</v>
      </c>
      <c r="N21633" t="s">
        <v>81739</v>
      </c>
      <c r="Q21633">
        <v>0</v>
      </c>
      <c r="R21633">
        <v>108</v>
      </c>
      <c r="S21633">
        <v>0</v>
      </c>
      <c r="T21633" t="s">
        <v>81740</v>
      </c>
    </row>
    <row r="21634" spans="1:20" customFormat="1" ht="15" x14ac:dyDescent="0.25">
      <c r="A21634" t="s">
        <v>24</v>
      </c>
      <c r="B21634" t="s">
        <v>805</v>
      </c>
      <c r="C21634" t="str">
        <f>"57250"</f>
        <v>57250</v>
      </c>
      <c r="D21634" t="s">
        <v>81741</v>
      </c>
      <c r="E21634" t="s">
        <v>81742</v>
      </c>
      <c r="F21634" t="s">
        <v>6941</v>
      </c>
      <c r="G21634" t="s">
        <v>214</v>
      </c>
      <c r="H21634">
        <v>27560</v>
      </c>
      <c r="I21634" t="s">
        <v>30</v>
      </c>
      <c r="J21634" t="s">
        <v>31</v>
      </c>
      <c r="K21634" t="s">
        <v>34626</v>
      </c>
      <c r="N21634" t="s">
        <v>81743</v>
      </c>
      <c r="Q21634">
        <v>0</v>
      </c>
      <c r="R21634">
        <v>120</v>
      </c>
      <c r="S21634">
        <v>0</v>
      </c>
      <c r="T21634" t="s">
        <v>81744</v>
      </c>
    </row>
    <row r="21635" spans="1:20" customFormat="1" ht="15" x14ac:dyDescent="0.25">
      <c r="A21635" t="s">
        <v>24</v>
      </c>
      <c r="B21635" t="s">
        <v>805</v>
      </c>
      <c r="C21635" t="str">
        <f>"57433"</f>
        <v>57433</v>
      </c>
      <c r="D21635" t="s">
        <v>81745</v>
      </c>
      <c r="E21635" t="s">
        <v>81746</v>
      </c>
      <c r="F21635" t="s">
        <v>62969</v>
      </c>
      <c r="G21635" t="s">
        <v>221</v>
      </c>
      <c r="H21635">
        <v>89521</v>
      </c>
      <c r="I21635" t="s">
        <v>30</v>
      </c>
      <c r="J21635" t="s">
        <v>31</v>
      </c>
      <c r="K21635" t="s">
        <v>34626</v>
      </c>
      <c r="N21635" t="s">
        <v>81747</v>
      </c>
      <c r="O21635" t="s">
        <v>81748</v>
      </c>
      <c r="Q21635">
        <v>0</v>
      </c>
      <c r="R21635">
        <v>120</v>
      </c>
      <c r="S21635">
        <v>0</v>
      </c>
      <c r="T21635" t="s">
        <v>81749</v>
      </c>
    </row>
    <row r="21636" spans="1:20" customFormat="1" ht="15" x14ac:dyDescent="0.25">
      <c r="A21636" t="s">
        <v>24</v>
      </c>
      <c r="B21636" t="s">
        <v>805</v>
      </c>
      <c r="C21636" t="str">
        <f>"57320"</f>
        <v>57320</v>
      </c>
      <c r="D21636" t="s">
        <v>81750</v>
      </c>
      <c r="E21636" t="s">
        <v>81751</v>
      </c>
      <c r="F21636" t="s">
        <v>356</v>
      </c>
      <c r="G21636" t="s">
        <v>52</v>
      </c>
      <c r="H21636">
        <v>78205</v>
      </c>
      <c r="I21636" t="s">
        <v>30</v>
      </c>
      <c r="J21636" t="s">
        <v>31</v>
      </c>
      <c r="K21636" t="s">
        <v>34626</v>
      </c>
      <c r="N21636" t="s">
        <v>81752</v>
      </c>
      <c r="O21636" t="s">
        <v>81753</v>
      </c>
      <c r="Q21636">
        <v>0</v>
      </c>
      <c r="R21636">
        <v>220</v>
      </c>
      <c r="S21636">
        <v>0</v>
      </c>
      <c r="T21636" t="s">
        <v>81754</v>
      </c>
    </row>
    <row r="21637" spans="1:20" customFormat="1" ht="15" x14ac:dyDescent="0.25">
      <c r="A21637" t="s">
        <v>24</v>
      </c>
      <c r="B21637" t="s">
        <v>805</v>
      </c>
      <c r="C21637" t="str">
        <f>"57441"</f>
        <v>57441</v>
      </c>
      <c r="D21637" t="s">
        <v>81755</v>
      </c>
      <c r="E21637" t="s">
        <v>81756</v>
      </c>
      <c r="F21637" t="s">
        <v>69650</v>
      </c>
      <c r="G21637" t="s">
        <v>110</v>
      </c>
      <c r="H21637">
        <v>94080</v>
      </c>
      <c r="I21637" t="s">
        <v>30</v>
      </c>
      <c r="J21637" t="s">
        <v>31</v>
      </c>
      <c r="K21637" t="s">
        <v>34626</v>
      </c>
      <c r="N21637" t="s">
        <v>81757</v>
      </c>
      <c r="O21637" t="s">
        <v>81758</v>
      </c>
      <c r="Q21637">
        <v>0</v>
      </c>
      <c r="R21637">
        <v>152</v>
      </c>
      <c r="S21637">
        <v>0</v>
      </c>
      <c r="T21637" t="s">
        <v>81759</v>
      </c>
    </row>
    <row r="21638" spans="1:20" customFormat="1" ht="15" x14ac:dyDescent="0.25">
      <c r="A21638" t="s">
        <v>24</v>
      </c>
      <c r="B21638" t="s">
        <v>805</v>
      </c>
      <c r="C21638" t="str">
        <f>"A0060007"</f>
        <v>A0060007</v>
      </c>
      <c r="D21638" t="s">
        <v>81760</v>
      </c>
      <c r="E21638" t="s">
        <v>81761</v>
      </c>
      <c r="F21638" t="s">
        <v>4003</v>
      </c>
      <c r="G21638" t="s">
        <v>289</v>
      </c>
      <c r="H21638">
        <v>60173</v>
      </c>
      <c r="I21638" t="s">
        <v>30</v>
      </c>
      <c r="J21638" t="s">
        <v>31</v>
      </c>
      <c r="K21638" t="s">
        <v>34626</v>
      </c>
      <c r="N21638" t="s">
        <v>81762</v>
      </c>
      <c r="Q21638">
        <v>0</v>
      </c>
      <c r="R21638">
        <v>112</v>
      </c>
      <c r="S21638">
        <v>0</v>
      </c>
      <c r="T21638" t="s">
        <v>81763</v>
      </c>
    </row>
    <row r="21639" spans="1:20" customFormat="1" ht="15" x14ac:dyDescent="0.25">
      <c r="A21639" t="s">
        <v>24</v>
      </c>
      <c r="B21639" t="s">
        <v>805</v>
      </c>
      <c r="C21639" t="str">
        <f>"57427"</f>
        <v>57427</v>
      </c>
      <c r="D21639" t="s">
        <v>81764</v>
      </c>
      <c r="E21639" t="s">
        <v>81765</v>
      </c>
      <c r="F21639" t="s">
        <v>2014</v>
      </c>
      <c r="G21639" t="s">
        <v>197</v>
      </c>
      <c r="H21639">
        <v>85253</v>
      </c>
      <c r="I21639" t="s">
        <v>30</v>
      </c>
      <c r="J21639" t="s">
        <v>31</v>
      </c>
      <c r="K21639" t="s">
        <v>34626</v>
      </c>
      <c r="N21639" t="s">
        <v>81766</v>
      </c>
      <c r="O21639" t="s">
        <v>81767</v>
      </c>
      <c r="Q21639">
        <v>0</v>
      </c>
      <c r="R21639">
        <v>122</v>
      </c>
      <c r="S21639">
        <v>0</v>
      </c>
      <c r="T21639" t="s">
        <v>81768</v>
      </c>
    </row>
    <row r="21640" spans="1:20" customFormat="1" ht="15" x14ac:dyDescent="0.25">
      <c r="A21640" t="s">
        <v>24</v>
      </c>
      <c r="B21640" t="s">
        <v>805</v>
      </c>
      <c r="C21640" t="str">
        <f>"56801"</f>
        <v>56801</v>
      </c>
      <c r="D21640" t="s">
        <v>81769</v>
      </c>
      <c r="E21640" t="s">
        <v>81770</v>
      </c>
      <c r="F21640" t="s">
        <v>81771</v>
      </c>
      <c r="G21640" t="s">
        <v>338</v>
      </c>
      <c r="H21640">
        <v>8244</v>
      </c>
      <c r="I21640" t="s">
        <v>30</v>
      </c>
      <c r="J21640" t="s">
        <v>31</v>
      </c>
      <c r="K21640" t="s">
        <v>34626</v>
      </c>
      <c r="Q21640">
        <v>0</v>
      </c>
      <c r="R21640">
        <v>120</v>
      </c>
      <c r="S21640">
        <v>0</v>
      </c>
      <c r="T21640" t="s">
        <v>81772</v>
      </c>
    </row>
    <row r="21641" spans="1:20" customFormat="1" ht="15" x14ac:dyDescent="0.25">
      <c r="A21641" t="s">
        <v>24</v>
      </c>
      <c r="B21641" t="s">
        <v>805</v>
      </c>
      <c r="C21641" t="str">
        <f>"A0060022"</f>
        <v>A0060022</v>
      </c>
      <c r="D21641" t="s">
        <v>81773</v>
      </c>
      <c r="E21641" t="s">
        <v>81774</v>
      </c>
      <c r="F21641" t="s">
        <v>16314</v>
      </c>
      <c r="G21641" t="s">
        <v>338</v>
      </c>
      <c r="H21641">
        <v>8873</v>
      </c>
      <c r="I21641" t="s">
        <v>30</v>
      </c>
      <c r="J21641" t="s">
        <v>31</v>
      </c>
      <c r="K21641" t="s">
        <v>34626</v>
      </c>
      <c r="N21641" t="s">
        <v>81775</v>
      </c>
      <c r="O21641" t="s">
        <v>81776</v>
      </c>
      <c r="Q21641">
        <v>0</v>
      </c>
      <c r="R21641">
        <v>140</v>
      </c>
      <c r="S21641">
        <v>0</v>
      </c>
      <c r="T21641" t="s">
        <v>81777</v>
      </c>
    </row>
    <row r="21642" spans="1:20" customFormat="1" ht="15" x14ac:dyDescent="0.25">
      <c r="A21642" t="s">
        <v>24</v>
      </c>
      <c r="B21642" t="s">
        <v>805</v>
      </c>
      <c r="C21642" t="str">
        <f>"56845"</f>
        <v>56845</v>
      </c>
      <c r="D21642" t="s">
        <v>81778</v>
      </c>
      <c r="E21642" t="s">
        <v>81779</v>
      </c>
      <c r="F21642" t="s">
        <v>81780</v>
      </c>
      <c r="G21642" t="s">
        <v>338</v>
      </c>
      <c r="H21642">
        <v>8543</v>
      </c>
      <c r="I21642" t="s">
        <v>30</v>
      </c>
      <c r="J21642" t="s">
        <v>31</v>
      </c>
      <c r="K21642" t="s">
        <v>34626</v>
      </c>
      <c r="N21642" t="s">
        <v>81781</v>
      </c>
      <c r="O21642" t="s">
        <v>81782</v>
      </c>
      <c r="Q21642">
        <v>0</v>
      </c>
      <c r="R21642">
        <v>208</v>
      </c>
      <c r="S21642">
        <v>0</v>
      </c>
      <c r="T21642" t="s">
        <v>81783</v>
      </c>
    </row>
    <row r="21643" spans="1:20" customFormat="1" ht="15" x14ac:dyDescent="0.25">
      <c r="A21643" t="s">
        <v>24</v>
      </c>
      <c r="B21643" t="s">
        <v>805</v>
      </c>
      <c r="C21643" t="str">
        <f>"57109"</f>
        <v>57109</v>
      </c>
      <c r="D21643" t="s">
        <v>81784</v>
      </c>
      <c r="E21643" t="s">
        <v>81785</v>
      </c>
      <c r="F21643" t="s">
        <v>81786</v>
      </c>
      <c r="G21643" t="s">
        <v>137</v>
      </c>
      <c r="H21643">
        <v>63017</v>
      </c>
      <c r="I21643" t="s">
        <v>30</v>
      </c>
      <c r="J21643" t="s">
        <v>31</v>
      </c>
      <c r="K21643" t="s">
        <v>34626</v>
      </c>
      <c r="N21643" t="s">
        <v>81787</v>
      </c>
      <c r="O21643" t="s">
        <v>81788</v>
      </c>
      <c r="Q21643">
        <v>0</v>
      </c>
      <c r="R21643">
        <v>104</v>
      </c>
      <c r="S21643">
        <v>0</v>
      </c>
      <c r="T21643" t="s">
        <v>81789</v>
      </c>
    </row>
    <row r="21644" spans="1:20" customFormat="1" ht="15" x14ac:dyDescent="0.25">
      <c r="A21644" t="s">
        <v>24</v>
      </c>
      <c r="B21644" t="s">
        <v>805</v>
      </c>
      <c r="C21644" t="str">
        <f>"A0059989"</f>
        <v>A0059989</v>
      </c>
      <c r="D21644" t="s">
        <v>81790</v>
      </c>
      <c r="E21644" t="s">
        <v>81791</v>
      </c>
      <c r="F21644" t="s">
        <v>56870</v>
      </c>
      <c r="G21644" t="s">
        <v>137</v>
      </c>
      <c r="H21644">
        <v>63146</v>
      </c>
      <c r="I21644" t="s">
        <v>30</v>
      </c>
      <c r="J21644" t="s">
        <v>31</v>
      </c>
      <c r="K21644" t="s">
        <v>34626</v>
      </c>
      <c r="N21644" t="s">
        <v>81792</v>
      </c>
      <c r="Q21644">
        <v>0</v>
      </c>
      <c r="R21644">
        <v>106</v>
      </c>
      <c r="S21644">
        <v>0</v>
      </c>
      <c r="T21644" t="s">
        <v>81793</v>
      </c>
    </row>
    <row r="21645" spans="1:20" customFormat="1" ht="15" x14ac:dyDescent="0.25">
      <c r="A21645" t="s">
        <v>24</v>
      </c>
      <c r="B21645" t="s">
        <v>805</v>
      </c>
      <c r="C21645" t="str">
        <f>"57428"</f>
        <v>57428</v>
      </c>
      <c r="D21645" t="s">
        <v>81794</v>
      </c>
      <c r="E21645" t="s">
        <v>81795</v>
      </c>
      <c r="F21645" t="s">
        <v>1592</v>
      </c>
      <c r="G21645" t="s">
        <v>197</v>
      </c>
      <c r="H21645">
        <v>85282</v>
      </c>
      <c r="I21645" t="s">
        <v>30</v>
      </c>
      <c r="J21645" t="s">
        <v>31</v>
      </c>
      <c r="K21645" t="s">
        <v>34626</v>
      </c>
      <c r="N21645" t="s">
        <v>81796</v>
      </c>
      <c r="Q21645">
        <v>0</v>
      </c>
      <c r="R21645">
        <v>126</v>
      </c>
      <c r="S21645">
        <v>0</v>
      </c>
      <c r="T21645" t="s">
        <v>81797</v>
      </c>
    </row>
    <row r="21646" spans="1:20" customFormat="1" ht="15" x14ac:dyDescent="0.25">
      <c r="A21646" t="s">
        <v>24</v>
      </c>
      <c r="B21646" t="s">
        <v>805</v>
      </c>
      <c r="C21646" t="str">
        <f>"56951"</f>
        <v>56951</v>
      </c>
      <c r="D21646" t="s">
        <v>81798</v>
      </c>
      <c r="E21646" t="s">
        <v>81799</v>
      </c>
      <c r="F21646" t="s">
        <v>796</v>
      </c>
      <c r="G21646" t="s">
        <v>197</v>
      </c>
      <c r="H21646">
        <v>85710</v>
      </c>
      <c r="I21646" t="s">
        <v>30</v>
      </c>
      <c r="J21646" t="s">
        <v>31</v>
      </c>
      <c r="K21646" t="s">
        <v>34626</v>
      </c>
      <c r="N21646" t="s">
        <v>81800</v>
      </c>
      <c r="O21646" t="s">
        <v>81801</v>
      </c>
      <c r="Q21646">
        <v>0</v>
      </c>
      <c r="R21646">
        <v>128</v>
      </c>
      <c r="S21646">
        <v>0</v>
      </c>
      <c r="T21646" t="s">
        <v>81802</v>
      </c>
    </row>
    <row r="21647" spans="1:20" customFormat="1" ht="15" x14ac:dyDescent="0.25">
      <c r="A21647" t="s">
        <v>24</v>
      </c>
      <c r="B21647" t="s">
        <v>805</v>
      </c>
      <c r="C21647" t="str">
        <f>"56901"</f>
        <v>56901</v>
      </c>
      <c r="D21647" t="s">
        <v>81803</v>
      </c>
      <c r="E21647" t="s">
        <v>81804</v>
      </c>
      <c r="F21647" t="s">
        <v>1153</v>
      </c>
      <c r="G21647" t="s">
        <v>528</v>
      </c>
      <c r="H21647">
        <v>19702</v>
      </c>
      <c r="I21647" t="s">
        <v>30</v>
      </c>
      <c r="J21647" t="s">
        <v>31</v>
      </c>
      <c r="K21647" t="s">
        <v>34626</v>
      </c>
      <c r="N21647" t="s">
        <v>81805</v>
      </c>
      <c r="O21647" t="s">
        <v>81577</v>
      </c>
      <c r="Q21647">
        <v>0</v>
      </c>
      <c r="R21647">
        <v>120</v>
      </c>
      <c r="S21647">
        <v>0</v>
      </c>
      <c r="T21647" t="s">
        <v>81806</v>
      </c>
    </row>
    <row r="21648" spans="1:20" customFormat="1" ht="15" x14ac:dyDescent="0.25">
      <c r="A21648" t="s">
        <v>24</v>
      </c>
      <c r="B21648" t="s">
        <v>8579</v>
      </c>
      <c r="C21648" t="str">
        <f>"A0096466"</f>
        <v>A0096466</v>
      </c>
      <c r="D21648" t="s">
        <v>76587</v>
      </c>
      <c r="E21648" t="s">
        <v>76588</v>
      </c>
      <c r="F21648" t="s">
        <v>2900</v>
      </c>
      <c r="G21648" t="s">
        <v>76</v>
      </c>
      <c r="H21648">
        <v>98109</v>
      </c>
      <c r="I21648" t="s">
        <v>30</v>
      </c>
      <c r="J21648" t="s">
        <v>171</v>
      </c>
      <c r="K21648" t="s">
        <v>2925</v>
      </c>
      <c r="N21648" t="s">
        <v>76589</v>
      </c>
      <c r="Q21648">
        <v>0</v>
      </c>
      <c r="R21648">
        <v>146</v>
      </c>
      <c r="S21648">
        <v>0</v>
      </c>
      <c r="T21648" t="s">
        <v>76590</v>
      </c>
    </row>
    <row r="21649" spans="1:20" customFormat="1" ht="15" x14ac:dyDescent="0.25">
      <c r="A21649" t="s">
        <v>24</v>
      </c>
      <c r="B21649" t="s">
        <v>5843</v>
      </c>
      <c r="C21649" t="str">
        <f>"A0091252"</f>
        <v>A0091252</v>
      </c>
      <c r="D21649" t="s">
        <v>76692</v>
      </c>
      <c r="E21649" t="s">
        <v>76693</v>
      </c>
      <c r="F21649" t="s">
        <v>2241</v>
      </c>
      <c r="G21649" t="s">
        <v>110</v>
      </c>
      <c r="H21649">
        <v>94558</v>
      </c>
      <c r="I21649" t="s">
        <v>30</v>
      </c>
      <c r="J21649" t="s">
        <v>171</v>
      </c>
      <c r="K21649" t="s">
        <v>163</v>
      </c>
      <c r="N21649" t="s">
        <v>76694</v>
      </c>
      <c r="Q21649">
        <v>0</v>
      </c>
      <c r="R21649">
        <v>59</v>
      </c>
      <c r="S21649">
        <v>0</v>
      </c>
      <c r="T21649" t="s">
        <v>76695</v>
      </c>
    </row>
    <row r="21650" spans="1:20" customFormat="1" ht="15" x14ac:dyDescent="0.25">
      <c r="A21650" t="s">
        <v>24</v>
      </c>
      <c r="B21650" t="s">
        <v>63120</v>
      </c>
      <c r="C21650" t="str">
        <f>"A0070096"</f>
        <v>A0070096</v>
      </c>
      <c r="D21650" t="s">
        <v>76810</v>
      </c>
      <c r="E21650" t="s">
        <v>76811</v>
      </c>
      <c r="F21650" t="s">
        <v>2598</v>
      </c>
      <c r="G21650" t="s">
        <v>99</v>
      </c>
      <c r="H21650">
        <v>14304</v>
      </c>
      <c r="I21650" t="s">
        <v>30</v>
      </c>
      <c r="J21650" t="s">
        <v>171</v>
      </c>
      <c r="K21650" t="s">
        <v>5354</v>
      </c>
      <c r="N21650" t="s">
        <v>76812</v>
      </c>
      <c r="O21650" t="s">
        <v>76813</v>
      </c>
      <c r="Q21650">
        <v>0</v>
      </c>
      <c r="R21650">
        <v>140</v>
      </c>
      <c r="S21650">
        <v>0</v>
      </c>
      <c r="T21650" t="s">
        <v>76814</v>
      </c>
    </row>
    <row r="21651" spans="1:20" customFormat="1" ht="15" x14ac:dyDescent="0.25">
      <c r="A21651" t="s">
        <v>24</v>
      </c>
      <c r="B21651" t="s">
        <v>1138</v>
      </c>
      <c r="C21651" t="str">
        <f>"56649"</f>
        <v>56649</v>
      </c>
      <c r="D21651" t="s">
        <v>76867</v>
      </c>
      <c r="E21651" t="s">
        <v>76868</v>
      </c>
      <c r="F21651" t="s">
        <v>70134</v>
      </c>
      <c r="G21651" t="s">
        <v>85</v>
      </c>
      <c r="H21651">
        <v>72117</v>
      </c>
      <c r="I21651" t="s">
        <v>30</v>
      </c>
      <c r="J21651" t="s">
        <v>171</v>
      </c>
      <c r="K21651" t="s">
        <v>1450</v>
      </c>
      <c r="N21651" t="s">
        <v>76869</v>
      </c>
      <c r="O21651" t="s">
        <v>76870</v>
      </c>
      <c r="Q21651">
        <v>0</v>
      </c>
      <c r="R21651">
        <v>96</v>
      </c>
      <c r="S21651">
        <v>0</v>
      </c>
      <c r="T21651" t="s">
        <v>76871</v>
      </c>
    </row>
    <row r="21652" spans="1:20" customFormat="1" ht="15" x14ac:dyDescent="0.25">
      <c r="A21652" t="s">
        <v>24</v>
      </c>
      <c r="B21652" t="s">
        <v>805</v>
      </c>
      <c r="C21652" t="str">
        <f>"311Q8"</f>
        <v>311Q8</v>
      </c>
      <c r="D21652" t="s">
        <v>81826</v>
      </c>
      <c r="E21652" t="s">
        <v>81827</v>
      </c>
      <c r="F21652" t="s">
        <v>54989</v>
      </c>
      <c r="G21652" t="s">
        <v>103</v>
      </c>
      <c r="H21652">
        <v>18018</v>
      </c>
      <c r="I21652" t="s">
        <v>30</v>
      </c>
      <c r="J21652" t="s">
        <v>31</v>
      </c>
      <c r="K21652" t="s">
        <v>81828</v>
      </c>
      <c r="N21652" t="s">
        <v>81479</v>
      </c>
      <c r="O21652" t="s">
        <v>81829</v>
      </c>
      <c r="Q21652">
        <v>0</v>
      </c>
      <c r="R21652">
        <v>114</v>
      </c>
      <c r="S21652">
        <v>0</v>
      </c>
      <c r="T21652" t="s">
        <v>81830</v>
      </c>
    </row>
    <row r="21653" spans="1:20" customFormat="1" ht="15" x14ac:dyDescent="0.25">
      <c r="A21653" t="s">
        <v>24</v>
      </c>
      <c r="B21653" t="s">
        <v>805</v>
      </c>
      <c r="C21653" t="str">
        <f>"311DC"</f>
        <v>311DC</v>
      </c>
      <c r="D21653" t="s">
        <v>81831</v>
      </c>
      <c r="E21653" t="s">
        <v>81832</v>
      </c>
      <c r="F21653" t="s">
        <v>1131</v>
      </c>
      <c r="G21653" t="s">
        <v>29</v>
      </c>
      <c r="H21653">
        <v>22209</v>
      </c>
      <c r="I21653" t="s">
        <v>30</v>
      </c>
      <c r="J21653" t="s">
        <v>31</v>
      </c>
      <c r="K21653" t="s">
        <v>81828</v>
      </c>
      <c r="N21653" t="s">
        <v>81833</v>
      </c>
      <c r="O21653" t="s">
        <v>81834</v>
      </c>
      <c r="Q21653">
        <v>0</v>
      </c>
      <c r="R21653">
        <v>162</v>
      </c>
      <c r="S21653">
        <v>0</v>
      </c>
      <c r="T21653" t="s">
        <v>81835</v>
      </c>
    </row>
    <row r="21654" spans="1:20" customFormat="1" ht="15" x14ac:dyDescent="0.25">
      <c r="A21654" t="s">
        <v>24</v>
      </c>
      <c r="B21654" t="s">
        <v>805</v>
      </c>
      <c r="C21654" t="str">
        <f>"311V8"</f>
        <v>311V8</v>
      </c>
      <c r="D21654" t="s">
        <v>81836</v>
      </c>
      <c r="E21654" t="s">
        <v>81837</v>
      </c>
      <c r="F21654" t="s">
        <v>3818</v>
      </c>
      <c r="G21654" t="s">
        <v>289</v>
      </c>
      <c r="H21654">
        <v>60004</v>
      </c>
      <c r="I21654" t="s">
        <v>30</v>
      </c>
      <c r="J21654" t="s">
        <v>31</v>
      </c>
      <c r="K21654" t="s">
        <v>81828</v>
      </c>
      <c r="N21654" t="s">
        <v>81838</v>
      </c>
      <c r="Q21654">
        <v>0</v>
      </c>
      <c r="R21654">
        <v>152</v>
      </c>
      <c r="S21654">
        <v>0</v>
      </c>
      <c r="T21654" t="s">
        <v>81839</v>
      </c>
    </row>
    <row r="21655" spans="1:20" customFormat="1" ht="15" x14ac:dyDescent="0.25">
      <c r="A21655" t="s">
        <v>24</v>
      </c>
      <c r="B21655" t="s">
        <v>805</v>
      </c>
      <c r="C21655" t="str">
        <f>"311AD"</f>
        <v>311AD</v>
      </c>
      <c r="D21655" t="s">
        <v>81840</v>
      </c>
      <c r="E21655" t="s">
        <v>81841</v>
      </c>
      <c r="F21655" t="s">
        <v>78455</v>
      </c>
      <c r="G21655" t="s">
        <v>846</v>
      </c>
      <c r="H21655">
        <v>30354</v>
      </c>
      <c r="I21655" t="s">
        <v>30</v>
      </c>
      <c r="J21655" t="s">
        <v>31</v>
      </c>
      <c r="K21655" t="s">
        <v>81828</v>
      </c>
      <c r="Q21655">
        <v>0</v>
      </c>
      <c r="R21655">
        <v>152</v>
      </c>
      <c r="S21655">
        <v>0</v>
      </c>
      <c r="T21655" t="s">
        <v>81842</v>
      </c>
    </row>
    <row r="21656" spans="1:20" customFormat="1" ht="15" x14ac:dyDescent="0.25">
      <c r="A21656" t="s">
        <v>24</v>
      </c>
      <c r="B21656" t="s">
        <v>805</v>
      </c>
      <c r="C21656" t="str">
        <f>"311R7"</f>
        <v>311R7</v>
      </c>
      <c r="D21656" t="s">
        <v>81843</v>
      </c>
      <c r="E21656" t="s">
        <v>81844</v>
      </c>
      <c r="F21656" t="s">
        <v>845</v>
      </c>
      <c r="G21656" t="s">
        <v>846</v>
      </c>
      <c r="H21656">
        <v>30339</v>
      </c>
      <c r="I21656" t="s">
        <v>30</v>
      </c>
      <c r="J21656" t="s">
        <v>31</v>
      </c>
      <c r="K21656" t="s">
        <v>81828</v>
      </c>
      <c r="N21656" t="s">
        <v>81845</v>
      </c>
      <c r="O21656" t="s">
        <v>81846</v>
      </c>
      <c r="Q21656">
        <v>0</v>
      </c>
      <c r="R21656">
        <v>182</v>
      </c>
      <c r="S21656">
        <v>0</v>
      </c>
      <c r="T21656" t="s">
        <v>81847</v>
      </c>
    </row>
    <row r="21657" spans="1:20" customFormat="1" ht="15" x14ac:dyDescent="0.25">
      <c r="A21657" t="s">
        <v>24</v>
      </c>
      <c r="B21657" t="s">
        <v>805</v>
      </c>
      <c r="C21657" t="str">
        <f>"A0058641"</f>
        <v>A0058641</v>
      </c>
      <c r="D21657" t="s">
        <v>81848</v>
      </c>
      <c r="E21657" t="s">
        <v>81849</v>
      </c>
      <c r="F21657" t="s">
        <v>2051</v>
      </c>
      <c r="G21657" t="s">
        <v>846</v>
      </c>
      <c r="H21657">
        <v>30096</v>
      </c>
      <c r="I21657" t="s">
        <v>30</v>
      </c>
      <c r="J21657" t="s">
        <v>31</v>
      </c>
      <c r="K21657" t="s">
        <v>81828</v>
      </c>
      <c r="N21657" t="s">
        <v>81850</v>
      </c>
      <c r="O21657" t="s">
        <v>81851</v>
      </c>
      <c r="Q21657">
        <v>0</v>
      </c>
      <c r="R21657">
        <v>123</v>
      </c>
      <c r="S21657">
        <v>0</v>
      </c>
      <c r="T21657" t="s">
        <v>81852</v>
      </c>
    </row>
    <row r="21658" spans="1:20" customFormat="1" ht="15" x14ac:dyDescent="0.25">
      <c r="A21658" t="s">
        <v>24</v>
      </c>
      <c r="B21658" t="s">
        <v>805</v>
      </c>
      <c r="C21658" t="str">
        <f>"311AH"</f>
        <v>311AH</v>
      </c>
      <c r="D21658" t="s">
        <v>81853</v>
      </c>
      <c r="E21658" t="s">
        <v>81854</v>
      </c>
      <c r="F21658" t="s">
        <v>845</v>
      </c>
      <c r="G21658" t="s">
        <v>846</v>
      </c>
      <c r="H21658">
        <v>30318</v>
      </c>
      <c r="I21658" t="s">
        <v>30</v>
      </c>
      <c r="J21658" t="s">
        <v>31</v>
      </c>
      <c r="K21658" t="s">
        <v>81828</v>
      </c>
      <c r="N21658" t="s">
        <v>81855</v>
      </c>
      <c r="O21658" t="s">
        <v>81856</v>
      </c>
      <c r="Q21658">
        <v>0</v>
      </c>
      <c r="R21658">
        <v>168</v>
      </c>
      <c r="S21658">
        <v>0</v>
      </c>
      <c r="T21658" t="s">
        <v>81857</v>
      </c>
    </row>
    <row r="21659" spans="1:20" customFormat="1" ht="15" x14ac:dyDescent="0.25">
      <c r="A21659" t="s">
        <v>24</v>
      </c>
      <c r="B21659" t="s">
        <v>805</v>
      </c>
      <c r="C21659" t="str">
        <f>"311P9"</f>
        <v>311P9</v>
      </c>
      <c r="D21659" t="s">
        <v>81858</v>
      </c>
      <c r="E21659" t="s">
        <v>81859</v>
      </c>
      <c r="F21659" t="s">
        <v>1223</v>
      </c>
      <c r="G21659" t="s">
        <v>846</v>
      </c>
      <c r="H21659">
        <v>30093</v>
      </c>
      <c r="I21659" t="s">
        <v>30</v>
      </c>
      <c r="J21659" t="s">
        <v>31</v>
      </c>
      <c r="K21659" t="s">
        <v>81828</v>
      </c>
      <c r="N21659" t="s">
        <v>35037</v>
      </c>
      <c r="Q21659">
        <v>0</v>
      </c>
      <c r="R21659">
        <v>122</v>
      </c>
      <c r="S21659">
        <v>0</v>
      </c>
      <c r="T21659" t="s">
        <v>81860</v>
      </c>
    </row>
    <row r="21660" spans="1:20" customFormat="1" ht="15" x14ac:dyDescent="0.25">
      <c r="A21660" t="s">
        <v>24</v>
      </c>
      <c r="B21660" t="s">
        <v>805</v>
      </c>
      <c r="C21660" t="str">
        <f>"A0058499"</f>
        <v>A0058499</v>
      </c>
      <c r="D21660" t="s">
        <v>81861</v>
      </c>
      <c r="E21660" t="s">
        <v>81862</v>
      </c>
      <c r="F21660" t="s">
        <v>372</v>
      </c>
      <c r="G21660" t="s">
        <v>52</v>
      </c>
      <c r="H21660">
        <v>78752</v>
      </c>
      <c r="I21660" t="s">
        <v>30</v>
      </c>
      <c r="J21660" t="s">
        <v>31</v>
      </c>
      <c r="K21660" t="s">
        <v>81828</v>
      </c>
      <c r="N21660" t="s">
        <v>81863</v>
      </c>
      <c r="O21660" t="s">
        <v>2948</v>
      </c>
      <c r="Q21660">
        <v>0</v>
      </c>
      <c r="R21660">
        <v>120</v>
      </c>
      <c r="S21660">
        <v>0</v>
      </c>
      <c r="T21660" t="s">
        <v>81864</v>
      </c>
    </row>
    <row r="21661" spans="1:20" customFormat="1" ht="15" x14ac:dyDescent="0.25">
      <c r="A21661" t="s">
        <v>24</v>
      </c>
      <c r="B21661" t="s">
        <v>805</v>
      </c>
      <c r="C21661" t="str">
        <f>"311GD"</f>
        <v>311GD</v>
      </c>
      <c r="D21661" t="s">
        <v>81865</v>
      </c>
      <c r="E21661" t="s">
        <v>81866</v>
      </c>
      <c r="F21661" t="s">
        <v>81867</v>
      </c>
      <c r="G21661" t="s">
        <v>1898</v>
      </c>
      <c r="H21661">
        <v>52722</v>
      </c>
      <c r="I21661" t="s">
        <v>30</v>
      </c>
      <c r="J21661" t="s">
        <v>31</v>
      </c>
      <c r="K21661" t="s">
        <v>81828</v>
      </c>
      <c r="N21661" t="s">
        <v>81868</v>
      </c>
      <c r="O21661" t="s">
        <v>81869</v>
      </c>
      <c r="Q21661">
        <v>0</v>
      </c>
      <c r="R21661">
        <v>108</v>
      </c>
      <c r="S21661">
        <v>0</v>
      </c>
      <c r="T21661" t="s">
        <v>81870</v>
      </c>
    </row>
    <row r="21662" spans="1:20" customFormat="1" ht="15" x14ac:dyDescent="0.25">
      <c r="A21662" t="s">
        <v>24</v>
      </c>
      <c r="B21662" t="s">
        <v>805</v>
      </c>
      <c r="C21662" t="str">
        <f>"311Q7"</f>
        <v>311Q7</v>
      </c>
      <c r="D21662" t="s">
        <v>81871</v>
      </c>
      <c r="E21662" t="s">
        <v>81872</v>
      </c>
      <c r="F21662" t="s">
        <v>5706</v>
      </c>
      <c r="G21662" t="s">
        <v>1706</v>
      </c>
      <c r="H21662">
        <v>35243</v>
      </c>
      <c r="I21662" t="s">
        <v>30</v>
      </c>
      <c r="J21662" t="s">
        <v>31</v>
      </c>
      <c r="K21662" t="s">
        <v>81828</v>
      </c>
      <c r="N21662" t="s">
        <v>81873</v>
      </c>
      <c r="O21662" t="s">
        <v>81874</v>
      </c>
      <c r="Q21662">
        <v>0</v>
      </c>
      <c r="R21662">
        <v>122</v>
      </c>
      <c r="S21662">
        <v>0</v>
      </c>
      <c r="T21662" t="s">
        <v>81875</v>
      </c>
    </row>
    <row r="21663" spans="1:20" customFormat="1" ht="15" x14ac:dyDescent="0.25">
      <c r="A21663" t="s">
        <v>24</v>
      </c>
      <c r="B21663" t="s">
        <v>805</v>
      </c>
      <c r="C21663" t="str">
        <f>"311AK"</f>
        <v>311AK</v>
      </c>
      <c r="D21663" t="s">
        <v>81876</v>
      </c>
      <c r="E21663" t="s">
        <v>81877</v>
      </c>
      <c r="F21663" t="s">
        <v>6972</v>
      </c>
      <c r="G21663" t="s">
        <v>81</v>
      </c>
      <c r="H21663">
        <v>33431</v>
      </c>
      <c r="I21663" t="s">
        <v>30</v>
      </c>
      <c r="J21663" t="s">
        <v>31</v>
      </c>
      <c r="K21663" t="s">
        <v>81828</v>
      </c>
      <c r="N21663" t="s">
        <v>81878</v>
      </c>
      <c r="O21663" t="s">
        <v>81879</v>
      </c>
      <c r="Q21663">
        <v>0</v>
      </c>
      <c r="R21663">
        <v>152</v>
      </c>
      <c r="S21663">
        <v>0</v>
      </c>
      <c r="T21663" t="s">
        <v>81880</v>
      </c>
    </row>
    <row r="21664" spans="1:20" customFormat="1" ht="15" x14ac:dyDescent="0.25">
      <c r="A21664" t="s">
        <v>24</v>
      </c>
      <c r="B21664" t="s">
        <v>805</v>
      </c>
      <c r="C21664" t="str">
        <f>"311DG"</f>
        <v>311DG</v>
      </c>
      <c r="D21664" t="s">
        <v>81881</v>
      </c>
      <c r="E21664" t="s">
        <v>81882</v>
      </c>
      <c r="F21664" t="s">
        <v>3490</v>
      </c>
      <c r="G21664" t="s">
        <v>899</v>
      </c>
      <c r="H21664">
        <v>1923</v>
      </c>
      <c r="I21664" t="s">
        <v>30</v>
      </c>
      <c r="J21664" t="s">
        <v>31</v>
      </c>
      <c r="K21664" t="s">
        <v>81828</v>
      </c>
      <c r="Q21664">
        <v>0</v>
      </c>
      <c r="R21664">
        <v>122</v>
      </c>
      <c r="S21664">
        <v>0</v>
      </c>
      <c r="T21664" t="s">
        <v>81883</v>
      </c>
    </row>
    <row r="21665" spans="1:20" customFormat="1" ht="15" x14ac:dyDescent="0.25">
      <c r="A21665" t="s">
        <v>24</v>
      </c>
      <c r="B21665" t="s">
        <v>805</v>
      </c>
      <c r="C21665" t="str">
        <f>"311F7"</f>
        <v>311F7</v>
      </c>
      <c r="D21665" t="s">
        <v>81884</v>
      </c>
      <c r="E21665" t="s">
        <v>81885</v>
      </c>
      <c r="F21665" t="s">
        <v>15022</v>
      </c>
      <c r="G21665" t="s">
        <v>899</v>
      </c>
      <c r="H21665">
        <v>2035</v>
      </c>
      <c r="I21665" t="s">
        <v>30</v>
      </c>
      <c r="J21665" t="s">
        <v>31</v>
      </c>
      <c r="K21665" t="s">
        <v>81828</v>
      </c>
      <c r="N21665" t="s">
        <v>81886</v>
      </c>
      <c r="O21665" t="s">
        <v>81887</v>
      </c>
      <c r="Q21665">
        <v>0</v>
      </c>
      <c r="R21665">
        <v>149</v>
      </c>
      <c r="S21665">
        <v>0</v>
      </c>
      <c r="T21665" t="s">
        <v>81888</v>
      </c>
    </row>
    <row r="21666" spans="1:20" customFormat="1" ht="15" x14ac:dyDescent="0.25">
      <c r="A21666" t="s">
        <v>24</v>
      </c>
      <c r="B21666" t="s">
        <v>805</v>
      </c>
      <c r="C21666" t="str">
        <f>"311DH"</f>
        <v>311DH</v>
      </c>
      <c r="D21666" t="s">
        <v>81889</v>
      </c>
      <c r="E21666" t="s">
        <v>81890</v>
      </c>
      <c r="F21666" t="s">
        <v>81891</v>
      </c>
      <c r="G21666" t="s">
        <v>899</v>
      </c>
      <c r="H21666">
        <v>1852</v>
      </c>
      <c r="I21666" t="s">
        <v>30</v>
      </c>
      <c r="J21666" t="s">
        <v>31</v>
      </c>
      <c r="K21666" t="s">
        <v>81828</v>
      </c>
      <c r="N21666" t="s">
        <v>81892</v>
      </c>
      <c r="O21666" t="s">
        <v>81893</v>
      </c>
      <c r="Q21666">
        <v>0</v>
      </c>
      <c r="R21666">
        <v>120</v>
      </c>
      <c r="S21666">
        <v>0</v>
      </c>
      <c r="T21666" t="s">
        <v>81894</v>
      </c>
    </row>
    <row r="21667" spans="1:20" customFormat="1" ht="15" x14ac:dyDescent="0.25">
      <c r="A21667" t="s">
        <v>24</v>
      </c>
      <c r="B21667" t="s">
        <v>805</v>
      </c>
      <c r="C21667" t="str">
        <f>"311W8"</f>
        <v>311W8</v>
      </c>
      <c r="D21667" t="s">
        <v>81895</v>
      </c>
      <c r="E21667" t="s">
        <v>81896</v>
      </c>
      <c r="F21667" t="s">
        <v>63065</v>
      </c>
      <c r="G21667" t="s">
        <v>899</v>
      </c>
      <c r="H21667">
        <v>1757</v>
      </c>
      <c r="I21667" t="s">
        <v>30</v>
      </c>
      <c r="J21667" t="s">
        <v>31</v>
      </c>
      <c r="K21667" t="s">
        <v>81828</v>
      </c>
      <c r="N21667" t="s">
        <v>78544</v>
      </c>
      <c r="O21667" t="s">
        <v>3486</v>
      </c>
      <c r="Q21667">
        <v>0</v>
      </c>
      <c r="R21667">
        <v>152</v>
      </c>
      <c r="S21667">
        <v>0</v>
      </c>
      <c r="T21667" t="s">
        <v>81897</v>
      </c>
    </row>
    <row r="21668" spans="1:20" customFormat="1" ht="15" x14ac:dyDescent="0.25">
      <c r="A21668" t="s">
        <v>24</v>
      </c>
      <c r="B21668" t="s">
        <v>805</v>
      </c>
      <c r="C21668" t="str">
        <f>"311W6"</f>
        <v>311W6</v>
      </c>
      <c r="D21668" t="s">
        <v>81898</v>
      </c>
      <c r="E21668" t="s">
        <v>81899</v>
      </c>
      <c r="F21668" t="s">
        <v>81900</v>
      </c>
      <c r="G21668" t="s">
        <v>899</v>
      </c>
      <c r="H21668">
        <v>2072</v>
      </c>
      <c r="I21668" t="s">
        <v>30</v>
      </c>
      <c r="J21668" t="s">
        <v>31</v>
      </c>
      <c r="K21668" t="s">
        <v>81828</v>
      </c>
      <c r="N21668" t="s">
        <v>81901</v>
      </c>
      <c r="O21668" t="s">
        <v>81902</v>
      </c>
      <c r="Q21668">
        <v>0</v>
      </c>
      <c r="R21668">
        <v>152</v>
      </c>
      <c r="S21668">
        <v>0</v>
      </c>
      <c r="T21668" t="s">
        <v>81903</v>
      </c>
    </row>
    <row r="21669" spans="1:20" customFormat="1" ht="15" x14ac:dyDescent="0.25">
      <c r="A21669" t="s">
        <v>24</v>
      </c>
      <c r="B21669" t="s">
        <v>805</v>
      </c>
      <c r="C21669" t="str">
        <f>"311DE"</f>
        <v>311DE</v>
      </c>
      <c r="D21669" t="s">
        <v>81904</v>
      </c>
      <c r="E21669" t="s">
        <v>81905</v>
      </c>
      <c r="F21669" t="s">
        <v>53258</v>
      </c>
      <c r="G21669" t="s">
        <v>899</v>
      </c>
      <c r="H21669">
        <v>1801</v>
      </c>
      <c r="I21669" t="s">
        <v>30</v>
      </c>
      <c r="J21669" t="s">
        <v>31</v>
      </c>
      <c r="K21669" t="s">
        <v>81828</v>
      </c>
      <c r="N21669" t="s">
        <v>81906</v>
      </c>
      <c r="O21669" t="s">
        <v>81907</v>
      </c>
      <c r="Q21669">
        <v>0</v>
      </c>
      <c r="R21669">
        <v>120</v>
      </c>
      <c r="S21669">
        <v>0</v>
      </c>
      <c r="T21669" t="s">
        <v>81908</v>
      </c>
    </row>
    <row r="21670" spans="1:20" customFormat="1" ht="15" x14ac:dyDescent="0.25">
      <c r="A21670" t="s">
        <v>24</v>
      </c>
      <c r="B21670" t="s">
        <v>805</v>
      </c>
      <c r="C21670" t="str">
        <f>"311JE"</f>
        <v>311JE</v>
      </c>
      <c r="D21670" t="s">
        <v>81909</v>
      </c>
      <c r="E21670" t="s">
        <v>81910</v>
      </c>
      <c r="F21670" t="s">
        <v>33034</v>
      </c>
      <c r="G21670" t="s">
        <v>110</v>
      </c>
      <c r="H21670">
        <v>93012</v>
      </c>
      <c r="I21670" t="s">
        <v>30</v>
      </c>
      <c r="J21670" t="s">
        <v>31</v>
      </c>
      <c r="K21670" t="s">
        <v>81828</v>
      </c>
      <c r="N21670" t="s">
        <v>81911</v>
      </c>
      <c r="Q21670">
        <v>0</v>
      </c>
      <c r="R21670">
        <v>130</v>
      </c>
      <c r="S21670">
        <v>0</v>
      </c>
      <c r="T21670" t="s">
        <v>81912</v>
      </c>
    </row>
    <row r="21671" spans="1:20" customFormat="1" ht="15" x14ac:dyDescent="0.25">
      <c r="A21671" t="s">
        <v>24</v>
      </c>
      <c r="B21671" t="s">
        <v>805</v>
      </c>
      <c r="C21671" t="str">
        <f>"311AC"</f>
        <v>311AC</v>
      </c>
      <c r="D21671" t="s">
        <v>81913</v>
      </c>
      <c r="E21671" t="s">
        <v>81914</v>
      </c>
      <c r="F21671" t="s">
        <v>242</v>
      </c>
      <c r="G21671" t="s">
        <v>214</v>
      </c>
      <c r="H21671">
        <v>28262</v>
      </c>
      <c r="I21671" t="s">
        <v>30</v>
      </c>
      <c r="J21671" t="s">
        <v>31</v>
      </c>
      <c r="K21671" t="s">
        <v>81828</v>
      </c>
      <c r="N21671" t="s">
        <v>81915</v>
      </c>
      <c r="O21671" t="s">
        <v>81916</v>
      </c>
      <c r="Q21671">
        <v>0</v>
      </c>
      <c r="R21671">
        <v>152</v>
      </c>
      <c r="S21671">
        <v>0</v>
      </c>
      <c r="T21671" t="s">
        <v>81917</v>
      </c>
    </row>
    <row r="21672" spans="1:20" customFormat="1" ht="15" x14ac:dyDescent="0.25">
      <c r="A21672" t="s">
        <v>24</v>
      </c>
      <c r="B21672" t="s">
        <v>805</v>
      </c>
      <c r="C21672" t="str">
        <f>"311AJ"</f>
        <v>311AJ</v>
      </c>
      <c r="D21672" t="s">
        <v>81918</v>
      </c>
      <c r="E21672" t="s">
        <v>81919</v>
      </c>
      <c r="F21672" t="s">
        <v>1346</v>
      </c>
      <c r="G21672" t="s">
        <v>880</v>
      </c>
      <c r="H21672">
        <v>37421</v>
      </c>
      <c r="I21672" t="s">
        <v>30</v>
      </c>
      <c r="J21672" t="s">
        <v>31</v>
      </c>
      <c r="K21672" t="s">
        <v>81828</v>
      </c>
      <c r="N21672" t="s">
        <v>81920</v>
      </c>
      <c r="O21672" t="s">
        <v>81921</v>
      </c>
      <c r="Q21672">
        <v>0</v>
      </c>
      <c r="R21672">
        <v>109</v>
      </c>
      <c r="S21672">
        <v>0</v>
      </c>
      <c r="T21672" t="s">
        <v>81922</v>
      </c>
    </row>
    <row r="21673" spans="1:20" customFormat="1" ht="15" x14ac:dyDescent="0.25">
      <c r="A21673" t="s">
        <v>24</v>
      </c>
      <c r="B21673" t="s">
        <v>805</v>
      </c>
      <c r="C21673" t="str">
        <f>"311QE"</f>
        <v>311QE</v>
      </c>
      <c r="D21673" t="s">
        <v>81923</v>
      </c>
      <c r="E21673" t="s">
        <v>81924</v>
      </c>
      <c r="F21673" t="s">
        <v>34428</v>
      </c>
      <c r="G21673" t="s">
        <v>289</v>
      </c>
      <c r="H21673">
        <v>60118</v>
      </c>
      <c r="I21673" t="s">
        <v>30</v>
      </c>
      <c r="J21673" t="s">
        <v>31</v>
      </c>
      <c r="K21673" t="s">
        <v>81828</v>
      </c>
      <c r="N21673" t="s">
        <v>81925</v>
      </c>
      <c r="O21673" t="s">
        <v>34429</v>
      </c>
      <c r="Q21673">
        <v>0</v>
      </c>
      <c r="R21673">
        <v>126</v>
      </c>
      <c r="S21673">
        <v>0</v>
      </c>
      <c r="T21673" t="s">
        <v>81926</v>
      </c>
    </row>
    <row r="21674" spans="1:20" customFormat="1" ht="15" x14ac:dyDescent="0.25">
      <c r="A21674" t="s">
        <v>24</v>
      </c>
      <c r="B21674" t="s">
        <v>805</v>
      </c>
      <c r="C21674" t="str">
        <f>"311DK"</f>
        <v>311DK</v>
      </c>
      <c r="D21674" t="s">
        <v>81927</v>
      </c>
      <c r="E21674" t="s">
        <v>81928</v>
      </c>
      <c r="F21674" t="s">
        <v>4909</v>
      </c>
      <c r="G21674" t="s">
        <v>123</v>
      </c>
      <c r="H21674">
        <v>21045</v>
      </c>
      <c r="I21674" t="s">
        <v>30</v>
      </c>
      <c r="J21674" t="s">
        <v>31</v>
      </c>
      <c r="K21674" t="s">
        <v>81828</v>
      </c>
      <c r="N21674" t="s">
        <v>80105</v>
      </c>
      <c r="O21674" t="s">
        <v>81929</v>
      </c>
      <c r="Q21674">
        <v>0</v>
      </c>
      <c r="R21674">
        <v>152</v>
      </c>
      <c r="S21674">
        <v>0</v>
      </c>
      <c r="T21674" t="s">
        <v>81930</v>
      </c>
    </row>
    <row r="21675" spans="1:20" customFormat="1" ht="15" x14ac:dyDescent="0.25">
      <c r="A21675" t="s">
        <v>24</v>
      </c>
      <c r="B21675" t="s">
        <v>805</v>
      </c>
      <c r="C21675" t="str">
        <f>"311N9"</f>
        <v>311N9</v>
      </c>
      <c r="D21675" t="s">
        <v>81931</v>
      </c>
      <c r="E21675" t="s">
        <v>81932</v>
      </c>
      <c r="F21675" t="s">
        <v>2094</v>
      </c>
      <c r="G21675" t="s">
        <v>52</v>
      </c>
      <c r="H21675">
        <v>75231</v>
      </c>
      <c r="I21675" t="s">
        <v>30</v>
      </c>
      <c r="J21675" t="s">
        <v>31</v>
      </c>
      <c r="K21675" t="s">
        <v>81828</v>
      </c>
      <c r="N21675" t="s">
        <v>81617</v>
      </c>
      <c r="O21675" t="s">
        <v>81618</v>
      </c>
      <c r="Q21675">
        <v>0</v>
      </c>
      <c r="R21675">
        <v>160</v>
      </c>
      <c r="S21675">
        <v>0</v>
      </c>
      <c r="T21675" t="s">
        <v>81933</v>
      </c>
    </row>
    <row r="21676" spans="1:20" customFormat="1" ht="15" x14ac:dyDescent="0.25">
      <c r="A21676" t="s">
        <v>24</v>
      </c>
      <c r="B21676" t="s">
        <v>805</v>
      </c>
      <c r="C21676" t="str">
        <f>"311NF"</f>
        <v>311NF</v>
      </c>
      <c r="D21676" t="s">
        <v>81934</v>
      </c>
      <c r="E21676" t="s">
        <v>81935</v>
      </c>
      <c r="F21676" t="s">
        <v>10779</v>
      </c>
      <c r="G21676" t="s">
        <v>52</v>
      </c>
      <c r="H21676">
        <v>75082</v>
      </c>
      <c r="I21676" t="s">
        <v>30</v>
      </c>
      <c r="J21676" t="s">
        <v>31</v>
      </c>
      <c r="K21676" t="s">
        <v>81828</v>
      </c>
      <c r="N21676" t="s">
        <v>81936</v>
      </c>
      <c r="Q21676">
        <v>0</v>
      </c>
      <c r="R21676">
        <v>123</v>
      </c>
      <c r="S21676">
        <v>0</v>
      </c>
      <c r="T21676" t="s">
        <v>81937</v>
      </c>
    </row>
    <row r="21677" spans="1:20" customFormat="1" ht="15" x14ac:dyDescent="0.25">
      <c r="A21677" t="s">
        <v>24</v>
      </c>
      <c r="B21677" t="s">
        <v>805</v>
      </c>
      <c r="C21677" t="str">
        <f>"311V2"</f>
        <v>311V2</v>
      </c>
      <c r="D21677" t="s">
        <v>81938</v>
      </c>
      <c r="E21677" t="s">
        <v>81939</v>
      </c>
      <c r="F21677" t="s">
        <v>63841</v>
      </c>
      <c r="G21677" t="s">
        <v>117</v>
      </c>
      <c r="H21677">
        <v>48326</v>
      </c>
      <c r="I21677" t="s">
        <v>30</v>
      </c>
      <c r="J21677" t="s">
        <v>31</v>
      </c>
      <c r="K21677" t="s">
        <v>81828</v>
      </c>
      <c r="N21677" t="s">
        <v>81940</v>
      </c>
      <c r="Q21677">
        <v>0</v>
      </c>
      <c r="R21677">
        <v>148</v>
      </c>
      <c r="S21677">
        <v>0</v>
      </c>
      <c r="T21677" t="s">
        <v>81941</v>
      </c>
    </row>
    <row r="21678" spans="1:20" customFormat="1" ht="15" x14ac:dyDescent="0.25">
      <c r="A21678" t="s">
        <v>24</v>
      </c>
      <c r="B21678" t="s">
        <v>805</v>
      </c>
      <c r="C21678" t="str">
        <f>"311QM"</f>
        <v>311QM</v>
      </c>
      <c r="D21678" t="s">
        <v>81942</v>
      </c>
      <c r="E21678" t="s">
        <v>81943</v>
      </c>
      <c r="F21678" t="s">
        <v>63325</v>
      </c>
      <c r="G21678" t="s">
        <v>117</v>
      </c>
      <c r="H21678">
        <v>48375</v>
      </c>
      <c r="I21678" t="s">
        <v>30</v>
      </c>
      <c r="J21678" t="s">
        <v>31</v>
      </c>
      <c r="K21678" t="s">
        <v>81828</v>
      </c>
      <c r="N21678" t="s">
        <v>81944</v>
      </c>
      <c r="O21678" t="s">
        <v>60340</v>
      </c>
      <c r="Q21678">
        <v>0</v>
      </c>
      <c r="R21678">
        <v>122</v>
      </c>
      <c r="S21678">
        <v>0</v>
      </c>
      <c r="T21678" t="s">
        <v>81945</v>
      </c>
    </row>
    <row r="21679" spans="1:20" customFormat="1" ht="15" x14ac:dyDescent="0.25">
      <c r="A21679" t="s">
        <v>24</v>
      </c>
      <c r="B21679" t="s">
        <v>805</v>
      </c>
      <c r="C21679" t="str">
        <f>"311QJ"</f>
        <v>311QJ</v>
      </c>
      <c r="D21679" t="s">
        <v>81946</v>
      </c>
      <c r="E21679" t="s">
        <v>81947</v>
      </c>
      <c r="F21679" t="s">
        <v>8935</v>
      </c>
      <c r="G21679" t="s">
        <v>214</v>
      </c>
      <c r="H21679">
        <v>27713</v>
      </c>
      <c r="I21679" t="s">
        <v>30</v>
      </c>
      <c r="J21679" t="s">
        <v>31</v>
      </c>
      <c r="K21679" t="s">
        <v>81828</v>
      </c>
      <c r="N21679" t="s">
        <v>81948</v>
      </c>
      <c r="O21679" t="s">
        <v>81949</v>
      </c>
      <c r="Q21679">
        <v>0</v>
      </c>
      <c r="R21679">
        <v>123</v>
      </c>
      <c r="S21679">
        <v>0</v>
      </c>
      <c r="T21679" t="s">
        <v>81950</v>
      </c>
    </row>
    <row r="21680" spans="1:20" customFormat="1" ht="15" x14ac:dyDescent="0.25">
      <c r="A21680" t="s">
        <v>24</v>
      </c>
      <c r="B21680" t="s">
        <v>805</v>
      </c>
      <c r="C21680" t="str">
        <f>"A0055033"</f>
        <v>A0055033</v>
      </c>
      <c r="D21680" t="s">
        <v>81951</v>
      </c>
      <c r="E21680" t="s">
        <v>81952</v>
      </c>
      <c r="F21680" t="s">
        <v>64923</v>
      </c>
      <c r="G21680" t="s">
        <v>381</v>
      </c>
      <c r="H21680">
        <v>46825</v>
      </c>
      <c r="I21680" t="s">
        <v>30</v>
      </c>
      <c r="J21680" t="s">
        <v>31</v>
      </c>
      <c r="K21680" t="s">
        <v>81828</v>
      </c>
      <c r="N21680" t="s">
        <v>81953</v>
      </c>
      <c r="Q21680">
        <v>0</v>
      </c>
      <c r="R21680">
        <v>120</v>
      </c>
      <c r="S21680">
        <v>0</v>
      </c>
      <c r="T21680" t="s">
        <v>81954</v>
      </c>
    </row>
    <row r="21681" spans="1:20" customFormat="1" ht="15" x14ac:dyDescent="0.25">
      <c r="A21681" t="s">
        <v>24</v>
      </c>
      <c r="B21681" t="s">
        <v>805</v>
      </c>
      <c r="C21681" t="str">
        <f>"311Q2"</f>
        <v>311Q2</v>
      </c>
      <c r="D21681" t="s">
        <v>81955</v>
      </c>
      <c r="E21681" t="s">
        <v>81956</v>
      </c>
      <c r="F21681" t="s">
        <v>3505</v>
      </c>
      <c r="G21681" t="s">
        <v>52</v>
      </c>
      <c r="H21681">
        <v>76137</v>
      </c>
      <c r="I21681" t="s">
        <v>30</v>
      </c>
      <c r="J21681" t="s">
        <v>31</v>
      </c>
      <c r="K21681" t="s">
        <v>81828</v>
      </c>
      <c r="N21681" t="s">
        <v>81957</v>
      </c>
      <c r="Q21681">
        <v>0</v>
      </c>
      <c r="R21681">
        <v>154</v>
      </c>
      <c r="S21681">
        <v>0</v>
      </c>
      <c r="T21681" t="s">
        <v>81958</v>
      </c>
    </row>
    <row r="21682" spans="1:20" customFormat="1" ht="15" x14ac:dyDescent="0.25">
      <c r="A21682" t="s">
        <v>24</v>
      </c>
      <c r="B21682" t="s">
        <v>805</v>
      </c>
      <c r="C21682" t="str">
        <f>"311DL"</f>
        <v>311DL</v>
      </c>
      <c r="D21682" t="s">
        <v>81959</v>
      </c>
      <c r="E21682" t="s">
        <v>81960</v>
      </c>
      <c r="F21682" t="s">
        <v>7443</v>
      </c>
      <c r="G21682" t="s">
        <v>123</v>
      </c>
      <c r="H21682">
        <v>20770</v>
      </c>
      <c r="I21682" t="s">
        <v>30</v>
      </c>
      <c r="J21682" t="s">
        <v>31</v>
      </c>
      <c r="K21682" t="s">
        <v>81828</v>
      </c>
      <c r="N21682" t="s">
        <v>81961</v>
      </c>
      <c r="O21682" t="s">
        <v>81962</v>
      </c>
      <c r="Q21682">
        <v>0</v>
      </c>
      <c r="R21682">
        <v>152</v>
      </c>
      <c r="S21682">
        <v>0</v>
      </c>
      <c r="T21682" t="s">
        <v>81963</v>
      </c>
    </row>
    <row r="21683" spans="1:20" customFormat="1" ht="15" x14ac:dyDescent="0.25">
      <c r="A21683" t="s">
        <v>24</v>
      </c>
      <c r="B21683" t="s">
        <v>805</v>
      </c>
      <c r="C21683" t="str">
        <f>"311JH"</f>
        <v>311JH</v>
      </c>
      <c r="D21683" t="s">
        <v>81964</v>
      </c>
      <c r="E21683" t="s">
        <v>81965</v>
      </c>
      <c r="F21683" t="s">
        <v>62429</v>
      </c>
      <c r="G21683" t="s">
        <v>110</v>
      </c>
      <c r="H21683">
        <v>92708</v>
      </c>
      <c r="I21683" t="s">
        <v>30</v>
      </c>
      <c r="J21683" t="s">
        <v>31</v>
      </c>
      <c r="K21683" t="s">
        <v>81828</v>
      </c>
      <c r="N21683" t="s">
        <v>54231</v>
      </c>
      <c r="O21683" t="s">
        <v>81667</v>
      </c>
      <c r="Q21683">
        <v>0</v>
      </c>
      <c r="R21683">
        <v>150</v>
      </c>
      <c r="S21683">
        <v>0</v>
      </c>
      <c r="T21683" t="s">
        <v>81966</v>
      </c>
    </row>
    <row r="21684" spans="1:20" customFormat="1" ht="15" x14ac:dyDescent="0.25">
      <c r="A21684" t="s">
        <v>24</v>
      </c>
      <c r="B21684" t="s">
        <v>805</v>
      </c>
      <c r="C21684" t="str">
        <f>"311V1"</f>
        <v>311V1</v>
      </c>
      <c r="D21684" t="s">
        <v>81967</v>
      </c>
      <c r="E21684" t="s">
        <v>81968</v>
      </c>
      <c r="F21684" t="s">
        <v>9431</v>
      </c>
      <c r="G21684" t="s">
        <v>381</v>
      </c>
      <c r="H21684">
        <v>46290</v>
      </c>
      <c r="I21684" t="s">
        <v>30</v>
      </c>
      <c r="J21684" t="s">
        <v>31</v>
      </c>
      <c r="K21684" t="s">
        <v>81828</v>
      </c>
      <c r="N21684" t="s">
        <v>81969</v>
      </c>
      <c r="O21684" t="s">
        <v>81970</v>
      </c>
      <c r="Q21684">
        <v>0</v>
      </c>
      <c r="R21684">
        <v>149</v>
      </c>
      <c r="S21684">
        <v>0</v>
      </c>
      <c r="T21684" t="s">
        <v>81971</v>
      </c>
    </row>
    <row r="21685" spans="1:20" customFormat="1" ht="15" x14ac:dyDescent="0.25">
      <c r="A21685" t="s">
        <v>24</v>
      </c>
      <c r="B21685" t="s">
        <v>805</v>
      </c>
      <c r="C21685" t="str">
        <f>"311V9"</f>
        <v>311V9</v>
      </c>
      <c r="D21685" t="s">
        <v>81972</v>
      </c>
      <c r="E21685" t="s">
        <v>81973</v>
      </c>
      <c r="F21685" t="s">
        <v>5107</v>
      </c>
      <c r="G21685" t="s">
        <v>137</v>
      </c>
      <c r="H21685">
        <v>64153</v>
      </c>
      <c r="I21685" t="s">
        <v>30</v>
      </c>
      <c r="J21685" t="s">
        <v>31</v>
      </c>
      <c r="K21685" t="s">
        <v>81828</v>
      </c>
      <c r="N21685" t="s">
        <v>81974</v>
      </c>
      <c r="Q21685">
        <v>0</v>
      </c>
      <c r="R21685">
        <v>149</v>
      </c>
      <c r="S21685">
        <v>0</v>
      </c>
      <c r="T21685" t="s">
        <v>81975</v>
      </c>
    </row>
    <row r="21686" spans="1:20" customFormat="1" ht="15" x14ac:dyDescent="0.25">
      <c r="A21686" t="s">
        <v>24</v>
      </c>
      <c r="B21686" t="s">
        <v>805</v>
      </c>
      <c r="C21686" t="str">
        <f>"A0058604"</f>
        <v>A0058604</v>
      </c>
      <c r="D21686" t="s">
        <v>81976</v>
      </c>
      <c r="E21686" t="s">
        <v>81977</v>
      </c>
      <c r="F21686" t="s">
        <v>5107</v>
      </c>
      <c r="G21686" t="s">
        <v>137</v>
      </c>
      <c r="H21686">
        <v>64153</v>
      </c>
      <c r="I21686" t="s">
        <v>30</v>
      </c>
      <c r="J21686" t="s">
        <v>31</v>
      </c>
      <c r="K21686" t="s">
        <v>81828</v>
      </c>
      <c r="N21686" t="s">
        <v>81974</v>
      </c>
      <c r="O21686" t="s">
        <v>81978</v>
      </c>
      <c r="Q21686">
        <v>0</v>
      </c>
      <c r="R21686">
        <v>134</v>
      </c>
      <c r="S21686">
        <v>0</v>
      </c>
      <c r="T21686" t="s">
        <v>81979</v>
      </c>
    </row>
    <row r="21687" spans="1:20" customFormat="1" ht="15" x14ac:dyDescent="0.25">
      <c r="A21687" t="s">
        <v>24</v>
      </c>
      <c r="B21687" t="s">
        <v>805</v>
      </c>
      <c r="C21687" t="str">
        <f>"311GB"</f>
        <v>311GB</v>
      </c>
      <c r="D21687" t="s">
        <v>81980</v>
      </c>
      <c r="E21687" t="s">
        <v>81981</v>
      </c>
      <c r="F21687" t="s">
        <v>5107</v>
      </c>
      <c r="G21687" t="s">
        <v>137</v>
      </c>
      <c r="H21687">
        <v>64131</v>
      </c>
      <c r="I21687" t="s">
        <v>30</v>
      </c>
      <c r="J21687" t="s">
        <v>31</v>
      </c>
      <c r="K21687" t="s">
        <v>81828</v>
      </c>
      <c r="N21687" t="s">
        <v>81982</v>
      </c>
      <c r="O21687" t="s">
        <v>81983</v>
      </c>
      <c r="Q21687">
        <v>0</v>
      </c>
      <c r="R21687">
        <v>149</v>
      </c>
      <c r="S21687">
        <v>0</v>
      </c>
      <c r="T21687" t="s">
        <v>81984</v>
      </c>
    </row>
    <row r="21688" spans="1:20" customFormat="1" ht="15" x14ac:dyDescent="0.25">
      <c r="A21688" t="s">
        <v>24</v>
      </c>
      <c r="B21688" t="s">
        <v>805</v>
      </c>
      <c r="C21688" t="str">
        <f>"311JB"</f>
        <v>311JB</v>
      </c>
      <c r="D21688" t="s">
        <v>81985</v>
      </c>
      <c r="E21688" t="s">
        <v>81986</v>
      </c>
      <c r="F21688" t="s">
        <v>81987</v>
      </c>
      <c r="G21688" t="s">
        <v>110</v>
      </c>
      <c r="H21688">
        <v>92653</v>
      </c>
      <c r="I21688" t="s">
        <v>30</v>
      </c>
      <c r="J21688" t="s">
        <v>31</v>
      </c>
      <c r="K21688" t="s">
        <v>81828</v>
      </c>
      <c r="N21688" t="s">
        <v>81988</v>
      </c>
      <c r="O21688" t="s">
        <v>81989</v>
      </c>
      <c r="Q21688">
        <v>0</v>
      </c>
      <c r="R21688">
        <v>136</v>
      </c>
      <c r="S21688">
        <v>0</v>
      </c>
      <c r="T21688" t="s">
        <v>81990</v>
      </c>
    </row>
    <row r="21689" spans="1:20" customFormat="1" ht="15" x14ac:dyDescent="0.25">
      <c r="A21689" t="s">
        <v>24</v>
      </c>
      <c r="B21689" t="s">
        <v>805</v>
      </c>
      <c r="C21689" t="str">
        <f>"311QN"</f>
        <v>311QN</v>
      </c>
      <c r="D21689" t="s">
        <v>81991</v>
      </c>
      <c r="E21689" t="s">
        <v>81992</v>
      </c>
      <c r="F21689" t="s">
        <v>220</v>
      </c>
      <c r="G21689" t="s">
        <v>221</v>
      </c>
      <c r="H21689">
        <v>89108</v>
      </c>
      <c r="I21689" t="s">
        <v>30</v>
      </c>
      <c r="J21689" t="s">
        <v>31</v>
      </c>
      <c r="K21689" t="s">
        <v>81828</v>
      </c>
      <c r="N21689" t="s">
        <v>81993</v>
      </c>
      <c r="Q21689">
        <v>0</v>
      </c>
      <c r="R21689">
        <v>154</v>
      </c>
      <c r="S21689">
        <v>0</v>
      </c>
      <c r="T21689" t="s">
        <v>81994</v>
      </c>
    </row>
    <row r="21690" spans="1:20" customFormat="1" ht="15" x14ac:dyDescent="0.25">
      <c r="A21690" t="s">
        <v>24</v>
      </c>
      <c r="B21690" t="s">
        <v>805</v>
      </c>
      <c r="C21690" t="str">
        <f>"311J6"</f>
        <v>311J6</v>
      </c>
      <c r="D21690" t="s">
        <v>81995</v>
      </c>
      <c r="E21690" t="s">
        <v>81996</v>
      </c>
      <c r="F21690" t="s">
        <v>14609</v>
      </c>
      <c r="G21690" t="s">
        <v>110</v>
      </c>
      <c r="H21690">
        <v>90245</v>
      </c>
      <c r="I21690" t="s">
        <v>30</v>
      </c>
      <c r="J21690" t="s">
        <v>31</v>
      </c>
      <c r="K21690" t="s">
        <v>81828</v>
      </c>
      <c r="N21690" t="s">
        <v>54325</v>
      </c>
      <c r="O21690" t="s">
        <v>81997</v>
      </c>
      <c r="Q21690">
        <v>0</v>
      </c>
      <c r="R21690">
        <v>146</v>
      </c>
      <c r="S21690">
        <v>0</v>
      </c>
      <c r="T21690" t="s">
        <v>81998</v>
      </c>
    </row>
    <row r="21691" spans="1:20" customFormat="1" ht="15" x14ac:dyDescent="0.25">
      <c r="A21691" t="s">
        <v>24</v>
      </c>
      <c r="B21691" t="s">
        <v>805</v>
      </c>
      <c r="C21691" t="str">
        <f>"311JC"</f>
        <v>311JC</v>
      </c>
      <c r="D21691" t="s">
        <v>81999</v>
      </c>
      <c r="E21691" t="s">
        <v>82000</v>
      </c>
      <c r="F21691" t="s">
        <v>5946</v>
      </c>
      <c r="G21691" t="s">
        <v>110</v>
      </c>
      <c r="H21691">
        <v>90504</v>
      </c>
      <c r="I21691" t="s">
        <v>30</v>
      </c>
      <c r="J21691" t="s">
        <v>31</v>
      </c>
      <c r="K21691" t="s">
        <v>81828</v>
      </c>
      <c r="N21691" t="s">
        <v>82001</v>
      </c>
      <c r="Q21691">
        <v>0</v>
      </c>
      <c r="R21691">
        <v>150</v>
      </c>
      <c r="S21691">
        <v>0</v>
      </c>
      <c r="T21691" t="s">
        <v>82002</v>
      </c>
    </row>
    <row r="21692" spans="1:20" customFormat="1" ht="15" x14ac:dyDescent="0.25">
      <c r="A21692" t="s">
        <v>24</v>
      </c>
      <c r="B21692" t="s">
        <v>805</v>
      </c>
      <c r="C21692" t="str">
        <f>"311DF"</f>
        <v>311DF</v>
      </c>
      <c r="D21692" t="s">
        <v>82003</v>
      </c>
      <c r="E21692" t="s">
        <v>82004</v>
      </c>
      <c r="F21692" t="s">
        <v>63242</v>
      </c>
      <c r="G21692" t="s">
        <v>338</v>
      </c>
      <c r="H21692">
        <v>7430</v>
      </c>
      <c r="I21692" t="s">
        <v>30</v>
      </c>
      <c r="J21692" t="s">
        <v>31</v>
      </c>
      <c r="K21692" t="s">
        <v>81828</v>
      </c>
      <c r="N21692" t="s">
        <v>82005</v>
      </c>
      <c r="Q21692">
        <v>0</v>
      </c>
      <c r="R21692">
        <v>146</v>
      </c>
      <c r="S21692">
        <v>0</v>
      </c>
      <c r="T21692" t="s">
        <v>82006</v>
      </c>
    </row>
    <row r="21693" spans="1:20" customFormat="1" ht="15" x14ac:dyDescent="0.25">
      <c r="A21693" t="s">
        <v>24</v>
      </c>
      <c r="B21693" t="s">
        <v>805</v>
      </c>
      <c r="C21693" t="str">
        <f>"311AE"</f>
        <v>311AE</v>
      </c>
      <c r="D21693" t="s">
        <v>82007</v>
      </c>
      <c r="E21693" t="s">
        <v>82008</v>
      </c>
      <c r="F21693" t="s">
        <v>76270</v>
      </c>
      <c r="G21693" t="s">
        <v>81</v>
      </c>
      <c r="H21693">
        <v>33016</v>
      </c>
      <c r="I21693" t="s">
        <v>30</v>
      </c>
      <c r="J21693" t="s">
        <v>31</v>
      </c>
      <c r="K21693" t="s">
        <v>81828</v>
      </c>
      <c r="N21693" t="s">
        <v>82009</v>
      </c>
      <c r="Q21693">
        <v>0</v>
      </c>
      <c r="R21693">
        <v>151</v>
      </c>
      <c r="S21693">
        <v>0</v>
      </c>
      <c r="T21693" t="s">
        <v>82010</v>
      </c>
    </row>
    <row r="21694" spans="1:20" customFormat="1" ht="15" x14ac:dyDescent="0.25">
      <c r="A21694" t="s">
        <v>24</v>
      </c>
      <c r="B21694" t="s">
        <v>805</v>
      </c>
      <c r="C21694" t="str">
        <f>"311GH"</f>
        <v>311GH</v>
      </c>
      <c r="D21694" t="s">
        <v>82011</v>
      </c>
      <c r="E21694" t="s">
        <v>82012</v>
      </c>
      <c r="F21694" t="s">
        <v>57381</v>
      </c>
      <c r="G21694" t="s">
        <v>71</v>
      </c>
      <c r="H21694">
        <v>53005</v>
      </c>
      <c r="I21694" t="s">
        <v>30</v>
      </c>
      <c r="J21694" t="s">
        <v>31</v>
      </c>
      <c r="K21694" t="s">
        <v>81828</v>
      </c>
      <c r="N21694" t="s">
        <v>82013</v>
      </c>
      <c r="O21694" t="s">
        <v>82014</v>
      </c>
      <c r="Q21694">
        <v>0</v>
      </c>
      <c r="R21694">
        <v>147</v>
      </c>
      <c r="S21694">
        <v>0</v>
      </c>
      <c r="T21694" t="s">
        <v>82015</v>
      </c>
    </row>
    <row r="21695" spans="1:20" customFormat="1" ht="15" x14ac:dyDescent="0.25">
      <c r="A21695" t="s">
        <v>24</v>
      </c>
      <c r="B21695" t="s">
        <v>805</v>
      </c>
      <c r="C21695" t="str">
        <f>"311T9"</f>
        <v>311T9</v>
      </c>
      <c r="D21695" t="s">
        <v>82016</v>
      </c>
      <c r="E21695" t="s">
        <v>82017</v>
      </c>
      <c r="F21695" t="s">
        <v>82018</v>
      </c>
      <c r="G21695" t="s">
        <v>161</v>
      </c>
      <c r="H21695">
        <v>55344</v>
      </c>
      <c r="I21695" t="s">
        <v>30</v>
      </c>
      <c r="J21695" t="s">
        <v>31</v>
      </c>
      <c r="K21695" t="s">
        <v>81828</v>
      </c>
      <c r="N21695" t="s">
        <v>82019</v>
      </c>
      <c r="O21695" t="s">
        <v>82020</v>
      </c>
      <c r="Q21695">
        <v>0</v>
      </c>
      <c r="R21695">
        <v>149</v>
      </c>
      <c r="S21695">
        <v>0</v>
      </c>
      <c r="T21695" t="s">
        <v>82021</v>
      </c>
    </row>
    <row r="21696" spans="1:20" customFormat="1" ht="15" x14ac:dyDescent="0.25">
      <c r="A21696" t="s">
        <v>24</v>
      </c>
      <c r="B21696" t="s">
        <v>805</v>
      </c>
      <c r="C21696" t="str">
        <f>"192KD"</f>
        <v>192KD</v>
      </c>
      <c r="D21696" t="s">
        <v>82022</v>
      </c>
      <c r="E21696" t="s">
        <v>82023</v>
      </c>
      <c r="F21696" t="s">
        <v>2971</v>
      </c>
      <c r="G21696" t="s">
        <v>880</v>
      </c>
      <c r="H21696">
        <v>37214</v>
      </c>
      <c r="I21696" t="s">
        <v>30</v>
      </c>
      <c r="J21696" t="s">
        <v>31</v>
      </c>
      <c r="K21696" t="s">
        <v>81828</v>
      </c>
      <c r="N21696" t="s">
        <v>82024</v>
      </c>
      <c r="Q21696">
        <v>0</v>
      </c>
      <c r="R21696">
        <v>150</v>
      </c>
      <c r="S21696">
        <v>0</v>
      </c>
      <c r="T21696" t="s">
        <v>82025</v>
      </c>
    </row>
    <row r="21697" spans="1:20" customFormat="1" ht="15" x14ac:dyDescent="0.25">
      <c r="A21697" t="s">
        <v>24</v>
      </c>
      <c r="B21697" t="s">
        <v>805</v>
      </c>
      <c r="C21697" t="str">
        <f>"311DB"</f>
        <v>311DB</v>
      </c>
      <c r="D21697" t="s">
        <v>82026</v>
      </c>
      <c r="E21697" t="s">
        <v>82027</v>
      </c>
      <c r="F21697" t="s">
        <v>1153</v>
      </c>
      <c r="G21697" t="s">
        <v>528</v>
      </c>
      <c r="H21697">
        <v>19713</v>
      </c>
      <c r="I21697" t="s">
        <v>30</v>
      </c>
      <c r="J21697" t="s">
        <v>31</v>
      </c>
      <c r="K21697" t="s">
        <v>81828</v>
      </c>
      <c r="N21697" t="s">
        <v>82028</v>
      </c>
      <c r="O21697" t="s">
        <v>82029</v>
      </c>
      <c r="Q21697">
        <v>0</v>
      </c>
      <c r="R21697">
        <v>152</v>
      </c>
      <c r="S21697">
        <v>0</v>
      </c>
      <c r="T21697" t="s">
        <v>82030</v>
      </c>
    </row>
    <row r="21698" spans="1:20" customFormat="1" ht="15" x14ac:dyDescent="0.25">
      <c r="A21698" t="s">
        <v>24</v>
      </c>
      <c r="B21698" t="s">
        <v>805</v>
      </c>
      <c r="C21698" t="str">
        <f>"311W9"</f>
        <v>311W9</v>
      </c>
      <c r="D21698" t="s">
        <v>82031</v>
      </c>
      <c r="E21698" t="s">
        <v>82032</v>
      </c>
      <c r="F21698" t="s">
        <v>9058</v>
      </c>
      <c r="G21698" t="s">
        <v>90</v>
      </c>
      <c r="H21698">
        <v>2842</v>
      </c>
      <c r="I21698" t="s">
        <v>30</v>
      </c>
      <c r="J21698" t="s">
        <v>31</v>
      </c>
      <c r="K21698" t="s">
        <v>81828</v>
      </c>
      <c r="N21698" t="s">
        <v>82033</v>
      </c>
      <c r="O21698" t="s">
        <v>82034</v>
      </c>
      <c r="Q21698">
        <v>0</v>
      </c>
      <c r="R21698">
        <v>148</v>
      </c>
      <c r="S21698">
        <v>0</v>
      </c>
      <c r="T21698" t="s">
        <v>82035</v>
      </c>
    </row>
    <row r="21699" spans="1:20" customFormat="1" ht="15" x14ac:dyDescent="0.25">
      <c r="A21699" t="s">
        <v>24</v>
      </c>
      <c r="B21699" t="s">
        <v>805</v>
      </c>
      <c r="C21699" t="str">
        <f>"311DN"</f>
        <v>311DN</v>
      </c>
      <c r="D21699" t="s">
        <v>82036</v>
      </c>
      <c r="E21699" t="s">
        <v>82037</v>
      </c>
      <c r="F21699" t="s">
        <v>9812</v>
      </c>
      <c r="G21699" t="s">
        <v>103</v>
      </c>
      <c r="H21699">
        <v>19153</v>
      </c>
      <c r="I21699" t="s">
        <v>30</v>
      </c>
      <c r="J21699" t="s">
        <v>31</v>
      </c>
      <c r="K21699" t="s">
        <v>81828</v>
      </c>
      <c r="N21699" t="s">
        <v>68464</v>
      </c>
      <c r="O21699" t="s">
        <v>82038</v>
      </c>
      <c r="Q21699">
        <v>0</v>
      </c>
      <c r="R21699">
        <v>152</v>
      </c>
      <c r="S21699">
        <v>0</v>
      </c>
      <c r="T21699" t="s">
        <v>82039</v>
      </c>
    </row>
    <row r="21700" spans="1:20" customFormat="1" ht="15" x14ac:dyDescent="0.25">
      <c r="A21700" t="s">
        <v>24</v>
      </c>
      <c r="B21700" t="s">
        <v>805</v>
      </c>
      <c r="C21700" t="str">
        <f>"311JF"</f>
        <v>311JF</v>
      </c>
      <c r="D21700" t="s">
        <v>82040</v>
      </c>
      <c r="E21700" t="s">
        <v>82041</v>
      </c>
      <c r="F21700" t="s">
        <v>196</v>
      </c>
      <c r="G21700" t="s">
        <v>197</v>
      </c>
      <c r="H21700">
        <v>85016</v>
      </c>
      <c r="I21700" t="s">
        <v>30</v>
      </c>
      <c r="J21700" t="s">
        <v>31</v>
      </c>
      <c r="K21700" t="s">
        <v>81828</v>
      </c>
      <c r="Q21700">
        <v>0</v>
      </c>
      <c r="R21700">
        <v>155</v>
      </c>
      <c r="S21700">
        <v>0</v>
      </c>
      <c r="T21700" t="s">
        <v>82042</v>
      </c>
    </row>
    <row r="21701" spans="1:20" customFormat="1" ht="15" x14ac:dyDescent="0.25">
      <c r="A21701" t="s">
        <v>24</v>
      </c>
      <c r="B21701" t="s">
        <v>805</v>
      </c>
      <c r="C21701" t="str">
        <f>"311QW"</f>
        <v>311QW</v>
      </c>
      <c r="D21701" t="s">
        <v>82043</v>
      </c>
      <c r="E21701" t="s">
        <v>82044</v>
      </c>
      <c r="F21701" t="s">
        <v>34458</v>
      </c>
      <c r="G21701" t="s">
        <v>197</v>
      </c>
      <c r="H21701">
        <v>85226</v>
      </c>
      <c r="I21701" t="s">
        <v>30</v>
      </c>
      <c r="J21701" t="s">
        <v>31</v>
      </c>
      <c r="K21701" t="s">
        <v>81828</v>
      </c>
      <c r="N21701" t="s">
        <v>82045</v>
      </c>
      <c r="Q21701">
        <v>0</v>
      </c>
      <c r="R21701">
        <v>156</v>
      </c>
      <c r="S21701">
        <v>0</v>
      </c>
      <c r="T21701" t="s">
        <v>82046</v>
      </c>
    </row>
    <row r="21702" spans="1:20" customFormat="1" ht="15" x14ac:dyDescent="0.25">
      <c r="A21702" t="s">
        <v>24</v>
      </c>
      <c r="B21702" t="s">
        <v>805</v>
      </c>
      <c r="C21702" t="str">
        <f>"311Q3"</f>
        <v>311Q3</v>
      </c>
      <c r="D21702" t="s">
        <v>82047</v>
      </c>
      <c r="E21702" t="s">
        <v>82048</v>
      </c>
      <c r="F21702" t="s">
        <v>7883</v>
      </c>
      <c r="G21702" t="s">
        <v>110</v>
      </c>
      <c r="H21702">
        <v>94523</v>
      </c>
      <c r="I21702" t="s">
        <v>30</v>
      </c>
      <c r="J21702" t="s">
        <v>31</v>
      </c>
      <c r="K21702" t="s">
        <v>81828</v>
      </c>
      <c r="N21702" t="s">
        <v>82049</v>
      </c>
      <c r="O21702" t="s">
        <v>81758</v>
      </c>
      <c r="Q21702">
        <v>0</v>
      </c>
      <c r="R21702">
        <v>135</v>
      </c>
      <c r="S21702">
        <v>0</v>
      </c>
      <c r="T21702" t="s">
        <v>82050</v>
      </c>
    </row>
    <row r="21703" spans="1:20" customFormat="1" ht="15" x14ac:dyDescent="0.25">
      <c r="A21703" t="s">
        <v>24</v>
      </c>
      <c r="B21703" t="s">
        <v>805</v>
      </c>
      <c r="C21703" t="str">
        <f>"311R5"</f>
        <v>311R5</v>
      </c>
      <c r="D21703" t="s">
        <v>82051</v>
      </c>
      <c r="E21703" t="s">
        <v>82052</v>
      </c>
      <c r="F21703" t="s">
        <v>6941</v>
      </c>
      <c r="G21703" t="s">
        <v>214</v>
      </c>
      <c r="H21703">
        <v>27560</v>
      </c>
      <c r="I21703" t="s">
        <v>30</v>
      </c>
      <c r="J21703" t="s">
        <v>31</v>
      </c>
      <c r="K21703" t="s">
        <v>81828</v>
      </c>
      <c r="N21703" t="s">
        <v>82053</v>
      </c>
      <c r="Q21703">
        <v>0</v>
      </c>
      <c r="R21703">
        <v>152</v>
      </c>
      <c r="S21703">
        <v>0</v>
      </c>
      <c r="T21703" t="s">
        <v>82054</v>
      </c>
    </row>
    <row r="21704" spans="1:20" customFormat="1" ht="15" x14ac:dyDescent="0.25">
      <c r="A21704" t="s">
        <v>24</v>
      </c>
      <c r="B21704" t="s">
        <v>805</v>
      </c>
      <c r="C21704" t="str">
        <f>"311QX"</f>
        <v>311QX</v>
      </c>
      <c r="D21704" t="s">
        <v>82055</v>
      </c>
      <c r="E21704" t="s">
        <v>82056</v>
      </c>
      <c r="F21704" t="s">
        <v>69650</v>
      </c>
      <c r="G21704" t="s">
        <v>110</v>
      </c>
      <c r="H21704">
        <v>94080</v>
      </c>
      <c r="I21704" t="s">
        <v>30</v>
      </c>
      <c r="J21704" t="s">
        <v>31</v>
      </c>
      <c r="K21704" t="s">
        <v>81828</v>
      </c>
      <c r="N21704" t="s">
        <v>82057</v>
      </c>
      <c r="O21704" t="s">
        <v>81758</v>
      </c>
      <c r="Q21704">
        <v>0</v>
      </c>
      <c r="R21704">
        <v>198</v>
      </c>
      <c r="S21704">
        <v>0</v>
      </c>
      <c r="T21704" t="s">
        <v>82058</v>
      </c>
    </row>
    <row r="21705" spans="1:20" customFormat="1" ht="15" x14ac:dyDescent="0.25">
      <c r="A21705" t="s">
        <v>24</v>
      </c>
      <c r="B21705" t="s">
        <v>805</v>
      </c>
      <c r="C21705" t="str">
        <f>"311JD"</f>
        <v>311JD</v>
      </c>
      <c r="D21705" t="s">
        <v>82059</v>
      </c>
      <c r="E21705" t="s">
        <v>82060</v>
      </c>
      <c r="F21705" t="s">
        <v>4802</v>
      </c>
      <c r="G21705" t="s">
        <v>110</v>
      </c>
      <c r="H21705">
        <v>95110</v>
      </c>
      <c r="I21705" t="s">
        <v>30</v>
      </c>
      <c r="J21705" t="s">
        <v>31</v>
      </c>
      <c r="K21705" t="s">
        <v>81828</v>
      </c>
      <c r="N21705" t="s">
        <v>55549</v>
      </c>
      <c r="O21705" t="s">
        <v>82061</v>
      </c>
      <c r="Q21705">
        <v>0</v>
      </c>
      <c r="R21705">
        <v>151</v>
      </c>
      <c r="S21705">
        <v>0</v>
      </c>
      <c r="T21705" t="s">
        <v>82062</v>
      </c>
    </row>
    <row r="21706" spans="1:20" customFormat="1" ht="15" x14ac:dyDescent="0.25">
      <c r="A21706" t="s">
        <v>24</v>
      </c>
      <c r="B21706" t="s">
        <v>805</v>
      </c>
      <c r="C21706" t="str">
        <f>"311QB"</f>
        <v>311QB</v>
      </c>
      <c r="D21706" t="s">
        <v>82063</v>
      </c>
      <c r="E21706" t="s">
        <v>82064</v>
      </c>
      <c r="F21706" t="s">
        <v>73101</v>
      </c>
      <c r="G21706" t="s">
        <v>110</v>
      </c>
      <c r="H21706">
        <v>94583</v>
      </c>
      <c r="I21706" t="s">
        <v>30</v>
      </c>
      <c r="J21706" t="s">
        <v>31</v>
      </c>
      <c r="K21706" t="s">
        <v>81828</v>
      </c>
      <c r="N21706" t="s">
        <v>82065</v>
      </c>
      <c r="Q21706">
        <v>0</v>
      </c>
      <c r="R21706">
        <v>138</v>
      </c>
      <c r="S21706">
        <v>0</v>
      </c>
      <c r="T21706" t="s">
        <v>82066</v>
      </c>
    </row>
    <row r="21707" spans="1:20" customFormat="1" ht="15" x14ac:dyDescent="0.25">
      <c r="A21707" t="s">
        <v>24</v>
      </c>
      <c r="B21707" t="s">
        <v>805</v>
      </c>
      <c r="C21707" t="str">
        <f>"311L2"</f>
        <v>311L2</v>
      </c>
      <c r="D21707" t="s">
        <v>82067</v>
      </c>
      <c r="E21707" t="s">
        <v>82068</v>
      </c>
      <c r="F21707" t="s">
        <v>2014</v>
      </c>
      <c r="G21707" t="s">
        <v>197</v>
      </c>
      <c r="H21707">
        <v>85259</v>
      </c>
      <c r="I21707" t="s">
        <v>30</v>
      </c>
      <c r="J21707" t="s">
        <v>31</v>
      </c>
      <c r="K21707" t="s">
        <v>81828</v>
      </c>
      <c r="N21707" t="s">
        <v>61488</v>
      </c>
      <c r="O21707" t="s">
        <v>82069</v>
      </c>
      <c r="Q21707">
        <v>0</v>
      </c>
      <c r="R21707">
        <v>124</v>
      </c>
      <c r="S21707">
        <v>0</v>
      </c>
      <c r="T21707" t="s">
        <v>82070</v>
      </c>
    </row>
    <row r="21708" spans="1:20" customFormat="1" ht="15" x14ac:dyDescent="0.25">
      <c r="A21708" t="s">
        <v>24</v>
      </c>
      <c r="B21708" t="s">
        <v>805</v>
      </c>
      <c r="C21708" t="str">
        <f>"311JG"</f>
        <v>311JG</v>
      </c>
      <c r="D21708" t="s">
        <v>82071</v>
      </c>
      <c r="E21708" t="s">
        <v>82072</v>
      </c>
      <c r="F21708" t="s">
        <v>14497</v>
      </c>
      <c r="G21708" t="s">
        <v>76</v>
      </c>
      <c r="H21708">
        <v>98007</v>
      </c>
      <c r="I21708" t="s">
        <v>30</v>
      </c>
      <c r="J21708" t="s">
        <v>31</v>
      </c>
      <c r="K21708" t="s">
        <v>81828</v>
      </c>
      <c r="N21708" t="s">
        <v>82073</v>
      </c>
      <c r="O21708" t="s">
        <v>82074</v>
      </c>
      <c r="Q21708">
        <v>0</v>
      </c>
      <c r="R21708">
        <v>152</v>
      </c>
      <c r="S21708">
        <v>0</v>
      </c>
      <c r="T21708" t="s">
        <v>82075</v>
      </c>
    </row>
    <row r="21709" spans="1:20" customFormat="1" ht="15" x14ac:dyDescent="0.25">
      <c r="A21709" t="s">
        <v>24</v>
      </c>
      <c r="B21709" t="s">
        <v>805</v>
      </c>
      <c r="C21709" t="str">
        <f>"192KC"</f>
        <v>192KC</v>
      </c>
      <c r="D21709" t="s">
        <v>82076</v>
      </c>
      <c r="E21709" t="s">
        <v>82077</v>
      </c>
      <c r="F21709" t="s">
        <v>53776</v>
      </c>
      <c r="G21709" t="s">
        <v>76</v>
      </c>
      <c r="H21709">
        <v>98055</v>
      </c>
      <c r="I21709" t="s">
        <v>30</v>
      </c>
      <c r="J21709" t="s">
        <v>31</v>
      </c>
      <c r="K21709" t="s">
        <v>81828</v>
      </c>
      <c r="N21709" t="s">
        <v>82078</v>
      </c>
      <c r="O21709" t="s">
        <v>54325</v>
      </c>
      <c r="Q21709">
        <v>0</v>
      </c>
      <c r="R21709">
        <v>114</v>
      </c>
      <c r="S21709">
        <v>0</v>
      </c>
      <c r="T21709" t="s">
        <v>82079</v>
      </c>
    </row>
    <row r="21710" spans="1:20" customFormat="1" ht="15" x14ac:dyDescent="0.25">
      <c r="A21710" t="s">
        <v>24</v>
      </c>
      <c r="B21710" t="s">
        <v>805</v>
      </c>
      <c r="C21710" t="str">
        <f>"311R9"</f>
        <v>311R9</v>
      </c>
      <c r="D21710" t="s">
        <v>82080</v>
      </c>
      <c r="E21710" t="s">
        <v>82081</v>
      </c>
      <c r="F21710" t="s">
        <v>66464</v>
      </c>
      <c r="G21710" t="s">
        <v>58</v>
      </c>
      <c r="H21710">
        <v>29303</v>
      </c>
      <c r="I21710" t="s">
        <v>30</v>
      </c>
      <c r="J21710" t="s">
        <v>31</v>
      </c>
      <c r="K21710" t="s">
        <v>81828</v>
      </c>
      <c r="N21710" t="s">
        <v>82082</v>
      </c>
      <c r="O21710" t="s">
        <v>82083</v>
      </c>
      <c r="Q21710">
        <v>0</v>
      </c>
      <c r="R21710">
        <v>108</v>
      </c>
      <c r="S21710">
        <v>0</v>
      </c>
      <c r="T21710" t="s">
        <v>82084</v>
      </c>
    </row>
    <row r="21711" spans="1:20" customFormat="1" ht="15" x14ac:dyDescent="0.25">
      <c r="A21711" t="s">
        <v>24</v>
      </c>
      <c r="B21711" t="s">
        <v>805</v>
      </c>
      <c r="C21711" t="str">
        <f>"311Q1"</f>
        <v>311Q1</v>
      </c>
      <c r="D21711" t="s">
        <v>82085</v>
      </c>
      <c r="E21711" t="s">
        <v>82086</v>
      </c>
      <c r="F21711" t="s">
        <v>1592</v>
      </c>
      <c r="G21711" t="s">
        <v>197</v>
      </c>
      <c r="H21711">
        <v>85281</v>
      </c>
      <c r="I21711" t="s">
        <v>30</v>
      </c>
      <c r="J21711" t="s">
        <v>31</v>
      </c>
      <c r="K21711" t="s">
        <v>81828</v>
      </c>
      <c r="N21711" t="s">
        <v>82087</v>
      </c>
      <c r="Q21711">
        <v>0</v>
      </c>
      <c r="R21711">
        <v>160</v>
      </c>
      <c r="S21711">
        <v>0</v>
      </c>
      <c r="T21711" t="s">
        <v>82088</v>
      </c>
    </row>
    <row r="21712" spans="1:20" customFormat="1" ht="15" x14ac:dyDescent="0.25">
      <c r="A21712" t="s">
        <v>24</v>
      </c>
      <c r="B21712" t="s">
        <v>805</v>
      </c>
      <c r="C21712" t="str">
        <f>"311DJ"</f>
        <v>311DJ</v>
      </c>
      <c r="D21712" t="s">
        <v>82089</v>
      </c>
      <c r="E21712" t="s">
        <v>82090</v>
      </c>
      <c r="F21712" t="s">
        <v>82091</v>
      </c>
      <c r="G21712" t="s">
        <v>338</v>
      </c>
      <c r="H21712">
        <v>7724</v>
      </c>
      <c r="I21712" t="s">
        <v>30</v>
      </c>
      <c r="J21712" t="s">
        <v>31</v>
      </c>
      <c r="K21712" t="s">
        <v>81828</v>
      </c>
      <c r="N21712" t="s">
        <v>68289</v>
      </c>
      <c r="O21712" t="s">
        <v>82092</v>
      </c>
      <c r="Q21712">
        <v>0</v>
      </c>
      <c r="R21712">
        <v>121</v>
      </c>
      <c r="S21712">
        <v>0</v>
      </c>
      <c r="T21712" t="s">
        <v>82093</v>
      </c>
    </row>
    <row r="21713" spans="1:25" customFormat="1" ht="15" x14ac:dyDescent="0.25">
      <c r="A21713" t="s">
        <v>24</v>
      </c>
      <c r="B21713" t="s">
        <v>805</v>
      </c>
      <c r="C21713" t="str">
        <f>"A0054989"</f>
        <v>A0054989</v>
      </c>
      <c r="D21713" t="s">
        <v>82094</v>
      </c>
      <c r="E21713" t="s">
        <v>82095</v>
      </c>
      <c r="F21713" t="s">
        <v>796</v>
      </c>
      <c r="G21713" t="s">
        <v>197</v>
      </c>
      <c r="H21713">
        <v>85709</v>
      </c>
      <c r="I21713" t="s">
        <v>30</v>
      </c>
      <c r="J21713" t="s">
        <v>31</v>
      </c>
      <c r="K21713" t="s">
        <v>81828</v>
      </c>
      <c r="N21713" t="s">
        <v>82096</v>
      </c>
      <c r="O21713" t="s">
        <v>82097</v>
      </c>
      <c r="Q21713">
        <v>0</v>
      </c>
      <c r="R21713">
        <v>120</v>
      </c>
      <c r="S21713">
        <v>0</v>
      </c>
      <c r="T21713" t="s">
        <v>82098</v>
      </c>
    </row>
    <row r="21714" spans="1:25" customFormat="1" ht="15" x14ac:dyDescent="0.25">
      <c r="A21714" t="s">
        <v>24</v>
      </c>
      <c r="B21714" t="s">
        <v>805</v>
      </c>
      <c r="C21714" t="str">
        <f>"311W5"</f>
        <v>311W5</v>
      </c>
      <c r="D21714" t="s">
        <v>82099</v>
      </c>
      <c r="E21714" t="s">
        <v>82100</v>
      </c>
      <c r="F21714" t="s">
        <v>75724</v>
      </c>
      <c r="G21714" t="s">
        <v>338</v>
      </c>
      <c r="H21714">
        <v>7981</v>
      </c>
      <c r="I21714" t="s">
        <v>30</v>
      </c>
      <c r="J21714" t="s">
        <v>31</v>
      </c>
      <c r="K21714" t="s">
        <v>81828</v>
      </c>
      <c r="N21714" t="s">
        <v>82101</v>
      </c>
      <c r="O21714" t="s">
        <v>82102</v>
      </c>
      <c r="Q21714">
        <v>0</v>
      </c>
      <c r="R21714">
        <v>149</v>
      </c>
      <c r="S21714">
        <v>0</v>
      </c>
      <c r="T21714" t="s">
        <v>82103</v>
      </c>
    </row>
    <row r="21715" spans="1:25" customFormat="1" ht="15" x14ac:dyDescent="0.25">
      <c r="A21715" t="s">
        <v>24</v>
      </c>
      <c r="B21715" t="s">
        <v>77055</v>
      </c>
      <c r="C21715" t="str">
        <f>"A0099740"</f>
        <v>A0099740</v>
      </c>
      <c r="D21715" t="s">
        <v>77056</v>
      </c>
      <c r="E21715" t="s">
        <v>77057</v>
      </c>
      <c r="F21715" t="s">
        <v>77058</v>
      </c>
      <c r="G21715" t="s">
        <v>110</v>
      </c>
      <c r="H21715">
        <v>91945</v>
      </c>
      <c r="I21715" t="s">
        <v>30</v>
      </c>
      <c r="J21715" t="s">
        <v>171</v>
      </c>
      <c r="K21715" t="s">
        <v>163</v>
      </c>
      <c r="N21715" t="s">
        <v>77059</v>
      </c>
      <c r="O21715" t="s">
        <v>77060</v>
      </c>
      <c r="Q21715">
        <v>0</v>
      </c>
      <c r="R21715">
        <v>130</v>
      </c>
      <c r="S21715">
        <v>0</v>
      </c>
      <c r="T21715" t="s">
        <v>77061</v>
      </c>
    </row>
    <row r="21716" spans="1:25" customFormat="1" ht="15" x14ac:dyDescent="0.25">
      <c r="A21716" t="s">
        <v>24</v>
      </c>
      <c r="B21716" t="s">
        <v>805</v>
      </c>
      <c r="C21716" t="str">
        <f>"645AK"</f>
        <v>645AK</v>
      </c>
      <c r="D21716" t="s">
        <v>82108</v>
      </c>
      <c r="E21716" t="s">
        <v>82109</v>
      </c>
      <c r="F21716" t="s">
        <v>63325</v>
      </c>
      <c r="G21716" t="s">
        <v>117</v>
      </c>
      <c r="H21716">
        <v>48375</v>
      </c>
      <c r="I21716" t="s">
        <v>30</v>
      </c>
      <c r="J21716" t="s">
        <v>31</v>
      </c>
      <c r="K21716" t="s">
        <v>34642</v>
      </c>
      <c r="N21716" t="s">
        <v>81944</v>
      </c>
      <c r="O21716" t="s">
        <v>60340</v>
      </c>
      <c r="Q21716">
        <v>0</v>
      </c>
      <c r="R21716">
        <v>95</v>
      </c>
      <c r="S21716">
        <v>0</v>
      </c>
      <c r="T21716" t="s">
        <v>82110</v>
      </c>
    </row>
    <row r="21717" spans="1:25" customFormat="1" ht="15" x14ac:dyDescent="0.25">
      <c r="A21717" t="s">
        <v>24</v>
      </c>
      <c r="B21717" t="s">
        <v>805</v>
      </c>
      <c r="C21717" t="str">
        <f>"645AL"</f>
        <v>645AL</v>
      </c>
      <c r="D21717" t="s">
        <v>82111</v>
      </c>
      <c r="E21717" t="s">
        <v>82112</v>
      </c>
      <c r="F21717" t="s">
        <v>67398</v>
      </c>
      <c r="G21717" t="s">
        <v>29</v>
      </c>
      <c r="H21717">
        <v>22046</v>
      </c>
      <c r="I21717" t="s">
        <v>30</v>
      </c>
      <c r="J21717" t="s">
        <v>31</v>
      </c>
      <c r="K21717" t="s">
        <v>34642</v>
      </c>
      <c r="N21717" t="s">
        <v>78613</v>
      </c>
      <c r="Q21717">
        <v>0</v>
      </c>
      <c r="R21717">
        <v>127</v>
      </c>
      <c r="S21717">
        <v>0</v>
      </c>
      <c r="T21717" t="s">
        <v>82113</v>
      </c>
    </row>
    <row r="21718" spans="1:25" customFormat="1" ht="15" x14ac:dyDescent="0.25">
      <c r="A21718" t="s">
        <v>24</v>
      </c>
      <c r="B21718" t="s">
        <v>805</v>
      </c>
      <c r="C21718" t="str">
        <f>"645AW"</f>
        <v>645AW</v>
      </c>
      <c r="D21718" t="s">
        <v>82114</v>
      </c>
      <c r="E21718" t="s">
        <v>82115</v>
      </c>
      <c r="F21718" t="s">
        <v>2014</v>
      </c>
      <c r="G21718" t="s">
        <v>197</v>
      </c>
      <c r="H21718">
        <v>85260</v>
      </c>
      <c r="I21718" t="s">
        <v>30</v>
      </c>
      <c r="J21718" t="s">
        <v>31</v>
      </c>
      <c r="K21718" t="s">
        <v>34642</v>
      </c>
      <c r="N21718" t="s">
        <v>82116</v>
      </c>
      <c r="Q21718">
        <v>0</v>
      </c>
      <c r="R21718">
        <v>130</v>
      </c>
      <c r="S21718">
        <v>0</v>
      </c>
      <c r="T21718" t="s">
        <v>82117</v>
      </c>
    </row>
    <row r="21719" spans="1:25" customFormat="1" ht="15" x14ac:dyDescent="0.25">
      <c r="A21719" t="s">
        <v>24</v>
      </c>
      <c r="B21719" t="s">
        <v>805</v>
      </c>
      <c r="C21719" t="str">
        <f>"645BF"</f>
        <v>645BF</v>
      </c>
      <c r="D21719" t="s">
        <v>82118</v>
      </c>
      <c r="E21719" t="s">
        <v>82119</v>
      </c>
      <c r="F21719" t="s">
        <v>53776</v>
      </c>
      <c r="G21719" t="s">
        <v>76</v>
      </c>
      <c r="H21719">
        <v>98057</v>
      </c>
      <c r="I21719" t="s">
        <v>30</v>
      </c>
      <c r="J21719" t="s">
        <v>31</v>
      </c>
      <c r="K21719" t="s">
        <v>34642</v>
      </c>
      <c r="N21719" t="s">
        <v>54325</v>
      </c>
      <c r="O21719" t="s">
        <v>82078</v>
      </c>
      <c r="Q21719">
        <v>0</v>
      </c>
      <c r="R21719">
        <v>137</v>
      </c>
      <c r="S21719">
        <v>0</v>
      </c>
      <c r="T21719" t="s">
        <v>82120</v>
      </c>
    </row>
    <row r="21720" spans="1:25" customFormat="1" ht="15" x14ac:dyDescent="0.25">
      <c r="A21720" t="s">
        <v>24</v>
      </c>
      <c r="B21720" t="s">
        <v>77055</v>
      </c>
      <c r="C21720" t="str">
        <f>"A0100011"</f>
        <v>A0100011</v>
      </c>
      <c r="D21720" t="s">
        <v>77062</v>
      </c>
      <c r="E21720" t="s">
        <v>77063</v>
      </c>
      <c r="F21720" t="s">
        <v>77064</v>
      </c>
      <c r="G21720" t="s">
        <v>52</v>
      </c>
      <c r="H21720">
        <v>78612</v>
      </c>
      <c r="I21720" t="s">
        <v>30</v>
      </c>
      <c r="J21720" t="s">
        <v>171</v>
      </c>
      <c r="K21720" t="s">
        <v>163</v>
      </c>
      <c r="N21720" t="s">
        <v>77065</v>
      </c>
      <c r="O21720" t="s">
        <v>77066</v>
      </c>
      <c r="Q21720">
        <v>0</v>
      </c>
      <c r="R21720">
        <v>23</v>
      </c>
      <c r="S21720">
        <v>0</v>
      </c>
      <c r="T21720">
        <f>+(512)-303-4817</f>
        <v>-4608</v>
      </c>
    </row>
    <row r="21721" spans="1:25" x14ac:dyDescent="0.25">
      <c r="A21721" s="5" t="s">
        <v>24</v>
      </c>
      <c r="B21721" s="5" t="s">
        <v>77626</v>
      </c>
      <c r="C21721" s="5" t="str">
        <f>"A0147531"</f>
        <v>A0147531</v>
      </c>
      <c r="D21721" s="5" t="s">
        <v>77627</v>
      </c>
      <c r="E21721" s="5" t="s">
        <v>77628</v>
      </c>
      <c r="F21721" s="5" t="s">
        <v>3932</v>
      </c>
      <c r="G21721" s="5" t="s">
        <v>117</v>
      </c>
      <c r="H21721" s="5">
        <v>49548</v>
      </c>
      <c r="I21721" s="5" t="s">
        <v>30</v>
      </c>
      <c r="J21721" s="5" t="s">
        <v>171</v>
      </c>
      <c r="K21721" s="5" t="s">
        <v>315</v>
      </c>
      <c r="L21721" s="5"/>
      <c r="M21721" s="5"/>
      <c r="N21721" s="5" t="s">
        <v>77629</v>
      </c>
      <c r="O21721" s="5"/>
      <c r="P21721" s="5"/>
      <c r="Q21721" s="5">
        <v>0</v>
      </c>
      <c r="R21721" s="5">
        <v>58</v>
      </c>
      <c r="S21721" s="5">
        <v>0</v>
      </c>
      <c r="T21721" s="5" t="s">
        <v>77630</v>
      </c>
      <c r="U21721" s="5"/>
      <c r="V21721" s="5"/>
      <c r="W21721" s="5"/>
      <c r="X21721" s="5"/>
      <c r="Y21721" s="5"/>
    </row>
    <row r="21722" spans="1:25" hidden="1" x14ac:dyDescent="0.25">
      <c r="A21722" s="3" t="s">
        <v>24</v>
      </c>
      <c r="B21722" s="3" t="s">
        <v>675</v>
      </c>
      <c r="C21722" s="3" t="str">
        <f>"A0093267"</f>
        <v>A0093267</v>
      </c>
      <c r="D21722" s="3" t="s">
        <v>82133</v>
      </c>
      <c r="E21722" s="3" t="s">
        <v>82134</v>
      </c>
      <c r="F21722" s="3" t="s">
        <v>3145</v>
      </c>
      <c r="G21722" s="3" t="s">
        <v>8864</v>
      </c>
      <c r="I21722" s="3" t="s">
        <v>3147</v>
      </c>
      <c r="J21722" s="3" t="s">
        <v>206</v>
      </c>
      <c r="K21722" s="3" t="s">
        <v>6459</v>
      </c>
      <c r="Q21722" s="3">
        <v>0</v>
      </c>
      <c r="R21722" s="3">
        <v>391</v>
      </c>
      <c r="S21722" s="3">
        <v>0</v>
      </c>
      <c r="T21722" s="3" t="s">
        <v>82135</v>
      </c>
    </row>
    <row r="21723" spans="1:25" customFormat="1" ht="15" x14ac:dyDescent="0.25">
      <c r="A21723" t="s">
        <v>24</v>
      </c>
      <c r="B21723" t="s">
        <v>1473</v>
      </c>
      <c r="C21723" t="str">
        <f>"A0090384"</f>
        <v>A0090384</v>
      </c>
      <c r="D21723" t="s">
        <v>77639</v>
      </c>
      <c r="E21723" t="s">
        <v>77640</v>
      </c>
      <c r="F21723" t="s">
        <v>55186</v>
      </c>
      <c r="G21723" t="s">
        <v>123</v>
      </c>
      <c r="H21723">
        <v>21040</v>
      </c>
      <c r="I21723" t="s">
        <v>30</v>
      </c>
      <c r="J21723" t="s">
        <v>171</v>
      </c>
      <c r="K21723" t="s">
        <v>315</v>
      </c>
      <c r="N21723" t="s">
        <v>74812</v>
      </c>
      <c r="O21723" t="s">
        <v>77641</v>
      </c>
      <c r="Q21723">
        <v>0</v>
      </c>
      <c r="R21723">
        <v>104</v>
      </c>
      <c r="S21723">
        <v>0</v>
      </c>
      <c r="T21723" t="s">
        <v>77642</v>
      </c>
    </row>
    <row r="21724" spans="1:25" customFormat="1" ht="15" x14ac:dyDescent="0.25">
      <c r="A21724" t="s">
        <v>24</v>
      </c>
      <c r="B21724" t="s">
        <v>82140</v>
      </c>
      <c r="C21724" t="str">
        <f>"A0117570"</f>
        <v>A0117570</v>
      </c>
      <c r="D21724" t="s">
        <v>82141</v>
      </c>
      <c r="E21724" t="s">
        <v>82142</v>
      </c>
      <c r="F21724" t="s">
        <v>2900</v>
      </c>
      <c r="G21724" t="s">
        <v>76</v>
      </c>
      <c r="H21724">
        <v>98106</v>
      </c>
      <c r="I21724" t="s">
        <v>30</v>
      </c>
      <c r="J21724" t="s">
        <v>3175</v>
      </c>
      <c r="K21724" t="s">
        <v>163</v>
      </c>
      <c r="N21724" t="s">
        <v>82143</v>
      </c>
      <c r="O21724" t="s">
        <v>82144</v>
      </c>
      <c r="Q21724">
        <v>0</v>
      </c>
      <c r="R21724">
        <v>0</v>
      </c>
      <c r="S21724">
        <v>0</v>
      </c>
      <c r="T21724" t="s">
        <v>82145</v>
      </c>
    </row>
    <row r="21725" spans="1:25" customFormat="1" ht="15" x14ac:dyDescent="0.25">
      <c r="A21725" t="s">
        <v>24</v>
      </c>
      <c r="B21725" t="s">
        <v>63096</v>
      </c>
      <c r="C21725" t="str">
        <f>"A0051032"</f>
        <v>A0051032</v>
      </c>
      <c r="D21725" t="s">
        <v>82146</v>
      </c>
      <c r="E21725" t="s">
        <v>82147</v>
      </c>
      <c r="F21725" t="s">
        <v>65041</v>
      </c>
      <c r="G21725" t="s">
        <v>52</v>
      </c>
      <c r="H21725">
        <v>77573</v>
      </c>
      <c r="I21725" t="s">
        <v>30</v>
      </c>
      <c r="J21725" t="s">
        <v>178</v>
      </c>
      <c r="K21725" t="s">
        <v>179</v>
      </c>
      <c r="N21725" t="s">
        <v>56495</v>
      </c>
      <c r="Q21725">
        <v>1</v>
      </c>
      <c r="R21725">
        <v>0</v>
      </c>
      <c r="S21725">
        <v>0</v>
      </c>
      <c r="T21725" t="s">
        <v>82148</v>
      </c>
    </row>
    <row r="21726" spans="1:25" customFormat="1" ht="15" x14ac:dyDescent="0.25">
      <c r="A21726" t="s">
        <v>24</v>
      </c>
      <c r="B21726" t="s">
        <v>54598</v>
      </c>
      <c r="C21726" t="str">
        <f>"A0147535"</f>
        <v>A0147535</v>
      </c>
      <c r="D21726" t="s">
        <v>77643</v>
      </c>
      <c r="E21726" t="s">
        <v>77644</v>
      </c>
      <c r="F21726" t="s">
        <v>3358</v>
      </c>
      <c r="G21726" t="s">
        <v>846</v>
      </c>
      <c r="H21726">
        <v>30606</v>
      </c>
      <c r="I21726" t="s">
        <v>30</v>
      </c>
      <c r="J21726" t="s">
        <v>171</v>
      </c>
      <c r="K21726" t="s">
        <v>315</v>
      </c>
      <c r="N21726" t="s">
        <v>54601</v>
      </c>
      <c r="O21726" t="s">
        <v>77645</v>
      </c>
      <c r="Q21726">
        <v>0</v>
      </c>
      <c r="R21726">
        <v>45</v>
      </c>
      <c r="S21726">
        <v>0</v>
      </c>
      <c r="T21726" t="s">
        <v>77646</v>
      </c>
    </row>
    <row r="21727" spans="1:25" customFormat="1" ht="15" x14ac:dyDescent="0.25">
      <c r="A21727" t="s">
        <v>24</v>
      </c>
      <c r="B21727" t="s">
        <v>1467</v>
      </c>
      <c r="C21727" t="str">
        <f>"A0166191"</f>
        <v>A0166191</v>
      </c>
      <c r="D21727" t="s">
        <v>77690</v>
      </c>
      <c r="E21727" t="s">
        <v>77691</v>
      </c>
      <c r="F21727" t="s">
        <v>9058</v>
      </c>
      <c r="G21727" t="s">
        <v>90</v>
      </c>
      <c r="H21727">
        <v>2842</v>
      </c>
      <c r="I21727" t="s">
        <v>30</v>
      </c>
      <c r="J21727" t="s">
        <v>171</v>
      </c>
      <c r="K21727" t="s">
        <v>315</v>
      </c>
      <c r="N21727" t="s">
        <v>77692</v>
      </c>
      <c r="Q21727">
        <v>0</v>
      </c>
      <c r="R21727">
        <v>115</v>
      </c>
      <c r="S21727">
        <v>0</v>
      </c>
      <c r="T21727" t="s">
        <v>77693</v>
      </c>
    </row>
    <row r="21728" spans="1:25" customFormat="1" ht="15" x14ac:dyDescent="0.25">
      <c r="A21728" t="s">
        <v>24</v>
      </c>
      <c r="B21728" t="s">
        <v>77779</v>
      </c>
      <c r="C21728" t="str">
        <f>"A0165082"</f>
        <v>A0165082</v>
      </c>
      <c r="D21728" t="s">
        <v>77780</v>
      </c>
      <c r="E21728" t="s">
        <v>77781</v>
      </c>
      <c r="F21728" t="s">
        <v>77782</v>
      </c>
      <c r="G21728" t="s">
        <v>81</v>
      </c>
      <c r="H21728">
        <v>32780</v>
      </c>
      <c r="I21728" t="s">
        <v>30</v>
      </c>
      <c r="J21728" t="s">
        <v>171</v>
      </c>
      <c r="K21728" t="s">
        <v>315</v>
      </c>
      <c r="N21728" t="s">
        <v>62514</v>
      </c>
      <c r="O21728" t="s">
        <v>77783</v>
      </c>
      <c r="Q21728">
        <v>0</v>
      </c>
      <c r="R21728">
        <v>117</v>
      </c>
      <c r="S21728">
        <v>0</v>
      </c>
      <c r="T21728" t="s">
        <v>77784</v>
      </c>
    </row>
    <row r="21729" spans="1:25" customFormat="1" ht="15" x14ac:dyDescent="0.25">
      <c r="A21729" t="s">
        <v>24</v>
      </c>
      <c r="B21729" t="s">
        <v>56488</v>
      </c>
      <c r="C21729" t="str">
        <f>"A0085865"</f>
        <v>A0085865</v>
      </c>
      <c r="D21729" t="s">
        <v>82166</v>
      </c>
      <c r="E21729" t="s">
        <v>82167</v>
      </c>
      <c r="F21729" t="s">
        <v>60676</v>
      </c>
      <c r="G21729" t="s">
        <v>52</v>
      </c>
      <c r="H21729">
        <v>77584</v>
      </c>
      <c r="I21729" t="s">
        <v>30</v>
      </c>
      <c r="J21729" t="s">
        <v>2415</v>
      </c>
      <c r="K21729" t="s">
        <v>179</v>
      </c>
      <c r="N21729" t="s">
        <v>82168</v>
      </c>
      <c r="Q21729">
        <v>1</v>
      </c>
      <c r="R21729">
        <v>0</v>
      </c>
      <c r="S21729">
        <v>0</v>
      </c>
      <c r="T21729" t="s">
        <v>82169</v>
      </c>
    </row>
    <row r="21730" spans="1:25" customFormat="1" ht="15" x14ac:dyDescent="0.25">
      <c r="A21730" t="s">
        <v>24</v>
      </c>
      <c r="B21730" t="s">
        <v>3343</v>
      </c>
      <c r="C21730" t="str">
        <f>"A0154146"</f>
        <v>A0154146</v>
      </c>
      <c r="D21730" t="s">
        <v>77789</v>
      </c>
      <c r="E21730" t="s">
        <v>77790</v>
      </c>
      <c r="F21730" t="s">
        <v>3466</v>
      </c>
      <c r="G21730" t="s">
        <v>190</v>
      </c>
      <c r="H21730">
        <v>80027</v>
      </c>
      <c r="I21730" t="s">
        <v>30</v>
      </c>
      <c r="J21730" t="s">
        <v>171</v>
      </c>
      <c r="K21730" t="s">
        <v>315</v>
      </c>
      <c r="N21730" t="s">
        <v>77791</v>
      </c>
      <c r="Q21730">
        <v>0</v>
      </c>
      <c r="R21730">
        <v>68</v>
      </c>
      <c r="S21730">
        <v>0</v>
      </c>
      <c r="T21730" t="s">
        <v>77792</v>
      </c>
    </row>
    <row r="21731" spans="1:25" x14ac:dyDescent="0.25">
      <c r="A21731" s="5" t="s">
        <v>24</v>
      </c>
      <c r="B21731" s="5" t="s">
        <v>6811</v>
      </c>
      <c r="C21731" s="5" t="str">
        <f>"A0100740"</f>
        <v>A0100740</v>
      </c>
      <c r="D21731" s="5" t="s">
        <v>77798</v>
      </c>
      <c r="E21731" s="5" t="s">
        <v>77799</v>
      </c>
      <c r="F21731" s="5" t="s">
        <v>77800</v>
      </c>
      <c r="G21731" s="5" t="s">
        <v>81</v>
      </c>
      <c r="H21731" s="5">
        <v>32233</v>
      </c>
      <c r="I21731" s="5" t="s">
        <v>30</v>
      </c>
      <c r="J21731" s="5" t="s">
        <v>171</v>
      </c>
      <c r="K21731" s="5" t="s">
        <v>315</v>
      </c>
      <c r="L21731" s="5"/>
      <c r="M21731" s="5"/>
      <c r="N21731" s="5"/>
      <c r="O21731" s="5"/>
      <c r="P21731" s="5"/>
      <c r="Q21731" s="5">
        <v>0</v>
      </c>
      <c r="R21731" s="5">
        <v>108</v>
      </c>
      <c r="S21731" s="5">
        <v>0</v>
      </c>
      <c r="T21731" s="5" t="s">
        <v>77801</v>
      </c>
      <c r="U21731" s="5"/>
      <c r="V21731" s="5"/>
      <c r="W21731" s="5"/>
      <c r="X21731" s="5"/>
      <c r="Y21731" s="5"/>
    </row>
    <row r="21732" spans="1:25" customFormat="1" ht="15" hidden="1" x14ac:dyDescent="0.25">
      <c r="A21732" t="s">
        <v>24</v>
      </c>
      <c r="B21732" t="s">
        <v>56404</v>
      </c>
      <c r="C21732" t="str">
        <f>"A0094239"</f>
        <v>A0094239</v>
      </c>
      <c r="D21732" t="s">
        <v>82179</v>
      </c>
      <c r="E21732" t="s">
        <v>82180</v>
      </c>
      <c r="F21732" t="s">
        <v>82181</v>
      </c>
      <c r="G21732" t="s">
        <v>5143</v>
      </c>
      <c r="I21732" t="s">
        <v>5145</v>
      </c>
      <c r="J21732" t="s">
        <v>162</v>
      </c>
      <c r="K21732" t="s">
        <v>163</v>
      </c>
      <c r="N21732" t="s">
        <v>82182</v>
      </c>
      <c r="O21732" t="s">
        <v>56407</v>
      </c>
      <c r="Q21732">
        <v>0</v>
      </c>
      <c r="R21732">
        <v>7</v>
      </c>
      <c r="S21732">
        <v>0</v>
      </c>
      <c r="T21732" t="s">
        <v>82183</v>
      </c>
    </row>
    <row r="21733" spans="1:25" customFormat="1" ht="15" x14ac:dyDescent="0.25">
      <c r="A21733" t="s">
        <v>24</v>
      </c>
      <c r="B21733" t="s">
        <v>56373</v>
      </c>
      <c r="C21733" t="str">
        <f>"A0157420"</f>
        <v>A0157420</v>
      </c>
      <c r="D21733" t="s">
        <v>77813</v>
      </c>
      <c r="E21733" t="s">
        <v>77814</v>
      </c>
      <c r="F21733" t="s">
        <v>4919</v>
      </c>
      <c r="G21733" t="s">
        <v>110</v>
      </c>
      <c r="H21733">
        <v>95928</v>
      </c>
      <c r="I21733" t="s">
        <v>30</v>
      </c>
      <c r="J21733" t="s">
        <v>171</v>
      </c>
      <c r="K21733" t="s">
        <v>315</v>
      </c>
      <c r="N21733" t="s">
        <v>14311</v>
      </c>
      <c r="Q21733">
        <v>0</v>
      </c>
      <c r="R21733">
        <v>60</v>
      </c>
      <c r="S21733">
        <v>0</v>
      </c>
      <c r="T21733" t="s">
        <v>77815</v>
      </c>
    </row>
    <row r="21734" spans="1:25" customFormat="1" ht="15" x14ac:dyDescent="0.25">
      <c r="A21734" t="s">
        <v>24</v>
      </c>
      <c r="B21734" t="s">
        <v>1567</v>
      </c>
      <c r="C21734" t="str">
        <f>"A0061180"</f>
        <v>A0061180</v>
      </c>
      <c r="D21734" t="s">
        <v>82189</v>
      </c>
      <c r="E21734" t="s">
        <v>82190</v>
      </c>
      <c r="F21734" t="s">
        <v>30779</v>
      </c>
      <c r="G21734" t="s">
        <v>110</v>
      </c>
      <c r="H21734">
        <v>93940</v>
      </c>
      <c r="I21734" t="s">
        <v>30</v>
      </c>
      <c r="J21734" t="s">
        <v>31</v>
      </c>
      <c r="K21734" t="s">
        <v>13697</v>
      </c>
      <c r="N21734" t="s">
        <v>76427</v>
      </c>
      <c r="O21734" t="s">
        <v>82191</v>
      </c>
      <c r="Q21734">
        <v>0</v>
      </c>
      <c r="R21734">
        <v>45</v>
      </c>
      <c r="S21734">
        <v>0</v>
      </c>
      <c r="T21734" t="s">
        <v>82192</v>
      </c>
    </row>
    <row r="21735" spans="1:25" customFormat="1" ht="15" x14ac:dyDescent="0.25">
      <c r="A21735" t="s">
        <v>24</v>
      </c>
      <c r="B21735" t="s">
        <v>5843</v>
      </c>
      <c r="C21735" t="str">
        <f>"A0094355"</f>
        <v>A0094355</v>
      </c>
      <c r="D21735" t="s">
        <v>82193</v>
      </c>
      <c r="E21735" t="s">
        <v>82194</v>
      </c>
      <c r="F21735" t="s">
        <v>3145</v>
      </c>
      <c r="G21735" t="s">
        <v>81</v>
      </c>
      <c r="H21735">
        <v>32413</v>
      </c>
      <c r="I21735" t="s">
        <v>30</v>
      </c>
      <c r="J21735" t="s">
        <v>31</v>
      </c>
      <c r="K21735" t="s">
        <v>163</v>
      </c>
      <c r="N21735" t="s">
        <v>82195</v>
      </c>
      <c r="Q21735">
        <v>0</v>
      </c>
      <c r="R21735">
        <v>87</v>
      </c>
      <c r="S21735">
        <v>0</v>
      </c>
      <c r="T21735" t="s">
        <v>82196</v>
      </c>
    </row>
    <row r="21736" spans="1:25" customFormat="1" ht="15" x14ac:dyDescent="0.25">
      <c r="A21736" t="s">
        <v>24</v>
      </c>
      <c r="B21736" t="s">
        <v>58814</v>
      </c>
      <c r="C21736" t="str">
        <f>"A0076357"</f>
        <v>A0076357</v>
      </c>
      <c r="D21736" t="s">
        <v>77821</v>
      </c>
      <c r="E21736" t="s">
        <v>77822</v>
      </c>
      <c r="F21736" t="s">
        <v>33082</v>
      </c>
      <c r="G21736" t="s">
        <v>381</v>
      </c>
      <c r="H21736">
        <v>46060</v>
      </c>
      <c r="I21736" t="s">
        <v>30</v>
      </c>
      <c r="J21736" t="s">
        <v>171</v>
      </c>
      <c r="K21736" t="s">
        <v>315</v>
      </c>
      <c r="N21736" t="s">
        <v>77823</v>
      </c>
      <c r="O21736" t="s">
        <v>77824</v>
      </c>
      <c r="Q21736">
        <v>0</v>
      </c>
      <c r="R21736">
        <v>57</v>
      </c>
      <c r="S21736">
        <v>0</v>
      </c>
      <c r="T21736" t="s">
        <v>77825</v>
      </c>
    </row>
    <row r="21737" spans="1:25" customFormat="1" ht="15" x14ac:dyDescent="0.25">
      <c r="A21737" t="s">
        <v>24</v>
      </c>
      <c r="B21737" t="s">
        <v>82202</v>
      </c>
      <c r="C21737" t="str">
        <f>"A0052349"</f>
        <v>A0052349</v>
      </c>
      <c r="D21737" t="s">
        <v>82203</v>
      </c>
      <c r="E21737" t="s">
        <v>82204</v>
      </c>
      <c r="F21737" t="s">
        <v>82205</v>
      </c>
      <c r="G21737" t="s">
        <v>338</v>
      </c>
      <c r="H21737">
        <v>7762</v>
      </c>
      <c r="I21737" t="s">
        <v>30</v>
      </c>
      <c r="J21737" t="s">
        <v>178</v>
      </c>
      <c r="K21737" t="s">
        <v>179</v>
      </c>
      <c r="N21737" t="s">
        <v>82206</v>
      </c>
      <c r="O21737" t="s">
        <v>82207</v>
      </c>
      <c r="P21737" t="s">
        <v>992</v>
      </c>
      <c r="Q21737">
        <v>1</v>
      </c>
      <c r="R21737">
        <v>0</v>
      </c>
      <c r="S21737">
        <v>0</v>
      </c>
      <c r="T21737" t="s">
        <v>82208</v>
      </c>
    </row>
    <row r="21738" spans="1:25" customFormat="1" ht="15" x14ac:dyDescent="0.25">
      <c r="A21738" t="s">
        <v>24</v>
      </c>
      <c r="B21738" t="s">
        <v>2360</v>
      </c>
      <c r="C21738" t="str">
        <f>"CL0110"</f>
        <v>CL0110</v>
      </c>
      <c r="D21738" t="s">
        <v>82209</v>
      </c>
      <c r="E21738" t="s">
        <v>82210</v>
      </c>
      <c r="F21738" t="s">
        <v>82211</v>
      </c>
      <c r="G21738" t="s">
        <v>110</v>
      </c>
      <c r="H21738">
        <v>92392</v>
      </c>
      <c r="I21738" t="s">
        <v>30</v>
      </c>
      <c r="J21738" t="s">
        <v>178</v>
      </c>
      <c r="K21738" t="s">
        <v>8013</v>
      </c>
      <c r="P21738" t="s">
        <v>992</v>
      </c>
      <c r="Q21738">
        <v>1</v>
      </c>
      <c r="R21738">
        <v>0</v>
      </c>
      <c r="S21738">
        <v>0</v>
      </c>
      <c r="T21738" t="s">
        <v>82212</v>
      </c>
    </row>
    <row r="21739" spans="1:25" customFormat="1" ht="15" x14ac:dyDescent="0.25">
      <c r="A21739" t="s">
        <v>24</v>
      </c>
      <c r="B21739" t="s">
        <v>2221</v>
      </c>
      <c r="C21739" t="str">
        <f>"204Y4"</f>
        <v>204Y4</v>
      </c>
      <c r="D21739" t="s">
        <v>82213</v>
      </c>
      <c r="E21739" t="s">
        <v>82214</v>
      </c>
      <c r="F21739" t="s">
        <v>2531</v>
      </c>
      <c r="G21739" t="s">
        <v>123</v>
      </c>
      <c r="H21739">
        <v>21090</v>
      </c>
      <c r="I21739" t="s">
        <v>30</v>
      </c>
      <c r="J21739" t="s">
        <v>31</v>
      </c>
      <c r="K21739" t="s">
        <v>255</v>
      </c>
      <c r="N21739" t="s">
        <v>82215</v>
      </c>
      <c r="O21739" t="s">
        <v>82216</v>
      </c>
      <c r="Q21739">
        <v>0</v>
      </c>
      <c r="R21739">
        <v>133</v>
      </c>
      <c r="S21739">
        <v>0</v>
      </c>
      <c r="T21739" t="s">
        <v>82217</v>
      </c>
    </row>
    <row r="21740" spans="1:25" customFormat="1" ht="15" x14ac:dyDescent="0.25">
      <c r="A21740" t="s">
        <v>24</v>
      </c>
      <c r="B21740" t="s">
        <v>675</v>
      </c>
      <c r="C21740" t="str">
        <f>"192KH"</f>
        <v>192KH</v>
      </c>
      <c r="D21740" t="s">
        <v>82218</v>
      </c>
      <c r="E21740" t="s">
        <v>82219</v>
      </c>
      <c r="F21740" t="s">
        <v>2069</v>
      </c>
      <c r="G21740" t="s">
        <v>1170</v>
      </c>
      <c r="H21740">
        <v>70130</v>
      </c>
      <c r="I21740" t="s">
        <v>30</v>
      </c>
      <c r="J21740" t="s">
        <v>31</v>
      </c>
      <c r="K21740" t="s">
        <v>255</v>
      </c>
      <c r="N21740" t="s">
        <v>59886</v>
      </c>
      <c r="Q21740">
        <v>0</v>
      </c>
      <c r="R21740">
        <v>208</v>
      </c>
      <c r="S21740">
        <v>0</v>
      </c>
      <c r="T21740" t="s">
        <v>82220</v>
      </c>
    </row>
    <row r="21741" spans="1:25" customFormat="1" ht="15" x14ac:dyDescent="0.25">
      <c r="A21741" t="s">
        <v>24</v>
      </c>
      <c r="B21741" t="s">
        <v>3045</v>
      </c>
      <c r="C21741" t="str">
        <f>"204YB"</f>
        <v>204YB</v>
      </c>
      <c r="D21741" t="s">
        <v>82221</v>
      </c>
      <c r="E21741" t="s">
        <v>82222</v>
      </c>
      <c r="F21741" t="s">
        <v>57359</v>
      </c>
      <c r="G21741" t="s">
        <v>3049</v>
      </c>
      <c r="H21741">
        <v>99701</v>
      </c>
      <c r="I21741" t="s">
        <v>30</v>
      </c>
      <c r="J21741" t="s">
        <v>31</v>
      </c>
      <c r="K21741" t="s">
        <v>255</v>
      </c>
      <c r="N21741" t="s">
        <v>82223</v>
      </c>
      <c r="O21741" t="s">
        <v>80246</v>
      </c>
      <c r="Q21741">
        <v>0</v>
      </c>
      <c r="R21741">
        <v>140</v>
      </c>
      <c r="S21741">
        <v>0</v>
      </c>
      <c r="T21741" t="s">
        <v>82224</v>
      </c>
    </row>
    <row r="21742" spans="1:25" customFormat="1" ht="15" x14ac:dyDescent="0.25">
      <c r="A21742" t="s">
        <v>24</v>
      </c>
      <c r="B21742" t="s">
        <v>60077</v>
      </c>
      <c r="C21742" t="str">
        <f>"204XW"</f>
        <v>204XW</v>
      </c>
      <c r="D21742" t="s">
        <v>82225</v>
      </c>
      <c r="E21742" t="s">
        <v>82226</v>
      </c>
      <c r="F21742" t="s">
        <v>4003</v>
      </c>
      <c r="G21742" t="s">
        <v>289</v>
      </c>
      <c r="H21742">
        <v>60173</v>
      </c>
      <c r="I21742" t="s">
        <v>30</v>
      </c>
      <c r="J21742" t="s">
        <v>31</v>
      </c>
      <c r="K21742" t="s">
        <v>255</v>
      </c>
      <c r="N21742" t="s">
        <v>78717</v>
      </c>
      <c r="Q21742">
        <v>0</v>
      </c>
      <c r="R21742">
        <v>132</v>
      </c>
      <c r="S21742">
        <v>0</v>
      </c>
      <c r="T21742" t="s">
        <v>82227</v>
      </c>
    </row>
    <row r="21743" spans="1:25" customFormat="1" ht="15" x14ac:dyDescent="0.25">
      <c r="A21743" t="s">
        <v>24</v>
      </c>
      <c r="B21743" t="s">
        <v>4400</v>
      </c>
      <c r="C21743" t="str">
        <f>"A0087592"</f>
        <v>A0087592</v>
      </c>
      <c r="D21743" t="s">
        <v>82228</v>
      </c>
      <c r="E21743" t="s">
        <v>82229</v>
      </c>
      <c r="F21743" t="s">
        <v>356</v>
      </c>
      <c r="G21743" t="s">
        <v>52</v>
      </c>
      <c r="H21743">
        <v>78216</v>
      </c>
      <c r="I21743" t="s">
        <v>30</v>
      </c>
      <c r="J21743" t="s">
        <v>31</v>
      </c>
      <c r="K21743" t="s">
        <v>255</v>
      </c>
      <c r="N21743" t="s">
        <v>82230</v>
      </c>
      <c r="Q21743">
        <v>0</v>
      </c>
      <c r="R21743">
        <v>116</v>
      </c>
      <c r="S21743">
        <v>0</v>
      </c>
      <c r="T21743" t="s">
        <v>82231</v>
      </c>
    </row>
    <row r="21744" spans="1:25" customFormat="1" ht="15" x14ac:dyDescent="0.25">
      <c r="A21744" t="s">
        <v>24</v>
      </c>
      <c r="B21744" t="s">
        <v>1317</v>
      </c>
      <c r="C21744" t="str">
        <f>"A0157894"</f>
        <v>A0157894</v>
      </c>
      <c r="D21744" t="s">
        <v>82232</v>
      </c>
      <c r="E21744" t="s">
        <v>82233</v>
      </c>
      <c r="F21744" t="s">
        <v>34900</v>
      </c>
      <c r="G21744" t="s">
        <v>1587</v>
      </c>
      <c r="H21744">
        <v>87106</v>
      </c>
      <c r="I21744" t="s">
        <v>30</v>
      </c>
      <c r="J21744" t="s">
        <v>31</v>
      </c>
      <c r="K21744" t="s">
        <v>255</v>
      </c>
      <c r="N21744" t="s">
        <v>82234</v>
      </c>
      <c r="Q21744">
        <v>0</v>
      </c>
      <c r="R21744">
        <v>118</v>
      </c>
      <c r="S21744">
        <v>0</v>
      </c>
      <c r="T21744" t="s">
        <v>82235</v>
      </c>
    </row>
    <row r="21745" spans="1:20" customFormat="1" ht="15" x14ac:dyDescent="0.25">
      <c r="A21745" t="s">
        <v>24</v>
      </c>
      <c r="B21745" t="s">
        <v>2340</v>
      </c>
      <c r="C21745" t="str">
        <f>"A0087024"</f>
        <v>A0087024</v>
      </c>
      <c r="D21745" t="s">
        <v>82236</v>
      </c>
      <c r="E21745" t="s">
        <v>82237</v>
      </c>
      <c r="F21745" t="s">
        <v>70663</v>
      </c>
      <c r="G21745" t="s">
        <v>29</v>
      </c>
      <c r="H21745">
        <v>22303</v>
      </c>
      <c r="I21745" t="s">
        <v>30</v>
      </c>
      <c r="J21745" t="s">
        <v>31</v>
      </c>
      <c r="K21745" t="s">
        <v>255</v>
      </c>
      <c r="N21745" t="s">
        <v>82238</v>
      </c>
      <c r="Q21745">
        <v>0</v>
      </c>
      <c r="R21745">
        <v>95</v>
      </c>
      <c r="S21745">
        <v>0</v>
      </c>
      <c r="T21745" t="s">
        <v>82239</v>
      </c>
    </row>
    <row r="21746" spans="1:20" customFormat="1" ht="15" x14ac:dyDescent="0.25">
      <c r="A21746" t="s">
        <v>24</v>
      </c>
      <c r="B21746" t="s">
        <v>675</v>
      </c>
      <c r="C21746" t="str">
        <f>"A0088571"</f>
        <v>A0088571</v>
      </c>
      <c r="D21746" t="s">
        <v>82240</v>
      </c>
      <c r="E21746" t="s">
        <v>82241</v>
      </c>
      <c r="F21746" t="s">
        <v>1622</v>
      </c>
      <c r="G21746" t="s">
        <v>29</v>
      </c>
      <c r="H21746">
        <v>22314</v>
      </c>
      <c r="I21746" t="s">
        <v>30</v>
      </c>
      <c r="J21746" t="s">
        <v>31</v>
      </c>
      <c r="K21746" t="s">
        <v>255</v>
      </c>
      <c r="N21746" t="s">
        <v>82242</v>
      </c>
      <c r="O21746" t="s">
        <v>82243</v>
      </c>
      <c r="Q21746">
        <v>0</v>
      </c>
      <c r="R21746">
        <v>152</v>
      </c>
      <c r="S21746">
        <v>0</v>
      </c>
      <c r="T21746" t="s">
        <v>82244</v>
      </c>
    </row>
    <row r="21747" spans="1:20" customFormat="1" ht="15" x14ac:dyDescent="0.25">
      <c r="A21747" t="s">
        <v>24</v>
      </c>
      <c r="B21747" t="s">
        <v>60414</v>
      </c>
      <c r="C21747" t="str">
        <f>"A0100035"</f>
        <v>A0100035</v>
      </c>
      <c r="D21747" t="s">
        <v>82245</v>
      </c>
      <c r="E21747" t="s">
        <v>82246</v>
      </c>
      <c r="F21747" t="s">
        <v>82247</v>
      </c>
      <c r="G21747" t="s">
        <v>103</v>
      </c>
      <c r="H21747">
        <v>18034</v>
      </c>
      <c r="I21747" t="s">
        <v>30</v>
      </c>
      <c r="J21747" t="s">
        <v>31</v>
      </c>
      <c r="K21747" t="s">
        <v>255</v>
      </c>
      <c r="N21747" t="s">
        <v>82248</v>
      </c>
      <c r="O21747" t="s">
        <v>82249</v>
      </c>
      <c r="Q21747">
        <v>0</v>
      </c>
      <c r="R21747">
        <v>130</v>
      </c>
      <c r="S21747">
        <v>0</v>
      </c>
      <c r="T21747" t="s">
        <v>82250</v>
      </c>
    </row>
    <row r="21748" spans="1:20" customFormat="1" ht="15" x14ac:dyDescent="0.25">
      <c r="A21748" t="s">
        <v>24</v>
      </c>
      <c r="B21748" t="s">
        <v>3045</v>
      </c>
      <c r="C21748" t="str">
        <f>"202TK"</f>
        <v>202TK</v>
      </c>
      <c r="D21748" t="s">
        <v>82251</v>
      </c>
      <c r="E21748" t="s">
        <v>82252</v>
      </c>
      <c r="F21748" t="s">
        <v>3048</v>
      </c>
      <c r="G21748" t="s">
        <v>3049</v>
      </c>
      <c r="H21748">
        <v>99503</v>
      </c>
      <c r="I21748" t="s">
        <v>30</v>
      </c>
      <c r="J21748" t="s">
        <v>31</v>
      </c>
      <c r="K21748" t="s">
        <v>255</v>
      </c>
      <c r="N21748" t="s">
        <v>82253</v>
      </c>
      <c r="Q21748">
        <v>0</v>
      </c>
      <c r="R21748">
        <v>102</v>
      </c>
      <c r="S21748">
        <v>0</v>
      </c>
      <c r="T21748" t="s">
        <v>82254</v>
      </c>
    </row>
    <row r="21749" spans="1:20" customFormat="1" ht="15" x14ac:dyDescent="0.25">
      <c r="A21749" t="s">
        <v>24</v>
      </c>
      <c r="B21749" t="s">
        <v>3045</v>
      </c>
      <c r="C21749" t="str">
        <f>"A0088281"</f>
        <v>A0088281</v>
      </c>
      <c r="D21749" t="s">
        <v>82255</v>
      </c>
      <c r="E21749" t="s">
        <v>82256</v>
      </c>
      <c r="F21749" t="s">
        <v>3048</v>
      </c>
      <c r="G21749" t="s">
        <v>3049</v>
      </c>
      <c r="H21749">
        <v>99508</v>
      </c>
      <c r="I21749" t="s">
        <v>30</v>
      </c>
      <c r="J21749" t="s">
        <v>31</v>
      </c>
      <c r="K21749" t="s">
        <v>255</v>
      </c>
      <c r="N21749" t="s">
        <v>82257</v>
      </c>
      <c r="Q21749">
        <v>0</v>
      </c>
      <c r="R21749">
        <v>159</v>
      </c>
      <c r="S21749">
        <v>0</v>
      </c>
      <c r="T21749" t="s">
        <v>82258</v>
      </c>
    </row>
    <row r="21750" spans="1:20" customFormat="1" ht="15" x14ac:dyDescent="0.25">
      <c r="A21750" t="s">
        <v>24</v>
      </c>
      <c r="B21750" t="s">
        <v>257</v>
      </c>
      <c r="C21750" t="str">
        <f>"A0061358"</f>
        <v>A0061358</v>
      </c>
      <c r="D21750" t="s">
        <v>82259</v>
      </c>
      <c r="E21750" t="s">
        <v>82260</v>
      </c>
      <c r="F21750" t="s">
        <v>281</v>
      </c>
      <c r="G21750" t="s">
        <v>123</v>
      </c>
      <c r="H21750">
        <v>21401</v>
      </c>
      <c r="I21750" t="s">
        <v>30</v>
      </c>
      <c r="J21750" t="s">
        <v>31</v>
      </c>
      <c r="K21750" t="s">
        <v>255</v>
      </c>
      <c r="N21750" t="s">
        <v>82261</v>
      </c>
      <c r="Q21750">
        <v>0</v>
      </c>
      <c r="R21750">
        <v>125</v>
      </c>
      <c r="S21750">
        <v>0</v>
      </c>
      <c r="T21750" t="s">
        <v>82262</v>
      </c>
    </row>
    <row r="21751" spans="1:20" customFormat="1" ht="15" x14ac:dyDescent="0.25">
      <c r="A21751" t="s">
        <v>24</v>
      </c>
      <c r="B21751" t="s">
        <v>2955</v>
      </c>
      <c r="C21751" t="str">
        <f>"204XE"</f>
        <v>204XE</v>
      </c>
      <c r="D21751" t="s">
        <v>82263</v>
      </c>
      <c r="E21751" t="s">
        <v>82264</v>
      </c>
      <c r="F21751" t="s">
        <v>10730</v>
      </c>
      <c r="G21751" t="s">
        <v>214</v>
      </c>
      <c r="H21751">
        <v>28805</v>
      </c>
      <c r="I21751" t="s">
        <v>30</v>
      </c>
      <c r="J21751" t="s">
        <v>31</v>
      </c>
      <c r="K21751" t="s">
        <v>255</v>
      </c>
      <c r="N21751" t="s">
        <v>82265</v>
      </c>
      <c r="O21751" t="s">
        <v>82266</v>
      </c>
      <c r="Q21751">
        <v>0</v>
      </c>
      <c r="R21751">
        <v>88</v>
      </c>
      <c r="S21751">
        <v>0</v>
      </c>
      <c r="T21751" t="s">
        <v>82267</v>
      </c>
    </row>
    <row r="21752" spans="1:20" customFormat="1" ht="15" x14ac:dyDescent="0.25">
      <c r="A21752" t="s">
        <v>24</v>
      </c>
      <c r="B21752" t="s">
        <v>675</v>
      </c>
      <c r="C21752" t="str">
        <f>"A0088562"</f>
        <v>A0088562</v>
      </c>
      <c r="D21752" t="s">
        <v>82268</v>
      </c>
      <c r="E21752" t="s">
        <v>82269</v>
      </c>
      <c r="F21752" t="s">
        <v>3024</v>
      </c>
      <c r="G21752" t="s">
        <v>846</v>
      </c>
      <c r="H21752">
        <v>30337</v>
      </c>
      <c r="I21752" t="s">
        <v>30</v>
      </c>
      <c r="J21752" t="s">
        <v>31</v>
      </c>
      <c r="K21752" t="s">
        <v>255</v>
      </c>
      <c r="N21752" t="s">
        <v>82270</v>
      </c>
      <c r="O21752" t="s">
        <v>82271</v>
      </c>
      <c r="Q21752">
        <v>0</v>
      </c>
      <c r="R21752">
        <v>150</v>
      </c>
      <c r="S21752">
        <v>0</v>
      </c>
      <c r="T21752" t="s">
        <v>82272</v>
      </c>
    </row>
    <row r="21753" spans="1:20" customFormat="1" ht="15" x14ac:dyDescent="0.25">
      <c r="A21753" t="s">
        <v>24</v>
      </c>
      <c r="B21753" t="s">
        <v>2221</v>
      </c>
      <c r="C21753" t="str">
        <f>"204XF"</f>
        <v>204XF</v>
      </c>
      <c r="D21753" t="s">
        <v>82273</v>
      </c>
      <c r="E21753" t="s">
        <v>82274</v>
      </c>
      <c r="F21753" t="s">
        <v>67919</v>
      </c>
      <c r="G21753" t="s">
        <v>846</v>
      </c>
      <c r="H21753">
        <v>30519</v>
      </c>
      <c r="I21753" t="s">
        <v>30</v>
      </c>
      <c r="J21753" t="s">
        <v>31</v>
      </c>
      <c r="K21753" t="s">
        <v>255</v>
      </c>
      <c r="N21753" t="s">
        <v>67920</v>
      </c>
      <c r="O21753" t="s">
        <v>82275</v>
      </c>
      <c r="Q21753">
        <v>0</v>
      </c>
      <c r="R21753">
        <v>97</v>
      </c>
      <c r="S21753">
        <v>0</v>
      </c>
      <c r="T21753" t="s">
        <v>82276</v>
      </c>
    </row>
    <row r="21754" spans="1:20" customFormat="1" ht="15" x14ac:dyDescent="0.25">
      <c r="A21754" t="s">
        <v>24</v>
      </c>
      <c r="B21754" t="s">
        <v>2812</v>
      </c>
      <c r="C21754" t="str">
        <f>"A0094572"</f>
        <v>A0094572</v>
      </c>
      <c r="D21754" t="s">
        <v>82277</v>
      </c>
      <c r="E21754" t="s">
        <v>82278</v>
      </c>
      <c r="F21754" t="s">
        <v>845</v>
      </c>
      <c r="G21754" t="s">
        <v>846</v>
      </c>
      <c r="H21754">
        <v>30313</v>
      </c>
      <c r="I21754" t="s">
        <v>30</v>
      </c>
      <c r="J21754" t="s">
        <v>31</v>
      </c>
      <c r="K21754" t="s">
        <v>255</v>
      </c>
      <c r="N21754" t="s">
        <v>82279</v>
      </c>
      <c r="O21754" t="s">
        <v>35033</v>
      </c>
      <c r="Q21754">
        <v>0</v>
      </c>
      <c r="R21754">
        <v>170</v>
      </c>
      <c r="S21754">
        <v>0</v>
      </c>
      <c r="T21754" t="s">
        <v>82280</v>
      </c>
    </row>
    <row r="21755" spans="1:20" customFormat="1" ht="15" x14ac:dyDescent="0.25">
      <c r="A21755" t="s">
        <v>24</v>
      </c>
      <c r="B21755" t="s">
        <v>2221</v>
      </c>
      <c r="C21755" t="str">
        <f>"204XJ"</f>
        <v>204XJ</v>
      </c>
      <c r="D21755" t="s">
        <v>82281</v>
      </c>
      <c r="E21755" t="s">
        <v>82282</v>
      </c>
      <c r="F21755" t="s">
        <v>1248</v>
      </c>
      <c r="G21755" t="s">
        <v>846</v>
      </c>
      <c r="H21755">
        <v>30144</v>
      </c>
      <c r="I21755" t="s">
        <v>30</v>
      </c>
      <c r="J21755" t="s">
        <v>31</v>
      </c>
      <c r="K21755" t="s">
        <v>255</v>
      </c>
      <c r="N21755" t="s">
        <v>82283</v>
      </c>
      <c r="O21755" t="s">
        <v>82284</v>
      </c>
      <c r="Q21755">
        <v>0</v>
      </c>
      <c r="R21755">
        <v>90</v>
      </c>
      <c r="S21755">
        <v>0</v>
      </c>
      <c r="T21755" t="s">
        <v>82285</v>
      </c>
    </row>
    <row r="21756" spans="1:20" customFormat="1" ht="15" x14ac:dyDescent="0.25">
      <c r="A21756" t="s">
        <v>24</v>
      </c>
      <c r="B21756" t="s">
        <v>257</v>
      </c>
      <c r="C21756" t="str">
        <f>"A0074441"</f>
        <v>A0074441</v>
      </c>
      <c r="D21756" t="s">
        <v>82286</v>
      </c>
      <c r="E21756" t="s">
        <v>82287</v>
      </c>
      <c r="F21756" t="s">
        <v>845</v>
      </c>
      <c r="G21756" t="s">
        <v>846</v>
      </c>
      <c r="H21756">
        <v>30328</v>
      </c>
      <c r="I21756" t="s">
        <v>30</v>
      </c>
      <c r="J21756" t="s">
        <v>31</v>
      </c>
      <c r="K21756" t="s">
        <v>255</v>
      </c>
      <c r="N21756" t="s">
        <v>82288</v>
      </c>
      <c r="O21756" t="s">
        <v>71599</v>
      </c>
      <c r="Q21756">
        <v>0</v>
      </c>
      <c r="R21756">
        <v>150</v>
      </c>
      <c r="S21756">
        <v>0</v>
      </c>
      <c r="T21756" t="s">
        <v>82289</v>
      </c>
    </row>
    <row r="21757" spans="1:20" customFormat="1" ht="15" x14ac:dyDescent="0.25">
      <c r="A21757" t="s">
        <v>24</v>
      </c>
      <c r="B21757" t="s">
        <v>5564</v>
      </c>
      <c r="C21757" t="str">
        <f>"A0099770"</f>
        <v>A0099770</v>
      </c>
      <c r="D21757" t="s">
        <v>82290</v>
      </c>
      <c r="E21757" t="s">
        <v>82291</v>
      </c>
      <c r="F21757" t="s">
        <v>9854</v>
      </c>
      <c r="G21757" t="s">
        <v>846</v>
      </c>
      <c r="H21757">
        <v>30909</v>
      </c>
      <c r="I21757" t="s">
        <v>30</v>
      </c>
      <c r="J21757" t="s">
        <v>31</v>
      </c>
      <c r="K21757" t="s">
        <v>255</v>
      </c>
      <c r="N21757" t="s">
        <v>82292</v>
      </c>
      <c r="Q21757">
        <v>0</v>
      </c>
      <c r="R21757">
        <v>90</v>
      </c>
      <c r="S21757">
        <v>0</v>
      </c>
      <c r="T21757" t="s">
        <v>82293</v>
      </c>
    </row>
    <row r="21758" spans="1:20" customFormat="1" ht="15" x14ac:dyDescent="0.25">
      <c r="A21758" t="s">
        <v>24</v>
      </c>
      <c r="B21758" t="s">
        <v>82294</v>
      </c>
      <c r="C21758" t="str">
        <f>"A0068609"</f>
        <v>A0068609</v>
      </c>
      <c r="D21758" t="s">
        <v>82295</v>
      </c>
      <c r="E21758" t="s">
        <v>82296</v>
      </c>
      <c r="F21758" t="s">
        <v>73273</v>
      </c>
      <c r="G21758" t="s">
        <v>52</v>
      </c>
      <c r="H21758">
        <v>78613</v>
      </c>
      <c r="I21758" t="s">
        <v>30</v>
      </c>
      <c r="J21758" t="s">
        <v>31</v>
      </c>
      <c r="K21758" t="s">
        <v>255</v>
      </c>
      <c r="N21758" t="s">
        <v>82297</v>
      </c>
      <c r="Q21758">
        <v>0</v>
      </c>
      <c r="R21758">
        <v>85</v>
      </c>
      <c r="S21758">
        <v>0</v>
      </c>
      <c r="T21758" t="s">
        <v>82298</v>
      </c>
    </row>
    <row r="21759" spans="1:20" customFormat="1" ht="15" x14ac:dyDescent="0.25">
      <c r="A21759" t="s">
        <v>24</v>
      </c>
      <c r="B21759" t="s">
        <v>2955</v>
      </c>
      <c r="C21759" t="str">
        <f>"204X3"</f>
        <v>204X3</v>
      </c>
      <c r="D21759" t="s">
        <v>82299</v>
      </c>
      <c r="E21759" t="s">
        <v>82300</v>
      </c>
      <c r="F21759" t="s">
        <v>3059</v>
      </c>
      <c r="G21759" t="s">
        <v>52</v>
      </c>
      <c r="H21759">
        <v>78681</v>
      </c>
      <c r="I21759" t="s">
        <v>30</v>
      </c>
      <c r="J21759" t="s">
        <v>31</v>
      </c>
      <c r="K21759" t="s">
        <v>255</v>
      </c>
      <c r="N21759" t="s">
        <v>82301</v>
      </c>
      <c r="Q21759">
        <v>0</v>
      </c>
      <c r="R21759">
        <v>104</v>
      </c>
      <c r="S21759">
        <v>0</v>
      </c>
      <c r="T21759" t="s">
        <v>82302</v>
      </c>
    </row>
    <row r="21760" spans="1:20" customFormat="1" ht="15" x14ac:dyDescent="0.25">
      <c r="A21760" t="s">
        <v>24</v>
      </c>
      <c r="B21760" t="s">
        <v>82303</v>
      </c>
      <c r="C21760" t="str">
        <f>"204Y3"</f>
        <v>204Y3</v>
      </c>
      <c r="D21760" t="s">
        <v>82304</v>
      </c>
      <c r="E21760" t="s">
        <v>82305</v>
      </c>
      <c r="F21760" t="s">
        <v>372</v>
      </c>
      <c r="G21760" t="s">
        <v>52</v>
      </c>
      <c r="H21760">
        <v>78753</v>
      </c>
      <c r="I21760" t="s">
        <v>30</v>
      </c>
      <c r="J21760" t="s">
        <v>31</v>
      </c>
      <c r="K21760" t="s">
        <v>255</v>
      </c>
      <c r="N21760" t="s">
        <v>82306</v>
      </c>
      <c r="Q21760">
        <v>0</v>
      </c>
      <c r="R21760">
        <v>132</v>
      </c>
      <c r="S21760">
        <v>0</v>
      </c>
      <c r="T21760" t="s">
        <v>82307</v>
      </c>
    </row>
    <row r="21761" spans="1:20" customFormat="1" ht="15" x14ac:dyDescent="0.25">
      <c r="A21761" t="s">
        <v>24</v>
      </c>
      <c r="B21761" t="s">
        <v>1548</v>
      </c>
      <c r="C21761" t="str">
        <f>"A0090323"</f>
        <v>A0090323</v>
      </c>
      <c r="D21761" t="s">
        <v>82308</v>
      </c>
      <c r="E21761" t="s">
        <v>82309</v>
      </c>
      <c r="F21761" t="s">
        <v>271</v>
      </c>
      <c r="G21761" t="s">
        <v>103</v>
      </c>
      <c r="H21761">
        <v>15206</v>
      </c>
      <c r="I21761" t="s">
        <v>30</v>
      </c>
      <c r="J21761" t="s">
        <v>31</v>
      </c>
      <c r="K21761" t="s">
        <v>255</v>
      </c>
      <c r="N21761" t="s">
        <v>82310</v>
      </c>
      <c r="Q21761">
        <v>0</v>
      </c>
      <c r="R21761">
        <v>110</v>
      </c>
      <c r="S21761">
        <v>0</v>
      </c>
      <c r="T21761" t="s">
        <v>82311</v>
      </c>
    </row>
    <row r="21762" spans="1:20" customFormat="1" ht="15" x14ac:dyDescent="0.25">
      <c r="A21762" t="s">
        <v>24</v>
      </c>
      <c r="B21762" t="s">
        <v>62173</v>
      </c>
      <c r="C21762" t="str">
        <f>"A0100831"</f>
        <v>A0100831</v>
      </c>
      <c r="D21762" t="s">
        <v>82312</v>
      </c>
      <c r="E21762" t="s">
        <v>82313</v>
      </c>
      <c r="F21762" t="s">
        <v>82314</v>
      </c>
      <c r="G21762" t="s">
        <v>123</v>
      </c>
      <c r="H21762">
        <v>21220</v>
      </c>
      <c r="I21762" t="s">
        <v>30</v>
      </c>
      <c r="J21762" t="s">
        <v>31</v>
      </c>
      <c r="K21762" t="s">
        <v>255</v>
      </c>
      <c r="N21762" t="s">
        <v>82315</v>
      </c>
      <c r="Q21762">
        <v>0</v>
      </c>
      <c r="R21762">
        <v>120</v>
      </c>
      <c r="S21762">
        <v>0</v>
      </c>
      <c r="T21762" t="s">
        <v>82316</v>
      </c>
    </row>
    <row r="21763" spans="1:20" customFormat="1" ht="15" x14ac:dyDescent="0.25">
      <c r="A21763" t="s">
        <v>24</v>
      </c>
      <c r="B21763" t="s">
        <v>56505</v>
      </c>
      <c r="C21763" t="str">
        <f>"A0093802"</f>
        <v>A0093802</v>
      </c>
      <c r="D21763" t="s">
        <v>82317</v>
      </c>
      <c r="E21763" t="s">
        <v>82318</v>
      </c>
      <c r="F21763" t="s">
        <v>82319</v>
      </c>
      <c r="G21763" t="s">
        <v>1170</v>
      </c>
      <c r="H21763">
        <v>70737</v>
      </c>
      <c r="I21763" t="s">
        <v>30</v>
      </c>
      <c r="J21763" t="s">
        <v>31</v>
      </c>
      <c r="K21763" t="s">
        <v>255</v>
      </c>
      <c r="N21763" t="s">
        <v>71181</v>
      </c>
      <c r="O21763" t="s">
        <v>82320</v>
      </c>
      <c r="Q21763">
        <v>0</v>
      </c>
      <c r="R21763">
        <v>96</v>
      </c>
      <c r="S21763">
        <v>0</v>
      </c>
      <c r="T21763" t="s">
        <v>82321</v>
      </c>
    </row>
    <row r="21764" spans="1:20" customFormat="1" ht="15" x14ac:dyDescent="0.25">
      <c r="A21764" t="s">
        <v>24</v>
      </c>
      <c r="B21764" t="s">
        <v>11697</v>
      </c>
      <c r="C21764" t="str">
        <f>"202UD"</f>
        <v>202UD</v>
      </c>
      <c r="D21764" t="s">
        <v>82322</v>
      </c>
      <c r="E21764" t="s">
        <v>82323</v>
      </c>
      <c r="F21764" t="s">
        <v>34979</v>
      </c>
      <c r="G21764" t="s">
        <v>1170</v>
      </c>
      <c r="H21764">
        <v>70809</v>
      </c>
      <c r="I21764" t="s">
        <v>30</v>
      </c>
      <c r="J21764" t="s">
        <v>31</v>
      </c>
      <c r="K21764" t="s">
        <v>255</v>
      </c>
      <c r="N21764" t="s">
        <v>82324</v>
      </c>
      <c r="Q21764">
        <v>0</v>
      </c>
      <c r="R21764">
        <v>78</v>
      </c>
      <c r="S21764">
        <v>0</v>
      </c>
      <c r="T21764" t="s">
        <v>82325</v>
      </c>
    </row>
    <row r="21765" spans="1:20" customFormat="1" ht="15" x14ac:dyDescent="0.25">
      <c r="A21765" t="s">
        <v>24</v>
      </c>
      <c r="B21765" t="s">
        <v>56921</v>
      </c>
      <c r="C21765" t="str">
        <f>"A0092325"</f>
        <v>A0092325</v>
      </c>
      <c r="D21765" t="s">
        <v>82326</v>
      </c>
      <c r="E21765" t="s">
        <v>82327</v>
      </c>
      <c r="F21765" t="s">
        <v>1531</v>
      </c>
      <c r="G21765" t="s">
        <v>76</v>
      </c>
      <c r="H21765">
        <v>98226</v>
      </c>
      <c r="I21765" t="s">
        <v>30</v>
      </c>
      <c r="J21765" t="s">
        <v>31</v>
      </c>
      <c r="K21765" t="s">
        <v>255</v>
      </c>
      <c r="N21765" t="s">
        <v>82328</v>
      </c>
      <c r="Q21765">
        <v>0</v>
      </c>
      <c r="R21765">
        <v>122</v>
      </c>
      <c r="S21765">
        <v>0</v>
      </c>
      <c r="T21765" t="s">
        <v>82329</v>
      </c>
    </row>
    <row r="21766" spans="1:20" customFormat="1" ht="15" x14ac:dyDescent="0.25">
      <c r="A21766" t="s">
        <v>24</v>
      </c>
      <c r="B21766" t="s">
        <v>8742</v>
      </c>
      <c r="C21766" t="str">
        <f>"A0087277"</f>
        <v>A0087277</v>
      </c>
      <c r="D21766" t="s">
        <v>82330</v>
      </c>
      <c r="E21766" t="s">
        <v>82331</v>
      </c>
      <c r="F21766" t="s">
        <v>5706</v>
      </c>
      <c r="G21766" t="s">
        <v>1706</v>
      </c>
      <c r="H21766">
        <v>35233</v>
      </c>
      <c r="I21766" t="s">
        <v>30</v>
      </c>
      <c r="J21766" t="s">
        <v>31</v>
      </c>
      <c r="K21766" t="s">
        <v>255</v>
      </c>
      <c r="N21766" t="s">
        <v>65752</v>
      </c>
      <c r="Q21766">
        <v>0</v>
      </c>
      <c r="R21766">
        <v>150</v>
      </c>
      <c r="S21766">
        <v>0</v>
      </c>
      <c r="T21766" t="s">
        <v>82332</v>
      </c>
    </row>
    <row r="21767" spans="1:20" customFormat="1" ht="15" x14ac:dyDescent="0.25">
      <c r="A21767" t="s">
        <v>24</v>
      </c>
      <c r="B21767" t="s">
        <v>1561</v>
      </c>
      <c r="C21767" t="str">
        <f>"196A9"</f>
        <v>196A9</v>
      </c>
      <c r="D21767" t="s">
        <v>82333</v>
      </c>
      <c r="E21767" t="s">
        <v>82334</v>
      </c>
      <c r="F21767" t="s">
        <v>67869</v>
      </c>
      <c r="G21767" t="s">
        <v>899</v>
      </c>
      <c r="H21767">
        <v>1960</v>
      </c>
      <c r="I21767" t="s">
        <v>30</v>
      </c>
      <c r="J21767" t="s">
        <v>31</v>
      </c>
      <c r="K21767" t="s">
        <v>255</v>
      </c>
      <c r="N21767" t="s">
        <v>82335</v>
      </c>
      <c r="Q21767">
        <v>0</v>
      </c>
      <c r="R21767">
        <v>164</v>
      </c>
      <c r="S21767">
        <v>0</v>
      </c>
      <c r="T21767" t="s">
        <v>82336</v>
      </c>
    </row>
    <row r="21768" spans="1:20" customFormat="1" ht="15" x14ac:dyDescent="0.25">
      <c r="A21768" t="s">
        <v>24</v>
      </c>
      <c r="B21768" t="s">
        <v>2340</v>
      </c>
      <c r="C21768" t="str">
        <f>"A0093891"</f>
        <v>A0093891</v>
      </c>
      <c r="D21768" t="s">
        <v>82337</v>
      </c>
      <c r="E21768" t="s">
        <v>82338</v>
      </c>
      <c r="F21768" t="s">
        <v>58331</v>
      </c>
      <c r="G21768" t="s">
        <v>507</v>
      </c>
      <c r="H21768">
        <v>26330</v>
      </c>
      <c r="I21768" t="s">
        <v>30</v>
      </c>
      <c r="J21768" t="s">
        <v>31</v>
      </c>
      <c r="K21768" t="s">
        <v>255</v>
      </c>
      <c r="N21768" t="s">
        <v>82339</v>
      </c>
      <c r="Q21768">
        <v>0</v>
      </c>
      <c r="R21768">
        <v>97</v>
      </c>
      <c r="S21768">
        <v>0</v>
      </c>
      <c r="T21768" t="s">
        <v>82340</v>
      </c>
    </row>
    <row r="21769" spans="1:20" customFormat="1" ht="15" x14ac:dyDescent="0.25">
      <c r="A21769" t="s">
        <v>24</v>
      </c>
      <c r="B21769" t="s">
        <v>675</v>
      </c>
      <c r="C21769" t="str">
        <f>"A0075055"</f>
        <v>A0075055</v>
      </c>
      <c r="D21769" t="s">
        <v>82341</v>
      </c>
      <c r="E21769" t="s">
        <v>82342</v>
      </c>
      <c r="F21769" t="s">
        <v>845</v>
      </c>
      <c r="G21769" t="s">
        <v>846</v>
      </c>
      <c r="H21769">
        <v>30326</v>
      </c>
      <c r="I21769" t="s">
        <v>30</v>
      </c>
      <c r="J21769" t="s">
        <v>31</v>
      </c>
      <c r="K21769" t="s">
        <v>255</v>
      </c>
      <c r="N21769" t="s">
        <v>82270</v>
      </c>
      <c r="O21769" t="s">
        <v>59527</v>
      </c>
      <c r="Q21769">
        <v>0</v>
      </c>
      <c r="R21769">
        <v>220</v>
      </c>
      <c r="S21769">
        <v>0</v>
      </c>
      <c r="T21769" t="s">
        <v>82343</v>
      </c>
    </row>
    <row r="21770" spans="1:20" customFormat="1" ht="15" x14ac:dyDescent="0.25">
      <c r="A21770" t="s">
        <v>24</v>
      </c>
      <c r="B21770" t="s">
        <v>1020</v>
      </c>
      <c r="C21770" t="str">
        <f>"A0085212"</f>
        <v>A0085212</v>
      </c>
      <c r="D21770" t="s">
        <v>82344</v>
      </c>
      <c r="E21770" t="s">
        <v>82345</v>
      </c>
      <c r="F21770" t="s">
        <v>3466</v>
      </c>
      <c r="G21770" t="s">
        <v>840</v>
      </c>
      <c r="H21770">
        <v>40202</v>
      </c>
      <c r="I21770" t="s">
        <v>30</v>
      </c>
      <c r="J21770" t="s">
        <v>31</v>
      </c>
      <c r="K21770" t="s">
        <v>255</v>
      </c>
      <c r="N21770" t="s">
        <v>65192</v>
      </c>
      <c r="Q21770">
        <v>0</v>
      </c>
      <c r="R21770">
        <v>198</v>
      </c>
      <c r="S21770">
        <v>0</v>
      </c>
      <c r="T21770" t="s">
        <v>82346</v>
      </c>
    </row>
    <row r="21771" spans="1:20" customFormat="1" ht="15" x14ac:dyDescent="0.25">
      <c r="A21771" t="s">
        <v>24</v>
      </c>
      <c r="B21771" t="s">
        <v>675</v>
      </c>
      <c r="C21771" t="str">
        <f>"A0087700"</f>
        <v>A0087700</v>
      </c>
      <c r="D21771" t="s">
        <v>82347</v>
      </c>
      <c r="E21771" t="s">
        <v>82348</v>
      </c>
      <c r="F21771" t="s">
        <v>1889</v>
      </c>
      <c r="G21771" t="s">
        <v>81</v>
      </c>
      <c r="H21771">
        <v>33136</v>
      </c>
      <c r="I21771" t="s">
        <v>30</v>
      </c>
      <c r="J21771" t="s">
        <v>31</v>
      </c>
      <c r="K21771" t="s">
        <v>255</v>
      </c>
      <c r="N21771" t="s">
        <v>82349</v>
      </c>
      <c r="Q21771">
        <v>0</v>
      </c>
      <c r="R21771">
        <v>200</v>
      </c>
      <c r="S21771">
        <v>0</v>
      </c>
      <c r="T21771" t="s">
        <v>82350</v>
      </c>
    </row>
    <row r="21772" spans="1:20" customFormat="1" ht="15" x14ac:dyDescent="0.25">
      <c r="A21772" t="s">
        <v>24</v>
      </c>
      <c r="B21772" t="s">
        <v>5104</v>
      </c>
      <c r="C21772" t="str">
        <f>"A0100822"</f>
        <v>A0100822</v>
      </c>
      <c r="D21772" t="s">
        <v>82351</v>
      </c>
      <c r="E21772" t="s">
        <v>65321</v>
      </c>
      <c r="F21772" t="s">
        <v>997</v>
      </c>
      <c r="G21772" t="s">
        <v>99</v>
      </c>
      <c r="H21772">
        <v>10018</v>
      </c>
      <c r="I21772" t="s">
        <v>30</v>
      </c>
      <c r="J21772" t="s">
        <v>31</v>
      </c>
      <c r="K21772" t="s">
        <v>255</v>
      </c>
      <c r="N21772" t="s">
        <v>65322</v>
      </c>
      <c r="Q21772">
        <v>0</v>
      </c>
      <c r="R21772">
        <v>280</v>
      </c>
      <c r="S21772">
        <v>0</v>
      </c>
      <c r="T21772" t="s">
        <v>82352</v>
      </c>
    </row>
    <row r="21773" spans="1:20" customFormat="1" ht="15" x14ac:dyDescent="0.25">
      <c r="A21773" t="s">
        <v>24</v>
      </c>
      <c r="B21773" t="s">
        <v>58744</v>
      </c>
      <c r="C21773" t="str">
        <f>"A0097819"</f>
        <v>A0097819</v>
      </c>
      <c r="D21773" t="s">
        <v>77831</v>
      </c>
      <c r="E21773" t="s">
        <v>77832</v>
      </c>
      <c r="F21773" t="s">
        <v>77833</v>
      </c>
      <c r="G21773" t="s">
        <v>427</v>
      </c>
      <c r="H21773">
        <v>69101</v>
      </c>
      <c r="I21773" t="s">
        <v>30</v>
      </c>
      <c r="J21773" t="s">
        <v>171</v>
      </c>
      <c r="K21773" t="s">
        <v>315</v>
      </c>
      <c r="N21773" t="s">
        <v>77834</v>
      </c>
      <c r="O21773" t="s">
        <v>77835</v>
      </c>
      <c r="Q21773">
        <v>0</v>
      </c>
      <c r="R21773">
        <v>90</v>
      </c>
      <c r="S21773">
        <v>0</v>
      </c>
      <c r="T21773" t="s">
        <v>77836</v>
      </c>
    </row>
    <row r="21774" spans="1:20" customFormat="1" ht="15" x14ac:dyDescent="0.25">
      <c r="A21774" t="s">
        <v>24</v>
      </c>
      <c r="B21774" t="s">
        <v>257</v>
      </c>
      <c r="C21774" t="str">
        <f>"A0088117"</f>
        <v>A0088117</v>
      </c>
      <c r="D21774" t="s">
        <v>82357</v>
      </c>
      <c r="E21774" t="s">
        <v>82358</v>
      </c>
      <c r="F21774" t="s">
        <v>8970</v>
      </c>
      <c r="G21774" t="s">
        <v>81</v>
      </c>
      <c r="H21774">
        <v>32967</v>
      </c>
      <c r="I21774" t="s">
        <v>30</v>
      </c>
      <c r="J21774" t="s">
        <v>31</v>
      </c>
      <c r="K21774" t="s">
        <v>255</v>
      </c>
      <c r="N21774" t="s">
        <v>78689</v>
      </c>
      <c r="O21774" t="s">
        <v>82359</v>
      </c>
      <c r="Q21774">
        <v>0</v>
      </c>
      <c r="R21774">
        <v>83</v>
      </c>
      <c r="S21774">
        <v>0</v>
      </c>
      <c r="T21774" t="s">
        <v>82360</v>
      </c>
    </row>
    <row r="21775" spans="1:20" customFormat="1" ht="15" x14ac:dyDescent="0.25">
      <c r="A21775" t="s">
        <v>24</v>
      </c>
      <c r="B21775" t="s">
        <v>3159</v>
      </c>
      <c r="C21775" t="str">
        <f>"192KG"</f>
        <v>192KG</v>
      </c>
      <c r="D21775" t="s">
        <v>82361</v>
      </c>
      <c r="E21775" t="s">
        <v>82362</v>
      </c>
      <c r="F21775" t="s">
        <v>57914</v>
      </c>
      <c r="G21775" t="s">
        <v>29</v>
      </c>
      <c r="H21775">
        <v>20120</v>
      </c>
      <c r="I21775" t="s">
        <v>30</v>
      </c>
      <c r="J21775" t="s">
        <v>31</v>
      </c>
      <c r="K21775" t="s">
        <v>255</v>
      </c>
      <c r="N21775" t="s">
        <v>82363</v>
      </c>
      <c r="O21775" t="s">
        <v>82364</v>
      </c>
      <c r="Q21775">
        <v>0</v>
      </c>
      <c r="R21775">
        <v>136</v>
      </c>
      <c r="S21775">
        <v>0</v>
      </c>
      <c r="T21775" t="s">
        <v>82365</v>
      </c>
    </row>
    <row r="21776" spans="1:20" customFormat="1" ht="15" x14ac:dyDescent="0.25">
      <c r="A21776" t="s">
        <v>24</v>
      </c>
      <c r="B21776" t="s">
        <v>13299</v>
      </c>
      <c r="C21776" t="str">
        <f>"202MT"</f>
        <v>202MT</v>
      </c>
      <c r="D21776" t="s">
        <v>82366</v>
      </c>
      <c r="E21776" t="s">
        <v>82367</v>
      </c>
      <c r="F21776" t="s">
        <v>5369</v>
      </c>
      <c r="G21776" t="s">
        <v>58</v>
      </c>
      <c r="H21776">
        <v>29407</v>
      </c>
      <c r="I21776" t="s">
        <v>30</v>
      </c>
      <c r="J21776" t="s">
        <v>31</v>
      </c>
      <c r="K21776" t="s">
        <v>255</v>
      </c>
      <c r="N21776" t="s">
        <v>78674</v>
      </c>
      <c r="O21776" t="s">
        <v>82368</v>
      </c>
      <c r="Q21776">
        <v>0</v>
      </c>
      <c r="R21776">
        <v>123</v>
      </c>
      <c r="S21776">
        <v>0</v>
      </c>
      <c r="T21776" t="s">
        <v>82369</v>
      </c>
    </row>
    <row r="21777" spans="1:20" customFormat="1" ht="15" x14ac:dyDescent="0.25">
      <c r="A21777" t="s">
        <v>24</v>
      </c>
      <c r="B21777" t="s">
        <v>34738</v>
      </c>
      <c r="C21777" t="str">
        <f>"A0087538"</f>
        <v>A0087538</v>
      </c>
      <c r="D21777" t="s">
        <v>82370</v>
      </c>
      <c r="E21777" t="s">
        <v>82371</v>
      </c>
      <c r="F21777" t="s">
        <v>242</v>
      </c>
      <c r="G21777" t="s">
        <v>214</v>
      </c>
      <c r="H21777">
        <v>28277</v>
      </c>
      <c r="I21777" t="s">
        <v>30</v>
      </c>
      <c r="J21777" t="s">
        <v>31</v>
      </c>
      <c r="K21777" t="s">
        <v>255</v>
      </c>
      <c r="N21777" t="s">
        <v>82372</v>
      </c>
      <c r="Q21777">
        <v>0</v>
      </c>
      <c r="R21777">
        <v>124</v>
      </c>
      <c r="S21777">
        <v>0</v>
      </c>
      <c r="T21777" t="s">
        <v>82373</v>
      </c>
    </row>
    <row r="21778" spans="1:20" customFormat="1" ht="15" x14ac:dyDescent="0.25">
      <c r="A21778" t="s">
        <v>24</v>
      </c>
      <c r="B21778" t="s">
        <v>675</v>
      </c>
      <c r="C21778" t="str">
        <f>"192KB"</f>
        <v>192KB</v>
      </c>
      <c r="D21778" t="s">
        <v>82374</v>
      </c>
      <c r="E21778" t="s">
        <v>82375</v>
      </c>
      <c r="F21778" t="s">
        <v>242</v>
      </c>
      <c r="G21778" t="s">
        <v>214</v>
      </c>
      <c r="H21778">
        <v>28262</v>
      </c>
      <c r="I21778" t="s">
        <v>30</v>
      </c>
      <c r="J21778" t="s">
        <v>31</v>
      </c>
      <c r="K21778" t="s">
        <v>255</v>
      </c>
      <c r="N21778" t="s">
        <v>82376</v>
      </c>
      <c r="Q21778">
        <v>0</v>
      </c>
      <c r="R21778">
        <v>136</v>
      </c>
      <c r="S21778">
        <v>0</v>
      </c>
      <c r="T21778" t="s">
        <v>82377</v>
      </c>
    </row>
    <row r="21779" spans="1:20" customFormat="1" ht="15" x14ac:dyDescent="0.25">
      <c r="A21779" t="s">
        <v>24</v>
      </c>
      <c r="B21779" t="s">
        <v>34738</v>
      </c>
      <c r="C21779" t="str">
        <f>"A0098008"</f>
        <v>A0098008</v>
      </c>
      <c r="D21779" t="s">
        <v>82378</v>
      </c>
      <c r="E21779" t="s">
        <v>82379</v>
      </c>
      <c r="F21779" t="s">
        <v>242</v>
      </c>
      <c r="G21779" t="s">
        <v>214</v>
      </c>
      <c r="H21779">
        <v>28202</v>
      </c>
      <c r="I21779" t="s">
        <v>30</v>
      </c>
      <c r="J21779" t="s">
        <v>31</v>
      </c>
      <c r="K21779" t="s">
        <v>255</v>
      </c>
      <c r="N21779" t="s">
        <v>82372</v>
      </c>
      <c r="Q21779">
        <v>0</v>
      </c>
      <c r="R21779">
        <v>195</v>
      </c>
      <c r="S21779">
        <v>0</v>
      </c>
      <c r="T21779" t="s">
        <v>82380</v>
      </c>
    </row>
    <row r="21780" spans="1:20" customFormat="1" ht="15" x14ac:dyDescent="0.25">
      <c r="A21780" t="s">
        <v>24</v>
      </c>
      <c r="B21780" t="s">
        <v>1323</v>
      </c>
      <c r="C21780" t="str">
        <f>"A0091080"</f>
        <v>A0091080</v>
      </c>
      <c r="D21780" t="s">
        <v>82381</v>
      </c>
      <c r="E21780" t="s">
        <v>82382</v>
      </c>
      <c r="F21780" t="s">
        <v>1346</v>
      </c>
      <c r="G21780" t="s">
        <v>880</v>
      </c>
      <c r="H21780">
        <v>37402</v>
      </c>
      <c r="I21780" t="s">
        <v>30</v>
      </c>
      <c r="J21780" t="s">
        <v>31</v>
      </c>
      <c r="K21780" t="s">
        <v>255</v>
      </c>
      <c r="N21780" t="s">
        <v>82383</v>
      </c>
      <c r="Q21780">
        <v>0</v>
      </c>
      <c r="R21780">
        <v>116</v>
      </c>
      <c r="S21780">
        <v>0</v>
      </c>
      <c r="T21780" t="s">
        <v>82384</v>
      </c>
    </row>
    <row r="21781" spans="1:20" customFormat="1" ht="15" x14ac:dyDescent="0.25">
      <c r="A21781" t="s">
        <v>24</v>
      </c>
      <c r="B21781" t="s">
        <v>649</v>
      </c>
      <c r="C21781" t="str">
        <f>"192KX"</f>
        <v>192KX</v>
      </c>
      <c r="D21781" t="s">
        <v>82385</v>
      </c>
      <c r="E21781" t="s">
        <v>82386</v>
      </c>
      <c r="F21781" t="s">
        <v>81786</v>
      </c>
      <c r="G21781" t="s">
        <v>137</v>
      </c>
      <c r="H21781">
        <v>63017</v>
      </c>
      <c r="I21781" t="s">
        <v>30</v>
      </c>
      <c r="J21781" t="s">
        <v>31</v>
      </c>
      <c r="K21781" t="s">
        <v>255</v>
      </c>
      <c r="N21781" t="s">
        <v>59492</v>
      </c>
      <c r="Q21781">
        <v>0</v>
      </c>
      <c r="R21781">
        <v>92</v>
      </c>
      <c r="S21781">
        <v>0</v>
      </c>
      <c r="T21781" t="s">
        <v>82387</v>
      </c>
    </row>
    <row r="21782" spans="1:20" customFormat="1" ht="15" x14ac:dyDescent="0.25">
      <c r="A21782" t="s">
        <v>24</v>
      </c>
      <c r="B21782" t="s">
        <v>4400</v>
      </c>
      <c r="C21782" t="str">
        <f>"A0058638"</f>
        <v>A0058638</v>
      </c>
      <c r="D21782" t="s">
        <v>82388</v>
      </c>
      <c r="E21782" t="s">
        <v>82389</v>
      </c>
      <c r="F21782" t="s">
        <v>60042</v>
      </c>
      <c r="G21782" t="s">
        <v>289</v>
      </c>
      <c r="H21782">
        <v>60126</v>
      </c>
      <c r="I21782" t="s">
        <v>30</v>
      </c>
      <c r="J21782" t="s">
        <v>31</v>
      </c>
      <c r="K21782" t="s">
        <v>255</v>
      </c>
      <c r="N21782" t="s">
        <v>82390</v>
      </c>
      <c r="O21782" t="s">
        <v>82391</v>
      </c>
      <c r="Q21782">
        <v>0</v>
      </c>
      <c r="R21782">
        <v>128</v>
      </c>
      <c r="S21782">
        <v>0</v>
      </c>
      <c r="T21782" t="s">
        <v>82392</v>
      </c>
    </row>
    <row r="21783" spans="1:20" customFormat="1" ht="15" x14ac:dyDescent="0.25">
      <c r="A21783" t="s">
        <v>24</v>
      </c>
      <c r="B21783" t="s">
        <v>675</v>
      </c>
      <c r="C21783" t="str">
        <f>"196A2"</f>
        <v>196A2</v>
      </c>
      <c r="D21783" t="s">
        <v>82393</v>
      </c>
      <c r="E21783" t="s">
        <v>62175</v>
      </c>
      <c r="F21783" t="s">
        <v>60060</v>
      </c>
      <c r="G21783" t="s">
        <v>289</v>
      </c>
      <c r="H21783">
        <v>60069</v>
      </c>
      <c r="I21783" t="s">
        <v>30</v>
      </c>
      <c r="J21783" t="s">
        <v>31</v>
      </c>
      <c r="K21783" t="s">
        <v>255</v>
      </c>
      <c r="N21783" t="s">
        <v>82394</v>
      </c>
      <c r="Q21783">
        <v>0</v>
      </c>
      <c r="R21783">
        <v>161</v>
      </c>
      <c r="S21783">
        <v>0</v>
      </c>
      <c r="T21783" t="s">
        <v>82395</v>
      </c>
    </row>
    <row r="21784" spans="1:20" customFormat="1" ht="15" x14ac:dyDescent="0.25">
      <c r="A21784" t="s">
        <v>24</v>
      </c>
      <c r="B21784" t="s">
        <v>2583</v>
      </c>
      <c r="C21784" t="str">
        <f>"88AM004"</f>
        <v>88AM004</v>
      </c>
      <c r="D21784" t="s">
        <v>82396</v>
      </c>
      <c r="E21784" t="s">
        <v>82397</v>
      </c>
      <c r="F21784" t="s">
        <v>716</v>
      </c>
      <c r="G21784" t="s">
        <v>289</v>
      </c>
      <c r="H21784">
        <v>60631</v>
      </c>
      <c r="I21784" t="s">
        <v>30</v>
      </c>
      <c r="J21784" t="s">
        <v>31</v>
      </c>
      <c r="K21784" t="s">
        <v>255</v>
      </c>
      <c r="N21784" t="s">
        <v>82398</v>
      </c>
      <c r="O21784" t="s">
        <v>82399</v>
      </c>
      <c r="Q21784">
        <v>0</v>
      </c>
      <c r="R21784">
        <v>245</v>
      </c>
      <c r="S21784">
        <v>0</v>
      </c>
      <c r="T21784" t="s">
        <v>82400</v>
      </c>
    </row>
    <row r="21785" spans="1:20" customFormat="1" ht="15" x14ac:dyDescent="0.25">
      <c r="A21785" t="s">
        <v>24</v>
      </c>
      <c r="B21785" t="s">
        <v>1487</v>
      </c>
      <c r="C21785" t="str">
        <f>"A0084608"</f>
        <v>A0084608</v>
      </c>
      <c r="D21785" t="s">
        <v>82401</v>
      </c>
      <c r="E21785" t="s">
        <v>78711</v>
      </c>
      <c r="F21785" t="s">
        <v>716</v>
      </c>
      <c r="G21785" t="s">
        <v>289</v>
      </c>
      <c r="H21785">
        <v>60654</v>
      </c>
      <c r="I21785" t="s">
        <v>30</v>
      </c>
      <c r="J21785" t="s">
        <v>31</v>
      </c>
      <c r="K21785" t="s">
        <v>255</v>
      </c>
      <c r="N21785" t="s">
        <v>78713</v>
      </c>
      <c r="Q21785">
        <v>0</v>
      </c>
      <c r="R21785">
        <v>253</v>
      </c>
      <c r="S21785">
        <v>0</v>
      </c>
      <c r="T21785" t="s">
        <v>78714</v>
      </c>
    </row>
    <row r="21786" spans="1:20" customFormat="1" ht="15" x14ac:dyDescent="0.25">
      <c r="A21786" t="s">
        <v>24</v>
      </c>
      <c r="B21786" t="s">
        <v>4400</v>
      </c>
      <c r="C21786" t="str">
        <f>"A0074088"</f>
        <v>A0074088</v>
      </c>
      <c r="D21786" t="s">
        <v>82402</v>
      </c>
      <c r="E21786" t="s">
        <v>82403</v>
      </c>
      <c r="F21786" t="s">
        <v>82404</v>
      </c>
      <c r="G21786" t="s">
        <v>289</v>
      </c>
      <c r="H21786">
        <v>60527</v>
      </c>
      <c r="I21786" t="s">
        <v>30</v>
      </c>
      <c r="J21786" t="s">
        <v>31</v>
      </c>
      <c r="K21786" t="s">
        <v>255</v>
      </c>
      <c r="N21786" t="s">
        <v>82405</v>
      </c>
      <c r="Q21786">
        <v>0</v>
      </c>
      <c r="R21786">
        <v>128</v>
      </c>
      <c r="S21786">
        <v>0</v>
      </c>
      <c r="T21786" t="s">
        <v>82406</v>
      </c>
    </row>
    <row r="21787" spans="1:20" customFormat="1" ht="15" x14ac:dyDescent="0.25">
      <c r="A21787" t="s">
        <v>24</v>
      </c>
      <c r="B21787" t="s">
        <v>4400</v>
      </c>
      <c r="C21787" t="str">
        <f>"88AM003"</f>
        <v>88AM003</v>
      </c>
      <c r="D21787" t="s">
        <v>82407</v>
      </c>
      <c r="E21787" t="s">
        <v>82408</v>
      </c>
      <c r="F21787" t="s">
        <v>13288</v>
      </c>
      <c r="G21787" t="s">
        <v>289</v>
      </c>
      <c r="H21787">
        <v>60555</v>
      </c>
      <c r="I21787" t="s">
        <v>30</v>
      </c>
      <c r="J21787" t="s">
        <v>31</v>
      </c>
      <c r="K21787" t="s">
        <v>255</v>
      </c>
      <c r="N21787" t="s">
        <v>82409</v>
      </c>
      <c r="O21787" t="s">
        <v>82410</v>
      </c>
      <c r="Q21787">
        <v>0</v>
      </c>
      <c r="R21787">
        <v>128</v>
      </c>
      <c r="S21787">
        <v>0</v>
      </c>
      <c r="T21787" t="s">
        <v>82411</v>
      </c>
    </row>
    <row r="21788" spans="1:20" customFormat="1" ht="15" x14ac:dyDescent="0.25">
      <c r="A21788" t="s">
        <v>24</v>
      </c>
      <c r="B21788" t="s">
        <v>2349</v>
      </c>
      <c r="C21788" t="str">
        <f>"A0099045"</f>
        <v>A0099045</v>
      </c>
      <c r="D21788" t="s">
        <v>82412</v>
      </c>
      <c r="E21788" t="s">
        <v>82413</v>
      </c>
      <c r="F21788" t="s">
        <v>13716</v>
      </c>
      <c r="G21788" t="s">
        <v>65</v>
      </c>
      <c r="H21788">
        <v>45242</v>
      </c>
      <c r="I21788" t="s">
        <v>30</v>
      </c>
      <c r="J21788" t="s">
        <v>31</v>
      </c>
      <c r="K21788" t="s">
        <v>255</v>
      </c>
      <c r="N21788" t="s">
        <v>82414</v>
      </c>
      <c r="Q21788">
        <v>0</v>
      </c>
      <c r="R21788">
        <v>103</v>
      </c>
      <c r="S21788">
        <v>0</v>
      </c>
      <c r="T21788" t="s">
        <v>82415</v>
      </c>
    </row>
    <row r="21789" spans="1:20" customFormat="1" ht="15" x14ac:dyDescent="0.25">
      <c r="A21789" t="s">
        <v>24</v>
      </c>
      <c r="B21789" t="s">
        <v>57556</v>
      </c>
      <c r="C21789" t="str">
        <f>"A0058526"</f>
        <v>A0058526</v>
      </c>
      <c r="D21789" t="s">
        <v>82416</v>
      </c>
      <c r="E21789" t="s">
        <v>82417</v>
      </c>
      <c r="F21789" t="s">
        <v>82418</v>
      </c>
      <c r="G21789" t="s">
        <v>65</v>
      </c>
      <c r="H21789">
        <v>45240</v>
      </c>
      <c r="I21789" t="s">
        <v>30</v>
      </c>
      <c r="J21789" t="s">
        <v>31</v>
      </c>
      <c r="K21789" t="s">
        <v>255</v>
      </c>
      <c r="N21789" t="s">
        <v>82419</v>
      </c>
      <c r="O21789" t="s">
        <v>82420</v>
      </c>
      <c r="Q21789">
        <v>0</v>
      </c>
      <c r="R21789">
        <v>124</v>
      </c>
      <c r="S21789">
        <v>0</v>
      </c>
      <c r="T21789" t="s">
        <v>82421</v>
      </c>
    </row>
    <row r="21790" spans="1:20" customFormat="1" ht="15" x14ac:dyDescent="0.25">
      <c r="A21790" t="s">
        <v>24</v>
      </c>
      <c r="B21790" t="s">
        <v>34691</v>
      </c>
      <c r="C21790" t="str">
        <f>"A0086041"</f>
        <v>A0086041</v>
      </c>
      <c r="D21790" t="s">
        <v>82422</v>
      </c>
      <c r="E21790" t="s">
        <v>82423</v>
      </c>
      <c r="F21790" t="s">
        <v>1705</v>
      </c>
      <c r="G21790" t="s">
        <v>1706</v>
      </c>
      <c r="H21790">
        <v>35243</v>
      </c>
      <c r="I21790" t="s">
        <v>30</v>
      </c>
      <c r="J21790" t="s">
        <v>31</v>
      </c>
      <c r="K21790" t="s">
        <v>255</v>
      </c>
      <c r="N21790" t="s">
        <v>82424</v>
      </c>
      <c r="Q21790">
        <v>0</v>
      </c>
      <c r="R21790">
        <v>120</v>
      </c>
      <c r="S21790">
        <v>0</v>
      </c>
      <c r="T21790" t="s">
        <v>82425</v>
      </c>
    </row>
    <row r="21791" spans="1:20" customFormat="1" ht="15" x14ac:dyDescent="0.25">
      <c r="A21791" t="s">
        <v>24</v>
      </c>
      <c r="B21791" t="s">
        <v>34738</v>
      </c>
      <c r="C21791" t="str">
        <f>"A0087677"</f>
        <v>A0087677</v>
      </c>
      <c r="D21791" t="s">
        <v>82426</v>
      </c>
      <c r="E21791" t="s">
        <v>82427</v>
      </c>
      <c r="F21791" t="s">
        <v>4909</v>
      </c>
      <c r="G21791" t="s">
        <v>58</v>
      </c>
      <c r="H21791">
        <v>29201</v>
      </c>
      <c r="I21791" t="s">
        <v>30</v>
      </c>
      <c r="J21791" t="s">
        <v>31</v>
      </c>
      <c r="K21791" t="s">
        <v>255</v>
      </c>
      <c r="N21791" t="s">
        <v>82428</v>
      </c>
      <c r="Q21791">
        <v>0</v>
      </c>
      <c r="R21791">
        <v>132</v>
      </c>
      <c r="S21791">
        <v>0</v>
      </c>
      <c r="T21791" t="s">
        <v>82429</v>
      </c>
    </row>
    <row r="21792" spans="1:20" customFormat="1" ht="15" x14ac:dyDescent="0.25">
      <c r="A21792" t="s">
        <v>24</v>
      </c>
      <c r="B21792" t="s">
        <v>13807</v>
      </c>
      <c r="C21792" t="str">
        <f>"A0088507"</f>
        <v>A0088507</v>
      </c>
      <c r="D21792" t="s">
        <v>82430</v>
      </c>
      <c r="E21792" t="s">
        <v>82431</v>
      </c>
      <c r="F21792" t="s">
        <v>4909</v>
      </c>
      <c r="G21792" t="s">
        <v>123</v>
      </c>
      <c r="H21792">
        <v>21046</v>
      </c>
      <c r="I21792" t="s">
        <v>30</v>
      </c>
      <c r="J21792" t="s">
        <v>31</v>
      </c>
      <c r="K21792" t="s">
        <v>255</v>
      </c>
      <c r="N21792" t="s">
        <v>82432</v>
      </c>
      <c r="Q21792">
        <v>0</v>
      </c>
      <c r="R21792">
        <v>117</v>
      </c>
      <c r="S21792">
        <v>0</v>
      </c>
      <c r="T21792" t="s">
        <v>82433</v>
      </c>
    </row>
    <row r="21793" spans="1:20" customFormat="1" ht="15" x14ac:dyDescent="0.25">
      <c r="A21793" t="s">
        <v>24</v>
      </c>
      <c r="B21793" t="s">
        <v>1098</v>
      </c>
      <c r="C21793" t="str">
        <f>"A0165807"</f>
        <v>A0165807</v>
      </c>
      <c r="D21793" t="s">
        <v>82434</v>
      </c>
      <c r="E21793" t="s">
        <v>82435</v>
      </c>
      <c r="F21793" t="s">
        <v>8225</v>
      </c>
      <c r="G21793" t="s">
        <v>65</v>
      </c>
      <c r="H21793">
        <v>43017</v>
      </c>
      <c r="I21793" t="s">
        <v>30</v>
      </c>
      <c r="J21793" t="s">
        <v>31</v>
      </c>
      <c r="K21793" t="s">
        <v>255</v>
      </c>
      <c r="N21793" t="s">
        <v>82436</v>
      </c>
      <c r="O21793" t="s">
        <v>82437</v>
      </c>
      <c r="Q21793">
        <v>0</v>
      </c>
      <c r="R21793">
        <v>145</v>
      </c>
      <c r="S21793">
        <v>0</v>
      </c>
      <c r="T21793" t="s">
        <v>82438</v>
      </c>
    </row>
    <row r="21794" spans="1:20" customFormat="1" ht="15" x14ac:dyDescent="0.25">
      <c r="A21794" t="s">
        <v>24</v>
      </c>
      <c r="B21794" t="s">
        <v>34738</v>
      </c>
      <c r="C21794" t="str">
        <f>"202VX"</f>
        <v>202VX</v>
      </c>
      <c r="D21794" t="s">
        <v>82439</v>
      </c>
      <c r="E21794" t="s">
        <v>82440</v>
      </c>
      <c r="F21794" t="s">
        <v>56723</v>
      </c>
      <c r="G21794" t="s">
        <v>214</v>
      </c>
      <c r="H21794">
        <v>28027</v>
      </c>
      <c r="I21794" t="s">
        <v>30</v>
      </c>
      <c r="J21794" t="s">
        <v>31</v>
      </c>
      <c r="K21794" t="s">
        <v>255</v>
      </c>
      <c r="N21794" t="s">
        <v>82441</v>
      </c>
      <c r="O21794" t="s">
        <v>82442</v>
      </c>
      <c r="Q21794">
        <v>0</v>
      </c>
      <c r="R21794">
        <v>95</v>
      </c>
      <c r="S21794">
        <v>0</v>
      </c>
      <c r="T21794" t="s">
        <v>82443</v>
      </c>
    </row>
    <row r="21795" spans="1:20" customFormat="1" ht="15" x14ac:dyDescent="0.25">
      <c r="A21795" t="s">
        <v>24</v>
      </c>
      <c r="B21795" t="s">
        <v>11533</v>
      </c>
      <c r="C21795" t="str">
        <f>"A0098878"</f>
        <v>A0098878</v>
      </c>
      <c r="D21795" t="s">
        <v>82444</v>
      </c>
      <c r="E21795" t="s">
        <v>82445</v>
      </c>
      <c r="F21795" t="s">
        <v>16619</v>
      </c>
      <c r="G21795" t="s">
        <v>1898</v>
      </c>
      <c r="H21795">
        <v>52241</v>
      </c>
      <c r="I21795" t="s">
        <v>30</v>
      </c>
      <c r="J21795" t="s">
        <v>31</v>
      </c>
      <c r="K21795" t="s">
        <v>255</v>
      </c>
      <c r="N21795" t="s">
        <v>82446</v>
      </c>
      <c r="Q21795">
        <v>0</v>
      </c>
      <c r="R21795">
        <v>102</v>
      </c>
      <c r="S21795">
        <v>0</v>
      </c>
      <c r="T21795" t="s">
        <v>82447</v>
      </c>
    </row>
    <row r="21796" spans="1:20" customFormat="1" ht="15" x14ac:dyDescent="0.25">
      <c r="A21796" t="s">
        <v>24</v>
      </c>
      <c r="B21796" t="s">
        <v>15039</v>
      </c>
      <c r="C21796" t="str">
        <f>"A0154130"</f>
        <v>A0154130</v>
      </c>
      <c r="D21796" t="s">
        <v>82448</v>
      </c>
      <c r="E21796" t="s">
        <v>82449</v>
      </c>
      <c r="F21796" t="s">
        <v>7376</v>
      </c>
      <c r="G21796" t="s">
        <v>52</v>
      </c>
      <c r="H21796">
        <v>76063</v>
      </c>
      <c r="I21796" t="s">
        <v>30</v>
      </c>
      <c r="J21796" t="s">
        <v>31</v>
      </c>
      <c r="K21796" t="s">
        <v>255</v>
      </c>
      <c r="N21796" t="s">
        <v>82450</v>
      </c>
      <c r="Q21796">
        <v>0</v>
      </c>
      <c r="R21796">
        <v>88</v>
      </c>
      <c r="S21796">
        <v>0</v>
      </c>
      <c r="T21796" t="s">
        <v>82451</v>
      </c>
    </row>
    <row r="21797" spans="1:20" customFormat="1" ht="15" x14ac:dyDescent="0.25">
      <c r="A21797" t="s">
        <v>24</v>
      </c>
      <c r="B21797" t="s">
        <v>60220</v>
      </c>
      <c r="C21797" t="str">
        <f>"A0090762"</f>
        <v>A0090762</v>
      </c>
      <c r="D21797" t="s">
        <v>82452</v>
      </c>
      <c r="E21797" t="s">
        <v>82453</v>
      </c>
      <c r="F21797" t="s">
        <v>10779</v>
      </c>
      <c r="G21797" t="s">
        <v>52</v>
      </c>
      <c r="H21797">
        <v>75082</v>
      </c>
      <c r="I21797" t="s">
        <v>30</v>
      </c>
      <c r="J21797" t="s">
        <v>31</v>
      </c>
      <c r="K21797" t="s">
        <v>255</v>
      </c>
      <c r="N21797" t="s">
        <v>82454</v>
      </c>
      <c r="Q21797">
        <v>0</v>
      </c>
      <c r="R21797">
        <v>100</v>
      </c>
      <c r="S21797">
        <v>0</v>
      </c>
      <c r="T21797" t="s">
        <v>82455</v>
      </c>
    </row>
    <row r="21798" spans="1:20" customFormat="1" ht="15" x14ac:dyDescent="0.25">
      <c r="A21798" t="s">
        <v>24</v>
      </c>
      <c r="B21798" t="s">
        <v>3789</v>
      </c>
      <c r="C21798" t="str">
        <f>"A0098179"</f>
        <v>A0098179</v>
      </c>
      <c r="D21798" t="s">
        <v>82456</v>
      </c>
      <c r="E21798" t="s">
        <v>82457</v>
      </c>
      <c r="F21798" t="s">
        <v>12341</v>
      </c>
      <c r="G21798" t="s">
        <v>52</v>
      </c>
      <c r="H21798">
        <v>75032</v>
      </c>
      <c r="I21798" t="s">
        <v>30</v>
      </c>
      <c r="J21798" t="s">
        <v>31</v>
      </c>
      <c r="K21798" t="s">
        <v>255</v>
      </c>
      <c r="N21798" t="s">
        <v>12342</v>
      </c>
      <c r="O21798" t="s">
        <v>82458</v>
      </c>
      <c r="Q21798">
        <v>0</v>
      </c>
      <c r="R21798">
        <v>105</v>
      </c>
      <c r="S21798">
        <v>0</v>
      </c>
      <c r="T21798" t="s">
        <v>82459</v>
      </c>
    </row>
    <row r="21799" spans="1:20" customFormat="1" ht="15" x14ac:dyDescent="0.25">
      <c r="A21799" t="s">
        <v>24</v>
      </c>
      <c r="B21799" t="s">
        <v>675</v>
      </c>
      <c r="C21799" t="str">
        <f>"A0065172"</f>
        <v>A0065172</v>
      </c>
      <c r="D21799" t="s">
        <v>82460</v>
      </c>
      <c r="E21799" t="s">
        <v>82461</v>
      </c>
      <c r="F21799" t="s">
        <v>14619</v>
      </c>
      <c r="G21799" t="s">
        <v>52</v>
      </c>
      <c r="H21799">
        <v>75001</v>
      </c>
      <c r="I21799" t="s">
        <v>30</v>
      </c>
      <c r="J21799" t="s">
        <v>31</v>
      </c>
      <c r="K21799" t="s">
        <v>255</v>
      </c>
      <c r="N21799" t="s">
        <v>82462</v>
      </c>
      <c r="O21799" t="s">
        <v>3486</v>
      </c>
      <c r="Q21799">
        <v>0</v>
      </c>
      <c r="R21799">
        <v>159</v>
      </c>
      <c r="S21799">
        <v>0</v>
      </c>
      <c r="T21799" t="s">
        <v>82463</v>
      </c>
    </row>
    <row r="21800" spans="1:20" customFormat="1" ht="15" x14ac:dyDescent="0.25">
      <c r="A21800" t="s">
        <v>24</v>
      </c>
      <c r="B21800" t="s">
        <v>675</v>
      </c>
      <c r="C21800" t="str">
        <f>"204Y6"</f>
        <v>204Y6</v>
      </c>
      <c r="D21800" t="s">
        <v>82464</v>
      </c>
      <c r="E21800" t="s">
        <v>82465</v>
      </c>
      <c r="F21800" t="s">
        <v>74846</v>
      </c>
      <c r="G21800" t="s">
        <v>615</v>
      </c>
      <c r="H21800">
        <v>6810</v>
      </c>
      <c r="I21800" t="s">
        <v>30</v>
      </c>
      <c r="J21800" t="s">
        <v>31</v>
      </c>
      <c r="K21800" t="s">
        <v>255</v>
      </c>
      <c r="N21800" t="s">
        <v>82466</v>
      </c>
      <c r="O21800" t="s">
        <v>82467</v>
      </c>
      <c r="Q21800">
        <v>0</v>
      </c>
      <c r="R21800">
        <v>106</v>
      </c>
      <c r="S21800">
        <v>0</v>
      </c>
      <c r="T21800" t="s">
        <v>82468</v>
      </c>
    </row>
    <row r="21801" spans="1:20" customFormat="1" ht="15" x14ac:dyDescent="0.25">
      <c r="A21801" t="s">
        <v>24</v>
      </c>
      <c r="B21801" t="s">
        <v>13299</v>
      </c>
      <c r="C21801" t="str">
        <f>"A0069110"</f>
        <v>A0069110</v>
      </c>
      <c r="D21801" t="s">
        <v>82469</v>
      </c>
      <c r="E21801" t="s">
        <v>82470</v>
      </c>
      <c r="F21801" t="s">
        <v>66345</v>
      </c>
      <c r="G21801" t="s">
        <v>81</v>
      </c>
      <c r="H21801">
        <v>33004</v>
      </c>
      <c r="I21801" t="s">
        <v>30</v>
      </c>
      <c r="J21801" t="s">
        <v>31</v>
      </c>
      <c r="K21801" t="s">
        <v>255</v>
      </c>
      <c r="N21801" t="s">
        <v>82471</v>
      </c>
      <c r="Q21801">
        <v>0</v>
      </c>
      <c r="R21801">
        <v>168</v>
      </c>
      <c r="S21801">
        <v>0</v>
      </c>
      <c r="T21801" t="s">
        <v>82472</v>
      </c>
    </row>
    <row r="21802" spans="1:20" customFormat="1" ht="15" x14ac:dyDescent="0.25">
      <c r="A21802" t="s">
        <v>24</v>
      </c>
      <c r="B21802" t="s">
        <v>2368</v>
      </c>
      <c r="C21802" t="str">
        <f>"A0083979"</f>
        <v>A0083979</v>
      </c>
      <c r="D21802" t="s">
        <v>82473</v>
      </c>
      <c r="E21802" t="s">
        <v>82474</v>
      </c>
      <c r="F21802" t="s">
        <v>62490</v>
      </c>
      <c r="G21802" t="s">
        <v>52</v>
      </c>
      <c r="H21802">
        <v>76205</v>
      </c>
      <c r="I21802" t="s">
        <v>30</v>
      </c>
      <c r="J21802" t="s">
        <v>31</v>
      </c>
      <c r="K21802" t="s">
        <v>255</v>
      </c>
      <c r="N21802" t="s">
        <v>82475</v>
      </c>
      <c r="O21802" t="s">
        <v>82476</v>
      </c>
      <c r="Q21802">
        <v>0</v>
      </c>
      <c r="R21802">
        <v>153</v>
      </c>
      <c r="S21802">
        <v>0</v>
      </c>
      <c r="T21802" t="s">
        <v>82477</v>
      </c>
    </row>
    <row r="21803" spans="1:20" customFormat="1" ht="15" x14ac:dyDescent="0.25">
      <c r="A21803" t="s">
        <v>24</v>
      </c>
      <c r="B21803" t="s">
        <v>2955</v>
      </c>
      <c r="C21803" t="str">
        <f>"A0084535"</f>
        <v>A0084535</v>
      </c>
      <c r="D21803" t="s">
        <v>82478</v>
      </c>
      <c r="E21803" t="s">
        <v>82479</v>
      </c>
      <c r="F21803" t="s">
        <v>972</v>
      </c>
      <c r="G21803" t="s">
        <v>190</v>
      </c>
      <c r="H21803">
        <v>80249</v>
      </c>
      <c r="I21803" t="s">
        <v>30</v>
      </c>
      <c r="J21803" t="s">
        <v>31</v>
      </c>
      <c r="K21803" t="s">
        <v>255</v>
      </c>
      <c r="N21803" t="s">
        <v>82480</v>
      </c>
      <c r="O21803" t="s">
        <v>82481</v>
      </c>
      <c r="Q21803">
        <v>0</v>
      </c>
      <c r="R21803">
        <v>124</v>
      </c>
      <c r="S21803">
        <v>0</v>
      </c>
      <c r="T21803" t="s">
        <v>82482</v>
      </c>
    </row>
    <row r="21804" spans="1:20" customFormat="1" ht="15" x14ac:dyDescent="0.25">
      <c r="A21804" t="s">
        <v>24</v>
      </c>
      <c r="B21804" t="s">
        <v>5166</v>
      </c>
      <c r="C21804" t="str">
        <f>"A0091185"</f>
        <v>A0091185</v>
      </c>
      <c r="D21804" t="s">
        <v>82483</v>
      </c>
      <c r="E21804" t="s">
        <v>82484</v>
      </c>
      <c r="F21804" t="s">
        <v>972</v>
      </c>
      <c r="G21804" t="s">
        <v>190</v>
      </c>
      <c r="H21804">
        <v>80204</v>
      </c>
      <c r="I21804" t="s">
        <v>30</v>
      </c>
      <c r="J21804" t="s">
        <v>31</v>
      </c>
      <c r="K21804" t="s">
        <v>255</v>
      </c>
      <c r="N21804" t="s">
        <v>72522</v>
      </c>
      <c r="O21804" t="s">
        <v>82485</v>
      </c>
      <c r="Q21804">
        <v>0</v>
      </c>
      <c r="R21804">
        <v>150</v>
      </c>
      <c r="S21804">
        <v>0</v>
      </c>
      <c r="T21804" t="s">
        <v>82486</v>
      </c>
    </row>
    <row r="21805" spans="1:20" customFormat="1" ht="15" x14ac:dyDescent="0.25">
      <c r="A21805" t="s">
        <v>24</v>
      </c>
      <c r="B21805" t="s">
        <v>4410</v>
      </c>
      <c r="C21805" t="str">
        <f>"A0145452"</f>
        <v>A0145452</v>
      </c>
      <c r="D21805" t="s">
        <v>82487</v>
      </c>
      <c r="E21805" t="s">
        <v>82488</v>
      </c>
      <c r="F21805" t="s">
        <v>15239</v>
      </c>
      <c r="G21805" t="s">
        <v>190</v>
      </c>
      <c r="H21805">
        <v>80401</v>
      </c>
      <c r="I21805" t="s">
        <v>30</v>
      </c>
      <c r="J21805" t="s">
        <v>31</v>
      </c>
      <c r="K21805" t="s">
        <v>255</v>
      </c>
      <c r="N21805" t="s">
        <v>82489</v>
      </c>
      <c r="Q21805">
        <v>0</v>
      </c>
      <c r="R21805">
        <v>127</v>
      </c>
      <c r="S21805">
        <v>0</v>
      </c>
      <c r="T21805" t="s">
        <v>82490</v>
      </c>
    </row>
    <row r="21806" spans="1:20" customFormat="1" ht="15" x14ac:dyDescent="0.25">
      <c r="A21806" t="s">
        <v>24</v>
      </c>
      <c r="B21806" t="s">
        <v>34039</v>
      </c>
      <c r="C21806" t="str">
        <f>"A0074204"</f>
        <v>A0074204</v>
      </c>
      <c r="D21806" t="s">
        <v>82491</v>
      </c>
      <c r="E21806" t="s">
        <v>82492</v>
      </c>
      <c r="F21806" t="s">
        <v>68927</v>
      </c>
      <c r="G21806" t="s">
        <v>899</v>
      </c>
      <c r="H21806">
        <v>1434</v>
      </c>
      <c r="I21806" t="s">
        <v>30</v>
      </c>
      <c r="J21806" t="s">
        <v>31</v>
      </c>
      <c r="K21806" t="s">
        <v>255</v>
      </c>
      <c r="N21806" t="s">
        <v>68928</v>
      </c>
      <c r="O21806" t="s">
        <v>82493</v>
      </c>
      <c r="Q21806">
        <v>0</v>
      </c>
      <c r="R21806">
        <v>121</v>
      </c>
      <c r="S21806">
        <v>0</v>
      </c>
      <c r="T21806" t="s">
        <v>82494</v>
      </c>
    </row>
    <row r="21807" spans="1:20" customFormat="1" ht="15" x14ac:dyDescent="0.25">
      <c r="A21807" t="s">
        <v>24</v>
      </c>
      <c r="B21807" t="s">
        <v>82495</v>
      </c>
      <c r="C21807" t="str">
        <f>"A0145433"</f>
        <v>A0145433</v>
      </c>
      <c r="D21807" t="s">
        <v>82496</v>
      </c>
      <c r="E21807" t="s">
        <v>82497</v>
      </c>
      <c r="F21807" t="s">
        <v>33432</v>
      </c>
      <c r="G21807" t="s">
        <v>117</v>
      </c>
      <c r="H21807">
        <v>48823</v>
      </c>
      <c r="I21807" t="s">
        <v>30</v>
      </c>
      <c r="J21807" t="s">
        <v>31</v>
      </c>
      <c r="K21807" t="s">
        <v>255</v>
      </c>
      <c r="N21807" t="s">
        <v>82498</v>
      </c>
      <c r="O21807" t="s">
        <v>82499</v>
      </c>
      <c r="Q21807">
        <v>0</v>
      </c>
      <c r="R21807">
        <v>88</v>
      </c>
      <c r="S21807">
        <v>0</v>
      </c>
      <c r="T21807" t="s">
        <v>82500</v>
      </c>
    </row>
    <row r="21808" spans="1:20" customFormat="1" ht="15" x14ac:dyDescent="0.25">
      <c r="A21808" t="s">
        <v>24</v>
      </c>
      <c r="B21808" t="s">
        <v>82501</v>
      </c>
      <c r="C21808" t="str">
        <f>"202VD"</f>
        <v>202VD</v>
      </c>
      <c r="D21808" t="s">
        <v>82502</v>
      </c>
      <c r="E21808" t="s">
        <v>82503</v>
      </c>
      <c r="F21808" t="s">
        <v>82504</v>
      </c>
      <c r="G21808" t="s">
        <v>123</v>
      </c>
      <c r="H21808">
        <v>21015</v>
      </c>
      <c r="I21808" t="s">
        <v>30</v>
      </c>
      <c r="J21808" t="s">
        <v>31</v>
      </c>
      <c r="K21808" t="s">
        <v>255</v>
      </c>
      <c r="N21808" t="s">
        <v>82505</v>
      </c>
      <c r="Q21808">
        <v>0</v>
      </c>
      <c r="R21808">
        <v>119</v>
      </c>
      <c r="S21808">
        <v>0</v>
      </c>
      <c r="T21808" t="s">
        <v>82506</v>
      </c>
    </row>
    <row r="21809" spans="1:20" customFormat="1" ht="15" x14ac:dyDescent="0.25">
      <c r="A21809" t="s">
        <v>24</v>
      </c>
      <c r="B21809" t="s">
        <v>55128</v>
      </c>
      <c r="C21809" t="str">
        <f>"A0147523"</f>
        <v>A0147523</v>
      </c>
      <c r="D21809" t="s">
        <v>82507</v>
      </c>
      <c r="E21809" t="s">
        <v>82508</v>
      </c>
      <c r="F21809" t="s">
        <v>82509</v>
      </c>
      <c r="G21809" t="s">
        <v>840</v>
      </c>
      <c r="H21809">
        <v>42701</v>
      </c>
      <c r="I21809" t="s">
        <v>30</v>
      </c>
      <c r="J21809" t="s">
        <v>31</v>
      </c>
      <c r="K21809" t="s">
        <v>255</v>
      </c>
      <c r="N21809" t="s">
        <v>82510</v>
      </c>
      <c r="Q21809">
        <v>0</v>
      </c>
      <c r="R21809">
        <v>95</v>
      </c>
      <c r="S21809">
        <v>0</v>
      </c>
      <c r="T21809" t="s">
        <v>82511</v>
      </c>
    </row>
    <row r="21810" spans="1:20" customFormat="1" ht="15" x14ac:dyDescent="0.25">
      <c r="A21810" t="s">
        <v>24</v>
      </c>
      <c r="B21810" t="s">
        <v>60414</v>
      </c>
      <c r="C21810" t="str">
        <f>"A0089145"</f>
        <v>A0089145</v>
      </c>
      <c r="D21810" t="s">
        <v>82512</v>
      </c>
      <c r="E21810" t="s">
        <v>82513</v>
      </c>
      <c r="F21810" t="s">
        <v>63705</v>
      </c>
      <c r="G21810" t="s">
        <v>338</v>
      </c>
      <c r="H21810">
        <v>8628</v>
      </c>
      <c r="I21810" t="s">
        <v>30</v>
      </c>
      <c r="J21810" t="s">
        <v>31</v>
      </c>
      <c r="K21810" t="s">
        <v>255</v>
      </c>
      <c r="N21810" t="s">
        <v>82514</v>
      </c>
      <c r="Q21810">
        <v>0</v>
      </c>
      <c r="R21810">
        <v>134</v>
      </c>
      <c r="S21810">
        <v>0</v>
      </c>
      <c r="T21810" t="s">
        <v>82515</v>
      </c>
    </row>
    <row r="21811" spans="1:20" customFormat="1" ht="15" x14ac:dyDescent="0.25">
      <c r="A21811" t="s">
        <v>24</v>
      </c>
      <c r="B21811" t="s">
        <v>1561</v>
      </c>
      <c r="C21811" t="str">
        <f>"A0088279"</f>
        <v>A0088279</v>
      </c>
      <c r="D21811" t="s">
        <v>82516</v>
      </c>
      <c r="E21811" t="s">
        <v>82517</v>
      </c>
      <c r="F21811" t="s">
        <v>12811</v>
      </c>
      <c r="G21811" t="s">
        <v>29</v>
      </c>
      <c r="H21811">
        <v>22030</v>
      </c>
      <c r="I21811" t="s">
        <v>30</v>
      </c>
      <c r="J21811" t="s">
        <v>31</v>
      </c>
      <c r="K21811" t="s">
        <v>255</v>
      </c>
      <c r="N21811" t="s">
        <v>82518</v>
      </c>
      <c r="Q21811">
        <v>0</v>
      </c>
      <c r="R21811">
        <v>140</v>
      </c>
      <c r="S21811">
        <v>0</v>
      </c>
      <c r="T21811" t="s">
        <v>82519</v>
      </c>
    </row>
    <row r="21812" spans="1:20" customFormat="1" ht="15" x14ac:dyDescent="0.25">
      <c r="A21812" t="s">
        <v>24</v>
      </c>
      <c r="B21812" t="s">
        <v>34039</v>
      </c>
      <c r="C21812" t="str">
        <f>"A0094784"</f>
        <v>A0094784</v>
      </c>
      <c r="D21812" t="s">
        <v>82520</v>
      </c>
      <c r="E21812" t="s">
        <v>82521</v>
      </c>
      <c r="F21812" t="s">
        <v>60437</v>
      </c>
      <c r="G21812" t="s">
        <v>99</v>
      </c>
      <c r="H21812">
        <v>12524</v>
      </c>
      <c r="I21812" t="s">
        <v>30</v>
      </c>
      <c r="J21812" t="s">
        <v>31</v>
      </c>
      <c r="K21812" t="s">
        <v>255</v>
      </c>
      <c r="N21812" t="s">
        <v>82522</v>
      </c>
      <c r="Q21812">
        <v>0</v>
      </c>
      <c r="R21812">
        <v>75</v>
      </c>
      <c r="S21812">
        <v>0</v>
      </c>
      <c r="T21812" t="s">
        <v>82523</v>
      </c>
    </row>
    <row r="21813" spans="1:20" customFormat="1" ht="15" x14ac:dyDescent="0.25">
      <c r="A21813" t="s">
        <v>24</v>
      </c>
      <c r="B21813" t="s">
        <v>2955</v>
      </c>
      <c r="C21813" t="str">
        <f>"A0057498"</f>
        <v>A0057498</v>
      </c>
      <c r="D21813" t="s">
        <v>82524</v>
      </c>
      <c r="E21813" t="s">
        <v>82525</v>
      </c>
      <c r="F21813" t="s">
        <v>1513</v>
      </c>
      <c r="G21813" t="s">
        <v>197</v>
      </c>
      <c r="H21813">
        <v>86001</v>
      </c>
      <c r="I21813" t="s">
        <v>30</v>
      </c>
      <c r="J21813" t="s">
        <v>31</v>
      </c>
      <c r="K21813" t="s">
        <v>255</v>
      </c>
      <c r="N21813" t="s">
        <v>82526</v>
      </c>
      <c r="Q21813">
        <v>0</v>
      </c>
      <c r="R21813">
        <v>112</v>
      </c>
      <c r="S21813">
        <v>0</v>
      </c>
      <c r="T21813" t="s">
        <v>82527</v>
      </c>
    </row>
    <row r="21814" spans="1:20" customFormat="1" ht="15" x14ac:dyDescent="0.25">
      <c r="A21814" t="s">
        <v>24</v>
      </c>
      <c r="B21814" t="s">
        <v>2349</v>
      </c>
      <c r="C21814" t="str">
        <f>"A0088800"</f>
        <v>A0088800</v>
      </c>
      <c r="D21814" t="s">
        <v>82528</v>
      </c>
      <c r="E21814" t="s">
        <v>82529</v>
      </c>
      <c r="F21814" t="s">
        <v>2352</v>
      </c>
      <c r="G21814" t="s">
        <v>840</v>
      </c>
      <c r="H21814">
        <v>41042</v>
      </c>
      <c r="I21814" t="s">
        <v>30</v>
      </c>
      <c r="J21814" t="s">
        <v>31</v>
      </c>
      <c r="K21814" t="s">
        <v>255</v>
      </c>
      <c r="N21814" t="s">
        <v>82530</v>
      </c>
      <c r="O21814" t="s">
        <v>82531</v>
      </c>
      <c r="Q21814">
        <v>0</v>
      </c>
      <c r="R21814">
        <v>101</v>
      </c>
      <c r="S21814">
        <v>0</v>
      </c>
      <c r="T21814" t="s">
        <v>82532</v>
      </c>
    </row>
    <row r="21815" spans="1:20" customFormat="1" ht="15" x14ac:dyDescent="0.25">
      <c r="A21815" t="s">
        <v>24</v>
      </c>
      <c r="B21815" t="s">
        <v>3789</v>
      </c>
      <c r="C21815" t="str">
        <f>"A0153109"</f>
        <v>A0153109</v>
      </c>
      <c r="D21815" t="s">
        <v>82533</v>
      </c>
      <c r="E21815" t="s">
        <v>82534</v>
      </c>
      <c r="F21815" t="s">
        <v>3505</v>
      </c>
      <c r="G21815" t="s">
        <v>52</v>
      </c>
      <c r="H21815">
        <v>76164</v>
      </c>
      <c r="I21815" t="s">
        <v>30</v>
      </c>
      <c r="J21815" t="s">
        <v>31</v>
      </c>
      <c r="K21815" t="s">
        <v>255</v>
      </c>
      <c r="N21815" t="s">
        <v>82535</v>
      </c>
      <c r="O21815" t="s">
        <v>82536</v>
      </c>
      <c r="Q21815">
        <v>0</v>
      </c>
      <c r="R21815">
        <v>152</v>
      </c>
      <c r="S21815">
        <v>0</v>
      </c>
      <c r="T21815" t="s">
        <v>82537</v>
      </c>
    </row>
    <row r="21816" spans="1:20" customFormat="1" ht="15" x14ac:dyDescent="0.25">
      <c r="A21816" t="s">
        <v>24</v>
      </c>
      <c r="B21816" t="s">
        <v>675</v>
      </c>
      <c r="C21816" t="str">
        <f>"A0070066"</f>
        <v>A0070066</v>
      </c>
      <c r="D21816" t="s">
        <v>82538</v>
      </c>
      <c r="E21816" t="s">
        <v>82539</v>
      </c>
      <c r="F21816" t="s">
        <v>3505</v>
      </c>
      <c r="G21816" t="s">
        <v>52</v>
      </c>
      <c r="H21816">
        <v>76107</v>
      </c>
      <c r="I21816" t="s">
        <v>30</v>
      </c>
      <c r="J21816" t="s">
        <v>31</v>
      </c>
      <c r="K21816" t="s">
        <v>255</v>
      </c>
      <c r="N21816" t="s">
        <v>82540</v>
      </c>
      <c r="O21816" t="s">
        <v>82541</v>
      </c>
      <c r="Q21816">
        <v>0</v>
      </c>
      <c r="R21816">
        <v>145</v>
      </c>
      <c r="S21816">
        <v>0</v>
      </c>
      <c r="T21816" t="s">
        <v>82542</v>
      </c>
    </row>
    <row r="21817" spans="1:20" customFormat="1" ht="15" x14ac:dyDescent="0.25">
      <c r="A21817" t="s">
        <v>24</v>
      </c>
      <c r="B21817" t="s">
        <v>64941</v>
      </c>
      <c r="C21817" t="str">
        <f>"204X1"</f>
        <v>204X1</v>
      </c>
      <c r="D21817" t="s">
        <v>82543</v>
      </c>
      <c r="E21817" t="s">
        <v>82544</v>
      </c>
      <c r="F21817" t="s">
        <v>64944</v>
      </c>
      <c r="G21817" t="s">
        <v>117</v>
      </c>
      <c r="H21817">
        <v>48734</v>
      </c>
      <c r="I21817" t="s">
        <v>30</v>
      </c>
      <c r="J21817" t="s">
        <v>31</v>
      </c>
      <c r="K21817" t="s">
        <v>255</v>
      </c>
      <c r="N21817" t="s">
        <v>82545</v>
      </c>
      <c r="Q21817">
        <v>0</v>
      </c>
      <c r="R21817">
        <v>65</v>
      </c>
      <c r="S21817">
        <v>0</v>
      </c>
      <c r="T21817" t="s">
        <v>82546</v>
      </c>
    </row>
    <row r="21818" spans="1:20" customFormat="1" ht="15" x14ac:dyDescent="0.25">
      <c r="A21818" t="s">
        <v>24</v>
      </c>
      <c r="B21818" t="s">
        <v>6363</v>
      </c>
      <c r="C21818" t="str">
        <f>"A0162154"</f>
        <v>A0162154</v>
      </c>
      <c r="D21818" t="s">
        <v>82547</v>
      </c>
      <c r="E21818" t="s">
        <v>82548</v>
      </c>
      <c r="F21818" t="s">
        <v>7921</v>
      </c>
      <c r="G21818" t="s">
        <v>880</v>
      </c>
      <c r="H21818">
        <v>37067</v>
      </c>
      <c r="I21818" t="s">
        <v>30</v>
      </c>
      <c r="J21818" t="s">
        <v>31</v>
      </c>
      <c r="K21818" t="s">
        <v>255</v>
      </c>
      <c r="N21818" t="s">
        <v>82549</v>
      </c>
      <c r="O21818" t="s">
        <v>82550</v>
      </c>
      <c r="Q21818">
        <v>0</v>
      </c>
      <c r="R21818">
        <v>150</v>
      </c>
      <c r="S21818">
        <v>0</v>
      </c>
      <c r="T21818" t="s">
        <v>82551</v>
      </c>
    </row>
    <row r="21819" spans="1:20" customFormat="1" ht="15" x14ac:dyDescent="0.25">
      <c r="A21819" t="s">
        <v>24</v>
      </c>
      <c r="B21819" t="s">
        <v>342</v>
      </c>
      <c r="C21819" t="str">
        <f>"A0076141"</f>
        <v>A0076141</v>
      </c>
      <c r="D21819" t="s">
        <v>82552</v>
      </c>
      <c r="E21819" t="s">
        <v>82553</v>
      </c>
      <c r="F21819" t="s">
        <v>82554</v>
      </c>
      <c r="G21819" t="s">
        <v>81</v>
      </c>
      <c r="H21819">
        <v>33912</v>
      </c>
      <c r="I21819" t="s">
        <v>30</v>
      </c>
      <c r="J21819" t="s">
        <v>31</v>
      </c>
      <c r="K21819" t="s">
        <v>255</v>
      </c>
      <c r="N21819" t="s">
        <v>82555</v>
      </c>
      <c r="O21819" t="s">
        <v>60470</v>
      </c>
      <c r="Q21819">
        <v>0</v>
      </c>
      <c r="R21819">
        <v>106</v>
      </c>
      <c r="S21819">
        <v>0</v>
      </c>
      <c r="T21819" t="s">
        <v>82556</v>
      </c>
    </row>
    <row r="21820" spans="1:20" customFormat="1" ht="15" x14ac:dyDescent="0.25">
      <c r="A21820" t="s">
        <v>24</v>
      </c>
      <c r="B21820" t="s">
        <v>11093</v>
      </c>
      <c r="C21820" t="str">
        <f>"A0083895"</f>
        <v>A0083895</v>
      </c>
      <c r="D21820" t="s">
        <v>82557</v>
      </c>
      <c r="E21820" t="s">
        <v>82558</v>
      </c>
      <c r="F21820" t="s">
        <v>6290</v>
      </c>
      <c r="G21820" t="s">
        <v>81</v>
      </c>
      <c r="H21820">
        <v>32608</v>
      </c>
      <c r="I21820" t="s">
        <v>30</v>
      </c>
      <c r="J21820" t="s">
        <v>31</v>
      </c>
      <c r="K21820" t="s">
        <v>255</v>
      </c>
      <c r="N21820" t="s">
        <v>82559</v>
      </c>
      <c r="O21820" t="s">
        <v>82560</v>
      </c>
      <c r="Q21820">
        <v>0</v>
      </c>
      <c r="R21820">
        <v>126</v>
      </c>
      <c r="S21820">
        <v>0</v>
      </c>
      <c r="T21820" t="s">
        <v>82561</v>
      </c>
    </row>
    <row r="21821" spans="1:20" customFormat="1" ht="15" x14ac:dyDescent="0.25">
      <c r="A21821" t="s">
        <v>24</v>
      </c>
      <c r="B21821" t="s">
        <v>675</v>
      </c>
      <c r="C21821" t="str">
        <f>"196A3"</f>
        <v>196A3</v>
      </c>
      <c r="D21821" t="s">
        <v>82562</v>
      </c>
      <c r="E21821" t="s">
        <v>82563</v>
      </c>
      <c r="F21821" t="s">
        <v>2401</v>
      </c>
      <c r="G21821" t="s">
        <v>123</v>
      </c>
      <c r="H21821">
        <v>20878</v>
      </c>
      <c r="I21821" t="s">
        <v>30</v>
      </c>
      <c r="J21821" t="s">
        <v>31</v>
      </c>
      <c r="K21821" t="s">
        <v>255</v>
      </c>
      <c r="N21821" t="s">
        <v>60534</v>
      </c>
      <c r="O21821" t="s">
        <v>82564</v>
      </c>
      <c r="Q21821">
        <v>0</v>
      </c>
      <c r="R21821">
        <v>162</v>
      </c>
      <c r="S21821">
        <v>0</v>
      </c>
      <c r="T21821" t="s">
        <v>82565</v>
      </c>
    </row>
    <row r="21822" spans="1:20" customFormat="1" ht="15" x14ac:dyDescent="0.25">
      <c r="A21822" t="s">
        <v>24</v>
      </c>
      <c r="B21822" t="s">
        <v>4400</v>
      </c>
      <c r="C21822" t="str">
        <f>"A0078576"</f>
        <v>A0078576</v>
      </c>
      <c r="D21822" t="s">
        <v>82566</v>
      </c>
      <c r="E21822" t="s">
        <v>82567</v>
      </c>
      <c r="F21822" t="s">
        <v>9607</v>
      </c>
      <c r="G21822" t="s">
        <v>117</v>
      </c>
      <c r="H21822">
        <v>49546</v>
      </c>
      <c r="I21822" t="s">
        <v>30</v>
      </c>
      <c r="J21822" t="s">
        <v>31</v>
      </c>
      <c r="K21822" t="s">
        <v>255</v>
      </c>
      <c r="N21822" t="s">
        <v>82568</v>
      </c>
      <c r="Q21822">
        <v>0</v>
      </c>
      <c r="R21822">
        <v>109</v>
      </c>
      <c r="S21822">
        <v>0</v>
      </c>
      <c r="T21822" t="s">
        <v>82569</v>
      </c>
    </row>
    <row r="21823" spans="1:20" customFormat="1" ht="15" x14ac:dyDescent="0.25">
      <c r="A21823" t="s">
        <v>24</v>
      </c>
      <c r="B21823" t="s">
        <v>2955</v>
      </c>
      <c r="C21823" t="str">
        <f>"A0065434"</f>
        <v>A0065434</v>
      </c>
      <c r="D21823" t="s">
        <v>82570</v>
      </c>
      <c r="E21823" t="s">
        <v>82571</v>
      </c>
      <c r="F21823" t="s">
        <v>3932</v>
      </c>
      <c r="G21823" t="s">
        <v>117</v>
      </c>
      <c r="H21823">
        <v>49544</v>
      </c>
      <c r="I21823" t="s">
        <v>30</v>
      </c>
      <c r="J21823" t="s">
        <v>31</v>
      </c>
      <c r="K21823" t="s">
        <v>255</v>
      </c>
      <c r="N21823" t="s">
        <v>68148</v>
      </c>
      <c r="Q21823">
        <v>0</v>
      </c>
      <c r="R21823">
        <v>76</v>
      </c>
      <c r="S21823">
        <v>0</v>
      </c>
      <c r="T21823" t="s">
        <v>82572</v>
      </c>
    </row>
    <row r="21824" spans="1:20" customFormat="1" ht="15" x14ac:dyDescent="0.25">
      <c r="A21824" t="s">
        <v>24</v>
      </c>
      <c r="B21824" t="s">
        <v>1561</v>
      </c>
      <c r="C21824" t="str">
        <f>"A0091207"</f>
        <v>A0091207</v>
      </c>
      <c r="D21824" t="s">
        <v>82573</v>
      </c>
      <c r="E21824" t="s">
        <v>82574</v>
      </c>
      <c r="F21824" t="s">
        <v>59387</v>
      </c>
      <c r="G21824" t="s">
        <v>71</v>
      </c>
      <c r="H21824">
        <v>54304</v>
      </c>
      <c r="I21824" t="s">
        <v>30</v>
      </c>
      <c r="J21824" t="s">
        <v>31</v>
      </c>
      <c r="K21824" t="s">
        <v>255</v>
      </c>
      <c r="N21824" t="s">
        <v>82575</v>
      </c>
      <c r="Q21824">
        <v>0</v>
      </c>
      <c r="R21824">
        <v>127</v>
      </c>
      <c r="S21824">
        <v>0</v>
      </c>
      <c r="T21824" t="s">
        <v>82576</v>
      </c>
    </row>
    <row r="21825" spans="1:20" customFormat="1" ht="15" x14ac:dyDescent="0.25">
      <c r="A21825" t="s">
        <v>24</v>
      </c>
      <c r="B21825" t="s">
        <v>3159</v>
      </c>
      <c r="C21825" t="str">
        <f>"A0069120"</f>
        <v>A0069120</v>
      </c>
      <c r="D21825" t="s">
        <v>82577</v>
      </c>
      <c r="E21825" t="s">
        <v>82578</v>
      </c>
      <c r="F21825" t="s">
        <v>9498</v>
      </c>
      <c r="G21825" t="s">
        <v>214</v>
      </c>
      <c r="H21825">
        <v>27407</v>
      </c>
      <c r="I21825" t="s">
        <v>30</v>
      </c>
      <c r="J21825" t="s">
        <v>31</v>
      </c>
      <c r="K21825" t="s">
        <v>255</v>
      </c>
      <c r="N21825" t="s">
        <v>82579</v>
      </c>
      <c r="Q21825">
        <v>0</v>
      </c>
      <c r="R21825">
        <v>82</v>
      </c>
      <c r="S21825">
        <v>0</v>
      </c>
      <c r="T21825" t="s">
        <v>82580</v>
      </c>
    </row>
    <row r="21826" spans="1:20" customFormat="1" ht="15" x14ac:dyDescent="0.25">
      <c r="A21826" t="s">
        <v>24</v>
      </c>
      <c r="B21826" t="s">
        <v>8742</v>
      </c>
      <c r="C21826" t="str">
        <f>"A0151490"</f>
        <v>A0151490</v>
      </c>
      <c r="D21826" t="s">
        <v>82581</v>
      </c>
      <c r="E21826" t="s">
        <v>82582</v>
      </c>
      <c r="F21826" t="s">
        <v>53854</v>
      </c>
      <c r="G21826" t="s">
        <v>1369</v>
      </c>
      <c r="H21826">
        <v>39503</v>
      </c>
      <c r="I21826" t="s">
        <v>30</v>
      </c>
      <c r="J21826" t="s">
        <v>31</v>
      </c>
      <c r="K21826" t="s">
        <v>255</v>
      </c>
      <c r="N21826" t="s">
        <v>82583</v>
      </c>
      <c r="Q21826">
        <v>0</v>
      </c>
      <c r="R21826">
        <v>97</v>
      </c>
      <c r="S21826">
        <v>0</v>
      </c>
      <c r="T21826" t="s">
        <v>82584</v>
      </c>
    </row>
    <row r="21827" spans="1:20" customFormat="1" ht="15" x14ac:dyDescent="0.25">
      <c r="A21827" t="s">
        <v>24</v>
      </c>
      <c r="B21827" t="s">
        <v>60496</v>
      </c>
      <c r="C21827" t="str">
        <f>"A0078609"</f>
        <v>A0078609</v>
      </c>
      <c r="D21827" t="s">
        <v>82585</v>
      </c>
      <c r="E21827" t="s">
        <v>82586</v>
      </c>
      <c r="F21827" t="s">
        <v>8288</v>
      </c>
      <c r="G21827" t="s">
        <v>123</v>
      </c>
      <c r="H21827">
        <v>21740</v>
      </c>
      <c r="I21827" t="s">
        <v>30</v>
      </c>
      <c r="J21827" t="s">
        <v>31</v>
      </c>
      <c r="K21827" t="s">
        <v>255</v>
      </c>
      <c r="N21827" t="s">
        <v>82587</v>
      </c>
      <c r="O21827" t="s">
        <v>82588</v>
      </c>
      <c r="Q21827">
        <v>0</v>
      </c>
      <c r="R21827">
        <v>104</v>
      </c>
      <c r="S21827">
        <v>0</v>
      </c>
      <c r="T21827" t="s">
        <v>82589</v>
      </c>
    </row>
    <row r="21828" spans="1:20" customFormat="1" ht="15" x14ac:dyDescent="0.25">
      <c r="A21828" t="s">
        <v>24</v>
      </c>
      <c r="B21828" t="s">
        <v>1561</v>
      </c>
      <c r="C21828" t="str">
        <f>"A0084640"</f>
        <v>A0084640</v>
      </c>
      <c r="D21828" t="s">
        <v>82590</v>
      </c>
      <c r="E21828" t="s">
        <v>82591</v>
      </c>
      <c r="F21828" t="s">
        <v>34770</v>
      </c>
      <c r="G21828" t="s">
        <v>29</v>
      </c>
      <c r="H21828">
        <v>23666</v>
      </c>
      <c r="I21828" t="s">
        <v>30</v>
      </c>
      <c r="J21828" t="s">
        <v>31</v>
      </c>
      <c r="K21828" t="s">
        <v>255</v>
      </c>
      <c r="N21828" t="s">
        <v>82592</v>
      </c>
      <c r="O21828" t="s">
        <v>82593</v>
      </c>
      <c r="Q21828">
        <v>0</v>
      </c>
      <c r="R21828">
        <v>124</v>
      </c>
      <c r="S21828">
        <v>0</v>
      </c>
      <c r="T21828" t="s">
        <v>82594</v>
      </c>
    </row>
    <row r="21829" spans="1:20" customFormat="1" ht="15" x14ac:dyDescent="0.25">
      <c r="A21829" t="s">
        <v>24</v>
      </c>
      <c r="B21829" t="s">
        <v>7040</v>
      </c>
      <c r="C21829" t="str">
        <f>"A0088613"</f>
        <v>A0088613</v>
      </c>
      <c r="D21829" t="s">
        <v>82595</v>
      </c>
      <c r="E21829" t="s">
        <v>82596</v>
      </c>
      <c r="F21829" t="s">
        <v>8882</v>
      </c>
      <c r="G21829" t="s">
        <v>103</v>
      </c>
      <c r="H21829">
        <v>17110</v>
      </c>
      <c r="I21829" t="s">
        <v>30</v>
      </c>
      <c r="J21829" t="s">
        <v>31</v>
      </c>
      <c r="K21829" t="s">
        <v>255</v>
      </c>
      <c r="N21829" t="s">
        <v>82597</v>
      </c>
      <c r="Q21829">
        <v>0</v>
      </c>
      <c r="R21829">
        <v>118</v>
      </c>
      <c r="S21829">
        <v>0</v>
      </c>
      <c r="T21829" t="s">
        <v>82598</v>
      </c>
    </row>
    <row r="21830" spans="1:20" customFormat="1" ht="15" x14ac:dyDescent="0.25">
      <c r="A21830" t="s">
        <v>24</v>
      </c>
      <c r="B21830" t="s">
        <v>7040</v>
      </c>
      <c r="C21830" t="str">
        <f>"A0158569"</f>
        <v>A0158569</v>
      </c>
      <c r="D21830" t="s">
        <v>82599</v>
      </c>
      <c r="E21830" t="s">
        <v>82600</v>
      </c>
      <c r="F21830" t="s">
        <v>82601</v>
      </c>
      <c r="G21830" t="s">
        <v>615</v>
      </c>
      <c r="H21830">
        <v>6416</v>
      </c>
      <c r="I21830" t="s">
        <v>30</v>
      </c>
      <c r="J21830" t="s">
        <v>31</v>
      </c>
      <c r="K21830" t="s">
        <v>255</v>
      </c>
      <c r="N21830" t="s">
        <v>7044</v>
      </c>
      <c r="Q21830">
        <v>0</v>
      </c>
      <c r="R21830">
        <v>123</v>
      </c>
      <c r="S21830">
        <v>0</v>
      </c>
      <c r="T21830" t="s">
        <v>82602</v>
      </c>
    </row>
    <row r="21831" spans="1:20" customFormat="1" ht="15" x14ac:dyDescent="0.25">
      <c r="A21831" t="s">
        <v>24</v>
      </c>
      <c r="B21831" t="s">
        <v>675</v>
      </c>
      <c r="C21831" t="str">
        <f>"192K8"</f>
        <v>192K8</v>
      </c>
      <c r="D21831" t="s">
        <v>82603</v>
      </c>
      <c r="E21831" t="s">
        <v>82604</v>
      </c>
      <c r="F21831" t="s">
        <v>34764</v>
      </c>
      <c r="G21831" t="s">
        <v>29</v>
      </c>
      <c r="H21831">
        <v>20170</v>
      </c>
      <c r="I21831" t="s">
        <v>30</v>
      </c>
      <c r="J21831" t="s">
        <v>31</v>
      </c>
      <c r="K21831" t="s">
        <v>255</v>
      </c>
      <c r="N21831" t="s">
        <v>82605</v>
      </c>
      <c r="Q21831">
        <v>0</v>
      </c>
      <c r="R21831">
        <v>136</v>
      </c>
      <c r="S21831">
        <v>0</v>
      </c>
      <c r="T21831" t="s">
        <v>82606</v>
      </c>
    </row>
    <row r="21832" spans="1:20" customFormat="1" ht="15" x14ac:dyDescent="0.25">
      <c r="A21832" t="s">
        <v>24</v>
      </c>
      <c r="B21832" t="s">
        <v>1543</v>
      </c>
      <c r="C21832" t="str">
        <f>"A0094794"</f>
        <v>A0094794</v>
      </c>
      <c r="D21832" t="s">
        <v>82607</v>
      </c>
      <c r="E21832" t="s">
        <v>82608</v>
      </c>
      <c r="F21832" t="s">
        <v>1564</v>
      </c>
      <c r="G21832" t="s">
        <v>52</v>
      </c>
      <c r="H21832">
        <v>77065</v>
      </c>
      <c r="I21832" t="s">
        <v>30</v>
      </c>
      <c r="J21832" t="s">
        <v>31</v>
      </c>
      <c r="K21832" t="s">
        <v>255</v>
      </c>
      <c r="N21832" t="s">
        <v>82609</v>
      </c>
      <c r="Q21832">
        <v>0</v>
      </c>
      <c r="R21832">
        <v>78</v>
      </c>
      <c r="S21832">
        <v>0</v>
      </c>
      <c r="T21832" t="s">
        <v>82610</v>
      </c>
    </row>
    <row r="21833" spans="1:20" customFormat="1" ht="15" x14ac:dyDescent="0.25">
      <c r="A21833" t="s">
        <v>24</v>
      </c>
      <c r="B21833" t="s">
        <v>2836</v>
      </c>
      <c r="C21833" t="str">
        <f>"A0094412"</f>
        <v>A0094412</v>
      </c>
      <c r="D21833" t="s">
        <v>82611</v>
      </c>
      <c r="E21833" t="s">
        <v>82612</v>
      </c>
      <c r="F21833" t="s">
        <v>1564</v>
      </c>
      <c r="G21833" t="s">
        <v>52</v>
      </c>
      <c r="H21833">
        <v>77070</v>
      </c>
      <c r="I21833" t="s">
        <v>30</v>
      </c>
      <c r="J21833" t="s">
        <v>31</v>
      </c>
      <c r="K21833" t="s">
        <v>255</v>
      </c>
      <c r="N21833" t="s">
        <v>82613</v>
      </c>
      <c r="Q21833">
        <v>0</v>
      </c>
      <c r="R21833">
        <v>139</v>
      </c>
      <c r="S21833">
        <v>0</v>
      </c>
      <c r="T21833" t="s">
        <v>82614</v>
      </c>
    </row>
    <row r="21834" spans="1:20" customFormat="1" ht="15" x14ac:dyDescent="0.25">
      <c r="A21834" t="s">
        <v>24</v>
      </c>
      <c r="B21834" t="s">
        <v>649</v>
      </c>
      <c r="C21834" t="str">
        <f>"A0069114"</f>
        <v>A0069114</v>
      </c>
      <c r="D21834" t="s">
        <v>82615</v>
      </c>
      <c r="E21834" t="s">
        <v>82616</v>
      </c>
      <c r="F21834" t="s">
        <v>1564</v>
      </c>
      <c r="G21834" t="s">
        <v>52</v>
      </c>
      <c r="H21834">
        <v>77054</v>
      </c>
      <c r="I21834" t="s">
        <v>30</v>
      </c>
      <c r="J21834" t="s">
        <v>31</v>
      </c>
      <c r="K21834" t="s">
        <v>255</v>
      </c>
      <c r="N21834" t="s">
        <v>82617</v>
      </c>
      <c r="O21834" t="s">
        <v>82618</v>
      </c>
      <c r="Q21834">
        <v>0</v>
      </c>
      <c r="R21834">
        <v>190</v>
      </c>
      <c r="S21834">
        <v>0</v>
      </c>
      <c r="T21834" t="s">
        <v>82619</v>
      </c>
    </row>
    <row r="21835" spans="1:20" customFormat="1" ht="15" x14ac:dyDescent="0.25">
      <c r="A21835" t="s">
        <v>24</v>
      </c>
      <c r="B21835" t="s">
        <v>34738</v>
      </c>
      <c r="C21835" t="str">
        <f>"A0090788"</f>
        <v>A0090788</v>
      </c>
      <c r="D21835" t="s">
        <v>82620</v>
      </c>
      <c r="E21835" t="s">
        <v>82621</v>
      </c>
      <c r="F21835" t="s">
        <v>56829</v>
      </c>
      <c r="G21835" t="s">
        <v>52</v>
      </c>
      <c r="H21835">
        <v>77586</v>
      </c>
      <c r="I21835" t="s">
        <v>30</v>
      </c>
      <c r="J21835" t="s">
        <v>31</v>
      </c>
      <c r="K21835" t="s">
        <v>255</v>
      </c>
      <c r="N21835" t="s">
        <v>82622</v>
      </c>
      <c r="Q21835">
        <v>0</v>
      </c>
      <c r="R21835">
        <v>88</v>
      </c>
      <c r="S21835">
        <v>0</v>
      </c>
      <c r="T21835" t="s">
        <v>82623</v>
      </c>
    </row>
    <row r="21836" spans="1:20" customFormat="1" ht="15" x14ac:dyDescent="0.25">
      <c r="A21836" t="s">
        <v>24</v>
      </c>
      <c r="B21836" t="s">
        <v>9843</v>
      </c>
      <c r="C21836" t="str">
        <f>"A0090164"</f>
        <v>A0090164</v>
      </c>
      <c r="D21836" t="s">
        <v>82624</v>
      </c>
      <c r="E21836" t="s">
        <v>82625</v>
      </c>
      <c r="F21836" t="s">
        <v>3545</v>
      </c>
      <c r="G21836" t="s">
        <v>1706</v>
      </c>
      <c r="H21836">
        <v>35801</v>
      </c>
      <c r="I21836" t="s">
        <v>30</v>
      </c>
      <c r="J21836" t="s">
        <v>31</v>
      </c>
      <c r="K21836" t="s">
        <v>255</v>
      </c>
      <c r="N21836" t="s">
        <v>82626</v>
      </c>
      <c r="O21836" t="s">
        <v>82627</v>
      </c>
      <c r="Q21836">
        <v>0</v>
      </c>
      <c r="R21836">
        <v>149</v>
      </c>
      <c r="S21836">
        <v>0</v>
      </c>
      <c r="T21836" t="s">
        <v>82628</v>
      </c>
    </row>
    <row r="21837" spans="1:20" customFormat="1" ht="15" x14ac:dyDescent="0.25">
      <c r="A21837" t="s">
        <v>24</v>
      </c>
      <c r="B21837" t="s">
        <v>82629</v>
      </c>
      <c r="C21837" t="str">
        <f>"A0083395"</f>
        <v>A0083395</v>
      </c>
      <c r="D21837" t="s">
        <v>82630</v>
      </c>
      <c r="E21837" t="s">
        <v>82631</v>
      </c>
      <c r="F21837" t="s">
        <v>7801</v>
      </c>
      <c r="G21837" t="s">
        <v>846</v>
      </c>
      <c r="H21837">
        <v>31419</v>
      </c>
      <c r="I21837" t="s">
        <v>30</v>
      </c>
      <c r="J21837" t="s">
        <v>31</v>
      </c>
      <c r="K21837" t="s">
        <v>255</v>
      </c>
      <c r="N21837" t="s">
        <v>82632</v>
      </c>
      <c r="O21837" t="s">
        <v>82633</v>
      </c>
      <c r="Q21837">
        <v>0</v>
      </c>
      <c r="R21837">
        <v>86</v>
      </c>
      <c r="S21837">
        <v>0</v>
      </c>
      <c r="T21837" t="s">
        <v>82634</v>
      </c>
    </row>
    <row r="21838" spans="1:20" customFormat="1" ht="15" x14ac:dyDescent="0.25">
      <c r="A21838" t="s">
        <v>24</v>
      </c>
      <c r="B21838" t="s">
        <v>1487</v>
      </c>
      <c r="C21838" t="str">
        <f>"A0083447"</f>
        <v>A0083447</v>
      </c>
      <c r="D21838" t="s">
        <v>82635</v>
      </c>
      <c r="E21838" t="s">
        <v>60716</v>
      </c>
      <c r="F21838" t="s">
        <v>8622</v>
      </c>
      <c r="G21838" t="s">
        <v>381</v>
      </c>
      <c r="H21838">
        <v>46204</v>
      </c>
      <c r="I21838" t="s">
        <v>30</v>
      </c>
      <c r="J21838" t="s">
        <v>31</v>
      </c>
      <c r="K21838" t="s">
        <v>255</v>
      </c>
      <c r="N21838" t="s">
        <v>82636</v>
      </c>
      <c r="Q21838">
        <v>0</v>
      </c>
      <c r="R21838">
        <v>156</v>
      </c>
      <c r="S21838">
        <v>0</v>
      </c>
      <c r="T21838" t="s">
        <v>82637</v>
      </c>
    </row>
    <row r="21839" spans="1:20" customFormat="1" ht="15" x14ac:dyDescent="0.25">
      <c r="A21839" t="s">
        <v>24</v>
      </c>
      <c r="B21839" t="s">
        <v>1020</v>
      </c>
      <c r="C21839" t="str">
        <f>"A0083739"</f>
        <v>A0083739</v>
      </c>
      <c r="D21839" t="s">
        <v>82638</v>
      </c>
      <c r="E21839" t="s">
        <v>82639</v>
      </c>
      <c r="F21839" t="s">
        <v>9431</v>
      </c>
      <c r="G21839" t="s">
        <v>381</v>
      </c>
      <c r="H21839">
        <v>46256</v>
      </c>
      <c r="I21839" t="s">
        <v>30</v>
      </c>
      <c r="J21839" t="s">
        <v>31</v>
      </c>
      <c r="K21839" t="s">
        <v>255</v>
      </c>
      <c r="N21839" t="s">
        <v>82640</v>
      </c>
      <c r="Q21839">
        <v>0</v>
      </c>
      <c r="R21839">
        <v>130</v>
      </c>
      <c r="S21839">
        <v>0</v>
      </c>
      <c r="T21839" t="s">
        <v>82641</v>
      </c>
    </row>
    <row r="21840" spans="1:20" customFormat="1" ht="15" x14ac:dyDescent="0.25">
      <c r="A21840" t="s">
        <v>24</v>
      </c>
      <c r="B21840" t="s">
        <v>60077</v>
      </c>
      <c r="C21840" t="str">
        <f>"202BD"</f>
        <v>202BD</v>
      </c>
      <c r="D21840" t="s">
        <v>82642</v>
      </c>
      <c r="E21840" t="s">
        <v>82643</v>
      </c>
      <c r="F21840" t="s">
        <v>13589</v>
      </c>
      <c r="G21840" t="s">
        <v>381</v>
      </c>
      <c r="H21840">
        <v>46032</v>
      </c>
      <c r="I21840" t="s">
        <v>30</v>
      </c>
      <c r="J21840" t="s">
        <v>31</v>
      </c>
      <c r="K21840" t="s">
        <v>255</v>
      </c>
      <c r="N21840" t="s">
        <v>79138</v>
      </c>
      <c r="Q21840">
        <v>0</v>
      </c>
      <c r="R21840">
        <v>126</v>
      </c>
      <c r="S21840">
        <v>0</v>
      </c>
      <c r="T21840" t="s">
        <v>82644</v>
      </c>
    </row>
    <row r="21841" spans="1:20" customFormat="1" ht="15" x14ac:dyDescent="0.25">
      <c r="A21841" t="s">
        <v>24</v>
      </c>
      <c r="B21841" t="s">
        <v>1138</v>
      </c>
      <c r="C21841" t="str">
        <f>"A0157220"</f>
        <v>A0157220</v>
      </c>
      <c r="D21841" t="s">
        <v>82645</v>
      </c>
      <c r="E21841" t="s">
        <v>82646</v>
      </c>
      <c r="F21841" t="s">
        <v>34209</v>
      </c>
      <c r="G21841" t="s">
        <v>110</v>
      </c>
      <c r="H21841">
        <v>92630</v>
      </c>
      <c r="I21841" t="s">
        <v>30</v>
      </c>
      <c r="J21841" t="s">
        <v>31</v>
      </c>
      <c r="K21841" t="s">
        <v>255</v>
      </c>
      <c r="N21841" t="s">
        <v>82647</v>
      </c>
      <c r="O21841" t="s">
        <v>82648</v>
      </c>
      <c r="Q21841">
        <v>0</v>
      </c>
      <c r="R21841">
        <v>102</v>
      </c>
      <c r="S21841">
        <v>0</v>
      </c>
      <c r="T21841" t="s">
        <v>82649</v>
      </c>
    </row>
    <row r="21842" spans="1:20" customFormat="1" ht="15" x14ac:dyDescent="0.25">
      <c r="A21842" t="s">
        <v>24</v>
      </c>
      <c r="B21842" t="s">
        <v>13626</v>
      </c>
      <c r="C21842" t="str">
        <f>"A0087858"</f>
        <v>A0087858</v>
      </c>
      <c r="D21842" t="s">
        <v>82650</v>
      </c>
      <c r="E21842" t="s">
        <v>82651</v>
      </c>
      <c r="F21842" t="s">
        <v>5833</v>
      </c>
      <c r="G21842" t="s">
        <v>1508</v>
      </c>
      <c r="H21842">
        <v>83001</v>
      </c>
      <c r="I21842" t="s">
        <v>30</v>
      </c>
      <c r="J21842" t="s">
        <v>31</v>
      </c>
      <c r="K21842" t="s">
        <v>255</v>
      </c>
      <c r="N21842" t="s">
        <v>82652</v>
      </c>
      <c r="O21842" t="s">
        <v>82653</v>
      </c>
      <c r="Q21842">
        <v>0</v>
      </c>
      <c r="R21842">
        <v>121</v>
      </c>
      <c r="S21842">
        <v>0</v>
      </c>
      <c r="T21842" t="s">
        <v>82654</v>
      </c>
    </row>
    <row r="21843" spans="1:20" customFormat="1" ht="15" x14ac:dyDescent="0.25">
      <c r="A21843" t="s">
        <v>24</v>
      </c>
      <c r="B21843" t="s">
        <v>2221</v>
      </c>
      <c r="C21843" t="str">
        <f>"202QY"</f>
        <v>202QY</v>
      </c>
      <c r="D21843" t="s">
        <v>82655</v>
      </c>
      <c r="E21843" t="s">
        <v>82656</v>
      </c>
      <c r="F21843" t="s">
        <v>2443</v>
      </c>
      <c r="G21843" t="s">
        <v>81</v>
      </c>
      <c r="H21843">
        <v>32216</v>
      </c>
      <c r="I21843" t="s">
        <v>30</v>
      </c>
      <c r="J21843" t="s">
        <v>31</v>
      </c>
      <c r="K21843" t="s">
        <v>255</v>
      </c>
      <c r="N21843" t="s">
        <v>74424</v>
      </c>
      <c r="O21843" t="s">
        <v>82657</v>
      </c>
      <c r="Q21843">
        <v>0</v>
      </c>
      <c r="R21843">
        <v>102</v>
      </c>
      <c r="S21843">
        <v>0</v>
      </c>
      <c r="T21843" t="s">
        <v>82658</v>
      </c>
    </row>
    <row r="21844" spans="1:20" customFormat="1" ht="15" x14ac:dyDescent="0.25">
      <c r="A21844" t="s">
        <v>24</v>
      </c>
      <c r="B21844" t="s">
        <v>59626</v>
      </c>
      <c r="C21844" t="str">
        <f>"A0084817"</f>
        <v>A0084817</v>
      </c>
      <c r="D21844" t="s">
        <v>82659</v>
      </c>
      <c r="E21844" t="s">
        <v>82660</v>
      </c>
      <c r="F21844" t="s">
        <v>2443</v>
      </c>
      <c r="G21844" t="s">
        <v>81</v>
      </c>
      <c r="H21844">
        <v>32218</v>
      </c>
      <c r="I21844" t="s">
        <v>30</v>
      </c>
      <c r="J21844" t="s">
        <v>31</v>
      </c>
      <c r="K21844" t="s">
        <v>255</v>
      </c>
      <c r="N21844" t="s">
        <v>82661</v>
      </c>
      <c r="Q21844">
        <v>0</v>
      </c>
      <c r="R21844">
        <v>104</v>
      </c>
      <c r="S21844">
        <v>0</v>
      </c>
      <c r="T21844" t="s">
        <v>82662</v>
      </c>
    </row>
    <row r="21845" spans="1:20" customFormat="1" ht="15" x14ac:dyDescent="0.25">
      <c r="A21845" t="s">
        <v>24</v>
      </c>
      <c r="B21845" t="s">
        <v>58814</v>
      </c>
      <c r="C21845" t="str">
        <f>"A0094902"</f>
        <v>A0094902</v>
      </c>
      <c r="D21845" t="s">
        <v>82663</v>
      </c>
      <c r="E21845" t="s">
        <v>82664</v>
      </c>
      <c r="F21845" t="s">
        <v>5107</v>
      </c>
      <c r="G21845" t="s">
        <v>137</v>
      </c>
      <c r="H21845">
        <v>64111</v>
      </c>
      <c r="I21845" t="s">
        <v>30</v>
      </c>
      <c r="J21845" t="s">
        <v>31</v>
      </c>
      <c r="K21845" t="s">
        <v>255</v>
      </c>
      <c r="N21845" t="s">
        <v>82665</v>
      </c>
      <c r="Q21845">
        <v>0</v>
      </c>
      <c r="R21845">
        <v>96</v>
      </c>
      <c r="S21845">
        <v>0</v>
      </c>
      <c r="T21845" t="s">
        <v>82666</v>
      </c>
    </row>
    <row r="21846" spans="1:20" customFormat="1" ht="15" x14ac:dyDescent="0.25">
      <c r="A21846" t="s">
        <v>24</v>
      </c>
      <c r="B21846" t="s">
        <v>13267</v>
      </c>
      <c r="C21846" t="str">
        <f>"A0087870"</f>
        <v>A0087870</v>
      </c>
      <c r="D21846" t="s">
        <v>82667</v>
      </c>
      <c r="E21846" t="s">
        <v>82668</v>
      </c>
      <c r="F21846" t="s">
        <v>34453</v>
      </c>
      <c r="G21846" t="s">
        <v>197</v>
      </c>
      <c r="H21846">
        <v>86401</v>
      </c>
      <c r="I21846" t="s">
        <v>30</v>
      </c>
      <c r="J21846" t="s">
        <v>31</v>
      </c>
      <c r="K21846" t="s">
        <v>255</v>
      </c>
      <c r="N21846" t="s">
        <v>82669</v>
      </c>
      <c r="Q21846">
        <v>0</v>
      </c>
      <c r="R21846">
        <v>73</v>
      </c>
      <c r="S21846">
        <v>0</v>
      </c>
      <c r="T21846" t="s">
        <v>82670</v>
      </c>
    </row>
    <row r="21847" spans="1:20" customFormat="1" ht="15" x14ac:dyDescent="0.25">
      <c r="A21847" t="s">
        <v>24</v>
      </c>
      <c r="B21847" t="s">
        <v>342</v>
      </c>
      <c r="C21847" t="str">
        <f>"A0078050"</f>
        <v>A0078050</v>
      </c>
      <c r="D21847" t="s">
        <v>82671</v>
      </c>
      <c r="E21847" t="s">
        <v>82672</v>
      </c>
      <c r="F21847" t="s">
        <v>3657</v>
      </c>
      <c r="G21847" t="s">
        <v>880</v>
      </c>
      <c r="H21847">
        <v>37934</v>
      </c>
      <c r="I21847" t="s">
        <v>30</v>
      </c>
      <c r="J21847" t="s">
        <v>31</v>
      </c>
      <c r="K21847" t="s">
        <v>255</v>
      </c>
      <c r="N21847" t="s">
        <v>82673</v>
      </c>
      <c r="Q21847">
        <v>0</v>
      </c>
      <c r="R21847">
        <v>103</v>
      </c>
      <c r="S21847">
        <v>0</v>
      </c>
      <c r="T21847" t="s">
        <v>82674</v>
      </c>
    </row>
    <row r="21848" spans="1:20" customFormat="1" ht="15" x14ac:dyDescent="0.25">
      <c r="A21848" t="s">
        <v>24</v>
      </c>
      <c r="B21848" t="s">
        <v>1323</v>
      </c>
      <c r="C21848" t="str">
        <f>"A0090121"</f>
        <v>A0090121</v>
      </c>
      <c r="D21848" t="s">
        <v>82675</v>
      </c>
      <c r="E21848" t="s">
        <v>82676</v>
      </c>
      <c r="F21848" t="s">
        <v>3154</v>
      </c>
      <c r="G21848" t="s">
        <v>1170</v>
      </c>
      <c r="H21848">
        <v>70508</v>
      </c>
      <c r="I21848" t="s">
        <v>30</v>
      </c>
      <c r="J21848" t="s">
        <v>31</v>
      </c>
      <c r="K21848" t="s">
        <v>255</v>
      </c>
      <c r="N21848" t="s">
        <v>82677</v>
      </c>
      <c r="Q21848">
        <v>0</v>
      </c>
      <c r="R21848">
        <v>103</v>
      </c>
      <c r="S21848">
        <v>0</v>
      </c>
      <c r="T21848" t="s">
        <v>82678</v>
      </c>
    </row>
    <row r="21849" spans="1:20" customFormat="1" ht="15" x14ac:dyDescent="0.25">
      <c r="A21849" t="s">
        <v>24</v>
      </c>
      <c r="B21849" t="s">
        <v>342</v>
      </c>
      <c r="C21849" t="str">
        <f>"A0156517"</f>
        <v>A0156517</v>
      </c>
      <c r="D21849" t="s">
        <v>82679</v>
      </c>
      <c r="E21849" t="s">
        <v>82680</v>
      </c>
      <c r="F21849" t="s">
        <v>55056</v>
      </c>
      <c r="G21849" t="s">
        <v>81</v>
      </c>
      <c r="H21849">
        <v>33815</v>
      </c>
      <c r="I21849" t="s">
        <v>30</v>
      </c>
      <c r="J21849" t="s">
        <v>31</v>
      </c>
      <c r="K21849" t="s">
        <v>255</v>
      </c>
      <c r="N21849" t="s">
        <v>82681</v>
      </c>
      <c r="O21849" t="s">
        <v>82682</v>
      </c>
      <c r="Q21849">
        <v>0</v>
      </c>
      <c r="R21849">
        <v>126</v>
      </c>
      <c r="S21849">
        <v>0</v>
      </c>
      <c r="T21849" t="s">
        <v>82683</v>
      </c>
    </row>
    <row r="21850" spans="1:20" customFormat="1" ht="15" x14ac:dyDescent="0.25">
      <c r="A21850" t="s">
        <v>24</v>
      </c>
      <c r="B21850" t="s">
        <v>734</v>
      </c>
      <c r="C21850" t="str">
        <f>"202VR"</f>
        <v>202VR</v>
      </c>
      <c r="D21850" t="s">
        <v>82684</v>
      </c>
      <c r="E21850" t="s">
        <v>82685</v>
      </c>
      <c r="F21850" t="s">
        <v>82686</v>
      </c>
      <c r="G21850" t="s">
        <v>1587</v>
      </c>
      <c r="H21850">
        <v>88005</v>
      </c>
      <c r="I21850" t="s">
        <v>30</v>
      </c>
      <c r="J21850" t="s">
        <v>31</v>
      </c>
      <c r="K21850" t="s">
        <v>255</v>
      </c>
      <c r="N21850" t="s">
        <v>82687</v>
      </c>
      <c r="Q21850">
        <v>0</v>
      </c>
      <c r="R21850">
        <v>102</v>
      </c>
      <c r="S21850">
        <v>0</v>
      </c>
      <c r="T21850" t="s">
        <v>82688</v>
      </c>
    </row>
    <row r="21851" spans="1:20" customFormat="1" ht="15" x14ac:dyDescent="0.25">
      <c r="A21851" t="s">
        <v>24</v>
      </c>
      <c r="B21851" t="s">
        <v>1548</v>
      </c>
      <c r="C21851" t="str">
        <f>"A0085976"</f>
        <v>A0085976</v>
      </c>
      <c r="D21851" t="s">
        <v>82689</v>
      </c>
      <c r="E21851" t="s">
        <v>82690</v>
      </c>
      <c r="F21851" t="s">
        <v>220</v>
      </c>
      <c r="G21851" t="s">
        <v>221</v>
      </c>
      <c r="H21851">
        <v>89109</v>
      </c>
      <c r="I21851" t="s">
        <v>30</v>
      </c>
      <c r="J21851" t="s">
        <v>31</v>
      </c>
      <c r="K21851" t="s">
        <v>255</v>
      </c>
      <c r="N21851" t="s">
        <v>82691</v>
      </c>
      <c r="Q21851">
        <v>0</v>
      </c>
      <c r="R21851">
        <v>299</v>
      </c>
      <c r="S21851">
        <v>0</v>
      </c>
      <c r="T21851" t="s">
        <v>82692</v>
      </c>
    </row>
    <row r="21852" spans="1:20" customFormat="1" ht="15" x14ac:dyDescent="0.25">
      <c r="A21852" t="s">
        <v>24</v>
      </c>
      <c r="B21852" t="s">
        <v>1561</v>
      </c>
      <c r="C21852" t="str">
        <f>"A0085801"</f>
        <v>A0085801</v>
      </c>
      <c r="D21852" t="s">
        <v>82693</v>
      </c>
      <c r="E21852" t="s">
        <v>82694</v>
      </c>
      <c r="F21852" t="s">
        <v>36155</v>
      </c>
      <c r="G21852" t="s">
        <v>153</v>
      </c>
      <c r="H21852">
        <v>84043</v>
      </c>
      <c r="I21852" t="s">
        <v>30</v>
      </c>
      <c r="J21852" t="s">
        <v>31</v>
      </c>
      <c r="K21852" t="s">
        <v>255</v>
      </c>
      <c r="N21852" t="s">
        <v>82695</v>
      </c>
      <c r="Q21852">
        <v>0</v>
      </c>
      <c r="R21852">
        <v>94</v>
      </c>
      <c r="S21852">
        <v>0</v>
      </c>
      <c r="T21852" t="s">
        <v>82696</v>
      </c>
    </row>
    <row r="21853" spans="1:20" customFormat="1" ht="15" x14ac:dyDescent="0.25">
      <c r="A21853" t="s">
        <v>24</v>
      </c>
      <c r="B21853" t="s">
        <v>60220</v>
      </c>
      <c r="C21853" t="str">
        <f>"A0094039"</f>
        <v>A0094039</v>
      </c>
      <c r="D21853" t="s">
        <v>82697</v>
      </c>
      <c r="E21853" t="s">
        <v>82698</v>
      </c>
      <c r="F21853" t="s">
        <v>2094</v>
      </c>
      <c r="G21853" t="s">
        <v>52</v>
      </c>
      <c r="H21853">
        <v>75067</v>
      </c>
      <c r="I21853" t="s">
        <v>30</v>
      </c>
      <c r="J21853" t="s">
        <v>31</v>
      </c>
      <c r="K21853" t="s">
        <v>255</v>
      </c>
      <c r="N21853" t="s">
        <v>82699</v>
      </c>
      <c r="Q21853">
        <v>0</v>
      </c>
      <c r="R21853">
        <v>119</v>
      </c>
      <c r="S21853">
        <v>0</v>
      </c>
      <c r="T21853" t="s">
        <v>82700</v>
      </c>
    </row>
    <row r="21854" spans="1:20" customFormat="1" ht="15" x14ac:dyDescent="0.25">
      <c r="A21854" t="s">
        <v>24</v>
      </c>
      <c r="B21854" t="s">
        <v>2955</v>
      </c>
      <c r="C21854" t="str">
        <f>"A0067572"</f>
        <v>A0067572</v>
      </c>
      <c r="D21854" t="s">
        <v>82701</v>
      </c>
      <c r="E21854" t="s">
        <v>82702</v>
      </c>
      <c r="F21854" t="s">
        <v>3041</v>
      </c>
      <c r="G21854" t="s">
        <v>840</v>
      </c>
      <c r="H21854">
        <v>40504</v>
      </c>
      <c r="I21854" t="s">
        <v>30</v>
      </c>
      <c r="J21854" t="s">
        <v>31</v>
      </c>
      <c r="K21854" t="s">
        <v>255</v>
      </c>
      <c r="N21854" t="s">
        <v>82703</v>
      </c>
      <c r="Q21854">
        <v>0</v>
      </c>
      <c r="R21854">
        <v>108</v>
      </c>
      <c r="S21854">
        <v>0</v>
      </c>
      <c r="T21854" t="s">
        <v>82704</v>
      </c>
    </row>
    <row r="21855" spans="1:20" customFormat="1" ht="15" x14ac:dyDescent="0.25">
      <c r="A21855" t="s">
        <v>24</v>
      </c>
      <c r="B21855" t="s">
        <v>13679</v>
      </c>
      <c r="C21855" t="str">
        <f>"A0094637"</f>
        <v>A0094637</v>
      </c>
      <c r="D21855" t="s">
        <v>82705</v>
      </c>
      <c r="E21855" t="s">
        <v>82706</v>
      </c>
      <c r="F21855" t="s">
        <v>71722</v>
      </c>
      <c r="G21855" t="s">
        <v>99</v>
      </c>
      <c r="H21855">
        <v>11514</v>
      </c>
      <c r="I21855" t="s">
        <v>30</v>
      </c>
      <c r="J21855" t="s">
        <v>31</v>
      </c>
      <c r="K21855" t="s">
        <v>255</v>
      </c>
      <c r="N21855" t="s">
        <v>82707</v>
      </c>
      <c r="O21855" t="s">
        <v>82708</v>
      </c>
      <c r="Q21855">
        <v>0</v>
      </c>
      <c r="R21855">
        <v>120</v>
      </c>
      <c r="S21855">
        <v>0</v>
      </c>
      <c r="T21855" t="s">
        <v>82709</v>
      </c>
    </row>
    <row r="21856" spans="1:20" customFormat="1" ht="15" x14ac:dyDescent="0.25">
      <c r="A21856" t="s">
        <v>24</v>
      </c>
      <c r="B21856" t="s">
        <v>675</v>
      </c>
      <c r="C21856" t="str">
        <f>"A0094396"</f>
        <v>A0094396</v>
      </c>
      <c r="D21856" t="s">
        <v>82710</v>
      </c>
      <c r="E21856" t="s">
        <v>82711</v>
      </c>
      <c r="F21856" t="s">
        <v>72323</v>
      </c>
      <c r="G21856" t="s">
        <v>110</v>
      </c>
      <c r="H21856">
        <v>91502</v>
      </c>
      <c r="I21856" t="s">
        <v>30</v>
      </c>
      <c r="J21856" t="s">
        <v>31</v>
      </c>
      <c r="K21856" t="s">
        <v>255</v>
      </c>
      <c r="N21856" t="s">
        <v>82363</v>
      </c>
      <c r="Q21856">
        <v>0</v>
      </c>
      <c r="R21856">
        <v>173</v>
      </c>
      <c r="S21856">
        <v>0</v>
      </c>
      <c r="T21856" t="s">
        <v>82712</v>
      </c>
    </row>
    <row r="21857" spans="1:20" customFormat="1" ht="15" x14ac:dyDescent="0.25">
      <c r="A21857" t="s">
        <v>24</v>
      </c>
      <c r="B21857" t="s">
        <v>82713</v>
      </c>
      <c r="C21857" t="str">
        <f>"204XC"</f>
        <v>204XC</v>
      </c>
      <c r="D21857" t="s">
        <v>82714</v>
      </c>
      <c r="E21857" t="s">
        <v>82715</v>
      </c>
      <c r="F21857" t="s">
        <v>3466</v>
      </c>
      <c r="G21857" t="s">
        <v>840</v>
      </c>
      <c r="H21857">
        <v>40223</v>
      </c>
      <c r="I21857" t="s">
        <v>30</v>
      </c>
      <c r="J21857" t="s">
        <v>31</v>
      </c>
      <c r="K21857" t="s">
        <v>255</v>
      </c>
      <c r="N21857" t="s">
        <v>82716</v>
      </c>
      <c r="Q21857">
        <v>0</v>
      </c>
      <c r="R21857">
        <v>142</v>
      </c>
      <c r="S21857">
        <v>0</v>
      </c>
      <c r="T21857" t="s">
        <v>82717</v>
      </c>
    </row>
    <row r="21858" spans="1:20" customFormat="1" ht="15" x14ac:dyDescent="0.25">
      <c r="A21858" t="s">
        <v>24</v>
      </c>
      <c r="B21858" t="s">
        <v>59626</v>
      </c>
      <c r="C21858" t="str">
        <f>"A0088568"</f>
        <v>A0088568</v>
      </c>
      <c r="D21858" t="s">
        <v>82718</v>
      </c>
      <c r="E21858" t="s">
        <v>82719</v>
      </c>
      <c r="F21858" t="s">
        <v>3560</v>
      </c>
      <c r="G21858" t="s">
        <v>846</v>
      </c>
      <c r="H21858">
        <v>31210</v>
      </c>
      <c r="I21858" t="s">
        <v>30</v>
      </c>
      <c r="J21858" t="s">
        <v>31</v>
      </c>
      <c r="K21858" t="s">
        <v>255</v>
      </c>
      <c r="N21858" t="s">
        <v>82720</v>
      </c>
      <c r="Q21858">
        <v>0</v>
      </c>
      <c r="R21858">
        <v>121</v>
      </c>
      <c r="S21858">
        <v>0</v>
      </c>
      <c r="T21858" t="s">
        <v>82721</v>
      </c>
    </row>
    <row r="21859" spans="1:20" customFormat="1" ht="15" x14ac:dyDescent="0.25">
      <c r="A21859" t="s">
        <v>24</v>
      </c>
      <c r="B21859" t="s">
        <v>675</v>
      </c>
      <c r="C21859" t="str">
        <f>"196A8"</f>
        <v>196A8</v>
      </c>
      <c r="D21859" t="s">
        <v>82722</v>
      </c>
      <c r="E21859" t="s">
        <v>82723</v>
      </c>
      <c r="F21859" t="s">
        <v>60613</v>
      </c>
      <c r="G21859" t="s">
        <v>110</v>
      </c>
      <c r="H21859">
        <v>90250</v>
      </c>
      <c r="I21859" t="s">
        <v>30</v>
      </c>
      <c r="J21859" t="s">
        <v>31</v>
      </c>
      <c r="K21859" t="s">
        <v>255</v>
      </c>
      <c r="N21859" t="s">
        <v>82271</v>
      </c>
      <c r="O21859" t="s">
        <v>82724</v>
      </c>
      <c r="Q21859">
        <v>0</v>
      </c>
      <c r="R21859">
        <v>164</v>
      </c>
      <c r="S21859">
        <v>0</v>
      </c>
      <c r="T21859" t="s">
        <v>82725</v>
      </c>
    </row>
    <row r="21860" spans="1:20" customFormat="1" ht="15" x14ac:dyDescent="0.25">
      <c r="A21860" t="s">
        <v>24</v>
      </c>
      <c r="B21860" t="s">
        <v>65471</v>
      </c>
      <c r="C21860" t="str">
        <f>"A0087382"</f>
        <v>A0087382</v>
      </c>
      <c r="D21860" t="s">
        <v>82726</v>
      </c>
      <c r="E21860" t="s">
        <v>82727</v>
      </c>
      <c r="F21860" t="s">
        <v>11551</v>
      </c>
      <c r="G21860" t="s">
        <v>52</v>
      </c>
      <c r="H21860">
        <v>78503</v>
      </c>
      <c r="I21860" t="s">
        <v>30</v>
      </c>
      <c r="J21860" t="s">
        <v>31</v>
      </c>
      <c r="K21860" t="s">
        <v>255</v>
      </c>
      <c r="N21860" t="s">
        <v>82728</v>
      </c>
      <c r="Q21860">
        <v>0</v>
      </c>
      <c r="R21860">
        <v>102</v>
      </c>
      <c r="S21860">
        <v>0</v>
      </c>
      <c r="T21860" t="s">
        <v>82729</v>
      </c>
    </row>
    <row r="21861" spans="1:20" customFormat="1" ht="15" x14ac:dyDescent="0.25">
      <c r="A21861" t="s">
        <v>24</v>
      </c>
      <c r="B21861" t="s">
        <v>59142</v>
      </c>
      <c r="C21861" t="str">
        <f>"A0084034"</f>
        <v>A0084034</v>
      </c>
      <c r="D21861" t="s">
        <v>82730</v>
      </c>
      <c r="E21861" t="s">
        <v>82731</v>
      </c>
      <c r="F21861" t="s">
        <v>6873</v>
      </c>
      <c r="G21861" t="s">
        <v>47</v>
      </c>
      <c r="H21861">
        <v>97501</v>
      </c>
      <c r="I21861" t="s">
        <v>30</v>
      </c>
      <c r="J21861" t="s">
        <v>31</v>
      </c>
      <c r="K21861" t="s">
        <v>255</v>
      </c>
      <c r="N21861" t="s">
        <v>82732</v>
      </c>
      <c r="Q21861">
        <v>0</v>
      </c>
      <c r="R21861">
        <v>86</v>
      </c>
      <c r="S21861">
        <v>0</v>
      </c>
      <c r="T21861" t="s">
        <v>82733</v>
      </c>
    </row>
    <row r="21862" spans="1:20" customFormat="1" ht="15" x14ac:dyDescent="0.25">
      <c r="A21862" t="s">
        <v>24</v>
      </c>
      <c r="B21862" t="s">
        <v>56526</v>
      </c>
      <c r="C21862" t="str">
        <f>"A0097908"</f>
        <v>A0097908</v>
      </c>
      <c r="D21862" t="s">
        <v>82734</v>
      </c>
      <c r="E21862" t="s">
        <v>82735</v>
      </c>
      <c r="F21862" t="s">
        <v>1889</v>
      </c>
      <c r="G21862" t="s">
        <v>81</v>
      </c>
      <c r="H21862">
        <v>33178</v>
      </c>
      <c r="I21862" t="s">
        <v>30</v>
      </c>
      <c r="J21862" t="s">
        <v>31</v>
      </c>
      <c r="K21862" t="s">
        <v>255</v>
      </c>
      <c r="N21862" t="s">
        <v>82736</v>
      </c>
      <c r="O21862" t="s">
        <v>82737</v>
      </c>
      <c r="Q21862">
        <v>0</v>
      </c>
      <c r="R21862">
        <v>112</v>
      </c>
      <c r="S21862">
        <v>0</v>
      </c>
      <c r="T21862" t="s">
        <v>82738</v>
      </c>
    </row>
    <row r="21863" spans="1:20" customFormat="1" ht="15" x14ac:dyDescent="0.25">
      <c r="A21863" t="s">
        <v>24</v>
      </c>
      <c r="B21863" t="s">
        <v>1487</v>
      </c>
      <c r="C21863" t="str">
        <f>"A0095996"</f>
        <v>A0095996</v>
      </c>
      <c r="D21863" t="s">
        <v>82739</v>
      </c>
      <c r="E21863" t="s">
        <v>82740</v>
      </c>
      <c r="F21863" t="s">
        <v>5999</v>
      </c>
      <c r="G21863" t="s">
        <v>71</v>
      </c>
      <c r="H21863">
        <v>53203</v>
      </c>
      <c r="I21863" t="s">
        <v>30</v>
      </c>
      <c r="J21863" t="s">
        <v>31</v>
      </c>
      <c r="K21863" t="s">
        <v>255</v>
      </c>
      <c r="N21863" t="s">
        <v>82741</v>
      </c>
      <c r="Q21863">
        <v>0</v>
      </c>
      <c r="R21863">
        <v>155</v>
      </c>
      <c r="S21863">
        <v>0</v>
      </c>
      <c r="T21863" t="s">
        <v>82742</v>
      </c>
    </row>
    <row r="21864" spans="1:20" customFormat="1" ht="15" x14ac:dyDescent="0.25">
      <c r="A21864" t="s">
        <v>24</v>
      </c>
      <c r="B21864" t="s">
        <v>10986</v>
      </c>
      <c r="C21864" t="str">
        <f>"A0099265"</f>
        <v>A0099265</v>
      </c>
      <c r="D21864" t="s">
        <v>82743</v>
      </c>
      <c r="E21864" t="s">
        <v>82744</v>
      </c>
      <c r="F21864" t="s">
        <v>152</v>
      </c>
      <c r="G21864" t="s">
        <v>153</v>
      </c>
      <c r="H21864">
        <v>84532</v>
      </c>
      <c r="I21864" t="s">
        <v>30</v>
      </c>
      <c r="J21864" t="s">
        <v>31</v>
      </c>
      <c r="K21864" t="s">
        <v>255</v>
      </c>
      <c r="Q21864">
        <v>0</v>
      </c>
      <c r="R21864">
        <v>99</v>
      </c>
      <c r="S21864">
        <v>0</v>
      </c>
      <c r="T21864" t="s">
        <v>82745</v>
      </c>
    </row>
    <row r="21865" spans="1:20" customFormat="1" ht="15" x14ac:dyDescent="0.25">
      <c r="A21865" t="s">
        <v>24</v>
      </c>
      <c r="B21865" t="s">
        <v>58755</v>
      </c>
      <c r="C21865" t="str">
        <f>"A0094647"</f>
        <v>A0094647</v>
      </c>
      <c r="D21865" t="s">
        <v>82746</v>
      </c>
      <c r="E21865" t="s">
        <v>82747</v>
      </c>
      <c r="F21865" t="s">
        <v>53883</v>
      </c>
      <c r="G21865" t="s">
        <v>1706</v>
      </c>
      <c r="H21865">
        <v>36608</v>
      </c>
      <c r="I21865" t="s">
        <v>30</v>
      </c>
      <c r="J21865" t="s">
        <v>31</v>
      </c>
      <c r="K21865" t="s">
        <v>255</v>
      </c>
      <c r="N21865" t="s">
        <v>82748</v>
      </c>
      <c r="O21865" t="s">
        <v>82749</v>
      </c>
      <c r="Q21865">
        <v>0</v>
      </c>
      <c r="R21865">
        <v>120</v>
      </c>
      <c r="S21865">
        <v>0</v>
      </c>
      <c r="T21865" t="s">
        <v>82750</v>
      </c>
    </row>
    <row r="21866" spans="1:20" customFormat="1" ht="15" x14ac:dyDescent="0.25">
      <c r="A21866" t="s">
        <v>24</v>
      </c>
      <c r="B21866" t="s">
        <v>56277</v>
      </c>
      <c r="C21866" t="str">
        <f>"A0084357"</f>
        <v>A0084357</v>
      </c>
      <c r="D21866" t="s">
        <v>82751</v>
      </c>
      <c r="E21866" t="s">
        <v>82752</v>
      </c>
      <c r="F21866" t="s">
        <v>10867</v>
      </c>
      <c r="G21866" t="s">
        <v>110</v>
      </c>
      <c r="H21866">
        <v>95350</v>
      </c>
      <c r="I21866" t="s">
        <v>30</v>
      </c>
      <c r="J21866" t="s">
        <v>31</v>
      </c>
      <c r="K21866" t="s">
        <v>255</v>
      </c>
      <c r="N21866" t="s">
        <v>82753</v>
      </c>
      <c r="O21866" t="s">
        <v>68887</v>
      </c>
      <c r="Q21866">
        <v>0</v>
      </c>
      <c r="R21866">
        <v>111</v>
      </c>
      <c r="S21866">
        <v>0</v>
      </c>
      <c r="T21866" t="s">
        <v>82754</v>
      </c>
    </row>
    <row r="21867" spans="1:20" customFormat="1" ht="15" x14ac:dyDescent="0.25">
      <c r="A21867" t="s">
        <v>24</v>
      </c>
      <c r="B21867" t="s">
        <v>8742</v>
      </c>
      <c r="C21867" t="str">
        <f>"A0147554"</f>
        <v>A0147554</v>
      </c>
      <c r="D21867" t="s">
        <v>82755</v>
      </c>
      <c r="E21867" t="s">
        <v>82756</v>
      </c>
      <c r="F21867" t="s">
        <v>8562</v>
      </c>
      <c r="G21867" t="s">
        <v>1706</v>
      </c>
      <c r="H21867">
        <v>36104</v>
      </c>
      <c r="I21867" t="s">
        <v>30</v>
      </c>
      <c r="J21867" t="s">
        <v>31</v>
      </c>
      <c r="K21867" t="s">
        <v>255</v>
      </c>
      <c r="N21867" t="s">
        <v>82757</v>
      </c>
      <c r="Q21867">
        <v>0</v>
      </c>
      <c r="R21867">
        <v>105</v>
      </c>
      <c r="S21867">
        <v>0</v>
      </c>
      <c r="T21867" t="s">
        <v>82758</v>
      </c>
    </row>
    <row r="21868" spans="1:20" customFormat="1" ht="15" x14ac:dyDescent="0.25">
      <c r="A21868" t="s">
        <v>24</v>
      </c>
      <c r="B21868" t="s">
        <v>34691</v>
      </c>
      <c r="C21868" t="str">
        <f>"A0145885"</f>
        <v>A0145885</v>
      </c>
      <c r="D21868" t="s">
        <v>82759</v>
      </c>
      <c r="E21868" t="s">
        <v>82760</v>
      </c>
      <c r="F21868" t="s">
        <v>53282</v>
      </c>
      <c r="G21868" t="s">
        <v>1706</v>
      </c>
      <c r="H21868">
        <v>36054</v>
      </c>
      <c r="I21868" t="s">
        <v>30</v>
      </c>
      <c r="J21868" t="s">
        <v>31</v>
      </c>
      <c r="K21868" t="s">
        <v>255</v>
      </c>
      <c r="N21868" t="s">
        <v>82761</v>
      </c>
      <c r="Q21868">
        <v>0</v>
      </c>
      <c r="R21868">
        <v>94</v>
      </c>
      <c r="S21868">
        <v>0</v>
      </c>
      <c r="T21868" t="s">
        <v>82762</v>
      </c>
    </row>
    <row r="21869" spans="1:20" customFormat="1" ht="15" x14ac:dyDescent="0.25">
      <c r="A21869" t="s">
        <v>24</v>
      </c>
      <c r="B21869" t="s">
        <v>60414</v>
      </c>
      <c r="C21869" t="str">
        <f>"A0098413"</f>
        <v>A0098413</v>
      </c>
      <c r="D21869" t="s">
        <v>82763</v>
      </c>
      <c r="E21869" t="s">
        <v>82764</v>
      </c>
      <c r="F21869" t="s">
        <v>14600</v>
      </c>
      <c r="G21869" t="s">
        <v>338</v>
      </c>
      <c r="H21869">
        <v>8054</v>
      </c>
      <c r="I21869" t="s">
        <v>30</v>
      </c>
      <c r="J21869" t="s">
        <v>31</v>
      </c>
      <c r="K21869" t="s">
        <v>255</v>
      </c>
      <c r="N21869" t="s">
        <v>82765</v>
      </c>
      <c r="O21869" t="s">
        <v>82766</v>
      </c>
      <c r="Q21869">
        <v>0</v>
      </c>
      <c r="R21869">
        <v>135</v>
      </c>
      <c r="S21869">
        <v>0</v>
      </c>
      <c r="T21869" t="s">
        <v>82767</v>
      </c>
    </row>
    <row r="21870" spans="1:20" customFormat="1" ht="15" x14ac:dyDescent="0.25">
      <c r="A21870" t="s">
        <v>24</v>
      </c>
      <c r="B21870" t="s">
        <v>4459</v>
      </c>
      <c r="C21870" t="str">
        <f>"A0087076"</f>
        <v>A0087076</v>
      </c>
      <c r="D21870" t="s">
        <v>82768</v>
      </c>
      <c r="E21870" t="s">
        <v>82769</v>
      </c>
      <c r="F21870" t="s">
        <v>2241</v>
      </c>
      <c r="G21870" t="s">
        <v>110</v>
      </c>
      <c r="H21870">
        <v>94558</v>
      </c>
      <c r="I21870" t="s">
        <v>30</v>
      </c>
      <c r="J21870" t="s">
        <v>31</v>
      </c>
      <c r="K21870" t="s">
        <v>255</v>
      </c>
      <c r="N21870" t="s">
        <v>82770</v>
      </c>
      <c r="O21870" t="s">
        <v>82771</v>
      </c>
      <c r="Q21870">
        <v>0</v>
      </c>
      <c r="R21870">
        <v>100</v>
      </c>
      <c r="S21870">
        <v>0</v>
      </c>
      <c r="T21870" t="s">
        <v>82772</v>
      </c>
    </row>
    <row r="21871" spans="1:20" customFormat="1" ht="15" x14ac:dyDescent="0.25">
      <c r="A21871" t="s">
        <v>24</v>
      </c>
      <c r="B21871" t="s">
        <v>675</v>
      </c>
      <c r="C21871" t="str">
        <f>"A0088582"</f>
        <v>A0088582</v>
      </c>
      <c r="D21871" t="s">
        <v>82773</v>
      </c>
      <c r="E21871" t="s">
        <v>82774</v>
      </c>
      <c r="F21871" t="s">
        <v>2971</v>
      </c>
      <c r="G21871" t="s">
        <v>880</v>
      </c>
      <c r="H21871">
        <v>37203</v>
      </c>
      <c r="I21871" t="s">
        <v>30</v>
      </c>
      <c r="J21871" t="s">
        <v>31</v>
      </c>
      <c r="K21871" t="s">
        <v>255</v>
      </c>
      <c r="N21871" t="s">
        <v>79449</v>
      </c>
      <c r="O21871" t="s">
        <v>61179</v>
      </c>
      <c r="Q21871">
        <v>0</v>
      </c>
      <c r="R21871">
        <v>103</v>
      </c>
      <c r="S21871">
        <v>0</v>
      </c>
      <c r="T21871" t="s">
        <v>82775</v>
      </c>
    </row>
    <row r="21872" spans="1:20" customFormat="1" ht="15" x14ac:dyDescent="0.25">
      <c r="A21872" t="s">
        <v>24</v>
      </c>
      <c r="B21872" t="s">
        <v>5435</v>
      </c>
      <c r="C21872" t="str">
        <f>"A0089704"</f>
        <v>A0089704</v>
      </c>
      <c r="D21872" t="s">
        <v>82776</v>
      </c>
      <c r="E21872" t="s">
        <v>82777</v>
      </c>
      <c r="F21872" t="s">
        <v>71397</v>
      </c>
      <c r="G21872" t="s">
        <v>99</v>
      </c>
      <c r="H21872">
        <v>11368</v>
      </c>
      <c r="I21872" t="s">
        <v>30</v>
      </c>
      <c r="J21872" t="s">
        <v>31</v>
      </c>
      <c r="K21872" t="s">
        <v>255</v>
      </c>
      <c r="N21872" t="s">
        <v>65854</v>
      </c>
      <c r="Q21872">
        <v>0</v>
      </c>
      <c r="R21872">
        <v>173</v>
      </c>
      <c r="S21872">
        <v>0</v>
      </c>
      <c r="T21872" t="s">
        <v>82778</v>
      </c>
    </row>
    <row r="21873" spans="1:20" customFormat="1" ht="15" x14ac:dyDescent="0.25">
      <c r="A21873" t="s">
        <v>24</v>
      </c>
      <c r="B21873" t="s">
        <v>675</v>
      </c>
      <c r="C21873" t="str">
        <f>"A0091437"</f>
        <v>A0091437</v>
      </c>
      <c r="D21873" t="s">
        <v>82779</v>
      </c>
      <c r="E21873" t="s">
        <v>82780</v>
      </c>
      <c r="F21873" t="s">
        <v>3880</v>
      </c>
      <c r="G21873" t="s">
        <v>99</v>
      </c>
      <c r="H21873">
        <v>10018</v>
      </c>
      <c r="I21873" t="s">
        <v>30</v>
      </c>
      <c r="J21873" t="s">
        <v>31</v>
      </c>
      <c r="K21873" t="s">
        <v>255</v>
      </c>
      <c r="N21873" t="s">
        <v>82781</v>
      </c>
      <c r="Q21873">
        <v>0</v>
      </c>
      <c r="R21873">
        <v>173</v>
      </c>
      <c r="S21873">
        <v>0</v>
      </c>
      <c r="T21873" t="s">
        <v>82782</v>
      </c>
    </row>
    <row r="21874" spans="1:20" customFormat="1" ht="15" x14ac:dyDescent="0.25">
      <c r="A21874" t="s">
        <v>24</v>
      </c>
      <c r="B21874" t="s">
        <v>5435</v>
      </c>
      <c r="C21874" t="str">
        <f>"A0147034"</f>
        <v>A0147034</v>
      </c>
      <c r="D21874" t="s">
        <v>82783</v>
      </c>
      <c r="E21874" t="s">
        <v>82784</v>
      </c>
      <c r="F21874" t="s">
        <v>1308</v>
      </c>
      <c r="G21874" t="s">
        <v>99</v>
      </c>
      <c r="H21874">
        <v>11435</v>
      </c>
      <c r="I21874" t="s">
        <v>30</v>
      </c>
      <c r="J21874" t="s">
        <v>31</v>
      </c>
      <c r="K21874" t="s">
        <v>255</v>
      </c>
      <c r="N21874" t="s">
        <v>82785</v>
      </c>
      <c r="O21874" t="s">
        <v>82786</v>
      </c>
      <c r="Q21874">
        <v>0</v>
      </c>
      <c r="R21874">
        <v>160</v>
      </c>
      <c r="S21874">
        <v>0</v>
      </c>
      <c r="T21874" t="s">
        <v>82787</v>
      </c>
    </row>
    <row r="21875" spans="1:20" customFormat="1" ht="15" x14ac:dyDescent="0.25">
      <c r="A21875" t="s">
        <v>24</v>
      </c>
      <c r="B21875" t="s">
        <v>13135</v>
      </c>
      <c r="C21875" t="str">
        <f>"A0100375"</f>
        <v>A0100375</v>
      </c>
      <c r="D21875" t="s">
        <v>82788</v>
      </c>
      <c r="E21875" t="s">
        <v>82789</v>
      </c>
      <c r="F21875" t="s">
        <v>1153</v>
      </c>
      <c r="G21875" t="s">
        <v>528</v>
      </c>
      <c r="H21875">
        <v>19711</v>
      </c>
      <c r="I21875" t="s">
        <v>30</v>
      </c>
      <c r="J21875" t="s">
        <v>31</v>
      </c>
      <c r="K21875" t="s">
        <v>255</v>
      </c>
      <c r="N21875" t="s">
        <v>82790</v>
      </c>
      <c r="O21875" t="s">
        <v>82791</v>
      </c>
      <c r="Q21875">
        <v>0</v>
      </c>
      <c r="R21875">
        <v>134</v>
      </c>
      <c r="S21875">
        <v>0</v>
      </c>
      <c r="T21875" t="s">
        <v>82792</v>
      </c>
    </row>
    <row r="21876" spans="1:20" customFormat="1" ht="15" x14ac:dyDescent="0.25">
      <c r="A21876" t="s">
        <v>24</v>
      </c>
      <c r="B21876" t="s">
        <v>1138</v>
      </c>
      <c r="C21876" t="str">
        <f>"A0145424"</f>
        <v>A0145424</v>
      </c>
      <c r="D21876" t="s">
        <v>82793</v>
      </c>
      <c r="E21876" t="s">
        <v>82794</v>
      </c>
      <c r="F21876" t="s">
        <v>1153</v>
      </c>
      <c r="G21876" t="s">
        <v>110</v>
      </c>
      <c r="H21876">
        <v>94560</v>
      </c>
      <c r="I21876" t="s">
        <v>30</v>
      </c>
      <c r="J21876" t="s">
        <v>31</v>
      </c>
      <c r="K21876" t="s">
        <v>255</v>
      </c>
      <c r="N21876" t="s">
        <v>82795</v>
      </c>
      <c r="Q21876">
        <v>0</v>
      </c>
      <c r="R21876">
        <v>119</v>
      </c>
      <c r="S21876">
        <v>0</v>
      </c>
      <c r="T21876" t="s">
        <v>82796</v>
      </c>
    </row>
    <row r="21877" spans="1:20" customFormat="1" ht="15" x14ac:dyDescent="0.25">
      <c r="A21877" t="s">
        <v>24</v>
      </c>
      <c r="B21877" t="s">
        <v>58106</v>
      </c>
      <c r="C21877" t="str">
        <f>"A0087740"</f>
        <v>A0087740</v>
      </c>
      <c r="D21877" t="s">
        <v>82797</v>
      </c>
      <c r="E21877" t="s">
        <v>82798</v>
      </c>
      <c r="F21877" t="s">
        <v>13824</v>
      </c>
      <c r="G21877" t="s">
        <v>58</v>
      </c>
      <c r="H21877">
        <v>29420</v>
      </c>
      <c r="I21877" t="s">
        <v>30</v>
      </c>
      <c r="J21877" t="s">
        <v>31</v>
      </c>
      <c r="K21877" t="s">
        <v>255</v>
      </c>
      <c r="N21877" t="s">
        <v>82799</v>
      </c>
      <c r="Q21877">
        <v>0</v>
      </c>
      <c r="R21877">
        <v>115</v>
      </c>
      <c r="S21877">
        <v>0</v>
      </c>
      <c r="T21877" t="s">
        <v>82800</v>
      </c>
    </row>
    <row r="21878" spans="1:20" customFormat="1" ht="15" x14ac:dyDescent="0.25">
      <c r="A21878" t="s">
        <v>24</v>
      </c>
      <c r="B21878" t="s">
        <v>706</v>
      </c>
      <c r="C21878" t="str">
        <f>"A0100882"</f>
        <v>A0100882</v>
      </c>
      <c r="D21878" t="s">
        <v>82801</v>
      </c>
      <c r="E21878" t="s">
        <v>82802</v>
      </c>
      <c r="F21878" t="s">
        <v>1326</v>
      </c>
      <c r="G21878" t="s">
        <v>81</v>
      </c>
      <c r="H21878">
        <v>34474</v>
      </c>
      <c r="I21878" t="s">
        <v>30</v>
      </c>
      <c r="J21878" t="s">
        <v>31</v>
      </c>
      <c r="K21878" t="s">
        <v>255</v>
      </c>
      <c r="N21878" t="s">
        <v>82803</v>
      </c>
      <c r="Q21878">
        <v>0</v>
      </c>
      <c r="R21878">
        <v>106</v>
      </c>
      <c r="S21878">
        <v>0</v>
      </c>
      <c r="T21878" t="s">
        <v>82804</v>
      </c>
    </row>
    <row r="21879" spans="1:20" customFormat="1" ht="15" x14ac:dyDescent="0.25">
      <c r="A21879" t="s">
        <v>24</v>
      </c>
      <c r="B21879" t="s">
        <v>5166</v>
      </c>
      <c r="C21879" t="str">
        <f>"A0092501"</f>
        <v>A0092501</v>
      </c>
      <c r="D21879" t="s">
        <v>82805</v>
      </c>
      <c r="E21879" t="s">
        <v>82806</v>
      </c>
      <c r="F21879" t="s">
        <v>33388</v>
      </c>
      <c r="G21879" t="s">
        <v>110</v>
      </c>
      <c r="H21879">
        <v>92054</v>
      </c>
      <c r="I21879" t="s">
        <v>30</v>
      </c>
      <c r="J21879" t="s">
        <v>31</v>
      </c>
      <c r="K21879" t="s">
        <v>255</v>
      </c>
      <c r="N21879" t="s">
        <v>82807</v>
      </c>
      <c r="O21879" t="s">
        <v>82808</v>
      </c>
      <c r="Q21879">
        <v>0</v>
      </c>
      <c r="R21879">
        <v>149</v>
      </c>
      <c r="S21879">
        <v>0</v>
      </c>
      <c r="T21879" t="s">
        <v>82809</v>
      </c>
    </row>
    <row r="21880" spans="1:20" customFormat="1" ht="15" hidden="1" x14ac:dyDescent="0.25">
      <c r="A21880" t="s">
        <v>24</v>
      </c>
      <c r="B21880" t="s">
        <v>5435</v>
      </c>
      <c r="C21880" t="str">
        <f>"A0084904"</f>
        <v>A0084904</v>
      </c>
      <c r="D21880" t="s">
        <v>82810</v>
      </c>
      <c r="E21880" t="s">
        <v>82811</v>
      </c>
      <c r="F21880" t="s">
        <v>82812</v>
      </c>
      <c r="G21880" t="s">
        <v>5439</v>
      </c>
      <c r="H21880" t="s">
        <v>82813</v>
      </c>
      <c r="I21880" t="s">
        <v>1459</v>
      </c>
      <c r="J21880" t="s">
        <v>31</v>
      </c>
      <c r="K21880" t="s">
        <v>255</v>
      </c>
      <c r="N21880" t="s">
        <v>82814</v>
      </c>
      <c r="O21880" t="s">
        <v>82815</v>
      </c>
      <c r="Q21880">
        <v>0</v>
      </c>
      <c r="R21880">
        <v>127</v>
      </c>
      <c r="S21880">
        <v>0</v>
      </c>
      <c r="T21880" t="s">
        <v>82816</v>
      </c>
    </row>
    <row r="21881" spans="1:20" customFormat="1" ht="15" x14ac:dyDescent="0.25">
      <c r="A21881" t="s">
        <v>24</v>
      </c>
      <c r="B21881" t="s">
        <v>2005</v>
      </c>
      <c r="C21881" t="str">
        <f>"A0099343"</f>
        <v>A0099343</v>
      </c>
      <c r="D21881" t="s">
        <v>82817</v>
      </c>
      <c r="E21881" t="s">
        <v>82818</v>
      </c>
      <c r="F21881" t="s">
        <v>82819</v>
      </c>
      <c r="G21881" t="s">
        <v>880</v>
      </c>
      <c r="H21881">
        <v>37363</v>
      </c>
      <c r="I21881" t="s">
        <v>30</v>
      </c>
      <c r="J21881" t="s">
        <v>31</v>
      </c>
      <c r="K21881" t="s">
        <v>255</v>
      </c>
      <c r="Q21881">
        <v>0</v>
      </c>
      <c r="R21881">
        <v>106</v>
      </c>
      <c r="S21881">
        <v>0</v>
      </c>
      <c r="T21881" t="s">
        <v>82820</v>
      </c>
    </row>
    <row r="21882" spans="1:20" customFormat="1" ht="15" x14ac:dyDescent="0.25">
      <c r="A21882" t="s">
        <v>24</v>
      </c>
      <c r="B21882" t="s">
        <v>2812</v>
      </c>
      <c r="C21882" t="str">
        <f>"A0096458"</f>
        <v>A0096458</v>
      </c>
      <c r="D21882" t="s">
        <v>82821</v>
      </c>
      <c r="E21882" t="s">
        <v>82822</v>
      </c>
      <c r="F21882" t="s">
        <v>5636</v>
      </c>
      <c r="G21882" t="s">
        <v>1706</v>
      </c>
      <c r="H21882">
        <v>36561</v>
      </c>
      <c r="I21882" t="s">
        <v>30</v>
      </c>
      <c r="J21882" t="s">
        <v>31</v>
      </c>
      <c r="K21882" t="s">
        <v>255</v>
      </c>
      <c r="N21882" t="s">
        <v>72049</v>
      </c>
      <c r="Q21882">
        <v>0</v>
      </c>
      <c r="R21882">
        <v>132</v>
      </c>
      <c r="S21882">
        <v>0</v>
      </c>
      <c r="T21882" t="s">
        <v>82823</v>
      </c>
    </row>
    <row r="21883" spans="1:20" customFormat="1" ht="15" x14ac:dyDescent="0.25">
      <c r="A21883" t="s">
        <v>24</v>
      </c>
      <c r="B21883" t="s">
        <v>1020</v>
      </c>
      <c r="C21883" t="str">
        <f>"A0099218"</f>
        <v>A0099218</v>
      </c>
      <c r="D21883" t="s">
        <v>82824</v>
      </c>
      <c r="E21883" t="s">
        <v>82825</v>
      </c>
      <c r="F21883" t="s">
        <v>985</v>
      </c>
      <c r="G21883" t="s">
        <v>81</v>
      </c>
      <c r="H21883">
        <v>32836</v>
      </c>
      <c r="I21883" t="s">
        <v>30</v>
      </c>
      <c r="J21883" t="s">
        <v>31</v>
      </c>
      <c r="K21883" t="s">
        <v>255</v>
      </c>
      <c r="N21883" t="s">
        <v>82826</v>
      </c>
      <c r="O21883" t="s">
        <v>82827</v>
      </c>
      <c r="Q21883">
        <v>0</v>
      </c>
      <c r="R21883">
        <v>180</v>
      </c>
      <c r="S21883">
        <v>0</v>
      </c>
      <c r="T21883" t="s">
        <v>82828</v>
      </c>
    </row>
    <row r="21884" spans="1:20" customFormat="1" ht="15" x14ac:dyDescent="0.25">
      <c r="A21884" t="s">
        <v>24</v>
      </c>
      <c r="B21884" t="s">
        <v>13299</v>
      </c>
      <c r="C21884" t="str">
        <f>"A0085455"</f>
        <v>A0085455</v>
      </c>
      <c r="D21884" t="s">
        <v>82829</v>
      </c>
      <c r="E21884" t="s">
        <v>82830</v>
      </c>
      <c r="F21884" t="s">
        <v>10530</v>
      </c>
      <c r="G21884" t="s">
        <v>81</v>
      </c>
      <c r="H21884">
        <v>32822</v>
      </c>
      <c r="I21884" t="s">
        <v>30</v>
      </c>
      <c r="J21884" t="s">
        <v>31</v>
      </c>
      <c r="K21884" t="s">
        <v>255</v>
      </c>
      <c r="N21884" t="s">
        <v>82831</v>
      </c>
      <c r="O21884" t="s">
        <v>82832</v>
      </c>
      <c r="Q21884">
        <v>0</v>
      </c>
      <c r="R21884">
        <v>130</v>
      </c>
      <c r="S21884">
        <v>0</v>
      </c>
      <c r="T21884" t="s">
        <v>82833</v>
      </c>
    </row>
    <row r="21885" spans="1:20" customFormat="1" ht="15" x14ac:dyDescent="0.25">
      <c r="A21885" t="s">
        <v>24</v>
      </c>
      <c r="B21885" t="s">
        <v>675</v>
      </c>
      <c r="C21885" t="str">
        <f>"A0100049"</f>
        <v>A0100049</v>
      </c>
      <c r="D21885" t="s">
        <v>82834</v>
      </c>
      <c r="E21885" t="s">
        <v>79533</v>
      </c>
      <c r="F21885" t="s">
        <v>985</v>
      </c>
      <c r="G21885" t="s">
        <v>81</v>
      </c>
      <c r="H21885">
        <v>32839</v>
      </c>
      <c r="I21885" t="s">
        <v>30</v>
      </c>
      <c r="J21885" t="s">
        <v>31</v>
      </c>
      <c r="K21885" t="s">
        <v>255</v>
      </c>
      <c r="N21885" t="s">
        <v>79534</v>
      </c>
      <c r="O21885" t="s">
        <v>82835</v>
      </c>
      <c r="Q21885">
        <v>0</v>
      </c>
      <c r="R21885">
        <v>134</v>
      </c>
      <c r="S21885">
        <v>0</v>
      </c>
      <c r="T21885" t="s">
        <v>79535</v>
      </c>
    </row>
    <row r="21886" spans="1:20" customFormat="1" ht="15" x14ac:dyDescent="0.25">
      <c r="A21886" t="s">
        <v>24</v>
      </c>
      <c r="B21886" t="s">
        <v>675</v>
      </c>
      <c r="C21886" t="str">
        <f>"A0087665"</f>
        <v>A0087665</v>
      </c>
      <c r="D21886" t="s">
        <v>82836</v>
      </c>
      <c r="E21886" t="s">
        <v>82837</v>
      </c>
      <c r="F21886" t="s">
        <v>985</v>
      </c>
      <c r="G21886" t="s">
        <v>81</v>
      </c>
      <c r="H21886">
        <v>32821</v>
      </c>
      <c r="I21886" t="s">
        <v>30</v>
      </c>
      <c r="J21886" t="s">
        <v>31</v>
      </c>
      <c r="K21886" t="s">
        <v>255</v>
      </c>
      <c r="N21886" t="s">
        <v>82838</v>
      </c>
      <c r="O21886" t="s">
        <v>65344</v>
      </c>
      <c r="Q21886">
        <v>0</v>
      </c>
      <c r="R21886">
        <v>200</v>
      </c>
      <c r="S21886">
        <v>0</v>
      </c>
      <c r="T21886" t="s">
        <v>82839</v>
      </c>
    </row>
    <row r="21887" spans="1:20" customFormat="1" ht="15" x14ac:dyDescent="0.25">
      <c r="A21887" t="s">
        <v>24</v>
      </c>
      <c r="B21887" t="s">
        <v>13299</v>
      </c>
      <c r="C21887" t="str">
        <f>"202ED"</f>
        <v>202ED</v>
      </c>
      <c r="D21887" t="s">
        <v>82840</v>
      </c>
      <c r="E21887" t="s">
        <v>82841</v>
      </c>
      <c r="F21887" t="s">
        <v>985</v>
      </c>
      <c r="G21887" t="s">
        <v>81</v>
      </c>
      <c r="H21887">
        <v>32819</v>
      </c>
      <c r="I21887" t="s">
        <v>30</v>
      </c>
      <c r="J21887" t="s">
        <v>31</v>
      </c>
      <c r="K21887" t="s">
        <v>255</v>
      </c>
      <c r="N21887" t="s">
        <v>82842</v>
      </c>
      <c r="O21887" t="s">
        <v>82843</v>
      </c>
      <c r="Q21887">
        <v>0</v>
      </c>
      <c r="R21887">
        <v>167</v>
      </c>
      <c r="S21887">
        <v>0</v>
      </c>
      <c r="T21887" t="s">
        <v>82844</v>
      </c>
    </row>
    <row r="21888" spans="1:20" customFormat="1" ht="15" x14ac:dyDescent="0.25">
      <c r="A21888" t="s">
        <v>24</v>
      </c>
      <c r="B21888" t="s">
        <v>3045</v>
      </c>
      <c r="C21888" t="str">
        <f>"A0094654"</f>
        <v>A0094654</v>
      </c>
      <c r="D21888" t="s">
        <v>82845</v>
      </c>
      <c r="E21888" t="s">
        <v>82846</v>
      </c>
      <c r="F21888" t="s">
        <v>53964</v>
      </c>
      <c r="G21888" t="s">
        <v>81</v>
      </c>
      <c r="H21888">
        <v>34787</v>
      </c>
      <c r="I21888" t="s">
        <v>30</v>
      </c>
      <c r="J21888" t="s">
        <v>31</v>
      </c>
      <c r="K21888" t="s">
        <v>255</v>
      </c>
      <c r="N21888" t="s">
        <v>82847</v>
      </c>
      <c r="O21888" t="s">
        <v>82848</v>
      </c>
      <c r="Q21888">
        <v>0</v>
      </c>
      <c r="R21888">
        <v>248</v>
      </c>
      <c r="S21888">
        <v>0</v>
      </c>
      <c r="T21888" t="s">
        <v>82849</v>
      </c>
    </row>
    <row r="21889" spans="1:20" customFormat="1" ht="15" x14ac:dyDescent="0.25">
      <c r="A21889" t="s">
        <v>24</v>
      </c>
      <c r="B21889" t="s">
        <v>8366</v>
      </c>
      <c r="C21889" t="str">
        <f>"A0057540"</f>
        <v>A0057540</v>
      </c>
      <c r="D21889" t="s">
        <v>82850</v>
      </c>
      <c r="E21889" t="s">
        <v>82851</v>
      </c>
      <c r="F21889" t="s">
        <v>58598</v>
      </c>
      <c r="G21889" t="s">
        <v>81</v>
      </c>
      <c r="H21889">
        <v>34746</v>
      </c>
      <c r="I21889" t="s">
        <v>30</v>
      </c>
      <c r="J21889" t="s">
        <v>31</v>
      </c>
      <c r="K21889" t="s">
        <v>255</v>
      </c>
      <c r="N21889" t="s">
        <v>82852</v>
      </c>
      <c r="O21889" t="s">
        <v>82853</v>
      </c>
      <c r="Q21889">
        <v>0</v>
      </c>
      <c r="R21889">
        <v>150</v>
      </c>
      <c r="S21889">
        <v>0</v>
      </c>
      <c r="T21889" t="s">
        <v>82854</v>
      </c>
    </row>
    <row r="21890" spans="1:20" customFormat="1" ht="15" x14ac:dyDescent="0.25">
      <c r="A21890" t="s">
        <v>24</v>
      </c>
      <c r="B21890" t="s">
        <v>675</v>
      </c>
      <c r="C21890" t="str">
        <f>"192KP"</f>
        <v>192KP</v>
      </c>
      <c r="D21890" t="s">
        <v>82855</v>
      </c>
      <c r="E21890" t="s">
        <v>82856</v>
      </c>
      <c r="F21890" t="s">
        <v>985</v>
      </c>
      <c r="G21890" t="s">
        <v>81</v>
      </c>
      <c r="H21890">
        <v>32821</v>
      </c>
      <c r="I21890" t="s">
        <v>30</v>
      </c>
      <c r="J21890" t="s">
        <v>31</v>
      </c>
      <c r="K21890" t="s">
        <v>255</v>
      </c>
      <c r="N21890" t="s">
        <v>61022</v>
      </c>
      <c r="O21890" t="s">
        <v>82857</v>
      </c>
      <c r="Q21890">
        <v>0</v>
      </c>
      <c r="R21890">
        <v>400</v>
      </c>
      <c r="S21890">
        <v>0</v>
      </c>
      <c r="T21890" t="s">
        <v>61023</v>
      </c>
    </row>
    <row r="21891" spans="1:20" customFormat="1" ht="15" x14ac:dyDescent="0.25">
      <c r="A21891" t="s">
        <v>24</v>
      </c>
      <c r="B21891" t="s">
        <v>734</v>
      </c>
      <c r="C21891" t="str">
        <f>"432ES"</f>
        <v>432ES</v>
      </c>
      <c r="D21891" t="s">
        <v>82858</v>
      </c>
      <c r="E21891" t="s">
        <v>82859</v>
      </c>
      <c r="F21891" t="s">
        <v>10152</v>
      </c>
      <c r="G21891" t="s">
        <v>110</v>
      </c>
      <c r="H21891">
        <v>92260</v>
      </c>
      <c r="I21891" t="s">
        <v>30</v>
      </c>
      <c r="J21891" t="s">
        <v>31</v>
      </c>
      <c r="K21891" t="s">
        <v>255</v>
      </c>
      <c r="N21891" t="s">
        <v>738</v>
      </c>
      <c r="O21891" t="s">
        <v>82860</v>
      </c>
      <c r="Q21891">
        <v>0</v>
      </c>
      <c r="R21891">
        <v>107</v>
      </c>
      <c r="S21891">
        <v>0</v>
      </c>
      <c r="T21891" t="s">
        <v>82861</v>
      </c>
    </row>
    <row r="21892" spans="1:20" customFormat="1" ht="15" x14ac:dyDescent="0.25">
      <c r="A21892" t="s">
        <v>24</v>
      </c>
      <c r="B21892" t="s">
        <v>342</v>
      </c>
      <c r="C21892" t="str">
        <f>"A0092210"</f>
        <v>A0092210</v>
      </c>
      <c r="D21892" t="s">
        <v>82862</v>
      </c>
      <c r="E21892" t="s">
        <v>82863</v>
      </c>
      <c r="F21892" t="s">
        <v>1017</v>
      </c>
      <c r="G21892" t="s">
        <v>81</v>
      </c>
      <c r="H21892">
        <v>32504</v>
      </c>
      <c r="I21892" t="s">
        <v>30</v>
      </c>
      <c r="J21892" t="s">
        <v>31</v>
      </c>
      <c r="K21892" t="s">
        <v>255</v>
      </c>
      <c r="N21892" t="s">
        <v>82864</v>
      </c>
      <c r="Q21892">
        <v>0</v>
      </c>
      <c r="R21892">
        <v>106</v>
      </c>
      <c r="S21892">
        <v>0</v>
      </c>
      <c r="T21892" t="s">
        <v>82865</v>
      </c>
    </row>
    <row r="21893" spans="1:20" customFormat="1" ht="15" x14ac:dyDescent="0.25">
      <c r="A21893" t="s">
        <v>24</v>
      </c>
      <c r="B21893" t="s">
        <v>649</v>
      </c>
      <c r="C21893" t="str">
        <f>"204W6"</f>
        <v>204W6</v>
      </c>
      <c r="D21893" t="s">
        <v>82866</v>
      </c>
      <c r="E21893" t="s">
        <v>82867</v>
      </c>
      <c r="F21893" t="s">
        <v>82868</v>
      </c>
      <c r="G21893" t="s">
        <v>81</v>
      </c>
      <c r="H21893">
        <v>32561</v>
      </c>
      <c r="I21893" t="s">
        <v>30</v>
      </c>
      <c r="J21893" t="s">
        <v>31</v>
      </c>
      <c r="K21893" t="s">
        <v>255</v>
      </c>
      <c r="N21893" t="s">
        <v>82869</v>
      </c>
      <c r="Q21893">
        <v>0</v>
      </c>
      <c r="R21893">
        <v>117</v>
      </c>
      <c r="S21893">
        <v>0</v>
      </c>
      <c r="T21893" t="s">
        <v>82870</v>
      </c>
    </row>
    <row r="21894" spans="1:20" customFormat="1" ht="15" x14ac:dyDescent="0.25">
      <c r="A21894" t="s">
        <v>24</v>
      </c>
      <c r="B21894" t="s">
        <v>4400</v>
      </c>
      <c r="C21894" t="str">
        <f>"88AM002"</f>
        <v>88AM002</v>
      </c>
      <c r="D21894" t="s">
        <v>82871</v>
      </c>
      <c r="E21894" t="s">
        <v>82872</v>
      </c>
      <c r="F21894" t="s">
        <v>4467</v>
      </c>
      <c r="G21894" t="s">
        <v>289</v>
      </c>
      <c r="H21894">
        <v>61615</v>
      </c>
      <c r="I21894" t="s">
        <v>30</v>
      </c>
      <c r="J21894" t="s">
        <v>31</v>
      </c>
      <c r="K21894" t="s">
        <v>255</v>
      </c>
      <c r="N21894" t="s">
        <v>82873</v>
      </c>
      <c r="O21894" t="s">
        <v>82874</v>
      </c>
      <c r="Q21894">
        <v>0</v>
      </c>
      <c r="R21894">
        <v>124</v>
      </c>
      <c r="S21894">
        <v>0</v>
      </c>
      <c r="T21894" t="s">
        <v>82875</v>
      </c>
    </row>
    <row r="21895" spans="1:20" customFormat="1" ht="15" x14ac:dyDescent="0.25">
      <c r="A21895" t="s">
        <v>24</v>
      </c>
      <c r="B21895" t="s">
        <v>55997</v>
      </c>
      <c r="C21895" t="str">
        <f>"A0090695"</f>
        <v>A0090695</v>
      </c>
      <c r="D21895" t="s">
        <v>82876</v>
      </c>
      <c r="E21895" t="s">
        <v>82877</v>
      </c>
      <c r="F21895" t="s">
        <v>71486</v>
      </c>
      <c r="G21895" t="s">
        <v>103</v>
      </c>
      <c r="H21895">
        <v>19406</v>
      </c>
      <c r="I21895" t="s">
        <v>30</v>
      </c>
      <c r="J21895" t="s">
        <v>31</v>
      </c>
      <c r="K21895" t="s">
        <v>255</v>
      </c>
      <c r="N21895" t="s">
        <v>79237</v>
      </c>
      <c r="O21895" t="s">
        <v>82878</v>
      </c>
      <c r="Q21895">
        <v>0</v>
      </c>
      <c r="R21895">
        <v>131</v>
      </c>
      <c r="S21895">
        <v>0</v>
      </c>
      <c r="T21895" t="s">
        <v>82879</v>
      </c>
    </row>
    <row r="21896" spans="1:20" customFormat="1" ht="15" x14ac:dyDescent="0.25">
      <c r="A21896" t="s">
        <v>24</v>
      </c>
      <c r="B21896" t="s">
        <v>675</v>
      </c>
      <c r="C21896" t="str">
        <f>"192KY"</f>
        <v>192KY</v>
      </c>
      <c r="D21896" t="s">
        <v>82880</v>
      </c>
      <c r="E21896" t="s">
        <v>82881</v>
      </c>
      <c r="F21896" t="s">
        <v>15852</v>
      </c>
      <c r="G21896" t="s">
        <v>103</v>
      </c>
      <c r="H21896">
        <v>19090</v>
      </c>
      <c r="I21896" t="s">
        <v>30</v>
      </c>
      <c r="J21896" t="s">
        <v>31</v>
      </c>
      <c r="K21896" t="s">
        <v>255</v>
      </c>
      <c r="Q21896">
        <v>0</v>
      </c>
      <c r="R21896">
        <v>155</v>
      </c>
      <c r="S21896">
        <v>0</v>
      </c>
      <c r="T21896" t="s">
        <v>82882</v>
      </c>
    </row>
    <row r="21897" spans="1:20" customFormat="1" ht="15" x14ac:dyDescent="0.25">
      <c r="A21897" t="s">
        <v>24</v>
      </c>
      <c r="B21897" t="s">
        <v>65372</v>
      </c>
      <c r="C21897" t="str">
        <f>"202KL"</f>
        <v>202KL</v>
      </c>
      <c r="D21897" t="s">
        <v>82883</v>
      </c>
      <c r="E21897" t="s">
        <v>82884</v>
      </c>
      <c r="F21897" t="s">
        <v>196</v>
      </c>
      <c r="G21897" t="s">
        <v>197</v>
      </c>
      <c r="H21897">
        <v>85006</v>
      </c>
      <c r="I21897" t="s">
        <v>30</v>
      </c>
      <c r="J21897" t="s">
        <v>31</v>
      </c>
      <c r="K21897" t="s">
        <v>255</v>
      </c>
      <c r="N21897" t="s">
        <v>82885</v>
      </c>
      <c r="O21897" t="s">
        <v>82886</v>
      </c>
      <c r="Q21897">
        <v>0</v>
      </c>
      <c r="R21897">
        <v>122</v>
      </c>
      <c r="S21897">
        <v>0</v>
      </c>
      <c r="T21897" t="s">
        <v>82887</v>
      </c>
    </row>
    <row r="21898" spans="1:20" customFormat="1" ht="15" x14ac:dyDescent="0.25">
      <c r="A21898" t="s">
        <v>24</v>
      </c>
      <c r="B21898" t="s">
        <v>65372</v>
      </c>
      <c r="C21898" t="str">
        <f>"202JM"</f>
        <v>202JM</v>
      </c>
      <c r="D21898" t="s">
        <v>82888</v>
      </c>
      <c r="E21898" t="s">
        <v>82889</v>
      </c>
      <c r="F21898" t="s">
        <v>5518</v>
      </c>
      <c r="G21898" t="s">
        <v>197</v>
      </c>
      <c r="H21898">
        <v>85308</v>
      </c>
      <c r="I21898" t="s">
        <v>30</v>
      </c>
      <c r="J21898" t="s">
        <v>31</v>
      </c>
      <c r="K21898" t="s">
        <v>255</v>
      </c>
      <c r="N21898" t="s">
        <v>82890</v>
      </c>
      <c r="Q21898">
        <v>0</v>
      </c>
      <c r="R21898">
        <v>89</v>
      </c>
      <c r="S21898">
        <v>0</v>
      </c>
      <c r="T21898" t="s">
        <v>82891</v>
      </c>
    </row>
    <row r="21899" spans="1:20" customFormat="1" ht="15" x14ac:dyDescent="0.25">
      <c r="A21899" t="s">
        <v>24</v>
      </c>
      <c r="B21899" t="s">
        <v>65372</v>
      </c>
      <c r="C21899" t="str">
        <f>"202EP"</f>
        <v>202EP</v>
      </c>
      <c r="D21899" t="s">
        <v>82892</v>
      </c>
      <c r="E21899" t="s">
        <v>82893</v>
      </c>
      <c r="F21899" t="s">
        <v>1592</v>
      </c>
      <c r="G21899" t="s">
        <v>197</v>
      </c>
      <c r="H21899">
        <v>85281</v>
      </c>
      <c r="I21899" t="s">
        <v>30</v>
      </c>
      <c r="J21899" t="s">
        <v>31</v>
      </c>
      <c r="K21899" t="s">
        <v>255</v>
      </c>
      <c r="N21899" t="s">
        <v>82894</v>
      </c>
      <c r="Q21899">
        <v>0</v>
      </c>
      <c r="R21899">
        <v>99</v>
      </c>
      <c r="S21899">
        <v>0</v>
      </c>
      <c r="T21899" t="s">
        <v>82895</v>
      </c>
    </row>
    <row r="21900" spans="1:20" customFormat="1" ht="15" x14ac:dyDescent="0.25">
      <c r="A21900" t="s">
        <v>24</v>
      </c>
      <c r="B21900" t="s">
        <v>7405</v>
      </c>
      <c r="C21900" t="str">
        <f>"A0074739"</f>
        <v>A0074739</v>
      </c>
      <c r="D21900" t="s">
        <v>82896</v>
      </c>
      <c r="E21900" t="s">
        <v>82897</v>
      </c>
      <c r="F21900" t="s">
        <v>102</v>
      </c>
      <c r="G21900" t="s">
        <v>103</v>
      </c>
      <c r="H21900">
        <v>15212</v>
      </c>
      <c r="I21900" t="s">
        <v>30</v>
      </c>
      <c r="J21900" t="s">
        <v>31</v>
      </c>
      <c r="K21900" t="s">
        <v>255</v>
      </c>
      <c r="N21900" t="s">
        <v>82898</v>
      </c>
      <c r="O21900" t="s">
        <v>82899</v>
      </c>
      <c r="Q21900">
        <v>0</v>
      </c>
      <c r="R21900">
        <v>198</v>
      </c>
      <c r="S21900">
        <v>0</v>
      </c>
      <c r="T21900" t="s">
        <v>82900</v>
      </c>
    </row>
    <row r="21901" spans="1:20" customFormat="1" ht="15" x14ac:dyDescent="0.25">
      <c r="A21901" t="s">
        <v>24</v>
      </c>
      <c r="B21901" t="s">
        <v>2340</v>
      </c>
      <c r="C21901" t="str">
        <f>"A0089432"</f>
        <v>A0089432</v>
      </c>
      <c r="D21901" t="s">
        <v>82901</v>
      </c>
      <c r="E21901" t="s">
        <v>82902</v>
      </c>
      <c r="F21901" t="s">
        <v>2511</v>
      </c>
      <c r="G21901" t="s">
        <v>29</v>
      </c>
      <c r="H21901">
        <v>22192</v>
      </c>
      <c r="I21901" t="s">
        <v>30</v>
      </c>
      <c r="J21901" t="s">
        <v>31</v>
      </c>
      <c r="K21901" t="s">
        <v>255</v>
      </c>
      <c r="N21901" t="s">
        <v>82903</v>
      </c>
      <c r="Q21901">
        <v>0</v>
      </c>
      <c r="R21901">
        <v>98</v>
      </c>
      <c r="S21901">
        <v>0</v>
      </c>
      <c r="T21901" t="s">
        <v>82904</v>
      </c>
    </row>
    <row r="21902" spans="1:20" customFormat="1" ht="15" x14ac:dyDescent="0.25">
      <c r="A21902" t="s">
        <v>24</v>
      </c>
      <c r="B21902" t="s">
        <v>3159</v>
      </c>
      <c r="C21902" t="str">
        <f>"A0083927"</f>
        <v>A0083927</v>
      </c>
      <c r="D21902" t="s">
        <v>82905</v>
      </c>
      <c r="E21902" t="s">
        <v>82906</v>
      </c>
      <c r="F21902" t="s">
        <v>38427</v>
      </c>
      <c r="G21902" t="s">
        <v>123</v>
      </c>
      <c r="H21902">
        <v>20678</v>
      </c>
      <c r="I21902" t="s">
        <v>30</v>
      </c>
      <c r="J21902" t="s">
        <v>31</v>
      </c>
      <c r="K21902" t="s">
        <v>255</v>
      </c>
      <c r="N21902" t="s">
        <v>82907</v>
      </c>
      <c r="Q21902">
        <v>0</v>
      </c>
      <c r="R21902">
        <v>87</v>
      </c>
      <c r="S21902">
        <v>0</v>
      </c>
      <c r="T21902" t="s">
        <v>82908</v>
      </c>
    </row>
    <row r="21903" spans="1:20" customFormat="1" ht="15" x14ac:dyDescent="0.25">
      <c r="A21903" t="s">
        <v>24</v>
      </c>
      <c r="B21903" t="s">
        <v>675</v>
      </c>
      <c r="C21903" t="str">
        <f>"192KF"</f>
        <v>192KF</v>
      </c>
      <c r="D21903" t="s">
        <v>82909</v>
      </c>
      <c r="E21903" t="s">
        <v>82910</v>
      </c>
      <c r="F21903" t="s">
        <v>8935</v>
      </c>
      <c r="G21903" t="s">
        <v>214</v>
      </c>
      <c r="H21903">
        <v>27703</v>
      </c>
      <c r="I21903" t="s">
        <v>30</v>
      </c>
      <c r="J21903" t="s">
        <v>31</v>
      </c>
      <c r="K21903" t="s">
        <v>255</v>
      </c>
      <c r="N21903" t="s">
        <v>82911</v>
      </c>
      <c r="O21903" t="s">
        <v>82912</v>
      </c>
      <c r="Q21903">
        <v>0</v>
      </c>
      <c r="R21903">
        <v>120</v>
      </c>
      <c r="S21903">
        <v>0</v>
      </c>
      <c r="T21903" t="s">
        <v>82913</v>
      </c>
    </row>
    <row r="21904" spans="1:20" customFormat="1" ht="15" x14ac:dyDescent="0.25">
      <c r="A21904" t="s">
        <v>24</v>
      </c>
      <c r="B21904" t="s">
        <v>65730</v>
      </c>
      <c r="C21904" t="str">
        <f>"A0088324"</f>
        <v>A0088324</v>
      </c>
      <c r="D21904" t="s">
        <v>82914</v>
      </c>
      <c r="E21904" t="s">
        <v>82915</v>
      </c>
      <c r="F21904" t="s">
        <v>82916</v>
      </c>
      <c r="G21904" t="s">
        <v>433</v>
      </c>
      <c r="H21904">
        <v>83440</v>
      </c>
      <c r="I21904" t="s">
        <v>30</v>
      </c>
      <c r="J21904" t="s">
        <v>31</v>
      </c>
      <c r="K21904" t="s">
        <v>255</v>
      </c>
      <c r="N21904" t="s">
        <v>82917</v>
      </c>
      <c r="Q21904">
        <v>0</v>
      </c>
      <c r="R21904">
        <v>97</v>
      </c>
      <c r="S21904">
        <v>0</v>
      </c>
      <c r="T21904" t="s">
        <v>82918</v>
      </c>
    </row>
    <row r="21905" spans="1:20" customFormat="1" ht="15" x14ac:dyDescent="0.25">
      <c r="A21905" t="s">
        <v>24</v>
      </c>
      <c r="B21905" t="s">
        <v>342</v>
      </c>
      <c r="C21905" t="str">
        <f>"A0085990"</f>
        <v>A0085990</v>
      </c>
      <c r="D21905" t="s">
        <v>82919</v>
      </c>
      <c r="E21905" t="s">
        <v>82920</v>
      </c>
      <c r="F21905" t="s">
        <v>1795</v>
      </c>
      <c r="G21905" t="s">
        <v>29</v>
      </c>
      <c r="H21905">
        <v>23233</v>
      </c>
      <c r="I21905" t="s">
        <v>30</v>
      </c>
      <c r="J21905" t="s">
        <v>31</v>
      </c>
      <c r="K21905" t="s">
        <v>255</v>
      </c>
      <c r="N21905" t="s">
        <v>82921</v>
      </c>
      <c r="Q21905">
        <v>0</v>
      </c>
      <c r="R21905">
        <v>103</v>
      </c>
      <c r="S21905">
        <v>0</v>
      </c>
      <c r="T21905" t="s">
        <v>82922</v>
      </c>
    </row>
    <row r="21906" spans="1:20" customFormat="1" ht="15" x14ac:dyDescent="0.25">
      <c r="A21906" t="s">
        <v>24</v>
      </c>
      <c r="B21906" t="s">
        <v>1561</v>
      </c>
      <c r="C21906" t="str">
        <f>"192KJ"</f>
        <v>192KJ</v>
      </c>
      <c r="D21906" t="s">
        <v>82923</v>
      </c>
      <c r="E21906" t="s">
        <v>82924</v>
      </c>
      <c r="F21906" t="s">
        <v>16350</v>
      </c>
      <c r="G21906" t="s">
        <v>29</v>
      </c>
      <c r="H21906">
        <v>23059</v>
      </c>
      <c r="I21906" t="s">
        <v>30</v>
      </c>
      <c r="J21906" t="s">
        <v>31</v>
      </c>
      <c r="K21906" t="s">
        <v>255</v>
      </c>
      <c r="N21906" t="s">
        <v>82925</v>
      </c>
      <c r="O21906" t="s">
        <v>82926</v>
      </c>
      <c r="Q21906">
        <v>0</v>
      </c>
      <c r="R21906">
        <v>136</v>
      </c>
      <c r="S21906">
        <v>0</v>
      </c>
      <c r="T21906" t="s">
        <v>82927</v>
      </c>
    </row>
    <row r="21907" spans="1:20" customFormat="1" ht="15" x14ac:dyDescent="0.25">
      <c r="A21907" t="s">
        <v>24</v>
      </c>
      <c r="B21907" t="s">
        <v>79587</v>
      </c>
      <c r="C21907" t="str">
        <f>"A0089703"</f>
        <v>A0089703</v>
      </c>
      <c r="D21907" t="s">
        <v>82928</v>
      </c>
      <c r="E21907" t="s">
        <v>82929</v>
      </c>
      <c r="F21907" t="s">
        <v>82930</v>
      </c>
      <c r="G21907" t="s">
        <v>103</v>
      </c>
      <c r="H21907">
        <v>19078</v>
      </c>
      <c r="I21907" t="s">
        <v>30</v>
      </c>
      <c r="J21907" t="s">
        <v>31</v>
      </c>
      <c r="K21907" t="s">
        <v>255</v>
      </c>
      <c r="N21907" t="s">
        <v>82931</v>
      </c>
      <c r="Q21907">
        <v>0</v>
      </c>
      <c r="R21907">
        <v>130</v>
      </c>
      <c r="S21907">
        <v>0</v>
      </c>
      <c r="T21907" t="s">
        <v>82932</v>
      </c>
    </row>
    <row r="21908" spans="1:20" customFormat="1" ht="15" x14ac:dyDescent="0.25">
      <c r="A21908" t="s">
        <v>24</v>
      </c>
      <c r="B21908" t="s">
        <v>1138</v>
      </c>
      <c r="C21908" t="str">
        <f>"A0087703"</f>
        <v>A0087703</v>
      </c>
      <c r="D21908" t="s">
        <v>82933</v>
      </c>
      <c r="E21908" t="s">
        <v>82934</v>
      </c>
      <c r="F21908" t="s">
        <v>686</v>
      </c>
      <c r="G21908" t="s">
        <v>110</v>
      </c>
      <c r="H21908">
        <v>91762</v>
      </c>
      <c r="I21908" t="s">
        <v>30</v>
      </c>
      <c r="J21908" t="s">
        <v>31</v>
      </c>
      <c r="K21908" t="s">
        <v>255</v>
      </c>
      <c r="N21908" t="s">
        <v>82935</v>
      </c>
      <c r="Q21908">
        <v>0</v>
      </c>
      <c r="R21908">
        <v>126</v>
      </c>
      <c r="S21908">
        <v>0</v>
      </c>
      <c r="T21908" t="s">
        <v>82936</v>
      </c>
    </row>
    <row r="21909" spans="1:20" customFormat="1" ht="15" x14ac:dyDescent="0.25">
      <c r="A21909" t="s">
        <v>24</v>
      </c>
      <c r="B21909" t="s">
        <v>5537</v>
      </c>
      <c r="C21909" t="str">
        <f>"A0095406"</f>
        <v>A0095406</v>
      </c>
      <c r="D21909" t="s">
        <v>82937</v>
      </c>
      <c r="E21909" t="s">
        <v>82938</v>
      </c>
      <c r="F21909" t="s">
        <v>6830</v>
      </c>
      <c r="G21909" t="s">
        <v>29</v>
      </c>
      <c r="H21909">
        <v>24016</v>
      </c>
      <c r="I21909" t="s">
        <v>30</v>
      </c>
      <c r="J21909" t="s">
        <v>31</v>
      </c>
      <c r="K21909" t="s">
        <v>255</v>
      </c>
      <c r="N21909" t="s">
        <v>82939</v>
      </c>
      <c r="Q21909">
        <v>0</v>
      </c>
      <c r="R21909">
        <v>127</v>
      </c>
      <c r="S21909">
        <v>0</v>
      </c>
      <c r="T21909" t="s">
        <v>82940</v>
      </c>
    </row>
    <row r="21910" spans="1:20" customFormat="1" ht="15" x14ac:dyDescent="0.25">
      <c r="A21910" t="s">
        <v>24</v>
      </c>
      <c r="B21910" t="s">
        <v>1138</v>
      </c>
      <c r="C21910" t="str">
        <f>"A0085999"</f>
        <v>A0085999</v>
      </c>
      <c r="D21910" t="s">
        <v>82941</v>
      </c>
      <c r="E21910" t="s">
        <v>82942</v>
      </c>
      <c r="F21910" t="s">
        <v>67686</v>
      </c>
      <c r="G21910" t="s">
        <v>110</v>
      </c>
      <c r="H21910">
        <v>95678</v>
      </c>
      <c r="I21910" t="s">
        <v>30</v>
      </c>
      <c r="J21910" t="s">
        <v>31</v>
      </c>
      <c r="K21910" t="s">
        <v>255</v>
      </c>
      <c r="N21910" t="s">
        <v>82943</v>
      </c>
      <c r="Q21910">
        <v>0</v>
      </c>
      <c r="R21910">
        <v>124</v>
      </c>
      <c r="S21910">
        <v>0</v>
      </c>
      <c r="T21910" t="s">
        <v>82944</v>
      </c>
    </row>
    <row r="21911" spans="1:20" customFormat="1" ht="15" x14ac:dyDescent="0.25">
      <c r="A21911" t="s">
        <v>24</v>
      </c>
      <c r="B21911" t="s">
        <v>4459</v>
      </c>
      <c r="C21911" t="str">
        <f>"A0074140"</f>
        <v>A0074140</v>
      </c>
      <c r="D21911" t="s">
        <v>82945</v>
      </c>
      <c r="E21911" t="s">
        <v>82946</v>
      </c>
      <c r="F21911" t="s">
        <v>3517</v>
      </c>
      <c r="G21911" t="s">
        <v>110</v>
      </c>
      <c r="H21911">
        <v>95833</v>
      </c>
      <c r="I21911" t="s">
        <v>30</v>
      </c>
      <c r="J21911" t="s">
        <v>31</v>
      </c>
      <c r="K21911" t="s">
        <v>255</v>
      </c>
      <c r="N21911" t="s">
        <v>82947</v>
      </c>
      <c r="Q21911">
        <v>0</v>
      </c>
      <c r="R21911">
        <v>95</v>
      </c>
      <c r="S21911">
        <v>0</v>
      </c>
      <c r="T21911" t="s">
        <v>82948</v>
      </c>
    </row>
    <row r="21912" spans="1:20" customFormat="1" ht="15" x14ac:dyDescent="0.25">
      <c r="A21912" t="s">
        <v>24</v>
      </c>
      <c r="B21912" t="s">
        <v>64941</v>
      </c>
      <c r="C21912" t="str">
        <f>"A0087572"</f>
        <v>A0087572</v>
      </c>
      <c r="D21912" t="s">
        <v>82949</v>
      </c>
      <c r="E21912" t="s">
        <v>82950</v>
      </c>
      <c r="F21912" t="s">
        <v>1775</v>
      </c>
      <c r="G21912" t="s">
        <v>117</v>
      </c>
      <c r="H21912">
        <v>48604</v>
      </c>
      <c r="I21912" t="s">
        <v>30</v>
      </c>
      <c r="J21912" t="s">
        <v>31</v>
      </c>
      <c r="K21912" t="s">
        <v>255</v>
      </c>
      <c r="N21912" t="s">
        <v>82951</v>
      </c>
      <c r="Q21912">
        <v>0</v>
      </c>
      <c r="R21912">
        <v>79</v>
      </c>
      <c r="S21912">
        <v>0</v>
      </c>
      <c r="T21912" t="s">
        <v>82952</v>
      </c>
    </row>
    <row r="21913" spans="1:20" customFormat="1" ht="15" x14ac:dyDescent="0.25">
      <c r="A21913" t="s">
        <v>24</v>
      </c>
      <c r="B21913" t="s">
        <v>1020</v>
      </c>
      <c r="C21913" t="str">
        <f>"A0087406"</f>
        <v>A0087406</v>
      </c>
      <c r="D21913" t="s">
        <v>82953</v>
      </c>
      <c r="E21913" t="s">
        <v>82954</v>
      </c>
      <c r="F21913" t="s">
        <v>4541</v>
      </c>
      <c r="G21913" t="s">
        <v>153</v>
      </c>
      <c r="H21913">
        <v>84116</v>
      </c>
      <c r="I21913" t="s">
        <v>30</v>
      </c>
      <c r="J21913" t="s">
        <v>31</v>
      </c>
      <c r="K21913" t="s">
        <v>255</v>
      </c>
      <c r="N21913" t="s">
        <v>82955</v>
      </c>
      <c r="Q21913">
        <v>0</v>
      </c>
      <c r="R21913">
        <v>143</v>
      </c>
      <c r="S21913">
        <v>0</v>
      </c>
      <c r="T21913" t="s">
        <v>82956</v>
      </c>
    </row>
    <row r="21914" spans="1:20" customFormat="1" ht="15" x14ac:dyDescent="0.25">
      <c r="A21914" t="s">
        <v>24</v>
      </c>
      <c r="B21914" t="s">
        <v>82957</v>
      </c>
      <c r="C21914" t="str">
        <f>"A0078606"</f>
        <v>A0078606</v>
      </c>
      <c r="D21914" t="s">
        <v>82958</v>
      </c>
      <c r="E21914" t="s">
        <v>82959</v>
      </c>
      <c r="F21914" t="s">
        <v>7267</v>
      </c>
      <c r="G21914" t="s">
        <v>153</v>
      </c>
      <c r="H21914">
        <v>84101</v>
      </c>
      <c r="I21914" t="s">
        <v>30</v>
      </c>
      <c r="J21914" t="s">
        <v>31</v>
      </c>
      <c r="K21914" t="s">
        <v>255</v>
      </c>
      <c r="N21914" t="s">
        <v>82960</v>
      </c>
      <c r="Q21914">
        <v>0</v>
      </c>
      <c r="R21914">
        <v>86</v>
      </c>
      <c r="S21914">
        <v>0</v>
      </c>
      <c r="T21914" t="s">
        <v>82961</v>
      </c>
    </row>
    <row r="21915" spans="1:20" customFormat="1" ht="15" x14ac:dyDescent="0.25">
      <c r="A21915" t="s">
        <v>24</v>
      </c>
      <c r="B21915" t="s">
        <v>72934</v>
      </c>
      <c r="C21915" t="str">
        <f>"A0098826"</f>
        <v>A0098826</v>
      </c>
      <c r="D21915" t="s">
        <v>82962</v>
      </c>
      <c r="E21915" t="s">
        <v>82963</v>
      </c>
      <c r="F21915" t="s">
        <v>71638</v>
      </c>
      <c r="G21915" t="s">
        <v>153</v>
      </c>
      <c r="H21915">
        <v>84095</v>
      </c>
      <c r="I21915" t="s">
        <v>30</v>
      </c>
      <c r="J21915" t="s">
        <v>31</v>
      </c>
      <c r="K21915" t="s">
        <v>255</v>
      </c>
      <c r="N21915" t="s">
        <v>82964</v>
      </c>
      <c r="O21915" t="s">
        <v>82965</v>
      </c>
      <c r="Q21915">
        <v>0</v>
      </c>
      <c r="R21915">
        <v>111</v>
      </c>
      <c r="S21915">
        <v>0</v>
      </c>
      <c r="T21915" t="s">
        <v>82966</v>
      </c>
    </row>
    <row r="21916" spans="1:20" customFormat="1" ht="15" x14ac:dyDescent="0.25">
      <c r="A21916" t="s">
        <v>24</v>
      </c>
      <c r="B21916" t="s">
        <v>65471</v>
      </c>
      <c r="C21916" t="str">
        <f>"A0090016"</f>
        <v>A0090016</v>
      </c>
      <c r="D21916" t="s">
        <v>82967</v>
      </c>
      <c r="E21916" t="s">
        <v>82968</v>
      </c>
      <c r="F21916" t="s">
        <v>356</v>
      </c>
      <c r="G21916" t="s">
        <v>52</v>
      </c>
      <c r="H21916">
        <v>78205</v>
      </c>
      <c r="I21916" t="s">
        <v>30</v>
      </c>
      <c r="J21916" t="s">
        <v>31</v>
      </c>
      <c r="K21916" t="s">
        <v>255</v>
      </c>
      <c r="N21916" t="s">
        <v>65474</v>
      </c>
      <c r="Q21916">
        <v>0</v>
      </c>
      <c r="R21916">
        <v>118</v>
      </c>
      <c r="S21916">
        <v>0</v>
      </c>
      <c r="T21916" t="s">
        <v>82969</v>
      </c>
    </row>
    <row r="21917" spans="1:20" customFormat="1" ht="15" x14ac:dyDescent="0.25">
      <c r="A21917" t="s">
        <v>24</v>
      </c>
      <c r="B21917" t="s">
        <v>70497</v>
      </c>
      <c r="C21917" t="str">
        <f>"A0095929"</f>
        <v>A0095929</v>
      </c>
      <c r="D21917" t="s">
        <v>82970</v>
      </c>
      <c r="E21917" t="s">
        <v>82971</v>
      </c>
      <c r="F21917" t="s">
        <v>356</v>
      </c>
      <c r="G21917" t="s">
        <v>52</v>
      </c>
      <c r="H21917">
        <v>78257</v>
      </c>
      <c r="I21917" t="s">
        <v>30</v>
      </c>
      <c r="J21917" t="s">
        <v>31</v>
      </c>
      <c r="K21917" t="s">
        <v>255</v>
      </c>
      <c r="N21917" t="s">
        <v>82972</v>
      </c>
      <c r="Q21917">
        <v>0</v>
      </c>
      <c r="R21917">
        <v>128</v>
      </c>
      <c r="S21917">
        <v>0</v>
      </c>
      <c r="T21917" t="s">
        <v>82973</v>
      </c>
    </row>
    <row r="21918" spans="1:20" customFormat="1" ht="15" x14ac:dyDescent="0.25">
      <c r="A21918" t="s">
        <v>24</v>
      </c>
      <c r="B21918" t="s">
        <v>675</v>
      </c>
      <c r="C21918" t="str">
        <f>"A0095251"</f>
        <v>A0095251</v>
      </c>
      <c r="D21918" t="s">
        <v>82974</v>
      </c>
      <c r="E21918" t="s">
        <v>79781</v>
      </c>
      <c r="F21918" t="s">
        <v>2978</v>
      </c>
      <c r="G21918" t="s">
        <v>110</v>
      </c>
      <c r="H21918">
        <v>92101</v>
      </c>
      <c r="I21918" t="s">
        <v>30</v>
      </c>
      <c r="J21918" t="s">
        <v>31</v>
      </c>
      <c r="K21918" t="s">
        <v>255</v>
      </c>
      <c r="N21918" t="s">
        <v>82975</v>
      </c>
      <c r="O21918" t="s">
        <v>79782</v>
      </c>
      <c r="Q21918">
        <v>0</v>
      </c>
      <c r="R21918">
        <v>253</v>
      </c>
      <c r="S21918">
        <v>0</v>
      </c>
      <c r="T21918" t="s">
        <v>82976</v>
      </c>
    </row>
    <row r="21919" spans="1:20" customFormat="1" ht="15" x14ac:dyDescent="0.25">
      <c r="A21919" t="s">
        <v>24</v>
      </c>
      <c r="B21919" t="s">
        <v>82629</v>
      </c>
      <c r="C21919" t="str">
        <f>"A0083396"</f>
        <v>A0083396</v>
      </c>
      <c r="D21919" t="s">
        <v>82977</v>
      </c>
      <c r="E21919" t="s">
        <v>82978</v>
      </c>
      <c r="F21919" t="s">
        <v>7801</v>
      </c>
      <c r="G21919" t="s">
        <v>846</v>
      </c>
      <c r="H21919">
        <v>31408</v>
      </c>
      <c r="I21919" t="s">
        <v>30</v>
      </c>
      <c r="J21919" t="s">
        <v>31</v>
      </c>
      <c r="K21919" t="s">
        <v>255</v>
      </c>
      <c r="N21919" t="s">
        <v>82633</v>
      </c>
      <c r="O21919" t="s">
        <v>82979</v>
      </c>
      <c r="Q21919">
        <v>0</v>
      </c>
      <c r="R21919">
        <v>93</v>
      </c>
      <c r="S21919">
        <v>0</v>
      </c>
      <c r="T21919" t="s">
        <v>82980</v>
      </c>
    </row>
    <row r="21920" spans="1:20" customFormat="1" ht="15" x14ac:dyDescent="0.25">
      <c r="A21920" t="s">
        <v>24</v>
      </c>
      <c r="B21920" t="s">
        <v>2528</v>
      </c>
      <c r="C21920" t="str">
        <f>"A0088365"</f>
        <v>A0088365</v>
      </c>
      <c r="D21920" t="s">
        <v>82981</v>
      </c>
      <c r="E21920" t="s">
        <v>82982</v>
      </c>
      <c r="F21920" t="s">
        <v>2839</v>
      </c>
      <c r="G21920" t="s">
        <v>846</v>
      </c>
      <c r="H21920">
        <v>31401</v>
      </c>
      <c r="I21920" t="s">
        <v>30</v>
      </c>
      <c r="J21920" t="s">
        <v>31</v>
      </c>
      <c r="K21920" t="s">
        <v>255</v>
      </c>
      <c r="N21920" t="s">
        <v>82983</v>
      </c>
      <c r="Q21920">
        <v>0</v>
      </c>
      <c r="R21920">
        <v>160</v>
      </c>
      <c r="S21920">
        <v>0</v>
      </c>
      <c r="T21920" t="s">
        <v>82984</v>
      </c>
    </row>
    <row r="21921" spans="1:20" customFormat="1" ht="15" x14ac:dyDescent="0.25">
      <c r="A21921" t="s">
        <v>24</v>
      </c>
      <c r="B21921" t="s">
        <v>4400</v>
      </c>
      <c r="C21921" t="str">
        <f>"A0091533"</f>
        <v>A0091533</v>
      </c>
      <c r="D21921" t="s">
        <v>82985</v>
      </c>
      <c r="E21921" t="s">
        <v>82986</v>
      </c>
      <c r="F21921" t="s">
        <v>9340</v>
      </c>
      <c r="G21921" t="s">
        <v>103</v>
      </c>
      <c r="H21921">
        <v>18507</v>
      </c>
      <c r="I21921" t="s">
        <v>30</v>
      </c>
      <c r="J21921" t="s">
        <v>31</v>
      </c>
      <c r="K21921" t="s">
        <v>255</v>
      </c>
      <c r="N21921" t="s">
        <v>61809</v>
      </c>
      <c r="Q21921">
        <v>0</v>
      </c>
      <c r="R21921">
        <v>102</v>
      </c>
      <c r="S21921">
        <v>0</v>
      </c>
      <c r="T21921" t="s">
        <v>82987</v>
      </c>
    </row>
    <row r="21922" spans="1:20" customFormat="1" ht="15" x14ac:dyDescent="0.25">
      <c r="A21922" t="s">
        <v>24</v>
      </c>
      <c r="B21922" t="s">
        <v>4400</v>
      </c>
      <c r="C21922" t="str">
        <f>"A0088831"</f>
        <v>A0088831</v>
      </c>
      <c r="D21922" t="s">
        <v>82988</v>
      </c>
      <c r="E21922" t="s">
        <v>82989</v>
      </c>
      <c r="F21922" t="s">
        <v>356</v>
      </c>
      <c r="G21922" t="s">
        <v>52</v>
      </c>
      <c r="H21922">
        <v>78245</v>
      </c>
      <c r="I21922" t="s">
        <v>30</v>
      </c>
      <c r="J21922" t="s">
        <v>31</v>
      </c>
      <c r="K21922" t="s">
        <v>255</v>
      </c>
      <c r="N21922" t="s">
        <v>82990</v>
      </c>
      <c r="Q21922">
        <v>0</v>
      </c>
      <c r="R21922">
        <v>116</v>
      </c>
      <c r="S21922">
        <v>0</v>
      </c>
      <c r="T21922" t="s">
        <v>82991</v>
      </c>
    </row>
    <row r="21923" spans="1:20" customFormat="1" ht="15" x14ac:dyDescent="0.25">
      <c r="A21923" t="s">
        <v>24</v>
      </c>
      <c r="B21923" t="s">
        <v>4990</v>
      </c>
      <c r="C21923" t="str">
        <f>"A0089489"</f>
        <v>A0089489</v>
      </c>
      <c r="D21923" t="s">
        <v>82992</v>
      </c>
      <c r="E21923" t="s">
        <v>82993</v>
      </c>
      <c r="F21923" t="s">
        <v>59754</v>
      </c>
      <c r="G21923" t="s">
        <v>1170</v>
      </c>
      <c r="H21923">
        <v>71111</v>
      </c>
      <c r="I21923" t="s">
        <v>30</v>
      </c>
      <c r="J21923" t="s">
        <v>31</v>
      </c>
      <c r="K21923" t="s">
        <v>255</v>
      </c>
      <c r="N21923" t="s">
        <v>82994</v>
      </c>
      <c r="O21923" t="s">
        <v>82995</v>
      </c>
      <c r="Q21923">
        <v>0</v>
      </c>
      <c r="R21923">
        <v>150</v>
      </c>
      <c r="S21923">
        <v>0</v>
      </c>
      <c r="T21923" t="s">
        <v>82996</v>
      </c>
    </row>
    <row r="21924" spans="1:20" customFormat="1" ht="15" x14ac:dyDescent="0.25">
      <c r="A21924" t="s">
        <v>24</v>
      </c>
      <c r="B21924" t="s">
        <v>2368</v>
      </c>
      <c r="C21924" t="str">
        <f>"A0093974"</f>
        <v>A0093974</v>
      </c>
      <c r="D21924" t="s">
        <v>82997</v>
      </c>
      <c r="E21924" t="s">
        <v>79918</v>
      </c>
      <c r="F21924" t="s">
        <v>4802</v>
      </c>
      <c r="G21924" t="s">
        <v>110</v>
      </c>
      <c r="H21924">
        <v>95110</v>
      </c>
      <c r="I21924" t="s">
        <v>30</v>
      </c>
      <c r="J21924" t="s">
        <v>31</v>
      </c>
      <c r="K21924" t="s">
        <v>255</v>
      </c>
      <c r="N21924" t="s">
        <v>79920</v>
      </c>
      <c r="Q21924">
        <v>0</v>
      </c>
      <c r="R21924">
        <v>146</v>
      </c>
      <c r="S21924">
        <v>0</v>
      </c>
      <c r="T21924" t="s">
        <v>82998</v>
      </c>
    </row>
    <row r="21925" spans="1:20" customFormat="1" ht="15" x14ac:dyDescent="0.25">
      <c r="A21925" t="s">
        <v>24</v>
      </c>
      <c r="B21925" t="s">
        <v>82999</v>
      </c>
      <c r="C21925" t="str">
        <f>"204YC"</f>
        <v>204YC</v>
      </c>
      <c r="D21925" t="s">
        <v>83000</v>
      </c>
      <c r="E21925" t="s">
        <v>83001</v>
      </c>
      <c r="F21925" t="s">
        <v>61889</v>
      </c>
      <c r="G21925" t="s">
        <v>381</v>
      </c>
      <c r="H21925">
        <v>46545</v>
      </c>
      <c r="I21925" t="s">
        <v>30</v>
      </c>
      <c r="J21925" t="s">
        <v>31</v>
      </c>
      <c r="K21925" t="s">
        <v>255</v>
      </c>
      <c r="N21925" t="s">
        <v>61890</v>
      </c>
      <c r="Q21925">
        <v>0</v>
      </c>
      <c r="R21925">
        <v>87</v>
      </c>
      <c r="S21925">
        <v>0</v>
      </c>
      <c r="T21925" t="s">
        <v>83002</v>
      </c>
    </row>
    <row r="21926" spans="1:20" customFormat="1" ht="15" x14ac:dyDescent="0.25">
      <c r="A21926" t="s">
        <v>24</v>
      </c>
      <c r="B21926" t="s">
        <v>8405</v>
      </c>
      <c r="C21926" t="str">
        <f>"A0155877"</f>
        <v>A0155877</v>
      </c>
      <c r="D21926" t="s">
        <v>83003</v>
      </c>
      <c r="E21926" t="s">
        <v>83004</v>
      </c>
      <c r="F21926" t="s">
        <v>55882</v>
      </c>
      <c r="G21926" t="s">
        <v>381</v>
      </c>
      <c r="H21926">
        <v>46637</v>
      </c>
      <c r="I21926" t="s">
        <v>30</v>
      </c>
      <c r="J21926" t="s">
        <v>31</v>
      </c>
      <c r="K21926" t="s">
        <v>255</v>
      </c>
      <c r="N21926" t="s">
        <v>83005</v>
      </c>
      <c r="Q21926">
        <v>0</v>
      </c>
      <c r="R21926">
        <v>92</v>
      </c>
      <c r="S21926">
        <v>0</v>
      </c>
      <c r="T21926" t="s">
        <v>83006</v>
      </c>
    </row>
    <row r="21927" spans="1:20" customFormat="1" ht="15" x14ac:dyDescent="0.25">
      <c r="A21927" t="s">
        <v>24</v>
      </c>
      <c r="B21927" t="s">
        <v>1138</v>
      </c>
      <c r="C21927" t="str">
        <f>"A0154355"</f>
        <v>A0154355</v>
      </c>
      <c r="D21927" t="s">
        <v>83007</v>
      </c>
      <c r="E21927" t="s">
        <v>83008</v>
      </c>
      <c r="F21927" t="s">
        <v>57876</v>
      </c>
      <c r="G21927" t="s">
        <v>76</v>
      </c>
      <c r="H21927">
        <v>99224</v>
      </c>
      <c r="I21927" t="s">
        <v>30</v>
      </c>
      <c r="J21927" t="s">
        <v>31</v>
      </c>
      <c r="K21927" t="s">
        <v>255</v>
      </c>
      <c r="N21927" t="s">
        <v>83009</v>
      </c>
      <c r="Q21927">
        <v>0</v>
      </c>
      <c r="R21927">
        <v>109</v>
      </c>
      <c r="S21927">
        <v>0</v>
      </c>
      <c r="T21927" t="s">
        <v>83010</v>
      </c>
    </row>
    <row r="21928" spans="1:20" customFormat="1" ht="15" x14ac:dyDescent="0.25">
      <c r="A21928" t="s">
        <v>24</v>
      </c>
      <c r="B21928" t="s">
        <v>5589</v>
      </c>
      <c r="C21928" t="str">
        <f>"A0154246"</f>
        <v>A0154246</v>
      </c>
      <c r="D21928" t="s">
        <v>83011</v>
      </c>
      <c r="E21928" t="s">
        <v>83012</v>
      </c>
      <c r="F21928" t="s">
        <v>313</v>
      </c>
      <c r="G21928" t="s">
        <v>153</v>
      </c>
      <c r="H21928">
        <v>84780</v>
      </c>
      <c r="I21928" t="s">
        <v>30</v>
      </c>
      <c r="J21928" t="s">
        <v>31</v>
      </c>
      <c r="K21928" t="s">
        <v>255</v>
      </c>
      <c r="N21928" t="s">
        <v>83013</v>
      </c>
      <c r="Q21928">
        <v>0</v>
      </c>
      <c r="R21928">
        <v>111</v>
      </c>
      <c r="S21928">
        <v>0</v>
      </c>
      <c r="T21928" t="s">
        <v>83014</v>
      </c>
    </row>
    <row r="21929" spans="1:20" customFormat="1" ht="15" x14ac:dyDescent="0.25">
      <c r="A21929" t="s">
        <v>24</v>
      </c>
      <c r="B21929" t="s">
        <v>675</v>
      </c>
      <c r="C21929" t="str">
        <f>"A0084768"</f>
        <v>A0084768</v>
      </c>
      <c r="D21929" t="s">
        <v>83015</v>
      </c>
      <c r="E21929" t="s">
        <v>83016</v>
      </c>
      <c r="F21929" t="s">
        <v>56870</v>
      </c>
      <c r="G21929" t="s">
        <v>137</v>
      </c>
      <c r="H21929">
        <v>63044</v>
      </c>
      <c r="I21929" t="s">
        <v>30</v>
      </c>
      <c r="J21929" t="s">
        <v>31</v>
      </c>
      <c r="K21929" t="s">
        <v>255</v>
      </c>
      <c r="N21929" t="s">
        <v>83017</v>
      </c>
      <c r="O21929" t="s">
        <v>83018</v>
      </c>
      <c r="Q21929">
        <v>0</v>
      </c>
      <c r="R21929">
        <v>119</v>
      </c>
      <c r="S21929">
        <v>0</v>
      </c>
      <c r="T21929" t="s">
        <v>83019</v>
      </c>
    </row>
    <row r="21930" spans="1:20" customFormat="1" ht="15" x14ac:dyDescent="0.25">
      <c r="A21930" t="s">
        <v>24</v>
      </c>
      <c r="B21930" t="s">
        <v>675</v>
      </c>
      <c r="C21930" t="str">
        <f>"A0085169"</f>
        <v>A0085169</v>
      </c>
      <c r="D21930" t="s">
        <v>83020</v>
      </c>
      <c r="E21930" t="s">
        <v>83021</v>
      </c>
      <c r="F21930" t="s">
        <v>4075</v>
      </c>
      <c r="G21930" t="s">
        <v>137</v>
      </c>
      <c r="H21930">
        <v>63144</v>
      </c>
      <c r="I21930" t="s">
        <v>30</v>
      </c>
      <c r="J21930" t="s">
        <v>31</v>
      </c>
      <c r="K21930" t="s">
        <v>255</v>
      </c>
      <c r="N21930" t="s">
        <v>83022</v>
      </c>
      <c r="Q21930">
        <v>0</v>
      </c>
      <c r="R21930">
        <v>123</v>
      </c>
      <c r="S21930">
        <v>0</v>
      </c>
      <c r="T21930" t="s">
        <v>83023</v>
      </c>
    </row>
    <row r="21931" spans="1:20" customFormat="1" ht="15" x14ac:dyDescent="0.25">
      <c r="A21931" t="s">
        <v>24</v>
      </c>
      <c r="B21931" t="s">
        <v>4990</v>
      </c>
      <c r="C21931" t="str">
        <f>"A0147873"</f>
        <v>A0147873</v>
      </c>
      <c r="D21931" t="s">
        <v>83024</v>
      </c>
      <c r="E21931" t="s">
        <v>83025</v>
      </c>
      <c r="F21931" t="s">
        <v>83026</v>
      </c>
      <c r="G21931" t="s">
        <v>161</v>
      </c>
      <c r="H21931">
        <v>55112</v>
      </c>
      <c r="I21931" t="s">
        <v>30</v>
      </c>
      <c r="J21931" t="s">
        <v>31</v>
      </c>
      <c r="K21931" t="s">
        <v>255</v>
      </c>
      <c r="N21931" t="s">
        <v>83027</v>
      </c>
      <c r="O21931" t="s">
        <v>83028</v>
      </c>
      <c r="Q21931">
        <v>0</v>
      </c>
      <c r="R21931">
        <v>136</v>
      </c>
      <c r="S21931">
        <v>0</v>
      </c>
      <c r="T21931" t="s">
        <v>83029</v>
      </c>
    </row>
    <row r="21932" spans="1:20" customFormat="1" ht="15" x14ac:dyDescent="0.25">
      <c r="A21932" t="s">
        <v>24</v>
      </c>
      <c r="B21932" t="s">
        <v>1098</v>
      </c>
      <c r="C21932" t="str">
        <f>"A0065956"</f>
        <v>A0065956</v>
      </c>
      <c r="D21932" t="s">
        <v>83030</v>
      </c>
      <c r="E21932" t="s">
        <v>83031</v>
      </c>
      <c r="F21932" t="s">
        <v>65592</v>
      </c>
      <c r="G21932" t="s">
        <v>103</v>
      </c>
      <c r="H21932">
        <v>16803</v>
      </c>
      <c r="I21932" t="s">
        <v>30</v>
      </c>
      <c r="J21932" t="s">
        <v>31</v>
      </c>
      <c r="K21932" t="s">
        <v>255</v>
      </c>
      <c r="N21932" t="s">
        <v>83032</v>
      </c>
      <c r="O21932" t="s">
        <v>83033</v>
      </c>
      <c r="Q21932">
        <v>0</v>
      </c>
      <c r="R21932">
        <v>72</v>
      </c>
      <c r="S21932">
        <v>0</v>
      </c>
      <c r="T21932" t="s">
        <v>83034</v>
      </c>
    </row>
    <row r="21933" spans="1:20" customFormat="1" ht="15" x14ac:dyDescent="0.25">
      <c r="A21933" t="s">
        <v>24</v>
      </c>
      <c r="B21933" t="s">
        <v>55987</v>
      </c>
      <c r="C21933" t="str">
        <f>"A0086945"</f>
        <v>A0086945</v>
      </c>
      <c r="D21933" t="s">
        <v>83035</v>
      </c>
      <c r="E21933" t="s">
        <v>83036</v>
      </c>
      <c r="F21933" t="s">
        <v>68555</v>
      </c>
      <c r="G21933" t="s">
        <v>846</v>
      </c>
      <c r="H21933">
        <v>30458</v>
      </c>
      <c r="I21933" t="s">
        <v>30</v>
      </c>
      <c r="J21933" t="s">
        <v>31</v>
      </c>
      <c r="K21933" t="s">
        <v>255</v>
      </c>
      <c r="N21933" t="s">
        <v>83037</v>
      </c>
      <c r="Q21933">
        <v>0</v>
      </c>
      <c r="R21933">
        <v>113</v>
      </c>
      <c r="S21933">
        <v>0</v>
      </c>
      <c r="T21933" t="s">
        <v>83038</v>
      </c>
    </row>
    <row r="21934" spans="1:20" customFormat="1" ht="15" x14ac:dyDescent="0.25">
      <c r="A21934" t="s">
        <v>24</v>
      </c>
      <c r="B21934" t="s">
        <v>58814</v>
      </c>
      <c r="C21934" t="str">
        <f>"A0094417"</f>
        <v>A0094417</v>
      </c>
      <c r="D21934" t="s">
        <v>83039</v>
      </c>
      <c r="E21934" t="s">
        <v>83040</v>
      </c>
      <c r="F21934" t="s">
        <v>60686</v>
      </c>
      <c r="G21934" t="s">
        <v>52</v>
      </c>
      <c r="H21934">
        <v>77478</v>
      </c>
      <c r="I21934" t="s">
        <v>30</v>
      </c>
      <c r="J21934" t="s">
        <v>31</v>
      </c>
      <c r="K21934" t="s">
        <v>255</v>
      </c>
      <c r="N21934" t="s">
        <v>83041</v>
      </c>
      <c r="Q21934">
        <v>0</v>
      </c>
      <c r="R21934">
        <v>94</v>
      </c>
      <c r="S21934">
        <v>0</v>
      </c>
      <c r="T21934" t="s">
        <v>83042</v>
      </c>
    </row>
    <row r="21935" spans="1:20" customFormat="1" ht="15" x14ac:dyDescent="0.25">
      <c r="A21935" t="s">
        <v>24</v>
      </c>
      <c r="B21935" t="s">
        <v>675</v>
      </c>
      <c r="C21935" t="str">
        <f>"A0087696"</f>
        <v>A0087696</v>
      </c>
      <c r="D21935" t="s">
        <v>83043</v>
      </c>
      <c r="E21935" t="s">
        <v>83044</v>
      </c>
      <c r="F21935" t="s">
        <v>61972</v>
      </c>
      <c r="G21935" t="s">
        <v>99</v>
      </c>
      <c r="H21935">
        <v>13057</v>
      </c>
      <c r="I21935" t="s">
        <v>30</v>
      </c>
      <c r="J21935" t="s">
        <v>31</v>
      </c>
      <c r="K21935" t="s">
        <v>255</v>
      </c>
      <c r="N21935" t="s">
        <v>83045</v>
      </c>
      <c r="Q21935">
        <v>0</v>
      </c>
      <c r="R21935">
        <v>119</v>
      </c>
      <c r="S21935">
        <v>0</v>
      </c>
      <c r="T21935" t="s">
        <v>83046</v>
      </c>
    </row>
    <row r="21936" spans="1:20" customFormat="1" ht="15" x14ac:dyDescent="0.25">
      <c r="A21936" t="s">
        <v>24</v>
      </c>
      <c r="B21936" t="s">
        <v>10986</v>
      </c>
      <c r="C21936" t="str">
        <f>"A0098341"</f>
        <v>A0098341</v>
      </c>
      <c r="D21936" t="s">
        <v>83047</v>
      </c>
      <c r="E21936" t="s">
        <v>80006</v>
      </c>
      <c r="F21936" t="s">
        <v>7738</v>
      </c>
      <c r="G21936" t="s">
        <v>81</v>
      </c>
      <c r="H21936">
        <v>33767</v>
      </c>
      <c r="I21936" t="s">
        <v>30</v>
      </c>
      <c r="J21936" t="s">
        <v>31</v>
      </c>
      <c r="K21936" t="s">
        <v>255</v>
      </c>
      <c r="N21936" t="s">
        <v>80007</v>
      </c>
      <c r="O21936" t="s">
        <v>83048</v>
      </c>
      <c r="Q21936">
        <v>0</v>
      </c>
      <c r="R21936">
        <v>116</v>
      </c>
      <c r="S21936">
        <v>0</v>
      </c>
      <c r="T21936" t="s">
        <v>83049</v>
      </c>
    </row>
    <row r="21937" spans="1:20" customFormat="1" ht="15" x14ac:dyDescent="0.25">
      <c r="A21937" t="s">
        <v>24</v>
      </c>
      <c r="B21937" t="s">
        <v>7405</v>
      </c>
      <c r="C21937" t="str">
        <f>"204XP"</f>
        <v>204XP</v>
      </c>
      <c r="D21937" t="s">
        <v>83050</v>
      </c>
      <c r="E21937" t="s">
        <v>83051</v>
      </c>
      <c r="F21937" t="s">
        <v>83052</v>
      </c>
      <c r="G21937" t="s">
        <v>99</v>
      </c>
      <c r="H21937">
        <v>10591</v>
      </c>
      <c r="I21937" t="s">
        <v>30</v>
      </c>
      <c r="J21937" t="s">
        <v>31</v>
      </c>
      <c r="K21937" t="s">
        <v>255</v>
      </c>
      <c r="N21937" t="s">
        <v>60393</v>
      </c>
      <c r="Q21937">
        <v>0</v>
      </c>
      <c r="R21937">
        <v>145</v>
      </c>
      <c r="S21937">
        <v>0</v>
      </c>
      <c r="T21937" t="s">
        <v>83053</v>
      </c>
    </row>
    <row r="21938" spans="1:20" customFormat="1" ht="15" x14ac:dyDescent="0.25">
      <c r="A21938" t="s">
        <v>24</v>
      </c>
      <c r="B21938" t="s">
        <v>13267</v>
      </c>
      <c r="C21938" t="str">
        <f>"A0088346"</f>
        <v>A0088346</v>
      </c>
      <c r="D21938" t="s">
        <v>83054</v>
      </c>
      <c r="E21938" t="s">
        <v>83055</v>
      </c>
      <c r="F21938" t="s">
        <v>13270</v>
      </c>
      <c r="G21938" t="s">
        <v>110</v>
      </c>
      <c r="H21938">
        <v>92590</v>
      </c>
      <c r="I21938" t="s">
        <v>30</v>
      </c>
      <c r="J21938" t="s">
        <v>31</v>
      </c>
      <c r="K21938" t="s">
        <v>255</v>
      </c>
      <c r="N21938" t="s">
        <v>83056</v>
      </c>
      <c r="O21938" t="s">
        <v>62109</v>
      </c>
      <c r="Q21938">
        <v>0</v>
      </c>
      <c r="R21938">
        <v>134</v>
      </c>
      <c r="S21938">
        <v>0</v>
      </c>
      <c r="T21938" t="s">
        <v>83057</v>
      </c>
    </row>
    <row r="21939" spans="1:20" customFormat="1" ht="15" x14ac:dyDescent="0.25">
      <c r="A21939" t="s">
        <v>24</v>
      </c>
      <c r="B21939" t="s">
        <v>1561</v>
      </c>
      <c r="C21939" t="str">
        <f>"192KT"</f>
        <v>192KT</v>
      </c>
      <c r="D21939" t="s">
        <v>83058</v>
      </c>
      <c r="E21939" t="s">
        <v>83059</v>
      </c>
      <c r="F21939" t="s">
        <v>41030</v>
      </c>
      <c r="G21939" t="s">
        <v>197</v>
      </c>
      <c r="H21939">
        <v>85283</v>
      </c>
      <c r="I21939" t="s">
        <v>30</v>
      </c>
      <c r="J21939" t="s">
        <v>31</v>
      </c>
      <c r="K21939" t="s">
        <v>255</v>
      </c>
      <c r="N21939" t="s">
        <v>83060</v>
      </c>
      <c r="O21939" t="s">
        <v>83061</v>
      </c>
      <c r="Q21939">
        <v>0</v>
      </c>
      <c r="R21939">
        <v>121</v>
      </c>
      <c r="S21939">
        <v>0</v>
      </c>
      <c r="T21939" t="s">
        <v>83062</v>
      </c>
    </row>
    <row r="21940" spans="1:20" customFormat="1" ht="15" x14ac:dyDescent="0.25">
      <c r="A21940" t="s">
        <v>24</v>
      </c>
      <c r="B21940" t="s">
        <v>5558</v>
      </c>
      <c r="C21940" t="str">
        <f>"A0086863"</f>
        <v>A0086863</v>
      </c>
      <c r="D21940" t="s">
        <v>83063</v>
      </c>
      <c r="E21940" t="s">
        <v>83064</v>
      </c>
      <c r="F21940" t="s">
        <v>40750</v>
      </c>
      <c r="G21940" t="s">
        <v>197</v>
      </c>
      <c r="H21940">
        <v>85552</v>
      </c>
      <c r="I21940" t="s">
        <v>30</v>
      </c>
      <c r="J21940" t="s">
        <v>31</v>
      </c>
      <c r="K21940" t="s">
        <v>255</v>
      </c>
      <c r="N21940" t="s">
        <v>65641</v>
      </c>
      <c r="Q21940">
        <v>0</v>
      </c>
      <c r="R21940">
        <v>71</v>
      </c>
      <c r="S21940">
        <v>0</v>
      </c>
      <c r="T21940" t="s">
        <v>83065</v>
      </c>
    </row>
    <row r="21941" spans="1:20" customFormat="1" ht="15" x14ac:dyDescent="0.25">
      <c r="A21941" t="s">
        <v>24</v>
      </c>
      <c r="B21941" t="s">
        <v>68131</v>
      </c>
      <c r="C21941" t="str">
        <f>"A0147558"</f>
        <v>A0147558</v>
      </c>
      <c r="D21941" t="s">
        <v>83066</v>
      </c>
      <c r="E21941" t="s">
        <v>83067</v>
      </c>
      <c r="F21941" t="s">
        <v>5533</v>
      </c>
      <c r="G21941" t="s">
        <v>846</v>
      </c>
      <c r="H21941">
        <v>31793</v>
      </c>
      <c r="I21941" t="s">
        <v>30</v>
      </c>
      <c r="J21941" t="s">
        <v>31</v>
      </c>
      <c r="K21941" t="s">
        <v>255</v>
      </c>
      <c r="N21941" t="s">
        <v>83068</v>
      </c>
      <c r="Q21941">
        <v>0</v>
      </c>
      <c r="R21941">
        <v>104</v>
      </c>
      <c r="S21941">
        <v>0</v>
      </c>
      <c r="T21941" t="s">
        <v>83069</v>
      </c>
    </row>
    <row r="21942" spans="1:20" customFormat="1" ht="15" hidden="1" x14ac:dyDescent="0.25">
      <c r="A21942" t="s">
        <v>24</v>
      </c>
      <c r="B21942" t="s">
        <v>59461</v>
      </c>
      <c r="C21942" t="str">
        <f>"A0090236"</f>
        <v>A0090236</v>
      </c>
      <c r="D21942" t="s">
        <v>83070</v>
      </c>
      <c r="E21942" t="s">
        <v>83071</v>
      </c>
      <c r="F21942" t="s">
        <v>13262</v>
      </c>
      <c r="G21942" t="s">
        <v>2206</v>
      </c>
      <c r="H21942" t="s">
        <v>72236</v>
      </c>
      <c r="I21942" t="s">
        <v>1459</v>
      </c>
      <c r="J21942" t="s">
        <v>31</v>
      </c>
      <c r="K21942" t="s">
        <v>255</v>
      </c>
      <c r="N21942" t="s">
        <v>83072</v>
      </c>
      <c r="Q21942">
        <v>0</v>
      </c>
      <c r="R21942">
        <v>175</v>
      </c>
      <c r="S21942">
        <v>0</v>
      </c>
      <c r="T21942" t="s">
        <v>83073</v>
      </c>
    </row>
    <row r="21943" spans="1:20" customFormat="1" ht="15" x14ac:dyDescent="0.25">
      <c r="A21943" t="s">
        <v>24</v>
      </c>
      <c r="B21943" t="s">
        <v>762</v>
      </c>
      <c r="C21943" t="str">
        <f>"A0088255"</f>
        <v>A0088255</v>
      </c>
      <c r="D21943" t="s">
        <v>83074</v>
      </c>
      <c r="E21943" t="s">
        <v>83075</v>
      </c>
      <c r="F21943" t="s">
        <v>4965</v>
      </c>
      <c r="G21943" t="s">
        <v>153</v>
      </c>
      <c r="H21943">
        <v>84078</v>
      </c>
      <c r="I21943" t="s">
        <v>30</v>
      </c>
      <c r="J21943" t="s">
        <v>31</v>
      </c>
      <c r="K21943" t="s">
        <v>255</v>
      </c>
      <c r="N21943" t="s">
        <v>83076</v>
      </c>
      <c r="O21943" t="s">
        <v>83077</v>
      </c>
      <c r="Q21943">
        <v>0</v>
      </c>
      <c r="R21943">
        <v>97</v>
      </c>
      <c r="S21943">
        <v>0</v>
      </c>
      <c r="T21943" t="s">
        <v>83078</v>
      </c>
    </row>
    <row r="21944" spans="1:20" customFormat="1" ht="15" x14ac:dyDescent="0.25">
      <c r="A21944" t="s">
        <v>24</v>
      </c>
      <c r="B21944" t="s">
        <v>83079</v>
      </c>
      <c r="C21944" t="str">
        <f>"A0075450"</f>
        <v>A0075450</v>
      </c>
      <c r="D21944" t="s">
        <v>83080</v>
      </c>
      <c r="E21944" t="s">
        <v>83081</v>
      </c>
      <c r="F21944" t="s">
        <v>62108</v>
      </c>
      <c r="G21944" t="s">
        <v>110</v>
      </c>
      <c r="H21944">
        <v>92345</v>
      </c>
      <c r="I21944" t="s">
        <v>30</v>
      </c>
      <c r="J21944" t="s">
        <v>31</v>
      </c>
      <c r="K21944" t="s">
        <v>255</v>
      </c>
      <c r="N21944" t="s">
        <v>83082</v>
      </c>
      <c r="O21944" t="s">
        <v>83083</v>
      </c>
      <c r="Q21944">
        <v>0</v>
      </c>
      <c r="R21944">
        <v>63</v>
      </c>
      <c r="S21944">
        <v>0</v>
      </c>
      <c r="T21944" t="s">
        <v>83084</v>
      </c>
    </row>
    <row r="21945" spans="1:20" customFormat="1" ht="15" x14ac:dyDescent="0.25">
      <c r="A21945" t="s">
        <v>24</v>
      </c>
      <c r="B21945" t="s">
        <v>1020</v>
      </c>
      <c r="C21945" t="str">
        <f>"202JA"</f>
        <v>202JA</v>
      </c>
      <c r="D21945" t="s">
        <v>83085</v>
      </c>
      <c r="E21945" t="s">
        <v>83086</v>
      </c>
      <c r="F21945" t="s">
        <v>83087</v>
      </c>
      <c r="G21945" t="s">
        <v>615</v>
      </c>
      <c r="H21945">
        <v>6385</v>
      </c>
      <c r="I21945" t="s">
        <v>30</v>
      </c>
      <c r="J21945" t="s">
        <v>31</v>
      </c>
      <c r="K21945" t="s">
        <v>255</v>
      </c>
      <c r="N21945" t="s">
        <v>83088</v>
      </c>
      <c r="Q21945">
        <v>0</v>
      </c>
      <c r="R21945">
        <v>80</v>
      </c>
      <c r="S21945">
        <v>0</v>
      </c>
      <c r="T21945" t="s">
        <v>83089</v>
      </c>
    </row>
    <row r="21946" spans="1:20" customFormat="1" ht="15" x14ac:dyDescent="0.25">
      <c r="A21946" t="s">
        <v>24</v>
      </c>
      <c r="B21946" t="s">
        <v>4400</v>
      </c>
      <c r="C21946" t="str">
        <f>"A0086817"</f>
        <v>A0086817</v>
      </c>
      <c r="D21946" t="s">
        <v>83090</v>
      </c>
      <c r="E21946" t="s">
        <v>83091</v>
      </c>
      <c r="F21946" t="s">
        <v>1871</v>
      </c>
      <c r="G21946" t="s">
        <v>925</v>
      </c>
      <c r="H21946">
        <v>67206</v>
      </c>
      <c r="I21946" t="s">
        <v>30</v>
      </c>
      <c r="J21946" t="s">
        <v>31</v>
      </c>
      <c r="K21946" t="s">
        <v>255</v>
      </c>
      <c r="N21946" t="s">
        <v>80130</v>
      </c>
      <c r="O21946" t="s">
        <v>83092</v>
      </c>
      <c r="Q21946">
        <v>0</v>
      </c>
      <c r="R21946">
        <v>102</v>
      </c>
      <c r="S21946">
        <v>0</v>
      </c>
      <c r="T21946" t="s">
        <v>83093</v>
      </c>
    </row>
    <row r="21947" spans="1:20" customFormat="1" ht="15" x14ac:dyDescent="0.25">
      <c r="A21947" t="s">
        <v>24</v>
      </c>
      <c r="B21947" t="s">
        <v>1020</v>
      </c>
      <c r="C21947" t="str">
        <f>"202VE"</f>
        <v>202VE</v>
      </c>
      <c r="D21947" t="s">
        <v>83094</v>
      </c>
      <c r="E21947" t="s">
        <v>83095</v>
      </c>
      <c r="F21947" t="s">
        <v>11257</v>
      </c>
      <c r="G21947" t="s">
        <v>29</v>
      </c>
      <c r="H21947">
        <v>23185</v>
      </c>
      <c r="I21947" t="s">
        <v>30</v>
      </c>
      <c r="J21947" t="s">
        <v>31</v>
      </c>
      <c r="K21947" t="s">
        <v>255</v>
      </c>
      <c r="N21947" t="s">
        <v>83096</v>
      </c>
      <c r="Q21947">
        <v>0</v>
      </c>
      <c r="R21947">
        <v>120</v>
      </c>
      <c r="S21947">
        <v>0</v>
      </c>
      <c r="T21947" t="s">
        <v>83097</v>
      </c>
    </row>
    <row r="21948" spans="1:20" customFormat="1" ht="15" x14ac:dyDescent="0.25">
      <c r="A21948" t="s">
        <v>24</v>
      </c>
      <c r="B21948" t="s">
        <v>9412</v>
      </c>
      <c r="C21948" t="str">
        <f>"A0095111"</f>
        <v>A0095111</v>
      </c>
      <c r="D21948" t="s">
        <v>83098</v>
      </c>
      <c r="E21948" t="s">
        <v>83099</v>
      </c>
      <c r="F21948" t="s">
        <v>65722</v>
      </c>
      <c r="G21948" t="s">
        <v>71</v>
      </c>
      <c r="H21948">
        <v>53965</v>
      </c>
      <c r="I21948" t="s">
        <v>30</v>
      </c>
      <c r="J21948" t="s">
        <v>31</v>
      </c>
      <c r="K21948" t="s">
        <v>255</v>
      </c>
      <c r="N21948" t="s">
        <v>65723</v>
      </c>
      <c r="Q21948">
        <v>0</v>
      </c>
      <c r="R21948">
        <v>95</v>
      </c>
      <c r="S21948">
        <v>0</v>
      </c>
      <c r="T21948" t="s">
        <v>83100</v>
      </c>
    </row>
    <row r="21949" spans="1:20" customFormat="1" ht="15" x14ac:dyDescent="0.25">
      <c r="A21949" t="s">
        <v>24</v>
      </c>
      <c r="B21949" t="s">
        <v>34039</v>
      </c>
      <c r="C21949" t="str">
        <f>"A0165192"</f>
        <v>A0165192</v>
      </c>
      <c r="D21949" t="s">
        <v>83101</v>
      </c>
      <c r="E21949" t="s">
        <v>83102</v>
      </c>
      <c r="F21949" t="s">
        <v>83103</v>
      </c>
      <c r="G21949" t="s">
        <v>899</v>
      </c>
      <c r="H21949">
        <v>2093</v>
      </c>
      <c r="I21949" t="s">
        <v>30</v>
      </c>
      <c r="J21949" t="s">
        <v>31</v>
      </c>
      <c r="K21949" t="s">
        <v>255</v>
      </c>
      <c r="N21949" t="s">
        <v>83104</v>
      </c>
      <c r="Q21949">
        <v>0</v>
      </c>
      <c r="R21949">
        <v>80</v>
      </c>
      <c r="S21949">
        <v>0</v>
      </c>
      <c r="T21949" t="s">
        <v>83105</v>
      </c>
    </row>
    <row r="21950" spans="1:20" customFormat="1" ht="15" x14ac:dyDescent="0.25">
      <c r="A21950" t="s">
        <v>24</v>
      </c>
      <c r="B21950" t="s">
        <v>34738</v>
      </c>
      <c r="C21950" t="str">
        <f>"A0088543"</f>
        <v>A0088543</v>
      </c>
      <c r="D21950" t="s">
        <v>83106</v>
      </c>
      <c r="E21950" t="s">
        <v>83107</v>
      </c>
      <c r="F21950" t="s">
        <v>60676</v>
      </c>
      <c r="G21950" t="s">
        <v>52</v>
      </c>
      <c r="H21950">
        <v>77584</v>
      </c>
      <c r="I21950" t="s">
        <v>30</v>
      </c>
      <c r="J21950" t="s">
        <v>31</v>
      </c>
      <c r="K21950" t="s">
        <v>255</v>
      </c>
      <c r="N21950" t="s">
        <v>3814</v>
      </c>
      <c r="Q21950">
        <v>0</v>
      </c>
      <c r="R21950">
        <v>91</v>
      </c>
      <c r="S21950">
        <v>0</v>
      </c>
      <c r="T21950" t="s">
        <v>83108</v>
      </c>
    </row>
    <row r="21951" spans="1:20" customFormat="1" ht="15" x14ac:dyDescent="0.25">
      <c r="A21951" t="s">
        <v>24</v>
      </c>
      <c r="B21951" t="s">
        <v>675</v>
      </c>
      <c r="C21951" t="str">
        <f>"196A4"</f>
        <v>196A4</v>
      </c>
      <c r="D21951" t="s">
        <v>83109</v>
      </c>
      <c r="E21951" t="s">
        <v>83110</v>
      </c>
      <c r="F21951" t="s">
        <v>61460</v>
      </c>
      <c r="G21951" t="s">
        <v>103</v>
      </c>
      <c r="H21951">
        <v>19462</v>
      </c>
      <c r="I21951" t="s">
        <v>30</v>
      </c>
      <c r="J21951" t="s">
        <v>31</v>
      </c>
      <c r="K21951" t="s">
        <v>255</v>
      </c>
      <c r="N21951" t="s">
        <v>83111</v>
      </c>
      <c r="Q21951">
        <v>0</v>
      </c>
      <c r="R21951">
        <v>199</v>
      </c>
      <c r="S21951">
        <v>0</v>
      </c>
      <c r="T21951" t="s">
        <v>83112</v>
      </c>
    </row>
    <row r="21952" spans="1:20" customFormat="1" ht="15" x14ac:dyDescent="0.25">
      <c r="A21952" t="s">
        <v>24</v>
      </c>
      <c r="B21952" t="s">
        <v>76617</v>
      </c>
      <c r="C21952" t="str">
        <f>"A0100942"</f>
        <v>A0100942</v>
      </c>
      <c r="D21952" t="s">
        <v>83113</v>
      </c>
      <c r="E21952" t="s">
        <v>80434</v>
      </c>
      <c r="F21952" t="s">
        <v>2900</v>
      </c>
      <c r="G21952" t="s">
        <v>76</v>
      </c>
      <c r="H21952">
        <v>98119</v>
      </c>
      <c r="I21952" t="s">
        <v>30</v>
      </c>
      <c r="J21952" t="s">
        <v>76620</v>
      </c>
      <c r="K21952" t="s">
        <v>163</v>
      </c>
      <c r="N21952" t="s">
        <v>80435</v>
      </c>
      <c r="Q21952">
        <v>0</v>
      </c>
      <c r="R21952">
        <v>43</v>
      </c>
      <c r="S21952">
        <v>0</v>
      </c>
      <c r="T21952" t="s">
        <v>76623</v>
      </c>
    </row>
    <row r="21953" spans="1:20" customFormat="1" ht="15" x14ac:dyDescent="0.25">
      <c r="A21953" t="s">
        <v>24</v>
      </c>
      <c r="B21953" t="s">
        <v>83114</v>
      </c>
      <c r="C21953" t="str">
        <f>"A0051560"</f>
        <v>A0051560</v>
      </c>
      <c r="D21953" t="s">
        <v>83115</v>
      </c>
      <c r="E21953" t="s">
        <v>83116</v>
      </c>
      <c r="F21953" t="s">
        <v>35874</v>
      </c>
      <c r="G21953" t="s">
        <v>103</v>
      </c>
      <c r="H21953">
        <v>19087</v>
      </c>
      <c r="I21953" t="s">
        <v>30</v>
      </c>
      <c r="J21953" t="s">
        <v>178</v>
      </c>
      <c r="K21953" t="s">
        <v>179</v>
      </c>
      <c r="N21953" t="s">
        <v>83117</v>
      </c>
      <c r="O21953" t="s">
        <v>83118</v>
      </c>
      <c r="Q21953">
        <v>1</v>
      </c>
      <c r="R21953">
        <v>18</v>
      </c>
      <c r="S21953">
        <v>0</v>
      </c>
      <c r="T21953" t="s">
        <v>83119</v>
      </c>
    </row>
    <row r="21954" spans="1:20" customFormat="1" ht="15" hidden="1" x14ac:dyDescent="0.25">
      <c r="A21954" t="s">
        <v>24</v>
      </c>
      <c r="B21954" t="s">
        <v>1583</v>
      </c>
      <c r="C21954" t="str">
        <f>"A0089886"</f>
        <v>A0089886</v>
      </c>
      <c r="D21954" t="s">
        <v>83120</v>
      </c>
      <c r="E21954" t="s">
        <v>83121</v>
      </c>
      <c r="F21954" t="s">
        <v>83122</v>
      </c>
      <c r="G21954" t="s">
        <v>75989</v>
      </c>
      <c r="I21954" t="s">
        <v>75990</v>
      </c>
      <c r="J21954" t="s">
        <v>2544</v>
      </c>
      <c r="K21954" t="s">
        <v>36059</v>
      </c>
      <c r="N21954" t="s">
        <v>83123</v>
      </c>
      <c r="Q21954">
        <v>0</v>
      </c>
      <c r="R21954">
        <v>88</v>
      </c>
      <c r="S21954">
        <v>0</v>
      </c>
      <c r="T21954" t="s">
        <v>83124</v>
      </c>
    </row>
    <row r="21955" spans="1:20" customFormat="1" ht="15" x14ac:dyDescent="0.25">
      <c r="A21955" t="s">
        <v>24</v>
      </c>
      <c r="B21955" t="s">
        <v>33426</v>
      </c>
      <c r="C21955" t="str">
        <f>"A0154108"</f>
        <v>A0154108</v>
      </c>
      <c r="D21955" t="s">
        <v>83125</v>
      </c>
      <c r="E21955" t="s">
        <v>83126</v>
      </c>
      <c r="F21955" t="s">
        <v>3860</v>
      </c>
      <c r="G21955" t="s">
        <v>137</v>
      </c>
      <c r="H21955">
        <v>63110</v>
      </c>
      <c r="I21955" t="s">
        <v>30</v>
      </c>
      <c r="J21955" t="s">
        <v>1004</v>
      </c>
      <c r="K21955" t="s">
        <v>163</v>
      </c>
      <c r="N21955" t="s">
        <v>83127</v>
      </c>
      <c r="O21955" t="s">
        <v>83128</v>
      </c>
      <c r="Q21955">
        <v>0</v>
      </c>
      <c r="R21955">
        <v>0</v>
      </c>
      <c r="S21955">
        <v>0</v>
      </c>
      <c r="T21955" t="s">
        <v>83129</v>
      </c>
    </row>
    <row r="21956" spans="1:20" customFormat="1" ht="15" x14ac:dyDescent="0.25">
      <c r="A21956" t="s">
        <v>24</v>
      </c>
      <c r="B21956" t="s">
        <v>59336</v>
      </c>
      <c r="C21956" t="str">
        <f>"A0099955"</f>
        <v>A0099955</v>
      </c>
      <c r="D21956" t="s">
        <v>83130</v>
      </c>
      <c r="E21956" t="s">
        <v>83131</v>
      </c>
      <c r="F21956" t="s">
        <v>76320</v>
      </c>
      <c r="G21956" t="s">
        <v>123</v>
      </c>
      <c r="H21956">
        <v>21663</v>
      </c>
      <c r="I21956" t="s">
        <v>30</v>
      </c>
      <c r="J21956" t="s">
        <v>31</v>
      </c>
      <c r="K21956" t="s">
        <v>163</v>
      </c>
      <c r="N21956" t="s">
        <v>83132</v>
      </c>
      <c r="Q21956">
        <v>0</v>
      </c>
      <c r="R21956">
        <v>93</v>
      </c>
      <c r="S21956">
        <v>0</v>
      </c>
      <c r="T21956" t="s">
        <v>83133</v>
      </c>
    </row>
    <row r="21957" spans="1:20" customFormat="1" ht="15" x14ac:dyDescent="0.25">
      <c r="A21957" t="s">
        <v>24</v>
      </c>
      <c r="B21957" t="s">
        <v>1577</v>
      </c>
      <c r="C21957" t="str">
        <f>"A0068242"</f>
        <v>A0068242</v>
      </c>
      <c r="D21957" t="s">
        <v>77837</v>
      </c>
      <c r="E21957" t="s">
        <v>77838</v>
      </c>
      <c r="F21957" t="s">
        <v>3661</v>
      </c>
      <c r="G21957" t="s">
        <v>65</v>
      </c>
      <c r="H21957">
        <v>45242</v>
      </c>
      <c r="I21957" t="s">
        <v>30</v>
      </c>
      <c r="J21957" t="s">
        <v>171</v>
      </c>
      <c r="K21957" t="s">
        <v>315</v>
      </c>
      <c r="N21957" t="s">
        <v>77839</v>
      </c>
      <c r="Q21957">
        <v>0</v>
      </c>
      <c r="R21957">
        <v>200</v>
      </c>
      <c r="S21957">
        <v>0</v>
      </c>
      <c r="T21957" t="s">
        <v>77840</v>
      </c>
    </row>
    <row r="21958" spans="1:20" customFormat="1" ht="15" x14ac:dyDescent="0.25">
      <c r="A21958" t="s">
        <v>24</v>
      </c>
      <c r="B21958" t="s">
        <v>83138</v>
      </c>
      <c r="C21958" t="str">
        <f>"A0157204"</f>
        <v>A0157204</v>
      </c>
      <c r="D21958" t="s">
        <v>83139</v>
      </c>
      <c r="E21958" t="s">
        <v>83140</v>
      </c>
      <c r="F21958" t="s">
        <v>5651</v>
      </c>
      <c r="G21958" t="s">
        <v>110</v>
      </c>
      <c r="H21958">
        <v>92802</v>
      </c>
      <c r="I21958" t="s">
        <v>30</v>
      </c>
      <c r="J21958" t="s">
        <v>31</v>
      </c>
      <c r="K21958" t="s">
        <v>163</v>
      </c>
      <c r="N21958" t="s">
        <v>83141</v>
      </c>
      <c r="Q21958">
        <v>0</v>
      </c>
      <c r="R21958">
        <v>108</v>
      </c>
      <c r="S21958">
        <v>0</v>
      </c>
      <c r="T21958" t="s">
        <v>83142</v>
      </c>
    </row>
    <row r="21959" spans="1:20" customFormat="1" ht="15" x14ac:dyDescent="0.25">
      <c r="A21959" t="s">
        <v>24</v>
      </c>
      <c r="B21959" t="s">
        <v>1473</v>
      </c>
      <c r="C21959" t="str">
        <f>"A0091923"</f>
        <v>A0091923</v>
      </c>
      <c r="D21959" t="s">
        <v>77841</v>
      </c>
      <c r="E21959" t="s">
        <v>77842</v>
      </c>
      <c r="F21959" t="s">
        <v>11346</v>
      </c>
      <c r="G21959" t="s">
        <v>99</v>
      </c>
      <c r="H21959">
        <v>12603</v>
      </c>
      <c r="I21959" t="s">
        <v>30</v>
      </c>
      <c r="J21959" t="s">
        <v>171</v>
      </c>
      <c r="K21959" t="s">
        <v>315</v>
      </c>
      <c r="N21959" t="s">
        <v>77843</v>
      </c>
      <c r="Q21959">
        <v>0</v>
      </c>
      <c r="R21959">
        <v>66</v>
      </c>
      <c r="S21959">
        <v>0</v>
      </c>
      <c r="T21959" t="s">
        <v>77844</v>
      </c>
    </row>
    <row r="21960" spans="1:20" customFormat="1" ht="15" x14ac:dyDescent="0.25">
      <c r="A21960" t="s">
        <v>24</v>
      </c>
      <c r="B21960" t="s">
        <v>257</v>
      </c>
      <c r="C21960" t="str">
        <f>"A0147879"</f>
        <v>A0147879</v>
      </c>
      <c r="D21960" t="s">
        <v>83147</v>
      </c>
      <c r="E21960" t="s">
        <v>83148</v>
      </c>
      <c r="F21960" t="s">
        <v>67777</v>
      </c>
      <c r="G21960" t="s">
        <v>81</v>
      </c>
      <c r="H21960">
        <v>32960</v>
      </c>
      <c r="I21960" t="s">
        <v>30</v>
      </c>
      <c r="J21960" t="s">
        <v>31</v>
      </c>
      <c r="K21960" t="s">
        <v>163</v>
      </c>
      <c r="N21960" t="s">
        <v>83149</v>
      </c>
      <c r="Q21960">
        <v>0</v>
      </c>
      <c r="R21960">
        <v>60</v>
      </c>
      <c r="S21960">
        <v>0</v>
      </c>
      <c r="T21960" t="s">
        <v>83150</v>
      </c>
    </row>
    <row r="21961" spans="1:20" customFormat="1" ht="15" x14ac:dyDescent="0.25">
      <c r="A21961" t="s">
        <v>24</v>
      </c>
      <c r="B21961" t="s">
        <v>675</v>
      </c>
      <c r="C21961" t="str">
        <f>"A0099374"</f>
        <v>A0099374</v>
      </c>
      <c r="D21961" t="s">
        <v>83151</v>
      </c>
      <c r="E21961" t="s">
        <v>83152</v>
      </c>
      <c r="F21961" t="s">
        <v>997</v>
      </c>
      <c r="G21961" t="s">
        <v>99</v>
      </c>
      <c r="H21961">
        <v>10016</v>
      </c>
      <c r="I21961" t="s">
        <v>30</v>
      </c>
      <c r="J21961" t="s">
        <v>191</v>
      </c>
      <c r="K21961" t="s">
        <v>83153</v>
      </c>
      <c r="N21961" t="s">
        <v>83154</v>
      </c>
      <c r="Q21961">
        <v>0</v>
      </c>
      <c r="R21961">
        <v>0</v>
      </c>
      <c r="S21961">
        <v>0</v>
      </c>
      <c r="T21961" t="s">
        <v>83155</v>
      </c>
    </row>
    <row r="21962" spans="1:20" customFormat="1" ht="15" x14ac:dyDescent="0.25">
      <c r="A21962" t="s">
        <v>24</v>
      </c>
      <c r="B21962" t="s">
        <v>58709</v>
      </c>
      <c r="C21962" t="str">
        <f>"A0100322"</f>
        <v>A0100322</v>
      </c>
      <c r="D21962" t="s">
        <v>77853</v>
      </c>
      <c r="E21962" t="s">
        <v>77854</v>
      </c>
      <c r="F21962" t="s">
        <v>77855</v>
      </c>
      <c r="G21962" t="s">
        <v>103</v>
      </c>
      <c r="H21962">
        <v>17870</v>
      </c>
      <c r="I21962" t="s">
        <v>30</v>
      </c>
      <c r="J21962" t="s">
        <v>171</v>
      </c>
      <c r="K21962" t="s">
        <v>315</v>
      </c>
      <c r="N21962" t="s">
        <v>77856</v>
      </c>
      <c r="Q21962">
        <v>0</v>
      </c>
      <c r="R21962">
        <v>62</v>
      </c>
      <c r="S21962">
        <v>0</v>
      </c>
      <c r="T21962" t="s">
        <v>77857</v>
      </c>
    </row>
    <row r="21963" spans="1:20" customFormat="1" ht="15" hidden="1" x14ac:dyDescent="0.25">
      <c r="A21963" t="s">
        <v>24</v>
      </c>
      <c r="B21963" t="s">
        <v>9400</v>
      </c>
      <c r="C21963" t="str">
        <f>"A0069072"</f>
        <v>A0069072</v>
      </c>
      <c r="D21963" t="s">
        <v>83160</v>
      </c>
      <c r="E21963" t="s">
        <v>83161</v>
      </c>
      <c r="F21963" t="s">
        <v>83162</v>
      </c>
      <c r="G21963" t="s">
        <v>5439</v>
      </c>
      <c r="H21963" t="s">
        <v>83163</v>
      </c>
      <c r="I21963" t="s">
        <v>1459</v>
      </c>
      <c r="J21963" t="s">
        <v>162</v>
      </c>
      <c r="K21963" t="s">
        <v>163</v>
      </c>
      <c r="N21963" t="s">
        <v>83164</v>
      </c>
      <c r="O21963" t="s">
        <v>83165</v>
      </c>
      <c r="Q21963">
        <v>0</v>
      </c>
      <c r="R21963">
        <v>0</v>
      </c>
      <c r="S21963">
        <v>0</v>
      </c>
      <c r="T21963" t="s">
        <v>83166</v>
      </c>
    </row>
    <row r="21964" spans="1:20" customFormat="1" ht="15" x14ac:dyDescent="0.25">
      <c r="A21964" t="s">
        <v>24</v>
      </c>
      <c r="B21964" t="s">
        <v>77937</v>
      </c>
      <c r="C21964" t="str">
        <f>"A0055737"</f>
        <v>A0055737</v>
      </c>
      <c r="D21964" t="s">
        <v>77938</v>
      </c>
      <c r="E21964" t="s">
        <v>77939</v>
      </c>
      <c r="F21964" t="s">
        <v>5008</v>
      </c>
      <c r="G21964" t="s">
        <v>1898</v>
      </c>
      <c r="H21964">
        <v>50315</v>
      </c>
      <c r="I21964" t="s">
        <v>30</v>
      </c>
      <c r="J21964" t="s">
        <v>171</v>
      </c>
      <c r="K21964" t="s">
        <v>248</v>
      </c>
      <c r="N21964" t="s">
        <v>77940</v>
      </c>
      <c r="Q21964">
        <v>0</v>
      </c>
      <c r="R21964">
        <v>140</v>
      </c>
      <c r="S21964">
        <v>0</v>
      </c>
      <c r="T21964" t="s">
        <v>77941</v>
      </c>
    </row>
    <row r="21965" spans="1:20" customFormat="1" ht="15" x14ac:dyDescent="0.25">
      <c r="A21965" t="s">
        <v>24</v>
      </c>
      <c r="B21965" t="s">
        <v>71047</v>
      </c>
      <c r="C21965" t="str">
        <f>"A0166254"</f>
        <v>A0166254</v>
      </c>
      <c r="D21965" t="s">
        <v>77942</v>
      </c>
      <c r="E21965" t="s">
        <v>77943</v>
      </c>
      <c r="F21965" t="s">
        <v>9431</v>
      </c>
      <c r="G21965" t="s">
        <v>381</v>
      </c>
      <c r="H21965">
        <v>46214</v>
      </c>
      <c r="I21965" t="s">
        <v>30</v>
      </c>
      <c r="J21965" t="s">
        <v>171</v>
      </c>
      <c r="K21965" t="s">
        <v>248</v>
      </c>
      <c r="N21965" t="s">
        <v>77944</v>
      </c>
      <c r="Q21965">
        <v>0</v>
      </c>
      <c r="R21965">
        <v>0</v>
      </c>
      <c r="S21965">
        <v>0</v>
      </c>
      <c r="T21965" t="s">
        <v>77945</v>
      </c>
    </row>
    <row r="21966" spans="1:20" customFormat="1" ht="15" x14ac:dyDescent="0.25">
      <c r="A21966" t="s">
        <v>24</v>
      </c>
      <c r="B21966" t="s">
        <v>56277</v>
      </c>
      <c r="C21966" t="str">
        <f>"A0095237"</f>
        <v>A0095237</v>
      </c>
      <c r="D21966" t="s">
        <v>77956</v>
      </c>
      <c r="E21966" t="s">
        <v>77957</v>
      </c>
      <c r="F21966" t="s">
        <v>62969</v>
      </c>
      <c r="G21966" t="s">
        <v>221</v>
      </c>
      <c r="H21966">
        <v>89512</v>
      </c>
      <c r="I21966" t="s">
        <v>30</v>
      </c>
      <c r="J21966" t="s">
        <v>171</v>
      </c>
      <c r="K21966" t="s">
        <v>248</v>
      </c>
      <c r="N21966" t="s">
        <v>62972</v>
      </c>
      <c r="O21966" t="s">
        <v>77958</v>
      </c>
      <c r="Q21966">
        <v>0</v>
      </c>
      <c r="R21966">
        <v>281</v>
      </c>
      <c r="S21966">
        <v>0</v>
      </c>
      <c r="T21966" t="s">
        <v>77959</v>
      </c>
    </row>
    <row r="21967" spans="1:20" customFormat="1" ht="15" x14ac:dyDescent="0.25">
      <c r="A21967" t="s">
        <v>24</v>
      </c>
      <c r="B21967" t="s">
        <v>2373</v>
      </c>
      <c r="C21967" t="str">
        <f>"A0088598"</f>
        <v>A0088598</v>
      </c>
      <c r="D21967" t="s">
        <v>77987</v>
      </c>
      <c r="E21967" t="s">
        <v>77988</v>
      </c>
      <c r="F21967" t="s">
        <v>301</v>
      </c>
      <c r="G21967" t="s">
        <v>123</v>
      </c>
      <c r="H21967">
        <v>21202</v>
      </c>
      <c r="I21967" t="s">
        <v>30</v>
      </c>
      <c r="J21967" t="s">
        <v>171</v>
      </c>
      <c r="K21967" t="s">
        <v>7385</v>
      </c>
      <c r="N21967" t="s">
        <v>77989</v>
      </c>
      <c r="Q21967">
        <v>0</v>
      </c>
      <c r="R21967">
        <v>130</v>
      </c>
      <c r="S21967">
        <v>0</v>
      </c>
      <c r="T21967" t="s">
        <v>77990</v>
      </c>
    </row>
    <row r="21968" spans="1:20" customFormat="1" ht="15" x14ac:dyDescent="0.25">
      <c r="A21968" t="s">
        <v>24</v>
      </c>
      <c r="B21968" t="s">
        <v>2373</v>
      </c>
      <c r="C21968" t="str">
        <f>"A0059213"</f>
        <v>A0059213</v>
      </c>
      <c r="D21968" t="s">
        <v>77991</v>
      </c>
      <c r="E21968" t="s">
        <v>77992</v>
      </c>
      <c r="F21968" t="s">
        <v>2900</v>
      </c>
      <c r="G21968" t="s">
        <v>76</v>
      </c>
      <c r="H21968">
        <v>98188</v>
      </c>
      <c r="I21968" t="s">
        <v>30</v>
      </c>
      <c r="J21968" t="s">
        <v>171</v>
      </c>
      <c r="K21968" t="s">
        <v>7385</v>
      </c>
      <c r="N21968" t="s">
        <v>77993</v>
      </c>
      <c r="Q21968">
        <v>0</v>
      </c>
      <c r="R21968">
        <v>144</v>
      </c>
      <c r="S21968">
        <v>0</v>
      </c>
      <c r="T21968" t="s">
        <v>77994</v>
      </c>
    </row>
    <row r="21969" spans="1:20" customFormat="1" ht="15" x14ac:dyDescent="0.25">
      <c r="A21969" t="s">
        <v>24</v>
      </c>
      <c r="B21969" t="s">
        <v>2340</v>
      </c>
      <c r="C21969" t="str">
        <f>"A0054336"</f>
        <v>A0054336</v>
      </c>
      <c r="D21969" t="s">
        <v>78072</v>
      </c>
      <c r="E21969" t="s">
        <v>78073</v>
      </c>
      <c r="F21969" t="s">
        <v>10276</v>
      </c>
      <c r="G21969" t="s">
        <v>846</v>
      </c>
      <c r="H21969">
        <v>30309</v>
      </c>
      <c r="I21969" t="s">
        <v>30</v>
      </c>
      <c r="J21969" t="s">
        <v>171</v>
      </c>
      <c r="K21969" t="s">
        <v>163</v>
      </c>
      <c r="N21969" t="s">
        <v>78074</v>
      </c>
      <c r="O21969" t="s">
        <v>78075</v>
      </c>
      <c r="Q21969">
        <v>0</v>
      </c>
      <c r="R21969">
        <v>96</v>
      </c>
      <c r="S21969">
        <v>0</v>
      </c>
      <c r="T21969" t="s">
        <v>78076</v>
      </c>
    </row>
    <row r="21970" spans="1:20" customFormat="1" ht="15" x14ac:dyDescent="0.25">
      <c r="A21970" t="s">
        <v>24</v>
      </c>
      <c r="B21970" t="s">
        <v>1323</v>
      </c>
      <c r="C21970" t="str">
        <f>"56546"</f>
        <v>56546</v>
      </c>
      <c r="D21970" t="s">
        <v>78362</v>
      </c>
      <c r="E21970" t="s">
        <v>78363</v>
      </c>
      <c r="F21970" t="s">
        <v>55056</v>
      </c>
      <c r="G21970" t="s">
        <v>81</v>
      </c>
      <c r="H21970">
        <v>33803</v>
      </c>
      <c r="I21970" t="s">
        <v>30</v>
      </c>
      <c r="J21970" t="s">
        <v>171</v>
      </c>
      <c r="K21970" t="s">
        <v>1450</v>
      </c>
      <c r="N21970" t="s">
        <v>78364</v>
      </c>
      <c r="Q21970">
        <v>0</v>
      </c>
      <c r="R21970">
        <v>78</v>
      </c>
      <c r="S21970">
        <v>0</v>
      </c>
      <c r="T21970" t="s">
        <v>78365</v>
      </c>
    </row>
    <row r="21971" spans="1:20" customFormat="1" ht="15" x14ac:dyDescent="0.25">
      <c r="A21971" t="s">
        <v>24</v>
      </c>
      <c r="B21971" t="s">
        <v>1020</v>
      </c>
      <c r="C21971" t="str">
        <f>"56907"</f>
        <v>56907</v>
      </c>
      <c r="D21971" t="s">
        <v>78366</v>
      </c>
      <c r="E21971" t="s">
        <v>78367</v>
      </c>
      <c r="F21971" t="s">
        <v>78368</v>
      </c>
      <c r="G21971" t="s">
        <v>615</v>
      </c>
      <c r="H21971">
        <v>6355</v>
      </c>
      <c r="I21971" t="s">
        <v>30</v>
      </c>
      <c r="J21971" t="s">
        <v>171</v>
      </c>
      <c r="K21971" t="s">
        <v>1450</v>
      </c>
      <c r="N21971" t="s">
        <v>78369</v>
      </c>
      <c r="Q21971">
        <v>0</v>
      </c>
      <c r="R21971">
        <v>133</v>
      </c>
      <c r="S21971">
        <v>0</v>
      </c>
      <c r="T21971" t="s">
        <v>78370</v>
      </c>
    </row>
    <row r="21972" spans="1:20" customFormat="1" ht="15" x14ac:dyDescent="0.25">
      <c r="A21972" t="s">
        <v>24</v>
      </c>
      <c r="B21972" t="s">
        <v>3502</v>
      </c>
      <c r="C21972" t="str">
        <f>"56695"</f>
        <v>56695</v>
      </c>
      <c r="D21972" t="s">
        <v>78371</v>
      </c>
      <c r="E21972" t="s">
        <v>78372</v>
      </c>
      <c r="F21972" t="s">
        <v>55295</v>
      </c>
      <c r="G21972" t="s">
        <v>1170</v>
      </c>
      <c r="H21972">
        <v>71109</v>
      </c>
      <c r="I21972" t="s">
        <v>30</v>
      </c>
      <c r="J21972" t="s">
        <v>171</v>
      </c>
      <c r="K21972" t="s">
        <v>1450</v>
      </c>
      <c r="N21972" t="s">
        <v>78373</v>
      </c>
      <c r="O21972" t="s">
        <v>7917</v>
      </c>
      <c r="Q21972">
        <v>0</v>
      </c>
      <c r="R21972">
        <v>78</v>
      </c>
      <c r="S21972">
        <v>0</v>
      </c>
      <c r="T21972" t="s">
        <v>78374</v>
      </c>
    </row>
    <row r="21973" spans="1:20" customFormat="1" ht="15" x14ac:dyDescent="0.25">
      <c r="A21973" t="s">
        <v>24</v>
      </c>
      <c r="B21973" t="s">
        <v>59699</v>
      </c>
      <c r="C21973" t="str">
        <f>"56527"</f>
        <v>56527</v>
      </c>
      <c r="D21973" t="s">
        <v>78375</v>
      </c>
      <c r="E21973" t="s">
        <v>78376</v>
      </c>
      <c r="F21973" t="s">
        <v>67740</v>
      </c>
      <c r="G21973" t="s">
        <v>85</v>
      </c>
      <c r="H21973">
        <v>72762</v>
      </c>
      <c r="I21973" t="s">
        <v>30</v>
      </c>
      <c r="J21973" t="s">
        <v>171</v>
      </c>
      <c r="K21973" t="s">
        <v>1450</v>
      </c>
      <c r="N21973" t="s">
        <v>78377</v>
      </c>
      <c r="Q21973">
        <v>0</v>
      </c>
      <c r="R21973">
        <v>72</v>
      </c>
      <c r="S21973">
        <v>0</v>
      </c>
      <c r="T21973" t="s">
        <v>78378</v>
      </c>
    </row>
    <row r="21974" spans="1:20" customFormat="1" ht="15" x14ac:dyDescent="0.25">
      <c r="A21974" t="s">
        <v>24</v>
      </c>
      <c r="B21974" t="s">
        <v>2955</v>
      </c>
      <c r="C21974" t="str">
        <f>"A0083803"</f>
        <v>A0083803</v>
      </c>
      <c r="D21974" t="s">
        <v>78382</v>
      </c>
      <c r="E21974" t="s">
        <v>59470</v>
      </c>
      <c r="F21974" t="s">
        <v>3967</v>
      </c>
      <c r="G21974" t="s">
        <v>123</v>
      </c>
      <c r="H21974">
        <v>21001</v>
      </c>
      <c r="I21974" t="s">
        <v>30</v>
      </c>
      <c r="J21974" t="s">
        <v>171</v>
      </c>
      <c r="K21974" t="s">
        <v>1450</v>
      </c>
      <c r="N21974" t="s">
        <v>59471</v>
      </c>
      <c r="O21974" t="s">
        <v>78383</v>
      </c>
      <c r="Q21974">
        <v>0</v>
      </c>
      <c r="R21974">
        <v>78</v>
      </c>
      <c r="S21974">
        <v>0</v>
      </c>
      <c r="T21974" t="s">
        <v>78384</v>
      </c>
    </row>
    <row r="21975" spans="1:20" customFormat="1" ht="15" x14ac:dyDescent="0.25">
      <c r="A21975" t="s">
        <v>24</v>
      </c>
      <c r="B21975" t="s">
        <v>1561</v>
      </c>
      <c r="C21975" t="str">
        <f>"A0087211"</f>
        <v>A0087211</v>
      </c>
      <c r="D21975" t="s">
        <v>78385</v>
      </c>
      <c r="E21975" t="s">
        <v>78386</v>
      </c>
      <c r="F21975" t="s">
        <v>59476</v>
      </c>
      <c r="G21975" t="s">
        <v>52</v>
      </c>
      <c r="H21975">
        <v>79601</v>
      </c>
      <c r="I21975" t="s">
        <v>30</v>
      </c>
      <c r="J21975" t="s">
        <v>171</v>
      </c>
      <c r="K21975" t="s">
        <v>1450</v>
      </c>
      <c r="N21975" t="s">
        <v>78387</v>
      </c>
      <c r="Q21975">
        <v>0</v>
      </c>
      <c r="R21975">
        <v>117</v>
      </c>
      <c r="S21975">
        <v>0</v>
      </c>
      <c r="T21975" t="s">
        <v>78388</v>
      </c>
    </row>
    <row r="21976" spans="1:20" customFormat="1" ht="15" x14ac:dyDescent="0.25">
      <c r="A21976" t="s">
        <v>24</v>
      </c>
      <c r="B21976" t="s">
        <v>1138</v>
      </c>
      <c r="C21976" t="str">
        <f>"A0092369"</f>
        <v>A0092369</v>
      </c>
      <c r="D21976" t="s">
        <v>78389</v>
      </c>
      <c r="E21976" t="s">
        <v>78390</v>
      </c>
      <c r="F21976" t="s">
        <v>6897</v>
      </c>
      <c r="G21976" t="s">
        <v>99</v>
      </c>
      <c r="H21976">
        <v>12203</v>
      </c>
      <c r="I21976" t="s">
        <v>30</v>
      </c>
      <c r="J21976" t="s">
        <v>171</v>
      </c>
      <c r="K21976" t="s">
        <v>1450</v>
      </c>
      <c r="N21976" t="s">
        <v>78391</v>
      </c>
      <c r="Q21976">
        <v>0</v>
      </c>
      <c r="R21976">
        <v>106</v>
      </c>
      <c r="S21976">
        <v>0</v>
      </c>
      <c r="T21976" t="s">
        <v>78392</v>
      </c>
    </row>
    <row r="21977" spans="1:20" customFormat="1" ht="15" x14ac:dyDescent="0.25">
      <c r="A21977" t="s">
        <v>24</v>
      </c>
      <c r="B21977" t="s">
        <v>55633</v>
      </c>
      <c r="C21977" t="str">
        <f>"A0093486"</f>
        <v>A0093486</v>
      </c>
      <c r="D21977" t="s">
        <v>78393</v>
      </c>
      <c r="E21977" t="s">
        <v>78394</v>
      </c>
      <c r="F21977" t="s">
        <v>997</v>
      </c>
      <c r="G21977" t="s">
        <v>99</v>
      </c>
      <c r="H21977">
        <v>12065</v>
      </c>
      <c r="I21977" t="s">
        <v>30</v>
      </c>
      <c r="J21977" t="s">
        <v>171</v>
      </c>
      <c r="K21977" t="s">
        <v>1450</v>
      </c>
      <c r="N21977" t="s">
        <v>78395</v>
      </c>
      <c r="Q21977">
        <v>0</v>
      </c>
      <c r="R21977">
        <v>112</v>
      </c>
      <c r="S21977">
        <v>0</v>
      </c>
      <c r="T21977" t="s">
        <v>78396</v>
      </c>
    </row>
    <row r="21978" spans="1:20" customFormat="1" ht="15" x14ac:dyDescent="0.25">
      <c r="A21978" t="s">
        <v>24</v>
      </c>
      <c r="B21978" t="s">
        <v>5079</v>
      </c>
      <c r="C21978" t="str">
        <f>"A0149480"</f>
        <v>A0149480</v>
      </c>
      <c r="D21978" t="s">
        <v>78397</v>
      </c>
      <c r="E21978" t="s">
        <v>59503</v>
      </c>
      <c r="F21978" t="s">
        <v>59504</v>
      </c>
      <c r="G21978" t="s">
        <v>99</v>
      </c>
      <c r="H21978">
        <v>12205</v>
      </c>
      <c r="I21978" t="s">
        <v>30</v>
      </c>
      <c r="J21978" t="s">
        <v>171</v>
      </c>
      <c r="K21978" t="s">
        <v>1450</v>
      </c>
      <c r="N21978" t="s">
        <v>3486</v>
      </c>
      <c r="O21978" t="s">
        <v>59505</v>
      </c>
      <c r="Q21978">
        <v>0</v>
      </c>
      <c r="R21978">
        <v>85</v>
      </c>
      <c r="S21978">
        <v>0</v>
      </c>
      <c r="T21978" t="s">
        <v>59507</v>
      </c>
    </row>
    <row r="21979" spans="1:20" customFormat="1" ht="15" x14ac:dyDescent="0.25">
      <c r="A21979" t="s">
        <v>24</v>
      </c>
      <c r="B21979" t="s">
        <v>1561</v>
      </c>
      <c r="C21979" t="str">
        <f>"A0087506"</f>
        <v>A0087506</v>
      </c>
      <c r="D21979" t="s">
        <v>78398</v>
      </c>
      <c r="E21979" t="s">
        <v>78399</v>
      </c>
      <c r="F21979" t="s">
        <v>34900</v>
      </c>
      <c r="G21979" t="s">
        <v>1587</v>
      </c>
      <c r="H21979">
        <v>87106</v>
      </c>
      <c r="I21979" t="s">
        <v>30</v>
      </c>
      <c r="J21979" t="s">
        <v>171</v>
      </c>
      <c r="K21979" t="s">
        <v>1450</v>
      </c>
      <c r="N21979" t="s">
        <v>78400</v>
      </c>
      <c r="Q21979">
        <v>0</v>
      </c>
      <c r="R21979">
        <v>110</v>
      </c>
      <c r="S21979">
        <v>0</v>
      </c>
      <c r="T21979" t="s">
        <v>78401</v>
      </c>
    </row>
    <row r="21980" spans="1:20" customFormat="1" ht="15" x14ac:dyDescent="0.25">
      <c r="A21980" t="s">
        <v>24</v>
      </c>
      <c r="B21980" t="s">
        <v>4400</v>
      </c>
      <c r="C21980" t="str">
        <f>"A0064978"</f>
        <v>A0064978</v>
      </c>
      <c r="D21980" t="s">
        <v>78402</v>
      </c>
      <c r="E21980" t="s">
        <v>78403</v>
      </c>
      <c r="F21980" t="s">
        <v>34900</v>
      </c>
      <c r="G21980" t="s">
        <v>1587</v>
      </c>
      <c r="H21980">
        <v>87109</v>
      </c>
      <c r="I21980" t="s">
        <v>30</v>
      </c>
      <c r="J21980" t="s">
        <v>171</v>
      </c>
      <c r="K21980" t="s">
        <v>1450</v>
      </c>
      <c r="N21980" t="s">
        <v>78404</v>
      </c>
      <c r="Q21980">
        <v>0</v>
      </c>
      <c r="R21980">
        <v>90</v>
      </c>
      <c r="S21980">
        <v>0</v>
      </c>
      <c r="T21980" t="s">
        <v>78405</v>
      </c>
    </row>
    <row r="21981" spans="1:20" customFormat="1" ht="15" x14ac:dyDescent="0.25">
      <c r="A21981" t="s">
        <v>24</v>
      </c>
      <c r="B21981" t="s">
        <v>5104</v>
      </c>
      <c r="C21981" t="str">
        <f>"A0085975"</f>
        <v>A0085975</v>
      </c>
      <c r="D21981" t="s">
        <v>78406</v>
      </c>
      <c r="E21981" t="s">
        <v>78407</v>
      </c>
      <c r="F21981" t="s">
        <v>1622</v>
      </c>
      <c r="G21981" t="s">
        <v>29</v>
      </c>
      <c r="H21981">
        <v>22314</v>
      </c>
      <c r="I21981" t="s">
        <v>30</v>
      </c>
      <c r="J21981" t="s">
        <v>171</v>
      </c>
      <c r="K21981" t="s">
        <v>1450</v>
      </c>
      <c r="N21981" t="s">
        <v>78408</v>
      </c>
      <c r="Q21981">
        <v>0</v>
      </c>
      <c r="R21981">
        <v>180</v>
      </c>
      <c r="S21981">
        <v>0</v>
      </c>
      <c r="T21981" t="s">
        <v>78409</v>
      </c>
    </row>
    <row r="21982" spans="1:20" customFormat="1" ht="15" x14ac:dyDescent="0.25">
      <c r="A21982" t="s">
        <v>24</v>
      </c>
      <c r="B21982" t="s">
        <v>675</v>
      </c>
      <c r="C21982" t="str">
        <f>"57178"</f>
        <v>57178</v>
      </c>
      <c r="D21982" t="s">
        <v>78410</v>
      </c>
      <c r="E21982" t="s">
        <v>78411</v>
      </c>
      <c r="F21982" t="s">
        <v>1622</v>
      </c>
      <c r="G21982" t="s">
        <v>29</v>
      </c>
      <c r="H21982">
        <v>22314</v>
      </c>
      <c r="I21982" t="s">
        <v>30</v>
      </c>
      <c r="J21982" t="s">
        <v>171</v>
      </c>
      <c r="K21982" t="s">
        <v>1450</v>
      </c>
      <c r="N21982" t="s">
        <v>78412</v>
      </c>
      <c r="O21982" t="s">
        <v>78413</v>
      </c>
      <c r="Q21982">
        <v>0</v>
      </c>
      <c r="R21982">
        <v>240</v>
      </c>
      <c r="S21982">
        <v>0</v>
      </c>
      <c r="T21982" t="s">
        <v>78414</v>
      </c>
    </row>
    <row r="21983" spans="1:20" customFormat="1" ht="15" x14ac:dyDescent="0.25">
      <c r="A21983" t="s">
        <v>24</v>
      </c>
      <c r="B21983" t="s">
        <v>5830</v>
      </c>
      <c r="C21983" t="str">
        <f>"A0088696"</f>
        <v>A0088696</v>
      </c>
      <c r="D21983" t="s">
        <v>78415</v>
      </c>
      <c r="E21983" t="s">
        <v>78416</v>
      </c>
      <c r="F21983" t="s">
        <v>67198</v>
      </c>
      <c r="G21983" t="s">
        <v>81</v>
      </c>
      <c r="H21983">
        <v>32034</v>
      </c>
      <c r="I21983" t="s">
        <v>30</v>
      </c>
      <c r="J21983" t="s">
        <v>171</v>
      </c>
      <c r="K21983" t="s">
        <v>1450</v>
      </c>
      <c r="N21983" t="s">
        <v>78417</v>
      </c>
      <c r="Q21983">
        <v>0</v>
      </c>
      <c r="R21983">
        <v>133</v>
      </c>
      <c r="S21983">
        <v>0</v>
      </c>
      <c r="T21983" t="s">
        <v>78418</v>
      </c>
    </row>
    <row r="21984" spans="1:20" customFormat="1" ht="15" x14ac:dyDescent="0.25">
      <c r="A21984" t="s">
        <v>24</v>
      </c>
      <c r="B21984" t="s">
        <v>2528</v>
      </c>
      <c r="C21984" t="str">
        <f>"A0059535"</f>
        <v>A0059535</v>
      </c>
      <c r="D21984" t="s">
        <v>78419</v>
      </c>
      <c r="E21984" t="s">
        <v>78420</v>
      </c>
      <c r="F21984" t="s">
        <v>8319</v>
      </c>
      <c r="G21984" t="s">
        <v>110</v>
      </c>
      <c r="H21984">
        <v>92840</v>
      </c>
      <c r="I21984" t="s">
        <v>30</v>
      </c>
      <c r="J21984" t="s">
        <v>171</v>
      </c>
      <c r="K21984" t="s">
        <v>1450</v>
      </c>
      <c r="N21984" t="s">
        <v>14534</v>
      </c>
      <c r="Q21984">
        <v>0</v>
      </c>
      <c r="R21984">
        <v>200</v>
      </c>
      <c r="S21984">
        <v>0</v>
      </c>
      <c r="T21984" t="s">
        <v>78421</v>
      </c>
    </row>
    <row r="21985" spans="1:20" customFormat="1" ht="15" x14ac:dyDescent="0.25">
      <c r="A21985" t="s">
        <v>24</v>
      </c>
      <c r="B21985" t="s">
        <v>3045</v>
      </c>
      <c r="C21985" t="str">
        <f>"56820"</f>
        <v>56820</v>
      </c>
      <c r="D21985" t="s">
        <v>78422</v>
      </c>
      <c r="E21985" t="s">
        <v>78423</v>
      </c>
      <c r="F21985" t="s">
        <v>3048</v>
      </c>
      <c r="G21985" t="s">
        <v>3049</v>
      </c>
      <c r="H21985">
        <v>99508</v>
      </c>
      <c r="I21985" t="s">
        <v>30</v>
      </c>
      <c r="J21985" t="s">
        <v>171</v>
      </c>
      <c r="K21985" t="s">
        <v>1450</v>
      </c>
      <c r="N21985" t="s">
        <v>78424</v>
      </c>
      <c r="O21985" t="s">
        <v>78425</v>
      </c>
      <c r="Q21985">
        <v>0</v>
      </c>
      <c r="R21985">
        <v>148</v>
      </c>
      <c r="S21985">
        <v>0</v>
      </c>
      <c r="T21985" t="s">
        <v>78426</v>
      </c>
    </row>
    <row r="21986" spans="1:20" customFormat="1" ht="15" x14ac:dyDescent="0.25">
      <c r="A21986" t="s">
        <v>24</v>
      </c>
      <c r="B21986" t="s">
        <v>7405</v>
      </c>
      <c r="C21986" t="str">
        <f>"57181"</f>
        <v>57181</v>
      </c>
      <c r="D21986" t="s">
        <v>78427</v>
      </c>
      <c r="E21986" t="s">
        <v>78428</v>
      </c>
      <c r="F21986" t="s">
        <v>9566</v>
      </c>
      <c r="G21986" t="s">
        <v>899</v>
      </c>
      <c r="H21986">
        <v>1810</v>
      </c>
      <c r="I21986" t="s">
        <v>30</v>
      </c>
      <c r="J21986" t="s">
        <v>171</v>
      </c>
      <c r="K21986" t="s">
        <v>1450</v>
      </c>
      <c r="Q21986">
        <v>0</v>
      </c>
      <c r="R21986">
        <v>120</v>
      </c>
      <c r="S21986">
        <v>0</v>
      </c>
      <c r="T21986" t="s">
        <v>78429</v>
      </c>
    </row>
    <row r="21987" spans="1:20" customFormat="1" ht="15" x14ac:dyDescent="0.25">
      <c r="A21987" t="s">
        <v>24</v>
      </c>
      <c r="B21987" t="s">
        <v>2583</v>
      </c>
      <c r="C21987" t="str">
        <f>"A0094618"</f>
        <v>A0094618</v>
      </c>
      <c r="D21987" t="s">
        <v>78430</v>
      </c>
      <c r="E21987" t="s">
        <v>78431</v>
      </c>
      <c r="F21987" t="s">
        <v>6840</v>
      </c>
      <c r="G21987" t="s">
        <v>117</v>
      </c>
      <c r="H21987">
        <v>48104</v>
      </c>
      <c r="I21987" t="s">
        <v>30</v>
      </c>
      <c r="J21987" t="s">
        <v>171</v>
      </c>
      <c r="K21987" t="s">
        <v>1450</v>
      </c>
      <c r="N21987" t="s">
        <v>78432</v>
      </c>
      <c r="Q21987">
        <v>0</v>
      </c>
      <c r="R21987">
        <v>110</v>
      </c>
      <c r="S21987">
        <v>0</v>
      </c>
      <c r="T21987" t="s">
        <v>78433</v>
      </c>
    </row>
    <row r="21988" spans="1:20" customFormat="1" ht="15" x14ac:dyDescent="0.25">
      <c r="A21988" t="s">
        <v>24</v>
      </c>
      <c r="B21988" t="s">
        <v>10054</v>
      </c>
      <c r="C21988" t="str">
        <f>"A0092270"</f>
        <v>A0092270</v>
      </c>
      <c r="D21988" t="s">
        <v>78434</v>
      </c>
      <c r="E21988" t="s">
        <v>78435</v>
      </c>
      <c r="F21988" t="s">
        <v>1131</v>
      </c>
      <c r="G21988" t="s">
        <v>29</v>
      </c>
      <c r="H21988">
        <v>22203</v>
      </c>
      <c r="I21988" t="s">
        <v>30</v>
      </c>
      <c r="J21988" t="s">
        <v>171</v>
      </c>
      <c r="K21988" t="s">
        <v>1450</v>
      </c>
      <c r="N21988" t="s">
        <v>78436</v>
      </c>
      <c r="Q21988">
        <v>0</v>
      </c>
      <c r="R21988">
        <v>183</v>
      </c>
      <c r="S21988">
        <v>0</v>
      </c>
      <c r="T21988" t="s">
        <v>78437</v>
      </c>
    </row>
    <row r="21989" spans="1:20" customFormat="1" ht="15" x14ac:dyDescent="0.25">
      <c r="A21989" t="s">
        <v>24</v>
      </c>
      <c r="B21989" t="s">
        <v>675</v>
      </c>
      <c r="C21989" t="str">
        <f>"A0088577"</f>
        <v>A0088577</v>
      </c>
      <c r="D21989" t="s">
        <v>78438</v>
      </c>
      <c r="E21989" t="s">
        <v>78439</v>
      </c>
      <c r="F21989" t="s">
        <v>1131</v>
      </c>
      <c r="G21989" t="s">
        <v>29</v>
      </c>
      <c r="H21989">
        <v>22202</v>
      </c>
      <c r="I21989" t="s">
        <v>30</v>
      </c>
      <c r="J21989" t="s">
        <v>171</v>
      </c>
      <c r="K21989" t="s">
        <v>1450</v>
      </c>
      <c r="N21989" t="s">
        <v>78440</v>
      </c>
      <c r="O21989" t="s">
        <v>78097</v>
      </c>
      <c r="Q21989">
        <v>0</v>
      </c>
      <c r="R21989">
        <v>325</v>
      </c>
      <c r="S21989">
        <v>0</v>
      </c>
      <c r="T21989" t="s">
        <v>78441</v>
      </c>
    </row>
    <row r="21990" spans="1:20" customFormat="1" ht="15" x14ac:dyDescent="0.25">
      <c r="A21990" t="s">
        <v>24</v>
      </c>
      <c r="B21990" t="s">
        <v>10054</v>
      </c>
      <c r="C21990" t="str">
        <f>"A0088428"</f>
        <v>A0088428</v>
      </c>
      <c r="D21990" t="s">
        <v>78442</v>
      </c>
      <c r="E21990" t="s">
        <v>78443</v>
      </c>
      <c r="F21990" t="s">
        <v>1131</v>
      </c>
      <c r="G21990" t="s">
        <v>29</v>
      </c>
      <c r="H21990">
        <v>22201</v>
      </c>
      <c r="I21990" t="s">
        <v>30</v>
      </c>
      <c r="J21990" t="s">
        <v>171</v>
      </c>
      <c r="K21990" t="s">
        <v>1450</v>
      </c>
      <c r="N21990" t="s">
        <v>78436</v>
      </c>
      <c r="Q21990">
        <v>0</v>
      </c>
      <c r="R21990">
        <v>176</v>
      </c>
      <c r="S21990">
        <v>0</v>
      </c>
      <c r="T21990" t="s">
        <v>78444</v>
      </c>
    </row>
    <row r="21991" spans="1:20" customFormat="1" ht="15" x14ac:dyDescent="0.25">
      <c r="A21991" t="s">
        <v>24</v>
      </c>
      <c r="B21991" t="s">
        <v>10054</v>
      </c>
      <c r="C21991" t="str">
        <f>"56618"</f>
        <v>56618</v>
      </c>
      <c r="D21991" t="s">
        <v>78445</v>
      </c>
      <c r="E21991" t="s">
        <v>78446</v>
      </c>
      <c r="F21991" t="s">
        <v>1131</v>
      </c>
      <c r="G21991" t="s">
        <v>29</v>
      </c>
      <c r="H21991">
        <v>22209</v>
      </c>
      <c r="I21991" t="s">
        <v>30</v>
      </c>
      <c r="J21991" t="s">
        <v>171</v>
      </c>
      <c r="K21991" t="s">
        <v>1450</v>
      </c>
      <c r="N21991" t="s">
        <v>78447</v>
      </c>
      <c r="Q21991">
        <v>0</v>
      </c>
      <c r="R21991">
        <v>176</v>
      </c>
      <c r="S21991">
        <v>0</v>
      </c>
      <c r="T21991" t="s">
        <v>78448</v>
      </c>
    </row>
    <row r="21992" spans="1:20" customFormat="1" ht="15" x14ac:dyDescent="0.25">
      <c r="A21992" t="s">
        <v>24</v>
      </c>
      <c r="B21992" t="s">
        <v>675</v>
      </c>
      <c r="C21992" t="str">
        <f>"57201"</f>
        <v>57201</v>
      </c>
      <c r="D21992" t="s">
        <v>78449</v>
      </c>
      <c r="E21992" t="s">
        <v>78450</v>
      </c>
      <c r="F21992" t="s">
        <v>845</v>
      </c>
      <c r="G21992" t="s">
        <v>846</v>
      </c>
      <c r="H21992">
        <v>30305</v>
      </c>
      <c r="I21992" t="s">
        <v>30</v>
      </c>
      <c r="J21992" t="s">
        <v>171</v>
      </c>
      <c r="K21992" t="s">
        <v>1450</v>
      </c>
      <c r="N21992" t="s">
        <v>78451</v>
      </c>
      <c r="Q21992">
        <v>0</v>
      </c>
      <c r="R21992">
        <v>136</v>
      </c>
      <c r="S21992">
        <v>0</v>
      </c>
      <c r="T21992" t="s">
        <v>78452</v>
      </c>
    </row>
    <row r="21993" spans="1:20" customFormat="1" ht="15" x14ac:dyDescent="0.25">
      <c r="A21993" t="s">
        <v>24</v>
      </c>
      <c r="B21993" t="s">
        <v>675</v>
      </c>
      <c r="C21993" t="str">
        <f>"57231"</f>
        <v>57231</v>
      </c>
      <c r="D21993" t="s">
        <v>78453</v>
      </c>
      <c r="E21993" t="s">
        <v>78454</v>
      </c>
      <c r="F21993" t="s">
        <v>78455</v>
      </c>
      <c r="G21993" t="s">
        <v>846</v>
      </c>
      <c r="H21993">
        <v>30354</v>
      </c>
      <c r="I21993" t="s">
        <v>30</v>
      </c>
      <c r="J21993" t="s">
        <v>171</v>
      </c>
      <c r="K21993" t="s">
        <v>1450</v>
      </c>
      <c r="N21993" t="s">
        <v>78456</v>
      </c>
      <c r="Q21993">
        <v>0</v>
      </c>
      <c r="R21993">
        <v>126</v>
      </c>
      <c r="S21993">
        <v>0</v>
      </c>
      <c r="T21993" t="s">
        <v>78457</v>
      </c>
    </row>
    <row r="21994" spans="1:20" customFormat="1" ht="15" x14ac:dyDescent="0.25">
      <c r="A21994" t="s">
        <v>24</v>
      </c>
      <c r="B21994" t="s">
        <v>5564</v>
      </c>
      <c r="C21994" t="str">
        <f>"A0100055"</f>
        <v>A0100055</v>
      </c>
      <c r="D21994" t="s">
        <v>78458</v>
      </c>
      <c r="E21994" t="s">
        <v>78459</v>
      </c>
      <c r="F21994" t="s">
        <v>4348</v>
      </c>
      <c r="G21994" t="s">
        <v>846</v>
      </c>
      <c r="H21994">
        <v>30253</v>
      </c>
      <c r="I21994" t="s">
        <v>30</v>
      </c>
      <c r="J21994" t="s">
        <v>171</v>
      </c>
      <c r="K21994" t="s">
        <v>1450</v>
      </c>
      <c r="N21994" t="s">
        <v>78460</v>
      </c>
      <c r="O21994" t="s">
        <v>78461</v>
      </c>
      <c r="Q21994">
        <v>0</v>
      </c>
      <c r="R21994">
        <v>112</v>
      </c>
      <c r="S21994">
        <v>0</v>
      </c>
      <c r="T21994" t="s">
        <v>78462</v>
      </c>
    </row>
    <row r="21995" spans="1:20" customFormat="1" ht="15" x14ac:dyDescent="0.25">
      <c r="A21995" t="s">
        <v>24</v>
      </c>
      <c r="B21995" t="s">
        <v>649</v>
      </c>
      <c r="C21995" t="str">
        <f>"A0098251"</f>
        <v>A0098251</v>
      </c>
      <c r="D21995" t="s">
        <v>78463</v>
      </c>
      <c r="E21995" t="s">
        <v>78464</v>
      </c>
      <c r="F21995" t="s">
        <v>78465</v>
      </c>
      <c r="G21995" t="s">
        <v>846</v>
      </c>
      <c r="H21995">
        <v>30346</v>
      </c>
      <c r="I21995" t="s">
        <v>30</v>
      </c>
      <c r="J21995" t="s">
        <v>171</v>
      </c>
      <c r="K21995" t="s">
        <v>1450</v>
      </c>
      <c r="N21995" t="s">
        <v>33408</v>
      </c>
      <c r="Q21995">
        <v>0</v>
      </c>
      <c r="R21995">
        <v>127</v>
      </c>
      <c r="S21995">
        <v>0</v>
      </c>
      <c r="T21995" t="s">
        <v>78466</v>
      </c>
    </row>
    <row r="21996" spans="1:20" customFormat="1" ht="15" x14ac:dyDescent="0.25">
      <c r="A21996" t="s">
        <v>24</v>
      </c>
      <c r="B21996" t="s">
        <v>5564</v>
      </c>
      <c r="C21996" t="str">
        <f>"A0094413"</f>
        <v>A0094413</v>
      </c>
      <c r="D21996" t="s">
        <v>78467</v>
      </c>
      <c r="E21996" t="s">
        <v>78468</v>
      </c>
      <c r="F21996" t="s">
        <v>9854</v>
      </c>
      <c r="G21996" t="s">
        <v>846</v>
      </c>
      <c r="H21996">
        <v>30909</v>
      </c>
      <c r="I21996" t="s">
        <v>30</v>
      </c>
      <c r="J21996" t="s">
        <v>171</v>
      </c>
      <c r="K21996" t="s">
        <v>1450</v>
      </c>
      <c r="N21996" t="s">
        <v>78469</v>
      </c>
      <c r="Q21996">
        <v>0</v>
      </c>
      <c r="R21996">
        <v>124</v>
      </c>
      <c r="S21996">
        <v>0</v>
      </c>
      <c r="T21996" t="s">
        <v>78470</v>
      </c>
    </row>
    <row r="21997" spans="1:20" customFormat="1" ht="15" x14ac:dyDescent="0.25">
      <c r="A21997" t="s">
        <v>24</v>
      </c>
      <c r="B21997" t="s">
        <v>5843</v>
      </c>
      <c r="C21997" t="str">
        <f>"A0094124"</f>
        <v>A0094124</v>
      </c>
      <c r="D21997" t="s">
        <v>78471</v>
      </c>
      <c r="E21997" t="s">
        <v>78472</v>
      </c>
      <c r="F21997" t="s">
        <v>372</v>
      </c>
      <c r="G21997" t="s">
        <v>52</v>
      </c>
      <c r="H21997">
        <v>78730</v>
      </c>
      <c r="I21997" t="s">
        <v>30</v>
      </c>
      <c r="J21997" t="s">
        <v>171</v>
      </c>
      <c r="K21997" t="s">
        <v>1450</v>
      </c>
      <c r="N21997" t="s">
        <v>78473</v>
      </c>
      <c r="O21997" t="s">
        <v>78474</v>
      </c>
      <c r="Q21997">
        <v>0</v>
      </c>
      <c r="R21997">
        <v>100</v>
      </c>
      <c r="S21997">
        <v>0</v>
      </c>
      <c r="T21997" t="s">
        <v>78475</v>
      </c>
    </row>
    <row r="21998" spans="1:20" customFormat="1" ht="15" x14ac:dyDescent="0.25">
      <c r="A21998" t="s">
        <v>24</v>
      </c>
      <c r="B21998" t="s">
        <v>78476</v>
      </c>
      <c r="C21998" t="str">
        <f>"56648"</f>
        <v>56648</v>
      </c>
      <c r="D21998" t="s">
        <v>78477</v>
      </c>
      <c r="E21998" t="s">
        <v>78478</v>
      </c>
      <c r="F21998" t="s">
        <v>372</v>
      </c>
      <c r="G21998" t="s">
        <v>52</v>
      </c>
      <c r="H21998">
        <v>78753</v>
      </c>
      <c r="I21998" t="s">
        <v>30</v>
      </c>
      <c r="J21998" t="s">
        <v>171</v>
      </c>
      <c r="K21998" t="s">
        <v>1450</v>
      </c>
      <c r="N21998" t="s">
        <v>78479</v>
      </c>
      <c r="Q21998">
        <v>0</v>
      </c>
      <c r="R21998">
        <v>88</v>
      </c>
      <c r="S21998">
        <v>0</v>
      </c>
      <c r="T21998" t="s">
        <v>78480</v>
      </c>
    </row>
    <row r="21999" spans="1:20" customFormat="1" ht="15" x14ac:dyDescent="0.25">
      <c r="A21999" t="s">
        <v>24</v>
      </c>
      <c r="B21999" t="s">
        <v>2528</v>
      </c>
      <c r="C21999" t="str">
        <f>"A0092190"</f>
        <v>A0092190</v>
      </c>
      <c r="D21999" t="s">
        <v>78481</v>
      </c>
      <c r="E21999" t="s">
        <v>78482</v>
      </c>
      <c r="F21999" t="s">
        <v>372</v>
      </c>
      <c r="G21999" t="s">
        <v>52</v>
      </c>
      <c r="H21999">
        <v>78758</v>
      </c>
      <c r="I21999" t="s">
        <v>30</v>
      </c>
      <c r="J21999" t="s">
        <v>171</v>
      </c>
      <c r="K21999" t="s">
        <v>1450</v>
      </c>
      <c r="N21999" t="s">
        <v>78483</v>
      </c>
      <c r="O21999" t="s">
        <v>78484</v>
      </c>
      <c r="Q21999">
        <v>0</v>
      </c>
      <c r="R21999">
        <v>132</v>
      </c>
      <c r="S21999">
        <v>0</v>
      </c>
      <c r="T21999" t="s">
        <v>78485</v>
      </c>
    </row>
    <row r="22000" spans="1:20" customFormat="1" ht="15" x14ac:dyDescent="0.25">
      <c r="A22000" t="s">
        <v>24</v>
      </c>
      <c r="B22000" t="s">
        <v>78486</v>
      </c>
      <c r="C22000" t="str">
        <f>"56904"</f>
        <v>56904</v>
      </c>
      <c r="D22000" t="s">
        <v>78487</v>
      </c>
      <c r="E22000" t="s">
        <v>78488</v>
      </c>
      <c r="F22000" t="s">
        <v>372</v>
      </c>
      <c r="G22000" t="s">
        <v>52</v>
      </c>
      <c r="H22000">
        <v>78759</v>
      </c>
      <c r="I22000" t="s">
        <v>30</v>
      </c>
      <c r="J22000" t="s">
        <v>171</v>
      </c>
      <c r="K22000" t="s">
        <v>1450</v>
      </c>
      <c r="N22000" t="s">
        <v>59653</v>
      </c>
      <c r="O22000" t="s">
        <v>78489</v>
      </c>
      <c r="Q22000">
        <v>0</v>
      </c>
      <c r="R22000">
        <v>84</v>
      </c>
      <c r="S22000">
        <v>0</v>
      </c>
      <c r="T22000" t="s">
        <v>78490</v>
      </c>
    </row>
    <row r="22001" spans="1:20" customFormat="1" ht="15" x14ac:dyDescent="0.25">
      <c r="A22001" t="s">
        <v>24</v>
      </c>
      <c r="B22001" t="s">
        <v>4400</v>
      </c>
      <c r="C22001" t="str">
        <f>"A0083621"</f>
        <v>A0083621</v>
      </c>
      <c r="D22001" t="s">
        <v>78491</v>
      </c>
      <c r="E22001" t="s">
        <v>78492</v>
      </c>
      <c r="F22001" t="s">
        <v>34979</v>
      </c>
      <c r="G22001" t="s">
        <v>1170</v>
      </c>
      <c r="H22001">
        <v>70809</v>
      </c>
      <c r="I22001" t="s">
        <v>30</v>
      </c>
      <c r="J22001" t="s">
        <v>171</v>
      </c>
      <c r="K22001" t="s">
        <v>1450</v>
      </c>
      <c r="N22001" t="s">
        <v>78493</v>
      </c>
      <c r="Q22001">
        <v>0</v>
      </c>
      <c r="R22001">
        <v>93</v>
      </c>
      <c r="S22001">
        <v>0</v>
      </c>
      <c r="T22001" t="s">
        <v>78494</v>
      </c>
    </row>
    <row r="22002" spans="1:20" customFormat="1" ht="15" x14ac:dyDescent="0.25">
      <c r="A22002" t="s">
        <v>24</v>
      </c>
      <c r="B22002" t="s">
        <v>33301</v>
      </c>
      <c r="C22002" t="str">
        <f>"A0086990"</f>
        <v>A0086990</v>
      </c>
      <c r="D22002" t="s">
        <v>78495</v>
      </c>
      <c r="E22002" t="s">
        <v>78496</v>
      </c>
      <c r="F22002" t="s">
        <v>53383</v>
      </c>
      <c r="G22002" t="s">
        <v>52</v>
      </c>
      <c r="H22002">
        <v>77705</v>
      </c>
      <c r="I22002" t="s">
        <v>30</v>
      </c>
      <c r="J22002" t="s">
        <v>171</v>
      </c>
      <c r="K22002" t="s">
        <v>1450</v>
      </c>
      <c r="N22002" t="s">
        <v>78497</v>
      </c>
      <c r="Q22002">
        <v>0</v>
      </c>
      <c r="R22002">
        <v>133</v>
      </c>
      <c r="S22002">
        <v>0</v>
      </c>
      <c r="T22002" t="s">
        <v>78498</v>
      </c>
    </row>
    <row r="22003" spans="1:20" customFormat="1" ht="15" x14ac:dyDescent="0.25">
      <c r="A22003" t="s">
        <v>24</v>
      </c>
      <c r="B22003" t="s">
        <v>675</v>
      </c>
      <c r="C22003" t="str">
        <f>"57136"</f>
        <v>57136</v>
      </c>
      <c r="D22003" t="s">
        <v>78499</v>
      </c>
      <c r="E22003" t="s">
        <v>78500</v>
      </c>
      <c r="F22003" t="s">
        <v>6609</v>
      </c>
      <c r="G22003" t="s">
        <v>123</v>
      </c>
      <c r="H22003">
        <v>20814</v>
      </c>
      <c r="I22003" t="s">
        <v>30</v>
      </c>
      <c r="J22003" t="s">
        <v>171</v>
      </c>
      <c r="K22003" t="s">
        <v>1450</v>
      </c>
      <c r="N22003" t="s">
        <v>78501</v>
      </c>
      <c r="O22003" t="s">
        <v>78502</v>
      </c>
      <c r="Q22003">
        <v>0</v>
      </c>
      <c r="R22003">
        <v>187</v>
      </c>
      <c r="S22003">
        <v>0</v>
      </c>
      <c r="T22003" t="s">
        <v>78503</v>
      </c>
    </row>
    <row r="22004" spans="1:20" customFormat="1" ht="15" x14ac:dyDescent="0.25">
      <c r="A22004" t="s">
        <v>24</v>
      </c>
      <c r="B22004" t="s">
        <v>5435</v>
      </c>
      <c r="C22004" t="str">
        <f>"A0147551"</f>
        <v>A0147551</v>
      </c>
      <c r="D22004" t="s">
        <v>78504</v>
      </c>
      <c r="E22004" t="s">
        <v>78505</v>
      </c>
      <c r="F22004" t="s">
        <v>9097</v>
      </c>
      <c r="G22004" t="s">
        <v>1184</v>
      </c>
      <c r="H22004">
        <v>59716</v>
      </c>
      <c r="I22004" t="s">
        <v>30</v>
      </c>
      <c r="J22004" t="s">
        <v>171</v>
      </c>
      <c r="K22004" t="s">
        <v>1450</v>
      </c>
      <c r="N22004" t="s">
        <v>10495</v>
      </c>
      <c r="O22004" t="s">
        <v>78506</v>
      </c>
      <c r="Q22004">
        <v>0</v>
      </c>
      <c r="R22004">
        <v>129</v>
      </c>
      <c r="S22004">
        <v>0</v>
      </c>
      <c r="T22004" t="s">
        <v>78507</v>
      </c>
    </row>
    <row r="22005" spans="1:20" customFormat="1" ht="15" x14ac:dyDescent="0.25">
      <c r="A22005" t="s">
        <v>24</v>
      </c>
      <c r="B22005" t="s">
        <v>3159</v>
      </c>
      <c r="C22005" t="str">
        <f>"A0099230"</f>
        <v>A0099230</v>
      </c>
      <c r="D22005" t="s">
        <v>78508</v>
      </c>
      <c r="E22005" t="s">
        <v>78509</v>
      </c>
      <c r="F22005" t="s">
        <v>2958</v>
      </c>
      <c r="G22005" t="s">
        <v>29</v>
      </c>
      <c r="H22005">
        <v>24060</v>
      </c>
      <c r="I22005" t="s">
        <v>30</v>
      </c>
      <c r="J22005" t="s">
        <v>171</v>
      </c>
      <c r="K22005" t="s">
        <v>1450</v>
      </c>
      <c r="N22005" t="s">
        <v>70394</v>
      </c>
      <c r="O22005" t="s">
        <v>78510</v>
      </c>
      <c r="Q22005">
        <v>0</v>
      </c>
      <c r="R22005">
        <v>126</v>
      </c>
      <c r="S22005">
        <v>0</v>
      </c>
      <c r="T22005" t="s">
        <v>78511</v>
      </c>
    </row>
    <row r="22006" spans="1:20" customFormat="1" ht="15" x14ac:dyDescent="0.25">
      <c r="A22006" t="s">
        <v>24</v>
      </c>
      <c r="B22006" t="s">
        <v>61358</v>
      </c>
      <c r="C22006" t="str">
        <f>"57219"</f>
        <v>57219</v>
      </c>
      <c r="D22006" t="s">
        <v>78512</v>
      </c>
      <c r="E22006" t="s">
        <v>78513</v>
      </c>
      <c r="F22006" t="s">
        <v>6972</v>
      </c>
      <c r="G22006" t="s">
        <v>81</v>
      </c>
      <c r="H22006">
        <v>33487</v>
      </c>
      <c r="I22006" t="s">
        <v>30</v>
      </c>
      <c r="J22006" t="s">
        <v>171</v>
      </c>
      <c r="K22006" t="s">
        <v>1450</v>
      </c>
      <c r="N22006" t="s">
        <v>78514</v>
      </c>
      <c r="O22006" t="s">
        <v>78515</v>
      </c>
      <c r="Q22006">
        <v>0</v>
      </c>
      <c r="R22006">
        <v>120</v>
      </c>
      <c r="S22006">
        <v>0</v>
      </c>
      <c r="T22006" t="s">
        <v>78516</v>
      </c>
    </row>
    <row r="22007" spans="1:20" customFormat="1" ht="15" hidden="1" x14ac:dyDescent="0.25">
      <c r="A22007" t="s">
        <v>24</v>
      </c>
      <c r="B22007" t="s">
        <v>1548</v>
      </c>
      <c r="C22007" t="str">
        <f>"A0097271"</f>
        <v>A0097271</v>
      </c>
      <c r="D22007" t="s">
        <v>83342</v>
      </c>
      <c r="E22007" t="s">
        <v>83343</v>
      </c>
      <c r="F22007" t="s">
        <v>13262</v>
      </c>
      <c r="G22007" t="s">
        <v>2206</v>
      </c>
      <c r="H22007" t="s">
        <v>83344</v>
      </c>
      <c r="I22007" t="s">
        <v>1459</v>
      </c>
      <c r="J22007" t="s">
        <v>171</v>
      </c>
      <c r="K22007" t="s">
        <v>1147</v>
      </c>
      <c r="N22007" t="s">
        <v>83345</v>
      </c>
      <c r="O22007" t="s">
        <v>83346</v>
      </c>
      <c r="Q22007">
        <v>0</v>
      </c>
      <c r="R22007">
        <v>189</v>
      </c>
      <c r="S22007">
        <v>0</v>
      </c>
      <c r="T22007" t="s">
        <v>83347</v>
      </c>
    </row>
    <row r="22008" spans="1:20" customFormat="1" ht="15" x14ac:dyDescent="0.25">
      <c r="A22008" t="s">
        <v>24</v>
      </c>
      <c r="B22008" t="s">
        <v>5589</v>
      </c>
      <c r="C22008" t="str">
        <f>"A0099120"</f>
        <v>A0099120</v>
      </c>
      <c r="D22008" t="s">
        <v>78517</v>
      </c>
      <c r="E22008" t="s">
        <v>78518</v>
      </c>
      <c r="F22008" t="s">
        <v>53770</v>
      </c>
      <c r="G22008" t="s">
        <v>433</v>
      </c>
      <c r="H22008">
        <v>83702</v>
      </c>
      <c r="I22008" t="s">
        <v>30</v>
      </c>
      <c r="J22008" t="s">
        <v>171</v>
      </c>
      <c r="K22008" t="s">
        <v>1450</v>
      </c>
      <c r="N22008" t="s">
        <v>78519</v>
      </c>
      <c r="Q22008">
        <v>0</v>
      </c>
      <c r="R22008">
        <v>185</v>
      </c>
      <c r="S22008">
        <v>0</v>
      </c>
      <c r="T22008" t="s">
        <v>78520</v>
      </c>
    </row>
    <row r="22009" spans="1:20" customFormat="1" ht="15" hidden="1" x14ac:dyDescent="0.25">
      <c r="A22009" t="s">
        <v>24</v>
      </c>
      <c r="B22009" t="s">
        <v>1548</v>
      </c>
      <c r="C22009" t="str">
        <f>"A0093675"</f>
        <v>A0093675</v>
      </c>
      <c r="D22009" t="s">
        <v>83353</v>
      </c>
      <c r="E22009" t="s">
        <v>83354</v>
      </c>
      <c r="F22009" t="s">
        <v>59059</v>
      </c>
      <c r="G22009" t="s">
        <v>1457</v>
      </c>
      <c r="H22009" t="s">
        <v>83355</v>
      </c>
      <c r="I22009" t="s">
        <v>1459</v>
      </c>
      <c r="J22009" t="s">
        <v>171</v>
      </c>
      <c r="K22009" t="s">
        <v>1147</v>
      </c>
      <c r="N22009" t="s">
        <v>83061</v>
      </c>
      <c r="Q22009">
        <v>0</v>
      </c>
      <c r="R22009">
        <v>126</v>
      </c>
      <c r="S22009">
        <v>0</v>
      </c>
      <c r="T22009" t="s">
        <v>83356</v>
      </c>
    </row>
    <row r="22010" spans="1:20" customFormat="1" ht="15" x14ac:dyDescent="0.25">
      <c r="A22010" t="s">
        <v>24</v>
      </c>
      <c r="B22010" t="s">
        <v>2955</v>
      </c>
      <c r="C22010" t="str">
        <f>"56673"</f>
        <v>56673</v>
      </c>
      <c r="D22010" t="s">
        <v>78521</v>
      </c>
      <c r="E22010" t="s">
        <v>78522</v>
      </c>
      <c r="F22010" t="s">
        <v>67791</v>
      </c>
      <c r="G22010" t="s">
        <v>899</v>
      </c>
      <c r="H22010">
        <v>1886</v>
      </c>
      <c r="I22010" t="s">
        <v>30</v>
      </c>
      <c r="J22010" t="s">
        <v>171</v>
      </c>
      <c r="K22010" t="s">
        <v>1450</v>
      </c>
      <c r="Q22010">
        <v>0</v>
      </c>
      <c r="R22010">
        <v>108</v>
      </c>
      <c r="S22010">
        <v>0</v>
      </c>
      <c r="T22010" t="s">
        <v>78523</v>
      </c>
    </row>
    <row r="22011" spans="1:20" customFormat="1" ht="15" x14ac:dyDescent="0.25">
      <c r="A22011" t="s">
        <v>24</v>
      </c>
      <c r="B22011" t="s">
        <v>5537</v>
      </c>
      <c r="C22011" t="str">
        <f>"A0099410"</f>
        <v>A0099410</v>
      </c>
      <c r="D22011" t="s">
        <v>78524</v>
      </c>
      <c r="E22011" t="s">
        <v>78525</v>
      </c>
      <c r="F22011" t="s">
        <v>2390</v>
      </c>
      <c r="G22011" t="s">
        <v>899</v>
      </c>
      <c r="H22011">
        <v>1803</v>
      </c>
      <c r="I22011" t="s">
        <v>30</v>
      </c>
      <c r="J22011" t="s">
        <v>171</v>
      </c>
      <c r="K22011" t="s">
        <v>1450</v>
      </c>
      <c r="N22011" t="s">
        <v>78526</v>
      </c>
      <c r="O22011" t="s">
        <v>9567</v>
      </c>
      <c r="Q22011">
        <v>0</v>
      </c>
      <c r="R22011">
        <v>170</v>
      </c>
      <c r="S22011">
        <v>0</v>
      </c>
      <c r="T22011" t="s">
        <v>78527</v>
      </c>
    </row>
    <row r="22012" spans="1:20" customFormat="1" ht="15" x14ac:dyDescent="0.25">
      <c r="A22012" t="s">
        <v>24</v>
      </c>
      <c r="B22012" t="s">
        <v>675</v>
      </c>
      <c r="C22012" t="str">
        <f>"57124"</f>
        <v>57124</v>
      </c>
      <c r="D22012" t="s">
        <v>78528</v>
      </c>
      <c r="E22012" t="s">
        <v>78529</v>
      </c>
      <c r="F22012" t="s">
        <v>57308</v>
      </c>
      <c r="G22012" t="s">
        <v>899</v>
      </c>
      <c r="H22012">
        <v>2142</v>
      </c>
      <c r="I22012" t="s">
        <v>30</v>
      </c>
      <c r="J22012" t="s">
        <v>171</v>
      </c>
      <c r="K22012" t="s">
        <v>1450</v>
      </c>
      <c r="N22012" t="s">
        <v>78530</v>
      </c>
      <c r="O22012" t="s">
        <v>78531</v>
      </c>
      <c r="Q22012">
        <v>0</v>
      </c>
      <c r="R22012">
        <v>221</v>
      </c>
      <c r="S22012">
        <v>0</v>
      </c>
      <c r="T22012" t="s">
        <v>78532</v>
      </c>
    </row>
    <row r="22013" spans="1:20" customFormat="1" ht="15" x14ac:dyDescent="0.25">
      <c r="A22013" t="s">
        <v>24</v>
      </c>
      <c r="B22013" t="s">
        <v>1528</v>
      </c>
      <c r="C22013" t="str">
        <f>"A0157401"</f>
        <v>A0157401</v>
      </c>
      <c r="D22013" t="s">
        <v>83371</v>
      </c>
      <c r="E22013" t="s">
        <v>83372</v>
      </c>
      <c r="F22013" t="s">
        <v>77593</v>
      </c>
      <c r="G22013" t="s">
        <v>47</v>
      </c>
      <c r="H22013">
        <v>97110</v>
      </c>
      <c r="I22013" t="s">
        <v>30</v>
      </c>
      <c r="J22013" t="s">
        <v>31</v>
      </c>
      <c r="K22013" t="s">
        <v>163</v>
      </c>
      <c r="N22013" t="s">
        <v>77594</v>
      </c>
      <c r="Q22013">
        <v>0</v>
      </c>
      <c r="R22013">
        <v>41</v>
      </c>
      <c r="S22013">
        <v>0</v>
      </c>
      <c r="T22013" t="s">
        <v>83373</v>
      </c>
    </row>
    <row r="22014" spans="1:20" customFormat="1" ht="15" x14ac:dyDescent="0.25">
      <c r="A22014" t="s">
        <v>24</v>
      </c>
      <c r="B22014" t="s">
        <v>80202</v>
      </c>
      <c r="C22014" t="str">
        <f>"A0093303"</f>
        <v>A0093303</v>
      </c>
      <c r="D22014" t="s">
        <v>83374</v>
      </c>
      <c r="E22014" t="s">
        <v>83375</v>
      </c>
      <c r="F22014" t="s">
        <v>80304</v>
      </c>
      <c r="G22014" t="s">
        <v>221</v>
      </c>
      <c r="H22014">
        <v>89406</v>
      </c>
      <c r="I22014" t="s">
        <v>30</v>
      </c>
      <c r="J22014" t="s">
        <v>66248</v>
      </c>
      <c r="K22014" t="s">
        <v>163</v>
      </c>
      <c r="N22014" t="s">
        <v>83376</v>
      </c>
      <c r="Q22014">
        <v>0</v>
      </c>
      <c r="R22014">
        <v>0</v>
      </c>
      <c r="S22014">
        <v>0</v>
      </c>
      <c r="T22014" t="s">
        <v>83377</v>
      </c>
    </row>
    <row r="22015" spans="1:20" customFormat="1" ht="15" x14ac:dyDescent="0.25">
      <c r="A22015" t="s">
        <v>24</v>
      </c>
      <c r="B22015" t="s">
        <v>83378</v>
      </c>
      <c r="C22015" t="str">
        <f>"A0052347"</f>
        <v>A0052347</v>
      </c>
      <c r="D22015" t="s">
        <v>83379</v>
      </c>
      <c r="E22015" t="s">
        <v>83380</v>
      </c>
      <c r="F22015" t="s">
        <v>83381</v>
      </c>
      <c r="G22015" t="s">
        <v>338</v>
      </c>
      <c r="H22015">
        <v>8210</v>
      </c>
      <c r="I22015" t="s">
        <v>30</v>
      </c>
      <c r="J22015" t="s">
        <v>178</v>
      </c>
      <c r="K22015" t="s">
        <v>179</v>
      </c>
      <c r="N22015" t="s">
        <v>83382</v>
      </c>
      <c r="O22015" t="s">
        <v>83383</v>
      </c>
      <c r="P22015" t="s">
        <v>992</v>
      </c>
      <c r="Q22015">
        <v>1</v>
      </c>
      <c r="R22015">
        <v>0</v>
      </c>
      <c r="S22015">
        <v>0</v>
      </c>
      <c r="T22015" t="s">
        <v>83384</v>
      </c>
    </row>
    <row r="22016" spans="1:20" customFormat="1" ht="15" x14ac:dyDescent="0.25">
      <c r="A22016" t="s">
        <v>24</v>
      </c>
      <c r="B22016" t="s">
        <v>57844</v>
      </c>
      <c r="C22016" t="str">
        <f>"337GD"</f>
        <v>337GD</v>
      </c>
      <c r="D22016" t="s">
        <v>83385</v>
      </c>
      <c r="E22016" t="s">
        <v>83386</v>
      </c>
      <c r="F22016" t="s">
        <v>83387</v>
      </c>
      <c r="G22016" t="s">
        <v>846</v>
      </c>
      <c r="H22016">
        <v>30083</v>
      </c>
      <c r="I22016" t="s">
        <v>30</v>
      </c>
      <c r="J22016" t="s">
        <v>2415</v>
      </c>
      <c r="K22016" t="s">
        <v>1490</v>
      </c>
      <c r="N22016" t="s">
        <v>83388</v>
      </c>
      <c r="P22016" t="s">
        <v>6426</v>
      </c>
      <c r="Q22016">
        <v>2</v>
      </c>
      <c r="R22016">
        <v>0</v>
      </c>
      <c r="S22016">
        <v>0</v>
      </c>
      <c r="T22016" t="s">
        <v>83389</v>
      </c>
    </row>
    <row r="22017" spans="1:20" customFormat="1" ht="15" x14ac:dyDescent="0.25">
      <c r="A22017" t="s">
        <v>24</v>
      </c>
      <c r="B22017" t="s">
        <v>2360</v>
      </c>
      <c r="C22017" t="str">
        <f>"CL0245"</f>
        <v>CL0245</v>
      </c>
      <c r="D22017" t="s">
        <v>83390</v>
      </c>
      <c r="E22017" t="s">
        <v>83391</v>
      </c>
      <c r="F22017" t="s">
        <v>2083</v>
      </c>
      <c r="G22017" t="s">
        <v>52</v>
      </c>
      <c r="H22017">
        <v>75034</v>
      </c>
      <c r="I22017" t="s">
        <v>30</v>
      </c>
      <c r="J22017" t="s">
        <v>178</v>
      </c>
      <c r="K22017" t="s">
        <v>56092</v>
      </c>
      <c r="N22017" t="s">
        <v>69885</v>
      </c>
      <c r="O22017" t="s">
        <v>83392</v>
      </c>
      <c r="P22017" t="s">
        <v>992</v>
      </c>
      <c r="Q22017">
        <v>2</v>
      </c>
      <c r="R22017">
        <v>0</v>
      </c>
      <c r="S22017">
        <v>0</v>
      </c>
      <c r="T22017" t="s">
        <v>83393</v>
      </c>
    </row>
    <row r="22018" spans="1:20" customFormat="1" ht="15" x14ac:dyDescent="0.25">
      <c r="A22018" t="s">
        <v>24</v>
      </c>
      <c r="B22018" t="s">
        <v>2360</v>
      </c>
      <c r="C22018" t="str">
        <f>"CL1583"</f>
        <v>CL1583</v>
      </c>
      <c r="D22018" t="s">
        <v>83394</v>
      </c>
      <c r="E22018" t="s">
        <v>83395</v>
      </c>
      <c r="F22018" t="s">
        <v>63651</v>
      </c>
      <c r="G22018" t="s">
        <v>52</v>
      </c>
      <c r="H22018">
        <v>75070</v>
      </c>
      <c r="I22018" t="s">
        <v>30</v>
      </c>
      <c r="J22018" t="s">
        <v>178</v>
      </c>
      <c r="K22018" t="s">
        <v>56092</v>
      </c>
      <c r="N22018" t="s">
        <v>66746</v>
      </c>
      <c r="P22018" t="s">
        <v>992</v>
      </c>
      <c r="Q22018">
        <v>2</v>
      </c>
      <c r="R22018">
        <v>0</v>
      </c>
      <c r="S22018">
        <v>0</v>
      </c>
      <c r="T22018" t="s">
        <v>83396</v>
      </c>
    </row>
    <row r="22019" spans="1:20" customFormat="1" ht="15" x14ac:dyDescent="0.25">
      <c r="A22019" t="s">
        <v>24</v>
      </c>
      <c r="B22019" t="s">
        <v>2360</v>
      </c>
      <c r="C22019" t="str">
        <f>"CL1582"</f>
        <v>CL1582</v>
      </c>
      <c r="D22019" t="s">
        <v>83397</v>
      </c>
      <c r="E22019" t="s">
        <v>83398</v>
      </c>
      <c r="F22019" t="s">
        <v>63651</v>
      </c>
      <c r="G22019" t="s">
        <v>52</v>
      </c>
      <c r="H22019">
        <v>75070</v>
      </c>
      <c r="I22019" t="s">
        <v>30</v>
      </c>
      <c r="J22019" t="s">
        <v>178</v>
      </c>
      <c r="K22019" t="s">
        <v>55688</v>
      </c>
      <c r="N22019" t="s">
        <v>83399</v>
      </c>
      <c r="P22019" t="s">
        <v>992</v>
      </c>
      <c r="Q22019">
        <v>1</v>
      </c>
      <c r="R22019">
        <v>0</v>
      </c>
      <c r="S22019">
        <v>0</v>
      </c>
      <c r="T22019" t="s">
        <v>83400</v>
      </c>
    </row>
    <row r="22020" spans="1:20" customFormat="1" ht="15" x14ac:dyDescent="0.25">
      <c r="A22020" t="s">
        <v>24</v>
      </c>
      <c r="B22020" t="s">
        <v>6667</v>
      </c>
      <c r="C22020" t="str">
        <f>"A0053486"</f>
        <v>A0053486</v>
      </c>
      <c r="D22020" t="s">
        <v>83401</v>
      </c>
      <c r="E22020" t="s">
        <v>83402</v>
      </c>
      <c r="F22020" t="s">
        <v>196</v>
      </c>
      <c r="G22020" t="s">
        <v>197</v>
      </c>
      <c r="H22020">
        <v>85032</v>
      </c>
      <c r="I22020" t="s">
        <v>30</v>
      </c>
      <c r="J22020" t="s">
        <v>178</v>
      </c>
      <c r="K22020" t="s">
        <v>6667</v>
      </c>
      <c r="N22020" t="s">
        <v>83403</v>
      </c>
      <c r="O22020" t="s">
        <v>83404</v>
      </c>
      <c r="Q22020">
        <v>0</v>
      </c>
      <c r="R22020">
        <v>0</v>
      </c>
      <c r="S22020">
        <v>0</v>
      </c>
      <c r="T22020" t="s">
        <v>83405</v>
      </c>
    </row>
    <row r="22021" spans="1:20" customFormat="1" ht="15" x14ac:dyDescent="0.25">
      <c r="A22021" t="s">
        <v>24</v>
      </c>
      <c r="B22021" t="s">
        <v>2360</v>
      </c>
      <c r="C22021" t="str">
        <f>"CL1104"</f>
        <v>CL1104</v>
      </c>
      <c r="D22021" t="s">
        <v>83406</v>
      </c>
      <c r="E22021" t="s">
        <v>83407</v>
      </c>
      <c r="F22021" t="s">
        <v>5620</v>
      </c>
      <c r="G22021" t="s">
        <v>29</v>
      </c>
      <c r="H22021">
        <v>23236</v>
      </c>
      <c r="I22021" t="s">
        <v>30</v>
      </c>
      <c r="J22021" t="s">
        <v>178</v>
      </c>
      <c r="K22021" t="s">
        <v>8013</v>
      </c>
      <c r="N22021" t="s">
        <v>83408</v>
      </c>
      <c r="P22021" t="s">
        <v>992</v>
      </c>
      <c r="Q22021">
        <v>1</v>
      </c>
      <c r="R22021">
        <v>0</v>
      </c>
      <c r="S22021">
        <v>0</v>
      </c>
      <c r="T22021" t="s">
        <v>83409</v>
      </c>
    </row>
    <row r="22022" spans="1:20" customFormat="1" ht="15" x14ac:dyDescent="0.25">
      <c r="A22022" t="s">
        <v>24</v>
      </c>
      <c r="B22022" t="s">
        <v>2387</v>
      </c>
      <c r="C22022" t="str">
        <f>"A0136803"</f>
        <v>A0136803</v>
      </c>
      <c r="D22022" t="s">
        <v>78533</v>
      </c>
      <c r="E22022" t="s">
        <v>78534</v>
      </c>
      <c r="F22022" t="s">
        <v>78535</v>
      </c>
      <c r="G22022" t="s">
        <v>899</v>
      </c>
      <c r="H22022">
        <v>2119</v>
      </c>
      <c r="I22022" t="s">
        <v>30</v>
      </c>
      <c r="J22022" t="s">
        <v>171</v>
      </c>
      <c r="K22022" t="s">
        <v>1450</v>
      </c>
      <c r="N22022" t="s">
        <v>78536</v>
      </c>
      <c r="Q22022">
        <v>0</v>
      </c>
      <c r="R22022">
        <v>135</v>
      </c>
      <c r="S22022">
        <v>0</v>
      </c>
      <c r="T22022" t="s">
        <v>78537</v>
      </c>
    </row>
    <row r="22023" spans="1:20" customFormat="1" ht="15" x14ac:dyDescent="0.25">
      <c r="A22023" t="s">
        <v>24</v>
      </c>
      <c r="B22023" t="s">
        <v>1583</v>
      </c>
      <c r="C22023" t="str">
        <f>"38F28"</f>
        <v>38F28</v>
      </c>
      <c r="D22023" t="s">
        <v>83416</v>
      </c>
      <c r="E22023" t="s">
        <v>83417</v>
      </c>
      <c r="F22023" t="s">
        <v>2539</v>
      </c>
      <c r="G22023" t="s">
        <v>190</v>
      </c>
      <c r="H22023">
        <v>81657</v>
      </c>
      <c r="I22023" t="s">
        <v>30</v>
      </c>
      <c r="J22023" t="s">
        <v>2544</v>
      </c>
      <c r="K22023" t="s">
        <v>36059</v>
      </c>
      <c r="N22023" t="s">
        <v>83418</v>
      </c>
      <c r="O22023" t="s">
        <v>83419</v>
      </c>
      <c r="Q22023">
        <v>0</v>
      </c>
      <c r="R22023">
        <v>96</v>
      </c>
      <c r="S22023">
        <v>0</v>
      </c>
      <c r="T22023" t="s">
        <v>83420</v>
      </c>
    </row>
    <row r="22024" spans="1:20" customFormat="1" ht="15" x14ac:dyDescent="0.25">
      <c r="A22024" t="s">
        <v>24</v>
      </c>
      <c r="B22024" t="s">
        <v>56443</v>
      </c>
      <c r="C22024" t="str">
        <f>"A0098241"</f>
        <v>A0098241</v>
      </c>
      <c r="D22024" t="s">
        <v>83421</v>
      </c>
      <c r="E22024" t="s">
        <v>83422</v>
      </c>
      <c r="F22024" t="s">
        <v>13167</v>
      </c>
      <c r="G22024" t="s">
        <v>846</v>
      </c>
      <c r="H22024">
        <v>31093</v>
      </c>
      <c r="I22024" t="s">
        <v>30</v>
      </c>
      <c r="J22024" t="s">
        <v>145</v>
      </c>
      <c r="K22024" t="s">
        <v>83423</v>
      </c>
      <c r="N22024" t="s">
        <v>13798</v>
      </c>
      <c r="Q22024">
        <v>0</v>
      </c>
      <c r="R22024">
        <v>82</v>
      </c>
      <c r="S22024">
        <v>0</v>
      </c>
      <c r="T22024" t="s">
        <v>83424</v>
      </c>
    </row>
    <row r="22025" spans="1:20" customFormat="1" ht="15" x14ac:dyDescent="0.25">
      <c r="A22025" t="s">
        <v>24</v>
      </c>
      <c r="B22025" t="s">
        <v>58709</v>
      </c>
      <c r="C22025" t="str">
        <f>"A0148473"</f>
        <v>A0148473</v>
      </c>
      <c r="D22025" t="s">
        <v>83425</v>
      </c>
      <c r="E22025" t="s">
        <v>83426</v>
      </c>
      <c r="F22025" t="s">
        <v>63606</v>
      </c>
      <c r="G22025" t="s">
        <v>507</v>
      </c>
      <c r="H22025">
        <v>26059</v>
      </c>
      <c r="I22025" t="s">
        <v>30</v>
      </c>
      <c r="J22025" t="s">
        <v>145</v>
      </c>
      <c r="K22025" t="s">
        <v>83423</v>
      </c>
      <c r="N22025" t="s">
        <v>70361</v>
      </c>
      <c r="O22025" t="s">
        <v>83427</v>
      </c>
      <c r="Q22025">
        <v>0</v>
      </c>
      <c r="R22025">
        <v>120</v>
      </c>
      <c r="S22025">
        <v>0</v>
      </c>
      <c r="T22025" t="s">
        <v>83428</v>
      </c>
    </row>
    <row r="22026" spans="1:20" customFormat="1" ht="15" x14ac:dyDescent="0.25">
      <c r="A22026" t="s">
        <v>24</v>
      </c>
      <c r="B22026" t="s">
        <v>83429</v>
      </c>
      <c r="C22026" t="str">
        <f>"A0089645"</f>
        <v>A0089645</v>
      </c>
      <c r="D22026" t="s">
        <v>83429</v>
      </c>
      <c r="E22026" t="s">
        <v>83430</v>
      </c>
      <c r="F22026" t="s">
        <v>83431</v>
      </c>
      <c r="G22026" t="s">
        <v>1706</v>
      </c>
      <c r="H22026">
        <v>35972</v>
      </c>
      <c r="I22026" t="s">
        <v>30</v>
      </c>
      <c r="J22026" t="s">
        <v>7657</v>
      </c>
      <c r="K22026" t="s">
        <v>163</v>
      </c>
      <c r="N22026" t="s">
        <v>83432</v>
      </c>
      <c r="Q22026">
        <v>0</v>
      </c>
      <c r="R22026">
        <v>148</v>
      </c>
      <c r="S22026">
        <v>0</v>
      </c>
      <c r="T22026" t="s">
        <v>83433</v>
      </c>
    </row>
    <row r="22027" spans="1:20" customFormat="1" ht="15" x14ac:dyDescent="0.25">
      <c r="A22027" t="s">
        <v>24</v>
      </c>
      <c r="B22027" t="s">
        <v>2387</v>
      </c>
      <c r="C22027" t="str">
        <f>"A0091658"</f>
        <v>A0091658</v>
      </c>
      <c r="D22027" t="s">
        <v>78538</v>
      </c>
      <c r="E22027" t="s">
        <v>64607</v>
      </c>
      <c r="F22027" t="s">
        <v>57969</v>
      </c>
      <c r="G22027" t="s">
        <v>899</v>
      </c>
      <c r="H22027">
        <v>2150</v>
      </c>
      <c r="I22027" t="s">
        <v>30</v>
      </c>
      <c r="J22027" t="s">
        <v>171</v>
      </c>
      <c r="K22027" t="s">
        <v>1450</v>
      </c>
      <c r="N22027" t="s">
        <v>64608</v>
      </c>
      <c r="O22027" t="s">
        <v>78539</v>
      </c>
      <c r="Q22027">
        <v>0</v>
      </c>
      <c r="R22027">
        <v>128</v>
      </c>
      <c r="S22027">
        <v>0</v>
      </c>
      <c r="T22027" t="s">
        <v>78540</v>
      </c>
    </row>
    <row r="22028" spans="1:20" customFormat="1" ht="15" x14ac:dyDescent="0.25">
      <c r="A22028" t="s">
        <v>24</v>
      </c>
      <c r="B22028" t="s">
        <v>1583</v>
      </c>
      <c r="C22028" t="str">
        <f>"38K38"</f>
        <v>38K38</v>
      </c>
      <c r="D22028" t="s">
        <v>83438</v>
      </c>
      <c r="E22028" t="s">
        <v>83439</v>
      </c>
      <c r="F22028" t="s">
        <v>7677</v>
      </c>
      <c r="G22028" t="s">
        <v>153</v>
      </c>
      <c r="H22028">
        <v>84060</v>
      </c>
      <c r="I22028" t="s">
        <v>30</v>
      </c>
      <c r="J22028" t="s">
        <v>2544</v>
      </c>
      <c r="K22028" t="s">
        <v>36059</v>
      </c>
      <c r="N22028" t="s">
        <v>83440</v>
      </c>
      <c r="O22028" t="s">
        <v>83441</v>
      </c>
      <c r="Q22028">
        <v>0</v>
      </c>
      <c r="R22028">
        <v>270</v>
      </c>
      <c r="S22028">
        <v>0</v>
      </c>
      <c r="T22028" t="s">
        <v>83442</v>
      </c>
    </row>
    <row r="22029" spans="1:20" customFormat="1" ht="15" x14ac:dyDescent="0.25">
      <c r="A22029" t="s">
        <v>24</v>
      </c>
      <c r="B22029" t="s">
        <v>2387</v>
      </c>
      <c r="C22029" t="str">
        <f>"A0152908"</f>
        <v>A0152908</v>
      </c>
      <c r="D22029" t="s">
        <v>78541</v>
      </c>
      <c r="E22029" t="s">
        <v>78542</v>
      </c>
      <c r="F22029" t="s">
        <v>78543</v>
      </c>
      <c r="G22029" t="s">
        <v>899</v>
      </c>
      <c r="H22029">
        <v>1760</v>
      </c>
      <c r="I22029" t="s">
        <v>30</v>
      </c>
      <c r="J22029" t="s">
        <v>171</v>
      </c>
      <c r="K22029" t="s">
        <v>1450</v>
      </c>
      <c r="N22029" t="s">
        <v>78544</v>
      </c>
      <c r="Q22029">
        <v>0</v>
      </c>
      <c r="R22029">
        <v>135</v>
      </c>
      <c r="S22029">
        <v>0</v>
      </c>
      <c r="T22029" t="s">
        <v>78545</v>
      </c>
    </row>
    <row r="22030" spans="1:20" customFormat="1" ht="15" x14ac:dyDescent="0.25">
      <c r="A22030" t="s">
        <v>24</v>
      </c>
      <c r="B22030" t="s">
        <v>8579</v>
      </c>
      <c r="C22030" t="str">
        <f>"A0092541"</f>
        <v>A0092541</v>
      </c>
      <c r="D22030" t="s">
        <v>78546</v>
      </c>
      <c r="E22030" t="s">
        <v>78547</v>
      </c>
      <c r="F22030" t="s">
        <v>78548</v>
      </c>
      <c r="G22030" t="s">
        <v>899</v>
      </c>
      <c r="H22030">
        <v>2494</v>
      </c>
      <c r="I22030" t="s">
        <v>30</v>
      </c>
      <c r="J22030" t="s">
        <v>171</v>
      </c>
      <c r="K22030" t="s">
        <v>1450</v>
      </c>
      <c r="N22030" t="s">
        <v>78549</v>
      </c>
      <c r="Q22030">
        <v>0</v>
      </c>
      <c r="R22030">
        <v>128</v>
      </c>
      <c r="S22030">
        <v>0</v>
      </c>
      <c r="T22030" t="s">
        <v>78550</v>
      </c>
    </row>
    <row r="22031" spans="1:20" customFormat="1" ht="15" x14ac:dyDescent="0.25">
      <c r="A22031" t="s">
        <v>24</v>
      </c>
      <c r="B22031" t="s">
        <v>186</v>
      </c>
      <c r="C22031" t="str">
        <f>"A0146645"</f>
        <v>A0146645</v>
      </c>
      <c r="D22031" t="s">
        <v>83452</v>
      </c>
      <c r="E22031" t="s">
        <v>55668</v>
      </c>
      <c r="F22031" t="s">
        <v>189</v>
      </c>
      <c r="G22031" t="s">
        <v>190</v>
      </c>
      <c r="H22031">
        <v>81611</v>
      </c>
      <c r="I22031" t="s">
        <v>30</v>
      </c>
      <c r="J22031" t="s">
        <v>1004</v>
      </c>
      <c r="K22031" t="s">
        <v>163</v>
      </c>
      <c r="Q22031">
        <v>0</v>
      </c>
      <c r="R22031">
        <v>0</v>
      </c>
      <c r="S22031">
        <v>0</v>
      </c>
      <c r="T22031" t="s">
        <v>55670</v>
      </c>
    </row>
    <row r="22032" spans="1:20" customFormat="1" ht="15" x14ac:dyDescent="0.25">
      <c r="A22032" t="s">
        <v>24</v>
      </c>
      <c r="B22032" t="s">
        <v>2387</v>
      </c>
      <c r="C22032" t="str">
        <f>"A0117303"</f>
        <v>A0117303</v>
      </c>
      <c r="D22032" t="s">
        <v>78551</v>
      </c>
      <c r="E22032" t="s">
        <v>64616</v>
      </c>
      <c r="F22032" t="s">
        <v>64617</v>
      </c>
      <c r="G22032" t="s">
        <v>899</v>
      </c>
      <c r="H22032">
        <v>2452</v>
      </c>
      <c r="I22032" t="s">
        <v>30</v>
      </c>
      <c r="J22032" t="s">
        <v>171</v>
      </c>
      <c r="K22032" t="s">
        <v>1450</v>
      </c>
      <c r="N22032" t="s">
        <v>64618</v>
      </c>
      <c r="Q22032">
        <v>0</v>
      </c>
      <c r="R22032">
        <v>96</v>
      </c>
      <c r="S22032">
        <v>0</v>
      </c>
      <c r="T22032" t="s">
        <v>78552</v>
      </c>
    </row>
    <row r="22033" spans="1:25" x14ac:dyDescent="0.25">
      <c r="A22033" s="5" t="s">
        <v>24</v>
      </c>
      <c r="B22033" s="5" t="s">
        <v>8579</v>
      </c>
      <c r="C22033" s="5" t="str">
        <f>"A0096472"</f>
        <v>A0096472</v>
      </c>
      <c r="D22033" s="5" t="s">
        <v>78553</v>
      </c>
      <c r="E22033" s="5" t="s">
        <v>78554</v>
      </c>
      <c r="F22033" s="5" t="s">
        <v>78555</v>
      </c>
      <c r="G22033" s="5" t="s">
        <v>899</v>
      </c>
      <c r="H22033" s="5">
        <v>2472</v>
      </c>
      <c r="I22033" s="5" t="s">
        <v>30</v>
      </c>
      <c r="J22033" s="5" t="s">
        <v>171</v>
      </c>
      <c r="K22033" s="5" t="s">
        <v>1450</v>
      </c>
      <c r="L22033" s="5"/>
      <c r="M22033" s="5"/>
      <c r="N22033" s="5" t="s">
        <v>78556</v>
      </c>
      <c r="O22033" s="5" t="s">
        <v>78557</v>
      </c>
      <c r="P22033" s="5"/>
      <c r="Q22033" s="5">
        <v>0</v>
      </c>
      <c r="R22033" s="5">
        <v>150</v>
      </c>
      <c r="S22033" s="5">
        <v>0</v>
      </c>
      <c r="T22033" s="5" t="s">
        <v>78558</v>
      </c>
      <c r="U22033" s="5"/>
      <c r="V22033" s="5"/>
      <c r="W22033" s="5"/>
      <c r="X22033" s="5"/>
      <c r="Y22033" s="5"/>
    </row>
    <row r="22034" spans="1:25" customFormat="1" ht="15" x14ac:dyDescent="0.25">
      <c r="A22034" t="s">
        <v>24</v>
      </c>
      <c r="B22034" t="s">
        <v>1583</v>
      </c>
      <c r="C22034" t="str">
        <f>"38M32"</f>
        <v>38M32</v>
      </c>
      <c r="D22034" t="s">
        <v>83466</v>
      </c>
      <c r="E22034" t="s">
        <v>68658</v>
      </c>
      <c r="F22034" t="s">
        <v>60633</v>
      </c>
      <c r="G22034" t="s">
        <v>58</v>
      </c>
      <c r="H22034">
        <v>29928</v>
      </c>
      <c r="I22034" t="s">
        <v>30</v>
      </c>
      <c r="J22034" t="s">
        <v>2544</v>
      </c>
      <c r="K22034" t="s">
        <v>36059</v>
      </c>
      <c r="N22034" t="s">
        <v>83467</v>
      </c>
      <c r="Q22034">
        <v>0</v>
      </c>
      <c r="R22034">
        <v>25</v>
      </c>
      <c r="S22034">
        <v>0</v>
      </c>
      <c r="T22034" t="s">
        <v>83468</v>
      </c>
    </row>
    <row r="22035" spans="1:25" customFormat="1" ht="15" hidden="1" x14ac:dyDescent="0.25">
      <c r="A22035" t="s">
        <v>24</v>
      </c>
      <c r="B22035" t="s">
        <v>1849</v>
      </c>
      <c r="C22035" t="str">
        <f>"A0095291"</f>
        <v>A0095291</v>
      </c>
      <c r="D22035" t="s">
        <v>83469</v>
      </c>
      <c r="E22035" t="s">
        <v>83470</v>
      </c>
      <c r="F22035" t="s">
        <v>83471</v>
      </c>
      <c r="G22035" t="s">
        <v>66924</v>
      </c>
      <c r="H22035" t="s">
        <v>83472</v>
      </c>
      <c r="I22035" t="s">
        <v>66925</v>
      </c>
      <c r="J22035" t="s">
        <v>162</v>
      </c>
      <c r="K22035" t="s">
        <v>163</v>
      </c>
      <c r="N22035" t="s">
        <v>83473</v>
      </c>
      <c r="Q22035">
        <v>0</v>
      </c>
      <c r="R22035">
        <v>130</v>
      </c>
      <c r="S22035">
        <v>0</v>
      </c>
      <c r="T22035" t="s">
        <v>83474</v>
      </c>
    </row>
    <row r="22036" spans="1:25" customFormat="1" ht="15" hidden="1" x14ac:dyDescent="0.25">
      <c r="A22036" t="s">
        <v>24</v>
      </c>
      <c r="B22036" t="s">
        <v>56113</v>
      </c>
      <c r="C22036" t="str">
        <f>"A0083605"</f>
        <v>A0083605</v>
      </c>
      <c r="D22036" t="s">
        <v>83475</v>
      </c>
      <c r="E22036" t="s">
        <v>83476</v>
      </c>
      <c r="F22036" t="s">
        <v>15261</v>
      </c>
      <c r="G22036" t="s">
        <v>11118</v>
      </c>
      <c r="H22036" t="s">
        <v>83477</v>
      </c>
      <c r="I22036" t="s">
        <v>1459</v>
      </c>
      <c r="J22036" t="s">
        <v>145</v>
      </c>
      <c r="K22036" t="s">
        <v>1353</v>
      </c>
      <c r="N22036" t="s">
        <v>83478</v>
      </c>
      <c r="Q22036">
        <v>0</v>
      </c>
      <c r="R22036">
        <v>82</v>
      </c>
      <c r="S22036">
        <v>0</v>
      </c>
      <c r="T22036" t="s">
        <v>83479</v>
      </c>
    </row>
    <row r="22037" spans="1:25" customFormat="1" ht="15" x14ac:dyDescent="0.25">
      <c r="A22037" t="s">
        <v>24</v>
      </c>
      <c r="B22037" t="s">
        <v>6515</v>
      </c>
      <c r="C22037" t="str">
        <f>"A0091206"</f>
        <v>A0091206</v>
      </c>
      <c r="D22037" t="s">
        <v>83480</v>
      </c>
      <c r="E22037" t="s">
        <v>83481</v>
      </c>
      <c r="F22037" t="s">
        <v>13138</v>
      </c>
      <c r="G22037" t="s">
        <v>103</v>
      </c>
      <c r="H22037">
        <v>18109</v>
      </c>
      <c r="I22037" t="s">
        <v>30</v>
      </c>
      <c r="J22037" t="s">
        <v>145</v>
      </c>
      <c r="K22037" t="s">
        <v>1353</v>
      </c>
      <c r="N22037" t="s">
        <v>74687</v>
      </c>
      <c r="O22037" t="s">
        <v>83482</v>
      </c>
      <c r="Q22037">
        <v>0</v>
      </c>
      <c r="R22037">
        <v>69</v>
      </c>
      <c r="S22037">
        <v>0</v>
      </c>
      <c r="T22037" t="s">
        <v>83483</v>
      </c>
    </row>
    <row r="22038" spans="1:25" customFormat="1" ht="15" hidden="1" x14ac:dyDescent="0.25">
      <c r="A22038" t="s">
        <v>24</v>
      </c>
      <c r="B22038" t="s">
        <v>83484</v>
      </c>
      <c r="C22038" t="str">
        <f>"A0083614"</f>
        <v>A0083614</v>
      </c>
      <c r="D22038" t="s">
        <v>83485</v>
      </c>
      <c r="E22038" t="s">
        <v>83486</v>
      </c>
      <c r="F22038" t="s">
        <v>35799</v>
      </c>
      <c r="G22038" t="s">
        <v>2206</v>
      </c>
      <c r="H22038" t="s">
        <v>83487</v>
      </c>
      <c r="I22038" t="s">
        <v>1459</v>
      </c>
      <c r="J22038" t="s">
        <v>145</v>
      </c>
      <c r="K22038" t="s">
        <v>1353</v>
      </c>
      <c r="N22038" t="s">
        <v>83488</v>
      </c>
      <c r="Q22038">
        <v>0</v>
      </c>
      <c r="R22038">
        <v>82</v>
      </c>
      <c r="S22038">
        <v>0</v>
      </c>
      <c r="T22038" t="s">
        <v>83489</v>
      </c>
    </row>
    <row r="22039" spans="1:25" customFormat="1" ht="15" x14ac:dyDescent="0.25">
      <c r="A22039" t="s">
        <v>24</v>
      </c>
      <c r="B22039" t="s">
        <v>56748</v>
      </c>
      <c r="C22039" t="str">
        <f>"A0157814"</f>
        <v>A0157814</v>
      </c>
      <c r="D22039" t="s">
        <v>83490</v>
      </c>
      <c r="E22039" t="s">
        <v>83491</v>
      </c>
      <c r="F22039" t="s">
        <v>13788</v>
      </c>
      <c r="G22039" t="s">
        <v>29</v>
      </c>
      <c r="H22039">
        <v>24523</v>
      </c>
      <c r="I22039" t="s">
        <v>30</v>
      </c>
      <c r="J22039" t="s">
        <v>145</v>
      </c>
      <c r="K22039" t="s">
        <v>1353</v>
      </c>
      <c r="N22039" t="s">
        <v>83492</v>
      </c>
      <c r="Q22039">
        <v>0</v>
      </c>
      <c r="R22039">
        <v>56</v>
      </c>
      <c r="S22039">
        <v>0</v>
      </c>
      <c r="T22039" t="s">
        <v>83493</v>
      </c>
    </row>
    <row r="22040" spans="1:25" customFormat="1" ht="15" x14ac:dyDescent="0.25">
      <c r="A22040" t="s">
        <v>24</v>
      </c>
      <c r="B22040" t="s">
        <v>8366</v>
      </c>
      <c r="C22040" t="str">
        <f>"88SP002"</f>
        <v>88SP002</v>
      </c>
      <c r="D22040" t="s">
        <v>83494</v>
      </c>
      <c r="E22040" t="s">
        <v>83495</v>
      </c>
      <c r="F22040" t="s">
        <v>70534</v>
      </c>
      <c r="G22040" t="s">
        <v>899</v>
      </c>
      <c r="H22040">
        <v>2301</v>
      </c>
      <c r="I22040" t="s">
        <v>30</v>
      </c>
      <c r="J22040" t="s">
        <v>145</v>
      </c>
      <c r="K22040" t="s">
        <v>1353</v>
      </c>
      <c r="N22040" t="s">
        <v>70616</v>
      </c>
      <c r="Q22040">
        <v>0</v>
      </c>
      <c r="R22040">
        <v>57</v>
      </c>
      <c r="S22040">
        <v>0</v>
      </c>
      <c r="T22040" t="s">
        <v>83496</v>
      </c>
    </row>
    <row r="22041" spans="1:25" customFormat="1" ht="15" x14ac:dyDescent="0.25">
      <c r="A22041" t="s">
        <v>24</v>
      </c>
      <c r="B22041" t="s">
        <v>11697</v>
      </c>
      <c r="C22041" t="str">
        <f>"A0147019"</f>
        <v>A0147019</v>
      </c>
      <c r="D22041" t="s">
        <v>83497</v>
      </c>
      <c r="E22041" t="s">
        <v>83498</v>
      </c>
      <c r="F22041" t="s">
        <v>83499</v>
      </c>
      <c r="G22041" t="s">
        <v>81</v>
      </c>
      <c r="H22041">
        <v>33004</v>
      </c>
      <c r="I22041" t="s">
        <v>30</v>
      </c>
      <c r="J22041" t="s">
        <v>145</v>
      </c>
      <c r="K22041" t="s">
        <v>1353</v>
      </c>
      <c r="N22041" t="s">
        <v>83500</v>
      </c>
      <c r="O22041" t="s">
        <v>6489</v>
      </c>
      <c r="Q22041">
        <v>0</v>
      </c>
      <c r="R22041">
        <v>36</v>
      </c>
      <c r="S22041">
        <v>0</v>
      </c>
      <c r="T22041" t="s">
        <v>83501</v>
      </c>
    </row>
    <row r="22042" spans="1:25" customFormat="1" ht="15" x14ac:dyDescent="0.25">
      <c r="A22042" t="s">
        <v>24</v>
      </c>
      <c r="B22042" t="s">
        <v>59330</v>
      </c>
      <c r="C22042" t="str">
        <f>"A0145818"</f>
        <v>A0145818</v>
      </c>
      <c r="D22042" t="s">
        <v>83502</v>
      </c>
      <c r="E22042" t="s">
        <v>83503</v>
      </c>
      <c r="F22042" t="s">
        <v>2051</v>
      </c>
      <c r="G22042" t="s">
        <v>161</v>
      </c>
      <c r="H22042">
        <v>55807</v>
      </c>
      <c r="I22042" t="s">
        <v>30</v>
      </c>
      <c r="J22042" t="s">
        <v>145</v>
      </c>
      <c r="K22042" t="s">
        <v>1353</v>
      </c>
      <c r="N22042" t="s">
        <v>83504</v>
      </c>
      <c r="Q22042">
        <v>0</v>
      </c>
      <c r="R22042">
        <v>59</v>
      </c>
      <c r="S22042">
        <v>0</v>
      </c>
      <c r="T22042" t="s">
        <v>83505</v>
      </c>
    </row>
    <row r="22043" spans="1:25" customFormat="1" ht="15" x14ac:dyDescent="0.25">
      <c r="A22043" t="s">
        <v>24</v>
      </c>
      <c r="B22043" t="s">
        <v>64929</v>
      </c>
      <c r="C22043" t="str">
        <f>"A0117557"</f>
        <v>A0117557</v>
      </c>
      <c r="D22043" t="s">
        <v>83506</v>
      </c>
      <c r="E22043" t="s">
        <v>83507</v>
      </c>
      <c r="F22043" t="s">
        <v>4829</v>
      </c>
      <c r="G22043" t="s">
        <v>52</v>
      </c>
      <c r="H22043">
        <v>75063</v>
      </c>
      <c r="I22043" t="s">
        <v>30</v>
      </c>
      <c r="J22043" t="s">
        <v>145</v>
      </c>
      <c r="K22043" t="s">
        <v>1353</v>
      </c>
      <c r="N22043" t="s">
        <v>83508</v>
      </c>
      <c r="Q22043">
        <v>0</v>
      </c>
      <c r="R22043">
        <v>61</v>
      </c>
      <c r="S22043">
        <v>0</v>
      </c>
      <c r="T22043" t="s">
        <v>83509</v>
      </c>
    </row>
    <row r="22044" spans="1:25" customFormat="1" ht="15" x14ac:dyDescent="0.25">
      <c r="A22044" t="s">
        <v>24</v>
      </c>
      <c r="B22044" t="s">
        <v>2340</v>
      </c>
      <c r="C22044" t="str">
        <f>"A0094260"</f>
        <v>A0094260</v>
      </c>
      <c r="D22044" t="s">
        <v>83510</v>
      </c>
      <c r="E22044" t="s">
        <v>62500</v>
      </c>
      <c r="F22044" t="s">
        <v>62501</v>
      </c>
      <c r="G22044" t="s">
        <v>123</v>
      </c>
      <c r="H22044">
        <v>20746</v>
      </c>
      <c r="I22044" t="s">
        <v>30</v>
      </c>
      <c r="J22044" t="s">
        <v>145</v>
      </c>
      <c r="K22044" t="s">
        <v>1353</v>
      </c>
      <c r="N22044" t="s">
        <v>62502</v>
      </c>
      <c r="O22044" t="s">
        <v>332</v>
      </c>
      <c r="Q22044">
        <v>0</v>
      </c>
      <c r="R22044">
        <v>47</v>
      </c>
      <c r="S22044">
        <v>0</v>
      </c>
      <c r="T22044" t="s">
        <v>83511</v>
      </c>
    </row>
    <row r="22045" spans="1:25" customFormat="1" ht="15" x14ac:dyDescent="0.25">
      <c r="A22045" t="s">
        <v>24</v>
      </c>
      <c r="B22045" t="s">
        <v>2340</v>
      </c>
      <c r="C22045" t="str">
        <f>"A0090849"</f>
        <v>A0090849</v>
      </c>
      <c r="D22045" t="s">
        <v>83512</v>
      </c>
      <c r="E22045" t="s">
        <v>83513</v>
      </c>
      <c r="F22045" t="s">
        <v>80084</v>
      </c>
      <c r="G22045" t="s">
        <v>123</v>
      </c>
      <c r="H22045">
        <v>20740</v>
      </c>
      <c r="I22045" t="s">
        <v>30</v>
      </c>
      <c r="J22045" t="s">
        <v>145</v>
      </c>
      <c r="K22045" t="s">
        <v>1353</v>
      </c>
      <c r="N22045" t="s">
        <v>2214</v>
      </c>
      <c r="O22045" t="s">
        <v>83514</v>
      </c>
      <c r="Q22045">
        <v>0</v>
      </c>
      <c r="R22045">
        <v>51</v>
      </c>
      <c r="S22045">
        <v>0</v>
      </c>
      <c r="T22045" t="s">
        <v>83515</v>
      </c>
    </row>
    <row r="22046" spans="1:25" customFormat="1" ht="15" x14ac:dyDescent="0.25">
      <c r="A22046" t="s">
        <v>24</v>
      </c>
      <c r="B22046" t="s">
        <v>56842</v>
      </c>
      <c r="C22046" t="str">
        <f>"A0094450"</f>
        <v>A0094450</v>
      </c>
      <c r="D22046" t="s">
        <v>83516</v>
      </c>
      <c r="E22046" t="s">
        <v>83517</v>
      </c>
      <c r="F22046" t="s">
        <v>1525</v>
      </c>
      <c r="G22046" t="s">
        <v>65</v>
      </c>
      <c r="H22046">
        <v>43228</v>
      </c>
      <c r="I22046" t="s">
        <v>30</v>
      </c>
      <c r="J22046" t="s">
        <v>145</v>
      </c>
      <c r="K22046" t="s">
        <v>1353</v>
      </c>
      <c r="N22046" t="s">
        <v>14317</v>
      </c>
      <c r="Q22046">
        <v>0</v>
      </c>
      <c r="R22046">
        <v>64</v>
      </c>
      <c r="S22046">
        <v>0</v>
      </c>
      <c r="T22046" t="s">
        <v>83518</v>
      </c>
    </row>
    <row r="22047" spans="1:25" customFormat="1" ht="15" x14ac:dyDescent="0.25">
      <c r="A22047" t="s">
        <v>24</v>
      </c>
      <c r="B22047" t="s">
        <v>1473</v>
      </c>
      <c r="C22047" t="str">
        <f>"A0153103"</f>
        <v>A0153103</v>
      </c>
      <c r="D22047" t="s">
        <v>83519</v>
      </c>
      <c r="E22047" t="s">
        <v>83520</v>
      </c>
      <c r="F22047" t="s">
        <v>83521</v>
      </c>
      <c r="G22047" t="s">
        <v>880</v>
      </c>
      <c r="H22047">
        <v>38501</v>
      </c>
      <c r="I22047" t="s">
        <v>30</v>
      </c>
      <c r="J22047" t="s">
        <v>145</v>
      </c>
      <c r="K22047" t="s">
        <v>1353</v>
      </c>
      <c r="N22047" t="s">
        <v>83522</v>
      </c>
      <c r="Q22047">
        <v>0</v>
      </c>
      <c r="R22047">
        <v>46</v>
      </c>
      <c r="S22047">
        <v>0</v>
      </c>
      <c r="T22047" t="s">
        <v>83523</v>
      </c>
    </row>
    <row r="22048" spans="1:25" customFormat="1" ht="15" x14ac:dyDescent="0.25">
      <c r="A22048" t="s">
        <v>24</v>
      </c>
      <c r="B22048" t="s">
        <v>4990</v>
      </c>
      <c r="C22048" t="str">
        <f>"88SP012"</f>
        <v>88SP012</v>
      </c>
      <c r="D22048" t="s">
        <v>83524</v>
      </c>
      <c r="E22048" t="s">
        <v>83525</v>
      </c>
      <c r="F22048" t="s">
        <v>74691</v>
      </c>
      <c r="G22048" t="s">
        <v>381</v>
      </c>
      <c r="H22048">
        <v>47933</v>
      </c>
      <c r="I22048" t="s">
        <v>30</v>
      </c>
      <c r="J22048" t="s">
        <v>145</v>
      </c>
      <c r="K22048" t="s">
        <v>1353</v>
      </c>
      <c r="N22048" t="s">
        <v>74692</v>
      </c>
      <c r="Q22048">
        <v>0</v>
      </c>
      <c r="R22048">
        <v>59</v>
      </c>
      <c r="S22048">
        <v>0</v>
      </c>
      <c r="T22048" t="s">
        <v>83526</v>
      </c>
    </row>
    <row r="22049" spans="1:20" customFormat="1" ht="15" x14ac:dyDescent="0.25">
      <c r="A22049" t="s">
        <v>24</v>
      </c>
      <c r="B22049" t="s">
        <v>63593</v>
      </c>
      <c r="C22049" t="str">
        <f>"A0096617"</f>
        <v>A0096617</v>
      </c>
      <c r="D22049" t="s">
        <v>83527</v>
      </c>
      <c r="E22049" t="s">
        <v>83528</v>
      </c>
      <c r="F22049" t="s">
        <v>5567</v>
      </c>
      <c r="G22049" t="s">
        <v>846</v>
      </c>
      <c r="H22049">
        <v>30035</v>
      </c>
      <c r="I22049" t="s">
        <v>30</v>
      </c>
      <c r="J22049" t="s">
        <v>145</v>
      </c>
      <c r="K22049" t="s">
        <v>1353</v>
      </c>
      <c r="N22049" t="s">
        <v>83529</v>
      </c>
      <c r="O22049" t="s">
        <v>83530</v>
      </c>
      <c r="Q22049">
        <v>0</v>
      </c>
      <c r="R22049">
        <v>53</v>
      </c>
      <c r="S22049">
        <v>0</v>
      </c>
      <c r="T22049" t="s">
        <v>83531</v>
      </c>
    </row>
    <row r="22050" spans="1:20" customFormat="1" ht="15" hidden="1" x14ac:dyDescent="0.25">
      <c r="A22050" t="s">
        <v>24</v>
      </c>
      <c r="B22050" t="s">
        <v>56113</v>
      </c>
      <c r="C22050" t="str">
        <f>"A0068969"</f>
        <v>A0068969</v>
      </c>
      <c r="D22050" t="s">
        <v>83532</v>
      </c>
      <c r="E22050" t="s">
        <v>83533</v>
      </c>
      <c r="F22050" t="s">
        <v>83534</v>
      </c>
      <c r="G22050" t="s">
        <v>1457</v>
      </c>
      <c r="H22050" t="s">
        <v>83535</v>
      </c>
      <c r="I22050" t="s">
        <v>1459</v>
      </c>
      <c r="J22050" t="s">
        <v>145</v>
      </c>
      <c r="K22050" t="s">
        <v>1353</v>
      </c>
      <c r="N22050" t="s">
        <v>83536</v>
      </c>
      <c r="Q22050">
        <v>0</v>
      </c>
      <c r="R22050">
        <v>60</v>
      </c>
      <c r="S22050">
        <v>0</v>
      </c>
      <c r="T22050" t="s">
        <v>83537</v>
      </c>
    </row>
    <row r="22051" spans="1:20" customFormat="1" ht="15" hidden="1" x14ac:dyDescent="0.25">
      <c r="A22051" t="s">
        <v>24</v>
      </c>
      <c r="B22051" t="s">
        <v>56113</v>
      </c>
      <c r="C22051" t="str">
        <f>"A0093794"</f>
        <v>A0093794</v>
      </c>
      <c r="D22051" t="s">
        <v>83538</v>
      </c>
      <c r="E22051" t="s">
        <v>83539</v>
      </c>
      <c r="F22051" t="s">
        <v>83540</v>
      </c>
      <c r="G22051" t="s">
        <v>2270</v>
      </c>
      <c r="H22051" t="s">
        <v>83541</v>
      </c>
      <c r="I22051" t="s">
        <v>1459</v>
      </c>
      <c r="J22051" t="s">
        <v>145</v>
      </c>
      <c r="K22051" t="s">
        <v>1353</v>
      </c>
      <c r="N22051" t="s">
        <v>83542</v>
      </c>
      <c r="Q22051">
        <v>0</v>
      </c>
      <c r="R22051">
        <v>142</v>
      </c>
      <c r="S22051">
        <v>0</v>
      </c>
      <c r="T22051" t="s">
        <v>83543</v>
      </c>
    </row>
    <row r="22052" spans="1:20" customFormat="1" ht="15" hidden="1" x14ac:dyDescent="0.25">
      <c r="A22052" t="s">
        <v>24</v>
      </c>
      <c r="B22052" t="s">
        <v>56113</v>
      </c>
      <c r="C22052" t="str">
        <f>"A0093795"</f>
        <v>A0093795</v>
      </c>
      <c r="D22052" t="s">
        <v>83544</v>
      </c>
      <c r="E22052" t="s">
        <v>83545</v>
      </c>
      <c r="F22052" t="s">
        <v>66246</v>
      </c>
      <c r="G22052" t="s">
        <v>2270</v>
      </c>
      <c r="H22052" t="s">
        <v>83546</v>
      </c>
      <c r="I22052" t="s">
        <v>1459</v>
      </c>
      <c r="J22052" t="s">
        <v>145</v>
      </c>
      <c r="K22052" t="s">
        <v>1353</v>
      </c>
      <c r="Q22052">
        <v>0</v>
      </c>
      <c r="R22052">
        <v>93</v>
      </c>
      <c r="S22052">
        <v>0</v>
      </c>
      <c r="T22052" t="s">
        <v>83547</v>
      </c>
    </row>
    <row r="22053" spans="1:20" customFormat="1" ht="15" hidden="1" x14ac:dyDescent="0.25">
      <c r="A22053" t="s">
        <v>24</v>
      </c>
      <c r="B22053" t="s">
        <v>56113</v>
      </c>
      <c r="C22053" t="str">
        <f>"A0093796"</f>
        <v>A0093796</v>
      </c>
      <c r="D22053" t="s">
        <v>83548</v>
      </c>
      <c r="E22053" t="s">
        <v>83549</v>
      </c>
      <c r="F22053" t="s">
        <v>9107</v>
      </c>
      <c r="G22053" t="s">
        <v>1457</v>
      </c>
      <c r="H22053" t="s">
        <v>83550</v>
      </c>
      <c r="I22053" t="s">
        <v>1459</v>
      </c>
      <c r="J22053" t="s">
        <v>145</v>
      </c>
      <c r="K22053" t="s">
        <v>1353</v>
      </c>
      <c r="N22053" t="s">
        <v>83551</v>
      </c>
      <c r="Q22053">
        <v>0</v>
      </c>
      <c r="R22053">
        <v>148</v>
      </c>
      <c r="S22053">
        <v>0</v>
      </c>
      <c r="T22053" t="s">
        <v>83552</v>
      </c>
    </row>
    <row r="22054" spans="1:20" customFormat="1" ht="15" hidden="1" x14ac:dyDescent="0.25">
      <c r="A22054" t="s">
        <v>24</v>
      </c>
      <c r="B22054" t="s">
        <v>7405</v>
      </c>
      <c r="C22054" t="str">
        <f>"A0084699"</f>
        <v>A0084699</v>
      </c>
      <c r="D22054" t="s">
        <v>83553</v>
      </c>
      <c r="E22054" t="s">
        <v>83554</v>
      </c>
      <c r="F22054" t="s">
        <v>83555</v>
      </c>
      <c r="G22054" t="s">
        <v>5439</v>
      </c>
      <c r="H22054" t="s">
        <v>83556</v>
      </c>
      <c r="I22054" t="s">
        <v>1459</v>
      </c>
      <c r="J22054" t="s">
        <v>145</v>
      </c>
      <c r="K22054" t="s">
        <v>1353</v>
      </c>
      <c r="N22054" t="s">
        <v>83557</v>
      </c>
      <c r="Q22054">
        <v>0</v>
      </c>
      <c r="R22054">
        <v>81</v>
      </c>
      <c r="S22054">
        <v>0</v>
      </c>
      <c r="T22054" t="s">
        <v>83558</v>
      </c>
    </row>
    <row r="22055" spans="1:20" customFormat="1" ht="15" hidden="1" x14ac:dyDescent="0.25">
      <c r="A22055" t="s">
        <v>24</v>
      </c>
      <c r="B22055" t="s">
        <v>7405</v>
      </c>
      <c r="C22055" t="str">
        <f>"A0096692"</f>
        <v>A0096692</v>
      </c>
      <c r="D22055" t="s">
        <v>83559</v>
      </c>
      <c r="E22055" t="s">
        <v>83560</v>
      </c>
      <c r="F22055" t="s">
        <v>83561</v>
      </c>
      <c r="G22055" t="s">
        <v>5439</v>
      </c>
      <c r="H22055" t="s">
        <v>83562</v>
      </c>
      <c r="I22055" t="s">
        <v>1459</v>
      </c>
      <c r="J22055" t="s">
        <v>145</v>
      </c>
      <c r="K22055" t="s">
        <v>1353</v>
      </c>
      <c r="N22055" t="s">
        <v>83563</v>
      </c>
      <c r="O22055" t="s">
        <v>83564</v>
      </c>
      <c r="Q22055">
        <v>0</v>
      </c>
      <c r="R22055">
        <v>81</v>
      </c>
      <c r="S22055">
        <v>0</v>
      </c>
      <c r="T22055" t="s">
        <v>83565</v>
      </c>
    </row>
    <row r="22056" spans="1:20" customFormat="1" ht="15" hidden="1" x14ac:dyDescent="0.25">
      <c r="A22056" t="s">
        <v>24</v>
      </c>
      <c r="B22056" t="s">
        <v>7405</v>
      </c>
      <c r="C22056" t="str">
        <f>"A0083608"</f>
        <v>A0083608</v>
      </c>
      <c r="D22056" t="s">
        <v>83566</v>
      </c>
      <c r="E22056" t="s">
        <v>83567</v>
      </c>
      <c r="F22056" t="s">
        <v>83568</v>
      </c>
      <c r="G22056" t="s">
        <v>5439</v>
      </c>
      <c r="H22056" t="s">
        <v>83569</v>
      </c>
      <c r="I22056" t="s">
        <v>1459</v>
      </c>
      <c r="J22056" t="s">
        <v>145</v>
      </c>
      <c r="K22056" t="s">
        <v>1353</v>
      </c>
      <c r="N22056" t="s">
        <v>83570</v>
      </c>
      <c r="Q22056">
        <v>0</v>
      </c>
      <c r="R22056">
        <v>73</v>
      </c>
      <c r="S22056">
        <v>0</v>
      </c>
      <c r="T22056" t="s">
        <v>83571</v>
      </c>
    </row>
    <row r="22057" spans="1:20" customFormat="1" ht="15" x14ac:dyDescent="0.25">
      <c r="A22057" t="s">
        <v>24</v>
      </c>
      <c r="B22057" t="s">
        <v>65993</v>
      </c>
      <c r="C22057" t="str">
        <f>"A0096995"</f>
        <v>A0096995</v>
      </c>
      <c r="D22057" t="s">
        <v>83572</v>
      </c>
      <c r="E22057" t="s">
        <v>83573</v>
      </c>
      <c r="F22057" t="s">
        <v>2443</v>
      </c>
      <c r="G22057" t="s">
        <v>81</v>
      </c>
      <c r="H22057">
        <v>32244</v>
      </c>
      <c r="I22057" t="s">
        <v>30</v>
      </c>
      <c r="J22057" t="s">
        <v>145</v>
      </c>
      <c r="K22057" t="s">
        <v>1353</v>
      </c>
      <c r="N22057" t="s">
        <v>83574</v>
      </c>
      <c r="Q22057">
        <v>0</v>
      </c>
      <c r="R22057">
        <v>97</v>
      </c>
      <c r="S22057">
        <v>0</v>
      </c>
      <c r="T22057" t="s">
        <v>83575</v>
      </c>
    </row>
    <row r="22058" spans="1:20" customFormat="1" ht="15" x14ac:dyDescent="0.25">
      <c r="A22058" t="s">
        <v>24</v>
      </c>
      <c r="B22058" t="s">
        <v>13267</v>
      </c>
      <c r="C22058" t="str">
        <f>"A0093212"</f>
        <v>A0093212</v>
      </c>
      <c r="D22058" t="s">
        <v>83576</v>
      </c>
      <c r="E22058" t="s">
        <v>83577</v>
      </c>
      <c r="F22058" t="s">
        <v>74696</v>
      </c>
      <c r="G22058" t="s">
        <v>197</v>
      </c>
      <c r="H22058">
        <v>86401</v>
      </c>
      <c r="I22058" t="s">
        <v>30</v>
      </c>
      <c r="J22058" t="s">
        <v>145</v>
      </c>
      <c r="K22058" t="s">
        <v>1353</v>
      </c>
      <c r="N22058" t="s">
        <v>83578</v>
      </c>
      <c r="O22058" t="s">
        <v>83579</v>
      </c>
      <c r="Q22058">
        <v>0</v>
      </c>
      <c r="R22058">
        <v>60</v>
      </c>
      <c r="S22058">
        <v>0</v>
      </c>
      <c r="T22058" t="s">
        <v>83580</v>
      </c>
    </row>
    <row r="22059" spans="1:20" customFormat="1" ht="15" x14ac:dyDescent="0.25">
      <c r="A22059" t="s">
        <v>24</v>
      </c>
      <c r="B22059" t="s">
        <v>56842</v>
      </c>
      <c r="C22059" t="str">
        <f>"A0094448"</f>
        <v>A0094448</v>
      </c>
      <c r="D22059" t="s">
        <v>83581</v>
      </c>
      <c r="E22059" t="s">
        <v>83582</v>
      </c>
      <c r="F22059" t="s">
        <v>83583</v>
      </c>
      <c r="G22059" t="s">
        <v>65</v>
      </c>
      <c r="H22059">
        <v>43040</v>
      </c>
      <c r="I22059" t="s">
        <v>30</v>
      </c>
      <c r="J22059" t="s">
        <v>145</v>
      </c>
      <c r="K22059" t="s">
        <v>1353</v>
      </c>
      <c r="N22059" t="s">
        <v>83584</v>
      </c>
      <c r="Q22059">
        <v>0</v>
      </c>
      <c r="R22059">
        <v>74</v>
      </c>
      <c r="S22059">
        <v>0</v>
      </c>
      <c r="T22059" t="s">
        <v>83585</v>
      </c>
    </row>
    <row r="22060" spans="1:20" customFormat="1" ht="15" x14ac:dyDescent="0.25">
      <c r="A22060" t="s">
        <v>24</v>
      </c>
      <c r="B22060" t="s">
        <v>3151</v>
      </c>
      <c r="C22060" t="str">
        <f>"A0158625"</f>
        <v>A0158625</v>
      </c>
      <c r="D22060" t="s">
        <v>83586</v>
      </c>
      <c r="E22060" t="s">
        <v>83587</v>
      </c>
      <c r="F22060" t="s">
        <v>2057</v>
      </c>
      <c r="G22060" t="s">
        <v>52</v>
      </c>
      <c r="H22060">
        <v>79703</v>
      </c>
      <c r="I22060" t="s">
        <v>30</v>
      </c>
      <c r="J22060" t="s">
        <v>145</v>
      </c>
      <c r="K22060" t="s">
        <v>1353</v>
      </c>
      <c r="N22060" t="s">
        <v>83588</v>
      </c>
      <c r="Q22060">
        <v>0</v>
      </c>
      <c r="R22060">
        <v>71</v>
      </c>
      <c r="S22060">
        <v>0</v>
      </c>
      <c r="T22060" t="s">
        <v>83589</v>
      </c>
    </row>
    <row r="22061" spans="1:20" customFormat="1" ht="15" hidden="1" x14ac:dyDescent="0.25">
      <c r="A22061" t="s">
        <v>24</v>
      </c>
      <c r="B22061" t="s">
        <v>7405</v>
      </c>
      <c r="C22061" t="str">
        <f>"A0083609"</f>
        <v>A0083609</v>
      </c>
      <c r="D22061" t="s">
        <v>83590</v>
      </c>
      <c r="E22061" t="s">
        <v>83591</v>
      </c>
      <c r="F22061" t="s">
        <v>83592</v>
      </c>
      <c r="G22061" t="s">
        <v>5439</v>
      </c>
      <c r="H22061" t="s">
        <v>83593</v>
      </c>
      <c r="I22061" t="s">
        <v>1459</v>
      </c>
      <c r="J22061" t="s">
        <v>145</v>
      </c>
      <c r="K22061" t="s">
        <v>1353</v>
      </c>
      <c r="N22061" t="s">
        <v>83594</v>
      </c>
      <c r="Q22061">
        <v>0</v>
      </c>
      <c r="R22061">
        <v>79</v>
      </c>
      <c r="S22061">
        <v>0</v>
      </c>
      <c r="T22061" t="s">
        <v>83595</v>
      </c>
    </row>
    <row r="22062" spans="1:20" customFormat="1" ht="15" hidden="1" x14ac:dyDescent="0.25">
      <c r="A22062" t="s">
        <v>24</v>
      </c>
      <c r="B22062" t="s">
        <v>7405</v>
      </c>
      <c r="C22062" t="str">
        <f>"A0083612"</f>
        <v>A0083612</v>
      </c>
      <c r="D22062" t="s">
        <v>83596</v>
      </c>
      <c r="E22062" t="s">
        <v>83597</v>
      </c>
      <c r="F22062" t="s">
        <v>62866</v>
      </c>
      <c r="G22062" t="s">
        <v>5439</v>
      </c>
      <c r="H22062" t="s">
        <v>83598</v>
      </c>
      <c r="I22062" t="s">
        <v>1459</v>
      </c>
      <c r="J22062" t="s">
        <v>145</v>
      </c>
      <c r="K22062" t="s">
        <v>1353</v>
      </c>
      <c r="N22062" t="s">
        <v>83599</v>
      </c>
      <c r="Q22062">
        <v>0</v>
      </c>
      <c r="R22062">
        <v>77</v>
      </c>
      <c r="S22062">
        <v>0</v>
      </c>
      <c r="T22062" t="s">
        <v>83600</v>
      </c>
    </row>
    <row r="22063" spans="1:20" customFormat="1" ht="15" x14ac:dyDescent="0.25">
      <c r="A22063" t="s">
        <v>24</v>
      </c>
      <c r="B22063" t="s">
        <v>4000</v>
      </c>
      <c r="C22063" t="str">
        <f>"A0096984"</f>
        <v>A0096984</v>
      </c>
      <c r="D22063" t="s">
        <v>83601</v>
      </c>
      <c r="E22063" t="s">
        <v>83602</v>
      </c>
      <c r="F22063" t="s">
        <v>83603</v>
      </c>
      <c r="G22063" t="s">
        <v>289</v>
      </c>
      <c r="H22063">
        <v>60007</v>
      </c>
      <c r="I22063" t="s">
        <v>30</v>
      </c>
      <c r="J22063" t="s">
        <v>145</v>
      </c>
      <c r="K22063" t="s">
        <v>1353</v>
      </c>
      <c r="N22063" t="s">
        <v>4005</v>
      </c>
      <c r="O22063" t="s">
        <v>83604</v>
      </c>
      <c r="Q22063">
        <v>0</v>
      </c>
      <c r="R22063">
        <v>90</v>
      </c>
      <c r="S22063">
        <v>0</v>
      </c>
      <c r="T22063" t="s">
        <v>83605</v>
      </c>
    </row>
    <row r="22064" spans="1:20" customFormat="1" ht="15" x14ac:dyDescent="0.25">
      <c r="A22064" t="s">
        <v>24</v>
      </c>
      <c r="B22064" t="s">
        <v>58092</v>
      </c>
      <c r="C22064" t="str">
        <f>"A0148504"</f>
        <v>A0148504</v>
      </c>
      <c r="D22064" t="s">
        <v>83606</v>
      </c>
      <c r="E22064" t="s">
        <v>83607</v>
      </c>
      <c r="F22064" t="s">
        <v>83608</v>
      </c>
      <c r="G22064" t="s">
        <v>338</v>
      </c>
      <c r="H22064">
        <v>8070</v>
      </c>
      <c r="I22064" t="s">
        <v>30</v>
      </c>
      <c r="J22064" t="s">
        <v>145</v>
      </c>
      <c r="K22064" t="s">
        <v>1353</v>
      </c>
      <c r="N22064" t="s">
        <v>83609</v>
      </c>
      <c r="Q22064">
        <v>0</v>
      </c>
      <c r="R22064">
        <v>100</v>
      </c>
      <c r="S22064">
        <v>0</v>
      </c>
      <c r="T22064" t="s">
        <v>83610</v>
      </c>
    </row>
    <row r="22065" spans="1:20" customFormat="1" ht="15" x14ac:dyDescent="0.25">
      <c r="A22065" t="s">
        <v>24</v>
      </c>
      <c r="B22065" t="s">
        <v>83611</v>
      </c>
      <c r="C22065" t="str">
        <f>"A0078095"</f>
        <v>A0078095</v>
      </c>
      <c r="D22065" t="s">
        <v>83612</v>
      </c>
      <c r="E22065" t="s">
        <v>83613</v>
      </c>
      <c r="F22065" t="s">
        <v>35101</v>
      </c>
      <c r="G22065" t="s">
        <v>110</v>
      </c>
      <c r="H22065">
        <v>94066</v>
      </c>
      <c r="I22065" t="s">
        <v>30</v>
      </c>
      <c r="J22065" t="s">
        <v>31</v>
      </c>
      <c r="K22065" t="s">
        <v>163</v>
      </c>
      <c r="N22065" t="s">
        <v>72341</v>
      </c>
      <c r="Q22065">
        <v>0</v>
      </c>
      <c r="R22065">
        <v>54</v>
      </c>
      <c r="S22065">
        <v>0</v>
      </c>
      <c r="T22065" t="s">
        <v>83614</v>
      </c>
    </row>
    <row r="22066" spans="1:20" customFormat="1" ht="15" hidden="1" x14ac:dyDescent="0.25">
      <c r="A22066" t="s">
        <v>24</v>
      </c>
      <c r="B22066" t="s">
        <v>56113</v>
      </c>
      <c r="C22066" t="str">
        <f>"A0093798"</f>
        <v>A0093798</v>
      </c>
      <c r="D22066" t="s">
        <v>83615</v>
      </c>
      <c r="E22066" t="s">
        <v>83616</v>
      </c>
      <c r="F22066" t="s">
        <v>55038</v>
      </c>
      <c r="G22066" t="s">
        <v>1457</v>
      </c>
      <c r="H22066" t="s">
        <v>55039</v>
      </c>
      <c r="I22066" t="s">
        <v>1459</v>
      </c>
      <c r="J22066" t="s">
        <v>145</v>
      </c>
      <c r="K22066" t="s">
        <v>1353</v>
      </c>
      <c r="N22066" t="s">
        <v>83617</v>
      </c>
      <c r="Q22066">
        <v>0</v>
      </c>
      <c r="R22066">
        <v>58</v>
      </c>
      <c r="S22066">
        <v>0</v>
      </c>
      <c r="T22066" t="s">
        <v>83618</v>
      </c>
    </row>
    <row r="22067" spans="1:20" customFormat="1" ht="15" x14ac:dyDescent="0.25">
      <c r="A22067" t="s">
        <v>24</v>
      </c>
      <c r="B22067" t="s">
        <v>83619</v>
      </c>
      <c r="C22067" t="str">
        <f>"A0078625"</f>
        <v>A0078625</v>
      </c>
      <c r="D22067" t="s">
        <v>83620</v>
      </c>
      <c r="E22067" t="s">
        <v>83621</v>
      </c>
      <c r="F22067" t="s">
        <v>74837</v>
      </c>
      <c r="G22067" t="s">
        <v>899</v>
      </c>
      <c r="H22067">
        <v>1566</v>
      </c>
      <c r="I22067" t="s">
        <v>30</v>
      </c>
      <c r="J22067" t="s">
        <v>145</v>
      </c>
      <c r="K22067" t="s">
        <v>1353</v>
      </c>
      <c r="N22067" t="s">
        <v>13596</v>
      </c>
      <c r="O22067" t="s">
        <v>83622</v>
      </c>
      <c r="Q22067">
        <v>0</v>
      </c>
      <c r="R22067">
        <v>55</v>
      </c>
      <c r="S22067">
        <v>0</v>
      </c>
      <c r="T22067" t="s">
        <v>83623</v>
      </c>
    </row>
    <row r="22068" spans="1:20" customFormat="1" ht="15" x14ac:dyDescent="0.25">
      <c r="A22068" t="s">
        <v>24</v>
      </c>
      <c r="B22068" t="s">
        <v>10129</v>
      </c>
      <c r="C22068" t="str">
        <f>"A0058186"</f>
        <v>A0058186</v>
      </c>
      <c r="D22068" t="s">
        <v>83624</v>
      </c>
      <c r="E22068" t="s">
        <v>83625</v>
      </c>
      <c r="F22068" t="s">
        <v>56538</v>
      </c>
      <c r="G22068" t="s">
        <v>71</v>
      </c>
      <c r="H22068">
        <v>53186</v>
      </c>
      <c r="I22068" t="s">
        <v>30</v>
      </c>
      <c r="J22068" t="s">
        <v>145</v>
      </c>
      <c r="K22068" t="s">
        <v>1353</v>
      </c>
      <c r="N22068" t="s">
        <v>14311</v>
      </c>
      <c r="Q22068">
        <v>0</v>
      </c>
      <c r="R22068">
        <v>95</v>
      </c>
      <c r="S22068">
        <v>0</v>
      </c>
      <c r="T22068" t="s">
        <v>83626</v>
      </c>
    </row>
    <row r="22069" spans="1:20" customFormat="1" ht="15" x14ac:dyDescent="0.25">
      <c r="A22069" t="s">
        <v>24</v>
      </c>
      <c r="B22069" t="s">
        <v>55247</v>
      </c>
      <c r="C22069" t="str">
        <f>"A0098944"</f>
        <v>A0098944</v>
      </c>
      <c r="D22069" t="s">
        <v>83627</v>
      </c>
      <c r="E22069" t="s">
        <v>83628</v>
      </c>
      <c r="F22069" t="s">
        <v>83629</v>
      </c>
      <c r="G22069" t="s">
        <v>137</v>
      </c>
      <c r="H22069">
        <v>65775</v>
      </c>
      <c r="I22069" t="s">
        <v>30</v>
      </c>
      <c r="J22069" t="s">
        <v>145</v>
      </c>
      <c r="K22069" t="s">
        <v>1353</v>
      </c>
      <c r="N22069" t="s">
        <v>83630</v>
      </c>
      <c r="Q22069">
        <v>0</v>
      </c>
      <c r="R22069">
        <v>50</v>
      </c>
      <c r="S22069">
        <v>0</v>
      </c>
      <c r="T22069" t="s">
        <v>83631</v>
      </c>
    </row>
    <row r="22070" spans="1:20" customFormat="1" ht="15" hidden="1" x14ac:dyDescent="0.25">
      <c r="A22070" t="s">
        <v>24</v>
      </c>
      <c r="B22070" t="s">
        <v>56113</v>
      </c>
      <c r="C22070" t="str">
        <f>"A0093800"</f>
        <v>A0093800</v>
      </c>
      <c r="D22070" t="s">
        <v>83632</v>
      </c>
      <c r="E22070" t="s">
        <v>83633</v>
      </c>
      <c r="F22070" t="s">
        <v>77730</v>
      </c>
      <c r="G22070" t="s">
        <v>1457</v>
      </c>
      <c r="H22070" t="s">
        <v>83634</v>
      </c>
      <c r="I22070" t="s">
        <v>1459</v>
      </c>
      <c r="J22070" t="s">
        <v>145</v>
      </c>
      <c r="K22070" t="s">
        <v>1353</v>
      </c>
      <c r="N22070" t="s">
        <v>83635</v>
      </c>
      <c r="Q22070">
        <v>0</v>
      </c>
      <c r="R22070">
        <v>59</v>
      </c>
      <c r="S22070">
        <v>0</v>
      </c>
      <c r="T22070" t="s">
        <v>83636</v>
      </c>
    </row>
    <row r="22071" spans="1:20" customFormat="1" ht="15" hidden="1" x14ac:dyDescent="0.25">
      <c r="A22071" t="s">
        <v>24</v>
      </c>
      <c r="B22071" t="s">
        <v>83637</v>
      </c>
      <c r="C22071" t="str">
        <f>"A0084698"</f>
        <v>A0084698</v>
      </c>
      <c r="D22071" t="s">
        <v>83638</v>
      </c>
      <c r="E22071" t="s">
        <v>83639</v>
      </c>
      <c r="F22071" t="s">
        <v>6902</v>
      </c>
      <c r="G22071" t="s">
        <v>53283</v>
      </c>
      <c r="H22071" t="s">
        <v>83640</v>
      </c>
      <c r="I22071" t="s">
        <v>1459</v>
      </c>
      <c r="J22071" t="s">
        <v>145</v>
      </c>
      <c r="K22071" t="s">
        <v>1353</v>
      </c>
      <c r="N22071" t="s">
        <v>83641</v>
      </c>
      <c r="Q22071">
        <v>0</v>
      </c>
      <c r="R22071">
        <v>66</v>
      </c>
      <c r="S22071">
        <v>0</v>
      </c>
      <c r="T22071" t="s">
        <v>83642</v>
      </c>
    </row>
    <row r="22072" spans="1:20" customFormat="1" ht="15" hidden="1" x14ac:dyDescent="0.25">
      <c r="A22072" t="s">
        <v>24</v>
      </c>
      <c r="B22072" t="s">
        <v>56113</v>
      </c>
      <c r="C22072" t="str">
        <f>"A0068971"</f>
        <v>A0068971</v>
      </c>
      <c r="D22072" t="s">
        <v>83643</v>
      </c>
      <c r="E22072" t="s">
        <v>83644</v>
      </c>
      <c r="F22072" t="s">
        <v>77723</v>
      </c>
      <c r="G22072" t="s">
        <v>77724</v>
      </c>
      <c r="H22072" t="s">
        <v>83645</v>
      </c>
      <c r="I22072" t="s">
        <v>1459</v>
      </c>
      <c r="J22072" t="s">
        <v>145</v>
      </c>
      <c r="K22072" t="s">
        <v>1353</v>
      </c>
      <c r="N22072" t="s">
        <v>83646</v>
      </c>
      <c r="Q22072">
        <v>0</v>
      </c>
      <c r="R22072">
        <v>66</v>
      </c>
      <c r="S22072">
        <v>0</v>
      </c>
      <c r="T22072" t="s">
        <v>83647</v>
      </c>
    </row>
    <row r="22073" spans="1:20" customFormat="1" ht="15" x14ac:dyDescent="0.25">
      <c r="A22073" t="s">
        <v>24</v>
      </c>
      <c r="B22073" t="s">
        <v>56959</v>
      </c>
      <c r="C22073" t="str">
        <f>"A0095019"</f>
        <v>A0095019</v>
      </c>
      <c r="D22073" t="s">
        <v>83648</v>
      </c>
      <c r="E22073" t="s">
        <v>83649</v>
      </c>
      <c r="F22073" t="s">
        <v>83650</v>
      </c>
      <c r="G22073" t="s">
        <v>65</v>
      </c>
      <c r="H22073">
        <v>43701</v>
      </c>
      <c r="I22073" t="s">
        <v>30</v>
      </c>
      <c r="J22073" t="s">
        <v>145</v>
      </c>
      <c r="K22073" t="s">
        <v>1353</v>
      </c>
      <c r="N22073" t="s">
        <v>83651</v>
      </c>
      <c r="Q22073">
        <v>0</v>
      </c>
      <c r="R22073">
        <v>62</v>
      </c>
      <c r="S22073">
        <v>0</v>
      </c>
      <c r="T22073" t="s">
        <v>83652</v>
      </c>
    </row>
    <row r="22074" spans="1:20" customFormat="1" ht="15" x14ac:dyDescent="0.25">
      <c r="A22074" t="s">
        <v>24</v>
      </c>
      <c r="B22074" t="s">
        <v>55997</v>
      </c>
      <c r="C22074" t="str">
        <f>"A0088868"</f>
        <v>A0088868</v>
      </c>
      <c r="D22074" t="s">
        <v>83653</v>
      </c>
      <c r="E22074" t="s">
        <v>83654</v>
      </c>
      <c r="F22074" t="s">
        <v>58095</v>
      </c>
      <c r="G22074" t="s">
        <v>528</v>
      </c>
      <c r="H22074">
        <v>19720</v>
      </c>
      <c r="I22074" t="s">
        <v>30</v>
      </c>
      <c r="J22074" t="s">
        <v>145</v>
      </c>
      <c r="K22074" t="s">
        <v>1353</v>
      </c>
      <c r="N22074" t="s">
        <v>83655</v>
      </c>
      <c r="Q22074">
        <v>0</v>
      </c>
      <c r="R22074">
        <v>109</v>
      </c>
      <c r="S22074">
        <v>0</v>
      </c>
      <c r="T22074" t="s">
        <v>83656</v>
      </c>
    </row>
    <row r="22075" spans="1:20" customFormat="1" ht="15" x14ac:dyDescent="0.25">
      <c r="A22075" t="s">
        <v>24</v>
      </c>
      <c r="B22075" t="s">
        <v>6667</v>
      </c>
      <c r="C22075" t="str">
        <f>"A0050555"</f>
        <v>A0050555</v>
      </c>
      <c r="D22075" t="s">
        <v>83657</v>
      </c>
      <c r="E22075" t="s">
        <v>83658</v>
      </c>
      <c r="F22075" t="s">
        <v>7714</v>
      </c>
      <c r="G22075" t="s">
        <v>197</v>
      </c>
      <c r="H22075">
        <v>85206</v>
      </c>
      <c r="I22075" t="s">
        <v>30</v>
      </c>
      <c r="J22075" t="s">
        <v>178</v>
      </c>
      <c r="K22075" t="s">
        <v>6667</v>
      </c>
      <c r="N22075" t="s">
        <v>83659</v>
      </c>
      <c r="O22075" t="s">
        <v>83660</v>
      </c>
      <c r="Q22075">
        <v>0</v>
      </c>
      <c r="R22075">
        <v>0</v>
      </c>
      <c r="S22075">
        <v>0</v>
      </c>
      <c r="T22075" t="s">
        <v>83661</v>
      </c>
    </row>
    <row r="22076" spans="1:20" customFormat="1" ht="15" x14ac:dyDescent="0.25">
      <c r="A22076" t="s">
        <v>24</v>
      </c>
      <c r="B22076" t="s">
        <v>675</v>
      </c>
      <c r="C22076" t="str">
        <f>"57301"</f>
        <v>57301</v>
      </c>
      <c r="D22076" t="s">
        <v>78559</v>
      </c>
      <c r="E22076" t="s">
        <v>78560</v>
      </c>
      <c r="F22076" t="s">
        <v>3891</v>
      </c>
      <c r="G22076" t="s">
        <v>190</v>
      </c>
      <c r="H22076">
        <v>80301</v>
      </c>
      <c r="I22076" t="s">
        <v>30</v>
      </c>
      <c r="J22076" t="s">
        <v>171</v>
      </c>
      <c r="K22076" t="s">
        <v>1450</v>
      </c>
      <c r="N22076" t="s">
        <v>78561</v>
      </c>
      <c r="Q22076">
        <v>0</v>
      </c>
      <c r="R22076">
        <v>128</v>
      </c>
      <c r="S22076">
        <v>0</v>
      </c>
      <c r="T22076" t="s">
        <v>78562</v>
      </c>
    </row>
    <row r="22077" spans="1:20" customFormat="1" ht="15" x14ac:dyDescent="0.25">
      <c r="A22077" t="s">
        <v>24</v>
      </c>
      <c r="B22077" t="s">
        <v>8579</v>
      </c>
      <c r="C22077" t="str">
        <f>"A0096410"</f>
        <v>A0096410</v>
      </c>
      <c r="D22077" t="s">
        <v>78563</v>
      </c>
      <c r="E22077" t="s">
        <v>78564</v>
      </c>
      <c r="F22077" t="s">
        <v>3891</v>
      </c>
      <c r="G22077" t="s">
        <v>190</v>
      </c>
      <c r="H22077">
        <v>80302</v>
      </c>
      <c r="I22077" t="s">
        <v>30</v>
      </c>
      <c r="J22077" t="s">
        <v>171</v>
      </c>
      <c r="K22077" t="s">
        <v>1450</v>
      </c>
      <c r="N22077" t="s">
        <v>78565</v>
      </c>
      <c r="Q22077">
        <v>0</v>
      </c>
      <c r="R22077">
        <v>161</v>
      </c>
      <c r="S22077">
        <v>0</v>
      </c>
      <c r="T22077" t="s">
        <v>78566</v>
      </c>
    </row>
    <row r="22078" spans="1:20" customFormat="1" ht="15" x14ac:dyDescent="0.25">
      <c r="A22078" t="s">
        <v>24</v>
      </c>
      <c r="B22078" t="s">
        <v>4990</v>
      </c>
      <c r="C22078" t="str">
        <f>"432J1"</f>
        <v>432J1</v>
      </c>
      <c r="D22078" t="s">
        <v>83671</v>
      </c>
      <c r="E22078" t="s">
        <v>83672</v>
      </c>
      <c r="F22078" t="s">
        <v>83673</v>
      </c>
      <c r="G22078" t="s">
        <v>1898</v>
      </c>
      <c r="H22078">
        <v>52501</v>
      </c>
      <c r="I22078" t="s">
        <v>30</v>
      </c>
      <c r="J22078" t="s">
        <v>31</v>
      </c>
      <c r="K22078" t="s">
        <v>12595</v>
      </c>
      <c r="N22078" t="s">
        <v>83674</v>
      </c>
      <c r="O22078" t="s">
        <v>83675</v>
      </c>
      <c r="Q22078">
        <v>0</v>
      </c>
      <c r="R22078">
        <v>62</v>
      </c>
      <c r="S22078">
        <v>0</v>
      </c>
      <c r="T22078" t="s">
        <v>83676</v>
      </c>
    </row>
    <row r="22079" spans="1:20" customFormat="1" ht="15" x14ac:dyDescent="0.25">
      <c r="A22079" t="s">
        <v>24</v>
      </c>
      <c r="B22079" t="s">
        <v>83677</v>
      </c>
      <c r="C22079" t="str">
        <f>"A0075386"</f>
        <v>A0075386</v>
      </c>
      <c r="D22079" t="s">
        <v>83678</v>
      </c>
      <c r="E22079" t="s">
        <v>83679</v>
      </c>
      <c r="F22079" t="s">
        <v>13767</v>
      </c>
      <c r="G22079" t="s">
        <v>4815</v>
      </c>
      <c r="H22079">
        <v>96815</v>
      </c>
      <c r="I22079" t="s">
        <v>30</v>
      </c>
      <c r="J22079" t="s">
        <v>31</v>
      </c>
      <c r="K22079" t="s">
        <v>163</v>
      </c>
      <c r="N22079" t="s">
        <v>83680</v>
      </c>
      <c r="Q22079">
        <v>0</v>
      </c>
      <c r="R22079">
        <v>113</v>
      </c>
      <c r="S22079">
        <v>0</v>
      </c>
      <c r="T22079" t="s">
        <v>83681</v>
      </c>
    </row>
    <row r="22080" spans="1:20" customFormat="1" ht="15" x14ac:dyDescent="0.25">
      <c r="A22080" t="s">
        <v>24</v>
      </c>
      <c r="B22080" t="s">
        <v>1528</v>
      </c>
      <c r="C22080" t="str">
        <f>"A0157402"</f>
        <v>A0157402</v>
      </c>
      <c r="D22080" t="s">
        <v>83682</v>
      </c>
      <c r="E22080" t="s">
        <v>83683</v>
      </c>
      <c r="F22080" t="s">
        <v>77593</v>
      </c>
      <c r="G22080" t="s">
        <v>47</v>
      </c>
      <c r="H22080">
        <v>97110</v>
      </c>
      <c r="I22080" t="s">
        <v>30</v>
      </c>
      <c r="J22080" t="s">
        <v>31</v>
      </c>
      <c r="K22080" t="s">
        <v>163</v>
      </c>
      <c r="N22080" t="s">
        <v>77594</v>
      </c>
      <c r="Q22080">
        <v>0</v>
      </c>
      <c r="R22080">
        <v>95</v>
      </c>
      <c r="S22080">
        <v>0</v>
      </c>
      <c r="T22080" t="s">
        <v>83684</v>
      </c>
    </row>
    <row r="22081" spans="1:25" customFormat="1" ht="15" x14ac:dyDescent="0.25">
      <c r="A22081" t="s">
        <v>24</v>
      </c>
      <c r="B22081" t="s">
        <v>799</v>
      </c>
      <c r="C22081" t="str">
        <f>"A0093849"</f>
        <v>A0093849</v>
      </c>
      <c r="D22081" t="s">
        <v>83685</v>
      </c>
      <c r="E22081" t="s">
        <v>83686</v>
      </c>
      <c r="F22081" t="s">
        <v>1159</v>
      </c>
      <c r="G22081" t="s">
        <v>58</v>
      </c>
      <c r="H22081">
        <v>29575</v>
      </c>
      <c r="I22081" t="s">
        <v>30</v>
      </c>
      <c r="J22081" t="s">
        <v>31</v>
      </c>
      <c r="K22081" t="s">
        <v>163</v>
      </c>
      <c r="N22081" t="s">
        <v>83687</v>
      </c>
      <c r="O22081" t="s">
        <v>83688</v>
      </c>
      <c r="Q22081">
        <v>0</v>
      </c>
      <c r="R22081">
        <v>161</v>
      </c>
      <c r="S22081">
        <v>0</v>
      </c>
      <c r="T22081" t="s">
        <v>83689</v>
      </c>
    </row>
    <row r="22082" spans="1:25" customFormat="1" ht="15" x14ac:dyDescent="0.25">
      <c r="A22082" t="s">
        <v>24</v>
      </c>
      <c r="B22082" t="s">
        <v>3221</v>
      </c>
      <c r="C22082" t="str">
        <f>"A0057262"</f>
        <v>A0057262</v>
      </c>
      <c r="D22082" t="s">
        <v>83690</v>
      </c>
      <c r="E22082" t="s">
        <v>83691</v>
      </c>
      <c r="F22082" t="s">
        <v>4532</v>
      </c>
      <c r="G22082" t="s">
        <v>899</v>
      </c>
      <c r="H22082">
        <v>2657</v>
      </c>
      <c r="I22082" t="s">
        <v>30</v>
      </c>
      <c r="J22082" t="s">
        <v>31</v>
      </c>
      <c r="K22082" t="s">
        <v>163</v>
      </c>
      <c r="N22082" t="s">
        <v>83692</v>
      </c>
      <c r="O22082" t="s">
        <v>83693</v>
      </c>
      <c r="Q22082">
        <v>0</v>
      </c>
      <c r="R22082">
        <v>84</v>
      </c>
      <c r="S22082">
        <v>0</v>
      </c>
      <c r="T22082" t="s">
        <v>83694</v>
      </c>
    </row>
    <row r="22083" spans="1:25" customFormat="1" ht="15" x14ac:dyDescent="0.25">
      <c r="A22083" t="s">
        <v>24</v>
      </c>
      <c r="B22083" t="s">
        <v>1583</v>
      </c>
      <c r="C22083" t="str">
        <f>"A0075413"</f>
        <v>A0075413</v>
      </c>
      <c r="D22083" t="s">
        <v>83695</v>
      </c>
      <c r="E22083" t="s">
        <v>83696</v>
      </c>
      <c r="F22083" t="s">
        <v>60633</v>
      </c>
      <c r="G22083" t="s">
        <v>58</v>
      </c>
      <c r="H22083">
        <v>29928</v>
      </c>
      <c r="I22083" t="s">
        <v>30</v>
      </c>
      <c r="J22083" t="s">
        <v>2544</v>
      </c>
      <c r="K22083" t="s">
        <v>36059</v>
      </c>
      <c r="N22083" t="s">
        <v>83697</v>
      </c>
      <c r="O22083" t="s">
        <v>83698</v>
      </c>
      <c r="Q22083">
        <v>0</v>
      </c>
      <c r="R22083">
        <v>195</v>
      </c>
      <c r="S22083">
        <v>0</v>
      </c>
      <c r="T22083" t="s">
        <v>83699</v>
      </c>
    </row>
    <row r="22084" spans="1:25" customFormat="1" ht="15" x14ac:dyDescent="0.25">
      <c r="A22084" t="s">
        <v>24</v>
      </c>
      <c r="B22084" t="s">
        <v>56488</v>
      </c>
      <c r="C22084" t="str">
        <f>"A0051025"</f>
        <v>A0051025</v>
      </c>
      <c r="D22084" t="s">
        <v>83700</v>
      </c>
      <c r="E22084" t="s">
        <v>83701</v>
      </c>
      <c r="F22084" t="s">
        <v>60686</v>
      </c>
      <c r="G22084" t="s">
        <v>52</v>
      </c>
      <c r="H22084">
        <v>77479</v>
      </c>
      <c r="I22084" t="s">
        <v>30</v>
      </c>
      <c r="J22084" t="s">
        <v>178</v>
      </c>
      <c r="K22084" t="s">
        <v>179</v>
      </c>
      <c r="N22084" t="s">
        <v>83702</v>
      </c>
      <c r="Q22084">
        <v>2</v>
      </c>
      <c r="R22084">
        <v>0</v>
      </c>
      <c r="S22084">
        <v>0</v>
      </c>
      <c r="T22084" t="s">
        <v>83703</v>
      </c>
    </row>
    <row r="22085" spans="1:25" x14ac:dyDescent="0.25">
      <c r="A22085" s="5" t="s">
        <v>24</v>
      </c>
      <c r="B22085" s="5" t="s">
        <v>78567</v>
      </c>
      <c r="C22085" s="5" t="str">
        <f>"56624"</f>
        <v>56624</v>
      </c>
      <c r="D22085" s="5" t="s">
        <v>78568</v>
      </c>
      <c r="E22085" s="5" t="s">
        <v>78569</v>
      </c>
      <c r="F22085" s="5" t="s">
        <v>3466</v>
      </c>
      <c r="G22085" s="5" t="s">
        <v>190</v>
      </c>
      <c r="H22085" s="5">
        <v>80027</v>
      </c>
      <c r="I22085" s="5" t="s">
        <v>30</v>
      </c>
      <c r="J22085" s="5" t="s">
        <v>171</v>
      </c>
      <c r="K22085" s="5" t="s">
        <v>1450</v>
      </c>
      <c r="L22085" s="5"/>
      <c r="M22085" s="5"/>
      <c r="N22085" s="5" t="s">
        <v>78570</v>
      </c>
      <c r="O22085" s="5" t="s">
        <v>78571</v>
      </c>
      <c r="P22085" s="5"/>
      <c r="Q22085" s="5">
        <v>0</v>
      </c>
      <c r="R22085" s="5">
        <v>88</v>
      </c>
      <c r="S22085" s="5">
        <v>0</v>
      </c>
      <c r="T22085" s="5" t="s">
        <v>78572</v>
      </c>
      <c r="U22085" s="5"/>
      <c r="V22085" s="5"/>
      <c r="W22085" s="5"/>
      <c r="X22085" s="5"/>
      <c r="Y22085" s="5"/>
    </row>
    <row r="22086" spans="1:25" customFormat="1" ht="15" x14ac:dyDescent="0.25">
      <c r="A22086" t="s">
        <v>24</v>
      </c>
      <c r="B22086" t="s">
        <v>59433</v>
      </c>
      <c r="C22086" t="str">
        <f>"A0099277"</f>
        <v>A0099277</v>
      </c>
      <c r="D22086" t="s">
        <v>83709</v>
      </c>
      <c r="E22086" t="s">
        <v>83710</v>
      </c>
      <c r="F22086" t="s">
        <v>83711</v>
      </c>
      <c r="G22086" t="s">
        <v>153</v>
      </c>
      <c r="H22086">
        <v>84036</v>
      </c>
      <c r="I22086" t="s">
        <v>30</v>
      </c>
      <c r="J22086" t="s">
        <v>178</v>
      </c>
      <c r="K22086" t="s">
        <v>163</v>
      </c>
      <c r="N22086" t="s">
        <v>83712</v>
      </c>
      <c r="O22086" t="s">
        <v>83713</v>
      </c>
      <c r="Q22086">
        <v>1</v>
      </c>
      <c r="R22086">
        <v>0</v>
      </c>
      <c r="S22086">
        <v>0</v>
      </c>
      <c r="T22086" t="s">
        <v>83714</v>
      </c>
    </row>
    <row r="22087" spans="1:25" customFormat="1" ht="15" x14ac:dyDescent="0.25">
      <c r="A22087" t="s">
        <v>24</v>
      </c>
      <c r="B22087" t="s">
        <v>6667</v>
      </c>
      <c r="C22087" t="str">
        <f>"A0085896"</f>
        <v>A0085896</v>
      </c>
      <c r="D22087" t="s">
        <v>83715</v>
      </c>
      <c r="E22087" t="s">
        <v>83716</v>
      </c>
      <c r="F22087" t="s">
        <v>60065</v>
      </c>
      <c r="G22087" t="s">
        <v>289</v>
      </c>
      <c r="H22087">
        <v>60564</v>
      </c>
      <c r="I22087" t="s">
        <v>30</v>
      </c>
      <c r="J22087" t="s">
        <v>178</v>
      </c>
      <c r="K22087" t="s">
        <v>6667</v>
      </c>
      <c r="N22087" t="s">
        <v>83717</v>
      </c>
      <c r="Q22087">
        <v>0</v>
      </c>
      <c r="R22087">
        <v>0</v>
      </c>
      <c r="S22087">
        <v>0</v>
      </c>
      <c r="T22087" t="s">
        <v>83718</v>
      </c>
    </row>
    <row r="22088" spans="1:25" customFormat="1" ht="15" x14ac:dyDescent="0.25">
      <c r="A22088" t="s">
        <v>24</v>
      </c>
      <c r="B22088" t="s">
        <v>4990</v>
      </c>
      <c r="C22088" t="str">
        <f>"56882"</f>
        <v>56882</v>
      </c>
      <c r="D22088" t="s">
        <v>78573</v>
      </c>
      <c r="E22088" t="s">
        <v>78574</v>
      </c>
      <c r="F22088" t="s">
        <v>3184</v>
      </c>
      <c r="G22088" t="s">
        <v>137</v>
      </c>
      <c r="H22088">
        <v>65616</v>
      </c>
      <c r="I22088" t="s">
        <v>30</v>
      </c>
      <c r="J22088" t="s">
        <v>171</v>
      </c>
      <c r="K22088" t="s">
        <v>1450</v>
      </c>
      <c r="N22088" t="s">
        <v>78575</v>
      </c>
      <c r="O22088" t="s">
        <v>78576</v>
      </c>
      <c r="Q22088">
        <v>0</v>
      </c>
      <c r="R22088">
        <v>85</v>
      </c>
      <c r="S22088">
        <v>0</v>
      </c>
      <c r="T22088" t="s">
        <v>78577</v>
      </c>
    </row>
    <row r="22089" spans="1:25" hidden="1" x14ac:dyDescent="0.25">
      <c r="A22089" s="3" t="s">
        <v>24</v>
      </c>
      <c r="B22089" s="3" t="s">
        <v>675</v>
      </c>
      <c r="C22089" s="3" t="str">
        <f>"A0157479"</f>
        <v>A0157479</v>
      </c>
      <c r="D22089" s="3" t="s">
        <v>83724</v>
      </c>
      <c r="E22089" s="3" t="s">
        <v>83725</v>
      </c>
      <c r="F22089" s="3" t="s">
        <v>58484</v>
      </c>
      <c r="G22089" s="3" t="s">
        <v>58485</v>
      </c>
      <c r="I22089" s="3" t="s">
        <v>58486</v>
      </c>
      <c r="J22089" s="3" t="s">
        <v>206</v>
      </c>
      <c r="K22089" s="3" t="s">
        <v>6459</v>
      </c>
      <c r="N22089" s="3" t="s">
        <v>83726</v>
      </c>
      <c r="Q22089" s="3">
        <v>0</v>
      </c>
      <c r="R22089" s="3">
        <v>104</v>
      </c>
      <c r="S22089" s="3">
        <v>0</v>
      </c>
      <c r="T22089" s="3" t="s">
        <v>83727</v>
      </c>
    </row>
    <row r="22090" spans="1:25" customFormat="1" ht="15" x14ac:dyDescent="0.25">
      <c r="A22090" t="s">
        <v>24</v>
      </c>
      <c r="B22090" t="s">
        <v>13496</v>
      </c>
      <c r="C22090" t="str">
        <f>"CL0968"</f>
        <v>CL0968</v>
      </c>
      <c r="D22090" t="s">
        <v>83728</v>
      </c>
      <c r="E22090" t="s">
        <v>83729</v>
      </c>
      <c r="F22090" t="s">
        <v>3955</v>
      </c>
      <c r="G22090" t="s">
        <v>81</v>
      </c>
      <c r="H22090">
        <v>33602</v>
      </c>
      <c r="I22090" t="s">
        <v>30</v>
      </c>
      <c r="J22090" t="s">
        <v>2558</v>
      </c>
      <c r="K22090" t="s">
        <v>163</v>
      </c>
      <c r="N22090" t="s">
        <v>83730</v>
      </c>
      <c r="Q22090">
        <v>0</v>
      </c>
      <c r="R22090">
        <v>0</v>
      </c>
      <c r="S22090">
        <v>0</v>
      </c>
      <c r="T22090" t="s">
        <v>83731</v>
      </c>
    </row>
    <row r="22091" spans="1:25" customFormat="1" ht="15" x14ac:dyDescent="0.25">
      <c r="A22091" t="s">
        <v>24</v>
      </c>
      <c r="B22091" t="s">
        <v>5435</v>
      </c>
      <c r="C22091" t="str">
        <f>"A0076795"</f>
        <v>A0076795</v>
      </c>
      <c r="D22091" t="s">
        <v>78578</v>
      </c>
      <c r="E22091" t="s">
        <v>78579</v>
      </c>
      <c r="F22091" t="s">
        <v>2543</v>
      </c>
      <c r="G22091" t="s">
        <v>190</v>
      </c>
      <c r="H22091">
        <v>80424</v>
      </c>
      <c r="I22091" t="s">
        <v>30</v>
      </c>
      <c r="J22091" t="s">
        <v>171</v>
      </c>
      <c r="K22091" t="s">
        <v>1450</v>
      </c>
      <c r="N22091" t="s">
        <v>78580</v>
      </c>
      <c r="Q22091">
        <v>0</v>
      </c>
      <c r="R22091">
        <v>129</v>
      </c>
      <c r="S22091">
        <v>0</v>
      </c>
      <c r="T22091" t="s">
        <v>78581</v>
      </c>
    </row>
    <row r="22092" spans="1:25" customFormat="1" ht="15" x14ac:dyDescent="0.25">
      <c r="A22092" t="s">
        <v>24</v>
      </c>
      <c r="B22092" t="s">
        <v>2360</v>
      </c>
      <c r="C22092" t="str">
        <f>"CL0131"</f>
        <v>CL0131</v>
      </c>
      <c r="D22092" t="s">
        <v>83736</v>
      </c>
      <c r="E22092" t="s">
        <v>83737</v>
      </c>
      <c r="F22092" t="s">
        <v>3955</v>
      </c>
      <c r="G22092" t="s">
        <v>81</v>
      </c>
      <c r="H22092">
        <v>33647</v>
      </c>
      <c r="I22092" t="s">
        <v>30</v>
      </c>
      <c r="J22092" t="s">
        <v>178</v>
      </c>
      <c r="K22092" t="s">
        <v>56676</v>
      </c>
      <c r="N22092" t="s">
        <v>83738</v>
      </c>
      <c r="P22092" t="s">
        <v>992</v>
      </c>
      <c r="Q22092">
        <v>1</v>
      </c>
      <c r="R22092">
        <v>0</v>
      </c>
      <c r="S22092">
        <v>0</v>
      </c>
      <c r="T22092" t="s">
        <v>83739</v>
      </c>
    </row>
    <row r="22093" spans="1:25" customFormat="1" ht="15" x14ac:dyDescent="0.25">
      <c r="A22093" t="s">
        <v>24</v>
      </c>
      <c r="B22093" t="s">
        <v>1548</v>
      </c>
      <c r="C22093" t="str">
        <f>"56867"</f>
        <v>56867</v>
      </c>
      <c r="D22093" t="s">
        <v>78582</v>
      </c>
      <c r="E22093" t="s">
        <v>78583</v>
      </c>
      <c r="F22093" t="s">
        <v>57381</v>
      </c>
      <c r="G22093" t="s">
        <v>71</v>
      </c>
      <c r="H22093">
        <v>53005</v>
      </c>
      <c r="I22093" t="s">
        <v>30</v>
      </c>
      <c r="J22093" t="s">
        <v>171</v>
      </c>
      <c r="K22093" t="s">
        <v>1450</v>
      </c>
      <c r="N22093" t="s">
        <v>78584</v>
      </c>
      <c r="O22093" t="s">
        <v>78585</v>
      </c>
      <c r="Q22093">
        <v>0</v>
      </c>
      <c r="R22093">
        <v>99</v>
      </c>
      <c r="S22093">
        <v>0</v>
      </c>
      <c r="T22093" t="s">
        <v>78586</v>
      </c>
    </row>
    <row r="22094" spans="1:25" customFormat="1" ht="15" x14ac:dyDescent="0.25">
      <c r="A22094" t="s">
        <v>24</v>
      </c>
      <c r="B22094" t="s">
        <v>6667</v>
      </c>
      <c r="C22094" t="str">
        <f>"A0049689"</f>
        <v>A0049689</v>
      </c>
      <c r="D22094" t="s">
        <v>83746</v>
      </c>
      <c r="E22094" t="s">
        <v>83747</v>
      </c>
      <c r="F22094" t="s">
        <v>8225</v>
      </c>
      <c r="G22094" t="s">
        <v>65</v>
      </c>
      <c r="H22094">
        <v>43017</v>
      </c>
      <c r="I22094" t="s">
        <v>30</v>
      </c>
      <c r="J22094" t="s">
        <v>178</v>
      </c>
      <c r="K22094" t="s">
        <v>6667</v>
      </c>
      <c r="N22094" t="s">
        <v>83748</v>
      </c>
      <c r="P22094" t="s">
        <v>992</v>
      </c>
      <c r="Q22094">
        <v>1</v>
      </c>
      <c r="R22094">
        <v>0</v>
      </c>
      <c r="S22094">
        <v>0</v>
      </c>
      <c r="T22094" t="s">
        <v>83749</v>
      </c>
    </row>
    <row r="22095" spans="1:25" customFormat="1" ht="15" x14ac:dyDescent="0.25">
      <c r="A22095" t="s">
        <v>24</v>
      </c>
      <c r="B22095" t="s">
        <v>6667</v>
      </c>
      <c r="C22095" t="str">
        <f>"A0050520"</f>
        <v>A0050520</v>
      </c>
      <c r="D22095" t="s">
        <v>83750</v>
      </c>
      <c r="E22095" t="s">
        <v>83751</v>
      </c>
      <c r="F22095" t="s">
        <v>83752</v>
      </c>
      <c r="G22095" t="s">
        <v>197</v>
      </c>
      <c r="H22095">
        <v>85331</v>
      </c>
      <c r="I22095" t="s">
        <v>30</v>
      </c>
      <c r="J22095" t="s">
        <v>178</v>
      </c>
      <c r="K22095" t="s">
        <v>6667</v>
      </c>
      <c r="N22095" t="s">
        <v>60894</v>
      </c>
      <c r="O22095" t="s">
        <v>83753</v>
      </c>
      <c r="Q22095">
        <v>0</v>
      </c>
      <c r="R22095">
        <v>0</v>
      </c>
      <c r="S22095">
        <v>0</v>
      </c>
      <c r="T22095" t="s">
        <v>83754</v>
      </c>
    </row>
    <row r="22096" spans="1:25" customFormat="1" ht="15" x14ac:dyDescent="0.25">
      <c r="A22096" t="s">
        <v>24</v>
      </c>
      <c r="B22096" t="s">
        <v>56103</v>
      </c>
      <c r="C22096" t="str">
        <f>"CL1212"</f>
        <v>CL1212</v>
      </c>
      <c r="D22096" t="s">
        <v>83755</v>
      </c>
      <c r="E22096" t="s">
        <v>83756</v>
      </c>
      <c r="F22096" t="s">
        <v>3517</v>
      </c>
      <c r="G22096" t="s">
        <v>110</v>
      </c>
      <c r="H22096">
        <v>95837</v>
      </c>
      <c r="I22096" t="s">
        <v>30</v>
      </c>
      <c r="J22096" t="s">
        <v>2415</v>
      </c>
      <c r="K22096" t="s">
        <v>163</v>
      </c>
      <c r="N22096" t="s">
        <v>83757</v>
      </c>
      <c r="P22096" t="s">
        <v>6426</v>
      </c>
      <c r="Q22096">
        <v>1</v>
      </c>
      <c r="R22096">
        <v>0</v>
      </c>
      <c r="S22096">
        <v>0</v>
      </c>
      <c r="T22096" t="s">
        <v>83758</v>
      </c>
    </row>
    <row r="22097" spans="1:25" customFormat="1" ht="15" x14ac:dyDescent="0.25">
      <c r="A22097" t="s">
        <v>24</v>
      </c>
      <c r="B22097" t="s">
        <v>1020</v>
      </c>
      <c r="C22097" t="str">
        <f>"56637"</f>
        <v>56637</v>
      </c>
      <c r="D22097" t="s">
        <v>78587</v>
      </c>
      <c r="E22097" t="s">
        <v>78588</v>
      </c>
      <c r="F22097" t="s">
        <v>11548</v>
      </c>
      <c r="G22097" t="s">
        <v>52</v>
      </c>
      <c r="H22097">
        <v>78520</v>
      </c>
      <c r="I22097" t="s">
        <v>30</v>
      </c>
      <c r="J22097" t="s">
        <v>171</v>
      </c>
      <c r="K22097" t="s">
        <v>1450</v>
      </c>
      <c r="N22097" t="s">
        <v>9395</v>
      </c>
      <c r="Q22097">
        <v>0</v>
      </c>
      <c r="R22097">
        <v>102</v>
      </c>
      <c r="S22097">
        <v>0</v>
      </c>
      <c r="T22097" t="s">
        <v>78589</v>
      </c>
    </row>
    <row r="22098" spans="1:25" customFormat="1" ht="15" x14ac:dyDescent="0.25">
      <c r="A22098" t="s">
        <v>24</v>
      </c>
      <c r="B22098" t="s">
        <v>2836</v>
      </c>
      <c r="C22098" t="str">
        <f>"56954"</f>
        <v>56954</v>
      </c>
      <c r="D22098" t="s">
        <v>78590</v>
      </c>
      <c r="E22098" t="s">
        <v>78591</v>
      </c>
      <c r="F22098" t="s">
        <v>845</v>
      </c>
      <c r="G22098" t="s">
        <v>846</v>
      </c>
      <c r="H22098">
        <v>30319</v>
      </c>
      <c r="I22098" t="s">
        <v>30</v>
      </c>
      <c r="J22098" t="s">
        <v>171</v>
      </c>
      <c r="K22098" t="s">
        <v>1450</v>
      </c>
      <c r="N22098" t="s">
        <v>78592</v>
      </c>
      <c r="O22098" t="s">
        <v>78593</v>
      </c>
      <c r="Q22098">
        <v>0</v>
      </c>
      <c r="R22098">
        <v>150</v>
      </c>
      <c r="S22098">
        <v>0</v>
      </c>
      <c r="T22098" t="s">
        <v>78594</v>
      </c>
    </row>
    <row r="22099" spans="1:25" customFormat="1" ht="15" x14ac:dyDescent="0.25">
      <c r="A22099" t="s">
        <v>24</v>
      </c>
      <c r="B22099" t="s">
        <v>2360</v>
      </c>
      <c r="C22099" t="str">
        <f>"A0051262"</f>
        <v>A0051262</v>
      </c>
      <c r="D22099" t="s">
        <v>83769</v>
      </c>
      <c r="E22099" t="s">
        <v>83770</v>
      </c>
      <c r="F22099" t="s">
        <v>7921</v>
      </c>
      <c r="G22099" t="s">
        <v>880</v>
      </c>
      <c r="H22099">
        <v>37069</v>
      </c>
      <c r="I22099" t="s">
        <v>30</v>
      </c>
      <c r="J22099" t="s">
        <v>178</v>
      </c>
      <c r="K22099" t="s">
        <v>56676</v>
      </c>
      <c r="N22099" t="s">
        <v>83771</v>
      </c>
      <c r="O22099" t="s">
        <v>83772</v>
      </c>
      <c r="Q22099">
        <v>1</v>
      </c>
      <c r="R22099">
        <v>0</v>
      </c>
      <c r="S22099">
        <v>0</v>
      </c>
      <c r="T22099" t="s">
        <v>83773</v>
      </c>
    </row>
    <row r="22100" spans="1:25" customFormat="1" ht="15" x14ac:dyDescent="0.25">
      <c r="A22100" t="s">
        <v>24</v>
      </c>
      <c r="B22100" t="s">
        <v>2360</v>
      </c>
      <c r="C22100" t="str">
        <f>"A0089341"</f>
        <v>A0089341</v>
      </c>
      <c r="D22100" t="s">
        <v>83774</v>
      </c>
      <c r="E22100" t="s">
        <v>83775</v>
      </c>
      <c r="F22100" t="s">
        <v>2120</v>
      </c>
      <c r="G22100" t="s">
        <v>52</v>
      </c>
      <c r="H22100">
        <v>79409</v>
      </c>
      <c r="I22100" t="s">
        <v>30</v>
      </c>
      <c r="J22100" t="s">
        <v>2558</v>
      </c>
      <c r="K22100" t="s">
        <v>2566</v>
      </c>
      <c r="N22100" t="s">
        <v>83776</v>
      </c>
      <c r="O22100" t="s">
        <v>83777</v>
      </c>
      <c r="Q22100">
        <v>0</v>
      </c>
      <c r="R22100">
        <v>0</v>
      </c>
      <c r="S22100">
        <v>0</v>
      </c>
      <c r="T22100" t="s">
        <v>83778</v>
      </c>
    </row>
    <row r="22101" spans="1:25" customFormat="1" ht="15" x14ac:dyDescent="0.25">
      <c r="A22101" t="s">
        <v>24</v>
      </c>
      <c r="B22101" t="s">
        <v>83779</v>
      </c>
      <c r="C22101" t="str">
        <f>"A0051572"</f>
        <v>A0051572</v>
      </c>
      <c r="D22101" t="s">
        <v>83780</v>
      </c>
      <c r="E22101" t="s">
        <v>83781</v>
      </c>
      <c r="F22101" t="s">
        <v>61460</v>
      </c>
      <c r="G22101" t="s">
        <v>103</v>
      </c>
      <c r="H22101">
        <v>19462</v>
      </c>
      <c r="I22101" t="s">
        <v>30</v>
      </c>
      <c r="J22101" t="s">
        <v>178</v>
      </c>
      <c r="K22101" t="s">
        <v>179</v>
      </c>
      <c r="N22101" t="s">
        <v>83782</v>
      </c>
      <c r="O22101" t="s">
        <v>83783</v>
      </c>
      <c r="P22101" t="s">
        <v>992</v>
      </c>
      <c r="Q22101">
        <v>0</v>
      </c>
      <c r="R22101">
        <v>18</v>
      </c>
      <c r="S22101">
        <v>0</v>
      </c>
      <c r="T22101" t="s">
        <v>83784</v>
      </c>
    </row>
    <row r="22102" spans="1:25" customFormat="1" ht="15" x14ac:dyDescent="0.25">
      <c r="A22102" t="s">
        <v>24</v>
      </c>
      <c r="B22102" t="s">
        <v>5537</v>
      </c>
      <c r="C22102" t="str">
        <f>"A0089242"</f>
        <v>A0089242</v>
      </c>
      <c r="D22102" t="s">
        <v>78595</v>
      </c>
      <c r="E22102" t="s">
        <v>78596</v>
      </c>
      <c r="F22102" t="s">
        <v>77754</v>
      </c>
      <c r="G22102" t="s">
        <v>2391</v>
      </c>
      <c r="H22102">
        <v>5446</v>
      </c>
      <c r="I22102" t="s">
        <v>30</v>
      </c>
      <c r="J22102" t="s">
        <v>171</v>
      </c>
      <c r="K22102" t="s">
        <v>1450</v>
      </c>
      <c r="N22102" t="s">
        <v>78597</v>
      </c>
      <c r="Q22102">
        <v>0</v>
      </c>
      <c r="R22102">
        <v>108</v>
      </c>
      <c r="S22102">
        <v>0</v>
      </c>
      <c r="T22102" t="s">
        <v>78598</v>
      </c>
    </row>
    <row r="22103" spans="1:25" customFormat="1" ht="15" x14ac:dyDescent="0.25">
      <c r="A22103" t="s">
        <v>24</v>
      </c>
      <c r="B22103" t="s">
        <v>1548</v>
      </c>
      <c r="C22103" t="str">
        <f>"A0088030"</f>
        <v>A0088030</v>
      </c>
      <c r="D22103" t="s">
        <v>78599</v>
      </c>
      <c r="E22103" t="s">
        <v>78600</v>
      </c>
      <c r="F22103" t="s">
        <v>5706</v>
      </c>
      <c r="G22103" t="s">
        <v>1706</v>
      </c>
      <c r="H22103">
        <v>35205</v>
      </c>
      <c r="I22103" t="s">
        <v>30</v>
      </c>
      <c r="J22103" t="s">
        <v>171</v>
      </c>
      <c r="K22103" t="s">
        <v>1450</v>
      </c>
      <c r="N22103" t="s">
        <v>78601</v>
      </c>
      <c r="Q22103">
        <v>0</v>
      </c>
      <c r="R22103">
        <v>129</v>
      </c>
      <c r="S22103">
        <v>0</v>
      </c>
      <c r="T22103" t="s">
        <v>78602</v>
      </c>
    </row>
    <row r="22104" spans="1:25" x14ac:dyDescent="0.25">
      <c r="A22104" s="5" t="s">
        <v>24</v>
      </c>
      <c r="B22104" s="5" t="s">
        <v>675</v>
      </c>
      <c r="C22104" s="5" t="str">
        <f>"A0084176"</f>
        <v>A0084176</v>
      </c>
      <c r="D22104" s="5" t="s">
        <v>78603</v>
      </c>
      <c r="E22104" s="5" t="s">
        <v>78604</v>
      </c>
      <c r="F22104" s="5" t="s">
        <v>1790</v>
      </c>
      <c r="G22104" s="5" t="s">
        <v>110</v>
      </c>
      <c r="H22104" s="5">
        <v>91502</v>
      </c>
      <c r="I22104" s="5" t="s">
        <v>30</v>
      </c>
      <c r="J22104" s="5" t="s">
        <v>171</v>
      </c>
      <c r="K22104" s="5" t="s">
        <v>1450</v>
      </c>
      <c r="L22104" s="5"/>
      <c r="M22104" s="5"/>
      <c r="N22104" s="5" t="s">
        <v>78605</v>
      </c>
      <c r="O22104" s="5" t="s">
        <v>78606</v>
      </c>
      <c r="P22104" s="5"/>
      <c r="Q22104" s="5">
        <v>0</v>
      </c>
      <c r="R22104" s="5">
        <v>166</v>
      </c>
      <c r="S22104" s="5">
        <v>0</v>
      </c>
      <c r="T22104" s="5" t="s">
        <v>78607</v>
      </c>
      <c r="U22104" s="5"/>
      <c r="V22104" s="5"/>
      <c r="W22104" s="5"/>
      <c r="X22104" s="5"/>
      <c r="Y22104" s="5"/>
    </row>
    <row r="22105" spans="1:25" x14ac:dyDescent="0.25">
      <c r="A22105" s="5" t="s">
        <v>24</v>
      </c>
      <c r="B22105" s="5" t="s">
        <v>675</v>
      </c>
      <c r="C22105" s="5" t="str">
        <f>"A0076512"</f>
        <v>A0076512</v>
      </c>
      <c r="D22105" s="5" t="s">
        <v>78610</v>
      </c>
      <c r="E22105" s="5" t="s">
        <v>78611</v>
      </c>
      <c r="F22105" s="5" t="s">
        <v>12883</v>
      </c>
      <c r="G22105" s="5" t="s">
        <v>29</v>
      </c>
      <c r="H22105" s="5">
        <v>20166</v>
      </c>
      <c r="I22105" s="5" t="s">
        <v>30</v>
      </c>
      <c r="J22105" s="5" t="s">
        <v>171</v>
      </c>
      <c r="K22105" s="5" t="s">
        <v>1450</v>
      </c>
      <c r="L22105" s="5"/>
      <c r="M22105" s="5"/>
      <c r="N22105" s="5" t="s">
        <v>78612</v>
      </c>
      <c r="O22105" s="5" t="s">
        <v>78613</v>
      </c>
      <c r="P22105" s="5"/>
      <c r="Q22105" s="5">
        <v>0</v>
      </c>
      <c r="R22105" s="5">
        <v>151</v>
      </c>
      <c r="S22105" s="5">
        <v>0</v>
      </c>
      <c r="T22105" s="5" t="s">
        <v>78614</v>
      </c>
      <c r="U22105" s="5"/>
      <c r="V22105" s="5"/>
      <c r="W22105" s="5"/>
      <c r="X22105" s="5"/>
      <c r="Y22105" s="5"/>
    </row>
    <row r="22106" spans="1:25" x14ac:dyDescent="0.25">
      <c r="A22106" s="5" t="s">
        <v>24</v>
      </c>
      <c r="B22106" s="5" t="s">
        <v>675</v>
      </c>
      <c r="C22106" s="5" t="str">
        <f>"A0088579"</f>
        <v>A0088579</v>
      </c>
      <c r="D22106" s="5" t="s">
        <v>78615</v>
      </c>
      <c r="E22106" s="5" t="s">
        <v>78616</v>
      </c>
      <c r="F22106" s="5" t="s">
        <v>12811</v>
      </c>
      <c r="G22106" s="5" t="s">
        <v>29</v>
      </c>
      <c r="H22106" s="5">
        <v>22030</v>
      </c>
      <c r="I22106" s="5" t="s">
        <v>30</v>
      </c>
      <c r="J22106" s="5" t="s">
        <v>171</v>
      </c>
      <c r="K22106" s="5" t="s">
        <v>1450</v>
      </c>
      <c r="L22106" s="5"/>
      <c r="M22106" s="5"/>
      <c r="N22106" s="5" t="s">
        <v>78617</v>
      </c>
      <c r="O22106" s="5" t="s">
        <v>78618</v>
      </c>
      <c r="P22106" s="5"/>
      <c r="Q22106" s="5">
        <v>0</v>
      </c>
      <c r="R22106" s="5">
        <v>155</v>
      </c>
      <c r="S22106" s="5">
        <v>0</v>
      </c>
      <c r="T22106" s="5" t="s">
        <v>78619</v>
      </c>
      <c r="U22106" s="5"/>
      <c r="V22106" s="5"/>
      <c r="W22106" s="5"/>
      <c r="X22106" s="5"/>
      <c r="Y22106" s="5"/>
    </row>
    <row r="22107" spans="1:25" x14ac:dyDescent="0.25">
      <c r="A22107" s="5" t="s">
        <v>24</v>
      </c>
      <c r="B22107" s="5" t="s">
        <v>1020</v>
      </c>
      <c r="C22107" s="5" t="str">
        <f>"A0085214"</f>
        <v>A0085214</v>
      </c>
      <c r="D22107" s="5" t="s">
        <v>78620</v>
      </c>
      <c r="E22107" s="5" t="s">
        <v>78621</v>
      </c>
      <c r="F22107" s="5" t="s">
        <v>69434</v>
      </c>
      <c r="G22107" s="5" t="s">
        <v>289</v>
      </c>
      <c r="H22107" s="5">
        <v>60045</v>
      </c>
      <c r="I22107" s="5" t="s">
        <v>30</v>
      </c>
      <c r="J22107" s="5" t="s">
        <v>171</v>
      </c>
      <c r="K22107" s="5" t="s">
        <v>1450</v>
      </c>
      <c r="L22107" s="5"/>
      <c r="M22107" s="5"/>
      <c r="N22107" s="5" t="s">
        <v>69435</v>
      </c>
      <c r="O22107" s="5"/>
      <c r="P22107" s="5"/>
      <c r="Q22107" s="5">
        <v>0</v>
      </c>
      <c r="R22107" s="5">
        <v>130</v>
      </c>
      <c r="S22107" s="5">
        <v>0</v>
      </c>
      <c r="T22107" s="5" t="s">
        <v>78622</v>
      </c>
      <c r="U22107" s="5"/>
      <c r="V22107" s="5"/>
      <c r="W22107" s="5"/>
      <c r="X22107" s="5"/>
      <c r="Y22107" s="5"/>
    </row>
    <row r="22108" spans="1:25" customFormat="1" ht="15" x14ac:dyDescent="0.25">
      <c r="A22108" t="s">
        <v>24</v>
      </c>
      <c r="B22108" t="s">
        <v>1020</v>
      </c>
      <c r="C22108" t="str">
        <f>"A0084152"</f>
        <v>A0084152</v>
      </c>
      <c r="D22108" t="s">
        <v>83809</v>
      </c>
      <c r="E22108" t="s">
        <v>83810</v>
      </c>
      <c r="F22108" t="s">
        <v>1865</v>
      </c>
      <c r="G22108" t="s">
        <v>110</v>
      </c>
      <c r="H22108">
        <v>90404</v>
      </c>
      <c r="I22108" t="s">
        <v>30</v>
      </c>
      <c r="J22108" t="s">
        <v>31</v>
      </c>
      <c r="K22108" t="s">
        <v>163</v>
      </c>
      <c r="N22108" t="s">
        <v>83811</v>
      </c>
      <c r="Q22108">
        <v>0</v>
      </c>
      <c r="R22108">
        <v>77</v>
      </c>
      <c r="S22108">
        <v>0</v>
      </c>
      <c r="T22108" t="s">
        <v>83812</v>
      </c>
    </row>
    <row r="22109" spans="1:25" customFormat="1" ht="15" x14ac:dyDescent="0.25">
      <c r="A22109" t="s">
        <v>24</v>
      </c>
      <c r="B22109" t="s">
        <v>5648</v>
      </c>
      <c r="C22109" t="str">
        <f>"A0153244"</f>
        <v>A0153244</v>
      </c>
      <c r="D22109" t="s">
        <v>83813</v>
      </c>
      <c r="E22109" t="s">
        <v>83814</v>
      </c>
      <c r="F22109" t="s">
        <v>5651</v>
      </c>
      <c r="G22109" t="s">
        <v>110</v>
      </c>
      <c r="H22109">
        <v>92802</v>
      </c>
      <c r="I22109" t="s">
        <v>30</v>
      </c>
      <c r="J22109" t="s">
        <v>31</v>
      </c>
      <c r="K22109" t="s">
        <v>163</v>
      </c>
      <c r="N22109" t="s">
        <v>83815</v>
      </c>
      <c r="Q22109">
        <v>0</v>
      </c>
      <c r="R22109">
        <v>306</v>
      </c>
      <c r="S22109">
        <v>0</v>
      </c>
      <c r="T22109" t="s">
        <v>83816</v>
      </c>
    </row>
    <row r="22110" spans="1:25" customFormat="1" ht="15" x14ac:dyDescent="0.25">
      <c r="A22110" t="s">
        <v>24</v>
      </c>
      <c r="B22110" t="s">
        <v>675</v>
      </c>
      <c r="C22110" t="str">
        <f>"A0085192"</f>
        <v>A0085192</v>
      </c>
      <c r="D22110" t="s">
        <v>78623</v>
      </c>
      <c r="E22110" t="s">
        <v>78624</v>
      </c>
      <c r="F22110" t="s">
        <v>4057</v>
      </c>
      <c r="G22110" t="s">
        <v>81</v>
      </c>
      <c r="H22110">
        <v>32901</v>
      </c>
      <c r="I22110" t="s">
        <v>30</v>
      </c>
      <c r="J22110" t="s">
        <v>171</v>
      </c>
      <c r="K22110" t="s">
        <v>1450</v>
      </c>
      <c r="N22110" t="s">
        <v>78625</v>
      </c>
      <c r="O22110" t="s">
        <v>78626</v>
      </c>
      <c r="Q22110">
        <v>0</v>
      </c>
      <c r="R22110">
        <v>134</v>
      </c>
      <c r="S22110">
        <v>0</v>
      </c>
      <c r="T22110" t="s">
        <v>78627</v>
      </c>
    </row>
    <row r="22111" spans="1:25" customFormat="1" ht="15" x14ac:dyDescent="0.25">
      <c r="A22111" t="s">
        <v>24</v>
      </c>
      <c r="B22111" t="s">
        <v>13626</v>
      </c>
      <c r="C22111" t="str">
        <f>"A0158466"</f>
        <v>A0158466</v>
      </c>
      <c r="D22111" t="s">
        <v>83822</v>
      </c>
      <c r="E22111" t="s">
        <v>83823</v>
      </c>
      <c r="F22111" t="s">
        <v>60454</v>
      </c>
      <c r="G22111" t="s">
        <v>190</v>
      </c>
      <c r="H22111">
        <v>80524</v>
      </c>
      <c r="I22111" t="s">
        <v>30</v>
      </c>
      <c r="J22111" t="s">
        <v>31</v>
      </c>
      <c r="K22111" t="s">
        <v>163</v>
      </c>
      <c r="N22111" t="s">
        <v>83824</v>
      </c>
      <c r="O22111" t="s">
        <v>83825</v>
      </c>
      <c r="Q22111">
        <v>0</v>
      </c>
      <c r="R22111">
        <v>54</v>
      </c>
      <c r="S22111">
        <v>0</v>
      </c>
      <c r="T22111" t="s">
        <v>83826</v>
      </c>
    </row>
    <row r="22112" spans="1:25" x14ac:dyDescent="0.25">
      <c r="A22112" s="5" t="s">
        <v>24</v>
      </c>
      <c r="B22112" s="5" t="s">
        <v>13299</v>
      </c>
      <c r="C22112" s="5" t="str">
        <f>"A0056062"</f>
        <v>A0056062</v>
      </c>
      <c r="D22112" s="5" t="s">
        <v>78628</v>
      </c>
      <c r="E22112" s="5" t="s">
        <v>78629</v>
      </c>
      <c r="F22112" s="5" t="s">
        <v>985</v>
      </c>
      <c r="G22112" s="5" t="s">
        <v>81</v>
      </c>
      <c r="H22112" s="5">
        <v>32822</v>
      </c>
      <c r="I22112" s="5" t="s">
        <v>30</v>
      </c>
      <c r="J22112" s="5" t="s">
        <v>171</v>
      </c>
      <c r="K22112" s="5" t="s">
        <v>1450</v>
      </c>
      <c r="L22112" s="5"/>
      <c r="M22112" s="5"/>
      <c r="N22112" s="5" t="s">
        <v>78630</v>
      </c>
      <c r="O22112" s="5"/>
      <c r="P22112" s="5"/>
      <c r="Q22112" s="5">
        <v>0</v>
      </c>
      <c r="R22112" s="5">
        <v>132</v>
      </c>
      <c r="S22112" s="5">
        <v>0</v>
      </c>
      <c r="T22112" s="5" t="s">
        <v>78631</v>
      </c>
      <c r="U22112" s="5"/>
      <c r="V22112" s="5"/>
      <c r="W22112" s="5"/>
      <c r="X22112" s="5"/>
      <c r="Y22112" s="5"/>
    </row>
    <row r="22113" spans="1:25" customFormat="1" ht="15" x14ac:dyDescent="0.25">
      <c r="A22113" t="s">
        <v>24</v>
      </c>
      <c r="B22113" t="s">
        <v>675</v>
      </c>
      <c r="C22113" t="str">
        <f>"A0087701"</f>
        <v>A0087701</v>
      </c>
      <c r="D22113" t="s">
        <v>78632</v>
      </c>
      <c r="E22113" t="s">
        <v>78633</v>
      </c>
      <c r="F22113" t="s">
        <v>33034</v>
      </c>
      <c r="G22113" t="s">
        <v>110</v>
      </c>
      <c r="H22113">
        <v>93012</v>
      </c>
      <c r="I22113" t="s">
        <v>30</v>
      </c>
      <c r="J22113" t="s">
        <v>171</v>
      </c>
      <c r="K22113" t="s">
        <v>1450</v>
      </c>
      <c r="N22113" t="s">
        <v>78634</v>
      </c>
      <c r="O22113" t="s">
        <v>78635</v>
      </c>
      <c r="Q22113">
        <v>0</v>
      </c>
      <c r="R22113">
        <v>132</v>
      </c>
      <c r="S22113">
        <v>0</v>
      </c>
      <c r="T22113" t="s">
        <v>78636</v>
      </c>
    </row>
    <row r="22114" spans="1:25" x14ac:dyDescent="0.25">
      <c r="A22114" s="5" t="s">
        <v>24</v>
      </c>
      <c r="B22114" s="5" t="s">
        <v>63161</v>
      </c>
      <c r="C22114" s="5" t="str">
        <f>"A0077957"</f>
        <v>A0077957</v>
      </c>
      <c r="D22114" s="5" t="s">
        <v>78637</v>
      </c>
      <c r="E22114" s="5" t="s">
        <v>78638</v>
      </c>
      <c r="F22114" s="5" t="s">
        <v>3531</v>
      </c>
      <c r="G22114" s="5" t="s">
        <v>81</v>
      </c>
      <c r="H22114" s="5">
        <v>32920</v>
      </c>
      <c r="I22114" s="5" t="s">
        <v>30</v>
      </c>
      <c r="J22114" s="5" t="s">
        <v>171</v>
      </c>
      <c r="K22114" s="5" t="s">
        <v>1450</v>
      </c>
      <c r="L22114" s="5"/>
      <c r="M22114" s="5"/>
      <c r="N22114" s="5" t="s">
        <v>78639</v>
      </c>
      <c r="O22114" s="5"/>
      <c r="P22114" s="5"/>
      <c r="Q22114" s="5">
        <v>0</v>
      </c>
      <c r="R22114" s="5">
        <v>150</v>
      </c>
      <c r="S22114" s="5">
        <v>0</v>
      </c>
      <c r="T22114" s="5" t="s">
        <v>78640</v>
      </c>
      <c r="U22114" s="5"/>
      <c r="V22114" s="5"/>
      <c r="W22114" s="5"/>
      <c r="X22114" s="5"/>
      <c r="Y22114" s="5"/>
    </row>
    <row r="22115" spans="1:25" customFormat="1" ht="15" hidden="1" x14ac:dyDescent="0.25">
      <c r="A22115" t="s">
        <v>24</v>
      </c>
      <c r="B22115" t="s">
        <v>5858</v>
      </c>
      <c r="C22115" t="str">
        <f>"A0092397"</f>
        <v>A0092397</v>
      </c>
      <c r="D22115" t="s">
        <v>83842</v>
      </c>
      <c r="E22115" t="s">
        <v>83843</v>
      </c>
      <c r="F22115" t="s">
        <v>2406</v>
      </c>
      <c r="G22115" t="s">
        <v>2407</v>
      </c>
      <c r="H22115">
        <v>23410</v>
      </c>
      <c r="I22115" t="s">
        <v>2408</v>
      </c>
      <c r="J22115" t="s">
        <v>679</v>
      </c>
      <c r="K22115" t="s">
        <v>163</v>
      </c>
      <c r="N22115" t="s">
        <v>56328</v>
      </c>
      <c r="O22115" t="s">
        <v>83844</v>
      </c>
      <c r="Q22115">
        <v>0</v>
      </c>
      <c r="R22115">
        <v>66</v>
      </c>
      <c r="S22115">
        <v>0</v>
      </c>
      <c r="T22115" t="s">
        <v>56329</v>
      </c>
    </row>
    <row r="22116" spans="1:25" x14ac:dyDescent="0.25">
      <c r="A22116" s="5" t="s">
        <v>24</v>
      </c>
      <c r="B22116" s="5" t="s">
        <v>10054</v>
      </c>
      <c r="C22116" s="5" t="str">
        <f>"A0074397"</f>
        <v>A0074397</v>
      </c>
      <c r="D22116" s="5" t="s">
        <v>78641</v>
      </c>
      <c r="E22116" s="5" t="s">
        <v>78642</v>
      </c>
      <c r="F22116" s="5" t="s">
        <v>313</v>
      </c>
      <c r="G22116" s="5" t="s">
        <v>314</v>
      </c>
      <c r="H22116" s="5">
        <v>20024</v>
      </c>
      <c r="I22116" s="5" t="s">
        <v>30</v>
      </c>
      <c r="J22116" s="5" t="s">
        <v>171</v>
      </c>
      <c r="K22116" s="5" t="s">
        <v>1450</v>
      </c>
      <c r="L22116" s="5"/>
      <c r="M22116" s="5"/>
      <c r="N22116" s="5" t="s">
        <v>78643</v>
      </c>
      <c r="O22116" s="5"/>
      <c r="P22116" s="5"/>
      <c r="Q22116" s="5">
        <v>0</v>
      </c>
      <c r="R22116" s="5">
        <v>233</v>
      </c>
      <c r="S22116" s="5">
        <v>0</v>
      </c>
      <c r="T22116" s="5" t="s">
        <v>78644</v>
      </c>
      <c r="U22116" s="5"/>
      <c r="V22116" s="5"/>
      <c r="W22116" s="5"/>
      <c r="X22116" s="5"/>
      <c r="Y22116" s="5"/>
    </row>
    <row r="22117" spans="1:25" x14ac:dyDescent="0.25">
      <c r="A22117" s="5" t="s">
        <v>24</v>
      </c>
      <c r="B22117" s="5" t="s">
        <v>2368</v>
      </c>
      <c r="C22117" s="5" t="str">
        <f>"56802"</f>
        <v>56802</v>
      </c>
      <c r="D22117" s="5" t="s">
        <v>78645</v>
      </c>
      <c r="E22117" s="5" t="s">
        <v>78646</v>
      </c>
      <c r="F22117" s="5" t="s">
        <v>11003</v>
      </c>
      <c r="G22117" s="5" t="s">
        <v>110</v>
      </c>
      <c r="H22117" s="5">
        <v>92008</v>
      </c>
      <c r="I22117" s="5" t="s">
        <v>30</v>
      </c>
      <c r="J22117" s="5" t="s">
        <v>171</v>
      </c>
      <c r="K22117" s="5" t="s">
        <v>1450</v>
      </c>
      <c r="L22117" s="5"/>
      <c r="M22117" s="5"/>
      <c r="N22117" s="5" t="s">
        <v>78647</v>
      </c>
      <c r="O22117" s="5" t="s">
        <v>78648</v>
      </c>
      <c r="P22117" s="5"/>
      <c r="Q22117" s="5">
        <v>0</v>
      </c>
      <c r="R22117" s="5">
        <v>121</v>
      </c>
      <c r="S22117" s="5">
        <v>0</v>
      </c>
      <c r="T22117" s="5" t="s">
        <v>78649</v>
      </c>
      <c r="U22117" s="5"/>
      <c r="V22117" s="5"/>
      <c r="W22117" s="5"/>
      <c r="X22117" s="5"/>
      <c r="Y22117" s="5"/>
    </row>
    <row r="22118" spans="1:25" customFormat="1" ht="15" hidden="1" x14ac:dyDescent="0.25">
      <c r="A22118" t="s">
        <v>24</v>
      </c>
      <c r="B22118" t="s">
        <v>63140</v>
      </c>
      <c r="C22118" t="str">
        <f>"15248"</f>
        <v>15248</v>
      </c>
      <c r="D22118" t="s">
        <v>83855</v>
      </c>
      <c r="E22118" t="s">
        <v>83856</v>
      </c>
      <c r="F22118" t="s">
        <v>54611</v>
      </c>
      <c r="G22118" t="s">
        <v>53283</v>
      </c>
      <c r="H22118" t="s">
        <v>83857</v>
      </c>
      <c r="I22118" t="s">
        <v>1459</v>
      </c>
      <c r="J22118" t="s">
        <v>162</v>
      </c>
      <c r="K22118" t="s">
        <v>163</v>
      </c>
      <c r="N22118" t="s">
        <v>72461</v>
      </c>
      <c r="O22118" t="s">
        <v>72462</v>
      </c>
      <c r="Q22118">
        <v>0</v>
      </c>
      <c r="R22118">
        <v>200</v>
      </c>
      <c r="S22118">
        <v>0</v>
      </c>
      <c r="T22118" t="s">
        <v>83858</v>
      </c>
    </row>
    <row r="22119" spans="1:25" customFormat="1" ht="15" x14ac:dyDescent="0.25">
      <c r="A22119" t="s">
        <v>24</v>
      </c>
      <c r="B22119" t="s">
        <v>4990</v>
      </c>
      <c r="C22119" t="str">
        <f>"A0093921"</f>
        <v>A0093921</v>
      </c>
      <c r="D22119" t="s">
        <v>78650</v>
      </c>
      <c r="E22119" t="s">
        <v>78651</v>
      </c>
      <c r="F22119" t="s">
        <v>57858</v>
      </c>
      <c r="G22119" t="s">
        <v>1898</v>
      </c>
      <c r="H22119">
        <v>52404</v>
      </c>
      <c r="I22119" t="s">
        <v>30</v>
      </c>
      <c r="J22119" t="s">
        <v>171</v>
      </c>
      <c r="K22119" t="s">
        <v>1450</v>
      </c>
      <c r="N22119" t="s">
        <v>78652</v>
      </c>
      <c r="O22119" t="s">
        <v>78653</v>
      </c>
      <c r="Q22119">
        <v>0</v>
      </c>
      <c r="R22119">
        <v>95</v>
      </c>
      <c r="S22119">
        <v>0</v>
      </c>
      <c r="T22119" t="s">
        <v>78654</v>
      </c>
    </row>
    <row r="22120" spans="1:25" customFormat="1" ht="15" x14ac:dyDescent="0.25">
      <c r="A22120" t="s">
        <v>24</v>
      </c>
      <c r="B22120" t="s">
        <v>83863</v>
      </c>
      <c r="C22120" t="str">
        <f>"A0069263"</f>
        <v>A0069263</v>
      </c>
      <c r="D22120" t="s">
        <v>83864</v>
      </c>
      <c r="E22120" t="s">
        <v>83865</v>
      </c>
      <c r="F22120" t="s">
        <v>83866</v>
      </c>
      <c r="G22120" t="s">
        <v>899</v>
      </c>
      <c r="H22120">
        <v>2739</v>
      </c>
      <c r="I22120" t="s">
        <v>30</v>
      </c>
      <c r="J22120" t="s">
        <v>178</v>
      </c>
      <c r="K22120" t="s">
        <v>179</v>
      </c>
      <c r="N22120" t="s">
        <v>83867</v>
      </c>
      <c r="O22120" t="s">
        <v>70394</v>
      </c>
      <c r="P22120" t="s">
        <v>3998</v>
      </c>
      <c r="Q22120">
        <v>1</v>
      </c>
      <c r="R22120">
        <v>0</v>
      </c>
      <c r="S22120">
        <v>0</v>
      </c>
      <c r="T22120" t="s">
        <v>83868</v>
      </c>
    </row>
    <row r="22121" spans="1:25" customFormat="1" ht="15" x14ac:dyDescent="0.25">
      <c r="A22121" t="s">
        <v>24</v>
      </c>
      <c r="B22121" t="s">
        <v>4990</v>
      </c>
      <c r="C22121" t="str">
        <f>"A0092003"</f>
        <v>A0092003</v>
      </c>
      <c r="D22121" t="s">
        <v>78655</v>
      </c>
      <c r="E22121" t="s">
        <v>78656</v>
      </c>
      <c r="F22121" t="s">
        <v>10373</v>
      </c>
      <c r="G22121" t="s">
        <v>289</v>
      </c>
      <c r="H22121">
        <v>61822</v>
      </c>
      <c r="I22121" t="s">
        <v>30</v>
      </c>
      <c r="J22121" t="s">
        <v>171</v>
      </c>
      <c r="K22121" t="s">
        <v>1450</v>
      </c>
      <c r="N22121" t="s">
        <v>78657</v>
      </c>
      <c r="Q22121">
        <v>0</v>
      </c>
      <c r="R22121">
        <v>112</v>
      </c>
      <c r="S22121">
        <v>0</v>
      </c>
      <c r="T22121" t="s">
        <v>78658</v>
      </c>
    </row>
    <row r="22122" spans="1:25" customFormat="1" ht="15" x14ac:dyDescent="0.25">
      <c r="A22122" t="s">
        <v>24</v>
      </c>
      <c r="B22122" t="s">
        <v>675</v>
      </c>
      <c r="C22122" t="str">
        <f>"A0074982"</f>
        <v>A0074982</v>
      </c>
      <c r="D22122" t="s">
        <v>78659</v>
      </c>
      <c r="E22122" t="s">
        <v>78660</v>
      </c>
      <c r="F22122" t="s">
        <v>28</v>
      </c>
      <c r="G22122" t="s">
        <v>29</v>
      </c>
      <c r="H22122">
        <v>20151</v>
      </c>
      <c r="I22122" t="s">
        <v>30</v>
      </c>
      <c r="J22122" t="s">
        <v>171</v>
      </c>
      <c r="K22122" t="s">
        <v>1450</v>
      </c>
      <c r="N22122" t="s">
        <v>78661</v>
      </c>
      <c r="Q22122">
        <v>0</v>
      </c>
      <c r="R22122">
        <v>123</v>
      </c>
      <c r="S22122">
        <v>0</v>
      </c>
      <c r="T22122" t="s">
        <v>78662</v>
      </c>
    </row>
    <row r="22123" spans="1:25" customFormat="1" ht="15" x14ac:dyDescent="0.25">
      <c r="A22123" t="s">
        <v>24</v>
      </c>
      <c r="B22123" t="s">
        <v>10097</v>
      </c>
      <c r="C22123" t="str">
        <f>"A0083238"</f>
        <v>A0083238</v>
      </c>
      <c r="D22123" t="s">
        <v>78663</v>
      </c>
      <c r="E22123" t="s">
        <v>78664</v>
      </c>
      <c r="F22123" t="s">
        <v>6845</v>
      </c>
      <c r="G22123" t="s">
        <v>214</v>
      </c>
      <c r="H22123">
        <v>27514</v>
      </c>
      <c r="I22123" t="s">
        <v>30</v>
      </c>
      <c r="J22123" t="s">
        <v>171</v>
      </c>
      <c r="K22123" t="s">
        <v>1450</v>
      </c>
      <c r="N22123" t="s">
        <v>78665</v>
      </c>
      <c r="Q22123">
        <v>0</v>
      </c>
      <c r="R22123">
        <v>108</v>
      </c>
      <c r="S22123">
        <v>0</v>
      </c>
      <c r="T22123" t="s">
        <v>78666</v>
      </c>
    </row>
    <row r="22124" spans="1:25" x14ac:dyDescent="0.25">
      <c r="A22124" s="5" t="s">
        <v>24</v>
      </c>
      <c r="B22124" s="5" t="s">
        <v>56277</v>
      </c>
      <c r="C22124" s="5" t="str">
        <f>"A0074146"</f>
        <v>A0074146</v>
      </c>
      <c r="D22124" s="5" t="s">
        <v>78667</v>
      </c>
      <c r="E22124" s="5" t="s">
        <v>78668</v>
      </c>
      <c r="F22124" s="5" t="s">
        <v>78669</v>
      </c>
      <c r="G22124" s="5" t="s">
        <v>58</v>
      </c>
      <c r="H22124" s="5">
        <v>29418</v>
      </c>
      <c r="I22124" s="5" t="s">
        <v>30</v>
      </c>
      <c r="J22124" s="5" t="s">
        <v>171</v>
      </c>
      <c r="K22124" s="5" t="s">
        <v>1450</v>
      </c>
      <c r="L22124" s="5"/>
      <c r="M22124" s="5"/>
      <c r="N22124" s="5" t="s">
        <v>78670</v>
      </c>
      <c r="O22124" s="5"/>
      <c r="P22124" s="5"/>
      <c r="Q22124" s="5">
        <v>0</v>
      </c>
      <c r="R22124" s="5">
        <v>150</v>
      </c>
      <c r="S22124" s="5">
        <v>0</v>
      </c>
      <c r="T22124" s="5" t="s">
        <v>78671</v>
      </c>
      <c r="U22124" s="5"/>
      <c r="V22124" s="5"/>
      <c r="W22124" s="5"/>
      <c r="X22124" s="5"/>
      <c r="Y22124" s="5"/>
    </row>
    <row r="22125" spans="1:25" x14ac:dyDescent="0.25">
      <c r="A22125" s="5" t="s">
        <v>24</v>
      </c>
      <c r="B22125" s="5" t="s">
        <v>13299</v>
      </c>
      <c r="C22125" s="5" t="str">
        <f>"56985"</f>
        <v>56985</v>
      </c>
      <c r="D22125" s="5" t="s">
        <v>78672</v>
      </c>
      <c r="E22125" s="5" t="s">
        <v>78673</v>
      </c>
      <c r="F22125" s="5" t="s">
        <v>5369</v>
      </c>
      <c r="G22125" s="5" t="s">
        <v>58</v>
      </c>
      <c r="H22125" s="5">
        <v>29407</v>
      </c>
      <c r="I22125" s="5" t="s">
        <v>30</v>
      </c>
      <c r="J22125" s="5" t="s">
        <v>171</v>
      </c>
      <c r="K22125" s="5" t="s">
        <v>1450</v>
      </c>
      <c r="L22125" s="5"/>
      <c r="M22125" s="5"/>
      <c r="N22125" s="5" t="s">
        <v>78674</v>
      </c>
      <c r="O22125" s="5"/>
      <c r="P22125" s="5"/>
      <c r="Q22125" s="5">
        <v>0</v>
      </c>
      <c r="R22125" s="5">
        <v>119</v>
      </c>
      <c r="S22125" s="5">
        <v>0</v>
      </c>
      <c r="T22125" s="5" t="s">
        <v>78675</v>
      </c>
      <c r="U22125" s="5"/>
      <c r="V22125" s="5"/>
      <c r="W22125" s="5"/>
      <c r="X22125" s="5"/>
      <c r="Y22125" s="5"/>
    </row>
    <row r="22126" spans="1:25" customFormat="1" ht="15" x14ac:dyDescent="0.25">
      <c r="A22126" t="s">
        <v>24</v>
      </c>
      <c r="B22126" t="s">
        <v>2528</v>
      </c>
      <c r="C22126" t="str">
        <f>"A0101112"</f>
        <v>A0101112</v>
      </c>
      <c r="D22126" t="s">
        <v>78676</v>
      </c>
      <c r="E22126" t="s">
        <v>78677</v>
      </c>
      <c r="F22126" t="s">
        <v>3029</v>
      </c>
      <c r="G22126" t="s">
        <v>58</v>
      </c>
      <c r="H22126">
        <v>29484</v>
      </c>
      <c r="I22126" t="s">
        <v>30</v>
      </c>
      <c r="J22126" t="s">
        <v>171</v>
      </c>
      <c r="K22126" t="s">
        <v>1450</v>
      </c>
      <c r="N22126" t="s">
        <v>78678</v>
      </c>
      <c r="Q22126">
        <v>0</v>
      </c>
      <c r="R22126">
        <v>96</v>
      </c>
      <c r="S22126">
        <v>0</v>
      </c>
      <c r="T22126" t="s">
        <v>78679</v>
      </c>
    </row>
    <row r="22127" spans="1:25" customFormat="1" ht="15" x14ac:dyDescent="0.25">
      <c r="A22127" t="s">
        <v>24</v>
      </c>
      <c r="B22127" t="s">
        <v>342</v>
      </c>
      <c r="C22127" t="str">
        <f>"A0099844"</f>
        <v>A0099844</v>
      </c>
      <c r="D22127" t="s">
        <v>78680</v>
      </c>
      <c r="E22127" t="s">
        <v>78681</v>
      </c>
      <c r="F22127" t="s">
        <v>242</v>
      </c>
      <c r="G22127" t="s">
        <v>214</v>
      </c>
      <c r="H22127">
        <v>28202</v>
      </c>
      <c r="I22127" t="s">
        <v>30</v>
      </c>
      <c r="J22127" t="s">
        <v>171</v>
      </c>
      <c r="K22127" t="s">
        <v>1450</v>
      </c>
      <c r="N22127" t="s">
        <v>55448</v>
      </c>
      <c r="O22127" t="s">
        <v>346</v>
      </c>
      <c r="Q22127">
        <v>0</v>
      </c>
      <c r="R22127">
        <v>116</v>
      </c>
      <c r="S22127">
        <v>0</v>
      </c>
      <c r="T22127" t="s">
        <v>78682</v>
      </c>
    </row>
    <row r="22128" spans="1:25" customFormat="1" ht="15" x14ac:dyDescent="0.25">
      <c r="A22128" t="s">
        <v>24</v>
      </c>
      <c r="B22128" t="s">
        <v>34738</v>
      </c>
      <c r="C22128" t="str">
        <f>"A0087515"</f>
        <v>A0087515</v>
      </c>
      <c r="D22128" t="s">
        <v>78683</v>
      </c>
      <c r="E22128" t="s">
        <v>78684</v>
      </c>
      <c r="F22128" t="s">
        <v>56723</v>
      </c>
      <c r="G22128" t="s">
        <v>214</v>
      </c>
      <c r="H22128">
        <v>28027</v>
      </c>
      <c r="I22128" t="s">
        <v>30</v>
      </c>
      <c r="J22128" t="s">
        <v>171</v>
      </c>
      <c r="K22128" t="s">
        <v>1450</v>
      </c>
      <c r="N22128" t="s">
        <v>78685</v>
      </c>
      <c r="Q22128">
        <v>0</v>
      </c>
      <c r="R22128">
        <v>132</v>
      </c>
      <c r="S22128">
        <v>0</v>
      </c>
      <c r="T22128" t="s">
        <v>78686</v>
      </c>
    </row>
    <row r="22129" spans="1:25" x14ac:dyDescent="0.25">
      <c r="A22129" s="5" t="s">
        <v>24</v>
      </c>
      <c r="B22129" s="5" t="s">
        <v>257</v>
      </c>
      <c r="C22129" s="5" t="str">
        <f>"56622"</f>
        <v>56622</v>
      </c>
      <c r="D22129" s="5" t="s">
        <v>78687</v>
      </c>
      <c r="E22129" s="5" t="s">
        <v>78688</v>
      </c>
      <c r="F22129" s="5" t="s">
        <v>242</v>
      </c>
      <c r="G22129" s="5" t="s">
        <v>214</v>
      </c>
      <c r="H22129" s="5">
        <v>28210</v>
      </c>
      <c r="I22129" s="5" t="s">
        <v>30</v>
      </c>
      <c r="J22129" s="5" t="s">
        <v>171</v>
      </c>
      <c r="K22129" s="5" t="s">
        <v>1450</v>
      </c>
      <c r="L22129" s="5"/>
      <c r="M22129" s="5"/>
      <c r="N22129" s="5" t="s">
        <v>78689</v>
      </c>
      <c r="O22129" s="5" t="s">
        <v>64985</v>
      </c>
      <c r="P22129" s="5"/>
      <c r="Q22129" s="5">
        <v>0</v>
      </c>
      <c r="R22129" s="5">
        <v>152</v>
      </c>
      <c r="S22129" s="5">
        <v>0</v>
      </c>
      <c r="T22129" s="5" t="s">
        <v>78690</v>
      </c>
      <c r="U22129" s="5"/>
      <c r="V22129" s="5"/>
      <c r="W22129" s="5"/>
      <c r="X22129" s="5"/>
      <c r="Y22129" s="5"/>
    </row>
    <row r="22130" spans="1:25" x14ac:dyDescent="0.25">
      <c r="A22130" s="5" t="s">
        <v>24</v>
      </c>
      <c r="B22130" s="5" t="s">
        <v>33301</v>
      </c>
      <c r="C22130" s="5" t="str">
        <f>"57216"</f>
        <v>57216</v>
      </c>
      <c r="D22130" s="5" t="s">
        <v>78691</v>
      </c>
      <c r="E22130" s="5" t="s">
        <v>78692</v>
      </c>
      <c r="F22130" s="5" t="s">
        <v>242</v>
      </c>
      <c r="G22130" s="5" t="s">
        <v>214</v>
      </c>
      <c r="H22130" s="5">
        <v>28262</v>
      </c>
      <c r="I22130" s="5" t="s">
        <v>30</v>
      </c>
      <c r="J22130" s="5" t="s">
        <v>171</v>
      </c>
      <c r="K22130" s="5" t="s">
        <v>1450</v>
      </c>
      <c r="L22130" s="5"/>
      <c r="M22130" s="5"/>
      <c r="N22130" s="5" t="s">
        <v>78685</v>
      </c>
      <c r="O22130" s="5"/>
      <c r="P22130" s="5"/>
      <c r="Q22130" s="5">
        <v>0</v>
      </c>
      <c r="R22130" s="5">
        <v>91</v>
      </c>
      <c r="S22130" s="5">
        <v>0</v>
      </c>
      <c r="T22130" s="5" t="s">
        <v>78693</v>
      </c>
      <c r="U22130" s="5"/>
      <c r="V22130" s="5"/>
      <c r="W22130" s="5"/>
      <c r="X22130" s="5"/>
      <c r="Y22130" s="5"/>
    </row>
    <row r="22131" spans="1:25" customFormat="1" ht="15" x14ac:dyDescent="0.25">
      <c r="A22131" t="s">
        <v>24</v>
      </c>
      <c r="B22131" t="s">
        <v>10097</v>
      </c>
      <c r="C22131" t="str">
        <f>"56625"</f>
        <v>56625</v>
      </c>
      <c r="D22131" t="s">
        <v>78694</v>
      </c>
      <c r="E22131" t="s">
        <v>78695</v>
      </c>
      <c r="F22131" t="s">
        <v>242</v>
      </c>
      <c r="G22131" t="s">
        <v>214</v>
      </c>
      <c r="H22131">
        <v>28202</v>
      </c>
      <c r="I22131" t="s">
        <v>30</v>
      </c>
      <c r="J22131" t="s">
        <v>171</v>
      </c>
      <c r="K22131" t="s">
        <v>1450</v>
      </c>
      <c r="N22131" t="s">
        <v>78696</v>
      </c>
      <c r="Q22131">
        <v>0</v>
      </c>
      <c r="R22131">
        <v>150</v>
      </c>
      <c r="S22131">
        <v>0</v>
      </c>
      <c r="T22131" t="s">
        <v>78697</v>
      </c>
    </row>
    <row r="22132" spans="1:25" customFormat="1" ht="15" x14ac:dyDescent="0.25">
      <c r="A22132" t="s">
        <v>24</v>
      </c>
      <c r="B22132" t="s">
        <v>342</v>
      </c>
      <c r="C22132" t="str">
        <f>"56890"</f>
        <v>56890</v>
      </c>
      <c r="D22132" t="s">
        <v>78698</v>
      </c>
      <c r="E22132" t="s">
        <v>78699</v>
      </c>
      <c r="F22132" t="s">
        <v>1346</v>
      </c>
      <c r="G22132" t="s">
        <v>880</v>
      </c>
      <c r="H22132">
        <v>37402</v>
      </c>
      <c r="I22132" t="s">
        <v>30</v>
      </c>
      <c r="J22132" t="s">
        <v>171</v>
      </c>
      <c r="K22132" t="s">
        <v>1450</v>
      </c>
      <c r="N22132" t="s">
        <v>60027</v>
      </c>
      <c r="O22132" t="s">
        <v>78700</v>
      </c>
      <c r="Q22132">
        <v>0</v>
      </c>
      <c r="R22132">
        <v>76</v>
      </c>
      <c r="S22132">
        <v>0</v>
      </c>
      <c r="T22132" t="s">
        <v>78701</v>
      </c>
    </row>
    <row r="22133" spans="1:25" customFormat="1" ht="15" x14ac:dyDescent="0.25">
      <c r="A22133" t="s">
        <v>24</v>
      </c>
      <c r="B22133" t="s">
        <v>1528</v>
      </c>
      <c r="C22133" t="str">
        <f>"A0099801"</f>
        <v>A0099801</v>
      </c>
      <c r="D22133" t="s">
        <v>83923</v>
      </c>
      <c r="E22133" t="s">
        <v>83924</v>
      </c>
      <c r="F22133" t="s">
        <v>33725</v>
      </c>
      <c r="G22133" t="s">
        <v>1184</v>
      </c>
      <c r="H22133">
        <v>59715</v>
      </c>
      <c r="I22133" t="s">
        <v>30</v>
      </c>
      <c r="J22133" t="s">
        <v>7657</v>
      </c>
      <c r="K22133" t="s">
        <v>6809</v>
      </c>
      <c r="N22133" t="s">
        <v>83925</v>
      </c>
      <c r="Q22133">
        <v>0</v>
      </c>
      <c r="R22133">
        <v>0</v>
      </c>
      <c r="S22133">
        <v>0</v>
      </c>
      <c r="T22133" t="s">
        <v>83926</v>
      </c>
    </row>
    <row r="22134" spans="1:25" customFormat="1" ht="15" x14ac:dyDescent="0.25">
      <c r="A22134" t="s">
        <v>24</v>
      </c>
      <c r="B22134" t="s">
        <v>55928</v>
      </c>
      <c r="C22134" t="str">
        <f>"A0095376"</f>
        <v>A0095376</v>
      </c>
      <c r="D22134" t="s">
        <v>83927</v>
      </c>
      <c r="E22134" t="s">
        <v>83928</v>
      </c>
      <c r="F22134" t="s">
        <v>56212</v>
      </c>
      <c r="G22134" t="s">
        <v>81</v>
      </c>
      <c r="H22134">
        <v>33480</v>
      </c>
      <c r="I22134" t="s">
        <v>30</v>
      </c>
      <c r="J22134" t="s">
        <v>31</v>
      </c>
      <c r="K22134" t="s">
        <v>163</v>
      </c>
      <c r="N22134" t="s">
        <v>83929</v>
      </c>
      <c r="O22134" t="s">
        <v>83930</v>
      </c>
      <c r="Q22134">
        <v>0</v>
      </c>
      <c r="R22134">
        <v>80</v>
      </c>
      <c r="S22134">
        <v>0</v>
      </c>
      <c r="T22134" t="s">
        <v>83931</v>
      </c>
    </row>
    <row r="22135" spans="1:25" customFormat="1" ht="15" x14ac:dyDescent="0.25">
      <c r="A22135" t="s">
        <v>24</v>
      </c>
      <c r="B22135" t="s">
        <v>8579</v>
      </c>
      <c r="C22135" t="str">
        <f>"A0091858"</f>
        <v>A0091858</v>
      </c>
      <c r="D22135" t="s">
        <v>78702</v>
      </c>
      <c r="E22135" t="s">
        <v>78703</v>
      </c>
      <c r="F22135" t="s">
        <v>5518</v>
      </c>
      <c r="G22135" t="s">
        <v>190</v>
      </c>
      <c r="H22135">
        <v>80246</v>
      </c>
      <c r="I22135" t="s">
        <v>30</v>
      </c>
      <c r="J22135" t="s">
        <v>171</v>
      </c>
      <c r="K22135" t="s">
        <v>1450</v>
      </c>
      <c r="N22135" t="s">
        <v>78704</v>
      </c>
      <c r="Q22135">
        <v>0</v>
      </c>
      <c r="R22135">
        <v>135</v>
      </c>
      <c r="S22135">
        <v>0</v>
      </c>
      <c r="T22135" t="s">
        <v>78705</v>
      </c>
    </row>
    <row r="22136" spans="1:25" customFormat="1" ht="15" x14ac:dyDescent="0.25">
      <c r="A22136" t="s">
        <v>24</v>
      </c>
      <c r="B22136" t="s">
        <v>675</v>
      </c>
      <c r="C22136" t="str">
        <f>"A0094277"</f>
        <v>A0094277</v>
      </c>
      <c r="D22136" t="s">
        <v>78706</v>
      </c>
      <c r="E22136" t="s">
        <v>78707</v>
      </c>
      <c r="F22136" t="s">
        <v>716</v>
      </c>
      <c r="G22136" t="s">
        <v>289</v>
      </c>
      <c r="H22136">
        <v>60603</v>
      </c>
      <c r="I22136" t="s">
        <v>30</v>
      </c>
      <c r="J22136" t="s">
        <v>171</v>
      </c>
      <c r="K22136" t="s">
        <v>1450</v>
      </c>
      <c r="N22136" t="s">
        <v>78708</v>
      </c>
      <c r="Q22136">
        <v>0</v>
      </c>
      <c r="R22136">
        <v>380</v>
      </c>
      <c r="S22136">
        <v>0</v>
      </c>
      <c r="T22136" t="s">
        <v>78709</v>
      </c>
    </row>
    <row r="22137" spans="1:25" customFormat="1" ht="15" x14ac:dyDescent="0.25">
      <c r="A22137" t="s">
        <v>24</v>
      </c>
      <c r="B22137" t="s">
        <v>1487</v>
      </c>
      <c r="C22137" t="str">
        <f>"A0084607"</f>
        <v>A0084607</v>
      </c>
      <c r="D22137" t="s">
        <v>78710</v>
      </c>
      <c r="E22137" t="s">
        <v>78711</v>
      </c>
      <c r="F22137" t="s">
        <v>716</v>
      </c>
      <c r="G22137" t="s">
        <v>289</v>
      </c>
      <c r="H22137">
        <v>60654</v>
      </c>
      <c r="I22137" t="s">
        <v>30</v>
      </c>
      <c r="J22137" t="s">
        <v>171</v>
      </c>
      <c r="K22137" t="s">
        <v>1450</v>
      </c>
      <c r="N22137" t="s">
        <v>78712</v>
      </c>
      <c r="O22137" t="s">
        <v>78713</v>
      </c>
      <c r="Q22137">
        <v>0</v>
      </c>
      <c r="R22137">
        <v>270</v>
      </c>
      <c r="S22137">
        <v>0</v>
      </c>
      <c r="T22137" t="s">
        <v>78714</v>
      </c>
    </row>
    <row r="22138" spans="1:25" customFormat="1" ht="15" hidden="1" x14ac:dyDescent="0.25">
      <c r="A22138" t="s">
        <v>24</v>
      </c>
      <c r="B22138" t="s">
        <v>1548</v>
      </c>
      <c r="C22138" t="str">
        <f>"A0148506"</f>
        <v>A0148506</v>
      </c>
      <c r="D22138" t="s">
        <v>83946</v>
      </c>
      <c r="E22138" t="s">
        <v>83947</v>
      </c>
      <c r="F22138" t="s">
        <v>13197</v>
      </c>
      <c r="G22138" t="s">
        <v>2206</v>
      </c>
      <c r="H22138" t="s">
        <v>83948</v>
      </c>
      <c r="I22138" t="s">
        <v>1459</v>
      </c>
      <c r="J22138" t="s">
        <v>162</v>
      </c>
      <c r="K22138" t="s">
        <v>163</v>
      </c>
      <c r="N22138" t="s">
        <v>83949</v>
      </c>
      <c r="Q22138">
        <v>0</v>
      </c>
      <c r="R22138">
        <v>58</v>
      </c>
      <c r="S22138">
        <v>0</v>
      </c>
      <c r="T22138" t="s">
        <v>83950</v>
      </c>
    </row>
    <row r="22139" spans="1:25" customFormat="1" ht="15" x14ac:dyDescent="0.25">
      <c r="A22139" t="s">
        <v>24</v>
      </c>
      <c r="B22139" t="s">
        <v>60077</v>
      </c>
      <c r="C22139" t="str">
        <f>"56672"</f>
        <v>56672</v>
      </c>
      <c r="D22139" t="s">
        <v>78715</v>
      </c>
      <c r="E22139" t="s">
        <v>78716</v>
      </c>
      <c r="F22139" t="s">
        <v>4003</v>
      </c>
      <c r="G22139" t="s">
        <v>289</v>
      </c>
      <c r="H22139">
        <v>60173</v>
      </c>
      <c r="I22139" t="s">
        <v>30</v>
      </c>
      <c r="J22139" t="s">
        <v>171</v>
      </c>
      <c r="K22139" t="s">
        <v>1450</v>
      </c>
      <c r="N22139" t="s">
        <v>78717</v>
      </c>
      <c r="Q22139">
        <v>0</v>
      </c>
      <c r="R22139">
        <v>125</v>
      </c>
      <c r="S22139">
        <v>0</v>
      </c>
      <c r="T22139" t="s">
        <v>78718</v>
      </c>
    </row>
    <row r="22140" spans="1:25" x14ac:dyDescent="0.25">
      <c r="A22140" s="5" t="s">
        <v>24</v>
      </c>
      <c r="B22140" s="5" t="s">
        <v>1020</v>
      </c>
      <c r="C22140" s="5" t="str">
        <f>"A0074176"</f>
        <v>A0074176</v>
      </c>
      <c r="D22140" s="5" t="s">
        <v>78719</v>
      </c>
      <c r="E22140" s="5" t="s">
        <v>78720</v>
      </c>
      <c r="F22140" s="5" t="s">
        <v>4919</v>
      </c>
      <c r="G22140" s="5" t="s">
        <v>110</v>
      </c>
      <c r="H22140" s="5">
        <v>95928</v>
      </c>
      <c r="I22140" s="5" t="s">
        <v>30</v>
      </c>
      <c r="J22140" s="5" t="s">
        <v>171</v>
      </c>
      <c r="K22140" s="5" t="s">
        <v>1450</v>
      </c>
      <c r="L22140" s="5"/>
      <c r="M22140" s="5"/>
      <c r="N22140" s="5" t="s">
        <v>78721</v>
      </c>
      <c r="O22140" s="5"/>
      <c r="P22140" s="5"/>
      <c r="Q22140" s="5">
        <v>0</v>
      </c>
      <c r="R22140" s="5">
        <v>78</v>
      </c>
      <c r="S22140" s="5">
        <v>0</v>
      </c>
      <c r="T22140" s="5" t="s">
        <v>78722</v>
      </c>
      <c r="U22140" s="5"/>
      <c r="V22140" s="5"/>
      <c r="W22140" s="5"/>
      <c r="X22140" s="5"/>
      <c r="Y22140" s="5"/>
    </row>
    <row r="22141" spans="1:25" customFormat="1" ht="15" x14ac:dyDescent="0.25">
      <c r="A22141" t="s">
        <v>24</v>
      </c>
      <c r="B22141" t="s">
        <v>6915</v>
      </c>
      <c r="C22141" t="str">
        <f>"A0087421"</f>
        <v>A0087421</v>
      </c>
      <c r="D22141" t="s">
        <v>78723</v>
      </c>
      <c r="E22141" t="s">
        <v>78724</v>
      </c>
      <c r="F22141" t="s">
        <v>1824</v>
      </c>
      <c r="G22141" t="s">
        <v>65</v>
      </c>
      <c r="H22141">
        <v>45069</v>
      </c>
      <c r="I22141" t="s">
        <v>30</v>
      </c>
      <c r="J22141" t="s">
        <v>171</v>
      </c>
      <c r="K22141" t="s">
        <v>1450</v>
      </c>
      <c r="N22141" t="s">
        <v>60114</v>
      </c>
      <c r="Q22141">
        <v>0</v>
      </c>
      <c r="R22141">
        <v>100</v>
      </c>
      <c r="S22141">
        <v>0</v>
      </c>
      <c r="T22141" t="s">
        <v>78725</v>
      </c>
    </row>
    <row r="22142" spans="1:25" customFormat="1" ht="15" x14ac:dyDescent="0.25">
      <c r="A22142" t="s">
        <v>24</v>
      </c>
      <c r="B22142" t="s">
        <v>14328</v>
      </c>
      <c r="C22142" t="str">
        <f>"A0093513"</f>
        <v>A0093513</v>
      </c>
      <c r="D22142" t="s">
        <v>83964</v>
      </c>
      <c r="E22142" t="s">
        <v>83965</v>
      </c>
      <c r="F22142" t="s">
        <v>8179</v>
      </c>
      <c r="G22142" t="s">
        <v>338</v>
      </c>
      <c r="H22142">
        <v>8247</v>
      </c>
      <c r="I22142" t="s">
        <v>30</v>
      </c>
      <c r="J22142" t="s">
        <v>1004</v>
      </c>
      <c r="K22142" t="s">
        <v>163</v>
      </c>
      <c r="Q22142">
        <v>0</v>
      </c>
      <c r="R22142">
        <v>0</v>
      </c>
      <c r="S22142">
        <v>0</v>
      </c>
      <c r="T22142" t="s">
        <v>83966</v>
      </c>
    </row>
    <row r="22143" spans="1:25" customFormat="1" ht="15" x14ac:dyDescent="0.25">
      <c r="A22143" t="s">
        <v>24</v>
      </c>
      <c r="B22143" t="s">
        <v>61267</v>
      </c>
      <c r="C22143" t="str">
        <f>"A0155857"</f>
        <v>A0155857</v>
      </c>
      <c r="D22143" t="s">
        <v>83967</v>
      </c>
      <c r="E22143" t="s">
        <v>83968</v>
      </c>
      <c r="F22143" t="s">
        <v>2598</v>
      </c>
      <c r="G22143" t="s">
        <v>99</v>
      </c>
      <c r="H22143">
        <v>14303</v>
      </c>
      <c r="I22143" t="s">
        <v>30</v>
      </c>
      <c r="J22143" t="s">
        <v>31</v>
      </c>
      <c r="K22143" t="s">
        <v>163</v>
      </c>
      <c r="N22143" t="s">
        <v>83969</v>
      </c>
      <c r="Q22143">
        <v>0</v>
      </c>
      <c r="R22143">
        <v>53</v>
      </c>
      <c r="S22143">
        <v>0</v>
      </c>
      <c r="T22143" t="s">
        <v>83970</v>
      </c>
    </row>
    <row r="22144" spans="1:25" x14ac:dyDescent="0.25">
      <c r="A22144" s="5" t="s">
        <v>24</v>
      </c>
      <c r="B22144" s="5" t="s">
        <v>1849</v>
      </c>
      <c r="C22144" s="5" t="str">
        <f>"A0090363"</f>
        <v>A0090363</v>
      </c>
      <c r="D22144" s="5" t="s">
        <v>78726</v>
      </c>
      <c r="E22144" s="5" t="s">
        <v>78727</v>
      </c>
      <c r="F22144" s="5" t="s">
        <v>13716</v>
      </c>
      <c r="G22144" s="5" t="s">
        <v>65</v>
      </c>
      <c r="H22144" s="5">
        <v>45202</v>
      </c>
      <c r="I22144" s="5" t="s">
        <v>30</v>
      </c>
      <c r="J22144" s="5" t="s">
        <v>171</v>
      </c>
      <c r="K22144" s="5" t="s">
        <v>1450</v>
      </c>
      <c r="L22144" s="5"/>
      <c r="M22144" s="5"/>
      <c r="N22144" s="5" t="s">
        <v>78728</v>
      </c>
      <c r="O22144" s="5"/>
      <c r="P22144" s="5"/>
      <c r="Q22144" s="5">
        <v>0</v>
      </c>
      <c r="R22144" s="5">
        <v>134</v>
      </c>
      <c r="S22144" s="5">
        <v>0</v>
      </c>
      <c r="T22144" s="5" t="s">
        <v>78729</v>
      </c>
      <c r="U22144" s="5"/>
      <c r="V22144" s="5"/>
      <c r="W22144" s="5"/>
      <c r="X22144" s="5"/>
      <c r="Y22144" s="5"/>
    </row>
    <row r="22145" spans="1:25" customFormat="1" ht="15" hidden="1" x14ac:dyDescent="0.25">
      <c r="A22145" t="s">
        <v>24</v>
      </c>
      <c r="B22145" t="s">
        <v>2011</v>
      </c>
      <c r="C22145" t="str">
        <f>"A0095043"</f>
        <v>A0095043</v>
      </c>
      <c r="D22145" t="s">
        <v>83976</v>
      </c>
      <c r="E22145" t="s">
        <v>83977</v>
      </c>
      <c r="F22145" t="s">
        <v>2406</v>
      </c>
      <c r="G22145" t="s">
        <v>2407</v>
      </c>
      <c r="H22145">
        <v>23455</v>
      </c>
      <c r="I22145" t="s">
        <v>2408</v>
      </c>
      <c r="J22145" t="s">
        <v>162</v>
      </c>
      <c r="K22145" t="s">
        <v>7012</v>
      </c>
      <c r="N22145" t="s">
        <v>83978</v>
      </c>
      <c r="Q22145">
        <v>0</v>
      </c>
      <c r="R22145">
        <v>161</v>
      </c>
      <c r="S22145">
        <v>0</v>
      </c>
      <c r="T22145" t="s">
        <v>83979</v>
      </c>
    </row>
    <row r="22146" spans="1:25" x14ac:dyDescent="0.25">
      <c r="A22146" s="5" t="s">
        <v>24</v>
      </c>
      <c r="B22146" s="5" t="s">
        <v>60106</v>
      </c>
      <c r="C22146" s="5" t="str">
        <f>"A0099431"</f>
        <v>A0099431</v>
      </c>
      <c r="D22146" s="5" t="s">
        <v>78730</v>
      </c>
      <c r="E22146" s="5" t="s">
        <v>78731</v>
      </c>
      <c r="F22146" s="5" t="s">
        <v>13716</v>
      </c>
      <c r="G22146" s="5" t="s">
        <v>65</v>
      </c>
      <c r="H22146" s="5">
        <v>45209</v>
      </c>
      <c r="I22146" s="5" t="s">
        <v>30</v>
      </c>
      <c r="J22146" s="5" t="s">
        <v>171</v>
      </c>
      <c r="K22146" s="5" t="s">
        <v>1450</v>
      </c>
      <c r="L22146" s="5"/>
      <c r="M22146" s="5"/>
      <c r="N22146" s="5" t="s">
        <v>60109</v>
      </c>
      <c r="O22146" s="5"/>
      <c r="P22146" s="5"/>
      <c r="Q22146" s="5">
        <v>0</v>
      </c>
      <c r="R22146" s="5">
        <v>120</v>
      </c>
      <c r="S22146" s="5">
        <v>0</v>
      </c>
      <c r="T22146" s="5" t="s">
        <v>78732</v>
      </c>
      <c r="U22146" s="5"/>
      <c r="V22146" s="5"/>
      <c r="W22146" s="5"/>
      <c r="X22146" s="5"/>
      <c r="Y22146" s="5"/>
    </row>
    <row r="22147" spans="1:25" customFormat="1" ht="15" x14ac:dyDescent="0.25">
      <c r="A22147" t="s">
        <v>24</v>
      </c>
      <c r="B22147" t="s">
        <v>2349</v>
      </c>
      <c r="C22147" t="str">
        <f>"A0146891"</f>
        <v>A0146891</v>
      </c>
      <c r="D22147" t="s">
        <v>78733</v>
      </c>
      <c r="E22147" t="s">
        <v>78734</v>
      </c>
      <c r="F22147" t="s">
        <v>10669</v>
      </c>
      <c r="G22147" t="s">
        <v>65</v>
      </c>
      <c r="H22147">
        <v>45040</v>
      </c>
      <c r="I22147" t="s">
        <v>30</v>
      </c>
      <c r="J22147" t="s">
        <v>171</v>
      </c>
      <c r="K22147" t="s">
        <v>1450</v>
      </c>
      <c r="N22147" t="s">
        <v>71851</v>
      </c>
      <c r="Q22147">
        <v>0</v>
      </c>
      <c r="R22147">
        <v>106</v>
      </c>
      <c r="S22147">
        <v>0</v>
      </c>
      <c r="T22147" t="s">
        <v>78735</v>
      </c>
    </row>
    <row r="22148" spans="1:25" customFormat="1" ht="15" x14ac:dyDescent="0.25">
      <c r="A22148" t="s">
        <v>24</v>
      </c>
      <c r="B22148" t="s">
        <v>7953</v>
      </c>
      <c r="C22148" t="str">
        <f>"A0153935"</f>
        <v>A0153935</v>
      </c>
      <c r="D22148" t="s">
        <v>83989</v>
      </c>
      <c r="E22148" t="s">
        <v>83990</v>
      </c>
      <c r="F22148" t="s">
        <v>748</v>
      </c>
      <c r="G22148" t="s">
        <v>110</v>
      </c>
      <c r="H22148">
        <v>94103</v>
      </c>
      <c r="I22148" t="s">
        <v>30</v>
      </c>
      <c r="J22148" t="s">
        <v>31</v>
      </c>
      <c r="K22148" t="s">
        <v>163</v>
      </c>
      <c r="N22148" t="s">
        <v>55980</v>
      </c>
      <c r="Q22148">
        <v>0</v>
      </c>
      <c r="R22148">
        <v>48</v>
      </c>
      <c r="S22148">
        <v>0</v>
      </c>
      <c r="T22148" t="s">
        <v>83991</v>
      </c>
    </row>
    <row r="22149" spans="1:25" customFormat="1" ht="15" hidden="1" x14ac:dyDescent="0.25">
      <c r="A22149" t="s">
        <v>24</v>
      </c>
      <c r="B22149" t="s">
        <v>56113</v>
      </c>
      <c r="C22149" t="str">
        <f>"A0156965"</f>
        <v>A0156965</v>
      </c>
      <c r="D22149" t="s">
        <v>83992</v>
      </c>
      <c r="E22149" t="s">
        <v>83993</v>
      </c>
      <c r="F22149" t="s">
        <v>83994</v>
      </c>
      <c r="G22149" t="s">
        <v>2206</v>
      </c>
      <c r="H22149" t="s">
        <v>83995</v>
      </c>
      <c r="I22149" t="s">
        <v>1459</v>
      </c>
      <c r="J22149" t="s">
        <v>162</v>
      </c>
      <c r="K22149" t="s">
        <v>163</v>
      </c>
      <c r="N22149" t="s">
        <v>83996</v>
      </c>
      <c r="Q22149">
        <v>0</v>
      </c>
      <c r="R22149">
        <v>78</v>
      </c>
      <c r="S22149">
        <v>0</v>
      </c>
      <c r="T22149" t="s">
        <v>83997</v>
      </c>
    </row>
    <row r="22150" spans="1:25" customFormat="1" ht="15" x14ac:dyDescent="0.25">
      <c r="A22150" t="s">
        <v>24</v>
      </c>
      <c r="B22150" t="s">
        <v>11093</v>
      </c>
      <c r="C22150" t="str">
        <f>"A0086471"</f>
        <v>A0086471</v>
      </c>
      <c r="D22150" t="s">
        <v>78736</v>
      </c>
      <c r="E22150" t="s">
        <v>78737</v>
      </c>
      <c r="F22150" t="s">
        <v>7699</v>
      </c>
      <c r="G22150" t="s">
        <v>81</v>
      </c>
      <c r="H22150">
        <v>33756</v>
      </c>
      <c r="I22150" t="s">
        <v>30</v>
      </c>
      <c r="J22150" t="s">
        <v>171</v>
      </c>
      <c r="K22150" t="s">
        <v>1450</v>
      </c>
      <c r="N22150" t="s">
        <v>78738</v>
      </c>
      <c r="O22150" t="s">
        <v>78739</v>
      </c>
      <c r="Q22150">
        <v>0</v>
      </c>
      <c r="R22150">
        <v>115</v>
      </c>
      <c r="S22150">
        <v>0</v>
      </c>
      <c r="T22150" t="s">
        <v>78740</v>
      </c>
    </row>
    <row r="22151" spans="1:25" x14ac:dyDescent="0.25">
      <c r="A22151" s="5" t="s">
        <v>24</v>
      </c>
      <c r="B22151" s="5" t="s">
        <v>5079</v>
      </c>
      <c r="C22151" s="5" t="str">
        <f>"A0101088"</f>
        <v>A0101088</v>
      </c>
      <c r="D22151" s="5" t="s">
        <v>78741</v>
      </c>
      <c r="E22151" s="5" t="s">
        <v>78742</v>
      </c>
      <c r="F22151" s="5" t="s">
        <v>6883</v>
      </c>
      <c r="G22151" s="5" t="s">
        <v>65</v>
      </c>
      <c r="H22151" s="5">
        <v>44106</v>
      </c>
      <c r="I22151" s="5" t="s">
        <v>30</v>
      </c>
      <c r="J22151" s="5" t="s">
        <v>171</v>
      </c>
      <c r="K22151" s="5" t="s">
        <v>1450</v>
      </c>
      <c r="L22151" s="5"/>
      <c r="M22151" s="5"/>
      <c r="N22151" s="5" t="s">
        <v>3486</v>
      </c>
      <c r="O22151" s="5" t="s">
        <v>78743</v>
      </c>
      <c r="P22151" s="5"/>
      <c r="Q22151" s="5">
        <v>0</v>
      </c>
      <c r="R22151" s="5">
        <v>175</v>
      </c>
      <c r="S22151" s="5">
        <v>0</v>
      </c>
      <c r="T22151" s="5" t="s">
        <v>78744</v>
      </c>
      <c r="U22151" s="5"/>
      <c r="V22151" s="5"/>
      <c r="W22151" s="5"/>
      <c r="X22151" s="5"/>
      <c r="Y22151" s="5"/>
    </row>
    <row r="22152" spans="1:25" customFormat="1" ht="15" x14ac:dyDescent="0.25">
      <c r="A22152" t="s">
        <v>24</v>
      </c>
      <c r="B22152" t="s">
        <v>1317</v>
      </c>
      <c r="C22152" t="str">
        <f>"A0085049"</f>
        <v>A0085049</v>
      </c>
      <c r="D22152" t="s">
        <v>78745</v>
      </c>
      <c r="E22152" t="s">
        <v>78746</v>
      </c>
      <c r="F22152" t="s">
        <v>7940</v>
      </c>
      <c r="G22152" t="s">
        <v>52</v>
      </c>
      <c r="H22152">
        <v>77840</v>
      </c>
      <c r="I22152" t="s">
        <v>30</v>
      </c>
      <c r="J22152" t="s">
        <v>171</v>
      </c>
      <c r="K22152" t="s">
        <v>1450</v>
      </c>
      <c r="N22152" t="s">
        <v>78747</v>
      </c>
      <c r="Q22152">
        <v>0</v>
      </c>
      <c r="R22152">
        <v>84</v>
      </c>
      <c r="S22152">
        <v>0</v>
      </c>
      <c r="T22152" t="s">
        <v>78748</v>
      </c>
    </row>
    <row r="22153" spans="1:25" customFormat="1" ht="15" x14ac:dyDescent="0.25">
      <c r="A22153" t="s">
        <v>24</v>
      </c>
      <c r="B22153" t="s">
        <v>1855</v>
      </c>
      <c r="C22153" t="str">
        <f>"A0162014"</f>
        <v>A0162014</v>
      </c>
      <c r="D22153" t="s">
        <v>78749</v>
      </c>
      <c r="E22153" t="s">
        <v>78750</v>
      </c>
      <c r="F22153" t="s">
        <v>1858</v>
      </c>
      <c r="G22153" t="s">
        <v>190</v>
      </c>
      <c r="H22153">
        <v>80916</v>
      </c>
      <c r="I22153" t="s">
        <v>30</v>
      </c>
      <c r="J22153" t="s">
        <v>171</v>
      </c>
      <c r="K22153" t="s">
        <v>1450</v>
      </c>
      <c r="N22153" t="s">
        <v>78751</v>
      </c>
      <c r="Q22153">
        <v>0</v>
      </c>
      <c r="R22153">
        <v>103</v>
      </c>
      <c r="S22153">
        <v>0</v>
      </c>
      <c r="T22153" t="s">
        <v>78752</v>
      </c>
    </row>
    <row r="22154" spans="1:25" customFormat="1" ht="15" x14ac:dyDescent="0.25">
      <c r="A22154" t="s">
        <v>24</v>
      </c>
      <c r="B22154" t="s">
        <v>1317</v>
      </c>
      <c r="C22154" t="str">
        <f>"A0074461"</f>
        <v>A0074461</v>
      </c>
      <c r="D22154" t="s">
        <v>78753</v>
      </c>
      <c r="E22154" t="s">
        <v>78754</v>
      </c>
      <c r="F22154" t="s">
        <v>4909</v>
      </c>
      <c r="G22154" t="s">
        <v>137</v>
      </c>
      <c r="H22154">
        <v>65202</v>
      </c>
      <c r="I22154" t="s">
        <v>30</v>
      </c>
      <c r="J22154" t="s">
        <v>171</v>
      </c>
      <c r="K22154" t="s">
        <v>1450</v>
      </c>
      <c r="N22154" t="s">
        <v>78755</v>
      </c>
      <c r="O22154" t="s">
        <v>78756</v>
      </c>
      <c r="Q22154">
        <v>0</v>
      </c>
      <c r="R22154">
        <v>80</v>
      </c>
      <c r="S22154">
        <v>0</v>
      </c>
      <c r="T22154" t="s">
        <v>78757</v>
      </c>
    </row>
    <row r="22155" spans="1:25" customFormat="1" ht="15" x14ac:dyDescent="0.25">
      <c r="A22155" t="s">
        <v>24</v>
      </c>
      <c r="B22155" t="s">
        <v>61358</v>
      </c>
      <c r="C22155" t="str">
        <f>"57148"</f>
        <v>57148</v>
      </c>
      <c r="D22155" t="s">
        <v>78758</v>
      </c>
      <c r="E22155" t="s">
        <v>78759</v>
      </c>
      <c r="F22155" t="s">
        <v>78760</v>
      </c>
      <c r="G22155" t="s">
        <v>123</v>
      </c>
      <c r="H22155">
        <v>21043</v>
      </c>
      <c r="I22155" t="s">
        <v>30</v>
      </c>
      <c r="J22155" t="s">
        <v>171</v>
      </c>
      <c r="K22155" t="s">
        <v>1450</v>
      </c>
      <c r="N22155" t="s">
        <v>78761</v>
      </c>
      <c r="Q22155">
        <v>0</v>
      </c>
      <c r="R22155">
        <v>108</v>
      </c>
      <c r="S22155">
        <v>0</v>
      </c>
      <c r="T22155" t="s">
        <v>78762</v>
      </c>
    </row>
    <row r="22156" spans="1:25" customFormat="1" ht="15" x14ac:dyDescent="0.25">
      <c r="A22156" t="s">
        <v>24</v>
      </c>
      <c r="B22156" t="s">
        <v>34691</v>
      </c>
      <c r="C22156" t="str">
        <f>"A0066604"</f>
        <v>A0066604</v>
      </c>
      <c r="D22156" t="s">
        <v>78763</v>
      </c>
      <c r="E22156" t="s">
        <v>78764</v>
      </c>
      <c r="F22156" t="s">
        <v>1525</v>
      </c>
      <c r="G22156" t="s">
        <v>846</v>
      </c>
      <c r="H22156">
        <v>31909</v>
      </c>
      <c r="I22156" t="s">
        <v>30</v>
      </c>
      <c r="J22156" t="s">
        <v>171</v>
      </c>
      <c r="K22156" t="s">
        <v>1450</v>
      </c>
      <c r="N22156" t="s">
        <v>78765</v>
      </c>
      <c r="Q22156">
        <v>0</v>
      </c>
      <c r="R22156">
        <v>78</v>
      </c>
      <c r="S22156">
        <v>0</v>
      </c>
      <c r="T22156" t="s">
        <v>78766</v>
      </c>
    </row>
    <row r="22157" spans="1:25" x14ac:dyDescent="0.25">
      <c r="A22157" s="5" t="s">
        <v>24</v>
      </c>
      <c r="B22157" s="5" t="s">
        <v>6976</v>
      </c>
      <c r="C22157" s="5" t="str">
        <f>"A0088284"</f>
        <v>A0088284</v>
      </c>
      <c r="D22157" s="5" t="s">
        <v>78763</v>
      </c>
      <c r="E22157" s="5" t="s">
        <v>78767</v>
      </c>
      <c r="F22157" s="5" t="s">
        <v>1525</v>
      </c>
      <c r="G22157" s="5" t="s">
        <v>381</v>
      </c>
      <c r="H22157" s="5">
        <v>47201</v>
      </c>
      <c r="I22157" s="5" t="s">
        <v>30</v>
      </c>
      <c r="J22157" s="5" t="s">
        <v>171</v>
      </c>
      <c r="K22157" s="5" t="s">
        <v>1450</v>
      </c>
      <c r="L22157" s="5"/>
      <c r="M22157" s="5"/>
      <c r="N22157" s="5" t="s">
        <v>78768</v>
      </c>
      <c r="O22157" s="5"/>
      <c r="P22157" s="5"/>
      <c r="Q22157" s="5">
        <v>0</v>
      </c>
      <c r="R22157" s="5">
        <v>83</v>
      </c>
      <c r="S22157" s="5">
        <v>0</v>
      </c>
      <c r="T22157" s="5" t="s">
        <v>78769</v>
      </c>
      <c r="U22157" s="5"/>
      <c r="V22157" s="5"/>
      <c r="W22157" s="5"/>
      <c r="X22157" s="5"/>
      <c r="Y22157" s="5"/>
    </row>
    <row r="22158" spans="1:25" x14ac:dyDescent="0.25">
      <c r="A22158" s="5" t="s">
        <v>24</v>
      </c>
      <c r="B22158" s="5" t="s">
        <v>2583</v>
      </c>
      <c r="C22158" s="5" t="str">
        <f>"A0158624"</f>
        <v>A0158624</v>
      </c>
      <c r="D22158" s="5" t="s">
        <v>78770</v>
      </c>
      <c r="E22158" s="5" t="s">
        <v>78771</v>
      </c>
      <c r="F22158" s="5" t="s">
        <v>1525</v>
      </c>
      <c r="G22158" s="5" t="s">
        <v>65</v>
      </c>
      <c r="H22158" s="5">
        <v>43219</v>
      </c>
      <c r="I22158" s="5" t="s">
        <v>30</v>
      </c>
      <c r="J22158" s="5" t="s">
        <v>171</v>
      </c>
      <c r="K22158" s="5" t="s">
        <v>1450</v>
      </c>
      <c r="L22158" s="5"/>
      <c r="M22158" s="5"/>
      <c r="N22158" s="5" t="s">
        <v>64779</v>
      </c>
      <c r="O22158" s="5"/>
      <c r="P22158" s="5"/>
      <c r="Q22158" s="5">
        <v>0</v>
      </c>
      <c r="R22158" s="5">
        <v>125</v>
      </c>
      <c r="S22158" s="5">
        <v>0</v>
      </c>
      <c r="T22158" s="5" t="s">
        <v>78772</v>
      </c>
      <c r="U22158" s="5"/>
      <c r="V22158" s="5"/>
      <c r="W22158" s="5"/>
      <c r="X22158" s="5"/>
      <c r="Y22158" s="5"/>
    </row>
    <row r="22159" spans="1:25" customFormat="1" ht="15" x14ac:dyDescent="0.25">
      <c r="A22159" t="s">
        <v>24</v>
      </c>
      <c r="B22159" t="s">
        <v>4400</v>
      </c>
      <c r="C22159" t="str">
        <f>"A0093985"</f>
        <v>A0093985</v>
      </c>
      <c r="D22159" t="s">
        <v>78773</v>
      </c>
      <c r="E22159" t="s">
        <v>78774</v>
      </c>
      <c r="F22159" t="s">
        <v>8225</v>
      </c>
      <c r="G22159" t="s">
        <v>65</v>
      </c>
      <c r="H22159">
        <v>43017</v>
      </c>
      <c r="I22159" t="s">
        <v>30</v>
      </c>
      <c r="J22159" t="s">
        <v>171</v>
      </c>
      <c r="K22159" t="s">
        <v>1450</v>
      </c>
      <c r="N22159" t="s">
        <v>78775</v>
      </c>
      <c r="O22159" t="s">
        <v>78776</v>
      </c>
      <c r="Q22159">
        <v>0</v>
      </c>
      <c r="R22159">
        <v>100</v>
      </c>
      <c r="S22159">
        <v>0</v>
      </c>
      <c r="T22159" t="s">
        <v>78777</v>
      </c>
    </row>
    <row r="22160" spans="1:25" customFormat="1" ht="15" x14ac:dyDescent="0.25">
      <c r="A22160" t="s">
        <v>24</v>
      </c>
      <c r="B22160" t="s">
        <v>84037</v>
      </c>
      <c r="C22160" t="str">
        <f>"A0098328"</f>
        <v>A0098328</v>
      </c>
      <c r="D22160" t="s">
        <v>84037</v>
      </c>
      <c r="E22160" t="s">
        <v>84038</v>
      </c>
      <c r="F22160" t="s">
        <v>6883</v>
      </c>
      <c r="G22160" t="s">
        <v>65</v>
      </c>
      <c r="H22160">
        <v>44120</v>
      </c>
      <c r="I22160" t="s">
        <v>30</v>
      </c>
      <c r="J22160" t="s">
        <v>2558</v>
      </c>
      <c r="K22160" t="s">
        <v>163</v>
      </c>
      <c r="N22160" t="s">
        <v>84039</v>
      </c>
      <c r="O22160" t="s">
        <v>84040</v>
      </c>
      <c r="Q22160">
        <v>0</v>
      </c>
      <c r="R22160">
        <v>0</v>
      </c>
      <c r="S22160">
        <v>0</v>
      </c>
      <c r="T22160" t="s">
        <v>84041</v>
      </c>
    </row>
    <row r="22161" spans="1:25" customFormat="1" ht="15" x14ac:dyDescent="0.25">
      <c r="A22161" t="s">
        <v>24</v>
      </c>
      <c r="B22161" t="s">
        <v>1205</v>
      </c>
      <c r="C22161" t="str">
        <f>"56990"</f>
        <v>56990</v>
      </c>
      <c r="D22161" t="s">
        <v>78778</v>
      </c>
      <c r="E22161" t="s">
        <v>78779</v>
      </c>
      <c r="F22161" t="s">
        <v>1525</v>
      </c>
      <c r="G22161" t="s">
        <v>65</v>
      </c>
      <c r="H22161">
        <v>43219</v>
      </c>
      <c r="I22161" t="s">
        <v>30</v>
      </c>
      <c r="J22161" t="s">
        <v>171</v>
      </c>
      <c r="K22161" t="s">
        <v>1450</v>
      </c>
      <c r="N22161" t="s">
        <v>78780</v>
      </c>
      <c r="Q22161">
        <v>0</v>
      </c>
      <c r="R22161">
        <v>120</v>
      </c>
      <c r="S22161">
        <v>0</v>
      </c>
      <c r="T22161" t="s">
        <v>78781</v>
      </c>
    </row>
    <row r="22162" spans="1:25" customFormat="1" ht="15" x14ac:dyDescent="0.25">
      <c r="A22162" t="s">
        <v>24</v>
      </c>
      <c r="B22162" t="s">
        <v>1138</v>
      </c>
      <c r="C22162" t="str">
        <f>"A0093331"</f>
        <v>A0093331</v>
      </c>
      <c r="D22162" t="s">
        <v>78782</v>
      </c>
      <c r="E22162" t="s">
        <v>78783</v>
      </c>
      <c r="F22162" t="s">
        <v>1525</v>
      </c>
      <c r="G22162" t="s">
        <v>65</v>
      </c>
      <c r="H22162">
        <v>43240</v>
      </c>
      <c r="I22162" t="s">
        <v>30</v>
      </c>
      <c r="J22162" t="s">
        <v>171</v>
      </c>
      <c r="K22162" t="s">
        <v>1450</v>
      </c>
      <c r="N22162" t="s">
        <v>78784</v>
      </c>
      <c r="O22162" t="s">
        <v>78785</v>
      </c>
      <c r="Q22162">
        <v>0</v>
      </c>
      <c r="R22162">
        <v>104</v>
      </c>
      <c r="S22162">
        <v>0</v>
      </c>
      <c r="T22162" t="s">
        <v>78786</v>
      </c>
    </row>
    <row r="22163" spans="1:25" x14ac:dyDescent="0.25">
      <c r="A22163" s="5" t="s">
        <v>24</v>
      </c>
      <c r="B22163" s="5" t="s">
        <v>2387</v>
      </c>
      <c r="C22163" s="5" t="str">
        <f>"A0095914"</f>
        <v>A0095914</v>
      </c>
      <c r="D22163" s="5" t="s">
        <v>78787</v>
      </c>
      <c r="E22163" s="5" t="s">
        <v>78788</v>
      </c>
      <c r="F22163" s="5" t="s">
        <v>78789</v>
      </c>
      <c r="G22163" s="5" t="s">
        <v>899</v>
      </c>
      <c r="H22163" s="5">
        <v>1742</v>
      </c>
      <c r="I22163" s="5" t="s">
        <v>30</v>
      </c>
      <c r="J22163" s="5" t="s">
        <v>171</v>
      </c>
      <c r="K22163" s="5" t="s">
        <v>1450</v>
      </c>
      <c r="L22163" s="5"/>
      <c r="M22163" s="5"/>
      <c r="N22163" s="5" t="s">
        <v>78790</v>
      </c>
      <c r="O22163" s="5" t="s">
        <v>78791</v>
      </c>
      <c r="P22163" s="5"/>
      <c r="Q22163" s="5">
        <v>0</v>
      </c>
      <c r="R22163" s="5">
        <v>118</v>
      </c>
      <c r="S22163" s="5">
        <v>0</v>
      </c>
      <c r="T22163" s="5" t="s">
        <v>78792</v>
      </c>
      <c r="U22163" s="5"/>
      <c r="V22163" s="5"/>
      <c r="W22163" s="5"/>
      <c r="X22163" s="5"/>
      <c r="Y22163" s="5"/>
    </row>
    <row r="22164" spans="1:25" customFormat="1" ht="15" x14ac:dyDescent="0.25">
      <c r="A22164" t="s">
        <v>24</v>
      </c>
      <c r="B22164" t="s">
        <v>55335</v>
      </c>
      <c r="C22164" t="str">
        <f>"A0098800"</f>
        <v>A0098800</v>
      </c>
      <c r="D22164" t="s">
        <v>84058</v>
      </c>
      <c r="E22164" t="s">
        <v>84059</v>
      </c>
      <c r="F22164" t="s">
        <v>985</v>
      </c>
      <c r="G22164" t="s">
        <v>81</v>
      </c>
      <c r="H22164">
        <v>32827</v>
      </c>
      <c r="I22164" t="s">
        <v>30</v>
      </c>
      <c r="J22164" t="s">
        <v>55338</v>
      </c>
      <c r="K22164" t="s">
        <v>55339</v>
      </c>
      <c r="N22164" t="s">
        <v>84060</v>
      </c>
      <c r="Q22164">
        <v>0</v>
      </c>
      <c r="R22164">
        <v>0</v>
      </c>
      <c r="S22164">
        <v>0</v>
      </c>
      <c r="T22164" t="s">
        <v>55406</v>
      </c>
    </row>
    <row r="22165" spans="1:25" customFormat="1" ht="15" x14ac:dyDescent="0.25">
      <c r="A22165" t="s">
        <v>24</v>
      </c>
      <c r="B22165" t="s">
        <v>84061</v>
      </c>
      <c r="C22165" t="str">
        <f>"A0048974"</f>
        <v>A0048974</v>
      </c>
      <c r="D22165" t="s">
        <v>84061</v>
      </c>
      <c r="E22165" t="s">
        <v>84062</v>
      </c>
      <c r="F22165" t="s">
        <v>10379</v>
      </c>
      <c r="G22165" t="s">
        <v>81</v>
      </c>
      <c r="H22165">
        <v>34108</v>
      </c>
      <c r="I22165" t="s">
        <v>30</v>
      </c>
      <c r="J22165" t="s">
        <v>178</v>
      </c>
      <c r="K22165" t="s">
        <v>179</v>
      </c>
      <c r="N22165" t="s">
        <v>84063</v>
      </c>
      <c r="O22165" t="s">
        <v>84064</v>
      </c>
      <c r="Q22165">
        <v>1</v>
      </c>
      <c r="R22165">
        <v>0</v>
      </c>
      <c r="S22165">
        <v>0</v>
      </c>
      <c r="T22165" t="s">
        <v>84065</v>
      </c>
    </row>
    <row r="22166" spans="1:25" customFormat="1" ht="15" x14ac:dyDescent="0.25">
      <c r="A22166" t="s">
        <v>24</v>
      </c>
      <c r="B22166" t="s">
        <v>6667</v>
      </c>
      <c r="C22166" t="str">
        <f>"A0083022"</f>
        <v>A0083022</v>
      </c>
      <c r="D22166" t="s">
        <v>84066</v>
      </c>
      <c r="E22166" t="s">
        <v>84067</v>
      </c>
      <c r="F22166" t="s">
        <v>8485</v>
      </c>
      <c r="G22166" t="s">
        <v>190</v>
      </c>
      <c r="H22166">
        <v>80134</v>
      </c>
      <c r="I22166" t="s">
        <v>30</v>
      </c>
      <c r="J22166" t="s">
        <v>178</v>
      </c>
      <c r="K22166" t="s">
        <v>6667</v>
      </c>
      <c r="N22166" t="s">
        <v>83748</v>
      </c>
      <c r="O22166" t="s">
        <v>84068</v>
      </c>
      <c r="P22166" t="s">
        <v>992</v>
      </c>
      <c r="Q22166">
        <v>1</v>
      </c>
      <c r="R22166">
        <v>0</v>
      </c>
      <c r="S22166">
        <v>0</v>
      </c>
      <c r="T22166" t="s">
        <v>84069</v>
      </c>
    </row>
    <row r="22167" spans="1:25" customFormat="1" ht="15" x14ac:dyDescent="0.25">
      <c r="A22167" t="s">
        <v>24</v>
      </c>
      <c r="B22167" t="s">
        <v>675</v>
      </c>
      <c r="C22167" t="str">
        <f>"A0098789"</f>
        <v>A0098789</v>
      </c>
      <c r="D22167" t="s">
        <v>84070</v>
      </c>
      <c r="E22167" t="s">
        <v>62318</v>
      </c>
      <c r="F22167" t="s">
        <v>2839</v>
      </c>
      <c r="G22167" t="s">
        <v>846</v>
      </c>
      <c r="H22167">
        <v>31421</v>
      </c>
      <c r="I22167" t="s">
        <v>30</v>
      </c>
      <c r="J22167" t="s">
        <v>178</v>
      </c>
      <c r="K22167" t="s">
        <v>6809</v>
      </c>
      <c r="Q22167">
        <v>0</v>
      </c>
      <c r="R22167">
        <v>0</v>
      </c>
      <c r="S22167">
        <v>0</v>
      </c>
      <c r="T22167" t="s">
        <v>84071</v>
      </c>
    </row>
    <row r="22168" spans="1:25" customFormat="1" ht="15" x14ac:dyDescent="0.25">
      <c r="A22168" t="s">
        <v>24</v>
      </c>
      <c r="B22168" t="s">
        <v>6667</v>
      </c>
      <c r="C22168" t="str">
        <f>"A0049616"</f>
        <v>A0049616</v>
      </c>
      <c r="D22168" t="s">
        <v>84072</v>
      </c>
      <c r="E22168" t="s">
        <v>84073</v>
      </c>
      <c r="F22168" t="s">
        <v>84074</v>
      </c>
      <c r="G22168" t="s">
        <v>76</v>
      </c>
      <c r="H22168">
        <v>98065</v>
      </c>
      <c r="I22168" t="s">
        <v>30</v>
      </c>
      <c r="J22168" t="s">
        <v>178</v>
      </c>
      <c r="K22168" t="s">
        <v>179</v>
      </c>
      <c r="N22168" t="s">
        <v>84075</v>
      </c>
      <c r="O22168" t="s">
        <v>84076</v>
      </c>
      <c r="P22168" t="s">
        <v>992</v>
      </c>
      <c r="Q22168">
        <v>1</v>
      </c>
      <c r="R22168">
        <v>0</v>
      </c>
      <c r="S22168">
        <v>0</v>
      </c>
      <c r="T22168" t="s">
        <v>84077</v>
      </c>
    </row>
    <row r="22169" spans="1:25" customFormat="1" ht="15" x14ac:dyDescent="0.25">
      <c r="A22169" t="s">
        <v>24</v>
      </c>
      <c r="B22169" t="s">
        <v>56488</v>
      </c>
      <c r="C22169" t="str">
        <f>"A0085863"</f>
        <v>A0085863</v>
      </c>
      <c r="D22169" t="s">
        <v>84078</v>
      </c>
      <c r="E22169" t="s">
        <v>84079</v>
      </c>
      <c r="F22169" t="s">
        <v>356</v>
      </c>
      <c r="G22169" t="s">
        <v>52</v>
      </c>
      <c r="H22169">
        <v>78258</v>
      </c>
      <c r="I22169" t="s">
        <v>30</v>
      </c>
      <c r="J22169" t="s">
        <v>178</v>
      </c>
      <c r="K22169" t="s">
        <v>179</v>
      </c>
      <c r="N22169" t="s">
        <v>84080</v>
      </c>
      <c r="Q22169">
        <v>2</v>
      </c>
      <c r="R22169">
        <v>0</v>
      </c>
      <c r="S22169">
        <v>0</v>
      </c>
      <c r="T22169" t="s">
        <v>84081</v>
      </c>
    </row>
    <row r="22170" spans="1:25" customFormat="1" ht="15" x14ac:dyDescent="0.25">
      <c r="A22170" t="s">
        <v>24</v>
      </c>
      <c r="B22170" t="s">
        <v>55335</v>
      </c>
      <c r="C22170" t="str">
        <f>"A0149051"</f>
        <v>A0149051</v>
      </c>
      <c r="D22170" t="s">
        <v>84082</v>
      </c>
      <c r="E22170" t="s">
        <v>84083</v>
      </c>
      <c r="F22170" t="s">
        <v>220</v>
      </c>
      <c r="G22170" t="s">
        <v>221</v>
      </c>
      <c r="H22170">
        <v>89119</v>
      </c>
      <c r="I22170" t="s">
        <v>30</v>
      </c>
      <c r="J22170" t="s">
        <v>55338</v>
      </c>
      <c r="K22170" t="s">
        <v>55339</v>
      </c>
      <c r="N22170" t="s">
        <v>84084</v>
      </c>
      <c r="Q22170">
        <v>0</v>
      </c>
      <c r="R22170">
        <v>0</v>
      </c>
      <c r="S22170">
        <v>0</v>
      </c>
      <c r="T22170" t="s">
        <v>84085</v>
      </c>
    </row>
    <row r="22171" spans="1:25" customFormat="1" ht="15" x14ac:dyDescent="0.25">
      <c r="A22171" t="s">
        <v>24</v>
      </c>
      <c r="B22171" t="s">
        <v>2360</v>
      </c>
      <c r="C22171" t="str">
        <f>"A0100423"</f>
        <v>A0100423</v>
      </c>
      <c r="D22171" t="s">
        <v>84086</v>
      </c>
      <c r="E22171" t="s">
        <v>84087</v>
      </c>
      <c r="F22171" t="s">
        <v>2900</v>
      </c>
      <c r="G22171" t="s">
        <v>76</v>
      </c>
      <c r="H22171">
        <v>98109</v>
      </c>
      <c r="I22171" t="s">
        <v>30</v>
      </c>
      <c r="J22171" t="s">
        <v>2558</v>
      </c>
      <c r="K22171" t="s">
        <v>56092</v>
      </c>
      <c r="N22171" t="s">
        <v>84088</v>
      </c>
      <c r="Q22171">
        <v>0</v>
      </c>
      <c r="R22171">
        <v>0</v>
      </c>
      <c r="S22171">
        <v>0</v>
      </c>
      <c r="T22171" t="s">
        <v>84089</v>
      </c>
    </row>
    <row r="22172" spans="1:25" customFormat="1" ht="15" x14ac:dyDescent="0.25">
      <c r="A22172" t="s">
        <v>24</v>
      </c>
      <c r="B22172" t="s">
        <v>4990</v>
      </c>
      <c r="C22172" t="str">
        <f>"A0091240"</f>
        <v>A0091240</v>
      </c>
      <c r="D22172" t="s">
        <v>78793</v>
      </c>
      <c r="E22172" t="s">
        <v>78794</v>
      </c>
      <c r="F22172" t="s">
        <v>16619</v>
      </c>
      <c r="G22172" t="s">
        <v>1898</v>
      </c>
      <c r="H22172">
        <v>52241</v>
      </c>
      <c r="I22172" t="s">
        <v>30</v>
      </c>
      <c r="J22172" t="s">
        <v>171</v>
      </c>
      <c r="K22172" t="s">
        <v>1450</v>
      </c>
      <c r="N22172" t="s">
        <v>78795</v>
      </c>
      <c r="Q22172">
        <v>0</v>
      </c>
      <c r="R22172">
        <v>95</v>
      </c>
      <c r="S22172">
        <v>0</v>
      </c>
      <c r="T22172" t="s">
        <v>78796</v>
      </c>
    </row>
    <row r="22173" spans="1:25" customFormat="1" ht="15" x14ac:dyDescent="0.25">
      <c r="A22173" t="s">
        <v>24</v>
      </c>
      <c r="B22173" t="s">
        <v>84094</v>
      </c>
      <c r="C22173" t="str">
        <f>"A0095472"</f>
        <v>A0095472</v>
      </c>
      <c r="D22173" t="s">
        <v>84095</v>
      </c>
      <c r="E22173" t="s">
        <v>84096</v>
      </c>
      <c r="F22173" t="s">
        <v>13589</v>
      </c>
      <c r="G22173" t="s">
        <v>110</v>
      </c>
      <c r="H22173">
        <v>93921</v>
      </c>
      <c r="I22173" t="s">
        <v>30</v>
      </c>
      <c r="J22173" t="s">
        <v>31</v>
      </c>
      <c r="K22173" t="s">
        <v>163</v>
      </c>
      <c r="N22173" t="s">
        <v>84097</v>
      </c>
      <c r="Q22173">
        <v>0</v>
      </c>
      <c r="R22173">
        <v>26</v>
      </c>
      <c r="S22173">
        <v>0</v>
      </c>
      <c r="T22173" t="s">
        <v>84098</v>
      </c>
    </row>
    <row r="22174" spans="1:25" x14ac:dyDescent="0.25">
      <c r="A22174" s="5" t="s">
        <v>24</v>
      </c>
      <c r="B22174" s="5" t="s">
        <v>1138</v>
      </c>
      <c r="C22174" s="5" t="str">
        <f>"A0073614"</f>
        <v>A0073614</v>
      </c>
      <c r="D22174" s="5" t="s">
        <v>78797</v>
      </c>
      <c r="E22174" s="5" t="s">
        <v>78798</v>
      </c>
      <c r="F22174" s="5" t="s">
        <v>71397</v>
      </c>
      <c r="G22174" s="5" t="s">
        <v>110</v>
      </c>
      <c r="H22174" s="5">
        <v>92879</v>
      </c>
      <c r="I22174" s="5" t="s">
        <v>30</v>
      </c>
      <c r="J22174" s="5" t="s">
        <v>171</v>
      </c>
      <c r="K22174" s="5" t="s">
        <v>1450</v>
      </c>
      <c r="L22174" s="5"/>
      <c r="M22174" s="5"/>
      <c r="N22174" s="5" t="s">
        <v>3474</v>
      </c>
      <c r="O22174" s="5"/>
      <c r="P22174" s="5"/>
      <c r="Q22174" s="5">
        <v>0</v>
      </c>
      <c r="R22174" s="5">
        <v>95</v>
      </c>
      <c r="S22174" s="5">
        <v>0</v>
      </c>
      <c r="T22174" s="5" t="s">
        <v>78799</v>
      </c>
      <c r="U22174" s="5"/>
      <c r="V22174" s="5"/>
      <c r="W22174" s="5"/>
      <c r="X22174" s="5"/>
      <c r="Y22174" s="5"/>
    </row>
    <row r="22175" spans="1:25" x14ac:dyDescent="0.25">
      <c r="A22175" s="5" t="s">
        <v>24</v>
      </c>
      <c r="B22175" s="5" t="s">
        <v>675</v>
      </c>
      <c r="C22175" s="5" t="str">
        <f>"57401"</f>
        <v>57401</v>
      </c>
      <c r="D22175" s="5" t="s">
        <v>78800</v>
      </c>
      <c r="E22175" s="5" t="s">
        <v>78801</v>
      </c>
      <c r="F22175" s="5" t="s">
        <v>2557</v>
      </c>
      <c r="G22175" s="5" t="s">
        <v>110</v>
      </c>
      <c r="H22175" s="5">
        <v>92626</v>
      </c>
      <c r="I22175" s="5" t="s">
        <v>30</v>
      </c>
      <c r="J22175" s="5" t="s">
        <v>171</v>
      </c>
      <c r="K22175" s="5" t="s">
        <v>1450</v>
      </c>
      <c r="L22175" s="5"/>
      <c r="M22175" s="5"/>
      <c r="N22175" s="5" t="s">
        <v>78802</v>
      </c>
      <c r="O22175" s="5"/>
      <c r="P22175" s="5"/>
      <c r="Q22175" s="5">
        <v>0</v>
      </c>
      <c r="R22175" s="5">
        <v>144</v>
      </c>
      <c r="S22175" s="5">
        <v>0</v>
      </c>
      <c r="T22175" s="5" t="s">
        <v>78803</v>
      </c>
      <c r="U22175" s="5"/>
      <c r="V22175" s="5"/>
      <c r="W22175" s="5"/>
      <c r="X22175" s="5"/>
      <c r="Y22175" s="5"/>
    </row>
    <row r="22176" spans="1:25" customFormat="1" ht="15" x14ac:dyDescent="0.25">
      <c r="A22176" t="s">
        <v>24</v>
      </c>
      <c r="B22176" t="s">
        <v>10097</v>
      </c>
      <c r="C22176" t="str">
        <f>"56613"</f>
        <v>56613</v>
      </c>
      <c r="D22176" t="s">
        <v>78804</v>
      </c>
      <c r="E22176" t="s">
        <v>78805</v>
      </c>
      <c r="F22176" t="s">
        <v>10100</v>
      </c>
      <c r="G22176" t="s">
        <v>214</v>
      </c>
      <c r="H22176">
        <v>27612</v>
      </c>
      <c r="I22176" t="s">
        <v>30</v>
      </c>
      <c r="J22176" t="s">
        <v>171</v>
      </c>
      <c r="K22176" t="s">
        <v>1450</v>
      </c>
      <c r="N22176" t="s">
        <v>60192</v>
      </c>
      <c r="Q22176">
        <v>0</v>
      </c>
      <c r="R22176">
        <v>112</v>
      </c>
      <c r="S22176">
        <v>0</v>
      </c>
      <c r="T22176" t="s">
        <v>78806</v>
      </c>
    </row>
    <row r="22177" spans="1:25" customFormat="1" ht="15" x14ac:dyDescent="0.25">
      <c r="A22177" t="s">
        <v>24</v>
      </c>
      <c r="B22177" t="s">
        <v>6667</v>
      </c>
      <c r="C22177" t="str">
        <f>"A0085875"</f>
        <v>A0085875</v>
      </c>
      <c r="D22177" t="s">
        <v>84113</v>
      </c>
      <c r="E22177" t="s">
        <v>84114</v>
      </c>
      <c r="F22177" t="s">
        <v>56870</v>
      </c>
      <c r="G22177" t="s">
        <v>137</v>
      </c>
      <c r="H22177">
        <v>63112</v>
      </c>
      <c r="I22177" t="s">
        <v>30</v>
      </c>
      <c r="J22177" t="s">
        <v>178</v>
      </c>
      <c r="K22177" t="s">
        <v>6667</v>
      </c>
      <c r="N22177" t="s">
        <v>84115</v>
      </c>
      <c r="Q22177">
        <v>0</v>
      </c>
      <c r="R22177">
        <v>0</v>
      </c>
      <c r="S22177">
        <v>0</v>
      </c>
      <c r="T22177" t="s">
        <v>84116</v>
      </c>
    </row>
    <row r="22178" spans="1:25" customFormat="1" ht="15" x14ac:dyDescent="0.25">
      <c r="A22178" t="s">
        <v>24</v>
      </c>
      <c r="B22178" t="s">
        <v>675</v>
      </c>
      <c r="C22178" t="str">
        <f>"56686"</f>
        <v>56686</v>
      </c>
      <c r="D22178" t="s">
        <v>78807</v>
      </c>
      <c r="E22178" t="s">
        <v>78808</v>
      </c>
      <c r="F22178" t="s">
        <v>61899</v>
      </c>
      <c r="G22178" t="s">
        <v>338</v>
      </c>
      <c r="H22178">
        <v>8512</v>
      </c>
      <c r="I22178" t="s">
        <v>30</v>
      </c>
      <c r="J22178" t="s">
        <v>171</v>
      </c>
      <c r="K22178" t="s">
        <v>1450</v>
      </c>
      <c r="N22178" t="s">
        <v>60904</v>
      </c>
      <c r="Q22178">
        <v>0</v>
      </c>
      <c r="R22178">
        <v>108</v>
      </c>
      <c r="S22178">
        <v>0</v>
      </c>
      <c r="T22178" t="s">
        <v>78809</v>
      </c>
    </row>
    <row r="22179" spans="1:25" customFormat="1" ht="15" x14ac:dyDescent="0.25">
      <c r="A22179" t="s">
        <v>24</v>
      </c>
      <c r="B22179" t="s">
        <v>63096</v>
      </c>
      <c r="C22179" t="str">
        <f>"SF06884"</f>
        <v>SF06884</v>
      </c>
      <c r="D22179" t="s">
        <v>84122</v>
      </c>
      <c r="E22179" t="s">
        <v>84123</v>
      </c>
      <c r="F22179" t="s">
        <v>5240</v>
      </c>
      <c r="G22179" t="s">
        <v>52</v>
      </c>
      <c r="H22179">
        <v>78205</v>
      </c>
      <c r="I22179" t="s">
        <v>30</v>
      </c>
      <c r="J22179" t="s">
        <v>31</v>
      </c>
      <c r="K22179" t="s">
        <v>163</v>
      </c>
      <c r="N22179" t="s">
        <v>84124</v>
      </c>
      <c r="O22179" t="s">
        <v>84125</v>
      </c>
      <c r="Q22179">
        <v>0</v>
      </c>
      <c r="R22179">
        <v>138</v>
      </c>
      <c r="S22179">
        <v>0</v>
      </c>
      <c r="T22179" t="s">
        <v>84126</v>
      </c>
    </row>
    <row r="22180" spans="1:25" x14ac:dyDescent="0.25">
      <c r="A22180" s="5" t="s">
        <v>24</v>
      </c>
      <c r="B22180" s="5" t="s">
        <v>675</v>
      </c>
      <c r="C22180" s="5" t="str">
        <f>"A0064800"</f>
        <v>A0064800</v>
      </c>
      <c r="D22180" s="5" t="s">
        <v>78810</v>
      </c>
      <c r="E22180" s="5" t="s">
        <v>78811</v>
      </c>
      <c r="F22180" s="5" t="s">
        <v>78812</v>
      </c>
      <c r="G22180" s="5" t="s">
        <v>110</v>
      </c>
      <c r="H22180" s="5">
        <v>90720</v>
      </c>
      <c r="I22180" s="5" t="s">
        <v>30</v>
      </c>
      <c r="J22180" s="5" t="s">
        <v>171</v>
      </c>
      <c r="K22180" s="5" t="s">
        <v>1450</v>
      </c>
      <c r="L22180" s="5"/>
      <c r="M22180" s="5"/>
      <c r="N22180" s="5" t="s">
        <v>78813</v>
      </c>
      <c r="O22180" s="5" t="s">
        <v>78814</v>
      </c>
      <c r="P22180" s="5"/>
      <c r="Q22180" s="5">
        <v>0</v>
      </c>
      <c r="R22180" s="5">
        <v>155</v>
      </c>
      <c r="S22180" s="5">
        <v>0</v>
      </c>
      <c r="T22180" s="5" t="s">
        <v>78815</v>
      </c>
      <c r="U22180" s="5"/>
      <c r="V22180" s="5"/>
      <c r="W22180" s="5"/>
      <c r="X22180" s="5"/>
      <c r="Y22180" s="5"/>
    </row>
    <row r="22181" spans="1:25" customFormat="1" ht="15" x14ac:dyDescent="0.25">
      <c r="A22181" t="s">
        <v>24</v>
      </c>
      <c r="B22181" t="s">
        <v>675</v>
      </c>
      <c r="C22181" t="str">
        <f>"57314"</f>
        <v>57314</v>
      </c>
      <c r="D22181" t="s">
        <v>78816</v>
      </c>
      <c r="E22181" t="s">
        <v>78817</v>
      </c>
      <c r="F22181" t="s">
        <v>4829</v>
      </c>
      <c r="G22181" t="s">
        <v>52</v>
      </c>
      <c r="H22181">
        <v>75038</v>
      </c>
      <c r="I22181" t="s">
        <v>30</v>
      </c>
      <c r="J22181" t="s">
        <v>171</v>
      </c>
      <c r="K22181" t="s">
        <v>1450</v>
      </c>
      <c r="N22181" t="s">
        <v>78818</v>
      </c>
      <c r="O22181" t="s">
        <v>78819</v>
      </c>
      <c r="Q22181">
        <v>0</v>
      </c>
      <c r="R22181">
        <v>120</v>
      </c>
      <c r="S22181">
        <v>0</v>
      </c>
      <c r="T22181" t="s">
        <v>78820</v>
      </c>
    </row>
    <row r="22182" spans="1:25" x14ac:dyDescent="0.25">
      <c r="A22182" s="5" t="s">
        <v>24</v>
      </c>
      <c r="B22182" s="5" t="s">
        <v>60220</v>
      </c>
      <c r="C22182" s="5" t="str">
        <f>"A0099225"</f>
        <v>A0099225</v>
      </c>
      <c r="D22182" s="5" t="s">
        <v>78821</v>
      </c>
      <c r="E22182" s="5" t="s">
        <v>78822</v>
      </c>
      <c r="F22182" s="5" t="s">
        <v>1114</v>
      </c>
      <c r="G22182" s="5" t="s">
        <v>52</v>
      </c>
      <c r="H22182" s="5">
        <v>75069</v>
      </c>
      <c r="I22182" s="5" t="s">
        <v>30</v>
      </c>
      <c r="J22182" s="5" t="s">
        <v>171</v>
      </c>
      <c r="K22182" s="5" t="s">
        <v>1450</v>
      </c>
      <c r="L22182" s="5"/>
      <c r="M22182" s="5"/>
      <c r="N22182" s="5" t="s">
        <v>78823</v>
      </c>
      <c r="O22182" s="5"/>
      <c r="P22182" s="5"/>
      <c r="Q22182" s="5">
        <v>0</v>
      </c>
      <c r="R22182" s="5">
        <v>117</v>
      </c>
      <c r="S22182" s="5">
        <v>0</v>
      </c>
      <c r="T22182" s="5" t="s">
        <v>78824</v>
      </c>
      <c r="U22182" s="5"/>
      <c r="V22182" s="5"/>
      <c r="W22182" s="5"/>
      <c r="X22182" s="5"/>
      <c r="Y22182" s="5"/>
    </row>
    <row r="22183" spans="1:25" x14ac:dyDescent="0.25">
      <c r="A22183" s="5" t="s">
        <v>24</v>
      </c>
      <c r="B22183" s="5" t="s">
        <v>11170</v>
      </c>
      <c r="C22183" s="5" t="str">
        <f>"A0098876"</f>
        <v>A0098876</v>
      </c>
      <c r="D22183" s="5" t="s">
        <v>78825</v>
      </c>
      <c r="E22183" s="5" t="s">
        <v>55607</v>
      </c>
      <c r="F22183" s="5" t="s">
        <v>2094</v>
      </c>
      <c r="G22183" s="5" t="s">
        <v>52</v>
      </c>
      <c r="H22183" s="5">
        <v>75240</v>
      </c>
      <c r="I22183" s="5" t="s">
        <v>30</v>
      </c>
      <c r="J22183" s="5" t="s">
        <v>171</v>
      </c>
      <c r="K22183" s="5" t="s">
        <v>1450</v>
      </c>
      <c r="L22183" s="5"/>
      <c r="M22183" s="5"/>
      <c r="N22183" s="5" t="s">
        <v>63094</v>
      </c>
      <c r="O22183" s="5"/>
      <c r="P22183" s="5"/>
      <c r="Q22183" s="5">
        <v>0</v>
      </c>
      <c r="R22183" s="5">
        <v>110</v>
      </c>
      <c r="S22183" s="5">
        <v>0</v>
      </c>
      <c r="T22183" s="5" t="s">
        <v>78826</v>
      </c>
      <c r="U22183" s="5"/>
      <c r="V22183" s="5"/>
      <c r="W22183" s="5"/>
      <c r="X22183" s="5"/>
      <c r="Y22183" s="5"/>
    </row>
    <row r="22184" spans="1:25" x14ac:dyDescent="0.25">
      <c r="A22184" s="5" t="s">
        <v>24</v>
      </c>
      <c r="B22184" s="5" t="s">
        <v>675</v>
      </c>
      <c r="C22184" s="5" t="str">
        <f>"57323"</f>
        <v>57323</v>
      </c>
      <c r="D22184" s="5" t="s">
        <v>78827</v>
      </c>
      <c r="E22184" s="5" t="s">
        <v>78828</v>
      </c>
      <c r="F22184" s="5" t="s">
        <v>2128</v>
      </c>
      <c r="G22184" s="5" t="s">
        <v>52</v>
      </c>
      <c r="H22184" s="5">
        <v>75024</v>
      </c>
      <c r="I22184" s="5" t="s">
        <v>30</v>
      </c>
      <c r="J22184" s="5" t="s">
        <v>171</v>
      </c>
      <c r="K22184" s="5" t="s">
        <v>1450</v>
      </c>
      <c r="L22184" s="5"/>
      <c r="M22184" s="5"/>
      <c r="N22184" s="5" t="s">
        <v>78829</v>
      </c>
      <c r="O22184" s="5"/>
      <c r="P22184" s="5"/>
      <c r="Q22184" s="5">
        <v>0</v>
      </c>
      <c r="R22184" s="5">
        <v>126</v>
      </c>
      <c r="S22184" s="5">
        <v>0</v>
      </c>
      <c r="T22184" s="5" t="s">
        <v>78830</v>
      </c>
      <c r="U22184" s="5"/>
      <c r="V22184" s="5"/>
      <c r="W22184" s="5"/>
      <c r="X22184" s="5"/>
      <c r="Y22184" s="5"/>
    </row>
    <row r="22185" spans="1:25" customFormat="1" ht="15" x14ac:dyDescent="0.25">
      <c r="A22185" t="s">
        <v>24</v>
      </c>
      <c r="B22185" t="s">
        <v>1561</v>
      </c>
      <c r="C22185" t="str">
        <f>"A0097867"</f>
        <v>A0097867</v>
      </c>
      <c r="D22185" t="s">
        <v>78831</v>
      </c>
      <c r="E22185" t="s">
        <v>78832</v>
      </c>
      <c r="F22185" t="s">
        <v>2128</v>
      </c>
      <c r="G22185" t="s">
        <v>52</v>
      </c>
      <c r="H22185">
        <v>75074</v>
      </c>
      <c r="I22185" t="s">
        <v>30</v>
      </c>
      <c r="J22185" t="s">
        <v>171</v>
      </c>
      <c r="K22185" t="s">
        <v>1450</v>
      </c>
      <c r="N22185" t="s">
        <v>78833</v>
      </c>
      <c r="Q22185">
        <v>0</v>
      </c>
      <c r="R22185">
        <v>129</v>
      </c>
      <c r="S22185">
        <v>0</v>
      </c>
      <c r="T22185" t="s">
        <v>78834</v>
      </c>
    </row>
    <row r="22186" spans="1:25" customFormat="1" ht="15" x14ac:dyDescent="0.25">
      <c r="A22186" t="s">
        <v>24</v>
      </c>
      <c r="B22186" t="s">
        <v>1020</v>
      </c>
      <c r="C22186" t="str">
        <f>"56653"</f>
        <v>56653</v>
      </c>
      <c r="D22186" t="s">
        <v>78835</v>
      </c>
      <c r="E22186" t="s">
        <v>78836</v>
      </c>
      <c r="F22186" t="s">
        <v>4829</v>
      </c>
      <c r="G22186" t="s">
        <v>52</v>
      </c>
      <c r="H22186">
        <v>75063</v>
      </c>
      <c r="I22186" t="s">
        <v>30</v>
      </c>
      <c r="J22186" t="s">
        <v>171</v>
      </c>
      <c r="K22186" t="s">
        <v>1450</v>
      </c>
      <c r="N22186" t="s">
        <v>78837</v>
      </c>
      <c r="O22186" t="s">
        <v>78838</v>
      </c>
      <c r="Q22186">
        <v>0</v>
      </c>
      <c r="R22186">
        <v>100</v>
      </c>
      <c r="S22186">
        <v>0</v>
      </c>
      <c r="T22186" t="s">
        <v>78839</v>
      </c>
    </row>
    <row r="22187" spans="1:25" customFormat="1" ht="15" x14ac:dyDescent="0.25">
      <c r="A22187" t="s">
        <v>24</v>
      </c>
      <c r="B22187" t="s">
        <v>6667</v>
      </c>
      <c r="C22187" t="str">
        <f>"A0051016"</f>
        <v>A0051016</v>
      </c>
      <c r="D22187" t="s">
        <v>84158</v>
      </c>
      <c r="E22187" t="s">
        <v>84159</v>
      </c>
      <c r="F22187" t="s">
        <v>356</v>
      </c>
      <c r="G22187" t="s">
        <v>52</v>
      </c>
      <c r="H22187">
        <v>78257</v>
      </c>
      <c r="I22187" t="s">
        <v>30</v>
      </c>
      <c r="J22187" t="s">
        <v>178</v>
      </c>
      <c r="K22187" t="s">
        <v>179</v>
      </c>
      <c r="N22187" t="s">
        <v>84160</v>
      </c>
      <c r="O22187" t="s">
        <v>84161</v>
      </c>
      <c r="Q22187">
        <v>0</v>
      </c>
      <c r="R22187">
        <v>0</v>
      </c>
      <c r="S22187">
        <v>0</v>
      </c>
      <c r="T22187" t="s">
        <v>84162</v>
      </c>
    </row>
    <row r="22188" spans="1:25" customFormat="1" ht="15" x14ac:dyDescent="0.25">
      <c r="A22188" t="s">
        <v>24</v>
      </c>
      <c r="B22188" t="s">
        <v>1020</v>
      </c>
      <c r="C22188" t="str">
        <f>"56856"</f>
        <v>56856</v>
      </c>
      <c r="D22188" t="s">
        <v>78840</v>
      </c>
      <c r="E22188" t="s">
        <v>78841</v>
      </c>
      <c r="F22188" t="s">
        <v>74846</v>
      </c>
      <c r="G22188" t="s">
        <v>615</v>
      </c>
      <c r="H22188">
        <v>6810</v>
      </c>
      <c r="I22188" t="s">
        <v>30</v>
      </c>
      <c r="J22188" t="s">
        <v>171</v>
      </c>
      <c r="K22188" t="s">
        <v>1450</v>
      </c>
      <c r="N22188" t="s">
        <v>78369</v>
      </c>
      <c r="Q22188">
        <v>0</v>
      </c>
      <c r="R22188">
        <v>78</v>
      </c>
      <c r="S22188">
        <v>0</v>
      </c>
      <c r="T22188" t="s">
        <v>78842</v>
      </c>
    </row>
    <row r="22189" spans="1:25" hidden="1" x14ac:dyDescent="0.25">
      <c r="A22189" s="3" t="s">
        <v>24</v>
      </c>
      <c r="B22189" s="3" t="s">
        <v>675</v>
      </c>
      <c r="C22189" s="3" t="str">
        <f>"A0096285"</f>
        <v>A0096285</v>
      </c>
      <c r="D22189" s="3" t="s">
        <v>84168</v>
      </c>
      <c r="E22189" s="3" t="s">
        <v>84169</v>
      </c>
      <c r="F22189" s="3" t="s">
        <v>2269</v>
      </c>
      <c r="G22189" s="3" t="s">
        <v>2270</v>
      </c>
      <c r="H22189" s="3" t="s">
        <v>84170</v>
      </c>
      <c r="I22189" s="3" t="s">
        <v>1459</v>
      </c>
      <c r="J22189" s="3" t="s">
        <v>206</v>
      </c>
      <c r="K22189" s="3" t="s">
        <v>6459</v>
      </c>
      <c r="N22189" s="3" t="s">
        <v>74555</v>
      </c>
      <c r="Q22189" s="3">
        <v>0</v>
      </c>
      <c r="R22189" s="3">
        <v>215</v>
      </c>
      <c r="S22189" s="3">
        <v>0</v>
      </c>
      <c r="T22189" s="3" t="s">
        <v>84171</v>
      </c>
    </row>
    <row r="22190" spans="1:25" x14ac:dyDescent="0.25">
      <c r="A22190" s="5" t="s">
        <v>24</v>
      </c>
      <c r="B22190" s="5" t="s">
        <v>1138</v>
      </c>
      <c r="C22190" s="5" t="str">
        <f>"A0087359"</f>
        <v>A0087359</v>
      </c>
      <c r="D22190" s="5" t="s">
        <v>78843</v>
      </c>
      <c r="E22190" s="5" t="s">
        <v>78844</v>
      </c>
      <c r="F22190" s="5" t="s">
        <v>33838</v>
      </c>
      <c r="G22190" s="5" t="s">
        <v>65</v>
      </c>
      <c r="H22190" s="5">
        <v>45414</v>
      </c>
      <c r="I22190" s="5" t="s">
        <v>30</v>
      </c>
      <c r="J22190" s="5" t="s">
        <v>171</v>
      </c>
      <c r="K22190" s="5" t="s">
        <v>1450</v>
      </c>
      <c r="L22190" s="5"/>
      <c r="M22190" s="5"/>
      <c r="N22190" s="5" t="s">
        <v>78845</v>
      </c>
      <c r="O22190" s="5" t="s">
        <v>78846</v>
      </c>
      <c r="P22190" s="5"/>
      <c r="Q22190" s="5">
        <v>0</v>
      </c>
      <c r="R22190" s="5">
        <v>105</v>
      </c>
      <c r="S22190" s="5">
        <v>0</v>
      </c>
      <c r="T22190" s="5" t="s">
        <v>78847</v>
      </c>
      <c r="U22190" s="5"/>
      <c r="V22190" s="5"/>
      <c r="W22190" s="5"/>
      <c r="X22190" s="5"/>
      <c r="Y22190" s="5"/>
    </row>
    <row r="22191" spans="1:25" x14ac:dyDescent="0.25">
      <c r="A22191" s="5" t="s">
        <v>24</v>
      </c>
      <c r="B22191" s="5" t="s">
        <v>64821</v>
      </c>
      <c r="C22191" s="5" t="str">
        <f>"56970"</f>
        <v>56970</v>
      </c>
      <c r="D22191" s="5" t="s">
        <v>78848</v>
      </c>
      <c r="E22191" s="5" t="s">
        <v>78849</v>
      </c>
      <c r="F22191" s="5" t="s">
        <v>6314</v>
      </c>
      <c r="G22191" s="5" t="s">
        <v>65</v>
      </c>
      <c r="H22191" s="5">
        <v>45373</v>
      </c>
      <c r="I22191" s="5" t="s">
        <v>30</v>
      </c>
      <c r="J22191" s="5" t="s">
        <v>171</v>
      </c>
      <c r="K22191" s="5" t="s">
        <v>1450</v>
      </c>
      <c r="L22191" s="5"/>
      <c r="M22191" s="5"/>
      <c r="N22191" s="5" t="s">
        <v>64824</v>
      </c>
      <c r="O22191" s="5" t="s">
        <v>78850</v>
      </c>
      <c r="P22191" s="5"/>
      <c r="Q22191" s="5">
        <v>0</v>
      </c>
      <c r="R22191" s="5">
        <v>96</v>
      </c>
      <c r="S22191" s="5">
        <v>0</v>
      </c>
      <c r="T22191" s="5" t="s">
        <v>78851</v>
      </c>
      <c r="U22191" s="5"/>
      <c r="V22191" s="5"/>
      <c r="W22191" s="5"/>
      <c r="X22191" s="5"/>
      <c r="Y22191" s="5"/>
    </row>
    <row r="22192" spans="1:25" x14ac:dyDescent="0.25">
      <c r="A22192" s="5" t="s">
        <v>24</v>
      </c>
      <c r="B22192" s="5" t="s">
        <v>675</v>
      </c>
      <c r="C22192" s="5" t="str">
        <f>"A0076479"</f>
        <v>A0076479</v>
      </c>
      <c r="D22192" s="5" t="s">
        <v>78852</v>
      </c>
      <c r="E22192" s="5" t="s">
        <v>78853</v>
      </c>
      <c r="F22192" s="5" t="s">
        <v>1258</v>
      </c>
      <c r="G22192" s="5" t="s">
        <v>81</v>
      </c>
      <c r="H22192" s="5">
        <v>32114</v>
      </c>
      <c r="I22192" s="5" t="s">
        <v>30</v>
      </c>
      <c r="J22192" s="5" t="s">
        <v>171</v>
      </c>
      <c r="K22192" s="5" t="s">
        <v>1450</v>
      </c>
      <c r="L22192" s="5"/>
      <c r="M22192" s="5"/>
      <c r="N22192" s="5" t="s">
        <v>78854</v>
      </c>
      <c r="O22192" s="5"/>
      <c r="P22192" s="5"/>
      <c r="Q22192" s="5">
        <v>0</v>
      </c>
      <c r="R22192" s="5">
        <v>120</v>
      </c>
      <c r="S22192" s="5">
        <v>0</v>
      </c>
      <c r="T22192" s="5" t="s">
        <v>78855</v>
      </c>
      <c r="U22192" s="5"/>
      <c r="V22192" s="5"/>
      <c r="W22192" s="5"/>
      <c r="X22192" s="5"/>
      <c r="Y22192" s="5"/>
    </row>
    <row r="22193" spans="1:25" customFormat="1" ht="15" x14ac:dyDescent="0.25">
      <c r="A22193" t="s">
        <v>24</v>
      </c>
      <c r="B22193" t="s">
        <v>9843</v>
      </c>
      <c r="C22193" t="str">
        <f>"A0100174"</f>
        <v>A0100174</v>
      </c>
      <c r="D22193" t="s">
        <v>78856</v>
      </c>
      <c r="E22193" t="s">
        <v>78857</v>
      </c>
      <c r="F22193" t="s">
        <v>5567</v>
      </c>
      <c r="G22193" t="s">
        <v>1706</v>
      </c>
      <c r="H22193">
        <v>35603</v>
      </c>
      <c r="I22193" t="s">
        <v>30</v>
      </c>
      <c r="J22193" t="s">
        <v>171</v>
      </c>
      <c r="K22193" t="s">
        <v>1450</v>
      </c>
      <c r="N22193" t="s">
        <v>60251</v>
      </c>
      <c r="O22193" t="s">
        <v>78858</v>
      </c>
      <c r="Q22193">
        <v>0</v>
      </c>
      <c r="R22193">
        <v>108</v>
      </c>
      <c r="S22193">
        <v>0</v>
      </c>
      <c r="T22193" t="s">
        <v>78859</v>
      </c>
    </row>
    <row r="22194" spans="1:25" customFormat="1" ht="15" x14ac:dyDescent="0.25">
      <c r="A22194" t="s">
        <v>24</v>
      </c>
      <c r="B22194" t="s">
        <v>84189</v>
      </c>
      <c r="C22194" t="str">
        <f>"A0090743"</f>
        <v>A0090743</v>
      </c>
      <c r="D22194" t="s">
        <v>84190</v>
      </c>
      <c r="E22194" t="s">
        <v>84191</v>
      </c>
      <c r="F22194" t="s">
        <v>57635</v>
      </c>
      <c r="G22194" t="s">
        <v>81</v>
      </c>
      <c r="H22194">
        <v>33556</v>
      </c>
      <c r="I22194" t="s">
        <v>30</v>
      </c>
      <c r="J22194" t="s">
        <v>2415</v>
      </c>
      <c r="K22194" t="s">
        <v>179</v>
      </c>
      <c r="N22194" t="s">
        <v>84192</v>
      </c>
      <c r="O22194" t="s">
        <v>84193</v>
      </c>
      <c r="P22194" t="s">
        <v>6426</v>
      </c>
      <c r="Q22194">
        <v>2</v>
      </c>
      <c r="R22194">
        <v>0</v>
      </c>
      <c r="S22194">
        <v>0</v>
      </c>
      <c r="T22194" t="s">
        <v>84194</v>
      </c>
    </row>
    <row r="22195" spans="1:25" x14ac:dyDescent="0.25">
      <c r="A22195" s="5" t="s">
        <v>24</v>
      </c>
      <c r="B22195" s="5" t="s">
        <v>2528</v>
      </c>
      <c r="C22195" s="5" t="str">
        <f>"56965"</f>
        <v>56965</v>
      </c>
      <c r="D22195" s="5" t="s">
        <v>78860</v>
      </c>
      <c r="E22195" s="5" t="s">
        <v>78861</v>
      </c>
      <c r="F22195" s="5" t="s">
        <v>29304</v>
      </c>
      <c r="G22195" s="5" t="s">
        <v>899</v>
      </c>
      <c r="H22195" s="5">
        <v>2026</v>
      </c>
      <c r="I22195" s="5" t="s">
        <v>30</v>
      </c>
      <c r="J22195" s="5" t="s">
        <v>171</v>
      </c>
      <c r="K22195" s="5" t="s">
        <v>1450</v>
      </c>
      <c r="L22195" s="5"/>
      <c r="M22195" s="5"/>
      <c r="N22195" s="5" t="s">
        <v>78862</v>
      </c>
      <c r="O22195" s="5" t="s">
        <v>78863</v>
      </c>
      <c r="P22195" s="5"/>
      <c r="Q22195" s="5">
        <v>0</v>
      </c>
      <c r="R22195" s="5">
        <v>81</v>
      </c>
      <c r="S22195" s="5">
        <v>0</v>
      </c>
      <c r="T22195" s="5" t="s">
        <v>78864</v>
      </c>
      <c r="U22195" s="5"/>
      <c r="V22195" s="5"/>
      <c r="W22195" s="5"/>
      <c r="X22195" s="5"/>
      <c r="Y22195" s="5"/>
    </row>
    <row r="22196" spans="1:25" customFormat="1" ht="15" x14ac:dyDescent="0.25">
      <c r="A22196" t="s">
        <v>24</v>
      </c>
      <c r="B22196" t="s">
        <v>84199</v>
      </c>
      <c r="C22196" t="str">
        <f>"A0092717"</f>
        <v>A0092717</v>
      </c>
      <c r="D22196" t="s">
        <v>84199</v>
      </c>
      <c r="E22196" t="s">
        <v>84200</v>
      </c>
      <c r="F22196" t="s">
        <v>84201</v>
      </c>
      <c r="G22196" t="s">
        <v>190</v>
      </c>
      <c r="H22196">
        <v>80903</v>
      </c>
      <c r="I22196" t="s">
        <v>30</v>
      </c>
      <c r="J22196" t="s">
        <v>2558</v>
      </c>
      <c r="K22196" t="s">
        <v>163</v>
      </c>
      <c r="N22196" t="s">
        <v>84202</v>
      </c>
      <c r="O22196" t="s">
        <v>84203</v>
      </c>
      <c r="Q22196">
        <v>0</v>
      </c>
      <c r="R22196">
        <v>0</v>
      </c>
      <c r="S22196">
        <v>0</v>
      </c>
      <c r="T22196" t="s">
        <v>84204</v>
      </c>
    </row>
    <row r="22197" spans="1:25" x14ac:dyDescent="0.25">
      <c r="A22197" s="5" t="s">
        <v>24</v>
      </c>
      <c r="B22197" s="5" t="s">
        <v>675</v>
      </c>
      <c r="C22197" s="5" t="str">
        <f>"A0088578"</f>
        <v>A0088578</v>
      </c>
      <c r="D22197" s="5" t="s">
        <v>78865</v>
      </c>
      <c r="E22197" s="5" t="s">
        <v>78866</v>
      </c>
      <c r="F22197" s="5" t="s">
        <v>2978</v>
      </c>
      <c r="G22197" s="5" t="s">
        <v>110</v>
      </c>
      <c r="H22197" s="5">
        <v>92130</v>
      </c>
      <c r="I22197" s="5" t="s">
        <v>30</v>
      </c>
      <c r="J22197" s="5" t="s">
        <v>171</v>
      </c>
      <c r="K22197" s="5" t="s">
        <v>1450</v>
      </c>
      <c r="L22197" s="5"/>
      <c r="M22197" s="5"/>
      <c r="N22197" s="5" t="s">
        <v>78867</v>
      </c>
      <c r="O22197" s="5"/>
      <c r="P22197" s="5"/>
      <c r="Q22197" s="5">
        <v>0</v>
      </c>
      <c r="R22197" s="5">
        <v>118</v>
      </c>
      <c r="S22197" s="5">
        <v>0</v>
      </c>
      <c r="T22197" s="5" t="s">
        <v>78868</v>
      </c>
      <c r="U22197" s="5"/>
      <c r="V22197" s="5"/>
      <c r="W22197" s="5"/>
      <c r="X22197" s="5"/>
      <c r="Y22197" s="5"/>
    </row>
    <row r="22198" spans="1:25" customFormat="1" ht="15" x14ac:dyDescent="0.25">
      <c r="A22198" t="s">
        <v>24</v>
      </c>
      <c r="B22198" t="s">
        <v>799</v>
      </c>
      <c r="C22198" t="str">
        <f>"A0065293"</f>
        <v>A0065293</v>
      </c>
      <c r="D22198" t="s">
        <v>84209</v>
      </c>
      <c r="E22198" t="s">
        <v>78861</v>
      </c>
      <c r="F22198" t="s">
        <v>26091</v>
      </c>
      <c r="G22198" t="s">
        <v>899</v>
      </c>
      <c r="H22198">
        <v>1060</v>
      </c>
      <c r="I22198" t="s">
        <v>30</v>
      </c>
      <c r="J22198" t="s">
        <v>31</v>
      </c>
      <c r="K22198" t="s">
        <v>163</v>
      </c>
      <c r="N22198" t="s">
        <v>83787</v>
      </c>
      <c r="Q22198">
        <v>0</v>
      </c>
      <c r="R22198">
        <v>32</v>
      </c>
      <c r="S22198">
        <v>0</v>
      </c>
      <c r="T22198" t="s">
        <v>84210</v>
      </c>
    </row>
    <row r="22199" spans="1:25" customFormat="1" ht="15" x14ac:dyDescent="0.25">
      <c r="A22199" t="s">
        <v>24</v>
      </c>
      <c r="B22199" t="s">
        <v>8579</v>
      </c>
      <c r="C22199" t="str">
        <f>"A0075143"</f>
        <v>A0075143</v>
      </c>
      <c r="D22199" t="s">
        <v>78869</v>
      </c>
      <c r="E22199" t="s">
        <v>78870</v>
      </c>
      <c r="F22199" t="s">
        <v>33094</v>
      </c>
      <c r="G22199" t="s">
        <v>190</v>
      </c>
      <c r="H22199">
        <v>80011</v>
      </c>
      <c r="I22199" t="s">
        <v>30</v>
      </c>
      <c r="J22199" t="s">
        <v>171</v>
      </c>
      <c r="K22199" t="s">
        <v>1450</v>
      </c>
      <c r="N22199" t="s">
        <v>78871</v>
      </c>
      <c r="Q22199">
        <v>0</v>
      </c>
      <c r="R22199">
        <v>124</v>
      </c>
      <c r="S22199">
        <v>0</v>
      </c>
      <c r="T22199" t="s">
        <v>78872</v>
      </c>
    </row>
    <row r="22200" spans="1:25" customFormat="1" ht="15" x14ac:dyDescent="0.25">
      <c r="A22200" t="s">
        <v>24</v>
      </c>
      <c r="B22200" t="s">
        <v>2340</v>
      </c>
      <c r="C22200" t="str">
        <f>"A0099732"</f>
        <v>A0099732</v>
      </c>
      <c r="D22200" t="s">
        <v>78873</v>
      </c>
      <c r="E22200" t="s">
        <v>78874</v>
      </c>
      <c r="F22200" t="s">
        <v>972</v>
      </c>
      <c r="G22200" t="s">
        <v>190</v>
      </c>
      <c r="H22200">
        <v>80249</v>
      </c>
      <c r="I22200" t="s">
        <v>30</v>
      </c>
      <c r="J22200" t="s">
        <v>171</v>
      </c>
      <c r="K22200" t="s">
        <v>1450</v>
      </c>
      <c r="N22200" t="s">
        <v>78875</v>
      </c>
      <c r="Q22200">
        <v>0</v>
      </c>
      <c r="R22200">
        <v>100</v>
      </c>
      <c r="S22200">
        <v>0</v>
      </c>
      <c r="T22200" t="s">
        <v>78876</v>
      </c>
    </row>
    <row r="22201" spans="1:25" x14ac:dyDescent="0.25">
      <c r="A22201" s="5" t="s">
        <v>24</v>
      </c>
      <c r="B22201" s="5" t="s">
        <v>2836</v>
      </c>
      <c r="C22201" s="5" t="str">
        <f>"A0075585"</f>
        <v>A0075585</v>
      </c>
      <c r="D22201" s="5" t="s">
        <v>78877</v>
      </c>
      <c r="E22201" s="5" t="s">
        <v>78878</v>
      </c>
      <c r="F22201" s="5" t="s">
        <v>972</v>
      </c>
      <c r="G22201" s="5" t="s">
        <v>190</v>
      </c>
      <c r="H22201" s="5">
        <v>80202</v>
      </c>
      <c r="I22201" s="5" t="s">
        <v>30</v>
      </c>
      <c r="J22201" s="5" t="s">
        <v>171</v>
      </c>
      <c r="K22201" s="5" t="s">
        <v>1450</v>
      </c>
      <c r="L22201" s="5"/>
      <c r="M22201" s="5"/>
      <c r="N22201" s="5" t="s">
        <v>78879</v>
      </c>
      <c r="O22201" s="5" t="s">
        <v>78880</v>
      </c>
      <c r="P22201" s="5"/>
      <c r="Q22201" s="5">
        <v>0</v>
      </c>
      <c r="R22201" s="5">
        <v>229</v>
      </c>
      <c r="S22201" s="5">
        <v>0</v>
      </c>
      <c r="T22201" s="5" t="s">
        <v>78881</v>
      </c>
      <c r="U22201" s="5"/>
      <c r="V22201" s="5"/>
      <c r="W22201" s="5"/>
      <c r="X22201" s="5"/>
      <c r="Y22201" s="5"/>
    </row>
    <row r="22202" spans="1:25" hidden="1" x14ac:dyDescent="0.25">
      <c r="A22202" s="3" t="s">
        <v>24</v>
      </c>
      <c r="B22202" s="3" t="s">
        <v>66103</v>
      </c>
      <c r="C22202" s="3" t="str">
        <f>"15254"</f>
        <v>15254</v>
      </c>
      <c r="D22202" s="3" t="s">
        <v>84225</v>
      </c>
      <c r="E22202" s="3" t="s">
        <v>84226</v>
      </c>
      <c r="F22202" s="3" t="s">
        <v>57534</v>
      </c>
      <c r="G22202" s="3" t="s">
        <v>1457</v>
      </c>
      <c r="H22202" s="3" t="s">
        <v>84227</v>
      </c>
      <c r="I22202" s="3" t="s">
        <v>1459</v>
      </c>
      <c r="J22202" s="3" t="s">
        <v>206</v>
      </c>
      <c r="K22202" s="3" t="s">
        <v>32744</v>
      </c>
      <c r="N22202" s="3" t="s">
        <v>84228</v>
      </c>
      <c r="O22202" s="3" t="s">
        <v>84229</v>
      </c>
      <c r="P22202" s="3" t="s">
        <v>3998</v>
      </c>
      <c r="Q22202" s="3">
        <v>1</v>
      </c>
      <c r="R22202" s="3">
        <v>770</v>
      </c>
      <c r="S22202" s="3">
        <v>0</v>
      </c>
      <c r="T22202" s="3" t="s">
        <v>84230</v>
      </c>
    </row>
    <row r="22203" spans="1:25" hidden="1" x14ac:dyDescent="0.25">
      <c r="A22203" s="3" t="s">
        <v>24</v>
      </c>
      <c r="B22203" s="3" t="s">
        <v>66103</v>
      </c>
      <c r="C22203" s="3" t="str">
        <f>"AC109251"</f>
        <v>AC109251</v>
      </c>
      <c r="D22203" s="3" t="s">
        <v>84231</v>
      </c>
      <c r="E22203" s="3" t="s">
        <v>84232</v>
      </c>
      <c r="F22203" s="3" t="s">
        <v>84233</v>
      </c>
      <c r="G22203" s="3" t="s">
        <v>1457</v>
      </c>
      <c r="H22203" s="3" t="s">
        <v>84234</v>
      </c>
      <c r="I22203" s="3" t="s">
        <v>1459</v>
      </c>
      <c r="J22203" s="3" t="s">
        <v>206</v>
      </c>
      <c r="K22203" s="3" t="s">
        <v>32744</v>
      </c>
      <c r="N22203" s="3" t="s">
        <v>84235</v>
      </c>
      <c r="Q22203" s="3">
        <v>0</v>
      </c>
      <c r="R22203" s="3">
        <v>539</v>
      </c>
      <c r="S22203" s="3">
        <v>0</v>
      </c>
      <c r="T22203" s="3" t="s">
        <v>84236</v>
      </c>
    </row>
    <row r="22204" spans="1:25" hidden="1" x14ac:dyDescent="0.25">
      <c r="A22204" s="3" t="s">
        <v>24</v>
      </c>
      <c r="B22204" s="3" t="s">
        <v>66103</v>
      </c>
      <c r="C22204" s="3" t="str">
        <f>"15259"</f>
        <v>15259</v>
      </c>
      <c r="D22204" s="3" t="s">
        <v>84237</v>
      </c>
      <c r="E22204" s="3" t="s">
        <v>84238</v>
      </c>
      <c r="F22204" s="3" t="s">
        <v>62894</v>
      </c>
      <c r="G22204" s="3" t="s">
        <v>2270</v>
      </c>
      <c r="H22204" s="3" t="s">
        <v>62895</v>
      </c>
      <c r="I22204" s="3" t="s">
        <v>1459</v>
      </c>
      <c r="J22204" s="3" t="s">
        <v>206</v>
      </c>
      <c r="K22204" s="3" t="s">
        <v>32744</v>
      </c>
      <c r="N22204" s="3" t="s">
        <v>84239</v>
      </c>
      <c r="O22204" s="3" t="s">
        <v>66146</v>
      </c>
      <c r="P22204" s="3" t="s">
        <v>3998</v>
      </c>
      <c r="Q22204" s="3">
        <v>1</v>
      </c>
      <c r="R22204" s="3">
        <v>539</v>
      </c>
      <c r="S22204" s="3">
        <v>0</v>
      </c>
      <c r="T22204" s="3" t="s">
        <v>84240</v>
      </c>
    </row>
    <row r="22205" spans="1:25" x14ac:dyDescent="0.25">
      <c r="A22205" s="5" t="s">
        <v>24</v>
      </c>
      <c r="B22205" s="5" t="s">
        <v>4410</v>
      </c>
      <c r="C22205" s="5" t="str">
        <f>"56996"</f>
        <v>56996</v>
      </c>
      <c r="D22205" s="5" t="s">
        <v>78882</v>
      </c>
      <c r="E22205" s="5" t="s">
        <v>78883</v>
      </c>
      <c r="F22205" s="5" t="s">
        <v>15239</v>
      </c>
      <c r="G22205" s="5" t="s">
        <v>190</v>
      </c>
      <c r="H22205" s="5">
        <v>80227</v>
      </c>
      <c r="I22205" s="5" t="s">
        <v>30</v>
      </c>
      <c r="J22205" s="5" t="s">
        <v>171</v>
      </c>
      <c r="K22205" s="5" t="s">
        <v>1450</v>
      </c>
      <c r="L22205" s="5"/>
      <c r="M22205" s="5"/>
      <c r="N22205" s="5" t="s">
        <v>60277</v>
      </c>
      <c r="O22205" s="5"/>
      <c r="P22205" s="5"/>
      <c r="Q22205" s="5">
        <v>0</v>
      </c>
      <c r="R22205" s="5">
        <v>102</v>
      </c>
      <c r="S22205" s="5">
        <v>0</v>
      </c>
      <c r="T22205" s="5" t="s">
        <v>78884</v>
      </c>
      <c r="U22205" s="5"/>
      <c r="V22205" s="5"/>
      <c r="W22205" s="5"/>
      <c r="X22205" s="5"/>
      <c r="Y22205" s="5"/>
    </row>
    <row r="22206" spans="1:25" x14ac:dyDescent="0.25">
      <c r="A22206" s="5" t="s">
        <v>24</v>
      </c>
      <c r="B22206" s="5" t="s">
        <v>57614</v>
      </c>
      <c r="C22206" s="5" t="str">
        <f>"A0099267"</f>
        <v>A0099267</v>
      </c>
      <c r="D22206" s="5" t="s">
        <v>78885</v>
      </c>
      <c r="E22206" s="5" t="s">
        <v>78886</v>
      </c>
      <c r="F22206" s="5" t="s">
        <v>60281</v>
      </c>
      <c r="G22206" s="5" t="s">
        <v>190</v>
      </c>
      <c r="H22206" s="5">
        <v>80129</v>
      </c>
      <c r="I22206" s="5" t="s">
        <v>30</v>
      </c>
      <c r="J22206" s="5" t="s">
        <v>171</v>
      </c>
      <c r="K22206" s="5" t="s">
        <v>1450</v>
      </c>
      <c r="L22206" s="5"/>
      <c r="M22206" s="5"/>
      <c r="N22206" s="5" t="s">
        <v>60282</v>
      </c>
      <c r="O22206" s="5"/>
      <c r="P22206" s="5"/>
      <c r="Q22206" s="5">
        <v>0</v>
      </c>
      <c r="R22206" s="5">
        <v>116</v>
      </c>
      <c r="S22206" s="5">
        <v>0</v>
      </c>
      <c r="T22206" s="5" t="s">
        <v>78887</v>
      </c>
      <c r="U22206" s="5"/>
      <c r="V22206" s="5"/>
      <c r="W22206" s="5"/>
      <c r="X22206" s="5"/>
      <c r="Y22206" s="5"/>
    </row>
    <row r="22207" spans="1:25" hidden="1" x14ac:dyDescent="0.25">
      <c r="A22207" s="3" t="s">
        <v>24</v>
      </c>
      <c r="B22207" s="3" t="s">
        <v>66103</v>
      </c>
      <c r="C22207" s="3" t="str">
        <f>"15260"</f>
        <v>15260</v>
      </c>
      <c r="D22207" s="3" t="s">
        <v>84251</v>
      </c>
      <c r="E22207" s="3" t="s">
        <v>84252</v>
      </c>
      <c r="F22207" s="3" t="s">
        <v>72254</v>
      </c>
      <c r="G22207" s="3" t="s">
        <v>2270</v>
      </c>
      <c r="H22207" s="3" t="s">
        <v>84253</v>
      </c>
      <c r="I22207" s="3" t="s">
        <v>1459</v>
      </c>
      <c r="J22207" s="3" t="s">
        <v>206</v>
      </c>
      <c r="K22207" s="3" t="s">
        <v>32744</v>
      </c>
      <c r="N22207" s="3" t="s">
        <v>84254</v>
      </c>
      <c r="O22207" s="3" t="s">
        <v>84255</v>
      </c>
      <c r="Q22207" s="3">
        <v>0</v>
      </c>
      <c r="R22207" s="3">
        <v>464</v>
      </c>
      <c r="S22207" s="3">
        <v>0</v>
      </c>
      <c r="T22207" s="3" t="s">
        <v>84256</v>
      </c>
    </row>
    <row r="22208" spans="1:25" hidden="1" x14ac:dyDescent="0.25">
      <c r="A22208" s="3" t="s">
        <v>24</v>
      </c>
      <c r="B22208" s="3" t="s">
        <v>13304</v>
      </c>
      <c r="C22208" s="3" t="str">
        <f>"15263"</f>
        <v>15263</v>
      </c>
      <c r="D22208" s="3" t="s">
        <v>84257</v>
      </c>
      <c r="E22208" s="3" t="s">
        <v>84258</v>
      </c>
      <c r="F22208" s="3" t="s">
        <v>58585</v>
      </c>
      <c r="G22208" s="3" t="s">
        <v>14186</v>
      </c>
      <c r="I22208" s="3" t="s">
        <v>14187</v>
      </c>
      <c r="J22208" s="3" t="s">
        <v>206</v>
      </c>
      <c r="K22208" s="3" t="s">
        <v>32744</v>
      </c>
      <c r="N22208" s="3" t="s">
        <v>84259</v>
      </c>
      <c r="O22208" s="3" t="s">
        <v>84260</v>
      </c>
      <c r="Q22208" s="3">
        <v>0</v>
      </c>
      <c r="R22208" s="3">
        <v>410</v>
      </c>
      <c r="S22208" s="3">
        <v>0</v>
      </c>
      <c r="T22208" s="3" t="s">
        <v>84261</v>
      </c>
    </row>
    <row r="22209" spans="1:25" hidden="1" x14ac:dyDescent="0.25">
      <c r="A22209" s="3" t="s">
        <v>24</v>
      </c>
      <c r="B22209" s="3" t="s">
        <v>66103</v>
      </c>
      <c r="C22209" s="3" t="str">
        <f>"15274"</f>
        <v>15274</v>
      </c>
      <c r="D22209" s="3" t="s">
        <v>84262</v>
      </c>
      <c r="E22209" s="3" t="s">
        <v>84263</v>
      </c>
      <c r="F22209" s="3" t="s">
        <v>2269</v>
      </c>
      <c r="G22209" s="3" t="s">
        <v>2270</v>
      </c>
      <c r="H22209" s="3" t="s">
        <v>84264</v>
      </c>
      <c r="I22209" s="3" t="s">
        <v>1459</v>
      </c>
      <c r="J22209" s="3" t="s">
        <v>206</v>
      </c>
      <c r="K22209" s="3" t="s">
        <v>32744</v>
      </c>
      <c r="N22209" s="3" t="s">
        <v>84265</v>
      </c>
      <c r="O22209" s="3" t="s">
        <v>13794</v>
      </c>
      <c r="Q22209" s="3">
        <v>0</v>
      </c>
      <c r="R22209" s="3">
        <v>556</v>
      </c>
      <c r="S22209" s="3">
        <v>0</v>
      </c>
      <c r="T22209" s="3" t="s">
        <v>84266</v>
      </c>
    </row>
    <row r="22210" spans="1:25" hidden="1" x14ac:dyDescent="0.25">
      <c r="A22210" s="3" t="s">
        <v>24</v>
      </c>
      <c r="B22210" s="3" t="s">
        <v>66103</v>
      </c>
      <c r="C22210" s="3" t="str">
        <f>"12008"</f>
        <v>12008</v>
      </c>
      <c r="D22210" s="3" t="s">
        <v>84267</v>
      </c>
      <c r="E22210" s="3" t="s">
        <v>84268</v>
      </c>
      <c r="F22210" s="3" t="s">
        <v>84269</v>
      </c>
      <c r="G22210" s="3" t="s">
        <v>1457</v>
      </c>
      <c r="H22210" s="3" t="s">
        <v>84270</v>
      </c>
      <c r="I22210" s="3" t="s">
        <v>1459</v>
      </c>
      <c r="J22210" s="3" t="s">
        <v>206</v>
      </c>
      <c r="K22210" s="3" t="s">
        <v>32744</v>
      </c>
      <c r="N22210" s="3" t="s">
        <v>84271</v>
      </c>
      <c r="O22210" s="3" t="s">
        <v>84272</v>
      </c>
      <c r="P22210" s="3" t="s">
        <v>3998</v>
      </c>
      <c r="Q22210" s="3">
        <v>1</v>
      </c>
      <c r="R22210" s="3">
        <v>446</v>
      </c>
      <c r="S22210" s="3">
        <v>0</v>
      </c>
      <c r="T22210" s="3" t="s">
        <v>84273</v>
      </c>
    </row>
    <row r="22211" spans="1:25" x14ac:dyDescent="0.25">
      <c r="A22211" s="5" t="s">
        <v>24</v>
      </c>
      <c r="B22211" s="5" t="s">
        <v>1138</v>
      </c>
      <c r="C22211" s="5" t="str">
        <f>"A0097912"</f>
        <v>A0097912</v>
      </c>
      <c r="D22211" s="5" t="s">
        <v>78888</v>
      </c>
      <c r="E22211" s="5" t="s">
        <v>78889</v>
      </c>
      <c r="F22211" s="5" t="s">
        <v>972</v>
      </c>
      <c r="G22211" s="5" t="s">
        <v>190</v>
      </c>
      <c r="H22211" s="5">
        <v>80238</v>
      </c>
      <c r="I22211" s="5" t="s">
        <v>30</v>
      </c>
      <c r="J22211" s="5" t="s">
        <v>171</v>
      </c>
      <c r="K22211" s="5" t="s">
        <v>1450</v>
      </c>
      <c r="L22211" s="5"/>
      <c r="M22211" s="5"/>
      <c r="N22211" s="5" t="s">
        <v>75310</v>
      </c>
      <c r="O22211" s="5"/>
      <c r="P22211" s="5"/>
      <c r="Q22211" s="5">
        <v>0</v>
      </c>
      <c r="R22211" s="5">
        <v>108</v>
      </c>
      <c r="S22211" s="5">
        <v>0</v>
      </c>
      <c r="T22211" s="5" t="s">
        <v>78890</v>
      </c>
      <c r="U22211" s="5"/>
      <c r="V22211" s="5"/>
      <c r="W22211" s="5"/>
      <c r="X22211" s="5"/>
      <c r="Y22211" s="5"/>
    </row>
    <row r="22212" spans="1:25" hidden="1" x14ac:dyDescent="0.25">
      <c r="A22212" s="3" t="s">
        <v>24</v>
      </c>
      <c r="B22212" s="3" t="s">
        <v>66103</v>
      </c>
      <c r="C22212" s="3" t="str">
        <f>"15265"</f>
        <v>15265</v>
      </c>
      <c r="D22212" s="3" t="s">
        <v>84278</v>
      </c>
      <c r="E22212" s="3" t="s">
        <v>84279</v>
      </c>
      <c r="F22212" s="3" t="s">
        <v>59059</v>
      </c>
      <c r="G22212" s="3" t="s">
        <v>1457</v>
      </c>
      <c r="H22212" s="3" t="s">
        <v>84280</v>
      </c>
      <c r="I22212" s="3" t="s">
        <v>1459</v>
      </c>
      <c r="J22212" s="3" t="s">
        <v>206</v>
      </c>
      <c r="K22212" s="3" t="s">
        <v>32744</v>
      </c>
      <c r="N22212" s="3" t="s">
        <v>84281</v>
      </c>
      <c r="Q22212" s="3">
        <v>0</v>
      </c>
      <c r="R22212" s="3">
        <v>198</v>
      </c>
      <c r="S22212" s="3">
        <v>0</v>
      </c>
      <c r="T22212" s="3" t="s">
        <v>84282</v>
      </c>
    </row>
    <row r="22213" spans="1:25" hidden="1" x14ac:dyDescent="0.25">
      <c r="A22213" s="3" t="s">
        <v>24</v>
      </c>
      <c r="B22213" s="3" t="s">
        <v>13304</v>
      </c>
      <c r="C22213" s="3" t="str">
        <f>"A0073798"</f>
        <v>A0073798</v>
      </c>
      <c r="D22213" s="3" t="s">
        <v>84283</v>
      </c>
      <c r="E22213" s="3" t="s">
        <v>84284</v>
      </c>
      <c r="F22213" s="3" t="s">
        <v>56035</v>
      </c>
      <c r="G22213" s="3" t="s">
        <v>5424</v>
      </c>
      <c r="H22213" s="3">
        <v>77710</v>
      </c>
      <c r="I22213" s="3" t="s">
        <v>2408</v>
      </c>
      <c r="J22213" s="3" t="s">
        <v>206</v>
      </c>
      <c r="K22213" s="3" t="s">
        <v>32744</v>
      </c>
      <c r="N22213" s="3" t="s">
        <v>84285</v>
      </c>
      <c r="O22213" s="3" t="s">
        <v>84286</v>
      </c>
      <c r="P22213" s="3" t="s">
        <v>3998</v>
      </c>
      <c r="Q22213" s="3">
        <v>1</v>
      </c>
      <c r="R22213" s="3">
        <v>401</v>
      </c>
      <c r="S22213" s="3">
        <v>0</v>
      </c>
      <c r="T22213" s="3" t="s">
        <v>84287</v>
      </c>
    </row>
    <row r="22214" spans="1:25" x14ac:dyDescent="0.25">
      <c r="A22214" s="5" t="s">
        <v>24</v>
      </c>
      <c r="B22214" s="5" t="s">
        <v>78891</v>
      </c>
      <c r="C22214" s="5" t="str">
        <f>"56609"</f>
        <v>56609</v>
      </c>
      <c r="D22214" s="5" t="s">
        <v>78892</v>
      </c>
      <c r="E22214" s="5" t="s">
        <v>78893</v>
      </c>
      <c r="F22214" s="5" t="s">
        <v>12619</v>
      </c>
      <c r="G22214" s="5" t="s">
        <v>190</v>
      </c>
      <c r="H22214" s="5">
        <v>80401</v>
      </c>
      <c r="I22214" s="5" t="s">
        <v>30</v>
      </c>
      <c r="J22214" s="5" t="s">
        <v>171</v>
      </c>
      <c r="K22214" s="5" t="s">
        <v>1450</v>
      </c>
      <c r="L22214" s="5"/>
      <c r="M22214" s="5"/>
      <c r="N22214" s="5" t="s">
        <v>60292</v>
      </c>
      <c r="O22214" s="5"/>
      <c r="P22214" s="5"/>
      <c r="Q22214" s="5">
        <v>0</v>
      </c>
      <c r="R22214" s="5">
        <v>88</v>
      </c>
      <c r="S22214" s="5">
        <v>0</v>
      </c>
      <c r="T22214" s="5" t="s">
        <v>78894</v>
      </c>
      <c r="U22214" s="5"/>
      <c r="V22214" s="5"/>
      <c r="W22214" s="5"/>
      <c r="X22214" s="5"/>
      <c r="Y22214" s="5"/>
    </row>
    <row r="22215" spans="1:25" x14ac:dyDescent="0.25">
      <c r="A22215" s="5" t="s">
        <v>24</v>
      </c>
      <c r="B22215" s="5" t="s">
        <v>4990</v>
      </c>
      <c r="C22215" s="5" t="str">
        <f>"A0091998"</f>
        <v>A0091998</v>
      </c>
      <c r="D22215" s="5" t="s">
        <v>78895</v>
      </c>
      <c r="E22215" s="5" t="s">
        <v>78896</v>
      </c>
      <c r="F22215" s="5" t="s">
        <v>55163</v>
      </c>
      <c r="G22215" s="5" t="s">
        <v>1898</v>
      </c>
      <c r="H22215" s="5">
        <v>50309</v>
      </c>
      <c r="I22215" s="5" t="s">
        <v>30</v>
      </c>
      <c r="J22215" s="5" t="s">
        <v>171</v>
      </c>
      <c r="K22215" s="5" t="s">
        <v>1450</v>
      </c>
      <c r="L22215" s="5"/>
      <c r="M22215" s="5"/>
      <c r="N22215" s="5" t="s">
        <v>67384</v>
      </c>
      <c r="O22215" s="5" t="s">
        <v>78897</v>
      </c>
      <c r="P22215" s="5"/>
      <c r="Q22215" s="5">
        <v>0</v>
      </c>
      <c r="R22215" s="5">
        <v>127</v>
      </c>
      <c r="S22215" s="5">
        <v>0</v>
      </c>
      <c r="T22215" s="5" t="s">
        <v>78898</v>
      </c>
      <c r="U22215" s="5"/>
      <c r="V22215" s="5"/>
      <c r="W22215" s="5"/>
      <c r="X22215" s="5"/>
      <c r="Y22215" s="5"/>
    </row>
    <row r="22216" spans="1:25" x14ac:dyDescent="0.25">
      <c r="A22216" s="5" t="s">
        <v>24</v>
      </c>
      <c r="B22216" s="5" t="s">
        <v>60077</v>
      </c>
      <c r="C22216" s="5" t="str">
        <f>"56968"</f>
        <v>56968</v>
      </c>
      <c r="D22216" s="5" t="s">
        <v>78899</v>
      </c>
      <c r="E22216" s="5" t="s">
        <v>78900</v>
      </c>
      <c r="F22216" s="5" t="s">
        <v>60327</v>
      </c>
      <c r="G22216" s="5" t="s">
        <v>117</v>
      </c>
      <c r="H22216" s="5">
        <v>48341</v>
      </c>
      <c r="I22216" s="5" t="s">
        <v>30</v>
      </c>
      <c r="J22216" s="5" t="s">
        <v>171</v>
      </c>
      <c r="K22216" s="5" t="s">
        <v>1450</v>
      </c>
      <c r="L22216" s="5"/>
      <c r="M22216" s="5"/>
      <c r="N22216" s="5" t="s">
        <v>60328</v>
      </c>
      <c r="O22216" s="5"/>
      <c r="P22216" s="5"/>
      <c r="Q22216" s="5">
        <v>0</v>
      </c>
      <c r="R22216" s="5">
        <v>114</v>
      </c>
      <c r="S22216" s="5">
        <v>0</v>
      </c>
      <c r="T22216" s="5" t="s">
        <v>78901</v>
      </c>
      <c r="U22216" s="5"/>
      <c r="V22216" s="5"/>
      <c r="W22216" s="5"/>
      <c r="X22216" s="5"/>
      <c r="Y22216" s="5"/>
    </row>
    <row r="22217" spans="1:25" hidden="1" x14ac:dyDescent="0.25">
      <c r="A22217" s="3" t="s">
        <v>24</v>
      </c>
      <c r="B22217" s="3" t="s">
        <v>66103</v>
      </c>
      <c r="C22217" s="3" t="str">
        <f>"15268"</f>
        <v>15268</v>
      </c>
      <c r="D22217" s="3" t="s">
        <v>84304</v>
      </c>
      <c r="E22217" s="3" t="s">
        <v>84305</v>
      </c>
      <c r="F22217" s="3" t="s">
        <v>8456</v>
      </c>
      <c r="G22217" s="3" t="s">
        <v>1457</v>
      </c>
      <c r="H22217" s="3" t="s">
        <v>84306</v>
      </c>
      <c r="I22217" s="3" t="s">
        <v>1459</v>
      </c>
      <c r="J22217" s="3" t="s">
        <v>206</v>
      </c>
      <c r="K22217" s="3" t="s">
        <v>32744</v>
      </c>
      <c r="N22217" s="3" t="s">
        <v>84307</v>
      </c>
      <c r="O22217" s="3" t="s">
        <v>84308</v>
      </c>
      <c r="Q22217" s="3">
        <v>0</v>
      </c>
      <c r="R22217" s="3">
        <v>405</v>
      </c>
      <c r="S22217" s="3">
        <v>0</v>
      </c>
      <c r="T22217" s="3" t="s">
        <v>84309</v>
      </c>
    </row>
    <row r="22218" spans="1:25" hidden="1" x14ac:dyDescent="0.25">
      <c r="A22218" s="3" t="s">
        <v>24</v>
      </c>
      <c r="B22218" s="3" t="s">
        <v>13304</v>
      </c>
      <c r="C22218" s="3" t="str">
        <f>"15261"</f>
        <v>15261</v>
      </c>
      <c r="D22218" s="3" t="s">
        <v>84310</v>
      </c>
      <c r="E22218" s="3" t="s">
        <v>84311</v>
      </c>
      <c r="F22218" s="3" t="s">
        <v>84312</v>
      </c>
      <c r="G22218" s="3" t="s">
        <v>58485</v>
      </c>
      <c r="I22218" s="3" t="s">
        <v>58486</v>
      </c>
      <c r="J22218" s="3" t="s">
        <v>206</v>
      </c>
      <c r="K22218" s="3" t="s">
        <v>32744</v>
      </c>
      <c r="N22218" s="3" t="s">
        <v>84313</v>
      </c>
      <c r="O22218" s="3" t="s">
        <v>84314</v>
      </c>
      <c r="Q22218" s="3">
        <v>0</v>
      </c>
      <c r="R22218" s="3">
        <v>74</v>
      </c>
      <c r="S22218" s="3">
        <v>0</v>
      </c>
      <c r="T22218" s="3" t="s">
        <v>84315</v>
      </c>
    </row>
    <row r="22219" spans="1:25" hidden="1" x14ac:dyDescent="0.25">
      <c r="A22219" s="3" t="s">
        <v>24</v>
      </c>
      <c r="B22219" s="3" t="s">
        <v>66103</v>
      </c>
      <c r="C22219" s="3" t="str">
        <f>"15271"</f>
        <v>15271</v>
      </c>
      <c r="D22219" s="3" t="s">
        <v>84316</v>
      </c>
      <c r="E22219" s="3" t="s">
        <v>84317</v>
      </c>
      <c r="F22219" s="3" t="s">
        <v>13197</v>
      </c>
      <c r="G22219" s="3" t="s">
        <v>2206</v>
      </c>
      <c r="H22219" s="3" t="s">
        <v>84318</v>
      </c>
      <c r="I22219" s="3" t="s">
        <v>1459</v>
      </c>
      <c r="J22219" s="3" t="s">
        <v>206</v>
      </c>
      <c r="K22219" s="3" t="s">
        <v>32744</v>
      </c>
      <c r="N22219" s="3" t="s">
        <v>84319</v>
      </c>
      <c r="Q22219" s="3">
        <v>0</v>
      </c>
      <c r="R22219" s="3">
        <v>1365</v>
      </c>
      <c r="S22219" s="3">
        <v>0</v>
      </c>
      <c r="T22219" s="3" t="s">
        <v>84320</v>
      </c>
    </row>
    <row r="22220" spans="1:25" x14ac:dyDescent="0.25">
      <c r="A22220" s="5" t="s">
        <v>24</v>
      </c>
      <c r="B22220" s="5" t="s">
        <v>1323</v>
      </c>
      <c r="C22220" s="5" t="str">
        <f>"A0085554"</f>
        <v>A0085554</v>
      </c>
      <c r="D22220" s="5" t="s">
        <v>78902</v>
      </c>
      <c r="E22220" s="5" t="s">
        <v>78903</v>
      </c>
      <c r="F22220" s="5" t="s">
        <v>3593</v>
      </c>
      <c r="G22220" s="5" t="s">
        <v>1706</v>
      </c>
      <c r="H22220" s="5">
        <v>36303</v>
      </c>
      <c r="I22220" s="5" t="s">
        <v>30</v>
      </c>
      <c r="J22220" s="5" t="s">
        <v>171</v>
      </c>
      <c r="K22220" s="5" t="s">
        <v>1450</v>
      </c>
      <c r="L22220" s="5"/>
      <c r="M22220" s="5"/>
      <c r="N22220" s="5" t="s">
        <v>78904</v>
      </c>
      <c r="O22220" s="5"/>
      <c r="P22220" s="5"/>
      <c r="Q22220" s="5">
        <v>0</v>
      </c>
      <c r="R22220" s="5">
        <v>84</v>
      </c>
      <c r="S22220" s="5">
        <v>0</v>
      </c>
      <c r="T22220" s="5" t="s">
        <v>78905</v>
      </c>
      <c r="U22220" s="5"/>
      <c r="V22220" s="5"/>
      <c r="W22220" s="5"/>
      <c r="X22220" s="5"/>
      <c r="Y22220" s="5"/>
    </row>
    <row r="22221" spans="1:25" hidden="1" x14ac:dyDescent="0.25">
      <c r="A22221" s="3" t="s">
        <v>24</v>
      </c>
      <c r="B22221" s="3" t="s">
        <v>66103</v>
      </c>
      <c r="C22221" s="3" t="str">
        <f>"15273"</f>
        <v>15273</v>
      </c>
      <c r="D22221" s="3" t="s">
        <v>84326</v>
      </c>
      <c r="E22221" s="3" t="s">
        <v>84327</v>
      </c>
      <c r="F22221" s="3" t="s">
        <v>5620</v>
      </c>
      <c r="G22221" s="3" t="s">
        <v>2270</v>
      </c>
      <c r="H22221" s="3" t="s">
        <v>84328</v>
      </c>
      <c r="I22221" s="3" t="s">
        <v>1459</v>
      </c>
      <c r="J22221" s="3" t="s">
        <v>206</v>
      </c>
      <c r="K22221" s="3" t="s">
        <v>32744</v>
      </c>
      <c r="N22221" s="3" t="s">
        <v>84329</v>
      </c>
      <c r="O22221" s="3" t="s">
        <v>66146</v>
      </c>
      <c r="Q22221" s="3">
        <v>0</v>
      </c>
      <c r="R22221" s="3">
        <v>392</v>
      </c>
      <c r="S22221" s="3">
        <v>0</v>
      </c>
      <c r="T22221" s="3" t="s">
        <v>84330</v>
      </c>
    </row>
    <row r="22222" spans="1:25" hidden="1" x14ac:dyDescent="0.25">
      <c r="A22222" s="3" t="s">
        <v>24</v>
      </c>
      <c r="B22222" s="3" t="s">
        <v>66103</v>
      </c>
      <c r="C22222" s="3" t="str">
        <f>"15275"</f>
        <v>15275</v>
      </c>
      <c r="D22222" s="3" t="s">
        <v>84331</v>
      </c>
      <c r="E22222" s="3" t="s">
        <v>84332</v>
      </c>
      <c r="F22222" s="3" t="s">
        <v>2269</v>
      </c>
      <c r="G22222" s="3" t="s">
        <v>2270</v>
      </c>
      <c r="H22222" s="3" t="s">
        <v>84333</v>
      </c>
      <c r="I22222" s="3" t="s">
        <v>1459</v>
      </c>
      <c r="J22222" s="3" t="s">
        <v>206</v>
      </c>
      <c r="K22222" s="3" t="s">
        <v>32744</v>
      </c>
      <c r="N22222" s="3" t="s">
        <v>66146</v>
      </c>
      <c r="O22222" s="3" t="s">
        <v>84334</v>
      </c>
      <c r="Q22222" s="3">
        <v>0</v>
      </c>
      <c r="R22222" s="3">
        <v>489</v>
      </c>
      <c r="S22222" s="3">
        <v>0</v>
      </c>
      <c r="T22222" s="3" t="s">
        <v>84335</v>
      </c>
    </row>
    <row r="22223" spans="1:25" hidden="1" x14ac:dyDescent="0.25">
      <c r="A22223" s="3" t="s">
        <v>24</v>
      </c>
      <c r="B22223" s="3" t="s">
        <v>66103</v>
      </c>
      <c r="C22223" s="3" t="str">
        <f>"15276"</f>
        <v>15276</v>
      </c>
      <c r="D22223" s="3" t="s">
        <v>84336</v>
      </c>
      <c r="E22223" s="3" t="s">
        <v>84337</v>
      </c>
      <c r="F22223" s="3" t="s">
        <v>58787</v>
      </c>
      <c r="G22223" s="3" t="s">
        <v>58788</v>
      </c>
      <c r="H22223" s="3" t="s">
        <v>84338</v>
      </c>
      <c r="I22223" s="3" t="s">
        <v>1459</v>
      </c>
      <c r="J22223" s="3" t="s">
        <v>206</v>
      </c>
      <c r="K22223" s="3" t="s">
        <v>32744</v>
      </c>
      <c r="N22223" s="3" t="s">
        <v>84339</v>
      </c>
      <c r="O22223" s="3" t="s">
        <v>84340</v>
      </c>
      <c r="Q22223" s="3">
        <v>0</v>
      </c>
      <c r="R22223" s="3">
        <v>340</v>
      </c>
      <c r="S22223" s="3">
        <v>0</v>
      </c>
      <c r="T22223" s="3" t="s">
        <v>84341</v>
      </c>
    </row>
    <row r="22224" spans="1:25" customFormat="1" ht="15" x14ac:dyDescent="0.25">
      <c r="A22224" t="s">
        <v>24</v>
      </c>
      <c r="B22224" t="s">
        <v>84342</v>
      </c>
      <c r="C22224" t="str">
        <f>"A0050467"</f>
        <v>A0050467</v>
      </c>
      <c r="D22224" t="s">
        <v>84343</v>
      </c>
      <c r="E22224" t="s">
        <v>84344</v>
      </c>
      <c r="F22224" t="s">
        <v>76466</v>
      </c>
      <c r="G22224" t="s">
        <v>110</v>
      </c>
      <c r="H22224">
        <v>92067</v>
      </c>
      <c r="I22224" t="s">
        <v>30</v>
      </c>
      <c r="J22224" t="s">
        <v>178</v>
      </c>
      <c r="K22224" t="s">
        <v>179</v>
      </c>
      <c r="N22224" t="s">
        <v>84345</v>
      </c>
      <c r="O22224" t="s">
        <v>84346</v>
      </c>
      <c r="Q22224">
        <v>0</v>
      </c>
      <c r="R22224">
        <v>18</v>
      </c>
      <c r="S22224">
        <v>0</v>
      </c>
      <c r="T22224" t="s">
        <v>84347</v>
      </c>
    </row>
    <row r="22225" spans="1:25" customFormat="1" ht="15" x14ac:dyDescent="0.25">
      <c r="A22225" t="s">
        <v>24</v>
      </c>
      <c r="B22225" t="s">
        <v>1528</v>
      </c>
      <c r="C22225" t="str">
        <f>"A0057430"</f>
        <v>A0057430</v>
      </c>
      <c r="D22225" t="s">
        <v>84348</v>
      </c>
      <c r="E22225" t="s">
        <v>84349</v>
      </c>
      <c r="F22225" t="s">
        <v>74318</v>
      </c>
      <c r="G22225" t="s">
        <v>76</v>
      </c>
      <c r="H22225">
        <v>99362</v>
      </c>
      <c r="I22225" t="s">
        <v>30</v>
      </c>
      <c r="J22225" t="s">
        <v>31</v>
      </c>
      <c r="K22225" t="s">
        <v>163</v>
      </c>
      <c r="N22225" t="s">
        <v>33844</v>
      </c>
      <c r="O22225" t="s">
        <v>84350</v>
      </c>
      <c r="Q22225">
        <v>0</v>
      </c>
      <c r="R22225">
        <v>80</v>
      </c>
      <c r="S22225">
        <v>0</v>
      </c>
      <c r="T22225" t="s">
        <v>84351</v>
      </c>
    </row>
    <row r="22226" spans="1:25" customFormat="1" ht="15" x14ac:dyDescent="0.25">
      <c r="A22226" t="s">
        <v>24</v>
      </c>
      <c r="B22226" t="s">
        <v>342</v>
      </c>
      <c r="C22226" t="str">
        <f>"A0092181"</f>
        <v>A0092181</v>
      </c>
      <c r="D22226" t="s">
        <v>78906</v>
      </c>
      <c r="E22226" t="s">
        <v>78907</v>
      </c>
      <c r="F22226" t="s">
        <v>4334</v>
      </c>
      <c r="G22226" t="s">
        <v>85</v>
      </c>
      <c r="H22226">
        <v>72201</v>
      </c>
      <c r="I22226" t="s">
        <v>30</v>
      </c>
      <c r="J22226" t="s">
        <v>171</v>
      </c>
      <c r="K22226" t="s">
        <v>1450</v>
      </c>
      <c r="N22226" t="s">
        <v>78908</v>
      </c>
      <c r="Q22226">
        <v>0</v>
      </c>
      <c r="R22226">
        <v>120</v>
      </c>
      <c r="S22226">
        <v>0</v>
      </c>
      <c r="T22226" t="s">
        <v>78909</v>
      </c>
    </row>
    <row r="22227" spans="1:25" customFormat="1" ht="15" x14ac:dyDescent="0.25">
      <c r="A22227" t="s">
        <v>24</v>
      </c>
      <c r="B22227" t="s">
        <v>2583</v>
      </c>
      <c r="C22227" t="str">
        <f>"A0092326"</f>
        <v>A0092326</v>
      </c>
      <c r="D22227" t="s">
        <v>78910</v>
      </c>
      <c r="E22227" t="s">
        <v>78911</v>
      </c>
      <c r="F22227" t="s">
        <v>1541</v>
      </c>
      <c r="G22227" t="s">
        <v>427</v>
      </c>
      <c r="H22227">
        <v>68102</v>
      </c>
      <c r="I22227" t="s">
        <v>30</v>
      </c>
      <c r="J22227" t="s">
        <v>171</v>
      </c>
      <c r="K22227" t="s">
        <v>1450</v>
      </c>
      <c r="N22227" t="s">
        <v>78912</v>
      </c>
      <c r="Q22227">
        <v>0</v>
      </c>
      <c r="R22227">
        <v>152</v>
      </c>
      <c r="S22227">
        <v>0</v>
      </c>
      <c r="T22227">
        <f>+(402)-342-4770</f>
        <v>-4710</v>
      </c>
    </row>
    <row r="22228" spans="1:25" customFormat="1" ht="15" x14ac:dyDescent="0.25">
      <c r="A22228" t="s">
        <v>24</v>
      </c>
      <c r="B22228" t="s">
        <v>84362</v>
      </c>
      <c r="C22228" t="str">
        <f>"A0093592"</f>
        <v>A0093592</v>
      </c>
      <c r="D22228" t="s">
        <v>84363</v>
      </c>
      <c r="E22228" t="s">
        <v>84364</v>
      </c>
      <c r="F22228" t="s">
        <v>3505</v>
      </c>
      <c r="G22228" t="s">
        <v>52</v>
      </c>
      <c r="H22228">
        <v>76102</v>
      </c>
      <c r="I22228" t="s">
        <v>30</v>
      </c>
      <c r="J22228" t="s">
        <v>2558</v>
      </c>
      <c r="K22228" t="s">
        <v>163</v>
      </c>
      <c r="N22228" t="s">
        <v>84365</v>
      </c>
      <c r="Q22228">
        <v>0</v>
      </c>
      <c r="R22228">
        <v>21</v>
      </c>
      <c r="S22228">
        <v>0</v>
      </c>
      <c r="T22228" t="s">
        <v>84366</v>
      </c>
    </row>
    <row r="22229" spans="1:25" customFormat="1" ht="15" x14ac:dyDescent="0.25">
      <c r="A22229" t="s">
        <v>24</v>
      </c>
      <c r="B22229" t="s">
        <v>10097</v>
      </c>
      <c r="C22229" t="str">
        <f>"A0096752"</f>
        <v>A0096752</v>
      </c>
      <c r="D22229" t="s">
        <v>78913</v>
      </c>
      <c r="E22229" t="s">
        <v>78914</v>
      </c>
      <c r="F22229" t="s">
        <v>10100</v>
      </c>
      <c r="G22229" t="s">
        <v>214</v>
      </c>
      <c r="H22229">
        <v>27601</v>
      </c>
      <c r="I22229" t="s">
        <v>30</v>
      </c>
      <c r="J22229" t="s">
        <v>171</v>
      </c>
      <c r="K22229" t="s">
        <v>1450</v>
      </c>
      <c r="N22229" t="s">
        <v>68900</v>
      </c>
      <c r="Q22229">
        <v>0</v>
      </c>
      <c r="R22229">
        <v>176</v>
      </c>
      <c r="S22229">
        <v>0</v>
      </c>
      <c r="T22229" t="s">
        <v>78915</v>
      </c>
    </row>
    <row r="22230" spans="1:25" customFormat="1" ht="15" x14ac:dyDescent="0.25">
      <c r="A22230" t="s">
        <v>24</v>
      </c>
      <c r="B22230" t="s">
        <v>10054</v>
      </c>
      <c r="C22230" t="str">
        <f>"56619"</f>
        <v>56619</v>
      </c>
      <c r="D22230" t="s">
        <v>78916</v>
      </c>
      <c r="E22230" t="s">
        <v>78917</v>
      </c>
      <c r="F22230" t="s">
        <v>313</v>
      </c>
      <c r="G22230" t="s">
        <v>314</v>
      </c>
      <c r="H22230">
        <v>20037</v>
      </c>
      <c r="I22230" t="s">
        <v>30</v>
      </c>
      <c r="J22230" t="s">
        <v>171</v>
      </c>
      <c r="K22230" t="s">
        <v>1450</v>
      </c>
      <c r="N22230" t="s">
        <v>78918</v>
      </c>
      <c r="Q22230">
        <v>0</v>
      </c>
      <c r="R22230">
        <v>107</v>
      </c>
      <c r="S22230">
        <v>0</v>
      </c>
      <c r="T22230" t="s">
        <v>78919</v>
      </c>
    </row>
    <row r="22231" spans="1:25" customFormat="1" ht="15" x14ac:dyDescent="0.25">
      <c r="A22231" t="s">
        <v>24</v>
      </c>
      <c r="B22231" t="s">
        <v>84378</v>
      </c>
      <c r="C22231" t="str">
        <f>"A0164252"</f>
        <v>A0164252</v>
      </c>
      <c r="D22231" t="s">
        <v>84379</v>
      </c>
      <c r="E22231" t="s">
        <v>84380</v>
      </c>
      <c r="F22231" t="s">
        <v>9812</v>
      </c>
      <c r="G22231" t="s">
        <v>103</v>
      </c>
      <c r="H22231">
        <v>19144</v>
      </c>
      <c r="I22231" t="s">
        <v>30</v>
      </c>
      <c r="J22231" t="s">
        <v>178</v>
      </c>
      <c r="K22231" t="s">
        <v>163</v>
      </c>
      <c r="N22231" t="s">
        <v>84381</v>
      </c>
      <c r="Q22231">
        <v>0</v>
      </c>
      <c r="R22231">
        <v>0</v>
      </c>
      <c r="S22231">
        <v>0</v>
      </c>
      <c r="T22231" t="s">
        <v>84382</v>
      </c>
    </row>
    <row r="22232" spans="1:25" customFormat="1" ht="15" hidden="1" x14ac:dyDescent="0.25">
      <c r="A22232" t="s">
        <v>24</v>
      </c>
      <c r="B22232" t="s">
        <v>1548</v>
      </c>
      <c r="C22232" t="str">
        <f>"A0164723"</f>
        <v>A0164723</v>
      </c>
      <c r="D22232" t="s">
        <v>84383</v>
      </c>
      <c r="E22232" t="s">
        <v>84384</v>
      </c>
      <c r="F22232" t="s">
        <v>13197</v>
      </c>
      <c r="G22232" t="s">
        <v>2206</v>
      </c>
      <c r="H22232" t="s">
        <v>84385</v>
      </c>
      <c r="I22232" t="s">
        <v>1459</v>
      </c>
      <c r="J22232" t="s">
        <v>162</v>
      </c>
      <c r="K22232" t="s">
        <v>163</v>
      </c>
      <c r="N22232" t="s">
        <v>83949</v>
      </c>
      <c r="Q22232">
        <v>0</v>
      </c>
      <c r="R22232">
        <v>37</v>
      </c>
      <c r="S22232">
        <v>0</v>
      </c>
      <c r="T22232" t="s">
        <v>84386</v>
      </c>
    </row>
    <row r="22233" spans="1:25" customFormat="1" ht="15" x14ac:dyDescent="0.25">
      <c r="A22233" t="s">
        <v>24</v>
      </c>
      <c r="B22233" t="s">
        <v>675</v>
      </c>
      <c r="C22233" t="str">
        <f>"57236"</f>
        <v>57236</v>
      </c>
      <c r="D22233" t="s">
        <v>78920</v>
      </c>
      <c r="E22233" t="s">
        <v>78921</v>
      </c>
      <c r="F22233" t="s">
        <v>8935</v>
      </c>
      <c r="G22233" t="s">
        <v>214</v>
      </c>
      <c r="H22233">
        <v>27713</v>
      </c>
      <c r="I22233" t="s">
        <v>30</v>
      </c>
      <c r="J22233" t="s">
        <v>171</v>
      </c>
      <c r="K22233" t="s">
        <v>1450</v>
      </c>
      <c r="Q22233">
        <v>0</v>
      </c>
      <c r="R22233">
        <v>122</v>
      </c>
      <c r="S22233">
        <v>0</v>
      </c>
      <c r="T22233" t="s">
        <v>78922</v>
      </c>
    </row>
    <row r="22234" spans="1:25" customFormat="1" ht="15" x14ac:dyDescent="0.25">
      <c r="A22234" t="s">
        <v>24</v>
      </c>
      <c r="B22234" t="s">
        <v>33380</v>
      </c>
      <c r="C22234" t="str">
        <f>"A0094325"</f>
        <v>A0094325</v>
      </c>
      <c r="D22234" t="s">
        <v>78923</v>
      </c>
      <c r="E22234" t="s">
        <v>78924</v>
      </c>
      <c r="F22234" t="s">
        <v>33432</v>
      </c>
      <c r="G22234" t="s">
        <v>117</v>
      </c>
      <c r="H22234">
        <v>48823</v>
      </c>
      <c r="I22234" t="s">
        <v>30</v>
      </c>
      <c r="J22234" t="s">
        <v>171</v>
      </c>
      <c r="K22234" t="s">
        <v>1450</v>
      </c>
      <c r="N22234" t="s">
        <v>78925</v>
      </c>
      <c r="O22234" t="s">
        <v>78926</v>
      </c>
      <c r="Q22234">
        <v>0</v>
      </c>
      <c r="R22234">
        <v>96</v>
      </c>
      <c r="S22234">
        <v>0</v>
      </c>
      <c r="T22234" t="s">
        <v>78927</v>
      </c>
    </row>
    <row r="22235" spans="1:25" customFormat="1" ht="15" x14ac:dyDescent="0.25">
      <c r="A22235" t="s">
        <v>24</v>
      </c>
      <c r="B22235" t="s">
        <v>1098</v>
      </c>
      <c r="C22235" t="str">
        <f>"56568"</f>
        <v>56568</v>
      </c>
      <c r="D22235" t="s">
        <v>78928</v>
      </c>
      <c r="E22235" t="s">
        <v>78929</v>
      </c>
      <c r="F22235" t="s">
        <v>78930</v>
      </c>
      <c r="G22235" t="s">
        <v>161</v>
      </c>
      <c r="H22235">
        <v>55435</v>
      </c>
      <c r="I22235" t="s">
        <v>30</v>
      </c>
      <c r="J22235" t="s">
        <v>171</v>
      </c>
      <c r="K22235" t="s">
        <v>1450</v>
      </c>
      <c r="N22235" t="s">
        <v>78931</v>
      </c>
      <c r="Q22235">
        <v>0</v>
      </c>
      <c r="R22235">
        <v>133</v>
      </c>
      <c r="S22235">
        <v>0</v>
      </c>
      <c r="T22235" t="s">
        <v>78932</v>
      </c>
    </row>
    <row r="22236" spans="1:25" customFormat="1" ht="15" x14ac:dyDescent="0.25">
      <c r="A22236" t="s">
        <v>24</v>
      </c>
      <c r="B22236" t="s">
        <v>6667</v>
      </c>
      <c r="C22236" t="str">
        <f>"A0069304"</f>
        <v>A0069304</v>
      </c>
      <c r="D22236" t="s">
        <v>84401</v>
      </c>
      <c r="E22236" t="s">
        <v>84402</v>
      </c>
      <c r="F22236" t="s">
        <v>3505</v>
      </c>
      <c r="G22236" t="s">
        <v>52</v>
      </c>
      <c r="H22236" t="s">
        <v>84403</v>
      </c>
      <c r="I22236" t="s">
        <v>30</v>
      </c>
      <c r="J22236" t="s">
        <v>178</v>
      </c>
      <c r="K22236" t="s">
        <v>6667</v>
      </c>
      <c r="N22236" t="s">
        <v>84404</v>
      </c>
      <c r="O22236" t="s">
        <v>77450</v>
      </c>
      <c r="P22236" t="s">
        <v>6426</v>
      </c>
      <c r="Q22236">
        <v>1</v>
      </c>
      <c r="R22236">
        <v>0</v>
      </c>
      <c r="S22236">
        <v>0</v>
      </c>
      <c r="T22236" t="s">
        <v>84405</v>
      </c>
    </row>
    <row r="22237" spans="1:25" customFormat="1" ht="15" x14ac:dyDescent="0.25">
      <c r="A22237" t="s">
        <v>24</v>
      </c>
      <c r="B22237" t="s">
        <v>6667</v>
      </c>
      <c r="C22237" t="str">
        <f>"A0069412"</f>
        <v>A0069412</v>
      </c>
      <c r="D22237" t="s">
        <v>84406</v>
      </c>
      <c r="E22237" t="s">
        <v>84407</v>
      </c>
      <c r="F22237" t="s">
        <v>10447</v>
      </c>
      <c r="G22237" t="s">
        <v>52</v>
      </c>
      <c r="H22237" t="s">
        <v>84408</v>
      </c>
      <c r="I22237" t="s">
        <v>30</v>
      </c>
      <c r="J22237" t="s">
        <v>178</v>
      </c>
      <c r="K22237" t="s">
        <v>6667</v>
      </c>
      <c r="N22237" t="s">
        <v>84409</v>
      </c>
      <c r="P22237" t="s">
        <v>6426</v>
      </c>
      <c r="Q22237">
        <v>1</v>
      </c>
      <c r="R22237">
        <v>0</v>
      </c>
      <c r="S22237">
        <v>0</v>
      </c>
      <c r="T22237" t="s">
        <v>84410</v>
      </c>
    </row>
    <row r="22238" spans="1:25" customFormat="1" ht="15" x14ac:dyDescent="0.25">
      <c r="A22238" t="s">
        <v>24</v>
      </c>
      <c r="B22238" t="s">
        <v>7953</v>
      </c>
      <c r="C22238" t="str">
        <f>"A0153936"</f>
        <v>A0153936</v>
      </c>
      <c r="D22238" t="s">
        <v>84411</v>
      </c>
      <c r="E22238" t="s">
        <v>84412</v>
      </c>
      <c r="F22238" t="s">
        <v>748</v>
      </c>
      <c r="G22238" t="s">
        <v>110</v>
      </c>
      <c r="H22238">
        <v>94103</v>
      </c>
      <c r="I22238" t="s">
        <v>30</v>
      </c>
      <c r="J22238" t="s">
        <v>31</v>
      </c>
      <c r="K22238" t="s">
        <v>163</v>
      </c>
      <c r="N22238" t="s">
        <v>55980</v>
      </c>
      <c r="Q22238">
        <v>0</v>
      </c>
      <c r="R22238">
        <v>117</v>
      </c>
      <c r="S22238">
        <v>0</v>
      </c>
      <c r="T22238" t="s">
        <v>84413</v>
      </c>
    </row>
    <row r="22239" spans="1:25" customFormat="1" ht="15" x14ac:dyDescent="0.25">
      <c r="A22239" t="s">
        <v>24</v>
      </c>
      <c r="B22239" t="s">
        <v>10734</v>
      </c>
      <c r="C22239" t="str">
        <f>"A0057456"</f>
        <v>A0057456</v>
      </c>
      <c r="D22239" t="s">
        <v>84414</v>
      </c>
      <c r="E22239" t="s">
        <v>84415</v>
      </c>
      <c r="F22239" t="s">
        <v>10401</v>
      </c>
      <c r="G22239" t="s">
        <v>110</v>
      </c>
      <c r="H22239">
        <v>90069</v>
      </c>
      <c r="I22239" t="s">
        <v>30</v>
      </c>
      <c r="J22239" t="s">
        <v>31</v>
      </c>
      <c r="K22239" t="s">
        <v>163</v>
      </c>
      <c r="N22239" t="s">
        <v>75125</v>
      </c>
      <c r="O22239" t="s">
        <v>84416</v>
      </c>
      <c r="Q22239">
        <v>0</v>
      </c>
      <c r="R22239">
        <v>108</v>
      </c>
      <c r="S22239">
        <v>0</v>
      </c>
      <c r="T22239" t="s">
        <v>84417</v>
      </c>
    </row>
    <row r="22240" spans="1:25" x14ac:dyDescent="0.25">
      <c r="A22240" s="5" t="s">
        <v>24</v>
      </c>
      <c r="B22240" s="5" t="s">
        <v>2955</v>
      </c>
      <c r="C22240" s="5" t="str">
        <f>"56682"</f>
        <v>56682</v>
      </c>
      <c r="D22240" s="5" t="s">
        <v>78933</v>
      </c>
      <c r="E22240" s="5" t="s">
        <v>78934</v>
      </c>
      <c r="F22240" s="5" t="s">
        <v>14609</v>
      </c>
      <c r="G22240" s="5" t="s">
        <v>110</v>
      </c>
      <c r="H22240" s="5">
        <v>90245</v>
      </c>
      <c r="I22240" s="5" t="s">
        <v>30</v>
      </c>
      <c r="J22240" s="5" t="s">
        <v>171</v>
      </c>
      <c r="K22240" s="5" t="s">
        <v>1450</v>
      </c>
      <c r="L22240" s="5"/>
      <c r="M22240" s="5"/>
      <c r="N22240" s="5" t="s">
        <v>78935</v>
      </c>
      <c r="O22240" s="5"/>
      <c r="P22240" s="5"/>
      <c r="Q22240" s="5">
        <v>0</v>
      </c>
      <c r="R22240" s="5">
        <v>150</v>
      </c>
      <c r="S22240" s="5">
        <v>0</v>
      </c>
      <c r="T22240" s="5" t="s">
        <v>78936</v>
      </c>
      <c r="U22240" s="5"/>
      <c r="V22240" s="5"/>
      <c r="W22240" s="5"/>
      <c r="X22240" s="5"/>
      <c r="Y22240" s="5"/>
    </row>
    <row r="22241" spans="1:25" x14ac:dyDescent="0.25">
      <c r="A22241" s="5" t="s">
        <v>24</v>
      </c>
      <c r="B22241" s="5" t="s">
        <v>59142</v>
      </c>
      <c r="C22241" s="5" t="str">
        <f>"56687"</f>
        <v>56687</v>
      </c>
      <c r="D22241" s="5" t="s">
        <v>78937</v>
      </c>
      <c r="E22241" s="5" t="s">
        <v>78938</v>
      </c>
      <c r="F22241" s="5" t="s">
        <v>260</v>
      </c>
      <c r="G22241" s="5" t="s">
        <v>47</v>
      </c>
      <c r="H22241" s="5">
        <v>97401</v>
      </c>
      <c r="I22241" s="5" t="s">
        <v>30</v>
      </c>
      <c r="J22241" s="5" t="s">
        <v>171</v>
      </c>
      <c r="K22241" s="5" t="s">
        <v>1450</v>
      </c>
      <c r="L22241" s="5"/>
      <c r="M22241" s="5"/>
      <c r="N22241" s="5" t="s">
        <v>78939</v>
      </c>
      <c r="O22241" s="5"/>
      <c r="P22241" s="5"/>
      <c r="Q22241" s="5">
        <v>0</v>
      </c>
      <c r="R22241" s="5">
        <v>108</v>
      </c>
      <c r="S22241" s="5">
        <v>0</v>
      </c>
      <c r="T22241" s="5" t="s">
        <v>78940</v>
      </c>
      <c r="U22241" s="5"/>
      <c r="V22241" s="5"/>
      <c r="W22241" s="5"/>
      <c r="X22241" s="5"/>
      <c r="Y22241" s="5"/>
    </row>
    <row r="22242" spans="1:25" customFormat="1" ht="15" x14ac:dyDescent="0.25">
      <c r="A22242" t="s">
        <v>24</v>
      </c>
      <c r="B22242" t="s">
        <v>2221</v>
      </c>
      <c r="C22242" t="str">
        <f>"56961"</f>
        <v>56961</v>
      </c>
      <c r="D22242" t="s">
        <v>78941</v>
      </c>
      <c r="E22242" t="s">
        <v>78942</v>
      </c>
      <c r="F22242" t="s">
        <v>13829</v>
      </c>
      <c r="G22242" t="s">
        <v>381</v>
      </c>
      <c r="H22242">
        <v>47715</v>
      </c>
      <c r="I22242" t="s">
        <v>30</v>
      </c>
      <c r="J22242" t="s">
        <v>171</v>
      </c>
      <c r="K22242" t="s">
        <v>1450</v>
      </c>
      <c r="N22242" t="s">
        <v>78943</v>
      </c>
      <c r="Q22242">
        <v>0</v>
      </c>
      <c r="R22242">
        <v>78</v>
      </c>
      <c r="S22242">
        <v>0</v>
      </c>
      <c r="T22242" t="s">
        <v>78944</v>
      </c>
    </row>
    <row r="22243" spans="1:25" customFormat="1" ht="15" x14ac:dyDescent="0.25">
      <c r="A22243" t="s">
        <v>24</v>
      </c>
      <c r="B22243" t="s">
        <v>675</v>
      </c>
      <c r="C22243" t="str">
        <f>"57154"</f>
        <v>57154</v>
      </c>
      <c r="D22243" t="s">
        <v>78945</v>
      </c>
      <c r="E22243" t="s">
        <v>78946</v>
      </c>
      <c r="F22243" t="s">
        <v>67398</v>
      </c>
      <c r="G22243" t="s">
        <v>29</v>
      </c>
      <c r="H22243">
        <v>22042</v>
      </c>
      <c r="I22243" t="s">
        <v>30</v>
      </c>
      <c r="J22243" t="s">
        <v>171</v>
      </c>
      <c r="K22243" t="s">
        <v>1450</v>
      </c>
      <c r="N22243" t="s">
        <v>60360</v>
      </c>
      <c r="Q22243">
        <v>0</v>
      </c>
      <c r="R22243">
        <v>159</v>
      </c>
      <c r="S22243">
        <v>0</v>
      </c>
      <c r="T22243" t="s">
        <v>78947</v>
      </c>
    </row>
    <row r="22244" spans="1:25" x14ac:dyDescent="0.25">
      <c r="A22244" s="5" t="s">
        <v>24</v>
      </c>
      <c r="B22244" s="5" t="s">
        <v>1323</v>
      </c>
      <c r="C22244" s="5" t="str">
        <f>"A0076657"</f>
        <v>A0076657</v>
      </c>
      <c r="D22244" s="5" t="s">
        <v>78948</v>
      </c>
      <c r="E22244" s="5" t="s">
        <v>78949</v>
      </c>
      <c r="F22244" s="5" t="s">
        <v>3540</v>
      </c>
      <c r="G22244" s="5" t="s">
        <v>214</v>
      </c>
      <c r="H22244" s="5">
        <v>28303</v>
      </c>
      <c r="I22244" s="5" t="s">
        <v>30</v>
      </c>
      <c r="J22244" s="5" t="s">
        <v>171</v>
      </c>
      <c r="K22244" s="5" t="s">
        <v>1450</v>
      </c>
      <c r="L22244" s="5"/>
      <c r="M22244" s="5"/>
      <c r="N22244" s="5" t="s">
        <v>78950</v>
      </c>
      <c r="O22244" s="5"/>
      <c r="P22244" s="5"/>
      <c r="Q22244" s="5">
        <v>0</v>
      </c>
      <c r="R22244" s="5">
        <v>92</v>
      </c>
      <c r="S22244" s="5">
        <v>0</v>
      </c>
      <c r="T22244" s="5" t="s">
        <v>78951</v>
      </c>
      <c r="U22244" s="5"/>
      <c r="V22244" s="5"/>
      <c r="W22244" s="5"/>
      <c r="X22244" s="5"/>
      <c r="Y22244" s="5"/>
    </row>
    <row r="22245" spans="1:25" customFormat="1" ht="15" x14ac:dyDescent="0.25">
      <c r="A22245" t="s">
        <v>24</v>
      </c>
      <c r="B22245" t="s">
        <v>8579</v>
      </c>
      <c r="C22245" t="str">
        <f>"A0092161"</f>
        <v>A0092161</v>
      </c>
      <c r="D22245" t="s">
        <v>78952</v>
      </c>
      <c r="E22245" t="s">
        <v>78953</v>
      </c>
      <c r="F22245" t="s">
        <v>1208</v>
      </c>
      <c r="G22245" t="s">
        <v>899</v>
      </c>
      <c r="H22245">
        <v>2215</v>
      </c>
      <c r="I22245" t="s">
        <v>30</v>
      </c>
      <c r="J22245" t="s">
        <v>171</v>
      </c>
      <c r="K22245" t="s">
        <v>1450</v>
      </c>
      <c r="N22245" t="s">
        <v>78557</v>
      </c>
      <c r="O22245" t="s">
        <v>78954</v>
      </c>
      <c r="Q22245">
        <v>0</v>
      </c>
      <c r="R22245">
        <v>175</v>
      </c>
      <c r="S22245">
        <v>0</v>
      </c>
      <c r="T22245" t="s">
        <v>78955</v>
      </c>
    </row>
    <row r="22246" spans="1:25" x14ac:dyDescent="0.25">
      <c r="A22246" s="5" t="s">
        <v>24</v>
      </c>
      <c r="B22246" s="5" t="s">
        <v>9843</v>
      </c>
      <c r="C22246" s="5" t="str">
        <f>"A0089467"</f>
        <v>A0089467</v>
      </c>
      <c r="D22246" s="5" t="s">
        <v>34608</v>
      </c>
      <c r="E22246" s="5" t="s">
        <v>78956</v>
      </c>
      <c r="F22246" s="5" t="s">
        <v>2352</v>
      </c>
      <c r="G22246" s="5" t="s">
        <v>1706</v>
      </c>
      <c r="H22246" s="5">
        <v>35630</v>
      </c>
      <c r="I22246" s="5" t="s">
        <v>30</v>
      </c>
      <c r="J22246" s="5" t="s">
        <v>171</v>
      </c>
      <c r="K22246" s="5" t="s">
        <v>1450</v>
      </c>
      <c r="L22246" s="5"/>
      <c r="M22246" s="5"/>
      <c r="N22246" s="5" t="s">
        <v>78957</v>
      </c>
      <c r="O22246" s="5" t="s">
        <v>78958</v>
      </c>
      <c r="P22246" s="5"/>
      <c r="Q22246" s="5">
        <v>0</v>
      </c>
      <c r="R22246" s="5">
        <v>110</v>
      </c>
      <c r="S22246" s="5">
        <v>0</v>
      </c>
      <c r="T22246" s="5" t="s">
        <v>78959</v>
      </c>
      <c r="U22246" s="5"/>
      <c r="V22246" s="5"/>
      <c r="W22246" s="5"/>
      <c r="X22246" s="5"/>
      <c r="Y22246" s="5"/>
    </row>
    <row r="22247" spans="1:25" x14ac:dyDescent="0.25">
      <c r="A22247" s="5" t="s">
        <v>24</v>
      </c>
      <c r="B22247" s="5" t="s">
        <v>2528</v>
      </c>
      <c r="C22247" s="5" t="str">
        <f>"A0084569"</f>
        <v>A0084569</v>
      </c>
      <c r="D22247" s="5" t="s">
        <v>78960</v>
      </c>
      <c r="E22247" s="5" t="s">
        <v>78961</v>
      </c>
      <c r="F22247" s="5" t="s">
        <v>4674</v>
      </c>
      <c r="G22247" s="5" t="s">
        <v>314</v>
      </c>
      <c r="H22247" s="5">
        <v>20037</v>
      </c>
      <c r="I22247" s="5" t="s">
        <v>30</v>
      </c>
      <c r="J22247" s="5" t="s">
        <v>171</v>
      </c>
      <c r="K22247" s="5" t="s">
        <v>1450</v>
      </c>
      <c r="L22247" s="5"/>
      <c r="M22247" s="5"/>
      <c r="N22247" s="5" t="s">
        <v>78962</v>
      </c>
      <c r="O22247" s="5"/>
      <c r="P22247" s="5"/>
      <c r="Q22247" s="5">
        <v>0</v>
      </c>
      <c r="R22247" s="5">
        <v>105</v>
      </c>
      <c r="S22247" s="5">
        <v>0</v>
      </c>
      <c r="T22247" s="5" t="s">
        <v>78963</v>
      </c>
      <c r="U22247" s="5"/>
      <c r="V22247" s="5"/>
      <c r="W22247" s="5"/>
      <c r="X22247" s="5"/>
      <c r="Y22247" s="5"/>
    </row>
    <row r="22248" spans="1:25" x14ac:dyDescent="0.25">
      <c r="A22248" s="5" t="s">
        <v>24</v>
      </c>
      <c r="B22248" s="5" t="s">
        <v>1138</v>
      </c>
      <c r="C22248" s="5" t="str">
        <f>"A0093678"</f>
        <v>A0093678</v>
      </c>
      <c r="D22248" s="5" t="s">
        <v>78964</v>
      </c>
      <c r="E22248" s="5" t="s">
        <v>78965</v>
      </c>
      <c r="F22248" s="5" t="s">
        <v>78966</v>
      </c>
      <c r="G22248" s="5" t="s">
        <v>289</v>
      </c>
      <c r="H22248" s="5">
        <v>62535</v>
      </c>
      <c r="I22248" s="5" t="s">
        <v>30</v>
      </c>
      <c r="J22248" s="5" t="s">
        <v>171</v>
      </c>
      <c r="K22248" s="5" t="s">
        <v>1450</v>
      </c>
      <c r="L22248" s="5"/>
      <c r="M22248" s="5"/>
      <c r="N22248" s="5" t="s">
        <v>78967</v>
      </c>
      <c r="O22248" s="5" t="s">
        <v>78968</v>
      </c>
      <c r="P22248" s="5"/>
      <c r="Q22248" s="5">
        <v>0</v>
      </c>
      <c r="R22248" s="5">
        <v>96</v>
      </c>
      <c r="S22248" s="5">
        <v>0</v>
      </c>
      <c r="T22248" s="5" t="s">
        <v>78969</v>
      </c>
      <c r="U22248" s="5"/>
      <c r="V22248" s="5"/>
      <c r="W22248" s="5"/>
      <c r="X22248" s="5"/>
      <c r="Y22248" s="5"/>
    </row>
    <row r="22249" spans="1:25" customFormat="1" ht="15" x14ac:dyDescent="0.25">
      <c r="A22249" t="s">
        <v>24</v>
      </c>
      <c r="B22249" t="s">
        <v>1561</v>
      </c>
      <c r="C22249" t="str">
        <f>"A0092521"</f>
        <v>A0092521</v>
      </c>
      <c r="D22249" t="s">
        <v>84459</v>
      </c>
      <c r="E22249" t="s">
        <v>84460</v>
      </c>
      <c r="F22249" t="s">
        <v>997</v>
      </c>
      <c r="G22249" t="s">
        <v>99</v>
      </c>
      <c r="H22249">
        <v>10011</v>
      </c>
      <c r="I22249" t="s">
        <v>30</v>
      </c>
      <c r="J22249" t="s">
        <v>31</v>
      </c>
      <c r="K22249" t="s">
        <v>163</v>
      </c>
      <c r="N22249" t="s">
        <v>33818</v>
      </c>
      <c r="O22249" t="s">
        <v>84461</v>
      </c>
      <c r="Q22249">
        <v>0</v>
      </c>
      <c r="R22249">
        <v>60</v>
      </c>
      <c r="S22249">
        <v>0</v>
      </c>
      <c r="T22249" t="s">
        <v>84462</v>
      </c>
    </row>
    <row r="22250" spans="1:25" x14ac:dyDescent="0.25">
      <c r="A22250" s="5" t="s">
        <v>24</v>
      </c>
      <c r="B22250" s="5" t="s">
        <v>4855</v>
      </c>
      <c r="C22250" s="5" t="str">
        <f>"57325"</f>
        <v>57325</v>
      </c>
      <c r="D22250" s="5" t="s">
        <v>78970</v>
      </c>
      <c r="E22250" s="5" t="s">
        <v>78971</v>
      </c>
      <c r="F22250" s="5" t="s">
        <v>60454</v>
      </c>
      <c r="G22250" s="5" t="s">
        <v>190</v>
      </c>
      <c r="H22250" s="5">
        <v>80525</v>
      </c>
      <c r="I22250" s="5" t="s">
        <v>30</v>
      </c>
      <c r="J22250" s="5" t="s">
        <v>171</v>
      </c>
      <c r="K22250" s="5" t="s">
        <v>1450</v>
      </c>
      <c r="L22250" s="5"/>
      <c r="M22250" s="5"/>
      <c r="N22250" s="5" t="s">
        <v>60455</v>
      </c>
      <c r="O22250" s="5" t="s">
        <v>78972</v>
      </c>
      <c r="P22250" s="5"/>
      <c r="Q22250" s="5">
        <v>0</v>
      </c>
      <c r="R22250" s="5">
        <v>113</v>
      </c>
      <c r="S22250" s="5">
        <v>0</v>
      </c>
      <c r="T22250" s="5" t="s">
        <v>78973</v>
      </c>
      <c r="U22250" s="5"/>
      <c r="V22250" s="5"/>
      <c r="W22250" s="5"/>
      <c r="X22250" s="5"/>
      <c r="Y22250" s="5"/>
    </row>
    <row r="22251" spans="1:25" x14ac:dyDescent="0.25">
      <c r="A22251" s="5" t="s">
        <v>24</v>
      </c>
      <c r="B22251" s="5" t="s">
        <v>2528</v>
      </c>
      <c r="C22251" s="5" t="str">
        <f>"A0084247"</f>
        <v>A0084247</v>
      </c>
      <c r="D22251" s="5" t="s">
        <v>78974</v>
      </c>
      <c r="E22251" s="5" t="s">
        <v>78975</v>
      </c>
      <c r="F22251" s="5" t="s">
        <v>1570</v>
      </c>
      <c r="G22251" s="5" t="s">
        <v>81</v>
      </c>
      <c r="H22251" s="5">
        <v>33308</v>
      </c>
      <c r="I22251" s="5" t="s">
        <v>30</v>
      </c>
      <c r="J22251" s="5" t="s">
        <v>171</v>
      </c>
      <c r="K22251" s="5" t="s">
        <v>1450</v>
      </c>
      <c r="L22251" s="5"/>
      <c r="M22251" s="5"/>
      <c r="N22251" s="5" t="s">
        <v>78976</v>
      </c>
      <c r="O22251" s="5" t="s">
        <v>78977</v>
      </c>
      <c r="P22251" s="5"/>
      <c r="Q22251" s="5">
        <v>0</v>
      </c>
      <c r="R22251" s="5">
        <v>105</v>
      </c>
      <c r="S22251" s="5">
        <v>0</v>
      </c>
      <c r="T22251" s="5" t="s">
        <v>78978</v>
      </c>
      <c r="U22251" s="5"/>
      <c r="V22251" s="5"/>
      <c r="W22251" s="5"/>
      <c r="X22251" s="5"/>
      <c r="Y22251" s="5"/>
    </row>
    <row r="22252" spans="1:25" customFormat="1" ht="15" x14ac:dyDescent="0.25">
      <c r="A22252" t="s">
        <v>24</v>
      </c>
      <c r="B22252" t="s">
        <v>1323</v>
      </c>
      <c r="C22252" t="str">
        <f>"A0093448"</f>
        <v>A0093448</v>
      </c>
      <c r="D22252" t="s">
        <v>78979</v>
      </c>
      <c r="E22252" t="s">
        <v>78980</v>
      </c>
      <c r="F22252" t="s">
        <v>66345</v>
      </c>
      <c r="G22252" t="s">
        <v>81</v>
      </c>
      <c r="H22252">
        <v>33312</v>
      </c>
      <c r="I22252" t="s">
        <v>30</v>
      </c>
      <c r="J22252" t="s">
        <v>171</v>
      </c>
      <c r="K22252" t="s">
        <v>1450</v>
      </c>
      <c r="N22252" t="s">
        <v>15748</v>
      </c>
      <c r="O22252" t="s">
        <v>78981</v>
      </c>
      <c r="Q22252">
        <v>0</v>
      </c>
      <c r="R22252">
        <v>156</v>
      </c>
      <c r="S22252">
        <v>0</v>
      </c>
      <c r="T22252" t="s">
        <v>78982</v>
      </c>
    </row>
    <row r="22253" spans="1:25" customFormat="1" ht="15" x14ac:dyDescent="0.25">
      <c r="A22253" t="s">
        <v>24</v>
      </c>
      <c r="B22253" t="s">
        <v>1561</v>
      </c>
      <c r="C22253" t="str">
        <f>"A0098373"</f>
        <v>A0098373</v>
      </c>
      <c r="D22253" t="s">
        <v>78983</v>
      </c>
      <c r="E22253" t="s">
        <v>78984</v>
      </c>
      <c r="F22253" t="s">
        <v>78985</v>
      </c>
      <c r="G22253" t="s">
        <v>81</v>
      </c>
      <c r="H22253">
        <v>33064</v>
      </c>
      <c r="I22253" t="s">
        <v>30</v>
      </c>
      <c r="J22253" t="s">
        <v>171</v>
      </c>
      <c r="K22253" t="s">
        <v>1450</v>
      </c>
      <c r="N22253" t="s">
        <v>78986</v>
      </c>
      <c r="Q22253">
        <v>0</v>
      </c>
      <c r="R22253">
        <v>104</v>
      </c>
      <c r="S22253">
        <v>0</v>
      </c>
      <c r="T22253" t="s">
        <v>192</v>
      </c>
    </row>
    <row r="22254" spans="1:25" x14ac:dyDescent="0.25">
      <c r="A22254" s="5" t="s">
        <v>24</v>
      </c>
      <c r="B22254" s="5" t="s">
        <v>342</v>
      </c>
      <c r="C22254" s="5" t="str">
        <f>"56906"</f>
        <v>56906</v>
      </c>
      <c r="D22254" s="5" t="s">
        <v>78987</v>
      </c>
      <c r="E22254" s="5" t="s">
        <v>78988</v>
      </c>
      <c r="F22254" s="5" t="s">
        <v>177</v>
      </c>
      <c r="G22254" s="5" t="s">
        <v>81</v>
      </c>
      <c r="H22254" s="5">
        <v>33966</v>
      </c>
      <c r="I22254" s="5" t="s">
        <v>30</v>
      </c>
      <c r="J22254" s="5" t="s">
        <v>171</v>
      </c>
      <c r="K22254" s="5" t="s">
        <v>1450</v>
      </c>
      <c r="L22254" s="5"/>
      <c r="M22254" s="5"/>
      <c r="N22254" s="5" t="s">
        <v>78989</v>
      </c>
      <c r="O22254" s="5"/>
      <c r="P22254" s="5"/>
      <c r="Q22254" s="5">
        <v>0</v>
      </c>
      <c r="R22254" s="5">
        <v>78</v>
      </c>
      <c r="S22254" s="5">
        <v>0</v>
      </c>
      <c r="T22254" s="5" t="s">
        <v>78990</v>
      </c>
      <c r="U22254" s="5"/>
      <c r="V22254" s="5"/>
      <c r="W22254" s="5"/>
      <c r="X22254" s="5"/>
      <c r="Y22254" s="5"/>
    </row>
    <row r="22255" spans="1:25" customFormat="1" ht="15" x14ac:dyDescent="0.25">
      <c r="A22255" t="s">
        <v>24</v>
      </c>
      <c r="B22255" t="s">
        <v>342</v>
      </c>
      <c r="C22255" t="str">
        <f>"A0093559"</f>
        <v>A0093559</v>
      </c>
      <c r="D22255" t="s">
        <v>78991</v>
      </c>
      <c r="E22255" t="s">
        <v>78992</v>
      </c>
      <c r="F22255" t="s">
        <v>177</v>
      </c>
      <c r="G22255" t="s">
        <v>81</v>
      </c>
      <c r="H22255">
        <v>33913</v>
      </c>
      <c r="I22255" t="s">
        <v>30</v>
      </c>
      <c r="J22255" t="s">
        <v>171</v>
      </c>
      <c r="K22255" t="s">
        <v>1450</v>
      </c>
      <c r="N22255" t="s">
        <v>78993</v>
      </c>
      <c r="Q22255">
        <v>0</v>
      </c>
      <c r="R22255">
        <v>116</v>
      </c>
      <c r="S22255">
        <v>0</v>
      </c>
      <c r="T22255" t="s">
        <v>78994</v>
      </c>
    </row>
    <row r="22256" spans="1:25" x14ac:dyDescent="0.25">
      <c r="A22256" s="5" t="s">
        <v>24</v>
      </c>
      <c r="B22256" s="5" t="s">
        <v>1020</v>
      </c>
      <c r="C22256" s="5" t="str">
        <f>"A0065433"</f>
        <v>A0065433</v>
      </c>
      <c r="D22256" s="5" t="s">
        <v>78995</v>
      </c>
      <c r="E22256" s="5" t="s">
        <v>78996</v>
      </c>
      <c r="F22256" s="5" t="s">
        <v>58702</v>
      </c>
      <c r="G22256" s="5" t="s">
        <v>85</v>
      </c>
      <c r="H22256" s="5">
        <v>72903</v>
      </c>
      <c r="I22256" s="5" t="s">
        <v>30</v>
      </c>
      <c r="J22256" s="5" t="s">
        <v>171</v>
      </c>
      <c r="K22256" s="5" t="s">
        <v>1450</v>
      </c>
      <c r="L22256" s="5"/>
      <c r="M22256" s="5"/>
      <c r="N22256" s="5" t="s">
        <v>78997</v>
      </c>
      <c r="O22256" s="5"/>
      <c r="P22256" s="5"/>
      <c r="Q22256" s="5">
        <v>0</v>
      </c>
      <c r="R22256" s="5">
        <v>78</v>
      </c>
      <c r="S22256" s="5">
        <v>0</v>
      </c>
      <c r="T22256" s="5" t="s">
        <v>78998</v>
      </c>
      <c r="U22256" s="5"/>
      <c r="V22256" s="5"/>
      <c r="W22256" s="5"/>
      <c r="X22256" s="5"/>
      <c r="Y22256" s="5"/>
    </row>
    <row r="22257" spans="1:25" x14ac:dyDescent="0.25">
      <c r="A22257" s="5" t="s">
        <v>24</v>
      </c>
      <c r="B22257" s="5" t="s">
        <v>1317</v>
      </c>
      <c r="C22257" s="5" t="str">
        <f>"A0158637"</f>
        <v>A0158637</v>
      </c>
      <c r="D22257" s="5" t="s">
        <v>78999</v>
      </c>
      <c r="E22257" s="5" t="s">
        <v>79000</v>
      </c>
      <c r="F22257" s="5" t="s">
        <v>14451</v>
      </c>
      <c r="G22257" s="5" t="s">
        <v>81</v>
      </c>
      <c r="H22257" s="5">
        <v>32548</v>
      </c>
      <c r="I22257" s="5" t="s">
        <v>30</v>
      </c>
      <c r="J22257" s="5" t="s">
        <v>171</v>
      </c>
      <c r="K22257" s="5" t="s">
        <v>1450</v>
      </c>
      <c r="L22257" s="5"/>
      <c r="M22257" s="5"/>
      <c r="N22257" s="5" t="s">
        <v>79001</v>
      </c>
      <c r="O22257" s="5" t="s">
        <v>79002</v>
      </c>
      <c r="P22257" s="5"/>
      <c r="Q22257" s="5">
        <v>0</v>
      </c>
      <c r="R22257" s="5">
        <v>109</v>
      </c>
      <c r="S22257" s="5">
        <v>0</v>
      </c>
      <c r="T22257" s="5" t="s">
        <v>79003</v>
      </c>
      <c r="U22257" s="5"/>
      <c r="V22257" s="5"/>
      <c r="W22257" s="5"/>
      <c r="X22257" s="5"/>
      <c r="Y22257" s="5"/>
    </row>
    <row r="22258" spans="1:25" hidden="1" x14ac:dyDescent="0.25">
      <c r="A22258" s="3" t="s">
        <v>24</v>
      </c>
      <c r="B22258" s="3" t="s">
        <v>675</v>
      </c>
      <c r="C22258" s="3" t="str">
        <f>"A0094653"</f>
        <v>A0094653</v>
      </c>
      <c r="D22258" s="3" t="s">
        <v>84498</v>
      </c>
      <c r="E22258" s="3" t="s">
        <v>84499</v>
      </c>
      <c r="F22258" s="3" t="s">
        <v>58985</v>
      </c>
      <c r="G22258" s="3" t="s">
        <v>38009</v>
      </c>
      <c r="H22258" s="3" t="s">
        <v>84500</v>
      </c>
      <c r="I22258" s="3" t="s">
        <v>1459</v>
      </c>
      <c r="J22258" s="3" t="s">
        <v>206</v>
      </c>
      <c r="K22258" s="3" t="s">
        <v>6459</v>
      </c>
      <c r="N22258" s="3" t="s">
        <v>84501</v>
      </c>
      <c r="O22258" s="3" t="s">
        <v>84502</v>
      </c>
      <c r="Q22258" s="3">
        <v>0</v>
      </c>
      <c r="R22258" s="3">
        <v>227</v>
      </c>
      <c r="S22258" s="3">
        <v>0</v>
      </c>
      <c r="T22258" s="3" t="s">
        <v>84503</v>
      </c>
    </row>
    <row r="22259" spans="1:25" x14ac:dyDescent="0.25">
      <c r="A22259" s="5" t="s">
        <v>24</v>
      </c>
      <c r="B22259" s="5" t="s">
        <v>2955</v>
      </c>
      <c r="C22259" s="5" t="str">
        <f>"56679"</f>
        <v>56679</v>
      </c>
      <c r="D22259" s="5" t="s">
        <v>79004</v>
      </c>
      <c r="E22259" s="5" t="s">
        <v>79005</v>
      </c>
      <c r="F22259" s="5" t="s">
        <v>64923</v>
      </c>
      <c r="G22259" s="5" t="s">
        <v>381</v>
      </c>
      <c r="H22259" s="5">
        <v>46804</v>
      </c>
      <c r="I22259" s="5" t="s">
        <v>30</v>
      </c>
      <c r="J22259" s="5" t="s">
        <v>171</v>
      </c>
      <c r="K22259" s="5" t="s">
        <v>1450</v>
      </c>
      <c r="L22259" s="5"/>
      <c r="M22259" s="5"/>
      <c r="N22259" s="5" t="s">
        <v>79006</v>
      </c>
      <c r="O22259" s="5" t="s">
        <v>79007</v>
      </c>
      <c r="P22259" s="5"/>
      <c r="Q22259" s="5">
        <v>0</v>
      </c>
      <c r="R22259" s="5">
        <v>109</v>
      </c>
      <c r="S22259" s="5">
        <v>0</v>
      </c>
      <c r="T22259" s="5" t="s">
        <v>79008</v>
      </c>
      <c r="U22259" s="5"/>
      <c r="V22259" s="5"/>
      <c r="W22259" s="5"/>
      <c r="X22259" s="5"/>
      <c r="Y22259" s="5"/>
    </row>
    <row r="22260" spans="1:25" hidden="1" x14ac:dyDescent="0.25">
      <c r="A22260" s="3" t="s">
        <v>24</v>
      </c>
      <c r="B22260" s="3" t="s">
        <v>675</v>
      </c>
      <c r="C22260" s="3" t="str">
        <f>"A0157474"</f>
        <v>A0157474</v>
      </c>
      <c r="D22260" s="3" t="s">
        <v>84508</v>
      </c>
      <c r="E22260" s="3" t="s">
        <v>83725</v>
      </c>
      <c r="F22260" s="3" t="s">
        <v>58484</v>
      </c>
      <c r="G22260" s="3" t="s">
        <v>58485</v>
      </c>
      <c r="I22260" s="3" t="s">
        <v>58486</v>
      </c>
      <c r="J22260" s="3" t="s">
        <v>206</v>
      </c>
      <c r="K22260" s="3" t="s">
        <v>6459</v>
      </c>
      <c r="N22260" s="3" t="s">
        <v>84509</v>
      </c>
      <c r="Q22260" s="3">
        <v>0</v>
      </c>
      <c r="R22260" s="3">
        <v>34</v>
      </c>
      <c r="S22260" s="3">
        <v>0</v>
      </c>
      <c r="T22260" s="3" t="s">
        <v>84510</v>
      </c>
    </row>
    <row r="22261" spans="1:25" customFormat="1" ht="15" x14ac:dyDescent="0.25">
      <c r="A22261" t="s">
        <v>24</v>
      </c>
      <c r="B22261" t="s">
        <v>2221</v>
      </c>
      <c r="C22261" t="str">
        <f>"56537"</f>
        <v>56537</v>
      </c>
      <c r="D22261" t="s">
        <v>79009</v>
      </c>
      <c r="E22261" t="s">
        <v>79010</v>
      </c>
      <c r="F22261" t="s">
        <v>3505</v>
      </c>
      <c r="G22261" t="s">
        <v>52</v>
      </c>
      <c r="H22261">
        <v>76177</v>
      </c>
      <c r="I22261" t="s">
        <v>30</v>
      </c>
      <c r="J22261" t="s">
        <v>171</v>
      </c>
      <c r="K22261" t="s">
        <v>1450</v>
      </c>
      <c r="N22261" t="s">
        <v>79011</v>
      </c>
      <c r="Q22261">
        <v>0</v>
      </c>
      <c r="R22261">
        <v>111</v>
      </c>
      <c r="S22261">
        <v>0</v>
      </c>
      <c r="T22261" t="s">
        <v>79012</v>
      </c>
    </row>
    <row r="22262" spans="1:25" x14ac:dyDescent="0.25">
      <c r="A22262" s="5" t="s">
        <v>24</v>
      </c>
      <c r="B22262" s="5" t="s">
        <v>8579</v>
      </c>
      <c r="C22262" s="5" t="str">
        <f>"57176"</f>
        <v>57176</v>
      </c>
      <c r="D22262" s="5" t="s">
        <v>79013</v>
      </c>
      <c r="E22262" s="5" t="s">
        <v>79014</v>
      </c>
      <c r="F22262" s="5" t="s">
        <v>1470</v>
      </c>
      <c r="G22262" s="5" t="s">
        <v>899</v>
      </c>
      <c r="H22262" s="5">
        <v>1702</v>
      </c>
      <c r="I22262" s="5" t="s">
        <v>30</v>
      </c>
      <c r="J22262" s="5" t="s">
        <v>171</v>
      </c>
      <c r="K22262" s="5" t="s">
        <v>1450</v>
      </c>
      <c r="L22262" s="5"/>
      <c r="M22262" s="5"/>
      <c r="N22262" s="5" t="s">
        <v>79015</v>
      </c>
      <c r="O22262" s="5"/>
      <c r="P22262" s="5"/>
      <c r="Q22262" s="5">
        <v>0</v>
      </c>
      <c r="R22262" s="5">
        <v>125</v>
      </c>
      <c r="S22262" s="5">
        <v>0</v>
      </c>
      <c r="T22262" s="5" t="s">
        <v>79016</v>
      </c>
      <c r="U22262" s="5"/>
      <c r="V22262" s="5"/>
      <c r="W22262" s="5"/>
      <c r="X22262" s="5"/>
      <c r="Y22262" s="5"/>
    </row>
    <row r="22263" spans="1:25" customFormat="1" ht="15" x14ac:dyDescent="0.25">
      <c r="A22263" t="s">
        <v>24</v>
      </c>
      <c r="B22263" t="s">
        <v>6363</v>
      </c>
      <c r="C22263" t="str">
        <f>"A0086931"</f>
        <v>A0086931</v>
      </c>
      <c r="D22263" t="s">
        <v>79017</v>
      </c>
      <c r="E22263" t="s">
        <v>79018</v>
      </c>
      <c r="F22263" t="s">
        <v>7921</v>
      </c>
      <c r="G22263" t="s">
        <v>880</v>
      </c>
      <c r="H22263">
        <v>37067</v>
      </c>
      <c r="I22263" t="s">
        <v>30</v>
      </c>
      <c r="J22263" t="s">
        <v>171</v>
      </c>
      <c r="K22263" t="s">
        <v>1450</v>
      </c>
      <c r="N22263" t="s">
        <v>79019</v>
      </c>
      <c r="O22263" t="s">
        <v>60493</v>
      </c>
      <c r="Q22263">
        <v>0</v>
      </c>
      <c r="R22263">
        <v>124</v>
      </c>
      <c r="S22263">
        <v>0</v>
      </c>
      <c r="T22263" t="s">
        <v>79020</v>
      </c>
    </row>
    <row r="22264" spans="1:25" customFormat="1" ht="15" x14ac:dyDescent="0.25">
      <c r="A22264" t="s">
        <v>24</v>
      </c>
      <c r="B22264" t="s">
        <v>60496</v>
      </c>
      <c r="C22264" t="str">
        <f>"A0145446"</f>
        <v>A0145446</v>
      </c>
      <c r="D22264" t="s">
        <v>79025</v>
      </c>
      <c r="E22264" t="s">
        <v>79026</v>
      </c>
      <c r="F22264" t="s">
        <v>70148</v>
      </c>
      <c r="G22264" t="s">
        <v>123</v>
      </c>
      <c r="H22264">
        <v>20759</v>
      </c>
      <c r="I22264" t="s">
        <v>30</v>
      </c>
      <c r="J22264" t="s">
        <v>171</v>
      </c>
      <c r="K22264" t="s">
        <v>1450</v>
      </c>
      <c r="N22264" t="s">
        <v>79027</v>
      </c>
      <c r="Q22264">
        <v>0</v>
      </c>
      <c r="R22264">
        <v>103</v>
      </c>
      <c r="S22264">
        <v>0</v>
      </c>
      <c r="T22264" t="s">
        <v>79028</v>
      </c>
    </row>
    <row r="22265" spans="1:25" customFormat="1" ht="15" x14ac:dyDescent="0.25">
      <c r="A22265" t="s">
        <v>24</v>
      </c>
      <c r="B22265" t="s">
        <v>8579</v>
      </c>
      <c r="C22265" t="str">
        <f>"A0088486"</f>
        <v>A0088486</v>
      </c>
      <c r="D22265" t="s">
        <v>79029</v>
      </c>
      <c r="E22265" t="s">
        <v>79030</v>
      </c>
      <c r="F22265" t="s">
        <v>59440</v>
      </c>
      <c r="G22265" t="s">
        <v>190</v>
      </c>
      <c r="H22265">
        <v>81601</v>
      </c>
      <c r="I22265" t="s">
        <v>30</v>
      </c>
      <c r="J22265" t="s">
        <v>171</v>
      </c>
      <c r="K22265" t="s">
        <v>1450</v>
      </c>
      <c r="N22265" t="s">
        <v>79031</v>
      </c>
      <c r="Q22265">
        <v>0</v>
      </c>
      <c r="R22265">
        <v>124</v>
      </c>
      <c r="S22265">
        <v>0</v>
      </c>
      <c r="T22265" t="s">
        <v>79032</v>
      </c>
    </row>
    <row r="22266" spans="1:25" x14ac:dyDescent="0.25">
      <c r="A22266" s="5" t="s">
        <v>24</v>
      </c>
      <c r="B22266" s="5" t="s">
        <v>60077</v>
      </c>
      <c r="C22266" s="5" t="str">
        <f>"A0078575"</f>
        <v>A0078575</v>
      </c>
      <c r="D22266" s="5" t="s">
        <v>79033</v>
      </c>
      <c r="E22266" s="5" t="s">
        <v>79034</v>
      </c>
      <c r="F22266" s="5" t="s">
        <v>9346</v>
      </c>
      <c r="G22266" s="5" t="s">
        <v>190</v>
      </c>
      <c r="H22266" s="5">
        <v>81506</v>
      </c>
      <c r="I22266" s="5" t="s">
        <v>30</v>
      </c>
      <c r="J22266" s="5" t="s">
        <v>171</v>
      </c>
      <c r="K22266" s="5" t="s">
        <v>1450</v>
      </c>
      <c r="L22266" s="5"/>
      <c r="M22266" s="5"/>
      <c r="N22266" s="5" t="s">
        <v>79035</v>
      </c>
      <c r="O22266" s="5"/>
      <c r="P22266" s="5"/>
      <c r="Q22266" s="5">
        <v>0</v>
      </c>
      <c r="R22266" s="5">
        <v>104</v>
      </c>
      <c r="S22266" s="5">
        <v>0</v>
      </c>
      <c r="T22266" s="5" t="s">
        <v>79036</v>
      </c>
      <c r="U22266" s="5"/>
      <c r="V22266" s="5"/>
      <c r="W22266" s="5"/>
      <c r="X22266" s="5"/>
      <c r="Y22266" s="5"/>
    </row>
    <row r="22267" spans="1:25" customFormat="1" ht="15" x14ac:dyDescent="0.25">
      <c r="A22267" t="s">
        <v>24</v>
      </c>
      <c r="B22267" t="s">
        <v>7953</v>
      </c>
      <c r="C22267" t="str">
        <f>"A0084274"</f>
        <v>A0084274</v>
      </c>
      <c r="D22267" t="s">
        <v>84538</v>
      </c>
      <c r="E22267" t="s">
        <v>84539</v>
      </c>
      <c r="F22267" t="s">
        <v>748</v>
      </c>
      <c r="G22267" t="s">
        <v>110</v>
      </c>
      <c r="H22267">
        <v>94102</v>
      </c>
      <c r="I22267" t="s">
        <v>30</v>
      </c>
      <c r="J22267" t="s">
        <v>31</v>
      </c>
      <c r="K22267" t="s">
        <v>163</v>
      </c>
      <c r="N22267" t="s">
        <v>72712</v>
      </c>
      <c r="Q22267">
        <v>0</v>
      </c>
      <c r="R22267">
        <v>30</v>
      </c>
      <c r="S22267">
        <v>0</v>
      </c>
      <c r="T22267" t="s">
        <v>84540</v>
      </c>
    </row>
    <row r="22268" spans="1:25" customFormat="1" ht="15" x14ac:dyDescent="0.25">
      <c r="A22268" t="s">
        <v>24</v>
      </c>
      <c r="B22268" t="s">
        <v>33369</v>
      </c>
      <c r="C22268" t="str">
        <f>"A0097857"</f>
        <v>A0097857</v>
      </c>
      <c r="D22268" t="s">
        <v>84541</v>
      </c>
      <c r="E22268" t="s">
        <v>84542</v>
      </c>
      <c r="F22268" t="s">
        <v>35888</v>
      </c>
      <c r="G22268" t="s">
        <v>40</v>
      </c>
      <c r="H22268">
        <v>73459</v>
      </c>
      <c r="I22268" t="s">
        <v>30</v>
      </c>
      <c r="J22268" t="s">
        <v>145</v>
      </c>
      <c r="K22268" t="s">
        <v>163</v>
      </c>
      <c r="N22268" t="s">
        <v>84543</v>
      </c>
      <c r="Q22268">
        <v>0</v>
      </c>
      <c r="R22268">
        <v>101</v>
      </c>
      <c r="S22268">
        <v>0</v>
      </c>
      <c r="T22268" t="s">
        <v>84544</v>
      </c>
    </row>
    <row r="22269" spans="1:25" x14ac:dyDescent="0.25">
      <c r="A22269" s="5" t="s">
        <v>24</v>
      </c>
      <c r="B22269" s="5" t="s">
        <v>4400</v>
      </c>
      <c r="C22269" s="5" t="str">
        <f>"57160"</f>
        <v>57160</v>
      </c>
      <c r="D22269" s="5" t="s">
        <v>79037</v>
      </c>
      <c r="E22269" s="5" t="s">
        <v>79038</v>
      </c>
      <c r="F22269" s="5" t="s">
        <v>79039</v>
      </c>
      <c r="G22269" s="5" t="s">
        <v>117</v>
      </c>
      <c r="H22269" s="5">
        <v>49418</v>
      </c>
      <c r="I22269" s="5" t="s">
        <v>30</v>
      </c>
      <c r="J22269" s="5" t="s">
        <v>171</v>
      </c>
      <c r="K22269" s="5" t="s">
        <v>1450</v>
      </c>
      <c r="L22269" s="5"/>
      <c r="M22269" s="5"/>
      <c r="N22269" s="5" t="s">
        <v>79040</v>
      </c>
      <c r="O22269" s="5"/>
      <c r="P22269" s="5"/>
      <c r="Q22269" s="5">
        <v>0</v>
      </c>
      <c r="R22269" s="5">
        <v>90</v>
      </c>
      <c r="S22269" s="5">
        <v>0</v>
      </c>
      <c r="T22269" s="5" t="s">
        <v>79041</v>
      </c>
      <c r="U22269" s="5"/>
      <c r="V22269" s="5"/>
      <c r="W22269" s="5"/>
      <c r="X22269" s="5"/>
      <c r="Y22269" s="5"/>
    </row>
    <row r="22270" spans="1:25" x14ac:dyDescent="0.25">
      <c r="A22270" s="5" t="s">
        <v>24</v>
      </c>
      <c r="B22270" s="5" t="s">
        <v>6363</v>
      </c>
      <c r="C22270" s="5" t="str">
        <f>"A0136812"</f>
        <v>A0136812</v>
      </c>
      <c r="D22270" s="5" t="s">
        <v>79042</v>
      </c>
      <c r="E22270" s="5" t="s">
        <v>79043</v>
      </c>
      <c r="F22270" s="5" t="s">
        <v>2971</v>
      </c>
      <c r="G22270" s="5" t="s">
        <v>880</v>
      </c>
      <c r="H22270" s="5">
        <v>37215</v>
      </c>
      <c r="I22270" s="5" t="s">
        <v>30</v>
      </c>
      <c r="J22270" s="5" t="s">
        <v>171</v>
      </c>
      <c r="K22270" s="5" t="s">
        <v>1450</v>
      </c>
      <c r="L22270" s="5"/>
      <c r="M22270" s="5"/>
      <c r="N22270" s="5" t="s">
        <v>69781</v>
      </c>
      <c r="O22270" s="5" t="s">
        <v>59999</v>
      </c>
      <c r="P22270" s="5"/>
      <c r="Q22270" s="5">
        <v>0</v>
      </c>
      <c r="R22270" s="5">
        <v>118</v>
      </c>
      <c r="S22270" s="5">
        <v>0</v>
      </c>
      <c r="T22270" s="5" t="s">
        <v>79044</v>
      </c>
      <c r="U22270" s="5"/>
      <c r="V22270" s="5"/>
      <c r="W22270" s="5"/>
      <c r="X22270" s="5"/>
      <c r="Y22270" s="5"/>
    </row>
    <row r="22271" spans="1:25" x14ac:dyDescent="0.25">
      <c r="A22271" s="5" t="s">
        <v>24</v>
      </c>
      <c r="B22271" s="5" t="s">
        <v>11027</v>
      </c>
      <c r="C22271" s="5" t="str">
        <f>"A0084228"</f>
        <v>A0084228</v>
      </c>
      <c r="D22271" s="5" t="s">
        <v>79045</v>
      </c>
      <c r="E22271" s="5" t="s">
        <v>79046</v>
      </c>
      <c r="F22271" s="5" t="s">
        <v>9498</v>
      </c>
      <c r="G22271" s="5" t="s">
        <v>214</v>
      </c>
      <c r="H22271" s="5">
        <v>27409</v>
      </c>
      <c r="I22271" s="5" t="s">
        <v>30</v>
      </c>
      <c r="J22271" s="5" t="s">
        <v>171</v>
      </c>
      <c r="K22271" s="5" t="s">
        <v>1450</v>
      </c>
      <c r="L22271" s="5"/>
      <c r="M22271" s="5"/>
      <c r="N22271" s="5" t="s">
        <v>79047</v>
      </c>
      <c r="O22271" s="5"/>
      <c r="P22271" s="5"/>
      <c r="Q22271" s="5">
        <v>0</v>
      </c>
      <c r="R22271" s="5">
        <v>116</v>
      </c>
      <c r="S22271" s="5">
        <v>0</v>
      </c>
      <c r="T22271" s="5" t="s">
        <v>79048</v>
      </c>
      <c r="U22271" s="5"/>
      <c r="V22271" s="5"/>
      <c r="W22271" s="5"/>
      <c r="X22271" s="5"/>
      <c r="Y22271" s="5"/>
    </row>
    <row r="22272" spans="1:25" customFormat="1" ht="15" x14ac:dyDescent="0.25">
      <c r="A22272" t="s">
        <v>24</v>
      </c>
      <c r="B22272" t="s">
        <v>57457</v>
      </c>
      <c r="C22272" t="str">
        <f>"A0098264"</f>
        <v>A0098264</v>
      </c>
      <c r="D22272" t="s">
        <v>84561</v>
      </c>
      <c r="E22272" t="s">
        <v>84562</v>
      </c>
      <c r="F22272" t="s">
        <v>1003</v>
      </c>
      <c r="G22272" t="s">
        <v>81</v>
      </c>
      <c r="H22272">
        <v>33139</v>
      </c>
      <c r="I22272" t="s">
        <v>30</v>
      </c>
      <c r="J22272" t="s">
        <v>31</v>
      </c>
      <c r="K22272" t="s">
        <v>163</v>
      </c>
      <c r="N22272" t="s">
        <v>84563</v>
      </c>
      <c r="Q22272">
        <v>0</v>
      </c>
      <c r="R22272">
        <v>29</v>
      </c>
      <c r="S22272">
        <v>0</v>
      </c>
      <c r="T22272" t="s">
        <v>75135</v>
      </c>
    </row>
    <row r="22273" spans="1:25" x14ac:dyDescent="0.25">
      <c r="A22273" s="5" t="s">
        <v>24</v>
      </c>
      <c r="B22273" s="5" t="s">
        <v>11027</v>
      </c>
      <c r="C22273" s="5" t="str">
        <f>"A0091948"</f>
        <v>A0091948</v>
      </c>
      <c r="D22273" s="5" t="s">
        <v>79049</v>
      </c>
      <c r="E22273" s="5" t="s">
        <v>79050</v>
      </c>
      <c r="F22273" s="5" t="s">
        <v>5905</v>
      </c>
      <c r="G22273" s="5" t="s">
        <v>214</v>
      </c>
      <c r="H22273" s="5">
        <v>27834</v>
      </c>
      <c r="I22273" s="5" t="s">
        <v>30</v>
      </c>
      <c r="J22273" s="5" t="s">
        <v>171</v>
      </c>
      <c r="K22273" s="5" t="s">
        <v>1450</v>
      </c>
      <c r="L22273" s="5"/>
      <c r="M22273" s="5"/>
      <c r="N22273" s="5" t="s">
        <v>79051</v>
      </c>
      <c r="O22273" s="5" t="s">
        <v>79052</v>
      </c>
      <c r="P22273" s="5"/>
      <c r="Q22273" s="5">
        <v>0</v>
      </c>
      <c r="R22273" s="5">
        <v>97</v>
      </c>
      <c r="S22273" s="5">
        <v>0</v>
      </c>
      <c r="T22273" s="5" t="s">
        <v>79053</v>
      </c>
      <c r="U22273" s="5"/>
      <c r="V22273" s="5"/>
      <c r="W22273" s="5"/>
      <c r="X22273" s="5"/>
      <c r="Y22273" s="5"/>
    </row>
    <row r="22274" spans="1:25" customFormat="1" ht="15" x14ac:dyDescent="0.25">
      <c r="A22274" t="s">
        <v>24</v>
      </c>
      <c r="B22274" t="s">
        <v>13299</v>
      </c>
      <c r="C22274" t="str">
        <f>"A0101156"</f>
        <v>A0101156</v>
      </c>
      <c r="D22274" t="s">
        <v>79054</v>
      </c>
      <c r="E22274" t="s">
        <v>79055</v>
      </c>
      <c r="F22274" t="s">
        <v>5905</v>
      </c>
      <c r="G22274" t="s">
        <v>58</v>
      </c>
      <c r="H22274">
        <v>29601</v>
      </c>
      <c r="I22274" t="s">
        <v>30</v>
      </c>
      <c r="J22274" t="s">
        <v>171</v>
      </c>
      <c r="K22274" t="s">
        <v>1450</v>
      </c>
      <c r="N22274" t="s">
        <v>79056</v>
      </c>
      <c r="O22274" t="s">
        <v>79057</v>
      </c>
      <c r="Q22274">
        <v>0</v>
      </c>
      <c r="R22274">
        <v>258</v>
      </c>
      <c r="S22274">
        <v>0</v>
      </c>
      <c r="T22274" t="s">
        <v>79058</v>
      </c>
    </row>
    <row r="22275" spans="1:25" customFormat="1" ht="15" x14ac:dyDescent="0.25">
      <c r="A22275" t="s">
        <v>24</v>
      </c>
      <c r="B22275" t="s">
        <v>342</v>
      </c>
      <c r="C22275" t="str">
        <f>"56975"</f>
        <v>56975</v>
      </c>
      <c r="D22275" t="s">
        <v>79059</v>
      </c>
      <c r="E22275" t="s">
        <v>79060</v>
      </c>
      <c r="F22275" t="s">
        <v>5905</v>
      </c>
      <c r="G22275" t="s">
        <v>58</v>
      </c>
      <c r="H22275">
        <v>29615</v>
      </c>
      <c r="I22275" t="s">
        <v>30</v>
      </c>
      <c r="J22275" t="s">
        <v>171</v>
      </c>
      <c r="K22275" t="s">
        <v>1450</v>
      </c>
      <c r="N22275" t="s">
        <v>79061</v>
      </c>
      <c r="O22275" t="s">
        <v>79062</v>
      </c>
      <c r="Q22275">
        <v>0</v>
      </c>
      <c r="R22275">
        <v>78</v>
      </c>
      <c r="S22275">
        <v>0</v>
      </c>
      <c r="T22275" t="s">
        <v>79063</v>
      </c>
    </row>
    <row r="22276" spans="1:25" x14ac:dyDescent="0.25">
      <c r="A22276" s="5" t="s">
        <v>24</v>
      </c>
      <c r="B22276" s="5" t="s">
        <v>1561</v>
      </c>
      <c r="C22276" s="5" t="str">
        <f>"A0083251"</f>
        <v>A0083251</v>
      </c>
      <c r="D22276" s="5" t="s">
        <v>79064</v>
      </c>
      <c r="E22276" s="5" t="s">
        <v>79065</v>
      </c>
      <c r="F22276" s="5" t="s">
        <v>64675</v>
      </c>
      <c r="G22276" s="5" t="s">
        <v>103</v>
      </c>
      <c r="H22276" s="5">
        <v>17013</v>
      </c>
      <c r="I22276" s="5" t="s">
        <v>30</v>
      </c>
      <c r="J22276" s="5" t="s">
        <v>171</v>
      </c>
      <c r="K22276" s="5" t="s">
        <v>1450</v>
      </c>
      <c r="L22276" s="5"/>
      <c r="M22276" s="5"/>
      <c r="N22276" s="5" t="s">
        <v>79066</v>
      </c>
      <c r="O22276" s="5"/>
      <c r="P22276" s="5"/>
      <c r="Q22276" s="5">
        <v>0</v>
      </c>
      <c r="R22276" s="5">
        <v>78</v>
      </c>
      <c r="S22276" s="5">
        <v>0</v>
      </c>
      <c r="T22276" s="5" t="s">
        <v>79067</v>
      </c>
      <c r="U22276" s="5"/>
      <c r="V22276" s="5"/>
      <c r="W22276" s="5"/>
      <c r="X22276" s="5"/>
      <c r="Y22276" s="5"/>
    </row>
    <row r="22277" spans="1:25" customFormat="1" ht="15" x14ac:dyDescent="0.25">
      <c r="A22277" t="s">
        <v>24</v>
      </c>
      <c r="B22277" t="s">
        <v>7040</v>
      </c>
      <c r="C22277" t="str">
        <f>"A0146928"</f>
        <v>A0146928</v>
      </c>
      <c r="D22277" t="s">
        <v>79068</v>
      </c>
      <c r="E22277" t="s">
        <v>79069</v>
      </c>
      <c r="F22277" t="s">
        <v>8882</v>
      </c>
      <c r="G22277" t="s">
        <v>103</v>
      </c>
      <c r="H22277">
        <v>17110</v>
      </c>
      <c r="I22277" t="s">
        <v>30</v>
      </c>
      <c r="J22277" t="s">
        <v>171</v>
      </c>
      <c r="K22277" t="s">
        <v>1450</v>
      </c>
      <c r="N22277" t="s">
        <v>79070</v>
      </c>
      <c r="O22277" t="s">
        <v>79071</v>
      </c>
      <c r="Q22277">
        <v>0</v>
      </c>
      <c r="R22277">
        <v>127</v>
      </c>
      <c r="S22277">
        <v>0</v>
      </c>
      <c r="T22277" t="s">
        <v>79072</v>
      </c>
    </row>
    <row r="22278" spans="1:25" customFormat="1" ht="15" x14ac:dyDescent="0.25">
      <c r="A22278" t="s">
        <v>24</v>
      </c>
      <c r="B22278" t="s">
        <v>1849</v>
      </c>
      <c r="C22278" t="str">
        <f>"56608"</f>
        <v>56608</v>
      </c>
      <c r="D22278" t="s">
        <v>79073</v>
      </c>
      <c r="E22278" t="s">
        <v>58058</v>
      </c>
      <c r="F22278" t="s">
        <v>56834</v>
      </c>
      <c r="G22278" t="s">
        <v>615</v>
      </c>
      <c r="H22278">
        <v>6103</v>
      </c>
      <c r="I22278" t="s">
        <v>30</v>
      </c>
      <c r="J22278" t="s">
        <v>171</v>
      </c>
      <c r="K22278" t="s">
        <v>1450</v>
      </c>
      <c r="N22278" t="s">
        <v>79074</v>
      </c>
      <c r="O22278" t="s">
        <v>79075</v>
      </c>
      <c r="Q22278">
        <v>0</v>
      </c>
      <c r="R22278">
        <v>120</v>
      </c>
      <c r="S22278">
        <v>0</v>
      </c>
      <c r="T22278" t="s">
        <v>79076</v>
      </c>
    </row>
    <row r="22279" spans="1:25" x14ac:dyDescent="0.25">
      <c r="A22279" s="5" t="s">
        <v>24</v>
      </c>
      <c r="B22279" s="5" t="s">
        <v>1323</v>
      </c>
      <c r="C22279" s="5" t="str">
        <f>"A0086983"</f>
        <v>A0086983</v>
      </c>
      <c r="D22279" s="5" t="s">
        <v>79077</v>
      </c>
      <c r="E22279" s="5" t="s">
        <v>79078</v>
      </c>
      <c r="F22279" s="5" t="s">
        <v>57658</v>
      </c>
      <c r="G22279" s="5" t="s">
        <v>1369</v>
      </c>
      <c r="H22279" s="5">
        <v>39401</v>
      </c>
      <c r="I22279" s="5" t="s">
        <v>30</v>
      </c>
      <c r="J22279" s="5" t="s">
        <v>171</v>
      </c>
      <c r="K22279" s="5" t="s">
        <v>1450</v>
      </c>
      <c r="L22279" s="5"/>
      <c r="M22279" s="5"/>
      <c r="N22279" s="5" t="s">
        <v>79079</v>
      </c>
      <c r="O22279" s="5"/>
      <c r="P22279" s="5"/>
      <c r="Q22279" s="5">
        <v>0</v>
      </c>
      <c r="R22279" s="5">
        <v>84</v>
      </c>
      <c r="S22279" s="5">
        <v>0</v>
      </c>
      <c r="T22279" s="5" t="s">
        <v>79080</v>
      </c>
      <c r="U22279" s="5"/>
      <c r="V22279" s="5"/>
      <c r="W22279" s="5"/>
      <c r="X22279" s="5"/>
      <c r="Y22279" s="5"/>
    </row>
    <row r="22280" spans="1:25" x14ac:dyDescent="0.25">
      <c r="A22280" s="5" t="s">
        <v>24</v>
      </c>
      <c r="B22280" s="5" t="s">
        <v>6976</v>
      </c>
      <c r="C22280" s="5" t="str">
        <f>"A0086233"</f>
        <v>A0086233</v>
      </c>
      <c r="D22280" s="5" t="s">
        <v>79081</v>
      </c>
      <c r="E22280" s="5" t="s">
        <v>79082</v>
      </c>
      <c r="F22280" s="5" t="s">
        <v>68166</v>
      </c>
      <c r="G22280" s="5" t="s">
        <v>103</v>
      </c>
      <c r="H22280" s="5">
        <v>18202</v>
      </c>
      <c r="I22280" s="5" t="s">
        <v>30</v>
      </c>
      <c r="J22280" s="5" t="s">
        <v>171</v>
      </c>
      <c r="K22280" s="5" t="s">
        <v>1450</v>
      </c>
      <c r="L22280" s="5"/>
      <c r="M22280" s="5"/>
      <c r="N22280" s="5" t="s">
        <v>68167</v>
      </c>
      <c r="O22280" s="5" t="s">
        <v>79083</v>
      </c>
      <c r="P22280" s="5"/>
      <c r="Q22280" s="5">
        <v>0</v>
      </c>
      <c r="R22280" s="5">
        <v>92</v>
      </c>
      <c r="S22280" s="5">
        <v>0</v>
      </c>
      <c r="T22280" s="5" t="s">
        <v>79084</v>
      </c>
      <c r="U22280" s="5"/>
      <c r="V22280" s="5"/>
      <c r="W22280" s="5"/>
      <c r="X22280" s="5"/>
      <c r="Y22280" s="5"/>
    </row>
    <row r="22281" spans="1:25" customFormat="1" ht="15" x14ac:dyDescent="0.25">
      <c r="A22281" t="s">
        <v>24</v>
      </c>
      <c r="B22281" t="s">
        <v>5843</v>
      </c>
      <c r="C22281" t="str">
        <f>"57434"</f>
        <v>57434</v>
      </c>
      <c r="D22281" t="s">
        <v>79085</v>
      </c>
      <c r="E22281" t="s">
        <v>79086</v>
      </c>
      <c r="F22281" t="s">
        <v>3353</v>
      </c>
      <c r="G22281" t="s">
        <v>221</v>
      </c>
      <c r="H22281">
        <v>89014</v>
      </c>
      <c r="I22281" t="s">
        <v>30</v>
      </c>
      <c r="J22281" t="s">
        <v>171</v>
      </c>
      <c r="K22281" t="s">
        <v>1450</v>
      </c>
      <c r="N22281" t="s">
        <v>79087</v>
      </c>
      <c r="O22281" t="s">
        <v>61040</v>
      </c>
      <c r="Q22281">
        <v>0</v>
      </c>
      <c r="R22281">
        <v>126</v>
      </c>
      <c r="S22281">
        <v>0</v>
      </c>
      <c r="T22281" t="s">
        <v>79088</v>
      </c>
    </row>
    <row r="22282" spans="1:25" x14ac:dyDescent="0.25">
      <c r="A22282" s="5" t="s">
        <v>24</v>
      </c>
      <c r="B22282" s="5" t="s">
        <v>8579</v>
      </c>
      <c r="C22282" s="5" t="str">
        <f>"57119"</f>
        <v>57119</v>
      </c>
      <c r="D22282" s="5" t="s">
        <v>79089</v>
      </c>
      <c r="E22282" s="5" t="s">
        <v>79090</v>
      </c>
      <c r="F22282" s="5" t="s">
        <v>34764</v>
      </c>
      <c r="G22282" s="5" t="s">
        <v>29</v>
      </c>
      <c r="H22282" s="5">
        <v>20170</v>
      </c>
      <c r="I22282" s="5" t="s">
        <v>30</v>
      </c>
      <c r="J22282" s="5" t="s">
        <v>171</v>
      </c>
      <c r="K22282" s="5" t="s">
        <v>1450</v>
      </c>
      <c r="L22282" s="5"/>
      <c r="M22282" s="5"/>
      <c r="N22282" s="5" t="s">
        <v>79091</v>
      </c>
      <c r="O22282" s="5"/>
      <c r="P22282" s="5"/>
      <c r="Q22282" s="5">
        <v>0</v>
      </c>
      <c r="R22282" s="5">
        <v>168</v>
      </c>
      <c r="S22282" s="5">
        <v>0</v>
      </c>
      <c r="T22282" s="5" t="s">
        <v>79092</v>
      </c>
      <c r="U22282" s="5"/>
      <c r="V22282" s="5"/>
      <c r="W22282" s="5"/>
      <c r="X22282" s="5"/>
      <c r="Y22282" s="5"/>
    </row>
    <row r="22283" spans="1:25" customFormat="1" ht="15" x14ac:dyDescent="0.25">
      <c r="A22283" t="s">
        <v>24</v>
      </c>
      <c r="B22283" t="s">
        <v>13679</v>
      </c>
      <c r="C22283" t="str">
        <f>"56933"</f>
        <v>56933</v>
      </c>
      <c r="D22283" t="s">
        <v>79093</v>
      </c>
      <c r="E22283" t="s">
        <v>79094</v>
      </c>
      <c r="F22283" t="s">
        <v>71473</v>
      </c>
      <c r="G22283" t="s">
        <v>190</v>
      </c>
      <c r="H22283">
        <v>80126</v>
      </c>
      <c r="I22283" t="s">
        <v>30</v>
      </c>
      <c r="J22283" t="s">
        <v>171</v>
      </c>
      <c r="K22283" t="s">
        <v>1450</v>
      </c>
      <c r="N22283" t="s">
        <v>79095</v>
      </c>
      <c r="Q22283">
        <v>0</v>
      </c>
      <c r="R22283">
        <v>117</v>
      </c>
      <c r="S22283">
        <v>0</v>
      </c>
      <c r="T22283" t="s">
        <v>79096</v>
      </c>
    </row>
    <row r="22284" spans="1:25" x14ac:dyDescent="0.25">
      <c r="A22284" s="5" t="s">
        <v>24</v>
      </c>
      <c r="B22284" s="5" t="s">
        <v>2368</v>
      </c>
      <c r="C22284" s="5" t="str">
        <f>"A0096022"</f>
        <v>A0096022</v>
      </c>
      <c r="D22284" s="5" t="s">
        <v>79097</v>
      </c>
      <c r="E22284" s="5" t="s">
        <v>79098</v>
      </c>
      <c r="F22284" s="5" t="s">
        <v>276</v>
      </c>
      <c r="G22284" s="5" t="s">
        <v>47</v>
      </c>
      <c r="H22284" s="5">
        <v>97124</v>
      </c>
      <c r="I22284" s="5" t="s">
        <v>30</v>
      </c>
      <c r="J22284" s="5" t="s">
        <v>171</v>
      </c>
      <c r="K22284" s="5" t="s">
        <v>1450</v>
      </c>
      <c r="L22284" s="5"/>
      <c r="M22284" s="5"/>
      <c r="N22284" s="5" t="s">
        <v>79099</v>
      </c>
      <c r="O22284" s="5" t="s">
        <v>79100</v>
      </c>
      <c r="P22284" s="5"/>
      <c r="Q22284" s="5">
        <v>0</v>
      </c>
      <c r="R22284" s="5">
        <v>140</v>
      </c>
      <c r="S22284" s="5">
        <v>0</v>
      </c>
      <c r="T22284" s="5" t="s">
        <v>79101</v>
      </c>
      <c r="U22284" s="5"/>
      <c r="V22284" s="5"/>
      <c r="W22284" s="5"/>
      <c r="X22284" s="5"/>
      <c r="Y22284" s="5"/>
    </row>
    <row r="22285" spans="1:25" customFormat="1" ht="15" x14ac:dyDescent="0.25">
      <c r="A22285" t="s">
        <v>24</v>
      </c>
      <c r="B22285" t="s">
        <v>6667</v>
      </c>
      <c r="C22285" t="str">
        <f>"A0085887"</f>
        <v>A0085887</v>
      </c>
      <c r="D22285" t="s">
        <v>84620</v>
      </c>
      <c r="E22285" t="s">
        <v>84621</v>
      </c>
      <c r="F22285" t="s">
        <v>5518</v>
      </c>
      <c r="G22285" t="s">
        <v>197</v>
      </c>
      <c r="H22285">
        <v>85308</v>
      </c>
      <c r="I22285" t="s">
        <v>30</v>
      </c>
      <c r="J22285" t="s">
        <v>178</v>
      </c>
      <c r="K22285" t="s">
        <v>6667</v>
      </c>
      <c r="N22285" t="s">
        <v>84622</v>
      </c>
      <c r="O22285" t="s">
        <v>84623</v>
      </c>
      <c r="Q22285">
        <v>0</v>
      </c>
      <c r="R22285">
        <v>0</v>
      </c>
      <c r="S22285">
        <v>0</v>
      </c>
      <c r="T22285" t="s">
        <v>84624</v>
      </c>
    </row>
    <row r="22286" spans="1:25" x14ac:dyDescent="0.25">
      <c r="A22286" s="5" t="s">
        <v>24</v>
      </c>
      <c r="B22286" s="5" t="s">
        <v>4400</v>
      </c>
      <c r="C22286" s="5" t="str">
        <f>"56513"</f>
        <v>56513</v>
      </c>
      <c r="D22286" s="5" t="s">
        <v>79102</v>
      </c>
      <c r="E22286" s="5" t="s">
        <v>79103</v>
      </c>
      <c r="F22286" s="5" t="s">
        <v>35424</v>
      </c>
      <c r="G22286" s="5" t="s">
        <v>117</v>
      </c>
      <c r="H22286" s="5">
        <v>49423</v>
      </c>
      <c r="I22286" s="5" t="s">
        <v>30</v>
      </c>
      <c r="J22286" s="5" t="s">
        <v>171</v>
      </c>
      <c r="K22286" s="5" t="s">
        <v>1450</v>
      </c>
      <c r="L22286" s="5"/>
      <c r="M22286" s="5"/>
      <c r="N22286" s="5" t="s">
        <v>79104</v>
      </c>
      <c r="O22286" s="5"/>
      <c r="P22286" s="5"/>
      <c r="Q22286" s="5">
        <v>0</v>
      </c>
      <c r="R22286" s="5">
        <v>78</v>
      </c>
      <c r="S22286" s="5">
        <v>0</v>
      </c>
      <c r="T22286" s="5" t="s">
        <v>79105</v>
      </c>
      <c r="U22286" s="5"/>
      <c r="V22286" s="5"/>
      <c r="W22286" s="5"/>
      <c r="X22286" s="5"/>
      <c r="Y22286" s="5"/>
    </row>
    <row r="22287" spans="1:25" customFormat="1" ht="15" x14ac:dyDescent="0.25">
      <c r="A22287" t="s">
        <v>24</v>
      </c>
      <c r="B22287" t="s">
        <v>2528</v>
      </c>
      <c r="C22287" t="str">
        <f>"A0069546"</f>
        <v>A0069546</v>
      </c>
      <c r="D22287" t="s">
        <v>79106</v>
      </c>
      <c r="E22287" t="s">
        <v>79107</v>
      </c>
      <c r="F22287" t="s">
        <v>79108</v>
      </c>
      <c r="G22287" t="s">
        <v>99</v>
      </c>
      <c r="H22287">
        <v>11742</v>
      </c>
      <c r="I22287" t="s">
        <v>30</v>
      </c>
      <c r="J22287" t="s">
        <v>171</v>
      </c>
      <c r="K22287" t="s">
        <v>1450</v>
      </c>
      <c r="N22287" t="s">
        <v>79109</v>
      </c>
      <c r="Q22287">
        <v>0</v>
      </c>
      <c r="R22287">
        <v>124</v>
      </c>
      <c r="S22287">
        <v>0</v>
      </c>
      <c r="T22287" t="s">
        <v>79110</v>
      </c>
    </row>
    <row r="22288" spans="1:25" customFormat="1" ht="15" x14ac:dyDescent="0.25">
      <c r="A22288" t="s">
        <v>24</v>
      </c>
      <c r="B22288" t="s">
        <v>54853</v>
      </c>
      <c r="C22288" t="str">
        <f>"A0093639"</f>
        <v>A0093639</v>
      </c>
      <c r="D22288" t="s">
        <v>79111</v>
      </c>
      <c r="E22288" t="s">
        <v>79112</v>
      </c>
      <c r="F22288" t="s">
        <v>1564</v>
      </c>
      <c r="G22288" t="s">
        <v>52</v>
      </c>
      <c r="H22288">
        <v>77065</v>
      </c>
      <c r="I22288" t="s">
        <v>30</v>
      </c>
      <c r="J22288" t="s">
        <v>171</v>
      </c>
      <c r="K22288" t="s">
        <v>1450</v>
      </c>
      <c r="N22288" t="s">
        <v>79113</v>
      </c>
      <c r="O22288" t="s">
        <v>79114</v>
      </c>
      <c r="Q22288">
        <v>0</v>
      </c>
      <c r="R22288">
        <v>103</v>
      </c>
      <c r="S22288">
        <v>0</v>
      </c>
      <c r="T22288" t="s">
        <v>79115</v>
      </c>
    </row>
    <row r="22289" spans="1:25" customFormat="1" ht="15" x14ac:dyDescent="0.25">
      <c r="A22289" t="s">
        <v>24</v>
      </c>
      <c r="B22289" t="s">
        <v>57457</v>
      </c>
      <c r="C22289" t="str">
        <f>"A0099800"</f>
        <v>A0099800</v>
      </c>
      <c r="D22289" t="s">
        <v>84641</v>
      </c>
      <c r="E22289" t="s">
        <v>84642</v>
      </c>
      <c r="F22289" t="s">
        <v>1570</v>
      </c>
      <c r="G22289" t="s">
        <v>81</v>
      </c>
      <c r="H22289">
        <v>33304</v>
      </c>
      <c r="I22289" t="s">
        <v>30</v>
      </c>
      <c r="J22289" t="s">
        <v>31</v>
      </c>
      <c r="K22289" t="s">
        <v>163</v>
      </c>
      <c r="N22289" t="s">
        <v>84643</v>
      </c>
      <c r="Q22289">
        <v>0</v>
      </c>
      <c r="R22289">
        <v>145</v>
      </c>
      <c r="S22289">
        <v>0</v>
      </c>
      <c r="T22289" t="s">
        <v>84644</v>
      </c>
    </row>
    <row r="22290" spans="1:25" customFormat="1" ht="15" x14ac:dyDescent="0.25">
      <c r="A22290" t="s">
        <v>24</v>
      </c>
      <c r="B22290" t="s">
        <v>33301</v>
      </c>
      <c r="C22290" t="str">
        <f>"A0091451"</f>
        <v>A0091451</v>
      </c>
      <c r="D22290" t="s">
        <v>79116</v>
      </c>
      <c r="E22290" t="s">
        <v>79117</v>
      </c>
      <c r="F22290" t="s">
        <v>1564</v>
      </c>
      <c r="G22290" t="s">
        <v>52</v>
      </c>
      <c r="H22290">
        <v>77084</v>
      </c>
      <c r="I22290" t="s">
        <v>30</v>
      </c>
      <c r="J22290" t="s">
        <v>171</v>
      </c>
      <c r="K22290" t="s">
        <v>1450</v>
      </c>
      <c r="N22290" t="s">
        <v>79118</v>
      </c>
      <c r="O22290" t="s">
        <v>79119</v>
      </c>
      <c r="Q22290">
        <v>0</v>
      </c>
      <c r="R22290">
        <v>120</v>
      </c>
      <c r="S22290">
        <v>0</v>
      </c>
      <c r="T22290" t="s">
        <v>79120</v>
      </c>
    </row>
    <row r="22291" spans="1:25" customFormat="1" ht="15" x14ac:dyDescent="0.25">
      <c r="A22291" t="s">
        <v>24</v>
      </c>
      <c r="B22291" t="s">
        <v>54853</v>
      </c>
      <c r="C22291" t="str">
        <f>"A0097672"</f>
        <v>A0097672</v>
      </c>
      <c r="D22291" t="s">
        <v>79121</v>
      </c>
      <c r="E22291" t="s">
        <v>79122</v>
      </c>
      <c r="F22291" t="s">
        <v>79123</v>
      </c>
      <c r="G22291" t="s">
        <v>52</v>
      </c>
      <c r="H22291">
        <v>77377</v>
      </c>
      <c r="I22291" t="s">
        <v>30</v>
      </c>
      <c r="J22291" t="s">
        <v>171</v>
      </c>
      <c r="K22291" t="s">
        <v>1450</v>
      </c>
      <c r="N22291" t="s">
        <v>70903</v>
      </c>
      <c r="O22291" t="s">
        <v>54857</v>
      </c>
      <c r="Q22291">
        <v>0</v>
      </c>
      <c r="R22291">
        <v>103</v>
      </c>
      <c r="S22291">
        <v>0</v>
      </c>
      <c r="T22291" t="s">
        <v>79124</v>
      </c>
    </row>
    <row r="22292" spans="1:25" customFormat="1" ht="15" x14ac:dyDescent="0.25">
      <c r="A22292" t="s">
        <v>24</v>
      </c>
      <c r="B22292" t="s">
        <v>33301</v>
      </c>
      <c r="C22292" t="str">
        <f>"A0075821"</f>
        <v>A0075821</v>
      </c>
      <c r="D22292" t="s">
        <v>79125</v>
      </c>
      <c r="E22292" t="s">
        <v>79126</v>
      </c>
      <c r="F22292" t="s">
        <v>1564</v>
      </c>
      <c r="G22292" t="s">
        <v>52</v>
      </c>
      <c r="H22292">
        <v>77077</v>
      </c>
      <c r="I22292" t="s">
        <v>30</v>
      </c>
      <c r="J22292" t="s">
        <v>171</v>
      </c>
      <c r="K22292" t="s">
        <v>1450</v>
      </c>
      <c r="N22292" t="s">
        <v>79127</v>
      </c>
      <c r="Q22292">
        <v>0</v>
      </c>
      <c r="R22292">
        <v>129</v>
      </c>
      <c r="S22292">
        <v>0</v>
      </c>
      <c r="T22292" t="s">
        <v>79128</v>
      </c>
    </row>
    <row r="22293" spans="1:25" customFormat="1" ht="15" x14ac:dyDescent="0.25">
      <c r="A22293" t="s">
        <v>24</v>
      </c>
      <c r="B22293" t="s">
        <v>2528</v>
      </c>
      <c r="C22293" t="str">
        <f>"A0068114"</f>
        <v>A0068114</v>
      </c>
      <c r="D22293" t="s">
        <v>79129</v>
      </c>
      <c r="E22293" t="s">
        <v>79130</v>
      </c>
      <c r="F22293" t="s">
        <v>1564</v>
      </c>
      <c r="G22293" t="s">
        <v>52</v>
      </c>
      <c r="H22293">
        <v>77005</v>
      </c>
      <c r="I22293" t="s">
        <v>30</v>
      </c>
      <c r="J22293" t="s">
        <v>171</v>
      </c>
      <c r="K22293" t="s">
        <v>1450</v>
      </c>
      <c r="N22293" t="s">
        <v>3486</v>
      </c>
      <c r="O22293" t="s">
        <v>60699</v>
      </c>
      <c r="Q22293">
        <v>0</v>
      </c>
      <c r="R22293">
        <v>120</v>
      </c>
      <c r="S22293">
        <v>0</v>
      </c>
      <c r="T22293" t="s">
        <v>79131</v>
      </c>
    </row>
    <row r="22294" spans="1:25" customFormat="1" ht="15" x14ac:dyDescent="0.25">
      <c r="A22294" t="s">
        <v>24</v>
      </c>
      <c r="B22294" t="s">
        <v>1020</v>
      </c>
      <c r="C22294" t="str">
        <f>"57324"</f>
        <v>57324</v>
      </c>
      <c r="D22294" t="s">
        <v>79132</v>
      </c>
      <c r="E22294" t="s">
        <v>79133</v>
      </c>
      <c r="F22294" t="s">
        <v>1564</v>
      </c>
      <c r="G22294" t="s">
        <v>52</v>
      </c>
      <c r="H22294">
        <v>77042</v>
      </c>
      <c r="I22294" t="s">
        <v>30</v>
      </c>
      <c r="J22294" t="s">
        <v>171</v>
      </c>
      <c r="K22294" t="s">
        <v>1450</v>
      </c>
      <c r="N22294" t="s">
        <v>79134</v>
      </c>
      <c r="Q22294">
        <v>0</v>
      </c>
      <c r="R22294">
        <v>120</v>
      </c>
      <c r="S22294">
        <v>0</v>
      </c>
      <c r="T22294" t="s">
        <v>79135</v>
      </c>
    </row>
    <row r="22295" spans="1:25" x14ac:dyDescent="0.25">
      <c r="A22295" s="5" t="s">
        <v>24</v>
      </c>
      <c r="B22295" s="5" t="s">
        <v>60077</v>
      </c>
      <c r="C22295" s="5" t="str">
        <f>"56544"</f>
        <v>56544</v>
      </c>
      <c r="D22295" s="5" t="s">
        <v>79136</v>
      </c>
      <c r="E22295" s="5" t="s">
        <v>79137</v>
      </c>
      <c r="F22295" s="5" t="s">
        <v>13589</v>
      </c>
      <c r="G22295" s="5" t="s">
        <v>381</v>
      </c>
      <c r="H22295" s="5">
        <v>46032</v>
      </c>
      <c r="I22295" s="5" t="s">
        <v>30</v>
      </c>
      <c r="J22295" s="5" t="s">
        <v>171</v>
      </c>
      <c r="K22295" s="5" t="s">
        <v>1450</v>
      </c>
      <c r="L22295" s="5"/>
      <c r="M22295" s="5"/>
      <c r="N22295" s="5" t="s">
        <v>79138</v>
      </c>
      <c r="O22295" s="5"/>
      <c r="P22295" s="5"/>
      <c r="Q22295" s="5">
        <v>0</v>
      </c>
      <c r="R22295" s="5">
        <v>120</v>
      </c>
      <c r="S22295" s="5">
        <v>0</v>
      </c>
      <c r="T22295" s="5" t="s">
        <v>79139</v>
      </c>
      <c r="U22295" s="5"/>
      <c r="V22295" s="5"/>
      <c r="W22295" s="5"/>
      <c r="X22295" s="5"/>
      <c r="Y22295" s="5"/>
    </row>
    <row r="22296" spans="1:25" customFormat="1" ht="15" x14ac:dyDescent="0.25">
      <c r="A22296" t="s">
        <v>24</v>
      </c>
      <c r="B22296" t="s">
        <v>84672</v>
      </c>
      <c r="C22296" t="str">
        <f>"A0049964"</f>
        <v>A0049964</v>
      </c>
      <c r="D22296" t="s">
        <v>84672</v>
      </c>
      <c r="E22296" t="s">
        <v>84673</v>
      </c>
      <c r="F22296" t="s">
        <v>1519</v>
      </c>
      <c r="G22296" t="s">
        <v>110</v>
      </c>
      <c r="H22296">
        <v>90024</v>
      </c>
      <c r="I22296" t="s">
        <v>30</v>
      </c>
      <c r="J22296" t="s">
        <v>178</v>
      </c>
      <c r="K22296" t="s">
        <v>179</v>
      </c>
      <c r="N22296" t="s">
        <v>84674</v>
      </c>
      <c r="O22296" t="s">
        <v>84675</v>
      </c>
      <c r="Q22296">
        <v>0</v>
      </c>
      <c r="R22296">
        <v>14</v>
      </c>
      <c r="S22296">
        <v>0</v>
      </c>
      <c r="T22296" t="s">
        <v>84676</v>
      </c>
    </row>
    <row r="22297" spans="1:25" customFormat="1" ht="15" x14ac:dyDescent="0.25">
      <c r="A22297" t="s">
        <v>24</v>
      </c>
      <c r="B22297" t="s">
        <v>2812</v>
      </c>
      <c r="C22297" t="str">
        <f>"56892"</f>
        <v>56892</v>
      </c>
      <c r="D22297" t="s">
        <v>79140</v>
      </c>
      <c r="E22297" t="s">
        <v>79141</v>
      </c>
      <c r="F22297" t="s">
        <v>9431</v>
      </c>
      <c r="G22297" t="s">
        <v>381</v>
      </c>
      <c r="H22297">
        <v>46241</v>
      </c>
      <c r="I22297" t="s">
        <v>30</v>
      </c>
      <c r="J22297" t="s">
        <v>171</v>
      </c>
      <c r="K22297" t="s">
        <v>1450</v>
      </c>
      <c r="N22297" t="s">
        <v>79142</v>
      </c>
      <c r="O22297" t="s">
        <v>65055</v>
      </c>
      <c r="Q22297">
        <v>0</v>
      </c>
      <c r="R22297">
        <v>95</v>
      </c>
      <c r="S22297">
        <v>0</v>
      </c>
      <c r="T22297" t="s">
        <v>79143</v>
      </c>
    </row>
    <row r="22298" spans="1:25" x14ac:dyDescent="0.25">
      <c r="A22298" s="5" t="s">
        <v>24</v>
      </c>
      <c r="B22298" s="5" t="s">
        <v>1561</v>
      </c>
      <c r="C22298" s="5" t="str">
        <f>"A0066731"</f>
        <v>A0066731</v>
      </c>
      <c r="D22298" s="5" t="s">
        <v>79144</v>
      </c>
      <c r="E22298" s="5" t="s">
        <v>79145</v>
      </c>
      <c r="F22298" s="5" t="s">
        <v>9431</v>
      </c>
      <c r="G22298" s="5" t="s">
        <v>381</v>
      </c>
      <c r="H22298" s="5">
        <v>46278</v>
      </c>
      <c r="I22298" s="5" t="s">
        <v>30</v>
      </c>
      <c r="J22298" s="5" t="s">
        <v>171</v>
      </c>
      <c r="K22298" s="5" t="s">
        <v>1450</v>
      </c>
      <c r="L22298" s="5"/>
      <c r="M22298" s="5"/>
      <c r="N22298" s="5" t="s">
        <v>63441</v>
      </c>
      <c r="O22298" s="5" t="s">
        <v>70501</v>
      </c>
      <c r="P22298" s="5"/>
      <c r="Q22298" s="5">
        <v>0</v>
      </c>
      <c r="R22298" s="5">
        <v>78</v>
      </c>
      <c r="S22298" s="5">
        <v>0</v>
      </c>
      <c r="T22298" s="5" t="s">
        <v>79146</v>
      </c>
      <c r="U22298" s="5"/>
      <c r="V22298" s="5"/>
      <c r="W22298" s="5"/>
      <c r="X22298" s="5"/>
      <c r="Y22298" s="5"/>
    </row>
    <row r="22299" spans="1:25" customFormat="1" ht="15" x14ac:dyDescent="0.25">
      <c r="A22299" t="s">
        <v>24</v>
      </c>
      <c r="B22299" t="s">
        <v>675</v>
      </c>
      <c r="C22299" t="str">
        <f>"57445"</f>
        <v>57445</v>
      </c>
      <c r="D22299" t="s">
        <v>79147</v>
      </c>
      <c r="E22299" t="s">
        <v>79148</v>
      </c>
      <c r="F22299" t="s">
        <v>808</v>
      </c>
      <c r="G22299" t="s">
        <v>110</v>
      </c>
      <c r="H22299">
        <v>92614</v>
      </c>
      <c r="I22299" t="s">
        <v>30</v>
      </c>
      <c r="J22299" t="s">
        <v>171</v>
      </c>
      <c r="K22299" t="s">
        <v>1450</v>
      </c>
      <c r="N22299" t="s">
        <v>79149</v>
      </c>
      <c r="Q22299">
        <v>0</v>
      </c>
      <c r="R22299">
        <v>174</v>
      </c>
      <c r="S22299">
        <v>0</v>
      </c>
      <c r="T22299" t="s">
        <v>79150</v>
      </c>
    </row>
    <row r="22300" spans="1:25" customFormat="1" ht="15" x14ac:dyDescent="0.25">
      <c r="A22300" t="s">
        <v>24</v>
      </c>
      <c r="B22300" t="s">
        <v>675</v>
      </c>
      <c r="C22300" t="str">
        <f>"57418"</f>
        <v>57418</v>
      </c>
      <c r="D22300" t="s">
        <v>79151</v>
      </c>
      <c r="E22300" t="s">
        <v>79152</v>
      </c>
      <c r="F22300" t="s">
        <v>808</v>
      </c>
      <c r="G22300" t="s">
        <v>110</v>
      </c>
      <c r="H22300">
        <v>92618</v>
      </c>
      <c r="I22300" t="s">
        <v>30</v>
      </c>
      <c r="J22300" t="s">
        <v>171</v>
      </c>
      <c r="K22300" t="s">
        <v>1450</v>
      </c>
      <c r="N22300" t="s">
        <v>79153</v>
      </c>
      <c r="O22300" t="s">
        <v>3486</v>
      </c>
      <c r="Q22300">
        <v>0</v>
      </c>
      <c r="R22300">
        <v>112</v>
      </c>
      <c r="S22300">
        <v>0</v>
      </c>
      <c r="T22300" t="s">
        <v>79154</v>
      </c>
    </row>
    <row r="22301" spans="1:25" customFormat="1" ht="15" x14ac:dyDescent="0.25">
      <c r="A22301" t="s">
        <v>24</v>
      </c>
      <c r="B22301" t="s">
        <v>84696</v>
      </c>
      <c r="C22301" t="str">
        <f>"A0145811"</f>
        <v>A0145811</v>
      </c>
      <c r="D22301" t="s">
        <v>84697</v>
      </c>
      <c r="E22301" t="s">
        <v>84698</v>
      </c>
      <c r="F22301" t="s">
        <v>84699</v>
      </c>
      <c r="G22301" t="s">
        <v>110</v>
      </c>
      <c r="H22301">
        <v>94577</v>
      </c>
      <c r="I22301" t="s">
        <v>30</v>
      </c>
      <c r="J22301" t="s">
        <v>31</v>
      </c>
      <c r="K22301" t="s">
        <v>163</v>
      </c>
      <c r="N22301" t="s">
        <v>84700</v>
      </c>
      <c r="O22301" t="s">
        <v>57402</v>
      </c>
      <c r="Q22301">
        <v>0</v>
      </c>
      <c r="R22301">
        <v>151</v>
      </c>
      <c r="S22301">
        <v>0</v>
      </c>
      <c r="T22301" t="s">
        <v>84701</v>
      </c>
    </row>
    <row r="22302" spans="1:25" x14ac:dyDescent="0.25">
      <c r="A22302" s="5" t="s">
        <v>24</v>
      </c>
      <c r="B22302" s="5" t="s">
        <v>2180</v>
      </c>
      <c r="C22302" s="5" t="str">
        <f>"A0090668"</f>
        <v>A0090668</v>
      </c>
      <c r="D22302" s="5" t="s">
        <v>79155</v>
      </c>
      <c r="E22302" s="5" t="s">
        <v>79156</v>
      </c>
      <c r="F22302" s="5" t="s">
        <v>5833</v>
      </c>
      <c r="G22302" s="5" t="s">
        <v>880</v>
      </c>
      <c r="H22302" s="5">
        <v>38305</v>
      </c>
      <c r="I22302" s="5" t="s">
        <v>30</v>
      </c>
      <c r="J22302" s="5" t="s">
        <v>171</v>
      </c>
      <c r="K22302" s="5" t="s">
        <v>1450</v>
      </c>
      <c r="L22302" s="5"/>
      <c r="M22302" s="5"/>
      <c r="N22302" s="5" t="s">
        <v>79157</v>
      </c>
      <c r="O22302" s="5"/>
      <c r="P22302" s="5"/>
      <c r="Q22302" s="5">
        <v>0</v>
      </c>
      <c r="R22302" s="5">
        <v>92</v>
      </c>
      <c r="S22302" s="5">
        <v>0</v>
      </c>
      <c r="T22302" s="5" t="s">
        <v>79158</v>
      </c>
      <c r="U22302" s="5"/>
      <c r="V22302" s="5"/>
      <c r="W22302" s="5"/>
      <c r="X22302" s="5"/>
      <c r="Y22302" s="5"/>
    </row>
    <row r="22303" spans="1:25" customFormat="1" ht="15" hidden="1" x14ac:dyDescent="0.25">
      <c r="A22303" t="s">
        <v>24</v>
      </c>
      <c r="B22303" t="s">
        <v>1548</v>
      </c>
      <c r="C22303" t="str">
        <f>"A0099808"</f>
        <v>A0099808</v>
      </c>
      <c r="D22303" t="s">
        <v>84706</v>
      </c>
      <c r="E22303" t="s">
        <v>84707</v>
      </c>
      <c r="F22303" t="s">
        <v>59059</v>
      </c>
      <c r="G22303" t="s">
        <v>1457</v>
      </c>
      <c r="H22303" t="s">
        <v>84708</v>
      </c>
      <c r="I22303" t="s">
        <v>1459</v>
      </c>
      <c r="J22303" t="s">
        <v>171</v>
      </c>
      <c r="K22303" t="s">
        <v>163</v>
      </c>
      <c r="N22303" t="s">
        <v>76262</v>
      </c>
      <c r="Q22303">
        <v>0</v>
      </c>
      <c r="R22303">
        <v>184</v>
      </c>
      <c r="S22303">
        <v>0</v>
      </c>
      <c r="T22303" t="s">
        <v>84709</v>
      </c>
    </row>
    <row r="22304" spans="1:25" customFormat="1" ht="15" x14ac:dyDescent="0.25">
      <c r="A22304" t="s">
        <v>24</v>
      </c>
      <c r="B22304" t="s">
        <v>1317</v>
      </c>
      <c r="C22304" t="str">
        <f>"A0096040"</f>
        <v>A0096040</v>
      </c>
      <c r="D22304" t="s">
        <v>79159</v>
      </c>
      <c r="E22304" t="s">
        <v>79160</v>
      </c>
      <c r="F22304" t="s">
        <v>5833</v>
      </c>
      <c r="G22304" t="s">
        <v>1369</v>
      </c>
      <c r="H22304">
        <v>39211</v>
      </c>
      <c r="I22304" t="s">
        <v>30</v>
      </c>
      <c r="J22304" t="s">
        <v>171</v>
      </c>
      <c r="K22304" t="s">
        <v>1450</v>
      </c>
      <c r="N22304" t="s">
        <v>79161</v>
      </c>
      <c r="O22304" t="s">
        <v>60681</v>
      </c>
      <c r="Q22304">
        <v>0</v>
      </c>
      <c r="R22304">
        <v>95</v>
      </c>
      <c r="S22304">
        <v>0</v>
      </c>
      <c r="T22304" t="s">
        <v>79162</v>
      </c>
    </row>
    <row r="22305" spans="1:25" x14ac:dyDescent="0.25">
      <c r="A22305" s="5" t="s">
        <v>24</v>
      </c>
      <c r="B22305" s="5" t="s">
        <v>2221</v>
      </c>
      <c r="C22305" s="5" t="str">
        <f>"56957"</f>
        <v>56957</v>
      </c>
      <c r="D22305" s="5" t="s">
        <v>79163</v>
      </c>
      <c r="E22305" s="5" t="s">
        <v>79164</v>
      </c>
      <c r="F22305" s="5" t="s">
        <v>2443</v>
      </c>
      <c r="G22305" s="5" t="s">
        <v>81</v>
      </c>
      <c r="H22305" s="5">
        <v>32256</v>
      </c>
      <c r="I22305" s="5" t="s">
        <v>30</v>
      </c>
      <c r="J22305" s="5" t="s">
        <v>171</v>
      </c>
      <c r="K22305" s="5" t="s">
        <v>1450</v>
      </c>
      <c r="L22305" s="5"/>
      <c r="M22305" s="5"/>
      <c r="N22305" s="5" t="s">
        <v>79165</v>
      </c>
      <c r="O22305" s="5"/>
      <c r="P22305" s="5"/>
      <c r="Q22305" s="5">
        <v>0</v>
      </c>
      <c r="R22305" s="5">
        <v>120</v>
      </c>
      <c r="S22305" s="5">
        <v>0</v>
      </c>
      <c r="T22305" s="5" t="s">
        <v>79166</v>
      </c>
      <c r="U22305" s="5"/>
      <c r="V22305" s="5"/>
      <c r="W22305" s="5"/>
      <c r="X22305" s="5"/>
      <c r="Y22305" s="5"/>
    </row>
    <row r="22306" spans="1:25" x14ac:dyDescent="0.25">
      <c r="A22306" s="5" t="s">
        <v>24</v>
      </c>
      <c r="B22306" s="5" t="s">
        <v>2955</v>
      </c>
      <c r="C22306" s="5" t="str">
        <f>"56643"</f>
        <v>56643</v>
      </c>
      <c r="D22306" s="5" t="s">
        <v>79167</v>
      </c>
      <c r="E22306" s="5" t="s">
        <v>79168</v>
      </c>
      <c r="F22306" s="5" t="s">
        <v>2443</v>
      </c>
      <c r="G22306" s="5" t="s">
        <v>81</v>
      </c>
      <c r="H22306" s="5">
        <v>32218</v>
      </c>
      <c r="I22306" s="5" t="s">
        <v>30</v>
      </c>
      <c r="J22306" s="5" t="s">
        <v>171</v>
      </c>
      <c r="K22306" s="5" t="s">
        <v>1450</v>
      </c>
      <c r="L22306" s="5"/>
      <c r="M22306" s="5"/>
      <c r="N22306" s="5" t="s">
        <v>70300</v>
      </c>
      <c r="O22306" s="5" t="s">
        <v>79169</v>
      </c>
      <c r="P22306" s="5"/>
      <c r="Q22306" s="5">
        <v>0</v>
      </c>
      <c r="R22306" s="5">
        <v>78</v>
      </c>
      <c r="S22306" s="5">
        <v>0</v>
      </c>
      <c r="T22306" s="5" t="s">
        <v>79170</v>
      </c>
      <c r="U22306" s="5"/>
      <c r="V22306" s="5"/>
      <c r="W22306" s="5"/>
      <c r="X22306" s="5"/>
      <c r="Y22306" s="5"/>
    </row>
    <row r="22307" spans="1:25" customFormat="1" ht="15" x14ac:dyDescent="0.25">
      <c r="A22307" t="s">
        <v>24</v>
      </c>
      <c r="B22307" t="s">
        <v>14979</v>
      </c>
      <c r="C22307" t="str">
        <f>"A0096974"</f>
        <v>A0096974</v>
      </c>
      <c r="D22307" t="s">
        <v>79171</v>
      </c>
      <c r="E22307" t="s">
        <v>79172</v>
      </c>
      <c r="F22307" t="s">
        <v>337</v>
      </c>
      <c r="G22307" t="s">
        <v>338</v>
      </c>
      <c r="H22307">
        <v>7302</v>
      </c>
      <c r="I22307" t="s">
        <v>30</v>
      </c>
      <c r="J22307" t="s">
        <v>171</v>
      </c>
      <c r="K22307" t="s">
        <v>1450</v>
      </c>
      <c r="N22307" t="s">
        <v>79173</v>
      </c>
      <c r="Q22307">
        <v>0</v>
      </c>
      <c r="R22307">
        <v>152</v>
      </c>
      <c r="S22307">
        <v>0</v>
      </c>
      <c r="T22307" t="s">
        <v>79174</v>
      </c>
    </row>
    <row r="22308" spans="1:25" x14ac:dyDescent="0.25">
      <c r="A22308" s="5" t="s">
        <v>24</v>
      </c>
      <c r="B22308" s="5" t="s">
        <v>1849</v>
      </c>
      <c r="C22308" s="5" t="str">
        <f>"A0059045"</f>
        <v>A0059045</v>
      </c>
      <c r="D22308" s="5" t="s">
        <v>79175</v>
      </c>
      <c r="E22308" s="5" t="s">
        <v>79176</v>
      </c>
      <c r="F22308" s="5" t="s">
        <v>7455</v>
      </c>
      <c r="G22308" s="5" t="s">
        <v>123</v>
      </c>
      <c r="H22308" s="5">
        <v>21205</v>
      </c>
      <c r="I22308" s="5" t="s">
        <v>30</v>
      </c>
      <c r="J22308" s="5" t="s">
        <v>171</v>
      </c>
      <c r="K22308" s="5" t="s">
        <v>1450</v>
      </c>
      <c r="L22308" s="5"/>
      <c r="M22308" s="5"/>
      <c r="N22308" s="5" t="s">
        <v>79177</v>
      </c>
      <c r="O22308" s="5" t="s">
        <v>79178</v>
      </c>
      <c r="P22308" s="5"/>
      <c r="Q22308" s="5">
        <v>0</v>
      </c>
      <c r="R22308" s="5">
        <v>194</v>
      </c>
      <c r="S22308" s="5">
        <v>0</v>
      </c>
      <c r="T22308" s="5" t="s">
        <v>79179</v>
      </c>
      <c r="U22308" s="5"/>
      <c r="V22308" s="5"/>
      <c r="W22308" s="5"/>
      <c r="X22308" s="5"/>
      <c r="Y22308" s="5"/>
    </row>
    <row r="22309" spans="1:25" customFormat="1" ht="15" x14ac:dyDescent="0.25">
      <c r="A22309" t="s">
        <v>24</v>
      </c>
      <c r="B22309" t="s">
        <v>56277</v>
      </c>
      <c r="C22309" t="str">
        <f>"A0077960"</f>
        <v>A0077960</v>
      </c>
      <c r="D22309" t="s">
        <v>79180</v>
      </c>
      <c r="E22309" t="s">
        <v>79181</v>
      </c>
      <c r="F22309" t="s">
        <v>44015</v>
      </c>
      <c r="G22309" t="s">
        <v>137</v>
      </c>
      <c r="H22309">
        <v>64804</v>
      </c>
      <c r="I22309" t="s">
        <v>30</v>
      </c>
      <c r="J22309" t="s">
        <v>171</v>
      </c>
      <c r="K22309" t="s">
        <v>1450</v>
      </c>
      <c r="N22309" t="s">
        <v>79182</v>
      </c>
      <c r="Q22309">
        <v>0</v>
      </c>
      <c r="R22309">
        <v>114</v>
      </c>
      <c r="S22309">
        <v>0</v>
      </c>
      <c r="T22309" t="s">
        <v>79183</v>
      </c>
    </row>
    <row r="22310" spans="1:25" x14ac:dyDescent="0.25">
      <c r="A22310" s="5" t="s">
        <v>24</v>
      </c>
      <c r="B22310" s="5" t="s">
        <v>54573</v>
      </c>
      <c r="C22310" s="5" t="str">
        <f>"57120"</f>
        <v>57120</v>
      </c>
      <c r="D22310" s="5" t="s">
        <v>79184</v>
      </c>
      <c r="E22310" s="5" t="s">
        <v>79185</v>
      </c>
      <c r="F22310" s="5" t="s">
        <v>68219</v>
      </c>
      <c r="G22310" s="5" t="s">
        <v>117</v>
      </c>
      <c r="H22310" s="5">
        <v>49001</v>
      </c>
      <c r="I22310" s="5" t="s">
        <v>30</v>
      </c>
      <c r="J22310" s="5" t="s">
        <v>171</v>
      </c>
      <c r="K22310" s="5" t="s">
        <v>1450</v>
      </c>
      <c r="L22310" s="5"/>
      <c r="M22310" s="5"/>
      <c r="N22310" s="5" t="s">
        <v>79186</v>
      </c>
      <c r="O22310" s="5" t="s">
        <v>79187</v>
      </c>
      <c r="P22310" s="5"/>
      <c r="Q22310" s="5">
        <v>0</v>
      </c>
      <c r="R22310" s="5">
        <v>83</v>
      </c>
      <c r="S22310" s="5">
        <v>0</v>
      </c>
      <c r="T22310" s="5" t="s">
        <v>79188</v>
      </c>
      <c r="U22310" s="5"/>
      <c r="V22310" s="5"/>
      <c r="W22310" s="5"/>
      <c r="X22310" s="5"/>
      <c r="Y22310" s="5"/>
    </row>
    <row r="22311" spans="1:25" x14ac:dyDescent="0.25">
      <c r="A22311" s="5" t="s">
        <v>24</v>
      </c>
      <c r="B22311" s="5" t="s">
        <v>56277</v>
      </c>
      <c r="C22311" s="5" t="str">
        <f>"A0085410"</f>
        <v>A0085410</v>
      </c>
      <c r="D22311" s="5" t="s">
        <v>79189</v>
      </c>
      <c r="E22311" s="5" t="s">
        <v>79190</v>
      </c>
      <c r="F22311" s="5" t="s">
        <v>8703</v>
      </c>
      <c r="G22311" s="5" t="s">
        <v>137</v>
      </c>
      <c r="H22311" s="5">
        <v>64153</v>
      </c>
      <c r="I22311" s="5" t="s">
        <v>30</v>
      </c>
      <c r="J22311" s="5" t="s">
        <v>171</v>
      </c>
      <c r="K22311" s="5" t="s">
        <v>1450</v>
      </c>
      <c r="L22311" s="5"/>
      <c r="M22311" s="5"/>
      <c r="N22311" s="5"/>
      <c r="O22311" s="5"/>
      <c r="P22311" s="5"/>
      <c r="Q22311" s="5">
        <v>0</v>
      </c>
      <c r="R22311" s="5">
        <v>152</v>
      </c>
      <c r="S22311" s="5">
        <v>0</v>
      </c>
      <c r="T22311" s="5" t="s">
        <v>79191</v>
      </c>
      <c r="U22311" s="5"/>
      <c r="V22311" s="5"/>
      <c r="W22311" s="5"/>
      <c r="X22311" s="5"/>
      <c r="Y22311" s="5"/>
    </row>
    <row r="22312" spans="1:25" customFormat="1" ht="15" x14ac:dyDescent="0.25">
      <c r="A22312" t="s">
        <v>24</v>
      </c>
      <c r="B22312" t="s">
        <v>2387</v>
      </c>
      <c r="C22312" t="str">
        <f>"A0158615"</f>
        <v>A0158615</v>
      </c>
      <c r="D22312" t="s">
        <v>84746</v>
      </c>
      <c r="E22312" t="s">
        <v>84747</v>
      </c>
      <c r="F22312" t="s">
        <v>1208</v>
      </c>
      <c r="G22312" t="s">
        <v>899</v>
      </c>
      <c r="H22312">
        <v>2115</v>
      </c>
      <c r="I22312" t="s">
        <v>30</v>
      </c>
      <c r="J22312" t="s">
        <v>31</v>
      </c>
      <c r="K22312" t="s">
        <v>163</v>
      </c>
      <c r="N22312" t="s">
        <v>55796</v>
      </c>
      <c r="Q22312">
        <v>0</v>
      </c>
      <c r="R22312">
        <v>159</v>
      </c>
      <c r="S22312">
        <v>0</v>
      </c>
      <c r="T22312" t="s">
        <v>84748</v>
      </c>
    </row>
    <row r="22313" spans="1:25" customFormat="1" ht="15" x14ac:dyDescent="0.25">
      <c r="A22313" t="s">
        <v>24</v>
      </c>
      <c r="B22313" t="s">
        <v>6363</v>
      </c>
      <c r="C22313" t="str">
        <f>"A0096016"</f>
        <v>A0096016</v>
      </c>
      <c r="D22313" t="s">
        <v>79192</v>
      </c>
      <c r="E22313" t="s">
        <v>60788</v>
      </c>
      <c r="F22313" t="s">
        <v>5107</v>
      </c>
      <c r="G22313" t="s">
        <v>137</v>
      </c>
      <c r="H22313">
        <v>64108</v>
      </c>
      <c r="I22313" t="s">
        <v>30</v>
      </c>
      <c r="J22313" t="s">
        <v>171</v>
      </c>
      <c r="K22313" t="s">
        <v>1450</v>
      </c>
      <c r="N22313" t="s">
        <v>60789</v>
      </c>
      <c r="O22313" t="s">
        <v>60790</v>
      </c>
      <c r="Q22313">
        <v>0</v>
      </c>
      <c r="R22313">
        <v>108</v>
      </c>
      <c r="S22313">
        <v>0</v>
      </c>
      <c r="T22313" t="s">
        <v>79193</v>
      </c>
    </row>
    <row r="22314" spans="1:25" customFormat="1" ht="15" x14ac:dyDescent="0.25">
      <c r="A22314" t="s">
        <v>24</v>
      </c>
      <c r="B22314" t="s">
        <v>1020</v>
      </c>
      <c r="C22314" t="str">
        <f>"56627"</f>
        <v>56627</v>
      </c>
      <c r="D22314" t="s">
        <v>79194</v>
      </c>
      <c r="E22314" t="s">
        <v>79195</v>
      </c>
      <c r="F22314" t="s">
        <v>9244</v>
      </c>
      <c r="G22314" t="s">
        <v>925</v>
      </c>
      <c r="H22314">
        <v>66062</v>
      </c>
      <c r="I22314" t="s">
        <v>30</v>
      </c>
      <c r="J22314" t="s">
        <v>171</v>
      </c>
      <c r="K22314" t="s">
        <v>1450</v>
      </c>
      <c r="N22314" t="s">
        <v>79196</v>
      </c>
      <c r="Q22314">
        <v>0</v>
      </c>
      <c r="R22314">
        <v>90</v>
      </c>
      <c r="S22314">
        <v>0</v>
      </c>
      <c r="T22314" t="s">
        <v>79197</v>
      </c>
    </row>
    <row r="22315" spans="1:25" x14ac:dyDescent="0.25">
      <c r="A22315" s="5" t="s">
        <v>24</v>
      </c>
      <c r="B22315" s="5" t="s">
        <v>1138</v>
      </c>
      <c r="C22315" s="5" t="str">
        <f>"A0094522"</f>
        <v>A0094522</v>
      </c>
      <c r="D22315" s="5" t="s">
        <v>79198</v>
      </c>
      <c r="E22315" s="5" t="s">
        <v>79199</v>
      </c>
      <c r="F22315" s="5" t="s">
        <v>5107</v>
      </c>
      <c r="G22315" s="5" t="s">
        <v>925</v>
      </c>
      <c r="H22315" s="5">
        <v>66111</v>
      </c>
      <c r="I22315" s="5" t="s">
        <v>30</v>
      </c>
      <c r="J22315" s="5" t="s">
        <v>171</v>
      </c>
      <c r="K22315" s="5" t="s">
        <v>1450</v>
      </c>
      <c r="L22315" s="5"/>
      <c r="M22315" s="5"/>
      <c r="N22315" s="5" t="s">
        <v>79200</v>
      </c>
      <c r="O22315" s="5" t="s">
        <v>79201</v>
      </c>
      <c r="P22315" s="5"/>
      <c r="Q22315" s="5">
        <v>0</v>
      </c>
      <c r="R22315" s="5">
        <v>108</v>
      </c>
      <c r="S22315" s="5">
        <v>0</v>
      </c>
      <c r="T22315" s="5" t="s">
        <v>79202</v>
      </c>
      <c r="U22315" s="5"/>
      <c r="V22315" s="5"/>
      <c r="W22315" s="5"/>
      <c r="X22315" s="5"/>
      <c r="Y22315" s="5"/>
    </row>
    <row r="22316" spans="1:25" customFormat="1" ht="15" x14ac:dyDescent="0.25">
      <c r="A22316" t="s">
        <v>24</v>
      </c>
      <c r="B22316" t="s">
        <v>12732</v>
      </c>
      <c r="C22316" t="str">
        <f>"A0056239"</f>
        <v>A0056239</v>
      </c>
      <c r="D22316" t="s">
        <v>84762</v>
      </c>
      <c r="E22316" t="s">
        <v>84763</v>
      </c>
      <c r="F22316" t="s">
        <v>5374</v>
      </c>
      <c r="G22316" t="s">
        <v>110</v>
      </c>
      <c r="H22316">
        <v>94306</v>
      </c>
      <c r="I22316" t="s">
        <v>30</v>
      </c>
      <c r="J22316" t="s">
        <v>31</v>
      </c>
      <c r="K22316" t="s">
        <v>163</v>
      </c>
      <c r="N22316" t="s">
        <v>84764</v>
      </c>
      <c r="O22316" t="s">
        <v>84765</v>
      </c>
      <c r="Q22316">
        <v>0</v>
      </c>
      <c r="R22316">
        <v>54</v>
      </c>
      <c r="S22316">
        <v>0</v>
      </c>
      <c r="T22316" t="s">
        <v>84766</v>
      </c>
    </row>
    <row r="22317" spans="1:25" customFormat="1" ht="15" x14ac:dyDescent="0.25">
      <c r="A22317" t="s">
        <v>24</v>
      </c>
      <c r="B22317" t="s">
        <v>1561</v>
      </c>
      <c r="C22317" t="str">
        <f>"A0084955"</f>
        <v>A0084955</v>
      </c>
      <c r="D22317" t="s">
        <v>79203</v>
      </c>
      <c r="E22317" t="s">
        <v>79204</v>
      </c>
      <c r="F22317" t="s">
        <v>79205</v>
      </c>
      <c r="G22317" t="s">
        <v>52</v>
      </c>
      <c r="H22317">
        <v>76541</v>
      </c>
      <c r="I22317" t="s">
        <v>30</v>
      </c>
      <c r="J22317" t="s">
        <v>171</v>
      </c>
      <c r="K22317" t="s">
        <v>1450</v>
      </c>
      <c r="N22317" t="s">
        <v>79206</v>
      </c>
      <c r="Q22317">
        <v>0</v>
      </c>
      <c r="R22317">
        <v>109</v>
      </c>
      <c r="S22317">
        <v>0</v>
      </c>
      <c r="T22317" t="s">
        <v>79207</v>
      </c>
    </row>
    <row r="22318" spans="1:25" customFormat="1" ht="15" x14ac:dyDescent="0.25">
      <c r="A22318" t="s">
        <v>24</v>
      </c>
      <c r="B22318" t="s">
        <v>342</v>
      </c>
      <c r="C22318" t="str">
        <f>"56942"</f>
        <v>56942</v>
      </c>
      <c r="D22318" t="s">
        <v>79208</v>
      </c>
      <c r="E22318" t="s">
        <v>79209</v>
      </c>
      <c r="F22318" t="s">
        <v>12348</v>
      </c>
      <c r="G22318" t="s">
        <v>880</v>
      </c>
      <c r="H22318">
        <v>37922</v>
      </c>
      <c r="I22318" t="s">
        <v>30</v>
      </c>
      <c r="J22318" t="s">
        <v>171</v>
      </c>
      <c r="K22318" t="s">
        <v>1450</v>
      </c>
      <c r="N22318" t="s">
        <v>60817</v>
      </c>
      <c r="Q22318">
        <v>0</v>
      </c>
      <c r="R22318">
        <v>78</v>
      </c>
      <c r="S22318">
        <v>0</v>
      </c>
      <c r="T22318" t="s">
        <v>79210</v>
      </c>
    </row>
    <row r="22319" spans="1:25" customFormat="1" ht="15" x14ac:dyDescent="0.25">
      <c r="A22319" t="s">
        <v>24</v>
      </c>
      <c r="B22319" t="s">
        <v>675</v>
      </c>
      <c r="C22319" t="str">
        <f>"57403"</f>
        <v>57403</v>
      </c>
      <c r="D22319" t="s">
        <v>79211</v>
      </c>
      <c r="E22319" t="s">
        <v>79212</v>
      </c>
      <c r="F22319" t="s">
        <v>64361</v>
      </c>
      <c r="G22319" t="s">
        <v>110</v>
      </c>
      <c r="H22319">
        <v>92037</v>
      </c>
      <c r="I22319" t="s">
        <v>30</v>
      </c>
      <c r="J22319" t="s">
        <v>171</v>
      </c>
      <c r="K22319" t="s">
        <v>1450</v>
      </c>
      <c r="N22319" t="s">
        <v>79213</v>
      </c>
      <c r="Q22319">
        <v>0</v>
      </c>
      <c r="R22319">
        <v>288</v>
      </c>
      <c r="S22319">
        <v>0</v>
      </c>
      <c r="T22319" t="s">
        <v>79214</v>
      </c>
    </row>
    <row r="22320" spans="1:25" x14ac:dyDescent="0.25">
      <c r="A22320" s="5" t="s">
        <v>24</v>
      </c>
      <c r="B22320" s="5" t="s">
        <v>4341</v>
      </c>
      <c r="C22320" s="5" t="str">
        <f>"A0090744"</f>
        <v>A0090744</v>
      </c>
      <c r="D22320" s="5" t="s">
        <v>79215</v>
      </c>
      <c r="E22320" s="5" t="s">
        <v>79216</v>
      </c>
      <c r="F22320" s="5" t="s">
        <v>3154</v>
      </c>
      <c r="G22320" s="5" t="s">
        <v>1170</v>
      </c>
      <c r="H22320" s="5">
        <v>70508</v>
      </c>
      <c r="I22320" s="5" t="s">
        <v>30</v>
      </c>
      <c r="J22320" s="5" t="s">
        <v>171</v>
      </c>
      <c r="K22320" s="5" t="s">
        <v>1450</v>
      </c>
      <c r="L22320" s="5"/>
      <c r="M22320" s="5"/>
      <c r="N22320" s="5" t="s">
        <v>16115</v>
      </c>
      <c r="O22320" s="5" t="s">
        <v>79217</v>
      </c>
      <c r="P22320" s="5"/>
      <c r="Q22320" s="5">
        <v>0</v>
      </c>
      <c r="R22320" s="5">
        <v>93</v>
      </c>
      <c r="S22320" s="5">
        <v>0</v>
      </c>
      <c r="T22320" s="5" t="s">
        <v>79218</v>
      </c>
      <c r="U22320" s="5"/>
      <c r="V22320" s="5"/>
      <c r="W22320" s="5"/>
      <c r="X22320" s="5"/>
      <c r="Y22320" s="5"/>
    </row>
    <row r="22321" spans="1:25" customFormat="1" ht="15" x14ac:dyDescent="0.25">
      <c r="A22321" t="s">
        <v>24</v>
      </c>
      <c r="B22321" t="s">
        <v>79219</v>
      </c>
      <c r="C22321" t="str">
        <f>"A0094435"</f>
        <v>A0094435</v>
      </c>
      <c r="D22321" t="s">
        <v>79220</v>
      </c>
      <c r="E22321" t="s">
        <v>79221</v>
      </c>
      <c r="F22321" t="s">
        <v>60837</v>
      </c>
      <c r="G22321" t="s">
        <v>1170</v>
      </c>
      <c r="H22321">
        <v>70601</v>
      </c>
      <c r="I22321" t="s">
        <v>30</v>
      </c>
      <c r="J22321" t="s">
        <v>171</v>
      </c>
      <c r="K22321" t="s">
        <v>1450</v>
      </c>
      <c r="Q22321">
        <v>0</v>
      </c>
      <c r="R22321">
        <v>92</v>
      </c>
      <c r="S22321">
        <v>0</v>
      </c>
      <c r="T22321" t="s">
        <v>79222</v>
      </c>
    </row>
    <row r="22322" spans="1:25" x14ac:dyDescent="0.25">
      <c r="A22322" s="5" t="s">
        <v>24</v>
      </c>
      <c r="B22322" s="5" t="s">
        <v>16534</v>
      </c>
      <c r="C22322" s="5" t="str">
        <f>"A0095752"</f>
        <v>A0095752</v>
      </c>
      <c r="D22322" s="5" t="s">
        <v>79223</v>
      </c>
      <c r="E22322" s="5" t="s">
        <v>61368</v>
      </c>
      <c r="F22322" s="5" t="s">
        <v>985</v>
      </c>
      <c r="G22322" s="5" t="s">
        <v>81</v>
      </c>
      <c r="H22322" s="5">
        <v>32827</v>
      </c>
      <c r="I22322" s="5" t="s">
        <v>30</v>
      </c>
      <c r="J22322" s="5" t="s">
        <v>171</v>
      </c>
      <c r="K22322" s="5" t="s">
        <v>1450</v>
      </c>
      <c r="L22322" s="5"/>
      <c r="M22322" s="5"/>
      <c r="N22322" s="5" t="s">
        <v>79224</v>
      </c>
      <c r="O22322" s="5"/>
      <c r="P22322" s="5"/>
      <c r="Q22322" s="5">
        <v>0</v>
      </c>
      <c r="R22322" s="5">
        <v>102</v>
      </c>
      <c r="S22322" s="5">
        <v>0</v>
      </c>
      <c r="T22322" s="5" t="s">
        <v>61369</v>
      </c>
      <c r="U22322" s="5"/>
      <c r="V22322" s="5"/>
      <c r="W22322" s="5"/>
      <c r="X22322" s="5"/>
      <c r="Y22322" s="5"/>
    </row>
    <row r="22323" spans="1:25" customFormat="1" ht="15" x14ac:dyDescent="0.25">
      <c r="A22323" t="s">
        <v>24</v>
      </c>
      <c r="B22323" t="s">
        <v>1020</v>
      </c>
      <c r="C22323" t="str">
        <f>"A0086240"</f>
        <v>A0086240</v>
      </c>
      <c r="D22323" t="s">
        <v>84796</v>
      </c>
      <c r="E22323" t="s">
        <v>84797</v>
      </c>
      <c r="F22323" t="s">
        <v>4385</v>
      </c>
      <c r="G22323" t="s">
        <v>99</v>
      </c>
      <c r="H22323">
        <v>11217</v>
      </c>
      <c r="I22323" t="s">
        <v>30</v>
      </c>
      <c r="J22323" t="s">
        <v>31</v>
      </c>
      <c r="K22323" t="s">
        <v>163</v>
      </c>
      <c r="N22323" t="s">
        <v>84798</v>
      </c>
      <c r="Q22323">
        <v>0</v>
      </c>
      <c r="R22323">
        <v>93</v>
      </c>
      <c r="S22323">
        <v>0</v>
      </c>
      <c r="T22323" t="s">
        <v>84799</v>
      </c>
    </row>
    <row r="22324" spans="1:25" customFormat="1" ht="15" x14ac:dyDescent="0.25">
      <c r="A22324" t="s">
        <v>24</v>
      </c>
      <c r="B22324" t="s">
        <v>6667</v>
      </c>
      <c r="C22324" t="str">
        <f>"A0075007"</f>
        <v>A0075007</v>
      </c>
      <c r="D22324" t="s">
        <v>84800</v>
      </c>
      <c r="E22324" t="s">
        <v>84801</v>
      </c>
      <c r="F22324" t="s">
        <v>62091</v>
      </c>
      <c r="G22324" t="s">
        <v>110</v>
      </c>
      <c r="H22324">
        <v>91381</v>
      </c>
      <c r="I22324" t="s">
        <v>30</v>
      </c>
      <c r="J22324" t="s">
        <v>178</v>
      </c>
      <c r="K22324" t="s">
        <v>179</v>
      </c>
      <c r="N22324" t="s">
        <v>84802</v>
      </c>
      <c r="Q22324">
        <v>1</v>
      </c>
      <c r="R22324">
        <v>0</v>
      </c>
      <c r="S22324">
        <v>0</v>
      </c>
      <c r="T22324" t="s">
        <v>84803</v>
      </c>
    </row>
    <row r="22325" spans="1:25" customFormat="1" ht="15" x14ac:dyDescent="0.25">
      <c r="A22325" t="s">
        <v>24</v>
      </c>
      <c r="B22325" t="s">
        <v>1156</v>
      </c>
      <c r="C22325" t="str">
        <f>"A0075642"</f>
        <v>A0075642</v>
      </c>
      <c r="D22325" t="s">
        <v>84804</v>
      </c>
      <c r="E22325" t="s">
        <v>84805</v>
      </c>
      <c r="F22325" t="s">
        <v>54759</v>
      </c>
      <c r="G22325" t="s">
        <v>58</v>
      </c>
      <c r="H22325">
        <v>29578</v>
      </c>
      <c r="I22325" t="s">
        <v>30</v>
      </c>
      <c r="J22325" t="s">
        <v>31</v>
      </c>
      <c r="K22325" t="s">
        <v>163</v>
      </c>
      <c r="N22325" t="s">
        <v>84806</v>
      </c>
      <c r="O22325" t="s">
        <v>84807</v>
      </c>
      <c r="P22325" t="s">
        <v>3998</v>
      </c>
      <c r="Q22325">
        <v>0</v>
      </c>
      <c r="R22325">
        <v>133</v>
      </c>
      <c r="S22325">
        <v>0</v>
      </c>
      <c r="T22325" t="s">
        <v>84808</v>
      </c>
    </row>
    <row r="22326" spans="1:25" customFormat="1" ht="15" x14ac:dyDescent="0.25">
      <c r="A22326" t="s">
        <v>24</v>
      </c>
      <c r="B22326" t="s">
        <v>34738</v>
      </c>
      <c r="C22326" t="str">
        <f>"56552"</f>
        <v>56552</v>
      </c>
      <c r="D22326" t="s">
        <v>79225</v>
      </c>
      <c r="E22326" t="s">
        <v>79226</v>
      </c>
      <c r="F22326" t="s">
        <v>9831</v>
      </c>
      <c r="G22326" t="s">
        <v>214</v>
      </c>
      <c r="H22326">
        <v>28078</v>
      </c>
      <c r="I22326" t="s">
        <v>30</v>
      </c>
      <c r="J22326" t="s">
        <v>171</v>
      </c>
      <c r="K22326" t="s">
        <v>1450</v>
      </c>
      <c r="N22326" t="s">
        <v>79227</v>
      </c>
      <c r="Q22326">
        <v>0</v>
      </c>
      <c r="R22326">
        <v>78</v>
      </c>
      <c r="S22326">
        <v>0</v>
      </c>
      <c r="T22326" t="s">
        <v>79228</v>
      </c>
    </row>
    <row r="22327" spans="1:25" x14ac:dyDescent="0.25">
      <c r="A22327" s="5" t="s">
        <v>24</v>
      </c>
      <c r="B22327" s="5" t="s">
        <v>60414</v>
      </c>
      <c r="C22327" s="5" t="str">
        <f>"A0148740"</f>
        <v>A0148740</v>
      </c>
      <c r="D22327" s="5" t="s">
        <v>79229</v>
      </c>
      <c r="E22327" s="5" t="s">
        <v>79230</v>
      </c>
      <c r="F22327" s="5" t="s">
        <v>1320</v>
      </c>
      <c r="G22327" s="5" t="s">
        <v>103</v>
      </c>
      <c r="H22327" s="5">
        <v>17601</v>
      </c>
      <c r="I22327" s="5" t="s">
        <v>30</v>
      </c>
      <c r="J22327" s="5" t="s">
        <v>171</v>
      </c>
      <c r="K22327" s="5" t="s">
        <v>1450</v>
      </c>
      <c r="L22327" s="5"/>
      <c r="M22327" s="5"/>
      <c r="N22327" s="5" t="s">
        <v>79231</v>
      </c>
      <c r="O22327" s="5"/>
      <c r="P22327" s="5"/>
      <c r="Q22327" s="5">
        <v>0</v>
      </c>
      <c r="R22327" s="5">
        <v>127</v>
      </c>
      <c r="S22327" s="5">
        <v>0</v>
      </c>
      <c r="T22327" s="5" t="s">
        <v>79232</v>
      </c>
      <c r="U22327" s="5"/>
      <c r="V22327" s="5"/>
      <c r="W22327" s="5"/>
      <c r="X22327" s="5"/>
      <c r="Y22327" s="5"/>
    </row>
    <row r="22328" spans="1:25" customFormat="1" ht="15" x14ac:dyDescent="0.25">
      <c r="A22328" t="s">
        <v>24</v>
      </c>
      <c r="B22328" t="s">
        <v>1561</v>
      </c>
      <c r="C22328" t="str">
        <f>"A0078611"</f>
        <v>A0078611</v>
      </c>
      <c r="D22328" t="s">
        <v>79233</v>
      </c>
      <c r="E22328" t="s">
        <v>79234</v>
      </c>
      <c r="F22328" t="s">
        <v>79235</v>
      </c>
      <c r="G22328" t="s">
        <v>103</v>
      </c>
      <c r="H22328">
        <v>19047</v>
      </c>
      <c r="I22328" t="s">
        <v>30</v>
      </c>
      <c r="J22328" t="s">
        <v>171</v>
      </c>
      <c r="K22328" t="s">
        <v>1450</v>
      </c>
      <c r="N22328" t="s">
        <v>79236</v>
      </c>
      <c r="O22328" t="s">
        <v>79237</v>
      </c>
      <c r="Q22328">
        <v>0</v>
      </c>
      <c r="R22328">
        <v>100</v>
      </c>
      <c r="S22328">
        <v>0</v>
      </c>
      <c r="T22328" t="s">
        <v>79238</v>
      </c>
    </row>
    <row r="22329" spans="1:25" customFormat="1" ht="15" x14ac:dyDescent="0.25">
      <c r="A22329" t="s">
        <v>24</v>
      </c>
      <c r="B22329" t="s">
        <v>56488</v>
      </c>
      <c r="C22329" t="str">
        <f>"A0069420"</f>
        <v>A0069420</v>
      </c>
      <c r="D22329" t="s">
        <v>84822</v>
      </c>
      <c r="E22329" t="s">
        <v>84823</v>
      </c>
      <c r="F22329" t="s">
        <v>84824</v>
      </c>
      <c r="G22329" t="s">
        <v>899</v>
      </c>
      <c r="H22329">
        <v>1075</v>
      </c>
      <c r="I22329" t="s">
        <v>30</v>
      </c>
      <c r="J22329" t="s">
        <v>178</v>
      </c>
      <c r="K22329" t="s">
        <v>179</v>
      </c>
      <c r="N22329" t="s">
        <v>84825</v>
      </c>
      <c r="Q22329">
        <v>1</v>
      </c>
      <c r="R22329">
        <v>0</v>
      </c>
      <c r="S22329">
        <v>0</v>
      </c>
      <c r="T22329" t="s">
        <v>84826</v>
      </c>
    </row>
    <row r="22330" spans="1:25" x14ac:dyDescent="0.25">
      <c r="A22330" s="5" t="s">
        <v>24</v>
      </c>
      <c r="B22330" s="5" t="s">
        <v>675</v>
      </c>
      <c r="C22330" s="5" t="str">
        <f>"57419"</f>
        <v>57419</v>
      </c>
      <c r="D22330" s="5" t="s">
        <v>79242</v>
      </c>
      <c r="E22330" s="5" t="s">
        <v>79243</v>
      </c>
      <c r="F22330" s="5" t="s">
        <v>220</v>
      </c>
      <c r="G22330" s="5" t="s">
        <v>221</v>
      </c>
      <c r="H22330" s="5">
        <v>89109</v>
      </c>
      <c r="I22330" s="5" t="s">
        <v>30</v>
      </c>
      <c r="J22330" s="5" t="s">
        <v>171</v>
      </c>
      <c r="K22330" s="5" t="s">
        <v>1450</v>
      </c>
      <c r="L22330" s="5"/>
      <c r="M22330" s="5"/>
      <c r="N22330" s="5" t="s">
        <v>60893</v>
      </c>
      <c r="O22330" s="5"/>
      <c r="P22330" s="5"/>
      <c r="Q22330" s="5">
        <v>0</v>
      </c>
      <c r="R22330" s="5">
        <v>192</v>
      </c>
      <c r="S22330" s="5">
        <v>0</v>
      </c>
      <c r="T22330" s="5" t="s">
        <v>79244</v>
      </c>
      <c r="U22330" s="5"/>
      <c r="V22330" s="5"/>
      <c r="W22330" s="5"/>
      <c r="X22330" s="5"/>
      <c r="Y22330" s="5"/>
    </row>
    <row r="22331" spans="1:25" customFormat="1" ht="15" x14ac:dyDescent="0.25">
      <c r="A22331" t="s">
        <v>24</v>
      </c>
      <c r="B22331" t="s">
        <v>57457</v>
      </c>
      <c r="C22331" t="str">
        <f>"A0098259"</f>
        <v>A0098259</v>
      </c>
      <c r="D22331" t="s">
        <v>84831</v>
      </c>
      <c r="E22331" t="s">
        <v>84832</v>
      </c>
      <c r="F22331" t="s">
        <v>1084</v>
      </c>
      <c r="G22331" t="s">
        <v>81</v>
      </c>
      <c r="H22331">
        <v>33040</v>
      </c>
      <c r="I22331" t="s">
        <v>30</v>
      </c>
      <c r="J22331" t="s">
        <v>31</v>
      </c>
      <c r="K22331" t="s">
        <v>163</v>
      </c>
      <c r="N22331" t="s">
        <v>72703</v>
      </c>
      <c r="Q22331">
        <v>0</v>
      </c>
      <c r="R22331">
        <v>18</v>
      </c>
      <c r="S22331">
        <v>0</v>
      </c>
      <c r="T22331" t="s">
        <v>75135</v>
      </c>
    </row>
    <row r="22332" spans="1:25" customFormat="1" ht="15" x14ac:dyDescent="0.25">
      <c r="A22332" t="s">
        <v>24</v>
      </c>
      <c r="B22332" t="s">
        <v>675</v>
      </c>
      <c r="C22332" t="str">
        <f>"57436"</f>
        <v>57436</v>
      </c>
      <c r="D22332" t="s">
        <v>79245</v>
      </c>
      <c r="E22332" t="s">
        <v>79246</v>
      </c>
      <c r="F22332" t="s">
        <v>220</v>
      </c>
      <c r="G22332" t="s">
        <v>221</v>
      </c>
      <c r="H22332">
        <v>89109</v>
      </c>
      <c r="I22332" t="s">
        <v>30</v>
      </c>
      <c r="J22332" t="s">
        <v>171</v>
      </c>
      <c r="K22332" t="s">
        <v>1450</v>
      </c>
      <c r="N22332" t="s">
        <v>79247</v>
      </c>
      <c r="O22332" t="s">
        <v>79248</v>
      </c>
      <c r="Q22332">
        <v>0</v>
      </c>
      <c r="R22332">
        <v>256</v>
      </c>
      <c r="S22332">
        <v>0</v>
      </c>
      <c r="T22332" t="s">
        <v>79249</v>
      </c>
    </row>
    <row r="22333" spans="1:25" x14ac:dyDescent="0.25">
      <c r="A22333" s="5" t="s">
        <v>24</v>
      </c>
      <c r="B22333" s="5" t="s">
        <v>57000</v>
      </c>
      <c r="C22333" s="5" t="str">
        <f>"A0145911"</f>
        <v>A0145911</v>
      </c>
      <c r="D22333" s="5" t="s">
        <v>79250</v>
      </c>
      <c r="E22333" s="5" t="s">
        <v>79251</v>
      </c>
      <c r="F22333" s="5" t="s">
        <v>3353</v>
      </c>
      <c r="G22333" s="5" t="s">
        <v>221</v>
      </c>
      <c r="H22333" s="5">
        <v>89052</v>
      </c>
      <c r="I22333" s="5" t="s">
        <v>30</v>
      </c>
      <c r="J22333" s="5" t="s">
        <v>171</v>
      </c>
      <c r="K22333" s="5" t="s">
        <v>1450</v>
      </c>
      <c r="L22333" s="5"/>
      <c r="M22333" s="5"/>
      <c r="N22333" s="5" t="s">
        <v>79252</v>
      </c>
      <c r="O22333" s="5" t="s">
        <v>79253</v>
      </c>
      <c r="P22333" s="5"/>
      <c r="Q22333" s="5">
        <v>0</v>
      </c>
      <c r="R22333" s="5">
        <v>115</v>
      </c>
      <c r="S22333" s="5">
        <v>0</v>
      </c>
      <c r="T22333" s="5" t="s">
        <v>79254</v>
      </c>
      <c r="U22333" s="5"/>
      <c r="V22333" s="5"/>
      <c r="W22333" s="5"/>
      <c r="X22333" s="5"/>
      <c r="Y22333" s="5"/>
    </row>
    <row r="22334" spans="1:25" x14ac:dyDescent="0.25">
      <c r="A22334" s="5" t="s">
        <v>24</v>
      </c>
      <c r="B22334" s="5" t="s">
        <v>1138</v>
      </c>
      <c r="C22334" s="5" t="str">
        <f>"A0087715"</f>
        <v>A0087715</v>
      </c>
      <c r="D22334" s="5" t="s">
        <v>79255</v>
      </c>
      <c r="E22334" s="5" t="s">
        <v>79256</v>
      </c>
      <c r="F22334" s="5" t="s">
        <v>220</v>
      </c>
      <c r="G22334" s="5" t="s">
        <v>221</v>
      </c>
      <c r="H22334" s="5">
        <v>89123</v>
      </c>
      <c r="I22334" s="5" t="s">
        <v>30</v>
      </c>
      <c r="J22334" s="5" t="s">
        <v>171</v>
      </c>
      <c r="K22334" s="5" t="s">
        <v>1450</v>
      </c>
      <c r="L22334" s="5"/>
      <c r="M22334" s="5"/>
      <c r="N22334" s="5" t="s">
        <v>79257</v>
      </c>
      <c r="O22334" s="5" t="s">
        <v>79258</v>
      </c>
      <c r="P22334" s="5"/>
      <c r="Q22334" s="5">
        <v>0</v>
      </c>
      <c r="R22334" s="5">
        <v>124</v>
      </c>
      <c r="S22334" s="5">
        <v>0</v>
      </c>
      <c r="T22334" s="5" t="s">
        <v>79259</v>
      </c>
      <c r="U22334" s="5"/>
      <c r="V22334" s="5"/>
      <c r="W22334" s="5"/>
      <c r="X22334" s="5"/>
      <c r="Y22334" s="5"/>
    </row>
    <row r="22335" spans="1:25" x14ac:dyDescent="0.25">
      <c r="A22335" s="5" t="s">
        <v>24</v>
      </c>
      <c r="B22335" s="5" t="s">
        <v>34039</v>
      </c>
      <c r="C22335" s="5" t="str">
        <f>"56977"</f>
        <v>56977</v>
      </c>
      <c r="D22335" s="5" t="s">
        <v>79260</v>
      </c>
      <c r="E22335" s="5" t="s">
        <v>79261</v>
      </c>
      <c r="F22335" s="5" t="s">
        <v>15731</v>
      </c>
      <c r="G22335" s="5" t="s">
        <v>1363</v>
      </c>
      <c r="H22335" s="5">
        <v>3766</v>
      </c>
      <c r="I22335" s="5" t="s">
        <v>30</v>
      </c>
      <c r="J22335" s="5" t="s">
        <v>171</v>
      </c>
      <c r="K22335" s="5" t="s">
        <v>1450</v>
      </c>
      <c r="L22335" s="5"/>
      <c r="M22335" s="5"/>
      <c r="N22335" s="5" t="s">
        <v>60596</v>
      </c>
      <c r="O22335" s="5"/>
      <c r="P22335" s="5"/>
      <c r="Q22335" s="5">
        <v>0</v>
      </c>
      <c r="R22335" s="5">
        <v>114</v>
      </c>
      <c r="S22335" s="5">
        <v>0</v>
      </c>
      <c r="T22335" s="5" t="s">
        <v>79262</v>
      </c>
      <c r="U22335" s="5"/>
      <c r="V22335" s="5"/>
      <c r="W22335" s="5"/>
      <c r="X22335" s="5"/>
      <c r="Y22335" s="5"/>
    </row>
    <row r="22336" spans="1:25" customFormat="1" ht="15" x14ac:dyDescent="0.25">
      <c r="A22336" t="s">
        <v>24</v>
      </c>
      <c r="B22336" t="s">
        <v>79263</v>
      </c>
      <c r="C22336" t="str">
        <f>"A0094621"</f>
        <v>A0094621</v>
      </c>
      <c r="D22336" t="s">
        <v>79264</v>
      </c>
      <c r="E22336" t="s">
        <v>79265</v>
      </c>
      <c r="F22336" t="s">
        <v>3041</v>
      </c>
      <c r="G22336" t="s">
        <v>840</v>
      </c>
      <c r="H22336">
        <v>40507</v>
      </c>
      <c r="I22336" t="s">
        <v>30</v>
      </c>
      <c r="J22336" t="s">
        <v>171</v>
      </c>
      <c r="K22336" t="s">
        <v>1450</v>
      </c>
      <c r="N22336" t="s">
        <v>75154</v>
      </c>
      <c r="O22336" t="s">
        <v>79266</v>
      </c>
      <c r="Q22336">
        <v>0</v>
      </c>
      <c r="R22336">
        <v>119</v>
      </c>
      <c r="S22336">
        <v>0</v>
      </c>
      <c r="T22336" t="s">
        <v>79267</v>
      </c>
    </row>
    <row r="22337" spans="1:25" x14ac:dyDescent="0.25">
      <c r="A22337" s="5" t="s">
        <v>24</v>
      </c>
      <c r="B22337" s="5" t="s">
        <v>2955</v>
      </c>
      <c r="C22337" s="5" t="str">
        <f>"A0065465"</f>
        <v>A0065465</v>
      </c>
      <c r="D22337" s="5" t="s">
        <v>79268</v>
      </c>
      <c r="E22337" s="5" t="s">
        <v>79269</v>
      </c>
      <c r="F22337" s="5" t="s">
        <v>1689</v>
      </c>
      <c r="G22337" s="5" t="s">
        <v>840</v>
      </c>
      <c r="H22337" s="5">
        <v>40509</v>
      </c>
      <c r="I22337" s="5" t="s">
        <v>30</v>
      </c>
      <c r="J22337" s="5" t="s">
        <v>171</v>
      </c>
      <c r="K22337" s="5" t="s">
        <v>1450</v>
      </c>
      <c r="L22337" s="5"/>
      <c r="M22337" s="5"/>
      <c r="N22337" s="5" t="s">
        <v>79270</v>
      </c>
      <c r="O22337" s="5" t="s">
        <v>79271</v>
      </c>
      <c r="P22337" s="5"/>
      <c r="Q22337" s="5">
        <v>0</v>
      </c>
      <c r="R22337" s="5">
        <v>91</v>
      </c>
      <c r="S22337" s="5">
        <v>0</v>
      </c>
      <c r="T22337" s="5" t="s">
        <v>79272</v>
      </c>
      <c r="U22337" s="5"/>
      <c r="V22337" s="5"/>
      <c r="W22337" s="5"/>
      <c r="X22337" s="5"/>
      <c r="Y22337" s="5"/>
    </row>
    <row r="22338" spans="1:25" customFormat="1" ht="15" x14ac:dyDescent="0.25">
      <c r="A22338" t="s">
        <v>24</v>
      </c>
      <c r="B22338" t="s">
        <v>6667</v>
      </c>
      <c r="C22338" t="str">
        <f>"A0049387"</f>
        <v>A0049387</v>
      </c>
      <c r="D22338" t="s">
        <v>84861</v>
      </c>
      <c r="E22338" t="s">
        <v>84862</v>
      </c>
      <c r="F22338" t="s">
        <v>8485</v>
      </c>
      <c r="G22338" t="s">
        <v>190</v>
      </c>
      <c r="H22338">
        <v>80134</v>
      </c>
      <c r="I22338" t="s">
        <v>30</v>
      </c>
      <c r="J22338" t="s">
        <v>178</v>
      </c>
      <c r="K22338" t="s">
        <v>6667</v>
      </c>
      <c r="N22338" t="s">
        <v>83748</v>
      </c>
      <c r="O22338" t="s">
        <v>84863</v>
      </c>
      <c r="Q22338">
        <v>3</v>
      </c>
      <c r="R22338">
        <v>0</v>
      </c>
      <c r="S22338">
        <v>0</v>
      </c>
      <c r="T22338" t="s">
        <v>84864</v>
      </c>
    </row>
    <row r="22339" spans="1:25" customFormat="1" ht="15" x14ac:dyDescent="0.25">
      <c r="A22339" t="s">
        <v>24</v>
      </c>
      <c r="B22339" t="s">
        <v>1138</v>
      </c>
      <c r="C22339" t="str">
        <f>"A0157217"</f>
        <v>A0157217</v>
      </c>
      <c r="D22339" t="s">
        <v>79273</v>
      </c>
      <c r="E22339" t="s">
        <v>79274</v>
      </c>
      <c r="F22339" t="s">
        <v>72000</v>
      </c>
      <c r="G22339" t="s">
        <v>110</v>
      </c>
      <c r="H22339">
        <v>94551</v>
      </c>
      <c r="I22339" t="s">
        <v>30</v>
      </c>
      <c r="J22339" t="s">
        <v>171</v>
      </c>
      <c r="K22339" t="s">
        <v>1450</v>
      </c>
      <c r="N22339" t="s">
        <v>79275</v>
      </c>
      <c r="O22339" t="s">
        <v>79276</v>
      </c>
      <c r="Q22339">
        <v>0</v>
      </c>
      <c r="R22339">
        <v>112</v>
      </c>
      <c r="S22339">
        <v>0</v>
      </c>
      <c r="T22339" t="s">
        <v>79277</v>
      </c>
    </row>
    <row r="22340" spans="1:25" customFormat="1" ht="15" x14ac:dyDescent="0.25">
      <c r="A22340" t="s">
        <v>24</v>
      </c>
      <c r="B22340" t="s">
        <v>675</v>
      </c>
      <c r="C22340" t="str">
        <f>"57404"</f>
        <v>57404</v>
      </c>
      <c r="D22340" t="s">
        <v>79278</v>
      </c>
      <c r="E22340" t="s">
        <v>79279</v>
      </c>
      <c r="F22340" t="s">
        <v>693</v>
      </c>
      <c r="G22340" t="s">
        <v>110</v>
      </c>
      <c r="H22340">
        <v>90815</v>
      </c>
      <c r="I22340" t="s">
        <v>30</v>
      </c>
      <c r="J22340" t="s">
        <v>171</v>
      </c>
      <c r="K22340" t="s">
        <v>1450</v>
      </c>
      <c r="Q22340">
        <v>0</v>
      </c>
      <c r="R22340">
        <v>216</v>
      </c>
      <c r="S22340">
        <v>0</v>
      </c>
      <c r="T22340" t="s">
        <v>79280</v>
      </c>
    </row>
    <row r="22341" spans="1:25" x14ac:dyDescent="0.25">
      <c r="A22341" s="5" t="s">
        <v>24</v>
      </c>
      <c r="B22341" s="5" t="s">
        <v>675</v>
      </c>
      <c r="C22341" s="5" t="str">
        <f>"A0087662"</f>
        <v>A0087662</v>
      </c>
      <c r="D22341" s="5" t="s">
        <v>79281</v>
      </c>
      <c r="E22341" s="5" t="s">
        <v>79282</v>
      </c>
      <c r="F22341" s="5" t="s">
        <v>693</v>
      </c>
      <c r="G22341" s="5" t="s">
        <v>110</v>
      </c>
      <c r="H22341" s="5">
        <v>90802</v>
      </c>
      <c r="I22341" s="5" t="s">
        <v>30</v>
      </c>
      <c r="J22341" s="5" t="s">
        <v>171</v>
      </c>
      <c r="K22341" s="5" t="s">
        <v>1450</v>
      </c>
      <c r="L22341" s="5"/>
      <c r="M22341" s="5"/>
      <c r="N22341" s="5" t="s">
        <v>79283</v>
      </c>
      <c r="O22341" s="5"/>
      <c r="P22341" s="5"/>
      <c r="Q22341" s="5">
        <v>0</v>
      </c>
      <c r="R22341" s="5">
        <v>178</v>
      </c>
      <c r="S22341" s="5">
        <v>0</v>
      </c>
      <c r="T22341" s="5" t="s">
        <v>79284</v>
      </c>
      <c r="U22341" s="5"/>
      <c r="V22341" s="5"/>
      <c r="W22341" s="5"/>
      <c r="X22341" s="5"/>
      <c r="Y22341" s="5"/>
    </row>
    <row r="22342" spans="1:25" customFormat="1" ht="15" x14ac:dyDescent="0.25">
      <c r="A22342" t="s">
        <v>24</v>
      </c>
      <c r="B22342" t="s">
        <v>77488</v>
      </c>
      <c r="C22342" t="str">
        <f>"A0095358"</f>
        <v>A0095358</v>
      </c>
      <c r="D22342" t="s">
        <v>84878</v>
      </c>
      <c r="E22342" t="s">
        <v>84879</v>
      </c>
      <c r="F22342" t="s">
        <v>997</v>
      </c>
      <c r="G22342" t="s">
        <v>99</v>
      </c>
      <c r="H22342">
        <v>10019</v>
      </c>
      <c r="I22342" t="s">
        <v>30</v>
      </c>
      <c r="J22342" t="s">
        <v>145</v>
      </c>
      <c r="K22342" t="s">
        <v>163</v>
      </c>
      <c r="N22342" t="s">
        <v>84880</v>
      </c>
      <c r="O22342" t="s">
        <v>84881</v>
      </c>
      <c r="Q22342">
        <v>0</v>
      </c>
      <c r="R22342">
        <v>366</v>
      </c>
      <c r="S22342">
        <v>0</v>
      </c>
      <c r="T22342" t="s">
        <v>84882</v>
      </c>
    </row>
    <row r="22343" spans="1:25" customFormat="1" ht="15" x14ac:dyDescent="0.25">
      <c r="A22343" t="s">
        <v>24</v>
      </c>
      <c r="B22343" t="s">
        <v>675</v>
      </c>
      <c r="C22343" t="str">
        <f>"56501"</f>
        <v>56501</v>
      </c>
      <c r="D22343" t="s">
        <v>79285</v>
      </c>
      <c r="E22343" t="s">
        <v>79286</v>
      </c>
      <c r="F22343" t="s">
        <v>79287</v>
      </c>
      <c r="G22343" t="s">
        <v>99</v>
      </c>
      <c r="H22343">
        <v>11788</v>
      </c>
      <c r="I22343" t="s">
        <v>30</v>
      </c>
      <c r="J22343" t="s">
        <v>171</v>
      </c>
      <c r="K22343" t="s">
        <v>1450</v>
      </c>
      <c r="N22343" t="s">
        <v>79288</v>
      </c>
      <c r="O22343" t="s">
        <v>79289</v>
      </c>
      <c r="Q22343">
        <v>0</v>
      </c>
      <c r="R22343">
        <v>100</v>
      </c>
      <c r="S22343">
        <v>0</v>
      </c>
      <c r="T22343" t="s">
        <v>79290</v>
      </c>
    </row>
    <row r="22344" spans="1:25" customFormat="1" ht="15" x14ac:dyDescent="0.25">
      <c r="A22344" t="s">
        <v>24</v>
      </c>
      <c r="B22344" t="s">
        <v>84889</v>
      </c>
      <c r="C22344" t="str">
        <f>"A0154261"</f>
        <v>A0154261</v>
      </c>
      <c r="D22344" t="s">
        <v>84890</v>
      </c>
      <c r="E22344" t="s">
        <v>84891</v>
      </c>
      <c r="F22344" t="s">
        <v>35740</v>
      </c>
      <c r="G22344" t="s">
        <v>4815</v>
      </c>
      <c r="H22344">
        <v>96761</v>
      </c>
      <c r="I22344" t="s">
        <v>30</v>
      </c>
      <c r="J22344" t="s">
        <v>84892</v>
      </c>
      <c r="K22344" t="s">
        <v>163</v>
      </c>
      <c r="N22344" t="s">
        <v>84893</v>
      </c>
      <c r="Q22344">
        <v>0</v>
      </c>
      <c r="R22344">
        <v>0</v>
      </c>
      <c r="S22344">
        <v>0</v>
      </c>
      <c r="T22344" t="s">
        <v>84894</v>
      </c>
    </row>
    <row r="22345" spans="1:25" customFormat="1" ht="15" x14ac:dyDescent="0.25">
      <c r="A22345" t="s">
        <v>24</v>
      </c>
      <c r="B22345" t="s">
        <v>56277</v>
      </c>
      <c r="C22345" t="str">
        <f>"A0074880"</f>
        <v>A0074880</v>
      </c>
      <c r="D22345" t="s">
        <v>84895</v>
      </c>
      <c r="E22345" t="s">
        <v>84896</v>
      </c>
      <c r="F22345" t="s">
        <v>1755</v>
      </c>
      <c r="G22345" t="s">
        <v>137</v>
      </c>
      <c r="H22345">
        <v>65802</v>
      </c>
      <c r="I22345" t="s">
        <v>30</v>
      </c>
      <c r="J22345" t="s">
        <v>31</v>
      </c>
      <c r="K22345" t="s">
        <v>163</v>
      </c>
      <c r="N22345" t="s">
        <v>84897</v>
      </c>
      <c r="Q22345">
        <v>0</v>
      </c>
      <c r="R22345">
        <v>120</v>
      </c>
      <c r="S22345">
        <v>0</v>
      </c>
      <c r="T22345" t="s">
        <v>84898</v>
      </c>
    </row>
    <row r="22346" spans="1:25" customFormat="1" ht="15" x14ac:dyDescent="0.25">
      <c r="A22346" t="s">
        <v>24</v>
      </c>
      <c r="B22346" t="s">
        <v>84899</v>
      </c>
      <c r="C22346" t="str">
        <f>"A0083162"</f>
        <v>A0083162</v>
      </c>
      <c r="D22346" t="s">
        <v>84899</v>
      </c>
      <c r="E22346" t="s">
        <v>84900</v>
      </c>
      <c r="F22346" t="s">
        <v>9812</v>
      </c>
      <c r="G22346" t="s">
        <v>103</v>
      </c>
      <c r="H22346">
        <v>19102</v>
      </c>
      <c r="I22346" t="s">
        <v>30</v>
      </c>
      <c r="J22346" t="s">
        <v>178</v>
      </c>
      <c r="K22346" t="s">
        <v>179</v>
      </c>
      <c r="N22346" t="s">
        <v>84901</v>
      </c>
      <c r="Q22346">
        <v>0</v>
      </c>
      <c r="R22346">
        <v>0</v>
      </c>
      <c r="S22346">
        <v>0</v>
      </c>
      <c r="T22346" t="s">
        <v>84902</v>
      </c>
    </row>
    <row r="22347" spans="1:25" customFormat="1" ht="15" x14ac:dyDescent="0.25">
      <c r="A22347" t="s">
        <v>24</v>
      </c>
      <c r="B22347" t="s">
        <v>84903</v>
      </c>
      <c r="C22347" t="str">
        <f>"SF01392"</f>
        <v>SF01392</v>
      </c>
      <c r="D22347" t="s">
        <v>84904</v>
      </c>
      <c r="E22347" t="s">
        <v>84905</v>
      </c>
      <c r="F22347" t="s">
        <v>7765</v>
      </c>
      <c r="G22347" t="s">
        <v>110</v>
      </c>
      <c r="H22347">
        <v>95540</v>
      </c>
      <c r="I22347" t="s">
        <v>30</v>
      </c>
      <c r="J22347" t="s">
        <v>31</v>
      </c>
      <c r="K22347" t="s">
        <v>163</v>
      </c>
      <c r="N22347" t="s">
        <v>84906</v>
      </c>
      <c r="Q22347">
        <v>0</v>
      </c>
      <c r="R22347">
        <v>46</v>
      </c>
      <c r="S22347">
        <v>0</v>
      </c>
      <c r="T22347" t="s">
        <v>84907</v>
      </c>
    </row>
    <row r="22348" spans="1:25" customFormat="1" ht="15" x14ac:dyDescent="0.25">
      <c r="A22348" t="s">
        <v>24</v>
      </c>
      <c r="B22348" t="s">
        <v>675</v>
      </c>
      <c r="C22348" t="str">
        <f>"A0151772"</f>
        <v>A0151772</v>
      </c>
      <c r="D22348" t="s">
        <v>79291</v>
      </c>
      <c r="E22348" t="s">
        <v>79292</v>
      </c>
      <c r="F22348" t="s">
        <v>5518</v>
      </c>
      <c r="G22348" t="s">
        <v>110</v>
      </c>
      <c r="H22348">
        <v>91206</v>
      </c>
      <c r="I22348" t="s">
        <v>30</v>
      </c>
      <c r="J22348" t="s">
        <v>171</v>
      </c>
      <c r="K22348" t="s">
        <v>1450</v>
      </c>
      <c r="N22348" t="s">
        <v>79293</v>
      </c>
      <c r="O22348" t="s">
        <v>79294</v>
      </c>
      <c r="Q22348">
        <v>0</v>
      </c>
      <c r="R22348">
        <v>145</v>
      </c>
      <c r="S22348">
        <v>0</v>
      </c>
      <c r="T22348" t="s">
        <v>79295</v>
      </c>
    </row>
    <row r="22349" spans="1:25" customFormat="1" ht="15" x14ac:dyDescent="0.25">
      <c r="A22349" t="s">
        <v>24</v>
      </c>
      <c r="B22349" t="s">
        <v>675</v>
      </c>
      <c r="C22349" t="str">
        <f>"A0096114"</f>
        <v>A0096114</v>
      </c>
      <c r="D22349" t="s">
        <v>79296</v>
      </c>
      <c r="E22349" t="s">
        <v>79297</v>
      </c>
      <c r="F22349" t="s">
        <v>703</v>
      </c>
      <c r="G22349" t="s">
        <v>110</v>
      </c>
      <c r="H22349">
        <v>91103</v>
      </c>
      <c r="I22349" t="s">
        <v>30</v>
      </c>
      <c r="J22349" t="s">
        <v>171</v>
      </c>
      <c r="K22349" t="s">
        <v>1450</v>
      </c>
      <c r="N22349" t="s">
        <v>79298</v>
      </c>
      <c r="O22349" t="s">
        <v>79299</v>
      </c>
      <c r="Q22349">
        <v>0</v>
      </c>
      <c r="R22349">
        <v>144</v>
      </c>
      <c r="S22349">
        <v>0</v>
      </c>
      <c r="T22349" t="s">
        <v>79300</v>
      </c>
    </row>
    <row r="22350" spans="1:25" customFormat="1" ht="15" x14ac:dyDescent="0.25">
      <c r="A22350" t="s">
        <v>24</v>
      </c>
      <c r="B22350" t="s">
        <v>1138</v>
      </c>
      <c r="C22350" t="str">
        <f>"A0157221"</f>
        <v>A0157221</v>
      </c>
      <c r="D22350" t="s">
        <v>79301</v>
      </c>
      <c r="E22350" t="s">
        <v>79302</v>
      </c>
      <c r="F22350" t="s">
        <v>3466</v>
      </c>
      <c r="G22350" t="s">
        <v>840</v>
      </c>
      <c r="H22350">
        <v>40245</v>
      </c>
      <c r="I22350" t="s">
        <v>30</v>
      </c>
      <c r="J22350" t="s">
        <v>171</v>
      </c>
      <c r="K22350" t="s">
        <v>1450</v>
      </c>
      <c r="N22350" t="s">
        <v>79303</v>
      </c>
      <c r="O22350" t="s">
        <v>79304</v>
      </c>
      <c r="Q22350">
        <v>0</v>
      </c>
      <c r="R22350">
        <v>104</v>
      </c>
      <c r="S22350">
        <v>0</v>
      </c>
      <c r="T22350" t="s">
        <v>192</v>
      </c>
    </row>
    <row r="22351" spans="1:25" customFormat="1" ht="15" x14ac:dyDescent="0.25">
      <c r="A22351" t="s">
        <v>24</v>
      </c>
      <c r="B22351" t="s">
        <v>79305</v>
      </c>
      <c r="C22351" t="str">
        <f>"56677"</f>
        <v>56677</v>
      </c>
      <c r="D22351" t="s">
        <v>79306</v>
      </c>
      <c r="E22351" t="s">
        <v>79307</v>
      </c>
      <c r="F22351" t="s">
        <v>3466</v>
      </c>
      <c r="G22351" t="s">
        <v>840</v>
      </c>
      <c r="H22351">
        <v>40241</v>
      </c>
      <c r="I22351" t="s">
        <v>30</v>
      </c>
      <c r="J22351" t="s">
        <v>171</v>
      </c>
      <c r="K22351" t="s">
        <v>1450</v>
      </c>
      <c r="N22351" t="s">
        <v>60959</v>
      </c>
      <c r="Q22351">
        <v>0</v>
      </c>
      <c r="R22351">
        <v>102</v>
      </c>
      <c r="S22351">
        <v>0</v>
      </c>
      <c r="T22351" t="s">
        <v>79308</v>
      </c>
    </row>
    <row r="22352" spans="1:25" x14ac:dyDescent="0.25">
      <c r="A22352" s="5" t="s">
        <v>24</v>
      </c>
      <c r="B22352" s="5" t="s">
        <v>8579</v>
      </c>
      <c r="C22352" s="5" t="str">
        <f>"A0075144"</f>
        <v>A0075144</v>
      </c>
      <c r="D22352" s="5" t="s">
        <v>79309</v>
      </c>
      <c r="E22352" s="5" t="s">
        <v>79310</v>
      </c>
      <c r="F22352" s="5" t="s">
        <v>60963</v>
      </c>
      <c r="G22352" s="5" t="s">
        <v>190</v>
      </c>
      <c r="H22352" s="5">
        <v>80538</v>
      </c>
      <c r="I22352" s="5" t="s">
        <v>30</v>
      </c>
      <c r="J22352" s="5" t="s">
        <v>171</v>
      </c>
      <c r="K22352" s="5" t="s">
        <v>1450</v>
      </c>
      <c r="L22352" s="5"/>
      <c r="M22352" s="5"/>
      <c r="N22352" s="5" t="s">
        <v>79311</v>
      </c>
      <c r="O22352" s="5"/>
      <c r="P22352" s="5"/>
      <c r="Q22352" s="5">
        <v>0</v>
      </c>
      <c r="R22352" s="5">
        <v>103</v>
      </c>
      <c r="S22352" s="5">
        <v>0</v>
      </c>
      <c r="T22352" s="5" t="s">
        <v>79312</v>
      </c>
      <c r="U22352" s="5"/>
      <c r="V22352" s="5"/>
      <c r="W22352" s="5"/>
      <c r="X22352" s="5"/>
      <c r="Y22352" s="5"/>
    </row>
    <row r="22353" spans="1:25" x14ac:dyDescent="0.25">
      <c r="A22353" s="5" t="s">
        <v>24</v>
      </c>
      <c r="B22353" s="5" t="s">
        <v>2340</v>
      </c>
      <c r="C22353" s="5" t="str">
        <f>"A0145908"</f>
        <v>A0145908</v>
      </c>
      <c r="D22353" s="5" t="s">
        <v>79313</v>
      </c>
      <c r="E22353" s="5" t="s">
        <v>79314</v>
      </c>
      <c r="F22353" s="5" t="s">
        <v>2120</v>
      </c>
      <c r="G22353" s="5" t="s">
        <v>52</v>
      </c>
      <c r="H22353" s="5">
        <v>79424</v>
      </c>
      <c r="I22353" s="5" t="s">
        <v>30</v>
      </c>
      <c r="J22353" s="5" t="s">
        <v>171</v>
      </c>
      <c r="K22353" s="5" t="s">
        <v>1450</v>
      </c>
      <c r="L22353" s="5"/>
      <c r="M22353" s="5"/>
      <c r="N22353" s="5" t="s">
        <v>79315</v>
      </c>
      <c r="O22353" s="5"/>
      <c r="P22353" s="5"/>
      <c r="Q22353" s="5">
        <v>0</v>
      </c>
      <c r="R22353" s="5">
        <v>100</v>
      </c>
      <c r="S22353" s="5">
        <v>0</v>
      </c>
      <c r="T22353" s="5" t="s">
        <v>79316</v>
      </c>
      <c r="U22353" s="5"/>
      <c r="V22353" s="5"/>
      <c r="W22353" s="5"/>
      <c r="X22353" s="5"/>
      <c r="Y22353" s="5"/>
    </row>
    <row r="22354" spans="1:25" customFormat="1" ht="15" x14ac:dyDescent="0.25">
      <c r="A22354" t="s">
        <v>24</v>
      </c>
      <c r="B22354" t="s">
        <v>16701</v>
      </c>
      <c r="C22354" t="str">
        <f>"A0099895"</f>
        <v>A0099895</v>
      </c>
      <c r="D22354" t="s">
        <v>79317</v>
      </c>
      <c r="E22354" t="s">
        <v>79318</v>
      </c>
      <c r="F22354" t="s">
        <v>16213</v>
      </c>
      <c r="G22354" t="s">
        <v>29</v>
      </c>
      <c r="H22354">
        <v>24502</v>
      </c>
      <c r="I22354" t="s">
        <v>30</v>
      </c>
      <c r="J22354" t="s">
        <v>171</v>
      </c>
      <c r="K22354" t="s">
        <v>1450</v>
      </c>
      <c r="N22354" t="s">
        <v>79319</v>
      </c>
      <c r="Q22354">
        <v>0</v>
      </c>
      <c r="R22354">
        <v>116</v>
      </c>
      <c r="S22354">
        <v>0</v>
      </c>
      <c r="T22354" t="s">
        <v>79320</v>
      </c>
    </row>
    <row r="22355" spans="1:25" customFormat="1" ht="15" x14ac:dyDescent="0.25">
      <c r="A22355" t="s">
        <v>24</v>
      </c>
      <c r="B22355" t="s">
        <v>342</v>
      </c>
      <c r="C22355" t="str">
        <f>"56928"</f>
        <v>56928</v>
      </c>
      <c r="D22355" t="s">
        <v>79321</v>
      </c>
      <c r="E22355" t="s">
        <v>79322</v>
      </c>
      <c r="F22355" t="s">
        <v>3560</v>
      </c>
      <c r="G22355" t="s">
        <v>846</v>
      </c>
      <c r="H22355">
        <v>31210</v>
      </c>
      <c r="I22355" t="s">
        <v>30</v>
      </c>
      <c r="J22355" t="s">
        <v>171</v>
      </c>
      <c r="K22355" t="s">
        <v>1450</v>
      </c>
      <c r="N22355" t="s">
        <v>79323</v>
      </c>
      <c r="O22355" t="s">
        <v>79324</v>
      </c>
      <c r="Q22355">
        <v>0</v>
      </c>
      <c r="R22355">
        <v>78</v>
      </c>
      <c r="S22355">
        <v>0</v>
      </c>
      <c r="T22355" t="s">
        <v>79325</v>
      </c>
    </row>
    <row r="22356" spans="1:25" x14ac:dyDescent="0.25">
      <c r="A22356" s="5" t="s">
        <v>24</v>
      </c>
      <c r="B22356" s="5" t="s">
        <v>2955</v>
      </c>
      <c r="C22356" s="5" t="str">
        <f>"A0074129"</f>
        <v>A0074129</v>
      </c>
      <c r="D22356" s="5" t="s">
        <v>79326</v>
      </c>
      <c r="E22356" s="5" t="s">
        <v>79327</v>
      </c>
      <c r="F22356" s="5" t="s">
        <v>8217</v>
      </c>
      <c r="G22356" s="5" t="s">
        <v>29</v>
      </c>
      <c r="H22356" s="5">
        <v>20109</v>
      </c>
      <c r="I22356" s="5" t="s">
        <v>30</v>
      </c>
      <c r="J22356" s="5" t="s">
        <v>171</v>
      </c>
      <c r="K22356" s="5" t="s">
        <v>1450</v>
      </c>
      <c r="L22356" s="5"/>
      <c r="M22356" s="5"/>
      <c r="N22356" s="5" t="s">
        <v>79328</v>
      </c>
      <c r="O22356" s="5"/>
      <c r="P22356" s="5"/>
      <c r="Q22356" s="5">
        <v>0</v>
      </c>
      <c r="R22356" s="5">
        <v>107</v>
      </c>
      <c r="S22356" s="5">
        <v>0</v>
      </c>
      <c r="T22356" s="5" t="s">
        <v>79329</v>
      </c>
      <c r="U22356" s="5"/>
      <c r="V22356" s="5"/>
      <c r="W22356" s="5"/>
      <c r="X22356" s="5"/>
      <c r="Y22356" s="5"/>
    </row>
    <row r="22357" spans="1:25" customFormat="1" ht="15" x14ac:dyDescent="0.25">
      <c r="A22357" t="s">
        <v>24</v>
      </c>
      <c r="B22357" t="s">
        <v>5537</v>
      </c>
      <c r="C22357" t="str">
        <f>"A0156064"</f>
        <v>A0156064</v>
      </c>
      <c r="D22357" t="s">
        <v>79330</v>
      </c>
      <c r="E22357" t="s">
        <v>79331</v>
      </c>
      <c r="F22357" t="s">
        <v>8542</v>
      </c>
      <c r="G22357" t="s">
        <v>1363</v>
      </c>
      <c r="H22357">
        <v>3101</v>
      </c>
      <c r="I22357" t="s">
        <v>30</v>
      </c>
      <c r="J22357" t="s">
        <v>171</v>
      </c>
      <c r="K22357" t="s">
        <v>1450</v>
      </c>
      <c r="N22357" t="s">
        <v>79332</v>
      </c>
      <c r="Q22357">
        <v>0</v>
      </c>
      <c r="R22357">
        <v>123</v>
      </c>
      <c r="S22357">
        <v>0</v>
      </c>
      <c r="T22357" t="s">
        <v>79333</v>
      </c>
    </row>
    <row r="22358" spans="1:25" customFormat="1" ht="15" x14ac:dyDescent="0.25">
      <c r="A22358" t="s">
        <v>24</v>
      </c>
      <c r="B22358" t="s">
        <v>1583</v>
      </c>
      <c r="C22358" t="str">
        <f>"38U12"</f>
        <v>38U12</v>
      </c>
      <c r="D22358" t="s">
        <v>84953</v>
      </c>
      <c r="E22358" t="s">
        <v>84954</v>
      </c>
      <c r="F22358" t="s">
        <v>189</v>
      </c>
      <c r="G22358" t="s">
        <v>190</v>
      </c>
      <c r="H22358">
        <v>81611</v>
      </c>
      <c r="I22358" t="s">
        <v>30</v>
      </c>
      <c r="J22358" t="s">
        <v>2544</v>
      </c>
      <c r="K22358" t="s">
        <v>36059</v>
      </c>
      <c r="N22358" t="s">
        <v>84955</v>
      </c>
      <c r="O22358" t="s">
        <v>84956</v>
      </c>
      <c r="Q22358">
        <v>0</v>
      </c>
      <c r="R22358">
        <v>73</v>
      </c>
      <c r="S22358">
        <v>0</v>
      </c>
      <c r="T22358" t="s">
        <v>84957</v>
      </c>
    </row>
    <row r="22359" spans="1:25" customFormat="1" ht="15" x14ac:dyDescent="0.25">
      <c r="A22359" t="s">
        <v>24</v>
      </c>
      <c r="B22359" t="s">
        <v>1583</v>
      </c>
      <c r="C22359" t="str">
        <f>"A0085453"</f>
        <v>A0085453</v>
      </c>
      <c r="D22359" t="s">
        <v>84958</v>
      </c>
      <c r="E22359" t="s">
        <v>84959</v>
      </c>
      <c r="F22359" t="s">
        <v>3414</v>
      </c>
      <c r="G22359" t="s">
        <v>110</v>
      </c>
      <c r="H22359">
        <v>96161</v>
      </c>
      <c r="I22359" t="s">
        <v>30</v>
      </c>
      <c r="J22359" t="s">
        <v>2544</v>
      </c>
      <c r="K22359" t="s">
        <v>36059</v>
      </c>
      <c r="N22359" t="s">
        <v>84960</v>
      </c>
      <c r="O22359" t="s">
        <v>84961</v>
      </c>
      <c r="Q22359">
        <v>0</v>
      </c>
      <c r="R22359">
        <v>78</v>
      </c>
      <c r="S22359">
        <v>0</v>
      </c>
      <c r="T22359" t="s">
        <v>84962</v>
      </c>
    </row>
    <row r="22360" spans="1:25" customFormat="1" ht="15" x14ac:dyDescent="0.25">
      <c r="A22360" t="s">
        <v>24</v>
      </c>
      <c r="B22360" t="s">
        <v>1583</v>
      </c>
      <c r="C22360" t="str">
        <f>"A0077999"</f>
        <v>A0077999</v>
      </c>
      <c r="D22360" t="s">
        <v>84963</v>
      </c>
      <c r="E22360" t="s">
        <v>84964</v>
      </c>
      <c r="F22360" t="s">
        <v>8081</v>
      </c>
      <c r="G22360" t="s">
        <v>110</v>
      </c>
      <c r="H22360">
        <v>94104</v>
      </c>
      <c r="I22360" t="s">
        <v>30</v>
      </c>
      <c r="J22360" t="s">
        <v>2544</v>
      </c>
      <c r="K22360" t="s">
        <v>36059</v>
      </c>
      <c r="N22360" t="s">
        <v>84965</v>
      </c>
      <c r="O22360" t="s">
        <v>84966</v>
      </c>
      <c r="Q22360">
        <v>0</v>
      </c>
      <c r="R22360">
        <v>101</v>
      </c>
      <c r="S22360">
        <v>0</v>
      </c>
      <c r="T22360" t="s">
        <v>84967</v>
      </c>
    </row>
    <row r="22361" spans="1:25" customFormat="1" ht="15" hidden="1" x14ac:dyDescent="0.25">
      <c r="A22361" t="s">
        <v>24</v>
      </c>
      <c r="B22361" t="s">
        <v>1583</v>
      </c>
      <c r="C22361" t="str">
        <f>"38P11"</f>
        <v>38P11</v>
      </c>
      <c r="D22361" t="s">
        <v>84968</v>
      </c>
      <c r="E22361" t="s">
        <v>84969</v>
      </c>
      <c r="F22361" t="s">
        <v>16144</v>
      </c>
      <c r="G22361" t="s">
        <v>16145</v>
      </c>
      <c r="H22361">
        <v>802</v>
      </c>
      <c r="I22361" t="s">
        <v>16146</v>
      </c>
      <c r="J22361" t="s">
        <v>2544</v>
      </c>
      <c r="K22361" t="s">
        <v>680</v>
      </c>
      <c r="N22361" t="s">
        <v>84970</v>
      </c>
      <c r="Q22361">
        <v>0</v>
      </c>
      <c r="R22361">
        <v>105</v>
      </c>
      <c r="S22361">
        <v>0</v>
      </c>
      <c r="T22361" t="s">
        <v>84971</v>
      </c>
    </row>
    <row r="22362" spans="1:25" x14ac:dyDescent="0.25">
      <c r="A22362" s="5" t="s">
        <v>24</v>
      </c>
      <c r="B22362" s="5" t="s">
        <v>8579</v>
      </c>
      <c r="C22362" s="5" t="str">
        <f>"A0062803"</f>
        <v>A0062803</v>
      </c>
      <c r="D22362" s="5" t="s">
        <v>79334</v>
      </c>
      <c r="E22362" s="5" t="s">
        <v>79335</v>
      </c>
      <c r="F22362" s="5" t="s">
        <v>997</v>
      </c>
      <c r="G22362" s="5" t="s">
        <v>99</v>
      </c>
      <c r="H22362" s="5">
        <v>10017</v>
      </c>
      <c r="I22362" s="5" t="s">
        <v>30</v>
      </c>
      <c r="J22362" s="5" t="s">
        <v>171</v>
      </c>
      <c r="K22362" s="5" t="s">
        <v>1450</v>
      </c>
      <c r="L22362" s="5"/>
      <c r="M22362" s="5"/>
      <c r="N22362" s="5" t="s">
        <v>79336</v>
      </c>
      <c r="O22362" s="5"/>
      <c r="P22362" s="5"/>
      <c r="Q22362" s="5">
        <v>0</v>
      </c>
      <c r="R22362" s="5">
        <v>211</v>
      </c>
      <c r="S22362" s="5">
        <v>0</v>
      </c>
      <c r="T22362" s="5" t="s">
        <v>79337</v>
      </c>
      <c r="U22362" s="5"/>
      <c r="V22362" s="5"/>
      <c r="W22362" s="5"/>
      <c r="X22362" s="5"/>
      <c r="Y22362" s="5"/>
    </row>
    <row r="22363" spans="1:25" x14ac:dyDescent="0.25">
      <c r="A22363" s="5" t="s">
        <v>24</v>
      </c>
      <c r="B22363" s="5" t="s">
        <v>2955</v>
      </c>
      <c r="C22363" s="5" t="str">
        <f>"A0076298"</f>
        <v>A0076298</v>
      </c>
      <c r="D22363" s="5" t="s">
        <v>79338</v>
      </c>
      <c r="E22363" s="5" t="s">
        <v>79339</v>
      </c>
      <c r="F22363" s="5" t="s">
        <v>11102</v>
      </c>
      <c r="G22363" s="5" t="s">
        <v>899</v>
      </c>
      <c r="H22363" s="5">
        <v>1752</v>
      </c>
      <c r="I22363" s="5" t="s">
        <v>30</v>
      </c>
      <c r="J22363" s="5" t="s">
        <v>171</v>
      </c>
      <c r="K22363" s="5" t="s">
        <v>1450</v>
      </c>
      <c r="L22363" s="5"/>
      <c r="M22363" s="5"/>
      <c r="N22363" s="5" t="s">
        <v>79340</v>
      </c>
      <c r="O22363" s="5"/>
      <c r="P22363" s="5"/>
      <c r="Q22363" s="5">
        <v>0</v>
      </c>
      <c r="R22363" s="5">
        <v>112</v>
      </c>
      <c r="S22363" s="5">
        <v>0</v>
      </c>
      <c r="T22363" s="5" t="s">
        <v>79341</v>
      </c>
      <c r="U22363" s="5"/>
      <c r="V22363" s="5"/>
      <c r="W22363" s="5"/>
      <c r="X22363" s="5"/>
      <c r="Y22363" s="5"/>
    </row>
    <row r="22364" spans="1:25" x14ac:dyDescent="0.25">
      <c r="A22364" s="5" t="s">
        <v>24</v>
      </c>
      <c r="B22364" s="5" t="s">
        <v>2917</v>
      </c>
      <c r="C22364" s="5" t="str">
        <f>"56639"</f>
        <v>56639</v>
      </c>
      <c r="D22364" s="5" t="s">
        <v>79342</v>
      </c>
      <c r="E22364" s="5" t="s">
        <v>79343</v>
      </c>
      <c r="F22364" s="5" t="s">
        <v>11551</v>
      </c>
      <c r="G22364" s="5" t="s">
        <v>52</v>
      </c>
      <c r="H22364" s="5">
        <v>78501</v>
      </c>
      <c r="I22364" s="5" t="s">
        <v>30</v>
      </c>
      <c r="J22364" s="5" t="s">
        <v>171</v>
      </c>
      <c r="K22364" s="5" t="s">
        <v>1450</v>
      </c>
      <c r="L22364" s="5"/>
      <c r="M22364" s="5"/>
      <c r="N22364" s="5" t="s">
        <v>79344</v>
      </c>
      <c r="O22364" s="5"/>
      <c r="P22364" s="5"/>
      <c r="Q22364" s="5">
        <v>0</v>
      </c>
      <c r="R22364" s="5">
        <v>78</v>
      </c>
      <c r="S22364" s="5">
        <v>0</v>
      </c>
      <c r="T22364" s="5" t="s">
        <v>79345</v>
      </c>
      <c r="U22364" s="5"/>
      <c r="V22364" s="5"/>
      <c r="W22364" s="5"/>
      <c r="X22364" s="5"/>
      <c r="Y22364" s="5"/>
    </row>
    <row r="22365" spans="1:25" x14ac:dyDescent="0.25">
      <c r="A22365" s="5" t="s">
        <v>24</v>
      </c>
      <c r="B22365" s="5" t="s">
        <v>2955</v>
      </c>
      <c r="C22365" s="5" t="str">
        <f>"56994"</f>
        <v>56994</v>
      </c>
      <c r="D22365" s="5" t="s">
        <v>79346</v>
      </c>
      <c r="E22365" s="5" t="s">
        <v>79347</v>
      </c>
      <c r="F22365" s="5" t="s">
        <v>4970</v>
      </c>
      <c r="G22365" s="5" t="s">
        <v>880</v>
      </c>
      <c r="H22365" s="5">
        <v>38138</v>
      </c>
      <c r="I22365" s="5" t="s">
        <v>30</v>
      </c>
      <c r="J22365" s="5" t="s">
        <v>171</v>
      </c>
      <c r="K22365" s="5" t="s">
        <v>1450</v>
      </c>
      <c r="L22365" s="5"/>
      <c r="M22365" s="5"/>
      <c r="N22365" s="5" t="s">
        <v>79348</v>
      </c>
      <c r="O22365" s="5" t="s">
        <v>79349</v>
      </c>
      <c r="P22365" s="5"/>
      <c r="Q22365" s="5">
        <v>0</v>
      </c>
      <c r="R22365" s="5">
        <v>78</v>
      </c>
      <c r="S22365" s="5">
        <v>0</v>
      </c>
      <c r="T22365" s="5" t="s">
        <v>79350</v>
      </c>
      <c r="U22365" s="5"/>
      <c r="V22365" s="5"/>
      <c r="W22365" s="5"/>
      <c r="X22365" s="5"/>
      <c r="Y22365" s="5"/>
    </row>
    <row r="22366" spans="1:25" x14ac:dyDescent="0.25">
      <c r="A22366" s="5" t="s">
        <v>24</v>
      </c>
      <c r="B22366" s="5" t="s">
        <v>1020</v>
      </c>
      <c r="C22366" s="5" t="str">
        <f>"56925"</f>
        <v>56925</v>
      </c>
      <c r="D22366" s="5" t="s">
        <v>79351</v>
      </c>
      <c r="E22366" s="5" t="s">
        <v>79352</v>
      </c>
      <c r="F22366" s="5" t="s">
        <v>65946</v>
      </c>
      <c r="G22366" s="5" t="s">
        <v>381</v>
      </c>
      <c r="H22366" s="5">
        <v>46410</v>
      </c>
      <c r="I22366" s="5" t="s">
        <v>30</v>
      </c>
      <c r="J22366" s="5" t="s">
        <v>171</v>
      </c>
      <c r="K22366" s="5" t="s">
        <v>1450</v>
      </c>
      <c r="L22366" s="5"/>
      <c r="M22366" s="5"/>
      <c r="N22366" s="5" t="s">
        <v>79353</v>
      </c>
      <c r="O22366" s="5"/>
      <c r="P22366" s="5"/>
      <c r="Q22366" s="5">
        <v>0</v>
      </c>
      <c r="R22366" s="5">
        <v>78</v>
      </c>
      <c r="S22366" s="5">
        <v>0</v>
      </c>
      <c r="T22366" s="5" t="s">
        <v>79354</v>
      </c>
      <c r="U22366" s="5"/>
      <c r="V22366" s="5"/>
      <c r="W22366" s="5"/>
      <c r="X22366" s="5"/>
      <c r="Y22366" s="5"/>
    </row>
    <row r="22367" spans="1:25" customFormat="1" ht="15" x14ac:dyDescent="0.25">
      <c r="A22367" t="s">
        <v>24</v>
      </c>
      <c r="B22367" t="s">
        <v>675</v>
      </c>
      <c r="C22367" t="str">
        <f>"57247"</f>
        <v>57247</v>
      </c>
      <c r="D22367" t="s">
        <v>79355</v>
      </c>
      <c r="E22367" t="s">
        <v>79356</v>
      </c>
      <c r="F22367" t="s">
        <v>1580</v>
      </c>
      <c r="G22367" t="s">
        <v>1170</v>
      </c>
      <c r="H22367">
        <v>70001</v>
      </c>
      <c r="I22367" t="s">
        <v>30</v>
      </c>
      <c r="J22367" t="s">
        <v>171</v>
      </c>
      <c r="K22367" t="s">
        <v>1450</v>
      </c>
      <c r="N22367" t="s">
        <v>61231</v>
      </c>
      <c r="O22367" t="s">
        <v>3486</v>
      </c>
      <c r="Q22367">
        <v>0</v>
      </c>
      <c r="R22367">
        <v>120</v>
      </c>
      <c r="S22367">
        <v>0</v>
      </c>
      <c r="T22367" t="s">
        <v>79357</v>
      </c>
    </row>
    <row r="22368" spans="1:25" customFormat="1" ht="15" x14ac:dyDescent="0.25">
      <c r="A22368" t="s">
        <v>24</v>
      </c>
      <c r="B22368" t="s">
        <v>675</v>
      </c>
      <c r="C22368" t="str">
        <f>"A0086941"</f>
        <v>A0086941</v>
      </c>
      <c r="D22368" t="s">
        <v>79358</v>
      </c>
      <c r="E22368" t="s">
        <v>79359</v>
      </c>
      <c r="F22368" t="s">
        <v>1889</v>
      </c>
      <c r="G22368" t="s">
        <v>81</v>
      </c>
      <c r="H22368">
        <v>33126</v>
      </c>
      <c r="I22368" t="s">
        <v>30</v>
      </c>
      <c r="J22368" t="s">
        <v>171</v>
      </c>
      <c r="K22368" t="s">
        <v>1450</v>
      </c>
      <c r="N22368" t="s">
        <v>76276</v>
      </c>
      <c r="O22368" t="s">
        <v>79360</v>
      </c>
      <c r="Q22368">
        <v>0</v>
      </c>
      <c r="R22368">
        <v>163</v>
      </c>
      <c r="S22368">
        <v>0</v>
      </c>
      <c r="T22368" t="s">
        <v>79361</v>
      </c>
    </row>
    <row r="22369" spans="1:25" customFormat="1" ht="15" x14ac:dyDescent="0.25">
      <c r="A22369" t="s">
        <v>24</v>
      </c>
      <c r="B22369" t="s">
        <v>2340</v>
      </c>
      <c r="C22369" t="str">
        <f>"A0095068"</f>
        <v>A0095068</v>
      </c>
      <c r="D22369" t="s">
        <v>79362</v>
      </c>
      <c r="E22369" t="s">
        <v>79363</v>
      </c>
      <c r="F22369" t="s">
        <v>16742</v>
      </c>
      <c r="G22369" t="s">
        <v>81</v>
      </c>
      <c r="H22369">
        <v>33172</v>
      </c>
      <c r="I22369" t="s">
        <v>30</v>
      </c>
      <c r="J22369" t="s">
        <v>171</v>
      </c>
      <c r="K22369" t="s">
        <v>1450</v>
      </c>
      <c r="N22369" t="s">
        <v>9818</v>
      </c>
      <c r="O22369" t="s">
        <v>79364</v>
      </c>
      <c r="Q22369">
        <v>0</v>
      </c>
      <c r="R22369">
        <v>125</v>
      </c>
      <c r="S22369">
        <v>0</v>
      </c>
      <c r="T22369" t="s">
        <v>79365</v>
      </c>
    </row>
    <row r="22370" spans="1:25" customFormat="1" ht="15" x14ac:dyDescent="0.25">
      <c r="A22370" t="s">
        <v>24</v>
      </c>
      <c r="B22370" t="s">
        <v>675</v>
      </c>
      <c r="C22370" t="str">
        <f>"A0095917"</f>
        <v>A0095917</v>
      </c>
      <c r="D22370" t="s">
        <v>79366</v>
      </c>
      <c r="E22370" t="s">
        <v>79367</v>
      </c>
      <c r="F22370" t="s">
        <v>1003</v>
      </c>
      <c r="G22370" t="s">
        <v>81</v>
      </c>
      <c r="H22370">
        <v>33139</v>
      </c>
      <c r="I22370" t="s">
        <v>30</v>
      </c>
      <c r="J22370" t="s">
        <v>171</v>
      </c>
      <c r="K22370" t="s">
        <v>1450</v>
      </c>
      <c r="N22370" t="s">
        <v>61116</v>
      </c>
      <c r="Q22370">
        <v>0</v>
      </c>
      <c r="R22370">
        <v>116</v>
      </c>
      <c r="S22370">
        <v>0</v>
      </c>
      <c r="T22370" t="s">
        <v>79368</v>
      </c>
    </row>
    <row r="22371" spans="1:25" customFormat="1" ht="15" x14ac:dyDescent="0.25">
      <c r="A22371" t="s">
        <v>24</v>
      </c>
      <c r="B22371" t="s">
        <v>675</v>
      </c>
      <c r="C22371" t="str">
        <f>"A0097998"</f>
        <v>A0097998</v>
      </c>
      <c r="D22371" t="s">
        <v>79369</v>
      </c>
      <c r="E22371" t="s">
        <v>79370</v>
      </c>
      <c r="F22371" t="s">
        <v>79371</v>
      </c>
      <c r="G22371" t="s">
        <v>81</v>
      </c>
      <c r="H22371">
        <v>33160</v>
      </c>
      <c r="I22371" t="s">
        <v>30</v>
      </c>
      <c r="J22371" t="s">
        <v>171</v>
      </c>
      <c r="K22371" t="s">
        <v>1450</v>
      </c>
      <c r="N22371" t="s">
        <v>60529</v>
      </c>
      <c r="O22371" t="s">
        <v>79372</v>
      </c>
      <c r="Q22371">
        <v>0</v>
      </c>
      <c r="R22371">
        <v>194</v>
      </c>
      <c r="S22371">
        <v>0</v>
      </c>
      <c r="T22371" t="s">
        <v>79373</v>
      </c>
    </row>
    <row r="22372" spans="1:25" customFormat="1" ht="15" x14ac:dyDescent="0.25">
      <c r="A22372" t="s">
        <v>24</v>
      </c>
      <c r="B22372" t="s">
        <v>1561</v>
      </c>
      <c r="C22372" t="str">
        <f>"A0087374"</f>
        <v>A0087374</v>
      </c>
      <c r="D22372" t="s">
        <v>79374</v>
      </c>
      <c r="E22372" t="s">
        <v>79375</v>
      </c>
      <c r="F22372" t="s">
        <v>2057</v>
      </c>
      <c r="G22372" t="s">
        <v>52</v>
      </c>
      <c r="H22372">
        <v>79706</v>
      </c>
      <c r="I22372" t="s">
        <v>30</v>
      </c>
      <c r="J22372" t="s">
        <v>171</v>
      </c>
      <c r="K22372" t="s">
        <v>1450</v>
      </c>
      <c r="N22372" t="s">
        <v>79376</v>
      </c>
      <c r="Q22372">
        <v>0</v>
      </c>
      <c r="R22372">
        <v>131</v>
      </c>
      <c r="S22372">
        <v>0</v>
      </c>
      <c r="T22372" t="s">
        <v>79377</v>
      </c>
    </row>
    <row r="22373" spans="1:25" customFormat="1" ht="15" x14ac:dyDescent="0.25">
      <c r="A22373" t="s">
        <v>24</v>
      </c>
      <c r="B22373" t="s">
        <v>1487</v>
      </c>
      <c r="C22373" t="str">
        <f>"A0086714"</f>
        <v>A0086714</v>
      </c>
      <c r="D22373" t="s">
        <v>79378</v>
      </c>
      <c r="E22373" t="s">
        <v>79379</v>
      </c>
      <c r="F22373" t="s">
        <v>63301</v>
      </c>
      <c r="G22373" t="s">
        <v>289</v>
      </c>
      <c r="H22373">
        <v>60638</v>
      </c>
      <c r="I22373" t="s">
        <v>30</v>
      </c>
      <c r="J22373" t="s">
        <v>171</v>
      </c>
      <c r="K22373" t="s">
        <v>1450</v>
      </c>
      <c r="N22373" t="s">
        <v>79380</v>
      </c>
      <c r="Q22373">
        <v>0</v>
      </c>
      <c r="R22373">
        <v>132</v>
      </c>
      <c r="S22373">
        <v>0</v>
      </c>
      <c r="T22373" t="s">
        <v>79381</v>
      </c>
    </row>
    <row r="22374" spans="1:25" x14ac:dyDescent="0.25">
      <c r="A22374" s="5" t="s">
        <v>24</v>
      </c>
      <c r="B22374" s="5" t="s">
        <v>66542</v>
      </c>
      <c r="C22374" s="5" t="str">
        <f>"56929"</f>
        <v>56929</v>
      </c>
      <c r="D22374" s="5" t="s">
        <v>79382</v>
      </c>
      <c r="E22374" s="5" t="s">
        <v>79383</v>
      </c>
      <c r="F22374" s="5" t="s">
        <v>35211</v>
      </c>
      <c r="G22374" s="5" t="s">
        <v>110</v>
      </c>
      <c r="H22374" s="5">
        <v>95035</v>
      </c>
      <c r="I22374" s="5" t="s">
        <v>30</v>
      </c>
      <c r="J22374" s="5" t="s">
        <v>171</v>
      </c>
      <c r="K22374" s="5" t="s">
        <v>1450</v>
      </c>
      <c r="L22374" s="5"/>
      <c r="M22374" s="5"/>
      <c r="N22374" s="5" t="s">
        <v>79384</v>
      </c>
      <c r="O22374" s="5"/>
      <c r="P22374" s="5"/>
      <c r="Q22374" s="5">
        <v>0</v>
      </c>
      <c r="R22374" s="5">
        <v>120</v>
      </c>
      <c r="S22374" s="5">
        <v>0</v>
      </c>
      <c r="T22374" s="5" t="s">
        <v>79385</v>
      </c>
      <c r="U22374" s="5"/>
      <c r="V22374" s="5"/>
      <c r="W22374" s="5"/>
      <c r="X22374" s="5"/>
      <c r="Y22374" s="5"/>
    </row>
    <row r="22375" spans="1:25" x14ac:dyDescent="0.25">
      <c r="A22375" s="5" t="s">
        <v>24</v>
      </c>
      <c r="B22375" s="5" t="s">
        <v>54573</v>
      </c>
      <c r="C22375" s="5" t="str">
        <f>"A0099854"</f>
        <v>A0099854</v>
      </c>
      <c r="D22375" s="5" t="s">
        <v>79386</v>
      </c>
      <c r="E22375" s="5" t="s">
        <v>79387</v>
      </c>
      <c r="F22375" s="5" t="s">
        <v>5518</v>
      </c>
      <c r="G22375" s="5" t="s">
        <v>71</v>
      </c>
      <c r="H22375" s="5">
        <v>53217</v>
      </c>
      <c r="I22375" s="5" t="s">
        <v>30</v>
      </c>
      <c r="J22375" s="5" t="s">
        <v>171</v>
      </c>
      <c r="K22375" s="5" t="s">
        <v>1450</v>
      </c>
      <c r="L22375" s="5"/>
      <c r="M22375" s="5"/>
      <c r="N22375" s="5" t="s">
        <v>79388</v>
      </c>
      <c r="O22375" s="5" t="s">
        <v>79389</v>
      </c>
      <c r="P22375" s="5"/>
      <c r="Q22375" s="5">
        <v>0</v>
      </c>
      <c r="R22375" s="5">
        <v>83</v>
      </c>
      <c r="S22375" s="5">
        <v>0</v>
      </c>
      <c r="T22375" s="5" t="s">
        <v>79390</v>
      </c>
      <c r="U22375" s="5"/>
      <c r="V22375" s="5"/>
      <c r="W22375" s="5"/>
      <c r="X22375" s="5"/>
      <c r="Y22375" s="5"/>
    </row>
    <row r="22376" spans="1:25" x14ac:dyDescent="0.25">
      <c r="A22376" s="5" t="s">
        <v>24</v>
      </c>
      <c r="B22376" s="5" t="s">
        <v>1020</v>
      </c>
      <c r="C22376" s="5" t="str">
        <f>"A0084277"</f>
        <v>A0084277</v>
      </c>
      <c r="D22376" s="5" t="s">
        <v>79391</v>
      </c>
      <c r="E22376" s="5" t="s">
        <v>79392</v>
      </c>
      <c r="F22376" s="5" t="s">
        <v>61889</v>
      </c>
      <c r="G22376" s="5" t="s">
        <v>381</v>
      </c>
      <c r="H22376" s="5">
        <v>46545</v>
      </c>
      <c r="I22376" s="5" t="s">
        <v>30</v>
      </c>
      <c r="J22376" s="5" t="s">
        <v>171</v>
      </c>
      <c r="K22376" s="5" t="s">
        <v>1450</v>
      </c>
      <c r="L22376" s="5"/>
      <c r="M22376" s="5"/>
      <c r="N22376" s="5" t="s">
        <v>79393</v>
      </c>
      <c r="O22376" s="5"/>
      <c r="P22376" s="5"/>
      <c r="Q22376" s="5">
        <v>0</v>
      </c>
      <c r="R22376" s="5">
        <v>106</v>
      </c>
      <c r="S22376" s="5">
        <v>0</v>
      </c>
      <c r="T22376" s="5" t="s">
        <v>79394</v>
      </c>
      <c r="U22376" s="5"/>
      <c r="V22376" s="5"/>
      <c r="W22376" s="5"/>
      <c r="X22376" s="5"/>
      <c r="Y22376" s="5"/>
    </row>
    <row r="22377" spans="1:25" x14ac:dyDescent="0.25">
      <c r="A22377" s="5" t="s">
        <v>24</v>
      </c>
      <c r="B22377" s="5" t="s">
        <v>4400</v>
      </c>
      <c r="C22377" s="5" t="str">
        <f>"A0088554"</f>
        <v>A0088554</v>
      </c>
      <c r="D22377" s="5" t="s">
        <v>79395</v>
      </c>
      <c r="E22377" s="5" t="s">
        <v>79396</v>
      </c>
      <c r="F22377" s="5" t="s">
        <v>63720</v>
      </c>
      <c r="G22377" s="5" t="s">
        <v>289</v>
      </c>
      <c r="H22377" s="5">
        <v>61265</v>
      </c>
      <c r="I22377" s="5" t="s">
        <v>30</v>
      </c>
      <c r="J22377" s="5" t="s">
        <v>171</v>
      </c>
      <c r="K22377" s="5" t="s">
        <v>1450</v>
      </c>
      <c r="L22377" s="5"/>
      <c r="M22377" s="5"/>
      <c r="N22377" s="5" t="s">
        <v>79397</v>
      </c>
      <c r="O22377" s="5"/>
      <c r="P22377" s="5"/>
      <c r="Q22377" s="5">
        <v>0</v>
      </c>
      <c r="R22377" s="5">
        <v>84</v>
      </c>
      <c r="S22377" s="5">
        <v>0</v>
      </c>
      <c r="T22377" s="5" t="s">
        <v>79398</v>
      </c>
      <c r="U22377" s="5"/>
      <c r="V22377" s="5"/>
      <c r="W22377" s="5"/>
      <c r="X22377" s="5"/>
      <c r="Y22377" s="5"/>
    </row>
    <row r="22378" spans="1:25" x14ac:dyDescent="0.25">
      <c r="A22378" s="5" t="s">
        <v>24</v>
      </c>
      <c r="B22378" s="5" t="s">
        <v>4400</v>
      </c>
      <c r="C22378" s="5" t="str">
        <f>"56528"</f>
        <v>56528</v>
      </c>
      <c r="D22378" s="5" t="s">
        <v>79399</v>
      </c>
      <c r="E22378" s="5" t="s">
        <v>79400</v>
      </c>
      <c r="F22378" s="5" t="s">
        <v>5610</v>
      </c>
      <c r="G22378" s="5" t="s">
        <v>1170</v>
      </c>
      <c r="H22378" s="5">
        <v>71203</v>
      </c>
      <c r="I22378" s="5" t="s">
        <v>30</v>
      </c>
      <c r="J22378" s="5" t="s">
        <v>171</v>
      </c>
      <c r="K22378" s="5" t="s">
        <v>1450</v>
      </c>
      <c r="L22378" s="5"/>
      <c r="M22378" s="5"/>
      <c r="N22378" s="5" t="s">
        <v>79401</v>
      </c>
      <c r="O22378" s="5" t="s">
        <v>61153</v>
      </c>
      <c r="P22378" s="5"/>
      <c r="Q22378" s="5">
        <v>0</v>
      </c>
      <c r="R22378" s="5">
        <v>66</v>
      </c>
      <c r="S22378" s="5">
        <v>0</v>
      </c>
      <c r="T22378" s="5" t="s">
        <v>79402</v>
      </c>
      <c r="U22378" s="5"/>
      <c r="V22378" s="5"/>
      <c r="W22378" s="5"/>
      <c r="X22378" s="5"/>
      <c r="Y22378" s="5"/>
    </row>
    <row r="22379" spans="1:25" x14ac:dyDescent="0.25">
      <c r="A22379" s="5" t="s">
        <v>24</v>
      </c>
      <c r="B22379" s="5" t="s">
        <v>13807</v>
      </c>
      <c r="C22379" s="5" t="str">
        <f>"A0078359"</f>
        <v>A0078359</v>
      </c>
      <c r="D22379" s="5" t="s">
        <v>79414</v>
      </c>
      <c r="E22379" s="5" t="s">
        <v>79415</v>
      </c>
      <c r="F22379" s="5" t="s">
        <v>54107</v>
      </c>
      <c r="G22379" s="5" t="s">
        <v>507</v>
      </c>
      <c r="H22379" s="5">
        <v>26505</v>
      </c>
      <c r="I22379" s="5" t="s">
        <v>30</v>
      </c>
      <c r="J22379" s="5" t="s">
        <v>171</v>
      </c>
      <c r="K22379" s="5" t="s">
        <v>1450</v>
      </c>
      <c r="L22379" s="5"/>
      <c r="M22379" s="5"/>
      <c r="N22379" s="5" t="s">
        <v>79416</v>
      </c>
      <c r="O22379" s="5" t="s">
        <v>79417</v>
      </c>
      <c r="P22379" s="5"/>
      <c r="Q22379" s="5">
        <v>0</v>
      </c>
      <c r="R22379" s="5">
        <v>104</v>
      </c>
      <c r="S22379" s="5">
        <v>0</v>
      </c>
      <c r="T22379" s="5" t="s">
        <v>79418</v>
      </c>
      <c r="U22379" s="5"/>
      <c r="V22379" s="5"/>
      <c r="W22379" s="5"/>
      <c r="X22379" s="5"/>
      <c r="Y22379" s="5"/>
    </row>
    <row r="22380" spans="1:25" x14ac:dyDescent="0.25">
      <c r="A22380" s="5" t="s">
        <v>24</v>
      </c>
      <c r="B22380" s="5" t="s">
        <v>2528</v>
      </c>
      <c r="C22380" s="5" t="str">
        <f>"56916"</f>
        <v>56916</v>
      </c>
      <c r="D22380" s="5" t="s">
        <v>79419</v>
      </c>
      <c r="E22380" s="5" t="s">
        <v>79420</v>
      </c>
      <c r="F22380" s="5" t="s">
        <v>11631</v>
      </c>
      <c r="G22380" s="5" t="s">
        <v>110</v>
      </c>
      <c r="H22380" s="5">
        <v>94040</v>
      </c>
      <c r="I22380" s="5" t="s">
        <v>30</v>
      </c>
      <c r="J22380" s="5" t="s">
        <v>171</v>
      </c>
      <c r="K22380" s="5" t="s">
        <v>1450</v>
      </c>
      <c r="L22380" s="5"/>
      <c r="M22380" s="5"/>
      <c r="N22380" s="5" t="s">
        <v>79421</v>
      </c>
      <c r="O22380" s="5"/>
      <c r="P22380" s="5"/>
      <c r="Q22380" s="5">
        <v>0</v>
      </c>
      <c r="R22380" s="5">
        <v>112</v>
      </c>
      <c r="S22380" s="5">
        <v>0</v>
      </c>
      <c r="T22380" s="5" t="s">
        <v>79422</v>
      </c>
      <c r="U22380" s="5"/>
      <c r="V22380" s="5"/>
      <c r="W22380" s="5"/>
      <c r="X22380" s="5"/>
      <c r="Y22380" s="5"/>
    </row>
    <row r="22381" spans="1:25" hidden="1" x14ac:dyDescent="0.25">
      <c r="A22381" s="3" t="s">
        <v>24</v>
      </c>
      <c r="B22381" s="3" t="s">
        <v>675</v>
      </c>
      <c r="C22381" s="3" t="str">
        <f>"73R28"</f>
        <v>73R28</v>
      </c>
      <c r="D22381" s="3" t="s">
        <v>85058</v>
      </c>
      <c r="E22381" s="3" t="s">
        <v>85059</v>
      </c>
      <c r="F22381" s="3" t="s">
        <v>5423</v>
      </c>
      <c r="G22381" s="3" t="s">
        <v>5424</v>
      </c>
      <c r="H22381" s="3">
        <v>77500</v>
      </c>
      <c r="I22381" s="3" t="s">
        <v>2408</v>
      </c>
      <c r="J22381" s="3" t="s">
        <v>206</v>
      </c>
      <c r="K22381" s="3" t="s">
        <v>680</v>
      </c>
      <c r="N22381" s="3" t="s">
        <v>85060</v>
      </c>
      <c r="O22381" s="3" t="s">
        <v>85061</v>
      </c>
      <c r="Q22381" s="3">
        <v>0</v>
      </c>
      <c r="R22381" s="3">
        <v>420</v>
      </c>
      <c r="S22381" s="3">
        <v>0</v>
      </c>
      <c r="T22381" s="3" t="s">
        <v>85062</v>
      </c>
    </row>
    <row r="22382" spans="1:25" x14ac:dyDescent="0.25">
      <c r="A22382" s="5" t="s">
        <v>24</v>
      </c>
      <c r="B22382" s="5" t="s">
        <v>34738</v>
      </c>
      <c r="C22382" s="5" t="str">
        <f>"A0117436"</f>
        <v>A0117436</v>
      </c>
      <c r="D22382" s="5" t="s">
        <v>79430</v>
      </c>
      <c r="E22382" s="5" t="s">
        <v>79431</v>
      </c>
      <c r="F22382" s="5" t="s">
        <v>1159</v>
      </c>
      <c r="G22382" s="5" t="s">
        <v>58</v>
      </c>
      <c r="H22382" s="5">
        <v>29577</v>
      </c>
      <c r="I22382" s="5" t="s">
        <v>30</v>
      </c>
      <c r="J22382" s="5" t="s">
        <v>171</v>
      </c>
      <c r="K22382" s="5" t="s">
        <v>1450</v>
      </c>
      <c r="L22382" s="5"/>
      <c r="M22382" s="5"/>
      <c r="N22382" s="5" t="s">
        <v>79432</v>
      </c>
      <c r="O22382" s="5"/>
      <c r="P22382" s="5"/>
      <c r="Q22382" s="5">
        <v>0</v>
      </c>
      <c r="R22382" s="5">
        <v>210</v>
      </c>
      <c r="S22382" s="5">
        <v>0</v>
      </c>
      <c r="T22382" s="5" t="s">
        <v>79433</v>
      </c>
      <c r="U22382" s="5"/>
      <c r="V22382" s="5"/>
      <c r="W22382" s="5"/>
      <c r="X22382" s="5"/>
      <c r="Y22382" s="5"/>
    </row>
    <row r="22383" spans="1:25" x14ac:dyDescent="0.25">
      <c r="A22383" s="5" t="s">
        <v>24</v>
      </c>
      <c r="B22383" s="5" t="s">
        <v>34039</v>
      </c>
      <c r="C22383" s="5" t="str">
        <f>"A0093570"</f>
        <v>A0093570</v>
      </c>
      <c r="D22383" s="5" t="s">
        <v>79434</v>
      </c>
      <c r="E22383" s="5" t="s">
        <v>79435</v>
      </c>
      <c r="F22383" s="5" t="s">
        <v>54339</v>
      </c>
      <c r="G22383" s="5" t="s">
        <v>1363</v>
      </c>
      <c r="H22383" s="5">
        <v>3063</v>
      </c>
      <c r="I22383" s="5" t="s">
        <v>30</v>
      </c>
      <c r="J22383" s="5" t="s">
        <v>171</v>
      </c>
      <c r="K22383" s="5" t="s">
        <v>1450</v>
      </c>
      <c r="L22383" s="5"/>
      <c r="M22383" s="5"/>
      <c r="N22383" s="5" t="s">
        <v>79436</v>
      </c>
      <c r="O22383" s="5"/>
      <c r="P22383" s="5"/>
      <c r="Q22383" s="5">
        <v>0</v>
      </c>
      <c r="R22383" s="5">
        <v>118</v>
      </c>
      <c r="S22383" s="5">
        <v>0</v>
      </c>
      <c r="T22383" s="5" t="s">
        <v>79437</v>
      </c>
      <c r="U22383" s="5"/>
      <c r="V22383" s="5"/>
      <c r="W22383" s="5"/>
      <c r="X22383" s="5"/>
      <c r="Y22383" s="5"/>
    </row>
    <row r="22384" spans="1:25" x14ac:dyDescent="0.25">
      <c r="A22384" s="5" t="s">
        <v>24</v>
      </c>
      <c r="B22384" s="5" t="s">
        <v>675</v>
      </c>
      <c r="C22384" s="5" t="str">
        <f>"57241"</f>
        <v>57241</v>
      </c>
      <c r="D22384" s="5" t="s">
        <v>79438</v>
      </c>
      <c r="E22384" s="5" t="s">
        <v>79439</v>
      </c>
      <c r="F22384" s="5" t="s">
        <v>2971</v>
      </c>
      <c r="G22384" s="5" t="s">
        <v>880</v>
      </c>
      <c r="H22384" s="5">
        <v>37214</v>
      </c>
      <c r="I22384" s="5" t="s">
        <v>30</v>
      </c>
      <c r="J22384" s="5" t="s">
        <v>171</v>
      </c>
      <c r="K22384" s="5" t="s">
        <v>1450</v>
      </c>
      <c r="L22384" s="5"/>
      <c r="M22384" s="5"/>
      <c r="N22384" s="5" t="s">
        <v>79440</v>
      </c>
      <c r="O22384" s="5" t="s">
        <v>3486</v>
      </c>
      <c r="P22384" s="5"/>
      <c r="Q22384" s="5">
        <v>0</v>
      </c>
      <c r="R22384" s="5">
        <v>168</v>
      </c>
      <c r="S22384" s="5">
        <v>0</v>
      </c>
      <c r="T22384" s="5" t="s">
        <v>79441</v>
      </c>
      <c r="U22384" s="5"/>
      <c r="V22384" s="5"/>
      <c r="W22384" s="5"/>
      <c r="X22384" s="5"/>
      <c r="Y22384" s="5"/>
    </row>
    <row r="22385" spans="1:25" x14ac:dyDescent="0.25">
      <c r="A22385" s="5" t="s">
        <v>24</v>
      </c>
      <c r="B22385" s="5" t="s">
        <v>9391</v>
      </c>
      <c r="C22385" s="5" t="str">
        <f>"A0093462"</f>
        <v>A0093462</v>
      </c>
      <c r="D22385" s="5" t="s">
        <v>79442</v>
      </c>
      <c r="E22385" s="5" t="s">
        <v>79443</v>
      </c>
      <c r="F22385" s="5" t="s">
        <v>12806</v>
      </c>
      <c r="G22385" s="5" t="s">
        <v>880</v>
      </c>
      <c r="H22385" s="5">
        <v>37129</v>
      </c>
      <c r="I22385" s="5" t="s">
        <v>30</v>
      </c>
      <c r="J22385" s="5" t="s">
        <v>171</v>
      </c>
      <c r="K22385" s="5" t="s">
        <v>1450</v>
      </c>
      <c r="L22385" s="5"/>
      <c r="M22385" s="5"/>
      <c r="N22385" s="5" t="s">
        <v>79444</v>
      </c>
      <c r="O22385" s="5" t="s">
        <v>79445</v>
      </c>
      <c r="P22385" s="5"/>
      <c r="Q22385" s="5">
        <v>0</v>
      </c>
      <c r="R22385" s="5">
        <v>112</v>
      </c>
      <c r="S22385" s="5">
        <v>0</v>
      </c>
      <c r="T22385" s="5" t="s">
        <v>79446</v>
      </c>
      <c r="U22385" s="5"/>
      <c r="V22385" s="5"/>
      <c r="W22385" s="5"/>
      <c r="X22385" s="5"/>
      <c r="Y22385" s="5"/>
    </row>
    <row r="22386" spans="1:25" x14ac:dyDescent="0.25">
      <c r="A22386" s="5" t="s">
        <v>24</v>
      </c>
      <c r="B22386" s="5" t="s">
        <v>675</v>
      </c>
      <c r="C22386" s="5" t="str">
        <f>"A0088581"</f>
        <v>A0088581</v>
      </c>
      <c r="D22386" s="5" t="s">
        <v>79447</v>
      </c>
      <c r="E22386" s="5" t="s">
        <v>79448</v>
      </c>
      <c r="F22386" s="5" t="s">
        <v>2971</v>
      </c>
      <c r="G22386" s="5" t="s">
        <v>880</v>
      </c>
      <c r="H22386" s="5">
        <v>37203</v>
      </c>
      <c r="I22386" s="5" t="s">
        <v>30</v>
      </c>
      <c r="J22386" s="5" t="s">
        <v>171</v>
      </c>
      <c r="K22386" s="5" t="s">
        <v>1450</v>
      </c>
      <c r="L22386" s="5"/>
      <c r="M22386" s="5"/>
      <c r="N22386" s="5" t="s">
        <v>61179</v>
      </c>
      <c r="O22386" s="5" t="s">
        <v>79449</v>
      </c>
      <c r="P22386" s="5"/>
      <c r="Q22386" s="5">
        <v>0</v>
      </c>
      <c r="R22386" s="5">
        <v>150</v>
      </c>
      <c r="S22386" s="5">
        <v>0</v>
      </c>
      <c r="T22386" s="5" t="s">
        <v>79450</v>
      </c>
      <c r="U22386" s="5"/>
      <c r="V22386" s="5"/>
      <c r="W22386" s="5"/>
      <c r="X22386" s="5"/>
      <c r="Y22386" s="5"/>
    </row>
    <row r="22387" spans="1:25" x14ac:dyDescent="0.25">
      <c r="A22387" s="5" t="s">
        <v>24</v>
      </c>
      <c r="B22387" s="5" t="s">
        <v>1020</v>
      </c>
      <c r="C22387" s="5" t="str">
        <f>"A0083245"</f>
        <v>A0083245</v>
      </c>
      <c r="D22387" s="5" t="s">
        <v>79451</v>
      </c>
      <c r="E22387" s="5" t="s">
        <v>79452</v>
      </c>
      <c r="F22387" s="5" t="s">
        <v>54631</v>
      </c>
      <c r="G22387" s="5" t="s">
        <v>899</v>
      </c>
      <c r="H22387" s="5">
        <v>2747</v>
      </c>
      <c r="I22387" s="5" t="s">
        <v>30</v>
      </c>
      <c r="J22387" s="5" t="s">
        <v>171</v>
      </c>
      <c r="K22387" s="5" t="s">
        <v>1450</v>
      </c>
      <c r="L22387" s="5"/>
      <c r="M22387" s="5"/>
      <c r="N22387" s="5" t="s">
        <v>79453</v>
      </c>
      <c r="O22387" s="5" t="s">
        <v>79454</v>
      </c>
      <c r="P22387" s="5"/>
      <c r="Q22387" s="5">
        <v>0</v>
      </c>
      <c r="R22387" s="5">
        <v>96</v>
      </c>
      <c r="S22387" s="5">
        <v>0</v>
      </c>
      <c r="T22387" s="5" t="s">
        <v>79455</v>
      </c>
      <c r="U22387" s="5"/>
      <c r="V22387" s="5"/>
      <c r="W22387" s="5"/>
      <c r="X22387" s="5"/>
      <c r="Y22387" s="5"/>
    </row>
    <row r="22388" spans="1:25" customFormat="1" ht="15" x14ac:dyDescent="0.25">
      <c r="A22388" t="s">
        <v>24</v>
      </c>
      <c r="B22388" t="s">
        <v>675</v>
      </c>
      <c r="C22388" t="str">
        <f>"A0086060"</f>
        <v>A0086060</v>
      </c>
      <c r="D22388" t="s">
        <v>85090</v>
      </c>
      <c r="E22388" t="s">
        <v>85091</v>
      </c>
      <c r="F22388" t="s">
        <v>67521</v>
      </c>
      <c r="G22388" t="s">
        <v>197</v>
      </c>
      <c r="H22388">
        <v>85658</v>
      </c>
      <c r="I22388" t="s">
        <v>30</v>
      </c>
      <c r="J22388" t="s">
        <v>2415</v>
      </c>
      <c r="K22388" t="s">
        <v>680</v>
      </c>
      <c r="P22388" t="s">
        <v>3998</v>
      </c>
      <c r="Q22388">
        <v>2</v>
      </c>
      <c r="R22388">
        <v>0</v>
      </c>
      <c r="S22388">
        <v>0</v>
      </c>
      <c r="T22388" t="s">
        <v>85092</v>
      </c>
    </row>
    <row r="22389" spans="1:25" x14ac:dyDescent="0.25">
      <c r="A22389" s="5" t="s">
        <v>24</v>
      </c>
      <c r="B22389" s="5" t="s">
        <v>675</v>
      </c>
      <c r="C22389" s="5" t="str">
        <f>"A0087661"</f>
        <v>A0087661</v>
      </c>
      <c r="D22389" s="5" t="s">
        <v>79456</v>
      </c>
      <c r="E22389" s="5" t="s">
        <v>79457</v>
      </c>
      <c r="F22389" s="5" t="s">
        <v>53840</v>
      </c>
      <c r="G22389" s="5" t="s">
        <v>1170</v>
      </c>
      <c r="H22389" s="5">
        <v>70433</v>
      </c>
      <c r="I22389" s="5" t="s">
        <v>30</v>
      </c>
      <c r="J22389" s="5" t="s">
        <v>171</v>
      </c>
      <c r="K22389" s="5" t="s">
        <v>1450</v>
      </c>
      <c r="L22389" s="5"/>
      <c r="M22389" s="5"/>
      <c r="N22389" s="5" t="s">
        <v>61222</v>
      </c>
      <c r="O22389" s="5" t="s">
        <v>79458</v>
      </c>
      <c r="P22389" s="5"/>
      <c r="Q22389" s="5">
        <v>0</v>
      </c>
      <c r="R22389" s="5">
        <v>126</v>
      </c>
      <c r="S22389" s="5">
        <v>0</v>
      </c>
      <c r="T22389" s="5" t="s">
        <v>79459</v>
      </c>
      <c r="U22389" s="5"/>
      <c r="V22389" s="5"/>
      <c r="W22389" s="5"/>
      <c r="X22389" s="5"/>
      <c r="Y22389" s="5"/>
    </row>
    <row r="22390" spans="1:25" hidden="1" x14ac:dyDescent="0.25">
      <c r="A22390" s="3" t="s">
        <v>24</v>
      </c>
      <c r="B22390" s="3" t="s">
        <v>675</v>
      </c>
      <c r="C22390" s="3" t="str">
        <f>"A0068214"</f>
        <v>A0068214</v>
      </c>
      <c r="D22390" s="3" t="s">
        <v>85098</v>
      </c>
      <c r="E22390" s="3" t="s">
        <v>85099</v>
      </c>
      <c r="F22390" s="3" t="s">
        <v>66923</v>
      </c>
      <c r="G22390" s="3" t="s">
        <v>66924</v>
      </c>
      <c r="H22390" s="3" t="s">
        <v>55193</v>
      </c>
      <c r="I22390" s="3" t="s">
        <v>66925</v>
      </c>
      <c r="J22390" s="3" t="s">
        <v>206</v>
      </c>
      <c r="K22390" s="3" t="s">
        <v>680</v>
      </c>
      <c r="N22390" s="3" t="s">
        <v>85100</v>
      </c>
      <c r="O22390" s="3" t="s">
        <v>85101</v>
      </c>
      <c r="P22390" s="3" t="s">
        <v>3998</v>
      </c>
      <c r="Q22390" s="3">
        <v>1</v>
      </c>
      <c r="R22390" s="3">
        <v>365</v>
      </c>
      <c r="S22390" s="3">
        <v>0</v>
      </c>
      <c r="T22390" s="3" t="s">
        <v>85102</v>
      </c>
    </row>
    <row r="22391" spans="1:25" x14ac:dyDescent="0.25">
      <c r="A22391" s="5" t="s">
        <v>24</v>
      </c>
      <c r="B22391" s="5" t="s">
        <v>1317</v>
      </c>
      <c r="C22391" s="5" t="str">
        <f>"A0151371"</f>
        <v>A0151371</v>
      </c>
      <c r="D22391" s="5" t="s">
        <v>79460</v>
      </c>
      <c r="E22391" s="5" t="s">
        <v>79461</v>
      </c>
      <c r="F22391" s="5" t="s">
        <v>2069</v>
      </c>
      <c r="G22391" s="5" t="s">
        <v>1170</v>
      </c>
      <c r="H22391" s="5">
        <v>70130</v>
      </c>
      <c r="I22391" s="5" t="s">
        <v>30</v>
      </c>
      <c r="J22391" s="5" t="s">
        <v>171</v>
      </c>
      <c r="K22391" s="5" t="s">
        <v>1450</v>
      </c>
      <c r="L22391" s="5"/>
      <c r="M22391" s="5"/>
      <c r="N22391" s="5" t="s">
        <v>79462</v>
      </c>
      <c r="O22391" s="5" t="s">
        <v>79463</v>
      </c>
      <c r="P22391" s="5"/>
      <c r="Q22391" s="5">
        <v>0</v>
      </c>
      <c r="R22391" s="5">
        <v>231</v>
      </c>
      <c r="S22391" s="5">
        <v>0</v>
      </c>
      <c r="T22391" s="5" t="s">
        <v>79464</v>
      </c>
      <c r="U22391" s="5"/>
      <c r="V22391" s="5"/>
      <c r="W22391" s="5"/>
      <c r="X22391" s="5"/>
      <c r="Y22391" s="5"/>
    </row>
    <row r="22392" spans="1:25" x14ac:dyDescent="0.25">
      <c r="A22392" s="5" t="s">
        <v>24</v>
      </c>
      <c r="B22392" s="5" t="s">
        <v>2340</v>
      </c>
      <c r="C22392" s="5" t="str">
        <f>"A0099646"</f>
        <v>A0099646</v>
      </c>
      <c r="D22392" s="5" t="s">
        <v>79465</v>
      </c>
      <c r="E22392" s="5" t="s">
        <v>79466</v>
      </c>
      <c r="F22392" s="5" t="s">
        <v>2069</v>
      </c>
      <c r="G22392" s="5" t="s">
        <v>1170</v>
      </c>
      <c r="H22392" s="5">
        <v>70123</v>
      </c>
      <c r="I22392" s="5" t="s">
        <v>30</v>
      </c>
      <c r="J22392" s="5" t="s">
        <v>171</v>
      </c>
      <c r="K22392" s="5" t="s">
        <v>1450</v>
      </c>
      <c r="L22392" s="5"/>
      <c r="M22392" s="5"/>
      <c r="N22392" s="5" t="s">
        <v>65312</v>
      </c>
      <c r="O22392" s="5"/>
      <c r="P22392" s="5"/>
      <c r="Q22392" s="5">
        <v>0</v>
      </c>
      <c r="R22392" s="5">
        <v>108</v>
      </c>
      <c r="S22392" s="5">
        <v>0</v>
      </c>
      <c r="T22392" s="5" t="s">
        <v>79467</v>
      </c>
      <c r="U22392" s="5"/>
      <c r="V22392" s="5"/>
      <c r="W22392" s="5"/>
      <c r="X22392" s="5"/>
      <c r="Y22392" s="5"/>
    </row>
    <row r="22393" spans="1:25" customFormat="1" ht="15" x14ac:dyDescent="0.25">
      <c r="A22393" t="s">
        <v>24</v>
      </c>
      <c r="B22393" t="s">
        <v>2528</v>
      </c>
      <c r="C22393" t="str">
        <f>"56656"</f>
        <v>56656</v>
      </c>
      <c r="D22393" t="s">
        <v>79468</v>
      </c>
      <c r="E22393" t="s">
        <v>79469</v>
      </c>
      <c r="F22393" t="s">
        <v>79470</v>
      </c>
      <c r="G22393" t="s">
        <v>99</v>
      </c>
      <c r="H22393">
        <v>10801</v>
      </c>
      <c r="I22393" t="s">
        <v>30</v>
      </c>
      <c r="J22393" t="s">
        <v>171</v>
      </c>
      <c r="K22393" t="s">
        <v>1450</v>
      </c>
      <c r="N22393" t="s">
        <v>79471</v>
      </c>
      <c r="Q22393">
        <v>0</v>
      </c>
      <c r="R22393">
        <v>123</v>
      </c>
      <c r="S22393">
        <v>0</v>
      </c>
      <c r="T22393" t="s">
        <v>79472</v>
      </c>
    </row>
    <row r="22394" spans="1:25" customFormat="1" ht="15" x14ac:dyDescent="0.25">
      <c r="A22394" t="s">
        <v>24</v>
      </c>
      <c r="B22394" t="s">
        <v>5830</v>
      </c>
      <c r="C22394" t="str">
        <f>"A0094044"</f>
        <v>A0094044</v>
      </c>
      <c r="D22394" t="s">
        <v>79473</v>
      </c>
      <c r="E22394" t="s">
        <v>79474</v>
      </c>
      <c r="F22394" t="s">
        <v>79475</v>
      </c>
      <c r="G22394" t="s">
        <v>99</v>
      </c>
      <c r="H22394">
        <v>10461</v>
      </c>
      <c r="I22394" t="s">
        <v>30</v>
      </c>
      <c r="J22394" t="s">
        <v>171</v>
      </c>
      <c r="K22394" t="s">
        <v>1450</v>
      </c>
      <c r="N22394" t="s">
        <v>79476</v>
      </c>
      <c r="O22394" t="s">
        <v>8336</v>
      </c>
      <c r="Q22394">
        <v>0</v>
      </c>
      <c r="R22394">
        <v>125</v>
      </c>
      <c r="S22394">
        <v>0</v>
      </c>
      <c r="T22394" t="s">
        <v>79477</v>
      </c>
    </row>
    <row r="22395" spans="1:25" x14ac:dyDescent="0.25">
      <c r="A22395" s="5" t="s">
        <v>24</v>
      </c>
      <c r="B22395" s="5" t="s">
        <v>675</v>
      </c>
      <c r="C22395" s="5" t="str">
        <f>"57179"</f>
        <v>57179</v>
      </c>
      <c r="D22395" s="5" t="s">
        <v>79478</v>
      </c>
      <c r="E22395" s="5" t="s">
        <v>79479</v>
      </c>
      <c r="F22395" s="5" t="s">
        <v>60391</v>
      </c>
      <c r="G22395" s="5" t="s">
        <v>338</v>
      </c>
      <c r="H22395" s="5">
        <v>7201</v>
      </c>
      <c r="I22395" s="5" t="s">
        <v>30</v>
      </c>
      <c r="J22395" s="5" t="s">
        <v>171</v>
      </c>
      <c r="K22395" s="5" t="s">
        <v>1450</v>
      </c>
      <c r="L22395" s="5"/>
      <c r="M22395" s="5"/>
      <c r="N22395" s="5" t="s">
        <v>79480</v>
      </c>
      <c r="O22395" s="5" t="s">
        <v>60392</v>
      </c>
      <c r="P22395" s="5"/>
      <c r="Q22395" s="5">
        <v>0</v>
      </c>
      <c r="R22395" s="5">
        <v>198</v>
      </c>
      <c r="S22395" s="5">
        <v>0</v>
      </c>
      <c r="T22395" s="5" t="s">
        <v>79481</v>
      </c>
      <c r="U22395" s="5"/>
      <c r="V22395" s="5"/>
      <c r="W22395" s="5"/>
      <c r="X22395" s="5"/>
      <c r="Y22395" s="5"/>
    </row>
    <row r="22396" spans="1:25" x14ac:dyDescent="0.25">
      <c r="A22396" s="5" t="s">
        <v>24</v>
      </c>
      <c r="B22396" s="5" t="s">
        <v>1138</v>
      </c>
      <c r="C22396" s="5" t="str">
        <f>"A0092283"</f>
        <v>A0092283</v>
      </c>
      <c r="D22396" s="5" t="s">
        <v>79482</v>
      </c>
      <c r="E22396" s="5" t="s">
        <v>79483</v>
      </c>
      <c r="F22396" s="5" t="s">
        <v>67605</v>
      </c>
      <c r="G22396" s="5" t="s">
        <v>65</v>
      </c>
      <c r="H22396" s="5">
        <v>44446</v>
      </c>
      <c r="I22396" s="5" t="s">
        <v>30</v>
      </c>
      <c r="J22396" s="5" t="s">
        <v>171</v>
      </c>
      <c r="K22396" s="5" t="s">
        <v>1450</v>
      </c>
      <c r="L22396" s="5"/>
      <c r="M22396" s="5"/>
      <c r="N22396" s="5" t="s">
        <v>79484</v>
      </c>
      <c r="O22396" s="5" t="s">
        <v>79485</v>
      </c>
      <c r="P22396" s="5"/>
      <c r="Q22396" s="5">
        <v>0</v>
      </c>
      <c r="R22396" s="5">
        <v>103</v>
      </c>
      <c r="S22396" s="5">
        <v>0</v>
      </c>
      <c r="T22396" s="5" t="s">
        <v>79486</v>
      </c>
      <c r="U22396" s="5"/>
      <c r="V22396" s="5"/>
      <c r="W22396" s="5"/>
      <c r="X22396" s="5"/>
      <c r="Y22396" s="5"/>
    </row>
    <row r="22397" spans="1:25" x14ac:dyDescent="0.25">
      <c r="A22397" s="5" t="s">
        <v>24</v>
      </c>
      <c r="B22397" s="5" t="s">
        <v>1561</v>
      </c>
      <c r="C22397" s="5" t="str">
        <f>"A0087759"</f>
        <v>A0087759</v>
      </c>
      <c r="D22397" s="5" t="s">
        <v>79487</v>
      </c>
      <c r="E22397" s="5" t="s">
        <v>79488</v>
      </c>
      <c r="F22397" s="5" t="s">
        <v>61274</v>
      </c>
      <c r="G22397" s="5" t="s">
        <v>29</v>
      </c>
      <c r="H22397" s="5">
        <v>23510</v>
      </c>
      <c r="I22397" s="5" t="s">
        <v>30</v>
      </c>
      <c r="J22397" s="5" t="s">
        <v>171</v>
      </c>
      <c r="K22397" s="5" t="s">
        <v>1450</v>
      </c>
      <c r="L22397" s="5"/>
      <c r="M22397" s="5"/>
      <c r="N22397" s="5" t="s">
        <v>79489</v>
      </c>
      <c r="O22397" s="5"/>
      <c r="P22397" s="5"/>
      <c r="Q22397" s="5">
        <v>0</v>
      </c>
      <c r="R22397" s="5">
        <v>160</v>
      </c>
      <c r="S22397" s="5">
        <v>0</v>
      </c>
      <c r="T22397" s="5" t="s">
        <v>79490</v>
      </c>
      <c r="U22397" s="5"/>
      <c r="V22397" s="5"/>
      <c r="W22397" s="5"/>
      <c r="X22397" s="5"/>
      <c r="Y22397" s="5"/>
    </row>
    <row r="22398" spans="1:25" x14ac:dyDescent="0.25">
      <c r="A22398" s="5" t="s">
        <v>24</v>
      </c>
      <c r="B22398" s="5" t="s">
        <v>1098</v>
      </c>
      <c r="C22398" s="5" t="str">
        <f>"A0147000"</f>
        <v>A0147000</v>
      </c>
      <c r="D22398" s="5" t="s">
        <v>79491</v>
      </c>
      <c r="E22398" s="5" t="s">
        <v>79492</v>
      </c>
      <c r="F22398" s="5" t="s">
        <v>4391</v>
      </c>
      <c r="G22398" s="5" t="s">
        <v>615</v>
      </c>
      <c r="H22398" s="5">
        <v>6854</v>
      </c>
      <c r="I22398" s="5" t="s">
        <v>30</v>
      </c>
      <c r="J22398" s="5" t="s">
        <v>171</v>
      </c>
      <c r="K22398" s="5" t="s">
        <v>1450</v>
      </c>
      <c r="L22398" s="5"/>
      <c r="M22398" s="5"/>
      <c r="N22398" s="5" t="s">
        <v>79493</v>
      </c>
      <c r="O22398" s="5" t="s">
        <v>79494</v>
      </c>
      <c r="P22398" s="5"/>
      <c r="Q22398" s="5">
        <v>0</v>
      </c>
      <c r="R22398" s="5">
        <v>102</v>
      </c>
      <c r="S22398" s="5">
        <v>0</v>
      </c>
      <c r="T22398" s="5" t="s">
        <v>79495</v>
      </c>
      <c r="U22398" s="5"/>
      <c r="V22398" s="5"/>
      <c r="W22398" s="5"/>
      <c r="X22398" s="5"/>
      <c r="Y22398" s="5"/>
    </row>
    <row r="22399" spans="1:25" x14ac:dyDescent="0.25">
      <c r="A22399" s="5" t="s">
        <v>24</v>
      </c>
      <c r="B22399" s="5" t="s">
        <v>8579</v>
      </c>
      <c r="C22399" s="5" t="str">
        <f>"A0078602"</f>
        <v>A0078602</v>
      </c>
      <c r="D22399" s="5" t="s">
        <v>79496</v>
      </c>
      <c r="E22399" s="5" t="s">
        <v>79497</v>
      </c>
      <c r="F22399" s="5" t="s">
        <v>4655</v>
      </c>
      <c r="G22399" s="5" t="s">
        <v>899</v>
      </c>
      <c r="H22399" s="5">
        <v>2062</v>
      </c>
      <c r="I22399" s="5" t="s">
        <v>30</v>
      </c>
      <c r="J22399" s="5" t="s">
        <v>171</v>
      </c>
      <c r="K22399" s="5" t="s">
        <v>1450</v>
      </c>
      <c r="L22399" s="5"/>
      <c r="M22399" s="5"/>
      <c r="N22399" s="5" t="s">
        <v>79498</v>
      </c>
      <c r="O22399" s="5"/>
      <c r="P22399" s="5"/>
      <c r="Q22399" s="5">
        <v>0</v>
      </c>
      <c r="R22399" s="5">
        <v>96</v>
      </c>
      <c r="S22399" s="5">
        <v>0</v>
      </c>
      <c r="T22399" s="5" t="s">
        <v>79499</v>
      </c>
      <c r="U22399" s="5"/>
      <c r="V22399" s="5"/>
      <c r="W22399" s="5"/>
      <c r="X22399" s="5"/>
      <c r="Y22399" s="5"/>
    </row>
    <row r="22400" spans="1:25" x14ac:dyDescent="0.25">
      <c r="A22400" s="5" t="s">
        <v>24</v>
      </c>
      <c r="B22400" s="5" t="s">
        <v>16701</v>
      </c>
      <c r="C22400" s="5" t="str">
        <f>"A0148497"</f>
        <v>A0148497</v>
      </c>
      <c r="D22400" s="5" t="s">
        <v>79500</v>
      </c>
      <c r="E22400" s="5" t="s">
        <v>79501</v>
      </c>
      <c r="F22400" s="5" t="s">
        <v>76088</v>
      </c>
      <c r="G22400" s="5" t="s">
        <v>110</v>
      </c>
      <c r="H22400" s="5">
        <v>94596</v>
      </c>
      <c r="I22400" s="5" t="s">
        <v>30</v>
      </c>
      <c r="J22400" s="5" t="s">
        <v>171</v>
      </c>
      <c r="K22400" s="5" t="s">
        <v>1450</v>
      </c>
      <c r="L22400" s="5"/>
      <c r="M22400" s="5"/>
      <c r="N22400" s="5" t="s">
        <v>79502</v>
      </c>
      <c r="O22400" s="5" t="s">
        <v>79503</v>
      </c>
      <c r="P22400" s="5"/>
      <c r="Q22400" s="5">
        <v>0</v>
      </c>
      <c r="R22400" s="5">
        <v>160</v>
      </c>
      <c r="S22400" s="5">
        <v>0</v>
      </c>
      <c r="T22400" s="5" t="s">
        <v>79504</v>
      </c>
      <c r="U22400" s="5"/>
      <c r="V22400" s="5"/>
      <c r="W22400" s="5"/>
      <c r="X22400" s="5"/>
      <c r="Y22400" s="5"/>
    </row>
    <row r="22401" spans="1:25" hidden="1" x14ac:dyDescent="0.25">
      <c r="A22401" s="3" t="s">
        <v>24</v>
      </c>
      <c r="B22401" s="3" t="s">
        <v>675</v>
      </c>
      <c r="C22401" s="3" t="str">
        <f>"73R36"</f>
        <v>73R36</v>
      </c>
      <c r="D22401" s="3" t="s">
        <v>85149</v>
      </c>
      <c r="E22401" s="3" t="s">
        <v>85150</v>
      </c>
      <c r="F22401" s="3" t="s">
        <v>14902</v>
      </c>
      <c r="G22401" s="3" t="s">
        <v>9901</v>
      </c>
      <c r="H22401" s="3">
        <v>979</v>
      </c>
      <c r="I22401" s="3" t="s">
        <v>9902</v>
      </c>
      <c r="J22401" s="3" t="s">
        <v>206</v>
      </c>
      <c r="K22401" s="3" t="s">
        <v>680</v>
      </c>
      <c r="N22401" s="3" t="s">
        <v>84946</v>
      </c>
      <c r="O22401" s="3" t="s">
        <v>16147</v>
      </c>
      <c r="Q22401" s="3">
        <v>0</v>
      </c>
      <c r="R22401" s="3">
        <v>0</v>
      </c>
      <c r="S22401" s="3">
        <v>0</v>
      </c>
      <c r="T22401" s="3" t="s">
        <v>85151</v>
      </c>
    </row>
    <row r="22402" spans="1:25" x14ac:dyDescent="0.25">
      <c r="A22402" s="5" t="s">
        <v>24</v>
      </c>
      <c r="B22402" s="5" t="s">
        <v>60503</v>
      </c>
      <c r="C22402" s="5" t="str">
        <f>"A0096252"</f>
        <v>A0096252</v>
      </c>
      <c r="D22402" s="5" t="s">
        <v>79505</v>
      </c>
      <c r="E22402" s="5" t="s">
        <v>79506</v>
      </c>
      <c r="F22402" s="5" t="s">
        <v>2235</v>
      </c>
      <c r="G22402" s="5" t="s">
        <v>123</v>
      </c>
      <c r="H22402" s="5">
        <v>21842</v>
      </c>
      <c r="I22402" s="5" t="s">
        <v>30</v>
      </c>
      <c r="J22402" s="5" t="s">
        <v>171</v>
      </c>
      <c r="K22402" s="5" t="s">
        <v>1450</v>
      </c>
      <c r="L22402" s="5"/>
      <c r="M22402" s="5"/>
      <c r="N22402" s="5" t="s">
        <v>79507</v>
      </c>
      <c r="O22402" s="5"/>
      <c r="P22402" s="5"/>
      <c r="Q22402" s="5">
        <v>0</v>
      </c>
      <c r="R22402" s="5">
        <v>150</v>
      </c>
      <c r="S22402" s="5">
        <v>0</v>
      </c>
      <c r="T22402" s="5" t="s">
        <v>79508</v>
      </c>
      <c r="U22402" s="5"/>
      <c r="V22402" s="5"/>
      <c r="W22402" s="5"/>
      <c r="X22402" s="5"/>
      <c r="Y22402" s="5"/>
    </row>
    <row r="22403" spans="1:25" x14ac:dyDescent="0.25">
      <c r="A22403" s="5" t="s">
        <v>24</v>
      </c>
      <c r="B22403" s="5" t="s">
        <v>675</v>
      </c>
      <c r="C22403" s="5" t="str">
        <f>"A0084433"</f>
        <v>A0084433</v>
      </c>
      <c r="D22403" s="5" t="s">
        <v>79509</v>
      </c>
      <c r="E22403" s="5" t="s">
        <v>79510</v>
      </c>
      <c r="F22403" s="5" t="s">
        <v>12456</v>
      </c>
      <c r="G22403" s="5" t="s">
        <v>110</v>
      </c>
      <c r="H22403" s="5">
        <v>92056</v>
      </c>
      <c r="I22403" s="5" t="s">
        <v>30</v>
      </c>
      <c r="J22403" s="5" t="s">
        <v>171</v>
      </c>
      <c r="K22403" s="5" t="s">
        <v>1450</v>
      </c>
      <c r="L22403" s="5"/>
      <c r="M22403" s="5"/>
      <c r="N22403" s="5" t="s">
        <v>79511</v>
      </c>
      <c r="O22403" s="5" t="s">
        <v>61720</v>
      </c>
      <c r="P22403" s="5"/>
      <c r="Q22403" s="5">
        <v>0</v>
      </c>
      <c r="R22403" s="5">
        <v>125</v>
      </c>
      <c r="S22403" s="5">
        <v>0</v>
      </c>
      <c r="T22403" s="5" t="s">
        <v>79512</v>
      </c>
      <c r="U22403" s="5"/>
      <c r="V22403" s="5"/>
      <c r="W22403" s="5"/>
      <c r="X22403" s="5"/>
      <c r="Y22403" s="5"/>
    </row>
    <row r="22404" spans="1:25" x14ac:dyDescent="0.25">
      <c r="A22404" s="5" t="s">
        <v>24</v>
      </c>
      <c r="B22404" s="5" t="s">
        <v>1561</v>
      </c>
      <c r="C22404" s="5" t="str">
        <f>"A0092185"</f>
        <v>A0092185</v>
      </c>
      <c r="D22404" s="5" t="s">
        <v>79513</v>
      </c>
      <c r="E22404" s="5" t="s">
        <v>79514</v>
      </c>
      <c r="F22404" s="5" t="s">
        <v>57635</v>
      </c>
      <c r="G22404" s="5" t="s">
        <v>52</v>
      </c>
      <c r="H22404" s="5">
        <v>79765</v>
      </c>
      <c r="I22404" s="5" t="s">
        <v>30</v>
      </c>
      <c r="J22404" s="5" t="s">
        <v>171</v>
      </c>
      <c r="K22404" s="5" t="s">
        <v>1450</v>
      </c>
      <c r="L22404" s="5"/>
      <c r="M22404" s="5"/>
      <c r="N22404" s="5" t="s">
        <v>78493</v>
      </c>
      <c r="O22404" s="5" t="s">
        <v>79515</v>
      </c>
      <c r="P22404" s="5"/>
      <c r="Q22404" s="5">
        <v>0</v>
      </c>
      <c r="R22404" s="5">
        <v>120</v>
      </c>
      <c r="S22404" s="5">
        <v>0</v>
      </c>
      <c r="T22404" s="5" t="s">
        <v>79516</v>
      </c>
      <c r="U22404" s="5"/>
      <c r="V22404" s="5"/>
      <c r="W22404" s="5"/>
      <c r="X22404" s="5"/>
      <c r="Y22404" s="5"/>
    </row>
    <row r="22405" spans="1:25" hidden="1" x14ac:dyDescent="0.25">
      <c r="A22405" s="3" t="s">
        <v>24</v>
      </c>
      <c r="B22405" s="3" t="s">
        <v>675</v>
      </c>
      <c r="C22405" s="3" t="str">
        <f>"73R33"</f>
        <v>73R33</v>
      </c>
      <c r="D22405" s="3" t="s">
        <v>85167</v>
      </c>
      <c r="E22405" s="3" t="s">
        <v>85168</v>
      </c>
      <c r="F22405" s="3" t="s">
        <v>85169</v>
      </c>
      <c r="G22405" s="3" t="s">
        <v>16145</v>
      </c>
      <c r="H22405" s="3">
        <v>802</v>
      </c>
      <c r="I22405" s="3" t="s">
        <v>16146</v>
      </c>
      <c r="J22405" s="3" t="s">
        <v>206</v>
      </c>
      <c r="K22405" s="3" t="s">
        <v>680</v>
      </c>
      <c r="N22405" s="3" t="s">
        <v>84970</v>
      </c>
      <c r="O22405" s="3" t="s">
        <v>85170</v>
      </c>
      <c r="Q22405" s="3">
        <v>0</v>
      </c>
      <c r="R22405" s="3">
        <v>180</v>
      </c>
      <c r="S22405" s="3">
        <v>0</v>
      </c>
      <c r="T22405" s="3" t="s">
        <v>85171</v>
      </c>
    </row>
    <row r="22406" spans="1:25" hidden="1" x14ac:dyDescent="0.25">
      <c r="A22406" s="3" t="s">
        <v>24</v>
      </c>
      <c r="B22406" s="3" t="s">
        <v>675</v>
      </c>
      <c r="C22406" s="3" t="str">
        <f>"A0089210"</f>
        <v>A0089210</v>
      </c>
      <c r="D22406" s="3" t="s">
        <v>85172</v>
      </c>
      <c r="E22406" s="3" t="s">
        <v>85173</v>
      </c>
      <c r="F22406" s="3" t="s">
        <v>13197</v>
      </c>
      <c r="G22406" s="3" t="s">
        <v>2206</v>
      </c>
      <c r="H22406" s="3" t="s">
        <v>85174</v>
      </c>
      <c r="I22406" s="3" t="s">
        <v>1459</v>
      </c>
      <c r="J22406" s="3" t="s">
        <v>206</v>
      </c>
      <c r="K22406" s="3" t="s">
        <v>680</v>
      </c>
      <c r="N22406" s="3" t="s">
        <v>85175</v>
      </c>
      <c r="Q22406" s="3">
        <v>0</v>
      </c>
      <c r="R22406" s="3">
        <v>267</v>
      </c>
      <c r="S22406" s="3">
        <v>0</v>
      </c>
      <c r="T22406" s="3" t="s">
        <v>85176</v>
      </c>
    </row>
    <row r="22407" spans="1:25" customFormat="1" ht="15" x14ac:dyDescent="0.25">
      <c r="A22407" t="s">
        <v>24</v>
      </c>
      <c r="B22407" t="s">
        <v>56277</v>
      </c>
      <c r="C22407" t="str">
        <f>"A0083507"</f>
        <v>A0083507</v>
      </c>
      <c r="D22407" t="s">
        <v>79517</v>
      </c>
      <c r="E22407" t="s">
        <v>79518</v>
      </c>
      <c r="F22407" t="s">
        <v>4037</v>
      </c>
      <c r="G22407" t="s">
        <v>40</v>
      </c>
      <c r="H22407">
        <v>73104</v>
      </c>
      <c r="I22407" t="s">
        <v>30</v>
      </c>
      <c r="J22407" t="s">
        <v>171</v>
      </c>
      <c r="K22407" t="s">
        <v>1450</v>
      </c>
      <c r="N22407" t="s">
        <v>79519</v>
      </c>
      <c r="Q22407">
        <v>0</v>
      </c>
      <c r="R22407">
        <v>151</v>
      </c>
      <c r="S22407">
        <v>0</v>
      </c>
      <c r="T22407" t="s">
        <v>79520</v>
      </c>
    </row>
    <row r="22408" spans="1:25" customFormat="1" ht="15" x14ac:dyDescent="0.25">
      <c r="A22408" t="s">
        <v>24</v>
      </c>
      <c r="B22408" t="s">
        <v>85182</v>
      </c>
      <c r="C22408" t="str">
        <f>"A0052366"</f>
        <v>A0052366</v>
      </c>
      <c r="D22408" t="s">
        <v>85183</v>
      </c>
      <c r="E22408" t="s">
        <v>85184</v>
      </c>
      <c r="F22408" t="s">
        <v>53620</v>
      </c>
      <c r="G22408" t="s">
        <v>338</v>
      </c>
      <c r="H22408">
        <v>8077</v>
      </c>
      <c r="I22408" t="s">
        <v>30</v>
      </c>
      <c r="J22408" t="s">
        <v>178</v>
      </c>
      <c r="K22408" t="s">
        <v>179</v>
      </c>
      <c r="N22408" t="s">
        <v>85185</v>
      </c>
      <c r="Q22408">
        <v>1</v>
      </c>
      <c r="R22408">
        <v>0</v>
      </c>
      <c r="S22408">
        <v>0</v>
      </c>
      <c r="T22408" t="s">
        <v>85186</v>
      </c>
    </row>
    <row r="22409" spans="1:25" customFormat="1" ht="15" x14ac:dyDescent="0.25">
      <c r="A22409" t="s">
        <v>24</v>
      </c>
      <c r="B22409" t="s">
        <v>1317</v>
      </c>
      <c r="C22409" t="str">
        <f>"A0092266"</f>
        <v>A0092266</v>
      </c>
      <c r="D22409" t="s">
        <v>79521</v>
      </c>
      <c r="E22409" t="s">
        <v>79522</v>
      </c>
      <c r="F22409" t="s">
        <v>70242</v>
      </c>
      <c r="G22409" t="s">
        <v>427</v>
      </c>
      <c r="H22409">
        <v>68022</v>
      </c>
      <c r="I22409" t="s">
        <v>30</v>
      </c>
      <c r="J22409" t="s">
        <v>171</v>
      </c>
      <c r="K22409" t="s">
        <v>1450</v>
      </c>
      <c r="N22409" t="s">
        <v>79523</v>
      </c>
      <c r="O22409" t="s">
        <v>33367</v>
      </c>
      <c r="Q22409">
        <v>0</v>
      </c>
      <c r="R22409">
        <v>108</v>
      </c>
      <c r="S22409">
        <v>0</v>
      </c>
      <c r="T22409" t="s">
        <v>79524</v>
      </c>
    </row>
    <row r="22410" spans="1:25" customFormat="1" ht="15" x14ac:dyDescent="0.25">
      <c r="A22410" t="s">
        <v>24</v>
      </c>
      <c r="B22410" t="s">
        <v>1855</v>
      </c>
      <c r="C22410" t="str">
        <f>"A0093456"</f>
        <v>A0093456</v>
      </c>
      <c r="D22410" t="s">
        <v>79525</v>
      </c>
      <c r="E22410" t="s">
        <v>79526</v>
      </c>
      <c r="F22410" t="s">
        <v>1541</v>
      </c>
      <c r="G22410" t="s">
        <v>427</v>
      </c>
      <c r="H22410">
        <v>68106</v>
      </c>
      <c r="I22410" t="s">
        <v>30</v>
      </c>
      <c r="J22410" t="s">
        <v>171</v>
      </c>
      <c r="K22410" t="s">
        <v>1450</v>
      </c>
      <c r="N22410" t="s">
        <v>67611</v>
      </c>
      <c r="O22410" t="s">
        <v>79527</v>
      </c>
      <c r="Q22410">
        <v>0</v>
      </c>
      <c r="R22410">
        <v>118</v>
      </c>
      <c r="S22410">
        <v>0</v>
      </c>
      <c r="T22410" t="s">
        <v>61332</v>
      </c>
    </row>
    <row r="22411" spans="1:25" x14ac:dyDescent="0.25">
      <c r="A22411" s="5" t="s">
        <v>24</v>
      </c>
      <c r="B22411" s="5" t="s">
        <v>2387</v>
      </c>
      <c r="C22411" s="5" t="str">
        <f>"A0092726"</f>
        <v>A0092726</v>
      </c>
      <c r="D22411" s="5" t="s">
        <v>79528</v>
      </c>
      <c r="E22411" s="5" t="s">
        <v>79529</v>
      </c>
      <c r="F22411" s="5" t="s">
        <v>59396</v>
      </c>
      <c r="G22411" s="5" t="s">
        <v>99</v>
      </c>
      <c r="H22411" s="5">
        <v>10962</v>
      </c>
      <c r="I22411" s="5" t="s">
        <v>30</v>
      </c>
      <c r="J22411" s="5" t="s">
        <v>171</v>
      </c>
      <c r="K22411" s="5" t="s">
        <v>1450</v>
      </c>
      <c r="L22411" s="5"/>
      <c r="M22411" s="5"/>
      <c r="N22411" s="5" t="s">
        <v>79530</v>
      </c>
      <c r="O22411" s="5"/>
      <c r="P22411" s="5"/>
      <c r="Q22411" s="5">
        <v>0</v>
      </c>
      <c r="R22411" s="5">
        <v>129</v>
      </c>
      <c r="S22411" s="5">
        <v>0</v>
      </c>
      <c r="T22411" s="5" t="s">
        <v>79531</v>
      </c>
      <c r="U22411" s="5"/>
      <c r="V22411" s="5"/>
      <c r="W22411" s="5"/>
      <c r="X22411" s="5"/>
      <c r="Y22411" s="5"/>
    </row>
    <row r="22412" spans="1:25" x14ac:dyDescent="0.25">
      <c r="A22412" s="5" t="s">
        <v>24</v>
      </c>
      <c r="B22412" s="5" t="s">
        <v>675</v>
      </c>
      <c r="C22412" s="5" t="str">
        <f>"A0099894"</f>
        <v>A0099894</v>
      </c>
      <c r="D22412" s="5" t="s">
        <v>79532</v>
      </c>
      <c r="E22412" s="5" t="s">
        <v>79533</v>
      </c>
      <c r="F22412" s="5" t="s">
        <v>985</v>
      </c>
      <c r="G22412" s="5" t="s">
        <v>81</v>
      </c>
      <c r="H22412" s="5">
        <v>32839</v>
      </c>
      <c r="I22412" s="5" t="s">
        <v>30</v>
      </c>
      <c r="J22412" s="5" t="s">
        <v>171</v>
      </c>
      <c r="K22412" s="5" t="s">
        <v>1450</v>
      </c>
      <c r="L22412" s="5"/>
      <c r="M22412" s="5"/>
      <c r="N22412" s="5" t="s">
        <v>79534</v>
      </c>
      <c r="O22412" s="5"/>
      <c r="P22412" s="5"/>
      <c r="Q22412" s="5">
        <v>0</v>
      </c>
      <c r="R22412" s="5">
        <v>120</v>
      </c>
      <c r="S22412" s="5">
        <v>0</v>
      </c>
      <c r="T22412" s="5" t="s">
        <v>79535</v>
      </c>
      <c r="U22412" s="5"/>
      <c r="V22412" s="5"/>
      <c r="W22412" s="5"/>
      <c r="X22412" s="5"/>
      <c r="Y22412" s="5"/>
    </row>
    <row r="22413" spans="1:25" x14ac:dyDescent="0.25">
      <c r="A22413" s="5" t="s">
        <v>24</v>
      </c>
      <c r="B22413" s="5" t="s">
        <v>13299</v>
      </c>
      <c r="C22413" s="5" t="str">
        <f>"56620"</f>
        <v>56620</v>
      </c>
      <c r="D22413" s="5" t="s">
        <v>79536</v>
      </c>
      <c r="E22413" s="5" t="s">
        <v>79537</v>
      </c>
      <c r="F22413" s="5" t="s">
        <v>985</v>
      </c>
      <c r="G22413" s="5" t="s">
        <v>81</v>
      </c>
      <c r="H22413" s="5">
        <v>32819</v>
      </c>
      <c r="I22413" s="5" t="s">
        <v>30</v>
      </c>
      <c r="J22413" s="5" t="s">
        <v>171</v>
      </c>
      <c r="K22413" s="5" t="s">
        <v>1450</v>
      </c>
      <c r="L22413" s="5"/>
      <c r="M22413" s="5"/>
      <c r="N22413" s="5" t="s">
        <v>79538</v>
      </c>
      <c r="O22413" s="5"/>
      <c r="P22413" s="5"/>
      <c r="Q22413" s="5">
        <v>0</v>
      </c>
      <c r="R22413" s="5">
        <v>124</v>
      </c>
      <c r="S22413" s="5">
        <v>0</v>
      </c>
      <c r="T22413" s="5" t="s">
        <v>79539</v>
      </c>
      <c r="U22413" s="5"/>
      <c r="V22413" s="5"/>
      <c r="W22413" s="5"/>
      <c r="X22413" s="5"/>
      <c r="Y22413" s="5"/>
    </row>
    <row r="22414" spans="1:25" customFormat="1" ht="15" x14ac:dyDescent="0.25">
      <c r="A22414" t="s">
        <v>24</v>
      </c>
      <c r="B22414" t="s">
        <v>61358</v>
      </c>
      <c r="C22414" t="str">
        <f>"A0093986"</f>
        <v>A0093986</v>
      </c>
      <c r="D22414" t="s">
        <v>79540</v>
      </c>
      <c r="E22414" t="s">
        <v>79541</v>
      </c>
      <c r="F22414" t="s">
        <v>985</v>
      </c>
      <c r="G22414" t="s">
        <v>81</v>
      </c>
      <c r="H22414">
        <v>32801</v>
      </c>
      <c r="I22414" t="s">
        <v>30</v>
      </c>
      <c r="J22414" t="s">
        <v>171</v>
      </c>
      <c r="K22414" t="s">
        <v>1450</v>
      </c>
      <c r="N22414" t="s">
        <v>79542</v>
      </c>
      <c r="O22414" t="s">
        <v>79543</v>
      </c>
      <c r="Q22414">
        <v>0</v>
      </c>
      <c r="R22414">
        <v>135</v>
      </c>
      <c r="S22414">
        <v>0</v>
      </c>
      <c r="T22414" t="s">
        <v>79544</v>
      </c>
    </row>
    <row r="22415" spans="1:25" customFormat="1" ht="15" x14ac:dyDescent="0.25">
      <c r="A22415" t="s">
        <v>24</v>
      </c>
      <c r="B22415" t="s">
        <v>3367</v>
      </c>
      <c r="C22415" t="str">
        <f>"A0094943"</f>
        <v>A0094943</v>
      </c>
      <c r="D22415" t="s">
        <v>85214</v>
      </c>
      <c r="E22415" t="s">
        <v>85215</v>
      </c>
      <c r="F22415" t="s">
        <v>5999</v>
      </c>
      <c r="G22415" t="s">
        <v>71</v>
      </c>
      <c r="H22415">
        <v>53202</v>
      </c>
      <c r="I22415" t="s">
        <v>30</v>
      </c>
      <c r="J22415" t="s">
        <v>1004</v>
      </c>
      <c r="K22415" t="s">
        <v>163</v>
      </c>
      <c r="N22415" t="s">
        <v>85216</v>
      </c>
      <c r="O22415" t="s">
        <v>85217</v>
      </c>
      <c r="Q22415">
        <v>0</v>
      </c>
      <c r="R22415">
        <v>0</v>
      </c>
      <c r="S22415">
        <v>0</v>
      </c>
      <c r="T22415" t="s">
        <v>85218</v>
      </c>
    </row>
    <row r="22416" spans="1:25" customFormat="1" ht="15" x14ac:dyDescent="0.25">
      <c r="A22416" t="s">
        <v>24</v>
      </c>
      <c r="B22416" t="s">
        <v>3367</v>
      </c>
      <c r="C22416" t="str">
        <f>"A0097984"</f>
        <v>A0097984</v>
      </c>
      <c r="D22416" t="s">
        <v>85219</v>
      </c>
      <c r="E22416" t="s">
        <v>55456</v>
      </c>
      <c r="F22416" t="s">
        <v>716</v>
      </c>
      <c r="G22416" t="s">
        <v>289</v>
      </c>
      <c r="H22416">
        <v>60611</v>
      </c>
      <c r="I22416" t="s">
        <v>30</v>
      </c>
      <c r="J22416" t="s">
        <v>1004</v>
      </c>
      <c r="K22416" t="s">
        <v>163</v>
      </c>
      <c r="N22416" t="s">
        <v>85220</v>
      </c>
      <c r="Q22416">
        <v>0</v>
      </c>
      <c r="R22416">
        <v>0</v>
      </c>
      <c r="S22416">
        <v>0</v>
      </c>
      <c r="T22416" t="s">
        <v>192</v>
      </c>
    </row>
    <row r="22417" spans="1:25" x14ac:dyDescent="0.25">
      <c r="A22417" s="5" t="s">
        <v>24</v>
      </c>
      <c r="B22417" s="5" t="s">
        <v>61358</v>
      </c>
      <c r="C22417" s="5" t="str">
        <f>"56670"</f>
        <v>56670</v>
      </c>
      <c r="D22417" s="5" t="s">
        <v>79545</v>
      </c>
      <c r="E22417" s="5" t="s">
        <v>79546</v>
      </c>
      <c r="F22417" s="5" t="s">
        <v>985</v>
      </c>
      <c r="G22417" s="5" t="s">
        <v>81</v>
      </c>
      <c r="H22417" s="5">
        <v>32817</v>
      </c>
      <c r="I22417" s="5" t="s">
        <v>30</v>
      </c>
      <c r="J22417" s="5" t="s">
        <v>171</v>
      </c>
      <c r="K22417" s="5" t="s">
        <v>1450</v>
      </c>
      <c r="L22417" s="5"/>
      <c r="M22417" s="5"/>
      <c r="N22417" s="5" t="s">
        <v>79547</v>
      </c>
      <c r="O22417" s="5" t="s">
        <v>79548</v>
      </c>
      <c r="P22417" s="5"/>
      <c r="Q22417" s="5">
        <v>0</v>
      </c>
      <c r="R22417" s="5">
        <v>99</v>
      </c>
      <c r="S22417" s="5">
        <v>0</v>
      </c>
      <c r="T22417" s="5" t="s">
        <v>79549</v>
      </c>
      <c r="U22417" s="5"/>
      <c r="V22417" s="5"/>
      <c r="W22417" s="5"/>
      <c r="X22417" s="5"/>
      <c r="Y22417" s="5"/>
    </row>
    <row r="22418" spans="1:25" customFormat="1" ht="15" x14ac:dyDescent="0.25">
      <c r="A22418" t="s">
        <v>24</v>
      </c>
      <c r="B22418" t="s">
        <v>675</v>
      </c>
      <c r="C22418" t="str">
        <f>"57253"</f>
        <v>57253</v>
      </c>
      <c r="D22418" t="s">
        <v>79550</v>
      </c>
      <c r="E22418" t="s">
        <v>79551</v>
      </c>
      <c r="F22418" t="s">
        <v>985</v>
      </c>
      <c r="G22418" t="s">
        <v>81</v>
      </c>
      <c r="H22418">
        <v>32821</v>
      </c>
      <c r="I22418" t="s">
        <v>30</v>
      </c>
      <c r="J22418" t="s">
        <v>171</v>
      </c>
      <c r="K22418" t="s">
        <v>1450</v>
      </c>
      <c r="N22418" t="s">
        <v>79552</v>
      </c>
      <c r="O22418" t="s">
        <v>79553</v>
      </c>
      <c r="Q22418">
        <v>0</v>
      </c>
      <c r="R22418">
        <v>350</v>
      </c>
      <c r="S22418">
        <v>0</v>
      </c>
      <c r="T22418" t="s">
        <v>79554</v>
      </c>
    </row>
    <row r="22419" spans="1:25" customFormat="1" ht="15" x14ac:dyDescent="0.25">
      <c r="A22419" t="s">
        <v>24</v>
      </c>
      <c r="B22419" t="s">
        <v>2340</v>
      </c>
      <c r="C22419" t="str">
        <f>"A0098814"</f>
        <v>A0098814</v>
      </c>
      <c r="D22419" t="s">
        <v>79555</v>
      </c>
      <c r="E22419" t="s">
        <v>79556</v>
      </c>
      <c r="F22419" t="s">
        <v>53949</v>
      </c>
      <c r="G22419" t="s">
        <v>123</v>
      </c>
      <c r="H22419">
        <v>21117</v>
      </c>
      <c r="I22419" t="s">
        <v>30</v>
      </c>
      <c r="J22419" t="s">
        <v>171</v>
      </c>
      <c r="K22419" t="s">
        <v>1450</v>
      </c>
      <c r="N22419" t="s">
        <v>79557</v>
      </c>
      <c r="Q22419">
        <v>0</v>
      </c>
      <c r="R22419">
        <v>100</v>
      </c>
      <c r="S22419">
        <v>0</v>
      </c>
      <c r="T22419" t="s">
        <v>79558</v>
      </c>
    </row>
    <row r="22420" spans="1:25" customFormat="1" ht="15" x14ac:dyDescent="0.25">
      <c r="A22420" t="s">
        <v>24</v>
      </c>
      <c r="B22420" t="s">
        <v>79559</v>
      </c>
      <c r="C22420" t="str">
        <f>"A0093845"</f>
        <v>A0093845</v>
      </c>
      <c r="D22420" t="s">
        <v>79560</v>
      </c>
      <c r="E22420" t="s">
        <v>79561</v>
      </c>
      <c r="F22420" t="s">
        <v>8169</v>
      </c>
      <c r="G22420" t="s">
        <v>110</v>
      </c>
      <c r="H22420">
        <v>94025</v>
      </c>
      <c r="I22420" t="s">
        <v>30</v>
      </c>
      <c r="J22420" t="s">
        <v>171</v>
      </c>
      <c r="K22420" t="s">
        <v>1450</v>
      </c>
      <c r="N22420" t="s">
        <v>79562</v>
      </c>
      <c r="O22420" t="s">
        <v>79563</v>
      </c>
      <c r="Q22420">
        <v>0</v>
      </c>
      <c r="R22420">
        <v>138</v>
      </c>
      <c r="S22420">
        <v>0</v>
      </c>
      <c r="T22420" t="s">
        <v>79564</v>
      </c>
    </row>
    <row r="22421" spans="1:25" customFormat="1" ht="15" x14ac:dyDescent="0.25">
      <c r="A22421" t="s">
        <v>24</v>
      </c>
      <c r="B22421" t="s">
        <v>85238</v>
      </c>
      <c r="C22421" t="str">
        <f>"A0064727"</f>
        <v>A0064727</v>
      </c>
      <c r="D22421" t="s">
        <v>85238</v>
      </c>
      <c r="E22421" t="s">
        <v>85239</v>
      </c>
      <c r="F22421" t="s">
        <v>2978</v>
      </c>
      <c r="G22421" t="s">
        <v>110</v>
      </c>
      <c r="H22421">
        <v>92127</v>
      </c>
      <c r="I22421" t="s">
        <v>30</v>
      </c>
      <c r="J22421" t="s">
        <v>178</v>
      </c>
      <c r="K22421" t="s">
        <v>179</v>
      </c>
      <c r="N22421" t="s">
        <v>85240</v>
      </c>
      <c r="O22421" t="s">
        <v>85241</v>
      </c>
      <c r="Q22421">
        <v>1</v>
      </c>
      <c r="R22421">
        <v>0</v>
      </c>
      <c r="S22421">
        <v>0</v>
      </c>
      <c r="T22421" t="s">
        <v>85242</v>
      </c>
    </row>
    <row r="22422" spans="1:25" x14ac:dyDescent="0.25">
      <c r="A22422" s="5" t="s">
        <v>24</v>
      </c>
      <c r="B22422" s="5" t="s">
        <v>1020</v>
      </c>
      <c r="C22422" s="5" t="str">
        <f>"56574"</f>
        <v>56574</v>
      </c>
      <c r="D22422" s="5" t="s">
        <v>79570</v>
      </c>
      <c r="E22422" s="5" t="s">
        <v>79571</v>
      </c>
      <c r="F22422" s="5" t="s">
        <v>2094</v>
      </c>
      <c r="G22422" s="5" t="s">
        <v>52</v>
      </c>
      <c r="H22422" s="5">
        <v>75251</v>
      </c>
      <c r="I22422" s="5" t="s">
        <v>30</v>
      </c>
      <c r="J22422" s="5" t="s">
        <v>171</v>
      </c>
      <c r="K22422" s="5" t="s">
        <v>1450</v>
      </c>
      <c r="L22422" s="5"/>
      <c r="M22422" s="5"/>
      <c r="N22422" s="5" t="s">
        <v>79572</v>
      </c>
      <c r="O22422" s="5"/>
      <c r="P22422" s="5"/>
      <c r="Q22422" s="5">
        <v>0</v>
      </c>
      <c r="R22422" s="5">
        <v>139</v>
      </c>
      <c r="S22422" s="5">
        <v>0</v>
      </c>
      <c r="T22422" s="5" t="s">
        <v>79573</v>
      </c>
      <c r="U22422" s="5"/>
      <c r="V22422" s="5"/>
      <c r="W22422" s="5"/>
      <c r="X22422" s="5"/>
      <c r="Y22422" s="5"/>
    </row>
    <row r="22423" spans="1:25" customFormat="1" ht="15" x14ac:dyDescent="0.25">
      <c r="A22423" t="s">
        <v>24</v>
      </c>
      <c r="B22423" t="s">
        <v>675</v>
      </c>
      <c r="C22423" t="str">
        <f>"57417"</f>
        <v>57417</v>
      </c>
      <c r="D22423" t="s">
        <v>79574</v>
      </c>
      <c r="E22423" t="s">
        <v>79575</v>
      </c>
      <c r="F22423" t="s">
        <v>698</v>
      </c>
      <c r="G22423" t="s">
        <v>110</v>
      </c>
      <c r="H22423">
        <v>91006</v>
      </c>
      <c r="I22423" t="s">
        <v>30</v>
      </c>
      <c r="J22423" t="s">
        <v>171</v>
      </c>
      <c r="K22423" t="s">
        <v>1450</v>
      </c>
      <c r="N22423" t="s">
        <v>79576</v>
      </c>
      <c r="O22423" t="s">
        <v>79577</v>
      </c>
      <c r="Q22423">
        <v>0</v>
      </c>
      <c r="R22423">
        <v>120</v>
      </c>
      <c r="S22423">
        <v>0</v>
      </c>
      <c r="T22423" t="s">
        <v>79578</v>
      </c>
    </row>
    <row r="22424" spans="1:25" customFormat="1" ht="15" x14ac:dyDescent="0.25">
      <c r="A22424" t="s">
        <v>24</v>
      </c>
      <c r="B22424" t="s">
        <v>2520</v>
      </c>
      <c r="C22424" t="str">
        <f>"A0145389"</f>
        <v>A0145389</v>
      </c>
      <c r="D22424" t="s">
        <v>85249</v>
      </c>
      <c r="E22424" t="s">
        <v>85250</v>
      </c>
      <c r="F22424" t="s">
        <v>64361</v>
      </c>
      <c r="G22424" t="s">
        <v>110</v>
      </c>
      <c r="H22424">
        <v>92037</v>
      </c>
      <c r="I22424" t="s">
        <v>30</v>
      </c>
      <c r="J22424" t="s">
        <v>145</v>
      </c>
      <c r="K22424" t="s">
        <v>163</v>
      </c>
      <c r="N22424" t="s">
        <v>85251</v>
      </c>
      <c r="Q22424">
        <v>0</v>
      </c>
      <c r="R22424">
        <v>45</v>
      </c>
      <c r="S22424">
        <v>0</v>
      </c>
      <c r="T22424" t="s">
        <v>85252</v>
      </c>
    </row>
    <row r="22425" spans="1:25" customFormat="1" ht="15" x14ac:dyDescent="0.25">
      <c r="A22425" t="s">
        <v>24</v>
      </c>
      <c r="B22425" t="s">
        <v>57512</v>
      </c>
      <c r="C22425" t="str">
        <f>"A0075630"</f>
        <v>A0075630</v>
      </c>
      <c r="D22425" t="s">
        <v>85253</v>
      </c>
      <c r="E22425" t="s">
        <v>85254</v>
      </c>
      <c r="F22425" t="s">
        <v>85255</v>
      </c>
      <c r="G22425" t="s">
        <v>1706</v>
      </c>
      <c r="H22425">
        <v>35661</v>
      </c>
      <c r="I22425" t="s">
        <v>30</v>
      </c>
      <c r="J22425" t="s">
        <v>2415</v>
      </c>
      <c r="K22425" t="s">
        <v>179</v>
      </c>
      <c r="N22425" t="s">
        <v>85256</v>
      </c>
      <c r="P22425" t="s">
        <v>6426</v>
      </c>
      <c r="Q22425">
        <v>2</v>
      </c>
      <c r="R22425">
        <v>0</v>
      </c>
      <c r="S22425">
        <v>0</v>
      </c>
      <c r="T22425" t="s">
        <v>85257</v>
      </c>
    </row>
    <row r="22426" spans="1:25" customFormat="1" ht="15" x14ac:dyDescent="0.25">
      <c r="A22426" t="s">
        <v>24</v>
      </c>
      <c r="B22426" t="s">
        <v>60352</v>
      </c>
      <c r="C22426" t="str">
        <f>"A0145310"</f>
        <v>A0145310</v>
      </c>
      <c r="D22426" t="s">
        <v>79579</v>
      </c>
      <c r="E22426" t="s">
        <v>79580</v>
      </c>
      <c r="F22426" t="s">
        <v>1017</v>
      </c>
      <c r="G22426" t="s">
        <v>81</v>
      </c>
      <c r="H22426">
        <v>32504</v>
      </c>
      <c r="I22426" t="s">
        <v>30</v>
      </c>
      <c r="J22426" t="s">
        <v>171</v>
      </c>
      <c r="K22426" t="s">
        <v>1450</v>
      </c>
      <c r="N22426" t="s">
        <v>79581</v>
      </c>
      <c r="Q22426">
        <v>0</v>
      </c>
      <c r="R22426">
        <v>86</v>
      </c>
      <c r="S22426">
        <v>0</v>
      </c>
      <c r="T22426" t="s">
        <v>79582</v>
      </c>
    </row>
    <row r="22427" spans="1:25" x14ac:dyDescent="0.25">
      <c r="A22427" s="5" t="s">
        <v>24</v>
      </c>
      <c r="B22427" s="5" t="s">
        <v>60352</v>
      </c>
      <c r="C22427" s="5" t="str">
        <f>"56959"</f>
        <v>56959</v>
      </c>
      <c r="D22427" s="5" t="s">
        <v>79583</v>
      </c>
      <c r="E22427" s="5" t="s">
        <v>79584</v>
      </c>
      <c r="F22427" s="5" t="s">
        <v>1017</v>
      </c>
      <c r="G22427" s="5" t="s">
        <v>81</v>
      </c>
      <c r="H22427" s="5">
        <v>32501</v>
      </c>
      <c r="I22427" s="5" t="s">
        <v>30</v>
      </c>
      <c r="J22427" s="5" t="s">
        <v>171</v>
      </c>
      <c r="K22427" s="5" t="s">
        <v>1450</v>
      </c>
      <c r="L22427" s="5"/>
      <c r="M22427" s="5"/>
      <c r="N22427" s="5" t="s">
        <v>79585</v>
      </c>
      <c r="O22427" s="5" t="s">
        <v>3486</v>
      </c>
      <c r="P22427" s="5"/>
      <c r="Q22427" s="5">
        <v>0</v>
      </c>
      <c r="R22427" s="5">
        <v>78</v>
      </c>
      <c r="S22427" s="5">
        <v>0</v>
      </c>
      <c r="T22427" s="5" t="s">
        <v>79586</v>
      </c>
      <c r="U22427" s="5"/>
      <c r="V22427" s="5"/>
      <c r="W22427" s="5"/>
      <c r="X22427" s="5"/>
      <c r="Y22427" s="5"/>
    </row>
    <row r="22428" spans="1:25" customFormat="1" ht="15" x14ac:dyDescent="0.25">
      <c r="A22428" t="s">
        <v>24</v>
      </c>
      <c r="B22428" t="s">
        <v>2221</v>
      </c>
      <c r="C22428" t="str">
        <f>"SF08286"</f>
        <v>SF08286</v>
      </c>
      <c r="D22428" t="s">
        <v>85267</v>
      </c>
      <c r="E22428" t="s">
        <v>85268</v>
      </c>
      <c r="F22428" t="s">
        <v>288</v>
      </c>
      <c r="G22428" t="s">
        <v>289</v>
      </c>
      <c r="H22428">
        <v>60603</v>
      </c>
      <c r="I22428" t="s">
        <v>30</v>
      </c>
      <c r="J22428" t="s">
        <v>31</v>
      </c>
      <c r="K22428" t="s">
        <v>163</v>
      </c>
      <c r="N22428" t="s">
        <v>85269</v>
      </c>
      <c r="Q22428">
        <v>0</v>
      </c>
      <c r="R22428">
        <v>143</v>
      </c>
      <c r="S22428">
        <v>0</v>
      </c>
      <c r="T22428" t="s">
        <v>85270</v>
      </c>
    </row>
    <row r="22429" spans="1:25" customFormat="1" ht="15" x14ac:dyDescent="0.25">
      <c r="A22429" t="s">
        <v>24</v>
      </c>
      <c r="B22429" t="s">
        <v>79587</v>
      </c>
      <c r="C22429" t="str">
        <f>"A0094635"</f>
        <v>A0094635</v>
      </c>
      <c r="D22429" t="s">
        <v>79588</v>
      </c>
      <c r="E22429" t="s">
        <v>79589</v>
      </c>
      <c r="F22429" t="s">
        <v>79590</v>
      </c>
      <c r="G22429" t="s">
        <v>103</v>
      </c>
      <c r="H22429">
        <v>19153</v>
      </c>
      <c r="I22429" t="s">
        <v>30</v>
      </c>
      <c r="J22429" t="s">
        <v>171</v>
      </c>
      <c r="K22429" t="s">
        <v>1450</v>
      </c>
      <c r="N22429" t="s">
        <v>79591</v>
      </c>
      <c r="Q22429">
        <v>0</v>
      </c>
      <c r="R22429">
        <v>121</v>
      </c>
      <c r="S22429">
        <v>0</v>
      </c>
      <c r="T22429" t="s">
        <v>79592</v>
      </c>
    </row>
    <row r="22430" spans="1:25" customFormat="1" ht="15" x14ac:dyDescent="0.25">
      <c r="A22430" t="s">
        <v>24</v>
      </c>
      <c r="B22430" t="s">
        <v>2836</v>
      </c>
      <c r="C22430" t="str">
        <f>"A0096196"</f>
        <v>A0096196</v>
      </c>
      <c r="D22430" t="s">
        <v>79593</v>
      </c>
      <c r="E22430" t="s">
        <v>79594</v>
      </c>
      <c r="F22430" t="s">
        <v>57993</v>
      </c>
      <c r="G22430" t="s">
        <v>103</v>
      </c>
      <c r="H22430">
        <v>19355</v>
      </c>
      <c r="I22430" t="s">
        <v>30</v>
      </c>
      <c r="J22430" t="s">
        <v>171</v>
      </c>
      <c r="K22430" t="s">
        <v>1450</v>
      </c>
      <c r="N22430" t="s">
        <v>79595</v>
      </c>
      <c r="O22430" t="s">
        <v>79596</v>
      </c>
      <c r="Q22430">
        <v>0</v>
      </c>
      <c r="R22430">
        <v>127</v>
      </c>
      <c r="S22430">
        <v>0</v>
      </c>
      <c r="T22430" t="s">
        <v>79597</v>
      </c>
    </row>
    <row r="22431" spans="1:25" customFormat="1" ht="15" x14ac:dyDescent="0.25">
      <c r="A22431" t="s">
        <v>24</v>
      </c>
      <c r="B22431" t="s">
        <v>57457</v>
      </c>
      <c r="C22431" t="str">
        <f>"A0098262"</f>
        <v>A0098262</v>
      </c>
      <c r="D22431" t="s">
        <v>85278</v>
      </c>
      <c r="E22431" t="s">
        <v>85279</v>
      </c>
      <c r="F22431" t="s">
        <v>1084</v>
      </c>
      <c r="G22431" t="s">
        <v>81</v>
      </c>
      <c r="H22431">
        <v>33040</v>
      </c>
      <c r="I22431" t="s">
        <v>30</v>
      </c>
      <c r="J22431" t="s">
        <v>31</v>
      </c>
      <c r="K22431" t="s">
        <v>163</v>
      </c>
      <c r="N22431" t="s">
        <v>85280</v>
      </c>
      <c r="Q22431">
        <v>0</v>
      </c>
      <c r="R22431">
        <v>38</v>
      </c>
      <c r="S22431">
        <v>0</v>
      </c>
      <c r="T22431" t="s">
        <v>75135</v>
      </c>
    </row>
    <row r="22432" spans="1:25" x14ac:dyDescent="0.25">
      <c r="A22432" s="5" t="s">
        <v>24</v>
      </c>
      <c r="B22432" s="5" t="s">
        <v>55997</v>
      </c>
      <c r="C22432" s="5" t="str">
        <f>"A0099459"</f>
        <v>A0099459</v>
      </c>
      <c r="D22432" s="5" t="s">
        <v>79598</v>
      </c>
      <c r="E22432" s="5" t="s">
        <v>79599</v>
      </c>
      <c r="F22432" s="5" t="s">
        <v>61441</v>
      </c>
      <c r="G22432" s="5" t="s">
        <v>103</v>
      </c>
      <c r="H22432" s="5">
        <v>19426</v>
      </c>
      <c r="I22432" s="5" t="s">
        <v>30</v>
      </c>
      <c r="J22432" s="5" t="s">
        <v>171</v>
      </c>
      <c r="K22432" s="5" t="s">
        <v>1450</v>
      </c>
      <c r="L22432" s="5"/>
      <c r="M22432" s="5"/>
      <c r="N22432" s="5" t="s">
        <v>79600</v>
      </c>
      <c r="O22432" s="5"/>
      <c r="P22432" s="5"/>
      <c r="Q22432" s="5">
        <v>0</v>
      </c>
      <c r="R22432" s="5">
        <v>111</v>
      </c>
      <c r="S22432" s="5">
        <v>0</v>
      </c>
      <c r="T22432" s="5" t="s">
        <v>79601</v>
      </c>
      <c r="U22432" s="5"/>
      <c r="V22432" s="5"/>
      <c r="W22432" s="5"/>
      <c r="X22432" s="5"/>
      <c r="Y22432" s="5"/>
    </row>
    <row r="22433" spans="1:25" customFormat="1" ht="15" x14ac:dyDescent="0.25">
      <c r="A22433" t="s">
        <v>24</v>
      </c>
      <c r="B22433" t="s">
        <v>85285</v>
      </c>
      <c r="C22433" t="str">
        <f>"A0051524"</f>
        <v>A0051524</v>
      </c>
      <c r="D22433" t="s">
        <v>85286</v>
      </c>
      <c r="E22433" t="s">
        <v>85287</v>
      </c>
      <c r="F22433" t="s">
        <v>85288</v>
      </c>
      <c r="G22433" t="s">
        <v>103</v>
      </c>
      <c r="H22433">
        <v>19086</v>
      </c>
      <c r="I22433" t="s">
        <v>30</v>
      </c>
      <c r="J22433" t="s">
        <v>178</v>
      </c>
      <c r="K22433" t="s">
        <v>179</v>
      </c>
      <c r="N22433" t="s">
        <v>85289</v>
      </c>
      <c r="Q22433">
        <v>1</v>
      </c>
      <c r="R22433">
        <v>0</v>
      </c>
      <c r="S22433">
        <v>0</v>
      </c>
      <c r="T22433" t="s">
        <v>85290</v>
      </c>
    </row>
    <row r="22434" spans="1:25" x14ac:dyDescent="0.25">
      <c r="A22434" s="5" t="s">
        <v>24</v>
      </c>
      <c r="B22434" s="5" t="s">
        <v>1020</v>
      </c>
      <c r="C22434" s="5" t="str">
        <f>"56599"</f>
        <v>56599</v>
      </c>
      <c r="D22434" s="5" t="s">
        <v>79602</v>
      </c>
      <c r="E22434" s="5" t="s">
        <v>79603</v>
      </c>
      <c r="F22434" s="5" t="s">
        <v>79604</v>
      </c>
      <c r="G22434" s="5" t="s">
        <v>103</v>
      </c>
      <c r="H22434" s="5">
        <v>19428</v>
      </c>
      <c r="I22434" s="5" t="s">
        <v>30</v>
      </c>
      <c r="J22434" s="5" t="s">
        <v>171</v>
      </c>
      <c r="K22434" s="5" t="s">
        <v>1450</v>
      </c>
      <c r="L22434" s="5"/>
      <c r="M22434" s="5"/>
      <c r="N22434" s="5" t="s">
        <v>79605</v>
      </c>
      <c r="O22434" s="5"/>
      <c r="P22434" s="5"/>
      <c r="Q22434" s="5">
        <v>0</v>
      </c>
      <c r="R22434" s="5">
        <v>137</v>
      </c>
      <c r="S22434" s="5">
        <v>0</v>
      </c>
      <c r="T22434" s="5" t="s">
        <v>79606</v>
      </c>
      <c r="U22434" s="5"/>
      <c r="V22434" s="5"/>
      <c r="W22434" s="5"/>
      <c r="X22434" s="5"/>
      <c r="Y22434" s="5"/>
    </row>
    <row r="22435" spans="1:25" x14ac:dyDescent="0.25">
      <c r="A22435" s="5" t="s">
        <v>24</v>
      </c>
      <c r="B22435" s="5" t="s">
        <v>675</v>
      </c>
      <c r="C22435" s="5" t="str">
        <f>"57133"</f>
        <v>57133</v>
      </c>
      <c r="D22435" s="5" t="s">
        <v>79607</v>
      </c>
      <c r="E22435" s="5" t="s">
        <v>79608</v>
      </c>
      <c r="F22435" s="5" t="s">
        <v>14442</v>
      </c>
      <c r="G22435" s="5" t="s">
        <v>103</v>
      </c>
      <c r="H22435" s="5">
        <v>19044</v>
      </c>
      <c r="I22435" s="5" t="s">
        <v>30</v>
      </c>
      <c r="J22435" s="5" t="s">
        <v>171</v>
      </c>
      <c r="K22435" s="5" t="s">
        <v>1450</v>
      </c>
      <c r="L22435" s="5"/>
      <c r="M22435" s="5"/>
      <c r="N22435" s="5" t="s">
        <v>79609</v>
      </c>
      <c r="O22435" s="5" t="s">
        <v>79610</v>
      </c>
      <c r="P22435" s="5"/>
      <c r="Q22435" s="5">
        <v>0</v>
      </c>
      <c r="R22435" s="5">
        <v>118</v>
      </c>
      <c r="S22435" s="5">
        <v>0</v>
      </c>
      <c r="T22435" s="5" t="s">
        <v>79611</v>
      </c>
      <c r="U22435" s="5"/>
      <c r="V22435" s="5"/>
      <c r="W22435" s="5"/>
      <c r="X22435" s="5"/>
      <c r="Y22435" s="5"/>
    </row>
    <row r="22436" spans="1:25" hidden="1" x14ac:dyDescent="0.25">
      <c r="A22436" s="3" t="s">
        <v>24</v>
      </c>
      <c r="B22436" s="3" t="s">
        <v>675</v>
      </c>
      <c r="C22436" s="3" t="str">
        <f>"A0096856"</f>
        <v>A0096856</v>
      </c>
      <c r="D22436" s="3" t="s">
        <v>85301</v>
      </c>
      <c r="E22436" s="3" t="s">
        <v>85302</v>
      </c>
      <c r="F22436" s="3" t="s">
        <v>85303</v>
      </c>
      <c r="G22436" s="3" t="s">
        <v>9901</v>
      </c>
      <c r="H22436" s="3">
        <v>745</v>
      </c>
      <c r="I22436" s="3" t="s">
        <v>9902</v>
      </c>
      <c r="J22436" s="3" t="s">
        <v>206</v>
      </c>
      <c r="K22436" s="3" t="s">
        <v>5338</v>
      </c>
      <c r="N22436" s="3" t="s">
        <v>85304</v>
      </c>
      <c r="O22436" s="3" t="s">
        <v>62994</v>
      </c>
      <c r="Q22436" s="3">
        <v>0</v>
      </c>
      <c r="R22436" s="3">
        <v>139</v>
      </c>
      <c r="S22436" s="3">
        <v>0</v>
      </c>
      <c r="T22436" s="3" t="s">
        <v>85305</v>
      </c>
    </row>
    <row r="22437" spans="1:25" x14ac:dyDescent="0.25">
      <c r="A22437" s="5" t="s">
        <v>24</v>
      </c>
      <c r="B22437" s="5" t="s">
        <v>2221</v>
      </c>
      <c r="C22437" s="5" t="str">
        <f>"57442"</f>
        <v>57442</v>
      </c>
      <c r="D22437" s="5" t="s">
        <v>79612</v>
      </c>
      <c r="E22437" s="5" t="s">
        <v>79613</v>
      </c>
      <c r="F22437" s="5" t="s">
        <v>196</v>
      </c>
      <c r="G22437" s="5" t="s">
        <v>197</v>
      </c>
      <c r="H22437" s="5">
        <v>85008</v>
      </c>
      <c r="I22437" s="5" t="s">
        <v>30</v>
      </c>
      <c r="J22437" s="5" t="s">
        <v>171</v>
      </c>
      <c r="K22437" s="5" t="s">
        <v>1450</v>
      </c>
      <c r="L22437" s="5"/>
      <c r="M22437" s="5"/>
      <c r="N22437" s="5" t="s">
        <v>71613</v>
      </c>
      <c r="O22437" s="5" t="s">
        <v>79614</v>
      </c>
      <c r="P22437" s="5"/>
      <c r="Q22437" s="5">
        <v>0</v>
      </c>
      <c r="R22437" s="5">
        <v>200</v>
      </c>
      <c r="S22437" s="5">
        <v>0</v>
      </c>
      <c r="T22437" s="5" t="s">
        <v>79615</v>
      </c>
      <c r="U22437" s="5"/>
      <c r="V22437" s="5"/>
      <c r="W22437" s="5"/>
      <c r="X22437" s="5"/>
      <c r="Y22437" s="5"/>
    </row>
    <row r="22438" spans="1:25" x14ac:dyDescent="0.25">
      <c r="A22438" s="5" t="s">
        <v>24</v>
      </c>
      <c r="B22438" s="5" t="s">
        <v>675</v>
      </c>
      <c r="C22438" s="5" t="str">
        <f>"A0086937"</f>
        <v>A0086937</v>
      </c>
      <c r="D22438" s="5" t="s">
        <v>79616</v>
      </c>
      <c r="E22438" s="5" t="s">
        <v>79617</v>
      </c>
      <c r="F22438" s="5" t="s">
        <v>196</v>
      </c>
      <c r="G22438" s="5" t="s">
        <v>197</v>
      </c>
      <c r="H22438" s="5">
        <v>85054</v>
      </c>
      <c r="I22438" s="5" t="s">
        <v>30</v>
      </c>
      <c r="J22438" s="5" t="s">
        <v>171</v>
      </c>
      <c r="K22438" s="5" t="s">
        <v>1450</v>
      </c>
      <c r="L22438" s="5"/>
      <c r="M22438" s="5"/>
      <c r="N22438" s="5" t="s">
        <v>79618</v>
      </c>
      <c r="O22438" s="5" t="s">
        <v>4169</v>
      </c>
      <c r="P22438" s="5"/>
      <c r="Q22438" s="5">
        <v>0</v>
      </c>
      <c r="R22438" s="5">
        <v>208</v>
      </c>
      <c r="S22438" s="5">
        <v>0</v>
      </c>
      <c r="T22438" s="5" t="s">
        <v>79619</v>
      </c>
      <c r="U22438" s="5"/>
      <c r="V22438" s="5"/>
      <c r="W22438" s="5"/>
      <c r="X22438" s="5"/>
      <c r="Y22438" s="5"/>
    </row>
    <row r="22439" spans="1:25" x14ac:dyDescent="0.25">
      <c r="A22439" s="5" t="s">
        <v>24</v>
      </c>
      <c r="B22439" s="5" t="s">
        <v>61480</v>
      </c>
      <c r="C22439" s="5" t="str">
        <f>"A0094530"</f>
        <v>A0094530</v>
      </c>
      <c r="D22439" s="5" t="s">
        <v>79620</v>
      </c>
      <c r="E22439" s="5" t="s">
        <v>61482</v>
      </c>
      <c r="F22439" s="5" t="s">
        <v>196</v>
      </c>
      <c r="G22439" s="5" t="s">
        <v>197</v>
      </c>
      <c r="H22439" s="5">
        <v>85003</v>
      </c>
      <c r="I22439" s="5" t="s">
        <v>30</v>
      </c>
      <c r="J22439" s="5" t="s">
        <v>171</v>
      </c>
      <c r="K22439" s="5" t="s">
        <v>1450</v>
      </c>
      <c r="L22439" s="5"/>
      <c r="M22439" s="5"/>
      <c r="N22439" s="5" t="s">
        <v>61483</v>
      </c>
      <c r="O22439" s="5"/>
      <c r="P22439" s="5"/>
      <c r="Q22439" s="5">
        <v>0</v>
      </c>
      <c r="R22439" s="5">
        <v>200</v>
      </c>
      <c r="S22439" s="5">
        <v>0</v>
      </c>
      <c r="T22439" s="5" t="s">
        <v>79621</v>
      </c>
      <c r="U22439" s="5"/>
      <c r="V22439" s="5"/>
      <c r="W22439" s="5"/>
      <c r="X22439" s="5"/>
      <c r="Y22439" s="5"/>
    </row>
    <row r="22440" spans="1:25" hidden="1" x14ac:dyDescent="0.25">
      <c r="A22440" s="3" t="s">
        <v>24</v>
      </c>
      <c r="B22440" s="3" t="s">
        <v>675</v>
      </c>
      <c r="C22440" s="3" t="str">
        <f>"A0096860"</f>
        <v>A0096860</v>
      </c>
      <c r="D22440" s="3" t="s">
        <v>85320</v>
      </c>
      <c r="E22440" s="3" t="s">
        <v>85321</v>
      </c>
      <c r="F22440" s="3" t="s">
        <v>5874</v>
      </c>
      <c r="G22440" s="3" t="s">
        <v>3843</v>
      </c>
      <c r="H22440" s="3">
        <v>6500</v>
      </c>
      <c r="I22440" s="3" t="s">
        <v>2408</v>
      </c>
      <c r="J22440" s="3" t="s">
        <v>206</v>
      </c>
      <c r="K22440" s="3" t="s">
        <v>5338</v>
      </c>
      <c r="N22440" s="3" t="s">
        <v>85322</v>
      </c>
      <c r="O22440" s="3" t="s">
        <v>85323</v>
      </c>
      <c r="Q22440" s="3">
        <v>0</v>
      </c>
      <c r="R22440" s="3">
        <v>189</v>
      </c>
      <c r="S22440" s="3">
        <v>0</v>
      </c>
      <c r="T22440" s="3" t="s">
        <v>85324</v>
      </c>
    </row>
    <row r="22441" spans="1:25" x14ac:dyDescent="0.25">
      <c r="A22441" s="5" t="s">
        <v>24</v>
      </c>
      <c r="B22441" s="5" t="s">
        <v>79622</v>
      </c>
      <c r="C22441" s="5" t="str">
        <f>"A0074552"</f>
        <v>A0074552</v>
      </c>
      <c r="D22441" s="5" t="s">
        <v>79623</v>
      </c>
      <c r="E22441" s="5" t="s">
        <v>79624</v>
      </c>
      <c r="F22441" s="5" t="s">
        <v>12013</v>
      </c>
      <c r="G22441" s="5" t="s">
        <v>197</v>
      </c>
      <c r="H22441" s="5">
        <v>85338</v>
      </c>
      <c r="I22441" s="5" t="s">
        <v>30</v>
      </c>
      <c r="J22441" s="5" t="s">
        <v>171</v>
      </c>
      <c r="K22441" s="5" t="s">
        <v>1450</v>
      </c>
      <c r="L22441" s="5"/>
      <c r="M22441" s="5"/>
      <c r="N22441" s="5" t="s">
        <v>79625</v>
      </c>
      <c r="O22441" s="5"/>
      <c r="P22441" s="5"/>
      <c r="Q22441" s="5">
        <v>0</v>
      </c>
      <c r="R22441" s="5">
        <v>78</v>
      </c>
      <c r="S22441" s="5">
        <v>0</v>
      </c>
      <c r="T22441" s="5" t="s">
        <v>79626</v>
      </c>
      <c r="U22441" s="5"/>
      <c r="V22441" s="5"/>
      <c r="W22441" s="5"/>
      <c r="X22441" s="5"/>
      <c r="Y22441" s="5"/>
    </row>
    <row r="22442" spans="1:25" hidden="1" x14ac:dyDescent="0.25">
      <c r="A22442" s="3" t="s">
        <v>24</v>
      </c>
      <c r="B22442" s="3" t="s">
        <v>675</v>
      </c>
      <c r="C22442" s="3" t="str">
        <f>"A0096855"</f>
        <v>A0096855</v>
      </c>
      <c r="D22442" s="3" t="s">
        <v>85330</v>
      </c>
      <c r="E22442" s="3" t="s">
        <v>85331</v>
      </c>
      <c r="F22442" s="3" t="s">
        <v>85332</v>
      </c>
      <c r="G22442" s="3" t="s">
        <v>5862</v>
      </c>
      <c r="H22442" s="3">
        <v>63734</v>
      </c>
      <c r="I22442" s="3" t="s">
        <v>2408</v>
      </c>
      <c r="J22442" s="3" t="s">
        <v>206</v>
      </c>
      <c r="K22442" s="3" t="s">
        <v>5338</v>
      </c>
      <c r="N22442" s="3" t="s">
        <v>85333</v>
      </c>
      <c r="Q22442" s="3">
        <v>0</v>
      </c>
      <c r="R22442" s="3">
        <v>120</v>
      </c>
      <c r="S22442" s="3">
        <v>0</v>
      </c>
      <c r="T22442" s="3" t="s">
        <v>85334</v>
      </c>
    </row>
    <row r="22443" spans="1:25" x14ac:dyDescent="0.25">
      <c r="A22443" s="5" t="s">
        <v>24</v>
      </c>
      <c r="B22443" s="5" t="s">
        <v>13267</v>
      </c>
      <c r="C22443" s="5" t="str">
        <f>"A0090076"</f>
        <v>A0090076</v>
      </c>
      <c r="D22443" s="5" t="s">
        <v>79627</v>
      </c>
      <c r="E22443" s="5" t="s">
        <v>79628</v>
      </c>
      <c r="F22443" s="5" t="s">
        <v>79629</v>
      </c>
      <c r="G22443" s="5" t="s">
        <v>197</v>
      </c>
      <c r="H22443" s="5">
        <v>85374</v>
      </c>
      <c r="I22443" s="5" t="s">
        <v>30</v>
      </c>
      <c r="J22443" s="5" t="s">
        <v>171</v>
      </c>
      <c r="K22443" s="5" t="s">
        <v>1450</v>
      </c>
      <c r="L22443" s="5"/>
      <c r="M22443" s="5"/>
      <c r="N22443" s="5" t="s">
        <v>79630</v>
      </c>
      <c r="O22443" s="5" t="s">
        <v>10984</v>
      </c>
      <c r="P22443" s="5"/>
      <c r="Q22443" s="5">
        <v>0</v>
      </c>
      <c r="R22443" s="5">
        <v>116</v>
      </c>
      <c r="S22443" s="5">
        <v>0</v>
      </c>
      <c r="T22443" s="5" t="s">
        <v>79631</v>
      </c>
      <c r="U22443" s="5"/>
      <c r="V22443" s="5"/>
      <c r="W22443" s="5"/>
      <c r="X22443" s="5"/>
      <c r="Y22443" s="5"/>
    </row>
    <row r="22444" spans="1:25" hidden="1" x14ac:dyDescent="0.25">
      <c r="A22444" s="3" t="s">
        <v>24</v>
      </c>
      <c r="B22444" s="3" t="s">
        <v>675</v>
      </c>
      <c r="C22444" s="3" t="str">
        <f>"A0093493"</f>
        <v>A0093493</v>
      </c>
      <c r="D22444" s="3" t="s">
        <v>85340</v>
      </c>
      <c r="E22444" s="3" t="s">
        <v>85341</v>
      </c>
      <c r="F22444" s="3" t="s">
        <v>13197</v>
      </c>
      <c r="G22444" s="3" t="s">
        <v>2206</v>
      </c>
      <c r="H22444" s="3" t="s">
        <v>85342</v>
      </c>
      <c r="I22444" s="3" t="s">
        <v>1459</v>
      </c>
      <c r="J22444" s="3" t="s">
        <v>206</v>
      </c>
      <c r="K22444" s="3" t="s">
        <v>5338</v>
      </c>
      <c r="N22444" s="3" t="s">
        <v>85343</v>
      </c>
      <c r="O22444" s="3" t="s">
        <v>85344</v>
      </c>
      <c r="Q22444" s="3">
        <v>0</v>
      </c>
      <c r="R22444" s="3">
        <v>261</v>
      </c>
      <c r="S22444" s="3">
        <v>0</v>
      </c>
      <c r="T22444" s="3" t="s">
        <v>85345</v>
      </c>
    </row>
    <row r="22445" spans="1:25" x14ac:dyDescent="0.25">
      <c r="A22445" s="5" t="s">
        <v>24</v>
      </c>
      <c r="B22445" s="5" t="s">
        <v>5558</v>
      </c>
      <c r="C22445" s="5" t="str">
        <f>"A0152896"</f>
        <v>A0152896</v>
      </c>
      <c r="D22445" s="5" t="s">
        <v>79632</v>
      </c>
      <c r="E22445" s="5" t="s">
        <v>79633</v>
      </c>
      <c r="F22445" s="5" t="s">
        <v>13036</v>
      </c>
      <c r="G22445" s="5" t="s">
        <v>197</v>
      </c>
      <c r="H22445" s="5">
        <v>85323</v>
      </c>
      <c r="I22445" s="5" t="s">
        <v>30</v>
      </c>
      <c r="J22445" s="5" t="s">
        <v>171</v>
      </c>
      <c r="K22445" s="5" t="s">
        <v>1450</v>
      </c>
      <c r="L22445" s="5"/>
      <c r="M22445" s="5"/>
      <c r="N22445" s="5" t="s">
        <v>79634</v>
      </c>
      <c r="O22445" s="5" t="s">
        <v>79635</v>
      </c>
      <c r="P22445" s="5"/>
      <c r="Q22445" s="5">
        <v>0</v>
      </c>
      <c r="R22445" s="5">
        <v>102</v>
      </c>
      <c r="S22445" s="5">
        <v>0</v>
      </c>
      <c r="T22445" s="5" t="s">
        <v>79636</v>
      </c>
      <c r="U22445" s="5"/>
      <c r="V22445" s="5"/>
      <c r="W22445" s="5"/>
      <c r="X22445" s="5"/>
      <c r="Y22445" s="5"/>
    </row>
    <row r="22446" spans="1:25" customFormat="1" ht="15" x14ac:dyDescent="0.25">
      <c r="A22446" t="s">
        <v>24</v>
      </c>
      <c r="B22446" t="s">
        <v>34738</v>
      </c>
      <c r="C22446" t="str">
        <f>"56681"</f>
        <v>56681</v>
      </c>
      <c r="D22446" t="s">
        <v>79637</v>
      </c>
      <c r="E22446" t="s">
        <v>79638</v>
      </c>
      <c r="F22446" t="s">
        <v>242</v>
      </c>
      <c r="G22446" t="s">
        <v>214</v>
      </c>
      <c r="H22446">
        <v>28277</v>
      </c>
      <c r="I22446" t="s">
        <v>30</v>
      </c>
      <c r="J22446" t="s">
        <v>171</v>
      </c>
      <c r="K22446" t="s">
        <v>1450</v>
      </c>
      <c r="N22446" t="s">
        <v>79639</v>
      </c>
      <c r="Q22446">
        <v>0</v>
      </c>
      <c r="R22446">
        <v>114</v>
      </c>
      <c r="S22446">
        <v>0</v>
      </c>
      <c r="T22446" t="s">
        <v>79640</v>
      </c>
    </row>
    <row r="22447" spans="1:25" x14ac:dyDescent="0.25">
      <c r="A22447" s="5" t="s">
        <v>24</v>
      </c>
      <c r="B22447" s="5" t="s">
        <v>2340</v>
      </c>
      <c r="C22447" s="5" t="str">
        <f>"56978"</f>
        <v>56978</v>
      </c>
      <c r="D22447" s="5" t="s">
        <v>79641</v>
      </c>
      <c r="E22447" s="5" t="s">
        <v>79642</v>
      </c>
      <c r="F22447" s="5" t="s">
        <v>271</v>
      </c>
      <c r="G22447" s="5" t="s">
        <v>103</v>
      </c>
      <c r="H22447" s="5">
        <v>15275</v>
      </c>
      <c r="I22447" s="5" t="s">
        <v>30</v>
      </c>
      <c r="J22447" s="5" t="s">
        <v>171</v>
      </c>
      <c r="K22447" s="5" t="s">
        <v>1450</v>
      </c>
      <c r="L22447" s="5"/>
      <c r="M22447" s="5"/>
      <c r="N22447" s="5" t="s">
        <v>79643</v>
      </c>
      <c r="O22447" s="5" t="s">
        <v>79644</v>
      </c>
      <c r="P22447" s="5"/>
      <c r="Q22447" s="5">
        <v>0</v>
      </c>
      <c r="R22447" s="5">
        <v>156</v>
      </c>
      <c r="S22447" s="5">
        <v>0</v>
      </c>
      <c r="T22447" s="5" t="s">
        <v>79645</v>
      </c>
      <c r="U22447" s="5"/>
      <c r="V22447" s="5"/>
      <c r="W22447" s="5"/>
      <c r="X22447" s="5"/>
      <c r="Y22447" s="5"/>
    </row>
    <row r="22448" spans="1:25" customFormat="1" ht="15" hidden="1" x14ac:dyDescent="0.25">
      <c r="A22448" t="s">
        <v>24</v>
      </c>
      <c r="B22448" t="s">
        <v>56113</v>
      </c>
      <c r="C22448" t="str">
        <f>"A0059276"</f>
        <v>A0059276</v>
      </c>
      <c r="D22448" t="s">
        <v>85359</v>
      </c>
      <c r="E22448" t="s">
        <v>85360</v>
      </c>
      <c r="F22448" t="s">
        <v>62589</v>
      </c>
      <c r="G22448" t="s">
        <v>62590</v>
      </c>
      <c r="H22448" t="s">
        <v>85361</v>
      </c>
      <c r="I22448" t="s">
        <v>1459</v>
      </c>
      <c r="J22448" t="s">
        <v>162</v>
      </c>
      <c r="K22448" t="s">
        <v>163</v>
      </c>
      <c r="N22448" t="s">
        <v>85362</v>
      </c>
      <c r="Q22448">
        <v>0</v>
      </c>
      <c r="R22448">
        <v>180</v>
      </c>
      <c r="S22448">
        <v>0</v>
      </c>
      <c r="T22448" t="s">
        <v>85363</v>
      </c>
    </row>
    <row r="22449" spans="1:25" customFormat="1" ht="15" x14ac:dyDescent="0.25">
      <c r="A22449" t="s">
        <v>24</v>
      </c>
      <c r="B22449" t="s">
        <v>7405</v>
      </c>
      <c r="C22449" t="str">
        <f>"A0089768"</f>
        <v>A0089768</v>
      </c>
      <c r="D22449" t="s">
        <v>79646</v>
      </c>
      <c r="E22449" t="s">
        <v>79647</v>
      </c>
      <c r="F22449" t="s">
        <v>57795</v>
      </c>
      <c r="G22449" t="s">
        <v>103</v>
      </c>
      <c r="H22449">
        <v>15212</v>
      </c>
      <c r="I22449" t="s">
        <v>30</v>
      </c>
      <c r="J22449" t="s">
        <v>171</v>
      </c>
      <c r="K22449" t="s">
        <v>1450</v>
      </c>
      <c r="N22449" t="s">
        <v>79648</v>
      </c>
      <c r="O22449" t="s">
        <v>79649</v>
      </c>
      <c r="Q22449">
        <v>0</v>
      </c>
      <c r="R22449">
        <v>180</v>
      </c>
      <c r="S22449">
        <v>0</v>
      </c>
      <c r="T22449" t="s">
        <v>79650</v>
      </c>
    </row>
    <row r="22450" spans="1:25" x14ac:dyDescent="0.25">
      <c r="A22450" s="5" t="s">
        <v>24</v>
      </c>
      <c r="B22450" s="5" t="s">
        <v>675</v>
      </c>
      <c r="C22450" s="5" t="str">
        <f>"57413"</f>
        <v>57413</v>
      </c>
      <c r="D22450" s="5" t="s">
        <v>79651</v>
      </c>
      <c r="E22450" s="5" t="s">
        <v>79652</v>
      </c>
      <c r="F22450" s="5" t="s">
        <v>79653</v>
      </c>
      <c r="G22450" s="5" t="s">
        <v>110</v>
      </c>
      <c r="H22450" s="5">
        <v>92870</v>
      </c>
      <c r="I22450" s="5" t="s">
        <v>30</v>
      </c>
      <c r="J22450" s="5" t="s">
        <v>171</v>
      </c>
      <c r="K22450" s="5" t="s">
        <v>1450</v>
      </c>
      <c r="L22450" s="5"/>
      <c r="M22450" s="5"/>
      <c r="N22450" s="5" t="s">
        <v>79654</v>
      </c>
      <c r="O22450" s="5" t="s">
        <v>79655</v>
      </c>
      <c r="P22450" s="5"/>
      <c r="Q22450" s="5">
        <v>0</v>
      </c>
      <c r="R22450" s="5">
        <v>112</v>
      </c>
      <c r="S22450" s="5">
        <v>0</v>
      </c>
      <c r="T22450" s="5" t="s">
        <v>79656</v>
      </c>
      <c r="U22450" s="5"/>
      <c r="V22450" s="5"/>
      <c r="W22450" s="5"/>
      <c r="X22450" s="5"/>
      <c r="Y22450" s="5"/>
    </row>
    <row r="22451" spans="1:25" customFormat="1" ht="15" x14ac:dyDescent="0.25">
      <c r="A22451" t="s">
        <v>24</v>
      </c>
      <c r="B22451" t="s">
        <v>675</v>
      </c>
      <c r="C22451" t="str">
        <f>"57425"</f>
        <v>57425</v>
      </c>
      <c r="D22451" t="s">
        <v>79657</v>
      </c>
      <c r="E22451" t="s">
        <v>79658</v>
      </c>
      <c r="F22451" t="s">
        <v>7883</v>
      </c>
      <c r="G22451" t="s">
        <v>110</v>
      </c>
      <c r="H22451">
        <v>94523</v>
      </c>
      <c r="I22451" t="s">
        <v>30</v>
      </c>
      <c r="J22451" t="s">
        <v>171</v>
      </c>
      <c r="K22451" t="s">
        <v>1450</v>
      </c>
      <c r="N22451" t="s">
        <v>79659</v>
      </c>
      <c r="O22451" t="s">
        <v>79660</v>
      </c>
      <c r="Q22451">
        <v>0</v>
      </c>
      <c r="R22451">
        <v>126</v>
      </c>
      <c r="S22451">
        <v>0</v>
      </c>
      <c r="T22451" t="s">
        <v>79661</v>
      </c>
    </row>
    <row r="22452" spans="1:25" customFormat="1" ht="15" x14ac:dyDescent="0.25">
      <c r="A22452" t="s">
        <v>24</v>
      </c>
      <c r="B22452" t="s">
        <v>2955</v>
      </c>
      <c r="C22452" t="str">
        <f>"A0087948"</f>
        <v>A0087948</v>
      </c>
      <c r="D22452" t="s">
        <v>14523</v>
      </c>
      <c r="E22452" t="s">
        <v>79662</v>
      </c>
      <c r="F22452" t="s">
        <v>6593</v>
      </c>
      <c r="G22452" t="s">
        <v>2450</v>
      </c>
      <c r="H22452">
        <v>4101</v>
      </c>
      <c r="I22452" t="s">
        <v>30</v>
      </c>
      <c r="J22452" t="s">
        <v>171</v>
      </c>
      <c r="K22452" t="s">
        <v>1450</v>
      </c>
      <c r="N22452" t="s">
        <v>79663</v>
      </c>
      <c r="O22452" t="s">
        <v>79664</v>
      </c>
      <c r="Q22452">
        <v>0</v>
      </c>
      <c r="R22452">
        <v>179</v>
      </c>
      <c r="S22452">
        <v>0</v>
      </c>
      <c r="T22452" t="s">
        <v>79665</v>
      </c>
    </row>
    <row r="22453" spans="1:25" x14ac:dyDescent="0.25">
      <c r="A22453" s="5" t="s">
        <v>24</v>
      </c>
      <c r="B22453" s="5" t="s">
        <v>675</v>
      </c>
      <c r="C22453" s="5" t="str">
        <f>"A0092272"</f>
        <v>A0092272</v>
      </c>
      <c r="D22453" s="5" t="s">
        <v>79666</v>
      </c>
      <c r="E22453" s="5" t="s">
        <v>79667</v>
      </c>
      <c r="F22453" s="5" t="s">
        <v>6593</v>
      </c>
      <c r="G22453" s="5" t="s">
        <v>47</v>
      </c>
      <c r="H22453" s="5">
        <v>97209</v>
      </c>
      <c r="I22453" s="5" t="s">
        <v>30</v>
      </c>
      <c r="J22453" s="5" t="s">
        <v>171</v>
      </c>
      <c r="K22453" s="5" t="s">
        <v>1450</v>
      </c>
      <c r="L22453" s="5"/>
      <c r="M22453" s="5"/>
      <c r="N22453" s="5" t="s">
        <v>79668</v>
      </c>
      <c r="O22453" s="5" t="s">
        <v>79669</v>
      </c>
      <c r="P22453" s="5"/>
      <c r="Q22453" s="5">
        <v>0</v>
      </c>
      <c r="R22453" s="5">
        <v>223</v>
      </c>
      <c r="S22453" s="5">
        <v>0</v>
      </c>
      <c r="T22453" s="5" t="s">
        <v>79670</v>
      </c>
      <c r="U22453" s="5"/>
      <c r="V22453" s="5"/>
      <c r="W22453" s="5"/>
      <c r="X22453" s="5"/>
      <c r="Y22453" s="5"/>
    </row>
    <row r="22454" spans="1:25" customFormat="1" ht="15" x14ac:dyDescent="0.25">
      <c r="A22454" t="s">
        <v>24</v>
      </c>
      <c r="B22454" t="s">
        <v>14328</v>
      </c>
      <c r="C22454" t="str">
        <f>"A0098756"</f>
        <v>A0098756</v>
      </c>
      <c r="D22454" t="s">
        <v>85386</v>
      </c>
      <c r="E22454" t="s">
        <v>85387</v>
      </c>
      <c r="F22454" t="s">
        <v>34468</v>
      </c>
      <c r="G22454" t="s">
        <v>103</v>
      </c>
      <c r="H22454">
        <v>19035</v>
      </c>
      <c r="I22454" t="s">
        <v>30</v>
      </c>
      <c r="J22454" t="s">
        <v>1004</v>
      </c>
      <c r="K22454" t="s">
        <v>6809</v>
      </c>
      <c r="N22454" t="s">
        <v>85388</v>
      </c>
      <c r="Q22454">
        <v>0</v>
      </c>
      <c r="R22454">
        <v>0</v>
      </c>
      <c r="S22454">
        <v>0</v>
      </c>
      <c r="T22454" t="s">
        <v>85389</v>
      </c>
    </row>
    <row r="22455" spans="1:25" customFormat="1" ht="15" x14ac:dyDescent="0.25">
      <c r="A22455" t="s">
        <v>24</v>
      </c>
      <c r="B22455" t="s">
        <v>14328</v>
      </c>
      <c r="C22455" t="str">
        <f>"A0075376"</f>
        <v>A0075376</v>
      </c>
      <c r="D22455" t="s">
        <v>85390</v>
      </c>
      <c r="E22455" t="s">
        <v>85391</v>
      </c>
      <c r="F22455" t="s">
        <v>9812</v>
      </c>
      <c r="G22455" t="s">
        <v>103</v>
      </c>
      <c r="H22455">
        <v>19102</v>
      </c>
      <c r="I22455" t="s">
        <v>30</v>
      </c>
      <c r="J22455" t="s">
        <v>2558</v>
      </c>
      <c r="K22455" t="s">
        <v>179</v>
      </c>
      <c r="N22455" t="s">
        <v>85392</v>
      </c>
      <c r="O22455" t="s">
        <v>85393</v>
      </c>
      <c r="P22455" t="s">
        <v>992</v>
      </c>
      <c r="Q22455">
        <v>0</v>
      </c>
      <c r="R22455">
        <v>60</v>
      </c>
      <c r="S22455">
        <v>0</v>
      </c>
      <c r="T22455" t="s">
        <v>85394</v>
      </c>
    </row>
    <row r="22456" spans="1:25" customFormat="1" ht="15" x14ac:dyDescent="0.25">
      <c r="A22456" t="s">
        <v>24</v>
      </c>
      <c r="B22456" t="s">
        <v>85395</v>
      </c>
      <c r="C22456" t="str">
        <f>"A0147986"</f>
        <v>A0147986</v>
      </c>
      <c r="D22456" t="s">
        <v>85396</v>
      </c>
      <c r="E22456" t="s">
        <v>85397</v>
      </c>
      <c r="F22456" t="s">
        <v>313</v>
      </c>
      <c r="G22456" t="s">
        <v>314</v>
      </c>
      <c r="H22456">
        <v>20036</v>
      </c>
      <c r="I22456" t="s">
        <v>30</v>
      </c>
      <c r="J22456" t="s">
        <v>2558</v>
      </c>
      <c r="K22456" t="s">
        <v>163</v>
      </c>
      <c r="N22456" t="s">
        <v>85398</v>
      </c>
      <c r="O22456" t="s">
        <v>85399</v>
      </c>
      <c r="Q22456">
        <v>0</v>
      </c>
      <c r="R22456">
        <v>60</v>
      </c>
      <c r="S22456">
        <v>0</v>
      </c>
      <c r="T22456" t="s">
        <v>85400</v>
      </c>
    </row>
    <row r="22457" spans="1:25" customFormat="1" ht="15" x14ac:dyDescent="0.25">
      <c r="A22457" t="s">
        <v>24</v>
      </c>
      <c r="B22457" t="s">
        <v>2812</v>
      </c>
      <c r="C22457" t="str">
        <f>"A0147510"</f>
        <v>A0147510</v>
      </c>
      <c r="D22457" t="s">
        <v>85401</v>
      </c>
      <c r="E22457" t="s">
        <v>85402</v>
      </c>
      <c r="F22457" t="s">
        <v>845</v>
      </c>
      <c r="G22457" t="s">
        <v>846</v>
      </c>
      <c r="H22457">
        <v>30307</v>
      </c>
      <c r="I22457" t="s">
        <v>30</v>
      </c>
      <c r="J22457" t="s">
        <v>31</v>
      </c>
      <c r="K22457" t="s">
        <v>163</v>
      </c>
      <c r="N22457" t="s">
        <v>85403</v>
      </c>
      <c r="O22457" t="s">
        <v>85404</v>
      </c>
      <c r="Q22457">
        <v>0</v>
      </c>
      <c r="R22457">
        <v>32</v>
      </c>
      <c r="S22457">
        <v>0</v>
      </c>
      <c r="T22457" t="s">
        <v>85405</v>
      </c>
    </row>
    <row r="22458" spans="1:25" x14ac:dyDescent="0.25">
      <c r="A22458" s="5" t="s">
        <v>24</v>
      </c>
      <c r="B22458" s="5" t="s">
        <v>79671</v>
      </c>
      <c r="C22458" s="5" t="str">
        <f>"A0147850"</f>
        <v>A0147850</v>
      </c>
      <c r="D22458" s="5" t="s">
        <v>79672</v>
      </c>
      <c r="E22458" s="5" t="s">
        <v>79673</v>
      </c>
      <c r="F22458" s="5" t="s">
        <v>2269</v>
      </c>
      <c r="G22458" s="5" t="s">
        <v>76</v>
      </c>
      <c r="H22458" s="5">
        <v>98683</v>
      </c>
      <c r="I22458" s="5" t="s">
        <v>30</v>
      </c>
      <c r="J22458" s="5" t="s">
        <v>171</v>
      </c>
      <c r="K22458" s="5" t="s">
        <v>1450</v>
      </c>
      <c r="L22458" s="5"/>
      <c r="M22458" s="5"/>
      <c r="N22458" s="5" t="s">
        <v>79674</v>
      </c>
      <c r="O22458" s="5"/>
      <c r="P22458" s="5"/>
      <c r="Q22458" s="5">
        <v>0</v>
      </c>
      <c r="R22458" s="5">
        <v>87</v>
      </c>
      <c r="S22458" s="5">
        <v>0</v>
      </c>
      <c r="T22458" s="5" t="s">
        <v>79675</v>
      </c>
      <c r="U22458" s="5"/>
      <c r="V22458" s="5"/>
      <c r="W22458" s="5"/>
      <c r="X22458" s="5"/>
      <c r="Y22458" s="5"/>
    </row>
    <row r="22459" spans="1:25" customFormat="1" ht="15" hidden="1" x14ac:dyDescent="0.25">
      <c r="A22459" t="s">
        <v>24</v>
      </c>
      <c r="B22459" t="s">
        <v>1548</v>
      </c>
      <c r="C22459" t="str">
        <f>"A0099806"</f>
        <v>A0099806</v>
      </c>
      <c r="D22459" t="s">
        <v>85410</v>
      </c>
      <c r="E22459" t="s">
        <v>85411</v>
      </c>
      <c r="F22459" t="s">
        <v>59059</v>
      </c>
      <c r="G22459" t="s">
        <v>1457</v>
      </c>
      <c r="H22459" t="s">
        <v>85412</v>
      </c>
      <c r="I22459" t="s">
        <v>1459</v>
      </c>
      <c r="J22459" t="s">
        <v>162</v>
      </c>
      <c r="K22459" t="s">
        <v>163</v>
      </c>
      <c r="N22459" t="s">
        <v>76262</v>
      </c>
      <c r="Q22459">
        <v>0</v>
      </c>
      <c r="R22459">
        <v>89</v>
      </c>
      <c r="S22459">
        <v>0</v>
      </c>
      <c r="T22459" t="s">
        <v>85413</v>
      </c>
    </row>
    <row r="22460" spans="1:25" customFormat="1" ht="15" x14ac:dyDescent="0.25">
      <c r="A22460" t="s">
        <v>24</v>
      </c>
      <c r="B22460" t="s">
        <v>2387</v>
      </c>
      <c r="C22460" t="str">
        <f>"A0089178"</f>
        <v>A0089178</v>
      </c>
      <c r="D22460" t="s">
        <v>79676</v>
      </c>
      <c r="E22460" t="s">
        <v>54476</v>
      </c>
      <c r="F22460" t="s">
        <v>14994</v>
      </c>
      <c r="G22460" t="s">
        <v>1363</v>
      </c>
      <c r="H22460">
        <v>3801</v>
      </c>
      <c r="I22460" t="s">
        <v>30</v>
      </c>
      <c r="J22460" t="s">
        <v>171</v>
      </c>
      <c r="K22460" t="s">
        <v>1450</v>
      </c>
      <c r="N22460" t="s">
        <v>79677</v>
      </c>
      <c r="O22460" t="s">
        <v>79678</v>
      </c>
      <c r="Q22460">
        <v>0</v>
      </c>
      <c r="R22460">
        <v>128</v>
      </c>
      <c r="S22460">
        <v>0</v>
      </c>
      <c r="T22460" t="s">
        <v>79679</v>
      </c>
    </row>
    <row r="22461" spans="1:25" customFormat="1" ht="15" x14ac:dyDescent="0.25">
      <c r="A22461" t="s">
        <v>24</v>
      </c>
      <c r="B22461" t="s">
        <v>85418</v>
      </c>
      <c r="C22461" t="str">
        <f>"A0158241"</f>
        <v>A0158241</v>
      </c>
      <c r="D22461" t="s">
        <v>85419</v>
      </c>
      <c r="E22461" t="s">
        <v>84154</v>
      </c>
      <c r="F22461" t="s">
        <v>997</v>
      </c>
      <c r="G22461" t="s">
        <v>99</v>
      </c>
      <c r="H22461">
        <v>10013</v>
      </c>
      <c r="I22461" t="s">
        <v>30</v>
      </c>
      <c r="J22461" t="s">
        <v>1004</v>
      </c>
      <c r="K22461" t="s">
        <v>163</v>
      </c>
      <c r="N22461" t="s">
        <v>85420</v>
      </c>
      <c r="O22461" t="s">
        <v>1521</v>
      </c>
      <c r="Q22461">
        <v>0</v>
      </c>
      <c r="R22461">
        <v>0</v>
      </c>
      <c r="S22461">
        <v>0</v>
      </c>
      <c r="T22461" t="s">
        <v>85421</v>
      </c>
    </row>
    <row r="22462" spans="1:25" customFormat="1" ht="15" x14ac:dyDescent="0.25">
      <c r="A22462" t="s">
        <v>24</v>
      </c>
      <c r="B22462" t="s">
        <v>85422</v>
      </c>
      <c r="C22462" t="str">
        <f>"A0093744"</f>
        <v>A0093744</v>
      </c>
      <c r="D22462" t="s">
        <v>85422</v>
      </c>
      <c r="E22462" t="s">
        <v>85423</v>
      </c>
      <c r="F22462" t="s">
        <v>4802</v>
      </c>
      <c r="G22462" t="s">
        <v>110</v>
      </c>
      <c r="H22462">
        <v>95135</v>
      </c>
      <c r="I22462" t="s">
        <v>30</v>
      </c>
      <c r="J22462" t="s">
        <v>178</v>
      </c>
      <c r="K22462" t="s">
        <v>163</v>
      </c>
      <c r="N22462" t="s">
        <v>85424</v>
      </c>
      <c r="O22462" t="s">
        <v>85425</v>
      </c>
      <c r="Q22462">
        <v>2</v>
      </c>
      <c r="R22462">
        <v>0</v>
      </c>
      <c r="S22462">
        <v>0</v>
      </c>
      <c r="T22462" t="s">
        <v>85426</v>
      </c>
    </row>
    <row r="22463" spans="1:25" customFormat="1" ht="15" x14ac:dyDescent="0.25">
      <c r="A22463" t="s">
        <v>24</v>
      </c>
      <c r="B22463" t="s">
        <v>77968</v>
      </c>
      <c r="C22463" t="str">
        <f>"A0095465"</f>
        <v>A0095465</v>
      </c>
      <c r="D22463" t="s">
        <v>85427</v>
      </c>
      <c r="E22463" t="s">
        <v>77970</v>
      </c>
      <c r="F22463" t="s">
        <v>77971</v>
      </c>
      <c r="G22463" t="s">
        <v>110</v>
      </c>
      <c r="H22463">
        <v>92067</v>
      </c>
      <c r="I22463" t="s">
        <v>30</v>
      </c>
      <c r="J22463" t="s">
        <v>31</v>
      </c>
      <c r="K22463" t="s">
        <v>163</v>
      </c>
      <c r="N22463" t="s">
        <v>85428</v>
      </c>
      <c r="Q22463">
        <v>0</v>
      </c>
      <c r="R22463">
        <v>12</v>
      </c>
      <c r="S22463">
        <v>0</v>
      </c>
      <c r="T22463" t="s">
        <v>77974</v>
      </c>
    </row>
    <row r="22464" spans="1:25" x14ac:dyDescent="0.25">
      <c r="A22464" s="5" t="s">
        <v>24</v>
      </c>
      <c r="B22464" s="5" t="s">
        <v>675</v>
      </c>
      <c r="C22464" s="5" t="str">
        <f>"A0069480"</f>
        <v>A0069480</v>
      </c>
      <c r="D22464" s="5" t="s">
        <v>79680</v>
      </c>
      <c r="E22464" s="5" t="s">
        <v>79681</v>
      </c>
      <c r="F22464" s="5" t="s">
        <v>11346</v>
      </c>
      <c r="G22464" s="5" t="s">
        <v>99</v>
      </c>
      <c r="H22464" s="5">
        <v>12601</v>
      </c>
      <c r="I22464" s="5" t="s">
        <v>30</v>
      </c>
      <c r="J22464" s="5" t="s">
        <v>171</v>
      </c>
      <c r="K22464" s="5" t="s">
        <v>1450</v>
      </c>
      <c r="L22464" s="5"/>
      <c r="M22464" s="5"/>
      <c r="N22464" s="5" t="s">
        <v>79682</v>
      </c>
      <c r="O22464" s="5" t="s">
        <v>79683</v>
      </c>
      <c r="P22464" s="5"/>
      <c r="Q22464" s="5">
        <v>0</v>
      </c>
      <c r="R22464" s="5">
        <v>128</v>
      </c>
      <c r="S22464" s="5">
        <v>0</v>
      </c>
      <c r="T22464" s="5" t="s">
        <v>79684</v>
      </c>
      <c r="U22464" s="5"/>
      <c r="V22464" s="5"/>
      <c r="W22464" s="5"/>
      <c r="X22464" s="5"/>
      <c r="Y22464" s="5"/>
    </row>
    <row r="22465" spans="1:25" x14ac:dyDescent="0.25">
      <c r="A22465" s="5" t="s">
        <v>24</v>
      </c>
      <c r="B22465" s="5" t="s">
        <v>1138</v>
      </c>
      <c r="C22465" s="5" t="str">
        <f>"A0084858"</f>
        <v>A0084858</v>
      </c>
      <c r="D22465" s="5" t="s">
        <v>79685</v>
      </c>
      <c r="E22465" s="5" t="s">
        <v>79686</v>
      </c>
      <c r="F22465" s="5" t="s">
        <v>79687</v>
      </c>
      <c r="G22465" s="5" t="s">
        <v>90</v>
      </c>
      <c r="H22465" s="5">
        <v>2817</v>
      </c>
      <c r="I22465" s="5" t="s">
        <v>30</v>
      </c>
      <c r="J22465" s="5" t="s">
        <v>171</v>
      </c>
      <c r="K22465" s="5" t="s">
        <v>1450</v>
      </c>
      <c r="L22465" s="5"/>
      <c r="M22465" s="5"/>
      <c r="N22465" s="5" t="s">
        <v>79688</v>
      </c>
      <c r="O22465" s="5"/>
      <c r="P22465" s="5"/>
      <c r="Q22465" s="5">
        <v>0</v>
      </c>
      <c r="R22465" s="5">
        <v>100</v>
      </c>
      <c r="S22465" s="5">
        <v>0</v>
      </c>
      <c r="T22465" s="5" t="s">
        <v>79689</v>
      </c>
      <c r="U22465" s="5"/>
      <c r="V22465" s="5"/>
      <c r="W22465" s="5"/>
      <c r="X22465" s="5"/>
      <c r="Y22465" s="5"/>
    </row>
    <row r="22466" spans="1:25" customFormat="1" ht="15" x14ac:dyDescent="0.25">
      <c r="A22466" t="s">
        <v>24</v>
      </c>
      <c r="B22466" t="s">
        <v>9549</v>
      </c>
      <c r="C22466" t="str">
        <f>"A0156809"</f>
        <v>A0156809</v>
      </c>
      <c r="D22466" t="s">
        <v>79690</v>
      </c>
      <c r="E22466" t="s">
        <v>79691</v>
      </c>
      <c r="F22466" t="s">
        <v>13473</v>
      </c>
      <c r="G22466" t="s">
        <v>90</v>
      </c>
      <c r="H22466">
        <v>2865</v>
      </c>
      <c r="I22466" t="s">
        <v>30</v>
      </c>
      <c r="J22466" t="s">
        <v>171</v>
      </c>
      <c r="K22466" t="s">
        <v>1450</v>
      </c>
      <c r="N22466" t="s">
        <v>79692</v>
      </c>
      <c r="Q22466">
        <v>0</v>
      </c>
      <c r="R22466">
        <v>107</v>
      </c>
      <c r="S22466">
        <v>0</v>
      </c>
      <c r="T22466" t="s">
        <v>79693</v>
      </c>
    </row>
    <row r="22467" spans="1:25" customFormat="1" ht="15" x14ac:dyDescent="0.25">
      <c r="A22467" t="s">
        <v>24</v>
      </c>
      <c r="B22467" t="s">
        <v>13679</v>
      </c>
      <c r="C22467" t="str">
        <f>"56932"</f>
        <v>56932</v>
      </c>
      <c r="D22467" t="s">
        <v>79694</v>
      </c>
      <c r="E22467" t="s">
        <v>79695</v>
      </c>
      <c r="F22467" t="s">
        <v>77587</v>
      </c>
      <c r="G22467" t="s">
        <v>153</v>
      </c>
      <c r="H22467">
        <v>84604</v>
      </c>
      <c r="I22467" t="s">
        <v>30</v>
      </c>
      <c r="J22467" t="s">
        <v>171</v>
      </c>
      <c r="K22467" t="s">
        <v>1450</v>
      </c>
      <c r="N22467" t="s">
        <v>79696</v>
      </c>
      <c r="Q22467">
        <v>0</v>
      </c>
      <c r="R22467">
        <v>114</v>
      </c>
      <c r="S22467">
        <v>0</v>
      </c>
      <c r="T22467" t="s">
        <v>79697</v>
      </c>
    </row>
    <row r="22468" spans="1:25" customFormat="1" ht="15" x14ac:dyDescent="0.25">
      <c r="A22468" t="s">
        <v>24</v>
      </c>
      <c r="B22468" t="s">
        <v>5558</v>
      </c>
      <c r="C22468" t="str">
        <f>"A0100773"</f>
        <v>A0100773</v>
      </c>
      <c r="D22468" t="s">
        <v>79698</v>
      </c>
      <c r="E22468" t="s">
        <v>79699</v>
      </c>
      <c r="F22468" t="s">
        <v>77587</v>
      </c>
      <c r="G22468" t="s">
        <v>153</v>
      </c>
      <c r="H22468">
        <v>84601</v>
      </c>
      <c r="I22468" t="s">
        <v>30</v>
      </c>
      <c r="J22468" t="s">
        <v>171</v>
      </c>
      <c r="K22468" t="s">
        <v>1450</v>
      </c>
      <c r="N22468" t="s">
        <v>79700</v>
      </c>
      <c r="O22468" t="s">
        <v>79701</v>
      </c>
      <c r="Q22468">
        <v>0</v>
      </c>
      <c r="R22468">
        <v>100</v>
      </c>
      <c r="S22468">
        <v>0</v>
      </c>
      <c r="T22468" t="s">
        <v>79702</v>
      </c>
    </row>
    <row r="22469" spans="1:25" customFormat="1" ht="15" hidden="1" x14ac:dyDescent="0.25">
      <c r="A22469" t="s">
        <v>24</v>
      </c>
      <c r="B22469" t="s">
        <v>675</v>
      </c>
      <c r="C22469" t="str">
        <f>"A0076213"</f>
        <v>A0076213</v>
      </c>
      <c r="D22469" t="s">
        <v>85451</v>
      </c>
      <c r="E22469" t="s">
        <v>85452</v>
      </c>
      <c r="F22469" t="s">
        <v>85453</v>
      </c>
      <c r="G22469" t="s">
        <v>2270</v>
      </c>
      <c r="H22469" t="s">
        <v>85454</v>
      </c>
      <c r="I22469" t="s">
        <v>1459</v>
      </c>
      <c r="J22469" t="s">
        <v>162</v>
      </c>
      <c r="K22469" t="s">
        <v>822</v>
      </c>
      <c r="N22469" t="s">
        <v>85455</v>
      </c>
      <c r="O22469" t="s">
        <v>85456</v>
      </c>
      <c r="Q22469">
        <v>0</v>
      </c>
      <c r="R22469">
        <v>511</v>
      </c>
      <c r="S22469">
        <v>0</v>
      </c>
      <c r="T22469" t="s">
        <v>85457</v>
      </c>
    </row>
    <row r="22470" spans="1:25" customFormat="1" ht="15" x14ac:dyDescent="0.25">
      <c r="A22470" t="s">
        <v>24</v>
      </c>
      <c r="B22470" t="s">
        <v>8579</v>
      </c>
      <c r="C22470" t="str">
        <f>"A0093173"</f>
        <v>A0093173</v>
      </c>
      <c r="D22470" t="s">
        <v>79703</v>
      </c>
      <c r="E22470" t="s">
        <v>79704</v>
      </c>
      <c r="F22470" t="s">
        <v>2492</v>
      </c>
      <c r="G22470" t="s">
        <v>76</v>
      </c>
      <c r="H22470">
        <v>99163</v>
      </c>
      <c r="I22470" t="s">
        <v>30</v>
      </c>
      <c r="J22470" t="s">
        <v>171</v>
      </c>
      <c r="K22470" t="s">
        <v>1450</v>
      </c>
      <c r="N22470" t="s">
        <v>61550</v>
      </c>
      <c r="Q22470">
        <v>0</v>
      </c>
      <c r="R22470">
        <v>131</v>
      </c>
      <c r="S22470">
        <v>0</v>
      </c>
      <c r="T22470" t="s">
        <v>79705</v>
      </c>
    </row>
    <row r="22471" spans="1:25" customFormat="1" ht="15" x14ac:dyDescent="0.25">
      <c r="A22471" t="s">
        <v>24</v>
      </c>
      <c r="B22471" t="s">
        <v>10097</v>
      </c>
      <c r="C22471" t="str">
        <f>"56592"</f>
        <v>56592</v>
      </c>
      <c r="D22471" t="s">
        <v>79706</v>
      </c>
      <c r="E22471" t="s">
        <v>79707</v>
      </c>
      <c r="F22471" t="s">
        <v>10100</v>
      </c>
      <c r="G22471" t="s">
        <v>214</v>
      </c>
      <c r="H22471">
        <v>27609</v>
      </c>
      <c r="I22471" t="s">
        <v>30</v>
      </c>
      <c r="J22471" t="s">
        <v>171</v>
      </c>
      <c r="K22471" t="s">
        <v>1450</v>
      </c>
      <c r="N22471" t="s">
        <v>61796</v>
      </c>
      <c r="O22471" t="s">
        <v>79708</v>
      </c>
      <c r="Q22471">
        <v>0</v>
      </c>
      <c r="R22471">
        <v>144</v>
      </c>
      <c r="S22471">
        <v>0</v>
      </c>
      <c r="T22471" t="s">
        <v>79709</v>
      </c>
    </row>
    <row r="22472" spans="1:25" customFormat="1" ht="15" x14ac:dyDescent="0.25">
      <c r="A22472" t="s">
        <v>24</v>
      </c>
      <c r="B22472" t="s">
        <v>34738</v>
      </c>
      <c r="C22472" t="str">
        <f>"A0093829"</f>
        <v>A0093829</v>
      </c>
      <c r="D22472" t="s">
        <v>79710</v>
      </c>
      <c r="E22472" t="s">
        <v>61563</v>
      </c>
      <c r="F22472" t="s">
        <v>10100</v>
      </c>
      <c r="G22472" t="s">
        <v>214</v>
      </c>
      <c r="H22472">
        <v>27617</v>
      </c>
      <c r="I22472" t="s">
        <v>30</v>
      </c>
      <c r="J22472" t="s">
        <v>171</v>
      </c>
      <c r="K22472" t="s">
        <v>1450</v>
      </c>
      <c r="N22472" t="s">
        <v>61564</v>
      </c>
      <c r="Q22472">
        <v>0</v>
      </c>
      <c r="R22472">
        <v>128</v>
      </c>
      <c r="S22472">
        <v>0</v>
      </c>
      <c r="T22472" t="s">
        <v>72259</v>
      </c>
    </row>
    <row r="22473" spans="1:25" customFormat="1" ht="15" x14ac:dyDescent="0.25">
      <c r="A22473" t="s">
        <v>24</v>
      </c>
      <c r="B22473" t="s">
        <v>1138</v>
      </c>
      <c r="C22473" t="str">
        <f>"A0087713"</f>
        <v>A0087713</v>
      </c>
      <c r="D22473" t="s">
        <v>79711</v>
      </c>
      <c r="E22473" t="s">
        <v>79712</v>
      </c>
      <c r="F22473" t="s">
        <v>65431</v>
      </c>
      <c r="G22473" t="s">
        <v>221</v>
      </c>
      <c r="H22473">
        <v>89431</v>
      </c>
      <c r="I22473" t="s">
        <v>30</v>
      </c>
      <c r="J22473" t="s">
        <v>171</v>
      </c>
      <c r="K22473" t="s">
        <v>1450</v>
      </c>
      <c r="N22473" t="s">
        <v>79713</v>
      </c>
      <c r="O22473" t="s">
        <v>79714</v>
      </c>
      <c r="Q22473">
        <v>0</v>
      </c>
      <c r="R22473">
        <v>124</v>
      </c>
      <c r="S22473">
        <v>0</v>
      </c>
      <c r="T22473" t="s">
        <v>79715</v>
      </c>
    </row>
    <row r="22474" spans="1:25" customFormat="1" ht="15" hidden="1" x14ac:dyDescent="0.25">
      <c r="A22474" t="s">
        <v>24</v>
      </c>
      <c r="B22474" t="s">
        <v>675</v>
      </c>
      <c r="C22474" t="str">
        <f>"A0096703"</f>
        <v>A0096703</v>
      </c>
      <c r="D22474" t="s">
        <v>85474</v>
      </c>
      <c r="E22474" t="s">
        <v>85475</v>
      </c>
      <c r="F22474" t="s">
        <v>8456</v>
      </c>
      <c r="G22474" t="s">
        <v>1457</v>
      </c>
      <c r="H22474" t="s">
        <v>85476</v>
      </c>
      <c r="I22474" t="s">
        <v>1459</v>
      </c>
      <c r="J22474" t="s">
        <v>162</v>
      </c>
      <c r="K22474" t="s">
        <v>822</v>
      </c>
      <c r="Q22474">
        <v>0</v>
      </c>
      <c r="R22474">
        <v>525</v>
      </c>
      <c r="S22474">
        <v>0</v>
      </c>
      <c r="T22474" t="s">
        <v>85477</v>
      </c>
    </row>
    <row r="22475" spans="1:25" customFormat="1" ht="15" hidden="1" x14ac:dyDescent="0.25">
      <c r="A22475" t="s">
        <v>24</v>
      </c>
      <c r="B22475" t="s">
        <v>10942</v>
      </c>
      <c r="C22475" t="str">
        <f>"A0100746"</f>
        <v>A0100746</v>
      </c>
      <c r="D22475" t="s">
        <v>85478</v>
      </c>
      <c r="E22475" t="s">
        <v>85479</v>
      </c>
      <c r="F22475" t="s">
        <v>8456</v>
      </c>
      <c r="G22475" t="s">
        <v>1457</v>
      </c>
      <c r="H22475" t="s">
        <v>85480</v>
      </c>
      <c r="I22475" t="s">
        <v>1459</v>
      </c>
      <c r="J22475" t="s">
        <v>162</v>
      </c>
      <c r="K22475" t="s">
        <v>822</v>
      </c>
      <c r="N22475" t="s">
        <v>85481</v>
      </c>
      <c r="O22475" t="s">
        <v>85482</v>
      </c>
      <c r="Q22475">
        <v>0</v>
      </c>
      <c r="R22475">
        <v>247</v>
      </c>
      <c r="S22475">
        <v>0</v>
      </c>
      <c r="T22475" t="s">
        <v>85483</v>
      </c>
    </row>
    <row r="22476" spans="1:25" customFormat="1" ht="15" x14ac:dyDescent="0.25">
      <c r="A22476" t="s">
        <v>24</v>
      </c>
      <c r="B22476" t="s">
        <v>1487</v>
      </c>
      <c r="C22476" t="str">
        <f>"A0093228"</f>
        <v>A0093228</v>
      </c>
      <c r="D22476" t="s">
        <v>79716</v>
      </c>
      <c r="E22476" t="s">
        <v>79717</v>
      </c>
      <c r="F22476" t="s">
        <v>79718</v>
      </c>
      <c r="G22476" t="s">
        <v>29</v>
      </c>
      <c r="H22476">
        <v>23219</v>
      </c>
      <c r="I22476" t="s">
        <v>30</v>
      </c>
      <c r="J22476" t="s">
        <v>171</v>
      </c>
      <c r="K22476" t="s">
        <v>1450</v>
      </c>
      <c r="Q22476">
        <v>0</v>
      </c>
      <c r="R22476">
        <v>75</v>
      </c>
      <c r="S22476">
        <v>0</v>
      </c>
      <c r="T22476" t="s">
        <v>79719</v>
      </c>
    </row>
    <row r="22477" spans="1:25" customFormat="1" ht="15" x14ac:dyDescent="0.25">
      <c r="A22477" t="s">
        <v>24</v>
      </c>
      <c r="B22477" t="s">
        <v>1138</v>
      </c>
      <c r="C22477" t="str">
        <f>"A0151456"</f>
        <v>A0151456</v>
      </c>
      <c r="D22477" t="s">
        <v>79720</v>
      </c>
      <c r="E22477" t="s">
        <v>79721</v>
      </c>
      <c r="F22477" t="s">
        <v>307</v>
      </c>
      <c r="G22477" t="s">
        <v>123</v>
      </c>
      <c r="H22477">
        <v>20743</v>
      </c>
      <c r="I22477" t="s">
        <v>30</v>
      </c>
      <c r="J22477" t="s">
        <v>171</v>
      </c>
      <c r="K22477" t="s">
        <v>1450</v>
      </c>
      <c r="N22477" t="s">
        <v>79722</v>
      </c>
      <c r="Q22477">
        <v>0</v>
      </c>
      <c r="R22477">
        <v>112</v>
      </c>
      <c r="S22477">
        <v>0</v>
      </c>
      <c r="T22477" t="s">
        <v>79723</v>
      </c>
    </row>
    <row r="22478" spans="1:25" customFormat="1" ht="15" x14ac:dyDescent="0.25">
      <c r="A22478" t="s">
        <v>24</v>
      </c>
      <c r="B22478" t="s">
        <v>5079</v>
      </c>
      <c r="C22478" t="str">
        <f>"56972"</f>
        <v>56972</v>
      </c>
      <c r="D22478" t="s">
        <v>79724</v>
      </c>
      <c r="E22478" t="s">
        <v>79725</v>
      </c>
      <c r="F22478" t="s">
        <v>1476</v>
      </c>
      <c r="G22478" t="s">
        <v>99</v>
      </c>
      <c r="H22478">
        <v>14615</v>
      </c>
      <c r="I22478" t="s">
        <v>30</v>
      </c>
      <c r="J22478" t="s">
        <v>171</v>
      </c>
      <c r="K22478" t="s">
        <v>1450</v>
      </c>
      <c r="N22478" t="s">
        <v>3486</v>
      </c>
      <c r="O22478" t="s">
        <v>79726</v>
      </c>
      <c r="Q22478">
        <v>0</v>
      </c>
      <c r="R22478">
        <v>90</v>
      </c>
      <c r="S22478">
        <v>0</v>
      </c>
      <c r="T22478" t="s">
        <v>79727</v>
      </c>
    </row>
    <row r="22479" spans="1:25" customFormat="1" ht="15" x14ac:dyDescent="0.25">
      <c r="A22479" t="s">
        <v>24</v>
      </c>
      <c r="B22479" t="s">
        <v>4400</v>
      </c>
      <c r="C22479" t="str">
        <f>"56864"</f>
        <v>56864</v>
      </c>
      <c r="D22479" t="s">
        <v>79728</v>
      </c>
      <c r="E22479" t="s">
        <v>79729</v>
      </c>
      <c r="F22479" t="s">
        <v>61607</v>
      </c>
      <c r="G22479" t="s">
        <v>214</v>
      </c>
      <c r="H22479">
        <v>27804</v>
      </c>
      <c r="I22479" t="s">
        <v>30</v>
      </c>
      <c r="J22479" t="s">
        <v>171</v>
      </c>
      <c r="K22479" t="s">
        <v>1450</v>
      </c>
      <c r="N22479" t="s">
        <v>79730</v>
      </c>
      <c r="Q22479">
        <v>0</v>
      </c>
      <c r="R22479">
        <v>78</v>
      </c>
      <c r="S22479">
        <v>0</v>
      </c>
      <c r="T22479" t="s">
        <v>79731</v>
      </c>
    </row>
    <row r="22480" spans="1:25" customFormat="1" ht="15" x14ac:dyDescent="0.25">
      <c r="A22480" t="s">
        <v>24</v>
      </c>
      <c r="B22480" t="s">
        <v>60077</v>
      </c>
      <c r="C22480" t="str">
        <f>"56617"</f>
        <v>56617</v>
      </c>
      <c r="D22480" t="s">
        <v>79732</v>
      </c>
      <c r="E22480" t="s">
        <v>79733</v>
      </c>
      <c r="F22480" t="s">
        <v>3059</v>
      </c>
      <c r="G22480" t="s">
        <v>52</v>
      </c>
      <c r="H22480">
        <v>78664</v>
      </c>
      <c r="I22480" t="s">
        <v>30</v>
      </c>
      <c r="J22480" t="s">
        <v>171</v>
      </c>
      <c r="K22480" t="s">
        <v>1450</v>
      </c>
      <c r="N22480" t="s">
        <v>79734</v>
      </c>
      <c r="O22480" t="s">
        <v>79735</v>
      </c>
      <c r="Q22480">
        <v>0</v>
      </c>
      <c r="R22480">
        <v>96</v>
      </c>
      <c r="S22480">
        <v>0</v>
      </c>
      <c r="T22480" t="s">
        <v>79736</v>
      </c>
    </row>
    <row r="22481" spans="1:20" customFormat="1" ht="15" x14ac:dyDescent="0.25">
      <c r="A22481" t="s">
        <v>24</v>
      </c>
      <c r="B22481" t="s">
        <v>55506</v>
      </c>
      <c r="C22481" t="str">
        <f>"56988"</f>
        <v>56988</v>
      </c>
      <c r="D22481" t="s">
        <v>79741</v>
      </c>
      <c r="E22481" t="s">
        <v>79742</v>
      </c>
      <c r="F22481" t="s">
        <v>3517</v>
      </c>
      <c r="G22481" t="s">
        <v>110</v>
      </c>
      <c r="H22481">
        <v>95833</v>
      </c>
      <c r="I22481" t="s">
        <v>30</v>
      </c>
      <c r="J22481" t="s">
        <v>171</v>
      </c>
      <c r="K22481" t="s">
        <v>1450</v>
      </c>
      <c r="N22481" t="s">
        <v>79743</v>
      </c>
      <c r="Q22481">
        <v>0</v>
      </c>
      <c r="R22481">
        <v>126</v>
      </c>
      <c r="S22481">
        <v>0</v>
      </c>
      <c r="T22481" t="s">
        <v>79744</v>
      </c>
    </row>
    <row r="22482" spans="1:20" customFormat="1" ht="15" x14ac:dyDescent="0.25">
      <c r="A22482" t="s">
        <v>24</v>
      </c>
      <c r="B22482" t="s">
        <v>1138</v>
      </c>
      <c r="C22482" t="str">
        <f>"A0117346"</f>
        <v>A0117346</v>
      </c>
      <c r="D22482" t="s">
        <v>79745</v>
      </c>
      <c r="E22482" t="s">
        <v>79746</v>
      </c>
      <c r="F22482" t="s">
        <v>67686</v>
      </c>
      <c r="G22482" t="s">
        <v>110</v>
      </c>
      <c r="H22482">
        <v>95678</v>
      </c>
      <c r="I22482" t="s">
        <v>30</v>
      </c>
      <c r="J22482" t="s">
        <v>171</v>
      </c>
      <c r="K22482" t="s">
        <v>1450</v>
      </c>
      <c r="N22482" t="s">
        <v>79747</v>
      </c>
      <c r="O22482" t="s">
        <v>79748</v>
      </c>
      <c r="Q22482">
        <v>0</v>
      </c>
      <c r="R22482">
        <v>104</v>
      </c>
      <c r="S22482">
        <v>0</v>
      </c>
      <c r="T22482" t="s">
        <v>192</v>
      </c>
    </row>
    <row r="22483" spans="1:20" customFormat="1" ht="15" x14ac:dyDescent="0.25">
      <c r="A22483" t="s">
        <v>24</v>
      </c>
      <c r="B22483" t="s">
        <v>64941</v>
      </c>
      <c r="C22483" t="str">
        <f>"A0075752"</f>
        <v>A0075752</v>
      </c>
      <c r="D22483" t="s">
        <v>79749</v>
      </c>
      <c r="E22483" t="s">
        <v>79750</v>
      </c>
      <c r="F22483" t="s">
        <v>79751</v>
      </c>
      <c r="G22483" t="s">
        <v>117</v>
      </c>
      <c r="H22483">
        <v>48604</v>
      </c>
      <c r="I22483" t="s">
        <v>30</v>
      </c>
      <c r="J22483" t="s">
        <v>171</v>
      </c>
      <c r="K22483" t="s">
        <v>1450</v>
      </c>
      <c r="N22483" t="s">
        <v>79752</v>
      </c>
      <c r="O22483" t="s">
        <v>79753</v>
      </c>
      <c r="Q22483">
        <v>0</v>
      </c>
      <c r="R22483">
        <v>68</v>
      </c>
      <c r="S22483">
        <v>0</v>
      </c>
      <c r="T22483" t="s">
        <v>79754</v>
      </c>
    </row>
    <row r="22484" spans="1:20" customFormat="1" ht="15" x14ac:dyDescent="0.25">
      <c r="A22484" t="s">
        <v>24</v>
      </c>
      <c r="B22484" t="s">
        <v>4400</v>
      </c>
      <c r="C22484" t="str">
        <f>"A0083426"</f>
        <v>A0083426</v>
      </c>
      <c r="D22484" t="s">
        <v>79755</v>
      </c>
      <c r="E22484" t="s">
        <v>79756</v>
      </c>
      <c r="F22484" t="s">
        <v>61663</v>
      </c>
      <c r="G22484" t="s">
        <v>123</v>
      </c>
      <c r="H22484">
        <v>21801</v>
      </c>
      <c r="I22484" t="s">
        <v>30</v>
      </c>
      <c r="J22484" t="s">
        <v>171</v>
      </c>
      <c r="K22484" t="s">
        <v>1450</v>
      </c>
      <c r="Q22484">
        <v>0</v>
      </c>
      <c r="R22484">
        <v>84</v>
      </c>
      <c r="S22484">
        <v>0</v>
      </c>
      <c r="T22484" t="s">
        <v>79757</v>
      </c>
    </row>
    <row r="22485" spans="1:20" customFormat="1" ht="15" x14ac:dyDescent="0.25">
      <c r="A22485" t="s">
        <v>24</v>
      </c>
      <c r="B22485" t="s">
        <v>675</v>
      </c>
      <c r="C22485" t="str">
        <f>"57438"</f>
        <v>57438</v>
      </c>
      <c r="D22485" t="s">
        <v>79758</v>
      </c>
      <c r="E22485" t="s">
        <v>79759</v>
      </c>
      <c r="F22485" t="s">
        <v>4541</v>
      </c>
      <c r="G22485" t="s">
        <v>153</v>
      </c>
      <c r="H22485">
        <v>84121</v>
      </c>
      <c r="I22485" t="s">
        <v>30</v>
      </c>
      <c r="J22485" t="s">
        <v>171</v>
      </c>
      <c r="K22485" t="s">
        <v>1450</v>
      </c>
      <c r="N22485" t="s">
        <v>79760</v>
      </c>
      <c r="Q22485">
        <v>0</v>
      </c>
      <c r="R22485">
        <v>144</v>
      </c>
      <c r="S22485">
        <v>0</v>
      </c>
      <c r="T22485" t="s">
        <v>79761</v>
      </c>
    </row>
    <row r="22486" spans="1:20" customFormat="1" ht="15" x14ac:dyDescent="0.25">
      <c r="A22486" t="s">
        <v>24</v>
      </c>
      <c r="B22486" t="s">
        <v>2368</v>
      </c>
      <c r="C22486" t="str">
        <f>"A0093381"</f>
        <v>A0093381</v>
      </c>
      <c r="D22486" t="s">
        <v>79762</v>
      </c>
      <c r="E22486" t="s">
        <v>79763</v>
      </c>
      <c r="F22486" t="s">
        <v>79764</v>
      </c>
      <c r="G22486" t="s">
        <v>153</v>
      </c>
      <c r="H22486">
        <v>84107</v>
      </c>
      <c r="I22486" t="s">
        <v>30</v>
      </c>
      <c r="J22486" t="s">
        <v>171</v>
      </c>
      <c r="K22486" t="s">
        <v>1450</v>
      </c>
      <c r="N22486" t="s">
        <v>79765</v>
      </c>
      <c r="Q22486">
        <v>0</v>
      </c>
      <c r="R22486">
        <v>136</v>
      </c>
      <c r="S22486">
        <v>0</v>
      </c>
      <c r="T22486" t="s">
        <v>79766</v>
      </c>
    </row>
    <row r="22487" spans="1:20" customFormat="1" ht="15" x14ac:dyDescent="0.25">
      <c r="A22487" t="s">
        <v>24</v>
      </c>
      <c r="B22487" t="s">
        <v>675</v>
      </c>
      <c r="C22487" t="str">
        <f>"57317"</f>
        <v>57317</v>
      </c>
      <c r="D22487" t="s">
        <v>79767</v>
      </c>
      <c r="E22487" t="s">
        <v>79768</v>
      </c>
      <c r="F22487" t="s">
        <v>356</v>
      </c>
      <c r="G22487" t="s">
        <v>52</v>
      </c>
      <c r="H22487">
        <v>78209</v>
      </c>
      <c r="I22487" t="s">
        <v>30</v>
      </c>
      <c r="J22487" t="s">
        <v>171</v>
      </c>
      <c r="K22487" t="s">
        <v>1450</v>
      </c>
      <c r="N22487" t="s">
        <v>3486</v>
      </c>
      <c r="O22487" t="s">
        <v>79769</v>
      </c>
      <c r="Q22487">
        <v>0</v>
      </c>
      <c r="R22487">
        <v>120</v>
      </c>
      <c r="S22487">
        <v>0</v>
      </c>
      <c r="T22487" t="s">
        <v>79770</v>
      </c>
    </row>
    <row r="22488" spans="1:20" customFormat="1" ht="15" x14ac:dyDescent="0.25">
      <c r="A22488" t="s">
        <v>24</v>
      </c>
      <c r="B22488" t="s">
        <v>4400</v>
      </c>
      <c r="C22488" t="str">
        <f>"A0076658"</f>
        <v>A0076658</v>
      </c>
      <c r="D22488" t="s">
        <v>79771</v>
      </c>
      <c r="E22488" t="s">
        <v>79772</v>
      </c>
      <c r="F22488" t="s">
        <v>356</v>
      </c>
      <c r="G22488" t="s">
        <v>52</v>
      </c>
      <c r="H22488">
        <v>78258</v>
      </c>
      <c r="I22488" t="s">
        <v>30</v>
      </c>
      <c r="J22488" t="s">
        <v>171</v>
      </c>
      <c r="K22488" t="s">
        <v>1450</v>
      </c>
      <c r="N22488" t="s">
        <v>79773</v>
      </c>
      <c r="O22488" t="s">
        <v>79774</v>
      </c>
      <c r="Q22488">
        <v>0</v>
      </c>
      <c r="R22488">
        <v>88</v>
      </c>
      <c r="S22488">
        <v>0</v>
      </c>
      <c r="T22488" t="s">
        <v>79775</v>
      </c>
    </row>
    <row r="22489" spans="1:20" customFormat="1" ht="15" x14ac:dyDescent="0.25">
      <c r="A22489" t="s">
        <v>24</v>
      </c>
      <c r="B22489" t="s">
        <v>13679</v>
      </c>
      <c r="C22489" t="str">
        <f>"56626"</f>
        <v>56626</v>
      </c>
      <c r="D22489" t="s">
        <v>79776</v>
      </c>
      <c r="E22489" t="s">
        <v>79777</v>
      </c>
      <c r="F22489" t="s">
        <v>2978</v>
      </c>
      <c r="G22489" t="s">
        <v>110</v>
      </c>
      <c r="H22489">
        <v>92101</v>
      </c>
      <c r="I22489" t="s">
        <v>30</v>
      </c>
      <c r="J22489" t="s">
        <v>171</v>
      </c>
      <c r="K22489" t="s">
        <v>1450</v>
      </c>
      <c r="N22489" t="s">
        <v>79778</v>
      </c>
      <c r="Q22489">
        <v>0</v>
      </c>
      <c r="R22489">
        <v>121</v>
      </c>
      <c r="S22489">
        <v>0</v>
      </c>
      <c r="T22489" t="s">
        <v>79779</v>
      </c>
    </row>
    <row r="22490" spans="1:20" customFormat="1" ht="15" hidden="1" x14ac:dyDescent="0.25">
      <c r="A22490" t="s">
        <v>24</v>
      </c>
      <c r="B22490" t="s">
        <v>675</v>
      </c>
      <c r="C22490" t="str">
        <f>"A0096704"</f>
        <v>A0096704</v>
      </c>
      <c r="D22490" t="s">
        <v>85547</v>
      </c>
      <c r="E22490" t="s">
        <v>85548</v>
      </c>
      <c r="F22490" t="s">
        <v>59059</v>
      </c>
      <c r="G22490" t="s">
        <v>1457</v>
      </c>
      <c r="H22490" t="s">
        <v>85549</v>
      </c>
      <c r="I22490" t="s">
        <v>1459</v>
      </c>
      <c r="J22490" t="s">
        <v>162</v>
      </c>
      <c r="K22490" t="s">
        <v>822</v>
      </c>
      <c r="N22490" t="s">
        <v>85550</v>
      </c>
      <c r="Q22490">
        <v>0</v>
      </c>
      <c r="R22490">
        <v>416</v>
      </c>
      <c r="S22490">
        <v>0</v>
      </c>
      <c r="T22490" t="s">
        <v>85551</v>
      </c>
    </row>
    <row r="22491" spans="1:20" customFormat="1" ht="15" x14ac:dyDescent="0.25">
      <c r="A22491" t="s">
        <v>24</v>
      </c>
      <c r="B22491" t="s">
        <v>675</v>
      </c>
      <c r="C22491" t="str">
        <f>"A0095250"</f>
        <v>A0095250</v>
      </c>
      <c r="D22491" t="s">
        <v>79780</v>
      </c>
      <c r="E22491" t="s">
        <v>79781</v>
      </c>
      <c r="F22491" t="s">
        <v>2978</v>
      </c>
      <c r="G22491" t="s">
        <v>110</v>
      </c>
      <c r="H22491">
        <v>92101</v>
      </c>
      <c r="I22491" t="s">
        <v>30</v>
      </c>
      <c r="J22491" t="s">
        <v>171</v>
      </c>
      <c r="K22491" t="s">
        <v>1450</v>
      </c>
      <c r="N22491" t="s">
        <v>79782</v>
      </c>
      <c r="O22491" t="s">
        <v>79783</v>
      </c>
      <c r="Q22491">
        <v>0</v>
      </c>
      <c r="R22491">
        <v>147</v>
      </c>
      <c r="S22491">
        <v>0</v>
      </c>
      <c r="T22491" t="s">
        <v>79784</v>
      </c>
    </row>
    <row r="22492" spans="1:20" customFormat="1" ht="15" x14ac:dyDescent="0.25">
      <c r="A22492" t="s">
        <v>24</v>
      </c>
      <c r="B22492" t="s">
        <v>2528</v>
      </c>
      <c r="C22492" t="str">
        <f>"A0088403"</f>
        <v>A0088403</v>
      </c>
      <c r="D22492" t="s">
        <v>79785</v>
      </c>
      <c r="E22492" t="s">
        <v>79786</v>
      </c>
      <c r="F22492" t="s">
        <v>2978</v>
      </c>
      <c r="G22492" t="s">
        <v>110</v>
      </c>
      <c r="H22492">
        <v>92101</v>
      </c>
      <c r="I22492" t="s">
        <v>30</v>
      </c>
      <c r="J22492" t="s">
        <v>171</v>
      </c>
      <c r="K22492" t="s">
        <v>1450</v>
      </c>
      <c r="N22492" t="s">
        <v>79787</v>
      </c>
      <c r="Q22492">
        <v>0</v>
      </c>
      <c r="R22492">
        <v>240</v>
      </c>
      <c r="S22492">
        <v>0</v>
      </c>
      <c r="T22492" t="s">
        <v>79788</v>
      </c>
    </row>
    <row r="22493" spans="1:20" customFormat="1" ht="15" x14ac:dyDescent="0.25">
      <c r="A22493" t="s">
        <v>24</v>
      </c>
      <c r="B22493" t="s">
        <v>675</v>
      </c>
      <c r="C22493" t="str">
        <f>"57439"</f>
        <v>57439</v>
      </c>
      <c r="D22493" t="s">
        <v>79789</v>
      </c>
      <c r="E22493" t="s">
        <v>79790</v>
      </c>
      <c r="F22493" t="s">
        <v>2978</v>
      </c>
      <c r="G22493" t="s">
        <v>110</v>
      </c>
      <c r="H22493">
        <v>92121</v>
      </c>
      <c r="I22493" t="s">
        <v>30</v>
      </c>
      <c r="J22493" t="s">
        <v>171</v>
      </c>
      <c r="K22493" t="s">
        <v>1450</v>
      </c>
      <c r="N22493" t="s">
        <v>79791</v>
      </c>
      <c r="O22493" t="s">
        <v>79792</v>
      </c>
      <c r="Q22493">
        <v>0</v>
      </c>
      <c r="R22493">
        <v>150</v>
      </c>
      <c r="S22493">
        <v>0</v>
      </c>
      <c r="T22493" t="s">
        <v>79793</v>
      </c>
    </row>
    <row r="22494" spans="1:20" customFormat="1" ht="15" hidden="1" x14ac:dyDescent="0.25">
      <c r="A22494" t="s">
        <v>24</v>
      </c>
      <c r="B22494" t="s">
        <v>675</v>
      </c>
      <c r="C22494" t="str">
        <f>"A0096864"</f>
        <v>A0096864</v>
      </c>
      <c r="D22494" t="s">
        <v>85565</v>
      </c>
      <c r="E22494" t="s">
        <v>85566</v>
      </c>
      <c r="F22494" t="s">
        <v>10769</v>
      </c>
      <c r="G22494" t="s">
        <v>4481</v>
      </c>
      <c r="H22494">
        <v>44530</v>
      </c>
      <c r="I22494" t="s">
        <v>2408</v>
      </c>
      <c r="J22494" t="s">
        <v>162</v>
      </c>
      <c r="K22494" t="s">
        <v>822</v>
      </c>
      <c r="N22494" t="s">
        <v>85567</v>
      </c>
      <c r="Q22494">
        <v>0</v>
      </c>
      <c r="R22494">
        <v>221</v>
      </c>
      <c r="S22494">
        <v>0</v>
      </c>
      <c r="T22494" t="s">
        <v>85568</v>
      </c>
    </row>
    <row r="22495" spans="1:20" customFormat="1" ht="15" x14ac:dyDescent="0.25">
      <c r="A22495" t="s">
        <v>24</v>
      </c>
      <c r="B22495" t="s">
        <v>675</v>
      </c>
      <c r="C22495" t="str">
        <f>"A0099264"</f>
        <v>A0099264</v>
      </c>
      <c r="D22495" t="s">
        <v>79794</v>
      </c>
      <c r="E22495" t="s">
        <v>79795</v>
      </c>
      <c r="F22495" t="s">
        <v>13465</v>
      </c>
      <c r="G22495" t="s">
        <v>110</v>
      </c>
      <c r="H22495">
        <v>94070</v>
      </c>
      <c r="I22495" t="s">
        <v>30</v>
      </c>
      <c r="J22495" t="s">
        <v>171</v>
      </c>
      <c r="K22495" t="s">
        <v>1450</v>
      </c>
      <c r="N22495" t="s">
        <v>79796</v>
      </c>
      <c r="O22495" t="s">
        <v>79797</v>
      </c>
      <c r="Q22495">
        <v>0</v>
      </c>
      <c r="R22495">
        <v>204</v>
      </c>
      <c r="S22495">
        <v>0</v>
      </c>
      <c r="T22495" t="s">
        <v>79798</v>
      </c>
    </row>
    <row r="22496" spans="1:20" customFormat="1" ht="15" hidden="1" x14ac:dyDescent="0.25">
      <c r="A22496" t="s">
        <v>24</v>
      </c>
      <c r="B22496" t="s">
        <v>675</v>
      </c>
      <c r="C22496" t="str">
        <f>"A0076214"</f>
        <v>A0076214</v>
      </c>
      <c r="D22496" t="s">
        <v>85573</v>
      </c>
      <c r="E22496" t="s">
        <v>85574</v>
      </c>
      <c r="F22496" t="s">
        <v>13197</v>
      </c>
      <c r="G22496" t="s">
        <v>2206</v>
      </c>
      <c r="H22496" t="s">
        <v>85575</v>
      </c>
      <c r="I22496" t="s">
        <v>1459</v>
      </c>
      <c r="J22496" t="s">
        <v>162</v>
      </c>
      <c r="K22496" t="s">
        <v>822</v>
      </c>
      <c r="N22496" t="s">
        <v>85576</v>
      </c>
      <c r="O22496" t="s">
        <v>85577</v>
      </c>
      <c r="Q22496">
        <v>0</v>
      </c>
      <c r="R22496">
        <v>977</v>
      </c>
      <c r="S22496">
        <v>0</v>
      </c>
      <c r="T22496" t="s">
        <v>85578</v>
      </c>
    </row>
    <row r="22497" spans="1:20" customFormat="1" ht="15" x14ac:dyDescent="0.25">
      <c r="A22497" t="s">
        <v>24</v>
      </c>
      <c r="B22497" t="s">
        <v>79799</v>
      </c>
      <c r="C22497" t="str">
        <f>"A0097766"</f>
        <v>A0097766</v>
      </c>
      <c r="D22497" t="s">
        <v>79800</v>
      </c>
      <c r="E22497" t="s">
        <v>79801</v>
      </c>
      <c r="F22497" t="s">
        <v>55758</v>
      </c>
      <c r="G22497" t="s">
        <v>110</v>
      </c>
      <c r="H22497">
        <v>95014</v>
      </c>
      <c r="I22497" t="s">
        <v>30</v>
      </c>
      <c r="J22497" t="s">
        <v>171</v>
      </c>
      <c r="K22497" t="s">
        <v>1450</v>
      </c>
      <c r="N22497" t="s">
        <v>79802</v>
      </c>
      <c r="O22497" t="s">
        <v>79803</v>
      </c>
      <c r="Q22497">
        <v>0</v>
      </c>
      <c r="R22497">
        <v>180</v>
      </c>
      <c r="S22497">
        <v>0</v>
      </c>
      <c r="T22497" t="s">
        <v>79804</v>
      </c>
    </row>
    <row r="22498" spans="1:20" customFormat="1" ht="15" x14ac:dyDescent="0.25">
      <c r="A22498" t="s">
        <v>24</v>
      </c>
      <c r="B22498" t="s">
        <v>2221</v>
      </c>
      <c r="C22498" t="str">
        <f>"57447"</f>
        <v>57447</v>
      </c>
      <c r="D22498" t="s">
        <v>79809</v>
      </c>
      <c r="E22498" t="s">
        <v>79810</v>
      </c>
      <c r="F22498" t="s">
        <v>1153</v>
      </c>
      <c r="G22498" t="s">
        <v>110</v>
      </c>
      <c r="H22498">
        <v>94560</v>
      </c>
      <c r="I22498" t="s">
        <v>30</v>
      </c>
      <c r="J22498" t="s">
        <v>171</v>
      </c>
      <c r="K22498" t="s">
        <v>1450</v>
      </c>
      <c r="N22498" t="s">
        <v>79811</v>
      </c>
      <c r="O22498" t="s">
        <v>79812</v>
      </c>
      <c r="Q22498">
        <v>0</v>
      </c>
      <c r="R22498">
        <v>168</v>
      </c>
      <c r="S22498">
        <v>0</v>
      </c>
      <c r="T22498" t="s">
        <v>79813</v>
      </c>
    </row>
    <row r="22499" spans="1:20" customFormat="1" ht="15" x14ac:dyDescent="0.25">
      <c r="A22499" t="s">
        <v>24</v>
      </c>
      <c r="B22499" t="s">
        <v>4459</v>
      </c>
      <c r="C22499" t="str">
        <f>"A0146667"</f>
        <v>A0146667</v>
      </c>
      <c r="D22499" t="s">
        <v>79814</v>
      </c>
      <c r="E22499" t="s">
        <v>65477</v>
      </c>
      <c r="F22499" t="s">
        <v>4802</v>
      </c>
      <c r="G22499" t="s">
        <v>110</v>
      </c>
      <c r="H22499">
        <v>95002</v>
      </c>
      <c r="I22499" t="s">
        <v>30</v>
      </c>
      <c r="J22499" t="s">
        <v>171</v>
      </c>
      <c r="K22499" t="s">
        <v>1450</v>
      </c>
      <c r="N22499" t="s">
        <v>65478</v>
      </c>
      <c r="O22499" t="s">
        <v>79815</v>
      </c>
      <c r="Q22499">
        <v>0</v>
      </c>
      <c r="R22499">
        <v>147</v>
      </c>
      <c r="S22499">
        <v>0</v>
      </c>
      <c r="T22499" t="s">
        <v>65479</v>
      </c>
    </row>
    <row r="22500" spans="1:20" customFormat="1" ht="15" x14ac:dyDescent="0.25">
      <c r="A22500" t="s">
        <v>24</v>
      </c>
      <c r="B22500" t="s">
        <v>675</v>
      </c>
      <c r="C22500" t="str">
        <f>"A0090884"</f>
        <v>A0090884</v>
      </c>
      <c r="D22500" t="s">
        <v>79816</v>
      </c>
      <c r="E22500" t="s">
        <v>79817</v>
      </c>
      <c r="F22500" t="s">
        <v>79818</v>
      </c>
      <c r="G22500" t="s">
        <v>110</v>
      </c>
      <c r="H22500">
        <v>92675</v>
      </c>
      <c r="I22500" t="s">
        <v>30</v>
      </c>
      <c r="J22500" t="s">
        <v>171</v>
      </c>
      <c r="K22500" t="s">
        <v>1450</v>
      </c>
      <c r="N22500" t="s">
        <v>79819</v>
      </c>
      <c r="Q22500">
        <v>0</v>
      </c>
      <c r="R22500">
        <v>130</v>
      </c>
      <c r="S22500">
        <v>0</v>
      </c>
      <c r="T22500" t="s">
        <v>79820</v>
      </c>
    </row>
    <row r="22501" spans="1:20" customFormat="1" ht="15" x14ac:dyDescent="0.25">
      <c r="A22501" t="s">
        <v>24</v>
      </c>
      <c r="B22501" t="s">
        <v>2528</v>
      </c>
      <c r="C22501" t="str">
        <f>"57408"</f>
        <v>57408</v>
      </c>
      <c r="D22501" t="s">
        <v>79821</v>
      </c>
      <c r="E22501" t="s">
        <v>79822</v>
      </c>
      <c r="F22501" t="s">
        <v>10157</v>
      </c>
      <c r="G22501" t="s">
        <v>110</v>
      </c>
      <c r="H22501">
        <v>94404</v>
      </c>
      <c r="I22501" t="s">
        <v>30</v>
      </c>
      <c r="J22501" t="s">
        <v>171</v>
      </c>
      <c r="K22501" t="s">
        <v>1450</v>
      </c>
      <c r="N22501" t="s">
        <v>79823</v>
      </c>
      <c r="Q22501">
        <v>0</v>
      </c>
      <c r="R22501">
        <v>159</v>
      </c>
      <c r="S22501">
        <v>0</v>
      </c>
      <c r="T22501" t="s">
        <v>79824</v>
      </c>
    </row>
    <row r="22502" spans="1:20" customFormat="1" ht="15" x14ac:dyDescent="0.25">
      <c r="A22502" t="s">
        <v>24</v>
      </c>
      <c r="B22502" t="s">
        <v>675</v>
      </c>
      <c r="C22502" t="str">
        <f>"57415"</f>
        <v>57415</v>
      </c>
      <c r="D22502" t="s">
        <v>79825</v>
      </c>
      <c r="E22502" t="s">
        <v>79826</v>
      </c>
      <c r="F22502" t="s">
        <v>73101</v>
      </c>
      <c r="G22502" t="s">
        <v>110</v>
      </c>
      <c r="H22502">
        <v>94583</v>
      </c>
      <c r="I22502" t="s">
        <v>30</v>
      </c>
      <c r="J22502" t="s">
        <v>171</v>
      </c>
      <c r="K22502" t="s">
        <v>1450</v>
      </c>
      <c r="N22502" t="s">
        <v>79827</v>
      </c>
      <c r="Q22502">
        <v>0</v>
      </c>
      <c r="R22502">
        <v>106</v>
      </c>
      <c r="S22502">
        <v>0</v>
      </c>
      <c r="T22502" t="s">
        <v>79828</v>
      </c>
    </row>
    <row r="22503" spans="1:20" customFormat="1" ht="15" x14ac:dyDescent="0.25">
      <c r="A22503" t="s">
        <v>24</v>
      </c>
      <c r="B22503" t="s">
        <v>13299</v>
      </c>
      <c r="C22503" t="str">
        <f>"A0088283"</f>
        <v>A0088283</v>
      </c>
      <c r="D22503" t="s">
        <v>79829</v>
      </c>
      <c r="E22503" t="s">
        <v>79830</v>
      </c>
      <c r="F22503" t="s">
        <v>177</v>
      </c>
      <c r="G22503" t="s">
        <v>81</v>
      </c>
      <c r="H22503">
        <v>33908</v>
      </c>
      <c r="I22503" t="s">
        <v>30</v>
      </c>
      <c r="J22503" t="s">
        <v>171</v>
      </c>
      <c r="K22503" t="s">
        <v>1450</v>
      </c>
      <c r="N22503" t="s">
        <v>79831</v>
      </c>
      <c r="O22503" t="s">
        <v>79832</v>
      </c>
      <c r="Q22503">
        <v>0</v>
      </c>
      <c r="R22503">
        <v>127</v>
      </c>
      <c r="S22503">
        <v>0</v>
      </c>
      <c r="T22503" t="s">
        <v>79833</v>
      </c>
    </row>
    <row r="22504" spans="1:20" customFormat="1" ht="15" x14ac:dyDescent="0.25">
      <c r="A22504" t="s">
        <v>24</v>
      </c>
      <c r="B22504" t="s">
        <v>675</v>
      </c>
      <c r="C22504" t="str">
        <f>"A0098875"</f>
        <v>A0098875</v>
      </c>
      <c r="D22504" t="s">
        <v>79834</v>
      </c>
      <c r="E22504" t="s">
        <v>79835</v>
      </c>
      <c r="F22504" t="s">
        <v>979</v>
      </c>
      <c r="G22504" t="s">
        <v>110</v>
      </c>
      <c r="H22504">
        <v>93117</v>
      </c>
      <c r="I22504" t="s">
        <v>30</v>
      </c>
      <c r="J22504" t="s">
        <v>171</v>
      </c>
      <c r="K22504" t="s">
        <v>1450</v>
      </c>
      <c r="N22504" t="s">
        <v>61767</v>
      </c>
      <c r="Q22504">
        <v>0</v>
      </c>
      <c r="R22504">
        <v>118</v>
      </c>
      <c r="S22504">
        <v>0</v>
      </c>
      <c r="T22504" t="s">
        <v>79836</v>
      </c>
    </row>
    <row r="22505" spans="1:20" customFormat="1" ht="15" x14ac:dyDescent="0.25">
      <c r="A22505" t="s">
        <v>24</v>
      </c>
      <c r="B22505" t="s">
        <v>13679</v>
      </c>
      <c r="C22505" t="str">
        <f>"56940"</f>
        <v>56940</v>
      </c>
      <c r="D22505" t="s">
        <v>79837</v>
      </c>
      <c r="E22505" t="s">
        <v>79838</v>
      </c>
      <c r="F22505" t="s">
        <v>66044</v>
      </c>
      <c r="G22505" t="s">
        <v>110</v>
      </c>
      <c r="H22505">
        <v>91381</v>
      </c>
      <c r="I22505" t="s">
        <v>30</v>
      </c>
      <c r="J22505" t="s">
        <v>171</v>
      </c>
      <c r="K22505" t="s">
        <v>1450</v>
      </c>
      <c r="N22505" t="s">
        <v>66045</v>
      </c>
      <c r="Q22505">
        <v>0</v>
      </c>
      <c r="R22505">
        <v>90</v>
      </c>
      <c r="S22505">
        <v>0</v>
      </c>
      <c r="T22505" t="s">
        <v>79839</v>
      </c>
    </row>
    <row r="22506" spans="1:20" customFormat="1" ht="15" x14ac:dyDescent="0.25">
      <c r="A22506" t="s">
        <v>24</v>
      </c>
      <c r="B22506" t="s">
        <v>342</v>
      </c>
      <c r="C22506" t="str">
        <f>"56967"</f>
        <v>56967</v>
      </c>
      <c r="D22506" t="s">
        <v>79840</v>
      </c>
      <c r="E22506" t="s">
        <v>79841</v>
      </c>
      <c r="F22506" t="s">
        <v>709</v>
      </c>
      <c r="G22506" t="s">
        <v>81</v>
      </c>
      <c r="H22506">
        <v>34234</v>
      </c>
      <c r="I22506" t="s">
        <v>30</v>
      </c>
      <c r="J22506" t="s">
        <v>171</v>
      </c>
      <c r="K22506" t="s">
        <v>1450</v>
      </c>
      <c r="N22506" t="s">
        <v>79842</v>
      </c>
      <c r="Q22506">
        <v>0</v>
      </c>
      <c r="R22506">
        <v>78</v>
      </c>
      <c r="S22506">
        <v>0</v>
      </c>
      <c r="T22506" t="s">
        <v>79843</v>
      </c>
    </row>
    <row r="22507" spans="1:20" customFormat="1" ht="15" x14ac:dyDescent="0.25">
      <c r="A22507" t="s">
        <v>24</v>
      </c>
      <c r="B22507" t="s">
        <v>342</v>
      </c>
      <c r="C22507" t="str">
        <f>"56909"</f>
        <v>56909</v>
      </c>
      <c r="D22507" t="s">
        <v>79844</v>
      </c>
      <c r="E22507" t="s">
        <v>79845</v>
      </c>
      <c r="F22507" t="s">
        <v>2839</v>
      </c>
      <c r="G22507" t="s">
        <v>846</v>
      </c>
      <c r="H22507">
        <v>31405</v>
      </c>
      <c r="I22507" t="s">
        <v>30</v>
      </c>
      <c r="J22507" t="s">
        <v>171</v>
      </c>
      <c r="K22507" t="s">
        <v>1450</v>
      </c>
      <c r="N22507" t="s">
        <v>79846</v>
      </c>
      <c r="Q22507">
        <v>0</v>
      </c>
      <c r="R22507">
        <v>66</v>
      </c>
      <c r="S22507">
        <v>0</v>
      </c>
      <c r="T22507" t="s">
        <v>79847</v>
      </c>
    </row>
    <row r="22508" spans="1:20" customFormat="1" ht="15" x14ac:dyDescent="0.25">
      <c r="A22508" t="s">
        <v>24</v>
      </c>
      <c r="B22508" t="s">
        <v>11027</v>
      </c>
      <c r="C22508" t="str">
        <f>"A0094340"</f>
        <v>A0094340</v>
      </c>
      <c r="D22508" t="s">
        <v>79848</v>
      </c>
      <c r="E22508" t="s">
        <v>79849</v>
      </c>
      <c r="F22508" t="s">
        <v>11286</v>
      </c>
      <c r="G22508" t="s">
        <v>846</v>
      </c>
      <c r="H22508">
        <v>31322</v>
      </c>
      <c r="I22508" t="s">
        <v>30</v>
      </c>
      <c r="J22508" t="s">
        <v>171</v>
      </c>
      <c r="K22508" t="s">
        <v>1450</v>
      </c>
      <c r="Q22508">
        <v>0</v>
      </c>
      <c r="R22508">
        <v>117</v>
      </c>
      <c r="S22508">
        <v>0</v>
      </c>
      <c r="T22508" t="s">
        <v>79850</v>
      </c>
    </row>
    <row r="22509" spans="1:20" customFormat="1" ht="15" x14ac:dyDescent="0.25">
      <c r="A22509" t="s">
        <v>24</v>
      </c>
      <c r="B22509" t="s">
        <v>342</v>
      </c>
      <c r="C22509" t="str">
        <f>"A0088228"</f>
        <v>A0088228</v>
      </c>
      <c r="D22509" t="s">
        <v>79851</v>
      </c>
      <c r="E22509" t="s">
        <v>79852</v>
      </c>
      <c r="F22509" t="s">
        <v>2839</v>
      </c>
      <c r="G22509" t="s">
        <v>846</v>
      </c>
      <c r="H22509">
        <v>31401</v>
      </c>
      <c r="I22509" t="s">
        <v>30</v>
      </c>
      <c r="J22509" t="s">
        <v>171</v>
      </c>
      <c r="K22509" t="s">
        <v>1450</v>
      </c>
      <c r="N22509" t="s">
        <v>79853</v>
      </c>
      <c r="O22509" t="s">
        <v>79854</v>
      </c>
      <c r="Q22509">
        <v>0</v>
      </c>
      <c r="R22509">
        <v>109</v>
      </c>
      <c r="S22509">
        <v>0</v>
      </c>
      <c r="T22509" t="s">
        <v>79855</v>
      </c>
    </row>
    <row r="22510" spans="1:20" customFormat="1" ht="15" x14ac:dyDescent="0.25">
      <c r="A22510" t="s">
        <v>24</v>
      </c>
      <c r="B22510" t="s">
        <v>675</v>
      </c>
      <c r="C22510" t="str">
        <f>"A0153092"</f>
        <v>A0153092</v>
      </c>
      <c r="D22510" t="s">
        <v>79856</v>
      </c>
      <c r="E22510" t="s">
        <v>79857</v>
      </c>
      <c r="F22510" t="s">
        <v>2014</v>
      </c>
      <c r="G22510" t="s">
        <v>197</v>
      </c>
      <c r="H22510">
        <v>85250</v>
      </c>
      <c r="I22510" t="s">
        <v>30</v>
      </c>
      <c r="J22510" t="s">
        <v>171</v>
      </c>
      <c r="K22510" t="s">
        <v>1450</v>
      </c>
      <c r="N22510" t="s">
        <v>61804</v>
      </c>
      <c r="Q22510">
        <v>0</v>
      </c>
      <c r="R22510">
        <v>111</v>
      </c>
      <c r="S22510">
        <v>0</v>
      </c>
      <c r="T22510" t="s">
        <v>79858</v>
      </c>
    </row>
    <row r="22511" spans="1:20" customFormat="1" ht="15" x14ac:dyDescent="0.25">
      <c r="A22511" t="s">
        <v>24</v>
      </c>
      <c r="B22511" t="s">
        <v>1583</v>
      </c>
      <c r="C22511" t="str">
        <f>"A0098358"</f>
        <v>A0098358</v>
      </c>
      <c r="D22511" t="s">
        <v>85641</v>
      </c>
      <c r="E22511" t="s">
        <v>85642</v>
      </c>
      <c r="F22511" t="s">
        <v>3995</v>
      </c>
      <c r="G22511" t="s">
        <v>110</v>
      </c>
      <c r="H22511">
        <v>92270</v>
      </c>
      <c r="I22511" t="s">
        <v>30</v>
      </c>
      <c r="J22511" t="s">
        <v>2544</v>
      </c>
      <c r="K22511" t="s">
        <v>85643</v>
      </c>
      <c r="N22511" t="s">
        <v>85644</v>
      </c>
      <c r="O22511" t="s">
        <v>85645</v>
      </c>
      <c r="Q22511">
        <v>0</v>
      </c>
      <c r="R22511">
        <v>316</v>
      </c>
      <c r="S22511">
        <v>0</v>
      </c>
      <c r="T22511" t="s">
        <v>85646</v>
      </c>
    </row>
    <row r="22512" spans="1:20" customFormat="1" ht="15" x14ac:dyDescent="0.25">
      <c r="A22512" t="s">
        <v>24</v>
      </c>
      <c r="B22512" t="s">
        <v>4400</v>
      </c>
      <c r="C22512" t="str">
        <f>"A0086688"</f>
        <v>A0086688</v>
      </c>
      <c r="D22512" t="s">
        <v>79859</v>
      </c>
      <c r="E22512" t="s">
        <v>79860</v>
      </c>
      <c r="F22512" t="s">
        <v>356</v>
      </c>
      <c r="G22512" t="s">
        <v>52</v>
      </c>
      <c r="H22512">
        <v>78238</v>
      </c>
      <c r="I22512" t="s">
        <v>30</v>
      </c>
      <c r="J22512" t="s">
        <v>171</v>
      </c>
      <c r="K22512" t="s">
        <v>1450</v>
      </c>
      <c r="N22512" t="s">
        <v>79861</v>
      </c>
      <c r="O22512" t="s">
        <v>79862</v>
      </c>
      <c r="Q22512">
        <v>0</v>
      </c>
      <c r="R22512">
        <v>109</v>
      </c>
      <c r="S22512">
        <v>0</v>
      </c>
      <c r="T22512" t="s">
        <v>79863</v>
      </c>
    </row>
    <row r="22513" spans="1:20" customFormat="1" ht="15" x14ac:dyDescent="0.25">
      <c r="A22513" t="s">
        <v>24</v>
      </c>
      <c r="B22513" t="s">
        <v>2528</v>
      </c>
      <c r="C22513" t="str">
        <f>"A0085383"</f>
        <v>A0085383</v>
      </c>
      <c r="D22513" t="s">
        <v>79864</v>
      </c>
      <c r="E22513" t="s">
        <v>79865</v>
      </c>
      <c r="F22513" t="s">
        <v>14497</v>
      </c>
      <c r="G22513" t="s">
        <v>76</v>
      </c>
      <c r="H22513">
        <v>98004</v>
      </c>
      <c r="I22513" t="s">
        <v>30</v>
      </c>
      <c r="J22513" t="s">
        <v>171</v>
      </c>
      <c r="K22513" t="s">
        <v>1450</v>
      </c>
      <c r="N22513" t="s">
        <v>8000</v>
      </c>
      <c r="O22513" t="s">
        <v>79866</v>
      </c>
      <c r="Q22513">
        <v>0</v>
      </c>
      <c r="R22513">
        <v>231</v>
      </c>
      <c r="S22513">
        <v>0</v>
      </c>
      <c r="T22513" t="s">
        <v>79867</v>
      </c>
    </row>
    <row r="22514" spans="1:20" customFormat="1" ht="15" x14ac:dyDescent="0.25">
      <c r="A22514" t="s">
        <v>24</v>
      </c>
      <c r="B22514" t="s">
        <v>8579</v>
      </c>
      <c r="C22514" t="str">
        <f>"A0099475"</f>
        <v>A0099475</v>
      </c>
      <c r="D22514" t="s">
        <v>79868</v>
      </c>
      <c r="E22514" t="s">
        <v>79869</v>
      </c>
      <c r="F22514" t="s">
        <v>2900</v>
      </c>
      <c r="G22514" t="s">
        <v>76</v>
      </c>
      <c r="H22514">
        <v>98101</v>
      </c>
      <c r="I22514" t="s">
        <v>30</v>
      </c>
      <c r="J22514" t="s">
        <v>171</v>
      </c>
      <c r="K22514" t="s">
        <v>1450</v>
      </c>
      <c r="N22514" t="s">
        <v>79870</v>
      </c>
      <c r="O22514" t="s">
        <v>79871</v>
      </c>
      <c r="Q22514">
        <v>0</v>
      </c>
      <c r="R22514">
        <v>302</v>
      </c>
      <c r="S22514">
        <v>0</v>
      </c>
      <c r="T22514" t="s">
        <v>79872</v>
      </c>
    </row>
    <row r="22515" spans="1:20" customFormat="1" ht="15" x14ac:dyDescent="0.25">
      <c r="A22515" t="s">
        <v>24</v>
      </c>
      <c r="B22515" t="s">
        <v>675</v>
      </c>
      <c r="C22515" t="str">
        <f>"57440"</f>
        <v>57440</v>
      </c>
      <c r="D22515" t="s">
        <v>79873</v>
      </c>
      <c r="E22515" t="s">
        <v>79874</v>
      </c>
      <c r="F22515" t="s">
        <v>12824</v>
      </c>
      <c r="G22515" t="s">
        <v>76</v>
      </c>
      <c r="H22515">
        <v>98052</v>
      </c>
      <c r="I22515" t="s">
        <v>30</v>
      </c>
      <c r="J22515" t="s">
        <v>171</v>
      </c>
      <c r="K22515" t="s">
        <v>1450</v>
      </c>
      <c r="N22515" t="s">
        <v>79875</v>
      </c>
      <c r="O22515" t="s">
        <v>79876</v>
      </c>
      <c r="Q22515">
        <v>0</v>
      </c>
      <c r="R22515">
        <v>180</v>
      </c>
      <c r="S22515">
        <v>0</v>
      </c>
      <c r="T22515" t="s">
        <v>79877</v>
      </c>
    </row>
    <row r="22516" spans="1:20" customFormat="1" ht="15" hidden="1" x14ac:dyDescent="0.25">
      <c r="A22516" t="s">
        <v>24</v>
      </c>
      <c r="B22516" t="s">
        <v>675</v>
      </c>
      <c r="C22516" t="str">
        <f>"A0076215"</f>
        <v>A0076215</v>
      </c>
      <c r="D22516" t="s">
        <v>85662</v>
      </c>
      <c r="E22516" t="s">
        <v>85663</v>
      </c>
      <c r="F22516" t="s">
        <v>56045</v>
      </c>
      <c r="G22516" t="s">
        <v>2206</v>
      </c>
      <c r="H22516" t="s">
        <v>85664</v>
      </c>
      <c r="I22516" t="s">
        <v>1459</v>
      </c>
      <c r="J22516" t="s">
        <v>162</v>
      </c>
      <c r="K22516" t="s">
        <v>822</v>
      </c>
      <c r="N22516" t="s">
        <v>85665</v>
      </c>
      <c r="O22516" t="s">
        <v>85666</v>
      </c>
      <c r="Q22516">
        <v>0</v>
      </c>
      <c r="R22516">
        <v>501</v>
      </c>
      <c r="S22516">
        <v>0</v>
      </c>
      <c r="T22516" t="s">
        <v>85667</v>
      </c>
    </row>
    <row r="22517" spans="1:20" customFormat="1" ht="15" x14ac:dyDescent="0.25">
      <c r="A22517" t="s">
        <v>24</v>
      </c>
      <c r="B22517" t="s">
        <v>1561</v>
      </c>
      <c r="C22517" t="str">
        <f>"A0100849"</f>
        <v>A0100849</v>
      </c>
      <c r="D22517" t="s">
        <v>79878</v>
      </c>
      <c r="E22517" t="s">
        <v>79879</v>
      </c>
      <c r="F22517" t="s">
        <v>57869</v>
      </c>
      <c r="G22517" t="s">
        <v>76</v>
      </c>
      <c r="H22517">
        <v>98188</v>
      </c>
      <c r="I22517" t="s">
        <v>30</v>
      </c>
      <c r="J22517" t="s">
        <v>171</v>
      </c>
      <c r="K22517" t="s">
        <v>1450</v>
      </c>
      <c r="N22517" t="s">
        <v>79880</v>
      </c>
      <c r="O22517" t="s">
        <v>79881</v>
      </c>
      <c r="Q22517">
        <v>0</v>
      </c>
      <c r="R22517">
        <v>170</v>
      </c>
      <c r="S22517">
        <v>0</v>
      </c>
      <c r="T22517" t="s">
        <v>79882</v>
      </c>
    </row>
    <row r="22518" spans="1:20" customFormat="1" ht="15" x14ac:dyDescent="0.25">
      <c r="A22518" t="s">
        <v>24</v>
      </c>
      <c r="B22518" t="s">
        <v>1561</v>
      </c>
      <c r="C22518" t="str">
        <f>"A0151763"</f>
        <v>A0151763</v>
      </c>
      <c r="D22518" t="s">
        <v>79883</v>
      </c>
      <c r="E22518" t="s">
        <v>79884</v>
      </c>
      <c r="F22518" t="s">
        <v>53776</v>
      </c>
      <c r="G22518" t="s">
        <v>76</v>
      </c>
      <c r="H22518">
        <v>98057</v>
      </c>
      <c r="I22518" t="s">
        <v>30</v>
      </c>
      <c r="J22518" t="s">
        <v>171</v>
      </c>
      <c r="K22518" t="s">
        <v>1450</v>
      </c>
      <c r="N22518" t="s">
        <v>79885</v>
      </c>
      <c r="Q22518">
        <v>0</v>
      </c>
      <c r="R22518">
        <v>146</v>
      </c>
      <c r="S22518">
        <v>0</v>
      </c>
      <c r="T22518" t="s">
        <v>79886</v>
      </c>
    </row>
    <row r="22519" spans="1:20" customFormat="1" ht="15" x14ac:dyDescent="0.25">
      <c r="A22519" t="s">
        <v>24</v>
      </c>
      <c r="B22519" t="s">
        <v>61811</v>
      </c>
      <c r="C22519" t="str">
        <f>"A0095219"</f>
        <v>A0095219</v>
      </c>
      <c r="D22519" t="s">
        <v>79887</v>
      </c>
      <c r="E22519" t="s">
        <v>79888</v>
      </c>
      <c r="F22519" t="s">
        <v>66834</v>
      </c>
      <c r="G22519" t="s">
        <v>76</v>
      </c>
      <c r="H22519">
        <v>98105</v>
      </c>
      <c r="I22519" t="s">
        <v>30</v>
      </c>
      <c r="J22519" t="s">
        <v>171</v>
      </c>
      <c r="K22519" t="s">
        <v>1450</v>
      </c>
      <c r="N22519" t="s">
        <v>79889</v>
      </c>
      <c r="O22519" t="s">
        <v>79890</v>
      </c>
      <c r="Q22519">
        <v>0</v>
      </c>
      <c r="R22519">
        <v>165</v>
      </c>
      <c r="S22519">
        <v>0</v>
      </c>
      <c r="T22519" t="s">
        <v>79891</v>
      </c>
    </row>
    <row r="22520" spans="1:20" customFormat="1" ht="15" hidden="1" x14ac:dyDescent="0.25">
      <c r="A22520" t="s">
        <v>24</v>
      </c>
      <c r="B22520" t="s">
        <v>675</v>
      </c>
      <c r="C22520" t="str">
        <f>"A0096867"</f>
        <v>A0096867</v>
      </c>
      <c r="D22520" t="s">
        <v>85683</v>
      </c>
      <c r="E22520" t="s">
        <v>85684</v>
      </c>
      <c r="F22520" t="s">
        <v>56051</v>
      </c>
      <c r="G22520" t="s">
        <v>6356</v>
      </c>
      <c r="H22520">
        <v>50308</v>
      </c>
      <c r="I22520" t="s">
        <v>4803</v>
      </c>
      <c r="J22520" t="s">
        <v>162</v>
      </c>
      <c r="K22520" t="s">
        <v>822</v>
      </c>
      <c r="N22520" t="s">
        <v>85685</v>
      </c>
      <c r="O22520" t="s">
        <v>85686</v>
      </c>
      <c r="Q22520">
        <v>0</v>
      </c>
      <c r="R22520">
        <v>557</v>
      </c>
      <c r="S22520">
        <v>0</v>
      </c>
      <c r="T22520" t="s">
        <v>85687</v>
      </c>
    </row>
    <row r="22521" spans="1:20" customFormat="1" ht="15" x14ac:dyDescent="0.25">
      <c r="A22521" t="s">
        <v>24</v>
      </c>
      <c r="B22521" t="s">
        <v>55987</v>
      </c>
      <c r="C22521" t="str">
        <f>"A0083445"</f>
        <v>A0083445</v>
      </c>
      <c r="D22521" t="s">
        <v>79892</v>
      </c>
      <c r="E22521" t="s">
        <v>79893</v>
      </c>
      <c r="F22521" t="s">
        <v>24998</v>
      </c>
      <c r="G22521" t="s">
        <v>81</v>
      </c>
      <c r="H22521">
        <v>33870</v>
      </c>
      <c r="I22521" t="s">
        <v>30</v>
      </c>
      <c r="J22521" t="s">
        <v>171</v>
      </c>
      <c r="K22521" t="s">
        <v>1450</v>
      </c>
      <c r="Q22521">
        <v>0</v>
      </c>
      <c r="R22521">
        <v>80</v>
      </c>
      <c r="S22521">
        <v>0</v>
      </c>
      <c r="T22521" t="s">
        <v>79894</v>
      </c>
    </row>
    <row r="22522" spans="1:20" customFormat="1" ht="15" hidden="1" x14ac:dyDescent="0.25">
      <c r="A22522" t="s">
        <v>24</v>
      </c>
      <c r="B22522" t="s">
        <v>675</v>
      </c>
      <c r="C22522" t="str">
        <f>"A0096845"</f>
        <v>A0096845</v>
      </c>
      <c r="D22522" t="s">
        <v>85692</v>
      </c>
      <c r="E22522" t="s">
        <v>85693</v>
      </c>
      <c r="F22522" t="s">
        <v>5423</v>
      </c>
      <c r="G22522" t="s">
        <v>5424</v>
      </c>
      <c r="H22522">
        <v>77500</v>
      </c>
      <c r="I22522" t="s">
        <v>2408</v>
      </c>
      <c r="J22522" t="s">
        <v>162</v>
      </c>
      <c r="K22522" t="s">
        <v>822</v>
      </c>
      <c r="N22522" t="s">
        <v>85694</v>
      </c>
      <c r="O22522" t="s">
        <v>85695</v>
      </c>
      <c r="Q22522">
        <v>0</v>
      </c>
      <c r="R22522">
        <v>370</v>
      </c>
      <c r="S22522">
        <v>0</v>
      </c>
      <c r="T22522" t="s">
        <v>85696</v>
      </c>
    </row>
    <row r="22523" spans="1:20" customFormat="1" ht="15" hidden="1" x14ac:dyDescent="0.25">
      <c r="A22523" t="s">
        <v>24</v>
      </c>
      <c r="B22523" t="s">
        <v>1583</v>
      </c>
      <c r="C22523" t="str">
        <f>"A0096846"</f>
        <v>A0096846</v>
      </c>
      <c r="D22523" t="s">
        <v>85697</v>
      </c>
      <c r="E22523" t="s">
        <v>85698</v>
      </c>
      <c r="F22523" t="s">
        <v>85699</v>
      </c>
      <c r="G22523" t="s">
        <v>2407</v>
      </c>
      <c r="H22523">
        <v>23400</v>
      </c>
      <c r="I22523" t="s">
        <v>2408</v>
      </c>
      <c r="J22523" t="s">
        <v>2544</v>
      </c>
      <c r="K22523" t="s">
        <v>85643</v>
      </c>
      <c r="N22523" t="s">
        <v>85700</v>
      </c>
      <c r="O22523" t="s">
        <v>85701</v>
      </c>
      <c r="Q22523">
        <v>0</v>
      </c>
      <c r="R22523">
        <v>147</v>
      </c>
      <c r="S22523">
        <v>0</v>
      </c>
      <c r="T22523" t="s">
        <v>85702</v>
      </c>
    </row>
    <row r="22524" spans="1:20" customFormat="1" ht="15" hidden="1" x14ac:dyDescent="0.25">
      <c r="A22524" t="s">
        <v>24</v>
      </c>
      <c r="B22524" t="s">
        <v>675</v>
      </c>
      <c r="C22524" t="str">
        <f>"A0096847"</f>
        <v>A0096847</v>
      </c>
      <c r="D22524" t="s">
        <v>85703</v>
      </c>
      <c r="E22524" t="s">
        <v>85704</v>
      </c>
      <c r="F22524" t="s">
        <v>75917</v>
      </c>
      <c r="G22524" t="s">
        <v>4481</v>
      </c>
      <c r="H22524">
        <v>48354</v>
      </c>
      <c r="I22524" t="s">
        <v>2408</v>
      </c>
      <c r="J22524" t="s">
        <v>162</v>
      </c>
      <c r="K22524" t="s">
        <v>822</v>
      </c>
      <c r="Q22524">
        <v>0</v>
      </c>
      <c r="R22524">
        <v>280</v>
      </c>
      <c r="S22524">
        <v>0</v>
      </c>
      <c r="T22524" t="s">
        <v>85705</v>
      </c>
    </row>
    <row r="22525" spans="1:20" customFormat="1" ht="15" hidden="1" x14ac:dyDescent="0.25">
      <c r="A22525" t="s">
        <v>24</v>
      </c>
      <c r="B22525" t="s">
        <v>85706</v>
      </c>
      <c r="C22525" t="str">
        <f>"A0068927"</f>
        <v>A0068927</v>
      </c>
      <c r="D22525" t="s">
        <v>85707</v>
      </c>
      <c r="E22525" t="s">
        <v>85708</v>
      </c>
      <c r="F22525" t="s">
        <v>62894</v>
      </c>
      <c r="G22525" t="s">
        <v>2270</v>
      </c>
      <c r="H22525" t="s">
        <v>85709</v>
      </c>
      <c r="I22525" t="s">
        <v>1459</v>
      </c>
      <c r="J22525" t="s">
        <v>162</v>
      </c>
      <c r="K22525" t="s">
        <v>822</v>
      </c>
      <c r="N22525" t="s">
        <v>85710</v>
      </c>
      <c r="Q22525">
        <v>0</v>
      </c>
      <c r="R22525">
        <v>419</v>
      </c>
      <c r="S22525">
        <v>0</v>
      </c>
      <c r="T22525" t="s">
        <v>85711</v>
      </c>
    </row>
    <row r="22526" spans="1:20" customFormat="1" ht="15" x14ac:dyDescent="0.25">
      <c r="A22526" t="s">
        <v>24</v>
      </c>
      <c r="B22526" t="s">
        <v>1583</v>
      </c>
      <c r="C22526" t="str">
        <f>"A0098361"</f>
        <v>A0098361</v>
      </c>
      <c r="D22526" t="s">
        <v>85712</v>
      </c>
      <c r="E22526" t="s">
        <v>85713</v>
      </c>
      <c r="F22526" t="s">
        <v>58817</v>
      </c>
      <c r="G22526" t="s">
        <v>190</v>
      </c>
      <c r="H22526">
        <v>81620</v>
      </c>
      <c r="I22526" t="s">
        <v>30</v>
      </c>
      <c r="J22526" t="s">
        <v>2544</v>
      </c>
      <c r="K22526" t="s">
        <v>85643</v>
      </c>
      <c r="N22526" t="s">
        <v>80984</v>
      </c>
      <c r="O22526" t="s">
        <v>80983</v>
      </c>
      <c r="Q22526">
        <v>0</v>
      </c>
      <c r="R22526">
        <v>68</v>
      </c>
      <c r="S22526">
        <v>0</v>
      </c>
      <c r="T22526" t="s">
        <v>85714</v>
      </c>
    </row>
    <row r="22527" spans="1:20" customFormat="1" ht="15" x14ac:dyDescent="0.25">
      <c r="A22527" t="s">
        <v>24</v>
      </c>
      <c r="B22527" t="s">
        <v>13679</v>
      </c>
      <c r="C22527" t="str">
        <f>"A0094912"</f>
        <v>A0094912</v>
      </c>
      <c r="D22527" t="s">
        <v>79895</v>
      </c>
      <c r="E22527" t="s">
        <v>79896</v>
      </c>
      <c r="F22527" t="s">
        <v>59754</v>
      </c>
      <c r="G22527" t="s">
        <v>1170</v>
      </c>
      <c r="H22527">
        <v>71111</v>
      </c>
      <c r="I22527" t="s">
        <v>30</v>
      </c>
      <c r="J22527" t="s">
        <v>171</v>
      </c>
      <c r="K22527" t="s">
        <v>1450</v>
      </c>
      <c r="N22527" t="s">
        <v>79897</v>
      </c>
      <c r="Q22527">
        <v>0</v>
      </c>
      <c r="R22527">
        <v>131</v>
      </c>
      <c r="S22527">
        <v>0</v>
      </c>
      <c r="T22527" t="s">
        <v>79898</v>
      </c>
    </row>
    <row r="22528" spans="1:20" customFormat="1" ht="15" x14ac:dyDescent="0.25">
      <c r="A22528" t="s">
        <v>24</v>
      </c>
      <c r="B22528" t="s">
        <v>2528</v>
      </c>
      <c r="C22528" t="str">
        <f>"57409"</f>
        <v>57409</v>
      </c>
      <c r="D22528" t="s">
        <v>79899</v>
      </c>
      <c r="E22528" t="s">
        <v>79900</v>
      </c>
      <c r="F22528" t="s">
        <v>32880</v>
      </c>
      <c r="G22528" t="s">
        <v>110</v>
      </c>
      <c r="H22528">
        <v>94085</v>
      </c>
      <c r="I22528" t="s">
        <v>30</v>
      </c>
      <c r="J22528" t="s">
        <v>171</v>
      </c>
      <c r="K22528" t="s">
        <v>1450</v>
      </c>
      <c r="N22528" t="s">
        <v>79901</v>
      </c>
      <c r="Q22528">
        <v>0</v>
      </c>
      <c r="R22528">
        <v>231</v>
      </c>
      <c r="S22528">
        <v>0</v>
      </c>
      <c r="T22528" t="s">
        <v>79902</v>
      </c>
    </row>
    <row r="22529" spans="1:25" customFormat="1" ht="15" x14ac:dyDescent="0.25">
      <c r="A22529" t="s">
        <v>24</v>
      </c>
      <c r="B22529" t="s">
        <v>2528</v>
      </c>
      <c r="C22529" t="str">
        <f>"57410"</f>
        <v>57410</v>
      </c>
      <c r="D22529" t="s">
        <v>79903</v>
      </c>
      <c r="E22529" t="s">
        <v>79904</v>
      </c>
      <c r="F22529" t="s">
        <v>32880</v>
      </c>
      <c r="G22529" t="s">
        <v>110</v>
      </c>
      <c r="H22529">
        <v>94086</v>
      </c>
      <c r="I22529" t="s">
        <v>30</v>
      </c>
      <c r="J22529" t="s">
        <v>171</v>
      </c>
      <c r="K22529" t="s">
        <v>1450</v>
      </c>
      <c r="N22529" t="s">
        <v>79905</v>
      </c>
      <c r="Q22529">
        <v>0</v>
      </c>
      <c r="R22529">
        <v>247</v>
      </c>
      <c r="S22529">
        <v>0</v>
      </c>
      <c r="T22529" t="s">
        <v>79906</v>
      </c>
    </row>
    <row r="22530" spans="1:25" customFormat="1" ht="15" x14ac:dyDescent="0.25">
      <c r="A22530" t="s">
        <v>24</v>
      </c>
      <c r="B22530" t="s">
        <v>675</v>
      </c>
      <c r="C22530" t="str">
        <f>"A0075248"</f>
        <v>A0075248</v>
      </c>
      <c r="D22530" t="s">
        <v>79907</v>
      </c>
      <c r="E22530" t="s">
        <v>79908</v>
      </c>
      <c r="F22530" t="s">
        <v>61855</v>
      </c>
      <c r="G22530" t="s">
        <v>123</v>
      </c>
      <c r="H22530">
        <v>20904</v>
      </c>
      <c r="I22530" t="s">
        <v>30</v>
      </c>
      <c r="J22530" t="s">
        <v>171</v>
      </c>
      <c r="K22530" t="s">
        <v>1450</v>
      </c>
      <c r="N22530" t="s">
        <v>79909</v>
      </c>
      <c r="O22530" t="s">
        <v>79910</v>
      </c>
      <c r="Q22530">
        <v>0</v>
      </c>
      <c r="R22530">
        <v>130</v>
      </c>
      <c r="S22530">
        <v>0</v>
      </c>
      <c r="T22530" t="s">
        <v>79911</v>
      </c>
    </row>
    <row r="22531" spans="1:25" customFormat="1" ht="15" x14ac:dyDescent="0.25">
      <c r="A22531" t="s">
        <v>24</v>
      </c>
      <c r="B22531" t="s">
        <v>1487</v>
      </c>
      <c r="C22531" t="str">
        <f>"A0093232"</f>
        <v>A0093232</v>
      </c>
      <c r="D22531" t="s">
        <v>79912</v>
      </c>
      <c r="E22531" t="s">
        <v>79913</v>
      </c>
      <c r="F22531" t="s">
        <v>79914</v>
      </c>
      <c r="G22531" t="s">
        <v>289</v>
      </c>
      <c r="H22531">
        <v>60091</v>
      </c>
      <c r="I22531" t="s">
        <v>30</v>
      </c>
      <c r="J22531" t="s">
        <v>171</v>
      </c>
      <c r="K22531" t="s">
        <v>1450</v>
      </c>
      <c r="N22531" t="s">
        <v>79915</v>
      </c>
      <c r="Q22531">
        <v>0</v>
      </c>
      <c r="R22531">
        <v>130</v>
      </c>
      <c r="S22531">
        <v>0</v>
      </c>
      <c r="T22531" t="s">
        <v>79916</v>
      </c>
    </row>
    <row r="22532" spans="1:25" customFormat="1" ht="15" x14ac:dyDescent="0.25">
      <c r="A22532" t="s">
        <v>24</v>
      </c>
      <c r="B22532" t="s">
        <v>2368</v>
      </c>
      <c r="C22532" t="str">
        <f>"A0093973"</f>
        <v>A0093973</v>
      </c>
      <c r="D22532" t="s">
        <v>79917</v>
      </c>
      <c r="E22532" t="s">
        <v>79918</v>
      </c>
      <c r="F22532" t="s">
        <v>4802</v>
      </c>
      <c r="G22532" t="s">
        <v>110</v>
      </c>
      <c r="H22532">
        <v>95110</v>
      </c>
      <c r="I22532" t="s">
        <v>30</v>
      </c>
      <c r="J22532" t="s">
        <v>171</v>
      </c>
      <c r="K22532" t="s">
        <v>1450</v>
      </c>
      <c r="N22532" t="s">
        <v>79919</v>
      </c>
      <c r="O22532" t="s">
        <v>79920</v>
      </c>
      <c r="Q22532">
        <v>0</v>
      </c>
      <c r="R22532">
        <v>175</v>
      </c>
      <c r="S22532">
        <v>0</v>
      </c>
      <c r="T22532" t="s">
        <v>79921</v>
      </c>
    </row>
    <row r="22533" spans="1:25" customFormat="1" ht="15" x14ac:dyDescent="0.25">
      <c r="A22533" t="s">
        <v>24</v>
      </c>
      <c r="B22533" t="s">
        <v>675</v>
      </c>
      <c r="C22533" t="str">
        <f>"A0064796"</f>
        <v>A0064796</v>
      </c>
      <c r="D22533" t="s">
        <v>79922</v>
      </c>
      <c r="E22533" t="s">
        <v>79923</v>
      </c>
      <c r="F22533" t="s">
        <v>16314</v>
      </c>
      <c r="G22533" t="s">
        <v>338</v>
      </c>
      <c r="H22533">
        <v>8873</v>
      </c>
      <c r="I22533" t="s">
        <v>30</v>
      </c>
      <c r="J22533" t="s">
        <v>171</v>
      </c>
      <c r="K22533" t="s">
        <v>1450</v>
      </c>
      <c r="N22533" t="s">
        <v>79924</v>
      </c>
      <c r="O22533" t="s">
        <v>79925</v>
      </c>
      <c r="Q22533">
        <v>0</v>
      </c>
      <c r="R22533">
        <v>108</v>
      </c>
      <c r="S22533">
        <v>0</v>
      </c>
      <c r="T22533" t="s">
        <v>79926</v>
      </c>
    </row>
    <row r="22534" spans="1:25" customFormat="1" ht="15" hidden="1" x14ac:dyDescent="0.25">
      <c r="A22534" t="s">
        <v>24</v>
      </c>
      <c r="B22534" t="s">
        <v>59461</v>
      </c>
      <c r="C22534" t="str">
        <f>"A0098026"</f>
        <v>A0098026</v>
      </c>
      <c r="D22534" t="s">
        <v>85746</v>
      </c>
      <c r="E22534" t="s">
        <v>85747</v>
      </c>
      <c r="F22534" t="s">
        <v>13197</v>
      </c>
      <c r="G22534" t="s">
        <v>2206</v>
      </c>
      <c r="H22534" t="s">
        <v>85748</v>
      </c>
      <c r="I22534" t="s">
        <v>1459</v>
      </c>
      <c r="J22534" t="s">
        <v>162</v>
      </c>
      <c r="K22534" t="s">
        <v>822</v>
      </c>
      <c r="N22534" t="s">
        <v>85749</v>
      </c>
      <c r="Q22534">
        <v>0</v>
      </c>
      <c r="R22534">
        <v>290</v>
      </c>
      <c r="S22534">
        <v>0</v>
      </c>
      <c r="T22534" t="s">
        <v>85750</v>
      </c>
    </row>
    <row r="22535" spans="1:25" customFormat="1" ht="15" x14ac:dyDescent="0.25">
      <c r="A22535" t="s">
        <v>24</v>
      </c>
      <c r="B22535" t="s">
        <v>6363</v>
      </c>
      <c r="C22535" t="str">
        <f>"A0078614"</f>
        <v>A0078614</v>
      </c>
      <c r="D22535" t="s">
        <v>79927</v>
      </c>
      <c r="E22535" t="s">
        <v>79928</v>
      </c>
      <c r="F22535" t="s">
        <v>3035</v>
      </c>
      <c r="G22535" t="s">
        <v>1369</v>
      </c>
      <c r="H22535">
        <v>38671</v>
      </c>
      <c r="I22535" t="s">
        <v>30</v>
      </c>
      <c r="J22535" t="s">
        <v>171</v>
      </c>
      <c r="K22535" t="s">
        <v>1450</v>
      </c>
      <c r="N22535" t="s">
        <v>79929</v>
      </c>
      <c r="Q22535">
        <v>0</v>
      </c>
      <c r="R22535">
        <v>78</v>
      </c>
      <c r="S22535">
        <v>0</v>
      </c>
      <c r="T22535" t="s">
        <v>79930</v>
      </c>
    </row>
    <row r="22536" spans="1:25" customFormat="1" ht="15" x14ac:dyDescent="0.25">
      <c r="A22536" t="s">
        <v>24</v>
      </c>
      <c r="B22536" t="s">
        <v>2368</v>
      </c>
      <c r="C22536" t="str">
        <f>"56920"</f>
        <v>56920</v>
      </c>
      <c r="D22536" t="s">
        <v>79931</v>
      </c>
      <c r="E22536" t="s">
        <v>79932</v>
      </c>
      <c r="F22536" t="s">
        <v>79933</v>
      </c>
      <c r="G22536" t="s">
        <v>214</v>
      </c>
      <c r="H22536">
        <v>28387</v>
      </c>
      <c r="I22536" t="s">
        <v>30</v>
      </c>
      <c r="J22536" t="s">
        <v>171</v>
      </c>
      <c r="K22536" t="s">
        <v>1450</v>
      </c>
      <c r="N22536" t="s">
        <v>79934</v>
      </c>
      <c r="Q22536">
        <v>0</v>
      </c>
      <c r="R22536">
        <v>80</v>
      </c>
      <c r="S22536">
        <v>0</v>
      </c>
      <c r="T22536" t="s">
        <v>79935</v>
      </c>
    </row>
    <row r="22537" spans="1:25" x14ac:dyDescent="0.25">
      <c r="A22537" s="5" t="s">
        <v>24</v>
      </c>
      <c r="B22537" s="5" t="s">
        <v>1020</v>
      </c>
      <c r="C22537" s="5" t="str">
        <f>"56540"</f>
        <v>56540</v>
      </c>
      <c r="D22537" s="5" t="s">
        <v>79936</v>
      </c>
      <c r="E22537" s="5" t="s">
        <v>79937</v>
      </c>
      <c r="F22537" s="5" t="s">
        <v>61912</v>
      </c>
      <c r="G22537" s="5" t="s">
        <v>615</v>
      </c>
      <c r="H22537" s="5">
        <v>6489</v>
      </c>
      <c r="I22537" s="5" t="s">
        <v>30</v>
      </c>
      <c r="J22537" s="5" t="s">
        <v>171</v>
      </c>
      <c r="K22537" s="5" t="s">
        <v>1450</v>
      </c>
      <c r="L22537" s="5"/>
      <c r="M22537" s="5"/>
      <c r="N22537" s="5" t="s">
        <v>79938</v>
      </c>
      <c r="O22537" s="5" t="s">
        <v>79939</v>
      </c>
      <c r="P22537" s="5"/>
      <c r="Q22537" s="5">
        <v>0</v>
      </c>
      <c r="R22537" s="5">
        <v>94</v>
      </c>
      <c r="S22537" s="5">
        <v>0</v>
      </c>
      <c r="T22537" s="5" t="s">
        <v>79940</v>
      </c>
      <c r="U22537" s="5"/>
      <c r="V22537" s="5"/>
      <c r="W22537" s="5"/>
      <c r="X22537" s="5"/>
      <c r="Y22537" s="5"/>
    </row>
    <row r="22538" spans="1:25" customFormat="1" ht="15" x14ac:dyDescent="0.25">
      <c r="A22538" t="s">
        <v>24</v>
      </c>
      <c r="B22538" t="s">
        <v>1561</v>
      </c>
      <c r="C22538" t="str">
        <f>"57228"</f>
        <v>57228</v>
      </c>
      <c r="D22538" t="s">
        <v>79941</v>
      </c>
      <c r="E22538" t="s">
        <v>79942</v>
      </c>
      <c r="F22538" t="s">
        <v>66464</v>
      </c>
      <c r="G22538" t="s">
        <v>58</v>
      </c>
      <c r="H22538">
        <v>29301</v>
      </c>
      <c r="I22538" t="s">
        <v>30</v>
      </c>
      <c r="J22538" t="s">
        <v>171</v>
      </c>
      <c r="K22538" t="s">
        <v>1450</v>
      </c>
      <c r="N22538" t="s">
        <v>79943</v>
      </c>
      <c r="Q22538">
        <v>0</v>
      </c>
      <c r="R22538">
        <v>88</v>
      </c>
      <c r="S22538">
        <v>0</v>
      </c>
      <c r="T22538" t="s">
        <v>79944</v>
      </c>
    </row>
    <row r="22539" spans="1:25" x14ac:dyDescent="0.25">
      <c r="A22539" s="5" t="s">
        <v>24</v>
      </c>
      <c r="B22539" s="5" t="s">
        <v>1020</v>
      </c>
      <c r="C22539" s="5" t="str">
        <f>"56512"</f>
        <v>56512</v>
      </c>
      <c r="D22539" s="5" t="s">
        <v>79945</v>
      </c>
      <c r="E22539" s="5" t="s">
        <v>79946</v>
      </c>
      <c r="F22539" s="5" t="s">
        <v>57876</v>
      </c>
      <c r="G22539" s="5" t="s">
        <v>76</v>
      </c>
      <c r="H22539" s="5">
        <v>99216</v>
      </c>
      <c r="I22539" s="5" t="s">
        <v>30</v>
      </c>
      <c r="J22539" s="5" t="s">
        <v>171</v>
      </c>
      <c r="K22539" s="5" t="s">
        <v>1450</v>
      </c>
      <c r="L22539" s="5"/>
      <c r="M22539" s="5"/>
      <c r="N22539" s="5" t="s">
        <v>79947</v>
      </c>
      <c r="O22539" s="5"/>
      <c r="P22539" s="5"/>
      <c r="Q22539" s="5">
        <v>0</v>
      </c>
      <c r="R22539" s="5">
        <v>84</v>
      </c>
      <c r="S22539" s="5">
        <v>0</v>
      </c>
      <c r="T22539" s="5" t="s">
        <v>79948</v>
      </c>
      <c r="U22539" s="5"/>
      <c r="V22539" s="5"/>
      <c r="W22539" s="5"/>
      <c r="X22539" s="5"/>
      <c r="Y22539" s="5"/>
    </row>
    <row r="22540" spans="1:25" customFormat="1" ht="15" x14ac:dyDescent="0.25">
      <c r="A22540" t="s">
        <v>24</v>
      </c>
      <c r="B22540" t="s">
        <v>56277</v>
      </c>
      <c r="C22540" t="str">
        <f>"56535"</f>
        <v>56535</v>
      </c>
      <c r="D22540" t="s">
        <v>79949</v>
      </c>
      <c r="E22540" t="s">
        <v>79950</v>
      </c>
      <c r="F22540" t="s">
        <v>3837</v>
      </c>
      <c r="G22540" t="s">
        <v>137</v>
      </c>
      <c r="H22540">
        <v>65804</v>
      </c>
      <c r="I22540" t="s">
        <v>30</v>
      </c>
      <c r="J22540" t="s">
        <v>171</v>
      </c>
      <c r="K22540" t="s">
        <v>1450</v>
      </c>
      <c r="N22540" t="s">
        <v>79951</v>
      </c>
      <c r="Q22540">
        <v>0</v>
      </c>
      <c r="R22540">
        <v>136</v>
      </c>
      <c r="S22540">
        <v>0</v>
      </c>
      <c r="T22540" t="s">
        <v>79952</v>
      </c>
    </row>
    <row r="22541" spans="1:25" x14ac:dyDescent="0.25">
      <c r="A22541" s="5" t="s">
        <v>24</v>
      </c>
      <c r="B22541" s="5" t="s">
        <v>1138</v>
      </c>
      <c r="C22541" s="5" t="str">
        <f>"A0087360"</f>
        <v>A0087360</v>
      </c>
      <c r="D22541" s="5" t="s">
        <v>79953</v>
      </c>
      <c r="E22541" s="5" t="s">
        <v>79954</v>
      </c>
      <c r="F22541" s="5" t="s">
        <v>3837</v>
      </c>
      <c r="G22541" s="5" t="s">
        <v>29</v>
      </c>
      <c r="H22541" s="5">
        <v>22150</v>
      </c>
      <c r="I22541" s="5" t="s">
        <v>30</v>
      </c>
      <c r="J22541" s="5" t="s">
        <v>171</v>
      </c>
      <c r="K22541" s="5" t="s">
        <v>1450</v>
      </c>
      <c r="L22541" s="5"/>
      <c r="M22541" s="5"/>
      <c r="N22541" s="5" t="s">
        <v>79955</v>
      </c>
      <c r="O22541" s="5"/>
      <c r="P22541" s="5"/>
      <c r="Q22541" s="5">
        <v>0</v>
      </c>
      <c r="R22541" s="5">
        <v>160</v>
      </c>
      <c r="S22541" s="5">
        <v>0</v>
      </c>
      <c r="T22541" s="5" t="s">
        <v>79956</v>
      </c>
      <c r="U22541" s="5"/>
      <c r="V22541" s="5"/>
      <c r="W22541" s="5"/>
      <c r="X22541" s="5"/>
      <c r="Y22541" s="5"/>
    </row>
    <row r="22542" spans="1:25" customFormat="1" ht="15" x14ac:dyDescent="0.25">
      <c r="A22542" t="s">
        <v>24</v>
      </c>
      <c r="B22542" t="s">
        <v>72472</v>
      </c>
      <c r="C22542" t="str">
        <f>"A0057494"</f>
        <v>A0057494</v>
      </c>
      <c r="D22542" t="s">
        <v>85783</v>
      </c>
      <c r="E22542" t="s">
        <v>85784</v>
      </c>
      <c r="F22542" t="s">
        <v>9812</v>
      </c>
      <c r="G22542" t="s">
        <v>103</v>
      </c>
      <c r="H22542">
        <v>19103</v>
      </c>
      <c r="I22542" t="s">
        <v>30</v>
      </c>
      <c r="J22542" t="s">
        <v>31</v>
      </c>
      <c r="K22542" t="s">
        <v>163</v>
      </c>
      <c r="N22542" t="s">
        <v>85785</v>
      </c>
      <c r="O22542" t="s">
        <v>85786</v>
      </c>
      <c r="Q22542">
        <v>0</v>
      </c>
      <c r="R22542">
        <v>107</v>
      </c>
      <c r="S22542">
        <v>0</v>
      </c>
      <c r="T22542" t="s">
        <v>85787</v>
      </c>
    </row>
    <row r="22543" spans="1:25" x14ac:dyDescent="0.25">
      <c r="A22543" s="5" t="s">
        <v>24</v>
      </c>
      <c r="B22543" s="5" t="s">
        <v>1317</v>
      </c>
      <c r="C22543" s="5" t="str">
        <f>"A0094462"</f>
        <v>A0094462</v>
      </c>
      <c r="D22543" s="5" t="s">
        <v>79957</v>
      </c>
      <c r="E22543" s="5" t="s">
        <v>79958</v>
      </c>
      <c r="F22543" s="5" t="s">
        <v>54905</v>
      </c>
      <c r="G22543" s="5" t="s">
        <v>52</v>
      </c>
      <c r="H22543" s="5">
        <v>77389</v>
      </c>
      <c r="I22543" s="5" t="s">
        <v>30</v>
      </c>
      <c r="J22543" s="5" t="s">
        <v>171</v>
      </c>
      <c r="K22543" s="5" t="s">
        <v>1450</v>
      </c>
      <c r="L22543" s="5"/>
      <c r="M22543" s="5"/>
      <c r="N22543" s="5" t="s">
        <v>60682</v>
      </c>
      <c r="O22543" s="5" t="s">
        <v>79959</v>
      </c>
      <c r="P22543" s="5"/>
      <c r="Q22543" s="5">
        <v>0</v>
      </c>
      <c r="R22543" s="5">
        <v>128</v>
      </c>
      <c r="S22543" s="5">
        <v>0</v>
      </c>
      <c r="T22543" s="5" t="s">
        <v>79960</v>
      </c>
      <c r="U22543" s="5"/>
      <c r="V22543" s="5"/>
      <c r="W22543" s="5"/>
      <c r="X22543" s="5"/>
      <c r="Y22543" s="5"/>
    </row>
    <row r="22544" spans="1:25" customFormat="1" ht="15" x14ac:dyDescent="0.25">
      <c r="A22544" t="s">
        <v>24</v>
      </c>
      <c r="B22544" t="s">
        <v>85791</v>
      </c>
      <c r="C22544" t="str">
        <f>"A0084896"</f>
        <v>A0084896</v>
      </c>
      <c r="D22544" t="s">
        <v>85792</v>
      </c>
      <c r="E22544" t="s">
        <v>85793</v>
      </c>
      <c r="F22544" t="s">
        <v>1889</v>
      </c>
      <c r="G22544" t="s">
        <v>81</v>
      </c>
      <c r="H22544">
        <v>33323</v>
      </c>
      <c r="I22544" t="s">
        <v>30</v>
      </c>
      <c r="J22544" t="s">
        <v>76620</v>
      </c>
      <c r="K22544" t="s">
        <v>6809</v>
      </c>
      <c r="Q22544">
        <v>0</v>
      </c>
      <c r="R22544">
        <v>0</v>
      </c>
      <c r="S22544">
        <v>0</v>
      </c>
      <c r="T22544" t="s">
        <v>85794</v>
      </c>
    </row>
    <row r="22545" spans="1:20" customFormat="1" ht="15" x14ac:dyDescent="0.25">
      <c r="A22545" t="s">
        <v>24</v>
      </c>
      <c r="B22545" t="s">
        <v>85795</v>
      </c>
      <c r="C22545" t="str">
        <f>"A0064343"</f>
        <v>A0064343</v>
      </c>
      <c r="D22545" t="s">
        <v>85796</v>
      </c>
      <c r="E22545" t="s">
        <v>85797</v>
      </c>
      <c r="F22545" t="s">
        <v>997</v>
      </c>
      <c r="G22545" t="s">
        <v>99</v>
      </c>
      <c r="H22545">
        <v>10017</v>
      </c>
      <c r="I22545" t="s">
        <v>30</v>
      </c>
      <c r="J22545" t="s">
        <v>2558</v>
      </c>
      <c r="K22545" t="s">
        <v>163</v>
      </c>
      <c r="N22545" t="s">
        <v>85798</v>
      </c>
      <c r="O22545" t="s">
        <v>85799</v>
      </c>
      <c r="Q22545">
        <v>0</v>
      </c>
      <c r="R22545">
        <v>138</v>
      </c>
      <c r="S22545">
        <v>0</v>
      </c>
      <c r="T22545" t="s">
        <v>85800</v>
      </c>
    </row>
    <row r="22546" spans="1:20" customFormat="1" ht="15" x14ac:dyDescent="0.25">
      <c r="A22546" t="s">
        <v>24</v>
      </c>
      <c r="B22546" t="s">
        <v>11368</v>
      </c>
      <c r="C22546" t="str">
        <f>"56583"</f>
        <v>56583</v>
      </c>
      <c r="D22546" t="s">
        <v>79961</v>
      </c>
      <c r="E22546" t="s">
        <v>79962</v>
      </c>
      <c r="F22546" t="s">
        <v>34931</v>
      </c>
      <c r="G22546" t="s">
        <v>137</v>
      </c>
      <c r="H22546">
        <v>63045</v>
      </c>
      <c r="I22546" t="s">
        <v>30</v>
      </c>
      <c r="J22546" t="s">
        <v>171</v>
      </c>
      <c r="K22546" t="s">
        <v>1450</v>
      </c>
      <c r="N22546" t="s">
        <v>79963</v>
      </c>
      <c r="O22546" t="s">
        <v>79964</v>
      </c>
      <c r="Q22546">
        <v>0</v>
      </c>
      <c r="R22546">
        <v>104</v>
      </c>
      <c r="S22546">
        <v>0</v>
      </c>
      <c r="T22546" t="s">
        <v>79965</v>
      </c>
    </row>
    <row r="22547" spans="1:20" customFormat="1" ht="15" x14ac:dyDescent="0.25">
      <c r="A22547" t="s">
        <v>24</v>
      </c>
      <c r="B22547" t="s">
        <v>4400</v>
      </c>
      <c r="C22547" t="str">
        <f>"A0075639"</f>
        <v>A0075639</v>
      </c>
      <c r="D22547" t="s">
        <v>79966</v>
      </c>
      <c r="E22547" t="s">
        <v>79967</v>
      </c>
      <c r="F22547" t="s">
        <v>56870</v>
      </c>
      <c r="G22547" t="s">
        <v>137</v>
      </c>
      <c r="H22547">
        <v>63103</v>
      </c>
      <c r="I22547" t="s">
        <v>30</v>
      </c>
      <c r="J22547" t="s">
        <v>171</v>
      </c>
      <c r="K22547" t="s">
        <v>1450</v>
      </c>
      <c r="N22547" t="s">
        <v>79968</v>
      </c>
      <c r="O22547" t="s">
        <v>79969</v>
      </c>
      <c r="Q22547">
        <v>0</v>
      </c>
      <c r="R22547">
        <v>144</v>
      </c>
      <c r="S22547">
        <v>0</v>
      </c>
      <c r="T22547" t="s">
        <v>79970</v>
      </c>
    </row>
    <row r="22548" spans="1:20" customFormat="1" ht="15" x14ac:dyDescent="0.25">
      <c r="A22548" t="s">
        <v>24</v>
      </c>
      <c r="B22548" t="s">
        <v>2955</v>
      </c>
      <c r="C22548" t="str">
        <f>"A0162056"</f>
        <v>A0162056</v>
      </c>
      <c r="D22548" t="s">
        <v>79971</v>
      </c>
      <c r="E22548" t="s">
        <v>79972</v>
      </c>
      <c r="F22548" t="s">
        <v>79973</v>
      </c>
      <c r="G22548" t="s">
        <v>190</v>
      </c>
      <c r="H22548">
        <v>80487</v>
      </c>
      <c r="I22548" t="s">
        <v>30</v>
      </c>
      <c r="J22548" t="s">
        <v>171</v>
      </c>
      <c r="K22548" t="s">
        <v>1450</v>
      </c>
      <c r="N22548" t="s">
        <v>79974</v>
      </c>
      <c r="O22548" t="s">
        <v>79975</v>
      </c>
      <c r="Q22548">
        <v>0</v>
      </c>
      <c r="R22548">
        <v>111</v>
      </c>
      <c r="S22548">
        <v>0</v>
      </c>
      <c r="T22548" t="s">
        <v>79976</v>
      </c>
    </row>
    <row r="22549" spans="1:20" customFormat="1" ht="15" x14ac:dyDescent="0.25">
      <c r="A22549" t="s">
        <v>24</v>
      </c>
      <c r="B22549" t="s">
        <v>1548</v>
      </c>
      <c r="C22549" t="str">
        <f>"A0086818"</f>
        <v>A0086818</v>
      </c>
      <c r="D22549" t="s">
        <v>79977</v>
      </c>
      <c r="E22549" t="s">
        <v>79978</v>
      </c>
      <c r="F22549" t="s">
        <v>2591</v>
      </c>
      <c r="G22549" t="s">
        <v>40</v>
      </c>
      <c r="H22549">
        <v>74074</v>
      </c>
      <c r="I22549" t="s">
        <v>30</v>
      </c>
      <c r="J22549" t="s">
        <v>171</v>
      </c>
      <c r="K22549" t="s">
        <v>1450</v>
      </c>
      <c r="N22549" t="s">
        <v>79979</v>
      </c>
      <c r="Q22549">
        <v>0</v>
      </c>
      <c r="R22549">
        <v>101</v>
      </c>
      <c r="S22549">
        <v>0</v>
      </c>
      <c r="T22549" t="s">
        <v>79980</v>
      </c>
    </row>
    <row r="22550" spans="1:20" customFormat="1" ht="15" hidden="1" x14ac:dyDescent="0.25">
      <c r="A22550" t="s">
        <v>24</v>
      </c>
      <c r="B22550" t="s">
        <v>2011</v>
      </c>
      <c r="C22550" t="str">
        <f>"A0095045"</f>
        <v>A0095045</v>
      </c>
      <c r="D22550" t="s">
        <v>85817</v>
      </c>
      <c r="E22550" t="s">
        <v>85818</v>
      </c>
      <c r="F22550" t="s">
        <v>56035</v>
      </c>
      <c r="G22550" t="s">
        <v>5424</v>
      </c>
      <c r="H22550">
        <v>77710</v>
      </c>
      <c r="I22550" t="s">
        <v>2408</v>
      </c>
      <c r="J22550" t="s">
        <v>162</v>
      </c>
      <c r="K22550" t="s">
        <v>7012</v>
      </c>
      <c r="N22550" t="s">
        <v>85819</v>
      </c>
      <c r="O22550" t="s">
        <v>85820</v>
      </c>
      <c r="Q22550">
        <v>0</v>
      </c>
      <c r="R22550">
        <v>113</v>
      </c>
      <c r="S22550">
        <v>0</v>
      </c>
      <c r="T22550" t="s">
        <v>85821</v>
      </c>
    </row>
    <row r="22551" spans="1:20" customFormat="1" ht="15" x14ac:dyDescent="0.25">
      <c r="A22551" t="s">
        <v>24</v>
      </c>
      <c r="B22551" t="s">
        <v>5843</v>
      </c>
      <c r="C22551" t="str">
        <f>"A0092306"</f>
        <v>A0092306</v>
      </c>
      <c r="D22551" t="s">
        <v>79981</v>
      </c>
      <c r="E22551" t="s">
        <v>79982</v>
      </c>
      <c r="F22551" t="s">
        <v>61954</v>
      </c>
      <c r="G22551" t="s">
        <v>110</v>
      </c>
      <c r="H22551">
        <v>95219</v>
      </c>
      <c r="I22551" t="s">
        <v>30</v>
      </c>
      <c r="J22551" t="s">
        <v>171</v>
      </c>
      <c r="K22551" t="s">
        <v>1450</v>
      </c>
      <c r="N22551" t="s">
        <v>61955</v>
      </c>
      <c r="O22551" t="s">
        <v>79983</v>
      </c>
      <c r="Q22551">
        <v>0</v>
      </c>
      <c r="R22551">
        <v>104</v>
      </c>
      <c r="S22551">
        <v>0</v>
      </c>
      <c r="T22551" t="s">
        <v>79984</v>
      </c>
    </row>
    <row r="22552" spans="1:20" customFormat="1" ht="15" hidden="1" x14ac:dyDescent="0.25">
      <c r="A22552" t="s">
        <v>24</v>
      </c>
      <c r="B22552" t="s">
        <v>2011</v>
      </c>
      <c r="C22552" t="str">
        <f>"A0089409"</f>
        <v>A0089409</v>
      </c>
      <c r="D22552" t="s">
        <v>85827</v>
      </c>
      <c r="E22552" t="s">
        <v>85828</v>
      </c>
      <c r="F22552" t="s">
        <v>85829</v>
      </c>
      <c r="G22552" t="s">
        <v>32743</v>
      </c>
      <c r="H22552">
        <v>40880</v>
      </c>
      <c r="I22552" t="s">
        <v>2408</v>
      </c>
      <c r="J22552" t="s">
        <v>162</v>
      </c>
      <c r="K22552" t="s">
        <v>7012</v>
      </c>
      <c r="N22552" t="s">
        <v>85830</v>
      </c>
      <c r="O22552" t="s">
        <v>85831</v>
      </c>
      <c r="Q22552">
        <v>0</v>
      </c>
      <c r="R22552">
        <v>46</v>
      </c>
      <c r="S22552">
        <v>0</v>
      </c>
      <c r="T22552" t="s">
        <v>85832</v>
      </c>
    </row>
    <row r="22553" spans="1:20" customFormat="1" ht="15" x14ac:dyDescent="0.25">
      <c r="A22553" t="s">
        <v>24</v>
      </c>
      <c r="B22553" t="s">
        <v>56488</v>
      </c>
      <c r="C22553" t="str">
        <f>"A0051013"</f>
        <v>A0051013</v>
      </c>
      <c r="D22553" t="s">
        <v>85833</v>
      </c>
      <c r="E22553" t="s">
        <v>85834</v>
      </c>
      <c r="F22553" t="s">
        <v>85835</v>
      </c>
      <c r="G22553" t="s">
        <v>52</v>
      </c>
      <c r="H22553">
        <v>75115</v>
      </c>
      <c r="I22553" t="s">
        <v>30</v>
      </c>
      <c r="J22553" t="s">
        <v>178</v>
      </c>
      <c r="K22553" t="s">
        <v>179</v>
      </c>
      <c r="N22553" t="s">
        <v>85836</v>
      </c>
      <c r="O22553" t="s">
        <v>85837</v>
      </c>
      <c r="Q22553">
        <v>1</v>
      </c>
      <c r="R22553">
        <v>0</v>
      </c>
      <c r="S22553">
        <v>0</v>
      </c>
      <c r="T22553" t="s">
        <v>85838</v>
      </c>
    </row>
    <row r="22554" spans="1:20" customFormat="1" ht="15" x14ac:dyDescent="0.25">
      <c r="A22554" t="s">
        <v>24</v>
      </c>
      <c r="B22554" t="s">
        <v>5357</v>
      </c>
      <c r="C22554" t="str">
        <f>"A0096886"</f>
        <v>A0096886</v>
      </c>
      <c r="D22554" t="s">
        <v>85839</v>
      </c>
      <c r="E22554" t="s">
        <v>85840</v>
      </c>
      <c r="F22554" t="s">
        <v>85841</v>
      </c>
      <c r="G22554" t="s">
        <v>76</v>
      </c>
      <c r="H22554">
        <v>98368</v>
      </c>
      <c r="I22554" t="s">
        <v>30</v>
      </c>
      <c r="J22554" t="s">
        <v>31</v>
      </c>
      <c r="K22554" t="s">
        <v>163</v>
      </c>
      <c r="N22554" t="s">
        <v>85842</v>
      </c>
      <c r="O22554" t="s">
        <v>85843</v>
      </c>
      <c r="Q22554">
        <v>0</v>
      </c>
      <c r="R22554">
        <v>46</v>
      </c>
      <c r="S22554">
        <v>0</v>
      </c>
      <c r="T22554" t="s">
        <v>85844</v>
      </c>
    </row>
    <row r="22555" spans="1:20" customFormat="1" ht="15" x14ac:dyDescent="0.25">
      <c r="A22555" t="s">
        <v>24</v>
      </c>
      <c r="B22555" t="s">
        <v>6667</v>
      </c>
      <c r="C22555" t="str">
        <f>"A0064793"</f>
        <v>A0064793</v>
      </c>
      <c r="D22555" t="s">
        <v>85845</v>
      </c>
      <c r="E22555" t="s">
        <v>85846</v>
      </c>
      <c r="F22555" t="s">
        <v>85847</v>
      </c>
      <c r="G22555" t="s">
        <v>110</v>
      </c>
      <c r="H22555">
        <v>93021</v>
      </c>
      <c r="I22555" t="s">
        <v>30</v>
      </c>
      <c r="J22555" t="s">
        <v>2415</v>
      </c>
      <c r="K22555" t="s">
        <v>179</v>
      </c>
      <c r="N22555" t="s">
        <v>56021</v>
      </c>
      <c r="O22555" t="s">
        <v>85848</v>
      </c>
      <c r="Q22555">
        <v>0</v>
      </c>
      <c r="R22555">
        <v>0</v>
      </c>
      <c r="S22555">
        <v>0</v>
      </c>
      <c r="T22555" t="s">
        <v>85849</v>
      </c>
    </row>
    <row r="22556" spans="1:20" customFormat="1" ht="15" x14ac:dyDescent="0.25">
      <c r="A22556" t="s">
        <v>24</v>
      </c>
      <c r="B22556" t="s">
        <v>9391</v>
      </c>
      <c r="C22556" t="str">
        <f>"A0092200"</f>
        <v>A0092200</v>
      </c>
      <c r="D22556" t="s">
        <v>79985</v>
      </c>
      <c r="E22556" t="s">
        <v>79986</v>
      </c>
      <c r="F22556" t="s">
        <v>2051</v>
      </c>
      <c r="G22556" t="s">
        <v>846</v>
      </c>
      <c r="H22556">
        <v>30097</v>
      </c>
      <c r="I22556" t="s">
        <v>30</v>
      </c>
      <c r="J22556" t="s">
        <v>171</v>
      </c>
      <c r="K22556" t="s">
        <v>1450</v>
      </c>
      <c r="N22556" t="s">
        <v>59615</v>
      </c>
      <c r="Q22556">
        <v>0</v>
      </c>
      <c r="R22556">
        <v>112</v>
      </c>
      <c r="S22556">
        <v>0</v>
      </c>
      <c r="T22556" t="s">
        <v>79987</v>
      </c>
    </row>
    <row r="22557" spans="1:20" customFormat="1" ht="15" x14ac:dyDescent="0.25">
      <c r="A22557" t="s">
        <v>24</v>
      </c>
      <c r="B22557" t="s">
        <v>2360</v>
      </c>
      <c r="C22557" t="str">
        <f>"CL1162"</f>
        <v>CL1162</v>
      </c>
      <c r="D22557" t="s">
        <v>85853</v>
      </c>
      <c r="E22557" t="s">
        <v>85854</v>
      </c>
      <c r="F22557" t="s">
        <v>10939</v>
      </c>
      <c r="G22557" t="s">
        <v>52</v>
      </c>
      <c r="H22557">
        <v>76092</v>
      </c>
      <c r="I22557" t="s">
        <v>30</v>
      </c>
      <c r="J22557" t="s">
        <v>178</v>
      </c>
      <c r="K22557" t="s">
        <v>56092</v>
      </c>
      <c r="N22557" t="s">
        <v>85855</v>
      </c>
      <c r="P22557" t="s">
        <v>992</v>
      </c>
      <c r="Q22557">
        <v>1</v>
      </c>
      <c r="R22557">
        <v>0</v>
      </c>
      <c r="S22557">
        <v>0</v>
      </c>
      <c r="T22557" t="s">
        <v>85856</v>
      </c>
    </row>
    <row r="22558" spans="1:20" customFormat="1" ht="15" x14ac:dyDescent="0.25">
      <c r="A22558" t="s">
        <v>24</v>
      </c>
      <c r="B22558" t="s">
        <v>675</v>
      </c>
      <c r="C22558" t="str">
        <f>"57130"</f>
        <v>57130</v>
      </c>
      <c r="D22558" t="s">
        <v>79988</v>
      </c>
      <c r="E22558" t="s">
        <v>79989</v>
      </c>
      <c r="F22558" t="s">
        <v>14426</v>
      </c>
      <c r="G22558" t="s">
        <v>99</v>
      </c>
      <c r="H22558">
        <v>13057</v>
      </c>
      <c r="I22558" t="s">
        <v>30</v>
      </c>
      <c r="J22558" t="s">
        <v>171</v>
      </c>
      <c r="K22558" t="s">
        <v>1450</v>
      </c>
      <c r="N22558" t="s">
        <v>79990</v>
      </c>
      <c r="O22558" t="s">
        <v>61974</v>
      </c>
      <c r="Q22558">
        <v>0</v>
      </c>
      <c r="R22558">
        <v>102</v>
      </c>
      <c r="S22558">
        <v>0</v>
      </c>
      <c r="T22558" t="s">
        <v>79991</v>
      </c>
    </row>
    <row r="22559" spans="1:20" customFormat="1" ht="15" x14ac:dyDescent="0.25">
      <c r="A22559" t="s">
        <v>24</v>
      </c>
      <c r="B22559" t="s">
        <v>1583</v>
      </c>
      <c r="C22559" t="str">
        <f>"38K57"</f>
        <v>38K57</v>
      </c>
      <c r="D22559" t="s">
        <v>85861</v>
      </c>
      <c r="E22559" t="s">
        <v>85862</v>
      </c>
      <c r="F22559" t="s">
        <v>53294</v>
      </c>
      <c r="G22559" t="s">
        <v>110</v>
      </c>
      <c r="H22559">
        <v>96150</v>
      </c>
      <c r="I22559" t="s">
        <v>30</v>
      </c>
      <c r="J22559" t="s">
        <v>2544</v>
      </c>
      <c r="K22559" t="s">
        <v>36059</v>
      </c>
      <c r="N22559" t="s">
        <v>85863</v>
      </c>
      <c r="O22559" t="s">
        <v>85864</v>
      </c>
      <c r="Q22559">
        <v>0</v>
      </c>
      <c r="R22559">
        <v>473</v>
      </c>
      <c r="S22559">
        <v>0</v>
      </c>
      <c r="T22559" t="s">
        <v>85865</v>
      </c>
    </row>
    <row r="22560" spans="1:20" customFormat="1" ht="15" x14ac:dyDescent="0.25">
      <c r="A22560" t="s">
        <v>24</v>
      </c>
      <c r="B22560" t="s">
        <v>2955</v>
      </c>
      <c r="C22560" t="str">
        <f>"A0092262"</f>
        <v>A0092262</v>
      </c>
      <c r="D22560" t="s">
        <v>79992</v>
      </c>
      <c r="E22560" t="s">
        <v>61977</v>
      </c>
      <c r="F22560" t="s">
        <v>14426</v>
      </c>
      <c r="G22560" t="s">
        <v>99</v>
      </c>
      <c r="H22560">
        <v>13202</v>
      </c>
      <c r="I22560" t="s">
        <v>30</v>
      </c>
      <c r="J22560" t="s">
        <v>171</v>
      </c>
      <c r="K22560" t="s">
        <v>1450</v>
      </c>
      <c r="N22560" t="s">
        <v>61979</v>
      </c>
      <c r="O22560" t="s">
        <v>61978</v>
      </c>
      <c r="Q22560">
        <v>0</v>
      </c>
      <c r="R22560">
        <v>78</v>
      </c>
      <c r="S22560">
        <v>0</v>
      </c>
      <c r="T22560" t="s">
        <v>79993</v>
      </c>
    </row>
    <row r="22561" spans="1:20" customFormat="1" ht="15" x14ac:dyDescent="0.25">
      <c r="A22561" t="s">
        <v>24</v>
      </c>
      <c r="B22561" t="s">
        <v>33426</v>
      </c>
      <c r="C22561" t="str">
        <f>"A0093506"</f>
        <v>A0093506</v>
      </c>
      <c r="D22561" t="s">
        <v>85871</v>
      </c>
      <c r="E22561" t="s">
        <v>85872</v>
      </c>
      <c r="F22561" t="s">
        <v>356</v>
      </c>
      <c r="G22561" t="s">
        <v>52</v>
      </c>
      <c r="H22561">
        <v>78205</v>
      </c>
      <c r="I22561" t="s">
        <v>30</v>
      </c>
      <c r="J22561" t="s">
        <v>3175</v>
      </c>
      <c r="K22561" t="s">
        <v>163</v>
      </c>
      <c r="Q22561">
        <v>0</v>
      </c>
      <c r="R22561">
        <v>0</v>
      </c>
      <c r="S22561">
        <v>0</v>
      </c>
      <c r="T22561" t="s">
        <v>2029</v>
      </c>
    </row>
    <row r="22562" spans="1:20" customFormat="1" ht="15" x14ac:dyDescent="0.25">
      <c r="A22562" t="s">
        <v>24</v>
      </c>
      <c r="B22562" t="s">
        <v>342</v>
      </c>
      <c r="C22562" t="str">
        <f>"56919"</f>
        <v>56919</v>
      </c>
      <c r="D22562" t="s">
        <v>79994</v>
      </c>
      <c r="E22562" t="s">
        <v>79995</v>
      </c>
      <c r="F22562" t="s">
        <v>2564</v>
      </c>
      <c r="G22562" t="s">
        <v>81</v>
      </c>
      <c r="H22562">
        <v>32308</v>
      </c>
      <c r="I22562" t="s">
        <v>30</v>
      </c>
      <c r="J22562" t="s">
        <v>171</v>
      </c>
      <c r="K22562" t="s">
        <v>1450</v>
      </c>
      <c r="N22562" t="s">
        <v>61991</v>
      </c>
      <c r="O22562" t="s">
        <v>79996</v>
      </c>
      <c r="Q22562">
        <v>0</v>
      </c>
      <c r="R22562">
        <v>78</v>
      </c>
      <c r="S22562">
        <v>0</v>
      </c>
      <c r="T22562" t="s">
        <v>79997</v>
      </c>
    </row>
    <row r="22563" spans="1:20" customFormat="1" ht="15" x14ac:dyDescent="0.25">
      <c r="A22563" t="s">
        <v>24</v>
      </c>
      <c r="B22563" t="s">
        <v>675</v>
      </c>
      <c r="C22563" t="str">
        <f>"A0076568"</f>
        <v>A0076568</v>
      </c>
      <c r="D22563" t="s">
        <v>79994</v>
      </c>
      <c r="E22563" t="s">
        <v>79998</v>
      </c>
      <c r="F22563" t="s">
        <v>3555</v>
      </c>
      <c r="G22563" t="s">
        <v>81</v>
      </c>
      <c r="H22563">
        <v>32304</v>
      </c>
      <c r="I22563" t="s">
        <v>30</v>
      </c>
      <c r="J22563" t="s">
        <v>171</v>
      </c>
      <c r="K22563" t="s">
        <v>1450</v>
      </c>
      <c r="N22563" t="s">
        <v>32836</v>
      </c>
      <c r="Q22563">
        <v>0</v>
      </c>
      <c r="R22563">
        <v>130</v>
      </c>
      <c r="S22563">
        <v>0</v>
      </c>
      <c r="T22563" t="s">
        <v>79999</v>
      </c>
    </row>
    <row r="22564" spans="1:20" customFormat="1" ht="15" x14ac:dyDescent="0.25">
      <c r="A22564" t="s">
        <v>24</v>
      </c>
      <c r="B22564" t="s">
        <v>342</v>
      </c>
      <c r="C22564" t="str">
        <f>"56995"</f>
        <v>56995</v>
      </c>
      <c r="D22564" t="s">
        <v>80000</v>
      </c>
      <c r="E22564" t="s">
        <v>80001</v>
      </c>
      <c r="F22564" t="s">
        <v>3955</v>
      </c>
      <c r="G22564" t="s">
        <v>81</v>
      </c>
      <c r="H22564">
        <v>33619</v>
      </c>
      <c r="I22564" t="s">
        <v>30</v>
      </c>
      <c r="J22564" t="s">
        <v>171</v>
      </c>
      <c r="K22564" t="s">
        <v>1450</v>
      </c>
      <c r="N22564" t="s">
        <v>80002</v>
      </c>
      <c r="O22564" t="s">
        <v>80003</v>
      </c>
      <c r="Q22564">
        <v>0</v>
      </c>
      <c r="R22564">
        <v>102</v>
      </c>
      <c r="S22564">
        <v>0</v>
      </c>
      <c r="T22564" t="s">
        <v>80004</v>
      </c>
    </row>
    <row r="22565" spans="1:20" customFormat="1" ht="15" hidden="1" x14ac:dyDescent="0.25">
      <c r="A22565" t="s">
        <v>24</v>
      </c>
      <c r="B22565" t="s">
        <v>675</v>
      </c>
      <c r="C22565" t="str">
        <f>"A0096284"</f>
        <v>A0096284</v>
      </c>
      <c r="D22565" t="s">
        <v>85887</v>
      </c>
      <c r="E22565" t="s">
        <v>85888</v>
      </c>
      <c r="F22565" t="s">
        <v>59464</v>
      </c>
      <c r="G22565" t="s">
        <v>2206</v>
      </c>
      <c r="H22565" t="s">
        <v>85889</v>
      </c>
      <c r="I22565" t="s">
        <v>1459</v>
      </c>
      <c r="J22565" t="s">
        <v>162</v>
      </c>
      <c r="K22565" t="s">
        <v>1490</v>
      </c>
      <c r="N22565" t="s">
        <v>85890</v>
      </c>
      <c r="Q22565">
        <v>0</v>
      </c>
      <c r="R22565">
        <v>209</v>
      </c>
      <c r="S22565">
        <v>0</v>
      </c>
      <c r="T22565" t="s">
        <v>85891</v>
      </c>
    </row>
    <row r="22566" spans="1:20" customFormat="1" ht="15" hidden="1" x14ac:dyDescent="0.25">
      <c r="A22566" t="s">
        <v>24</v>
      </c>
      <c r="B22566" t="s">
        <v>85892</v>
      </c>
      <c r="C22566" t="str">
        <f>"A0091442"</f>
        <v>A0091442</v>
      </c>
      <c r="D22566" t="s">
        <v>85893</v>
      </c>
      <c r="E22566" t="s">
        <v>85894</v>
      </c>
      <c r="F22566" t="s">
        <v>74271</v>
      </c>
      <c r="G22566" t="s">
        <v>54483</v>
      </c>
      <c r="H22566">
        <v>27000</v>
      </c>
      <c r="I22566" t="s">
        <v>2408</v>
      </c>
      <c r="J22566" t="s">
        <v>162</v>
      </c>
      <c r="K22566" t="s">
        <v>1490</v>
      </c>
      <c r="N22566" t="s">
        <v>85895</v>
      </c>
      <c r="O22566" t="s">
        <v>85896</v>
      </c>
      <c r="Q22566">
        <v>0</v>
      </c>
      <c r="R22566">
        <v>97</v>
      </c>
      <c r="S22566">
        <v>0</v>
      </c>
      <c r="T22566" t="s">
        <v>85897</v>
      </c>
    </row>
    <row r="22567" spans="1:20" customFormat="1" ht="15" x14ac:dyDescent="0.25">
      <c r="A22567" t="s">
        <v>24</v>
      </c>
      <c r="B22567" t="s">
        <v>14328</v>
      </c>
      <c r="C22567" t="str">
        <f>"A0051521"</f>
        <v>A0051521</v>
      </c>
      <c r="D22567" t="s">
        <v>85898</v>
      </c>
      <c r="E22567" t="s">
        <v>85899</v>
      </c>
      <c r="F22567" t="s">
        <v>9812</v>
      </c>
      <c r="G22567" t="s">
        <v>103</v>
      </c>
      <c r="H22567">
        <v>19114</v>
      </c>
      <c r="I22567" t="s">
        <v>30</v>
      </c>
      <c r="J22567" t="s">
        <v>178</v>
      </c>
      <c r="K22567" t="s">
        <v>179</v>
      </c>
      <c r="N22567" t="s">
        <v>85900</v>
      </c>
      <c r="P22567" t="s">
        <v>992</v>
      </c>
      <c r="Q22567">
        <v>1</v>
      </c>
      <c r="R22567">
        <v>0</v>
      </c>
      <c r="S22567">
        <v>0</v>
      </c>
      <c r="T22567" t="s">
        <v>85901</v>
      </c>
    </row>
    <row r="22568" spans="1:20" customFormat="1" ht="15" x14ac:dyDescent="0.25">
      <c r="A22568" t="s">
        <v>24</v>
      </c>
      <c r="B22568" t="s">
        <v>56488</v>
      </c>
      <c r="C22568" t="str">
        <f>"A0069424"</f>
        <v>A0069424</v>
      </c>
      <c r="D22568" t="s">
        <v>85902</v>
      </c>
      <c r="E22568" t="s">
        <v>85903</v>
      </c>
      <c r="F22568" t="s">
        <v>59184</v>
      </c>
      <c r="G22568" t="s">
        <v>52</v>
      </c>
      <c r="H22568">
        <v>77338</v>
      </c>
      <c r="I22568" t="s">
        <v>30</v>
      </c>
      <c r="J22568" t="s">
        <v>2415</v>
      </c>
      <c r="K22568" t="s">
        <v>179</v>
      </c>
      <c r="N22568" t="s">
        <v>85904</v>
      </c>
      <c r="Q22568">
        <v>1</v>
      </c>
      <c r="R22568">
        <v>0</v>
      </c>
      <c r="S22568">
        <v>0</v>
      </c>
      <c r="T22568" t="s">
        <v>85905</v>
      </c>
    </row>
    <row r="22569" spans="1:20" customFormat="1" ht="15" x14ac:dyDescent="0.25">
      <c r="A22569" t="s">
        <v>24</v>
      </c>
      <c r="B22569" t="s">
        <v>59433</v>
      </c>
      <c r="C22569" t="str">
        <f>"A0099293"</f>
        <v>A0099293</v>
      </c>
      <c r="D22569" t="s">
        <v>85906</v>
      </c>
      <c r="E22569" t="s">
        <v>85907</v>
      </c>
      <c r="F22569" t="s">
        <v>7677</v>
      </c>
      <c r="G22569" t="s">
        <v>153</v>
      </c>
      <c r="H22569">
        <v>84060</v>
      </c>
      <c r="I22569" t="s">
        <v>30</v>
      </c>
      <c r="J22569" t="s">
        <v>31</v>
      </c>
      <c r="K22569" t="s">
        <v>163</v>
      </c>
      <c r="N22569" t="s">
        <v>85908</v>
      </c>
      <c r="Q22569">
        <v>1</v>
      </c>
      <c r="R22569">
        <v>0</v>
      </c>
      <c r="S22569">
        <v>0</v>
      </c>
      <c r="T22569" t="s">
        <v>85909</v>
      </c>
    </row>
    <row r="22570" spans="1:20" customFormat="1" ht="15" x14ac:dyDescent="0.25">
      <c r="A22570" t="s">
        <v>24</v>
      </c>
      <c r="B22570" t="s">
        <v>2360</v>
      </c>
      <c r="C22570" t="str">
        <f>"CL0648"</f>
        <v>CL0648</v>
      </c>
      <c r="D22570" t="s">
        <v>85910</v>
      </c>
      <c r="E22570" t="s">
        <v>85911</v>
      </c>
      <c r="F22570" t="s">
        <v>2094</v>
      </c>
      <c r="G22570" t="s">
        <v>52</v>
      </c>
      <c r="H22570">
        <v>75201</v>
      </c>
      <c r="I22570" t="s">
        <v>30</v>
      </c>
      <c r="J22570" t="s">
        <v>2558</v>
      </c>
      <c r="K22570" t="s">
        <v>56092</v>
      </c>
      <c r="N22570" t="s">
        <v>85912</v>
      </c>
      <c r="Q22570">
        <v>0</v>
      </c>
      <c r="R22570">
        <v>0</v>
      </c>
      <c r="S22570">
        <v>0</v>
      </c>
      <c r="T22570" t="s">
        <v>85913</v>
      </c>
    </row>
    <row r="22571" spans="1:20" customFormat="1" ht="15" x14ac:dyDescent="0.25">
      <c r="A22571" t="s">
        <v>24</v>
      </c>
      <c r="B22571" t="s">
        <v>2360</v>
      </c>
      <c r="C22571" t="str">
        <f>"CL0198"</f>
        <v>CL0198</v>
      </c>
      <c r="D22571" t="s">
        <v>85914</v>
      </c>
      <c r="E22571" t="s">
        <v>85915</v>
      </c>
      <c r="F22571" t="s">
        <v>1570</v>
      </c>
      <c r="G22571" t="s">
        <v>81</v>
      </c>
      <c r="H22571">
        <v>33394</v>
      </c>
      <c r="I22571" t="s">
        <v>30</v>
      </c>
      <c r="J22571" t="s">
        <v>2558</v>
      </c>
      <c r="K22571" t="s">
        <v>55688</v>
      </c>
      <c r="Q22571">
        <v>0</v>
      </c>
      <c r="R22571">
        <v>0</v>
      </c>
      <c r="S22571">
        <v>0</v>
      </c>
      <c r="T22571" t="s">
        <v>85916</v>
      </c>
    </row>
    <row r="22572" spans="1:20" customFormat="1" ht="15" x14ac:dyDescent="0.25">
      <c r="A22572" t="s">
        <v>24</v>
      </c>
      <c r="B22572" t="s">
        <v>2360</v>
      </c>
      <c r="C22572" t="str">
        <f>"CL0293"</f>
        <v>CL0293</v>
      </c>
      <c r="D22572" t="s">
        <v>85917</v>
      </c>
      <c r="E22572" t="s">
        <v>85918</v>
      </c>
      <c r="F22572" t="s">
        <v>60374</v>
      </c>
      <c r="G22572" t="s">
        <v>29</v>
      </c>
      <c r="H22572">
        <v>22182</v>
      </c>
      <c r="I22572" t="s">
        <v>30</v>
      </c>
      <c r="J22572" t="s">
        <v>2558</v>
      </c>
      <c r="K22572" t="s">
        <v>56092</v>
      </c>
      <c r="N22572" t="s">
        <v>85919</v>
      </c>
      <c r="Q22572">
        <v>0</v>
      </c>
      <c r="R22572">
        <v>0</v>
      </c>
      <c r="S22572">
        <v>0</v>
      </c>
      <c r="T22572" t="s">
        <v>85920</v>
      </c>
    </row>
    <row r="22573" spans="1:20" customFormat="1" ht="15" x14ac:dyDescent="0.25">
      <c r="A22573" t="s">
        <v>24</v>
      </c>
      <c r="B22573" t="s">
        <v>2360</v>
      </c>
      <c r="C22573" t="str">
        <f>"CL0682"</f>
        <v>CL0682</v>
      </c>
      <c r="D22573" t="s">
        <v>85921</v>
      </c>
      <c r="E22573" t="s">
        <v>85922</v>
      </c>
      <c r="F22573" t="s">
        <v>61274</v>
      </c>
      <c r="G22573" t="s">
        <v>29</v>
      </c>
      <c r="H22573">
        <v>23510</v>
      </c>
      <c r="I22573" t="s">
        <v>30</v>
      </c>
      <c r="J22573" t="s">
        <v>2558</v>
      </c>
      <c r="K22573" t="s">
        <v>55688</v>
      </c>
      <c r="N22573" t="s">
        <v>85923</v>
      </c>
      <c r="Q22573">
        <v>0</v>
      </c>
      <c r="R22573">
        <v>0</v>
      </c>
      <c r="S22573">
        <v>0</v>
      </c>
      <c r="T22573" t="s">
        <v>85924</v>
      </c>
    </row>
    <row r="22574" spans="1:20" customFormat="1" ht="15" x14ac:dyDescent="0.25">
      <c r="A22574" t="s">
        <v>24</v>
      </c>
      <c r="B22574" t="s">
        <v>60496</v>
      </c>
      <c r="C22574" t="str">
        <f>"A0091449"</f>
        <v>A0091449</v>
      </c>
      <c r="D22574" t="s">
        <v>85925</v>
      </c>
      <c r="E22574" t="s">
        <v>85926</v>
      </c>
      <c r="F22574" t="s">
        <v>60499</v>
      </c>
      <c r="G22574" t="s">
        <v>123</v>
      </c>
      <c r="H22574">
        <v>21703</v>
      </c>
      <c r="I22574" t="s">
        <v>30</v>
      </c>
      <c r="J22574" t="s">
        <v>31</v>
      </c>
      <c r="K22574" t="s">
        <v>222</v>
      </c>
      <c r="N22574" t="s">
        <v>85927</v>
      </c>
      <c r="O22574" t="s">
        <v>85928</v>
      </c>
      <c r="Q22574">
        <v>0</v>
      </c>
      <c r="R22574">
        <v>120</v>
      </c>
      <c r="S22574">
        <v>0</v>
      </c>
      <c r="T22574" t="s">
        <v>85929</v>
      </c>
    </row>
    <row r="22575" spans="1:20" customFormat="1" ht="15" x14ac:dyDescent="0.25">
      <c r="A22575" t="s">
        <v>24</v>
      </c>
      <c r="B22575" t="s">
        <v>675</v>
      </c>
      <c r="C22575" t="str">
        <f>"645BN"</f>
        <v>645BN</v>
      </c>
      <c r="D22575" t="s">
        <v>85930</v>
      </c>
      <c r="E22575" t="s">
        <v>85931</v>
      </c>
      <c r="F22575" t="s">
        <v>60613</v>
      </c>
      <c r="G22575" t="s">
        <v>110</v>
      </c>
      <c r="H22575">
        <v>90250</v>
      </c>
      <c r="I22575" t="s">
        <v>30</v>
      </c>
      <c r="J22575" t="s">
        <v>31</v>
      </c>
      <c r="K22575" t="s">
        <v>222</v>
      </c>
      <c r="N22575" t="s">
        <v>82271</v>
      </c>
      <c r="Q22575">
        <v>0</v>
      </c>
      <c r="R22575">
        <v>144</v>
      </c>
      <c r="S22575">
        <v>0</v>
      </c>
      <c r="T22575" t="s">
        <v>85932</v>
      </c>
    </row>
    <row r="22576" spans="1:20" customFormat="1" ht="15" x14ac:dyDescent="0.25">
      <c r="A22576" t="s">
        <v>24</v>
      </c>
      <c r="B22576" t="s">
        <v>675</v>
      </c>
      <c r="C22576" t="str">
        <f>"645BH"</f>
        <v>645BH</v>
      </c>
      <c r="D22576" t="s">
        <v>85933</v>
      </c>
      <c r="E22576" t="s">
        <v>85934</v>
      </c>
      <c r="F22576" t="s">
        <v>6698</v>
      </c>
      <c r="G22576" t="s">
        <v>289</v>
      </c>
      <c r="H22576">
        <v>60148</v>
      </c>
      <c r="I22576" t="s">
        <v>30</v>
      </c>
      <c r="J22576" t="s">
        <v>31</v>
      </c>
      <c r="K22576" t="s">
        <v>222</v>
      </c>
      <c r="N22576" t="s">
        <v>85935</v>
      </c>
      <c r="Q22576">
        <v>0</v>
      </c>
      <c r="R22576">
        <v>127</v>
      </c>
      <c r="S22576">
        <v>0</v>
      </c>
      <c r="T22576" t="s">
        <v>85936</v>
      </c>
    </row>
    <row r="22577" spans="1:20" customFormat="1" ht="15" x14ac:dyDescent="0.25">
      <c r="A22577" t="s">
        <v>24</v>
      </c>
      <c r="B22577" t="s">
        <v>13299</v>
      </c>
      <c r="C22577" t="str">
        <f>"A0083449"</f>
        <v>A0083449</v>
      </c>
      <c r="D22577" t="s">
        <v>85937</v>
      </c>
      <c r="E22577" t="s">
        <v>85938</v>
      </c>
      <c r="F22577" t="s">
        <v>67480</v>
      </c>
      <c r="G22577" t="s">
        <v>81</v>
      </c>
      <c r="H22577">
        <v>32159</v>
      </c>
      <c r="I22577" t="s">
        <v>30</v>
      </c>
      <c r="J22577" t="s">
        <v>31</v>
      </c>
      <c r="K22577" t="s">
        <v>222</v>
      </c>
      <c r="N22577" t="s">
        <v>85939</v>
      </c>
      <c r="Q22577">
        <v>0</v>
      </c>
      <c r="R22577">
        <v>119</v>
      </c>
      <c r="S22577">
        <v>0</v>
      </c>
      <c r="T22577" t="s">
        <v>85940</v>
      </c>
    </row>
    <row r="22578" spans="1:20" customFormat="1" ht="15" x14ac:dyDescent="0.25">
      <c r="A22578" t="s">
        <v>24</v>
      </c>
      <c r="B22578" t="s">
        <v>33301</v>
      </c>
      <c r="C22578" t="str">
        <f>"A0095646"</f>
        <v>A0095646</v>
      </c>
      <c r="D22578" t="s">
        <v>85941</v>
      </c>
      <c r="E22578" t="s">
        <v>59480</v>
      </c>
      <c r="F22578" t="s">
        <v>59476</v>
      </c>
      <c r="G22578" t="s">
        <v>52</v>
      </c>
      <c r="H22578">
        <v>79601</v>
      </c>
      <c r="I22578" t="s">
        <v>30</v>
      </c>
      <c r="J22578" t="s">
        <v>31</v>
      </c>
      <c r="K22578" t="s">
        <v>222</v>
      </c>
      <c r="N22578" t="s">
        <v>59481</v>
      </c>
      <c r="O22578" t="s">
        <v>59482</v>
      </c>
      <c r="Q22578">
        <v>0</v>
      </c>
      <c r="R22578">
        <v>76</v>
      </c>
      <c r="S22578">
        <v>0</v>
      </c>
      <c r="T22578" t="s">
        <v>59483</v>
      </c>
    </row>
    <row r="22579" spans="1:20" customFormat="1" ht="15" x14ac:dyDescent="0.25">
      <c r="A22579" t="s">
        <v>24</v>
      </c>
      <c r="B22579" t="s">
        <v>58106</v>
      </c>
      <c r="C22579" t="str">
        <f>"A0091988"</f>
        <v>A0091988</v>
      </c>
      <c r="D22579" t="s">
        <v>85942</v>
      </c>
      <c r="E22579" t="s">
        <v>85943</v>
      </c>
      <c r="F22579" t="s">
        <v>64410</v>
      </c>
      <c r="G22579" t="s">
        <v>58</v>
      </c>
      <c r="H22579">
        <v>29803</v>
      </c>
      <c r="I22579" t="s">
        <v>30</v>
      </c>
      <c r="J22579" t="s">
        <v>31</v>
      </c>
      <c r="K22579" t="s">
        <v>222</v>
      </c>
      <c r="N22579" t="s">
        <v>85944</v>
      </c>
      <c r="Q22579">
        <v>0</v>
      </c>
      <c r="R22579">
        <v>85</v>
      </c>
      <c r="S22579">
        <v>0</v>
      </c>
      <c r="T22579" t="s">
        <v>85945</v>
      </c>
    </row>
    <row r="22580" spans="1:20" customFormat="1" ht="15" x14ac:dyDescent="0.25">
      <c r="A22580" t="s">
        <v>24</v>
      </c>
      <c r="B22580" t="s">
        <v>5564</v>
      </c>
      <c r="C22580" t="str">
        <f>"A0099433"</f>
        <v>A0099433</v>
      </c>
      <c r="D22580" t="s">
        <v>85946</v>
      </c>
      <c r="E22580" t="s">
        <v>85947</v>
      </c>
      <c r="F22580" t="s">
        <v>6897</v>
      </c>
      <c r="G22580" t="s">
        <v>846</v>
      </c>
      <c r="H22580">
        <v>31707</v>
      </c>
      <c r="I22580" t="s">
        <v>30</v>
      </c>
      <c r="J22580" t="s">
        <v>31</v>
      </c>
      <c r="K22580" t="s">
        <v>222</v>
      </c>
      <c r="N22580" t="s">
        <v>85948</v>
      </c>
      <c r="Q22580">
        <v>0</v>
      </c>
      <c r="R22580">
        <v>80</v>
      </c>
      <c r="S22580">
        <v>0</v>
      </c>
      <c r="T22580" t="s">
        <v>85949</v>
      </c>
    </row>
    <row r="22581" spans="1:20" customFormat="1" ht="15" x14ac:dyDescent="0.25">
      <c r="A22581" t="s">
        <v>24</v>
      </c>
      <c r="B22581" t="s">
        <v>1317</v>
      </c>
      <c r="C22581" t="str">
        <f>"A0090901"</f>
        <v>A0090901</v>
      </c>
      <c r="D22581" t="s">
        <v>85950</v>
      </c>
      <c r="E22581" t="s">
        <v>85951</v>
      </c>
      <c r="F22581" t="s">
        <v>34900</v>
      </c>
      <c r="G22581" t="s">
        <v>1587</v>
      </c>
      <c r="H22581">
        <v>87109</v>
      </c>
      <c r="I22581" t="s">
        <v>30</v>
      </c>
      <c r="J22581" t="s">
        <v>31</v>
      </c>
      <c r="K22581" t="s">
        <v>222</v>
      </c>
      <c r="N22581" t="s">
        <v>85952</v>
      </c>
      <c r="Q22581">
        <v>0</v>
      </c>
      <c r="R22581">
        <v>91</v>
      </c>
      <c r="S22581">
        <v>0</v>
      </c>
      <c r="T22581" t="s">
        <v>85953</v>
      </c>
    </row>
    <row r="22582" spans="1:20" customFormat="1" ht="15" x14ac:dyDescent="0.25">
      <c r="A22582" t="s">
        <v>24</v>
      </c>
      <c r="B22582" t="s">
        <v>2340</v>
      </c>
      <c r="C22582" t="str">
        <f>"A0094898"</f>
        <v>A0094898</v>
      </c>
      <c r="D22582" t="s">
        <v>85954</v>
      </c>
      <c r="E22582" t="s">
        <v>85955</v>
      </c>
      <c r="F22582" t="s">
        <v>1622</v>
      </c>
      <c r="G22582" t="s">
        <v>29</v>
      </c>
      <c r="H22582">
        <v>22309</v>
      </c>
      <c r="I22582" t="s">
        <v>30</v>
      </c>
      <c r="J22582" t="s">
        <v>31</v>
      </c>
      <c r="K22582" t="s">
        <v>222</v>
      </c>
      <c r="N22582" t="s">
        <v>85956</v>
      </c>
      <c r="Q22582">
        <v>0</v>
      </c>
      <c r="R22582">
        <v>92</v>
      </c>
      <c r="S22582">
        <v>0</v>
      </c>
      <c r="T22582" t="s">
        <v>85957</v>
      </c>
    </row>
    <row r="22583" spans="1:20" customFormat="1" ht="15" x14ac:dyDescent="0.25">
      <c r="A22583" t="s">
        <v>24</v>
      </c>
      <c r="B22583" t="s">
        <v>1317</v>
      </c>
      <c r="C22583" t="str">
        <f>"A0094615"</f>
        <v>A0094615</v>
      </c>
      <c r="D22583" t="s">
        <v>85954</v>
      </c>
      <c r="E22583" t="s">
        <v>85958</v>
      </c>
      <c r="F22583" t="s">
        <v>1622</v>
      </c>
      <c r="G22583" t="s">
        <v>1170</v>
      </c>
      <c r="H22583">
        <v>71301</v>
      </c>
      <c r="I22583" t="s">
        <v>30</v>
      </c>
      <c r="J22583" t="s">
        <v>31</v>
      </c>
      <c r="K22583" t="s">
        <v>222</v>
      </c>
      <c r="N22583" t="s">
        <v>85959</v>
      </c>
      <c r="Q22583">
        <v>0</v>
      </c>
      <c r="R22583">
        <v>91</v>
      </c>
      <c r="S22583">
        <v>0</v>
      </c>
      <c r="T22583" t="s">
        <v>85960</v>
      </c>
    </row>
    <row r="22584" spans="1:20" customFormat="1" ht="15" x14ac:dyDescent="0.25">
      <c r="A22584" t="s">
        <v>24</v>
      </c>
      <c r="B22584" t="s">
        <v>1323</v>
      </c>
      <c r="C22584" t="str">
        <f>"A0099484"</f>
        <v>A0099484</v>
      </c>
      <c r="D22584" t="s">
        <v>85961</v>
      </c>
      <c r="E22584" t="s">
        <v>85962</v>
      </c>
      <c r="F22584" t="s">
        <v>14530</v>
      </c>
      <c r="G22584" t="s">
        <v>81</v>
      </c>
      <c r="H22584">
        <v>32714</v>
      </c>
      <c r="I22584" t="s">
        <v>30</v>
      </c>
      <c r="J22584" t="s">
        <v>31</v>
      </c>
      <c r="K22584" t="s">
        <v>222</v>
      </c>
      <c r="N22584" t="s">
        <v>3486</v>
      </c>
      <c r="Q22584">
        <v>0</v>
      </c>
      <c r="R22584">
        <v>115</v>
      </c>
      <c r="S22584">
        <v>0</v>
      </c>
      <c r="T22584" t="s">
        <v>85963</v>
      </c>
    </row>
    <row r="22585" spans="1:20" customFormat="1" ht="15" x14ac:dyDescent="0.25">
      <c r="A22585" t="s">
        <v>24</v>
      </c>
      <c r="B22585" t="s">
        <v>60496</v>
      </c>
      <c r="C22585" t="str">
        <f>"A0074700"</f>
        <v>A0074700</v>
      </c>
      <c r="D22585" t="s">
        <v>85964</v>
      </c>
      <c r="E22585" t="s">
        <v>85965</v>
      </c>
      <c r="F22585" t="s">
        <v>64449</v>
      </c>
      <c r="G22585" t="s">
        <v>103</v>
      </c>
      <c r="H22585">
        <v>16602</v>
      </c>
      <c r="I22585" t="s">
        <v>30</v>
      </c>
      <c r="J22585" t="s">
        <v>31</v>
      </c>
      <c r="K22585" t="s">
        <v>222</v>
      </c>
      <c r="N22585" t="s">
        <v>64451</v>
      </c>
      <c r="O22585" t="s">
        <v>85966</v>
      </c>
      <c r="Q22585">
        <v>0</v>
      </c>
      <c r="R22585">
        <v>93</v>
      </c>
      <c r="S22585">
        <v>0</v>
      </c>
      <c r="T22585" t="s">
        <v>85967</v>
      </c>
    </row>
    <row r="22586" spans="1:20" customFormat="1" ht="15" x14ac:dyDescent="0.25">
      <c r="A22586" t="s">
        <v>24</v>
      </c>
      <c r="B22586" t="s">
        <v>8579</v>
      </c>
      <c r="C22586" t="str">
        <f>"A0093174"</f>
        <v>A0093174</v>
      </c>
      <c r="D22586" t="s">
        <v>85968</v>
      </c>
      <c r="E22586" t="s">
        <v>85969</v>
      </c>
      <c r="F22586" t="s">
        <v>3048</v>
      </c>
      <c r="G22586" t="s">
        <v>3049</v>
      </c>
      <c r="H22586">
        <v>99503</v>
      </c>
      <c r="I22586" t="s">
        <v>30</v>
      </c>
      <c r="J22586" t="s">
        <v>31</v>
      </c>
      <c r="K22586" t="s">
        <v>222</v>
      </c>
      <c r="N22586" t="s">
        <v>85970</v>
      </c>
      <c r="O22586" t="s">
        <v>85971</v>
      </c>
      <c r="Q22586">
        <v>0</v>
      </c>
      <c r="R22586">
        <v>115</v>
      </c>
      <c r="S22586">
        <v>0</v>
      </c>
      <c r="T22586" t="s">
        <v>85972</v>
      </c>
    </row>
    <row r="22587" spans="1:20" customFormat="1" ht="15" x14ac:dyDescent="0.25">
      <c r="A22587" t="s">
        <v>24</v>
      </c>
      <c r="B22587" t="s">
        <v>13807</v>
      </c>
      <c r="C22587" t="str">
        <f>"A0096524"</f>
        <v>A0096524</v>
      </c>
      <c r="D22587" t="s">
        <v>85973</v>
      </c>
      <c r="E22587" t="s">
        <v>85974</v>
      </c>
      <c r="F22587" t="s">
        <v>59643</v>
      </c>
      <c r="G22587" t="s">
        <v>1706</v>
      </c>
      <c r="H22587">
        <v>36832</v>
      </c>
      <c r="I22587" t="s">
        <v>30</v>
      </c>
      <c r="J22587" t="s">
        <v>31</v>
      </c>
      <c r="K22587" t="s">
        <v>222</v>
      </c>
      <c r="N22587" t="s">
        <v>85975</v>
      </c>
      <c r="Q22587">
        <v>0</v>
      </c>
      <c r="R22587">
        <v>95</v>
      </c>
      <c r="S22587">
        <v>0</v>
      </c>
      <c r="T22587" t="s">
        <v>85976</v>
      </c>
    </row>
    <row r="22588" spans="1:20" customFormat="1" ht="15" x14ac:dyDescent="0.25">
      <c r="A22588" t="s">
        <v>24</v>
      </c>
      <c r="B22588" t="s">
        <v>1138</v>
      </c>
      <c r="C22588" t="str">
        <f>"A0099853"</f>
        <v>A0099853</v>
      </c>
      <c r="D22588" t="s">
        <v>85977</v>
      </c>
      <c r="E22588" t="s">
        <v>85978</v>
      </c>
      <c r="F22588" t="s">
        <v>372</v>
      </c>
      <c r="G22588" t="s">
        <v>52</v>
      </c>
      <c r="H22588">
        <v>78729</v>
      </c>
      <c r="I22588" t="s">
        <v>30</v>
      </c>
      <c r="J22588" t="s">
        <v>31</v>
      </c>
      <c r="K22588" t="s">
        <v>222</v>
      </c>
      <c r="N22588" t="s">
        <v>85979</v>
      </c>
      <c r="O22588" t="s">
        <v>85980</v>
      </c>
      <c r="Q22588">
        <v>0</v>
      </c>
      <c r="R22588">
        <v>104</v>
      </c>
      <c r="S22588">
        <v>0</v>
      </c>
      <c r="T22588" t="s">
        <v>85981</v>
      </c>
    </row>
    <row r="22589" spans="1:20" customFormat="1" ht="15" x14ac:dyDescent="0.25">
      <c r="A22589" t="s">
        <v>24</v>
      </c>
      <c r="B22589" t="s">
        <v>59798</v>
      </c>
      <c r="C22589" t="str">
        <f>"685ZH"</f>
        <v>685ZH</v>
      </c>
      <c r="D22589" t="s">
        <v>85982</v>
      </c>
      <c r="E22589" t="s">
        <v>85983</v>
      </c>
      <c r="F22589" t="s">
        <v>60464</v>
      </c>
      <c r="G22589" t="s">
        <v>123</v>
      </c>
      <c r="H22589">
        <v>20701</v>
      </c>
      <c r="I22589" t="s">
        <v>30</v>
      </c>
      <c r="J22589" t="s">
        <v>31</v>
      </c>
      <c r="K22589" t="s">
        <v>222</v>
      </c>
      <c r="N22589" t="s">
        <v>85984</v>
      </c>
      <c r="Q22589">
        <v>0</v>
      </c>
      <c r="R22589">
        <v>94</v>
      </c>
      <c r="S22589">
        <v>0</v>
      </c>
      <c r="T22589" t="s">
        <v>85985</v>
      </c>
    </row>
    <row r="22590" spans="1:20" customFormat="1" ht="15" x14ac:dyDescent="0.25">
      <c r="A22590" t="s">
        <v>24</v>
      </c>
      <c r="B22590" t="s">
        <v>56505</v>
      </c>
      <c r="C22590" t="str">
        <f>"A0090166"</f>
        <v>A0090166</v>
      </c>
      <c r="D22590" t="s">
        <v>85986</v>
      </c>
      <c r="E22590" t="s">
        <v>85987</v>
      </c>
      <c r="F22590" t="s">
        <v>82319</v>
      </c>
      <c r="G22590" t="s">
        <v>1170</v>
      </c>
      <c r="H22590">
        <v>70737</v>
      </c>
      <c r="I22590" t="s">
        <v>30</v>
      </c>
      <c r="J22590" t="s">
        <v>31</v>
      </c>
      <c r="K22590" t="s">
        <v>222</v>
      </c>
      <c r="N22590" t="s">
        <v>82320</v>
      </c>
      <c r="Q22590">
        <v>0</v>
      </c>
      <c r="R22590">
        <v>95</v>
      </c>
      <c r="S22590">
        <v>0</v>
      </c>
      <c r="T22590" t="s">
        <v>85988</v>
      </c>
    </row>
    <row r="22591" spans="1:20" customFormat="1" ht="15" x14ac:dyDescent="0.25">
      <c r="A22591" t="s">
        <v>24</v>
      </c>
      <c r="B22591" t="s">
        <v>3502</v>
      </c>
      <c r="C22591" t="str">
        <f>"A0100222"</f>
        <v>A0100222</v>
      </c>
      <c r="D22591" t="s">
        <v>85989</v>
      </c>
      <c r="E22591" t="s">
        <v>85990</v>
      </c>
      <c r="F22591" t="s">
        <v>70182</v>
      </c>
      <c r="G22591" t="s">
        <v>1170</v>
      </c>
      <c r="H22591">
        <v>70767</v>
      </c>
      <c r="I22591" t="s">
        <v>30</v>
      </c>
      <c r="J22591" t="s">
        <v>31</v>
      </c>
      <c r="K22591" t="s">
        <v>222</v>
      </c>
      <c r="N22591" t="s">
        <v>6489</v>
      </c>
      <c r="Q22591">
        <v>0</v>
      </c>
      <c r="R22591">
        <v>99</v>
      </c>
      <c r="S22591">
        <v>0</v>
      </c>
      <c r="T22591" t="s">
        <v>85991</v>
      </c>
    </row>
    <row r="22592" spans="1:20" customFormat="1" ht="15" x14ac:dyDescent="0.25">
      <c r="A22592" t="s">
        <v>24</v>
      </c>
      <c r="B22592" t="s">
        <v>3502</v>
      </c>
      <c r="C22592" t="str">
        <f>"685Y3"</f>
        <v>685Y3</v>
      </c>
      <c r="D22592" t="s">
        <v>85992</v>
      </c>
      <c r="E22592" t="s">
        <v>85993</v>
      </c>
      <c r="F22592" t="s">
        <v>34979</v>
      </c>
      <c r="G22592" t="s">
        <v>1170</v>
      </c>
      <c r="H22592">
        <v>70809</v>
      </c>
      <c r="I22592" t="s">
        <v>30</v>
      </c>
      <c r="J22592" t="s">
        <v>31</v>
      </c>
      <c r="K22592" t="s">
        <v>222</v>
      </c>
      <c r="N22592" t="s">
        <v>85994</v>
      </c>
      <c r="Q22592">
        <v>0</v>
      </c>
      <c r="R22592">
        <v>90</v>
      </c>
      <c r="S22592">
        <v>0</v>
      </c>
      <c r="T22592" t="s">
        <v>85995</v>
      </c>
    </row>
    <row r="22593" spans="1:20" customFormat="1" ht="15" x14ac:dyDescent="0.25">
      <c r="A22593" t="s">
        <v>24</v>
      </c>
      <c r="B22593" t="s">
        <v>56921</v>
      </c>
      <c r="C22593" t="str">
        <f>"A0094049"</f>
        <v>A0094049</v>
      </c>
      <c r="D22593" t="s">
        <v>85996</v>
      </c>
      <c r="E22593" t="s">
        <v>85997</v>
      </c>
      <c r="F22593" t="s">
        <v>1531</v>
      </c>
      <c r="G22593" t="s">
        <v>76</v>
      </c>
      <c r="H22593">
        <v>98226</v>
      </c>
      <c r="I22593" t="s">
        <v>30</v>
      </c>
      <c r="J22593" t="s">
        <v>31</v>
      </c>
      <c r="K22593" t="s">
        <v>222</v>
      </c>
      <c r="N22593" t="s">
        <v>82328</v>
      </c>
      <c r="O22593" t="s">
        <v>85998</v>
      </c>
      <c r="Q22593">
        <v>0</v>
      </c>
      <c r="R22593">
        <v>83</v>
      </c>
      <c r="S22593">
        <v>0</v>
      </c>
      <c r="T22593" t="s">
        <v>85999</v>
      </c>
    </row>
    <row r="22594" spans="1:20" customFormat="1" ht="15" x14ac:dyDescent="0.25">
      <c r="A22594" t="s">
        <v>24</v>
      </c>
      <c r="B22594" t="s">
        <v>64569</v>
      </c>
      <c r="C22594" t="str">
        <f>"A0073890"</f>
        <v>A0073890</v>
      </c>
      <c r="D22594" t="s">
        <v>86000</v>
      </c>
      <c r="E22594" t="s">
        <v>86001</v>
      </c>
      <c r="F22594" t="s">
        <v>4189</v>
      </c>
      <c r="G22594" t="s">
        <v>47</v>
      </c>
      <c r="H22594">
        <v>97702</v>
      </c>
      <c r="I22594" t="s">
        <v>30</v>
      </c>
      <c r="J22594" t="s">
        <v>31</v>
      </c>
      <c r="K22594" t="s">
        <v>222</v>
      </c>
      <c r="N22594" t="s">
        <v>64572</v>
      </c>
      <c r="Q22594">
        <v>0</v>
      </c>
      <c r="R22594">
        <v>70</v>
      </c>
      <c r="S22594">
        <v>0</v>
      </c>
      <c r="T22594" t="s">
        <v>86002</v>
      </c>
    </row>
    <row r="22595" spans="1:20" customFormat="1" ht="15" x14ac:dyDescent="0.25">
      <c r="A22595" t="s">
        <v>24</v>
      </c>
      <c r="B22595" t="s">
        <v>2812</v>
      </c>
      <c r="C22595" t="str">
        <f>"A0065954"</f>
        <v>A0065954</v>
      </c>
      <c r="D22595" t="s">
        <v>86003</v>
      </c>
      <c r="E22595" t="s">
        <v>86004</v>
      </c>
      <c r="F22595" t="s">
        <v>55362</v>
      </c>
      <c r="G22595" t="s">
        <v>85</v>
      </c>
      <c r="H22595">
        <v>72712</v>
      </c>
      <c r="I22595" t="s">
        <v>30</v>
      </c>
      <c r="J22595" t="s">
        <v>31</v>
      </c>
      <c r="K22595" t="s">
        <v>222</v>
      </c>
      <c r="N22595" t="s">
        <v>86005</v>
      </c>
      <c r="Q22595">
        <v>0</v>
      </c>
      <c r="R22595">
        <v>78</v>
      </c>
      <c r="S22595">
        <v>0</v>
      </c>
      <c r="T22595" t="s">
        <v>86006</v>
      </c>
    </row>
    <row r="22596" spans="1:20" customFormat="1" ht="15" x14ac:dyDescent="0.25">
      <c r="A22596" t="s">
        <v>24</v>
      </c>
      <c r="B22596" t="s">
        <v>1317</v>
      </c>
      <c r="C22596" t="str">
        <f>"A0093693"</f>
        <v>A0093693</v>
      </c>
      <c r="D22596" t="s">
        <v>86007</v>
      </c>
      <c r="E22596" t="s">
        <v>86008</v>
      </c>
      <c r="F22596" t="s">
        <v>14951</v>
      </c>
      <c r="G22596" t="s">
        <v>1184</v>
      </c>
      <c r="H22596">
        <v>59102</v>
      </c>
      <c r="I22596" t="s">
        <v>30</v>
      </c>
      <c r="J22596" t="s">
        <v>31</v>
      </c>
      <c r="K22596" t="s">
        <v>222</v>
      </c>
      <c r="N22596" t="s">
        <v>86009</v>
      </c>
      <c r="Q22596">
        <v>0</v>
      </c>
      <c r="R22596">
        <v>91</v>
      </c>
      <c r="S22596">
        <v>0</v>
      </c>
      <c r="T22596" t="s">
        <v>86010</v>
      </c>
    </row>
    <row r="22597" spans="1:20" customFormat="1" ht="15" x14ac:dyDescent="0.25">
      <c r="A22597" t="s">
        <v>24</v>
      </c>
      <c r="B22597" t="s">
        <v>4400</v>
      </c>
      <c r="C22597" t="str">
        <f>"685XT"</f>
        <v>685XT</v>
      </c>
      <c r="D22597" t="s">
        <v>86011</v>
      </c>
      <c r="E22597" t="s">
        <v>86012</v>
      </c>
      <c r="F22597" t="s">
        <v>3455</v>
      </c>
      <c r="G22597" t="s">
        <v>381</v>
      </c>
      <c r="H22597">
        <v>47404</v>
      </c>
      <c r="I22597" t="s">
        <v>30</v>
      </c>
      <c r="J22597" t="s">
        <v>31</v>
      </c>
      <c r="K22597" t="s">
        <v>222</v>
      </c>
      <c r="N22597" t="s">
        <v>86013</v>
      </c>
      <c r="Q22597">
        <v>0</v>
      </c>
      <c r="R22597">
        <v>84</v>
      </c>
      <c r="S22597">
        <v>0</v>
      </c>
      <c r="T22597" t="s">
        <v>86014</v>
      </c>
    </row>
    <row r="22598" spans="1:20" customFormat="1" ht="15" x14ac:dyDescent="0.25">
      <c r="A22598" t="s">
        <v>24</v>
      </c>
      <c r="B22598" t="s">
        <v>56826</v>
      </c>
      <c r="C22598" t="str">
        <f>"645B4"</f>
        <v>645B4</v>
      </c>
      <c r="D22598" t="s">
        <v>86015</v>
      </c>
      <c r="E22598" t="s">
        <v>86016</v>
      </c>
      <c r="F22598" t="s">
        <v>86017</v>
      </c>
      <c r="G22598" t="s">
        <v>899</v>
      </c>
      <c r="H22598">
        <v>1876</v>
      </c>
      <c r="I22598" t="s">
        <v>30</v>
      </c>
      <c r="J22598" t="s">
        <v>31</v>
      </c>
      <c r="K22598" t="s">
        <v>222</v>
      </c>
      <c r="N22598" t="s">
        <v>86018</v>
      </c>
      <c r="Q22598">
        <v>0</v>
      </c>
      <c r="R22598">
        <v>95</v>
      </c>
      <c r="S22598">
        <v>0</v>
      </c>
      <c r="T22598" t="s">
        <v>86019</v>
      </c>
    </row>
    <row r="22599" spans="1:20" customFormat="1" ht="15" x14ac:dyDescent="0.25">
      <c r="A22599" t="s">
        <v>24</v>
      </c>
      <c r="B22599" t="s">
        <v>5149</v>
      </c>
      <c r="C22599" t="str">
        <f>"A0092221"</f>
        <v>A0092221</v>
      </c>
      <c r="D22599" t="s">
        <v>86020</v>
      </c>
      <c r="E22599" t="s">
        <v>86021</v>
      </c>
      <c r="F22599" t="s">
        <v>5152</v>
      </c>
      <c r="G22599" t="s">
        <v>840</v>
      </c>
      <c r="H22599">
        <v>42104</v>
      </c>
      <c r="I22599" t="s">
        <v>30</v>
      </c>
      <c r="J22599" t="s">
        <v>31</v>
      </c>
      <c r="K22599" t="s">
        <v>222</v>
      </c>
      <c r="N22599" t="s">
        <v>86022</v>
      </c>
      <c r="Q22599">
        <v>0</v>
      </c>
      <c r="R22599">
        <v>101</v>
      </c>
      <c r="S22599">
        <v>0</v>
      </c>
      <c r="T22599" t="s">
        <v>86023</v>
      </c>
    </row>
    <row r="22600" spans="1:20" customFormat="1" ht="15" x14ac:dyDescent="0.25">
      <c r="A22600" t="s">
        <v>24</v>
      </c>
      <c r="B22600" t="s">
        <v>2340</v>
      </c>
      <c r="C22600" t="str">
        <f>"A0090889"</f>
        <v>A0090889</v>
      </c>
      <c r="D22600" t="s">
        <v>86024</v>
      </c>
      <c r="E22600" t="s">
        <v>86025</v>
      </c>
      <c r="F22600" t="s">
        <v>58331</v>
      </c>
      <c r="G22600" t="s">
        <v>507</v>
      </c>
      <c r="H22600">
        <v>26330</v>
      </c>
      <c r="I22600" t="s">
        <v>30</v>
      </c>
      <c r="J22600" t="s">
        <v>31</v>
      </c>
      <c r="K22600" t="s">
        <v>222</v>
      </c>
      <c r="N22600" t="s">
        <v>82339</v>
      </c>
      <c r="Q22600">
        <v>0</v>
      </c>
      <c r="R22600">
        <v>97</v>
      </c>
      <c r="S22600">
        <v>0</v>
      </c>
      <c r="T22600" t="s">
        <v>86026</v>
      </c>
    </row>
    <row r="22601" spans="1:20" customFormat="1" ht="15" x14ac:dyDescent="0.25">
      <c r="A22601" t="s">
        <v>24</v>
      </c>
      <c r="B22601" t="s">
        <v>10986</v>
      </c>
      <c r="C22601" t="str">
        <f>"A0090298"</f>
        <v>A0090298</v>
      </c>
      <c r="D22601" t="s">
        <v>86027</v>
      </c>
      <c r="E22601" t="s">
        <v>86028</v>
      </c>
      <c r="F22601" t="s">
        <v>70247</v>
      </c>
      <c r="G22601" t="s">
        <v>221</v>
      </c>
      <c r="H22601">
        <v>89801</v>
      </c>
      <c r="I22601" t="s">
        <v>30</v>
      </c>
      <c r="J22601" t="s">
        <v>31</v>
      </c>
      <c r="K22601" t="s">
        <v>222</v>
      </c>
      <c r="N22601" t="s">
        <v>86029</v>
      </c>
      <c r="O22601" t="s">
        <v>86030</v>
      </c>
      <c r="Q22601">
        <v>0</v>
      </c>
      <c r="R22601">
        <v>84</v>
      </c>
      <c r="S22601">
        <v>0</v>
      </c>
      <c r="T22601" t="s">
        <v>86031</v>
      </c>
    </row>
    <row r="22602" spans="1:20" customFormat="1" ht="15" x14ac:dyDescent="0.25">
      <c r="A22602" t="s">
        <v>24</v>
      </c>
      <c r="B22602" t="s">
        <v>59798</v>
      </c>
      <c r="C22602" t="str">
        <f>"A0074599"</f>
        <v>A0074599</v>
      </c>
      <c r="D22602" t="s">
        <v>86032</v>
      </c>
      <c r="E22602" t="s">
        <v>86033</v>
      </c>
      <c r="F22602" t="s">
        <v>59801</v>
      </c>
      <c r="G22602" t="s">
        <v>123</v>
      </c>
      <c r="H22602">
        <v>20716</v>
      </c>
      <c r="I22602" t="s">
        <v>30</v>
      </c>
      <c r="J22602" t="s">
        <v>31</v>
      </c>
      <c r="K22602" t="s">
        <v>222</v>
      </c>
      <c r="N22602" t="s">
        <v>86034</v>
      </c>
      <c r="Q22602">
        <v>0</v>
      </c>
      <c r="R22602">
        <v>119</v>
      </c>
      <c r="S22602">
        <v>0</v>
      </c>
      <c r="T22602" t="s">
        <v>86035</v>
      </c>
    </row>
    <row r="22603" spans="1:20" customFormat="1" ht="15" x14ac:dyDescent="0.25">
      <c r="A22603" t="s">
        <v>24</v>
      </c>
      <c r="B22603" t="s">
        <v>7339</v>
      </c>
      <c r="C22603" t="str">
        <f>"A0062653"</f>
        <v>A0062653</v>
      </c>
      <c r="D22603" t="s">
        <v>86036</v>
      </c>
      <c r="E22603" t="s">
        <v>86037</v>
      </c>
      <c r="F22603" t="s">
        <v>3154</v>
      </c>
      <c r="G22603" t="s">
        <v>381</v>
      </c>
      <c r="H22603">
        <v>47905</v>
      </c>
      <c r="I22603" t="s">
        <v>30</v>
      </c>
      <c r="J22603" t="s">
        <v>31</v>
      </c>
      <c r="K22603" t="s">
        <v>222</v>
      </c>
      <c r="N22603" t="s">
        <v>60827</v>
      </c>
      <c r="Q22603">
        <v>0</v>
      </c>
      <c r="R22603">
        <v>74</v>
      </c>
      <c r="S22603">
        <v>0</v>
      </c>
      <c r="T22603" t="s">
        <v>86038</v>
      </c>
    </row>
    <row r="22604" spans="1:20" customFormat="1" ht="15" x14ac:dyDescent="0.25">
      <c r="A22604" t="s">
        <v>24</v>
      </c>
      <c r="B22604" t="s">
        <v>10986</v>
      </c>
      <c r="C22604" t="str">
        <f>"A0088093"</f>
        <v>A0088093</v>
      </c>
      <c r="D22604" t="s">
        <v>86039</v>
      </c>
      <c r="E22604" t="s">
        <v>86040</v>
      </c>
      <c r="F22604" t="s">
        <v>1541</v>
      </c>
      <c r="G22604" t="s">
        <v>427</v>
      </c>
      <c r="H22604">
        <v>68154</v>
      </c>
      <c r="I22604" t="s">
        <v>30</v>
      </c>
      <c r="J22604" t="s">
        <v>31</v>
      </c>
      <c r="K22604" t="s">
        <v>222</v>
      </c>
      <c r="N22604" t="s">
        <v>86041</v>
      </c>
      <c r="O22604" t="s">
        <v>86042</v>
      </c>
      <c r="Q22604">
        <v>0</v>
      </c>
      <c r="R22604">
        <v>108</v>
      </c>
      <c r="S22604">
        <v>0</v>
      </c>
      <c r="T22604" t="s">
        <v>86043</v>
      </c>
    </row>
    <row r="22605" spans="1:20" customFormat="1" ht="15" x14ac:dyDescent="0.25">
      <c r="A22605" t="s">
        <v>24</v>
      </c>
      <c r="B22605" t="s">
        <v>9391</v>
      </c>
      <c r="C22605" t="str">
        <f>"A0094532"</f>
        <v>A0094532</v>
      </c>
      <c r="D22605" t="s">
        <v>86044</v>
      </c>
      <c r="E22605" t="s">
        <v>86045</v>
      </c>
      <c r="F22605" t="s">
        <v>1233</v>
      </c>
      <c r="G22605" t="s">
        <v>880</v>
      </c>
      <c r="H22605">
        <v>37167</v>
      </c>
      <c r="I22605" t="s">
        <v>30</v>
      </c>
      <c r="J22605" t="s">
        <v>31</v>
      </c>
      <c r="K22605" t="s">
        <v>222</v>
      </c>
      <c r="N22605" t="s">
        <v>86046</v>
      </c>
      <c r="O22605" t="s">
        <v>86047</v>
      </c>
      <c r="Q22605">
        <v>0</v>
      </c>
      <c r="R22605">
        <v>89</v>
      </c>
      <c r="S22605">
        <v>0</v>
      </c>
      <c r="T22605" t="s">
        <v>86048</v>
      </c>
    </row>
    <row r="22606" spans="1:20" customFormat="1" ht="15" x14ac:dyDescent="0.25">
      <c r="A22606" t="s">
        <v>24</v>
      </c>
      <c r="B22606" t="s">
        <v>2368</v>
      </c>
      <c r="C22606" t="str">
        <f>"A0148810"</f>
        <v>A0148810</v>
      </c>
      <c r="D22606" t="s">
        <v>86049</v>
      </c>
      <c r="E22606" t="s">
        <v>62022</v>
      </c>
      <c r="F22606" t="s">
        <v>62023</v>
      </c>
      <c r="G22606" t="s">
        <v>110</v>
      </c>
      <c r="H22606">
        <v>91301</v>
      </c>
      <c r="I22606" t="s">
        <v>30</v>
      </c>
      <c r="J22606" t="s">
        <v>31</v>
      </c>
      <c r="K22606" t="s">
        <v>222</v>
      </c>
      <c r="N22606" t="s">
        <v>62024</v>
      </c>
      <c r="O22606" t="s">
        <v>62025</v>
      </c>
      <c r="Q22606">
        <v>0</v>
      </c>
      <c r="R22606">
        <v>96</v>
      </c>
      <c r="S22606">
        <v>0</v>
      </c>
      <c r="T22606" t="s">
        <v>86050</v>
      </c>
    </row>
    <row r="22607" spans="1:20" customFormat="1" ht="15" x14ac:dyDescent="0.25">
      <c r="A22607" t="s">
        <v>24</v>
      </c>
      <c r="B22607" t="s">
        <v>86051</v>
      </c>
      <c r="C22607" t="str">
        <f>"A0075496"</f>
        <v>A0075496</v>
      </c>
      <c r="D22607" t="s">
        <v>86052</v>
      </c>
      <c r="E22607" t="s">
        <v>86053</v>
      </c>
      <c r="F22607" t="s">
        <v>14506</v>
      </c>
      <c r="G22607" t="s">
        <v>110</v>
      </c>
      <c r="H22607">
        <v>95008</v>
      </c>
      <c r="I22607" t="s">
        <v>30</v>
      </c>
      <c r="J22607" t="s">
        <v>31</v>
      </c>
      <c r="K22607" t="s">
        <v>222</v>
      </c>
      <c r="N22607" t="s">
        <v>86054</v>
      </c>
      <c r="Q22607">
        <v>0</v>
      </c>
      <c r="R22607">
        <v>95</v>
      </c>
      <c r="S22607">
        <v>0</v>
      </c>
      <c r="T22607" t="s">
        <v>86055</v>
      </c>
    </row>
    <row r="22608" spans="1:20" customFormat="1" ht="15" x14ac:dyDescent="0.25">
      <c r="A22608" t="s">
        <v>24</v>
      </c>
      <c r="B22608" t="s">
        <v>13299</v>
      </c>
      <c r="C22608" t="str">
        <f>"A0098801"</f>
        <v>A0098801</v>
      </c>
      <c r="D22608" t="s">
        <v>86056</v>
      </c>
      <c r="E22608" t="s">
        <v>86057</v>
      </c>
      <c r="F22608" t="s">
        <v>3550</v>
      </c>
      <c r="G22608" t="s">
        <v>58</v>
      </c>
      <c r="H22608">
        <v>29418</v>
      </c>
      <c r="I22608" t="s">
        <v>30</v>
      </c>
      <c r="J22608" t="s">
        <v>31</v>
      </c>
      <c r="K22608" t="s">
        <v>222</v>
      </c>
      <c r="N22608" t="s">
        <v>86058</v>
      </c>
      <c r="O22608" t="s">
        <v>86059</v>
      </c>
      <c r="Q22608">
        <v>0</v>
      </c>
      <c r="R22608">
        <v>124</v>
      </c>
      <c r="S22608">
        <v>0</v>
      </c>
      <c r="T22608" t="s">
        <v>86060</v>
      </c>
    </row>
    <row r="22609" spans="1:20" customFormat="1" ht="15" x14ac:dyDescent="0.25">
      <c r="A22609" t="s">
        <v>24</v>
      </c>
      <c r="B22609" t="s">
        <v>58106</v>
      </c>
      <c r="C22609" t="str">
        <f>"A0117421"</f>
        <v>A0117421</v>
      </c>
      <c r="D22609" t="s">
        <v>86061</v>
      </c>
      <c r="E22609" t="s">
        <v>86062</v>
      </c>
      <c r="F22609" t="s">
        <v>13824</v>
      </c>
      <c r="G22609" t="s">
        <v>58</v>
      </c>
      <c r="H22609">
        <v>29420</v>
      </c>
      <c r="I22609" t="s">
        <v>30</v>
      </c>
      <c r="J22609" t="s">
        <v>31</v>
      </c>
      <c r="K22609" t="s">
        <v>222</v>
      </c>
      <c r="N22609" t="s">
        <v>86063</v>
      </c>
      <c r="O22609" t="s">
        <v>86064</v>
      </c>
      <c r="Q22609">
        <v>0</v>
      </c>
      <c r="R22609">
        <v>100</v>
      </c>
      <c r="S22609">
        <v>0</v>
      </c>
      <c r="T22609" t="s">
        <v>86065</v>
      </c>
    </row>
    <row r="22610" spans="1:20" customFormat="1" ht="15" x14ac:dyDescent="0.25">
      <c r="A22610" t="s">
        <v>24</v>
      </c>
      <c r="B22610" t="s">
        <v>1323</v>
      </c>
      <c r="C22610" t="str">
        <f>"685XL"</f>
        <v>685XL</v>
      </c>
      <c r="D22610" t="s">
        <v>86066</v>
      </c>
      <c r="E22610" t="s">
        <v>86067</v>
      </c>
      <c r="F22610" t="s">
        <v>242</v>
      </c>
      <c r="G22610" t="s">
        <v>214</v>
      </c>
      <c r="H22610">
        <v>28217</v>
      </c>
      <c r="I22610" t="s">
        <v>30</v>
      </c>
      <c r="J22610" t="s">
        <v>31</v>
      </c>
      <c r="K22610" t="s">
        <v>222</v>
      </c>
      <c r="N22610" t="s">
        <v>86068</v>
      </c>
      <c r="Q22610">
        <v>0</v>
      </c>
      <c r="R22610">
        <v>94</v>
      </c>
      <c r="S22610">
        <v>0</v>
      </c>
      <c r="T22610" t="s">
        <v>86069</v>
      </c>
    </row>
    <row r="22611" spans="1:20" customFormat="1" ht="15" x14ac:dyDescent="0.25">
      <c r="A22611" t="s">
        <v>24</v>
      </c>
      <c r="B22611" t="s">
        <v>2812</v>
      </c>
      <c r="C22611" t="str">
        <f>"A0099268"</f>
        <v>A0099268</v>
      </c>
      <c r="D22611" t="s">
        <v>86070</v>
      </c>
      <c r="E22611" t="s">
        <v>86071</v>
      </c>
      <c r="F22611" t="s">
        <v>9822</v>
      </c>
      <c r="G22611" t="s">
        <v>58</v>
      </c>
      <c r="H22611">
        <v>29707</v>
      </c>
      <c r="I22611" t="s">
        <v>30</v>
      </c>
      <c r="J22611" t="s">
        <v>31</v>
      </c>
      <c r="K22611" t="s">
        <v>222</v>
      </c>
      <c r="N22611" t="s">
        <v>70192</v>
      </c>
      <c r="O22611" t="s">
        <v>33746</v>
      </c>
      <c r="Q22611">
        <v>0</v>
      </c>
      <c r="R22611">
        <v>105</v>
      </c>
      <c r="S22611">
        <v>0</v>
      </c>
      <c r="T22611" t="s">
        <v>86072</v>
      </c>
    </row>
    <row r="22612" spans="1:20" customFormat="1" ht="15" x14ac:dyDescent="0.25">
      <c r="A22612" t="s">
        <v>24</v>
      </c>
      <c r="B22612" t="s">
        <v>3159</v>
      </c>
      <c r="C22612" t="str">
        <f>"645B9"</f>
        <v>645B9</v>
      </c>
      <c r="D22612" t="s">
        <v>86073</v>
      </c>
      <c r="E22612" t="s">
        <v>86074</v>
      </c>
      <c r="F22612" t="s">
        <v>242</v>
      </c>
      <c r="G22612" t="s">
        <v>214</v>
      </c>
      <c r="H22612">
        <v>28262</v>
      </c>
      <c r="I22612" t="s">
        <v>30</v>
      </c>
      <c r="J22612" t="s">
        <v>31</v>
      </c>
      <c r="K22612" t="s">
        <v>222</v>
      </c>
      <c r="N22612" t="s">
        <v>53266</v>
      </c>
      <c r="Q22612">
        <v>0</v>
      </c>
      <c r="R22612">
        <v>96</v>
      </c>
      <c r="S22612">
        <v>0</v>
      </c>
      <c r="T22612" t="s">
        <v>86075</v>
      </c>
    </row>
    <row r="22613" spans="1:20" customFormat="1" ht="15" x14ac:dyDescent="0.25">
      <c r="A22613" t="s">
        <v>24</v>
      </c>
      <c r="B22613" t="s">
        <v>4000</v>
      </c>
      <c r="C22613" t="str">
        <f>"A0096837"</f>
        <v>A0096837</v>
      </c>
      <c r="D22613" t="s">
        <v>86076</v>
      </c>
      <c r="E22613" t="s">
        <v>86077</v>
      </c>
      <c r="F22613" t="s">
        <v>4003</v>
      </c>
      <c r="G22613" t="s">
        <v>289</v>
      </c>
      <c r="H22613">
        <v>60173</v>
      </c>
      <c r="I22613" t="s">
        <v>30</v>
      </c>
      <c r="J22613" t="s">
        <v>31</v>
      </c>
      <c r="K22613" t="s">
        <v>222</v>
      </c>
      <c r="N22613" t="s">
        <v>4005</v>
      </c>
      <c r="Q22613">
        <v>0</v>
      </c>
      <c r="R22613">
        <v>81</v>
      </c>
      <c r="S22613">
        <v>0</v>
      </c>
      <c r="T22613" t="s">
        <v>86078</v>
      </c>
    </row>
    <row r="22614" spans="1:20" customFormat="1" ht="15" x14ac:dyDescent="0.25">
      <c r="A22614" t="s">
        <v>24</v>
      </c>
      <c r="B22614" t="s">
        <v>675</v>
      </c>
      <c r="C22614" t="str">
        <f>"A0099780"</f>
        <v>A0099780</v>
      </c>
      <c r="D22614" t="s">
        <v>86079</v>
      </c>
      <c r="E22614" t="s">
        <v>86080</v>
      </c>
      <c r="F22614" t="s">
        <v>1228</v>
      </c>
      <c r="G22614" t="s">
        <v>880</v>
      </c>
      <c r="H22614">
        <v>37043</v>
      </c>
      <c r="I22614" t="s">
        <v>30</v>
      </c>
      <c r="J22614" t="s">
        <v>31</v>
      </c>
      <c r="K22614" t="s">
        <v>222</v>
      </c>
      <c r="N22614" t="s">
        <v>3486</v>
      </c>
      <c r="O22614" t="s">
        <v>86081</v>
      </c>
      <c r="Q22614">
        <v>0</v>
      </c>
      <c r="R22614">
        <v>109</v>
      </c>
      <c r="S22614">
        <v>0</v>
      </c>
      <c r="T22614" t="s">
        <v>86082</v>
      </c>
    </row>
    <row r="22615" spans="1:20" customFormat="1" ht="15" x14ac:dyDescent="0.25">
      <c r="A22615" t="s">
        <v>24</v>
      </c>
      <c r="B22615" t="s">
        <v>4400</v>
      </c>
      <c r="C22615" t="str">
        <f>"645A7"</f>
        <v>645A7</v>
      </c>
      <c r="D22615" t="s">
        <v>86083</v>
      </c>
      <c r="E22615" t="s">
        <v>86084</v>
      </c>
      <c r="F22615" t="s">
        <v>12691</v>
      </c>
      <c r="G22615" t="s">
        <v>65</v>
      </c>
      <c r="H22615">
        <v>44145</v>
      </c>
      <c r="I22615" t="s">
        <v>30</v>
      </c>
      <c r="J22615" t="s">
        <v>31</v>
      </c>
      <c r="K22615" t="s">
        <v>222</v>
      </c>
      <c r="N22615" t="s">
        <v>60134</v>
      </c>
      <c r="O22615" t="s">
        <v>60135</v>
      </c>
      <c r="Q22615">
        <v>0</v>
      </c>
      <c r="R22615">
        <v>86</v>
      </c>
      <c r="S22615">
        <v>0</v>
      </c>
      <c r="T22615" t="s">
        <v>86085</v>
      </c>
    </row>
    <row r="22616" spans="1:20" customFormat="1" ht="15" x14ac:dyDescent="0.25">
      <c r="A22616" t="s">
        <v>24</v>
      </c>
      <c r="B22616" t="s">
        <v>10487</v>
      </c>
      <c r="C22616" t="str">
        <f>"A0147008"</f>
        <v>A0147008</v>
      </c>
      <c r="D22616" t="s">
        <v>86086</v>
      </c>
      <c r="E22616" t="s">
        <v>86087</v>
      </c>
      <c r="F22616" t="s">
        <v>8751</v>
      </c>
      <c r="G22616" t="s">
        <v>338</v>
      </c>
      <c r="H22616">
        <v>8809</v>
      </c>
      <c r="I22616" t="s">
        <v>30</v>
      </c>
      <c r="J22616" t="s">
        <v>31</v>
      </c>
      <c r="K22616" t="s">
        <v>222</v>
      </c>
      <c r="N22616" t="s">
        <v>86088</v>
      </c>
      <c r="Q22616">
        <v>0</v>
      </c>
      <c r="R22616">
        <v>100</v>
      </c>
      <c r="S22616">
        <v>0</v>
      </c>
      <c r="T22616" t="s">
        <v>86089</v>
      </c>
    </row>
    <row r="22617" spans="1:20" customFormat="1" ht="15" x14ac:dyDescent="0.25">
      <c r="A22617" t="s">
        <v>24</v>
      </c>
      <c r="B22617" t="s">
        <v>5558</v>
      </c>
      <c r="C22617" t="str">
        <f>"A0117420"</f>
        <v>A0117420</v>
      </c>
      <c r="D22617" t="s">
        <v>86090</v>
      </c>
      <c r="E22617" t="s">
        <v>86091</v>
      </c>
      <c r="F22617" t="s">
        <v>64761</v>
      </c>
      <c r="G22617" t="s">
        <v>1587</v>
      </c>
      <c r="H22617">
        <v>88101</v>
      </c>
      <c r="I22617" t="s">
        <v>30</v>
      </c>
      <c r="J22617" t="s">
        <v>31</v>
      </c>
      <c r="K22617" t="s">
        <v>222</v>
      </c>
      <c r="N22617" t="s">
        <v>86092</v>
      </c>
      <c r="O22617" t="s">
        <v>86093</v>
      </c>
      <c r="Q22617">
        <v>0</v>
      </c>
      <c r="R22617">
        <v>71</v>
      </c>
      <c r="S22617">
        <v>0</v>
      </c>
      <c r="T22617" t="s">
        <v>86094</v>
      </c>
    </row>
    <row r="22618" spans="1:20" customFormat="1" ht="15" x14ac:dyDescent="0.25">
      <c r="A22618" t="s">
        <v>24</v>
      </c>
      <c r="B22618" t="s">
        <v>2340</v>
      </c>
      <c r="C22618" t="str">
        <f>"A0094788"</f>
        <v>A0094788</v>
      </c>
      <c r="D22618" t="s">
        <v>86095</v>
      </c>
      <c r="E22618" t="s">
        <v>86096</v>
      </c>
      <c r="F22618" t="s">
        <v>3024</v>
      </c>
      <c r="G22618" t="s">
        <v>123</v>
      </c>
      <c r="H22618">
        <v>20740</v>
      </c>
      <c r="I22618" t="s">
        <v>30</v>
      </c>
      <c r="J22618" t="s">
        <v>31</v>
      </c>
      <c r="K22618" t="s">
        <v>222</v>
      </c>
      <c r="N22618" t="s">
        <v>86097</v>
      </c>
      <c r="Q22618">
        <v>0</v>
      </c>
      <c r="R22618">
        <v>76</v>
      </c>
      <c r="S22618">
        <v>0</v>
      </c>
      <c r="T22618" t="s">
        <v>86098</v>
      </c>
    </row>
    <row r="22619" spans="1:20" customFormat="1" ht="15" x14ac:dyDescent="0.25">
      <c r="A22619" t="s">
        <v>24</v>
      </c>
      <c r="B22619" t="s">
        <v>62099</v>
      </c>
      <c r="C22619" t="str">
        <f>"685ZD"</f>
        <v>685ZD</v>
      </c>
      <c r="D22619" t="s">
        <v>86099</v>
      </c>
      <c r="E22619" t="s">
        <v>86100</v>
      </c>
      <c r="F22619" t="s">
        <v>1858</v>
      </c>
      <c r="G22619" t="s">
        <v>190</v>
      </c>
      <c r="H22619">
        <v>80919</v>
      </c>
      <c r="I22619" t="s">
        <v>30</v>
      </c>
      <c r="J22619" t="s">
        <v>31</v>
      </c>
      <c r="K22619" t="s">
        <v>222</v>
      </c>
      <c r="N22619" t="s">
        <v>86101</v>
      </c>
      <c r="O22619" t="s">
        <v>86102</v>
      </c>
      <c r="Q22619">
        <v>0</v>
      </c>
      <c r="R22619">
        <v>94</v>
      </c>
      <c r="S22619">
        <v>0</v>
      </c>
      <c r="T22619" t="s">
        <v>86103</v>
      </c>
    </row>
    <row r="22620" spans="1:20" customFormat="1" ht="15" x14ac:dyDescent="0.25">
      <c r="A22620" t="s">
        <v>24</v>
      </c>
      <c r="B22620" t="s">
        <v>1317</v>
      </c>
      <c r="C22620" t="str">
        <f>"A0098403"</f>
        <v>A0098403</v>
      </c>
      <c r="D22620" t="s">
        <v>86104</v>
      </c>
      <c r="E22620" t="s">
        <v>86105</v>
      </c>
      <c r="F22620" t="s">
        <v>4909</v>
      </c>
      <c r="G22620" t="s">
        <v>137</v>
      </c>
      <c r="H22620">
        <v>65201</v>
      </c>
      <c r="I22620" t="s">
        <v>30</v>
      </c>
      <c r="J22620" t="s">
        <v>31</v>
      </c>
      <c r="K22620" t="s">
        <v>222</v>
      </c>
      <c r="N22620" t="s">
        <v>86106</v>
      </c>
      <c r="O22620" t="s">
        <v>86107</v>
      </c>
      <c r="Q22620">
        <v>0</v>
      </c>
      <c r="R22620">
        <v>96</v>
      </c>
      <c r="S22620">
        <v>0</v>
      </c>
      <c r="T22620" t="s">
        <v>86108</v>
      </c>
    </row>
    <row r="22621" spans="1:20" customFormat="1" ht="15" x14ac:dyDescent="0.25">
      <c r="A22621" t="s">
        <v>24</v>
      </c>
      <c r="B22621" t="s">
        <v>3159</v>
      </c>
      <c r="C22621" t="str">
        <f>"A0088335"</f>
        <v>A0088335</v>
      </c>
      <c r="D22621" t="s">
        <v>86104</v>
      </c>
      <c r="E22621" t="s">
        <v>86109</v>
      </c>
      <c r="F22621" t="s">
        <v>4909</v>
      </c>
      <c r="G22621" t="s">
        <v>58</v>
      </c>
      <c r="H22621">
        <v>29209</v>
      </c>
      <c r="I22621" t="s">
        <v>30</v>
      </c>
      <c r="J22621" t="s">
        <v>31</v>
      </c>
      <c r="K22621" t="s">
        <v>222</v>
      </c>
      <c r="N22621" t="s">
        <v>86110</v>
      </c>
      <c r="Q22621">
        <v>0</v>
      </c>
      <c r="R22621">
        <v>91</v>
      </c>
      <c r="S22621">
        <v>0</v>
      </c>
      <c r="T22621" t="s">
        <v>86111</v>
      </c>
    </row>
    <row r="22622" spans="1:20" customFormat="1" ht="15" x14ac:dyDescent="0.25">
      <c r="A22622" t="s">
        <v>24</v>
      </c>
      <c r="B22622" t="s">
        <v>56842</v>
      </c>
      <c r="C22622" t="str">
        <f>"A0157188"</f>
        <v>A0157188</v>
      </c>
      <c r="D22622" t="s">
        <v>86112</v>
      </c>
      <c r="E22622" t="s">
        <v>86113</v>
      </c>
      <c r="F22622" t="s">
        <v>56845</v>
      </c>
      <c r="G22622" t="s">
        <v>65</v>
      </c>
      <c r="H22622">
        <v>43026</v>
      </c>
      <c r="I22622" t="s">
        <v>30</v>
      </c>
      <c r="J22622" t="s">
        <v>31</v>
      </c>
      <c r="K22622" t="s">
        <v>222</v>
      </c>
      <c r="N22622" t="s">
        <v>86114</v>
      </c>
      <c r="Q22622">
        <v>0</v>
      </c>
      <c r="R22622">
        <v>94</v>
      </c>
      <c r="S22622">
        <v>0</v>
      </c>
      <c r="T22622" t="s">
        <v>86115</v>
      </c>
    </row>
    <row r="22623" spans="1:20" customFormat="1" ht="15" x14ac:dyDescent="0.25">
      <c r="A22623" t="s">
        <v>24</v>
      </c>
      <c r="B22623" t="s">
        <v>1098</v>
      </c>
      <c r="C22623" t="str">
        <f>"A0165804"</f>
        <v>A0165804</v>
      </c>
      <c r="D22623" t="s">
        <v>86116</v>
      </c>
      <c r="E22623" t="s">
        <v>86117</v>
      </c>
      <c r="F22623" t="s">
        <v>86118</v>
      </c>
      <c r="G22623" t="s">
        <v>65</v>
      </c>
      <c r="H22623">
        <v>43221</v>
      </c>
      <c r="I22623" t="s">
        <v>30</v>
      </c>
      <c r="J22623" t="s">
        <v>31</v>
      </c>
      <c r="K22623" t="s">
        <v>222</v>
      </c>
      <c r="N22623" t="s">
        <v>86119</v>
      </c>
      <c r="O22623" t="s">
        <v>86120</v>
      </c>
      <c r="Q22623">
        <v>0</v>
      </c>
      <c r="R22623">
        <v>119</v>
      </c>
      <c r="S22623">
        <v>0</v>
      </c>
      <c r="T22623" t="s">
        <v>86121</v>
      </c>
    </row>
    <row r="22624" spans="1:20" customFormat="1" ht="15" x14ac:dyDescent="0.25">
      <c r="A22624" t="s">
        <v>24</v>
      </c>
      <c r="B22624" t="s">
        <v>2005</v>
      </c>
      <c r="C22624" t="str">
        <f>"A0096275"</f>
        <v>A0096275</v>
      </c>
      <c r="D22624" t="s">
        <v>86122</v>
      </c>
      <c r="E22624" t="s">
        <v>86123</v>
      </c>
      <c r="F22624" t="s">
        <v>3545</v>
      </c>
      <c r="G22624" t="s">
        <v>880</v>
      </c>
      <c r="H22624">
        <v>38506</v>
      </c>
      <c r="I22624" t="s">
        <v>30</v>
      </c>
      <c r="J22624" t="s">
        <v>31</v>
      </c>
      <c r="K22624" t="s">
        <v>222</v>
      </c>
      <c r="N22624" t="s">
        <v>14929</v>
      </c>
      <c r="Q22624">
        <v>0</v>
      </c>
      <c r="R22624">
        <v>90</v>
      </c>
      <c r="S22624">
        <v>0</v>
      </c>
      <c r="T22624" t="s">
        <v>86124</v>
      </c>
    </row>
    <row r="22625" spans="1:20" customFormat="1" ht="15" x14ac:dyDescent="0.25">
      <c r="A22625" t="s">
        <v>24</v>
      </c>
      <c r="B22625" t="s">
        <v>1561</v>
      </c>
      <c r="C22625" t="str">
        <f>"A0093451"</f>
        <v>A0093451</v>
      </c>
      <c r="D22625" t="s">
        <v>86125</v>
      </c>
      <c r="E22625" t="s">
        <v>86126</v>
      </c>
      <c r="F22625" t="s">
        <v>15028</v>
      </c>
      <c r="G22625" t="s">
        <v>52</v>
      </c>
      <c r="H22625">
        <v>78412</v>
      </c>
      <c r="I22625" t="s">
        <v>30</v>
      </c>
      <c r="J22625" t="s">
        <v>31</v>
      </c>
      <c r="K22625" t="s">
        <v>222</v>
      </c>
      <c r="N22625" t="s">
        <v>86127</v>
      </c>
      <c r="O22625" t="s">
        <v>86128</v>
      </c>
      <c r="Q22625">
        <v>0</v>
      </c>
      <c r="R22625">
        <v>107</v>
      </c>
      <c r="S22625">
        <v>0</v>
      </c>
      <c r="T22625" t="s">
        <v>86129</v>
      </c>
    </row>
    <row r="22626" spans="1:20" customFormat="1" ht="15" x14ac:dyDescent="0.25">
      <c r="A22626" t="s">
        <v>24</v>
      </c>
      <c r="B22626" t="s">
        <v>33301</v>
      </c>
      <c r="C22626" t="str">
        <f>"A0093863"</f>
        <v>A0093863</v>
      </c>
      <c r="D22626" t="s">
        <v>86130</v>
      </c>
      <c r="E22626" t="s">
        <v>86131</v>
      </c>
      <c r="F22626" t="s">
        <v>6593</v>
      </c>
      <c r="G22626" t="s">
        <v>52</v>
      </c>
      <c r="H22626">
        <v>78374</v>
      </c>
      <c r="I22626" t="s">
        <v>30</v>
      </c>
      <c r="J22626" t="s">
        <v>31</v>
      </c>
      <c r="K22626" t="s">
        <v>222</v>
      </c>
      <c r="N22626" t="s">
        <v>86132</v>
      </c>
      <c r="O22626" t="s">
        <v>86133</v>
      </c>
      <c r="Q22626">
        <v>0</v>
      </c>
      <c r="R22626">
        <v>121</v>
      </c>
      <c r="S22626">
        <v>0</v>
      </c>
      <c r="T22626" t="s">
        <v>86134</v>
      </c>
    </row>
    <row r="22627" spans="1:20" customFormat="1" ht="15" x14ac:dyDescent="0.25">
      <c r="A22627" t="s">
        <v>24</v>
      </c>
      <c r="B22627" t="s">
        <v>1317</v>
      </c>
      <c r="C22627" t="str">
        <f>"A0101043"</f>
        <v>A0101043</v>
      </c>
      <c r="D22627" t="s">
        <v>86135</v>
      </c>
      <c r="E22627" t="s">
        <v>86136</v>
      </c>
      <c r="F22627" t="s">
        <v>4829</v>
      </c>
      <c r="G22627" t="s">
        <v>52</v>
      </c>
      <c r="H22627">
        <v>75063</v>
      </c>
      <c r="I22627" t="s">
        <v>30</v>
      </c>
      <c r="J22627" t="s">
        <v>31</v>
      </c>
      <c r="K22627" t="s">
        <v>222</v>
      </c>
      <c r="N22627" t="s">
        <v>86137</v>
      </c>
      <c r="O22627" t="s">
        <v>86138</v>
      </c>
      <c r="Q22627">
        <v>0</v>
      </c>
      <c r="R22627">
        <v>119</v>
      </c>
      <c r="S22627">
        <v>0</v>
      </c>
      <c r="T22627" t="s">
        <v>86139</v>
      </c>
    </row>
    <row r="22628" spans="1:20" customFormat="1" ht="15" x14ac:dyDescent="0.25">
      <c r="A22628" t="s">
        <v>24</v>
      </c>
      <c r="B22628" t="s">
        <v>33301</v>
      </c>
      <c r="C22628" t="str">
        <f>"A0151460"</f>
        <v>A0151460</v>
      </c>
      <c r="D22628" t="s">
        <v>86140</v>
      </c>
      <c r="E22628" t="s">
        <v>86141</v>
      </c>
      <c r="F22628" t="s">
        <v>2128</v>
      </c>
      <c r="G22628" t="s">
        <v>52</v>
      </c>
      <c r="H22628">
        <v>75074</v>
      </c>
      <c r="I22628" t="s">
        <v>30</v>
      </c>
      <c r="J22628" t="s">
        <v>31</v>
      </c>
      <c r="K22628" t="s">
        <v>222</v>
      </c>
      <c r="N22628" t="s">
        <v>86142</v>
      </c>
      <c r="O22628" t="s">
        <v>86143</v>
      </c>
      <c r="Q22628">
        <v>0</v>
      </c>
      <c r="R22628">
        <v>86</v>
      </c>
      <c r="S22628">
        <v>0</v>
      </c>
      <c r="T22628" t="s">
        <v>86144</v>
      </c>
    </row>
    <row r="22629" spans="1:20" customFormat="1" ht="15" x14ac:dyDescent="0.25">
      <c r="A22629" t="s">
        <v>24</v>
      </c>
      <c r="B22629" t="s">
        <v>70497</v>
      </c>
      <c r="C22629" t="str">
        <f>"A0097752"</f>
        <v>A0097752</v>
      </c>
      <c r="D22629" t="s">
        <v>86145</v>
      </c>
      <c r="E22629" t="s">
        <v>86146</v>
      </c>
      <c r="F22629" t="s">
        <v>35075</v>
      </c>
      <c r="G22629" t="s">
        <v>190</v>
      </c>
      <c r="H22629">
        <v>80124</v>
      </c>
      <c r="I22629" t="s">
        <v>30</v>
      </c>
      <c r="J22629" t="s">
        <v>31</v>
      </c>
      <c r="K22629" t="s">
        <v>222</v>
      </c>
      <c r="N22629" t="s">
        <v>86147</v>
      </c>
      <c r="O22629" t="s">
        <v>86148</v>
      </c>
      <c r="Q22629">
        <v>0</v>
      </c>
      <c r="R22629">
        <v>121</v>
      </c>
      <c r="S22629">
        <v>0</v>
      </c>
      <c r="T22629" t="s">
        <v>86149</v>
      </c>
    </row>
    <row r="22630" spans="1:20" customFormat="1" ht="15" x14ac:dyDescent="0.25">
      <c r="A22630" t="s">
        <v>24</v>
      </c>
      <c r="B22630" t="s">
        <v>62099</v>
      </c>
      <c r="C22630" t="str">
        <f>"685XG"</f>
        <v>685XG</v>
      </c>
      <c r="D22630" t="s">
        <v>86150</v>
      </c>
      <c r="E22630" t="s">
        <v>86151</v>
      </c>
      <c r="F22630" t="s">
        <v>12772</v>
      </c>
      <c r="G22630" t="s">
        <v>190</v>
      </c>
      <c r="H22630">
        <v>80127</v>
      </c>
      <c r="I22630" t="s">
        <v>30</v>
      </c>
      <c r="J22630" t="s">
        <v>31</v>
      </c>
      <c r="K22630" t="s">
        <v>222</v>
      </c>
      <c r="N22630" t="s">
        <v>86152</v>
      </c>
      <c r="Q22630">
        <v>0</v>
      </c>
      <c r="R22630">
        <v>99</v>
      </c>
      <c r="S22630">
        <v>0</v>
      </c>
      <c r="T22630" t="s">
        <v>86153</v>
      </c>
    </row>
    <row r="22631" spans="1:20" customFormat="1" ht="15" x14ac:dyDescent="0.25">
      <c r="A22631" t="s">
        <v>24</v>
      </c>
      <c r="B22631" t="s">
        <v>2583</v>
      </c>
      <c r="C22631" t="str">
        <f>"A0085378"</f>
        <v>A0085378</v>
      </c>
      <c r="D22631" t="s">
        <v>86154</v>
      </c>
      <c r="E22631" t="s">
        <v>86155</v>
      </c>
      <c r="F22631" t="s">
        <v>86156</v>
      </c>
      <c r="G22631" t="s">
        <v>1898</v>
      </c>
      <c r="H22631">
        <v>50131</v>
      </c>
      <c r="I22631" t="s">
        <v>30</v>
      </c>
      <c r="J22631" t="s">
        <v>31</v>
      </c>
      <c r="K22631" t="s">
        <v>222</v>
      </c>
      <c r="N22631" t="s">
        <v>86157</v>
      </c>
      <c r="Q22631">
        <v>0</v>
      </c>
      <c r="R22631">
        <v>116</v>
      </c>
      <c r="S22631">
        <v>0</v>
      </c>
      <c r="T22631" t="s">
        <v>86158</v>
      </c>
    </row>
    <row r="22632" spans="1:20" customFormat="1" ht="15" x14ac:dyDescent="0.25">
      <c r="A22632" t="s">
        <v>24</v>
      </c>
      <c r="B22632" t="s">
        <v>8805</v>
      </c>
      <c r="C22632" t="str">
        <f>"A0094405"</f>
        <v>A0094405</v>
      </c>
      <c r="D22632" t="s">
        <v>86159</v>
      </c>
      <c r="E22632" t="s">
        <v>86160</v>
      </c>
      <c r="F22632" t="s">
        <v>63841</v>
      </c>
      <c r="G22632" t="s">
        <v>117</v>
      </c>
      <c r="H22632">
        <v>48326</v>
      </c>
      <c r="I22632" t="s">
        <v>30</v>
      </c>
      <c r="J22632" t="s">
        <v>31</v>
      </c>
      <c r="K22632" t="s">
        <v>222</v>
      </c>
      <c r="N22632" t="s">
        <v>86161</v>
      </c>
      <c r="Q22632">
        <v>0</v>
      </c>
      <c r="R22632">
        <v>82</v>
      </c>
      <c r="S22632">
        <v>0</v>
      </c>
      <c r="T22632" t="s">
        <v>86162</v>
      </c>
    </row>
    <row r="22633" spans="1:20" customFormat="1" ht="15" x14ac:dyDescent="0.25">
      <c r="A22633" t="s">
        <v>24</v>
      </c>
      <c r="B22633" t="s">
        <v>10986</v>
      </c>
      <c r="C22633" t="str">
        <f>"A0095119"</f>
        <v>A0095119</v>
      </c>
      <c r="D22633" t="s">
        <v>86163</v>
      </c>
      <c r="E22633" t="s">
        <v>86164</v>
      </c>
      <c r="F22633" t="s">
        <v>4915</v>
      </c>
      <c r="G22633" t="s">
        <v>144</v>
      </c>
      <c r="H22633">
        <v>58601</v>
      </c>
      <c r="I22633" t="s">
        <v>30</v>
      </c>
      <c r="J22633" t="s">
        <v>31</v>
      </c>
      <c r="K22633" t="s">
        <v>222</v>
      </c>
      <c r="N22633" t="s">
        <v>86165</v>
      </c>
      <c r="Q22633">
        <v>0</v>
      </c>
      <c r="R22633">
        <v>90</v>
      </c>
      <c r="S22633">
        <v>0</v>
      </c>
      <c r="T22633" t="s">
        <v>86166</v>
      </c>
    </row>
    <row r="22634" spans="1:20" customFormat="1" ht="15" x14ac:dyDescent="0.25">
      <c r="A22634" t="s">
        <v>24</v>
      </c>
      <c r="B22634" t="s">
        <v>34691</v>
      </c>
      <c r="C22634" t="str">
        <f>"A0097904"</f>
        <v>A0097904</v>
      </c>
      <c r="D22634" t="s">
        <v>86167</v>
      </c>
      <c r="E22634" t="s">
        <v>86168</v>
      </c>
      <c r="F22634" t="s">
        <v>3593</v>
      </c>
      <c r="G22634" t="s">
        <v>1706</v>
      </c>
      <c r="H22634">
        <v>36303</v>
      </c>
      <c r="I22634" t="s">
        <v>30</v>
      </c>
      <c r="J22634" t="s">
        <v>31</v>
      </c>
      <c r="K22634" t="s">
        <v>222</v>
      </c>
      <c r="Q22634">
        <v>0</v>
      </c>
      <c r="R22634">
        <v>92</v>
      </c>
      <c r="S22634">
        <v>0</v>
      </c>
      <c r="T22634" t="s">
        <v>86169</v>
      </c>
    </row>
    <row r="22635" spans="1:20" customFormat="1" ht="15" x14ac:dyDescent="0.25">
      <c r="A22635" t="s">
        <v>24</v>
      </c>
      <c r="B22635" t="s">
        <v>33380</v>
      </c>
      <c r="C22635" t="str">
        <f>"685W1"</f>
        <v>685W1</v>
      </c>
      <c r="D22635" t="s">
        <v>86170</v>
      </c>
      <c r="E22635" t="s">
        <v>86171</v>
      </c>
      <c r="F22635" t="s">
        <v>33432</v>
      </c>
      <c r="G22635" t="s">
        <v>117</v>
      </c>
      <c r="H22635">
        <v>48823</v>
      </c>
      <c r="I22635" t="s">
        <v>30</v>
      </c>
      <c r="J22635" t="s">
        <v>31</v>
      </c>
      <c r="K22635" t="s">
        <v>222</v>
      </c>
      <c r="N22635" t="s">
        <v>86172</v>
      </c>
      <c r="O22635" t="s">
        <v>86173</v>
      </c>
      <c r="Q22635">
        <v>0</v>
      </c>
      <c r="R22635">
        <v>83</v>
      </c>
      <c r="S22635">
        <v>0</v>
      </c>
      <c r="T22635" t="s">
        <v>86174</v>
      </c>
    </row>
    <row r="22636" spans="1:20" customFormat="1" ht="15" hidden="1" x14ac:dyDescent="0.25">
      <c r="A22636" t="s">
        <v>24</v>
      </c>
      <c r="B22636" t="s">
        <v>10942</v>
      </c>
      <c r="C22636" t="str">
        <f>"A0095032"</f>
        <v>A0095032</v>
      </c>
      <c r="D22636" t="s">
        <v>86175</v>
      </c>
      <c r="E22636" t="s">
        <v>86176</v>
      </c>
      <c r="F22636" t="s">
        <v>58102</v>
      </c>
      <c r="G22636" t="s">
        <v>1457</v>
      </c>
      <c r="H22636" t="s">
        <v>58103</v>
      </c>
      <c r="I22636" t="s">
        <v>1459</v>
      </c>
      <c r="J22636" t="s">
        <v>31</v>
      </c>
      <c r="K22636" t="s">
        <v>222</v>
      </c>
      <c r="N22636" t="s">
        <v>86177</v>
      </c>
      <c r="Q22636">
        <v>0</v>
      </c>
      <c r="R22636">
        <v>105</v>
      </c>
      <c r="S22636">
        <v>0</v>
      </c>
      <c r="T22636" t="s">
        <v>86178</v>
      </c>
    </row>
    <row r="22637" spans="1:20" customFormat="1" ht="15" x14ac:dyDescent="0.25">
      <c r="A22637" t="s">
        <v>24</v>
      </c>
      <c r="B22637" t="s">
        <v>1020</v>
      </c>
      <c r="C22637" t="str">
        <f>"A0085050"</f>
        <v>A0085050</v>
      </c>
      <c r="D22637" t="s">
        <v>86179</v>
      </c>
      <c r="E22637" t="s">
        <v>86180</v>
      </c>
      <c r="F22637" t="s">
        <v>871</v>
      </c>
      <c r="G22637" t="s">
        <v>110</v>
      </c>
      <c r="H22637">
        <v>92243</v>
      </c>
      <c r="I22637" t="s">
        <v>30</v>
      </c>
      <c r="J22637" t="s">
        <v>31</v>
      </c>
      <c r="K22637" t="s">
        <v>222</v>
      </c>
      <c r="N22637" t="s">
        <v>86181</v>
      </c>
      <c r="Q22637">
        <v>0</v>
      </c>
      <c r="R22637">
        <v>94</v>
      </c>
      <c r="S22637">
        <v>0</v>
      </c>
      <c r="T22637" t="s">
        <v>86182</v>
      </c>
    </row>
    <row r="22638" spans="1:20" customFormat="1" ht="15" x14ac:dyDescent="0.25">
      <c r="A22638" t="s">
        <v>24</v>
      </c>
      <c r="B22638" t="s">
        <v>1561</v>
      </c>
      <c r="C22638" t="str">
        <f>"A0093344"</f>
        <v>A0093344</v>
      </c>
      <c r="D22638" t="s">
        <v>86183</v>
      </c>
      <c r="E22638" t="s">
        <v>86184</v>
      </c>
      <c r="F22638" t="s">
        <v>2856</v>
      </c>
      <c r="G22638" t="s">
        <v>52</v>
      </c>
      <c r="H22638">
        <v>79925</v>
      </c>
      <c r="I22638" t="s">
        <v>30</v>
      </c>
      <c r="J22638" t="s">
        <v>31</v>
      </c>
      <c r="K22638" t="s">
        <v>222</v>
      </c>
      <c r="N22638" t="s">
        <v>86185</v>
      </c>
      <c r="Q22638">
        <v>0</v>
      </c>
      <c r="R22638">
        <v>123</v>
      </c>
      <c r="S22638">
        <v>0</v>
      </c>
      <c r="T22638" t="s">
        <v>86186</v>
      </c>
    </row>
    <row r="22639" spans="1:20" customFormat="1" ht="15" x14ac:dyDescent="0.25">
      <c r="A22639" t="s">
        <v>24</v>
      </c>
      <c r="B22639" t="s">
        <v>1317</v>
      </c>
      <c r="C22639" t="str">
        <f>"A0136977"</f>
        <v>A0136977</v>
      </c>
      <c r="D22639" t="s">
        <v>86187</v>
      </c>
      <c r="E22639" t="s">
        <v>86188</v>
      </c>
      <c r="F22639" t="s">
        <v>2856</v>
      </c>
      <c r="G22639" t="s">
        <v>52</v>
      </c>
      <c r="H22639">
        <v>79936</v>
      </c>
      <c r="I22639" t="s">
        <v>30</v>
      </c>
      <c r="J22639" t="s">
        <v>31</v>
      </c>
      <c r="K22639" t="s">
        <v>222</v>
      </c>
      <c r="N22639" t="s">
        <v>86189</v>
      </c>
      <c r="O22639" t="s">
        <v>11356</v>
      </c>
      <c r="Q22639">
        <v>0</v>
      </c>
      <c r="R22639">
        <v>89</v>
      </c>
      <c r="S22639">
        <v>0</v>
      </c>
      <c r="T22639" t="s">
        <v>86190</v>
      </c>
    </row>
    <row r="22640" spans="1:20" customFormat="1" ht="15" x14ac:dyDescent="0.25">
      <c r="A22640" t="s">
        <v>24</v>
      </c>
      <c r="B22640" t="s">
        <v>1317</v>
      </c>
      <c r="C22640" t="str">
        <f>"A0087306"</f>
        <v>A0087306</v>
      </c>
      <c r="D22640" t="s">
        <v>86191</v>
      </c>
      <c r="E22640" t="s">
        <v>86192</v>
      </c>
      <c r="F22640" t="s">
        <v>3540</v>
      </c>
      <c r="G22640" t="s">
        <v>214</v>
      </c>
      <c r="H22640">
        <v>28303</v>
      </c>
      <c r="I22640" t="s">
        <v>30</v>
      </c>
      <c r="J22640" t="s">
        <v>31</v>
      </c>
      <c r="K22640" t="s">
        <v>222</v>
      </c>
      <c r="N22640" t="s">
        <v>86193</v>
      </c>
      <c r="Q22640">
        <v>0</v>
      </c>
      <c r="R22640">
        <v>93</v>
      </c>
      <c r="S22640">
        <v>0</v>
      </c>
      <c r="T22640" t="s">
        <v>86194</v>
      </c>
    </row>
    <row r="22641" spans="1:20" customFormat="1" ht="15" x14ac:dyDescent="0.25">
      <c r="A22641" t="s">
        <v>24</v>
      </c>
      <c r="B22641" t="s">
        <v>13679</v>
      </c>
      <c r="C22641" t="str">
        <f>"685Z4"</f>
        <v>685Z4</v>
      </c>
      <c r="D22641" t="s">
        <v>86195</v>
      </c>
      <c r="E22641" t="s">
        <v>86196</v>
      </c>
      <c r="F22641" t="s">
        <v>65848</v>
      </c>
      <c r="G22641" t="s">
        <v>137</v>
      </c>
      <c r="H22641">
        <v>63026</v>
      </c>
      <c r="I22641" t="s">
        <v>30</v>
      </c>
      <c r="J22641" t="s">
        <v>31</v>
      </c>
      <c r="K22641" t="s">
        <v>222</v>
      </c>
      <c r="N22641" t="s">
        <v>65850</v>
      </c>
      <c r="O22641" t="s">
        <v>86197</v>
      </c>
      <c r="Q22641">
        <v>0</v>
      </c>
      <c r="R22641">
        <v>95</v>
      </c>
      <c r="S22641">
        <v>0</v>
      </c>
      <c r="T22641" t="s">
        <v>86198</v>
      </c>
    </row>
    <row r="22642" spans="1:20" customFormat="1" ht="15" x14ac:dyDescent="0.25">
      <c r="A22642" t="s">
        <v>24</v>
      </c>
      <c r="B22642" t="s">
        <v>4400</v>
      </c>
      <c r="C22642" t="str">
        <f>"645AH"</f>
        <v>645AH</v>
      </c>
      <c r="D22642" t="s">
        <v>86199</v>
      </c>
      <c r="E22642" t="s">
        <v>86200</v>
      </c>
      <c r="F22642" t="s">
        <v>86201</v>
      </c>
      <c r="G22642" t="s">
        <v>65</v>
      </c>
      <c r="H22642">
        <v>45840</v>
      </c>
      <c r="I22642" t="s">
        <v>30</v>
      </c>
      <c r="J22642" t="s">
        <v>31</v>
      </c>
      <c r="K22642" t="s">
        <v>222</v>
      </c>
      <c r="N22642" t="s">
        <v>86202</v>
      </c>
      <c r="Q22642">
        <v>0</v>
      </c>
      <c r="R22642">
        <v>86</v>
      </c>
      <c r="S22642">
        <v>0</v>
      </c>
      <c r="T22642" t="s">
        <v>86203</v>
      </c>
    </row>
    <row r="22643" spans="1:20" customFormat="1" ht="15" x14ac:dyDescent="0.25">
      <c r="A22643" t="s">
        <v>24</v>
      </c>
      <c r="B22643" t="s">
        <v>9843</v>
      </c>
      <c r="C22643" t="str">
        <f>"A0098819"</f>
        <v>A0098819</v>
      </c>
      <c r="D22643" t="s">
        <v>86204</v>
      </c>
      <c r="E22643" t="s">
        <v>86205</v>
      </c>
      <c r="F22643" t="s">
        <v>2516</v>
      </c>
      <c r="G22643" t="s">
        <v>1706</v>
      </c>
      <c r="H22643">
        <v>36535</v>
      </c>
      <c r="I22643" t="s">
        <v>30</v>
      </c>
      <c r="J22643" t="s">
        <v>31</v>
      </c>
      <c r="K22643" t="s">
        <v>222</v>
      </c>
      <c r="N22643" t="s">
        <v>86206</v>
      </c>
      <c r="O22643" t="s">
        <v>86207</v>
      </c>
      <c r="Q22643">
        <v>0</v>
      </c>
      <c r="R22643">
        <v>150</v>
      </c>
      <c r="S22643">
        <v>0</v>
      </c>
      <c r="T22643" t="s">
        <v>86208</v>
      </c>
    </row>
    <row r="22644" spans="1:20" customFormat="1" ht="15" x14ac:dyDescent="0.25">
      <c r="A22644" t="s">
        <v>24</v>
      </c>
      <c r="B22644" t="s">
        <v>55633</v>
      </c>
      <c r="C22644" t="str">
        <f>"A0098879"</f>
        <v>A0098879</v>
      </c>
      <c r="D22644" t="s">
        <v>86209</v>
      </c>
      <c r="E22644" t="s">
        <v>86210</v>
      </c>
      <c r="F22644" t="s">
        <v>33976</v>
      </c>
      <c r="G22644" t="s">
        <v>81</v>
      </c>
      <c r="H22644">
        <v>33928</v>
      </c>
      <c r="I22644" t="s">
        <v>30</v>
      </c>
      <c r="J22644" t="s">
        <v>31</v>
      </c>
      <c r="K22644" t="s">
        <v>222</v>
      </c>
      <c r="N22644" t="s">
        <v>86211</v>
      </c>
      <c r="Q22644">
        <v>0</v>
      </c>
      <c r="R22644">
        <v>114</v>
      </c>
      <c r="S22644">
        <v>0</v>
      </c>
      <c r="T22644" t="s">
        <v>86212</v>
      </c>
    </row>
    <row r="22645" spans="1:20" customFormat="1" ht="15" x14ac:dyDescent="0.25">
      <c r="A22645" t="s">
        <v>24</v>
      </c>
      <c r="B22645" t="s">
        <v>1317</v>
      </c>
      <c r="C22645" t="str">
        <f>"A0093343"</f>
        <v>A0093343</v>
      </c>
      <c r="D22645" t="s">
        <v>86213</v>
      </c>
      <c r="E22645" t="s">
        <v>86214</v>
      </c>
      <c r="F22645" t="s">
        <v>86215</v>
      </c>
      <c r="G22645" t="s">
        <v>81</v>
      </c>
      <c r="H22645">
        <v>32547</v>
      </c>
      <c r="I22645" t="s">
        <v>30</v>
      </c>
      <c r="J22645" t="s">
        <v>31</v>
      </c>
      <c r="K22645" t="s">
        <v>222</v>
      </c>
      <c r="N22645" t="s">
        <v>86216</v>
      </c>
      <c r="Q22645">
        <v>0</v>
      </c>
      <c r="R22645">
        <v>112</v>
      </c>
      <c r="S22645">
        <v>0</v>
      </c>
      <c r="T22645" t="s">
        <v>86217</v>
      </c>
    </row>
    <row r="22646" spans="1:20" customFormat="1" ht="15" x14ac:dyDescent="0.25">
      <c r="A22646" t="s">
        <v>24</v>
      </c>
      <c r="B22646" t="s">
        <v>33301</v>
      </c>
      <c r="C22646" t="str">
        <f>"A0089904"</f>
        <v>A0089904</v>
      </c>
      <c r="D22646" t="s">
        <v>86218</v>
      </c>
      <c r="E22646" t="s">
        <v>86219</v>
      </c>
      <c r="F22646" t="s">
        <v>3505</v>
      </c>
      <c r="G22646" t="s">
        <v>52</v>
      </c>
      <c r="H22646">
        <v>76102</v>
      </c>
      <c r="I22646" t="s">
        <v>30</v>
      </c>
      <c r="J22646" t="s">
        <v>31</v>
      </c>
      <c r="K22646" t="s">
        <v>222</v>
      </c>
      <c r="N22646" t="s">
        <v>86220</v>
      </c>
      <c r="O22646" t="s">
        <v>86221</v>
      </c>
      <c r="Q22646">
        <v>0</v>
      </c>
      <c r="R22646">
        <v>140</v>
      </c>
      <c r="S22646">
        <v>0</v>
      </c>
      <c r="T22646" t="s">
        <v>86222</v>
      </c>
    </row>
    <row r="22647" spans="1:20" customFormat="1" ht="15" x14ac:dyDescent="0.25">
      <c r="A22647" t="s">
        <v>24</v>
      </c>
      <c r="B22647" t="s">
        <v>1561</v>
      </c>
      <c r="C22647" t="str">
        <f>"A0099083"</f>
        <v>A0099083</v>
      </c>
      <c r="D22647" t="s">
        <v>86223</v>
      </c>
      <c r="E22647" t="s">
        <v>86224</v>
      </c>
      <c r="F22647" t="s">
        <v>3505</v>
      </c>
      <c r="G22647" t="s">
        <v>52</v>
      </c>
      <c r="H22647">
        <v>76107</v>
      </c>
      <c r="I22647" t="s">
        <v>30</v>
      </c>
      <c r="J22647" t="s">
        <v>31</v>
      </c>
      <c r="K22647" t="s">
        <v>222</v>
      </c>
      <c r="N22647" t="s">
        <v>86225</v>
      </c>
      <c r="Q22647">
        <v>0</v>
      </c>
      <c r="R22647">
        <v>128</v>
      </c>
      <c r="S22647">
        <v>0</v>
      </c>
      <c r="T22647" t="s">
        <v>86226</v>
      </c>
    </row>
    <row r="22648" spans="1:20" customFormat="1" ht="15" x14ac:dyDescent="0.25">
      <c r="A22648" t="s">
        <v>24</v>
      </c>
      <c r="B22648" t="s">
        <v>1323</v>
      </c>
      <c r="C22648" t="str">
        <f>"A0093613"</f>
        <v>A0093613</v>
      </c>
      <c r="D22648" t="s">
        <v>86227</v>
      </c>
      <c r="E22648" t="s">
        <v>86228</v>
      </c>
      <c r="F22648" t="s">
        <v>7921</v>
      </c>
      <c r="G22648" t="s">
        <v>880</v>
      </c>
      <c r="H22648">
        <v>37069</v>
      </c>
      <c r="I22648" t="s">
        <v>30</v>
      </c>
      <c r="J22648" t="s">
        <v>31</v>
      </c>
      <c r="K22648" t="s">
        <v>222</v>
      </c>
      <c r="N22648" t="s">
        <v>86229</v>
      </c>
      <c r="Q22648">
        <v>0</v>
      </c>
      <c r="R22648">
        <v>120</v>
      </c>
      <c r="S22648">
        <v>0</v>
      </c>
      <c r="T22648" t="s">
        <v>86230</v>
      </c>
    </row>
    <row r="22649" spans="1:20" customFormat="1" ht="15" x14ac:dyDescent="0.25">
      <c r="A22649" t="s">
        <v>24</v>
      </c>
      <c r="B22649" t="s">
        <v>649</v>
      </c>
      <c r="C22649" t="str">
        <f>"A0153111"</f>
        <v>A0153111</v>
      </c>
      <c r="D22649" t="s">
        <v>86231</v>
      </c>
      <c r="E22649" t="s">
        <v>86232</v>
      </c>
      <c r="F22649" t="s">
        <v>659</v>
      </c>
      <c r="G22649" t="s">
        <v>846</v>
      </c>
      <c r="H22649">
        <v>30501</v>
      </c>
      <c r="I22649" t="s">
        <v>30</v>
      </c>
      <c r="J22649" t="s">
        <v>31</v>
      </c>
      <c r="K22649" t="s">
        <v>222</v>
      </c>
      <c r="N22649" t="s">
        <v>12792</v>
      </c>
      <c r="Q22649">
        <v>0</v>
      </c>
      <c r="R22649">
        <v>79</v>
      </c>
      <c r="S22649">
        <v>0</v>
      </c>
      <c r="T22649" t="s">
        <v>86233</v>
      </c>
    </row>
    <row r="22650" spans="1:20" customFormat="1" ht="15" x14ac:dyDescent="0.25">
      <c r="A22650" t="s">
        <v>24</v>
      </c>
      <c r="B22650" t="s">
        <v>257</v>
      </c>
      <c r="C22650" t="str">
        <f>"A0093614"</f>
        <v>A0093614</v>
      </c>
      <c r="D22650" t="s">
        <v>86234</v>
      </c>
      <c r="E22650" t="s">
        <v>86235</v>
      </c>
      <c r="F22650" t="s">
        <v>659</v>
      </c>
      <c r="G22650" t="s">
        <v>81</v>
      </c>
      <c r="H22650">
        <v>32605</v>
      </c>
      <c r="I22650" t="s">
        <v>30</v>
      </c>
      <c r="J22650" t="s">
        <v>31</v>
      </c>
      <c r="K22650" t="s">
        <v>222</v>
      </c>
      <c r="N22650" t="s">
        <v>86236</v>
      </c>
      <c r="O22650" t="s">
        <v>86237</v>
      </c>
      <c r="Q22650">
        <v>0</v>
      </c>
      <c r="R22650">
        <v>96</v>
      </c>
      <c r="S22650">
        <v>0</v>
      </c>
      <c r="T22650" t="s">
        <v>86238</v>
      </c>
    </row>
    <row r="22651" spans="1:20" customFormat="1" ht="15" x14ac:dyDescent="0.25">
      <c r="A22651" t="s">
        <v>24</v>
      </c>
      <c r="B22651" t="s">
        <v>11027</v>
      </c>
      <c r="C22651" t="str">
        <f>"A0094322"</f>
        <v>A0094322</v>
      </c>
      <c r="D22651" t="s">
        <v>86239</v>
      </c>
      <c r="E22651" t="s">
        <v>86240</v>
      </c>
      <c r="F22651" t="s">
        <v>56993</v>
      </c>
      <c r="G22651" t="s">
        <v>214</v>
      </c>
      <c r="H22651">
        <v>27534</v>
      </c>
      <c r="I22651" t="s">
        <v>30</v>
      </c>
      <c r="J22651" t="s">
        <v>31</v>
      </c>
      <c r="K22651" t="s">
        <v>222</v>
      </c>
      <c r="N22651" t="s">
        <v>86241</v>
      </c>
      <c r="Q22651">
        <v>0</v>
      </c>
      <c r="R22651">
        <v>98</v>
      </c>
      <c r="S22651">
        <v>0</v>
      </c>
      <c r="T22651" t="s">
        <v>86242</v>
      </c>
    </row>
    <row r="22652" spans="1:20" customFormat="1" ht="15" x14ac:dyDescent="0.25">
      <c r="A22652" t="s">
        <v>24</v>
      </c>
      <c r="B22652" t="s">
        <v>64997</v>
      </c>
      <c r="C22652" t="str">
        <f>"A0100241"</f>
        <v>A0100241</v>
      </c>
      <c r="D22652" t="s">
        <v>86243</v>
      </c>
      <c r="E22652" t="s">
        <v>86244</v>
      </c>
      <c r="F22652" t="s">
        <v>71941</v>
      </c>
      <c r="G22652" t="s">
        <v>214</v>
      </c>
      <c r="H22652">
        <v>27407</v>
      </c>
      <c r="I22652" t="s">
        <v>30</v>
      </c>
      <c r="J22652" t="s">
        <v>31</v>
      </c>
      <c r="K22652" t="s">
        <v>222</v>
      </c>
      <c r="N22652" t="s">
        <v>65000</v>
      </c>
      <c r="Q22652">
        <v>0</v>
      </c>
      <c r="R22652">
        <v>92</v>
      </c>
      <c r="S22652">
        <v>0</v>
      </c>
      <c r="T22652" t="s">
        <v>86245</v>
      </c>
    </row>
    <row r="22653" spans="1:20" customFormat="1" ht="15" x14ac:dyDescent="0.25">
      <c r="A22653" t="s">
        <v>24</v>
      </c>
      <c r="B22653" t="s">
        <v>1317</v>
      </c>
      <c r="C22653" t="str">
        <f>"A0096791"</f>
        <v>A0096791</v>
      </c>
      <c r="D22653" t="s">
        <v>86246</v>
      </c>
      <c r="E22653" t="s">
        <v>86247</v>
      </c>
      <c r="F22653" t="s">
        <v>86248</v>
      </c>
      <c r="G22653" t="s">
        <v>103</v>
      </c>
      <c r="H22653">
        <v>16137</v>
      </c>
      <c r="I22653" t="s">
        <v>30</v>
      </c>
      <c r="J22653" t="s">
        <v>31</v>
      </c>
      <c r="K22653" t="s">
        <v>222</v>
      </c>
      <c r="N22653" t="s">
        <v>86249</v>
      </c>
      <c r="Q22653">
        <v>0</v>
      </c>
      <c r="R22653">
        <v>91</v>
      </c>
      <c r="S22653">
        <v>0</v>
      </c>
      <c r="T22653" t="s">
        <v>86250</v>
      </c>
    </row>
    <row r="22654" spans="1:20" customFormat="1" ht="15" x14ac:dyDescent="0.25">
      <c r="A22654" t="s">
        <v>24</v>
      </c>
      <c r="B22654" t="s">
        <v>1561</v>
      </c>
      <c r="C22654" t="str">
        <f>"A0085709"</f>
        <v>A0085709</v>
      </c>
      <c r="D22654" t="s">
        <v>86251</v>
      </c>
      <c r="E22654" t="s">
        <v>86252</v>
      </c>
      <c r="F22654" t="s">
        <v>8882</v>
      </c>
      <c r="G22654" t="s">
        <v>103</v>
      </c>
      <c r="H22654">
        <v>17111</v>
      </c>
      <c r="I22654" t="s">
        <v>30</v>
      </c>
      <c r="J22654" t="s">
        <v>31</v>
      </c>
      <c r="K22654" t="s">
        <v>222</v>
      </c>
      <c r="N22654" t="s">
        <v>86253</v>
      </c>
      <c r="O22654" t="s">
        <v>86254</v>
      </c>
      <c r="Q22654">
        <v>0</v>
      </c>
      <c r="R22654">
        <v>107</v>
      </c>
      <c r="S22654">
        <v>0</v>
      </c>
      <c r="T22654" t="s">
        <v>86255</v>
      </c>
    </row>
    <row r="22655" spans="1:20" customFormat="1" ht="15" x14ac:dyDescent="0.25">
      <c r="A22655" t="s">
        <v>24</v>
      </c>
      <c r="B22655" t="s">
        <v>60414</v>
      </c>
      <c r="C22655" t="str">
        <f>"A0093753"</f>
        <v>A0093753</v>
      </c>
      <c r="D22655" t="s">
        <v>86256</v>
      </c>
      <c r="E22655" t="s">
        <v>86257</v>
      </c>
      <c r="F22655" t="s">
        <v>86258</v>
      </c>
      <c r="G22655" t="s">
        <v>103</v>
      </c>
      <c r="H22655">
        <v>17055</v>
      </c>
      <c r="I22655" t="s">
        <v>30</v>
      </c>
      <c r="J22655" t="s">
        <v>31</v>
      </c>
      <c r="K22655" t="s">
        <v>222</v>
      </c>
      <c r="N22655" t="s">
        <v>73989</v>
      </c>
      <c r="Q22655">
        <v>0</v>
      </c>
      <c r="R22655">
        <v>120</v>
      </c>
      <c r="S22655">
        <v>0</v>
      </c>
      <c r="T22655" t="s">
        <v>86259</v>
      </c>
    </row>
    <row r="22656" spans="1:20" customFormat="1" ht="15" x14ac:dyDescent="0.25">
      <c r="A22656" t="s">
        <v>24</v>
      </c>
      <c r="B22656" t="s">
        <v>13807</v>
      </c>
      <c r="C22656" t="str">
        <f>"A0094899"</f>
        <v>A0094899</v>
      </c>
      <c r="D22656" t="s">
        <v>86260</v>
      </c>
      <c r="E22656" t="s">
        <v>86261</v>
      </c>
      <c r="F22656" t="s">
        <v>57658</v>
      </c>
      <c r="G22656" t="s">
        <v>1369</v>
      </c>
      <c r="H22656">
        <v>39402</v>
      </c>
      <c r="I22656" t="s">
        <v>30</v>
      </c>
      <c r="J22656" t="s">
        <v>31</v>
      </c>
      <c r="K22656" t="s">
        <v>222</v>
      </c>
      <c r="N22656" t="s">
        <v>86262</v>
      </c>
      <c r="Q22656">
        <v>0</v>
      </c>
      <c r="R22656">
        <v>94</v>
      </c>
      <c r="S22656">
        <v>0</v>
      </c>
      <c r="T22656" t="s">
        <v>86263</v>
      </c>
    </row>
    <row r="22657" spans="1:20" customFormat="1" ht="15" x14ac:dyDescent="0.25">
      <c r="A22657" t="s">
        <v>24</v>
      </c>
      <c r="B22657" t="s">
        <v>10986</v>
      </c>
      <c r="C22657" t="str">
        <f>"A0100999"</f>
        <v>A0100999</v>
      </c>
      <c r="D22657" t="s">
        <v>86264</v>
      </c>
      <c r="E22657" t="s">
        <v>86265</v>
      </c>
      <c r="F22657" t="s">
        <v>60613</v>
      </c>
      <c r="G22657" t="s">
        <v>110</v>
      </c>
      <c r="H22657">
        <v>90250</v>
      </c>
      <c r="I22657" t="s">
        <v>30</v>
      </c>
      <c r="J22657" t="s">
        <v>31</v>
      </c>
      <c r="K22657" t="s">
        <v>222</v>
      </c>
      <c r="N22657" t="s">
        <v>10989</v>
      </c>
      <c r="O22657" t="s">
        <v>86266</v>
      </c>
      <c r="Q22657">
        <v>0</v>
      </c>
      <c r="R22657">
        <v>133</v>
      </c>
      <c r="S22657">
        <v>0</v>
      </c>
      <c r="T22657" t="s">
        <v>86267</v>
      </c>
    </row>
    <row r="22658" spans="1:20" customFormat="1" ht="15" x14ac:dyDescent="0.25">
      <c r="A22658" t="s">
        <v>24</v>
      </c>
      <c r="B22658" t="s">
        <v>34039</v>
      </c>
      <c r="C22658" t="str">
        <f>"A0099898"</f>
        <v>A0099898</v>
      </c>
      <c r="D22658" t="s">
        <v>86268</v>
      </c>
      <c r="E22658" t="s">
        <v>86269</v>
      </c>
      <c r="F22658" t="s">
        <v>7745</v>
      </c>
      <c r="G22658" t="s">
        <v>925</v>
      </c>
      <c r="H22658">
        <v>67601</v>
      </c>
      <c r="I22658" t="s">
        <v>30</v>
      </c>
      <c r="J22658" t="s">
        <v>31</v>
      </c>
      <c r="K22658" t="s">
        <v>222</v>
      </c>
      <c r="N22658" t="s">
        <v>86270</v>
      </c>
      <c r="Q22658">
        <v>0</v>
      </c>
      <c r="R22658">
        <v>80</v>
      </c>
      <c r="S22658">
        <v>0</v>
      </c>
      <c r="T22658" t="s">
        <v>86271</v>
      </c>
    </row>
    <row r="22659" spans="1:20" customFormat="1" ht="15" x14ac:dyDescent="0.25">
      <c r="A22659" t="s">
        <v>24</v>
      </c>
      <c r="B22659" t="s">
        <v>3789</v>
      </c>
      <c r="C22659" t="str">
        <f>"A0094259"</f>
        <v>A0094259</v>
      </c>
      <c r="D22659" t="s">
        <v>86272</v>
      </c>
      <c r="E22659" t="s">
        <v>86273</v>
      </c>
      <c r="F22659" t="s">
        <v>1564</v>
      </c>
      <c r="G22659" t="s">
        <v>52</v>
      </c>
      <c r="H22659">
        <v>77081</v>
      </c>
      <c r="I22659" t="s">
        <v>30</v>
      </c>
      <c r="J22659" t="s">
        <v>31</v>
      </c>
      <c r="K22659" t="s">
        <v>222</v>
      </c>
      <c r="N22659" t="s">
        <v>86274</v>
      </c>
      <c r="O22659" t="s">
        <v>70501</v>
      </c>
      <c r="Q22659">
        <v>0</v>
      </c>
      <c r="R22659">
        <v>120</v>
      </c>
      <c r="S22659">
        <v>0</v>
      </c>
      <c r="T22659" t="s">
        <v>86275</v>
      </c>
    </row>
    <row r="22660" spans="1:20" customFormat="1" ht="15" x14ac:dyDescent="0.25">
      <c r="A22660" t="s">
        <v>24</v>
      </c>
      <c r="B22660" t="s">
        <v>1561</v>
      </c>
      <c r="C22660" t="str">
        <f>"A0088695"</f>
        <v>A0088695</v>
      </c>
      <c r="D22660" t="s">
        <v>86276</v>
      </c>
      <c r="E22660" t="s">
        <v>86277</v>
      </c>
      <c r="F22660" t="s">
        <v>1564</v>
      </c>
      <c r="G22660" t="s">
        <v>52</v>
      </c>
      <c r="H22660">
        <v>77032</v>
      </c>
      <c r="I22660" t="s">
        <v>30</v>
      </c>
      <c r="J22660" t="s">
        <v>31</v>
      </c>
      <c r="K22660" t="s">
        <v>222</v>
      </c>
      <c r="N22660" t="s">
        <v>86278</v>
      </c>
      <c r="O22660" t="s">
        <v>86279</v>
      </c>
      <c r="Q22660">
        <v>0</v>
      </c>
      <c r="R22660">
        <v>134</v>
      </c>
      <c r="S22660">
        <v>0</v>
      </c>
      <c r="T22660" t="s">
        <v>86280</v>
      </c>
    </row>
    <row r="22661" spans="1:20" customFormat="1" ht="15" x14ac:dyDescent="0.25">
      <c r="A22661" t="s">
        <v>24</v>
      </c>
      <c r="B22661" t="s">
        <v>1561</v>
      </c>
      <c r="C22661" t="str">
        <f>"A0087206"</f>
        <v>A0087206</v>
      </c>
      <c r="D22661" t="s">
        <v>86281</v>
      </c>
      <c r="E22661" t="s">
        <v>86282</v>
      </c>
      <c r="F22661" t="s">
        <v>60663</v>
      </c>
      <c r="G22661" t="s">
        <v>52</v>
      </c>
      <c r="H22661">
        <v>77384</v>
      </c>
      <c r="I22661" t="s">
        <v>30</v>
      </c>
      <c r="J22661" t="s">
        <v>31</v>
      </c>
      <c r="K22661" t="s">
        <v>222</v>
      </c>
      <c r="N22661" t="s">
        <v>86283</v>
      </c>
      <c r="Q22661">
        <v>0</v>
      </c>
      <c r="R22661">
        <v>124</v>
      </c>
      <c r="S22661">
        <v>0</v>
      </c>
      <c r="T22661" t="s">
        <v>86284</v>
      </c>
    </row>
    <row r="22662" spans="1:20" customFormat="1" ht="15" x14ac:dyDescent="0.25">
      <c r="A22662" t="s">
        <v>24</v>
      </c>
      <c r="B22662" t="s">
        <v>1561</v>
      </c>
      <c r="C22662" t="str">
        <f>"A0084785"</f>
        <v>A0084785</v>
      </c>
      <c r="D22662" t="s">
        <v>86285</v>
      </c>
      <c r="E22662" t="s">
        <v>86286</v>
      </c>
      <c r="F22662" t="s">
        <v>3545</v>
      </c>
      <c r="G22662" t="s">
        <v>1706</v>
      </c>
      <c r="H22662">
        <v>35806</v>
      </c>
      <c r="I22662" t="s">
        <v>30</v>
      </c>
      <c r="J22662" t="s">
        <v>31</v>
      </c>
      <c r="K22662" t="s">
        <v>222</v>
      </c>
      <c r="N22662" t="s">
        <v>86287</v>
      </c>
      <c r="O22662" t="s">
        <v>86288</v>
      </c>
      <c r="Q22662">
        <v>0</v>
      </c>
      <c r="R22662">
        <v>86</v>
      </c>
      <c r="S22662">
        <v>0</v>
      </c>
      <c r="T22662" t="s">
        <v>86289</v>
      </c>
    </row>
    <row r="22663" spans="1:20" customFormat="1" ht="15" x14ac:dyDescent="0.25">
      <c r="A22663" t="s">
        <v>24</v>
      </c>
      <c r="B22663" t="s">
        <v>9843</v>
      </c>
      <c r="C22663" t="str">
        <f>"A0094628"</f>
        <v>A0094628</v>
      </c>
      <c r="D22663" t="s">
        <v>86290</v>
      </c>
      <c r="E22663" t="s">
        <v>86291</v>
      </c>
      <c r="F22663" t="s">
        <v>3545</v>
      </c>
      <c r="G22663" t="s">
        <v>1706</v>
      </c>
      <c r="H22663">
        <v>35808</v>
      </c>
      <c r="I22663" t="s">
        <v>30</v>
      </c>
      <c r="J22663" t="s">
        <v>31</v>
      </c>
      <c r="K22663" t="s">
        <v>222</v>
      </c>
      <c r="N22663" t="s">
        <v>78858</v>
      </c>
      <c r="Q22663">
        <v>0</v>
      </c>
      <c r="R22663">
        <v>110</v>
      </c>
      <c r="S22663">
        <v>0</v>
      </c>
      <c r="T22663" t="s">
        <v>86292</v>
      </c>
    </row>
    <row r="22664" spans="1:20" customFormat="1" ht="15" x14ac:dyDescent="0.25">
      <c r="A22664" t="s">
        <v>24</v>
      </c>
      <c r="B22664" t="s">
        <v>1138</v>
      </c>
      <c r="C22664" t="str">
        <f>"A0153102"</f>
        <v>A0153102</v>
      </c>
      <c r="D22664" t="s">
        <v>86293</v>
      </c>
      <c r="E22664" t="s">
        <v>86294</v>
      </c>
      <c r="F22664" t="s">
        <v>34209</v>
      </c>
      <c r="G22664" t="s">
        <v>110</v>
      </c>
      <c r="H22664">
        <v>92630</v>
      </c>
      <c r="I22664" t="s">
        <v>30</v>
      </c>
      <c r="J22664" t="s">
        <v>31</v>
      </c>
      <c r="K22664" t="s">
        <v>222</v>
      </c>
      <c r="N22664" t="s">
        <v>86295</v>
      </c>
      <c r="Q22664">
        <v>0</v>
      </c>
      <c r="R22664">
        <v>114</v>
      </c>
      <c r="S22664">
        <v>0</v>
      </c>
      <c r="T22664" t="s">
        <v>86296</v>
      </c>
    </row>
    <row r="22665" spans="1:20" customFormat="1" ht="15" x14ac:dyDescent="0.25">
      <c r="A22665" t="s">
        <v>24</v>
      </c>
      <c r="B22665" t="s">
        <v>1317</v>
      </c>
      <c r="C22665" t="str">
        <f>"A0101079"</f>
        <v>A0101079</v>
      </c>
      <c r="D22665" t="s">
        <v>86297</v>
      </c>
      <c r="E22665" t="s">
        <v>86298</v>
      </c>
      <c r="F22665" t="s">
        <v>81362</v>
      </c>
      <c r="G22665" t="s">
        <v>1369</v>
      </c>
      <c r="H22665">
        <v>39232</v>
      </c>
      <c r="I22665" t="s">
        <v>30</v>
      </c>
      <c r="J22665" t="s">
        <v>31</v>
      </c>
      <c r="K22665" t="s">
        <v>222</v>
      </c>
      <c r="N22665" t="s">
        <v>86299</v>
      </c>
      <c r="O22665" t="s">
        <v>86300</v>
      </c>
      <c r="Q22665">
        <v>0</v>
      </c>
      <c r="R22665">
        <v>96</v>
      </c>
      <c r="S22665">
        <v>0</v>
      </c>
      <c r="T22665" t="s">
        <v>86301</v>
      </c>
    </row>
    <row r="22666" spans="1:20" customFormat="1" ht="15" x14ac:dyDescent="0.25">
      <c r="A22666" t="s">
        <v>24</v>
      </c>
      <c r="B22666" t="s">
        <v>1561</v>
      </c>
      <c r="C22666" t="str">
        <f>"A0085817"</f>
        <v>A0085817</v>
      </c>
      <c r="D22666" t="s">
        <v>86302</v>
      </c>
      <c r="E22666" t="s">
        <v>86303</v>
      </c>
      <c r="F22666" t="s">
        <v>2443</v>
      </c>
      <c r="G22666" t="s">
        <v>214</v>
      </c>
      <c r="H22666">
        <v>28541</v>
      </c>
      <c r="I22666" t="s">
        <v>30</v>
      </c>
      <c r="J22666" t="s">
        <v>31</v>
      </c>
      <c r="K22666" t="s">
        <v>222</v>
      </c>
      <c r="N22666" t="s">
        <v>86304</v>
      </c>
      <c r="Q22666">
        <v>0</v>
      </c>
      <c r="R22666">
        <v>86</v>
      </c>
      <c r="S22666">
        <v>0</v>
      </c>
      <c r="T22666" t="s">
        <v>86305</v>
      </c>
    </row>
    <row r="22667" spans="1:20" customFormat="1" ht="15" x14ac:dyDescent="0.25">
      <c r="A22667" t="s">
        <v>24</v>
      </c>
      <c r="B22667" t="s">
        <v>1855</v>
      </c>
      <c r="C22667" t="str">
        <f>"A0096508"</f>
        <v>A0096508</v>
      </c>
      <c r="D22667" t="s">
        <v>86306</v>
      </c>
      <c r="E22667" t="s">
        <v>86307</v>
      </c>
      <c r="F22667" t="s">
        <v>5107</v>
      </c>
      <c r="G22667" t="s">
        <v>137</v>
      </c>
      <c r="H22667">
        <v>64153</v>
      </c>
      <c r="I22667" t="s">
        <v>30</v>
      </c>
      <c r="J22667" t="s">
        <v>31</v>
      </c>
      <c r="K22667" t="s">
        <v>222</v>
      </c>
      <c r="N22667" t="s">
        <v>65911</v>
      </c>
      <c r="Q22667">
        <v>0</v>
      </c>
      <c r="R22667">
        <v>106</v>
      </c>
      <c r="S22667">
        <v>0</v>
      </c>
      <c r="T22667" t="s">
        <v>86308</v>
      </c>
    </row>
    <row r="22668" spans="1:20" customFormat="1" ht="15" x14ac:dyDescent="0.25">
      <c r="A22668" t="s">
        <v>24</v>
      </c>
      <c r="B22668" t="s">
        <v>59809</v>
      </c>
      <c r="C22668" t="str">
        <f>"A0099783"</f>
        <v>A0099783</v>
      </c>
      <c r="D22668" t="s">
        <v>86309</v>
      </c>
      <c r="E22668" t="s">
        <v>86310</v>
      </c>
      <c r="F22668" t="s">
        <v>5107</v>
      </c>
      <c r="G22668" t="s">
        <v>137</v>
      </c>
      <c r="H22668">
        <v>64116</v>
      </c>
      <c r="I22668" t="s">
        <v>30</v>
      </c>
      <c r="J22668" t="s">
        <v>31</v>
      </c>
      <c r="K22668" t="s">
        <v>222</v>
      </c>
      <c r="N22668" t="s">
        <v>86311</v>
      </c>
      <c r="Q22668">
        <v>0</v>
      </c>
      <c r="R22668">
        <v>94</v>
      </c>
      <c r="S22668">
        <v>0</v>
      </c>
      <c r="T22668" t="s">
        <v>86312</v>
      </c>
    </row>
    <row r="22669" spans="1:20" customFormat="1" ht="15" x14ac:dyDescent="0.25">
      <c r="A22669" t="s">
        <v>24</v>
      </c>
      <c r="B22669" t="s">
        <v>69504</v>
      </c>
      <c r="C22669" t="str">
        <f>"A0099253"</f>
        <v>A0099253</v>
      </c>
      <c r="D22669" t="s">
        <v>86313</v>
      </c>
      <c r="E22669" t="s">
        <v>86314</v>
      </c>
      <c r="F22669" t="s">
        <v>86315</v>
      </c>
      <c r="G22669" t="s">
        <v>214</v>
      </c>
      <c r="H22669">
        <v>27948</v>
      </c>
      <c r="I22669" t="s">
        <v>30</v>
      </c>
      <c r="J22669" t="s">
        <v>31</v>
      </c>
      <c r="K22669" t="s">
        <v>222</v>
      </c>
      <c r="N22669" t="s">
        <v>86316</v>
      </c>
      <c r="O22669" t="s">
        <v>86317</v>
      </c>
      <c r="Q22669">
        <v>0</v>
      </c>
      <c r="R22669">
        <v>151</v>
      </c>
      <c r="S22669">
        <v>0</v>
      </c>
      <c r="T22669" t="s">
        <v>86318</v>
      </c>
    </row>
    <row r="22670" spans="1:20" customFormat="1" ht="15" x14ac:dyDescent="0.25">
      <c r="A22670" t="s">
        <v>24</v>
      </c>
      <c r="B22670" t="s">
        <v>342</v>
      </c>
      <c r="C22670" t="str">
        <f>"A0085722"</f>
        <v>A0085722</v>
      </c>
      <c r="D22670" t="s">
        <v>86319</v>
      </c>
      <c r="E22670" t="s">
        <v>86320</v>
      </c>
      <c r="F22670" t="s">
        <v>3657</v>
      </c>
      <c r="G22670" t="s">
        <v>880</v>
      </c>
      <c r="H22670">
        <v>37922</v>
      </c>
      <c r="I22670" t="s">
        <v>30</v>
      </c>
      <c r="J22670" t="s">
        <v>31</v>
      </c>
      <c r="K22670" t="s">
        <v>222</v>
      </c>
      <c r="N22670" t="s">
        <v>82673</v>
      </c>
      <c r="Q22670">
        <v>0</v>
      </c>
      <c r="R22670">
        <v>98</v>
      </c>
      <c r="S22670">
        <v>0</v>
      </c>
      <c r="T22670" t="s">
        <v>86321</v>
      </c>
    </row>
    <row r="22671" spans="1:20" customFormat="1" ht="15" x14ac:dyDescent="0.25">
      <c r="A22671" t="s">
        <v>24</v>
      </c>
      <c r="B22671" t="s">
        <v>1323</v>
      </c>
      <c r="C22671" t="str">
        <f>"A0100753"</f>
        <v>A0100753</v>
      </c>
      <c r="D22671" t="s">
        <v>86322</v>
      </c>
      <c r="E22671" t="s">
        <v>86323</v>
      </c>
      <c r="F22671" t="s">
        <v>86324</v>
      </c>
      <c r="G22671" t="s">
        <v>880</v>
      </c>
      <c r="H22671">
        <v>37830</v>
      </c>
      <c r="I22671" t="s">
        <v>30</v>
      </c>
      <c r="J22671" t="s">
        <v>31</v>
      </c>
      <c r="K22671" t="s">
        <v>222</v>
      </c>
      <c r="N22671" t="s">
        <v>86325</v>
      </c>
      <c r="Q22671">
        <v>0</v>
      </c>
      <c r="R22671">
        <v>81</v>
      </c>
      <c r="S22671">
        <v>0</v>
      </c>
      <c r="T22671" t="s">
        <v>86326</v>
      </c>
    </row>
    <row r="22672" spans="1:20" customFormat="1" ht="15" x14ac:dyDescent="0.25">
      <c r="A22672" t="s">
        <v>24</v>
      </c>
      <c r="B22672" t="s">
        <v>1317</v>
      </c>
      <c r="C22672" t="str">
        <f>"A0097956"</f>
        <v>A0097956</v>
      </c>
      <c r="D22672" t="s">
        <v>86327</v>
      </c>
      <c r="E22672" t="s">
        <v>86328</v>
      </c>
      <c r="F22672" t="s">
        <v>60837</v>
      </c>
      <c r="G22672" t="s">
        <v>1170</v>
      </c>
      <c r="H22672">
        <v>70605</v>
      </c>
      <c r="I22672" t="s">
        <v>30</v>
      </c>
      <c r="J22672" t="s">
        <v>31</v>
      </c>
      <c r="K22672" t="s">
        <v>222</v>
      </c>
      <c r="N22672" t="s">
        <v>60838</v>
      </c>
      <c r="O22672" t="s">
        <v>60839</v>
      </c>
      <c r="Q22672">
        <v>0</v>
      </c>
      <c r="R22672">
        <v>120</v>
      </c>
      <c r="S22672">
        <v>0</v>
      </c>
      <c r="T22672" t="s">
        <v>86329</v>
      </c>
    </row>
    <row r="22673" spans="1:20" customFormat="1" ht="15" x14ac:dyDescent="0.25">
      <c r="A22673" t="s">
        <v>24</v>
      </c>
      <c r="B22673" t="s">
        <v>1317</v>
      </c>
      <c r="C22673" t="str">
        <f>"A0096602"</f>
        <v>A0096602</v>
      </c>
      <c r="D22673" t="s">
        <v>86330</v>
      </c>
      <c r="E22673" t="s">
        <v>86331</v>
      </c>
      <c r="F22673" t="s">
        <v>55056</v>
      </c>
      <c r="G22673" t="s">
        <v>81</v>
      </c>
      <c r="H22673">
        <v>33805</v>
      </c>
      <c r="I22673" t="s">
        <v>30</v>
      </c>
      <c r="J22673" t="s">
        <v>31</v>
      </c>
      <c r="K22673" t="s">
        <v>222</v>
      </c>
      <c r="N22673" t="s">
        <v>86332</v>
      </c>
      <c r="Q22673">
        <v>0</v>
      </c>
      <c r="R22673">
        <v>112</v>
      </c>
      <c r="S22673">
        <v>0</v>
      </c>
      <c r="T22673" t="s">
        <v>86333</v>
      </c>
    </row>
    <row r="22674" spans="1:20" customFormat="1" ht="15" x14ac:dyDescent="0.25">
      <c r="A22674" t="s">
        <v>24</v>
      </c>
      <c r="B22674" t="s">
        <v>1317</v>
      </c>
      <c r="C22674" t="str">
        <f>"A0098207"</f>
        <v>A0098207</v>
      </c>
      <c r="D22674" t="s">
        <v>86334</v>
      </c>
      <c r="E22674" t="s">
        <v>86335</v>
      </c>
      <c r="F22674" t="s">
        <v>15239</v>
      </c>
      <c r="G22674" t="s">
        <v>76</v>
      </c>
      <c r="H22674">
        <v>98499</v>
      </c>
      <c r="I22674" t="s">
        <v>30</v>
      </c>
      <c r="J22674" t="s">
        <v>31</v>
      </c>
      <c r="K22674" t="s">
        <v>222</v>
      </c>
      <c r="N22674" t="s">
        <v>86336</v>
      </c>
      <c r="O22674" t="s">
        <v>86337</v>
      </c>
      <c r="Q22674">
        <v>0</v>
      </c>
      <c r="R22674">
        <v>120</v>
      </c>
      <c r="S22674">
        <v>0</v>
      </c>
      <c r="T22674" t="s">
        <v>86338</v>
      </c>
    </row>
    <row r="22675" spans="1:20" customFormat="1" ht="15" x14ac:dyDescent="0.25">
      <c r="A22675" t="s">
        <v>24</v>
      </c>
      <c r="B22675" t="s">
        <v>1317</v>
      </c>
      <c r="C22675" t="str">
        <f>"A0093128"</f>
        <v>A0093128</v>
      </c>
      <c r="D22675" t="s">
        <v>86339</v>
      </c>
      <c r="E22675" t="s">
        <v>86340</v>
      </c>
      <c r="F22675" t="s">
        <v>1320</v>
      </c>
      <c r="G22675" t="s">
        <v>110</v>
      </c>
      <c r="H22675">
        <v>93536</v>
      </c>
      <c r="I22675" t="s">
        <v>30</v>
      </c>
      <c r="J22675" t="s">
        <v>31</v>
      </c>
      <c r="K22675" t="s">
        <v>222</v>
      </c>
      <c r="N22675" t="s">
        <v>86341</v>
      </c>
      <c r="Q22675">
        <v>0</v>
      </c>
      <c r="R22675">
        <v>93</v>
      </c>
      <c r="S22675">
        <v>0</v>
      </c>
      <c r="T22675" t="s">
        <v>86342</v>
      </c>
    </row>
    <row r="22676" spans="1:20" customFormat="1" ht="15" x14ac:dyDescent="0.25">
      <c r="A22676" t="s">
        <v>24</v>
      </c>
      <c r="B22676" t="s">
        <v>70497</v>
      </c>
      <c r="C22676" t="str">
        <f>"A0093601"</f>
        <v>A0093601</v>
      </c>
      <c r="D22676" t="s">
        <v>86343</v>
      </c>
      <c r="E22676" t="s">
        <v>86344</v>
      </c>
      <c r="F22676" t="s">
        <v>6947</v>
      </c>
      <c r="G22676" t="s">
        <v>52</v>
      </c>
      <c r="H22676">
        <v>78041</v>
      </c>
      <c r="I22676" t="s">
        <v>30</v>
      </c>
      <c r="J22676" t="s">
        <v>31</v>
      </c>
      <c r="K22676" t="s">
        <v>222</v>
      </c>
      <c r="N22676" t="s">
        <v>86345</v>
      </c>
      <c r="O22676" t="s">
        <v>86346</v>
      </c>
      <c r="Q22676">
        <v>0</v>
      </c>
      <c r="R22676">
        <v>120</v>
      </c>
      <c r="S22676">
        <v>0</v>
      </c>
      <c r="T22676" t="s">
        <v>86347</v>
      </c>
    </row>
    <row r="22677" spans="1:20" customFormat="1" ht="15" x14ac:dyDescent="0.25">
      <c r="A22677" t="s">
        <v>24</v>
      </c>
      <c r="B22677" t="s">
        <v>734</v>
      </c>
      <c r="C22677" t="str">
        <f>"A0147027"</f>
        <v>A0147027</v>
      </c>
      <c r="D22677" t="s">
        <v>86348</v>
      </c>
      <c r="E22677" t="s">
        <v>65159</v>
      </c>
      <c r="F22677" t="s">
        <v>220</v>
      </c>
      <c r="G22677" t="s">
        <v>221</v>
      </c>
      <c r="H22677">
        <v>89119</v>
      </c>
      <c r="I22677" t="s">
        <v>30</v>
      </c>
      <c r="J22677" t="s">
        <v>31</v>
      </c>
      <c r="K22677" t="s">
        <v>222</v>
      </c>
      <c r="N22677" t="s">
        <v>54261</v>
      </c>
      <c r="O22677" t="s">
        <v>738</v>
      </c>
      <c r="Q22677">
        <v>0</v>
      </c>
      <c r="R22677">
        <v>115</v>
      </c>
      <c r="S22677">
        <v>0</v>
      </c>
      <c r="T22677" t="s">
        <v>86349</v>
      </c>
    </row>
    <row r="22678" spans="1:20" customFormat="1" ht="15" x14ac:dyDescent="0.25">
      <c r="A22678" t="s">
        <v>24</v>
      </c>
      <c r="B22678" t="s">
        <v>1138</v>
      </c>
      <c r="C22678" t="str">
        <f>"A0100528"</f>
        <v>A0100528</v>
      </c>
      <c r="D22678" t="s">
        <v>86350</v>
      </c>
      <c r="E22678" t="s">
        <v>86351</v>
      </c>
      <c r="F22678" t="s">
        <v>220</v>
      </c>
      <c r="G22678" t="s">
        <v>221</v>
      </c>
      <c r="H22678">
        <v>89118</v>
      </c>
      <c r="I22678" t="s">
        <v>30</v>
      </c>
      <c r="J22678" t="s">
        <v>31</v>
      </c>
      <c r="K22678" t="s">
        <v>222</v>
      </c>
      <c r="N22678" t="s">
        <v>86352</v>
      </c>
      <c r="Q22678">
        <v>0</v>
      </c>
      <c r="R22678">
        <v>114</v>
      </c>
      <c r="S22678">
        <v>0</v>
      </c>
      <c r="T22678" t="s">
        <v>86353</v>
      </c>
    </row>
    <row r="22679" spans="1:20" customFormat="1" ht="15" x14ac:dyDescent="0.25">
      <c r="A22679" t="s">
        <v>24</v>
      </c>
      <c r="B22679" t="s">
        <v>59809</v>
      </c>
      <c r="C22679" t="str">
        <f>"A0093970"</f>
        <v>A0093970</v>
      </c>
      <c r="D22679" t="s">
        <v>86354</v>
      </c>
      <c r="E22679" t="s">
        <v>86355</v>
      </c>
      <c r="F22679" t="s">
        <v>63107</v>
      </c>
      <c r="G22679" t="s">
        <v>925</v>
      </c>
      <c r="H22679">
        <v>66044</v>
      </c>
      <c r="I22679" t="s">
        <v>30</v>
      </c>
      <c r="J22679" t="s">
        <v>31</v>
      </c>
      <c r="K22679" t="s">
        <v>222</v>
      </c>
      <c r="N22679" t="s">
        <v>86356</v>
      </c>
      <c r="Q22679">
        <v>0</v>
      </c>
      <c r="R22679">
        <v>91</v>
      </c>
      <c r="S22679">
        <v>0</v>
      </c>
      <c r="T22679" t="s">
        <v>86357</v>
      </c>
    </row>
    <row r="22680" spans="1:20" customFormat="1" ht="15" x14ac:dyDescent="0.25">
      <c r="A22680" t="s">
        <v>24</v>
      </c>
      <c r="B22680" t="s">
        <v>34039</v>
      </c>
      <c r="C22680" t="str">
        <f>"A0100039"</f>
        <v>A0100039</v>
      </c>
      <c r="D22680" t="s">
        <v>86358</v>
      </c>
      <c r="E22680" t="s">
        <v>86359</v>
      </c>
      <c r="F22680" t="s">
        <v>4173</v>
      </c>
      <c r="G22680" t="s">
        <v>925</v>
      </c>
      <c r="H22680">
        <v>66048</v>
      </c>
      <c r="I22680" t="s">
        <v>30</v>
      </c>
      <c r="J22680" t="s">
        <v>31</v>
      </c>
      <c r="K22680" t="s">
        <v>222</v>
      </c>
      <c r="N22680" t="s">
        <v>65091</v>
      </c>
      <c r="Q22680">
        <v>0</v>
      </c>
      <c r="R22680">
        <v>90</v>
      </c>
      <c r="S22680">
        <v>0</v>
      </c>
      <c r="T22680" t="s">
        <v>86360</v>
      </c>
    </row>
    <row r="22681" spans="1:20" customFormat="1" ht="15" x14ac:dyDescent="0.25">
      <c r="A22681" t="s">
        <v>24</v>
      </c>
      <c r="B22681" t="s">
        <v>2340</v>
      </c>
      <c r="C22681" t="str">
        <f>"A0088049"</f>
        <v>A0088049</v>
      </c>
      <c r="D22681" t="s">
        <v>86361</v>
      </c>
      <c r="E22681" t="s">
        <v>86362</v>
      </c>
      <c r="F22681" t="s">
        <v>54125</v>
      </c>
      <c r="G22681" t="s">
        <v>123</v>
      </c>
      <c r="H22681">
        <v>20653</v>
      </c>
      <c r="I22681" t="s">
        <v>30</v>
      </c>
      <c r="J22681" t="s">
        <v>31</v>
      </c>
      <c r="K22681" t="s">
        <v>222</v>
      </c>
      <c r="N22681" t="s">
        <v>86363</v>
      </c>
      <c r="O22681" t="s">
        <v>86364</v>
      </c>
      <c r="Q22681">
        <v>0</v>
      </c>
      <c r="R22681">
        <v>87</v>
      </c>
      <c r="S22681">
        <v>0</v>
      </c>
      <c r="T22681" t="s">
        <v>86365</v>
      </c>
    </row>
    <row r="22682" spans="1:20" customFormat="1" ht="15" x14ac:dyDescent="0.25">
      <c r="A22682" t="s">
        <v>24</v>
      </c>
      <c r="B22682" t="s">
        <v>1317</v>
      </c>
      <c r="C22682" t="str">
        <f>"A0093635"</f>
        <v>A0093635</v>
      </c>
      <c r="D22682" t="s">
        <v>86366</v>
      </c>
      <c r="E22682" t="s">
        <v>86367</v>
      </c>
      <c r="F22682" t="s">
        <v>3041</v>
      </c>
      <c r="G22682" t="s">
        <v>840</v>
      </c>
      <c r="H22682">
        <v>40509</v>
      </c>
      <c r="I22682" t="s">
        <v>30</v>
      </c>
      <c r="J22682" t="s">
        <v>31</v>
      </c>
      <c r="K22682" t="s">
        <v>222</v>
      </c>
      <c r="N22682" t="s">
        <v>86368</v>
      </c>
      <c r="O22682" t="s">
        <v>86369</v>
      </c>
      <c r="Q22682">
        <v>0</v>
      </c>
      <c r="R22682">
        <v>99</v>
      </c>
      <c r="S22682">
        <v>0</v>
      </c>
      <c r="T22682" t="s">
        <v>86370</v>
      </c>
    </row>
    <row r="22683" spans="1:20" customFormat="1" ht="15" x14ac:dyDescent="0.25">
      <c r="A22683" t="s">
        <v>24</v>
      </c>
      <c r="B22683" t="s">
        <v>1317</v>
      </c>
      <c r="C22683" t="str">
        <f>"A0094882"</f>
        <v>A0094882</v>
      </c>
      <c r="D22683" t="s">
        <v>86371</v>
      </c>
      <c r="E22683" t="s">
        <v>86372</v>
      </c>
      <c r="F22683" t="s">
        <v>13473</v>
      </c>
      <c r="G22683" t="s">
        <v>427</v>
      </c>
      <c r="H22683">
        <v>68504</v>
      </c>
      <c r="I22683" t="s">
        <v>30</v>
      </c>
      <c r="J22683" t="s">
        <v>31</v>
      </c>
      <c r="K22683" t="s">
        <v>222</v>
      </c>
      <c r="N22683" t="s">
        <v>86373</v>
      </c>
      <c r="Q22683">
        <v>0</v>
      </c>
      <c r="R22683">
        <v>89</v>
      </c>
      <c r="S22683">
        <v>0</v>
      </c>
      <c r="T22683" t="s">
        <v>86374</v>
      </c>
    </row>
    <row r="22684" spans="1:20" customFormat="1" ht="15" x14ac:dyDescent="0.25">
      <c r="A22684" t="s">
        <v>24</v>
      </c>
      <c r="B22684" t="s">
        <v>2528</v>
      </c>
      <c r="C22684" t="str">
        <f>"A0088614"</f>
        <v>A0088614</v>
      </c>
      <c r="D22684" t="s">
        <v>86375</v>
      </c>
      <c r="E22684" t="s">
        <v>86376</v>
      </c>
      <c r="F22684" t="s">
        <v>4334</v>
      </c>
      <c r="G22684" t="s">
        <v>85</v>
      </c>
      <c r="H22684">
        <v>72205</v>
      </c>
      <c r="I22684" t="s">
        <v>30</v>
      </c>
      <c r="J22684" t="s">
        <v>31</v>
      </c>
      <c r="K22684" t="s">
        <v>222</v>
      </c>
      <c r="N22684" t="s">
        <v>86377</v>
      </c>
      <c r="O22684" t="s">
        <v>86378</v>
      </c>
      <c r="Q22684">
        <v>0</v>
      </c>
      <c r="R22684">
        <v>92</v>
      </c>
      <c r="S22684">
        <v>0</v>
      </c>
      <c r="T22684" t="s">
        <v>86379</v>
      </c>
    </row>
    <row r="22685" spans="1:20" customFormat="1" ht="15" x14ac:dyDescent="0.25">
      <c r="A22685" t="s">
        <v>24</v>
      </c>
      <c r="B22685" t="s">
        <v>3159</v>
      </c>
      <c r="C22685" t="str">
        <f>"A0117461"</f>
        <v>A0117461</v>
      </c>
      <c r="D22685" t="s">
        <v>86380</v>
      </c>
      <c r="E22685" t="s">
        <v>86381</v>
      </c>
      <c r="F22685" t="s">
        <v>3466</v>
      </c>
      <c r="G22685" t="s">
        <v>840</v>
      </c>
      <c r="H22685">
        <v>40213</v>
      </c>
      <c r="I22685" t="s">
        <v>30</v>
      </c>
      <c r="J22685" t="s">
        <v>31</v>
      </c>
      <c r="K22685" t="s">
        <v>222</v>
      </c>
      <c r="N22685" t="s">
        <v>86382</v>
      </c>
      <c r="Q22685">
        <v>0</v>
      </c>
      <c r="R22685">
        <v>95</v>
      </c>
      <c r="S22685">
        <v>0</v>
      </c>
      <c r="T22685" t="s">
        <v>86383</v>
      </c>
    </row>
    <row r="22686" spans="1:20" customFormat="1" ht="15" x14ac:dyDescent="0.25">
      <c r="A22686" t="s">
        <v>24</v>
      </c>
      <c r="B22686" t="s">
        <v>1487</v>
      </c>
      <c r="C22686" t="str">
        <f>"A0100620"</f>
        <v>A0100620</v>
      </c>
      <c r="D22686" t="s">
        <v>86384</v>
      </c>
      <c r="E22686" t="s">
        <v>65199</v>
      </c>
      <c r="F22686" t="s">
        <v>3466</v>
      </c>
      <c r="G22686" t="s">
        <v>840</v>
      </c>
      <c r="H22686">
        <v>40202</v>
      </c>
      <c r="I22686" t="s">
        <v>30</v>
      </c>
      <c r="J22686" t="s">
        <v>31</v>
      </c>
      <c r="K22686" t="s">
        <v>222</v>
      </c>
      <c r="N22686" t="s">
        <v>65200</v>
      </c>
      <c r="Q22686">
        <v>0</v>
      </c>
      <c r="R22686">
        <v>78</v>
      </c>
      <c r="S22686">
        <v>0</v>
      </c>
      <c r="T22686" t="s">
        <v>86385</v>
      </c>
    </row>
    <row r="22687" spans="1:20" customFormat="1" ht="15" x14ac:dyDescent="0.25">
      <c r="A22687" t="s">
        <v>24</v>
      </c>
      <c r="B22687" t="s">
        <v>59142</v>
      </c>
      <c r="C22687" t="str">
        <f>"A0084033"</f>
        <v>A0084033</v>
      </c>
      <c r="D22687" t="s">
        <v>86386</v>
      </c>
      <c r="E22687" t="s">
        <v>86387</v>
      </c>
      <c r="F22687" t="s">
        <v>6873</v>
      </c>
      <c r="G22687" t="s">
        <v>47</v>
      </c>
      <c r="H22687">
        <v>97501</v>
      </c>
      <c r="I22687" t="s">
        <v>30</v>
      </c>
      <c r="J22687" t="s">
        <v>31</v>
      </c>
      <c r="K22687" t="s">
        <v>222</v>
      </c>
      <c r="N22687" t="s">
        <v>86388</v>
      </c>
      <c r="O22687" t="s">
        <v>86389</v>
      </c>
      <c r="Q22687">
        <v>0</v>
      </c>
      <c r="R22687">
        <v>76</v>
      </c>
      <c r="S22687">
        <v>0</v>
      </c>
      <c r="T22687" t="s">
        <v>86390</v>
      </c>
    </row>
    <row r="22688" spans="1:20" customFormat="1" ht="15" x14ac:dyDescent="0.25">
      <c r="A22688" t="s">
        <v>24</v>
      </c>
      <c r="B22688" t="s">
        <v>2180</v>
      </c>
      <c r="C22688" t="str">
        <f>"A0154144"</f>
        <v>A0154144</v>
      </c>
      <c r="D22688" t="s">
        <v>86391</v>
      </c>
      <c r="E22688" t="s">
        <v>86392</v>
      </c>
      <c r="F22688" t="s">
        <v>69533</v>
      </c>
      <c r="G22688" t="s">
        <v>1369</v>
      </c>
      <c r="H22688">
        <v>38654</v>
      </c>
      <c r="I22688" t="s">
        <v>30</v>
      </c>
      <c r="J22688" t="s">
        <v>31</v>
      </c>
      <c r="K22688" t="s">
        <v>222</v>
      </c>
      <c r="N22688" t="s">
        <v>86393</v>
      </c>
      <c r="O22688" t="s">
        <v>2185</v>
      </c>
      <c r="Q22688">
        <v>0</v>
      </c>
      <c r="R22688">
        <v>95</v>
      </c>
      <c r="S22688">
        <v>0</v>
      </c>
      <c r="T22688" t="s">
        <v>86394</v>
      </c>
    </row>
    <row r="22689" spans="1:20" customFormat="1" ht="15" x14ac:dyDescent="0.25">
      <c r="A22689" t="s">
        <v>24</v>
      </c>
      <c r="B22689" t="s">
        <v>257</v>
      </c>
      <c r="C22689" t="str">
        <f>"A0117462"</f>
        <v>A0117462</v>
      </c>
      <c r="D22689" t="s">
        <v>86395</v>
      </c>
      <c r="E22689" t="s">
        <v>86396</v>
      </c>
      <c r="F22689" t="s">
        <v>3035</v>
      </c>
      <c r="G22689" t="s">
        <v>1369</v>
      </c>
      <c r="H22689">
        <v>38671</v>
      </c>
      <c r="I22689" t="s">
        <v>30</v>
      </c>
      <c r="J22689" t="s">
        <v>31</v>
      </c>
      <c r="K22689" t="s">
        <v>222</v>
      </c>
      <c r="N22689" t="s">
        <v>86397</v>
      </c>
      <c r="O22689" t="s">
        <v>86398</v>
      </c>
      <c r="Q22689">
        <v>0</v>
      </c>
      <c r="R22689">
        <v>112</v>
      </c>
      <c r="S22689">
        <v>0</v>
      </c>
      <c r="T22689" t="s">
        <v>86399</v>
      </c>
    </row>
    <row r="22690" spans="1:20" customFormat="1" ht="15" x14ac:dyDescent="0.25">
      <c r="A22690" t="s">
        <v>24</v>
      </c>
      <c r="B22690" t="s">
        <v>1317</v>
      </c>
      <c r="C22690" t="str">
        <f>"A0083630"</f>
        <v>A0083630</v>
      </c>
      <c r="D22690" t="s">
        <v>86400</v>
      </c>
      <c r="E22690" t="s">
        <v>86401</v>
      </c>
      <c r="F22690" t="s">
        <v>2183</v>
      </c>
      <c r="G22690" t="s">
        <v>433</v>
      </c>
      <c r="H22690">
        <v>83642</v>
      </c>
      <c r="I22690" t="s">
        <v>30</v>
      </c>
      <c r="J22690" t="s">
        <v>31</v>
      </c>
      <c r="K22690" t="s">
        <v>222</v>
      </c>
      <c r="N22690" t="s">
        <v>86402</v>
      </c>
      <c r="Q22690">
        <v>0</v>
      </c>
      <c r="R22690">
        <v>100</v>
      </c>
      <c r="S22690">
        <v>0</v>
      </c>
      <c r="T22690" t="s">
        <v>86403</v>
      </c>
    </row>
    <row r="22691" spans="1:20" customFormat="1" ht="15" x14ac:dyDescent="0.25">
      <c r="A22691" t="s">
        <v>24</v>
      </c>
      <c r="B22691" t="s">
        <v>1323</v>
      </c>
      <c r="C22691" t="str">
        <f>"A0094820"</f>
        <v>A0094820</v>
      </c>
      <c r="D22691" t="s">
        <v>86404</v>
      </c>
      <c r="E22691" t="s">
        <v>86405</v>
      </c>
      <c r="F22691" t="s">
        <v>86406</v>
      </c>
      <c r="G22691" t="s">
        <v>81</v>
      </c>
      <c r="H22691">
        <v>33126</v>
      </c>
      <c r="I22691" t="s">
        <v>30</v>
      </c>
      <c r="J22691" t="s">
        <v>31</v>
      </c>
      <c r="K22691" t="s">
        <v>222</v>
      </c>
      <c r="N22691" t="s">
        <v>86407</v>
      </c>
      <c r="Q22691">
        <v>0</v>
      </c>
      <c r="R22691">
        <v>155</v>
      </c>
      <c r="S22691">
        <v>0</v>
      </c>
      <c r="T22691" t="s">
        <v>86408</v>
      </c>
    </row>
    <row r="22692" spans="1:20" customFormat="1" ht="15" x14ac:dyDescent="0.25">
      <c r="A22692" t="s">
        <v>24</v>
      </c>
      <c r="B22692" t="s">
        <v>1098</v>
      </c>
      <c r="C22692" t="str">
        <f>"A0096784"</f>
        <v>A0096784</v>
      </c>
      <c r="D22692" t="s">
        <v>86409</v>
      </c>
      <c r="E22692" t="s">
        <v>86410</v>
      </c>
      <c r="F22692" t="s">
        <v>68176</v>
      </c>
      <c r="G22692" t="s">
        <v>81</v>
      </c>
      <c r="H22692">
        <v>33033</v>
      </c>
      <c r="I22692" t="s">
        <v>30</v>
      </c>
      <c r="J22692" t="s">
        <v>31</v>
      </c>
      <c r="K22692" t="s">
        <v>222</v>
      </c>
      <c r="N22692" t="s">
        <v>86411</v>
      </c>
      <c r="Q22692">
        <v>0</v>
      </c>
      <c r="R22692">
        <v>97</v>
      </c>
      <c r="S22692">
        <v>0</v>
      </c>
      <c r="T22692" t="s">
        <v>86412</v>
      </c>
    </row>
    <row r="22693" spans="1:20" customFormat="1" ht="15" x14ac:dyDescent="0.25">
      <c r="A22693" t="s">
        <v>24</v>
      </c>
      <c r="B22693" t="s">
        <v>1561</v>
      </c>
      <c r="C22693" t="str">
        <f>"A0091422"</f>
        <v>A0091422</v>
      </c>
      <c r="D22693" t="s">
        <v>86413</v>
      </c>
      <c r="E22693" t="s">
        <v>86414</v>
      </c>
      <c r="F22693" t="s">
        <v>2057</v>
      </c>
      <c r="G22693" t="s">
        <v>52</v>
      </c>
      <c r="H22693">
        <v>79706</v>
      </c>
      <c r="I22693" t="s">
        <v>30</v>
      </c>
      <c r="J22693" t="s">
        <v>31</v>
      </c>
      <c r="K22693" t="s">
        <v>222</v>
      </c>
      <c r="N22693" t="s">
        <v>86415</v>
      </c>
      <c r="O22693" t="s">
        <v>86416</v>
      </c>
      <c r="Q22693">
        <v>0</v>
      </c>
      <c r="R22693">
        <v>100</v>
      </c>
      <c r="S22693">
        <v>0</v>
      </c>
      <c r="T22693" t="s">
        <v>86417</v>
      </c>
    </row>
    <row r="22694" spans="1:20" customFormat="1" ht="15" x14ac:dyDescent="0.25">
      <c r="A22694" t="s">
        <v>24</v>
      </c>
      <c r="B22694" t="s">
        <v>675</v>
      </c>
      <c r="C22694" t="str">
        <f>"645AF"</f>
        <v>645AF</v>
      </c>
      <c r="D22694" t="s">
        <v>86418</v>
      </c>
      <c r="E22694" t="s">
        <v>86419</v>
      </c>
      <c r="F22694" t="s">
        <v>35211</v>
      </c>
      <c r="G22694" t="s">
        <v>110</v>
      </c>
      <c r="H22694">
        <v>95035</v>
      </c>
      <c r="I22694" t="s">
        <v>30</v>
      </c>
      <c r="J22694" t="s">
        <v>31</v>
      </c>
      <c r="K22694" t="s">
        <v>222</v>
      </c>
      <c r="N22694" t="s">
        <v>61127</v>
      </c>
      <c r="Q22694">
        <v>0</v>
      </c>
      <c r="R22694">
        <v>143</v>
      </c>
      <c r="S22694">
        <v>0</v>
      </c>
      <c r="T22694" t="s">
        <v>86420</v>
      </c>
    </row>
    <row r="22695" spans="1:20" customFormat="1" ht="15" x14ac:dyDescent="0.25">
      <c r="A22695" t="s">
        <v>24</v>
      </c>
      <c r="B22695" t="s">
        <v>55528</v>
      </c>
      <c r="C22695" t="str">
        <f>"A0094914"</f>
        <v>A0094914</v>
      </c>
      <c r="D22695" t="s">
        <v>86421</v>
      </c>
      <c r="E22695" t="s">
        <v>86422</v>
      </c>
      <c r="F22695" t="s">
        <v>3455</v>
      </c>
      <c r="G22695" t="s">
        <v>161</v>
      </c>
      <c r="H22695">
        <v>55425</v>
      </c>
      <c r="I22695" t="s">
        <v>30</v>
      </c>
      <c r="J22695" t="s">
        <v>31</v>
      </c>
      <c r="K22695" t="s">
        <v>222</v>
      </c>
      <c r="N22695" t="s">
        <v>86423</v>
      </c>
      <c r="O22695" t="s">
        <v>86424</v>
      </c>
      <c r="Q22695">
        <v>0</v>
      </c>
      <c r="R22695">
        <v>118</v>
      </c>
      <c r="S22695">
        <v>0</v>
      </c>
      <c r="T22695" t="s">
        <v>86425</v>
      </c>
    </row>
    <row r="22696" spans="1:20" customFormat="1" ht="15" x14ac:dyDescent="0.25">
      <c r="A22696" t="s">
        <v>24</v>
      </c>
      <c r="B22696" t="s">
        <v>86426</v>
      </c>
      <c r="C22696" t="str">
        <f>"685XJ"</f>
        <v>685XJ</v>
      </c>
      <c r="D22696" t="s">
        <v>86427</v>
      </c>
      <c r="E22696" t="s">
        <v>86428</v>
      </c>
      <c r="F22696" t="s">
        <v>53883</v>
      </c>
      <c r="G22696" t="s">
        <v>1706</v>
      </c>
      <c r="H22696">
        <v>36609</v>
      </c>
      <c r="I22696" t="s">
        <v>30</v>
      </c>
      <c r="J22696" t="s">
        <v>31</v>
      </c>
      <c r="K22696" t="s">
        <v>222</v>
      </c>
      <c r="N22696" t="s">
        <v>86429</v>
      </c>
      <c r="Q22696">
        <v>0</v>
      </c>
      <c r="R22696">
        <v>93</v>
      </c>
      <c r="S22696">
        <v>0</v>
      </c>
      <c r="T22696" t="s">
        <v>86430</v>
      </c>
    </row>
    <row r="22697" spans="1:20" customFormat="1" ht="15" x14ac:dyDescent="0.25">
      <c r="A22697" t="s">
        <v>24</v>
      </c>
      <c r="B22697" t="s">
        <v>8742</v>
      </c>
      <c r="C22697" t="str">
        <f>"A0100294"</f>
        <v>A0100294</v>
      </c>
      <c r="D22697" t="s">
        <v>86431</v>
      </c>
      <c r="E22697" t="s">
        <v>86432</v>
      </c>
      <c r="F22697" t="s">
        <v>3618</v>
      </c>
      <c r="G22697" t="s">
        <v>1706</v>
      </c>
      <c r="H22697">
        <v>36571</v>
      </c>
      <c r="I22697" t="s">
        <v>30</v>
      </c>
      <c r="J22697" t="s">
        <v>31</v>
      </c>
      <c r="K22697" t="s">
        <v>222</v>
      </c>
      <c r="N22697" t="s">
        <v>86433</v>
      </c>
      <c r="O22697" t="s">
        <v>86434</v>
      </c>
      <c r="Q22697">
        <v>0</v>
      </c>
      <c r="R22697">
        <v>89</v>
      </c>
      <c r="S22697">
        <v>0</v>
      </c>
      <c r="T22697" t="s">
        <v>86435</v>
      </c>
    </row>
    <row r="22698" spans="1:20" customFormat="1" ht="15" x14ac:dyDescent="0.25">
      <c r="A22698" t="s">
        <v>24</v>
      </c>
      <c r="B22698" t="s">
        <v>1317</v>
      </c>
      <c r="C22698" t="str">
        <f>"A0090470"</f>
        <v>A0090470</v>
      </c>
      <c r="D22698" t="s">
        <v>12781</v>
      </c>
      <c r="E22698" t="s">
        <v>86436</v>
      </c>
      <c r="F22698" t="s">
        <v>5610</v>
      </c>
      <c r="G22698" t="s">
        <v>1170</v>
      </c>
      <c r="H22698">
        <v>71203</v>
      </c>
      <c r="I22698" t="s">
        <v>30</v>
      </c>
      <c r="J22698" t="s">
        <v>31</v>
      </c>
      <c r="K22698" t="s">
        <v>222</v>
      </c>
      <c r="N22698" t="s">
        <v>86437</v>
      </c>
      <c r="Q22698">
        <v>0</v>
      </c>
      <c r="R22698">
        <v>91</v>
      </c>
      <c r="S22698">
        <v>0</v>
      </c>
      <c r="T22698" t="s">
        <v>86438</v>
      </c>
    </row>
    <row r="22699" spans="1:20" customFormat="1" ht="15" x14ac:dyDescent="0.25">
      <c r="A22699" t="s">
        <v>24</v>
      </c>
      <c r="B22699" t="s">
        <v>34691</v>
      </c>
      <c r="C22699" t="str">
        <f>"A0098719"</f>
        <v>A0098719</v>
      </c>
      <c r="D22699" t="s">
        <v>86439</v>
      </c>
      <c r="E22699" t="s">
        <v>86440</v>
      </c>
      <c r="F22699" t="s">
        <v>8562</v>
      </c>
      <c r="G22699" t="s">
        <v>1706</v>
      </c>
      <c r="H22699">
        <v>36117</v>
      </c>
      <c r="I22699" t="s">
        <v>30</v>
      </c>
      <c r="J22699" t="s">
        <v>31</v>
      </c>
      <c r="K22699" t="s">
        <v>222</v>
      </c>
      <c r="N22699" t="s">
        <v>86441</v>
      </c>
      <c r="O22699" t="s">
        <v>86442</v>
      </c>
      <c r="Q22699">
        <v>0</v>
      </c>
      <c r="R22699">
        <v>95</v>
      </c>
      <c r="S22699">
        <v>0</v>
      </c>
      <c r="T22699" t="s">
        <v>86443</v>
      </c>
    </row>
    <row r="22700" spans="1:20" customFormat="1" ht="15" x14ac:dyDescent="0.25">
      <c r="A22700" t="s">
        <v>24</v>
      </c>
      <c r="B22700" t="s">
        <v>1323</v>
      </c>
      <c r="C22700" t="str">
        <f>"A0090395"</f>
        <v>A0090395</v>
      </c>
      <c r="D22700" t="s">
        <v>86444</v>
      </c>
      <c r="E22700" t="s">
        <v>86445</v>
      </c>
      <c r="F22700" t="s">
        <v>2971</v>
      </c>
      <c r="G22700" t="s">
        <v>880</v>
      </c>
      <c r="H22700">
        <v>37214</v>
      </c>
      <c r="I22700" t="s">
        <v>30</v>
      </c>
      <c r="J22700" t="s">
        <v>31</v>
      </c>
      <c r="K22700" t="s">
        <v>222</v>
      </c>
      <c r="N22700" t="s">
        <v>86446</v>
      </c>
      <c r="Q22700">
        <v>0</v>
      </c>
      <c r="R22700">
        <v>101</v>
      </c>
      <c r="S22700">
        <v>0</v>
      </c>
      <c r="T22700" t="s">
        <v>86447</v>
      </c>
    </row>
    <row r="22701" spans="1:20" customFormat="1" ht="15" x14ac:dyDescent="0.25">
      <c r="A22701" t="s">
        <v>24</v>
      </c>
      <c r="B22701" t="s">
        <v>675</v>
      </c>
      <c r="C22701" t="str">
        <f>"A0157423"</f>
        <v>A0157423</v>
      </c>
      <c r="D22701" t="s">
        <v>86448</v>
      </c>
      <c r="E22701" t="s">
        <v>86449</v>
      </c>
      <c r="F22701" t="s">
        <v>2971</v>
      </c>
      <c r="G22701" t="s">
        <v>880</v>
      </c>
      <c r="H22701">
        <v>37201</v>
      </c>
      <c r="I22701" t="s">
        <v>30</v>
      </c>
      <c r="J22701" t="s">
        <v>31</v>
      </c>
      <c r="K22701" t="s">
        <v>222</v>
      </c>
      <c r="N22701" t="s">
        <v>61190</v>
      </c>
      <c r="O22701" t="s">
        <v>86450</v>
      </c>
      <c r="Q22701">
        <v>0</v>
      </c>
      <c r="R22701">
        <v>204</v>
      </c>
      <c r="S22701">
        <v>0</v>
      </c>
      <c r="T22701" t="s">
        <v>86451</v>
      </c>
    </row>
    <row r="22702" spans="1:20" customFormat="1" ht="15" x14ac:dyDescent="0.25">
      <c r="A22702" t="s">
        <v>24</v>
      </c>
      <c r="B22702" t="s">
        <v>675</v>
      </c>
      <c r="C22702" t="str">
        <f>"A0097990"</f>
        <v>A0097990</v>
      </c>
      <c r="D22702" t="s">
        <v>86452</v>
      </c>
      <c r="E22702" t="s">
        <v>86453</v>
      </c>
      <c r="F22702" t="s">
        <v>61189</v>
      </c>
      <c r="G22702" t="s">
        <v>880</v>
      </c>
      <c r="H22702">
        <v>37072</v>
      </c>
      <c r="I22702" t="s">
        <v>30</v>
      </c>
      <c r="J22702" t="s">
        <v>31</v>
      </c>
      <c r="K22702" t="s">
        <v>222</v>
      </c>
      <c r="N22702" t="s">
        <v>86454</v>
      </c>
      <c r="O22702" t="s">
        <v>86455</v>
      </c>
      <c r="Q22702">
        <v>0</v>
      </c>
      <c r="R22702">
        <v>100</v>
      </c>
      <c r="S22702">
        <v>0</v>
      </c>
      <c r="T22702" t="s">
        <v>86456</v>
      </c>
    </row>
    <row r="22703" spans="1:20" customFormat="1" ht="15" x14ac:dyDescent="0.25">
      <c r="A22703" t="s">
        <v>24</v>
      </c>
      <c r="B22703" t="s">
        <v>5149</v>
      </c>
      <c r="C22703" t="str">
        <f>"A0117306"</f>
        <v>A0117306</v>
      </c>
      <c r="D22703" t="s">
        <v>86457</v>
      </c>
      <c r="E22703" t="s">
        <v>86458</v>
      </c>
      <c r="F22703" t="s">
        <v>61255</v>
      </c>
      <c r="G22703" t="s">
        <v>381</v>
      </c>
      <c r="H22703">
        <v>47630</v>
      </c>
      <c r="I22703" t="s">
        <v>30</v>
      </c>
      <c r="J22703" t="s">
        <v>31</v>
      </c>
      <c r="K22703" t="s">
        <v>222</v>
      </c>
      <c r="N22703" t="s">
        <v>86459</v>
      </c>
      <c r="Q22703">
        <v>0</v>
      </c>
      <c r="R22703">
        <v>111</v>
      </c>
      <c r="S22703">
        <v>0</v>
      </c>
      <c r="T22703" t="s">
        <v>86460</v>
      </c>
    </row>
    <row r="22704" spans="1:20" customFormat="1" ht="15" x14ac:dyDescent="0.25">
      <c r="A22704" t="s">
        <v>24</v>
      </c>
      <c r="B22704" t="s">
        <v>1020</v>
      </c>
      <c r="C22704" t="str">
        <f>"A0099219"</f>
        <v>A0099219</v>
      </c>
      <c r="D22704" t="s">
        <v>86461</v>
      </c>
      <c r="E22704" t="s">
        <v>82825</v>
      </c>
      <c r="F22704" t="s">
        <v>985</v>
      </c>
      <c r="G22704" t="s">
        <v>81</v>
      </c>
      <c r="H22704">
        <v>32836</v>
      </c>
      <c r="I22704" t="s">
        <v>30</v>
      </c>
      <c r="J22704" t="s">
        <v>31</v>
      </c>
      <c r="K22704" t="s">
        <v>222</v>
      </c>
      <c r="N22704" t="s">
        <v>86462</v>
      </c>
      <c r="O22704" t="s">
        <v>82827</v>
      </c>
      <c r="Q22704">
        <v>0</v>
      </c>
      <c r="R22704">
        <v>155</v>
      </c>
      <c r="S22704">
        <v>0</v>
      </c>
      <c r="T22704" t="s">
        <v>82828</v>
      </c>
    </row>
    <row r="22705" spans="1:20" customFormat="1" ht="15" x14ac:dyDescent="0.25">
      <c r="A22705" t="s">
        <v>24</v>
      </c>
      <c r="B22705" t="s">
        <v>34154</v>
      </c>
      <c r="C22705" t="str">
        <f>"A0155920"</f>
        <v>A0155920</v>
      </c>
      <c r="D22705" t="s">
        <v>86463</v>
      </c>
      <c r="E22705" t="s">
        <v>86464</v>
      </c>
      <c r="F22705" t="s">
        <v>985</v>
      </c>
      <c r="G22705" t="s">
        <v>81</v>
      </c>
      <c r="H22705">
        <v>32806</v>
      </c>
      <c r="I22705" t="s">
        <v>30</v>
      </c>
      <c r="J22705" t="s">
        <v>31</v>
      </c>
      <c r="K22705" t="s">
        <v>222</v>
      </c>
      <c r="N22705" t="s">
        <v>86465</v>
      </c>
      <c r="O22705" t="s">
        <v>86466</v>
      </c>
      <c r="Q22705">
        <v>0</v>
      </c>
      <c r="R22705">
        <v>110</v>
      </c>
      <c r="S22705">
        <v>0</v>
      </c>
      <c r="T22705" t="s">
        <v>86467</v>
      </c>
    </row>
    <row r="22706" spans="1:20" customFormat="1" ht="15" x14ac:dyDescent="0.25">
      <c r="A22706" t="s">
        <v>24</v>
      </c>
      <c r="B22706" t="s">
        <v>3045</v>
      </c>
      <c r="C22706" t="str">
        <f>"A0094655"</f>
        <v>A0094655</v>
      </c>
      <c r="D22706" t="s">
        <v>86468</v>
      </c>
      <c r="E22706" t="s">
        <v>86469</v>
      </c>
      <c r="F22706" t="s">
        <v>53964</v>
      </c>
      <c r="G22706" t="s">
        <v>81</v>
      </c>
      <c r="H22706">
        <v>34787</v>
      </c>
      <c r="I22706" t="s">
        <v>30</v>
      </c>
      <c r="J22706" t="s">
        <v>31</v>
      </c>
      <c r="K22706" t="s">
        <v>222</v>
      </c>
      <c r="N22706" t="s">
        <v>86470</v>
      </c>
      <c r="O22706" t="s">
        <v>86471</v>
      </c>
      <c r="Q22706">
        <v>0</v>
      </c>
      <c r="R22706">
        <v>250</v>
      </c>
      <c r="S22706">
        <v>0</v>
      </c>
      <c r="T22706" t="s">
        <v>86472</v>
      </c>
    </row>
    <row r="22707" spans="1:20" customFormat="1" ht="15" x14ac:dyDescent="0.25">
      <c r="A22707" t="s">
        <v>24</v>
      </c>
      <c r="B22707" t="s">
        <v>61358</v>
      </c>
      <c r="C22707" t="str">
        <f>"685YJ"</f>
        <v>685YJ</v>
      </c>
      <c r="D22707" t="s">
        <v>86473</v>
      </c>
      <c r="E22707" t="s">
        <v>86474</v>
      </c>
      <c r="F22707" t="s">
        <v>985</v>
      </c>
      <c r="G22707" t="s">
        <v>81</v>
      </c>
      <c r="H22707">
        <v>32817</v>
      </c>
      <c r="I22707" t="s">
        <v>30</v>
      </c>
      <c r="J22707" t="s">
        <v>31</v>
      </c>
      <c r="K22707" t="s">
        <v>222</v>
      </c>
      <c r="N22707" t="s">
        <v>86475</v>
      </c>
      <c r="Q22707">
        <v>0</v>
      </c>
      <c r="R22707">
        <v>105</v>
      </c>
      <c r="S22707">
        <v>0</v>
      </c>
      <c r="T22707" t="s">
        <v>86476</v>
      </c>
    </row>
    <row r="22708" spans="1:20" customFormat="1" ht="15" x14ac:dyDescent="0.25">
      <c r="A22708" t="s">
        <v>24</v>
      </c>
      <c r="B22708" t="s">
        <v>1323</v>
      </c>
      <c r="C22708" t="str">
        <f>"A0088643"</f>
        <v>A0088643</v>
      </c>
      <c r="D22708" t="s">
        <v>86477</v>
      </c>
      <c r="E22708" t="s">
        <v>86478</v>
      </c>
      <c r="F22708" t="s">
        <v>3145</v>
      </c>
      <c r="G22708" t="s">
        <v>81</v>
      </c>
      <c r="H22708">
        <v>32405</v>
      </c>
      <c r="I22708" t="s">
        <v>30</v>
      </c>
      <c r="J22708" t="s">
        <v>31</v>
      </c>
      <c r="K22708" t="s">
        <v>222</v>
      </c>
      <c r="N22708" t="s">
        <v>86479</v>
      </c>
      <c r="Q22708">
        <v>0</v>
      </c>
      <c r="R22708">
        <v>103</v>
      </c>
      <c r="S22708">
        <v>0</v>
      </c>
      <c r="T22708" t="s">
        <v>86480</v>
      </c>
    </row>
    <row r="22709" spans="1:20" customFormat="1" ht="15" x14ac:dyDescent="0.25">
      <c r="A22709" t="s">
        <v>24</v>
      </c>
      <c r="B22709" t="s">
        <v>1317</v>
      </c>
      <c r="C22709" t="str">
        <f>"A0154357"</f>
        <v>A0154357</v>
      </c>
      <c r="D22709" t="s">
        <v>86481</v>
      </c>
      <c r="E22709" t="s">
        <v>86482</v>
      </c>
      <c r="F22709" t="s">
        <v>3145</v>
      </c>
      <c r="G22709" t="s">
        <v>81</v>
      </c>
      <c r="H22709">
        <v>32413</v>
      </c>
      <c r="I22709" t="s">
        <v>30</v>
      </c>
      <c r="J22709" t="s">
        <v>31</v>
      </c>
      <c r="K22709" t="s">
        <v>222</v>
      </c>
      <c r="N22709" t="s">
        <v>86483</v>
      </c>
      <c r="Q22709">
        <v>0</v>
      </c>
      <c r="R22709">
        <v>123</v>
      </c>
      <c r="S22709">
        <v>0</v>
      </c>
      <c r="T22709" t="s">
        <v>86484</v>
      </c>
    </row>
    <row r="22710" spans="1:20" customFormat="1" ht="15" x14ac:dyDescent="0.25">
      <c r="A22710" t="s">
        <v>24</v>
      </c>
      <c r="B22710" t="s">
        <v>342</v>
      </c>
      <c r="C22710" t="str">
        <f>"A0085462"</f>
        <v>A0085462</v>
      </c>
      <c r="D22710" t="s">
        <v>86485</v>
      </c>
      <c r="E22710" t="s">
        <v>86486</v>
      </c>
      <c r="F22710" t="s">
        <v>8276</v>
      </c>
      <c r="G22710" t="s">
        <v>81</v>
      </c>
      <c r="H22710">
        <v>32504</v>
      </c>
      <c r="I22710" t="s">
        <v>30</v>
      </c>
      <c r="J22710" t="s">
        <v>31</v>
      </c>
      <c r="K22710" t="s">
        <v>222</v>
      </c>
      <c r="N22710" t="s">
        <v>86487</v>
      </c>
      <c r="O22710" t="s">
        <v>86488</v>
      </c>
      <c r="Q22710">
        <v>0</v>
      </c>
      <c r="R22710">
        <v>98</v>
      </c>
      <c r="S22710">
        <v>0</v>
      </c>
      <c r="T22710" t="s">
        <v>86489</v>
      </c>
    </row>
    <row r="22711" spans="1:20" customFormat="1" ht="15" x14ac:dyDescent="0.25">
      <c r="A22711" t="s">
        <v>24</v>
      </c>
      <c r="B22711" t="s">
        <v>257</v>
      </c>
      <c r="C22711" t="str">
        <f>"A0087500"</f>
        <v>A0087500</v>
      </c>
      <c r="D22711" t="s">
        <v>86490</v>
      </c>
      <c r="E22711" t="s">
        <v>86491</v>
      </c>
      <c r="F22711" t="s">
        <v>34458</v>
      </c>
      <c r="G22711" t="s">
        <v>197</v>
      </c>
      <c r="H22711">
        <v>85286</v>
      </c>
      <c r="I22711" t="s">
        <v>30</v>
      </c>
      <c r="J22711" t="s">
        <v>31</v>
      </c>
      <c r="K22711" t="s">
        <v>222</v>
      </c>
      <c r="N22711" t="s">
        <v>86492</v>
      </c>
      <c r="O22711" t="s">
        <v>86493</v>
      </c>
      <c r="Q22711">
        <v>0</v>
      </c>
      <c r="R22711">
        <v>112</v>
      </c>
      <c r="S22711">
        <v>0</v>
      </c>
      <c r="T22711" t="s">
        <v>86494</v>
      </c>
    </row>
    <row r="22712" spans="1:20" customFormat="1" ht="15" x14ac:dyDescent="0.25">
      <c r="A22712" t="s">
        <v>24</v>
      </c>
      <c r="B22712" t="s">
        <v>4341</v>
      </c>
      <c r="C22712" t="str">
        <f>"A0093179"</f>
        <v>A0093179</v>
      </c>
      <c r="D22712" t="s">
        <v>86495</v>
      </c>
      <c r="E22712" t="s">
        <v>86496</v>
      </c>
      <c r="F22712" t="s">
        <v>86497</v>
      </c>
      <c r="G22712" t="s">
        <v>197</v>
      </c>
      <c r="H22712">
        <v>85338</v>
      </c>
      <c r="I22712" t="s">
        <v>30</v>
      </c>
      <c r="J22712" t="s">
        <v>31</v>
      </c>
      <c r="K22712" t="s">
        <v>222</v>
      </c>
      <c r="N22712" t="s">
        <v>86498</v>
      </c>
      <c r="Q22712">
        <v>0</v>
      </c>
      <c r="R22712">
        <v>118</v>
      </c>
      <c r="S22712">
        <v>0</v>
      </c>
      <c r="T22712" t="s">
        <v>86499</v>
      </c>
    </row>
    <row r="22713" spans="1:20" customFormat="1" ht="15" x14ac:dyDescent="0.25">
      <c r="A22713" t="s">
        <v>24</v>
      </c>
      <c r="B22713" t="s">
        <v>1317</v>
      </c>
      <c r="C22713" t="str">
        <f>"A0096971"</f>
        <v>A0096971</v>
      </c>
      <c r="D22713" t="s">
        <v>86500</v>
      </c>
      <c r="E22713" t="s">
        <v>86501</v>
      </c>
      <c r="F22713" t="s">
        <v>3167</v>
      </c>
      <c r="G22713" t="s">
        <v>103</v>
      </c>
      <c r="H22713">
        <v>16066</v>
      </c>
      <c r="I22713" t="s">
        <v>30</v>
      </c>
      <c r="J22713" t="s">
        <v>31</v>
      </c>
      <c r="K22713" t="s">
        <v>222</v>
      </c>
      <c r="N22713" t="s">
        <v>86502</v>
      </c>
      <c r="Q22713">
        <v>0</v>
      </c>
      <c r="R22713">
        <v>97</v>
      </c>
      <c r="S22713">
        <v>0</v>
      </c>
      <c r="T22713" t="s">
        <v>86503</v>
      </c>
    </row>
    <row r="22714" spans="1:20" customFormat="1" ht="15" x14ac:dyDescent="0.25">
      <c r="A22714" t="s">
        <v>24</v>
      </c>
      <c r="B22714" t="s">
        <v>2387</v>
      </c>
      <c r="C22714" t="str">
        <f>"A0090791"</f>
        <v>A0090791</v>
      </c>
      <c r="D22714" t="s">
        <v>86504</v>
      </c>
      <c r="E22714" t="s">
        <v>86505</v>
      </c>
      <c r="F22714" t="s">
        <v>86506</v>
      </c>
      <c r="G22714" t="s">
        <v>90</v>
      </c>
      <c r="H22714">
        <v>2852</v>
      </c>
      <c r="I22714" t="s">
        <v>30</v>
      </c>
      <c r="J22714" t="s">
        <v>31</v>
      </c>
      <c r="K22714" t="s">
        <v>222</v>
      </c>
      <c r="N22714" t="s">
        <v>86507</v>
      </c>
      <c r="O22714" t="s">
        <v>86508</v>
      </c>
      <c r="Q22714">
        <v>0</v>
      </c>
      <c r="R22714">
        <v>104</v>
      </c>
      <c r="S22714">
        <v>0</v>
      </c>
      <c r="T22714" t="s">
        <v>86509</v>
      </c>
    </row>
    <row r="22715" spans="1:20" customFormat="1" ht="15" x14ac:dyDescent="0.25">
      <c r="A22715" t="s">
        <v>24</v>
      </c>
      <c r="B22715" t="s">
        <v>5589</v>
      </c>
      <c r="C22715" t="str">
        <f>"A0088974"</f>
        <v>A0088974</v>
      </c>
      <c r="D22715" t="s">
        <v>86510</v>
      </c>
      <c r="E22715" t="s">
        <v>86511</v>
      </c>
      <c r="F22715" t="s">
        <v>86512</v>
      </c>
      <c r="G22715" t="s">
        <v>153</v>
      </c>
      <c r="H22715">
        <v>84057</v>
      </c>
      <c r="I22715" t="s">
        <v>30</v>
      </c>
      <c r="J22715" t="s">
        <v>31</v>
      </c>
      <c r="K22715" t="s">
        <v>222</v>
      </c>
      <c r="N22715" t="s">
        <v>65406</v>
      </c>
      <c r="Q22715">
        <v>0</v>
      </c>
      <c r="R22715">
        <v>100</v>
      </c>
      <c r="S22715">
        <v>0</v>
      </c>
      <c r="T22715" t="s">
        <v>86513</v>
      </c>
    </row>
    <row r="22716" spans="1:20" customFormat="1" ht="15" x14ac:dyDescent="0.25">
      <c r="A22716" t="s">
        <v>24</v>
      </c>
      <c r="B22716" t="s">
        <v>10097</v>
      </c>
      <c r="C22716" t="str">
        <f>"645B6"</f>
        <v>645B6</v>
      </c>
      <c r="D22716" t="s">
        <v>86514</v>
      </c>
      <c r="E22716" t="s">
        <v>86515</v>
      </c>
      <c r="F22716" t="s">
        <v>6927</v>
      </c>
      <c r="G22716" t="s">
        <v>214</v>
      </c>
      <c r="H22716">
        <v>27513</v>
      </c>
      <c r="I22716" t="s">
        <v>30</v>
      </c>
      <c r="J22716" t="s">
        <v>31</v>
      </c>
      <c r="K22716" t="s">
        <v>222</v>
      </c>
      <c r="N22716" t="s">
        <v>86516</v>
      </c>
      <c r="Q22716">
        <v>0</v>
      </c>
      <c r="R22716">
        <v>98</v>
      </c>
      <c r="S22716">
        <v>0</v>
      </c>
      <c r="T22716" t="s">
        <v>86517</v>
      </c>
    </row>
    <row r="22717" spans="1:20" customFormat="1" ht="15" x14ac:dyDescent="0.25">
      <c r="A22717" t="s">
        <v>24</v>
      </c>
      <c r="B22717" t="s">
        <v>1317</v>
      </c>
      <c r="C22717" t="str">
        <f>"A0091431"</f>
        <v>A0091431</v>
      </c>
      <c r="D22717" t="s">
        <v>86518</v>
      </c>
      <c r="E22717" t="s">
        <v>86519</v>
      </c>
      <c r="F22717" t="s">
        <v>65426</v>
      </c>
      <c r="G22717" t="s">
        <v>110</v>
      </c>
      <c r="H22717">
        <v>96002</v>
      </c>
      <c r="I22717" t="s">
        <v>30</v>
      </c>
      <c r="J22717" t="s">
        <v>31</v>
      </c>
      <c r="K22717" t="s">
        <v>222</v>
      </c>
      <c r="N22717" t="s">
        <v>86520</v>
      </c>
      <c r="Q22717">
        <v>0</v>
      </c>
      <c r="R22717">
        <v>101</v>
      </c>
      <c r="S22717">
        <v>0</v>
      </c>
      <c r="T22717" t="s">
        <v>86521</v>
      </c>
    </row>
    <row r="22718" spans="1:20" customFormat="1" ht="15" x14ac:dyDescent="0.25">
      <c r="A22718" t="s">
        <v>24</v>
      </c>
      <c r="B22718" t="s">
        <v>1317</v>
      </c>
      <c r="C22718" t="str">
        <f>"A0091429"</f>
        <v>A0091429</v>
      </c>
      <c r="D22718" t="s">
        <v>86522</v>
      </c>
      <c r="E22718" t="s">
        <v>86523</v>
      </c>
      <c r="F22718" t="s">
        <v>86524</v>
      </c>
      <c r="G22718" t="s">
        <v>76</v>
      </c>
      <c r="H22718">
        <v>99352</v>
      </c>
      <c r="I22718" t="s">
        <v>30</v>
      </c>
      <c r="J22718" t="s">
        <v>31</v>
      </c>
      <c r="K22718" t="s">
        <v>222</v>
      </c>
      <c r="N22718" t="s">
        <v>86525</v>
      </c>
      <c r="Q22718">
        <v>0</v>
      </c>
      <c r="R22718">
        <v>90</v>
      </c>
      <c r="S22718">
        <v>0</v>
      </c>
      <c r="T22718" t="s">
        <v>86526</v>
      </c>
    </row>
    <row r="22719" spans="1:20" customFormat="1" ht="15" x14ac:dyDescent="0.25">
      <c r="A22719" t="s">
        <v>24</v>
      </c>
      <c r="B22719" t="s">
        <v>1317</v>
      </c>
      <c r="C22719" t="str">
        <f>"A0092368"</f>
        <v>A0092368</v>
      </c>
      <c r="D22719" t="s">
        <v>86527</v>
      </c>
      <c r="E22719" t="s">
        <v>86528</v>
      </c>
      <c r="F22719" t="s">
        <v>10430</v>
      </c>
      <c r="G22719" t="s">
        <v>1369</v>
      </c>
      <c r="H22719">
        <v>39157</v>
      </c>
      <c r="I22719" t="s">
        <v>30</v>
      </c>
      <c r="J22719" t="s">
        <v>31</v>
      </c>
      <c r="K22719" t="s">
        <v>222</v>
      </c>
      <c r="N22719" t="s">
        <v>86529</v>
      </c>
      <c r="Q22719">
        <v>0</v>
      </c>
      <c r="R22719">
        <v>94</v>
      </c>
      <c r="S22719">
        <v>0</v>
      </c>
      <c r="T22719" t="s">
        <v>86530</v>
      </c>
    </row>
    <row r="22720" spans="1:20" customFormat="1" ht="15" x14ac:dyDescent="0.25">
      <c r="A22720" t="s">
        <v>24</v>
      </c>
      <c r="B22720" t="s">
        <v>4400</v>
      </c>
      <c r="C22720" t="str">
        <f>"A0089183"</f>
        <v>A0089183</v>
      </c>
      <c r="D22720" t="s">
        <v>86531</v>
      </c>
      <c r="E22720" t="s">
        <v>86532</v>
      </c>
      <c r="F22720" t="s">
        <v>356</v>
      </c>
      <c r="G22720" t="s">
        <v>52</v>
      </c>
      <c r="H22720">
        <v>78205</v>
      </c>
      <c r="I22720" t="s">
        <v>30</v>
      </c>
      <c r="J22720" t="s">
        <v>31</v>
      </c>
      <c r="K22720" t="s">
        <v>222</v>
      </c>
      <c r="N22720" t="s">
        <v>33254</v>
      </c>
      <c r="Q22720">
        <v>0</v>
      </c>
      <c r="R22720">
        <v>117</v>
      </c>
      <c r="S22720">
        <v>0</v>
      </c>
      <c r="T22720" t="s">
        <v>86533</v>
      </c>
    </row>
    <row r="22721" spans="1:20" customFormat="1" ht="15" x14ac:dyDescent="0.25">
      <c r="A22721" t="s">
        <v>24</v>
      </c>
      <c r="B22721" t="s">
        <v>1138</v>
      </c>
      <c r="C22721" t="str">
        <f>"A0086452"</f>
        <v>A0086452</v>
      </c>
      <c r="D22721" t="s">
        <v>86534</v>
      </c>
      <c r="E22721" t="s">
        <v>86535</v>
      </c>
      <c r="F22721" t="s">
        <v>67686</v>
      </c>
      <c r="G22721" t="s">
        <v>110</v>
      </c>
      <c r="H22721">
        <v>95678</v>
      </c>
      <c r="I22721" t="s">
        <v>30</v>
      </c>
      <c r="J22721" t="s">
        <v>31</v>
      </c>
      <c r="K22721" t="s">
        <v>222</v>
      </c>
      <c r="N22721" t="s">
        <v>86536</v>
      </c>
      <c r="Q22721">
        <v>0</v>
      </c>
      <c r="R22721">
        <v>115</v>
      </c>
      <c r="S22721">
        <v>0</v>
      </c>
      <c r="T22721" t="s">
        <v>86537</v>
      </c>
    </row>
    <row r="22722" spans="1:20" customFormat="1" ht="15" x14ac:dyDescent="0.25">
      <c r="A22722" t="s">
        <v>24</v>
      </c>
      <c r="B22722" t="s">
        <v>1317</v>
      </c>
      <c r="C22722" t="str">
        <f>"A0157494"</f>
        <v>A0157494</v>
      </c>
      <c r="D22722" t="s">
        <v>86538</v>
      </c>
      <c r="E22722" t="s">
        <v>86539</v>
      </c>
      <c r="F22722" t="s">
        <v>3517</v>
      </c>
      <c r="G22722" t="s">
        <v>110</v>
      </c>
      <c r="H22722">
        <v>95834</v>
      </c>
      <c r="I22722" t="s">
        <v>30</v>
      </c>
      <c r="J22722" t="s">
        <v>31</v>
      </c>
      <c r="K22722" t="s">
        <v>222</v>
      </c>
      <c r="N22722" t="s">
        <v>86540</v>
      </c>
      <c r="Q22722">
        <v>0</v>
      </c>
      <c r="R22722">
        <v>119</v>
      </c>
      <c r="S22722">
        <v>0</v>
      </c>
      <c r="T22722" t="s">
        <v>86541</v>
      </c>
    </row>
    <row r="22723" spans="1:20" customFormat="1" ht="15" x14ac:dyDescent="0.25">
      <c r="A22723" t="s">
        <v>24</v>
      </c>
      <c r="B22723" t="s">
        <v>64941</v>
      </c>
      <c r="C22723" t="str">
        <f>"A0092222"</f>
        <v>A0092222</v>
      </c>
      <c r="D22723" t="s">
        <v>86542</v>
      </c>
      <c r="E22723" t="s">
        <v>86543</v>
      </c>
      <c r="F22723" t="s">
        <v>79751</v>
      </c>
      <c r="G22723" t="s">
        <v>117</v>
      </c>
      <c r="H22723">
        <v>48604</v>
      </c>
      <c r="I22723" t="s">
        <v>30</v>
      </c>
      <c r="J22723" t="s">
        <v>31</v>
      </c>
      <c r="K22723" t="s">
        <v>222</v>
      </c>
      <c r="N22723" t="s">
        <v>86544</v>
      </c>
      <c r="Q22723">
        <v>0</v>
      </c>
      <c r="R22723">
        <v>73</v>
      </c>
      <c r="S22723">
        <v>0</v>
      </c>
      <c r="T22723" t="s">
        <v>86545</v>
      </c>
    </row>
    <row r="22724" spans="1:20" customFormat="1" ht="15" x14ac:dyDescent="0.25">
      <c r="A22724" t="s">
        <v>24</v>
      </c>
      <c r="B22724" t="s">
        <v>33301</v>
      </c>
      <c r="C22724" t="str">
        <f>"A0095647"</f>
        <v>A0095647</v>
      </c>
      <c r="D22724" t="s">
        <v>86546</v>
      </c>
      <c r="E22724" t="s">
        <v>86547</v>
      </c>
      <c r="F22724" t="s">
        <v>356</v>
      </c>
      <c r="G22724" t="s">
        <v>52</v>
      </c>
      <c r="H22724">
        <v>78216</v>
      </c>
      <c r="I22724" t="s">
        <v>30</v>
      </c>
      <c r="J22724" t="s">
        <v>31</v>
      </c>
      <c r="K22724" t="s">
        <v>222</v>
      </c>
      <c r="N22724" t="s">
        <v>86548</v>
      </c>
      <c r="Q22724">
        <v>0</v>
      </c>
      <c r="R22724">
        <v>106</v>
      </c>
      <c r="S22724">
        <v>0</v>
      </c>
      <c r="T22724" t="s">
        <v>86549</v>
      </c>
    </row>
    <row r="22725" spans="1:20" customFormat="1" ht="15" x14ac:dyDescent="0.25">
      <c r="A22725" t="s">
        <v>24</v>
      </c>
      <c r="B22725" t="s">
        <v>1561</v>
      </c>
      <c r="C22725" t="str">
        <f>"A0084869"</f>
        <v>A0084869</v>
      </c>
      <c r="D22725" t="s">
        <v>86550</v>
      </c>
      <c r="E22725" t="s">
        <v>86551</v>
      </c>
      <c r="F22725" t="s">
        <v>5240</v>
      </c>
      <c r="G22725" t="s">
        <v>52</v>
      </c>
      <c r="H22725">
        <v>78240</v>
      </c>
      <c r="I22725" t="s">
        <v>30</v>
      </c>
      <c r="J22725" t="s">
        <v>31</v>
      </c>
      <c r="K22725" t="s">
        <v>222</v>
      </c>
      <c r="Q22725">
        <v>0</v>
      </c>
      <c r="R22725">
        <v>123</v>
      </c>
      <c r="S22725">
        <v>0</v>
      </c>
      <c r="T22725" t="s">
        <v>86552</v>
      </c>
    </row>
    <row r="22726" spans="1:20" customFormat="1" ht="15" x14ac:dyDescent="0.25">
      <c r="A22726" t="s">
        <v>24</v>
      </c>
      <c r="B22726" t="s">
        <v>86553</v>
      </c>
      <c r="C22726" t="str">
        <f>"A0156570"</f>
        <v>A0156570</v>
      </c>
      <c r="D22726" t="s">
        <v>86554</v>
      </c>
      <c r="E22726" t="s">
        <v>86555</v>
      </c>
      <c r="F22726" t="s">
        <v>356</v>
      </c>
      <c r="G22726" t="s">
        <v>52</v>
      </c>
      <c r="H22726">
        <v>78257</v>
      </c>
      <c r="I22726" t="s">
        <v>30</v>
      </c>
      <c r="J22726" t="s">
        <v>31</v>
      </c>
      <c r="K22726" t="s">
        <v>222</v>
      </c>
      <c r="N22726" t="s">
        <v>86556</v>
      </c>
      <c r="Q22726">
        <v>0</v>
      </c>
      <c r="R22726">
        <v>109</v>
      </c>
      <c r="S22726">
        <v>0</v>
      </c>
      <c r="T22726" t="s">
        <v>86552</v>
      </c>
    </row>
    <row r="22727" spans="1:20" customFormat="1" ht="15" x14ac:dyDescent="0.25">
      <c r="A22727" t="s">
        <v>24</v>
      </c>
      <c r="B22727" t="s">
        <v>57005</v>
      </c>
      <c r="C22727" t="str">
        <f>"A0100209"</f>
        <v>A0100209</v>
      </c>
      <c r="D22727" t="s">
        <v>86557</v>
      </c>
      <c r="E22727" t="s">
        <v>86558</v>
      </c>
      <c r="F22727" t="s">
        <v>356</v>
      </c>
      <c r="G22727" t="s">
        <v>52</v>
      </c>
      <c r="H22727">
        <v>78251</v>
      </c>
      <c r="I22727" t="s">
        <v>30</v>
      </c>
      <c r="J22727" t="s">
        <v>31</v>
      </c>
      <c r="K22727" t="s">
        <v>222</v>
      </c>
      <c r="N22727" t="s">
        <v>86559</v>
      </c>
      <c r="Q22727">
        <v>0</v>
      </c>
      <c r="R22727">
        <v>80</v>
      </c>
      <c r="S22727">
        <v>0</v>
      </c>
      <c r="T22727" t="s">
        <v>86560</v>
      </c>
    </row>
    <row r="22728" spans="1:20" customFormat="1" ht="15" x14ac:dyDescent="0.25">
      <c r="A22728" t="s">
        <v>24</v>
      </c>
      <c r="B22728" t="s">
        <v>1317</v>
      </c>
      <c r="C22728" t="str">
        <f>"A0117561"</f>
        <v>A0117561</v>
      </c>
      <c r="D22728" t="s">
        <v>86561</v>
      </c>
      <c r="E22728" t="s">
        <v>86562</v>
      </c>
      <c r="F22728" t="s">
        <v>2978</v>
      </c>
      <c r="G22728" t="s">
        <v>110</v>
      </c>
      <c r="H22728">
        <v>92101</v>
      </c>
      <c r="I22728" t="s">
        <v>30</v>
      </c>
      <c r="J22728" t="s">
        <v>31</v>
      </c>
      <c r="K22728" t="s">
        <v>222</v>
      </c>
      <c r="N22728" t="s">
        <v>86563</v>
      </c>
      <c r="O22728" t="s">
        <v>86564</v>
      </c>
      <c r="Q22728">
        <v>0</v>
      </c>
      <c r="R22728">
        <v>222</v>
      </c>
      <c r="S22728">
        <v>0</v>
      </c>
      <c r="T22728" t="s">
        <v>86565</v>
      </c>
    </row>
    <row r="22729" spans="1:20" customFormat="1" ht="15" x14ac:dyDescent="0.25">
      <c r="A22729" t="s">
        <v>24</v>
      </c>
      <c r="B22729" t="s">
        <v>72137</v>
      </c>
      <c r="C22729" t="str">
        <f>"A0092494"</f>
        <v>A0092494</v>
      </c>
      <c r="D22729" t="s">
        <v>86566</v>
      </c>
      <c r="E22729" t="s">
        <v>86567</v>
      </c>
      <c r="F22729" t="s">
        <v>5123</v>
      </c>
      <c r="G22729" t="s">
        <v>110</v>
      </c>
      <c r="H22729">
        <v>95054</v>
      </c>
      <c r="I22729" t="s">
        <v>30</v>
      </c>
      <c r="J22729" t="s">
        <v>31</v>
      </c>
      <c r="K22729" t="s">
        <v>222</v>
      </c>
      <c r="N22729" t="s">
        <v>15048</v>
      </c>
      <c r="Q22729">
        <v>0</v>
      </c>
      <c r="R22729">
        <v>107</v>
      </c>
      <c r="S22729">
        <v>0</v>
      </c>
      <c r="T22729" t="s">
        <v>86568</v>
      </c>
    </row>
    <row r="22730" spans="1:20" customFormat="1" ht="15" x14ac:dyDescent="0.25">
      <c r="A22730" t="s">
        <v>24</v>
      </c>
      <c r="B22730" t="s">
        <v>72137</v>
      </c>
      <c r="C22730" t="str">
        <f>"685ZJ"</f>
        <v>685ZJ</v>
      </c>
      <c r="D22730" t="s">
        <v>86569</v>
      </c>
      <c r="E22730" t="s">
        <v>86570</v>
      </c>
      <c r="F22730" t="s">
        <v>4802</v>
      </c>
      <c r="G22730" t="s">
        <v>110</v>
      </c>
      <c r="H22730">
        <v>95129</v>
      </c>
      <c r="I22730" t="s">
        <v>30</v>
      </c>
      <c r="J22730" t="s">
        <v>31</v>
      </c>
      <c r="K22730" t="s">
        <v>222</v>
      </c>
      <c r="N22730" t="s">
        <v>86571</v>
      </c>
      <c r="Q22730">
        <v>0</v>
      </c>
      <c r="R22730">
        <v>101</v>
      </c>
      <c r="S22730">
        <v>0</v>
      </c>
      <c r="T22730" t="s">
        <v>86572</v>
      </c>
    </row>
    <row r="22731" spans="1:20" customFormat="1" ht="15" x14ac:dyDescent="0.25">
      <c r="A22731" t="s">
        <v>24</v>
      </c>
      <c r="B22731" t="s">
        <v>86573</v>
      </c>
      <c r="C22731" t="str">
        <f>"A0095954"</f>
        <v>A0095954</v>
      </c>
      <c r="D22731" t="s">
        <v>86574</v>
      </c>
      <c r="E22731" t="s">
        <v>86575</v>
      </c>
      <c r="F22731" t="s">
        <v>10157</v>
      </c>
      <c r="G22731" t="s">
        <v>110</v>
      </c>
      <c r="H22731">
        <v>94404</v>
      </c>
      <c r="I22731" t="s">
        <v>30</v>
      </c>
      <c r="J22731" t="s">
        <v>31</v>
      </c>
      <c r="K22731" t="s">
        <v>222</v>
      </c>
      <c r="N22731" t="s">
        <v>86576</v>
      </c>
      <c r="O22731" t="s">
        <v>86577</v>
      </c>
      <c r="Q22731">
        <v>0</v>
      </c>
      <c r="R22731">
        <v>121</v>
      </c>
      <c r="S22731">
        <v>0</v>
      </c>
      <c r="T22731" t="s">
        <v>86578</v>
      </c>
    </row>
    <row r="22732" spans="1:20" customFormat="1" ht="15" x14ac:dyDescent="0.25">
      <c r="A22732" t="s">
        <v>24</v>
      </c>
      <c r="B22732" t="s">
        <v>82629</v>
      </c>
      <c r="C22732" t="str">
        <f>"A0083424"</f>
        <v>A0083424</v>
      </c>
      <c r="D22732" t="s">
        <v>86579</v>
      </c>
      <c r="E22732" t="s">
        <v>86580</v>
      </c>
      <c r="F22732" t="s">
        <v>86581</v>
      </c>
      <c r="G22732" t="s">
        <v>846</v>
      </c>
      <c r="H22732">
        <v>31408</v>
      </c>
      <c r="I22732" t="s">
        <v>30</v>
      </c>
      <c r="J22732" t="s">
        <v>31</v>
      </c>
      <c r="K22732" t="s">
        <v>222</v>
      </c>
      <c r="N22732" t="s">
        <v>86582</v>
      </c>
      <c r="O22732" t="s">
        <v>86583</v>
      </c>
      <c r="Q22732">
        <v>0</v>
      </c>
      <c r="R22732">
        <v>63</v>
      </c>
      <c r="S22732">
        <v>0</v>
      </c>
      <c r="T22732" t="s">
        <v>86584</v>
      </c>
    </row>
    <row r="22733" spans="1:20" customFormat="1" ht="15" x14ac:dyDescent="0.25">
      <c r="A22733" t="s">
        <v>24</v>
      </c>
      <c r="B22733" t="s">
        <v>342</v>
      </c>
      <c r="C22733" t="str">
        <f>"685XV"</f>
        <v>685XV</v>
      </c>
      <c r="D22733" t="s">
        <v>86585</v>
      </c>
      <c r="E22733" t="s">
        <v>86586</v>
      </c>
      <c r="F22733" t="s">
        <v>2839</v>
      </c>
      <c r="G22733" t="s">
        <v>846</v>
      </c>
      <c r="H22733">
        <v>31419</v>
      </c>
      <c r="I22733" t="s">
        <v>30</v>
      </c>
      <c r="J22733" t="s">
        <v>31</v>
      </c>
      <c r="K22733" t="s">
        <v>222</v>
      </c>
      <c r="N22733" t="s">
        <v>86587</v>
      </c>
      <c r="O22733" t="s">
        <v>86588</v>
      </c>
      <c r="Q22733">
        <v>0</v>
      </c>
      <c r="R22733">
        <v>95</v>
      </c>
      <c r="S22733">
        <v>0</v>
      </c>
      <c r="T22733" t="s">
        <v>86589</v>
      </c>
    </row>
    <row r="22734" spans="1:20" customFormat="1" ht="15" x14ac:dyDescent="0.25">
      <c r="A22734" t="s">
        <v>24</v>
      </c>
      <c r="B22734" t="s">
        <v>4400</v>
      </c>
      <c r="C22734" t="str">
        <f>"A0091257"</f>
        <v>A0091257</v>
      </c>
      <c r="D22734" t="s">
        <v>86590</v>
      </c>
      <c r="E22734" t="s">
        <v>86591</v>
      </c>
      <c r="F22734" t="s">
        <v>9340</v>
      </c>
      <c r="G22734" t="s">
        <v>103</v>
      </c>
      <c r="H22734">
        <v>18507</v>
      </c>
      <c r="I22734" t="s">
        <v>30</v>
      </c>
      <c r="J22734" t="s">
        <v>31</v>
      </c>
      <c r="K22734" t="s">
        <v>222</v>
      </c>
      <c r="N22734" t="s">
        <v>61809</v>
      </c>
      <c r="Q22734">
        <v>0</v>
      </c>
      <c r="R22734">
        <v>110</v>
      </c>
      <c r="S22734">
        <v>0</v>
      </c>
      <c r="T22734" t="s">
        <v>86592</v>
      </c>
    </row>
    <row r="22735" spans="1:20" customFormat="1" ht="15" x14ac:dyDescent="0.25">
      <c r="A22735" t="s">
        <v>24</v>
      </c>
      <c r="B22735" t="s">
        <v>1561</v>
      </c>
      <c r="C22735" t="str">
        <f>"A0093452"</f>
        <v>A0093452</v>
      </c>
      <c r="D22735" t="s">
        <v>86593</v>
      </c>
      <c r="E22735" t="s">
        <v>86594</v>
      </c>
      <c r="F22735" t="s">
        <v>86595</v>
      </c>
      <c r="G22735" t="s">
        <v>52</v>
      </c>
      <c r="H22735">
        <v>78155</v>
      </c>
      <c r="I22735" t="s">
        <v>30</v>
      </c>
      <c r="J22735" t="s">
        <v>31</v>
      </c>
      <c r="K22735" t="s">
        <v>222</v>
      </c>
      <c r="N22735" t="s">
        <v>86596</v>
      </c>
      <c r="Q22735">
        <v>0</v>
      </c>
      <c r="R22735">
        <v>118</v>
      </c>
      <c r="S22735">
        <v>0</v>
      </c>
      <c r="T22735" t="s">
        <v>86597</v>
      </c>
    </row>
    <row r="22736" spans="1:20" customFormat="1" ht="15" x14ac:dyDescent="0.25">
      <c r="A22736" t="s">
        <v>24</v>
      </c>
      <c r="B22736" t="s">
        <v>13679</v>
      </c>
      <c r="C22736" t="str">
        <f>"A0092282"</f>
        <v>A0092282</v>
      </c>
      <c r="D22736" t="s">
        <v>86598</v>
      </c>
      <c r="E22736" t="s">
        <v>86599</v>
      </c>
      <c r="F22736" t="s">
        <v>59754</v>
      </c>
      <c r="G22736" t="s">
        <v>1170</v>
      </c>
      <c r="H22736">
        <v>71111</v>
      </c>
      <c r="I22736" t="s">
        <v>30</v>
      </c>
      <c r="J22736" t="s">
        <v>31</v>
      </c>
      <c r="K22736" t="s">
        <v>222</v>
      </c>
      <c r="N22736" t="s">
        <v>86600</v>
      </c>
      <c r="O22736" t="s">
        <v>86601</v>
      </c>
      <c r="Q22736">
        <v>0</v>
      </c>
      <c r="R22736">
        <v>101</v>
      </c>
      <c r="S22736">
        <v>0</v>
      </c>
      <c r="T22736" t="s">
        <v>86602</v>
      </c>
    </row>
    <row r="22737" spans="1:20" customFormat="1" ht="15" x14ac:dyDescent="0.25">
      <c r="A22737" t="s">
        <v>24</v>
      </c>
      <c r="B22737" t="s">
        <v>5558</v>
      </c>
      <c r="C22737" t="str">
        <f>"A0083919"</f>
        <v>A0083919</v>
      </c>
      <c r="D22737" t="s">
        <v>86603</v>
      </c>
      <c r="E22737" t="s">
        <v>86604</v>
      </c>
      <c r="F22737" t="s">
        <v>86605</v>
      </c>
      <c r="G22737" t="s">
        <v>197</v>
      </c>
      <c r="H22737">
        <v>85635</v>
      </c>
      <c r="I22737" t="s">
        <v>30</v>
      </c>
      <c r="J22737" t="s">
        <v>31</v>
      </c>
      <c r="K22737" t="s">
        <v>222</v>
      </c>
      <c r="N22737" t="s">
        <v>65526</v>
      </c>
      <c r="O22737" t="s">
        <v>86606</v>
      </c>
      <c r="Q22737">
        <v>0</v>
      </c>
      <c r="R22737">
        <v>71</v>
      </c>
      <c r="S22737">
        <v>0</v>
      </c>
      <c r="T22737" t="s">
        <v>86607</v>
      </c>
    </row>
    <row r="22738" spans="1:20" customFormat="1" ht="15" x14ac:dyDescent="0.25">
      <c r="A22738" t="s">
        <v>24</v>
      </c>
      <c r="B22738" t="s">
        <v>1317</v>
      </c>
      <c r="C22738" t="str">
        <f>"A0096039"</f>
        <v>A0096039</v>
      </c>
      <c r="D22738" t="s">
        <v>86608</v>
      </c>
      <c r="E22738" t="s">
        <v>86609</v>
      </c>
      <c r="F22738" t="s">
        <v>68535</v>
      </c>
      <c r="G22738" t="s">
        <v>1170</v>
      </c>
      <c r="H22738">
        <v>70458</v>
      </c>
      <c r="I22738" t="s">
        <v>30</v>
      </c>
      <c r="J22738" t="s">
        <v>31</v>
      </c>
      <c r="K22738" t="s">
        <v>222</v>
      </c>
      <c r="N22738" t="s">
        <v>86610</v>
      </c>
      <c r="O22738" t="s">
        <v>86368</v>
      </c>
      <c r="Q22738">
        <v>0</v>
      </c>
      <c r="R22738">
        <v>92</v>
      </c>
      <c r="S22738">
        <v>0</v>
      </c>
      <c r="T22738" t="s">
        <v>86611</v>
      </c>
    </row>
    <row r="22739" spans="1:20" customFormat="1" ht="15" x14ac:dyDescent="0.25">
      <c r="A22739" t="s">
        <v>24</v>
      </c>
      <c r="B22739" t="s">
        <v>11368</v>
      </c>
      <c r="C22739" t="str">
        <f>"685ZR"</f>
        <v>685ZR</v>
      </c>
      <c r="D22739" t="s">
        <v>86612</v>
      </c>
      <c r="E22739" t="s">
        <v>86613</v>
      </c>
      <c r="F22739" t="s">
        <v>34022</v>
      </c>
      <c r="G22739" t="s">
        <v>137</v>
      </c>
      <c r="H22739">
        <v>63303</v>
      </c>
      <c r="I22739" t="s">
        <v>30</v>
      </c>
      <c r="J22739" t="s">
        <v>31</v>
      </c>
      <c r="K22739" t="s">
        <v>222</v>
      </c>
      <c r="N22739" t="s">
        <v>86614</v>
      </c>
      <c r="Q22739">
        <v>0</v>
      </c>
      <c r="R22739">
        <v>95</v>
      </c>
      <c r="S22739">
        <v>0</v>
      </c>
      <c r="T22739" t="s">
        <v>86615</v>
      </c>
    </row>
    <row r="22740" spans="1:20" customFormat="1" ht="15" x14ac:dyDescent="0.25">
      <c r="A22740" t="s">
        <v>24</v>
      </c>
      <c r="B22740" t="s">
        <v>706</v>
      </c>
      <c r="C22740" t="str">
        <f>"685X8"</f>
        <v>685X8</v>
      </c>
      <c r="D22740" t="s">
        <v>86616</v>
      </c>
      <c r="E22740" t="s">
        <v>86617</v>
      </c>
      <c r="F22740" t="s">
        <v>7699</v>
      </c>
      <c r="G22740" t="s">
        <v>81</v>
      </c>
      <c r="H22740">
        <v>33762</v>
      </c>
      <c r="I22740" t="s">
        <v>30</v>
      </c>
      <c r="J22740" t="s">
        <v>31</v>
      </c>
      <c r="K22740" t="s">
        <v>222</v>
      </c>
      <c r="N22740" t="s">
        <v>86618</v>
      </c>
      <c r="Q22740">
        <v>0</v>
      </c>
      <c r="R22740">
        <v>95</v>
      </c>
      <c r="S22740">
        <v>0</v>
      </c>
      <c r="T22740" t="s">
        <v>86619</v>
      </c>
    </row>
    <row r="22741" spans="1:20" customFormat="1" ht="15" x14ac:dyDescent="0.25">
      <c r="A22741" t="s">
        <v>24</v>
      </c>
      <c r="B22741" t="s">
        <v>33306</v>
      </c>
      <c r="C22741" t="str">
        <f>"A0146921"</f>
        <v>A0146921</v>
      </c>
      <c r="D22741" t="s">
        <v>86620</v>
      </c>
      <c r="E22741" t="s">
        <v>86621</v>
      </c>
      <c r="F22741" t="s">
        <v>860</v>
      </c>
      <c r="G22741" t="s">
        <v>289</v>
      </c>
      <c r="H22741">
        <v>62269</v>
      </c>
      <c r="I22741" t="s">
        <v>30</v>
      </c>
      <c r="J22741" t="s">
        <v>31</v>
      </c>
      <c r="K22741" t="s">
        <v>222</v>
      </c>
      <c r="N22741" t="s">
        <v>86622</v>
      </c>
      <c r="Q22741">
        <v>0</v>
      </c>
      <c r="R22741">
        <v>89</v>
      </c>
      <c r="S22741">
        <v>0</v>
      </c>
      <c r="T22741" t="s">
        <v>86623</v>
      </c>
    </row>
    <row r="22742" spans="1:20" customFormat="1" ht="15" x14ac:dyDescent="0.25">
      <c r="A22742" t="s">
        <v>24</v>
      </c>
      <c r="B22742" t="s">
        <v>2955</v>
      </c>
      <c r="C22742" t="str">
        <f>"A0083936"</f>
        <v>A0083936</v>
      </c>
      <c r="D22742" t="s">
        <v>86624</v>
      </c>
      <c r="E22742" t="s">
        <v>86625</v>
      </c>
      <c r="F22742" t="s">
        <v>61963</v>
      </c>
      <c r="G22742" t="s">
        <v>29</v>
      </c>
      <c r="H22742">
        <v>23435</v>
      </c>
      <c r="I22742" t="s">
        <v>30</v>
      </c>
      <c r="J22742" t="s">
        <v>31</v>
      </c>
      <c r="K22742" t="s">
        <v>222</v>
      </c>
      <c r="N22742" t="s">
        <v>86626</v>
      </c>
      <c r="Q22742">
        <v>0</v>
      </c>
      <c r="R22742">
        <v>72</v>
      </c>
      <c r="S22742">
        <v>0</v>
      </c>
      <c r="T22742" t="s">
        <v>61964</v>
      </c>
    </row>
    <row r="22743" spans="1:20" customFormat="1" ht="15" x14ac:dyDescent="0.25">
      <c r="A22743" t="s">
        <v>24</v>
      </c>
      <c r="B22743" t="s">
        <v>1020</v>
      </c>
      <c r="C22743" t="str">
        <f>"A0067947"</f>
        <v>A0067947</v>
      </c>
      <c r="D22743" t="s">
        <v>86627</v>
      </c>
      <c r="E22743" t="s">
        <v>86628</v>
      </c>
      <c r="F22743" t="s">
        <v>32880</v>
      </c>
      <c r="G22743" t="s">
        <v>110</v>
      </c>
      <c r="H22743">
        <v>94087</v>
      </c>
      <c r="I22743" t="s">
        <v>30</v>
      </c>
      <c r="J22743" t="s">
        <v>31</v>
      </c>
      <c r="K22743" t="s">
        <v>222</v>
      </c>
      <c r="N22743" t="s">
        <v>61967</v>
      </c>
      <c r="Q22743">
        <v>0</v>
      </c>
      <c r="R22743">
        <v>95</v>
      </c>
      <c r="S22743">
        <v>0</v>
      </c>
      <c r="T22743" t="s">
        <v>86629</v>
      </c>
    </row>
    <row r="22744" spans="1:20" customFormat="1" ht="15" x14ac:dyDescent="0.25">
      <c r="A22744" t="s">
        <v>24</v>
      </c>
      <c r="B22744" t="s">
        <v>55997</v>
      </c>
      <c r="C22744" t="str">
        <f>"A0093674"</f>
        <v>A0093674</v>
      </c>
      <c r="D22744" t="s">
        <v>86630</v>
      </c>
      <c r="E22744" t="s">
        <v>86631</v>
      </c>
      <c r="F22744" t="s">
        <v>67897</v>
      </c>
      <c r="G22744" t="s">
        <v>338</v>
      </c>
      <c r="H22744">
        <v>8085</v>
      </c>
      <c r="I22744" t="s">
        <v>30</v>
      </c>
      <c r="J22744" t="s">
        <v>31</v>
      </c>
      <c r="K22744" t="s">
        <v>222</v>
      </c>
      <c r="N22744" t="s">
        <v>86632</v>
      </c>
      <c r="O22744" t="s">
        <v>86633</v>
      </c>
      <c r="Q22744">
        <v>0</v>
      </c>
      <c r="R22744">
        <v>101</v>
      </c>
      <c r="S22744">
        <v>0</v>
      </c>
      <c r="T22744" t="s">
        <v>86634</v>
      </c>
    </row>
    <row r="22745" spans="1:20" customFormat="1" ht="15" x14ac:dyDescent="0.25">
      <c r="A22745" t="s">
        <v>24</v>
      </c>
      <c r="B22745" t="s">
        <v>342</v>
      </c>
      <c r="C22745" t="str">
        <f>"A0086801"</f>
        <v>A0086801</v>
      </c>
      <c r="D22745" t="s">
        <v>86635</v>
      </c>
      <c r="E22745" t="s">
        <v>86636</v>
      </c>
      <c r="F22745" t="s">
        <v>2714</v>
      </c>
      <c r="G22745" t="s">
        <v>81</v>
      </c>
      <c r="H22745">
        <v>33607</v>
      </c>
      <c r="I22745" t="s">
        <v>30</v>
      </c>
      <c r="J22745" t="s">
        <v>31</v>
      </c>
      <c r="K22745" t="s">
        <v>222</v>
      </c>
      <c r="N22745" t="s">
        <v>86637</v>
      </c>
      <c r="O22745" t="s">
        <v>86638</v>
      </c>
      <c r="Q22745">
        <v>0</v>
      </c>
      <c r="R22745">
        <v>122</v>
      </c>
      <c r="S22745">
        <v>0</v>
      </c>
      <c r="T22745" t="s">
        <v>86639</v>
      </c>
    </row>
    <row r="22746" spans="1:20" customFormat="1" ht="15" x14ac:dyDescent="0.25">
      <c r="A22746" t="s">
        <v>24</v>
      </c>
      <c r="B22746" t="s">
        <v>1561</v>
      </c>
      <c r="C22746" t="str">
        <f>"645AB"</f>
        <v>645AB</v>
      </c>
      <c r="D22746" t="s">
        <v>86640</v>
      </c>
      <c r="E22746" t="s">
        <v>86641</v>
      </c>
      <c r="F22746" t="s">
        <v>41030</v>
      </c>
      <c r="G22746" t="s">
        <v>197</v>
      </c>
      <c r="H22746">
        <v>85283</v>
      </c>
      <c r="I22746" t="s">
        <v>30</v>
      </c>
      <c r="J22746" t="s">
        <v>31</v>
      </c>
      <c r="K22746" t="s">
        <v>222</v>
      </c>
      <c r="N22746" t="s">
        <v>86642</v>
      </c>
      <c r="Q22746">
        <v>0</v>
      </c>
      <c r="R22746">
        <v>118</v>
      </c>
      <c r="S22746">
        <v>0</v>
      </c>
      <c r="T22746" t="s">
        <v>86643</v>
      </c>
    </row>
    <row r="22747" spans="1:20" customFormat="1" ht="15" hidden="1" x14ac:dyDescent="0.25">
      <c r="A22747" t="s">
        <v>24</v>
      </c>
      <c r="B22747" t="s">
        <v>59461</v>
      </c>
      <c r="C22747" t="str">
        <f>"A0092392"</f>
        <v>A0092392</v>
      </c>
      <c r="D22747" t="s">
        <v>86644</v>
      </c>
      <c r="E22747" t="s">
        <v>86645</v>
      </c>
      <c r="F22747" t="s">
        <v>86646</v>
      </c>
      <c r="G22747" t="s">
        <v>2206</v>
      </c>
      <c r="H22747" t="s">
        <v>62793</v>
      </c>
      <c r="I22747" t="s">
        <v>1459</v>
      </c>
      <c r="J22747" t="s">
        <v>31</v>
      </c>
      <c r="K22747" t="s">
        <v>222</v>
      </c>
      <c r="N22747" t="s">
        <v>86647</v>
      </c>
      <c r="Q22747">
        <v>0</v>
      </c>
      <c r="R22747">
        <v>148</v>
      </c>
      <c r="S22747">
        <v>0</v>
      </c>
      <c r="T22747" t="s">
        <v>86648</v>
      </c>
    </row>
    <row r="22748" spans="1:20" customFormat="1" ht="15" x14ac:dyDescent="0.25">
      <c r="A22748" t="s">
        <v>24</v>
      </c>
      <c r="B22748" t="s">
        <v>706</v>
      </c>
      <c r="C22748" t="str">
        <f>"A0100881"</f>
        <v>A0100881</v>
      </c>
      <c r="D22748" t="s">
        <v>86649</v>
      </c>
      <c r="E22748" t="s">
        <v>86650</v>
      </c>
      <c r="F22748" t="s">
        <v>77782</v>
      </c>
      <c r="G22748" t="s">
        <v>81</v>
      </c>
      <c r="H22748">
        <v>32780</v>
      </c>
      <c r="I22748" t="s">
        <v>30</v>
      </c>
      <c r="J22748" t="s">
        <v>31</v>
      </c>
      <c r="K22748" t="s">
        <v>222</v>
      </c>
      <c r="N22748" t="s">
        <v>86651</v>
      </c>
      <c r="Q22748">
        <v>0</v>
      </c>
      <c r="R22748">
        <v>112</v>
      </c>
      <c r="S22748">
        <v>0</v>
      </c>
      <c r="T22748" t="s">
        <v>86652</v>
      </c>
    </row>
    <row r="22749" spans="1:20" customFormat="1" ht="15" x14ac:dyDescent="0.25">
      <c r="A22749" t="s">
        <v>24</v>
      </c>
      <c r="B22749" t="s">
        <v>1561</v>
      </c>
      <c r="C22749" t="str">
        <f>"A0088067"</f>
        <v>A0088067</v>
      </c>
      <c r="D22749" t="s">
        <v>86653</v>
      </c>
      <c r="E22749" t="s">
        <v>86654</v>
      </c>
      <c r="F22749" t="s">
        <v>796</v>
      </c>
      <c r="G22749" t="s">
        <v>197</v>
      </c>
      <c r="H22749">
        <v>85756</v>
      </c>
      <c r="I22749" t="s">
        <v>30</v>
      </c>
      <c r="J22749" t="s">
        <v>31</v>
      </c>
      <c r="K22749" t="s">
        <v>222</v>
      </c>
      <c r="N22749" t="s">
        <v>86655</v>
      </c>
      <c r="Q22749">
        <v>0</v>
      </c>
      <c r="R22749">
        <v>91</v>
      </c>
      <c r="S22749">
        <v>0</v>
      </c>
      <c r="T22749" t="s">
        <v>86656</v>
      </c>
    </row>
    <row r="22750" spans="1:20" customFormat="1" ht="15" x14ac:dyDescent="0.25">
      <c r="A22750" t="s">
        <v>24</v>
      </c>
      <c r="B22750" t="s">
        <v>33301</v>
      </c>
      <c r="C22750" t="str">
        <f>"A0092281"</f>
        <v>A0092281</v>
      </c>
      <c r="D22750" t="s">
        <v>86657</v>
      </c>
      <c r="E22750" t="s">
        <v>86658</v>
      </c>
      <c r="F22750" t="s">
        <v>59285</v>
      </c>
      <c r="G22750" t="s">
        <v>197</v>
      </c>
      <c r="H22750">
        <v>85711</v>
      </c>
      <c r="I22750" t="s">
        <v>30</v>
      </c>
      <c r="J22750" t="s">
        <v>31</v>
      </c>
      <c r="K22750" t="s">
        <v>222</v>
      </c>
      <c r="N22750" t="s">
        <v>86659</v>
      </c>
      <c r="O22750" t="s">
        <v>86660</v>
      </c>
      <c r="Q22750">
        <v>0</v>
      </c>
      <c r="R22750">
        <v>124</v>
      </c>
      <c r="S22750">
        <v>0</v>
      </c>
      <c r="T22750" t="s">
        <v>86661</v>
      </c>
    </row>
    <row r="22751" spans="1:20" customFormat="1" ht="15" x14ac:dyDescent="0.25">
      <c r="A22751" t="s">
        <v>24</v>
      </c>
      <c r="B22751" t="s">
        <v>62071</v>
      </c>
      <c r="C22751" t="str">
        <f>"A0088246"</f>
        <v>A0088246</v>
      </c>
      <c r="D22751" t="s">
        <v>86662</v>
      </c>
      <c r="E22751" t="s">
        <v>86663</v>
      </c>
      <c r="F22751" t="s">
        <v>70425</v>
      </c>
      <c r="G22751" t="s">
        <v>40</v>
      </c>
      <c r="H22751">
        <v>74012</v>
      </c>
      <c r="I22751" t="s">
        <v>30</v>
      </c>
      <c r="J22751" t="s">
        <v>31</v>
      </c>
      <c r="K22751" t="s">
        <v>222</v>
      </c>
      <c r="N22751" t="s">
        <v>86664</v>
      </c>
      <c r="Q22751">
        <v>0</v>
      </c>
      <c r="R22751">
        <v>97</v>
      </c>
      <c r="S22751">
        <v>0</v>
      </c>
      <c r="T22751" t="s">
        <v>86665</v>
      </c>
    </row>
    <row r="22752" spans="1:20" customFormat="1" ht="15" x14ac:dyDescent="0.25">
      <c r="A22752" t="s">
        <v>24</v>
      </c>
      <c r="B22752" t="s">
        <v>9391</v>
      </c>
      <c r="C22752" t="str">
        <f>"A0155881"</f>
        <v>A0155881</v>
      </c>
      <c r="D22752" t="s">
        <v>86666</v>
      </c>
      <c r="E22752" t="s">
        <v>86667</v>
      </c>
      <c r="F22752" t="s">
        <v>34042</v>
      </c>
      <c r="G22752" t="s">
        <v>1706</v>
      </c>
      <c r="H22752">
        <v>35405</v>
      </c>
      <c r="I22752" t="s">
        <v>30</v>
      </c>
      <c r="J22752" t="s">
        <v>31</v>
      </c>
      <c r="K22752" t="s">
        <v>222</v>
      </c>
      <c r="N22752" t="s">
        <v>86668</v>
      </c>
      <c r="Q22752">
        <v>0</v>
      </c>
      <c r="R22752">
        <v>85</v>
      </c>
      <c r="S22752">
        <v>0</v>
      </c>
      <c r="T22752" t="s">
        <v>86669</v>
      </c>
    </row>
    <row r="22753" spans="1:25" customFormat="1" ht="15" x14ac:dyDescent="0.25">
      <c r="A22753" t="s">
        <v>24</v>
      </c>
      <c r="B22753" t="s">
        <v>5589</v>
      </c>
      <c r="C22753" t="str">
        <f>"A0153096"</f>
        <v>A0153096</v>
      </c>
      <c r="D22753" t="s">
        <v>86670</v>
      </c>
      <c r="E22753" t="s">
        <v>86671</v>
      </c>
      <c r="F22753" t="s">
        <v>65639</v>
      </c>
      <c r="G22753" t="s">
        <v>433</v>
      </c>
      <c r="H22753">
        <v>83301</v>
      </c>
      <c r="I22753" t="s">
        <v>30</v>
      </c>
      <c r="J22753" t="s">
        <v>31</v>
      </c>
      <c r="K22753" t="s">
        <v>222</v>
      </c>
      <c r="N22753" t="s">
        <v>65640</v>
      </c>
      <c r="Q22753">
        <v>0</v>
      </c>
      <c r="R22753">
        <v>108</v>
      </c>
      <c r="S22753">
        <v>0</v>
      </c>
      <c r="T22753" t="s">
        <v>86672</v>
      </c>
    </row>
    <row r="22754" spans="1:25" customFormat="1" ht="15" x14ac:dyDescent="0.25">
      <c r="A22754" t="s">
        <v>24</v>
      </c>
      <c r="B22754" t="s">
        <v>1317</v>
      </c>
      <c r="C22754" t="str">
        <f>"A0094463"</f>
        <v>A0094463</v>
      </c>
      <c r="D22754" t="s">
        <v>86673</v>
      </c>
      <c r="E22754" t="s">
        <v>86674</v>
      </c>
      <c r="F22754" t="s">
        <v>2263</v>
      </c>
      <c r="G22754" t="s">
        <v>1898</v>
      </c>
      <c r="H22754">
        <v>50266</v>
      </c>
      <c r="I22754" t="s">
        <v>30</v>
      </c>
      <c r="J22754" t="s">
        <v>31</v>
      </c>
      <c r="K22754" t="s">
        <v>222</v>
      </c>
      <c r="N22754" t="s">
        <v>86675</v>
      </c>
      <c r="Q22754">
        <v>0</v>
      </c>
      <c r="R22754">
        <v>99</v>
      </c>
      <c r="S22754">
        <v>0</v>
      </c>
      <c r="T22754" t="s">
        <v>86676</v>
      </c>
    </row>
    <row r="22755" spans="1:25" customFormat="1" ht="15" x14ac:dyDescent="0.25">
      <c r="A22755" t="s">
        <v>24</v>
      </c>
      <c r="B22755" t="s">
        <v>3789</v>
      </c>
      <c r="C22755" t="str">
        <f>"A0093256"</f>
        <v>A0093256</v>
      </c>
      <c r="D22755" t="s">
        <v>86677</v>
      </c>
      <c r="E22755" t="s">
        <v>86678</v>
      </c>
      <c r="F22755" t="s">
        <v>1564</v>
      </c>
      <c r="G22755" t="s">
        <v>52</v>
      </c>
      <c r="H22755">
        <v>77042</v>
      </c>
      <c r="I22755" t="s">
        <v>30</v>
      </c>
      <c r="J22755" t="s">
        <v>31</v>
      </c>
      <c r="K22755" t="s">
        <v>222</v>
      </c>
      <c r="N22755" t="s">
        <v>86274</v>
      </c>
      <c r="O22755" t="s">
        <v>70501</v>
      </c>
      <c r="Q22755">
        <v>0</v>
      </c>
      <c r="R22755">
        <v>120</v>
      </c>
      <c r="S22755">
        <v>0</v>
      </c>
      <c r="T22755" t="s">
        <v>86679</v>
      </c>
    </row>
    <row r="22756" spans="1:25" customFormat="1" ht="15" x14ac:dyDescent="0.25">
      <c r="A22756" t="s">
        <v>24</v>
      </c>
      <c r="B22756" t="s">
        <v>62173</v>
      </c>
      <c r="C22756" t="str">
        <f>"A0088111"</f>
        <v>A0088111</v>
      </c>
      <c r="D22756" t="s">
        <v>86680</v>
      </c>
      <c r="E22756" t="s">
        <v>86681</v>
      </c>
      <c r="F22756" t="s">
        <v>16182</v>
      </c>
      <c r="G22756" t="s">
        <v>29</v>
      </c>
      <c r="H22756">
        <v>22603</v>
      </c>
      <c r="I22756" t="s">
        <v>30</v>
      </c>
      <c r="J22756" t="s">
        <v>31</v>
      </c>
      <c r="K22756" t="s">
        <v>222</v>
      </c>
      <c r="N22756" t="s">
        <v>86682</v>
      </c>
      <c r="Q22756">
        <v>0</v>
      </c>
      <c r="R22756">
        <v>109</v>
      </c>
      <c r="S22756">
        <v>0</v>
      </c>
      <c r="T22756" t="s">
        <v>86683</v>
      </c>
    </row>
    <row r="22757" spans="1:25" customFormat="1" ht="15" x14ac:dyDescent="0.25">
      <c r="A22757" t="s">
        <v>24</v>
      </c>
      <c r="B22757" t="s">
        <v>34039</v>
      </c>
      <c r="C22757" t="str">
        <f>"A0165193"</f>
        <v>A0165193</v>
      </c>
      <c r="D22757" t="s">
        <v>86684</v>
      </c>
      <c r="E22757" t="s">
        <v>83102</v>
      </c>
      <c r="F22757" t="s">
        <v>83103</v>
      </c>
      <c r="G22757" t="s">
        <v>899</v>
      </c>
      <c r="H22757">
        <v>2093</v>
      </c>
      <c r="I22757" t="s">
        <v>30</v>
      </c>
      <c r="J22757" t="s">
        <v>31</v>
      </c>
      <c r="K22757" t="s">
        <v>222</v>
      </c>
      <c r="N22757" t="s">
        <v>86685</v>
      </c>
      <c r="Q22757">
        <v>0</v>
      </c>
      <c r="R22757">
        <v>80</v>
      </c>
      <c r="S22757">
        <v>0</v>
      </c>
      <c r="T22757" t="s">
        <v>83105</v>
      </c>
    </row>
    <row r="22758" spans="1:25" customFormat="1" ht="15" x14ac:dyDescent="0.25">
      <c r="A22758" t="s">
        <v>24</v>
      </c>
      <c r="B22758" t="s">
        <v>7040</v>
      </c>
      <c r="C22758" t="str">
        <f>"A0092660"</f>
        <v>A0092660</v>
      </c>
      <c r="D22758" t="s">
        <v>86686</v>
      </c>
      <c r="E22758" t="s">
        <v>86687</v>
      </c>
      <c r="F22758" t="s">
        <v>5013</v>
      </c>
      <c r="G22758" t="s">
        <v>103</v>
      </c>
      <c r="H22758">
        <v>17402</v>
      </c>
      <c r="I22758" t="s">
        <v>30</v>
      </c>
      <c r="J22758" t="s">
        <v>31</v>
      </c>
      <c r="K22758" t="s">
        <v>222</v>
      </c>
      <c r="N22758" t="s">
        <v>65421</v>
      </c>
      <c r="Q22758">
        <v>0</v>
      </c>
      <c r="R22758">
        <v>101</v>
      </c>
      <c r="S22758">
        <v>0</v>
      </c>
      <c r="T22758" t="s">
        <v>86688</v>
      </c>
    </row>
    <row r="22759" spans="1:25" customFormat="1" ht="15" x14ac:dyDescent="0.25">
      <c r="A22759" t="s">
        <v>24</v>
      </c>
      <c r="B22759" t="s">
        <v>56531</v>
      </c>
      <c r="C22759" t="str">
        <f>"A0098818"</f>
        <v>A0098818</v>
      </c>
      <c r="D22759" t="s">
        <v>86689</v>
      </c>
      <c r="E22759" t="s">
        <v>86690</v>
      </c>
      <c r="F22759" t="s">
        <v>2978</v>
      </c>
      <c r="G22759" t="s">
        <v>110</v>
      </c>
      <c r="H22759">
        <v>92101</v>
      </c>
      <c r="I22759" t="s">
        <v>30</v>
      </c>
      <c r="J22759" t="s">
        <v>31</v>
      </c>
      <c r="K22759" t="s">
        <v>222</v>
      </c>
      <c r="N22759" t="s">
        <v>70873</v>
      </c>
      <c r="Q22759">
        <v>0</v>
      </c>
      <c r="R22759">
        <v>98</v>
      </c>
      <c r="S22759">
        <v>0</v>
      </c>
      <c r="T22759" t="s">
        <v>86691</v>
      </c>
    </row>
    <row r="22760" spans="1:25" customFormat="1" ht="15" x14ac:dyDescent="0.25">
      <c r="A22760" t="s">
        <v>24</v>
      </c>
      <c r="B22760" t="s">
        <v>2360</v>
      </c>
      <c r="C22760" t="str">
        <f>"A0050479"</f>
        <v>A0050479</v>
      </c>
      <c r="D22760" t="s">
        <v>86692</v>
      </c>
      <c r="E22760" t="s">
        <v>86693</v>
      </c>
      <c r="F22760" t="s">
        <v>242</v>
      </c>
      <c r="G22760" t="s">
        <v>214</v>
      </c>
      <c r="H22760">
        <v>28277</v>
      </c>
      <c r="I22760" t="s">
        <v>30</v>
      </c>
      <c r="J22760" t="s">
        <v>178</v>
      </c>
      <c r="K22760" t="s">
        <v>56092</v>
      </c>
      <c r="N22760" t="s">
        <v>86694</v>
      </c>
      <c r="O22760" t="s">
        <v>86695</v>
      </c>
      <c r="Q22760">
        <v>1</v>
      </c>
      <c r="R22760">
        <v>28</v>
      </c>
      <c r="S22760">
        <v>0</v>
      </c>
      <c r="T22760" t="s">
        <v>86696</v>
      </c>
    </row>
    <row r="22761" spans="1:25" customFormat="1" ht="15" x14ac:dyDescent="0.25">
      <c r="A22761" t="s">
        <v>24</v>
      </c>
      <c r="B22761" t="s">
        <v>2360</v>
      </c>
      <c r="C22761" t="str">
        <f>"A0085625"</f>
        <v>A0085625</v>
      </c>
      <c r="D22761" t="s">
        <v>86697</v>
      </c>
      <c r="E22761" t="s">
        <v>86698</v>
      </c>
      <c r="F22761" t="s">
        <v>23270</v>
      </c>
      <c r="G22761" t="s">
        <v>52</v>
      </c>
      <c r="H22761">
        <v>75071</v>
      </c>
      <c r="I22761" t="s">
        <v>30</v>
      </c>
      <c r="J22761" t="s">
        <v>178</v>
      </c>
      <c r="K22761" t="s">
        <v>56092</v>
      </c>
      <c r="N22761" t="s">
        <v>86699</v>
      </c>
      <c r="Q22761">
        <v>0</v>
      </c>
      <c r="R22761">
        <v>0</v>
      </c>
      <c r="S22761">
        <v>0</v>
      </c>
      <c r="T22761" t="s">
        <v>86700</v>
      </c>
    </row>
    <row r="22762" spans="1:25" customFormat="1" ht="15" x14ac:dyDescent="0.25">
      <c r="A22762" t="s">
        <v>24</v>
      </c>
      <c r="B22762" t="s">
        <v>2360</v>
      </c>
      <c r="C22762" t="str">
        <f>"A0050232"</f>
        <v>A0050232</v>
      </c>
      <c r="D22762" t="s">
        <v>86701</v>
      </c>
      <c r="E22762" t="s">
        <v>86702</v>
      </c>
      <c r="F22762" t="s">
        <v>60313</v>
      </c>
      <c r="G22762" t="s">
        <v>117</v>
      </c>
      <c r="H22762">
        <v>48120</v>
      </c>
      <c r="I22762" t="s">
        <v>30</v>
      </c>
      <c r="J22762" t="s">
        <v>178</v>
      </c>
      <c r="K22762" t="s">
        <v>56676</v>
      </c>
      <c r="N22762" t="s">
        <v>86703</v>
      </c>
      <c r="O22762" t="s">
        <v>76945</v>
      </c>
      <c r="Q22762">
        <v>1</v>
      </c>
      <c r="R22762">
        <v>18</v>
      </c>
      <c r="S22762">
        <v>0</v>
      </c>
      <c r="T22762" t="s">
        <v>86704</v>
      </c>
    </row>
    <row r="22763" spans="1:25" x14ac:dyDescent="0.25">
      <c r="A22763" s="5" t="s">
        <v>24</v>
      </c>
      <c r="B22763" s="5" t="s">
        <v>10986</v>
      </c>
      <c r="C22763" s="5" t="str">
        <f>"A0098175"</f>
        <v>A0098175</v>
      </c>
      <c r="D22763" s="5" t="s">
        <v>80005</v>
      </c>
      <c r="E22763" s="5" t="s">
        <v>80006</v>
      </c>
      <c r="F22763" s="5" t="s">
        <v>7738</v>
      </c>
      <c r="G22763" s="5" t="s">
        <v>81</v>
      </c>
      <c r="H22763" s="5">
        <v>33767</v>
      </c>
      <c r="I22763" s="5" t="s">
        <v>30</v>
      </c>
      <c r="J22763" s="5" t="s">
        <v>171</v>
      </c>
      <c r="K22763" s="5" t="s">
        <v>1450</v>
      </c>
      <c r="L22763" s="5"/>
      <c r="M22763" s="5"/>
      <c r="N22763" s="5" t="s">
        <v>80007</v>
      </c>
      <c r="O22763" s="5" t="s">
        <v>80008</v>
      </c>
      <c r="P22763" s="5"/>
      <c r="Q22763" s="5">
        <v>0</v>
      </c>
      <c r="R22763" s="5">
        <v>140</v>
      </c>
      <c r="S22763" s="5">
        <v>0</v>
      </c>
      <c r="T22763" s="5" t="s">
        <v>80009</v>
      </c>
      <c r="U22763" s="5"/>
      <c r="V22763" s="5"/>
      <c r="W22763" s="5"/>
      <c r="X22763" s="5"/>
      <c r="Y22763" s="5"/>
    </row>
    <row r="22764" spans="1:25" customFormat="1" ht="15" x14ac:dyDescent="0.25">
      <c r="A22764" t="s">
        <v>24</v>
      </c>
      <c r="B22764" t="s">
        <v>10734</v>
      </c>
      <c r="C22764" t="str">
        <f>"A0165781"</f>
        <v>A0165781</v>
      </c>
      <c r="D22764" t="s">
        <v>86710</v>
      </c>
      <c r="E22764" t="s">
        <v>84703</v>
      </c>
      <c r="F22764" t="s">
        <v>748</v>
      </c>
      <c r="G22764" t="s">
        <v>110</v>
      </c>
      <c r="H22764">
        <v>94042</v>
      </c>
      <c r="I22764" t="s">
        <v>30</v>
      </c>
      <c r="J22764" t="s">
        <v>1004</v>
      </c>
      <c r="K22764" t="s">
        <v>163</v>
      </c>
      <c r="N22764" t="s">
        <v>86711</v>
      </c>
      <c r="Q22764">
        <v>0</v>
      </c>
      <c r="R22764">
        <v>0</v>
      </c>
      <c r="S22764">
        <v>0</v>
      </c>
      <c r="T22764" t="s">
        <v>86712</v>
      </c>
    </row>
    <row r="22765" spans="1:25" customFormat="1" ht="15" hidden="1" x14ac:dyDescent="0.25">
      <c r="A22765" t="s">
        <v>24</v>
      </c>
      <c r="B22765" t="s">
        <v>86713</v>
      </c>
      <c r="C22765" t="str">
        <f>"A0069020"</f>
        <v>A0069020</v>
      </c>
      <c r="D22765" t="s">
        <v>86714</v>
      </c>
      <c r="E22765" t="s">
        <v>86715</v>
      </c>
      <c r="F22765" t="s">
        <v>35799</v>
      </c>
      <c r="G22765" t="s">
        <v>2206</v>
      </c>
      <c r="H22765" t="s">
        <v>86716</v>
      </c>
      <c r="I22765" t="s">
        <v>1459</v>
      </c>
      <c r="J22765" t="s">
        <v>145</v>
      </c>
      <c r="K22765" t="s">
        <v>55040</v>
      </c>
      <c r="N22765" t="s">
        <v>86717</v>
      </c>
      <c r="Q22765">
        <v>0</v>
      </c>
      <c r="R22765">
        <v>130</v>
      </c>
      <c r="S22765">
        <v>0</v>
      </c>
      <c r="T22765" t="s">
        <v>86718</v>
      </c>
    </row>
    <row r="22766" spans="1:25" customFormat="1" ht="15" x14ac:dyDescent="0.25">
      <c r="A22766" t="s">
        <v>24</v>
      </c>
      <c r="B22766" t="s">
        <v>3343</v>
      </c>
      <c r="C22766" t="str">
        <f>"A0100565"</f>
        <v>A0100565</v>
      </c>
      <c r="D22766" t="s">
        <v>86719</v>
      </c>
      <c r="E22766" t="s">
        <v>86720</v>
      </c>
      <c r="F22766" t="s">
        <v>86721</v>
      </c>
      <c r="G22766" t="s">
        <v>1184</v>
      </c>
      <c r="H22766">
        <v>59722</v>
      </c>
      <c r="I22766" t="s">
        <v>30</v>
      </c>
      <c r="J22766" t="s">
        <v>145</v>
      </c>
      <c r="K22766" t="s">
        <v>55040</v>
      </c>
      <c r="N22766" t="s">
        <v>86722</v>
      </c>
      <c r="Q22766">
        <v>0</v>
      </c>
      <c r="R22766">
        <v>57</v>
      </c>
      <c r="S22766">
        <v>0</v>
      </c>
      <c r="T22766" t="s">
        <v>86723</v>
      </c>
    </row>
    <row r="22767" spans="1:25" customFormat="1" ht="15" hidden="1" x14ac:dyDescent="0.25">
      <c r="A22767" t="s">
        <v>24</v>
      </c>
      <c r="B22767" t="s">
        <v>55654</v>
      </c>
      <c r="C22767" t="str">
        <f>"A0069037"</f>
        <v>A0069037</v>
      </c>
      <c r="D22767" t="s">
        <v>86724</v>
      </c>
      <c r="E22767" t="s">
        <v>86725</v>
      </c>
      <c r="F22767" t="s">
        <v>55657</v>
      </c>
      <c r="G22767" t="s">
        <v>2206</v>
      </c>
      <c r="H22767" t="s">
        <v>86726</v>
      </c>
      <c r="I22767" t="s">
        <v>1459</v>
      </c>
      <c r="J22767" t="s">
        <v>145</v>
      </c>
      <c r="K22767" t="s">
        <v>55040</v>
      </c>
      <c r="N22767" t="s">
        <v>55659</v>
      </c>
      <c r="Q22767">
        <v>0</v>
      </c>
      <c r="R22767">
        <v>93</v>
      </c>
      <c r="S22767">
        <v>0</v>
      </c>
      <c r="T22767" t="s">
        <v>86727</v>
      </c>
    </row>
    <row r="22768" spans="1:25" customFormat="1" ht="15" hidden="1" x14ac:dyDescent="0.25">
      <c r="A22768" t="s">
        <v>24</v>
      </c>
      <c r="B22768" t="s">
        <v>4848</v>
      </c>
      <c r="C22768" t="str">
        <f>"A0069085"</f>
        <v>A0069085</v>
      </c>
      <c r="D22768" t="s">
        <v>86728</v>
      </c>
      <c r="E22768" t="s">
        <v>86729</v>
      </c>
      <c r="F22768" t="s">
        <v>58646</v>
      </c>
      <c r="G22768" t="s">
        <v>53283</v>
      </c>
      <c r="H22768" t="s">
        <v>58647</v>
      </c>
      <c r="I22768" t="s">
        <v>1459</v>
      </c>
      <c r="J22768" t="s">
        <v>145</v>
      </c>
      <c r="K22768" t="s">
        <v>55040</v>
      </c>
      <c r="N22768" t="s">
        <v>86730</v>
      </c>
      <c r="Q22768">
        <v>0</v>
      </c>
      <c r="R22768">
        <v>140</v>
      </c>
      <c r="S22768">
        <v>0</v>
      </c>
      <c r="T22768" t="s">
        <v>86731</v>
      </c>
    </row>
    <row r="22769" spans="1:25" customFormat="1" ht="15" hidden="1" x14ac:dyDescent="0.25">
      <c r="A22769" t="s">
        <v>24</v>
      </c>
      <c r="B22769" t="s">
        <v>56113</v>
      </c>
      <c r="C22769" t="str">
        <f>"A0069034"</f>
        <v>A0069034</v>
      </c>
      <c r="D22769" t="s">
        <v>86732</v>
      </c>
      <c r="E22769" t="s">
        <v>86733</v>
      </c>
      <c r="F22769" t="s">
        <v>56045</v>
      </c>
      <c r="G22769" t="s">
        <v>2206</v>
      </c>
      <c r="H22769" t="s">
        <v>86734</v>
      </c>
      <c r="I22769" t="s">
        <v>1459</v>
      </c>
      <c r="J22769" t="s">
        <v>145</v>
      </c>
      <c r="K22769" t="s">
        <v>55040</v>
      </c>
      <c r="N22769" t="s">
        <v>86735</v>
      </c>
      <c r="Q22769">
        <v>0</v>
      </c>
      <c r="R22769">
        <v>196</v>
      </c>
      <c r="S22769">
        <v>0</v>
      </c>
      <c r="T22769" t="s">
        <v>86736</v>
      </c>
    </row>
    <row r="22770" spans="1:25" customFormat="1" ht="15" hidden="1" x14ac:dyDescent="0.25">
      <c r="A22770" t="s">
        <v>24</v>
      </c>
      <c r="B22770" t="s">
        <v>4848</v>
      </c>
      <c r="C22770" t="str">
        <f>"A0068858"</f>
        <v>A0068858</v>
      </c>
      <c r="D22770" t="s">
        <v>86737</v>
      </c>
      <c r="E22770" t="s">
        <v>86738</v>
      </c>
      <c r="F22770" t="s">
        <v>4851</v>
      </c>
      <c r="G22770" t="s">
        <v>2206</v>
      </c>
      <c r="H22770" t="s">
        <v>86739</v>
      </c>
      <c r="I22770" t="s">
        <v>1459</v>
      </c>
      <c r="J22770" t="s">
        <v>145</v>
      </c>
      <c r="K22770" t="s">
        <v>55040</v>
      </c>
      <c r="N22770" t="s">
        <v>86740</v>
      </c>
      <c r="Q22770">
        <v>0</v>
      </c>
      <c r="R22770">
        <v>140</v>
      </c>
      <c r="S22770">
        <v>0</v>
      </c>
      <c r="T22770" t="s">
        <v>86741</v>
      </c>
    </row>
    <row r="22771" spans="1:25" customFormat="1" ht="15" hidden="1" x14ac:dyDescent="0.25">
      <c r="A22771" t="s">
        <v>24</v>
      </c>
      <c r="B22771" t="s">
        <v>86742</v>
      </c>
      <c r="C22771" t="str">
        <f>"A0083533"</f>
        <v>A0083533</v>
      </c>
      <c r="D22771" t="s">
        <v>86743</v>
      </c>
      <c r="E22771" t="s">
        <v>86744</v>
      </c>
      <c r="F22771" t="s">
        <v>86745</v>
      </c>
      <c r="G22771" t="s">
        <v>5439</v>
      </c>
      <c r="H22771" t="s">
        <v>86746</v>
      </c>
      <c r="I22771" t="s">
        <v>1459</v>
      </c>
      <c r="J22771" t="s">
        <v>145</v>
      </c>
      <c r="K22771" t="s">
        <v>55040</v>
      </c>
      <c r="N22771" t="s">
        <v>86747</v>
      </c>
      <c r="Q22771">
        <v>0</v>
      </c>
      <c r="R22771">
        <v>186</v>
      </c>
      <c r="S22771">
        <v>0</v>
      </c>
      <c r="T22771" t="s">
        <v>86748</v>
      </c>
    </row>
    <row r="22772" spans="1:25" customFormat="1" ht="15" hidden="1" x14ac:dyDescent="0.25">
      <c r="A22772" t="s">
        <v>24</v>
      </c>
      <c r="B22772" t="s">
        <v>55654</v>
      </c>
      <c r="C22772" t="str">
        <f>"A0069050"</f>
        <v>A0069050</v>
      </c>
      <c r="D22772" t="s">
        <v>86749</v>
      </c>
      <c r="E22772" t="s">
        <v>86750</v>
      </c>
      <c r="F22772" t="s">
        <v>54631</v>
      </c>
      <c r="G22772" t="s">
        <v>53283</v>
      </c>
      <c r="H22772" t="s">
        <v>86751</v>
      </c>
      <c r="I22772" t="s">
        <v>1459</v>
      </c>
      <c r="J22772" t="s">
        <v>145</v>
      </c>
      <c r="K22772" t="s">
        <v>55040</v>
      </c>
      <c r="N22772" t="s">
        <v>86752</v>
      </c>
      <c r="Q22772">
        <v>0</v>
      </c>
      <c r="R22772">
        <v>75</v>
      </c>
      <c r="S22772">
        <v>0</v>
      </c>
      <c r="T22772" t="s">
        <v>86753</v>
      </c>
    </row>
    <row r="22773" spans="1:25" customFormat="1" ht="15" hidden="1" x14ac:dyDescent="0.25">
      <c r="A22773" t="s">
        <v>24</v>
      </c>
      <c r="B22773" t="s">
        <v>55654</v>
      </c>
      <c r="C22773" t="str">
        <f>"A0069047"</f>
        <v>A0069047</v>
      </c>
      <c r="D22773" t="s">
        <v>86754</v>
      </c>
      <c r="E22773" t="s">
        <v>86755</v>
      </c>
      <c r="F22773" t="s">
        <v>15269</v>
      </c>
      <c r="G22773" t="s">
        <v>15270</v>
      </c>
      <c r="H22773" t="s">
        <v>86756</v>
      </c>
      <c r="I22773" t="s">
        <v>1459</v>
      </c>
      <c r="J22773" t="s">
        <v>145</v>
      </c>
      <c r="K22773" t="s">
        <v>55040</v>
      </c>
      <c r="N22773" t="s">
        <v>62471</v>
      </c>
      <c r="Q22773">
        <v>0</v>
      </c>
      <c r="R22773">
        <v>75</v>
      </c>
      <c r="S22773">
        <v>0</v>
      </c>
      <c r="T22773" t="s">
        <v>86757</v>
      </c>
    </row>
    <row r="22774" spans="1:25" customFormat="1" ht="15" hidden="1" x14ac:dyDescent="0.25">
      <c r="A22774" t="s">
        <v>24</v>
      </c>
      <c r="B22774" t="s">
        <v>4848</v>
      </c>
      <c r="C22774" t="str">
        <f>"A0069052"</f>
        <v>A0069052</v>
      </c>
      <c r="D22774" t="s">
        <v>86758</v>
      </c>
      <c r="E22774" t="s">
        <v>86759</v>
      </c>
      <c r="F22774" t="s">
        <v>58579</v>
      </c>
      <c r="G22774" t="s">
        <v>53283</v>
      </c>
      <c r="H22774" t="s">
        <v>58580</v>
      </c>
      <c r="I22774" t="s">
        <v>1459</v>
      </c>
      <c r="J22774" t="s">
        <v>145</v>
      </c>
      <c r="K22774" t="s">
        <v>55040</v>
      </c>
      <c r="N22774" t="s">
        <v>86760</v>
      </c>
      <c r="Q22774">
        <v>0</v>
      </c>
      <c r="R22774">
        <v>85</v>
      </c>
      <c r="S22774">
        <v>0</v>
      </c>
      <c r="T22774" t="s">
        <v>86761</v>
      </c>
    </row>
    <row r="22775" spans="1:25" customFormat="1" ht="15" x14ac:dyDescent="0.25">
      <c r="A22775" t="s">
        <v>24</v>
      </c>
      <c r="B22775" t="s">
        <v>71047</v>
      </c>
      <c r="C22775" t="str">
        <f>"A0155886"</f>
        <v>A0155886</v>
      </c>
      <c r="D22775" t="s">
        <v>86762</v>
      </c>
      <c r="E22775" t="s">
        <v>86763</v>
      </c>
      <c r="F22775" t="s">
        <v>796</v>
      </c>
      <c r="G22775" t="s">
        <v>197</v>
      </c>
      <c r="H22775">
        <v>85706</v>
      </c>
      <c r="I22775" t="s">
        <v>30</v>
      </c>
      <c r="J22775" t="s">
        <v>145</v>
      </c>
      <c r="K22775" t="s">
        <v>55040</v>
      </c>
      <c r="N22775" t="s">
        <v>86764</v>
      </c>
      <c r="O22775" t="s">
        <v>86765</v>
      </c>
      <c r="Q22775">
        <v>0</v>
      </c>
      <c r="R22775">
        <v>107</v>
      </c>
      <c r="S22775">
        <v>0</v>
      </c>
      <c r="T22775" t="s">
        <v>86766</v>
      </c>
    </row>
    <row r="22776" spans="1:25" hidden="1" x14ac:dyDescent="0.25">
      <c r="A22776" s="3" t="s">
        <v>24</v>
      </c>
      <c r="B22776" s="3" t="s">
        <v>675</v>
      </c>
      <c r="C22776" s="3" t="str">
        <f>"A0157475"</f>
        <v>A0157475</v>
      </c>
      <c r="D22776" s="3" t="s">
        <v>86767</v>
      </c>
      <c r="E22776" s="3" t="s">
        <v>83725</v>
      </c>
      <c r="F22776" s="3" t="s">
        <v>58484</v>
      </c>
      <c r="G22776" s="3" t="s">
        <v>58485</v>
      </c>
      <c r="I22776" s="3" t="s">
        <v>58486</v>
      </c>
      <c r="J22776" s="3" t="s">
        <v>206</v>
      </c>
      <c r="K22776" s="3" t="s">
        <v>6459</v>
      </c>
      <c r="N22776" s="3" t="s">
        <v>86768</v>
      </c>
      <c r="Q22776" s="3">
        <v>0</v>
      </c>
      <c r="R22776" s="3">
        <v>35</v>
      </c>
      <c r="S22776" s="3">
        <v>0</v>
      </c>
      <c r="T22776" s="3" t="s">
        <v>86769</v>
      </c>
    </row>
    <row r="22777" spans="1:25" customFormat="1" ht="15" x14ac:dyDescent="0.25">
      <c r="A22777" t="s">
        <v>24</v>
      </c>
      <c r="B22777" t="s">
        <v>186</v>
      </c>
      <c r="C22777" t="str">
        <f>"A0146661"</f>
        <v>A0146661</v>
      </c>
      <c r="D22777" t="s">
        <v>86770</v>
      </c>
      <c r="E22777" t="s">
        <v>86771</v>
      </c>
      <c r="F22777" t="s">
        <v>34169</v>
      </c>
      <c r="G22777" t="s">
        <v>190</v>
      </c>
      <c r="H22777">
        <v>81615</v>
      </c>
      <c r="I22777" t="s">
        <v>30</v>
      </c>
      <c r="J22777" t="s">
        <v>31</v>
      </c>
      <c r="K22777" t="s">
        <v>163</v>
      </c>
      <c r="N22777" t="s">
        <v>55669</v>
      </c>
      <c r="Q22777">
        <v>0</v>
      </c>
      <c r="R22777">
        <v>0</v>
      </c>
      <c r="S22777">
        <v>0</v>
      </c>
      <c r="T22777" t="s">
        <v>55670</v>
      </c>
    </row>
    <row r="22778" spans="1:25" customFormat="1" ht="15" x14ac:dyDescent="0.25">
      <c r="A22778" t="s">
        <v>24</v>
      </c>
      <c r="B22778" t="s">
        <v>2360</v>
      </c>
      <c r="C22778" t="str">
        <f>"CL0448"</f>
        <v>CL0448</v>
      </c>
      <c r="D22778" t="s">
        <v>86772</v>
      </c>
      <c r="E22778" t="s">
        <v>86773</v>
      </c>
      <c r="F22778" t="s">
        <v>86774</v>
      </c>
      <c r="G22778" t="s">
        <v>103</v>
      </c>
      <c r="H22778">
        <v>15044</v>
      </c>
      <c r="I22778" t="s">
        <v>30</v>
      </c>
      <c r="J22778" t="s">
        <v>178</v>
      </c>
      <c r="K22778" t="s">
        <v>55688</v>
      </c>
      <c r="N22778" t="s">
        <v>86775</v>
      </c>
      <c r="P22778" t="s">
        <v>992</v>
      </c>
      <c r="Q22778">
        <v>2</v>
      </c>
      <c r="R22778">
        <v>0</v>
      </c>
      <c r="S22778">
        <v>0</v>
      </c>
      <c r="T22778" t="s">
        <v>86776</v>
      </c>
    </row>
    <row r="22779" spans="1:25" customFormat="1" ht="15" x14ac:dyDescent="0.25">
      <c r="A22779" t="s">
        <v>24</v>
      </c>
      <c r="B22779" t="s">
        <v>56488</v>
      </c>
      <c r="C22779" t="str">
        <f>"A0099220"</f>
        <v>A0099220</v>
      </c>
      <c r="D22779" t="s">
        <v>86777</v>
      </c>
      <c r="E22779" t="s">
        <v>86778</v>
      </c>
      <c r="F22779" t="s">
        <v>86497</v>
      </c>
      <c r="G22779" t="s">
        <v>197</v>
      </c>
      <c r="H22779">
        <v>85338</v>
      </c>
      <c r="I22779" t="s">
        <v>30</v>
      </c>
      <c r="J22779" t="s">
        <v>2415</v>
      </c>
      <c r="K22779" t="s">
        <v>6809</v>
      </c>
      <c r="N22779" t="s">
        <v>86779</v>
      </c>
      <c r="Q22779">
        <v>0</v>
      </c>
      <c r="R22779">
        <v>0</v>
      </c>
      <c r="S22779">
        <v>0</v>
      </c>
      <c r="T22779" t="s">
        <v>86780</v>
      </c>
    </row>
    <row r="22780" spans="1:25" customFormat="1" ht="15" x14ac:dyDescent="0.25">
      <c r="A22780" t="s">
        <v>24</v>
      </c>
      <c r="B22780" t="s">
        <v>850</v>
      </c>
      <c r="C22780" t="str">
        <f>"A0151432"</f>
        <v>A0151432</v>
      </c>
      <c r="D22780" t="s">
        <v>86781</v>
      </c>
      <c r="E22780" t="s">
        <v>86782</v>
      </c>
      <c r="F22780" t="s">
        <v>11700</v>
      </c>
      <c r="G22780" t="s">
        <v>880</v>
      </c>
      <c r="H22780">
        <v>38105</v>
      </c>
      <c r="I22780" t="s">
        <v>30</v>
      </c>
      <c r="J22780" t="s">
        <v>145</v>
      </c>
      <c r="K22780" t="s">
        <v>163</v>
      </c>
      <c r="N22780" t="s">
        <v>86783</v>
      </c>
      <c r="Q22780">
        <v>0</v>
      </c>
      <c r="R22780">
        <v>100</v>
      </c>
      <c r="S22780">
        <v>0</v>
      </c>
      <c r="T22780" t="s">
        <v>86784</v>
      </c>
    </row>
    <row r="22781" spans="1:25" x14ac:dyDescent="0.25">
      <c r="A22781" s="5" t="s">
        <v>24</v>
      </c>
      <c r="B22781" s="5" t="s">
        <v>2836</v>
      </c>
      <c r="C22781" s="5" t="str">
        <f>"56696"</f>
        <v>56696</v>
      </c>
      <c r="D22781" s="5" t="s">
        <v>80010</v>
      </c>
      <c r="E22781" s="5" t="s">
        <v>80011</v>
      </c>
      <c r="F22781" s="5" t="s">
        <v>3955</v>
      </c>
      <c r="G22781" s="5" t="s">
        <v>81</v>
      </c>
      <c r="H22781" s="5">
        <v>33602</v>
      </c>
      <c r="I22781" s="5" t="s">
        <v>30</v>
      </c>
      <c r="J22781" s="5" t="s">
        <v>171</v>
      </c>
      <c r="K22781" s="5" t="s">
        <v>1450</v>
      </c>
      <c r="L22781" s="5"/>
      <c r="M22781" s="5"/>
      <c r="N22781" s="5" t="s">
        <v>2444</v>
      </c>
      <c r="O22781" s="5"/>
      <c r="P22781" s="5"/>
      <c r="Q22781" s="5">
        <v>0</v>
      </c>
      <c r="R22781" s="5">
        <v>109</v>
      </c>
      <c r="S22781" s="5">
        <v>0</v>
      </c>
      <c r="T22781" s="5" t="s">
        <v>80012</v>
      </c>
      <c r="U22781" s="5"/>
      <c r="V22781" s="5"/>
      <c r="W22781" s="5"/>
      <c r="X22781" s="5"/>
      <c r="Y22781" s="5"/>
    </row>
    <row r="22782" spans="1:25" customFormat="1" ht="15" x14ac:dyDescent="0.25">
      <c r="A22782" t="s">
        <v>24</v>
      </c>
      <c r="B22782" t="s">
        <v>2360</v>
      </c>
      <c r="C22782" t="str">
        <f>"CL1584"</f>
        <v>CL1584</v>
      </c>
      <c r="D22782" t="s">
        <v>86788</v>
      </c>
      <c r="E22782" t="s">
        <v>86789</v>
      </c>
      <c r="F22782" t="s">
        <v>86790</v>
      </c>
      <c r="G22782" t="s">
        <v>52</v>
      </c>
      <c r="H22782">
        <v>76262</v>
      </c>
      <c r="I22782" t="s">
        <v>30</v>
      </c>
      <c r="J22782" t="s">
        <v>178</v>
      </c>
      <c r="K22782" t="s">
        <v>55688</v>
      </c>
      <c r="N22782" t="s">
        <v>86791</v>
      </c>
      <c r="P22782" t="s">
        <v>992</v>
      </c>
      <c r="Q22782">
        <v>2</v>
      </c>
      <c r="R22782">
        <v>0</v>
      </c>
      <c r="S22782">
        <v>0</v>
      </c>
      <c r="T22782" t="s">
        <v>86792</v>
      </c>
    </row>
    <row r="22783" spans="1:25" customFormat="1" ht="15" x14ac:dyDescent="0.25">
      <c r="A22783" t="s">
        <v>24</v>
      </c>
      <c r="B22783" t="s">
        <v>9391</v>
      </c>
      <c r="C22783" t="str">
        <f>"A0136994"</f>
        <v>A0136994</v>
      </c>
      <c r="D22783" t="s">
        <v>86793</v>
      </c>
      <c r="E22783" t="s">
        <v>71294</v>
      </c>
      <c r="F22783" t="s">
        <v>1248</v>
      </c>
      <c r="G22783" t="s">
        <v>846</v>
      </c>
      <c r="H22783">
        <v>30144</v>
      </c>
      <c r="I22783" t="s">
        <v>30</v>
      </c>
      <c r="J22783" t="s">
        <v>31</v>
      </c>
      <c r="K22783" t="s">
        <v>1196</v>
      </c>
      <c r="N22783" t="s">
        <v>33999</v>
      </c>
      <c r="O22783" t="s">
        <v>86794</v>
      </c>
      <c r="Q22783">
        <v>0</v>
      </c>
      <c r="R22783">
        <v>87</v>
      </c>
      <c r="S22783">
        <v>0</v>
      </c>
      <c r="T22783" t="s">
        <v>86795</v>
      </c>
    </row>
    <row r="22784" spans="1:25" customFormat="1" ht="15" x14ac:dyDescent="0.25">
      <c r="A22784" t="s">
        <v>24</v>
      </c>
      <c r="B22784" t="s">
        <v>5149</v>
      </c>
      <c r="C22784" t="str">
        <f>"A0117370"</f>
        <v>A0117370</v>
      </c>
      <c r="D22784" t="s">
        <v>86796</v>
      </c>
      <c r="E22784" t="s">
        <v>86797</v>
      </c>
      <c r="F22784" t="s">
        <v>5152</v>
      </c>
      <c r="G22784" t="s">
        <v>840</v>
      </c>
      <c r="H22784">
        <v>42104</v>
      </c>
      <c r="I22784" t="s">
        <v>30</v>
      </c>
      <c r="J22784" t="s">
        <v>31</v>
      </c>
      <c r="K22784" t="s">
        <v>1196</v>
      </c>
      <c r="N22784" t="s">
        <v>69042</v>
      </c>
      <c r="Q22784">
        <v>0</v>
      </c>
      <c r="R22784">
        <v>88</v>
      </c>
      <c r="S22784">
        <v>0</v>
      </c>
      <c r="T22784" t="s">
        <v>86798</v>
      </c>
    </row>
    <row r="22785" spans="1:20" customFormat="1" ht="15" x14ac:dyDescent="0.25">
      <c r="A22785" t="s">
        <v>24</v>
      </c>
      <c r="B22785" t="s">
        <v>55987</v>
      </c>
      <c r="C22785" t="str">
        <f>"A0101143"</f>
        <v>A0101143</v>
      </c>
      <c r="D22785" t="s">
        <v>86799</v>
      </c>
      <c r="E22785" t="s">
        <v>86800</v>
      </c>
      <c r="F22785" t="s">
        <v>74788</v>
      </c>
      <c r="G22785" t="s">
        <v>81</v>
      </c>
      <c r="H22785">
        <v>33870</v>
      </c>
      <c r="I22785" t="s">
        <v>30</v>
      </c>
      <c r="J22785" t="s">
        <v>31</v>
      </c>
      <c r="K22785" t="s">
        <v>1196</v>
      </c>
      <c r="N22785" t="s">
        <v>86801</v>
      </c>
      <c r="Q22785">
        <v>0</v>
      </c>
      <c r="R22785">
        <v>80</v>
      </c>
      <c r="S22785">
        <v>0</v>
      </c>
      <c r="T22785" t="s">
        <v>86802</v>
      </c>
    </row>
    <row r="22786" spans="1:20" customFormat="1" ht="15" x14ac:dyDescent="0.25">
      <c r="A22786" t="s">
        <v>24</v>
      </c>
      <c r="B22786" t="s">
        <v>16448</v>
      </c>
      <c r="C22786" t="str">
        <f>"A0153928"</f>
        <v>A0153928</v>
      </c>
      <c r="D22786" t="s">
        <v>86803</v>
      </c>
      <c r="E22786" t="s">
        <v>67279</v>
      </c>
      <c r="F22786" t="s">
        <v>242</v>
      </c>
      <c r="G22786" t="s">
        <v>214</v>
      </c>
      <c r="H22786">
        <v>28208</v>
      </c>
      <c r="I22786" t="s">
        <v>30</v>
      </c>
      <c r="J22786" t="s">
        <v>31</v>
      </c>
      <c r="K22786" t="s">
        <v>1196</v>
      </c>
      <c r="N22786" t="s">
        <v>67280</v>
      </c>
      <c r="Q22786">
        <v>0</v>
      </c>
      <c r="R22786">
        <v>107</v>
      </c>
      <c r="S22786">
        <v>0</v>
      </c>
      <c r="T22786" t="s">
        <v>86804</v>
      </c>
    </row>
    <row r="22787" spans="1:20" customFormat="1" ht="15" x14ac:dyDescent="0.25">
      <c r="A22787" t="s">
        <v>24</v>
      </c>
      <c r="B22787" t="s">
        <v>9391</v>
      </c>
      <c r="C22787" t="str">
        <f>"A0154008"</f>
        <v>A0154008</v>
      </c>
      <c r="D22787" t="s">
        <v>86805</v>
      </c>
      <c r="E22787" t="s">
        <v>86806</v>
      </c>
      <c r="F22787" t="s">
        <v>1346</v>
      </c>
      <c r="G22787" t="s">
        <v>880</v>
      </c>
      <c r="H22787">
        <v>37421</v>
      </c>
      <c r="I22787" t="s">
        <v>30</v>
      </c>
      <c r="J22787" t="s">
        <v>31</v>
      </c>
      <c r="K22787" t="s">
        <v>1196</v>
      </c>
      <c r="N22787" t="s">
        <v>86807</v>
      </c>
      <c r="Q22787">
        <v>0</v>
      </c>
      <c r="R22787">
        <v>90</v>
      </c>
      <c r="S22787">
        <v>0</v>
      </c>
      <c r="T22787" t="s">
        <v>86808</v>
      </c>
    </row>
    <row r="22788" spans="1:20" customFormat="1" ht="15" x14ac:dyDescent="0.25">
      <c r="A22788" t="s">
        <v>24</v>
      </c>
      <c r="B22788" t="s">
        <v>4341</v>
      </c>
      <c r="C22788" t="str">
        <f>"A0153131"</f>
        <v>A0153131</v>
      </c>
      <c r="D22788" t="s">
        <v>86809</v>
      </c>
      <c r="E22788" t="s">
        <v>86810</v>
      </c>
      <c r="F22788" t="s">
        <v>6883</v>
      </c>
      <c r="G22788" t="s">
        <v>65</v>
      </c>
      <c r="H22788">
        <v>44103</v>
      </c>
      <c r="I22788" t="s">
        <v>30</v>
      </c>
      <c r="J22788" t="s">
        <v>31</v>
      </c>
      <c r="K22788" t="s">
        <v>1196</v>
      </c>
      <c r="N22788" t="s">
        <v>86811</v>
      </c>
      <c r="Q22788">
        <v>0</v>
      </c>
      <c r="R22788">
        <v>114</v>
      </c>
      <c r="S22788">
        <v>0</v>
      </c>
      <c r="T22788" t="s">
        <v>86812</v>
      </c>
    </row>
    <row r="22789" spans="1:20" customFormat="1" ht="15" x14ac:dyDescent="0.25">
      <c r="A22789" t="s">
        <v>24</v>
      </c>
      <c r="B22789" t="s">
        <v>8579</v>
      </c>
      <c r="C22789" t="str">
        <f>"A0154329"</f>
        <v>A0154329</v>
      </c>
      <c r="D22789" t="s">
        <v>86813</v>
      </c>
      <c r="E22789" t="s">
        <v>71405</v>
      </c>
      <c r="F22789" t="s">
        <v>972</v>
      </c>
      <c r="G22789" t="s">
        <v>190</v>
      </c>
      <c r="H22789">
        <v>80202</v>
      </c>
      <c r="I22789" t="s">
        <v>30</v>
      </c>
      <c r="J22789" t="s">
        <v>31</v>
      </c>
      <c r="K22789" t="s">
        <v>1196</v>
      </c>
      <c r="N22789" t="s">
        <v>60765</v>
      </c>
      <c r="O22789" t="s">
        <v>71406</v>
      </c>
      <c r="Q22789">
        <v>0</v>
      </c>
      <c r="R22789">
        <v>176</v>
      </c>
      <c r="S22789">
        <v>0</v>
      </c>
      <c r="T22789" t="s">
        <v>86814</v>
      </c>
    </row>
    <row r="22790" spans="1:20" customFormat="1" ht="15" x14ac:dyDescent="0.25">
      <c r="A22790" t="s">
        <v>24</v>
      </c>
      <c r="B22790" t="s">
        <v>2340</v>
      </c>
      <c r="C22790" t="str">
        <f>"A0100623"</f>
        <v>A0100623</v>
      </c>
      <c r="D22790" t="s">
        <v>86815</v>
      </c>
      <c r="E22790" t="s">
        <v>71911</v>
      </c>
      <c r="F22790" t="s">
        <v>972</v>
      </c>
      <c r="G22790" t="s">
        <v>190</v>
      </c>
      <c r="H22790">
        <v>80249</v>
      </c>
      <c r="I22790" t="s">
        <v>30</v>
      </c>
      <c r="J22790" t="s">
        <v>31</v>
      </c>
      <c r="K22790" t="s">
        <v>1196</v>
      </c>
      <c r="N22790" t="s">
        <v>71912</v>
      </c>
      <c r="Q22790">
        <v>0</v>
      </c>
      <c r="R22790">
        <v>96</v>
      </c>
      <c r="S22790">
        <v>0</v>
      </c>
      <c r="T22790" t="s">
        <v>86816</v>
      </c>
    </row>
    <row r="22791" spans="1:20" customFormat="1" ht="15" x14ac:dyDescent="0.25">
      <c r="A22791" t="s">
        <v>24</v>
      </c>
      <c r="B22791" t="s">
        <v>16448</v>
      </c>
      <c r="C22791" t="str">
        <f>"A0148416"</f>
        <v>A0148416</v>
      </c>
      <c r="D22791" t="s">
        <v>86817</v>
      </c>
      <c r="E22791" t="s">
        <v>86818</v>
      </c>
      <c r="F22791" t="s">
        <v>3540</v>
      </c>
      <c r="G22791" t="s">
        <v>214</v>
      </c>
      <c r="H22791">
        <v>28312</v>
      </c>
      <c r="I22791" t="s">
        <v>30</v>
      </c>
      <c r="J22791" t="s">
        <v>31</v>
      </c>
      <c r="K22791" t="s">
        <v>1196</v>
      </c>
      <c r="N22791" t="s">
        <v>86819</v>
      </c>
      <c r="O22791" t="s">
        <v>86820</v>
      </c>
      <c r="Q22791">
        <v>0</v>
      </c>
      <c r="R22791">
        <v>109</v>
      </c>
      <c r="S22791">
        <v>0</v>
      </c>
      <c r="T22791" t="s">
        <v>86821</v>
      </c>
    </row>
    <row r="22792" spans="1:20" customFormat="1" ht="15" x14ac:dyDescent="0.25">
      <c r="A22792" t="s">
        <v>24</v>
      </c>
      <c r="B22792" t="s">
        <v>1473</v>
      </c>
      <c r="C22792" t="str">
        <f>"A0151744"</f>
        <v>A0151744</v>
      </c>
      <c r="D22792" t="s">
        <v>86822</v>
      </c>
      <c r="E22792" t="s">
        <v>86823</v>
      </c>
      <c r="F22792" t="s">
        <v>33838</v>
      </c>
      <c r="G22792" t="s">
        <v>65</v>
      </c>
      <c r="H22792">
        <v>45424</v>
      </c>
      <c r="I22792" t="s">
        <v>30</v>
      </c>
      <c r="J22792" t="s">
        <v>31</v>
      </c>
      <c r="K22792" t="s">
        <v>1196</v>
      </c>
      <c r="N22792" t="s">
        <v>86824</v>
      </c>
      <c r="Q22792">
        <v>0</v>
      </c>
      <c r="R22792">
        <v>96</v>
      </c>
      <c r="S22792">
        <v>0</v>
      </c>
      <c r="T22792" t="s">
        <v>86825</v>
      </c>
    </row>
    <row r="22793" spans="1:20" customFormat="1" ht="15" x14ac:dyDescent="0.25">
      <c r="A22793" t="s">
        <v>24</v>
      </c>
      <c r="B22793" t="s">
        <v>2340</v>
      </c>
      <c r="C22793" t="str">
        <f>"A0147569"</f>
        <v>A0147569</v>
      </c>
      <c r="D22793" t="s">
        <v>86826</v>
      </c>
      <c r="E22793" t="s">
        <v>86827</v>
      </c>
      <c r="F22793" t="s">
        <v>2120</v>
      </c>
      <c r="G22793" t="s">
        <v>52</v>
      </c>
      <c r="H22793">
        <v>79424</v>
      </c>
      <c r="I22793" t="s">
        <v>30</v>
      </c>
      <c r="J22793" t="s">
        <v>31</v>
      </c>
      <c r="K22793" t="s">
        <v>1196</v>
      </c>
      <c r="N22793" t="s">
        <v>86828</v>
      </c>
      <c r="Q22793">
        <v>0</v>
      </c>
      <c r="R22793">
        <v>98</v>
      </c>
      <c r="S22793">
        <v>0</v>
      </c>
      <c r="T22793" t="s">
        <v>86829</v>
      </c>
    </row>
    <row r="22794" spans="1:20" customFormat="1" ht="15" x14ac:dyDescent="0.25">
      <c r="A22794" t="s">
        <v>24</v>
      </c>
      <c r="B22794" t="s">
        <v>4990</v>
      </c>
      <c r="C22794" t="str">
        <f>"A0165188"</f>
        <v>A0165188</v>
      </c>
      <c r="D22794" t="s">
        <v>86830</v>
      </c>
      <c r="E22794" t="s">
        <v>71523</v>
      </c>
      <c r="F22794" t="s">
        <v>5999</v>
      </c>
      <c r="G22794" t="s">
        <v>71</v>
      </c>
      <c r="H22794">
        <v>53202</v>
      </c>
      <c r="I22794" t="s">
        <v>30</v>
      </c>
      <c r="J22794" t="s">
        <v>31</v>
      </c>
      <c r="K22794" t="s">
        <v>1196</v>
      </c>
      <c r="N22794" t="s">
        <v>86831</v>
      </c>
      <c r="Q22794">
        <v>0</v>
      </c>
      <c r="R22794">
        <v>100</v>
      </c>
      <c r="S22794">
        <v>0</v>
      </c>
      <c r="T22794" t="s">
        <v>192</v>
      </c>
    </row>
    <row r="22795" spans="1:20" customFormat="1" ht="15" x14ac:dyDescent="0.25">
      <c r="A22795" t="s">
        <v>24</v>
      </c>
      <c r="B22795" t="s">
        <v>4990</v>
      </c>
      <c r="C22795" t="str">
        <f>"A0147878"</f>
        <v>A0147878</v>
      </c>
      <c r="D22795" t="s">
        <v>86832</v>
      </c>
      <c r="E22795" t="s">
        <v>71525</v>
      </c>
      <c r="F22795" t="s">
        <v>6404</v>
      </c>
      <c r="G22795" t="s">
        <v>161</v>
      </c>
      <c r="H22795">
        <v>55401</v>
      </c>
      <c r="I22795" t="s">
        <v>30</v>
      </c>
      <c r="J22795" t="s">
        <v>31</v>
      </c>
      <c r="K22795" t="s">
        <v>1196</v>
      </c>
      <c r="N22795" t="s">
        <v>71526</v>
      </c>
      <c r="Q22795">
        <v>0</v>
      </c>
      <c r="R22795">
        <v>98</v>
      </c>
      <c r="S22795">
        <v>0</v>
      </c>
      <c r="T22795" t="s">
        <v>192</v>
      </c>
    </row>
    <row r="22796" spans="1:20" customFormat="1" ht="15" x14ac:dyDescent="0.25">
      <c r="A22796" t="s">
        <v>24</v>
      </c>
      <c r="B22796" t="s">
        <v>16448</v>
      </c>
      <c r="C22796" t="str">
        <f>"A0153149"</f>
        <v>A0153149</v>
      </c>
      <c r="D22796" t="s">
        <v>86833</v>
      </c>
      <c r="E22796" t="s">
        <v>86834</v>
      </c>
      <c r="F22796" t="s">
        <v>34402</v>
      </c>
      <c r="G22796" t="s">
        <v>58</v>
      </c>
      <c r="H22796">
        <v>29464</v>
      </c>
      <c r="I22796" t="s">
        <v>30</v>
      </c>
      <c r="J22796" t="s">
        <v>31</v>
      </c>
      <c r="K22796" t="s">
        <v>1196</v>
      </c>
      <c r="N22796" t="s">
        <v>86835</v>
      </c>
      <c r="Q22796">
        <v>0</v>
      </c>
      <c r="R22796">
        <v>124</v>
      </c>
      <c r="S22796">
        <v>0</v>
      </c>
      <c r="T22796" t="s">
        <v>86836</v>
      </c>
    </row>
    <row r="22797" spans="1:20" customFormat="1" ht="15" x14ac:dyDescent="0.25">
      <c r="A22797" t="s">
        <v>24</v>
      </c>
      <c r="B22797" t="s">
        <v>16448</v>
      </c>
      <c r="C22797" t="str">
        <f>"A0153929"</f>
        <v>A0153929</v>
      </c>
      <c r="D22797" t="s">
        <v>86837</v>
      </c>
      <c r="E22797" t="s">
        <v>86838</v>
      </c>
      <c r="F22797" t="s">
        <v>13824</v>
      </c>
      <c r="G22797" t="s">
        <v>58</v>
      </c>
      <c r="H22797">
        <v>29406</v>
      </c>
      <c r="I22797" t="s">
        <v>30</v>
      </c>
      <c r="J22797" t="s">
        <v>31</v>
      </c>
      <c r="K22797" t="s">
        <v>1196</v>
      </c>
      <c r="N22797" t="s">
        <v>86839</v>
      </c>
      <c r="Q22797">
        <v>0</v>
      </c>
      <c r="R22797">
        <v>117</v>
      </c>
      <c r="S22797">
        <v>0</v>
      </c>
      <c r="T22797" t="s">
        <v>86840</v>
      </c>
    </row>
    <row r="22798" spans="1:20" customFormat="1" ht="15" x14ac:dyDescent="0.25">
      <c r="A22798" t="s">
        <v>24</v>
      </c>
      <c r="B22798" t="s">
        <v>16448</v>
      </c>
      <c r="C22798" t="str">
        <f>"A0149469"</f>
        <v>A0149469</v>
      </c>
      <c r="D22798" t="s">
        <v>86841</v>
      </c>
      <c r="E22798" t="s">
        <v>86842</v>
      </c>
      <c r="F22798" t="s">
        <v>59396</v>
      </c>
      <c r="G22798" t="s">
        <v>58</v>
      </c>
      <c r="H22798">
        <v>29118</v>
      </c>
      <c r="I22798" t="s">
        <v>30</v>
      </c>
      <c r="J22798" t="s">
        <v>31</v>
      </c>
      <c r="K22798" t="s">
        <v>1196</v>
      </c>
      <c r="N22798" t="s">
        <v>86843</v>
      </c>
      <c r="O22798" t="s">
        <v>86844</v>
      </c>
      <c r="Q22798">
        <v>0</v>
      </c>
      <c r="R22798">
        <v>90</v>
      </c>
      <c r="S22798">
        <v>0</v>
      </c>
      <c r="T22798" t="s">
        <v>86845</v>
      </c>
    </row>
    <row r="22799" spans="1:20" customFormat="1" ht="15" x14ac:dyDescent="0.25">
      <c r="A22799" t="s">
        <v>24</v>
      </c>
      <c r="B22799" t="s">
        <v>2340</v>
      </c>
      <c r="C22799" t="str">
        <f>"A0145810"</f>
        <v>A0145810</v>
      </c>
      <c r="D22799" t="s">
        <v>86846</v>
      </c>
      <c r="E22799" t="s">
        <v>86847</v>
      </c>
      <c r="F22799" t="s">
        <v>356</v>
      </c>
      <c r="G22799" t="s">
        <v>52</v>
      </c>
      <c r="H22799">
        <v>78205</v>
      </c>
      <c r="I22799" t="s">
        <v>30</v>
      </c>
      <c r="J22799" t="s">
        <v>31</v>
      </c>
      <c r="K22799" t="s">
        <v>1196</v>
      </c>
      <c r="N22799" t="s">
        <v>86848</v>
      </c>
      <c r="Q22799">
        <v>0</v>
      </c>
      <c r="R22799">
        <v>95</v>
      </c>
      <c r="S22799">
        <v>0</v>
      </c>
      <c r="T22799" t="s">
        <v>86849</v>
      </c>
    </row>
    <row r="22800" spans="1:20" customFormat="1" ht="15" x14ac:dyDescent="0.25">
      <c r="A22800" t="s">
        <v>24</v>
      </c>
      <c r="B22800" t="s">
        <v>2340</v>
      </c>
      <c r="C22800" t="str">
        <f>"A0153414"</f>
        <v>A0153414</v>
      </c>
      <c r="D22800" t="s">
        <v>86850</v>
      </c>
      <c r="E22800" t="s">
        <v>71584</v>
      </c>
      <c r="F22800" t="s">
        <v>356</v>
      </c>
      <c r="G22800" t="s">
        <v>52</v>
      </c>
      <c r="H22800">
        <v>78245</v>
      </c>
      <c r="I22800" t="s">
        <v>30</v>
      </c>
      <c r="J22800" t="s">
        <v>31</v>
      </c>
      <c r="K22800" t="s">
        <v>1196</v>
      </c>
      <c r="Q22800">
        <v>0</v>
      </c>
      <c r="R22800">
        <v>95</v>
      </c>
      <c r="S22800">
        <v>0</v>
      </c>
      <c r="T22800" t="s">
        <v>86851</v>
      </c>
    </row>
    <row r="22801" spans="1:25" x14ac:dyDescent="0.25">
      <c r="A22801" s="5" t="s">
        <v>24</v>
      </c>
      <c r="B22801" s="5" t="s">
        <v>2955</v>
      </c>
      <c r="C22801" s="5" t="str">
        <f>"56941"</f>
        <v>56941</v>
      </c>
      <c r="D22801" s="5" t="s">
        <v>80013</v>
      </c>
      <c r="E22801" s="5" t="s">
        <v>80014</v>
      </c>
      <c r="F22801" s="5" t="s">
        <v>3955</v>
      </c>
      <c r="G22801" s="5" t="s">
        <v>81</v>
      </c>
      <c r="H22801" s="5">
        <v>33637</v>
      </c>
      <c r="I22801" s="5" t="s">
        <v>30</v>
      </c>
      <c r="J22801" s="5" t="s">
        <v>171</v>
      </c>
      <c r="K22801" s="5" t="s">
        <v>1450</v>
      </c>
      <c r="L22801" s="5"/>
      <c r="M22801" s="5"/>
      <c r="N22801" s="5" t="s">
        <v>80015</v>
      </c>
      <c r="O22801" s="5" t="s">
        <v>80016</v>
      </c>
      <c r="P22801" s="5"/>
      <c r="Q22801" s="5">
        <v>0</v>
      </c>
      <c r="R22801" s="5">
        <v>78</v>
      </c>
      <c r="S22801" s="5">
        <v>0</v>
      </c>
      <c r="T22801" s="5" t="s">
        <v>80017</v>
      </c>
      <c r="U22801" s="5"/>
      <c r="V22801" s="5"/>
      <c r="W22801" s="5"/>
      <c r="X22801" s="5"/>
      <c r="Y22801" s="5"/>
    </row>
    <row r="22802" spans="1:25" x14ac:dyDescent="0.25">
      <c r="A22802" s="5" t="s">
        <v>24</v>
      </c>
      <c r="B22802" s="5" t="s">
        <v>342</v>
      </c>
      <c r="C22802" s="5" t="str">
        <f>"56697"</f>
        <v>56697</v>
      </c>
      <c r="D22802" s="5" t="s">
        <v>80018</v>
      </c>
      <c r="E22802" s="5" t="s">
        <v>80019</v>
      </c>
      <c r="F22802" s="5" t="s">
        <v>3955</v>
      </c>
      <c r="G22802" s="5" t="s">
        <v>81</v>
      </c>
      <c r="H22802" s="5">
        <v>33607</v>
      </c>
      <c r="I22802" s="5" t="s">
        <v>30</v>
      </c>
      <c r="J22802" s="5" t="s">
        <v>171</v>
      </c>
      <c r="K22802" s="5" t="s">
        <v>1450</v>
      </c>
      <c r="L22802" s="5"/>
      <c r="M22802" s="5"/>
      <c r="N22802" s="5" t="s">
        <v>80020</v>
      </c>
      <c r="O22802" s="5" t="s">
        <v>80021</v>
      </c>
      <c r="P22802" s="5"/>
      <c r="Q22802" s="5">
        <v>0</v>
      </c>
      <c r="R22802" s="5">
        <v>160</v>
      </c>
      <c r="S22802" s="5">
        <v>0</v>
      </c>
      <c r="T22802" s="5" t="s">
        <v>80022</v>
      </c>
      <c r="U22802" s="5"/>
      <c r="V22802" s="5"/>
      <c r="W22802" s="5"/>
      <c r="X22802" s="5"/>
      <c r="Y22802" s="5"/>
    </row>
    <row r="22803" spans="1:25" customFormat="1" ht="15" x14ac:dyDescent="0.25">
      <c r="A22803" t="s">
        <v>24</v>
      </c>
      <c r="B22803" t="s">
        <v>13267</v>
      </c>
      <c r="C22803" t="str">
        <f>"A0094611"</f>
        <v>A0094611</v>
      </c>
      <c r="D22803" t="s">
        <v>80023</v>
      </c>
      <c r="E22803" t="s">
        <v>80024</v>
      </c>
      <c r="F22803" t="s">
        <v>62018</v>
      </c>
      <c r="G22803" t="s">
        <v>110</v>
      </c>
      <c r="H22803">
        <v>92562</v>
      </c>
      <c r="I22803" t="s">
        <v>30</v>
      </c>
      <c r="J22803" t="s">
        <v>171</v>
      </c>
      <c r="K22803" t="s">
        <v>1450</v>
      </c>
      <c r="N22803" t="s">
        <v>80025</v>
      </c>
      <c r="Q22803">
        <v>0</v>
      </c>
      <c r="R22803">
        <v>101</v>
      </c>
      <c r="S22803">
        <v>0</v>
      </c>
      <c r="T22803" t="s">
        <v>80026</v>
      </c>
    </row>
    <row r="22804" spans="1:25" x14ac:dyDescent="0.25">
      <c r="A22804" s="5" t="s">
        <v>24</v>
      </c>
      <c r="B22804" s="5" t="s">
        <v>675</v>
      </c>
      <c r="C22804" s="5" t="str">
        <f>"A0088575"</f>
        <v>A0088575</v>
      </c>
      <c r="D22804" s="5" t="s">
        <v>80027</v>
      </c>
      <c r="E22804" s="5" t="s">
        <v>80028</v>
      </c>
      <c r="F22804" s="5" t="s">
        <v>1592</v>
      </c>
      <c r="G22804" s="5" t="s">
        <v>197</v>
      </c>
      <c r="H22804" s="5">
        <v>85281</v>
      </c>
      <c r="I22804" s="5" t="s">
        <v>30</v>
      </c>
      <c r="J22804" s="5" t="s">
        <v>171</v>
      </c>
      <c r="K22804" s="5" t="s">
        <v>1450</v>
      </c>
      <c r="L22804" s="5"/>
      <c r="M22804" s="5"/>
      <c r="N22804" s="5" t="s">
        <v>80029</v>
      </c>
      <c r="O22804" s="5" t="s">
        <v>80030</v>
      </c>
      <c r="P22804" s="5"/>
      <c r="Q22804" s="5">
        <v>0</v>
      </c>
      <c r="R22804" s="5">
        <v>173</v>
      </c>
      <c r="S22804" s="5">
        <v>0</v>
      </c>
      <c r="T22804" s="5" t="s">
        <v>80031</v>
      </c>
      <c r="U22804" s="5"/>
      <c r="V22804" s="5"/>
      <c r="W22804" s="5"/>
      <c r="X22804" s="5"/>
      <c r="Y22804" s="5"/>
    </row>
    <row r="22805" spans="1:25" x14ac:dyDescent="0.25">
      <c r="A22805" s="5" t="s">
        <v>24</v>
      </c>
      <c r="B22805" s="5" t="s">
        <v>1561</v>
      </c>
      <c r="C22805" s="5" t="str">
        <f>"A0084459"</f>
        <v>A0084459</v>
      </c>
      <c r="D22805" s="5" t="s">
        <v>80032</v>
      </c>
      <c r="E22805" s="5" t="s">
        <v>80033</v>
      </c>
      <c r="F22805" s="5" t="s">
        <v>80034</v>
      </c>
      <c r="G22805" s="5" t="s">
        <v>52</v>
      </c>
      <c r="H22805" s="5">
        <v>76052</v>
      </c>
      <c r="I22805" s="5" t="s">
        <v>30</v>
      </c>
      <c r="J22805" s="5" t="s">
        <v>171</v>
      </c>
      <c r="K22805" s="5" t="s">
        <v>1450</v>
      </c>
      <c r="L22805" s="5"/>
      <c r="M22805" s="5"/>
      <c r="N22805" s="5" t="s">
        <v>80035</v>
      </c>
      <c r="O22805" s="5"/>
      <c r="P22805" s="5"/>
      <c r="Q22805" s="5">
        <v>0</v>
      </c>
      <c r="R22805" s="5">
        <v>103</v>
      </c>
      <c r="S22805" s="5">
        <v>0</v>
      </c>
      <c r="T22805" s="5" t="s">
        <v>80036</v>
      </c>
      <c r="U22805" s="5"/>
      <c r="V22805" s="5"/>
      <c r="W22805" s="5"/>
      <c r="X22805" s="5"/>
      <c r="Y22805" s="5"/>
    </row>
    <row r="22806" spans="1:25" customFormat="1" ht="15" x14ac:dyDescent="0.25">
      <c r="A22806" t="s">
        <v>24</v>
      </c>
      <c r="B22806" t="s">
        <v>14164</v>
      </c>
      <c r="C22806" t="str">
        <f>"A0068149"</f>
        <v>A0068149</v>
      </c>
      <c r="D22806" t="s">
        <v>86875</v>
      </c>
      <c r="E22806" t="s">
        <v>86876</v>
      </c>
      <c r="F22806" t="s">
        <v>86877</v>
      </c>
      <c r="G22806" t="s">
        <v>338</v>
      </c>
      <c r="H22806">
        <v>7921</v>
      </c>
      <c r="I22806" t="s">
        <v>30</v>
      </c>
      <c r="J22806" t="s">
        <v>178</v>
      </c>
      <c r="K22806" t="s">
        <v>179</v>
      </c>
      <c r="N22806" t="s">
        <v>86878</v>
      </c>
      <c r="O22806" t="s">
        <v>86879</v>
      </c>
      <c r="P22806" t="s">
        <v>992</v>
      </c>
      <c r="Q22806">
        <v>1</v>
      </c>
      <c r="R22806">
        <v>0</v>
      </c>
      <c r="S22806">
        <v>0</v>
      </c>
      <c r="T22806" t="s">
        <v>86880</v>
      </c>
    </row>
    <row r="22807" spans="1:25" customFormat="1" ht="15" x14ac:dyDescent="0.25">
      <c r="A22807" t="s">
        <v>24</v>
      </c>
      <c r="B22807" t="s">
        <v>14164</v>
      </c>
      <c r="C22807" t="str">
        <f>"A0068148"</f>
        <v>A0068148</v>
      </c>
      <c r="D22807" t="s">
        <v>86881</v>
      </c>
      <c r="E22807" t="s">
        <v>86882</v>
      </c>
      <c r="F22807" t="s">
        <v>86883</v>
      </c>
      <c r="G22807" t="s">
        <v>99</v>
      </c>
      <c r="H22807">
        <v>10510</v>
      </c>
      <c r="I22807" t="s">
        <v>30</v>
      </c>
      <c r="J22807" t="s">
        <v>178</v>
      </c>
      <c r="K22807" t="s">
        <v>179</v>
      </c>
      <c r="N22807" t="s">
        <v>86884</v>
      </c>
      <c r="O22807" t="s">
        <v>86885</v>
      </c>
      <c r="P22807" t="s">
        <v>992</v>
      </c>
      <c r="Q22807">
        <v>1</v>
      </c>
      <c r="R22807">
        <v>0</v>
      </c>
      <c r="S22807">
        <v>0</v>
      </c>
      <c r="T22807" t="s">
        <v>86886</v>
      </c>
    </row>
    <row r="22808" spans="1:25" customFormat="1" ht="15" x14ac:dyDescent="0.25">
      <c r="A22808" t="s">
        <v>24</v>
      </c>
      <c r="B22808" t="s">
        <v>14164</v>
      </c>
      <c r="C22808" t="str">
        <f>"A0087745"</f>
        <v>A0087745</v>
      </c>
      <c r="D22808" t="s">
        <v>86887</v>
      </c>
      <c r="E22808" t="s">
        <v>86888</v>
      </c>
      <c r="F22808" t="s">
        <v>86889</v>
      </c>
      <c r="G22808" t="s">
        <v>338</v>
      </c>
      <c r="H22808">
        <v>7722</v>
      </c>
      <c r="I22808" t="s">
        <v>30</v>
      </c>
      <c r="J22808" t="s">
        <v>178</v>
      </c>
      <c r="K22808" t="s">
        <v>179</v>
      </c>
      <c r="N22808" t="s">
        <v>86890</v>
      </c>
      <c r="O22808" t="s">
        <v>86891</v>
      </c>
      <c r="Q22808">
        <v>1</v>
      </c>
      <c r="R22808">
        <v>0</v>
      </c>
      <c r="S22808">
        <v>0</v>
      </c>
      <c r="T22808" t="s">
        <v>86892</v>
      </c>
    </row>
    <row r="22809" spans="1:25" customFormat="1" ht="15" x14ac:dyDescent="0.25">
      <c r="A22809" t="s">
        <v>24</v>
      </c>
      <c r="B22809" t="s">
        <v>14164</v>
      </c>
      <c r="C22809" t="str">
        <f>"A0089860"</f>
        <v>A0089860</v>
      </c>
      <c r="D22809" t="s">
        <v>86893</v>
      </c>
      <c r="E22809" t="s">
        <v>86894</v>
      </c>
      <c r="F22809" t="s">
        <v>60784</v>
      </c>
      <c r="G22809" t="s">
        <v>81</v>
      </c>
      <c r="H22809">
        <v>33477</v>
      </c>
      <c r="I22809" t="s">
        <v>30</v>
      </c>
      <c r="J22809" t="s">
        <v>178</v>
      </c>
      <c r="K22809" t="s">
        <v>179</v>
      </c>
      <c r="N22809" t="s">
        <v>86895</v>
      </c>
      <c r="O22809" t="s">
        <v>86896</v>
      </c>
      <c r="Q22809">
        <v>1</v>
      </c>
      <c r="R22809">
        <v>0</v>
      </c>
      <c r="S22809">
        <v>0</v>
      </c>
      <c r="T22809" t="s">
        <v>86897</v>
      </c>
    </row>
    <row r="22810" spans="1:25" customFormat="1" ht="15" x14ac:dyDescent="0.25">
      <c r="A22810" t="s">
        <v>24</v>
      </c>
      <c r="B22810" t="s">
        <v>14164</v>
      </c>
      <c r="C22810" t="str">
        <f>"A0065907"</f>
        <v>A0065907</v>
      </c>
      <c r="D22810" t="s">
        <v>86898</v>
      </c>
      <c r="E22810" t="s">
        <v>86899</v>
      </c>
      <c r="F22810" t="s">
        <v>86900</v>
      </c>
      <c r="G22810" t="s">
        <v>338</v>
      </c>
      <c r="H22810">
        <v>8021</v>
      </c>
      <c r="I22810" t="s">
        <v>30</v>
      </c>
      <c r="J22810" t="s">
        <v>178</v>
      </c>
      <c r="K22810" t="s">
        <v>179</v>
      </c>
      <c r="N22810" t="s">
        <v>86901</v>
      </c>
      <c r="P22810" t="s">
        <v>6426</v>
      </c>
      <c r="Q22810">
        <v>1</v>
      </c>
      <c r="R22810">
        <v>0</v>
      </c>
      <c r="S22810">
        <v>0</v>
      </c>
      <c r="T22810" t="s">
        <v>86902</v>
      </c>
    </row>
    <row r="22811" spans="1:25" customFormat="1" ht="15" x14ac:dyDescent="0.25">
      <c r="A22811" t="s">
        <v>24</v>
      </c>
      <c r="B22811" t="s">
        <v>14164</v>
      </c>
      <c r="C22811" t="str">
        <f>"A0097872"</f>
        <v>A0097872</v>
      </c>
      <c r="D22811" t="s">
        <v>86903</v>
      </c>
      <c r="E22811" t="s">
        <v>86904</v>
      </c>
      <c r="F22811" t="s">
        <v>65960</v>
      </c>
      <c r="G22811" t="s">
        <v>214</v>
      </c>
      <c r="H22811">
        <v>28117</v>
      </c>
      <c r="I22811" t="s">
        <v>30</v>
      </c>
      <c r="J22811" t="s">
        <v>178</v>
      </c>
      <c r="K22811" t="s">
        <v>179</v>
      </c>
      <c r="N22811" t="s">
        <v>86905</v>
      </c>
      <c r="O22811" t="s">
        <v>86906</v>
      </c>
      <c r="Q22811">
        <v>1</v>
      </c>
      <c r="R22811">
        <v>0</v>
      </c>
      <c r="S22811">
        <v>0</v>
      </c>
      <c r="T22811" t="s">
        <v>86907</v>
      </c>
    </row>
    <row r="22812" spans="1:25" customFormat="1" ht="15" x14ac:dyDescent="0.25">
      <c r="A22812" t="s">
        <v>24</v>
      </c>
      <c r="B22812" t="s">
        <v>14164</v>
      </c>
      <c r="C22812" t="str">
        <f>"A0165001"</f>
        <v>A0165001</v>
      </c>
      <c r="D22812" t="s">
        <v>86908</v>
      </c>
      <c r="E22812" t="s">
        <v>86909</v>
      </c>
      <c r="F22812" t="s">
        <v>3401</v>
      </c>
      <c r="G22812" t="s">
        <v>29</v>
      </c>
      <c r="H22812">
        <v>22902</v>
      </c>
      <c r="I22812" t="s">
        <v>30</v>
      </c>
      <c r="J22812" t="s">
        <v>1004</v>
      </c>
      <c r="K22812" t="s">
        <v>163</v>
      </c>
      <c r="N22812" t="s">
        <v>86910</v>
      </c>
      <c r="Q22812">
        <v>0</v>
      </c>
      <c r="R22812">
        <v>0</v>
      </c>
      <c r="S22812">
        <v>0</v>
      </c>
      <c r="T22812" t="s">
        <v>86911</v>
      </c>
    </row>
    <row r="22813" spans="1:25" customFormat="1" ht="15" x14ac:dyDescent="0.25">
      <c r="A22813" t="s">
        <v>24</v>
      </c>
      <c r="B22813" t="s">
        <v>34743</v>
      </c>
      <c r="C22813" t="str">
        <f>"A0151367"</f>
        <v>A0151367</v>
      </c>
      <c r="D22813" t="s">
        <v>86912</v>
      </c>
      <c r="E22813" t="s">
        <v>86913</v>
      </c>
      <c r="F22813" t="s">
        <v>2839</v>
      </c>
      <c r="G22813" t="s">
        <v>846</v>
      </c>
      <c r="H22813">
        <v>31401</v>
      </c>
      <c r="I22813" t="s">
        <v>30</v>
      </c>
      <c r="J22813" t="s">
        <v>31</v>
      </c>
      <c r="K22813" t="s">
        <v>1571</v>
      </c>
      <c r="N22813" t="s">
        <v>86914</v>
      </c>
      <c r="Q22813">
        <v>0</v>
      </c>
      <c r="R22813">
        <v>101</v>
      </c>
      <c r="S22813">
        <v>0</v>
      </c>
      <c r="T22813" t="s">
        <v>86915</v>
      </c>
    </row>
    <row r="22814" spans="1:25" customFormat="1" ht="15" x14ac:dyDescent="0.25">
      <c r="A22814" t="s">
        <v>24</v>
      </c>
      <c r="B22814" t="s">
        <v>86916</v>
      </c>
      <c r="C22814" t="str">
        <f>"A0084761"</f>
        <v>A0084761</v>
      </c>
      <c r="D22814" t="s">
        <v>86917</v>
      </c>
      <c r="E22814" t="s">
        <v>86918</v>
      </c>
      <c r="F22814" t="s">
        <v>6873</v>
      </c>
      <c r="G22814" t="s">
        <v>899</v>
      </c>
      <c r="H22814">
        <v>2155</v>
      </c>
      <c r="I22814" t="s">
        <v>30</v>
      </c>
      <c r="J22814" t="s">
        <v>3175</v>
      </c>
      <c r="K22814" t="s">
        <v>3175</v>
      </c>
      <c r="N22814" t="s">
        <v>86919</v>
      </c>
      <c r="O22814" t="s">
        <v>86920</v>
      </c>
      <c r="Q22814">
        <v>0</v>
      </c>
      <c r="R22814">
        <v>0</v>
      </c>
      <c r="S22814">
        <v>0</v>
      </c>
      <c r="T22814" t="s">
        <v>86921</v>
      </c>
    </row>
    <row r="22815" spans="1:25" customFormat="1" ht="15" x14ac:dyDescent="0.25">
      <c r="A22815" t="s">
        <v>24</v>
      </c>
      <c r="B22815" t="s">
        <v>86916</v>
      </c>
      <c r="C22815" t="str">
        <f>"A0100110"</f>
        <v>A0100110</v>
      </c>
      <c r="D22815" t="s">
        <v>86922</v>
      </c>
      <c r="E22815" t="s">
        <v>86923</v>
      </c>
      <c r="F22815" t="s">
        <v>1208</v>
      </c>
      <c r="G22815" t="s">
        <v>899</v>
      </c>
      <c r="H22815">
        <v>2115</v>
      </c>
      <c r="I22815" t="s">
        <v>30</v>
      </c>
      <c r="J22815" t="s">
        <v>3175</v>
      </c>
      <c r="K22815" t="s">
        <v>3175</v>
      </c>
      <c r="N22815" t="s">
        <v>86924</v>
      </c>
      <c r="Q22815">
        <v>0</v>
      </c>
      <c r="R22815">
        <v>0</v>
      </c>
      <c r="S22815">
        <v>0</v>
      </c>
      <c r="T22815" t="s">
        <v>192</v>
      </c>
    </row>
    <row r="22816" spans="1:25" customFormat="1" ht="15" x14ac:dyDescent="0.25">
      <c r="A22816" t="s">
        <v>24</v>
      </c>
      <c r="B22816" t="s">
        <v>56103</v>
      </c>
      <c r="C22816" t="str">
        <f>"CL1535"</f>
        <v>CL1535</v>
      </c>
      <c r="D22816" t="s">
        <v>86925</v>
      </c>
      <c r="E22816" t="s">
        <v>86926</v>
      </c>
      <c r="F22816" t="s">
        <v>13473</v>
      </c>
      <c r="G22816" t="s">
        <v>110</v>
      </c>
      <c r="H22816">
        <v>95648</v>
      </c>
      <c r="I22816" t="s">
        <v>30</v>
      </c>
      <c r="J22816" t="s">
        <v>178</v>
      </c>
      <c r="K22816" t="s">
        <v>163</v>
      </c>
      <c r="N22816" t="s">
        <v>86927</v>
      </c>
      <c r="P22816" t="s">
        <v>992</v>
      </c>
      <c r="Q22816">
        <v>1</v>
      </c>
      <c r="R22816">
        <v>0</v>
      </c>
      <c r="S22816">
        <v>0</v>
      </c>
      <c r="T22816" t="s">
        <v>86928</v>
      </c>
    </row>
    <row r="22817" spans="1:25" customFormat="1" ht="15" x14ac:dyDescent="0.25">
      <c r="A22817" t="s">
        <v>24</v>
      </c>
      <c r="B22817" t="s">
        <v>1836</v>
      </c>
      <c r="C22817" t="str">
        <f>"A0092184"</f>
        <v>A0092184</v>
      </c>
      <c r="D22817" t="s">
        <v>80037</v>
      </c>
      <c r="E22817" t="s">
        <v>80038</v>
      </c>
      <c r="F22817" t="s">
        <v>57641</v>
      </c>
      <c r="G22817" t="s">
        <v>52</v>
      </c>
      <c r="H22817">
        <v>75503</v>
      </c>
      <c r="I22817" t="s">
        <v>30</v>
      </c>
      <c r="J22817" t="s">
        <v>171</v>
      </c>
      <c r="K22817" t="s">
        <v>1450</v>
      </c>
      <c r="N22817" t="s">
        <v>80039</v>
      </c>
      <c r="Q22817">
        <v>0</v>
      </c>
      <c r="R22817">
        <v>122</v>
      </c>
      <c r="S22817">
        <v>0</v>
      </c>
      <c r="T22817" t="s">
        <v>80040</v>
      </c>
    </row>
    <row r="22818" spans="1:25" hidden="1" x14ac:dyDescent="0.25">
      <c r="A22818" s="3" t="s">
        <v>24</v>
      </c>
      <c r="B22818" s="3" t="s">
        <v>675</v>
      </c>
      <c r="C22818" s="3" t="str">
        <f>"A0157476"</f>
        <v>A0157476</v>
      </c>
      <c r="D22818" s="3" t="s">
        <v>86932</v>
      </c>
      <c r="E22818" s="3" t="s">
        <v>86933</v>
      </c>
      <c r="F22818" s="3" t="s">
        <v>86934</v>
      </c>
      <c r="G22818" s="3" t="s">
        <v>58485</v>
      </c>
      <c r="I22818" s="3" t="s">
        <v>58486</v>
      </c>
      <c r="J22818" s="3" t="s">
        <v>206</v>
      </c>
      <c r="K22818" s="3" t="s">
        <v>6459</v>
      </c>
      <c r="N22818" s="3" t="s">
        <v>86935</v>
      </c>
      <c r="Q22818" s="3">
        <v>0</v>
      </c>
      <c r="R22818" s="3">
        <v>161</v>
      </c>
      <c r="S22818" s="3">
        <v>0</v>
      </c>
      <c r="T22818" s="3" t="s">
        <v>86936</v>
      </c>
    </row>
    <row r="22819" spans="1:25" customFormat="1" ht="15" x14ac:dyDescent="0.25">
      <c r="A22819" t="s">
        <v>24</v>
      </c>
      <c r="B22819" t="s">
        <v>1583</v>
      </c>
      <c r="C22819" t="str">
        <f>"A0094024"</f>
        <v>A0094024</v>
      </c>
      <c r="D22819" t="s">
        <v>86937</v>
      </c>
      <c r="E22819" t="s">
        <v>86938</v>
      </c>
      <c r="F22819" t="s">
        <v>86939</v>
      </c>
      <c r="G22819" t="s">
        <v>81</v>
      </c>
      <c r="H22819">
        <v>33896</v>
      </c>
      <c r="I22819" t="s">
        <v>30</v>
      </c>
      <c r="J22819" t="s">
        <v>31</v>
      </c>
      <c r="K22819" t="s">
        <v>163</v>
      </c>
      <c r="N22819" t="s">
        <v>86940</v>
      </c>
      <c r="Q22819">
        <v>0</v>
      </c>
      <c r="R22819">
        <v>215</v>
      </c>
      <c r="S22819">
        <v>0</v>
      </c>
      <c r="T22819" t="s">
        <v>86941</v>
      </c>
    </row>
    <row r="22820" spans="1:25" x14ac:dyDescent="0.25">
      <c r="A22820" s="5" t="s">
        <v>24</v>
      </c>
      <c r="B22820" s="5" t="s">
        <v>1098</v>
      </c>
      <c r="C22820" s="5" t="str">
        <f>"A0151291"</f>
        <v>A0151291</v>
      </c>
      <c r="D22820" s="5" t="s">
        <v>80041</v>
      </c>
      <c r="E22820" s="5" t="s">
        <v>80042</v>
      </c>
      <c r="F22820" s="5" t="s">
        <v>54994</v>
      </c>
      <c r="G22820" s="5" t="s">
        <v>81</v>
      </c>
      <c r="H22820" s="5">
        <v>33715</v>
      </c>
      <c r="I22820" s="5" t="s">
        <v>30</v>
      </c>
      <c r="J22820" s="5" t="s">
        <v>171</v>
      </c>
      <c r="K22820" s="5" t="s">
        <v>1450</v>
      </c>
      <c r="L22820" s="5"/>
      <c r="M22820" s="5"/>
      <c r="N22820" s="5" t="s">
        <v>80043</v>
      </c>
      <c r="O22820" s="5" t="s">
        <v>80044</v>
      </c>
      <c r="P22820" s="5"/>
      <c r="Q22820" s="5">
        <v>0</v>
      </c>
      <c r="R22820" s="5">
        <v>95</v>
      </c>
      <c r="S22820" s="5">
        <v>0</v>
      </c>
      <c r="T22820" s="5" t="s">
        <v>80045</v>
      </c>
      <c r="U22820" s="5"/>
      <c r="V22820" s="5"/>
      <c r="W22820" s="5"/>
      <c r="X22820" s="5"/>
      <c r="Y22820" s="5"/>
    </row>
    <row r="22821" spans="1:25" x14ac:dyDescent="0.25">
      <c r="A22821" s="5" t="s">
        <v>24</v>
      </c>
      <c r="B22821" s="5" t="s">
        <v>675</v>
      </c>
      <c r="C22821" s="5" t="str">
        <f>"56903"</f>
        <v>56903</v>
      </c>
      <c r="D22821" s="5" t="s">
        <v>80055</v>
      </c>
      <c r="E22821" s="5" t="s">
        <v>80056</v>
      </c>
      <c r="F22821" s="5" t="s">
        <v>5946</v>
      </c>
      <c r="G22821" s="5" t="s">
        <v>110</v>
      </c>
      <c r="H22821" s="5">
        <v>90503</v>
      </c>
      <c r="I22821" s="5" t="s">
        <v>30</v>
      </c>
      <c r="J22821" s="5" t="s">
        <v>171</v>
      </c>
      <c r="K22821" s="5" t="s">
        <v>1450</v>
      </c>
      <c r="L22821" s="5"/>
      <c r="M22821" s="5"/>
      <c r="N22821" s="5" t="s">
        <v>80057</v>
      </c>
      <c r="O22821" s="5" t="s">
        <v>3486</v>
      </c>
      <c r="P22821" s="5"/>
      <c r="Q22821" s="5">
        <v>0</v>
      </c>
      <c r="R22821" s="5">
        <v>247</v>
      </c>
      <c r="S22821" s="5">
        <v>0</v>
      </c>
      <c r="T22821" s="5" t="s">
        <v>80058</v>
      </c>
      <c r="U22821" s="5"/>
      <c r="V22821" s="5"/>
      <c r="W22821" s="5"/>
      <c r="X22821" s="5"/>
      <c r="Y22821" s="5"/>
    </row>
    <row r="22822" spans="1:25" customFormat="1" ht="15" x14ac:dyDescent="0.25">
      <c r="A22822" t="s">
        <v>24</v>
      </c>
      <c r="B22822" t="s">
        <v>6667</v>
      </c>
      <c r="C22822" t="str">
        <f>"A0151633"</f>
        <v>A0151633</v>
      </c>
      <c r="D22822" t="s">
        <v>86950</v>
      </c>
      <c r="E22822" t="s">
        <v>86951</v>
      </c>
      <c r="F22822" t="s">
        <v>73273</v>
      </c>
      <c r="G22822" t="s">
        <v>52</v>
      </c>
      <c r="H22822">
        <v>78613</v>
      </c>
      <c r="I22822" t="s">
        <v>30</v>
      </c>
      <c r="J22822" t="s">
        <v>178</v>
      </c>
      <c r="K22822" t="s">
        <v>179</v>
      </c>
      <c r="N22822" t="s">
        <v>86952</v>
      </c>
      <c r="O22822" t="s">
        <v>86953</v>
      </c>
      <c r="Q22822">
        <v>0</v>
      </c>
      <c r="R22822">
        <v>0</v>
      </c>
      <c r="S22822">
        <v>0</v>
      </c>
      <c r="T22822" t="s">
        <v>86954</v>
      </c>
    </row>
    <row r="22823" spans="1:25" customFormat="1" ht="15" x14ac:dyDescent="0.25">
      <c r="A22823" t="s">
        <v>24</v>
      </c>
      <c r="B22823" t="s">
        <v>186</v>
      </c>
      <c r="C22823" t="str">
        <f>"A0146660"</f>
        <v>A0146660</v>
      </c>
      <c r="D22823" t="s">
        <v>86955</v>
      </c>
      <c r="E22823" t="s">
        <v>86956</v>
      </c>
      <c r="F22823" t="s">
        <v>34169</v>
      </c>
      <c r="G22823" t="s">
        <v>190</v>
      </c>
      <c r="H22823">
        <v>81615</v>
      </c>
      <c r="I22823" t="s">
        <v>30</v>
      </c>
      <c r="J22823" t="s">
        <v>1004</v>
      </c>
      <c r="K22823" t="s">
        <v>163</v>
      </c>
      <c r="N22823" t="s">
        <v>55669</v>
      </c>
      <c r="Q22823">
        <v>0</v>
      </c>
      <c r="R22823">
        <v>0</v>
      </c>
      <c r="S22823">
        <v>0</v>
      </c>
      <c r="T22823" t="s">
        <v>55670</v>
      </c>
    </row>
    <row r="22824" spans="1:25" customFormat="1" ht="15" x14ac:dyDescent="0.25">
      <c r="A22824" t="s">
        <v>24</v>
      </c>
      <c r="B22824" t="s">
        <v>3171</v>
      </c>
      <c r="C22824" t="str">
        <f>"A0157405"</f>
        <v>A0157405</v>
      </c>
      <c r="D22824" t="s">
        <v>86957</v>
      </c>
      <c r="E22824" t="s">
        <v>86958</v>
      </c>
      <c r="F22824" t="s">
        <v>1519</v>
      </c>
      <c r="G22824" t="s">
        <v>110</v>
      </c>
      <c r="H22824">
        <v>90095</v>
      </c>
      <c r="I22824" t="s">
        <v>30</v>
      </c>
      <c r="J22824" t="s">
        <v>3175</v>
      </c>
      <c r="K22824" t="s">
        <v>163</v>
      </c>
      <c r="N22824" t="s">
        <v>86959</v>
      </c>
      <c r="Q22824">
        <v>0</v>
      </c>
      <c r="R22824">
        <v>0</v>
      </c>
      <c r="S22824">
        <v>0</v>
      </c>
      <c r="T22824" t="s">
        <v>86960</v>
      </c>
    </row>
    <row r="22825" spans="1:25" customFormat="1" ht="15" x14ac:dyDescent="0.25">
      <c r="A22825" t="s">
        <v>24</v>
      </c>
      <c r="B22825" t="s">
        <v>3171</v>
      </c>
      <c r="C22825" t="str">
        <f>"A0145998"</f>
        <v>A0145998</v>
      </c>
      <c r="D22825" t="s">
        <v>86961</v>
      </c>
      <c r="E22825" t="s">
        <v>86962</v>
      </c>
      <c r="F22825" t="s">
        <v>1519</v>
      </c>
      <c r="G22825" t="s">
        <v>110</v>
      </c>
      <c r="H22825">
        <v>90095</v>
      </c>
      <c r="I22825" t="s">
        <v>30</v>
      </c>
      <c r="J22825" t="s">
        <v>3175</v>
      </c>
      <c r="K22825" t="s">
        <v>163</v>
      </c>
      <c r="N22825" t="s">
        <v>86963</v>
      </c>
      <c r="Q22825">
        <v>0</v>
      </c>
      <c r="R22825">
        <v>0</v>
      </c>
      <c r="S22825">
        <v>0</v>
      </c>
      <c r="T22825" t="s">
        <v>86964</v>
      </c>
    </row>
    <row r="22826" spans="1:25" customFormat="1" ht="15" x14ac:dyDescent="0.25">
      <c r="A22826" t="s">
        <v>24</v>
      </c>
      <c r="B22826" t="s">
        <v>3171</v>
      </c>
      <c r="C22826" t="str">
        <f>"A0094307"</f>
        <v>A0094307</v>
      </c>
      <c r="D22826" t="s">
        <v>86965</v>
      </c>
      <c r="E22826" t="s">
        <v>86966</v>
      </c>
      <c r="F22826" t="s">
        <v>1519</v>
      </c>
      <c r="G22826" t="s">
        <v>110</v>
      </c>
      <c r="H22826">
        <v>90095</v>
      </c>
      <c r="I22826" t="s">
        <v>30</v>
      </c>
      <c r="J22826" t="s">
        <v>3175</v>
      </c>
      <c r="K22826" t="s">
        <v>3175</v>
      </c>
      <c r="Q22826">
        <v>0</v>
      </c>
      <c r="R22826">
        <v>0</v>
      </c>
      <c r="S22826">
        <v>0</v>
      </c>
      <c r="T22826" t="s">
        <v>86967</v>
      </c>
    </row>
    <row r="22827" spans="1:25" customFormat="1" ht="15" x14ac:dyDescent="0.25">
      <c r="A22827" t="s">
        <v>24</v>
      </c>
      <c r="B22827" t="s">
        <v>3171</v>
      </c>
      <c r="C22827" t="str">
        <f>"A0091954"</f>
        <v>A0091954</v>
      </c>
      <c r="D22827" t="s">
        <v>86968</v>
      </c>
      <c r="E22827" t="s">
        <v>86969</v>
      </c>
      <c r="F22827" t="s">
        <v>1519</v>
      </c>
      <c r="G22827" t="s">
        <v>110</v>
      </c>
      <c r="H22827">
        <v>90095</v>
      </c>
      <c r="I22827" t="s">
        <v>30</v>
      </c>
      <c r="J22827" t="s">
        <v>3175</v>
      </c>
      <c r="K22827" t="s">
        <v>3175</v>
      </c>
      <c r="N22827" t="s">
        <v>86970</v>
      </c>
      <c r="Q22827">
        <v>0</v>
      </c>
      <c r="R22827">
        <v>0</v>
      </c>
      <c r="S22827">
        <v>0</v>
      </c>
      <c r="T22827" t="s">
        <v>86971</v>
      </c>
    </row>
    <row r="22828" spans="1:25" customFormat="1" ht="15" x14ac:dyDescent="0.25">
      <c r="A22828" t="s">
        <v>24</v>
      </c>
      <c r="B22828" t="s">
        <v>3171</v>
      </c>
      <c r="C22828" t="str">
        <f>"A0156966"</f>
        <v>A0156966</v>
      </c>
      <c r="D22828" t="s">
        <v>86972</v>
      </c>
      <c r="E22828" t="s">
        <v>86973</v>
      </c>
      <c r="F22828" t="s">
        <v>1519</v>
      </c>
      <c r="G22828" t="s">
        <v>110</v>
      </c>
      <c r="H22828">
        <v>90024</v>
      </c>
      <c r="I22828" t="s">
        <v>30</v>
      </c>
      <c r="J22828" t="s">
        <v>3175</v>
      </c>
      <c r="K22828" t="s">
        <v>3175</v>
      </c>
      <c r="N22828" t="s">
        <v>86974</v>
      </c>
      <c r="Q22828">
        <v>0</v>
      </c>
      <c r="R22828">
        <v>0</v>
      </c>
      <c r="S22828">
        <v>0</v>
      </c>
      <c r="T22828" t="s">
        <v>86975</v>
      </c>
    </row>
    <row r="22829" spans="1:25" customFormat="1" ht="15" x14ac:dyDescent="0.25">
      <c r="A22829" t="s">
        <v>24</v>
      </c>
      <c r="B22829" t="s">
        <v>3171</v>
      </c>
      <c r="C22829" t="str">
        <f>"A0155594"</f>
        <v>A0155594</v>
      </c>
      <c r="D22829" t="s">
        <v>86976</v>
      </c>
      <c r="E22829" t="s">
        <v>86977</v>
      </c>
      <c r="F22829" t="s">
        <v>1519</v>
      </c>
      <c r="G22829" t="s">
        <v>110</v>
      </c>
      <c r="H22829">
        <v>90095</v>
      </c>
      <c r="I22829" t="s">
        <v>30</v>
      </c>
      <c r="J22829" t="s">
        <v>3175</v>
      </c>
      <c r="K22829" t="s">
        <v>3175</v>
      </c>
      <c r="N22829" t="s">
        <v>86978</v>
      </c>
      <c r="Q22829">
        <v>0</v>
      </c>
      <c r="R22829">
        <v>61</v>
      </c>
      <c r="S22829">
        <v>0</v>
      </c>
      <c r="T22829" t="s">
        <v>86979</v>
      </c>
    </row>
    <row r="22830" spans="1:25" customFormat="1" ht="15" x14ac:dyDescent="0.25">
      <c r="A22830" t="s">
        <v>24</v>
      </c>
      <c r="B22830" t="s">
        <v>3171</v>
      </c>
      <c r="C22830" t="str">
        <f>"A0094410"</f>
        <v>A0094410</v>
      </c>
      <c r="D22830" t="s">
        <v>86980</v>
      </c>
      <c r="E22830" t="s">
        <v>86981</v>
      </c>
      <c r="F22830" t="s">
        <v>16584</v>
      </c>
      <c r="G22830" t="s">
        <v>110</v>
      </c>
      <c r="H22830" t="s">
        <v>86982</v>
      </c>
      <c r="I22830" t="s">
        <v>30</v>
      </c>
      <c r="J22830" t="s">
        <v>7657</v>
      </c>
      <c r="K22830" t="s">
        <v>163</v>
      </c>
      <c r="N22830" t="s">
        <v>86983</v>
      </c>
      <c r="Q22830">
        <v>0</v>
      </c>
      <c r="R22830">
        <v>109</v>
      </c>
      <c r="S22830">
        <v>0</v>
      </c>
      <c r="T22830" t="s">
        <v>86984</v>
      </c>
    </row>
    <row r="22831" spans="1:25" customFormat="1" ht="15" x14ac:dyDescent="0.25">
      <c r="A22831" t="s">
        <v>24</v>
      </c>
      <c r="B22831" t="s">
        <v>3171</v>
      </c>
      <c r="C22831" t="str">
        <f>"A0094309"</f>
        <v>A0094309</v>
      </c>
      <c r="D22831" t="s">
        <v>86985</v>
      </c>
      <c r="E22831" t="s">
        <v>86986</v>
      </c>
      <c r="F22831" t="s">
        <v>1519</v>
      </c>
      <c r="G22831" t="s">
        <v>110</v>
      </c>
      <c r="H22831">
        <v>90095</v>
      </c>
      <c r="I22831" t="s">
        <v>30</v>
      </c>
      <c r="J22831" t="s">
        <v>3175</v>
      </c>
      <c r="K22831" t="s">
        <v>3175</v>
      </c>
      <c r="N22831" t="s">
        <v>86987</v>
      </c>
      <c r="O22831" t="s">
        <v>86970</v>
      </c>
      <c r="Q22831">
        <v>0</v>
      </c>
      <c r="R22831">
        <v>0</v>
      </c>
      <c r="S22831">
        <v>0</v>
      </c>
      <c r="T22831" t="s">
        <v>86988</v>
      </c>
    </row>
    <row r="22832" spans="1:25" customFormat="1" ht="15" x14ac:dyDescent="0.25">
      <c r="A22832" t="s">
        <v>24</v>
      </c>
      <c r="B22832" t="s">
        <v>186</v>
      </c>
      <c r="C22832" t="str">
        <f>"A0146658"</f>
        <v>A0146658</v>
      </c>
      <c r="D22832" t="s">
        <v>86989</v>
      </c>
      <c r="E22832" t="s">
        <v>63785</v>
      </c>
      <c r="F22832" t="s">
        <v>34169</v>
      </c>
      <c r="G22832" t="s">
        <v>190</v>
      </c>
      <c r="H22832">
        <v>81615</v>
      </c>
      <c r="I22832" t="s">
        <v>30</v>
      </c>
      <c r="J22832" t="s">
        <v>1004</v>
      </c>
      <c r="K22832" t="s">
        <v>163</v>
      </c>
      <c r="N22832" t="s">
        <v>55669</v>
      </c>
      <c r="Q22832">
        <v>0</v>
      </c>
      <c r="R22832">
        <v>0</v>
      </c>
      <c r="S22832">
        <v>0</v>
      </c>
      <c r="T22832" t="s">
        <v>55670</v>
      </c>
    </row>
    <row r="22833" spans="1:25" x14ac:dyDescent="0.25">
      <c r="A22833" s="5" t="s">
        <v>24</v>
      </c>
      <c r="B22833" s="5" t="s">
        <v>33301</v>
      </c>
      <c r="C22833" s="5" t="str">
        <f>"A0085333"</f>
        <v>A0085333</v>
      </c>
      <c r="D22833" s="5" t="s">
        <v>80059</v>
      </c>
      <c r="E22833" s="5" t="s">
        <v>80060</v>
      </c>
      <c r="F22833" s="5" t="s">
        <v>7734</v>
      </c>
      <c r="G22833" s="5" t="s">
        <v>197</v>
      </c>
      <c r="H22833" s="5">
        <v>85756</v>
      </c>
      <c r="I22833" s="5" t="s">
        <v>30</v>
      </c>
      <c r="J22833" s="5" t="s">
        <v>171</v>
      </c>
      <c r="K22833" s="5" t="s">
        <v>1450</v>
      </c>
      <c r="L22833" s="5"/>
      <c r="M22833" s="5"/>
      <c r="N22833" s="5" t="s">
        <v>80061</v>
      </c>
      <c r="O22833" s="5" t="s">
        <v>80062</v>
      </c>
      <c r="P22833" s="5"/>
      <c r="Q22833" s="5">
        <v>0</v>
      </c>
      <c r="R22833" s="5">
        <v>124</v>
      </c>
      <c r="S22833" s="5">
        <v>0</v>
      </c>
      <c r="T22833" s="5" t="s">
        <v>80063</v>
      </c>
      <c r="U22833" s="5"/>
      <c r="V22833" s="5"/>
      <c r="W22833" s="5"/>
      <c r="X22833" s="5"/>
      <c r="Y22833" s="5"/>
    </row>
    <row r="22834" spans="1:25" customFormat="1" ht="15" x14ac:dyDescent="0.25">
      <c r="A22834" t="s">
        <v>24</v>
      </c>
      <c r="B22834" t="s">
        <v>14328</v>
      </c>
      <c r="C22834" t="str">
        <f>"A0075941"</f>
        <v>A0075941</v>
      </c>
      <c r="D22834" t="s">
        <v>86996</v>
      </c>
      <c r="E22834" t="s">
        <v>86997</v>
      </c>
      <c r="F22834" t="s">
        <v>86998</v>
      </c>
      <c r="G22834" t="s">
        <v>338</v>
      </c>
      <c r="H22834">
        <v>8210</v>
      </c>
      <c r="I22834" t="s">
        <v>30</v>
      </c>
      <c r="J22834" t="s">
        <v>178</v>
      </c>
      <c r="K22834" t="s">
        <v>179</v>
      </c>
      <c r="N22834" t="s">
        <v>86999</v>
      </c>
      <c r="P22834" t="s">
        <v>992</v>
      </c>
      <c r="Q22834">
        <v>3</v>
      </c>
      <c r="R22834">
        <v>0</v>
      </c>
      <c r="S22834">
        <v>0</v>
      </c>
      <c r="T22834" t="s">
        <v>87000</v>
      </c>
    </row>
    <row r="22835" spans="1:25" customFormat="1" ht="15" x14ac:dyDescent="0.25">
      <c r="A22835" t="s">
        <v>24</v>
      </c>
      <c r="B22835" t="s">
        <v>4400</v>
      </c>
      <c r="C22835" t="str">
        <f>"A0074241"</f>
        <v>A0074241</v>
      </c>
      <c r="D22835" t="s">
        <v>80064</v>
      </c>
      <c r="E22835" t="s">
        <v>80065</v>
      </c>
      <c r="F22835" t="s">
        <v>796</v>
      </c>
      <c r="G22835" t="s">
        <v>197</v>
      </c>
      <c r="H22835">
        <v>85711</v>
      </c>
      <c r="I22835" t="s">
        <v>30</v>
      </c>
      <c r="J22835" t="s">
        <v>171</v>
      </c>
      <c r="K22835" t="s">
        <v>1450</v>
      </c>
      <c r="N22835" t="s">
        <v>62069</v>
      </c>
      <c r="Q22835">
        <v>0</v>
      </c>
      <c r="R22835">
        <v>120</v>
      </c>
      <c r="S22835">
        <v>0</v>
      </c>
      <c r="T22835" t="s">
        <v>80066</v>
      </c>
    </row>
    <row r="22836" spans="1:25" customFormat="1" ht="15" x14ac:dyDescent="0.25">
      <c r="A22836" t="s">
        <v>24</v>
      </c>
      <c r="B22836" t="s">
        <v>1849</v>
      </c>
      <c r="C22836" t="str">
        <f>"56570"</f>
        <v>56570</v>
      </c>
      <c r="D22836" t="s">
        <v>80067</v>
      </c>
      <c r="E22836" t="s">
        <v>80068</v>
      </c>
      <c r="F22836" t="s">
        <v>5930</v>
      </c>
      <c r="G22836" t="s">
        <v>899</v>
      </c>
      <c r="H22836">
        <v>2129</v>
      </c>
      <c r="I22836" t="s">
        <v>30</v>
      </c>
      <c r="J22836" t="s">
        <v>171</v>
      </c>
      <c r="K22836" t="s">
        <v>1450</v>
      </c>
      <c r="N22836" t="s">
        <v>63039</v>
      </c>
      <c r="O22836" t="s">
        <v>80069</v>
      </c>
      <c r="Q22836">
        <v>0</v>
      </c>
      <c r="R22836">
        <v>168</v>
      </c>
      <c r="S22836">
        <v>0</v>
      </c>
      <c r="T22836" t="s">
        <v>80070</v>
      </c>
    </row>
    <row r="22837" spans="1:25" customFormat="1" ht="15" x14ac:dyDescent="0.25">
      <c r="A22837" t="s">
        <v>24</v>
      </c>
      <c r="B22837" t="s">
        <v>675</v>
      </c>
      <c r="C22837" t="str">
        <f>"A0092360"</f>
        <v>A0092360</v>
      </c>
      <c r="D22837" t="s">
        <v>80071</v>
      </c>
      <c r="E22837" t="s">
        <v>80072</v>
      </c>
      <c r="F22837" t="s">
        <v>65633</v>
      </c>
      <c r="G22837" t="s">
        <v>110</v>
      </c>
      <c r="H22837">
        <v>92780</v>
      </c>
      <c r="I22837" t="s">
        <v>30</v>
      </c>
      <c r="J22837" t="s">
        <v>171</v>
      </c>
      <c r="K22837" t="s">
        <v>1450</v>
      </c>
      <c r="N22837" t="s">
        <v>65634</v>
      </c>
      <c r="O22837" t="s">
        <v>65635</v>
      </c>
      <c r="Q22837">
        <v>0</v>
      </c>
      <c r="R22837">
        <v>149</v>
      </c>
      <c r="S22837">
        <v>0</v>
      </c>
      <c r="T22837" t="s">
        <v>80073</v>
      </c>
    </row>
    <row r="22838" spans="1:25" customFormat="1" ht="15" x14ac:dyDescent="0.25">
      <c r="A22838" t="s">
        <v>24</v>
      </c>
      <c r="B22838" t="s">
        <v>87010</v>
      </c>
      <c r="C22838" t="str">
        <f>"A0100197"</f>
        <v>A0100197</v>
      </c>
      <c r="D22838" t="s">
        <v>87011</v>
      </c>
      <c r="E22838" t="s">
        <v>87012</v>
      </c>
      <c r="F22838" t="s">
        <v>1201</v>
      </c>
      <c r="G22838" t="s">
        <v>528</v>
      </c>
      <c r="H22838">
        <v>19806</v>
      </c>
      <c r="I22838" t="s">
        <v>30</v>
      </c>
      <c r="J22838" t="s">
        <v>2558</v>
      </c>
      <c r="K22838" t="s">
        <v>163</v>
      </c>
      <c r="N22838" t="s">
        <v>87013</v>
      </c>
      <c r="Q22838">
        <v>0</v>
      </c>
      <c r="R22838">
        <v>0</v>
      </c>
      <c r="S22838">
        <v>0</v>
      </c>
      <c r="T22838" t="s">
        <v>87014</v>
      </c>
    </row>
    <row r="22839" spans="1:25" customFormat="1" ht="15" x14ac:dyDescent="0.25">
      <c r="A22839" t="s">
        <v>24</v>
      </c>
      <c r="B22839" t="s">
        <v>2360</v>
      </c>
      <c r="C22839" t="str">
        <f>"CL0703"</f>
        <v>CL0703</v>
      </c>
      <c r="D22839" t="s">
        <v>87015</v>
      </c>
      <c r="E22839" t="s">
        <v>87016</v>
      </c>
      <c r="F22839" t="s">
        <v>2978</v>
      </c>
      <c r="G22839" t="s">
        <v>110</v>
      </c>
      <c r="H22839">
        <v>92101</v>
      </c>
      <c r="I22839" t="s">
        <v>30</v>
      </c>
      <c r="J22839" t="s">
        <v>2558</v>
      </c>
      <c r="K22839" t="s">
        <v>56092</v>
      </c>
      <c r="N22839" t="s">
        <v>87017</v>
      </c>
      <c r="O22839" t="s">
        <v>87018</v>
      </c>
      <c r="Q22839">
        <v>0</v>
      </c>
      <c r="R22839">
        <v>0</v>
      </c>
      <c r="S22839">
        <v>0</v>
      </c>
      <c r="T22839" t="s">
        <v>87019</v>
      </c>
    </row>
    <row r="22840" spans="1:25" customFormat="1" ht="15" x14ac:dyDescent="0.25">
      <c r="A22840" t="s">
        <v>24</v>
      </c>
      <c r="B22840" t="s">
        <v>87020</v>
      </c>
      <c r="C22840" t="str">
        <f>"A0067926"</f>
        <v>A0067926</v>
      </c>
      <c r="D22840" t="s">
        <v>87021</v>
      </c>
      <c r="E22840" t="s">
        <v>87022</v>
      </c>
      <c r="F22840" t="s">
        <v>748</v>
      </c>
      <c r="G22840" t="s">
        <v>110</v>
      </c>
      <c r="H22840">
        <v>94108</v>
      </c>
      <c r="I22840" t="s">
        <v>30</v>
      </c>
      <c r="J22840" t="s">
        <v>2558</v>
      </c>
      <c r="K22840" t="s">
        <v>179</v>
      </c>
      <c r="N22840" t="s">
        <v>87023</v>
      </c>
      <c r="P22840" t="s">
        <v>992</v>
      </c>
      <c r="Q22840">
        <v>0</v>
      </c>
      <c r="R22840">
        <v>11</v>
      </c>
      <c r="S22840">
        <v>0</v>
      </c>
      <c r="T22840" t="s">
        <v>87024</v>
      </c>
    </row>
    <row r="22841" spans="1:25" customFormat="1" ht="15" x14ac:dyDescent="0.25">
      <c r="A22841" t="s">
        <v>24</v>
      </c>
      <c r="B22841" t="s">
        <v>2528</v>
      </c>
      <c r="C22841" t="str">
        <f>"56688"</f>
        <v>56688</v>
      </c>
      <c r="D22841" t="s">
        <v>80074</v>
      </c>
      <c r="E22841" t="s">
        <v>80075</v>
      </c>
      <c r="F22841" t="s">
        <v>60374</v>
      </c>
      <c r="G22841" t="s">
        <v>29</v>
      </c>
      <c r="H22841">
        <v>22182</v>
      </c>
      <c r="I22841" t="s">
        <v>30</v>
      </c>
      <c r="J22841" t="s">
        <v>171</v>
      </c>
      <c r="K22841" t="s">
        <v>1450</v>
      </c>
      <c r="N22841" t="s">
        <v>80076</v>
      </c>
      <c r="O22841" t="s">
        <v>80077</v>
      </c>
      <c r="Q22841">
        <v>0</v>
      </c>
      <c r="R22841">
        <v>121</v>
      </c>
      <c r="S22841">
        <v>0</v>
      </c>
      <c r="T22841" t="s">
        <v>80078</v>
      </c>
    </row>
    <row r="22842" spans="1:25" customFormat="1" ht="15" x14ac:dyDescent="0.25">
      <c r="A22842" t="s">
        <v>24</v>
      </c>
      <c r="B22842" t="s">
        <v>1528</v>
      </c>
      <c r="C22842" t="str">
        <f>"A0090539"</f>
        <v>A0090539</v>
      </c>
      <c r="D22842" t="s">
        <v>87030</v>
      </c>
      <c r="E22842" t="s">
        <v>87031</v>
      </c>
      <c r="F22842" t="s">
        <v>5804</v>
      </c>
      <c r="G22842" t="s">
        <v>76</v>
      </c>
      <c r="H22842">
        <v>98416</v>
      </c>
      <c r="I22842" t="s">
        <v>30</v>
      </c>
      <c r="J22842" t="s">
        <v>3175</v>
      </c>
      <c r="K22842" t="s">
        <v>163</v>
      </c>
      <c r="N22842" t="s">
        <v>87032</v>
      </c>
      <c r="Q22842">
        <v>0</v>
      </c>
      <c r="R22842">
        <v>0</v>
      </c>
      <c r="S22842">
        <v>0</v>
      </c>
      <c r="T22842" t="s">
        <v>87033</v>
      </c>
    </row>
    <row r="22843" spans="1:25" customFormat="1" ht="15" x14ac:dyDescent="0.25">
      <c r="A22843" t="s">
        <v>24</v>
      </c>
      <c r="B22843" t="s">
        <v>2360</v>
      </c>
      <c r="C22843" t="str">
        <f>"CL1475"</f>
        <v>CL1475</v>
      </c>
      <c r="D22843" t="s">
        <v>87034</v>
      </c>
      <c r="E22843" t="s">
        <v>87035</v>
      </c>
      <c r="F22843" t="s">
        <v>372</v>
      </c>
      <c r="G22843" t="s">
        <v>52</v>
      </c>
      <c r="H22843">
        <v>78713</v>
      </c>
      <c r="I22843" t="s">
        <v>30</v>
      </c>
      <c r="J22843" t="s">
        <v>2558</v>
      </c>
      <c r="K22843" t="s">
        <v>2566</v>
      </c>
      <c r="N22843" t="s">
        <v>87036</v>
      </c>
      <c r="O22843" t="s">
        <v>87037</v>
      </c>
      <c r="Q22843">
        <v>0</v>
      </c>
      <c r="R22843">
        <v>0</v>
      </c>
      <c r="S22843">
        <v>0</v>
      </c>
      <c r="T22843" t="s">
        <v>87038</v>
      </c>
    </row>
    <row r="22844" spans="1:25" customFormat="1" ht="15" x14ac:dyDescent="0.25">
      <c r="A22844" t="s">
        <v>24</v>
      </c>
      <c r="B22844" t="s">
        <v>2812</v>
      </c>
      <c r="C22844" t="str">
        <f>"A0099643"</f>
        <v>A0099643</v>
      </c>
      <c r="D22844" t="s">
        <v>80079</v>
      </c>
      <c r="E22844" t="s">
        <v>80080</v>
      </c>
      <c r="F22844" t="s">
        <v>985</v>
      </c>
      <c r="G22844" t="s">
        <v>81</v>
      </c>
      <c r="H22844">
        <v>32819</v>
      </c>
      <c r="I22844" t="s">
        <v>30</v>
      </c>
      <c r="J22844" t="s">
        <v>171</v>
      </c>
      <c r="K22844" t="s">
        <v>1450</v>
      </c>
      <c r="N22844" t="s">
        <v>2815</v>
      </c>
      <c r="Q22844">
        <v>0</v>
      </c>
      <c r="R22844">
        <v>195</v>
      </c>
      <c r="S22844">
        <v>0</v>
      </c>
      <c r="T22844" t="s">
        <v>80081</v>
      </c>
    </row>
    <row r="22845" spans="1:25" customFormat="1" ht="15" x14ac:dyDescent="0.25">
      <c r="A22845" t="s">
        <v>24</v>
      </c>
      <c r="B22845" t="s">
        <v>186</v>
      </c>
      <c r="C22845" t="str">
        <f>"A0146659"</f>
        <v>A0146659</v>
      </c>
      <c r="D22845" t="s">
        <v>87043</v>
      </c>
      <c r="E22845" t="s">
        <v>63785</v>
      </c>
      <c r="F22845" t="s">
        <v>34169</v>
      </c>
      <c r="G22845" t="s">
        <v>190</v>
      </c>
      <c r="H22845">
        <v>81615</v>
      </c>
      <c r="I22845" t="s">
        <v>30</v>
      </c>
      <c r="J22845" t="s">
        <v>1004</v>
      </c>
      <c r="K22845" t="s">
        <v>163</v>
      </c>
      <c r="N22845" t="s">
        <v>55669</v>
      </c>
      <c r="Q22845">
        <v>0</v>
      </c>
      <c r="R22845">
        <v>0</v>
      </c>
      <c r="S22845">
        <v>0</v>
      </c>
      <c r="T22845" t="s">
        <v>55670</v>
      </c>
    </row>
    <row r="22846" spans="1:25" customFormat="1" ht="15" x14ac:dyDescent="0.25">
      <c r="A22846" t="s">
        <v>24</v>
      </c>
      <c r="B22846" t="s">
        <v>6667</v>
      </c>
      <c r="C22846" t="str">
        <f>"A0049842"</f>
        <v>A0049842</v>
      </c>
      <c r="D22846" t="s">
        <v>87044</v>
      </c>
      <c r="E22846" t="s">
        <v>87045</v>
      </c>
      <c r="F22846" t="s">
        <v>62091</v>
      </c>
      <c r="G22846" t="s">
        <v>110</v>
      </c>
      <c r="H22846">
        <v>91355</v>
      </c>
      <c r="I22846" t="s">
        <v>30</v>
      </c>
      <c r="J22846" t="s">
        <v>178</v>
      </c>
      <c r="K22846" t="s">
        <v>6667</v>
      </c>
      <c r="N22846" t="s">
        <v>57387</v>
      </c>
      <c r="O22846" t="s">
        <v>87046</v>
      </c>
      <c r="Q22846">
        <v>0</v>
      </c>
      <c r="R22846">
        <v>0</v>
      </c>
      <c r="S22846">
        <v>0</v>
      </c>
      <c r="T22846" t="s">
        <v>87047</v>
      </c>
    </row>
    <row r="22847" spans="1:25" customFormat="1" ht="15" hidden="1" x14ac:dyDescent="0.25">
      <c r="A22847" t="s">
        <v>24</v>
      </c>
      <c r="B22847" t="s">
        <v>675</v>
      </c>
      <c r="C22847" t="str">
        <f>"15223"</f>
        <v>15223</v>
      </c>
      <c r="D22847" t="s">
        <v>87048</v>
      </c>
      <c r="E22847" t="s">
        <v>87049</v>
      </c>
      <c r="F22847" t="s">
        <v>2269</v>
      </c>
      <c r="G22847" t="s">
        <v>2270</v>
      </c>
      <c r="H22847" t="s">
        <v>87050</v>
      </c>
      <c r="I22847" t="s">
        <v>1459</v>
      </c>
      <c r="J22847" t="s">
        <v>162</v>
      </c>
      <c r="K22847" t="s">
        <v>1490</v>
      </c>
      <c r="N22847" t="s">
        <v>87051</v>
      </c>
      <c r="O22847" t="s">
        <v>87052</v>
      </c>
      <c r="Q22847">
        <v>0</v>
      </c>
      <c r="R22847">
        <v>434</v>
      </c>
      <c r="S22847">
        <v>0</v>
      </c>
      <c r="T22847" t="s">
        <v>87053</v>
      </c>
    </row>
    <row r="22848" spans="1:25" x14ac:dyDescent="0.25">
      <c r="A22848" s="5" t="s">
        <v>24</v>
      </c>
      <c r="B22848" s="5" t="s">
        <v>675</v>
      </c>
      <c r="C22848" s="5" t="str">
        <f>"57117"</f>
        <v>57117</v>
      </c>
      <c r="D22848" s="5" t="s">
        <v>80082</v>
      </c>
      <c r="E22848" s="5" t="s">
        <v>80083</v>
      </c>
      <c r="F22848" s="5" t="s">
        <v>80084</v>
      </c>
      <c r="G22848" s="5" t="s">
        <v>103</v>
      </c>
      <c r="H22848" s="5">
        <v>19312</v>
      </c>
      <c r="I22848" s="5" t="s">
        <v>30</v>
      </c>
      <c r="J22848" s="5" t="s">
        <v>171</v>
      </c>
      <c r="K22848" s="5" t="s">
        <v>1450</v>
      </c>
      <c r="L22848" s="5"/>
      <c r="M22848" s="5"/>
      <c r="N22848" s="5" t="s">
        <v>80085</v>
      </c>
      <c r="O22848" s="5"/>
      <c r="P22848" s="5"/>
      <c r="Q22848" s="5">
        <v>0</v>
      </c>
      <c r="R22848" s="5">
        <v>88</v>
      </c>
      <c r="S22848" s="5">
        <v>0</v>
      </c>
      <c r="T22848" s="5" t="s">
        <v>80086</v>
      </c>
      <c r="U22848" s="5"/>
      <c r="V22848" s="5"/>
      <c r="W22848" s="5"/>
      <c r="X22848" s="5"/>
      <c r="Y22848" s="5"/>
    </row>
    <row r="22849" spans="1:25" customFormat="1" ht="15" x14ac:dyDescent="0.25">
      <c r="A22849" t="s">
        <v>24</v>
      </c>
      <c r="B22849" t="s">
        <v>87059</v>
      </c>
      <c r="C22849" t="str">
        <f>"A0151696"</f>
        <v>A0151696</v>
      </c>
      <c r="D22849" t="s">
        <v>87060</v>
      </c>
      <c r="E22849" t="s">
        <v>87061</v>
      </c>
      <c r="F22849" t="s">
        <v>87062</v>
      </c>
      <c r="G22849" t="s">
        <v>90</v>
      </c>
      <c r="H22849">
        <v>2891</v>
      </c>
      <c r="I22849" t="s">
        <v>30</v>
      </c>
      <c r="J22849" t="s">
        <v>1004</v>
      </c>
      <c r="K22849" t="s">
        <v>163</v>
      </c>
      <c r="N22849" t="s">
        <v>87063</v>
      </c>
      <c r="O22849" t="s">
        <v>87064</v>
      </c>
      <c r="Q22849">
        <v>0</v>
      </c>
      <c r="R22849">
        <v>0</v>
      </c>
      <c r="S22849">
        <v>0</v>
      </c>
      <c r="T22849" t="s">
        <v>87065</v>
      </c>
    </row>
    <row r="22850" spans="1:25" x14ac:dyDescent="0.25">
      <c r="A22850" s="5" t="s">
        <v>24</v>
      </c>
      <c r="B22850" s="5" t="s">
        <v>675</v>
      </c>
      <c r="C22850" s="5" t="str">
        <f>"A0096162"</f>
        <v>A0096162</v>
      </c>
      <c r="D22850" s="5" t="s">
        <v>80093</v>
      </c>
      <c r="E22850" s="5" t="s">
        <v>80094</v>
      </c>
      <c r="F22850" s="5" t="s">
        <v>35268</v>
      </c>
      <c r="G22850" s="5" t="s">
        <v>4815</v>
      </c>
      <c r="H22850" s="5">
        <v>96753</v>
      </c>
      <c r="I22850" s="5" t="s">
        <v>30</v>
      </c>
      <c r="J22850" s="5" t="s">
        <v>171</v>
      </c>
      <c r="K22850" s="5" t="s">
        <v>1450</v>
      </c>
      <c r="L22850" s="5"/>
      <c r="M22850" s="5"/>
      <c r="N22850" s="5" t="s">
        <v>80095</v>
      </c>
      <c r="O22850" s="5"/>
      <c r="P22850" s="5"/>
      <c r="Q22850" s="5">
        <v>0</v>
      </c>
      <c r="R22850" s="5">
        <v>200</v>
      </c>
      <c r="S22850" s="5">
        <v>0</v>
      </c>
      <c r="T22850" s="5" t="s">
        <v>80096</v>
      </c>
      <c r="U22850" s="5"/>
      <c r="V22850" s="5"/>
      <c r="W22850" s="5"/>
      <c r="X22850" s="5"/>
      <c r="Y22850" s="5"/>
    </row>
    <row r="22851" spans="1:25" customFormat="1" ht="15" hidden="1" x14ac:dyDescent="0.25">
      <c r="A22851" t="s">
        <v>24</v>
      </c>
      <c r="B22851" t="s">
        <v>87071</v>
      </c>
      <c r="C22851" t="str">
        <f>"A0075022"</f>
        <v>A0075022</v>
      </c>
      <c r="D22851" t="s">
        <v>87072</v>
      </c>
      <c r="E22851" t="s">
        <v>87073</v>
      </c>
      <c r="F22851" t="s">
        <v>14902</v>
      </c>
      <c r="G22851" t="s">
        <v>9901</v>
      </c>
      <c r="H22851">
        <v>979</v>
      </c>
      <c r="I22851" t="s">
        <v>9902</v>
      </c>
      <c r="J22851" t="s">
        <v>162</v>
      </c>
      <c r="K22851" t="s">
        <v>163</v>
      </c>
      <c r="N22851" t="s">
        <v>87074</v>
      </c>
      <c r="O22851" t="s">
        <v>87075</v>
      </c>
      <c r="Q22851">
        <v>0</v>
      </c>
      <c r="R22851">
        <v>222</v>
      </c>
      <c r="S22851">
        <v>0</v>
      </c>
      <c r="T22851" t="s">
        <v>87076</v>
      </c>
    </row>
    <row r="22852" spans="1:25" customFormat="1" ht="15" x14ac:dyDescent="0.25">
      <c r="A22852" t="s">
        <v>24</v>
      </c>
      <c r="B22852" t="s">
        <v>68131</v>
      </c>
      <c r="C22852" t="str">
        <f>"A0084227"</f>
        <v>A0084227</v>
      </c>
      <c r="D22852" t="s">
        <v>68131</v>
      </c>
      <c r="E22852" t="s">
        <v>87077</v>
      </c>
      <c r="F22852" t="s">
        <v>5533</v>
      </c>
      <c r="G22852" t="s">
        <v>846</v>
      </c>
      <c r="H22852">
        <v>31793</v>
      </c>
      <c r="I22852" t="s">
        <v>30</v>
      </c>
      <c r="J22852" t="s">
        <v>191</v>
      </c>
      <c r="K22852" t="s">
        <v>11889</v>
      </c>
      <c r="Q22852">
        <v>0</v>
      </c>
      <c r="R22852">
        <v>0</v>
      </c>
      <c r="S22852">
        <v>0</v>
      </c>
      <c r="T22852" t="s">
        <v>87078</v>
      </c>
    </row>
    <row r="22853" spans="1:25" customFormat="1" ht="15" hidden="1" x14ac:dyDescent="0.25">
      <c r="A22853" t="s">
        <v>24</v>
      </c>
      <c r="B22853" t="s">
        <v>1453</v>
      </c>
      <c r="C22853" t="str">
        <f>"A0096950"</f>
        <v>A0096950</v>
      </c>
      <c r="D22853" t="s">
        <v>87079</v>
      </c>
      <c r="E22853" t="s">
        <v>87080</v>
      </c>
      <c r="F22853" t="s">
        <v>87081</v>
      </c>
      <c r="G22853" t="s">
        <v>1457</v>
      </c>
      <c r="H22853" t="s">
        <v>87082</v>
      </c>
      <c r="I22853" t="s">
        <v>1459</v>
      </c>
      <c r="J22853" t="s">
        <v>171</v>
      </c>
      <c r="K22853" t="s">
        <v>163</v>
      </c>
      <c r="N22853" t="s">
        <v>87083</v>
      </c>
      <c r="Q22853">
        <v>0</v>
      </c>
      <c r="R22853">
        <v>95</v>
      </c>
      <c r="S22853">
        <v>0</v>
      </c>
      <c r="T22853" t="s">
        <v>87084</v>
      </c>
    </row>
    <row r="22854" spans="1:25" x14ac:dyDescent="0.25">
      <c r="A22854" s="5" t="s">
        <v>24</v>
      </c>
      <c r="B22854" s="5" t="s">
        <v>8579</v>
      </c>
      <c r="C22854" s="5" t="str">
        <f>"A0096600"</f>
        <v>A0096600</v>
      </c>
      <c r="D22854" s="5" t="s">
        <v>80097</v>
      </c>
      <c r="E22854" s="5" t="s">
        <v>80098</v>
      </c>
      <c r="F22854" s="5" t="s">
        <v>313</v>
      </c>
      <c r="G22854" s="5" t="s">
        <v>314</v>
      </c>
      <c r="H22854" s="5">
        <v>20003</v>
      </c>
      <c r="I22854" s="5" t="s">
        <v>30</v>
      </c>
      <c r="J22854" s="5" t="s">
        <v>171</v>
      </c>
      <c r="K22854" s="5" t="s">
        <v>1450</v>
      </c>
      <c r="L22854" s="5"/>
      <c r="M22854" s="5"/>
      <c r="N22854" s="5" t="s">
        <v>80099</v>
      </c>
      <c r="O22854" s="5" t="s">
        <v>80100</v>
      </c>
      <c r="P22854" s="5"/>
      <c r="Q22854" s="5">
        <v>0</v>
      </c>
      <c r="R22854" s="5">
        <v>170</v>
      </c>
      <c r="S22854" s="5">
        <v>0</v>
      </c>
      <c r="T22854" s="5" t="s">
        <v>80101</v>
      </c>
      <c r="U22854" s="5"/>
      <c r="V22854" s="5"/>
      <c r="W22854" s="5"/>
      <c r="X22854" s="5"/>
      <c r="Y22854" s="5"/>
    </row>
    <row r="22855" spans="1:25" hidden="1" x14ac:dyDescent="0.25">
      <c r="A22855" s="3" t="s">
        <v>24</v>
      </c>
      <c r="B22855" s="3" t="s">
        <v>1862</v>
      </c>
      <c r="C22855" s="3" t="str">
        <f>"A0100664"</f>
        <v>A0100664</v>
      </c>
      <c r="D22855" s="3" t="s">
        <v>87089</v>
      </c>
      <c r="E22855" s="3" t="s">
        <v>87090</v>
      </c>
      <c r="F22855" s="3" t="s">
        <v>5332</v>
      </c>
      <c r="G22855" s="3" t="s">
        <v>2407</v>
      </c>
      <c r="H22855" s="3">
        <v>23400</v>
      </c>
      <c r="I22855" s="3" t="s">
        <v>2408</v>
      </c>
      <c r="J22855" s="3" t="s">
        <v>206</v>
      </c>
      <c r="K22855" s="3" t="s">
        <v>87091</v>
      </c>
      <c r="N22855" s="3" t="s">
        <v>87092</v>
      </c>
      <c r="Q22855" s="3">
        <v>0</v>
      </c>
      <c r="R22855" s="3">
        <v>104</v>
      </c>
      <c r="S22855" s="3">
        <v>0</v>
      </c>
      <c r="T22855" s="3" t="s">
        <v>87093</v>
      </c>
    </row>
    <row r="22856" spans="1:25" hidden="1" x14ac:dyDescent="0.25">
      <c r="A22856" s="3" t="s">
        <v>24</v>
      </c>
      <c r="B22856" s="3" t="s">
        <v>1862</v>
      </c>
      <c r="C22856" s="3" t="str">
        <f>"A0089410"</f>
        <v>A0089410</v>
      </c>
      <c r="D22856" s="3" t="s">
        <v>87094</v>
      </c>
      <c r="E22856" s="3" t="s">
        <v>87095</v>
      </c>
      <c r="F22856" s="3" t="s">
        <v>56035</v>
      </c>
      <c r="G22856" s="3" t="s">
        <v>5424</v>
      </c>
      <c r="H22856" s="3">
        <v>77710</v>
      </c>
      <c r="I22856" s="3" t="s">
        <v>2408</v>
      </c>
      <c r="J22856" s="3" t="s">
        <v>206</v>
      </c>
      <c r="K22856" s="3" t="s">
        <v>87091</v>
      </c>
      <c r="N22856" s="3" t="s">
        <v>87096</v>
      </c>
      <c r="O22856" s="3" t="s">
        <v>87097</v>
      </c>
      <c r="Q22856" s="3">
        <v>0</v>
      </c>
      <c r="R22856" s="3">
        <v>30</v>
      </c>
      <c r="S22856" s="3">
        <v>0</v>
      </c>
      <c r="T22856" s="3" t="s">
        <v>87098</v>
      </c>
    </row>
    <row r="22857" spans="1:25" x14ac:dyDescent="0.25">
      <c r="A22857" s="5" t="s">
        <v>24</v>
      </c>
      <c r="B22857" s="5" t="s">
        <v>675</v>
      </c>
      <c r="C22857" s="5" t="str">
        <f>"57151"</f>
        <v>57151</v>
      </c>
      <c r="D22857" s="5" t="s">
        <v>80102</v>
      </c>
      <c r="E22857" s="5" t="s">
        <v>80103</v>
      </c>
      <c r="F22857" s="5" t="s">
        <v>313</v>
      </c>
      <c r="G22857" s="5" t="s">
        <v>314</v>
      </c>
      <c r="H22857" s="5">
        <v>20005</v>
      </c>
      <c r="I22857" s="5" t="s">
        <v>30</v>
      </c>
      <c r="J22857" s="5" t="s">
        <v>171</v>
      </c>
      <c r="K22857" s="5" t="s">
        <v>1450</v>
      </c>
      <c r="L22857" s="5"/>
      <c r="M22857" s="5"/>
      <c r="N22857" s="5" t="s">
        <v>80104</v>
      </c>
      <c r="O22857" s="5" t="s">
        <v>80105</v>
      </c>
      <c r="P22857" s="5"/>
      <c r="Q22857" s="5">
        <v>0</v>
      </c>
      <c r="R22857" s="5">
        <v>202</v>
      </c>
      <c r="S22857" s="5">
        <v>0</v>
      </c>
      <c r="T22857" s="5" t="s">
        <v>80106</v>
      </c>
      <c r="U22857" s="5"/>
      <c r="V22857" s="5"/>
      <c r="W22857" s="5"/>
      <c r="X22857" s="5"/>
      <c r="Y22857" s="5"/>
    </row>
    <row r="22858" spans="1:25" x14ac:dyDescent="0.25">
      <c r="A22858" s="5" t="s">
        <v>24</v>
      </c>
      <c r="B22858" s="5" t="s">
        <v>675</v>
      </c>
      <c r="C22858" s="5" t="str">
        <f>"A0085883"</f>
        <v>A0085883</v>
      </c>
      <c r="D22858" s="5" t="s">
        <v>80107</v>
      </c>
      <c r="E22858" s="5" t="s">
        <v>80108</v>
      </c>
      <c r="F22858" s="5" t="s">
        <v>55598</v>
      </c>
      <c r="G22858" s="5" t="s">
        <v>123</v>
      </c>
      <c r="H22858" s="5">
        <v>20745</v>
      </c>
      <c r="I22858" s="5" t="s">
        <v>30</v>
      </c>
      <c r="J22858" s="5" t="s">
        <v>171</v>
      </c>
      <c r="K22858" s="5" t="s">
        <v>1450</v>
      </c>
      <c r="L22858" s="5"/>
      <c r="M22858" s="5"/>
      <c r="N22858" s="5" t="s">
        <v>7513</v>
      </c>
      <c r="O22858" s="5" t="s">
        <v>80109</v>
      </c>
      <c r="P22858" s="5"/>
      <c r="Q22858" s="5">
        <v>0</v>
      </c>
      <c r="R22858" s="5">
        <v>162</v>
      </c>
      <c r="S22858" s="5">
        <v>0</v>
      </c>
      <c r="T22858" s="5" t="s">
        <v>80110</v>
      </c>
      <c r="U22858" s="5"/>
      <c r="V22858" s="5"/>
      <c r="W22858" s="5"/>
      <c r="X22858" s="5"/>
      <c r="Y22858" s="5"/>
    </row>
    <row r="22859" spans="1:25" hidden="1" x14ac:dyDescent="0.25">
      <c r="A22859" s="3" t="s">
        <v>24</v>
      </c>
      <c r="B22859" s="3" t="s">
        <v>1862</v>
      </c>
      <c r="C22859" s="3" t="str">
        <f>"A0089411"</f>
        <v>A0089411</v>
      </c>
      <c r="D22859" s="3" t="s">
        <v>87107</v>
      </c>
      <c r="E22859" s="3" t="s">
        <v>87108</v>
      </c>
      <c r="F22859" s="3" t="s">
        <v>87109</v>
      </c>
      <c r="G22859" s="3" t="s">
        <v>87110</v>
      </c>
      <c r="H22859" s="3">
        <v>124</v>
      </c>
      <c r="I22859" s="3" t="s">
        <v>87111</v>
      </c>
      <c r="J22859" s="3" t="s">
        <v>206</v>
      </c>
      <c r="K22859" s="3" t="s">
        <v>87091</v>
      </c>
      <c r="N22859" s="3" t="s">
        <v>87112</v>
      </c>
      <c r="O22859" s="3" t="s">
        <v>87113</v>
      </c>
      <c r="Q22859" s="3">
        <v>0</v>
      </c>
      <c r="R22859" s="3">
        <v>120</v>
      </c>
      <c r="S22859" s="3">
        <v>0</v>
      </c>
      <c r="T22859" s="3" t="s">
        <v>87114</v>
      </c>
    </row>
    <row r="22860" spans="1:25" x14ac:dyDescent="0.25">
      <c r="A22860" s="5" t="s">
        <v>24</v>
      </c>
      <c r="B22860" s="5" t="s">
        <v>2373</v>
      </c>
      <c r="C22860" s="5" t="str">
        <f>"A0101109"</f>
        <v>A0101109</v>
      </c>
      <c r="D22860" s="5" t="s">
        <v>80111</v>
      </c>
      <c r="E22860" s="5" t="s">
        <v>80112</v>
      </c>
      <c r="F22860" s="5" t="s">
        <v>10998</v>
      </c>
      <c r="G22860" s="5" t="s">
        <v>338</v>
      </c>
      <c r="H22860" s="5">
        <v>7086</v>
      </c>
      <c r="I22860" s="5" t="s">
        <v>30</v>
      </c>
      <c r="J22860" s="5" t="s">
        <v>171</v>
      </c>
      <c r="K22860" s="5" t="s">
        <v>1450</v>
      </c>
      <c r="L22860" s="5"/>
      <c r="M22860" s="5"/>
      <c r="N22860" s="5" t="s">
        <v>80113</v>
      </c>
      <c r="O22860" s="5" t="s">
        <v>64341</v>
      </c>
      <c r="P22860" s="5"/>
      <c r="Q22860" s="5">
        <v>0</v>
      </c>
      <c r="R22860" s="5">
        <v>164</v>
      </c>
      <c r="S22860" s="5">
        <v>0</v>
      </c>
      <c r="T22860" s="5" t="s">
        <v>80114</v>
      </c>
      <c r="U22860" s="5"/>
      <c r="V22860" s="5"/>
      <c r="W22860" s="5"/>
      <c r="X22860" s="5"/>
      <c r="Y22860" s="5"/>
    </row>
    <row r="22861" spans="1:25" customFormat="1" ht="15" x14ac:dyDescent="0.25">
      <c r="A22861" t="s">
        <v>24</v>
      </c>
      <c r="B22861" t="s">
        <v>4855</v>
      </c>
      <c r="C22861" t="str">
        <f>"A0092448"</f>
        <v>A0092448</v>
      </c>
      <c r="D22861" t="s">
        <v>87118</v>
      </c>
      <c r="E22861" t="s">
        <v>87119</v>
      </c>
      <c r="F22861" t="s">
        <v>11560</v>
      </c>
      <c r="G22861" t="s">
        <v>52</v>
      </c>
      <c r="H22861">
        <v>78537</v>
      </c>
      <c r="I22861" t="s">
        <v>30</v>
      </c>
      <c r="J22861" t="s">
        <v>31</v>
      </c>
      <c r="K22861" t="s">
        <v>163</v>
      </c>
      <c r="N22861" t="s">
        <v>87120</v>
      </c>
      <c r="Q22861">
        <v>0</v>
      </c>
      <c r="R22861">
        <v>120</v>
      </c>
      <c r="S22861">
        <v>0</v>
      </c>
      <c r="T22861" t="s">
        <v>87121</v>
      </c>
    </row>
    <row r="22862" spans="1:25" customFormat="1" ht="15" x14ac:dyDescent="0.25">
      <c r="A22862" t="s">
        <v>24</v>
      </c>
      <c r="B22862" t="s">
        <v>1567</v>
      </c>
      <c r="C22862" t="str">
        <f>"A0061181"</f>
        <v>A0061181</v>
      </c>
      <c r="D22862" t="s">
        <v>87122</v>
      </c>
      <c r="E22862" t="s">
        <v>87123</v>
      </c>
      <c r="F22862" t="s">
        <v>2376</v>
      </c>
      <c r="G22862" t="s">
        <v>110</v>
      </c>
      <c r="H22862">
        <v>93940</v>
      </c>
      <c r="I22862" t="s">
        <v>30</v>
      </c>
      <c r="J22862" t="s">
        <v>31</v>
      </c>
      <c r="K22862" t="s">
        <v>163</v>
      </c>
      <c r="N22862" t="s">
        <v>76427</v>
      </c>
      <c r="O22862" t="s">
        <v>87124</v>
      </c>
      <c r="Q22862">
        <v>0</v>
      </c>
      <c r="R22862">
        <v>70</v>
      </c>
      <c r="S22862">
        <v>0</v>
      </c>
      <c r="T22862" t="s">
        <v>87125</v>
      </c>
    </row>
    <row r="22863" spans="1:25" x14ac:dyDescent="0.25">
      <c r="A22863" s="5" t="s">
        <v>24</v>
      </c>
      <c r="B22863" s="5" t="s">
        <v>5435</v>
      </c>
      <c r="C22863" s="5" t="str">
        <f>"56698"</f>
        <v>56698</v>
      </c>
      <c r="D22863" s="5" t="s">
        <v>80115</v>
      </c>
      <c r="E22863" s="5" t="s">
        <v>80116</v>
      </c>
      <c r="F22863" s="5" t="s">
        <v>80117</v>
      </c>
      <c r="G22863" s="5" t="s">
        <v>338</v>
      </c>
      <c r="H22863" s="5">
        <v>7052</v>
      </c>
      <c r="I22863" s="5" t="s">
        <v>30</v>
      </c>
      <c r="J22863" s="5" t="s">
        <v>171</v>
      </c>
      <c r="K22863" s="5" t="s">
        <v>1450</v>
      </c>
      <c r="L22863" s="5"/>
      <c r="M22863" s="5"/>
      <c r="N22863" s="5" t="s">
        <v>80118</v>
      </c>
      <c r="O22863" s="5"/>
      <c r="P22863" s="5"/>
      <c r="Q22863" s="5">
        <v>0</v>
      </c>
      <c r="R22863" s="5">
        <v>128</v>
      </c>
      <c r="S22863" s="5">
        <v>0</v>
      </c>
      <c r="T22863" s="5" t="s">
        <v>80119</v>
      </c>
      <c r="U22863" s="5"/>
      <c r="V22863" s="5"/>
      <c r="W22863" s="5"/>
      <c r="X22863" s="5"/>
      <c r="Y22863" s="5"/>
    </row>
    <row r="22864" spans="1:25" customFormat="1" ht="15" x14ac:dyDescent="0.25">
      <c r="A22864" t="s">
        <v>24</v>
      </c>
      <c r="B22864" t="s">
        <v>675</v>
      </c>
      <c r="C22864" t="str">
        <f>"A0088572"</f>
        <v>A0088572</v>
      </c>
      <c r="D22864" t="s">
        <v>80120</v>
      </c>
      <c r="E22864" t="s">
        <v>80121</v>
      </c>
      <c r="F22864" t="s">
        <v>69759</v>
      </c>
      <c r="G22864" t="s">
        <v>81</v>
      </c>
      <c r="H22864">
        <v>33401</v>
      </c>
      <c r="I22864" t="s">
        <v>30</v>
      </c>
      <c r="J22864" t="s">
        <v>171</v>
      </c>
      <c r="K22864" t="s">
        <v>1450</v>
      </c>
      <c r="N22864" t="s">
        <v>80122</v>
      </c>
      <c r="Q22864">
        <v>0</v>
      </c>
      <c r="R22864">
        <v>170</v>
      </c>
      <c r="S22864">
        <v>0</v>
      </c>
      <c r="T22864" t="s">
        <v>80123</v>
      </c>
    </row>
    <row r="22865" spans="1:25" customFormat="1" ht="15" x14ac:dyDescent="0.25">
      <c r="A22865" t="s">
        <v>24</v>
      </c>
      <c r="B22865" t="s">
        <v>1583</v>
      </c>
      <c r="C22865" t="str">
        <f>"38A70"</f>
        <v>38A70</v>
      </c>
      <c r="D22865" t="s">
        <v>87135</v>
      </c>
      <c r="E22865" t="s">
        <v>87136</v>
      </c>
      <c r="F22865" t="s">
        <v>1889</v>
      </c>
      <c r="G22865" t="s">
        <v>81</v>
      </c>
      <c r="H22865">
        <v>33178</v>
      </c>
      <c r="I22865" t="s">
        <v>30</v>
      </c>
      <c r="J22865" t="s">
        <v>2544</v>
      </c>
      <c r="K22865" t="s">
        <v>36059</v>
      </c>
      <c r="N22865" t="s">
        <v>87137</v>
      </c>
      <c r="O22865" t="s">
        <v>87138</v>
      </c>
      <c r="Q22865">
        <v>0</v>
      </c>
      <c r="R22865">
        <v>98</v>
      </c>
      <c r="S22865">
        <v>0</v>
      </c>
      <c r="T22865" t="s">
        <v>87139</v>
      </c>
    </row>
    <row r="22866" spans="1:25" customFormat="1" ht="15" x14ac:dyDescent="0.25">
      <c r="A22866" t="s">
        <v>24</v>
      </c>
      <c r="B22866" t="s">
        <v>1583</v>
      </c>
      <c r="C22866" t="str">
        <f>"A0098907"</f>
        <v>A0098907</v>
      </c>
      <c r="D22866" t="s">
        <v>87140</v>
      </c>
      <c r="E22866" t="s">
        <v>87141</v>
      </c>
      <c r="F22866" t="s">
        <v>1003</v>
      </c>
      <c r="G22866" t="s">
        <v>81</v>
      </c>
      <c r="H22866">
        <v>33139</v>
      </c>
      <c r="I22866" t="s">
        <v>30</v>
      </c>
      <c r="J22866" t="s">
        <v>191</v>
      </c>
      <c r="K22866" t="s">
        <v>6809</v>
      </c>
      <c r="N22866" t="s">
        <v>87142</v>
      </c>
      <c r="Q22866">
        <v>0</v>
      </c>
      <c r="R22866">
        <v>0</v>
      </c>
      <c r="S22866">
        <v>0</v>
      </c>
      <c r="T22866" t="s">
        <v>87143</v>
      </c>
    </row>
    <row r="22867" spans="1:25" hidden="1" x14ac:dyDescent="0.25">
      <c r="A22867" s="3" t="s">
        <v>24</v>
      </c>
      <c r="B22867" s="3" t="s">
        <v>58155</v>
      </c>
      <c r="C22867" s="3" t="str">
        <f>"A0094148"</f>
        <v>A0094148</v>
      </c>
      <c r="D22867" s="3" t="s">
        <v>87144</v>
      </c>
      <c r="E22867" s="3" t="s">
        <v>58157</v>
      </c>
      <c r="F22867" s="3" t="s">
        <v>5332</v>
      </c>
      <c r="G22867" s="3" t="s">
        <v>2407</v>
      </c>
      <c r="H22867" s="3">
        <v>23400</v>
      </c>
      <c r="I22867" s="3" t="s">
        <v>2408</v>
      </c>
      <c r="J22867" s="3" t="s">
        <v>206</v>
      </c>
      <c r="K22867" s="3" t="s">
        <v>163</v>
      </c>
      <c r="N22867" s="3" t="s">
        <v>58158</v>
      </c>
      <c r="Q22867" s="3">
        <v>0</v>
      </c>
      <c r="R22867" s="3">
        <v>182</v>
      </c>
      <c r="S22867" s="3">
        <v>0</v>
      </c>
      <c r="T22867" s="3" t="s">
        <v>87145</v>
      </c>
    </row>
    <row r="22868" spans="1:25" hidden="1" x14ac:dyDescent="0.25">
      <c r="A22868" s="3" t="s">
        <v>24</v>
      </c>
      <c r="B22868" s="3" t="s">
        <v>58155</v>
      </c>
      <c r="C22868" s="3" t="str">
        <f>"A0099468"</f>
        <v>A0099468</v>
      </c>
      <c r="D22868" s="3" t="s">
        <v>87146</v>
      </c>
      <c r="E22868" s="3" t="s">
        <v>87147</v>
      </c>
      <c r="F22868" s="3" t="s">
        <v>5332</v>
      </c>
      <c r="G22868" s="3" t="s">
        <v>2407</v>
      </c>
      <c r="H22868" s="3">
        <v>23400</v>
      </c>
      <c r="I22868" s="3" t="s">
        <v>2408</v>
      </c>
      <c r="J22868" s="3" t="s">
        <v>206</v>
      </c>
      <c r="K22868" s="3" t="s">
        <v>163</v>
      </c>
      <c r="N22868" s="3" t="s">
        <v>87148</v>
      </c>
      <c r="O22868" s="3" t="s">
        <v>58158</v>
      </c>
      <c r="Q22868" s="3">
        <v>0</v>
      </c>
      <c r="R22868" s="3">
        <v>40</v>
      </c>
      <c r="S22868" s="3">
        <v>0</v>
      </c>
      <c r="T22868" s="3" t="s">
        <v>87149</v>
      </c>
    </row>
    <row r="22869" spans="1:25" customFormat="1" ht="15" x14ac:dyDescent="0.25">
      <c r="A22869" t="s">
        <v>24</v>
      </c>
      <c r="B22869" t="s">
        <v>2528</v>
      </c>
      <c r="C22869" t="str">
        <f>"56918"</f>
        <v>56918</v>
      </c>
      <c r="D22869" t="s">
        <v>80124</v>
      </c>
      <c r="E22869" t="s">
        <v>80125</v>
      </c>
      <c r="F22869" t="s">
        <v>35175</v>
      </c>
      <c r="G22869" t="s">
        <v>99</v>
      </c>
      <c r="H22869">
        <v>10601</v>
      </c>
      <c r="I22869" t="s">
        <v>30</v>
      </c>
      <c r="J22869" t="s">
        <v>171</v>
      </c>
      <c r="K22869" t="s">
        <v>1450</v>
      </c>
      <c r="N22869" t="s">
        <v>80126</v>
      </c>
      <c r="Q22869">
        <v>0</v>
      </c>
      <c r="R22869">
        <v>130</v>
      </c>
      <c r="S22869">
        <v>0</v>
      </c>
      <c r="T22869" t="s">
        <v>80127</v>
      </c>
    </row>
    <row r="22870" spans="1:25" customFormat="1" ht="15" x14ac:dyDescent="0.25">
      <c r="A22870" t="s">
        <v>24</v>
      </c>
      <c r="B22870" t="s">
        <v>4400</v>
      </c>
      <c r="C22870" t="str">
        <f>"A0074847"</f>
        <v>A0074847</v>
      </c>
      <c r="D22870" t="s">
        <v>80128</v>
      </c>
      <c r="E22870" t="s">
        <v>80129</v>
      </c>
      <c r="F22870" t="s">
        <v>1871</v>
      </c>
      <c r="G22870" t="s">
        <v>925</v>
      </c>
      <c r="H22870">
        <v>67206</v>
      </c>
      <c r="I22870" t="s">
        <v>30</v>
      </c>
      <c r="J22870" t="s">
        <v>171</v>
      </c>
      <c r="K22870" t="s">
        <v>1450</v>
      </c>
      <c r="N22870" t="s">
        <v>80130</v>
      </c>
      <c r="O22870" t="s">
        <v>80131</v>
      </c>
      <c r="Q22870">
        <v>0</v>
      </c>
      <c r="R22870">
        <v>93</v>
      </c>
      <c r="S22870">
        <v>0</v>
      </c>
      <c r="T22870" t="s">
        <v>80132</v>
      </c>
    </row>
    <row r="22871" spans="1:25" customFormat="1" ht="15" x14ac:dyDescent="0.25">
      <c r="A22871" t="s">
        <v>24</v>
      </c>
      <c r="B22871" t="s">
        <v>1020</v>
      </c>
      <c r="C22871" t="str">
        <f>"56831"</f>
        <v>56831</v>
      </c>
      <c r="D22871" t="s">
        <v>80133</v>
      </c>
      <c r="E22871" t="s">
        <v>80134</v>
      </c>
      <c r="F22871" t="s">
        <v>11257</v>
      </c>
      <c r="G22871" t="s">
        <v>29</v>
      </c>
      <c r="H22871">
        <v>23185</v>
      </c>
      <c r="I22871" t="s">
        <v>30</v>
      </c>
      <c r="J22871" t="s">
        <v>171</v>
      </c>
      <c r="K22871" t="s">
        <v>1450</v>
      </c>
      <c r="N22871" t="s">
        <v>80135</v>
      </c>
      <c r="Q22871">
        <v>0</v>
      </c>
      <c r="R22871">
        <v>108</v>
      </c>
      <c r="S22871">
        <v>0</v>
      </c>
      <c r="T22871" t="s">
        <v>80136</v>
      </c>
    </row>
    <row r="22872" spans="1:25" customFormat="1" ht="15" hidden="1" x14ac:dyDescent="0.25">
      <c r="A22872" t="s">
        <v>24</v>
      </c>
      <c r="B22872" t="s">
        <v>2360</v>
      </c>
      <c r="C22872" t="str">
        <f>"A0076144"</f>
        <v>A0076144</v>
      </c>
      <c r="D22872" t="s">
        <v>87163</v>
      </c>
      <c r="E22872" t="s">
        <v>87164</v>
      </c>
      <c r="F22872" t="s">
        <v>75917</v>
      </c>
      <c r="G22872" t="s">
        <v>4481</v>
      </c>
      <c r="H22872">
        <v>48390</v>
      </c>
      <c r="I22872" t="s">
        <v>2408</v>
      </c>
      <c r="J22872" t="s">
        <v>2415</v>
      </c>
      <c r="K22872" t="s">
        <v>56092</v>
      </c>
      <c r="N22872" t="s">
        <v>75491</v>
      </c>
      <c r="P22872" t="s">
        <v>6426</v>
      </c>
      <c r="Q22872">
        <v>2</v>
      </c>
      <c r="R22872">
        <v>0</v>
      </c>
      <c r="S22872">
        <v>0</v>
      </c>
      <c r="T22872" t="s">
        <v>87165</v>
      </c>
    </row>
    <row r="22873" spans="1:25" customFormat="1" ht="15" x14ac:dyDescent="0.25">
      <c r="A22873" t="s">
        <v>24</v>
      </c>
      <c r="B22873" t="s">
        <v>1583</v>
      </c>
      <c r="C22873" t="str">
        <f>"A0098355"</f>
        <v>A0098355</v>
      </c>
      <c r="D22873" t="s">
        <v>87166</v>
      </c>
      <c r="E22873" t="s">
        <v>87167</v>
      </c>
      <c r="F22873" t="s">
        <v>87168</v>
      </c>
      <c r="G22873" t="s">
        <v>81</v>
      </c>
      <c r="H22873">
        <v>34957</v>
      </c>
      <c r="I22873" t="s">
        <v>30</v>
      </c>
      <c r="J22873" t="s">
        <v>2544</v>
      </c>
      <c r="K22873" t="s">
        <v>87169</v>
      </c>
      <c r="N22873" t="s">
        <v>87170</v>
      </c>
      <c r="O22873" t="s">
        <v>87171</v>
      </c>
      <c r="Q22873">
        <v>0</v>
      </c>
      <c r="R22873">
        <v>76</v>
      </c>
      <c r="S22873">
        <v>0</v>
      </c>
      <c r="T22873" t="s">
        <v>81050</v>
      </c>
    </row>
    <row r="22874" spans="1:25" customFormat="1" ht="15" x14ac:dyDescent="0.25">
      <c r="A22874" t="s">
        <v>24</v>
      </c>
      <c r="B22874" t="s">
        <v>10097</v>
      </c>
      <c r="C22874" t="str">
        <f>"56644"</f>
        <v>56644</v>
      </c>
      <c r="D22874" t="s">
        <v>80137</v>
      </c>
      <c r="E22874" t="s">
        <v>80138</v>
      </c>
      <c r="F22874" t="s">
        <v>1201</v>
      </c>
      <c r="G22874" t="s">
        <v>214</v>
      </c>
      <c r="H22874">
        <v>28405</v>
      </c>
      <c r="I22874" t="s">
        <v>30</v>
      </c>
      <c r="J22874" t="s">
        <v>171</v>
      </c>
      <c r="K22874" t="s">
        <v>1450</v>
      </c>
      <c r="N22874" t="s">
        <v>80139</v>
      </c>
      <c r="Q22874">
        <v>0</v>
      </c>
      <c r="R22874">
        <v>90</v>
      </c>
      <c r="S22874">
        <v>0</v>
      </c>
      <c r="T22874" t="s">
        <v>80140</v>
      </c>
    </row>
    <row r="22875" spans="1:25" x14ac:dyDescent="0.25">
      <c r="A22875" s="5" t="s">
        <v>24</v>
      </c>
      <c r="B22875" s="5" t="s">
        <v>11027</v>
      </c>
      <c r="C22875" s="5" t="str">
        <f>"A0097679"</f>
        <v>A0097679</v>
      </c>
      <c r="D22875" s="5" t="s">
        <v>80141</v>
      </c>
      <c r="E22875" s="5" t="s">
        <v>80142</v>
      </c>
      <c r="F22875" s="5" t="s">
        <v>16277</v>
      </c>
      <c r="G22875" s="5" t="s">
        <v>214</v>
      </c>
      <c r="H22875" s="5">
        <v>27103</v>
      </c>
      <c r="I22875" s="5" t="s">
        <v>30</v>
      </c>
      <c r="J22875" s="5" t="s">
        <v>171</v>
      </c>
      <c r="K22875" s="5" t="s">
        <v>1450</v>
      </c>
      <c r="L22875" s="5"/>
      <c r="M22875" s="5"/>
      <c r="N22875" s="5" t="s">
        <v>80143</v>
      </c>
      <c r="O22875" s="5" t="s">
        <v>80144</v>
      </c>
      <c r="P22875" s="5"/>
      <c r="Q22875" s="5">
        <v>0</v>
      </c>
      <c r="R22875" s="5">
        <v>108</v>
      </c>
      <c r="S22875" s="5">
        <v>0</v>
      </c>
      <c r="T22875" s="5" t="s">
        <v>80145</v>
      </c>
      <c r="U22875" s="5"/>
      <c r="V22875" s="5"/>
      <c r="W22875" s="5"/>
      <c r="X22875" s="5"/>
      <c r="Y22875" s="5"/>
    </row>
    <row r="22876" spans="1:25" x14ac:dyDescent="0.25">
      <c r="A22876" s="5" t="s">
        <v>24</v>
      </c>
      <c r="B22876" s="5" t="s">
        <v>1849</v>
      </c>
      <c r="C22876" s="5" t="str">
        <f>"56532"</f>
        <v>56532</v>
      </c>
      <c r="D22876" s="5" t="s">
        <v>80146</v>
      </c>
      <c r="E22876" s="5" t="s">
        <v>80147</v>
      </c>
      <c r="F22876" s="5" t="s">
        <v>53258</v>
      </c>
      <c r="G22876" s="5" t="s">
        <v>899</v>
      </c>
      <c r="H22876" s="5">
        <v>1801</v>
      </c>
      <c r="I22876" s="5" t="s">
        <v>30</v>
      </c>
      <c r="J22876" s="5" t="s">
        <v>171</v>
      </c>
      <c r="K22876" s="5" t="s">
        <v>1450</v>
      </c>
      <c r="L22876" s="5"/>
      <c r="M22876" s="5"/>
      <c r="N22876" s="5" t="s">
        <v>80148</v>
      </c>
      <c r="O22876" s="5" t="s">
        <v>80149</v>
      </c>
      <c r="P22876" s="5"/>
      <c r="Q22876" s="5">
        <v>0</v>
      </c>
      <c r="R22876" s="5">
        <v>149</v>
      </c>
      <c r="S22876" s="5">
        <v>0</v>
      </c>
      <c r="T22876" s="5" t="s">
        <v>80150</v>
      </c>
      <c r="U22876" s="5"/>
      <c r="V22876" s="5"/>
      <c r="W22876" s="5"/>
      <c r="X22876" s="5"/>
      <c r="Y22876" s="5"/>
    </row>
    <row r="22877" spans="1:25" x14ac:dyDescent="0.25">
      <c r="A22877" s="5" t="s">
        <v>24</v>
      </c>
      <c r="B22877" s="5" t="s">
        <v>59233</v>
      </c>
      <c r="C22877" s="5" t="str">
        <f>"A0091439"</f>
        <v>A0091439</v>
      </c>
      <c r="D22877" s="5" t="s">
        <v>80151</v>
      </c>
      <c r="E22877" s="5" t="s">
        <v>80152</v>
      </c>
      <c r="F22877" s="5" t="s">
        <v>2511</v>
      </c>
      <c r="G22877" s="5" t="s">
        <v>338</v>
      </c>
      <c r="H22877" s="5">
        <v>7095</v>
      </c>
      <c r="I22877" s="5" t="s">
        <v>30</v>
      </c>
      <c r="J22877" s="5" t="s">
        <v>171</v>
      </c>
      <c r="K22877" s="5" t="s">
        <v>1450</v>
      </c>
      <c r="L22877" s="5"/>
      <c r="M22877" s="5"/>
      <c r="N22877" s="5" t="s">
        <v>80153</v>
      </c>
      <c r="O22877" s="5" t="s">
        <v>80154</v>
      </c>
      <c r="P22877" s="5"/>
      <c r="Q22877" s="5">
        <v>0</v>
      </c>
      <c r="R22877" s="5">
        <v>107</v>
      </c>
      <c r="S22877" s="5">
        <v>0</v>
      </c>
      <c r="T22877" s="5" t="s">
        <v>80155</v>
      </c>
      <c r="U22877" s="5"/>
      <c r="V22877" s="5"/>
      <c r="W22877" s="5"/>
      <c r="X22877" s="5"/>
      <c r="Y22877" s="5"/>
    </row>
    <row r="22878" spans="1:25" x14ac:dyDescent="0.25">
      <c r="A22878" s="5" t="s">
        <v>24</v>
      </c>
      <c r="B22878" s="5" t="s">
        <v>5537</v>
      </c>
      <c r="C22878" s="5" t="str">
        <f>"A0087949"</f>
        <v>A0087949</v>
      </c>
      <c r="D22878" s="5" t="s">
        <v>80156</v>
      </c>
      <c r="E22878" s="5" t="s">
        <v>80157</v>
      </c>
      <c r="F22878" s="5" t="s">
        <v>62184</v>
      </c>
      <c r="G22878" s="5" t="s">
        <v>99</v>
      </c>
      <c r="H22878" s="5">
        <v>10701</v>
      </c>
      <c r="I22878" s="5" t="s">
        <v>30</v>
      </c>
      <c r="J22878" s="5" t="s">
        <v>171</v>
      </c>
      <c r="K22878" s="5" t="s">
        <v>1450</v>
      </c>
      <c r="L22878" s="5"/>
      <c r="M22878" s="5"/>
      <c r="N22878" s="5" t="s">
        <v>62185</v>
      </c>
      <c r="O22878" s="5" t="s">
        <v>62186</v>
      </c>
      <c r="P22878" s="5"/>
      <c r="Q22878" s="5">
        <v>0</v>
      </c>
      <c r="R22878" s="5">
        <v>144</v>
      </c>
      <c r="S22878" s="5">
        <v>0</v>
      </c>
      <c r="T22878" s="5" t="s">
        <v>80158</v>
      </c>
      <c r="U22878" s="5"/>
      <c r="V22878" s="5"/>
      <c r="W22878" s="5"/>
      <c r="X22878" s="5"/>
      <c r="Y22878" s="5"/>
    </row>
    <row r="22879" spans="1:25" x14ac:dyDescent="0.25">
      <c r="A22879" s="5" t="s">
        <v>24</v>
      </c>
      <c r="B22879" s="5" t="s">
        <v>2368</v>
      </c>
      <c r="C22879" s="5" t="str">
        <f>"A0083448"</f>
        <v>A0083448</v>
      </c>
      <c r="D22879" s="5" t="s">
        <v>80159</v>
      </c>
      <c r="E22879" s="5" t="s">
        <v>80160</v>
      </c>
      <c r="F22879" s="5" t="s">
        <v>74175</v>
      </c>
      <c r="G22879" s="5" t="s">
        <v>110</v>
      </c>
      <c r="H22879" s="5">
        <v>91362</v>
      </c>
      <c r="I22879" s="5" t="s">
        <v>30</v>
      </c>
      <c r="J22879" s="5" t="s">
        <v>171</v>
      </c>
      <c r="K22879" s="5" t="s">
        <v>1450</v>
      </c>
      <c r="L22879" s="5"/>
      <c r="M22879" s="5"/>
      <c r="N22879" s="5" t="s">
        <v>80161</v>
      </c>
      <c r="O22879" s="5" t="s">
        <v>80162</v>
      </c>
      <c r="P22879" s="5"/>
      <c r="Q22879" s="5">
        <v>0</v>
      </c>
      <c r="R22879" s="5">
        <v>160</v>
      </c>
      <c r="S22879" s="5">
        <v>0</v>
      </c>
      <c r="T22879" s="5" t="s">
        <v>80163</v>
      </c>
      <c r="U22879" s="5"/>
      <c r="V22879" s="5"/>
      <c r="W22879" s="5"/>
      <c r="X22879" s="5"/>
      <c r="Y22879" s="5"/>
    </row>
    <row r="22880" spans="1:25" x14ac:dyDescent="0.25">
      <c r="A22880" s="5" t="s">
        <v>24</v>
      </c>
      <c r="B22880" s="5" t="s">
        <v>3045</v>
      </c>
      <c r="C22880" s="5" t="str">
        <f>"A0099851"</f>
        <v>A0099851</v>
      </c>
      <c r="D22880" s="5" t="s">
        <v>80244</v>
      </c>
      <c r="E22880" s="5" t="s">
        <v>80245</v>
      </c>
      <c r="F22880" s="5" t="s">
        <v>57359</v>
      </c>
      <c r="G22880" s="5" t="s">
        <v>3049</v>
      </c>
      <c r="H22880" s="5">
        <v>99701</v>
      </c>
      <c r="I22880" s="5" t="s">
        <v>30</v>
      </c>
      <c r="J22880" s="5" t="s">
        <v>171</v>
      </c>
      <c r="K22880" s="5" t="s">
        <v>163</v>
      </c>
      <c r="L22880" s="5"/>
      <c r="M22880" s="5"/>
      <c r="N22880" s="5" t="s">
        <v>80246</v>
      </c>
      <c r="O22880" s="5"/>
      <c r="P22880" s="5"/>
      <c r="Q22880" s="5">
        <v>0</v>
      </c>
      <c r="R22880" s="5">
        <v>94</v>
      </c>
      <c r="S22880" s="5">
        <v>0</v>
      </c>
      <c r="T22880" s="5" t="s">
        <v>80247</v>
      </c>
      <c r="U22880" s="5"/>
      <c r="V22880" s="5"/>
      <c r="W22880" s="5"/>
      <c r="X22880" s="5"/>
      <c r="Y22880" s="5"/>
    </row>
    <row r="22881" spans="1:25" x14ac:dyDescent="0.25">
      <c r="A22881" s="5" t="s">
        <v>24</v>
      </c>
      <c r="B22881" s="5" t="s">
        <v>80248</v>
      </c>
      <c r="C22881" s="5" t="str">
        <f>"A0068047"</f>
        <v>A0068047</v>
      </c>
      <c r="D22881" s="5" t="s">
        <v>80249</v>
      </c>
      <c r="E22881" s="5" t="s">
        <v>80250</v>
      </c>
      <c r="F22881" s="5" t="s">
        <v>61899</v>
      </c>
      <c r="G22881" s="5" t="s">
        <v>338</v>
      </c>
      <c r="H22881" s="5">
        <v>8512</v>
      </c>
      <c r="I22881" s="5" t="s">
        <v>30</v>
      </c>
      <c r="J22881" s="5" t="s">
        <v>171</v>
      </c>
      <c r="K22881" s="5" t="s">
        <v>1147</v>
      </c>
      <c r="L22881" s="5"/>
      <c r="M22881" s="5"/>
      <c r="N22881" s="5" t="s">
        <v>80251</v>
      </c>
      <c r="O22881" s="5" t="s">
        <v>80252</v>
      </c>
      <c r="P22881" s="5"/>
      <c r="Q22881" s="5">
        <v>0</v>
      </c>
      <c r="R22881" s="5">
        <v>87</v>
      </c>
      <c r="S22881" s="5">
        <v>0</v>
      </c>
      <c r="T22881" s="5" t="s">
        <v>80253</v>
      </c>
      <c r="U22881" s="5"/>
      <c r="V22881" s="5"/>
      <c r="W22881" s="5"/>
      <c r="X22881" s="5"/>
      <c r="Y22881" s="5"/>
    </row>
    <row r="22882" spans="1:25" x14ac:dyDescent="0.25">
      <c r="A22882" s="5" t="s">
        <v>24</v>
      </c>
      <c r="B22882" s="5" t="s">
        <v>80661</v>
      </c>
      <c r="C22882" s="5" t="str">
        <f>"56872"</f>
        <v>56872</v>
      </c>
      <c r="D22882" s="5" t="s">
        <v>80662</v>
      </c>
      <c r="E22882" s="5" t="s">
        <v>80663</v>
      </c>
      <c r="F22882" s="5" t="s">
        <v>72000</v>
      </c>
      <c r="G22882" s="5" t="s">
        <v>110</v>
      </c>
      <c r="H22882" s="5">
        <v>94550</v>
      </c>
      <c r="I22882" s="5" t="s">
        <v>30</v>
      </c>
      <c r="J22882" s="5" t="s">
        <v>171</v>
      </c>
      <c r="K22882" s="5" t="s">
        <v>163</v>
      </c>
      <c r="L22882" s="5"/>
      <c r="M22882" s="5"/>
      <c r="N22882" s="5" t="s">
        <v>80664</v>
      </c>
      <c r="O22882" s="5"/>
      <c r="P22882" s="5"/>
      <c r="Q22882" s="5">
        <v>0</v>
      </c>
      <c r="R22882" s="5">
        <v>96</v>
      </c>
      <c r="S22882" s="5">
        <v>0</v>
      </c>
      <c r="T22882" s="5" t="s">
        <v>80665</v>
      </c>
      <c r="U22882" s="5"/>
      <c r="V22882" s="5"/>
      <c r="W22882" s="5"/>
      <c r="X22882" s="5"/>
      <c r="Y22882" s="5"/>
    </row>
    <row r="22883" spans="1:25" x14ac:dyDescent="0.25">
      <c r="A22883" s="5" t="s">
        <v>24</v>
      </c>
      <c r="B22883" s="5" t="s">
        <v>76992</v>
      </c>
      <c r="C22883" s="5" t="str">
        <f>"A0095735"</f>
        <v>A0095735</v>
      </c>
      <c r="D22883" s="5" t="s">
        <v>81207</v>
      </c>
      <c r="E22883" s="5" t="s">
        <v>81208</v>
      </c>
      <c r="F22883" s="5" t="s">
        <v>1865</v>
      </c>
      <c r="G22883" s="5" t="s">
        <v>110</v>
      </c>
      <c r="H22883" s="5">
        <v>90401</v>
      </c>
      <c r="I22883" s="5" t="s">
        <v>30</v>
      </c>
      <c r="J22883" s="5" t="s">
        <v>171</v>
      </c>
      <c r="K22883" s="5" t="s">
        <v>163</v>
      </c>
      <c r="L22883" s="5"/>
      <c r="M22883" s="5"/>
      <c r="N22883" s="5" t="s">
        <v>81209</v>
      </c>
      <c r="O22883" s="5" t="s">
        <v>81210</v>
      </c>
      <c r="P22883" s="5"/>
      <c r="Q22883" s="5">
        <v>0</v>
      </c>
      <c r="R22883" s="5">
        <v>164</v>
      </c>
      <c r="S22883" s="5">
        <v>0</v>
      </c>
      <c r="T22883" s="5" t="s">
        <v>81211</v>
      </c>
      <c r="U22883" s="5"/>
      <c r="V22883" s="5"/>
      <c r="W22883" s="5"/>
      <c r="X22883" s="5"/>
      <c r="Y22883" s="5"/>
    </row>
    <row r="22884" spans="1:25" x14ac:dyDescent="0.25">
      <c r="A22884" s="5" t="s">
        <v>24</v>
      </c>
      <c r="B22884" s="5" t="s">
        <v>54986</v>
      </c>
      <c r="C22884" s="5" t="str">
        <f>"A0157393"</f>
        <v>A0157393</v>
      </c>
      <c r="D22884" s="5" t="s">
        <v>81240</v>
      </c>
      <c r="E22884" s="5" t="s">
        <v>81241</v>
      </c>
      <c r="F22884" s="5" t="s">
        <v>58467</v>
      </c>
      <c r="G22884" s="5" t="s">
        <v>103</v>
      </c>
      <c r="H22884" s="5">
        <v>18428</v>
      </c>
      <c r="I22884" s="5" t="s">
        <v>30</v>
      </c>
      <c r="J22884" s="5" t="s">
        <v>171</v>
      </c>
      <c r="K22884" s="5" t="s">
        <v>163</v>
      </c>
      <c r="L22884" s="5"/>
      <c r="M22884" s="5"/>
      <c r="N22884" s="5" t="s">
        <v>81242</v>
      </c>
      <c r="O22884" s="5" t="s">
        <v>58469</v>
      </c>
      <c r="P22884" s="5"/>
      <c r="Q22884" s="5">
        <v>0</v>
      </c>
      <c r="R22884" s="5">
        <v>29</v>
      </c>
      <c r="S22884" s="5">
        <v>0</v>
      </c>
      <c r="T22884" s="5" t="s">
        <v>81243</v>
      </c>
      <c r="U22884" s="5"/>
      <c r="V22884" s="5"/>
      <c r="W22884" s="5"/>
      <c r="X22884" s="5"/>
      <c r="Y22884" s="5"/>
    </row>
    <row r="22885" spans="1:25" x14ac:dyDescent="0.25">
      <c r="A22885" s="5" t="s">
        <v>24</v>
      </c>
      <c r="B22885" s="5" t="s">
        <v>805</v>
      </c>
      <c r="C22885" s="5" t="str">
        <f>"34141"</f>
        <v>34141</v>
      </c>
      <c r="D22885" s="5" t="s">
        <v>81458</v>
      </c>
      <c r="E22885" s="5" t="s">
        <v>81459</v>
      </c>
      <c r="F22885" s="5" t="s">
        <v>2051</v>
      </c>
      <c r="G22885" s="5" t="s">
        <v>846</v>
      </c>
      <c r="H22885" s="5">
        <v>30096</v>
      </c>
      <c r="I22885" s="5" t="s">
        <v>30</v>
      </c>
      <c r="J22885" s="5" t="s">
        <v>171</v>
      </c>
      <c r="K22885" s="5" t="s">
        <v>809</v>
      </c>
      <c r="L22885" s="5"/>
      <c r="M22885" s="5"/>
      <c r="N22885" s="5" t="s">
        <v>81460</v>
      </c>
      <c r="O22885" s="5" t="s">
        <v>81461</v>
      </c>
      <c r="P22885" s="5"/>
      <c r="Q22885" s="5">
        <v>0</v>
      </c>
      <c r="R22885" s="5">
        <v>426</v>
      </c>
      <c r="S22885" s="5">
        <v>0</v>
      </c>
      <c r="T22885" s="5" t="s">
        <v>81462</v>
      </c>
      <c r="U22885" s="5"/>
      <c r="V22885" s="5"/>
      <c r="W22885" s="5"/>
      <c r="X22885" s="5"/>
      <c r="Y22885" s="5"/>
    </row>
    <row r="22886" spans="1:25" hidden="1" x14ac:dyDescent="0.25">
      <c r="A22886" s="3" t="s">
        <v>24</v>
      </c>
      <c r="B22886" s="3" t="s">
        <v>675</v>
      </c>
      <c r="C22886" s="3" t="str">
        <f>"A0096859"</f>
        <v>A0096859</v>
      </c>
      <c r="D22886" s="3" t="s">
        <v>87225</v>
      </c>
      <c r="E22886" s="3" t="s">
        <v>87226</v>
      </c>
      <c r="F22886" s="3" t="s">
        <v>5874</v>
      </c>
      <c r="G22886" s="3" t="s">
        <v>3843</v>
      </c>
      <c r="H22886" s="3">
        <v>11560</v>
      </c>
      <c r="I22886" s="3" t="s">
        <v>2408</v>
      </c>
      <c r="J22886" s="3" t="s">
        <v>206</v>
      </c>
      <c r="K22886" s="3" t="s">
        <v>16717</v>
      </c>
      <c r="N22886" s="3" t="s">
        <v>87227</v>
      </c>
      <c r="Q22886" s="3">
        <v>0</v>
      </c>
      <c r="R22886" s="3">
        <v>237</v>
      </c>
      <c r="S22886" s="3">
        <v>0</v>
      </c>
      <c r="T22886" s="3" t="s">
        <v>87228</v>
      </c>
    </row>
    <row r="22887" spans="1:25" x14ac:dyDescent="0.25">
      <c r="A22887" s="5" t="s">
        <v>24</v>
      </c>
      <c r="B22887" s="5" t="s">
        <v>805</v>
      </c>
      <c r="C22887" s="5" t="str">
        <f>"A0095622"</f>
        <v>A0095622</v>
      </c>
      <c r="D22887" s="5" t="s">
        <v>81463</v>
      </c>
      <c r="E22887" s="5" t="s">
        <v>81464</v>
      </c>
      <c r="F22887" s="5" t="s">
        <v>81465</v>
      </c>
      <c r="G22887" s="5" t="s">
        <v>52</v>
      </c>
      <c r="H22887" s="5">
        <v>78738</v>
      </c>
      <c r="I22887" s="5" t="s">
        <v>30</v>
      </c>
      <c r="J22887" s="5" t="s">
        <v>171</v>
      </c>
      <c r="K22887" s="5" t="s">
        <v>809</v>
      </c>
      <c r="L22887" s="5"/>
      <c r="M22887" s="5"/>
      <c r="N22887" s="5" t="s">
        <v>81466</v>
      </c>
      <c r="O22887" s="5"/>
      <c r="P22887" s="5"/>
      <c r="Q22887" s="5">
        <v>0</v>
      </c>
      <c r="R22887" s="5">
        <v>195</v>
      </c>
      <c r="S22887" s="5">
        <v>0</v>
      </c>
      <c r="T22887" s="5" t="s">
        <v>81467</v>
      </c>
      <c r="U22887" s="5"/>
      <c r="V22887" s="5"/>
      <c r="W22887" s="5"/>
      <c r="X22887" s="5"/>
      <c r="Y22887" s="5"/>
    </row>
    <row r="22888" spans="1:25" x14ac:dyDescent="0.25">
      <c r="A22888" s="5" t="s">
        <v>24</v>
      </c>
      <c r="B22888" s="5" t="s">
        <v>805</v>
      </c>
      <c r="C22888" s="5" t="str">
        <f>"SF02129"</f>
        <v>SF02129</v>
      </c>
      <c r="D22888" s="5" t="s">
        <v>81807</v>
      </c>
      <c r="E22888" s="5" t="s">
        <v>81808</v>
      </c>
      <c r="F22888" s="5" t="s">
        <v>1570</v>
      </c>
      <c r="G22888" s="5" t="s">
        <v>81</v>
      </c>
      <c r="H22888" s="5">
        <v>33304</v>
      </c>
      <c r="I22888" s="5" t="s">
        <v>30</v>
      </c>
      <c r="J22888" s="5" t="s">
        <v>171</v>
      </c>
      <c r="K22888" s="5" t="s">
        <v>809</v>
      </c>
      <c r="L22888" s="5"/>
      <c r="M22888" s="5"/>
      <c r="N22888" s="5" t="s">
        <v>81809</v>
      </c>
      <c r="O22888" s="5"/>
      <c r="P22888" s="5"/>
      <c r="Q22888" s="5">
        <v>0</v>
      </c>
      <c r="R22888" s="5">
        <v>240</v>
      </c>
      <c r="S22888" s="5">
        <v>0</v>
      </c>
      <c r="T22888" s="5" t="s">
        <v>81810</v>
      </c>
      <c r="U22888" s="5"/>
      <c r="V22888" s="5"/>
      <c r="W22888" s="5"/>
      <c r="X22888" s="5"/>
      <c r="Y22888" s="5"/>
    </row>
    <row r="22889" spans="1:25" hidden="1" x14ac:dyDescent="0.25">
      <c r="A22889" s="3" t="s">
        <v>24</v>
      </c>
      <c r="B22889" s="3" t="s">
        <v>675</v>
      </c>
      <c r="C22889" s="3" t="str">
        <f>"A0096717"</f>
        <v>A0096717</v>
      </c>
      <c r="D22889" s="3" t="s">
        <v>87237</v>
      </c>
      <c r="E22889" s="3" t="s">
        <v>87238</v>
      </c>
      <c r="F22889" s="3" t="s">
        <v>5438</v>
      </c>
      <c r="G22889" s="3" t="s">
        <v>5439</v>
      </c>
      <c r="H22889" s="3" t="s">
        <v>87239</v>
      </c>
      <c r="I22889" s="3" t="s">
        <v>1459</v>
      </c>
      <c r="J22889" s="3" t="s">
        <v>206</v>
      </c>
      <c r="K22889" s="3" t="s">
        <v>16717</v>
      </c>
      <c r="N22889" s="3" t="s">
        <v>87240</v>
      </c>
      <c r="Q22889" s="3">
        <v>0</v>
      </c>
      <c r="R22889" s="3">
        <v>152</v>
      </c>
      <c r="S22889" s="3">
        <v>0</v>
      </c>
      <c r="T22889" s="3" t="s">
        <v>87241</v>
      </c>
    </row>
    <row r="22890" spans="1:25" x14ac:dyDescent="0.25">
      <c r="A22890" s="5" t="s">
        <v>24</v>
      </c>
      <c r="B22890" s="5" t="s">
        <v>805</v>
      </c>
      <c r="C22890" s="5" t="str">
        <f>"SC110"</f>
        <v>SC110</v>
      </c>
      <c r="D22890" s="5" t="s">
        <v>81811</v>
      </c>
      <c r="E22890" s="5" t="s">
        <v>81812</v>
      </c>
      <c r="F22890" s="5" t="s">
        <v>9812</v>
      </c>
      <c r="G22890" s="5" t="s">
        <v>103</v>
      </c>
      <c r="H22890" s="5">
        <v>19103</v>
      </c>
      <c r="I22890" s="5" t="s">
        <v>30</v>
      </c>
      <c r="J22890" s="5" t="s">
        <v>171</v>
      </c>
      <c r="K22890" s="5" t="s">
        <v>809</v>
      </c>
      <c r="L22890" s="5"/>
      <c r="M22890" s="5"/>
      <c r="N22890" s="5" t="s">
        <v>81813</v>
      </c>
      <c r="O22890" s="5" t="s">
        <v>81814</v>
      </c>
      <c r="P22890" s="5"/>
      <c r="Q22890" s="5">
        <v>0</v>
      </c>
      <c r="R22890" s="5">
        <v>439</v>
      </c>
      <c r="S22890" s="5">
        <v>0</v>
      </c>
      <c r="T22890" s="5" t="s">
        <v>81815</v>
      </c>
      <c r="U22890" s="5"/>
      <c r="V22890" s="5"/>
      <c r="W22890" s="5"/>
      <c r="X22890" s="5"/>
      <c r="Y22890" s="5"/>
    </row>
    <row r="22891" spans="1:25" x14ac:dyDescent="0.25">
      <c r="A22891" s="5" t="s">
        <v>24</v>
      </c>
      <c r="B22891" s="5" t="s">
        <v>805</v>
      </c>
      <c r="C22891" s="5" t="str">
        <f>"SC116"</f>
        <v>SC116</v>
      </c>
      <c r="D22891" s="5" t="s">
        <v>81821</v>
      </c>
      <c r="E22891" s="5" t="s">
        <v>81822</v>
      </c>
      <c r="F22891" s="5" t="s">
        <v>60633</v>
      </c>
      <c r="G22891" s="5" t="s">
        <v>58</v>
      </c>
      <c r="H22891" s="5">
        <v>29928</v>
      </c>
      <c r="I22891" s="5" t="s">
        <v>30</v>
      </c>
      <c r="J22891" s="5" t="s">
        <v>171</v>
      </c>
      <c r="K22891" s="5" t="s">
        <v>809</v>
      </c>
      <c r="L22891" s="5"/>
      <c r="M22891" s="5"/>
      <c r="N22891" s="5" t="s">
        <v>81823</v>
      </c>
      <c r="O22891" s="5" t="s">
        <v>81824</v>
      </c>
      <c r="P22891" s="5"/>
      <c r="Q22891" s="5">
        <v>0</v>
      </c>
      <c r="R22891" s="5">
        <v>340</v>
      </c>
      <c r="S22891" s="5">
        <v>0</v>
      </c>
      <c r="T22891" s="5" t="s">
        <v>81825</v>
      </c>
      <c r="U22891" s="5"/>
      <c r="V22891" s="5"/>
      <c r="W22891" s="5"/>
      <c r="X22891" s="5"/>
      <c r="Y22891" s="5"/>
    </row>
    <row r="22892" spans="1:25" x14ac:dyDescent="0.25">
      <c r="A22892" s="5" t="s">
        <v>24</v>
      </c>
      <c r="B22892" s="5" t="s">
        <v>805</v>
      </c>
      <c r="C22892" s="5" t="str">
        <f>"A0076802"</f>
        <v>A0076802</v>
      </c>
      <c r="D22892" s="5" t="s">
        <v>82104</v>
      </c>
      <c r="E22892" s="5" t="s">
        <v>82105</v>
      </c>
      <c r="F22892" s="5" t="s">
        <v>35211</v>
      </c>
      <c r="G22892" s="5" t="s">
        <v>110</v>
      </c>
      <c r="H22892" s="5">
        <v>95035</v>
      </c>
      <c r="I22892" s="5" t="s">
        <v>30</v>
      </c>
      <c r="J22892" s="5" t="s">
        <v>171</v>
      </c>
      <c r="K22892" s="5" t="s">
        <v>809</v>
      </c>
      <c r="L22892" s="5"/>
      <c r="M22892" s="5"/>
      <c r="N22892" s="5" t="s">
        <v>35150</v>
      </c>
      <c r="O22892" s="5" t="s">
        <v>82106</v>
      </c>
      <c r="P22892" s="5"/>
      <c r="Q22892" s="5">
        <v>0</v>
      </c>
      <c r="R22892" s="5">
        <v>236</v>
      </c>
      <c r="S22892" s="5">
        <v>0</v>
      </c>
      <c r="T22892" s="5" t="s">
        <v>82107</v>
      </c>
      <c r="U22892" s="5"/>
      <c r="V22892" s="5"/>
      <c r="W22892" s="5"/>
      <c r="X22892" s="5"/>
      <c r="Y22892" s="5"/>
    </row>
    <row r="22893" spans="1:25" hidden="1" x14ac:dyDescent="0.25">
      <c r="A22893" s="3" t="s">
        <v>24</v>
      </c>
      <c r="B22893" s="3" t="s">
        <v>675</v>
      </c>
      <c r="C22893" s="3" t="str">
        <f>"A0098085"</f>
        <v>A0098085</v>
      </c>
      <c r="D22893" s="3" t="s">
        <v>87254</v>
      </c>
      <c r="E22893" s="3" t="s">
        <v>87255</v>
      </c>
      <c r="F22893" s="3" t="s">
        <v>3145</v>
      </c>
      <c r="G22893" s="3" t="s">
        <v>8864</v>
      </c>
      <c r="I22893" s="3" t="s">
        <v>3147</v>
      </c>
      <c r="J22893" s="3" t="s">
        <v>206</v>
      </c>
      <c r="K22893" s="3" t="s">
        <v>16717</v>
      </c>
      <c r="Q22893" s="3">
        <v>0</v>
      </c>
      <c r="R22893" s="3">
        <v>203</v>
      </c>
      <c r="S22893" s="3">
        <v>0</v>
      </c>
      <c r="T22893" s="3" t="s">
        <v>87256</v>
      </c>
    </row>
    <row r="22894" spans="1:25" x14ac:dyDescent="0.25">
      <c r="A22894" s="5" t="s">
        <v>24</v>
      </c>
      <c r="B22894" s="5" t="s">
        <v>2917</v>
      </c>
      <c r="C22894" s="5" t="str">
        <f>"A0087785"</f>
        <v>A0087785</v>
      </c>
      <c r="D22894" s="5" t="s">
        <v>82170</v>
      </c>
      <c r="E22894" s="5" t="s">
        <v>82171</v>
      </c>
      <c r="F22894" s="5" t="s">
        <v>65278</v>
      </c>
      <c r="G22894" s="5" t="s">
        <v>1706</v>
      </c>
      <c r="H22894" s="5">
        <v>36527</v>
      </c>
      <c r="I22894" s="5" t="s">
        <v>30</v>
      </c>
      <c r="J22894" s="5" t="s">
        <v>171</v>
      </c>
      <c r="K22894" s="5" t="s">
        <v>973</v>
      </c>
      <c r="L22894" s="5"/>
      <c r="M22894" s="5"/>
      <c r="N22894" s="5" t="s">
        <v>82172</v>
      </c>
      <c r="O22894" s="5"/>
      <c r="P22894" s="5"/>
      <c r="Q22894" s="5">
        <v>0</v>
      </c>
      <c r="R22894" s="5">
        <v>91</v>
      </c>
      <c r="S22894" s="5">
        <v>0</v>
      </c>
      <c r="T22894" s="5" t="s">
        <v>82173</v>
      </c>
      <c r="U22894" s="5"/>
      <c r="V22894" s="5"/>
      <c r="W22894" s="5"/>
      <c r="X22894" s="5"/>
      <c r="Y22894" s="5"/>
    </row>
    <row r="22895" spans="1:25" hidden="1" x14ac:dyDescent="0.25">
      <c r="A22895" s="3" t="s">
        <v>24</v>
      </c>
      <c r="B22895" s="3" t="s">
        <v>675</v>
      </c>
      <c r="C22895" s="3" t="str">
        <f>"A0098025"</f>
        <v>A0098025</v>
      </c>
      <c r="D22895" s="3" t="s">
        <v>87259</v>
      </c>
      <c r="E22895" s="3" t="s">
        <v>87260</v>
      </c>
      <c r="F22895" s="3" t="s">
        <v>9760</v>
      </c>
      <c r="G22895" s="3" t="s">
        <v>5862</v>
      </c>
      <c r="H22895" s="3">
        <v>63734</v>
      </c>
      <c r="I22895" s="3" t="s">
        <v>2408</v>
      </c>
      <c r="J22895" s="3" t="s">
        <v>206</v>
      </c>
      <c r="K22895" s="3" t="s">
        <v>16717</v>
      </c>
      <c r="N22895" s="3" t="s">
        <v>87261</v>
      </c>
      <c r="Q22895" s="3">
        <v>0</v>
      </c>
      <c r="R22895" s="3">
        <v>120</v>
      </c>
      <c r="S22895" s="3">
        <v>0</v>
      </c>
      <c r="T22895" s="3" t="s">
        <v>87262</v>
      </c>
    </row>
    <row r="22896" spans="1:25" x14ac:dyDescent="0.25">
      <c r="A22896" s="5" t="s">
        <v>24</v>
      </c>
      <c r="B22896" s="5" t="s">
        <v>2005</v>
      </c>
      <c r="C22896" s="5" t="str">
        <f>"A0089327"</f>
        <v>A0089327</v>
      </c>
      <c r="D22896" s="5" t="s">
        <v>82353</v>
      </c>
      <c r="E22896" s="5" t="s">
        <v>82354</v>
      </c>
      <c r="F22896" s="5" t="s">
        <v>2008</v>
      </c>
      <c r="G22896" s="5" t="s">
        <v>880</v>
      </c>
      <c r="H22896" s="5">
        <v>37863</v>
      </c>
      <c r="I22896" s="5" t="s">
        <v>30</v>
      </c>
      <c r="J22896" s="5" t="s">
        <v>171</v>
      </c>
      <c r="K22896" s="5" t="s">
        <v>255</v>
      </c>
      <c r="L22896" s="5"/>
      <c r="M22896" s="5"/>
      <c r="N22896" s="5" t="s">
        <v>82355</v>
      </c>
      <c r="O22896" s="5" t="s">
        <v>65384</v>
      </c>
      <c r="P22896" s="5"/>
      <c r="Q22896" s="5">
        <v>0</v>
      </c>
      <c r="R22896" s="5">
        <v>112</v>
      </c>
      <c r="S22896" s="5">
        <v>0</v>
      </c>
      <c r="T22896" s="5" t="s">
        <v>82356</v>
      </c>
      <c r="U22896" s="5"/>
      <c r="V22896" s="5"/>
      <c r="W22896" s="5"/>
      <c r="X22896" s="5"/>
      <c r="Y22896" s="5"/>
    </row>
    <row r="22897" spans="1:25" x14ac:dyDescent="0.25">
      <c r="A22897" s="5" t="s">
        <v>24</v>
      </c>
      <c r="B22897" s="5" t="s">
        <v>66079</v>
      </c>
      <c r="C22897" s="5" t="str">
        <f>"A0165761"</f>
        <v>A0165761</v>
      </c>
      <c r="D22897" s="5" t="s">
        <v>83156</v>
      </c>
      <c r="E22897" s="5" t="s">
        <v>83157</v>
      </c>
      <c r="F22897" s="5" t="s">
        <v>53294</v>
      </c>
      <c r="G22897" s="5" t="s">
        <v>110</v>
      </c>
      <c r="H22897" s="5">
        <v>96150</v>
      </c>
      <c r="I22897" s="5" t="s">
        <v>30</v>
      </c>
      <c r="J22897" s="5" t="s">
        <v>171</v>
      </c>
      <c r="K22897" s="5" t="s">
        <v>163</v>
      </c>
      <c r="L22897" s="5"/>
      <c r="M22897" s="5"/>
      <c r="N22897" s="5" t="s">
        <v>83158</v>
      </c>
      <c r="O22897" s="5"/>
      <c r="P22897" s="5"/>
      <c r="Q22897" s="5">
        <v>0</v>
      </c>
      <c r="R22897" s="5">
        <v>96</v>
      </c>
      <c r="S22897" s="5">
        <v>0</v>
      </c>
      <c r="T22897" s="5" t="s">
        <v>83159</v>
      </c>
      <c r="U22897" s="5"/>
      <c r="V22897" s="5"/>
      <c r="W22897" s="5"/>
      <c r="X22897" s="5"/>
      <c r="Y22897" s="5"/>
    </row>
    <row r="22898" spans="1:25" x14ac:dyDescent="0.25">
      <c r="A22898" s="5" t="s">
        <v>24</v>
      </c>
      <c r="B22898" s="5" t="s">
        <v>1138</v>
      </c>
      <c r="C22898" s="5" t="str">
        <f>"A0083654"</f>
        <v>A0083654</v>
      </c>
      <c r="D22898" s="5" t="s">
        <v>83167</v>
      </c>
      <c r="E22898" s="5" t="s">
        <v>83168</v>
      </c>
      <c r="F22898" s="5" t="s">
        <v>3517</v>
      </c>
      <c r="G22898" s="5" t="s">
        <v>110</v>
      </c>
      <c r="H22898" s="5">
        <v>95834</v>
      </c>
      <c r="I22898" s="5" t="s">
        <v>30</v>
      </c>
      <c r="J22898" s="5" t="s">
        <v>171</v>
      </c>
      <c r="K22898" s="5" t="s">
        <v>1147</v>
      </c>
      <c r="L22898" s="5"/>
      <c r="M22898" s="5"/>
      <c r="N22898" s="5" t="s">
        <v>83169</v>
      </c>
      <c r="O22898" s="5"/>
      <c r="P22898" s="5"/>
      <c r="Q22898" s="5">
        <v>0</v>
      </c>
      <c r="R22898" s="5">
        <v>117</v>
      </c>
      <c r="S22898" s="5">
        <v>0</v>
      </c>
      <c r="T22898" s="5" t="s">
        <v>83170</v>
      </c>
      <c r="U22898" s="5"/>
      <c r="V22898" s="5"/>
      <c r="W22898" s="5"/>
      <c r="X22898" s="5"/>
      <c r="Y22898" s="5"/>
    </row>
    <row r="22899" spans="1:25" x14ac:dyDescent="0.25">
      <c r="A22899" s="5" t="s">
        <v>24</v>
      </c>
      <c r="B22899" s="5" t="s">
        <v>3343</v>
      </c>
      <c r="C22899" s="5" t="str">
        <f>"A0100562"</f>
        <v>A0100562</v>
      </c>
      <c r="D22899" s="5" t="s">
        <v>83171</v>
      </c>
      <c r="E22899" s="5" t="s">
        <v>83172</v>
      </c>
      <c r="F22899" s="5" t="s">
        <v>143</v>
      </c>
      <c r="G22899" s="5" t="s">
        <v>144</v>
      </c>
      <c r="H22899" s="5">
        <v>58701</v>
      </c>
      <c r="I22899" s="5" t="s">
        <v>30</v>
      </c>
      <c r="J22899" s="5" t="s">
        <v>171</v>
      </c>
      <c r="K22899" s="5" t="s">
        <v>1147</v>
      </c>
      <c r="L22899" s="5"/>
      <c r="M22899" s="5"/>
      <c r="N22899" s="5" t="s">
        <v>83173</v>
      </c>
      <c r="O22899" s="5"/>
      <c r="P22899" s="5"/>
      <c r="Q22899" s="5">
        <v>0</v>
      </c>
      <c r="R22899" s="5">
        <v>102</v>
      </c>
      <c r="S22899" s="5">
        <v>0</v>
      </c>
      <c r="T22899" s="5" t="s">
        <v>83174</v>
      </c>
      <c r="U22899" s="5"/>
      <c r="V22899" s="5"/>
      <c r="W22899" s="5"/>
      <c r="X22899" s="5"/>
      <c r="Y22899" s="5"/>
    </row>
    <row r="22900" spans="1:25" hidden="1" x14ac:dyDescent="0.25">
      <c r="A22900" s="3" t="s">
        <v>24</v>
      </c>
      <c r="B22900" s="3" t="s">
        <v>675</v>
      </c>
      <c r="C22900" s="3" t="str">
        <f>"34176"</f>
        <v>34176</v>
      </c>
      <c r="D22900" s="3" t="s">
        <v>87281</v>
      </c>
      <c r="E22900" s="3" t="s">
        <v>87282</v>
      </c>
      <c r="F22900" s="3" t="s">
        <v>13197</v>
      </c>
      <c r="G22900" s="3" t="s">
        <v>2206</v>
      </c>
      <c r="H22900" s="3" t="s">
        <v>87283</v>
      </c>
      <c r="I22900" s="3" t="s">
        <v>1459</v>
      </c>
      <c r="J22900" s="3" t="s">
        <v>206</v>
      </c>
      <c r="K22900" s="3" t="s">
        <v>16717</v>
      </c>
      <c r="N22900" s="3" t="s">
        <v>87284</v>
      </c>
      <c r="O22900" s="3" t="s">
        <v>87285</v>
      </c>
      <c r="Q22900" s="3">
        <v>0</v>
      </c>
      <c r="R22900" s="3">
        <v>254</v>
      </c>
      <c r="S22900" s="3">
        <v>0</v>
      </c>
      <c r="T22900" s="3" t="s">
        <v>87286</v>
      </c>
    </row>
    <row r="22901" spans="1:25" customFormat="1" ht="15" x14ac:dyDescent="0.25">
      <c r="A22901" t="s">
        <v>24</v>
      </c>
      <c r="B22901" t="s">
        <v>87287</v>
      </c>
      <c r="C22901" t="str">
        <f>"A0051382"</f>
        <v>A0051382</v>
      </c>
      <c r="D22901" t="s">
        <v>87288</v>
      </c>
      <c r="E22901" t="s">
        <v>87289</v>
      </c>
      <c r="F22901" t="s">
        <v>87290</v>
      </c>
      <c r="G22901" t="s">
        <v>58</v>
      </c>
      <c r="H22901">
        <v>29576</v>
      </c>
      <c r="I22901" t="s">
        <v>30</v>
      </c>
      <c r="J22901" t="s">
        <v>178</v>
      </c>
      <c r="K22901" t="s">
        <v>163</v>
      </c>
      <c r="N22901" t="s">
        <v>87291</v>
      </c>
      <c r="O22901" t="s">
        <v>87292</v>
      </c>
      <c r="Q22901">
        <v>1</v>
      </c>
      <c r="R22901">
        <v>18</v>
      </c>
      <c r="S22901">
        <v>0</v>
      </c>
      <c r="T22901" t="s">
        <v>87293</v>
      </c>
    </row>
    <row r="22902" spans="1:25" customFormat="1" ht="15" x14ac:dyDescent="0.25">
      <c r="A22902" t="s">
        <v>24</v>
      </c>
      <c r="B22902" t="s">
        <v>3343</v>
      </c>
      <c r="C22902" t="str">
        <f>"A0100538"</f>
        <v>A0100538</v>
      </c>
      <c r="D22902" t="s">
        <v>83175</v>
      </c>
      <c r="E22902" t="s">
        <v>83176</v>
      </c>
      <c r="F22902" t="s">
        <v>1476</v>
      </c>
      <c r="G22902" t="s">
        <v>161</v>
      </c>
      <c r="H22902">
        <v>55901</v>
      </c>
      <c r="I22902" t="s">
        <v>30</v>
      </c>
      <c r="J22902" t="s">
        <v>171</v>
      </c>
      <c r="K22902" t="s">
        <v>1147</v>
      </c>
      <c r="N22902" t="s">
        <v>83177</v>
      </c>
      <c r="Q22902">
        <v>0</v>
      </c>
      <c r="R22902">
        <v>109</v>
      </c>
      <c r="S22902">
        <v>0</v>
      </c>
      <c r="T22902" t="s">
        <v>83178</v>
      </c>
    </row>
    <row r="22903" spans="1:25" customFormat="1" ht="15" x14ac:dyDescent="0.25">
      <c r="A22903" t="s">
        <v>24</v>
      </c>
      <c r="B22903" t="s">
        <v>6515</v>
      </c>
      <c r="C22903" t="str">
        <f>"SF04595"</f>
        <v>SF04595</v>
      </c>
      <c r="D22903" t="s">
        <v>83179</v>
      </c>
      <c r="E22903" t="s">
        <v>83180</v>
      </c>
      <c r="F22903" t="s">
        <v>11728</v>
      </c>
      <c r="G22903" t="s">
        <v>103</v>
      </c>
      <c r="H22903">
        <v>18109</v>
      </c>
      <c r="I22903" t="s">
        <v>30</v>
      </c>
      <c r="J22903" t="s">
        <v>171</v>
      </c>
      <c r="K22903" t="s">
        <v>1147</v>
      </c>
      <c r="N22903" t="s">
        <v>83181</v>
      </c>
      <c r="Q22903">
        <v>0</v>
      </c>
      <c r="R22903">
        <v>108</v>
      </c>
      <c r="S22903">
        <v>0</v>
      </c>
      <c r="T22903" t="s">
        <v>83182</v>
      </c>
    </row>
    <row r="22904" spans="1:25" customFormat="1" ht="15" x14ac:dyDescent="0.25">
      <c r="A22904" t="s">
        <v>24</v>
      </c>
      <c r="B22904" t="s">
        <v>1583</v>
      </c>
      <c r="C22904" t="str">
        <f>"A0100718"</f>
        <v>A0100718</v>
      </c>
      <c r="D22904" t="s">
        <v>87305</v>
      </c>
      <c r="E22904" t="s">
        <v>76057</v>
      </c>
      <c r="F22904" t="s">
        <v>76058</v>
      </c>
      <c r="G22904" t="s">
        <v>4815</v>
      </c>
      <c r="H22904">
        <v>96738</v>
      </c>
      <c r="I22904" t="s">
        <v>30</v>
      </c>
      <c r="J22904" t="s">
        <v>191</v>
      </c>
      <c r="K22904" t="s">
        <v>6809</v>
      </c>
      <c r="Q22904">
        <v>0</v>
      </c>
      <c r="R22904">
        <v>0</v>
      </c>
      <c r="S22904">
        <v>0</v>
      </c>
      <c r="T22904" t="s">
        <v>87306</v>
      </c>
    </row>
    <row r="22905" spans="1:25" customFormat="1" ht="15" x14ac:dyDescent="0.25">
      <c r="A22905" t="s">
        <v>24</v>
      </c>
      <c r="B22905" t="s">
        <v>8805</v>
      </c>
      <c r="C22905" t="str">
        <f>"A0096324"</f>
        <v>A0096324</v>
      </c>
      <c r="D22905" t="s">
        <v>83183</v>
      </c>
      <c r="E22905" t="s">
        <v>83184</v>
      </c>
      <c r="F22905" t="s">
        <v>63841</v>
      </c>
      <c r="G22905" t="s">
        <v>117</v>
      </c>
      <c r="H22905">
        <v>48326</v>
      </c>
      <c r="I22905" t="s">
        <v>30</v>
      </c>
      <c r="J22905" t="s">
        <v>171</v>
      </c>
      <c r="K22905" t="s">
        <v>1147</v>
      </c>
      <c r="N22905" t="s">
        <v>83185</v>
      </c>
      <c r="Q22905">
        <v>0</v>
      </c>
      <c r="R22905">
        <v>91</v>
      </c>
      <c r="S22905">
        <v>0</v>
      </c>
      <c r="T22905" t="s">
        <v>83186</v>
      </c>
    </row>
    <row r="22906" spans="1:25" customFormat="1" ht="15" x14ac:dyDescent="0.25">
      <c r="A22906" t="s">
        <v>24</v>
      </c>
      <c r="B22906" t="s">
        <v>1583</v>
      </c>
      <c r="C22906" t="str">
        <f>"38A72"</f>
        <v>38A72</v>
      </c>
      <c r="D22906" t="s">
        <v>87310</v>
      </c>
      <c r="E22906" t="s">
        <v>87311</v>
      </c>
      <c r="F22906" t="s">
        <v>87312</v>
      </c>
      <c r="G22906" t="s">
        <v>4815</v>
      </c>
      <c r="H22906">
        <v>96756</v>
      </c>
      <c r="I22906" t="s">
        <v>30</v>
      </c>
      <c r="J22906" t="s">
        <v>2544</v>
      </c>
      <c r="K22906" t="s">
        <v>36059</v>
      </c>
      <c r="N22906" t="s">
        <v>87313</v>
      </c>
      <c r="Q22906">
        <v>0</v>
      </c>
      <c r="R22906">
        <v>231</v>
      </c>
      <c r="S22906">
        <v>0</v>
      </c>
      <c r="T22906" t="s">
        <v>87314</v>
      </c>
    </row>
    <row r="22907" spans="1:25" customFormat="1" ht="15" x14ac:dyDescent="0.25">
      <c r="A22907" t="s">
        <v>24</v>
      </c>
      <c r="B22907" t="s">
        <v>56488</v>
      </c>
      <c r="C22907" t="str">
        <f>"A0051003"</f>
        <v>A0051003</v>
      </c>
      <c r="D22907" t="s">
        <v>87315</v>
      </c>
      <c r="E22907" t="s">
        <v>87316</v>
      </c>
      <c r="F22907" t="s">
        <v>59184</v>
      </c>
      <c r="G22907" t="s">
        <v>52</v>
      </c>
      <c r="H22907">
        <v>77346</v>
      </c>
      <c r="I22907" t="s">
        <v>30</v>
      </c>
      <c r="J22907" t="s">
        <v>178</v>
      </c>
      <c r="K22907" t="s">
        <v>179</v>
      </c>
      <c r="N22907" t="s">
        <v>87317</v>
      </c>
      <c r="P22907" t="s">
        <v>992</v>
      </c>
      <c r="Q22907">
        <v>1</v>
      </c>
      <c r="R22907">
        <v>0</v>
      </c>
      <c r="S22907">
        <v>0</v>
      </c>
      <c r="T22907" t="s">
        <v>87318</v>
      </c>
    </row>
    <row r="22908" spans="1:25" customFormat="1" ht="15" x14ac:dyDescent="0.25">
      <c r="A22908" t="s">
        <v>24</v>
      </c>
      <c r="B22908" t="s">
        <v>57087</v>
      </c>
      <c r="C22908" t="str">
        <f>"A0095476"</f>
        <v>A0095476</v>
      </c>
      <c r="D22908" t="s">
        <v>87319</v>
      </c>
      <c r="E22908" t="s">
        <v>87320</v>
      </c>
      <c r="F22908" t="s">
        <v>997</v>
      </c>
      <c r="G22908" t="s">
        <v>99</v>
      </c>
      <c r="H22908">
        <v>10011</v>
      </c>
      <c r="I22908" t="s">
        <v>30</v>
      </c>
      <c r="J22908" t="s">
        <v>31</v>
      </c>
      <c r="K22908" t="s">
        <v>163</v>
      </c>
      <c r="N22908" t="s">
        <v>87321</v>
      </c>
      <c r="Q22908">
        <v>0</v>
      </c>
      <c r="R22908">
        <v>113</v>
      </c>
      <c r="S22908">
        <v>0</v>
      </c>
      <c r="T22908" t="s">
        <v>87322</v>
      </c>
    </row>
    <row r="22909" spans="1:25" customFormat="1" ht="15" x14ac:dyDescent="0.25">
      <c r="A22909" t="s">
        <v>24</v>
      </c>
      <c r="B22909" t="s">
        <v>2528</v>
      </c>
      <c r="C22909" t="str">
        <f>"A0095471"</f>
        <v>A0095471</v>
      </c>
      <c r="D22909" t="s">
        <v>83187</v>
      </c>
      <c r="E22909" t="s">
        <v>83188</v>
      </c>
      <c r="F22909" t="s">
        <v>372</v>
      </c>
      <c r="G22909" t="s">
        <v>52</v>
      </c>
      <c r="H22909">
        <v>78750</v>
      </c>
      <c r="I22909" t="s">
        <v>30</v>
      </c>
      <c r="J22909" t="s">
        <v>171</v>
      </c>
      <c r="K22909" t="s">
        <v>1147</v>
      </c>
      <c r="N22909" t="s">
        <v>65782</v>
      </c>
      <c r="Q22909">
        <v>0</v>
      </c>
      <c r="R22909">
        <v>80</v>
      </c>
      <c r="S22909">
        <v>0</v>
      </c>
      <c r="T22909" t="s">
        <v>83189</v>
      </c>
    </row>
    <row r="22910" spans="1:25" customFormat="1" ht="15" x14ac:dyDescent="0.25">
      <c r="A22910" t="s">
        <v>24</v>
      </c>
      <c r="B22910" t="s">
        <v>2387</v>
      </c>
      <c r="C22910" t="str">
        <f>"A0148957"</f>
        <v>A0148957</v>
      </c>
      <c r="D22910" t="s">
        <v>83190</v>
      </c>
      <c r="E22910" t="s">
        <v>70524</v>
      </c>
      <c r="F22910" t="s">
        <v>83191</v>
      </c>
      <c r="G22910" t="s">
        <v>899</v>
      </c>
      <c r="H22910">
        <v>2171</v>
      </c>
      <c r="I22910" t="s">
        <v>30</v>
      </c>
      <c r="J22910" t="s">
        <v>171</v>
      </c>
      <c r="K22910" t="s">
        <v>1147</v>
      </c>
      <c r="N22910" t="s">
        <v>78536</v>
      </c>
      <c r="O22910" t="s">
        <v>83192</v>
      </c>
      <c r="Q22910">
        <v>0</v>
      </c>
      <c r="R22910">
        <v>92</v>
      </c>
      <c r="S22910">
        <v>0</v>
      </c>
      <c r="T22910" t="s">
        <v>70527</v>
      </c>
    </row>
    <row r="22911" spans="1:25" customFormat="1" ht="15" x14ac:dyDescent="0.25">
      <c r="A22911" t="s">
        <v>24</v>
      </c>
      <c r="B22911" t="s">
        <v>2360</v>
      </c>
      <c r="C22911" t="str">
        <f>"CL0128"</f>
        <v>CL0128</v>
      </c>
      <c r="D22911" t="s">
        <v>87329</v>
      </c>
      <c r="E22911" t="s">
        <v>87330</v>
      </c>
      <c r="F22911" t="s">
        <v>7376</v>
      </c>
      <c r="G22911" t="s">
        <v>52</v>
      </c>
      <c r="H22911">
        <v>76063</v>
      </c>
      <c r="I22911" t="s">
        <v>30</v>
      </c>
      <c r="J22911" t="s">
        <v>178</v>
      </c>
      <c r="K22911" t="s">
        <v>8013</v>
      </c>
      <c r="N22911" t="s">
        <v>87331</v>
      </c>
      <c r="O22911" t="s">
        <v>87332</v>
      </c>
      <c r="P22911" t="s">
        <v>992</v>
      </c>
      <c r="Q22911">
        <v>2</v>
      </c>
      <c r="R22911">
        <v>0</v>
      </c>
      <c r="S22911">
        <v>0</v>
      </c>
      <c r="T22911" t="s">
        <v>87333</v>
      </c>
    </row>
    <row r="22912" spans="1:25" customFormat="1" ht="15" x14ac:dyDescent="0.25">
      <c r="A22912" t="s">
        <v>24</v>
      </c>
      <c r="B22912" t="s">
        <v>2340</v>
      </c>
      <c r="C22912" t="str">
        <f>"A0083538"</f>
        <v>A0083538</v>
      </c>
      <c r="D22912" t="s">
        <v>83193</v>
      </c>
      <c r="E22912" t="s">
        <v>83194</v>
      </c>
      <c r="F22912" t="s">
        <v>2531</v>
      </c>
      <c r="G22912" t="s">
        <v>123</v>
      </c>
      <c r="H22912">
        <v>21090</v>
      </c>
      <c r="I22912" t="s">
        <v>30</v>
      </c>
      <c r="J22912" t="s">
        <v>171</v>
      </c>
      <c r="K22912" t="s">
        <v>1147</v>
      </c>
      <c r="N22912" t="s">
        <v>83195</v>
      </c>
      <c r="O22912" t="s">
        <v>73766</v>
      </c>
      <c r="Q22912">
        <v>0</v>
      </c>
      <c r="R22912">
        <v>104</v>
      </c>
      <c r="S22912">
        <v>0</v>
      </c>
      <c r="T22912" t="s">
        <v>83196</v>
      </c>
    </row>
    <row r="22913" spans="1:25" customFormat="1" ht="15" hidden="1" x14ac:dyDescent="0.25">
      <c r="A22913" t="s">
        <v>24</v>
      </c>
      <c r="B22913" t="s">
        <v>2876</v>
      </c>
      <c r="C22913" t="str">
        <f>"A0092548"</f>
        <v>A0092548</v>
      </c>
      <c r="D22913" t="s">
        <v>87338</v>
      </c>
      <c r="E22913" t="s">
        <v>87339</v>
      </c>
      <c r="F22913" t="s">
        <v>16634</v>
      </c>
      <c r="G22913" t="s">
        <v>2206</v>
      </c>
      <c r="H22913" t="s">
        <v>87340</v>
      </c>
      <c r="I22913" t="s">
        <v>1459</v>
      </c>
      <c r="J22913" t="s">
        <v>162</v>
      </c>
      <c r="K22913" t="s">
        <v>13246</v>
      </c>
      <c r="N22913" t="s">
        <v>87341</v>
      </c>
      <c r="Q22913">
        <v>0</v>
      </c>
      <c r="R22913">
        <v>92</v>
      </c>
      <c r="S22913">
        <v>0</v>
      </c>
      <c r="T22913" t="s">
        <v>87342</v>
      </c>
    </row>
    <row r="22914" spans="1:25" x14ac:dyDescent="0.25">
      <c r="A22914" s="5" t="s">
        <v>24</v>
      </c>
      <c r="B22914" s="5" t="s">
        <v>1138</v>
      </c>
      <c r="C22914" s="5" t="str">
        <f>"A0093404"</f>
        <v>A0093404</v>
      </c>
      <c r="D22914" s="5" t="s">
        <v>83197</v>
      </c>
      <c r="E22914" s="5" t="s">
        <v>83198</v>
      </c>
      <c r="F22914" s="5" t="s">
        <v>34458</v>
      </c>
      <c r="G22914" s="5" t="s">
        <v>197</v>
      </c>
      <c r="H22914" s="5">
        <v>85225</v>
      </c>
      <c r="I22914" s="5" t="s">
        <v>30</v>
      </c>
      <c r="J22914" s="5" t="s">
        <v>171</v>
      </c>
      <c r="K22914" s="5" t="s">
        <v>1147</v>
      </c>
      <c r="L22914" s="5"/>
      <c r="M22914" s="5"/>
      <c r="N22914" s="5" t="s">
        <v>83199</v>
      </c>
      <c r="O22914" s="5" t="s">
        <v>83200</v>
      </c>
      <c r="P22914" s="5"/>
      <c r="Q22914" s="5">
        <v>0</v>
      </c>
      <c r="R22914" s="5">
        <v>113</v>
      </c>
      <c r="S22914" s="5">
        <v>0</v>
      </c>
      <c r="T22914" s="5" t="s">
        <v>83201</v>
      </c>
      <c r="U22914" s="5"/>
      <c r="V22914" s="5"/>
      <c r="W22914" s="5"/>
      <c r="X22914" s="5"/>
      <c r="Y22914" s="5"/>
    </row>
    <row r="22915" spans="1:25" x14ac:dyDescent="0.25">
      <c r="A22915" s="5" t="s">
        <v>24</v>
      </c>
      <c r="B22915" s="5" t="s">
        <v>54573</v>
      </c>
      <c r="C22915" s="5" t="str">
        <f>"A0059799"</f>
        <v>A0059799</v>
      </c>
      <c r="D22915" s="5" t="s">
        <v>83202</v>
      </c>
      <c r="E22915" s="5" t="s">
        <v>83203</v>
      </c>
      <c r="F22915" s="5" t="s">
        <v>1525</v>
      </c>
      <c r="G22915" s="5" t="s">
        <v>65</v>
      </c>
      <c r="H22915" s="5">
        <v>43235</v>
      </c>
      <c r="I22915" s="5" t="s">
        <v>30</v>
      </c>
      <c r="J22915" s="5" t="s">
        <v>171</v>
      </c>
      <c r="K22915" s="5" t="s">
        <v>1147</v>
      </c>
      <c r="L22915" s="5"/>
      <c r="M22915" s="5"/>
      <c r="N22915" s="5"/>
      <c r="O22915" s="5"/>
      <c r="P22915" s="5"/>
      <c r="Q22915" s="5">
        <v>0</v>
      </c>
      <c r="R22915" s="5">
        <v>99</v>
      </c>
      <c r="S22915" s="5">
        <v>0</v>
      </c>
      <c r="T22915" s="5" t="s">
        <v>83204</v>
      </c>
      <c r="U22915" s="5"/>
      <c r="V22915" s="5"/>
      <c r="W22915" s="5"/>
      <c r="X22915" s="5"/>
      <c r="Y22915" s="5"/>
    </row>
    <row r="22916" spans="1:25" customFormat="1" ht="15" x14ac:dyDescent="0.25">
      <c r="A22916" t="s">
        <v>24</v>
      </c>
      <c r="B22916" t="s">
        <v>56443</v>
      </c>
      <c r="C22916" t="str">
        <f>"A0098243"</f>
        <v>A0098243</v>
      </c>
      <c r="D22916" t="s">
        <v>87351</v>
      </c>
      <c r="E22916" t="s">
        <v>87352</v>
      </c>
      <c r="F22916" t="s">
        <v>845</v>
      </c>
      <c r="G22916" t="s">
        <v>846</v>
      </c>
      <c r="H22916">
        <v>30315</v>
      </c>
      <c r="I22916" t="s">
        <v>30</v>
      </c>
      <c r="J22916" t="s">
        <v>1004</v>
      </c>
      <c r="K22916" t="s">
        <v>163</v>
      </c>
      <c r="N22916" t="s">
        <v>13798</v>
      </c>
      <c r="Q22916">
        <v>0</v>
      </c>
      <c r="R22916">
        <v>0</v>
      </c>
      <c r="S22916">
        <v>0</v>
      </c>
      <c r="T22916" t="s">
        <v>87353</v>
      </c>
    </row>
    <row r="22917" spans="1:25" customFormat="1" ht="15" x14ac:dyDescent="0.25">
      <c r="A22917" t="s">
        <v>24</v>
      </c>
      <c r="B22917" t="s">
        <v>1138</v>
      </c>
      <c r="C22917" t="str">
        <f>"A0098782"</f>
        <v>A0098782</v>
      </c>
      <c r="D22917" t="s">
        <v>83205</v>
      </c>
      <c r="E22917" t="s">
        <v>83206</v>
      </c>
      <c r="F22917" t="s">
        <v>1525</v>
      </c>
      <c r="G22917" t="s">
        <v>65</v>
      </c>
      <c r="H22917">
        <v>43240</v>
      </c>
      <c r="I22917" t="s">
        <v>30</v>
      </c>
      <c r="J22917" t="s">
        <v>171</v>
      </c>
      <c r="K22917" t="s">
        <v>1147</v>
      </c>
      <c r="N22917" t="s">
        <v>83207</v>
      </c>
      <c r="Q22917">
        <v>0</v>
      </c>
      <c r="R22917">
        <v>120</v>
      </c>
      <c r="S22917">
        <v>0</v>
      </c>
      <c r="T22917" t="s">
        <v>83208</v>
      </c>
    </row>
    <row r="22918" spans="1:25" customFormat="1" ht="15" x14ac:dyDescent="0.25">
      <c r="A22918" t="s">
        <v>24</v>
      </c>
      <c r="B22918" t="s">
        <v>1138</v>
      </c>
      <c r="C22918" t="str">
        <f>"A0097985"</f>
        <v>A0097985</v>
      </c>
      <c r="D22918" t="s">
        <v>83209</v>
      </c>
      <c r="E22918" t="s">
        <v>83210</v>
      </c>
      <c r="F22918" t="s">
        <v>71397</v>
      </c>
      <c r="G22918" t="s">
        <v>110</v>
      </c>
      <c r="H22918">
        <v>92883</v>
      </c>
      <c r="I22918" t="s">
        <v>30</v>
      </c>
      <c r="J22918" t="s">
        <v>171</v>
      </c>
      <c r="K22918" t="s">
        <v>1147</v>
      </c>
      <c r="N22918" t="s">
        <v>83211</v>
      </c>
      <c r="Q22918">
        <v>0</v>
      </c>
      <c r="R22918">
        <v>104</v>
      </c>
      <c r="S22918">
        <v>0</v>
      </c>
      <c r="T22918" t="s">
        <v>83212</v>
      </c>
    </row>
    <row r="22919" spans="1:25" customFormat="1" ht="15" x14ac:dyDescent="0.25">
      <c r="A22919" t="s">
        <v>24</v>
      </c>
      <c r="B22919" t="s">
        <v>1138</v>
      </c>
      <c r="C22919" t="str">
        <f>"A0093346"</f>
        <v>A0093346</v>
      </c>
      <c r="D22919" t="s">
        <v>83213</v>
      </c>
      <c r="E22919" t="s">
        <v>83214</v>
      </c>
      <c r="F22919" t="s">
        <v>972</v>
      </c>
      <c r="G22919" t="s">
        <v>190</v>
      </c>
      <c r="H22919">
        <v>80238</v>
      </c>
      <c r="I22919" t="s">
        <v>30</v>
      </c>
      <c r="J22919" t="s">
        <v>171</v>
      </c>
      <c r="K22919" t="s">
        <v>1147</v>
      </c>
      <c r="N22919" t="s">
        <v>83215</v>
      </c>
      <c r="Q22919">
        <v>0</v>
      </c>
      <c r="R22919">
        <v>102</v>
      </c>
      <c r="S22919">
        <v>0</v>
      </c>
      <c r="T22919" t="s">
        <v>83216</v>
      </c>
    </row>
    <row r="22920" spans="1:25" customFormat="1" ht="15" x14ac:dyDescent="0.25">
      <c r="A22920" t="s">
        <v>24</v>
      </c>
      <c r="B22920" t="s">
        <v>9549</v>
      </c>
      <c r="C22920" t="str">
        <f>"A0156810"</f>
        <v>A0156810</v>
      </c>
      <c r="D22920" t="s">
        <v>83217</v>
      </c>
      <c r="E22920" t="s">
        <v>83218</v>
      </c>
      <c r="F22920" t="s">
        <v>83219</v>
      </c>
      <c r="G22920" t="s">
        <v>190</v>
      </c>
      <c r="H22920">
        <v>80023</v>
      </c>
      <c r="I22920" t="s">
        <v>30</v>
      </c>
      <c r="J22920" t="s">
        <v>171</v>
      </c>
      <c r="K22920" t="s">
        <v>1147</v>
      </c>
      <c r="N22920" t="s">
        <v>83220</v>
      </c>
      <c r="Q22920">
        <v>0</v>
      </c>
      <c r="R22920">
        <v>111</v>
      </c>
      <c r="S22920">
        <v>0</v>
      </c>
      <c r="T22920" t="s">
        <v>83221</v>
      </c>
    </row>
    <row r="22921" spans="1:25" customFormat="1" ht="15" x14ac:dyDescent="0.25">
      <c r="A22921" t="s">
        <v>24</v>
      </c>
      <c r="B22921" t="s">
        <v>57614</v>
      </c>
      <c r="C22921" t="str">
        <f>"A0100299"</f>
        <v>A0100299</v>
      </c>
      <c r="D22921" t="s">
        <v>83222</v>
      </c>
      <c r="E22921" t="s">
        <v>83223</v>
      </c>
      <c r="F22921" t="s">
        <v>12772</v>
      </c>
      <c r="G22921" t="s">
        <v>190</v>
      </c>
      <c r="H22921">
        <v>80120</v>
      </c>
      <c r="I22921" t="s">
        <v>30</v>
      </c>
      <c r="J22921" t="s">
        <v>171</v>
      </c>
      <c r="K22921" t="s">
        <v>1147</v>
      </c>
      <c r="N22921" t="s">
        <v>83224</v>
      </c>
      <c r="Q22921">
        <v>0</v>
      </c>
      <c r="R22921">
        <v>105</v>
      </c>
      <c r="S22921">
        <v>0</v>
      </c>
      <c r="T22921" t="s">
        <v>83225</v>
      </c>
    </row>
    <row r="22922" spans="1:25" customFormat="1" ht="15" x14ac:dyDescent="0.25">
      <c r="A22922" t="s">
        <v>24</v>
      </c>
      <c r="B22922" t="s">
        <v>4400</v>
      </c>
      <c r="C22922" t="str">
        <f>"A0085617"</f>
        <v>A0085617</v>
      </c>
      <c r="D22922" t="s">
        <v>83226</v>
      </c>
      <c r="E22922" t="s">
        <v>83227</v>
      </c>
      <c r="F22922" t="s">
        <v>2294</v>
      </c>
      <c r="G22922" t="s">
        <v>110</v>
      </c>
      <c r="H22922">
        <v>94534</v>
      </c>
      <c r="I22922" t="s">
        <v>30</v>
      </c>
      <c r="J22922" t="s">
        <v>171</v>
      </c>
      <c r="K22922" t="s">
        <v>1147</v>
      </c>
      <c r="N22922" t="s">
        <v>83228</v>
      </c>
      <c r="Q22922">
        <v>0</v>
      </c>
      <c r="R22922">
        <v>82</v>
      </c>
      <c r="S22922">
        <v>0</v>
      </c>
      <c r="T22922" t="s">
        <v>83229</v>
      </c>
    </row>
    <row r="22923" spans="1:25" customFormat="1" ht="15" x14ac:dyDescent="0.25">
      <c r="A22923" t="s">
        <v>24</v>
      </c>
      <c r="B22923" t="s">
        <v>3343</v>
      </c>
      <c r="C22923" t="str">
        <f>"A0078071"</f>
        <v>A0078071</v>
      </c>
      <c r="D22923" t="s">
        <v>83230</v>
      </c>
      <c r="E22923" t="s">
        <v>83231</v>
      </c>
      <c r="F22923" t="s">
        <v>21203</v>
      </c>
      <c r="G22923" t="s">
        <v>144</v>
      </c>
      <c r="H22923">
        <v>58103</v>
      </c>
      <c r="I22923" t="s">
        <v>30</v>
      </c>
      <c r="J22923" t="s">
        <v>171</v>
      </c>
      <c r="K22923" t="s">
        <v>1147</v>
      </c>
      <c r="N22923" t="s">
        <v>83232</v>
      </c>
      <c r="O22923" t="s">
        <v>83233</v>
      </c>
      <c r="Q22923">
        <v>0</v>
      </c>
      <c r="R22923">
        <v>80</v>
      </c>
      <c r="S22923">
        <v>0</v>
      </c>
      <c r="T22923" t="s">
        <v>83234</v>
      </c>
    </row>
    <row r="22924" spans="1:25" customFormat="1" ht="15" x14ac:dyDescent="0.25">
      <c r="A22924" t="s">
        <v>24</v>
      </c>
      <c r="B22924" t="s">
        <v>1138</v>
      </c>
      <c r="C22924" t="str">
        <f>"A0093677"</f>
        <v>A0093677</v>
      </c>
      <c r="D22924" t="s">
        <v>83235</v>
      </c>
      <c r="E22924" t="s">
        <v>83236</v>
      </c>
      <c r="F22924" t="s">
        <v>64326</v>
      </c>
      <c r="G22924" t="s">
        <v>110</v>
      </c>
      <c r="H22924">
        <v>95630</v>
      </c>
      <c r="I22924" t="s">
        <v>30</v>
      </c>
      <c r="J22924" t="s">
        <v>171</v>
      </c>
      <c r="K22924" t="s">
        <v>1147</v>
      </c>
      <c r="N22924" t="s">
        <v>83237</v>
      </c>
      <c r="O22924" t="s">
        <v>83238</v>
      </c>
      <c r="Q22924">
        <v>0</v>
      </c>
      <c r="R22924">
        <v>106</v>
      </c>
      <c r="S22924">
        <v>0</v>
      </c>
      <c r="T22924" t="s">
        <v>83239</v>
      </c>
    </row>
    <row r="22925" spans="1:25" customFormat="1" ht="15" x14ac:dyDescent="0.25">
      <c r="A22925" t="s">
        <v>24</v>
      </c>
      <c r="B22925" t="s">
        <v>87388</v>
      </c>
      <c r="C22925" t="str">
        <f>"A0147908"</f>
        <v>A0147908</v>
      </c>
      <c r="D22925" t="s">
        <v>87389</v>
      </c>
      <c r="E22925" t="s">
        <v>87390</v>
      </c>
      <c r="F22925" t="s">
        <v>59276</v>
      </c>
      <c r="G22925" t="s">
        <v>81</v>
      </c>
      <c r="H22925">
        <v>32320</v>
      </c>
      <c r="I22925" t="s">
        <v>30</v>
      </c>
      <c r="J22925" t="s">
        <v>31</v>
      </c>
      <c r="K22925" t="s">
        <v>163</v>
      </c>
      <c r="N22925" t="s">
        <v>87391</v>
      </c>
      <c r="Q22925">
        <v>0</v>
      </c>
      <c r="R22925">
        <v>30</v>
      </c>
      <c r="S22925">
        <v>0</v>
      </c>
      <c r="T22925" t="s">
        <v>87392</v>
      </c>
    </row>
    <row r="22926" spans="1:25" customFormat="1" ht="15" x14ac:dyDescent="0.25">
      <c r="A22926" t="s">
        <v>24</v>
      </c>
      <c r="B22926" t="s">
        <v>8523</v>
      </c>
      <c r="C22926" t="str">
        <f>"A0095662"</f>
        <v>A0095662</v>
      </c>
      <c r="D22926" t="s">
        <v>83240</v>
      </c>
      <c r="E22926" t="s">
        <v>83241</v>
      </c>
      <c r="F22926" t="s">
        <v>83242</v>
      </c>
      <c r="G22926" t="s">
        <v>52</v>
      </c>
      <c r="H22926">
        <v>76108</v>
      </c>
      <c r="I22926" t="s">
        <v>30</v>
      </c>
      <c r="J22926" t="s">
        <v>171</v>
      </c>
      <c r="K22926" t="s">
        <v>1147</v>
      </c>
      <c r="N22926" t="s">
        <v>83243</v>
      </c>
      <c r="O22926" t="s">
        <v>10994</v>
      </c>
      <c r="Q22926">
        <v>0</v>
      </c>
      <c r="R22926">
        <v>86</v>
      </c>
      <c r="S22926">
        <v>0</v>
      </c>
      <c r="T22926" t="s">
        <v>83244</v>
      </c>
    </row>
    <row r="22927" spans="1:25" customFormat="1" ht="15" x14ac:dyDescent="0.25">
      <c r="A22927" t="s">
        <v>24</v>
      </c>
      <c r="B22927" t="s">
        <v>7339</v>
      </c>
      <c r="C22927" t="str">
        <f>"A0090869"</f>
        <v>A0090869</v>
      </c>
      <c r="D22927" t="s">
        <v>83245</v>
      </c>
      <c r="E22927" t="s">
        <v>83246</v>
      </c>
      <c r="F22927" t="s">
        <v>7921</v>
      </c>
      <c r="G22927" t="s">
        <v>71</v>
      </c>
      <c r="H22927">
        <v>53132</v>
      </c>
      <c r="I22927" t="s">
        <v>30</v>
      </c>
      <c r="J22927" t="s">
        <v>171</v>
      </c>
      <c r="K22927" t="s">
        <v>1147</v>
      </c>
      <c r="N22927" t="s">
        <v>83247</v>
      </c>
      <c r="Q22927">
        <v>0</v>
      </c>
      <c r="R22927">
        <v>118</v>
      </c>
      <c r="S22927">
        <v>0</v>
      </c>
      <c r="T22927" t="s">
        <v>83248</v>
      </c>
    </row>
    <row r="22928" spans="1:25" customFormat="1" ht="15" x14ac:dyDescent="0.25">
      <c r="A22928" t="s">
        <v>24</v>
      </c>
      <c r="B22928" t="s">
        <v>1567</v>
      </c>
      <c r="C22928" t="str">
        <f>"A0098906"</f>
        <v>A0098906</v>
      </c>
      <c r="D22928" t="s">
        <v>87402</v>
      </c>
      <c r="E22928" t="s">
        <v>87403</v>
      </c>
      <c r="F22928" t="s">
        <v>87404</v>
      </c>
      <c r="G22928" t="s">
        <v>110</v>
      </c>
      <c r="H22928" t="s">
        <v>87405</v>
      </c>
      <c r="I22928" t="s">
        <v>30</v>
      </c>
      <c r="J22928" t="s">
        <v>31</v>
      </c>
      <c r="K22928" t="s">
        <v>163</v>
      </c>
      <c r="N22928" t="s">
        <v>76427</v>
      </c>
      <c r="O22928" t="s">
        <v>57824</v>
      </c>
      <c r="Q22928">
        <v>0</v>
      </c>
      <c r="R22928">
        <v>33</v>
      </c>
      <c r="S22928">
        <v>0</v>
      </c>
      <c r="T22928" t="s">
        <v>87406</v>
      </c>
    </row>
    <row r="22929" spans="1:25" hidden="1" x14ac:dyDescent="0.25">
      <c r="A22929" s="3" t="s">
        <v>24</v>
      </c>
      <c r="B22929" s="3" t="s">
        <v>675</v>
      </c>
      <c r="C22929" s="3" t="str">
        <f>"A0157478"</f>
        <v>A0157478</v>
      </c>
      <c r="D22929" s="3" t="s">
        <v>87407</v>
      </c>
      <c r="E22929" s="3" t="s">
        <v>87408</v>
      </c>
      <c r="F22929" s="3" t="s">
        <v>58484</v>
      </c>
      <c r="G22929" s="3" t="s">
        <v>58485</v>
      </c>
      <c r="I22929" s="3" t="s">
        <v>58486</v>
      </c>
      <c r="J22929" s="3" t="s">
        <v>206</v>
      </c>
      <c r="K22929" s="3" t="s">
        <v>6459</v>
      </c>
      <c r="N22929" s="3" t="s">
        <v>87409</v>
      </c>
      <c r="Q22929" s="3">
        <v>0</v>
      </c>
      <c r="R22929" s="3">
        <v>70</v>
      </c>
      <c r="S22929" s="3">
        <v>0</v>
      </c>
      <c r="T22929" s="3" t="s">
        <v>87410</v>
      </c>
    </row>
    <row r="22930" spans="1:25" customFormat="1" ht="15" x14ac:dyDescent="0.25">
      <c r="A22930" t="s">
        <v>24</v>
      </c>
      <c r="B22930" t="s">
        <v>1528</v>
      </c>
      <c r="C22930" t="str">
        <f>"A0157410"</f>
        <v>A0157410</v>
      </c>
      <c r="D22930" t="s">
        <v>87411</v>
      </c>
      <c r="E22930" t="s">
        <v>87412</v>
      </c>
      <c r="F22930" t="s">
        <v>77593</v>
      </c>
      <c r="G22930" t="s">
        <v>47</v>
      </c>
      <c r="H22930">
        <v>97110</v>
      </c>
      <c r="I22930" t="s">
        <v>30</v>
      </c>
      <c r="J22930" t="s">
        <v>1004</v>
      </c>
      <c r="K22930" t="s">
        <v>163</v>
      </c>
      <c r="N22930" t="s">
        <v>77594</v>
      </c>
      <c r="Q22930">
        <v>0</v>
      </c>
      <c r="R22930">
        <v>0</v>
      </c>
      <c r="S22930">
        <v>0</v>
      </c>
      <c r="T22930" t="s">
        <v>87413</v>
      </c>
    </row>
    <row r="22931" spans="1:25" customFormat="1" ht="15" x14ac:dyDescent="0.25">
      <c r="A22931" t="s">
        <v>24</v>
      </c>
      <c r="B22931" t="s">
        <v>87414</v>
      </c>
      <c r="C22931" t="str">
        <f>"A0051511"</f>
        <v>A0051511</v>
      </c>
      <c r="D22931" t="s">
        <v>87414</v>
      </c>
      <c r="E22931" t="s">
        <v>87415</v>
      </c>
      <c r="F22931" t="s">
        <v>87416</v>
      </c>
      <c r="G22931" t="s">
        <v>103</v>
      </c>
      <c r="H22931">
        <v>19301</v>
      </c>
      <c r="I22931" t="s">
        <v>30</v>
      </c>
      <c r="J22931" t="s">
        <v>178</v>
      </c>
      <c r="K22931" t="s">
        <v>179</v>
      </c>
      <c r="N22931" t="s">
        <v>87417</v>
      </c>
      <c r="O22931" t="s">
        <v>87418</v>
      </c>
      <c r="P22931" t="s">
        <v>992</v>
      </c>
      <c r="Q22931">
        <v>1</v>
      </c>
      <c r="R22931">
        <v>18</v>
      </c>
      <c r="S22931">
        <v>0</v>
      </c>
      <c r="T22931" t="s">
        <v>87419</v>
      </c>
    </row>
    <row r="22932" spans="1:25" x14ac:dyDescent="0.25">
      <c r="A22932" s="5" t="s">
        <v>24</v>
      </c>
      <c r="B22932" s="5" t="s">
        <v>1138</v>
      </c>
      <c r="C22932" s="5" t="str">
        <f>"A0157218"</f>
        <v>A0157218</v>
      </c>
      <c r="D22932" s="5" t="s">
        <v>83245</v>
      </c>
      <c r="E22932" s="5" t="s">
        <v>83249</v>
      </c>
      <c r="F22932" s="5" t="s">
        <v>7921</v>
      </c>
      <c r="G22932" s="5" t="s">
        <v>880</v>
      </c>
      <c r="H22932" s="5">
        <v>37067</v>
      </c>
      <c r="I22932" s="5" t="s">
        <v>30</v>
      </c>
      <c r="J22932" s="5" t="s">
        <v>171</v>
      </c>
      <c r="K22932" s="5" t="s">
        <v>1147</v>
      </c>
      <c r="L22932" s="5"/>
      <c r="M22932" s="5"/>
      <c r="N22932" s="5" t="s">
        <v>83250</v>
      </c>
      <c r="O22932" s="5" t="s">
        <v>83251</v>
      </c>
      <c r="P22932" s="5"/>
      <c r="Q22932" s="5">
        <v>0</v>
      </c>
      <c r="R22932" s="5">
        <v>119</v>
      </c>
      <c r="S22932" s="5">
        <v>0</v>
      </c>
      <c r="T22932" s="5" t="s">
        <v>83252</v>
      </c>
      <c r="U22932" s="5"/>
      <c r="V22932" s="5"/>
      <c r="W22932" s="5"/>
      <c r="X22932" s="5"/>
      <c r="Y22932" s="5"/>
    </row>
    <row r="22933" spans="1:25" customFormat="1" ht="15" x14ac:dyDescent="0.25">
      <c r="A22933" t="s">
        <v>24</v>
      </c>
      <c r="B22933" t="s">
        <v>5843</v>
      </c>
      <c r="C22933" t="str">
        <f>"A0117325"</f>
        <v>A0117325</v>
      </c>
      <c r="D22933" t="s">
        <v>87425</v>
      </c>
      <c r="E22933" t="s">
        <v>87426</v>
      </c>
      <c r="F22933" t="s">
        <v>11003</v>
      </c>
      <c r="G22933" t="s">
        <v>110</v>
      </c>
      <c r="H22933">
        <v>92008</v>
      </c>
      <c r="I22933" t="s">
        <v>30</v>
      </c>
      <c r="J22933" t="s">
        <v>31</v>
      </c>
      <c r="K22933" t="s">
        <v>163</v>
      </c>
      <c r="N22933" t="s">
        <v>87427</v>
      </c>
      <c r="Q22933">
        <v>0</v>
      </c>
      <c r="R22933">
        <v>86</v>
      </c>
      <c r="S22933">
        <v>0</v>
      </c>
      <c r="T22933" t="s">
        <v>87428</v>
      </c>
    </row>
    <row r="22934" spans="1:25" customFormat="1" ht="15" x14ac:dyDescent="0.25">
      <c r="A22934" t="s">
        <v>24</v>
      </c>
      <c r="B22934" t="s">
        <v>87429</v>
      </c>
      <c r="C22934" t="str">
        <f>"A0099870"</f>
        <v>A0099870</v>
      </c>
      <c r="D22934" t="s">
        <v>87430</v>
      </c>
      <c r="E22934" t="s">
        <v>87431</v>
      </c>
      <c r="F22934" t="s">
        <v>13009</v>
      </c>
      <c r="G22934" t="s">
        <v>99</v>
      </c>
      <c r="H22934">
        <v>10580</v>
      </c>
      <c r="I22934" t="s">
        <v>30</v>
      </c>
      <c r="J22934" t="s">
        <v>178</v>
      </c>
      <c r="K22934" t="s">
        <v>179</v>
      </c>
      <c r="N22934" t="s">
        <v>87432</v>
      </c>
      <c r="P22934" t="s">
        <v>992</v>
      </c>
      <c r="Q22934">
        <v>1</v>
      </c>
      <c r="R22934">
        <v>0</v>
      </c>
      <c r="S22934">
        <v>0</v>
      </c>
      <c r="T22934" t="s">
        <v>87433</v>
      </c>
    </row>
    <row r="22935" spans="1:25" customFormat="1" ht="15" x14ac:dyDescent="0.25">
      <c r="A22935" t="s">
        <v>24</v>
      </c>
      <c r="B22935" t="s">
        <v>87429</v>
      </c>
      <c r="C22935" t="str">
        <f>"A0052044"</f>
        <v>A0052044</v>
      </c>
      <c r="D22935" t="s">
        <v>87434</v>
      </c>
      <c r="E22935" t="s">
        <v>87435</v>
      </c>
      <c r="F22935" t="s">
        <v>13009</v>
      </c>
      <c r="G22935" t="s">
        <v>99</v>
      </c>
      <c r="H22935">
        <v>10580</v>
      </c>
      <c r="I22935" t="s">
        <v>30</v>
      </c>
      <c r="J22935" t="s">
        <v>178</v>
      </c>
      <c r="K22935" t="s">
        <v>179</v>
      </c>
      <c r="N22935" t="s">
        <v>87436</v>
      </c>
      <c r="O22935" t="s">
        <v>87437</v>
      </c>
      <c r="P22935" t="s">
        <v>992</v>
      </c>
      <c r="Q22935">
        <v>3</v>
      </c>
      <c r="R22935">
        <v>72</v>
      </c>
      <c r="S22935">
        <v>0</v>
      </c>
      <c r="T22935" t="s">
        <v>87438</v>
      </c>
    </row>
    <row r="22936" spans="1:25" customFormat="1" ht="15" x14ac:dyDescent="0.25">
      <c r="A22936" t="s">
        <v>24</v>
      </c>
      <c r="B22936" t="s">
        <v>1577</v>
      </c>
      <c r="C22936" t="str">
        <f>"A0117501"</f>
        <v>A0117501</v>
      </c>
      <c r="D22936" t="s">
        <v>83253</v>
      </c>
      <c r="E22936" t="s">
        <v>83254</v>
      </c>
      <c r="F22936" t="s">
        <v>56591</v>
      </c>
      <c r="G22936" t="s">
        <v>1706</v>
      </c>
      <c r="H22936">
        <v>36542</v>
      </c>
      <c r="I22936" t="s">
        <v>30</v>
      </c>
      <c r="J22936" t="s">
        <v>171</v>
      </c>
      <c r="K22936" t="s">
        <v>1147</v>
      </c>
      <c r="N22936" t="s">
        <v>83255</v>
      </c>
      <c r="Q22936">
        <v>0</v>
      </c>
      <c r="R22936">
        <v>88</v>
      </c>
      <c r="S22936">
        <v>0</v>
      </c>
      <c r="T22936" t="s">
        <v>83256</v>
      </c>
    </row>
    <row r="22937" spans="1:25" x14ac:dyDescent="0.25">
      <c r="A22937" s="5" t="s">
        <v>24</v>
      </c>
      <c r="B22937" s="5" t="s">
        <v>63672</v>
      </c>
      <c r="C22937" s="5" t="str">
        <f>"A0087172"</f>
        <v>A0087172</v>
      </c>
      <c r="D22937" s="5" t="s">
        <v>83257</v>
      </c>
      <c r="E22937" s="5" t="s">
        <v>83258</v>
      </c>
      <c r="F22937" s="5" t="s">
        <v>83259</v>
      </c>
      <c r="G22937" s="5" t="s">
        <v>85</v>
      </c>
      <c r="H22937" s="5">
        <v>71913</v>
      </c>
      <c r="I22937" s="5" t="s">
        <v>30</v>
      </c>
      <c r="J22937" s="5" t="s">
        <v>171</v>
      </c>
      <c r="K22937" s="5" t="s">
        <v>1147</v>
      </c>
      <c r="L22937" s="5"/>
      <c r="M22937" s="5"/>
      <c r="N22937" s="5" t="s">
        <v>83260</v>
      </c>
      <c r="O22937" s="5"/>
      <c r="P22937" s="5"/>
      <c r="Q22937" s="5">
        <v>0</v>
      </c>
      <c r="R22937" s="5">
        <v>85</v>
      </c>
      <c r="S22937" s="5">
        <v>0</v>
      </c>
      <c r="T22937" s="5" t="s">
        <v>83261</v>
      </c>
      <c r="U22937" s="5"/>
      <c r="V22937" s="5"/>
      <c r="W22937" s="5"/>
      <c r="X22937" s="5"/>
      <c r="Y22937" s="5"/>
    </row>
    <row r="22938" spans="1:25" customFormat="1" ht="15" x14ac:dyDescent="0.25">
      <c r="A22938" t="s">
        <v>24</v>
      </c>
      <c r="B22938" t="s">
        <v>56488</v>
      </c>
      <c r="C22938" t="str">
        <f>"A0099221"</f>
        <v>A0099221</v>
      </c>
      <c r="D22938" t="s">
        <v>87450</v>
      </c>
      <c r="E22938" t="s">
        <v>87451</v>
      </c>
      <c r="F22938" t="s">
        <v>71450</v>
      </c>
      <c r="G22938" t="s">
        <v>197</v>
      </c>
      <c r="H22938">
        <v>85296</v>
      </c>
      <c r="I22938" t="s">
        <v>30</v>
      </c>
      <c r="J22938" t="s">
        <v>2415</v>
      </c>
      <c r="K22938" t="s">
        <v>6809</v>
      </c>
      <c r="N22938" t="s">
        <v>87452</v>
      </c>
      <c r="O22938" t="s">
        <v>87453</v>
      </c>
      <c r="Q22938">
        <v>0</v>
      </c>
      <c r="R22938">
        <v>0</v>
      </c>
      <c r="S22938">
        <v>0</v>
      </c>
      <c r="T22938" t="s">
        <v>87454</v>
      </c>
    </row>
    <row r="22939" spans="1:25" customFormat="1" ht="15" x14ac:dyDescent="0.25">
      <c r="A22939" t="s">
        <v>24</v>
      </c>
      <c r="B22939" t="s">
        <v>83262</v>
      </c>
      <c r="C22939" t="str">
        <f>"A0147005"</f>
        <v>A0147005</v>
      </c>
      <c r="D22939" t="s">
        <v>83263</v>
      </c>
      <c r="E22939" t="s">
        <v>83264</v>
      </c>
      <c r="F22939" t="s">
        <v>59184</v>
      </c>
      <c r="G22939" t="s">
        <v>52</v>
      </c>
      <c r="H22939">
        <v>77338</v>
      </c>
      <c r="I22939" t="s">
        <v>30</v>
      </c>
      <c r="J22939" t="s">
        <v>171</v>
      </c>
      <c r="K22939" t="s">
        <v>1147</v>
      </c>
      <c r="N22939" t="s">
        <v>83265</v>
      </c>
      <c r="O22939" t="s">
        <v>83266</v>
      </c>
      <c r="Q22939">
        <v>0</v>
      </c>
      <c r="R22939">
        <v>104</v>
      </c>
      <c r="S22939">
        <v>0</v>
      </c>
      <c r="T22939" t="s">
        <v>83267</v>
      </c>
    </row>
    <row r="22940" spans="1:25" customFormat="1" ht="15" x14ac:dyDescent="0.25">
      <c r="A22940" t="s">
        <v>24</v>
      </c>
      <c r="B22940" t="s">
        <v>4341</v>
      </c>
      <c r="C22940" t="str">
        <f>"A0092148"</f>
        <v>A0092148</v>
      </c>
      <c r="D22940" t="s">
        <v>83268</v>
      </c>
      <c r="E22940" t="s">
        <v>83269</v>
      </c>
      <c r="F22940" t="s">
        <v>9431</v>
      </c>
      <c r="G22940" t="s">
        <v>381</v>
      </c>
      <c r="H22940">
        <v>46280</v>
      </c>
      <c r="I22940" t="s">
        <v>30</v>
      </c>
      <c r="J22940" t="s">
        <v>171</v>
      </c>
      <c r="K22940" t="s">
        <v>1147</v>
      </c>
      <c r="N22940" t="s">
        <v>83270</v>
      </c>
      <c r="Q22940">
        <v>0</v>
      </c>
      <c r="R22940">
        <v>119</v>
      </c>
      <c r="S22940">
        <v>0</v>
      </c>
      <c r="T22940" t="s">
        <v>83271</v>
      </c>
    </row>
    <row r="22941" spans="1:25" customFormat="1" ht="15" x14ac:dyDescent="0.25">
      <c r="A22941" t="s">
        <v>24</v>
      </c>
      <c r="B22941" t="s">
        <v>4341</v>
      </c>
      <c r="C22941" t="str">
        <f>"A0084952"</f>
        <v>A0084952</v>
      </c>
      <c r="D22941" t="s">
        <v>83272</v>
      </c>
      <c r="E22941" t="s">
        <v>83273</v>
      </c>
      <c r="F22941" t="s">
        <v>11695</v>
      </c>
      <c r="G22941" t="s">
        <v>117</v>
      </c>
      <c r="H22941">
        <v>49008</v>
      </c>
      <c r="I22941" t="s">
        <v>30</v>
      </c>
      <c r="J22941" t="s">
        <v>171</v>
      </c>
      <c r="K22941" t="s">
        <v>1147</v>
      </c>
      <c r="N22941" t="s">
        <v>83274</v>
      </c>
      <c r="Q22941">
        <v>0</v>
      </c>
      <c r="R22941">
        <v>95</v>
      </c>
      <c r="S22941">
        <v>0</v>
      </c>
      <c r="T22941" t="s">
        <v>83275</v>
      </c>
    </row>
    <row r="22942" spans="1:25" customFormat="1" ht="15" x14ac:dyDescent="0.25">
      <c r="A22942" t="s">
        <v>24</v>
      </c>
      <c r="B22942" t="s">
        <v>4341</v>
      </c>
      <c r="C22942" t="str">
        <f>"A0092289"</f>
        <v>A0092289</v>
      </c>
      <c r="D22942" t="s">
        <v>83276</v>
      </c>
      <c r="E22942" t="s">
        <v>83277</v>
      </c>
      <c r="F22942" t="s">
        <v>60874</v>
      </c>
      <c r="G22942" t="s">
        <v>117</v>
      </c>
      <c r="H22942">
        <v>48864</v>
      </c>
      <c r="I22942" t="s">
        <v>30</v>
      </c>
      <c r="J22942" t="s">
        <v>171</v>
      </c>
      <c r="K22942" t="s">
        <v>1147</v>
      </c>
      <c r="N22942" t="s">
        <v>60875</v>
      </c>
      <c r="Q22942">
        <v>0</v>
      </c>
      <c r="R22942">
        <v>95</v>
      </c>
      <c r="S22942">
        <v>0</v>
      </c>
      <c r="T22942" t="s">
        <v>83278</v>
      </c>
    </row>
    <row r="22943" spans="1:25" customFormat="1" ht="15" x14ac:dyDescent="0.25">
      <c r="A22943" t="s">
        <v>24</v>
      </c>
      <c r="B22943" t="s">
        <v>1138</v>
      </c>
      <c r="C22943" t="str">
        <f>"A0154508"</f>
        <v>A0154508</v>
      </c>
      <c r="D22943" t="s">
        <v>83279</v>
      </c>
      <c r="E22943" t="s">
        <v>83280</v>
      </c>
      <c r="F22943" t="s">
        <v>60879</v>
      </c>
      <c r="G22943" t="s">
        <v>123</v>
      </c>
      <c r="H22943">
        <v>20774</v>
      </c>
      <c r="I22943" t="s">
        <v>30</v>
      </c>
      <c r="J22943" t="s">
        <v>171</v>
      </c>
      <c r="K22943" t="s">
        <v>1147</v>
      </c>
      <c r="Q22943">
        <v>0</v>
      </c>
      <c r="R22943">
        <v>164</v>
      </c>
      <c r="S22943">
        <v>0</v>
      </c>
      <c r="T22943" t="s">
        <v>83281</v>
      </c>
    </row>
    <row r="22944" spans="1:25" customFormat="1" ht="15" x14ac:dyDescent="0.25">
      <c r="A22944" t="s">
        <v>24</v>
      </c>
      <c r="B22944" t="s">
        <v>1138</v>
      </c>
      <c r="C22944" t="str">
        <f>"A0083653"</f>
        <v>A0083653</v>
      </c>
      <c r="D22944" t="s">
        <v>83282</v>
      </c>
      <c r="E22944" t="s">
        <v>83283</v>
      </c>
      <c r="F22944" t="s">
        <v>220</v>
      </c>
      <c r="G22944" t="s">
        <v>221</v>
      </c>
      <c r="H22944">
        <v>89118</v>
      </c>
      <c r="I22944" t="s">
        <v>30</v>
      </c>
      <c r="J22944" t="s">
        <v>171</v>
      </c>
      <c r="K22944" t="s">
        <v>1147</v>
      </c>
      <c r="N22944" t="s">
        <v>83284</v>
      </c>
      <c r="O22944" t="s">
        <v>83285</v>
      </c>
      <c r="Q22944">
        <v>0</v>
      </c>
      <c r="R22944">
        <v>118</v>
      </c>
      <c r="S22944">
        <v>0</v>
      </c>
      <c r="T22944" t="s">
        <v>83286</v>
      </c>
    </row>
    <row r="22945" spans="1:20" customFormat="1" ht="15" x14ac:dyDescent="0.25">
      <c r="A22945" t="s">
        <v>24</v>
      </c>
      <c r="B22945" t="s">
        <v>4341</v>
      </c>
      <c r="C22945" t="str">
        <f>"A0093908"</f>
        <v>A0093908</v>
      </c>
      <c r="D22945" t="s">
        <v>83287</v>
      </c>
      <c r="E22945" t="s">
        <v>83288</v>
      </c>
      <c r="F22945" t="s">
        <v>3041</v>
      </c>
      <c r="G22945" t="s">
        <v>840</v>
      </c>
      <c r="H22945">
        <v>40511</v>
      </c>
      <c r="I22945" t="s">
        <v>30</v>
      </c>
      <c r="J22945" t="s">
        <v>171</v>
      </c>
      <c r="K22945" t="s">
        <v>1147</v>
      </c>
      <c r="N22945" t="s">
        <v>83289</v>
      </c>
      <c r="Q22945">
        <v>0</v>
      </c>
      <c r="R22945">
        <v>100</v>
      </c>
      <c r="S22945">
        <v>0</v>
      </c>
      <c r="T22945" t="s">
        <v>83290</v>
      </c>
    </row>
    <row r="22946" spans="1:20" customFormat="1" ht="15" x14ac:dyDescent="0.25">
      <c r="A22946" t="s">
        <v>24</v>
      </c>
      <c r="B22946" t="s">
        <v>1583</v>
      </c>
      <c r="C22946" t="str">
        <f>"A0098353"</f>
        <v>A0098353</v>
      </c>
      <c r="D22946" t="s">
        <v>87480</v>
      </c>
      <c r="E22946" t="s">
        <v>87481</v>
      </c>
      <c r="F22946" t="s">
        <v>10152</v>
      </c>
      <c r="G22946" t="s">
        <v>110</v>
      </c>
      <c r="H22946">
        <v>92260</v>
      </c>
      <c r="I22946" t="s">
        <v>30</v>
      </c>
      <c r="J22946" t="s">
        <v>2544</v>
      </c>
      <c r="K22946" t="s">
        <v>85643</v>
      </c>
      <c r="N22946" t="s">
        <v>85644</v>
      </c>
      <c r="O22946" t="s">
        <v>87482</v>
      </c>
      <c r="Q22946">
        <v>0</v>
      </c>
      <c r="R22946">
        <v>440</v>
      </c>
      <c r="S22946">
        <v>0</v>
      </c>
      <c r="T22946" t="s">
        <v>87483</v>
      </c>
    </row>
    <row r="22947" spans="1:20" customFormat="1" ht="15" x14ac:dyDescent="0.25">
      <c r="A22947" t="s">
        <v>24</v>
      </c>
      <c r="B22947" t="s">
        <v>257</v>
      </c>
      <c r="C22947" t="str">
        <f>"SF05692"</f>
        <v>SF05692</v>
      </c>
      <c r="D22947" t="s">
        <v>83291</v>
      </c>
      <c r="E22947" t="s">
        <v>83292</v>
      </c>
      <c r="F22947" t="s">
        <v>1373</v>
      </c>
      <c r="G22947" t="s">
        <v>71</v>
      </c>
      <c r="H22947">
        <v>53718</v>
      </c>
      <c r="I22947" t="s">
        <v>30</v>
      </c>
      <c r="J22947" t="s">
        <v>171</v>
      </c>
      <c r="K22947" t="s">
        <v>1147</v>
      </c>
      <c r="N22947" t="s">
        <v>83293</v>
      </c>
      <c r="O22947" t="s">
        <v>83294</v>
      </c>
      <c r="Q22947">
        <v>0</v>
      </c>
      <c r="R22947">
        <v>90</v>
      </c>
      <c r="S22947">
        <v>0</v>
      </c>
      <c r="T22947" t="s">
        <v>83295</v>
      </c>
    </row>
    <row r="22948" spans="1:20" customFormat="1" ht="15" hidden="1" x14ac:dyDescent="0.25">
      <c r="A22948" t="s">
        <v>24</v>
      </c>
      <c r="B22948" t="s">
        <v>1849</v>
      </c>
      <c r="C22948" t="str">
        <f>"A0090137"</f>
        <v>A0090137</v>
      </c>
      <c r="D22948" t="s">
        <v>87489</v>
      </c>
      <c r="E22948" t="s">
        <v>87490</v>
      </c>
      <c r="F22948" t="s">
        <v>1195</v>
      </c>
      <c r="G22948" t="s">
        <v>66924</v>
      </c>
      <c r="I22948" t="s">
        <v>66925</v>
      </c>
      <c r="J22948" t="s">
        <v>162</v>
      </c>
      <c r="K22948" t="s">
        <v>822</v>
      </c>
      <c r="N22948" t="s">
        <v>87491</v>
      </c>
      <c r="O22948" t="s">
        <v>87492</v>
      </c>
      <c r="Q22948">
        <v>0</v>
      </c>
      <c r="R22948">
        <v>343</v>
      </c>
      <c r="S22948">
        <v>0</v>
      </c>
      <c r="T22948" t="s">
        <v>87493</v>
      </c>
    </row>
    <row r="22949" spans="1:20" customFormat="1" ht="15" x14ac:dyDescent="0.25">
      <c r="A22949" t="s">
        <v>24</v>
      </c>
      <c r="B22949" t="s">
        <v>4400</v>
      </c>
      <c r="C22949" t="str">
        <f>"A0069164"</f>
        <v>A0069164</v>
      </c>
      <c r="D22949" t="s">
        <v>83296</v>
      </c>
      <c r="E22949" t="s">
        <v>83297</v>
      </c>
      <c r="F22949" t="s">
        <v>1889</v>
      </c>
      <c r="G22949" t="s">
        <v>81</v>
      </c>
      <c r="H22949">
        <v>33172</v>
      </c>
      <c r="I22949" t="s">
        <v>30</v>
      </c>
      <c r="J22949" t="s">
        <v>171</v>
      </c>
      <c r="K22949" t="s">
        <v>1147</v>
      </c>
      <c r="N22949" t="s">
        <v>71128</v>
      </c>
      <c r="Q22949">
        <v>0</v>
      </c>
      <c r="R22949">
        <v>96</v>
      </c>
      <c r="S22949">
        <v>0</v>
      </c>
      <c r="T22949" t="s">
        <v>83298</v>
      </c>
    </row>
    <row r="22950" spans="1:20" customFormat="1" ht="15" x14ac:dyDescent="0.25">
      <c r="A22950" t="s">
        <v>24</v>
      </c>
      <c r="B22950" t="s">
        <v>257</v>
      </c>
      <c r="C22950" t="str">
        <f>"A0071895"</f>
        <v>A0071895</v>
      </c>
      <c r="D22950" t="s">
        <v>83299</v>
      </c>
      <c r="E22950" t="s">
        <v>83300</v>
      </c>
      <c r="F22950" t="s">
        <v>75370</v>
      </c>
      <c r="G22950" t="s">
        <v>71</v>
      </c>
      <c r="H22950">
        <v>53562</v>
      </c>
      <c r="I22950" t="s">
        <v>30</v>
      </c>
      <c r="J22950" t="s">
        <v>171</v>
      </c>
      <c r="K22950" t="s">
        <v>1147</v>
      </c>
      <c r="N22950" t="s">
        <v>83293</v>
      </c>
      <c r="Q22950">
        <v>0</v>
      </c>
      <c r="R22950">
        <v>91</v>
      </c>
      <c r="S22950">
        <v>0</v>
      </c>
      <c r="T22950" t="s">
        <v>83301</v>
      </c>
    </row>
    <row r="22951" spans="1:20" customFormat="1" ht="15" x14ac:dyDescent="0.25">
      <c r="A22951" t="s">
        <v>24</v>
      </c>
      <c r="B22951" t="s">
        <v>56330</v>
      </c>
      <c r="C22951" t="str">
        <f>"A0148409"</f>
        <v>A0148409</v>
      </c>
      <c r="D22951" t="s">
        <v>83302</v>
      </c>
      <c r="E22951" t="s">
        <v>83303</v>
      </c>
      <c r="F22951" t="s">
        <v>8562</v>
      </c>
      <c r="G22951" t="s">
        <v>1706</v>
      </c>
      <c r="H22951">
        <v>36104</v>
      </c>
      <c r="I22951" t="s">
        <v>30</v>
      </c>
      <c r="J22951" t="s">
        <v>171</v>
      </c>
      <c r="K22951" t="s">
        <v>1147</v>
      </c>
      <c r="N22951" t="s">
        <v>83304</v>
      </c>
      <c r="Q22951">
        <v>0</v>
      </c>
      <c r="R22951">
        <v>121</v>
      </c>
      <c r="S22951">
        <v>0</v>
      </c>
      <c r="T22951" t="s">
        <v>83305</v>
      </c>
    </row>
    <row r="22952" spans="1:20" customFormat="1" ht="15" x14ac:dyDescent="0.25">
      <c r="A22952" t="s">
        <v>24</v>
      </c>
      <c r="B22952" t="s">
        <v>1583</v>
      </c>
      <c r="C22952" t="str">
        <f>"A0098350"</f>
        <v>A0098350</v>
      </c>
      <c r="D22952" t="s">
        <v>87508</v>
      </c>
      <c r="E22952" t="s">
        <v>87509</v>
      </c>
      <c r="F22952" t="s">
        <v>35740</v>
      </c>
      <c r="G22952" t="s">
        <v>4815</v>
      </c>
      <c r="H22952">
        <v>96761</v>
      </c>
      <c r="I22952" t="s">
        <v>30</v>
      </c>
      <c r="J22952" t="s">
        <v>2544</v>
      </c>
      <c r="K22952" t="s">
        <v>85643</v>
      </c>
      <c r="N22952" t="s">
        <v>87510</v>
      </c>
      <c r="Q22952">
        <v>0</v>
      </c>
      <c r="R22952">
        <v>505</v>
      </c>
      <c r="S22952">
        <v>0</v>
      </c>
      <c r="T22952" t="s">
        <v>87511</v>
      </c>
    </row>
    <row r="22953" spans="1:20" customFormat="1" ht="15" x14ac:dyDescent="0.25">
      <c r="A22953" t="s">
        <v>24</v>
      </c>
      <c r="B22953" t="s">
        <v>16448</v>
      </c>
      <c r="C22953" t="str">
        <f>"A0088013"</f>
        <v>A0088013</v>
      </c>
      <c r="D22953" t="s">
        <v>83306</v>
      </c>
      <c r="E22953" t="s">
        <v>83307</v>
      </c>
      <c r="F22953" t="s">
        <v>13824</v>
      </c>
      <c r="G22953" t="s">
        <v>58</v>
      </c>
      <c r="H22953">
        <v>29406</v>
      </c>
      <c r="I22953" t="s">
        <v>30</v>
      </c>
      <c r="J22953" t="s">
        <v>171</v>
      </c>
      <c r="K22953" t="s">
        <v>1147</v>
      </c>
      <c r="N22953" t="s">
        <v>83308</v>
      </c>
      <c r="Q22953">
        <v>0</v>
      </c>
      <c r="R22953">
        <v>93</v>
      </c>
      <c r="S22953">
        <v>0</v>
      </c>
      <c r="T22953" t="s">
        <v>83309</v>
      </c>
    </row>
    <row r="22954" spans="1:20" customFormat="1" ht="15" x14ac:dyDescent="0.25">
      <c r="A22954" t="s">
        <v>24</v>
      </c>
      <c r="B22954" t="s">
        <v>1583</v>
      </c>
      <c r="C22954" t="str">
        <f>"A0098357"</f>
        <v>A0098357</v>
      </c>
      <c r="D22954" t="s">
        <v>87517</v>
      </c>
      <c r="E22954" t="s">
        <v>87518</v>
      </c>
      <c r="F22954" t="s">
        <v>2014</v>
      </c>
      <c r="G22954" t="s">
        <v>197</v>
      </c>
      <c r="H22954">
        <v>85254</v>
      </c>
      <c r="I22954" t="s">
        <v>30</v>
      </c>
      <c r="J22954" t="s">
        <v>2544</v>
      </c>
      <c r="K22954" t="s">
        <v>85643</v>
      </c>
      <c r="N22954" t="s">
        <v>87519</v>
      </c>
      <c r="O22954" t="s">
        <v>87520</v>
      </c>
      <c r="Q22954">
        <v>0</v>
      </c>
      <c r="R22954">
        <v>298</v>
      </c>
      <c r="S22954">
        <v>0</v>
      </c>
      <c r="T22954" t="s">
        <v>87521</v>
      </c>
    </row>
    <row r="22955" spans="1:20" customFormat="1" ht="15" hidden="1" x14ac:dyDescent="0.25">
      <c r="A22955" t="s">
        <v>24</v>
      </c>
      <c r="B22955" t="s">
        <v>1583</v>
      </c>
      <c r="C22955" t="str">
        <f>"A0098352"</f>
        <v>A0098352</v>
      </c>
      <c r="D22955" t="s">
        <v>87522</v>
      </c>
      <c r="E22955" t="s">
        <v>87523</v>
      </c>
      <c r="F22955" t="s">
        <v>5423</v>
      </c>
      <c r="G22955" t="s">
        <v>5424</v>
      </c>
      <c r="H22955">
        <v>77500</v>
      </c>
      <c r="I22955" t="s">
        <v>2408</v>
      </c>
      <c r="J22955" t="s">
        <v>2544</v>
      </c>
      <c r="K22955" t="s">
        <v>85643</v>
      </c>
      <c r="N22955" t="s">
        <v>62069</v>
      </c>
      <c r="O22955" t="s">
        <v>87524</v>
      </c>
      <c r="Q22955">
        <v>0</v>
      </c>
      <c r="R22955">
        <v>580</v>
      </c>
      <c r="S22955">
        <v>0</v>
      </c>
      <c r="T22955" t="s">
        <v>87525</v>
      </c>
    </row>
    <row r="22956" spans="1:20" customFormat="1" ht="15" x14ac:dyDescent="0.25">
      <c r="A22956" t="s">
        <v>24</v>
      </c>
      <c r="B22956" t="s">
        <v>7373</v>
      </c>
      <c r="C22956" t="str">
        <f>"A0137019"</f>
        <v>A0137019</v>
      </c>
      <c r="D22956" t="s">
        <v>83310</v>
      </c>
      <c r="E22956" t="s">
        <v>83311</v>
      </c>
      <c r="F22956" t="s">
        <v>57635</v>
      </c>
      <c r="G22956" t="s">
        <v>52</v>
      </c>
      <c r="H22956">
        <v>79761</v>
      </c>
      <c r="I22956" t="s">
        <v>30</v>
      </c>
      <c r="J22956" t="s">
        <v>171</v>
      </c>
      <c r="K22956" t="s">
        <v>1147</v>
      </c>
      <c r="N22956" t="s">
        <v>83312</v>
      </c>
      <c r="Q22956">
        <v>0</v>
      </c>
      <c r="R22956">
        <v>90</v>
      </c>
      <c r="S22956">
        <v>0</v>
      </c>
      <c r="T22956" t="s">
        <v>83313</v>
      </c>
    </row>
    <row r="22957" spans="1:20" customFormat="1" ht="15" x14ac:dyDescent="0.25">
      <c r="A22957" t="s">
        <v>24</v>
      </c>
      <c r="B22957" t="s">
        <v>1138</v>
      </c>
      <c r="C22957" t="str">
        <f>"A0154248"</f>
        <v>A0154248</v>
      </c>
      <c r="D22957" t="s">
        <v>83314</v>
      </c>
      <c r="E22957" t="s">
        <v>83315</v>
      </c>
      <c r="F22957" t="s">
        <v>13414</v>
      </c>
      <c r="G22957" t="s">
        <v>925</v>
      </c>
      <c r="H22957">
        <v>66223</v>
      </c>
      <c r="I22957" t="s">
        <v>30</v>
      </c>
      <c r="J22957" t="s">
        <v>171</v>
      </c>
      <c r="K22957" t="s">
        <v>1147</v>
      </c>
      <c r="N22957" t="s">
        <v>83316</v>
      </c>
      <c r="O22957" t="s">
        <v>83317</v>
      </c>
      <c r="Q22957">
        <v>0</v>
      </c>
      <c r="R22957">
        <v>124</v>
      </c>
      <c r="S22957">
        <v>0</v>
      </c>
      <c r="T22957" t="s">
        <v>83318</v>
      </c>
    </row>
    <row r="22958" spans="1:20" customFormat="1" ht="15" x14ac:dyDescent="0.25">
      <c r="A22958" t="s">
        <v>24</v>
      </c>
      <c r="B22958" t="s">
        <v>1583</v>
      </c>
      <c r="C22958" t="str">
        <f>"A0098540"</f>
        <v>A0098540</v>
      </c>
      <c r="D22958" t="s">
        <v>87537</v>
      </c>
      <c r="E22958" t="s">
        <v>87538</v>
      </c>
      <c r="F22958" t="s">
        <v>35740</v>
      </c>
      <c r="G22958" t="s">
        <v>4815</v>
      </c>
      <c r="H22958">
        <v>96761</v>
      </c>
      <c r="I22958" t="s">
        <v>30</v>
      </c>
      <c r="J22958" t="s">
        <v>2544</v>
      </c>
      <c r="K22958" t="s">
        <v>85643</v>
      </c>
      <c r="N22958" t="s">
        <v>87539</v>
      </c>
      <c r="O22958" t="s">
        <v>87540</v>
      </c>
      <c r="Q22958">
        <v>0</v>
      </c>
      <c r="R22958">
        <v>390</v>
      </c>
      <c r="S22958">
        <v>0</v>
      </c>
      <c r="T22958" t="s">
        <v>87541</v>
      </c>
    </row>
    <row r="22959" spans="1:20" customFormat="1" ht="15" x14ac:dyDescent="0.25">
      <c r="A22959" t="s">
        <v>24</v>
      </c>
      <c r="B22959" t="s">
        <v>7405</v>
      </c>
      <c r="C22959" t="str">
        <f>"A0074153"</f>
        <v>A0074153</v>
      </c>
      <c r="D22959" t="s">
        <v>83319</v>
      </c>
      <c r="E22959" t="s">
        <v>83320</v>
      </c>
      <c r="F22959" t="s">
        <v>2576</v>
      </c>
      <c r="G22959" t="s">
        <v>338</v>
      </c>
      <c r="H22959">
        <v>8054</v>
      </c>
      <c r="I22959" t="s">
        <v>30</v>
      </c>
      <c r="J22959" t="s">
        <v>171</v>
      </c>
      <c r="K22959" t="s">
        <v>1147</v>
      </c>
      <c r="N22959" t="s">
        <v>83321</v>
      </c>
      <c r="Q22959">
        <v>0</v>
      </c>
      <c r="R22959">
        <v>99</v>
      </c>
      <c r="S22959">
        <v>0</v>
      </c>
      <c r="T22959" t="s">
        <v>83322</v>
      </c>
    </row>
    <row r="22960" spans="1:20" customFormat="1" ht="15" x14ac:dyDescent="0.25">
      <c r="A22960" t="s">
        <v>24</v>
      </c>
      <c r="B22960" t="s">
        <v>2387</v>
      </c>
      <c r="C22960" t="str">
        <f>"A0152910"</f>
        <v>A0152910</v>
      </c>
      <c r="D22960" t="s">
        <v>83323</v>
      </c>
      <c r="E22960" t="s">
        <v>70870</v>
      </c>
      <c r="F22960" t="s">
        <v>7408</v>
      </c>
      <c r="G22960" t="s">
        <v>899</v>
      </c>
      <c r="H22960">
        <v>2151</v>
      </c>
      <c r="I22960" t="s">
        <v>30</v>
      </c>
      <c r="J22960" t="s">
        <v>171</v>
      </c>
      <c r="K22960" t="s">
        <v>1147</v>
      </c>
      <c r="N22960" t="s">
        <v>70062</v>
      </c>
      <c r="Q22960">
        <v>0</v>
      </c>
      <c r="R22960">
        <v>72</v>
      </c>
      <c r="S22960">
        <v>0</v>
      </c>
      <c r="T22960" t="s">
        <v>192</v>
      </c>
    </row>
    <row r="22961" spans="1:25" customFormat="1" ht="15" x14ac:dyDescent="0.25">
      <c r="A22961" t="s">
        <v>24</v>
      </c>
      <c r="B22961" t="s">
        <v>2340</v>
      </c>
      <c r="C22961" t="str">
        <f>"A0153151"</f>
        <v>A0153151</v>
      </c>
      <c r="D22961" t="s">
        <v>83324</v>
      </c>
      <c r="E22961" t="s">
        <v>83325</v>
      </c>
      <c r="F22961" t="s">
        <v>356</v>
      </c>
      <c r="G22961" t="s">
        <v>52</v>
      </c>
      <c r="H22961">
        <v>78216</v>
      </c>
      <c r="I22961" t="s">
        <v>30</v>
      </c>
      <c r="J22961" t="s">
        <v>171</v>
      </c>
      <c r="K22961" t="s">
        <v>1147</v>
      </c>
      <c r="N22961" t="s">
        <v>70383</v>
      </c>
      <c r="Q22961">
        <v>0</v>
      </c>
      <c r="R22961">
        <v>133</v>
      </c>
      <c r="S22961">
        <v>0</v>
      </c>
      <c r="T22961" t="s">
        <v>83326</v>
      </c>
    </row>
    <row r="22962" spans="1:25" customFormat="1" ht="15" x14ac:dyDescent="0.25">
      <c r="A22962" t="s">
        <v>24</v>
      </c>
      <c r="B22962" t="s">
        <v>1583</v>
      </c>
      <c r="C22962" t="str">
        <f>"A0098354"</f>
        <v>A0098354</v>
      </c>
      <c r="D22962" t="s">
        <v>87554</v>
      </c>
      <c r="E22962" t="s">
        <v>87555</v>
      </c>
      <c r="F22962" t="s">
        <v>87556</v>
      </c>
      <c r="G22962" t="s">
        <v>4815</v>
      </c>
      <c r="H22962">
        <v>96722</v>
      </c>
      <c r="I22962" t="s">
        <v>30</v>
      </c>
      <c r="J22962" t="s">
        <v>2544</v>
      </c>
      <c r="K22962" t="s">
        <v>85643</v>
      </c>
      <c r="N22962" t="s">
        <v>87557</v>
      </c>
      <c r="O22962" t="s">
        <v>87558</v>
      </c>
      <c r="Q22962">
        <v>0</v>
      </c>
      <c r="R22962">
        <v>346</v>
      </c>
      <c r="S22962">
        <v>0</v>
      </c>
      <c r="T22962" t="s">
        <v>87559</v>
      </c>
    </row>
    <row r="22963" spans="1:25" customFormat="1" ht="15" x14ac:dyDescent="0.25">
      <c r="A22963" t="s">
        <v>24</v>
      </c>
      <c r="B22963" t="s">
        <v>3343</v>
      </c>
      <c r="C22963" t="str">
        <f>"A0100892"</f>
        <v>A0100892</v>
      </c>
      <c r="D22963" t="s">
        <v>83327</v>
      </c>
      <c r="E22963" t="s">
        <v>83328</v>
      </c>
      <c r="F22963" t="s">
        <v>2014</v>
      </c>
      <c r="G22963" t="s">
        <v>197</v>
      </c>
      <c r="H22963">
        <v>85250</v>
      </c>
      <c r="I22963" t="s">
        <v>30</v>
      </c>
      <c r="J22963" t="s">
        <v>171</v>
      </c>
      <c r="K22963" t="s">
        <v>1147</v>
      </c>
      <c r="N22963" t="s">
        <v>83329</v>
      </c>
      <c r="O22963" t="s">
        <v>83330</v>
      </c>
      <c r="Q22963">
        <v>0</v>
      </c>
      <c r="R22963">
        <v>110</v>
      </c>
      <c r="S22963">
        <v>0</v>
      </c>
      <c r="T22963" t="s">
        <v>83331</v>
      </c>
    </row>
    <row r="22964" spans="1:25" customFormat="1" ht="15" x14ac:dyDescent="0.25">
      <c r="A22964" t="s">
        <v>24</v>
      </c>
      <c r="B22964" t="s">
        <v>56921</v>
      </c>
      <c r="C22964" t="str">
        <f>"A0094161"</f>
        <v>A0094161</v>
      </c>
      <c r="D22964" t="s">
        <v>83332</v>
      </c>
      <c r="E22964" t="s">
        <v>83333</v>
      </c>
      <c r="F22964" t="s">
        <v>83334</v>
      </c>
      <c r="G22964" t="s">
        <v>76</v>
      </c>
      <c r="H22964">
        <v>98275</v>
      </c>
      <c r="I22964" t="s">
        <v>30</v>
      </c>
      <c r="J22964" t="s">
        <v>171</v>
      </c>
      <c r="K22964" t="s">
        <v>1147</v>
      </c>
      <c r="N22964" t="s">
        <v>35138</v>
      </c>
      <c r="O22964" t="s">
        <v>83335</v>
      </c>
      <c r="Q22964">
        <v>0</v>
      </c>
      <c r="R22964">
        <v>134</v>
      </c>
      <c r="S22964">
        <v>0</v>
      </c>
      <c r="T22964" t="s">
        <v>83336</v>
      </c>
    </row>
    <row r="22965" spans="1:25" customFormat="1" ht="15" hidden="1" x14ac:dyDescent="0.25">
      <c r="A22965" t="s">
        <v>24</v>
      </c>
      <c r="B22965" t="s">
        <v>675</v>
      </c>
      <c r="C22965" t="str">
        <f>"A0096862"</f>
        <v>A0096862</v>
      </c>
      <c r="D22965" t="s">
        <v>87568</v>
      </c>
      <c r="E22965" t="s">
        <v>87569</v>
      </c>
      <c r="F22965" t="s">
        <v>5874</v>
      </c>
      <c r="G22965" t="s">
        <v>3843</v>
      </c>
      <c r="H22965">
        <v>1210</v>
      </c>
      <c r="I22965" t="s">
        <v>2408</v>
      </c>
      <c r="J22965" t="s">
        <v>162</v>
      </c>
      <c r="K22965" t="s">
        <v>822</v>
      </c>
      <c r="N22965" t="s">
        <v>87570</v>
      </c>
      <c r="Q22965">
        <v>0</v>
      </c>
      <c r="R22965">
        <v>259</v>
      </c>
      <c r="S22965">
        <v>0</v>
      </c>
      <c r="T22965" t="s">
        <v>87571</v>
      </c>
    </row>
    <row r="22966" spans="1:25" customFormat="1" ht="15" x14ac:dyDescent="0.25">
      <c r="A22966" t="s">
        <v>24</v>
      </c>
      <c r="B22966" t="s">
        <v>8405</v>
      </c>
      <c r="C22966" t="str">
        <f>"A0089649"</f>
        <v>A0089649</v>
      </c>
      <c r="D22966" t="s">
        <v>83337</v>
      </c>
      <c r="E22966" t="s">
        <v>83338</v>
      </c>
      <c r="F22966" t="s">
        <v>55882</v>
      </c>
      <c r="G22966" t="s">
        <v>381</v>
      </c>
      <c r="H22966">
        <v>46637</v>
      </c>
      <c r="I22966" t="s">
        <v>30</v>
      </c>
      <c r="J22966" t="s">
        <v>171</v>
      </c>
      <c r="K22966" t="s">
        <v>1147</v>
      </c>
      <c r="N22966" t="s">
        <v>83339</v>
      </c>
      <c r="O22966" t="s">
        <v>83340</v>
      </c>
      <c r="Q22966">
        <v>0</v>
      </c>
      <c r="R22966">
        <v>90</v>
      </c>
      <c r="S22966">
        <v>0</v>
      </c>
      <c r="T22966" t="s">
        <v>83341</v>
      </c>
    </row>
    <row r="22967" spans="1:25" customFormat="1" ht="15" hidden="1" x14ac:dyDescent="0.25">
      <c r="A22967" t="s">
        <v>24</v>
      </c>
      <c r="B22967" t="s">
        <v>1583</v>
      </c>
      <c r="C22967" t="str">
        <f>"A0068480"</f>
        <v>A0068480</v>
      </c>
      <c r="D22967" t="s">
        <v>87577</v>
      </c>
      <c r="E22967" t="s">
        <v>87578</v>
      </c>
      <c r="F22967" t="s">
        <v>87579</v>
      </c>
      <c r="G22967" t="s">
        <v>16145</v>
      </c>
      <c r="H22967">
        <v>831</v>
      </c>
      <c r="I22967" t="s">
        <v>16146</v>
      </c>
      <c r="J22967" t="s">
        <v>2544</v>
      </c>
      <c r="K22967" t="s">
        <v>85643</v>
      </c>
      <c r="N22967" t="s">
        <v>87580</v>
      </c>
      <c r="O22967" t="s">
        <v>87581</v>
      </c>
      <c r="Q22967">
        <v>0</v>
      </c>
      <c r="R22967">
        <v>252</v>
      </c>
      <c r="S22967">
        <v>0</v>
      </c>
      <c r="T22967" t="s">
        <v>87582</v>
      </c>
    </row>
    <row r="22968" spans="1:25" customFormat="1" ht="15" x14ac:dyDescent="0.25">
      <c r="A22968" t="s">
        <v>24</v>
      </c>
      <c r="B22968" t="s">
        <v>2836</v>
      </c>
      <c r="C22968" t="str">
        <f>"A0069611"</f>
        <v>A0069611</v>
      </c>
      <c r="D22968" t="s">
        <v>83348</v>
      </c>
      <c r="E22968" t="s">
        <v>83349</v>
      </c>
      <c r="F22968" t="s">
        <v>83350</v>
      </c>
      <c r="G22968" t="s">
        <v>29</v>
      </c>
      <c r="H22968">
        <v>22101</v>
      </c>
      <c r="I22968" t="s">
        <v>30</v>
      </c>
      <c r="J22968" t="s">
        <v>171</v>
      </c>
      <c r="K22968" t="s">
        <v>1147</v>
      </c>
      <c r="N22968" t="s">
        <v>83351</v>
      </c>
      <c r="O22968" t="s">
        <v>63660</v>
      </c>
      <c r="Q22968">
        <v>0</v>
      </c>
      <c r="R22968">
        <v>143</v>
      </c>
      <c r="S22968">
        <v>0</v>
      </c>
      <c r="T22968" t="s">
        <v>83352</v>
      </c>
    </row>
    <row r="22969" spans="1:25" customFormat="1" ht="15" x14ac:dyDescent="0.25">
      <c r="A22969" t="s">
        <v>24</v>
      </c>
      <c r="B22969" t="s">
        <v>3343</v>
      </c>
      <c r="C22969" t="str">
        <f>"A0088142"</f>
        <v>A0088142</v>
      </c>
      <c r="D22969" t="s">
        <v>83357</v>
      </c>
      <c r="E22969" t="s">
        <v>83358</v>
      </c>
      <c r="F22969" t="s">
        <v>1201</v>
      </c>
      <c r="G22969" t="s">
        <v>214</v>
      </c>
      <c r="H22969">
        <v>28405</v>
      </c>
      <c r="I22969" t="s">
        <v>30</v>
      </c>
      <c r="J22969" t="s">
        <v>171</v>
      </c>
      <c r="K22969" t="s">
        <v>1147</v>
      </c>
      <c r="N22969" t="s">
        <v>83359</v>
      </c>
      <c r="Q22969">
        <v>0</v>
      </c>
      <c r="R22969">
        <v>93</v>
      </c>
      <c r="S22969">
        <v>0</v>
      </c>
      <c r="T22969" t="s">
        <v>83360</v>
      </c>
    </row>
    <row r="22970" spans="1:25" customFormat="1" ht="15" x14ac:dyDescent="0.25">
      <c r="A22970" t="s">
        <v>24</v>
      </c>
      <c r="B22970" t="s">
        <v>3343</v>
      </c>
      <c r="C22970" t="str">
        <f>"A0100535"</f>
        <v>A0100535</v>
      </c>
      <c r="D22970" t="s">
        <v>83361</v>
      </c>
      <c r="E22970" t="s">
        <v>83362</v>
      </c>
      <c r="F22970" t="s">
        <v>83363</v>
      </c>
      <c r="G22970" t="s">
        <v>144</v>
      </c>
      <c r="H22970">
        <v>58201</v>
      </c>
      <c r="I22970" t="s">
        <v>30</v>
      </c>
      <c r="J22970" t="s">
        <v>171</v>
      </c>
      <c r="K22970" t="s">
        <v>1147</v>
      </c>
      <c r="N22970" t="s">
        <v>57590</v>
      </c>
      <c r="O22970" t="s">
        <v>83364</v>
      </c>
      <c r="Q22970">
        <v>0</v>
      </c>
      <c r="R22970">
        <v>97</v>
      </c>
      <c r="S22970">
        <v>0</v>
      </c>
      <c r="T22970" t="s">
        <v>83365</v>
      </c>
    </row>
    <row r="22971" spans="1:25" customFormat="1" ht="15" x14ac:dyDescent="0.25">
      <c r="A22971" t="s">
        <v>24</v>
      </c>
      <c r="B22971" t="s">
        <v>61358</v>
      </c>
      <c r="C22971" t="str">
        <f>"A0083771"</f>
        <v>A0083771</v>
      </c>
      <c r="D22971" t="s">
        <v>83434</v>
      </c>
      <c r="E22971" t="s">
        <v>83435</v>
      </c>
      <c r="F22971" t="s">
        <v>4149</v>
      </c>
      <c r="G22971" t="s">
        <v>81</v>
      </c>
      <c r="H22971">
        <v>32541</v>
      </c>
      <c r="I22971" t="s">
        <v>30</v>
      </c>
      <c r="J22971" t="s">
        <v>171</v>
      </c>
      <c r="K22971" t="s">
        <v>13697</v>
      </c>
      <c r="N22971" t="s">
        <v>83436</v>
      </c>
      <c r="Q22971">
        <v>0</v>
      </c>
      <c r="R22971">
        <v>72</v>
      </c>
      <c r="S22971">
        <v>0</v>
      </c>
      <c r="T22971" t="s">
        <v>83437</v>
      </c>
    </row>
    <row r="22972" spans="1:25" customFormat="1" ht="15" x14ac:dyDescent="0.25">
      <c r="A22972" t="s">
        <v>24</v>
      </c>
      <c r="B22972" t="s">
        <v>6667</v>
      </c>
      <c r="C22972" t="str">
        <f>"A0069411"</f>
        <v>A0069411</v>
      </c>
      <c r="D22972" t="s">
        <v>87601</v>
      </c>
      <c r="E22972" t="s">
        <v>87602</v>
      </c>
      <c r="F22972" t="s">
        <v>15747</v>
      </c>
      <c r="G22972" t="s">
        <v>81</v>
      </c>
      <c r="H22972" t="s">
        <v>87603</v>
      </c>
      <c r="I22972" t="s">
        <v>30</v>
      </c>
      <c r="J22972" t="s">
        <v>178</v>
      </c>
      <c r="K22972" t="s">
        <v>179</v>
      </c>
      <c r="N22972" t="s">
        <v>87604</v>
      </c>
      <c r="O22972" t="s">
        <v>87605</v>
      </c>
      <c r="P22972" t="s">
        <v>992</v>
      </c>
      <c r="Q22972">
        <v>2</v>
      </c>
      <c r="R22972">
        <v>0</v>
      </c>
      <c r="S22972">
        <v>0</v>
      </c>
      <c r="T22972" t="s">
        <v>87606</v>
      </c>
    </row>
    <row r="22973" spans="1:25" customFormat="1" ht="15" x14ac:dyDescent="0.25">
      <c r="A22973" t="s">
        <v>24</v>
      </c>
      <c r="B22973" t="s">
        <v>87607</v>
      </c>
      <c r="C22973" t="str">
        <f>"A0050846"</f>
        <v>A0050846</v>
      </c>
      <c r="D22973" t="s">
        <v>87608</v>
      </c>
      <c r="E22973" t="s">
        <v>87609</v>
      </c>
      <c r="F22973" t="s">
        <v>60374</v>
      </c>
      <c r="G22973" t="s">
        <v>29</v>
      </c>
      <c r="H22973">
        <v>22180</v>
      </c>
      <c r="I22973" t="s">
        <v>30</v>
      </c>
      <c r="J22973" t="s">
        <v>178</v>
      </c>
      <c r="K22973" t="s">
        <v>179</v>
      </c>
      <c r="N22973" t="s">
        <v>87610</v>
      </c>
      <c r="O22973" t="s">
        <v>87611</v>
      </c>
      <c r="Q22973">
        <v>0</v>
      </c>
      <c r="R22973">
        <v>0</v>
      </c>
      <c r="S22973">
        <v>0</v>
      </c>
      <c r="T22973" t="s">
        <v>87612</v>
      </c>
    </row>
    <row r="22974" spans="1:25" customFormat="1" ht="15" x14ac:dyDescent="0.25">
      <c r="A22974" t="s">
        <v>24</v>
      </c>
      <c r="B22974" t="s">
        <v>34738</v>
      </c>
      <c r="C22974" t="str">
        <f>"A0165478"</f>
        <v>A0165478</v>
      </c>
      <c r="D22974" t="s">
        <v>83662</v>
      </c>
      <c r="E22974" t="s">
        <v>83663</v>
      </c>
      <c r="F22974" t="s">
        <v>64801</v>
      </c>
      <c r="G22974" t="s">
        <v>58</v>
      </c>
      <c r="H22974">
        <v>29526</v>
      </c>
      <c r="I22974" t="s">
        <v>30</v>
      </c>
      <c r="J22974" t="s">
        <v>171</v>
      </c>
      <c r="K22974" t="s">
        <v>1259</v>
      </c>
      <c r="N22974" t="s">
        <v>83664</v>
      </c>
      <c r="Q22974">
        <v>0</v>
      </c>
      <c r="R22974">
        <v>45</v>
      </c>
      <c r="S22974">
        <v>0</v>
      </c>
      <c r="T22974" t="s">
        <v>83665</v>
      </c>
    </row>
    <row r="22975" spans="1:25" customFormat="1" ht="15" x14ac:dyDescent="0.25">
      <c r="A22975" t="s">
        <v>24</v>
      </c>
      <c r="B22975" t="s">
        <v>6667</v>
      </c>
      <c r="C22975" t="str">
        <f>"A0069773"</f>
        <v>A0069773</v>
      </c>
      <c r="D22975" t="s">
        <v>87614</v>
      </c>
      <c r="E22975" t="s">
        <v>87615</v>
      </c>
      <c r="F22975" t="s">
        <v>66578</v>
      </c>
      <c r="G22975" t="s">
        <v>65</v>
      </c>
      <c r="H22975">
        <v>44256</v>
      </c>
      <c r="I22975" t="s">
        <v>30</v>
      </c>
      <c r="J22975" t="s">
        <v>178</v>
      </c>
      <c r="K22975" t="s">
        <v>6667</v>
      </c>
      <c r="N22975" t="s">
        <v>87616</v>
      </c>
      <c r="Q22975">
        <v>0</v>
      </c>
      <c r="R22975">
        <v>0</v>
      </c>
      <c r="S22975">
        <v>0</v>
      </c>
      <c r="T22975" t="s">
        <v>87617</v>
      </c>
    </row>
    <row r="22976" spans="1:25" x14ac:dyDescent="0.25">
      <c r="A22976" s="5" t="s">
        <v>24</v>
      </c>
      <c r="B22976" s="5" t="s">
        <v>83666</v>
      </c>
      <c r="C22976" s="5" t="str">
        <f>"A0060508"</f>
        <v>A0060508</v>
      </c>
      <c r="D22976" s="5" t="s">
        <v>83667</v>
      </c>
      <c r="E22976" s="5" t="s">
        <v>83668</v>
      </c>
      <c r="F22976" s="5" t="s">
        <v>34900</v>
      </c>
      <c r="G22976" s="5" t="s">
        <v>1587</v>
      </c>
      <c r="H22976" s="5">
        <v>87153</v>
      </c>
      <c r="I22976" s="5" t="s">
        <v>30</v>
      </c>
      <c r="J22976" s="5" t="s">
        <v>171</v>
      </c>
      <c r="K22976" s="5" t="s">
        <v>1259</v>
      </c>
      <c r="L22976" s="5"/>
      <c r="M22976" s="5"/>
      <c r="N22976" s="5" t="s">
        <v>83669</v>
      </c>
      <c r="O22976" s="5"/>
      <c r="P22976" s="5"/>
      <c r="Q22976" s="5">
        <v>0</v>
      </c>
      <c r="R22976" s="5">
        <v>104</v>
      </c>
      <c r="S22976" s="5">
        <v>0</v>
      </c>
      <c r="T22976" s="5" t="s">
        <v>83670</v>
      </c>
      <c r="U22976" s="5"/>
      <c r="V22976" s="5"/>
      <c r="W22976" s="5"/>
      <c r="X22976" s="5"/>
      <c r="Y22976" s="5"/>
    </row>
    <row r="22977" spans="1:20" customFormat="1" ht="15" x14ac:dyDescent="0.25">
      <c r="A22977" t="s">
        <v>24</v>
      </c>
      <c r="B22977" t="s">
        <v>6667</v>
      </c>
      <c r="C22977" t="str">
        <f>"A0049994"</f>
        <v>A0049994</v>
      </c>
      <c r="D22977" t="s">
        <v>87623</v>
      </c>
      <c r="E22977" t="s">
        <v>87624</v>
      </c>
      <c r="F22977" t="s">
        <v>87625</v>
      </c>
      <c r="G22977" t="s">
        <v>52</v>
      </c>
      <c r="H22977">
        <v>76692</v>
      </c>
      <c r="I22977" t="s">
        <v>30</v>
      </c>
      <c r="J22977" t="s">
        <v>178</v>
      </c>
      <c r="K22977" t="s">
        <v>179</v>
      </c>
      <c r="N22977" t="s">
        <v>87626</v>
      </c>
      <c r="O22977" t="s">
        <v>87627</v>
      </c>
      <c r="P22977" t="s">
        <v>3998</v>
      </c>
      <c r="Q22977">
        <v>2</v>
      </c>
      <c r="R22977">
        <v>35</v>
      </c>
      <c r="S22977">
        <v>0</v>
      </c>
      <c r="T22977" t="s">
        <v>87628</v>
      </c>
    </row>
    <row r="22978" spans="1:20" customFormat="1" ht="15" x14ac:dyDescent="0.25">
      <c r="A22978" t="s">
        <v>24</v>
      </c>
      <c r="B22978" t="s">
        <v>2360</v>
      </c>
      <c r="C22978" t="str">
        <f>"A0049911"</f>
        <v>A0049911</v>
      </c>
      <c r="D22978" t="s">
        <v>87629</v>
      </c>
      <c r="E22978" t="s">
        <v>87630</v>
      </c>
      <c r="F22978" t="s">
        <v>54394</v>
      </c>
      <c r="G22978" t="s">
        <v>846</v>
      </c>
      <c r="H22978" t="s">
        <v>87631</v>
      </c>
      <c r="I22978" t="s">
        <v>30</v>
      </c>
      <c r="J22978" t="s">
        <v>178</v>
      </c>
      <c r="K22978" t="s">
        <v>56092</v>
      </c>
      <c r="P22978" t="s">
        <v>992</v>
      </c>
      <c r="Q22978">
        <v>1</v>
      </c>
      <c r="R22978">
        <v>18</v>
      </c>
      <c r="S22978">
        <v>0</v>
      </c>
      <c r="T22978" t="s">
        <v>87632</v>
      </c>
    </row>
    <row r="22979" spans="1:20" customFormat="1" ht="15" x14ac:dyDescent="0.25">
      <c r="A22979" t="s">
        <v>24</v>
      </c>
      <c r="B22979" t="s">
        <v>1487</v>
      </c>
      <c r="C22979" t="str">
        <f>"88HQ023"</f>
        <v>88HQ023</v>
      </c>
      <c r="D22979" t="s">
        <v>87633</v>
      </c>
      <c r="E22979" t="s">
        <v>87634</v>
      </c>
      <c r="F22979" t="s">
        <v>87635</v>
      </c>
      <c r="G22979" t="s">
        <v>381</v>
      </c>
      <c r="H22979" t="s">
        <v>87636</v>
      </c>
      <c r="I22979" t="s">
        <v>30</v>
      </c>
      <c r="J22979" t="s">
        <v>191</v>
      </c>
      <c r="K22979" t="s">
        <v>11889</v>
      </c>
      <c r="N22979" t="s">
        <v>87637</v>
      </c>
      <c r="O22979" t="s">
        <v>87638</v>
      </c>
      <c r="Q22979">
        <v>0</v>
      </c>
      <c r="R22979">
        <v>0</v>
      </c>
      <c r="S22979">
        <v>0</v>
      </c>
      <c r="T22979" t="s">
        <v>87639</v>
      </c>
    </row>
    <row r="22980" spans="1:20" customFormat="1" ht="15" x14ac:dyDescent="0.25">
      <c r="A22980" t="s">
        <v>24</v>
      </c>
      <c r="B22980" t="s">
        <v>2360</v>
      </c>
      <c r="C22980" t="str">
        <f>"A0050245"</f>
        <v>A0050245</v>
      </c>
      <c r="D22980" t="s">
        <v>87640</v>
      </c>
      <c r="E22980" t="s">
        <v>87641</v>
      </c>
      <c r="F22980" t="s">
        <v>3014</v>
      </c>
      <c r="G22980" t="s">
        <v>846</v>
      </c>
      <c r="H22980">
        <v>30265</v>
      </c>
      <c r="I22980" t="s">
        <v>30</v>
      </c>
      <c r="J22980" t="s">
        <v>178</v>
      </c>
      <c r="K22980" t="s">
        <v>8013</v>
      </c>
      <c r="N22980" t="s">
        <v>57669</v>
      </c>
      <c r="Q22980">
        <v>2</v>
      </c>
      <c r="R22980">
        <v>0</v>
      </c>
      <c r="S22980">
        <v>0</v>
      </c>
      <c r="T22980" t="s">
        <v>87642</v>
      </c>
    </row>
    <row r="22981" spans="1:20" customFormat="1" ht="15" x14ac:dyDescent="0.25">
      <c r="A22981" t="s">
        <v>24</v>
      </c>
      <c r="B22981" t="s">
        <v>59031</v>
      </c>
      <c r="C22981" t="str">
        <f>"A0093335"</f>
        <v>A0093335</v>
      </c>
      <c r="D22981" t="s">
        <v>87643</v>
      </c>
      <c r="E22981" t="s">
        <v>87644</v>
      </c>
      <c r="F22981" t="s">
        <v>87645</v>
      </c>
      <c r="G22981" t="s">
        <v>2391</v>
      </c>
      <c r="H22981">
        <v>5001</v>
      </c>
      <c r="I22981" t="s">
        <v>30</v>
      </c>
      <c r="J22981" t="s">
        <v>31</v>
      </c>
      <c r="K22981" t="s">
        <v>163</v>
      </c>
      <c r="N22981" t="s">
        <v>58768</v>
      </c>
      <c r="Q22981">
        <v>0</v>
      </c>
      <c r="R22981">
        <v>110</v>
      </c>
      <c r="S22981">
        <v>0</v>
      </c>
      <c r="T22981" t="s">
        <v>87646</v>
      </c>
    </row>
    <row r="22982" spans="1:20" customFormat="1" ht="15" x14ac:dyDescent="0.25">
      <c r="A22982" t="s">
        <v>24</v>
      </c>
      <c r="B22982" t="s">
        <v>87647</v>
      </c>
      <c r="C22982" t="str">
        <f>"A0051505"</f>
        <v>A0051505</v>
      </c>
      <c r="D22982" t="s">
        <v>87647</v>
      </c>
      <c r="E22982" t="s">
        <v>87648</v>
      </c>
      <c r="F22982" t="s">
        <v>14331</v>
      </c>
      <c r="G22982" t="s">
        <v>103</v>
      </c>
      <c r="H22982">
        <v>19444</v>
      </c>
      <c r="I22982" t="s">
        <v>30</v>
      </c>
      <c r="J22982" t="s">
        <v>178</v>
      </c>
      <c r="K22982" t="s">
        <v>179</v>
      </c>
      <c r="N22982" t="s">
        <v>87649</v>
      </c>
      <c r="O22982" t="s">
        <v>87650</v>
      </c>
      <c r="P22982" t="s">
        <v>992</v>
      </c>
      <c r="Q22982">
        <v>1</v>
      </c>
      <c r="R22982">
        <v>0</v>
      </c>
      <c r="S22982">
        <v>0</v>
      </c>
      <c r="T22982" t="s">
        <v>87651</v>
      </c>
    </row>
    <row r="22983" spans="1:20" customFormat="1" ht="15" x14ac:dyDescent="0.25">
      <c r="A22983" t="s">
        <v>24</v>
      </c>
      <c r="B22983" t="s">
        <v>2360</v>
      </c>
      <c r="C22983" t="str">
        <f>"A0093770"</f>
        <v>A0093770</v>
      </c>
      <c r="D22983" t="s">
        <v>87652</v>
      </c>
      <c r="E22983" t="s">
        <v>87653</v>
      </c>
      <c r="F22983" t="s">
        <v>3540</v>
      </c>
      <c r="G22983" t="s">
        <v>846</v>
      </c>
      <c r="H22983">
        <v>30215</v>
      </c>
      <c r="I22983" t="s">
        <v>30</v>
      </c>
      <c r="J22983" t="s">
        <v>178</v>
      </c>
      <c r="K22983" t="s">
        <v>8013</v>
      </c>
      <c r="N22983" t="s">
        <v>87654</v>
      </c>
      <c r="O22983" t="s">
        <v>57332</v>
      </c>
      <c r="Q22983">
        <v>1</v>
      </c>
      <c r="R22983">
        <v>0</v>
      </c>
      <c r="S22983">
        <v>0</v>
      </c>
      <c r="T22983" t="s">
        <v>87655</v>
      </c>
    </row>
    <row r="22984" spans="1:20" customFormat="1" ht="15" x14ac:dyDescent="0.25">
      <c r="A22984" t="s">
        <v>24</v>
      </c>
      <c r="B22984" t="s">
        <v>799</v>
      </c>
      <c r="C22984" t="str">
        <f>"A0099959"</f>
        <v>A0099959</v>
      </c>
      <c r="D22984" t="s">
        <v>83785</v>
      </c>
      <c r="E22984" t="s">
        <v>83786</v>
      </c>
      <c r="F22984" t="s">
        <v>16301</v>
      </c>
      <c r="G22984" t="s">
        <v>58</v>
      </c>
      <c r="H22984">
        <v>29631</v>
      </c>
      <c r="I22984" t="s">
        <v>30</v>
      </c>
      <c r="J22984" t="s">
        <v>171</v>
      </c>
      <c r="K22984" t="s">
        <v>163</v>
      </c>
      <c r="N22984" t="s">
        <v>83787</v>
      </c>
      <c r="Q22984">
        <v>0</v>
      </c>
      <c r="R22984">
        <v>41</v>
      </c>
      <c r="S22984">
        <v>0</v>
      </c>
      <c r="T22984" t="s">
        <v>83788</v>
      </c>
    </row>
    <row r="22985" spans="1:20" customFormat="1" ht="15" x14ac:dyDescent="0.25">
      <c r="A22985" t="s">
        <v>24</v>
      </c>
      <c r="B22985" t="s">
        <v>7239</v>
      </c>
      <c r="C22985" t="str">
        <f>"A0096184"</f>
        <v>A0096184</v>
      </c>
      <c r="D22985" t="s">
        <v>87660</v>
      </c>
      <c r="E22985" t="s">
        <v>87661</v>
      </c>
      <c r="F22985" t="s">
        <v>6883</v>
      </c>
      <c r="G22985" t="s">
        <v>65</v>
      </c>
      <c r="H22985">
        <v>44115</v>
      </c>
      <c r="I22985" t="s">
        <v>30</v>
      </c>
      <c r="J22985" t="s">
        <v>1004</v>
      </c>
      <c r="K22985" t="s">
        <v>163</v>
      </c>
      <c r="N22985" t="s">
        <v>7243</v>
      </c>
      <c r="Q22985">
        <v>0</v>
      </c>
      <c r="R22985">
        <v>0</v>
      </c>
      <c r="S22985">
        <v>0</v>
      </c>
      <c r="T22985" t="s">
        <v>87662</v>
      </c>
    </row>
    <row r="22986" spans="1:20" customFormat="1" ht="15" x14ac:dyDescent="0.25">
      <c r="A22986" t="s">
        <v>24</v>
      </c>
      <c r="B22986" t="s">
        <v>7239</v>
      </c>
      <c r="C22986" t="str">
        <f>"A0117576"</f>
        <v>A0117576</v>
      </c>
      <c r="D22986" t="s">
        <v>87663</v>
      </c>
      <c r="E22986" t="s">
        <v>87664</v>
      </c>
      <c r="F22986" t="s">
        <v>87665</v>
      </c>
      <c r="G22986" t="s">
        <v>65</v>
      </c>
      <c r="H22986">
        <v>44147</v>
      </c>
      <c r="I22986" t="s">
        <v>30</v>
      </c>
      <c r="J22986" t="s">
        <v>1004</v>
      </c>
      <c r="K22986" t="s">
        <v>6809</v>
      </c>
      <c r="N22986" t="s">
        <v>87666</v>
      </c>
      <c r="Q22986">
        <v>0</v>
      </c>
      <c r="R22986">
        <v>0</v>
      </c>
      <c r="S22986">
        <v>0</v>
      </c>
      <c r="T22986" t="s">
        <v>87667</v>
      </c>
    </row>
    <row r="22987" spans="1:20" customFormat="1" ht="15" x14ac:dyDescent="0.25">
      <c r="A22987" t="s">
        <v>24</v>
      </c>
      <c r="B22987" t="s">
        <v>58755</v>
      </c>
      <c r="C22987" t="str">
        <f>"A0095513"</f>
        <v>A0095513</v>
      </c>
      <c r="D22987" t="s">
        <v>83915</v>
      </c>
      <c r="E22987" t="s">
        <v>83916</v>
      </c>
      <c r="F22987" t="s">
        <v>2839</v>
      </c>
      <c r="G22987" t="s">
        <v>846</v>
      </c>
      <c r="H22987">
        <v>31401</v>
      </c>
      <c r="I22987" t="s">
        <v>30</v>
      </c>
      <c r="J22987" t="s">
        <v>171</v>
      </c>
      <c r="K22987" t="s">
        <v>12620</v>
      </c>
      <c r="N22987" t="s">
        <v>83917</v>
      </c>
      <c r="Q22987">
        <v>0</v>
      </c>
      <c r="R22987">
        <v>76</v>
      </c>
      <c r="S22987">
        <v>0</v>
      </c>
      <c r="T22987" t="s">
        <v>83918</v>
      </c>
    </row>
    <row r="22988" spans="1:20" customFormat="1" ht="15" x14ac:dyDescent="0.25">
      <c r="A22988" t="s">
        <v>24</v>
      </c>
      <c r="B22988" t="s">
        <v>76617</v>
      </c>
      <c r="C22988" t="str">
        <f>"A0100943"</f>
        <v>A0100943</v>
      </c>
      <c r="D22988" t="s">
        <v>87671</v>
      </c>
      <c r="E22988" t="s">
        <v>80434</v>
      </c>
      <c r="F22988" t="s">
        <v>2900</v>
      </c>
      <c r="G22988" t="s">
        <v>76</v>
      </c>
      <c r="H22988">
        <v>98119</v>
      </c>
      <c r="I22988" t="s">
        <v>30</v>
      </c>
      <c r="J22988" t="s">
        <v>76620</v>
      </c>
      <c r="K22988" t="s">
        <v>163</v>
      </c>
      <c r="N22988" t="s">
        <v>80435</v>
      </c>
      <c r="Q22988">
        <v>0</v>
      </c>
      <c r="R22988">
        <v>30</v>
      </c>
      <c r="S22988">
        <v>0</v>
      </c>
      <c r="T22988" t="s">
        <v>76623</v>
      </c>
    </row>
    <row r="22989" spans="1:20" customFormat="1" ht="15" x14ac:dyDescent="0.25">
      <c r="A22989" t="s">
        <v>24</v>
      </c>
      <c r="B22989" t="s">
        <v>76617</v>
      </c>
      <c r="C22989" t="str">
        <f>"A0100944"</f>
        <v>A0100944</v>
      </c>
      <c r="D22989" t="s">
        <v>87672</v>
      </c>
      <c r="E22989" t="s">
        <v>80434</v>
      </c>
      <c r="F22989" t="s">
        <v>2900</v>
      </c>
      <c r="G22989" t="s">
        <v>76</v>
      </c>
      <c r="H22989">
        <v>98119</v>
      </c>
      <c r="I22989" t="s">
        <v>30</v>
      </c>
      <c r="J22989" t="s">
        <v>76620</v>
      </c>
      <c r="K22989" t="s">
        <v>163</v>
      </c>
      <c r="N22989" t="s">
        <v>80435</v>
      </c>
      <c r="Q22989">
        <v>0</v>
      </c>
      <c r="R22989">
        <v>38</v>
      </c>
      <c r="S22989">
        <v>0</v>
      </c>
      <c r="T22989" t="s">
        <v>76623</v>
      </c>
    </row>
    <row r="22990" spans="1:20" customFormat="1" ht="15" x14ac:dyDescent="0.25">
      <c r="A22990" t="s">
        <v>24</v>
      </c>
      <c r="B22990" t="s">
        <v>76617</v>
      </c>
      <c r="C22990" t="str">
        <f>"A0100617"</f>
        <v>A0100617</v>
      </c>
      <c r="D22990" t="s">
        <v>87673</v>
      </c>
      <c r="E22990" t="s">
        <v>80434</v>
      </c>
      <c r="F22990" t="s">
        <v>2900</v>
      </c>
      <c r="G22990" t="s">
        <v>76</v>
      </c>
      <c r="H22990">
        <v>98119</v>
      </c>
      <c r="I22990" t="s">
        <v>30</v>
      </c>
      <c r="J22990" t="s">
        <v>76620</v>
      </c>
      <c r="K22990" t="s">
        <v>163</v>
      </c>
      <c r="N22990" t="s">
        <v>80435</v>
      </c>
      <c r="Q22990">
        <v>0</v>
      </c>
      <c r="R22990">
        <v>37</v>
      </c>
      <c r="S22990">
        <v>0</v>
      </c>
      <c r="T22990" t="s">
        <v>76623</v>
      </c>
    </row>
    <row r="22991" spans="1:20" customFormat="1" ht="15" x14ac:dyDescent="0.25">
      <c r="A22991" t="s">
        <v>24</v>
      </c>
      <c r="B22991" t="s">
        <v>2360</v>
      </c>
      <c r="C22991" t="str">
        <f>"CL0476"</f>
        <v>CL0476</v>
      </c>
      <c r="D22991" t="s">
        <v>87674</v>
      </c>
      <c r="E22991" t="s">
        <v>87675</v>
      </c>
      <c r="F22991" t="s">
        <v>80034</v>
      </c>
      <c r="G22991" t="s">
        <v>52</v>
      </c>
      <c r="H22991">
        <v>76502</v>
      </c>
      <c r="I22991" t="s">
        <v>30</v>
      </c>
      <c r="J22991" t="s">
        <v>178</v>
      </c>
      <c r="K22991" t="s">
        <v>8013</v>
      </c>
      <c r="N22991" t="s">
        <v>87676</v>
      </c>
      <c r="P22991" t="s">
        <v>992</v>
      </c>
      <c r="Q22991">
        <v>1</v>
      </c>
      <c r="R22991">
        <v>0</v>
      </c>
      <c r="S22991">
        <v>0</v>
      </c>
      <c r="T22991" t="s">
        <v>87677</v>
      </c>
    </row>
    <row r="22992" spans="1:20" customFormat="1" ht="15" x14ac:dyDescent="0.25">
      <c r="A22992" t="s">
        <v>24</v>
      </c>
      <c r="B22992" t="s">
        <v>675</v>
      </c>
      <c r="C22992" t="str">
        <f>"A0091800"</f>
        <v>A0091800</v>
      </c>
      <c r="D22992" t="s">
        <v>87678</v>
      </c>
      <c r="E22992" t="s">
        <v>87679</v>
      </c>
      <c r="F22992" t="s">
        <v>2971</v>
      </c>
      <c r="G22992" t="s">
        <v>880</v>
      </c>
      <c r="H22992">
        <v>37201</v>
      </c>
      <c r="I22992" t="s">
        <v>30</v>
      </c>
      <c r="J22992" t="s">
        <v>1004</v>
      </c>
      <c r="K22992" t="s">
        <v>1490</v>
      </c>
      <c r="Q22992">
        <v>0</v>
      </c>
      <c r="R22992">
        <v>0</v>
      </c>
      <c r="S22992">
        <v>0</v>
      </c>
      <c r="T22992" t="s">
        <v>87680</v>
      </c>
    </row>
    <row r="22993" spans="1:20" customFormat="1" ht="15" x14ac:dyDescent="0.25">
      <c r="A22993" t="s">
        <v>24</v>
      </c>
      <c r="B22993" t="s">
        <v>2373</v>
      </c>
      <c r="C22993" t="str">
        <f>"A0093817"</f>
        <v>A0093817</v>
      </c>
      <c r="D22993" t="s">
        <v>87681</v>
      </c>
      <c r="E22993" t="s">
        <v>87682</v>
      </c>
      <c r="F22993" t="s">
        <v>34169</v>
      </c>
      <c r="G22993" t="s">
        <v>190</v>
      </c>
      <c r="H22993">
        <v>81615</v>
      </c>
      <c r="I22993" t="s">
        <v>30</v>
      </c>
      <c r="J22993" t="s">
        <v>31</v>
      </c>
      <c r="K22993" t="s">
        <v>163</v>
      </c>
      <c r="Q22993">
        <v>0</v>
      </c>
      <c r="R22993">
        <v>150</v>
      </c>
      <c r="S22993">
        <v>0</v>
      </c>
      <c r="T22993" t="s">
        <v>87130</v>
      </c>
    </row>
    <row r="22994" spans="1:20" customFormat="1" ht="15" x14ac:dyDescent="0.25">
      <c r="A22994" t="s">
        <v>24</v>
      </c>
      <c r="B22994" t="s">
        <v>2360</v>
      </c>
      <c r="C22994" t="str">
        <f>"A0090401"</f>
        <v>A0090401</v>
      </c>
      <c r="D22994" t="s">
        <v>87683</v>
      </c>
      <c r="E22994" t="s">
        <v>67160</v>
      </c>
      <c r="F22994" t="s">
        <v>87684</v>
      </c>
      <c r="G22994" t="s">
        <v>99</v>
      </c>
      <c r="H22994">
        <v>11766</v>
      </c>
      <c r="I22994" t="s">
        <v>30</v>
      </c>
      <c r="J22994" t="s">
        <v>178</v>
      </c>
      <c r="K22994" t="s">
        <v>56676</v>
      </c>
      <c r="N22994" t="s">
        <v>87685</v>
      </c>
      <c r="O22994" t="s">
        <v>87686</v>
      </c>
      <c r="P22994" t="s">
        <v>992</v>
      </c>
      <c r="Q22994">
        <v>1</v>
      </c>
      <c r="R22994">
        <v>0</v>
      </c>
      <c r="S22994">
        <v>0</v>
      </c>
      <c r="T22994" t="s">
        <v>87687</v>
      </c>
    </row>
    <row r="22995" spans="1:20" customFormat="1" ht="15" x14ac:dyDescent="0.25">
      <c r="A22995" t="s">
        <v>24</v>
      </c>
      <c r="B22995" t="s">
        <v>2360</v>
      </c>
      <c r="C22995" t="str">
        <f>"CL0298"</f>
        <v>CL0298</v>
      </c>
      <c r="D22995" t="s">
        <v>87688</v>
      </c>
      <c r="E22995" t="s">
        <v>87689</v>
      </c>
      <c r="F22995" t="s">
        <v>54905</v>
      </c>
      <c r="G22995" t="s">
        <v>52</v>
      </c>
      <c r="H22995">
        <v>77389</v>
      </c>
      <c r="I22995" t="s">
        <v>30</v>
      </c>
      <c r="J22995" t="s">
        <v>178</v>
      </c>
      <c r="K22995" t="s">
        <v>8013</v>
      </c>
      <c r="N22995" t="s">
        <v>87690</v>
      </c>
      <c r="O22995" t="s">
        <v>87691</v>
      </c>
      <c r="P22995" t="s">
        <v>992</v>
      </c>
      <c r="Q22995">
        <v>1</v>
      </c>
      <c r="R22995">
        <v>0</v>
      </c>
      <c r="S22995">
        <v>0</v>
      </c>
      <c r="T22995" t="s">
        <v>87692</v>
      </c>
    </row>
    <row r="22996" spans="1:20" customFormat="1" ht="15" x14ac:dyDescent="0.25">
      <c r="A22996" t="s">
        <v>24</v>
      </c>
      <c r="B22996" t="s">
        <v>56488</v>
      </c>
      <c r="C22996" t="str">
        <f>"A0050238"</f>
        <v>A0050238</v>
      </c>
      <c r="D22996" t="s">
        <v>87693</v>
      </c>
      <c r="E22996" t="s">
        <v>87694</v>
      </c>
      <c r="F22996" t="s">
        <v>1546</v>
      </c>
      <c r="G22996" t="s">
        <v>52</v>
      </c>
      <c r="H22996">
        <v>77450</v>
      </c>
      <c r="I22996" t="s">
        <v>30</v>
      </c>
      <c r="J22996" t="s">
        <v>178</v>
      </c>
      <c r="K22996" t="s">
        <v>179</v>
      </c>
      <c r="N22996" t="s">
        <v>77305</v>
      </c>
      <c r="Q22996">
        <v>1</v>
      </c>
      <c r="R22996">
        <v>0</v>
      </c>
      <c r="S22996">
        <v>0</v>
      </c>
      <c r="T22996" t="s">
        <v>87695</v>
      </c>
    </row>
    <row r="22997" spans="1:20" customFormat="1" ht="15" x14ac:dyDescent="0.25">
      <c r="A22997" t="s">
        <v>24</v>
      </c>
      <c r="B22997" t="s">
        <v>1583</v>
      </c>
      <c r="C22997" t="str">
        <f>"38A81"</f>
        <v>38A81</v>
      </c>
      <c r="D22997" t="s">
        <v>87696</v>
      </c>
      <c r="E22997" t="s">
        <v>87697</v>
      </c>
      <c r="F22997" t="s">
        <v>50732</v>
      </c>
      <c r="G22997" t="s">
        <v>137</v>
      </c>
      <c r="H22997">
        <v>65616</v>
      </c>
      <c r="I22997" t="s">
        <v>30</v>
      </c>
      <c r="J22997" t="s">
        <v>2544</v>
      </c>
      <c r="K22997" t="s">
        <v>36059</v>
      </c>
      <c r="N22997" t="s">
        <v>87698</v>
      </c>
      <c r="O22997" t="s">
        <v>87699</v>
      </c>
      <c r="Q22997">
        <v>0</v>
      </c>
      <c r="R22997">
        <v>144</v>
      </c>
      <c r="S22997">
        <v>0</v>
      </c>
      <c r="T22997" t="s">
        <v>87700</v>
      </c>
    </row>
    <row r="22998" spans="1:20" customFormat="1" ht="15" x14ac:dyDescent="0.25">
      <c r="A22998" t="s">
        <v>24</v>
      </c>
      <c r="B22998" t="s">
        <v>799</v>
      </c>
      <c r="C22998" t="str">
        <f>"A0100199"</f>
        <v>A0100199</v>
      </c>
      <c r="D22998" t="s">
        <v>84090</v>
      </c>
      <c r="E22998" t="s">
        <v>84091</v>
      </c>
      <c r="F22998" t="s">
        <v>33699</v>
      </c>
      <c r="G22998" t="s">
        <v>81</v>
      </c>
      <c r="H22998">
        <v>32084</v>
      </c>
      <c r="I22998" t="s">
        <v>30</v>
      </c>
      <c r="J22998" t="s">
        <v>171</v>
      </c>
      <c r="K22998" t="s">
        <v>163</v>
      </c>
      <c r="N22998" t="s">
        <v>84092</v>
      </c>
      <c r="Q22998">
        <v>0</v>
      </c>
      <c r="R22998">
        <v>30</v>
      </c>
      <c r="S22998">
        <v>0</v>
      </c>
      <c r="T22998" t="s">
        <v>84093</v>
      </c>
    </row>
    <row r="22999" spans="1:20" customFormat="1" ht="15" x14ac:dyDescent="0.25">
      <c r="A22999" t="s">
        <v>24</v>
      </c>
      <c r="B22999" t="s">
        <v>2360</v>
      </c>
      <c r="C22999" t="str">
        <f>"A0050233"</f>
        <v>A0050233</v>
      </c>
      <c r="D22999" t="s">
        <v>87705</v>
      </c>
      <c r="E22999" t="s">
        <v>87706</v>
      </c>
      <c r="F22999" t="s">
        <v>79287</v>
      </c>
      <c r="G22999" t="s">
        <v>99</v>
      </c>
      <c r="H22999">
        <v>11788</v>
      </c>
      <c r="I22999" t="s">
        <v>30</v>
      </c>
      <c r="J22999" t="s">
        <v>2415</v>
      </c>
      <c r="K22999" t="s">
        <v>56676</v>
      </c>
      <c r="N22999" t="s">
        <v>87707</v>
      </c>
      <c r="O22999" t="s">
        <v>87708</v>
      </c>
      <c r="P22999" t="s">
        <v>992</v>
      </c>
      <c r="Q22999">
        <v>1</v>
      </c>
      <c r="R22999">
        <v>18</v>
      </c>
      <c r="S22999">
        <v>0</v>
      </c>
      <c r="T22999" t="s">
        <v>87709</v>
      </c>
    </row>
    <row r="23000" spans="1:20" customFormat="1" ht="15" x14ac:dyDescent="0.25">
      <c r="A23000" t="s">
        <v>24</v>
      </c>
      <c r="B23000" t="s">
        <v>2360</v>
      </c>
      <c r="C23000" t="str">
        <f>"A0093763"</f>
        <v>A0093763</v>
      </c>
      <c r="D23000" t="s">
        <v>87710</v>
      </c>
      <c r="E23000" t="s">
        <v>87711</v>
      </c>
      <c r="F23000" t="s">
        <v>2178</v>
      </c>
      <c r="G23000" t="s">
        <v>846</v>
      </c>
      <c r="H23000">
        <v>30041</v>
      </c>
      <c r="I23000" t="s">
        <v>30</v>
      </c>
      <c r="J23000" t="s">
        <v>178</v>
      </c>
      <c r="K23000" t="s">
        <v>8013</v>
      </c>
      <c r="N23000" t="s">
        <v>87712</v>
      </c>
      <c r="O23000" t="s">
        <v>77021</v>
      </c>
      <c r="Q23000">
        <v>1</v>
      </c>
      <c r="R23000">
        <v>0</v>
      </c>
      <c r="S23000">
        <v>0</v>
      </c>
      <c r="T23000" t="s">
        <v>87713</v>
      </c>
    </row>
    <row r="23001" spans="1:20" customFormat="1" ht="15" x14ac:dyDescent="0.25">
      <c r="A23001" t="s">
        <v>24</v>
      </c>
      <c r="B23001" t="s">
        <v>3343</v>
      </c>
      <c r="C23001" t="str">
        <f>"A0100536"</f>
        <v>A0100536</v>
      </c>
      <c r="D23001" t="s">
        <v>87714</v>
      </c>
      <c r="E23001" t="s">
        <v>87715</v>
      </c>
      <c r="F23001" t="s">
        <v>54716</v>
      </c>
      <c r="G23001" t="s">
        <v>144</v>
      </c>
      <c r="H23001">
        <v>58503</v>
      </c>
      <c r="I23001" t="s">
        <v>30</v>
      </c>
      <c r="J23001" t="s">
        <v>31</v>
      </c>
      <c r="K23001" t="s">
        <v>1243</v>
      </c>
      <c r="N23001" t="s">
        <v>87716</v>
      </c>
      <c r="Q23001">
        <v>0</v>
      </c>
      <c r="R23001">
        <v>84</v>
      </c>
      <c r="S23001">
        <v>0</v>
      </c>
      <c r="T23001" t="s">
        <v>87717</v>
      </c>
    </row>
    <row r="23002" spans="1:20" customFormat="1" ht="15" x14ac:dyDescent="0.25">
      <c r="A23002" t="s">
        <v>24</v>
      </c>
      <c r="B23002" t="s">
        <v>77802</v>
      </c>
      <c r="C23002" t="str">
        <f>"A0096547"</f>
        <v>A0096547</v>
      </c>
      <c r="D23002" t="s">
        <v>87718</v>
      </c>
      <c r="E23002" t="s">
        <v>87719</v>
      </c>
      <c r="F23002" t="s">
        <v>16742</v>
      </c>
      <c r="G23002" t="s">
        <v>81</v>
      </c>
      <c r="H23002">
        <v>33166</v>
      </c>
      <c r="I23002" t="s">
        <v>30</v>
      </c>
      <c r="J23002" t="s">
        <v>31</v>
      </c>
      <c r="K23002" t="s">
        <v>1243</v>
      </c>
      <c r="N23002" t="s">
        <v>87720</v>
      </c>
      <c r="Q23002">
        <v>0</v>
      </c>
      <c r="R23002">
        <v>84</v>
      </c>
      <c r="S23002">
        <v>0</v>
      </c>
      <c r="T23002" t="s">
        <v>87721</v>
      </c>
    </row>
    <row r="23003" spans="1:20" customFormat="1" ht="15" x14ac:dyDescent="0.25">
      <c r="A23003" t="s">
        <v>24</v>
      </c>
      <c r="B23003" t="s">
        <v>1577</v>
      </c>
      <c r="C23003" t="str">
        <f>"A0098550"</f>
        <v>A0098550</v>
      </c>
      <c r="D23003" t="s">
        <v>87722</v>
      </c>
      <c r="E23003" t="s">
        <v>87723</v>
      </c>
      <c r="F23003" t="s">
        <v>53883</v>
      </c>
      <c r="G23003" t="s">
        <v>1706</v>
      </c>
      <c r="H23003">
        <v>36608</v>
      </c>
      <c r="I23003" t="s">
        <v>30</v>
      </c>
      <c r="J23003" t="s">
        <v>31</v>
      </c>
      <c r="K23003" t="s">
        <v>1243</v>
      </c>
      <c r="N23003" t="s">
        <v>87724</v>
      </c>
      <c r="O23003" t="s">
        <v>87725</v>
      </c>
      <c r="Q23003">
        <v>0</v>
      </c>
      <c r="R23003">
        <v>82</v>
      </c>
      <c r="S23003">
        <v>0</v>
      </c>
      <c r="T23003" t="s">
        <v>87726</v>
      </c>
    </row>
    <row r="23004" spans="1:20" customFormat="1" ht="15" x14ac:dyDescent="0.25">
      <c r="A23004" t="s">
        <v>24</v>
      </c>
      <c r="B23004" t="s">
        <v>59626</v>
      </c>
      <c r="C23004" t="str">
        <f>"A0100228"</f>
        <v>A0100228</v>
      </c>
      <c r="D23004" t="s">
        <v>87727</v>
      </c>
      <c r="E23004" t="s">
        <v>87728</v>
      </c>
      <c r="F23004" t="s">
        <v>2839</v>
      </c>
      <c r="G23004" t="s">
        <v>846</v>
      </c>
      <c r="H23004">
        <v>31408</v>
      </c>
      <c r="I23004" t="s">
        <v>30</v>
      </c>
      <c r="J23004" t="s">
        <v>31</v>
      </c>
      <c r="K23004" t="s">
        <v>1243</v>
      </c>
      <c r="N23004" t="s">
        <v>87729</v>
      </c>
      <c r="Q23004">
        <v>0</v>
      </c>
      <c r="R23004">
        <v>81</v>
      </c>
      <c r="S23004">
        <v>0</v>
      </c>
      <c r="T23004" t="s">
        <v>87730</v>
      </c>
    </row>
    <row r="23005" spans="1:20" customFormat="1" ht="15" x14ac:dyDescent="0.25">
      <c r="A23005" t="s">
        <v>24</v>
      </c>
      <c r="B23005" t="s">
        <v>2340</v>
      </c>
      <c r="C23005" t="str">
        <f>"A0061167"</f>
        <v>A0061167</v>
      </c>
      <c r="D23005" t="s">
        <v>87731</v>
      </c>
      <c r="E23005" t="s">
        <v>87732</v>
      </c>
      <c r="F23005" t="s">
        <v>54673</v>
      </c>
      <c r="G23005" t="s">
        <v>103</v>
      </c>
      <c r="H23005">
        <v>17055</v>
      </c>
      <c r="I23005" t="s">
        <v>30</v>
      </c>
      <c r="J23005" t="s">
        <v>31</v>
      </c>
      <c r="K23005" t="s">
        <v>1243</v>
      </c>
      <c r="N23005" t="s">
        <v>87733</v>
      </c>
      <c r="O23005" t="s">
        <v>56695</v>
      </c>
      <c r="Q23005">
        <v>0</v>
      </c>
      <c r="R23005">
        <v>93</v>
      </c>
      <c r="S23005">
        <v>0</v>
      </c>
      <c r="T23005" t="s">
        <v>87734</v>
      </c>
    </row>
    <row r="23006" spans="1:20" customFormat="1" ht="15" hidden="1" x14ac:dyDescent="0.25">
      <c r="A23006" t="s">
        <v>24</v>
      </c>
      <c r="B23006" t="s">
        <v>10942</v>
      </c>
      <c r="C23006" t="str">
        <f>"A0157812"</f>
        <v>A0157812</v>
      </c>
      <c r="D23006" t="s">
        <v>87735</v>
      </c>
      <c r="E23006" t="s">
        <v>87736</v>
      </c>
      <c r="F23006" t="s">
        <v>10963</v>
      </c>
      <c r="G23006" t="s">
        <v>2270</v>
      </c>
      <c r="H23006" t="s">
        <v>87737</v>
      </c>
      <c r="I23006" t="s">
        <v>1459</v>
      </c>
      <c r="J23006" t="s">
        <v>31</v>
      </c>
      <c r="K23006" t="s">
        <v>1243</v>
      </c>
      <c r="N23006" t="s">
        <v>87738</v>
      </c>
      <c r="Q23006">
        <v>0</v>
      </c>
      <c r="R23006">
        <v>83</v>
      </c>
      <c r="S23006">
        <v>0</v>
      </c>
      <c r="T23006" t="s">
        <v>87739</v>
      </c>
    </row>
    <row r="23007" spans="1:20" customFormat="1" ht="15" x14ac:dyDescent="0.25">
      <c r="A23007" t="s">
        <v>24</v>
      </c>
      <c r="B23007" t="s">
        <v>67665</v>
      </c>
      <c r="C23007" t="str">
        <f>"A0095330"</f>
        <v>A0095330</v>
      </c>
      <c r="D23007" t="s">
        <v>87740</v>
      </c>
      <c r="E23007" t="s">
        <v>87741</v>
      </c>
      <c r="F23007" t="s">
        <v>10779</v>
      </c>
      <c r="G23007" t="s">
        <v>52</v>
      </c>
      <c r="H23007">
        <v>75080</v>
      </c>
      <c r="I23007" t="s">
        <v>30</v>
      </c>
      <c r="J23007" t="s">
        <v>31</v>
      </c>
      <c r="K23007" t="s">
        <v>1243</v>
      </c>
      <c r="N23007" t="s">
        <v>87742</v>
      </c>
      <c r="Q23007">
        <v>0</v>
      </c>
      <c r="R23007">
        <v>127</v>
      </c>
      <c r="S23007">
        <v>0</v>
      </c>
      <c r="T23007" t="s">
        <v>87743</v>
      </c>
    </row>
    <row r="23008" spans="1:20" customFormat="1" ht="15" x14ac:dyDescent="0.25">
      <c r="A23008" t="s">
        <v>24</v>
      </c>
      <c r="B23008" t="s">
        <v>1317</v>
      </c>
      <c r="C23008" t="str">
        <f>"432YS"</f>
        <v>432YS</v>
      </c>
      <c r="D23008" t="s">
        <v>87744</v>
      </c>
      <c r="E23008" t="s">
        <v>87745</v>
      </c>
      <c r="F23008" t="s">
        <v>55295</v>
      </c>
      <c r="G23008" t="s">
        <v>1170</v>
      </c>
      <c r="H23008">
        <v>71129</v>
      </c>
      <c r="I23008" t="s">
        <v>30</v>
      </c>
      <c r="J23008" t="s">
        <v>31</v>
      </c>
      <c r="K23008" t="s">
        <v>1243</v>
      </c>
      <c r="N23008" t="s">
        <v>61847</v>
      </c>
      <c r="Q23008">
        <v>0</v>
      </c>
      <c r="R23008">
        <v>105</v>
      </c>
      <c r="S23008">
        <v>0</v>
      </c>
      <c r="T23008" t="s">
        <v>87746</v>
      </c>
    </row>
    <row r="23009" spans="1:20" customFormat="1" ht="15" x14ac:dyDescent="0.25">
      <c r="A23009" t="s">
        <v>24</v>
      </c>
      <c r="B23009" t="s">
        <v>87747</v>
      </c>
      <c r="C23009" t="str">
        <f>"A0148481"</f>
        <v>A0148481</v>
      </c>
      <c r="D23009" t="s">
        <v>87748</v>
      </c>
      <c r="E23009" t="s">
        <v>87749</v>
      </c>
      <c r="F23009" t="s">
        <v>87062</v>
      </c>
      <c r="G23009" t="s">
        <v>90</v>
      </c>
      <c r="H23009">
        <v>2891</v>
      </c>
      <c r="I23009" t="s">
        <v>30</v>
      </c>
      <c r="J23009" t="s">
        <v>31</v>
      </c>
      <c r="K23009" t="s">
        <v>163</v>
      </c>
      <c r="N23009" t="s">
        <v>87063</v>
      </c>
      <c r="Q23009">
        <v>0</v>
      </c>
      <c r="R23009">
        <v>49</v>
      </c>
      <c r="S23009">
        <v>0</v>
      </c>
      <c r="T23009" t="s">
        <v>87750</v>
      </c>
    </row>
    <row r="23010" spans="1:20" customFormat="1" ht="15" x14ac:dyDescent="0.25">
      <c r="A23010" t="s">
        <v>24</v>
      </c>
      <c r="B23010" t="s">
        <v>33369</v>
      </c>
      <c r="C23010" t="str">
        <f>"15211"</f>
        <v>15211</v>
      </c>
      <c r="D23010" t="s">
        <v>33369</v>
      </c>
      <c r="E23010" t="s">
        <v>87751</v>
      </c>
      <c r="F23010" t="s">
        <v>10100</v>
      </c>
      <c r="G23010" t="s">
        <v>214</v>
      </c>
      <c r="H23010">
        <v>27612</v>
      </c>
      <c r="I23010" t="s">
        <v>30</v>
      </c>
      <c r="J23010" t="s">
        <v>191</v>
      </c>
      <c r="K23010" t="s">
        <v>13697</v>
      </c>
      <c r="Q23010">
        <v>0</v>
      </c>
      <c r="R23010">
        <v>0</v>
      </c>
      <c r="S23010">
        <v>0</v>
      </c>
      <c r="T23010" t="s">
        <v>87752</v>
      </c>
    </row>
    <row r="23011" spans="1:20" customFormat="1" ht="15" x14ac:dyDescent="0.25">
      <c r="A23011" t="s">
        <v>24</v>
      </c>
      <c r="B23011" t="s">
        <v>7953</v>
      </c>
      <c r="C23011" t="str">
        <f>"A0073502"</f>
        <v>A0073502</v>
      </c>
      <c r="D23011" t="s">
        <v>84570</v>
      </c>
      <c r="E23011" t="s">
        <v>84571</v>
      </c>
      <c r="F23011" t="s">
        <v>748</v>
      </c>
      <c r="G23011" t="s">
        <v>110</v>
      </c>
      <c r="H23011">
        <v>94102</v>
      </c>
      <c r="I23011" t="s">
        <v>30</v>
      </c>
      <c r="J23011" t="s">
        <v>171</v>
      </c>
      <c r="K23011" t="s">
        <v>163</v>
      </c>
      <c r="N23011" t="s">
        <v>72712</v>
      </c>
      <c r="O23011" t="s">
        <v>84572</v>
      </c>
      <c r="Q23011">
        <v>0</v>
      </c>
      <c r="R23011">
        <v>153</v>
      </c>
      <c r="S23011">
        <v>0</v>
      </c>
      <c r="T23011" t="s">
        <v>84573</v>
      </c>
    </row>
    <row r="23012" spans="1:20" customFormat="1" ht="15" x14ac:dyDescent="0.25">
      <c r="A23012" t="s">
        <v>24</v>
      </c>
      <c r="B23012" t="s">
        <v>58744</v>
      </c>
      <c r="C23012" t="str">
        <f>"A0097821"</f>
        <v>A0097821</v>
      </c>
      <c r="D23012" t="s">
        <v>84645</v>
      </c>
      <c r="E23012" t="s">
        <v>84646</v>
      </c>
      <c r="F23012" t="s">
        <v>9097</v>
      </c>
      <c r="G23012" t="s">
        <v>1184</v>
      </c>
      <c r="H23012">
        <v>59716</v>
      </c>
      <c r="I23012" t="s">
        <v>30</v>
      </c>
      <c r="J23012" t="s">
        <v>171</v>
      </c>
      <c r="K23012" t="s">
        <v>163</v>
      </c>
      <c r="N23012" t="s">
        <v>84647</v>
      </c>
      <c r="Q23012">
        <v>0</v>
      </c>
      <c r="R23012">
        <v>90</v>
      </c>
      <c r="S23012">
        <v>0</v>
      </c>
      <c r="T23012" t="s">
        <v>84648</v>
      </c>
    </row>
    <row r="23013" spans="1:20" customFormat="1" ht="15" x14ac:dyDescent="0.25">
      <c r="A23013" t="s">
        <v>24</v>
      </c>
      <c r="B23013" t="s">
        <v>799</v>
      </c>
      <c r="C23013" t="str">
        <f>"A0137004"</f>
        <v>A0137004</v>
      </c>
      <c r="D23013" t="s">
        <v>84692</v>
      </c>
      <c r="E23013" t="s">
        <v>84693</v>
      </c>
      <c r="F23013" t="s">
        <v>716</v>
      </c>
      <c r="G23013" t="s">
        <v>289</v>
      </c>
      <c r="H23013">
        <v>60657</v>
      </c>
      <c r="I23013" t="s">
        <v>30</v>
      </c>
      <c r="J23013" t="s">
        <v>171</v>
      </c>
      <c r="K23013" t="s">
        <v>163</v>
      </c>
      <c r="N23013" t="s">
        <v>84694</v>
      </c>
      <c r="Q23013">
        <v>0</v>
      </c>
      <c r="R23013">
        <v>52</v>
      </c>
      <c r="S23013">
        <v>0</v>
      </c>
      <c r="T23013" t="s">
        <v>84695</v>
      </c>
    </row>
    <row r="23014" spans="1:20" customFormat="1" ht="15" x14ac:dyDescent="0.25">
      <c r="A23014" t="s">
        <v>24</v>
      </c>
      <c r="B23014" t="s">
        <v>87768</v>
      </c>
      <c r="C23014" t="str">
        <f>"A0049597"</f>
        <v>A0049597</v>
      </c>
      <c r="D23014" t="s">
        <v>87768</v>
      </c>
      <c r="E23014" t="s">
        <v>87769</v>
      </c>
      <c r="F23014" t="s">
        <v>7999</v>
      </c>
      <c r="G23014" t="s">
        <v>110</v>
      </c>
      <c r="H23014">
        <v>91364</v>
      </c>
      <c r="I23014" t="s">
        <v>30</v>
      </c>
      <c r="J23014" t="s">
        <v>178</v>
      </c>
      <c r="K23014" t="s">
        <v>179</v>
      </c>
      <c r="P23014" t="s">
        <v>992</v>
      </c>
      <c r="Q23014">
        <v>1</v>
      </c>
      <c r="R23014">
        <v>0</v>
      </c>
      <c r="S23014">
        <v>0</v>
      </c>
      <c r="T23014" t="s">
        <v>87770</v>
      </c>
    </row>
    <row r="23015" spans="1:20" customFormat="1" ht="15" x14ac:dyDescent="0.25">
      <c r="A23015" t="s">
        <v>24</v>
      </c>
      <c r="B23015" t="s">
        <v>2360</v>
      </c>
      <c r="C23015" t="str">
        <f>"A0050105"</f>
        <v>A0050105</v>
      </c>
      <c r="D23015" t="s">
        <v>87771</v>
      </c>
      <c r="E23015" t="s">
        <v>87772</v>
      </c>
      <c r="F23015" t="s">
        <v>74893</v>
      </c>
      <c r="G23015" t="s">
        <v>52</v>
      </c>
      <c r="H23015">
        <v>77381</v>
      </c>
      <c r="I23015" t="s">
        <v>30</v>
      </c>
      <c r="J23015" t="s">
        <v>178</v>
      </c>
      <c r="K23015" t="s">
        <v>56092</v>
      </c>
      <c r="N23015" t="s">
        <v>87773</v>
      </c>
      <c r="Q23015">
        <v>3</v>
      </c>
      <c r="R23015">
        <v>0</v>
      </c>
      <c r="S23015">
        <v>0</v>
      </c>
      <c r="T23015" t="s">
        <v>87774</v>
      </c>
    </row>
    <row r="23016" spans="1:20" customFormat="1" ht="15" x14ac:dyDescent="0.25">
      <c r="A23016" t="s">
        <v>24</v>
      </c>
      <c r="B23016" t="s">
        <v>33426</v>
      </c>
      <c r="C23016" t="str">
        <f>"A0157891"</f>
        <v>A0157891</v>
      </c>
      <c r="D23016" t="s">
        <v>87775</v>
      </c>
      <c r="E23016" t="s">
        <v>87776</v>
      </c>
      <c r="F23016" t="s">
        <v>845</v>
      </c>
      <c r="G23016" t="s">
        <v>846</v>
      </c>
      <c r="H23016">
        <v>30309</v>
      </c>
      <c r="I23016" t="s">
        <v>30</v>
      </c>
      <c r="J23016" t="s">
        <v>1004</v>
      </c>
      <c r="K23016" t="s">
        <v>163</v>
      </c>
      <c r="Q23016">
        <v>0</v>
      </c>
      <c r="R23016">
        <v>0</v>
      </c>
      <c r="S23016">
        <v>0</v>
      </c>
      <c r="T23016" t="s">
        <v>87777</v>
      </c>
    </row>
    <row r="23017" spans="1:20" customFormat="1" ht="15" x14ac:dyDescent="0.25">
      <c r="A23017" t="s">
        <v>24</v>
      </c>
      <c r="B23017" t="s">
        <v>2360</v>
      </c>
      <c r="C23017" t="str">
        <f>"CL0387"</f>
        <v>CL0387</v>
      </c>
      <c r="D23017" t="s">
        <v>87778</v>
      </c>
      <c r="E23017" t="s">
        <v>87779</v>
      </c>
      <c r="F23017" t="s">
        <v>64410</v>
      </c>
      <c r="G23017" t="s">
        <v>58</v>
      </c>
      <c r="H23017">
        <v>29803</v>
      </c>
      <c r="I23017" t="s">
        <v>30</v>
      </c>
      <c r="J23017" t="s">
        <v>178</v>
      </c>
      <c r="K23017" t="s">
        <v>56676</v>
      </c>
      <c r="N23017" t="s">
        <v>87780</v>
      </c>
      <c r="P23017" t="s">
        <v>992</v>
      </c>
      <c r="Q23017">
        <v>2</v>
      </c>
      <c r="R23017">
        <v>0</v>
      </c>
      <c r="S23017">
        <v>0</v>
      </c>
      <c r="T23017" t="s">
        <v>87781</v>
      </c>
    </row>
    <row r="23018" spans="1:20" customFormat="1" ht="15" x14ac:dyDescent="0.25">
      <c r="A23018" t="s">
        <v>24</v>
      </c>
      <c r="B23018" t="s">
        <v>56443</v>
      </c>
      <c r="C23018" t="str">
        <f>"A0165459"</f>
        <v>A0165459</v>
      </c>
      <c r="D23018" t="s">
        <v>87782</v>
      </c>
      <c r="E23018" t="s">
        <v>87783</v>
      </c>
      <c r="F23018" t="s">
        <v>1525</v>
      </c>
      <c r="G23018" t="s">
        <v>846</v>
      </c>
      <c r="H23018">
        <v>31901</v>
      </c>
      <c r="I23018" t="s">
        <v>30</v>
      </c>
      <c r="J23018" t="s">
        <v>145</v>
      </c>
      <c r="K23018" t="s">
        <v>163</v>
      </c>
      <c r="N23018" t="s">
        <v>13798</v>
      </c>
      <c r="Q23018">
        <v>0</v>
      </c>
      <c r="R23018">
        <v>122</v>
      </c>
      <c r="S23018">
        <v>0</v>
      </c>
      <c r="T23018" t="s">
        <v>87784</v>
      </c>
    </row>
    <row r="23019" spans="1:20" customFormat="1" ht="15" x14ac:dyDescent="0.25">
      <c r="A23019" t="s">
        <v>24</v>
      </c>
      <c r="B23019" t="s">
        <v>56443</v>
      </c>
      <c r="C23019" t="str">
        <f>"A0165461"</f>
        <v>A0165461</v>
      </c>
      <c r="D23019" t="s">
        <v>87785</v>
      </c>
      <c r="E23019" t="s">
        <v>87786</v>
      </c>
      <c r="F23019" t="s">
        <v>1525</v>
      </c>
      <c r="G23019" t="s">
        <v>846</v>
      </c>
      <c r="H23019">
        <v>31901</v>
      </c>
      <c r="I23019" t="s">
        <v>30</v>
      </c>
      <c r="J23019" t="s">
        <v>145</v>
      </c>
      <c r="K23019" t="s">
        <v>163</v>
      </c>
      <c r="N23019" t="s">
        <v>13798</v>
      </c>
      <c r="Q23019">
        <v>0</v>
      </c>
      <c r="R23019">
        <v>121</v>
      </c>
      <c r="S23019">
        <v>0</v>
      </c>
      <c r="T23019" t="s">
        <v>87787</v>
      </c>
    </row>
    <row r="23020" spans="1:20" customFormat="1" ht="15" x14ac:dyDescent="0.25">
      <c r="A23020" t="s">
        <v>24</v>
      </c>
      <c r="B23020" t="s">
        <v>56952</v>
      </c>
      <c r="C23020" t="str">
        <f>"A0135177"</f>
        <v>A0135177</v>
      </c>
      <c r="D23020" t="s">
        <v>87788</v>
      </c>
      <c r="E23020" t="s">
        <v>87789</v>
      </c>
      <c r="F23020" t="s">
        <v>33094</v>
      </c>
      <c r="G23020" t="s">
        <v>190</v>
      </c>
      <c r="H23020">
        <v>80011</v>
      </c>
      <c r="I23020" t="s">
        <v>30</v>
      </c>
      <c r="J23020" t="s">
        <v>31</v>
      </c>
      <c r="K23020" t="s">
        <v>163</v>
      </c>
      <c r="N23020" t="s">
        <v>87790</v>
      </c>
      <c r="O23020" t="s">
        <v>87791</v>
      </c>
      <c r="Q23020">
        <v>0</v>
      </c>
      <c r="R23020">
        <v>189</v>
      </c>
      <c r="S23020">
        <v>0</v>
      </c>
      <c r="T23020" t="s">
        <v>87792</v>
      </c>
    </row>
    <row r="23021" spans="1:20" customFormat="1" ht="15" x14ac:dyDescent="0.25">
      <c r="A23021" t="s">
        <v>24</v>
      </c>
      <c r="B23021" t="s">
        <v>12638</v>
      </c>
      <c r="C23021" t="str">
        <f>"A0067044"</f>
        <v>A0067044</v>
      </c>
      <c r="D23021" t="s">
        <v>87793</v>
      </c>
      <c r="E23021" t="s">
        <v>87794</v>
      </c>
      <c r="F23021" t="s">
        <v>87795</v>
      </c>
      <c r="G23021" t="s">
        <v>214</v>
      </c>
      <c r="H23021">
        <v>28352</v>
      </c>
      <c r="I23021" t="s">
        <v>30</v>
      </c>
      <c r="J23021" t="s">
        <v>1004</v>
      </c>
      <c r="K23021" t="s">
        <v>163</v>
      </c>
      <c r="N23021" t="s">
        <v>87796</v>
      </c>
      <c r="Q23021">
        <v>0</v>
      </c>
      <c r="R23021">
        <v>0</v>
      </c>
      <c r="S23021">
        <v>0</v>
      </c>
      <c r="T23021" t="s">
        <v>87797</v>
      </c>
    </row>
    <row r="23022" spans="1:20" customFormat="1" ht="15" x14ac:dyDescent="0.25">
      <c r="A23022" t="s">
        <v>24</v>
      </c>
      <c r="B23022" t="s">
        <v>56373</v>
      </c>
      <c r="C23022" t="str">
        <f>"A0154024"</f>
        <v>A0154024</v>
      </c>
      <c r="D23022" t="s">
        <v>84749</v>
      </c>
      <c r="E23022" t="s">
        <v>84750</v>
      </c>
      <c r="F23022" t="s">
        <v>10401</v>
      </c>
      <c r="G23022" t="s">
        <v>110</v>
      </c>
      <c r="H23022">
        <v>90046</v>
      </c>
      <c r="I23022" t="s">
        <v>30</v>
      </c>
      <c r="J23022" t="s">
        <v>171</v>
      </c>
      <c r="K23022" t="s">
        <v>163</v>
      </c>
      <c r="N23022" t="s">
        <v>84751</v>
      </c>
      <c r="Q23022">
        <v>0</v>
      </c>
      <c r="R23022">
        <v>39</v>
      </c>
      <c r="S23022">
        <v>0</v>
      </c>
      <c r="T23022" t="s">
        <v>84752</v>
      </c>
    </row>
    <row r="23023" spans="1:20" customFormat="1" ht="15" x14ac:dyDescent="0.25">
      <c r="A23023" t="s">
        <v>24</v>
      </c>
      <c r="B23023" t="s">
        <v>80589</v>
      </c>
      <c r="C23023" t="str">
        <f>"A0066981"</f>
        <v>A0066981</v>
      </c>
      <c r="D23023" t="s">
        <v>87803</v>
      </c>
      <c r="E23023" t="s">
        <v>87804</v>
      </c>
      <c r="F23023" t="s">
        <v>1208</v>
      </c>
      <c r="G23023" t="s">
        <v>899</v>
      </c>
      <c r="H23023">
        <v>2210</v>
      </c>
      <c r="I23023" t="s">
        <v>30</v>
      </c>
      <c r="J23023" t="s">
        <v>7657</v>
      </c>
      <c r="K23023" t="s">
        <v>163</v>
      </c>
      <c r="Q23023">
        <v>0</v>
      </c>
      <c r="R23023">
        <v>0</v>
      </c>
      <c r="S23023">
        <v>0</v>
      </c>
      <c r="T23023" t="s">
        <v>87805</v>
      </c>
    </row>
    <row r="23024" spans="1:20" customFormat="1" ht="15" x14ac:dyDescent="0.25">
      <c r="A23024" t="s">
        <v>24</v>
      </c>
      <c r="B23024" t="s">
        <v>87806</v>
      </c>
      <c r="C23024" t="str">
        <f>"A0050195"</f>
        <v>A0050195</v>
      </c>
      <c r="D23024" t="s">
        <v>87807</v>
      </c>
      <c r="E23024" t="s">
        <v>87808</v>
      </c>
      <c r="F23024" t="s">
        <v>62476</v>
      </c>
      <c r="G23024" t="s">
        <v>81</v>
      </c>
      <c r="H23024">
        <v>34135</v>
      </c>
      <c r="I23024" t="s">
        <v>30</v>
      </c>
      <c r="J23024" t="s">
        <v>178</v>
      </c>
      <c r="K23024" t="s">
        <v>179</v>
      </c>
      <c r="N23024" t="s">
        <v>87809</v>
      </c>
      <c r="O23024" t="s">
        <v>87810</v>
      </c>
      <c r="Q23024">
        <v>0</v>
      </c>
      <c r="R23024">
        <v>0</v>
      </c>
      <c r="S23024">
        <v>0</v>
      </c>
      <c r="T23024" t="s">
        <v>87811</v>
      </c>
    </row>
    <row r="23025" spans="1:20" customFormat="1" ht="15" x14ac:dyDescent="0.25">
      <c r="A23025" t="s">
        <v>24</v>
      </c>
      <c r="B23025" t="s">
        <v>87812</v>
      </c>
      <c r="C23025" t="str">
        <f>"A0086797"</f>
        <v>A0086797</v>
      </c>
      <c r="D23025" t="s">
        <v>87813</v>
      </c>
      <c r="E23025" t="s">
        <v>87814</v>
      </c>
      <c r="F23025" t="s">
        <v>87815</v>
      </c>
      <c r="G23025" t="s">
        <v>899</v>
      </c>
      <c r="H23025">
        <v>1915</v>
      </c>
      <c r="I23025" t="s">
        <v>30</v>
      </c>
      <c r="J23025" t="s">
        <v>7657</v>
      </c>
      <c r="K23025" t="s">
        <v>163</v>
      </c>
      <c r="N23025" t="s">
        <v>87816</v>
      </c>
      <c r="O23025" t="s">
        <v>87817</v>
      </c>
      <c r="Q23025">
        <v>0</v>
      </c>
      <c r="R23025">
        <v>91</v>
      </c>
      <c r="S23025">
        <v>0</v>
      </c>
      <c r="T23025" t="s">
        <v>87818</v>
      </c>
    </row>
    <row r="23026" spans="1:20" customFormat="1" ht="15" x14ac:dyDescent="0.25">
      <c r="A23026" t="s">
        <v>24</v>
      </c>
      <c r="B23026" t="s">
        <v>66079</v>
      </c>
      <c r="C23026" t="str">
        <f>"A0165760"</f>
        <v>A0165760</v>
      </c>
      <c r="D23026" t="s">
        <v>84809</v>
      </c>
      <c r="E23026" t="s">
        <v>84810</v>
      </c>
      <c r="F23026" t="s">
        <v>12348</v>
      </c>
      <c r="G23026" t="s">
        <v>880</v>
      </c>
      <c r="H23026">
        <v>37902</v>
      </c>
      <c r="I23026" t="s">
        <v>30</v>
      </c>
      <c r="J23026" t="s">
        <v>171</v>
      </c>
      <c r="K23026" t="s">
        <v>163</v>
      </c>
      <c r="N23026" t="s">
        <v>84811</v>
      </c>
      <c r="O23026" t="s">
        <v>84812</v>
      </c>
      <c r="Q23026">
        <v>0</v>
      </c>
      <c r="R23026">
        <v>28</v>
      </c>
      <c r="S23026">
        <v>0</v>
      </c>
      <c r="T23026" t="s">
        <v>84813</v>
      </c>
    </row>
    <row r="23027" spans="1:20" customFormat="1" ht="15" x14ac:dyDescent="0.25">
      <c r="A23027" t="s">
        <v>24</v>
      </c>
      <c r="B23027" t="s">
        <v>84851</v>
      </c>
      <c r="C23027" t="str">
        <f>"A0098384"</f>
        <v>A0098384</v>
      </c>
      <c r="D23027" t="s">
        <v>84852</v>
      </c>
      <c r="E23027" t="s">
        <v>84853</v>
      </c>
      <c r="F23027" t="s">
        <v>6458</v>
      </c>
      <c r="G23027" t="s">
        <v>99</v>
      </c>
      <c r="H23027">
        <v>10023</v>
      </c>
      <c r="I23027" t="s">
        <v>30</v>
      </c>
      <c r="J23027" t="s">
        <v>171</v>
      </c>
      <c r="K23027" t="s">
        <v>163</v>
      </c>
      <c r="N23027" t="s">
        <v>84854</v>
      </c>
      <c r="Q23027">
        <v>0</v>
      </c>
      <c r="R23027">
        <v>162</v>
      </c>
      <c r="S23027">
        <v>0</v>
      </c>
      <c r="T23027" t="s">
        <v>84855</v>
      </c>
    </row>
    <row r="23028" spans="1:20" customFormat="1" ht="15" x14ac:dyDescent="0.25">
      <c r="A23028" t="s">
        <v>24</v>
      </c>
      <c r="B23028" t="s">
        <v>3459</v>
      </c>
      <c r="C23028" t="str">
        <f>"A0064223"</f>
        <v>A0064223</v>
      </c>
      <c r="D23028" t="s">
        <v>85211</v>
      </c>
      <c r="E23028" t="s">
        <v>85212</v>
      </c>
      <c r="F23028" t="s">
        <v>5369</v>
      </c>
      <c r="G23028" t="s">
        <v>58</v>
      </c>
      <c r="H23028">
        <v>29401</v>
      </c>
      <c r="I23028" t="s">
        <v>30</v>
      </c>
      <c r="J23028" t="s">
        <v>171</v>
      </c>
      <c r="K23028" t="s">
        <v>163</v>
      </c>
      <c r="N23028" t="s">
        <v>57928</v>
      </c>
      <c r="Q23028">
        <v>0</v>
      </c>
      <c r="R23028">
        <v>91</v>
      </c>
      <c r="S23028">
        <v>0</v>
      </c>
      <c r="T23028" t="s">
        <v>85213</v>
      </c>
    </row>
    <row r="23029" spans="1:20" customFormat="1" ht="15" x14ac:dyDescent="0.25">
      <c r="A23029" t="s">
        <v>24</v>
      </c>
      <c r="B23029" t="s">
        <v>54986</v>
      </c>
      <c r="C23029" t="str">
        <f>"A0157392"</f>
        <v>A0157392</v>
      </c>
      <c r="D23029" t="s">
        <v>85247</v>
      </c>
      <c r="E23029" t="s">
        <v>85248</v>
      </c>
      <c r="F23029" t="s">
        <v>58467</v>
      </c>
      <c r="G23029" t="s">
        <v>103</v>
      </c>
      <c r="H23029">
        <v>18428</v>
      </c>
      <c r="I23029" t="s">
        <v>30</v>
      </c>
      <c r="J23029" t="s">
        <v>171</v>
      </c>
      <c r="K23029" t="s">
        <v>163</v>
      </c>
      <c r="N23029" t="s">
        <v>75138</v>
      </c>
      <c r="O23029" t="s">
        <v>58469</v>
      </c>
      <c r="Q23029">
        <v>0</v>
      </c>
      <c r="R23029">
        <v>23</v>
      </c>
      <c r="S23029">
        <v>0</v>
      </c>
      <c r="T23029" t="s">
        <v>58470</v>
      </c>
    </row>
    <row r="23030" spans="1:20" customFormat="1" ht="15" x14ac:dyDescent="0.25">
      <c r="A23030" t="s">
        <v>24</v>
      </c>
      <c r="B23030" t="s">
        <v>1020</v>
      </c>
      <c r="C23030" t="str">
        <f>"A0087392"</f>
        <v>A0087392</v>
      </c>
      <c r="D23030" t="s">
        <v>85771</v>
      </c>
      <c r="E23030" t="s">
        <v>85772</v>
      </c>
      <c r="F23030" t="s">
        <v>1208</v>
      </c>
      <c r="G23030" t="s">
        <v>899</v>
      </c>
      <c r="H23030">
        <v>2114</v>
      </c>
      <c r="I23030" t="s">
        <v>30</v>
      </c>
      <c r="J23030" t="s">
        <v>171</v>
      </c>
      <c r="K23030" t="s">
        <v>163</v>
      </c>
      <c r="N23030" t="s">
        <v>85773</v>
      </c>
      <c r="O23030" t="s">
        <v>85774</v>
      </c>
      <c r="Q23030">
        <v>0</v>
      </c>
      <c r="R23030">
        <v>46</v>
      </c>
      <c r="S23030">
        <v>0</v>
      </c>
      <c r="T23030" t="s">
        <v>85775</v>
      </c>
    </row>
    <row r="23031" spans="1:20" customFormat="1" ht="15" x14ac:dyDescent="0.25">
      <c r="A23031" t="s">
        <v>24</v>
      </c>
      <c r="B23031" t="s">
        <v>1317</v>
      </c>
      <c r="C23031" t="str">
        <f>"A0086752"</f>
        <v>A0086752</v>
      </c>
      <c r="D23031" t="s">
        <v>85850</v>
      </c>
      <c r="E23031" t="s">
        <v>85851</v>
      </c>
      <c r="F23031" t="s">
        <v>7362</v>
      </c>
      <c r="G23031" t="s">
        <v>110</v>
      </c>
      <c r="H23031">
        <v>90068</v>
      </c>
      <c r="I23031" t="s">
        <v>30</v>
      </c>
      <c r="J23031" t="s">
        <v>171</v>
      </c>
      <c r="K23031" t="s">
        <v>12620</v>
      </c>
      <c r="N23031" t="s">
        <v>70826</v>
      </c>
      <c r="Q23031">
        <v>0</v>
      </c>
      <c r="R23031">
        <v>43</v>
      </c>
      <c r="S23031">
        <v>0</v>
      </c>
      <c r="T23031" t="s">
        <v>85852</v>
      </c>
    </row>
    <row r="23032" spans="1:20" customFormat="1" ht="15" x14ac:dyDescent="0.25">
      <c r="A23032" t="s">
        <v>24</v>
      </c>
      <c r="B23032" t="s">
        <v>1138</v>
      </c>
      <c r="C23032" t="str">
        <f>"A0084862"</f>
        <v>A0084862</v>
      </c>
      <c r="D23032" t="s">
        <v>85877</v>
      </c>
      <c r="E23032" t="s">
        <v>85878</v>
      </c>
      <c r="F23032" t="s">
        <v>54374</v>
      </c>
      <c r="G23032" t="s">
        <v>65</v>
      </c>
      <c r="H23032">
        <v>43537</v>
      </c>
      <c r="I23032" t="s">
        <v>30</v>
      </c>
      <c r="J23032" t="s">
        <v>171</v>
      </c>
      <c r="K23032" t="s">
        <v>1147</v>
      </c>
      <c r="N23032" t="s">
        <v>85879</v>
      </c>
      <c r="O23032" t="s">
        <v>85880</v>
      </c>
      <c r="Q23032">
        <v>0</v>
      </c>
      <c r="R23032">
        <v>160</v>
      </c>
      <c r="S23032">
        <v>0</v>
      </c>
      <c r="T23032" t="s">
        <v>85881</v>
      </c>
    </row>
    <row r="23033" spans="1:20" customFormat="1" ht="15" x14ac:dyDescent="0.25">
      <c r="A23033" t="s">
        <v>24</v>
      </c>
      <c r="B23033" t="s">
        <v>1098</v>
      </c>
      <c r="C23033" t="str">
        <f>"A0066041"</f>
        <v>A0066041</v>
      </c>
      <c r="D23033" t="s">
        <v>87025</v>
      </c>
      <c r="E23033" t="s">
        <v>87026</v>
      </c>
      <c r="F23033" t="s">
        <v>1153</v>
      </c>
      <c r="G23033" t="s">
        <v>528</v>
      </c>
      <c r="H23033">
        <v>19716</v>
      </c>
      <c r="I23033" t="s">
        <v>30</v>
      </c>
      <c r="J23033" t="s">
        <v>171</v>
      </c>
      <c r="K23033" t="s">
        <v>973</v>
      </c>
      <c r="N23033" t="s">
        <v>87027</v>
      </c>
      <c r="O23033" t="s">
        <v>87028</v>
      </c>
      <c r="Q23033">
        <v>0</v>
      </c>
      <c r="R23033">
        <v>126</v>
      </c>
      <c r="S23033">
        <v>0</v>
      </c>
      <c r="T23033" t="s">
        <v>87029</v>
      </c>
    </row>
    <row r="23034" spans="1:20" customFormat="1" ht="15" x14ac:dyDescent="0.25">
      <c r="A23034" t="s">
        <v>24</v>
      </c>
      <c r="B23034" t="s">
        <v>675</v>
      </c>
      <c r="C23034" t="str">
        <f>"311F5"</f>
        <v>311F5</v>
      </c>
      <c r="D23034" t="s">
        <v>87325</v>
      </c>
      <c r="E23034" t="s">
        <v>87326</v>
      </c>
      <c r="F23034" t="s">
        <v>29659</v>
      </c>
      <c r="G23034" t="s">
        <v>615</v>
      </c>
      <c r="H23034">
        <v>6492</v>
      </c>
      <c r="I23034" t="s">
        <v>30</v>
      </c>
      <c r="J23034" t="s">
        <v>171</v>
      </c>
      <c r="K23034" t="s">
        <v>973</v>
      </c>
      <c r="N23034" t="s">
        <v>87327</v>
      </c>
      <c r="Q23034">
        <v>0</v>
      </c>
      <c r="R23034">
        <v>149</v>
      </c>
      <c r="S23034">
        <v>0</v>
      </c>
      <c r="T23034" t="s">
        <v>87328</v>
      </c>
    </row>
    <row r="23035" spans="1:20" customFormat="1" ht="15" x14ac:dyDescent="0.25">
      <c r="A23035" t="s">
        <v>24</v>
      </c>
      <c r="B23035" t="s">
        <v>799</v>
      </c>
      <c r="C23035" t="str">
        <f>"A0137005"</f>
        <v>A0137005</v>
      </c>
      <c r="D23035" t="s">
        <v>87701</v>
      </c>
      <c r="E23035" t="s">
        <v>87702</v>
      </c>
      <c r="F23035" t="s">
        <v>716</v>
      </c>
      <c r="G23035" t="s">
        <v>289</v>
      </c>
      <c r="H23035">
        <v>60657</v>
      </c>
      <c r="I23035" t="s">
        <v>30</v>
      </c>
      <c r="J23035" t="s">
        <v>171</v>
      </c>
      <c r="K23035" t="s">
        <v>163</v>
      </c>
      <c r="N23035" t="s">
        <v>58063</v>
      </c>
      <c r="O23035" t="s">
        <v>87703</v>
      </c>
      <c r="Q23035">
        <v>0</v>
      </c>
      <c r="R23035">
        <v>51</v>
      </c>
      <c r="S23035">
        <v>0</v>
      </c>
      <c r="T23035" t="s">
        <v>87704</v>
      </c>
    </row>
    <row r="23036" spans="1:20" customFormat="1" ht="15" x14ac:dyDescent="0.25">
      <c r="A23036" t="s">
        <v>24</v>
      </c>
      <c r="B23036" t="s">
        <v>342</v>
      </c>
      <c r="C23036" t="str">
        <f>"A0077867"</f>
        <v>A0077867</v>
      </c>
      <c r="D23036" t="s">
        <v>87764</v>
      </c>
      <c r="E23036" t="s">
        <v>87765</v>
      </c>
      <c r="F23036" t="s">
        <v>12931</v>
      </c>
      <c r="G23036" t="s">
        <v>81</v>
      </c>
      <c r="H23036">
        <v>33767</v>
      </c>
      <c r="I23036" t="s">
        <v>30</v>
      </c>
      <c r="J23036" t="s">
        <v>171</v>
      </c>
      <c r="K23036" t="s">
        <v>12620</v>
      </c>
      <c r="N23036" t="s">
        <v>2444</v>
      </c>
      <c r="O23036" t="s">
        <v>87766</v>
      </c>
      <c r="Q23036">
        <v>0</v>
      </c>
      <c r="R23036">
        <v>93</v>
      </c>
      <c r="S23036">
        <v>0</v>
      </c>
      <c r="T23036" t="s">
        <v>87767</v>
      </c>
    </row>
    <row r="23037" spans="1:20" customFormat="1" ht="15" x14ac:dyDescent="0.25">
      <c r="A23037" t="s">
        <v>24</v>
      </c>
      <c r="B23037" t="s">
        <v>2221</v>
      </c>
      <c r="C23037" t="str">
        <f>"A0058889"</f>
        <v>A0058889</v>
      </c>
      <c r="D23037" t="s">
        <v>87798</v>
      </c>
      <c r="E23037" t="s">
        <v>87799</v>
      </c>
      <c r="F23037" t="s">
        <v>985</v>
      </c>
      <c r="G23037" t="s">
        <v>81</v>
      </c>
      <c r="H23037">
        <v>32821</v>
      </c>
      <c r="I23037" t="s">
        <v>30</v>
      </c>
      <c r="J23037" t="s">
        <v>171</v>
      </c>
      <c r="K23037" t="s">
        <v>163</v>
      </c>
      <c r="N23037" t="s">
        <v>87800</v>
      </c>
      <c r="O23037" t="s">
        <v>87801</v>
      </c>
      <c r="Q23037">
        <v>0</v>
      </c>
      <c r="R23037">
        <v>102</v>
      </c>
      <c r="S23037">
        <v>0</v>
      </c>
      <c r="T23037" t="s">
        <v>87802</v>
      </c>
    </row>
    <row r="23038" spans="1:20" customFormat="1" ht="15" x14ac:dyDescent="0.25">
      <c r="A23038" t="s">
        <v>24</v>
      </c>
      <c r="B23038" t="s">
        <v>87867</v>
      </c>
      <c r="C23038" t="str">
        <f>"A0096903"</f>
        <v>A0096903</v>
      </c>
      <c r="D23038" t="s">
        <v>87867</v>
      </c>
      <c r="E23038" t="s">
        <v>87868</v>
      </c>
      <c r="F23038" t="s">
        <v>1570</v>
      </c>
      <c r="G23038" t="s">
        <v>81</v>
      </c>
      <c r="H23038">
        <v>33311</v>
      </c>
      <c r="I23038" t="s">
        <v>30</v>
      </c>
      <c r="J23038" t="s">
        <v>3881</v>
      </c>
      <c r="K23038" t="s">
        <v>163</v>
      </c>
      <c r="N23038" t="s">
        <v>87869</v>
      </c>
      <c r="O23038" t="s">
        <v>87870</v>
      </c>
      <c r="Q23038">
        <v>0</v>
      </c>
      <c r="R23038">
        <v>0</v>
      </c>
      <c r="S23038">
        <v>0</v>
      </c>
      <c r="T23038" t="s">
        <v>87871</v>
      </c>
    </row>
    <row r="23039" spans="1:20" customFormat="1" ht="15" x14ac:dyDescent="0.25">
      <c r="A23039" t="s">
        <v>24</v>
      </c>
      <c r="B23039" t="s">
        <v>87872</v>
      </c>
      <c r="C23039" t="str">
        <f>"A0092168"</f>
        <v>A0092168</v>
      </c>
      <c r="D23039" t="s">
        <v>87872</v>
      </c>
      <c r="E23039" t="s">
        <v>87873</v>
      </c>
      <c r="F23039" t="s">
        <v>87874</v>
      </c>
      <c r="G23039" t="s">
        <v>338</v>
      </c>
      <c r="H23039">
        <v>8243</v>
      </c>
      <c r="I23039" t="s">
        <v>30</v>
      </c>
      <c r="J23039" t="s">
        <v>2558</v>
      </c>
      <c r="K23039" t="s">
        <v>163</v>
      </c>
      <c r="N23039" t="s">
        <v>87875</v>
      </c>
      <c r="Q23039">
        <v>0</v>
      </c>
      <c r="R23039">
        <v>0</v>
      </c>
      <c r="S23039">
        <v>0</v>
      </c>
      <c r="T23039" t="s">
        <v>87876</v>
      </c>
    </row>
    <row r="23040" spans="1:20" customFormat="1" ht="15" x14ac:dyDescent="0.25">
      <c r="A23040" t="s">
        <v>24</v>
      </c>
      <c r="B23040" t="s">
        <v>2360</v>
      </c>
      <c r="C23040" t="str">
        <f>"CL1581"</f>
        <v>CL1581</v>
      </c>
      <c r="D23040" t="s">
        <v>87877</v>
      </c>
      <c r="E23040" t="s">
        <v>75216</v>
      </c>
      <c r="F23040" t="s">
        <v>372</v>
      </c>
      <c r="G23040" t="s">
        <v>52</v>
      </c>
      <c r="H23040">
        <v>78734</v>
      </c>
      <c r="I23040" t="s">
        <v>30</v>
      </c>
      <c r="J23040" t="s">
        <v>178</v>
      </c>
      <c r="K23040" t="s">
        <v>55688</v>
      </c>
      <c r="N23040" t="s">
        <v>68815</v>
      </c>
      <c r="P23040" t="s">
        <v>992</v>
      </c>
      <c r="Q23040">
        <v>1</v>
      </c>
      <c r="R23040">
        <v>0</v>
      </c>
      <c r="S23040">
        <v>0</v>
      </c>
      <c r="T23040" t="s">
        <v>87878</v>
      </c>
    </row>
    <row r="23041" spans="1:20" customFormat="1" ht="15" x14ac:dyDescent="0.25">
      <c r="A23041" t="s">
        <v>24</v>
      </c>
      <c r="B23041" t="s">
        <v>5357</v>
      </c>
      <c r="C23041" t="str">
        <f>"A0064594"</f>
        <v>A0064594</v>
      </c>
      <c r="D23041" t="s">
        <v>87830</v>
      </c>
      <c r="E23041" t="s">
        <v>87831</v>
      </c>
      <c r="F23041" t="s">
        <v>14614</v>
      </c>
      <c r="G23041" t="s">
        <v>110</v>
      </c>
      <c r="H23041">
        <v>93727</v>
      </c>
      <c r="I23041" t="s">
        <v>30</v>
      </c>
      <c r="J23041" t="s">
        <v>171</v>
      </c>
      <c r="K23041" t="s">
        <v>13503</v>
      </c>
      <c r="N23041" t="s">
        <v>87832</v>
      </c>
      <c r="O23041" t="s">
        <v>87833</v>
      </c>
      <c r="Q23041">
        <v>0</v>
      </c>
      <c r="R23041">
        <v>210</v>
      </c>
      <c r="S23041">
        <v>0</v>
      </c>
      <c r="T23041" t="s">
        <v>87834</v>
      </c>
    </row>
    <row r="23042" spans="1:20" customFormat="1" ht="15" hidden="1" x14ac:dyDescent="0.25">
      <c r="A23042" t="s">
        <v>24</v>
      </c>
      <c r="B23042" t="s">
        <v>72673</v>
      </c>
      <c r="C23042" t="str">
        <f>"A0089934"</f>
        <v>A0089934</v>
      </c>
      <c r="D23042" t="s">
        <v>87882</v>
      </c>
      <c r="E23042" t="s">
        <v>87883</v>
      </c>
      <c r="F23042" t="s">
        <v>4579</v>
      </c>
      <c r="G23042" t="s">
        <v>4580</v>
      </c>
      <c r="H23042">
        <v>97000</v>
      </c>
      <c r="I23042" t="s">
        <v>2408</v>
      </c>
      <c r="J23042" t="s">
        <v>178</v>
      </c>
      <c r="K23042" t="s">
        <v>163</v>
      </c>
      <c r="P23042" t="s">
        <v>992</v>
      </c>
      <c r="Q23042">
        <v>1</v>
      </c>
      <c r="R23042">
        <v>300</v>
      </c>
      <c r="S23042">
        <v>0</v>
      </c>
      <c r="T23042" t="s">
        <v>87884</v>
      </c>
    </row>
    <row r="23043" spans="1:20" hidden="1" x14ac:dyDescent="0.25">
      <c r="A23043" s="3" t="s">
        <v>24</v>
      </c>
      <c r="B23043" s="3" t="s">
        <v>675</v>
      </c>
      <c r="C23043" s="3" t="str">
        <f>"A0099704"</f>
        <v>A0099704</v>
      </c>
      <c r="D23043" s="3" t="s">
        <v>87885</v>
      </c>
      <c r="E23043" s="3" t="s">
        <v>87886</v>
      </c>
      <c r="F23043" s="3" t="s">
        <v>73695</v>
      </c>
      <c r="G23043" s="3" t="s">
        <v>2407</v>
      </c>
      <c r="H23043" s="3">
        <v>23403</v>
      </c>
      <c r="I23043" s="3" t="s">
        <v>2408</v>
      </c>
      <c r="J23043" s="3" t="s">
        <v>206</v>
      </c>
      <c r="K23043" s="3" t="s">
        <v>680</v>
      </c>
      <c r="N23043" s="3" t="s">
        <v>87887</v>
      </c>
      <c r="O23043" s="3" t="s">
        <v>87888</v>
      </c>
      <c r="Q23043" s="3">
        <v>0</v>
      </c>
      <c r="R23043" s="3">
        <v>115</v>
      </c>
      <c r="S23043" s="3">
        <v>0</v>
      </c>
      <c r="T23043" s="3" t="s">
        <v>87889</v>
      </c>
    </row>
    <row r="23044" spans="1:20" customFormat="1" ht="15" x14ac:dyDescent="0.25">
      <c r="A23044" t="s">
        <v>24</v>
      </c>
      <c r="B23044" t="s">
        <v>66302</v>
      </c>
      <c r="C23044" t="str">
        <f>"A0090228"</f>
        <v>A0090228</v>
      </c>
      <c r="D23044" t="s">
        <v>87835</v>
      </c>
      <c r="E23044" t="s">
        <v>87836</v>
      </c>
      <c r="F23044" t="s">
        <v>1153</v>
      </c>
      <c r="G23044" t="s">
        <v>338</v>
      </c>
      <c r="H23044">
        <v>7114</v>
      </c>
      <c r="I23044" t="s">
        <v>30</v>
      </c>
      <c r="J23044" t="s">
        <v>171</v>
      </c>
      <c r="K23044" t="s">
        <v>13503</v>
      </c>
      <c r="N23044" t="s">
        <v>87837</v>
      </c>
      <c r="Q23044">
        <v>0</v>
      </c>
      <c r="R23044">
        <v>349</v>
      </c>
      <c r="S23044">
        <v>0</v>
      </c>
      <c r="T23044" t="s">
        <v>87838</v>
      </c>
    </row>
    <row r="23045" spans="1:20" customFormat="1" ht="15" x14ac:dyDescent="0.25">
      <c r="A23045" t="s">
        <v>24</v>
      </c>
      <c r="B23045" t="s">
        <v>706</v>
      </c>
      <c r="C23045" t="str">
        <f>"A0165225"</f>
        <v>A0165225</v>
      </c>
      <c r="D23045" t="s">
        <v>87839</v>
      </c>
      <c r="E23045" t="s">
        <v>87840</v>
      </c>
      <c r="F23045" t="s">
        <v>985</v>
      </c>
      <c r="G23045" t="s">
        <v>81</v>
      </c>
      <c r="H23045">
        <v>32819</v>
      </c>
      <c r="I23045" t="s">
        <v>30</v>
      </c>
      <c r="J23045" t="s">
        <v>171</v>
      </c>
      <c r="K23045" t="s">
        <v>13503</v>
      </c>
      <c r="N23045" t="s">
        <v>87841</v>
      </c>
      <c r="Q23045">
        <v>0</v>
      </c>
      <c r="R23045">
        <v>137</v>
      </c>
      <c r="S23045">
        <v>0</v>
      </c>
      <c r="T23045" t="s">
        <v>87842</v>
      </c>
    </row>
    <row r="23046" spans="1:20" customFormat="1" ht="15" x14ac:dyDescent="0.25">
      <c r="A23046" t="s">
        <v>24</v>
      </c>
      <c r="B23046" t="s">
        <v>4400</v>
      </c>
      <c r="C23046" t="str">
        <f>"A0093887"</f>
        <v>A0093887</v>
      </c>
      <c r="D23046" t="s">
        <v>87890</v>
      </c>
      <c r="E23046" t="s">
        <v>87891</v>
      </c>
      <c r="F23046" t="s">
        <v>34900</v>
      </c>
      <c r="G23046" t="s">
        <v>1587</v>
      </c>
      <c r="H23046">
        <v>87110</v>
      </c>
      <c r="I23046" t="s">
        <v>30</v>
      </c>
      <c r="J23046" t="s">
        <v>171</v>
      </c>
      <c r="K23046" t="s">
        <v>1023</v>
      </c>
      <c r="N23046" t="s">
        <v>87892</v>
      </c>
      <c r="Q23046">
        <v>0</v>
      </c>
      <c r="R23046">
        <v>151</v>
      </c>
      <c r="S23046">
        <v>0</v>
      </c>
      <c r="T23046" t="s">
        <v>87893</v>
      </c>
    </row>
  </sheetData>
  <autoFilter ref="A1:AB23046" xr:uid="{00000000-0009-0000-0000-000000000000}">
    <filterColumn colId="8">
      <filters>
        <filter val="USA"/>
      </filters>
    </filterColumn>
    <sortState xmlns:xlrd2="http://schemas.microsoft.com/office/spreadsheetml/2017/richdata2" ref="A26:Y23046">
      <sortCondition ref="J1:J23046"/>
    </sortState>
  </autoFilter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Customers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Gil Shoshan</cp:lastModifiedBy>
  <dcterms:created xsi:type="dcterms:W3CDTF">2022-02-22T14:58:12Z</dcterms:created>
  <dcterms:modified xsi:type="dcterms:W3CDTF">2022-04-15T19:20:24Z</dcterms:modified>
</cp:coreProperties>
</file>